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dados-sinesp\SUPOP\6_SUPOP_2025\2_UNIDADES\3 _ UNEORC\1 - ORÇAMENTOS FINALIZADOS\4 - MESTRE D'ARMAS\BASE\SEM DESONERAÇÃO\"/>
    </mc:Choice>
  </mc:AlternateContent>
  <xr:revisionPtr revIDLastSave="0" documentId="13_ncr:1_{54DC7A33-6BA4-4719-A47D-17D54BD3131C}" xr6:coauthVersionLast="47" xr6:coauthVersionMax="47" xr10:uidLastSave="{00000000-0000-0000-0000-000000000000}"/>
  <bookViews>
    <workbookView xWindow="-38510" yWindow="-110" windowWidth="38620" windowHeight="21100" tabRatio="867" activeTab="17" xr2:uid="{262540A5-ECE9-4361-B9EE-416B14251E21}"/>
  </bookViews>
  <sheets>
    <sheet name="RESUMO" sheetId="2" r:id="rId1"/>
    <sheet name="ORÇAMENTO" sheetId="17" r:id="rId2"/>
    <sheet name="ORÇAMENTO AMBIENTAL" sheetId="27" r:id="rId3"/>
    <sheet name="Planilha1" sheetId="30" state="hidden" r:id="rId4"/>
    <sheet name="CLASSIFICAÇÃO ABC" sheetId="5" r:id="rId5"/>
    <sheet name="APOIO ABC" sheetId="4" state="hidden" r:id="rId6"/>
    <sheet name="CPUs" sheetId="6" r:id="rId7"/>
    <sheet name="MEM. CÁLC" sheetId="19" state="hidden" r:id="rId8"/>
    <sheet name="QUANTBL" sheetId="22" state="hidden" r:id="rId9"/>
    <sheet name="Planilha Hidráulica" sheetId="23" state="hidden" r:id="rId10"/>
    <sheet name="BOCA DE LOBO" sheetId="18" state="hidden" r:id="rId11"/>
    <sheet name="CRONOGRAMA" sheetId="3" r:id="rId12"/>
    <sheet name="ANEXO II - MOVIMENTAÇÃO DE SOLO" sheetId="21" state="hidden" r:id="rId13"/>
    <sheet name="Quantitativos" sheetId="20" state="hidden" r:id="rId14"/>
    <sheet name="CAPA_AMBIENTAL" sheetId="25" state="hidden" r:id="rId15"/>
    <sheet name="RESUMO_AMBIENTAL" sheetId="26" state="hidden" r:id="rId16"/>
    <sheet name="MAPA_COTAÇÕES" sheetId="24" r:id="rId17"/>
    <sheet name="BDI'S" sheetId="29" r:id="rId18"/>
    <sheet name="CRONOGRAMA_AMBIENTAL" sheetId="28" state="hidden" r:id="rId19"/>
  </sheets>
  <externalReferences>
    <externalReference r:id="rId20"/>
    <externalReference r:id="rId21"/>
  </externalReferences>
  <definedNames>
    <definedName name="_xlnm._FilterDatabase" localSheetId="5" hidden="1">'APOIO ABC'!$B$1:$P$844</definedName>
    <definedName name="_xlnm._FilterDatabase" localSheetId="10" hidden="1">'BOCA DE LOBO'!$A$2:$P$94</definedName>
    <definedName name="_xlnm._FilterDatabase" localSheetId="4" hidden="1">'CLASSIFICAÇÃO ABC'!$A$7:$N$149</definedName>
    <definedName name="_xlnm._FilterDatabase" localSheetId="6" hidden="1">CPUs!$A$4:$J$5339</definedName>
    <definedName name="_xlnm._FilterDatabase" localSheetId="7" hidden="1">'MEM. CÁLC'!$A$5:$O$5765</definedName>
    <definedName name="_xlnm._FilterDatabase" localSheetId="1" hidden="1">ORÇAMENTO!$A$4:$N$1046</definedName>
    <definedName name="_xlnm._FilterDatabase" localSheetId="9" hidden="1">'Planilha Hidráulica'!$A$7:$AB$30</definedName>
    <definedName name="_xlnm._FilterDatabase" localSheetId="8" hidden="1">QUANTBL!$A$4:$DD$360</definedName>
    <definedName name="_xlnm._FilterDatabase" localSheetId="13" hidden="1">Quantitativos!$B$4:$DQ$35</definedName>
    <definedName name="_Order1" hidden="1">255</definedName>
    <definedName name="_Order2" hidden="1">255</definedName>
    <definedName name="AAA" localSheetId="7" hidden="1">{#N/A,#N/A,FALSE,"SYSOC";#N/A,#N/A,FALSE,"RESU-GESTION";#N/A,#N/A,FALSE,"EVOL-MNA";#N/A,#N/A,FALSE,"VTAS-ANALI";#N/A,#N/A,FALSE,"ANALI-GSFIJOS";#N/A,#N/A,FALSE,"DETA-RUBROS";#N/A,#N/A,FALSE,"ANALI-CNF";#N/A,#N/A,FALSE,"BILAN";#N/A,#N/A,FALSE,"TAB_FIN";#N/A,#N/A,FALSE,"IND_ECO"}</definedName>
    <definedName name="AAA" hidden="1">{#N/A,#N/A,FALSE,"SYSOC";#N/A,#N/A,FALSE,"RESU-GESTION";#N/A,#N/A,FALSE,"EVOL-MNA";#N/A,#N/A,FALSE,"VTAS-ANALI";#N/A,#N/A,FALSE,"ANALI-GSFIJOS";#N/A,#N/A,FALSE,"DETA-RUBROS";#N/A,#N/A,FALSE,"ANALI-CNF";#N/A,#N/A,FALSE,"BILAN";#N/A,#N/A,FALSE,"TAB_FIN";#N/A,#N/A,FALSE,"IND_ECO"}</definedName>
    <definedName name="_xlnm.Print_Area" localSheetId="12">'ANEXO II - MOVIMENTAÇÃO DE SOLO'!$A$1:$I$52</definedName>
    <definedName name="_xlnm.Print_Area" localSheetId="17">'BDI''S'!$A$1:$I$136</definedName>
    <definedName name="_xlnm.Print_Area" localSheetId="14">CAPA_AMBIENTAL!$B$1:$N$54</definedName>
    <definedName name="_xlnm.Print_Area" localSheetId="4">'CLASSIFICAÇÃO ABC'!$A$1:$N$150</definedName>
    <definedName name="_xlnm.Print_Area" localSheetId="11">CRONOGRAMA!$A$1:$T$28</definedName>
    <definedName name="_xlnm.Print_Area" localSheetId="18">CRONOGRAMA_AMBIENTAL!$A$1:$H$30</definedName>
    <definedName name="_xlnm.Print_Area" localSheetId="16">MAPA_COTAÇÕES!$A$1:$S$24</definedName>
    <definedName name="_xlnm.Print_Area" localSheetId="7">'MEM. CÁLC'!$A$1:$O$5765</definedName>
    <definedName name="_xlnm.Print_Area" localSheetId="1">ORÇAMENTO!$A$1:$K$1050</definedName>
    <definedName name="_xlnm.Print_Area" localSheetId="2">'ORÇAMENTO AMBIENTAL'!$A$1:$J$25</definedName>
    <definedName name="_xlnm.Print_Area" localSheetId="9">'Planilha Hidráulica'!$B$1:$V$30</definedName>
    <definedName name="_xlnm.Print_Area" localSheetId="0">RESUMO!$A$1:$I$19</definedName>
    <definedName name="_xlnm.Print_Area" localSheetId="15">RESUMO_AMBIENTAL!$A$1:$F$27</definedName>
    <definedName name="BBB" localSheetId="7" hidden="1">{#N/A,#N/A,FALSE,"SYSOC";#N/A,#N/A,FALSE,"RESU-GESTION";#N/A,#N/A,FALSE,"EVOL-MNA";#N/A,#N/A,FALSE,"VTAS-ANALI";#N/A,#N/A,FALSE,"ANALI-GSFIJOS";#N/A,#N/A,FALSE,"DETA-RUBROS";#N/A,#N/A,FALSE,"ANALI-CNF";#N/A,#N/A,FALSE,"BILAN";#N/A,#N/A,FALSE,"TAB_FIN";#N/A,#N/A,FALSE,"IND_ECO"}</definedName>
    <definedName name="BBB" hidden="1">{#N/A,#N/A,FALSE,"SYSOC";#N/A,#N/A,FALSE,"RESU-GESTION";#N/A,#N/A,FALSE,"EVOL-MNA";#N/A,#N/A,FALSE,"VTAS-ANALI";#N/A,#N/A,FALSE,"ANALI-GSFIJOS";#N/A,#N/A,FALSE,"DETA-RUBROS";#N/A,#N/A,FALSE,"ANALI-CNF";#N/A,#N/A,FALSE,"BILAN";#N/A,#N/A,FALSE,"TAB_FIN";#N/A,#N/A,FALSE,"IND_ECO"}</definedName>
    <definedName name="EVOLUTION_DES_ROI" localSheetId="7" hidden="1">{#N/A,#N/A,FALSE,"SYSOC";#N/A,#N/A,FALSE,"RESU-GESTION";#N/A,#N/A,FALSE,"EVOL-MNA";#N/A,#N/A,FALSE,"VTAS-ANALI";#N/A,#N/A,FALSE,"ANALI-GSFIJOS";#N/A,#N/A,FALSE,"DETA-RUBROS";#N/A,#N/A,FALSE,"ANALI-CNF";#N/A,#N/A,FALSE,"BILAN";#N/A,#N/A,FALSE,"TAB_FIN";#N/A,#N/A,FALSE,"IND_ECO"}</definedName>
    <definedName name="EVOLUTION_DES_ROI" hidden="1">{#N/A,#N/A,FALSE,"SYSOC";#N/A,#N/A,FALSE,"RESU-GESTION";#N/A,#N/A,FALSE,"EVOL-MNA";#N/A,#N/A,FALSE,"VTAS-ANALI";#N/A,#N/A,FALSE,"ANALI-GSFIJOS";#N/A,#N/A,FALSE,"DETA-RUBROS";#N/A,#N/A,FALSE,"ANALI-CNF";#N/A,#N/A,FALSE,"BILAN";#N/A,#N/A,FALSE,"TAB_FIN";#N/A,#N/A,FALSE,"IND_ECO"}</definedName>
    <definedName name="NCOMPOSICOES">21</definedName>
    <definedName name="NCOTACOES">15</definedName>
    <definedName name="NEMPRESAS">15</definedName>
    <definedName name="NINDICES">3</definedName>
    <definedName name="QuadroResumoTotal">"Grupo 326"</definedName>
    <definedName name="QuadroTotaisGamaProduto">"Grupo 350"</definedName>
    <definedName name="_xlnm.Print_Titles" localSheetId="4">'CLASSIFICAÇÃO ABC'!$1:$6</definedName>
    <definedName name="_xlnm.Print_Titles" localSheetId="6">CPUs!$1:$5</definedName>
    <definedName name="_xlnm.Print_Titles" localSheetId="7">'MEM. CÁLC'!$1:$5</definedName>
    <definedName name="_xlnm.Print_Titles" localSheetId="1">ORÇAMENTO!$1:$4</definedName>
    <definedName name="_xlnm.Print_Titles" localSheetId="9">'Planilha Hidráulica'!$1:$8</definedName>
    <definedName name="TotaisGamaProduto">"Grupo 350"</definedName>
    <definedName name="Toto" localSheetId="7" hidden="1">{#N/A,#N/A,FALSE,"SYSOC";#N/A,#N/A,FALSE,"RESU-GESTION";#N/A,#N/A,FALSE,"EVOL-MNA";#N/A,#N/A,FALSE,"VTAS-ANALI";#N/A,#N/A,FALSE,"ANALI-GSFIJOS";#N/A,#N/A,FALSE,"DETA-RUBROS";#N/A,#N/A,FALSE,"ANALI-CNF";#N/A,#N/A,FALSE,"BILAN";#N/A,#N/A,FALSE,"TAB_FIN";#N/A,#N/A,FALSE,"IND_ECO"}</definedName>
    <definedName name="Toto" hidden="1">{#N/A,#N/A,FALSE,"SYSOC";#N/A,#N/A,FALSE,"RESU-GESTION";#N/A,#N/A,FALSE,"EVOL-MNA";#N/A,#N/A,FALSE,"VTAS-ANALI";#N/A,#N/A,FALSE,"ANALI-GSFIJOS";#N/A,#N/A,FALSE,"DETA-RUBROS";#N/A,#N/A,FALSE,"ANALI-CNF";#N/A,#N/A,FALSE,"BILAN";#N/A,#N/A,FALSE,"TAB_FIN";#N/A,#N/A,FALSE,"IND_ECO"}</definedName>
    <definedName name="wrn.SOCIEDAD." localSheetId="7" hidden="1">{#N/A,#N/A,FALSE,"SYSOC";#N/A,#N/A,FALSE,"RESU-GESTION";#N/A,#N/A,FALSE,"EVOL-MNA";#N/A,#N/A,FALSE,"VTAS-ANALI";#N/A,#N/A,FALSE,"ANALI-GSFIJOS";#N/A,#N/A,FALSE,"DETA-RUBROS";#N/A,#N/A,FALSE,"ANALI-CNF";#N/A,#N/A,FALSE,"BILAN";#N/A,#N/A,FALSE,"TAB_FIN";#N/A,#N/A,FALSE,"IND_ECO"}</definedName>
    <definedName name="wrn.SOCIEDAD." hidden="1">{#N/A,#N/A,FALSE,"SYSOC";#N/A,#N/A,FALSE,"RESU-GESTION";#N/A,#N/A,FALSE,"EVOL-MNA";#N/A,#N/A,FALSE,"VTAS-ANALI";#N/A,#N/A,FALSE,"ANALI-GSFIJOS";#N/A,#N/A,FALSE,"DETA-RUBROS";#N/A,#N/A,FALSE,"ANALI-CNF";#N/A,#N/A,FALSE,"BILAN";#N/A,#N/A,FALSE,"TAB_FIN";#N/A,#N/A,FALSE,"IND_ECO"}</definedName>
    <definedName name="Z_0096A1DA_A29A_4ED7_B9D0_F536A4A8B08F_.wvu.FilterData" localSheetId="7" hidden="1">'MEM. CÁLC'!$A$5:$AM$5</definedName>
    <definedName name="Z_026951F2_36EE_40CA_9B6C_61E04811BE64_.wvu.FilterData" localSheetId="7" hidden="1">'MEM. CÁLC'!$A$5:$AM$5</definedName>
    <definedName name="Z_04069657_63E1_41D8_9637_D873430C4928_.wvu.FilterData" localSheetId="7" hidden="1">'MEM. CÁLC'!$A$5:$AM$5</definedName>
    <definedName name="Z_0429FB54_4E8A_401C_A003_B2E639BB89D5_.wvu.FilterData" localSheetId="7" hidden="1">'MEM. CÁLC'!$A$5:$AM$5</definedName>
    <definedName name="Z_05CF3B02_166E_4A76_A54C_B55E563CE0A8_.wvu.FilterData" localSheetId="7" hidden="1">'MEM. CÁLC'!#REF!</definedName>
    <definedName name="Z_06346B24_0780_4E73_83A6_C5A0A3106F3A_.wvu.FilterData" localSheetId="7" hidden="1">'MEM. CÁLC'!$A$5:$AM$5</definedName>
    <definedName name="Z_0637367E_2AC2_438E_9A9E_9B0463CA0A81_.wvu.FilterData" localSheetId="7" hidden="1">'MEM. CÁLC'!$A$5:$S$319</definedName>
    <definedName name="Z_064D3DA7_8148_4B4E_82C0_2A174BF3BFAA_.wvu.FilterData" localSheetId="7" hidden="1">'MEM. CÁLC'!$A$5:$AM$5</definedName>
    <definedName name="Z_06A47BB8_EDD3_4752_8F03_47B0E84910BC_.wvu.FilterData" localSheetId="7" hidden="1">'MEM. CÁLC'!$A$5:$AM$5</definedName>
    <definedName name="Z_07C28BDA_8897_4D18_80D6_98E2FF2F45D0_.wvu.FilterData" localSheetId="7" hidden="1">'MEM. CÁLC'!$A$5:$AM$5</definedName>
    <definedName name="Z_07EAEA41_DE57_48BE_96C5_D00945ADB9C5_.wvu.FilterData" localSheetId="7" hidden="1">'MEM. CÁLC'!$A$5:$AM$5</definedName>
    <definedName name="Z_0A2C8AA2_7CCE_4ABC_9911_858C380CDD03_.wvu.FilterData" localSheetId="7" hidden="1">'MEM. CÁLC'!$A$318:$O$1475</definedName>
    <definedName name="Z_0ADF9435_AE01_468F_8E59_7EECD6F9390C_.wvu.FilterData" localSheetId="7" hidden="1">'MEM. CÁLC'!$A$318:$O$1475</definedName>
    <definedName name="Z_0B9D33D6_BEE7_4F6A_8858_75B1F9451C60_.wvu.FilterData" localSheetId="7" hidden="1">'MEM. CÁLC'!$A$5:$AM$5</definedName>
    <definedName name="Z_0BF64E1E_AE23_4F7D_886D_AF8D613162DE_.wvu.FilterData" localSheetId="7" hidden="1">'MEM. CÁLC'!$A$5:$AM$5</definedName>
    <definedName name="Z_0C34CB89_824E_4D6B_932F_3A9F80C7EF6C_.wvu.FilterData" localSheetId="7" hidden="1">'MEM. CÁLC'!$A$5:$AM$5</definedName>
    <definedName name="Z_0CB0BDA5_AF70_4287_B24B_CE97B9CCC7B0_.wvu.FilterData" localSheetId="7" hidden="1">'MEM. CÁLC'!$A$5:$AM$5</definedName>
    <definedName name="Z_0DCD0423_A7DB_451B_9C85_3B01023B6B12_.wvu.FilterData" localSheetId="7" hidden="1">'MEM. CÁLC'!$A$5:$S$1475</definedName>
    <definedName name="Z_0E219452_2CDB_4041_93D5_0AB899F4E9B8_.wvu.FilterData" localSheetId="7" hidden="1">'MEM. CÁLC'!$A$5:$AM$5</definedName>
    <definedName name="Z_0ED940DE_5D2E_4FB9_B508_3BBAA48DF22A_.wvu.FilterData" localSheetId="7" hidden="1">'MEM. CÁLC'!$A$5:$S$319</definedName>
    <definedName name="Z_0EF5A195_1579_4F75_BE0F_BF51BEF38037_.wvu.FilterData" localSheetId="7" hidden="1">'MEM. CÁLC'!$A$5:$AM$5</definedName>
    <definedName name="Z_0F122672_8295_45AF_9FCE_0CC0392414D9_.wvu.FilterData" localSheetId="7" hidden="1">'MEM. CÁLC'!$A$5:$AM$5</definedName>
    <definedName name="Z_0F13265D_BAFC_440D_BECF_9C46C52FFE19_.wvu.FilterData" localSheetId="7" hidden="1">'MEM. CÁLC'!$A$5:$AM$5</definedName>
    <definedName name="Z_0FC24C03_2DC7_45F4_823B_0E6E7C815581_.wvu.FilterData" localSheetId="7" hidden="1">'MEM. CÁLC'!$A$5:$AM$5</definedName>
    <definedName name="Z_1192FD2F_87DE_4518_858E_FF7475AEDF0D_.wvu.FilterData" localSheetId="7" hidden="1">'MEM. CÁLC'!$A$318:$O$1475</definedName>
    <definedName name="Z_127DE025_B217_41E5_8E43_F21C809B4EDF_.wvu.FilterData" localSheetId="7" hidden="1">'MEM. CÁLC'!$A$5:$AM$5</definedName>
    <definedName name="Z_12A4BC04_0C15_4371_8078_D8529CA88BBE_.wvu.FilterData" localSheetId="7" hidden="1">'MEM. CÁLC'!$A$5:$AM$5</definedName>
    <definedName name="Z_14209FB3_77E5_44B1_9CEE_4790591F74B3_.wvu.FilterData" localSheetId="7" hidden="1">'MEM. CÁLC'!$A$5:$AM$5</definedName>
    <definedName name="Z_14C1727B_D258_4298_9288_3AD0EE56B3BC_.wvu.FilterData" localSheetId="7" hidden="1">'MEM. CÁLC'!$A$5:$AM$5</definedName>
    <definedName name="Z_1A46FDA5_B9EF_42F5_9918_2005CF9964E3_.wvu.FilterData" localSheetId="7" hidden="1">'MEM. CÁLC'!$A$5:$AM$5</definedName>
    <definedName name="Z_1C2ADCE5_49F9_4C68_A85E_8D84A906CB95_.wvu.FilterData" localSheetId="7" hidden="1">'MEM. CÁLC'!$A$5:$AM$5</definedName>
    <definedName name="Z_1D816EFF_5693_483E_BCB0_266AD07E968D_.wvu.FilterData" localSheetId="7" hidden="1">'MEM. CÁLC'!$A$5:$AM$5</definedName>
    <definedName name="Z_1EEC88D7_ABE0_46D4_80E2_F1C4A2E95D0B_.wvu.FilterData" localSheetId="7" hidden="1">'MEM. CÁLC'!$A$5:$AM$5</definedName>
    <definedName name="Z_1F093756_A2CE_4010_B92B_2DA33CC9D406_.wvu.FilterData" localSheetId="7" hidden="1">'MEM. CÁLC'!$A$5:$AM$5</definedName>
    <definedName name="Z_1FD019E1_81A3_42C4_86D7_586BB89FB609_.wvu.FilterData" localSheetId="7" hidden="1">'MEM. CÁLC'!$A$5:$AM$5</definedName>
    <definedName name="Z_201A8B87_7875_4397_AAB6_7106DFBC9802_.wvu.FilterData" localSheetId="7" hidden="1">'MEM. CÁLC'!$A$5:$AM$5</definedName>
    <definedName name="Z_210E3329_E1B8_4CF2_B86D_9C8A8CA35D61_.wvu.FilterData" localSheetId="7" hidden="1">'MEM. CÁLC'!$A$5:$AM$5</definedName>
    <definedName name="Z_21203A70_1CFD_4DC9_951D_A34E1CB9CD8B_.wvu.FilterData" localSheetId="7" hidden="1">'MEM. CÁLC'!$A$5:$AM$5</definedName>
    <definedName name="Z_22E02B08_F3B2_4044_ABBA_033B3138A409_.wvu.FilterData" localSheetId="7" hidden="1">'MEM. CÁLC'!$A$5:$AM$5</definedName>
    <definedName name="Z_24051926_E98A_409B_AC52_E05095F548A2_.wvu.FilterData" localSheetId="7" hidden="1">'MEM. CÁLC'!$A$5:$S$1475</definedName>
    <definedName name="Z_246E5144_E2B6_4D49_84D8_9180B00A6EAE_.wvu.FilterData" localSheetId="7" hidden="1">'MEM. CÁLC'!$A$5:$AM$5</definedName>
    <definedName name="Z_24C86C10_95AB_4A51_93DC_5F46DBB0E670_.wvu.FilterData" localSheetId="7" hidden="1">'MEM. CÁLC'!$A$5:$AM$5</definedName>
    <definedName name="Z_257A482E_63F9_4FFC_8DAA_FF97D126A7CB_.wvu.FilterData" localSheetId="7" hidden="1">'MEM. CÁLC'!$A$5:$AM$5</definedName>
    <definedName name="Z_26A6DDA1_DFFE_44A8_8B35_13FFDF98B2F2_.wvu.FilterData" localSheetId="7" hidden="1">'MEM. CÁLC'!$A$5:$AM$5</definedName>
    <definedName name="Z_26F66198_9F41_4EDA_A293_1CE91567D0D4_.wvu.FilterData" localSheetId="7" hidden="1">'MEM. CÁLC'!$A$5:$AM$5</definedName>
    <definedName name="Z_2799A083_3A96_46B3_B34F_D34A71FF787F_.wvu.FilterData" localSheetId="7" hidden="1">'MEM. CÁLC'!$A$5:$AM$5</definedName>
    <definedName name="Z_284C5EE5_DE6F_42AE_94BF_DE154EEAEAAB_.wvu.FilterData" localSheetId="7" hidden="1">'MEM. CÁLC'!$A$5:$S$319</definedName>
    <definedName name="Z_284C5EE5_DE6F_42AE_94BF_DE154EEAEAAB_.wvu.PrintArea" localSheetId="7" hidden="1">'MEM. CÁLC'!$A$1:$O$5</definedName>
    <definedName name="Z_284C5EE5_DE6F_42AE_94BF_DE154EEAEAAB_.wvu.PrintTitles" localSheetId="7" hidden="1">'MEM. CÁLC'!$1:$5</definedName>
    <definedName name="Z_2A157E2C_18D0_412E_B198_D4477F28A5DA_.wvu.FilterData" localSheetId="7" hidden="1">'MEM. CÁLC'!$A$5:$AM$5</definedName>
    <definedName name="Z_2A481738_6975_432E_8B77_3C1E63336286_.wvu.FilterData" localSheetId="7" hidden="1">'MEM. CÁLC'!$A$5:$AM$5</definedName>
    <definedName name="Z_2ADA5190_E859_4D6E_9378_F9314B74C67F_.wvu.FilterData" localSheetId="7" hidden="1">'MEM. CÁLC'!$A$318:$O$1475</definedName>
    <definedName name="Z_2BB6C3F7_4371_4A06_B348_205C21509416_.wvu.FilterData" localSheetId="7" hidden="1">'MEM. CÁLC'!$A$318:$O$1475</definedName>
    <definedName name="Z_2CCF7016_9CFB_487F_8FF1_55FD91ED4101_.wvu.FilterData" localSheetId="7" hidden="1">'MEM. CÁLC'!$A$5:$AM$5</definedName>
    <definedName name="Z_2E365E95_FD2A_41AD_A6A1_7CD58504191B_.wvu.FilterData" localSheetId="7" hidden="1">'MEM. CÁLC'!$A$5:$S$1475</definedName>
    <definedName name="Z_2E365E95_FD2A_41AD_A6A1_7CD58504191B_.wvu.PrintArea" localSheetId="7" hidden="1">'MEM. CÁLC'!$A$1:$O$5</definedName>
    <definedName name="Z_2E365E95_FD2A_41AD_A6A1_7CD58504191B_.wvu.PrintTitles" localSheetId="7" hidden="1">'MEM. CÁLC'!$1:$5</definedName>
    <definedName name="Z_2ED6A5C0_E7AF_456D_A89E_D57193CE6A2D_.wvu.FilterData" localSheetId="7" hidden="1">'MEM. CÁLC'!$A$5:$S$5</definedName>
    <definedName name="Z_2F75BE83_2AB4_4475_BDA7_1EF1BC69B0DF_.wvu.FilterData" localSheetId="7" hidden="1">'MEM. CÁLC'!$A$5:$AM$5</definedName>
    <definedName name="Z_2F8F7210_7597_45E2_BDAA_B24E27E620FB_.wvu.FilterData" localSheetId="7" hidden="1">'MEM. CÁLC'!$A$5:$AM$5</definedName>
    <definedName name="Z_2FF7BCE5_C098_4784_B09F_DD5F1BB0B62B_.wvu.FilterData" localSheetId="7" hidden="1">'MEM. CÁLC'!$A$5:$AM$5</definedName>
    <definedName name="Z_3062B931_56F5_4A12_9D92_BB27669949EA_.wvu.FilterData" localSheetId="7" hidden="1">'MEM. CÁLC'!$A$5:$AM$5</definedName>
    <definedName name="Z_3397623A_002A_4186_9122_ED51AA68FAA3_.wvu.FilterData" localSheetId="7" hidden="1">'MEM. CÁLC'!$A$5:$AM$5</definedName>
    <definedName name="Z_34E045B2_A52B_4EEE_ABD1_7BD7F59106A9_.wvu.FilterData" localSheetId="7" hidden="1">'MEM. CÁLC'!$A$5:$AM$5</definedName>
    <definedName name="Z_34E61F94_5A1D_4F14_8D44_877ED9F090E8_.wvu.FilterData" localSheetId="7" hidden="1">'MEM. CÁLC'!$A$5:$AM$5</definedName>
    <definedName name="Z_351BD602_DE22_4A71_8FCC_803E20D497A4_.wvu.FilterData" localSheetId="7" hidden="1">'MEM. CÁLC'!$A$5:$AM$5</definedName>
    <definedName name="Z_354F1612_9833_4FD3_8A5B_97AFDDF57F82_.wvu.FilterData" localSheetId="7" hidden="1">'MEM. CÁLC'!$A$5:$AM$5</definedName>
    <definedName name="Z_375A5F89_9B91_44C1_BC9D_765BDF89CBD4_.wvu.FilterData" localSheetId="7" hidden="1">'MEM. CÁLC'!$A$5:$AM$5</definedName>
    <definedName name="Z_37A174C2_CD2E_417B_9C24_B319775E5FEF_.wvu.FilterData" localSheetId="7" hidden="1">'MEM. CÁLC'!$A$5:$AM$5</definedName>
    <definedName name="Z_39F763DE_B297_4CEE_A864_70C00E0C5240_.wvu.FilterData" localSheetId="7" hidden="1">'MEM. CÁLC'!$A$5:$AM$5</definedName>
    <definedName name="Z_3B22DDE2_FD59_408F_B51D_DD51D80CC291_.wvu.FilterData" localSheetId="7" hidden="1">'MEM. CÁLC'!$A$5:$AM$5</definedName>
    <definedName name="Z_3EFC18B0_CF35_4639_BC20_FA4BDA0AB88E_.wvu.FilterData" localSheetId="7" hidden="1">'MEM. CÁLC'!$A$318:$O$1475</definedName>
    <definedName name="Z_3EFC18B0_CF35_4639_BC20_FA4BDA0AB88E_.wvu.PrintArea" localSheetId="7" hidden="1">'MEM. CÁLC'!$A$1:$O$1475</definedName>
    <definedName name="Z_3EFC18B0_CF35_4639_BC20_FA4BDA0AB88E_.wvu.PrintTitles" localSheetId="7" hidden="1">'MEM. CÁLC'!$1:$5</definedName>
    <definedName name="Z_418BF6D8_05BA_4781_9FCD_4CD0ADC0BB0B_.wvu.FilterData" localSheetId="7" hidden="1">'MEM. CÁLC'!$A$5:$AM$5</definedName>
    <definedName name="Z_426FD713_75F2_4E51_9E72_263765551331_.wvu.FilterData" localSheetId="7" hidden="1">'MEM. CÁLC'!$A$5:$AM$5</definedName>
    <definedName name="Z_42B082D2_9A73_4A0B_9094_7ED47902BA3E_.wvu.FilterData" localSheetId="7" hidden="1">'MEM. CÁLC'!$A$5:$AM$5</definedName>
    <definedName name="Z_42C63780_2B64_49F3_A0EE_7AA22BC063A5_.wvu.FilterData" localSheetId="7" hidden="1">'MEM. CÁLC'!$A$5:$AM$5</definedName>
    <definedName name="Z_439CB025_8515_492D_B751_7E021D6A0B90_.wvu.FilterData" localSheetId="7" hidden="1">'MEM. CÁLC'!$A$5:$AM$5</definedName>
    <definedName name="Z_440082B8_B8E1_4698_8CA9_BBFF46A3BD91_.wvu.FilterData" localSheetId="7" hidden="1">'MEM. CÁLC'!$A$5:$AM$5</definedName>
    <definedName name="Z_4856D6D5_5B66_4D2E_A667_06037CB787A4_.wvu.FilterData" localSheetId="7" hidden="1">'MEM. CÁLC'!$A$5:$AM$5</definedName>
    <definedName name="Z_48F93F67_3491_40B9_953F_DDDFD035B25D_.wvu.FilterData" localSheetId="7" hidden="1">'MEM. CÁLC'!$A$5:$AM$5</definedName>
    <definedName name="Z_49E6BC8E_A2F6_4D91_8B72_A984F0C4285F_.wvu.FilterData" localSheetId="7" hidden="1">'MEM. CÁLC'!$A$5:$AM$5</definedName>
    <definedName name="Z_4A64000D_624E_4EBA_94AA_8E901D8DA9B7_.wvu.FilterData" localSheetId="7" hidden="1">'MEM. CÁLC'!$A$5:$AM$5</definedName>
    <definedName name="Z_4AC96E9A_89AC_4B0E_A526_375A81DF2C22_.wvu.FilterData" localSheetId="7" hidden="1">'MEM. CÁLC'!$A$5:$S$319</definedName>
    <definedName name="Z_4AEA0C1A_DA07_47E5_96BD_BE0C44F48B0D_.wvu.FilterData" localSheetId="7" hidden="1">'MEM. CÁLC'!$A$5:$AM$5</definedName>
    <definedName name="Z_4B364C92_3FC4_4F79_A740_105A89C1B08A_.wvu.FilterData" localSheetId="7" hidden="1">'MEM. CÁLC'!$A$5:$AM$5</definedName>
    <definedName name="Z_4B90659F_0B35_4849_93EA_16BB8169F5AD_.wvu.FilterData" localSheetId="7" hidden="1">'MEM. CÁLC'!$A$318:$O$1475</definedName>
    <definedName name="Z_4BF571FF_2E02_40EA_AEF9_7CB2510B665C_.wvu.FilterData" localSheetId="7" hidden="1">'MEM. CÁLC'!$A$5:$AM$5</definedName>
    <definedName name="Z_4C6166F9_A7A6_4BAB_85DD_45F79954BA51_.wvu.FilterData" localSheetId="7" hidden="1">'MEM. CÁLC'!$A$5:$AM$5</definedName>
    <definedName name="Z_4D0A32A5_BAC1_4F92_80C7_C7F436E726B9_.wvu.FilterData" localSheetId="7" hidden="1">'MEM. CÁLC'!$A$5:$AM$5</definedName>
    <definedName name="Z_4DE54841_4FE5_413D_83F4_62BF5F65EC83_.wvu.FilterData" localSheetId="7" hidden="1">'MEM. CÁLC'!$A$5:$S$1475</definedName>
    <definedName name="Z_4EF95376_5CFF_4A37_9CB6_9423C21328E2_.wvu.FilterData" localSheetId="7" hidden="1">'MEM. CÁLC'!$A$5:$AM$5</definedName>
    <definedName name="Z_4F612F88_7FDC_4CE2_8CDA_45664190843F_.wvu.FilterData" localSheetId="7" hidden="1">'MEM. CÁLC'!$A$5:$AM$5</definedName>
    <definedName name="Z_521EEEC2_E006_44C8_AEF7_97EFD9279822_.wvu.FilterData" localSheetId="7" hidden="1">'MEM. CÁLC'!$A$5:$AM$5</definedName>
    <definedName name="Z_5221E923_AC04_46EB_9031_6A964E3E6BBE_.wvu.FilterData" localSheetId="7" hidden="1">'MEM. CÁLC'!$A$318:$O$1475</definedName>
    <definedName name="Z_5247FD20_B4FF_414A_A6E8_D0FA375B2F98_.wvu.FilterData" localSheetId="7" hidden="1">'MEM. CÁLC'!$A$5:$AM$5</definedName>
    <definedName name="Z_529F8022_6B82_4596_B703_133439CF46B6_.wvu.FilterData" localSheetId="7" hidden="1">'MEM. CÁLC'!$A$5:$S$5</definedName>
    <definedName name="Z_52BB06E7_5651_4406_8768_5DAFF63BC170_.wvu.FilterData" localSheetId="7" hidden="1">'MEM. CÁLC'!$A$318:$O$1475</definedName>
    <definedName name="Z_53495435_676A_4A2D_8913_E55724AF9845_.wvu.FilterData" localSheetId="7" hidden="1">'MEM. CÁLC'!$A$5:$AM$5</definedName>
    <definedName name="Z_534F4DC6_012A_4737_91FD_F03F77CFEDE0_.wvu.FilterData" localSheetId="7" hidden="1">'MEM. CÁLC'!$A$5:$AM$5</definedName>
    <definedName name="Z_53A1A538_D032_47E5_AB77_C0564F29057E_.wvu.FilterData" localSheetId="7" hidden="1">'MEM. CÁLC'!$A$5:$AM$5</definedName>
    <definedName name="Z_53B2165E_3557_48CE_9FB9_88770F0A5382_.wvu.FilterData" localSheetId="7" hidden="1">'MEM. CÁLC'!$A$5:$AM$5</definedName>
    <definedName name="Z_540BCFEB_1C50_4289_ACBC_2164BFF4777A_.wvu.FilterData" localSheetId="7" hidden="1">'MEM. CÁLC'!$A$5:$AM$5</definedName>
    <definedName name="Z_54334851_9FE8_4216_85CC_2E04A9DEF842_.wvu.FilterData" localSheetId="7" hidden="1">'MEM. CÁLC'!$A$318:$O$1475</definedName>
    <definedName name="Z_56BCF7DB_1A72_4400_B305_7D919CB7E731_.wvu.FilterData" localSheetId="7" hidden="1">'MEM. CÁLC'!$A$5:$AM$5</definedName>
    <definedName name="Z_56E49A0C_95B9_4936_90D3_502D7188737B_.wvu.FilterData" localSheetId="7" hidden="1">'MEM. CÁLC'!$A$5:$AM$5</definedName>
    <definedName name="Z_578A47FE_A91D_41CE_A042_96B50360A53F_.wvu.FilterData" localSheetId="7" hidden="1">'MEM. CÁLC'!$A$5:$AM$5</definedName>
    <definedName name="Z_59ABE359_0AEF_4341_8EAC_6DA0D251B9FA_.wvu.FilterData" localSheetId="7" hidden="1">'MEM. CÁLC'!$A$5:$AM$5</definedName>
    <definedName name="Z_59D21AE4_6F97_48A5_94A5_D6FC5B4F0C69_.wvu.FilterData" localSheetId="7" hidden="1">'MEM. CÁLC'!$A$5:$AM$5</definedName>
    <definedName name="Z_5A3AE910_3410_490B_8F3C_2A97D1B45053_.wvu.FilterData" localSheetId="7" hidden="1">'MEM. CÁLC'!$A$5:$AM$5</definedName>
    <definedName name="Z_5BEC0A22_3FCD_4E7E_8370_7F75A0E5AC4F_.wvu.FilterData" localSheetId="7" hidden="1">'MEM. CÁLC'!$A$5:$AM$5</definedName>
    <definedName name="Z_5E46BB0C_42DE_4A59_8864_BDCED1322EF7_.wvu.FilterData" localSheetId="7" hidden="1">'MEM. CÁLC'!$A$5:$AM$5</definedName>
    <definedName name="Z_5F3780AD_C9EC_4164_8747_E2D5D83D0866_.wvu.FilterData" localSheetId="7" hidden="1">'MEM. CÁLC'!$A$5:$AM$5</definedName>
    <definedName name="Z_6000AB56_277D_4A72_8669_6C51FEAB921A_.wvu.FilterData" localSheetId="7" hidden="1">'MEM. CÁLC'!$A$5:$AM$5</definedName>
    <definedName name="Z_6051EF5C_FA8B_4F90_812E_CC7688477CF4_.wvu.FilterData" localSheetId="7" hidden="1">'MEM. CÁLC'!$A$5:$AM$5</definedName>
    <definedName name="Z_60556EE0_95BF_45C4_94CA_95F3508966D2_.wvu.FilterData" localSheetId="7" hidden="1">'MEM. CÁLC'!$A$5:$AM$5</definedName>
    <definedName name="Z_6234D95C_8E6D_42DD_B99F_63AE9FF5EAE2_.wvu.FilterData" localSheetId="7" hidden="1">'MEM. CÁLC'!$A$5:$AM$5</definedName>
    <definedName name="Z_651075FF_F6C6_42A8_BDDB_3E77A54FED9E_.wvu.FilterData" localSheetId="7" hidden="1">'MEM. CÁLC'!$A$5:$AM$5</definedName>
    <definedName name="Z_6521F1C6_0B7E_4732_9DCE_CD40036CA8CF_.wvu.FilterData" localSheetId="7" hidden="1">'MEM. CÁLC'!$A$5:$AM$5</definedName>
    <definedName name="Z_658A080A_7545_479B_930A_6A24589E9ADB_.wvu.FilterData" localSheetId="7" hidden="1">'MEM. CÁLC'!$A$5:$AM$5</definedName>
    <definedName name="Z_66B8D0BA_7676_49B1_BEFD_7A5DF07B2C65_.wvu.FilterData" localSheetId="7" hidden="1">'MEM. CÁLC'!$A$5:$AM$5</definedName>
    <definedName name="Z_66D7F860_1B75_4277_B676_188BF257A918_.wvu.FilterData" localSheetId="7" hidden="1">'MEM. CÁLC'!$A$5:$AM$5</definedName>
    <definedName name="Z_685AF419_5D70_45C4_A823_937BEF49630F_.wvu.FilterData" localSheetId="7" hidden="1">'MEM. CÁLC'!$A$5:$AM$5</definedName>
    <definedName name="Z_69D1D2EA_120F_4061_8E3D_66C7BDABD384_.wvu.FilterData" localSheetId="7" hidden="1">'MEM. CÁLC'!$A$5:$AM$5</definedName>
    <definedName name="Z_6A56C3A4_B341_40FF_A38B_47F0A04F24AB_.wvu.FilterData" localSheetId="7" hidden="1">'MEM. CÁLC'!$A$5:$AM$5</definedName>
    <definedName name="Z_6A82BAD4_930D_4FF6_B74A_05144A2FEBDF_.wvu.FilterData" localSheetId="7" hidden="1">'MEM. CÁLC'!$A$5:$AM$5</definedName>
    <definedName name="Z_6ABED79F_D65B_4E4F_A82B_3656EF2106C3_.wvu.FilterData" localSheetId="7" hidden="1">'MEM. CÁLC'!$A$5:$S$319</definedName>
    <definedName name="Z_6AEBC6FF_9736_4DD6_A021_8DCE6767CE74_.wvu.FilterData" localSheetId="7" hidden="1">'MEM. CÁLC'!$A$5:$S$1475</definedName>
    <definedName name="Z_6B605BEC_2C76_4034_A7F0_5E60EBE5EF8D_.wvu.FilterData" localSheetId="7" hidden="1">'MEM. CÁLC'!$A$5:$AM$5</definedName>
    <definedName name="Z_6B8FBFDA_B0CE_45BE_8703_589C8FA600B5_.wvu.FilterData" localSheetId="7" hidden="1">'MEM. CÁLC'!$A$318:$O$1475</definedName>
    <definedName name="Z_6C39E3BB_783E_484B_AD0A_DC5720E8ED0A_.wvu.FilterData" localSheetId="7" hidden="1">'MEM. CÁLC'!$A$5:$AM$5</definedName>
    <definedName name="Z_6D862D81_E038_4928_B582_986C4E983404_.wvu.FilterData" localSheetId="7" hidden="1">'MEM. CÁLC'!$A$318:$O$1475</definedName>
    <definedName name="Z_6ECB84E1_4C7A_4999_9275_C602776E8594_.wvu.FilterData" localSheetId="7" hidden="1">'MEM. CÁLC'!$A$5:$AM$5</definedName>
    <definedName name="Z_6ED8445F_4A46_43EE_95A4_39D4F4C12A16_.wvu.FilterData" localSheetId="7" hidden="1">'MEM. CÁLC'!$A$5:$AM$5</definedName>
    <definedName name="Z_6FC4C1A1_3B7E_4EEA_9A77_41351F213D64_.wvu.FilterData" localSheetId="7" hidden="1">'MEM. CÁLC'!$A$318:$O$1475</definedName>
    <definedName name="Z_6FE726CC_2F53_4F10_9C52_123ECE60C964_.wvu.FilterData" localSheetId="7" hidden="1">'MEM. CÁLC'!$A$5:$AM$5</definedName>
    <definedName name="Z_70662ABC_DC8D_442E_8474_246CF77D866C_.wvu.FilterData" localSheetId="7" hidden="1">'MEM. CÁLC'!$A$5:$AM$5</definedName>
    <definedName name="Z_70680F55_00EB_4D36_A75C_541CEC0D9C26_.wvu.FilterData" localSheetId="7" hidden="1">'MEM. CÁLC'!$A$5:$AM$5</definedName>
    <definedName name="Z_70CBF90B_7EC0_4A0B_860E_BF38DFE66153_.wvu.FilterData" localSheetId="7" hidden="1">'MEM. CÁLC'!$A$5:$AM$5</definedName>
    <definedName name="Z_7158F6FA_4931_4FAA_A527_6C9413CE85A2_.wvu.FilterData" localSheetId="7" hidden="1">'MEM. CÁLC'!$A$5:$AM$5</definedName>
    <definedName name="Z_74FC2CDA_F768_4ECB_93E6_B0C5ABA8DF90_.wvu.FilterData" localSheetId="7" hidden="1">'MEM. CÁLC'!$A$5:$AM$5</definedName>
    <definedName name="Z_76245191_A419_4167_B0E4_D50B9E79BC40_.wvu.FilterData" localSheetId="7" hidden="1">'MEM. CÁLC'!$A$318:$O$1475</definedName>
    <definedName name="Z_76FD42BC_E610_4962_BA97_68CF71B37CC8_.wvu.FilterData" localSheetId="7" hidden="1">'MEM. CÁLC'!$A$5:$AM$5</definedName>
    <definedName name="Z_77611CE6_6997_4369_9C2A_8703B66345E8_.wvu.FilterData" localSheetId="7" hidden="1">'MEM. CÁLC'!$A$5:$AM$5</definedName>
    <definedName name="Z_77E215A5_770D_45AF_8F87_97CD1385F33A_.wvu.FilterData" localSheetId="7" hidden="1">'MEM. CÁLC'!$A$5:$AM$5</definedName>
    <definedName name="Z_78E3D491_E5C6_4595_ADAC_6C69D5E1FD99_.wvu.FilterData" localSheetId="7" hidden="1">'MEM. CÁLC'!$A$5:$AM$5</definedName>
    <definedName name="Z_793CF8A7_DDEA_436D_929E_2B9B4D7D3B39_.wvu.FilterData" localSheetId="7" hidden="1">'MEM. CÁLC'!$A$5:$AM$5</definedName>
    <definedName name="Z_7CD85B3A_F046_4481_94A3_E1E10D1FF505_.wvu.FilterData" localSheetId="7" hidden="1">'MEM. CÁLC'!$A$5:$AM$5</definedName>
    <definedName name="Z_7F156224_065D_47D6_AA85_958B53A36432_.wvu.FilterData" localSheetId="7" hidden="1">'MEM. CÁLC'!$A$5:$AM$5</definedName>
    <definedName name="Z_7F8F1FDB_20E6_400F_B5CD_C3C33E3CD144_.wvu.FilterData" localSheetId="7" hidden="1">'MEM. CÁLC'!$A$5:$AM$5</definedName>
    <definedName name="Z_800758FF_9384_40A1_A389_D1A33C306381_.wvu.FilterData" localSheetId="7" hidden="1">'MEM. CÁLC'!$A$5:$AM$5</definedName>
    <definedName name="Z_807F937B_DF5B_468D_81BB_544962687E9F_.wvu.FilterData" localSheetId="7" hidden="1">'MEM. CÁLC'!$A$5:$AM$5</definedName>
    <definedName name="Z_80A38915_1EB2_48A0_8057_4D8B76B830D9_.wvu.FilterData" localSheetId="7" hidden="1">'MEM. CÁLC'!$A$5:$AM$5</definedName>
    <definedName name="Z_814A3BF9_0347_43A7_81FB_248FF1330D9E_.wvu.FilterData" localSheetId="7" hidden="1">'MEM. CÁLC'!$A$5:$AM$5</definedName>
    <definedName name="Z_82106468_FF32_498B_94C4_796CC2BCCE6F_.wvu.FilterData" localSheetId="7" hidden="1">'MEM. CÁLC'!$A$5:$AM$5</definedName>
    <definedName name="Z_82D65A56_FB87_48DB_8B6F_476677CE458C_.wvu.FilterData" localSheetId="7" hidden="1">'MEM. CÁLC'!$A$5:$AM$5</definedName>
    <definedName name="Z_82F2440A_CCCA_4323_AEBF_31282BFE9245_.wvu.FilterData" localSheetId="7" hidden="1">'MEM. CÁLC'!$A$318:$O$1475</definedName>
    <definedName name="Z_830EEA6F_75CD_47E2_8A8E_B1671614D07A_.wvu.FilterData" localSheetId="7" hidden="1">'MEM. CÁLC'!$A$5:$AM$5</definedName>
    <definedName name="Z_832D76EE_71A6_4DE2_A7F9_153AF8434478_.wvu.FilterData" localSheetId="7" hidden="1">'MEM. CÁLC'!$A$5:$AM$5</definedName>
    <definedName name="Z_857A8895_A28B_4FDB_B9E1_CC6B42EB51EF_.wvu.FilterData" localSheetId="7" hidden="1">'MEM. CÁLC'!$A$5:$AM$5</definedName>
    <definedName name="Z_86829DC2_14BC_4B88_B94E_B8354A2310E0_.wvu.FilterData" localSheetId="7" hidden="1">'MEM. CÁLC'!$A$5:$AM$5</definedName>
    <definedName name="Z_86AB401B_8204_4650_A1A8_7EE9688DD03B_.wvu.FilterData" localSheetId="7" hidden="1">'MEM. CÁLC'!$A$5:$AM$5</definedName>
    <definedName name="Z_87557453_FFE2_4DE9_BDE0_AB1DA8B43FB3_.wvu.FilterData" localSheetId="7" hidden="1">'MEM. CÁLC'!$A$5:$AM$5</definedName>
    <definedName name="Z_87557453_FFE2_4DE9_BDE0_AB1DA8B43FB3_.wvu.PrintArea" localSheetId="7" hidden="1">'MEM. CÁLC'!$A$1:$O$5</definedName>
    <definedName name="Z_87557453_FFE2_4DE9_BDE0_AB1DA8B43FB3_.wvu.PrintTitles" localSheetId="7" hidden="1">'MEM. CÁLC'!$1:$5</definedName>
    <definedName name="Z_88AF772F_44D2_4412_80D2_7DE9EAF17516_.wvu.FilterData" localSheetId="7" hidden="1">'MEM. CÁLC'!$A$5:$AM$5</definedName>
    <definedName name="Z_88E4B92E_7299_4CC1_A0A7_327E8EC41169_.wvu.FilterData" localSheetId="7" hidden="1">'MEM. CÁLC'!$A$5:$AM$5</definedName>
    <definedName name="Z_88EED1C3_034D_4BCA_A320_22EE2F2D5417_.wvu.FilterData" localSheetId="7" hidden="1">'MEM. CÁLC'!$A$5:$AM$5</definedName>
    <definedName name="Z_89266052_6DF2_41AE_A74A_D24726B4B1F1_.wvu.FilterData" localSheetId="7" hidden="1">'MEM. CÁLC'!$A$5:$AM$5</definedName>
    <definedName name="Z_89326D86_6ED3_482D_8202_E3F039DDB378_.wvu.FilterData" localSheetId="7" hidden="1">'MEM. CÁLC'!$A$5:$AM$5</definedName>
    <definedName name="Z_8954E0F9_02B0_4704_8C30_3C8E2DBA05C8_.wvu.FilterData" localSheetId="7" hidden="1">'MEM. CÁLC'!$A$5:$AM$5</definedName>
    <definedName name="Z_896A2CD3_E58C_4349_A315_C031F9B1625F_.wvu.FilterData" localSheetId="7" hidden="1">'MEM. CÁLC'!$A$5:$AM$5</definedName>
    <definedName name="Z_898B6D59_A86F_49A2_9310_D43DDF3E9C40_.wvu.FilterData" localSheetId="7" hidden="1">'MEM. CÁLC'!$A$5:$AM$5</definedName>
    <definedName name="Z_89FEFEA1_7FF9_432D_ACF3_3A629DDE97F0_.wvu.FilterData" localSheetId="7" hidden="1">'MEM. CÁLC'!$A$5:$AM$5</definedName>
    <definedName name="Z_8B1FCC28_C31C_45CD_8556_6AD22771E419_.wvu.FilterData" localSheetId="7" hidden="1">'MEM. CÁLC'!$A$5:$AM$5</definedName>
    <definedName name="Z_8B2BD12B_8FED_421C_B631_CD50A61F6F23_.wvu.FilterData" localSheetId="7" hidden="1">'MEM. CÁLC'!$A$5:$AM$5</definedName>
    <definedName name="Z_8B4CA041_06E2_4131_9AB7_D964F07EC6BC_.wvu.FilterData" localSheetId="7" hidden="1">'MEM. CÁLC'!$A$5:$AM$5</definedName>
    <definedName name="Z_8E6A009D_85A2_4D5E_9B88_A61587D6FEE5_.wvu.FilterData" localSheetId="7" hidden="1">'MEM. CÁLC'!$A$5:$AM$5</definedName>
    <definedName name="Z_8E977BFF_3E8B_42FF_8AA0_2F7BD979FF0A_.wvu.FilterData" localSheetId="7" hidden="1">'MEM. CÁLC'!$A$5:$AM$5</definedName>
    <definedName name="Z_8EB263EC_290A_4100_BFB5_0840AF08E640_.wvu.FilterData" localSheetId="7" hidden="1">'MEM. CÁLC'!$A$5:$AM$5</definedName>
    <definedName name="Z_8FC0C45E_53DC_42A7_A6DE_A11FD703CB5F_.wvu.FilterData" localSheetId="7" hidden="1">'MEM. CÁLC'!$A$5:$AM$5</definedName>
    <definedName name="Z_909A7D98_4457_4A39_BC2F_CFC45A904CB9_.wvu.FilterData" localSheetId="7" hidden="1">'MEM. CÁLC'!$A$5:$AM$5</definedName>
    <definedName name="Z_91956E82_BC5C_4DB4_B377_E076E2E6BED1_.wvu.FilterData" localSheetId="7" hidden="1">'MEM. CÁLC'!$A$5:$AM$5</definedName>
    <definedName name="Z_91AFC62B_D728_4849_A95F_91B0FCC0A2D0_.wvu.FilterData" localSheetId="7" hidden="1">'MEM. CÁLC'!$A$5:$AM$5</definedName>
    <definedName name="Z_91EEAC77_909A_41BC_99BA_6998486FA798_.wvu.FilterData" localSheetId="7" hidden="1">'MEM. CÁLC'!$A$5:$AM$5</definedName>
    <definedName name="Z_922431ED_58C2_4BBC_AF8B_84C3D2A0EC50_.wvu.FilterData" localSheetId="7" hidden="1">'MEM. CÁLC'!$A$5:$AM$5</definedName>
    <definedName name="Z_92486891_20D5_4702_9D62_C94115A4D488_.wvu.FilterData" localSheetId="7" hidden="1">'MEM. CÁLC'!$A$5:$S$319</definedName>
    <definedName name="Z_925A79EA_63F5_4394_B758_84D39474E5D2_.wvu.FilterData" localSheetId="7" hidden="1">'MEM. CÁLC'!$A$5:$AM$5</definedName>
    <definedName name="Z_97309DBD_6665_499F_AB7C_BA35FDC6784B_.wvu.FilterData" localSheetId="7" hidden="1">'MEM. CÁLC'!$A$5:$AM$5</definedName>
    <definedName name="Z_97F160FC_DE12_49F3_94E4_D0014583D1D0_.wvu.FilterData" localSheetId="7" hidden="1">'MEM. CÁLC'!$A$5:$AM$5</definedName>
    <definedName name="Z_98085C4D_886E_4CBE_9007_72DB15B342CB_.wvu.FilterData" localSheetId="7" hidden="1">'MEM. CÁLC'!$A$5:$AM$5</definedName>
    <definedName name="Z_993432FA_1201_4E73_A520_0E3036808B0B_.wvu.FilterData" localSheetId="7" hidden="1">'MEM. CÁLC'!$A$5:$AM$5</definedName>
    <definedName name="Z_99C87524_E5BC_4334_92C4_DE4BCA1D1F6B_.wvu.FilterData" localSheetId="7" hidden="1">'MEM. CÁLC'!$A$5:$AM$5</definedName>
    <definedName name="Z_9BC5F2B9_821C_42A7_A2A2_893784979590_.wvu.FilterData" localSheetId="7" hidden="1">'MEM. CÁLC'!$A$318:$O$1475</definedName>
    <definedName name="Z_9CB67EBF_7256_4936_9EA8_6AC1137C543A_.wvu.FilterData" localSheetId="7" hidden="1">'MEM. CÁLC'!$A$5:$AM$5</definedName>
    <definedName name="Z_9E9AD8A1_E159_474D_8222_06CAC1A1130E_.wvu.FilterData" localSheetId="7" hidden="1">'MEM. CÁLC'!$A$5:$AM$5</definedName>
    <definedName name="Z_9F48C8E2_C9F1_40F7_9B4C_2408B96260DD_.wvu.FilterData" localSheetId="7" hidden="1">'MEM. CÁLC'!$A$5:$AM$5</definedName>
    <definedName name="Z_A0574C1B_225E_431C_970F_7FF53D29E776_.wvu.FilterData" localSheetId="7" hidden="1">'MEM. CÁLC'!$A$5:$AM$5</definedName>
    <definedName name="Z_A05AED6D_72A4_4AF0_A3A8_F85C704D7A14_.wvu.FilterData" localSheetId="7" hidden="1">'MEM. CÁLC'!$A$5:$S$319</definedName>
    <definedName name="Z_A081F997_2681_44C7_839D_7856878CC1B8_.wvu.FilterData" localSheetId="7" hidden="1">'MEM. CÁLC'!$A$5:$AM$5</definedName>
    <definedName name="Z_A26741BB_E9E4_4F5D_8DDC_407AD6404A3F_.wvu.FilterData" localSheetId="7" hidden="1">'MEM. CÁLC'!$A$5:$S$5</definedName>
    <definedName name="Z_A3FF4508_E81F_4D27_8125_89C226B159CF_.wvu.FilterData" localSheetId="7" hidden="1">'MEM. CÁLC'!$A$5:$AM$5</definedName>
    <definedName name="Z_A776789F_05DC_4D9C_8A5C_B87344943745_.wvu.FilterData" localSheetId="7" hidden="1">'MEM. CÁLC'!$A$5:$AM$5</definedName>
    <definedName name="Z_A7BC2EB7_B3E3_421D_8C9E_B96EC0AE3F5A_.wvu.FilterData" localSheetId="7" hidden="1">'MEM. CÁLC'!$A$5:$AM$5</definedName>
    <definedName name="Z_A8356551_9FB6_4CA9_96BD_C916FA2CC183_.wvu.FilterData" localSheetId="7" hidden="1">'MEM. CÁLC'!$A$5:$AM$5</definedName>
    <definedName name="Z_A8420765_B1AC_4F5E_8448_9195326C56E0_.wvu.FilterData" localSheetId="7" hidden="1">'MEM. CÁLC'!$A$5:$AM$5</definedName>
    <definedName name="Z_A87DF0E1_59B8_4029_8EA0_0269BF2AC238_.wvu.FilterData" localSheetId="7" hidden="1">'MEM. CÁLC'!$A$5:$AM$5</definedName>
    <definedName name="Z_A9321DBB_7355_435C_AD00_16F10D77D5DE_.wvu.FilterData" localSheetId="7" hidden="1">'MEM. CÁLC'!$A$5:$AM$5</definedName>
    <definedName name="Z_AA8C1F30_C317_4C69_AF76_B96096B17E77_.wvu.FilterData" localSheetId="7" hidden="1">'MEM. CÁLC'!$A$5:$AM$5</definedName>
    <definedName name="Z_AB4A2DF6_B008_465F_B662_DDF9502D84DD_.wvu.FilterData" localSheetId="7" hidden="1">'MEM. CÁLC'!$A$5:$AM$5</definedName>
    <definedName name="Z_AC7F69B5_F287_47B7_B8AE_57AAFADEDABA_.wvu.FilterData" localSheetId="7" hidden="1">'MEM. CÁLC'!$A$5:$AM$5</definedName>
    <definedName name="Z_ACBE24DE_88D5_4286_A99E_C1FE2B3218B6_.wvu.FilterData" localSheetId="7" hidden="1">'MEM. CÁLC'!$A$5:$AM$5</definedName>
    <definedName name="Z_ADB6ABE6_3C1D_49BA_8449_B85BE2EB22C3_.wvu.FilterData" localSheetId="7" hidden="1">'MEM. CÁLC'!$A$5:$AM$5</definedName>
    <definedName name="Z_AE9E6BB8_41B7_4550_B2B9_716A34C3868B_.wvu.FilterData" localSheetId="7" hidden="1">'MEM. CÁLC'!$A$5:$AM$5</definedName>
    <definedName name="Z_AF3871BA_5A1F_4046_93FD_132378810A16_.wvu.FilterData" localSheetId="7" hidden="1">'MEM. CÁLC'!$A$5:$AM$5</definedName>
    <definedName name="Z_AF7339EE_0D64_4185_A486_D16CC80C65B7_.wvu.FilterData" localSheetId="7" hidden="1">'MEM. CÁLC'!$A$5:$S$1475</definedName>
    <definedName name="Z_AF7339EE_0D64_4185_A486_D16CC80C65B7_.wvu.PrintArea" localSheetId="7" hidden="1">'MEM. CÁLC'!$A$1:$O$1475</definedName>
    <definedName name="Z_AF7339EE_0D64_4185_A486_D16CC80C65B7_.wvu.PrintTitles" localSheetId="7" hidden="1">'MEM. CÁLC'!$1:$5</definedName>
    <definedName name="Z_B104CC29_69F6_4661_8D37_3DD291F83439_.wvu.FilterData" localSheetId="7" hidden="1">'MEM. CÁLC'!$A$5:$AM$5</definedName>
    <definedName name="Z_B23AF566_39D8_49DD_B4A9_9FA28318BFD8_.wvu.FilterData" localSheetId="7" hidden="1">'MEM. CÁLC'!$A$5:$AM$5</definedName>
    <definedName name="Z_B30BE120_87C8_40FD_A2DB_41B26BE77580_.wvu.FilterData" localSheetId="7" hidden="1">'MEM. CÁLC'!$A$5:$AM$5</definedName>
    <definedName name="Z_B31A77F1_18A3_4E77_B605_1219639859DF_.wvu.FilterData" localSheetId="7" hidden="1">'MEM. CÁLC'!$A$5:$AM$5</definedName>
    <definedName name="Z_B3D34446_8ED4_436F_B488_83DDB52EC49A_.wvu.FilterData" localSheetId="7" hidden="1">'MEM. CÁLC'!$A$5:$AM$5</definedName>
    <definedName name="Z_B40E6B29_7162_4B71_B315_80ADEA5585C4_.wvu.FilterData" localSheetId="7" hidden="1">'MEM. CÁLC'!$A$5:$AM$5</definedName>
    <definedName name="Z_B457E800_454A_4780_81BE_52A653BC8B58_.wvu.FilterData" localSheetId="7" hidden="1">'MEM. CÁLC'!$A$5:$AM$5</definedName>
    <definedName name="Z_B510FD08_91F5_4887_90FE_D8DC6CABF3D3_.wvu.FilterData" localSheetId="7" hidden="1">'MEM. CÁLC'!$A$5:$AM$5</definedName>
    <definedName name="Z_B5AD7D89_12AA_4CFF_AB4B_7B50893AC6D1_.wvu.FilterData" localSheetId="7" hidden="1">'MEM. CÁLC'!$A$5:$AM$5</definedName>
    <definedName name="Z_B7ED6D32_E4B4_447B_B476_58BA9D23E7ED_.wvu.FilterData" localSheetId="7" hidden="1">'MEM. CÁLC'!$A$5:$AM$5</definedName>
    <definedName name="Z_B80AFC0F_695F_4194_BEAC_E0535CB54388_.wvu.FilterData" localSheetId="7" hidden="1">'MEM. CÁLC'!$A$5:$AM$5</definedName>
    <definedName name="Z_BA2D5B64_9899_4FA1_A4F6_D0E6C03DF3C8_.wvu.FilterData" localSheetId="7" hidden="1">'MEM. CÁLC'!$A$5:$AM$5</definedName>
    <definedName name="Z_BB000001_CA7F_4E7C_A15A_CF67492364EF_.wvu.FilterData" localSheetId="7" hidden="1">'MEM. CÁLC'!$A$5:$AM$5</definedName>
    <definedName name="Z_BB53C328_BC0C_4EE0_8F61_8CA30E520DCE_.wvu.FilterData" localSheetId="7" hidden="1">'MEM. CÁLC'!$A$5:$AM$5</definedName>
    <definedName name="Z_BBD65CEB_5B6B_4754_A3B1_99C21F0E9E55_.wvu.FilterData" localSheetId="7" hidden="1">'MEM. CÁLC'!$A$5:$AM$5</definedName>
    <definedName name="Z_BD18CD6D_292F_4981_80F2_DBD22338781B_.wvu.FilterData" localSheetId="7" hidden="1">'MEM. CÁLC'!$A$5:$AM$5</definedName>
    <definedName name="Z_BD664288_FEDB_47AB_973E_8A603ABCDF74_.wvu.FilterData" localSheetId="7" hidden="1">'MEM. CÁLC'!$A$5:$AM$5</definedName>
    <definedName name="Z_BEDEF1C4_7D51_4A2B_B1BA_5B463FE8E713_.wvu.FilterData" localSheetId="7" hidden="1">'MEM. CÁLC'!$A$5:$AM$5</definedName>
    <definedName name="Z_C325E178_08EE_44B1_9FF4_EF150E358605_.wvu.FilterData" localSheetId="7" hidden="1">'MEM. CÁLC'!$A$5:$AM$5</definedName>
    <definedName name="Z_C3AA15C6_8106_461C_A7C7_6AA1710B6C2B_.wvu.FilterData" localSheetId="7" hidden="1">'MEM. CÁLC'!$A$5:$AM$5</definedName>
    <definedName name="Z_C5419247_73E1_49A2_877D_03EDF5AD99AB_.wvu.FilterData" localSheetId="7" hidden="1">'MEM. CÁLC'!$A$5:$S$319</definedName>
    <definedName name="Z_C99E781B_964F_4AD9_8AA2_5675CD004AE9_.wvu.FilterData" localSheetId="7" hidden="1">'MEM. CÁLC'!$A$5:$AM$5</definedName>
    <definedName name="Z_C9AC4E25_50EA_4479_8072_4B0B1005FA38_.wvu.FilterData" localSheetId="7" hidden="1">'MEM. CÁLC'!$A$5:$AM$5</definedName>
    <definedName name="Z_C9DB2F5B_EB1B_473F_B353_067BB98DC4DC_.wvu.FilterData" localSheetId="5" hidden="1">'APOIO ABC'!$B$1:$K$86</definedName>
    <definedName name="Z_C9DB2F5B_EB1B_473F_B353_067BB98DC4DC_.wvu.FilterData" localSheetId="4" hidden="1">'CLASSIFICAÇÃO ABC'!$A$6:$N$6</definedName>
    <definedName name="Z_C9DB2F5B_EB1B_473F_B353_067BB98DC4DC_.wvu.PrintArea" localSheetId="4" hidden="1">'CLASSIFICAÇÃO ABC'!$A$5:$N$150</definedName>
    <definedName name="Z_C9DB2F5B_EB1B_473F_B353_067BB98DC4DC_.wvu.PrintTitles" localSheetId="4" hidden="1">'CLASSIFICAÇÃO ABC'!#REF!</definedName>
    <definedName name="Z_CA49AD8A_DBF2_4927_A730_88ABD3E1F2CD_.wvu.FilterData" localSheetId="7" hidden="1">'MEM. CÁLC'!$A$5:$AM$5</definedName>
    <definedName name="Z_CC1C8FC0_EB6E_485A_AE35_C6677591B2C9_.wvu.FilterData" localSheetId="7" hidden="1">'MEM. CÁLC'!$A$5:$AM$5</definedName>
    <definedName name="Z_CC4AF021_EBC7_462B_921F_05DCC807294E_.wvu.FilterData" localSheetId="7" hidden="1">'MEM. CÁLC'!$A$5:$AM$5</definedName>
    <definedName name="Z_CCB136E7_7110_4EF5_B3C7_6D84795F16BD_.wvu.FilterData" localSheetId="7" hidden="1">'MEM. CÁLC'!$A$5:$AM$5</definedName>
    <definedName name="Z_CDF8D03D_79DA_4118_95A0_31EC91365806_.wvu.FilterData" localSheetId="7" hidden="1">'MEM. CÁLC'!$A$5:$AM$5</definedName>
    <definedName name="Z_CE638E06_8C60_431A_B211_EFB21B47AF51_.wvu.FilterData" localSheetId="7" hidden="1">'MEM. CÁLC'!$A$5:$S$319</definedName>
    <definedName name="Z_CF5655FE_A976_49DB_A8D3_32F8D2F72E61_.wvu.FilterData" localSheetId="7" hidden="1">'MEM. CÁLC'!$A$5:$S$319</definedName>
    <definedName name="Z_CF81E847_07EC_48B6_9E9E_E42C7EC8C3DD_.wvu.FilterData" localSheetId="7" hidden="1">'MEM. CÁLC'!$A$5:$AM$5</definedName>
    <definedName name="Z_CFAB054B_38C2_4E45_850F_6140D9D60AE7_.wvu.FilterData" localSheetId="7" hidden="1">'MEM. CÁLC'!$A$5:$AM$5</definedName>
    <definedName name="Z_CFC2479C_DE8B_4C4B_9A62_1F6AC0BC9006_.wvu.FilterData" localSheetId="7" hidden="1">'MEM. CÁLC'!$A$5:$AM$5</definedName>
    <definedName name="Z_CFF84790_8279_420B_952A_05BD9D33CF76_.wvu.FilterData" localSheetId="7" hidden="1">'MEM. CÁLC'!$A$5:$AM$5</definedName>
    <definedName name="Z_D0BB668E_0518_4429_B35D_BEB7EE8A68F6_.wvu.FilterData" localSheetId="7" hidden="1">'MEM. CÁLC'!$A$5:$AM$5</definedName>
    <definedName name="Z_D1E51269_2869_4441_8F8B_0473DDE1EEE1_.wvu.FilterData" localSheetId="7" hidden="1">'MEM. CÁLC'!$A$5:$AM$5</definedName>
    <definedName name="Z_D5F9864A_A35A_4173_A046_729659758927_.wvu.FilterData" localSheetId="7" hidden="1">'MEM. CÁLC'!$A$5:$AM$5</definedName>
    <definedName name="Z_D64589F0_A3B2_46FB_A4D1_194EE723D190_.wvu.FilterData" localSheetId="7" hidden="1">'MEM. CÁLC'!$A$318:$O$1475</definedName>
    <definedName name="Z_D75A4586_AF4E_452F_AFD8_7BBCA47E834D_.wvu.FilterData" localSheetId="7" hidden="1">'MEM. CÁLC'!$A$5:$AM$5</definedName>
    <definedName name="Z_D76E5B6A_A96E_4400_A417_2FF55154F5B9_.wvu.FilterData" localSheetId="7" hidden="1">'MEM. CÁLC'!$A$5:$AM$5</definedName>
    <definedName name="Z_D77FDDE2_0FBA_4816_B0AF_E8075E292D8F_.wvu.FilterData" localSheetId="7" hidden="1">'MEM. CÁLC'!$A$5:$AM$5</definedName>
    <definedName name="Z_D7965BC3_8F05_460C_B2A1_4BDA394C7FCC_.wvu.FilterData" localSheetId="7" hidden="1">'MEM. CÁLC'!$A$5:$AM$5</definedName>
    <definedName name="Z_D8745158_037C_4022_A945_D37B6287CAFB_.wvu.FilterData" localSheetId="7" hidden="1">'MEM. CÁLC'!$A$5:$AM$5</definedName>
    <definedName name="Z_D90E43CD_4BE5_4950_86C6_55474200DEF9_.wvu.FilterData" localSheetId="7" hidden="1">'MEM. CÁLC'!$A$5:$AM$5</definedName>
    <definedName name="Z_D9BD10FE_CC00_41AF_886C_731B0DC6E362_.wvu.FilterData" localSheetId="7" hidden="1">'MEM. CÁLC'!$A$5:$AM$5</definedName>
    <definedName name="Z_DA10BD60_4BFF_4AD5_8523_C85359C53326_.wvu.FilterData" localSheetId="7" hidden="1">'MEM. CÁLC'!$A$5:$AM$5</definedName>
    <definedName name="Z_DA981607_1C86_4FD9_A0A7_D9249A0E5A24_.wvu.FilterData" localSheetId="7" hidden="1">'MEM. CÁLC'!$A$5:$AM$5</definedName>
    <definedName name="Z_DB1D59DA_4BDC_4076_8581_C2E02B5A8E3C_.wvu.FilterData" localSheetId="7" hidden="1">'MEM. CÁLC'!$A$5:$AM$5</definedName>
    <definedName name="Z_DB20F532_9924_4C8A_8152_4E08B425BFA7_.wvu.FilterData" localSheetId="7" hidden="1">'MEM. CÁLC'!$A$5:$AM$5</definedName>
    <definedName name="Z_DB3155F2_2061_4E73_97C5_E9921B5614AA_.wvu.FilterData" localSheetId="7" hidden="1">'MEM. CÁLC'!$A$5:$AM$5</definedName>
    <definedName name="Z_DB49B577_11FF_4202_91CC_AAF972207011_.wvu.FilterData" localSheetId="7" hidden="1">'MEM. CÁLC'!$A$1334:$O$1340</definedName>
    <definedName name="Z_DB49B577_11FF_4202_91CC_AAF972207011_.wvu.PrintArea" localSheetId="7" hidden="1">'MEM. CÁLC'!$A$1:$O$5</definedName>
    <definedName name="Z_DB49B577_11FF_4202_91CC_AAF972207011_.wvu.PrintTitles" localSheetId="7" hidden="1">'MEM. CÁLC'!$1:$5</definedName>
    <definedName name="Z_DCC2FAC3_231C_472A_B57D_D0DFBD5787C2_.wvu.FilterData" localSheetId="7" hidden="1">'MEM. CÁLC'!$A$5:$AM$5</definedName>
    <definedName name="Z_DE176BE7_59EA_474C_8AEB_FF35051E0446_.wvu.FilterData" localSheetId="7" hidden="1">'MEM. CÁLC'!$A$5:$AM$5</definedName>
    <definedName name="Z_DE6C8046_EF7D_4567_9123_758C167D0A47_.wvu.FilterData" localSheetId="7" hidden="1">'MEM. CÁLC'!$A$5:$AM$5</definedName>
    <definedName name="Z_DED36F48_E02D_4663_9E68_47F15B0F03A2_.wvu.FilterData" localSheetId="7" hidden="1">'MEM. CÁLC'!$A$5:$AM$5</definedName>
    <definedName name="Z_DFE4C8E5_603A_40F2_9865_A11121560722_.wvu.FilterData" localSheetId="7" hidden="1">'MEM. CÁLC'!$A$5:$AM$5</definedName>
    <definedName name="Z_E09107B7_453E_45B8_92EA_CB0D38DD8E59_.wvu.FilterData" localSheetId="7" hidden="1">'MEM. CÁLC'!$A$5:$AM$5</definedName>
    <definedName name="Z_E1CDA9CD_95AF_4F24_ABE5_BF3C1DBF452B_.wvu.FilterData" localSheetId="7" hidden="1">'MEM. CÁLC'!$A$5:$AM$5</definedName>
    <definedName name="Z_E4015D62_83DF_4415_9123_3B983C0B4E4C_.wvu.FilterData" localSheetId="7" hidden="1">'MEM. CÁLC'!$A$5:$AM$5</definedName>
    <definedName name="Z_E417A0F9_23A9_4C2C_81E3_A95465A3243F_.wvu.FilterData" localSheetId="7" hidden="1">'MEM. CÁLC'!$A$5:$AM$5</definedName>
    <definedName name="Z_E4B906AB_4A3A_461C_8B50_FF602C2EE843_.wvu.FilterData" localSheetId="7" hidden="1">'MEM. CÁLC'!$A$5:$AM$5</definedName>
    <definedName name="Z_E54B5B25_13A3_44AE_B3C6_81CABA5E356E_.wvu.FilterData" localSheetId="7" hidden="1">'MEM. CÁLC'!$A$5:$AM$5</definedName>
    <definedName name="Z_E6561E36_D1E3_4F32_9471_B6FDECD10380_.wvu.FilterData" localSheetId="7" hidden="1">'MEM. CÁLC'!$A$318:$O$1475</definedName>
    <definedName name="Z_E6940AD1_665B_41D2_B6E3_13B81C9FC8B2_.wvu.FilterData" localSheetId="7" hidden="1">'MEM. CÁLC'!$A$5:$AM$5</definedName>
    <definedName name="Z_E71F1CC0_929F_48BD_AA17_C66F7752DBCB_.wvu.FilterData" localSheetId="7" hidden="1">'MEM. CÁLC'!$A$5:$AM$5</definedName>
    <definedName name="Z_E8C35B82_B31A_4FC7_9286_55669AED673C_.wvu.FilterData" localSheetId="7" hidden="1">'MEM. CÁLC'!$A$5:$AM$5</definedName>
    <definedName name="Z_E8D29A35_ECC4_4B44_9ED3_EF07E63BB8CA_.wvu.FilterData" localSheetId="7" hidden="1">'MEM. CÁLC'!$A$5:$AM$5</definedName>
    <definedName name="Z_EA1D0F0F_22E1_4AAC_BC9C_32BD554BBF2D_.wvu.FilterData" localSheetId="7" hidden="1">'MEM. CÁLC'!$A$5:$AM$5</definedName>
    <definedName name="Z_EBC1CB36_1516_4433_A4F9_82B61A966676_.wvu.FilterData" localSheetId="7" hidden="1">'MEM. CÁLC'!$A$5:$AM$5</definedName>
    <definedName name="Z_EBD7FDDF_7551_4BDC_B020_3C51EF1A26CA_.wvu.FilterData" localSheetId="7" hidden="1">'MEM. CÁLC'!$A$5:$AM$5</definedName>
    <definedName name="Z_EC6346AC_F774_482D_A281_20E9D6573B93_.wvu.FilterData" localSheetId="7" hidden="1">'MEM. CÁLC'!$A$5:$AM$5</definedName>
    <definedName name="Z_EE3FFA78_2455_48C6_B34F_7D0899A62C65_.wvu.FilterData" localSheetId="7" hidden="1">'MEM. CÁLC'!$A$5:$AM$5</definedName>
    <definedName name="Z_F013BA40_8CEA_40B6_8162_21EFB1D519FA_.wvu.FilterData" localSheetId="7" hidden="1">'MEM. CÁLC'!$A$5:$AM$5</definedName>
    <definedName name="Z_F0CB28C0_11EA_467A_A0D2_801B3AA35C67_.wvu.FilterData" localSheetId="7" hidden="1">'MEM. CÁLC'!$A$5:$AM$5</definedName>
    <definedName name="Z_F0F437F3_B4B2_4AED_A920_2D8854F45CF3_.wvu.FilterData" localSheetId="7" hidden="1">'MEM. CÁLC'!$A$5:$AM$5</definedName>
    <definedName name="Z_F2D7D145_339A_4F35_BAC8_F2D365B4C925_.wvu.FilterData" localSheetId="7" hidden="1">'MEM. CÁLC'!$A$5:$AM$5</definedName>
    <definedName name="Z_F3AA0494_6669_42C8_9CC5_D2C503DA86DF_.wvu.FilterData" localSheetId="7" hidden="1">'MEM. CÁLC'!$A$5:$AM$5</definedName>
    <definedName name="Z_F440BF87_400E_43EE_A730_4062E087005C_.wvu.FilterData" localSheetId="7" hidden="1">'MEM. CÁLC'!$A$5:$AM$5</definedName>
    <definedName name="Z_F6846847_3B01_40F9_9CEB_1A249F185AF1_.wvu.FilterData" localSheetId="7" hidden="1">'MEM. CÁLC'!$A$318:$O$1475</definedName>
    <definedName name="Z_F7336229_8C3C_4738_9433_3CB3642B1B0E_.wvu.FilterData" localSheetId="7" hidden="1">'MEM. CÁLC'!$A$5:$AM$5</definedName>
    <definedName name="Z_F7BB2983_D9B1_4605_96C0_33E4B34FE3DF_.wvu.FilterData" localSheetId="7" hidden="1">'MEM. CÁLC'!$A$5:$AM$5</definedName>
    <definedName name="Z_F8864AC8_2593_41AA_B897_A13C9B5ED966_.wvu.FilterData" localSheetId="7" hidden="1">'MEM. CÁLC'!$A$5:$AM$5</definedName>
    <definedName name="Z_FA32A433_ABE5_437C_B878_724FBDA343E3_.wvu.FilterData" localSheetId="7" hidden="1">'MEM. CÁLC'!$A$5:$AM$5</definedName>
    <definedName name="Z_FB094681_1708_447E_9F48_03BFB7369FBC_.wvu.FilterData" localSheetId="7" hidden="1">'MEM. CÁLC'!$A$5:$AM$5</definedName>
    <definedName name="Z_FCE18F34_5B90_49FF_A1FD_AA1941AACF09_.wvu.FilterData" localSheetId="7" hidden="1">'MEM. CÁLC'!$A$5:$AM$5</definedName>
    <definedName name="Z_FEDA5B2B_6589_452D_93CD_0508D2E653BC_.wvu.FilterData" localSheetId="7" hidden="1">'MEM. CÁLC'!$A$5:$AM$5</definedName>
    <definedName name="Z_FF0D4260_2F83_4523_BFAE_51EFAD5FECEE_.wvu.FilterData" localSheetId="7" hidden="1">'MEM. CÁLC'!$A$5:$AM$5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0" i="19" l="1"/>
  <c r="E6" i="19"/>
  <c r="B26" i="26" l="1"/>
  <c r="A21" i="26"/>
  <c r="A14" i="28"/>
  <c r="A8" i="28"/>
  <c r="A5" i="28"/>
  <c r="A11" i="26"/>
  <c r="A9" i="26" l="1"/>
  <c r="A6" i="26"/>
  <c r="B20" i="25"/>
  <c r="G27" i="28" l="1"/>
  <c r="H17" i="28" s="1"/>
  <c r="I26" i="28"/>
  <c r="H25" i="28"/>
  <c r="I24" i="28"/>
  <c r="F24" i="28"/>
  <c r="F22" i="28"/>
  <c r="E22" i="28"/>
  <c r="D22" i="28"/>
  <c r="E20" i="28"/>
  <c r="D20" i="28"/>
  <c r="D27" i="28" s="1"/>
  <c r="D28" i="28" s="1"/>
  <c r="H19" i="28"/>
  <c r="C18" i="28"/>
  <c r="I18" i="28" s="1"/>
  <c r="A23" i="26"/>
  <c r="A7" i="26"/>
  <c r="F27" i="28" l="1"/>
  <c r="F28" i="28" s="1"/>
  <c r="E27" i="28"/>
  <c r="E28" i="28" s="1"/>
  <c r="I22" i="28"/>
  <c r="H23" i="28"/>
  <c r="C27" i="28"/>
  <c r="I20" i="28"/>
  <c r="H21" i="28"/>
  <c r="H27" i="28" l="1"/>
  <c r="C28" i="28"/>
  <c r="C29" i="28"/>
  <c r="D29" i="28" l="1"/>
  <c r="C30" i="28"/>
  <c r="E29" i="28" l="1"/>
  <c r="D30" i="28"/>
  <c r="F29" i="28" l="1"/>
  <c r="E30" i="28"/>
  <c r="F30" i="28" l="1"/>
  <c r="F26" i="26" l="1"/>
  <c r="F27" i="26" s="1"/>
  <c r="J12" i="25" s="1"/>
  <c r="A17" i="19"/>
  <c r="C619" i="4"/>
  <c r="D619" i="4"/>
  <c r="E619" i="4"/>
  <c r="F619" i="4"/>
  <c r="G619" i="4"/>
  <c r="I619" i="4"/>
  <c r="J619" i="4"/>
  <c r="C575" i="4"/>
  <c r="D575" i="4"/>
  <c r="E575" i="4"/>
  <c r="F575" i="4"/>
  <c r="G575" i="4"/>
  <c r="I575" i="4"/>
  <c r="J575" i="4"/>
  <c r="C590" i="4"/>
  <c r="D590" i="4"/>
  <c r="E590" i="4"/>
  <c r="F590" i="4"/>
  <c r="G590" i="4"/>
  <c r="I590" i="4"/>
  <c r="J590" i="4"/>
  <c r="C583" i="4"/>
  <c r="D583" i="4"/>
  <c r="E583" i="4"/>
  <c r="F583" i="4"/>
  <c r="G583" i="4"/>
  <c r="I583" i="4"/>
  <c r="J583" i="4"/>
  <c r="C693" i="4"/>
  <c r="D693" i="4"/>
  <c r="E693" i="4"/>
  <c r="F693" i="4"/>
  <c r="G693" i="4"/>
  <c r="I693" i="4"/>
  <c r="J693" i="4"/>
  <c r="C683" i="4"/>
  <c r="D683" i="4"/>
  <c r="E683" i="4"/>
  <c r="F683" i="4"/>
  <c r="G683" i="4"/>
  <c r="I683" i="4"/>
  <c r="J683" i="4"/>
  <c r="C629" i="4"/>
  <c r="D629" i="4"/>
  <c r="E629" i="4"/>
  <c r="F629" i="4"/>
  <c r="G629" i="4"/>
  <c r="I629" i="4"/>
  <c r="J629" i="4"/>
  <c r="C614" i="4"/>
  <c r="D614" i="4"/>
  <c r="E614" i="4"/>
  <c r="F614" i="4"/>
  <c r="G614" i="4"/>
  <c r="I614" i="4"/>
  <c r="J614" i="4"/>
  <c r="C52" i="4"/>
  <c r="D52" i="4"/>
  <c r="E52" i="4"/>
  <c r="F52" i="4"/>
  <c r="G52" i="4"/>
  <c r="I52" i="4"/>
  <c r="J52" i="4"/>
  <c r="C205" i="4"/>
  <c r="D205" i="4"/>
  <c r="E205" i="4"/>
  <c r="F205" i="4"/>
  <c r="G205" i="4"/>
  <c r="I205" i="4"/>
  <c r="J205" i="4"/>
  <c r="C47" i="4"/>
  <c r="D47" i="4"/>
  <c r="E47" i="4"/>
  <c r="F47" i="4"/>
  <c r="G47" i="4"/>
  <c r="I47" i="4"/>
  <c r="J47" i="4"/>
  <c r="C248" i="4"/>
  <c r="D248" i="4"/>
  <c r="E248" i="4"/>
  <c r="F248" i="4"/>
  <c r="G248" i="4"/>
  <c r="I248" i="4"/>
  <c r="J248" i="4"/>
  <c r="C89" i="4"/>
  <c r="D89" i="4"/>
  <c r="E89" i="4"/>
  <c r="F89" i="4"/>
  <c r="G89" i="4"/>
  <c r="I89" i="4"/>
  <c r="J89" i="4"/>
  <c r="C745" i="4"/>
  <c r="D745" i="4"/>
  <c r="E745" i="4"/>
  <c r="F745" i="4"/>
  <c r="G745" i="4"/>
  <c r="I745" i="4"/>
  <c r="J745" i="4"/>
  <c r="C705" i="4"/>
  <c r="D705" i="4"/>
  <c r="E705" i="4"/>
  <c r="F705" i="4"/>
  <c r="G705" i="4"/>
  <c r="I705" i="4"/>
  <c r="J705" i="4"/>
  <c r="C236" i="4"/>
  <c r="D236" i="4"/>
  <c r="E236" i="4"/>
  <c r="F236" i="4"/>
  <c r="G236" i="4"/>
  <c r="I236" i="4"/>
  <c r="J236" i="4"/>
  <c r="C228" i="4"/>
  <c r="D228" i="4"/>
  <c r="E228" i="4"/>
  <c r="F228" i="4"/>
  <c r="G228" i="4"/>
  <c r="I228" i="4"/>
  <c r="J228" i="4"/>
  <c r="C90" i="4"/>
  <c r="D90" i="4"/>
  <c r="E90" i="4"/>
  <c r="F90" i="4"/>
  <c r="G90" i="4"/>
  <c r="I90" i="4"/>
  <c r="J90" i="4"/>
  <c r="C746" i="4"/>
  <c r="D746" i="4"/>
  <c r="E746" i="4"/>
  <c r="F746" i="4"/>
  <c r="G746" i="4"/>
  <c r="I746" i="4"/>
  <c r="J746" i="4"/>
  <c r="C706" i="4"/>
  <c r="D706" i="4"/>
  <c r="E706" i="4"/>
  <c r="F706" i="4"/>
  <c r="G706" i="4"/>
  <c r="I706" i="4"/>
  <c r="J706" i="4"/>
  <c r="C244" i="4"/>
  <c r="D244" i="4"/>
  <c r="E244" i="4"/>
  <c r="F244" i="4"/>
  <c r="G244" i="4"/>
  <c r="I244" i="4"/>
  <c r="J244" i="4"/>
  <c r="C91" i="4"/>
  <c r="D91" i="4"/>
  <c r="E91" i="4"/>
  <c r="F91" i="4"/>
  <c r="G91" i="4"/>
  <c r="I91" i="4"/>
  <c r="J91" i="4"/>
  <c r="C747" i="4"/>
  <c r="D747" i="4"/>
  <c r="E747" i="4"/>
  <c r="F747" i="4"/>
  <c r="G747" i="4"/>
  <c r="I747" i="4"/>
  <c r="J747" i="4"/>
  <c r="C707" i="4"/>
  <c r="D707" i="4"/>
  <c r="E707" i="4"/>
  <c r="F707" i="4"/>
  <c r="G707" i="4"/>
  <c r="I707" i="4"/>
  <c r="J707" i="4"/>
  <c r="C224" i="4"/>
  <c r="D224" i="4"/>
  <c r="E224" i="4"/>
  <c r="F224" i="4"/>
  <c r="G224" i="4"/>
  <c r="I224" i="4"/>
  <c r="J224" i="4"/>
  <c r="C486" i="4"/>
  <c r="D486" i="4"/>
  <c r="E486" i="4"/>
  <c r="F486" i="4"/>
  <c r="G486" i="4"/>
  <c r="I486" i="4"/>
  <c r="J486" i="4"/>
  <c r="C672" i="4"/>
  <c r="D672" i="4"/>
  <c r="E672" i="4"/>
  <c r="F672" i="4"/>
  <c r="G672" i="4"/>
  <c r="I672" i="4"/>
  <c r="J672" i="4"/>
  <c r="C666" i="4"/>
  <c r="D666" i="4"/>
  <c r="E666" i="4"/>
  <c r="F666" i="4"/>
  <c r="G666" i="4"/>
  <c r="I666" i="4"/>
  <c r="J666" i="4"/>
  <c r="C92" i="4"/>
  <c r="D92" i="4"/>
  <c r="E92" i="4"/>
  <c r="F92" i="4"/>
  <c r="G92" i="4"/>
  <c r="I92" i="4"/>
  <c r="J92" i="4"/>
  <c r="C748" i="4"/>
  <c r="D748" i="4"/>
  <c r="E748" i="4"/>
  <c r="F748" i="4"/>
  <c r="G748" i="4"/>
  <c r="I748" i="4"/>
  <c r="J748" i="4"/>
  <c r="C708" i="4"/>
  <c r="D708" i="4"/>
  <c r="E708" i="4"/>
  <c r="F708" i="4"/>
  <c r="G708" i="4"/>
  <c r="I708" i="4"/>
  <c r="J708" i="4"/>
  <c r="C237" i="4"/>
  <c r="D237" i="4"/>
  <c r="E237" i="4"/>
  <c r="F237" i="4"/>
  <c r="G237" i="4"/>
  <c r="I237" i="4"/>
  <c r="J237" i="4"/>
  <c r="C229" i="4"/>
  <c r="D229" i="4"/>
  <c r="E229" i="4"/>
  <c r="F229" i="4"/>
  <c r="G229" i="4"/>
  <c r="I229" i="4"/>
  <c r="J229" i="4"/>
  <c r="C93" i="4"/>
  <c r="D93" i="4"/>
  <c r="E93" i="4"/>
  <c r="F93" i="4"/>
  <c r="G93" i="4"/>
  <c r="I93" i="4"/>
  <c r="J93" i="4"/>
  <c r="C749" i="4"/>
  <c r="D749" i="4"/>
  <c r="E749" i="4"/>
  <c r="F749" i="4"/>
  <c r="G749" i="4"/>
  <c r="I749" i="4"/>
  <c r="J749" i="4"/>
  <c r="C709" i="4"/>
  <c r="D709" i="4"/>
  <c r="E709" i="4"/>
  <c r="F709" i="4"/>
  <c r="G709" i="4"/>
  <c r="I709" i="4"/>
  <c r="J709" i="4"/>
  <c r="C263" i="4"/>
  <c r="D263" i="4"/>
  <c r="E263" i="4"/>
  <c r="F263" i="4"/>
  <c r="G263" i="4"/>
  <c r="I263" i="4"/>
  <c r="J263" i="4"/>
  <c r="C298" i="4"/>
  <c r="D298" i="4"/>
  <c r="E298" i="4"/>
  <c r="F298" i="4"/>
  <c r="G298" i="4"/>
  <c r="I298" i="4"/>
  <c r="J298" i="4"/>
  <c r="C361" i="4"/>
  <c r="D361" i="4"/>
  <c r="E361" i="4"/>
  <c r="F361" i="4"/>
  <c r="G361" i="4"/>
  <c r="I361" i="4"/>
  <c r="J361" i="4"/>
  <c r="C367" i="4"/>
  <c r="D367" i="4"/>
  <c r="E367" i="4"/>
  <c r="F367" i="4"/>
  <c r="G367" i="4"/>
  <c r="I367" i="4"/>
  <c r="J367" i="4"/>
  <c r="C330" i="4"/>
  <c r="D330" i="4"/>
  <c r="E330" i="4"/>
  <c r="F330" i="4"/>
  <c r="G330" i="4"/>
  <c r="I330" i="4"/>
  <c r="J330" i="4"/>
  <c r="C368" i="4"/>
  <c r="D368" i="4"/>
  <c r="E368" i="4"/>
  <c r="F368" i="4"/>
  <c r="G368" i="4"/>
  <c r="I368" i="4"/>
  <c r="J368" i="4"/>
  <c r="C347" i="4"/>
  <c r="D347" i="4"/>
  <c r="E347" i="4"/>
  <c r="F347" i="4"/>
  <c r="G347" i="4"/>
  <c r="I347" i="4"/>
  <c r="J347" i="4"/>
  <c r="C392" i="4"/>
  <c r="D392" i="4"/>
  <c r="E392" i="4"/>
  <c r="F392" i="4"/>
  <c r="G392" i="4"/>
  <c r="I392" i="4"/>
  <c r="J392" i="4"/>
  <c r="C336" i="4"/>
  <c r="D336" i="4"/>
  <c r="E336" i="4"/>
  <c r="F336" i="4"/>
  <c r="G336" i="4"/>
  <c r="I336" i="4"/>
  <c r="J336" i="4"/>
  <c r="C353" i="4"/>
  <c r="D353" i="4"/>
  <c r="E353" i="4"/>
  <c r="F353" i="4"/>
  <c r="G353" i="4"/>
  <c r="I353" i="4"/>
  <c r="J353" i="4"/>
  <c r="C318" i="4"/>
  <c r="D318" i="4"/>
  <c r="E318" i="4"/>
  <c r="F318" i="4"/>
  <c r="G318" i="4"/>
  <c r="I318" i="4"/>
  <c r="J318" i="4"/>
  <c r="C375" i="4"/>
  <c r="D375" i="4"/>
  <c r="E375" i="4"/>
  <c r="F375" i="4"/>
  <c r="G375" i="4"/>
  <c r="I375" i="4"/>
  <c r="J375" i="4"/>
  <c r="C350" i="4"/>
  <c r="D350" i="4"/>
  <c r="E350" i="4"/>
  <c r="F350" i="4"/>
  <c r="G350" i="4"/>
  <c r="I350" i="4"/>
  <c r="J350" i="4"/>
  <c r="C396" i="4"/>
  <c r="D396" i="4"/>
  <c r="E396" i="4"/>
  <c r="F396" i="4"/>
  <c r="G396" i="4"/>
  <c r="I396" i="4"/>
  <c r="J396" i="4"/>
  <c r="C400" i="4"/>
  <c r="D400" i="4"/>
  <c r="E400" i="4"/>
  <c r="F400" i="4"/>
  <c r="G400" i="4"/>
  <c r="I400" i="4"/>
  <c r="J400" i="4"/>
  <c r="C394" i="4"/>
  <c r="D394" i="4"/>
  <c r="E394" i="4"/>
  <c r="F394" i="4"/>
  <c r="G394" i="4"/>
  <c r="I394" i="4"/>
  <c r="J394" i="4"/>
  <c r="C308" i="4"/>
  <c r="D308" i="4"/>
  <c r="E308" i="4"/>
  <c r="F308" i="4"/>
  <c r="G308" i="4"/>
  <c r="I308" i="4"/>
  <c r="J308" i="4"/>
  <c r="C118" i="4"/>
  <c r="D118" i="4"/>
  <c r="E118" i="4"/>
  <c r="F118" i="4"/>
  <c r="G118" i="4"/>
  <c r="I118" i="4"/>
  <c r="J118" i="4"/>
  <c r="C750" i="4"/>
  <c r="D750" i="4"/>
  <c r="E750" i="4"/>
  <c r="F750" i="4"/>
  <c r="G750" i="4"/>
  <c r="I750" i="4"/>
  <c r="J750" i="4"/>
  <c r="C710" i="4"/>
  <c r="D710" i="4"/>
  <c r="E710" i="4"/>
  <c r="F710" i="4"/>
  <c r="G710" i="4"/>
  <c r="I710" i="4"/>
  <c r="J710" i="4"/>
  <c r="C472" i="4"/>
  <c r="D472" i="4"/>
  <c r="E472" i="4"/>
  <c r="F472" i="4"/>
  <c r="G472" i="4"/>
  <c r="I472" i="4"/>
  <c r="J472" i="4"/>
  <c r="C465" i="4"/>
  <c r="D465" i="4"/>
  <c r="E465" i="4"/>
  <c r="F465" i="4"/>
  <c r="G465" i="4"/>
  <c r="I465" i="4"/>
  <c r="J465" i="4"/>
  <c r="C421" i="4"/>
  <c r="D421" i="4"/>
  <c r="E421" i="4"/>
  <c r="F421" i="4"/>
  <c r="G421" i="4"/>
  <c r="I421" i="4"/>
  <c r="J421" i="4"/>
  <c r="C441" i="4"/>
  <c r="D441" i="4"/>
  <c r="E441" i="4"/>
  <c r="F441" i="4"/>
  <c r="G441" i="4"/>
  <c r="I441" i="4"/>
  <c r="J441" i="4"/>
  <c r="C409" i="4"/>
  <c r="D409" i="4"/>
  <c r="E409" i="4"/>
  <c r="F409" i="4"/>
  <c r="G409" i="4"/>
  <c r="I409" i="4"/>
  <c r="J409" i="4"/>
  <c r="C429" i="4"/>
  <c r="D429" i="4"/>
  <c r="E429" i="4"/>
  <c r="F429" i="4"/>
  <c r="G429" i="4"/>
  <c r="I429" i="4"/>
  <c r="J429" i="4"/>
  <c r="C449" i="4"/>
  <c r="D449" i="4"/>
  <c r="E449" i="4"/>
  <c r="F449" i="4"/>
  <c r="G449" i="4"/>
  <c r="I449" i="4"/>
  <c r="J449" i="4"/>
  <c r="C417" i="4"/>
  <c r="D417" i="4"/>
  <c r="E417" i="4"/>
  <c r="F417" i="4"/>
  <c r="G417" i="4"/>
  <c r="I417" i="4"/>
  <c r="J417" i="4"/>
  <c r="C437" i="4"/>
  <c r="D437" i="4"/>
  <c r="E437" i="4"/>
  <c r="F437" i="4"/>
  <c r="G437" i="4"/>
  <c r="I437" i="4"/>
  <c r="J437" i="4"/>
  <c r="C453" i="4"/>
  <c r="D453" i="4"/>
  <c r="E453" i="4"/>
  <c r="F453" i="4"/>
  <c r="G453" i="4"/>
  <c r="I453" i="4"/>
  <c r="J453" i="4"/>
  <c r="C463" i="4"/>
  <c r="D463" i="4"/>
  <c r="E463" i="4"/>
  <c r="F463" i="4"/>
  <c r="G463" i="4"/>
  <c r="I463" i="4"/>
  <c r="J463" i="4"/>
  <c r="C639" i="4"/>
  <c r="D639" i="4"/>
  <c r="E639" i="4"/>
  <c r="F639" i="4"/>
  <c r="G639" i="4"/>
  <c r="I639" i="4"/>
  <c r="J639" i="4"/>
  <c r="C635" i="4"/>
  <c r="D635" i="4"/>
  <c r="E635" i="4"/>
  <c r="F635" i="4"/>
  <c r="G635" i="4"/>
  <c r="I635" i="4"/>
  <c r="J635" i="4"/>
  <c r="C494" i="4"/>
  <c r="D494" i="4"/>
  <c r="E494" i="4"/>
  <c r="F494" i="4"/>
  <c r="G494" i="4"/>
  <c r="I494" i="4"/>
  <c r="J494" i="4"/>
  <c r="C57" i="4"/>
  <c r="D57" i="4"/>
  <c r="E57" i="4"/>
  <c r="F57" i="4"/>
  <c r="G57" i="4"/>
  <c r="I57" i="4"/>
  <c r="J57" i="4"/>
  <c r="C600" i="4"/>
  <c r="D600" i="4"/>
  <c r="E600" i="4"/>
  <c r="F600" i="4"/>
  <c r="G600" i="4"/>
  <c r="I600" i="4"/>
  <c r="J600" i="4"/>
  <c r="C267" i="4"/>
  <c r="D267" i="4"/>
  <c r="E267" i="4"/>
  <c r="F267" i="4"/>
  <c r="G267" i="4"/>
  <c r="I267" i="4"/>
  <c r="J267" i="4"/>
  <c r="C534" i="4"/>
  <c r="D534" i="4"/>
  <c r="E534" i="4"/>
  <c r="F534" i="4"/>
  <c r="G534" i="4"/>
  <c r="I534" i="4"/>
  <c r="J534" i="4"/>
  <c r="C281" i="4"/>
  <c r="D281" i="4"/>
  <c r="E281" i="4"/>
  <c r="F281" i="4"/>
  <c r="G281" i="4"/>
  <c r="I281" i="4"/>
  <c r="J281" i="4"/>
  <c r="C75" i="4"/>
  <c r="D75" i="4"/>
  <c r="E75" i="4"/>
  <c r="F75" i="4"/>
  <c r="G75" i="4"/>
  <c r="I75" i="4"/>
  <c r="J75" i="4"/>
  <c r="C210" i="4"/>
  <c r="D210" i="4"/>
  <c r="E210" i="4"/>
  <c r="F210" i="4"/>
  <c r="G210" i="4"/>
  <c r="I210" i="4"/>
  <c r="J210" i="4"/>
  <c r="C831" i="4"/>
  <c r="D831" i="4"/>
  <c r="E831" i="4"/>
  <c r="F831" i="4"/>
  <c r="G831" i="4"/>
  <c r="I831" i="4"/>
  <c r="J831" i="4"/>
  <c r="C162" i="4"/>
  <c r="D162" i="4"/>
  <c r="E162" i="4"/>
  <c r="F162" i="4"/>
  <c r="G162" i="4"/>
  <c r="I162" i="4"/>
  <c r="J162" i="4"/>
  <c r="C655" i="4"/>
  <c r="D655" i="4"/>
  <c r="E655" i="4"/>
  <c r="F655" i="4"/>
  <c r="G655" i="4"/>
  <c r="I655" i="4"/>
  <c r="J655" i="4"/>
  <c r="C647" i="4"/>
  <c r="D647" i="4"/>
  <c r="E647" i="4"/>
  <c r="F647" i="4"/>
  <c r="G647" i="4"/>
  <c r="I647" i="4"/>
  <c r="J647" i="4"/>
  <c r="C119" i="4"/>
  <c r="D119" i="4"/>
  <c r="E119" i="4"/>
  <c r="F119" i="4"/>
  <c r="G119" i="4"/>
  <c r="I119" i="4"/>
  <c r="J119" i="4"/>
  <c r="C751" i="4"/>
  <c r="D751" i="4"/>
  <c r="E751" i="4"/>
  <c r="F751" i="4"/>
  <c r="G751" i="4"/>
  <c r="I751" i="4"/>
  <c r="J751" i="4"/>
  <c r="C40" i="4"/>
  <c r="D40" i="4"/>
  <c r="E40" i="4"/>
  <c r="F40" i="4"/>
  <c r="G40" i="4"/>
  <c r="I40" i="4"/>
  <c r="J40" i="4"/>
  <c r="C44" i="4"/>
  <c r="D44" i="4"/>
  <c r="E44" i="4"/>
  <c r="F44" i="4"/>
  <c r="G44" i="4"/>
  <c r="I44" i="4"/>
  <c r="J44" i="4"/>
  <c r="C24" i="4"/>
  <c r="D24" i="4"/>
  <c r="E24" i="4"/>
  <c r="F24" i="4"/>
  <c r="G24" i="4"/>
  <c r="I24" i="4"/>
  <c r="J24" i="4"/>
  <c r="C27" i="4"/>
  <c r="D27" i="4"/>
  <c r="E27" i="4"/>
  <c r="F27" i="4"/>
  <c r="G27" i="4"/>
  <c r="I27" i="4"/>
  <c r="J27" i="4"/>
  <c r="C32" i="4"/>
  <c r="D32" i="4"/>
  <c r="E32" i="4"/>
  <c r="F32" i="4"/>
  <c r="G32" i="4"/>
  <c r="I32" i="4"/>
  <c r="J32" i="4"/>
  <c r="C789" i="4"/>
  <c r="D789" i="4"/>
  <c r="E789" i="4"/>
  <c r="F789" i="4"/>
  <c r="G789" i="4"/>
  <c r="I789" i="4"/>
  <c r="J789" i="4"/>
  <c r="C146" i="4"/>
  <c r="D146" i="4"/>
  <c r="E146" i="4"/>
  <c r="F146" i="4"/>
  <c r="G146" i="4"/>
  <c r="I146" i="4"/>
  <c r="J146" i="4"/>
  <c r="C794" i="4"/>
  <c r="D794" i="4"/>
  <c r="E794" i="4"/>
  <c r="F794" i="4"/>
  <c r="G794" i="4"/>
  <c r="I794" i="4"/>
  <c r="J794" i="4"/>
  <c r="C150" i="4"/>
  <c r="D150" i="4"/>
  <c r="E150" i="4"/>
  <c r="F150" i="4"/>
  <c r="G150" i="4"/>
  <c r="I150" i="4"/>
  <c r="J150" i="4"/>
  <c r="C820" i="4"/>
  <c r="D820" i="4"/>
  <c r="E820" i="4"/>
  <c r="F820" i="4"/>
  <c r="G820" i="4"/>
  <c r="I820" i="4"/>
  <c r="J820" i="4"/>
  <c r="C134" i="4"/>
  <c r="D134" i="4"/>
  <c r="E134" i="4"/>
  <c r="F134" i="4"/>
  <c r="G134" i="4"/>
  <c r="I134" i="4"/>
  <c r="J134" i="4"/>
  <c r="C798" i="4"/>
  <c r="D798" i="4"/>
  <c r="E798" i="4"/>
  <c r="F798" i="4"/>
  <c r="G798" i="4"/>
  <c r="I798" i="4"/>
  <c r="J798" i="4"/>
  <c r="C808" i="4"/>
  <c r="D808" i="4"/>
  <c r="E808" i="4"/>
  <c r="F808" i="4"/>
  <c r="G808" i="4"/>
  <c r="I808" i="4"/>
  <c r="J808" i="4"/>
  <c r="C137" i="4"/>
  <c r="D137" i="4"/>
  <c r="E137" i="4"/>
  <c r="F137" i="4"/>
  <c r="G137" i="4"/>
  <c r="I137" i="4"/>
  <c r="J137" i="4"/>
  <c r="C801" i="4"/>
  <c r="D801" i="4"/>
  <c r="E801" i="4"/>
  <c r="F801" i="4"/>
  <c r="G801" i="4"/>
  <c r="I801" i="4"/>
  <c r="J801" i="4"/>
  <c r="C142" i="4"/>
  <c r="D142" i="4"/>
  <c r="E142" i="4"/>
  <c r="F142" i="4"/>
  <c r="G142" i="4"/>
  <c r="I142" i="4"/>
  <c r="J142" i="4"/>
  <c r="C814" i="4"/>
  <c r="D814" i="4"/>
  <c r="E814" i="4"/>
  <c r="F814" i="4"/>
  <c r="G814" i="4"/>
  <c r="I814" i="4"/>
  <c r="J814" i="4"/>
  <c r="C576" i="4"/>
  <c r="D576" i="4"/>
  <c r="E576" i="4"/>
  <c r="F576" i="4"/>
  <c r="G576" i="4"/>
  <c r="I576" i="4"/>
  <c r="J576" i="4"/>
  <c r="C584" i="4"/>
  <c r="D584" i="4"/>
  <c r="E584" i="4"/>
  <c r="F584" i="4"/>
  <c r="G584" i="4"/>
  <c r="I584" i="4"/>
  <c r="J584" i="4"/>
  <c r="C694" i="4"/>
  <c r="D694" i="4"/>
  <c r="E694" i="4"/>
  <c r="F694" i="4"/>
  <c r="G694" i="4"/>
  <c r="I694" i="4"/>
  <c r="J694" i="4"/>
  <c r="C624" i="4"/>
  <c r="D624" i="4"/>
  <c r="E624" i="4"/>
  <c r="F624" i="4"/>
  <c r="G624" i="4"/>
  <c r="I624" i="4"/>
  <c r="J624" i="4"/>
  <c r="C684" i="4"/>
  <c r="D684" i="4"/>
  <c r="E684" i="4"/>
  <c r="F684" i="4"/>
  <c r="G684" i="4"/>
  <c r="I684" i="4"/>
  <c r="J684" i="4"/>
  <c r="C344" i="4"/>
  <c r="D344" i="4"/>
  <c r="E344" i="4"/>
  <c r="F344" i="4"/>
  <c r="G344" i="4"/>
  <c r="I344" i="4"/>
  <c r="J344" i="4"/>
  <c r="C362" i="4"/>
  <c r="D362" i="4"/>
  <c r="E362" i="4"/>
  <c r="F362" i="4"/>
  <c r="G362" i="4"/>
  <c r="I362" i="4"/>
  <c r="J362" i="4"/>
  <c r="C385" i="4"/>
  <c r="D385" i="4"/>
  <c r="E385" i="4"/>
  <c r="F385" i="4"/>
  <c r="G385" i="4"/>
  <c r="I385" i="4"/>
  <c r="J385" i="4"/>
  <c r="C331" i="4"/>
  <c r="D331" i="4"/>
  <c r="E331" i="4"/>
  <c r="F331" i="4"/>
  <c r="G331" i="4"/>
  <c r="I331" i="4"/>
  <c r="J331" i="4"/>
  <c r="C369" i="4"/>
  <c r="D369" i="4"/>
  <c r="E369" i="4"/>
  <c r="F369" i="4"/>
  <c r="G369" i="4"/>
  <c r="I369" i="4"/>
  <c r="J369" i="4"/>
  <c r="C337" i="4"/>
  <c r="D337" i="4"/>
  <c r="E337" i="4"/>
  <c r="F337" i="4"/>
  <c r="G337" i="4"/>
  <c r="I337" i="4"/>
  <c r="J337" i="4"/>
  <c r="C354" i="4"/>
  <c r="D354" i="4"/>
  <c r="E354" i="4"/>
  <c r="F354" i="4"/>
  <c r="G354" i="4"/>
  <c r="I354" i="4"/>
  <c r="J354" i="4"/>
  <c r="C388" i="4"/>
  <c r="D388" i="4"/>
  <c r="E388" i="4"/>
  <c r="F388" i="4"/>
  <c r="G388" i="4"/>
  <c r="I388" i="4"/>
  <c r="J388" i="4"/>
  <c r="C319" i="4"/>
  <c r="D319" i="4"/>
  <c r="E319" i="4"/>
  <c r="F319" i="4"/>
  <c r="G319" i="4"/>
  <c r="I319" i="4"/>
  <c r="J319" i="4"/>
  <c r="C376" i="4"/>
  <c r="D376" i="4"/>
  <c r="E376" i="4"/>
  <c r="F376" i="4"/>
  <c r="G376" i="4"/>
  <c r="I376" i="4"/>
  <c r="J376" i="4"/>
  <c r="C309" i="4"/>
  <c r="D309" i="4"/>
  <c r="E309" i="4"/>
  <c r="F309" i="4"/>
  <c r="G309" i="4"/>
  <c r="I309" i="4"/>
  <c r="J309" i="4"/>
  <c r="C422" i="4"/>
  <c r="D422" i="4"/>
  <c r="E422" i="4"/>
  <c r="F422" i="4"/>
  <c r="G422" i="4"/>
  <c r="I422" i="4"/>
  <c r="J422" i="4"/>
  <c r="C442" i="4"/>
  <c r="D442" i="4"/>
  <c r="E442" i="4"/>
  <c r="F442" i="4"/>
  <c r="G442" i="4"/>
  <c r="I442" i="4"/>
  <c r="J442" i="4"/>
  <c r="C458" i="4"/>
  <c r="D458" i="4"/>
  <c r="E458" i="4"/>
  <c r="F458" i="4"/>
  <c r="G458" i="4"/>
  <c r="I458" i="4"/>
  <c r="J458" i="4"/>
  <c r="C410" i="4"/>
  <c r="D410" i="4"/>
  <c r="E410" i="4"/>
  <c r="F410" i="4"/>
  <c r="G410" i="4"/>
  <c r="I410" i="4"/>
  <c r="J410" i="4"/>
  <c r="C430" i="4"/>
  <c r="D430" i="4"/>
  <c r="E430" i="4"/>
  <c r="F430" i="4"/>
  <c r="G430" i="4"/>
  <c r="I430" i="4"/>
  <c r="J430" i="4"/>
  <c r="C466" i="4"/>
  <c r="D466" i="4"/>
  <c r="E466" i="4"/>
  <c r="F466" i="4"/>
  <c r="G466" i="4"/>
  <c r="I466" i="4"/>
  <c r="J466" i="4"/>
  <c r="C640" i="4"/>
  <c r="D640" i="4"/>
  <c r="E640" i="4"/>
  <c r="F640" i="4"/>
  <c r="G640" i="4"/>
  <c r="I640" i="4"/>
  <c r="J640" i="4"/>
  <c r="C211" i="4"/>
  <c r="D211" i="4"/>
  <c r="E211" i="4"/>
  <c r="F211" i="4"/>
  <c r="G211" i="4"/>
  <c r="I211" i="4"/>
  <c r="J211" i="4"/>
  <c r="C601" i="4"/>
  <c r="D601" i="4"/>
  <c r="E601" i="4"/>
  <c r="F601" i="4"/>
  <c r="G601" i="4"/>
  <c r="I601" i="4"/>
  <c r="J601" i="4"/>
  <c r="C268" i="4"/>
  <c r="D268" i="4"/>
  <c r="E268" i="4"/>
  <c r="F268" i="4"/>
  <c r="G268" i="4"/>
  <c r="I268" i="4"/>
  <c r="J268" i="4"/>
  <c r="C535" i="4"/>
  <c r="D535" i="4"/>
  <c r="E535" i="4"/>
  <c r="F535" i="4"/>
  <c r="G535" i="4"/>
  <c r="I535" i="4"/>
  <c r="J535" i="4"/>
  <c r="C282" i="4"/>
  <c r="D282" i="4"/>
  <c r="E282" i="4"/>
  <c r="F282" i="4"/>
  <c r="G282" i="4"/>
  <c r="I282" i="4"/>
  <c r="J282" i="4"/>
  <c r="C832" i="4"/>
  <c r="D832" i="4"/>
  <c r="E832" i="4"/>
  <c r="F832" i="4"/>
  <c r="G832" i="4"/>
  <c r="I832" i="4"/>
  <c r="J832" i="4"/>
  <c r="C163" i="4"/>
  <c r="D163" i="4"/>
  <c r="E163" i="4"/>
  <c r="F163" i="4"/>
  <c r="G163" i="4"/>
  <c r="I163" i="4"/>
  <c r="J163" i="4"/>
  <c r="C495" i="4"/>
  <c r="D495" i="4"/>
  <c r="E495" i="4"/>
  <c r="F495" i="4"/>
  <c r="G495" i="4"/>
  <c r="I495" i="4"/>
  <c r="J495" i="4"/>
  <c r="C58" i="4"/>
  <c r="D58" i="4"/>
  <c r="E58" i="4"/>
  <c r="F58" i="4"/>
  <c r="G58" i="4"/>
  <c r="I58" i="4"/>
  <c r="J58" i="4"/>
  <c r="C76" i="4"/>
  <c r="D76" i="4"/>
  <c r="E76" i="4"/>
  <c r="F76" i="4"/>
  <c r="G76" i="4"/>
  <c r="I76" i="4"/>
  <c r="J76" i="4"/>
  <c r="C656" i="4"/>
  <c r="D656" i="4"/>
  <c r="E656" i="4"/>
  <c r="F656" i="4"/>
  <c r="G656" i="4"/>
  <c r="I656" i="4"/>
  <c r="J656" i="4"/>
  <c r="C648" i="4"/>
  <c r="D648" i="4"/>
  <c r="E648" i="4"/>
  <c r="F648" i="4"/>
  <c r="G648" i="4"/>
  <c r="I648" i="4"/>
  <c r="J648" i="4"/>
  <c r="C120" i="4"/>
  <c r="D120" i="4"/>
  <c r="E120" i="4"/>
  <c r="F120" i="4"/>
  <c r="G120" i="4"/>
  <c r="I120" i="4"/>
  <c r="J120" i="4"/>
  <c r="C752" i="4"/>
  <c r="D752" i="4"/>
  <c r="E752" i="4"/>
  <c r="F752" i="4"/>
  <c r="G752" i="4"/>
  <c r="I752" i="4"/>
  <c r="J752" i="4"/>
  <c r="C711" i="4"/>
  <c r="D711" i="4"/>
  <c r="E711" i="4"/>
  <c r="F711" i="4"/>
  <c r="G711" i="4"/>
  <c r="I711" i="4"/>
  <c r="J711" i="4"/>
  <c r="C473" i="4"/>
  <c r="D473" i="4"/>
  <c r="E473" i="4"/>
  <c r="F473" i="4"/>
  <c r="G473" i="4"/>
  <c r="I473" i="4"/>
  <c r="J473" i="4"/>
  <c r="C490" i="4"/>
  <c r="D490" i="4"/>
  <c r="E490" i="4"/>
  <c r="F490" i="4"/>
  <c r="G490" i="4"/>
  <c r="I490" i="4"/>
  <c r="J490" i="4"/>
  <c r="C201" i="4"/>
  <c r="D201" i="4"/>
  <c r="E201" i="4"/>
  <c r="F201" i="4"/>
  <c r="G201" i="4"/>
  <c r="I201" i="4"/>
  <c r="J201" i="4"/>
  <c r="C10" i="4"/>
  <c r="D10" i="4"/>
  <c r="E10" i="4"/>
  <c r="F10" i="4"/>
  <c r="G10" i="4"/>
  <c r="I10" i="4"/>
  <c r="J10" i="4"/>
  <c r="C2" i="4"/>
  <c r="D2" i="4"/>
  <c r="E2" i="4"/>
  <c r="F2" i="4"/>
  <c r="G2" i="4"/>
  <c r="I2" i="4"/>
  <c r="J2" i="4"/>
  <c r="C512" i="4"/>
  <c r="D512" i="4"/>
  <c r="E512" i="4"/>
  <c r="F512" i="4"/>
  <c r="G512" i="4"/>
  <c r="I512" i="4"/>
  <c r="J512" i="4"/>
  <c r="C187" i="4"/>
  <c r="D187" i="4"/>
  <c r="E187" i="4"/>
  <c r="F187" i="4"/>
  <c r="G187" i="4"/>
  <c r="I187" i="4"/>
  <c r="J187" i="4"/>
  <c r="C548" i="4"/>
  <c r="D548" i="4"/>
  <c r="E548" i="4"/>
  <c r="F548" i="4"/>
  <c r="G548" i="4"/>
  <c r="I548" i="4"/>
  <c r="J548" i="4"/>
  <c r="C823" i="4"/>
  <c r="D823" i="4"/>
  <c r="E823" i="4"/>
  <c r="F823" i="4"/>
  <c r="G823" i="4"/>
  <c r="I823" i="4"/>
  <c r="J823" i="4"/>
  <c r="C827" i="4"/>
  <c r="D827" i="4"/>
  <c r="E827" i="4"/>
  <c r="F827" i="4"/>
  <c r="G827" i="4"/>
  <c r="I827" i="4"/>
  <c r="J827" i="4"/>
  <c r="C36" i="4"/>
  <c r="D36" i="4"/>
  <c r="E36" i="4"/>
  <c r="F36" i="4"/>
  <c r="G36" i="4"/>
  <c r="I36" i="4"/>
  <c r="J36" i="4"/>
  <c r="C676" i="4"/>
  <c r="D676" i="4"/>
  <c r="E676" i="4"/>
  <c r="F676" i="4"/>
  <c r="G676" i="4"/>
  <c r="I676" i="4"/>
  <c r="J676" i="4"/>
  <c r="C594" i="4"/>
  <c r="D594" i="4"/>
  <c r="E594" i="4"/>
  <c r="F594" i="4"/>
  <c r="G594" i="4"/>
  <c r="I594" i="4"/>
  <c r="J594" i="4"/>
  <c r="C3" i="4"/>
  <c r="D3" i="4"/>
  <c r="E3" i="4"/>
  <c r="F3" i="4"/>
  <c r="G3" i="4"/>
  <c r="I3" i="4"/>
  <c r="J3" i="4"/>
  <c r="C181" i="4"/>
  <c r="D181" i="4"/>
  <c r="E181" i="4"/>
  <c r="F181" i="4"/>
  <c r="G181" i="4"/>
  <c r="I181" i="4"/>
  <c r="J181" i="4"/>
  <c r="C188" i="4"/>
  <c r="D188" i="4"/>
  <c r="E188" i="4"/>
  <c r="F188" i="4"/>
  <c r="G188" i="4"/>
  <c r="I188" i="4"/>
  <c r="J188" i="4"/>
  <c r="C516" i="4"/>
  <c r="D516" i="4"/>
  <c r="E516" i="4"/>
  <c r="F516" i="4"/>
  <c r="G516" i="4"/>
  <c r="I516" i="4"/>
  <c r="J516" i="4"/>
  <c r="C549" i="4"/>
  <c r="D549" i="4"/>
  <c r="E549" i="4"/>
  <c r="F549" i="4"/>
  <c r="G549" i="4"/>
  <c r="I549" i="4"/>
  <c r="J549" i="4"/>
  <c r="C11" i="4"/>
  <c r="D11" i="4"/>
  <c r="E11" i="4"/>
  <c r="F11" i="4"/>
  <c r="G11" i="4"/>
  <c r="I11" i="4"/>
  <c r="J11" i="4"/>
  <c r="C153" i="4"/>
  <c r="D153" i="4"/>
  <c r="E153" i="4"/>
  <c r="F153" i="4"/>
  <c r="G153" i="4"/>
  <c r="I153" i="4"/>
  <c r="J153" i="4"/>
  <c r="C405" i="4"/>
  <c r="D405" i="4"/>
  <c r="E405" i="4"/>
  <c r="F405" i="4"/>
  <c r="G405" i="4"/>
  <c r="I405" i="4"/>
  <c r="J405" i="4"/>
  <c r="C561" i="4"/>
  <c r="D561" i="4"/>
  <c r="E561" i="4"/>
  <c r="F561" i="4"/>
  <c r="G561" i="4"/>
  <c r="I561" i="4"/>
  <c r="J561" i="4"/>
  <c r="C568" i="4"/>
  <c r="D568" i="4"/>
  <c r="E568" i="4"/>
  <c r="F568" i="4"/>
  <c r="G568" i="4"/>
  <c r="I568" i="4"/>
  <c r="J568" i="4"/>
  <c r="C94" i="4"/>
  <c r="D94" i="4"/>
  <c r="E94" i="4"/>
  <c r="F94" i="4"/>
  <c r="G94" i="4"/>
  <c r="I94" i="4"/>
  <c r="J94" i="4"/>
  <c r="C753" i="4"/>
  <c r="D753" i="4"/>
  <c r="E753" i="4"/>
  <c r="F753" i="4"/>
  <c r="G753" i="4"/>
  <c r="I753" i="4"/>
  <c r="J753" i="4"/>
  <c r="C712" i="4"/>
  <c r="D712" i="4"/>
  <c r="E712" i="4"/>
  <c r="F712" i="4"/>
  <c r="G712" i="4"/>
  <c r="I712" i="4"/>
  <c r="J712" i="4"/>
  <c r="C474" i="4"/>
  <c r="D474" i="4"/>
  <c r="E474" i="4"/>
  <c r="F474" i="4"/>
  <c r="G474" i="4"/>
  <c r="I474" i="4"/>
  <c r="J474" i="4"/>
  <c r="C316" i="4"/>
  <c r="D316" i="4"/>
  <c r="E316" i="4"/>
  <c r="F316" i="4"/>
  <c r="G316" i="4"/>
  <c r="I316" i="4"/>
  <c r="J316" i="4"/>
  <c r="C754" i="4"/>
  <c r="D754" i="4"/>
  <c r="E754" i="4"/>
  <c r="F754" i="4"/>
  <c r="G754" i="4"/>
  <c r="I754" i="4"/>
  <c r="J754" i="4"/>
  <c r="C713" i="4"/>
  <c r="D713" i="4"/>
  <c r="E713" i="4"/>
  <c r="F713" i="4"/>
  <c r="G713" i="4"/>
  <c r="I713" i="4"/>
  <c r="J713" i="4"/>
  <c r="C475" i="4"/>
  <c r="D475" i="4"/>
  <c r="E475" i="4"/>
  <c r="F475" i="4"/>
  <c r="G475" i="4"/>
  <c r="I475" i="4"/>
  <c r="J475" i="4"/>
  <c r="C508" i="4"/>
  <c r="D508" i="4"/>
  <c r="E508" i="4"/>
  <c r="F508" i="4"/>
  <c r="G508" i="4"/>
  <c r="I508" i="4"/>
  <c r="J508" i="4"/>
  <c r="C670" i="4"/>
  <c r="D670" i="4"/>
  <c r="E670" i="4"/>
  <c r="F670" i="4"/>
  <c r="G670" i="4"/>
  <c r="I670" i="4"/>
  <c r="J670" i="4"/>
  <c r="C176" i="4"/>
  <c r="D176" i="4"/>
  <c r="E176" i="4"/>
  <c r="F176" i="4"/>
  <c r="G176" i="4"/>
  <c r="I176" i="4"/>
  <c r="J176" i="4"/>
  <c r="C496" i="4"/>
  <c r="D496" i="4"/>
  <c r="E496" i="4"/>
  <c r="F496" i="4"/>
  <c r="G496" i="4"/>
  <c r="I496" i="4"/>
  <c r="J496" i="4"/>
  <c r="C59" i="4"/>
  <c r="D59" i="4"/>
  <c r="E59" i="4"/>
  <c r="F59" i="4"/>
  <c r="G59" i="4"/>
  <c r="I59" i="4"/>
  <c r="J59" i="4"/>
  <c r="C602" i="4"/>
  <c r="D602" i="4"/>
  <c r="E602" i="4"/>
  <c r="F602" i="4"/>
  <c r="G602" i="4"/>
  <c r="I602" i="4"/>
  <c r="J602" i="4"/>
  <c r="C536" i="4"/>
  <c r="D536" i="4"/>
  <c r="E536" i="4"/>
  <c r="F536" i="4"/>
  <c r="G536" i="4"/>
  <c r="I536" i="4"/>
  <c r="J536" i="4"/>
  <c r="C212" i="4"/>
  <c r="D212" i="4"/>
  <c r="E212" i="4"/>
  <c r="F212" i="4"/>
  <c r="G212" i="4"/>
  <c r="I212" i="4"/>
  <c r="J212" i="4"/>
  <c r="C295" i="4"/>
  <c r="D295" i="4"/>
  <c r="E295" i="4"/>
  <c r="F295" i="4"/>
  <c r="G295" i="4"/>
  <c r="I295" i="4"/>
  <c r="J295" i="4"/>
  <c r="C833" i="4"/>
  <c r="D833" i="4"/>
  <c r="E833" i="4"/>
  <c r="F833" i="4"/>
  <c r="G833" i="4"/>
  <c r="I833" i="4"/>
  <c r="J833" i="4"/>
  <c r="C164" i="4"/>
  <c r="D164" i="4"/>
  <c r="E164" i="4"/>
  <c r="F164" i="4"/>
  <c r="G164" i="4"/>
  <c r="I164" i="4"/>
  <c r="J164" i="4"/>
  <c r="C269" i="4"/>
  <c r="D269" i="4"/>
  <c r="E269" i="4"/>
  <c r="F269" i="4"/>
  <c r="G269" i="4"/>
  <c r="I269" i="4"/>
  <c r="J269" i="4"/>
  <c r="C283" i="4"/>
  <c r="D283" i="4"/>
  <c r="E283" i="4"/>
  <c r="F283" i="4"/>
  <c r="G283" i="4"/>
  <c r="I283" i="4"/>
  <c r="J283" i="4"/>
  <c r="C77" i="4"/>
  <c r="D77" i="4"/>
  <c r="E77" i="4"/>
  <c r="F77" i="4"/>
  <c r="G77" i="4"/>
  <c r="I77" i="4"/>
  <c r="J77" i="4"/>
  <c r="C22" i="4"/>
  <c r="D22" i="4"/>
  <c r="E22" i="4"/>
  <c r="F22" i="4"/>
  <c r="G22" i="4"/>
  <c r="I22" i="4"/>
  <c r="J22" i="4"/>
  <c r="C627" i="4"/>
  <c r="D627" i="4"/>
  <c r="E627" i="4"/>
  <c r="F627" i="4"/>
  <c r="G627" i="4"/>
  <c r="I627" i="4"/>
  <c r="J627" i="4"/>
  <c r="C691" i="4"/>
  <c r="D691" i="4"/>
  <c r="E691" i="4"/>
  <c r="F691" i="4"/>
  <c r="G691" i="4"/>
  <c r="I691" i="4"/>
  <c r="J691" i="4"/>
  <c r="C598" i="4"/>
  <c r="D598" i="4"/>
  <c r="E598" i="4"/>
  <c r="F598" i="4"/>
  <c r="G598" i="4"/>
  <c r="I598" i="4"/>
  <c r="J598" i="4"/>
  <c r="C259" i="4"/>
  <c r="D259" i="4"/>
  <c r="E259" i="4"/>
  <c r="F259" i="4"/>
  <c r="G259" i="4"/>
  <c r="I259" i="4"/>
  <c r="J259" i="4"/>
  <c r="C71" i="4"/>
  <c r="D71" i="4"/>
  <c r="E71" i="4"/>
  <c r="F71" i="4"/>
  <c r="G71" i="4"/>
  <c r="I71" i="4"/>
  <c r="J71" i="4"/>
  <c r="C571" i="4"/>
  <c r="D571" i="4"/>
  <c r="E571" i="4"/>
  <c r="F571" i="4"/>
  <c r="G571" i="4"/>
  <c r="I571" i="4"/>
  <c r="J571" i="4"/>
  <c r="C695" i="4"/>
  <c r="D695" i="4"/>
  <c r="E695" i="4"/>
  <c r="F695" i="4"/>
  <c r="G695" i="4"/>
  <c r="I695" i="4"/>
  <c r="J695" i="4"/>
  <c r="C249" i="4"/>
  <c r="D249" i="4"/>
  <c r="E249" i="4"/>
  <c r="F249" i="4"/>
  <c r="G249" i="4"/>
  <c r="I249" i="4"/>
  <c r="J249" i="4"/>
  <c r="C320" i="4"/>
  <c r="D320" i="4"/>
  <c r="E320" i="4"/>
  <c r="F320" i="4"/>
  <c r="G320" i="4"/>
  <c r="I320" i="4"/>
  <c r="J320" i="4"/>
  <c r="C377" i="4"/>
  <c r="D377" i="4"/>
  <c r="E377" i="4"/>
  <c r="F377" i="4"/>
  <c r="G377" i="4"/>
  <c r="I377" i="4"/>
  <c r="J377" i="4"/>
  <c r="C154" i="4"/>
  <c r="D154" i="4"/>
  <c r="E154" i="4"/>
  <c r="F154" i="4"/>
  <c r="G154" i="4"/>
  <c r="I154" i="4"/>
  <c r="J154" i="4"/>
  <c r="C525" i="4"/>
  <c r="D525" i="4"/>
  <c r="E525" i="4"/>
  <c r="F525" i="4"/>
  <c r="G525" i="4"/>
  <c r="I525" i="4"/>
  <c r="J525" i="4"/>
  <c r="C213" i="4"/>
  <c r="D213" i="4"/>
  <c r="E213" i="4"/>
  <c r="F213" i="4"/>
  <c r="G213" i="4"/>
  <c r="I213" i="4"/>
  <c r="J213" i="4"/>
  <c r="C603" i="4"/>
  <c r="D603" i="4"/>
  <c r="E603" i="4"/>
  <c r="F603" i="4"/>
  <c r="G603" i="4"/>
  <c r="I603" i="4"/>
  <c r="J603" i="4"/>
  <c r="C537" i="4"/>
  <c r="D537" i="4"/>
  <c r="E537" i="4"/>
  <c r="F537" i="4"/>
  <c r="G537" i="4"/>
  <c r="I537" i="4"/>
  <c r="J537" i="4"/>
  <c r="C60" i="4"/>
  <c r="D60" i="4"/>
  <c r="E60" i="4"/>
  <c r="F60" i="4"/>
  <c r="G60" i="4"/>
  <c r="I60" i="4"/>
  <c r="J60" i="4"/>
  <c r="C497" i="4"/>
  <c r="D497" i="4"/>
  <c r="E497" i="4"/>
  <c r="F497" i="4"/>
  <c r="G497" i="4"/>
  <c r="I497" i="4"/>
  <c r="J497" i="4"/>
  <c r="C657" i="4"/>
  <c r="D657" i="4"/>
  <c r="E657" i="4"/>
  <c r="F657" i="4"/>
  <c r="G657" i="4"/>
  <c r="I657" i="4"/>
  <c r="J657" i="4"/>
  <c r="C177" i="4"/>
  <c r="D177" i="4"/>
  <c r="E177" i="4"/>
  <c r="F177" i="4"/>
  <c r="G177" i="4"/>
  <c r="I177" i="4"/>
  <c r="J177" i="4"/>
  <c r="C95" i="4"/>
  <c r="D95" i="4"/>
  <c r="E95" i="4"/>
  <c r="F95" i="4"/>
  <c r="G95" i="4"/>
  <c r="I95" i="4"/>
  <c r="J95" i="4"/>
  <c r="C121" i="4"/>
  <c r="D121" i="4"/>
  <c r="E121" i="4"/>
  <c r="F121" i="4"/>
  <c r="G121" i="4"/>
  <c r="I121" i="4"/>
  <c r="J121" i="4"/>
  <c r="C755" i="4"/>
  <c r="D755" i="4"/>
  <c r="E755" i="4"/>
  <c r="F755" i="4"/>
  <c r="G755" i="4"/>
  <c r="I755" i="4"/>
  <c r="J755" i="4"/>
  <c r="C714" i="4"/>
  <c r="D714" i="4"/>
  <c r="E714" i="4"/>
  <c r="F714" i="4"/>
  <c r="G714" i="4"/>
  <c r="I714" i="4"/>
  <c r="J714" i="4"/>
  <c r="C834" i="4"/>
  <c r="D834" i="4"/>
  <c r="E834" i="4"/>
  <c r="F834" i="4"/>
  <c r="G834" i="4"/>
  <c r="I834" i="4"/>
  <c r="J834" i="4"/>
  <c r="C165" i="4"/>
  <c r="D165" i="4"/>
  <c r="E165" i="4"/>
  <c r="F165" i="4"/>
  <c r="G165" i="4"/>
  <c r="I165" i="4"/>
  <c r="J165" i="4"/>
  <c r="C270" i="4"/>
  <c r="D270" i="4"/>
  <c r="E270" i="4"/>
  <c r="F270" i="4"/>
  <c r="G270" i="4"/>
  <c r="I270" i="4"/>
  <c r="J270" i="4"/>
  <c r="C284" i="4"/>
  <c r="D284" i="4"/>
  <c r="E284" i="4"/>
  <c r="F284" i="4"/>
  <c r="G284" i="4"/>
  <c r="I284" i="4"/>
  <c r="J284" i="4"/>
  <c r="C78" i="4"/>
  <c r="D78" i="4"/>
  <c r="E78" i="4"/>
  <c r="F78" i="4"/>
  <c r="G78" i="4"/>
  <c r="I78" i="4"/>
  <c r="J78" i="4"/>
  <c r="C620" i="4"/>
  <c r="D620" i="4"/>
  <c r="E620" i="4"/>
  <c r="F620" i="4"/>
  <c r="G620" i="4"/>
  <c r="I620" i="4"/>
  <c r="J620" i="4"/>
  <c r="C577" i="4"/>
  <c r="D577" i="4"/>
  <c r="E577" i="4"/>
  <c r="F577" i="4"/>
  <c r="G577" i="4"/>
  <c r="I577" i="4"/>
  <c r="J577" i="4"/>
  <c r="C591" i="4"/>
  <c r="D591" i="4"/>
  <c r="E591" i="4"/>
  <c r="F591" i="4"/>
  <c r="G591" i="4"/>
  <c r="I591" i="4"/>
  <c r="J591" i="4"/>
  <c r="C585" i="4"/>
  <c r="D585" i="4"/>
  <c r="E585" i="4"/>
  <c r="F585" i="4"/>
  <c r="G585" i="4"/>
  <c r="I585" i="4"/>
  <c r="J585" i="4"/>
  <c r="C696" i="4"/>
  <c r="D696" i="4"/>
  <c r="E696" i="4"/>
  <c r="F696" i="4"/>
  <c r="G696" i="4"/>
  <c r="I696" i="4"/>
  <c r="J696" i="4"/>
  <c r="C685" i="4"/>
  <c r="D685" i="4"/>
  <c r="E685" i="4"/>
  <c r="F685" i="4"/>
  <c r="G685" i="4"/>
  <c r="I685" i="4"/>
  <c r="J685" i="4"/>
  <c r="C630" i="4"/>
  <c r="D630" i="4"/>
  <c r="E630" i="4"/>
  <c r="F630" i="4"/>
  <c r="G630" i="4"/>
  <c r="I630" i="4"/>
  <c r="J630" i="4"/>
  <c r="C615" i="4"/>
  <c r="D615" i="4"/>
  <c r="E615" i="4"/>
  <c r="F615" i="4"/>
  <c r="G615" i="4"/>
  <c r="I615" i="4"/>
  <c r="J615" i="4"/>
  <c r="C53" i="4"/>
  <c r="D53" i="4"/>
  <c r="E53" i="4"/>
  <c r="F53" i="4"/>
  <c r="G53" i="4"/>
  <c r="I53" i="4"/>
  <c r="J53" i="4"/>
  <c r="C206" i="4"/>
  <c r="D206" i="4"/>
  <c r="E206" i="4"/>
  <c r="F206" i="4"/>
  <c r="G206" i="4"/>
  <c r="I206" i="4"/>
  <c r="J206" i="4"/>
  <c r="C48" i="4"/>
  <c r="D48" i="4"/>
  <c r="E48" i="4"/>
  <c r="F48" i="4"/>
  <c r="G48" i="4"/>
  <c r="I48" i="4"/>
  <c r="J48" i="4"/>
  <c r="C302" i="4"/>
  <c r="D302" i="4"/>
  <c r="E302" i="4"/>
  <c r="F302" i="4"/>
  <c r="G302" i="4"/>
  <c r="I302" i="4"/>
  <c r="J302" i="4"/>
  <c r="C250" i="4"/>
  <c r="D250" i="4"/>
  <c r="E250" i="4"/>
  <c r="F250" i="4"/>
  <c r="G250" i="4"/>
  <c r="I250" i="4"/>
  <c r="J250" i="4"/>
  <c r="C96" i="4"/>
  <c r="D96" i="4"/>
  <c r="E96" i="4"/>
  <c r="F96" i="4"/>
  <c r="G96" i="4"/>
  <c r="I96" i="4"/>
  <c r="J96" i="4"/>
  <c r="C756" i="4"/>
  <c r="D756" i="4"/>
  <c r="E756" i="4"/>
  <c r="F756" i="4"/>
  <c r="G756" i="4"/>
  <c r="I756" i="4"/>
  <c r="J756" i="4"/>
  <c r="C715" i="4"/>
  <c r="D715" i="4"/>
  <c r="E715" i="4"/>
  <c r="F715" i="4"/>
  <c r="G715" i="4"/>
  <c r="I715" i="4"/>
  <c r="J715" i="4"/>
  <c r="C238" i="4"/>
  <c r="D238" i="4"/>
  <c r="E238" i="4"/>
  <c r="F238" i="4"/>
  <c r="G238" i="4"/>
  <c r="I238" i="4"/>
  <c r="J238" i="4"/>
  <c r="C230" i="4"/>
  <c r="D230" i="4"/>
  <c r="E230" i="4"/>
  <c r="F230" i="4"/>
  <c r="G230" i="4"/>
  <c r="I230" i="4"/>
  <c r="J230" i="4"/>
  <c r="C97" i="4"/>
  <c r="D97" i="4"/>
  <c r="E97" i="4"/>
  <c r="F97" i="4"/>
  <c r="G97" i="4"/>
  <c r="I97" i="4"/>
  <c r="J97" i="4"/>
  <c r="C757" i="4"/>
  <c r="D757" i="4"/>
  <c r="E757" i="4"/>
  <c r="F757" i="4"/>
  <c r="G757" i="4"/>
  <c r="I757" i="4"/>
  <c r="J757" i="4"/>
  <c r="C716" i="4"/>
  <c r="D716" i="4"/>
  <c r="E716" i="4"/>
  <c r="F716" i="4"/>
  <c r="G716" i="4"/>
  <c r="I716" i="4"/>
  <c r="J716" i="4"/>
  <c r="C245" i="4"/>
  <c r="D245" i="4"/>
  <c r="E245" i="4"/>
  <c r="F245" i="4"/>
  <c r="G245" i="4"/>
  <c r="I245" i="4"/>
  <c r="J245" i="4"/>
  <c r="C98" i="4"/>
  <c r="D98" i="4"/>
  <c r="E98" i="4"/>
  <c r="F98" i="4"/>
  <c r="G98" i="4"/>
  <c r="I98" i="4"/>
  <c r="J98" i="4"/>
  <c r="C758" i="4"/>
  <c r="D758" i="4"/>
  <c r="E758" i="4"/>
  <c r="F758" i="4"/>
  <c r="G758" i="4"/>
  <c r="I758" i="4"/>
  <c r="J758" i="4"/>
  <c r="C717" i="4"/>
  <c r="D717" i="4"/>
  <c r="E717" i="4"/>
  <c r="F717" i="4"/>
  <c r="G717" i="4"/>
  <c r="I717" i="4"/>
  <c r="J717" i="4"/>
  <c r="C225" i="4"/>
  <c r="D225" i="4"/>
  <c r="E225" i="4"/>
  <c r="F225" i="4"/>
  <c r="G225" i="4"/>
  <c r="I225" i="4"/>
  <c r="J225" i="4"/>
  <c r="C487" i="4"/>
  <c r="D487" i="4"/>
  <c r="E487" i="4"/>
  <c r="F487" i="4"/>
  <c r="G487" i="4"/>
  <c r="I487" i="4"/>
  <c r="J487" i="4"/>
  <c r="C673" i="4"/>
  <c r="D673" i="4"/>
  <c r="E673" i="4"/>
  <c r="F673" i="4"/>
  <c r="G673" i="4"/>
  <c r="I673" i="4"/>
  <c r="J673" i="4"/>
  <c r="C667" i="4"/>
  <c r="D667" i="4"/>
  <c r="E667" i="4"/>
  <c r="F667" i="4"/>
  <c r="G667" i="4"/>
  <c r="I667" i="4"/>
  <c r="J667" i="4"/>
  <c r="C99" i="4"/>
  <c r="D99" i="4"/>
  <c r="E99" i="4"/>
  <c r="F99" i="4"/>
  <c r="G99" i="4"/>
  <c r="I99" i="4"/>
  <c r="J99" i="4"/>
  <c r="C759" i="4"/>
  <c r="D759" i="4"/>
  <c r="E759" i="4"/>
  <c r="F759" i="4"/>
  <c r="G759" i="4"/>
  <c r="I759" i="4"/>
  <c r="J759" i="4"/>
  <c r="C718" i="4"/>
  <c r="D718" i="4"/>
  <c r="E718" i="4"/>
  <c r="F718" i="4"/>
  <c r="G718" i="4"/>
  <c r="I718" i="4"/>
  <c r="J718" i="4"/>
  <c r="C239" i="4"/>
  <c r="D239" i="4"/>
  <c r="E239" i="4"/>
  <c r="F239" i="4"/>
  <c r="G239" i="4"/>
  <c r="I239" i="4"/>
  <c r="J239" i="4"/>
  <c r="C231" i="4"/>
  <c r="D231" i="4"/>
  <c r="E231" i="4"/>
  <c r="F231" i="4"/>
  <c r="G231" i="4"/>
  <c r="I231" i="4"/>
  <c r="J231" i="4"/>
  <c r="C100" i="4"/>
  <c r="D100" i="4"/>
  <c r="E100" i="4"/>
  <c r="F100" i="4"/>
  <c r="G100" i="4"/>
  <c r="I100" i="4"/>
  <c r="J100" i="4"/>
  <c r="C760" i="4"/>
  <c r="D760" i="4"/>
  <c r="E760" i="4"/>
  <c r="F760" i="4"/>
  <c r="G760" i="4"/>
  <c r="I760" i="4"/>
  <c r="J760" i="4"/>
  <c r="C719" i="4"/>
  <c r="D719" i="4"/>
  <c r="E719" i="4"/>
  <c r="F719" i="4"/>
  <c r="G719" i="4"/>
  <c r="I719" i="4"/>
  <c r="J719" i="4"/>
  <c r="C264" i="4"/>
  <c r="D264" i="4"/>
  <c r="E264" i="4"/>
  <c r="F264" i="4"/>
  <c r="G264" i="4"/>
  <c r="I264" i="4"/>
  <c r="J264" i="4"/>
  <c r="C299" i="4"/>
  <c r="D299" i="4"/>
  <c r="E299" i="4"/>
  <c r="F299" i="4"/>
  <c r="G299" i="4"/>
  <c r="I299" i="4"/>
  <c r="J299" i="4"/>
  <c r="C332" i="4"/>
  <c r="D332" i="4"/>
  <c r="E332" i="4"/>
  <c r="F332" i="4"/>
  <c r="G332" i="4"/>
  <c r="I332" i="4"/>
  <c r="J332" i="4"/>
  <c r="C370" i="4"/>
  <c r="D370" i="4"/>
  <c r="E370" i="4"/>
  <c r="F370" i="4"/>
  <c r="G370" i="4"/>
  <c r="I370" i="4"/>
  <c r="J370" i="4"/>
  <c r="C348" i="4"/>
  <c r="D348" i="4"/>
  <c r="E348" i="4"/>
  <c r="F348" i="4"/>
  <c r="G348" i="4"/>
  <c r="I348" i="4"/>
  <c r="J348" i="4"/>
  <c r="C393" i="4"/>
  <c r="D393" i="4"/>
  <c r="E393" i="4"/>
  <c r="F393" i="4"/>
  <c r="G393" i="4"/>
  <c r="I393" i="4"/>
  <c r="J393" i="4"/>
  <c r="C338" i="4"/>
  <c r="D338" i="4"/>
  <c r="E338" i="4"/>
  <c r="F338" i="4"/>
  <c r="G338" i="4"/>
  <c r="I338" i="4"/>
  <c r="J338" i="4"/>
  <c r="C355" i="4"/>
  <c r="D355" i="4"/>
  <c r="E355" i="4"/>
  <c r="F355" i="4"/>
  <c r="G355" i="4"/>
  <c r="I355" i="4"/>
  <c r="J355" i="4"/>
  <c r="C321" i="4"/>
  <c r="D321" i="4"/>
  <c r="E321" i="4"/>
  <c r="F321" i="4"/>
  <c r="G321" i="4"/>
  <c r="I321" i="4"/>
  <c r="J321" i="4"/>
  <c r="C378" i="4"/>
  <c r="D378" i="4"/>
  <c r="E378" i="4"/>
  <c r="F378" i="4"/>
  <c r="G378" i="4"/>
  <c r="I378" i="4"/>
  <c r="J378" i="4"/>
  <c r="C351" i="4"/>
  <c r="D351" i="4"/>
  <c r="E351" i="4"/>
  <c r="F351" i="4"/>
  <c r="G351" i="4"/>
  <c r="I351" i="4"/>
  <c r="J351" i="4"/>
  <c r="C397" i="4"/>
  <c r="D397" i="4"/>
  <c r="E397" i="4"/>
  <c r="F397" i="4"/>
  <c r="G397" i="4"/>
  <c r="I397" i="4"/>
  <c r="J397" i="4"/>
  <c r="C401" i="4"/>
  <c r="D401" i="4"/>
  <c r="E401" i="4"/>
  <c r="F401" i="4"/>
  <c r="G401" i="4"/>
  <c r="I401" i="4"/>
  <c r="J401" i="4"/>
  <c r="C310" i="4"/>
  <c r="D310" i="4"/>
  <c r="E310" i="4"/>
  <c r="F310" i="4"/>
  <c r="G310" i="4"/>
  <c r="I310" i="4"/>
  <c r="J310" i="4"/>
  <c r="C122" i="4"/>
  <c r="D122" i="4"/>
  <c r="E122" i="4"/>
  <c r="F122" i="4"/>
  <c r="G122" i="4"/>
  <c r="I122" i="4"/>
  <c r="J122" i="4"/>
  <c r="C761" i="4"/>
  <c r="D761" i="4"/>
  <c r="E761" i="4"/>
  <c r="F761" i="4"/>
  <c r="G761" i="4"/>
  <c r="I761" i="4"/>
  <c r="J761" i="4"/>
  <c r="C720" i="4"/>
  <c r="D720" i="4"/>
  <c r="E720" i="4"/>
  <c r="F720" i="4"/>
  <c r="G720" i="4"/>
  <c r="I720" i="4"/>
  <c r="J720" i="4"/>
  <c r="C476" i="4"/>
  <c r="D476" i="4"/>
  <c r="E476" i="4"/>
  <c r="F476" i="4"/>
  <c r="G476" i="4"/>
  <c r="I476" i="4"/>
  <c r="J476" i="4"/>
  <c r="C467" i="4"/>
  <c r="D467" i="4"/>
  <c r="E467" i="4"/>
  <c r="F467" i="4"/>
  <c r="G467" i="4"/>
  <c r="I467" i="4"/>
  <c r="J467" i="4"/>
  <c r="C423" i="4"/>
  <c r="D423" i="4"/>
  <c r="E423" i="4"/>
  <c r="F423" i="4"/>
  <c r="G423" i="4"/>
  <c r="I423" i="4"/>
  <c r="J423" i="4"/>
  <c r="C443" i="4"/>
  <c r="D443" i="4"/>
  <c r="E443" i="4"/>
  <c r="F443" i="4"/>
  <c r="G443" i="4"/>
  <c r="I443" i="4"/>
  <c r="J443" i="4"/>
  <c r="C457" i="4"/>
  <c r="D457" i="4"/>
  <c r="E457" i="4"/>
  <c r="F457" i="4"/>
  <c r="G457" i="4"/>
  <c r="I457" i="4"/>
  <c r="J457" i="4"/>
  <c r="C411" i="4"/>
  <c r="D411" i="4"/>
  <c r="E411" i="4"/>
  <c r="F411" i="4"/>
  <c r="G411" i="4"/>
  <c r="I411" i="4"/>
  <c r="J411" i="4"/>
  <c r="C431" i="4"/>
  <c r="D431" i="4"/>
  <c r="E431" i="4"/>
  <c r="F431" i="4"/>
  <c r="G431" i="4"/>
  <c r="I431" i="4"/>
  <c r="J431" i="4"/>
  <c r="C450" i="4"/>
  <c r="D450" i="4"/>
  <c r="E450" i="4"/>
  <c r="F450" i="4"/>
  <c r="G450" i="4"/>
  <c r="I450" i="4"/>
  <c r="J450" i="4"/>
  <c r="C418" i="4"/>
  <c r="D418" i="4"/>
  <c r="E418" i="4"/>
  <c r="F418" i="4"/>
  <c r="G418" i="4"/>
  <c r="I418" i="4"/>
  <c r="J418" i="4"/>
  <c r="C438" i="4"/>
  <c r="D438" i="4"/>
  <c r="E438" i="4"/>
  <c r="F438" i="4"/>
  <c r="G438" i="4"/>
  <c r="I438" i="4"/>
  <c r="J438" i="4"/>
  <c r="C454" i="4"/>
  <c r="D454" i="4"/>
  <c r="E454" i="4"/>
  <c r="F454" i="4"/>
  <c r="G454" i="4"/>
  <c r="I454" i="4"/>
  <c r="J454" i="4"/>
  <c r="C641" i="4"/>
  <c r="D641" i="4"/>
  <c r="E641" i="4"/>
  <c r="F641" i="4"/>
  <c r="G641" i="4"/>
  <c r="I641" i="4"/>
  <c r="J641" i="4"/>
  <c r="C636" i="4"/>
  <c r="D636" i="4"/>
  <c r="E636" i="4"/>
  <c r="F636" i="4"/>
  <c r="G636" i="4"/>
  <c r="I636" i="4"/>
  <c r="J636" i="4"/>
  <c r="C498" i="4"/>
  <c r="D498" i="4"/>
  <c r="E498" i="4"/>
  <c r="F498" i="4"/>
  <c r="G498" i="4"/>
  <c r="I498" i="4"/>
  <c r="J498" i="4"/>
  <c r="C61" i="4"/>
  <c r="D61" i="4"/>
  <c r="E61" i="4"/>
  <c r="F61" i="4"/>
  <c r="G61" i="4"/>
  <c r="I61" i="4"/>
  <c r="J61" i="4"/>
  <c r="C604" i="4"/>
  <c r="D604" i="4"/>
  <c r="E604" i="4"/>
  <c r="F604" i="4"/>
  <c r="G604" i="4"/>
  <c r="I604" i="4"/>
  <c r="J604" i="4"/>
  <c r="C271" i="4"/>
  <c r="D271" i="4"/>
  <c r="E271" i="4"/>
  <c r="F271" i="4"/>
  <c r="G271" i="4"/>
  <c r="I271" i="4"/>
  <c r="J271" i="4"/>
  <c r="C538" i="4"/>
  <c r="D538" i="4"/>
  <c r="E538" i="4"/>
  <c r="F538" i="4"/>
  <c r="G538" i="4"/>
  <c r="I538" i="4"/>
  <c r="J538" i="4"/>
  <c r="C285" i="4"/>
  <c r="D285" i="4"/>
  <c r="E285" i="4"/>
  <c r="F285" i="4"/>
  <c r="G285" i="4"/>
  <c r="I285" i="4"/>
  <c r="J285" i="4"/>
  <c r="C79" i="4"/>
  <c r="D79" i="4"/>
  <c r="E79" i="4"/>
  <c r="F79" i="4"/>
  <c r="G79" i="4"/>
  <c r="I79" i="4"/>
  <c r="J79" i="4"/>
  <c r="C214" i="4"/>
  <c r="D214" i="4"/>
  <c r="E214" i="4"/>
  <c r="F214" i="4"/>
  <c r="G214" i="4"/>
  <c r="I214" i="4"/>
  <c r="J214" i="4"/>
  <c r="C835" i="4"/>
  <c r="D835" i="4"/>
  <c r="E835" i="4"/>
  <c r="F835" i="4"/>
  <c r="G835" i="4"/>
  <c r="I835" i="4"/>
  <c r="J835" i="4"/>
  <c r="C166" i="4"/>
  <c r="D166" i="4"/>
  <c r="E166" i="4"/>
  <c r="F166" i="4"/>
  <c r="G166" i="4"/>
  <c r="I166" i="4"/>
  <c r="J166" i="4"/>
  <c r="C658" i="4"/>
  <c r="D658" i="4"/>
  <c r="E658" i="4"/>
  <c r="F658" i="4"/>
  <c r="G658" i="4"/>
  <c r="I658" i="4"/>
  <c r="J658" i="4"/>
  <c r="C649" i="4"/>
  <c r="D649" i="4"/>
  <c r="E649" i="4"/>
  <c r="F649" i="4"/>
  <c r="G649" i="4"/>
  <c r="I649" i="4"/>
  <c r="J649" i="4"/>
  <c r="C123" i="4"/>
  <c r="D123" i="4"/>
  <c r="E123" i="4"/>
  <c r="F123" i="4"/>
  <c r="G123" i="4"/>
  <c r="I123" i="4"/>
  <c r="J123" i="4"/>
  <c r="C762" i="4"/>
  <c r="D762" i="4"/>
  <c r="E762" i="4"/>
  <c r="F762" i="4"/>
  <c r="G762" i="4"/>
  <c r="I762" i="4"/>
  <c r="J762" i="4"/>
  <c r="C41" i="4"/>
  <c r="D41" i="4"/>
  <c r="E41" i="4"/>
  <c r="F41" i="4"/>
  <c r="G41" i="4"/>
  <c r="I41" i="4"/>
  <c r="J41" i="4"/>
  <c r="C45" i="4"/>
  <c r="D45" i="4"/>
  <c r="E45" i="4"/>
  <c r="F45" i="4"/>
  <c r="G45" i="4"/>
  <c r="I45" i="4"/>
  <c r="J45" i="4"/>
  <c r="C25" i="4"/>
  <c r="D25" i="4"/>
  <c r="E25" i="4"/>
  <c r="F25" i="4"/>
  <c r="G25" i="4"/>
  <c r="I25" i="4"/>
  <c r="J25" i="4"/>
  <c r="C28" i="4"/>
  <c r="D28" i="4"/>
  <c r="E28" i="4"/>
  <c r="F28" i="4"/>
  <c r="G28" i="4"/>
  <c r="I28" i="4"/>
  <c r="J28" i="4"/>
  <c r="C33" i="4"/>
  <c r="D33" i="4"/>
  <c r="E33" i="4"/>
  <c r="F33" i="4"/>
  <c r="G33" i="4"/>
  <c r="I33" i="4"/>
  <c r="J33" i="4"/>
  <c r="C790" i="4"/>
  <c r="D790" i="4"/>
  <c r="E790" i="4"/>
  <c r="F790" i="4"/>
  <c r="G790" i="4"/>
  <c r="I790" i="4"/>
  <c r="J790" i="4"/>
  <c r="C147" i="4"/>
  <c r="D147" i="4"/>
  <c r="E147" i="4"/>
  <c r="F147" i="4"/>
  <c r="G147" i="4"/>
  <c r="I147" i="4"/>
  <c r="J147" i="4"/>
  <c r="C795" i="4"/>
  <c r="D795" i="4"/>
  <c r="E795" i="4"/>
  <c r="F795" i="4"/>
  <c r="G795" i="4"/>
  <c r="I795" i="4"/>
  <c r="J795" i="4"/>
  <c r="C818" i="4"/>
  <c r="D818" i="4"/>
  <c r="E818" i="4"/>
  <c r="F818" i="4"/>
  <c r="G818" i="4"/>
  <c r="I818" i="4"/>
  <c r="J818" i="4"/>
  <c r="C151" i="4"/>
  <c r="D151" i="4"/>
  <c r="E151" i="4"/>
  <c r="F151" i="4"/>
  <c r="G151" i="4"/>
  <c r="I151" i="4"/>
  <c r="J151" i="4"/>
  <c r="C806" i="4"/>
  <c r="D806" i="4"/>
  <c r="E806" i="4"/>
  <c r="F806" i="4"/>
  <c r="G806" i="4"/>
  <c r="I806" i="4"/>
  <c r="J806" i="4"/>
  <c r="C821" i="4"/>
  <c r="D821" i="4"/>
  <c r="E821" i="4"/>
  <c r="F821" i="4"/>
  <c r="G821" i="4"/>
  <c r="I821" i="4"/>
  <c r="J821" i="4"/>
  <c r="C135" i="4"/>
  <c r="D135" i="4"/>
  <c r="E135" i="4"/>
  <c r="F135" i="4"/>
  <c r="G135" i="4"/>
  <c r="I135" i="4"/>
  <c r="J135" i="4"/>
  <c r="C799" i="4"/>
  <c r="D799" i="4"/>
  <c r="E799" i="4"/>
  <c r="F799" i="4"/>
  <c r="G799" i="4"/>
  <c r="I799" i="4"/>
  <c r="J799" i="4"/>
  <c r="C809" i="4"/>
  <c r="D809" i="4"/>
  <c r="E809" i="4"/>
  <c r="F809" i="4"/>
  <c r="G809" i="4"/>
  <c r="I809" i="4"/>
  <c r="J809" i="4"/>
  <c r="C138" i="4"/>
  <c r="D138" i="4"/>
  <c r="E138" i="4"/>
  <c r="F138" i="4"/>
  <c r="G138" i="4"/>
  <c r="I138" i="4"/>
  <c r="J138" i="4"/>
  <c r="C802" i="4"/>
  <c r="D802" i="4"/>
  <c r="E802" i="4"/>
  <c r="F802" i="4"/>
  <c r="G802" i="4"/>
  <c r="I802" i="4"/>
  <c r="J802" i="4"/>
  <c r="C811" i="4"/>
  <c r="D811" i="4"/>
  <c r="E811" i="4"/>
  <c r="F811" i="4"/>
  <c r="G811" i="4"/>
  <c r="I811" i="4"/>
  <c r="J811" i="4"/>
  <c r="C143" i="4"/>
  <c r="D143" i="4"/>
  <c r="E143" i="4"/>
  <c r="F143" i="4"/>
  <c r="G143" i="4"/>
  <c r="I143" i="4"/>
  <c r="J143" i="4"/>
  <c r="C815" i="4"/>
  <c r="D815" i="4"/>
  <c r="E815" i="4"/>
  <c r="F815" i="4"/>
  <c r="G815" i="4"/>
  <c r="I815" i="4"/>
  <c r="J815" i="4"/>
  <c r="C578" i="4"/>
  <c r="D578" i="4"/>
  <c r="E578" i="4"/>
  <c r="F578" i="4"/>
  <c r="G578" i="4"/>
  <c r="I578" i="4"/>
  <c r="J578" i="4"/>
  <c r="C586" i="4"/>
  <c r="D586" i="4"/>
  <c r="E586" i="4"/>
  <c r="F586" i="4"/>
  <c r="G586" i="4"/>
  <c r="I586" i="4"/>
  <c r="J586" i="4"/>
  <c r="C697" i="4"/>
  <c r="D697" i="4"/>
  <c r="E697" i="4"/>
  <c r="F697" i="4"/>
  <c r="G697" i="4"/>
  <c r="I697" i="4"/>
  <c r="J697" i="4"/>
  <c r="C625" i="4"/>
  <c r="D625" i="4"/>
  <c r="E625" i="4"/>
  <c r="F625" i="4"/>
  <c r="G625" i="4"/>
  <c r="I625" i="4"/>
  <c r="J625" i="4"/>
  <c r="C686" i="4"/>
  <c r="D686" i="4"/>
  <c r="E686" i="4"/>
  <c r="F686" i="4"/>
  <c r="G686" i="4"/>
  <c r="I686" i="4"/>
  <c r="J686" i="4"/>
  <c r="C303" i="4"/>
  <c r="D303" i="4"/>
  <c r="E303" i="4"/>
  <c r="F303" i="4"/>
  <c r="G303" i="4"/>
  <c r="I303" i="4"/>
  <c r="J303" i="4"/>
  <c r="C345" i="4"/>
  <c r="D345" i="4"/>
  <c r="E345" i="4"/>
  <c r="F345" i="4"/>
  <c r="G345" i="4"/>
  <c r="I345" i="4"/>
  <c r="J345" i="4"/>
  <c r="C363" i="4"/>
  <c r="D363" i="4"/>
  <c r="E363" i="4"/>
  <c r="F363" i="4"/>
  <c r="G363" i="4"/>
  <c r="I363" i="4"/>
  <c r="J363" i="4"/>
  <c r="C386" i="4"/>
  <c r="D386" i="4"/>
  <c r="E386" i="4"/>
  <c r="F386" i="4"/>
  <c r="G386" i="4"/>
  <c r="I386" i="4"/>
  <c r="J386" i="4"/>
  <c r="C333" i="4"/>
  <c r="D333" i="4"/>
  <c r="E333" i="4"/>
  <c r="F333" i="4"/>
  <c r="G333" i="4"/>
  <c r="I333" i="4"/>
  <c r="J333" i="4"/>
  <c r="C371" i="4"/>
  <c r="D371" i="4"/>
  <c r="E371" i="4"/>
  <c r="F371" i="4"/>
  <c r="G371" i="4"/>
  <c r="I371" i="4"/>
  <c r="J371" i="4"/>
  <c r="C339" i="4"/>
  <c r="D339" i="4"/>
  <c r="E339" i="4"/>
  <c r="F339" i="4"/>
  <c r="G339" i="4"/>
  <c r="I339" i="4"/>
  <c r="J339" i="4"/>
  <c r="C356" i="4"/>
  <c r="D356" i="4"/>
  <c r="E356" i="4"/>
  <c r="F356" i="4"/>
  <c r="G356" i="4"/>
  <c r="I356" i="4"/>
  <c r="J356" i="4"/>
  <c r="C389" i="4"/>
  <c r="D389" i="4"/>
  <c r="E389" i="4"/>
  <c r="F389" i="4"/>
  <c r="G389" i="4"/>
  <c r="I389" i="4"/>
  <c r="J389" i="4"/>
  <c r="C322" i="4"/>
  <c r="D322" i="4"/>
  <c r="E322" i="4"/>
  <c r="F322" i="4"/>
  <c r="G322" i="4"/>
  <c r="I322" i="4"/>
  <c r="J322" i="4"/>
  <c r="C379" i="4"/>
  <c r="D379" i="4"/>
  <c r="E379" i="4"/>
  <c r="F379" i="4"/>
  <c r="G379" i="4"/>
  <c r="I379" i="4"/>
  <c r="J379" i="4"/>
  <c r="C311" i="4"/>
  <c r="D311" i="4"/>
  <c r="E311" i="4"/>
  <c r="F311" i="4"/>
  <c r="G311" i="4"/>
  <c r="I311" i="4"/>
  <c r="J311" i="4"/>
  <c r="C424" i="4"/>
  <c r="D424" i="4"/>
  <c r="E424" i="4"/>
  <c r="F424" i="4"/>
  <c r="G424" i="4"/>
  <c r="I424" i="4"/>
  <c r="J424" i="4"/>
  <c r="C444" i="4"/>
  <c r="D444" i="4"/>
  <c r="E444" i="4"/>
  <c r="F444" i="4"/>
  <c r="G444" i="4"/>
  <c r="I444" i="4"/>
  <c r="J444" i="4"/>
  <c r="C459" i="4"/>
  <c r="D459" i="4"/>
  <c r="E459" i="4"/>
  <c r="F459" i="4"/>
  <c r="G459" i="4"/>
  <c r="I459" i="4"/>
  <c r="J459" i="4"/>
  <c r="C412" i="4"/>
  <c r="D412" i="4"/>
  <c r="E412" i="4"/>
  <c r="F412" i="4"/>
  <c r="G412" i="4"/>
  <c r="I412" i="4"/>
  <c r="J412" i="4"/>
  <c r="C432" i="4"/>
  <c r="D432" i="4"/>
  <c r="E432" i="4"/>
  <c r="F432" i="4"/>
  <c r="G432" i="4"/>
  <c r="I432" i="4"/>
  <c r="J432" i="4"/>
  <c r="C468" i="4"/>
  <c r="D468" i="4"/>
  <c r="E468" i="4"/>
  <c r="F468" i="4"/>
  <c r="G468" i="4"/>
  <c r="I468" i="4"/>
  <c r="J468" i="4"/>
  <c r="C642" i="4"/>
  <c r="D642" i="4"/>
  <c r="E642" i="4"/>
  <c r="F642" i="4"/>
  <c r="G642" i="4"/>
  <c r="I642" i="4"/>
  <c r="J642" i="4"/>
  <c r="C215" i="4"/>
  <c r="D215" i="4"/>
  <c r="E215" i="4"/>
  <c r="F215" i="4"/>
  <c r="G215" i="4"/>
  <c r="I215" i="4"/>
  <c r="J215" i="4"/>
  <c r="C605" i="4"/>
  <c r="D605" i="4"/>
  <c r="E605" i="4"/>
  <c r="F605" i="4"/>
  <c r="G605" i="4"/>
  <c r="I605" i="4"/>
  <c r="J605" i="4"/>
  <c r="C272" i="4"/>
  <c r="D272" i="4"/>
  <c r="E272" i="4"/>
  <c r="F272" i="4"/>
  <c r="G272" i="4"/>
  <c r="I272" i="4"/>
  <c r="J272" i="4"/>
  <c r="C539" i="4"/>
  <c r="D539" i="4"/>
  <c r="E539" i="4"/>
  <c r="F539" i="4"/>
  <c r="G539" i="4"/>
  <c r="I539" i="4"/>
  <c r="J539" i="4"/>
  <c r="C286" i="4"/>
  <c r="D286" i="4"/>
  <c r="E286" i="4"/>
  <c r="F286" i="4"/>
  <c r="G286" i="4"/>
  <c r="I286" i="4"/>
  <c r="J286" i="4"/>
  <c r="C836" i="4"/>
  <c r="D836" i="4"/>
  <c r="E836" i="4"/>
  <c r="F836" i="4"/>
  <c r="G836" i="4"/>
  <c r="I836" i="4"/>
  <c r="J836" i="4"/>
  <c r="C167" i="4"/>
  <c r="D167" i="4"/>
  <c r="E167" i="4"/>
  <c r="F167" i="4"/>
  <c r="G167" i="4"/>
  <c r="I167" i="4"/>
  <c r="J167" i="4"/>
  <c r="C499" i="4"/>
  <c r="D499" i="4"/>
  <c r="E499" i="4"/>
  <c r="F499" i="4"/>
  <c r="G499" i="4"/>
  <c r="I499" i="4"/>
  <c r="J499" i="4"/>
  <c r="C62" i="4"/>
  <c r="D62" i="4"/>
  <c r="E62" i="4"/>
  <c r="F62" i="4"/>
  <c r="G62" i="4"/>
  <c r="I62" i="4"/>
  <c r="J62" i="4"/>
  <c r="C80" i="4"/>
  <c r="D80" i="4"/>
  <c r="E80" i="4"/>
  <c r="F80" i="4"/>
  <c r="G80" i="4"/>
  <c r="I80" i="4"/>
  <c r="J80" i="4"/>
  <c r="C659" i="4"/>
  <c r="D659" i="4"/>
  <c r="E659" i="4"/>
  <c r="F659" i="4"/>
  <c r="G659" i="4"/>
  <c r="I659" i="4"/>
  <c r="J659" i="4"/>
  <c r="C650" i="4"/>
  <c r="D650" i="4"/>
  <c r="E650" i="4"/>
  <c r="F650" i="4"/>
  <c r="G650" i="4"/>
  <c r="I650" i="4"/>
  <c r="J650" i="4"/>
  <c r="C124" i="4"/>
  <c r="D124" i="4"/>
  <c r="E124" i="4"/>
  <c r="F124" i="4"/>
  <c r="G124" i="4"/>
  <c r="I124" i="4"/>
  <c r="J124" i="4"/>
  <c r="C763" i="4"/>
  <c r="D763" i="4"/>
  <c r="E763" i="4"/>
  <c r="F763" i="4"/>
  <c r="G763" i="4"/>
  <c r="I763" i="4"/>
  <c r="J763" i="4"/>
  <c r="C721" i="4"/>
  <c r="D721" i="4"/>
  <c r="E721" i="4"/>
  <c r="F721" i="4"/>
  <c r="G721" i="4"/>
  <c r="I721" i="4"/>
  <c r="J721" i="4"/>
  <c r="C477" i="4"/>
  <c r="D477" i="4"/>
  <c r="E477" i="4"/>
  <c r="F477" i="4"/>
  <c r="G477" i="4"/>
  <c r="I477" i="4"/>
  <c r="J477" i="4"/>
  <c r="C491" i="4"/>
  <c r="D491" i="4"/>
  <c r="E491" i="4"/>
  <c r="F491" i="4"/>
  <c r="G491" i="4"/>
  <c r="I491" i="4"/>
  <c r="J491" i="4"/>
  <c r="C202" i="4"/>
  <c r="D202" i="4"/>
  <c r="E202" i="4"/>
  <c r="F202" i="4"/>
  <c r="G202" i="4"/>
  <c r="I202" i="4"/>
  <c r="J202" i="4"/>
  <c r="C12" i="4"/>
  <c r="D12" i="4"/>
  <c r="E12" i="4"/>
  <c r="F12" i="4"/>
  <c r="G12" i="4"/>
  <c r="I12" i="4"/>
  <c r="J12" i="4"/>
  <c r="C4" i="4"/>
  <c r="D4" i="4"/>
  <c r="E4" i="4"/>
  <c r="F4" i="4"/>
  <c r="G4" i="4"/>
  <c r="I4" i="4"/>
  <c r="J4" i="4"/>
  <c r="C513" i="4"/>
  <c r="D513" i="4"/>
  <c r="E513" i="4"/>
  <c r="F513" i="4"/>
  <c r="G513" i="4"/>
  <c r="I513" i="4"/>
  <c r="J513" i="4"/>
  <c r="C189" i="4"/>
  <c r="D189" i="4"/>
  <c r="E189" i="4"/>
  <c r="F189" i="4"/>
  <c r="G189" i="4"/>
  <c r="I189" i="4"/>
  <c r="J189" i="4"/>
  <c r="C550" i="4"/>
  <c r="D550" i="4"/>
  <c r="E550" i="4"/>
  <c r="F550" i="4"/>
  <c r="G550" i="4"/>
  <c r="I550" i="4"/>
  <c r="J550" i="4"/>
  <c r="C824" i="4"/>
  <c r="D824" i="4"/>
  <c r="E824" i="4"/>
  <c r="F824" i="4"/>
  <c r="G824" i="4"/>
  <c r="I824" i="4"/>
  <c r="J824" i="4"/>
  <c r="C828" i="4"/>
  <c r="D828" i="4"/>
  <c r="E828" i="4"/>
  <c r="F828" i="4"/>
  <c r="G828" i="4"/>
  <c r="I828" i="4"/>
  <c r="J828" i="4"/>
  <c r="C37" i="4"/>
  <c r="D37" i="4"/>
  <c r="E37" i="4"/>
  <c r="F37" i="4"/>
  <c r="G37" i="4"/>
  <c r="I37" i="4"/>
  <c r="J37" i="4"/>
  <c r="C677" i="4"/>
  <c r="D677" i="4"/>
  <c r="E677" i="4"/>
  <c r="F677" i="4"/>
  <c r="G677" i="4"/>
  <c r="I677" i="4"/>
  <c r="J677" i="4"/>
  <c r="C595" i="4"/>
  <c r="D595" i="4"/>
  <c r="E595" i="4"/>
  <c r="F595" i="4"/>
  <c r="G595" i="4"/>
  <c r="I595" i="4"/>
  <c r="J595" i="4"/>
  <c r="C5" i="4"/>
  <c r="D5" i="4"/>
  <c r="E5" i="4"/>
  <c r="F5" i="4"/>
  <c r="G5" i="4"/>
  <c r="I5" i="4"/>
  <c r="J5" i="4"/>
  <c r="C182" i="4"/>
  <c r="D182" i="4"/>
  <c r="E182" i="4"/>
  <c r="F182" i="4"/>
  <c r="G182" i="4"/>
  <c r="I182" i="4"/>
  <c r="J182" i="4"/>
  <c r="C190" i="4"/>
  <c r="D190" i="4"/>
  <c r="E190" i="4"/>
  <c r="F190" i="4"/>
  <c r="G190" i="4"/>
  <c r="I190" i="4"/>
  <c r="J190" i="4"/>
  <c r="C517" i="4"/>
  <c r="D517" i="4"/>
  <c r="E517" i="4"/>
  <c r="F517" i="4"/>
  <c r="G517" i="4"/>
  <c r="I517" i="4"/>
  <c r="J517" i="4"/>
  <c r="C551" i="4"/>
  <c r="D551" i="4"/>
  <c r="E551" i="4"/>
  <c r="F551" i="4"/>
  <c r="G551" i="4"/>
  <c r="I551" i="4"/>
  <c r="J551" i="4"/>
  <c r="C13" i="4"/>
  <c r="D13" i="4"/>
  <c r="E13" i="4"/>
  <c r="F13" i="4"/>
  <c r="G13" i="4"/>
  <c r="I13" i="4"/>
  <c r="J13" i="4"/>
  <c r="C155" i="4"/>
  <c r="D155" i="4"/>
  <c r="E155" i="4"/>
  <c r="F155" i="4"/>
  <c r="G155" i="4"/>
  <c r="I155" i="4"/>
  <c r="J155" i="4"/>
  <c r="C406" i="4"/>
  <c r="D406" i="4"/>
  <c r="E406" i="4"/>
  <c r="F406" i="4"/>
  <c r="G406" i="4"/>
  <c r="I406" i="4"/>
  <c r="J406" i="4"/>
  <c r="C562" i="4"/>
  <c r="D562" i="4"/>
  <c r="E562" i="4"/>
  <c r="F562" i="4"/>
  <c r="G562" i="4"/>
  <c r="I562" i="4"/>
  <c r="J562" i="4"/>
  <c r="C565" i="4"/>
  <c r="D565" i="4"/>
  <c r="E565" i="4"/>
  <c r="F565" i="4"/>
  <c r="G565" i="4"/>
  <c r="I565" i="4"/>
  <c r="J565" i="4"/>
  <c r="C256" i="4"/>
  <c r="D256" i="4"/>
  <c r="E256" i="4"/>
  <c r="F256" i="4"/>
  <c r="G256" i="4"/>
  <c r="I256" i="4"/>
  <c r="J256" i="4"/>
  <c r="C260" i="4"/>
  <c r="D260" i="4"/>
  <c r="E260" i="4"/>
  <c r="F260" i="4"/>
  <c r="G260" i="4"/>
  <c r="I260" i="4"/>
  <c r="J260" i="4"/>
  <c r="C72" i="4"/>
  <c r="D72" i="4"/>
  <c r="E72" i="4"/>
  <c r="F72" i="4"/>
  <c r="G72" i="4"/>
  <c r="I72" i="4"/>
  <c r="J72" i="4"/>
  <c r="C572" i="4"/>
  <c r="D572" i="4"/>
  <c r="E572" i="4"/>
  <c r="F572" i="4"/>
  <c r="G572" i="4"/>
  <c r="I572" i="4"/>
  <c r="J572" i="4"/>
  <c r="C698" i="4"/>
  <c r="D698" i="4"/>
  <c r="E698" i="4"/>
  <c r="F698" i="4"/>
  <c r="G698" i="4"/>
  <c r="I698" i="4"/>
  <c r="J698" i="4"/>
  <c r="C251" i="4"/>
  <c r="D251" i="4"/>
  <c r="E251" i="4"/>
  <c r="F251" i="4"/>
  <c r="G251" i="4"/>
  <c r="I251" i="4"/>
  <c r="J251" i="4"/>
  <c r="C323" i="4"/>
  <c r="D323" i="4"/>
  <c r="E323" i="4"/>
  <c r="F323" i="4"/>
  <c r="G323" i="4"/>
  <c r="I323" i="4"/>
  <c r="J323" i="4"/>
  <c r="C380" i="4"/>
  <c r="D380" i="4"/>
  <c r="E380" i="4"/>
  <c r="F380" i="4"/>
  <c r="G380" i="4"/>
  <c r="I380" i="4"/>
  <c r="J380" i="4"/>
  <c r="C156" i="4"/>
  <c r="D156" i="4"/>
  <c r="E156" i="4"/>
  <c r="F156" i="4"/>
  <c r="G156" i="4"/>
  <c r="I156" i="4"/>
  <c r="J156" i="4"/>
  <c r="C526" i="4"/>
  <c r="D526" i="4"/>
  <c r="E526" i="4"/>
  <c r="F526" i="4"/>
  <c r="G526" i="4"/>
  <c r="I526" i="4"/>
  <c r="J526" i="4"/>
  <c r="C216" i="4"/>
  <c r="D216" i="4"/>
  <c r="E216" i="4"/>
  <c r="F216" i="4"/>
  <c r="G216" i="4"/>
  <c r="I216" i="4"/>
  <c r="J216" i="4"/>
  <c r="C606" i="4"/>
  <c r="D606" i="4"/>
  <c r="E606" i="4"/>
  <c r="F606" i="4"/>
  <c r="G606" i="4"/>
  <c r="I606" i="4"/>
  <c r="J606" i="4"/>
  <c r="C540" i="4"/>
  <c r="D540" i="4"/>
  <c r="E540" i="4"/>
  <c r="F540" i="4"/>
  <c r="G540" i="4"/>
  <c r="I540" i="4"/>
  <c r="J540" i="4"/>
  <c r="C63" i="4"/>
  <c r="D63" i="4"/>
  <c r="E63" i="4"/>
  <c r="F63" i="4"/>
  <c r="G63" i="4"/>
  <c r="I63" i="4"/>
  <c r="J63" i="4"/>
  <c r="C500" i="4"/>
  <c r="D500" i="4"/>
  <c r="E500" i="4"/>
  <c r="F500" i="4"/>
  <c r="G500" i="4"/>
  <c r="I500" i="4"/>
  <c r="J500" i="4"/>
  <c r="C660" i="4"/>
  <c r="D660" i="4"/>
  <c r="E660" i="4"/>
  <c r="F660" i="4"/>
  <c r="G660" i="4"/>
  <c r="I660" i="4"/>
  <c r="J660" i="4"/>
  <c r="C178" i="4"/>
  <c r="D178" i="4"/>
  <c r="E178" i="4"/>
  <c r="F178" i="4"/>
  <c r="G178" i="4"/>
  <c r="I178" i="4"/>
  <c r="J178" i="4"/>
  <c r="C101" i="4"/>
  <c r="D101" i="4"/>
  <c r="E101" i="4"/>
  <c r="F101" i="4"/>
  <c r="G101" i="4"/>
  <c r="I101" i="4"/>
  <c r="J101" i="4"/>
  <c r="C125" i="4"/>
  <c r="D125" i="4"/>
  <c r="E125" i="4"/>
  <c r="F125" i="4"/>
  <c r="G125" i="4"/>
  <c r="I125" i="4"/>
  <c r="J125" i="4"/>
  <c r="C764" i="4"/>
  <c r="D764" i="4"/>
  <c r="E764" i="4"/>
  <c r="F764" i="4"/>
  <c r="G764" i="4"/>
  <c r="I764" i="4"/>
  <c r="J764" i="4"/>
  <c r="C722" i="4"/>
  <c r="D722" i="4"/>
  <c r="E722" i="4"/>
  <c r="F722" i="4"/>
  <c r="G722" i="4"/>
  <c r="I722" i="4"/>
  <c r="J722" i="4"/>
  <c r="C837" i="4"/>
  <c r="D837" i="4"/>
  <c r="E837" i="4"/>
  <c r="F837" i="4"/>
  <c r="G837" i="4"/>
  <c r="I837" i="4"/>
  <c r="J837" i="4"/>
  <c r="C168" i="4"/>
  <c r="D168" i="4"/>
  <c r="E168" i="4"/>
  <c r="F168" i="4"/>
  <c r="G168" i="4"/>
  <c r="I168" i="4"/>
  <c r="J168" i="4"/>
  <c r="C273" i="4"/>
  <c r="D273" i="4"/>
  <c r="E273" i="4"/>
  <c r="F273" i="4"/>
  <c r="G273" i="4"/>
  <c r="I273" i="4"/>
  <c r="J273" i="4"/>
  <c r="C287" i="4"/>
  <c r="D287" i="4"/>
  <c r="E287" i="4"/>
  <c r="F287" i="4"/>
  <c r="G287" i="4"/>
  <c r="I287" i="4"/>
  <c r="J287" i="4"/>
  <c r="C81" i="4"/>
  <c r="D81" i="4"/>
  <c r="E81" i="4"/>
  <c r="F81" i="4"/>
  <c r="G81" i="4"/>
  <c r="I81" i="4"/>
  <c r="J81" i="4"/>
  <c r="C621" i="4"/>
  <c r="D621" i="4"/>
  <c r="E621" i="4"/>
  <c r="F621" i="4"/>
  <c r="G621" i="4"/>
  <c r="I621" i="4"/>
  <c r="J621" i="4"/>
  <c r="C579" i="4"/>
  <c r="D579" i="4"/>
  <c r="E579" i="4"/>
  <c r="F579" i="4"/>
  <c r="G579" i="4"/>
  <c r="I579" i="4"/>
  <c r="J579" i="4"/>
  <c r="C592" i="4"/>
  <c r="D592" i="4"/>
  <c r="E592" i="4"/>
  <c r="F592" i="4"/>
  <c r="G592" i="4"/>
  <c r="I592" i="4"/>
  <c r="J592" i="4"/>
  <c r="C587" i="4"/>
  <c r="D587" i="4"/>
  <c r="E587" i="4"/>
  <c r="F587" i="4"/>
  <c r="G587" i="4"/>
  <c r="I587" i="4"/>
  <c r="J587" i="4"/>
  <c r="C699" i="4"/>
  <c r="D699" i="4"/>
  <c r="E699" i="4"/>
  <c r="F699" i="4"/>
  <c r="G699" i="4"/>
  <c r="I699" i="4"/>
  <c r="J699" i="4"/>
  <c r="C687" i="4"/>
  <c r="D687" i="4"/>
  <c r="E687" i="4"/>
  <c r="F687" i="4"/>
  <c r="G687" i="4"/>
  <c r="I687" i="4"/>
  <c r="J687" i="4"/>
  <c r="C631" i="4"/>
  <c r="D631" i="4"/>
  <c r="E631" i="4"/>
  <c r="F631" i="4"/>
  <c r="G631" i="4"/>
  <c r="I631" i="4"/>
  <c r="J631" i="4"/>
  <c r="C616" i="4"/>
  <c r="D616" i="4"/>
  <c r="E616" i="4"/>
  <c r="F616" i="4"/>
  <c r="G616" i="4"/>
  <c r="I616" i="4"/>
  <c r="J616" i="4"/>
  <c r="C54" i="4"/>
  <c r="D54" i="4"/>
  <c r="E54" i="4"/>
  <c r="F54" i="4"/>
  <c r="G54" i="4"/>
  <c r="I54" i="4"/>
  <c r="J54" i="4"/>
  <c r="C207" i="4"/>
  <c r="D207" i="4"/>
  <c r="E207" i="4"/>
  <c r="F207" i="4"/>
  <c r="G207" i="4"/>
  <c r="I207" i="4"/>
  <c r="J207" i="4"/>
  <c r="C49" i="4"/>
  <c r="D49" i="4"/>
  <c r="E49" i="4"/>
  <c r="F49" i="4"/>
  <c r="G49" i="4"/>
  <c r="I49" i="4"/>
  <c r="J49" i="4"/>
  <c r="C304" i="4"/>
  <c r="D304" i="4"/>
  <c r="E304" i="4"/>
  <c r="F304" i="4"/>
  <c r="G304" i="4"/>
  <c r="I304" i="4"/>
  <c r="J304" i="4"/>
  <c r="C252" i="4"/>
  <c r="D252" i="4"/>
  <c r="E252" i="4"/>
  <c r="F252" i="4"/>
  <c r="G252" i="4"/>
  <c r="I252" i="4"/>
  <c r="J252" i="4"/>
  <c r="C102" i="4"/>
  <c r="D102" i="4"/>
  <c r="E102" i="4"/>
  <c r="F102" i="4"/>
  <c r="G102" i="4"/>
  <c r="I102" i="4"/>
  <c r="J102" i="4"/>
  <c r="C765" i="4"/>
  <c r="D765" i="4"/>
  <c r="E765" i="4"/>
  <c r="F765" i="4"/>
  <c r="G765" i="4"/>
  <c r="I765" i="4"/>
  <c r="J765" i="4"/>
  <c r="C723" i="4"/>
  <c r="D723" i="4"/>
  <c r="E723" i="4"/>
  <c r="F723" i="4"/>
  <c r="G723" i="4"/>
  <c r="I723" i="4"/>
  <c r="J723" i="4"/>
  <c r="C240" i="4"/>
  <c r="D240" i="4"/>
  <c r="E240" i="4"/>
  <c r="F240" i="4"/>
  <c r="G240" i="4"/>
  <c r="I240" i="4"/>
  <c r="J240" i="4"/>
  <c r="C103" i="4"/>
  <c r="D103" i="4"/>
  <c r="E103" i="4"/>
  <c r="F103" i="4"/>
  <c r="G103" i="4"/>
  <c r="I103" i="4"/>
  <c r="J103" i="4"/>
  <c r="C766" i="4"/>
  <c r="D766" i="4"/>
  <c r="E766" i="4"/>
  <c r="F766" i="4"/>
  <c r="G766" i="4"/>
  <c r="I766" i="4"/>
  <c r="J766" i="4"/>
  <c r="C724" i="4"/>
  <c r="D724" i="4"/>
  <c r="E724" i="4"/>
  <c r="F724" i="4"/>
  <c r="G724" i="4"/>
  <c r="I724" i="4"/>
  <c r="J724" i="4"/>
  <c r="C246" i="4"/>
  <c r="D246" i="4"/>
  <c r="E246" i="4"/>
  <c r="F246" i="4"/>
  <c r="G246" i="4"/>
  <c r="I246" i="4"/>
  <c r="J246" i="4"/>
  <c r="C104" i="4"/>
  <c r="D104" i="4"/>
  <c r="E104" i="4"/>
  <c r="F104" i="4"/>
  <c r="G104" i="4"/>
  <c r="I104" i="4"/>
  <c r="J104" i="4"/>
  <c r="C767" i="4"/>
  <c r="D767" i="4"/>
  <c r="E767" i="4"/>
  <c r="F767" i="4"/>
  <c r="G767" i="4"/>
  <c r="I767" i="4"/>
  <c r="J767" i="4"/>
  <c r="C725" i="4"/>
  <c r="D725" i="4"/>
  <c r="E725" i="4"/>
  <c r="F725" i="4"/>
  <c r="G725" i="4"/>
  <c r="I725" i="4"/>
  <c r="J725" i="4"/>
  <c r="C226" i="4"/>
  <c r="D226" i="4"/>
  <c r="E226" i="4"/>
  <c r="F226" i="4"/>
  <c r="G226" i="4"/>
  <c r="I226" i="4"/>
  <c r="J226" i="4"/>
  <c r="C488" i="4"/>
  <c r="D488" i="4"/>
  <c r="E488" i="4"/>
  <c r="F488" i="4"/>
  <c r="G488" i="4"/>
  <c r="I488" i="4"/>
  <c r="J488" i="4"/>
  <c r="C674" i="4"/>
  <c r="D674" i="4"/>
  <c r="E674" i="4"/>
  <c r="F674" i="4"/>
  <c r="G674" i="4"/>
  <c r="I674" i="4"/>
  <c r="J674" i="4"/>
  <c r="C668" i="4"/>
  <c r="D668" i="4"/>
  <c r="E668" i="4"/>
  <c r="F668" i="4"/>
  <c r="G668" i="4"/>
  <c r="I668" i="4"/>
  <c r="J668" i="4"/>
  <c r="C105" i="4"/>
  <c r="D105" i="4"/>
  <c r="E105" i="4"/>
  <c r="F105" i="4"/>
  <c r="G105" i="4"/>
  <c r="I105" i="4"/>
  <c r="J105" i="4"/>
  <c r="C768" i="4"/>
  <c r="D768" i="4"/>
  <c r="E768" i="4"/>
  <c r="F768" i="4"/>
  <c r="G768" i="4"/>
  <c r="I768" i="4"/>
  <c r="J768" i="4"/>
  <c r="C726" i="4"/>
  <c r="D726" i="4"/>
  <c r="E726" i="4"/>
  <c r="F726" i="4"/>
  <c r="G726" i="4"/>
  <c r="I726" i="4"/>
  <c r="J726" i="4"/>
  <c r="C241" i="4"/>
  <c r="D241" i="4"/>
  <c r="E241" i="4"/>
  <c r="F241" i="4"/>
  <c r="G241" i="4"/>
  <c r="I241" i="4"/>
  <c r="J241" i="4"/>
  <c r="C232" i="4"/>
  <c r="D232" i="4"/>
  <c r="E232" i="4"/>
  <c r="F232" i="4"/>
  <c r="G232" i="4"/>
  <c r="I232" i="4"/>
  <c r="J232" i="4"/>
  <c r="C106" i="4"/>
  <c r="D106" i="4"/>
  <c r="E106" i="4"/>
  <c r="F106" i="4"/>
  <c r="G106" i="4"/>
  <c r="I106" i="4"/>
  <c r="J106" i="4"/>
  <c r="C769" i="4"/>
  <c r="D769" i="4"/>
  <c r="E769" i="4"/>
  <c r="F769" i="4"/>
  <c r="G769" i="4"/>
  <c r="I769" i="4"/>
  <c r="J769" i="4"/>
  <c r="C727" i="4"/>
  <c r="D727" i="4"/>
  <c r="E727" i="4"/>
  <c r="F727" i="4"/>
  <c r="G727" i="4"/>
  <c r="I727" i="4"/>
  <c r="J727" i="4"/>
  <c r="C233" i="4"/>
  <c r="D233" i="4"/>
  <c r="E233" i="4"/>
  <c r="F233" i="4"/>
  <c r="G233" i="4"/>
  <c r="I233" i="4"/>
  <c r="J233" i="4"/>
  <c r="C107" i="4"/>
  <c r="D107" i="4"/>
  <c r="E107" i="4"/>
  <c r="F107" i="4"/>
  <c r="G107" i="4"/>
  <c r="I107" i="4"/>
  <c r="J107" i="4"/>
  <c r="C770" i="4"/>
  <c r="D770" i="4"/>
  <c r="E770" i="4"/>
  <c r="F770" i="4"/>
  <c r="G770" i="4"/>
  <c r="I770" i="4"/>
  <c r="J770" i="4"/>
  <c r="C728" i="4"/>
  <c r="D728" i="4"/>
  <c r="E728" i="4"/>
  <c r="F728" i="4"/>
  <c r="G728" i="4"/>
  <c r="I728" i="4"/>
  <c r="J728" i="4"/>
  <c r="C265" i="4"/>
  <c r="D265" i="4"/>
  <c r="E265" i="4"/>
  <c r="F265" i="4"/>
  <c r="G265" i="4"/>
  <c r="I265" i="4"/>
  <c r="J265" i="4"/>
  <c r="C300" i="4"/>
  <c r="D300" i="4"/>
  <c r="E300" i="4"/>
  <c r="F300" i="4"/>
  <c r="G300" i="4"/>
  <c r="I300" i="4"/>
  <c r="J300" i="4"/>
  <c r="C364" i="4"/>
  <c r="D364" i="4"/>
  <c r="E364" i="4"/>
  <c r="F364" i="4"/>
  <c r="G364" i="4"/>
  <c r="I364" i="4"/>
  <c r="J364" i="4"/>
  <c r="C340" i="4"/>
  <c r="D340" i="4"/>
  <c r="E340" i="4"/>
  <c r="F340" i="4"/>
  <c r="G340" i="4"/>
  <c r="I340" i="4"/>
  <c r="J340" i="4"/>
  <c r="C357" i="4"/>
  <c r="D357" i="4"/>
  <c r="E357" i="4"/>
  <c r="F357" i="4"/>
  <c r="G357" i="4"/>
  <c r="I357" i="4"/>
  <c r="J357" i="4"/>
  <c r="C324" i="4"/>
  <c r="D324" i="4"/>
  <c r="E324" i="4"/>
  <c r="F324" i="4"/>
  <c r="G324" i="4"/>
  <c r="I324" i="4"/>
  <c r="J324" i="4"/>
  <c r="C381" i="4"/>
  <c r="D381" i="4"/>
  <c r="E381" i="4"/>
  <c r="F381" i="4"/>
  <c r="G381" i="4"/>
  <c r="I381" i="4"/>
  <c r="J381" i="4"/>
  <c r="C398" i="4"/>
  <c r="D398" i="4"/>
  <c r="E398" i="4"/>
  <c r="F398" i="4"/>
  <c r="G398" i="4"/>
  <c r="I398" i="4"/>
  <c r="J398" i="4"/>
  <c r="C402" i="4"/>
  <c r="D402" i="4"/>
  <c r="E402" i="4"/>
  <c r="F402" i="4"/>
  <c r="G402" i="4"/>
  <c r="I402" i="4"/>
  <c r="J402" i="4"/>
  <c r="C312" i="4"/>
  <c r="D312" i="4"/>
  <c r="E312" i="4"/>
  <c r="F312" i="4"/>
  <c r="G312" i="4"/>
  <c r="I312" i="4"/>
  <c r="J312" i="4"/>
  <c r="C126" i="4"/>
  <c r="D126" i="4"/>
  <c r="E126" i="4"/>
  <c r="F126" i="4"/>
  <c r="G126" i="4"/>
  <c r="I126" i="4"/>
  <c r="J126" i="4"/>
  <c r="C771" i="4"/>
  <c r="D771" i="4"/>
  <c r="E771" i="4"/>
  <c r="F771" i="4"/>
  <c r="G771" i="4"/>
  <c r="I771" i="4"/>
  <c r="J771" i="4"/>
  <c r="C729" i="4"/>
  <c r="D729" i="4"/>
  <c r="E729" i="4"/>
  <c r="F729" i="4"/>
  <c r="G729" i="4"/>
  <c r="I729" i="4"/>
  <c r="J729" i="4"/>
  <c r="C478" i="4"/>
  <c r="D478" i="4"/>
  <c r="E478" i="4"/>
  <c r="F478" i="4"/>
  <c r="G478" i="4"/>
  <c r="I478" i="4"/>
  <c r="J478" i="4"/>
  <c r="C469" i="4"/>
  <c r="D469" i="4"/>
  <c r="E469" i="4"/>
  <c r="F469" i="4"/>
  <c r="G469" i="4"/>
  <c r="I469" i="4"/>
  <c r="J469" i="4"/>
  <c r="C425" i="4"/>
  <c r="D425" i="4"/>
  <c r="E425" i="4"/>
  <c r="F425" i="4"/>
  <c r="G425" i="4"/>
  <c r="I425" i="4"/>
  <c r="J425" i="4"/>
  <c r="C445" i="4"/>
  <c r="D445" i="4"/>
  <c r="E445" i="4"/>
  <c r="F445" i="4"/>
  <c r="G445" i="4"/>
  <c r="I445" i="4"/>
  <c r="J445" i="4"/>
  <c r="C413" i="4"/>
  <c r="D413" i="4"/>
  <c r="E413" i="4"/>
  <c r="F413" i="4"/>
  <c r="G413" i="4"/>
  <c r="I413" i="4"/>
  <c r="J413" i="4"/>
  <c r="C433" i="4"/>
  <c r="D433" i="4"/>
  <c r="E433" i="4"/>
  <c r="F433" i="4"/>
  <c r="G433" i="4"/>
  <c r="I433" i="4"/>
  <c r="J433" i="4"/>
  <c r="C451" i="4"/>
  <c r="D451" i="4"/>
  <c r="E451" i="4"/>
  <c r="F451" i="4"/>
  <c r="G451" i="4"/>
  <c r="I451" i="4"/>
  <c r="J451" i="4"/>
  <c r="C419" i="4"/>
  <c r="D419" i="4"/>
  <c r="E419" i="4"/>
  <c r="F419" i="4"/>
  <c r="G419" i="4"/>
  <c r="I419" i="4"/>
  <c r="J419" i="4"/>
  <c r="C439" i="4"/>
  <c r="D439" i="4"/>
  <c r="E439" i="4"/>
  <c r="F439" i="4"/>
  <c r="G439" i="4"/>
  <c r="I439" i="4"/>
  <c r="J439" i="4"/>
  <c r="C455" i="4"/>
  <c r="D455" i="4"/>
  <c r="E455" i="4"/>
  <c r="F455" i="4"/>
  <c r="G455" i="4"/>
  <c r="I455" i="4"/>
  <c r="J455" i="4"/>
  <c r="C643" i="4"/>
  <c r="D643" i="4"/>
  <c r="E643" i="4"/>
  <c r="F643" i="4"/>
  <c r="G643" i="4"/>
  <c r="I643" i="4"/>
  <c r="J643" i="4"/>
  <c r="C637" i="4"/>
  <c r="D637" i="4"/>
  <c r="E637" i="4"/>
  <c r="F637" i="4"/>
  <c r="G637" i="4"/>
  <c r="I637" i="4"/>
  <c r="J637" i="4"/>
  <c r="C501" i="4"/>
  <c r="D501" i="4"/>
  <c r="E501" i="4"/>
  <c r="F501" i="4"/>
  <c r="G501" i="4"/>
  <c r="I501" i="4"/>
  <c r="J501" i="4"/>
  <c r="C64" i="4"/>
  <c r="D64" i="4"/>
  <c r="E64" i="4"/>
  <c r="F64" i="4"/>
  <c r="G64" i="4"/>
  <c r="I64" i="4"/>
  <c r="J64" i="4"/>
  <c r="C607" i="4"/>
  <c r="D607" i="4"/>
  <c r="E607" i="4"/>
  <c r="F607" i="4"/>
  <c r="G607" i="4"/>
  <c r="I607" i="4"/>
  <c r="J607" i="4"/>
  <c r="C274" i="4"/>
  <c r="D274" i="4"/>
  <c r="E274" i="4"/>
  <c r="F274" i="4"/>
  <c r="G274" i="4"/>
  <c r="I274" i="4"/>
  <c r="J274" i="4"/>
  <c r="C541" i="4"/>
  <c r="D541" i="4"/>
  <c r="E541" i="4"/>
  <c r="F541" i="4"/>
  <c r="G541" i="4"/>
  <c r="I541" i="4"/>
  <c r="J541" i="4"/>
  <c r="C288" i="4"/>
  <c r="D288" i="4"/>
  <c r="E288" i="4"/>
  <c r="F288" i="4"/>
  <c r="G288" i="4"/>
  <c r="I288" i="4"/>
  <c r="J288" i="4"/>
  <c r="C82" i="4"/>
  <c r="D82" i="4"/>
  <c r="E82" i="4"/>
  <c r="F82" i="4"/>
  <c r="G82" i="4"/>
  <c r="I82" i="4"/>
  <c r="J82" i="4"/>
  <c r="C217" i="4"/>
  <c r="D217" i="4"/>
  <c r="E217" i="4"/>
  <c r="F217" i="4"/>
  <c r="G217" i="4"/>
  <c r="I217" i="4"/>
  <c r="J217" i="4"/>
  <c r="C838" i="4"/>
  <c r="D838" i="4"/>
  <c r="E838" i="4"/>
  <c r="F838" i="4"/>
  <c r="G838" i="4"/>
  <c r="I838" i="4"/>
  <c r="J838" i="4"/>
  <c r="C169" i="4"/>
  <c r="D169" i="4"/>
  <c r="E169" i="4"/>
  <c r="F169" i="4"/>
  <c r="G169" i="4"/>
  <c r="I169" i="4"/>
  <c r="J169" i="4"/>
  <c r="C661" i="4"/>
  <c r="D661" i="4"/>
  <c r="E661" i="4"/>
  <c r="F661" i="4"/>
  <c r="G661" i="4"/>
  <c r="I661" i="4"/>
  <c r="J661" i="4"/>
  <c r="C651" i="4"/>
  <c r="D651" i="4"/>
  <c r="E651" i="4"/>
  <c r="F651" i="4"/>
  <c r="G651" i="4"/>
  <c r="I651" i="4"/>
  <c r="J651" i="4"/>
  <c r="C127" i="4"/>
  <c r="D127" i="4"/>
  <c r="E127" i="4"/>
  <c r="F127" i="4"/>
  <c r="G127" i="4"/>
  <c r="I127" i="4"/>
  <c r="J127" i="4"/>
  <c r="C772" i="4"/>
  <c r="D772" i="4"/>
  <c r="E772" i="4"/>
  <c r="F772" i="4"/>
  <c r="G772" i="4"/>
  <c r="I772" i="4"/>
  <c r="J772" i="4"/>
  <c r="C42" i="4"/>
  <c r="D42" i="4"/>
  <c r="E42" i="4"/>
  <c r="F42" i="4"/>
  <c r="G42" i="4"/>
  <c r="I42" i="4"/>
  <c r="J42" i="4"/>
  <c r="C29" i="4"/>
  <c r="D29" i="4"/>
  <c r="E29" i="4"/>
  <c r="F29" i="4"/>
  <c r="G29" i="4"/>
  <c r="I29" i="4"/>
  <c r="J29" i="4"/>
  <c r="C34" i="4"/>
  <c r="D34" i="4"/>
  <c r="E34" i="4"/>
  <c r="F34" i="4"/>
  <c r="G34" i="4"/>
  <c r="I34" i="4"/>
  <c r="J34" i="4"/>
  <c r="C791" i="4"/>
  <c r="D791" i="4"/>
  <c r="E791" i="4"/>
  <c r="F791" i="4"/>
  <c r="G791" i="4"/>
  <c r="I791" i="4"/>
  <c r="J791" i="4"/>
  <c r="C148" i="4"/>
  <c r="D148" i="4"/>
  <c r="E148" i="4"/>
  <c r="F148" i="4"/>
  <c r="G148" i="4"/>
  <c r="I148" i="4"/>
  <c r="J148" i="4"/>
  <c r="C796" i="4"/>
  <c r="D796" i="4"/>
  <c r="E796" i="4"/>
  <c r="F796" i="4"/>
  <c r="G796" i="4"/>
  <c r="I796" i="4"/>
  <c r="J796" i="4"/>
  <c r="C139" i="4"/>
  <c r="D139" i="4"/>
  <c r="E139" i="4"/>
  <c r="F139" i="4"/>
  <c r="G139" i="4"/>
  <c r="I139" i="4"/>
  <c r="J139" i="4"/>
  <c r="C812" i="4"/>
  <c r="D812" i="4"/>
  <c r="E812" i="4"/>
  <c r="F812" i="4"/>
  <c r="G812" i="4"/>
  <c r="I812" i="4"/>
  <c r="J812" i="4"/>
  <c r="C144" i="4"/>
  <c r="D144" i="4"/>
  <c r="E144" i="4"/>
  <c r="F144" i="4"/>
  <c r="G144" i="4"/>
  <c r="I144" i="4"/>
  <c r="J144" i="4"/>
  <c r="C805" i="4"/>
  <c r="D805" i="4"/>
  <c r="E805" i="4"/>
  <c r="F805" i="4"/>
  <c r="G805" i="4"/>
  <c r="I805" i="4"/>
  <c r="J805" i="4"/>
  <c r="C816" i="4"/>
  <c r="D816" i="4"/>
  <c r="E816" i="4"/>
  <c r="F816" i="4"/>
  <c r="G816" i="4"/>
  <c r="I816" i="4"/>
  <c r="J816" i="4"/>
  <c r="C580" i="4"/>
  <c r="D580" i="4"/>
  <c r="E580" i="4"/>
  <c r="F580" i="4"/>
  <c r="G580" i="4"/>
  <c r="I580" i="4"/>
  <c r="J580" i="4"/>
  <c r="C305" i="4"/>
  <c r="D305" i="4"/>
  <c r="E305" i="4"/>
  <c r="F305" i="4"/>
  <c r="G305" i="4"/>
  <c r="I305" i="4"/>
  <c r="J305" i="4"/>
  <c r="C372" i="4"/>
  <c r="D372" i="4"/>
  <c r="E372" i="4"/>
  <c r="F372" i="4"/>
  <c r="G372" i="4"/>
  <c r="I372" i="4"/>
  <c r="J372" i="4"/>
  <c r="C341" i="4"/>
  <c r="D341" i="4"/>
  <c r="E341" i="4"/>
  <c r="F341" i="4"/>
  <c r="G341" i="4"/>
  <c r="I341" i="4"/>
  <c r="J341" i="4"/>
  <c r="C358" i="4"/>
  <c r="D358" i="4"/>
  <c r="E358" i="4"/>
  <c r="F358" i="4"/>
  <c r="G358" i="4"/>
  <c r="I358" i="4"/>
  <c r="J358" i="4"/>
  <c r="C390" i="4"/>
  <c r="D390" i="4"/>
  <c r="E390" i="4"/>
  <c r="F390" i="4"/>
  <c r="G390" i="4"/>
  <c r="I390" i="4"/>
  <c r="J390" i="4"/>
  <c r="C325" i="4"/>
  <c r="D325" i="4"/>
  <c r="E325" i="4"/>
  <c r="F325" i="4"/>
  <c r="G325" i="4"/>
  <c r="I325" i="4"/>
  <c r="J325" i="4"/>
  <c r="C382" i="4"/>
  <c r="D382" i="4"/>
  <c r="E382" i="4"/>
  <c r="F382" i="4"/>
  <c r="G382" i="4"/>
  <c r="I382" i="4"/>
  <c r="J382" i="4"/>
  <c r="C313" i="4"/>
  <c r="D313" i="4"/>
  <c r="E313" i="4"/>
  <c r="F313" i="4"/>
  <c r="G313" i="4"/>
  <c r="I313" i="4"/>
  <c r="J313" i="4"/>
  <c r="C426" i="4"/>
  <c r="D426" i="4"/>
  <c r="E426" i="4"/>
  <c r="F426" i="4"/>
  <c r="G426" i="4"/>
  <c r="I426" i="4"/>
  <c r="J426" i="4"/>
  <c r="C446" i="4"/>
  <c r="D446" i="4"/>
  <c r="E446" i="4"/>
  <c r="F446" i="4"/>
  <c r="G446" i="4"/>
  <c r="I446" i="4"/>
  <c r="J446" i="4"/>
  <c r="C460" i="4"/>
  <c r="D460" i="4"/>
  <c r="E460" i="4"/>
  <c r="F460" i="4"/>
  <c r="G460" i="4"/>
  <c r="I460" i="4"/>
  <c r="J460" i="4"/>
  <c r="C414" i="4"/>
  <c r="D414" i="4"/>
  <c r="E414" i="4"/>
  <c r="F414" i="4"/>
  <c r="G414" i="4"/>
  <c r="I414" i="4"/>
  <c r="J414" i="4"/>
  <c r="C434" i="4"/>
  <c r="D434" i="4"/>
  <c r="E434" i="4"/>
  <c r="F434" i="4"/>
  <c r="G434" i="4"/>
  <c r="I434" i="4"/>
  <c r="J434" i="4"/>
  <c r="C470" i="4"/>
  <c r="D470" i="4"/>
  <c r="E470" i="4"/>
  <c r="F470" i="4"/>
  <c r="G470" i="4"/>
  <c r="I470" i="4"/>
  <c r="J470" i="4"/>
  <c r="C644" i="4"/>
  <c r="D644" i="4"/>
  <c r="E644" i="4"/>
  <c r="F644" i="4"/>
  <c r="G644" i="4"/>
  <c r="I644" i="4"/>
  <c r="J644" i="4"/>
  <c r="C218" i="4"/>
  <c r="D218" i="4"/>
  <c r="E218" i="4"/>
  <c r="F218" i="4"/>
  <c r="G218" i="4"/>
  <c r="I218" i="4"/>
  <c r="J218" i="4"/>
  <c r="C608" i="4"/>
  <c r="D608" i="4"/>
  <c r="E608" i="4"/>
  <c r="F608" i="4"/>
  <c r="G608" i="4"/>
  <c r="I608" i="4"/>
  <c r="J608" i="4"/>
  <c r="C275" i="4"/>
  <c r="D275" i="4"/>
  <c r="E275" i="4"/>
  <c r="F275" i="4"/>
  <c r="G275" i="4"/>
  <c r="I275" i="4"/>
  <c r="J275" i="4"/>
  <c r="C542" i="4"/>
  <c r="D542" i="4"/>
  <c r="E542" i="4"/>
  <c r="F542" i="4"/>
  <c r="G542" i="4"/>
  <c r="I542" i="4"/>
  <c r="J542" i="4"/>
  <c r="C289" i="4"/>
  <c r="D289" i="4"/>
  <c r="E289" i="4"/>
  <c r="F289" i="4"/>
  <c r="G289" i="4"/>
  <c r="I289" i="4"/>
  <c r="J289" i="4"/>
  <c r="C839" i="4"/>
  <c r="D839" i="4"/>
  <c r="E839" i="4"/>
  <c r="F839" i="4"/>
  <c r="G839" i="4"/>
  <c r="I839" i="4"/>
  <c r="J839" i="4"/>
  <c r="C170" i="4"/>
  <c r="D170" i="4"/>
  <c r="E170" i="4"/>
  <c r="F170" i="4"/>
  <c r="G170" i="4"/>
  <c r="I170" i="4"/>
  <c r="J170" i="4"/>
  <c r="C502" i="4"/>
  <c r="D502" i="4"/>
  <c r="E502" i="4"/>
  <c r="F502" i="4"/>
  <c r="G502" i="4"/>
  <c r="I502" i="4"/>
  <c r="J502" i="4"/>
  <c r="C65" i="4"/>
  <c r="D65" i="4"/>
  <c r="E65" i="4"/>
  <c r="F65" i="4"/>
  <c r="G65" i="4"/>
  <c r="I65" i="4"/>
  <c r="J65" i="4"/>
  <c r="C83" i="4"/>
  <c r="D83" i="4"/>
  <c r="E83" i="4"/>
  <c r="F83" i="4"/>
  <c r="G83" i="4"/>
  <c r="I83" i="4"/>
  <c r="J83" i="4"/>
  <c r="C662" i="4"/>
  <c r="D662" i="4"/>
  <c r="E662" i="4"/>
  <c r="F662" i="4"/>
  <c r="G662" i="4"/>
  <c r="I662" i="4"/>
  <c r="J662" i="4"/>
  <c r="C652" i="4"/>
  <c r="D652" i="4"/>
  <c r="E652" i="4"/>
  <c r="F652" i="4"/>
  <c r="G652" i="4"/>
  <c r="I652" i="4"/>
  <c r="J652" i="4"/>
  <c r="C128" i="4"/>
  <c r="D128" i="4"/>
  <c r="E128" i="4"/>
  <c r="F128" i="4"/>
  <c r="G128" i="4"/>
  <c r="I128" i="4"/>
  <c r="J128" i="4"/>
  <c r="C773" i="4"/>
  <c r="D773" i="4"/>
  <c r="E773" i="4"/>
  <c r="F773" i="4"/>
  <c r="G773" i="4"/>
  <c r="I773" i="4"/>
  <c r="J773" i="4"/>
  <c r="C730" i="4"/>
  <c r="D730" i="4"/>
  <c r="E730" i="4"/>
  <c r="F730" i="4"/>
  <c r="G730" i="4"/>
  <c r="I730" i="4"/>
  <c r="J730" i="4"/>
  <c r="C479" i="4"/>
  <c r="D479" i="4"/>
  <c r="E479" i="4"/>
  <c r="F479" i="4"/>
  <c r="G479" i="4"/>
  <c r="I479" i="4"/>
  <c r="J479" i="4"/>
  <c r="C492" i="4"/>
  <c r="D492" i="4"/>
  <c r="E492" i="4"/>
  <c r="F492" i="4"/>
  <c r="G492" i="4"/>
  <c r="I492" i="4"/>
  <c r="J492" i="4"/>
  <c r="C203" i="4"/>
  <c r="D203" i="4"/>
  <c r="E203" i="4"/>
  <c r="F203" i="4"/>
  <c r="G203" i="4"/>
  <c r="I203" i="4"/>
  <c r="J203" i="4"/>
  <c r="C14" i="4"/>
  <c r="D14" i="4"/>
  <c r="E14" i="4"/>
  <c r="F14" i="4"/>
  <c r="G14" i="4"/>
  <c r="I14" i="4"/>
  <c r="J14" i="4"/>
  <c r="C6" i="4"/>
  <c r="D6" i="4"/>
  <c r="E6" i="4"/>
  <c r="F6" i="4"/>
  <c r="G6" i="4"/>
  <c r="I6" i="4"/>
  <c r="J6" i="4"/>
  <c r="C514" i="4"/>
  <c r="D514" i="4"/>
  <c r="E514" i="4"/>
  <c r="F514" i="4"/>
  <c r="G514" i="4"/>
  <c r="I514" i="4"/>
  <c r="J514" i="4"/>
  <c r="C191" i="4"/>
  <c r="D191" i="4"/>
  <c r="E191" i="4"/>
  <c r="F191" i="4"/>
  <c r="G191" i="4"/>
  <c r="I191" i="4"/>
  <c r="J191" i="4"/>
  <c r="C552" i="4"/>
  <c r="D552" i="4"/>
  <c r="E552" i="4"/>
  <c r="F552" i="4"/>
  <c r="G552" i="4"/>
  <c r="I552" i="4"/>
  <c r="J552" i="4"/>
  <c r="C825" i="4"/>
  <c r="D825" i="4"/>
  <c r="E825" i="4"/>
  <c r="F825" i="4"/>
  <c r="G825" i="4"/>
  <c r="I825" i="4"/>
  <c r="J825" i="4"/>
  <c r="C829" i="4"/>
  <c r="D829" i="4"/>
  <c r="E829" i="4"/>
  <c r="F829" i="4"/>
  <c r="G829" i="4"/>
  <c r="I829" i="4"/>
  <c r="J829" i="4"/>
  <c r="C38" i="4"/>
  <c r="D38" i="4"/>
  <c r="E38" i="4"/>
  <c r="F38" i="4"/>
  <c r="G38" i="4"/>
  <c r="I38" i="4"/>
  <c r="J38" i="4"/>
  <c r="C678" i="4"/>
  <c r="D678" i="4"/>
  <c r="E678" i="4"/>
  <c r="F678" i="4"/>
  <c r="G678" i="4"/>
  <c r="I678" i="4"/>
  <c r="J678" i="4"/>
  <c r="C596" i="4"/>
  <c r="D596" i="4"/>
  <c r="E596" i="4"/>
  <c r="F596" i="4"/>
  <c r="G596" i="4"/>
  <c r="I596" i="4"/>
  <c r="J596" i="4"/>
  <c r="C7" i="4"/>
  <c r="D7" i="4"/>
  <c r="E7" i="4"/>
  <c r="F7" i="4"/>
  <c r="G7" i="4"/>
  <c r="I7" i="4"/>
  <c r="J7" i="4"/>
  <c r="C183" i="4"/>
  <c r="D183" i="4"/>
  <c r="E183" i="4"/>
  <c r="F183" i="4"/>
  <c r="G183" i="4"/>
  <c r="I183" i="4"/>
  <c r="J183" i="4"/>
  <c r="C192" i="4"/>
  <c r="D192" i="4"/>
  <c r="E192" i="4"/>
  <c r="F192" i="4"/>
  <c r="G192" i="4"/>
  <c r="I192" i="4"/>
  <c r="J192" i="4"/>
  <c r="C518" i="4"/>
  <c r="D518" i="4"/>
  <c r="E518" i="4"/>
  <c r="F518" i="4"/>
  <c r="G518" i="4"/>
  <c r="I518" i="4"/>
  <c r="J518" i="4"/>
  <c r="C553" i="4"/>
  <c r="D553" i="4"/>
  <c r="E553" i="4"/>
  <c r="F553" i="4"/>
  <c r="G553" i="4"/>
  <c r="I553" i="4"/>
  <c r="J553" i="4"/>
  <c r="C15" i="4"/>
  <c r="D15" i="4"/>
  <c r="E15" i="4"/>
  <c r="F15" i="4"/>
  <c r="G15" i="4"/>
  <c r="I15" i="4"/>
  <c r="J15" i="4"/>
  <c r="C157" i="4"/>
  <c r="D157" i="4"/>
  <c r="E157" i="4"/>
  <c r="F157" i="4"/>
  <c r="G157" i="4"/>
  <c r="I157" i="4"/>
  <c r="J157" i="4"/>
  <c r="C407" i="4"/>
  <c r="D407" i="4"/>
  <c r="E407" i="4"/>
  <c r="F407" i="4"/>
  <c r="G407" i="4"/>
  <c r="I407" i="4"/>
  <c r="J407" i="4"/>
  <c r="C563" i="4"/>
  <c r="D563" i="4"/>
  <c r="E563" i="4"/>
  <c r="F563" i="4"/>
  <c r="G563" i="4"/>
  <c r="I563" i="4"/>
  <c r="J563" i="4"/>
  <c r="C566" i="4"/>
  <c r="D566" i="4"/>
  <c r="E566" i="4"/>
  <c r="F566" i="4"/>
  <c r="G566" i="4"/>
  <c r="I566" i="4"/>
  <c r="J566" i="4"/>
  <c r="C257" i="4"/>
  <c r="D257" i="4"/>
  <c r="E257" i="4"/>
  <c r="F257" i="4"/>
  <c r="G257" i="4"/>
  <c r="I257" i="4"/>
  <c r="J257" i="4"/>
  <c r="C261" i="4"/>
  <c r="D261" i="4"/>
  <c r="E261" i="4"/>
  <c r="F261" i="4"/>
  <c r="G261" i="4"/>
  <c r="I261" i="4"/>
  <c r="J261" i="4"/>
  <c r="C73" i="4"/>
  <c r="D73" i="4"/>
  <c r="E73" i="4"/>
  <c r="F73" i="4"/>
  <c r="G73" i="4"/>
  <c r="I73" i="4"/>
  <c r="J73" i="4"/>
  <c r="C573" i="4"/>
  <c r="D573" i="4"/>
  <c r="E573" i="4"/>
  <c r="F573" i="4"/>
  <c r="G573" i="4"/>
  <c r="I573" i="4"/>
  <c r="J573" i="4"/>
  <c r="C700" i="4"/>
  <c r="D700" i="4"/>
  <c r="E700" i="4"/>
  <c r="F700" i="4"/>
  <c r="G700" i="4"/>
  <c r="I700" i="4"/>
  <c r="J700" i="4"/>
  <c r="C253" i="4"/>
  <c r="D253" i="4"/>
  <c r="E253" i="4"/>
  <c r="F253" i="4"/>
  <c r="G253" i="4"/>
  <c r="I253" i="4"/>
  <c r="J253" i="4"/>
  <c r="C326" i="4"/>
  <c r="D326" i="4"/>
  <c r="E326" i="4"/>
  <c r="F326" i="4"/>
  <c r="G326" i="4"/>
  <c r="I326" i="4"/>
  <c r="J326" i="4"/>
  <c r="C158" i="4"/>
  <c r="D158" i="4"/>
  <c r="E158" i="4"/>
  <c r="F158" i="4"/>
  <c r="G158" i="4"/>
  <c r="I158" i="4"/>
  <c r="J158" i="4"/>
  <c r="C527" i="4"/>
  <c r="D527" i="4"/>
  <c r="E527" i="4"/>
  <c r="F527" i="4"/>
  <c r="G527" i="4"/>
  <c r="I527" i="4"/>
  <c r="J527" i="4"/>
  <c r="C219" i="4"/>
  <c r="D219" i="4"/>
  <c r="E219" i="4"/>
  <c r="F219" i="4"/>
  <c r="G219" i="4"/>
  <c r="I219" i="4"/>
  <c r="J219" i="4"/>
  <c r="C609" i="4"/>
  <c r="D609" i="4"/>
  <c r="E609" i="4"/>
  <c r="F609" i="4"/>
  <c r="G609" i="4"/>
  <c r="I609" i="4"/>
  <c r="J609" i="4"/>
  <c r="C543" i="4"/>
  <c r="D543" i="4"/>
  <c r="E543" i="4"/>
  <c r="F543" i="4"/>
  <c r="G543" i="4"/>
  <c r="I543" i="4"/>
  <c r="J543" i="4"/>
  <c r="C66" i="4"/>
  <c r="D66" i="4"/>
  <c r="E66" i="4"/>
  <c r="F66" i="4"/>
  <c r="G66" i="4"/>
  <c r="I66" i="4"/>
  <c r="J66" i="4"/>
  <c r="C503" i="4"/>
  <c r="D503" i="4"/>
  <c r="E503" i="4"/>
  <c r="F503" i="4"/>
  <c r="G503" i="4"/>
  <c r="I503" i="4"/>
  <c r="J503" i="4"/>
  <c r="C108" i="4"/>
  <c r="D108" i="4"/>
  <c r="E108" i="4"/>
  <c r="F108" i="4"/>
  <c r="G108" i="4"/>
  <c r="I108" i="4"/>
  <c r="J108" i="4"/>
  <c r="C129" i="4"/>
  <c r="D129" i="4"/>
  <c r="E129" i="4"/>
  <c r="F129" i="4"/>
  <c r="G129" i="4"/>
  <c r="I129" i="4"/>
  <c r="J129" i="4"/>
  <c r="C774" i="4"/>
  <c r="D774" i="4"/>
  <c r="E774" i="4"/>
  <c r="F774" i="4"/>
  <c r="G774" i="4"/>
  <c r="I774" i="4"/>
  <c r="J774" i="4"/>
  <c r="C731" i="4"/>
  <c r="D731" i="4"/>
  <c r="E731" i="4"/>
  <c r="F731" i="4"/>
  <c r="G731" i="4"/>
  <c r="I731" i="4"/>
  <c r="J731" i="4"/>
  <c r="C840" i="4"/>
  <c r="D840" i="4"/>
  <c r="E840" i="4"/>
  <c r="F840" i="4"/>
  <c r="G840" i="4"/>
  <c r="I840" i="4"/>
  <c r="J840" i="4"/>
  <c r="C171" i="4"/>
  <c r="D171" i="4"/>
  <c r="E171" i="4"/>
  <c r="F171" i="4"/>
  <c r="G171" i="4"/>
  <c r="I171" i="4"/>
  <c r="J171" i="4"/>
  <c r="C276" i="4"/>
  <c r="D276" i="4"/>
  <c r="E276" i="4"/>
  <c r="F276" i="4"/>
  <c r="G276" i="4"/>
  <c r="I276" i="4"/>
  <c r="J276" i="4"/>
  <c r="C290" i="4"/>
  <c r="D290" i="4"/>
  <c r="E290" i="4"/>
  <c r="F290" i="4"/>
  <c r="G290" i="4"/>
  <c r="I290" i="4"/>
  <c r="J290" i="4"/>
  <c r="C84" i="4"/>
  <c r="D84" i="4"/>
  <c r="E84" i="4"/>
  <c r="F84" i="4"/>
  <c r="G84" i="4"/>
  <c r="I84" i="4"/>
  <c r="J84" i="4"/>
  <c r="C622" i="4"/>
  <c r="D622" i="4"/>
  <c r="E622" i="4"/>
  <c r="F622" i="4"/>
  <c r="G622" i="4"/>
  <c r="I622" i="4"/>
  <c r="J622" i="4"/>
  <c r="C581" i="4"/>
  <c r="D581" i="4"/>
  <c r="E581" i="4"/>
  <c r="F581" i="4"/>
  <c r="G581" i="4"/>
  <c r="I581" i="4"/>
  <c r="J581" i="4"/>
  <c r="C593" i="4"/>
  <c r="D593" i="4"/>
  <c r="E593" i="4"/>
  <c r="F593" i="4"/>
  <c r="G593" i="4"/>
  <c r="I593" i="4"/>
  <c r="J593" i="4"/>
  <c r="C588" i="4"/>
  <c r="D588" i="4"/>
  <c r="E588" i="4"/>
  <c r="F588" i="4"/>
  <c r="G588" i="4"/>
  <c r="I588" i="4"/>
  <c r="J588" i="4"/>
  <c r="C701" i="4"/>
  <c r="D701" i="4"/>
  <c r="E701" i="4"/>
  <c r="F701" i="4"/>
  <c r="G701" i="4"/>
  <c r="I701" i="4"/>
  <c r="J701" i="4"/>
  <c r="C688" i="4"/>
  <c r="D688" i="4"/>
  <c r="E688" i="4"/>
  <c r="F688" i="4"/>
  <c r="G688" i="4"/>
  <c r="I688" i="4"/>
  <c r="J688" i="4"/>
  <c r="C632" i="4"/>
  <c r="D632" i="4"/>
  <c r="E632" i="4"/>
  <c r="F632" i="4"/>
  <c r="G632" i="4"/>
  <c r="I632" i="4"/>
  <c r="J632" i="4"/>
  <c r="C617" i="4"/>
  <c r="D617" i="4"/>
  <c r="E617" i="4"/>
  <c r="F617" i="4"/>
  <c r="G617" i="4"/>
  <c r="I617" i="4"/>
  <c r="J617" i="4"/>
  <c r="C55" i="4"/>
  <c r="D55" i="4"/>
  <c r="E55" i="4"/>
  <c r="F55" i="4"/>
  <c r="G55" i="4"/>
  <c r="I55" i="4"/>
  <c r="J55" i="4"/>
  <c r="C208" i="4"/>
  <c r="D208" i="4"/>
  <c r="E208" i="4"/>
  <c r="F208" i="4"/>
  <c r="G208" i="4"/>
  <c r="I208" i="4"/>
  <c r="J208" i="4"/>
  <c r="C50" i="4"/>
  <c r="D50" i="4"/>
  <c r="E50" i="4"/>
  <c r="F50" i="4"/>
  <c r="G50" i="4"/>
  <c r="I50" i="4"/>
  <c r="J50" i="4"/>
  <c r="C306" i="4"/>
  <c r="D306" i="4"/>
  <c r="E306" i="4"/>
  <c r="F306" i="4"/>
  <c r="G306" i="4"/>
  <c r="I306" i="4"/>
  <c r="J306" i="4"/>
  <c r="C254" i="4"/>
  <c r="D254" i="4"/>
  <c r="E254" i="4"/>
  <c r="F254" i="4"/>
  <c r="G254" i="4"/>
  <c r="I254" i="4"/>
  <c r="J254" i="4"/>
  <c r="C109" i="4"/>
  <c r="D109" i="4"/>
  <c r="E109" i="4"/>
  <c r="F109" i="4"/>
  <c r="G109" i="4"/>
  <c r="I109" i="4"/>
  <c r="J109" i="4"/>
  <c r="C775" i="4"/>
  <c r="D775" i="4"/>
  <c r="E775" i="4"/>
  <c r="F775" i="4"/>
  <c r="G775" i="4"/>
  <c r="I775" i="4"/>
  <c r="J775" i="4"/>
  <c r="C732" i="4"/>
  <c r="D732" i="4"/>
  <c r="E732" i="4"/>
  <c r="F732" i="4"/>
  <c r="G732" i="4"/>
  <c r="I732" i="4"/>
  <c r="J732" i="4"/>
  <c r="C242" i="4"/>
  <c r="D242" i="4"/>
  <c r="E242" i="4"/>
  <c r="F242" i="4"/>
  <c r="G242" i="4"/>
  <c r="I242" i="4"/>
  <c r="J242" i="4"/>
  <c r="C110" i="4"/>
  <c r="D110" i="4"/>
  <c r="E110" i="4"/>
  <c r="F110" i="4"/>
  <c r="G110" i="4"/>
  <c r="I110" i="4"/>
  <c r="J110" i="4"/>
  <c r="C776" i="4"/>
  <c r="D776" i="4"/>
  <c r="E776" i="4"/>
  <c r="F776" i="4"/>
  <c r="G776" i="4"/>
  <c r="I776" i="4"/>
  <c r="J776" i="4"/>
  <c r="C733" i="4"/>
  <c r="D733" i="4"/>
  <c r="E733" i="4"/>
  <c r="F733" i="4"/>
  <c r="G733" i="4"/>
  <c r="I733" i="4"/>
  <c r="J733" i="4"/>
  <c r="C247" i="4"/>
  <c r="D247" i="4"/>
  <c r="E247" i="4"/>
  <c r="F247" i="4"/>
  <c r="G247" i="4"/>
  <c r="I247" i="4"/>
  <c r="J247" i="4"/>
  <c r="C111" i="4"/>
  <c r="D111" i="4"/>
  <c r="E111" i="4"/>
  <c r="F111" i="4"/>
  <c r="G111" i="4"/>
  <c r="I111" i="4"/>
  <c r="J111" i="4"/>
  <c r="C777" i="4"/>
  <c r="D777" i="4"/>
  <c r="E777" i="4"/>
  <c r="F777" i="4"/>
  <c r="G777" i="4"/>
  <c r="I777" i="4"/>
  <c r="J777" i="4"/>
  <c r="C734" i="4"/>
  <c r="D734" i="4"/>
  <c r="E734" i="4"/>
  <c r="F734" i="4"/>
  <c r="G734" i="4"/>
  <c r="I734" i="4"/>
  <c r="J734" i="4"/>
  <c r="C227" i="4"/>
  <c r="D227" i="4"/>
  <c r="E227" i="4"/>
  <c r="F227" i="4"/>
  <c r="G227" i="4"/>
  <c r="I227" i="4"/>
  <c r="J227" i="4"/>
  <c r="C489" i="4"/>
  <c r="D489" i="4"/>
  <c r="E489" i="4"/>
  <c r="F489" i="4"/>
  <c r="G489" i="4"/>
  <c r="I489" i="4"/>
  <c r="J489" i="4"/>
  <c r="C675" i="4"/>
  <c r="D675" i="4"/>
  <c r="E675" i="4"/>
  <c r="F675" i="4"/>
  <c r="G675" i="4"/>
  <c r="I675" i="4"/>
  <c r="J675" i="4"/>
  <c r="C669" i="4"/>
  <c r="D669" i="4"/>
  <c r="E669" i="4"/>
  <c r="F669" i="4"/>
  <c r="G669" i="4"/>
  <c r="I669" i="4"/>
  <c r="J669" i="4"/>
  <c r="C112" i="4"/>
  <c r="D112" i="4"/>
  <c r="E112" i="4"/>
  <c r="F112" i="4"/>
  <c r="G112" i="4"/>
  <c r="I112" i="4"/>
  <c r="J112" i="4"/>
  <c r="C778" i="4"/>
  <c r="D778" i="4"/>
  <c r="E778" i="4"/>
  <c r="F778" i="4"/>
  <c r="G778" i="4"/>
  <c r="I778" i="4"/>
  <c r="J778" i="4"/>
  <c r="C735" i="4"/>
  <c r="D735" i="4"/>
  <c r="E735" i="4"/>
  <c r="F735" i="4"/>
  <c r="G735" i="4"/>
  <c r="I735" i="4"/>
  <c r="J735" i="4"/>
  <c r="C243" i="4"/>
  <c r="D243" i="4"/>
  <c r="E243" i="4"/>
  <c r="F243" i="4"/>
  <c r="G243" i="4"/>
  <c r="I243" i="4"/>
  <c r="J243" i="4"/>
  <c r="C234" i="4"/>
  <c r="D234" i="4"/>
  <c r="E234" i="4"/>
  <c r="F234" i="4"/>
  <c r="G234" i="4"/>
  <c r="I234" i="4"/>
  <c r="J234" i="4"/>
  <c r="C113" i="4"/>
  <c r="D113" i="4"/>
  <c r="E113" i="4"/>
  <c r="F113" i="4"/>
  <c r="G113" i="4"/>
  <c r="I113" i="4"/>
  <c r="J113" i="4"/>
  <c r="C779" i="4"/>
  <c r="D779" i="4"/>
  <c r="E779" i="4"/>
  <c r="F779" i="4"/>
  <c r="G779" i="4"/>
  <c r="I779" i="4"/>
  <c r="J779" i="4"/>
  <c r="C736" i="4"/>
  <c r="D736" i="4"/>
  <c r="E736" i="4"/>
  <c r="F736" i="4"/>
  <c r="G736" i="4"/>
  <c r="I736" i="4"/>
  <c r="J736" i="4"/>
  <c r="C235" i="4"/>
  <c r="D235" i="4"/>
  <c r="E235" i="4"/>
  <c r="F235" i="4"/>
  <c r="G235" i="4"/>
  <c r="I235" i="4"/>
  <c r="J235" i="4"/>
  <c r="C114" i="4"/>
  <c r="D114" i="4"/>
  <c r="E114" i="4"/>
  <c r="F114" i="4"/>
  <c r="G114" i="4"/>
  <c r="I114" i="4"/>
  <c r="J114" i="4"/>
  <c r="C780" i="4"/>
  <c r="D780" i="4"/>
  <c r="E780" i="4"/>
  <c r="F780" i="4"/>
  <c r="G780" i="4"/>
  <c r="I780" i="4"/>
  <c r="J780" i="4"/>
  <c r="C737" i="4"/>
  <c r="D737" i="4"/>
  <c r="E737" i="4"/>
  <c r="F737" i="4"/>
  <c r="G737" i="4"/>
  <c r="I737" i="4"/>
  <c r="J737" i="4"/>
  <c r="C266" i="4"/>
  <c r="D266" i="4"/>
  <c r="E266" i="4"/>
  <c r="F266" i="4"/>
  <c r="G266" i="4"/>
  <c r="I266" i="4"/>
  <c r="J266" i="4"/>
  <c r="C301" i="4"/>
  <c r="D301" i="4"/>
  <c r="E301" i="4"/>
  <c r="F301" i="4"/>
  <c r="G301" i="4"/>
  <c r="I301" i="4"/>
  <c r="J301" i="4"/>
  <c r="C365" i="4"/>
  <c r="D365" i="4"/>
  <c r="E365" i="4"/>
  <c r="F365" i="4"/>
  <c r="G365" i="4"/>
  <c r="I365" i="4"/>
  <c r="J365" i="4"/>
  <c r="C334" i="4"/>
  <c r="D334" i="4"/>
  <c r="E334" i="4"/>
  <c r="F334" i="4"/>
  <c r="G334" i="4"/>
  <c r="I334" i="4"/>
  <c r="J334" i="4"/>
  <c r="C373" i="4"/>
  <c r="D373" i="4"/>
  <c r="E373" i="4"/>
  <c r="F373" i="4"/>
  <c r="G373" i="4"/>
  <c r="I373" i="4"/>
  <c r="J373" i="4"/>
  <c r="C349" i="4"/>
  <c r="D349" i="4"/>
  <c r="E349" i="4"/>
  <c r="F349" i="4"/>
  <c r="G349" i="4"/>
  <c r="I349" i="4"/>
  <c r="J349" i="4"/>
  <c r="C342" i="4"/>
  <c r="D342" i="4"/>
  <c r="E342" i="4"/>
  <c r="F342" i="4"/>
  <c r="G342" i="4"/>
  <c r="I342" i="4"/>
  <c r="J342" i="4"/>
  <c r="C359" i="4"/>
  <c r="D359" i="4"/>
  <c r="E359" i="4"/>
  <c r="F359" i="4"/>
  <c r="G359" i="4"/>
  <c r="I359" i="4"/>
  <c r="J359" i="4"/>
  <c r="C327" i="4"/>
  <c r="D327" i="4"/>
  <c r="E327" i="4"/>
  <c r="F327" i="4"/>
  <c r="G327" i="4"/>
  <c r="I327" i="4"/>
  <c r="J327" i="4"/>
  <c r="C383" i="4"/>
  <c r="D383" i="4"/>
  <c r="E383" i="4"/>
  <c r="F383" i="4"/>
  <c r="G383" i="4"/>
  <c r="I383" i="4"/>
  <c r="J383" i="4"/>
  <c r="C352" i="4"/>
  <c r="D352" i="4"/>
  <c r="E352" i="4"/>
  <c r="F352" i="4"/>
  <c r="G352" i="4"/>
  <c r="I352" i="4"/>
  <c r="J352" i="4"/>
  <c r="C399" i="4"/>
  <c r="D399" i="4"/>
  <c r="E399" i="4"/>
  <c r="F399" i="4"/>
  <c r="G399" i="4"/>
  <c r="I399" i="4"/>
  <c r="J399" i="4"/>
  <c r="C403" i="4"/>
  <c r="D403" i="4"/>
  <c r="E403" i="4"/>
  <c r="F403" i="4"/>
  <c r="G403" i="4"/>
  <c r="I403" i="4"/>
  <c r="J403" i="4"/>
  <c r="C395" i="4"/>
  <c r="D395" i="4"/>
  <c r="E395" i="4"/>
  <c r="F395" i="4"/>
  <c r="G395" i="4"/>
  <c r="I395" i="4"/>
  <c r="J395" i="4"/>
  <c r="C314" i="4"/>
  <c r="D314" i="4"/>
  <c r="E314" i="4"/>
  <c r="F314" i="4"/>
  <c r="G314" i="4"/>
  <c r="I314" i="4"/>
  <c r="J314" i="4"/>
  <c r="C130" i="4"/>
  <c r="D130" i="4"/>
  <c r="E130" i="4"/>
  <c r="F130" i="4"/>
  <c r="G130" i="4"/>
  <c r="I130" i="4"/>
  <c r="J130" i="4"/>
  <c r="C781" i="4"/>
  <c r="D781" i="4"/>
  <c r="E781" i="4"/>
  <c r="F781" i="4"/>
  <c r="G781" i="4"/>
  <c r="I781" i="4"/>
  <c r="J781" i="4"/>
  <c r="C738" i="4"/>
  <c r="D738" i="4"/>
  <c r="E738" i="4"/>
  <c r="F738" i="4"/>
  <c r="G738" i="4"/>
  <c r="I738" i="4"/>
  <c r="J738" i="4"/>
  <c r="C480" i="4"/>
  <c r="D480" i="4"/>
  <c r="E480" i="4"/>
  <c r="F480" i="4"/>
  <c r="G480" i="4"/>
  <c r="I480" i="4"/>
  <c r="J480" i="4"/>
  <c r="C471" i="4"/>
  <c r="D471" i="4"/>
  <c r="E471" i="4"/>
  <c r="F471" i="4"/>
  <c r="G471" i="4"/>
  <c r="I471" i="4"/>
  <c r="J471" i="4"/>
  <c r="C427" i="4"/>
  <c r="D427" i="4"/>
  <c r="E427" i="4"/>
  <c r="F427" i="4"/>
  <c r="G427" i="4"/>
  <c r="I427" i="4"/>
  <c r="J427" i="4"/>
  <c r="C447" i="4"/>
  <c r="D447" i="4"/>
  <c r="E447" i="4"/>
  <c r="F447" i="4"/>
  <c r="G447" i="4"/>
  <c r="I447" i="4"/>
  <c r="J447" i="4"/>
  <c r="C461" i="4"/>
  <c r="D461" i="4"/>
  <c r="E461" i="4"/>
  <c r="F461" i="4"/>
  <c r="G461" i="4"/>
  <c r="I461" i="4"/>
  <c r="J461" i="4"/>
  <c r="C415" i="4"/>
  <c r="D415" i="4"/>
  <c r="E415" i="4"/>
  <c r="F415" i="4"/>
  <c r="G415" i="4"/>
  <c r="I415" i="4"/>
  <c r="J415" i="4"/>
  <c r="C435" i="4"/>
  <c r="D435" i="4"/>
  <c r="E435" i="4"/>
  <c r="F435" i="4"/>
  <c r="G435" i="4"/>
  <c r="I435" i="4"/>
  <c r="J435" i="4"/>
  <c r="C452" i="4"/>
  <c r="D452" i="4"/>
  <c r="E452" i="4"/>
  <c r="F452" i="4"/>
  <c r="G452" i="4"/>
  <c r="I452" i="4"/>
  <c r="J452" i="4"/>
  <c r="C420" i="4"/>
  <c r="D420" i="4"/>
  <c r="E420" i="4"/>
  <c r="F420" i="4"/>
  <c r="G420" i="4"/>
  <c r="I420" i="4"/>
  <c r="J420" i="4"/>
  <c r="C440" i="4"/>
  <c r="D440" i="4"/>
  <c r="E440" i="4"/>
  <c r="F440" i="4"/>
  <c r="G440" i="4"/>
  <c r="I440" i="4"/>
  <c r="J440" i="4"/>
  <c r="C456" i="4"/>
  <c r="D456" i="4"/>
  <c r="E456" i="4"/>
  <c r="F456" i="4"/>
  <c r="G456" i="4"/>
  <c r="I456" i="4"/>
  <c r="J456" i="4"/>
  <c r="C464" i="4"/>
  <c r="D464" i="4"/>
  <c r="E464" i="4"/>
  <c r="F464" i="4"/>
  <c r="G464" i="4"/>
  <c r="I464" i="4"/>
  <c r="J464" i="4"/>
  <c r="C645" i="4"/>
  <c r="D645" i="4"/>
  <c r="E645" i="4"/>
  <c r="F645" i="4"/>
  <c r="G645" i="4"/>
  <c r="I645" i="4"/>
  <c r="J645" i="4"/>
  <c r="C638" i="4"/>
  <c r="D638" i="4"/>
  <c r="E638" i="4"/>
  <c r="F638" i="4"/>
  <c r="G638" i="4"/>
  <c r="I638" i="4"/>
  <c r="J638" i="4"/>
  <c r="C504" i="4"/>
  <c r="D504" i="4"/>
  <c r="E504" i="4"/>
  <c r="F504" i="4"/>
  <c r="G504" i="4"/>
  <c r="I504" i="4"/>
  <c r="J504" i="4"/>
  <c r="C67" i="4"/>
  <c r="D67" i="4"/>
  <c r="E67" i="4"/>
  <c r="F67" i="4"/>
  <c r="G67" i="4"/>
  <c r="I67" i="4"/>
  <c r="J67" i="4"/>
  <c r="C610" i="4"/>
  <c r="D610" i="4"/>
  <c r="E610" i="4"/>
  <c r="F610" i="4"/>
  <c r="G610" i="4"/>
  <c r="I610" i="4"/>
  <c r="J610" i="4"/>
  <c r="C277" i="4"/>
  <c r="D277" i="4"/>
  <c r="E277" i="4"/>
  <c r="F277" i="4"/>
  <c r="G277" i="4"/>
  <c r="I277" i="4"/>
  <c r="J277" i="4"/>
  <c r="C544" i="4"/>
  <c r="D544" i="4"/>
  <c r="E544" i="4"/>
  <c r="F544" i="4"/>
  <c r="G544" i="4"/>
  <c r="I544" i="4"/>
  <c r="J544" i="4"/>
  <c r="C291" i="4"/>
  <c r="D291" i="4"/>
  <c r="E291" i="4"/>
  <c r="F291" i="4"/>
  <c r="G291" i="4"/>
  <c r="I291" i="4"/>
  <c r="J291" i="4"/>
  <c r="C85" i="4"/>
  <c r="D85" i="4"/>
  <c r="E85" i="4"/>
  <c r="F85" i="4"/>
  <c r="G85" i="4"/>
  <c r="I85" i="4"/>
  <c r="J85" i="4"/>
  <c r="C220" i="4"/>
  <c r="D220" i="4"/>
  <c r="E220" i="4"/>
  <c r="F220" i="4"/>
  <c r="G220" i="4"/>
  <c r="I220" i="4"/>
  <c r="J220" i="4"/>
  <c r="C841" i="4"/>
  <c r="D841" i="4"/>
  <c r="E841" i="4"/>
  <c r="F841" i="4"/>
  <c r="G841" i="4"/>
  <c r="I841" i="4"/>
  <c r="J841" i="4"/>
  <c r="C172" i="4"/>
  <c r="D172" i="4"/>
  <c r="E172" i="4"/>
  <c r="F172" i="4"/>
  <c r="G172" i="4"/>
  <c r="I172" i="4"/>
  <c r="J172" i="4"/>
  <c r="C663" i="4"/>
  <c r="D663" i="4"/>
  <c r="E663" i="4"/>
  <c r="F663" i="4"/>
  <c r="G663" i="4"/>
  <c r="I663" i="4"/>
  <c r="J663" i="4"/>
  <c r="C653" i="4"/>
  <c r="D653" i="4"/>
  <c r="E653" i="4"/>
  <c r="F653" i="4"/>
  <c r="G653" i="4"/>
  <c r="I653" i="4"/>
  <c r="J653" i="4"/>
  <c r="C131" i="4"/>
  <c r="D131" i="4"/>
  <c r="E131" i="4"/>
  <c r="F131" i="4"/>
  <c r="G131" i="4"/>
  <c r="I131" i="4"/>
  <c r="J131" i="4"/>
  <c r="C782" i="4"/>
  <c r="D782" i="4"/>
  <c r="E782" i="4"/>
  <c r="F782" i="4"/>
  <c r="G782" i="4"/>
  <c r="I782" i="4"/>
  <c r="J782" i="4"/>
  <c r="C43" i="4"/>
  <c r="D43" i="4"/>
  <c r="E43" i="4"/>
  <c r="F43" i="4"/>
  <c r="G43" i="4"/>
  <c r="I43" i="4"/>
  <c r="J43" i="4"/>
  <c r="C46" i="4"/>
  <c r="D46" i="4"/>
  <c r="E46" i="4"/>
  <c r="F46" i="4"/>
  <c r="G46" i="4"/>
  <c r="I46" i="4"/>
  <c r="J46" i="4"/>
  <c r="C26" i="4"/>
  <c r="D26" i="4"/>
  <c r="E26" i="4"/>
  <c r="F26" i="4"/>
  <c r="G26" i="4"/>
  <c r="I26" i="4"/>
  <c r="J26" i="4"/>
  <c r="C30" i="4"/>
  <c r="D30" i="4"/>
  <c r="E30" i="4"/>
  <c r="F30" i="4"/>
  <c r="G30" i="4"/>
  <c r="I30" i="4"/>
  <c r="J30" i="4"/>
  <c r="C35" i="4"/>
  <c r="D35" i="4"/>
  <c r="E35" i="4"/>
  <c r="F35" i="4"/>
  <c r="G35" i="4"/>
  <c r="I35" i="4"/>
  <c r="J35" i="4"/>
  <c r="C792" i="4"/>
  <c r="D792" i="4"/>
  <c r="E792" i="4"/>
  <c r="F792" i="4"/>
  <c r="G792" i="4"/>
  <c r="I792" i="4"/>
  <c r="J792" i="4"/>
  <c r="C149" i="4"/>
  <c r="D149" i="4"/>
  <c r="E149" i="4"/>
  <c r="F149" i="4"/>
  <c r="G149" i="4"/>
  <c r="I149" i="4"/>
  <c r="J149" i="4"/>
  <c r="C797" i="4"/>
  <c r="D797" i="4"/>
  <c r="E797" i="4"/>
  <c r="F797" i="4"/>
  <c r="G797" i="4"/>
  <c r="I797" i="4"/>
  <c r="J797" i="4"/>
  <c r="C819" i="4"/>
  <c r="D819" i="4"/>
  <c r="E819" i="4"/>
  <c r="F819" i="4"/>
  <c r="G819" i="4"/>
  <c r="I819" i="4"/>
  <c r="J819" i="4"/>
  <c r="C152" i="4"/>
  <c r="D152" i="4"/>
  <c r="E152" i="4"/>
  <c r="F152" i="4"/>
  <c r="G152" i="4"/>
  <c r="I152" i="4"/>
  <c r="J152" i="4"/>
  <c r="C807" i="4"/>
  <c r="D807" i="4"/>
  <c r="E807" i="4"/>
  <c r="F807" i="4"/>
  <c r="G807" i="4"/>
  <c r="I807" i="4"/>
  <c r="J807" i="4"/>
  <c r="C822" i="4"/>
  <c r="D822" i="4"/>
  <c r="E822" i="4"/>
  <c r="F822" i="4"/>
  <c r="G822" i="4"/>
  <c r="I822" i="4"/>
  <c r="J822" i="4"/>
  <c r="C136" i="4"/>
  <c r="D136" i="4"/>
  <c r="E136" i="4"/>
  <c r="F136" i="4"/>
  <c r="G136" i="4"/>
  <c r="I136" i="4"/>
  <c r="J136" i="4"/>
  <c r="C800" i="4"/>
  <c r="D800" i="4"/>
  <c r="E800" i="4"/>
  <c r="F800" i="4"/>
  <c r="G800" i="4"/>
  <c r="I800" i="4"/>
  <c r="J800" i="4"/>
  <c r="C810" i="4"/>
  <c r="D810" i="4"/>
  <c r="E810" i="4"/>
  <c r="F810" i="4"/>
  <c r="G810" i="4"/>
  <c r="I810" i="4"/>
  <c r="J810" i="4"/>
  <c r="C140" i="4"/>
  <c r="D140" i="4"/>
  <c r="E140" i="4"/>
  <c r="F140" i="4"/>
  <c r="G140" i="4"/>
  <c r="I140" i="4"/>
  <c r="J140" i="4"/>
  <c r="C803" i="4"/>
  <c r="D803" i="4"/>
  <c r="E803" i="4"/>
  <c r="F803" i="4"/>
  <c r="G803" i="4"/>
  <c r="I803" i="4"/>
  <c r="J803" i="4"/>
  <c r="C813" i="4"/>
  <c r="D813" i="4"/>
  <c r="E813" i="4"/>
  <c r="F813" i="4"/>
  <c r="G813" i="4"/>
  <c r="I813" i="4"/>
  <c r="J813" i="4"/>
  <c r="C145" i="4"/>
  <c r="D145" i="4"/>
  <c r="E145" i="4"/>
  <c r="F145" i="4"/>
  <c r="G145" i="4"/>
  <c r="I145" i="4"/>
  <c r="J145" i="4"/>
  <c r="C817" i="4"/>
  <c r="D817" i="4"/>
  <c r="E817" i="4"/>
  <c r="F817" i="4"/>
  <c r="G817" i="4"/>
  <c r="I817" i="4"/>
  <c r="J817" i="4"/>
  <c r="C582" i="4"/>
  <c r="D582" i="4"/>
  <c r="E582" i="4"/>
  <c r="F582" i="4"/>
  <c r="G582" i="4"/>
  <c r="I582" i="4"/>
  <c r="J582" i="4"/>
  <c r="C589" i="4"/>
  <c r="D589" i="4"/>
  <c r="E589" i="4"/>
  <c r="F589" i="4"/>
  <c r="G589" i="4"/>
  <c r="I589" i="4"/>
  <c r="J589" i="4"/>
  <c r="C702" i="4"/>
  <c r="D702" i="4"/>
  <c r="E702" i="4"/>
  <c r="F702" i="4"/>
  <c r="G702" i="4"/>
  <c r="I702" i="4"/>
  <c r="J702" i="4"/>
  <c r="C626" i="4"/>
  <c r="D626" i="4"/>
  <c r="E626" i="4"/>
  <c r="F626" i="4"/>
  <c r="G626" i="4"/>
  <c r="I626" i="4"/>
  <c r="J626" i="4"/>
  <c r="C689" i="4"/>
  <c r="D689" i="4"/>
  <c r="E689" i="4"/>
  <c r="F689" i="4"/>
  <c r="G689" i="4"/>
  <c r="I689" i="4"/>
  <c r="J689" i="4"/>
  <c r="C307" i="4"/>
  <c r="D307" i="4"/>
  <c r="E307" i="4"/>
  <c r="F307" i="4"/>
  <c r="G307" i="4"/>
  <c r="I307" i="4"/>
  <c r="J307" i="4"/>
  <c r="C346" i="4"/>
  <c r="D346" i="4"/>
  <c r="E346" i="4"/>
  <c r="F346" i="4"/>
  <c r="G346" i="4"/>
  <c r="I346" i="4"/>
  <c r="J346" i="4"/>
  <c r="C366" i="4"/>
  <c r="D366" i="4"/>
  <c r="E366" i="4"/>
  <c r="F366" i="4"/>
  <c r="G366" i="4"/>
  <c r="I366" i="4"/>
  <c r="J366" i="4"/>
  <c r="C387" i="4"/>
  <c r="D387" i="4"/>
  <c r="E387" i="4"/>
  <c r="F387" i="4"/>
  <c r="G387" i="4"/>
  <c r="I387" i="4"/>
  <c r="J387" i="4"/>
  <c r="C335" i="4"/>
  <c r="D335" i="4"/>
  <c r="E335" i="4"/>
  <c r="F335" i="4"/>
  <c r="G335" i="4"/>
  <c r="I335" i="4"/>
  <c r="J335" i="4"/>
  <c r="C374" i="4"/>
  <c r="D374" i="4"/>
  <c r="E374" i="4"/>
  <c r="F374" i="4"/>
  <c r="G374" i="4"/>
  <c r="I374" i="4"/>
  <c r="J374" i="4"/>
  <c r="C343" i="4"/>
  <c r="D343" i="4"/>
  <c r="E343" i="4"/>
  <c r="F343" i="4"/>
  <c r="G343" i="4"/>
  <c r="I343" i="4"/>
  <c r="J343" i="4"/>
  <c r="C360" i="4"/>
  <c r="D360" i="4"/>
  <c r="E360" i="4"/>
  <c r="F360" i="4"/>
  <c r="G360" i="4"/>
  <c r="I360" i="4"/>
  <c r="J360" i="4"/>
  <c r="C391" i="4"/>
  <c r="D391" i="4"/>
  <c r="E391" i="4"/>
  <c r="F391" i="4"/>
  <c r="G391" i="4"/>
  <c r="I391" i="4"/>
  <c r="J391" i="4"/>
  <c r="C328" i="4"/>
  <c r="D328" i="4"/>
  <c r="E328" i="4"/>
  <c r="F328" i="4"/>
  <c r="G328" i="4"/>
  <c r="I328" i="4"/>
  <c r="J328" i="4"/>
  <c r="C384" i="4"/>
  <c r="D384" i="4"/>
  <c r="E384" i="4"/>
  <c r="F384" i="4"/>
  <c r="G384" i="4"/>
  <c r="I384" i="4"/>
  <c r="J384" i="4"/>
  <c r="C315" i="4"/>
  <c r="D315" i="4"/>
  <c r="E315" i="4"/>
  <c r="F315" i="4"/>
  <c r="G315" i="4"/>
  <c r="I315" i="4"/>
  <c r="J315" i="4"/>
  <c r="C428" i="4"/>
  <c r="D428" i="4"/>
  <c r="E428" i="4"/>
  <c r="F428" i="4"/>
  <c r="G428" i="4"/>
  <c r="I428" i="4"/>
  <c r="J428" i="4"/>
  <c r="C448" i="4"/>
  <c r="D448" i="4"/>
  <c r="E448" i="4"/>
  <c r="F448" i="4"/>
  <c r="G448" i="4"/>
  <c r="I448" i="4"/>
  <c r="J448" i="4"/>
  <c r="C462" i="4"/>
  <c r="D462" i="4"/>
  <c r="E462" i="4"/>
  <c r="F462" i="4"/>
  <c r="G462" i="4"/>
  <c r="I462" i="4"/>
  <c r="J462" i="4"/>
  <c r="C416" i="4"/>
  <c r="D416" i="4"/>
  <c r="E416" i="4"/>
  <c r="F416" i="4"/>
  <c r="G416" i="4"/>
  <c r="I416" i="4"/>
  <c r="J416" i="4"/>
  <c r="C436" i="4"/>
  <c r="D436" i="4"/>
  <c r="E436" i="4"/>
  <c r="F436" i="4"/>
  <c r="G436" i="4"/>
  <c r="I436" i="4"/>
  <c r="J436" i="4"/>
  <c r="C646" i="4"/>
  <c r="D646" i="4"/>
  <c r="E646" i="4"/>
  <c r="F646" i="4"/>
  <c r="G646" i="4"/>
  <c r="I646" i="4"/>
  <c r="J646" i="4"/>
  <c r="C221" i="4"/>
  <c r="D221" i="4"/>
  <c r="E221" i="4"/>
  <c r="F221" i="4"/>
  <c r="G221" i="4"/>
  <c r="I221" i="4"/>
  <c r="J221" i="4"/>
  <c r="C611" i="4"/>
  <c r="D611" i="4"/>
  <c r="E611" i="4"/>
  <c r="F611" i="4"/>
  <c r="G611" i="4"/>
  <c r="I611" i="4"/>
  <c r="J611" i="4"/>
  <c r="C278" i="4"/>
  <c r="D278" i="4"/>
  <c r="E278" i="4"/>
  <c r="F278" i="4"/>
  <c r="G278" i="4"/>
  <c r="I278" i="4"/>
  <c r="J278" i="4"/>
  <c r="C545" i="4"/>
  <c r="D545" i="4"/>
  <c r="E545" i="4"/>
  <c r="F545" i="4"/>
  <c r="G545" i="4"/>
  <c r="I545" i="4"/>
  <c r="J545" i="4"/>
  <c r="C292" i="4"/>
  <c r="D292" i="4"/>
  <c r="E292" i="4"/>
  <c r="F292" i="4"/>
  <c r="G292" i="4"/>
  <c r="I292" i="4"/>
  <c r="J292" i="4"/>
  <c r="C842" i="4"/>
  <c r="D842" i="4"/>
  <c r="E842" i="4"/>
  <c r="F842" i="4"/>
  <c r="G842" i="4"/>
  <c r="I842" i="4"/>
  <c r="J842" i="4"/>
  <c r="C173" i="4"/>
  <c r="D173" i="4"/>
  <c r="E173" i="4"/>
  <c r="F173" i="4"/>
  <c r="G173" i="4"/>
  <c r="I173" i="4"/>
  <c r="J173" i="4"/>
  <c r="C505" i="4"/>
  <c r="D505" i="4"/>
  <c r="E505" i="4"/>
  <c r="F505" i="4"/>
  <c r="G505" i="4"/>
  <c r="I505" i="4"/>
  <c r="J505" i="4"/>
  <c r="C68" i="4"/>
  <c r="D68" i="4"/>
  <c r="E68" i="4"/>
  <c r="F68" i="4"/>
  <c r="G68" i="4"/>
  <c r="I68" i="4"/>
  <c r="J68" i="4"/>
  <c r="C86" i="4"/>
  <c r="D86" i="4"/>
  <c r="E86" i="4"/>
  <c r="F86" i="4"/>
  <c r="G86" i="4"/>
  <c r="I86" i="4"/>
  <c r="J86" i="4"/>
  <c r="C664" i="4"/>
  <c r="D664" i="4"/>
  <c r="E664" i="4"/>
  <c r="F664" i="4"/>
  <c r="G664" i="4"/>
  <c r="I664" i="4"/>
  <c r="J664" i="4"/>
  <c r="C654" i="4"/>
  <c r="D654" i="4"/>
  <c r="E654" i="4"/>
  <c r="F654" i="4"/>
  <c r="G654" i="4"/>
  <c r="I654" i="4"/>
  <c r="J654" i="4"/>
  <c r="C132" i="4"/>
  <c r="D132" i="4"/>
  <c r="E132" i="4"/>
  <c r="F132" i="4"/>
  <c r="G132" i="4"/>
  <c r="I132" i="4"/>
  <c r="J132" i="4"/>
  <c r="C783" i="4"/>
  <c r="D783" i="4"/>
  <c r="E783" i="4"/>
  <c r="F783" i="4"/>
  <c r="G783" i="4"/>
  <c r="I783" i="4"/>
  <c r="J783" i="4"/>
  <c r="C739" i="4"/>
  <c r="D739" i="4"/>
  <c r="E739" i="4"/>
  <c r="F739" i="4"/>
  <c r="G739" i="4"/>
  <c r="I739" i="4"/>
  <c r="J739" i="4"/>
  <c r="C481" i="4"/>
  <c r="D481" i="4"/>
  <c r="E481" i="4"/>
  <c r="F481" i="4"/>
  <c r="G481" i="4"/>
  <c r="I481" i="4"/>
  <c r="J481" i="4"/>
  <c r="C493" i="4"/>
  <c r="D493" i="4"/>
  <c r="E493" i="4"/>
  <c r="F493" i="4"/>
  <c r="G493" i="4"/>
  <c r="I493" i="4"/>
  <c r="J493" i="4"/>
  <c r="C204" i="4"/>
  <c r="D204" i="4"/>
  <c r="E204" i="4"/>
  <c r="F204" i="4"/>
  <c r="G204" i="4"/>
  <c r="I204" i="4"/>
  <c r="J204" i="4"/>
  <c r="C16" i="4"/>
  <c r="D16" i="4"/>
  <c r="E16" i="4"/>
  <c r="F16" i="4"/>
  <c r="G16" i="4"/>
  <c r="I16" i="4"/>
  <c r="J16" i="4"/>
  <c r="C8" i="4"/>
  <c r="D8" i="4"/>
  <c r="E8" i="4"/>
  <c r="F8" i="4"/>
  <c r="G8" i="4"/>
  <c r="I8" i="4"/>
  <c r="J8" i="4"/>
  <c r="C515" i="4"/>
  <c r="D515" i="4"/>
  <c r="E515" i="4"/>
  <c r="F515" i="4"/>
  <c r="G515" i="4"/>
  <c r="I515" i="4"/>
  <c r="J515" i="4"/>
  <c r="C193" i="4"/>
  <c r="D193" i="4"/>
  <c r="E193" i="4"/>
  <c r="F193" i="4"/>
  <c r="G193" i="4"/>
  <c r="I193" i="4"/>
  <c r="J193" i="4"/>
  <c r="C554" i="4"/>
  <c r="D554" i="4"/>
  <c r="E554" i="4"/>
  <c r="F554" i="4"/>
  <c r="G554" i="4"/>
  <c r="I554" i="4"/>
  <c r="J554" i="4"/>
  <c r="C826" i="4"/>
  <c r="D826" i="4"/>
  <c r="E826" i="4"/>
  <c r="F826" i="4"/>
  <c r="G826" i="4"/>
  <c r="I826" i="4"/>
  <c r="J826" i="4"/>
  <c r="C830" i="4"/>
  <c r="D830" i="4"/>
  <c r="E830" i="4"/>
  <c r="F830" i="4"/>
  <c r="G830" i="4"/>
  <c r="I830" i="4"/>
  <c r="J830" i="4"/>
  <c r="C39" i="4"/>
  <c r="D39" i="4"/>
  <c r="E39" i="4"/>
  <c r="F39" i="4"/>
  <c r="G39" i="4"/>
  <c r="I39" i="4"/>
  <c r="J39" i="4"/>
  <c r="C679" i="4"/>
  <c r="D679" i="4"/>
  <c r="E679" i="4"/>
  <c r="F679" i="4"/>
  <c r="G679" i="4"/>
  <c r="I679" i="4"/>
  <c r="J679" i="4"/>
  <c r="C597" i="4"/>
  <c r="D597" i="4"/>
  <c r="E597" i="4"/>
  <c r="F597" i="4"/>
  <c r="G597" i="4"/>
  <c r="I597" i="4"/>
  <c r="J597" i="4"/>
  <c r="C9" i="4"/>
  <c r="D9" i="4"/>
  <c r="E9" i="4"/>
  <c r="F9" i="4"/>
  <c r="G9" i="4"/>
  <c r="I9" i="4"/>
  <c r="J9" i="4"/>
  <c r="C184" i="4"/>
  <c r="D184" i="4"/>
  <c r="E184" i="4"/>
  <c r="F184" i="4"/>
  <c r="G184" i="4"/>
  <c r="I184" i="4"/>
  <c r="J184" i="4"/>
  <c r="C194" i="4"/>
  <c r="D194" i="4"/>
  <c r="E194" i="4"/>
  <c r="F194" i="4"/>
  <c r="G194" i="4"/>
  <c r="I194" i="4"/>
  <c r="J194" i="4"/>
  <c r="C519" i="4"/>
  <c r="D519" i="4"/>
  <c r="E519" i="4"/>
  <c r="F519" i="4"/>
  <c r="G519" i="4"/>
  <c r="I519" i="4"/>
  <c r="J519" i="4"/>
  <c r="C555" i="4"/>
  <c r="D555" i="4"/>
  <c r="E555" i="4"/>
  <c r="F555" i="4"/>
  <c r="G555" i="4"/>
  <c r="I555" i="4"/>
  <c r="J555" i="4"/>
  <c r="C17" i="4"/>
  <c r="D17" i="4"/>
  <c r="E17" i="4"/>
  <c r="F17" i="4"/>
  <c r="G17" i="4"/>
  <c r="I17" i="4"/>
  <c r="J17" i="4"/>
  <c r="C159" i="4"/>
  <c r="D159" i="4"/>
  <c r="E159" i="4"/>
  <c r="F159" i="4"/>
  <c r="G159" i="4"/>
  <c r="I159" i="4"/>
  <c r="J159" i="4"/>
  <c r="C408" i="4"/>
  <c r="D408" i="4"/>
  <c r="E408" i="4"/>
  <c r="F408" i="4"/>
  <c r="G408" i="4"/>
  <c r="I408" i="4"/>
  <c r="J408" i="4"/>
  <c r="C680" i="4"/>
  <c r="D680" i="4"/>
  <c r="E680" i="4"/>
  <c r="F680" i="4"/>
  <c r="G680" i="4"/>
  <c r="I680" i="4"/>
  <c r="J680" i="4"/>
  <c r="C185" i="4"/>
  <c r="D185" i="4"/>
  <c r="E185" i="4"/>
  <c r="F185" i="4"/>
  <c r="G185" i="4"/>
  <c r="I185" i="4"/>
  <c r="J185" i="4"/>
  <c r="C195" i="4"/>
  <c r="D195" i="4"/>
  <c r="E195" i="4"/>
  <c r="F195" i="4"/>
  <c r="G195" i="4"/>
  <c r="I195" i="4"/>
  <c r="J195" i="4"/>
  <c r="C556" i="4"/>
  <c r="D556" i="4"/>
  <c r="E556" i="4"/>
  <c r="F556" i="4"/>
  <c r="G556" i="4"/>
  <c r="I556" i="4"/>
  <c r="J556" i="4"/>
  <c r="C18" i="4"/>
  <c r="D18" i="4"/>
  <c r="E18" i="4"/>
  <c r="F18" i="4"/>
  <c r="G18" i="4"/>
  <c r="I18" i="4"/>
  <c r="J18" i="4"/>
  <c r="C511" i="4"/>
  <c r="D511" i="4"/>
  <c r="E511" i="4"/>
  <c r="F511" i="4"/>
  <c r="G511" i="4"/>
  <c r="I511" i="4"/>
  <c r="J511" i="4"/>
  <c r="C564" i="4"/>
  <c r="D564" i="4"/>
  <c r="E564" i="4"/>
  <c r="F564" i="4"/>
  <c r="G564" i="4"/>
  <c r="I564" i="4"/>
  <c r="J564" i="4"/>
  <c r="C567" i="4"/>
  <c r="D567" i="4"/>
  <c r="E567" i="4"/>
  <c r="F567" i="4"/>
  <c r="G567" i="4"/>
  <c r="I567" i="4"/>
  <c r="J567" i="4"/>
  <c r="C258" i="4"/>
  <c r="D258" i="4"/>
  <c r="E258" i="4"/>
  <c r="F258" i="4"/>
  <c r="G258" i="4"/>
  <c r="I258" i="4"/>
  <c r="J258" i="4"/>
  <c r="C262" i="4"/>
  <c r="D262" i="4"/>
  <c r="E262" i="4"/>
  <c r="F262" i="4"/>
  <c r="G262" i="4"/>
  <c r="I262" i="4"/>
  <c r="J262" i="4"/>
  <c r="C74" i="4"/>
  <c r="D74" i="4"/>
  <c r="E74" i="4"/>
  <c r="F74" i="4"/>
  <c r="G74" i="4"/>
  <c r="I74" i="4"/>
  <c r="J74" i="4"/>
  <c r="C574" i="4"/>
  <c r="D574" i="4"/>
  <c r="E574" i="4"/>
  <c r="F574" i="4"/>
  <c r="G574" i="4"/>
  <c r="I574" i="4"/>
  <c r="J574" i="4"/>
  <c r="C703" i="4"/>
  <c r="D703" i="4"/>
  <c r="E703" i="4"/>
  <c r="F703" i="4"/>
  <c r="G703" i="4"/>
  <c r="I703" i="4"/>
  <c r="J703" i="4"/>
  <c r="C255" i="4"/>
  <c r="D255" i="4"/>
  <c r="E255" i="4"/>
  <c r="F255" i="4"/>
  <c r="G255" i="4"/>
  <c r="I255" i="4"/>
  <c r="J255" i="4"/>
  <c r="C329" i="4"/>
  <c r="D329" i="4"/>
  <c r="E329" i="4"/>
  <c r="F329" i="4"/>
  <c r="G329" i="4"/>
  <c r="I329" i="4"/>
  <c r="J329" i="4"/>
  <c r="C160" i="4"/>
  <c r="D160" i="4"/>
  <c r="E160" i="4"/>
  <c r="F160" i="4"/>
  <c r="G160" i="4"/>
  <c r="I160" i="4"/>
  <c r="J160" i="4"/>
  <c r="C528" i="4"/>
  <c r="D528" i="4"/>
  <c r="E528" i="4"/>
  <c r="F528" i="4"/>
  <c r="G528" i="4"/>
  <c r="I528" i="4"/>
  <c r="J528" i="4"/>
  <c r="C222" i="4"/>
  <c r="D222" i="4"/>
  <c r="E222" i="4"/>
  <c r="F222" i="4"/>
  <c r="G222" i="4"/>
  <c r="I222" i="4"/>
  <c r="J222" i="4"/>
  <c r="C612" i="4"/>
  <c r="D612" i="4"/>
  <c r="E612" i="4"/>
  <c r="F612" i="4"/>
  <c r="G612" i="4"/>
  <c r="I612" i="4"/>
  <c r="J612" i="4"/>
  <c r="C546" i="4"/>
  <c r="D546" i="4"/>
  <c r="E546" i="4"/>
  <c r="F546" i="4"/>
  <c r="G546" i="4"/>
  <c r="I546" i="4"/>
  <c r="J546" i="4"/>
  <c r="C69" i="4"/>
  <c r="D69" i="4"/>
  <c r="E69" i="4"/>
  <c r="F69" i="4"/>
  <c r="G69" i="4"/>
  <c r="I69" i="4"/>
  <c r="J69" i="4"/>
  <c r="C506" i="4"/>
  <c r="D506" i="4"/>
  <c r="E506" i="4"/>
  <c r="F506" i="4"/>
  <c r="G506" i="4"/>
  <c r="I506" i="4"/>
  <c r="J506" i="4"/>
  <c r="C665" i="4"/>
  <c r="D665" i="4"/>
  <c r="E665" i="4"/>
  <c r="F665" i="4"/>
  <c r="G665" i="4"/>
  <c r="I665" i="4"/>
  <c r="J665" i="4"/>
  <c r="C179" i="4"/>
  <c r="D179" i="4"/>
  <c r="E179" i="4"/>
  <c r="F179" i="4"/>
  <c r="G179" i="4"/>
  <c r="I179" i="4"/>
  <c r="J179" i="4"/>
  <c r="C115" i="4"/>
  <c r="D115" i="4"/>
  <c r="E115" i="4"/>
  <c r="F115" i="4"/>
  <c r="G115" i="4"/>
  <c r="I115" i="4"/>
  <c r="J115" i="4"/>
  <c r="C133" i="4"/>
  <c r="D133" i="4"/>
  <c r="E133" i="4"/>
  <c r="F133" i="4"/>
  <c r="G133" i="4"/>
  <c r="I133" i="4"/>
  <c r="J133" i="4"/>
  <c r="C784" i="4"/>
  <c r="D784" i="4"/>
  <c r="E784" i="4"/>
  <c r="F784" i="4"/>
  <c r="G784" i="4"/>
  <c r="I784" i="4"/>
  <c r="J784" i="4"/>
  <c r="C740" i="4"/>
  <c r="D740" i="4"/>
  <c r="E740" i="4"/>
  <c r="F740" i="4"/>
  <c r="G740" i="4"/>
  <c r="I740" i="4"/>
  <c r="J740" i="4"/>
  <c r="C843" i="4"/>
  <c r="D843" i="4"/>
  <c r="E843" i="4"/>
  <c r="F843" i="4"/>
  <c r="G843" i="4"/>
  <c r="I843" i="4"/>
  <c r="J843" i="4"/>
  <c r="C174" i="4"/>
  <c r="D174" i="4"/>
  <c r="E174" i="4"/>
  <c r="F174" i="4"/>
  <c r="G174" i="4"/>
  <c r="I174" i="4"/>
  <c r="J174" i="4"/>
  <c r="C279" i="4"/>
  <c r="D279" i="4"/>
  <c r="E279" i="4"/>
  <c r="F279" i="4"/>
  <c r="G279" i="4"/>
  <c r="I279" i="4"/>
  <c r="J279" i="4"/>
  <c r="C293" i="4"/>
  <c r="D293" i="4"/>
  <c r="E293" i="4"/>
  <c r="F293" i="4"/>
  <c r="G293" i="4"/>
  <c r="I293" i="4"/>
  <c r="J293" i="4"/>
  <c r="C87" i="4"/>
  <c r="D87" i="4"/>
  <c r="E87" i="4"/>
  <c r="F87" i="4"/>
  <c r="G87" i="4"/>
  <c r="I87" i="4"/>
  <c r="J87" i="4"/>
  <c r="C569" i="4"/>
  <c r="D569" i="4"/>
  <c r="E569" i="4"/>
  <c r="F569" i="4"/>
  <c r="G569" i="4"/>
  <c r="I569" i="4"/>
  <c r="J569" i="4"/>
  <c r="C116" i="4"/>
  <c r="D116" i="4"/>
  <c r="E116" i="4"/>
  <c r="F116" i="4"/>
  <c r="G116" i="4"/>
  <c r="I116" i="4"/>
  <c r="J116" i="4"/>
  <c r="C785" i="4"/>
  <c r="D785" i="4"/>
  <c r="E785" i="4"/>
  <c r="F785" i="4"/>
  <c r="G785" i="4"/>
  <c r="I785" i="4"/>
  <c r="J785" i="4"/>
  <c r="C741" i="4"/>
  <c r="D741" i="4"/>
  <c r="E741" i="4"/>
  <c r="F741" i="4"/>
  <c r="G741" i="4"/>
  <c r="I741" i="4"/>
  <c r="J741" i="4"/>
  <c r="C482" i="4"/>
  <c r="D482" i="4"/>
  <c r="E482" i="4"/>
  <c r="F482" i="4"/>
  <c r="G482" i="4"/>
  <c r="I482" i="4"/>
  <c r="J482" i="4"/>
  <c r="C317" i="4"/>
  <c r="D317" i="4"/>
  <c r="E317" i="4"/>
  <c r="F317" i="4"/>
  <c r="G317" i="4"/>
  <c r="I317" i="4"/>
  <c r="J317" i="4"/>
  <c r="C786" i="4"/>
  <c r="D786" i="4"/>
  <c r="E786" i="4"/>
  <c r="F786" i="4"/>
  <c r="G786" i="4"/>
  <c r="I786" i="4"/>
  <c r="J786" i="4"/>
  <c r="C742" i="4"/>
  <c r="D742" i="4"/>
  <c r="E742" i="4"/>
  <c r="F742" i="4"/>
  <c r="G742" i="4"/>
  <c r="I742" i="4"/>
  <c r="J742" i="4"/>
  <c r="C483" i="4"/>
  <c r="D483" i="4"/>
  <c r="E483" i="4"/>
  <c r="F483" i="4"/>
  <c r="G483" i="4"/>
  <c r="I483" i="4"/>
  <c r="J483" i="4"/>
  <c r="C509" i="4"/>
  <c r="D509" i="4"/>
  <c r="E509" i="4"/>
  <c r="F509" i="4"/>
  <c r="G509" i="4"/>
  <c r="I509" i="4"/>
  <c r="J509" i="4"/>
  <c r="C671" i="4"/>
  <c r="D671" i="4"/>
  <c r="E671" i="4"/>
  <c r="F671" i="4"/>
  <c r="G671" i="4"/>
  <c r="I671" i="4"/>
  <c r="J671" i="4"/>
  <c r="C180" i="4"/>
  <c r="D180" i="4"/>
  <c r="E180" i="4"/>
  <c r="F180" i="4"/>
  <c r="G180" i="4"/>
  <c r="I180" i="4"/>
  <c r="J180" i="4"/>
  <c r="C507" i="4"/>
  <c r="D507" i="4"/>
  <c r="E507" i="4"/>
  <c r="F507" i="4"/>
  <c r="G507" i="4"/>
  <c r="I507" i="4"/>
  <c r="J507" i="4"/>
  <c r="C70" i="4"/>
  <c r="D70" i="4"/>
  <c r="E70" i="4"/>
  <c r="F70" i="4"/>
  <c r="G70" i="4"/>
  <c r="I70" i="4"/>
  <c r="J70" i="4"/>
  <c r="C613" i="4"/>
  <c r="D613" i="4"/>
  <c r="E613" i="4"/>
  <c r="F613" i="4"/>
  <c r="G613" i="4"/>
  <c r="I613" i="4"/>
  <c r="J613" i="4"/>
  <c r="C547" i="4"/>
  <c r="D547" i="4"/>
  <c r="E547" i="4"/>
  <c r="F547" i="4"/>
  <c r="G547" i="4"/>
  <c r="I547" i="4"/>
  <c r="J547" i="4"/>
  <c r="C223" i="4"/>
  <c r="D223" i="4"/>
  <c r="E223" i="4"/>
  <c r="F223" i="4"/>
  <c r="G223" i="4"/>
  <c r="I223" i="4"/>
  <c r="J223" i="4"/>
  <c r="C296" i="4"/>
  <c r="D296" i="4"/>
  <c r="E296" i="4"/>
  <c r="F296" i="4"/>
  <c r="G296" i="4"/>
  <c r="I296" i="4"/>
  <c r="J296" i="4"/>
  <c r="C844" i="4"/>
  <c r="D844" i="4"/>
  <c r="E844" i="4"/>
  <c r="F844" i="4"/>
  <c r="G844" i="4"/>
  <c r="I844" i="4"/>
  <c r="J844" i="4"/>
  <c r="C175" i="4"/>
  <c r="D175" i="4"/>
  <c r="E175" i="4"/>
  <c r="F175" i="4"/>
  <c r="G175" i="4"/>
  <c r="I175" i="4"/>
  <c r="J175" i="4"/>
  <c r="C280" i="4"/>
  <c r="D280" i="4"/>
  <c r="E280" i="4"/>
  <c r="F280" i="4"/>
  <c r="G280" i="4"/>
  <c r="I280" i="4"/>
  <c r="J280" i="4"/>
  <c r="C294" i="4"/>
  <c r="D294" i="4"/>
  <c r="E294" i="4"/>
  <c r="F294" i="4"/>
  <c r="G294" i="4"/>
  <c r="I294" i="4"/>
  <c r="J294" i="4"/>
  <c r="C88" i="4"/>
  <c r="D88" i="4"/>
  <c r="E88" i="4"/>
  <c r="F88" i="4"/>
  <c r="G88" i="4"/>
  <c r="I88" i="4"/>
  <c r="J88" i="4"/>
  <c r="C23" i="4"/>
  <c r="D23" i="4"/>
  <c r="E23" i="4"/>
  <c r="F23" i="4"/>
  <c r="G23" i="4"/>
  <c r="I23" i="4"/>
  <c r="J23" i="4"/>
  <c r="C628" i="4"/>
  <c r="D628" i="4"/>
  <c r="E628" i="4"/>
  <c r="F628" i="4"/>
  <c r="G628" i="4"/>
  <c r="I628" i="4"/>
  <c r="J628" i="4"/>
  <c r="C692" i="4"/>
  <c r="D692" i="4"/>
  <c r="E692" i="4"/>
  <c r="F692" i="4"/>
  <c r="G692" i="4"/>
  <c r="I692" i="4"/>
  <c r="J692" i="4"/>
  <c r="C599" i="4"/>
  <c r="D599" i="4"/>
  <c r="E599" i="4"/>
  <c r="F599" i="4"/>
  <c r="G599" i="4"/>
  <c r="I599" i="4"/>
  <c r="J599" i="4"/>
  <c r="C570" i="4"/>
  <c r="D570" i="4"/>
  <c r="E570" i="4"/>
  <c r="F570" i="4"/>
  <c r="G570" i="4"/>
  <c r="I570" i="4"/>
  <c r="J570" i="4"/>
  <c r="C117" i="4"/>
  <c r="D117" i="4"/>
  <c r="E117" i="4"/>
  <c r="F117" i="4"/>
  <c r="G117" i="4"/>
  <c r="I117" i="4"/>
  <c r="J117" i="4"/>
  <c r="C787" i="4"/>
  <c r="D787" i="4"/>
  <c r="E787" i="4"/>
  <c r="F787" i="4"/>
  <c r="G787" i="4"/>
  <c r="I787" i="4"/>
  <c r="J787" i="4"/>
  <c r="C743" i="4"/>
  <c r="D743" i="4"/>
  <c r="E743" i="4"/>
  <c r="F743" i="4"/>
  <c r="G743" i="4"/>
  <c r="I743" i="4"/>
  <c r="J743" i="4"/>
  <c r="C484" i="4"/>
  <c r="D484" i="4"/>
  <c r="E484" i="4"/>
  <c r="F484" i="4"/>
  <c r="G484" i="4"/>
  <c r="I484" i="4"/>
  <c r="J484" i="4"/>
  <c r="C404" i="4"/>
  <c r="D404" i="4"/>
  <c r="E404" i="4"/>
  <c r="F404" i="4"/>
  <c r="G404" i="4"/>
  <c r="I404" i="4"/>
  <c r="J404" i="4"/>
  <c r="C788" i="4"/>
  <c r="D788" i="4"/>
  <c r="E788" i="4"/>
  <c r="F788" i="4"/>
  <c r="G788" i="4"/>
  <c r="I788" i="4"/>
  <c r="J788" i="4"/>
  <c r="C744" i="4"/>
  <c r="D744" i="4"/>
  <c r="E744" i="4"/>
  <c r="F744" i="4"/>
  <c r="G744" i="4"/>
  <c r="I744" i="4"/>
  <c r="J744" i="4"/>
  <c r="C485" i="4"/>
  <c r="D485" i="4"/>
  <c r="E485" i="4"/>
  <c r="F485" i="4"/>
  <c r="G485" i="4"/>
  <c r="I485" i="4"/>
  <c r="J485" i="4"/>
  <c r="C510" i="4"/>
  <c r="D510" i="4"/>
  <c r="E510" i="4"/>
  <c r="F510" i="4"/>
  <c r="G510" i="4"/>
  <c r="I510" i="4"/>
  <c r="J510" i="4"/>
  <c r="C530" i="4"/>
  <c r="D530" i="4"/>
  <c r="E530" i="4"/>
  <c r="F530" i="4"/>
  <c r="G530" i="4"/>
  <c r="I530" i="4"/>
  <c r="J530" i="4"/>
  <c r="C531" i="4"/>
  <c r="D531" i="4"/>
  <c r="E531" i="4"/>
  <c r="F531" i="4"/>
  <c r="G531" i="4"/>
  <c r="I531" i="4"/>
  <c r="J531" i="4"/>
  <c r="C532" i="4"/>
  <c r="D532" i="4"/>
  <c r="E532" i="4"/>
  <c r="F532" i="4"/>
  <c r="G532" i="4"/>
  <c r="I532" i="4"/>
  <c r="J532" i="4"/>
  <c r="C682" i="4"/>
  <c r="D682" i="4"/>
  <c r="E682" i="4"/>
  <c r="F682" i="4"/>
  <c r="G682" i="4"/>
  <c r="I682" i="4"/>
  <c r="J682" i="4"/>
  <c r="C560" i="4"/>
  <c r="D560" i="4"/>
  <c r="E560" i="4"/>
  <c r="F560" i="4"/>
  <c r="O561" i="4" s="1"/>
  <c r="G560" i="4"/>
  <c r="I560" i="4"/>
  <c r="J560" i="4"/>
  <c r="C199" i="4"/>
  <c r="D199" i="4"/>
  <c r="E199" i="4"/>
  <c r="F199" i="4"/>
  <c r="G199" i="4"/>
  <c r="I199" i="4"/>
  <c r="J199" i="4"/>
  <c r="C523" i="4"/>
  <c r="D523" i="4"/>
  <c r="E523" i="4"/>
  <c r="F523" i="4"/>
  <c r="G523" i="4"/>
  <c r="I523" i="4"/>
  <c r="J523" i="4"/>
  <c r="C524" i="4"/>
  <c r="D524" i="4"/>
  <c r="E524" i="4"/>
  <c r="F524" i="4"/>
  <c r="G524" i="4"/>
  <c r="I524" i="4"/>
  <c r="J524" i="4"/>
  <c r="C533" i="4"/>
  <c r="D533" i="4"/>
  <c r="E533" i="4"/>
  <c r="F533" i="4"/>
  <c r="G533" i="4"/>
  <c r="I533" i="4"/>
  <c r="J533" i="4"/>
  <c r="C297" i="4"/>
  <c r="D297" i="4"/>
  <c r="E297" i="4"/>
  <c r="F297" i="4"/>
  <c r="G297" i="4"/>
  <c r="I297" i="4"/>
  <c r="J297" i="4"/>
  <c r="C197" i="4"/>
  <c r="D197" i="4"/>
  <c r="E197" i="4"/>
  <c r="F197" i="4"/>
  <c r="G197" i="4"/>
  <c r="I197" i="4"/>
  <c r="J197" i="4"/>
  <c r="C557" i="4"/>
  <c r="D557" i="4"/>
  <c r="E557" i="4"/>
  <c r="F557" i="4"/>
  <c r="G557" i="4"/>
  <c r="I557" i="4"/>
  <c r="J557" i="4"/>
  <c r="C520" i="4"/>
  <c r="D520" i="4"/>
  <c r="E520" i="4"/>
  <c r="F520" i="4"/>
  <c r="G520" i="4"/>
  <c r="I520" i="4"/>
  <c r="J520" i="4"/>
  <c r="C19" i="4"/>
  <c r="D19" i="4"/>
  <c r="E19" i="4"/>
  <c r="F19" i="4"/>
  <c r="G19" i="4"/>
  <c r="I19" i="4"/>
  <c r="J19" i="4"/>
  <c r="C200" i="4"/>
  <c r="D200" i="4"/>
  <c r="E200" i="4"/>
  <c r="F200" i="4"/>
  <c r="G200" i="4"/>
  <c r="I200" i="4"/>
  <c r="J200" i="4"/>
  <c r="C198" i="4"/>
  <c r="D198" i="4"/>
  <c r="E198" i="4"/>
  <c r="F198" i="4"/>
  <c r="G198" i="4"/>
  <c r="I198" i="4"/>
  <c r="J198" i="4"/>
  <c r="C558" i="4"/>
  <c r="D558" i="4"/>
  <c r="E558" i="4"/>
  <c r="F558" i="4"/>
  <c r="G558" i="4"/>
  <c r="I558" i="4"/>
  <c r="J558" i="4"/>
  <c r="C521" i="4"/>
  <c r="D521" i="4"/>
  <c r="E521" i="4"/>
  <c r="F521" i="4"/>
  <c r="G521" i="4"/>
  <c r="I521" i="4"/>
  <c r="J521" i="4"/>
  <c r="C20" i="4"/>
  <c r="D20" i="4"/>
  <c r="E20" i="4"/>
  <c r="F20" i="4"/>
  <c r="G20" i="4"/>
  <c r="I20" i="4"/>
  <c r="J20" i="4"/>
  <c r="C793" i="4"/>
  <c r="D793" i="4"/>
  <c r="E793" i="4"/>
  <c r="F793" i="4"/>
  <c r="G793" i="4"/>
  <c r="I793" i="4"/>
  <c r="J793" i="4"/>
  <c r="C141" i="4"/>
  <c r="D141" i="4"/>
  <c r="E141" i="4"/>
  <c r="F141" i="4"/>
  <c r="G141" i="4"/>
  <c r="I141" i="4"/>
  <c r="J141" i="4"/>
  <c r="C804" i="4"/>
  <c r="D804" i="4"/>
  <c r="E804" i="4"/>
  <c r="F804" i="4"/>
  <c r="G804" i="4"/>
  <c r="I804" i="4"/>
  <c r="J804" i="4"/>
  <c r="C31" i="4"/>
  <c r="D31" i="4"/>
  <c r="E31" i="4"/>
  <c r="F31" i="4"/>
  <c r="G31" i="4"/>
  <c r="I31" i="4"/>
  <c r="J31" i="4"/>
  <c r="C529" i="4"/>
  <c r="D529" i="4"/>
  <c r="E529" i="4"/>
  <c r="F529" i="4"/>
  <c r="G529" i="4"/>
  <c r="I529" i="4"/>
  <c r="J529" i="4"/>
  <c r="C161" i="4"/>
  <c r="D161" i="4"/>
  <c r="E161" i="4"/>
  <c r="F161" i="4"/>
  <c r="G161" i="4"/>
  <c r="I161" i="4"/>
  <c r="J161" i="4"/>
  <c r="C681" i="4"/>
  <c r="D681" i="4"/>
  <c r="E681" i="4"/>
  <c r="F681" i="4"/>
  <c r="G681" i="4"/>
  <c r="I681" i="4"/>
  <c r="J681" i="4"/>
  <c r="C186" i="4"/>
  <c r="D186" i="4"/>
  <c r="E186" i="4"/>
  <c r="F186" i="4"/>
  <c r="G186" i="4"/>
  <c r="I186" i="4"/>
  <c r="J186" i="4"/>
  <c r="C196" i="4"/>
  <c r="D196" i="4"/>
  <c r="E196" i="4"/>
  <c r="F196" i="4"/>
  <c r="G196" i="4"/>
  <c r="I196" i="4"/>
  <c r="J196" i="4"/>
  <c r="C522" i="4"/>
  <c r="D522" i="4"/>
  <c r="E522" i="4"/>
  <c r="F522" i="4"/>
  <c r="G522" i="4"/>
  <c r="I522" i="4"/>
  <c r="J522" i="4"/>
  <c r="C559" i="4"/>
  <c r="D559" i="4"/>
  <c r="E559" i="4"/>
  <c r="F559" i="4"/>
  <c r="G559" i="4"/>
  <c r="I559" i="4"/>
  <c r="J559" i="4"/>
  <c r="C21" i="4"/>
  <c r="D21" i="4"/>
  <c r="E21" i="4"/>
  <c r="F21" i="4"/>
  <c r="G21" i="4"/>
  <c r="I21" i="4"/>
  <c r="J21" i="4"/>
  <c r="C623" i="4"/>
  <c r="D623" i="4"/>
  <c r="E623" i="4"/>
  <c r="F623" i="4"/>
  <c r="G623" i="4"/>
  <c r="I623" i="4"/>
  <c r="J623" i="4"/>
  <c r="C704" i="4"/>
  <c r="D704" i="4"/>
  <c r="E704" i="4"/>
  <c r="F704" i="4"/>
  <c r="G704" i="4"/>
  <c r="I704" i="4"/>
  <c r="J704" i="4"/>
  <c r="C690" i="4"/>
  <c r="D690" i="4"/>
  <c r="E690" i="4"/>
  <c r="F690" i="4"/>
  <c r="G690" i="4"/>
  <c r="I690" i="4"/>
  <c r="J690" i="4"/>
  <c r="C633" i="4"/>
  <c r="D633" i="4"/>
  <c r="E633" i="4"/>
  <c r="F633" i="4"/>
  <c r="G633" i="4"/>
  <c r="I633" i="4"/>
  <c r="J633" i="4"/>
  <c r="C618" i="4"/>
  <c r="D618" i="4"/>
  <c r="E618" i="4"/>
  <c r="F618" i="4"/>
  <c r="G618" i="4"/>
  <c r="I618" i="4"/>
  <c r="J618" i="4"/>
  <c r="C56" i="4"/>
  <c r="D56" i="4"/>
  <c r="E56" i="4"/>
  <c r="F56" i="4"/>
  <c r="G56" i="4"/>
  <c r="I56" i="4"/>
  <c r="J56" i="4"/>
  <c r="C209" i="4"/>
  <c r="D209" i="4"/>
  <c r="E209" i="4"/>
  <c r="F209" i="4"/>
  <c r="G209" i="4"/>
  <c r="I209" i="4"/>
  <c r="J209" i="4"/>
  <c r="C51" i="4"/>
  <c r="D51" i="4"/>
  <c r="E51" i="4"/>
  <c r="F51" i="4"/>
  <c r="G51" i="4"/>
  <c r="I51" i="4"/>
  <c r="J51" i="4"/>
  <c r="C1" i="4"/>
  <c r="D1" i="4"/>
  <c r="E1" i="4"/>
  <c r="F1" i="4"/>
  <c r="G1" i="4"/>
  <c r="I1" i="4"/>
  <c r="J1" i="4"/>
  <c r="C634" i="4"/>
  <c r="D634" i="4"/>
  <c r="E634" i="4"/>
  <c r="F634" i="4"/>
  <c r="G634" i="4"/>
  <c r="I634" i="4"/>
  <c r="J634" i="4"/>
  <c r="E26" i="26" l="1"/>
  <c r="E27" i="26" s="1"/>
  <c r="O244" i="4"/>
  <c r="N821" i="4"/>
  <c r="P430" i="4"/>
  <c r="P442" i="4"/>
  <c r="P498" i="4"/>
  <c r="N386" i="4"/>
  <c r="N450" i="4"/>
  <c r="P264" i="4"/>
  <c r="P188" i="4"/>
  <c r="O418" i="4"/>
  <c r="P362" i="4"/>
  <c r="P12" i="4"/>
  <c r="O92" i="4"/>
  <c r="P148" i="4"/>
  <c r="O725" i="4"/>
  <c r="O260" i="4"/>
  <c r="O753" i="4"/>
  <c r="P52" i="4"/>
  <c r="P164" i="4"/>
  <c r="P749" i="4"/>
  <c r="P370" i="4"/>
  <c r="P310" i="4"/>
  <c r="N653" i="4"/>
  <c r="P306" i="4"/>
  <c r="P84" i="4"/>
  <c r="P120" i="4"/>
  <c r="P354" i="4"/>
  <c r="N132" i="4"/>
  <c r="P180" i="4"/>
  <c r="P68" i="4"/>
  <c r="O657" i="4"/>
  <c r="P196" i="4"/>
  <c r="P244" i="4"/>
  <c r="P434" i="4"/>
  <c r="P406" i="4"/>
  <c r="P212" i="4"/>
  <c r="P276" i="4"/>
  <c r="O466" i="4"/>
  <c r="O100" i="4"/>
  <c r="O116" i="4"/>
  <c r="N354" i="4"/>
  <c r="P466" i="4"/>
  <c r="N557" i="4"/>
  <c r="P458" i="4"/>
  <c r="P40" i="4"/>
  <c r="P116" i="4"/>
  <c r="P256" i="4"/>
  <c r="P272" i="4"/>
  <c r="N498" i="4"/>
  <c r="N418" i="4"/>
  <c r="N4" i="4"/>
  <c r="P418" i="4"/>
  <c r="N244" i="4"/>
  <c r="P132" i="4"/>
  <c r="P450" i="4"/>
  <c r="P92" i="4"/>
  <c r="P378" i="4"/>
  <c r="P48" i="4"/>
  <c r="P284" i="4"/>
  <c r="P237" i="4"/>
  <c r="O749" i="4"/>
  <c r="O4" i="4"/>
  <c r="N260" i="4"/>
  <c r="N466" i="4"/>
  <c r="P100" i="4"/>
  <c r="P386" i="4"/>
  <c r="P263" i="4"/>
  <c r="P4" i="4"/>
  <c r="N92" i="4"/>
  <c r="O354" i="4"/>
  <c r="P482" i="4"/>
  <c r="P260" i="4"/>
  <c r="O557" i="4"/>
  <c r="N100" i="4"/>
  <c r="N370" i="4"/>
  <c r="P454" i="4"/>
  <c r="P76" i="4"/>
  <c r="O370" i="4"/>
  <c r="P20" i="4"/>
  <c r="P292" i="4"/>
  <c r="P402" i="4"/>
  <c r="N322" i="4"/>
  <c r="N116" i="4"/>
  <c r="P767" i="4"/>
  <c r="O767" i="4"/>
  <c r="N767" i="4"/>
  <c r="N621" i="4"/>
  <c r="P621" i="4"/>
  <c r="O621" i="4"/>
  <c r="P216" i="4"/>
  <c r="P124" i="4"/>
  <c r="P302" i="4"/>
  <c r="P24" i="4"/>
  <c r="N180" i="4"/>
  <c r="N306" i="4"/>
  <c r="N434" i="4"/>
  <c r="P488" i="4"/>
  <c r="O488" i="4"/>
  <c r="N488" i="4"/>
  <c r="P587" i="4"/>
  <c r="O587" i="4"/>
  <c r="N587" i="4"/>
  <c r="P251" i="4"/>
  <c r="O251" i="4"/>
  <c r="N251" i="4"/>
  <c r="P37" i="4"/>
  <c r="O37" i="4"/>
  <c r="N37" i="4"/>
  <c r="P499" i="4"/>
  <c r="O499" i="4"/>
  <c r="N499" i="4"/>
  <c r="P389" i="4"/>
  <c r="O389" i="4"/>
  <c r="N389" i="4"/>
  <c r="P138" i="4"/>
  <c r="O138" i="4"/>
  <c r="N138" i="4"/>
  <c r="N649" i="4"/>
  <c r="P649" i="4"/>
  <c r="O649" i="4"/>
  <c r="P431" i="4"/>
  <c r="O431" i="4"/>
  <c r="N431" i="4"/>
  <c r="P393" i="4"/>
  <c r="O393" i="4"/>
  <c r="N393" i="4"/>
  <c r="P394" i="4"/>
  <c r="O394" i="4"/>
  <c r="N394" i="4"/>
  <c r="N717" i="4"/>
  <c r="P717" i="4"/>
  <c r="O717" i="4"/>
  <c r="P630" i="4"/>
  <c r="O630" i="4"/>
  <c r="N630" i="4"/>
  <c r="P497" i="4"/>
  <c r="O497" i="4"/>
  <c r="N497" i="4"/>
  <c r="P77" i="4"/>
  <c r="O77" i="4"/>
  <c r="N77" i="4"/>
  <c r="P474" i="4"/>
  <c r="O474" i="4"/>
  <c r="N474" i="4"/>
  <c r="P823" i="4"/>
  <c r="O823" i="4"/>
  <c r="N823" i="4"/>
  <c r="P832" i="4"/>
  <c r="O832" i="4"/>
  <c r="N832" i="4"/>
  <c r="P337" i="4"/>
  <c r="O337" i="4"/>
  <c r="N337" i="4"/>
  <c r="P134" i="4"/>
  <c r="O134" i="4"/>
  <c r="N134" i="4"/>
  <c r="P75" i="4"/>
  <c r="P368" i="4"/>
  <c r="O368" i="4"/>
  <c r="N368" i="4"/>
  <c r="N68" i="4"/>
  <c r="O180" i="4"/>
  <c r="O306" i="4"/>
  <c r="O434" i="4"/>
  <c r="O498" i="4"/>
  <c r="N633" i="4"/>
  <c r="P633" i="4"/>
  <c r="O633" i="4"/>
  <c r="P558" i="4"/>
  <c r="O558" i="4"/>
  <c r="N558" i="4"/>
  <c r="P599" i="4"/>
  <c r="O599" i="4"/>
  <c r="N599" i="4"/>
  <c r="N613" i="4"/>
  <c r="P613" i="4"/>
  <c r="O613" i="4"/>
  <c r="P574" i="4"/>
  <c r="O574" i="4"/>
  <c r="N574" i="4"/>
  <c r="P646" i="4"/>
  <c r="O646" i="4"/>
  <c r="N646" i="4"/>
  <c r="N689" i="4"/>
  <c r="P689" i="4"/>
  <c r="O689" i="4"/>
  <c r="N781" i="4"/>
  <c r="P781" i="4"/>
  <c r="O781" i="4"/>
  <c r="P780" i="4"/>
  <c r="O780" i="4"/>
  <c r="N780" i="4"/>
  <c r="N609" i="4"/>
  <c r="P609" i="4"/>
  <c r="O609" i="4"/>
  <c r="P479" i="4"/>
  <c r="O479" i="4"/>
  <c r="N479" i="4"/>
  <c r="P446" i="4"/>
  <c r="O446" i="4"/>
  <c r="N446" i="4"/>
  <c r="N805" i="4"/>
  <c r="P805" i="4"/>
  <c r="O805" i="4"/>
  <c r="P265" i="4"/>
  <c r="O265" i="4"/>
  <c r="N265" i="4"/>
  <c r="P125" i="4"/>
  <c r="O125" i="4"/>
  <c r="N125" i="4"/>
  <c r="P207" i="4"/>
  <c r="O207" i="4"/>
  <c r="N207" i="4"/>
  <c r="P143" i="4"/>
  <c r="O143" i="4"/>
  <c r="N143" i="4"/>
  <c r="N673" i="4"/>
  <c r="P673" i="4"/>
  <c r="O673" i="4"/>
  <c r="P206" i="4"/>
  <c r="O206" i="4"/>
  <c r="N206" i="4"/>
  <c r="P336" i="4"/>
  <c r="O336" i="4"/>
  <c r="N336" i="4"/>
  <c r="P252" i="4"/>
  <c r="O252" i="4"/>
  <c r="N252" i="4"/>
  <c r="P287" i="4"/>
  <c r="O287" i="4"/>
  <c r="N287" i="4"/>
  <c r="P490" i="4"/>
  <c r="P396" i="4"/>
  <c r="N20" i="4"/>
  <c r="N84" i="4"/>
  <c r="O132" i="4"/>
  <c r="O196" i="4"/>
  <c r="O322" i="4"/>
  <c r="O386" i="4"/>
  <c r="O450" i="4"/>
  <c r="P557" i="4"/>
  <c r="P634" i="4"/>
  <c r="O634" i="4"/>
  <c r="N634" i="4"/>
  <c r="N681" i="4"/>
  <c r="P681" i="4"/>
  <c r="O681" i="4"/>
  <c r="P485" i="4"/>
  <c r="O485" i="4"/>
  <c r="N485" i="4"/>
  <c r="P486" i="4"/>
  <c r="O486" i="4"/>
  <c r="N486" i="4"/>
  <c r="P296" i="4"/>
  <c r="O296" i="4"/>
  <c r="N296" i="4"/>
  <c r="P174" i="4"/>
  <c r="O174" i="4"/>
  <c r="N174" i="4"/>
  <c r="P222" i="4"/>
  <c r="O222" i="4"/>
  <c r="N222" i="4"/>
  <c r="P195" i="4"/>
  <c r="O195" i="4"/>
  <c r="N195" i="4"/>
  <c r="P842" i="4"/>
  <c r="O842" i="4"/>
  <c r="N842" i="4"/>
  <c r="P366" i="4"/>
  <c r="O366" i="4"/>
  <c r="N366" i="4"/>
  <c r="P145" i="4"/>
  <c r="O145" i="4"/>
  <c r="N145" i="4"/>
  <c r="P152" i="4"/>
  <c r="O152" i="4"/>
  <c r="N152" i="4"/>
  <c r="P43" i="4"/>
  <c r="O43" i="4"/>
  <c r="N43" i="4"/>
  <c r="P352" i="4"/>
  <c r="O352" i="4"/>
  <c r="N352" i="4"/>
  <c r="P247" i="4"/>
  <c r="O247" i="4"/>
  <c r="N247" i="4"/>
  <c r="P700" i="4"/>
  <c r="O700" i="4"/>
  <c r="N700" i="4"/>
  <c r="P596" i="4"/>
  <c r="O596" i="4"/>
  <c r="N596" i="4"/>
  <c r="P128" i="4"/>
  <c r="O128" i="4"/>
  <c r="N128" i="4"/>
  <c r="P382" i="4"/>
  <c r="O382" i="4"/>
  <c r="N382" i="4"/>
  <c r="P791" i="4"/>
  <c r="O791" i="4"/>
  <c r="N791" i="4"/>
  <c r="P433" i="4"/>
  <c r="O433" i="4"/>
  <c r="N433" i="4"/>
  <c r="P340" i="4"/>
  <c r="O340" i="4"/>
  <c r="N340" i="4"/>
  <c r="P241" i="4"/>
  <c r="O241" i="4"/>
  <c r="N241" i="4"/>
  <c r="P631" i="4"/>
  <c r="O631" i="4"/>
  <c r="N631" i="4"/>
  <c r="P95" i="4"/>
  <c r="O95" i="4"/>
  <c r="N95" i="4"/>
  <c r="P319" i="4"/>
  <c r="O319" i="4"/>
  <c r="N319" i="4"/>
  <c r="P723" i="4"/>
  <c r="O723" i="4"/>
  <c r="N723" i="4"/>
  <c r="P579" i="4"/>
  <c r="O579" i="4"/>
  <c r="N579" i="4"/>
  <c r="P606" i="4"/>
  <c r="O606" i="4"/>
  <c r="N606" i="4"/>
  <c r="N517" i="4"/>
  <c r="P517" i="4"/>
  <c r="O517" i="4"/>
  <c r="P763" i="4"/>
  <c r="O763" i="4"/>
  <c r="N763" i="4"/>
  <c r="P459" i="4"/>
  <c r="O459" i="4"/>
  <c r="N459" i="4"/>
  <c r="P586" i="4"/>
  <c r="O586" i="4"/>
  <c r="N586" i="4"/>
  <c r="P28" i="4"/>
  <c r="O28" i="4"/>
  <c r="N28" i="4"/>
  <c r="P636" i="4"/>
  <c r="O636" i="4"/>
  <c r="N636" i="4"/>
  <c r="P397" i="4"/>
  <c r="O397" i="4"/>
  <c r="N397" i="4"/>
  <c r="P759" i="4"/>
  <c r="O759" i="4"/>
  <c r="N759" i="4"/>
  <c r="P250" i="4"/>
  <c r="O250" i="4"/>
  <c r="N250" i="4"/>
  <c r="P714" i="4"/>
  <c r="O714" i="4"/>
  <c r="N714" i="4"/>
  <c r="P71" i="4"/>
  <c r="O71" i="4"/>
  <c r="N71" i="4"/>
  <c r="P670" i="4"/>
  <c r="O670" i="4"/>
  <c r="N670" i="4"/>
  <c r="P181" i="4"/>
  <c r="O181" i="4"/>
  <c r="N181" i="4"/>
  <c r="P648" i="4"/>
  <c r="O648" i="4"/>
  <c r="N648" i="4"/>
  <c r="P422" i="4"/>
  <c r="O422" i="4"/>
  <c r="N422" i="4"/>
  <c r="P814" i="4"/>
  <c r="O814" i="4"/>
  <c r="N814" i="4"/>
  <c r="P119" i="4"/>
  <c r="O119" i="4"/>
  <c r="N119" i="4"/>
  <c r="P205" i="4"/>
  <c r="O205" i="4"/>
  <c r="N205" i="4"/>
  <c r="O20" i="4"/>
  <c r="O84" i="4"/>
  <c r="P322" i="4"/>
  <c r="P522" i="4"/>
  <c r="O522" i="4"/>
  <c r="N522" i="4"/>
  <c r="P524" i="4"/>
  <c r="O524" i="4"/>
  <c r="N524" i="4"/>
  <c r="P280" i="4"/>
  <c r="O280" i="4"/>
  <c r="N280" i="4"/>
  <c r="P483" i="4"/>
  <c r="O483" i="4"/>
  <c r="N483" i="4"/>
  <c r="P739" i="4"/>
  <c r="O739" i="4"/>
  <c r="N739" i="4"/>
  <c r="P315" i="4"/>
  <c r="O315" i="4"/>
  <c r="N315" i="4"/>
  <c r="P140" i="4"/>
  <c r="O140" i="4"/>
  <c r="N140" i="4"/>
  <c r="N841" i="4"/>
  <c r="P841" i="4"/>
  <c r="O841" i="4"/>
  <c r="P461" i="4"/>
  <c r="O461" i="4"/>
  <c r="N461" i="4"/>
  <c r="P395" i="4"/>
  <c r="O395" i="4"/>
  <c r="N395" i="4"/>
  <c r="P301" i="4"/>
  <c r="O301" i="4"/>
  <c r="N301" i="4"/>
  <c r="P775" i="4"/>
  <c r="O775" i="4"/>
  <c r="N775" i="4"/>
  <c r="P688" i="4"/>
  <c r="O688" i="4"/>
  <c r="N688" i="4"/>
  <c r="P503" i="4"/>
  <c r="O503" i="4"/>
  <c r="N503" i="4"/>
  <c r="P158" i="4"/>
  <c r="O158" i="4"/>
  <c r="N158" i="4"/>
  <c r="N829" i="4"/>
  <c r="P829" i="4"/>
  <c r="O829" i="4"/>
  <c r="P83" i="4"/>
  <c r="O83" i="4"/>
  <c r="N83" i="4"/>
  <c r="P651" i="4"/>
  <c r="O651" i="4"/>
  <c r="N651" i="4"/>
  <c r="P607" i="4"/>
  <c r="O607" i="4"/>
  <c r="N607" i="4"/>
  <c r="P105" i="4"/>
  <c r="O105" i="4"/>
  <c r="N105" i="4"/>
  <c r="P311" i="4"/>
  <c r="O311" i="4"/>
  <c r="N311" i="4"/>
  <c r="N713" i="4"/>
  <c r="P713" i="4"/>
  <c r="O713" i="4"/>
  <c r="P676" i="4"/>
  <c r="O676" i="4"/>
  <c r="N676" i="4"/>
  <c r="N629" i="4"/>
  <c r="P629" i="4"/>
  <c r="O629" i="4"/>
  <c r="P51" i="4"/>
  <c r="O51" i="4"/>
  <c r="N51" i="4"/>
  <c r="P618" i="4"/>
  <c r="O618" i="4"/>
  <c r="N618" i="4"/>
  <c r="P704" i="4"/>
  <c r="O704" i="4"/>
  <c r="N704" i="4"/>
  <c r="P559" i="4"/>
  <c r="O559" i="4"/>
  <c r="N559" i="4"/>
  <c r="P186" i="4"/>
  <c r="O186" i="4"/>
  <c r="N186" i="4"/>
  <c r="N529" i="4"/>
  <c r="P529" i="4"/>
  <c r="O529" i="4"/>
  <c r="P141" i="4"/>
  <c r="O141" i="4"/>
  <c r="N141" i="4"/>
  <c r="N521" i="4"/>
  <c r="P521" i="4"/>
  <c r="O521" i="4"/>
  <c r="P200" i="4"/>
  <c r="O200" i="4"/>
  <c r="N200" i="4"/>
  <c r="N533" i="4"/>
  <c r="P533" i="4"/>
  <c r="O533" i="4"/>
  <c r="P199" i="4"/>
  <c r="O199" i="4"/>
  <c r="N199" i="4"/>
  <c r="P532" i="4"/>
  <c r="O532" i="4"/>
  <c r="N532" i="4"/>
  <c r="P510" i="4"/>
  <c r="O510" i="4"/>
  <c r="N510" i="4"/>
  <c r="P788" i="4"/>
  <c r="O788" i="4"/>
  <c r="N788" i="4"/>
  <c r="P743" i="4"/>
  <c r="O743" i="4"/>
  <c r="N743" i="4"/>
  <c r="P570" i="4"/>
  <c r="O570" i="4"/>
  <c r="N570" i="4"/>
  <c r="P628" i="4"/>
  <c r="O628" i="4"/>
  <c r="N628" i="4"/>
  <c r="P294" i="4"/>
  <c r="O294" i="4"/>
  <c r="N294" i="4"/>
  <c r="P844" i="4"/>
  <c r="O844" i="4"/>
  <c r="N844" i="4"/>
  <c r="P547" i="4"/>
  <c r="O547" i="4"/>
  <c r="N547" i="4"/>
  <c r="P507" i="4"/>
  <c r="O507" i="4"/>
  <c r="N507" i="4"/>
  <c r="N509" i="4"/>
  <c r="P509" i="4"/>
  <c r="O509" i="4"/>
  <c r="P786" i="4"/>
  <c r="O786" i="4"/>
  <c r="N786" i="4"/>
  <c r="N741" i="4"/>
  <c r="P741" i="4"/>
  <c r="O741" i="4"/>
  <c r="N569" i="4"/>
  <c r="P569" i="4"/>
  <c r="O569" i="4"/>
  <c r="P279" i="4"/>
  <c r="O279" i="4"/>
  <c r="N279" i="4"/>
  <c r="P740" i="4"/>
  <c r="O740" i="4"/>
  <c r="N740" i="4"/>
  <c r="P115" i="4"/>
  <c r="O115" i="4"/>
  <c r="N115" i="4"/>
  <c r="P506" i="4"/>
  <c r="O506" i="4"/>
  <c r="N506" i="4"/>
  <c r="P612" i="4"/>
  <c r="O612" i="4"/>
  <c r="N612" i="4"/>
  <c r="P160" i="4"/>
  <c r="O160" i="4"/>
  <c r="N160" i="4"/>
  <c r="P703" i="4"/>
  <c r="O703" i="4"/>
  <c r="N703" i="4"/>
  <c r="P262" i="4"/>
  <c r="O262" i="4"/>
  <c r="N262" i="4"/>
  <c r="P564" i="4"/>
  <c r="O564" i="4"/>
  <c r="N564" i="4"/>
  <c r="P556" i="4"/>
  <c r="O556" i="4"/>
  <c r="N556" i="4"/>
  <c r="P680" i="4"/>
  <c r="O680" i="4"/>
  <c r="N680" i="4"/>
  <c r="P17" i="4"/>
  <c r="O17" i="4"/>
  <c r="N17" i="4"/>
  <c r="P194" i="4"/>
  <c r="O194" i="4"/>
  <c r="N194" i="4"/>
  <c r="N597" i="4"/>
  <c r="P597" i="4"/>
  <c r="O597" i="4"/>
  <c r="P830" i="4"/>
  <c r="O830" i="4"/>
  <c r="N830" i="4"/>
  <c r="P193" i="4"/>
  <c r="O193" i="4"/>
  <c r="N193" i="4"/>
  <c r="P16" i="4"/>
  <c r="O16" i="4"/>
  <c r="N16" i="4"/>
  <c r="P481" i="4"/>
  <c r="O481" i="4"/>
  <c r="N481" i="4"/>
  <c r="P86" i="4"/>
  <c r="O86" i="4"/>
  <c r="N86" i="4"/>
  <c r="P173" i="4"/>
  <c r="O173" i="4"/>
  <c r="N173" i="4"/>
  <c r="N545" i="4"/>
  <c r="P545" i="4"/>
  <c r="O545" i="4"/>
  <c r="P221" i="4"/>
  <c r="O221" i="4"/>
  <c r="N221" i="4"/>
  <c r="P416" i="4"/>
  <c r="O416" i="4"/>
  <c r="N416" i="4"/>
  <c r="P428" i="4"/>
  <c r="O428" i="4"/>
  <c r="N428" i="4"/>
  <c r="P328" i="4"/>
  <c r="O328" i="4"/>
  <c r="N328" i="4"/>
  <c r="P343" i="4"/>
  <c r="O343" i="4"/>
  <c r="N343" i="4"/>
  <c r="P387" i="4"/>
  <c r="O387" i="4"/>
  <c r="N387" i="4"/>
  <c r="P307" i="4"/>
  <c r="O307" i="4"/>
  <c r="N307" i="4"/>
  <c r="P702" i="4"/>
  <c r="O702" i="4"/>
  <c r="N702" i="4"/>
  <c r="N817" i="4"/>
  <c r="P817" i="4"/>
  <c r="O817" i="4"/>
  <c r="P803" i="4"/>
  <c r="O803" i="4"/>
  <c r="N803" i="4"/>
  <c r="P800" i="4"/>
  <c r="O800" i="4"/>
  <c r="N800" i="4"/>
  <c r="P807" i="4"/>
  <c r="O807" i="4"/>
  <c r="N807" i="4"/>
  <c r="N797" i="4"/>
  <c r="P797" i="4"/>
  <c r="O797" i="4"/>
  <c r="P35" i="4"/>
  <c r="O35" i="4"/>
  <c r="N35" i="4"/>
  <c r="P46" i="4"/>
  <c r="O46" i="4"/>
  <c r="N46" i="4"/>
  <c r="P131" i="4"/>
  <c r="O131" i="4"/>
  <c r="N131" i="4"/>
  <c r="P172" i="4"/>
  <c r="O172" i="4"/>
  <c r="N172" i="4"/>
  <c r="P85" i="4"/>
  <c r="O85" i="4"/>
  <c r="N85" i="4"/>
  <c r="P277" i="4"/>
  <c r="O277" i="4"/>
  <c r="N277" i="4"/>
  <c r="P504" i="4"/>
  <c r="O504" i="4"/>
  <c r="N504" i="4"/>
  <c r="P464" i="4"/>
  <c r="O464" i="4"/>
  <c r="N464" i="4"/>
  <c r="P420" i="4"/>
  <c r="O420" i="4"/>
  <c r="N420" i="4"/>
  <c r="P415" i="4"/>
  <c r="O415" i="4"/>
  <c r="N415" i="4"/>
  <c r="P427" i="4"/>
  <c r="O427" i="4"/>
  <c r="N427" i="4"/>
  <c r="P738" i="4"/>
  <c r="O738" i="4"/>
  <c r="N738" i="4"/>
  <c r="P314" i="4"/>
  <c r="O314" i="4"/>
  <c r="N314" i="4"/>
  <c r="P399" i="4"/>
  <c r="O399" i="4"/>
  <c r="N399" i="4"/>
  <c r="P327" i="4"/>
  <c r="O327" i="4"/>
  <c r="N327" i="4"/>
  <c r="P349" i="4"/>
  <c r="O349" i="4"/>
  <c r="N349" i="4"/>
  <c r="P350" i="4"/>
  <c r="O350" i="4"/>
  <c r="N350" i="4"/>
  <c r="P365" i="4"/>
  <c r="O365" i="4"/>
  <c r="N365" i="4"/>
  <c r="N737" i="4"/>
  <c r="P737" i="4"/>
  <c r="O737" i="4"/>
  <c r="P235" i="4"/>
  <c r="O235" i="4"/>
  <c r="N235" i="4"/>
  <c r="P236" i="4"/>
  <c r="O236" i="4"/>
  <c r="N236" i="4"/>
  <c r="P113" i="4"/>
  <c r="O113" i="4"/>
  <c r="N113" i="4"/>
  <c r="P735" i="4"/>
  <c r="O735" i="4"/>
  <c r="N735" i="4"/>
  <c r="N669" i="4"/>
  <c r="P669" i="4"/>
  <c r="O669" i="4"/>
  <c r="P227" i="4"/>
  <c r="O227" i="4"/>
  <c r="N227" i="4"/>
  <c r="P111" i="4"/>
  <c r="O111" i="4"/>
  <c r="N111" i="4"/>
  <c r="P776" i="4"/>
  <c r="O776" i="4"/>
  <c r="N776" i="4"/>
  <c r="P732" i="4"/>
  <c r="O732" i="4"/>
  <c r="N732" i="4"/>
  <c r="P254" i="4"/>
  <c r="O254" i="4"/>
  <c r="N254" i="4"/>
  <c r="P208" i="4"/>
  <c r="O208" i="4"/>
  <c r="N208" i="4"/>
  <c r="P632" i="4"/>
  <c r="O632" i="4"/>
  <c r="N632" i="4"/>
  <c r="P588" i="4"/>
  <c r="O588" i="4"/>
  <c r="N588" i="4"/>
  <c r="P622" i="4"/>
  <c r="O622" i="4"/>
  <c r="N622" i="4"/>
  <c r="P731" i="4"/>
  <c r="O731" i="4"/>
  <c r="N731" i="4"/>
  <c r="P108" i="4"/>
  <c r="O108" i="4"/>
  <c r="N108" i="4"/>
  <c r="P543" i="4"/>
  <c r="O543" i="4"/>
  <c r="N543" i="4"/>
  <c r="P527" i="4"/>
  <c r="O527" i="4"/>
  <c r="N527" i="4"/>
  <c r="P253" i="4"/>
  <c r="O253" i="4"/>
  <c r="N253" i="4"/>
  <c r="P73" i="4"/>
  <c r="O73" i="4"/>
  <c r="N73" i="4"/>
  <c r="P566" i="4"/>
  <c r="O566" i="4"/>
  <c r="N566" i="4"/>
  <c r="P157" i="4"/>
  <c r="O157" i="4"/>
  <c r="N157" i="4"/>
  <c r="P518" i="4"/>
  <c r="O518" i="4"/>
  <c r="N518" i="4"/>
  <c r="P7" i="4"/>
  <c r="O7" i="4"/>
  <c r="N7" i="4"/>
  <c r="P38" i="4"/>
  <c r="O38" i="4"/>
  <c r="N38" i="4"/>
  <c r="P552" i="4"/>
  <c r="O552" i="4"/>
  <c r="N552" i="4"/>
  <c r="P6" i="4"/>
  <c r="O6" i="4"/>
  <c r="N6" i="4"/>
  <c r="P492" i="4"/>
  <c r="O492" i="4"/>
  <c r="N492" i="4"/>
  <c r="N773" i="4"/>
  <c r="P773" i="4"/>
  <c r="O773" i="4"/>
  <c r="P662" i="4"/>
  <c r="O662" i="4"/>
  <c r="N662" i="4"/>
  <c r="P502" i="4"/>
  <c r="O502" i="4"/>
  <c r="N502" i="4"/>
  <c r="P289" i="4"/>
  <c r="O289" i="4"/>
  <c r="N289" i="4"/>
  <c r="P608" i="4"/>
  <c r="O608" i="4"/>
  <c r="N608" i="4"/>
  <c r="P470" i="4"/>
  <c r="O470" i="4"/>
  <c r="N470" i="4"/>
  <c r="P460" i="4"/>
  <c r="O460" i="4"/>
  <c r="N460" i="4"/>
  <c r="P313" i="4"/>
  <c r="O313" i="4"/>
  <c r="N313" i="4"/>
  <c r="P390" i="4"/>
  <c r="O390" i="4"/>
  <c r="N390" i="4"/>
  <c r="P372" i="4"/>
  <c r="O372" i="4"/>
  <c r="N372" i="4"/>
  <c r="P816" i="4"/>
  <c r="O816" i="4"/>
  <c r="N816" i="4"/>
  <c r="P812" i="4"/>
  <c r="O812" i="4"/>
  <c r="N812" i="4"/>
  <c r="P29" i="4"/>
  <c r="O29" i="4"/>
  <c r="N29" i="4"/>
  <c r="P127" i="4"/>
  <c r="O127" i="4"/>
  <c r="N127" i="4"/>
  <c r="P169" i="4"/>
  <c r="O169" i="4"/>
  <c r="N169" i="4"/>
  <c r="P82" i="4"/>
  <c r="O82" i="4"/>
  <c r="N82" i="4"/>
  <c r="P274" i="4"/>
  <c r="O274" i="4"/>
  <c r="N274" i="4"/>
  <c r="P501" i="4"/>
  <c r="O501" i="4"/>
  <c r="N501" i="4"/>
  <c r="P455" i="4"/>
  <c r="O455" i="4"/>
  <c r="N455" i="4"/>
  <c r="P451" i="4"/>
  <c r="O451" i="4"/>
  <c r="N451" i="4"/>
  <c r="P445" i="4"/>
  <c r="O445" i="4"/>
  <c r="N445" i="4"/>
  <c r="P478" i="4"/>
  <c r="O478" i="4"/>
  <c r="N478" i="4"/>
  <c r="P126" i="4"/>
  <c r="O126" i="4"/>
  <c r="N126" i="4"/>
  <c r="P398" i="4"/>
  <c r="O398" i="4"/>
  <c r="N398" i="4"/>
  <c r="P357" i="4"/>
  <c r="O357" i="4"/>
  <c r="N357" i="4"/>
  <c r="P300" i="4"/>
  <c r="O300" i="4"/>
  <c r="N300" i="4"/>
  <c r="P770" i="4"/>
  <c r="O770" i="4"/>
  <c r="N770" i="4"/>
  <c r="P727" i="4"/>
  <c r="O727" i="4"/>
  <c r="N727" i="4"/>
  <c r="P232" i="4"/>
  <c r="O232" i="4"/>
  <c r="N232" i="4"/>
  <c r="P768" i="4"/>
  <c r="O768" i="4"/>
  <c r="N768" i="4"/>
  <c r="P766" i="4"/>
  <c r="O766" i="4"/>
  <c r="N766" i="4"/>
  <c r="P699" i="4"/>
  <c r="O699" i="4"/>
  <c r="N699" i="4"/>
  <c r="P677" i="4"/>
  <c r="P441" i="4"/>
  <c r="O441" i="4"/>
  <c r="N441" i="4"/>
  <c r="N148" i="4"/>
  <c r="N212" i="4"/>
  <c r="N276" i="4"/>
  <c r="N338" i="4"/>
  <c r="N402" i="4"/>
  <c r="O653" i="4"/>
  <c r="P209" i="4"/>
  <c r="O209" i="4"/>
  <c r="N209" i="4"/>
  <c r="P31" i="4"/>
  <c r="O31" i="4"/>
  <c r="N31" i="4"/>
  <c r="P787" i="4"/>
  <c r="O787" i="4"/>
  <c r="N787" i="4"/>
  <c r="P317" i="4"/>
  <c r="O317" i="4"/>
  <c r="N317" i="4"/>
  <c r="P318" i="4"/>
  <c r="O318" i="4"/>
  <c r="N318" i="4"/>
  <c r="P555" i="4"/>
  <c r="O555" i="4"/>
  <c r="N555" i="4"/>
  <c r="P654" i="4"/>
  <c r="O654" i="4"/>
  <c r="N654" i="4"/>
  <c r="P136" i="4"/>
  <c r="O136" i="4"/>
  <c r="N136" i="4"/>
  <c r="P456" i="4"/>
  <c r="O456" i="4"/>
  <c r="N456" i="4"/>
  <c r="P778" i="4"/>
  <c r="O778" i="4"/>
  <c r="N778" i="4"/>
  <c r="N593" i="4"/>
  <c r="P593" i="4"/>
  <c r="O593" i="4"/>
  <c r="P192" i="4"/>
  <c r="O192" i="4"/>
  <c r="N192" i="4"/>
  <c r="P838" i="4"/>
  <c r="O838" i="4"/>
  <c r="N838" i="4"/>
  <c r="P312" i="4"/>
  <c r="O312" i="4"/>
  <c r="N312" i="4"/>
  <c r="O68" i="4"/>
  <c r="N837" i="4"/>
  <c r="P837" i="4"/>
  <c r="O837" i="4"/>
  <c r="P438" i="4"/>
  <c r="O438" i="4"/>
  <c r="N438" i="4"/>
  <c r="P162" i="4"/>
  <c r="O162" i="4"/>
  <c r="N162" i="4"/>
  <c r="P104" i="4"/>
  <c r="O104" i="4"/>
  <c r="N104" i="4"/>
  <c r="P616" i="4"/>
  <c r="O616" i="4"/>
  <c r="N616" i="4"/>
  <c r="P168" i="4"/>
  <c r="P500" i="4"/>
  <c r="O500" i="4"/>
  <c r="N500" i="4"/>
  <c r="P155" i="4"/>
  <c r="O155" i="4"/>
  <c r="N155" i="4"/>
  <c r="P491" i="4"/>
  <c r="O491" i="4"/>
  <c r="N491" i="4"/>
  <c r="P468" i="4"/>
  <c r="O468" i="4"/>
  <c r="N468" i="4"/>
  <c r="P686" i="4"/>
  <c r="O686" i="4"/>
  <c r="N686" i="4"/>
  <c r="P147" i="4"/>
  <c r="O147" i="4"/>
  <c r="N147" i="4"/>
  <c r="P604" i="4"/>
  <c r="O604" i="4"/>
  <c r="N604" i="4"/>
  <c r="P122" i="4"/>
  <c r="O122" i="4"/>
  <c r="N122" i="4"/>
  <c r="P231" i="4"/>
  <c r="O231" i="4"/>
  <c r="N231" i="4"/>
  <c r="P715" i="4"/>
  <c r="O715" i="4"/>
  <c r="N715" i="4"/>
  <c r="P270" i="4"/>
  <c r="O270" i="4"/>
  <c r="N270" i="4"/>
  <c r="P249" i="4"/>
  <c r="O249" i="4"/>
  <c r="N249" i="4"/>
  <c r="P59" i="4"/>
  <c r="O59" i="4"/>
  <c r="N59" i="4"/>
  <c r="N549" i="4"/>
  <c r="P549" i="4"/>
  <c r="O549" i="4"/>
  <c r="P711" i="4"/>
  <c r="O711" i="4"/>
  <c r="N711" i="4"/>
  <c r="P410" i="4"/>
  <c r="O410" i="4"/>
  <c r="N410" i="4"/>
  <c r="P694" i="4"/>
  <c r="O694" i="4"/>
  <c r="N694" i="4"/>
  <c r="P44" i="4"/>
  <c r="O44" i="4"/>
  <c r="N44" i="4"/>
  <c r="N36" i="4"/>
  <c r="O148" i="4"/>
  <c r="O212" i="4"/>
  <c r="O276" i="4"/>
  <c r="O338" i="4"/>
  <c r="O402" i="4"/>
  <c r="P653" i="4"/>
  <c r="P623" i="4"/>
  <c r="O623" i="4"/>
  <c r="N623" i="4"/>
  <c r="P560" i="4"/>
  <c r="O560" i="4"/>
  <c r="N560" i="4"/>
  <c r="P23" i="4"/>
  <c r="O23" i="4"/>
  <c r="N23" i="4"/>
  <c r="P69" i="4"/>
  <c r="O69" i="4"/>
  <c r="N69" i="4"/>
  <c r="P679" i="4"/>
  <c r="O679" i="4"/>
  <c r="N679" i="4"/>
  <c r="P462" i="4"/>
  <c r="O462" i="4"/>
  <c r="N462" i="4"/>
  <c r="P30" i="4"/>
  <c r="O30" i="4"/>
  <c r="N30" i="4"/>
  <c r="P638" i="4"/>
  <c r="O638" i="4"/>
  <c r="N638" i="4"/>
  <c r="P359" i="4"/>
  <c r="O359" i="4"/>
  <c r="N359" i="4"/>
  <c r="P234" i="4"/>
  <c r="O234" i="4"/>
  <c r="N234" i="4"/>
  <c r="P774" i="4"/>
  <c r="O774" i="4"/>
  <c r="N774" i="4"/>
  <c r="P261" i="4"/>
  <c r="O261" i="4"/>
  <c r="N261" i="4"/>
  <c r="P191" i="4"/>
  <c r="O191" i="4"/>
  <c r="N191" i="4"/>
  <c r="P170" i="4"/>
  <c r="O170" i="4"/>
  <c r="N170" i="4"/>
  <c r="P305" i="4"/>
  <c r="O305" i="4"/>
  <c r="N305" i="4"/>
  <c r="P425" i="4"/>
  <c r="O425" i="4"/>
  <c r="N425" i="4"/>
  <c r="P107" i="4"/>
  <c r="O107" i="4"/>
  <c r="N107" i="4"/>
  <c r="P41" i="4"/>
  <c r="O41" i="4"/>
  <c r="N41" i="4"/>
  <c r="P321" i="4"/>
  <c r="O321" i="4"/>
  <c r="N321" i="4"/>
  <c r="P226" i="4"/>
  <c r="O226" i="4"/>
  <c r="N226" i="4"/>
  <c r="P49" i="4"/>
  <c r="O49" i="4"/>
  <c r="N49" i="4"/>
  <c r="P60" i="4"/>
  <c r="P449" i="4"/>
  <c r="O449" i="4"/>
  <c r="N449" i="4"/>
  <c r="P707" i="4"/>
  <c r="O707" i="4"/>
  <c r="N707" i="4"/>
  <c r="P248" i="4"/>
  <c r="O36" i="4"/>
  <c r="P338" i="4"/>
  <c r="P404" i="4"/>
  <c r="O404" i="4"/>
  <c r="N404" i="4"/>
  <c r="P87" i="4"/>
  <c r="O87" i="4"/>
  <c r="N87" i="4"/>
  <c r="P329" i="4"/>
  <c r="O329" i="4"/>
  <c r="N329" i="4"/>
  <c r="P330" i="4"/>
  <c r="O330" i="4"/>
  <c r="N330" i="4"/>
  <c r="P408" i="4"/>
  <c r="O408" i="4"/>
  <c r="N408" i="4"/>
  <c r="P826" i="4"/>
  <c r="O826" i="4"/>
  <c r="N826" i="4"/>
  <c r="P391" i="4"/>
  <c r="O391" i="4"/>
  <c r="N391" i="4"/>
  <c r="P149" i="4"/>
  <c r="O149" i="4"/>
  <c r="N149" i="4"/>
  <c r="P610" i="4"/>
  <c r="O610" i="4"/>
  <c r="N610" i="4"/>
  <c r="P736" i="4"/>
  <c r="O736" i="4"/>
  <c r="N736" i="4"/>
  <c r="P110" i="4"/>
  <c r="O110" i="4"/>
  <c r="N110" i="4"/>
  <c r="P171" i="4"/>
  <c r="O171" i="4"/>
  <c r="N171" i="4"/>
  <c r="P563" i="4"/>
  <c r="O563" i="4"/>
  <c r="N563" i="4"/>
  <c r="P14" i="4"/>
  <c r="O14" i="4"/>
  <c r="N14" i="4"/>
  <c r="P218" i="4"/>
  <c r="O218" i="4"/>
  <c r="N218" i="4"/>
  <c r="P358" i="4"/>
  <c r="O358" i="4"/>
  <c r="N358" i="4"/>
  <c r="P381" i="4"/>
  <c r="O381" i="4"/>
  <c r="N381" i="4"/>
  <c r="P5" i="4"/>
  <c r="O5" i="4"/>
  <c r="N5" i="4"/>
  <c r="P137" i="4"/>
  <c r="O137" i="4"/>
  <c r="N137" i="4"/>
  <c r="N196" i="4"/>
  <c r="P668" i="4"/>
  <c r="O668" i="4"/>
  <c r="N668" i="4"/>
  <c r="P102" i="4"/>
  <c r="O102" i="4"/>
  <c r="N102" i="4"/>
  <c r="P101" i="4"/>
  <c r="O101" i="4"/>
  <c r="N101" i="4"/>
  <c r="N565" i="4"/>
  <c r="P565" i="4"/>
  <c r="O565" i="4"/>
  <c r="N605" i="4"/>
  <c r="P605" i="4"/>
  <c r="O605" i="4"/>
  <c r="P363" i="4"/>
  <c r="O363" i="4"/>
  <c r="N363" i="4"/>
  <c r="P151" i="4"/>
  <c r="O151" i="4"/>
  <c r="N151" i="4"/>
  <c r="P285" i="4"/>
  <c r="O285" i="4"/>
  <c r="N285" i="4"/>
  <c r="P476" i="4"/>
  <c r="O476" i="4"/>
  <c r="N476" i="4"/>
  <c r="P719" i="4"/>
  <c r="O719" i="4"/>
  <c r="N719" i="4"/>
  <c r="P97" i="4"/>
  <c r="O97" i="4"/>
  <c r="N97" i="4"/>
  <c r="P620" i="4"/>
  <c r="O620" i="4"/>
  <c r="N620" i="4"/>
  <c r="P154" i="4"/>
  <c r="O154" i="4"/>
  <c r="N154" i="4"/>
  <c r="P405" i="4"/>
  <c r="O405" i="4"/>
  <c r="N405" i="4"/>
  <c r="P201" i="4"/>
  <c r="O201" i="4"/>
  <c r="N201" i="4"/>
  <c r="P640" i="4"/>
  <c r="O640" i="4"/>
  <c r="N640" i="4"/>
  <c r="P32" i="4"/>
  <c r="O32" i="4"/>
  <c r="N32" i="4"/>
  <c r="P36" i="4"/>
  <c r="N164" i="4"/>
  <c r="N228" i="4"/>
  <c r="N292" i="4"/>
  <c r="N482" i="4"/>
  <c r="N793" i="4"/>
  <c r="P793" i="4"/>
  <c r="O793" i="4"/>
  <c r="P197" i="4"/>
  <c r="O197" i="4"/>
  <c r="N197" i="4"/>
  <c r="N785" i="4"/>
  <c r="P785" i="4"/>
  <c r="O785" i="4"/>
  <c r="P179" i="4"/>
  <c r="O179" i="4"/>
  <c r="N179" i="4"/>
  <c r="P511" i="4"/>
  <c r="O511" i="4"/>
  <c r="N511" i="4"/>
  <c r="P184" i="4"/>
  <c r="O184" i="4"/>
  <c r="N184" i="4"/>
  <c r="P204" i="4"/>
  <c r="O204" i="4"/>
  <c r="N204" i="4"/>
  <c r="P374" i="4"/>
  <c r="O374" i="4"/>
  <c r="N374" i="4"/>
  <c r="P452" i="4"/>
  <c r="O452" i="4"/>
  <c r="N452" i="4"/>
  <c r="P373" i="4"/>
  <c r="O373" i="4"/>
  <c r="N373" i="4"/>
  <c r="P734" i="4"/>
  <c r="O734" i="4"/>
  <c r="N734" i="4"/>
  <c r="P55" i="4"/>
  <c r="O55" i="4"/>
  <c r="N55" i="4"/>
  <c r="P15" i="4"/>
  <c r="O15" i="4"/>
  <c r="N15" i="4"/>
  <c r="P542" i="4"/>
  <c r="O542" i="4"/>
  <c r="N542" i="4"/>
  <c r="P139" i="4"/>
  <c r="O139" i="4"/>
  <c r="N139" i="4"/>
  <c r="P288" i="4"/>
  <c r="O288" i="4"/>
  <c r="N288" i="4"/>
  <c r="P439" i="4"/>
  <c r="O439" i="4"/>
  <c r="N439" i="4"/>
  <c r="N729" i="4"/>
  <c r="P729" i="4"/>
  <c r="O729" i="4"/>
  <c r="N769" i="4"/>
  <c r="P769" i="4"/>
  <c r="O769" i="4"/>
  <c r="P156" i="4"/>
  <c r="O156" i="4"/>
  <c r="N156" i="4"/>
  <c r="P691" i="4"/>
  <c r="O691" i="4"/>
  <c r="N691" i="4"/>
  <c r="P58" i="4"/>
  <c r="O58" i="4"/>
  <c r="N58" i="4"/>
  <c r="P56" i="4"/>
  <c r="O56" i="4"/>
  <c r="N56" i="4"/>
  <c r="P690" i="4"/>
  <c r="O690" i="4"/>
  <c r="N690" i="4"/>
  <c r="P21" i="4"/>
  <c r="O21" i="4"/>
  <c r="N21" i="4"/>
  <c r="P161" i="4"/>
  <c r="O161" i="4"/>
  <c r="N161" i="4"/>
  <c r="P804" i="4"/>
  <c r="O804" i="4"/>
  <c r="N804" i="4"/>
  <c r="P198" i="4"/>
  <c r="O198" i="4"/>
  <c r="N198" i="4"/>
  <c r="P520" i="4"/>
  <c r="O520" i="4"/>
  <c r="N520" i="4"/>
  <c r="P297" i="4"/>
  <c r="O297" i="4"/>
  <c r="N297" i="4"/>
  <c r="P523" i="4"/>
  <c r="O523" i="4"/>
  <c r="N523" i="4"/>
  <c r="P682" i="4"/>
  <c r="O682" i="4"/>
  <c r="N682" i="4"/>
  <c r="P530" i="4"/>
  <c r="O530" i="4"/>
  <c r="N530" i="4"/>
  <c r="P744" i="4"/>
  <c r="O744" i="4"/>
  <c r="N744" i="4"/>
  <c r="P484" i="4"/>
  <c r="O484" i="4"/>
  <c r="N484" i="4"/>
  <c r="P117" i="4"/>
  <c r="O117" i="4"/>
  <c r="N117" i="4"/>
  <c r="P692" i="4"/>
  <c r="O692" i="4"/>
  <c r="N692" i="4"/>
  <c r="P88" i="4"/>
  <c r="O88" i="4"/>
  <c r="N88" i="4"/>
  <c r="P175" i="4"/>
  <c r="O175" i="4"/>
  <c r="N175" i="4"/>
  <c r="P223" i="4"/>
  <c r="O223" i="4"/>
  <c r="N223" i="4"/>
  <c r="P224" i="4"/>
  <c r="O224" i="4"/>
  <c r="N224" i="4"/>
  <c r="P70" i="4"/>
  <c r="O70" i="4"/>
  <c r="N70" i="4"/>
  <c r="P671" i="4"/>
  <c r="O671" i="4"/>
  <c r="N671" i="4"/>
  <c r="P742" i="4"/>
  <c r="O742" i="4"/>
  <c r="N742" i="4"/>
  <c r="P293" i="4"/>
  <c r="O293" i="4"/>
  <c r="N293" i="4"/>
  <c r="P843" i="4"/>
  <c r="O843" i="4"/>
  <c r="N843" i="4"/>
  <c r="P133" i="4"/>
  <c r="O133" i="4"/>
  <c r="N133" i="4"/>
  <c r="N665" i="4"/>
  <c r="P665" i="4"/>
  <c r="O665" i="4"/>
  <c r="P546" i="4"/>
  <c r="O546" i="4"/>
  <c r="N546" i="4"/>
  <c r="P528" i="4"/>
  <c r="O528" i="4"/>
  <c r="N528" i="4"/>
  <c r="P255" i="4"/>
  <c r="O255" i="4"/>
  <c r="N255" i="4"/>
  <c r="P74" i="4"/>
  <c r="O74" i="4"/>
  <c r="N74" i="4"/>
  <c r="P567" i="4"/>
  <c r="O567" i="4"/>
  <c r="N567" i="4"/>
  <c r="P18" i="4"/>
  <c r="O18" i="4"/>
  <c r="N18" i="4"/>
  <c r="P185" i="4"/>
  <c r="O185" i="4"/>
  <c r="N185" i="4"/>
  <c r="P159" i="4"/>
  <c r="O159" i="4"/>
  <c r="N159" i="4"/>
  <c r="P519" i="4"/>
  <c r="O519" i="4"/>
  <c r="N519" i="4"/>
  <c r="P9" i="4"/>
  <c r="O9" i="4"/>
  <c r="N9" i="4"/>
  <c r="P39" i="4"/>
  <c r="O39" i="4"/>
  <c r="N39" i="4"/>
  <c r="P554" i="4"/>
  <c r="O554" i="4"/>
  <c r="N554" i="4"/>
  <c r="P8" i="4"/>
  <c r="O8" i="4"/>
  <c r="N8" i="4"/>
  <c r="P493" i="4"/>
  <c r="O493" i="4"/>
  <c r="N493" i="4"/>
  <c r="P494" i="4"/>
  <c r="O494" i="4"/>
  <c r="N494" i="4"/>
  <c r="P783" i="4"/>
  <c r="O783" i="4"/>
  <c r="N783" i="4"/>
  <c r="P664" i="4"/>
  <c r="O664" i="4"/>
  <c r="N664" i="4"/>
  <c r="P505" i="4"/>
  <c r="O505" i="4"/>
  <c r="N505" i="4"/>
  <c r="P611" i="4"/>
  <c r="O611" i="4"/>
  <c r="N611" i="4"/>
  <c r="P436" i="4"/>
  <c r="O436" i="4"/>
  <c r="N436" i="4"/>
  <c r="P448" i="4"/>
  <c r="O448" i="4"/>
  <c r="N448" i="4"/>
  <c r="P384" i="4"/>
  <c r="O384" i="4"/>
  <c r="N384" i="4"/>
  <c r="P360" i="4"/>
  <c r="O360" i="4"/>
  <c r="N360" i="4"/>
  <c r="P335" i="4"/>
  <c r="O335" i="4"/>
  <c r="N335" i="4"/>
  <c r="P346" i="4"/>
  <c r="O346" i="4"/>
  <c r="N346" i="4"/>
  <c r="P626" i="4"/>
  <c r="O626" i="4"/>
  <c r="N626" i="4"/>
  <c r="P582" i="4"/>
  <c r="O582" i="4"/>
  <c r="N582" i="4"/>
  <c r="N813" i="4"/>
  <c r="P813" i="4"/>
  <c r="O813" i="4"/>
  <c r="P810" i="4"/>
  <c r="O810" i="4"/>
  <c r="N810" i="4"/>
  <c r="P822" i="4"/>
  <c r="O822" i="4"/>
  <c r="N822" i="4"/>
  <c r="P819" i="4"/>
  <c r="O819" i="4"/>
  <c r="N819" i="4"/>
  <c r="P792" i="4"/>
  <c r="O792" i="4"/>
  <c r="N792" i="4"/>
  <c r="P26" i="4"/>
  <c r="O26" i="4"/>
  <c r="N26" i="4"/>
  <c r="P782" i="4"/>
  <c r="O782" i="4"/>
  <c r="N782" i="4"/>
  <c r="P663" i="4"/>
  <c r="O663" i="4"/>
  <c r="N663" i="4"/>
  <c r="P220" i="4"/>
  <c r="O220" i="4"/>
  <c r="N220" i="4"/>
  <c r="P544" i="4"/>
  <c r="O544" i="4"/>
  <c r="N544" i="4"/>
  <c r="P67" i="4"/>
  <c r="O67" i="4"/>
  <c r="N67" i="4"/>
  <c r="N645" i="4"/>
  <c r="P645" i="4"/>
  <c r="O645" i="4"/>
  <c r="P440" i="4"/>
  <c r="O440" i="4"/>
  <c r="N440" i="4"/>
  <c r="P435" i="4"/>
  <c r="O435" i="4"/>
  <c r="N435" i="4"/>
  <c r="P447" i="4"/>
  <c r="O447" i="4"/>
  <c r="N447" i="4"/>
  <c r="P480" i="4"/>
  <c r="O480" i="4"/>
  <c r="N480" i="4"/>
  <c r="P130" i="4"/>
  <c r="O130" i="4"/>
  <c r="N130" i="4"/>
  <c r="P403" i="4"/>
  <c r="O403" i="4"/>
  <c r="N403" i="4"/>
  <c r="P383" i="4"/>
  <c r="O383" i="4"/>
  <c r="N383" i="4"/>
  <c r="P342" i="4"/>
  <c r="O342" i="4"/>
  <c r="N342" i="4"/>
  <c r="P334" i="4"/>
  <c r="O334" i="4"/>
  <c r="N334" i="4"/>
  <c r="P266" i="4"/>
  <c r="O266" i="4"/>
  <c r="N266" i="4"/>
  <c r="P114" i="4"/>
  <c r="O114" i="4"/>
  <c r="N114" i="4"/>
  <c r="P779" i="4"/>
  <c r="O779" i="4"/>
  <c r="N779" i="4"/>
  <c r="P243" i="4"/>
  <c r="O243" i="4"/>
  <c r="N243" i="4"/>
  <c r="P112" i="4"/>
  <c r="O112" i="4"/>
  <c r="N112" i="4"/>
  <c r="P489" i="4"/>
  <c r="O489" i="4"/>
  <c r="N489" i="4"/>
  <c r="N777" i="4"/>
  <c r="P777" i="4"/>
  <c r="O777" i="4"/>
  <c r="N733" i="4"/>
  <c r="P733" i="4"/>
  <c r="O733" i="4"/>
  <c r="P242" i="4"/>
  <c r="O242" i="4"/>
  <c r="N242" i="4"/>
  <c r="P109" i="4"/>
  <c r="O109" i="4"/>
  <c r="N109" i="4"/>
  <c r="P50" i="4"/>
  <c r="O50" i="4"/>
  <c r="N50" i="4"/>
  <c r="N617" i="4"/>
  <c r="P617" i="4"/>
  <c r="O617" i="4"/>
  <c r="N701" i="4"/>
  <c r="P701" i="4"/>
  <c r="O701" i="4"/>
  <c r="N581" i="4"/>
  <c r="P581" i="4"/>
  <c r="O581" i="4"/>
  <c r="P290" i="4"/>
  <c r="O290" i="4"/>
  <c r="N290" i="4"/>
  <c r="P840" i="4"/>
  <c r="O840" i="4"/>
  <c r="N840" i="4"/>
  <c r="P129" i="4"/>
  <c r="O129" i="4"/>
  <c r="N129" i="4"/>
  <c r="P66" i="4"/>
  <c r="O66" i="4"/>
  <c r="N66" i="4"/>
  <c r="P219" i="4"/>
  <c r="O219" i="4"/>
  <c r="N219" i="4"/>
  <c r="P326" i="4"/>
  <c r="O326" i="4"/>
  <c r="N326" i="4"/>
  <c r="N573" i="4"/>
  <c r="P573" i="4"/>
  <c r="O573" i="4"/>
  <c r="P257" i="4"/>
  <c r="O257" i="4"/>
  <c r="N257" i="4"/>
  <c r="P407" i="4"/>
  <c r="O407" i="4"/>
  <c r="N407" i="4"/>
  <c r="N553" i="4"/>
  <c r="P553" i="4"/>
  <c r="O553" i="4"/>
  <c r="P183" i="4"/>
  <c r="O183" i="4"/>
  <c r="N183" i="4"/>
  <c r="P678" i="4"/>
  <c r="O678" i="4"/>
  <c r="N678" i="4"/>
  <c r="N825" i="4"/>
  <c r="P825" i="4"/>
  <c r="O825" i="4"/>
  <c r="P514" i="4"/>
  <c r="O514" i="4"/>
  <c r="N514" i="4"/>
  <c r="P203" i="4"/>
  <c r="O203" i="4"/>
  <c r="N203" i="4"/>
  <c r="P730" i="4"/>
  <c r="O730" i="4"/>
  <c r="N730" i="4"/>
  <c r="P652" i="4"/>
  <c r="O652" i="4"/>
  <c r="N652" i="4"/>
  <c r="P65" i="4"/>
  <c r="O65" i="4"/>
  <c r="N65" i="4"/>
  <c r="P839" i="4"/>
  <c r="O839" i="4"/>
  <c r="N839" i="4"/>
  <c r="P275" i="4"/>
  <c r="O275" i="4"/>
  <c r="N275" i="4"/>
  <c r="P644" i="4"/>
  <c r="O644" i="4"/>
  <c r="N644" i="4"/>
  <c r="P414" i="4"/>
  <c r="O414" i="4"/>
  <c r="N414" i="4"/>
  <c r="P426" i="4"/>
  <c r="O426" i="4"/>
  <c r="N426" i="4"/>
  <c r="P325" i="4"/>
  <c r="O325" i="4"/>
  <c r="N325" i="4"/>
  <c r="P341" i="4"/>
  <c r="O341" i="4"/>
  <c r="N341" i="4"/>
  <c r="P580" i="4"/>
  <c r="O580" i="4"/>
  <c r="N580" i="4"/>
  <c r="P144" i="4"/>
  <c r="O144" i="4"/>
  <c r="N144" i="4"/>
  <c r="P796" i="4"/>
  <c r="O796" i="4"/>
  <c r="N796" i="4"/>
  <c r="P34" i="4"/>
  <c r="O34" i="4"/>
  <c r="N34" i="4"/>
  <c r="P772" i="4"/>
  <c r="O772" i="4"/>
  <c r="N772" i="4"/>
  <c r="N661" i="4"/>
  <c r="P661" i="4"/>
  <c r="O661" i="4"/>
  <c r="P217" i="4"/>
  <c r="O217" i="4"/>
  <c r="N217" i="4"/>
  <c r="N541" i="4"/>
  <c r="P541" i="4"/>
  <c r="O541" i="4"/>
  <c r="P64" i="4"/>
  <c r="O64" i="4"/>
  <c r="N64" i="4"/>
  <c r="P643" i="4"/>
  <c r="O643" i="4"/>
  <c r="N643" i="4"/>
  <c r="P419" i="4"/>
  <c r="O419" i="4"/>
  <c r="N419" i="4"/>
  <c r="P413" i="4"/>
  <c r="O413" i="4"/>
  <c r="N413" i="4"/>
  <c r="P469" i="4"/>
  <c r="O469" i="4"/>
  <c r="N469" i="4"/>
  <c r="P771" i="4"/>
  <c r="O771" i="4"/>
  <c r="N771" i="4"/>
  <c r="P324" i="4"/>
  <c r="O324" i="4"/>
  <c r="N324" i="4"/>
  <c r="P364" i="4"/>
  <c r="O364" i="4"/>
  <c r="N364" i="4"/>
  <c r="P728" i="4"/>
  <c r="O728" i="4"/>
  <c r="N728" i="4"/>
  <c r="P233" i="4"/>
  <c r="O233" i="4"/>
  <c r="N233" i="4"/>
  <c r="P106" i="4"/>
  <c r="O106" i="4"/>
  <c r="N106" i="4"/>
  <c r="P726" i="4"/>
  <c r="O726" i="4"/>
  <c r="N726" i="4"/>
  <c r="P240" i="4"/>
  <c r="O240" i="4"/>
  <c r="N240" i="4"/>
  <c r="P722" i="4"/>
  <c r="O722" i="4"/>
  <c r="N722" i="4"/>
  <c r="P80" i="4"/>
  <c r="P96" i="4"/>
  <c r="P176" i="4"/>
  <c r="P267" i="4"/>
  <c r="P672" i="4"/>
  <c r="O672" i="4"/>
  <c r="N672" i="4"/>
  <c r="N52" i="4"/>
  <c r="O164" i="4"/>
  <c r="O228" i="4"/>
  <c r="O292" i="4"/>
  <c r="O482" i="4"/>
  <c r="P19" i="4"/>
  <c r="O19" i="4"/>
  <c r="N19" i="4"/>
  <c r="P531" i="4"/>
  <c r="O531" i="4"/>
  <c r="N531" i="4"/>
  <c r="P784" i="4"/>
  <c r="O784" i="4"/>
  <c r="N784" i="4"/>
  <c r="P258" i="4"/>
  <c r="O258" i="4"/>
  <c r="N258" i="4"/>
  <c r="P515" i="4"/>
  <c r="O515" i="4"/>
  <c r="N515" i="4"/>
  <c r="P278" i="4"/>
  <c r="O278" i="4"/>
  <c r="N278" i="4"/>
  <c r="N589" i="4"/>
  <c r="P589" i="4"/>
  <c r="O589" i="4"/>
  <c r="P291" i="4"/>
  <c r="O291" i="4"/>
  <c r="N291" i="4"/>
  <c r="P471" i="4"/>
  <c r="O471" i="4"/>
  <c r="N471" i="4"/>
  <c r="P675" i="4"/>
  <c r="O675" i="4"/>
  <c r="N675" i="4"/>
  <c r="P42" i="4"/>
  <c r="O42" i="4"/>
  <c r="N42" i="4"/>
  <c r="N637" i="4"/>
  <c r="P637" i="4"/>
  <c r="O637" i="4"/>
  <c r="P659" i="4"/>
  <c r="O659" i="4"/>
  <c r="N659" i="4"/>
  <c r="P724" i="4"/>
  <c r="O724" i="4"/>
  <c r="N724" i="4"/>
  <c r="P273" i="4"/>
  <c r="O273" i="4"/>
  <c r="N273" i="4"/>
  <c r="P72" i="4"/>
  <c r="O72" i="4"/>
  <c r="N72" i="4"/>
  <c r="P550" i="4"/>
  <c r="O550" i="4"/>
  <c r="N550" i="4"/>
  <c r="P286" i="4"/>
  <c r="O286" i="4"/>
  <c r="N286" i="4"/>
  <c r="P371" i="4"/>
  <c r="O371" i="4"/>
  <c r="N371" i="4"/>
  <c r="P135" i="4"/>
  <c r="O135" i="4"/>
  <c r="N135" i="4"/>
  <c r="P835" i="4"/>
  <c r="O835" i="4"/>
  <c r="N835" i="4"/>
  <c r="P443" i="4"/>
  <c r="O443" i="4"/>
  <c r="N443" i="4"/>
  <c r="P332" i="4"/>
  <c r="O332" i="4"/>
  <c r="N332" i="4"/>
  <c r="P245" i="4"/>
  <c r="O245" i="4"/>
  <c r="N245" i="4"/>
  <c r="N585" i="4"/>
  <c r="P585" i="4"/>
  <c r="O585" i="4"/>
  <c r="P603" i="4"/>
  <c r="O603" i="4"/>
  <c r="N603" i="4"/>
  <c r="P94" i="4"/>
  <c r="O94" i="4"/>
  <c r="N94" i="4"/>
  <c r="P512" i="4"/>
  <c r="O512" i="4"/>
  <c r="N512" i="4"/>
  <c r="P268" i="4"/>
  <c r="O268" i="4"/>
  <c r="N268" i="4"/>
  <c r="P385" i="4"/>
  <c r="O385" i="4"/>
  <c r="N385" i="4"/>
  <c r="P794" i="4"/>
  <c r="O794" i="4"/>
  <c r="N794" i="4"/>
  <c r="O52" i="4"/>
  <c r="P228" i="4"/>
  <c r="P57" i="4"/>
  <c r="P465" i="4"/>
  <c r="P308" i="4"/>
  <c r="P367" i="4"/>
  <c r="P91" i="4"/>
  <c r="N24" i="4"/>
  <c r="N40" i="4"/>
  <c r="N120" i="4"/>
  <c r="N168" i="4"/>
  <c r="N216" i="4"/>
  <c r="N248" i="4"/>
  <c r="N264" i="4"/>
  <c r="N310" i="4"/>
  <c r="N406" i="4"/>
  <c r="N454" i="4"/>
  <c r="O677" i="4"/>
  <c r="P453" i="4"/>
  <c r="O453" i="4"/>
  <c r="N453" i="4"/>
  <c r="P375" i="4"/>
  <c r="O375" i="4"/>
  <c r="N375" i="4"/>
  <c r="P748" i="4"/>
  <c r="O748" i="4"/>
  <c r="N748" i="4"/>
  <c r="O24" i="4"/>
  <c r="O40" i="4"/>
  <c r="O120" i="4"/>
  <c r="O168" i="4"/>
  <c r="O216" i="4"/>
  <c r="O248" i="4"/>
  <c r="O264" i="4"/>
  <c r="O310" i="4"/>
  <c r="O406" i="4"/>
  <c r="O454" i="4"/>
  <c r="P534" i="4"/>
  <c r="O534" i="4"/>
  <c r="N534" i="4"/>
  <c r="P409" i="4"/>
  <c r="P347" i="4"/>
  <c r="P298" i="4"/>
  <c r="P660" i="4"/>
  <c r="O660" i="4"/>
  <c r="N660" i="4"/>
  <c r="P540" i="4"/>
  <c r="O540" i="4"/>
  <c r="N540" i="4"/>
  <c r="P526" i="4"/>
  <c r="O526" i="4"/>
  <c r="N526" i="4"/>
  <c r="P323" i="4"/>
  <c r="O323" i="4"/>
  <c r="N323" i="4"/>
  <c r="P572" i="4"/>
  <c r="O572" i="4"/>
  <c r="N572" i="4"/>
  <c r="P551" i="4"/>
  <c r="O551" i="4"/>
  <c r="N551" i="4"/>
  <c r="P182" i="4"/>
  <c r="O182" i="4"/>
  <c r="N182" i="4"/>
  <c r="N677" i="4"/>
  <c r="P824" i="4"/>
  <c r="O824" i="4"/>
  <c r="N824" i="4"/>
  <c r="N513" i="4"/>
  <c r="P513" i="4"/>
  <c r="P202" i="4"/>
  <c r="O202" i="4"/>
  <c r="N202" i="4"/>
  <c r="N721" i="4"/>
  <c r="P721" i="4"/>
  <c r="O721" i="4"/>
  <c r="P650" i="4"/>
  <c r="O650" i="4"/>
  <c r="N650" i="4"/>
  <c r="P62" i="4"/>
  <c r="O62" i="4"/>
  <c r="N62" i="4"/>
  <c r="P836" i="4"/>
  <c r="O836" i="4"/>
  <c r="N836" i="4"/>
  <c r="P642" i="4"/>
  <c r="O642" i="4"/>
  <c r="N642" i="4"/>
  <c r="P412" i="4"/>
  <c r="O412" i="4"/>
  <c r="N412" i="4"/>
  <c r="P424" i="4"/>
  <c r="O424" i="4"/>
  <c r="N424" i="4"/>
  <c r="P339" i="4"/>
  <c r="O339" i="4"/>
  <c r="N339" i="4"/>
  <c r="P303" i="4"/>
  <c r="O303" i="4"/>
  <c r="N303" i="4"/>
  <c r="N697" i="4"/>
  <c r="P697" i="4"/>
  <c r="O697" i="4"/>
  <c r="P815" i="4"/>
  <c r="O815" i="4"/>
  <c r="N815" i="4"/>
  <c r="P802" i="4"/>
  <c r="O802" i="4"/>
  <c r="N802" i="4"/>
  <c r="P799" i="4"/>
  <c r="O799" i="4"/>
  <c r="N799" i="4"/>
  <c r="P806" i="4"/>
  <c r="O806" i="4"/>
  <c r="N806" i="4"/>
  <c r="P795" i="4"/>
  <c r="O795" i="4"/>
  <c r="N795" i="4"/>
  <c r="P33" i="4"/>
  <c r="O33" i="4"/>
  <c r="N33" i="4"/>
  <c r="P45" i="4"/>
  <c r="O45" i="4"/>
  <c r="N45" i="4"/>
  <c r="P123" i="4"/>
  <c r="O123" i="4"/>
  <c r="N123" i="4"/>
  <c r="P166" i="4"/>
  <c r="O166" i="4"/>
  <c r="N166" i="4"/>
  <c r="P79" i="4"/>
  <c r="O79" i="4"/>
  <c r="N79" i="4"/>
  <c r="P271" i="4"/>
  <c r="O271" i="4"/>
  <c r="N271" i="4"/>
  <c r="P457" i="4"/>
  <c r="O457" i="4"/>
  <c r="N457" i="4"/>
  <c r="P467" i="4"/>
  <c r="O467" i="4"/>
  <c r="N467" i="4"/>
  <c r="N761" i="4"/>
  <c r="P761" i="4"/>
  <c r="O761" i="4"/>
  <c r="P401" i="4"/>
  <c r="O401" i="4"/>
  <c r="N401" i="4"/>
  <c r="P718" i="4"/>
  <c r="O718" i="4"/>
  <c r="N718" i="4"/>
  <c r="P667" i="4"/>
  <c r="O667" i="4"/>
  <c r="N667" i="4"/>
  <c r="P225" i="4"/>
  <c r="O225" i="4"/>
  <c r="N225" i="4"/>
  <c r="P98" i="4"/>
  <c r="O98" i="4"/>
  <c r="N98" i="4"/>
  <c r="N757" i="4"/>
  <c r="P757" i="4"/>
  <c r="O757" i="4"/>
  <c r="P238" i="4"/>
  <c r="O238" i="4"/>
  <c r="N238" i="4"/>
  <c r="P615" i="4"/>
  <c r="O615" i="4"/>
  <c r="N615" i="4"/>
  <c r="P696" i="4"/>
  <c r="O696" i="4"/>
  <c r="N696" i="4"/>
  <c r="N577" i="4"/>
  <c r="P577" i="4"/>
  <c r="O577" i="4"/>
  <c r="P834" i="4"/>
  <c r="O834" i="4"/>
  <c r="N834" i="4"/>
  <c r="P121" i="4"/>
  <c r="O121" i="4"/>
  <c r="N121" i="4"/>
  <c r="N657" i="4"/>
  <c r="P657" i="4"/>
  <c r="N537" i="4"/>
  <c r="P537" i="4"/>
  <c r="N525" i="4"/>
  <c r="P525" i="4"/>
  <c r="O525" i="4"/>
  <c r="P320" i="4"/>
  <c r="O320" i="4"/>
  <c r="N320" i="4"/>
  <c r="P571" i="4"/>
  <c r="O571" i="4"/>
  <c r="N571" i="4"/>
  <c r="P598" i="4"/>
  <c r="O598" i="4"/>
  <c r="N598" i="4"/>
  <c r="P22" i="4"/>
  <c r="O22" i="4"/>
  <c r="N22" i="4"/>
  <c r="P269" i="4"/>
  <c r="O269" i="4"/>
  <c r="N269" i="4"/>
  <c r="P295" i="4"/>
  <c r="O295" i="4"/>
  <c r="N295" i="4"/>
  <c r="P602" i="4"/>
  <c r="O602" i="4"/>
  <c r="N602" i="4"/>
  <c r="P475" i="4"/>
  <c r="O475" i="4"/>
  <c r="N475" i="4"/>
  <c r="P316" i="4"/>
  <c r="O316" i="4"/>
  <c r="N316" i="4"/>
  <c r="N753" i="4"/>
  <c r="P753" i="4"/>
  <c r="N561" i="4"/>
  <c r="P561" i="4"/>
  <c r="P11" i="4"/>
  <c r="O11" i="4"/>
  <c r="N11" i="4"/>
  <c r="P594" i="4"/>
  <c r="O594" i="4"/>
  <c r="N594" i="4"/>
  <c r="P827" i="4"/>
  <c r="O827" i="4"/>
  <c r="N827" i="4"/>
  <c r="P187" i="4"/>
  <c r="O187" i="4"/>
  <c r="N187" i="4"/>
  <c r="P10" i="4"/>
  <c r="O10" i="4"/>
  <c r="N10" i="4"/>
  <c r="P473" i="4"/>
  <c r="O473" i="4"/>
  <c r="N473" i="4"/>
  <c r="P163" i="4"/>
  <c r="O163" i="4"/>
  <c r="N163" i="4"/>
  <c r="P535" i="4"/>
  <c r="O535" i="4"/>
  <c r="N535" i="4"/>
  <c r="P211" i="4"/>
  <c r="O211" i="4"/>
  <c r="N211" i="4"/>
  <c r="P376" i="4"/>
  <c r="O376" i="4"/>
  <c r="N376" i="4"/>
  <c r="P331" i="4"/>
  <c r="O331" i="4"/>
  <c r="N331" i="4"/>
  <c r="P344" i="4"/>
  <c r="O344" i="4"/>
  <c r="N344" i="4"/>
  <c r="P624" i="4"/>
  <c r="O624" i="4"/>
  <c r="N624" i="4"/>
  <c r="P576" i="4"/>
  <c r="O576" i="4"/>
  <c r="N576" i="4"/>
  <c r="N801" i="4"/>
  <c r="P801" i="4"/>
  <c r="P798" i="4"/>
  <c r="O798" i="4"/>
  <c r="N798" i="4"/>
  <c r="P150" i="4"/>
  <c r="O150" i="4"/>
  <c r="N150" i="4"/>
  <c r="N789" i="4"/>
  <c r="P789" i="4"/>
  <c r="O789" i="4"/>
  <c r="P751" i="4"/>
  <c r="O751" i="4"/>
  <c r="N751" i="4"/>
  <c r="P655" i="4"/>
  <c r="O655" i="4"/>
  <c r="N655" i="4"/>
  <c r="P210" i="4"/>
  <c r="O210" i="4"/>
  <c r="N210" i="4"/>
  <c r="P635" i="4"/>
  <c r="O635" i="4"/>
  <c r="N635" i="4"/>
  <c r="P400" i="4"/>
  <c r="O400" i="4"/>
  <c r="N400" i="4"/>
  <c r="P229" i="4"/>
  <c r="O229" i="4"/>
  <c r="N229" i="4"/>
  <c r="N705" i="4"/>
  <c r="P705" i="4"/>
  <c r="N12" i="4"/>
  <c r="N60" i="4"/>
  <c r="N76" i="4"/>
  <c r="N124" i="4"/>
  <c r="N188" i="4"/>
  <c r="N284" i="4"/>
  <c r="N362" i="4"/>
  <c r="N378" i="4"/>
  <c r="N442" i="4"/>
  <c r="N458" i="4"/>
  <c r="N490" i="4"/>
  <c r="P417" i="4"/>
  <c r="P421" i="4"/>
  <c r="P353" i="4"/>
  <c r="P47" i="4"/>
  <c r="O12" i="4"/>
  <c r="O60" i="4"/>
  <c r="O76" i="4"/>
  <c r="O124" i="4"/>
  <c r="O188" i="4"/>
  <c r="O284" i="4"/>
  <c r="O362" i="4"/>
  <c r="O378" i="4"/>
  <c r="O442" i="4"/>
  <c r="O458" i="4"/>
  <c r="O490" i="4"/>
  <c r="P600" i="4"/>
  <c r="O600" i="4"/>
  <c r="N600" i="4"/>
  <c r="P118" i="4"/>
  <c r="O118" i="4"/>
  <c r="N118" i="4"/>
  <c r="N709" i="4"/>
  <c r="P709" i="4"/>
  <c r="O709" i="4"/>
  <c r="P90" i="4"/>
  <c r="O90" i="4"/>
  <c r="N90" i="4"/>
  <c r="P619" i="4"/>
  <c r="O619" i="4"/>
  <c r="N619" i="4"/>
  <c r="O513" i="4"/>
  <c r="O705" i="4"/>
  <c r="O801" i="4"/>
  <c r="P463" i="4"/>
  <c r="P429" i="4"/>
  <c r="P392" i="4"/>
  <c r="P89" i="4"/>
  <c r="N48" i="4"/>
  <c r="N80" i="4"/>
  <c r="N96" i="4"/>
  <c r="N176" i="4"/>
  <c r="N256" i="4"/>
  <c r="N272" i="4"/>
  <c r="N302" i="4"/>
  <c r="N430" i="4"/>
  <c r="O821" i="4"/>
  <c r="P674" i="4"/>
  <c r="O674" i="4"/>
  <c r="N674" i="4"/>
  <c r="N725" i="4"/>
  <c r="P246" i="4"/>
  <c r="O246" i="4"/>
  <c r="N246" i="4"/>
  <c r="P103" i="4"/>
  <c r="O103" i="4"/>
  <c r="N103" i="4"/>
  <c r="N765" i="4"/>
  <c r="P765" i="4"/>
  <c r="O765" i="4"/>
  <c r="P304" i="4"/>
  <c r="O304" i="4"/>
  <c r="N304" i="4"/>
  <c r="P54" i="4"/>
  <c r="O54" i="4"/>
  <c r="N54" i="4"/>
  <c r="P687" i="4"/>
  <c r="O687" i="4"/>
  <c r="N687" i="4"/>
  <c r="P592" i="4"/>
  <c r="O592" i="4"/>
  <c r="N592" i="4"/>
  <c r="P81" i="4"/>
  <c r="O81" i="4"/>
  <c r="N81" i="4"/>
  <c r="P764" i="4"/>
  <c r="O764" i="4"/>
  <c r="N764" i="4"/>
  <c r="P178" i="4"/>
  <c r="O178" i="4"/>
  <c r="N178" i="4"/>
  <c r="P63" i="4"/>
  <c r="O63" i="4"/>
  <c r="N63" i="4"/>
  <c r="P380" i="4"/>
  <c r="O380" i="4"/>
  <c r="N380" i="4"/>
  <c r="P698" i="4"/>
  <c r="O698" i="4"/>
  <c r="N698" i="4"/>
  <c r="P562" i="4"/>
  <c r="O562" i="4"/>
  <c r="N562" i="4"/>
  <c r="P13" i="4"/>
  <c r="O13" i="4"/>
  <c r="N13" i="4"/>
  <c r="P190" i="4"/>
  <c r="O190" i="4"/>
  <c r="N190" i="4"/>
  <c r="P595" i="4"/>
  <c r="O595" i="4"/>
  <c r="N595" i="4"/>
  <c r="P828" i="4"/>
  <c r="O828" i="4"/>
  <c r="N828" i="4"/>
  <c r="P189" i="4"/>
  <c r="O189" i="4"/>
  <c r="N189" i="4"/>
  <c r="P477" i="4"/>
  <c r="O477" i="4"/>
  <c r="N477" i="4"/>
  <c r="P167" i="4"/>
  <c r="O167" i="4"/>
  <c r="N167" i="4"/>
  <c r="P539" i="4"/>
  <c r="O539" i="4"/>
  <c r="N539" i="4"/>
  <c r="P215" i="4"/>
  <c r="O215" i="4"/>
  <c r="N215" i="4"/>
  <c r="P432" i="4"/>
  <c r="O432" i="4"/>
  <c r="N432" i="4"/>
  <c r="P444" i="4"/>
  <c r="O444" i="4"/>
  <c r="N444" i="4"/>
  <c r="P379" i="4"/>
  <c r="O379" i="4"/>
  <c r="N379" i="4"/>
  <c r="P356" i="4"/>
  <c r="O356" i="4"/>
  <c r="N356" i="4"/>
  <c r="P333" i="4"/>
  <c r="O333" i="4"/>
  <c r="N333" i="4"/>
  <c r="P345" i="4"/>
  <c r="O345" i="4"/>
  <c r="N345" i="4"/>
  <c r="N625" i="4"/>
  <c r="P625" i="4"/>
  <c r="O625" i="4"/>
  <c r="P578" i="4"/>
  <c r="O578" i="4"/>
  <c r="N578" i="4"/>
  <c r="P811" i="4"/>
  <c r="O811" i="4"/>
  <c r="N811" i="4"/>
  <c r="N809" i="4"/>
  <c r="P809" i="4"/>
  <c r="O809" i="4"/>
  <c r="P818" i="4"/>
  <c r="O818" i="4"/>
  <c r="N818" i="4"/>
  <c r="P790" i="4"/>
  <c r="O790" i="4"/>
  <c r="N790" i="4"/>
  <c r="P25" i="4"/>
  <c r="O25" i="4"/>
  <c r="N25" i="4"/>
  <c r="P762" i="4"/>
  <c r="O762" i="4"/>
  <c r="N762" i="4"/>
  <c r="P658" i="4"/>
  <c r="O658" i="4"/>
  <c r="N658" i="4"/>
  <c r="P214" i="4"/>
  <c r="O214" i="4"/>
  <c r="N214" i="4"/>
  <c r="P538" i="4"/>
  <c r="O538" i="4"/>
  <c r="N538" i="4"/>
  <c r="P61" i="4"/>
  <c r="O61" i="4"/>
  <c r="N61" i="4"/>
  <c r="N641" i="4"/>
  <c r="P641" i="4"/>
  <c r="O641" i="4"/>
  <c r="P411" i="4"/>
  <c r="O411" i="4"/>
  <c r="N411" i="4"/>
  <c r="P423" i="4"/>
  <c r="O423" i="4"/>
  <c r="N423" i="4"/>
  <c r="P720" i="4"/>
  <c r="O720" i="4"/>
  <c r="N720" i="4"/>
  <c r="P351" i="4"/>
  <c r="O351" i="4"/>
  <c r="N351" i="4"/>
  <c r="P355" i="4"/>
  <c r="O355" i="4"/>
  <c r="N355" i="4"/>
  <c r="P348" i="4"/>
  <c r="O348" i="4"/>
  <c r="N348" i="4"/>
  <c r="P299" i="4"/>
  <c r="O299" i="4"/>
  <c r="N299" i="4"/>
  <c r="P760" i="4"/>
  <c r="O760" i="4"/>
  <c r="N760" i="4"/>
  <c r="P239" i="4"/>
  <c r="O239" i="4"/>
  <c r="N239" i="4"/>
  <c r="P99" i="4"/>
  <c r="O99" i="4"/>
  <c r="N99" i="4"/>
  <c r="P487" i="4"/>
  <c r="O487" i="4"/>
  <c r="N487" i="4"/>
  <c r="P758" i="4"/>
  <c r="O758" i="4"/>
  <c r="N758" i="4"/>
  <c r="P716" i="4"/>
  <c r="O716" i="4"/>
  <c r="N716" i="4"/>
  <c r="P230" i="4"/>
  <c r="O230" i="4"/>
  <c r="N230" i="4"/>
  <c r="P756" i="4"/>
  <c r="O756" i="4"/>
  <c r="N756" i="4"/>
  <c r="P53" i="4"/>
  <c r="O53" i="4"/>
  <c r="N53" i="4"/>
  <c r="N685" i="4"/>
  <c r="P685" i="4"/>
  <c r="O685" i="4"/>
  <c r="P591" i="4"/>
  <c r="O591" i="4"/>
  <c r="N591" i="4"/>
  <c r="P78" i="4"/>
  <c r="O78" i="4"/>
  <c r="N78" i="4"/>
  <c r="P165" i="4"/>
  <c r="O165" i="4"/>
  <c r="N165" i="4"/>
  <c r="P755" i="4"/>
  <c r="O755" i="4"/>
  <c r="N755" i="4"/>
  <c r="P177" i="4"/>
  <c r="O177" i="4"/>
  <c r="N177" i="4"/>
  <c r="P213" i="4"/>
  <c r="O213" i="4"/>
  <c r="N213" i="4"/>
  <c r="P377" i="4"/>
  <c r="O377" i="4"/>
  <c r="N377" i="4"/>
  <c r="P695" i="4"/>
  <c r="O695" i="4"/>
  <c r="N695" i="4"/>
  <c r="P259" i="4"/>
  <c r="O259" i="4"/>
  <c r="N259" i="4"/>
  <c r="P627" i="4"/>
  <c r="O627" i="4"/>
  <c r="N627" i="4"/>
  <c r="P283" i="4"/>
  <c r="O283" i="4"/>
  <c r="N283" i="4"/>
  <c r="N833" i="4"/>
  <c r="P833" i="4"/>
  <c r="O833" i="4"/>
  <c r="P536" i="4"/>
  <c r="O536" i="4"/>
  <c r="N536" i="4"/>
  <c r="P496" i="4"/>
  <c r="O496" i="4"/>
  <c r="N496" i="4"/>
  <c r="P508" i="4"/>
  <c r="O508" i="4"/>
  <c r="N508" i="4"/>
  <c r="P754" i="4"/>
  <c r="O754" i="4"/>
  <c r="N754" i="4"/>
  <c r="P712" i="4"/>
  <c r="O712" i="4"/>
  <c r="N712" i="4"/>
  <c r="P568" i="4"/>
  <c r="O568" i="4"/>
  <c r="N568" i="4"/>
  <c r="P153" i="4"/>
  <c r="O153" i="4"/>
  <c r="N153" i="4"/>
  <c r="P516" i="4"/>
  <c r="O516" i="4"/>
  <c r="N516" i="4"/>
  <c r="P3" i="4"/>
  <c r="O3" i="4"/>
  <c r="N3" i="4"/>
  <c r="P548" i="4"/>
  <c r="O548" i="4"/>
  <c r="N548" i="4"/>
  <c r="P2" i="4"/>
  <c r="O2" i="4"/>
  <c r="N2" i="4"/>
  <c r="P752" i="4"/>
  <c r="O752" i="4"/>
  <c r="N752" i="4"/>
  <c r="P656" i="4"/>
  <c r="O656" i="4"/>
  <c r="N656" i="4"/>
  <c r="P495" i="4"/>
  <c r="O495" i="4"/>
  <c r="N495" i="4"/>
  <c r="P282" i="4"/>
  <c r="O282" i="4"/>
  <c r="N282" i="4"/>
  <c r="N601" i="4"/>
  <c r="P601" i="4"/>
  <c r="O601" i="4"/>
  <c r="P309" i="4"/>
  <c r="O309" i="4"/>
  <c r="N309" i="4"/>
  <c r="P388" i="4"/>
  <c r="O388" i="4"/>
  <c r="N388" i="4"/>
  <c r="P369" i="4"/>
  <c r="O369" i="4"/>
  <c r="N369" i="4"/>
  <c r="P684" i="4"/>
  <c r="O684" i="4"/>
  <c r="N684" i="4"/>
  <c r="P584" i="4"/>
  <c r="O584" i="4"/>
  <c r="N584" i="4"/>
  <c r="P142" i="4"/>
  <c r="O142" i="4"/>
  <c r="N142" i="4"/>
  <c r="P808" i="4"/>
  <c r="O808" i="4"/>
  <c r="N808" i="4"/>
  <c r="P820" i="4"/>
  <c r="O820" i="4"/>
  <c r="N820" i="4"/>
  <c r="P146" i="4"/>
  <c r="O146" i="4"/>
  <c r="N146" i="4"/>
  <c r="P27" i="4"/>
  <c r="O27" i="4"/>
  <c r="N27" i="4"/>
  <c r="P647" i="4"/>
  <c r="O647" i="4"/>
  <c r="N647" i="4"/>
  <c r="P831" i="4"/>
  <c r="O831" i="4"/>
  <c r="N831" i="4"/>
  <c r="P281" i="4"/>
  <c r="O281" i="4"/>
  <c r="N281" i="4"/>
  <c r="P472" i="4"/>
  <c r="O472" i="4"/>
  <c r="N472" i="4"/>
  <c r="P361" i="4"/>
  <c r="O361" i="4"/>
  <c r="N361" i="4"/>
  <c r="P583" i="4"/>
  <c r="O583" i="4"/>
  <c r="N583" i="4"/>
  <c r="O48" i="4"/>
  <c r="O80" i="4"/>
  <c r="O96" i="4"/>
  <c r="O176" i="4"/>
  <c r="O256" i="4"/>
  <c r="O272" i="4"/>
  <c r="O302" i="4"/>
  <c r="O430" i="4"/>
  <c r="P725" i="4"/>
  <c r="P821" i="4"/>
  <c r="P437" i="4"/>
  <c r="P93" i="4"/>
  <c r="O537" i="4"/>
  <c r="N57" i="4"/>
  <c r="N89" i="4"/>
  <c r="N93" i="4"/>
  <c r="N237" i="4"/>
  <c r="N347" i="4"/>
  <c r="N367" i="4"/>
  <c r="N463" i="4"/>
  <c r="O57" i="4"/>
  <c r="O89" i="4"/>
  <c r="O93" i="4"/>
  <c r="O237" i="4"/>
  <c r="O347" i="4"/>
  <c r="O367" i="4"/>
  <c r="O463" i="4"/>
  <c r="P750" i="4"/>
  <c r="O750" i="4"/>
  <c r="N750" i="4"/>
  <c r="P708" i="4"/>
  <c r="O708" i="4"/>
  <c r="N708" i="4"/>
  <c r="P666" i="4"/>
  <c r="O666" i="4"/>
  <c r="N666" i="4"/>
  <c r="P746" i="4"/>
  <c r="O746" i="4"/>
  <c r="N746" i="4"/>
  <c r="P614" i="4"/>
  <c r="O614" i="4"/>
  <c r="N614" i="4"/>
  <c r="N693" i="4"/>
  <c r="P575" i="4"/>
  <c r="O575" i="4"/>
  <c r="N575" i="4"/>
  <c r="N298" i="4"/>
  <c r="N308" i="4"/>
  <c r="N392" i="4"/>
  <c r="N396" i="4"/>
  <c r="O298" i="4"/>
  <c r="O308" i="4"/>
  <c r="O392" i="4"/>
  <c r="O396" i="4"/>
  <c r="O693" i="4"/>
  <c r="N47" i="4"/>
  <c r="N75" i="4"/>
  <c r="N91" i="4"/>
  <c r="N263" i="4"/>
  <c r="N267" i="4"/>
  <c r="N353" i="4"/>
  <c r="N409" i="4"/>
  <c r="N417" i="4"/>
  <c r="N421" i="4"/>
  <c r="N429" i="4"/>
  <c r="N437" i="4"/>
  <c r="N465" i="4"/>
  <c r="P693" i="4"/>
  <c r="P639" i="4"/>
  <c r="O639" i="4"/>
  <c r="N639" i="4"/>
  <c r="P710" i="4"/>
  <c r="O710" i="4"/>
  <c r="N710" i="4"/>
  <c r="N749" i="4"/>
  <c r="P747" i="4"/>
  <c r="O747" i="4"/>
  <c r="N747" i="4"/>
  <c r="P706" i="4"/>
  <c r="O706" i="4"/>
  <c r="N706" i="4"/>
  <c r="N745" i="4"/>
  <c r="P683" i="4"/>
  <c r="O683" i="4"/>
  <c r="N683" i="4"/>
  <c r="P590" i="4"/>
  <c r="O590" i="4"/>
  <c r="N590" i="4"/>
  <c r="O47" i="4"/>
  <c r="O75" i="4"/>
  <c r="O91" i="4"/>
  <c r="O263" i="4"/>
  <c r="O267" i="4"/>
  <c r="O353" i="4"/>
  <c r="O409" i="4"/>
  <c r="O417" i="4"/>
  <c r="O421" i="4"/>
  <c r="O429" i="4"/>
  <c r="O437" i="4"/>
  <c r="O465" i="4"/>
  <c r="O745" i="4"/>
  <c r="P745" i="4"/>
  <c r="K230" i="19" l="1"/>
  <c r="K232" i="19" s="1"/>
  <c r="D228" i="19" s="1"/>
  <c r="M14" i="19"/>
  <c r="M18" i="19" s="1"/>
  <c r="A313" i="19"/>
  <c r="C313" i="19" s="1"/>
  <c r="A308" i="19"/>
  <c r="B308" i="19" s="1"/>
  <c r="A303" i="19"/>
  <c r="C303" i="19" s="1"/>
  <c r="A298" i="19"/>
  <c r="B298" i="19" s="1"/>
  <c r="A293" i="19"/>
  <c r="C293" i="19" s="1"/>
  <c r="A288" i="19"/>
  <c r="B288" i="19" s="1"/>
  <c r="A283" i="19"/>
  <c r="C283" i="19" s="1"/>
  <c r="A278" i="19"/>
  <c r="B278" i="19" s="1"/>
  <c r="A273" i="19"/>
  <c r="C273" i="19" s="1"/>
  <c r="A268" i="19"/>
  <c r="B268" i="19" s="1"/>
  <c r="A263" i="19"/>
  <c r="C263" i="19" s="1"/>
  <c r="A258" i="19"/>
  <c r="B258" i="19" s="1"/>
  <c r="A253" i="19"/>
  <c r="C253" i="19" s="1"/>
  <c r="A248" i="19"/>
  <c r="B248" i="19" s="1"/>
  <c r="A243" i="19"/>
  <c r="C243" i="19" s="1"/>
  <c r="A238" i="19"/>
  <c r="B238" i="19" s="1"/>
  <c r="J235" i="19"/>
  <c r="A233" i="19"/>
  <c r="B233" i="19" s="1"/>
  <c r="A228" i="19"/>
  <c r="C228" i="19" s="1"/>
  <c r="A223" i="19"/>
  <c r="C223" i="19" s="1"/>
  <c r="A218" i="19"/>
  <c r="B218" i="19" s="1"/>
  <c r="A213" i="19"/>
  <c r="C213" i="19" s="1"/>
  <c r="A207" i="19"/>
  <c r="C207" i="19" s="1"/>
  <c r="A202" i="19"/>
  <c r="C202" i="19" s="1"/>
  <c r="A197" i="19"/>
  <c r="B197" i="19" s="1"/>
  <c r="A192" i="19"/>
  <c r="C192" i="19" s="1"/>
  <c r="A187" i="19"/>
  <c r="C187" i="19" s="1"/>
  <c r="A182" i="19"/>
  <c r="C182" i="19" s="1"/>
  <c r="A181" i="19"/>
  <c r="B181" i="19" s="1"/>
  <c r="A180" i="19"/>
  <c r="B180" i="19" s="1"/>
  <c r="A175" i="19"/>
  <c r="B175" i="19" s="1"/>
  <c r="A170" i="19"/>
  <c r="C170" i="19" s="1"/>
  <c r="A169" i="19"/>
  <c r="B169" i="19" s="1"/>
  <c r="A165" i="19"/>
  <c r="B165" i="19" s="1"/>
  <c r="A161" i="19"/>
  <c r="C161" i="19" s="1"/>
  <c r="A157" i="19"/>
  <c r="C157" i="19" s="1"/>
  <c r="A153" i="19"/>
  <c r="C153" i="19" s="1"/>
  <c r="A149" i="19"/>
  <c r="B149" i="19" s="1"/>
  <c r="A145" i="19"/>
  <c r="C145" i="19" s="1"/>
  <c r="A141" i="19"/>
  <c r="C141" i="19" s="1"/>
  <c r="A137" i="19"/>
  <c r="C137" i="19" s="1"/>
  <c r="A133" i="19"/>
  <c r="B133" i="19" s="1"/>
  <c r="A129" i="19"/>
  <c r="C129" i="19" s="1"/>
  <c r="A125" i="19"/>
  <c r="C125" i="19" s="1"/>
  <c r="A121" i="19"/>
  <c r="C121" i="19" s="1"/>
  <c r="A111" i="19"/>
  <c r="B111" i="19" s="1"/>
  <c r="A110" i="19"/>
  <c r="B110" i="19" s="1"/>
  <c r="A106" i="19"/>
  <c r="C106" i="19" s="1"/>
  <c r="A102" i="19"/>
  <c r="B102" i="19" s="1"/>
  <c r="A98" i="19"/>
  <c r="C98" i="19" s="1"/>
  <c r="A97" i="19"/>
  <c r="B97" i="19" s="1"/>
  <c r="A93" i="19"/>
  <c r="B93" i="19" s="1"/>
  <c r="A89" i="19"/>
  <c r="C89" i="19" s="1"/>
  <c r="A88" i="19"/>
  <c r="B88" i="19" s="1"/>
  <c r="A84" i="19"/>
  <c r="B84" i="19" s="1"/>
  <c r="A80" i="19"/>
  <c r="C80" i="19" s="1"/>
  <c r="A76" i="19"/>
  <c r="C76" i="19" s="1"/>
  <c r="A75" i="19"/>
  <c r="B75" i="19" s="1"/>
  <c r="A71" i="19"/>
  <c r="C71" i="19" s="1"/>
  <c r="A70" i="19"/>
  <c r="B70" i="19" s="1"/>
  <c r="A66" i="19"/>
  <c r="B66" i="19" s="1"/>
  <c r="A62" i="19"/>
  <c r="C62" i="19" s="1"/>
  <c r="A61" i="19"/>
  <c r="B61" i="19" s="1"/>
  <c r="A60" i="19"/>
  <c r="B60" i="19" s="1"/>
  <c r="A56" i="19"/>
  <c r="B56" i="19" s="1"/>
  <c r="A52" i="19"/>
  <c r="C52" i="19" s="1"/>
  <c r="A48" i="19"/>
  <c r="C48" i="19" s="1"/>
  <c r="A44" i="19"/>
  <c r="C44" i="19" s="1"/>
  <c r="A43" i="19"/>
  <c r="B43" i="19" s="1"/>
  <c r="A39" i="19"/>
  <c r="B39" i="19" s="1"/>
  <c r="A35" i="19"/>
  <c r="C35" i="19" s="1"/>
  <c r="A31" i="19"/>
  <c r="C31" i="19" s="1"/>
  <c r="A30" i="19"/>
  <c r="B30" i="19" s="1"/>
  <c r="A26" i="19"/>
  <c r="C26" i="19" s="1"/>
  <c r="A25" i="19"/>
  <c r="B25" i="19" s="1"/>
  <c r="A21" i="19"/>
  <c r="C21" i="19" s="1"/>
  <c r="C17" i="19"/>
  <c r="A13" i="19"/>
  <c r="C13" i="19" s="1"/>
  <c r="A9" i="19"/>
  <c r="C9" i="19" s="1"/>
  <c r="A8" i="19"/>
  <c r="B8" i="19" s="1"/>
  <c r="A7" i="19"/>
  <c r="B7" i="19" s="1"/>
  <c r="A6" i="19"/>
  <c r="M300" i="19"/>
  <c r="F300" i="19"/>
  <c r="F305" i="19" s="1"/>
  <c r="F310" i="19" s="1"/>
  <c r="E300" i="19"/>
  <c r="E305" i="19" s="1"/>
  <c r="E310" i="19" s="1"/>
  <c r="M292" i="19"/>
  <c r="D288" i="19" s="1"/>
  <c r="M287" i="19"/>
  <c r="D283" i="19" s="1"/>
  <c r="M282" i="19"/>
  <c r="D278" i="19" s="1"/>
  <c r="M277" i="19"/>
  <c r="D273" i="19" s="1"/>
  <c r="M272" i="19"/>
  <c r="D268" i="19" s="1"/>
  <c r="M267" i="19"/>
  <c r="D263" i="19" s="1"/>
  <c r="M262" i="19"/>
  <c r="D258" i="19" s="1"/>
  <c r="N257" i="19"/>
  <c r="D253" i="19" s="1"/>
  <c r="N252" i="19"/>
  <c r="D248" i="19" s="1"/>
  <c r="N247" i="19"/>
  <c r="D243" i="19" s="1"/>
  <c r="J240" i="19"/>
  <c r="K240" i="19" s="1"/>
  <c r="K242" i="19" s="1"/>
  <c r="D238" i="19" s="1"/>
  <c r="K235" i="19"/>
  <c r="K237" i="19" s="1"/>
  <c r="D233" i="19" s="1"/>
  <c r="N227" i="19"/>
  <c r="D223" i="19" s="1"/>
  <c r="M222" i="19"/>
  <c r="D218" i="19" s="1"/>
  <c r="N220" i="19"/>
  <c r="M217" i="19"/>
  <c r="D213" i="19" s="1"/>
  <c r="N215" i="19"/>
  <c r="I209" i="19"/>
  <c r="N209" i="19" s="1"/>
  <c r="N206" i="19"/>
  <c r="D202" i="19" s="1"/>
  <c r="N184" i="19"/>
  <c r="N189" i="19" s="1"/>
  <c r="O189" i="19" s="1"/>
  <c r="O191" i="19" s="1"/>
  <c r="M179" i="19"/>
  <c r="N177" i="19"/>
  <c r="O177" i="19" s="1"/>
  <c r="O179" i="19" s="1"/>
  <c r="M174" i="19"/>
  <c r="D170" i="19" s="1"/>
  <c r="N120" i="19"/>
  <c r="N122" i="19" s="1"/>
  <c r="O122" i="19" s="1"/>
  <c r="O124" i="19" s="1"/>
  <c r="M107" i="19"/>
  <c r="M109" i="19" s="1"/>
  <c r="D106" i="19" s="1"/>
  <c r="M103" i="19"/>
  <c r="M105" i="19" s="1"/>
  <c r="D102" i="19" s="1"/>
  <c r="M87" i="19"/>
  <c r="D84" i="19" s="1"/>
  <c r="M83" i="19"/>
  <c r="D80" i="19" s="1"/>
  <c r="M79" i="19"/>
  <c r="D76" i="19" s="1"/>
  <c r="B6" i="19" l="1"/>
  <c r="O300" i="19"/>
  <c r="O302" i="19" s="1"/>
  <c r="N210" i="19"/>
  <c r="N212" i="19" s="1"/>
  <c r="D207" i="19" s="1"/>
  <c r="I310" i="19"/>
  <c r="M305" i="19"/>
  <c r="O305" i="19" s="1"/>
  <c r="O307" i="19" s="1"/>
  <c r="B145" i="19"/>
  <c r="C133" i="19"/>
  <c r="C66" i="19"/>
  <c r="B9" i="19"/>
  <c r="B44" i="19"/>
  <c r="B121" i="19"/>
  <c r="C175" i="19"/>
  <c r="B137" i="19"/>
  <c r="C197" i="19"/>
  <c r="B80" i="19"/>
  <c r="B106" i="19"/>
  <c r="C218" i="19"/>
  <c r="C39" i="19"/>
  <c r="C165" i="19"/>
  <c r="B192" i="19"/>
  <c r="C93" i="19"/>
  <c r="C149" i="19"/>
  <c r="B26" i="19"/>
  <c r="B52" i="19"/>
  <c r="B71" i="19"/>
  <c r="B98" i="19"/>
  <c r="B129" i="19"/>
  <c r="B153" i="19"/>
  <c r="B213" i="19"/>
  <c r="C248" i="19"/>
  <c r="C288" i="19"/>
  <c r="B223" i="19"/>
  <c r="C258" i="19"/>
  <c r="C298" i="19"/>
  <c r="B17" i="19"/>
  <c r="C84" i="19"/>
  <c r="B202" i="19"/>
  <c r="C268" i="19"/>
  <c r="C308" i="19"/>
  <c r="C111" i="19"/>
  <c r="B161" i="19"/>
  <c r="B182" i="19"/>
  <c r="C238" i="19"/>
  <c r="C278" i="19"/>
  <c r="M90" i="19"/>
  <c r="M92" i="19" s="1"/>
  <c r="D89" i="19" s="1"/>
  <c r="B31" i="19"/>
  <c r="B21" i="19"/>
  <c r="B48" i="19"/>
  <c r="B89" i="19"/>
  <c r="C102" i="19"/>
  <c r="B170" i="19"/>
  <c r="B243" i="19"/>
  <c r="B263" i="19"/>
  <c r="B283" i="19"/>
  <c r="B303" i="19"/>
  <c r="B316" i="19" s="1"/>
  <c r="B35" i="19"/>
  <c r="B62" i="19"/>
  <c r="B76" i="19"/>
  <c r="B125" i="19"/>
  <c r="B141" i="19"/>
  <c r="B157" i="19"/>
  <c r="B187" i="19"/>
  <c r="B207" i="19"/>
  <c r="B228" i="19"/>
  <c r="M10" i="19"/>
  <c r="M12" i="19" s="1"/>
  <c r="D9" i="19" s="1"/>
  <c r="M94" i="19"/>
  <c r="G99" i="19" s="1"/>
  <c r="M99" i="19" s="1"/>
  <c r="M101" i="19" s="1"/>
  <c r="D98" i="19" s="1"/>
  <c r="B13" i="19"/>
  <c r="C56" i="19"/>
  <c r="C233" i="19"/>
  <c r="B253" i="19"/>
  <c r="B273" i="19"/>
  <c r="B293" i="19"/>
  <c r="B313" i="19"/>
  <c r="D121" i="19"/>
  <c r="O126" i="19"/>
  <c r="O315" i="19"/>
  <c r="D298" i="19"/>
  <c r="D187" i="19"/>
  <c r="O194" i="19"/>
  <c r="M27" i="19"/>
  <c r="M20" i="19"/>
  <c r="D17" i="19" s="1"/>
  <c r="M22" i="19"/>
  <c r="M24" i="19" s="1"/>
  <c r="D21" i="19" s="1"/>
  <c r="D175" i="19"/>
  <c r="M16" i="19"/>
  <c r="D13" i="19" s="1"/>
  <c r="B315" i="19"/>
  <c r="M310" i="19"/>
  <c r="N310" i="19" s="1"/>
  <c r="N312" i="19" s="1"/>
  <c r="D308" i="19" s="1"/>
  <c r="N186" i="19"/>
  <c r="D111" i="19"/>
  <c r="N134" i="19"/>
  <c r="M96" i="19" l="1"/>
  <c r="D93" i="19" s="1"/>
  <c r="N150" i="19"/>
  <c r="O134" i="19"/>
  <c r="O136" i="19" s="1"/>
  <c r="M29" i="19"/>
  <c r="D26" i="19" s="1"/>
  <c r="M32" i="19"/>
  <c r="O316" i="19"/>
  <c r="O317" i="19" s="1"/>
  <c r="D313" i="19" s="1"/>
  <c r="D303" i="19"/>
  <c r="N295" i="19"/>
  <c r="O295" i="19" s="1"/>
  <c r="O297" i="19" s="1"/>
  <c r="D293" i="19" s="1"/>
  <c r="D182" i="19"/>
  <c r="O199" i="19"/>
  <c r="K199" i="19" s="1"/>
  <c r="K201" i="19" s="1"/>
  <c r="D197" i="19" s="1"/>
  <c r="K194" i="19"/>
  <c r="K196" i="19" s="1"/>
  <c r="D192" i="19" s="1"/>
  <c r="M126" i="19"/>
  <c r="M128" i="19" s="1"/>
  <c r="D125" i="19" s="1"/>
  <c r="O130" i="19"/>
  <c r="M130" i="19" s="1"/>
  <c r="M132" i="19" s="1"/>
  <c r="D129" i="19" s="1"/>
  <c r="M36" i="19" l="1"/>
  <c r="M38" i="19" s="1"/>
  <c r="D35" i="19" s="1"/>
  <c r="M40" i="19"/>
  <c r="M34" i="19"/>
  <c r="D31" i="19" s="1"/>
  <c r="D133" i="19"/>
  <c r="O138" i="19"/>
  <c r="N138" i="19" s="1"/>
  <c r="N140" i="19" s="1"/>
  <c r="N154" i="19"/>
  <c r="O150" i="19"/>
  <c r="O152" i="19" s="1"/>
  <c r="D149" i="19" s="1"/>
  <c r="O142" i="19" l="1"/>
  <c r="D137" i="19"/>
  <c r="M45" i="19"/>
  <c r="M47" i="19" s="1"/>
  <c r="D44" i="19" s="1"/>
  <c r="M49" i="19"/>
  <c r="M42" i="19"/>
  <c r="D39" i="19" s="1"/>
  <c r="N156" i="19"/>
  <c r="D153" i="19" s="1"/>
  <c r="N158" i="19"/>
  <c r="M142" i="19" l="1"/>
  <c r="M144" i="19" s="1"/>
  <c r="D141" i="19" s="1"/>
  <c r="O146" i="19"/>
  <c r="M146" i="19" s="1"/>
  <c r="M148" i="19" s="1"/>
  <c r="D145" i="19" s="1"/>
  <c r="M51" i="19"/>
  <c r="D48" i="19" s="1"/>
  <c r="M53" i="19"/>
  <c r="N162" i="19"/>
  <c r="N160" i="19"/>
  <c r="D157" i="19" s="1"/>
  <c r="N166" i="19" l="1"/>
  <c r="N168" i="19" s="1"/>
  <c r="D165" i="19" s="1"/>
  <c r="N164" i="19"/>
  <c r="D161" i="19" s="1"/>
  <c r="M55" i="19"/>
  <c r="D52" i="19" s="1"/>
  <c r="M57" i="19"/>
  <c r="M59" i="19" l="1"/>
  <c r="D56" i="19" s="1"/>
  <c r="M63" i="19"/>
  <c r="M67" i="19" l="1"/>
  <c r="M65" i="19"/>
  <c r="D62" i="19" s="1"/>
  <c r="M69" i="19" l="1"/>
  <c r="D66" i="19" s="1"/>
  <c r="M72" i="19"/>
  <c r="M74" i="19" s="1"/>
  <c r="D71" i="19" s="1"/>
  <c r="A2277" i="19" l="1"/>
  <c r="C2277" i="19" s="1"/>
  <c r="K586" i="4"/>
  <c r="A398" i="19"/>
  <c r="B398" i="19" s="1"/>
  <c r="M5011" i="19"/>
  <c r="M3728" i="19"/>
  <c r="M2666" i="19"/>
  <c r="M1469" i="19"/>
  <c r="B2277" i="19" l="1"/>
  <c r="A4257" i="19" l="1"/>
  <c r="B4257" i="19" s="1"/>
  <c r="A4236" i="19"/>
  <c r="B4236" i="19" s="1"/>
  <c r="A4209" i="19"/>
  <c r="B4209" i="19" s="1"/>
  <c r="A4125" i="19"/>
  <c r="B4125" i="19" s="1"/>
  <c r="A3104" i="19"/>
  <c r="B3104" i="19" s="1"/>
  <c r="A3056" i="19"/>
  <c r="B3056" i="19" s="1"/>
  <c r="A2972" i="19"/>
  <c r="B2972" i="19" s="1"/>
  <c r="A1983" i="19"/>
  <c r="B1983" i="19" s="1"/>
  <c r="A1960" i="19"/>
  <c r="B1960" i="19" s="1"/>
  <c r="A1876" i="19"/>
  <c r="B1876" i="19" s="1"/>
  <c r="H1910" i="19"/>
  <c r="F1910" i="19"/>
  <c r="B1910" i="19"/>
  <c r="AQ168" i="22" l="1"/>
  <c r="AO168" i="22"/>
  <c r="Y168" i="22"/>
  <c r="CA168" i="22" s="1"/>
  <c r="U168" i="22"/>
  <c r="B168" i="22"/>
  <c r="AQ167" i="22"/>
  <c r="AO167" i="22"/>
  <c r="Y167" i="22"/>
  <c r="CA167" i="22" s="1"/>
  <c r="U167" i="22"/>
  <c r="B167" i="22"/>
  <c r="AQ172" i="22"/>
  <c r="U172" i="22"/>
  <c r="B172" i="22"/>
  <c r="AQ181" i="22"/>
  <c r="AO181" i="22"/>
  <c r="Y181" i="22"/>
  <c r="CA181" i="22" s="1"/>
  <c r="CF181" i="22" s="1"/>
  <c r="U181" i="22"/>
  <c r="B181" i="22"/>
  <c r="AQ176" i="22"/>
  <c r="AO176" i="22"/>
  <c r="BD176" i="22" s="1"/>
  <c r="Y176" i="22"/>
  <c r="AE176" i="22" s="1"/>
  <c r="U176" i="22"/>
  <c r="T176" i="22"/>
  <c r="S176" i="22"/>
  <c r="B176" i="22"/>
  <c r="AQ147" i="22"/>
  <c r="AO147" i="22"/>
  <c r="BD147" i="22" s="1"/>
  <c r="Y147" i="22"/>
  <c r="CA147" i="22" s="1"/>
  <c r="U147" i="22"/>
  <c r="T147" i="22"/>
  <c r="S147" i="22"/>
  <c r="B147" i="22"/>
  <c r="AQ144" i="22"/>
  <c r="AO144" i="22"/>
  <c r="BD144" i="22" s="1"/>
  <c r="Y144" i="22"/>
  <c r="CA144" i="22" s="1"/>
  <c r="U144" i="22"/>
  <c r="T144" i="22"/>
  <c r="S144" i="22"/>
  <c r="B144" i="22"/>
  <c r="AQ140" i="22"/>
  <c r="AO140" i="22"/>
  <c r="BD140" i="22" s="1"/>
  <c r="Y140" i="22"/>
  <c r="CA140" i="22" s="1"/>
  <c r="U140" i="22"/>
  <c r="T140" i="22"/>
  <c r="S140" i="22"/>
  <c r="AQ139" i="22"/>
  <c r="AO139" i="22"/>
  <c r="Y139" i="22"/>
  <c r="CA139" i="22" s="1"/>
  <c r="U139" i="22"/>
  <c r="T139" i="22"/>
  <c r="S139" i="22"/>
  <c r="B140" i="22"/>
  <c r="B139" i="22"/>
  <c r="AQ133" i="22"/>
  <c r="U133" i="22"/>
  <c r="T133" i="22"/>
  <c r="S133" i="22"/>
  <c r="B133" i="22"/>
  <c r="AQ119" i="22"/>
  <c r="AO119" i="22"/>
  <c r="Y119" i="22"/>
  <c r="CA119" i="22" s="1"/>
  <c r="U119" i="22"/>
  <c r="T119" i="22"/>
  <c r="S119" i="22"/>
  <c r="B119" i="22"/>
  <c r="AQ117" i="22"/>
  <c r="AO117" i="22"/>
  <c r="BD117" i="22" s="1"/>
  <c r="Y117" i="22"/>
  <c r="CA117" i="22" s="1"/>
  <c r="U117" i="22"/>
  <c r="T117" i="22"/>
  <c r="S117" i="22"/>
  <c r="B117" i="22"/>
  <c r="D172" i="18"/>
  <c r="D171" i="18"/>
  <c r="P171" i="18"/>
  <c r="L171" i="18"/>
  <c r="J171" i="18"/>
  <c r="I171" i="18"/>
  <c r="C171" i="18"/>
  <c r="A181" i="22" s="1"/>
  <c r="D168" i="18"/>
  <c r="D167" i="18"/>
  <c r="D166" i="18"/>
  <c r="P166" i="18"/>
  <c r="L166" i="18"/>
  <c r="J166" i="18"/>
  <c r="I166" i="18"/>
  <c r="C166" i="18"/>
  <c r="A176" i="22" s="1"/>
  <c r="D170" i="18"/>
  <c r="D169" i="18"/>
  <c r="D165" i="18"/>
  <c r="F165" i="18"/>
  <c r="D164" i="18"/>
  <c r="D163" i="18"/>
  <c r="D162" i="18"/>
  <c r="D161" i="18"/>
  <c r="P162" i="18"/>
  <c r="L162" i="18"/>
  <c r="J162" i="18"/>
  <c r="I162" i="18"/>
  <c r="C162" i="18"/>
  <c r="A172" i="22" s="1"/>
  <c r="D160" i="18"/>
  <c r="D159" i="18"/>
  <c r="D158" i="18"/>
  <c r="D157" i="18"/>
  <c r="P157" i="18"/>
  <c r="L157" i="18"/>
  <c r="J157" i="18"/>
  <c r="I157" i="18"/>
  <c r="C157" i="18"/>
  <c r="A167" i="22" s="1"/>
  <c r="P158" i="18"/>
  <c r="L158" i="18"/>
  <c r="J158" i="18"/>
  <c r="I158" i="18"/>
  <c r="C158" i="18"/>
  <c r="A168" i="22" s="1"/>
  <c r="D156" i="18"/>
  <c r="D155" i="18"/>
  <c r="D154" i="18"/>
  <c r="D153" i="18"/>
  <c r="D152" i="18"/>
  <c r="D151" i="18"/>
  <c r="D150" i="18"/>
  <c r="D149" i="18"/>
  <c r="D148" i="18"/>
  <c r="D147" i="18"/>
  <c r="D146" i="18"/>
  <c r="D145" i="18"/>
  <c r="D144" i="18"/>
  <c r="P137" i="18"/>
  <c r="L137" i="18"/>
  <c r="J137" i="18"/>
  <c r="I137" i="18"/>
  <c r="C137" i="18"/>
  <c r="A147" i="22" s="1"/>
  <c r="P134" i="18"/>
  <c r="L134" i="18"/>
  <c r="J134" i="18"/>
  <c r="I134" i="18"/>
  <c r="C134" i="18"/>
  <c r="A144" i="22" s="1"/>
  <c r="P129" i="18"/>
  <c r="L129" i="18"/>
  <c r="J129" i="18"/>
  <c r="I129" i="18"/>
  <c r="C129" i="18"/>
  <c r="A139" i="22" s="1"/>
  <c r="P130" i="18"/>
  <c r="L130" i="18"/>
  <c r="J130" i="18"/>
  <c r="I130" i="18"/>
  <c r="C130" i="18"/>
  <c r="A140" i="22" s="1"/>
  <c r="P123" i="18"/>
  <c r="L123" i="18"/>
  <c r="J123" i="18"/>
  <c r="I123" i="18"/>
  <c r="C123" i="18"/>
  <c r="A133" i="22" s="1"/>
  <c r="P109" i="18"/>
  <c r="L109" i="18"/>
  <c r="J109" i="18"/>
  <c r="I109" i="18"/>
  <c r="C109" i="18"/>
  <c r="A119" i="22" s="1"/>
  <c r="P107" i="18"/>
  <c r="L107" i="18"/>
  <c r="J107" i="18"/>
  <c r="I107" i="18"/>
  <c r="C107" i="18"/>
  <c r="A117" i="22" s="1"/>
  <c r="T325" i="22"/>
  <c r="S325" i="22"/>
  <c r="T271" i="22"/>
  <c r="T272" i="22"/>
  <c r="T273" i="22"/>
  <c r="T274" i="22"/>
  <c r="T275" i="22"/>
  <c r="T276" i="22"/>
  <c r="T277" i="22"/>
  <c r="T278" i="22"/>
  <c r="T279" i="22"/>
  <c r="T280" i="22"/>
  <c r="T281" i="22"/>
  <c r="T282" i="22"/>
  <c r="T283" i="22"/>
  <c r="T284" i="22"/>
  <c r="T285" i="22"/>
  <c r="T286" i="22"/>
  <c r="T287" i="22"/>
  <c r="T288" i="22"/>
  <c r="T289" i="22"/>
  <c r="T290" i="22"/>
  <c r="T291" i="22"/>
  <c r="T294" i="22"/>
  <c r="T295" i="22"/>
  <c r="T296" i="22"/>
  <c r="T297" i="22"/>
  <c r="T298" i="22"/>
  <c r="T299" i="22"/>
  <c r="T300" i="22"/>
  <c r="T301" i="22"/>
  <c r="T302" i="22"/>
  <c r="T303" i="22"/>
  <c r="T304" i="22"/>
  <c r="T305" i="22"/>
  <c r="T306" i="22"/>
  <c r="T307" i="22"/>
  <c r="T308" i="22"/>
  <c r="T309" i="22"/>
  <c r="T310" i="22"/>
  <c r="T311" i="22"/>
  <c r="T312" i="22"/>
  <c r="T318" i="22"/>
  <c r="T323" i="22"/>
  <c r="T351" i="22"/>
  <c r="T352" i="22"/>
  <c r="T355" i="22"/>
  <c r="S271" i="22"/>
  <c r="S272" i="22"/>
  <c r="S273" i="22"/>
  <c r="S274" i="22"/>
  <c r="S275" i="22"/>
  <c r="S276" i="22"/>
  <c r="S277" i="22"/>
  <c r="S278" i="22"/>
  <c r="S279" i="22"/>
  <c r="S280" i="22"/>
  <c r="S281" i="22"/>
  <c r="S282" i="22"/>
  <c r="S283" i="22"/>
  <c r="S284" i="22"/>
  <c r="S285" i="22"/>
  <c r="S286" i="22"/>
  <c r="S287" i="22"/>
  <c r="S288" i="22"/>
  <c r="S289" i="22"/>
  <c r="S290" i="22"/>
  <c r="S291" i="22"/>
  <c r="S294" i="22"/>
  <c r="S295" i="22"/>
  <c r="S296" i="22"/>
  <c r="S297" i="22"/>
  <c r="S298" i="22"/>
  <c r="S299" i="22"/>
  <c r="S300" i="22"/>
  <c r="S301" i="22"/>
  <c r="S302" i="22"/>
  <c r="S303" i="22"/>
  <c r="S304" i="22"/>
  <c r="S305" i="22"/>
  <c r="S306" i="22"/>
  <c r="S307" i="22"/>
  <c r="S308" i="22"/>
  <c r="S309" i="22"/>
  <c r="S310" i="22"/>
  <c r="S311" i="22"/>
  <c r="S312" i="22"/>
  <c r="S318" i="22"/>
  <c r="S323" i="22"/>
  <c r="S351" i="22"/>
  <c r="S352" i="22"/>
  <c r="S355" i="22"/>
  <c r="S262" i="22"/>
  <c r="S263" i="22"/>
  <c r="S264" i="22"/>
  <c r="T262" i="22"/>
  <c r="T263" i="22"/>
  <c r="T264" i="22"/>
  <c r="H498" i="19"/>
  <c r="F498" i="19"/>
  <c r="AD181" i="22" l="1"/>
  <c r="AE181" i="22"/>
  <c r="AC181" i="22"/>
  <c r="AE167" i="22"/>
  <c r="AC168" i="22"/>
  <c r="AC167" i="22"/>
  <c r="CM168" i="22"/>
  <c r="CF168" i="22"/>
  <c r="AD168" i="22"/>
  <c r="AE168" i="22"/>
  <c r="BD168" i="22"/>
  <c r="CM167" i="22"/>
  <c r="CF167" i="22"/>
  <c r="AD167" i="22"/>
  <c r="BD167" i="22"/>
  <c r="BD181" i="22"/>
  <c r="CM181" i="22"/>
  <c r="CA176" i="22"/>
  <c r="AC176" i="22"/>
  <c r="AD176" i="22"/>
  <c r="AE144" i="22"/>
  <c r="CM147" i="22"/>
  <c r="CF147" i="22"/>
  <c r="AC147" i="22"/>
  <c r="AD147" i="22"/>
  <c r="AE147" i="22"/>
  <c r="AC144" i="22"/>
  <c r="CM144" i="22"/>
  <c r="CF144" i="22"/>
  <c r="AD144" i="22"/>
  <c r="AC139" i="22"/>
  <c r="AD139" i="22"/>
  <c r="AE139" i="22"/>
  <c r="AC140" i="22"/>
  <c r="AE140" i="22"/>
  <c r="CM140" i="22"/>
  <c r="CF140" i="22"/>
  <c r="AD140" i="22"/>
  <c r="CM139" i="22"/>
  <c r="CF139" i="22"/>
  <c r="BD139" i="22"/>
  <c r="AC119" i="22"/>
  <c r="CM117" i="22"/>
  <c r="CF117" i="22"/>
  <c r="CM119" i="22"/>
  <c r="CF119" i="22"/>
  <c r="AD119" i="22"/>
  <c r="AE119" i="22"/>
  <c r="BD119" i="22"/>
  <c r="AD117" i="22"/>
  <c r="AC117" i="22"/>
  <c r="AE117" i="22"/>
  <c r="A4832" i="19"/>
  <c r="C4832" i="19" s="1"/>
  <c r="K826" i="4"/>
  <c r="A4585" i="19"/>
  <c r="C4585" i="19" s="1"/>
  <c r="K589" i="4"/>
  <c r="A3398" i="19"/>
  <c r="C3398" i="19" s="1"/>
  <c r="K390" i="4"/>
  <c r="A3099" i="19"/>
  <c r="B3099" i="19" s="1"/>
  <c r="A3094" i="19"/>
  <c r="C3094" i="19" s="1"/>
  <c r="A3089" i="19"/>
  <c r="C3089" i="19" s="1"/>
  <c r="A3084" i="19"/>
  <c r="B3084" i="19" s="1"/>
  <c r="A3083" i="19"/>
  <c r="K728" i="4"/>
  <c r="K770" i="4"/>
  <c r="K107" i="4"/>
  <c r="K233" i="4"/>
  <c r="A1139" i="19"/>
  <c r="B1139" i="19" s="1"/>
  <c r="K823" i="4"/>
  <c r="CF176" i="22" l="1"/>
  <c r="CM176" i="22"/>
  <c r="B4832" i="19"/>
  <c r="B4585" i="19"/>
  <c r="C3084" i="19"/>
  <c r="B3094" i="19"/>
  <c r="C3099" i="19"/>
  <c r="B3398" i="19"/>
  <c r="B3089" i="19"/>
  <c r="C1139" i="19"/>
  <c r="CN37" i="20"/>
  <c r="A570" i="19"/>
  <c r="C570" i="19" s="1"/>
  <c r="A565" i="19"/>
  <c r="C565" i="19" s="1"/>
  <c r="A559" i="19"/>
  <c r="B559" i="19" s="1"/>
  <c r="A554" i="19"/>
  <c r="C554" i="19" s="1"/>
  <c r="A549" i="19"/>
  <c r="C549" i="19" s="1"/>
  <c r="A548" i="19"/>
  <c r="B548" i="19"/>
  <c r="K709" i="4"/>
  <c r="K749" i="4"/>
  <c r="K93" i="4"/>
  <c r="K229" i="4"/>
  <c r="K237" i="4"/>
  <c r="F4141" i="19"/>
  <c r="E4141" i="19"/>
  <c r="B4141" i="19"/>
  <c r="F2988" i="19"/>
  <c r="E2988" i="19"/>
  <c r="F1892" i="19"/>
  <c r="E1892" i="19"/>
  <c r="F480" i="19"/>
  <c r="E480" i="19"/>
  <c r="B480" i="19"/>
  <c r="B498" i="19" s="1"/>
  <c r="B514" i="19" s="1"/>
  <c r="B530" i="19" s="1"/>
  <c r="E498" i="19" l="1"/>
  <c r="E514" i="19"/>
  <c r="B549" i="19"/>
  <c r="B570" i="19"/>
  <c r="B565" i="19"/>
  <c r="C559" i="19"/>
  <c r="B554" i="19"/>
  <c r="E530" i="19" l="1"/>
  <c r="CZ10" i="22"/>
  <c r="CR10" i="22"/>
  <c r="CA10" i="22"/>
  <c r="CM10" i="22" s="1"/>
  <c r="BY10" i="22"/>
  <c r="BS10" i="22"/>
  <c r="BR10" i="22"/>
  <c r="BQ10" i="22"/>
  <c r="BE10" i="22"/>
  <c r="BG10" i="22" s="1"/>
  <c r="AV10" i="22"/>
  <c r="AT10" i="22"/>
  <c r="AU10" i="22" s="1"/>
  <c r="AR10" i="22"/>
  <c r="AQ10" i="22"/>
  <c r="AO10" i="22"/>
  <c r="AN10" i="22"/>
  <c r="AM10" i="22"/>
  <c r="AL10" i="22"/>
  <c r="AE10" i="22"/>
  <c r="AD10" i="22"/>
  <c r="AC10" i="22"/>
  <c r="AB10" i="22"/>
  <c r="W10" i="22"/>
  <c r="V10" i="22"/>
  <c r="U10" i="22"/>
  <c r="S63" i="22"/>
  <c r="T63" i="22"/>
  <c r="A42" i="22"/>
  <c r="S10" i="22"/>
  <c r="AI10" i="22" s="1"/>
  <c r="T10" i="22"/>
  <c r="AK10" i="22" s="1"/>
  <c r="B88" i="22"/>
  <c r="B89" i="22"/>
  <c r="DD89" i="22" s="1"/>
  <c r="B90" i="22"/>
  <c r="DD90" i="22" s="1"/>
  <c r="B91" i="22"/>
  <c r="DD91" i="22" s="1"/>
  <c r="B92" i="22"/>
  <c r="DD92" i="22" s="1"/>
  <c r="B93" i="22"/>
  <c r="DD93" i="22" s="1"/>
  <c r="B94" i="22"/>
  <c r="DD94" i="22" s="1"/>
  <c r="B95" i="22"/>
  <c r="DD95" i="22" s="1"/>
  <c r="S89" i="22"/>
  <c r="T89" i="22"/>
  <c r="U89" i="22"/>
  <c r="AQ89" i="22"/>
  <c r="S90" i="22"/>
  <c r="T90" i="22"/>
  <c r="U90" i="22"/>
  <c r="AQ90" i="22"/>
  <c r="S91" i="22"/>
  <c r="T91" i="22"/>
  <c r="U91" i="22"/>
  <c r="AQ91" i="22"/>
  <c r="S92" i="22"/>
  <c r="T92" i="22"/>
  <c r="U92" i="22"/>
  <c r="AQ92" i="22"/>
  <c r="S93" i="22"/>
  <c r="T93" i="22"/>
  <c r="U93" i="22"/>
  <c r="AQ93" i="22"/>
  <c r="S94" i="22"/>
  <c r="T94" i="22"/>
  <c r="U94" i="22"/>
  <c r="AQ94" i="22"/>
  <c r="S95" i="22"/>
  <c r="T95" i="22"/>
  <c r="U95" i="22"/>
  <c r="AQ95"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3" i="22"/>
  <c r="B74" i="22"/>
  <c r="B70" i="22"/>
  <c r="B71" i="22"/>
  <c r="B72" i="22"/>
  <c r="B75" i="22"/>
  <c r="B76" i="22"/>
  <c r="B77" i="22"/>
  <c r="B78" i="22"/>
  <c r="B79" i="22"/>
  <c r="B80" i="22"/>
  <c r="B81" i="22"/>
  <c r="B82" i="22"/>
  <c r="B83" i="22"/>
  <c r="B84" i="22"/>
  <c r="B85" i="22"/>
  <c r="B86" i="22"/>
  <c r="B87" i="22"/>
  <c r="B9" i="22"/>
  <c r="B7" i="22"/>
  <c r="B6" i="22"/>
  <c r="BF10" i="22" l="1"/>
  <c r="CF10" i="22"/>
  <c r="CO10" i="22"/>
  <c r="CQ10" i="22" s="1"/>
  <c r="Z10" i="22"/>
  <c r="BZ10" i="22"/>
  <c r="CD10" i="22" s="1"/>
  <c r="CB10" i="22"/>
  <c r="AW10" i="22"/>
  <c r="BD10" i="22"/>
  <c r="I324" i="18"/>
  <c r="I323" i="18"/>
  <c r="I322" i="18"/>
  <c r="I321" i="18"/>
  <c r="I320" i="18"/>
  <c r="I319" i="18"/>
  <c r="I318" i="18"/>
  <c r="I317" i="18"/>
  <c r="I316" i="18"/>
  <c r="I315" i="18"/>
  <c r="I314" i="18"/>
  <c r="I313" i="18"/>
  <c r="I312" i="18"/>
  <c r="I311" i="18"/>
  <c r="I310" i="18"/>
  <c r="I309" i="18"/>
  <c r="I308" i="18"/>
  <c r="I307" i="18"/>
  <c r="I306" i="18"/>
  <c r="I305" i="18"/>
  <c r="I304" i="18"/>
  <c r="I303" i="18"/>
  <c r="I302" i="18"/>
  <c r="I301" i="18"/>
  <c r="I300" i="18"/>
  <c r="I299" i="18"/>
  <c r="I298" i="18"/>
  <c r="I297" i="18"/>
  <c r="I296" i="18"/>
  <c r="I295" i="18"/>
  <c r="I294" i="18"/>
  <c r="I293" i="18"/>
  <c r="I292" i="18"/>
  <c r="I291" i="18"/>
  <c r="I290" i="18"/>
  <c r="I289" i="18"/>
  <c r="I288" i="18"/>
  <c r="I287" i="18"/>
  <c r="I286" i="18"/>
  <c r="I285" i="18"/>
  <c r="I284" i="18"/>
  <c r="I283" i="18"/>
  <c r="I281" i="18"/>
  <c r="I280" i="18"/>
  <c r="I279" i="18"/>
  <c r="I278" i="18"/>
  <c r="I277" i="18"/>
  <c r="I276" i="18"/>
  <c r="I275" i="18"/>
  <c r="I274" i="18"/>
  <c r="I273" i="18"/>
  <c r="I272" i="18"/>
  <c r="I271" i="18"/>
  <c r="I270" i="18"/>
  <c r="I269" i="18"/>
  <c r="I268" i="18"/>
  <c r="I267" i="18"/>
  <c r="I266" i="18"/>
  <c r="I265" i="18"/>
  <c r="I264" i="18"/>
  <c r="I263" i="18"/>
  <c r="I262" i="18"/>
  <c r="I261" i="18"/>
  <c r="I260" i="18"/>
  <c r="I259" i="18"/>
  <c r="I258" i="18"/>
  <c r="I257" i="18"/>
  <c r="I256" i="18"/>
  <c r="I255" i="18"/>
  <c r="I254" i="18"/>
  <c r="I253" i="18"/>
  <c r="I252" i="18"/>
  <c r="I251" i="18"/>
  <c r="I250" i="18"/>
  <c r="I249" i="18"/>
  <c r="I248" i="18"/>
  <c r="I247" i="18"/>
  <c r="I246" i="18"/>
  <c r="I245" i="18"/>
  <c r="I244" i="18"/>
  <c r="I243" i="18"/>
  <c r="I242" i="18"/>
  <c r="I241" i="18"/>
  <c r="I240" i="18"/>
  <c r="I239" i="18"/>
  <c r="I238" i="18"/>
  <c r="I237" i="18"/>
  <c r="I236" i="18"/>
  <c r="I235" i="18"/>
  <c r="I234" i="18"/>
  <c r="I233" i="18"/>
  <c r="I232" i="18"/>
  <c r="I231" i="18"/>
  <c r="I230" i="18"/>
  <c r="I229" i="18"/>
  <c r="AA10" i="22" l="1"/>
  <c r="AG10" i="22"/>
  <c r="AH10" i="22"/>
  <c r="AF10" i="22"/>
  <c r="O228" i="18"/>
  <c r="K4129" i="19" s="1"/>
  <c r="I223" i="18"/>
  <c r="I222" i="18"/>
  <c r="I221" i="18"/>
  <c r="I220" i="18"/>
  <c r="I219" i="18"/>
  <c r="I218" i="18"/>
  <c r="I217" i="18"/>
  <c r="I216" i="18"/>
  <c r="I215" i="18"/>
  <c r="I214" i="18"/>
  <c r="I213" i="18"/>
  <c r="I212" i="18"/>
  <c r="I211" i="18"/>
  <c r="I210" i="18"/>
  <c r="I209" i="18"/>
  <c r="I208" i="18"/>
  <c r="I207" i="18"/>
  <c r="I206" i="18"/>
  <c r="I205" i="18"/>
  <c r="I204" i="18"/>
  <c r="I203" i="18"/>
  <c r="I202" i="18"/>
  <c r="I201" i="18"/>
  <c r="I200" i="18"/>
  <c r="I199" i="18"/>
  <c r="I197" i="18"/>
  <c r="I195" i="18"/>
  <c r="I194" i="18"/>
  <c r="I193" i="18"/>
  <c r="I192" i="18"/>
  <c r="I191" i="18"/>
  <c r="I189" i="18"/>
  <c r="I187" i="18"/>
  <c r="I185" i="18"/>
  <c r="I184" i="18"/>
  <c r="I183" i="18"/>
  <c r="I182" i="18"/>
  <c r="I181" i="18"/>
  <c r="I180" i="18"/>
  <c r="I178" i="18"/>
  <c r="AS10" i="22" l="1"/>
  <c r="AX10" i="22"/>
  <c r="AY10" i="22" s="1"/>
  <c r="AZ10" i="22" s="1"/>
  <c r="AJ10" i="22"/>
  <c r="X10" i="22" s="1"/>
  <c r="AP10" i="22"/>
  <c r="O189" i="18"/>
  <c r="K2988" i="19" s="1"/>
  <c r="O179" i="18"/>
  <c r="K2978" i="19" s="1"/>
  <c r="O180" i="18"/>
  <c r="K2979" i="19" s="1"/>
  <c r="O181" i="18"/>
  <c r="K2980" i="19" s="1"/>
  <c r="O182" i="18"/>
  <c r="K2981" i="19" s="1"/>
  <c r="O178" i="18"/>
  <c r="K2977" i="19" s="1"/>
  <c r="O183" i="18"/>
  <c r="K2982" i="19" s="1"/>
  <c r="O184" i="18"/>
  <c r="K2983" i="19" s="1"/>
  <c r="O185" i="18"/>
  <c r="K2984" i="19" s="1"/>
  <c r="O186" i="18"/>
  <c r="K2985" i="19" s="1"/>
  <c r="O187" i="18"/>
  <c r="K2986" i="19" s="1"/>
  <c r="O188" i="18"/>
  <c r="K2987" i="19" s="1"/>
  <c r="O177" i="18"/>
  <c r="D92" i="18"/>
  <c r="D91" i="18"/>
  <c r="D90" i="18"/>
  <c r="D89" i="18"/>
  <c r="D88" i="18"/>
  <c r="C88" i="18"/>
  <c r="A90" i="22" s="1"/>
  <c r="I88" i="18"/>
  <c r="J88" i="18"/>
  <c r="L88" i="18"/>
  <c r="P88" i="18"/>
  <c r="C89" i="18"/>
  <c r="A91" i="22" s="1"/>
  <c r="I89" i="18"/>
  <c r="J89" i="18"/>
  <c r="L89" i="18"/>
  <c r="P89" i="18"/>
  <c r="C90" i="18"/>
  <c r="A92" i="22" s="1"/>
  <c r="I90" i="18"/>
  <c r="J90" i="18"/>
  <c r="L90" i="18"/>
  <c r="P90" i="18"/>
  <c r="C91" i="18"/>
  <c r="A93" i="22" s="1"/>
  <c r="I91" i="18"/>
  <c r="J91" i="18"/>
  <c r="L91" i="18"/>
  <c r="P91" i="18"/>
  <c r="P92" i="18"/>
  <c r="I92" i="18"/>
  <c r="J92" i="18"/>
  <c r="L92" i="18"/>
  <c r="C92" i="18"/>
  <c r="A94" i="22" s="1"/>
  <c r="D85" i="18"/>
  <c r="D83" i="18"/>
  <c r="D82" i="18"/>
  <c r="P78" i="18"/>
  <c r="I78" i="18"/>
  <c r="J78" i="18"/>
  <c r="L78" i="18"/>
  <c r="C78" i="18"/>
  <c r="A80" i="22" s="1"/>
  <c r="D77" i="18"/>
  <c r="D76" i="18"/>
  <c r="D75" i="18"/>
  <c r="C75" i="18"/>
  <c r="A77" i="22" s="1"/>
  <c r="I75" i="18"/>
  <c r="J75" i="18"/>
  <c r="L75" i="18"/>
  <c r="P75" i="18"/>
  <c r="C76" i="18"/>
  <c r="A78" i="22" s="1"/>
  <c r="I76" i="18"/>
  <c r="J76" i="18"/>
  <c r="L76" i="18"/>
  <c r="P76" i="18"/>
  <c r="C77" i="18"/>
  <c r="A79" i="22" s="1"/>
  <c r="I77" i="18"/>
  <c r="J77" i="18"/>
  <c r="L77" i="18"/>
  <c r="P77" i="18"/>
  <c r="D74" i="18"/>
  <c r="P74" i="18"/>
  <c r="I74" i="18"/>
  <c r="J74" i="18"/>
  <c r="L74" i="18"/>
  <c r="C74" i="18"/>
  <c r="A76" i="22" s="1"/>
  <c r="D70" i="18"/>
  <c r="O191" i="18" l="1"/>
  <c r="O190" i="18"/>
  <c r="AQ311" i="22"/>
  <c r="U311" i="22"/>
  <c r="B355" i="22"/>
  <c r="B354" i="22"/>
  <c r="B353" i="22"/>
  <c r="B352" i="22"/>
  <c r="B351" i="22"/>
  <c r="B350" i="22"/>
  <c r="B349" i="22"/>
  <c r="B348" i="22"/>
  <c r="B347" i="22"/>
  <c r="B346" i="22"/>
  <c r="B345" i="22"/>
  <c r="B344" i="22"/>
  <c r="B343" i="22"/>
  <c r="B342" i="22"/>
  <c r="B341" i="22"/>
  <c r="B340" i="22"/>
  <c r="B339" i="22"/>
  <c r="B338" i="22"/>
  <c r="B337" i="22"/>
  <c r="B336" i="22"/>
  <c r="B335" i="22"/>
  <c r="B334" i="22"/>
  <c r="B333" i="22"/>
  <c r="B332" i="22"/>
  <c r="B331" i="22"/>
  <c r="B330" i="22"/>
  <c r="B329" i="22"/>
  <c r="B328" i="22"/>
  <c r="B327" i="22"/>
  <c r="B326" i="22"/>
  <c r="B325" i="22"/>
  <c r="B324" i="22"/>
  <c r="B323" i="22"/>
  <c r="B322" i="22"/>
  <c r="B321" i="22"/>
  <c r="B320" i="22"/>
  <c r="B319" i="22"/>
  <c r="B318" i="22"/>
  <c r="B317" i="22"/>
  <c r="B316" i="22"/>
  <c r="B315" i="22"/>
  <c r="B314" i="22"/>
  <c r="B312" i="22"/>
  <c r="B311" i="22"/>
  <c r="B310" i="22"/>
  <c r="B309" i="22"/>
  <c r="B308" i="22"/>
  <c r="B307" i="22"/>
  <c r="B306" i="22"/>
  <c r="B305" i="22"/>
  <c r="B304" i="22"/>
  <c r="B303" i="22"/>
  <c r="B302" i="22"/>
  <c r="B301" i="22"/>
  <c r="B300" i="22"/>
  <c r="B299" i="22"/>
  <c r="B298" i="22"/>
  <c r="B297" i="22"/>
  <c r="B296" i="22"/>
  <c r="B295" i="22"/>
  <c r="B294" i="22"/>
  <c r="B293" i="22"/>
  <c r="B292" i="22"/>
  <c r="B291" i="22"/>
  <c r="B290" i="22"/>
  <c r="B289" i="22"/>
  <c r="B288" i="22"/>
  <c r="B287" i="22"/>
  <c r="B286" i="22"/>
  <c r="B285" i="22"/>
  <c r="B284" i="22"/>
  <c r="B283" i="22"/>
  <c r="B282" i="22"/>
  <c r="B281" i="22"/>
  <c r="B280" i="22"/>
  <c r="B279" i="22"/>
  <c r="B278" i="22"/>
  <c r="B277" i="22"/>
  <c r="B276" i="22"/>
  <c r="B275" i="22"/>
  <c r="B274" i="22"/>
  <c r="B273" i="22"/>
  <c r="B272" i="22"/>
  <c r="B271" i="22"/>
  <c r="B270" i="22"/>
  <c r="B269" i="22"/>
  <c r="B268" i="22"/>
  <c r="B267" i="22"/>
  <c r="B266" i="22"/>
  <c r="B265" i="22"/>
  <c r="B264" i="22"/>
  <c r="B263" i="22"/>
  <c r="B262" i="22"/>
  <c r="B261" i="22"/>
  <c r="B260" i="22"/>
  <c r="B245" i="22"/>
  <c r="B244" i="22"/>
  <c r="B243" i="22"/>
  <c r="B242" i="22"/>
  <c r="B241" i="22"/>
  <c r="B240" i="22"/>
  <c r="B239" i="22"/>
  <c r="B238" i="22"/>
  <c r="B237" i="22"/>
  <c r="B236" i="22"/>
  <c r="B235" i="22"/>
  <c r="B234" i="22"/>
  <c r="B233" i="22"/>
  <c r="B232" i="22"/>
  <c r="B231" i="22"/>
  <c r="B230" i="22"/>
  <c r="B229" i="22"/>
  <c r="B228" i="22"/>
  <c r="B227" i="22"/>
  <c r="B226" i="22"/>
  <c r="B225" i="22"/>
  <c r="B224" i="22"/>
  <c r="B223" i="22"/>
  <c r="B222" i="22"/>
  <c r="B221" i="22"/>
  <c r="B219" i="22"/>
  <c r="B217" i="22"/>
  <c r="B216" i="22"/>
  <c r="B215" i="22"/>
  <c r="B214" i="22"/>
  <c r="B213" i="22"/>
  <c r="B211" i="22"/>
  <c r="B209" i="22"/>
  <c r="B207" i="22"/>
  <c r="B206" i="22"/>
  <c r="B205" i="22"/>
  <c r="B204" i="22"/>
  <c r="B203" i="22"/>
  <c r="B202" i="22"/>
  <c r="B200" i="22"/>
  <c r="AQ355" i="22"/>
  <c r="U355" i="22"/>
  <c r="AQ354" i="22"/>
  <c r="AO354" i="22"/>
  <c r="Y354" i="22"/>
  <c r="U354" i="22"/>
  <c r="AQ353" i="22"/>
  <c r="U353" i="22"/>
  <c r="AQ352" i="22"/>
  <c r="AO352" i="22"/>
  <c r="Y352" i="22"/>
  <c r="U352" i="22"/>
  <c r="AQ351" i="22"/>
  <c r="AO351" i="22"/>
  <c r="Y351" i="22"/>
  <c r="AE351" i="22" s="1"/>
  <c r="U351" i="22"/>
  <c r="AQ350" i="22"/>
  <c r="AO350" i="22"/>
  <c r="Y350" i="22"/>
  <c r="AE350" i="22" s="1"/>
  <c r="U350" i="22"/>
  <c r="AQ349" i="22"/>
  <c r="AO349" i="22"/>
  <c r="Y349" i="22"/>
  <c r="AD349" i="22" s="1"/>
  <c r="U349" i="22"/>
  <c r="AQ348" i="22"/>
  <c r="AO348" i="22"/>
  <c r="Y348" i="22"/>
  <c r="AE348" i="22" s="1"/>
  <c r="U348" i="22"/>
  <c r="AQ347" i="22"/>
  <c r="AO347" i="22"/>
  <c r="Y347" i="22"/>
  <c r="AD347" i="22" s="1"/>
  <c r="U347" i="22"/>
  <c r="AQ346" i="22"/>
  <c r="AO346" i="22"/>
  <c r="Y346" i="22"/>
  <c r="U346" i="22"/>
  <c r="AQ345" i="22"/>
  <c r="AO345" i="22"/>
  <c r="Y345" i="22"/>
  <c r="U345" i="22"/>
  <c r="AQ344" i="22"/>
  <c r="AO344" i="22"/>
  <c r="Y344" i="22"/>
  <c r="AE344" i="22" s="1"/>
  <c r="U344" i="22"/>
  <c r="AQ343" i="22"/>
  <c r="AO343" i="22"/>
  <c r="Y343" i="22"/>
  <c r="AE343" i="22" s="1"/>
  <c r="U343" i="22"/>
  <c r="AQ342" i="22"/>
  <c r="U342" i="22"/>
  <c r="AQ341" i="22"/>
  <c r="AO341" i="22"/>
  <c r="Y341" i="22"/>
  <c r="AE341" i="22" s="1"/>
  <c r="U341" i="22"/>
  <c r="AQ340" i="22"/>
  <c r="AO340" i="22"/>
  <c r="Y340" i="22"/>
  <c r="AC340" i="22" s="1"/>
  <c r="U340" i="22"/>
  <c r="AQ339" i="22"/>
  <c r="AO339" i="22"/>
  <c r="Y339" i="22"/>
  <c r="U339" i="22"/>
  <c r="AQ338" i="22"/>
  <c r="AO338" i="22"/>
  <c r="Y338" i="22"/>
  <c r="CA338" i="22" s="1"/>
  <c r="CF338" i="22" s="1"/>
  <c r="U338" i="22"/>
  <c r="AQ337" i="22"/>
  <c r="AO337" i="22"/>
  <c r="Y337" i="22"/>
  <c r="AE337" i="22" s="1"/>
  <c r="U337" i="22"/>
  <c r="AQ336" i="22"/>
  <c r="AO336" i="22"/>
  <c r="Y336" i="22"/>
  <c r="AE336" i="22" s="1"/>
  <c r="U336" i="22"/>
  <c r="AQ335" i="22"/>
  <c r="AO335" i="22"/>
  <c r="Y335" i="22"/>
  <c r="U335" i="22"/>
  <c r="A259" i="22"/>
  <c r="A313" i="22"/>
  <c r="AQ245" i="22"/>
  <c r="AO245" i="22"/>
  <c r="Y245" i="22"/>
  <c r="CA245" i="22" s="1"/>
  <c r="U245" i="22"/>
  <c r="AQ244" i="22"/>
  <c r="AO244" i="22"/>
  <c r="Y244" i="22"/>
  <c r="AE244" i="22" s="1"/>
  <c r="U244" i="22"/>
  <c r="AQ243" i="22"/>
  <c r="AO243" i="22"/>
  <c r="Y243" i="22"/>
  <c r="U243" i="22"/>
  <c r="AQ242" i="22"/>
  <c r="AO242" i="22"/>
  <c r="Y242" i="22"/>
  <c r="AD242" i="22" s="1"/>
  <c r="U242" i="22"/>
  <c r="AQ241" i="22"/>
  <c r="AO241" i="22"/>
  <c r="Y241" i="22"/>
  <c r="AD241" i="22" s="1"/>
  <c r="U241" i="22"/>
  <c r="T241" i="22"/>
  <c r="S241" i="22"/>
  <c r="AQ240" i="22"/>
  <c r="AO240" i="22"/>
  <c r="Y240" i="22"/>
  <c r="AC240" i="22" s="1"/>
  <c r="U240" i="22"/>
  <c r="T240" i="22"/>
  <c r="S240" i="22"/>
  <c r="AQ239" i="22"/>
  <c r="AO239" i="22"/>
  <c r="Y239" i="22"/>
  <c r="CA239" i="22" s="1"/>
  <c r="U239" i="22"/>
  <c r="AQ238" i="22"/>
  <c r="AO238" i="22"/>
  <c r="Y238" i="22"/>
  <c r="AE238" i="22" s="1"/>
  <c r="U238" i="22"/>
  <c r="AQ237" i="22"/>
  <c r="AO237" i="22"/>
  <c r="Y237" i="22"/>
  <c r="U237" i="22"/>
  <c r="AT236" i="22"/>
  <c r="AU236" i="22" s="1"/>
  <c r="AQ236" i="22"/>
  <c r="AO236" i="22"/>
  <c r="Y236" i="22"/>
  <c r="AE236" i="22" s="1"/>
  <c r="U236" i="22"/>
  <c r="T236" i="22"/>
  <c r="S236" i="22"/>
  <c r="AQ235" i="22"/>
  <c r="AO235" i="22"/>
  <c r="Y235" i="22"/>
  <c r="AE235" i="22" s="1"/>
  <c r="U235" i="22"/>
  <c r="T235" i="22"/>
  <c r="S235" i="22"/>
  <c r="AQ234" i="22"/>
  <c r="AO234" i="22"/>
  <c r="Y234" i="22"/>
  <c r="U234" i="22"/>
  <c r="AQ233" i="22"/>
  <c r="AO233" i="22"/>
  <c r="Y233" i="22"/>
  <c r="AE233" i="22" s="1"/>
  <c r="U233" i="22"/>
  <c r="AQ232" i="22"/>
  <c r="AO232" i="22"/>
  <c r="Y232" i="22"/>
  <c r="CA232" i="22" s="1"/>
  <c r="CM232" i="22" s="1"/>
  <c r="U232" i="22"/>
  <c r="AQ231" i="22"/>
  <c r="AO231" i="22"/>
  <c r="Y231" i="22"/>
  <c r="CA231" i="22" s="1"/>
  <c r="CM231" i="22" s="1"/>
  <c r="U231" i="22"/>
  <c r="AQ230" i="22"/>
  <c r="AO230" i="22"/>
  <c r="Y230" i="22"/>
  <c r="AE230" i="22" s="1"/>
  <c r="U230" i="22"/>
  <c r="AT229" i="22"/>
  <c r="AU229" i="22" s="1"/>
  <c r="AQ229" i="22"/>
  <c r="AO229" i="22"/>
  <c r="Y229" i="22"/>
  <c r="AC229" i="22" s="1"/>
  <c r="U229" i="22"/>
  <c r="T229" i="22"/>
  <c r="S229" i="22"/>
  <c r="AQ228" i="22"/>
  <c r="AO228" i="22"/>
  <c r="Y228" i="22"/>
  <c r="CA228" i="22" s="1"/>
  <c r="CM228" i="22" s="1"/>
  <c r="U228" i="22"/>
  <c r="T228" i="22"/>
  <c r="S228" i="22"/>
  <c r="AQ227" i="22"/>
  <c r="U227" i="22"/>
  <c r="AQ226" i="22"/>
  <c r="AO226" i="22"/>
  <c r="Y226" i="22"/>
  <c r="AE226" i="22" s="1"/>
  <c r="U226" i="22"/>
  <c r="T226" i="22"/>
  <c r="S226" i="22"/>
  <c r="AQ225" i="22"/>
  <c r="AO225" i="22"/>
  <c r="Y225" i="22"/>
  <c r="AE225" i="22" s="1"/>
  <c r="U225" i="22"/>
  <c r="T225" i="22"/>
  <c r="S225" i="22"/>
  <c r="AQ224" i="22"/>
  <c r="AO224" i="22"/>
  <c r="Y224" i="22"/>
  <c r="CA224" i="22" s="1"/>
  <c r="CF224" i="22" s="1"/>
  <c r="U224" i="22"/>
  <c r="T224" i="22"/>
  <c r="S224" i="22"/>
  <c r="AQ223" i="22"/>
  <c r="AO223" i="22"/>
  <c r="Y223" i="22"/>
  <c r="AE223" i="22" s="1"/>
  <c r="U223" i="22"/>
  <c r="T223" i="22"/>
  <c r="S223" i="22"/>
  <c r="AQ222" i="22"/>
  <c r="AO222" i="22"/>
  <c r="Y222" i="22"/>
  <c r="AE222" i="22" s="1"/>
  <c r="U222" i="22"/>
  <c r="T222" i="22"/>
  <c r="S222" i="22"/>
  <c r="AQ221" i="22"/>
  <c r="AO221" i="22"/>
  <c r="Y221" i="22"/>
  <c r="AE221" i="22" s="1"/>
  <c r="U221" i="22"/>
  <c r="T221" i="22"/>
  <c r="S221" i="22"/>
  <c r="AQ219" i="22"/>
  <c r="AO219" i="22"/>
  <c r="Y219" i="22"/>
  <c r="CA219" i="22" s="1"/>
  <c r="U219" i="22"/>
  <c r="T219" i="22"/>
  <c r="S219" i="22"/>
  <c r="AQ217" i="22"/>
  <c r="AO217" i="22"/>
  <c r="Y217" i="22"/>
  <c r="CA217" i="22" s="1"/>
  <c r="U217" i="22"/>
  <c r="T217" i="22"/>
  <c r="S217" i="22"/>
  <c r="AQ216" i="22"/>
  <c r="AO216" i="22"/>
  <c r="Y216" i="22"/>
  <c r="AE216" i="22" s="1"/>
  <c r="U216" i="22"/>
  <c r="T216" i="22"/>
  <c r="S216" i="22"/>
  <c r="AQ215" i="22"/>
  <c r="AO215" i="22"/>
  <c r="Y215" i="22"/>
  <c r="AE215" i="22" s="1"/>
  <c r="U215" i="22"/>
  <c r="T215" i="22"/>
  <c r="S215" i="22"/>
  <c r="AQ214" i="22"/>
  <c r="AO214" i="22"/>
  <c r="Y214" i="22"/>
  <c r="AD214" i="22" s="1"/>
  <c r="U214" i="22"/>
  <c r="T214" i="22"/>
  <c r="S214" i="22"/>
  <c r="AQ213" i="22"/>
  <c r="AO213" i="22"/>
  <c r="Y213" i="22"/>
  <c r="AE213" i="22" s="1"/>
  <c r="U213" i="22"/>
  <c r="T213" i="22"/>
  <c r="S213" i="22"/>
  <c r="AQ211" i="22"/>
  <c r="AO211" i="22"/>
  <c r="Y211" i="22"/>
  <c r="CA211" i="22" s="1"/>
  <c r="U211" i="22"/>
  <c r="T211" i="22"/>
  <c r="S211" i="22"/>
  <c r="AQ209" i="22"/>
  <c r="AO209" i="22"/>
  <c r="Y209" i="22"/>
  <c r="CA209" i="22" s="1"/>
  <c r="U209" i="22"/>
  <c r="T209" i="22"/>
  <c r="S209" i="22"/>
  <c r="A210" i="22"/>
  <c r="A212" i="22"/>
  <c r="A218" i="22"/>
  <c r="A220" i="22"/>
  <c r="AQ207" i="22"/>
  <c r="AO207" i="22"/>
  <c r="Y207" i="22"/>
  <c r="CA207" i="22" s="1"/>
  <c r="U207" i="22"/>
  <c r="T207" i="22"/>
  <c r="S207" i="22"/>
  <c r="AQ205" i="22"/>
  <c r="AO205" i="22"/>
  <c r="Y205" i="22"/>
  <c r="CA205" i="22" s="1"/>
  <c r="U205" i="22"/>
  <c r="T205" i="22"/>
  <c r="S205" i="22"/>
  <c r="A208" i="22"/>
  <c r="D52" i="18"/>
  <c r="A199" i="22"/>
  <c r="A201" i="22"/>
  <c r="I54" i="18"/>
  <c r="D48" i="18"/>
  <c r="AQ163" i="22"/>
  <c r="AO163" i="22"/>
  <c r="Y163" i="22"/>
  <c r="AD163" i="22" s="1"/>
  <c r="U163" i="22"/>
  <c r="B178" i="22"/>
  <c r="B177" i="22"/>
  <c r="B182" i="22"/>
  <c r="B180" i="22"/>
  <c r="B179" i="22"/>
  <c r="B175" i="22"/>
  <c r="B174" i="22"/>
  <c r="B173" i="22"/>
  <c r="B171" i="22"/>
  <c r="B170" i="22"/>
  <c r="B169" i="22"/>
  <c r="B166" i="22"/>
  <c r="B165" i="22"/>
  <c r="B164" i="22"/>
  <c r="B163" i="22"/>
  <c r="B162" i="22"/>
  <c r="B161" i="22"/>
  <c r="B160" i="22"/>
  <c r="B159" i="22"/>
  <c r="B158" i="22"/>
  <c r="B157" i="22"/>
  <c r="B156" i="22"/>
  <c r="B155" i="22"/>
  <c r="B154" i="22"/>
  <c r="B152" i="22"/>
  <c r="B151" i="22"/>
  <c r="B150" i="22"/>
  <c r="B149" i="22"/>
  <c r="B148" i="22"/>
  <c r="B146" i="22"/>
  <c r="B145" i="22"/>
  <c r="B143" i="22"/>
  <c r="B138" i="22"/>
  <c r="B137" i="22"/>
  <c r="B136" i="22"/>
  <c r="B135" i="22"/>
  <c r="B134" i="22"/>
  <c r="B141" i="22"/>
  <c r="B132" i="22"/>
  <c r="B131" i="22"/>
  <c r="B130" i="22"/>
  <c r="B129" i="22"/>
  <c r="B128" i="22"/>
  <c r="B127" i="22"/>
  <c r="B126" i="22"/>
  <c r="B125" i="22"/>
  <c r="B124" i="22"/>
  <c r="B123" i="22"/>
  <c r="B122" i="22"/>
  <c r="B121" i="22"/>
  <c r="B120" i="22"/>
  <c r="B118" i="22"/>
  <c r="B116" i="22"/>
  <c r="B115" i="22"/>
  <c r="B114" i="22"/>
  <c r="B113" i="22"/>
  <c r="B112" i="22"/>
  <c r="B111" i="22"/>
  <c r="B110" i="22"/>
  <c r="AQ178" i="22"/>
  <c r="AO178" i="22"/>
  <c r="Y178" i="22"/>
  <c r="AE178" i="22" s="1"/>
  <c r="U178" i="22"/>
  <c r="AQ177" i="22"/>
  <c r="AO177" i="22"/>
  <c r="Y177" i="22"/>
  <c r="CA177" i="22" s="1"/>
  <c r="CF177" i="22" s="1"/>
  <c r="U177" i="22"/>
  <c r="AQ182" i="22"/>
  <c r="AO182" i="22"/>
  <c r="BD182" i="22" s="1"/>
  <c r="Y182" i="22"/>
  <c r="AE182" i="22" s="1"/>
  <c r="U182" i="22"/>
  <c r="T182" i="22"/>
  <c r="S182" i="22"/>
  <c r="AQ180" i="22"/>
  <c r="AO180" i="22"/>
  <c r="BD180" i="22" s="1"/>
  <c r="Y180" i="22"/>
  <c r="U180" i="22"/>
  <c r="AQ179" i="22"/>
  <c r="AO179" i="22"/>
  <c r="BD179" i="22" s="1"/>
  <c r="Y179" i="22"/>
  <c r="AC179" i="22" s="1"/>
  <c r="U179" i="22"/>
  <c r="AQ175" i="22"/>
  <c r="AO175" i="22"/>
  <c r="BD175" i="22" s="1"/>
  <c r="Y175" i="22"/>
  <c r="CA175" i="22" s="1"/>
  <c r="U175" i="22"/>
  <c r="T175" i="22"/>
  <c r="S175" i="22"/>
  <c r="AQ174" i="22"/>
  <c r="AO174" i="22"/>
  <c r="BD174" i="22" s="1"/>
  <c r="Y174" i="22"/>
  <c r="AD174" i="22" s="1"/>
  <c r="U174" i="22"/>
  <c r="AQ173" i="22"/>
  <c r="AO173" i="22"/>
  <c r="BD173" i="22" s="1"/>
  <c r="Y173" i="22"/>
  <c r="AC173" i="22" s="1"/>
  <c r="U173" i="22"/>
  <c r="AQ171" i="22"/>
  <c r="U171" i="22"/>
  <c r="D43" i="18"/>
  <c r="AQ170" i="22"/>
  <c r="AO170" i="22"/>
  <c r="BD170" i="22" s="1"/>
  <c r="Y170" i="22"/>
  <c r="AC170" i="22" s="1"/>
  <c r="U170" i="22"/>
  <c r="AQ169" i="22"/>
  <c r="AO169" i="22"/>
  <c r="BD169" i="22" s="1"/>
  <c r="Y169" i="22"/>
  <c r="AE169" i="22" s="1"/>
  <c r="U169" i="22"/>
  <c r="AQ166" i="22"/>
  <c r="AO166" i="22"/>
  <c r="BD166" i="22" s="1"/>
  <c r="Y166" i="22"/>
  <c r="AC166" i="22" s="1"/>
  <c r="U166" i="22"/>
  <c r="AQ165" i="22"/>
  <c r="AO165" i="22"/>
  <c r="BD165" i="22" s="1"/>
  <c r="Y165" i="22"/>
  <c r="AC165" i="22" s="1"/>
  <c r="U165" i="22"/>
  <c r="AQ164" i="22"/>
  <c r="AO164" i="22"/>
  <c r="BD164" i="22" s="1"/>
  <c r="Y164" i="22"/>
  <c r="CA164" i="22" s="1"/>
  <c r="U164" i="22"/>
  <c r="AQ162" i="22"/>
  <c r="AO162" i="22"/>
  <c r="Y162" i="22"/>
  <c r="CA162" i="22" s="1"/>
  <c r="CF162" i="22" s="1"/>
  <c r="U162" i="22"/>
  <c r="AQ161" i="22"/>
  <c r="AO161" i="22"/>
  <c r="BD161" i="22" s="1"/>
  <c r="Y161" i="22"/>
  <c r="CA161" i="22" s="1"/>
  <c r="CF161" i="22" s="1"/>
  <c r="U161" i="22"/>
  <c r="AQ160" i="22"/>
  <c r="AO160" i="22"/>
  <c r="BD160" i="22" s="1"/>
  <c r="Y160" i="22"/>
  <c r="AC160" i="22" s="1"/>
  <c r="U160" i="22"/>
  <c r="AQ159" i="22"/>
  <c r="AO159" i="22"/>
  <c r="BD159" i="22" s="1"/>
  <c r="Y159" i="22"/>
  <c r="AD159" i="22" s="1"/>
  <c r="U159" i="22"/>
  <c r="T159" i="22"/>
  <c r="S159" i="22"/>
  <c r="AQ158" i="22"/>
  <c r="AO158" i="22"/>
  <c r="BD158" i="22" s="1"/>
  <c r="Y158" i="22"/>
  <c r="AE158" i="22" s="1"/>
  <c r="U158" i="22"/>
  <c r="AQ157" i="22"/>
  <c r="AO157" i="22"/>
  <c r="BD157" i="22" s="1"/>
  <c r="Y157" i="22"/>
  <c r="AC157" i="22" s="1"/>
  <c r="U157" i="22"/>
  <c r="T157" i="22"/>
  <c r="S157" i="22"/>
  <c r="AQ156" i="22"/>
  <c r="AO156" i="22"/>
  <c r="BD156" i="22" s="1"/>
  <c r="Y156" i="22"/>
  <c r="AE156" i="22" s="1"/>
  <c r="U156" i="22"/>
  <c r="AQ155" i="22"/>
  <c r="AO155" i="22"/>
  <c r="BD155" i="22" s="1"/>
  <c r="Y155" i="22"/>
  <c r="CA155" i="22" s="1"/>
  <c r="CF155" i="22" s="1"/>
  <c r="U155" i="22"/>
  <c r="AQ154" i="22"/>
  <c r="AO154" i="22"/>
  <c r="BD154" i="22" s="1"/>
  <c r="Y154" i="22"/>
  <c r="AC154" i="22" s="1"/>
  <c r="U154" i="22"/>
  <c r="T154" i="22"/>
  <c r="S154" i="22"/>
  <c r="AQ152" i="22"/>
  <c r="AO152" i="22"/>
  <c r="Y152" i="22"/>
  <c r="AE152" i="22" s="1"/>
  <c r="U152" i="22"/>
  <c r="T152" i="22"/>
  <c r="S152" i="22"/>
  <c r="AQ151" i="22"/>
  <c r="AO151" i="22"/>
  <c r="BD151" i="22" s="1"/>
  <c r="Y151" i="22"/>
  <c r="AE151" i="22" s="1"/>
  <c r="U151" i="22"/>
  <c r="T151" i="22"/>
  <c r="S151" i="22"/>
  <c r="AQ150" i="22"/>
  <c r="AO150" i="22"/>
  <c r="BD150" i="22" s="1"/>
  <c r="Y150" i="22"/>
  <c r="AD150" i="22" s="1"/>
  <c r="U150" i="22"/>
  <c r="T150" i="22"/>
  <c r="S150" i="22"/>
  <c r="AQ149" i="22"/>
  <c r="AO149" i="22"/>
  <c r="BD149" i="22" s="1"/>
  <c r="Y149" i="22"/>
  <c r="AE149" i="22" s="1"/>
  <c r="U149" i="22"/>
  <c r="T149" i="22"/>
  <c r="S149" i="22"/>
  <c r="AQ148" i="22"/>
  <c r="AO148" i="22"/>
  <c r="BD148" i="22" s="1"/>
  <c r="Y148" i="22"/>
  <c r="AD148" i="22" s="1"/>
  <c r="U148" i="22"/>
  <c r="T148" i="22"/>
  <c r="S148" i="22"/>
  <c r="AQ146" i="22"/>
  <c r="AO146" i="22"/>
  <c r="BD146" i="22" s="1"/>
  <c r="Y146" i="22"/>
  <c r="AD146" i="22" s="1"/>
  <c r="U146" i="22"/>
  <c r="T146" i="22"/>
  <c r="S146" i="22"/>
  <c r="AQ145" i="22"/>
  <c r="AO145" i="22"/>
  <c r="BD145" i="22" s="1"/>
  <c r="Y145" i="22"/>
  <c r="CA145" i="22" s="1"/>
  <c r="U145" i="22"/>
  <c r="T145" i="22"/>
  <c r="S145" i="22"/>
  <c r="AQ143" i="22"/>
  <c r="AO143" i="22"/>
  <c r="BD143" i="22" s="1"/>
  <c r="Y143" i="22"/>
  <c r="AD143" i="22" s="1"/>
  <c r="U143" i="22"/>
  <c r="T143" i="22"/>
  <c r="S143" i="22"/>
  <c r="AQ138" i="22"/>
  <c r="AO138" i="22"/>
  <c r="Y138" i="22"/>
  <c r="CA138" i="22" s="1"/>
  <c r="U138" i="22"/>
  <c r="T138" i="22"/>
  <c r="S138" i="22"/>
  <c r="AQ137" i="22"/>
  <c r="AO137" i="22"/>
  <c r="BD137" i="22" s="1"/>
  <c r="Y137" i="22"/>
  <c r="U137" i="22"/>
  <c r="T137" i="22"/>
  <c r="S137" i="22"/>
  <c r="AQ136" i="22"/>
  <c r="AO136" i="22"/>
  <c r="BD136" i="22" s="1"/>
  <c r="Y136" i="22"/>
  <c r="AC136" i="22" s="1"/>
  <c r="U136" i="22"/>
  <c r="T136" i="22"/>
  <c r="S136" i="22"/>
  <c r="AQ135" i="22"/>
  <c r="AO135" i="22"/>
  <c r="BD135" i="22" s="1"/>
  <c r="Y135" i="22"/>
  <c r="AC135" i="22" s="1"/>
  <c r="U135" i="22"/>
  <c r="AQ134" i="22"/>
  <c r="AO134" i="22"/>
  <c r="BD134" i="22" s="1"/>
  <c r="Y134" i="22"/>
  <c r="AE134" i="22" s="1"/>
  <c r="U134" i="22"/>
  <c r="T134" i="22"/>
  <c r="S134" i="22"/>
  <c r="AQ141" i="22"/>
  <c r="AO141" i="22"/>
  <c r="BD141" i="22" s="1"/>
  <c r="Y141" i="22"/>
  <c r="AC141" i="22" s="1"/>
  <c r="U141" i="22"/>
  <c r="T141" i="22"/>
  <c r="S141" i="22"/>
  <c r="AQ132" i="22"/>
  <c r="U132" i="22"/>
  <c r="T132" i="22"/>
  <c r="S132" i="22"/>
  <c r="AQ131" i="22"/>
  <c r="U131" i="22"/>
  <c r="T131" i="22"/>
  <c r="S131" i="22"/>
  <c r="AQ130" i="22"/>
  <c r="AO130" i="22"/>
  <c r="BD130" i="22" s="1"/>
  <c r="Y130" i="22"/>
  <c r="CA130" i="22" s="1"/>
  <c r="U130" i="22"/>
  <c r="T130" i="22"/>
  <c r="S130" i="22"/>
  <c r="AQ129" i="22"/>
  <c r="AO129" i="22"/>
  <c r="BD129" i="22" s="1"/>
  <c r="Y129" i="22"/>
  <c r="AE129" i="22" s="1"/>
  <c r="U129" i="22"/>
  <c r="T129" i="22"/>
  <c r="S129" i="22"/>
  <c r="AQ128" i="22"/>
  <c r="AO128" i="22"/>
  <c r="BD128" i="22" s="1"/>
  <c r="Y128" i="22"/>
  <c r="AD128" i="22" s="1"/>
  <c r="U128" i="22"/>
  <c r="T128" i="22"/>
  <c r="S128" i="22"/>
  <c r="AQ127" i="22"/>
  <c r="AO127" i="22"/>
  <c r="Y127" i="22"/>
  <c r="AE127" i="22" s="1"/>
  <c r="U127" i="22"/>
  <c r="T127" i="22"/>
  <c r="S127" i="22"/>
  <c r="AQ126" i="22"/>
  <c r="AO126" i="22"/>
  <c r="BD126" i="22" s="1"/>
  <c r="Y126" i="22"/>
  <c r="U126" i="22"/>
  <c r="T126" i="22"/>
  <c r="S126" i="22"/>
  <c r="AQ125" i="22"/>
  <c r="AO125" i="22"/>
  <c r="BD125" i="22" s="1"/>
  <c r="Y125" i="22"/>
  <c r="AE125" i="22" s="1"/>
  <c r="U125" i="22"/>
  <c r="T125" i="22"/>
  <c r="S125" i="22"/>
  <c r="AQ124" i="22"/>
  <c r="AO124" i="22"/>
  <c r="BD124" i="22" s="1"/>
  <c r="Y124" i="22"/>
  <c r="AE124" i="22" s="1"/>
  <c r="U124" i="22"/>
  <c r="T124" i="22"/>
  <c r="S124" i="22"/>
  <c r="AQ123" i="22"/>
  <c r="AO123" i="22"/>
  <c r="BD123" i="22" s="1"/>
  <c r="Y123" i="22"/>
  <c r="AE123" i="22" s="1"/>
  <c r="U123" i="22"/>
  <c r="T123" i="22"/>
  <c r="S123" i="22"/>
  <c r="AQ122" i="22"/>
  <c r="AO122" i="22"/>
  <c r="BD122" i="22" s="1"/>
  <c r="Y122" i="22"/>
  <c r="CA122" i="22" s="1"/>
  <c r="U122" i="22"/>
  <c r="T122" i="22"/>
  <c r="S122" i="22"/>
  <c r="AQ121" i="22"/>
  <c r="AO121" i="22"/>
  <c r="BD121" i="22" s="1"/>
  <c r="Y121" i="22"/>
  <c r="CA121" i="22" s="1"/>
  <c r="U121" i="22"/>
  <c r="T121" i="22"/>
  <c r="S121" i="22"/>
  <c r="AQ120" i="22"/>
  <c r="AO120" i="22"/>
  <c r="BD120" i="22" s="1"/>
  <c r="Y120" i="22"/>
  <c r="U120" i="22"/>
  <c r="T120" i="22"/>
  <c r="S120" i="22"/>
  <c r="AQ118" i="22"/>
  <c r="AO118" i="22"/>
  <c r="BD118" i="22" s="1"/>
  <c r="Y118" i="22"/>
  <c r="AE118" i="22" s="1"/>
  <c r="U118" i="22"/>
  <c r="T118" i="22"/>
  <c r="S118" i="22"/>
  <c r="AQ116" i="22"/>
  <c r="AO116" i="22"/>
  <c r="Y116" i="22"/>
  <c r="CA116" i="22" s="1"/>
  <c r="CM116" i="22" s="1"/>
  <c r="U116" i="22"/>
  <c r="T116" i="22"/>
  <c r="S116" i="22"/>
  <c r="AQ115" i="22"/>
  <c r="AO115" i="22"/>
  <c r="BD115" i="22" s="1"/>
  <c r="Y115" i="22"/>
  <c r="AD115" i="22" s="1"/>
  <c r="U115" i="22"/>
  <c r="T115" i="22"/>
  <c r="S115" i="22"/>
  <c r="AQ114" i="22"/>
  <c r="AO114" i="22"/>
  <c r="BD114" i="22" s="1"/>
  <c r="Y114" i="22"/>
  <c r="AC114" i="22" s="1"/>
  <c r="U114" i="22"/>
  <c r="T114" i="22"/>
  <c r="S114" i="22"/>
  <c r="AQ113" i="22"/>
  <c r="AO113" i="22"/>
  <c r="BD113" i="22" s="1"/>
  <c r="Y113" i="22"/>
  <c r="CA113" i="22" s="1"/>
  <c r="CM113" i="22" s="1"/>
  <c r="U113" i="22"/>
  <c r="T113" i="22"/>
  <c r="S113" i="22"/>
  <c r="AQ112" i="22"/>
  <c r="AO112" i="22"/>
  <c r="BD112" i="22" s="1"/>
  <c r="Y112" i="22"/>
  <c r="AC112" i="22" s="1"/>
  <c r="U112" i="22"/>
  <c r="T112" i="22"/>
  <c r="S112" i="22"/>
  <c r="AQ111" i="22"/>
  <c r="AO111" i="22"/>
  <c r="BD111" i="22" s="1"/>
  <c r="Y111" i="22"/>
  <c r="CA111" i="22" s="1"/>
  <c r="U111" i="22"/>
  <c r="T111" i="22"/>
  <c r="S111" i="22"/>
  <c r="AQ110" i="22"/>
  <c r="AO110" i="22"/>
  <c r="BD110" i="22" s="1"/>
  <c r="Y110" i="22"/>
  <c r="U110" i="22"/>
  <c r="T110" i="22"/>
  <c r="S110" i="22"/>
  <c r="A153" i="22"/>
  <c r="A142" i="22"/>
  <c r="A108" i="22"/>
  <c r="A5" i="22"/>
  <c r="A8" i="22"/>
  <c r="D324" i="18"/>
  <c r="P324" i="18"/>
  <c r="L324" i="18"/>
  <c r="J324" i="18"/>
  <c r="C324" i="18"/>
  <c r="A355" i="22" s="1"/>
  <c r="D319" i="18"/>
  <c r="D320" i="18"/>
  <c r="P319" i="18"/>
  <c r="L319" i="18"/>
  <c r="J319" i="18"/>
  <c r="C319" i="18"/>
  <c r="A350" i="22" s="1"/>
  <c r="D317" i="18"/>
  <c r="P317" i="18"/>
  <c r="L317" i="18"/>
  <c r="J317" i="18"/>
  <c r="C317" i="18"/>
  <c r="A348" i="22" s="1"/>
  <c r="AQ88" i="22"/>
  <c r="U88" i="22"/>
  <c r="T88" i="22"/>
  <c r="S88" i="22"/>
  <c r="AQ87" i="22"/>
  <c r="U87" i="22"/>
  <c r="T87" i="22"/>
  <c r="S87" i="22"/>
  <c r="AQ86" i="22"/>
  <c r="U86" i="22"/>
  <c r="AQ85" i="22"/>
  <c r="U85" i="22"/>
  <c r="AQ84" i="22"/>
  <c r="U84" i="22"/>
  <c r="AQ83" i="22"/>
  <c r="U83" i="22"/>
  <c r="AQ82" i="22"/>
  <c r="U82" i="22"/>
  <c r="AQ81" i="22"/>
  <c r="U81" i="22"/>
  <c r="T81" i="22"/>
  <c r="S81" i="22"/>
  <c r="AQ80" i="22"/>
  <c r="U80" i="22"/>
  <c r="T80" i="22"/>
  <c r="S80" i="22"/>
  <c r="AQ79" i="22"/>
  <c r="U79" i="22"/>
  <c r="T79" i="22"/>
  <c r="S79" i="22"/>
  <c r="AQ78" i="22"/>
  <c r="U78" i="22"/>
  <c r="T78" i="22"/>
  <c r="S78" i="22"/>
  <c r="AQ77" i="22"/>
  <c r="U77" i="22"/>
  <c r="T77" i="22"/>
  <c r="S77" i="22"/>
  <c r="AQ76" i="22"/>
  <c r="U76" i="22"/>
  <c r="T76" i="22"/>
  <c r="S76" i="22"/>
  <c r="AQ75" i="22"/>
  <c r="U75" i="22"/>
  <c r="AQ72" i="22"/>
  <c r="U72" i="22"/>
  <c r="AQ71" i="22"/>
  <c r="U71" i="22"/>
  <c r="AQ70" i="22"/>
  <c r="U70" i="22"/>
  <c r="AQ74" i="22"/>
  <c r="U74" i="22"/>
  <c r="AQ73" i="22"/>
  <c r="U73" i="22"/>
  <c r="AQ69" i="22"/>
  <c r="U69" i="22"/>
  <c r="AQ68" i="22"/>
  <c r="U68" i="22"/>
  <c r="AQ67" i="22"/>
  <c r="U67" i="22"/>
  <c r="AQ66" i="22"/>
  <c r="U66" i="22"/>
  <c r="AQ65" i="22"/>
  <c r="U65" i="22"/>
  <c r="AQ64" i="22"/>
  <c r="U64" i="22"/>
  <c r="T64" i="22"/>
  <c r="S64" i="22"/>
  <c r="AQ63" i="22"/>
  <c r="U63" i="22"/>
  <c r="AQ62" i="22"/>
  <c r="U62" i="22"/>
  <c r="T62" i="22"/>
  <c r="S62" i="22"/>
  <c r="AQ61" i="22"/>
  <c r="U61" i="22"/>
  <c r="AQ60" i="22"/>
  <c r="U60" i="22"/>
  <c r="AQ59" i="22"/>
  <c r="U59" i="22"/>
  <c r="AQ58" i="22"/>
  <c r="U58" i="22"/>
  <c r="AQ57" i="22"/>
  <c r="U57" i="22"/>
  <c r="AQ56" i="22"/>
  <c r="U56" i="22"/>
  <c r="AQ55" i="22"/>
  <c r="U55" i="22"/>
  <c r="S18" i="22"/>
  <c r="T18" i="22"/>
  <c r="U18" i="22"/>
  <c r="Y18" i="22"/>
  <c r="AC18" i="22" s="1"/>
  <c r="AO18" i="22"/>
  <c r="AQ18" i="22"/>
  <c r="AQ54" i="22"/>
  <c r="U54" i="22"/>
  <c r="AQ53" i="22"/>
  <c r="U53" i="22"/>
  <c r="AQ52" i="22"/>
  <c r="U52" i="22"/>
  <c r="AQ51" i="22"/>
  <c r="U51" i="22"/>
  <c r="AQ50" i="22"/>
  <c r="U50" i="22"/>
  <c r="AQ49" i="22"/>
  <c r="U49" i="22"/>
  <c r="AQ48" i="22"/>
  <c r="U48" i="22"/>
  <c r="AQ47" i="22"/>
  <c r="U47" i="22"/>
  <c r="AQ46" i="22"/>
  <c r="U46" i="22"/>
  <c r="AQ45" i="22"/>
  <c r="U45" i="22"/>
  <c r="AQ44" i="22"/>
  <c r="U44" i="22"/>
  <c r="AQ43" i="22"/>
  <c r="U43" i="22"/>
  <c r="AQ41" i="22"/>
  <c r="U41" i="22"/>
  <c r="T41" i="22"/>
  <c r="S41" i="22"/>
  <c r="AQ40" i="22"/>
  <c r="U40" i="22"/>
  <c r="T40" i="22"/>
  <c r="S40" i="22"/>
  <c r="AQ39" i="22"/>
  <c r="U39" i="22"/>
  <c r="T39" i="22"/>
  <c r="S39" i="22"/>
  <c r="AQ38" i="22"/>
  <c r="U38" i="22"/>
  <c r="T38" i="22"/>
  <c r="S38" i="22"/>
  <c r="AQ37" i="22"/>
  <c r="U37" i="22"/>
  <c r="T37" i="22"/>
  <c r="S37" i="22"/>
  <c r="AQ36" i="22"/>
  <c r="U36" i="22"/>
  <c r="T36" i="22"/>
  <c r="S36" i="22"/>
  <c r="AQ35" i="22"/>
  <c r="U35" i="22"/>
  <c r="T35" i="22"/>
  <c r="S35" i="22"/>
  <c r="AQ34" i="22"/>
  <c r="U34" i="22"/>
  <c r="T34" i="22"/>
  <c r="S34" i="22"/>
  <c r="AQ33" i="22"/>
  <c r="U33" i="22"/>
  <c r="T33" i="22"/>
  <c r="S33" i="22"/>
  <c r="AQ32" i="22"/>
  <c r="U32" i="22"/>
  <c r="T32" i="22"/>
  <c r="S32" i="22"/>
  <c r="AQ31" i="22"/>
  <c r="U31" i="22"/>
  <c r="T31" i="22"/>
  <c r="S31" i="22"/>
  <c r="AQ30" i="22"/>
  <c r="U30" i="22"/>
  <c r="T30" i="22"/>
  <c r="S30" i="22"/>
  <c r="AQ29" i="22"/>
  <c r="U29" i="22"/>
  <c r="T29" i="22"/>
  <c r="S29" i="22"/>
  <c r="AQ28" i="22"/>
  <c r="U28" i="22"/>
  <c r="T28" i="22"/>
  <c r="S28" i="22"/>
  <c r="AQ27" i="22"/>
  <c r="U27" i="22"/>
  <c r="T27" i="22"/>
  <c r="S27" i="22"/>
  <c r="AQ26" i="22"/>
  <c r="U26" i="22"/>
  <c r="T26" i="22"/>
  <c r="S26" i="22"/>
  <c r="AQ25" i="22"/>
  <c r="U25" i="22"/>
  <c r="T25" i="22"/>
  <c r="S25" i="22"/>
  <c r="D315" i="18"/>
  <c r="P315" i="18"/>
  <c r="J315" i="18"/>
  <c r="L315" i="18"/>
  <c r="C315" i="18"/>
  <c r="A346" i="22" s="1"/>
  <c r="D314" i="18"/>
  <c r="D313" i="18"/>
  <c r="P313" i="18"/>
  <c r="C313" i="18"/>
  <c r="A344" i="22" s="1"/>
  <c r="J313" i="18"/>
  <c r="L313" i="18"/>
  <c r="D311" i="18"/>
  <c r="D310" i="18"/>
  <c r="C310" i="18"/>
  <c r="A341" i="22" s="1"/>
  <c r="J310" i="18"/>
  <c r="L310" i="18"/>
  <c r="P310" i="18"/>
  <c r="C311" i="18"/>
  <c r="A342" i="22" s="1"/>
  <c r="J311" i="18"/>
  <c r="L311" i="18"/>
  <c r="P311" i="18"/>
  <c r="D296" i="18"/>
  <c r="D295" i="18"/>
  <c r="P295" i="18"/>
  <c r="J295" i="18"/>
  <c r="L295" i="18"/>
  <c r="C295" i="18"/>
  <c r="A326" i="22" s="1"/>
  <c r="D294" i="18"/>
  <c r="D293" i="18"/>
  <c r="P293" i="18"/>
  <c r="C293" i="18"/>
  <c r="A324" i="22" s="1"/>
  <c r="J293" i="18"/>
  <c r="L293" i="18"/>
  <c r="D292" i="18"/>
  <c r="D291" i="18"/>
  <c r="P291" i="18"/>
  <c r="C291" i="18"/>
  <c r="A322" i="22" s="1"/>
  <c r="J291" i="18"/>
  <c r="L291" i="18"/>
  <c r="D290" i="18"/>
  <c r="D289" i="18"/>
  <c r="P289" i="18"/>
  <c r="C289" i="18"/>
  <c r="A320" i="22" s="1"/>
  <c r="J289" i="18"/>
  <c r="L289" i="18"/>
  <c r="D288" i="18"/>
  <c r="P288" i="18"/>
  <c r="C288" i="18"/>
  <c r="A319" i="22" s="1"/>
  <c r="J288" i="18"/>
  <c r="L288" i="18"/>
  <c r="D287" i="18"/>
  <c r="P287" i="18"/>
  <c r="C287" i="18"/>
  <c r="A318" i="22" s="1"/>
  <c r="J287" i="18"/>
  <c r="L287" i="18"/>
  <c r="D286" i="18"/>
  <c r="P286" i="18"/>
  <c r="C286" i="18"/>
  <c r="A317" i="22" s="1"/>
  <c r="J286" i="18"/>
  <c r="L286" i="18"/>
  <c r="D285" i="18"/>
  <c r="P285" i="18"/>
  <c r="C285" i="18"/>
  <c r="A316" i="22" s="1"/>
  <c r="J285" i="18"/>
  <c r="L285" i="18"/>
  <c r="C276" i="18"/>
  <c r="A307" i="22" s="1"/>
  <c r="J276" i="18"/>
  <c r="L276" i="18"/>
  <c r="P276" i="18"/>
  <c r="C277" i="18"/>
  <c r="A308" i="22" s="1"/>
  <c r="J277" i="18"/>
  <c r="L277" i="18"/>
  <c r="P277" i="18"/>
  <c r="C278" i="18"/>
  <c r="A309" i="22" s="1"/>
  <c r="J278" i="18"/>
  <c r="L278" i="18"/>
  <c r="P278" i="18"/>
  <c r="C279" i="18"/>
  <c r="A310" i="22" s="1"/>
  <c r="J279" i="18"/>
  <c r="L279" i="18"/>
  <c r="P279" i="18"/>
  <c r="C280" i="18"/>
  <c r="A311" i="22" s="1"/>
  <c r="J280" i="18"/>
  <c r="L280" i="18"/>
  <c r="P280" i="18"/>
  <c r="C281" i="18"/>
  <c r="A312" i="22" s="1"/>
  <c r="J281" i="18"/>
  <c r="L281" i="18"/>
  <c r="P281" i="18"/>
  <c r="C32" i="18"/>
  <c r="A34" i="22" s="1"/>
  <c r="C33" i="18"/>
  <c r="C34" i="18"/>
  <c r="C253" i="18"/>
  <c r="A284" i="22" s="1"/>
  <c r="J253" i="18"/>
  <c r="L253" i="18"/>
  <c r="P253" i="18"/>
  <c r="C254" i="18"/>
  <c r="A285" i="22" s="1"/>
  <c r="J254" i="18"/>
  <c r="L254" i="18"/>
  <c r="P254" i="18"/>
  <c r="C249" i="18"/>
  <c r="A280" i="22" s="1"/>
  <c r="J249" i="18"/>
  <c r="L249" i="18"/>
  <c r="P249" i="18"/>
  <c r="C250" i="18"/>
  <c r="A281" i="22" s="1"/>
  <c r="J250" i="18"/>
  <c r="L250" i="18"/>
  <c r="P250" i="18"/>
  <c r="C251" i="18"/>
  <c r="A282" i="22" s="1"/>
  <c r="J251" i="18"/>
  <c r="L251" i="18"/>
  <c r="P251" i="18"/>
  <c r="C252" i="18"/>
  <c r="A283" i="22" s="1"/>
  <c r="J252" i="18"/>
  <c r="L252" i="18"/>
  <c r="P252" i="18"/>
  <c r="C247" i="18"/>
  <c r="A278" i="22" s="1"/>
  <c r="J247" i="18"/>
  <c r="L247" i="18"/>
  <c r="P247" i="18"/>
  <c r="C248" i="18"/>
  <c r="A279" i="22" s="1"/>
  <c r="J248" i="18"/>
  <c r="L248" i="18"/>
  <c r="P248" i="18"/>
  <c r="P246" i="18"/>
  <c r="L246" i="18"/>
  <c r="J246" i="18"/>
  <c r="C246" i="18"/>
  <c r="A277" i="22" s="1"/>
  <c r="P245" i="18"/>
  <c r="L245" i="18"/>
  <c r="C245" i="18"/>
  <c r="A276" i="22" s="1"/>
  <c r="J245" i="18"/>
  <c r="P244" i="18"/>
  <c r="L244" i="18"/>
  <c r="C244" i="18"/>
  <c r="A275" i="22" s="1"/>
  <c r="J244" i="18"/>
  <c r="P240" i="18"/>
  <c r="L240" i="18"/>
  <c r="C240" i="18"/>
  <c r="A271" i="22" s="1"/>
  <c r="J240" i="18"/>
  <c r="P238" i="18"/>
  <c r="L238" i="18"/>
  <c r="C238" i="18"/>
  <c r="A269" i="22" s="1"/>
  <c r="J238" i="18"/>
  <c r="T270" i="22"/>
  <c r="S270" i="22"/>
  <c r="T269" i="22"/>
  <c r="S269" i="22"/>
  <c r="T268" i="22"/>
  <c r="S268" i="22"/>
  <c r="T267" i="22"/>
  <c r="S267" i="22"/>
  <c r="T266" i="22"/>
  <c r="S266" i="22"/>
  <c r="T265" i="22"/>
  <c r="S265" i="22"/>
  <c r="T206" i="22"/>
  <c r="S206" i="22"/>
  <c r="T204" i="22"/>
  <c r="S204" i="22"/>
  <c r="T200" i="22"/>
  <c r="S200" i="22"/>
  <c r="T7" i="22"/>
  <c r="S7" i="22"/>
  <c r="T6" i="22"/>
  <c r="S6" i="22"/>
  <c r="T9" i="22"/>
  <c r="S9" i="22"/>
  <c r="T24" i="22"/>
  <c r="S24" i="22"/>
  <c r="T23" i="22"/>
  <c r="S23" i="22"/>
  <c r="T22" i="22"/>
  <c r="S22" i="22"/>
  <c r="T21" i="22"/>
  <c r="S21" i="22"/>
  <c r="T20" i="22"/>
  <c r="S20" i="22"/>
  <c r="T19" i="22"/>
  <c r="S19" i="22"/>
  <c r="T17" i="22"/>
  <c r="S17" i="22"/>
  <c r="T16" i="22"/>
  <c r="S16" i="22"/>
  <c r="T15" i="22"/>
  <c r="S15" i="22"/>
  <c r="T14" i="22"/>
  <c r="S14" i="22"/>
  <c r="T13" i="22"/>
  <c r="S13" i="22"/>
  <c r="T12" i="22"/>
  <c r="S12" i="22"/>
  <c r="T11" i="22"/>
  <c r="S11" i="22"/>
  <c r="AD350" i="22" l="1"/>
  <c r="DD36" i="22"/>
  <c r="A36" i="22"/>
  <c r="DD35" i="22"/>
  <c r="A35" i="22"/>
  <c r="CA335" i="22"/>
  <c r="CA341" i="22"/>
  <c r="CF341" i="22" s="1"/>
  <c r="AD341" i="22"/>
  <c r="AC338" i="22"/>
  <c r="AE340" i="22"/>
  <c r="CA337" i="22"/>
  <c r="CM337" i="22" s="1"/>
  <c r="AD338" i="22"/>
  <c r="AC337" i="22"/>
  <c r="AE338" i="22"/>
  <c r="CA346" i="22"/>
  <c r="AD337" i="22"/>
  <c r="AC346" i="22"/>
  <c r="AE347" i="22"/>
  <c r="CA351" i="22"/>
  <c r="AD346" i="22"/>
  <c r="AC349" i="22"/>
  <c r="CA352" i="22"/>
  <c r="CF352" i="22" s="1"/>
  <c r="CA344" i="22"/>
  <c r="CM344" i="22" s="1"/>
  <c r="AE346" i="22"/>
  <c r="AE349" i="22"/>
  <c r="AC341" i="22"/>
  <c r="AC344" i="22"/>
  <c r="CA347" i="22"/>
  <c r="CM347" i="22" s="1"/>
  <c r="AD344" i="22"/>
  <c r="CA349" i="22"/>
  <c r="CF349" i="22" s="1"/>
  <c r="AC350" i="22"/>
  <c r="CA350" i="22"/>
  <c r="CA336" i="22"/>
  <c r="AC336" i="22"/>
  <c r="AC339" i="22"/>
  <c r="AD336" i="22"/>
  <c r="AD339" i="22"/>
  <c r="CA340" i="22"/>
  <c r="CM338" i="22"/>
  <c r="AE339" i="22"/>
  <c r="AD340" i="22"/>
  <c r="AD345" i="22"/>
  <c r="AD348" i="22"/>
  <c r="AC348" i="22"/>
  <c r="AC345" i="22"/>
  <c r="AE345" i="22"/>
  <c r="CA339" i="22"/>
  <c r="CA343" i="22"/>
  <c r="AD343" i="22"/>
  <c r="AC343" i="22"/>
  <c r="CA345" i="22"/>
  <c r="CA348" i="22"/>
  <c r="AC352" i="22"/>
  <c r="AD352" i="22"/>
  <c r="AE352" i="22"/>
  <c r="AC347" i="22"/>
  <c r="AC351" i="22"/>
  <c r="AD351" i="22"/>
  <c r="CA354" i="22"/>
  <c r="AC219" i="22"/>
  <c r="AC230" i="22"/>
  <c r="AC209" i="22"/>
  <c r="AC214" i="22"/>
  <c r="AE214" i="22"/>
  <c r="AC205" i="22"/>
  <c r="AD215" i="22"/>
  <c r="AC241" i="22"/>
  <c r="AD226" i="22"/>
  <c r="AD207" i="22"/>
  <c r="CA229" i="22"/>
  <c r="CM229" i="22" s="1"/>
  <c r="AC211" i="22"/>
  <c r="AC216" i="22"/>
  <c r="AC225" i="22"/>
  <c r="CA241" i="22"/>
  <c r="CF241" i="22" s="1"/>
  <c r="AE211" i="22"/>
  <c r="AD216" i="22"/>
  <c r="CA213" i="22"/>
  <c r="CF213" i="22" s="1"/>
  <c r="AD222" i="22"/>
  <c r="CA226" i="22"/>
  <c r="AC217" i="22"/>
  <c r="AC213" i="22"/>
  <c r="AC239" i="22"/>
  <c r="AE209" i="22"/>
  <c r="CA216" i="22"/>
  <c r="CF216" i="22" s="1"/>
  <c r="AC224" i="22"/>
  <c r="AD224" i="22"/>
  <c r="AC226" i="22"/>
  <c r="AE224" i="22"/>
  <c r="CA222" i="22"/>
  <c r="CF222" i="22" s="1"/>
  <c r="CA230" i="22"/>
  <c r="CM230" i="22" s="1"/>
  <c r="AC238" i="22"/>
  <c r="AD240" i="22"/>
  <c r="AC207" i="22"/>
  <c r="AE207" i="22"/>
  <c r="AE219" i="22"/>
  <c r="AD232" i="22"/>
  <c r="CA238" i="22"/>
  <c r="CF238" i="22" s="1"/>
  <c r="AE245" i="22"/>
  <c r="AC245" i="22"/>
  <c r="AE232" i="22"/>
  <c r="AC231" i="22"/>
  <c r="AD238" i="22"/>
  <c r="AC235" i="22"/>
  <c r="AD231" i="22"/>
  <c r="AE231" i="22"/>
  <c r="CA235" i="22"/>
  <c r="CM235" i="22" s="1"/>
  <c r="AC232" i="22"/>
  <c r="AC242" i="22"/>
  <c r="AE240" i="22"/>
  <c r="AE241" i="22"/>
  <c r="AE242" i="22"/>
  <c r="AC244" i="22"/>
  <c r="CA244" i="22"/>
  <c r="CF244" i="22" s="1"/>
  <c r="AD233" i="22"/>
  <c r="AD244" i="22"/>
  <c r="AB232" i="22"/>
  <c r="AV232" i="22"/>
  <c r="AT232" i="22"/>
  <c r="AB222" i="22"/>
  <c r="AT222" i="22"/>
  <c r="AV222" i="22"/>
  <c r="AV227" i="22"/>
  <c r="AT227" i="22"/>
  <c r="AB227" i="22"/>
  <c r="AV225" i="22"/>
  <c r="AT225" i="22"/>
  <c r="AU225" i="22" s="1"/>
  <c r="AB225" i="22"/>
  <c r="AV224" i="22"/>
  <c r="AT224" i="22"/>
  <c r="AB224" i="22"/>
  <c r="AT223" i="22"/>
  <c r="AU223" i="22" s="1"/>
  <c r="AV223" i="22"/>
  <c r="AB223" i="22"/>
  <c r="AB221" i="22"/>
  <c r="AV221" i="22"/>
  <c r="AT221" i="22"/>
  <c r="AU221" i="22" s="1"/>
  <c r="AT226" i="22"/>
  <c r="AB226" i="22"/>
  <c r="AV226" i="22"/>
  <c r="AD225" i="22"/>
  <c r="AE229" i="22"/>
  <c r="AD229" i="22"/>
  <c r="AV229" i="22"/>
  <c r="CA223" i="22"/>
  <c r="AB233" i="22"/>
  <c r="AV233" i="22"/>
  <c r="AT233" i="22"/>
  <c r="CM224" i="22"/>
  <c r="AV231" i="22"/>
  <c r="AT231" i="22"/>
  <c r="AU231" i="22" s="1"/>
  <c r="AC223" i="22"/>
  <c r="AB228" i="22"/>
  <c r="AV228" i="22"/>
  <c r="AB231" i="22"/>
  <c r="AT234" i="22"/>
  <c r="AU234" i="22" s="1"/>
  <c r="AB234" i="22"/>
  <c r="AD223" i="22"/>
  <c r="CA225" i="22"/>
  <c r="AE228" i="22"/>
  <c r="AD228" i="22"/>
  <c r="AC228" i="22"/>
  <c r="AT228" i="22"/>
  <c r="BD228" i="22" s="1"/>
  <c r="AV238" i="22"/>
  <c r="AT238" i="22"/>
  <c r="BD238" i="22" s="1"/>
  <c r="AB238" i="22"/>
  <c r="CA221" i="22"/>
  <c r="AC222" i="22"/>
  <c r="AB240" i="22"/>
  <c r="AV240" i="22"/>
  <c r="AT240" i="22"/>
  <c r="AC221" i="22"/>
  <c r="AE237" i="22"/>
  <c r="AD237" i="22"/>
  <c r="AC237" i="22"/>
  <c r="CA237" i="22"/>
  <c r="AD221" i="22"/>
  <c r="CF228" i="22"/>
  <c r="BD229" i="22"/>
  <c r="AV230" i="22"/>
  <c r="AT230" i="22"/>
  <c r="AU230" i="22" s="1"/>
  <c r="AB230" i="22"/>
  <c r="CF232" i="22"/>
  <c r="AB242" i="22"/>
  <c r="AV242" i="22"/>
  <c r="AB235" i="22"/>
  <c r="AT235" i="22"/>
  <c r="BD235" i="22" s="1"/>
  <c r="AD230" i="22"/>
  <c r="CF231" i="22"/>
  <c r="BD236" i="22"/>
  <c r="AC234" i="22"/>
  <c r="AD236" i="22"/>
  <c r="CA236" i="22"/>
  <c r="CA233" i="22"/>
  <c r="AD234" i="22"/>
  <c r="AT243" i="22"/>
  <c r="AB243" i="22"/>
  <c r="AE234" i="22"/>
  <c r="AB236" i="22"/>
  <c r="CM239" i="22"/>
  <c r="CF239" i="22"/>
  <c r="AB241" i="22"/>
  <c r="AV241" i="22"/>
  <c r="AT241" i="22"/>
  <c r="AU241" i="22" s="1"/>
  <c r="CM245" i="22"/>
  <c r="CF245" i="22"/>
  <c r="AC233" i="22"/>
  <c r="AV235" i="22"/>
  <c r="AC236" i="22"/>
  <c r="AT242" i="22"/>
  <c r="AU242" i="22" s="1"/>
  <c r="AE243" i="22"/>
  <c r="AD243" i="22"/>
  <c r="AC243" i="22"/>
  <c r="CA243" i="22"/>
  <c r="CA234" i="22"/>
  <c r="AT237" i="22"/>
  <c r="AV239" i="22"/>
  <c r="AT239" i="22"/>
  <c r="AU239" i="22" s="1"/>
  <c r="AV244" i="22"/>
  <c r="AT244" i="22"/>
  <c r="AB244" i="22"/>
  <c r="AV245" i="22"/>
  <c r="AT245" i="22"/>
  <c r="AU245" i="22" s="1"/>
  <c r="AV237" i="22"/>
  <c r="AD239" i="22"/>
  <c r="AD245" i="22"/>
  <c r="AE239" i="22"/>
  <c r="CA242" i="22"/>
  <c r="CA240" i="22"/>
  <c r="AD235" i="22"/>
  <c r="CM219" i="22"/>
  <c r="CF219" i="22"/>
  <c r="AD219" i="22"/>
  <c r="AB214" i="22"/>
  <c r="AT214" i="22"/>
  <c r="AU214" i="22" s="1"/>
  <c r="AV214" i="22"/>
  <c r="CM217" i="22"/>
  <c r="CF217" i="22"/>
  <c r="AD217" i="22"/>
  <c r="CA215" i="22"/>
  <c r="AE217" i="22"/>
  <c r="CA214" i="22"/>
  <c r="AC215" i="22"/>
  <c r="AD213" i="22"/>
  <c r="CM211" i="22"/>
  <c r="CF211" i="22"/>
  <c r="AD211" i="22"/>
  <c r="CM209" i="22"/>
  <c r="CF209" i="22"/>
  <c r="AD209" i="22"/>
  <c r="CM207" i="22"/>
  <c r="CF207" i="22"/>
  <c r="AV207" i="22"/>
  <c r="AT207" i="22"/>
  <c r="AB207" i="22"/>
  <c r="CM205" i="22"/>
  <c r="CF205" i="22"/>
  <c r="AD205" i="22"/>
  <c r="AE205" i="22"/>
  <c r="AE163" i="22"/>
  <c r="AC163" i="22"/>
  <c r="CA163" i="22"/>
  <c r="CM163" i="22" s="1"/>
  <c r="BD163" i="22"/>
  <c r="DD34" i="22"/>
  <c r="AD179" i="22"/>
  <c r="AC149" i="22"/>
  <c r="AE175" i="22"/>
  <c r="AD173" i="22"/>
  <c r="AC182" i="22"/>
  <c r="AE173" i="22"/>
  <c r="CA123" i="22"/>
  <c r="CF123" i="22" s="1"/>
  <c r="CA173" i="22"/>
  <c r="CF173" i="22" s="1"/>
  <c r="AE154" i="22"/>
  <c r="AC174" i="22"/>
  <c r="AD175" i="22"/>
  <c r="CA178" i="22"/>
  <c r="CF178" i="22" s="1"/>
  <c r="CA174" i="22"/>
  <c r="AC175" i="22"/>
  <c r="AC177" i="22"/>
  <c r="AD177" i="22"/>
  <c r="AC161" i="22"/>
  <c r="CA182" i="22"/>
  <c r="CM182" i="22" s="1"/>
  <c r="AE177" i="22"/>
  <c r="AC178" i="22"/>
  <c r="AD161" i="22"/>
  <c r="AD178" i="22"/>
  <c r="CA149" i="22"/>
  <c r="CF149" i="22" s="1"/>
  <c r="AE174" i="22"/>
  <c r="AD116" i="22"/>
  <c r="AE116" i="22"/>
  <c r="CM175" i="22"/>
  <c r="CF175" i="22"/>
  <c r="AD135" i="22"/>
  <c r="BD177" i="22"/>
  <c r="CA135" i="22"/>
  <c r="CF135" i="22" s="1"/>
  <c r="AE180" i="22"/>
  <c r="AD180" i="22"/>
  <c r="AC180" i="22"/>
  <c r="CA180" i="22"/>
  <c r="AE179" i="22"/>
  <c r="CM177" i="22"/>
  <c r="BD178" i="22"/>
  <c r="AD170" i="22"/>
  <c r="AD182" i="22"/>
  <c r="CA179" i="22"/>
  <c r="AE164" i="22"/>
  <c r="AE146" i="22"/>
  <c r="AC162" i="22"/>
  <c r="AE111" i="22"/>
  <c r="AC138" i="22"/>
  <c r="AC159" i="22"/>
  <c r="AD162" i="22"/>
  <c r="AE138" i="22"/>
  <c r="CA146" i="22"/>
  <c r="CF146" i="22" s="1"/>
  <c r="AE136" i="22"/>
  <c r="CA154" i="22"/>
  <c r="CF154" i="22" s="1"/>
  <c r="AD156" i="22"/>
  <c r="AC123" i="22"/>
  <c r="CA151" i="22"/>
  <c r="CF151" i="22" s="1"/>
  <c r="AC121" i="22"/>
  <c r="CA152" i="22"/>
  <c r="CM152" i="22" s="1"/>
  <c r="AE159" i="22"/>
  <c r="AE161" i="22"/>
  <c r="CA118" i="22"/>
  <c r="CF118" i="22" s="1"/>
  <c r="AD121" i="22"/>
  <c r="AC130" i="22"/>
  <c r="CA158" i="22"/>
  <c r="CF158" i="22" s="1"/>
  <c r="AE165" i="22"/>
  <c r="AE121" i="22"/>
  <c r="AE130" i="22"/>
  <c r="AE170" i="22"/>
  <c r="AC113" i="22"/>
  <c r="CA148" i="22"/>
  <c r="CF148" i="22" s="1"/>
  <c r="CA157" i="22"/>
  <c r="CF157" i="22" s="1"/>
  <c r="AE162" i="22"/>
  <c r="AD166" i="22"/>
  <c r="CA169" i="22"/>
  <c r="CM169" i="22" s="1"/>
  <c r="AD113" i="22"/>
  <c r="AC158" i="22"/>
  <c r="CA165" i="22"/>
  <c r="CF165" i="22" s="1"/>
  <c r="AE166" i="22"/>
  <c r="AE113" i="22"/>
  <c r="AD158" i="22"/>
  <c r="AC152" i="22"/>
  <c r="CA170" i="22"/>
  <c r="CF170" i="22" s="1"/>
  <c r="AD122" i="22"/>
  <c r="AE135" i="22"/>
  <c r="AE122" i="22"/>
  <c r="CF111" i="22"/>
  <c r="CM111" i="22"/>
  <c r="CA128" i="22"/>
  <c r="CM128" i="22" s="1"/>
  <c r="AD118" i="22"/>
  <c r="AC145" i="22"/>
  <c r="AC155" i="22"/>
  <c r="CA159" i="22"/>
  <c r="CF159" i="22" s="1"/>
  <c r="AD160" i="22"/>
  <c r="AC111" i="22"/>
  <c r="AD112" i="22"/>
  <c r="CA114" i="22"/>
  <c r="CF114" i="22" s="1"/>
  <c r="CA129" i="22"/>
  <c r="CA141" i="22"/>
  <c r="CM141" i="22" s="1"/>
  <c r="CA134" i="22"/>
  <c r="CF134" i="22" s="1"/>
  <c r="AC143" i="22"/>
  <c r="AE145" i="22"/>
  <c r="AD155" i="22"/>
  <c r="CA156" i="22"/>
  <c r="CF156" i="22" s="1"/>
  <c r="AD157" i="22"/>
  <c r="AE160" i="22"/>
  <c r="CA166" i="22"/>
  <c r="AD111" i="22"/>
  <c r="AE112" i="22"/>
  <c r="AC116" i="22"/>
  <c r="AC122" i="22"/>
  <c r="AD136" i="22"/>
  <c r="AE143" i="22"/>
  <c r="AC151" i="22"/>
  <c r="AD154" i="22"/>
  <c r="AE155" i="22"/>
  <c r="AE157" i="22"/>
  <c r="AC164" i="22"/>
  <c r="AC169" i="22"/>
  <c r="AD164" i="22"/>
  <c r="AD169" i="22"/>
  <c r="AE150" i="22"/>
  <c r="AC128" i="22"/>
  <c r="AC156" i="22"/>
  <c r="AC127" i="22"/>
  <c r="AE128" i="22"/>
  <c r="AC124" i="22"/>
  <c r="AD141" i="22"/>
  <c r="CA143" i="22"/>
  <c r="CF143" i="22" s="1"/>
  <c r="AD114" i="22"/>
  <c r="AE141" i="22"/>
  <c r="CA136" i="22"/>
  <c r="CF136" i="22" s="1"/>
  <c r="AC148" i="22"/>
  <c r="CA150" i="22"/>
  <c r="CF150" i="22" s="1"/>
  <c r="AE114" i="22"/>
  <c r="AE148" i="22"/>
  <c r="CA160" i="22"/>
  <c r="CM160" i="22" s="1"/>
  <c r="AD165" i="22"/>
  <c r="CF164" i="22"/>
  <c r="CM164" i="22"/>
  <c r="CM162" i="22"/>
  <c r="CM155" i="22"/>
  <c r="CM161" i="22"/>
  <c r="BD162" i="22"/>
  <c r="CF145" i="22"/>
  <c r="CM145" i="22"/>
  <c r="CF113" i="22"/>
  <c r="AD145" i="22"/>
  <c r="AD149" i="22"/>
  <c r="AD152" i="22"/>
  <c r="CF116" i="22"/>
  <c r="BD152" i="22"/>
  <c r="AD151" i="22"/>
  <c r="AC146" i="22"/>
  <c r="AC150" i="22"/>
  <c r="CA110" i="22"/>
  <c r="CA115" i="22"/>
  <c r="AC110" i="22"/>
  <c r="AD110" i="22"/>
  <c r="AE120" i="22"/>
  <c r="AD120" i="22"/>
  <c r="AC120" i="22"/>
  <c r="AE110" i="22"/>
  <c r="CF121" i="22"/>
  <c r="CM121" i="22"/>
  <c r="AE115" i="22"/>
  <c r="AC115" i="22"/>
  <c r="CA112" i="22"/>
  <c r="BD116" i="22"/>
  <c r="CA120" i="22"/>
  <c r="CF122" i="22"/>
  <c r="AD123" i="22"/>
  <c r="AE126" i="22"/>
  <c r="AD126" i="22"/>
  <c r="AC126" i="22"/>
  <c r="CA126" i="22"/>
  <c r="CM122" i="22"/>
  <c r="CM130" i="22"/>
  <c r="CF130" i="22"/>
  <c r="AC118" i="22"/>
  <c r="AD124" i="22"/>
  <c r="CA124" i="22"/>
  <c r="AD125" i="22"/>
  <c r="AC125" i="22"/>
  <c r="CA125" i="22"/>
  <c r="BD127" i="22"/>
  <c r="AD127" i="22"/>
  <c r="CA127" i="22"/>
  <c r="AE137" i="22"/>
  <c r="AD137" i="22"/>
  <c r="AC137" i="22"/>
  <c r="CA137" i="22"/>
  <c r="CF138" i="22"/>
  <c r="AD129" i="22"/>
  <c r="AC129" i="22"/>
  <c r="BD138" i="22"/>
  <c r="CM138" i="22"/>
  <c r="AD134" i="22"/>
  <c r="AC134" i="22"/>
  <c r="AD130" i="22"/>
  <c r="AD138" i="22"/>
  <c r="CA18" i="22"/>
  <c r="BD18" i="22"/>
  <c r="AE18" i="22"/>
  <c r="AD18" i="22"/>
  <c r="CM341" i="22" l="1"/>
  <c r="CM335" i="22"/>
  <c r="CF337" i="22"/>
  <c r="CF344" i="22"/>
  <c r="CM349" i="22"/>
  <c r="CM352" i="22"/>
  <c r="CF351" i="22"/>
  <c r="CM351" i="22"/>
  <c r="CF347" i="22"/>
  <c r="CF350" i="22"/>
  <c r="CM350" i="22"/>
  <c r="CF346" i="22"/>
  <c r="CM346" i="22"/>
  <c r="CM213" i="22"/>
  <c r="CF230" i="22"/>
  <c r="CM343" i="22"/>
  <c r="CF343" i="22"/>
  <c r="CF336" i="22"/>
  <c r="CM336" i="22"/>
  <c r="CF348" i="22"/>
  <c r="CM348" i="22"/>
  <c r="CM339" i="22"/>
  <c r="CF339" i="22"/>
  <c r="CM354" i="22"/>
  <c r="CF345" i="22"/>
  <c r="CM345" i="22"/>
  <c r="CF340" i="22"/>
  <c r="CM340" i="22"/>
  <c r="BD225" i="22"/>
  <c r="CM241" i="22"/>
  <c r="CM216" i="22"/>
  <c r="CF229" i="22"/>
  <c r="CF226" i="22"/>
  <c r="CM226" i="22"/>
  <c r="BD221" i="22"/>
  <c r="CM222" i="22"/>
  <c r="BD214" i="22"/>
  <c r="BD223" i="22"/>
  <c r="CM244" i="22"/>
  <c r="BD242" i="22"/>
  <c r="CM238" i="22"/>
  <c r="CF235" i="22"/>
  <c r="BD234" i="22"/>
  <c r="CF242" i="22"/>
  <c r="CM242" i="22"/>
  <c r="CM221" i="22"/>
  <c r="CF221" i="22"/>
  <c r="CF223" i="22"/>
  <c r="CM223" i="22"/>
  <c r="AU224" i="22"/>
  <c r="BD224" i="22"/>
  <c r="BD245" i="22"/>
  <c r="AU226" i="22"/>
  <c r="BD222" i="22"/>
  <c r="AU222" i="22"/>
  <c r="AU243" i="22"/>
  <c r="BD243" i="22"/>
  <c r="AU244" i="22"/>
  <c r="AU240" i="22"/>
  <c r="BD240" i="22"/>
  <c r="CF243" i="22"/>
  <c r="CM243" i="22"/>
  <c r="AU228" i="22"/>
  <c r="CF225" i="22"/>
  <c r="CM225" i="22"/>
  <c r="BD233" i="22"/>
  <c r="AU233" i="22"/>
  <c r="BD241" i="22"/>
  <c r="CF237" i="22"/>
  <c r="CM237" i="22"/>
  <c r="BD239" i="22"/>
  <c r="BD230" i="22"/>
  <c r="AU232" i="22"/>
  <c r="BD232" i="22"/>
  <c r="CM240" i="22"/>
  <c r="CF240" i="22"/>
  <c r="AU235" i="22"/>
  <c r="BD231" i="22"/>
  <c r="BD226" i="22"/>
  <c r="AU237" i="22"/>
  <c r="BD237" i="22"/>
  <c r="CM233" i="22"/>
  <c r="CF233" i="22"/>
  <c r="AU238" i="22"/>
  <c r="AU227" i="22"/>
  <c r="CF234" i="22"/>
  <c r="CM234" i="22"/>
  <c r="CF236" i="22"/>
  <c r="CM236" i="22"/>
  <c r="BD244" i="22"/>
  <c r="CF215" i="22"/>
  <c r="CM215" i="22"/>
  <c r="CF214" i="22"/>
  <c r="CM214" i="22"/>
  <c r="BD207" i="22"/>
  <c r="AU207" i="22"/>
  <c r="CM135" i="22"/>
  <c r="CF141" i="22"/>
  <c r="CF163" i="22"/>
  <c r="CM149" i="22"/>
  <c r="CM146" i="22"/>
  <c r="CM178" i="22"/>
  <c r="CM173" i="22"/>
  <c r="CF152" i="22"/>
  <c r="CM150" i="22"/>
  <c r="CM123" i="22"/>
  <c r="CM118" i="22"/>
  <c r="CF182" i="22"/>
  <c r="CM157" i="22"/>
  <c r="CM174" i="22"/>
  <c r="CF174" i="22"/>
  <c r="CM134" i="22"/>
  <c r="CM165" i="22"/>
  <c r="CM170" i="22"/>
  <c r="CM179" i="22"/>
  <c r="CF179" i="22"/>
  <c r="CM159" i="22"/>
  <c r="CM114" i="22"/>
  <c r="CM151" i="22"/>
  <c r="CM180" i="22"/>
  <c r="CF180" i="22"/>
  <c r="CM154" i="22"/>
  <c r="CM148" i="22"/>
  <c r="CM158" i="22"/>
  <c r="CF169" i="22"/>
  <c r="CF128" i="22"/>
  <c r="CF160" i="22"/>
  <c r="CM143" i="22"/>
  <c r="CM136" i="22"/>
  <c r="CF166" i="22"/>
  <c r="CM166" i="22"/>
  <c r="CM129" i="22"/>
  <c r="CF129" i="22"/>
  <c r="CM156" i="22"/>
  <c r="CM125" i="22"/>
  <c r="CF125" i="22"/>
  <c r="CF112" i="22"/>
  <c r="CM112" i="22"/>
  <c r="CM127" i="22"/>
  <c r="CF127" i="22"/>
  <c r="CF120" i="22"/>
  <c r="CM120" i="22"/>
  <c r="CF137" i="22"/>
  <c r="CM137" i="22"/>
  <c r="CF124" i="22"/>
  <c r="CM124" i="22"/>
  <c r="CF115" i="22"/>
  <c r="CM115" i="22"/>
  <c r="CF126" i="22"/>
  <c r="CM126" i="22"/>
  <c r="CM110" i="22"/>
  <c r="CF110" i="22"/>
  <c r="CM18" i="22"/>
  <c r="CF18" i="22"/>
  <c r="C208" i="18" l="1"/>
  <c r="A230" i="22" s="1"/>
  <c r="D208" i="18"/>
  <c r="J208" i="18"/>
  <c r="L208" i="18"/>
  <c r="C99" i="18"/>
  <c r="C100" i="18"/>
  <c r="A110" i="22" s="1"/>
  <c r="C101" i="18"/>
  <c r="A111" i="22" s="1"/>
  <c r="C102" i="18"/>
  <c r="A112" i="22" s="1"/>
  <c r="C103" i="18"/>
  <c r="A113" i="22" s="1"/>
  <c r="C104" i="18"/>
  <c r="A114" i="22" s="1"/>
  <c r="C105" i="18"/>
  <c r="A115" i="22" s="1"/>
  <c r="C106" i="18"/>
  <c r="A116" i="22" s="1"/>
  <c r="C108" i="18"/>
  <c r="A118" i="22" s="1"/>
  <c r="C110" i="18"/>
  <c r="A120" i="22" s="1"/>
  <c r="C111" i="18"/>
  <c r="A121" i="22" s="1"/>
  <c r="C112" i="18"/>
  <c r="A122" i="22" s="1"/>
  <c r="C113" i="18"/>
  <c r="A123" i="22" s="1"/>
  <c r="C114" i="18"/>
  <c r="A124" i="22" s="1"/>
  <c r="C115" i="18"/>
  <c r="A125" i="22" s="1"/>
  <c r="C116" i="18"/>
  <c r="A126" i="22" s="1"/>
  <c r="C117" i="18"/>
  <c r="A127" i="22" s="1"/>
  <c r="C118" i="18"/>
  <c r="A128" i="22" s="1"/>
  <c r="C119" i="18"/>
  <c r="A129" i="22" s="1"/>
  <c r="C120" i="18"/>
  <c r="A130" i="22" s="1"/>
  <c r="C121" i="18"/>
  <c r="A131" i="22" s="1"/>
  <c r="C122" i="18"/>
  <c r="A132" i="22" s="1"/>
  <c r="C131" i="18"/>
  <c r="A141" i="22" s="1"/>
  <c r="C124" i="18"/>
  <c r="A134" i="22" s="1"/>
  <c r="C125" i="18"/>
  <c r="A135" i="22" s="1"/>
  <c r="C126" i="18"/>
  <c r="A136" i="22" s="1"/>
  <c r="C127" i="18"/>
  <c r="A137" i="22" s="1"/>
  <c r="C128" i="18"/>
  <c r="A138" i="22" s="1"/>
  <c r="C133" i="18"/>
  <c r="A143" i="22" s="1"/>
  <c r="C135" i="18"/>
  <c r="A145" i="22" s="1"/>
  <c r="C136" i="18"/>
  <c r="A146" i="22" s="1"/>
  <c r="C138" i="18"/>
  <c r="A148" i="22" s="1"/>
  <c r="C139" i="18"/>
  <c r="A149" i="22" s="1"/>
  <c r="C140" i="18"/>
  <c r="A150" i="22" s="1"/>
  <c r="C141" i="18"/>
  <c r="A151" i="22" s="1"/>
  <c r="C142" i="18"/>
  <c r="A152" i="22" s="1"/>
  <c r="C144" i="18"/>
  <c r="A154" i="22" s="1"/>
  <c r="C145" i="18"/>
  <c r="A155" i="22" s="1"/>
  <c r="C146" i="18"/>
  <c r="A156" i="22" s="1"/>
  <c r="C147" i="18"/>
  <c r="A157" i="22" s="1"/>
  <c r="C148" i="18"/>
  <c r="A158" i="22" s="1"/>
  <c r="C149" i="18"/>
  <c r="A159" i="22" s="1"/>
  <c r="C150" i="18"/>
  <c r="A160" i="22" s="1"/>
  <c r="C151" i="18"/>
  <c r="A161" i="22" s="1"/>
  <c r="C152" i="18"/>
  <c r="A162" i="22" s="1"/>
  <c r="C153" i="18"/>
  <c r="A163" i="22" s="1"/>
  <c r="C154" i="18"/>
  <c r="A164" i="22" s="1"/>
  <c r="C155" i="18"/>
  <c r="A165" i="22" s="1"/>
  <c r="C156" i="18"/>
  <c r="A166" i="22" s="1"/>
  <c r="C159" i="18"/>
  <c r="A169" i="22" s="1"/>
  <c r="C160" i="18"/>
  <c r="A170" i="22" s="1"/>
  <c r="C161" i="18"/>
  <c r="A171" i="22" s="1"/>
  <c r="C163" i="18"/>
  <c r="A173" i="22" s="1"/>
  <c r="C164" i="18"/>
  <c r="A174" i="22" s="1"/>
  <c r="C165" i="18"/>
  <c r="A175" i="22" s="1"/>
  <c r="C169" i="18"/>
  <c r="A179" i="22" s="1"/>
  <c r="C170" i="18"/>
  <c r="A180" i="22" s="1"/>
  <c r="C172" i="18"/>
  <c r="A182" i="22" s="1"/>
  <c r="C167" i="18"/>
  <c r="A177" i="22" s="1"/>
  <c r="C168" i="18"/>
  <c r="A178" i="22" s="1"/>
  <c r="D201" i="18"/>
  <c r="L201" i="18"/>
  <c r="J201" i="18"/>
  <c r="C201" i="18"/>
  <c r="A223" i="22" s="1"/>
  <c r="J202" i="18"/>
  <c r="L202" i="18"/>
  <c r="C202" i="18"/>
  <c r="A224" i="22" s="1"/>
  <c r="D202" i="18"/>
  <c r="J200" i="18"/>
  <c r="L200" i="18"/>
  <c r="C200" i="18"/>
  <c r="A222" i="22" s="1"/>
  <c r="D200" i="18"/>
  <c r="F94" i="18"/>
  <c r="P3" i="18"/>
  <c r="P16" i="18"/>
  <c r="P17" i="18"/>
  <c r="P18" i="18"/>
  <c r="P19" i="18"/>
  <c r="P20" i="18"/>
  <c r="P21" i="18"/>
  <c r="P22" i="18"/>
  <c r="P23" i="18"/>
  <c r="P24" i="18"/>
  <c r="P25" i="18"/>
  <c r="P26" i="18"/>
  <c r="P27" i="18"/>
  <c r="P28" i="18"/>
  <c r="P29" i="18"/>
  <c r="P30" i="18"/>
  <c r="P31" i="18"/>
  <c r="P33" i="18"/>
  <c r="P32" i="18"/>
  <c r="P34" i="18"/>
  <c r="P35" i="18"/>
  <c r="P36" i="18"/>
  <c r="P37" i="18"/>
  <c r="P38" i="18"/>
  <c r="P39" i="18"/>
  <c r="P79" i="18"/>
  <c r="P80" i="18"/>
  <c r="P81" i="18"/>
  <c r="P82" i="18"/>
  <c r="P83" i="18"/>
  <c r="P84" i="18"/>
  <c r="P85" i="18"/>
  <c r="P86" i="18"/>
  <c r="P87" i="18"/>
  <c r="P51" i="18"/>
  <c r="P52" i="18"/>
  <c r="P63" i="18"/>
  <c r="P64" i="18"/>
  <c r="P65" i="18"/>
  <c r="P66" i="18"/>
  <c r="P53" i="18"/>
  <c r="P54" i="18"/>
  <c r="P67" i="18"/>
  <c r="P71" i="18"/>
  <c r="P72" i="18"/>
  <c r="P70" i="18"/>
  <c r="P55" i="18"/>
  <c r="P68" i="18"/>
  <c r="P69" i="18"/>
  <c r="P73" i="18"/>
  <c r="P56" i="18"/>
  <c r="P57" i="18"/>
  <c r="P58" i="18"/>
  <c r="P59" i="18"/>
  <c r="P60" i="18"/>
  <c r="P61" i="18"/>
  <c r="P62" i="18"/>
  <c r="P41" i="18"/>
  <c r="P42" i="18"/>
  <c r="P43" i="18"/>
  <c r="P44" i="18"/>
  <c r="P45" i="18"/>
  <c r="P50" i="18"/>
  <c r="P46" i="18"/>
  <c r="P47" i="18"/>
  <c r="P48" i="18"/>
  <c r="P49" i="18"/>
  <c r="P93" i="18"/>
  <c r="C7" i="18"/>
  <c r="A9" i="22" s="1"/>
  <c r="I7" i="18"/>
  <c r="J7" i="18"/>
  <c r="L7" i="18"/>
  <c r="C8" i="18"/>
  <c r="A10" i="22" s="1"/>
  <c r="I8" i="18"/>
  <c r="J8" i="18"/>
  <c r="L8" i="18"/>
  <c r="C9" i="18"/>
  <c r="I9" i="18"/>
  <c r="J9" i="18"/>
  <c r="L9" i="18"/>
  <c r="C10" i="18"/>
  <c r="I10" i="18"/>
  <c r="J10" i="18"/>
  <c r="L10" i="18"/>
  <c r="C11" i="18"/>
  <c r="I11" i="18"/>
  <c r="J11" i="18"/>
  <c r="L11" i="18"/>
  <c r="C12" i="18"/>
  <c r="I12" i="18"/>
  <c r="J12" i="18"/>
  <c r="L12" i="18"/>
  <c r="C13" i="18"/>
  <c r="I13" i="18"/>
  <c r="J13" i="18"/>
  <c r="L13" i="18"/>
  <c r="C14" i="18"/>
  <c r="I14" i="18"/>
  <c r="J14" i="18"/>
  <c r="L14" i="18"/>
  <c r="C15" i="18"/>
  <c r="I15" i="18"/>
  <c r="J15" i="18"/>
  <c r="L15" i="18"/>
  <c r="C16" i="18"/>
  <c r="A18" i="22" s="1"/>
  <c r="I16" i="18"/>
  <c r="J16" i="18"/>
  <c r="L16" i="18"/>
  <c r="C17" i="18"/>
  <c r="I17" i="18"/>
  <c r="J17" i="18"/>
  <c r="L17" i="18"/>
  <c r="C18" i="18"/>
  <c r="I18" i="18"/>
  <c r="J18" i="18"/>
  <c r="L18" i="18"/>
  <c r="C19" i="18"/>
  <c r="I19" i="18"/>
  <c r="J19" i="18"/>
  <c r="L19" i="18"/>
  <c r="C20" i="18"/>
  <c r="I20" i="18"/>
  <c r="J20" i="18"/>
  <c r="L20" i="18"/>
  <c r="C21" i="18"/>
  <c r="I21" i="18"/>
  <c r="L21" i="18"/>
  <c r="C22" i="18"/>
  <c r="I22" i="18"/>
  <c r="L22" i="18"/>
  <c r="C23" i="18"/>
  <c r="A25" i="22" s="1"/>
  <c r="I23" i="18"/>
  <c r="L23" i="18"/>
  <c r="C24" i="18"/>
  <c r="A26" i="22" s="1"/>
  <c r="I24" i="18"/>
  <c r="J24" i="18"/>
  <c r="L24" i="18"/>
  <c r="C25" i="18"/>
  <c r="A27" i="22" s="1"/>
  <c r="I25" i="18"/>
  <c r="L25" i="18"/>
  <c r="C26" i="18"/>
  <c r="A28" i="22" s="1"/>
  <c r="I26" i="18"/>
  <c r="L26" i="18"/>
  <c r="C27" i="18"/>
  <c r="A29" i="22" s="1"/>
  <c r="I27" i="18"/>
  <c r="J27" i="18"/>
  <c r="L27" i="18"/>
  <c r="C28" i="18"/>
  <c r="A30" i="22" s="1"/>
  <c r="I28" i="18"/>
  <c r="J28" i="18"/>
  <c r="L28" i="18"/>
  <c r="C29" i="18"/>
  <c r="A31" i="22" s="1"/>
  <c r="I29" i="18"/>
  <c r="J29" i="18"/>
  <c r="L29" i="18"/>
  <c r="C30" i="18"/>
  <c r="A32" i="22" s="1"/>
  <c r="I30" i="18"/>
  <c r="J30" i="18"/>
  <c r="L30" i="18"/>
  <c r="C31" i="18"/>
  <c r="A33" i="22" s="1"/>
  <c r="I31" i="18"/>
  <c r="J31" i="18"/>
  <c r="L31" i="18"/>
  <c r="I33" i="18"/>
  <c r="J33" i="18"/>
  <c r="L33" i="18"/>
  <c r="I32" i="18"/>
  <c r="J32" i="18"/>
  <c r="L32" i="18"/>
  <c r="I34" i="18"/>
  <c r="J34" i="18"/>
  <c r="L34" i="18"/>
  <c r="C35" i="18"/>
  <c r="A37" i="22" s="1"/>
  <c r="I35" i="18"/>
  <c r="J35" i="18"/>
  <c r="L35" i="18"/>
  <c r="C36" i="18"/>
  <c r="A38" i="22" s="1"/>
  <c r="I36" i="18"/>
  <c r="J36" i="18"/>
  <c r="L36" i="18"/>
  <c r="C37" i="18"/>
  <c r="A39" i="22" s="1"/>
  <c r="I37" i="18"/>
  <c r="J37" i="18"/>
  <c r="L37" i="18"/>
  <c r="C38" i="18"/>
  <c r="A40" i="22" s="1"/>
  <c r="I38" i="18"/>
  <c r="J38" i="18"/>
  <c r="L38" i="18"/>
  <c r="C39" i="18"/>
  <c r="A41" i="22" s="1"/>
  <c r="I39" i="18"/>
  <c r="J39" i="18"/>
  <c r="L39" i="18"/>
  <c r="C79" i="18"/>
  <c r="A81" i="22" s="1"/>
  <c r="D79" i="18"/>
  <c r="I79" i="18"/>
  <c r="J79" i="18"/>
  <c r="L79" i="18"/>
  <c r="C80" i="18"/>
  <c r="A82" i="22" s="1"/>
  <c r="D80" i="18"/>
  <c r="I80" i="18"/>
  <c r="J80" i="18"/>
  <c r="L80" i="18"/>
  <c r="C81" i="18"/>
  <c r="A83" i="22" s="1"/>
  <c r="D81" i="18"/>
  <c r="I81" i="18"/>
  <c r="J81" i="18"/>
  <c r="L81" i="18"/>
  <c r="C82" i="18"/>
  <c r="A84" i="22" s="1"/>
  <c r="I82" i="18"/>
  <c r="J82" i="18"/>
  <c r="L82" i="18"/>
  <c r="C83" i="18"/>
  <c r="A85" i="22" s="1"/>
  <c r="I83" i="18"/>
  <c r="J83" i="18"/>
  <c r="L83" i="18"/>
  <c r="C84" i="18"/>
  <c r="A86" i="22" s="1"/>
  <c r="D84" i="18"/>
  <c r="I84" i="18"/>
  <c r="J84" i="18"/>
  <c r="L84" i="18"/>
  <c r="C85" i="18"/>
  <c r="A87" i="22" s="1"/>
  <c r="I85" i="18"/>
  <c r="J85" i="18"/>
  <c r="L85" i="18"/>
  <c r="C86" i="18"/>
  <c r="A88" i="22" s="1"/>
  <c r="D86" i="18"/>
  <c r="I86" i="18"/>
  <c r="J86" i="18"/>
  <c r="L86" i="18"/>
  <c r="C87" i="18"/>
  <c r="A89" i="22" s="1"/>
  <c r="D87" i="18"/>
  <c r="I87" i="18"/>
  <c r="J87" i="18"/>
  <c r="L87" i="18"/>
  <c r="C51" i="18"/>
  <c r="A53" i="22" s="1"/>
  <c r="D51" i="18"/>
  <c r="I51" i="18"/>
  <c r="J51" i="18"/>
  <c r="L51" i="18"/>
  <c r="C52" i="18"/>
  <c r="A54" i="22" s="1"/>
  <c r="I52" i="18"/>
  <c r="J52" i="18"/>
  <c r="L52" i="18"/>
  <c r="C63" i="18"/>
  <c r="A65" i="22" s="1"/>
  <c r="D63" i="18"/>
  <c r="I63" i="18"/>
  <c r="J63" i="18"/>
  <c r="L63" i="18"/>
  <c r="C64" i="18"/>
  <c r="A66" i="22" s="1"/>
  <c r="D64" i="18"/>
  <c r="I64" i="18"/>
  <c r="J64" i="18"/>
  <c r="L64" i="18"/>
  <c r="C65" i="18"/>
  <c r="A67" i="22" s="1"/>
  <c r="D65" i="18"/>
  <c r="I65" i="18"/>
  <c r="J65" i="18"/>
  <c r="L65" i="18"/>
  <c r="C66" i="18"/>
  <c r="A68" i="22" s="1"/>
  <c r="D66" i="18"/>
  <c r="I66" i="18"/>
  <c r="J66" i="18"/>
  <c r="L66" i="18"/>
  <c r="C53" i="18"/>
  <c r="A55" i="22" s="1"/>
  <c r="D53" i="18"/>
  <c r="I53" i="18"/>
  <c r="J53" i="18"/>
  <c r="L53" i="18"/>
  <c r="C54" i="18"/>
  <c r="A56" i="22" s="1"/>
  <c r="D54" i="18"/>
  <c r="J54" i="18"/>
  <c r="L54" i="18"/>
  <c r="C67" i="18"/>
  <c r="A69" i="22" s="1"/>
  <c r="D67" i="18"/>
  <c r="I67" i="18"/>
  <c r="J67" i="18"/>
  <c r="L67" i="18"/>
  <c r="C71" i="18"/>
  <c r="A73" i="22" s="1"/>
  <c r="D71" i="18"/>
  <c r="I71" i="18"/>
  <c r="J71" i="18"/>
  <c r="L71" i="18"/>
  <c r="C72" i="18"/>
  <c r="A74" i="22" s="1"/>
  <c r="D72" i="18"/>
  <c r="I72" i="18"/>
  <c r="J72" i="18"/>
  <c r="L72" i="18"/>
  <c r="C70" i="18"/>
  <c r="A72" i="22" s="1"/>
  <c r="I70" i="18"/>
  <c r="J70" i="18"/>
  <c r="L70" i="18"/>
  <c r="C55" i="18"/>
  <c r="A57" i="22" s="1"/>
  <c r="D55" i="18"/>
  <c r="I55" i="18"/>
  <c r="J55" i="18"/>
  <c r="L55" i="18"/>
  <c r="C68" i="18"/>
  <c r="A70" i="22" s="1"/>
  <c r="D68" i="18"/>
  <c r="I68" i="18"/>
  <c r="J68" i="18"/>
  <c r="L68" i="18"/>
  <c r="C69" i="18"/>
  <c r="A71" i="22" s="1"/>
  <c r="D69" i="18"/>
  <c r="I69" i="18"/>
  <c r="J69" i="18"/>
  <c r="L69" i="18"/>
  <c r="C73" i="18"/>
  <c r="A75" i="22" s="1"/>
  <c r="D73" i="18"/>
  <c r="I73" i="18"/>
  <c r="J73" i="18"/>
  <c r="L73" i="18"/>
  <c r="C56" i="18"/>
  <c r="A58" i="22" s="1"/>
  <c r="D56" i="18"/>
  <c r="I56" i="18"/>
  <c r="J56" i="18"/>
  <c r="L56" i="18"/>
  <c r="C57" i="18"/>
  <c r="A59" i="22" s="1"/>
  <c r="D57" i="18"/>
  <c r="I57" i="18"/>
  <c r="J57" i="18"/>
  <c r="L57" i="18"/>
  <c r="C58" i="18"/>
  <c r="A60" i="22" s="1"/>
  <c r="D58" i="18"/>
  <c r="I58" i="18"/>
  <c r="J58" i="18"/>
  <c r="L58" i="18"/>
  <c r="C59" i="18"/>
  <c r="A61" i="22" s="1"/>
  <c r="D59" i="18"/>
  <c r="I59" i="18"/>
  <c r="J59" i="18"/>
  <c r="L59" i="18"/>
  <c r="C60" i="18"/>
  <c r="A62" i="22" s="1"/>
  <c r="D60" i="18"/>
  <c r="I60" i="18"/>
  <c r="J60" i="18"/>
  <c r="L60" i="18"/>
  <c r="C61" i="18"/>
  <c r="A63" i="22" s="1"/>
  <c r="D61" i="18"/>
  <c r="I61" i="18"/>
  <c r="J61" i="18"/>
  <c r="L61" i="18"/>
  <c r="C62" i="18"/>
  <c r="A64" i="22" s="1"/>
  <c r="D62" i="18"/>
  <c r="I62" i="18"/>
  <c r="J62" i="18"/>
  <c r="L62" i="18"/>
  <c r="C41" i="18"/>
  <c r="A43" i="22" s="1"/>
  <c r="I41" i="18"/>
  <c r="J41" i="18"/>
  <c r="L41" i="18"/>
  <c r="C42" i="18"/>
  <c r="A44" i="22" s="1"/>
  <c r="I42" i="18"/>
  <c r="J42" i="18"/>
  <c r="L42" i="18"/>
  <c r="C43" i="18"/>
  <c r="A45" i="22" s="1"/>
  <c r="I43" i="18"/>
  <c r="J43" i="18"/>
  <c r="L43" i="18"/>
  <c r="C44" i="18"/>
  <c r="A46" i="22" s="1"/>
  <c r="D44" i="18"/>
  <c r="I44" i="18"/>
  <c r="J44" i="18"/>
  <c r="L44" i="18"/>
  <c r="C45" i="18"/>
  <c r="A47" i="22" s="1"/>
  <c r="D45" i="18"/>
  <c r="I45" i="18"/>
  <c r="J45" i="18"/>
  <c r="L45" i="18"/>
  <c r="C50" i="18"/>
  <c r="A52" i="22" s="1"/>
  <c r="D50" i="18"/>
  <c r="I50" i="18"/>
  <c r="J50" i="18"/>
  <c r="L50" i="18"/>
  <c r="C46" i="18"/>
  <c r="A48" i="22" s="1"/>
  <c r="D46" i="18"/>
  <c r="I46" i="18"/>
  <c r="J46" i="18"/>
  <c r="L46" i="18"/>
  <c r="C47" i="18"/>
  <c r="A49" i="22" s="1"/>
  <c r="D47" i="18"/>
  <c r="I47" i="18"/>
  <c r="J47" i="18"/>
  <c r="L47" i="18"/>
  <c r="C48" i="18"/>
  <c r="A50" i="22" s="1"/>
  <c r="I48" i="18"/>
  <c r="J48" i="18"/>
  <c r="L48" i="18"/>
  <c r="C49" i="18"/>
  <c r="A51" i="22" s="1"/>
  <c r="D49" i="18"/>
  <c r="I49" i="18"/>
  <c r="J49" i="18"/>
  <c r="L49" i="18"/>
  <c r="C93" i="18"/>
  <c r="A95" i="22" s="1"/>
  <c r="D93" i="18"/>
  <c r="I93" i="18"/>
  <c r="J93" i="18"/>
  <c r="L93" i="18"/>
  <c r="K94" i="18"/>
  <c r="C4" i="18"/>
  <c r="I4" i="18"/>
  <c r="J4" i="18"/>
  <c r="L4" i="18"/>
  <c r="C5" i="18"/>
  <c r="A7" i="22" s="1"/>
  <c r="I5" i="18"/>
  <c r="J5" i="18"/>
  <c r="L5" i="18"/>
  <c r="P181" i="18"/>
  <c r="P182" i="18"/>
  <c r="P183" i="18"/>
  <c r="P184" i="18"/>
  <c r="P185" i="18"/>
  <c r="P186" i="18"/>
  <c r="P187" i="18"/>
  <c r="P188" i="18"/>
  <c r="P189" i="18"/>
  <c r="P190" i="18"/>
  <c r="P191" i="18"/>
  <c r="P192" i="18"/>
  <c r="P193" i="18"/>
  <c r="P194" i="18"/>
  <c r="P195" i="18"/>
  <c r="P196" i="18"/>
  <c r="P197" i="18"/>
  <c r="P198" i="18"/>
  <c r="P199" i="18"/>
  <c r="P200" i="18"/>
  <c r="P201" i="18"/>
  <c r="P202" i="18"/>
  <c r="P203" i="18"/>
  <c r="P204" i="18"/>
  <c r="P205" i="18"/>
  <c r="P206" i="18"/>
  <c r="P207" i="18"/>
  <c r="P208" i="18"/>
  <c r="P209" i="18"/>
  <c r="P210" i="18"/>
  <c r="P211" i="18"/>
  <c r="P212" i="18"/>
  <c r="P213" i="18"/>
  <c r="P214" i="18"/>
  <c r="P215" i="18"/>
  <c r="P216" i="18"/>
  <c r="P217" i="18"/>
  <c r="P218" i="18"/>
  <c r="P219" i="18"/>
  <c r="P220" i="18"/>
  <c r="P221" i="18"/>
  <c r="P222" i="18"/>
  <c r="P223" i="18"/>
  <c r="P177" i="18"/>
  <c r="P178" i="18"/>
  <c r="P179" i="18"/>
  <c r="P180" i="18"/>
  <c r="J223" i="18"/>
  <c r="L223" i="18"/>
  <c r="D223" i="18"/>
  <c r="C223" i="18"/>
  <c r="A245" i="22" s="1"/>
  <c r="J222" i="18"/>
  <c r="L222" i="18"/>
  <c r="C222" i="18"/>
  <c r="A244" i="22" s="1"/>
  <c r="D222" i="18"/>
  <c r="D221" i="18"/>
  <c r="J221" i="18"/>
  <c r="L221" i="18"/>
  <c r="C221" i="18"/>
  <c r="A243" i="22" s="1"/>
  <c r="J220" i="18"/>
  <c r="L220" i="18"/>
  <c r="D220" i="18"/>
  <c r="C220" i="18"/>
  <c r="A242" i="22" s="1"/>
  <c r="C219" i="18"/>
  <c r="A241" i="22" s="1"/>
  <c r="J219" i="18"/>
  <c r="L219" i="18"/>
  <c r="D219" i="18"/>
  <c r="J218" i="18"/>
  <c r="L218" i="18"/>
  <c r="D218" i="18"/>
  <c r="C218" i="18"/>
  <c r="A240" i="22" s="1"/>
  <c r="C217" i="18"/>
  <c r="A239" i="22" s="1"/>
  <c r="D217" i="18"/>
  <c r="L217" i="18"/>
  <c r="J217" i="18"/>
  <c r="D216" i="18"/>
  <c r="J216" i="18"/>
  <c r="L216" i="18"/>
  <c r="C216" i="18"/>
  <c r="A238" i="22" s="1"/>
  <c r="J212" i="18"/>
  <c r="L212" i="18"/>
  <c r="D212" i="18"/>
  <c r="C212" i="18"/>
  <c r="A234" i="22" s="1"/>
  <c r="J215" i="18"/>
  <c r="L215" i="18"/>
  <c r="D215" i="18"/>
  <c r="C215" i="18"/>
  <c r="A237" i="22" s="1"/>
  <c r="J204" i="18"/>
  <c r="L204" i="18"/>
  <c r="D204" i="18"/>
  <c r="C204" i="18"/>
  <c r="A226" i="22" s="1"/>
  <c r="J209" i="18"/>
  <c r="L209" i="18"/>
  <c r="C209" i="18"/>
  <c r="A231" i="22" s="1"/>
  <c r="D209" i="18"/>
  <c r="J206" i="18"/>
  <c r="L206" i="18"/>
  <c r="J207" i="18"/>
  <c r="L207" i="18"/>
  <c r="C207" i="18"/>
  <c r="A229" i="22" s="1"/>
  <c r="C206" i="18"/>
  <c r="A228" i="22" s="1"/>
  <c r="C199" i="18"/>
  <c r="A221" i="22" s="1"/>
  <c r="D199" i="18"/>
  <c r="J199" i="18"/>
  <c r="L199" i="18"/>
  <c r="P168" i="18"/>
  <c r="L168" i="18"/>
  <c r="I168" i="18"/>
  <c r="J168" i="18"/>
  <c r="I154" i="18"/>
  <c r="J154" i="18"/>
  <c r="L154" i="18"/>
  <c r="P154" i="18"/>
  <c r="I155" i="18"/>
  <c r="J155" i="18"/>
  <c r="L155" i="18"/>
  <c r="P155" i="18"/>
  <c r="I156" i="18"/>
  <c r="J156" i="18"/>
  <c r="L156" i="18"/>
  <c r="P156" i="18"/>
  <c r="I159" i="18"/>
  <c r="J159" i="18"/>
  <c r="L159" i="18"/>
  <c r="P159" i="18"/>
  <c r="I160" i="18"/>
  <c r="J160" i="18"/>
  <c r="L160" i="18"/>
  <c r="P160" i="18"/>
  <c r="I161" i="18"/>
  <c r="J161" i="18"/>
  <c r="L161" i="18"/>
  <c r="P161" i="18"/>
  <c r="I163" i="18"/>
  <c r="J163" i="18"/>
  <c r="L163" i="18"/>
  <c r="P163" i="18"/>
  <c r="I164" i="18"/>
  <c r="J164" i="18"/>
  <c r="L164" i="18"/>
  <c r="P164" i="18"/>
  <c r="I165" i="18"/>
  <c r="J165" i="18"/>
  <c r="L165" i="18"/>
  <c r="P165" i="18"/>
  <c r="I152" i="18"/>
  <c r="J152" i="18"/>
  <c r="L152" i="18"/>
  <c r="P152" i="18"/>
  <c r="I153" i="18"/>
  <c r="J153" i="18"/>
  <c r="L153" i="18"/>
  <c r="P153" i="18"/>
  <c r="I169" i="18"/>
  <c r="J169" i="18"/>
  <c r="L169" i="18"/>
  <c r="P169" i="18"/>
  <c r="I170" i="18"/>
  <c r="J170" i="18"/>
  <c r="L170" i="18"/>
  <c r="P170" i="18"/>
  <c r="I172" i="18"/>
  <c r="J172" i="18"/>
  <c r="L172" i="18"/>
  <c r="P172" i="18"/>
  <c r="I167" i="18"/>
  <c r="J167" i="18"/>
  <c r="L167" i="18"/>
  <c r="P167" i="18"/>
  <c r="I144" i="18"/>
  <c r="J144" i="18"/>
  <c r="L144" i="18"/>
  <c r="P144" i="18"/>
  <c r="I145" i="18"/>
  <c r="J145" i="18"/>
  <c r="L145" i="18"/>
  <c r="P145" i="18"/>
  <c r="I146" i="18"/>
  <c r="J146" i="18"/>
  <c r="L146" i="18"/>
  <c r="P146" i="18"/>
  <c r="I147" i="18"/>
  <c r="J147" i="18"/>
  <c r="L147" i="18"/>
  <c r="P147" i="18"/>
  <c r="I148" i="18"/>
  <c r="J148" i="18"/>
  <c r="L148" i="18"/>
  <c r="P148" i="18"/>
  <c r="I149" i="18"/>
  <c r="J149" i="18"/>
  <c r="L149" i="18"/>
  <c r="P149" i="18"/>
  <c r="I150" i="18"/>
  <c r="J150" i="18"/>
  <c r="L150" i="18"/>
  <c r="P150" i="18"/>
  <c r="I151" i="18"/>
  <c r="J151" i="18"/>
  <c r="L151" i="18"/>
  <c r="P151" i="18"/>
  <c r="P143" i="18"/>
  <c r="P142" i="18"/>
  <c r="L142" i="18"/>
  <c r="J142" i="18"/>
  <c r="I142" i="18"/>
  <c r="P141" i="18"/>
  <c r="L141" i="18"/>
  <c r="J141" i="18"/>
  <c r="I141" i="18"/>
  <c r="P140" i="18"/>
  <c r="L140" i="18"/>
  <c r="J140" i="18"/>
  <c r="I140" i="18"/>
  <c r="P135" i="18"/>
  <c r="L135" i="18"/>
  <c r="J135" i="18"/>
  <c r="I135" i="18"/>
  <c r="P115" i="18"/>
  <c r="L115" i="18"/>
  <c r="J115" i="18"/>
  <c r="I115" i="18"/>
  <c r="D181" i="22" l="1"/>
  <c r="C117" i="22"/>
  <c r="C139" i="22"/>
  <c r="C133" i="22"/>
  <c r="C119" i="22"/>
  <c r="D140" i="22"/>
  <c r="C167" i="22"/>
  <c r="C172" i="22"/>
  <c r="D167" i="22"/>
  <c r="C147" i="22"/>
  <c r="D133" i="22"/>
  <c r="D147" i="22"/>
  <c r="D139" i="22"/>
  <c r="D119" i="22"/>
  <c r="C176" i="22"/>
  <c r="C144" i="22"/>
  <c r="C140" i="22"/>
  <c r="D176" i="22"/>
  <c r="D172" i="22"/>
  <c r="D144" i="22"/>
  <c r="C181" i="22"/>
  <c r="CZ181" i="22" s="1"/>
  <c r="D117" i="22"/>
  <c r="C168" i="22"/>
  <c r="D168" i="22"/>
  <c r="A109" i="22"/>
  <c r="G139" i="22"/>
  <c r="G167" i="22"/>
  <c r="BH147" i="22"/>
  <c r="BH181" i="22"/>
  <c r="F147" i="22"/>
  <c r="F139" i="22"/>
  <c r="E139" i="22" s="1"/>
  <c r="G117" i="22"/>
  <c r="G133" i="22"/>
  <c r="F181" i="22"/>
  <c r="BH139" i="22"/>
  <c r="G181" i="22"/>
  <c r="BH176" i="22"/>
  <c r="G168" i="22"/>
  <c r="G147" i="22"/>
  <c r="G140" i="22"/>
  <c r="BH144" i="22"/>
  <c r="F168" i="22"/>
  <c r="BH167" i="22"/>
  <c r="F133" i="22"/>
  <c r="F117" i="22"/>
  <c r="G119" i="22"/>
  <c r="BH117" i="22"/>
  <c r="BH168" i="22"/>
  <c r="G172" i="22"/>
  <c r="F167" i="22"/>
  <c r="E167" i="22" s="1"/>
  <c r="BH133" i="22"/>
  <c r="G176" i="22"/>
  <c r="F119" i="22"/>
  <c r="F176" i="22"/>
  <c r="BH172" i="22"/>
  <c r="F144" i="22"/>
  <c r="BH140" i="22"/>
  <c r="F172" i="22"/>
  <c r="BH119" i="22"/>
  <c r="G144" i="22"/>
  <c r="F140" i="22"/>
  <c r="BH10" i="22"/>
  <c r="CW10" i="22" s="1"/>
  <c r="BH169" i="22"/>
  <c r="BH155" i="22"/>
  <c r="BH125" i="22"/>
  <c r="CN125" i="22" s="1"/>
  <c r="BH166" i="22"/>
  <c r="BH154" i="22"/>
  <c r="BH152" i="22"/>
  <c r="BH177" i="22"/>
  <c r="BH164" i="22"/>
  <c r="BH151" i="22"/>
  <c r="BH165" i="22"/>
  <c r="BH182" i="22"/>
  <c r="BH163" i="22"/>
  <c r="BH150" i="22"/>
  <c r="BH180" i="22"/>
  <c r="BH162" i="22"/>
  <c r="BH179" i="22"/>
  <c r="BH161" i="22"/>
  <c r="BH175" i="22"/>
  <c r="BH160" i="22"/>
  <c r="BH178" i="22"/>
  <c r="BH174" i="22"/>
  <c r="BH159" i="22"/>
  <c r="BH145" i="22"/>
  <c r="BH173" i="22"/>
  <c r="BH158" i="22"/>
  <c r="BH171" i="22"/>
  <c r="BH157" i="22"/>
  <c r="BH170" i="22"/>
  <c r="BH156" i="22"/>
  <c r="F95" i="22"/>
  <c r="G95" i="22"/>
  <c r="D95" i="22"/>
  <c r="AB95" i="22" s="1"/>
  <c r="C95" i="22"/>
  <c r="BH95" i="22"/>
  <c r="DD23" i="22"/>
  <c r="A23" i="22"/>
  <c r="DD22" i="22"/>
  <c r="A22" i="22"/>
  <c r="DD21" i="22"/>
  <c r="A21" i="22"/>
  <c r="DD20" i="22"/>
  <c r="A20" i="22"/>
  <c r="DD19" i="22"/>
  <c r="A19" i="22"/>
  <c r="DD17" i="22"/>
  <c r="A17" i="22"/>
  <c r="DD16" i="22"/>
  <c r="A16" i="22"/>
  <c r="DD15" i="22"/>
  <c r="A15" i="22"/>
  <c r="DD14" i="22"/>
  <c r="A14" i="22"/>
  <c r="DD13" i="22"/>
  <c r="A13" i="22"/>
  <c r="DD12" i="22"/>
  <c r="A12" i="22"/>
  <c r="DD11" i="22"/>
  <c r="A11" i="22"/>
  <c r="O15" i="18"/>
  <c r="K480" i="19" s="1"/>
  <c r="DD24" i="22"/>
  <c r="A24" i="22"/>
  <c r="A6" i="22"/>
  <c r="C93" i="22"/>
  <c r="D93" i="22"/>
  <c r="AB93" i="22" s="1"/>
  <c r="G92" i="22"/>
  <c r="G91" i="22"/>
  <c r="BH90" i="22"/>
  <c r="G94" i="22"/>
  <c r="D94" i="22"/>
  <c r="AB94" i="22" s="1"/>
  <c r="BH93" i="22"/>
  <c r="C92" i="22"/>
  <c r="D92" i="22"/>
  <c r="AB92" i="22" s="1"/>
  <c r="F91" i="22"/>
  <c r="G90" i="22"/>
  <c r="C94" i="22"/>
  <c r="G93" i="22"/>
  <c r="F92" i="22"/>
  <c r="C91" i="22"/>
  <c r="D91" i="22"/>
  <c r="AB91" i="22" s="1"/>
  <c r="F90" i="22"/>
  <c r="F94" i="22"/>
  <c r="F93" i="22"/>
  <c r="BH92" i="22"/>
  <c r="BH91" i="22"/>
  <c r="C90" i="22"/>
  <c r="D90" i="22"/>
  <c r="AB90" i="22" s="1"/>
  <c r="BH94" i="22"/>
  <c r="C89" i="22"/>
  <c r="F89" i="22"/>
  <c r="BH89" i="22"/>
  <c r="D89" i="22"/>
  <c r="G89" i="22"/>
  <c r="O3" i="18"/>
  <c r="K468" i="19" s="1"/>
  <c r="O14" i="18"/>
  <c r="K479" i="19" s="1"/>
  <c r="O13" i="18"/>
  <c r="K478" i="19" s="1"/>
  <c r="O12" i="18"/>
  <c r="K477" i="19" s="1"/>
  <c r="O11" i="18"/>
  <c r="K476" i="19" s="1"/>
  <c r="O10" i="18"/>
  <c r="K475" i="19" s="1"/>
  <c r="O9" i="18"/>
  <c r="K474" i="19" s="1"/>
  <c r="O4" i="18"/>
  <c r="K469" i="19" s="1"/>
  <c r="O8" i="18"/>
  <c r="K473" i="19" s="1"/>
  <c r="O7" i="18"/>
  <c r="K472" i="19" s="1"/>
  <c r="O6" i="18"/>
  <c r="K471" i="19" s="1"/>
  <c r="O5" i="18"/>
  <c r="K470" i="19" s="1"/>
  <c r="F158" i="22"/>
  <c r="G158" i="22"/>
  <c r="F171" i="22"/>
  <c r="G171" i="22"/>
  <c r="F157" i="22"/>
  <c r="G157" i="22"/>
  <c r="F138" i="22"/>
  <c r="G138" i="22"/>
  <c r="F127" i="22"/>
  <c r="G127" i="22"/>
  <c r="F114" i="22"/>
  <c r="G114" i="22"/>
  <c r="F115" i="22"/>
  <c r="G115" i="22"/>
  <c r="G170" i="22"/>
  <c r="F170" i="22"/>
  <c r="G156" i="22"/>
  <c r="F156" i="22"/>
  <c r="G137" i="22"/>
  <c r="F137" i="22"/>
  <c r="G126" i="22"/>
  <c r="F126" i="22"/>
  <c r="G113" i="22"/>
  <c r="F113" i="22"/>
  <c r="F128" i="22"/>
  <c r="G128" i="22"/>
  <c r="G169" i="22"/>
  <c r="F169" i="22"/>
  <c r="G155" i="22"/>
  <c r="F155" i="22"/>
  <c r="G136" i="22"/>
  <c r="F136" i="22"/>
  <c r="G125" i="22"/>
  <c r="F125" i="22"/>
  <c r="G112" i="22"/>
  <c r="F112" i="22"/>
  <c r="F173" i="22"/>
  <c r="G173" i="22"/>
  <c r="G166" i="22"/>
  <c r="F166" i="22"/>
  <c r="G154" i="22"/>
  <c r="F154" i="22"/>
  <c r="G135" i="22"/>
  <c r="F135" i="22"/>
  <c r="G111" i="22"/>
  <c r="F111" i="22"/>
  <c r="F143" i="22"/>
  <c r="G143" i="22"/>
  <c r="G178" i="22"/>
  <c r="F178" i="22"/>
  <c r="G165" i="22"/>
  <c r="F165" i="22"/>
  <c r="G152" i="22"/>
  <c r="F152" i="22"/>
  <c r="G134" i="22"/>
  <c r="F134" i="22"/>
  <c r="G124" i="22"/>
  <c r="F124" i="22"/>
  <c r="G110" i="22"/>
  <c r="F110" i="22"/>
  <c r="G177" i="22"/>
  <c r="F177" i="22"/>
  <c r="G164" i="22"/>
  <c r="F164" i="22"/>
  <c r="G151" i="22"/>
  <c r="F151" i="22"/>
  <c r="G141" i="22"/>
  <c r="F141" i="22"/>
  <c r="G123" i="22"/>
  <c r="F123" i="22"/>
  <c r="G109" i="22"/>
  <c r="F109" i="22"/>
  <c r="G182" i="22"/>
  <c r="F182" i="22"/>
  <c r="G163" i="22"/>
  <c r="D163" i="22"/>
  <c r="F163" i="22"/>
  <c r="C163" i="22"/>
  <c r="G150" i="22"/>
  <c r="F150" i="22"/>
  <c r="G122" i="22"/>
  <c r="F122" i="22"/>
  <c r="G180" i="22"/>
  <c r="F180" i="22"/>
  <c r="G162" i="22"/>
  <c r="F162" i="22"/>
  <c r="G149" i="22"/>
  <c r="F149" i="22"/>
  <c r="G132" i="22"/>
  <c r="F132" i="22"/>
  <c r="G121" i="22"/>
  <c r="F121" i="22"/>
  <c r="G179" i="22"/>
  <c r="F179" i="22"/>
  <c r="G161" i="22"/>
  <c r="F161" i="22"/>
  <c r="G148" i="22"/>
  <c r="F148" i="22"/>
  <c r="G131" i="22"/>
  <c r="F131" i="22"/>
  <c r="G120" i="22"/>
  <c r="F120" i="22"/>
  <c r="G175" i="22"/>
  <c r="F175" i="22"/>
  <c r="G160" i="22"/>
  <c r="F160" i="22"/>
  <c r="G146" i="22"/>
  <c r="F146" i="22"/>
  <c r="G130" i="22"/>
  <c r="F130" i="22"/>
  <c r="G118" i="22"/>
  <c r="F118" i="22"/>
  <c r="F174" i="22"/>
  <c r="G174" i="22"/>
  <c r="F159" i="22"/>
  <c r="G159" i="22"/>
  <c r="F145" i="22"/>
  <c r="G145" i="22"/>
  <c r="F129" i="22"/>
  <c r="G129" i="22"/>
  <c r="F116" i="22"/>
  <c r="G116" i="22"/>
  <c r="D166" i="22"/>
  <c r="C166" i="22"/>
  <c r="D178" i="22"/>
  <c r="C178" i="22"/>
  <c r="D165" i="22"/>
  <c r="C165" i="22"/>
  <c r="C177" i="22"/>
  <c r="D177" i="22"/>
  <c r="D164" i="22"/>
  <c r="C164" i="22"/>
  <c r="D182" i="22"/>
  <c r="C182" i="22"/>
  <c r="C180" i="22"/>
  <c r="D180" i="22"/>
  <c r="D179" i="22"/>
  <c r="C179" i="22"/>
  <c r="D175" i="22"/>
  <c r="C175" i="22"/>
  <c r="D174" i="22"/>
  <c r="CR174" i="22" s="1"/>
  <c r="C174" i="22"/>
  <c r="D173" i="22"/>
  <c r="CR173" i="22" s="1"/>
  <c r="C173" i="22"/>
  <c r="C169" i="22"/>
  <c r="D169" i="22"/>
  <c r="D171" i="22"/>
  <c r="C171" i="22"/>
  <c r="D170" i="22"/>
  <c r="C170" i="22"/>
  <c r="D156" i="22"/>
  <c r="C156" i="22"/>
  <c r="D158" i="22"/>
  <c r="CR158" i="22" s="1"/>
  <c r="C158" i="22"/>
  <c r="C155" i="22"/>
  <c r="D155" i="22"/>
  <c r="D154" i="22"/>
  <c r="C154" i="22"/>
  <c r="D162" i="22"/>
  <c r="C162" i="22"/>
  <c r="D161" i="22"/>
  <c r="CR161" i="22" s="1"/>
  <c r="C161" i="22"/>
  <c r="D160" i="22"/>
  <c r="CR160" i="22" s="1"/>
  <c r="C160" i="22"/>
  <c r="D159" i="22"/>
  <c r="CR159" i="22" s="1"/>
  <c r="C159" i="22"/>
  <c r="D157" i="22"/>
  <c r="C157" i="22"/>
  <c r="C143" i="22"/>
  <c r="C128" i="22"/>
  <c r="C115" i="22"/>
  <c r="DD61" i="22"/>
  <c r="C116" i="22"/>
  <c r="DD75" i="22"/>
  <c r="C127" i="22"/>
  <c r="DD73" i="22"/>
  <c r="DD31" i="22"/>
  <c r="C137" i="22"/>
  <c r="C126" i="22"/>
  <c r="C113" i="22"/>
  <c r="C129" i="22"/>
  <c r="DD53" i="22"/>
  <c r="DD38" i="22"/>
  <c r="DD55" i="22"/>
  <c r="DD87" i="22"/>
  <c r="DD77" i="22"/>
  <c r="DD65" i="22"/>
  <c r="DD50" i="22"/>
  <c r="C136" i="22"/>
  <c r="C125" i="22"/>
  <c r="D125" i="22"/>
  <c r="C112" i="22"/>
  <c r="DD78" i="22"/>
  <c r="D145" i="22"/>
  <c r="C145" i="22"/>
  <c r="DD68" i="22"/>
  <c r="DD48" i="22"/>
  <c r="DD28" i="22"/>
  <c r="DD80" i="22"/>
  <c r="DD82" i="22"/>
  <c r="DD70" i="22"/>
  <c r="DD57" i="22"/>
  <c r="DD45" i="22"/>
  <c r="DD27" i="22"/>
  <c r="C135" i="22"/>
  <c r="C111" i="22"/>
  <c r="DD83" i="22"/>
  <c r="DD46" i="22"/>
  <c r="DD67" i="22"/>
  <c r="DD52" i="22"/>
  <c r="DD40" i="22"/>
  <c r="DD37" i="22"/>
  <c r="D152" i="22"/>
  <c r="C152" i="22"/>
  <c r="C134" i="22"/>
  <c r="C124" i="22"/>
  <c r="D110" i="22"/>
  <c r="CR110" i="22" s="1"/>
  <c r="C110" i="22"/>
  <c r="DD85" i="22"/>
  <c r="DD84" i="22"/>
  <c r="DD72" i="22"/>
  <c r="DD62" i="22"/>
  <c r="DD59" i="22"/>
  <c r="DD47" i="22"/>
  <c r="DD33" i="22"/>
  <c r="DD30" i="22"/>
  <c r="D151" i="22"/>
  <c r="C151" i="22"/>
  <c r="C141" i="22"/>
  <c r="C123" i="22"/>
  <c r="C138" i="22"/>
  <c r="DD79" i="22"/>
  <c r="DD69" i="22"/>
  <c r="DD54" i="22"/>
  <c r="D150" i="22"/>
  <c r="C150" i="22"/>
  <c r="C122" i="22"/>
  <c r="DD58" i="22"/>
  <c r="DD63" i="22"/>
  <c r="DD41" i="22"/>
  <c r="DD43" i="22"/>
  <c r="DD86" i="22"/>
  <c r="DD76" i="22"/>
  <c r="DD64" i="22"/>
  <c r="DD49" i="22"/>
  <c r="DD26" i="22"/>
  <c r="C149" i="22"/>
  <c r="C132" i="22"/>
  <c r="C121" i="22"/>
  <c r="DD18" i="22"/>
  <c r="C114" i="22"/>
  <c r="DD81" i="22"/>
  <c r="DD74" i="22"/>
  <c r="DD56" i="22"/>
  <c r="DD44" i="22"/>
  <c r="DD39" i="22"/>
  <c r="C148" i="22"/>
  <c r="C131" i="22"/>
  <c r="C120" i="22"/>
  <c r="DD71" i="22"/>
  <c r="DD25" i="22"/>
  <c r="DD60" i="22"/>
  <c r="DD88" i="22"/>
  <c r="DD66" i="22"/>
  <c r="DD51" i="22"/>
  <c r="DD32" i="22"/>
  <c r="DD29" i="22"/>
  <c r="C146" i="22"/>
  <c r="C130" i="22"/>
  <c r="C118" i="22"/>
  <c r="BH7" i="22"/>
  <c r="C7" i="22"/>
  <c r="C6" i="22"/>
  <c r="BH6" i="22"/>
  <c r="G7" i="22"/>
  <c r="G6" i="22"/>
  <c r="F7" i="22"/>
  <c r="F6" i="22"/>
  <c r="D7" i="22"/>
  <c r="D6" i="22"/>
  <c r="E176" i="22" l="1"/>
  <c r="E117" i="22"/>
  <c r="E168" i="22"/>
  <c r="CZ140" i="22"/>
  <c r="E133" i="22"/>
  <c r="CZ167" i="22"/>
  <c r="CR133" i="22"/>
  <c r="N133" i="22"/>
  <c r="L133" i="22"/>
  <c r="AR133" i="22" s="1"/>
  <c r="E172" i="22"/>
  <c r="E119" i="22"/>
  <c r="E181" i="22"/>
  <c r="N117" i="22"/>
  <c r="CR117" i="22"/>
  <c r="L117" i="22"/>
  <c r="AR117" i="22" s="1"/>
  <c r="CZ147" i="22"/>
  <c r="BW140" i="22"/>
  <c r="BN140" i="22"/>
  <c r="BO140" i="22"/>
  <c r="BM140" i="22"/>
  <c r="BL140" i="22"/>
  <c r="BK140" i="22"/>
  <c r="CN140" i="22"/>
  <c r="BJ140" i="22"/>
  <c r="CX140" i="22"/>
  <c r="CY140" i="22" s="1"/>
  <c r="CI140" i="22"/>
  <c r="CT140" i="22" s="1"/>
  <c r="BI140" i="22"/>
  <c r="BX140" i="22"/>
  <c r="CU117" i="22"/>
  <c r="I117" i="22"/>
  <c r="BY117" i="22"/>
  <c r="CO117" i="22" s="1"/>
  <c r="BZ117" i="22"/>
  <c r="CB117" i="22"/>
  <c r="L167" i="22"/>
  <c r="CR167" i="22"/>
  <c r="N167" i="22"/>
  <c r="CN117" i="22"/>
  <c r="BJ117" i="22"/>
  <c r="BX117" i="22"/>
  <c r="CI117" i="22"/>
  <c r="CT117" i="22" s="1"/>
  <c r="BN117" i="22"/>
  <c r="BW117" i="22"/>
  <c r="BI117" i="22"/>
  <c r="BM117" i="22"/>
  <c r="BO117" i="22"/>
  <c r="BL117" i="22"/>
  <c r="CX117" i="22"/>
  <c r="CY117" i="22" s="1"/>
  <c r="BK117" i="22"/>
  <c r="CW117" i="22"/>
  <c r="BV117" i="22"/>
  <c r="CV117" i="22"/>
  <c r="CS117" i="22"/>
  <c r="E144" i="22"/>
  <c r="CR144" i="22" s="1"/>
  <c r="CB133" i="22"/>
  <c r="BY133" i="22"/>
  <c r="I133" i="22"/>
  <c r="N144" i="22"/>
  <c r="AR144" i="22"/>
  <c r="L144" i="22"/>
  <c r="CZ172" i="22"/>
  <c r="BI139" i="22"/>
  <c r="BN139" i="22"/>
  <c r="CW139" i="22"/>
  <c r="CS139" i="22"/>
  <c r="CX139" i="22"/>
  <c r="CY139" i="22" s="1"/>
  <c r="BJ139" i="22"/>
  <c r="CI139" i="22"/>
  <c r="BO139" i="22"/>
  <c r="BV139" i="22"/>
  <c r="BX139" i="22"/>
  <c r="CT139" i="22"/>
  <c r="CN139" i="22"/>
  <c r="BM139" i="22"/>
  <c r="BL139" i="22"/>
  <c r="BW139" i="22"/>
  <c r="CU139" i="22"/>
  <c r="CV139" i="22"/>
  <c r="BK139" i="22"/>
  <c r="CW172" i="22"/>
  <c r="BJ172" i="22"/>
  <c r="CV172" i="22"/>
  <c r="CX172" i="22"/>
  <c r="CY172" i="22" s="1"/>
  <c r="BK172" i="22"/>
  <c r="BX172" i="22"/>
  <c r="BO172" i="22"/>
  <c r="BI172" i="22"/>
  <c r="CU172" i="22"/>
  <c r="CI172" i="22"/>
  <c r="CN172" i="22"/>
  <c r="BW172" i="22"/>
  <c r="BM172" i="22"/>
  <c r="CT172" i="22"/>
  <c r="BL172" i="22"/>
  <c r="CS172" i="22"/>
  <c r="BN172" i="22"/>
  <c r="CX167" i="22"/>
  <c r="CY167" i="22" s="1"/>
  <c r="BV167" i="22"/>
  <c r="BK167" i="22"/>
  <c r="CS167" i="22"/>
  <c r="CW167" i="22"/>
  <c r="BN167" i="22"/>
  <c r="BJ167" i="22"/>
  <c r="BO167" i="22"/>
  <c r="CV167" i="22"/>
  <c r="BW167" i="22"/>
  <c r="BL167" i="22"/>
  <c r="BX167" i="22"/>
  <c r="CN167" i="22"/>
  <c r="BI167" i="22"/>
  <c r="BM167" i="22"/>
  <c r="CU167" i="22"/>
  <c r="CI167" i="22"/>
  <c r="CT167" i="22" s="1"/>
  <c r="BY139" i="22"/>
  <c r="CO139" i="22" s="1"/>
  <c r="CB139" i="22"/>
  <c r="BZ139" i="22"/>
  <c r="I139" i="22"/>
  <c r="AB172" i="22"/>
  <c r="CR172" i="22"/>
  <c r="AR172" i="22"/>
  <c r="L172" i="22"/>
  <c r="AV172" i="22" s="1"/>
  <c r="N172" i="22"/>
  <c r="Y172" i="22" s="1"/>
  <c r="CB176" i="22"/>
  <c r="BY176" i="22"/>
  <c r="CO176" i="22" s="1"/>
  <c r="BZ176" i="22"/>
  <c r="I176" i="22"/>
  <c r="CB168" i="22"/>
  <c r="I168" i="22"/>
  <c r="BY168" i="22"/>
  <c r="CO168" i="22" s="1"/>
  <c r="BZ168" i="22"/>
  <c r="E147" i="22"/>
  <c r="CS147" i="22" s="1"/>
  <c r="CR176" i="22"/>
  <c r="N176" i="22"/>
  <c r="L176" i="22"/>
  <c r="AV176" i="22" s="1"/>
  <c r="N140" i="22"/>
  <c r="CR140" i="22"/>
  <c r="L140" i="22"/>
  <c r="AR140" i="22" s="1"/>
  <c r="N147" i="22"/>
  <c r="L147" i="22"/>
  <c r="CR147" i="22"/>
  <c r="CN144" i="22"/>
  <c r="BO144" i="22"/>
  <c r="BW144" i="22"/>
  <c r="CI144" i="22"/>
  <c r="CT144" i="22" s="1"/>
  <c r="CX144" i="22"/>
  <c r="CY144" i="22" s="1"/>
  <c r="BI144" i="22"/>
  <c r="BN144" i="22"/>
  <c r="BX144" i="22"/>
  <c r="BJ144" i="22"/>
  <c r="BK144" i="22"/>
  <c r="BL144" i="22"/>
  <c r="BM144" i="22"/>
  <c r="CS144" i="22"/>
  <c r="BV144" i="22"/>
  <c r="CN181" i="22"/>
  <c r="CT181" i="22"/>
  <c r="BM181" i="22"/>
  <c r="BV181" i="22"/>
  <c r="CX181" i="22"/>
  <c r="CY181" i="22" s="1"/>
  <c r="CS181" i="22"/>
  <c r="BK181" i="22"/>
  <c r="BL181" i="22"/>
  <c r="CW181" i="22"/>
  <c r="BO181" i="22"/>
  <c r="BW181" i="22"/>
  <c r="BJ181" i="22"/>
  <c r="BN181" i="22"/>
  <c r="CV181" i="22"/>
  <c r="BX181" i="22"/>
  <c r="BI181" i="22"/>
  <c r="CU181" i="22"/>
  <c r="CI181" i="22"/>
  <c r="CZ119" i="22"/>
  <c r="BK168" i="22"/>
  <c r="BO168" i="22"/>
  <c r="CW168" i="22"/>
  <c r="CX168" i="22"/>
  <c r="CY168" i="22" s="1"/>
  <c r="BJ168" i="22"/>
  <c r="CV168" i="22"/>
  <c r="BL168" i="22"/>
  <c r="BN168" i="22"/>
  <c r="BX168" i="22"/>
  <c r="BI168" i="22"/>
  <c r="CU168" i="22"/>
  <c r="CI168" i="22"/>
  <c r="CT168" i="22" s="1"/>
  <c r="CN168" i="22"/>
  <c r="BW168" i="22"/>
  <c r="BM168" i="22"/>
  <c r="BV168" i="22"/>
  <c r="CS168" i="22"/>
  <c r="BK119" i="22"/>
  <c r="BO119" i="22"/>
  <c r="BV119" i="22"/>
  <c r="CW119" i="22"/>
  <c r="BL119" i="22"/>
  <c r="BN119" i="22"/>
  <c r="BJ119" i="22"/>
  <c r="CV119" i="22"/>
  <c r="BX119" i="22"/>
  <c r="CS119" i="22"/>
  <c r="CX119" i="22"/>
  <c r="CY119" i="22" s="1"/>
  <c r="BI119" i="22"/>
  <c r="CU119" i="22"/>
  <c r="CN119" i="22"/>
  <c r="CI119" i="22"/>
  <c r="CT119" i="22" s="1"/>
  <c r="BM119" i="22"/>
  <c r="BW119" i="22"/>
  <c r="E140" i="22"/>
  <c r="CW140" i="22" s="1"/>
  <c r="BI147" i="22"/>
  <c r="CI147" i="22"/>
  <c r="CT147" i="22" s="1"/>
  <c r="BW147" i="22"/>
  <c r="BO147" i="22"/>
  <c r="BN147" i="22"/>
  <c r="BJ147" i="22"/>
  <c r="CN147" i="22"/>
  <c r="BM147" i="22"/>
  <c r="BL147" i="22"/>
  <c r="CX147" i="22"/>
  <c r="CY147" i="22" s="1"/>
  <c r="BK147" i="22"/>
  <c r="BX147" i="22"/>
  <c r="CZ144" i="22"/>
  <c r="CZ133" i="22"/>
  <c r="L168" i="22"/>
  <c r="AV168" i="22" s="1"/>
  <c r="CR168" i="22"/>
  <c r="N168" i="22"/>
  <c r="BX133" i="22"/>
  <c r="BI133" i="22"/>
  <c r="CU133" i="22"/>
  <c r="CI133" i="22"/>
  <c r="CT133" i="22" s="1"/>
  <c r="CV133" i="22"/>
  <c r="CN133" i="22"/>
  <c r="BW133" i="22"/>
  <c r="BM133" i="22"/>
  <c r="CS133" i="22"/>
  <c r="BL133" i="22"/>
  <c r="BO133" i="22"/>
  <c r="CX133" i="22"/>
  <c r="CY133" i="22" s="1"/>
  <c r="BN133" i="22"/>
  <c r="BK133" i="22"/>
  <c r="CW133" i="22"/>
  <c r="BJ133" i="22"/>
  <c r="AT167" i="22"/>
  <c r="AU167" i="22" s="1"/>
  <c r="AV167" i="22"/>
  <c r="CZ176" i="22"/>
  <c r="CZ139" i="22"/>
  <c r="CZ168" i="22"/>
  <c r="BZ167" i="22"/>
  <c r="CB167" i="22"/>
  <c r="I167" i="22"/>
  <c r="BY167" i="22"/>
  <c r="CO167" i="22" s="1"/>
  <c r="N119" i="22"/>
  <c r="L119" i="22"/>
  <c r="CR119" i="22"/>
  <c r="CZ117" i="22"/>
  <c r="BX176" i="22"/>
  <c r="BO176" i="22"/>
  <c r="BM176" i="22"/>
  <c r="BW176" i="22"/>
  <c r="CV176" i="22"/>
  <c r="CW176" i="22"/>
  <c r="BN176" i="22"/>
  <c r="BK176" i="22"/>
  <c r="BV176" i="22"/>
  <c r="CX176" i="22"/>
  <c r="CY176" i="22" s="1"/>
  <c r="BL176" i="22"/>
  <c r="BI176" i="22"/>
  <c r="CI176" i="22"/>
  <c r="CT176" i="22" s="1"/>
  <c r="CS176" i="22"/>
  <c r="CN176" i="22"/>
  <c r="BJ176" i="22"/>
  <c r="CU176" i="22"/>
  <c r="N139" i="22"/>
  <c r="CR139" i="22"/>
  <c r="AR139" i="22"/>
  <c r="L139" i="22"/>
  <c r="L181" i="22"/>
  <c r="AV181" i="22" s="1"/>
  <c r="N181" i="22"/>
  <c r="AB181" i="22"/>
  <c r="CR181" i="22"/>
  <c r="AR181" i="22"/>
  <c r="CX10" i="22"/>
  <c r="CY10" i="22" s="1"/>
  <c r="BV10" i="22"/>
  <c r="BJ10" i="22"/>
  <c r="CN10" i="22"/>
  <c r="CP10" i="22" s="1"/>
  <c r="BX10" i="22"/>
  <c r="BN10" i="22"/>
  <c r="CS10" i="22"/>
  <c r="BM10" i="22"/>
  <c r="CU10" i="22"/>
  <c r="BX169" i="22"/>
  <c r="BW169" i="22"/>
  <c r="BI10" i="22"/>
  <c r="BL10" i="22"/>
  <c r="BW10" i="22"/>
  <c r="CE10" i="22" s="1"/>
  <c r="CV10" i="22"/>
  <c r="BO10" i="22"/>
  <c r="BK10" i="22"/>
  <c r="CI10" i="22"/>
  <c r="CT10" i="22" s="1"/>
  <c r="CX169" i="22"/>
  <c r="CY169" i="22" s="1"/>
  <c r="CI169" i="22"/>
  <c r="CT169" i="22" s="1"/>
  <c r="CN169" i="22"/>
  <c r="BW125" i="22"/>
  <c r="CI125" i="22"/>
  <c r="CT125" i="22" s="1"/>
  <c r="CX125" i="22"/>
  <c r="CY125" i="22" s="1"/>
  <c r="BX125" i="22"/>
  <c r="BX155" i="22"/>
  <c r="CN155" i="22"/>
  <c r="K498" i="19"/>
  <c r="O498" i="19" s="1"/>
  <c r="K514" i="19"/>
  <c r="K530" i="19" s="1"/>
  <c r="O480" i="19"/>
  <c r="N480" i="19"/>
  <c r="BW155" i="22"/>
  <c r="CX155" i="22"/>
  <c r="CY155" i="22" s="1"/>
  <c r="CI155" i="22"/>
  <c r="CT155" i="22" s="1"/>
  <c r="E165" i="22"/>
  <c r="BV165" i="22" s="1"/>
  <c r="CZ154" i="22"/>
  <c r="CZ182" i="22"/>
  <c r="CZ166" i="22"/>
  <c r="CZ162" i="22"/>
  <c r="CZ171" i="22"/>
  <c r="CZ150" i="22"/>
  <c r="CZ152" i="22"/>
  <c r="CZ125" i="22"/>
  <c r="CZ145" i="22"/>
  <c r="CZ163" i="22"/>
  <c r="CZ151" i="22"/>
  <c r="CZ110" i="22"/>
  <c r="E94" i="22"/>
  <c r="I94" i="22" s="1"/>
  <c r="CZ95" i="22"/>
  <c r="CZ155" i="22"/>
  <c r="CZ159" i="22"/>
  <c r="CZ158" i="22"/>
  <c r="CZ174" i="22"/>
  <c r="CZ160" i="22"/>
  <c r="CZ180" i="22"/>
  <c r="CV94" i="22"/>
  <c r="CU94" i="22"/>
  <c r="CT94" i="22"/>
  <c r="CS94" i="22"/>
  <c r="CN94" i="22"/>
  <c r="CX94" i="22"/>
  <c r="CY94" i="22" s="1"/>
  <c r="BW94" i="22"/>
  <c r="CI94" i="22"/>
  <c r="BX94" i="22"/>
  <c r="CW94" i="22"/>
  <c r="CX173" i="22"/>
  <c r="CY173" i="22" s="1"/>
  <c r="CW173" i="22"/>
  <c r="CV173" i="22"/>
  <c r="CU173" i="22"/>
  <c r="CT173" i="22"/>
  <c r="CS173" i="22"/>
  <c r="BW173" i="22"/>
  <c r="CI173" i="22"/>
  <c r="BX173" i="22"/>
  <c r="CN173" i="22"/>
  <c r="CN156" i="22"/>
  <c r="CX156" i="22"/>
  <c r="CY156" i="22" s="1"/>
  <c r="BW156" i="22"/>
  <c r="CI156" i="22"/>
  <c r="CT156" i="22" s="1"/>
  <c r="BX156" i="22"/>
  <c r="CX7" i="22"/>
  <c r="CN7" i="22"/>
  <c r="BW7" i="22"/>
  <c r="CI7" i="22"/>
  <c r="CT7" i="22" s="1"/>
  <c r="BX7" i="22"/>
  <c r="CZ169" i="22"/>
  <c r="CN170" i="22"/>
  <c r="CX170" i="22"/>
  <c r="CY170" i="22" s="1"/>
  <c r="BW170" i="22"/>
  <c r="CI170" i="22"/>
  <c r="CT170" i="22" s="1"/>
  <c r="BX170" i="22"/>
  <c r="CZ157" i="22"/>
  <c r="CZ173" i="22"/>
  <c r="CZ164" i="22"/>
  <c r="CX91" i="22"/>
  <c r="CY91" i="22" s="1"/>
  <c r="CW91" i="22"/>
  <c r="CV91" i="22"/>
  <c r="CU91" i="22"/>
  <c r="CT91" i="22"/>
  <c r="CS91" i="22"/>
  <c r="CN91" i="22"/>
  <c r="CI91" i="22"/>
  <c r="BW91" i="22"/>
  <c r="BX91" i="22"/>
  <c r="BW145" i="22"/>
  <c r="CX145" i="22"/>
  <c r="CY145" i="22" s="1"/>
  <c r="CN145" i="22"/>
  <c r="CI145" i="22"/>
  <c r="CT145" i="22" s="1"/>
  <c r="BX145" i="22"/>
  <c r="CX162" i="22"/>
  <c r="CY162" i="22" s="1"/>
  <c r="CN162" i="22"/>
  <c r="CI162" i="22"/>
  <c r="CT162" i="22" s="1"/>
  <c r="BX162" i="22"/>
  <c r="BW162" i="22"/>
  <c r="CX151" i="22"/>
  <c r="CY151" i="22" s="1"/>
  <c r="CN151" i="22"/>
  <c r="CI151" i="22"/>
  <c r="CT151" i="22" s="1"/>
  <c r="BX151" i="22"/>
  <c r="BW151" i="22"/>
  <c r="CV92" i="22"/>
  <c r="CU92" i="22"/>
  <c r="CT92" i="22"/>
  <c r="CS92" i="22"/>
  <c r="CN92" i="22"/>
  <c r="CX92" i="22"/>
  <c r="CY92" i="22" s="1"/>
  <c r="CI92" i="22"/>
  <c r="BW92" i="22"/>
  <c r="BX92" i="22"/>
  <c r="CW92" i="22"/>
  <c r="CV159" i="22"/>
  <c r="CU159" i="22"/>
  <c r="CT159" i="22"/>
  <c r="CS159" i="22"/>
  <c r="CX159" i="22"/>
  <c r="CY159" i="22" s="1"/>
  <c r="CN159" i="22"/>
  <c r="CW159" i="22"/>
  <c r="CI159" i="22"/>
  <c r="BX159" i="22"/>
  <c r="BW159" i="22"/>
  <c r="CX180" i="22"/>
  <c r="CY180" i="22" s="1"/>
  <c r="CN180" i="22"/>
  <c r="CI180" i="22"/>
  <c r="CT180" i="22" s="1"/>
  <c r="BX180" i="22"/>
  <c r="BW180" i="22"/>
  <c r="CX164" i="22"/>
  <c r="CY164" i="22" s="1"/>
  <c r="CN164" i="22"/>
  <c r="CI164" i="22"/>
  <c r="CT164" i="22" s="1"/>
  <c r="BX164" i="22"/>
  <c r="BW164" i="22"/>
  <c r="CX93" i="22"/>
  <c r="CY93" i="22" s="1"/>
  <c r="CW93" i="22"/>
  <c r="CV93" i="22"/>
  <c r="CU93" i="22"/>
  <c r="CT93" i="22"/>
  <c r="CN93" i="22"/>
  <c r="CS93" i="22"/>
  <c r="CI93" i="22"/>
  <c r="BX93" i="22"/>
  <c r="BW93" i="22"/>
  <c r="CX95" i="22"/>
  <c r="CY95" i="22" s="1"/>
  <c r="CW95" i="22"/>
  <c r="CV95" i="22"/>
  <c r="CN95" i="22"/>
  <c r="CU95" i="22"/>
  <c r="CT95" i="22"/>
  <c r="CS95" i="22"/>
  <c r="BX95" i="22"/>
  <c r="CI95" i="22"/>
  <c r="BW95" i="22"/>
  <c r="CV174" i="22"/>
  <c r="CU174" i="22"/>
  <c r="CT174" i="22"/>
  <c r="CS174" i="22"/>
  <c r="CX174" i="22"/>
  <c r="CY174" i="22" s="1"/>
  <c r="CN174" i="22"/>
  <c r="BW174" i="22"/>
  <c r="CW174" i="22"/>
  <c r="CI174" i="22"/>
  <c r="BX174" i="22"/>
  <c r="CX177" i="22"/>
  <c r="CY177" i="22" s="1"/>
  <c r="CN177" i="22"/>
  <c r="CI177" i="22"/>
  <c r="CT177" i="22" s="1"/>
  <c r="BX177" i="22"/>
  <c r="BW177" i="22"/>
  <c r="CZ177" i="22"/>
  <c r="CN157" i="22"/>
  <c r="CX157" i="22"/>
  <c r="CY157" i="22" s="1"/>
  <c r="BW157" i="22"/>
  <c r="CI157" i="22"/>
  <c r="CT157" i="22" s="1"/>
  <c r="BX157" i="22"/>
  <c r="CV178" i="22"/>
  <c r="CU178" i="22"/>
  <c r="CT178" i="22"/>
  <c r="CS178" i="22"/>
  <c r="CX178" i="22"/>
  <c r="CY178" i="22" s="1"/>
  <c r="CI178" i="22"/>
  <c r="BX178" i="22"/>
  <c r="CW178" i="22"/>
  <c r="BW178" i="22"/>
  <c r="CN178" i="22"/>
  <c r="CX152" i="22"/>
  <c r="CY152" i="22" s="1"/>
  <c r="CI152" i="22"/>
  <c r="CT152" i="22" s="1"/>
  <c r="BX152" i="22"/>
  <c r="CN152" i="22"/>
  <c r="BW152" i="22"/>
  <c r="CZ156" i="22"/>
  <c r="CZ175" i="22"/>
  <c r="CZ165" i="22"/>
  <c r="CN171" i="22"/>
  <c r="CX171" i="22"/>
  <c r="CY171" i="22" s="1"/>
  <c r="BW171" i="22"/>
  <c r="CI171" i="22"/>
  <c r="CT171" i="22" s="1"/>
  <c r="BX171" i="22"/>
  <c r="CV90" i="22"/>
  <c r="CU90" i="22"/>
  <c r="CT90" i="22"/>
  <c r="CS90" i="22"/>
  <c r="CX90" i="22"/>
  <c r="CY90" i="22" s="1"/>
  <c r="CN90" i="22"/>
  <c r="CI90" i="22"/>
  <c r="BW90" i="22"/>
  <c r="CW90" i="22"/>
  <c r="BX90" i="22"/>
  <c r="BW150" i="22"/>
  <c r="CN150" i="22"/>
  <c r="CX150" i="22"/>
  <c r="CY150" i="22" s="1"/>
  <c r="BX150" i="22"/>
  <c r="CI150" i="22"/>
  <c r="CT150" i="22" s="1"/>
  <c r="CZ161" i="22"/>
  <c r="CZ170" i="22"/>
  <c r="CZ179" i="22"/>
  <c r="CZ178" i="22"/>
  <c r="CN89" i="22"/>
  <c r="CX89" i="22"/>
  <c r="CY89" i="22" s="1"/>
  <c r="CI89" i="22"/>
  <c r="CT89" i="22" s="1"/>
  <c r="BW89" i="22"/>
  <c r="BX89" i="22"/>
  <c r="CX160" i="22"/>
  <c r="CY160" i="22" s="1"/>
  <c r="CW160" i="22"/>
  <c r="CV160" i="22"/>
  <c r="CU160" i="22"/>
  <c r="CT160" i="22"/>
  <c r="CS160" i="22"/>
  <c r="CN160" i="22"/>
  <c r="CI160" i="22"/>
  <c r="BX160" i="22"/>
  <c r="BW160" i="22"/>
  <c r="CV161" i="22"/>
  <c r="CU161" i="22"/>
  <c r="CT161" i="22"/>
  <c r="CS161" i="22"/>
  <c r="CN161" i="22"/>
  <c r="CX161" i="22"/>
  <c r="CY161" i="22" s="1"/>
  <c r="CI161" i="22"/>
  <c r="BX161" i="22"/>
  <c r="CW161" i="22"/>
  <c r="BW161" i="22"/>
  <c r="CN163" i="22"/>
  <c r="CX163" i="22"/>
  <c r="CY163" i="22" s="1"/>
  <c r="BX163" i="22"/>
  <c r="CI163" i="22"/>
  <c r="CT163" i="22" s="1"/>
  <c r="BW163" i="22"/>
  <c r="AB178" i="22"/>
  <c r="CR178" i="22"/>
  <c r="CX175" i="22"/>
  <c r="CY175" i="22" s="1"/>
  <c r="CN175" i="22"/>
  <c r="CI175" i="22"/>
  <c r="CT175" i="22" s="1"/>
  <c r="BX175" i="22"/>
  <c r="BW175" i="22"/>
  <c r="CN179" i="22"/>
  <c r="CX179" i="22"/>
  <c r="CY179" i="22" s="1"/>
  <c r="CI179" i="22"/>
  <c r="CT179" i="22" s="1"/>
  <c r="BX179" i="22"/>
  <c r="BW179" i="22"/>
  <c r="CE179" i="22" s="1"/>
  <c r="CN182" i="22"/>
  <c r="CX182" i="22"/>
  <c r="CY182" i="22" s="1"/>
  <c r="CI182" i="22"/>
  <c r="CT182" i="22" s="1"/>
  <c r="BX182" i="22"/>
  <c r="BW182" i="22"/>
  <c r="CX154" i="22"/>
  <c r="CY154" i="22" s="1"/>
  <c r="BX154" i="22"/>
  <c r="CN154" i="22"/>
  <c r="CI154" i="22"/>
  <c r="CT154" i="22" s="1"/>
  <c r="BW154" i="22"/>
  <c r="CX6" i="22"/>
  <c r="BW6" i="22"/>
  <c r="CN6" i="22"/>
  <c r="CI6" i="22"/>
  <c r="CT6" i="22" s="1"/>
  <c r="BX6" i="22"/>
  <c r="CX158" i="22"/>
  <c r="CY158" i="22" s="1"/>
  <c r="CW158" i="22"/>
  <c r="CV158" i="22"/>
  <c r="CU158" i="22"/>
  <c r="CT158" i="22"/>
  <c r="CS158" i="22"/>
  <c r="CN158" i="22"/>
  <c r="CI158" i="22"/>
  <c r="BW158" i="22"/>
  <c r="BX158" i="22"/>
  <c r="CV165" i="22"/>
  <c r="CX165" i="22"/>
  <c r="CY165" i="22" s="1"/>
  <c r="CI165" i="22"/>
  <c r="CT165" i="22" s="1"/>
  <c r="BX165" i="22"/>
  <c r="CN165" i="22"/>
  <c r="BW165" i="22"/>
  <c r="CX166" i="22"/>
  <c r="CY166" i="22" s="1"/>
  <c r="BX166" i="22"/>
  <c r="CI166" i="22"/>
  <c r="CT166" i="22" s="1"/>
  <c r="CN166" i="22"/>
  <c r="BW166" i="22"/>
  <c r="E92" i="22"/>
  <c r="CB92" i="22" s="1"/>
  <c r="E91" i="22"/>
  <c r="I91" i="22" s="1"/>
  <c r="E93" i="22"/>
  <c r="CB93" i="22" s="1"/>
  <c r="E95" i="22"/>
  <c r="CB95" i="22" s="1"/>
  <c r="CZ93" i="22"/>
  <c r="E90" i="22"/>
  <c r="I90" i="22" s="1"/>
  <c r="O17" i="18"/>
  <c r="E89" i="22"/>
  <c r="CZ94" i="22"/>
  <c r="L94" i="22"/>
  <c r="AO94" i="22" s="1"/>
  <c r="N94" i="22"/>
  <c r="Y94" i="22" s="1"/>
  <c r="AR94" i="22"/>
  <c r="CR94" i="22"/>
  <c r="CZ89" i="22"/>
  <c r="BL91" i="22"/>
  <c r="BJ91" i="22"/>
  <c r="BN91" i="22"/>
  <c r="BO91" i="22"/>
  <c r="BK91" i="22"/>
  <c r="BM91" i="22"/>
  <c r="BI91" i="22"/>
  <c r="CZ92" i="22"/>
  <c r="N92" i="22"/>
  <c r="Y92" i="22" s="1"/>
  <c r="AR92" i="22"/>
  <c r="L92" i="22"/>
  <c r="AV92" i="22" s="1"/>
  <c r="CR92" i="22"/>
  <c r="CR93" i="22"/>
  <c r="L93" i="22"/>
  <c r="AT93" i="22" s="1"/>
  <c r="AU93" i="22" s="1"/>
  <c r="N93" i="22"/>
  <c r="Y93" i="22" s="1"/>
  <c r="AR93" i="22"/>
  <c r="AR95" i="22"/>
  <c r="CR95" i="22"/>
  <c r="N95" i="22"/>
  <c r="Y95" i="22" s="1"/>
  <c r="L95" i="22"/>
  <c r="AO95" i="22" s="1"/>
  <c r="N89" i="22"/>
  <c r="CR89" i="22"/>
  <c r="L89" i="22"/>
  <c r="AT89" i="22" s="1"/>
  <c r="AU89" i="22" s="1"/>
  <c r="BI94" i="22"/>
  <c r="BK94" i="22"/>
  <c r="BJ94" i="22"/>
  <c r="BN94" i="22"/>
  <c r="BO94" i="22"/>
  <c r="BM94" i="22"/>
  <c r="BL94" i="22"/>
  <c r="BL92" i="22"/>
  <c r="BO92" i="22"/>
  <c r="BK92" i="22"/>
  <c r="BM92" i="22"/>
  <c r="BI92" i="22"/>
  <c r="BJ92" i="22"/>
  <c r="BN92" i="22"/>
  <c r="AR91" i="22"/>
  <c r="CR91" i="22"/>
  <c r="L91" i="22"/>
  <c r="AV91" i="22" s="1"/>
  <c r="N91" i="22"/>
  <c r="Y91" i="22" s="1"/>
  <c r="BM90" i="22"/>
  <c r="BK90" i="22"/>
  <c r="BI90" i="22"/>
  <c r="BO90" i="22"/>
  <c r="BL90" i="22"/>
  <c r="BN90" i="22"/>
  <c r="BJ90" i="22"/>
  <c r="O16" i="18"/>
  <c r="BO89" i="22"/>
  <c r="BL89" i="22"/>
  <c r="BI89" i="22"/>
  <c r="BM89" i="22"/>
  <c r="BK89" i="22"/>
  <c r="BN89" i="22"/>
  <c r="BJ89" i="22"/>
  <c r="CZ90" i="22"/>
  <c r="L90" i="22"/>
  <c r="AT90" i="22" s="1"/>
  <c r="AU90" i="22" s="1"/>
  <c r="N90" i="22"/>
  <c r="Y90" i="22" s="1"/>
  <c r="AR90" i="22"/>
  <c r="CR90" i="22"/>
  <c r="CZ91" i="22"/>
  <c r="BJ93" i="22"/>
  <c r="BI93" i="22"/>
  <c r="BN93" i="22"/>
  <c r="BM93" i="22"/>
  <c r="BL93" i="22"/>
  <c r="BO93" i="22"/>
  <c r="BK93" i="22"/>
  <c r="AO91" i="22"/>
  <c r="BJ95" i="22"/>
  <c r="BL95" i="22"/>
  <c r="BN95" i="22"/>
  <c r="BI95" i="22"/>
  <c r="BM95" i="22"/>
  <c r="BK95" i="22"/>
  <c r="BO95" i="22"/>
  <c r="E173" i="22"/>
  <c r="BV173" i="22" s="1"/>
  <c r="E175" i="22"/>
  <c r="BV175" i="22" s="1"/>
  <c r="E112" i="22"/>
  <c r="BZ112" i="22" s="1"/>
  <c r="E178" i="22"/>
  <c r="BV178" i="22" s="1"/>
  <c r="E179" i="22"/>
  <c r="BV179" i="22" s="1"/>
  <c r="BM163" i="22"/>
  <c r="BL163" i="22"/>
  <c r="BN163" i="22"/>
  <c r="BI163" i="22"/>
  <c r="BO163" i="22"/>
  <c r="BJ163" i="22"/>
  <c r="BK163" i="22"/>
  <c r="E163" i="22"/>
  <c r="BV163" i="22" s="1"/>
  <c r="L163" i="22"/>
  <c r="N163" i="22"/>
  <c r="AR163" i="22"/>
  <c r="E160" i="22"/>
  <c r="CB160" i="22" s="1"/>
  <c r="E166" i="22"/>
  <c r="BV166" i="22" s="1"/>
  <c r="E110" i="22"/>
  <c r="BZ110" i="22" s="1"/>
  <c r="E137" i="22"/>
  <c r="I137" i="22" s="1"/>
  <c r="E151" i="22"/>
  <c r="CW151" i="22" s="1"/>
  <c r="L169" i="22"/>
  <c r="AR169" i="22"/>
  <c r="N169" i="22"/>
  <c r="AR174" i="22"/>
  <c r="AB174" i="22"/>
  <c r="N174" i="22"/>
  <c r="L174" i="22"/>
  <c r="AV174" i="22" s="1"/>
  <c r="BI180" i="22"/>
  <c r="BN180" i="22"/>
  <c r="BM180" i="22"/>
  <c r="BO180" i="22"/>
  <c r="BK180" i="22"/>
  <c r="BJ180" i="22"/>
  <c r="BL180" i="22"/>
  <c r="L164" i="22"/>
  <c r="N164" i="22"/>
  <c r="AR164" i="22"/>
  <c r="N165" i="22"/>
  <c r="L165" i="22"/>
  <c r="AR165" i="22"/>
  <c r="E113" i="22"/>
  <c r="BZ113" i="22" s="1"/>
  <c r="E169" i="22"/>
  <c r="BV169" i="22" s="1"/>
  <c r="BJ174" i="22"/>
  <c r="BI174" i="22"/>
  <c r="BK174" i="22"/>
  <c r="BM174" i="22"/>
  <c r="BO174" i="22"/>
  <c r="BN174" i="22"/>
  <c r="BL174" i="22"/>
  <c r="E180" i="22"/>
  <c r="BV180" i="22" s="1"/>
  <c r="E170" i="22"/>
  <c r="BV170" i="22" s="1"/>
  <c r="BL175" i="22"/>
  <c r="BM175" i="22"/>
  <c r="BK175" i="22"/>
  <c r="BJ175" i="22"/>
  <c r="BI175" i="22"/>
  <c r="BO175" i="22"/>
  <c r="BN175" i="22"/>
  <c r="N180" i="22"/>
  <c r="AR180" i="22"/>
  <c r="L180" i="22"/>
  <c r="E164" i="22"/>
  <c r="BV164" i="22" s="1"/>
  <c r="BO178" i="22"/>
  <c r="BL178" i="22"/>
  <c r="BN178" i="22"/>
  <c r="BK178" i="22"/>
  <c r="BJ178" i="22"/>
  <c r="BM178" i="22"/>
  <c r="BI178" i="22"/>
  <c r="E162" i="22"/>
  <c r="BV162" i="22" s="1"/>
  <c r="E155" i="22"/>
  <c r="BV155" i="22" s="1"/>
  <c r="BK170" i="22"/>
  <c r="BN170" i="22"/>
  <c r="BJ170" i="22"/>
  <c r="BM170" i="22"/>
  <c r="BL170" i="22"/>
  <c r="BO170" i="22"/>
  <c r="BI170" i="22"/>
  <c r="BO169" i="22"/>
  <c r="BL169" i="22"/>
  <c r="BI169" i="22"/>
  <c r="BN169" i="22"/>
  <c r="BK169" i="22"/>
  <c r="BM169" i="22"/>
  <c r="BJ169" i="22"/>
  <c r="E177" i="22"/>
  <c r="BV177" i="22" s="1"/>
  <c r="L178" i="22"/>
  <c r="AR178" i="22"/>
  <c r="N178" i="22"/>
  <c r="E132" i="22"/>
  <c r="CB132" i="22" s="1"/>
  <c r="E152" i="22"/>
  <c r="BY152" i="22" s="1"/>
  <c r="CO152" i="22" s="1"/>
  <c r="N170" i="22"/>
  <c r="AR170" i="22"/>
  <c r="L170" i="22"/>
  <c r="E182" i="22"/>
  <c r="BV182" i="22" s="1"/>
  <c r="BN177" i="22"/>
  <c r="BL177" i="22"/>
  <c r="BM177" i="22"/>
  <c r="BK177" i="22"/>
  <c r="BJ177" i="22"/>
  <c r="BO177" i="22"/>
  <c r="BI177" i="22"/>
  <c r="BM171" i="22"/>
  <c r="BO171" i="22"/>
  <c r="BI171" i="22"/>
  <c r="BN171" i="22"/>
  <c r="BK171" i="22"/>
  <c r="BJ171" i="22"/>
  <c r="BL171" i="22"/>
  <c r="BL173" i="22"/>
  <c r="BN173" i="22"/>
  <c r="BJ173" i="22"/>
  <c r="BK173" i="22"/>
  <c r="BI173" i="22"/>
  <c r="BM173" i="22"/>
  <c r="BO173" i="22"/>
  <c r="L175" i="22"/>
  <c r="AT175" i="22" s="1"/>
  <c r="AU175" i="22" s="1"/>
  <c r="N175" i="22"/>
  <c r="AR175" i="22"/>
  <c r="AR177" i="22"/>
  <c r="N177" i="22"/>
  <c r="L177" i="22"/>
  <c r="AB173" i="22"/>
  <c r="L173" i="22"/>
  <c r="AT173" i="22" s="1"/>
  <c r="AU173" i="22" s="1"/>
  <c r="N173" i="22"/>
  <c r="AR173" i="22"/>
  <c r="BI179" i="22"/>
  <c r="BM179" i="22"/>
  <c r="BL179" i="22"/>
  <c r="BN179" i="22"/>
  <c r="BO179" i="22"/>
  <c r="BK179" i="22"/>
  <c r="BJ179" i="22"/>
  <c r="BI182" i="22"/>
  <c r="BO182" i="22"/>
  <c r="BN182" i="22"/>
  <c r="BM182" i="22"/>
  <c r="BL182" i="22"/>
  <c r="BK182" i="22"/>
  <c r="BJ182" i="22"/>
  <c r="BM165" i="22"/>
  <c r="BL165" i="22"/>
  <c r="BO165" i="22"/>
  <c r="BK165" i="22"/>
  <c r="BI165" i="22"/>
  <c r="BJ165" i="22"/>
  <c r="BN165" i="22"/>
  <c r="E171" i="22"/>
  <c r="CR171" i="22" s="1"/>
  <c r="N182" i="22"/>
  <c r="L182" i="22"/>
  <c r="AR182" i="22" s="1"/>
  <c r="L166" i="22"/>
  <c r="AR166" i="22"/>
  <c r="N166" i="22"/>
  <c r="E158" i="22"/>
  <c r="BV158" i="22" s="1"/>
  <c r="N171" i="22"/>
  <c r="L171" i="22"/>
  <c r="AV171" i="22" s="1"/>
  <c r="E174" i="22"/>
  <c r="BV174" i="22" s="1"/>
  <c r="AR179" i="22"/>
  <c r="N179" i="22"/>
  <c r="L179" i="22"/>
  <c r="BO164" i="22"/>
  <c r="BK164" i="22"/>
  <c r="BM164" i="22"/>
  <c r="BJ164" i="22"/>
  <c r="BI164" i="22"/>
  <c r="BL164" i="22"/>
  <c r="BN164" i="22"/>
  <c r="BM166" i="22"/>
  <c r="BJ166" i="22"/>
  <c r="BL166" i="22"/>
  <c r="BI166" i="22"/>
  <c r="BK166" i="22"/>
  <c r="BO166" i="22"/>
  <c r="BN166" i="22"/>
  <c r="E148" i="22"/>
  <c r="BY148" i="22" s="1"/>
  <c r="CO148" i="22" s="1"/>
  <c r="E111" i="22"/>
  <c r="BY111" i="22" s="1"/>
  <c r="CO111" i="22" s="1"/>
  <c r="E161" i="22"/>
  <c r="BY161" i="22" s="1"/>
  <c r="CO161" i="22" s="1"/>
  <c r="E157" i="22"/>
  <c r="I157" i="22" s="1"/>
  <c r="E136" i="22"/>
  <c r="BY136" i="22" s="1"/>
  <c r="CO136" i="22" s="1"/>
  <c r="E156" i="22"/>
  <c r="BV156" i="22" s="1"/>
  <c r="BL159" i="22"/>
  <c r="BK159" i="22"/>
  <c r="BI159" i="22"/>
  <c r="BJ159" i="22"/>
  <c r="BO159" i="22"/>
  <c r="BN159" i="22"/>
  <c r="BM159" i="22"/>
  <c r="E131" i="22"/>
  <c r="BO155" i="22"/>
  <c r="BI155" i="22"/>
  <c r="BK155" i="22"/>
  <c r="BN155" i="22"/>
  <c r="BL155" i="22"/>
  <c r="BJ155" i="22"/>
  <c r="BM155" i="22"/>
  <c r="L157" i="22"/>
  <c r="AR157" i="22"/>
  <c r="N157" i="22"/>
  <c r="BL156" i="22"/>
  <c r="BN156" i="22"/>
  <c r="BO156" i="22"/>
  <c r="BM156" i="22"/>
  <c r="BJ156" i="22"/>
  <c r="BI156" i="22"/>
  <c r="BK156" i="22"/>
  <c r="BK158" i="22"/>
  <c r="BL158" i="22"/>
  <c r="BM158" i="22"/>
  <c r="BI158" i="22"/>
  <c r="BJ158" i="22"/>
  <c r="BN158" i="22"/>
  <c r="BO158" i="22"/>
  <c r="AR158" i="22"/>
  <c r="L158" i="22"/>
  <c r="N158" i="22"/>
  <c r="E138" i="22"/>
  <c r="CB138" i="22" s="1"/>
  <c r="E124" i="22"/>
  <c r="I124" i="22" s="1"/>
  <c r="E159" i="22"/>
  <c r="BV159" i="22" s="1"/>
  <c r="L160" i="22"/>
  <c r="N160" i="22"/>
  <c r="AR160" i="22"/>
  <c r="BO160" i="22"/>
  <c r="BL160" i="22"/>
  <c r="BI160" i="22"/>
  <c r="BK160" i="22"/>
  <c r="BN160" i="22"/>
  <c r="BJ160" i="22"/>
  <c r="BM160" i="22"/>
  <c r="L159" i="22"/>
  <c r="AR159" i="22"/>
  <c r="N159" i="22"/>
  <c r="N161" i="22"/>
  <c r="L161" i="22"/>
  <c r="AR161" i="22"/>
  <c r="L162" i="22"/>
  <c r="N162" i="22"/>
  <c r="AR162" i="22"/>
  <c r="BI161" i="22"/>
  <c r="BO161" i="22"/>
  <c r="BM161" i="22"/>
  <c r="BL161" i="22"/>
  <c r="BN161" i="22"/>
  <c r="BJ161" i="22"/>
  <c r="BK161" i="22"/>
  <c r="BO154" i="22"/>
  <c r="BL154" i="22"/>
  <c r="BI154" i="22"/>
  <c r="BM154" i="22"/>
  <c r="BK154" i="22"/>
  <c r="BJ154" i="22"/>
  <c r="BN154" i="22"/>
  <c r="E118" i="22"/>
  <c r="CB118" i="22" s="1"/>
  <c r="E134" i="22"/>
  <c r="CB134" i="22" s="1"/>
  <c r="BO162" i="22"/>
  <c r="BL162" i="22"/>
  <c r="BI162" i="22"/>
  <c r="BK162" i="22"/>
  <c r="BM162" i="22"/>
  <c r="BJ162" i="22"/>
  <c r="BN162" i="22"/>
  <c r="L154" i="22"/>
  <c r="N154" i="22"/>
  <c r="AR154" i="22"/>
  <c r="BO157" i="22"/>
  <c r="BL157" i="22"/>
  <c r="BI157" i="22"/>
  <c r="BN157" i="22"/>
  <c r="BJ157" i="22"/>
  <c r="BM157" i="22"/>
  <c r="BK157" i="22"/>
  <c r="E154" i="22"/>
  <c r="BV154" i="22" s="1"/>
  <c r="L155" i="22"/>
  <c r="N155" i="22"/>
  <c r="AR155" i="22"/>
  <c r="L156" i="22"/>
  <c r="N156" i="22"/>
  <c r="AR156" i="22"/>
  <c r="N110" i="22"/>
  <c r="L110" i="22"/>
  <c r="E146" i="22"/>
  <c r="E150" i="22"/>
  <c r="CR150" i="22" s="1"/>
  <c r="BO151" i="22"/>
  <c r="BN151" i="22"/>
  <c r="BM151" i="22"/>
  <c r="BL151" i="22"/>
  <c r="BK151" i="22"/>
  <c r="BJ151" i="22"/>
  <c r="BI151" i="22"/>
  <c r="L152" i="22"/>
  <c r="AR152" i="22"/>
  <c r="N152" i="22"/>
  <c r="BO150" i="22"/>
  <c r="BN150" i="22"/>
  <c r="BM150" i="22"/>
  <c r="BL150" i="22"/>
  <c r="BK150" i="22"/>
  <c r="BJ150" i="22"/>
  <c r="BI150" i="22"/>
  <c r="E116" i="22"/>
  <c r="E128" i="22"/>
  <c r="E149" i="22"/>
  <c r="E122" i="22"/>
  <c r="E123" i="22"/>
  <c r="AR151" i="22"/>
  <c r="N151" i="22"/>
  <c r="L151" i="22"/>
  <c r="BK152" i="22"/>
  <c r="BJ152" i="22"/>
  <c r="BI152" i="22"/>
  <c r="BO152" i="22"/>
  <c r="BN152" i="22"/>
  <c r="BM152" i="22"/>
  <c r="BL152" i="22"/>
  <c r="N125" i="22"/>
  <c r="L125" i="22"/>
  <c r="N150" i="22"/>
  <c r="L150" i="22"/>
  <c r="AR150" i="22"/>
  <c r="E121" i="22"/>
  <c r="L145" i="22"/>
  <c r="AR145" i="22"/>
  <c r="N145" i="22"/>
  <c r="E125" i="22"/>
  <c r="CR125" i="22" s="1"/>
  <c r="E126" i="22"/>
  <c r="E145" i="22"/>
  <c r="CR145" i="22" s="1"/>
  <c r="E127" i="22"/>
  <c r="BO125" i="22"/>
  <c r="BN125" i="22"/>
  <c r="BM125" i="22"/>
  <c r="BL125" i="22"/>
  <c r="BK125" i="22"/>
  <c r="BJ125" i="22"/>
  <c r="BI125" i="22"/>
  <c r="E130" i="22"/>
  <c r="E120" i="22"/>
  <c r="E114" i="22"/>
  <c r="E141" i="22"/>
  <c r="E135" i="22"/>
  <c r="BK145" i="22"/>
  <c r="BJ145" i="22"/>
  <c r="BI145" i="22"/>
  <c r="BO145" i="22"/>
  <c r="BN145" i="22"/>
  <c r="BM145" i="22"/>
  <c r="BL145" i="22"/>
  <c r="E129" i="22"/>
  <c r="E115" i="22"/>
  <c r="E143" i="22"/>
  <c r="AO172" i="22" l="1"/>
  <c r="AO133" i="22"/>
  <c r="AT168" i="22"/>
  <c r="AU168" i="22" s="1"/>
  <c r="AV133" i="22"/>
  <c r="AT133" i="22"/>
  <c r="AU133" i="22" s="1"/>
  <c r="AT172" i="22"/>
  <c r="AU172" i="22" s="1"/>
  <c r="AR176" i="22"/>
  <c r="CW147" i="22"/>
  <c r="BV147" i="22"/>
  <c r="CV147" i="22"/>
  <c r="CV140" i="22"/>
  <c r="AT181" i="22"/>
  <c r="AU181" i="22" s="1"/>
  <c r="CP139" i="22"/>
  <c r="AN117" i="22"/>
  <c r="AM117" i="22"/>
  <c r="V117" i="22"/>
  <c r="AL117" i="22"/>
  <c r="BQ117" i="22"/>
  <c r="BR117" i="22"/>
  <c r="BS117" i="22"/>
  <c r="CE147" i="22"/>
  <c r="CV144" i="22"/>
  <c r="CE139" i="22"/>
  <c r="CJ139" i="22"/>
  <c r="CD117" i="22"/>
  <c r="CC117" i="22"/>
  <c r="CU140" i="22"/>
  <c r="CE181" i="22"/>
  <c r="CJ168" i="22"/>
  <c r="CE168" i="22"/>
  <c r="CW144" i="22"/>
  <c r="CA172" i="22"/>
  <c r="CJ172" i="22" s="1"/>
  <c r="BZ172" i="22"/>
  <c r="CQ117" i="22"/>
  <c r="CP117" i="22"/>
  <c r="CJ176" i="22"/>
  <c r="CE176" i="22"/>
  <c r="CU147" i="22"/>
  <c r="BZ147" i="22"/>
  <c r="CB147" i="22"/>
  <c r="I147" i="22"/>
  <c r="AL147" i="22" s="1"/>
  <c r="BY147" i="22"/>
  <c r="CO147" i="22" s="1"/>
  <c r="AL172" i="22"/>
  <c r="V172" i="22"/>
  <c r="AM172" i="22"/>
  <c r="AN172" i="22"/>
  <c r="Z117" i="22"/>
  <c r="AA117" i="22" s="1"/>
  <c r="AK117" i="22"/>
  <c r="AI117" i="22"/>
  <c r="J117" i="22"/>
  <c r="M117" i="22"/>
  <c r="BE117" i="22"/>
  <c r="BZ181" i="22"/>
  <c r="CB181" i="22"/>
  <c r="BY181" i="22"/>
  <c r="CO181" i="22" s="1"/>
  <c r="I181" i="22"/>
  <c r="BQ181" i="22" s="1"/>
  <c r="CQ167" i="22"/>
  <c r="CP167" i="22"/>
  <c r="I140" i="22"/>
  <c r="BR140" i="22" s="1"/>
  <c r="BY140" i="22"/>
  <c r="CO140" i="22" s="1"/>
  <c r="CB140" i="22"/>
  <c r="BZ140" i="22"/>
  <c r="AR147" i="22"/>
  <c r="AN147" i="22"/>
  <c r="V147" i="22"/>
  <c r="AM147" i="22"/>
  <c r="CD168" i="22"/>
  <c r="CC168" i="22"/>
  <c r="CB119" i="22"/>
  <c r="BZ119" i="22"/>
  <c r="BY119" i="22"/>
  <c r="CO119" i="22" s="1"/>
  <c r="I119" i="22"/>
  <c r="BQ119" i="22" s="1"/>
  <c r="J167" i="22"/>
  <c r="M167" i="22"/>
  <c r="O167" i="22" s="1"/>
  <c r="Z167" i="22"/>
  <c r="AH167" i="22" s="1"/>
  <c r="AI167" i="22"/>
  <c r="BE167" i="22"/>
  <c r="AK167" i="22"/>
  <c r="CQ168" i="22"/>
  <c r="CP168" i="22"/>
  <c r="BV140" i="22"/>
  <c r="CB172" i="22"/>
  <c r="I172" i="22"/>
  <c r="Z172" i="22" s="1"/>
  <c r="BY172" i="22"/>
  <c r="CE119" i="22"/>
  <c r="J168" i="22"/>
  <c r="AK168" i="22"/>
  <c r="AI168" i="22"/>
  <c r="BE168" i="22"/>
  <c r="M168" i="22"/>
  <c r="O168" i="22" s="1"/>
  <c r="Z168" i="22"/>
  <c r="AA168" i="22" s="1"/>
  <c r="CJ167" i="22"/>
  <c r="CE167" i="22"/>
  <c r="V144" i="22"/>
  <c r="AL144" i="22"/>
  <c r="AM144" i="22"/>
  <c r="AN144" i="22"/>
  <c r="AT176" i="22"/>
  <c r="AU176" i="22" s="1"/>
  <c r="BQ176" i="22"/>
  <c r="AN176" i="22"/>
  <c r="AL176" i="22"/>
  <c r="BR176" i="22"/>
  <c r="V176" i="22"/>
  <c r="BS176" i="22"/>
  <c r="AM176" i="22"/>
  <c r="BD172" i="22"/>
  <c r="CD167" i="22"/>
  <c r="CC167" i="22"/>
  <c r="BS140" i="22"/>
  <c r="V140" i="22"/>
  <c r="AM140" i="22"/>
  <c r="AN140" i="22"/>
  <c r="Z139" i="22"/>
  <c r="AA139" i="22" s="1"/>
  <c r="J139" i="22"/>
  <c r="AK139" i="22"/>
  <c r="M139" i="22"/>
  <c r="BE139" i="22"/>
  <c r="AI139" i="22"/>
  <c r="CS140" i="22"/>
  <c r="AR119" i="22"/>
  <c r="AM119" i="22"/>
  <c r="AN119" i="22"/>
  <c r="V119" i="22"/>
  <c r="Z176" i="22"/>
  <c r="AA176" i="22" s="1"/>
  <c r="J176" i="22"/>
  <c r="AK176" i="22"/>
  <c r="AI176" i="22"/>
  <c r="M176" i="22"/>
  <c r="O176" i="22" s="1"/>
  <c r="BE176" i="22"/>
  <c r="CC139" i="22"/>
  <c r="CD139" i="22"/>
  <c r="AR167" i="22"/>
  <c r="AM167" i="22"/>
  <c r="AL167" i="22"/>
  <c r="V167" i="22"/>
  <c r="BS167" i="22"/>
  <c r="AN167" i="22"/>
  <c r="BR167" i="22"/>
  <c r="BQ167" i="22"/>
  <c r="AG167" i="22"/>
  <c r="V133" i="22"/>
  <c r="BS133" i="22"/>
  <c r="BR133" i="22"/>
  <c r="BQ133" i="22"/>
  <c r="AM133" i="22"/>
  <c r="AN133" i="22"/>
  <c r="CE117" i="22"/>
  <c r="CJ117" i="22"/>
  <c r="CE144" i="22"/>
  <c r="CU144" i="22"/>
  <c r="I144" i="22"/>
  <c r="BS144" i="22" s="1"/>
  <c r="BZ144" i="22"/>
  <c r="CB144" i="22"/>
  <c r="BY144" i="22"/>
  <c r="CO144" i="22" s="1"/>
  <c r="V181" i="22"/>
  <c r="BR181" i="22"/>
  <c r="AL181" i="22"/>
  <c r="AM181" i="22"/>
  <c r="AN181" i="22"/>
  <c r="AR168" i="22"/>
  <c r="BS168" i="22"/>
  <c r="BR168" i="22"/>
  <c r="BQ168" i="22"/>
  <c r="V168" i="22"/>
  <c r="AN168" i="22"/>
  <c r="AM168" i="22"/>
  <c r="AL168" i="22"/>
  <c r="CD176" i="22"/>
  <c r="CC176" i="22"/>
  <c r="M133" i="22"/>
  <c r="O133" i="22" s="1"/>
  <c r="J133" i="22"/>
  <c r="AK133" i="22"/>
  <c r="AI133" i="22"/>
  <c r="BE133" i="22"/>
  <c r="AL133" i="22"/>
  <c r="BD133" i="22"/>
  <c r="CE140" i="22"/>
  <c r="Y133" i="22"/>
  <c r="V139" i="22"/>
  <c r="AF139" i="22" s="1"/>
  <c r="AL139" i="22"/>
  <c r="AM139" i="22"/>
  <c r="BR139" i="22"/>
  <c r="BS139" i="22"/>
  <c r="AN139" i="22"/>
  <c r="AH139" i="22"/>
  <c r="AG139" i="22"/>
  <c r="BQ139" i="22"/>
  <c r="CQ176" i="22"/>
  <c r="CP176" i="22"/>
  <c r="CQ139" i="22"/>
  <c r="CW165" i="22"/>
  <c r="CS165" i="22"/>
  <c r="CU165" i="22"/>
  <c r="CB94" i="22"/>
  <c r="CV182" i="22"/>
  <c r="CW182" i="22"/>
  <c r="CS182" i="22"/>
  <c r="CU182" i="22"/>
  <c r="CR182" i="22"/>
  <c r="CS177" i="22"/>
  <c r="CW177" i="22"/>
  <c r="CR177" i="22"/>
  <c r="CU177" i="22"/>
  <c r="CV177" i="22"/>
  <c r="CR180" i="22"/>
  <c r="CU180" i="22"/>
  <c r="CS180" i="22"/>
  <c r="CV180" i="22"/>
  <c r="CW180" i="22"/>
  <c r="CU179" i="22"/>
  <c r="CV179" i="22"/>
  <c r="CW179" i="22"/>
  <c r="CS179" i="22"/>
  <c r="CR179" i="22"/>
  <c r="CU175" i="22"/>
  <c r="CV175" i="22"/>
  <c r="CS175" i="22"/>
  <c r="CW175" i="22"/>
  <c r="CR175" i="22"/>
  <c r="AR171" i="22"/>
  <c r="CW171" i="22"/>
  <c r="CV171" i="22"/>
  <c r="CU171" i="22"/>
  <c r="CS171" i="22"/>
  <c r="CU170" i="22"/>
  <c r="CV170" i="22"/>
  <c r="CS170" i="22"/>
  <c r="CW170" i="22"/>
  <c r="CR170" i="22"/>
  <c r="CU169" i="22"/>
  <c r="CV169" i="22"/>
  <c r="CS169" i="22"/>
  <c r="CW169" i="22"/>
  <c r="CR169" i="22"/>
  <c r="CS166" i="22"/>
  <c r="CW166" i="22"/>
  <c r="CU166" i="22"/>
  <c r="CV166" i="22"/>
  <c r="CR166" i="22"/>
  <c r="CB173" i="22"/>
  <c r="CR165" i="22"/>
  <c r="CU164" i="22"/>
  <c r="CV164" i="22"/>
  <c r="CS164" i="22"/>
  <c r="CW164" i="22"/>
  <c r="CR164" i="22"/>
  <c r="BY175" i="22"/>
  <c r="CO175" i="22" s="1"/>
  <c r="CQ175" i="22" s="1"/>
  <c r="CV163" i="22"/>
  <c r="CS163" i="22"/>
  <c r="CW163" i="22"/>
  <c r="CU163" i="22"/>
  <c r="CR163" i="22"/>
  <c r="CU162" i="22"/>
  <c r="CS162" i="22"/>
  <c r="CV162" i="22"/>
  <c r="CW162" i="22"/>
  <c r="CR162" i="22"/>
  <c r="CS157" i="22"/>
  <c r="CV157" i="22"/>
  <c r="CW157" i="22"/>
  <c r="CU157" i="22"/>
  <c r="CU156" i="22"/>
  <c r="CR157" i="22"/>
  <c r="CV156" i="22"/>
  <c r="CS156" i="22"/>
  <c r="CW156" i="22"/>
  <c r="CR156" i="22"/>
  <c r="CU155" i="22"/>
  <c r="CW155" i="22"/>
  <c r="CS155" i="22"/>
  <c r="CV155" i="22"/>
  <c r="CR155" i="22"/>
  <c r="CV154" i="22"/>
  <c r="CS154" i="22"/>
  <c r="CW154" i="22"/>
  <c r="CU154" i="22"/>
  <c r="CR154" i="22"/>
  <c r="CC10" i="22"/>
  <c r="CG10" i="22" s="1"/>
  <c r="CH10" i="22" s="1"/>
  <c r="CJ10" i="22"/>
  <c r="BZ165" i="22"/>
  <c r="CD165" i="22" s="1"/>
  <c r="BY94" i="22"/>
  <c r="BY165" i="22"/>
  <c r="CO165" i="22" s="1"/>
  <c r="CQ165" i="22" s="1"/>
  <c r="CB165" i="22"/>
  <c r="I165" i="22"/>
  <c r="M165" i="22" s="1"/>
  <c r="CB90" i="22"/>
  <c r="BY151" i="22"/>
  <c r="CO151" i="22" s="1"/>
  <c r="CQ151" i="22" s="1"/>
  <c r="BY110" i="22"/>
  <c r="CO110" i="22" s="1"/>
  <c r="CQ110" i="22" s="1"/>
  <c r="BY178" i="22"/>
  <c r="CO178" i="22" s="1"/>
  <c r="CQ178" i="22" s="1"/>
  <c r="CB110" i="22"/>
  <c r="I178" i="22"/>
  <c r="J178" i="22" s="1"/>
  <c r="I110" i="22"/>
  <c r="J110" i="22" s="1"/>
  <c r="BZ178" i="22"/>
  <c r="CD178" i="22" s="1"/>
  <c r="CB178" i="22"/>
  <c r="CB151" i="22"/>
  <c r="BZ151" i="22"/>
  <c r="CC151" i="22" s="1"/>
  <c r="BY92" i="22"/>
  <c r="I151" i="22"/>
  <c r="BE151" i="22" s="1"/>
  <c r="BY95" i="22"/>
  <c r="BZ166" i="22"/>
  <c r="CC166" i="22" s="1"/>
  <c r="CB166" i="22"/>
  <c r="I166" i="22"/>
  <c r="BR166" i="22" s="1"/>
  <c r="CB113" i="22"/>
  <c r="BY166" i="22"/>
  <c r="CO166" i="22" s="1"/>
  <c r="CP166" i="22" s="1"/>
  <c r="I113" i="22"/>
  <c r="AK113" i="22" s="1"/>
  <c r="BY113" i="22"/>
  <c r="CO113" i="22" s="1"/>
  <c r="I92" i="22"/>
  <c r="BQ92" i="22" s="1"/>
  <c r="CB91" i="22"/>
  <c r="CW125" i="22"/>
  <c r="BV125" i="22"/>
  <c r="CV125" i="22"/>
  <c r="CU125" i="22"/>
  <c r="CS125" i="22"/>
  <c r="CR152" i="22"/>
  <c r="CU150" i="22"/>
  <c r="CW152" i="22"/>
  <c r="BV151" i="22"/>
  <c r="CV150" i="22"/>
  <c r="CS89" i="22"/>
  <c r="BV150" i="22"/>
  <c r="CW145" i="22"/>
  <c r="CU89" i="22"/>
  <c r="CV89" i="22"/>
  <c r="CS151" i="22"/>
  <c r="CS145" i="22"/>
  <c r="CW89" i="22"/>
  <c r="CS152" i="22"/>
  <c r="CW150" i="22"/>
  <c r="CU151" i="22"/>
  <c r="CU145" i="22"/>
  <c r="BV161" i="22"/>
  <c r="CR151" i="22"/>
  <c r="CU152" i="22"/>
  <c r="BV157" i="22"/>
  <c r="CV151" i="22"/>
  <c r="CV145" i="22"/>
  <c r="CV152" i="22"/>
  <c r="BV145" i="22"/>
  <c r="BV160" i="22"/>
  <c r="CS150" i="22"/>
  <c r="BV152" i="22"/>
  <c r="AV94" i="22"/>
  <c r="BZ175" i="22"/>
  <c r="CC175" i="22" s="1"/>
  <c r="CB175" i="22"/>
  <c r="I93" i="22"/>
  <c r="Z93" i="22" s="1"/>
  <c r="I175" i="22"/>
  <c r="BQ175" i="22" s="1"/>
  <c r="AT95" i="22"/>
  <c r="AU95" i="22" s="1"/>
  <c r="AV93" i="22"/>
  <c r="AT94" i="22"/>
  <c r="AU94" i="22" s="1"/>
  <c r="BZ137" i="22"/>
  <c r="BY91" i="22"/>
  <c r="I95" i="22"/>
  <c r="BE95" i="22" s="1"/>
  <c r="AT91" i="22"/>
  <c r="AU91" i="22" s="1"/>
  <c r="AV89" i="22"/>
  <c r="CB112" i="22"/>
  <c r="AT92" i="22"/>
  <c r="AU92" i="22" s="1"/>
  <c r="BY93" i="22"/>
  <c r="AO171" i="22"/>
  <c r="AV95" i="22"/>
  <c r="AV90" i="22"/>
  <c r="BY90" i="22"/>
  <c r="AO90" i="22"/>
  <c r="V90" i="22"/>
  <c r="AN90" i="22"/>
  <c r="AM90" i="22"/>
  <c r="BQ90" i="22"/>
  <c r="J90" i="22"/>
  <c r="BS90" i="22"/>
  <c r="AL90" i="22"/>
  <c r="AM91" i="22"/>
  <c r="BS91" i="22"/>
  <c r="AN91" i="22"/>
  <c r="AL91" i="22"/>
  <c r="BQ91" i="22"/>
  <c r="V91" i="22"/>
  <c r="BR91" i="22"/>
  <c r="J91" i="22"/>
  <c r="AO89" i="22"/>
  <c r="V89" i="22"/>
  <c r="AN89" i="22"/>
  <c r="AM89" i="22"/>
  <c r="BZ95" i="22"/>
  <c r="CA95" i="22"/>
  <c r="BZ93" i="22"/>
  <c r="CA93" i="22"/>
  <c r="BV93" i="22" s="1"/>
  <c r="AE93" i="22"/>
  <c r="AK94" i="22"/>
  <c r="AI94" i="22"/>
  <c r="BE94" i="22"/>
  <c r="M94" i="22"/>
  <c r="O94" i="22" s="1"/>
  <c r="W94" i="22" s="1"/>
  <c r="AN93" i="22"/>
  <c r="V93" i="22"/>
  <c r="J93" i="22"/>
  <c r="AL93" i="22"/>
  <c r="AM93" i="22"/>
  <c r="AO92" i="22"/>
  <c r="AM92" i="22"/>
  <c r="J92" i="22"/>
  <c r="AN92" i="22"/>
  <c r="V92" i="22"/>
  <c r="AL92" i="22"/>
  <c r="AO93" i="22"/>
  <c r="BD91" i="22"/>
  <c r="Z94" i="22"/>
  <c r="AA94" i="22" s="1"/>
  <c r="BZ94" i="22"/>
  <c r="CA94" i="22"/>
  <c r="AI91" i="22"/>
  <c r="M91" i="22"/>
  <c r="O91" i="22" s="1"/>
  <c r="W91" i="22" s="1"/>
  <c r="BE91" i="22"/>
  <c r="AK91" i="22"/>
  <c r="BY89" i="22"/>
  <c r="I89" i="22"/>
  <c r="BQ89" i="22" s="1"/>
  <c r="CB89" i="22"/>
  <c r="CA90" i="22"/>
  <c r="BV90" i="22" s="1"/>
  <c r="BZ90" i="22"/>
  <c r="Z90" i="22"/>
  <c r="AA90" i="22" s="1"/>
  <c r="BD95" i="22"/>
  <c r="Z91" i="22"/>
  <c r="AA91" i="22" s="1"/>
  <c r="BZ91" i="22"/>
  <c r="CA91" i="22"/>
  <c r="BV91" i="22" s="1"/>
  <c r="AR89" i="22"/>
  <c r="AM95" i="22"/>
  <c r="AN95" i="22"/>
  <c r="J95" i="22"/>
  <c r="V95" i="22"/>
  <c r="AL95" i="22"/>
  <c r="BD94" i="22"/>
  <c r="BZ92" i="22"/>
  <c r="CA92" i="22"/>
  <c r="BV92" i="22" s="1"/>
  <c r="BR90" i="22"/>
  <c r="AI90" i="22"/>
  <c r="AK90" i="22"/>
  <c r="M90" i="22"/>
  <c r="O90" i="22" s="1"/>
  <c r="W90" i="22" s="1"/>
  <c r="BE90" i="22"/>
  <c r="J94" i="22"/>
  <c r="V94" i="22"/>
  <c r="AL94" i="22"/>
  <c r="BQ94" i="22"/>
  <c r="AM94" i="22"/>
  <c r="BR94" i="22"/>
  <c r="AN94" i="22"/>
  <c r="BS94" i="22"/>
  <c r="CB124" i="22"/>
  <c r="BY112" i="22"/>
  <c r="CO112" i="22" s="1"/>
  <c r="I112" i="22"/>
  <c r="Z112" i="22" s="1"/>
  <c r="AA112" i="22" s="1"/>
  <c r="I173" i="22"/>
  <c r="M173" i="22" s="1"/>
  <c r="O173" i="22" s="1"/>
  <c r="W173" i="22" s="1"/>
  <c r="BY173" i="22"/>
  <c r="CO173" i="22" s="1"/>
  <c r="CP173" i="22" s="1"/>
  <c r="BZ173" i="22"/>
  <c r="CC173" i="22" s="1"/>
  <c r="I179" i="22"/>
  <c r="BE179" i="22" s="1"/>
  <c r="CB179" i="22"/>
  <c r="BZ179" i="22"/>
  <c r="CC179" i="22" s="1"/>
  <c r="BZ152" i="22"/>
  <c r="CD152" i="22" s="1"/>
  <c r="CB152" i="22"/>
  <c r="CB148" i="22"/>
  <c r="BY179" i="22"/>
  <c r="CJ179" i="22" s="1"/>
  <c r="I155" i="22"/>
  <c r="BQ155" i="22" s="1"/>
  <c r="BY155" i="22"/>
  <c r="CO155" i="22" s="1"/>
  <c r="CP155" i="22" s="1"/>
  <c r="I138" i="22"/>
  <c r="AI138" i="22" s="1"/>
  <c r="BZ155" i="22"/>
  <c r="CC155" i="22" s="1"/>
  <c r="BZ138" i="22"/>
  <c r="CB155" i="22"/>
  <c r="I132" i="22"/>
  <c r="BE132" i="22" s="1"/>
  <c r="I160" i="22"/>
  <c r="M160" i="22" s="1"/>
  <c r="CB137" i="22"/>
  <c r="CB161" i="22"/>
  <c r="BZ160" i="22"/>
  <c r="CC160" i="22" s="1"/>
  <c r="BY160" i="22"/>
  <c r="CO160" i="22" s="1"/>
  <c r="CP160" i="22" s="1"/>
  <c r="AV163" i="22"/>
  <c r="AL163" i="22"/>
  <c r="V163" i="22"/>
  <c r="AM163" i="22"/>
  <c r="AN163" i="22"/>
  <c r="CB163" i="22"/>
  <c r="BZ163" i="22"/>
  <c r="I163" i="22"/>
  <c r="BQ163" i="22" s="1"/>
  <c r="BY163" i="22"/>
  <c r="CO163" i="22" s="1"/>
  <c r="CE163" i="22"/>
  <c r="AT163" i="22"/>
  <c r="AU163" i="22" s="1"/>
  <c r="AV178" i="22"/>
  <c r="AT178" i="22"/>
  <c r="AU178" i="22" s="1"/>
  <c r="AV182" i="22"/>
  <c r="AT182" i="22"/>
  <c r="AU182" i="22" s="1"/>
  <c r="AT177" i="22"/>
  <c r="AU177" i="22" s="1"/>
  <c r="AV177" i="22"/>
  <c r="AT180" i="22"/>
  <c r="AU180" i="22" s="1"/>
  <c r="AV180" i="22"/>
  <c r="CB156" i="22"/>
  <c r="I156" i="22"/>
  <c r="BR156" i="22" s="1"/>
  <c r="BY156" i="22"/>
  <c r="CO156" i="22" s="1"/>
  <c r="CQ156" i="22" s="1"/>
  <c r="BZ156" i="22"/>
  <c r="CC156" i="22" s="1"/>
  <c r="BY137" i="22"/>
  <c r="CO137" i="22" s="1"/>
  <c r="BY118" i="22"/>
  <c r="CO118" i="22" s="1"/>
  <c r="I118" i="22"/>
  <c r="J118" i="22" s="1"/>
  <c r="BY132" i="22"/>
  <c r="BZ158" i="22"/>
  <c r="CD158" i="22" s="1"/>
  <c r="BY157" i="22"/>
  <c r="CO157" i="22" s="1"/>
  <c r="CP157" i="22" s="1"/>
  <c r="AT171" i="22"/>
  <c r="AU171" i="22" s="1"/>
  <c r="BZ118" i="22"/>
  <c r="I111" i="22"/>
  <c r="Z111" i="22" s="1"/>
  <c r="BZ111" i="22"/>
  <c r="CB111" i="22"/>
  <c r="I161" i="22"/>
  <c r="Z161" i="22" s="1"/>
  <c r="AA161" i="22" s="1"/>
  <c r="BZ161" i="22"/>
  <c r="CC161" i="22" s="1"/>
  <c r="BZ148" i="22"/>
  <c r="CB157" i="22"/>
  <c r="I148" i="22"/>
  <c r="BE148" i="22" s="1"/>
  <c r="BZ162" i="22"/>
  <c r="CD162" i="22" s="1"/>
  <c r="BZ136" i="22"/>
  <c r="BZ157" i="22"/>
  <c r="CD157" i="22" s="1"/>
  <c r="AT174" i="22"/>
  <c r="AU174" i="22" s="1"/>
  <c r="CB136" i="22"/>
  <c r="CB162" i="22"/>
  <c r="CB158" i="22"/>
  <c r="AM178" i="22"/>
  <c r="AL178" i="22"/>
  <c r="AN178" i="22"/>
  <c r="V178" i="22"/>
  <c r="CE182" i="22"/>
  <c r="BY131" i="22"/>
  <c r="I162" i="22"/>
  <c r="AI162" i="22" s="1"/>
  <c r="AT179" i="22"/>
  <c r="AU179" i="22" s="1"/>
  <c r="AL179" i="22"/>
  <c r="AM179" i="22"/>
  <c r="AN179" i="22"/>
  <c r="V179" i="22"/>
  <c r="AV173" i="22"/>
  <c r="CE175" i="22"/>
  <c r="I131" i="22"/>
  <c r="BY162" i="22"/>
  <c r="CO162" i="22" s="1"/>
  <c r="CP162" i="22" s="1"/>
  <c r="CB171" i="22"/>
  <c r="I171" i="22"/>
  <c r="BR171" i="22" s="1"/>
  <c r="BY171" i="22"/>
  <c r="CE173" i="22"/>
  <c r="AM164" i="22"/>
  <c r="AL164" i="22"/>
  <c r="AN164" i="22"/>
  <c r="V164" i="22"/>
  <c r="V173" i="22"/>
  <c r="AN173" i="22"/>
  <c r="AM173" i="22"/>
  <c r="AL173" i="22"/>
  <c r="BZ182" i="22"/>
  <c r="BY182" i="22"/>
  <c r="CO182" i="22" s="1"/>
  <c r="I182" i="22"/>
  <c r="BR182" i="22" s="1"/>
  <c r="CB182" i="22"/>
  <c r="BZ124" i="22"/>
  <c r="CB131" i="22"/>
  <c r="AM166" i="22"/>
  <c r="AL166" i="22"/>
  <c r="AN166" i="22"/>
  <c r="V166" i="22"/>
  <c r="AV175" i="22"/>
  <c r="AL175" i="22"/>
  <c r="AM175" i="22"/>
  <c r="AN175" i="22"/>
  <c r="V175" i="22"/>
  <c r="V170" i="22"/>
  <c r="AN170" i="22"/>
  <c r="AM170" i="22"/>
  <c r="AL170" i="22"/>
  <c r="BY124" i="22"/>
  <c r="CO124" i="22" s="1"/>
  <c r="I136" i="22"/>
  <c r="J136" i="22" s="1"/>
  <c r="CE165" i="22"/>
  <c r="BZ174" i="22"/>
  <c r="CB174" i="22"/>
  <c r="I174" i="22"/>
  <c r="BS174" i="22" s="1"/>
  <c r="BY174" i="22"/>
  <c r="CO174" i="22" s="1"/>
  <c r="AV179" i="22"/>
  <c r="CE178" i="22"/>
  <c r="BZ170" i="22"/>
  <c r="BY170" i="22"/>
  <c r="CO170" i="22" s="1"/>
  <c r="CB170" i="22"/>
  <c r="I170" i="22"/>
  <c r="BS170" i="22" s="1"/>
  <c r="BY169" i="22"/>
  <c r="CO169" i="22" s="1"/>
  <c r="BZ169" i="22"/>
  <c r="CB169" i="22"/>
  <c r="I169" i="22"/>
  <c r="BS169" i="22" s="1"/>
  <c r="AL169" i="22"/>
  <c r="V169" i="22"/>
  <c r="AM169" i="22"/>
  <c r="AN169" i="22"/>
  <c r="CE166" i="22"/>
  <c r="BY164" i="22"/>
  <c r="CO164" i="22" s="1"/>
  <c r="BZ164" i="22"/>
  <c r="CB164" i="22"/>
  <c r="I164" i="22"/>
  <c r="BQ164" i="22" s="1"/>
  <c r="CE164" i="22"/>
  <c r="CE174" i="22"/>
  <c r="CE180" i="22"/>
  <c r="I152" i="22"/>
  <c r="BS152" i="22" s="1"/>
  <c r="CE169" i="22"/>
  <c r="AN180" i="22"/>
  <c r="V180" i="22"/>
  <c r="AL180" i="22"/>
  <c r="AM180" i="22"/>
  <c r="AM165" i="22"/>
  <c r="AL165" i="22"/>
  <c r="V165" i="22"/>
  <c r="AN165" i="22"/>
  <c r="I158" i="22"/>
  <c r="M158" i="22" s="1"/>
  <c r="AM171" i="22"/>
  <c r="V171" i="22"/>
  <c r="AN171" i="22"/>
  <c r="AN182" i="22"/>
  <c r="V182" i="22"/>
  <c r="AM182" i="22"/>
  <c r="AN177" i="22"/>
  <c r="AM177" i="22"/>
  <c r="AL177" i="22"/>
  <c r="V177" i="22"/>
  <c r="CE177" i="22"/>
  <c r="CB177" i="22"/>
  <c r="I177" i="22"/>
  <c r="BQ177" i="22" s="1"/>
  <c r="BY177" i="22"/>
  <c r="CO177" i="22" s="1"/>
  <c r="BZ177" i="22"/>
  <c r="AM174" i="22"/>
  <c r="AN174" i="22"/>
  <c r="AL174" i="22"/>
  <c r="V174" i="22"/>
  <c r="BY158" i="22"/>
  <c r="CO158" i="22" s="1"/>
  <c r="CP158" i="22" s="1"/>
  <c r="CE170" i="22"/>
  <c r="BY180" i="22"/>
  <c r="CO180" i="22" s="1"/>
  <c r="BZ180" i="22"/>
  <c r="CB180" i="22"/>
  <c r="I180" i="22"/>
  <c r="BR180" i="22" s="1"/>
  <c r="CE157" i="22"/>
  <c r="AN160" i="22"/>
  <c r="AM160" i="22"/>
  <c r="AL160" i="22"/>
  <c r="V160" i="22"/>
  <c r="CE156" i="22"/>
  <c r="AM162" i="22"/>
  <c r="AN162" i="22"/>
  <c r="AL162" i="22"/>
  <c r="V162" i="22"/>
  <c r="CE158" i="22"/>
  <c r="I134" i="22"/>
  <c r="AK134" i="22" s="1"/>
  <c r="CJ161" i="22"/>
  <c r="CE161" i="22"/>
  <c r="BY134" i="22"/>
  <c r="CO134" i="22" s="1"/>
  <c r="AN156" i="22"/>
  <c r="V156" i="22"/>
  <c r="AM156" i="22"/>
  <c r="AL156" i="22"/>
  <c r="V161" i="22"/>
  <c r="AM161" i="22"/>
  <c r="AN161" i="22"/>
  <c r="AL161" i="22"/>
  <c r="BY138" i="22"/>
  <c r="CO138" i="22" s="1"/>
  <c r="BZ134" i="22"/>
  <c r="Z157" i="22"/>
  <c r="AG157" i="22" s="1"/>
  <c r="J157" i="22"/>
  <c r="AI157" i="22"/>
  <c r="BE157" i="22"/>
  <c r="M157" i="22"/>
  <c r="AK157" i="22"/>
  <c r="CE154" i="22"/>
  <c r="AM158" i="22"/>
  <c r="AN158" i="22"/>
  <c r="AL158" i="22"/>
  <c r="V158" i="22"/>
  <c r="CE162" i="22"/>
  <c r="AL159" i="22"/>
  <c r="AM159" i="22"/>
  <c r="V159" i="22"/>
  <c r="AN159" i="22"/>
  <c r="CE160" i="22"/>
  <c r="CP161" i="22"/>
  <c r="CQ161" i="22"/>
  <c r="AN155" i="22"/>
  <c r="AM155" i="22"/>
  <c r="V155" i="22"/>
  <c r="AL155" i="22"/>
  <c r="V154" i="22"/>
  <c r="AM154" i="22"/>
  <c r="AL154" i="22"/>
  <c r="AN154" i="22"/>
  <c r="BZ154" i="22"/>
  <c r="BY154" i="22"/>
  <c r="CO154" i="22" s="1"/>
  <c r="I154" i="22"/>
  <c r="BQ154" i="22" s="1"/>
  <c r="CB154" i="22"/>
  <c r="BY159" i="22"/>
  <c r="CO159" i="22" s="1"/>
  <c r="I159" i="22"/>
  <c r="BS159" i="22" s="1"/>
  <c r="BZ159" i="22"/>
  <c r="CB159" i="22"/>
  <c r="CE159" i="22"/>
  <c r="BQ157" i="22"/>
  <c r="AN157" i="22"/>
  <c r="AM157" i="22"/>
  <c r="BR157" i="22"/>
  <c r="AL157" i="22"/>
  <c r="V157" i="22"/>
  <c r="BS157" i="22"/>
  <c r="CE155" i="22"/>
  <c r="I115" i="22"/>
  <c r="CB115" i="22"/>
  <c r="BY115" i="22"/>
  <c r="CO115" i="22" s="1"/>
  <c r="BZ115" i="22"/>
  <c r="CE151" i="22"/>
  <c r="AI137" i="22"/>
  <c r="BE137" i="22"/>
  <c r="AK137" i="22"/>
  <c r="J137" i="22"/>
  <c r="Z137" i="22"/>
  <c r="AA137" i="22" s="1"/>
  <c r="AL145" i="22"/>
  <c r="V145" i="22"/>
  <c r="AN145" i="22"/>
  <c r="AM145" i="22"/>
  <c r="CB135" i="22"/>
  <c r="BZ135" i="22"/>
  <c r="BY135" i="22"/>
  <c r="CO135" i="22" s="1"/>
  <c r="I135" i="22"/>
  <c r="Z124" i="22"/>
  <c r="AA124" i="22" s="1"/>
  <c r="J124" i="22"/>
  <c r="AK124" i="22"/>
  <c r="AI124" i="22"/>
  <c r="BE124" i="22"/>
  <c r="I128" i="22"/>
  <c r="CB128" i="22"/>
  <c r="BY128" i="22"/>
  <c r="CO128" i="22" s="1"/>
  <c r="BZ128" i="22"/>
  <c r="CE145" i="22"/>
  <c r="I141" i="22"/>
  <c r="BY141" i="22"/>
  <c r="CO141" i="22" s="1"/>
  <c r="BZ141" i="22"/>
  <c r="CB141" i="22"/>
  <c r="BZ130" i="22"/>
  <c r="CB130" i="22"/>
  <c r="BY130" i="22"/>
  <c r="CO130" i="22" s="1"/>
  <c r="I130" i="22"/>
  <c r="BY123" i="22"/>
  <c r="CO123" i="22" s="1"/>
  <c r="CB123" i="22"/>
  <c r="I123" i="22"/>
  <c r="BZ123" i="22"/>
  <c r="CB116" i="22"/>
  <c r="BZ116" i="22"/>
  <c r="BY116" i="22"/>
  <c r="CO116" i="22" s="1"/>
  <c r="I116" i="22"/>
  <c r="CQ152" i="22"/>
  <c r="CP152" i="22"/>
  <c r="BY143" i="22"/>
  <c r="CO143" i="22" s="1"/>
  <c r="I143" i="22"/>
  <c r="CB143" i="22"/>
  <c r="BZ143" i="22"/>
  <c r="CD110" i="22"/>
  <c r="I129" i="22"/>
  <c r="BY129" i="22"/>
  <c r="CO129" i="22" s="1"/>
  <c r="CB129" i="22"/>
  <c r="BZ129" i="22"/>
  <c r="BY127" i="22"/>
  <c r="CO127" i="22" s="1"/>
  <c r="I127" i="22"/>
  <c r="CB127" i="22"/>
  <c r="BZ127" i="22"/>
  <c r="BY150" i="22"/>
  <c r="CO150" i="22" s="1"/>
  <c r="I150" i="22"/>
  <c r="BR150" i="22" s="1"/>
  <c r="BZ150" i="22"/>
  <c r="CB150" i="22"/>
  <c r="I126" i="22"/>
  <c r="BY126" i="22"/>
  <c r="CO126" i="22" s="1"/>
  <c r="BZ126" i="22"/>
  <c r="CB126" i="22"/>
  <c r="I121" i="22"/>
  <c r="BY121" i="22"/>
  <c r="CO121" i="22" s="1"/>
  <c r="CB121" i="22"/>
  <c r="BZ121" i="22"/>
  <c r="AN150" i="22"/>
  <c r="AM150" i="22"/>
  <c r="AL150" i="22"/>
  <c r="V150" i="22"/>
  <c r="BY122" i="22"/>
  <c r="CO122" i="22" s="1"/>
  <c r="BZ122" i="22"/>
  <c r="CB122" i="22"/>
  <c r="I122" i="22"/>
  <c r="V110" i="22"/>
  <c r="AN110" i="22"/>
  <c r="AM110" i="22"/>
  <c r="CB114" i="22"/>
  <c r="BY114" i="22"/>
  <c r="CO114" i="22" s="1"/>
  <c r="BZ114" i="22"/>
  <c r="I114" i="22"/>
  <c r="I125" i="22"/>
  <c r="BR125" i="22" s="1"/>
  <c r="BZ125" i="22"/>
  <c r="BY125" i="22"/>
  <c r="CO125" i="22" s="1"/>
  <c r="CB125" i="22"/>
  <c r="CJ152" i="22"/>
  <c r="CE152" i="22"/>
  <c r="BY149" i="22"/>
  <c r="CO149" i="22" s="1"/>
  <c r="I149" i="22"/>
  <c r="CB149" i="22"/>
  <c r="BZ149" i="22"/>
  <c r="BY120" i="22"/>
  <c r="CO120" i="22" s="1"/>
  <c r="I120" i="22"/>
  <c r="CB120" i="22"/>
  <c r="BZ120" i="22"/>
  <c r="AL152" i="22"/>
  <c r="V152" i="22"/>
  <c r="AM152" i="22"/>
  <c r="AN152" i="22"/>
  <c r="CE125" i="22"/>
  <c r="BY145" i="22"/>
  <c r="CO145" i="22" s="1"/>
  <c r="I145" i="22"/>
  <c r="BS145" i="22" s="1"/>
  <c r="CB145" i="22"/>
  <c r="BZ145" i="22"/>
  <c r="AR125" i="22"/>
  <c r="V125" i="22"/>
  <c r="AN125" i="22"/>
  <c r="AM125" i="22"/>
  <c r="V151" i="22"/>
  <c r="AN151" i="22"/>
  <c r="AM151" i="22"/>
  <c r="AL151" i="22"/>
  <c r="CE150" i="22"/>
  <c r="BY146" i="22"/>
  <c r="CO146" i="22" s="1"/>
  <c r="I146" i="22"/>
  <c r="BZ146" i="22"/>
  <c r="CB146" i="22"/>
  <c r="AR110" i="22"/>
  <c r="L185" i="18"/>
  <c r="J185" i="18"/>
  <c r="C185" i="18"/>
  <c r="A207" i="22" s="1"/>
  <c r="L184" i="18"/>
  <c r="J184" i="18"/>
  <c r="C184" i="18"/>
  <c r="A206" i="22" s="1"/>
  <c r="L183" i="18"/>
  <c r="J183" i="18"/>
  <c r="C183" i="18"/>
  <c r="A205" i="22" s="1"/>
  <c r="P122" i="18"/>
  <c r="L122" i="18"/>
  <c r="D132" i="22" s="1"/>
  <c r="I122" i="18"/>
  <c r="BH132" i="22" s="1"/>
  <c r="J122" i="18"/>
  <c r="P121" i="18"/>
  <c r="L121" i="18"/>
  <c r="D131" i="22" s="1"/>
  <c r="I121" i="18"/>
  <c r="BH131" i="22" s="1"/>
  <c r="J121" i="18"/>
  <c r="P120" i="18"/>
  <c r="L120" i="18"/>
  <c r="D130" i="22" s="1"/>
  <c r="I120" i="18"/>
  <c r="BH130" i="22" s="1"/>
  <c r="J120" i="18"/>
  <c r="AG168" i="22" l="1"/>
  <c r="BS181" i="22"/>
  <c r="BR119" i="22"/>
  <c r="BS119" i="22"/>
  <c r="AF167" i="22"/>
  <c r="AL119" i="22"/>
  <c r="AF168" i="22"/>
  <c r="AW168" i="22"/>
  <c r="BQ140" i="22"/>
  <c r="AL140" i="22"/>
  <c r="CJ181" i="22"/>
  <c r="CJ119" i="22"/>
  <c r="CG176" i="22"/>
  <c r="CG167" i="22"/>
  <c r="CH167" i="22" s="1"/>
  <c r="AW133" i="22"/>
  <c r="AS167" i="22"/>
  <c r="CG139" i="22"/>
  <c r="CH139" i="22" s="1"/>
  <c r="CG168" i="22"/>
  <c r="CH168" i="22" s="1"/>
  <c r="AF117" i="22"/>
  <c r="CJ144" i="22"/>
  <c r="BR147" i="22"/>
  <c r="BR144" i="22"/>
  <c r="BQ147" i="22"/>
  <c r="AW172" i="22"/>
  <c r="AW181" i="22"/>
  <c r="AP139" i="22"/>
  <c r="AS139" i="22"/>
  <c r="AE172" i="22"/>
  <c r="AF172" i="22"/>
  <c r="AH172" i="22"/>
  <c r="AG172" i="22"/>
  <c r="AD172" i="22"/>
  <c r="AC172" i="22"/>
  <c r="BF133" i="22"/>
  <c r="BG133" i="22"/>
  <c r="AW167" i="22"/>
  <c r="Z140" i="22"/>
  <c r="AA140" i="22" s="1"/>
  <c r="AI140" i="22"/>
  <c r="AK140" i="22"/>
  <c r="M140" i="22"/>
  <c r="J140" i="22"/>
  <c r="BE140" i="22"/>
  <c r="CQ147" i="22"/>
  <c r="CP147" i="22"/>
  <c r="BG139" i="22"/>
  <c r="BF139" i="22"/>
  <c r="BF176" i="22"/>
  <c r="BG176" i="22"/>
  <c r="W167" i="22"/>
  <c r="AJ167" i="22" s="1"/>
  <c r="X167" i="22" s="1"/>
  <c r="AB167" i="22"/>
  <c r="AK147" i="22"/>
  <c r="M147" i="22"/>
  <c r="J147" i="22"/>
  <c r="AI147" i="22"/>
  <c r="BE147" i="22"/>
  <c r="Z147" i="22"/>
  <c r="AA147" i="22" s="1"/>
  <c r="CG117" i="22"/>
  <c r="CH117" i="22" s="1"/>
  <c r="AH117" i="22"/>
  <c r="AX167" i="22"/>
  <c r="AP167" i="22"/>
  <c r="W176" i="22"/>
  <c r="AB176" i="22"/>
  <c r="BG167" i="22"/>
  <c r="BF167" i="22"/>
  <c r="J172" i="22"/>
  <c r="AK172" i="22"/>
  <c r="AI172" i="22"/>
  <c r="BE172" i="22"/>
  <c r="M172" i="22"/>
  <c r="O172" i="22" s="1"/>
  <c r="W172" i="22" s="1"/>
  <c r="AA172" i="22"/>
  <c r="Z181" i="22"/>
  <c r="J181" i="22"/>
  <c r="AK181" i="22"/>
  <c r="AI181" i="22"/>
  <c r="BE181" i="22"/>
  <c r="M181" i="22"/>
  <c r="O181" i="22" s="1"/>
  <c r="W181" i="22" s="1"/>
  <c r="CD147" i="22"/>
  <c r="CC147" i="22"/>
  <c r="CC172" i="22"/>
  <c r="CD172" i="22"/>
  <c r="AG117" i="22"/>
  <c r="W133" i="22"/>
  <c r="AB133" i="22"/>
  <c r="CP144" i="22"/>
  <c r="CQ144" i="22"/>
  <c r="AK119" i="22"/>
  <c r="J119" i="22"/>
  <c r="M119" i="22"/>
  <c r="Z119" i="22"/>
  <c r="AI119" i="22"/>
  <c r="BE119" i="22"/>
  <c r="CQ181" i="22"/>
  <c r="CP181" i="22"/>
  <c r="CO172" i="22"/>
  <c r="CF172" i="22"/>
  <c r="CE172" i="22"/>
  <c r="CM172" i="22"/>
  <c r="BV172" i="22"/>
  <c r="CA133" i="22"/>
  <c r="BZ133" i="22"/>
  <c r="Z133" i="22"/>
  <c r="AD133" i="22"/>
  <c r="AC133" i="22"/>
  <c r="AE133" i="22"/>
  <c r="CH176" i="22"/>
  <c r="AW176" i="22"/>
  <c r="CP119" i="22"/>
  <c r="CQ119" i="22"/>
  <c r="CJ140" i="22"/>
  <c r="CD144" i="22"/>
  <c r="CC144" i="22"/>
  <c r="CD119" i="22"/>
  <c r="CC119" i="22"/>
  <c r="CD181" i="22"/>
  <c r="CC181" i="22"/>
  <c r="CJ147" i="22"/>
  <c r="CQ140" i="22"/>
  <c r="CP140" i="22"/>
  <c r="Z144" i="22"/>
  <c r="AK144" i="22"/>
  <c r="J144" i="22"/>
  <c r="M144" i="22"/>
  <c r="BE144" i="22"/>
  <c r="AI144" i="22"/>
  <c r="AH176" i="22"/>
  <c r="W168" i="22"/>
  <c r="AB168" i="22"/>
  <c r="BS147" i="22"/>
  <c r="BG117" i="22"/>
  <c r="BF117" i="22"/>
  <c r="BQ172" i="22"/>
  <c r="AH168" i="22"/>
  <c r="AF176" i="22"/>
  <c r="BG168" i="22"/>
  <c r="BF168" i="22"/>
  <c r="AA167" i="22"/>
  <c r="BR172" i="22"/>
  <c r="AG176" i="22"/>
  <c r="BQ144" i="22"/>
  <c r="CD140" i="22"/>
  <c r="CC140" i="22"/>
  <c r="BS172" i="22"/>
  <c r="AL182" i="22"/>
  <c r="AW182" i="22" s="1"/>
  <c r="BD171" i="22"/>
  <c r="AL171" i="22"/>
  <c r="Y171" i="22"/>
  <c r="Z171" i="22" s="1"/>
  <c r="CP175" i="22"/>
  <c r="CJ175" i="22"/>
  <c r="BS92" i="22"/>
  <c r="CJ165" i="22"/>
  <c r="CC165" i="22"/>
  <c r="CG165" i="22" s="1"/>
  <c r="CH165" i="22" s="1"/>
  <c r="CJ151" i="22"/>
  <c r="CP165" i="22"/>
  <c r="BR178" i="22"/>
  <c r="CP151" i="22"/>
  <c r="CD151" i="22"/>
  <c r="CG151" i="22" s="1"/>
  <c r="CH151" i="22" s="1"/>
  <c r="AL110" i="22"/>
  <c r="AK110" i="22"/>
  <c r="BS165" i="22"/>
  <c r="AK165" i="22"/>
  <c r="J165" i="22"/>
  <c r="BE165" i="22"/>
  <c r="BF165" i="22" s="1"/>
  <c r="BE113" i="22"/>
  <c r="BF113" i="22" s="1"/>
  <c r="BQ165" i="22"/>
  <c r="AI165" i="22"/>
  <c r="Z165" i="22"/>
  <c r="AA165" i="22" s="1"/>
  <c r="BR165" i="22"/>
  <c r="BS166" i="22"/>
  <c r="BS151" i="22"/>
  <c r="CP178" i="22"/>
  <c r="AI113" i="22"/>
  <c r="J113" i="22"/>
  <c r="CC178" i="22"/>
  <c r="CG178" i="22" s="1"/>
  <c r="CH178" i="22" s="1"/>
  <c r="BS95" i="22"/>
  <c r="Z113" i="22"/>
  <c r="AA113" i="22" s="1"/>
  <c r="CJ178" i="22"/>
  <c r="Z178" i="22"/>
  <c r="AG178" i="22" s="1"/>
  <c r="AK178" i="22"/>
  <c r="BS178" i="22"/>
  <c r="J175" i="22"/>
  <c r="BQ178" i="22"/>
  <c r="BR92" i="22"/>
  <c r="AI178" i="22"/>
  <c r="AI166" i="22"/>
  <c r="CJ173" i="22"/>
  <c r="BE178" i="22"/>
  <c r="BF178" i="22" s="1"/>
  <c r="J151" i="22"/>
  <c r="M178" i="22"/>
  <c r="O178" i="22" s="1"/>
  <c r="W178" i="22" s="1"/>
  <c r="BE166" i="22"/>
  <c r="BG166" i="22" s="1"/>
  <c r="AK93" i="22"/>
  <c r="AK92" i="22"/>
  <c r="BS110" i="22"/>
  <c r="BE110" i="22"/>
  <c r="BF110" i="22" s="1"/>
  <c r="M110" i="22"/>
  <c r="CJ166" i="22"/>
  <c r="CD166" i="22"/>
  <c r="CG166" i="22" s="1"/>
  <c r="CH166" i="22" s="1"/>
  <c r="CQ166" i="22"/>
  <c r="BR110" i="22"/>
  <c r="AI110" i="22"/>
  <c r="Z110" i="22"/>
  <c r="AA110" i="22" s="1"/>
  <c r="CD175" i="22"/>
  <c r="CG175" i="22" s="1"/>
  <c r="CH175" i="22" s="1"/>
  <c r="BQ110" i="22"/>
  <c r="BE173" i="22"/>
  <c r="BG173" i="22" s="1"/>
  <c r="BE175" i="22"/>
  <c r="BG175" i="22" s="1"/>
  <c r="AI92" i="22"/>
  <c r="CJ95" i="22"/>
  <c r="AI173" i="22"/>
  <c r="M175" i="22"/>
  <c r="O175" i="22" s="1"/>
  <c r="AK175" i="22"/>
  <c r="BS175" i="22"/>
  <c r="M92" i="22"/>
  <c r="O92" i="22" s="1"/>
  <c r="W92" i="22" s="1"/>
  <c r="Z136" i="22"/>
  <c r="AA136" i="22" s="1"/>
  <c r="AI175" i="22"/>
  <c r="Z175" i="22"/>
  <c r="AA175" i="22" s="1"/>
  <c r="BR175" i="22"/>
  <c r="Z92" i="22"/>
  <c r="AA92" i="22" s="1"/>
  <c r="BE92" i="22"/>
  <c r="BF92" i="22" s="1"/>
  <c r="AK151" i="22"/>
  <c r="J166" i="22"/>
  <c r="M166" i="22"/>
  <c r="BE93" i="22"/>
  <c r="BF93" i="22" s="1"/>
  <c r="BQ93" i="22"/>
  <c r="BQ151" i="22"/>
  <c r="Z151" i="22"/>
  <c r="AG151" i="22" s="1"/>
  <c r="M151" i="22"/>
  <c r="AK166" i="22"/>
  <c r="BQ166" i="22"/>
  <c r="AI93" i="22"/>
  <c r="BR151" i="22"/>
  <c r="AI151" i="22"/>
  <c r="Z166" i="22"/>
  <c r="M93" i="22"/>
  <c r="AF93" i="22" s="1"/>
  <c r="Z173" i="22"/>
  <c r="AH173" i="22" s="1"/>
  <c r="BQ173" i="22"/>
  <c r="J173" i="22"/>
  <c r="BR173" i="22"/>
  <c r="AK173" i="22"/>
  <c r="BS173" i="22"/>
  <c r="CJ157" i="22"/>
  <c r="AC93" i="22"/>
  <c r="AA93" i="22"/>
  <c r="BS93" i="22"/>
  <c r="BV130" i="22"/>
  <c r="CX130" i="22"/>
  <c r="CY130" i="22" s="1"/>
  <c r="CW130" i="22"/>
  <c r="CV130" i="22"/>
  <c r="CU130" i="22"/>
  <c r="CS130" i="22"/>
  <c r="CN130" i="22"/>
  <c r="CP130" i="22" s="1"/>
  <c r="CI130" i="22"/>
  <c r="CT130" i="22" s="1"/>
  <c r="BW130" i="22"/>
  <c r="CC130" i="22" s="1"/>
  <c r="BX130" i="22"/>
  <c r="BR93" i="22"/>
  <c r="CR130" i="22"/>
  <c r="CZ130" i="22"/>
  <c r="CR131" i="22"/>
  <c r="CZ131" i="22"/>
  <c r="BV95" i="22"/>
  <c r="CV131" i="22"/>
  <c r="CU131" i="22"/>
  <c r="CS131" i="22"/>
  <c r="CN131" i="22"/>
  <c r="CX131" i="22"/>
  <c r="CY131" i="22" s="1"/>
  <c r="CW131" i="22"/>
  <c r="CI131" i="22"/>
  <c r="CT131" i="22" s="1"/>
  <c r="BW131" i="22"/>
  <c r="BX131" i="22"/>
  <c r="CX132" i="22"/>
  <c r="CY132" i="22" s="1"/>
  <c r="CW132" i="22"/>
  <c r="CV132" i="22"/>
  <c r="CU132" i="22"/>
  <c r="CN132" i="22"/>
  <c r="CS132" i="22"/>
  <c r="CI132" i="22"/>
  <c r="CT132" i="22" s="1"/>
  <c r="BW132" i="22"/>
  <c r="BX132" i="22"/>
  <c r="CR132" i="22"/>
  <c r="CZ132" i="22"/>
  <c r="CJ94" i="22"/>
  <c r="BV94" i="22"/>
  <c r="BR95" i="22"/>
  <c r="M95" i="22"/>
  <c r="O95" i="22" s="1"/>
  <c r="W95" i="22" s="1"/>
  <c r="Z95" i="22"/>
  <c r="AC95" i="22" s="1"/>
  <c r="AK95" i="22"/>
  <c r="AI95" i="22"/>
  <c r="BQ95" i="22"/>
  <c r="J112" i="22"/>
  <c r="BE112" i="22"/>
  <c r="BF112" i="22" s="1"/>
  <c r="AI112" i="22"/>
  <c r="AK112" i="22"/>
  <c r="CD173" i="22"/>
  <c r="CG173" i="22" s="1"/>
  <c r="CQ173" i="22"/>
  <c r="AG93" i="22"/>
  <c r="AD93" i="22"/>
  <c r="AD91" i="22"/>
  <c r="AD94" i="22"/>
  <c r="AC92" i="22"/>
  <c r="AE94" i="22"/>
  <c r="AW92" i="22"/>
  <c r="AH93" i="22"/>
  <c r="AH94" i="22"/>
  <c r="AG94" i="22"/>
  <c r="AF94" i="22"/>
  <c r="AC91" i="22"/>
  <c r="AD90" i="22"/>
  <c r="AD92" i="22"/>
  <c r="AE92" i="22"/>
  <c r="AE91" i="22"/>
  <c r="AE90" i="22"/>
  <c r="CO90" i="22"/>
  <c r="CE90" i="22"/>
  <c r="CF90" i="22"/>
  <c r="CM90" i="22"/>
  <c r="CF94" i="22"/>
  <c r="CM94" i="22"/>
  <c r="CO94" i="22"/>
  <c r="CE94" i="22"/>
  <c r="BD92" i="22"/>
  <c r="CC95" i="22"/>
  <c r="CD95" i="22"/>
  <c r="BR89" i="22"/>
  <c r="AW91" i="22"/>
  <c r="AW90" i="22"/>
  <c r="CJ91" i="22"/>
  <c r="CM91" i="22"/>
  <c r="CO91" i="22"/>
  <c r="CE91" i="22"/>
  <c r="CF91" i="22"/>
  <c r="CC94" i="22"/>
  <c r="CD94" i="22"/>
  <c r="BD93" i="22"/>
  <c r="BG94" i="22"/>
  <c r="BF94" i="22"/>
  <c r="J89" i="22"/>
  <c r="BD89" i="22"/>
  <c r="AG90" i="22"/>
  <c r="CJ92" i="22"/>
  <c r="CO92" i="22"/>
  <c r="CE92" i="22"/>
  <c r="CF92" i="22"/>
  <c r="CM92" i="22"/>
  <c r="AW95" i="22"/>
  <c r="CC91" i="22"/>
  <c r="CD91" i="22"/>
  <c r="BF91" i="22"/>
  <c r="BG91" i="22"/>
  <c r="Y89" i="22"/>
  <c r="BG95" i="22"/>
  <c r="BF95" i="22"/>
  <c r="CJ93" i="22"/>
  <c r="CE93" i="22"/>
  <c r="CF93" i="22"/>
  <c r="CM93" i="22"/>
  <c r="CO93" i="22"/>
  <c r="BS89" i="22"/>
  <c r="AF91" i="22"/>
  <c r="AH91" i="22"/>
  <c r="AF90" i="22"/>
  <c r="AW94" i="22"/>
  <c r="BF90" i="22"/>
  <c r="BG90" i="22"/>
  <c r="CC92" i="22"/>
  <c r="CD92" i="22"/>
  <c r="AC90" i="22"/>
  <c r="CC90" i="22"/>
  <c r="CD90" i="22"/>
  <c r="M89" i="22"/>
  <c r="O89" i="22" s="1"/>
  <c r="BE89" i="22"/>
  <c r="AI89" i="22"/>
  <c r="AK89" i="22"/>
  <c r="AC94" i="22"/>
  <c r="CJ90" i="22"/>
  <c r="AW93" i="22"/>
  <c r="CC93" i="22"/>
  <c r="CD93" i="22"/>
  <c r="CE95" i="22"/>
  <c r="CF95" i="22"/>
  <c r="CM95" i="22"/>
  <c r="CO95" i="22"/>
  <c r="AL89" i="22"/>
  <c r="AW89" i="22" s="1"/>
  <c r="AG91" i="22"/>
  <c r="AH90" i="22"/>
  <c r="BD90" i="22"/>
  <c r="J138" i="22"/>
  <c r="BE134" i="22"/>
  <c r="BF134" i="22" s="1"/>
  <c r="J179" i="22"/>
  <c r="AK138" i="22"/>
  <c r="Z138" i="22"/>
  <c r="AA138" i="22" s="1"/>
  <c r="BQ152" i="22"/>
  <c r="Z152" i="22"/>
  <c r="AA152" i="22" s="1"/>
  <c r="BS155" i="22"/>
  <c r="BS150" i="22"/>
  <c r="AK136" i="22"/>
  <c r="CJ164" i="22"/>
  <c r="CD179" i="22"/>
  <c r="CG179" i="22" s="1"/>
  <c r="AK160" i="22"/>
  <c r="Z160" i="22"/>
  <c r="AG160" i="22" s="1"/>
  <c r="BE160" i="22"/>
  <c r="BG160" i="22" s="1"/>
  <c r="BS160" i="22"/>
  <c r="AI160" i="22"/>
  <c r="BR160" i="22"/>
  <c r="J160" i="22"/>
  <c r="BQ160" i="22"/>
  <c r="AK179" i="22"/>
  <c r="BE138" i="22"/>
  <c r="BG138" i="22" s="1"/>
  <c r="AK155" i="22"/>
  <c r="M179" i="22"/>
  <c r="O179" i="22" s="1"/>
  <c r="M161" i="22"/>
  <c r="AF161" i="22" s="1"/>
  <c r="BE155" i="22"/>
  <c r="BF155" i="22" s="1"/>
  <c r="M155" i="22"/>
  <c r="BR155" i="22"/>
  <c r="AI155" i="22"/>
  <c r="BQ161" i="22"/>
  <c r="J155" i="22"/>
  <c r="Z155" i="22"/>
  <c r="AA155" i="22" s="1"/>
  <c r="BQ179" i="22"/>
  <c r="Z179" i="22"/>
  <c r="AA179" i="22" s="1"/>
  <c r="BR179" i="22"/>
  <c r="AI179" i="22"/>
  <c r="BS179" i="22"/>
  <c r="BR174" i="22"/>
  <c r="CJ160" i="22"/>
  <c r="CJ169" i="22"/>
  <c r="CC152" i="22"/>
  <c r="CC162" i="22"/>
  <c r="Z148" i="22"/>
  <c r="AA148" i="22" s="1"/>
  <c r="AI148" i="22"/>
  <c r="AK148" i="22"/>
  <c r="CO179" i="22"/>
  <c r="CP179" i="22" s="1"/>
  <c r="CJ155" i="22"/>
  <c r="CD155" i="22"/>
  <c r="CG155" i="22" s="1"/>
  <c r="CD160" i="22"/>
  <c r="CG160" i="22" s="1"/>
  <c r="CH160" i="22" s="1"/>
  <c r="CD161" i="22"/>
  <c r="CG161" i="22" s="1"/>
  <c r="CQ160" i="22"/>
  <c r="CD156" i="22"/>
  <c r="CG156" i="22" s="1"/>
  <c r="CQ155" i="22"/>
  <c r="AI134" i="22"/>
  <c r="J134" i="22"/>
  <c r="J132" i="22"/>
  <c r="AI132" i="22"/>
  <c r="AK132" i="22"/>
  <c r="Z134" i="22"/>
  <c r="AA134" i="22" s="1"/>
  <c r="Z156" i="22"/>
  <c r="AG156" i="22" s="1"/>
  <c r="BQ174" i="22"/>
  <c r="J111" i="22"/>
  <c r="BE111" i="22"/>
  <c r="BF111" i="22" s="1"/>
  <c r="BQ156" i="22"/>
  <c r="AK156" i="22"/>
  <c r="BS162" i="22"/>
  <c r="M156" i="22"/>
  <c r="AI118" i="22"/>
  <c r="BE156" i="22"/>
  <c r="BG156" i="22" s="1"/>
  <c r="Z162" i="22"/>
  <c r="AG162" i="22" s="1"/>
  <c r="AI156" i="22"/>
  <c r="J156" i="22"/>
  <c r="BS156" i="22"/>
  <c r="CJ162" i="22"/>
  <c r="CQ162" i="22"/>
  <c r="CP156" i="22"/>
  <c r="CJ156" i="22"/>
  <c r="BR177" i="22"/>
  <c r="CJ163" i="22"/>
  <c r="CQ163" i="22"/>
  <c r="CP163" i="22"/>
  <c r="AW163" i="22"/>
  <c r="BS163" i="22"/>
  <c r="AK163" i="22"/>
  <c r="AI163" i="22"/>
  <c r="J163" i="22"/>
  <c r="BE163" i="22"/>
  <c r="M163" i="22"/>
  <c r="O163" i="22" s="1"/>
  <c r="Z163" i="22"/>
  <c r="CC163" i="22"/>
  <c r="CD163" i="22"/>
  <c r="BR163" i="22"/>
  <c r="CQ157" i="22"/>
  <c r="CC157" i="22"/>
  <c r="CC158" i="22"/>
  <c r="CG158" i="22" s="1"/>
  <c r="BS158" i="22"/>
  <c r="AK158" i="22"/>
  <c r="J162" i="22"/>
  <c r="M162" i="22"/>
  <c r="AK162" i="22"/>
  <c r="BR169" i="22"/>
  <c r="BQ162" i="22"/>
  <c r="BE162" i="22"/>
  <c r="BG162" i="22" s="1"/>
  <c r="BR162" i="22"/>
  <c r="BE152" i="22"/>
  <c r="BG152" i="22" s="1"/>
  <c r="AI152" i="22"/>
  <c r="J152" i="22"/>
  <c r="AI111" i="22"/>
  <c r="AK118" i="22"/>
  <c r="Z118" i="22"/>
  <c r="AA118" i="22" s="1"/>
  <c r="BE118" i="22"/>
  <c r="BG118" i="22" s="1"/>
  <c r="AK111" i="22"/>
  <c r="BR161" i="22"/>
  <c r="J158" i="22"/>
  <c r="BS161" i="22"/>
  <c r="CQ158" i="22"/>
  <c r="AI158" i="22"/>
  <c r="BE158" i="22"/>
  <c r="BG158" i="22" s="1"/>
  <c r="AI161" i="22"/>
  <c r="Z158" i="22"/>
  <c r="AA158" i="22" s="1"/>
  <c r="BE161" i="22"/>
  <c r="BG161" i="22" s="1"/>
  <c r="J161" i="22"/>
  <c r="AK161" i="22"/>
  <c r="BQ158" i="22"/>
  <c r="BR158" i="22"/>
  <c r="M152" i="22"/>
  <c r="BR152" i="22"/>
  <c r="J148" i="22"/>
  <c r="AK152" i="22"/>
  <c r="AW177" i="22"/>
  <c r="AW174" i="22"/>
  <c r="BE136" i="22"/>
  <c r="BG136" i="22" s="1"/>
  <c r="CJ174" i="22"/>
  <c r="AL125" i="22"/>
  <c r="BQ182" i="22"/>
  <c r="AW178" i="22"/>
  <c r="AW175" i="22"/>
  <c r="BQ125" i="22"/>
  <c r="AI131" i="22"/>
  <c r="AI136" i="22"/>
  <c r="BS154" i="22"/>
  <c r="BR170" i="22"/>
  <c r="AW173" i="22"/>
  <c r="BE131" i="22"/>
  <c r="BG131" i="22" s="1"/>
  <c r="CJ170" i="22"/>
  <c r="M164" i="22"/>
  <c r="Z164" i="22"/>
  <c r="AA164" i="22" s="1"/>
  <c r="AK164" i="22"/>
  <c r="J164" i="22"/>
  <c r="AI164" i="22"/>
  <c r="BE164" i="22"/>
  <c r="CD170" i="22"/>
  <c r="CC170" i="22"/>
  <c r="BS182" i="22"/>
  <c r="BE182" i="22"/>
  <c r="AK182" i="22"/>
  <c r="J182" i="22"/>
  <c r="AI182" i="22"/>
  <c r="M182" i="22"/>
  <c r="O182" i="22" s="1"/>
  <c r="Z182" i="22"/>
  <c r="AA182" i="22" s="1"/>
  <c r="J131" i="22"/>
  <c r="CJ158" i="22"/>
  <c r="CQ182" i="22"/>
  <c r="CP182" i="22"/>
  <c r="BS164" i="22"/>
  <c r="CJ182" i="22"/>
  <c r="AK131" i="22"/>
  <c r="CD164" i="22"/>
  <c r="CC164" i="22"/>
  <c r="CP174" i="22"/>
  <c r="CQ174" i="22"/>
  <c r="CC182" i="22"/>
  <c r="CD182" i="22"/>
  <c r="BR164" i="22"/>
  <c r="CD177" i="22"/>
  <c r="CC177" i="22"/>
  <c r="CQ164" i="22"/>
  <c r="CP164" i="22"/>
  <c r="BE174" i="22"/>
  <c r="Z174" i="22"/>
  <c r="AA174" i="22" s="1"/>
  <c r="M174" i="22"/>
  <c r="O174" i="22" s="1"/>
  <c r="W174" i="22" s="1"/>
  <c r="AK174" i="22"/>
  <c r="J174" i="22"/>
  <c r="AI174" i="22"/>
  <c r="BQ170" i="22"/>
  <c r="CQ177" i="22"/>
  <c r="CP177" i="22"/>
  <c r="BE171" i="22"/>
  <c r="AK171" i="22"/>
  <c r="J171" i="22"/>
  <c r="AI171" i="22"/>
  <c r="M171" i="22"/>
  <c r="O171" i="22" s="1"/>
  <c r="M177" i="22"/>
  <c r="O177" i="22" s="1"/>
  <c r="Z177" i="22"/>
  <c r="AA177" i="22" s="1"/>
  <c r="AK177" i="22"/>
  <c r="J177" i="22"/>
  <c r="BE177" i="22"/>
  <c r="AI177" i="22"/>
  <c r="BS177" i="22"/>
  <c r="BS171" i="22"/>
  <c r="CJ180" i="22"/>
  <c r="BQ169" i="22"/>
  <c r="J169" i="22"/>
  <c r="M169" i="22"/>
  <c r="AK169" i="22"/>
  <c r="BE169" i="22"/>
  <c r="AI169" i="22"/>
  <c r="Z169" i="22"/>
  <c r="AA169" i="22" s="1"/>
  <c r="CD174" i="22"/>
  <c r="CC174" i="22"/>
  <c r="BQ171" i="22"/>
  <c r="AW180" i="22"/>
  <c r="BG179" i="22"/>
  <c r="BF179" i="22"/>
  <c r="AW179" i="22"/>
  <c r="CQ180" i="22"/>
  <c r="CP180" i="22"/>
  <c r="CJ177" i="22"/>
  <c r="CC169" i="22"/>
  <c r="CD169" i="22"/>
  <c r="CJ150" i="22"/>
  <c r="BE180" i="22"/>
  <c r="J180" i="22"/>
  <c r="M180" i="22"/>
  <c r="O180" i="22" s="1"/>
  <c r="AI180" i="22"/>
  <c r="Z180" i="22"/>
  <c r="AK180" i="22"/>
  <c r="BS180" i="22"/>
  <c r="CP169" i="22"/>
  <c r="CQ169" i="22"/>
  <c r="CP170" i="22"/>
  <c r="CQ170" i="22"/>
  <c r="Z170" i="22"/>
  <c r="M170" i="22"/>
  <c r="AK170" i="22"/>
  <c r="J170" i="22"/>
  <c r="AI170" i="22"/>
  <c r="BE170" i="22"/>
  <c r="CD180" i="22"/>
  <c r="CC180" i="22"/>
  <c r="AW171" i="22"/>
  <c r="BQ180" i="22"/>
  <c r="AH157" i="22"/>
  <c r="AF157" i="22"/>
  <c r="AH161" i="22"/>
  <c r="BQ159" i="22"/>
  <c r="BR159" i="22"/>
  <c r="AG161" i="22"/>
  <c r="CJ159" i="22"/>
  <c r="AA157" i="22"/>
  <c r="BS125" i="22"/>
  <c r="CD159" i="22"/>
  <c r="CC159" i="22"/>
  <c r="Z154" i="22"/>
  <c r="AA154" i="22" s="1"/>
  <c r="M154" i="22"/>
  <c r="AK154" i="22"/>
  <c r="J154" i="22"/>
  <c r="BE154" i="22"/>
  <c r="AI154" i="22"/>
  <c r="BR154" i="22"/>
  <c r="BR145" i="22"/>
  <c r="J159" i="22"/>
  <c r="AK159" i="22"/>
  <c r="Z159" i="22"/>
  <c r="AA159" i="22" s="1"/>
  <c r="AI159" i="22"/>
  <c r="BE159" i="22"/>
  <c r="M159" i="22"/>
  <c r="CP154" i="22"/>
  <c r="CQ154" i="22"/>
  <c r="CJ154" i="22"/>
  <c r="CQ159" i="22"/>
  <c r="CP159" i="22"/>
  <c r="CC154" i="22"/>
  <c r="CD154" i="22"/>
  <c r="CJ125" i="22"/>
  <c r="BG157" i="22"/>
  <c r="BF157" i="22"/>
  <c r="BM132" i="22"/>
  <c r="BJ132" i="22"/>
  <c r="BO132" i="22"/>
  <c r="BN132" i="22"/>
  <c r="BK132" i="22"/>
  <c r="BI132" i="22"/>
  <c r="BL132" i="22"/>
  <c r="L132" i="22"/>
  <c r="AO132" i="22" s="1"/>
  <c r="N132" i="22"/>
  <c r="Y132" i="22" s="1"/>
  <c r="CD125" i="22"/>
  <c r="CC125" i="22"/>
  <c r="Z125" i="22"/>
  <c r="AK125" i="22"/>
  <c r="M125" i="22"/>
  <c r="AI125" i="22"/>
  <c r="BE125" i="22"/>
  <c r="J125" i="22"/>
  <c r="J129" i="22"/>
  <c r="AI129" i="22"/>
  <c r="BE129" i="22"/>
  <c r="AK129" i="22"/>
  <c r="Z129" i="22"/>
  <c r="AA129" i="22" s="1"/>
  <c r="J120" i="22"/>
  <c r="AK120" i="22"/>
  <c r="Z120" i="22"/>
  <c r="AI120" i="22"/>
  <c r="BE120" i="22"/>
  <c r="AK149" i="22"/>
  <c r="J149" i="22"/>
  <c r="AI149" i="22"/>
  <c r="BE149" i="22"/>
  <c r="Z149" i="22"/>
  <c r="AA149" i="22" s="1"/>
  <c r="J126" i="22"/>
  <c r="AK126" i="22"/>
  <c r="Z126" i="22"/>
  <c r="AA126" i="22" s="1"/>
  <c r="AI126" i="22"/>
  <c r="BE126" i="22"/>
  <c r="M150" i="22"/>
  <c r="AK150" i="22"/>
  <c r="J150" i="22"/>
  <c r="AI150" i="22"/>
  <c r="BE150" i="22"/>
  <c r="Z150" i="22"/>
  <c r="AG150" i="22" s="1"/>
  <c r="CD141" i="22"/>
  <c r="CP150" i="22"/>
  <c r="CQ150" i="22"/>
  <c r="Z116" i="22"/>
  <c r="AA116" i="22" s="1"/>
  <c r="AK116" i="22"/>
  <c r="J116" i="22"/>
  <c r="AI116" i="22"/>
  <c r="BE116" i="22"/>
  <c r="CQ141" i="22"/>
  <c r="BG124" i="22"/>
  <c r="BF124" i="22"/>
  <c r="BG132" i="22"/>
  <c r="BF132" i="22"/>
  <c r="Z127" i="22"/>
  <c r="AA127" i="22" s="1"/>
  <c r="AK127" i="22"/>
  <c r="BE127" i="22"/>
  <c r="J127" i="22"/>
  <c r="AI127" i="22"/>
  <c r="Z141" i="22"/>
  <c r="AA141" i="22" s="1"/>
  <c r="BE141" i="22"/>
  <c r="AK141" i="22"/>
  <c r="J141" i="22"/>
  <c r="AI141" i="22"/>
  <c r="CD145" i="22"/>
  <c r="CC145" i="22"/>
  <c r="AI128" i="22"/>
  <c r="AK128" i="22"/>
  <c r="Z128" i="22"/>
  <c r="AA128" i="22" s="1"/>
  <c r="J128" i="22"/>
  <c r="BE128" i="22"/>
  <c r="BM130" i="22"/>
  <c r="BL130" i="22"/>
  <c r="BN130" i="22"/>
  <c r="BO130" i="22"/>
  <c r="BI130" i="22"/>
  <c r="BK130" i="22"/>
  <c r="BJ130" i="22"/>
  <c r="BG151" i="22"/>
  <c r="BF151" i="22"/>
  <c r="CJ145" i="22"/>
  <c r="AK145" i="22"/>
  <c r="J145" i="22"/>
  <c r="AI145" i="22"/>
  <c r="BE145" i="22"/>
  <c r="M145" i="22"/>
  <c r="Z145" i="22"/>
  <c r="BG137" i="22"/>
  <c r="BF137" i="22"/>
  <c r="Z122" i="22"/>
  <c r="AA122" i="22" s="1"/>
  <c r="J122" i="22"/>
  <c r="AI122" i="22"/>
  <c r="BE122" i="22"/>
  <c r="AK122" i="22"/>
  <c r="CD150" i="22"/>
  <c r="CC150" i="22"/>
  <c r="Z135" i="22"/>
  <c r="AA135" i="22" s="1"/>
  <c r="AI135" i="22"/>
  <c r="BE135" i="22"/>
  <c r="AK135" i="22"/>
  <c r="J135" i="22"/>
  <c r="BI131" i="22"/>
  <c r="BL131" i="22"/>
  <c r="BM131" i="22"/>
  <c r="BO131" i="22"/>
  <c r="BN131" i="22"/>
  <c r="BJ131" i="22"/>
  <c r="BK131" i="22"/>
  <c r="CQ145" i="22"/>
  <c r="CP145" i="22"/>
  <c r="AI123" i="22"/>
  <c r="J123" i="22"/>
  <c r="BE123" i="22"/>
  <c r="AK123" i="22"/>
  <c r="Z123" i="22"/>
  <c r="AA123" i="22" s="1"/>
  <c r="AI130" i="22"/>
  <c r="BE130" i="22"/>
  <c r="AK130" i="22"/>
  <c r="Z130" i="22"/>
  <c r="J130" i="22"/>
  <c r="AI115" i="22"/>
  <c r="BE115" i="22"/>
  <c r="AK115" i="22"/>
  <c r="Z115" i="22"/>
  <c r="AA115" i="22" s="1"/>
  <c r="J115" i="22"/>
  <c r="L131" i="22"/>
  <c r="AO131" i="22" s="1"/>
  <c r="N131" i="22"/>
  <c r="Y131" i="22" s="1"/>
  <c r="Z131" i="22" s="1"/>
  <c r="AA131" i="22" s="1"/>
  <c r="AK146" i="22"/>
  <c r="J146" i="22"/>
  <c r="AI146" i="22"/>
  <c r="BE146" i="22"/>
  <c r="Z146" i="22"/>
  <c r="AA146" i="22" s="1"/>
  <c r="BG148" i="22"/>
  <c r="BF148" i="22"/>
  <c r="BE143" i="22"/>
  <c r="AK143" i="22"/>
  <c r="J143" i="22"/>
  <c r="AI143" i="22"/>
  <c r="Z143" i="22"/>
  <c r="AA143" i="22" s="1"/>
  <c r="AA111" i="22"/>
  <c r="BQ145" i="22"/>
  <c r="L130" i="22"/>
  <c r="N130" i="22"/>
  <c r="CP125" i="22"/>
  <c r="CQ125" i="22"/>
  <c r="AI114" i="22"/>
  <c r="AK114" i="22"/>
  <c r="J114" i="22"/>
  <c r="Z114" i="22"/>
  <c r="AA114" i="22" s="1"/>
  <c r="BE114" i="22"/>
  <c r="BQ150" i="22"/>
  <c r="AI121" i="22"/>
  <c r="Z121" i="22"/>
  <c r="AA121" i="22" s="1"/>
  <c r="J121" i="22"/>
  <c r="BE121" i="22"/>
  <c r="AK121" i="22"/>
  <c r="P104" i="18"/>
  <c r="L104" i="18"/>
  <c r="D114" i="22" s="1"/>
  <c r="I104" i="18"/>
  <c r="BH114" i="22" s="1"/>
  <c r="J104" i="18"/>
  <c r="P106" i="18"/>
  <c r="L106" i="18"/>
  <c r="D116" i="22" s="1"/>
  <c r="J106" i="18"/>
  <c r="I106" i="18"/>
  <c r="BH116" i="22" s="1"/>
  <c r="AS168" i="22" l="1"/>
  <c r="CG140" i="22"/>
  <c r="CH140" i="22" s="1"/>
  <c r="CG181" i="22"/>
  <c r="CH181" i="22" s="1"/>
  <c r="CG172" i="22"/>
  <c r="CH172" i="22" s="1"/>
  <c r="AS117" i="22"/>
  <c r="AP117" i="22"/>
  <c r="CG147" i="22"/>
  <c r="CH147" i="22" s="1"/>
  <c r="AX168" i="22"/>
  <c r="AY168" i="22" s="1"/>
  <c r="AZ168" i="22" s="1"/>
  <c r="CG144" i="22"/>
  <c r="CH144" i="22" s="1"/>
  <c r="AY167" i="22"/>
  <c r="AZ167" i="22" s="1"/>
  <c r="BF144" i="22"/>
  <c r="BG144" i="22"/>
  <c r="CC133" i="22"/>
  <c r="CD133" i="22"/>
  <c r="AP168" i="22"/>
  <c r="BG140" i="22"/>
  <c r="BF140" i="22"/>
  <c r="AP176" i="22"/>
  <c r="AX176" i="22"/>
  <c r="AY176" i="22" s="1"/>
  <c r="AZ176" i="22" s="1"/>
  <c r="AS176" i="22"/>
  <c r="CF133" i="22"/>
  <c r="CE133" i="22"/>
  <c r="CM133" i="22"/>
  <c r="CO133" i="22"/>
  <c r="BV133" i="22"/>
  <c r="CJ133" i="22"/>
  <c r="BG181" i="22"/>
  <c r="BF181" i="22"/>
  <c r="AJ172" i="22"/>
  <c r="X172" i="22" s="1"/>
  <c r="AA144" i="22"/>
  <c r="AG144" i="22"/>
  <c r="AH144" i="22"/>
  <c r="AF144" i="22"/>
  <c r="AJ176" i="22"/>
  <c r="X176" i="22" s="1"/>
  <c r="AG133" i="22"/>
  <c r="AH133" i="22"/>
  <c r="AF133" i="22"/>
  <c r="AA133" i="22"/>
  <c r="AA181" i="22"/>
  <c r="AF181" i="22"/>
  <c r="AG181" i="22"/>
  <c r="AH181" i="22"/>
  <c r="AH140" i="22"/>
  <c r="AF140" i="22"/>
  <c r="AG140" i="22"/>
  <c r="AX172" i="22"/>
  <c r="AY172" i="22" s="1"/>
  <c r="AZ172" i="22" s="1"/>
  <c r="AS172" i="22"/>
  <c r="AP172" i="22"/>
  <c r="AA119" i="22"/>
  <c r="AF119" i="22"/>
  <c r="AG119" i="22"/>
  <c r="AH119" i="22"/>
  <c r="CQ172" i="22"/>
  <c r="CP172" i="22"/>
  <c r="BF147" i="22"/>
  <c r="BG147" i="22"/>
  <c r="AJ168" i="22"/>
  <c r="X168" i="22" s="1"/>
  <c r="BG172" i="22"/>
  <c r="BF172" i="22"/>
  <c r="CG119" i="22"/>
  <c r="CH119" i="22" s="1"/>
  <c r="BG119" i="22"/>
  <c r="BF119" i="22"/>
  <c r="AG147" i="22"/>
  <c r="AH147" i="22"/>
  <c r="AF147" i="22"/>
  <c r="W182" i="22"/>
  <c r="AB182" i="22"/>
  <c r="W177" i="22"/>
  <c r="AB177" i="22"/>
  <c r="W180" i="22"/>
  <c r="AB180" i="22"/>
  <c r="W179" i="22"/>
  <c r="AB179" i="22"/>
  <c r="W175" i="22"/>
  <c r="AB175" i="22"/>
  <c r="CA171" i="22"/>
  <c r="BZ171" i="22"/>
  <c r="W171" i="22"/>
  <c r="AB171" i="22"/>
  <c r="W163" i="22"/>
  <c r="AB163" i="22"/>
  <c r="AG145" i="22"/>
  <c r="BG113" i="22"/>
  <c r="BG165" i="22"/>
  <c r="AH165" i="22"/>
  <c r="AG165" i="22"/>
  <c r="AF165" i="22"/>
  <c r="AH178" i="22"/>
  <c r="BF138" i="22"/>
  <c r="AA178" i="22"/>
  <c r="O93" i="22"/>
  <c r="W93" i="22" s="1"/>
  <c r="AJ93" i="22" s="1"/>
  <c r="X93" i="22" s="1"/>
  <c r="AG166" i="22"/>
  <c r="AG92" i="22"/>
  <c r="AG110" i="22"/>
  <c r="AA166" i="22"/>
  <c r="BF173" i="22"/>
  <c r="AH166" i="22"/>
  <c r="AH110" i="22"/>
  <c r="AF178" i="22"/>
  <c r="AD95" i="22"/>
  <c r="AF166" i="22"/>
  <c r="AF92" i="22"/>
  <c r="BF166" i="22"/>
  <c r="BG110" i="22"/>
  <c r="AA151" i="22"/>
  <c r="BF175" i="22"/>
  <c r="AH151" i="22"/>
  <c r="AH92" i="22"/>
  <c r="AF151" i="22"/>
  <c r="AF110" i="22"/>
  <c r="AG173" i="22"/>
  <c r="AA173" i="22"/>
  <c r="BG178" i="22"/>
  <c r="BG92" i="22"/>
  <c r="AG175" i="22"/>
  <c r="AH175" i="22"/>
  <c r="AF175" i="22"/>
  <c r="BG155" i="22"/>
  <c r="CQ179" i="22"/>
  <c r="BG93" i="22"/>
  <c r="AF173" i="22"/>
  <c r="BG134" i="22"/>
  <c r="BG112" i="22"/>
  <c r="AH95" i="22"/>
  <c r="AF95" i="22"/>
  <c r="AE95" i="22"/>
  <c r="AG95" i="22"/>
  <c r="CH179" i="22"/>
  <c r="CV114" i="22"/>
  <c r="CN114" i="22"/>
  <c r="CU114" i="22"/>
  <c r="BV114" i="22"/>
  <c r="CS114" i="22"/>
  <c r="CX114" i="22"/>
  <c r="CY114" i="22" s="1"/>
  <c r="CW114" i="22"/>
  <c r="CI114" i="22"/>
  <c r="CT114" i="22" s="1"/>
  <c r="BW114" i="22"/>
  <c r="BX114" i="22"/>
  <c r="CR114" i="22"/>
  <c r="CZ114" i="22"/>
  <c r="BV116" i="22"/>
  <c r="CV116" i="22"/>
  <c r="CU116" i="22"/>
  <c r="CS116" i="22"/>
  <c r="CX116" i="22"/>
  <c r="CY116" i="22" s="1"/>
  <c r="CN116" i="22"/>
  <c r="CI116" i="22"/>
  <c r="CT116" i="22" s="1"/>
  <c r="BW116" i="22"/>
  <c r="CW116" i="22"/>
  <c r="BX116" i="22"/>
  <c r="CR116" i="22"/>
  <c r="CZ116" i="22"/>
  <c r="CH156" i="22"/>
  <c r="CH161" i="22"/>
  <c r="CH173" i="22"/>
  <c r="CH155" i="22"/>
  <c r="BF162" i="22"/>
  <c r="AJ94" i="22"/>
  <c r="X94" i="22" s="1"/>
  <c r="AA95" i="22"/>
  <c r="AE132" i="22"/>
  <c r="CA132" i="22"/>
  <c r="BV132" i="22" s="1"/>
  <c r="BZ132" i="22"/>
  <c r="CD132" i="22" s="1"/>
  <c r="Z132" i="22"/>
  <c r="AA132" i="22" s="1"/>
  <c r="CA131" i="22"/>
  <c r="BV131" i="22" s="1"/>
  <c r="AE131" i="22"/>
  <c r="BZ131" i="22"/>
  <c r="CD131" i="22" s="1"/>
  <c r="W89" i="22"/>
  <c r="AB89" i="22"/>
  <c r="AA171" i="22"/>
  <c r="AE171" i="22"/>
  <c r="AC171" i="22"/>
  <c r="AD171" i="22"/>
  <c r="CG152" i="22"/>
  <c r="CH152" i="22" s="1"/>
  <c r="AP90" i="22"/>
  <c r="AX93" i="22"/>
  <c r="AY93" i="22" s="1"/>
  <c r="AZ93" i="22" s="1"/>
  <c r="AP93" i="22"/>
  <c r="AS93" i="22"/>
  <c r="AP94" i="22"/>
  <c r="AX94" i="22"/>
  <c r="AY94" i="22" s="1"/>
  <c r="AZ94" i="22" s="1"/>
  <c r="AS94" i="22"/>
  <c r="AX90" i="22"/>
  <c r="AY90" i="22" s="1"/>
  <c r="AZ90" i="22" s="1"/>
  <c r="CG91" i="22"/>
  <c r="CH91" i="22" s="1"/>
  <c r="AJ90" i="22"/>
  <c r="X90" i="22" s="1"/>
  <c r="AJ91" i="22"/>
  <c r="X91" i="22" s="1"/>
  <c r="CQ95" i="22"/>
  <c r="CP95" i="22"/>
  <c r="CP90" i="22"/>
  <c r="CQ90" i="22"/>
  <c r="CG93" i="22"/>
  <c r="CH93" i="22" s="1"/>
  <c r="CG90" i="22"/>
  <c r="CH90" i="22" s="1"/>
  <c r="CG92" i="22"/>
  <c r="CH92" i="22" s="1"/>
  <c r="AS90" i="22"/>
  <c r="AD89" i="22"/>
  <c r="BZ89" i="22"/>
  <c r="AE89" i="22"/>
  <c r="CA89" i="22"/>
  <c r="BV89" i="22" s="1"/>
  <c r="AC89" i="22"/>
  <c r="Z89" i="22"/>
  <c r="CG94" i="22"/>
  <c r="CH94" i="22" s="1"/>
  <c r="CG95" i="22"/>
  <c r="CH95" i="22" s="1"/>
  <c r="BF89" i="22"/>
  <c r="BG89" i="22"/>
  <c r="CP91" i="22"/>
  <c r="CQ91" i="22"/>
  <c r="CP94" i="22"/>
  <c r="CQ94" i="22"/>
  <c r="AP91" i="22"/>
  <c r="AX91" i="22"/>
  <c r="AY91" i="22" s="1"/>
  <c r="AZ91" i="22" s="1"/>
  <c r="AS91" i="22"/>
  <c r="CP93" i="22"/>
  <c r="CQ93" i="22"/>
  <c r="CP92" i="22"/>
  <c r="CQ92" i="22"/>
  <c r="AF152" i="22"/>
  <c r="AH152" i="22"/>
  <c r="AG179" i="22"/>
  <c r="AH179" i="22"/>
  <c r="AH160" i="22"/>
  <c r="AF160" i="22"/>
  <c r="AA160" i="22"/>
  <c r="AF179" i="22"/>
  <c r="BF136" i="22"/>
  <c r="BF160" i="22"/>
  <c r="CG162" i="22"/>
  <c r="CH162" i="22" s="1"/>
  <c r="AG155" i="22"/>
  <c r="AF155" i="22"/>
  <c r="AH155" i="22"/>
  <c r="BF158" i="22"/>
  <c r="AF156" i="22"/>
  <c r="AH156" i="22"/>
  <c r="AA156" i="22"/>
  <c r="AF158" i="22"/>
  <c r="AH162" i="22"/>
  <c r="BF152" i="22"/>
  <c r="AF162" i="22"/>
  <c r="AA162" i="22"/>
  <c r="CG157" i="22"/>
  <c r="CH157" i="22" s="1"/>
  <c r="BF156" i="22"/>
  <c r="BG111" i="22"/>
  <c r="AG163" i="22"/>
  <c r="AH163" i="22"/>
  <c r="AF163" i="22"/>
  <c r="BG163" i="22"/>
  <c r="BF163" i="22"/>
  <c r="BF118" i="22"/>
  <c r="BF161" i="22"/>
  <c r="CG163" i="22"/>
  <c r="CH163" i="22" s="1"/>
  <c r="AA163" i="22"/>
  <c r="AH158" i="22"/>
  <c r="CH158" i="22"/>
  <c r="AR132" i="22"/>
  <c r="AT132" i="22"/>
  <c r="AU132" i="22" s="1"/>
  <c r="AV132" i="22"/>
  <c r="AS161" i="22"/>
  <c r="AP157" i="22"/>
  <c r="AG152" i="22"/>
  <c r="BF131" i="22"/>
  <c r="AG158" i="22"/>
  <c r="CG180" i="22"/>
  <c r="CH180" i="22" s="1"/>
  <c r="CG177" i="22"/>
  <c r="CH177" i="22" s="1"/>
  <c r="AA180" i="22"/>
  <c r="AG180" i="22"/>
  <c r="AF180" i="22"/>
  <c r="AH180" i="22"/>
  <c r="CG169" i="22"/>
  <c r="CH169" i="22" s="1"/>
  <c r="AG171" i="22"/>
  <c r="AH171" i="22"/>
  <c r="AF171" i="22"/>
  <c r="BF182" i="22"/>
  <c r="BG182" i="22"/>
  <c r="AS157" i="22"/>
  <c r="CG174" i="22"/>
  <c r="CH174" i="22" s="1"/>
  <c r="CG170" i="22"/>
  <c r="CH170" i="22" s="1"/>
  <c r="BG170" i="22"/>
  <c r="BF170" i="22"/>
  <c r="BG180" i="22"/>
  <c r="BF180" i="22"/>
  <c r="CG182" i="22"/>
  <c r="CH182" i="22" s="1"/>
  <c r="BF171" i="22"/>
  <c r="BG171" i="22"/>
  <c r="AF169" i="22"/>
  <c r="AG169" i="22"/>
  <c r="AH169" i="22"/>
  <c r="BG177" i="22"/>
  <c r="BF177" i="22"/>
  <c r="AG174" i="22"/>
  <c r="AH174" i="22"/>
  <c r="AF174" i="22"/>
  <c r="BF164" i="22"/>
  <c r="BG164" i="22"/>
  <c r="BG174" i="22"/>
  <c r="BF174" i="22"/>
  <c r="CG164" i="22"/>
  <c r="CH164" i="22" s="1"/>
  <c r="AG182" i="22"/>
  <c r="AH182" i="22"/>
  <c r="AF182" i="22"/>
  <c r="BG169" i="22"/>
  <c r="BF169" i="22"/>
  <c r="AG164" i="22"/>
  <c r="AH164" i="22"/>
  <c r="AF164" i="22"/>
  <c r="AA170" i="22"/>
  <c r="AG170" i="22"/>
  <c r="AF170" i="22"/>
  <c r="AH170" i="22"/>
  <c r="AH177" i="22"/>
  <c r="AG177" i="22"/>
  <c r="AF177" i="22"/>
  <c r="AP161" i="22"/>
  <c r="AR131" i="22"/>
  <c r="AR130" i="22"/>
  <c r="AH150" i="22"/>
  <c r="AF125" i="22"/>
  <c r="AA125" i="22"/>
  <c r="BF159" i="22"/>
  <c r="BG159" i="22"/>
  <c r="CG159" i="22"/>
  <c r="CH159" i="22" s="1"/>
  <c r="AH154" i="22"/>
  <c r="AG154" i="22"/>
  <c r="AF154" i="22"/>
  <c r="CD130" i="22"/>
  <c r="BG154" i="22"/>
  <c r="BF154" i="22"/>
  <c r="CQ130" i="22"/>
  <c r="CG154" i="22"/>
  <c r="CH154" i="22" s="1"/>
  <c r="AG159" i="22"/>
  <c r="AH159" i="22"/>
  <c r="AF159" i="22"/>
  <c r="AA150" i="22"/>
  <c r="CG125" i="22"/>
  <c r="CH125" i="22" s="1"/>
  <c r="V131" i="22"/>
  <c r="AF150" i="22"/>
  <c r="AF145" i="22"/>
  <c r="M130" i="22"/>
  <c r="AG130" i="22"/>
  <c r="BL116" i="22"/>
  <c r="BM116" i="22"/>
  <c r="BK116" i="22"/>
  <c r="BN116" i="22"/>
  <c r="BO116" i="22"/>
  <c r="BJ116" i="22"/>
  <c r="BI116" i="22"/>
  <c r="BG145" i="22"/>
  <c r="BF145" i="22"/>
  <c r="CG145" i="22"/>
  <c r="CH145" i="22" s="1"/>
  <c r="AA120" i="22"/>
  <c r="BG129" i="22"/>
  <c r="BF129" i="22"/>
  <c r="AM132" i="22"/>
  <c r="AN132" i="22"/>
  <c r="AL132" i="22"/>
  <c r="BQ132" i="22"/>
  <c r="BS132" i="22"/>
  <c r="BR132" i="22"/>
  <c r="M132" i="22"/>
  <c r="AD132" i="22" s="1"/>
  <c r="BG114" i="22"/>
  <c r="BF114" i="22"/>
  <c r="AN131" i="22"/>
  <c r="AM131" i="22"/>
  <c r="AL131" i="22"/>
  <c r="BS131" i="22"/>
  <c r="AG131" i="22"/>
  <c r="BR131" i="22"/>
  <c r="BQ131" i="22"/>
  <c r="M131" i="22"/>
  <c r="BG116" i="22"/>
  <c r="BF116" i="22"/>
  <c r="BG149" i="22"/>
  <c r="BF149" i="22"/>
  <c r="L116" i="22"/>
  <c r="AR116" i="22" s="1"/>
  <c r="N116" i="22"/>
  <c r="BG130" i="22"/>
  <c r="BF130" i="22"/>
  <c r="BG122" i="22"/>
  <c r="BF122" i="22"/>
  <c r="BF127" i="22"/>
  <c r="BG127" i="22"/>
  <c r="AG125" i="22"/>
  <c r="AH125" i="22"/>
  <c r="BG126" i="22"/>
  <c r="BF126" i="22"/>
  <c r="AH131" i="22"/>
  <c r="AN130" i="22"/>
  <c r="V130" i="22"/>
  <c r="AM130" i="22"/>
  <c r="BR130" i="22"/>
  <c r="BQ130" i="22"/>
  <c r="AL130" i="22"/>
  <c r="BS130" i="22"/>
  <c r="AH130" i="22"/>
  <c r="BG146" i="22"/>
  <c r="BF146" i="22"/>
  <c r="BG135" i="22"/>
  <c r="BF135" i="22"/>
  <c r="CE130" i="22"/>
  <c r="CJ130" i="22"/>
  <c r="BG115" i="22"/>
  <c r="BF115" i="22"/>
  <c r="BG141" i="22"/>
  <c r="BF141" i="22"/>
  <c r="AH145" i="22"/>
  <c r="BI114" i="22"/>
  <c r="BO114" i="22"/>
  <c r="BN114" i="22"/>
  <c r="BM114" i="22"/>
  <c r="BL114" i="22"/>
  <c r="BJ114" i="22"/>
  <c r="BK114" i="22"/>
  <c r="BG121" i="22"/>
  <c r="BF121" i="22"/>
  <c r="BG143" i="22"/>
  <c r="BF143" i="22"/>
  <c r="BG123" i="22"/>
  <c r="BF123" i="22"/>
  <c r="N114" i="22"/>
  <c r="AR114" i="22"/>
  <c r="L114" i="22"/>
  <c r="CG150" i="22"/>
  <c r="CH150" i="22" s="1"/>
  <c r="AA145" i="22"/>
  <c r="BF120" i="22"/>
  <c r="BG120" i="22"/>
  <c r="AA130" i="22"/>
  <c r="BG128" i="22"/>
  <c r="BF128" i="22"/>
  <c r="BG150" i="22"/>
  <c r="BF150" i="22"/>
  <c r="BF125" i="22"/>
  <c r="BG125" i="22"/>
  <c r="V132" i="22"/>
  <c r="A5472" i="19"/>
  <c r="B5472" i="19" s="1"/>
  <c r="A5474" i="19"/>
  <c r="C5474" i="19" s="1"/>
  <c r="A5479" i="19"/>
  <c r="C5479" i="19" s="1"/>
  <c r="A5484" i="19"/>
  <c r="C5484" i="19" s="1"/>
  <c r="A5490" i="19"/>
  <c r="C5490" i="19" s="1"/>
  <c r="A5496" i="19"/>
  <c r="C5496" i="19" s="1"/>
  <c r="A5501" i="19"/>
  <c r="C5501" i="19" s="1"/>
  <c r="A5502" i="19"/>
  <c r="C5502" i="19" s="1"/>
  <c r="A5507" i="19"/>
  <c r="B5507" i="19" s="1"/>
  <c r="A5515" i="19"/>
  <c r="C5515" i="19" s="1"/>
  <c r="A5520" i="19"/>
  <c r="B5520" i="19" s="1"/>
  <c r="A5525" i="19"/>
  <c r="B5525" i="19" s="1"/>
  <c r="A5526" i="19"/>
  <c r="C5526" i="19" s="1"/>
  <c r="A5531" i="19"/>
  <c r="C5531" i="19" s="1"/>
  <c r="A5532" i="19"/>
  <c r="C5532" i="19" s="1"/>
  <c r="A5537" i="19"/>
  <c r="C5537" i="19" s="1"/>
  <c r="A5542" i="19"/>
  <c r="C5542" i="19" s="1"/>
  <c r="A5547" i="19"/>
  <c r="C5547" i="19" s="1"/>
  <c r="A5552" i="19"/>
  <c r="C5552" i="19" s="1"/>
  <c r="A5557" i="19"/>
  <c r="C5557" i="19" s="1"/>
  <c r="A5562" i="19"/>
  <c r="C5562" i="19" s="1"/>
  <c r="A5568" i="19"/>
  <c r="C5568" i="19" s="1"/>
  <c r="A5574" i="19"/>
  <c r="C5574" i="19" s="1"/>
  <c r="A5579" i="19"/>
  <c r="C5579" i="19" s="1"/>
  <c r="A5584" i="19"/>
  <c r="C5584" i="19" s="1"/>
  <c r="A5585" i="19"/>
  <c r="C5585" i="19" s="1"/>
  <c r="A5590" i="19"/>
  <c r="C5590" i="19" s="1"/>
  <c r="A5595" i="19"/>
  <c r="C5595" i="19" s="1"/>
  <c r="A5600" i="19"/>
  <c r="B5600" i="19" s="1"/>
  <c r="A5605" i="19"/>
  <c r="B5605" i="19" s="1"/>
  <c r="A5606" i="19"/>
  <c r="B5606" i="19" s="1"/>
  <c r="A5611" i="19"/>
  <c r="B5611" i="19" s="1"/>
  <c r="A5620" i="19"/>
  <c r="C5620" i="19" s="1"/>
  <c r="A5626" i="19"/>
  <c r="C5626" i="19" s="1"/>
  <c r="A5635" i="19"/>
  <c r="C5635" i="19" s="1"/>
  <c r="A5640" i="19"/>
  <c r="C5640" i="19" s="1"/>
  <c r="A5644" i="19"/>
  <c r="C5644" i="19" s="1"/>
  <c r="A5648" i="19"/>
  <c r="C5648" i="19" s="1"/>
  <c r="A5652" i="19"/>
  <c r="C5652" i="19" s="1"/>
  <c r="A5656" i="19"/>
  <c r="C5656" i="19" s="1"/>
  <c r="A5661" i="19"/>
  <c r="C5661" i="19" s="1"/>
  <c r="A5666" i="19"/>
  <c r="B5666" i="19" s="1"/>
  <c r="A5667" i="19"/>
  <c r="C5667" i="19" s="1"/>
  <c r="A5673" i="19"/>
  <c r="C5673" i="19" s="1"/>
  <c r="A5680" i="19"/>
  <c r="C5680" i="19" s="1"/>
  <c r="A5688" i="19"/>
  <c r="C5688" i="19" s="1"/>
  <c r="A5696" i="19"/>
  <c r="C5696" i="19" s="1"/>
  <c r="A5701" i="19"/>
  <c r="C5701" i="19" s="1"/>
  <c r="A5706" i="19"/>
  <c r="C5706" i="19" s="1"/>
  <c r="A5707" i="19"/>
  <c r="C5707" i="19" s="1"/>
  <c r="A5712" i="19"/>
  <c r="C5712" i="19" s="1"/>
  <c r="A5718" i="19"/>
  <c r="B5718" i="19" s="1"/>
  <c r="A5724" i="19"/>
  <c r="C5724" i="19" s="1"/>
  <c r="A5730" i="19"/>
  <c r="C5730" i="19" s="1"/>
  <c r="A5736" i="19"/>
  <c r="C5736" i="19" s="1"/>
  <c r="A5742" i="19"/>
  <c r="C5742" i="19" s="1"/>
  <c r="A5748" i="19"/>
  <c r="C5748" i="19" s="1"/>
  <c r="A5754" i="19"/>
  <c r="C5754" i="19" s="1"/>
  <c r="A5760" i="19"/>
  <c r="C5760" i="19" s="1"/>
  <c r="A5473" i="19"/>
  <c r="B5473" i="19" s="1"/>
  <c r="I5765" i="19"/>
  <c r="N5763" i="19"/>
  <c r="N5765" i="19" s="1"/>
  <c r="I5759" i="19"/>
  <c r="D5754" i="19" s="1"/>
  <c r="M5753" i="19"/>
  <c r="D5748" i="19" s="1"/>
  <c r="M5747" i="19"/>
  <c r="D5742" i="19" s="1"/>
  <c r="M5741" i="19"/>
  <c r="D5736" i="19" s="1"/>
  <c r="M5735" i="19"/>
  <c r="D5730" i="19" s="1"/>
  <c r="M5729" i="19"/>
  <c r="D5724" i="19" s="1"/>
  <c r="F5720" i="19"/>
  <c r="E5720" i="19"/>
  <c r="B5720" i="19"/>
  <c r="B5727" i="19" s="1"/>
  <c r="B5733" i="19" s="1"/>
  <c r="B5739" i="19" s="1"/>
  <c r="B5745" i="19" s="1"/>
  <c r="B5751" i="19" s="1"/>
  <c r="I5714" i="19"/>
  <c r="I5717" i="19" s="1"/>
  <c r="D5712" i="19" s="1"/>
  <c r="N5709" i="19"/>
  <c r="N5711" i="19" s="1"/>
  <c r="D5707" i="19" s="1"/>
  <c r="M5703" i="19"/>
  <c r="K5703" i="19" s="1"/>
  <c r="K5705" i="19" s="1"/>
  <c r="D5701" i="19" s="1"/>
  <c r="I5694" i="19"/>
  <c r="H5693" i="19"/>
  <c r="B5693" i="19"/>
  <c r="H5692" i="19"/>
  <c r="G5692" i="19"/>
  <c r="B5692" i="19"/>
  <c r="B5691" i="19"/>
  <c r="F5690" i="19"/>
  <c r="E5690" i="19"/>
  <c r="F5683" i="19"/>
  <c r="F5684" i="19" s="1"/>
  <c r="E5683" i="19"/>
  <c r="E5684" i="19" s="1"/>
  <c r="M5676" i="19"/>
  <c r="M5677" i="19" s="1"/>
  <c r="B5675" i="19"/>
  <c r="B5682" i="19" s="1"/>
  <c r="O5669" i="19"/>
  <c r="O5672" i="19" s="1"/>
  <c r="D5667" i="19" s="1"/>
  <c r="L5665" i="19"/>
  <c r="D5661" i="19" s="1"/>
  <c r="N5660" i="19"/>
  <c r="D5656" i="19" s="1"/>
  <c r="E5649" i="19"/>
  <c r="E5645" i="19" s="1"/>
  <c r="K5645" i="19" s="1"/>
  <c r="K5639" i="19"/>
  <c r="D5635" i="19" s="1"/>
  <c r="H5632" i="19"/>
  <c r="G5632" i="19"/>
  <c r="E5632" i="19"/>
  <c r="B5632" i="19"/>
  <c r="H5631" i="19"/>
  <c r="G5631" i="19"/>
  <c r="E5631" i="19"/>
  <c r="B5631" i="19"/>
  <c r="H5630" i="19"/>
  <c r="G5630" i="19"/>
  <c r="E5630" i="19"/>
  <c r="B5630" i="19"/>
  <c r="H5629" i="19"/>
  <c r="G5629" i="19"/>
  <c r="E5629" i="19"/>
  <c r="B5629" i="19"/>
  <c r="H5628" i="19"/>
  <c r="B5628" i="19"/>
  <c r="O5617" i="19"/>
  <c r="O5616" i="19"/>
  <c r="O5615" i="19"/>
  <c r="O5614" i="19"/>
  <c r="F5613" i="19"/>
  <c r="F5628" i="19" s="1"/>
  <c r="E5613" i="19"/>
  <c r="E5628" i="19" s="1"/>
  <c r="O5608" i="19"/>
  <c r="O5610" i="19" s="1"/>
  <c r="K5604" i="19"/>
  <c r="D5600" i="19" s="1"/>
  <c r="N5599" i="19"/>
  <c r="D5595" i="19" s="1"/>
  <c r="B5597" i="19"/>
  <c r="B5602" i="19" s="1"/>
  <c r="O5592" i="19"/>
  <c r="O5594" i="19" s="1"/>
  <c r="D5590" i="19" s="1"/>
  <c r="O5589" i="19"/>
  <c r="D5585" i="19" s="1"/>
  <c r="N5583" i="19"/>
  <c r="D5579" i="19" s="1"/>
  <c r="N5578" i="19"/>
  <c r="D5574" i="19" s="1"/>
  <c r="N5573" i="19"/>
  <c r="D5568" i="19" s="1"/>
  <c r="N5567" i="19"/>
  <c r="D5562" i="19" s="1"/>
  <c r="O5561" i="19"/>
  <c r="D5557" i="19" s="1"/>
  <c r="O5556" i="19"/>
  <c r="D5552" i="19" s="1"/>
  <c r="O5551" i="19"/>
  <c r="D5547" i="19" s="1"/>
  <c r="N5546" i="19"/>
  <c r="D5542" i="19" s="1"/>
  <c r="O5541" i="19"/>
  <c r="D5537" i="19" s="1"/>
  <c r="O5536" i="19"/>
  <c r="D5532" i="19" s="1"/>
  <c r="O5530" i="19"/>
  <c r="D5526" i="19" s="1"/>
  <c r="B5517" i="19"/>
  <c r="B5522" i="19" s="1"/>
  <c r="E5516" i="19"/>
  <c r="O5506" i="19"/>
  <c r="O5508" i="19" s="1"/>
  <c r="E5491" i="19"/>
  <c r="B5491" i="19"/>
  <c r="G5489" i="19"/>
  <c r="H5481" i="19"/>
  <c r="B5481" i="19"/>
  <c r="B5487" i="19" s="1"/>
  <c r="B5493" i="19" s="1"/>
  <c r="B5498" i="19" s="1"/>
  <c r="B5480" i="19"/>
  <c r="N5476" i="19"/>
  <c r="N5478" i="19" s="1"/>
  <c r="D5474" i="19" s="1"/>
  <c r="AJ133" i="22" l="1"/>
  <c r="X133" i="22" s="1"/>
  <c r="B5531" i="19"/>
  <c r="B5648" i="19"/>
  <c r="AX181" i="22"/>
  <c r="AY181" i="22" s="1"/>
  <c r="AZ181" i="22" s="1"/>
  <c r="AP181" i="22"/>
  <c r="AS181" i="22"/>
  <c r="AP119" i="22"/>
  <c r="AS119" i="22"/>
  <c r="AP147" i="22"/>
  <c r="AS147" i="22"/>
  <c r="AJ181" i="22"/>
  <c r="X181" i="22" s="1"/>
  <c r="AP144" i="22"/>
  <c r="AS144" i="22"/>
  <c r="AX133" i="22"/>
  <c r="AY133" i="22" s="1"/>
  <c r="AZ133" i="22" s="1"/>
  <c r="AS133" i="22"/>
  <c r="AP133" i="22"/>
  <c r="CG133" i="22"/>
  <c r="CH133" i="22" s="1"/>
  <c r="CQ133" i="22"/>
  <c r="CP133" i="22"/>
  <c r="AP140" i="22"/>
  <c r="AS140" i="22"/>
  <c r="B5502" i="19"/>
  <c r="C5507" i="19"/>
  <c r="C5611" i="19"/>
  <c r="C5718" i="19"/>
  <c r="CD171" i="22"/>
  <c r="CC171" i="22"/>
  <c r="CM171" i="22"/>
  <c r="CE171" i="22"/>
  <c r="BV171" i="22"/>
  <c r="CF171" i="22"/>
  <c r="CO171" i="22"/>
  <c r="CJ171" i="22"/>
  <c r="AP110" i="22"/>
  <c r="CE132" i="22"/>
  <c r="AP165" i="22"/>
  <c r="AS165" i="22"/>
  <c r="AP178" i="22"/>
  <c r="CC132" i="22"/>
  <c r="AS151" i="22"/>
  <c r="AP166" i="22"/>
  <c r="AX92" i="22"/>
  <c r="AY92" i="22" s="1"/>
  <c r="AZ92" i="22" s="1"/>
  <c r="AS166" i="22"/>
  <c r="AJ92" i="22"/>
  <c r="X92" i="22" s="1"/>
  <c r="AH132" i="22"/>
  <c r="AP95" i="22"/>
  <c r="AX175" i="22"/>
  <c r="AY175" i="22" s="1"/>
  <c r="AZ175" i="22" s="1"/>
  <c r="AP173" i="22"/>
  <c r="AP151" i="22"/>
  <c r="AP92" i="22"/>
  <c r="AS92" i="22"/>
  <c r="AJ175" i="22"/>
  <c r="X175" i="22" s="1"/>
  <c r="AS173" i="22"/>
  <c r="AS175" i="22"/>
  <c r="AX178" i="22"/>
  <c r="AY178" i="22" s="1"/>
  <c r="AZ178" i="22" s="1"/>
  <c r="AJ178" i="22"/>
  <c r="X178" i="22" s="1"/>
  <c r="AX95" i="22"/>
  <c r="AY95" i="22" s="1"/>
  <c r="AZ95" i="22" s="1"/>
  <c r="AX173" i="22"/>
  <c r="AY173" i="22" s="1"/>
  <c r="AZ173" i="22" s="1"/>
  <c r="AP175" i="22"/>
  <c r="AS178" i="22"/>
  <c r="AJ173" i="22"/>
  <c r="X173" i="22" s="1"/>
  <c r="CJ132" i="22"/>
  <c r="AS110" i="22"/>
  <c r="CC131" i="22"/>
  <c r="AS95" i="22"/>
  <c r="AJ95" i="22"/>
  <c r="X95" i="22" s="1"/>
  <c r="C5606" i="19"/>
  <c r="B5501" i="19"/>
  <c r="D5760" i="19"/>
  <c r="CE131" i="22"/>
  <c r="CJ131" i="22"/>
  <c r="E5651" i="19"/>
  <c r="D5648" i="19" s="1"/>
  <c r="B5688" i="19"/>
  <c r="B5568" i="19"/>
  <c r="B5754" i="19"/>
  <c r="BD132" i="22"/>
  <c r="CF132" i="22"/>
  <c r="CM132" i="22"/>
  <c r="CO132" i="22"/>
  <c r="AC131" i="22"/>
  <c r="AC132" i="22"/>
  <c r="CM131" i="22"/>
  <c r="CF131" i="22"/>
  <c r="CO131" i="22"/>
  <c r="AD131" i="22"/>
  <c r="AP152" i="22"/>
  <c r="AJ179" i="22"/>
  <c r="X179" i="22" s="1"/>
  <c r="AP160" i="22"/>
  <c r="AH89" i="22"/>
  <c r="AA89" i="22"/>
  <c r="AF89" i="22"/>
  <c r="AG89" i="22"/>
  <c r="CC89" i="22"/>
  <c r="CD89" i="22"/>
  <c r="CE89" i="22"/>
  <c r="CF89" i="22"/>
  <c r="CM89" i="22"/>
  <c r="CO89" i="22"/>
  <c r="CJ89" i="22"/>
  <c r="AS179" i="22"/>
  <c r="AS160" i="22"/>
  <c r="AX179" i="22"/>
  <c r="AY179" i="22" s="1"/>
  <c r="AZ179" i="22" s="1"/>
  <c r="AP179" i="22"/>
  <c r="AS155" i="22"/>
  <c r="AP155" i="22"/>
  <c r="AS162" i="22"/>
  <c r="AP162" i="22"/>
  <c r="AP156" i="22"/>
  <c r="AS156" i="22"/>
  <c r="AS152" i="22"/>
  <c r="AJ163" i="22"/>
  <c r="X163" i="22" s="1"/>
  <c r="AP163" i="22"/>
  <c r="AX163" i="22"/>
  <c r="AY163" i="22" s="1"/>
  <c r="AZ163" i="22" s="1"/>
  <c r="AS163" i="22"/>
  <c r="AG132" i="22"/>
  <c r="O132" i="22"/>
  <c r="AS150" i="22"/>
  <c r="AP158" i="22"/>
  <c r="AS158" i="22"/>
  <c r="AJ171" i="22"/>
  <c r="X171" i="22" s="1"/>
  <c r="AP150" i="22"/>
  <c r="AP164" i="22"/>
  <c r="AS164" i="22"/>
  <c r="AP169" i="22"/>
  <c r="AS169" i="22"/>
  <c r="AP177" i="22"/>
  <c r="AJ177" i="22"/>
  <c r="X177" i="22" s="1"/>
  <c r="AX177" i="22"/>
  <c r="AY177" i="22" s="1"/>
  <c r="AZ177" i="22" s="1"/>
  <c r="AS177" i="22"/>
  <c r="AS174" i="22"/>
  <c r="AX174" i="22"/>
  <c r="AY174" i="22" s="1"/>
  <c r="AZ174" i="22" s="1"/>
  <c r="AP174" i="22"/>
  <c r="AJ180" i="22"/>
  <c r="X180" i="22" s="1"/>
  <c r="AX180" i="22"/>
  <c r="AY180" i="22" s="1"/>
  <c r="AZ180" i="22" s="1"/>
  <c r="AP180" i="22"/>
  <c r="AS180" i="22"/>
  <c r="AP182" i="22"/>
  <c r="AS182" i="22"/>
  <c r="AX182" i="22"/>
  <c r="AY182" i="22" s="1"/>
  <c r="AZ182" i="22" s="1"/>
  <c r="AJ182" i="22"/>
  <c r="X182" i="22" s="1"/>
  <c r="AJ174" i="22"/>
  <c r="X174" i="22" s="1"/>
  <c r="AP170" i="22"/>
  <c r="AS170" i="22"/>
  <c r="AP171" i="22"/>
  <c r="AX171" i="22"/>
  <c r="AY171" i="22" s="1"/>
  <c r="AZ171" i="22" s="1"/>
  <c r="AS171" i="22"/>
  <c r="CG130" i="22"/>
  <c r="CH130" i="22" s="1"/>
  <c r="AF131" i="22"/>
  <c r="AS131" i="22" s="1"/>
  <c r="AP159" i="22"/>
  <c r="AS159" i="22"/>
  <c r="AF130" i="22"/>
  <c r="AP130" i="22" s="1"/>
  <c r="AP154" i="22"/>
  <c r="AS154" i="22"/>
  <c r="AP145" i="22"/>
  <c r="AP125" i="22"/>
  <c r="CQ114" i="22"/>
  <c r="CP114" i="22"/>
  <c r="BQ114" i="22"/>
  <c r="AM114" i="22"/>
  <c r="AN114" i="22"/>
  <c r="AL114" i="22"/>
  <c r="V114" i="22"/>
  <c r="AH114" i="22" s="1"/>
  <c r="BS114" i="22"/>
  <c r="BR114" i="22"/>
  <c r="M114" i="22"/>
  <c r="AW132" i="22"/>
  <c r="V116" i="22"/>
  <c r="AH116" i="22" s="1"/>
  <c r="BS116" i="22"/>
  <c r="BR116" i="22"/>
  <c r="AN116" i="22"/>
  <c r="AM116" i="22"/>
  <c r="AL116" i="22"/>
  <c r="BQ116" i="22"/>
  <c r="M116" i="22"/>
  <c r="AG116" i="22" s="1"/>
  <c r="CJ116" i="22"/>
  <c r="CE116" i="22"/>
  <c r="CD116" i="22"/>
  <c r="CC116" i="22"/>
  <c r="AS125" i="22"/>
  <c r="AS145" i="22"/>
  <c r="AF132" i="22"/>
  <c r="CQ116" i="22"/>
  <c r="CP116" i="22"/>
  <c r="CE114" i="22"/>
  <c r="CJ114" i="22"/>
  <c r="CC114" i="22"/>
  <c r="CD114" i="22"/>
  <c r="C5600" i="19"/>
  <c r="I5628" i="19"/>
  <c r="N5628" i="19" s="1"/>
  <c r="N5632" i="19"/>
  <c r="D5502" i="19"/>
  <c r="E5676" i="19"/>
  <c r="N5481" i="19"/>
  <c r="O5481" i="19" s="1"/>
  <c r="O5487" i="19" s="1"/>
  <c r="M5487" i="19" s="1"/>
  <c r="M5489" i="19" s="1"/>
  <c r="D5484" i="19" s="1"/>
  <c r="N5629" i="19"/>
  <c r="N5630" i="19"/>
  <c r="N5631" i="19"/>
  <c r="F5676" i="19"/>
  <c r="M5683" i="19"/>
  <c r="M5691" i="19" s="1"/>
  <c r="C5520" i="19"/>
  <c r="B5579" i="19"/>
  <c r="C5525" i="19"/>
  <c r="C5605" i="19"/>
  <c r="B5724" i="19"/>
  <c r="B5496" i="19"/>
  <c r="B5652" i="19"/>
  <c r="B5584" i="19"/>
  <c r="B5701" i="19"/>
  <c r="B5706" i="19"/>
  <c r="C5666" i="19"/>
  <c r="B5667" i="19"/>
  <c r="B5760" i="19"/>
  <c r="B5748" i="19"/>
  <c r="B5742" i="19"/>
  <c r="B5736" i="19"/>
  <c r="B5730" i="19"/>
  <c r="B5712" i="19"/>
  <c r="B5707" i="19"/>
  <c r="B5696" i="19"/>
  <c r="B5680" i="19"/>
  <c r="B5698" i="19" s="1"/>
  <c r="B5673" i="19"/>
  <c r="B5697" i="19" s="1"/>
  <c r="B5661" i="19"/>
  <c r="B5656" i="19"/>
  <c r="B5644" i="19"/>
  <c r="B5640" i="19"/>
  <c r="B5635" i="19"/>
  <c r="B5626" i="19"/>
  <c r="B5620" i="19"/>
  <c r="B5595" i="19"/>
  <c r="B5590" i="19"/>
  <c r="B5585" i="19"/>
  <c r="B5574" i="19"/>
  <c r="B5562" i="19"/>
  <c r="B5557" i="19"/>
  <c r="B5552" i="19"/>
  <c r="B5547" i="19"/>
  <c r="B5542" i="19"/>
  <c r="B5537" i="19"/>
  <c r="B5532" i="19"/>
  <c r="B5526" i="19"/>
  <c r="B5515" i="19"/>
  <c r="B5490" i="19"/>
  <c r="B5484" i="19"/>
  <c r="B5479" i="19"/>
  <c r="B5474" i="19"/>
  <c r="D5606" i="19"/>
  <c r="O5622" i="19"/>
  <c r="K5641" i="19"/>
  <c r="M5641" i="19" s="1"/>
  <c r="M5643" i="19" s="1"/>
  <c r="D5640" i="19" s="1"/>
  <c r="K5647" i="19"/>
  <c r="D5644" i="19" s="1"/>
  <c r="B5690" i="19"/>
  <c r="B5703" i="19"/>
  <c r="E5692" i="19"/>
  <c r="I5684" i="19"/>
  <c r="I5692" i="19" s="1"/>
  <c r="F5692" i="19"/>
  <c r="F5677" i="19"/>
  <c r="E5677" i="19"/>
  <c r="F5685" i="19"/>
  <c r="F5693" i="19" s="1"/>
  <c r="E5685" i="19"/>
  <c r="E5693" i="19" s="1"/>
  <c r="I5720" i="19"/>
  <c r="M5721" i="19" s="1"/>
  <c r="M5723" i="19" s="1"/>
  <c r="D5718" i="19" s="1"/>
  <c r="O5613" i="19"/>
  <c r="O5619" i="19" s="1"/>
  <c r="O5509" i="19"/>
  <c r="O5511" i="19" s="1"/>
  <c r="E5691" i="19"/>
  <c r="F5691" i="19"/>
  <c r="O5493" i="19" l="1"/>
  <c r="M5493" i="19" s="1"/>
  <c r="M5495" i="19" s="1"/>
  <c r="D5490" i="19" s="1"/>
  <c r="O5483" i="19"/>
  <c r="D5479" i="19" s="1"/>
  <c r="E5653" i="19"/>
  <c r="E5655" i="19" s="1"/>
  <c r="D5652" i="19" s="1"/>
  <c r="CG171" i="22"/>
  <c r="CH171" i="22" s="1"/>
  <c r="CQ171" i="22"/>
  <c r="CP171" i="22"/>
  <c r="CG132" i="22"/>
  <c r="CH132" i="22" s="1"/>
  <c r="CG131" i="22"/>
  <c r="CH131" i="22" s="1"/>
  <c r="O5676" i="19"/>
  <c r="CP132" i="22"/>
  <c r="CQ132" i="22"/>
  <c r="CQ131" i="22"/>
  <c r="CP131" i="22"/>
  <c r="AJ89" i="22"/>
  <c r="X89" i="22" s="1"/>
  <c r="CP89" i="22"/>
  <c r="CQ89" i="22"/>
  <c r="AP89" i="22"/>
  <c r="AX89" i="22"/>
  <c r="AY89" i="22" s="1"/>
  <c r="AZ89" i="22" s="1"/>
  <c r="AS89" i="22"/>
  <c r="CG89" i="22"/>
  <c r="CH89" i="22" s="1"/>
  <c r="W132" i="22"/>
  <c r="AJ132" i="22" s="1"/>
  <c r="X132" i="22" s="1"/>
  <c r="AB132" i="22"/>
  <c r="AP131" i="22"/>
  <c r="AG114" i="22"/>
  <c r="AS130" i="22"/>
  <c r="CG114" i="22"/>
  <c r="CH114" i="22" s="1"/>
  <c r="CG116" i="22"/>
  <c r="CH116" i="22" s="1"/>
  <c r="AF116" i="22"/>
  <c r="AP116" i="22" s="1"/>
  <c r="AP132" i="22"/>
  <c r="AX132" i="22"/>
  <c r="AY132" i="22" s="1"/>
  <c r="AZ132" i="22" s="1"/>
  <c r="AS132" i="22"/>
  <c r="AF114" i="22"/>
  <c r="N5634" i="19"/>
  <c r="D5626" i="19" s="1"/>
  <c r="M5684" i="19"/>
  <c r="O5684" i="19" s="1"/>
  <c r="O5677" i="19"/>
  <c r="O5679" i="19" s="1"/>
  <c r="I5693" i="19"/>
  <c r="N5691" i="19"/>
  <c r="O5683" i="19"/>
  <c r="M5512" i="19"/>
  <c r="M5514" i="19" s="1"/>
  <c r="D5507" i="19" s="1"/>
  <c r="O5517" i="19"/>
  <c r="D5611" i="19"/>
  <c r="O5623" i="19"/>
  <c r="O5625" i="19" s="1"/>
  <c r="D5620" i="19" s="1"/>
  <c r="O5498" i="19" l="1"/>
  <c r="O5500" i="19" s="1"/>
  <c r="D5496" i="19" s="1"/>
  <c r="M5685" i="19"/>
  <c r="M5693" i="19" s="1"/>
  <c r="N5693" i="19" s="1"/>
  <c r="M5692" i="19"/>
  <c r="N5692" i="19" s="1"/>
  <c r="AS116" i="22"/>
  <c r="AP114" i="22"/>
  <c r="AS114" i="22"/>
  <c r="O5697" i="19"/>
  <c r="D5673" i="19"/>
  <c r="O5522" i="19"/>
  <c r="O5524" i="19" s="1"/>
  <c r="D5520" i="19" s="1"/>
  <c r="M5517" i="19"/>
  <c r="M5519" i="19" s="1"/>
  <c r="D5515" i="19" s="1"/>
  <c r="N5695" i="19" l="1"/>
  <c r="D5688" i="19" s="1"/>
  <c r="O5685" i="19"/>
  <c r="O5687" i="19" s="1"/>
  <c r="O5698" i="19"/>
  <c r="O5700" i="19" s="1"/>
  <c r="D5696" i="19" s="1"/>
  <c r="D5680" i="19"/>
  <c r="K634" i="4" l="1"/>
  <c r="K1" i="4"/>
  <c r="K51" i="4"/>
  <c r="K209" i="4"/>
  <c r="K56" i="4"/>
  <c r="K618" i="4"/>
  <c r="K633" i="4"/>
  <c r="K690" i="4"/>
  <c r="K704" i="4"/>
  <c r="K623" i="4"/>
  <c r="K21" i="4"/>
  <c r="K559" i="4"/>
  <c r="K522" i="4"/>
  <c r="K196" i="4"/>
  <c r="K186" i="4"/>
  <c r="K681" i="4"/>
  <c r="K161" i="4"/>
  <c r="K529" i="4"/>
  <c r="K31" i="4"/>
  <c r="K804" i="4"/>
  <c r="K141" i="4"/>
  <c r="K793" i="4"/>
  <c r="K20" i="4"/>
  <c r="K521" i="4"/>
  <c r="K558" i="4"/>
  <c r="K198" i="4"/>
  <c r="K200" i="4"/>
  <c r="K19" i="4"/>
  <c r="K520" i="4"/>
  <c r="K557" i="4"/>
  <c r="K197" i="4"/>
  <c r="K297" i="4"/>
  <c r="K533" i="4"/>
  <c r="K524" i="4"/>
  <c r="K523" i="4"/>
  <c r="K199" i="4"/>
  <c r="K560" i="4"/>
  <c r="K682" i="4"/>
  <c r="K532" i="4"/>
  <c r="K531" i="4"/>
  <c r="K530" i="4"/>
  <c r="K510" i="4"/>
  <c r="K485" i="4"/>
  <c r="K744" i="4"/>
  <c r="K788" i="4"/>
  <c r="K404" i="4"/>
  <c r="K484" i="4"/>
  <c r="K743" i="4"/>
  <c r="K787" i="4"/>
  <c r="K117" i="4"/>
  <c r="K570" i="4"/>
  <c r="A4268" i="19"/>
  <c r="A4258" i="19"/>
  <c r="A3110" i="19" l="1"/>
  <c r="A3105" i="19"/>
  <c r="A1989" i="19" l="1"/>
  <c r="A1984" i="19"/>
  <c r="T109" i="22"/>
  <c r="S109" i="22"/>
  <c r="B1151" i="19"/>
  <c r="A584" i="19" l="1"/>
  <c r="B584" i="19" s="1"/>
  <c r="A576" i="19"/>
  <c r="B579" i="19"/>
  <c r="B587" i="19" s="1"/>
  <c r="B580" i="19"/>
  <c r="B588" i="19" s="1"/>
  <c r="B581" i="19"/>
  <c r="B589" i="19" s="1"/>
  <c r="B585" i="19"/>
  <c r="B586" i="19"/>
  <c r="B575" i="19"/>
  <c r="B576" i="19" l="1"/>
  <c r="C584" i="19"/>
  <c r="C576" i="19"/>
  <c r="B464" i="19" l="1"/>
  <c r="AQ198" i="23"/>
  <c r="AK198" i="23"/>
  <c r="AL198" i="23" s="1"/>
  <c r="AJ198" i="23"/>
  <c r="AI198" i="23"/>
  <c r="AH198" i="23"/>
  <c r="AG198" i="23"/>
  <c r="AF198" i="23"/>
  <c r="AE198" i="23"/>
  <c r="Z198" i="23"/>
  <c r="Y198" i="23"/>
  <c r="AQ196" i="23"/>
  <c r="AK196" i="23"/>
  <c r="AJ196" i="23"/>
  <c r="AI196" i="23"/>
  <c r="AH196" i="23"/>
  <c r="AG196" i="23"/>
  <c r="AF196" i="23"/>
  <c r="AE196" i="23"/>
  <c r="Z196" i="23"/>
  <c r="Y196" i="23"/>
  <c r="AQ194" i="23"/>
  <c r="AK194" i="23"/>
  <c r="AL194" i="23" s="1"/>
  <c r="AJ194" i="23"/>
  <c r="AI194" i="23"/>
  <c r="AH194" i="23"/>
  <c r="AG194" i="23"/>
  <c r="AF194" i="23"/>
  <c r="AE194" i="23"/>
  <c r="Z194" i="23"/>
  <c r="Y194" i="23"/>
  <c r="AQ193" i="23"/>
  <c r="AK193" i="23"/>
  <c r="AL193" i="23" s="1"/>
  <c r="AJ193" i="23"/>
  <c r="AI193" i="23"/>
  <c r="AH193" i="23"/>
  <c r="AG193" i="23"/>
  <c r="AF193" i="23"/>
  <c r="AE193" i="23"/>
  <c r="Z193" i="23"/>
  <c r="AQ192" i="23"/>
  <c r="AK192" i="23"/>
  <c r="AJ192" i="23"/>
  <c r="AI192" i="23"/>
  <c r="AH192" i="23"/>
  <c r="AG192" i="23"/>
  <c r="AF192" i="23"/>
  <c r="AE192" i="23"/>
  <c r="Z192" i="23"/>
  <c r="AQ191" i="23"/>
  <c r="AK191" i="23"/>
  <c r="AJ191" i="23"/>
  <c r="AI191" i="23"/>
  <c r="AH191" i="23"/>
  <c r="AG191" i="23"/>
  <c r="AF191" i="23"/>
  <c r="AE191" i="23"/>
  <c r="Z191" i="23"/>
  <c r="Y191" i="23"/>
  <c r="AQ190" i="23"/>
  <c r="AK190" i="23"/>
  <c r="AL190" i="23" s="1"/>
  <c r="AJ190" i="23"/>
  <c r="AI190" i="23"/>
  <c r="AH190" i="23"/>
  <c r="AG190" i="23"/>
  <c r="AF190" i="23"/>
  <c r="AE190" i="23"/>
  <c r="Z190" i="23"/>
  <c r="Y190" i="23"/>
  <c r="AQ189" i="23"/>
  <c r="AK189" i="23"/>
  <c r="AL189" i="23" s="1"/>
  <c r="AJ189" i="23"/>
  <c r="AI189" i="23"/>
  <c r="AH189" i="23"/>
  <c r="AG189" i="23"/>
  <c r="AF189" i="23"/>
  <c r="AE189" i="23"/>
  <c r="Z189" i="23"/>
  <c r="Y189" i="23"/>
  <c r="AQ188" i="23"/>
  <c r="AK188" i="23"/>
  <c r="AJ188" i="23"/>
  <c r="AI188" i="23"/>
  <c r="AH188" i="23"/>
  <c r="AG188" i="23"/>
  <c r="AF188" i="23"/>
  <c r="AE188" i="23"/>
  <c r="Z188" i="23"/>
  <c r="Y188" i="23"/>
  <c r="AQ187" i="23"/>
  <c r="AK187" i="23"/>
  <c r="AJ187" i="23"/>
  <c r="AI187" i="23"/>
  <c r="AH187" i="23"/>
  <c r="AG187" i="23"/>
  <c r="AF187" i="23"/>
  <c r="AE187" i="23"/>
  <c r="Z187" i="23"/>
  <c r="Y187" i="23"/>
  <c r="AQ186" i="23"/>
  <c r="AK186" i="23"/>
  <c r="AL186" i="23" s="1"/>
  <c r="AJ186" i="23"/>
  <c r="AI186" i="23"/>
  <c r="AH186" i="23"/>
  <c r="AG186" i="23"/>
  <c r="AF186" i="23"/>
  <c r="AE186" i="23"/>
  <c r="Z186" i="23"/>
  <c r="Y186" i="23"/>
  <c r="AQ185" i="23"/>
  <c r="AL185" i="23"/>
  <c r="AM185" i="23" s="1"/>
  <c r="AK185" i="23"/>
  <c r="AJ185" i="23"/>
  <c r="AI185" i="23"/>
  <c r="AH185" i="23"/>
  <c r="AG185" i="23"/>
  <c r="AF185" i="23"/>
  <c r="AE185" i="23"/>
  <c r="Z185" i="23"/>
  <c r="Y185" i="23"/>
  <c r="AQ184" i="23"/>
  <c r="AK184" i="23"/>
  <c r="AJ184" i="23"/>
  <c r="AI184" i="23"/>
  <c r="AH184" i="23"/>
  <c r="AG184" i="23"/>
  <c r="AF184" i="23"/>
  <c r="AE184" i="23"/>
  <c r="Z184" i="23"/>
  <c r="Y184" i="23"/>
  <c r="AQ183" i="23"/>
  <c r="AK183" i="23"/>
  <c r="AL183" i="23" s="1"/>
  <c r="AJ183" i="23"/>
  <c r="AI183" i="23"/>
  <c r="AH183" i="23"/>
  <c r="AG183" i="23"/>
  <c r="AF183" i="23"/>
  <c r="AE183" i="23"/>
  <c r="Z183" i="23"/>
  <c r="Y183" i="23"/>
  <c r="AQ182" i="23"/>
  <c r="AK182" i="23"/>
  <c r="AJ182" i="23"/>
  <c r="AI182" i="23"/>
  <c r="AH182" i="23"/>
  <c r="AG182" i="23"/>
  <c r="AF182" i="23"/>
  <c r="AE182" i="23"/>
  <c r="Z182" i="23"/>
  <c r="Y182" i="23"/>
  <c r="AQ181" i="23"/>
  <c r="AK181" i="23"/>
  <c r="AJ181" i="23"/>
  <c r="AI181" i="23"/>
  <c r="AH181" i="23"/>
  <c r="AG181" i="23"/>
  <c r="AF181" i="23"/>
  <c r="AE181" i="23"/>
  <c r="Z181" i="23"/>
  <c r="AQ180" i="23"/>
  <c r="AK180" i="23"/>
  <c r="AJ180" i="23"/>
  <c r="AI180" i="23"/>
  <c r="AH180" i="23"/>
  <c r="AG180" i="23"/>
  <c r="AF180" i="23"/>
  <c r="AE180" i="23"/>
  <c r="Z180" i="23"/>
  <c r="Y180" i="23"/>
  <c r="AQ179" i="23"/>
  <c r="AK179" i="23"/>
  <c r="AJ179" i="23"/>
  <c r="AI179" i="23"/>
  <c r="AH179" i="23"/>
  <c r="AG179" i="23"/>
  <c r="AF179" i="23"/>
  <c r="AE179" i="23"/>
  <c r="Z179" i="23"/>
  <c r="AQ178" i="23"/>
  <c r="AK178" i="23"/>
  <c r="AL178" i="23" s="1"/>
  <c r="AM178" i="23" s="1"/>
  <c r="AJ178" i="23"/>
  <c r="AI178" i="23"/>
  <c r="AH178" i="23"/>
  <c r="AG178" i="23"/>
  <c r="AF178" i="23"/>
  <c r="AE178" i="23"/>
  <c r="Z178" i="23"/>
  <c r="Y178" i="23"/>
  <c r="AQ177" i="23"/>
  <c r="AK177" i="23"/>
  <c r="AJ177" i="23"/>
  <c r="AI177" i="23"/>
  <c r="AH177" i="23"/>
  <c r="AG177" i="23"/>
  <c r="AF177" i="23"/>
  <c r="AE177" i="23"/>
  <c r="Z177" i="23"/>
  <c r="AQ176" i="23"/>
  <c r="AK176" i="23"/>
  <c r="AJ176" i="23"/>
  <c r="AI176" i="23"/>
  <c r="AH176" i="23"/>
  <c r="AG176" i="23"/>
  <c r="AF176" i="23"/>
  <c r="AE176" i="23"/>
  <c r="Z176" i="23"/>
  <c r="Y176" i="23"/>
  <c r="AQ175" i="23"/>
  <c r="AK175" i="23"/>
  <c r="AJ175" i="23"/>
  <c r="AI175" i="23"/>
  <c r="AH175" i="23"/>
  <c r="AG175" i="23"/>
  <c r="AF175" i="23"/>
  <c r="AE175" i="23"/>
  <c r="Z175" i="23"/>
  <c r="Y175" i="23"/>
  <c r="AQ174" i="23"/>
  <c r="AK174" i="23"/>
  <c r="AL174" i="23" s="1"/>
  <c r="AJ174" i="23"/>
  <c r="AI174" i="23"/>
  <c r="AH174" i="23"/>
  <c r="AG174" i="23"/>
  <c r="AF174" i="23"/>
  <c r="AE174" i="23"/>
  <c r="Z174" i="23"/>
  <c r="Y174" i="23"/>
  <c r="AQ173" i="23"/>
  <c r="AK173" i="23"/>
  <c r="AJ173" i="23"/>
  <c r="AI173" i="23"/>
  <c r="AH173" i="23"/>
  <c r="AG173" i="23"/>
  <c r="AF173" i="23"/>
  <c r="AE173" i="23"/>
  <c r="Z173" i="23"/>
  <c r="Y173" i="23"/>
  <c r="AQ172" i="23"/>
  <c r="AK172" i="23"/>
  <c r="AJ172" i="23"/>
  <c r="AI172" i="23"/>
  <c r="AH172" i="23"/>
  <c r="AG172" i="23"/>
  <c r="AF172" i="23"/>
  <c r="AE172" i="23"/>
  <c r="Z172" i="23"/>
  <c r="Y172" i="23"/>
  <c r="AQ171" i="23"/>
  <c r="AK171" i="23"/>
  <c r="AL171" i="23" s="1"/>
  <c r="AM171" i="23" s="1"/>
  <c r="AJ171" i="23"/>
  <c r="AI171" i="23"/>
  <c r="AH171" i="23"/>
  <c r="AG171" i="23"/>
  <c r="AF171" i="23"/>
  <c r="AE171" i="23"/>
  <c r="Z171" i="23"/>
  <c r="Y171" i="23"/>
  <c r="AQ170" i="23"/>
  <c r="AK170" i="23"/>
  <c r="AJ170" i="23"/>
  <c r="AI170" i="23"/>
  <c r="AH170" i="23"/>
  <c r="AG170" i="23"/>
  <c r="AF170" i="23"/>
  <c r="AE170" i="23"/>
  <c r="Z170" i="23"/>
  <c r="Y170" i="23"/>
  <c r="AQ169" i="23"/>
  <c r="AK169" i="23"/>
  <c r="AJ169" i="23"/>
  <c r="AI169" i="23"/>
  <c r="AH169" i="23"/>
  <c r="AG169" i="23"/>
  <c r="AF169" i="23"/>
  <c r="AE169" i="23"/>
  <c r="Z169" i="23"/>
  <c r="AQ168" i="23"/>
  <c r="AK168" i="23"/>
  <c r="AJ168" i="23"/>
  <c r="AI168" i="23"/>
  <c r="AH168" i="23"/>
  <c r="AG168" i="23"/>
  <c r="AF168" i="23"/>
  <c r="AE168" i="23"/>
  <c r="Z168" i="23"/>
  <c r="Y168" i="23"/>
  <c r="AQ167" i="23"/>
  <c r="AK167" i="23"/>
  <c r="AJ167" i="23"/>
  <c r="AI167" i="23"/>
  <c r="AH167" i="23"/>
  <c r="AG167" i="23"/>
  <c r="AF167" i="23"/>
  <c r="AE167" i="23"/>
  <c r="Z167" i="23"/>
  <c r="Y167" i="23"/>
  <c r="AQ166" i="23"/>
  <c r="AK166" i="23"/>
  <c r="AJ166" i="23"/>
  <c r="AI166" i="23"/>
  <c r="AH166" i="23"/>
  <c r="AG166" i="23"/>
  <c r="AF166" i="23"/>
  <c r="AE166" i="23"/>
  <c r="Z166" i="23"/>
  <c r="AQ165" i="23"/>
  <c r="AK165" i="23"/>
  <c r="AJ165" i="23"/>
  <c r="AI165" i="23"/>
  <c r="AH165" i="23"/>
  <c r="AG165" i="23"/>
  <c r="AF165" i="23"/>
  <c r="AE165" i="23"/>
  <c r="Z165" i="23"/>
  <c r="Y165" i="23"/>
  <c r="AQ164" i="23"/>
  <c r="AK164" i="23"/>
  <c r="AL164" i="23" s="1"/>
  <c r="AJ164" i="23"/>
  <c r="AI164" i="23"/>
  <c r="AH164" i="23"/>
  <c r="AG164" i="23"/>
  <c r="AF164" i="23"/>
  <c r="AE164" i="23"/>
  <c r="Z164" i="23"/>
  <c r="Y164" i="23"/>
  <c r="AQ163" i="23"/>
  <c r="AK163" i="23"/>
  <c r="AJ163" i="23"/>
  <c r="AI163" i="23"/>
  <c r="AH163" i="23"/>
  <c r="AG163" i="23"/>
  <c r="AF163" i="23"/>
  <c r="AE163" i="23"/>
  <c r="Z163" i="23"/>
  <c r="AQ162" i="23"/>
  <c r="AK162" i="23"/>
  <c r="AL162" i="23" s="1"/>
  <c r="AJ162" i="23"/>
  <c r="AI162" i="23"/>
  <c r="AH162" i="23"/>
  <c r="AG162" i="23"/>
  <c r="AF162" i="23"/>
  <c r="AE162" i="23"/>
  <c r="Z162" i="23"/>
  <c r="Y162" i="23"/>
  <c r="AQ161" i="23"/>
  <c r="AK161" i="23"/>
  <c r="AJ161" i="23"/>
  <c r="AI161" i="23"/>
  <c r="AH161" i="23"/>
  <c r="AG161" i="23"/>
  <c r="AF161" i="23"/>
  <c r="AE161" i="23"/>
  <c r="Z161" i="23"/>
  <c r="AQ160" i="23"/>
  <c r="AK160" i="23"/>
  <c r="AL160" i="23" s="1"/>
  <c r="AJ160" i="23"/>
  <c r="AI160" i="23"/>
  <c r="AH160" i="23"/>
  <c r="AG160" i="23"/>
  <c r="AF160" i="23"/>
  <c r="AE160" i="23"/>
  <c r="Z160" i="23"/>
  <c r="Y160" i="23"/>
  <c r="AQ159" i="23"/>
  <c r="AK159" i="23"/>
  <c r="AL159" i="23" s="1"/>
  <c r="AJ159" i="23"/>
  <c r="AI159" i="23"/>
  <c r="AH159" i="23"/>
  <c r="AG159" i="23"/>
  <c r="AF159" i="23"/>
  <c r="AE159" i="23"/>
  <c r="Z159" i="23"/>
  <c r="AQ158" i="23"/>
  <c r="AK158" i="23"/>
  <c r="AL158" i="23" s="1"/>
  <c r="AJ158" i="23"/>
  <c r="AI158" i="23"/>
  <c r="AH158" i="23"/>
  <c r="AG158" i="23"/>
  <c r="AF158" i="23"/>
  <c r="AE158" i="23"/>
  <c r="Z158" i="23"/>
  <c r="Y158" i="23"/>
  <c r="AQ157" i="23"/>
  <c r="AK157" i="23"/>
  <c r="AL157" i="23" s="1"/>
  <c r="AJ157" i="23"/>
  <c r="AI157" i="23"/>
  <c r="AH157" i="23"/>
  <c r="AG157" i="23"/>
  <c r="AF157" i="23"/>
  <c r="AE157" i="23"/>
  <c r="Z157" i="23"/>
  <c r="AQ156" i="23"/>
  <c r="AK156" i="23"/>
  <c r="AL156" i="23" s="1"/>
  <c r="AM156" i="23" s="1"/>
  <c r="AJ156" i="23"/>
  <c r="AI156" i="23"/>
  <c r="AH156" i="23"/>
  <c r="AG156" i="23"/>
  <c r="AF156" i="23"/>
  <c r="AE156" i="23"/>
  <c r="Z156" i="23"/>
  <c r="Y156" i="23"/>
  <c r="AQ155" i="23"/>
  <c r="AK155" i="23"/>
  <c r="AJ155" i="23"/>
  <c r="AI155" i="23"/>
  <c r="AH155" i="23"/>
  <c r="AG155" i="23"/>
  <c r="AF155" i="23"/>
  <c r="AE155" i="23"/>
  <c r="Z155" i="23"/>
  <c r="AQ154" i="23"/>
  <c r="AK154" i="23"/>
  <c r="AL154" i="23" s="1"/>
  <c r="AJ154" i="23"/>
  <c r="AI154" i="23"/>
  <c r="AH154" i="23"/>
  <c r="AG154" i="23"/>
  <c r="AF154" i="23"/>
  <c r="AE154" i="23"/>
  <c r="Z154" i="23"/>
  <c r="Y154" i="23"/>
  <c r="AQ153" i="23"/>
  <c r="AK153" i="23"/>
  <c r="AJ153" i="23"/>
  <c r="AI153" i="23"/>
  <c r="AH153" i="23"/>
  <c r="AG153" i="23"/>
  <c r="AF153" i="23"/>
  <c r="AE153" i="23"/>
  <c r="Z153" i="23"/>
  <c r="AQ152" i="23"/>
  <c r="AK152" i="23"/>
  <c r="AL152" i="23" s="1"/>
  <c r="AJ152" i="23"/>
  <c r="AI152" i="23"/>
  <c r="AH152" i="23"/>
  <c r="AG152" i="23"/>
  <c r="AF152" i="23"/>
  <c r="AE152" i="23"/>
  <c r="Z152" i="23"/>
  <c r="Y152" i="23"/>
  <c r="AQ151" i="23"/>
  <c r="AK151" i="23"/>
  <c r="AL151" i="23" s="1"/>
  <c r="AM151" i="23" s="1"/>
  <c r="AJ151" i="23"/>
  <c r="AI151" i="23"/>
  <c r="AH151" i="23"/>
  <c r="AG151" i="23"/>
  <c r="AF151" i="23"/>
  <c r="AE151" i="23"/>
  <c r="Z151" i="23"/>
  <c r="AQ150" i="23"/>
  <c r="AK150" i="23"/>
  <c r="AL150" i="23" s="1"/>
  <c r="AM150" i="23" s="1"/>
  <c r="AJ150" i="23"/>
  <c r="AI150" i="23"/>
  <c r="AH150" i="23"/>
  <c r="AG150" i="23"/>
  <c r="AF150" i="23"/>
  <c r="AE150" i="23"/>
  <c r="Z150" i="23"/>
  <c r="Y150" i="23"/>
  <c r="AQ149" i="23"/>
  <c r="AK149" i="23"/>
  <c r="AL149" i="23" s="1"/>
  <c r="AJ149" i="23"/>
  <c r="AI149" i="23"/>
  <c r="AH149" i="23"/>
  <c r="AG149" i="23"/>
  <c r="AF149" i="23"/>
  <c r="AE149" i="23"/>
  <c r="Z149" i="23"/>
  <c r="AQ148" i="23"/>
  <c r="AK148" i="23"/>
  <c r="AL148" i="23" s="1"/>
  <c r="AJ148" i="23"/>
  <c r="AI148" i="23"/>
  <c r="AH148" i="23"/>
  <c r="AG148" i="23"/>
  <c r="AF148" i="23"/>
  <c r="AE148" i="23"/>
  <c r="Z148" i="23"/>
  <c r="Y148" i="23"/>
  <c r="C144" i="23"/>
  <c r="D144" i="23" s="1"/>
  <c r="E144" i="23" s="1"/>
  <c r="F144" i="23" s="1"/>
  <c r="G144" i="23" s="1"/>
  <c r="H144" i="23" s="1"/>
  <c r="I144" i="23" s="1"/>
  <c r="J144" i="23" s="1"/>
  <c r="K144" i="23" s="1"/>
  <c r="L144" i="23" s="1"/>
  <c r="M144" i="23" s="1"/>
  <c r="N144" i="23" s="1"/>
  <c r="O144" i="23" s="1"/>
  <c r="P144" i="23" s="1"/>
  <c r="Q144" i="23" s="1"/>
  <c r="R144" i="23" s="1"/>
  <c r="S144" i="23" s="1"/>
  <c r="T144" i="23" s="1"/>
  <c r="U144" i="23" s="1"/>
  <c r="V144" i="23" s="1"/>
  <c r="W144" i="23" s="1"/>
  <c r="X144" i="23" s="1"/>
  <c r="Y144" i="23" s="1"/>
  <c r="Z144" i="23" s="1"/>
  <c r="AA144" i="23" s="1"/>
  <c r="AB144" i="23" s="1"/>
  <c r="AQ129" i="23"/>
  <c r="AK129" i="23"/>
  <c r="AJ129" i="23"/>
  <c r="AI129" i="23"/>
  <c r="AH129" i="23"/>
  <c r="AG129" i="23"/>
  <c r="AF129" i="23"/>
  <c r="AE129" i="23"/>
  <c r="Z129" i="23"/>
  <c r="Y129" i="23"/>
  <c r="AQ127" i="23"/>
  <c r="AK127" i="23"/>
  <c r="AJ127" i="23"/>
  <c r="AI127" i="23"/>
  <c r="AH127" i="23"/>
  <c r="AG127" i="23"/>
  <c r="AF127" i="23"/>
  <c r="AE127" i="23"/>
  <c r="Z127" i="23"/>
  <c r="Y127" i="23"/>
  <c r="AQ126" i="23"/>
  <c r="AK126" i="23"/>
  <c r="AJ126" i="23"/>
  <c r="AI126" i="23"/>
  <c r="AH126" i="23"/>
  <c r="AG126" i="23"/>
  <c r="AF126" i="23"/>
  <c r="AE126" i="23"/>
  <c r="Z126" i="23"/>
  <c r="Y126" i="23"/>
  <c r="AQ125" i="23"/>
  <c r="AK125" i="23"/>
  <c r="AL125" i="23" s="1"/>
  <c r="AJ125" i="23"/>
  <c r="AI125" i="23"/>
  <c r="AH125" i="23"/>
  <c r="AG125" i="23"/>
  <c r="AF125" i="23"/>
  <c r="AE125" i="23"/>
  <c r="Z125" i="23"/>
  <c r="Y125" i="23"/>
  <c r="AQ123" i="23"/>
  <c r="AK123" i="23"/>
  <c r="AJ123" i="23"/>
  <c r="AI123" i="23"/>
  <c r="AH123" i="23"/>
  <c r="AG123" i="23"/>
  <c r="AF123" i="23"/>
  <c r="AE123" i="23"/>
  <c r="Z123" i="23"/>
  <c r="Y123" i="23"/>
  <c r="AQ121" i="23"/>
  <c r="AK121" i="23"/>
  <c r="AJ121" i="23"/>
  <c r="AI121" i="23"/>
  <c r="AH121" i="23"/>
  <c r="AG121" i="23"/>
  <c r="AF121" i="23"/>
  <c r="AE121" i="23"/>
  <c r="Z121" i="23"/>
  <c r="Y121" i="23"/>
  <c r="AQ119" i="23"/>
  <c r="AK119" i="23"/>
  <c r="AL119" i="23" s="1"/>
  <c r="AJ119" i="23"/>
  <c r="AI119" i="23"/>
  <c r="AH119" i="23"/>
  <c r="AG119" i="23"/>
  <c r="AF119" i="23"/>
  <c r="AE119" i="23"/>
  <c r="Z119" i="23"/>
  <c r="Y119" i="23"/>
  <c r="AQ117" i="23"/>
  <c r="AK117" i="23"/>
  <c r="AJ117" i="23"/>
  <c r="AI117" i="23"/>
  <c r="AH117" i="23"/>
  <c r="AG117" i="23"/>
  <c r="AF117" i="23"/>
  <c r="AE117" i="23"/>
  <c r="Z117" i="23"/>
  <c r="AQ116" i="23"/>
  <c r="AK116" i="23"/>
  <c r="AJ116" i="23"/>
  <c r="AI116" i="23"/>
  <c r="AH116" i="23"/>
  <c r="AG116" i="23"/>
  <c r="AF116" i="23"/>
  <c r="AE116" i="23"/>
  <c r="Z116" i="23"/>
  <c r="Y116" i="23"/>
  <c r="AQ115" i="23"/>
  <c r="AK115" i="23"/>
  <c r="AJ115" i="23"/>
  <c r="AI115" i="23"/>
  <c r="AH115" i="23"/>
  <c r="AG115" i="23"/>
  <c r="AF115" i="23"/>
  <c r="AE115" i="23"/>
  <c r="Z115" i="23"/>
  <c r="AQ114" i="23"/>
  <c r="AK114" i="23"/>
  <c r="AL114" i="23" s="1"/>
  <c r="AJ114" i="23"/>
  <c r="AI114" i="23"/>
  <c r="AH114" i="23"/>
  <c r="AG114" i="23"/>
  <c r="AF114" i="23"/>
  <c r="AE114" i="23"/>
  <c r="Z114" i="23"/>
  <c r="Y114" i="23"/>
  <c r="AQ113" i="23"/>
  <c r="AK113" i="23"/>
  <c r="AL113" i="23" s="1"/>
  <c r="AM113" i="23" s="1"/>
  <c r="AJ113" i="23"/>
  <c r="AI113" i="23"/>
  <c r="AH113" i="23"/>
  <c r="AG113" i="23"/>
  <c r="AF113" i="23"/>
  <c r="AE113" i="23"/>
  <c r="Z113" i="23"/>
  <c r="AQ112" i="23"/>
  <c r="AK112" i="23"/>
  <c r="AJ112" i="23"/>
  <c r="AI112" i="23"/>
  <c r="AH112" i="23"/>
  <c r="AG112" i="23"/>
  <c r="AF112" i="23"/>
  <c r="AE112" i="23"/>
  <c r="Z112" i="23"/>
  <c r="Y112" i="23"/>
  <c r="AQ110" i="23"/>
  <c r="AK110" i="23"/>
  <c r="AL110" i="23" s="1"/>
  <c r="AJ110" i="23"/>
  <c r="AI110" i="23"/>
  <c r="AH110" i="23"/>
  <c r="AG110" i="23"/>
  <c r="AF110" i="23"/>
  <c r="AE110" i="23"/>
  <c r="Z110" i="23"/>
  <c r="Y110" i="23"/>
  <c r="C106" i="23"/>
  <c r="D106" i="23" s="1"/>
  <c r="E106" i="23" s="1"/>
  <c r="F106" i="23" s="1"/>
  <c r="G106" i="23" s="1"/>
  <c r="H106" i="23" s="1"/>
  <c r="I106" i="23" s="1"/>
  <c r="J106" i="23" s="1"/>
  <c r="K106" i="23" s="1"/>
  <c r="L106" i="23" s="1"/>
  <c r="M106" i="23" s="1"/>
  <c r="N106" i="23" s="1"/>
  <c r="O106" i="23" s="1"/>
  <c r="P106" i="23" s="1"/>
  <c r="Q106" i="23" s="1"/>
  <c r="R106" i="23" s="1"/>
  <c r="S106" i="23" s="1"/>
  <c r="T106" i="23" s="1"/>
  <c r="U106" i="23" s="1"/>
  <c r="V106" i="23" s="1"/>
  <c r="W106" i="23" s="1"/>
  <c r="X106" i="23" s="1"/>
  <c r="Y106" i="23" s="1"/>
  <c r="Z106" i="23" s="1"/>
  <c r="AA106" i="23" s="1"/>
  <c r="AB106" i="23" s="1"/>
  <c r="AQ94" i="23"/>
  <c r="AO94" i="23"/>
  <c r="AK94" i="23"/>
  <c r="AJ94" i="23"/>
  <c r="AI94" i="23"/>
  <c r="AH94" i="23"/>
  <c r="AG94" i="23"/>
  <c r="AF94" i="23"/>
  <c r="AE94" i="23"/>
  <c r="Z94" i="23"/>
  <c r="Y94" i="23"/>
  <c r="AQ93" i="23"/>
  <c r="AO93" i="23"/>
  <c r="AK93" i="23"/>
  <c r="AJ93" i="23"/>
  <c r="AI93" i="23"/>
  <c r="AH93" i="23"/>
  <c r="AG93" i="23"/>
  <c r="AF93" i="23"/>
  <c r="AE93" i="23"/>
  <c r="Z93" i="23"/>
  <c r="Y93" i="23"/>
  <c r="AQ92" i="23"/>
  <c r="AK92" i="23"/>
  <c r="AL92" i="23" s="1"/>
  <c r="AM92" i="23" s="1"/>
  <c r="AJ92" i="23"/>
  <c r="AI92" i="23"/>
  <c r="AH92" i="23"/>
  <c r="AG92" i="23"/>
  <c r="AF92" i="23"/>
  <c r="AE92" i="23"/>
  <c r="Z92" i="23"/>
  <c r="AQ91" i="23"/>
  <c r="AO91" i="23"/>
  <c r="AK91" i="23"/>
  <c r="AJ91" i="23"/>
  <c r="AI91" i="23"/>
  <c r="AH91" i="23"/>
  <c r="AG91" i="23"/>
  <c r="AF91" i="23"/>
  <c r="AE91" i="23"/>
  <c r="Z91" i="23"/>
  <c r="Y91" i="23"/>
  <c r="AQ90" i="23"/>
  <c r="AK90" i="23"/>
  <c r="AJ90" i="23"/>
  <c r="AI90" i="23"/>
  <c r="AH90" i="23"/>
  <c r="AG90" i="23"/>
  <c r="AF90" i="23"/>
  <c r="AE90" i="23"/>
  <c r="Z90" i="23"/>
  <c r="AQ89" i="23"/>
  <c r="AO89" i="23"/>
  <c r="AK89" i="23"/>
  <c r="AL89" i="23" s="1"/>
  <c r="AJ89" i="23"/>
  <c r="AI89" i="23"/>
  <c r="AH89" i="23"/>
  <c r="AG89" i="23"/>
  <c r="AF89" i="23"/>
  <c r="AE89" i="23"/>
  <c r="Z89" i="23"/>
  <c r="Y89" i="23"/>
  <c r="AQ88" i="23"/>
  <c r="AK88" i="23"/>
  <c r="AJ88" i="23"/>
  <c r="AI88" i="23"/>
  <c r="AH88" i="23"/>
  <c r="AG88" i="23"/>
  <c r="AF88" i="23"/>
  <c r="AE88" i="23"/>
  <c r="Z88" i="23"/>
  <c r="AQ87" i="23"/>
  <c r="AO87" i="23"/>
  <c r="AK87" i="23"/>
  <c r="AJ87" i="23"/>
  <c r="AI87" i="23"/>
  <c r="AH87" i="23"/>
  <c r="AG87" i="23"/>
  <c r="AF87" i="23"/>
  <c r="AE87" i="23"/>
  <c r="Z87" i="23"/>
  <c r="Y87" i="23"/>
  <c r="AQ86" i="23"/>
  <c r="AK86" i="23"/>
  <c r="AL86" i="23" s="1"/>
  <c r="AM86" i="23" s="1"/>
  <c r="AJ86" i="23"/>
  <c r="AI86" i="23"/>
  <c r="AH86" i="23"/>
  <c r="AG86" i="23"/>
  <c r="AF86" i="23"/>
  <c r="AE86" i="23"/>
  <c r="Z86" i="23"/>
  <c r="AQ85" i="23"/>
  <c r="AO85" i="23"/>
  <c r="AK85" i="23"/>
  <c r="AJ85" i="23"/>
  <c r="AI85" i="23"/>
  <c r="AH85" i="23"/>
  <c r="AG85" i="23"/>
  <c r="AF85" i="23"/>
  <c r="AE85" i="23"/>
  <c r="Z85" i="23"/>
  <c r="Y85" i="23"/>
  <c r="AQ83" i="23"/>
  <c r="AK83" i="23"/>
  <c r="AJ83" i="23"/>
  <c r="AI83" i="23"/>
  <c r="AH83" i="23"/>
  <c r="AG83" i="23"/>
  <c r="AF83" i="23"/>
  <c r="AE83" i="23"/>
  <c r="Z83" i="23"/>
  <c r="AQ82" i="23"/>
  <c r="AK82" i="23"/>
  <c r="AJ82" i="23"/>
  <c r="AI82" i="23"/>
  <c r="AH82" i="23"/>
  <c r="AG82" i="23"/>
  <c r="AF82" i="23"/>
  <c r="AE82" i="23"/>
  <c r="Z82" i="23"/>
  <c r="AQ81" i="23"/>
  <c r="AK81" i="23"/>
  <c r="AJ81" i="23"/>
  <c r="AI81" i="23"/>
  <c r="AH81" i="23"/>
  <c r="AG81" i="23"/>
  <c r="AF81" i="23"/>
  <c r="AE81" i="23"/>
  <c r="Z81" i="23"/>
  <c r="AQ80" i="23"/>
  <c r="AO80" i="23"/>
  <c r="AK80" i="23"/>
  <c r="AL80" i="23" s="1"/>
  <c r="AJ80" i="23"/>
  <c r="AI80" i="23"/>
  <c r="AH80" i="23"/>
  <c r="AG80" i="23"/>
  <c r="AF80" i="23"/>
  <c r="AE80" i="23"/>
  <c r="Z80" i="23"/>
  <c r="Y80" i="23"/>
  <c r="AQ79" i="23"/>
  <c r="AO79" i="23"/>
  <c r="AK79" i="23"/>
  <c r="AL79" i="23" s="1"/>
  <c r="AJ79" i="23"/>
  <c r="AI79" i="23"/>
  <c r="AH79" i="23"/>
  <c r="AG79" i="23"/>
  <c r="AF79" i="23"/>
  <c r="AE79" i="23"/>
  <c r="AQ78" i="23"/>
  <c r="AO78" i="23"/>
  <c r="AK78" i="23"/>
  <c r="AJ78" i="23"/>
  <c r="AI78" i="23"/>
  <c r="AH78" i="23"/>
  <c r="AG78" i="23"/>
  <c r="AF78" i="23"/>
  <c r="AE78" i="23"/>
  <c r="Z78" i="23"/>
  <c r="AQ77" i="23"/>
  <c r="AO77" i="23"/>
  <c r="AK77" i="23"/>
  <c r="AJ77" i="23"/>
  <c r="AI77" i="23"/>
  <c r="AH77" i="23"/>
  <c r="AG77" i="23"/>
  <c r="AF77" i="23"/>
  <c r="AE77" i="23"/>
  <c r="Z77" i="23"/>
  <c r="Y77" i="23"/>
  <c r="AQ76" i="23"/>
  <c r="AO76" i="23"/>
  <c r="AK76" i="23"/>
  <c r="AJ76" i="23"/>
  <c r="AI76" i="23"/>
  <c r="AH76" i="23"/>
  <c r="AG76" i="23"/>
  <c r="AF76" i="23"/>
  <c r="AE76" i="23"/>
  <c r="Z76" i="23"/>
  <c r="Y76" i="23"/>
  <c r="AQ75" i="23"/>
  <c r="AO75" i="23"/>
  <c r="AK75" i="23"/>
  <c r="AL75" i="23" s="1"/>
  <c r="AJ75" i="23"/>
  <c r="AI75" i="23"/>
  <c r="AH75" i="23"/>
  <c r="AG75" i="23"/>
  <c r="AF75" i="23"/>
  <c r="AE75" i="23"/>
  <c r="Z75" i="23"/>
  <c r="Y75" i="23"/>
  <c r="AQ74" i="23"/>
  <c r="AO74" i="23"/>
  <c r="AK74" i="23"/>
  <c r="AL74" i="23" s="1"/>
  <c r="AJ74" i="23"/>
  <c r="AI74" i="23"/>
  <c r="AH74" i="23"/>
  <c r="AG74" i="23"/>
  <c r="AF74" i="23"/>
  <c r="AE74" i="23"/>
  <c r="Z74" i="23"/>
  <c r="Y74" i="23"/>
  <c r="AQ73" i="23"/>
  <c r="AO73" i="23"/>
  <c r="AK73" i="23"/>
  <c r="AJ73" i="23"/>
  <c r="AI73" i="23"/>
  <c r="AH73" i="23"/>
  <c r="AG73" i="23"/>
  <c r="AF73" i="23"/>
  <c r="AE73" i="23"/>
  <c r="Z73" i="23"/>
  <c r="Y73" i="23"/>
  <c r="AQ72" i="23"/>
  <c r="AO72" i="23"/>
  <c r="AK72" i="23"/>
  <c r="AJ72" i="23"/>
  <c r="AI72" i="23"/>
  <c r="AH72" i="23"/>
  <c r="AG72" i="23"/>
  <c r="AF72" i="23"/>
  <c r="AE72" i="23"/>
  <c r="Z72" i="23"/>
  <c r="Y72" i="23"/>
  <c r="AQ71" i="23"/>
  <c r="AO71" i="23"/>
  <c r="AK71" i="23"/>
  <c r="AL71" i="23" s="1"/>
  <c r="AJ71" i="23"/>
  <c r="AI71" i="23"/>
  <c r="AH71" i="23"/>
  <c r="AG71" i="23"/>
  <c r="AF71" i="23"/>
  <c r="AE71" i="23"/>
  <c r="Z71" i="23"/>
  <c r="Y71" i="23"/>
  <c r="AQ70" i="23"/>
  <c r="AO70" i="23"/>
  <c r="AK70" i="23"/>
  <c r="AJ70" i="23"/>
  <c r="AI70" i="23"/>
  <c r="AH70" i="23"/>
  <c r="AG70" i="23"/>
  <c r="AF70" i="23"/>
  <c r="AE70" i="23"/>
  <c r="Z70" i="23"/>
  <c r="Y70" i="23"/>
  <c r="AQ69" i="23"/>
  <c r="AO69" i="23"/>
  <c r="AK69" i="23"/>
  <c r="AJ69" i="23"/>
  <c r="AI69" i="23"/>
  <c r="AH69" i="23"/>
  <c r="AG69" i="23"/>
  <c r="AF69" i="23"/>
  <c r="AE69" i="23"/>
  <c r="Z69" i="23"/>
  <c r="Y69" i="23"/>
  <c r="AQ68" i="23"/>
  <c r="AO68" i="23"/>
  <c r="AK68" i="23"/>
  <c r="AJ68" i="23"/>
  <c r="AI68" i="23"/>
  <c r="AH68" i="23"/>
  <c r="AG68" i="23"/>
  <c r="AF68" i="23"/>
  <c r="AE68" i="23"/>
  <c r="Z68" i="23"/>
  <c r="Y68" i="23"/>
  <c r="AQ67" i="23"/>
  <c r="AO67" i="23"/>
  <c r="AK67" i="23"/>
  <c r="AL67" i="23" s="1"/>
  <c r="AJ67" i="23"/>
  <c r="AI67" i="23"/>
  <c r="AH67" i="23"/>
  <c r="AG67" i="23"/>
  <c r="AF67" i="23"/>
  <c r="AE67" i="23"/>
  <c r="Z67" i="23"/>
  <c r="Y67" i="23"/>
  <c r="AQ66" i="23"/>
  <c r="AK66" i="23"/>
  <c r="AJ66" i="23"/>
  <c r="AI66" i="23"/>
  <c r="AH66" i="23"/>
  <c r="AG66" i="23"/>
  <c r="AF66" i="23"/>
  <c r="AE66" i="23"/>
  <c r="Z66" i="23"/>
  <c r="AQ65" i="23"/>
  <c r="AO65" i="23"/>
  <c r="AK65" i="23"/>
  <c r="AL65" i="23" s="1"/>
  <c r="AM65" i="23" s="1"/>
  <c r="AJ65" i="23"/>
  <c r="AI65" i="23"/>
  <c r="AH65" i="23"/>
  <c r="AG65" i="23"/>
  <c r="AF65" i="23"/>
  <c r="AE65" i="23"/>
  <c r="Z65" i="23"/>
  <c r="Y65" i="23"/>
  <c r="AQ64" i="23"/>
  <c r="AO64" i="23"/>
  <c r="AK64" i="23"/>
  <c r="AL64" i="23" s="1"/>
  <c r="AJ64" i="23"/>
  <c r="AI64" i="23"/>
  <c r="AH64" i="23"/>
  <c r="AG64" i="23"/>
  <c r="AF64" i="23"/>
  <c r="AE64" i="23"/>
  <c r="Z64" i="23"/>
  <c r="Y64" i="23"/>
  <c r="AQ63" i="23"/>
  <c r="AO63" i="23"/>
  <c r="AK63" i="23"/>
  <c r="AJ63" i="23"/>
  <c r="AI63" i="23"/>
  <c r="AH63" i="23"/>
  <c r="AG63" i="23"/>
  <c r="AF63" i="23"/>
  <c r="AE63" i="23"/>
  <c r="Z63" i="23"/>
  <c r="Y63" i="23"/>
  <c r="AQ62" i="23"/>
  <c r="AO62" i="23"/>
  <c r="AK62" i="23"/>
  <c r="AL62" i="23" s="1"/>
  <c r="AM62" i="23" s="1"/>
  <c r="AN62" i="23" s="1"/>
  <c r="AJ62" i="23"/>
  <c r="AI62" i="23"/>
  <c r="AH62" i="23"/>
  <c r="AG62" i="23"/>
  <c r="AF62" i="23"/>
  <c r="AE62" i="23"/>
  <c r="Z62" i="23"/>
  <c r="Y62" i="23"/>
  <c r="AQ61" i="23"/>
  <c r="AO61" i="23"/>
  <c r="AK61" i="23"/>
  <c r="AL61" i="23" s="1"/>
  <c r="AM61" i="23" s="1"/>
  <c r="AJ61" i="23"/>
  <c r="AI61" i="23"/>
  <c r="AH61" i="23"/>
  <c r="AG61" i="23"/>
  <c r="AF61" i="23"/>
  <c r="AE61" i="23"/>
  <c r="Z61" i="23"/>
  <c r="Y61" i="23"/>
  <c r="AQ60" i="23"/>
  <c r="AK60" i="23"/>
  <c r="AJ60" i="23"/>
  <c r="AI60" i="23"/>
  <c r="AH60" i="23"/>
  <c r="AG60" i="23"/>
  <c r="AF60" i="23"/>
  <c r="AE60" i="23"/>
  <c r="Z60" i="23"/>
  <c r="AQ59" i="23"/>
  <c r="AO59" i="23"/>
  <c r="AK59" i="23"/>
  <c r="AJ59" i="23"/>
  <c r="AI59" i="23"/>
  <c r="AH59" i="23"/>
  <c r="AG59" i="23"/>
  <c r="AF59" i="23"/>
  <c r="AE59" i="23"/>
  <c r="Z59" i="23"/>
  <c r="Y59" i="23"/>
  <c r="AQ58" i="23"/>
  <c r="AK58" i="23"/>
  <c r="AJ58" i="23"/>
  <c r="AI58" i="23"/>
  <c r="AH58" i="23"/>
  <c r="AG58" i="23"/>
  <c r="AF58" i="23"/>
  <c r="AE58" i="23"/>
  <c r="Z58" i="23"/>
  <c r="AQ57" i="23"/>
  <c r="AO57" i="23"/>
  <c r="AK57" i="23"/>
  <c r="AL57" i="23" s="1"/>
  <c r="AJ57" i="23"/>
  <c r="AI57" i="23"/>
  <c r="AH57" i="23"/>
  <c r="AG57" i="23"/>
  <c r="AF57" i="23"/>
  <c r="AE57" i="23"/>
  <c r="Z57" i="23"/>
  <c r="Y57" i="23"/>
  <c r="AQ56" i="23"/>
  <c r="AK56" i="23"/>
  <c r="AJ56" i="23"/>
  <c r="AI56" i="23"/>
  <c r="AH56" i="23"/>
  <c r="AG56" i="23"/>
  <c r="AF56" i="23"/>
  <c r="AE56" i="23"/>
  <c r="Z56" i="23"/>
  <c r="AQ55" i="23"/>
  <c r="AO55" i="23"/>
  <c r="AK55" i="23"/>
  <c r="AJ55" i="23"/>
  <c r="AI55" i="23"/>
  <c r="AH55" i="23"/>
  <c r="AG55" i="23"/>
  <c r="AF55" i="23"/>
  <c r="AE55" i="23"/>
  <c r="Z55" i="23"/>
  <c r="Y55" i="23"/>
  <c r="AQ54" i="23"/>
  <c r="AK54" i="23"/>
  <c r="AJ54" i="23"/>
  <c r="AI54" i="23"/>
  <c r="AH54" i="23"/>
  <c r="AG54" i="23"/>
  <c r="AF54" i="23"/>
  <c r="AE54" i="23"/>
  <c r="Z54" i="23"/>
  <c r="AQ53" i="23"/>
  <c r="AO53" i="23"/>
  <c r="AK53" i="23"/>
  <c r="AJ53" i="23"/>
  <c r="AI53" i="23"/>
  <c r="AH53" i="23"/>
  <c r="AG53" i="23"/>
  <c r="AF53" i="23"/>
  <c r="AE53" i="23"/>
  <c r="Z53" i="23"/>
  <c r="Y53" i="23"/>
  <c r="AQ52" i="23"/>
  <c r="AO52" i="23"/>
  <c r="AK52" i="23"/>
  <c r="AL52" i="23" s="1"/>
  <c r="AJ52" i="23"/>
  <c r="AI52" i="23"/>
  <c r="AH52" i="23"/>
  <c r="AG52" i="23"/>
  <c r="AF52" i="23"/>
  <c r="AE52" i="23"/>
  <c r="Z52" i="23"/>
  <c r="Y52" i="23"/>
  <c r="AQ51" i="23"/>
  <c r="AO51" i="23"/>
  <c r="AK51" i="23"/>
  <c r="AJ51" i="23"/>
  <c r="AI51" i="23"/>
  <c r="AH51" i="23"/>
  <c r="AG51" i="23"/>
  <c r="AF51" i="23"/>
  <c r="AE51" i="23"/>
  <c r="Z51" i="23"/>
  <c r="Y51" i="23"/>
  <c r="AQ50" i="23"/>
  <c r="AK50" i="23"/>
  <c r="AL50" i="23" s="1"/>
  <c r="AM50" i="23" s="1"/>
  <c r="AJ50" i="23"/>
  <c r="AI50" i="23"/>
  <c r="AH50" i="23"/>
  <c r="AG50" i="23"/>
  <c r="AF50" i="23"/>
  <c r="AE50" i="23"/>
  <c r="Z50" i="23"/>
  <c r="AQ49" i="23"/>
  <c r="AO49" i="23"/>
  <c r="AK49" i="23"/>
  <c r="AJ49" i="23"/>
  <c r="AI49" i="23"/>
  <c r="AH49" i="23"/>
  <c r="AG49" i="23"/>
  <c r="AF49" i="23"/>
  <c r="AE49" i="23"/>
  <c r="Z49" i="23"/>
  <c r="Y49" i="23"/>
  <c r="AF45" i="23"/>
  <c r="AG45" i="23" s="1"/>
  <c r="AH45" i="23" s="1"/>
  <c r="AI45" i="23" s="1"/>
  <c r="AJ45" i="23" s="1"/>
  <c r="AK45" i="23" s="1"/>
  <c r="AL45" i="23" s="1"/>
  <c r="AM45" i="23" s="1"/>
  <c r="AN45" i="23" s="1"/>
  <c r="AO45" i="23" s="1"/>
  <c r="C45" i="23"/>
  <c r="D45" i="23" s="1"/>
  <c r="E45" i="23" s="1"/>
  <c r="F45" i="23" s="1"/>
  <c r="G45" i="23" s="1"/>
  <c r="H45" i="23" s="1"/>
  <c r="I45" i="23" s="1"/>
  <c r="J45" i="23" s="1"/>
  <c r="K45" i="23" s="1"/>
  <c r="L45" i="23" s="1"/>
  <c r="M45" i="23" s="1"/>
  <c r="N45" i="23" s="1"/>
  <c r="O45" i="23" s="1"/>
  <c r="P45" i="23" s="1"/>
  <c r="Q45" i="23" s="1"/>
  <c r="R45" i="23" s="1"/>
  <c r="S45" i="23" s="1"/>
  <c r="T45" i="23" s="1"/>
  <c r="U45" i="23" s="1"/>
  <c r="V45" i="23" s="1"/>
  <c r="W45" i="23" s="1"/>
  <c r="X45" i="23" s="1"/>
  <c r="Y45" i="23" s="1"/>
  <c r="Z45" i="23" s="1"/>
  <c r="AA45" i="23" s="1"/>
  <c r="AB45" i="23" s="1"/>
  <c r="AC45" i="23" s="1"/>
  <c r="AD45" i="23" s="1"/>
  <c r="AE45" i="23" s="1"/>
  <c r="P43" i="23"/>
  <c r="AQ36" i="23"/>
  <c r="AO36" i="23"/>
  <c r="AK36" i="23"/>
  <c r="AJ36" i="23"/>
  <c r="AI36" i="23"/>
  <c r="AH36" i="23"/>
  <c r="AG36" i="23"/>
  <c r="AF36" i="23"/>
  <c r="AE36" i="23"/>
  <c r="Z36" i="23"/>
  <c r="Y36" i="23"/>
  <c r="AQ35" i="23"/>
  <c r="AO35" i="23"/>
  <c r="AL35" i="23"/>
  <c r="AM35" i="23" s="1"/>
  <c r="AK35" i="23"/>
  <c r="AJ35" i="23"/>
  <c r="AI35" i="23"/>
  <c r="AH35" i="23"/>
  <c r="AG35" i="23"/>
  <c r="AF35" i="23"/>
  <c r="AE35" i="23"/>
  <c r="Z35" i="23"/>
  <c r="Y35" i="23"/>
  <c r="AQ34" i="23"/>
  <c r="AO34" i="23"/>
  <c r="AK34" i="23"/>
  <c r="AJ34" i="23"/>
  <c r="AI34" i="23"/>
  <c r="AH34" i="23"/>
  <c r="AG34" i="23"/>
  <c r="AF34" i="23"/>
  <c r="AE34" i="23"/>
  <c r="Z34" i="23"/>
  <c r="Y34" i="23"/>
  <c r="AQ33" i="23"/>
  <c r="AO33" i="23"/>
  <c r="AK33" i="23"/>
  <c r="AL33" i="23" s="1"/>
  <c r="AM33" i="23" s="1"/>
  <c r="AJ33" i="23"/>
  <c r="AI33" i="23"/>
  <c r="AH33" i="23"/>
  <c r="AG33" i="23"/>
  <c r="AF33" i="23"/>
  <c r="AE33" i="23"/>
  <c r="Z33" i="23"/>
  <c r="Y33" i="23"/>
  <c r="AQ32" i="23"/>
  <c r="AO32" i="23"/>
  <c r="AK32" i="23"/>
  <c r="AJ32" i="23"/>
  <c r="AI32" i="23"/>
  <c r="AH32" i="23"/>
  <c r="AG32" i="23"/>
  <c r="AF32" i="23"/>
  <c r="AE32" i="23"/>
  <c r="Z32" i="23"/>
  <c r="Y32" i="23"/>
  <c r="AQ30" i="23"/>
  <c r="AO30" i="23"/>
  <c r="AK30" i="23"/>
  <c r="AL30" i="23" s="1"/>
  <c r="AM30" i="23" s="1"/>
  <c r="AN30" i="23" s="1"/>
  <c r="AJ30" i="23"/>
  <c r="AI30" i="23"/>
  <c r="AH30" i="23"/>
  <c r="AG30" i="23"/>
  <c r="AF30" i="23"/>
  <c r="AE30" i="23"/>
  <c r="Z30" i="23"/>
  <c r="Y30" i="23"/>
  <c r="AQ29" i="23"/>
  <c r="AO29" i="23"/>
  <c r="AK29" i="23"/>
  <c r="AJ29" i="23"/>
  <c r="AI29" i="23"/>
  <c r="AH29" i="23"/>
  <c r="AG29" i="23"/>
  <c r="AF29" i="23"/>
  <c r="AE29" i="23"/>
  <c r="Z29" i="23"/>
  <c r="Y29" i="23"/>
  <c r="AQ28" i="23"/>
  <c r="AO28" i="23"/>
  <c r="AK28" i="23"/>
  <c r="AL28" i="23" s="1"/>
  <c r="AJ28" i="23"/>
  <c r="AI28" i="23"/>
  <c r="AH28" i="23"/>
  <c r="AG28" i="23"/>
  <c r="AF28" i="23"/>
  <c r="AE28" i="23"/>
  <c r="Z28" i="23"/>
  <c r="Y28" i="23"/>
  <c r="AQ27" i="23"/>
  <c r="AO27" i="23"/>
  <c r="AK27" i="23"/>
  <c r="AJ27" i="23"/>
  <c r="AI27" i="23"/>
  <c r="AH27" i="23"/>
  <c r="AG27" i="23"/>
  <c r="AF27" i="23"/>
  <c r="AE27" i="23"/>
  <c r="Z27" i="23"/>
  <c r="Y27" i="23"/>
  <c r="AQ26" i="23"/>
  <c r="AO26" i="23"/>
  <c r="AL26" i="23"/>
  <c r="AM26" i="23" s="1"/>
  <c r="AK26" i="23"/>
  <c r="AJ26" i="23"/>
  <c r="AI26" i="23"/>
  <c r="AH26" i="23"/>
  <c r="AG26" i="23"/>
  <c r="AF26" i="23"/>
  <c r="AE26" i="23"/>
  <c r="Z26" i="23"/>
  <c r="Y26" i="23"/>
  <c r="AQ25" i="23"/>
  <c r="AO25" i="23"/>
  <c r="AK25" i="23"/>
  <c r="AJ25" i="23"/>
  <c r="AI25" i="23"/>
  <c r="AH25" i="23"/>
  <c r="AG25" i="23"/>
  <c r="AF25" i="23"/>
  <c r="AE25" i="23"/>
  <c r="Z25" i="23"/>
  <c r="Y25" i="23"/>
  <c r="AQ24" i="23"/>
  <c r="AO24" i="23"/>
  <c r="AK24" i="23"/>
  <c r="AL24" i="23" s="1"/>
  <c r="AJ24" i="23"/>
  <c r="AI24" i="23"/>
  <c r="AH24" i="23"/>
  <c r="AG24" i="23"/>
  <c r="AF24" i="23"/>
  <c r="AE24" i="23"/>
  <c r="Z24" i="23"/>
  <c r="Y24" i="23"/>
  <c r="AQ23" i="23"/>
  <c r="AO23" i="23"/>
  <c r="AK23" i="23"/>
  <c r="AJ23" i="23"/>
  <c r="AI23" i="23"/>
  <c r="AH23" i="23"/>
  <c r="AG23" i="23"/>
  <c r="AF23" i="23"/>
  <c r="AE23" i="23"/>
  <c r="Z23" i="23"/>
  <c r="Y23" i="23"/>
  <c r="AQ22" i="23"/>
  <c r="AO22" i="23"/>
  <c r="AK22" i="23"/>
  <c r="AL22" i="23" s="1"/>
  <c r="AM22" i="23" s="1"/>
  <c r="AJ22" i="23"/>
  <c r="AI22" i="23"/>
  <c r="AH22" i="23"/>
  <c r="AG22" i="23"/>
  <c r="AF22" i="23"/>
  <c r="AE22" i="23"/>
  <c r="Z22" i="23"/>
  <c r="Y22" i="23"/>
  <c r="AQ21" i="23"/>
  <c r="AO21" i="23"/>
  <c r="AK21" i="23"/>
  <c r="AJ21" i="23"/>
  <c r="AI21" i="23"/>
  <c r="AH21" i="23"/>
  <c r="AG21" i="23"/>
  <c r="AF21" i="23"/>
  <c r="AE21" i="23"/>
  <c r="Z21" i="23"/>
  <c r="Y21" i="23"/>
  <c r="AQ20" i="23"/>
  <c r="AO20" i="23"/>
  <c r="AK20" i="23"/>
  <c r="AL20" i="23" s="1"/>
  <c r="AJ20" i="23"/>
  <c r="AI20" i="23"/>
  <c r="AH20" i="23"/>
  <c r="AG20" i="23"/>
  <c r="AF20" i="23"/>
  <c r="AE20" i="23"/>
  <c r="Z20" i="23"/>
  <c r="Y20" i="23"/>
  <c r="AQ19" i="23"/>
  <c r="AO19" i="23"/>
  <c r="AK19" i="23"/>
  <c r="AJ19" i="23"/>
  <c r="AI19" i="23"/>
  <c r="AH19" i="23"/>
  <c r="AG19" i="23"/>
  <c r="AF19" i="23"/>
  <c r="AE19" i="23"/>
  <c r="Z19" i="23"/>
  <c r="Y19" i="23"/>
  <c r="AQ18" i="23"/>
  <c r="AO18" i="23"/>
  <c r="AK18" i="23"/>
  <c r="AL18" i="23" s="1"/>
  <c r="AJ18" i="23"/>
  <c r="AI18" i="23"/>
  <c r="AH18" i="23"/>
  <c r="AG18" i="23"/>
  <c r="AF18" i="23"/>
  <c r="AE18" i="23"/>
  <c r="AB18" i="23"/>
  <c r="Y18" i="23" s="1"/>
  <c r="Z18" i="23"/>
  <c r="AQ17" i="23"/>
  <c r="AO17" i="23"/>
  <c r="AK17" i="23"/>
  <c r="AJ17" i="23"/>
  <c r="AI17" i="23"/>
  <c r="AH17" i="23"/>
  <c r="AG17" i="23"/>
  <c r="AF17" i="23"/>
  <c r="AE17" i="23"/>
  <c r="Z17" i="23"/>
  <c r="Y17" i="23"/>
  <c r="AQ16" i="23"/>
  <c r="AO16" i="23"/>
  <c r="AK16" i="23"/>
  <c r="AL16" i="23" s="1"/>
  <c r="AJ16" i="23"/>
  <c r="AI16" i="23"/>
  <c r="AH16" i="23"/>
  <c r="AG16" i="23"/>
  <c r="AF16" i="23"/>
  <c r="AE16" i="23"/>
  <c r="Z16" i="23"/>
  <c r="Y16" i="23"/>
  <c r="AQ15" i="23"/>
  <c r="AO15" i="23"/>
  <c r="AK15" i="23"/>
  <c r="AL15" i="23" s="1"/>
  <c r="AJ15" i="23"/>
  <c r="AI15" i="23"/>
  <c r="AH15" i="23"/>
  <c r="AG15" i="23"/>
  <c r="AF15" i="23"/>
  <c r="AE15" i="23"/>
  <c r="Z15" i="23"/>
  <c r="Y15" i="23"/>
  <c r="AQ14" i="23"/>
  <c r="AO14" i="23"/>
  <c r="AK14" i="23"/>
  <c r="AJ14" i="23"/>
  <c r="AI14" i="23"/>
  <c r="AH14" i="23"/>
  <c r="AG14" i="23"/>
  <c r="AF14" i="23"/>
  <c r="AE14" i="23"/>
  <c r="Z14" i="23"/>
  <c r="Y14" i="23"/>
  <c r="AQ13" i="23"/>
  <c r="AO13" i="23"/>
  <c r="AK13" i="23"/>
  <c r="AJ13" i="23"/>
  <c r="AI13" i="23"/>
  <c r="AH13" i="23"/>
  <c r="AG13" i="23"/>
  <c r="AF13" i="23"/>
  <c r="AE13" i="23"/>
  <c r="P17" i="22" s="1"/>
  <c r="Z13" i="23"/>
  <c r="Y13" i="23"/>
  <c r="AQ12" i="23"/>
  <c r="AO12" i="23"/>
  <c r="AK12" i="23"/>
  <c r="AL12" i="23" s="1"/>
  <c r="AM12" i="23" s="1"/>
  <c r="AN12" i="23" s="1"/>
  <c r="AJ12" i="23"/>
  <c r="AI12" i="23"/>
  <c r="AH12" i="23"/>
  <c r="AG12" i="23"/>
  <c r="AF12" i="23"/>
  <c r="AE12" i="23"/>
  <c r="Z12" i="23"/>
  <c r="Y12" i="23"/>
  <c r="AQ11" i="23"/>
  <c r="AO11" i="23"/>
  <c r="AK11" i="23"/>
  <c r="AL11" i="23" s="1"/>
  <c r="AJ11" i="23"/>
  <c r="AI11" i="23"/>
  <c r="AH11" i="23"/>
  <c r="AG11" i="23"/>
  <c r="AF11" i="23"/>
  <c r="AE11" i="23"/>
  <c r="Z11" i="23"/>
  <c r="Y11" i="23"/>
  <c r="AQ10" i="23"/>
  <c r="AO10" i="23"/>
  <c r="AK10" i="23"/>
  <c r="AJ10" i="23"/>
  <c r="AI10" i="23"/>
  <c r="AH10" i="23"/>
  <c r="AG10" i="23"/>
  <c r="AF10" i="23"/>
  <c r="AE10" i="23"/>
  <c r="Z10" i="23"/>
  <c r="Y10" i="23"/>
  <c r="C6" i="23"/>
  <c r="D6" i="23" s="1"/>
  <c r="E6" i="23" s="1"/>
  <c r="F6" i="23" s="1"/>
  <c r="G6" i="23" s="1"/>
  <c r="H6" i="23" s="1"/>
  <c r="I6" i="23" s="1"/>
  <c r="J6" i="23" s="1"/>
  <c r="K6" i="23" s="1"/>
  <c r="L6" i="23" s="1"/>
  <c r="M6" i="23" s="1"/>
  <c r="N6" i="23" s="1"/>
  <c r="O6" i="23" s="1"/>
  <c r="P6" i="23" s="1"/>
  <c r="Q6" i="23" s="1"/>
  <c r="R6" i="23" s="1"/>
  <c r="S6" i="23" s="1"/>
  <c r="T6" i="23" s="1"/>
  <c r="U6" i="23" s="1"/>
  <c r="V6" i="23" s="1"/>
  <c r="W6" i="23" s="1"/>
  <c r="X6" i="23" s="1"/>
  <c r="Y6" i="23" s="1"/>
  <c r="Z6" i="23" s="1"/>
  <c r="AA6" i="23" s="1"/>
  <c r="AB6" i="23" s="1"/>
  <c r="AC6" i="23" s="1"/>
  <c r="AD6" i="23" s="1"/>
  <c r="AE6" i="23" s="1"/>
  <c r="AX4" i="23"/>
  <c r="BJ360" i="22"/>
  <c r="AB358" i="22"/>
  <c r="AB357" i="22"/>
  <c r="AQ334" i="22"/>
  <c r="AO334" i="22"/>
  <c r="Y334" i="22"/>
  <c r="U334" i="22"/>
  <c r="AQ333" i="22"/>
  <c r="U333" i="22"/>
  <c r="AQ332" i="22"/>
  <c r="U332" i="22"/>
  <c r="AQ331" i="22"/>
  <c r="U331" i="22"/>
  <c r="AQ330" i="22"/>
  <c r="U330" i="22"/>
  <c r="AQ329" i="22"/>
  <c r="U329" i="22"/>
  <c r="AQ328" i="22"/>
  <c r="U328" i="22"/>
  <c r="AQ327" i="22"/>
  <c r="AO327" i="22"/>
  <c r="Y327" i="22"/>
  <c r="CA327" i="22" s="1"/>
  <c r="CF327" i="22" s="1"/>
  <c r="U327" i="22"/>
  <c r="AQ326" i="22"/>
  <c r="AO326" i="22"/>
  <c r="Y326" i="22"/>
  <c r="CA326" i="22" s="1"/>
  <c r="U326" i="22"/>
  <c r="AQ325" i="22"/>
  <c r="AO325" i="22"/>
  <c r="Y325" i="22"/>
  <c r="AE325" i="22" s="1"/>
  <c r="U325" i="22"/>
  <c r="AQ324" i="22"/>
  <c r="AO324" i="22"/>
  <c r="Y324" i="22"/>
  <c r="CA324" i="22" s="1"/>
  <c r="U324" i="22"/>
  <c r="AQ323" i="22"/>
  <c r="AO323" i="22"/>
  <c r="Y323" i="22"/>
  <c r="AE323" i="22" s="1"/>
  <c r="U323" i="22"/>
  <c r="AQ322" i="22"/>
  <c r="U322" i="22"/>
  <c r="AQ321" i="22"/>
  <c r="U321" i="22"/>
  <c r="AQ320" i="22"/>
  <c r="U320" i="22"/>
  <c r="AQ319" i="22"/>
  <c r="U319" i="22"/>
  <c r="AQ318" i="22"/>
  <c r="U318" i="22"/>
  <c r="AQ317" i="22"/>
  <c r="AO317" i="22"/>
  <c r="Y317" i="22"/>
  <c r="CA317" i="22" s="1"/>
  <c r="CF317" i="22" s="1"/>
  <c r="U317" i="22"/>
  <c r="AQ316" i="22"/>
  <c r="AO316" i="22"/>
  <c r="Y316" i="22"/>
  <c r="AC316" i="22" s="1"/>
  <c r="U316" i="22"/>
  <c r="AQ315" i="22"/>
  <c r="AO315" i="22"/>
  <c r="Y315" i="22"/>
  <c r="AC315" i="22" s="1"/>
  <c r="U315" i="22"/>
  <c r="AQ314" i="22"/>
  <c r="U314" i="22"/>
  <c r="AQ312" i="22"/>
  <c r="U312" i="22"/>
  <c r="AQ310" i="22"/>
  <c r="U310" i="22"/>
  <c r="AQ309" i="22"/>
  <c r="U309" i="22"/>
  <c r="AQ308" i="22"/>
  <c r="U308" i="22"/>
  <c r="AQ307" i="22"/>
  <c r="U307" i="22"/>
  <c r="AQ306" i="22"/>
  <c r="AO306" i="22"/>
  <c r="BD306" i="22" s="1"/>
  <c r="Y306" i="22"/>
  <c r="CA306" i="22" s="1"/>
  <c r="U306" i="22"/>
  <c r="AQ305" i="22"/>
  <c r="AO305" i="22"/>
  <c r="BD305" i="22" s="1"/>
  <c r="Y305" i="22"/>
  <c r="CA305" i="22" s="1"/>
  <c r="CM305" i="22" s="1"/>
  <c r="U305" i="22"/>
  <c r="AQ304" i="22"/>
  <c r="AO304" i="22"/>
  <c r="BD304" i="22" s="1"/>
  <c r="Y304" i="22"/>
  <c r="U304" i="22"/>
  <c r="AQ303" i="22"/>
  <c r="AO303" i="22"/>
  <c r="BD303" i="22" s="1"/>
  <c r="Y303" i="22"/>
  <c r="AE303" i="22" s="1"/>
  <c r="U303" i="22"/>
  <c r="AQ302" i="22"/>
  <c r="U302" i="22"/>
  <c r="AQ301" i="22"/>
  <c r="U301" i="22"/>
  <c r="AQ300" i="22"/>
  <c r="U300" i="22"/>
  <c r="AQ299" i="22"/>
  <c r="U299" i="22"/>
  <c r="AQ298" i="22"/>
  <c r="U298" i="22"/>
  <c r="AQ297" i="22"/>
  <c r="U297" i="22"/>
  <c r="AQ296" i="22"/>
  <c r="U296" i="22"/>
  <c r="AQ295" i="22"/>
  <c r="U295" i="22"/>
  <c r="AQ294" i="22"/>
  <c r="U294" i="22"/>
  <c r="AQ293" i="22"/>
  <c r="U293" i="22"/>
  <c r="AQ292" i="22"/>
  <c r="AO292" i="22"/>
  <c r="BD292" i="22" s="1"/>
  <c r="Y292" i="22"/>
  <c r="CA292" i="22" s="1"/>
  <c r="U292" i="22"/>
  <c r="AQ291" i="22"/>
  <c r="AO291" i="22"/>
  <c r="BD291" i="22" s="1"/>
  <c r="Y291" i="22"/>
  <c r="AE291" i="22" s="1"/>
  <c r="U291" i="22"/>
  <c r="AQ290" i="22"/>
  <c r="AO290" i="22"/>
  <c r="Y290" i="22"/>
  <c r="AE290" i="22" s="1"/>
  <c r="U290" i="22"/>
  <c r="AQ289" i="22"/>
  <c r="AO289" i="22"/>
  <c r="Y289" i="22"/>
  <c r="CA289" i="22" s="1"/>
  <c r="CM289" i="22" s="1"/>
  <c r="U289" i="22"/>
  <c r="AQ288" i="22"/>
  <c r="AO288" i="22"/>
  <c r="BD288" i="22" s="1"/>
  <c r="Y288" i="22"/>
  <c r="CA288" i="22" s="1"/>
  <c r="CF288" i="22" s="1"/>
  <c r="U288" i="22"/>
  <c r="AQ287" i="22"/>
  <c r="AO287" i="22"/>
  <c r="Y287" i="22"/>
  <c r="CA287" i="22" s="1"/>
  <c r="U287" i="22"/>
  <c r="AQ286" i="22"/>
  <c r="AO286" i="22"/>
  <c r="Y286" i="22"/>
  <c r="AC286" i="22" s="1"/>
  <c r="U286" i="22"/>
  <c r="AQ285" i="22"/>
  <c r="AO285" i="22"/>
  <c r="BD285" i="22" s="1"/>
  <c r="Y285" i="22"/>
  <c r="CA285" i="22" s="1"/>
  <c r="CF285" i="22" s="1"/>
  <c r="U285" i="22"/>
  <c r="AQ284" i="22"/>
  <c r="U284" i="22"/>
  <c r="AQ283" i="22"/>
  <c r="U283" i="22"/>
  <c r="AQ282" i="22"/>
  <c r="U282" i="22"/>
  <c r="AQ281" i="22"/>
  <c r="AO281" i="22"/>
  <c r="BD281" i="22" s="1"/>
  <c r="Y281" i="22"/>
  <c r="CA281" i="22" s="1"/>
  <c r="U281" i="22"/>
  <c r="AQ280" i="22"/>
  <c r="AO280" i="22"/>
  <c r="BD280" i="22" s="1"/>
  <c r="Y280" i="22"/>
  <c r="CA280" i="22" s="1"/>
  <c r="U280" i="22"/>
  <c r="AQ279" i="22"/>
  <c r="AO279" i="22"/>
  <c r="BD279" i="22" s="1"/>
  <c r="Y279" i="22"/>
  <c r="CA279" i="22" s="1"/>
  <c r="CM279" i="22" s="1"/>
  <c r="U279" i="22"/>
  <c r="AQ278" i="22"/>
  <c r="AO278" i="22"/>
  <c r="BD278" i="22" s="1"/>
  <c r="Y278" i="22"/>
  <c r="CA278" i="22" s="1"/>
  <c r="CM278" i="22" s="1"/>
  <c r="U278" i="22"/>
  <c r="AQ277" i="22"/>
  <c r="AO277" i="22"/>
  <c r="BD277" i="22" s="1"/>
  <c r="Y277" i="22"/>
  <c r="AC277" i="22" s="1"/>
  <c r="U277" i="22"/>
  <c r="AQ276" i="22"/>
  <c r="AO276" i="22"/>
  <c r="Y276" i="22"/>
  <c r="AD276" i="22" s="1"/>
  <c r="U276" i="22"/>
  <c r="AQ275" i="22"/>
  <c r="AO275" i="22"/>
  <c r="BD275" i="22" s="1"/>
  <c r="Y275" i="22"/>
  <c r="AC275" i="22" s="1"/>
  <c r="U275" i="22"/>
  <c r="AQ274" i="22"/>
  <c r="AO274" i="22"/>
  <c r="BD274" i="22" s="1"/>
  <c r="Y274" i="22"/>
  <c r="AD274" i="22" s="1"/>
  <c r="U274" i="22"/>
  <c r="AQ273" i="22"/>
  <c r="AO273" i="22"/>
  <c r="Y273" i="22"/>
  <c r="U273" i="22"/>
  <c r="AQ272" i="22"/>
  <c r="AO272" i="22"/>
  <c r="BD272" i="22" s="1"/>
  <c r="Y272" i="22"/>
  <c r="U272" i="22"/>
  <c r="AQ271" i="22"/>
  <c r="AO271" i="22"/>
  <c r="BD271" i="22" s="1"/>
  <c r="Y271" i="22"/>
  <c r="AE271" i="22" s="1"/>
  <c r="U271" i="22"/>
  <c r="AQ270" i="22"/>
  <c r="AO270" i="22"/>
  <c r="Y270" i="22"/>
  <c r="AD270" i="22" s="1"/>
  <c r="U270" i="22"/>
  <c r="AQ269" i="22"/>
  <c r="AO269" i="22"/>
  <c r="BD269" i="22" s="1"/>
  <c r="Y269" i="22"/>
  <c r="AC269" i="22" s="1"/>
  <c r="U269" i="22"/>
  <c r="AQ268" i="22"/>
  <c r="AO268" i="22"/>
  <c r="BD268" i="22" s="1"/>
  <c r="Y268" i="22"/>
  <c r="U268" i="22"/>
  <c r="AQ267" i="22"/>
  <c r="AO267" i="22"/>
  <c r="Y267" i="22"/>
  <c r="CA267" i="22" s="1"/>
  <c r="U267" i="22"/>
  <c r="AQ266" i="22"/>
  <c r="AO266" i="22"/>
  <c r="Y266" i="22"/>
  <c r="AE266" i="22" s="1"/>
  <c r="U266" i="22"/>
  <c r="AQ265" i="22"/>
  <c r="AO265" i="22"/>
  <c r="BD265" i="22" s="1"/>
  <c r="Y265" i="22"/>
  <c r="CA265" i="22" s="1"/>
  <c r="CM265" i="22" s="1"/>
  <c r="U265" i="22"/>
  <c r="AQ264" i="22"/>
  <c r="AO264" i="22"/>
  <c r="Y264" i="22"/>
  <c r="AE264" i="22" s="1"/>
  <c r="U264" i="22"/>
  <c r="AQ263" i="22"/>
  <c r="AO263" i="22"/>
  <c r="BD263" i="22" s="1"/>
  <c r="Y263" i="22"/>
  <c r="AD263" i="22" s="1"/>
  <c r="U263" i="22"/>
  <c r="AQ262" i="22"/>
  <c r="AO262" i="22"/>
  <c r="BD262" i="22" s="1"/>
  <c r="Y262" i="22"/>
  <c r="AD262" i="22" s="1"/>
  <c r="U262" i="22"/>
  <c r="AQ261" i="22"/>
  <c r="AO261" i="22"/>
  <c r="BD261" i="22" s="1"/>
  <c r="Y261" i="22"/>
  <c r="U261" i="22"/>
  <c r="AQ260" i="22"/>
  <c r="AO260" i="22"/>
  <c r="Y260" i="22"/>
  <c r="AC260" i="22" s="1"/>
  <c r="U260" i="22"/>
  <c r="AB248" i="22"/>
  <c r="AB247" i="22"/>
  <c r="AQ206" i="22"/>
  <c r="AO206" i="22"/>
  <c r="Y206" i="22"/>
  <c r="AD206" i="22" s="1"/>
  <c r="U206" i="22"/>
  <c r="AQ204" i="22"/>
  <c r="AO204" i="22"/>
  <c r="Y204" i="22"/>
  <c r="AC204" i="22" s="1"/>
  <c r="U204" i="22"/>
  <c r="AQ203" i="22"/>
  <c r="AO203" i="22"/>
  <c r="Y203" i="22"/>
  <c r="AD203" i="22" s="1"/>
  <c r="U203" i="22"/>
  <c r="AQ202" i="22"/>
  <c r="U202" i="22"/>
  <c r="AQ200" i="22"/>
  <c r="AO200" i="22"/>
  <c r="Y200" i="22"/>
  <c r="CA200" i="22" s="1"/>
  <c r="U200" i="22"/>
  <c r="AB185" i="22"/>
  <c r="AB184" i="22"/>
  <c r="AQ109" i="22"/>
  <c r="AO109" i="22"/>
  <c r="Y109" i="22"/>
  <c r="CA109" i="22" s="1"/>
  <c r="U109" i="22"/>
  <c r="B109" i="22"/>
  <c r="AB98" i="22"/>
  <c r="AB97" i="22"/>
  <c r="AQ7" i="22"/>
  <c r="U7" i="22"/>
  <c r="P7" i="22"/>
  <c r="AQ6" i="22"/>
  <c r="AO6" i="22"/>
  <c r="Y6" i="22"/>
  <c r="CA6" i="22" s="1"/>
  <c r="U6" i="22"/>
  <c r="P6" i="22"/>
  <c r="CZ5" i="22"/>
  <c r="CY5" i="22"/>
  <c r="CA9" i="22"/>
  <c r="CM9" i="22" s="1"/>
  <c r="AQ9" i="22"/>
  <c r="AE9" i="22"/>
  <c r="AD9" i="22"/>
  <c r="AC9" i="22"/>
  <c r="U9" i="22"/>
  <c r="CZ8" i="22"/>
  <c r="CY8" i="22"/>
  <c r="AI8" i="22"/>
  <c r="AQ24" i="22"/>
  <c r="U24" i="22"/>
  <c r="AQ23" i="22"/>
  <c r="U23" i="22"/>
  <c r="AQ22" i="22"/>
  <c r="AO22" i="22"/>
  <c r="BD22" i="22" s="1"/>
  <c r="Y22" i="22"/>
  <c r="CA22" i="22" s="1"/>
  <c r="U22" i="22"/>
  <c r="AQ21" i="22"/>
  <c r="AO21" i="22"/>
  <c r="Y21" i="22"/>
  <c r="CA21" i="22" s="1"/>
  <c r="U21" i="22"/>
  <c r="AQ20" i="22"/>
  <c r="AO20" i="22"/>
  <c r="Y20" i="22"/>
  <c r="AD20" i="22" s="1"/>
  <c r="U20" i="22"/>
  <c r="AQ19" i="22"/>
  <c r="AO19" i="22"/>
  <c r="BD19" i="22" s="1"/>
  <c r="Y19" i="22"/>
  <c r="AE19" i="22" s="1"/>
  <c r="U19" i="22"/>
  <c r="AQ17" i="22"/>
  <c r="AO17" i="22"/>
  <c r="BD17" i="22" s="1"/>
  <c r="Y17" i="22"/>
  <c r="AE17" i="22" s="1"/>
  <c r="U17" i="22"/>
  <c r="AQ16" i="22"/>
  <c r="AO16" i="22"/>
  <c r="BD16" i="22" s="1"/>
  <c r="Y16" i="22"/>
  <c r="CA16" i="22" s="1"/>
  <c r="U16" i="22"/>
  <c r="AQ15" i="22"/>
  <c r="AO15" i="22"/>
  <c r="BD15" i="22" s="1"/>
  <c r="Y15" i="22"/>
  <c r="CA15" i="22" s="1"/>
  <c r="U15" i="22"/>
  <c r="AQ14" i="22"/>
  <c r="AO14" i="22"/>
  <c r="Y14" i="22"/>
  <c r="CA14" i="22" s="1"/>
  <c r="CM14" i="22" s="1"/>
  <c r="U14" i="22"/>
  <c r="AQ13" i="22"/>
  <c r="AO13" i="22"/>
  <c r="BD13" i="22" s="1"/>
  <c r="Y13" i="22"/>
  <c r="CA13" i="22" s="1"/>
  <c r="U13" i="22"/>
  <c r="AQ12" i="22"/>
  <c r="AO12" i="22"/>
  <c r="BD12" i="22" s="1"/>
  <c r="Y12" i="22"/>
  <c r="U12" i="22"/>
  <c r="AQ11" i="22"/>
  <c r="U11" i="22"/>
  <c r="H49" i="21"/>
  <c r="E49" i="21"/>
  <c r="B49" i="21"/>
  <c r="H48" i="21"/>
  <c r="E48" i="21"/>
  <c r="B48" i="21"/>
  <c r="H47" i="21"/>
  <c r="E47" i="21"/>
  <c r="B47" i="21"/>
  <c r="H46" i="21"/>
  <c r="E46" i="21"/>
  <c r="B46" i="21"/>
  <c r="H45" i="21"/>
  <c r="E45" i="21"/>
  <c r="B45" i="21"/>
  <c r="H16" i="21"/>
  <c r="E16" i="21"/>
  <c r="B16" i="21"/>
  <c r="H15" i="21"/>
  <c r="E15" i="21"/>
  <c r="B15" i="21"/>
  <c r="H14" i="21"/>
  <c r="E14" i="21"/>
  <c r="B14" i="21"/>
  <c r="CY196" i="20"/>
  <c r="CX196" i="20"/>
  <c r="CW196" i="20"/>
  <c r="AA194" i="20"/>
  <c r="AA193" i="20"/>
  <c r="O191" i="20"/>
  <c r="BB191" i="20" s="1"/>
  <c r="BC191" i="20" s="1"/>
  <c r="M191" i="20"/>
  <c r="G191" i="20"/>
  <c r="CN191" i="20" s="1"/>
  <c r="F191" i="20"/>
  <c r="E191" i="20"/>
  <c r="D191" i="20"/>
  <c r="C191" i="20"/>
  <c r="DR190" i="20"/>
  <c r="C190" i="20"/>
  <c r="O189" i="20"/>
  <c r="BD189" i="20" s="1"/>
  <c r="M189" i="20"/>
  <c r="G189" i="20"/>
  <c r="CU189" i="20" s="1"/>
  <c r="F189" i="20"/>
  <c r="E189" i="20"/>
  <c r="D189" i="20"/>
  <c r="C189" i="20"/>
  <c r="DR188" i="20"/>
  <c r="C188" i="20"/>
  <c r="O187" i="20"/>
  <c r="BD187" i="20" s="1"/>
  <c r="M187" i="20"/>
  <c r="G187" i="20"/>
  <c r="CP187" i="20" s="1"/>
  <c r="F187" i="20"/>
  <c r="E187" i="20"/>
  <c r="D187" i="20"/>
  <c r="C187" i="20"/>
  <c r="O186" i="20"/>
  <c r="AA186" i="20" s="1"/>
  <c r="M186" i="20"/>
  <c r="G186" i="20"/>
  <c r="CJ186" i="20" s="1"/>
  <c r="F186" i="20"/>
  <c r="E186" i="20"/>
  <c r="D186" i="20"/>
  <c r="C186" i="20"/>
  <c r="O185" i="20"/>
  <c r="AA185" i="20" s="1"/>
  <c r="M185" i="20"/>
  <c r="G185" i="20"/>
  <c r="CJ185" i="20" s="1"/>
  <c r="F185" i="20"/>
  <c r="E185" i="20"/>
  <c r="D185" i="20"/>
  <c r="C185" i="20"/>
  <c r="O184" i="20"/>
  <c r="AA184" i="20" s="1"/>
  <c r="M184" i="20"/>
  <c r="G184" i="20"/>
  <c r="CJ184" i="20" s="1"/>
  <c r="F184" i="20"/>
  <c r="E184" i="20"/>
  <c r="D184" i="20"/>
  <c r="C184" i="20"/>
  <c r="O183" i="20"/>
  <c r="AA183" i="20" s="1"/>
  <c r="M183" i="20"/>
  <c r="G183" i="20"/>
  <c r="CJ183" i="20" s="1"/>
  <c r="F183" i="20"/>
  <c r="E183" i="20"/>
  <c r="D183" i="20"/>
  <c r="C183" i="20"/>
  <c r="O182" i="20"/>
  <c r="AB182" i="20" s="1"/>
  <c r="M182" i="20"/>
  <c r="G182" i="20"/>
  <c r="CJ182" i="20" s="1"/>
  <c r="F182" i="20"/>
  <c r="E182" i="20"/>
  <c r="D182" i="20"/>
  <c r="C182" i="20"/>
  <c r="O181" i="20"/>
  <c r="AB181" i="20" s="1"/>
  <c r="M181" i="20"/>
  <c r="G181" i="20"/>
  <c r="BN181" i="20" s="1"/>
  <c r="F181" i="20"/>
  <c r="E181" i="20"/>
  <c r="D181" i="20"/>
  <c r="C181" i="20"/>
  <c r="O180" i="20"/>
  <c r="AB180" i="20" s="1"/>
  <c r="M180" i="20"/>
  <c r="G180" i="20"/>
  <c r="CB180" i="20" s="1"/>
  <c r="F180" i="20"/>
  <c r="E180" i="20"/>
  <c r="D180" i="20"/>
  <c r="C180" i="20"/>
  <c r="O179" i="20"/>
  <c r="AB179" i="20" s="1"/>
  <c r="M179" i="20"/>
  <c r="G179" i="20"/>
  <c r="CJ179" i="20" s="1"/>
  <c r="F179" i="20"/>
  <c r="E179" i="20"/>
  <c r="D179" i="20"/>
  <c r="C179" i="20"/>
  <c r="O178" i="20"/>
  <c r="AB178" i="20" s="1"/>
  <c r="M178" i="20"/>
  <c r="G178" i="20"/>
  <c r="CJ178" i="20" s="1"/>
  <c r="F178" i="20"/>
  <c r="E178" i="20"/>
  <c r="D178" i="20"/>
  <c r="C178" i="20"/>
  <c r="AW177" i="20"/>
  <c r="X177" i="20"/>
  <c r="AI177" i="20" s="1"/>
  <c r="O177" i="20"/>
  <c r="AB177" i="20" s="1"/>
  <c r="M177" i="20"/>
  <c r="G177" i="20"/>
  <c r="CJ177" i="20" s="1"/>
  <c r="F177" i="20"/>
  <c r="E177" i="20"/>
  <c r="D177" i="20"/>
  <c r="C177" i="20"/>
  <c r="AW176" i="20"/>
  <c r="X176" i="20"/>
  <c r="AH176" i="20" s="1"/>
  <c r="O176" i="20"/>
  <c r="M176" i="20"/>
  <c r="G176" i="20"/>
  <c r="CT176" i="20" s="1"/>
  <c r="F176" i="20"/>
  <c r="E176" i="20"/>
  <c r="D176" i="20"/>
  <c r="C176" i="20"/>
  <c r="O175" i="20"/>
  <c r="M175" i="20"/>
  <c r="X175" i="20" s="1"/>
  <c r="G175" i="20"/>
  <c r="CS175" i="20" s="1"/>
  <c r="F175" i="20"/>
  <c r="E175" i="20"/>
  <c r="D175" i="20"/>
  <c r="C175" i="20"/>
  <c r="O174" i="20"/>
  <c r="M174" i="20"/>
  <c r="X174" i="20" s="1"/>
  <c r="G174" i="20"/>
  <c r="CS174" i="20" s="1"/>
  <c r="F174" i="20"/>
  <c r="E174" i="20"/>
  <c r="D174" i="20"/>
  <c r="C174" i="20"/>
  <c r="O173" i="20"/>
  <c r="M173" i="20"/>
  <c r="X173" i="20" s="1"/>
  <c r="G173" i="20"/>
  <c r="CS173" i="20" s="1"/>
  <c r="F173" i="20"/>
  <c r="E173" i="20"/>
  <c r="D173" i="20"/>
  <c r="C173" i="20"/>
  <c r="O172" i="20"/>
  <c r="M172" i="20"/>
  <c r="G172" i="20"/>
  <c r="CS172" i="20" s="1"/>
  <c r="F172" i="20"/>
  <c r="E172" i="20"/>
  <c r="D172" i="20"/>
  <c r="C172" i="20"/>
  <c r="O171" i="20"/>
  <c r="M171" i="20"/>
  <c r="G171" i="20"/>
  <c r="CS171" i="20" s="1"/>
  <c r="F171" i="20"/>
  <c r="E171" i="20"/>
  <c r="D171" i="20"/>
  <c r="C171" i="20"/>
  <c r="O170" i="20"/>
  <c r="M170" i="20"/>
  <c r="X170" i="20" s="1"/>
  <c r="G170" i="20"/>
  <c r="CS170" i="20" s="1"/>
  <c r="F170" i="20"/>
  <c r="E170" i="20"/>
  <c r="D170" i="20"/>
  <c r="C170" i="20"/>
  <c r="O169" i="20"/>
  <c r="M169" i="20"/>
  <c r="G169" i="20"/>
  <c r="CO169" i="20" s="1"/>
  <c r="F169" i="20"/>
  <c r="E169" i="20"/>
  <c r="D169" i="20"/>
  <c r="C169" i="20"/>
  <c r="O168" i="20"/>
  <c r="M168" i="20"/>
  <c r="G168" i="20"/>
  <c r="CS168" i="20" s="1"/>
  <c r="F168" i="20"/>
  <c r="E168" i="20"/>
  <c r="D168" i="20"/>
  <c r="C168" i="20"/>
  <c r="O167" i="20"/>
  <c r="AB167" i="20" s="1"/>
  <c r="M167" i="20"/>
  <c r="G167" i="20"/>
  <c r="BT167" i="20" s="1"/>
  <c r="F167" i="20"/>
  <c r="E167" i="20"/>
  <c r="D167" i="20"/>
  <c r="C167" i="20"/>
  <c r="O166" i="20"/>
  <c r="AB166" i="20" s="1"/>
  <c r="M166" i="20"/>
  <c r="G166" i="20"/>
  <c r="CJ166" i="20" s="1"/>
  <c r="F166" i="20"/>
  <c r="E166" i="20"/>
  <c r="D166" i="20"/>
  <c r="C166" i="20"/>
  <c r="O165" i="20"/>
  <c r="M165" i="20"/>
  <c r="X165" i="20" s="1"/>
  <c r="G165" i="20"/>
  <c r="CU165" i="20" s="1"/>
  <c r="CV165" i="20" s="1"/>
  <c r="F165" i="20"/>
  <c r="E165" i="20"/>
  <c r="D165" i="20"/>
  <c r="C165" i="20"/>
  <c r="AW164" i="20"/>
  <c r="X164" i="20"/>
  <c r="AD164" i="20" s="1"/>
  <c r="O164" i="20"/>
  <c r="M164" i="20"/>
  <c r="G164" i="20"/>
  <c r="CT164" i="20" s="1"/>
  <c r="F164" i="20"/>
  <c r="E164" i="20"/>
  <c r="D164" i="20"/>
  <c r="C164" i="20"/>
  <c r="AW163" i="20"/>
  <c r="X163" i="20"/>
  <c r="AC163" i="20" s="1"/>
  <c r="O163" i="20"/>
  <c r="M163" i="20"/>
  <c r="G163" i="20"/>
  <c r="CS163" i="20" s="1"/>
  <c r="F163" i="20"/>
  <c r="E163" i="20"/>
  <c r="D163" i="20"/>
  <c r="C163" i="20"/>
  <c r="AW162" i="20"/>
  <c r="X162" i="20"/>
  <c r="AI162" i="20" s="1"/>
  <c r="O162" i="20"/>
  <c r="M162" i="20"/>
  <c r="G162" i="20"/>
  <c r="CS162" i="20" s="1"/>
  <c r="F162" i="20"/>
  <c r="E162" i="20"/>
  <c r="D162" i="20"/>
  <c r="DR162" i="20" s="1"/>
  <c r="C162" i="20"/>
  <c r="AW161" i="20"/>
  <c r="X161" i="20"/>
  <c r="AI161" i="20" s="1"/>
  <c r="O161" i="20"/>
  <c r="AB161" i="20" s="1"/>
  <c r="M161" i="20"/>
  <c r="G161" i="20"/>
  <c r="CS161" i="20" s="1"/>
  <c r="F161" i="20"/>
  <c r="E161" i="20"/>
  <c r="D161" i="20"/>
  <c r="DR161" i="20" s="1"/>
  <c r="C161" i="20"/>
  <c r="AW160" i="20"/>
  <c r="X160" i="20"/>
  <c r="AI160" i="20" s="1"/>
  <c r="O160" i="20"/>
  <c r="AB160" i="20" s="1"/>
  <c r="M160" i="20"/>
  <c r="G160" i="20"/>
  <c r="CS160" i="20" s="1"/>
  <c r="F160" i="20"/>
  <c r="E160" i="20"/>
  <c r="D160" i="20"/>
  <c r="C160" i="20"/>
  <c r="AW159" i="20"/>
  <c r="X159" i="20"/>
  <c r="AI159" i="20" s="1"/>
  <c r="O159" i="20"/>
  <c r="AB159" i="20" s="1"/>
  <c r="M159" i="20"/>
  <c r="G159" i="20"/>
  <c r="CS159" i="20" s="1"/>
  <c r="F159" i="20"/>
  <c r="E159" i="20"/>
  <c r="D159" i="20"/>
  <c r="C159" i="20"/>
  <c r="AW158" i="20"/>
  <c r="X158" i="20"/>
  <c r="AI158" i="20" s="1"/>
  <c r="O158" i="20"/>
  <c r="AB158" i="20" s="1"/>
  <c r="M158" i="20"/>
  <c r="G158" i="20"/>
  <c r="CS158" i="20" s="1"/>
  <c r="F158" i="20"/>
  <c r="E158" i="20"/>
  <c r="D158" i="20"/>
  <c r="C158" i="20"/>
  <c r="AW157" i="20"/>
  <c r="X157" i="20"/>
  <c r="AI157" i="20" s="1"/>
  <c r="O157" i="20"/>
  <c r="AB157" i="20" s="1"/>
  <c r="M157" i="20"/>
  <c r="G157" i="20"/>
  <c r="CS157" i="20" s="1"/>
  <c r="F157" i="20"/>
  <c r="E157" i="20"/>
  <c r="D157" i="20"/>
  <c r="C157" i="20"/>
  <c r="AW156" i="20"/>
  <c r="X156" i="20"/>
  <c r="AI156" i="20" s="1"/>
  <c r="O156" i="20"/>
  <c r="AB156" i="20" s="1"/>
  <c r="M156" i="20"/>
  <c r="G156" i="20"/>
  <c r="CS156" i="20" s="1"/>
  <c r="F156" i="20"/>
  <c r="E156" i="20"/>
  <c r="D156" i="20"/>
  <c r="C156" i="20"/>
  <c r="AW155" i="20"/>
  <c r="X155" i="20"/>
  <c r="AI155" i="20" s="1"/>
  <c r="O155" i="20"/>
  <c r="AB155" i="20" s="1"/>
  <c r="M155" i="20"/>
  <c r="G155" i="20"/>
  <c r="CS155" i="20" s="1"/>
  <c r="F155" i="20"/>
  <c r="E155" i="20"/>
  <c r="D155" i="20"/>
  <c r="C155" i="20"/>
  <c r="AW154" i="20"/>
  <c r="X154" i="20"/>
  <c r="AI154" i="20" s="1"/>
  <c r="O154" i="20"/>
  <c r="AB154" i="20" s="1"/>
  <c r="M154" i="20"/>
  <c r="G154" i="20"/>
  <c r="CS154" i="20" s="1"/>
  <c r="F154" i="20"/>
  <c r="E154" i="20"/>
  <c r="D154" i="20"/>
  <c r="DR154" i="20" s="1"/>
  <c r="C154" i="20"/>
  <c r="AW153" i="20"/>
  <c r="X153" i="20"/>
  <c r="AI153" i="20" s="1"/>
  <c r="O153" i="20"/>
  <c r="AB153" i="20" s="1"/>
  <c r="M153" i="20"/>
  <c r="G153" i="20"/>
  <c r="CS153" i="20" s="1"/>
  <c r="F153" i="20"/>
  <c r="E153" i="20"/>
  <c r="D153" i="20"/>
  <c r="DR153" i="20" s="1"/>
  <c r="C153" i="20"/>
  <c r="AW152" i="20"/>
  <c r="X152" i="20"/>
  <c r="AI152" i="20" s="1"/>
  <c r="O152" i="20"/>
  <c r="AB152" i="20" s="1"/>
  <c r="M152" i="20"/>
  <c r="G152" i="20"/>
  <c r="CS152" i="20" s="1"/>
  <c r="F152" i="20"/>
  <c r="E152" i="20"/>
  <c r="D152" i="20"/>
  <c r="C152" i="20"/>
  <c r="AW151" i="20"/>
  <c r="X151" i="20"/>
  <c r="AI151" i="20" s="1"/>
  <c r="O151" i="20"/>
  <c r="AB151" i="20" s="1"/>
  <c r="M151" i="20"/>
  <c r="G151" i="20"/>
  <c r="CS151" i="20" s="1"/>
  <c r="F151" i="20"/>
  <c r="E151" i="20"/>
  <c r="D151" i="20"/>
  <c r="C151" i="20"/>
  <c r="AW150" i="20"/>
  <c r="X150" i="20"/>
  <c r="AI150" i="20" s="1"/>
  <c r="O150" i="20"/>
  <c r="AB150" i="20" s="1"/>
  <c r="M150" i="20"/>
  <c r="G150" i="20"/>
  <c r="CS150" i="20" s="1"/>
  <c r="F150" i="20"/>
  <c r="E150" i="20"/>
  <c r="D150" i="20"/>
  <c r="C150" i="20"/>
  <c r="AW149" i="20"/>
  <c r="X149" i="20"/>
  <c r="AI149" i="20" s="1"/>
  <c r="O149" i="20"/>
  <c r="AB149" i="20" s="1"/>
  <c r="M149" i="20"/>
  <c r="G149" i="20"/>
  <c r="CS149" i="20" s="1"/>
  <c r="F149" i="20"/>
  <c r="E149" i="20"/>
  <c r="D149" i="20"/>
  <c r="C149" i="20"/>
  <c r="AW148" i="20"/>
  <c r="X148" i="20"/>
  <c r="O148" i="20"/>
  <c r="M148" i="20"/>
  <c r="G148" i="20"/>
  <c r="CS148" i="20" s="1"/>
  <c r="F148" i="20"/>
  <c r="E148" i="20"/>
  <c r="D148" i="20"/>
  <c r="C148" i="20"/>
  <c r="AW147" i="20"/>
  <c r="X147" i="20"/>
  <c r="AH147" i="20" s="1"/>
  <c r="O147" i="20"/>
  <c r="AB147" i="20" s="1"/>
  <c r="M147" i="20"/>
  <c r="G147" i="20"/>
  <c r="CQ147" i="20" s="1"/>
  <c r="F147" i="20"/>
  <c r="E147" i="20"/>
  <c r="D147" i="20"/>
  <c r="C147" i="20"/>
  <c r="AW146" i="20"/>
  <c r="X146" i="20"/>
  <c r="AG146" i="20" s="1"/>
  <c r="O146" i="20"/>
  <c r="AB146" i="20" s="1"/>
  <c r="M146" i="20"/>
  <c r="G146" i="20"/>
  <c r="CP146" i="20" s="1"/>
  <c r="F146" i="20"/>
  <c r="E146" i="20"/>
  <c r="D146" i="20"/>
  <c r="C146" i="20"/>
  <c r="AW145" i="20"/>
  <c r="X145" i="20"/>
  <c r="AF145" i="20" s="1"/>
  <c r="O145" i="20"/>
  <c r="AB145" i="20" s="1"/>
  <c r="M145" i="20"/>
  <c r="G145" i="20"/>
  <c r="F145" i="20"/>
  <c r="E145" i="20"/>
  <c r="D145" i="20"/>
  <c r="C145" i="20"/>
  <c r="AW144" i="20"/>
  <c r="X144" i="20"/>
  <c r="AE144" i="20" s="1"/>
  <c r="O144" i="20"/>
  <c r="AB144" i="20" s="1"/>
  <c r="M144" i="20"/>
  <c r="G144" i="20"/>
  <c r="CU144" i="20" s="1"/>
  <c r="F144" i="20"/>
  <c r="E144" i="20"/>
  <c r="D144" i="20"/>
  <c r="C144" i="20"/>
  <c r="AW143" i="20"/>
  <c r="X143" i="20"/>
  <c r="AE143" i="20" s="1"/>
  <c r="O143" i="20"/>
  <c r="AB143" i="20" s="1"/>
  <c r="M143" i="20"/>
  <c r="G143" i="20"/>
  <c r="CN143" i="20" s="1"/>
  <c r="F143" i="20"/>
  <c r="E143" i="20"/>
  <c r="D143" i="20"/>
  <c r="C143" i="20"/>
  <c r="AW142" i="20"/>
  <c r="X142" i="20"/>
  <c r="AE142" i="20" s="1"/>
  <c r="O142" i="20"/>
  <c r="M142" i="20"/>
  <c r="G142" i="20"/>
  <c r="F142" i="20"/>
  <c r="E142" i="20"/>
  <c r="D142" i="20"/>
  <c r="C142" i="20"/>
  <c r="AW141" i="20"/>
  <c r="X141" i="20"/>
  <c r="AF141" i="20" s="1"/>
  <c r="O141" i="20"/>
  <c r="M141" i="20"/>
  <c r="G141" i="20"/>
  <c r="CJ141" i="20" s="1"/>
  <c r="CK141" i="20" s="1"/>
  <c r="F141" i="20"/>
  <c r="E141" i="20"/>
  <c r="D141" i="20"/>
  <c r="C141" i="20"/>
  <c r="C140" i="20"/>
  <c r="AA122" i="20"/>
  <c r="AA121" i="20"/>
  <c r="AW119" i="20"/>
  <c r="X119" i="20"/>
  <c r="AF119" i="20" s="1"/>
  <c r="O119" i="20"/>
  <c r="AB119" i="20" s="1"/>
  <c r="M119" i="20"/>
  <c r="G119" i="20"/>
  <c r="F119" i="20"/>
  <c r="E119" i="20"/>
  <c r="D119" i="20"/>
  <c r="C119" i="20"/>
  <c r="C118" i="20"/>
  <c r="AW117" i="20"/>
  <c r="X117" i="20"/>
  <c r="AF117" i="20" s="1"/>
  <c r="O117" i="20"/>
  <c r="AB117" i="20" s="1"/>
  <c r="M117" i="20"/>
  <c r="G117" i="20"/>
  <c r="F117" i="20"/>
  <c r="E117" i="20"/>
  <c r="D117" i="20"/>
  <c r="C117" i="20"/>
  <c r="AW116" i="20"/>
  <c r="X116" i="20"/>
  <c r="AI116" i="20" s="1"/>
  <c r="O116" i="20"/>
  <c r="AB116" i="20" s="1"/>
  <c r="M116" i="20"/>
  <c r="G116" i="20"/>
  <c r="F116" i="20"/>
  <c r="E116" i="20"/>
  <c r="D116" i="20"/>
  <c r="C116" i="20"/>
  <c r="AW115" i="20"/>
  <c r="X115" i="20"/>
  <c r="AH115" i="20" s="1"/>
  <c r="O115" i="20"/>
  <c r="M115" i="20"/>
  <c r="G115" i="20"/>
  <c r="F115" i="20"/>
  <c r="E115" i="20"/>
  <c r="D115" i="20"/>
  <c r="C115" i="20"/>
  <c r="C114" i="20"/>
  <c r="AW113" i="20"/>
  <c r="X113" i="20"/>
  <c r="AH113" i="20" s="1"/>
  <c r="O113" i="20"/>
  <c r="AB113" i="20" s="1"/>
  <c r="M113" i="20"/>
  <c r="G113" i="20"/>
  <c r="F113" i="20"/>
  <c r="E113" i="20"/>
  <c r="D113" i="20"/>
  <c r="C113" i="20"/>
  <c r="C112" i="20"/>
  <c r="AW111" i="20"/>
  <c r="X111" i="20"/>
  <c r="AH111" i="20" s="1"/>
  <c r="O111" i="20"/>
  <c r="M111" i="20"/>
  <c r="G111" i="20"/>
  <c r="F111" i="20"/>
  <c r="E111" i="20"/>
  <c r="D111" i="20"/>
  <c r="C111" i="20"/>
  <c r="C110" i="20"/>
  <c r="AW109" i="20"/>
  <c r="X109" i="20"/>
  <c r="AH109" i="20" s="1"/>
  <c r="O109" i="20"/>
  <c r="AB109" i="20" s="1"/>
  <c r="M109" i="20"/>
  <c r="G109" i="20"/>
  <c r="F109" i="20"/>
  <c r="E109" i="20"/>
  <c r="D109" i="20"/>
  <c r="C109" i="20"/>
  <c r="C108" i="20"/>
  <c r="AW107" i="20"/>
  <c r="X107" i="20"/>
  <c r="AH107" i="20" s="1"/>
  <c r="O107" i="20"/>
  <c r="AB107" i="20" s="1"/>
  <c r="M107" i="20"/>
  <c r="G107" i="20"/>
  <c r="F107" i="20"/>
  <c r="E107" i="20"/>
  <c r="D107" i="20"/>
  <c r="C107" i="20"/>
  <c r="AW106" i="20"/>
  <c r="X106" i="20"/>
  <c r="AG106" i="20" s="1"/>
  <c r="O106" i="20"/>
  <c r="M106" i="20"/>
  <c r="G106" i="20"/>
  <c r="F106" i="20"/>
  <c r="E106" i="20"/>
  <c r="D106" i="20"/>
  <c r="C106" i="20"/>
  <c r="AW105" i="20"/>
  <c r="X105" i="20"/>
  <c r="AH105" i="20" s="1"/>
  <c r="O105" i="20"/>
  <c r="M105" i="20"/>
  <c r="G105" i="20"/>
  <c r="F105" i="20"/>
  <c r="E105" i="20"/>
  <c r="D105" i="20"/>
  <c r="C105" i="20"/>
  <c r="AW104" i="20"/>
  <c r="X104" i="20"/>
  <c r="O104" i="20"/>
  <c r="AB104" i="20" s="1"/>
  <c r="M104" i="20"/>
  <c r="G104" i="20"/>
  <c r="F104" i="20"/>
  <c r="E104" i="20"/>
  <c r="D104" i="20"/>
  <c r="C104" i="20"/>
  <c r="O103" i="20"/>
  <c r="AB103" i="20" s="1"/>
  <c r="M103" i="20"/>
  <c r="G103" i="20"/>
  <c r="F103" i="20"/>
  <c r="E103" i="20"/>
  <c r="D103" i="20"/>
  <c r="C103" i="20"/>
  <c r="O102" i="20"/>
  <c r="AB102" i="20" s="1"/>
  <c r="M102" i="20"/>
  <c r="X102" i="20" s="1"/>
  <c r="G102" i="20"/>
  <c r="F102" i="20"/>
  <c r="E102" i="20"/>
  <c r="D102" i="20"/>
  <c r="C102" i="20"/>
  <c r="C101" i="20"/>
  <c r="AW100" i="20"/>
  <c r="X100" i="20"/>
  <c r="AG100" i="20" s="1"/>
  <c r="O100" i="20"/>
  <c r="M100" i="20"/>
  <c r="G100" i="20"/>
  <c r="F100" i="20"/>
  <c r="E100" i="20"/>
  <c r="D100" i="20"/>
  <c r="C100" i="20"/>
  <c r="C99" i="20"/>
  <c r="AW88" i="20"/>
  <c r="X88" i="20"/>
  <c r="AE88" i="20" s="1"/>
  <c r="O88" i="20"/>
  <c r="AB88" i="20" s="1"/>
  <c r="M88" i="20"/>
  <c r="G88" i="20"/>
  <c r="CN88" i="20" s="1"/>
  <c r="F88" i="20"/>
  <c r="E88" i="20"/>
  <c r="D88" i="20"/>
  <c r="C88" i="20"/>
  <c r="AW87" i="20"/>
  <c r="X87" i="20"/>
  <c r="AD87" i="20" s="1"/>
  <c r="O87" i="20"/>
  <c r="M87" i="20"/>
  <c r="G87" i="20"/>
  <c r="BN87" i="20" s="1"/>
  <c r="F87" i="20"/>
  <c r="E87" i="20"/>
  <c r="D87" i="20"/>
  <c r="C87" i="20"/>
  <c r="AW86" i="20"/>
  <c r="X86" i="20"/>
  <c r="AC86" i="20" s="1"/>
  <c r="O86" i="20"/>
  <c r="M86" i="20"/>
  <c r="G86" i="20"/>
  <c r="BN86" i="20" s="1"/>
  <c r="F86" i="20"/>
  <c r="E86" i="20"/>
  <c r="D86" i="20"/>
  <c r="C86" i="20"/>
  <c r="AW85" i="20"/>
  <c r="X85" i="20"/>
  <c r="AF85" i="20" s="1"/>
  <c r="O85" i="20"/>
  <c r="AB85" i="20" s="1"/>
  <c r="M85" i="20"/>
  <c r="G85" i="20"/>
  <c r="CJ85" i="20" s="1"/>
  <c r="CK85" i="20" s="1"/>
  <c r="F85" i="20"/>
  <c r="E85" i="20"/>
  <c r="D85" i="20"/>
  <c r="C85" i="20"/>
  <c r="AW84" i="20"/>
  <c r="X84" i="20"/>
  <c r="AI84" i="20" s="1"/>
  <c r="O84" i="20"/>
  <c r="AB84" i="20" s="1"/>
  <c r="M84" i="20"/>
  <c r="G84" i="20"/>
  <c r="CJ84" i="20" s="1"/>
  <c r="F84" i="20"/>
  <c r="E84" i="20"/>
  <c r="D84" i="20"/>
  <c r="C84" i="20"/>
  <c r="AW83" i="20"/>
  <c r="X83" i="20"/>
  <c r="AH83" i="20" s="1"/>
  <c r="O83" i="20"/>
  <c r="AB83" i="20" s="1"/>
  <c r="M83" i="20"/>
  <c r="G83" i="20"/>
  <c r="CU83" i="20" s="1"/>
  <c r="CW83" i="20" s="1"/>
  <c r="F83" i="20"/>
  <c r="E83" i="20"/>
  <c r="D83" i="20"/>
  <c r="C83" i="20"/>
  <c r="AW82" i="20"/>
  <c r="X82" i="20"/>
  <c r="AI82" i="20" s="1"/>
  <c r="O82" i="20"/>
  <c r="M82" i="20"/>
  <c r="G82" i="20"/>
  <c r="CT82" i="20" s="1"/>
  <c r="F82" i="20"/>
  <c r="E82" i="20"/>
  <c r="D82" i="20"/>
  <c r="C82" i="20"/>
  <c r="AW81" i="20"/>
  <c r="X81" i="20"/>
  <c r="AI81" i="20" s="1"/>
  <c r="O81" i="20"/>
  <c r="M81" i="20"/>
  <c r="G81" i="20"/>
  <c r="CS81" i="20" s="1"/>
  <c r="F81" i="20"/>
  <c r="E81" i="20"/>
  <c r="D81" i="20"/>
  <c r="C81" i="20"/>
  <c r="AW80" i="20"/>
  <c r="X80" i="20"/>
  <c r="AC80" i="20" s="1"/>
  <c r="O80" i="20"/>
  <c r="AB80" i="20" s="1"/>
  <c r="M80" i="20"/>
  <c r="G80" i="20"/>
  <c r="CS80" i="20" s="1"/>
  <c r="F80" i="20"/>
  <c r="E80" i="20"/>
  <c r="D80" i="20"/>
  <c r="C80" i="20"/>
  <c r="AW79" i="20"/>
  <c r="X79" i="20"/>
  <c r="O79" i="20"/>
  <c r="AB79" i="20" s="1"/>
  <c r="M79" i="20"/>
  <c r="G79" i="20"/>
  <c r="CR79" i="20" s="1"/>
  <c r="F79" i="20"/>
  <c r="E79" i="20"/>
  <c r="D79" i="20"/>
  <c r="C79" i="20"/>
  <c r="C78" i="20"/>
  <c r="O77" i="20"/>
  <c r="BD77" i="20" s="1"/>
  <c r="M77" i="20"/>
  <c r="G77" i="20"/>
  <c r="CS77" i="20" s="1"/>
  <c r="F77" i="20"/>
  <c r="E77" i="20"/>
  <c r="D77" i="20"/>
  <c r="C77" i="20"/>
  <c r="O76" i="20"/>
  <c r="BD76" i="20" s="1"/>
  <c r="M76" i="20"/>
  <c r="G76" i="20"/>
  <c r="CP76" i="20" s="1"/>
  <c r="F76" i="20"/>
  <c r="E76" i="20"/>
  <c r="D76" i="20"/>
  <c r="C76" i="20"/>
  <c r="O75" i="20"/>
  <c r="BD75" i="20" s="1"/>
  <c r="M75" i="20"/>
  <c r="G75" i="20"/>
  <c r="DA75" i="20" s="1"/>
  <c r="F75" i="20"/>
  <c r="E75" i="20"/>
  <c r="D75" i="20"/>
  <c r="C75" i="20"/>
  <c r="O74" i="20"/>
  <c r="AB74" i="20" s="1"/>
  <c r="M74" i="20"/>
  <c r="X74" i="20" s="1"/>
  <c r="G74" i="20"/>
  <c r="F74" i="20"/>
  <c r="E74" i="20"/>
  <c r="D74" i="20"/>
  <c r="C74" i="20"/>
  <c r="AW73" i="20"/>
  <c r="X73" i="20"/>
  <c r="AF73" i="20" s="1"/>
  <c r="O73" i="20"/>
  <c r="M73" i="20"/>
  <c r="G73" i="20"/>
  <c r="BQ73" i="20" s="1"/>
  <c r="F73" i="20"/>
  <c r="E73" i="20"/>
  <c r="D73" i="20"/>
  <c r="C73" i="20"/>
  <c r="O72" i="20"/>
  <c r="M72" i="20"/>
  <c r="X72" i="20" s="1"/>
  <c r="G72" i="20"/>
  <c r="BN72" i="20" s="1"/>
  <c r="F72" i="20"/>
  <c r="E72" i="20"/>
  <c r="D72" i="20"/>
  <c r="C72" i="20"/>
  <c r="AW71" i="20"/>
  <c r="X71" i="20"/>
  <c r="AI71" i="20" s="1"/>
  <c r="O71" i="20"/>
  <c r="M71" i="20"/>
  <c r="G71" i="20"/>
  <c r="CJ71" i="20" s="1"/>
  <c r="F71" i="20"/>
  <c r="E71" i="20"/>
  <c r="D71" i="20"/>
  <c r="C71" i="20"/>
  <c r="AW70" i="20"/>
  <c r="X70" i="20"/>
  <c r="O70" i="20"/>
  <c r="AB70" i="20" s="1"/>
  <c r="M70" i="20"/>
  <c r="G70" i="20"/>
  <c r="CS70" i="20" s="1"/>
  <c r="F70" i="20"/>
  <c r="E70" i="20"/>
  <c r="D70" i="20"/>
  <c r="C70" i="20"/>
  <c r="AW69" i="20"/>
  <c r="X69" i="20"/>
  <c r="AH69" i="20" s="1"/>
  <c r="O69" i="20"/>
  <c r="AB69" i="20" s="1"/>
  <c r="M69" i="20"/>
  <c r="G69" i="20"/>
  <c r="CU69" i="20" s="1"/>
  <c r="CX69" i="20" s="1"/>
  <c r="F69" i="20"/>
  <c r="E69" i="20"/>
  <c r="D69" i="20"/>
  <c r="C69" i="20"/>
  <c r="AW68" i="20"/>
  <c r="X68" i="20"/>
  <c r="AI68" i="20" s="1"/>
  <c r="O68" i="20"/>
  <c r="AB68" i="20" s="1"/>
  <c r="M68" i="20"/>
  <c r="G68" i="20"/>
  <c r="CT68" i="20" s="1"/>
  <c r="F68" i="20"/>
  <c r="E68" i="20"/>
  <c r="D68" i="20"/>
  <c r="C68" i="20"/>
  <c r="O67" i="20"/>
  <c r="AB67" i="20" s="1"/>
  <c r="M67" i="20"/>
  <c r="X67" i="20" s="1"/>
  <c r="G67" i="20"/>
  <c r="CU67" i="20" s="1"/>
  <c r="CW67" i="20" s="1"/>
  <c r="F67" i="20"/>
  <c r="E67" i="20"/>
  <c r="D67" i="20"/>
  <c r="C67" i="20"/>
  <c r="AW66" i="20"/>
  <c r="X66" i="20"/>
  <c r="O66" i="20"/>
  <c r="AB66" i="20" s="1"/>
  <c r="M66" i="20"/>
  <c r="G66" i="20"/>
  <c r="CS66" i="20" s="1"/>
  <c r="F66" i="20"/>
  <c r="E66" i="20"/>
  <c r="D66" i="20"/>
  <c r="C66" i="20"/>
  <c r="AW65" i="20"/>
  <c r="X65" i="20"/>
  <c r="AH65" i="20" s="1"/>
  <c r="O65" i="20"/>
  <c r="AB65" i="20" s="1"/>
  <c r="M65" i="20"/>
  <c r="G65" i="20"/>
  <c r="CQ65" i="20" s="1"/>
  <c r="F65" i="20"/>
  <c r="E65" i="20"/>
  <c r="D65" i="20"/>
  <c r="C65" i="20"/>
  <c r="AW64" i="20"/>
  <c r="X64" i="20"/>
  <c r="AE64" i="20" s="1"/>
  <c r="O64" i="20"/>
  <c r="AB64" i="20" s="1"/>
  <c r="M64" i="20"/>
  <c r="G64" i="20"/>
  <c r="CN64" i="20" s="1"/>
  <c r="F64" i="20"/>
  <c r="E64" i="20"/>
  <c r="D64" i="20"/>
  <c r="C64" i="20"/>
  <c r="AW63" i="20"/>
  <c r="X63" i="20"/>
  <c r="AD63" i="20" s="1"/>
  <c r="O63" i="20"/>
  <c r="M63" i="20"/>
  <c r="G63" i="20"/>
  <c r="CJ63" i="20" s="1"/>
  <c r="F63" i="20"/>
  <c r="E63" i="20"/>
  <c r="D63" i="20"/>
  <c r="C63" i="20"/>
  <c r="AW62" i="20"/>
  <c r="X62" i="20"/>
  <c r="AD62" i="20" s="1"/>
  <c r="O62" i="20"/>
  <c r="M62" i="20"/>
  <c r="G62" i="20"/>
  <c r="CN62" i="20" s="1"/>
  <c r="F62" i="20"/>
  <c r="E62" i="20"/>
  <c r="D62" i="20"/>
  <c r="C62" i="20"/>
  <c r="AW61" i="20"/>
  <c r="X61" i="20"/>
  <c r="AD61" i="20" s="1"/>
  <c r="O61" i="20"/>
  <c r="M61" i="20"/>
  <c r="G61" i="20"/>
  <c r="BN61" i="20" s="1"/>
  <c r="F61" i="20"/>
  <c r="E61" i="20"/>
  <c r="D61" i="20"/>
  <c r="C61" i="20"/>
  <c r="AW60" i="20"/>
  <c r="X60" i="20"/>
  <c r="AF60" i="20" s="1"/>
  <c r="O60" i="20"/>
  <c r="M60" i="20"/>
  <c r="G60" i="20"/>
  <c r="CJ60" i="20" s="1"/>
  <c r="F60" i="20"/>
  <c r="E60" i="20"/>
  <c r="D60" i="20"/>
  <c r="C60" i="20"/>
  <c r="AW59" i="20"/>
  <c r="X59" i="20"/>
  <c r="AI59" i="20" s="1"/>
  <c r="O59" i="20"/>
  <c r="AB59" i="20" s="1"/>
  <c r="M59" i="20"/>
  <c r="G59" i="20"/>
  <c r="CU59" i="20" s="1"/>
  <c r="CY59" i="20" s="1"/>
  <c r="F59" i="20"/>
  <c r="E59" i="20"/>
  <c r="D59" i="20"/>
  <c r="C59" i="20"/>
  <c r="AW58" i="20"/>
  <c r="X58" i="20"/>
  <c r="AH58" i="20" s="1"/>
  <c r="O58" i="20"/>
  <c r="M58" i="20"/>
  <c r="G58" i="20"/>
  <c r="CT58" i="20" s="1"/>
  <c r="F58" i="20"/>
  <c r="E58" i="20"/>
  <c r="D58" i="20"/>
  <c r="C58" i="20"/>
  <c r="AW57" i="20"/>
  <c r="X57" i="20"/>
  <c r="AG57" i="20" s="1"/>
  <c r="O57" i="20"/>
  <c r="AB57" i="20" s="1"/>
  <c r="M57" i="20"/>
  <c r="G57" i="20"/>
  <c r="CS57" i="20" s="1"/>
  <c r="F57" i="20"/>
  <c r="E57" i="20"/>
  <c r="D57" i="20"/>
  <c r="C57" i="20"/>
  <c r="AW56" i="20"/>
  <c r="X56" i="20"/>
  <c r="AI56" i="20" s="1"/>
  <c r="O56" i="20"/>
  <c r="M56" i="20"/>
  <c r="U56" i="20" s="1"/>
  <c r="G56" i="20"/>
  <c r="CS56" i="20" s="1"/>
  <c r="F56" i="20"/>
  <c r="E56" i="20"/>
  <c r="D56" i="20"/>
  <c r="C56" i="20"/>
  <c r="AW55" i="20"/>
  <c r="X55" i="20"/>
  <c r="AI55" i="20" s="1"/>
  <c r="O55" i="20"/>
  <c r="AB55" i="20" s="1"/>
  <c r="M55" i="20"/>
  <c r="G55" i="20"/>
  <c r="CS55" i="20" s="1"/>
  <c r="F55" i="20"/>
  <c r="E55" i="20"/>
  <c r="D55" i="20"/>
  <c r="C55" i="20"/>
  <c r="AW54" i="20"/>
  <c r="X54" i="20"/>
  <c r="O54" i="20"/>
  <c r="AB54" i="20" s="1"/>
  <c r="M54" i="20"/>
  <c r="G54" i="20"/>
  <c r="F54" i="20"/>
  <c r="E54" i="20"/>
  <c r="D54" i="20"/>
  <c r="C54" i="20"/>
  <c r="AW53" i="20"/>
  <c r="X53" i="20"/>
  <c r="AI53" i="20" s="1"/>
  <c r="O53" i="20"/>
  <c r="AB53" i="20" s="1"/>
  <c r="M53" i="20"/>
  <c r="G53" i="20"/>
  <c r="CR53" i="20" s="1"/>
  <c r="F53" i="20"/>
  <c r="E53" i="20"/>
  <c r="D53" i="20"/>
  <c r="C53" i="20"/>
  <c r="AW52" i="20"/>
  <c r="X52" i="20"/>
  <c r="AE52" i="20" s="1"/>
  <c r="O52" i="20"/>
  <c r="M52" i="20"/>
  <c r="G52" i="20"/>
  <c r="CN52" i="20" s="1"/>
  <c r="F52" i="20"/>
  <c r="E52" i="20"/>
  <c r="D52" i="20"/>
  <c r="C52" i="20"/>
  <c r="AW51" i="20"/>
  <c r="X51" i="20"/>
  <c r="AD51" i="20" s="1"/>
  <c r="O51" i="20"/>
  <c r="M51" i="20"/>
  <c r="G51" i="20"/>
  <c r="BN51" i="20" s="1"/>
  <c r="F51" i="20"/>
  <c r="E51" i="20"/>
  <c r="D51" i="20"/>
  <c r="C51" i="20"/>
  <c r="AW50" i="20"/>
  <c r="X50" i="20"/>
  <c r="AD50" i="20" s="1"/>
  <c r="O50" i="20"/>
  <c r="M50" i="20"/>
  <c r="G50" i="20"/>
  <c r="BN50" i="20" s="1"/>
  <c r="F50" i="20"/>
  <c r="E50" i="20"/>
  <c r="D50" i="20"/>
  <c r="C50" i="20"/>
  <c r="AW49" i="20"/>
  <c r="X49" i="20"/>
  <c r="O49" i="20"/>
  <c r="M49" i="20"/>
  <c r="G49" i="20"/>
  <c r="CS49" i="20" s="1"/>
  <c r="F49" i="20"/>
  <c r="E49" i="20"/>
  <c r="D49" i="20"/>
  <c r="C49" i="20"/>
  <c r="AW48" i="20"/>
  <c r="X48" i="20"/>
  <c r="AG48" i="20" s="1"/>
  <c r="O48" i="20"/>
  <c r="M48" i="20"/>
  <c r="G48" i="20"/>
  <c r="CJ48" i="20" s="1"/>
  <c r="F48" i="20"/>
  <c r="E48" i="20"/>
  <c r="D48" i="20"/>
  <c r="C48" i="20"/>
  <c r="AW47" i="20"/>
  <c r="X47" i="20"/>
  <c r="AI47" i="20" s="1"/>
  <c r="O47" i="20"/>
  <c r="M47" i="20"/>
  <c r="G47" i="20"/>
  <c r="CU47" i="20" s="1"/>
  <c r="CY47" i="20" s="1"/>
  <c r="F47" i="20"/>
  <c r="E47" i="20"/>
  <c r="D47" i="20"/>
  <c r="C47" i="20"/>
  <c r="AW46" i="20"/>
  <c r="X46" i="20"/>
  <c r="AH46" i="20" s="1"/>
  <c r="O46" i="20"/>
  <c r="M46" i="20"/>
  <c r="G46" i="20"/>
  <c r="CT46" i="20" s="1"/>
  <c r="F46" i="20"/>
  <c r="E46" i="20"/>
  <c r="D46" i="20"/>
  <c r="C46" i="20"/>
  <c r="AW45" i="20"/>
  <c r="X45" i="20"/>
  <c r="AI45" i="20" s="1"/>
  <c r="O45" i="20"/>
  <c r="AB45" i="20" s="1"/>
  <c r="M45" i="20"/>
  <c r="G45" i="20"/>
  <c r="CS45" i="20" s="1"/>
  <c r="F45" i="20"/>
  <c r="E45" i="20"/>
  <c r="D45" i="20"/>
  <c r="C45" i="20"/>
  <c r="AW44" i="20"/>
  <c r="X44" i="20"/>
  <c r="AI44" i="20" s="1"/>
  <c r="O44" i="20"/>
  <c r="M44" i="20"/>
  <c r="G44" i="20"/>
  <c r="CS44" i="20" s="1"/>
  <c r="F44" i="20"/>
  <c r="E44" i="20"/>
  <c r="D44" i="20"/>
  <c r="C44" i="20"/>
  <c r="AW43" i="20"/>
  <c r="X43" i="20"/>
  <c r="AC43" i="20" s="1"/>
  <c r="O43" i="20"/>
  <c r="M43" i="20"/>
  <c r="G43" i="20"/>
  <c r="F43" i="20"/>
  <c r="E43" i="20"/>
  <c r="D43" i="20"/>
  <c r="C43" i="20"/>
  <c r="C42" i="20"/>
  <c r="O32" i="20"/>
  <c r="M32" i="20"/>
  <c r="X32" i="20" s="1"/>
  <c r="G32" i="20"/>
  <c r="CT32" i="20" s="1"/>
  <c r="F32" i="20"/>
  <c r="E32" i="20"/>
  <c r="D32" i="20"/>
  <c r="C32" i="20"/>
  <c r="O31" i="20"/>
  <c r="M31" i="20"/>
  <c r="X31" i="20" s="1"/>
  <c r="G31" i="20"/>
  <c r="CS31" i="20" s="1"/>
  <c r="F31" i="20"/>
  <c r="E31" i="20"/>
  <c r="D31" i="20"/>
  <c r="C31" i="20"/>
  <c r="O30" i="20"/>
  <c r="M30" i="20"/>
  <c r="G30" i="20"/>
  <c r="CS30" i="20" s="1"/>
  <c r="F30" i="20"/>
  <c r="E30" i="20"/>
  <c r="D30" i="20"/>
  <c r="C30" i="20"/>
  <c r="O29" i="20"/>
  <c r="M29" i="20"/>
  <c r="X29" i="20" s="1"/>
  <c r="G29" i="20"/>
  <c r="F29" i="20"/>
  <c r="E29" i="20"/>
  <c r="D29" i="20"/>
  <c r="C29" i="20"/>
  <c r="AW28" i="20"/>
  <c r="X28" i="20"/>
  <c r="AI28" i="20" s="1"/>
  <c r="O28" i="20"/>
  <c r="AB28" i="20" s="1"/>
  <c r="M28" i="20"/>
  <c r="G28" i="20"/>
  <c r="CR28" i="20" s="1"/>
  <c r="F28" i="20"/>
  <c r="E28" i="20"/>
  <c r="D28" i="20"/>
  <c r="C28" i="20"/>
  <c r="AE27" i="20"/>
  <c r="C27" i="20"/>
  <c r="O26" i="20"/>
  <c r="M26" i="20"/>
  <c r="G26" i="20"/>
  <c r="CQ26" i="20" s="1"/>
  <c r="F26" i="20"/>
  <c r="E26" i="20"/>
  <c r="D26" i="20"/>
  <c r="C26" i="20"/>
  <c r="O25" i="20"/>
  <c r="BB25" i="20" s="1"/>
  <c r="BC25" i="20" s="1"/>
  <c r="M25" i="20"/>
  <c r="G25" i="20"/>
  <c r="BQ25" i="20" s="1"/>
  <c r="F25" i="20"/>
  <c r="E25" i="20"/>
  <c r="D25" i="20"/>
  <c r="C25" i="20"/>
  <c r="O24" i="20"/>
  <c r="AA24" i="20" s="1"/>
  <c r="M24" i="20"/>
  <c r="G24" i="20"/>
  <c r="CN24" i="20" s="1"/>
  <c r="F24" i="20"/>
  <c r="E24" i="20"/>
  <c r="D24" i="20"/>
  <c r="C24" i="20"/>
  <c r="O23" i="20"/>
  <c r="AB23" i="20" s="1"/>
  <c r="M23" i="20"/>
  <c r="X23" i="20" s="1"/>
  <c r="G23" i="20"/>
  <c r="CU23" i="20" s="1"/>
  <c r="F23" i="20"/>
  <c r="E23" i="20"/>
  <c r="D23" i="20"/>
  <c r="C23" i="20"/>
  <c r="O22" i="20"/>
  <c r="M22" i="20"/>
  <c r="X22" i="20" s="1"/>
  <c r="G22" i="20"/>
  <c r="CT22" i="20" s="1"/>
  <c r="F22" i="20"/>
  <c r="E22" i="20"/>
  <c r="D22" i="20"/>
  <c r="C22" i="20"/>
  <c r="O21" i="20"/>
  <c r="AB21" i="20" s="1"/>
  <c r="M21" i="20"/>
  <c r="X21" i="20" s="1"/>
  <c r="G21" i="20"/>
  <c r="CS21" i="20" s="1"/>
  <c r="F21" i="20"/>
  <c r="E21" i="20"/>
  <c r="D21" i="20"/>
  <c r="C21" i="20"/>
  <c r="O20" i="20"/>
  <c r="M20" i="20"/>
  <c r="G20" i="20"/>
  <c r="CS20" i="20" s="1"/>
  <c r="F20" i="20"/>
  <c r="E20" i="20"/>
  <c r="D20" i="20"/>
  <c r="C20" i="20"/>
  <c r="AW19" i="20"/>
  <c r="X19" i="20"/>
  <c r="AH19" i="20" s="1"/>
  <c r="O19" i="20"/>
  <c r="AB19" i="20" s="1"/>
  <c r="M19" i="20"/>
  <c r="G19" i="20"/>
  <c r="CQ19" i="20" s="1"/>
  <c r="F19" i="20"/>
  <c r="E19" i="20"/>
  <c r="D19" i="20"/>
  <c r="C19" i="20"/>
  <c r="AW18" i="20"/>
  <c r="X18" i="20"/>
  <c r="AG18" i="20" s="1"/>
  <c r="O18" i="20"/>
  <c r="AB18" i="20" s="1"/>
  <c r="M18" i="20"/>
  <c r="G18" i="20"/>
  <c r="CP18" i="20" s="1"/>
  <c r="F18" i="20"/>
  <c r="E18" i="20"/>
  <c r="D18" i="20"/>
  <c r="C18" i="20"/>
  <c r="AW17" i="20"/>
  <c r="X17" i="20"/>
  <c r="AF17" i="20" s="1"/>
  <c r="O17" i="20"/>
  <c r="M17" i="20"/>
  <c r="G17" i="20"/>
  <c r="CN17" i="20" s="1"/>
  <c r="F17" i="20"/>
  <c r="E17" i="20"/>
  <c r="D17" i="20"/>
  <c r="C17" i="20"/>
  <c r="AW16" i="20"/>
  <c r="X16" i="20"/>
  <c r="AC16" i="20" s="1"/>
  <c r="O16" i="20"/>
  <c r="AB16" i="20" s="1"/>
  <c r="M16" i="20"/>
  <c r="G16" i="20"/>
  <c r="CN16" i="20" s="1"/>
  <c r="F16" i="20"/>
  <c r="E16" i="20"/>
  <c r="D16" i="20"/>
  <c r="C16" i="20"/>
  <c r="AW15" i="20"/>
  <c r="X15" i="20"/>
  <c r="AD15" i="20" s="1"/>
  <c r="O15" i="20"/>
  <c r="M15" i="20"/>
  <c r="G15" i="20"/>
  <c r="BN15" i="20" s="1"/>
  <c r="F15" i="20"/>
  <c r="E15" i="20"/>
  <c r="D15" i="20"/>
  <c r="C15" i="20"/>
  <c r="AW14" i="20"/>
  <c r="X14" i="20"/>
  <c r="AC14" i="20" s="1"/>
  <c r="O14" i="20"/>
  <c r="AB14" i="20" s="1"/>
  <c r="M14" i="20"/>
  <c r="G14" i="20"/>
  <c r="BN14" i="20" s="1"/>
  <c r="F14" i="20"/>
  <c r="E14" i="20"/>
  <c r="D14" i="20"/>
  <c r="C14" i="20"/>
  <c r="AW13" i="20"/>
  <c r="X13" i="20"/>
  <c r="AI13" i="20" s="1"/>
  <c r="O13" i="20"/>
  <c r="AB13" i="20" s="1"/>
  <c r="M13" i="20"/>
  <c r="G13" i="20"/>
  <c r="CJ13" i="20" s="1"/>
  <c r="F13" i="20"/>
  <c r="E13" i="20"/>
  <c r="D13" i="20"/>
  <c r="C13" i="20"/>
  <c r="AW12" i="20"/>
  <c r="X12" i="20"/>
  <c r="AF12" i="20" s="1"/>
  <c r="O12" i="20"/>
  <c r="AB12" i="20" s="1"/>
  <c r="M12" i="20"/>
  <c r="G12" i="20"/>
  <c r="CJ12" i="20" s="1"/>
  <c r="F12" i="20"/>
  <c r="E12" i="20"/>
  <c r="D12" i="20"/>
  <c r="C12" i="20"/>
  <c r="AW11" i="20"/>
  <c r="X11" i="20"/>
  <c r="AE11" i="20" s="1"/>
  <c r="O11" i="20"/>
  <c r="AB11" i="20" s="1"/>
  <c r="M11" i="20"/>
  <c r="G11" i="20"/>
  <c r="CU11" i="20" s="1"/>
  <c r="F11" i="20"/>
  <c r="E11" i="20"/>
  <c r="D11" i="20"/>
  <c r="C11" i="20"/>
  <c r="AW10" i="20"/>
  <c r="X10" i="20"/>
  <c r="AI10" i="20" s="1"/>
  <c r="O10" i="20"/>
  <c r="M10" i="20"/>
  <c r="G10" i="20"/>
  <c r="CT10" i="20" s="1"/>
  <c r="F10" i="20"/>
  <c r="E10" i="20"/>
  <c r="D10" i="20"/>
  <c r="C10" i="20"/>
  <c r="AW9" i="20"/>
  <c r="X9" i="20"/>
  <c r="AH9" i="20" s="1"/>
  <c r="O9" i="20"/>
  <c r="AB9" i="20" s="1"/>
  <c r="M9" i="20"/>
  <c r="G9" i="20"/>
  <c r="CS9" i="20" s="1"/>
  <c r="F9" i="20"/>
  <c r="E9" i="20"/>
  <c r="D9" i="20"/>
  <c r="C9" i="20"/>
  <c r="AW8" i="20"/>
  <c r="X8" i="20"/>
  <c r="O8" i="20"/>
  <c r="M8" i="20"/>
  <c r="G8" i="20"/>
  <c r="CS8" i="20" s="1"/>
  <c r="F8" i="20"/>
  <c r="E8" i="20"/>
  <c r="D8" i="20"/>
  <c r="C8" i="20"/>
  <c r="AW7" i="20"/>
  <c r="X7" i="20"/>
  <c r="AH7" i="20" s="1"/>
  <c r="O7" i="20"/>
  <c r="AB7" i="20" s="1"/>
  <c r="M7" i="20"/>
  <c r="G7" i="20"/>
  <c r="CQ7" i="20" s="1"/>
  <c r="F7" i="20"/>
  <c r="E7" i="20"/>
  <c r="D7" i="20"/>
  <c r="C7" i="20"/>
  <c r="O6" i="20"/>
  <c r="M6" i="20"/>
  <c r="G6" i="20"/>
  <c r="CP6" i="20" s="1"/>
  <c r="F6" i="20"/>
  <c r="E6" i="20"/>
  <c r="D6" i="20"/>
  <c r="C6" i="20"/>
  <c r="C5" i="20"/>
  <c r="N5471" i="19"/>
  <c r="D5467" i="19" s="1"/>
  <c r="A5467" i="19"/>
  <c r="B5467" i="19" s="1"/>
  <c r="M5466" i="19"/>
  <c r="D5462" i="19" s="1"/>
  <c r="B5464" i="19"/>
  <c r="B5469" i="19" s="1"/>
  <c r="A5462" i="19"/>
  <c r="C5462" i="19" s="1"/>
  <c r="N5461" i="19"/>
  <c r="D5457" i="19" s="1"/>
  <c r="A5457" i="19"/>
  <c r="C5457" i="19" s="1"/>
  <c r="A5456" i="19"/>
  <c r="B5456" i="19" s="1"/>
  <c r="O5453" i="19"/>
  <c r="E5453" i="19"/>
  <c r="I5453" i="19" s="1"/>
  <c r="O5452" i="19"/>
  <c r="E5452" i="19"/>
  <c r="I5452" i="19" s="1"/>
  <c r="O5451" i="19"/>
  <c r="E5451" i="19"/>
  <c r="I5451" i="19" s="1"/>
  <c r="O5450" i="19"/>
  <c r="E5450" i="19"/>
  <c r="I5450" i="19" s="1"/>
  <c r="O5449" i="19"/>
  <c r="E5449" i="19"/>
  <c r="I5449" i="19" s="1"/>
  <c r="A5447" i="19"/>
  <c r="C5447" i="19" s="1"/>
  <c r="O5444" i="19"/>
  <c r="K5444" i="19" s="1"/>
  <c r="O5443" i="19"/>
  <c r="K5443" i="19" s="1"/>
  <c r="O5442" i="19"/>
  <c r="K5442" i="19" s="1"/>
  <c r="O5441" i="19"/>
  <c r="K5441" i="19" s="1"/>
  <c r="O5440" i="19"/>
  <c r="K5440" i="19" s="1"/>
  <c r="A5437" i="19"/>
  <c r="A5427" i="19"/>
  <c r="C5427" i="19" s="1"/>
  <c r="A5417" i="19"/>
  <c r="C5417" i="19" s="1"/>
  <c r="B5412" i="19"/>
  <c r="A5411" i="19"/>
  <c r="O5406" i="19"/>
  <c r="K5406" i="19" s="1"/>
  <c r="O5405" i="19"/>
  <c r="K5405" i="19" s="1"/>
  <c r="O5404" i="19"/>
  <c r="K5404" i="19" s="1"/>
  <c r="O5403" i="19"/>
  <c r="K5403" i="19" s="1"/>
  <c r="O5402" i="19"/>
  <c r="K5402" i="19" s="1"/>
  <c r="A5398" i="19"/>
  <c r="C5398" i="19" s="1"/>
  <c r="N5397" i="19"/>
  <c r="D5389" i="19" s="1"/>
  <c r="A5389" i="19"/>
  <c r="C5389" i="19" s="1"/>
  <c r="O5388" i="19"/>
  <c r="D5380" i="19" s="1"/>
  <c r="A5380" i="19"/>
  <c r="B5380" i="19" s="1"/>
  <c r="A5371" i="19"/>
  <c r="C5371" i="19" s="1"/>
  <c r="N5368" i="19"/>
  <c r="N5377" i="19" s="1"/>
  <c r="N5434" i="19" s="1"/>
  <c r="K5434" i="19" s="1"/>
  <c r="N5367" i="19"/>
  <c r="N5423" i="19" s="1"/>
  <c r="K5423" i="19" s="1"/>
  <c r="N5366" i="19"/>
  <c r="N5422" i="19" s="1"/>
  <c r="K5422" i="19" s="1"/>
  <c r="N5365" i="19"/>
  <c r="N5374" i="19" s="1"/>
  <c r="N5431" i="19" s="1"/>
  <c r="K5431" i="19" s="1"/>
  <c r="N5364" i="19"/>
  <c r="A5362" i="19"/>
  <c r="O5361" i="19"/>
  <c r="D5352" i="19" s="1"/>
  <c r="A5352" i="19"/>
  <c r="B5352" i="19" s="1"/>
  <c r="O5351" i="19"/>
  <c r="D5342" i="19" s="1"/>
  <c r="A5342" i="19"/>
  <c r="C5342" i="19" s="1"/>
  <c r="O5341" i="19"/>
  <c r="D5332" i="19" s="1"/>
  <c r="A5332" i="19"/>
  <c r="C5332" i="19" s="1"/>
  <c r="N5331" i="19"/>
  <c r="D5322" i="19" s="1"/>
  <c r="A5322" i="19"/>
  <c r="A5321" i="19"/>
  <c r="B5321" i="19" s="1"/>
  <c r="O5320" i="19"/>
  <c r="A5312" i="19"/>
  <c r="A5311" i="19"/>
  <c r="B5311" i="19" s="1"/>
  <c r="A5306" i="19"/>
  <c r="C5306" i="19" s="1"/>
  <c r="B5303" i="19"/>
  <c r="B5308" i="19" s="1"/>
  <c r="E5302" i="19"/>
  <c r="A5301" i="19"/>
  <c r="B5301" i="19" s="1"/>
  <c r="A5292" i="19"/>
  <c r="B5292" i="19" s="1"/>
  <c r="O5291" i="19"/>
  <c r="A5283" i="19"/>
  <c r="C5283" i="19" s="1"/>
  <c r="A5282" i="19"/>
  <c r="B5282" i="19" s="1"/>
  <c r="A5273" i="19"/>
  <c r="B5273" i="19" s="1"/>
  <c r="E5264" i="19"/>
  <c r="B5264" i="19"/>
  <c r="A5263" i="19"/>
  <c r="C5263" i="19" s="1"/>
  <c r="G5262" i="19"/>
  <c r="A5253" i="19"/>
  <c r="C5253" i="19" s="1"/>
  <c r="H5250" i="19"/>
  <c r="B5250" i="19"/>
  <c r="B5260" i="19" s="1"/>
  <c r="B5270" i="19" s="1"/>
  <c r="B5279" i="19" s="1"/>
  <c r="B5289" i="19" s="1"/>
  <c r="B5318" i="19" s="1"/>
  <c r="B5329" i="19" s="1"/>
  <c r="B5339" i="19" s="1"/>
  <c r="B5349" i="19" s="1"/>
  <c r="H5249" i="19"/>
  <c r="B5249" i="19"/>
  <c r="B5259" i="19" s="1"/>
  <c r="B5269" i="19" s="1"/>
  <c r="B5278" i="19" s="1"/>
  <c r="B5288" i="19" s="1"/>
  <c r="B5317" i="19" s="1"/>
  <c r="B5328" i="19" s="1"/>
  <c r="B5338" i="19" s="1"/>
  <c r="B5348" i="19" s="1"/>
  <c r="H5248" i="19"/>
  <c r="B5248" i="19"/>
  <c r="B5258" i="19" s="1"/>
  <c r="B5268" i="19" s="1"/>
  <c r="B5277" i="19" s="1"/>
  <c r="B5287" i="19" s="1"/>
  <c r="B5316" i="19" s="1"/>
  <c r="B5327" i="19" s="1"/>
  <c r="B5337" i="19" s="1"/>
  <c r="B5347" i="19" s="1"/>
  <c r="H5247" i="19"/>
  <c r="B5247" i="19"/>
  <c r="B5257" i="19" s="1"/>
  <c r="B5267" i="19" s="1"/>
  <c r="B5276" i="19" s="1"/>
  <c r="B5286" i="19" s="1"/>
  <c r="B5315" i="19" s="1"/>
  <c r="B5326" i="19" s="1"/>
  <c r="B5336" i="19" s="1"/>
  <c r="B5346" i="19" s="1"/>
  <c r="H5246" i="19"/>
  <c r="B5246" i="19"/>
  <c r="B5256" i="19" s="1"/>
  <c r="B5266" i="19" s="1"/>
  <c r="B5275" i="19" s="1"/>
  <c r="B5285" i="19" s="1"/>
  <c r="B5314" i="19" s="1"/>
  <c r="B5325" i="19" s="1"/>
  <c r="B5335" i="19" s="1"/>
  <c r="B5345" i="19" s="1"/>
  <c r="A5244" i="19"/>
  <c r="C5244" i="19" s="1"/>
  <c r="N5241" i="19"/>
  <c r="N5250" i="19" s="1"/>
  <c r="N5240" i="19"/>
  <c r="N5249" i="19" s="1"/>
  <c r="N5239" i="19"/>
  <c r="N5248" i="19" s="1"/>
  <c r="N5238" i="19"/>
  <c r="N5247" i="19" s="1"/>
  <c r="N5237" i="19"/>
  <c r="A5235" i="19"/>
  <c r="A5234" i="19"/>
  <c r="B5234" i="19" s="1"/>
  <c r="A5233" i="19"/>
  <c r="B5233" i="19" s="1"/>
  <c r="A5220" i="19"/>
  <c r="B5220" i="19" s="1"/>
  <c r="A5207" i="19"/>
  <c r="C5207" i="19" s="1"/>
  <c r="A5194" i="19"/>
  <c r="A5189" i="19"/>
  <c r="C5189" i="19" s="1"/>
  <c r="H5186" i="19"/>
  <c r="B5186" i="19"/>
  <c r="B5190" i="19" s="1"/>
  <c r="A5183" i="19"/>
  <c r="C5183" i="19" s="1"/>
  <c r="E5180" i="19"/>
  <c r="B5180" i="19"/>
  <c r="E5179" i="19"/>
  <c r="B5179" i="19"/>
  <c r="A5177" i="19"/>
  <c r="A5171" i="19"/>
  <c r="C5171" i="19" s="1"/>
  <c r="A5163" i="19"/>
  <c r="C5163" i="19" s="1"/>
  <c r="A5158" i="19"/>
  <c r="J5155" i="19"/>
  <c r="F5155" i="19"/>
  <c r="E5155" i="19"/>
  <c r="J5154" i="19"/>
  <c r="F5154" i="19"/>
  <c r="E5154" i="19"/>
  <c r="J5153" i="19"/>
  <c r="F5153" i="19"/>
  <c r="E5153" i="19"/>
  <c r="J5152" i="19"/>
  <c r="F5152" i="19"/>
  <c r="E5152" i="19"/>
  <c r="J5151" i="19"/>
  <c r="F5151" i="19"/>
  <c r="E5151" i="19"/>
  <c r="J5150" i="19"/>
  <c r="F5150" i="19"/>
  <c r="E5150" i="19"/>
  <c r="J5149" i="19"/>
  <c r="F5149" i="19"/>
  <c r="E5149" i="19"/>
  <c r="J5148" i="19"/>
  <c r="F5148" i="19"/>
  <c r="E5148" i="19"/>
  <c r="B5147" i="19"/>
  <c r="A5145" i="19"/>
  <c r="C5145" i="19" s="1"/>
  <c r="N5142" i="19"/>
  <c r="N5141" i="19"/>
  <c r="N5140" i="19"/>
  <c r="N5139" i="19"/>
  <c r="N5138" i="19"/>
  <c r="N5137" i="19"/>
  <c r="N5136" i="19"/>
  <c r="N5135" i="19"/>
  <c r="A5132" i="19"/>
  <c r="N5129" i="19"/>
  <c r="N5128" i="19"/>
  <c r="N5127" i="19"/>
  <c r="N5126" i="19"/>
  <c r="N5125" i="19"/>
  <c r="N5124" i="19"/>
  <c r="N5123" i="19"/>
  <c r="N5122" i="19"/>
  <c r="A5119" i="19"/>
  <c r="C5119" i="19" s="1"/>
  <c r="N5116" i="19"/>
  <c r="N5115" i="19"/>
  <c r="N5114" i="19"/>
  <c r="N5113" i="19"/>
  <c r="N5112" i="19"/>
  <c r="N5111" i="19"/>
  <c r="N5110" i="19"/>
  <c r="N5109" i="19"/>
  <c r="A5106" i="19"/>
  <c r="C5106" i="19" s="1"/>
  <c r="N5103" i="19"/>
  <c r="N5217" i="19" s="1"/>
  <c r="K5217" i="19" s="1"/>
  <c r="N5102" i="19"/>
  <c r="N5216" i="19" s="1"/>
  <c r="K5216" i="19" s="1"/>
  <c r="N5101" i="19"/>
  <c r="N5215" i="19" s="1"/>
  <c r="K5215" i="19" s="1"/>
  <c r="N5100" i="19"/>
  <c r="N5214" i="19" s="1"/>
  <c r="K5214" i="19" s="1"/>
  <c r="N5099" i="19"/>
  <c r="N5213" i="19" s="1"/>
  <c r="K5213" i="19" s="1"/>
  <c r="N5098" i="19"/>
  <c r="N5212" i="19" s="1"/>
  <c r="K5212" i="19" s="1"/>
  <c r="N5097" i="19"/>
  <c r="N5096" i="19"/>
  <c r="N5210" i="19" s="1"/>
  <c r="K5210" i="19" s="1"/>
  <c r="B5095" i="19"/>
  <c r="A5093" i="19"/>
  <c r="B5093" i="19" s="1"/>
  <c r="N5090" i="19"/>
  <c r="N5204" i="19" s="1"/>
  <c r="K5204" i="19" s="1"/>
  <c r="N5089" i="19"/>
  <c r="N5203" i="19" s="1"/>
  <c r="K5203" i="19" s="1"/>
  <c r="N5088" i="19"/>
  <c r="N5202" i="19" s="1"/>
  <c r="K5202" i="19" s="1"/>
  <c r="N5087" i="19"/>
  <c r="N5201" i="19" s="1"/>
  <c r="K5201" i="19" s="1"/>
  <c r="N5086" i="19"/>
  <c r="N5200" i="19" s="1"/>
  <c r="K5200" i="19" s="1"/>
  <c r="N5085" i="19"/>
  <c r="N5199" i="19" s="1"/>
  <c r="K5199" i="19" s="1"/>
  <c r="N5084" i="19"/>
  <c r="N5198" i="19" s="1"/>
  <c r="K5198" i="19" s="1"/>
  <c r="N5083" i="19"/>
  <c r="N5197" i="19" s="1"/>
  <c r="K5197" i="19" s="1"/>
  <c r="A5080" i="19"/>
  <c r="N5075" i="19"/>
  <c r="A5072" i="19"/>
  <c r="C5072" i="19" s="1"/>
  <c r="A5068" i="19"/>
  <c r="C5068" i="19" s="1"/>
  <c r="B5065" i="19"/>
  <c r="B5064" i="19"/>
  <c r="B5115" i="19" s="1"/>
  <c r="B5128" i="19" s="1"/>
  <c r="B5063" i="19"/>
  <c r="B5062" i="19"/>
  <c r="B5113" i="19" s="1"/>
  <c r="B5126" i="19" s="1"/>
  <c r="B5061" i="19"/>
  <c r="B5086" i="19" s="1"/>
  <c r="B5200" i="19" s="1"/>
  <c r="B5060" i="19"/>
  <c r="B5111" i="19" s="1"/>
  <c r="B5124" i="19" s="1"/>
  <c r="B5225" i="19" s="1"/>
  <c r="B5059" i="19"/>
  <c r="B5058" i="19"/>
  <c r="B5109" i="19" s="1"/>
  <c r="B5122" i="19" s="1"/>
  <c r="A5056" i="19"/>
  <c r="B5056" i="19" s="1"/>
  <c r="O5055" i="19"/>
  <c r="D5048" i="19" s="1"/>
  <c r="G5045" i="19"/>
  <c r="G5065" i="19" s="1"/>
  <c r="G5044" i="19"/>
  <c r="G5043" i="19"/>
  <c r="G5042" i="19"/>
  <c r="O5042" i="19" s="1"/>
  <c r="G5041" i="19"/>
  <c r="G5061" i="19" s="1"/>
  <c r="G5040" i="19"/>
  <c r="G5060" i="19" s="1"/>
  <c r="G5137" i="19" s="1"/>
  <c r="G5150" i="19" s="1"/>
  <c r="G5039" i="19"/>
  <c r="G5059" i="19" s="1"/>
  <c r="G5038" i="19"/>
  <c r="A5036" i="19"/>
  <c r="C5036" i="19" s="1"/>
  <c r="M5032" i="19"/>
  <c r="A5031" i="19"/>
  <c r="C5031" i="19" s="1"/>
  <c r="F5027" i="19"/>
  <c r="F5033" i="19" s="1"/>
  <c r="E5027" i="19"/>
  <c r="A5024" i="19"/>
  <c r="C5024" i="19" s="1"/>
  <c r="A5023" i="19"/>
  <c r="B5023" i="19" s="1"/>
  <c r="M5020" i="19"/>
  <c r="M5022" i="19" s="1"/>
  <c r="A5019" i="19"/>
  <c r="B5019" i="19" s="1"/>
  <c r="M5018" i="19"/>
  <c r="D5015" i="19"/>
  <c r="A5015" i="19"/>
  <c r="B5015" i="19" s="1"/>
  <c r="A5014" i="19"/>
  <c r="B5014" i="19" s="1"/>
  <c r="M5013" i="19"/>
  <c r="D5010" i="19" s="1"/>
  <c r="A5010" i="19"/>
  <c r="B5010" i="19" s="1"/>
  <c r="A5009" i="19"/>
  <c r="B5009" i="19" s="1"/>
  <c r="A5008" i="19"/>
  <c r="B5008" i="19" s="1"/>
  <c r="H5005" i="19"/>
  <c r="F5005" i="19"/>
  <c r="E5005" i="19"/>
  <c r="B5005" i="19"/>
  <c r="A5003" i="19"/>
  <c r="B5003" i="19" s="1"/>
  <c r="N5000" i="19"/>
  <c r="N4999" i="19"/>
  <c r="A4997" i="19"/>
  <c r="C4997" i="19" s="1"/>
  <c r="A4996" i="19"/>
  <c r="B4996" i="19" s="1"/>
  <c r="A4992" i="19"/>
  <c r="C4992" i="19" s="1"/>
  <c r="A4991" i="19"/>
  <c r="B4991" i="19" s="1"/>
  <c r="I4987" i="19"/>
  <c r="A4985" i="19"/>
  <c r="C4985" i="19" s="1"/>
  <c r="A4979" i="19"/>
  <c r="B4979" i="19" s="1"/>
  <c r="A4973" i="19"/>
  <c r="B4973" i="19" s="1"/>
  <c r="A4967" i="19"/>
  <c r="B4967" i="19" s="1"/>
  <c r="B4975" i="19" s="1"/>
  <c r="F4963" i="19"/>
  <c r="B4963" i="19"/>
  <c r="B4969" i="19" s="1"/>
  <c r="B4981" i="19" s="1"/>
  <c r="B4961" i="19"/>
  <c r="B4968" i="19" s="1"/>
  <c r="B4986" i="19" s="1"/>
  <c r="B4980" i="19" s="1"/>
  <c r="A4960" i="19"/>
  <c r="B4960" i="19" s="1"/>
  <c r="B4974" i="19" s="1"/>
  <c r="A4954" i="19"/>
  <c r="C4954" i="19" s="1"/>
  <c r="A4953" i="19"/>
  <c r="B4953" i="19" s="1"/>
  <c r="A4939" i="19"/>
  <c r="C4939" i="19" s="1"/>
  <c r="A4935" i="19"/>
  <c r="B4935" i="19" s="1"/>
  <c r="A4926" i="19"/>
  <c r="A4921" i="19"/>
  <c r="C4921" i="19" s="1"/>
  <c r="I4919" i="19"/>
  <c r="H4918" i="19"/>
  <c r="B4918" i="19"/>
  <c r="H4917" i="19"/>
  <c r="G4917" i="19"/>
  <c r="B4917" i="19"/>
  <c r="B4916" i="19"/>
  <c r="B4950" i="19" s="1"/>
  <c r="F4915" i="19"/>
  <c r="F4949" i="19" s="1"/>
  <c r="E4915" i="19"/>
  <c r="E4949" i="19" s="1"/>
  <c r="H4914" i="19"/>
  <c r="B4914" i="19"/>
  <c r="H4913" i="19"/>
  <c r="G4913" i="19"/>
  <c r="B4913" i="19"/>
  <c r="B4912" i="19"/>
  <c r="B4948" i="19" s="1"/>
  <c r="F4911" i="19"/>
  <c r="F4947" i="19" s="1"/>
  <c r="E4911" i="19"/>
  <c r="E4947" i="19" s="1"/>
  <c r="H4910" i="19"/>
  <c r="B4910" i="19"/>
  <c r="H4909" i="19"/>
  <c r="G4909" i="19"/>
  <c r="B4909" i="19"/>
  <c r="B4908" i="19"/>
  <c r="B4946" i="19" s="1"/>
  <c r="F4907" i="19"/>
  <c r="F4945" i="19" s="1"/>
  <c r="E4907" i="19"/>
  <c r="E4945" i="19" s="1"/>
  <c r="B4906" i="19"/>
  <c r="B4944" i="19" s="1"/>
  <c r="H4904" i="19"/>
  <c r="B4904" i="19"/>
  <c r="B4942" i="19" s="1"/>
  <c r="A4901" i="19"/>
  <c r="C4901" i="19" s="1"/>
  <c r="F4896" i="19"/>
  <c r="F4916" i="19" s="1"/>
  <c r="F4950" i="19" s="1"/>
  <c r="E4896" i="19"/>
  <c r="E4897" i="19" s="1"/>
  <c r="F4892" i="19"/>
  <c r="F4873" i="19" s="1"/>
  <c r="E4892" i="19"/>
  <c r="E4873" i="19" s="1"/>
  <c r="F4888" i="19"/>
  <c r="F4889" i="19" s="1"/>
  <c r="F4870" i="19" s="1"/>
  <c r="E4888" i="19"/>
  <c r="A4881" i="19"/>
  <c r="B4881" i="19" s="1"/>
  <c r="B4923" i="19" s="1"/>
  <c r="B4876" i="19"/>
  <c r="B4895" i="19" s="1"/>
  <c r="B4872" i="19"/>
  <c r="B4891" i="19" s="1"/>
  <c r="B4931" i="19" s="1"/>
  <c r="B4868" i="19"/>
  <c r="B4887" i="19" s="1"/>
  <c r="A4866" i="19"/>
  <c r="B4866" i="19" s="1"/>
  <c r="B4922" i="19" s="1"/>
  <c r="A4860" i="19"/>
  <c r="B4860" i="19" s="1"/>
  <c r="F4857" i="19"/>
  <c r="F4863" i="19" s="1"/>
  <c r="E4857" i="19"/>
  <c r="E4863" i="19" s="1"/>
  <c r="E4885" i="19" s="1"/>
  <c r="B4857" i="19"/>
  <c r="B4863" i="19" s="1"/>
  <c r="F4856" i="19"/>
  <c r="F4862" i="19" s="1"/>
  <c r="F4883" i="19" s="1"/>
  <c r="E4856" i="19"/>
  <c r="E4862" i="19" s="1"/>
  <c r="B4856" i="19"/>
  <c r="B4883" i="19" s="1"/>
  <c r="B4855" i="19"/>
  <c r="B4861" i="19" s="1"/>
  <c r="B4882" i="19" s="1"/>
  <c r="B4867" i="19" s="1"/>
  <c r="A4854" i="19"/>
  <c r="B4854" i="19" s="1"/>
  <c r="A4845" i="19"/>
  <c r="A4844" i="19"/>
  <c r="B4844" i="19" s="1"/>
  <c r="A4840" i="19"/>
  <c r="C4840" i="19" s="1"/>
  <c r="A4836" i="19"/>
  <c r="A4827" i="19"/>
  <c r="B4827" i="19" s="1"/>
  <c r="A4824" i="19"/>
  <c r="C4824" i="19" s="1"/>
  <c r="A4821" i="19"/>
  <c r="A4817" i="19"/>
  <c r="C4817" i="19" s="1"/>
  <c r="B4814" i="19"/>
  <c r="B4813" i="19"/>
  <c r="B4812" i="19"/>
  <c r="B4811" i="19"/>
  <c r="B4810" i="19"/>
  <c r="B4809" i="19"/>
  <c r="B4808" i="19"/>
  <c r="B4807" i="19"/>
  <c r="B4806" i="19"/>
  <c r="B4805" i="19"/>
  <c r="B4804" i="19"/>
  <c r="B4803" i="19"/>
  <c r="A4801" i="19"/>
  <c r="C4801" i="19" s="1"/>
  <c r="A4797" i="19"/>
  <c r="A4793" i="19"/>
  <c r="C4793" i="19" s="1"/>
  <c r="A4790" i="19"/>
  <c r="C4790" i="19" s="1"/>
  <c r="E4788" i="19"/>
  <c r="B4788" i="19"/>
  <c r="E4787" i="19"/>
  <c r="B4787" i="19"/>
  <c r="A4786" i="19"/>
  <c r="B4786" i="19" s="1"/>
  <c r="A4779" i="19"/>
  <c r="B4779" i="19" s="1"/>
  <c r="B4768" i="19"/>
  <c r="B4765" i="19"/>
  <c r="A4763" i="19"/>
  <c r="A4755" i="19"/>
  <c r="B4755" i="19" s="1"/>
  <c r="A4751" i="19"/>
  <c r="C4751" i="19" s="1"/>
  <c r="L4749" i="19"/>
  <c r="A4746" i="19"/>
  <c r="A4741" i="19"/>
  <c r="A4736" i="19"/>
  <c r="C4736" i="19" s="1"/>
  <c r="A4731" i="19"/>
  <c r="C4731" i="19" s="1"/>
  <c r="B4728" i="19"/>
  <c r="B4732" i="19" s="1"/>
  <c r="A4725" i="19"/>
  <c r="B4725" i="19" s="1"/>
  <c r="A4719" i="19"/>
  <c r="B4719" i="19" s="1"/>
  <c r="A4715" i="19"/>
  <c r="A4709" i="19"/>
  <c r="B4709" i="19" s="1"/>
  <c r="B4706" i="19"/>
  <c r="B4716" i="19" s="1"/>
  <c r="A4705" i="19"/>
  <c r="C4705" i="19" s="1"/>
  <c r="A4701" i="19"/>
  <c r="C4701" i="19" s="1"/>
  <c r="A4697" i="19"/>
  <c r="A4687" i="19"/>
  <c r="A4682" i="19"/>
  <c r="C4682" i="19" s="1"/>
  <c r="A4677" i="19"/>
  <c r="A4672" i="19"/>
  <c r="C4672" i="19" s="1"/>
  <c r="A4667" i="19"/>
  <c r="A4661" i="19"/>
  <c r="B4661" i="19" s="1"/>
  <c r="A4656" i="19"/>
  <c r="C4656" i="19" s="1"/>
  <c r="A4651" i="19"/>
  <c r="C4651" i="19" s="1"/>
  <c r="A4645" i="19"/>
  <c r="A4639" i="19"/>
  <c r="B4639" i="19" s="1"/>
  <c r="A4633" i="19"/>
  <c r="C4633" i="19" s="1"/>
  <c r="A4628" i="19"/>
  <c r="B4628" i="19" s="1"/>
  <c r="A4623" i="19"/>
  <c r="C4623" i="19" s="1"/>
  <c r="A4617" i="19"/>
  <c r="B4617" i="19" s="1"/>
  <c r="A4611" i="19"/>
  <c r="A4605" i="19"/>
  <c r="C4605" i="19" s="1"/>
  <c r="A4601" i="19"/>
  <c r="C4601" i="19" s="1"/>
  <c r="A4597" i="19"/>
  <c r="A4593" i="19"/>
  <c r="B4593" i="19" s="1"/>
  <c r="A4589" i="19"/>
  <c r="A4581" i="19"/>
  <c r="B4581" i="19" s="1"/>
  <c r="A4580" i="19"/>
  <c r="B4580" i="19" s="1"/>
  <c r="O4579" i="19"/>
  <c r="A4576" i="19"/>
  <c r="B4576" i="19" s="1"/>
  <c r="O4575" i="19"/>
  <c r="A4572" i="19"/>
  <c r="C4572" i="19" s="1"/>
  <c r="O4571" i="19"/>
  <c r="A4568" i="19"/>
  <c r="B4568" i="19" s="1"/>
  <c r="O4567" i="19"/>
  <c r="A4564" i="19"/>
  <c r="B4564" i="19" s="1"/>
  <c r="O4563" i="19"/>
  <c r="A4560" i="19"/>
  <c r="B4560" i="19" s="1"/>
  <c r="O4559" i="19"/>
  <c r="A4556" i="19"/>
  <c r="A4552" i="19"/>
  <c r="A4548" i="19"/>
  <c r="B4548" i="19" s="1"/>
  <c r="A4544" i="19"/>
  <c r="A4540" i="19"/>
  <c r="C4540" i="19" s="1"/>
  <c r="A4536" i="19"/>
  <c r="C4536" i="19" s="1"/>
  <c r="A4532" i="19"/>
  <c r="B4532" i="19" s="1"/>
  <c r="A4528" i="19"/>
  <c r="C4528" i="19" s="1"/>
  <c r="O4527" i="19"/>
  <c r="A4524" i="19"/>
  <c r="C4524" i="19" s="1"/>
  <c r="O4523" i="19"/>
  <c r="A4520" i="19"/>
  <c r="C4520" i="19" s="1"/>
  <c r="A4519" i="19"/>
  <c r="B4519" i="19" s="1"/>
  <c r="A4515" i="19"/>
  <c r="C4515" i="19" s="1"/>
  <c r="A4511" i="19"/>
  <c r="A4507" i="19"/>
  <c r="B4507" i="19" s="1"/>
  <c r="A4503" i="19"/>
  <c r="B4503" i="19" s="1"/>
  <c r="A4499" i="19"/>
  <c r="C4499" i="19" s="1"/>
  <c r="O4494" i="19"/>
  <c r="M4494" i="19" s="1"/>
  <c r="A4492" i="19"/>
  <c r="B4492" i="19" s="1"/>
  <c r="A4486" i="19"/>
  <c r="C4486" i="19" s="1"/>
  <c r="A4480" i="19"/>
  <c r="C4480" i="19" s="1"/>
  <c r="A4476" i="19"/>
  <c r="C4476" i="19" s="1"/>
  <c r="A4470" i="19"/>
  <c r="B4467" i="19"/>
  <c r="B4471" i="19" s="1"/>
  <c r="A4464" i="19"/>
  <c r="C4464" i="19" s="1"/>
  <c r="A4459" i="19"/>
  <c r="C4459" i="19" s="1"/>
  <c r="L4457" i="19"/>
  <c r="A4455" i="19"/>
  <c r="C4455" i="19" s="1"/>
  <c r="A4449" i="19"/>
  <c r="C4449" i="19" s="1"/>
  <c r="A4445" i="19"/>
  <c r="B4445" i="19" s="1"/>
  <c r="A4439" i="19"/>
  <c r="B4439" i="19" s="1"/>
  <c r="A4435" i="19"/>
  <c r="B4435" i="19" s="1"/>
  <c r="A4431" i="19"/>
  <c r="C4431" i="19" s="1"/>
  <c r="A4427" i="19"/>
  <c r="C4427" i="19" s="1"/>
  <c r="A4423" i="19"/>
  <c r="C4423" i="19" s="1"/>
  <c r="A4419" i="19"/>
  <c r="B4419" i="19" s="1"/>
  <c r="A4418" i="19"/>
  <c r="B4418" i="19" s="1"/>
  <c r="B4415" i="19"/>
  <c r="A4414" i="19"/>
  <c r="C4414" i="19" s="1"/>
  <c r="A4413" i="19"/>
  <c r="B4413" i="19" s="1"/>
  <c r="A4409" i="19"/>
  <c r="A4405" i="19"/>
  <c r="B4405" i="19" s="1"/>
  <c r="A4401" i="19"/>
  <c r="A4397" i="19"/>
  <c r="B4397" i="19" s="1"/>
  <c r="A4393" i="19"/>
  <c r="C4393" i="19" s="1"/>
  <c r="A4389" i="19"/>
  <c r="B4389" i="19" s="1"/>
  <c r="A4385" i="19"/>
  <c r="A4381" i="19"/>
  <c r="C4381" i="19" s="1"/>
  <c r="A4377" i="19"/>
  <c r="A4373" i="19"/>
  <c r="A4372" i="19"/>
  <c r="B4372" i="19" s="1"/>
  <c r="A4368" i="19"/>
  <c r="B4368" i="19" s="1"/>
  <c r="E4366" i="19"/>
  <c r="B4366" i="19"/>
  <c r="E4365" i="19"/>
  <c r="B4365" i="19"/>
  <c r="A4364" i="19"/>
  <c r="A4359" i="19"/>
  <c r="C4359" i="19" s="1"/>
  <c r="A4355" i="19"/>
  <c r="A4350" i="19"/>
  <c r="C4350" i="19" s="1"/>
  <c r="A4345" i="19"/>
  <c r="B4345" i="19" s="1"/>
  <c r="A4340" i="19"/>
  <c r="A4335" i="19"/>
  <c r="C4335" i="19" s="1"/>
  <c r="A4330" i="19"/>
  <c r="C4330" i="19" s="1"/>
  <c r="A4325" i="19"/>
  <c r="C4325" i="19" s="1"/>
  <c r="A4320" i="19"/>
  <c r="C4320" i="19" s="1"/>
  <c r="A4315" i="19"/>
  <c r="B4315" i="19" s="1"/>
  <c r="A4310" i="19"/>
  <c r="C4310" i="19" s="1"/>
  <c r="A4300" i="19"/>
  <c r="C4300" i="19" s="1"/>
  <c r="A4295" i="19"/>
  <c r="B4295" i="19" s="1"/>
  <c r="A4290" i="19"/>
  <c r="C4290" i="19" s="1"/>
  <c r="A4280" i="19"/>
  <c r="A4279" i="19"/>
  <c r="B4279" i="19" s="1"/>
  <c r="A4278" i="19"/>
  <c r="B4278" i="19" s="1"/>
  <c r="B4270" i="19"/>
  <c r="B4269" i="19"/>
  <c r="B4268" i="19"/>
  <c r="E4264" i="19"/>
  <c r="E4274" i="19" s="1"/>
  <c r="C4258" i="19"/>
  <c r="E4254" i="19"/>
  <c r="A4252" i="19"/>
  <c r="B4252" i="19" s="1"/>
  <c r="A4247" i="19"/>
  <c r="C4247" i="19" s="1"/>
  <c r="A4242" i="19"/>
  <c r="C4242" i="19" s="1"/>
  <c r="A4237" i="19"/>
  <c r="B4237" i="19" s="1"/>
  <c r="E4233" i="19"/>
  <c r="A4231" i="19"/>
  <c r="B4231" i="19" s="1"/>
  <c r="A4226" i="19"/>
  <c r="C4226" i="19" s="1"/>
  <c r="A4220" i="19"/>
  <c r="C4220" i="19" s="1"/>
  <c r="A4215" i="19"/>
  <c r="B4215" i="19" s="1"/>
  <c r="A4210" i="19"/>
  <c r="E4206" i="19"/>
  <c r="A4204" i="19"/>
  <c r="B4204" i="19" s="1"/>
  <c r="A4199" i="19"/>
  <c r="C4199" i="19" s="1"/>
  <c r="A4193" i="19"/>
  <c r="B4193" i="19" s="1"/>
  <c r="A4177" i="19"/>
  <c r="B4177" i="19" s="1"/>
  <c r="B4174" i="19"/>
  <c r="B4190" i="19" s="1"/>
  <c r="B4173" i="19"/>
  <c r="B4189" i="19" s="1"/>
  <c r="B4172" i="19"/>
  <c r="B4188" i="19" s="1"/>
  <c r="B4171" i="19"/>
  <c r="B4187" i="19" s="1"/>
  <c r="B4170" i="19"/>
  <c r="B4186" i="19" s="1"/>
  <c r="B4169" i="19"/>
  <c r="B4185" i="19" s="1"/>
  <c r="B4168" i="19"/>
  <c r="B4184" i="19" s="1"/>
  <c r="B4167" i="19"/>
  <c r="B4183" i="19" s="1"/>
  <c r="B4166" i="19"/>
  <c r="B4182" i="19" s="1"/>
  <c r="B4165" i="19"/>
  <c r="B4181" i="19" s="1"/>
  <c r="B4164" i="19"/>
  <c r="B4180" i="19" s="1"/>
  <c r="B4163" i="19"/>
  <c r="B4179" i="19" s="1"/>
  <c r="A4161" i="19"/>
  <c r="B4161" i="19" s="1"/>
  <c r="H4158" i="19"/>
  <c r="F4158" i="19"/>
  <c r="E4158" i="19"/>
  <c r="B4158" i="19"/>
  <c r="H4157" i="19"/>
  <c r="F4157" i="19"/>
  <c r="E4157" i="19"/>
  <c r="B4157" i="19"/>
  <c r="H4156" i="19"/>
  <c r="F4156" i="19"/>
  <c r="E4156" i="19"/>
  <c r="B4156" i="19"/>
  <c r="H4155" i="19"/>
  <c r="F4155" i="19"/>
  <c r="E4155" i="19"/>
  <c r="B4155" i="19"/>
  <c r="H4154" i="19"/>
  <c r="F4154" i="19"/>
  <c r="E4154" i="19"/>
  <c r="B4154" i="19"/>
  <c r="H4153" i="19"/>
  <c r="F4153" i="19"/>
  <c r="E4153" i="19"/>
  <c r="B4153" i="19"/>
  <c r="H4152" i="19"/>
  <c r="F4152" i="19"/>
  <c r="E4152" i="19"/>
  <c r="B4152" i="19"/>
  <c r="H4151" i="19"/>
  <c r="F4151" i="19"/>
  <c r="E4151" i="19"/>
  <c r="B4151" i="19"/>
  <c r="H4150" i="19"/>
  <c r="F4150" i="19"/>
  <c r="E4150" i="19"/>
  <c r="B4150" i="19"/>
  <c r="H4149" i="19"/>
  <c r="F4149" i="19"/>
  <c r="E4149" i="19"/>
  <c r="B4149" i="19"/>
  <c r="H4148" i="19"/>
  <c r="F4148" i="19"/>
  <c r="E4148" i="19"/>
  <c r="B4148" i="19"/>
  <c r="H4147" i="19"/>
  <c r="F4147" i="19"/>
  <c r="E4147" i="19"/>
  <c r="B4147" i="19"/>
  <c r="A4144" i="19"/>
  <c r="B4144" i="19" s="1"/>
  <c r="F4140" i="19"/>
  <c r="E4140" i="19"/>
  <c r="E4174" i="19" s="1"/>
  <c r="F4139" i="19"/>
  <c r="E4139" i="19"/>
  <c r="F4138" i="19"/>
  <c r="E4138" i="19"/>
  <c r="E4172" i="19" s="1"/>
  <c r="F4137" i="19"/>
  <c r="E4137" i="19"/>
  <c r="E4171" i="19" s="1"/>
  <c r="F4136" i="19"/>
  <c r="E4136" i="19"/>
  <c r="E4170" i="19" s="1"/>
  <c r="F4135" i="19"/>
  <c r="E4135" i="19"/>
  <c r="E4169" i="19" s="1"/>
  <c r="F4134" i="19"/>
  <c r="E4134" i="19"/>
  <c r="F4133" i="19"/>
  <c r="E4133" i="19"/>
  <c r="F4132" i="19"/>
  <c r="E4132" i="19"/>
  <c r="E4166" i="19" s="1"/>
  <c r="F4131" i="19"/>
  <c r="E4131" i="19"/>
  <c r="E4165" i="19" s="1"/>
  <c r="F4130" i="19"/>
  <c r="E4130" i="19"/>
  <c r="E4164" i="19" s="1"/>
  <c r="F4129" i="19"/>
  <c r="E4129" i="19"/>
  <c r="E4163" i="19" s="1"/>
  <c r="A4126" i="19"/>
  <c r="C4126" i="19" s="1"/>
  <c r="E4122" i="19"/>
  <c r="B4122" i="19"/>
  <c r="A4120" i="19"/>
  <c r="C4120" i="19" s="1"/>
  <c r="A4115" i="19"/>
  <c r="A4110" i="19"/>
  <c r="B4110" i="19" s="1"/>
  <c r="A4105" i="19"/>
  <c r="C4105" i="19" s="1"/>
  <c r="E4102" i="19"/>
  <c r="B4102" i="19"/>
  <c r="A4100" i="19"/>
  <c r="B4100" i="19" s="1"/>
  <c r="A4095" i="19"/>
  <c r="B4095" i="19" s="1"/>
  <c r="A4090" i="19"/>
  <c r="B4090" i="19" s="1"/>
  <c r="A4085" i="19"/>
  <c r="B4085" i="19" s="1"/>
  <c r="E4082" i="19"/>
  <c r="B4082" i="19"/>
  <c r="A4080" i="19"/>
  <c r="C4080" i="19" s="1"/>
  <c r="A4075" i="19"/>
  <c r="H4072" i="19"/>
  <c r="H4461" i="19" s="1"/>
  <c r="H4467" i="19" s="1"/>
  <c r="B4072" i="19"/>
  <c r="B4071" i="19"/>
  <c r="A4070" i="19"/>
  <c r="C4070" i="19" s="1"/>
  <c r="A4063" i="19"/>
  <c r="B4063" i="19" s="1"/>
  <c r="A4058" i="19"/>
  <c r="B4058" i="19" s="1"/>
  <c r="M4057" i="19"/>
  <c r="D4051" i="19" s="1"/>
  <c r="A4051" i="19"/>
  <c r="C4051" i="19" s="1"/>
  <c r="M4050" i="19"/>
  <c r="D4044" i="19" s="1"/>
  <c r="A4044" i="19"/>
  <c r="M4043" i="19"/>
  <c r="D4037" i="19" s="1"/>
  <c r="A4037" i="19"/>
  <c r="M4036" i="19"/>
  <c r="D4030" i="19" s="1"/>
  <c r="A4030" i="19"/>
  <c r="B4030" i="19" s="1"/>
  <c r="M4029" i="19"/>
  <c r="D4023" i="19" s="1"/>
  <c r="A4023" i="19"/>
  <c r="B4023" i="19" s="1"/>
  <c r="A4017" i="19"/>
  <c r="B4017" i="19" s="1"/>
  <c r="A4011" i="19"/>
  <c r="B4011" i="19" s="1"/>
  <c r="A4003" i="19"/>
  <c r="B4003" i="19" s="1"/>
  <c r="A3995" i="19"/>
  <c r="B3995" i="19" s="1"/>
  <c r="A3990" i="19"/>
  <c r="N3987" i="19"/>
  <c r="N3989" i="19" s="1"/>
  <c r="D3985" i="19" s="1"/>
  <c r="A3985" i="19"/>
  <c r="C3985" i="19" s="1"/>
  <c r="A3984" i="19"/>
  <c r="B3984" i="19" s="1"/>
  <c r="A3983" i="19"/>
  <c r="B3983" i="19" s="1"/>
  <c r="A3968" i="19"/>
  <c r="A3953" i="19"/>
  <c r="C3953" i="19" s="1"/>
  <c r="A3938" i="19"/>
  <c r="B3938" i="19" s="1"/>
  <c r="A3933" i="19"/>
  <c r="H3930" i="19"/>
  <c r="B3930" i="19"/>
  <c r="B3934" i="19" s="1"/>
  <c r="A3927" i="19"/>
  <c r="B3927" i="19" s="1"/>
  <c r="E3924" i="19"/>
  <c r="B3924" i="19"/>
  <c r="E3923" i="19"/>
  <c r="B3923" i="19"/>
  <c r="A3921" i="19"/>
  <c r="C3921" i="19" s="1"/>
  <c r="A3915" i="19"/>
  <c r="B3915" i="19" s="1"/>
  <c r="A3907" i="19"/>
  <c r="C3907" i="19" s="1"/>
  <c r="A3902" i="19"/>
  <c r="J3896" i="19"/>
  <c r="F3896" i="19"/>
  <c r="E3896" i="19"/>
  <c r="B3896" i="19"/>
  <c r="J3895" i="19"/>
  <c r="F3895" i="19"/>
  <c r="E3895" i="19"/>
  <c r="B3895" i="19"/>
  <c r="J3894" i="19"/>
  <c r="F3894" i="19"/>
  <c r="E3894" i="19"/>
  <c r="B3894" i="19"/>
  <c r="J3893" i="19"/>
  <c r="F3893" i="19"/>
  <c r="E3893" i="19"/>
  <c r="B3893" i="19"/>
  <c r="J3892" i="19"/>
  <c r="F3892" i="19"/>
  <c r="E3892" i="19"/>
  <c r="B3892" i="19"/>
  <c r="J3891" i="19"/>
  <c r="F3891" i="19"/>
  <c r="E3891" i="19"/>
  <c r="B3891" i="19"/>
  <c r="J3890" i="19"/>
  <c r="F3890" i="19"/>
  <c r="E3890" i="19"/>
  <c r="B3890" i="19"/>
  <c r="J3889" i="19"/>
  <c r="F3889" i="19"/>
  <c r="E3889" i="19"/>
  <c r="B3889" i="19"/>
  <c r="J3888" i="19"/>
  <c r="F3888" i="19"/>
  <c r="E3888" i="19"/>
  <c r="B3888" i="19"/>
  <c r="J3887" i="19"/>
  <c r="F3887" i="19"/>
  <c r="E3887" i="19"/>
  <c r="B3887" i="19"/>
  <c r="B3886" i="19"/>
  <c r="N3878" i="19"/>
  <c r="N3877" i="19"/>
  <c r="N3876" i="19"/>
  <c r="N3875" i="19"/>
  <c r="N3874" i="19"/>
  <c r="N3873" i="19"/>
  <c r="N3872" i="19"/>
  <c r="N3871" i="19"/>
  <c r="N3870" i="19"/>
  <c r="N3869" i="19"/>
  <c r="N3860" i="19"/>
  <c r="N3859" i="19"/>
  <c r="N3858" i="19"/>
  <c r="N3857" i="19"/>
  <c r="N3856" i="19"/>
  <c r="N3855" i="19"/>
  <c r="N3854" i="19"/>
  <c r="N3853" i="19"/>
  <c r="N3852" i="19"/>
  <c r="N3851" i="19"/>
  <c r="A3848" i="19"/>
  <c r="B3848" i="19" s="1"/>
  <c r="N3842" i="19"/>
  <c r="N3841" i="19"/>
  <c r="N3840" i="19"/>
  <c r="N3839" i="19"/>
  <c r="N3838" i="19"/>
  <c r="N3837" i="19"/>
  <c r="N3836" i="19"/>
  <c r="N3835" i="19"/>
  <c r="N3834" i="19"/>
  <c r="N3833" i="19"/>
  <c r="A3830" i="19"/>
  <c r="B3830" i="19" s="1"/>
  <c r="N3827" i="19"/>
  <c r="N3965" i="19" s="1"/>
  <c r="K3965" i="19" s="1"/>
  <c r="N3826" i="19"/>
  <c r="N3964" i="19" s="1"/>
  <c r="K3964" i="19" s="1"/>
  <c r="N3825" i="19"/>
  <c r="N3963" i="19" s="1"/>
  <c r="K3963" i="19" s="1"/>
  <c r="N3824" i="19"/>
  <c r="N3962" i="19" s="1"/>
  <c r="K3962" i="19" s="1"/>
  <c r="N3823" i="19"/>
  <c r="N3961" i="19" s="1"/>
  <c r="K3961" i="19" s="1"/>
  <c r="N3822" i="19"/>
  <c r="N3960" i="19" s="1"/>
  <c r="K3960" i="19" s="1"/>
  <c r="N3821" i="19"/>
  <c r="N3959" i="19" s="1"/>
  <c r="K3959" i="19" s="1"/>
  <c r="N3820" i="19"/>
  <c r="N3958" i="19" s="1"/>
  <c r="K3958" i="19" s="1"/>
  <c r="N3819" i="19"/>
  <c r="N3957" i="19" s="1"/>
  <c r="K3957" i="19" s="1"/>
  <c r="N3818" i="19"/>
  <c r="B3817" i="19"/>
  <c r="A3815" i="19"/>
  <c r="C3815" i="19" s="1"/>
  <c r="N3812" i="19"/>
  <c r="N3950" i="19" s="1"/>
  <c r="K3950" i="19" s="1"/>
  <c r="N3811" i="19"/>
  <c r="N3949" i="19" s="1"/>
  <c r="K3949" i="19" s="1"/>
  <c r="N3810" i="19"/>
  <c r="N3948" i="19" s="1"/>
  <c r="K3948" i="19" s="1"/>
  <c r="N3809" i="19"/>
  <c r="N3947" i="19" s="1"/>
  <c r="K3947" i="19" s="1"/>
  <c r="N3808" i="19"/>
  <c r="N3946" i="19" s="1"/>
  <c r="K3946" i="19" s="1"/>
  <c r="N3807" i="19"/>
  <c r="N3945" i="19" s="1"/>
  <c r="K3945" i="19" s="1"/>
  <c r="N3806" i="19"/>
  <c r="N3944" i="19" s="1"/>
  <c r="K3944" i="19" s="1"/>
  <c r="N3805" i="19"/>
  <c r="N3943" i="19" s="1"/>
  <c r="K3943" i="19" s="1"/>
  <c r="N3804" i="19"/>
  <c r="N3942" i="19" s="1"/>
  <c r="K3942" i="19" s="1"/>
  <c r="N3803" i="19"/>
  <c r="N3941" i="19" s="1"/>
  <c r="K3941" i="19" s="1"/>
  <c r="A3800" i="19"/>
  <c r="C3800" i="19" s="1"/>
  <c r="N3795" i="19"/>
  <c r="A3792" i="19"/>
  <c r="C3792" i="19" s="1"/>
  <c r="A3788" i="19"/>
  <c r="C3788" i="19" s="1"/>
  <c r="B3785" i="19"/>
  <c r="B3842" i="19" s="1"/>
  <c r="B3860" i="19" s="1"/>
  <c r="B3980" i="19" s="1"/>
  <c r="B3784" i="19"/>
  <c r="B3841" i="19" s="1"/>
  <c r="B3859" i="19" s="1"/>
  <c r="B3979" i="19" s="1"/>
  <c r="B3783" i="19"/>
  <c r="B3840" i="19" s="1"/>
  <c r="B3858" i="19" s="1"/>
  <c r="B3978" i="19" s="1"/>
  <c r="B3782" i="19"/>
  <c r="B3839" i="19" s="1"/>
  <c r="B3857" i="19" s="1"/>
  <c r="B3977" i="19" s="1"/>
  <c r="B3781" i="19"/>
  <c r="B3808" i="19" s="1"/>
  <c r="B3823" i="19" s="1"/>
  <c r="B3961" i="19" s="1"/>
  <c r="B3780" i="19"/>
  <c r="B3807" i="19" s="1"/>
  <c r="B3822" i="19" s="1"/>
  <c r="B3960" i="19" s="1"/>
  <c r="B3779" i="19"/>
  <c r="B3806" i="19" s="1"/>
  <c r="B3778" i="19"/>
  <c r="B3835" i="19" s="1"/>
  <c r="B3853" i="19" s="1"/>
  <c r="B3973" i="19" s="1"/>
  <c r="B3777" i="19"/>
  <c r="B3804" i="19" s="1"/>
  <c r="B3942" i="19" s="1"/>
  <c r="B3776" i="19"/>
  <c r="B3803" i="19" s="1"/>
  <c r="A3774" i="19"/>
  <c r="C3774" i="19" s="1"/>
  <c r="O3773" i="19"/>
  <c r="D3766" i="19" s="1"/>
  <c r="G3763" i="19"/>
  <c r="O3763" i="19" s="1"/>
  <c r="G3762" i="19"/>
  <c r="O3762" i="19" s="1"/>
  <c r="G3761" i="19"/>
  <c r="O3761" i="19" s="1"/>
  <c r="G3760" i="19"/>
  <c r="G3782" i="19" s="1"/>
  <c r="G3759" i="19"/>
  <c r="G3781" i="19" s="1"/>
  <c r="G3758" i="19"/>
  <c r="G3780" i="19" s="1"/>
  <c r="G3757" i="19"/>
  <c r="O3757" i="19" s="1"/>
  <c r="G3756" i="19"/>
  <c r="O3756" i="19" s="1"/>
  <c r="G3755" i="19"/>
  <c r="O3755" i="19" s="1"/>
  <c r="G3754" i="19"/>
  <c r="G3776" i="19" s="1"/>
  <c r="A3752" i="19"/>
  <c r="M3748" i="19"/>
  <c r="M3775" i="19" s="1"/>
  <c r="M3789" i="19" s="1"/>
  <c r="M3791" i="19" s="1"/>
  <c r="D3788" i="19" s="1"/>
  <c r="A3747" i="19"/>
  <c r="F3743" i="19"/>
  <c r="F3749" i="19" s="1"/>
  <c r="E3743" i="19"/>
  <c r="E3749" i="19" s="1"/>
  <c r="A3740" i="19"/>
  <c r="C3740" i="19" s="1"/>
  <c r="A3739" i="19"/>
  <c r="B3739" i="19" s="1"/>
  <c r="M3736" i="19"/>
  <c r="D3735" i="19" s="1"/>
  <c r="A3735" i="19"/>
  <c r="B3735" i="19" s="1"/>
  <c r="M3734" i="19"/>
  <c r="D3731" i="19"/>
  <c r="A3731" i="19"/>
  <c r="B3731" i="19" s="1"/>
  <c r="M3730" i="19"/>
  <c r="D3727" i="19" s="1"/>
  <c r="A3727" i="19"/>
  <c r="A3726" i="19"/>
  <c r="B3726" i="19" s="1"/>
  <c r="H3723" i="19"/>
  <c r="F3723" i="19"/>
  <c r="E3723" i="19"/>
  <c r="B3723" i="19"/>
  <c r="H3722" i="19"/>
  <c r="F3722" i="19"/>
  <c r="E3722" i="19"/>
  <c r="B3722" i="19"/>
  <c r="A3720" i="19"/>
  <c r="N3717" i="19"/>
  <c r="N3716" i="19"/>
  <c r="N3715" i="19"/>
  <c r="A3713" i="19"/>
  <c r="C3713" i="19" s="1"/>
  <c r="A3712" i="19"/>
  <c r="B3712" i="19" s="1"/>
  <c r="A3708" i="19"/>
  <c r="B3708" i="19" s="1"/>
  <c r="A3707" i="19"/>
  <c r="B3707" i="19" s="1"/>
  <c r="A3693" i="19"/>
  <c r="C3693" i="19" s="1"/>
  <c r="A3689" i="19"/>
  <c r="B3689" i="19" s="1"/>
  <c r="A3680" i="19"/>
  <c r="C3680" i="19" s="1"/>
  <c r="A3675" i="19"/>
  <c r="B3675" i="19" s="1"/>
  <c r="I3673" i="19"/>
  <c r="H3672" i="19"/>
  <c r="B3672" i="19"/>
  <c r="H3671" i="19"/>
  <c r="G3671" i="19"/>
  <c r="B3671" i="19"/>
  <c r="B3670" i="19"/>
  <c r="B3704" i="19" s="1"/>
  <c r="F3669" i="19"/>
  <c r="F3703" i="19" s="1"/>
  <c r="E3669" i="19"/>
  <c r="E3703" i="19" s="1"/>
  <c r="H3668" i="19"/>
  <c r="B3668" i="19"/>
  <c r="H3667" i="19"/>
  <c r="G3667" i="19"/>
  <c r="B3667" i="19"/>
  <c r="B3666" i="19"/>
  <c r="B3702" i="19" s="1"/>
  <c r="F3665" i="19"/>
  <c r="F3701" i="19" s="1"/>
  <c r="E3665" i="19"/>
  <c r="E3701" i="19" s="1"/>
  <c r="H3664" i="19"/>
  <c r="B3664" i="19"/>
  <c r="H3663" i="19"/>
  <c r="G3663" i="19"/>
  <c r="B3663" i="19"/>
  <c r="B3662" i="19"/>
  <c r="B3700" i="19" s="1"/>
  <c r="F3661" i="19"/>
  <c r="F3699" i="19" s="1"/>
  <c r="E3661" i="19"/>
  <c r="E3699" i="19" s="1"/>
  <c r="B3660" i="19"/>
  <c r="B3698" i="19" s="1"/>
  <c r="H3658" i="19"/>
  <c r="B3658" i="19"/>
  <c r="B3696" i="19" s="1"/>
  <c r="A3655" i="19"/>
  <c r="C3655" i="19" s="1"/>
  <c r="F3650" i="19"/>
  <c r="F3651" i="19" s="1"/>
  <c r="E3650" i="19"/>
  <c r="E3651" i="19" s="1"/>
  <c r="F3646" i="19"/>
  <c r="F3647" i="19" s="1"/>
  <c r="E3646" i="19"/>
  <c r="E3647" i="19" s="1"/>
  <c r="E3667" i="19" s="1"/>
  <c r="F3642" i="19"/>
  <c r="F3623" i="19" s="1"/>
  <c r="E3642" i="19"/>
  <c r="E3623" i="19" s="1"/>
  <c r="A3635" i="19"/>
  <c r="B3630" i="19"/>
  <c r="B3649" i="19" s="1"/>
  <c r="B3626" i="19"/>
  <c r="B3645" i="19" s="1"/>
  <c r="B3622" i="19"/>
  <c r="B3641" i="19" s="1"/>
  <c r="A3620" i="19"/>
  <c r="B3620" i="19" s="1"/>
  <c r="B3676" i="19" s="1"/>
  <c r="A3614" i="19"/>
  <c r="B3614" i="19" s="1"/>
  <c r="F3611" i="19"/>
  <c r="F3617" i="19" s="1"/>
  <c r="F3639" i="19" s="1"/>
  <c r="E3611" i="19"/>
  <c r="E3617" i="19" s="1"/>
  <c r="B3611" i="19"/>
  <c r="B3617" i="19" s="1"/>
  <c r="F3610" i="19"/>
  <c r="F3616" i="19" s="1"/>
  <c r="F3637" i="19" s="1"/>
  <c r="F3638" i="19" s="1"/>
  <c r="F3658" i="19" s="1"/>
  <c r="F3696" i="19" s="1"/>
  <c r="E3610" i="19"/>
  <c r="E3616" i="19" s="1"/>
  <c r="B3610" i="19"/>
  <c r="B3637" i="19" s="1"/>
  <c r="B3682" i="19" s="1"/>
  <c r="B3609" i="19"/>
  <c r="B3615" i="19" s="1"/>
  <c r="B3636" i="19" s="1"/>
  <c r="A3608" i="19"/>
  <c r="C3608" i="19" s="1"/>
  <c r="A3599" i="19"/>
  <c r="A3598" i="19"/>
  <c r="B3598" i="19" s="1"/>
  <c r="A3594" i="19"/>
  <c r="C3594" i="19" s="1"/>
  <c r="A3590" i="19"/>
  <c r="A3586" i="19"/>
  <c r="C3586" i="19" s="1"/>
  <c r="A3581" i="19"/>
  <c r="B3581" i="19" s="1"/>
  <c r="A3578" i="19"/>
  <c r="B3578" i="19" s="1"/>
  <c r="B3583" i="19" s="1"/>
  <c r="A3575" i="19"/>
  <c r="B3575" i="19" s="1"/>
  <c r="A3571" i="19"/>
  <c r="B3568" i="19"/>
  <c r="B3567" i="19"/>
  <c r="B3566" i="19"/>
  <c r="B3565" i="19"/>
  <c r="B3564" i="19"/>
  <c r="B3563" i="19"/>
  <c r="B3562" i="19"/>
  <c r="B3561" i="19"/>
  <c r="B3560" i="19"/>
  <c r="B3559" i="19"/>
  <c r="B3558" i="19"/>
  <c r="B3557" i="19"/>
  <c r="A3555" i="19"/>
  <c r="C3555" i="19" s="1"/>
  <c r="A3551" i="19"/>
  <c r="B3551" i="19" s="1"/>
  <c r="B3582" i="19" s="1"/>
  <c r="A3547" i="19"/>
  <c r="B3547" i="19" s="1"/>
  <c r="A3544" i="19"/>
  <c r="E3542" i="19"/>
  <c r="B3542" i="19"/>
  <c r="E3541" i="19"/>
  <c r="B3541" i="19"/>
  <c r="A3540" i="19"/>
  <c r="B3540" i="19" s="1"/>
  <c r="A3533" i="19"/>
  <c r="C3533" i="19" s="1"/>
  <c r="B3522" i="19"/>
  <c r="B3519" i="19"/>
  <c r="A3517" i="19"/>
  <c r="A3509" i="19"/>
  <c r="A3504" i="19"/>
  <c r="C3504" i="19" s="1"/>
  <c r="L3502" i="19"/>
  <c r="A3499" i="19"/>
  <c r="B3499" i="19" s="1"/>
  <c r="A3494" i="19"/>
  <c r="B3494" i="19" s="1"/>
  <c r="A3489" i="19"/>
  <c r="C3489" i="19" s="1"/>
  <c r="A3484" i="19"/>
  <c r="B3481" i="19"/>
  <c r="B3485" i="19" s="1"/>
  <c r="A3478" i="19"/>
  <c r="A3472" i="19"/>
  <c r="B3472" i="19" s="1"/>
  <c r="A3468" i="19"/>
  <c r="C3468" i="19" s="1"/>
  <c r="A3462" i="19"/>
  <c r="B3462" i="19" s="1"/>
  <c r="B3459" i="19"/>
  <c r="B3469" i="19" s="1"/>
  <c r="A3458" i="19"/>
  <c r="C3458" i="19" s="1"/>
  <c r="A3454" i="19"/>
  <c r="C3454" i="19" s="1"/>
  <c r="A3450" i="19"/>
  <c r="B3450" i="19" s="1"/>
  <c r="A3445" i="19"/>
  <c r="C3445" i="19" s="1"/>
  <c r="A3440" i="19"/>
  <c r="B3440" i="19" s="1"/>
  <c r="A3435" i="19"/>
  <c r="C3435" i="19" s="1"/>
  <c r="A3430" i="19"/>
  <c r="C3430" i="19" s="1"/>
  <c r="A3425" i="19"/>
  <c r="C3425" i="19" s="1"/>
  <c r="A3420" i="19"/>
  <c r="A3414" i="19"/>
  <c r="A3409" i="19"/>
  <c r="A3404" i="19"/>
  <c r="A3392" i="19"/>
  <c r="A3386" i="19"/>
  <c r="C3386" i="19" s="1"/>
  <c r="A3381" i="19"/>
  <c r="C3381" i="19" s="1"/>
  <c r="A3354" i="19"/>
  <c r="E3351" i="19"/>
  <c r="M3351" i="19" s="1"/>
  <c r="N3351" i="19" s="1"/>
  <c r="N3353" i="19" s="1"/>
  <c r="D3350" i="19" s="1"/>
  <c r="A3346" i="19"/>
  <c r="A3345" i="19"/>
  <c r="B3345" i="19" s="1"/>
  <c r="O3344" i="19"/>
  <c r="A3341" i="19"/>
  <c r="C3341" i="19" s="1"/>
  <c r="O3340" i="19"/>
  <c r="A3337" i="19"/>
  <c r="C3337" i="19" s="1"/>
  <c r="O3336" i="19"/>
  <c r="A3333" i="19"/>
  <c r="C3333" i="19" s="1"/>
  <c r="A3329" i="19"/>
  <c r="C3329" i="19" s="1"/>
  <c r="O3328" i="19"/>
  <c r="O3324" i="19"/>
  <c r="A3321" i="19"/>
  <c r="B3321" i="19" s="1"/>
  <c r="A3317" i="19"/>
  <c r="B3317" i="19" s="1"/>
  <c r="O3316" i="19"/>
  <c r="A3313" i="19"/>
  <c r="O3312" i="19"/>
  <c r="A3309" i="19"/>
  <c r="A3308" i="19"/>
  <c r="B3308" i="19" s="1"/>
  <c r="A3304" i="19"/>
  <c r="A3300" i="19"/>
  <c r="A3296" i="19"/>
  <c r="B3296" i="19" s="1"/>
  <c r="A3289" i="19"/>
  <c r="C3289" i="19" s="1"/>
  <c r="A3283" i="19"/>
  <c r="C3283" i="19" s="1"/>
  <c r="A3277" i="19"/>
  <c r="B3277" i="19" s="1"/>
  <c r="A3273" i="19"/>
  <c r="B3273" i="19" s="1"/>
  <c r="A3267" i="19"/>
  <c r="B3264" i="19"/>
  <c r="B3268" i="19" s="1"/>
  <c r="A3261" i="19"/>
  <c r="B3261" i="19" s="1"/>
  <c r="A3256" i="19"/>
  <c r="B3256" i="19" s="1"/>
  <c r="L3254" i="19"/>
  <c r="A3252" i="19"/>
  <c r="A3246" i="19"/>
  <c r="C3246" i="19" s="1"/>
  <c r="A3242" i="19"/>
  <c r="C3242" i="19" s="1"/>
  <c r="A3236" i="19"/>
  <c r="A3232" i="19"/>
  <c r="C3232" i="19" s="1"/>
  <c r="A3228" i="19"/>
  <c r="B3228" i="19" s="1"/>
  <c r="A3224" i="19"/>
  <c r="A3220" i="19"/>
  <c r="B3220" i="19" s="1"/>
  <c r="A3216" i="19"/>
  <c r="A3215" i="19"/>
  <c r="B3215" i="19" s="1"/>
  <c r="A3211" i="19"/>
  <c r="A3207" i="19"/>
  <c r="A3203" i="19"/>
  <c r="B3203" i="19" s="1"/>
  <c r="A3199" i="19"/>
  <c r="B3199" i="19" s="1"/>
  <c r="A3195" i="19"/>
  <c r="C3195" i="19" s="1"/>
  <c r="A3191" i="19"/>
  <c r="B3191" i="19" s="1"/>
  <c r="A3187" i="19"/>
  <c r="C3187" i="19" s="1"/>
  <c r="A3183" i="19"/>
  <c r="C3183" i="19" s="1"/>
  <c r="A3182" i="19"/>
  <c r="B3182" i="19" s="1"/>
  <c r="B3179" i="19"/>
  <c r="A3178" i="19"/>
  <c r="B3178" i="19" s="1"/>
  <c r="A3177" i="19"/>
  <c r="B3177" i="19" s="1"/>
  <c r="A3174" i="19"/>
  <c r="B3172" i="19"/>
  <c r="E3171" i="19"/>
  <c r="B3171" i="19"/>
  <c r="A3170" i="19"/>
  <c r="C3170" i="19" s="1"/>
  <c r="A3166" i="19"/>
  <c r="C3166" i="19" s="1"/>
  <c r="A3162" i="19"/>
  <c r="A3157" i="19"/>
  <c r="A3152" i="19"/>
  <c r="A3147" i="19"/>
  <c r="A3142" i="19"/>
  <c r="A3137" i="19"/>
  <c r="B3137" i="19" s="1"/>
  <c r="A3132" i="19"/>
  <c r="A3127" i="19"/>
  <c r="C3127" i="19" s="1"/>
  <c r="A3117" i="19"/>
  <c r="A3116" i="19"/>
  <c r="B3116" i="19" s="1"/>
  <c r="A3115" i="19"/>
  <c r="B3115" i="19" s="1"/>
  <c r="B3112" i="19"/>
  <c r="B3111" i="19"/>
  <c r="B3105" i="19"/>
  <c r="E3101" i="19"/>
  <c r="E3080" i="19"/>
  <c r="A3078" i="19"/>
  <c r="B3078" i="19" s="1"/>
  <c r="A3073" i="19"/>
  <c r="C3073" i="19" s="1"/>
  <c r="A3067" i="19"/>
  <c r="A3062" i="19"/>
  <c r="C3062" i="19" s="1"/>
  <c r="A3057" i="19"/>
  <c r="E3053" i="19"/>
  <c r="A3051" i="19"/>
  <c r="A3046" i="19"/>
  <c r="A3040" i="19"/>
  <c r="C3040" i="19" s="1"/>
  <c r="A3024" i="19"/>
  <c r="B3021" i="19"/>
  <c r="B3037" i="19" s="1"/>
  <c r="B3020" i="19"/>
  <c r="B3036" i="19" s="1"/>
  <c r="B3019" i="19"/>
  <c r="B3035" i="19" s="1"/>
  <c r="B3018" i="19"/>
  <c r="B3034" i="19" s="1"/>
  <c r="B3017" i="19"/>
  <c r="B3033" i="19" s="1"/>
  <c r="B3016" i="19"/>
  <c r="B3032" i="19" s="1"/>
  <c r="B3015" i="19"/>
  <c r="B3031" i="19" s="1"/>
  <c r="B3014" i="19"/>
  <c r="B3030" i="19" s="1"/>
  <c r="B3013" i="19"/>
  <c r="B3029" i="19" s="1"/>
  <c r="B3012" i="19"/>
  <c r="B3028" i="19" s="1"/>
  <c r="B3011" i="19"/>
  <c r="B3027" i="19" s="1"/>
  <c r="B3010" i="19"/>
  <c r="B3026" i="19" s="1"/>
  <c r="A3008" i="19"/>
  <c r="H3005" i="19"/>
  <c r="F3005" i="19"/>
  <c r="E3005" i="19"/>
  <c r="B3005" i="19"/>
  <c r="H3004" i="19"/>
  <c r="F3004" i="19"/>
  <c r="E3004" i="19"/>
  <c r="B3004" i="19"/>
  <c r="H3003" i="19"/>
  <c r="F3003" i="19"/>
  <c r="E3003" i="19"/>
  <c r="B3003" i="19"/>
  <c r="H3002" i="19"/>
  <c r="F3002" i="19"/>
  <c r="E3002" i="19"/>
  <c r="B3002" i="19"/>
  <c r="H3001" i="19"/>
  <c r="F3001" i="19"/>
  <c r="E3001" i="19"/>
  <c r="B3001" i="19"/>
  <c r="H3000" i="19"/>
  <c r="F3000" i="19"/>
  <c r="E3000" i="19"/>
  <c r="B3000" i="19"/>
  <c r="H2999" i="19"/>
  <c r="F2999" i="19"/>
  <c r="E2999" i="19"/>
  <c r="B2999" i="19"/>
  <c r="H2998" i="19"/>
  <c r="F2998" i="19"/>
  <c r="E2998" i="19"/>
  <c r="B2998" i="19"/>
  <c r="H2997" i="19"/>
  <c r="F2997" i="19"/>
  <c r="E2997" i="19"/>
  <c r="B2997" i="19"/>
  <c r="H2996" i="19"/>
  <c r="F2996" i="19"/>
  <c r="E2996" i="19"/>
  <c r="B2996" i="19"/>
  <c r="H2995" i="19"/>
  <c r="F2995" i="19"/>
  <c r="E2995" i="19"/>
  <c r="B2995" i="19"/>
  <c r="H2994" i="19"/>
  <c r="F2994" i="19"/>
  <c r="E2994" i="19"/>
  <c r="B2994" i="19"/>
  <c r="A2991" i="19"/>
  <c r="C2991" i="19" s="1"/>
  <c r="F2987" i="19"/>
  <c r="E2987" i="19"/>
  <c r="E3021" i="19" s="1"/>
  <c r="E3037" i="19" s="1"/>
  <c r="F2986" i="19"/>
  <c r="E2986" i="19"/>
  <c r="E3020" i="19" s="1"/>
  <c r="F2985" i="19"/>
  <c r="E2985" i="19"/>
  <c r="E3019" i="19" s="1"/>
  <c r="F2984" i="19"/>
  <c r="E2984" i="19"/>
  <c r="E3018" i="19" s="1"/>
  <c r="F2983" i="19"/>
  <c r="E2983" i="19"/>
  <c r="E3017" i="19" s="1"/>
  <c r="F2982" i="19"/>
  <c r="E2982" i="19"/>
  <c r="F2981" i="19"/>
  <c r="E2981" i="19"/>
  <c r="E3015" i="19" s="1"/>
  <c r="F2980" i="19"/>
  <c r="E2980" i="19"/>
  <c r="E3014" i="19" s="1"/>
  <c r="F2979" i="19"/>
  <c r="E2979" i="19"/>
  <c r="E3013" i="19" s="1"/>
  <c r="F2978" i="19"/>
  <c r="E2978" i="19"/>
  <c r="E3012" i="19" s="1"/>
  <c r="F2977" i="19"/>
  <c r="E2977" i="19"/>
  <c r="F2976" i="19"/>
  <c r="E2976" i="19"/>
  <c r="E3010" i="19" s="1"/>
  <c r="A2973" i="19"/>
  <c r="B2973" i="19" s="1"/>
  <c r="E2969" i="19"/>
  <c r="A2968" i="19"/>
  <c r="B2968" i="19" s="1"/>
  <c r="A2963" i="19"/>
  <c r="C2963" i="19" s="1"/>
  <c r="A2958" i="19"/>
  <c r="C2958" i="19" s="1"/>
  <c r="A2953" i="19"/>
  <c r="B2953" i="19" s="1"/>
  <c r="E2950" i="19"/>
  <c r="A2949" i="19"/>
  <c r="B2949" i="19" s="1"/>
  <c r="A2944" i="19"/>
  <c r="B2944" i="19" s="1"/>
  <c r="A2939" i="19"/>
  <c r="B2939" i="19" s="1"/>
  <c r="A2934" i="19"/>
  <c r="C2934" i="19" s="1"/>
  <c r="E2931" i="19"/>
  <c r="A2930" i="19"/>
  <c r="B2930" i="19" s="1"/>
  <c r="A2925" i="19"/>
  <c r="B2925" i="19" s="1"/>
  <c r="H2922" i="19"/>
  <c r="H3258" i="19" s="1"/>
  <c r="H3264" i="19" s="1"/>
  <c r="B2922" i="19"/>
  <c r="B2921" i="19"/>
  <c r="A2920" i="19"/>
  <c r="A2914" i="19"/>
  <c r="B2914" i="19" s="1"/>
  <c r="A2909" i="19"/>
  <c r="M2908" i="19"/>
  <c r="D2903" i="19" s="1"/>
  <c r="A2903" i="19"/>
  <c r="M2902" i="19"/>
  <c r="D2897" i="19" s="1"/>
  <c r="A2897" i="19"/>
  <c r="M2896" i="19"/>
  <c r="D2891" i="19" s="1"/>
  <c r="A2891" i="19"/>
  <c r="B2891" i="19" s="1"/>
  <c r="M2890" i="19"/>
  <c r="D2885" i="19" s="1"/>
  <c r="A2885" i="19"/>
  <c r="C2885" i="19" s="1"/>
  <c r="M2884" i="19"/>
  <c r="D2879" i="19" s="1"/>
  <c r="A2879" i="19"/>
  <c r="A2873" i="19"/>
  <c r="C2873" i="19" s="1"/>
  <c r="A2867" i="19"/>
  <c r="C2867" i="19" s="1"/>
  <c r="A2859" i="19"/>
  <c r="A2851" i="19"/>
  <c r="A2846" i="19"/>
  <c r="B2846" i="19" s="1"/>
  <c r="N2843" i="19"/>
  <c r="N2845" i="19" s="1"/>
  <c r="D2841" i="19" s="1"/>
  <c r="A2841" i="19"/>
  <c r="A2840" i="19"/>
  <c r="B2840" i="19" s="1"/>
  <c r="A2839" i="19"/>
  <c r="B2839" i="19" s="1"/>
  <c r="A2830" i="19"/>
  <c r="B2830" i="19" s="1"/>
  <c r="A2821" i="19"/>
  <c r="C2821" i="19" s="1"/>
  <c r="A2812" i="19"/>
  <c r="A2807" i="19"/>
  <c r="C2807" i="19" s="1"/>
  <c r="H2804" i="19"/>
  <c r="B2804" i="19"/>
  <c r="B2808" i="19" s="1"/>
  <c r="A2801" i="19"/>
  <c r="E2798" i="19"/>
  <c r="B2798" i="19"/>
  <c r="E2797" i="19"/>
  <c r="B2797" i="19"/>
  <c r="A2795" i="19"/>
  <c r="B2795" i="19" s="1"/>
  <c r="A2789" i="19"/>
  <c r="B2789" i="19" s="1"/>
  <c r="A2781" i="19"/>
  <c r="B2781" i="19" s="1"/>
  <c r="A2776" i="19"/>
  <c r="B2776" i="19" s="1"/>
  <c r="J2773" i="19"/>
  <c r="F2773" i="19"/>
  <c r="E2773" i="19"/>
  <c r="J2772" i="19"/>
  <c r="F2772" i="19"/>
  <c r="E2772" i="19"/>
  <c r="J2771" i="19"/>
  <c r="F2771" i="19"/>
  <c r="E2771" i="19"/>
  <c r="J2770" i="19"/>
  <c r="F2770" i="19"/>
  <c r="E2770" i="19"/>
  <c r="B2769" i="19"/>
  <c r="A2767" i="19"/>
  <c r="N2764" i="19"/>
  <c r="N2763" i="19"/>
  <c r="N2762" i="19"/>
  <c r="N2761" i="19"/>
  <c r="A2758" i="19"/>
  <c r="N2755" i="19"/>
  <c r="N2754" i="19"/>
  <c r="N2753" i="19"/>
  <c r="N2752" i="19"/>
  <c r="A2749" i="19"/>
  <c r="C2749" i="19" s="1"/>
  <c r="N2746" i="19"/>
  <c r="N2745" i="19"/>
  <c r="N2744" i="19"/>
  <c r="N2743" i="19"/>
  <c r="A2740" i="19"/>
  <c r="B2740" i="19" s="1"/>
  <c r="N2737" i="19"/>
  <c r="N2827" i="19" s="1"/>
  <c r="K2827" i="19" s="1"/>
  <c r="N2736" i="19"/>
  <c r="N2826" i="19" s="1"/>
  <c r="K2826" i="19" s="1"/>
  <c r="N2735" i="19"/>
  <c r="N2825" i="19" s="1"/>
  <c r="K2825" i="19" s="1"/>
  <c r="N2734" i="19"/>
  <c r="B2733" i="19"/>
  <c r="A2731" i="19"/>
  <c r="N2728" i="19"/>
  <c r="N2818" i="19" s="1"/>
  <c r="K2818" i="19" s="1"/>
  <c r="N2727" i="19"/>
  <c r="N2817" i="19" s="1"/>
  <c r="K2817" i="19" s="1"/>
  <c r="N2726" i="19"/>
  <c r="N2816" i="19" s="1"/>
  <c r="K2816" i="19" s="1"/>
  <c r="N2725" i="19"/>
  <c r="N2815" i="19" s="1"/>
  <c r="K2815" i="19" s="1"/>
  <c r="A2722" i="19"/>
  <c r="C2722" i="19" s="1"/>
  <c r="N2717" i="19"/>
  <c r="A2714" i="19"/>
  <c r="B2714" i="19" s="1"/>
  <c r="A2710" i="19"/>
  <c r="B2710" i="19" s="1"/>
  <c r="B2707" i="19"/>
  <c r="B2746" i="19" s="1"/>
  <c r="B2755" i="19" s="1"/>
  <c r="B2836" i="19" s="1"/>
  <c r="B2706" i="19"/>
  <c r="B2727" i="19" s="1"/>
  <c r="B2736" i="19" s="1"/>
  <c r="B2826" i="19" s="1"/>
  <c r="B2705" i="19"/>
  <c r="B2744" i="19" s="1"/>
  <c r="B2753" i="19" s="1"/>
  <c r="B2834" i="19" s="1"/>
  <c r="B2704" i="19"/>
  <c r="A2702" i="19"/>
  <c r="B2702" i="19" s="1"/>
  <c r="O2699" i="19"/>
  <c r="G2698" i="19"/>
  <c r="G2707" i="19" s="1"/>
  <c r="G2697" i="19"/>
  <c r="O2697" i="19" s="1"/>
  <c r="G2696" i="19"/>
  <c r="A2694" i="19"/>
  <c r="C2694" i="19" s="1"/>
  <c r="G2691" i="19"/>
  <c r="G2704" i="19" s="1"/>
  <c r="A2689" i="19"/>
  <c r="B2689" i="19" s="1"/>
  <c r="M2685" i="19"/>
  <c r="M2717" i="19" s="1"/>
  <c r="A2684" i="19"/>
  <c r="B2684" i="19" s="1"/>
  <c r="F2680" i="19"/>
  <c r="E2680" i="19"/>
  <c r="E2686" i="19" s="1"/>
  <c r="A2677" i="19"/>
  <c r="C2677" i="19" s="1"/>
  <c r="A2676" i="19"/>
  <c r="B2676" i="19" s="1"/>
  <c r="M2674" i="19"/>
  <c r="M2675" i="19" s="1"/>
  <c r="A2673" i="19"/>
  <c r="B2673" i="19" s="1"/>
  <c r="M2672" i="19"/>
  <c r="D2670" i="19"/>
  <c r="A2670" i="19"/>
  <c r="B2670" i="19" s="1"/>
  <c r="A2669" i="19"/>
  <c r="B2669" i="19" s="1"/>
  <c r="M2668" i="19"/>
  <c r="D2665" i="19" s="1"/>
  <c r="A2665" i="19"/>
  <c r="B2665" i="19" s="1"/>
  <c r="A2664" i="19"/>
  <c r="B2664" i="19" s="1"/>
  <c r="A2663" i="19"/>
  <c r="B2663" i="19" s="1"/>
  <c r="H2660" i="19"/>
  <c r="F2660" i="19"/>
  <c r="E2660" i="19"/>
  <c r="B2660" i="19"/>
  <c r="A2658" i="19"/>
  <c r="C2658" i="19" s="1"/>
  <c r="N2655" i="19"/>
  <c r="N2654" i="19"/>
  <c r="A2652" i="19"/>
  <c r="B2652" i="19" s="1"/>
  <c r="A2651" i="19"/>
  <c r="B2651" i="19" s="1"/>
  <c r="A2647" i="19"/>
  <c r="C2647" i="19" s="1"/>
  <c r="A2646" i="19"/>
  <c r="B2646" i="19" s="1"/>
  <c r="A2632" i="19"/>
  <c r="A2628" i="19"/>
  <c r="C2628" i="19" s="1"/>
  <c r="A2619" i="19"/>
  <c r="B2619" i="19" s="1"/>
  <c r="A2614" i="19"/>
  <c r="I2612" i="19"/>
  <c r="H2611" i="19"/>
  <c r="B2611" i="19"/>
  <c r="H2610" i="19"/>
  <c r="G2610" i="19"/>
  <c r="B2610" i="19"/>
  <c r="B2609" i="19"/>
  <c r="B2643" i="19" s="1"/>
  <c r="F2608" i="19"/>
  <c r="F2642" i="19" s="1"/>
  <c r="E2608" i="19"/>
  <c r="E2642" i="19" s="1"/>
  <c r="H2607" i="19"/>
  <c r="B2607" i="19"/>
  <c r="H2606" i="19"/>
  <c r="G2606" i="19"/>
  <c r="B2606" i="19"/>
  <c r="B2605" i="19"/>
  <c r="B2641" i="19" s="1"/>
  <c r="F2604" i="19"/>
  <c r="F2640" i="19" s="1"/>
  <c r="E2604" i="19"/>
  <c r="E2640" i="19" s="1"/>
  <c r="H2603" i="19"/>
  <c r="B2603" i="19"/>
  <c r="H2602" i="19"/>
  <c r="G2602" i="19"/>
  <c r="B2602" i="19"/>
  <c r="B2601" i="19"/>
  <c r="B2639" i="19" s="1"/>
  <c r="F2600" i="19"/>
  <c r="F2638" i="19" s="1"/>
  <c r="E2600" i="19"/>
  <c r="E2638" i="19" s="1"/>
  <c r="B2599" i="19"/>
  <c r="B2637" i="19" s="1"/>
  <c r="H2597" i="19"/>
  <c r="B2597" i="19"/>
  <c r="B2635" i="19" s="1"/>
  <c r="A2594" i="19"/>
  <c r="B2594" i="19" s="1"/>
  <c r="F2589" i="19"/>
  <c r="F2609" i="19" s="1"/>
  <c r="F2643" i="19" s="1"/>
  <c r="E2589" i="19"/>
  <c r="E2609" i="19" s="1"/>
  <c r="E2643" i="19" s="1"/>
  <c r="F2585" i="19"/>
  <c r="F2586" i="19" s="1"/>
  <c r="E2567" i="19" s="1"/>
  <c r="E2585" i="19"/>
  <c r="E2605" i="19" s="1"/>
  <c r="E2641" i="19" s="1"/>
  <c r="F2581" i="19"/>
  <c r="F2582" i="19" s="1"/>
  <c r="E2581" i="19"/>
  <c r="E2601" i="19" s="1"/>
  <c r="E2639" i="19" s="1"/>
  <c r="A2574" i="19"/>
  <c r="B2569" i="19"/>
  <c r="B2588" i="19" s="1"/>
  <c r="B2608" i="19" s="1"/>
  <c r="B2642" i="19" s="1"/>
  <c r="B2565" i="19"/>
  <c r="B2584" i="19" s="1"/>
  <c r="B2561" i="19"/>
  <c r="B2580" i="19" s="1"/>
  <c r="B2623" i="19" s="1"/>
  <c r="A2559" i="19"/>
  <c r="B2559" i="19" s="1"/>
  <c r="B2615" i="19" s="1"/>
  <c r="A2553" i="19"/>
  <c r="F2550" i="19"/>
  <c r="F2556" i="19" s="1"/>
  <c r="F2578" i="19" s="1"/>
  <c r="E2550" i="19"/>
  <c r="E2556" i="19" s="1"/>
  <c r="B2550" i="19"/>
  <c r="B2556" i="19" s="1"/>
  <c r="F2549" i="19"/>
  <c r="F2555" i="19" s="1"/>
  <c r="E2549" i="19"/>
  <c r="E2555" i="19" s="1"/>
  <c r="E2576" i="19" s="1"/>
  <c r="B2549" i="19"/>
  <c r="B2576" i="19" s="1"/>
  <c r="B2548" i="19"/>
  <c r="B2554" i="19" s="1"/>
  <c r="B2575" i="19" s="1"/>
  <c r="B2560" i="19" s="1"/>
  <c r="A2547" i="19"/>
  <c r="B2547" i="19" s="1"/>
  <c r="A2538" i="19"/>
  <c r="B2538" i="19" s="1"/>
  <c r="A2537" i="19"/>
  <c r="B2537" i="19" s="1"/>
  <c r="A2533" i="19"/>
  <c r="C2533" i="19" s="1"/>
  <c r="A2529" i="19"/>
  <c r="B2529" i="19" s="1"/>
  <c r="A2525" i="19"/>
  <c r="A2520" i="19"/>
  <c r="C2520" i="19" s="1"/>
  <c r="A2517" i="19"/>
  <c r="A2514" i="19"/>
  <c r="A2510" i="19"/>
  <c r="B2507" i="19"/>
  <c r="B2506" i="19"/>
  <c r="B2505" i="19"/>
  <c r="B2504" i="19"/>
  <c r="B2503" i="19"/>
  <c r="B2502" i="19"/>
  <c r="B2501" i="19"/>
  <c r="B2500" i="19"/>
  <c r="B2499" i="19"/>
  <c r="B2498" i="19"/>
  <c r="B2497" i="19"/>
  <c r="B2496" i="19"/>
  <c r="A2494" i="19"/>
  <c r="C2494" i="19" s="1"/>
  <c r="A2490" i="19"/>
  <c r="B2490" i="19" s="1"/>
  <c r="B2521" i="19" s="1"/>
  <c r="A2486" i="19"/>
  <c r="C2486" i="19" s="1"/>
  <c r="A2483" i="19"/>
  <c r="B2483" i="19" s="1"/>
  <c r="B2481" i="19"/>
  <c r="E2480" i="19"/>
  <c r="B2480" i="19"/>
  <c r="A2479" i="19"/>
  <c r="C2479" i="19" s="1"/>
  <c r="A2471" i="19"/>
  <c r="B2460" i="19"/>
  <c r="B2457" i="19"/>
  <c r="A2455" i="19"/>
  <c r="C2455" i="19" s="1"/>
  <c r="A2447" i="19"/>
  <c r="C2447" i="19" s="1"/>
  <c r="A2443" i="19"/>
  <c r="B2443" i="19" s="1"/>
  <c r="L2441" i="19"/>
  <c r="A2438" i="19"/>
  <c r="B2438" i="19" s="1"/>
  <c r="A2433" i="19"/>
  <c r="C2433" i="19" s="1"/>
  <c r="A2428" i="19"/>
  <c r="A2423" i="19"/>
  <c r="B2423" i="19" s="1"/>
  <c r="B2420" i="19"/>
  <c r="B2424" i="19" s="1"/>
  <c r="A2417" i="19"/>
  <c r="A2411" i="19"/>
  <c r="C2411" i="19" s="1"/>
  <c r="A2407" i="19"/>
  <c r="A2401" i="19"/>
  <c r="C2401" i="19" s="1"/>
  <c r="B2398" i="19"/>
  <c r="B2408" i="19" s="1"/>
  <c r="A2397" i="19"/>
  <c r="A2393" i="19"/>
  <c r="A2389" i="19"/>
  <c r="B2389" i="19" s="1"/>
  <c r="A2384" i="19"/>
  <c r="A2379" i="19"/>
  <c r="A2374" i="19"/>
  <c r="C2374" i="19" s="1"/>
  <c r="A2369" i="19"/>
  <c r="B2369" i="19" s="1"/>
  <c r="A2364" i="19"/>
  <c r="B2364" i="19" s="1"/>
  <c r="A2359" i="19"/>
  <c r="B2359" i="19" s="1"/>
  <c r="A2353" i="19"/>
  <c r="B2353" i="19" s="1"/>
  <c r="A2348" i="19"/>
  <c r="C2348" i="19" s="1"/>
  <c r="A2343" i="19"/>
  <c r="C2343" i="19" s="1"/>
  <c r="A2337" i="19"/>
  <c r="C2337" i="19" s="1"/>
  <c r="A2331" i="19"/>
  <c r="A2325" i="19"/>
  <c r="C2325" i="19" s="1"/>
  <c r="A2320" i="19"/>
  <c r="B2320" i="19" s="1"/>
  <c r="A2315" i="19"/>
  <c r="A2309" i="19"/>
  <c r="C2309" i="19" s="1"/>
  <c r="A2303" i="19"/>
  <c r="C2303" i="19" s="1"/>
  <c r="A2297" i="19"/>
  <c r="A2293" i="19"/>
  <c r="C2293" i="19" s="1"/>
  <c r="A2289" i="19"/>
  <c r="A2285" i="19"/>
  <c r="B2285" i="19" s="1"/>
  <c r="A2281" i="19"/>
  <c r="A2273" i="19"/>
  <c r="C2273" i="19" s="1"/>
  <c r="A2272" i="19"/>
  <c r="B2272" i="19" s="1"/>
  <c r="O2271" i="19"/>
  <c r="A2268" i="19"/>
  <c r="O2267" i="19"/>
  <c r="A2264" i="19"/>
  <c r="O2263" i="19"/>
  <c r="A2260" i="19"/>
  <c r="B2260" i="19" s="1"/>
  <c r="O2259" i="19"/>
  <c r="A2256" i="19"/>
  <c r="O2255" i="19"/>
  <c r="A2252" i="19"/>
  <c r="C2252" i="19" s="1"/>
  <c r="O2251" i="19"/>
  <c r="A2248" i="19"/>
  <c r="A2244" i="19"/>
  <c r="A2240" i="19"/>
  <c r="A2236" i="19"/>
  <c r="A2232" i="19"/>
  <c r="B2232" i="19" s="1"/>
  <c r="A2228" i="19"/>
  <c r="A2224" i="19"/>
  <c r="B2224" i="19" s="1"/>
  <c r="A2220" i="19"/>
  <c r="O2219" i="19"/>
  <c r="A2216" i="19"/>
  <c r="O2215" i="19"/>
  <c r="A2212" i="19"/>
  <c r="A2211" i="19"/>
  <c r="B2211" i="19" s="1"/>
  <c r="A2207" i="19"/>
  <c r="C2207" i="19" s="1"/>
  <c r="A2203" i="19"/>
  <c r="C2203" i="19" s="1"/>
  <c r="A2199" i="19"/>
  <c r="B2199" i="19" s="1"/>
  <c r="A2195" i="19"/>
  <c r="C2195" i="19" s="1"/>
  <c r="A2191" i="19"/>
  <c r="A2184" i="19"/>
  <c r="C2184" i="19" s="1"/>
  <c r="A2178" i="19"/>
  <c r="C2178" i="19" s="1"/>
  <c r="A2172" i="19"/>
  <c r="B2172" i="19" s="1"/>
  <c r="A2168" i="19"/>
  <c r="A2162" i="19"/>
  <c r="B2159" i="19"/>
  <c r="B2163" i="19" s="1"/>
  <c r="A2156" i="19"/>
  <c r="A2151" i="19"/>
  <c r="L2149" i="19"/>
  <c r="A2147" i="19"/>
  <c r="B2147" i="19" s="1"/>
  <c r="A2141" i="19"/>
  <c r="A2137" i="19"/>
  <c r="A2131" i="19"/>
  <c r="C2131" i="19" s="1"/>
  <c r="A2127" i="19"/>
  <c r="B2127" i="19" s="1"/>
  <c r="A2123" i="19"/>
  <c r="C2123" i="19" s="1"/>
  <c r="A2119" i="19"/>
  <c r="A2115" i="19"/>
  <c r="B2115" i="19" s="1"/>
  <c r="A2111" i="19"/>
  <c r="C2111" i="19" s="1"/>
  <c r="A2110" i="19"/>
  <c r="B2110" i="19" s="1"/>
  <c r="B2107" i="19"/>
  <c r="A2106" i="19"/>
  <c r="A2105" i="19"/>
  <c r="B2105" i="19" s="1"/>
  <c r="A2101" i="19"/>
  <c r="B2101" i="19" s="1"/>
  <c r="A2097" i="19"/>
  <c r="C2097" i="19" s="1"/>
  <c r="A2093" i="19"/>
  <c r="B2093" i="19" s="1"/>
  <c r="A2089" i="19"/>
  <c r="C2089" i="19" s="1"/>
  <c r="A2085" i="19"/>
  <c r="C2085" i="19" s="1"/>
  <c r="A2081" i="19"/>
  <c r="A2077" i="19"/>
  <c r="B2077" i="19" s="1"/>
  <c r="A2073" i="19"/>
  <c r="C2073" i="19" s="1"/>
  <c r="A2069" i="19"/>
  <c r="A2068" i="19"/>
  <c r="B2068" i="19" s="1"/>
  <c r="A2065" i="19"/>
  <c r="B2065" i="19" s="1"/>
  <c r="B2063" i="19"/>
  <c r="E2062" i="19"/>
  <c r="B2062" i="19"/>
  <c r="A2061" i="19"/>
  <c r="A2057" i="19"/>
  <c r="B2057" i="19" s="1"/>
  <c r="A2054" i="19"/>
  <c r="C2054" i="19" s="1"/>
  <c r="A2051" i="19"/>
  <c r="B2051" i="19" s="1"/>
  <c r="A2046" i="19"/>
  <c r="C2046" i="19" s="1"/>
  <c r="A2041" i="19"/>
  <c r="B2041" i="19" s="1"/>
  <c r="A2036" i="19"/>
  <c r="A2031" i="19"/>
  <c r="B2031" i="19" s="1"/>
  <c r="A2026" i="19"/>
  <c r="C2026" i="19" s="1"/>
  <c r="A2021" i="19"/>
  <c r="B2021" i="19" s="1"/>
  <c r="A2016" i="19"/>
  <c r="C2016" i="19" s="1"/>
  <c r="A2011" i="19"/>
  <c r="B2011" i="19" s="1"/>
  <c r="A2006" i="19"/>
  <c r="C2006" i="19" s="1"/>
  <c r="A2001" i="19"/>
  <c r="A1996" i="19"/>
  <c r="C1996" i="19" s="1"/>
  <c r="A1995" i="19"/>
  <c r="B1995" i="19" s="1"/>
  <c r="A1994" i="19"/>
  <c r="B1994" i="19" s="1"/>
  <c r="B1991" i="19"/>
  <c r="B1990" i="19"/>
  <c r="B1989" i="19"/>
  <c r="B1984" i="19"/>
  <c r="E1980" i="19"/>
  <c r="A1979" i="19"/>
  <c r="C1979" i="19" s="1"/>
  <c r="A1974" i="19"/>
  <c r="B1974" i="19" s="1"/>
  <c r="A1969" i="19"/>
  <c r="B1969" i="19" s="1"/>
  <c r="A1965" i="19"/>
  <c r="B1965" i="19" s="1"/>
  <c r="A1961" i="19"/>
  <c r="E1957" i="19"/>
  <c r="A1955" i="19"/>
  <c r="C1955" i="19" s="1"/>
  <c r="A1950" i="19"/>
  <c r="C1950" i="19" s="1"/>
  <c r="A1944" i="19"/>
  <c r="B1944" i="19" s="1"/>
  <c r="A1928" i="19"/>
  <c r="C1928" i="19" s="1"/>
  <c r="A1912" i="19"/>
  <c r="C1912" i="19" s="1"/>
  <c r="H1909" i="19"/>
  <c r="F1909" i="19"/>
  <c r="E1909" i="19"/>
  <c r="B1909" i="19"/>
  <c r="B1925" i="19" s="1"/>
  <c r="B1941" i="19" s="1"/>
  <c r="H1908" i="19"/>
  <c r="F1908" i="19"/>
  <c r="E1908" i="19"/>
  <c r="B1908" i="19"/>
  <c r="B1924" i="19" s="1"/>
  <c r="B1940" i="19" s="1"/>
  <c r="H1907" i="19"/>
  <c r="F1907" i="19"/>
  <c r="E1907" i="19"/>
  <c r="B1907" i="19"/>
  <c r="B1923" i="19" s="1"/>
  <c r="B1939" i="19" s="1"/>
  <c r="H1906" i="19"/>
  <c r="F1906" i="19"/>
  <c r="E1906" i="19"/>
  <c r="B1906" i="19"/>
  <c r="B1922" i="19" s="1"/>
  <c r="B1938" i="19" s="1"/>
  <c r="H1905" i="19"/>
  <c r="F1905" i="19"/>
  <c r="E1905" i="19"/>
  <c r="B1905" i="19"/>
  <c r="B1921" i="19" s="1"/>
  <c r="B1937" i="19" s="1"/>
  <c r="H1904" i="19"/>
  <c r="F1904" i="19"/>
  <c r="E1904" i="19"/>
  <c r="B1904" i="19"/>
  <c r="B1920" i="19" s="1"/>
  <c r="B1936" i="19" s="1"/>
  <c r="H1903" i="19"/>
  <c r="F1903" i="19"/>
  <c r="E1903" i="19"/>
  <c r="B1903" i="19"/>
  <c r="B1919" i="19" s="1"/>
  <c r="B1935" i="19" s="1"/>
  <c r="H1902" i="19"/>
  <c r="F1902" i="19"/>
  <c r="E1902" i="19"/>
  <c r="B1902" i="19"/>
  <c r="B1918" i="19" s="1"/>
  <c r="B1934" i="19" s="1"/>
  <c r="H1901" i="19"/>
  <c r="F1901" i="19"/>
  <c r="E1901" i="19"/>
  <c r="B1901" i="19"/>
  <c r="B1917" i="19" s="1"/>
  <c r="B1933" i="19" s="1"/>
  <c r="H1900" i="19"/>
  <c r="F1900" i="19"/>
  <c r="E1900" i="19"/>
  <c r="B1900" i="19"/>
  <c r="B1916" i="19" s="1"/>
  <c r="B1932" i="19" s="1"/>
  <c r="H1899" i="19"/>
  <c r="F1899" i="19"/>
  <c r="E1899" i="19"/>
  <c r="B1899" i="19"/>
  <c r="B1915" i="19" s="1"/>
  <c r="B1931" i="19" s="1"/>
  <c r="H1898" i="19"/>
  <c r="F1898" i="19"/>
  <c r="E1898" i="19"/>
  <c r="B1898" i="19"/>
  <c r="B1914" i="19" s="1"/>
  <c r="B1930" i="19" s="1"/>
  <c r="A1895" i="19"/>
  <c r="F1891" i="19"/>
  <c r="E1891" i="19"/>
  <c r="E1925" i="19" s="1"/>
  <c r="F1890" i="19"/>
  <c r="E1890" i="19"/>
  <c r="F1889" i="19"/>
  <c r="E1889" i="19"/>
  <c r="F1888" i="19"/>
  <c r="E1888" i="19"/>
  <c r="E1922" i="19" s="1"/>
  <c r="F1887" i="19"/>
  <c r="E1887" i="19"/>
  <c r="F1886" i="19"/>
  <c r="E1886" i="19"/>
  <c r="E1920" i="19" s="1"/>
  <c r="F1885" i="19"/>
  <c r="E1885" i="19"/>
  <c r="F1884" i="19"/>
  <c r="E1884" i="19"/>
  <c r="F1883" i="19"/>
  <c r="E1883" i="19"/>
  <c r="E1917" i="19" s="1"/>
  <c r="F1882" i="19"/>
  <c r="E1882" i="19"/>
  <c r="E1916" i="19" s="1"/>
  <c r="F1881" i="19"/>
  <c r="E1881" i="19"/>
  <c r="E1915" i="19" s="1"/>
  <c r="F1880" i="19"/>
  <c r="E1880" i="19"/>
  <c r="A1877" i="19"/>
  <c r="E1873" i="19"/>
  <c r="A1872" i="19"/>
  <c r="B1872" i="19" s="1"/>
  <c r="A1867" i="19"/>
  <c r="A1862" i="19"/>
  <c r="C1862" i="19" s="1"/>
  <c r="A1856" i="19"/>
  <c r="E1853" i="19"/>
  <c r="A1852" i="19"/>
  <c r="C1852" i="19" s="1"/>
  <c r="A1847" i="19"/>
  <c r="C1847" i="19" s="1"/>
  <c r="A1842" i="19"/>
  <c r="C1842" i="19" s="1"/>
  <c r="A1837" i="19"/>
  <c r="C1837" i="19" s="1"/>
  <c r="A1831" i="19"/>
  <c r="B1831" i="19" s="1"/>
  <c r="E1828" i="19"/>
  <c r="A1827" i="19"/>
  <c r="C1827" i="19" s="1"/>
  <c r="A1822" i="19"/>
  <c r="B1822" i="19" s="1"/>
  <c r="H1819" i="19"/>
  <c r="H2153" i="19" s="1"/>
  <c r="H2159" i="19" s="1"/>
  <c r="B1819" i="19"/>
  <c r="B1818" i="19"/>
  <c r="A1817" i="19"/>
  <c r="B1817" i="19" s="1"/>
  <c r="A1810" i="19"/>
  <c r="A1805" i="19"/>
  <c r="C1805" i="19" s="1"/>
  <c r="M1804" i="19"/>
  <c r="D1800" i="19" s="1"/>
  <c r="A1800" i="19"/>
  <c r="C1800" i="19" s="1"/>
  <c r="M1799" i="19"/>
  <c r="D1795" i="19" s="1"/>
  <c r="A1795" i="19"/>
  <c r="B1795" i="19" s="1"/>
  <c r="M1794" i="19"/>
  <c r="D1790" i="19" s="1"/>
  <c r="A1790" i="19"/>
  <c r="B1790" i="19" s="1"/>
  <c r="M1789" i="19"/>
  <c r="D1785" i="19" s="1"/>
  <c r="A1785" i="19"/>
  <c r="M1784" i="19"/>
  <c r="D1780" i="19" s="1"/>
  <c r="A1780" i="19"/>
  <c r="B1780" i="19" s="1"/>
  <c r="A1774" i="19"/>
  <c r="B1774" i="19" s="1"/>
  <c r="A1768" i="19"/>
  <c r="A1760" i="19"/>
  <c r="A1752" i="19"/>
  <c r="C1752" i="19" s="1"/>
  <c r="A1747" i="19"/>
  <c r="B1747" i="19" s="1"/>
  <c r="N1744" i="19"/>
  <c r="N1746" i="19" s="1"/>
  <c r="D1742" i="19" s="1"/>
  <c r="A1742" i="19"/>
  <c r="C1742" i="19" s="1"/>
  <c r="A1741" i="19"/>
  <c r="B1741" i="19" s="1"/>
  <c r="A1740" i="19"/>
  <c r="B1740" i="19" s="1"/>
  <c r="A1722" i="19"/>
  <c r="C1722" i="19" s="1"/>
  <c r="A1704" i="19"/>
  <c r="B1704" i="19" s="1"/>
  <c r="A1686" i="19"/>
  <c r="A1681" i="19"/>
  <c r="B1681" i="19" s="1"/>
  <c r="H1678" i="19"/>
  <c r="B1678" i="19"/>
  <c r="B1682" i="19" s="1"/>
  <c r="A1675" i="19"/>
  <c r="C1675" i="19" s="1"/>
  <c r="E1672" i="19"/>
  <c r="B1672" i="19"/>
  <c r="E1671" i="19"/>
  <c r="B1671" i="19"/>
  <c r="A1669" i="19"/>
  <c r="A1663" i="19"/>
  <c r="A1655" i="19"/>
  <c r="C1655" i="19" s="1"/>
  <c r="A1650" i="19"/>
  <c r="B1650" i="19" s="1"/>
  <c r="J1647" i="19"/>
  <c r="F1647" i="19"/>
  <c r="E1647" i="19"/>
  <c r="J1646" i="19"/>
  <c r="F1646" i="19"/>
  <c r="E1646" i="19"/>
  <c r="J1645" i="19"/>
  <c r="F1645" i="19"/>
  <c r="E1645" i="19"/>
  <c r="J1644" i="19"/>
  <c r="F1644" i="19"/>
  <c r="E1644" i="19"/>
  <c r="J1643" i="19"/>
  <c r="F1643" i="19"/>
  <c r="E1643" i="19"/>
  <c r="J1642" i="19"/>
  <c r="F1642" i="19"/>
  <c r="E1642" i="19"/>
  <c r="J1641" i="19"/>
  <c r="F1641" i="19"/>
  <c r="E1641" i="19"/>
  <c r="J1640" i="19"/>
  <c r="F1640" i="19"/>
  <c r="E1640" i="19"/>
  <c r="J1639" i="19"/>
  <c r="F1639" i="19"/>
  <c r="E1639" i="19"/>
  <c r="J1638" i="19"/>
  <c r="F1638" i="19"/>
  <c r="E1638" i="19"/>
  <c r="J1637" i="19"/>
  <c r="F1637" i="19"/>
  <c r="E1637" i="19"/>
  <c r="J1636" i="19"/>
  <c r="F1636" i="19"/>
  <c r="E1636" i="19"/>
  <c r="J1635" i="19"/>
  <c r="F1635" i="19"/>
  <c r="E1635" i="19"/>
  <c r="B1634" i="19"/>
  <c r="A1632" i="19"/>
  <c r="B1632" i="19" s="1"/>
  <c r="N1629" i="19"/>
  <c r="N1628" i="19"/>
  <c r="N1627" i="19"/>
  <c r="N1626" i="19"/>
  <c r="N1625" i="19"/>
  <c r="N1624" i="19"/>
  <c r="N1623" i="19"/>
  <c r="N1622" i="19"/>
  <c r="N1621" i="19"/>
  <c r="N1620" i="19"/>
  <c r="N1619" i="19"/>
  <c r="N1618" i="19"/>
  <c r="N1617" i="19"/>
  <c r="A1614" i="19"/>
  <c r="C1614" i="19" s="1"/>
  <c r="N1611" i="19"/>
  <c r="N1610" i="19"/>
  <c r="N1609" i="19"/>
  <c r="N1608" i="19"/>
  <c r="N1607" i="19"/>
  <c r="N1606" i="19"/>
  <c r="N1605" i="19"/>
  <c r="N1604" i="19"/>
  <c r="N1603" i="19"/>
  <c r="N1602" i="19"/>
  <c r="N1601" i="19"/>
  <c r="N1600" i="19"/>
  <c r="N1599" i="19"/>
  <c r="A1596" i="19"/>
  <c r="N1593" i="19"/>
  <c r="B1593" i="19"/>
  <c r="B1611" i="19" s="1"/>
  <c r="B1629" i="19" s="1"/>
  <c r="B1647" i="19" s="1"/>
  <c r="N1592" i="19"/>
  <c r="B1592" i="19"/>
  <c r="B1610" i="19" s="1"/>
  <c r="B1736" i="19" s="1"/>
  <c r="N1591" i="19"/>
  <c r="B1591" i="19"/>
  <c r="B1609" i="19" s="1"/>
  <c r="B1735" i="19" s="1"/>
  <c r="N1590" i="19"/>
  <c r="B1590" i="19"/>
  <c r="B1608" i="19" s="1"/>
  <c r="N1589" i="19"/>
  <c r="B1589" i="19"/>
  <c r="B1607" i="19" s="1"/>
  <c r="N1588" i="19"/>
  <c r="B1588" i="19"/>
  <c r="B1606" i="19" s="1"/>
  <c r="B1624" i="19" s="1"/>
  <c r="B1642" i="19" s="1"/>
  <c r="N1587" i="19"/>
  <c r="B1587" i="19"/>
  <c r="B1605" i="19" s="1"/>
  <c r="N1586" i="19"/>
  <c r="B1586" i="19"/>
  <c r="B1604" i="19" s="1"/>
  <c r="B1730" i="19" s="1"/>
  <c r="N1585" i="19"/>
  <c r="B1585" i="19"/>
  <c r="B1603" i="19" s="1"/>
  <c r="N1584" i="19"/>
  <c r="B1584" i="19"/>
  <c r="B1602" i="19" s="1"/>
  <c r="N1583" i="19"/>
  <c r="B1583" i="19"/>
  <c r="B1601" i="19" s="1"/>
  <c r="B1727" i="19" s="1"/>
  <c r="N1582" i="19"/>
  <c r="B1582" i="19"/>
  <c r="B1600" i="19" s="1"/>
  <c r="N1581" i="19"/>
  <c r="B1581" i="19"/>
  <c r="B1599" i="19" s="1"/>
  <c r="A1578" i="19"/>
  <c r="B1578" i="19" s="1"/>
  <c r="N1575" i="19"/>
  <c r="N1719" i="19" s="1"/>
  <c r="K1719" i="19" s="1"/>
  <c r="N1574" i="19"/>
  <c r="N1718" i="19" s="1"/>
  <c r="K1718" i="19" s="1"/>
  <c r="N1573" i="19"/>
  <c r="N1717" i="19" s="1"/>
  <c r="K1717" i="19" s="1"/>
  <c r="N1572" i="19"/>
  <c r="N1716" i="19" s="1"/>
  <c r="K1716" i="19" s="1"/>
  <c r="N1571" i="19"/>
  <c r="N1715" i="19" s="1"/>
  <c r="K1715" i="19" s="1"/>
  <c r="N1570" i="19"/>
  <c r="N1714" i="19" s="1"/>
  <c r="K1714" i="19" s="1"/>
  <c r="N1569" i="19"/>
  <c r="N1713" i="19" s="1"/>
  <c r="K1713" i="19" s="1"/>
  <c r="N1568" i="19"/>
  <c r="N1712" i="19" s="1"/>
  <c r="K1712" i="19" s="1"/>
  <c r="N1567" i="19"/>
  <c r="N1711" i="19" s="1"/>
  <c r="K1711" i="19" s="1"/>
  <c r="N1566" i="19"/>
  <c r="N1710" i="19" s="1"/>
  <c r="K1710" i="19" s="1"/>
  <c r="N1565" i="19"/>
  <c r="N1709" i="19" s="1"/>
  <c r="K1709" i="19" s="1"/>
  <c r="N1564" i="19"/>
  <c r="N1708" i="19" s="1"/>
  <c r="K1708" i="19" s="1"/>
  <c r="N1563" i="19"/>
  <c r="N1707" i="19" s="1"/>
  <c r="K1707" i="19" s="1"/>
  <c r="B1562" i="19"/>
  <c r="A1560" i="19"/>
  <c r="B1560" i="19" s="1"/>
  <c r="N1557" i="19"/>
  <c r="N1701" i="19" s="1"/>
  <c r="K1701" i="19" s="1"/>
  <c r="B1557" i="19"/>
  <c r="B1575" i="19" s="1"/>
  <c r="B1719" i="19" s="1"/>
  <c r="N1556" i="19"/>
  <c r="N1700" i="19" s="1"/>
  <c r="K1700" i="19" s="1"/>
  <c r="B1556" i="19"/>
  <c r="B1700" i="19" s="1"/>
  <c r="N1555" i="19"/>
  <c r="N1699" i="19" s="1"/>
  <c r="K1699" i="19" s="1"/>
  <c r="B1555" i="19"/>
  <c r="N1554" i="19"/>
  <c r="N1698" i="19" s="1"/>
  <c r="K1698" i="19" s="1"/>
  <c r="B1554" i="19"/>
  <c r="B1572" i="19" s="1"/>
  <c r="B1716" i="19" s="1"/>
  <c r="N1553" i="19"/>
  <c r="N1697" i="19" s="1"/>
  <c r="K1697" i="19" s="1"/>
  <c r="B1553" i="19"/>
  <c r="B1697" i="19" s="1"/>
  <c r="N1552" i="19"/>
  <c r="N1696" i="19" s="1"/>
  <c r="K1696" i="19" s="1"/>
  <c r="B1552" i="19"/>
  <c r="B1570" i="19" s="1"/>
  <c r="B1714" i="19" s="1"/>
  <c r="N1551" i="19"/>
  <c r="N1695" i="19" s="1"/>
  <c r="K1695" i="19" s="1"/>
  <c r="B1551" i="19"/>
  <c r="B1695" i="19" s="1"/>
  <c r="N1550" i="19"/>
  <c r="N1694" i="19" s="1"/>
  <c r="K1694" i="19" s="1"/>
  <c r="B1550" i="19"/>
  <c r="B1694" i="19" s="1"/>
  <c r="N1549" i="19"/>
  <c r="N1693" i="19" s="1"/>
  <c r="K1693" i="19" s="1"/>
  <c r="B1549" i="19"/>
  <c r="N1548" i="19"/>
  <c r="N1692" i="19" s="1"/>
  <c r="K1692" i="19" s="1"/>
  <c r="B1548" i="19"/>
  <c r="N1547" i="19"/>
  <c r="N1691" i="19" s="1"/>
  <c r="K1691" i="19" s="1"/>
  <c r="B1547" i="19"/>
  <c r="B1565" i="19" s="1"/>
  <c r="B1709" i="19" s="1"/>
  <c r="N1546" i="19"/>
  <c r="N1690" i="19" s="1"/>
  <c r="K1690" i="19" s="1"/>
  <c r="B1546" i="19"/>
  <c r="B1564" i="19" s="1"/>
  <c r="B1708" i="19" s="1"/>
  <c r="N1545" i="19"/>
  <c r="B1545" i="19"/>
  <c r="B1563" i="19" s="1"/>
  <c r="B1707" i="19" s="1"/>
  <c r="A1542" i="19"/>
  <c r="N1537" i="19"/>
  <c r="A1534" i="19"/>
  <c r="B1534" i="19" s="1"/>
  <c r="A1530" i="19"/>
  <c r="C1530" i="19" s="1"/>
  <c r="A1513" i="19"/>
  <c r="C1513" i="19" s="1"/>
  <c r="G1510" i="19"/>
  <c r="O1510" i="19" s="1"/>
  <c r="G1509" i="19"/>
  <c r="G1526" i="19" s="1"/>
  <c r="G1610" i="19" s="1"/>
  <c r="G1508" i="19"/>
  <c r="O1508" i="19" s="1"/>
  <c r="G1507" i="19"/>
  <c r="G1524" i="19" s="1"/>
  <c r="G1626" i="19" s="1"/>
  <c r="G1644" i="19" s="1"/>
  <c r="A1505" i="19"/>
  <c r="B1505" i="19" s="1"/>
  <c r="G1502" i="19"/>
  <c r="G1523" i="19" s="1"/>
  <c r="G1501" i="19"/>
  <c r="O1501" i="19" s="1"/>
  <c r="G1500" i="19"/>
  <c r="G1521" i="19" s="1"/>
  <c r="G1623" i="19" s="1"/>
  <c r="G1641" i="19" s="1"/>
  <c r="G1499" i="19"/>
  <c r="G1520" i="19" s="1"/>
  <c r="G1604" i="19" s="1"/>
  <c r="G1498" i="19"/>
  <c r="G1519" i="19" s="1"/>
  <c r="G1497" i="19"/>
  <c r="O1497" i="19" s="1"/>
  <c r="G1496" i="19"/>
  <c r="G1517" i="19" s="1"/>
  <c r="G1495" i="19"/>
  <c r="G1516" i="19" s="1"/>
  <c r="G1618" i="19" s="1"/>
  <c r="G1636" i="19" s="1"/>
  <c r="G1494" i="19"/>
  <c r="O1494" i="19" s="1"/>
  <c r="A1492" i="19"/>
  <c r="M1488" i="19"/>
  <c r="A1487" i="19"/>
  <c r="B1487" i="19" s="1"/>
  <c r="F1483" i="19"/>
  <c r="F1489" i="19" s="1"/>
  <c r="E1483" i="19"/>
  <c r="A1480" i="19"/>
  <c r="B1480" i="19" s="1"/>
  <c r="A1479" i="19"/>
  <c r="B1479" i="19" s="1"/>
  <c r="M1477" i="19"/>
  <c r="M1478" i="19" s="1"/>
  <c r="A1476" i="19"/>
  <c r="B1476" i="19" s="1"/>
  <c r="M1475" i="19"/>
  <c r="D1473" i="19"/>
  <c r="A1473" i="19"/>
  <c r="B1473" i="19" s="1"/>
  <c r="A1472" i="19"/>
  <c r="B1472" i="19" s="1"/>
  <c r="A1468" i="19"/>
  <c r="C1468" i="19" s="1"/>
  <c r="A1467" i="19"/>
  <c r="B1467" i="19" s="1"/>
  <c r="A1466" i="19"/>
  <c r="B1466" i="19" s="1"/>
  <c r="N1465" i="19"/>
  <c r="D1461" i="19" s="1"/>
  <c r="A1461" i="19"/>
  <c r="M1460" i="19"/>
  <c r="D1456" i="19" s="1"/>
  <c r="B1458" i="19"/>
  <c r="B1463" i="19" s="1"/>
  <c r="A1456" i="19"/>
  <c r="C1456" i="19" s="1"/>
  <c r="N1455" i="19"/>
  <c r="D1451" i="19" s="1"/>
  <c r="A1451" i="19"/>
  <c r="B1451" i="19" s="1"/>
  <c r="A1450" i="19"/>
  <c r="B1450" i="19" s="1"/>
  <c r="E1447" i="19"/>
  <c r="E1446" i="19"/>
  <c r="E1445" i="19"/>
  <c r="A1443" i="19"/>
  <c r="B1443" i="19" s="1"/>
  <c r="O1440" i="19"/>
  <c r="K1440" i="19" s="1"/>
  <c r="O1439" i="19"/>
  <c r="K1439" i="19" s="1"/>
  <c r="O1438" i="19"/>
  <c r="K1438" i="19" s="1"/>
  <c r="A1435" i="19"/>
  <c r="A1427" i="19"/>
  <c r="B1427" i="19" s="1"/>
  <c r="A1419" i="19"/>
  <c r="C1419" i="19" s="1"/>
  <c r="B1414" i="19"/>
  <c r="A1413" i="19"/>
  <c r="C1413" i="19" s="1"/>
  <c r="O1408" i="19"/>
  <c r="K1408" i="19" s="1"/>
  <c r="O1407" i="19"/>
  <c r="K1407" i="19" s="1"/>
  <c r="O1406" i="19"/>
  <c r="K1406" i="19" s="1"/>
  <c r="A1402" i="19"/>
  <c r="C1402" i="19" s="1"/>
  <c r="N1401" i="19"/>
  <c r="D1395" i="19" s="1"/>
  <c r="A1395" i="19"/>
  <c r="C1395" i="19" s="1"/>
  <c r="O1394" i="19"/>
  <c r="D1388" i="19" s="1"/>
  <c r="A1388" i="19"/>
  <c r="C1388" i="19" s="1"/>
  <c r="A1381" i="19"/>
  <c r="C1381" i="19" s="1"/>
  <c r="N1378" i="19"/>
  <c r="N1424" i="19" s="1"/>
  <c r="K1424" i="19" s="1"/>
  <c r="N1377" i="19"/>
  <c r="N1423" i="19" s="1"/>
  <c r="K1423" i="19" s="1"/>
  <c r="N1376" i="19"/>
  <c r="N1383" i="19" s="1"/>
  <c r="A1374" i="19"/>
  <c r="B1374" i="19" s="1"/>
  <c r="O1373" i="19"/>
  <c r="D1366" i="19" s="1"/>
  <c r="A1366" i="19"/>
  <c r="O1365" i="19"/>
  <c r="D1358" i="19" s="1"/>
  <c r="A1358" i="19"/>
  <c r="C1358" i="19" s="1"/>
  <c r="O1357" i="19"/>
  <c r="D1350" i="19" s="1"/>
  <c r="A1350" i="19"/>
  <c r="N1349" i="19"/>
  <c r="D1342" i="19" s="1"/>
  <c r="A1342" i="19"/>
  <c r="B1342" i="19" s="1"/>
  <c r="A1341" i="19"/>
  <c r="B1341" i="19" s="1"/>
  <c r="O1340" i="19"/>
  <c r="O1314" i="19" s="1"/>
  <c r="A1334" i="19"/>
  <c r="A1333" i="19"/>
  <c r="B1333" i="19" s="1"/>
  <c r="A1328" i="19"/>
  <c r="C1328" i="19" s="1"/>
  <c r="B1325" i="19"/>
  <c r="B1330" i="19" s="1"/>
  <c r="A1323" i="19"/>
  <c r="C1323" i="19" s="1"/>
  <c r="Q1319" i="19"/>
  <c r="A1312" i="19"/>
  <c r="C1312" i="19" s="1"/>
  <c r="O1311" i="19"/>
  <c r="D1305" i="19" s="1"/>
  <c r="A1305" i="19"/>
  <c r="B1305" i="19" s="1"/>
  <c r="A1304" i="19"/>
  <c r="B1304" i="19" s="1"/>
  <c r="A1297" i="19"/>
  <c r="C1297" i="19" s="1"/>
  <c r="A1289" i="19"/>
  <c r="G1288" i="19"/>
  <c r="A1281" i="19"/>
  <c r="C1281" i="19" s="1"/>
  <c r="H1278" i="19"/>
  <c r="B1278" i="19"/>
  <c r="B1286" i="19" s="1"/>
  <c r="B1294" i="19" s="1"/>
  <c r="B1301" i="19" s="1"/>
  <c r="B1309" i="19" s="1"/>
  <c r="B1338" i="19" s="1"/>
  <c r="B1347" i="19" s="1"/>
  <c r="B1355" i="19" s="1"/>
  <c r="B1363" i="19" s="1"/>
  <c r="B1371" i="19" s="1"/>
  <c r="H1277" i="19"/>
  <c r="B1277" i="19"/>
  <c r="B1285" i="19" s="1"/>
  <c r="B1293" i="19" s="1"/>
  <c r="B1300" i="19" s="1"/>
  <c r="B1308" i="19" s="1"/>
  <c r="B1337" i="19" s="1"/>
  <c r="B1346" i="19" s="1"/>
  <c r="B1354" i="19" s="1"/>
  <c r="B1362" i="19" s="1"/>
  <c r="B1370" i="19" s="1"/>
  <c r="H1276" i="19"/>
  <c r="B1276" i="19"/>
  <c r="B1284" i="19" s="1"/>
  <c r="B1292" i="19" s="1"/>
  <c r="B1299" i="19" s="1"/>
  <c r="B1307" i="19" s="1"/>
  <c r="B1336" i="19" s="1"/>
  <c r="B1345" i="19" s="1"/>
  <c r="B1353" i="19" s="1"/>
  <c r="B1361" i="19" s="1"/>
  <c r="B1369" i="19" s="1"/>
  <c r="A1274" i="19"/>
  <c r="B1274" i="19" s="1"/>
  <c r="N1271" i="19"/>
  <c r="N1278" i="19" s="1"/>
  <c r="N1270" i="19"/>
  <c r="N1277" i="19" s="1"/>
  <c r="N1269" i="19"/>
  <c r="A1267" i="19"/>
  <c r="C1267" i="19" s="1"/>
  <c r="A1266" i="19"/>
  <c r="B1266" i="19" s="1"/>
  <c r="A1265" i="19"/>
  <c r="B1265" i="19" s="1"/>
  <c r="A1261" i="19"/>
  <c r="B1261" i="19" s="1"/>
  <c r="A1260" i="19"/>
  <c r="B1260" i="19" s="1"/>
  <c r="A1246" i="19"/>
  <c r="A1242" i="19"/>
  <c r="C1242" i="19" s="1"/>
  <c r="A1233" i="19"/>
  <c r="C1233" i="19" s="1"/>
  <c r="A1228" i="19"/>
  <c r="C1228" i="19" s="1"/>
  <c r="I1226" i="19"/>
  <c r="H1225" i="19"/>
  <c r="B1225" i="19"/>
  <c r="H1224" i="19"/>
  <c r="G1224" i="19"/>
  <c r="B1224" i="19"/>
  <c r="B1223" i="19"/>
  <c r="B1257" i="19" s="1"/>
  <c r="F1222" i="19"/>
  <c r="F1256" i="19" s="1"/>
  <c r="E1222" i="19"/>
  <c r="E1256" i="19" s="1"/>
  <c r="H1221" i="19"/>
  <c r="B1221" i="19"/>
  <c r="H1220" i="19"/>
  <c r="G1220" i="19"/>
  <c r="B1220" i="19"/>
  <c r="B1219" i="19"/>
  <c r="B1255" i="19" s="1"/>
  <c r="F1218" i="19"/>
  <c r="F1254" i="19" s="1"/>
  <c r="E1218" i="19"/>
  <c r="E1254" i="19" s="1"/>
  <c r="H1217" i="19"/>
  <c r="B1217" i="19"/>
  <c r="H1216" i="19"/>
  <c r="G1216" i="19"/>
  <c r="B1216" i="19"/>
  <c r="B1215" i="19"/>
  <c r="B1253" i="19" s="1"/>
  <c r="F1214" i="19"/>
  <c r="F1252" i="19" s="1"/>
  <c r="E1214" i="19"/>
  <c r="E1252" i="19" s="1"/>
  <c r="B1213" i="19"/>
  <c r="B1251" i="19" s="1"/>
  <c r="H1211" i="19"/>
  <c r="B1211" i="19"/>
  <c r="B1249" i="19" s="1"/>
  <c r="A1208" i="19"/>
  <c r="C1208" i="19" s="1"/>
  <c r="F1203" i="19"/>
  <c r="F1184" i="19" s="1"/>
  <c r="E1203" i="19"/>
  <c r="F1199" i="19"/>
  <c r="F1180" i="19" s="1"/>
  <c r="E1199" i="19"/>
  <c r="E1180" i="19" s="1"/>
  <c r="F1195" i="19"/>
  <c r="F1196" i="19" s="1"/>
  <c r="E1195" i="19"/>
  <c r="E1176" i="19" s="1"/>
  <c r="A1188" i="19"/>
  <c r="B1183" i="19"/>
  <c r="B1202" i="19" s="1"/>
  <c r="B1222" i="19" s="1"/>
  <c r="B1256" i="19" s="1"/>
  <c r="B1179" i="19"/>
  <c r="B1198" i="19" s="1"/>
  <c r="B1175" i="19"/>
  <c r="B1194" i="19" s="1"/>
  <c r="B1237" i="19" s="1"/>
  <c r="A1173" i="19"/>
  <c r="B1173" i="19" s="1"/>
  <c r="B1229" i="19" s="1"/>
  <c r="A1167" i="19"/>
  <c r="B1167" i="19" s="1"/>
  <c r="F1164" i="19"/>
  <c r="F1170" i="19" s="1"/>
  <c r="E1164" i="19"/>
  <c r="E1170" i="19" s="1"/>
  <c r="E1192" i="19" s="1"/>
  <c r="B1164" i="19"/>
  <c r="B1170" i="19" s="1"/>
  <c r="F1163" i="19"/>
  <c r="F1169" i="19" s="1"/>
  <c r="F1190" i="19" s="1"/>
  <c r="E1163" i="19"/>
  <c r="E1169" i="19" s="1"/>
  <c r="B1163" i="19"/>
  <c r="B1190" i="19" s="1"/>
  <c r="B1210" i="19" s="1"/>
  <c r="B1248" i="19" s="1"/>
  <c r="B1162" i="19"/>
  <c r="B1168" i="19" s="1"/>
  <c r="B1189" i="19" s="1"/>
  <c r="B1174" i="19" s="1"/>
  <c r="A1161" i="19"/>
  <c r="C1161" i="19" s="1"/>
  <c r="A1152" i="19"/>
  <c r="C1152" i="19" s="1"/>
  <c r="A1147" i="19"/>
  <c r="B1147" i="19" s="1"/>
  <c r="A1143" i="19"/>
  <c r="A1134" i="19"/>
  <c r="A1131" i="19"/>
  <c r="A1128" i="19"/>
  <c r="A1124" i="19"/>
  <c r="B1124" i="19" s="1"/>
  <c r="B1121" i="19"/>
  <c r="B1120" i="19"/>
  <c r="B1119" i="19"/>
  <c r="B1118" i="19"/>
  <c r="B1117" i="19"/>
  <c r="B1116" i="19"/>
  <c r="B1115" i="19"/>
  <c r="B1114" i="19"/>
  <c r="B1113" i="19"/>
  <c r="B1112" i="19"/>
  <c r="B1111" i="19"/>
  <c r="B1110" i="19"/>
  <c r="A1108" i="19"/>
  <c r="B1108" i="19" s="1"/>
  <c r="A1104" i="19"/>
  <c r="C1104" i="19" s="1"/>
  <c r="A1100" i="19"/>
  <c r="A1097" i="19"/>
  <c r="C1097" i="19" s="1"/>
  <c r="E1095" i="19"/>
  <c r="B1095" i="19"/>
  <c r="E1094" i="19"/>
  <c r="B1094" i="19"/>
  <c r="A1093" i="19"/>
  <c r="B1093" i="19" s="1"/>
  <c r="A1086" i="19"/>
  <c r="C1086" i="19" s="1"/>
  <c r="B1075" i="19"/>
  <c r="B1072" i="19"/>
  <c r="A1070" i="19"/>
  <c r="C1070" i="19" s="1"/>
  <c r="A1062" i="19"/>
  <c r="C1062" i="19" s="1"/>
  <c r="A1058" i="19"/>
  <c r="L1056" i="19"/>
  <c r="A1053" i="19"/>
  <c r="C1053" i="19" s="1"/>
  <c r="A1048" i="19"/>
  <c r="C1048" i="19" s="1"/>
  <c r="A1043" i="19"/>
  <c r="C1043" i="19" s="1"/>
  <c r="A1038" i="19"/>
  <c r="B1038" i="19" s="1"/>
  <c r="B1035" i="19"/>
  <c r="B1039" i="19" s="1"/>
  <c r="A1032" i="19"/>
  <c r="C1032" i="19" s="1"/>
  <c r="A1026" i="19"/>
  <c r="A1022" i="19"/>
  <c r="C1022" i="19" s="1"/>
  <c r="A1016" i="19"/>
  <c r="B1016" i="19" s="1"/>
  <c r="B1013" i="19"/>
  <c r="B1023" i="19" s="1"/>
  <c r="A1012" i="19"/>
  <c r="A1008" i="19"/>
  <c r="C1008" i="19" s="1"/>
  <c r="A1004" i="19"/>
  <c r="C1004" i="19" s="1"/>
  <c r="A999" i="19"/>
  <c r="C999" i="19" s="1"/>
  <c r="A994" i="19"/>
  <c r="C994" i="19" s="1"/>
  <c r="A989" i="19"/>
  <c r="C989" i="19" s="1"/>
  <c r="A984" i="19"/>
  <c r="C984" i="19" s="1"/>
  <c r="A979" i="19"/>
  <c r="C979" i="19" s="1"/>
  <c r="A974" i="19"/>
  <c r="C974" i="19" s="1"/>
  <c r="A968" i="19"/>
  <c r="C968" i="19" s="1"/>
  <c r="A963" i="19"/>
  <c r="B963" i="19" s="1"/>
  <c r="A958" i="19"/>
  <c r="C958" i="19" s="1"/>
  <c r="A952" i="19"/>
  <c r="A946" i="19"/>
  <c r="C946" i="19" s="1"/>
  <c r="A940" i="19"/>
  <c r="C940" i="19" s="1"/>
  <c r="A935" i="19"/>
  <c r="C935" i="19" s="1"/>
  <c r="A930" i="19"/>
  <c r="A924" i="19"/>
  <c r="C924" i="19" s="1"/>
  <c r="A918" i="19"/>
  <c r="C918" i="19" s="1"/>
  <c r="A912" i="19"/>
  <c r="B912" i="19" s="1"/>
  <c r="A908" i="19"/>
  <c r="B908" i="19" s="1"/>
  <c r="A904" i="19"/>
  <c r="C904" i="19" s="1"/>
  <c r="A900" i="19"/>
  <c r="C900" i="19" s="1"/>
  <c r="A896" i="19"/>
  <c r="A892" i="19"/>
  <c r="A891" i="19"/>
  <c r="B891" i="19" s="1"/>
  <c r="A887" i="19"/>
  <c r="A879" i="19"/>
  <c r="A875" i="19"/>
  <c r="B875" i="19" s="1"/>
  <c r="A867" i="19"/>
  <c r="C867" i="19" s="1"/>
  <c r="A863" i="19"/>
  <c r="C863" i="19" s="1"/>
  <c r="A859" i="19"/>
  <c r="C859" i="19" s="1"/>
  <c r="A855" i="19"/>
  <c r="C855" i="19" s="1"/>
  <c r="A851" i="19"/>
  <c r="A843" i="19"/>
  <c r="O842" i="19"/>
  <c r="O838" i="19"/>
  <c r="K836" i="19"/>
  <c r="A835" i="19"/>
  <c r="B835" i="19" s="1"/>
  <c r="O834" i="19"/>
  <c r="A831" i="19"/>
  <c r="C831" i="19" s="1"/>
  <c r="O830" i="19"/>
  <c r="A827" i="19"/>
  <c r="B827" i="19" s="1"/>
  <c r="A826" i="19"/>
  <c r="B826" i="19" s="1"/>
  <c r="A822" i="19"/>
  <c r="C822" i="19" s="1"/>
  <c r="A818" i="19"/>
  <c r="A814" i="19"/>
  <c r="C814" i="19" s="1"/>
  <c r="A810" i="19"/>
  <c r="C810" i="19" s="1"/>
  <c r="A806" i="19"/>
  <c r="C806" i="19" s="1"/>
  <c r="A798" i="19"/>
  <c r="C798" i="19" s="1"/>
  <c r="A792" i="19"/>
  <c r="C792" i="19" s="1"/>
  <c r="A786" i="19"/>
  <c r="C786" i="19" s="1"/>
  <c r="A782" i="19"/>
  <c r="C782" i="19" s="1"/>
  <c r="A776" i="19"/>
  <c r="B776" i="19" s="1"/>
  <c r="B773" i="19"/>
  <c r="B777" i="19" s="1"/>
  <c r="A770" i="19"/>
  <c r="C770" i="19" s="1"/>
  <c r="A765" i="19"/>
  <c r="L763" i="19"/>
  <c r="A761" i="19"/>
  <c r="C761" i="19" s="1"/>
  <c r="A755" i="19"/>
  <c r="A751" i="19"/>
  <c r="B751" i="19" s="1"/>
  <c r="A745" i="19"/>
  <c r="C745" i="19" s="1"/>
  <c r="A741" i="19"/>
  <c r="C741" i="19" s="1"/>
  <c r="A737" i="19"/>
  <c r="A733" i="19"/>
  <c r="C733" i="19" s="1"/>
  <c r="A729" i="19"/>
  <c r="A725" i="19"/>
  <c r="C725" i="19" s="1"/>
  <c r="A724" i="19"/>
  <c r="B724" i="19" s="1"/>
  <c r="A720" i="19"/>
  <c r="B720" i="19" s="1"/>
  <c r="A716" i="19"/>
  <c r="B716" i="19" s="1"/>
  <c r="A712" i="19"/>
  <c r="B712" i="19" s="1"/>
  <c r="A708" i="19"/>
  <c r="B708" i="19" s="1"/>
  <c r="A704" i="19"/>
  <c r="A700" i="19"/>
  <c r="B700" i="19" s="1"/>
  <c r="A696" i="19"/>
  <c r="B696" i="19" s="1"/>
  <c r="A692" i="19"/>
  <c r="B692" i="19" s="1"/>
  <c r="A688" i="19"/>
  <c r="B688" i="19" s="1"/>
  <c r="A687" i="19"/>
  <c r="B687" i="19" s="1"/>
  <c r="B684" i="19"/>
  <c r="A683" i="19"/>
  <c r="A682" i="19"/>
  <c r="B682" i="19" s="1"/>
  <c r="A679" i="19"/>
  <c r="E677" i="19"/>
  <c r="B677" i="19"/>
  <c r="E676" i="19"/>
  <c r="B676" i="19"/>
  <c r="A675" i="19"/>
  <c r="B675" i="19" s="1"/>
  <c r="A671" i="19"/>
  <c r="B671" i="19" s="1"/>
  <c r="A667" i="19"/>
  <c r="A664" i="19"/>
  <c r="A659" i="19"/>
  <c r="A654" i="19"/>
  <c r="B654" i="19" s="1"/>
  <c r="A649" i="19"/>
  <c r="A644" i="19"/>
  <c r="B644" i="19" s="1"/>
  <c r="A639" i="19"/>
  <c r="A634" i="19"/>
  <c r="B634" i="19" s="1"/>
  <c r="A629" i="19"/>
  <c r="A624" i="19"/>
  <c r="B624" i="19" s="1"/>
  <c r="A619" i="19"/>
  <c r="A614" i="19"/>
  <c r="B614" i="19" s="1"/>
  <c r="A609" i="19"/>
  <c r="A604" i="19"/>
  <c r="B604" i="19" s="1"/>
  <c r="A599" i="19"/>
  <c r="A594" i="19"/>
  <c r="B594" i="19" s="1"/>
  <c r="A593" i="19"/>
  <c r="B593" i="19" s="1"/>
  <c r="A592" i="19"/>
  <c r="B592" i="19" s="1"/>
  <c r="E572" i="19"/>
  <c r="E545" i="19"/>
  <c r="A543" i="19"/>
  <c r="C543" i="19" s="1"/>
  <c r="A538" i="19"/>
  <c r="C538" i="19" s="1"/>
  <c r="A532" i="19"/>
  <c r="A516" i="19"/>
  <c r="B516" i="19" s="1"/>
  <c r="B513" i="19"/>
  <c r="B529" i="19" s="1"/>
  <c r="B512" i="19"/>
  <c r="B528" i="19" s="1"/>
  <c r="B511" i="19"/>
  <c r="B527" i="19" s="1"/>
  <c r="B510" i="19"/>
  <c r="B526" i="19" s="1"/>
  <c r="B509" i="19"/>
  <c r="B525" i="19" s="1"/>
  <c r="B508" i="19"/>
  <c r="B524" i="19" s="1"/>
  <c r="B507" i="19"/>
  <c r="B523" i="19" s="1"/>
  <c r="B506" i="19"/>
  <c r="B522" i="19" s="1"/>
  <c r="B505" i="19"/>
  <c r="B521" i="19" s="1"/>
  <c r="B504" i="19"/>
  <c r="B520" i="19" s="1"/>
  <c r="B503" i="19"/>
  <c r="B519" i="19" s="1"/>
  <c r="B502" i="19"/>
  <c r="B518" i="19" s="1"/>
  <c r="A500" i="19"/>
  <c r="C500" i="19" s="1"/>
  <c r="H497" i="19"/>
  <c r="F497" i="19"/>
  <c r="E497" i="19"/>
  <c r="B497" i="19"/>
  <c r="H496" i="19"/>
  <c r="F496" i="19"/>
  <c r="E496" i="19"/>
  <c r="B496" i="19"/>
  <c r="H495" i="19"/>
  <c r="F495" i="19"/>
  <c r="E495" i="19"/>
  <c r="B495" i="19"/>
  <c r="H494" i="19"/>
  <c r="F494" i="19"/>
  <c r="E494" i="19"/>
  <c r="B494" i="19"/>
  <c r="H493" i="19"/>
  <c r="F493" i="19"/>
  <c r="E493" i="19"/>
  <c r="B493" i="19"/>
  <c r="H492" i="19"/>
  <c r="F492" i="19"/>
  <c r="E492" i="19"/>
  <c r="B492" i="19"/>
  <c r="H491" i="19"/>
  <c r="F491" i="19"/>
  <c r="E491" i="19"/>
  <c r="B491" i="19"/>
  <c r="H490" i="19"/>
  <c r="F490" i="19"/>
  <c r="E490" i="19"/>
  <c r="B490" i="19"/>
  <c r="H489" i="19"/>
  <c r="F489" i="19"/>
  <c r="E489" i="19"/>
  <c r="B489" i="19"/>
  <c r="H488" i="19"/>
  <c r="F488" i="19"/>
  <c r="E488" i="19"/>
  <c r="B488" i="19"/>
  <c r="H487" i="19"/>
  <c r="F487" i="19"/>
  <c r="E487" i="19"/>
  <c r="B487" i="19"/>
  <c r="H486" i="19"/>
  <c r="F486" i="19"/>
  <c r="E486" i="19"/>
  <c r="B486" i="19"/>
  <c r="A483" i="19"/>
  <c r="B483" i="19" s="1"/>
  <c r="F479" i="19"/>
  <c r="E479" i="19"/>
  <c r="E513" i="19" s="1"/>
  <c r="F478" i="19"/>
  <c r="E478" i="19"/>
  <c r="E512" i="19" s="1"/>
  <c r="F477" i="19"/>
  <c r="E477" i="19"/>
  <c r="E511" i="19" s="1"/>
  <c r="F476" i="19"/>
  <c r="E476" i="19"/>
  <c r="E510" i="19" s="1"/>
  <c r="F475" i="19"/>
  <c r="E475" i="19"/>
  <c r="F474" i="19"/>
  <c r="E474" i="19"/>
  <c r="E508" i="19" s="1"/>
  <c r="F473" i="19"/>
  <c r="E473" i="19"/>
  <c r="E507" i="19" s="1"/>
  <c r="F472" i="19"/>
  <c r="E472" i="19"/>
  <c r="E506" i="19" s="1"/>
  <c r="F471" i="19"/>
  <c r="E471" i="19"/>
  <c r="E505" i="19" s="1"/>
  <c r="F470" i="19"/>
  <c r="E470" i="19"/>
  <c r="E504" i="19" s="1"/>
  <c r="F469" i="19"/>
  <c r="E469" i="19"/>
  <c r="E503" i="19" s="1"/>
  <c r="F468" i="19"/>
  <c r="E468" i="19"/>
  <c r="A465" i="19"/>
  <c r="C465" i="19" s="1"/>
  <c r="F462" i="19"/>
  <c r="E461" i="19"/>
  <c r="A460" i="19"/>
  <c r="C460" i="19" s="1"/>
  <c r="A455" i="19"/>
  <c r="A450" i="19"/>
  <c r="B450" i="19" s="1"/>
  <c r="A445" i="19"/>
  <c r="B445" i="19" s="1"/>
  <c r="E442" i="19"/>
  <c r="A441" i="19"/>
  <c r="B441" i="19" s="1"/>
  <c r="A436" i="19"/>
  <c r="B436" i="19" s="1"/>
  <c r="A431" i="19"/>
  <c r="A426" i="19"/>
  <c r="B426" i="19" s="1"/>
  <c r="A420" i="19"/>
  <c r="C420" i="19" s="1"/>
  <c r="E417" i="19"/>
  <c r="A416" i="19"/>
  <c r="B416" i="19" s="1"/>
  <c r="A411" i="19"/>
  <c r="C411" i="19" s="1"/>
  <c r="H408" i="19"/>
  <c r="H767" i="19" s="1"/>
  <c r="H773" i="19" s="1"/>
  <c r="B408" i="19"/>
  <c r="A406" i="19"/>
  <c r="C406" i="19" s="1"/>
  <c r="A399" i="19"/>
  <c r="B399" i="19" s="1"/>
  <c r="A393" i="19"/>
  <c r="C393" i="19" s="1"/>
  <c r="M392" i="19"/>
  <c r="D386" i="19" s="1"/>
  <c r="A386" i="19"/>
  <c r="B386" i="19" s="1"/>
  <c r="M385" i="19"/>
  <c r="D379" i="19" s="1"/>
  <c r="A379" i="19"/>
  <c r="B379" i="19" s="1"/>
  <c r="M378" i="19"/>
  <c r="D372" i="19" s="1"/>
  <c r="A372" i="19"/>
  <c r="C372" i="19" s="1"/>
  <c r="M371" i="19"/>
  <c r="D365" i="19" s="1"/>
  <c r="A365" i="19"/>
  <c r="M364" i="19"/>
  <c r="D358" i="19" s="1"/>
  <c r="A358" i="19"/>
  <c r="B358" i="19" s="1"/>
  <c r="A352" i="19"/>
  <c r="A346" i="19"/>
  <c r="C346" i="19" s="1"/>
  <c r="A338" i="19"/>
  <c r="B338" i="19" s="1"/>
  <c r="A330" i="19"/>
  <c r="B330" i="19" s="1"/>
  <c r="A325" i="19"/>
  <c r="B325" i="19" s="1"/>
  <c r="N322" i="19"/>
  <c r="N324" i="19" s="1"/>
  <c r="D320" i="19" s="1"/>
  <c r="A320" i="19"/>
  <c r="C320" i="19" s="1"/>
  <c r="A319" i="19"/>
  <c r="B319" i="19" s="1"/>
  <c r="A318" i="19"/>
  <c r="P323" i="18"/>
  <c r="L323" i="18"/>
  <c r="J323" i="18"/>
  <c r="D323" i="18"/>
  <c r="C323" i="18"/>
  <c r="A354" i="22" s="1"/>
  <c r="P322" i="18"/>
  <c r="L322" i="18"/>
  <c r="J322" i="18"/>
  <c r="F325" i="18"/>
  <c r="D322" i="18"/>
  <c r="C322" i="18"/>
  <c r="A353" i="22" s="1"/>
  <c r="P321" i="18"/>
  <c r="L321" i="18"/>
  <c r="J321" i="18"/>
  <c r="D321" i="18"/>
  <c r="C321" i="18"/>
  <c r="A352" i="22" s="1"/>
  <c r="P320" i="18"/>
  <c r="L320" i="18"/>
  <c r="J320" i="18"/>
  <c r="C320" i="18"/>
  <c r="A351" i="22" s="1"/>
  <c r="P318" i="18"/>
  <c r="L318" i="18"/>
  <c r="J318" i="18"/>
  <c r="D318" i="18"/>
  <c r="C318" i="18"/>
  <c r="A349" i="22" s="1"/>
  <c r="P316" i="18"/>
  <c r="L316" i="18"/>
  <c r="J316" i="18"/>
  <c r="D316" i="18"/>
  <c r="C316" i="18"/>
  <c r="A347" i="22" s="1"/>
  <c r="P314" i="18"/>
  <c r="L314" i="18"/>
  <c r="J314" i="18"/>
  <c r="C314" i="18"/>
  <c r="A345" i="22" s="1"/>
  <c r="P312" i="18"/>
  <c r="L312" i="18"/>
  <c r="J312" i="18"/>
  <c r="D312" i="18"/>
  <c r="C312" i="18"/>
  <c r="A343" i="22" s="1"/>
  <c r="P309" i="18"/>
  <c r="L309" i="18"/>
  <c r="J309" i="18"/>
  <c r="D309" i="18"/>
  <c r="C309" i="18"/>
  <c r="A340" i="22" s="1"/>
  <c r="P308" i="18"/>
  <c r="L308" i="18"/>
  <c r="J308" i="18"/>
  <c r="D308" i="18"/>
  <c r="C308" i="18"/>
  <c r="A339" i="22" s="1"/>
  <c r="P307" i="18"/>
  <c r="L307" i="18"/>
  <c r="J307" i="18"/>
  <c r="D307" i="18"/>
  <c r="C307" i="18"/>
  <c r="A338" i="22" s="1"/>
  <c r="P306" i="18"/>
  <c r="L306" i="18"/>
  <c r="J306" i="18"/>
  <c r="D306" i="18"/>
  <c r="C306" i="18"/>
  <c r="A337" i="22" s="1"/>
  <c r="P305" i="18"/>
  <c r="L305" i="18"/>
  <c r="J305" i="18"/>
  <c r="D305" i="18"/>
  <c r="C305" i="18"/>
  <c r="A336" i="22" s="1"/>
  <c r="P304" i="18"/>
  <c r="L304" i="18"/>
  <c r="J304" i="18"/>
  <c r="D304" i="18"/>
  <c r="C304" i="18"/>
  <c r="A335" i="22" s="1"/>
  <c r="P303" i="18"/>
  <c r="L303" i="18"/>
  <c r="J303" i="18"/>
  <c r="D303" i="18"/>
  <c r="C303" i="18"/>
  <c r="A334" i="22" s="1"/>
  <c r="P302" i="18"/>
  <c r="L302" i="18"/>
  <c r="J302" i="18"/>
  <c r="D302" i="18"/>
  <c r="C302" i="18"/>
  <c r="A333" i="22" s="1"/>
  <c r="P301" i="18"/>
  <c r="L301" i="18"/>
  <c r="J301" i="18"/>
  <c r="D301" i="18"/>
  <c r="C301" i="18"/>
  <c r="A332" i="22" s="1"/>
  <c r="P300" i="18"/>
  <c r="L300" i="18"/>
  <c r="J300" i="18"/>
  <c r="D300" i="18"/>
  <c r="C300" i="18"/>
  <c r="A331" i="22" s="1"/>
  <c r="P299" i="18"/>
  <c r="L299" i="18"/>
  <c r="J299" i="18"/>
  <c r="D299" i="18"/>
  <c r="C299" i="18"/>
  <c r="A330" i="22" s="1"/>
  <c r="P298" i="18"/>
  <c r="L298" i="18"/>
  <c r="J298" i="18"/>
  <c r="D298" i="18"/>
  <c r="C298" i="18"/>
  <c r="A329" i="22" s="1"/>
  <c r="P297" i="18"/>
  <c r="L297" i="18"/>
  <c r="J297" i="18"/>
  <c r="D297" i="18"/>
  <c r="C297" i="18"/>
  <c r="A328" i="22" s="1"/>
  <c r="P296" i="18"/>
  <c r="L296" i="18"/>
  <c r="J296" i="18"/>
  <c r="C296" i="18"/>
  <c r="A327" i="22" s="1"/>
  <c r="P294" i="18"/>
  <c r="L294" i="18"/>
  <c r="J294" i="18"/>
  <c r="C294" i="18"/>
  <c r="A325" i="22" s="1"/>
  <c r="P292" i="18"/>
  <c r="L292" i="18"/>
  <c r="J292" i="18"/>
  <c r="C292" i="18"/>
  <c r="A323" i="22" s="1"/>
  <c r="P290" i="18"/>
  <c r="L290" i="18"/>
  <c r="J290" i="18"/>
  <c r="C290" i="18"/>
  <c r="A321" i="22" s="1"/>
  <c r="P284" i="18"/>
  <c r="L284" i="18"/>
  <c r="J284" i="18"/>
  <c r="D284" i="18"/>
  <c r="C284" i="18"/>
  <c r="A315" i="22" s="1"/>
  <c r="P283" i="18"/>
  <c r="L283" i="18"/>
  <c r="J283" i="18"/>
  <c r="D283" i="18"/>
  <c r="C283" i="18"/>
  <c r="A314" i="22" s="1"/>
  <c r="P282" i="18"/>
  <c r="P275" i="18"/>
  <c r="L275" i="18"/>
  <c r="J275" i="18"/>
  <c r="C275" i="18"/>
  <c r="A306" i="22" s="1"/>
  <c r="P274" i="18"/>
  <c r="L274" i="18"/>
  <c r="J274" i="18"/>
  <c r="C274" i="18"/>
  <c r="A305" i="22" s="1"/>
  <c r="P273" i="18"/>
  <c r="L273" i="18"/>
  <c r="J273" i="18"/>
  <c r="C273" i="18"/>
  <c r="A304" i="22" s="1"/>
  <c r="P272" i="18"/>
  <c r="L272" i="18"/>
  <c r="J272" i="18"/>
  <c r="C272" i="18"/>
  <c r="A303" i="22" s="1"/>
  <c r="P271" i="18"/>
  <c r="L271" i="18"/>
  <c r="J271" i="18"/>
  <c r="C271" i="18"/>
  <c r="A302" i="22" s="1"/>
  <c r="P270" i="18"/>
  <c r="L270" i="18"/>
  <c r="J270" i="18"/>
  <c r="C270" i="18"/>
  <c r="A301" i="22" s="1"/>
  <c r="P269" i="18"/>
  <c r="L269" i="18"/>
  <c r="J269" i="18"/>
  <c r="C269" i="18"/>
  <c r="A300" i="22" s="1"/>
  <c r="P268" i="18"/>
  <c r="L268" i="18"/>
  <c r="J268" i="18"/>
  <c r="C268" i="18"/>
  <c r="A299" i="22" s="1"/>
  <c r="P267" i="18"/>
  <c r="L267" i="18"/>
  <c r="J267" i="18"/>
  <c r="C267" i="18"/>
  <c r="A298" i="22" s="1"/>
  <c r="P266" i="18"/>
  <c r="L266" i="18"/>
  <c r="J266" i="18"/>
  <c r="C266" i="18"/>
  <c r="A297" i="22" s="1"/>
  <c r="P265" i="18"/>
  <c r="L265" i="18"/>
  <c r="J265" i="18"/>
  <c r="C265" i="18"/>
  <c r="A296" i="22" s="1"/>
  <c r="P264" i="18"/>
  <c r="L264" i="18"/>
  <c r="J264" i="18"/>
  <c r="C264" i="18"/>
  <c r="A295" i="22" s="1"/>
  <c r="P263" i="18"/>
  <c r="L263" i="18"/>
  <c r="J263" i="18"/>
  <c r="C263" i="18"/>
  <c r="A294" i="22" s="1"/>
  <c r="P262" i="18"/>
  <c r="L262" i="18"/>
  <c r="J262" i="18"/>
  <c r="C262" i="18"/>
  <c r="A293" i="22" s="1"/>
  <c r="P261" i="18"/>
  <c r="L261" i="18"/>
  <c r="J261" i="18"/>
  <c r="C261" i="18"/>
  <c r="A292" i="22" s="1"/>
  <c r="P260" i="18"/>
  <c r="L260" i="18"/>
  <c r="J260" i="18"/>
  <c r="C260" i="18"/>
  <c r="A291" i="22" s="1"/>
  <c r="P259" i="18"/>
  <c r="L259" i="18"/>
  <c r="J259" i="18"/>
  <c r="C259" i="18"/>
  <c r="A290" i="22" s="1"/>
  <c r="P258" i="18"/>
  <c r="L258" i="18"/>
  <c r="J258" i="18"/>
  <c r="C258" i="18"/>
  <c r="A289" i="22" s="1"/>
  <c r="P257" i="18"/>
  <c r="L257" i="18"/>
  <c r="J257" i="18"/>
  <c r="C257" i="18"/>
  <c r="A288" i="22" s="1"/>
  <c r="P256" i="18"/>
  <c r="L256" i="18"/>
  <c r="J256" i="18"/>
  <c r="C256" i="18"/>
  <c r="A287" i="22" s="1"/>
  <c r="P255" i="18"/>
  <c r="L255" i="18"/>
  <c r="J255" i="18"/>
  <c r="C255" i="18"/>
  <c r="A286" i="22" s="1"/>
  <c r="P243" i="18"/>
  <c r="L243" i="18"/>
  <c r="J243" i="18"/>
  <c r="C243" i="18"/>
  <c r="A274" i="22" s="1"/>
  <c r="P242" i="18"/>
  <c r="L242" i="18"/>
  <c r="J242" i="18"/>
  <c r="C242" i="18"/>
  <c r="A273" i="22" s="1"/>
  <c r="P241" i="18"/>
  <c r="L241" i="18"/>
  <c r="J241" i="18"/>
  <c r="C241" i="18"/>
  <c r="A272" i="22" s="1"/>
  <c r="P239" i="18"/>
  <c r="L239" i="18"/>
  <c r="J239" i="18"/>
  <c r="C239" i="18"/>
  <c r="A270" i="22" s="1"/>
  <c r="P237" i="18"/>
  <c r="L237" i="18"/>
  <c r="J237" i="18"/>
  <c r="C237" i="18"/>
  <c r="A268" i="22" s="1"/>
  <c r="P236" i="18"/>
  <c r="L236" i="18"/>
  <c r="J236" i="18"/>
  <c r="C236" i="18"/>
  <c r="A267" i="22" s="1"/>
  <c r="P235" i="18"/>
  <c r="L235" i="18"/>
  <c r="J235" i="18"/>
  <c r="C235" i="18"/>
  <c r="A266" i="22" s="1"/>
  <c r="P234" i="18"/>
  <c r="L234" i="18"/>
  <c r="J234" i="18"/>
  <c r="C234" i="18"/>
  <c r="A265" i="22" s="1"/>
  <c r="P233" i="18"/>
  <c r="L233" i="18"/>
  <c r="J233" i="18"/>
  <c r="C233" i="18"/>
  <c r="A264" i="22" s="1"/>
  <c r="P232" i="18"/>
  <c r="L232" i="18"/>
  <c r="J232" i="18"/>
  <c r="C232" i="18"/>
  <c r="A263" i="22" s="1"/>
  <c r="P231" i="18"/>
  <c r="L231" i="18"/>
  <c r="J231" i="18"/>
  <c r="C231" i="18"/>
  <c r="A262" i="22" s="1"/>
  <c r="P230" i="18"/>
  <c r="L230" i="18"/>
  <c r="J230" i="18"/>
  <c r="C230" i="18"/>
  <c r="A261" i="22" s="1"/>
  <c r="P229" i="18"/>
  <c r="L229" i="18"/>
  <c r="J229" i="18"/>
  <c r="C229" i="18"/>
  <c r="P228" i="18"/>
  <c r="F224" i="18"/>
  <c r="L214" i="18"/>
  <c r="J214" i="18"/>
  <c r="D214" i="18"/>
  <c r="C214" i="18"/>
  <c r="A236" i="22" s="1"/>
  <c r="L213" i="18"/>
  <c r="J213" i="18"/>
  <c r="D213" i="18"/>
  <c r="C213" i="18"/>
  <c r="A235" i="22" s="1"/>
  <c r="L211" i="18"/>
  <c r="J211" i="18"/>
  <c r="D211" i="18"/>
  <c r="C211" i="18"/>
  <c r="A233" i="22" s="1"/>
  <c r="L210" i="18"/>
  <c r="J210" i="18"/>
  <c r="D210" i="18"/>
  <c r="C210" i="18"/>
  <c r="A232" i="22" s="1"/>
  <c r="L205" i="18"/>
  <c r="J205" i="18"/>
  <c r="D205" i="18"/>
  <c r="C205" i="18"/>
  <c r="A227" i="22" s="1"/>
  <c r="L203" i="18"/>
  <c r="J203" i="18"/>
  <c r="C203" i="18"/>
  <c r="A225" i="22" s="1"/>
  <c r="L197" i="18"/>
  <c r="J197" i="18"/>
  <c r="C197" i="18"/>
  <c r="A219" i="22" s="1"/>
  <c r="L195" i="18"/>
  <c r="J195" i="18"/>
  <c r="C195" i="18"/>
  <c r="A217" i="22" s="1"/>
  <c r="L194" i="18"/>
  <c r="J194" i="18"/>
  <c r="C194" i="18"/>
  <c r="A216" i="22" s="1"/>
  <c r="L193" i="18"/>
  <c r="J193" i="18"/>
  <c r="C193" i="18"/>
  <c r="A215" i="22" s="1"/>
  <c r="L192" i="18"/>
  <c r="C192" i="18"/>
  <c r="A214" i="22" s="1"/>
  <c r="L191" i="18"/>
  <c r="C191" i="18"/>
  <c r="A213" i="22" s="1"/>
  <c r="L189" i="18"/>
  <c r="J189" i="18"/>
  <c r="C189" i="18"/>
  <c r="A211" i="22" s="1"/>
  <c r="L187" i="18"/>
  <c r="J187" i="18"/>
  <c r="C187" i="18"/>
  <c r="A209" i="22" s="1"/>
  <c r="L182" i="18"/>
  <c r="J182" i="18"/>
  <c r="C182" i="18"/>
  <c r="A204" i="22" s="1"/>
  <c r="L181" i="18"/>
  <c r="J181" i="18"/>
  <c r="C181" i="18"/>
  <c r="A203" i="22" s="1"/>
  <c r="L180" i="18"/>
  <c r="J180" i="18"/>
  <c r="C180" i="18"/>
  <c r="A202" i="22" s="1"/>
  <c r="L178" i="18"/>
  <c r="J178" i="18"/>
  <c r="C178" i="18"/>
  <c r="P139" i="18"/>
  <c r="L139" i="18"/>
  <c r="D149" i="22" s="1"/>
  <c r="J139" i="18"/>
  <c r="I139" i="18"/>
  <c r="BH149" i="22" s="1"/>
  <c r="P138" i="18"/>
  <c r="L138" i="18"/>
  <c r="D148" i="22" s="1"/>
  <c r="J138" i="18"/>
  <c r="I138" i="18"/>
  <c r="BH148" i="22" s="1"/>
  <c r="P136" i="18"/>
  <c r="L136" i="18"/>
  <c r="D146" i="22" s="1"/>
  <c r="J136" i="18"/>
  <c r="I136" i="18"/>
  <c r="BH146" i="22" s="1"/>
  <c r="P133" i="18"/>
  <c r="L133" i="18"/>
  <c r="D143" i="22" s="1"/>
  <c r="J133" i="18"/>
  <c r="I133" i="18"/>
  <c r="BH143" i="22" s="1"/>
  <c r="P132" i="18"/>
  <c r="P128" i="18"/>
  <c r="L128" i="18"/>
  <c r="D138" i="22" s="1"/>
  <c r="J128" i="18"/>
  <c r="I128" i="18"/>
  <c r="BH138" i="22" s="1"/>
  <c r="P127" i="18"/>
  <c r="L127" i="18"/>
  <c r="D137" i="22" s="1"/>
  <c r="J127" i="18"/>
  <c r="I127" i="18"/>
  <c r="BH137" i="22" s="1"/>
  <c r="P126" i="18"/>
  <c r="L126" i="18"/>
  <c r="D136" i="22" s="1"/>
  <c r="J126" i="18"/>
  <c r="I126" i="18"/>
  <c r="BH136" i="22" s="1"/>
  <c r="P125" i="18"/>
  <c r="L125" i="18"/>
  <c r="D135" i="22" s="1"/>
  <c r="J125" i="18"/>
  <c r="I125" i="18"/>
  <c r="BH135" i="22" s="1"/>
  <c r="P124" i="18"/>
  <c r="L124" i="18"/>
  <c r="D134" i="22" s="1"/>
  <c r="J124" i="18"/>
  <c r="I124" i="18"/>
  <c r="BH134" i="22" s="1"/>
  <c r="P131" i="18"/>
  <c r="L131" i="18"/>
  <c r="D141" i="22" s="1"/>
  <c r="J131" i="18"/>
  <c r="I131" i="18"/>
  <c r="BH141" i="22" s="1"/>
  <c r="P119" i="18"/>
  <c r="L119" i="18"/>
  <c r="D129" i="22" s="1"/>
  <c r="J119" i="18"/>
  <c r="I119" i="18"/>
  <c r="BH129" i="22" s="1"/>
  <c r="P118" i="18"/>
  <c r="L118" i="18"/>
  <c r="D128" i="22" s="1"/>
  <c r="J118" i="18"/>
  <c r="I118" i="18"/>
  <c r="BH128" i="22" s="1"/>
  <c r="P117" i="18"/>
  <c r="L117" i="18"/>
  <c r="D127" i="22" s="1"/>
  <c r="J117" i="18"/>
  <c r="I117" i="18"/>
  <c r="BH127" i="22" s="1"/>
  <c r="P116" i="18"/>
  <c r="L116" i="18"/>
  <c r="D126" i="22" s="1"/>
  <c r="J116" i="18"/>
  <c r="I116" i="18"/>
  <c r="BH126" i="22" s="1"/>
  <c r="P114" i="18"/>
  <c r="L114" i="18"/>
  <c r="D124" i="22" s="1"/>
  <c r="J114" i="18"/>
  <c r="I114" i="18"/>
  <c r="BH124" i="22" s="1"/>
  <c r="P113" i="18"/>
  <c r="L113" i="18"/>
  <c r="D123" i="22" s="1"/>
  <c r="J113" i="18"/>
  <c r="I113" i="18"/>
  <c r="BH123" i="22" s="1"/>
  <c r="P112" i="18"/>
  <c r="L112" i="18"/>
  <c r="D122" i="22" s="1"/>
  <c r="J112" i="18"/>
  <c r="I112" i="18"/>
  <c r="BH122" i="22" s="1"/>
  <c r="P111" i="18"/>
  <c r="L111" i="18"/>
  <c r="D121" i="22" s="1"/>
  <c r="J111" i="18"/>
  <c r="I111" i="18"/>
  <c r="BH121" i="22" s="1"/>
  <c r="P110" i="18"/>
  <c r="L110" i="18"/>
  <c r="D120" i="22" s="1"/>
  <c r="J110" i="18"/>
  <c r="I110" i="18"/>
  <c r="BH120" i="22" s="1"/>
  <c r="P108" i="18"/>
  <c r="L108" i="18"/>
  <c r="D118" i="22" s="1"/>
  <c r="J108" i="18"/>
  <c r="I108" i="18"/>
  <c r="BH118" i="22" s="1"/>
  <c r="P105" i="18"/>
  <c r="L105" i="18"/>
  <c r="D115" i="22" s="1"/>
  <c r="J105" i="18"/>
  <c r="I105" i="18"/>
  <c r="BH115" i="22" s="1"/>
  <c r="P103" i="18"/>
  <c r="L103" i="18"/>
  <c r="D113" i="22" s="1"/>
  <c r="J103" i="18"/>
  <c r="I103" i="18"/>
  <c r="BH113" i="22" s="1"/>
  <c r="P102" i="18"/>
  <c r="L102" i="18"/>
  <c r="D112" i="22" s="1"/>
  <c r="J102" i="18"/>
  <c r="I102" i="18"/>
  <c r="BH112" i="22" s="1"/>
  <c r="P101" i="18"/>
  <c r="L101" i="18"/>
  <c r="D111" i="22" s="1"/>
  <c r="J101" i="18"/>
  <c r="I101" i="18"/>
  <c r="BH111" i="22" s="1"/>
  <c r="P100" i="18"/>
  <c r="L100" i="18"/>
  <c r="J100" i="18"/>
  <c r="I100" i="18"/>
  <c r="BH110" i="22" s="1"/>
  <c r="P99" i="18"/>
  <c r="L99" i="18"/>
  <c r="J99" i="18"/>
  <c r="I99" i="18"/>
  <c r="P98" i="18"/>
  <c r="P15" i="18"/>
  <c r="P14" i="18"/>
  <c r="P13" i="18"/>
  <c r="P12" i="18"/>
  <c r="P11" i="18"/>
  <c r="P10" i="18"/>
  <c r="P9" i="18"/>
  <c r="P8" i="18"/>
  <c r="P7" i="18"/>
  <c r="P6" i="18"/>
  <c r="P40" i="18"/>
  <c r="P5" i="18"/>
  <c r="P4" i="18"/>
  <c r="K599" i="4"/>
  <c r="K692" i="4"/>
  <c r="K628" i="4"/>
  <c r="K23" i="4"/>
  <c r="K88" i="4"/>
  <c r="K294" i="4"/>
  <c r="K280" i="4"/>
  <c r="K175" i="4"/>
  <c r="K844" i="4"/>
  <c r="K296" i="4"/>
  <c r="K223" i="4"/>
  <c r="K547" i="4"/>
  <c r="K613" i="4"/>
  <c r="K70" i="4"/>
  <c r="K507" i="4"/>
  <c r="K180" i="4"/>
  <c r="K671" i="4"/>
  <c r="K509" i="4"/>
  <c r="K483" i="4"/>
  <c r="K742" i="4"/>
  <c r="K786" i="4"/>
  <c r="K317" i="4"/>
  <c r="K482" i="4"/>
  <c r="K741" i="4"/>
  <c r="K785" i="4"/>
  <c r="K116" i="4"/>
  <c r="K569" i="4"/>
  <c r="K87" i="4"/>
  <c r="K293" i="4"/>
  <c r="K279" i="4"/>
  <c r="K174" i="4"/>
  <c r="K843" i="4"/>
  <c r="K740" i="4"/>
  <c r="K784" i="4"/>
  <c r="K133" i="4"/>
  <c r="K115" i="4"/>
  <c r="K179" i="4"/>
  <c r="K665" i="4"/>
  <c r="K506" i="4"/>
  <c r="K69" i="4"/>
  <c r="K546" i="4"/>
  <c r="K612" i="4"/>
  <c r="K222" i="4"/>
  <c r="K528" i="4"/>
  <c r="K160" i="4"/>
  <c r="K329" i="4"/>
  <c r="K255" i="4"/>
  <c r="K703" i="4"/>
  <c r="K574" i="4"/>
  <c r="K74" i="4"/>
  <c r="K262" i="4"/>
  <c r="K258" i="4"/>
  <c r="K567" i="4"/>
  <c r="K564" i="4"/>
  <c r="K511" i="4"/>
  <c r="K18" i="4"/>
  <c r="K556" i="4"/>
  <c r="K195" i="4"/>
  <c r="K185" i="4"/>
  <c r="K680" i="4"/>
  <c r="K408" i="4"/>
  <c r="K159" i="4"/>
  <c r="K17" i="4"/>
  <c r="K555" i="4"/>
  <c r="K519" i="4"/>
  <c r="K194" i="4"/>
  <c r="K184" i="4"/>
  <c r="K9" i="4"/>
  <c r="K597" i="4"/>
  <c r="K679" i="4"/>
  <c r="K39" i="4"/>
  <c r="K830" i="4"/>
  <c r="K554" i="4"/>
  <c r="K193" i="4"/>
  <c r="K515" i="4"/>
  <c r="K8" i="4"/>
  <c r="K16" i="4"/>
  <c r="K204" i="4"/>
  <c r="K493" i="4"/>
  <c r="K481" i="4"/>
  <c r="K739" i="4"/>
  <c r="K783" i="4"/>
  <c r="K132" i="4"/>
  <c r="K654" i="4"/>
  <c r="K664" i="4"/>
  <c r="K86" i="4"/>
  <c r="K68" i="4"/>
  <c r="K505" i="4"/>
  <c r="K173" i="4"/>
  <c r="K842" i="4"/>
  <c r="K292" i="4"/>
  <c r="K545" i="4"/>
  <c r="K278" i="4"/>
  <c r="K611" i="4"/>
  <c r="K221" i="4"/>
  <c r="K646" i="4"/>
  <c r="K436" i="4"/>
  <c r="K416" i="4"/>
  <c r="K462" i="4"/>
  <c r="K448" i="4"/>
  <c r="K428" i="4"/>
  <c r="K315" i="4"/>
  <c r="K384" i="4"/>
  <c r="K328" i="4"/>
  <c r="K391" i="4"/>
  <c r="K360" i="4"/>
  <c r="K343" i="4"/>
  <c r="K374" i="4"/>
  <c r="K335" i="4"/>
  <c r="K387" i="4"/>
  <c r="K366" i="4"/>
  <c r="K346" i="4"/>
  <c r="K307" i="4"/>
  <c r="K689" i="4"/>
  <c r="K626" i="4"/>
  <c r="K702" i="4"/>
  <c r="K582" i="4"/>
  <c r="K817" i="4"/>
  <c r="K145" i="4"/>
  <c r="K813" i="4"/>
  <c r="K803" i="4"/>
  <c r="K140" i="4"/>
  <c r="K810" i="4"/>
  <c r="K800" i="4"/>
  <c r="K136" i="4"/>
  <c r="K822" i="4"/>
  <c r="K807" i="4"/>
  <c r="K152" i="4"/>
  <c r="K819" i="4"/>
  <c r="K797" i="4"/>
  <c r="K149" i="4"/>
  <c r="K792" i="4"/>
  <c r="K35" i="4"/>
  <c r="K30" i="4"/>
  <c r="K26" i="4"/>
  <c r="K46" i="4"/>
  <c r="K43" i="4"/>
  <c r="K782" i="4"/>
  <c r="K131" i="4"/>
  <c r="K653" i="4"/>
  <c r="K663" i="4"/>
  <c r="K172" i="4"/>
  <c r="K841" i="4"/>
  <c r="K220" i="4"/>
  <c r="K85" i="4"/>
  <c r="K291" i="4"/>
  <c r="K544" i="4"/>
  <c r="K277" i="4"/>
  <c r="K610" i="4"/>
  <c r="K67" i="4"/>
  <c r="K504" i="4"/>
  <c r="K638" i="4"/>
  <c r="K645" i="4"/>
  <c r="K464" i="4"/>
  <c r="K456" i="4"/>
  <c r="K440" i="4"/>
  <c r="K420" i="4"/>
  <c r="K452" i="4"/>
  <c r="K435" i="4"/>
  <c r="K415" i="4"/>
  <c r="K461" i="4"/>
  <c r="K447" i="4"/>
  <c r="K427" i="4"/>
  <c r="K471" i="4"/>
  <c r="K480" i="4"/>
  <c r="K738" i="4"/>
  <c r="K781" i="4"/>
  <c r="K130" i="4"/>
  <c r="K314" i="4"/>
  <c r="K395" i="4"/>
  <c r="K403" i="4"/>
  <c r="K399" i="4"/>
  <c r="K352" i="4"/>
  <c r="K383" i="4"/>
  <c r="K327" i="4"/>
  <c r="K359" i="4"/>
  <c r="K342" i="4"/>
  <c r="K349" i="4"/>
  <c r="K373" i="4"/>
  <c r="K334" i="4"/>
  <c r="K365" i="4"/>
  <c r="K301" i="4"/>
  <c r="K266" i="4"/>
  <c r="K737" i="4"/>
  <c r="K780" i="4"/>
  <c r="K114" i="4"/>
  <c r="K235" i="4"/>
  <c r="K736" i="4"/>
  <c r="K779" i="4"/>
  <c r="K113" i="4"/>
  <c r="K234" i="4"/>
  <c r="K243" i="4"/>
  <c r="K735" i="4"/>
  <c r="K778" i="4"/>
  <c r="K112" i="4"/>
  <c r="K669" i="4"/>
  <c r="K675" i="4"/>
  <c r="K489" i="4"/>
  <c r="K227" i="4"/>
  <c r="K734" i="4"/>
  <c r="K777" i="4"/>
  <c r="K111" i="4"/>
  <c r="K247" i="4"/>
  <c r="K733" i="4"/>
  <c r="K776" i="4"/>
  <c r="K110" i="4"/>
  <c r="K242" i="4"/>
  <c r="K732" i="4"/>
  <c r="K775" i="4"/>
  <c r="K109" i="4"/>
  <c r="K254" i="4"/>
  <c r="K306" i="4"/>
  <c r="K50" i="4"/>
  <c r="K208" i="4"/>
  <c r="K55" i="4"/>
  <c r="K617" i="4"/>
  <c r="K632" i="4"/>
  <c r="K688" i="4"/>
  <c r="K701" i="4"/>
  <c r="K588" i="4"/>
  <c r="K593" i="4"/>
  <c r="K581" i="4"/>
  <c r="K622" i="4"/>
  <c r="K84" i="4"/>
  <c r="K290" i="4"/>
  <c r="K276" i="4"/>
  <c r="K171" i="4"/>
  <c r="K840" i="4"/>
  <c r="K731" i="4"/>
  <c r="K774" i="4"/>
  <c r="K129" i="4"/>
  <c r="K108" i="4"/>
  <c r="K503" i="4"/>
  <c r="K66" i="4"/>
  <c r="K543" i="4"/>
  <c r="K609" i="4"/>
  <c r="K219" i="4"/>
  <c r="K527" i="4"/>
  <c r="K158" i="4"/>
  <c r="K326" i="4"/>
  <c r="K253" i="4"/>
  <c r="K700" i="4"/>
  <c r="K573" i="4"/>
  <c r="K73" i="4"/>
  <c r="K261" i="4"/>
  <c r="K257" i="4"/>
  <c r="K566" i="4"/>
  <c r="K563" i="4"/>
  <c r="K407" i="4"/>
  <c r="K157" i="4"/>
  <c r="K15" i="4"/>
  <c r="K553" i="4"/>
  <c r="K518" i="4"/>
  <c r="K192" i="4"/>
  <c r="K183" i="4"/>
  <c r="K7" i="4"/>
  <c r="K596" i="4"/>
  <c r="K678" i="4"/>
  <c r="K38" i="4"/>
  <c r="K829" i="4"/>
  <c r="K825" i="4"/>
  <c r="K552" i="4"/>
  <c r="K191" i="4"/>
  <c r="K514" i="4"/>
  <c r="K6" i="4"/>
  <c r="K14" i="4"/>
  <c r="K203" i="4"/>
  <c r="K492" i="4"/>
  <c r="K479" i="4"/>
  <c r="K730" i="4"/>
  <c r="K773" i="4"/>
  <c r="K128" i="4"/>
  <c r="K652" i="4"/>
  <c r="K662" i="4"/>
  <c r="K83" i="4"/>
  <c r="K65" i="4"/>
  <c r="K502" i="4"/>
  <c r="K170" i="4"/>
  <c r="K839" i="4"/>
  <c r="K289" i="4"/>
  <c r="K542" i="4"/>
  <c r="K275" i="4"/>
  <c r="K608" i="4"/>
  <c r="K218" i="4"/>
  <c r="K644" i="4"/>
  <c r="K470" i="4"/>
  <c r="K434" i="4"/>
  <c r="K414" i="4"/>
  <c r="K460" i="4"/>
  <c r="K446" i="4"/>
  <c r="K426" i="4"/>
  <c r="K313" i="4"/>
  <c r="K382" i="4"/>
  <c r="K325" i="4"/>
  <c r="K358" i="4"/>
  <c r="K341" i="4"/>
  <c r="K372" i="4"/>
  <c r="K305" i="4"/>
  <c r="K580" i="4"/>
  <c r="K816" i="4"/>
  <c r="K805" i="4"/>
  <c r="K144" i="4"/>
  <c r="K812" i="4"/>
  <c r="K139" i="4"/>
  <c r="K796" i="4"/>
  <c r="K148" i="4"/>
  <c r="K791" i="4"/>
  <c r="K34" i="4"/>
  <c r="K29" i="4"/>
  <c r="K42" i="4"/>
  <c r="K772" i="4"/>
  <c r="K127" i="4"/>
  <c r="K651" i="4"/>
  <c r="K661" i="4"/>
  <c r="K169" i="4"/>
  <c r="K838" i="4"/>
  <c r="K217" i="4"/>
  <c r="K82" i="4"/>
  <c r="K288" i="4"/>
  <c r="K541" i="4"/>
  <c r="K274" i="4"/>
  <c r="K607" i="4"/>
  <c r="K64" i="4"/>
  <c r="K501" i="4"/>
  <c r="K637" i="4"/>
  <c r="K643" i="4"/>
  <c r="K455" i="4"/>
  <c r="K439" i="4"/>
  <c r="K419" i="4"/>
  <c r="K451" i="4"/>
  <c r="K433" i="4"/>
  <c r="K413" i="4"/>
  <c r="K445" i="4"/>
  <c r="K425" i="4"/>
  <c r="K469" i="4"/>
  <c r="K478" i="4"/>
  <c r="K729" i="4"/>
  <c r="K771" i="4"/>
  <c r="K126" i="4"/>
  <c r="K312" i="4"/>
  <c r="K402" i="4"/>
  <c r="K398" i="4"/>
  <c r="K381" i="4"/>
  <c r="K324" i="4"/>
  <c r="K357" i="4"/>
  <c r="K340" i="4"/>
  <c r="K364" i="4"/>
  <c r="K300" i="4"/>
  <c r="K265" i="4"/>
  <c r="K727" i="4"/>
  <c r="K769" i="4"/>
  <c r="K106" i="4"/>
  <c r="K232" i="4"/>
  <c r="K241" i="4"/>
  <c r="K726" i="4"/>
  <c r="K768" i="4"/>
  <c r="K105" i="4"/>
  <c r="K668" i="4"/>
  <c r="K674" i="4"/>
  <c r="K488" i="4"/>
  <c r="K226" i="4"/>
  <c r="K725" i="4"/>
  <c r="K767" i="4"/>
  <c r="K104" i="4"/>
  <c r="K246" i="4"/>
  <c r="K724" i="4"/>
  <c r="K766" i="4"/>
  <c r="K103" i="4"/>
  <c r="K240" i="4"/>
  <c r="K723" i="4"/>
  <c r="K765" i="4"/>
  <c r="K102" i="4"/>
  <c r="K252" i="4"/>
  <c r="K304" i="4"/>
  <c r="K49" i="4"/>
  <c r="K207" i="4"/>
  <c r="K54" i="4"/>
  <c r="K616" i="4"/>
  <c r="K631" i="4"/>
  <c r="K687" i="4"/>
  <c r="K699" i="4"/>
  <c r="K587" i="4"/>
  <c r="K592" i="4"/>
  <c r="K579" i="4"/>
  <c r="K621" i="4"/>
  <c r="K81" i="4"/>
  <c r="K287" i="4"/>
  <c r="K273" i="4"/>
  <c r="K168" i="4"/>
  <c r="K837" i="4"/>
  <c r="K722" i="4"/>
  <c r="K764" i="4"/>
  <c r="K125" i="4"/>
  <c r="K101" i="4"/>
  <c r="K178" i="4"/>
  <c r="K660" i="4"/>
  <c r="K500" i="4"/>
  <c r="K63" i="4"/>
  <c r="K540" i="4"/>
  <c r="K606" i="4"/>
  <c r="K216" i="4"/>
  <c r="K526" i="4"/>
  <c r="K156" i="4"/>
  <c r="K380" i="4"/>
  <c r="K323" i="4"/>
  <c r="K251" i="4"/>
  <c r="K698" i="4"/>
  <c r="K572" i="4"/>
  <c r="K72" i="4"/>
  <c r="K260" i="4"/>
  <c r="K256" i="4"/>
  <c r="K565" i="4"/>
  <c r="K562" i="4"/>
  <c r="K406" i="4"/>
  <c r="K155" i="4"/>
  <c r="K13" i="4"/>
  <c r="K551" i="4"/>
  <c r="K517" i="4"/>
  <c r="K190" i="4"/>
  <c r="K182" i="4"/>
  <c r="K5" i="4"/>
  <c r="K595" i="4"/>
  <c r="K677" i="4"/>
  <c r="K37" i="4"/>
  <c r="K828" i="4"/>
  <c r="K824" i="4"/>
  <c r="K550" i="4"/>
  <c r="K189" i="4"/>
  <c r="K513" i="4"/>
  <c r="K4" i="4"/>
  <c r="K12" i="4"/>
  <c r="K202" i="4"/>
  <c r="K491" i="4"/>
  <c r="K477" i="4"/>
  <c r="K721" i="4"/>
  <c r="K763" i="4"/>
  <c r="K124" i="4"/>
  <c r="K650" i="4"/>
  <c r="K659" i="4"/>
  <c r="K80" i="4"/>
  <c r="K62" i="4"/>
  <c r="K499" i="4"/>
  <c r="K167" i="4"/>
  <c r="K836" i="4"/>
  <c r="K286" i="4"/>
  <c r="K539" i="4"/>
  <c r="K272" i="4"/>
  <c r="K605" i="4"/>
  <c r="K215" i="4"/>
  <c r="K642" i="4"/>
  <c r="K468" i="4"/>
  <c r="K432" i="4"/>
  <c r="K412" i="4"/>
  <c r="K459" i="4"/>
  <c r="K444" i="4"/>
  <c r="K424" i="4"/>
  <c r="K311" i="4"/>
  <c r="K379" i="4"/>
  <c r="K322" i="4"/>
  <c r="K389" i="4"/>
  <c r="K356" i="4"/>
  <c r="K339" i="4"/>
  <c r="K371" i="4"/>
  <c r="K333" i="4"/>
  <c r="K386" i="4"/>
  <c r="K363" i="4"/>
  <c r="K345" i="4"/>
  <c r="K303" i="4"/>
  <c r="K686" i="4"/>
  <c r="K625" i="4"/>
  <c r="K697" i="4"/>
  <c r="K578" i="4"/>
  <c r="K815" i="4"/>
  <c r="K143" i="4"/>
  <c r="K811" i="4"/>
  <c r="K802" i="4"/>
  <c r="K138" i="4"/>
  <c r="K809" i="4"/>
  <c r="K799" i="4"/>
  <c r="K135" i="4"/>
  <c r="K821" i="4"/>
  <c r="K806" i="4"/>
  <c r="K151" i="4"/>
  <c r="K818" i="4"/>
  <c r="K795" i="4"/>
  <c r="K147" i="4"/>
  <c r="K790" i="4"/>
  <c r="K33" i="4"/>
  <c r="K28" i="4"/>
  <c r="K25" i="4"/>
  <c r="K45" i="4"/>
  <c r="K41" i="4"/>
  <c r="K762" i="4"/>
  <c r="K123" i="4"/>
  <c r="K649" i="4"/>
  <c r="K658" i="4"/>
  <c r="K166" i="4"/>
  <c r="K835" i="4"/>
  <c r="K214" i="4"/>
  <c r="K79" i="4"/>
  <c r="K285" i="4"/>
  <c r="K538" i="4"/>
  <c r="K271" i="4"/>
  <c r="K604" i="4"/>
  <c r="K61" i="4"/>
  <c r="K498" i="4"/>
  <c r="K636" i="4"/>
  <c r="K641" i="4"/>
  <c r="K454" i="4"/>
  <c r="K438" i="4"/>
  <c r="K418" i="4"/>
  <c r="K450" i="4"/>
  <c r="K431" i="4"/>
  <c r="K411" i="4"/>
  <c r="K457" i="4"/>
  <c r="K443" i="4"/>
  <c r="K423" i="4"/>
  <c r="K467" i="4"/>
  <c r="K476" i="4"/>
  <c r="K720" i="4"/>
  <c r="K761" i="4"/>
  <c r="K122" i="4"/>
  <c r="K310" i="4"/>
  <c r="K401" i="4"/>
  <c r="K397" i="4"/>
  <c r="K351" i="4"/>
  <c r="K378" i="4"/>
  <c r="K321" i="4"/>
  <c r="K355" i="4"/>
  <c r="K338" i="4"/>
  <c r="K393" i="4"/>
  <c r="K348" i="4"/>
  <c r="K370" i="4"/>
  <c r="K332" i="4"/>
  <c r="K299" i="4"/>
  <c r="K264" i="4"/>
  <c r="K719" i="4"/>
  <c r="K760" i="4"/>
  <c r="K100" i="4"/>
  <c r="K231" i="4"/>
  <c r="K239" i="4"/>
  <c r="K718" i="4"/>
  <c r="K759" i="4"/>
  <c r="K99" i="4"/>
  <c r="K667" i="4"/>
  <c r="K673" i="4"/>
  <c r="K487" i="4"/>
  <c r="K225" i="4"/>
  <c r="K717" i="4"/>
  <c r="K758" i="4"/>
  <c r="K98" i="4"/>
  <c r="K245" i="4"/>
  <c r="K716" i="4"/>
  <c r="K757" i="4"/>
  <c r="K97" i="4"/>
  <c r="K230" i="4"/>
  <c r="K238" i="4"/>
  <c r="K715" i="4"/>
  <c r="K756" i="4"/>
  <c r="K96" i="4"/>
  <c r="K250" i="4"/>
  <c r="K302" i="4"/>
  <c r="K48" i="4"/>
  <c r="K206" i="4"/>
  <c r="K53" i="4"/>
  <c r="K615" i="4"/>
  <c r="K630" i="4"/>
  <c r="K685" i="4"/>
  <c r="K696" i="4"/>
  <c r="K585" i="4"/>
  <c r="K591" i="4"/>
  <c r="K577" i="4"/>
  <c r="K620" i="4"/>
  <c r="K78" i="4"/>
  <c r="K284" i="4"/>
  <c r="K270" i="4"/>
  <c r="K165" i="4"/>
  <c r="K834" i="4"/>
  <c r="K714" i="4"/>
  <c r="K755" i="4"/>
  <c r="K121" i="4"/>
  <c r="K95" i="4"/>
  <c r="K177" i="4"/>
  <c r="K657" i="4"/>
  <c r="K497" i="4"/>
  <c r="K60" i="4"/>
  <c r="K537" i="4"/>
  <c r="K603" i="4"/>
  <c r="K213" i="4"/>
  <c r="K525" i="4"/>
  <c r="K154" i="4"/>
  <c r="K377" i="4"/>
  <c r="K320" i="4"/>
  <c r="K249" i="4"/>
  <c r="K695" i="4"/>
  <c r="K571" i="4"/>
  <c r="K71" i="4"/>
  <c r="K259" i="4"/>
  <c r="K598" i="4"/>
  <c r="K691" i="4"/>
  <c r="K627" i="4"/>
  <c r="K22" i="4"/>
  <c r="K77" i="4"/>
  <c r="K283" i="4"/>
  <c r="K269" i="4"/>
  <c r="K164" i="4"/>
  <c r="K833" i="4"/>
  <c r="K295" i="4"/>
  <c r="K212" i="4"/>
  <c r="K536" i="4"/>
  <c r="K602" i="4"/>
  <c r="K59" i="4"/>
  <c r="K496" i="4"/>
  <c r="K176" i="4"/>
  <c r="K670" i="4"/>
  <c r="K508" i="4"/>
  <c r="K475" i="4"/>
  <c r="K713" i="4"/>
  <c r="K754" i="4"/>
  <c r="K316" i="4"/>
  <c r="K474" i="4"/>
  <c r="K712" i="4"/>
  <c r="K753" i="4"/>
  <c r="K94" i="4"/>
  <c r="K568" i="4"/>
  <c r="K561" i="4"/>
  <c r="K405" i="4"/>
  <c r="K153" i="4"/>
  <c r="K11" i="4"/>
  <c r="K549" i="4"/>
  <c r="K516" i="4"/>
  <c r="K188" i="4"/>
  <c r="K181" i="4"/>
  <c r="K3" i="4"/>
  <c r="K594" i="4"/>
  <c r="K676" i="4"/>
  <c r="K36" i="4"/>
  <c r="K827" i="4"/>
  <c r="K548" i="4"/>
  <c r="K187" i="4"/>
  <c r="K512" i="4"/>
  <c r="K2" i="4"/>
  <c r="K10" i="4"/>
  <c r="K201" i="4"/>
  <c r="K490" i="4"/>
  <c r="K473" i="4"/>
  <c r="K711" i="4"/>
  <c r="K752" i="4"/>
  <c r="K120" i="4"/>
  <c r="K648" i="4"/>
  <c r="K656" i="4"/>
  <c r="K76" i="4"/>
  <c r="K58" i="4"/>
  <c r="K495" i="4"/>
  <c r="K163" i="4"/>
  <c r="K832" i="4"/>
  <c r="K282" i="4"/>
  <c r="K535" i="4"/>
  <c r="K268" i="4"/>
  <c r="K601" i="4"/>
  <c r="K211" i="4"/>
  <c r="K640" i="4"/>
  <c r="K466" i="4"/>
  <c r="K430" i="4"/>
  <c r="K410" i="4"/>
  <c r="K458" i="4"/>
  <c r="K442" i="4"/>
  <c r="K422" i="4"/>
  <c r="K309" i="4"/>
  <c r="K376" i="4"/>
  <c r="K319" i="4"/>
  <c r="K388" i="4"/>
  <c r="K354" i="4"/>
  <c r="K337" i="4"/>
  <c r="K369" i="4"/>
  <c r="K331" i="4"/>
  <c r="K385" i="4"/>
  <c r="K362" i="4"/>
  <c r="K344" i="4"/>
  <c r="K684" i="4"/>
  <c r="K624" i="4"/>
  <c r="K694" i="4"/>
  <c r="K584" i="4"/>
  <c r="K576" i="4"/>
  <c r="K814" i="4"/>
  <c r="K142" i="4"/>
  <c r="K801" i="4"/>
  <c r="K137" i="4"/>
  <c r="K808" i="4"/>
  <c r="K798" i="4"/>
  <c r="K134" i="4"/>
  <c r="K820" i="4"/>
  <c r="K150" i="4"/>
  <c r="K794" i="4"/>
  <c r="K146" i="4"/>
  <c r="K789" i="4"/>
  <c r="K32" i="4"/>
  <c r="K27" i="4"/>
  <c r="K24" i="4"/>
  <c r="K44" i="4"/>
  <c r="K40" i="4"/>
  <c r="K751" i="4"/>
  <c r="K119" i="4"/>
  <c r="K647" i="4"/>
  <c r="K655" i="4"/>
  <c r="K162" i="4"/>
  <c r="K831" i="4"/>
  <c r="K210" i="4"/>
  <c r="K75" i="4"/>
  <c r="K281" i="4"/>
  <c r="K534" i="4"/>
  <c r="K267" i="4"/>
  <c r="K600" i="4"/>
  <c r="K57" i="4"/>
  <c r="K494" i="4"/>
  <c r="K635" i="4"/>
  <c r="K639" i="4"/>
  <c r="K463" i="4"/>
  <c r="K453" i="4"/>
  <c r="K437" i="4"/>
  <c r="K417" i="4"/>
  <c r="K449" i="4"/>
  <c r="K429" i="4"/>
  <c r="K409" i="4"/>
  <c r="K441" i="4"/>
  <c r="K421" i="4"/>
  <c r="K465" i="4"/>
  <c r="K472" i="4"/>
  <c r="K710" i="4"/>
  <c r="K750" i="4"/>
  <c r="K118" i="4"/>
  <c r="K308" i="4"/>
  <c r="K394" i="4"/>
  <c r="K400" i="4"/>
  <c r="K396" i="4"/>
  <c r="K350" i="4"/>
  <c r="K375" i="4"/>
  <c r="K318" i="4"/>
  <c r="K353" i="4"/>
  <c r="K336" i="4"/>
  <c r="K392" i="4"/>
  <c r="K347" i="4"/>
  <c r="K368" i="4"/>
  <c r="K330" i="4"/>
  <c r="K367" i="4"/>
  <c r="K361" i="4"/>
  <c r="K298" i="4"/>
  <c r="K263" i="4"/>
  <c r="K708" i="4"/>
  <c r="K748" i="4"/>
  <c r="K92" i="4"/>
  <c r="K666" i="4"/>
  <c r="K672" i="4"/>
  <c r="K486" i="4"/>
  <c r="K224" i="4"/>
  <c r="K707" i="4"/>
  <c r="K747" i="4"/>
  <c r="K91" i="4"/>
  <c r="K244" i="4"/>
  <c r="K706" i="4"/>
  <c r="K746" i="4"/>
  <c r="K90" i="4"/>
  <c r="K228" i="4"/>
  <c r="K236" i="4"/>
  <c r="K705" i="4"/>
  <c r="K745" i="4"/>
  <c r="K89" i="4"/>
  <c r="K248" i="4"/>
  <c r="K47" i="4"/>
  <c r="K205" i="4"/>
  <c r="K52" i="4"/>
  <c r="K614" i="4"/>
  <c r="K629" i="4"/>
  <c r="K683" i="4"/>
  <c r="K693" i="4"/>
  <c r="K583" i="4"/>
  <c r="K590" i="4"/>
  <c r="K575" i="4"/>
  <c r="K619" i="4"/>
  <c r="E529" i="19" l="1"/>
  <c r="E523" i="19"/>
  <c r="E4262" i="19"/>
  <c r="K4262" i="19" s="1"/>
  <c r="B664" i="19"/>
  <c r="P14" i="22"/>
  <c r="P12" i="22"/>
  <c r="P152" i="22"/>
  <c r="U45" i="20"/>
  <c r="U119" i="20"/>
  <c r="DA191" i="20"/>
  <c r="P109" i="22"/>
  <c r="AF106" i="23"/>
  <c r="AG106" i="23" s="1"/>
  <c r="AH106" i="23" s="1"/>
  <c r="AI106" i="23" s="1"/>
  <c r="AJ106" i="23" s="1"/>
  <c r="AK106" i="23" s="1"/>
  <c r="AL106" i="23" s="1"/>
  <c r="AM106" i="23" s="1"/>
  <c r="AN106" i="23" s="1"/>
  <c r="AC106" i="23"/>
  <c r="AD106" i="23" s="1"/>
  <c r="AE106" i="23" s="1"/>
  <c r="U46" i="20"/>
  <c r="U106" i="20"/>
  <c r="DR150" i="20"/>
  <c r="DR158" i="20"/>
  <c r="P20" i="22"/>
  <c r="CK166" i="20"/>
  <c r="P16" i="22"/>
  <c r="AC144" i="23"/>
  <c r="AD144" i="23" s="1"/>
  <c r="AE144" i="23" s="1"/>
  <c r="AF144" i="23" s="1"/>
  <c r="AG144" i="23" s="1"/>
  <c r="AH144" i="23" s="1"/>
  <c r="AI144" i="23" s="1"/>
  <c r="AJ144" i="23" s="1"/>
  <c r="AK144" i="23" s="1"/>
  <c r="AL144" i="23" s="1"/>
  <c r="AM144" i="23" s="1"/>
  <c r="AN144" i="23" s="1"/>
  <c r="CK12" i="20"/>
  <c r="O109" i="18"/>
  <c r="K1891" i="19" s="1"/>
  <c r="O1891" i="19" s="1"/>
  <c r="E3031" i="19"/>
  <c r="E1941" i="19"/>
  <c r="E4263" i="19"/>
  <c r="E4273" i="19" s="1"/>
  <c r="E4265" i="19"/>
  <c r="E4275" i="19" s="1"/>
  <c r="K4275" i="19" s="1"/>
  <c r="AF6" i="23"/>
  <c r="AG6" i="23" s="1"/>
  <c r="AH6" i="23" s="1"/>
  <c r="AI6" i="23" s="1"/>
  <c r="AJ6" i="23" s="1"/>
  <c r="AK6" i="23" s="1"/>
  <c r="AL6" i="23" s="1"/>
  <c r="AM6" i="23" s="1"/>
  <c r="AN6" i="23" s="1"/>
  <c r="AO6" i="23" s="1"/>
  <c r="BP14" i="20"/>
  <c r="U177" i="20"/>
  <c r="AM164" i="23"/>
  <c r="AH37" i="23"/>
  <c r="M1156" i="19" s="1"/>
  <c r="M1195" i="19" s="1"/>
  <c r="O1195" i="19" s="1"/>
  <c r="AL187" i="23"/>
  <c r="AM187" i="23" s="1"/>
  <c r="AN187" i="23" s="1"/>
  <c r="P115" i="22"/>
  <c r="Y130" i="23"/>
  <c r="O2936" i="19" s="1"/>
  <c r="O2938" i="19" s="1"/>
  <c r="D2934" i="19" s="1"/>
  <c r="AN26" i="23"/>
  <c r="AI37" i="23"/>
  <c r="M1157" i="19" s="1"/>
  <c r="M1238" i="19" s="1"/>
  <c r="K1238" i="19" s="1"/>
  <c r="P122" i="22"/>
  <c r="AL88" i="23"/>
  <c r="AL121" i="23"/>
  <c r="AM121" i="23" s="1"/>
  <c r="AN121" i="23" s="1"/>
  <c r="U157" i="20"/>
  <c r="AM80" i="23"/>
  <c r="AN80" i="23" s="1"/>
  <c r="AL166" i="23"/>
  <c r="AM166" i="23" s="1"/>
  <c r="AN166" i="23" s="1"/>
  <c r="AN35" i="23"/>
  <c r="AM16" i="23"/>
  <c r="AN16" i="23" s="1"/>
  <c r="AN22" i="23"/>
  <c r="DA32" i="20"/>
  <c r="AD56" i="20"/>
  <c r="DA58" i="20"/>
  <c r="CS100" i="20"/>
  <c r="CR100" i="20"/>
  <c r="BX100" i="20"/>
  <c r="CP100" i="20"/>
  <c r="CQ100" i="20"/>
  <c r="CT100" i="20"/>
  <c r="DA100" i="20"/>
  <c r="CO100" i="20"/>
  <c r="BQ100" i="20"/>
  <c r="CN100" i="20"/>
  <c r="BN100" i="20"/>
  <c r="CJ100" i="20"/>
  <c r="CF100" i="20"/>
  <c r="CB100" i="20"/>
  <c r="CU100" i="20"/>
  <c r="CT104" i="20"/>
  <c r="BN104" i="20"/>
  <c r="CS104" i="20"/>
  <c r="CB104" i="20"/>
  <c r="BQ104" i="20"/>
  <c r="CR104" i="20"/>
  <c r="CQ104" i="20"/>
  <c r="CF104" i="20"/>
  <c r="CP104" i="20"/>
  <c r="BX104" i="20"/>
  <c r="CO104" i="20"/>
  <c r="CN104" i="20"/>
  <c r="DA104" i="20"/>
  <c r="CJ104" i="20"/>
  <c r="CU104" i="20"/>
  <c r="P145" i="22"/>
  <c r="AN150" i="23"/>
  <c r="AN151" i="23"/>
  <c r="U59" i="20"/>
  <c r="CF109" i="20"/>
  <c r="CB109" i="20"/>
  <c r="DA109" i="20"/>
  <c r="CU109" i="20"/>
  <c r="CT109" i="20"/>
  <c r="BX109" i="20"/>
  <c r="CJ109" i="20"/>
  <c r="CS109" i="20"/>
  <c r="CR109" i="20"/>
  <c r="CQ109" i="20"/>
  <c r="BQ109" i="20"/>
  <c r="CP109" i="20"/>
  <c r="CO109" i="20"/>
  <c r="BN109" i="20"/>
  <c r="CN109" i="20"/>
  <c r="CU117" i="20"/>
  <c r="CT117" i="20"/>
  <c r="BX117" i="20"/>
  <c r="CS117" i="20"/>
  <c r="BT117" i="20"/>
  <c r="CR117" i="20"/>
  <c r="BQ117" i="20"/>
  <c r="CQ117" i="20"/>
  <c r="CP117" i="20"/>
  <c r="BN117" i="20"/>
  <c r="CO117" i="20"/>
  <c r="DA117" i="20"/>
  <c r="CN117" i="20"/>
  <c r="CB117" i="20"/>
  <c r="CF117" i="20"/>
  <c r="P146" i="22"/>
  <c r="DA163" i="20"/>
  <c r="DR171" i="20"/>
  <c r="P22" i="22"/>
  <c r="P148" i="22"/>
  <c r="AM110" i="23"/>
  <c r="AN110" i="23" s="1"/>
  <c r="AL112" i="23"/>
  <c r="AM112" i="23" s="1"/>
  <c r="AN112" i="23" s="1"/>
  <c r="AL123" i="23"/>
  <c r="AM123" i="23" s="1"/>
  <c r="AM158" i="23"/>
  <c r="AN158" i="23" s="1"/>
  <c r="AM159" i="23"/>
  <c r="AN159" i="23" s="1"/>
  <c r="AN185" i="23"/>
  <c r="CN106" i="20"/>
  <c r="DA106" i="20"/>
  <c r="BN106" i="20"/>
  <c r="BQ106" i="20"/>
  <c r="BX106" i="20"/>
  <c r="CJ106" i="20"/>
  <c r="CU106" i="20"/>
  <c r="CT106" i="20"/>
  <c r="CF106" i="20"/>
  <c r="CQ106" i="20"/>
  <c r="CS106" i="20"/>
  <c r="CB106" i="20"/>
  <c r="CR106" i="20"/>
  <c r="CO106" i="20"/>
  <c r="CP106" i="20"/>
  <c r="U6" i="20"/>
  <c r="CU107" i="20"/>
  <c r="BN107" i="20"/>
  <c r="CT107" i="20"/>
  <c r="CF107" i="20"/>
  <c r="CR107" i="20"/>
  <c r="CS107" i="20"/>
  <c r="CB107" i="20"/>
  <c r="CQ107" i="20"/>
  <c r="BX107" i="20"/>
  <c r="CP107" i="20"/>
  <c r="CO107" i="20"/>
  <c r="CJ107" i="20"/>
  <c r="CN107" i="20"/>
  <c r="DA107" i="20"/>
  <c r="BQ107" i="20"/>
  <c r="P111" i="22"/>
  <c r="P149" i="22"/>
  <c r="CU116" i="20"/>
  <c r="CT116" i="20"/>
  <c r="CS116" i="20"/>
  <c r="CB116" i="20"/>
  <c r="CR116" i="20"/>
  <c r="CF116" i="20"/>
  <c r="CQ116" i="20"/>
  <c r="BX116" i="20"/>
  <c r="CP116" i="20"/>
  <c r="DA116" i="20"/>
  <c r="CO116" i="20"/>
  <c r="BT116" i="20"/>
  <c r="CN116" i="20"/>
  <c r="BQ116" i="20"/>
  <c r="BN116" i="20"/>
  <c r="P112" i="22"/>
  <c r="P150" i="22"/>
  <c r="O150" i="22" s="1"/>
  <c r="W150" i="22" s="1"/>
  <c r="AL167" i="23"/>
  <c r="AM167" i="23" s="1"/>
  <c r="K83" i="20"/>
  <c r="DN83" i="20" s="1"/>
  <c r="CJ103" i="20"/>
  <c r="BQ103" i="20"/>
  <c r="CF103" i="20"/>
  <c r="DA103" i="20"/>
  <c r="BN103" i="20"/>
  <c r="CN103" i="20"/>
  <c r="CU103" i="20"/>
  <c r="CT103" i="20"/>
  <c r="CS103" i="20"/>
  <c r="CP103" i="20"/>
  <c r="CR103" i="20"/>
  <c r="CB103" i="20"/>
  <c r="CQ103" i="20"/>
  <c r="BX103" i="20"/>
  <c r="CO103" i="20"/>
  <c r="P113" i="22"/>
  <c r="P151" i="22"/>
  <c r="AV151" i="22" s="1"/>
  <c r="P36" i="22"/>
  <c r="P35" i="22"/>
  <c r="P34" i="22"/>
  <c r="P27" i="22"/>
  <c r="P39" i="22"/>
  <c r="P32" i="22"/>
  <c r="P38" i="22"/>
  <c r="P18" i="22"/>
  <c r="P41" i="22"/>
  <c r="P31" i="22"/>
  <c r="P28" i="22"/>
  <c r="P25" i="22"/>
  <c r="P40" i="22"/>
  <c r="P30" i="22"/>
  <c r="P37" i="22"/>
  <c r="P26" i="22"/>
  <c r="P29" i="22"/>
  <c r="P33" i="22"/>
  <c r="U8" i="20"/>
  <c r="U12" i="20"/>
  <c r="BT115" i="20"/>
  <c r="CU115" i="20"/>
  <c r="BQ115" i="20"/>
  <c r="CT115" i="20"/>
  <c r="BN115" i="20"/>
  <c r="DA115" i="20"/>
  <c r="CS115" i="20"/>
  <c r="CR115" i="20"/>
  <c r="CQ115" i="20"/>
  <c r="CB115" i="20"/>
  <c r="CP115" i="20"/>
  <c r="CO115" i="20"/>
  <c r="BX115" i="20"/>
  <c r="CN115" i="20"/>
  <c r="CJ115" i="20"/>
  <c r="U166" i="20"/>
  <c r="P23" i="22"/>
  <c r="P116" i="22"/>
  <c r="AT116" i="22" s="1"/>
  <c r="AL173" i="23"/>
  <c r="AM173" i="23" s="1"/>
  <c r="AL191" i="23"/>
  <c r="AM191" i="23" s="1"/>
  <c r="DR149" i="20"/>
  <c r="P15" i="22"/>
  <c r="P118" i="22"/>
  <c r="P144" i="22"/>
  <c r="P119" i="22"/>
  <c r="P147" i="22"/>
  <c r="P139" i="22"/>
  <c r="P117" i="22"/>
  <c r="P140" i="22"/>
  <c r="P141" i="22"/>
  <c r="P128" i="22"/>
  <c r="P134" i="22"/>
  <c r="AB134" i="22" s="1"/>
  <c r="P129" i="22"/>
  <c r="P123" i="22"/>
  <c r="P130" i="22"/>
  <c r="P135" i="22"/>
  <c r="P131" i="22"/>
  <c r="P124" i="22"/>
  <c r="P136" i="22"/>
  <c r="P125" i="22"/>
  <c r="P137" i="22"/>
  <c r="P126" i="22"/>
  <c r="P138" i="22"/>
  <c r="P143" i="22"/>
  <c r="P127" i="22"/>
  <c r="P114" i="22"/>
  <c r="P110" i="22"/>
  <c r="AL55" i="23"/>
  <c r="AM55" i="23" s="1"/>
  <c r="AN55" i="23" s="1"/>
  <c r="AL78" i="23"/>
  <c r="AM78" i="23" s="1"/>
  <c r="AN78" i="23" s="1"/>
  <c r="AG130" i="23"/>
  <c r="M3602" i="19" s="1"/>
  <c r="M3683" i="19" s="1"/>
  <c r="K3683" i="19" s="1"/>
  <c r="AG199" i="23"/>
  <c r="M4848" i="19" s="1"/>
  <c r="O4848" i="19" s="1"/>
  <c r="AL180" i="23"/>
  <c r="AL181" i="23"/>
  <c r="Y199" i="23"/>
  <c r="O4087" i="19" s="1"/>
  <c r="O4089" i="19" s="1"/>
  <c r="D4085" i="19" s="1"/>
  <c r="U86" i="20"/>
  <c r="CP105" i="20"/>
  <c r="CO105" i="20"/>
  <c r="BX105" i="20"/>
  <c r="CN105" i="20"/>
  <c r="DA105" i="20"/>
  <c r="CJ105" i="20"/>
  <c r="BQ105" i="20"/>
  <c r="CF105" i="20"/>
  <c r="BN105" i="20"/>
  <c r="CS105" i="20"/>
  <c r="CU105" i="20"/>
  <c r="CT105" i="20"/>
  <c r="CQ105" i="20"/>
  <c r="CR105" i="20"/>
  <c r="CB105" i="20"/>
  <c r="CP113" i="20"/>
  <c r="CO113" i="20"/>
  <c r="BN113" i="20"/>
  <c r="CQ113" i="20"/>
  <c r="CN113" i="20"/>
  <c r="CJ113" i="20"/>
  <c r="BQ113" i="20"/>
  <c r="DA113" i="20"/>
  <c r="CU113" i="20"/>
  <c r="CF113" i="20"/>
  <c r="CT113" i="20"/>
  <c r="CB113" i="20"/>
  <c r="CS113" i="20"/>
  <c r="BX113" i="20"/>
  <c r="CR113" i="20"/>
  <c r="P21" i="22"/>
  <c r="P120" i="22"/>
  <c r="AL129" i="23"/>
  <c r="AM129" i="23" s="1"/>
  <c r="AH199" i="23"/>
  <c r="M4849" i="19" s="1"/>
  <c r="M4888" i="19" s="1"/>
  <c r="M4908" i="19" s="1"/>
  <c r="M4946" i="19" s="1"/>
  <c r="AM162" i="23"/>
  <c r="U60" i="20"/>
  <c r="CO102" i="20"/>
  <c r="CN102" i="20"/>
  <c r="BQ102" i="20"/>
  <c r="CJ102" i="20"/>
  <c r="BN102" i="20"/>
  <c r="CP102" i="20"/>
  <c r="DA102" i="20"/>
  <c r="CU102" i="20"/>
  <c r="CF102" i="20"/>
  <c r="BX102" i="20"/>
  <c r="CT102" i="20"/>
  <c r="CS102" i="20"/>
  <c r="CB102" i="20"/>
  <c r="CR102" i="20"/>
  <c r="CQ102" i="20"/>
  <c r="P13" i="22"/>
  <c r="P24" i="22"/>
  <c r="P121" i="22"/>
  <c r="AF95" i="23"/>
  <c r="M2540" i="19" s="1"/>
  <c r="M2621" i="19" s="1"/>
  <c r="K2621" i="19" s="1"/>
  <c r="AI199" i="23"/>
  <c r="M4850" i="19" s="1"/>
  <c r="O4850" i="19" s="1"/>
  <c r="AM154" i="23"/>
  <c r="CJ111" i="20"/>
  <c r="DA111" i="20"/>
  <c r="CN111" i="20"/>
  <c r="CU111" i="20"/>
  <c r="CF111" i="20"/>
  <c r="CT111" i="20"/>
  <c r="CB111" i="20"/>
  <c r="CS111" i="20"/>
  <c r="BX111" i="20"/>
  <c r="CR111" i="20"/>
  <c r="CQ111" i="20"/>
  <c r="BQ111" i="20"/>
  <c r="CP111" i="20"/>
  <c r="CO111" i="20"/>
  <c r="BN111" i="20"/>
  <c r="CF119" i="20"/>
  <c r="DA119" i="20"/>
  <c r="CB119" i="20"/>
  <c r="CJ119" i="20"/>
  <c r="BX119" i="20"/>
  <c r="CU119" i="20"/>
  <c r="CT119" i="20"/>
  <c r="BQ119" i="20"/>
  <c r="CS119" i="20"/>
  <c r="CR119" i="20"/>
  <c r="BN119" i="20"/>
  <c r="CQ119" i="20"/>
  <c r="CP119" i="20"/>
  <c r="CO119" i="20"/>
  <c r="CN119" i="20"/>
  <c r="DR144" i="20"/>
  <c r="DR152" i="20"/>
  <c r="DR156" i="20"/>
  <c r="DR160" i="20"/>
  <c r="P19" i="22"/>
  <c r="AM18" i="23"/>
  <c r="AN18" i="23" s="1"/>
  <c r="AL94" i="23"/>
  <c r="AM94" i="23" s="1"/>
  <c r="BH109" i="22"/>
  <c r="BW109" i="22" s="1"/>
  <c r="O107" i="18"/>
  <c r="K1889" i="19" s="1"/>
  <c r="E4261" i="19"/>
  <c r="K4261" i="19" s="1"/>
  <c r="C4589" i="19"/>
  <c r="E4182" i="19"/>
  <c r="U70" i="20"/>
  <c r="DR151" i="20"/>
  <c r="DR155" i="20"/>
  <c r="U156" i="20"/>
  <c r="U160" i="20"/>
  <c r="CT182" i="20"/>
  <c r="BV143" i="22"/>
  <c r="CX143" i="22"/>
  <c r="CY143" i="22" s="1"/>
  <c r="CW143" i="22"/>
  <c r="CV143" i="22"/>
  <c r="CU143" i="22"/>
  <c r="CS143" i="22"/>
  <c r="CN143" i="22"/>
  <c r="CI143" i="22"/>
  <c r="CT143" i="22" s="1"/>
  <c r="BW143" i="22"/>
  <c r="BX143" i="22"/>
  <c r="CR136" i="22"/>
  <c r="CZ136" i="22"/>
  <c r="CR134" i="22"/>
  <c r="CZ134" i="22"/>
  <c r="CR111" i="22"/>
  <c r="CZ111" i="22"/>
  <c r="CR124" i="22"/>
  <c r="CZ124" i="22"/>
  <c r="BV146" i="22"/>
  <c r="CX146" i="22"/>
  <c r="CY146" i="22" s="1"/>
  <c r="CW146" i="22"/>
  <c r="CV146" i="22"/>
  <c r="CU146" i="22"/>
  <c r="CS146" i="22"/>
  <c r="CN146" i="22"/>
  <c r="CI146" i="22"/>
  <c r="CT146" i="22" s="1"/>
  <c r="BX146" i="22"/>
  <c r="BW146" i="22"/>
  <c r="CR112" i="22"/>
  <c r="CZ112" i="22"/>
  <c r="CR137" i="22"/>
  <c r="CZ137" i="22"/>
  <c r="BV148" i="22"/>
  <c r="CV148" i="22"/>
  <c r="CU148" i="22"/>
  <c r="CS148" i="22"/>
  <c r="CN148" i="22"/>
  <c r="CX148" i="22"/>
  <c r="CY148" i="22" s="1"/>
  <c r="CW148" i="22"/>
  <c r="CI148" i="22"/>
  <c r="CT148" i="22" s="1"/>
  <c r="BX148" i="22"/>
  <c r="BW148" i="22"/>
  <c r="CR113" i="22"/>
  <c r="CZ113" i="22"/>
  <c r="CR120" i="22"/>
  <c r="CZ120" i="22"/>
  <c r="CR123" i="22"/>
  <c r="CZ123" i="22"/>
  <c r="CR126" i="22"/>
  <c r="CZ126" i="22"/>
  <c r="CR129" i="22"/>
  <c r="CZ129" i="22"/>
  <c r="CR135" i="22"/>
  <c r="CZ135" i="22"/>
  <c r="CR138" i="22"/>
  <c r="CZ138" i="22"/>
  <c r="CR141" i="22"/>
  <c r="CZ141" i="22"/>
  <c r="CR118" i="22"/>
  <c r="CZ118" i="22"/>
  <c r="CR148" i="22"/>
  <c r="CZ148" i="22"/>
  <c r="BV111" i="22"/>
  <c r="CX111" i="22"/>
  <c r="CY111" i="22" s="1"/>
  <c r="CW111" i="22"/>
  <c r="CV111" i="22"/>
  <c r="CU111" i="22"/>
  <c r="CS111" i="22"/>
  <c r="BX111" i="22"/>
  <c r="CI111" i="22"/>
  <c r="CT111" i="22" s="1"/>
  <c r="BW111" i="22"/>
  <c r="CN111" i="22"/>
  <c r="BV115" i="22"/>
  <c r="CX115" i="22"/>
  <c r="CY115" i="22" s="1"/>
  <c r="CW115" i="22"/>
  <c r="CV115" i="22"/>
  <c r="CU115" i="22"/>
  <c r="CS115" i="22"/>
  <c r="CI115" i="22"/>
  <c r="CT115" i="22" s="1"/>
  <c r="BW115" i="22"/>
  <c r="BX115" i="22"/>
  <c r="CN115" i="22"/>
  <c r="BV121" i="22"/>
  <c r="CX121" i="22"/>
  <c r="CY121" i="22" s="1"/>
  <c r="CW121" i="22"/>
  <c r="CV121" i="22"/>
  <c r="CU121" i="22"/>
  <c r="CN121" i="22"/>
  <c r="CS121" i="22"/>
  <c r="BW121" i="22"/>
  <c r="CI121" i="22"/>
  <c r="CT121" i="22" s="1"/>
  <c r="BX121" i="22"/>
  <c r="BV124" i="22"/>
  <c r="CV124" i="22"/>
  <c r="CU124" i="22"/>
  <c r="CS124" i="22"/>
  <c r="CX124" i="22"/>
  <c r="CY124" i="22" s="1"/>
  <c r="CI124" i="22"/>
  <c r="CT124" i="22" s="1"/>
  <c r="BW124" i="22"/>
  <c r="BX124" i="22"/>
  <c r="CW124" i="22"/>
  <c r="CN124" i="22"/>
  <c r="CV127" i="22"/>
  <c r="CN127" i="22"/>
  <c r="CU127" i="22"/>
  <c r="BV127" i="22"/>
  <c r="CS127" i="22"/>
  <c r="CX127" i="22"/>
  <c r="CY127" i="22" s="1"/>
  <c r="CW127" i="22"/>
  <c r="CI127" i="22"/>
  <c r="CT127" i="22" s="1"/>
  <c r="BW127" i="22"/>
  <c r="BX127" i="22"/>
  <c r="BV141" i="22"/>
  <c r="CX141" i="22"/>
  <c r="CY141" i="22" s="1"/>
  <c r="CW141" i="22"/>
  <c r="CN141" i="22"/>
  <c r="CP141" i="22" s="1"/>
  <c r="CV141" i="22"/>
  <c r="CU141" i="22"/>
  <c r="CS141" i="22"/>
  <c r="CI141" i="22"/>
  <c r="CT141" i="22" s="1"/>
  <c r="BW141" i="22"/>
  <c r="BX141" i="22"/>
  <c r="BV136" i="22"/>
  <c r="CV136" i="22"/>
  <c r="CU136" i="22"/>
  <c r="CN136" i="22"/>
  <c r="CS136" i="22"/>
  <c r="CX136" i="22"/>
  <c r="CY136" i="22" s="1"/>
  <c r="BX136" i="22"/>
  <c r="CW136" i="22"/>
  <c r="CI136" i="22"/>
  <c r="CT136" i="22" s="1"/>
  <c r="BW136" i="22"/>
  <c r="BV149" i="22"/>
  <c r="CX149" i="22"/>
  <c r="CY149" i="22" s="1"/>
  <c r="CW149" i="22"/>
  <c r="CV149" i="22"/>
  <c r="CU149" i="22"/>
  <c r="CN149" i="22"/>
  <c r="CS149" i="22"/>
  <c r="CI149" i="22"/>
  <c r="CT149" i="22" s="1"/>
  <c r="BW149" i="22"/>
  <c r="BX149" i="22"/>
  <c r="CR121" i="22"/>
  <c r="CZ121" i="22"/>
  <c r="CR143" i="22"/>
  <c r="CZ143" i="22"/>
  <c r="CR149" i="22"/>
  <c r="CZ149" i="22"/>
  <c r="BV112" i="22"/>
  <c r="CV112" i="22"/>
  <c r="CU112" i="22"/>
  <c r="CN112" i="22"/>
  <c r="CS112" i="22"/>
  <c r="CX112" i="22"/>
  <c r="CY112" i="22" s="1"/>
  <c r="CW112" i="22"/>
  <c r="BX112" i="22"/>
  <c r="CI112" i="22"/>
  <c r="CT112" i="22" s="1"/>
  <c r="BW112" i="22"/>
  <c r="BV118" i="22"/>
  <c r="CX118" i="22"/>
  <c r="CY118" i="22" s="1"/>
  <c r="CW118" i="22"/>
  <c r="CV118" i="22"/>
  <c r="CU118" i="22"/>
  <c r="CS118" i="22"/>
  <c r="CN118" i="22"/>
  <c r="CI118" i="22"/>
  <c r="CT118" i="22" s="1"/>
  <c r="BW118" i="22"/>
  <c r="BX118" i="22"/>
  <c r="BV122" i="22"/>
  <c r="CV122" i="22"/>
  <c r="CU122" i="22"/>
  <c r="CS122" i="22"/>
  <c r="CN122" i="22"/>
  <c r="CX122" i="22"/>
  <c r="CY122" i="22" s="1"/>
  <c r="CI122" i="22"/>
  <c r="CT122" i="22" s="1"/>
  <c r="BW122" i="22"/>
  <c r="BX122" i="22"/>
  <c r="CW122" i="22"/>
  <c r="BV128" i="22"/>
  <c r="CX128" i="22"/>
  <c r="CY128" i="22" s="1"/>
  <c r="CW128" i="22"/>
  <c r="CV128" i="22"/>
  <c r="CU128" i="22"/>
  <c r="CS128" i="22"/>
  <c r="CN128" i="22"/>
  <c r="CI128" i="22"/>
  <c r="CT128" i="22" s="1"/>
  <c r="BW128" i="22"/>
  <c r="BX128" i="22"/>
  <c r="BV134" i="22"/>
  <c r="CV134" i="22"/>
  <c r="CU134" i="22"/>
  <c r="CT134" i="22"/>
  <c r="CS134" i="22"/>
  <c r="CX134" i="22"/>
  <c r="CY134" i="22" s="1"/>
  <c r="CI134" i="22"/>
  <c r="BW134" i="22"/>
  <c r="BX134" i="22"/>
  <c r="CN134" i="22"/>
  <c r="CW134" i="22"/>
  <c r="BV137" i="22"/>
  <c r="CN137" i="22"/>
  <c r="CX137" i="22"/>
  <c r="CY137" i="22" s="1"/>
  <c r="CW137" i="22"/>
  <c r="CV137" i="22"/>
  <c r="CU137" i="22"/>
  <c r="CS137" i="22"/>
  <c r="CI137" i="22"/>
  <c r="CT137" i="22" s="1"/>
  <c r="BW137" i="22"/>
  <c r="BX137" i="22"/>
  <c r="CR115" i="22"/>
  <c r="CZ115" i="22"/>
  <c r="CR127" i="22"/>
  <c r="CZ127" i="22"/>
  <c r="CR122" i="22"/>
  <c r="CZ122" i="22"/>
  <c r="CR128" i="22"/>
  <c r="CZ128" i="22"/>
  <c r="CR146" i="22"/>
  <c r="CZ146" i="22"/>
  <c r="BV110" i="22"/>
  <c r="CV110" i="22"/>
  <c r="CU110" i="22"/>
  <c r="CS110" i="22"/>
  <c r="CX110" i="22"/>
  <c r="CY110" i="22" s="1"/>
  <c r="CI110" i="22"/>
  <c r="CT110" i="22" s="1"/>
  <c r="BW110" i="22"/>
  <c r="BX110" i="22"/>
  <c r="CN110" i="22"/>
  <c r="CP110" i="22" s="1"/>
  <c r="CW110" i="22"/>
  <c r="BV113" i="22"/>
  <c r="CN113" i="22"/>
  <c r="CX113" i="22"/>
  <c r="CY113" i="22" s="1"/>
  <c r="CW113" i="22"/>
  <c r="CV113" i="22"/>
  <c r="CU113" i="22"/>
  <c r="CS113" i="22"/>
  <c r="CI113" i="22"/>
  <c r="CT113" i="22" s="1"/>
  <c r="BW113" i="22"/>
  <c r="BX113" i="22"/>
  <c r="BV120" i="22"/>
  <c r="CV120" i="22"/>
  <c r="CU120" i="22"/>
  <c r="CS120" i="22"/>
  <c r="CN120" i="22"/>
  <c r="CX120" i="22"/>
  <c r="CY120" i="22" s="1"/>
  <c r="BW120" i="22"/>
  <c r="CI120" i="22"/>
  <c r="CT120" i="22" s="1"/>
  <c r="BX120" i="22"/>
  <c r="CW120" i="22"/>
  <c r="BV123" i="22"/>
  <c r="CX123" i="22"/>
  <c r="CY123" i="22" s="1"/>
  <c r="CW123" i="22"/>
  <c r="CN123" i="22"/>
  <c r="CV123" i="22"/>
  <c r="CU123" i="22"/>
  <c r="CS123" i="22"/>
  <c r="CI123" i="22"/>
  <c r="CT123" i="22" s="1"/>
  <c r="BW123" i="22"/>
  <c r="BX123" i="22"/>
  <c r="BV126" i="22"/>
  <c r="CN126" i="22"/>
  <c r="CX126" i="22"/>
  <c r="CY126" i="22" s="1"/>
  <c r="CW126" i="22"/>
  <c r="CV126" i="22"/>
  <c r="CU126" i="22"/>
  <c r="CS126" i="22"/>
  <c r="CI126" i="22"/>
  <c r="CT126" i="22" s="1"/>
  <c r="BW126" i="22"/>
  <c r="BX126" i="22"/>
  <c r="BV129" i="22"/>
  <c r="CV129" i="22"/>
  <c r="CU129" i="22"/>
  <c r="CS129" i="22"/>
  <c r="CX129" i="22"/>
  <c r="CY129" i="22" s="1"/>
  <c r="CN129" i="22"/>
  <c r="CW129" i="22"/>
  <c r="CI129" i="22"/>
  <c r="CT129" i="22" s="1"/>
  <c r="BW129" i="22"/>
  <c r="BX129" i="22"/>
  <c r="BV135" i="22"/>
  <c r="CX135" i="22"/>
  <c r="CY135" i="22" s="1"/>
  <c r="CW135" i="22"/>
  <c r="CV135" i="22"/>
  <c r="CU135" i="22"/>
  <c r="CS135" i="22"/>
  <c r="BX135" i="22"/>
  <c r="CN135" i="22"/>
  <c r="CI135" i="22"/>
  <c r="CT135" i="22" s="1"/>
  <c r="BW135" i="22"/>
  <c r="CV138" i="22"/>
  <c r="CN138" i="22"/>
  <c r="BV138" i="22"/>
  <c r="CU138" i="22"/>
  <c r="CS138" i="22"/>
  <c r="CX138" i="22"/>
  <c r="CY138" i="22" s="1"/>
  <c r="CW138" i="22"/>
  <c r="CI138" i="22"/>
  <c r="CT138" i="22" s="1"/>
  <c r="BW138" i="22"/>
  <c r="BX138" i="22"/>
  <c r="O238" i="18"/>
  <c r="K4139" i="19" s="1"/>
  <c r="M4813" i="19" s="1"/>
  <c r="N4813" i="19" s="1"/>
  <c r="O233" i="18"/>
  <c r="K4134" i="19" s="1"/>
  <c r="N4134" i="19" s="1"/>
  <c r="O234" i="18"/>
  <c r="K4135" i="19" s="1"/>
  <c r="N4135" i="19" s="1"/>
  <c r="O236" i="18"/>
  <c r="K4137" i="19" s="1"/>
  <c r="O231" i="18"/>
  <c r="K4132" i="19" s="1"/>
  <c r="O239" i="18"/>
  <c r="K4140" i="19" s="1"/>
  <c r="M4814" i="19" s="1"/>
  <c r="N4814" i="19" s="1"/>
  <c r="O240" i="18"/>
  <c r="K4141" i="19" s="1"/>
  <c r="O235" i="18"/>
  <c r="K4136" i="19" s="1"/>
  <c r="O237" i="18"/>
  <c r="K4138" i="19" s="1"/>
  <c r="O4138" i="19" s="1"/>
  <c r="O232" i="18"/>
  <c r="K4133" i="19" s="1"/>
  <c r="N4133" i="19" s="1"/>
  <c r="O230" i="18"/>
  <c r="K4131" i="19" s="1"/>
  <c r="N4131" i="19" s="1"/>
  <c r="O106" i="18"/>
  <c r="O102" i="18"/>
  <c r="K1884" i="19" s="1"/>
  <c r="O1884" i="19" s="1"/>
  <c r="O98" i="18"/>
  <c r="O100" i="18"/>
  <c r="K1882" i="19" s="1"/>
  <c r="O103" i="18"/>
  <c r="O105" i="18"/>
  <c r="O101" i="18"/>
  <c r="O104" i="18"/>
  <c r="O110" i="18"/>
  <c r="O99" i="18"/>
  <c r="K1881" i="19" s="1"/>
  <c r="O108" i="18"/>
  <c r="A260" i="22"/>
  <c r="G260" i="22" s="1"/>
  <c r="G344" i="22"/>
  <c r="G350" i="22"/>
  <c r="F341" i="22"/>
  <c r="BH344" i="22"/>
  <c r="F350" i="22"/>
  <c r="D341" i="22"/>
  <c r="CR341" i="22" s="1"/>
  <c r="D346" i="22"/>
  <c r="CR346" i="22" s="1"/>
  <c r="F344" i="22"/>
  <c r="D350" i="22"/>
  <c r="CR350" i="22" s="1"/>
  <c r="C348" i="22"/>
  <c r="D344" i="22"/>
  <c r="CR344" i="22" s="1"/>
  <c r="C350" i="22"/>
  <c r="D348" i="22"/>
  <c r="CR348" i="22" s="1"/>
  <c r="C344" i="22"/>
  <c r="G355" i="22"/>
  <c r="BH348" i="22"/>
  <c r="BH341" i="22"/>
  <c r="G311" i="22"/>
  <c r="F355" i="22"/>
  <c r="G348" i="22"/>
  <c r="F346" i="22"/>
  <c r="BH311" i="22"/>
  <c r="D355" i="22"/>
  <c r="CR355" i="22" s="1"/>
  <c r="F348" i="22"/>
  <c r="BH346" i="22"/>
  <c r="F311" i="22"/>
  <c r="C355" i="22"/>
  <c r="G342" i="22"/>
  <c r="D311" i="22"/>
  <c r="CR311" i="22" s="1"/>
  <c r="BH355" i="22"/>
  <c r="F342" i="22"/>
  <c r="C342" i="22"/>
  <c r="C311" i="22"/>
  <c r="C341" i="22"/>
  <c r="BH342" i="22"/>
  <c r="C346" i="22"/>
  <c r="G346" i="22"/>
  <c r="G341" i="22"/>
  <c r="D342" i="22"/>
  <c r="CR342" i="22" s="1"/>
  <c r="BH350" i="22"/>
  <c r="G340" i="22"/>
  <c r="F340" i="22"/>
  <c r="D340" i="22"/>
  <c r="CR340" i="22" s="1"/>
  <c r="C340" i="22"/>
  <c r="BH340" i="22"/>
  <c r="G338" i="22"/>
  <c r="F338" i="22"/>
  <c r="BH338" i="22"/>
  <c r="D338" i="22"/>
  <c r="CR338" i="22" s="1"/>
  <c r="C338" i="22"/>
  <c r="G336" i="22"/>
  <c r="F336" i="22"/>
  <c r="D336" i="22"/>
  <c r="C336" i="22"/>
  <c r="BH336" i="22"/>
  <c r="F345" i="22"/>
  <c r="D345" i="22"/>
  <c r="CR345" i="22" s="1"/>
  <c r="G345" i="22"/>
  <c r="C345" i="22"/>
  <c r="BH345" i="22"/>
  <c r="D347" i="22"/>
  <c r="C347" i="22"/>
  <c r="BH347" i="22"/>
  <c r="F347" i="22"/>
  <c r="G347" i="22"/>
  <c r="G351" i="22"/>
  <c r="F351" i="22"/>
  <c r="D351" i="22"/>
  <c r="CR351" i="22" s="1"/>
  <c r="C351" i="22"/>
  <c r="BH351" i="22"/>
  <c r="D335" i="22"/>
  <c r="BH335" i="22"/>
  <c r="C335" i="22"/>
  <c r="F335" i="22"/>
  <c r="G335" i="22"/>
  <c r="G337" i="22"/>
  <c r="F337" i="22"/>
  <c r="BH337" i="22"/>
  <c r="D337" i="22"/>
  <c r="CR337" i="22" s="1"/>
  <c r="C337" i="22"/>
  <c r="G339" i="22"/>
  <c r="F339" i="22"/>
  <c r="D339" i="22"/>
  <c r="CR339" i="22" s="1"/>
  <c r="C339" i="22"/>
  <c r="BH339" i="22"/>
  <c r="BH343" i="22"/>
  <c r="G343" i="22"/>
  <c r="F343" i="22"/>
  <c r="C343" i="22"/>
  <c r="D343" i="22"/>
  <c r="G352" i="22"/>
  <c r="F352" i="22"/>
  <c r="D352" i="22"/>
  <c r="CR352" i="22" s="1"/>
  <c r="C352" i="22"/>
  <c r="BH352" i="22"/>
  <c r="G353" i="22"/>
  <c r="F353" i="22"/>
  <c r="D353" i="22"/>
  <c r="BH353" i="22"/>
  <c r="C353" i="22"/>
  <c r="D349" i="22"/>
  <c r="C349" i="22"/>
  <c r="BH349" i="22"/>
  <c r="F349" i="22"/>
  <c r="G349" i="22"/>
  <c r="BH354" i="22"/>
  <c r="G354" i="22"/>
  <c r="F354" i="22"/>
  <c r="D354" i="22"/>
  <c r="C354" i="22"/>
  <c r="G232" i="22"/>
  <c r="F232" i="22"/>
  <c r="D232" i="22"/>
  <c r="CR232" i="22" s="1"/>
  <c r="C232" i="22"/>
  <c r="BH232" i="22"/>
  <c r="D211" i="22"/>
  <c r="CR211" i="22" s="1"/>
  <c r="BH211" i="22"/>
  <c r="C211" i="22"/>
  <c r="P211" i="22"/>
  <c r="F211" i="22"/>
  <c r="G211" i="22"/>
  <c r="C227" i="22"/>
  <c r="BH227" i="22"/>
  <c r="D227" i="22"/>
  <c r="G227" i="22"/>
  <c r="F227" i="22"/>
  <c r="G215" i="22"/>
  <c r="F215" i="22"/>
  <c r="BH215" i="22"/>
  <c r="D215" i="22"/>
  <c r="CR215" i="22" s="1"/>
  <c r="C215" i="22"/>
  <c r="P215" i="22"/>
  <c r="G235" i="22"/>
  <c r="D235" i="22"/>
  <c r="CR235" i="22" s="1"/>
  <c r="BH235" i="22"/>
  <c r="C235" i="22"/>
  <c r="F235" i="22"/>
  <c r="F225" i="22"/>
  <c r="D225" i="22"/>
  <c r="CR225" i="22" s="1"/>
  <c r="BH225" i="22"/>
  <c r="C225" i="22"/>
  <c r="G225" i="22"/>
  <c r="G217" i="22"/>
  <c r="F217" i="22"/>
  <c r="D217" i="22"/>
  <c r="CR217" i="22" s="1"/>
  <c r="C217" i="22"/>
  <c r="BH217" i="22"/>
  <c r="P217" i="22"/>
  <c r="G219" i="22"/>
  <c r="F219" i="22"/>
  <c r="D219" i="22"/>
  <c r="CR219" i="22" s="1"/>
  <c r="C219" i="22"/>
  <c r="BH219" i="22"/>
  <c r="P219" i="22"/>
  <c r="F216" i="22"/>
  <c r="BH216" i="22"/>
  <c r="D216" i="22"/>
  <c r="CR216" i="22" s="1"/>
  <c r="C216" i="22"/>
  <c r="P216" i="22"/>
  <c r="G216" i="22"/>
  <c r="G236" i="22"/>
  <c r="F236" i="22"/>
  <c r="BH236" i="22"/>
  <c r="D236" i="22"/>
  <c r="CR236" i="22" s="1"/>
  <c r="C236" i="22"/>
  <c r="AV236" i="22"/>
  <c r="A200" i="22"/>
  <c r="G200" i="22" s="1"/>
  <c r="G221" i="22"/>
  <c r="G237" i="22"/>
  <c r="BH228" i="22"/>
  <c r="G234" i="22"/>
  <c r="F244" i="22"/>
  <c r="BH223" i="22"/>
  <c r="G240" i="22"/>
  <c r="G242" i="22"/>
  <c r="BH238" i="22"/>
  <c r="G243" i="22"/>
  <c r="F221" i="22"/>
  <c r="F237" i="22"/>
  <c r="BH234" i="22"/>
  <c r="D244" i="22"/>
  <c r="CR244" i="22" s="1"/>
  <c r="F240" i="22"/>
  <c r="F242" i="22"/>
  <c r="C238" i="22"/>
  <c r="F243" i="22"/>
  <c r="D221" i="22"/>
  <c r="CR221" i="22" s="1"/>
  <c r="D237" i="22"/>
  <c r="CR237" i="22" s="1"/>
  <c r="C228" i="22"/>
  <c r="C234" i="22"/>
  <c r="C244" i="22"/>
  <c r="G223" i="22"/>
  <c r="D240" i="22"/>
  <c r="CR240" i="22" s="1"/>
  <c r="D242" i="22"/>
  <c r="CR242" i="22" s="1"/>
  <c r="D243" i="22"/>
  <c r="CR243" i="22" s="1"/>
  <c r="C221" i="22"/>
  <c r="C237" i="22"/>
  <c r="G228" i="22"/>
  <c r="F234" i="22"/>
  <c r="BH244" i="22"/>
  <c r="F223" i="22"/>
  <c r="C240" i="22"/>
  <c r="C242" i="22"/>
  <c r="D238" i="22"/>
  <c r="CR238" i="22" s="1"/>
  <c r="C243" i="22"/>
  <c r="BH221" i="22"/>
  <c r="BH237" i="22"/>
  <c r="F228" i="22"/>
  <c r="D234" i="22"/>
  <c r="CR234" i="22" s="1"/>
  <c r="D223" i="22"/>
  <c r="CR223" i="22" s="1"/>
  <c r="BH240" i="22"/>
  <c r="G238" i="22"/>
  <c r="AV243" i="22"/>
  <c r="AB237" i="22"/>
  <c r="D228" i="22"/>
  <c r="CR228" i="22" s="1"/>
  <c r="AV234" i="22"/>
  <c r="G244" i="22"/>
  <c r="C223" i="22"/>
  <c r="BH242" i="22"/>
  <c r="F238" i="22"/>
  <c r="BH243" i="22"/>
  <c r="G224" i="22"/>
  <c r="AB229" i="22"/>
  <c r="G241" i="22"/>
  <c r="G239" i="22"/>
  <c r="G226" i="22"/>
  <c r="G230" i="22"/>
  <c r="D245" i="22"/>
  <c r="CR245" i="22" s="1"/>
  <c r="BH222" i="22"/>
  <c r="G231" i="22"/>
  <c r="F224" i="22"/>
  <c r="G229" i="22"/>
  <c r="F241" i="22"/>
  <c r="F239" i="22"/>
  <c r="F226" i="22"/>
  <c r="F230" i="22"/>
  <c r="C245" i="22"/>
  <c r="D222" i="22"/>
  <c r="CR222" i="22" s="1"/>
  <c r="BH231" i="22"/>
  <c r="D224" i="22"/>
  <c r="CR224" i="22" s="1"/>
  <c r="F229" i="22"/>
  <c r="D241" i="22"/>
  <c r="CR241" i="22" s="1"/>
  <c r="D239" i="22"/>
  <c r="CR239" i="22" s="1"/>
  <c r="D226" i="22"/>
  <c r="CR226" i="22" s="1"/>
  <c r="D230" i="22"/>
  <c r="CR230" i="22" s="1"/>
  <c r="AB245" i="22"/>
  <c r="C222" i="22"/>
  <c r="F231" i="22"/>
  <c r="C224" i="22"/>
  <c r="BH229" i="22"/>
  <c r="BH241" i="22"/>
  <c r="BH239" i="22"/>
  <c r="BH226" i="22"/>
  <c r="BH230" i="22"/>
  <c r="BH245" i="22"/>
  <c r="D231" i="22"/>
  <c r="CR231" i="22" s="1"/>
  <c r="BH224" i="22"/>
  <c r="D229" i="22"/>
  <c r="CR229" i="22" s="1"/>
  <c r="C241" i="22"/>
  <c r="C239" i="22"/>
  <c r="C226" i="22"/>
  <c r="C230" i="22"/>
  <c r="F245" i="22"/>
  <c r="F222" i="22"/>
  <c r="C231" i="22"/>
  <c r="C229" i="22"/>
  <c r="AB239" i="22"/>
  <c r="G245" i="22"/>
  <c r="G222" i="22"/>
  <c r="G205" i="22"/>
  <c r="F205" i="22"/>
  <c r="D205" i="22"/>
  <c r="CR205" i="22" s="1"/>
  <c r="C205" i="22"/>
  <c r="BH205" i="22"/>
  <c r="P205" i="22"/>
  <c r="F207" i="22"/>
  <c r="D207" i="22"/>
  <c r="CR207" i="22" s="1"/>
  <c r="C207" i="22"/>
  <c r="BH207" i="22"/>
  <c r="G207" i="22"/>
  <c r="G213" i="22"/>
  <c r="F213" i="22"/>
  <c r="D213" i="22"/>
  <c r="CR213" i="22" s="1"/>
  <c r="BH213" i="22"/>
  <c r="C213" i="22"/>
  <c r="P213" i="22"/>
  <c r="G233" i="22"/>
  <c r="F233" i="22"/>
  <c r="D233" i="22"/>
  <c r="CR233" i="22" s="1"/>
  <c r="C233" i="22"/>
  <c r="BH233" i="22"/>
  <c r="D214" i="22"/>
  <c r="CR214" i="22" s="1"/>
  <c r="C214" i="22"/>
  <c r="F214" i="22"/>
  <c r="BH214" i="22"/>
  <c r="G214" i="22"/>
  <c r="G209" i="22"/>
  <c r="F209" i="22"/>
  <c r="D209" i="22"/>
  <c r="CR209" i="22" s="1"/>
  <c r="C209" i="22"/>
  <c r="BH209" i="22"/>
  <c r="P209" i="22"/>
  <c r="AV164" i="22"/>
  <c r="AT164" i="22"/>
  <c r="O164" i="22"/>
  <c r="W164" i="22" s="1"/>
  <c r="AV154" i="22"/>
  <c r="AT154" i="22"/>
  <c r="O154" i="22"/>
  <c r="W154" i="22" s="1"/>
  <c r="AT165" i="22"/>
  <c r="AV165" i="22"/>
  <c r="O165" i="22"/>
  <c r="W165" i="22" s="1"/>
  <c r="AT155" i="22"/>
  <c r="AV155" i="22"/>
  <c r="O155" i="22"/>
  <c r="W155" i="22" s="1"/>
  <c r="O166" i="22"/>
  <c r="W166" i="22" s="1"/>
  <c r="AV166" i="22"/>
  <c r="AT166" i="22"/>
  <c r="AT156" i="22"/>
  <c r="AV156" i="22"/>
  <c r="O156" i="22"/>
  <c r="W156" i="22" s="1"/>
  <c r="O169" i="22"/>
  <c r="W169" i="22" s="1"/>
  <c r="AV169" i="22"/>
  <c r="AT169" i="22"/>
  <c r="AT157" i="22"/>
  <c r="AV157" i="22"/>
  <c r="O157" i="22"/>
  <c r="W157" i="22" s="1"/>
  <c r="AV170" i="22"/>
  <c r="AT170" i="22"/>
  <c r="O170" i="22"/>
  <c r="W170" i="22" s="1"/>
  <c r="AB158" i="22"/>
  <c r="AT158" i="22"/>
  <c r="AV158" i="22"/>
  <c r="O158" i="22"/>
  <c r="W158" i="22" s="1"/>
  <c r="AB159" i="22"/>
  <c r="AV159" i="22"/>
  <c r="AT159" i="22"/>
  <c r="O159" i="22"/>
  <c r="W159" i="22" s="1"/>
  <c r="AT160" i="22"/>
  <c r="AB160" i="22"/>
  <c r="AV160" i="22"/>
  <c r="O160" i="22"/>
  <c r="W160" i="22" s="1"/>
  <c r="AB161" i="22"/>
  <c r="AV161" i="22"/>
  <c r="AT161" i="22"/>
  <c r="O161" i="22"/>
  <c r="W161" i="22" s="1"/>
  <c r="AT162" i="22"/>
  <c r="AV162" i="22"/>
  <c r="O162" i="22"/>
  <c r="W162" i="22" s="1"/>
  <c r="BI122" i="22"/>
  <c r="BL122" i="22"/>
  <c r="BO122" i="22"/>
  <c r="BM122" i="22"/>
  <c r="BN122" i="22"/>
  <c r="BJ122" i="22"/>
  <c r="BK122" i="22"/>
  <c r="N118" i="22"/>
  <c r="L118" i="22"/>
  <c r="AT118" i="22" s="1"/>
  <c r="AU118" i="22" s="1"/>
  <c r="AR118" i="22"/>
  <c r="N134" i="22"/>
  <c r="AR134" i="22"/>
  <c r="L134" i="22"/>
  <c r="BO110" i="22"/>
  <c r="BN110" i="22"/>
  <c r="BL110" i="22"/>
  <c r="BK110" i="22"/>
  <c r="BJ110" i="22"/>
  <c r="BM110" i="22"/>
  <c r="BI110" i="22"/>
  <c r="BL113" i="22"/>
  <c r="BJ113" i="22"/>
  <c r="BK113" i="22"/>
  <c r="BI113" i="22"/>
  <c r="BN113" i="22"/>
  <c r="BO113" i="22"/>
  <c r="BM113" i="22"/>
  <c r="BO120" i="22"/>
  <c r="BN120" i="22"/>
  <c r="BM120" i="22"/>
  <c r="BL120" i="22"/>
  <c r="BK120" i="22"/>
  <c r="BJ120" i="22"/>
  <c r="BI120" i="22"/>
  <c r="BO123" i="22"/>
  <c r="BN123" i="22"/>
  <c r="BL123" i="22"/>
  <c r="BJ123" i="22"/>
  <c r="BI123" i="22"/>
  <c r="BM123" i="22"/>
  <c r="BK123" i="22"/>
  <c r="BM126" i="22"/>
  <c r="BI126" i="22"/>
  <c r="BO126" i="22"/>
  <c r="BK126" i="22"/>
  <c r="BJ126" i="22"/>
  <c r="BN126" i="22"/>
  <c r="BL126" i="22"/>
  <c r="BM129" i="22"/>
  <c r="BN129" i="22"/>
  <c r="BK129" i="22"/>
  <c r="BJ129" i="22"/>
  <c r="BO129" i="22"/>
  <c r="BI129" i="22"/>
  <c r="BL129" i="22"/>
  <c r="BN135" i="22"/>
  <c r="BM135" i="22"/>
  <c r="BL135" i="22"/>
  <c r="BO135" i="22"/>
  <c r="BI135" i="22"/>
  <c r="BJ135" i="22"/>
  <c r="BK135" i="22"/>
  <c r="BN138" i="22"/>
  <c r="BM138" i="22"/>
  <c r="BL138" i="22"/>
  <c r="BJ138" i="22"/>
  <c r="BK138" i="22"/>
  <c r="BI138" i="22"/>
  <c r="BO138" i="22"/>
  <c r="AV152" i="22"/>
  <c r="AT152" i="22"/>
  <c r="O152" i="22"/>
  <c r="W152" i="22" s="1"/>
  <c r="AV116" i="22"/>
  <c r="BL128" i="22"/>
  <c r="BJ128" i="22"/>
  <c r="BI128" i="22"/>
  <c r="BO128" i="22"/>
  <c r="BK128" i="22"/>
  <c r="BM128" i="22"/>
  <c r="BN128" i="22"/>
  <c r="D58" i="22"/>
  <c r="AB58" i="22" s="1"/>
  <c r="D43" i="22"/>
  <c r="D41" i="22"/>
  <c r="D40" i="22"/>
  <c r="D49" i="22"/>
  <c r="AB49" i="22" s="1"/>
  <c r="C86" i="22"/>
  <c r="G75" i="22"/>
  <c r="F63" i="22"/>
  <c r="G82" i="22"/>
  <c r="F73" i="22"/>
  <c r="BH56" i="22"/>
  <c r="F87" i="22"/>
  <c r="BH76" i="22"/>
  <c r="C61" i="22"/>
  <c r="G78" i="22"/>
  <c r="C71" i="22"/>
  <c r="BH55" i="22"/>
  <c r="G54" i="22"/>
  <c r="C41" i="22"/>
  <c r="F43" i="22"/>
  <c r="BH38" i="22"/>
  <c r="BH27" i="22"/>
  <c r="F38" i="22"/>
  <c r="C25" i="22"/>
  <c r="C50" i="22"/>
  <c r="F28" i="22"/>
  <c r="BH21" i="22"/>
  <c r="G19" i="22"/>
  <c r="F22" i="22"/>
  <c r="BH12" i="22"/>
  <c r="D11" i="22"/>
  <c r="C13" i="22"/>
  <c r="C16" i="22"/>
  <c r="D21" i="22"/>
  <c r="G60" i="22"/>
  <c r="BH44" i="22"/>
  <c r="C22" i="22"/>
  <c r="C87" i="22"/>
  <c r="C63" i="22"/>
  <c r="BH43" i="22"/>
  <c r="D37" i="22"/>
  <c r="C88" i="22"/>
  <c r="C44" i="22"/>
  <c r="D9" i="22"/>
  <c r="D62" i="22"/>
  <c r="AB62" i="22" s="1"/>
  <c r="D47" i="22"/>
  <c r="AB47" i="22" s="1"/>
  <c r="D45" i="22"/>
  <c r="AB45" i="22" s="1"/>
  <c r="D44" i="22"/>
  <c r="D57" i="22"/>
  <c r="D75" i="22"/>
  <c r="AB75" i="22" s="1"/>
  <c r="C85" i="22"/>
  <c r="BH72" i="22"/>
  <c r="BH62" i="22"/>
  <c r="G81" i="22"/>
  <c r="F69" i="22"/>
  <c r="C56" i="22"/>
  <c r="F85" i="22"/>
  <c r="G72" i="22"/>
  <c r="F60" i="22"/>
  <c r="E60" i="22" s="1"/>
  <c r="F77" i="22"/>
  <c r="C73" i="22"/>
  <c r="BH69" i="22"/>
  <c r="C54" i="22"/>
  <c r="BH40" i="22"/>
  <c r="G41" i="22"/>
  <c r="C37" i="22"/>
  <c r="C27" i="22"/>
  <c r="BH36" i="22"/>
  <c r="BH51" i="22"/>
  <c r="C48" i="22"/>
  <c r="F27" i="22"/>
  <c r="BH19" i="22"/>
  <c r="BH24" i="22"/>
  <c r="G17" i="22"/>
  <c r="F21" i="22"/>
  <c r="C15" i="22"/>
  <c r="F16" i="22"/>
  <c r="D46" i="22"/>
  <c r="AB46" i="22" s="1"/>
  <c r="F71" i="22"/>
  <c r="F48" i="22"/>
  <c r="G32" i="22"/>
  <c r="D81" i="22"/>
  <c r="BH66" i="22"/>
  <c r="G27" i="22"/>
  <c r="D85" i="22"/>
  <c r="G77" i="22"/>
  <c r="BH25" i="22"/>
  <c r="D14" i="22"/>
  <c r="D66" i="22"/>
  <c r="D51" i="22"/>
  <c r="AB51" i="22" s="1"/>
  <c r="D53" i="22"/>
  <c r="D48" i="22"/>
  <c r="AB48" i="22" s="1"/>
  <c r="D65" i="22"/>
  <c r="D79" i="22"/>
  <c r="AB79" i="22" s="1"/>
  <c r="C84" i="22"/>
  <c r="G71" i="22"/>
  <c r="C62" i="22"/>
  <c r="C79" i="22"/>
  <c r="BH68" i="22"/>
  <c r="G55" i="22"/>
  <c r="F84" i="22"/>
  <c r="C70" i="22"/>
  <c r="G59" i="22"/>
  <c r="BH71" i="22"/>
  <c r="G61" i="22"/>
  <c r="BH58" i="22"/>
  <c r="F51" i="22"/>
  <c r="G37" i="22"/>
  <c r="C40" i="22"/>
  <c r="C36" i="22"/>
  <c r="F26" i="22"/>
  <c r="C35" i="22"/>
  <c r="BH45" i="22"/>
  <c r="C46" i="22"/>
  <c r="BH26" i="22"/>
  <c r="BH17" i="22"/>
  <c r="BH22" i="22"/>
  <c r="G16" i="22"/>
  <c r="F19" i="22"/>
  <c r="C11" i="22"/>
  <c r="C12" i="22"/>
  <c r="D31" i="22"/>
  <c r="F86" i="22"/>
  <c r="C58" i="22"/>
  <c r="F25" i="22"/>
  <c r="D32" i="22"/>
  <c r="BH84" i="22"/>
  <c r="BH30" i="22"/>
  <c r="D54" i="22"/>
  <c r="G74" i="22"/>
  <c r="G45" i="22"/>
  <c r="D18" i="22"/>
  <c r="D73" i="22"/>
  <c r="D55" i="22"/>
  <c r="D61" i="22"/>
  <c r="AB61" i="22" s="1"/>
  <c r="D52" i="22"/>
  <c r="AB52" i="22" s="1"/>
  <c r="D71" i="22"/>
  <c r="AB71" i="22" s="1"/>
  <c r="D78" i="22"/>
  <c r="AB78" i="22" s="1"/>
  <c r="F83" i="22"/>
  <c r="F70" i="22"/>
  <c r="F61" i="22"/>
  <c r="E61" i="22" s="1"/>
  <c r="BH77" i="22"/>
  <c r="G66" i="22"/>
  <c r="G88" i="22"/>
  <c r="BH83" i="22"/>
  <c r="F74" i="22"/>
  <c r="BH57" i="22"/>
  <c r="G70" i="22"/>
  <c r="BH59" i="22"/>
  <c r="F53" i="22"/>
  <c r="F50" i="22"/>
  <c r="F36" i="22"/>
  <c r="G39" i="22"/>
  <c r="F35" i="22"/>
  <c r="G52" i="22"/>
  <c r="G34" i="22"/>
  <c r="F41" i="22"/>
  <c r="G44" i="22"/>
  <c r="C26" i="22"/>
  <c r="BH11" i="22"/>
  <c r="BH16" i="22"/>
  <c r="G15" i="22"/>
  <c r="F17" i="22"/>
  <c r="BH13" i="22"/>
  <c r="D77" i="22"/>
  <c r="AB77" i="22" s="1"/>
  <c r="BH85" i="22"/>
  <c r="F45" i="22"/>
  <c r="E45" i="22" s="1"/>
  <c r="C17" i="22"/>
  <c r="BH70" i="22"/>
  <c r="G47" i="22"/>
  <c r="F24" i="22"/>
  <c r="D36" i="22"/>
  <c r="G80" i="22"/>
  <c r="C53" i="22"/>
  <c r="D22" i="22"/>
  <c r="D72" i="22"/>
  <c r="D59" i="22"/>
  <c r="AB59" i="22" s="1"/>
  <c r="D69" i="22"/>
  <c r="D56" i="22"/>
  <c r="D76" i="22"/>
  <c r="AB76" i="22" s="1"/>
  <c r="D82" i="22"/>
  <c r="BH82" i="22"/>
  <c r="BH74" i="22"/>
  <c r="BH60" i="22"/>
  <c r="C77" i="22"/>
  <c r="C66" i="22"/>
  <c r="BH86" i="22"/>
  <c r="C83" i="22"/>
  <c r="C68" i="22"/>
  <c r="G57" i="22"/>
  <c r="BH73" i="22"/>
  <c r="C76" i="22"/>
  <c r="BH52" i="22"/>
  <c r="G49" i="22"/>
  <c r="BH35" i="22"/>
  <c r="C39" i="22"/>
  <c r="BH34" i="22"/>
  <c r="F47" i="22"/>
  <c r="BH32" i="22"/>
  <c r="F40" i="22"/>
  <c r="G40" i="22"/>
  <c r="G25" i="22"/>
  <c r="G14" i="22"/>
  <c r="D28" i="22"/>
  <c r="C64" i="22"/>
  <c r="C32" i="22"/>
  <c r="C65" i="22"/>
  <c r="G43" i="22"/>
  <c r="G22" i="22"/>
  <c r="D39" i="22"/>
  <c r="F57" i="22"/>
  <c r="F23" i="22"/>
  <c r="D26" i="22"/>
  <c r="D15" i="22"/>
  <c r="D63" i="22"/>
  <c r="AB63" i="22" s="1"/>
  <c r="D12" i="22"/>
  <c r="D60" i="22"/>
  <c r="AB60" i="22" s="1"/>
  <c r="D80" i="22"/>
  <c r="AB80" i="22" s="1"/>
  <c r="D86" i="22"/>
  <c r="C82" i="22"/>
  <c r="C74" i="22"/>
  <c r="C60" i="22"/>
  <c r="F76" i="22"/>
  <c r="G65" i="22"/>
  <c r="G83" i="22"/>
  <c r="F82" i="22"/>
  <c r="BH67" i="22"/>
  <c r="C57" i="22"/>
  <c r="C69" i="22"/>
  <c r="BH65" i="22"/>
  <c r="F52" i="22"/>
  <c r="BH48" i="22"/>
  <c r="F54" i="22"/>
  <c r="G38" i="22"/>
  <c r="F32" i="22"/>
  <c r="F44" i="22"/>
  <c r="G30" i="22"/>
  <c r="G35" i="22"/>
  <c r="BH39" i="22"/>
  <c r="F39" i="22"/>
  <c r="BH9" i="22"/>
  <c r="F15" i="22"/>
  <c r="C14" i="22"/>
  <c r="BH33" i="22"/>
  <c r="G36" i="22"/>
  <c r="BH15" i="22"/>
  <c r="F13" i="22"/>
  <c r="D17" i="22"/>
  <c r="BH53" i="22"/>
  <c r="G23" i="22"/>
  <c r="F78" i="22"/>
  <c r="BH78" i="22"/>
  <c r="G29" i="22"/>
  <c r="BH14" i="22"/>
  <c r="D33" i="22"/>
  <c r="F58" i="22"/>
  <c r="C29" i="22"/>
  <c r="G11" i="22"/>
  <c r="D30" i="22"/>
  <c r="D19" i="22"/>
  <c r="D67" i="22"/>
  <c r="D16" i="22"/>
  <c r="D64" i="22"/>
  <c r="AB64" i="22" s="1"/>
  <c r="D84" i="22"/>
  <c r="D87" i="22"/>
  <c r="BH81" i="22"/>
  <c r="G73" i="22"/>
  <c r="G58" i="22"/>
  <c r="BH75" i="22"/>
  <c r="BH64" i="22"/>
  <c r="F79" i="22"/>
  <c r="F81" i="22"/>
  <c r="C67" i="22"/>
  <c r="G56" i="22"/>
  <c r="G67" i="22"/>
  <c r="G63" i="22"/>
  <c r="G51" i="22"/>
  <c r="C47" i="22"/>
  <c r="C52" i="22"/>
  <c r="C38" i="22"/>
  <c r="BH31" i="22"/>
  <c r="G53" i="22"/>
  <c r="F29" i="22"/>
  <c r="F34" i="22"/>
  <c r="C9" i="22"/>
  <c r="F14" i="22"/>
  <c r="BH79" i="22"/>
  <c r="F49" i="22"/>
  <c r="G13" i="22"/>
  <c r="C59" i="22"/>
  <c r="C21" i="22"/>
  <c r="G86" i="22"/>
  <c r="BH41" i="22"/>
  <c r="G21" i="22"/>
  <c r="D34" i="22"/>
  <c r="D23" i="22"/>
  <c r="D74" i="22"/>
  <c r="D20" i="22"/>
  <c r="D68" i="22"/>
  <c r="D88" i="22"/>
  <c r="AB88" i="22" s="1"/>
  <c r="C81" i="22"/>
  <c r="G69" i="22"/>
  <c r="C55" i="22"/>
  <c r="F75" i="22"/>
  <c r="BH63" i="22"/>
  <c r="C78" i="22"/>
  <c r="BH80" i="22"/>
  <c r="F66" i="22"/>
  <c r="F55" i="22"/>
  <c r="G64" i="22"/>
  <c r="F59" i="22"/>
  <c r="G50" i="22"/>
  <c r="F46" i="22"/>
  <c r="BH50" i="22"/>
  <c r="BH37" i="22"/>
  <c r="F31" i="22"/>
  <c r="G48" i="22"/>
  <c r="BH28" i="22"/>
  <c r="G31" i="22"/>
  <c r="G33" i="22"/>
  <c r="C34" i="22"/>
  <c r="C24" i="22"/>
  <c r="G9" i="22"/>
  <c r="BH23" i="22"/>
  <c r="F12" i="22"/>
  <c r="F67" i="22"/>
  <c r="G68" i="22"/>
  <c r="C28" i="22"/>
  <c r="D29" i="22"/>
  <c r="F56" i="22"/>
  <c r="BH54" i="22"/>
  <c r="G84" i="22"/>
  <c r="G46" i="22"/>
  <c r="C19" i="22"/>
  <c r="D38" i="22"/>
  <c r="D27" i="22"/>
  <c r="D13" i="22"/>
  <c r="D24" i="22"/>
  <c r="D70" i="22"/>
  <c r="AB70" i="22" s="1"/>
  <c r="D83" i="22"/>
  <c r="F88" i="22"/>
  <c r="F80" i="22"/>
  <c r="F68" i="22"/>
  <c r="G87" i="22"/>
  <c r="C72" i="22"/>
  <c r="G62" i="22"/>
  <c r="C80" i="22"/>
  <c r="F65" i="22"/>
  <c r="BH61" i="22"/>
  <c r="C75" i="22"/>
  <c r="C49" i="22"/>
  <c r="C45" i="22"/>
  <c r="BH49" i="22"/>
  <c r="F37" i="22"/>
  <c r="C30" i="22"/>
  <c r="BH47" i="22"/>
  <c r="G28" i="22"/>
  <c r="G26" i="22"/>
  <c r="C33" i="22"/>
  <c r="F33" i="22"/>
  <c r="C23" i="22"/>
  <c r="G24" i="22"/>
  <c r="F11" i="22"/>
  <c r="BH87" i="22"/>
  <c r="G79" i="22"/>
  <c r="BH29" i="22"/>
  <c r="F9" i="22"/>
  <c r="G85" i="22"/>
  <c r="BH46" i="22"/>
  <c r="C31" i="22"/>
  <c r="G76" i="22"/>
  <c r="F62" i="22"/>
  <c r="C43" i="22"/>
  <c r="D50" i="22"/>
  <c r="AB50" i="22" s="1"/>
  <c r="D35" i="22"/>
  <c r="D25" i="22"/>
  <c r="BH88" i="22"/>
  <c r="C51" i="22"/>
  <c r="G12" i="22"/>
  <c r="F64" i="22"/>
  <c r="F72" i="22"/>
  <c r="F30" i="22"/>
  <c r="L128" i="22"/>
  <c r="N128" i="22"/>
  <c r="N146" i="22"/>
  <c r="L146" i="22"/>
  <c r="AR146" i="22"/>
  <c r="N120" i="22"/>
  <c r="L120" i="22"/>
  <c r="AR120" i="22"/>
  <c r="N135" i="22"/>
  <c r="L135" i="22"/>
  <c r="BK112" i="22"/>
  <c r="BL112" i="22"/>
  <c r="BJ112" i="22"/>
  <c r="BI112" i="22"/>
  <c r="BM112" i="22"/>
  <c r="BO112" i="22"/>
  <c r="BN112" i="22"/>
  <c r="BN137" i="22"/>
  <c r="BI137" i="22"/>
  <c r="BM137" i="22"/>
  <c r="BJ137" i="22"/>
  <c r="BL137" i="22"/>
  <c r="BO137" i="22"/>
  <c r="BK137" i="22"/>
  <c r="AV145" i="22"/>
  <c r="AT145" i="22"/>
  <c r="O145" i="22"/>
  <c r="W145" i="22" s="1"/>
  <c r="L122" i="22"/>
  <c r="AR122" i="22"/>
  <c r="N122" i="22"/>
  <c r="BL134" i="22"/>
  <c r="BJ134" i="22"/>
  <c r="BO134" i="22"/>
  <c r="BN134" i="22"/>
  <c r="BK134" i="22"/>
  <c r="BM134" i="22"/>
  <c r="BI134" i="22"/>
  <c r="BO146" i="22"/>
  <c r="BN146" i="22"/>
  <c r="BM146" i="22"/>
  <c r="BL146" i="22"/>
  <c r="BK146" i="22"/>
  <c r="BJ146" i="22"/>
  <c r="BI146" i="22"/>
  <c r="N112" i="22"/>
  <c r="L112" i="22"/>
  <c r="AR112" i="22" s="1"/>
  <c r="N113" i="22"/>
  <c r="L113" i="22"/>
  <c r="AR113" i="22"/>
  <c r="N126" i="22"/>
  <c r="L126" i="22"/>
  <c r="L129" i="22"/>
  <c r="N129" i="22"/>
  <c r="BI115" i="22"/>
  <c r="BO115" i="22"/>
  <c r="BM115" i="22"/>
  <c r="BL115" i="22"/>
  <c r="BK115" i="22"/>
  <c r="BJ115" i="22"/>
  <c r="BN115" i="22"/>
  <c r="BN124" i="22"/>
  <c r="BI124" i="22"/>
  <c r="BO124" i="22"/>
  <c r="BL124" i="22"/>
  <c r="BJ124" i="22"/>
  <c r="BK124" i="22"/>
  <c r="BM124" i="22"/>
  <c r="BM141" i="22"/>
  <c r="BO141" i="22"/>
  <c r="BN141" i="22"/>
  <c r="BK141" i="22"/>
  <c r="BI141" i="22"/>
  <c r="BJ141" i="22"/>
  <c r="BL141" i="22"/>
  <c r="BO143" i="22"/>
  <c r="BN143" i="22"/>
  <c r="BM143" i="22"/>
  <c r="BL143" i="22"/>
  <c r="BK143" i="22"/>
  <c r="BJ143" i="22"/>
  <c r="BI143" i="22"/>
  <c r="N111" i="22"/>
  <c r="L111" i="22"/>
  <c r="N115" i="22"/>
  <c r="L115" i="22"/>
  <c r="AR115" i="22"/>
  <c r="N121" i="22"/>
  <c r="L121" i="22"/>
  <c r="AV121" i="22" s="1"/>
  <c r="AR121" i="22"/>
  <c r="N124" i="22"/>
  <c r="L124" i="22"/>
  <c r="AR124" i="22"/>
  <c r="L127" i="22"/>
  <c r="N127" i="22"/>
  <c r="L141" i="22"/>
  <c r="N141" i="22"/>
  <c r="N136" i="22"/>
  <c r="L136" i="22"/>
  <c r="BM118" i="22"/>
  <c r="BL118" i="22"/>
  <c r="BK118" i="22"/>
  <c r="BJ118" i="22"/>
  <c r="BI118" i="22"/>
  <c r="BN118" i="22"/>
  <c r="BO118" i="22"/>
  <c r="N137" i="22"/>
  <c r="L137" i="22"/>
  <c r="BO148" i="22"/>
  <c r="BN148" i="22"/>
  <c r="BM148" i="22"/>
  <c r="BL148" i="22"/>
  <c r="BK148" i="22"/>
  <c r="BJ148" i="22"/>
  <c r="BI148" i="22"/>
  <c r="AR123" i="22"/>
  <c r="N123" i="22"/>
  <c r="L123" i="22"/>
  <c r="L138" i="22"/>
  <c r="N138" i="22"/>
  <c r="AR138" i="22"/>
  <c r="AR148" i="22"/>
  <c r="N148" i="22"/>
  <c r="L148" i="22"/>
  <c r="BO111" i="22"/>
  <c r="BM111" i="22"/>
  <c r="BL111" i="22"/>
  <c r="BN111" i="22"/>
  <c r="BJ111" i="22"/>
  <c r="BI111" i="22"/>
  <c r="BK111" i="22"/>
  <c r="BL121" i="22"/>
  <c r="BI121" i="22"/>
  <c r="BJ121" i="22"/>
  <c r="BM121" i="22"/>
  <c r="BN121" i="22"/>
  <c r="BK121" i="22"/>
  <c r="BO121" i="22"/>
  <c r="BN127" i="22"/>
  <c r="BM127" i="22"/>
  <c r="BL127" i="22"/>
  <c r="BK127" i="22"/>
  <c r="BI127" i="22"/>
  <c r="BJ127" i="22"/>
  <c r="BO127" i="22"/>
  <c r="BO136" i="22"/>
  <c r="BI136" i="22"/>
  <c r="BN136" i="22"/>
  <c r="BM136" i="22"/>
  <c r="BJ136" i="22"/>
  <c r="BL136" i="22"/>
  <c r="BK136" i="22"/>
  <c r="BK149" i="22"/>
  <c r="BJ149" i="22"/>
  <c r="BI149" i="22"/>
  <c r="BO149" i="22"/>
  <c r="BN149" i="22"/>
  <c r="BM149" i="22"/>
  <c r="BL149" i="22"/>
  <c r="AR143" i="22"/>
  <c r="N143" i="22"/>
  <c r="L143" i="22"/>
  <c r="L149" i="22"/>
  <c r="AR149" i="22"/>
  <c r="N149" i="22"/>
  <c r="F20" i="22"/>
  <c r="G20" i="22"/>
  <c r="C20" i="22"/>
  <c r="BH20" i="22"/>
  <c r="F18" i="22"/>
  <c r="C18" i="22"/>
  <c r="G18" i="22"/>
  <c r="BH18" i="22"/>
  <c r="P202" i="22"/>
  <c r="BH202" i="22"/>
  <c r="D202" i="22"/>
  <c r="C202" i="22"/>
  <c r="BH203" i="22"/>
  <c r="C203" i="22"/>
  <c r="P203" i="22"/>
  <c r="D203" i="22"/>
  <c r="CR203" i="22" s="1"/>
  <c r="D204" i="22"/>
  <c r="CR204" i="22" s="1"/>
  <c r="C204" i="22"/>
  <c r="P204" i="22"/>
  <c r="BH204" i="22"/>
  <c r="D206" i="22"/>
  <c r="CR206" i="22" s="1"/>
  <c r="BH206" i="22"/>
  <c r="C206" i="22"/>
  <c r="P206" i="22"/>
  <c r="U149" i="20"/>
  <c r="K76" i="20"/>
  <c r="DI76" i="20" s="1"/>
  <c r="CU183" i="20"/>
  <c r="CV183" i="20" s="1"/>
  <c r="U113" i="20"/>
  <c r="U25" i="20"/>
  <c r="U28" i="20"/>
  <c r="U30" i="20"/>
  <c r="DA145" i="20"/>
  <c r="DR159" i="20"/>
  <c r="CL13" i="20"/>
  <c r="AI48" i="20"/>
  <c r="DA50" i="20"/>
  <c r="U71" i="20"/>
  <c r="BO87" i="20"/>
  <c r="DA142" i="20"/>
  <c r="AE158" i="20"/>
  <c r="U13" i="20"/>
  <c r="E1986" i="19"/>
  <c r="E1991" i="19" s="1"/>
  <c r="K1991" i="19" s="1"/>
  <c r="K1993" i="19" s="1"/>
  <c r="D1989" i="19" s="1"/>
  <c r="U51" i="20"/>
  <c r="U55" i="20"/>
  <c r="U58" i="20"/>
  <c r="U66" i="20"/>
  <c r="U68" i="20"/>
  <c r="U150" i="20"/>
  <c r="U169" i="20"/>
  <c r="U191" i="20"/>
  <c r="DA52" i="20"/>
  <c r="CM60" i="20"/>
  <c r="BP86" i="20"/>
  <c r="AD86" i="20"/>
  <c r="U88" i="20"/>
  <c r="AF111" i="20"/>
  <c r="U162" i="20"/>
  <c r="BN178" i="20"/>
  <c r="CL179" i="20"/>
  <c r="K187" i="20"/>
  <c r="DH187" i="20" s="1"/>
  <c r="U44" i="20"/>
  <c r="U48" i="20"/>
  <c r="U62" i="20"/>
  <c r="T69" i="20"/>
  <c r="AE71" i="20"/>
  <c r="U85" i="20"/>
  <c r="AB100" i="20"/>
  <c r="E3107" i="19"/>
  <c r="E3112" i="19" s="1"/>
  <c r="K3112" i="19" s="1"/>
  <c r="K3114" i="19" s="1"/>
  <c r="D3110" i="19" s="1"/>
  <c r="U103" i="20"/>
  <c r="U105" i="20"/>
  <c r="U115" i="20"/>
  <c r="U144" i="20"/>
  <c r="U148" i="20"/>
  <c r="U152" i="20"/>
  <c r="U159" i="20"/>
  <c r="T163" i="20"/>
  <c r="H163" i="20" s="1"/>
  <c r="DA10" i="20"/>
  <c r="U10" i="20"/>
  <c r="BR25" i="20"/>
  <c r="AI107" i="20"/>
  <c r="T109" i="20"/>
  <c r="AI145" i="20"/>
  <c r="BQ160" i="20"/>
  <c r="BS160" i="20" s="1"/>
  <c r="CN179" i="20"/>
  <c r="CL182" i="20"/>
  <c r="CL183" i="20"/>
  <c r="CL184" i="20"/>
  <c r="U15" i="20"/>
  <c r="K25" i="20"/>
  <c r="AV25" i="20" s="1"/>
  <c r="CN25" i="20"/>
  <c r="U26" i="20"/>
  <c r="DA46" i="20"/>
  <c r="U49" i="20"/>
  <c r="BO61" i="20"/>
  <c r="U63" i="20"/>
  <c r="U73" i="20"/>
  <c r="U75" i="20"/>
  <c r="U80" i="20"/>
  <c r="U83" i="20"/>
  <c r="AB141" i="20"/>
  <c r="E4260" i="19"/>
  <c r="E4270" i="19" s="1"/>
  <c r="K4270" i="19" s="1"/>
  <c r="U145" i="20"/>
  <c r="BN147" i="20"/>
  <c r="AG161" i="20"/>
  <c r="U163" i="20"/>
  <c r="U168" i="20"/>
  <c r="CQ179" i="20"/>
  <c r="BT186" i="20"/>
  <c r="BU186" i="20" s="1"/>
  <c r="U16" i="20"/>
  <c r="U20" i="20"/>
  <c r="U24" i="20"/>
  <c r="BX30" i="20"/>
  <c r="CA30" i="20" s="1"/>
  <c r="U47" i="20"/>
  <c r="U50" i="20"/>
  <c r="U61" i="20"/>
  <c r="AG62" i="20"/>
  <c r="U81" i="20"/>
  <c r="U84" i="20"/>
  <c r="AG85" i="20"/>
  <c r="U100" i="20"/>
  <c r="U109" i="20"/>
  <c r="U111" i="20"/>
  <c r="U143" i="20"/>
  <c r="AC144" i="20"/>
  <c r="AH146" i="20"/>
  <c r="U151" i="20"/>
  <c r="U161" i="20"/>
  <c r="U167" i="20"/>
  <c r="U172" i="20"/>
  <c r="U176" i="20"/>
  <c r="BQ176" i="20"/>
  <c r="BS176" i="20" s="1"/>
  <c r="CR187" i="20"/>
  <c r="U189" i="20"/>
  <c r="P94" i="18"/>
  <c r="G3785" i="19"/>
  <c r="G3842" i="19" s="1"/>
  <c r="O3842" i="19" s="1"/>
  <c r="N5376" i="19"/>
  <c r="N5433" i="19" s="1"/>
  <c r="K5433" i="19" s="1"/>
  <c r="N3887" i="19"/>
  <c r="N3890" i="19"/>
  <c r="N3893" i="19"/>
  <c r="G46" i="21"/>
  <c r="I46" i="21" s="1"/>
  <c r="P11" i="22"/>
  <c r="M1471" i="19"/>
  <c r="D1468" i="19" s="1"/>
  <c r="K3000" i="19"/>
  <c r="O3000" i="19" s="1"/>
  <c r="C287" i="22"/>
  <c r="G287" i="22"/>
  <c r="BH287" i="22"/>
  <c r="D287" i="22"/>
  <c r="CR287" i="22" s="1"/>
  <c r="F287" i="22"/>
  <c r="F304" i="22"/>
  <c r="D304" i="22"/>
  <c r="C304" i="22"/>
  <c r="G304" i="22"/>
  <c r="BH304" i="22"/>
  <c r="C261" i="22"/>
  <c r="G261" i="22"/>
  <c r="BH261" i="22"/>
  <c r="F261" i="22"/>
  <c r="D261" i="22"/>
  <c r="G285" i="22"/>
  <c r="BH285" i="22"/>
  <c r="F285" i="22"/>
  <c r="D285" i="22"/>
  <c r="CR285" i="22" s="1"/>
  <c r="C285" i="22"/>
  <c r="G309" i="22"/>
  <c r="C309" i="22"/>
  <c r="BH309" i="22"/>
  <c r="D309" i="22"/>
  <c r="CR309" i="22" s="1"/>
  <c r="F309" i="22"/>
  <c r="F264" i="22"/>
  <c r="D264" i="22"/>
  <c r="CR264" i="22" s="1"/>
  <c r="C264" i="22"/>
  <c r="G264" i="22"/>
  <c r="BH264" i="22"/>
  <c r="BH271" i="22"/>
  <c r="F271" i="22"/>
  <c r="D271" i="22"/>
  <c r="CR271" i="22" s="1"/>
  <c r="C271" i="22"/>
  <c r="G271" i="22"/>
  <c r="BH283" i="22"/>
  <c r="C283" i="22"/>
  <c r="F283" i="22"/>
  <c r="D283" i="22"/>
  <c r="CR283" i="22" s="1"/>
  <c r="G283" i="22"/>
  <c r="BH295" i="22"/>
  <c r="F295" i="22"/>
  <c r="D295" i="22"/>
  <c r="CR295" i="22" s="1"/>
  <c r="C295" i="22"/>
  <c r="G295" i="22"/>
  <c r="BH307" i="22"/>
  <c r="C307" i="22"/>
  <c r="G307" i="22"/>
  <c r="F307" i="22"/>
  <c r="D307" i="22"/>
  <c r="CR307" i="22" s="1"/>
  <c r="CF9" i="22"/>
  <c r="G202" i="22"/>
  <c r="F202" i="22"/>
  <c r="C275" i="22"/>
  <c r="G275" i="22"/>
  <c r="BH275" i="22"/>
  <c r="D275" i="22"/>
  <c r="CR275" i="22" s="1"/>
  <c r="F275" i="22"/>
  <c r="C299" i="22"/>
  <c r="G299" i="22"/>
  <c r="F299" i="22"/>
  <c r="BH299" i="22"/>
  <c r="D299" i="22"/>
  <c r="CR299" i="22" s="1"/>
  <c r="D280" i="22"/>
  <c r="F280" i="22"/>
  <c r="C280" i="22"/>
  <c r="G280" i="22"/>
  <c r="BH280" i="22"/>
  <c r="G312" i="22"/>
  <c r="BH312" i="22"/>
  <c r="D312" i="22"/>
  <c r="CR312" i="22" s="1"/>
  <c r="F312" i="22"/>
  <c r="C312" i="22"/>
  <c r="G320" i="22"/>
  <c r="D320" i="22"/>
  <c r="CR320" i="22" s="1"/>
  <c r="C320" i="22"/>
  <c r="BH320" i="22"/>
  <c r="F320" i="22"/>
  <c r="BH326" i="22"/>
  <c r="D326" i="22"/>
  <c r="CR326" i="22" s="1"/>
  <c r="F326" i="22"/>
  <c r="C326" i="22"/>
  <c r="G326" i="22"/>
  <c r="BH328" i="22"/>
  <c r="G328" i="22"/>
  <c r="D328" i="22"/>
  <c r="F328" i="22"/>
  <c r="C328" i="22"/>
  <c r="C278" i="22"/>
  <c r="F278" i="22"/>
  <c r="D278" i="22"/>
  <c r="G278" i="22"/>
  <c r="BH278" i="22"/>
  <c r="F276" i="22"/>
  <c r="D276" i="22"/>
  <c r="CR276" i="22" s="1"/>
  <c r="G276" i="22"/>
  <c r="C276" i="22"/>
  <c r="BH276" i="22"/>
  <c r="F300" i="22"/>
  <c r="D300" i="22"/>
  <c r="CR300" i="22" s="1"/>
  <c r="C300" i="22"/>
  <c r="G300" i="22"/>
  <c r="BH300" i="22"/>
  <c r="C262" i="22"/>
  <c r="G262" i="22"/>
  <c r="BH262" i="22"/>
  <c r="F262" i="22"/>
  <c r="D262" i="22"/>
  <c r="CR262" i="22" s="1"/>
  <c r="K3015" i="19"/>
  <c r="K3031" i="19" s="1"/>
  <c r="F267" i="22"/>
  <c r="D267" i="22"/>
  <c r="CR267" i="22" s="1"/>
  <c r="C267" i="22"/>
  <c r="G267" i="22"/>
  <c r="BH267" i="22"/>
  <c r="C274" i="22"/>
  <c r="G274" i="22"/>
  <c r="BH274" i="22"/>
  <c r="F274" i="22"/>
  <c r="D274" i="22"/>
  <c r="CR274" i="22" s="1"/>
  <c r="C286" i="22"/>
  <c r="G286" i="22"/>
  <c r="BH286" i="22"/>
  <c r="F286" i="22"/>
  <c r="D286" i="22"/>
  <c r="CR286" i="22" s="1"/>
  <c r="C298" i="22"/>
  <c r="G298" i="22"/>
  <c r="BH298" i="22"/>
  <c r="F298" i="22"/>
  <c r="D298" i="22"/>
  <c r="CR298" i="22" s="1"/>
  <c r="C310" i="22"/>
  <c r="G310" i="22"/>
  <c r="BH310" i="22"/>
  <c r="F310" i="22"/>
  <c r="D310" i="22"/>
  <c r="CR310" i="22" s="1"/>
  <c r="G297" i="22"/>
  <c r="BH297" i="22"/>
  <c r="C297" i="22"/>
  <c r="D297" i="22"/>
  <c r="CR297" i="22" s="1"/>
  <c r="F297" i="22"/>
  <c r="BH314" i="22"/>
  <c r="D314" i="22"/>
  <c r="F314" i="22"/>
  <c r="C314" i="22"/>
  <c r="G314" i="22"/>
  <c r="BH324" i="22"/>
  <c r="D324" i="22"/>
  <c r="CR324" i="22" s="1"/>
  <c r="F324" i="22"/>
  <c r="C324" i="22"/>
  <c r="G324" i="22"/>
  <c r="F290" i="22"/>
  <c r="D290" i="22"/>
  <c r="C290" i="22"/>
  <c r="G290" i="22"/>
  <c r="BH290" i="22"/>
  <c r="F293" i="22"/>
  <c r="D293" i="22"/>
  <c r="CR293" i="22" s="1"/>
  <c r="C293" i="22"/>
  <c r="G293" i="22"/>
  <c r="BH293" i="22"/>
  <c r="F279" i="22"/>
  <c r="D279" i="22"/>
  <c r="C279" i="22"/>
  <c r="G279" i="22"/>
  <c r="BH279" i="22"/>
  <c r="F291" i="22"/>
  <c r="D291" i="22"/>
  <c r="CR291" i="22" s="1"/>
  <c r="C291" i="22"/>
  <c r="G291" i="22"/>
  <c r="BH291" i="22"/>
  <c r="F303" i="22"/>
  <c r="D303" i="22"/>
  <c r="CR303" i="22" s="1"/>
  <c r="C303" i="22"/>
  <c r="G303" i="22"/>
  <c r="BH303" i="22"/>
  <c r="BH315" i="22"/>
  <c r="D315" i="22"/>
  <c r="F315" i="22"/>
  <c r="C315" i="22"/>
  <c r="G315" i="22"/>
  <c r="G317" i="22"/>
  <c r="BH317" i="22"/>
  <c r="D317" i="22"/>
  <c r="CR317" i="22" s="1"/>
  <c r="F317" i="22"/>
  <c r="C317" i="22"/>
  <c r="G319" i="22"/>
  <c r="BH319" i="22"/>
  <c r="D319" i="22"/>
  <c r="CR319" i="22" s="1"/>
  <c r="F319" i="22"/>
  <c r="C319" i="22"/>
  <c r="F321" i="22"/>
  <c r="C321" i="22"/>
  <c r="G321" i="22"/>
  <c r="BH321" i="22"/>
  <c r="D321" i="22"/>
  <c r="D323" i="22"/>
  <c r="F323" i="22"/>
  <c r="C323" i="22"/>
  <c r="G323" i="22"/>
  <c r="BH323" i="22"/>
  <c r="BH325" i="22"/>
  <c r="C325" i="22"/>
  <c r="D325" i="22"/>
  <c r="CR325" i="22" s="1"/>
  <c r="F325" i="22"/>
  <c r="G325" i="22"/>
  <c r="D327" i="22"/>
  <c r="CR327" i="22" s="1"/>
  <c r="BH327" i="22"/>
  <c r="F327" i="22"/>
  <c r="C327" i="22"/>
  <c r="G327" i="22"/>
  <c r="G329" i="22"/>
  <c r="BH329" i="22"/>
  <c r="D329" i="22"/>
  <c r="F329" i="22"/>
  <c r="C329" i="22"/>
  <c r="G331" i="22"/>
  <c r="BH331" i="22"/>
  <c r="D331" i="22"/>
  <c r="CR331" i="22" s="1"/>
  <c r="F331" i="22"/>
  <c r="C331" i="22"/>
  <c r="F333" i="22"/>
  <c r="C333" i="22"/>
  <c r="G333" i="22"/>
  <c r="BH333" i="22"/>
  <c r="D333" i="22"/>
  <c r="CR333" i="22" s="1"/>
  <c r="D268" i="22"/>
  <c r="CR268" i="22" s="1"/>
  <c r="F268" i="22"/>
  <c r="C268" i="22"/>
  <c r="G268" i="22"/>
  <c r="BH268" i="22"/>
  <c r="G330" i="22"/>
  <c r="BH330" i="22"/>
  <c r="D330" i="22"/>
  <c r="CR330" i="22" s="1"/>
  <c r="F330" i="22"/>
  <c r="C330" i="22"/>
  <c r="C302" i="22"/>
  <c r="F302" i="22"/>
  <c r="D302" i="22"/>
  <c r="G302" i="22"/>
  <c r="BH302" i="22"/>
  <c r="F203" i="22"/>
  <c r="G203" i="22"/>
  <c r="F288" i="22"/>
  <c r="D288" i="22"/>
  <c r="C288" i="22"/>
  <c r="G288" i="22"/>
  <c r="BH288" i="22"/>
  <c r="F281" i="22"/>
  <c r="D281" i="22"/>
  <c r="CR281" i="22" s="1"/>
  <c r="C281" i="22"/>
  <c r="G281" i="22"/>
  <c r="BH281" i="22"/>
  <c r="F305" i="22"/>
  <c r="D305" i="22"/>
  <c r="CR305" i="22" s="1"/>
  <c r="C305" i="22"/>
  <c r="G305" i="22"/>
  <c r="BH305" i="22"/>
  <c r="G272" i="22"/>
  <c r="BH272" i="22"/>
  <c r="F272" i="22"/>
  <c r="D272" i="22"/>
  <c r="CR272" i="22" s="1"/>
  <c r="C272" i="22"/>
  <c r="G284" i="22"/>
  <c r="BH284" i="22"/>
  <c r="F284" i="22"/>
  <c r="D284" i="22"/>
  <c r="CR284" i="22" s="1"/>
  <c r="C284" i="22"/>
  <c r="G296" i="22"/>
  <c r="BH296" i="22"/>
  <c r="F296" i="22"/>
  <c r="D296" i="22"/>
  <c r="CR296" i="22" s="1"/>
  <c r="C296" i="22"/>
  <c r="G308" i="22"/>
  <c r="BH308" i="22"/>
  <c r="F308" i="22"/>
  <c r="D308" i="22"/>
  <c r="CR308" i="22" s="1"/>
  <c r="C308" i="22"/>
  <c r="F292" i="22"/>
  <c r="D292" i="22"/>
  <c r="C292" i="22"/>
  <c r="G292" i="22"/>
  <c r="BH292" i="22"/>
  <c r="F266" i="22"/>
  <c r="D266" i="22"/>
  <c r="CR266" i="22" s="1"/>
  <c r="C266" i="22"/>
  <c r="G266" i="22"/>
  <c r="BH266" i="22"/>
  <c r="G316" i="22"/>
  <c r="BH316" i="22"/>
  <c r="D316" i="22"/>
  <c r="CR316" i="22" s="1"/>
  <c r="F316" i="22"/>
  <c r="C316" i="22"/>
  <c r="F334" i="22"/>
  <c r="C334" i="22"/>
  <c r="G334" i="22"/>
  <c r="D334" i="22"/>
  <c r="CR334" i="22" s="1"/>
  <c r="BH334" i="22"/>
  <c r="F265" i="22"/>
  <c r="D265" i="22"/>
  <c r="CR265" i="22" s="1"/>
  <c r="C265" i="22"/>
  <c r="G265" i="22"/>
  <c r="BH265" i="22"/>
  <c r="F204" i="22"/>
  <c r="G204" i="22"/>
  <c r="F277" i="22"/>
  <c r="D277" i="22"/>
  <c r="CR277" i="22" s="1"/>
  <c r="C277" i="22"/>
  <c r="G277" i="22"/>
  <c r="BH277" i="22"/>
  <c r="F289" i="22"/>
  <c r="D289" i="22"/>
  <c r="CR289" i="22" s="1"/>
  <c r="C289" i="22"/>
  <c r="G289" i="22"/>
  <c r="BH289" i="22"/>
  <c r="F301" i="22"/>
  <c r="D301" i="22"/>
  <c r="CR301" i="22" s="1"/>
  <c r="C301" i="22"/>
  <c r="G301" i="22"/>
  <c r="BH301" i="22"/>
  <c r="G273" i="22"/>
  <c r="BH273" i="22"/>
  <c r="C273" i="22"/>
  <c r="F273" i="22"/>
  <c r="D273" i="22"/>
  <c r="CR273" i="22" s="1"/>
  <c r="G318" i="22"/>
  <c r="BH318" i="22"/>
  <c r="D318" i="22"/>
  <c r="CR318" i="22" s="1"/>
  <c r="F318" i="22"/>
  <c r="C318" i="22"/>
  <c r="F322" i="22"/>
  <c r="C322" i="22"/>
  <c r="G322" i="22"/>
  <c r="D322" i="22"/>
  <c r="CR322" i="22" s="1"/>
  <c r="BH322" i="22"/>
  <c r="G332" i="22"/>
  <c r="F332" i="22"/>
  <c r="BH332" i="22"/>
  <c r="D332" i="22"/>
  <c r="CR332" i="22" s="1"/>
  <c r="C332" i="22"/>
  <c r="F206" i="22"/>
  <c r="G206" i="22"/>
  <c r="F269" i="22"/>
  <c r="D269" i="22"/>
  <c r="CR269" i="22" s="1"/>
  <c r="C269" i="22"/>
  <c r="G269" i="22"/>
  <c r="BH269" i="22"/>
  <c r="C263" i="22"/>
  <c r="G263" i="22"/>
  <c r="BH263" i="22"/>
  <c r="D263" i="22"/>
  <c r="F263" i="22"/>
  <c r="F270" i="22"/>
  <c r="D270" i="22"/>
  <c r="CR270" i="22" s="1"/>
  <c r="C270" i="22"/>
  <c r="BH270" i="22"/>
  <c r="G270" i="22"/>
  <c r="F282" i="22"/>
  <c r="D282" i="22"/>
  <c r="BH282" i="22"/>
  <c r="C282" i="22"/>
  <c r="G282" i="22"/>
  <c r="F294" i="22"/>
  <c r="D294" i="22"/>
  <c r="CR294" i="22" s="1"/>
  <c r="C294" i="22"/>
  <c r="G294" i="22"/>
  <c r="BH294" i="22"/>
  <c r="F306" i="22"/>
  <c r="D306" i="22"/>
  <c r="CR306" i="22" s="1"/>
  <c r="C306" i="22"/>
  <c r="G306" i="22"/>
  <c r="BH306" i="22"/>
  <c r="AC19" i="22"/>
  <c r="AE20" i="22"/>
  <c r="AE21" i="22"/>
  <c r="AC6" i="22"/>
  <c r="CA20" i="22"/>
  <c r="CM20" i="22" s="1"/>
  <c r="AD6" i="22"/>
  <c r="AE6" i="22"/>
  <c r="AC16" i="22"/>
  <c r="AC14" i="22"/>
  <c r="AC15" i="22"/>
  <c r="AD16" i="22"/>
  <c r="AC22" i="22"/>
  <c r="O477" i="19"/>
  <c r="N476" i="19"/>
  <c r="N475" i="19"/>
  <c r="O474" i="19"/>
  <c r="N473" i="19"/>
  <c r="O472" i="19"/>
  <c r="N471" i="19"/>
  <c r="O470" i="19"/>
  <c r="AD14" i="22"/>
  <c r="AD15" i="22"/>
  <c r="AE16" i="22"/>
  <c r="AD22" i="22"/>
  <c r="AE14" i="22"/>
  <c r="AE15" i="22"/>
  <c r="AE22" i="22"/>
  <c r="AC20" i="22"/>
  <c r="AC21" i="22"/>
  <c r="AD21" i="22"/>
  <c r="B318" i="19"/>
  <c r="C963" i="19"/>
  <c r="C2702" i="19"/>
  <c r="C1261" i="19"/>
  <c r="G49" i="21"/>
  <c r="I49" i="21" s="1"/>
  <c r="E521" i="19"/>
  <c r="C4063" i="19"/>
  <c r="AE203" i="22"/>
  <c r="AE206" i="22"/>
  <c r="AE200" i="22"/>
  <c r="CM200" i="22"/>
  <c r="CF200" i="22"/>
  <c r="AC200" i="22"/>
  <c r="AC206" i="22"/>
  <c r="AD200" i="22"/>
  <c r="CA203" i="22"/>
  <c r="AC203" i="22"/>
  <c r="AE263" i="22"/>
  <c r="AC262" i="22"/>
  <c r="AE270" i="22"/>
  <c r="CA264" i="22"/>
  <c r="CF264" i="22" s="1"/>
  <c r="AC289" i="22"/>
  <c r="AD315" i="22"/>
  <c r="AD316" i="22"/>
  <c r="AE315" i="22"/>
  <c r="AE316" i="22"/>
  <c r="AD323" i="22"/>
  <c r="CA315" i="22"/>
  <c r="CA316" i="22"/>
  <c r="AE326" i="22"/>
  <c r="AD324" i="22"/>
  <c r="AC317" i="22"/>
  <c r="AE324" i="22"/>
  <c r="AD317" i="22"/>
  <c r="AE317" i="22"/>
  <c r="AD327" i="22"/>
  <c r="AE327" i="22"/>
  <c r="CM280" i="22"/>
  <c r="CF280" i="22"/>
  <c r="CM281" i="22"/>
  <c r="CF281" i="22"/>
  <c r="AE262" i="22"/>
  <c r="CA276" i="22"/>
  <c r="CF276" i="22" s="1"/>
  <c r="CM285" i="22"/>
  <c r="AC288" i="22"/>
  <c r="AD289" i="22"/>
  <c r="CA291" i="22"/>
  <c r="AC306" i="22"/>
  <c r="AD269" i="22"/>
  <c r="CA271" i="22"/>
  <c r="AD288" i="22"/>
  <c r="CA290" i="22"/>
  <c r="CM290" i="22" s="1"/>
  <c r="AD306" i="22"/>
  <c r="CA263" i="22"/>
  <c r="CM263" i="22" s="1"/>
  <c r="AE269" i="22"/>
  <c r="CA270" i="22"/>
  <c r="CF270" i="22" s="1"/>
  <c r="AC280" i="22"/>
  <c r="AC281" i="22"/>
  <c r="AC287" i="22"/>
  <c r="AE288" i="22"/>
  <c r="AD303" i="22"/>
  <c r="AE306" i="22"/>
  <c r="AC266" i="22"/>
  <c r="AC278" i="22"/>
  <c r="AC279" i="22"/>
  <c r="AD280" i="22"/>
  <c r="AD281" i="22"/>
  <c r="AD287" i="22"/>
  <c r="CA262" i="22"/>
  <c r="AC265" i="22"/>
  <c r="AD266" i="22"/>
  <c r="AD278" i="22"/>
  <c r="AD279" i="22"/>
  <c r="AE280" i="22"/>
  <c r="AE281" i="22"/>
  <c r="AE287" i="22"/>
  <c r="AD265" i="22"/>
  <c r="AD277" i="22"/>
  <c r="AE278" i="22"/>
  <c r="AE279" i="22"/>
  <c r="AD286" i="22"/>
  <c r="AE265" i="22"/>
  <c r="AE277" i="22"/>
  <c r="AE286" i="22"/>
  <c r="AC291" i="22"/>
  <c r="AC292" i="22"/>
  <c r="AC264" i="22"/>
  <c r="AD291" i="22"/>
  <c r="AD292" i="22"/>
  <c r="AD264" i="22"/>
  <c r="AC271" i="22"/>
  <c r="AC276" i="22"/>
  <c r="AC290" i="22"/>
  <c r="AE292" i="22"/>
  <c r="AD271" i="22"/>
  <c r="CA274" i="22"/>
  <c r="CM274" i="22" s="1"/>
  <c r="CA286" i="22"/>
  <c r="CM286" i="22" s="1"/>
  <c r="AD290" i="22"/>
  <c r="CA277" i="22"/>
  <c r="CM277" i="22" s="1"/>
  <c r="N1640" i="19"/>
  <c r="N1644" i="19"/>
  <c r="O1644" i="19" s="1"/>
  <c r="O3759" i="19"/>
  <c r="C4492" i="19"/>
  <c r="C3551" i="19"/>
  <c r="F3627" i="19"/>
  <c r="C4368" i="19"/>
  <c r="B4672" i="19"/>
  <c r="C4725" i="19"/>
  <c r="B1032" i="19"/>
  <c r="B1827" i="19"/>
  <c r="C2529" i="19"/>
  <c r="E4272" i="19"/>
  <c r="K4272" i="19" s="1"/>
  <c r="C712" i="19"/>
  <c r="B3812" i="19"/>
  <c r="B3827" i="19" s="1"/>
  <c r="B3965" i="19" s="1"/>
  <c r="N1647" i="19"/>
  <c r="G47" i="21"/>
  <c r="I47" i="21" s="1"/>
  <c r="C2891" i="19"/>
  <c r="E3030" i="19"/>
  <c r="B3458" i="19"/>
  <c r="C3499" i="19"/>
  <c r="B3800" i="19"/>
  <c r="E4185" i="19"/>
  <c r="G16" i="21"/>
  <c r="I16" i="21" s="1"/>
  <c r="B1655" i="19"/>
  <c r="C1774" i="19"/>
  <c r="B3774" i="19"/>
  <c r="B3985" i="19"/>
  <c r="B2303" i="19"/>
  <c r="C3927" i="19"/>
  <c r="B2867" i="19"/>
  <c r="B810" i="19"/>
  <c r="B4992" i="19"/>
  <c r="B2273" i="19"/>
  <c r="C2483" i="19"/>
  <c r="B3166" i="19"/>
  <c r="B3425" i="19"/>
  <c r="C2260" i="19"/>
  <c r="C3296" i="19"/>
  <c r="B4310" i="19"/>
  <c r="C1578" i="19"/>
  <c r="B3680" i="19"/>
  <c r="C4177" i="19"/>
  <c r="AC109" i="22"/>
  <c r="C1817" i="19"/>
  <c r="B1847" i="19"/>
  <c r="C2547" i="19"/>
  <c r="B2821" i="19"/>
  <c r="B3810" i="19"/>
  <c r="B3948" i="19" s="1"/>
  <c r="C4231" i="19"/>
  <c r="B4633" i="19"/>
  <c r="C4935" i="19"/>
  <c r="B940" i="19"/>
  <c r="O1610" i="19"/>
  <c r="O1736" i="19" s="1"/>
  <c r="K1736" i="19" s="1"/>
  <c r="N1639" i="19"/>
  <c r="C2041" i="19"/>
  <c r="B3183" i="19"/>
  <c r="N5151" i="19"/>
  <c r="B798" i="19"/>
  <c r="D1476" i="19"/>
  <c r="G1522" i="19"/>
  <c r="G1624" i="19" s="1"/>
  <c r="G1642" i="19" s="1"/>
  <c r="C1650" i="19"/>
  <c r="E1933" i="19"/>
  <c r="E3029" i="19"/>
  <c r="E3035" i="19"/>
  <c r="E3631" i="19"/>
  <c r="B1228" i="19"/>
  <c r="O1277" i="19"/>
  <c r="O1285" i="19" s="1"/>
  <c r="O1293" i="19" s="1"/>
  <c r="B1800" i="19"/>
  <c r="O2698" i="19"/>
  <c r="G3783" i="19"/>
  <c r="G3876" i="19" s="1"/>
  <c r="C4003" i="19"/>
  <c r="B4536" i="19"/>
  <c r="B4801" i="19"/>
  <c r="B924" i="19"/>
  <c r="B2131" i="19"/>
  <c r="I2680" i="19"/>
  <c r="I2681" i="19" s="1"/>
  <c r="I2683" i="19" s="1"/>
  <c r="D2677" i="19" s="1"/>
  <c r="C4779" i="19"/>
  <c r="B4885" i="19"/>
  <c r="B4929" i="19" s="1"/>
  <c r="E3026" i="19"/>
  <c r="CO24" i="20"/>
  <c r="AH47" i="20"/>
  <c r="AC55" i="20"/>
  <c r="AY57" i="20"/>
  <c r="BT58" i="20"/>
  <c r="BV58" i="20" s="1"/>
  <c r="BT60" i="20"/>
  <c r="BW60" i="20" s="1"/>
  <c r="BQ61" i="20"/>
  <c r="BN63" i="20"/>
  <c r="AE86" i="20"/>
  <c r="T87" i="20"/>
  <c r="H87" i="20" s="1"/>
  <c r="BT87" i="20" s="1"/>
  <c r="AI111" i="20"/>
  <c r="AE115" i="20"/>
  <c r="CR176" i="20"/>
  <c r="CQ181" i="20"/>
  <c r="CQ186" i="20"/>
  <c r="U17" i="20"/>
  <c r="AY22" i="20"/>
  <c r="T23" i="20"/>
  <c r="H23" i="20" s="1"/>
  <c r="U43" i="20"/>
  <c r="CU57" i="20"/>
  <c r="CX57" i="20" s="1"/>
  <c r="CR58" i="20"/>
  <c r="CQ60" i="20"/>
  <c r="CO63" i="20"/>
  <c r="T71" i="20"/>
  <c r="H71" i="20" s="1"/>
  <c r="U82" i="20"/>
  <c r="BN84" i="20"/>
  <c r="BP84" i="20" s="1"/>
  <c r="CQ85" i="20"/>
  <c r="AF86" i="20"/>
  <c r="AF88" i="20"/>
  <c r="AI115" i="20"/>
  <c r="U153" i="20"/>
  <c r="U154" i="20"/>
  <c r="U155" i="20"/>
  <c r="CP158" i="20"/>
  <c r="CN159" i="20"/>
  <c r="CP174" i="20"/>
  <c r="CU176" i="20"/>
  <c r="CT181" i="20"/>
  <c r="AC13" i="20"/>
  <c r="AC18" i="20"/>
  <c r="CB22" i="20"/>
  <c r="U23" i="20"/>
  <c r="AD44" i="20"/>
  <c r="AF45" i="20"/>
  <c r="AE46" i="20"/>
  <c r="CQ47" i="20"/>
  <c r="CT55" i="20"/>
  <c r="CR60" i="20"/>
  <c r="CQ63" i="20"/>
  <c r="CN68" i="20"/>
  <c r="AI69" i="20"/>
  <c r="U76" i="20"/>
  <c r="CT85" i="20"/>
  <c r="AE87" i="20"/>
  <c r="AG88" i="20"/>
  <c r="CT158" i="20"/>
  <c r="DR167" i="20"/>
  <c r="CT174" i="20"/>
  <c r="CQ185" i="20"/>
  <c r="U11" i="20"/>
  <c r="AD12" i="20"/>
  <c r="CN22" i="20"/>
  <c r="CF23" i="20"/>
  <c r="CP32" i="20"/>
  <c r="CQ68" i="20"/>
  <c r="CQ86" i="20"/>
  <c r="AF87" i="20"/>
  <c r="AD100" i="20"/>
  <c r="T155" i="20"/>
  <c r="H155" i="20" s="1"/>
  <c r="I155" i="20" s="1"/>
  <c r="K164" i="20"/>
  <c r="AU164" i="20" s="1"/>
  <c r="K176" i="20"/>
  <c r="DM176" i="20" s="1"/>
  <c r="CU185" i="20"/>
  <c r="CV185" i="20" s="1"/>
  <c r="AY21" i="20"/>
  <c r="CP22" i="20"/>
  <c r="CP23" i="20"/>
  <c r="CB44" i="20"/>
  <c r="BX45" i="20"/>
  <c r="BY45" i="20" s="1"/>
  <c r="BN67" i="20"/>
  <c r="BP67" i="20" s="1"/>
  <c r="BQ69" i="20"/>
  <c r="AF71" i="20"/>
  <c r="CO72" i="20"/>
  <c r="BB76" i="20"/>
  <c r="BC76" i="20" s="1"/>
  <c r="CR86" i="20"/>
  <c r="AH100" i="20"/>
  <c r="T151" i="20"/>
  <c r="H151" i="20" s="1"/>
  <c r="AS151" i="20" s="1"/>
  <c r="AD153" i="20"/>
  <c r="AE154" i="20"/>
  <c r="CL178" i="20"/>
  <c r="BN180" i="20"/>
  <c r="BP180" i="20" s="1"/>
  <c r="BT12" i="20"/>
  <c r="BW12" i="20" s="1"/>
  <c r="CU21" i="20"/>
  <c r="CZ21" i="20" s="1"/>
  <c r="CB45" i="20"/>
  <c r="CE45" i="20" s="1"/>
  <c r="AE51" i="20"/>
  <c r="AC52" i="20"/>
  <c r="BT69" i="20"/>
  <c r="BW69" i="20" s="1"/>
  <c r="AG71" i="20"/>
  <c r="BT76" i="20"/>
  <c r="AI100" i="20"/>
  <c r="F192" i="20"/>
  <c r="U142" i="20"/>
  <c r="AG143" i="20"/>
  <c r="AD152" i="20"/>
  <c r="AF153" i="20"/>
  <c r="CP156" i="20"/>
  <c r="BQ165" i="20"/>
  <c r="BS165" i="20" s="1"/>
  <c r="BN173" i="20"/>
  <c r="BP173" i="20" s="1"/>
  <c r="CB179" i="20"/>
  <c r="CD179" i="20" s="1"/>
  <c r="AF16" i="20"/>
  <c r="AF50" i="20"/>
  <c r="AH51" i="20"/>
  <c r="AI52" i="20"/>
  <c r="CS53" i="20"/>
  <c r="K57" i="20"/>
  <c r="BX69" i="20"/>
  <c r="BZ69" i="20" s="1"/>
  <c r="BX76" i="20"/>
  <c r="AE105" i="20"/>
  <c r="AD106" i="20"/>
  <c r="AF149" i="20"/>
  <c r="AG150" i="20"/>
  <c r="AG151" i="20"/>
  <c r="AF152" i="20"/>
  <c r="CP154" i="20"/>
  <c r="CP155" i="20"/>
  <c r="T26" i="20"/>
  <c r="BX31" i="20"/>
  <c r="CA31" i="20" s="1"/>
  <c r="CN69" i="20"/>
  <c r="CN71" i="20"/>
  <c r="CF75" i="20"/>
  <c r="CH75" i="20" s="1"/>
  <c r="CJ81" i="20"/>
  <c r="AF105" i="20"/>
  <c r="AE106" i="20"/>
  <c r="DA154" i="20"/>
  <c r="DR157" i="20"/>
  <c r="AE162" i="20"/>
  <c r="AF164" i="20"/>
  <c r="AC176" i="20"/>
  <c r="AB183" i="20"/>
  <c r="E578" i="19"/>
  <c r="E586" i="19" s="1"/>
  <c r="K586" i="19" s="1"/>
  <c r="AG10" i="20"/>
  <c r="CT26" i="20"/>
  <c r="CP50" i="20"/>
  <c r="CT51" i="20"/>
  <c r="CF52" i="20"/>
  <c r="CI52" i="20" s="1"/>
  <c r="AE60" i="20"/>
  <c r="T62" i="20"/>
  <c r="H62" i="20" s="1"/>
  <c r="CR69" i="20"/>
  <c r="CP71" i="20"/>
  <c r="CP149" i="20"/>
  <c r="CO150" i="20"/>
  <c r="CO151" i="20"/>
  <c r="U158" i="20"/>
  <c r="AH162" i="20"/>
  <c r="CS167" i="20"/>
  <c r="AE176" i="20"/>
  <c r="CN178" i="20"/>
  <c r="T191" i="20"/>
  <c r="U14" i="20"/>
  <c r="U22" i="20"/>
  <c r="AG60" i="20"/>
  <c r="AF63" i="20"/>
  <c r="U74" i="20"/>
  <c r="U116" i="20"/>
  <c r="AD117" i="20"/>
  <c r="AI147" i="20"/>
  <c r="CO163" i="20"/>
  <c r="BQ164" i="20"/>
  <c r="BS164" i="20" s="1"/>
  <c r="AF176" i="20"/>
  <c r="CT178" i="20"/>
  <c r="BN182" i="20"/>
  <c r="CN183" i="20"/>
  <c r="AY187" i="20"/>
  <c r="BN189" i="20"/>
  <c r="BP189" i="20" s="1"/>
  <c r="BD191" i="20"/>
  <c r="K23" i="20"/>
  <c r="AB25" i="20"/>
  <c r="K45" i="20"/>
  <c r="DK45" i="20" s="1"/>
  <c r="AI57" i="20"/>
  <c r="AH60" i="20"/>
  <c r="AE62" i="20"/>
  <c r="AI63" i="20"/>
  <c r="CF65" i="20"/>
  <c r="AE85" i="20"/>
  <c r="K100" i="20"/>
  <c r="AE141" i="20"/>
  <c r="CQ162" i="20"/>
  <c r="CQ182" i="20"/>
  <c r="CQ183" i="20"/>
  <c r="CF187" i="20"/>
  <c r="CP189" i="20"/>
  <c r="CT191" i="20"/>
  <c r="BN6" i="20"/>
  <c r="BP6" i="20" s="1"/>
  <c r="AF11" i="20"/>
  <c r="CQ11" i="20"/>
  <c r="CP12" i="20"/>
  <c r="AH13" i="20"/>
  <c r="AE16" i="20"/>
  <c r="CQ16" i="20"/>
  <c r="CP17" i="20"/>
  <c r="K18" i="20"/>
  <c r="BX18" i="20"/>
  <c r="CA18" i="20" s="1"/>
  <c r="BQ23" i="20"/>
  <c r="BS23" i="20" s="1"/>
  <c r="DA23" i="20"/>
  <c r="BB24" i="20"/>
  <c r="BC24" i="20" s="1"/>
  <c r="CO31" i="20"/>
  <c r="CU44" i="20"/>
  <c r="CZ44" i="20" s="1"/>
  <c r="CU46" i="20"/>
  <c r="CY46" i="20" s="1"/>
  <c r="K47" i="20"/>
  <c r="AC48" i="20"/>
  <c r="CN48" i="20"/>
  <c r="BQ49" i="20"/>
  <c r="BS49" i="20" s="1"/>
  <c r="CQ52" i="20"/>
  <c r="CN56" i="20"/>
  <c r="AG58" i="20"/>
  <c r="DA61" i="20"/>
  <c r="AF62" i="20"/>
  <c r="CP63" i="20"/>
  <c r="T64" i="20"/>
  <c r="BQ64" i="20"/>
  <c r="BS64" i="20" s="1"/>
  <c r="BT65" i="20"/>
  <c r="AD68" i="20"/>
  <c r="AD69" i="20"/>
  <c r="CJ69" i="20"/>
  <c r="CM69" i="20" s="1"/>
  <c r="CK71" i="20"/>
  <c r="BN71" i="20"/>
  <c r="AE73" i="20"/>
  <c r="CV144" i="20"/>
  <c r="CW144" i="20"/>
  <c r="BT6" i="20"/>
  <c r="BW6" i="20" s="1"/>
  <c r="K9" i="20"/>
  <c r="DP9" i="20" s="1"/>
  <c r="AY9" i="20"/>
  <c r="CJ9" i="20"/>
  <c r="AG11" i="20"/>
  <c r="CT11" i="20"/>
  <c r="CQ12" i="20"/>
  <c r="AD14" i="20"/>
  <c r="CT16" i="20"/>
  <c r="BN17" i="20"/>
  <c r="BO17" i="20" s="1"/>
  <c r="CQ17" i="20"/>
  <c r="U18" i="20"/>
  <c r="CF18" i="20"/>
  <c r="CI18" i="20" s="1"/>
  <c r="BX21" i="20"/>
  <c r="BT23" i="20"/>
  <c r="BU23" i="20" s="1"/>
  <c r="BD24" i="20"/>
  <c r="CN30" i="20"/>
  <c r="CT31" i="20"/>
  <c r="BX32" i="20"/>
  <c r="CN45" i="20"/>
  <c r="K46" i="20"/>
  <c r="BB46" i="20" s="1"/>
  <c r="BC46" i="20" s="1"/>
  <c r="AY46" i="20"/>
  <c r="BN47" i="20"/>
  <c r="AD48" i="20"/>
  <c r="CQ48" i="20"/>
  <c r="CN49" i="20"/>
  <c r="AE50" i="20"/>
  <c r="BQ51" i="20"/>
  <c r="CR52" i="20"/>
  <c r="K56" i="20"/>
  <c r="CT56" i="20"/>
  <c r="CJ57" i="20"/>
  <c r="AI58" i="20"/>
  <c r="CF58" i="20"/>
  <c r="CG58" i="20" s="1"/>
  <c r="AE68" i="20"/>
  <c r="AE69" i="20"/>
  <c r="CF6" i="20"/>
  <c r="CI6" i="20" s="1"/>
  <c r="AY10" i="20"/>
  <c r="AH11" i="20"/>
  <c r="DA11" i="20"/>
  <c r="AC12" i="20"/>
  <c r="CR12" i="20"/>
  <c r="BN13" i="20"/>
  <c r="BP13" i="20" s="1"/>
  <c r="AE14" i="20"/>
  <c r="AG16" i="20"/>
  <c r="CU16" i="20"/>
  <c r="CX16" i="20" s="1"/>
  <c r="BT17" i="20"/>
  <c r="BU17" i="20" s="1"/>
  <c r="CR17" i="20"/>
  <c r="CQ18" i="20"/>
  <c r="AD19" i="20"/>
  <c r="T21" i="20"/>
  <c r="H21" i="20" s="1"/>
  <c r="Y21" i="20" s="1"/>
  <c r="DA21" i="20"/>
  <c r="BQ24" i="20"/>
  <c r="BS24" i="20" s="1"/>
  <c r="CP25" i="20"/>
  <c r="BN26" i="20"/>
  <c r="K30" i="20"/>
  <c r="BB30" i="20" s="1"/>
  <c r="BC30" i="20" s="1"/>
  <c r="CT30" i="20"/>
  <c r="T31" i="20"/>
  <c r="H31" i="20" s="1"/>
  <c r="BT31" i="20" s="1"/>
  <c r="CU31" i="20"/>
  <c r="CX31" i="20" s="1"/>
  <c r="K32" i="20"/>
  <c r="DP32" i="20" s="1"/>
  <c r="AE45" i="20"/>
  <c r="CO45" i="20"/>
  <c r="AE48" i="20"/>
  <c r="CR48" i="20"/>
  <c r="CU52" i="20"/>
  <c r="CW52" i="20" s="1"/>
  <c r="U54" i="20"/>
  <c r="CU56" i="20"/>
  <c r="AD57" i="20"/>
  <c r="CN57" i="20"/>
  <c r="AC59" i="20"/>
  <c r="CT60" i="20"/>
  <c r="CT63" i="20"/>
  <c r="AC64" i="20"/>
  <c r="BT64" i="20"/>
  <c r="BW64" i="20" s="1"/>
  <c r="CR65" i="20"/>
  <c r="AH68" i="20"/>
  <c r="AF69" i="20"/>
  <c r="CO69" i="20"/>
  <c r="T72" i="20"/>
  <c r="H72" i="20" s="1"/>
  <c r="DA72" i="20"/>
  <c r="DA73" i="20"/>
  <c r="CD180" i="20"/>
  <c r="CE180" i="20"/>
  <c r="CJ6" i="20"/>
  <c r="CK6" i="20" s="1"/>
  <c r="CN9" i="20"/>
  <c r="BQ10" i="20"/>
  <c r="AI11" i="20"/>
  <c r="AI14" i="20"/>
  <c r="AH16" i="20"/>
  <c r="CU17" i="20"/>
  <c r="CZ17" i="20" s="1"/>
  <c r="CR18" i="20"/>
  <c r="AI19" i="20"/>
  <c r="X20" i="20"/>
  <c r="CB21" i="20"/>
  <c r="BX23" i="20"/>
  <c r="BZ23" i="20" s="1"/>
  <c r="BX24" i="20"/>
  <c r="DA25" i="20"/>
  <c r="CU30" i="20"/>
  <c r="AB31" i="20"/>
  <c r="CT45" i="20"/>
  <c r="CJ47" i="20"/>
  <c r="AH48" i="20"/>
  <c r="AG50" i="20"/>
  <c r="K52" i="20"/>
  <c r="AY52" i="20"/>
  <c r="AE57" i="20"/>
  <c r="CO57" i="20"/>
  <c r="AY58" i="20"/>
  <c r="CJ58" i="20"/>
  <c r="AD59" i="20"/>
  <c r="CJ59" i="20"/>
  <c r="AI60" i="20"/>
  <c r="CU60" i="20"/>
  <c r="T61" i="20"/>
  <c r="H61" i="20" s="1"/>
  <c r="BQ62" i="20"/>
  <c r="BS62" i="20" s="1"/>
  <c r="T63" i="20"/>
  <c r="BQ63" i="20"/>
  <c r="CU63" i="20"/>
  <c r="CZ63" i="20" s="1"/>
  <c r="AD64" i="20"/>
  <c r="BX64" i="20"/>
  <c r="CA64" i="20" s="1"/>
  <c r="BQ72" i="20"/>
  <c r="CQ6" i="20"/>
  <c r="AD7" i="20"/>
  <c r="T9" i="20"/>
  <c r="H9" i="20" s="1"/>
  <c r="Y9" i="20" s="1"/>
  <c r="BQ9" i="20"/>
  <c r="BS9" i="20" s="1"/>
  <c r="CO9" i="20"/>
  <c r="K10" i="20"/>
  <c r="BB10" i="20" s="1"/>
  <c r="K11" i="20"/>
  <c r="DM11" i="20" s="1"/>
  <c r="AG12" i="20"/>
  <c r="CQ13" i="20"/>
  <c r="K16" i="20"/>
  <c r="AI16" i="20"/>
  <c r="DA16" i="20"/>
  <c r="AB17" i="20"/>
  <c r="BX17" i="20"/>
  <c r="BZ17" i="20" s="1"/>
  <c r="DG25" i="20"/>
  <c r="BT26" i="20"/>
  <c r="BW26" i="20" s="1"/>
  <c r="CJ32" i="20"/>
  <c r="AE44" i="20"/>
  <c r="AH45" i="20"/>
  <c r="CU45" i="20"/>
  <c r="CW45" i="20" s="1"/>
  <c r="T46" i="20"/>
  <c r="H46" i="20" s="1"/>
  <c r="BN46" i="20"/>
  <c r="BP46" i="20" s="1"/>
  <c r="AB47" i="20"/>
  <c r="CN51" i="20"/>
  <c r="BN52" i="20"/>
  <c r="BO52" i="20" s="1"/>
  <c r="AD55" i="20"/>
  <c r="AF57" i="20"/>
  <c r="CQ57" i="20"/>
  <c r="K58" i="20"/>
  <c r="AG59" i="20"/>
  <c r="CO62" i="20"/>
  <c r="AF64" i="20"/>
  <c r="CJ64" i="20"/>
  <c r="CM64" i="20" s="1"/>
  <c r="AY68" i="20"/>
  <c r="CV69" i="20"/>
  <c r="BT72" i="20"/>
  <c r="DA74" i="20"/>
  <c r="CR6" i="20"/>
  <c r="AI7" i="20"/>
  <c r="BT9" i="20"/>
  <c r="CR9" i="20"/>
  <c r="BX10" i="20"/>
  <c r="CA10" i="20" s="1"/>
  <c r="AY11" i="20"/>
  <c r="AH12" i="20"/>
  <c r="BT14" i="20"/>
  <c r="AC17" i="20"/>
  <c r="BT19" i="20"/>
  <c r="CF21" i="20"/>
  <c r="BX22" i="20"/>
  <c r="CP24" i="20"/>
  <c r="CF26" i="20"/>
  <c r="CI26" i="20" s="1"/>
  <c r="X30" i="20"/>
  <c r="AY31" i="20"/>
  <c r="T32" i="20"/>
  <c r="H32" i="20" s="1"/>
  <c r="BQ46" i="20"/>
  <c r="AC47" i="20"/>
  <c r="BQ50" i="20"/>
  <c r="BS50" i="20" s="1"/>
  <c r="T51" i="20"/>
  <c r="H51" i="20" s="1"/>
  <c r="CO51" i="20"/>
  <c r="BQ52" i="20"/>
  <c r="BR52" i="20" s="1"/>
  <c r="BT53" i="20"/>
  <c r="AH57" i="20"/>
  <c r="CT57" i="20"/>
  <c r="BN58" i="20"/>
  <c r="AH59" i="20"/>
  <c r="BN60" i="20"/>
  <c r="AE61" i="20"/>
  <c r="CP62" i="20"/>
  <c r="DA64" i="20"/>
  <c r="AG64" i="20"/>
  <c r="CO64" i="20"/>
  <c r="BX68" i="20"/>
  <c r="BY68" i="20" s="1"/>
  <c r="K69" i="20"/>
  <c r="BD69" i="20" s="1"/>
  <c r="AY69" i="20"/>
  <c r="CW69" i="20"/>
  <c r="AC71" i="20"/>
  <c r="CQ71" i="20"/>
  <c r="CF72" i="20"/>
  <c r="CI72" i="20" s="1"/>
  <c r="CT9" i="20"/>
  <c r="CJ10" i="20"/>
  <c r="BN11" i="20"/>
  <c r="BP11" i="20" s="1"/>
  <c r="AI12" i="20"/>
  <c r="CB14" i="20"/>
  <c r="CE14" i="20" s="1"/>
  <c r="AY16" i="20"/>
  <c r="AE17" i="20"/>
  <c r="CB17" i="20"/>
  <c r="AH18" i="20"/>
  <c r="CF19" i="20"/>
  <c r="CG19" i="20" s="1"/>
  <c r="CQ24" i="20"/>
  <c r="CR26" i="20"/>
  <c r="U29" i="20"/>
  <c r="AY30" i="20"/>
  <c r="DA31" i="20"/>
  <c r="AB32" i="20"/>
  <c r="AY44" i="20"/>
  <c r="AY45" i="20"/>
  <c r="DA45" i="20"/>
  <c r="AB46" i="20"/>
  <c r="AD47" i="20"/>
  <c r="BN48" i="20"/>
  <c r="CN50" i="20"/>
  <c r="CP51" i="20"/>
  <c r="T52" i="20"/>
  <c r="H52" i="20" s="1"/>
  <c r="CB52" i="20" s="1"/>
  <c r="BT52" i="20"/>
  <c r="BW52" i="20" s="1"/>
  <c r="CF53" i="20"/>
  <c r="BQ58" i="20"/>
  <c r="CO58" i="20"/>
  <c r="AF61" i="20"/>
  <c r="CT62" i="20"/>
  <c r="AC63" i="20"/>
  <c r="CB63" i="20"/>
  <c r="AH64" i="20"/>
  <c r="CP64" i="20"/>
  <c r="K68" i="20"/>
  <c r="AD71" i="20"/>
  <c r="CT71" i="20"/>
  <c r="K6" i="20"/>
  <c r="BT7" i="20"/>
  <c r="BW7" i="20" s="1"/>
  <c r="AD9" i="20"/>
  <c r="CU9" i="20"/>
  <c r="T10" i="20"/>
  <c r="CN10" i="20"/>
  <c r="T11" i="20"/>
  <c r="H11" i="20" s="1"/>
  <c r="BQ11" i="20"/>
  <c r="BS11" i="20" s="1"/>
  <c r="CF14" i="20"/>
  <c r="CI14" i="20" s="1"/>
  <c r="AE15" i="20"/>
  <c r="T16" i="20"/>
  <c r="H16" i="20" s="1"/>
  <c r="CJ16" i="20" s="1"/>
  <c r="AG17" i="20"/>
  <c r="AI18" i="20"/>
  <c r="CR19" i="20"/>
  <c r="CO23" i="20"/>
  <c r="CT24" i="20"/>
  <c r="H26" i="20"/>
  <c r="CS26" i="20"/>
  <c r="BQ31" i="20"/>
  <c r="BS31" i="20" s="1"/>
  <c r="CO32" i="20"/>
  <c r="BX44" i="20"/>
  <c r="BQ45" i="20"/>
  <c r="AC46" i="20"/>
  <c r="CJ46" i="20"/>
  <c r="AG47" i="20"/>
  <c r="CP47" i="20"/>
  <c r="CO50" i="20"/>
  <c r="CQ51" i="20"/>
  <c r="BX52" i="20"/>
  <c r="CA52" i="20" s="1"/>
  <c r="CU55" i="20"/>
  <c r="CZ55" i="20" s="1"/>
  <c r="AE56" i="20"/>
  <c r="T58" i="20"/>
  <c r="CP58" i="20"/>
  <c r="AY59" i="20"/>
  <c r="CP59" i="20"/>
  <c r="DA62" i="20"/>
  <c r="AE63" i="20"/>
  <c r="AI64" i="20"/>
  <c r="CQ64" i="20"/>
  <c r="CJ68" i="20"/>
  <c r="BN69" i="20"/>
  <c r="DA69" i="20"/>
  <c r="CN72" i="20"/>
  <c r="CN74" i="20"/>
  <c r="CT74" i="20"/>
  <c r="CQ74" i="20"/>
  <c r="CP74" i="20"/>
  <c r="CO74" i="20"/>
  <c r="BQ74" i="20"/>
  <c r="BS74" i="20" s="1"/>
  <c r="T74" i="20"/>
  <c r="H74" i="20" s="1"/>
  <c r="CF74" i="20" s="1"/>
  <c r="CF7" i="20"/>
  <c r="AE9" i="20"/>
  <c r="BX9" i="20"/>
  <c r="CO10" i="20"/>
  <c r="BX11" i="20"/>
  <c r="BY11" i="20" s="1"/>
  <c r="BN12" i="20"/>
  <c r="BP12" i="20" s="1"/>
  <c r="CN14" i="20"/>
  <c r="BQ16" i="20"/>
  <c r="BS16" i="20" s="1"/>
  <c r="AH17" i="20"/>
  <c r="CN21" i="20"/>
  <c r="CU24" i="20"/>
  <c r="CW24" i="20" s="1"/>
  <c r="CQ59" i="20"/>
  <c r="CR64" i="20"/>
  <c r="CR7" i="20"/>
  <c r="AF9" i="20"/>
  <c r="DA9" i="20"/>
  <c r="CP10" i="20"/>
  <c r="CJ11" i="20"/>
  <c r="CM11" i="20" s="1"/>
  <c r="CR14" i="20"/>
  <c r="CB15" i="20"/>
  <c r="CE15" i="20" s="1"/>
  <c r="BX16" i="20"/>
  <c r="CA16" i="20" s="1"/>
  <c r="AI17" i="20"/>
  <c r="CF17" i="20"/>
  <c r="CG17" i="20" s="1"/>
  <c r="AY18" i="20"/>
  <c r="BQ21" i="20"/>
  <c r="BS21" i="20" s="1"/>
  <c r="CO21" i="20"/>
  <c r="CU22" i="20"/>
  <c r="CQ23" i="20"/>
  <c r="CU26" i="20"/>
  <c r="CZ26" i="20" s="1"/>
  <c r="CB31" i="20"/>
  <c r="AY32" i="20"/>
  <c r="CU32" i="20"/>
  <c r="CY32" i="20" s="1"/>
  <c r="CJ44" i="20"/>
  <c r="CM44" i="20" s="1"/>
  <c r="AF46" i="20"/>
  <c r="CX47" i="20"/>
  <c r="BT48" i="20"/>
  <c r="CT50" i="20"/>
  <c r="AF51" i="20"/>
  <c r="CU51" i="20"/>
  <c r="CZ51" i="20" s="1"/>
  <c r="AF52" i="20"/>
  <c r="CJ52" i="20"/>
  <c r="CM52" i="20" s="1"/>
  <c r="AY56" i="20"/>
  <c r="U57" i="20"/>
  <c r="DA57" i="20"/>
  <c r="AB58" i="20"/>
  <c r="BW58" i="20"/>
  <c r="CU58" i="20"/>
  <c r="CY58" i="20" s="1"/>
  <c r="K59" i="20"/>
  <c r="BB59" i="20" s="1"/>
  <c r="CF60" i="20"/>
  <c r="CB61" i="20"/>
  <c r="AG63" i="20"/>
  <c r="K64" i="20"/>
  <c r="DO64" i="20" s="1"/>
  <c r="CU64" i="20"/>
  <c r="CW64" i="20" s="1"/>
  <c r="CQ72" i="20"/>
  <c r="AB6" i="20"/>
  <c r="AG9" i="20"/>
  <c r="CF9" i="20"/>
  <c r="AE10" i="20"/>
  <c r="CU10" i="20"/>
  <c r="CV10" i="20" s="1"/>
  <c r="CO11" i="20"/>
  <c r="CF12" i="20"/>
  <c r="CI12" i="20" s="1"/>
  <c r="CT14" i="20"/>
  <c r="CN15" i="20"/>
  <c r="CO16" i="20"/>
  <c r="BN18" i="20"/>
  <c r="BP18" i="20" s="1"/>
  <c r="BT21" i="20"/>
  <c r="CR21" i="20"/>
  <c r="K22" i="20"/>
  <c r="AZ22" i="20" s="1"/>
  <c r="AY23" i="20"/>
  <c r="CR23" i="20"/>
  <c r="AB24" i="20"/>
  <c r="DA24" i="20"/>
  <c r="BD25" i="20"/>
  <c r="X26" i="20"/>
  <c r="CB30" i="20"/>
  <c r="CJ31" i="20"/>
  <c r="CK31" i="20" s="1"/>
  <c r="BN32" i="20"/>
  <c r="K44" i="20"/>
  <c r="CN44" i="20"/>
  <c r="CC45" i="20"/>
  <c r="AG46" i="20"/>
  <c r="CO46" i="20"/>
  <c r="AY47" i="20"/>
  <c r="CB48" i="20"/>
  <c r="T50" i="20"/>
  <c r="AG51" i="20"/>
  <c r="AG52" i="20"/>
  <c r="CO52" i="20"/>
  <c r="BX56" i="20"/>
  <c r="BQ57" i="20"/>
  <c r="BS57" i="20" s="1"/>
  <c r="AC58" i="20"/>
  <c r="BX58" i="20"/>
  <c r="BN59" i="20"/>
  <c r="BP59" i="20" s="1"/>
  <c r="AC60" i="20"/>
  <c r="CN61" i="20"/>
  <c r="AH63" i="20"/>
  <c r="CN63" i="20"/>
  <c r="AY64" i="20"/>
  <c r="AI65" i="20"/>
  <c r="AH71" i="20"/>
  <c r="BO72" i="20"/>
  <c r="CR72" i="20"/>
  <c r="AY6" i="20"/>
  <c r="AI9" i="20"/>
  <c r="AF10" i="20"/>
  <c r="AC11" i="20"/>
  <c r="CP11" i="20"/>
  <c r="AD16" i="20"/>
  <c r="CP16" i="20"/>
  <c r="K17" i="20"/>
  <c r="AY17" i="20"/>
  <c r="BT18" i="20"/>
  <c r="BW18" i="20" s="1"/>
  <c r="K21" i="20"/>
  <c r="CT21" i="20"/>
  <c r="BN23" i="20"/>
  <c r="BP23" i="20" s="1"/>
  <c r="CT23" i="20"/>
  <c r="AY24" i="20"/>
  <c r="CJ30" i="20"/>
  <c r="CM30" i="20" s="1"/>
  <c r="K31" i="20"/>
  <c r="BD31" i="20" s="1"/>
  <c r="CN31" i="20"/>
  <c r="BQ32" i="20"/>
  <c r="CT44" i="20"/>
  <c r="T45" i="20"/>
  <c r="H45" i="20" s="1"/>
  <c r="AS45" i="20" s="1"/>
  <c r="CJ45" i="20"/>
  <c r="CK45" i="20" s="1"/>
  <c r="AI46" i="20"/>
  <c r="CP46" i="20"/>
  <c r="CF48" i="20"/>
  <c r="CI48" i="20" s="1"/>
  <c r="AH52" i="20"/>
  <c r="CP52" i="20"/>
  <c r="CJ56" i="20"/>
  <c r="CM56" i="20" s="1"/>
  <c r="T57" i="20"/>
  <c r="H57" i="20" s="1"/>
  <c r="BX57" i="20"/>
  <c r="BY57" i="20" s="1"/>
  <c r="AF58" i="20"/>
  <c r="BX59" i="20"/>
  <c r="AD60" i="20"/>
  <c r="CN60" i="20"/>
  <c r="CO61" i="20"/>
  <c r="BN64" i="20"/>
  <c r="BP64" i="20" s="1"/>
  <c r="AC68" i="20"/>
  <c r="CU68" i="20"/>
  <c r="CX68" i="20" s="1"/>
  <c r="AC69" i="20"/>
  <c r="CF69" i="20"/>
  <c r="CI69" i="20" s="1"/>
  <c r="CU72" i="20"/>
  <c r="CV72" i="20" s="1"/>
  <c r="CP75" i="20"/>
  <c r="AH82" i="20"/>
  <c r="AE83" i="20"/>
  <c r="CF83" i="20"/>
  <c r="CI83" i="20" s="1"/>
  <c r="AI85" i="20"/>
  <c r="AI86" i="20"/>
  <c r="CP88" i="20"/>
  <c r="K105" i="20"/>
  <c r="AI105" i="20"/>
  <c r="AI106" i="20"/>
  <c r="U107" i="20"/>
  <c r="AE109" i="20"/>
  <c r="K111" i="20"/>
  <c r="AC119" i="20"/>
  <c r="AF142" i="20"/>
  <c r="AF143" i="20"/>
  <c r="AC145" i="20"/>
  <c r="AD146" i="20"/>
  <c r="AD147" i="20"/>
  <c r="CB149" i="20"/>
  <c r="BQ150" i="20"/>
  <c r="BR150" i="20" s="1"/>
  <c r="BQ151" i="20"/>
  <c r="BS151" i="20" s="1"/>
  <c r="AH153" i="20"/>
  <c r="AG154" i="20"/>
  <c r="AE155" i="20"/>
  <c r="CT155" i="20"/>
  <c r="CO156" i="20"/>
  <c r="CB157" i="20"/>
  <c r="CD157" i="20" s="1"/>
  <c r="AG158" i="20"/>
  <c r="CP159" i="20"/>
  <c r="DA162" i="20"/>
  <c r="CJ165" i="20"/>
  <c r="X166" i="20"/>
  <c r="X167" i="20"/>
  <c r="T168" i="20"/>
  <c r="CS169" i="20"/>
  <c r="CN175" i="20"/>
  <c r="T176" i="20"/>
  <c r="CF176" i="20"/>
  <c r="CI176" i="20" s="1"/>
  <c r="CT179" i="20"/>
  <c r="CN180" i="20"/>
  <c r="CB181" i="20"/>
  <c r="CU182" i="20"/>
  <c r="BN183" i="20"/>
  <c r="CQ184" i="20"/>
  <c r="AB185" i="20"/>
  <c r="CJ187" i="20"/>
  <c r="CQ75" i="20"/>
  <c r="AA76" i="20"/>
  <c r="BN81" i="20"/>
  <c r="AF83" i="20"/>
  <c r="CJ83" i="20"/>
  <c r="CK83" i="20" s="1"/>
  <c r="CT88" i="20"/>
  <c r="AY102" i="20"/>
  <c r="AF109" i="20"/>
  <c r="AC113" i="20"/>
  <c r="AY115" i="20"/>
  <c r="AC116" i="20"/>
  <c r="AD119" i="20"/>
  <c r="CB141" i="20"/>
  <c r="AG142" i="20"/>
  <c r="AD145" i="20"/>
  <c r="AE146" i="20"/>
  <c r="AE147" i="20"/>
  <c r="CB150" i="20"/>
  <c r="CB151" i="20"/>
  <c r="BQ152" i="20"/>
  <c r="BR152" i="20" s="1"/>
  <c r="AH154" i="20"/>
  <c r="AF155" i="20"/>
  <c r="DA155" i="20"/>
  <c r="AH158" i="20"/>
  <c r="AD159" i="20"/>
  <c r="CQ159" i="20"/>
  <c r="T160" i="20"/>
  <c r="H160" i="20" s="1"/>
  <c r="CN160" i="20"/>
  <c r="BQ161" i="20"/>
  <c r="BS161" i="20" s="1"/>
  <c r="AF162" i="20"/>
  <c r="CP163" i="20"/>
  <c r="T164" i="20"/>
  <c r="H164" i="20" s="1"/>
  <c r="CF164" i="20"/>
  <c r="CO165" i="20"/>
  <c r="BT168" i="20"/>
  <c r="BV168" i="20" s="1"/>
  <c r="U173" i="20"/>
  <c r="U174" i="20"/>
  <c r="CQ175" i="20"/>
  <c r="CJ176" i="20"/>
  <c r="CQ180" i="20"/>
  <c r="CB183" i="20"/>
  <c r="CC183" i="20" s="1"/>
  <c r="CT184" i="20"/>
  <c r="BN185" i="20"/>
  <c r="AB186" i="20"/>
  <c r="T189" i="20"/>
  <c r="H189" i="20" s="1"/>
  <c r="CR75" i="20"/>
  <c r="AU76" i="20"/>
  <c r="K81" i="20"/>
  <c r="BD81" i="20" s="1"/>
  <c r="AY82" i="20"/>
  <c r="AI83" i="20"/>
  <c r="BN85" i="20"/>
  <c r="BP85" i="20" s="1"/>
  <c r="BO86" i="20"/>
  <c r="DA86" i="20"/>
  <c r="X103" i="20"/>
  <c r="AY105" i="20"/>
  <c r="AY106" i="20"/>
  <c r="T107" i="20"/>
  <c r="H107" i="20" s="1"/>
  <c r="BT107" i="20" s="1"/>
  <c r="AI109" i="20"/>
  <c r="AE113" i="20"/>
  <c r="K115" i="20"/>
  <c r="AG116" i="20"/>
  <c r="AC117" i="20"/>
  <c r="AE119" i="20"/>
  <c r="AH142" i="20"/>
  <c r="AH143" i="20"/>
  <c r="AF144" i="20"/>
  <c r="AG145" i="20"/>
  <c r="CN149" i="20"/>
  <c r="CB152" i="20"/>
  <c r="BQ153" i="20"/>
  <c r="AG155" i="20"/>
  <c r="AD156" i="20"/>
  <c r="CQ156" i="20"/>
  <c r="T157" i="20"/>
  <c r="H157" i="20" s="1"/>
  <c r="CN157" i="20"/>
  <c r="AE159" i="20"/>
  <c r="CT159" i="20"/>
  <c r="CO160" i="20"/>
  <c r="CB161" i="20"/>
  <c r="AG162" i="20"/>
  <c r="AD163" i="20"/>
  <c r="CQ163" i="20"/>
  <c r="CP166" i="20"/>
  <c r="CF167" i="20"/>
  <c r="CR168" i="20"/>
  <c r="DR170" i="20"/>
  <c r="CT175" i="20"/>
  <c r="CO176" i="20"/>
  <c r="CT180" i="20"/>
  <c r="CN181" i="20"/>
  <c r="CU184" i="20"/>
  <c r="BN186" i="20"/>
  <c r="DA187" i="20"/>
  <c r="CQ187" i="20"/>
  <c r="CT75" i="20"/>
  <c r="AY76" i="20"/>
  <c r="BX81" i="20"/>
  <c r="BY81" i="20" s="1"/>
  <c r="BX82" i="20"/>
  <c r="CA82" i="20" s="1"/>
  <c r="CN83" i="20"/>
  <c r="CB85" i="20"/>
  <c r="BQ87" i="20"/>
  <c r="BS87" i="20" s="1"/>
  <c r="T88" i="20"/>
  <c r="H88" i="20" s="1"/>
  <c r="T105" i="20"/>
  <c r="K106" i="20"/>
  <c r="T111" i="20"/>
  <c r="AF113" i="20"/>
  <c r="AG119" i="20"/>
  <c r="AG144" i="20"/>
  <c r="AH145" i="20"/>
  <c r="AI146" i="20"/>
  <c r="T149" i="20"/>
  <c r="H149" i="20" s="1"/>
  <c r="AS149" i="20" s="1"/>
  <c r="CO149" i="20"/>
  <c r="T150" i="20"/>
  <c r="H150" i="20" s="1"/>
  <c r="Y150" i="20" s="1"/>
  <c r="CN150" i="20"/>
  <c r="CN151" i="20"/>
  <c r="CB153" i="20"/>
  <c r="CD153" i="20" s="1"/>
  <c r="BQ154" i="20"/>
  <c r="AH155" i="20"/>
  <c r="AE156" i="20"/>
  <c r="CT156" i="20"/>
  <c r="CO157" i="20"/>
  <c r="BQ158" i="20"/>
  <c r="BS158" i="20" s="1"/>
  <c r="AF159" i="20"/>
  <c r="DA159" i="20"/>
  <c r="CP160" i="20"/>
  <c r="AE163" i="20"/>
  <c r="CT163" i="20"/>
  <c r="AE164" i="20"/>
  <c r="CN164" i="20"/>
  <c r="K165" i="20"/>
  <c r="AW165" i="20" s="1"/>
  <c r="DA165" i="20"/>
  <c r="CQ166" i="20"/>
  <c r="CR167" i="20"/>
  <c r="CU175" i="20"/>
  <c r="CU75" i="20"/>
  <c r="CZ75" i="20" s="1"/>
  <c r="CB82" i="20"/>
  <c r="AY83" i="20"/>
  <c r="AZ83" i="20" s="1"/>
  <c r="CO83" i="20"/>
  <c r="BQ86" i="20"/>
  <c r="BS86" i="20" s="1"/>
  <c r="CB87" i="20"/>
  <c r="CC87" i="20" s="1"/>
  <c r="AY109" i="20"/>
  <c r="AI113" i="20"/>
  <c r="AE117" i="20"/>
  <c r="AH119" i="20"/>
  <c r="AC141" i="20"/>
  <c r="CL141" i="20"/>
  <c r="K142" i="20"/>
  <c r="BD142" i="20" s="1"/>
  <c r="K143" i="20"/>
  <c r="AY143" i="20"/>
  <c r="AH144" i="20"/>
  <c r="CN152" i="20"/>
  <c r="CB154" i="20"/>
  <c r="AF156" i="20"/>
  <c r="DA156" i="20"/>
  <c r="CP157" i="20"/>
  <c r="CB158" i="20"/>
  <c r="AG159" i="20"/>
  <c r="AD160" i="20"/>
  <c r="CQ160" i="20"/>
  <c r="T161" i="20"/>
  <c r="H161" i="20" s="1"/>
  <c r="CN161" i="20"/>
  <c r="AF163" i="20"/>
  <c r="CO164" i="20"/>
  <c r="CJ82" i="20"/>
  <c r="CR83" i="20"/>
  <c r="CL85" i="20"/>
  <c r="CB86" i="20"/>
  <c r="CN87" i="20"/>
  <c r="AC107" i="20"/>
  <c r="K109" i="20"/>
  <c r="AU109" i="20" s="1"/>
  <c r="AB111" i="20"/>
  <c r="T115" i="20"/>
  <c r="AG117" i="20"/>
  <c r="AI119" i="20"/>
  <c r="AD141" i="20"/>
  <c r="CP141" i="20"/>
  <c r="CJ142" i="20"/>
  <c r="BN143" i="20"/>
  <c r="BP143" i="20" s="1"/>
  <c r="AY146" i="20"/>
  <c r="BO147" i="20"/>
  <c r="BT147" i="20"/>
  <c r="BW147" i="20" s="1"/>
  <c r="CT149" i="20"/>
  <c r="CP150" i="20"/>
  <c r="CP151" i="20"/>
  <c r="T152" i="20"/>
  <c r="H152" i="20" s="1"/>
  <c r="CO152" i="20"/>
  <c r="T153" i="20"/>
  <c r="H153" i="20" s="1"/>
  <c r="AS153" i="20" s="1"/>
  <c r="CN153" i="20"/>
  <c r="BQ155" i="20"/>
  <c r="BS155" i="20" s="1"/>
  <c r="AG156" i="20"/>
  <c r="AD157" i="20"/>
  <c r="CQ157" i="20"/>
  <c r="T158" i="20"/>
  <c r="H158" i="20" s="1"/>
  <c r="AH159" i="20"/>
  <c r="AE160" i="20"/>
  <c r="CT160" i="20"/>
  <c r="CO161" i="20"/>
  <c r="BQ162" i="20"/>
  <c r="BS162" i="20" s="1"/>
  <c r="AG163" i="20"/>
  <c r="AG164" i="20"/>
  <c r="CP164" i="20"/>
  <c r="U171" i="20"/>
  <c r="AI176" i="20"/>
  <c r="CB178" i="20"/>
  <c r="CU181" i="20"/>
  <c r="CY181" i="20" s="1"/>
  <c r="CB186" i="20"/>
  <c r="CQ189" i="20"/>
  <c r="AA75" i="20"/>
  <c r="K82" i="20"/>
  <c r="AV82" i="20" s="1"/>
  <c r="CN82" i="20"/>
  <c r="DA83" i="20"/>
  <c r="AC84" i="20"/>
  <c r="CM85" i="20"/>
  <c r="T86" i="20"/>
  <c r="H86" i="20" s="1"/>
  <c r="CF86" i="20"/>
  <c r="CO87" i="20"/>
  <c r="AY100" i="20"/>
  <c r="AZ100" i="20" s="1"/>
  <c r="K102" i="20"/>
  <c r="AV102" i="20" s="1"/>
  <c r="AC105" i="20"/>
  <c r="T106" i="20"/>
  <c r="AE107" i="20"/>
  <c r="AC111" i="20"/>
  <c r="AY113" i="20"/>
  <c r="AH117" i="20"/>
  <c r="CQ141" i="20"/>
  <c r="BQ143" i="20"/>
  <c r="BS143" i="20" s="1"/>
  <c r="K144" i="20"/>
  <c r="AY144" i="20"/>
  <c r="K145" i="20"/>
  <c r="AY145" i="20"/>
  <c r="K146" i="20"/>
  <c r="DP146" i="20" s="1"/>
  <c r="BN146" i="20"/>
  <c r="BP146" i="20" s="1"/>
  <c r="CF147" i="20"/>
  <c r="CN148" i="20"/>
  <c r="AD149" i="20"/>
  <c r="DA149" i="20"/>
  <c r="CT150" i="20"/>
  <c r="CT151" i="20"/>
  <c r="CP152" i="20"/>
  <c r="CO153" i="20"/>
  <c r="T154" i="20"/>
  <c r="H154" i="20" s="1"/>
  <c r="CN154" i="20"/>
  <c r="CB155" i="20"/>
  <c r="CD155" i="20" s="1"/>
  <c r="AH156" i="20"/>
  <c r="AE157" i="20"/>
  <c r="CT157" i="20"/>
  <c r="CN158" i="20"/>
  <c r="AF160" i="20"/>
  <c r="DA160" i="20"/>
  <c r="CP161" i="20"/>
  <c r="CB162" i="20"/>
  <c r="CE162" i="20" s="1"/>
  <c r="AH163" i="20"/>
  <c r="AH164" i="20"/>
  <c r="CQ164" i="20"/>
  <c r="T165" i="20"/>
  <c r="H165" i="20" s="1"/>
  <c r="U170" i="20"/>
  <c r="BN172" i="20"/>
  <c r="DA176" i="20"/>
  <c r="AG177" i="20"/>
  <c r="BN179" i="20"/>
  <c r="CB182" i="20"/>
  <c r="CT183" i="20"/>
  <c r="AB184" i="20"/>
  <c r="AA187" i="20"/>
  <c r="AB191" i="20"/>
  <c r="BN75" i="20"/>
  <c r="BP75" i="20" s="1"/>
  <c r="CF76" i="20"/>
  <c r="CI76" i="20" s="1"/>
  <c r="AB77" i="20"/>
  <c r="AC81" i="20"/>
  <c r="CP81" i="20"/>
  <c r="CQ82" i="20"/>
  <c r="BN83" i="20"/>
  <c r="BP83" i="20" s="1"/>
  <c r="AG84" i="20"/>
  <c r="AC85" i="20"/>
  <c r="CN85" i="20"/>
  <c r="CN86" i="20"/>
  <c r="DA87" i="20"/>
  <c r="AD105" i="20"/>
  <c r="AF107" i="20"/>
  <c r="AE111" i="20"/>
  <c r="K113" i="20"/>
  <c r="AB115" i="20"/>
  <c r="AI117" i="20"/>
  <c r="AG141" i="20"/>
  <c r="CT141" i="20"/>
  <c r="T142" i="20"/>
  <c r="H142" i="20" s="1"/>
  <c r="AT142" i="20" s="1"/>
  <c r="CP142" i="20"/>
  <c r="T143" i="20"/>
  <c r="CJ143" i="20"/>
  <c r="CM143" i="20" s="1"/>
  <c r="BN144" i="20"/>
  <c r="BP144" i="20" s="1"/>
  <c r="BN145" i="20"/>
  <c r="BP145" i="20" s="1"/>
  <c r="U146" i="20"/>
  <c r="BX146" i="20"/>
  <c r="BZ146" i="20" s="1"/>
  <c r="CN147" i="20"/>
  <c r="AE149" i="20"/>
  <c r="AD150" i="20"/>
  <c r="DA150" i="20"/>
  <c r="AD151" i="20"/>
  <c r="DA151" i="20"/>
  <c r="CT152" i="20"/>
  <c r="CP153" i="20"/>
  <c r="CO154" i="20"/>
  <c r="AF157" i="20"/>
  <c r="DA157" i="20"/>
  <c r="CO158" i="20"/>
  <c r="BQ159" i="20"/>
  <c r="BS159" i="20" s="1"/>
  <c r="AG160" i="20"/>
  <c r="AD161" i="20"/>
  <c r="CQ161" i="20"/>
  <c r="T162" i="20"/>
  <c r="H162" i="20" s="1"/>
  <c r="CN162" i="20"/>
  <c r="AI163" i="20"/>
  <c r="AI164" i="20"/>
  <c r="CR164" i="20"/>
  <c r="U165" i="20"/>
  <c r="T171" i="20"/>
  <c r="AY176" i="20"/>
  <c r="BN184" i="20"/>
  <c r="BP184" i="20" s="1"/>
  <c r="BT75" i="20"/>
  <c r="AW76" i="20"/>
  <c r="CQ76" i="20"/>
  <c r="CF77" i="20"/>
  <c r="CF79" i="20"/>
  <c r="AD81" i="20"/>
  <c r="CT81" i="20"/>
  <c r="CU82" i="20"/>
  <c r="CW82" i="20" s="1"/>
  <c r="T83" i="20"/>
  <c r="BQ83" i="20"/>
  <c r="AD85" i="20"/>
  <c r="CP85" i="20"/>
  <c r="CO86" i="20"/>
  <c r="AC115" i="20"/>
  <c r="AH141" i="20"/>
  <c r="CU141" i="20"/>
  <c r="CV141" i="20" s="1"/>
  <c r="CO143" i="20"/>
  <c r="CJ144" i="20"/>
  <c r="BX145" i="20"/>
  <c r="BY145" i="20" s="1"/>
  <c r="CR147" i="20"/>
  <c r="AE150" i="20"/>
  <c r="AE151" i="20"/>
  <c r="DA152" i="20"/>
  <c r="CT153" i="20"/>
  <c r="CN155" i="20"/>
  <c r="BQ156" i="20"/>
  <c r="BS156" i="20" s="1"/>
  <c r="AG157" i="20"/>
  <c r="CB159" i="20"/>
  <c r="AH160" i="20"/>
  <c r="AE161" i="20"/>
  <c r="CT161" i="20"/>
  <c r="CO162" i="20"/>
  <c r="CU164" i="20"/>
  <c r="CZ164" i="20" s="1"/>
  <c r="T170" i="20"/>
  <c r="X171" i="20"/>
  <c r="BN176" i="20"/>
  <c r="BP176" i="20" s="1"/>
  <c r="CP177" i="20"/>
  <c r="CQ178" i="20"/>
  <c r="CW183" i="20"/>
  <c r="CB184" i="20"/>
  <c r="CU186" i="20"/>
  <c r="BB187" i="20"/>
  <c r="BC187" i="20" s="1"/>
  <c r="BQ191" i="20"/>
  <c r="BS191" i="20" s="1"/>
  <c r="CR76" i="20"/>
  <c r="AG81" i="20"/>
  <c r="CU81" i="20"/>
  <c r="CY81" i="20" s="1"/>
  <c r="BX83" i="20"/>
  <c r="BY83" i="20" s="1"/>
  <c r="AI141" i="20"/>
  <c r="CP143" i="20"/>
  <c r="T144" i="20"/>
  <c r="CP144" i="20"/>
  <c r="CJ145" i="20"/>
  <c r="CJ146" i="20"/>
  <c r="CL146" i="20" s="1"/>
  <c r="AG149" i="20"/>
  <c r="AF150" i="20"/>
  <c r="AF151" i="20"/>
  <c r="AE152" i="20"/>
  <c r="AE153" i="20"/>
  <c r="DA153" i="20"/>
  <c r="AD154" i="20"/>
  <c r="CT154" i="20"/>
  <c r="CO155" i="20"/>
  <c r="CB156" i="20"/>
  <c r="AH157" i="20"/>
  <c r="AD158" i="20"/>
  <c r="CQ158" i="20"/>
  <c r="T159" i="20"/>
  <c r="H159" i="20" s="1"/>
  <c r="AF161" i="20"/>
  <c r="DA161" i="20"/>
  <c r="CP162" i="20"/>
  <c r="BQ163" i="20"/>
  <c r="AY165" i="20"/>
  <c r="BQ171" i="20"/>
  <c r="BR171" i="20" s="1"/>
  <c r="CN182" i="20"/>
  <c r="CX183" i="20"/>
  <c r="BT187" i="20"/>
  <c r="CO191" i="20"/>
  <c r="DH76" i="20"/>
  <c r="AD82" i="20"/>
  <c r="CB83" i="20"/>
  <c r="CD83" i="20" s="1"/>
  <c r="CP84" i="20"/>
  <c r="BQ88" i="20"/>
  <c r="BS88" i="20" s="1"/>
  <c r="BD100" i="20"/>
  <c r="AG105" i="20"/>
  <c r="AF106" i="20"/>
  <c r="AY107" i="20"/>
  <c r="T113" i="20"/>
  <c r="AF115" i="20"/>
  <c r="AB142" i="20"/>
  <c r="CU143" i="20"/>
  <c r="CP145" i="20"/>
  <c r="BQ170" i="20"/>
  <c r="BS170" i="20" s="1"/>
  <c r="CO171" i="20"/>
  <c r="BT176" i="20"/>
  <c r="BW176" i="20" s="1"/>
  <c r="CZ183" i="20"/>
  <c r="BX187" i="20"/>
  <c r="DA189" i="20"/>
  <c r="CP191" i="20"/>
  <c r="AY81" i="20"/>
  <c r="AE82" i="20"/>
  <c r="AC83" i="20"/>
  <c r="AH85" i="20"/>
  <c r="AH86" i="20"/>
  <c r="CU86" i="20"/>
  <c r="CV86" i="20" s="1"/>
  <c r="CO88" i="20"/>
  <c r="U104" i="20"/>
  <c r="H105" i="20"/>
  <c r="AS105" i="20" s="1"/>
  <c r="AH106" i="20"/>
  <c r="K107" i="20"/>
  <c r="AC109" i="20"/>
  <c r="AY111" i="20"/>
  <c r="U117" i="20"/>
  <c r="BN141" i="20"/>
  <c r="AC142" i="20"/>
  <c r="AC143" i="20"/>
  <c r="CU145" i="20"/>
  <c r="CY145" i="20" s="1"/>
  <c r="AC146" i="20"/>
  <c r="CQ146" i="20"/>
  <c r="AC147" i="20"/>
  <c r="BQ149" i="20"/>
  <c r="BS149" i="20" s="1"/>
  <c r="AG152" i="20"/>
  <c r="AG153" i="20"/>
  <c r="AF154" i="20"/>
  <c r="AD155" i="20"/>
  <c r="CQ155" i="20"/>
  <c r="T156" i="20"/>
  <c r="H156" i="20" s="1"/>
  <c r="CN156" i="20"/>
  <c r="BQ157" i="20"/>
  <c r="BS157" i="20" s="1"/>
  <c r="AF158" i="20"/>
  <c r="DA158" i="20"/>
  <c r="CO159" i="20"/>
  <c r="CB160" i="20"/>
  <c r="CD160" i="20" s="1"/>
  <c r="AH161" i="20"/>
  <c r="AD162" i="20"/>
  <c r="CT162" i="20"/>
  <c r="CN163" i="20"/>
  <c r="BT164" i="20"/>
  <c r="BX165" i="20"/>
  <c r="BN169" i="20"/>
  <c r="BP169" i="20" s="1"/>
  <c r="BX176" i="20"/>
  <c r="CA176" i="20" s="1"/>
  <c r="CN184" i="20"/>
  <c r="C912" i="19"/>
  <c r="B958" i="19"/>
  <c r="O1626" i="19"/>
  <c r="B1805" i="19"/>
  <c r="C1872" i="19"/>
  <c r="E2562" i="19"/>
  <c r="C2689" i="19"/>
  <c r="F3643" i="19"/>
  <c r="F3624" i="19" s="1"/>
  <c r="F3662" i="19"/>
  <c r="F3700" i="19" s="1"/>
  <c r="C4144" i="19"/>
  <c r="B5171" i="19"/>
  <c r="E524" i="19"/>
  <c r="C675" i="19"/>
  <c r="G48" i="21"/>
  <c r="I48" i="21" s="1"/>
  <c r="F2567" i="19"/>
  <c r="F2590" i="19"/>
  <c r="F2571" i="19" s="1"/>
  <c r="B3329" i="19"/>
  <c r="C3575" i="19"/>
  <c r="B3608" i="19"/>
  <c r="E4181" i="19"/>
  <c r="E4187" i="19"/>
  <c r="B4790" i="19"/>
  <c r="F4893" i="19"/>
  <c r="F4894" i="19" s="1"/>
  <c r="F4914" i="19" s="1"/>
  <c r="G5062" i="19"/>
  <c r="G5139" i="19" s="1"/>
  <c r="G5152" i="19" s="1"/>
  <c r="E519" i="19"/>
  <c r="O1618" i="19"/>
  <c r="C4345" i="19"/>
  <c r="B4862" i="19"/>
  <c r="C441" i="19"/>
  <c r="F1204" i="19"/>
  <c r="F1205" i="19" s="1"/>
  <c r="F1225" i="19" s="1"/>
  <c r="N1642" i="19"/>
  <c r="N1646" i="19"/>
  <c r="C1790" i="19"/>
  <c r="F2570" i="19"/>
  <c r="B2762" i="19"/>
  <c r="B2771" i="19" s="1"/>
  <c r="N2772" i="19"/>
  <c r="E3627" i="19"/>
  <c r="C325" i="19"/>
  <c r="C644" i="19"/>
  <c r="C708" i="19"/>
  <c r="B745" i="19"/>
  <c r="C1108" i="19"/>
  <c r="F1223" i="19"/>
  <c r="F1257" i="19" s="1"/>
  <c r="O1496" i="19"/>
  <c r="C2172" i="19"/>
  <c r="B2677" i="19"/>
  <c r="N3891" i="19"/>
  <c r="N3894" i="19"/>
  <c r="B4459" i="19"/>
  <c r="B1701" i="19"/>
  <c r="C416" i="19"/>
  <c r="E1219" i="19"/>
  <c r="E1255" i="19" s="1"/>
  <c r="B1468" i="19"/>
  <c r="I1483" i="19"/>
  <c r="I1484" i="19" s="1"/>
  <c r="I1486" i="19" s="1"/>
  <c r="D1480" i="19" s="1"/>
  <c r="G1527" i="19"/>
  <c r="G1611" i="19" s="1"/>
  <c r="O1611" i="19" s="1"/>
  <c r="O1737" i="19" s="1"/>
  <c r="K1737" i="19" s="1"/>
  <c r="C1704" i="19"/>
  <c r="B1862" i="19"/>
  <c r="E2582" i="19"/>
  <c r="E2602" i="19" s="1"/>
  <c r="N2657" i="19"/>
  <c r="D2652" i="19" s="1"/>
  <c r="B3594" i="19"/>
  <c r="B3713" i="19"/>
  <c r="B3792" i="19"/>
  <c r="E4190" i="19"/>
  <c r="C4237" i="19"/>
  <c r="O5250" i="19"/>
  <c r="O5260" i="19" s="1"/>
  <c r="M5260" i="19" s="1"/>
  <c r="O1623" i="19"/>
  <c r="M3795" i="19"/>
  <c r="O3795" i="19" s="1"/>
  <c r="C358" i="19"/>
  <c r="B420" i="19"/>
  <c r="B1328" i="19"/>
  <c r="B2447" i="19"/>
  <c r="F2587" i="19"/>
  <c r="F2607" i="19" s="1"/>
  <c r="B2658" i="19"/>
  <c r="C2968" i="19"/>
  <c r="C3614" i="19"/>
  <c r="C4439" i="19"/>
  <c r="C4581" i="19"/>
  <c r="E526" i="19"/>
  <c r="C2115" i="19"/>
  <c r="B968" i="19"/>
  <c r="B1192" i="19"/>
  <c r="B1236" i="19" s="1"/>
  <c r="O1509" i="19"/>
  <c r="B1569" i="19"/>
  <c r="B1713" i="19" s="1"/>
  <c r="B1689" i="19"/>
  <c r="C2684" i="19"/>
  <c r="B3454" i="19"/>
  <c r="B3555" i="19"/>
  <c r="F3631" i="19"/>
  <c r="B3809" i="19"/>
  <c r="B3947" i="19" s="1"/>
  <c r="B3907" i="19"/>
  <c r="B4070" i="19"/>
  <c r="C4090" i="19"/>
  <c r="B4226" i="19"/>
  <c r="C4252" i="19"/>
  <c r="C4315" i="19"/>
  <c r="B4464" i="19"/>
  <c r="C4532" i="19"/>
  <c r="B4589" i="19"/>
  <c r="B5145" i="19"/>
  <c r="C379" i="19"/>
  <c r="E527" i="19"/>
  <c r="B761" i="19"/>
  <c r="B806" i="19"/>
  <c r="C1016" i="19"/>
  <c r="O1499" i="19"/>
  <c r="B1690" i="19"/>
  <c r="B2455" i="19"/>
  <c r="B2486" i="19"/>
  <c r="B2555" i="19"/>
  <c r="N2660" i="19"/>
  <c r="O2660" i="19" s="1"/>
  <c r="O2662" i="19" s="1"/>
  <c r="D2658" i="19" s="1"/>
  <c r="O2717" i="19"/>
  <c r="B2722" i="19"/>
  <c r="C2846" i="19"/>
  <c r="C2949" i="19"/>
  <c r="E3033" i="19"/>
  <c r="C3178" i="19"/>
  <c r="B3246" i="19"/>
  <c r="B3655" i="19"/>
  <c r="E4179" i="19"/>
  <c r="C4639" i="19"/>
  <c r="C4786" i="19"/>
  <c r="F4897" i="19"/>
  <c r="F4917" i="19" s="1"/>
  <c r="B5083" i="19"/>
  <c r="B5096" i="19" s="1"/>
  <c r="B5210" i="19" s="1"/>
  <c r="N5243" i="19"/>
  <c r="D5235" i="19" s="1"/>
  <c r="C5380" i="19"/>
  <c r="N1643" i="19"/>
  <c r="E520" i="19"/>
  <c r="F1215" i="19"/>
  <c r="F1253" i="19" s="1"/>
  <c r="C1305" i="19"/>
  <c r="G1515" i="19"/>
  <c r="G1581" i="19" s="1"/>
  <c r="O1581" i="19" s="1"/>
  <c r="C1560" i="19"/>
  <c r="G1600" i="19"/>
  <c r="O1600" i="19" s="1"/>
  <c r="O1726" i="19" s="1"/>
  <c r="K1726" i="19" s="1"/>
  <c r="C2127" i="19"/>
  <c r="C2199" i="19"/>
  <c r="B2726" i="19"/>
  <c r="B2735" i="19" s="1"/>
  <c r="B2825" i="19" s="1"/>
  <c r="C2740" i="19"/>
  <c r="C2795" i="19"/>
  <c r="E3028" i="19"/>
  <c r="E3034" i="19"/>
  <c r="B3062" i="19"/>
  <c r="C3494" i="19"/>
  <c r="B3616" i="19"/>
  <c r="N3889" i="19"/>
  <c r="C3995" i="19"/>
  <c r="C4193" i="19"/>
  <c r="B4705" i="19"/>
  <c r="F4877" i="19"/>
  <c r="B4901" i="19"/>
  <c r="B5189" i="19"/>
  <c r="C5273" i="19"/>
  <c r="G1518" i="19"/>
  <c r="G1620" i="19" s="1"/>
  <c r="G1638" i="19" s="1"/>
  <c r="B3639" i="19"/>
  <c r="B3683" i="19" s="1"/>
  <c r="N3895" i="19"/>
  <c r="G14" i="21"/>
  <c r="I1445" i="19"/>
  <c r="E579" i="19"/>
  <c r="E4188" i="19"/>
  <c r="C1124" i="19"/>
  <c r="F1176" i="19"/>
  <c r="O1278" i="19"/>
  <c r="O1286" i="19" s="1"/>
  <c r="M1286" i="19" s="1"/>
  <c r="O1313" i="19"/>
  <c r="I1446" i="19"/>
  <c r="E580" i="19"/>
  <c r="O1502" i="19"/>
  <c r="B1574" i="19"/>
  <c r="B1718" i="19" s="1"/>
  <c r="E1936" i="19"/>
  <c r="C1989" i="19"/>
  <c r="C2285" i="19"/>
  <c r="C2438" i="19"/>
  <c r="B2479" i="19"/>
  <c r="C2652" i="19"/>
  <c r="O2691" i="19"/>
  <c r="O2693" i="19" s="1"/>
  <c r="D2689" i="19" s="1"/>
  <c r="G2706" i="19"/>
  <c r="G2754" i="19" s="1"/>
  <c r="O2754" i="19" s="1"/>
  <c r="O2835" i="19" s="1"/>
  <c r="K2835" i="19" s="1"/>
  <c r="B2728" i="19"/>
  <c r="B2818" i="19" s="1"/>
  <c r="C3261" i="19"/>
  <c r="N3723" i="19"/>
  <c r="O3723" i="19" s="1"/>
  <c r="C4295" i="19"/>
  <c r="B4486" i="19"/>
  <c r="B4520" i="19"/>
  <c r="C4548" i="19"/>
  <c r="C4709" i="19"/>
  <c r="B5024" i="19"/>
  <c r="B5283" i="19"/>
  <c r="G15" i="21"/>
  <c r="I15" i="21" s="1"/>
  <c r="I1447" i="19"/>
  <c r="E581" i="19"/>
  <c r="E2566" i="19"/>
  <c r="B1281" i="19"/>
  <c r="C1505" i="19"/>
  <c r="B1530" i="19"/>
  <c r="B1614" i="19"/>
  <c r="C1795" i="19"/>
  <c r="B2184" i="19"/>
  <c r="B2252" i="19"/>
  <c r="B2348" i="19"/>
  <c r="C2665" i="19"/>
  <c r="B2873" i="19"/>
  <c r="B3127" i="19"/>
  <c r="B3187" i="19"/>
  <c r="B3381" i="19"/>
  <c r="C3547" i="19"/>
  <c r="C3675" i="19"/>
  <c r="B3815" i="19"/>
  <c r="C3848" i="19"/>
  <c r="B5332" i="19"/>
  <c r="N1384" i="19"/>
  <c r="N1431" i="19" s="1"/>
  <c r="K1431" i="19" s="1"/>
  <c r="C2077" i="19"/>
  <c r="B2111" i="19"/>
  <c r="C2443" i="19"/>
  <c r="N2773" i="19"/>
  <c r="B3232" i="19"/>
  <c r="O3758" i="19"/>
  <c r="B3788" i="19"/>
  <c r="C4023" i="19"/>
  <c r="C4085" i="19"/>
  <c r="C4628" i="19"/>
  <c r="O5045" i="19"/>
  <c r="B5263" i="19"/>
  <c r="B1568" i="19"/>
  <c r="B1712" i="19" s="1"/>
  <c r="N3719" i="19"/>
  <c r="D3713" i="19" s="1"/>
  <c r="N5002" i="19"/>
  <c r="D4997" i="19" s="1"/>
  <c r="O5247" i="19"/>
  <c r="O5257" i="19" s="1"/>
  <c r="O5267" i="19" s="1"/>
  <c r="B1726" i="19"/>
  <c r="B1618" i="19"/>
  <c r="B1636" i="19" s="1"/>
  <c r="O5249" i="19"/>
  <c r="O5259" i="19" s="1"/>
  <c r="O5269" i="19" s="1"/>
  <c r="F4884" i="19"/>
  <c r="F4904" i="19" s="1"/>
  <c r="F4942" i="19" s="1"/>
  <c r="F4903" i="19"/>
  <c r="F4941" i="19" s="1"/>
  <c r="B1620" i="19"/>
  <c r="B1638" i="19" s="1"/>
  <c r="B1728" i="19"/>
  <c r="E4886" i="19"/>
  <c r="E4906" i="19" s="1"/>
  <c r="E4944" i="19" s="1"/>
  <c r="E4905" i="19"/>
  <c r="E4943" i="19" s="1"/>
  <c r="B2621" i="19"/>
  <c r="B2596" i="19"/>
  <c r="B2634" i="19" s="1"/>
  <c r="O1604" i="19"/>
  <c r="O1730" i="19" s="1"/>
  <c r="K1730" i="19" s="1"/>
  <c r="B3818" i="19"/>
  <c r="B3956" i="19" s="1"/>
  <c r="B3941" i="19"/>
  <c r="K5446" i="19"/>
  <c r="D5437" i="19" s="1"/>
  <c r="B1169" i="19"/>
  <c r="N1645" i="19"/>
  <c r="F2601" i="19"/>
  <c r="F2639" i="19" s="1"/>
  <c r="N2770" i="19"/>
  <c r="C2914" i="19"/>
  <c r="C3708" i="19"/>
  <c r="I3743" i="19"/>
  <c r="I3744" i="19" s="1"/>
  <c r="I3746" i="19" s="1"/>
  <c r="D3740" i="19" s="1"/>
  <c r="B3833" i="19"/>
  <c r="B3851" i="19" s="1"/>
  <c r="B3971" i="19" s="1"/>
  <c r="C4661" i="19"/>
  <c r="N5152" i="19"/>
  <c r="B320" i="19"/>
  <c r="B1571" i="19"/>
  <c r="B1715" i="19" s="1"/>
  <c r="N3829" i="19"/>
  <c r="D3815" i="19" s="1"/>
  <c r="N3896" i="19"/>
  <c r="K5206" i="19"/>
  <c r="D5194" i="19" s="1"/>
  <c r="O5137" i="19"/>
  <c r="B5244" i="19"/>
  <c r="C654" i="19"/>
  <c r="C450" i="19"/>
  <c r="B831" i="19"/>
  <c r="C1038" i="19"/>
  <c r="B1312" i="19"/>
  <c r="D1334" i="19"/>
  <c r="N1385" i="19"/>
  <c r="N1432" i="19" s="1"/>
  <c r="K1432" i="19" s="1"/>
  <c r="O1507" i="19"/>
  <c r="G1582" i="19"/>
  <c r="O1582" i="19" s="1"/>
  <c r="N1635" i="19"/>
  <c r="B1979" i="19"/>
  <c r="B2046" i="19"/>
  <c r="B2203" i="19"/>
  <c r="B2337" i="19"/>
  <c r="B2578" i="19"/>
  <c r="K2820" i="19"/>
  <c r="D2812" i="19" s="1"/>
  <c r="C2776" i="19"/>
  <c r="C2944" i="19"/>
  <c r="E3036" i="19"/>
  <c r="B3040" i="19"/>
  <c r="B3073" i="19"/>
  <c r="B3283" i="19"/>
  <c r="F3670" i="19"/>
  <c r="F3704" i="19" s="1"/>
  <c r="C3689" i="19"/>
  <c r="B3834" i="19"/>
  <c r="B3852" i="19" s="1"/>
  <c r="B3972" i="19" s="1"/>
  <c r="N3888" i="19"/>
  <c r="C4011" i="19"/>
  <c r="B4359" i="19"/>
  <c r="B4381" i="19"/>
  <c r="B4540" i="19"/>
  <c r="C4593" i="19"/>
  <c r="B4824" i="19"/>
  <c r="B4829" i="19" s="1"/>
  <c r="C4854" i="19"/>
  <c r="E4877" i="19"/>
  <c r="B4911" i="19"/>
  <c r="B4947" i="19" s="1"/>
  <c r="O5041" i="19"/>
  <c r="G5111" i="19"/>
  <c r="O5111" i="19" s="1"/>
  <c r="B5163" i="19"/>
  <c r="C5220" i="19"/>
  <c r="I5455" i="19"/>
  <c r="D5447" i="19" s="1"/>
  <c r="E528" i="19"/>
  <c r="E1196" i="19"/>
  <c r="E1216" i="19" s="1"/>
  <c r="N2771" i="19"/>
  <c r="E4893" i="19"/>
  <c r="E4913" i="19" s="1"/>
  <c r="B4927" i="19"/>
  <c r="B5085" i="19"/>
  <c r="B5098" i="19" s="1"/>
  <c r="B5212" i="19" s="1"/>
  <c r="G5124" i="19"/>
  <c r="O5124" i="19" s="1"/>
  <c r="O5225" i="19" s="1"/>
  <c r="K5225" i="19" s="1"/>
  <c r="G45" i="21"/>
  <c r="E522" i="19"/>
  <c r="C875" i="19"/>
  <c r="C1487" i="19"/>
  <c r="B2097" i="19"/>
  <c r="C2389" i="19"/>
  <c r="C2423" i="19"/>
  <c r="F2562" i="19"/>
  <c r="B3333" i="19"/>
  <c r="B3533" i="19"/>
  <c r="B3586" i="19"/>
  <c r="B3693" i="19"/>
  <c r="G3784" i="19"/>
  <c r="B3953" i="19"/>
  <c r="C4017" i="19"/>
  <c r="B4080" i="19"/>
  <c r="C4204" i="19"/>
  <c r="B4423" i="19"/>
  <c r="B4449" i="19"/>
  <c r="B4476" i="19"/>
  <c r="B4499" i="19"/>
  <c r="B4524" i="19"/>
  <c r="C4827" i="19"/>
  <c r="C4866" i="19"/>
  <c r="E4916" i="19"/>
  <c r="E4950" i="19" s="1"/>
  <c r="B4985" i="19"/>
  <c r="N5246" i="19"/>
  <c r="O5246" i="19" s="1"/>
  <c r="O5256" i="19" s="1"/>
  <c r="C2973" i="19"/>
  <c r="C3137" i="19"/>
  <c r="C3191" i="19"/>
  <c r="E3666" i="19"/>
  <c r="E3702" i="19" s="1"/>
  <c r="G3777" i="19"/>
  <c r="G3834" i="19" s="1"/>
  <c r="O3834" i="19" s="1"/>
  <c r="B3811" i="19"/>
  <c r="B3826" i="19" s="1"/>
  <c r="B3964" i="19" s="1"/>
  <c r="B3836" i="19"/>
  <c r="B3854" i="19" s="1"/>
  <c r="B3974" i="19" s="1"/>
  <c r="C4100" i="19"/>
  <c r="B4601" i="19"/>
  <c r="C4960" i="19"/>
  <c r="B4987" i="19"/>
  <c r="B5306" i="19"/>
  <c r="C671" i="19"/>
  <c r="B946" i="19"/>
  <c r="E1200" i="19"/>
  <c r="E1220" i="19" s="1"/>
  <c r="C1274" i="19"/>
  <c r="C1342" i="19"/>
  <c r="C1822" i="19"/>
  <c r="E1931" i="19"/>
  <c r="B1912" i="19"/>
  <c r="C2101" i="19"/>
  <c r="C2232" i="19"/>
  <c r="B2628" i="19"/>
  <c r="N2730" i="19"/>
  <c r="D2722" i="19" s="1"/>
  <c r="E4912" i="19"/>
  <c r="E4948" i="19" s="1"/>
  <c r="B5087" i="19"/>
  <c r="B5100" i="19" s="1"/>
  <c r="B5214" i="19" s="1"/>
  <c r="C330" i="19"/>
  <c r="B406" i="19"/>
  <c r="C436" i="19"/>
  <c r="C516" i="19"/>
  <c r="C688" i="19"/>
  <c r="B918" i="19"/>
  <c r="B1097" i="19"/>
  <c r="B1323" i="19"/>
  <c r="C1374" i="19"/>
  <c r="C1451" i="19"/>
  <c r="B1691" i="19"/>
  <c r="B2073" i="19"/>
  <c r="B2309" i="19"/>
  <c r="C2353" i="19"/>
  <c r="C2490" i="19"/>
  <c r="B2533" i="19"/>
  <c r="I2556" i="19"/>
  <c r="F2566" i="19"/>
  <c r="C2714" i="19"/>
  <c r="B2817" i="19"/>
  <c r="B3195" i="19"/>
  <c r="C3317" i="19"/>
  <c r="C3440" i="19"/>
  <c r="C3462" i="19"/>
  <c r="C3540" i="19"/>
  <c r="M3738" i="19"/>
  <c r="G3778" i="19"/>
  <c r="G3835" i="19" s="1"/>
  <c r="O3835" i="19" s="1"/>
  <c r="N3892" i="19"/>
  <c r="E4180" i="19"/>
  <c r="E4186" i="19"/>
  <c r="K4274" i="19"/>
  <c r="B4427" i="19"/>
  <c r="B4480" i="19"/>
  <c r="C4503" i="19"/>
  <c r="B4528" i="19"/>
  <c r="B4605" i="19"/>
  <c r="C4719" i="19"/>
  <c r="N5154" i="19"/>
  <c r="B5253" i="19"/>
  <c r="N5421" i="19"/>
  <c r="K5421" i="19" s="1"/>
  <c r="N1380" i="19"/>
  <c r="D1374" i="19" s="1"/>
  <c r="K1410" i="19"/>
  <c r="K1414" i="19" s="1"/>
  <c r="K1416" i="19" s="1"/>
  <c r="K1418" i="19" s="1"/>
  <c r="D1413" i="19" s="1"/>
  <c r="G1608" i="19"/>
  <c r="O1608" i="19" s="1"/>
  <c r="O1734" i="19" s="1"/>
  <c r="K1734" i="19" s="1"/>
  <c r="B1627" i="19"/>
  <c r="B1645" i="19" s="1"/>
  <c r="F2686" i="19"/>
  <c r="N2686" i="19" s="1"/>
  <c r="B2764" i="19"/>
  <c r="B2773" i="19" s="1"/>
  <c r="F4908" i="19"/>
  <c r="F4946" i="19" s="1"/>
  <c r="N5375" i="19"/>
  <c r="N5432" i="19" s="1"/>
  <c r="K5432" i="19" s="1"/>
  <c r="C483" i="19"/>
  <c r="B989" i="19"/>
  <c r="B1513" i="19"/>
  <c r="C1747" i="19"/>
  <c r="C2359" i="19"/>
  <c r="B2401" i="19"/>
  <c r="B2494" i="19"/>
  <c r="E2587" i="19"/>
  <c r="E2607" i="19" s="1"/>
  <c r="F2605" i="19"/>
  <c r="F2641" i="19" s="1"/>
  <c r="M2703" i="19"/>
  <c r="M2711" i="19" s="1"/>
  <c r="M2713" i="19" s="1"/>
  <c r="D2710" i="19" s="1"/>
  <c r="B2934" i="19"/>
  <c r="C3199" i="19"/>
  <c r="C3321" i="19"/>
  <c r="B3445" i="19"/>
  <c r="G3779" i="19"/>
  <c r="G3836" i="19" s="1"/>
  <c r="O3836" i="19" s="1"/>
  <c r="B4105" i="19"/>
  <c r="C4161" i="19"/>
  <c r="C4215" i="19"/>
  <c r="I4863" i="19"/>
  <c r="N5005" i="19"/>
  <c r="O5005" i="19" s="1"/>
  <c r="O5007" i="19" s="1"/>
  <c r="D5003" i="19" s="1"/>
  <c r="B5036" i="19"/>
  <c r="N5148" i="19"/>
  <c r="C594" i="19"/>
  <c r="B855" i="19"/>
  <c r="O1495" i="19"/>
  <c r="N1641" i="19"/>
  <c r="O1641" i="19" s="1"/>
  <c r="B1752" i="19"/>
  <c r="C1831" i="19"/>
  <c r="B1928" i="19"/>
  <c r="C1969" i="19"/>
  <c r="F2606" i="19"/>
  <c r="B2963" i="19"/>
  <c r="C3203" i="19"/>
  <c r="B3242" i="19"/>
  <c r="C3273" i="19"/>
  <c r="C3450" i="19"/>
  <c r="C3472" i="19"/>
  <c r="K4264" i="19"/>
  <c r="B4623" i="19"/>
  <c r="C4860" i="19"/>
  <c r="D5019" i="19"/>
  <c r="N5092" i="19"/>
  <c r="D5080" i="19" s="1"/>
  <c r="N5155" i="19"/>
  <c r="B5183" i="19"/>
  <c r="B5207" i="19"/>
  <c r="B5427" i="19"/>
  <c r="B765" i="19"/>
  <c r="C765" i="19"/>
  <c r="C818" i="19"/>
  <c r="B818" i="19"/>
  <c r="C1246" i="19"/>
  <c r="B1246" i="19"/>
  <c r="C2331" i="19"/>
  <c r="B2331" i="19"/>
  <c r="C2909" i="19"/>
  <c r="B2909" i="19"/>
  <c r="C3046" i="19"/>
  <c r="B3046" i="19"/>
  <c r="C3414" i="19"/>
  <c r="B3414" i="19"/>
  <c r="C3517" i="19"/>
  <c r="B3517" i="19"/>
  <c r="C3544" i="19"/>
  <c r="B3544" i="19"/>
  <c r="B3635" i="19"/>
  <c r="B3677" i="19" s="1"/>
  <c r="C3635" i="19"/>
  <c r="C532" i="19"/>
  <c r="B532" i="19"/>
  <c r="C679" i="19"/>
  <c r="B679" i="19"/>
  <c r="C729" i="19"/>
  <c r="B729" i="19"/>
  <c r="C930" i="19"/>
  <c r="B930" i="19"/>
  <c r="C1435" i="19"/>
  <c r="B1435" i="19"/>
  <c r="C2119" i="19"/>
  <c r="B2119" i="19"/>
  <c r="C2510" i="19"/>
  <c r="B2510" i="19"/>
  <c r="C3051" i="19"/>
  <c r="B3051" i="19"/>
  <c r="B3747" i="19"/>
  <c r="C3747" i="19"/>
  <c r="B455" i="19"/>
  <c r="C455" i="19"/>
  <c r="C614" i="19"/>
  <c r="C700" i="19"/>
  <c r="B770" i="19"/>
  <c r="C908" i="19"/>
  <c r="C1058" i="19"/>
  <c r="B1058" i="19"/>
  <c r="B1334" i="19"/>
  <c r="C1334" i="19"/>
  <c r="B1663" i="19"/>
  <c r="C1663" i="19"/>
  <c r="B2061" i="19"/>
  <c r="C2061" i="19"/>
  <c r="C2147" i="19"/>
  <c r="C2224" i="19"/>
  <c r="B2374" i="19"/>
  <c r="C2514" i="19"/>
  <c r="B2514" i="19"/>
  <c r="B2647" i="19"/>
  <c r="C2758" i="19"/>
  <c r="B2758" i="19"/>
  <c r="B2991" i="19"/>
  <c r="B3142" i="19"/>
  <c r="C3142" i="19"/>
  <c r="C3256" i="19"/>
  <c r="B3289" i="19"/>
  <c r="C399" i="19"/>
  <c r="C426" i="19"/>
  <c r="B538" i="19"/>
  <c r="B704" i="19"/>
  <c r="C704" i="19"/>
  <c r="C737" i="19"/>
  <c r="B737" i="19"/>
  <c r="B822" i="19"/>
  <c r="C835" i="19"/>
  <c r="B935" i="19"/>
  <c r="B1026" i="19"/>
  <c r="C1026" i="19"/>
  <c r="B1131" i="19"/>
  <c r="B1136" i="19" s="1"/>
  <c r="C1131" i="19"/>
  <c r="C1492" i="19"/>
  <c r="B1492" i="19"/>
  <c r="B1842" i="19"/>
  <c r="C2106" i="19"/>
  <c r="B2106" i="19"/>
  <c r="B2123" i="19"/>
  <c r="C2191" i="19"/>
  <c r="B2191" i="19"/>
  <c r="C2256" i="19"/>
  <c r="B2256" i="19"/>
  <c r="B2417" i="19"/>
  <c r="C2417" i="19"/>
  <c r="C2517" i="19"/>
  <c r="B2517" i="19"/>
  <c r="B2522" i="19" s="1"/>
  <c r="C2632" i="19"/>
  <c r="B2632" i="19"/>
  <c r="B2807" i="19"/>
  <c r="B2958" i="19"/>
  <c r="B3008" i="19"/>
  <c r="C3008" i="19"/>
  <c r="C3147" i="19"/>
  <c r="B3147" i="19"/>
  <c r="C3228" i="19"/>
  <c r="B3313" i="19"/>
  <c r="C3313" i="19"/>
  <c r="C338" i="19"/>
  <c r="B460" i="19"/>
  <c r="B999" i="19"/>
  <c r="B1366" i="19"/>
  <c r="C1366" i="19"/>
  <c r="C1780" i="19"/>
  <c r="B2207" i="19"/>
  <c r="B2343" i="19"/>
  <c r="C2789" i="19"/>
  <c r="C2920" i="19"/>
  <c r="B2920" i="19"/>
  <c r="C2939" i="19"/>
  <c r="B3057" i="19"/>
  <c r="C3057" i="19"/>
  <c r="B3354" i="19"/>
  <c r="C3354" i="19"/>
  <c r="C1100" i="19"/>
  <c r="B1100" i="19"/>
  <c r="C1877" i="19"/>
  <c r="B1877" i="19"/>
  <c r="C2081" i="19"/>
  <c r="B2081" i="19"/>
  <c r="B2520" i="19"/>
  <c r="C2731" i="19"/>
  <c r="B2731" i="19"/>
  <c r="C3752" i="19"/>
  <c r="B3752" i="19"/>
  <c r="C887" i="19"/>
  <c r="B887" i="19"/>
  <c r="C1895" i="19"/>
  <c r="B1895" i="19"/>
  <c r="C2812" i="19"/>
  <c r="B2812" i="19"/>
  <c r="C3162" i="19"/>
  <c r="B3162" i="19"/>
  <c r="C3590" i="19"/>
  <c r="B3590" i="19"/>
  <c r="C634" i="19"/>
  <c r="B786" i="19"/>
  <c r="B1008" i="19"/>
  <c r="B1104" i="19"/>
  <c r="B1135" i="19" s="1"/>
  <c r="C1147" i="19"/>
  <c r="B1395" i="19"/>
  <c r="B1419" i="19"/>
  <c r="C1480" i="19"/>
  <c r="C1785" i="19"/>
  <c r="B1785" i="19"/>
  <c r="B1950" i="19"/>
  <c r="C2212" i="19"/>
  <c r="B2212" i="19"/>
  <c r="C2559" i="19"/>
  <c r="C2879" i="19"/>
  <c r="B2879" i="19"/>
  <c r="C3300" i="19"/>
  <c r="B3300" i="19"/>
  <c r="C851" i="19"/>
  <c r="B851" i="19"/>
  <c r="B1012" i="19"/>
  <c r="C1012" i="19"/>
  <c r="B1461" i="19"/>
  <c r="C1461" i="19"/>
  <c r="C2397" i="19"/>
  <c r="B2397" i="19"/>
  <c r="C2428" i="19"/>
  <c r="B2428" i="19"/>
  <c r="B2749" i="19"/>
  <c r="C386" i="19"/>
  <c r="C716" i="19"/>
  <c r="B814" i="19"/>
  <c r="C827" i="19"/>
  <c r="B892" i="19"/>
  <c r="C892" i="19"/>
  <c r="C1093" i="19"/>
  <c r="C1632" i="19"/>
  <c r="B1675" i="19"/>
  <c r="C2065" i="19"/>
  <c r="C2093" i="19"/>
  <c r="C2925" i="19"/>
  <c r="C3211" i="19"/>
  <c r="B3211" i="19"/>
  <c r="B3341" i="19"/>
  <c r="C3392" i="19"/>
  <c r="B3392" i="19"/>
  <c r="C3720" i="19"/>
  <c r="B3720" i="19"/>
  <c r="C3968" i="19"/>
  <c r="B3968" i="19"/>
  <c r="C1984" i="19"/>
  <c r="B2433" i="19"/>
  <c r="C2619" i="19"/>
  <c r="B2694" i="19"/>
  <c r="C3571" i="19"/>
  <c r="B3571" i="19"/>
  <c r="C3727" i="19"/>
  <c r="B3727" i="19"/>
  <c r="B500" i="19"/>
  <c r="C604" i="19"/>
  <c r="C692" i="19"/>
  <c r="C952" i="19"/>
  <c r="B952" i="19"/>
  <c r="C1167" i="19"/>
  <c r="B1402" i="19"/>
  <c r="B1405" i="19" s="1"/>
  <c r="C1427" i="19"/>
  <c r="B1961" i="19"/>
  <c r="C1961" i="19"/>
  <c r="B2016" i="19"/>
  <c r="C2137" i="19"/>
  <c r="B2137" i="19"/>
  <c r="B2220" i="19"/>
  <c r="C2220" i="19"/>
  <c r="C2471" i="19"/>
  <c r="B2471" i="19"/>
  <c r="B2885" i="19"/>
  <c r="C3132" i="19"/>
  <c r="B3132" i="19"/>
  <c r="B3216" i="19"/>
  <c r="C3216" i="19"/>
  <c r="C3509" i="19"/>
  <c r="B3509" i="19"/>
  <c r="C3599" i="19"/>
  <c r="B3599" i="19"/>
  <c r="C4115" i="19"/>
  <c r="B4115" i="19"/>
  <c r="C4419" i="19"/>
  <c r="C4435" i="19"/>
  <c r="C4507" i="19"/>
  <c r="C4617" i="19"/>
  <c r="C4397" i="19"/>
  <c r="B4651" i="19"/>
  <c r="B4840" i="19"/>
  <c r="C5003" i="19"/>
  <c r="B5106" i="19"/>
  <c r="C5292" i="19"/>
  <c r="B5371" i="19"/>
  <c r="C4030" i="19"/>
  <c r="C4058" i="19"/>
  <c r="B4515" i="19"/>
  <c r="B4817" i="19"/>
  <c r="C4881" i="19"/>
  <c r="B4954" i="19"/>
  <c r="C5301" i="19"/>
  <c r="C5352" i="19"/>
  <c r="B5462" i="19"/>
  <c r="C445" i="19"/>
  <c r="C624" i="19"/>
  <c r="C664" i="19"/>
  <c r="C696" i="19"/>
  <c r="C720" i="19"/>
  <c r="C751" i="19"/>
  <c r="C776" i="19"/>
  <c r="B979" i="19"/>
  <c r="C1173" i="19"/>
  <c r="C1944" i="19"/>
  <c r="C1974" i="19"/>
  <c r="C2011" i="19"/>
  <c r="C2051" i="19"/>
  <c r="C2364" i="19"/>
  <c r="C2781" i="19"/>
  <c r="C2953" i="19"/>
  <c r="C3105" i="19"/>
  <c r="B3337" i="19"/>
  <c r="B3468" i="19"/>
  <c r="C3620" i="19"/>
  <c r="B4220" i="19"/>
  <c r="B4242" i="19"/>
  <c r="B4350" i="19"/>
  <c r="C4405" i="19"/>
  <c r="B4656" i="19"/>
  <c r="C4755" i="19"/>
  <c r="C4979" i="19"/>
  <c r="B5031" i="19"/>
  <c r="B3386" i="19"/>
  <c r="B3430" i="19"/>
  <c r="B3504" i="19"/>
  <c r="C3578" i="19"/>
  <c r="C3915" i="19"/>
  <c r="B4325" i="19"/>
  <c r="B4431" i="19"/>
  <c r="C4560" i="19"/>
  <c r="B4731" i="19"/>
  <c r="B4793" i="19"/>
  <c r="B4939" i="19"/>
  <c r="B4997" i="19"/>
  <c r="B5068" i="19"/>
  <c r="C5467" i="19"/>
  <c r="B3921" i="19"/>
  <c r="B4330" i="19"/>
  <c r="B5457" i="19"/>
  <c r="C2594" i="19"/>
  <c r="C2710" i="19"/>
  <c r="C2930" i="19"/>
  <c r="C3830" i="19"/>
  <c r="B4051" i="19"/>
  <c r="C4110" i="19"/>
  <c r="B4258" i="19"/>
  <c r="C4268" i="19"/>
  <c r="B4300" i="19"/>
  <c r="B4393" i="19"/>
  <c r="C4564" i="19"/>
  <c r="B4921" i="19"/>
  <c r="C4967" i="19"/>
  <c r="C5010" i="19"/>
  <c r="B5072" i="19"/>
  <c r="B5342" i="19"/>
  <c r="B5389" i="19"/>
  <c r="B1392" i="19"/>
  <c r="B1378" i="19"/>
  <c r="C667" i="19"/>
  <c r="B667" i="19"/>
  <c r="B1391" i="19"/>
  <c r="B1377" i="19"/>
  <c r="C3404" i="19"/>
  <c r="B3404" i="19"/>
  <c r="E1212" i="19"/>
  <c r="E1250" i="19" s="1"/>
  <c r="E1193" i="19"/>
  <c r="E1204" i="19"/>
  <c r="E1184" i="19"/>
  <c r="E1223" i="19"/>
  <c r="E1257" i="19" s="1"/>
  <c r="M1537" i="19"/>
  <c r="O1537" i="19" s="1"/>
  <c r="M1514" i="19"/>
  <c r="M1531" i="19" s="1"/>
  <c r="M1533" i="19" s="1"/>
  <c r="D1530" i="19" s="1"/>
  <c r="B1617" i="19"/>
  <c r="B1635" i="19" s="1"/>
  <c r="B1725" i="19"/>
  <c r="B1621" i="19"/>
  <c r="B1639" i="19" s="1"/>
  <c r="B1729" i="19"/>
  <c r="E1932" i="19"/>
  <c r="C2069" i="19"/>
  <c r="B2069" i="19"/>
  <c r="E3628" i="19"/>
  <c r="I3647" i="19"/>
  <c r="I3667" i="19" s="1"/>
  <c r="F3667" i="19"/>
  <c r="F3628" i="19"/>
  <c r="F3648" i="19"/>
  <c r="F3668" i="19" s="1"/>
  <c r="E3648" i="19"/>
  <c r="E3668" i="19" s="1"/>
  <c r="C1134" i="19"/>
  <c r="B1134" i="19"/>
  <c r="C1188" i="19"/>
  <c r="B1188" i="19"/>
  <c r="B1230" i="19" s="1"/>
  <c r="B1731" i="19"/>
  <c r="B1623" i="19"/>
  <c r="B1641" i="19" s="1"/>
  <c r="G2746" i="19"/>
  <c r="O2746" i="19" s="1"/>
  <c r="G2764" i="19"/>
  <c r="G2755" i="19"/>
  <c r="O2755" i="19" s="1"/>
  <c r="O2836" i="19" s="1"/>
  <c r="K2836" i="19" s="1"/>
  <c r="C352" i="19"/>
  <c r="B352" i="19"/>
  <c r="C599" i="19"/>
  <c r="B599" i="19"/>
  <c r="C639" i="19"/>
  <c r="B639" i="19"/>
  <c r="C683" i="19"/>
  <c r="B683" i="19"/>
  <c r="C1143" i="19"/>
  <c r="B1143" i="19"/>
  <c r="E1190" i="19"/>
  <c r="I1169" i="19"/>
  <c r="B1390" i="19"/>
  <c r="B1376" i="19"/>
  <c r="B1622" i="19"/>
  <c r="B1640" i="19" s="1"/>
  <c r="C2036" i="19"/>
  <c r="B2036" i="19"/>
  <c r="C431" i="19"/>
  <c r="B431" i="19"/>
  <c r="F1191" i="19"/>
  <c r="F1211" i="19" s="1"/>
  <c r="F1249" i="19" s="1"/>
  <c r="F1210" i="19"/>
  <c r="F1248" i="19" s="1"/>
  <c r="N1276" i="19"/>
  <c r="O1276" i="19" s="1"/>
  <c r="N1273" i="19"/>
  <c r="D1267" i="19" s="1"/>
  <c r="N1430" i="19"/>
  <c r="K1430" i="19" s="1"/>
  <c r="K1721" i="19"/>
  <c r="D1704" i="19" s="1"/>
  <c r="C1669" i="19"/>
  <c r="B1669" i="19"/>
  <c r="C629" i="19"/>
  <c r="B629" i="19"/>
  <c r="C896" i="19"/>
  <c r="B896" i="19"/>
  <c r="B2001" i="19"/>
  <c r="C2001" i="19"/>
  <c r="E2596" i="19"/>
  <c r="E2634" i="19" s="1"/>
  <c r="E2577" i="19"/>
  <c r="C609" i="19"/>
  <c r="B609" i="19"/>
  <c r="C649" i="19"/>
  <c r="B649" i="19"/>
  <c r="C755" i="19"/>
  <c r="B755" i="19"/>
  <c r="C843" i="19"/>
  <c r="B843" i="19"/>
  <c r="F1216" i="19"/>
  <c r="F1197" i="19"/>
  <c r="F1217" i="19" s="1"/>
  <c r="E1197" i="19"/>
  <c r="E1217" i="19" s="1"/>
  <c r="F1177" i="19"/>
  <c r="E1177" i="19"/>
  <c r="G1607" i="19"/>
  <c r="O1607" i="19" s="1"/>
  <c r="O1733" i="19" s="1"/>
  <c r="K1733" i="19" s="1"/>
  <c r="G1625" i="19"/>
  <c r="G1589" i="19"/>
  <c r="O1589" i="19" s="1"/>
  <c r="B1693" i="19"/>
  <c r="B1567" i="19"/>
  <c r="B1711" i="19" s="1"/>
  <c r="B1699" i="19"/>
  <c r="B1573" i="19"/>
  <c r="B1717" i="19" s="1"/>
  <c r="B1625" i="19"/>
  <c r="B1643" i="19" s="1"/>
  <c r="B1733" i="19"/>
  <c r="I1170" i="19"/>
  <c r="F1192" i="19"/>
  <c r="B1234" i="19"/>
  <c r="C1768" i="19"/>
  <c r="B1768" i="19"/>
  <c r="C2240" i="19"/>
  <c r="B2240" i="19"/>
  <c r="C2841" i="19"/>
  <c r="B2841" i="19"/>
  <c r="I3616" i="19"/>
  <c r="E3637" i="19"/>
  <c r="G1621" i="19"/>
  <c r="G1585" i="19"/>
  <c r="O1585" i="19" s="1"/>
  <c r="G1603" i="19"/>
  <c r="O1603" i="19" s="1"/>
  <c r="O1729" i="19" s="1"/>
  <c r="K1729" i="19" s="1"/>
  <c r="C365" i="19"/>
  <c r="B365" i="19"/>
  <c r="B1626" i="19"/>
  <c r="B1644" i="19" s="1"/>
  <c r="B1734" i="19"/>
  <c r="C619" i="19"/>
  <c r="B619" i="19"/>
  <c r="C659" i="19"/>
  <c r="B659" i="19"/>
  <c r="C879" i="19"/>
  <c r="B879" i="19"/>
  <c r="B1218" i="19"/>
  <c r="B1254" i="19" s="1"/>
  <c r="B1238" i="19"/>
  <c r="B1214" i="19"/>
  <c r="B1252" i="19" s="1"/>
  <c r="G1601" i="19"/>
  <c r="O1601" i="19" s="1"/>
  <c r="O1727" i="19" s="1"/>
  <c r="K1727" i="19" s="1"/>
  <c r="G1583" i="19"/>
  <c r="O1583" i="19" s="1"/>
  <c r="G1619" i="19"/>
  <c r="B1810" i="19"/>
  <c r="C1810" i="19"/>
  <c r="C1289" i="19"/>
  <c r="B1289" i="19"/>
  <c r="C1350" i="19"/>
  <c r="B1350" i="19"/>
  <c r="K1442" i="19"/>
  <c r="D1435" i="19" s="1"/>
  <c r="C2141" i="19"/>
  <c r="B2141" i="19"/>
  <c r="O2984" i="19"/>
  <c r="N2985" i="19"/>
  <c r="N2977" i="19"/>
  <c r="C1128" i="19"/>
  <c r="B1128" i="19"/>
  <c r="C4340" i="19"/>
  <c r="B4340" i="19"/>
  <c r="C4677" i="19"/>
  <c r="B4677" i="19"/>
  <c r="C4797" i="19"/>
  <c r="B4797" i="19"/>
  <c r="B4828" i="19" s="1"/>
  <c r="B1235" i="19"/>
  <c r="B1239" i="19"/>
  <c r="E1489" i="19"/>
  <c r="N1489" i="19" s="1"/>
  <c r="G1622" i="19"/>
  <c r="B1732" i="19"/>
  <c r="E1914" i="19"/>
  <c r="C3409" i="19"/>
  <c r="B3409" i="19"/>
  <c r="C1542" i="19"/>
  <c r="B1542" i="19"/>
  <c r="G1592" i="19"/>
  <c r="O1592" i="19" s="1"/>
  <c r="C1856" i="19"/>
  <c r="B1856" i="19"/>
  <c r="C2228" i="19"/>
  <c r="B2228" i="19"/>
  <c r="C2315" i="19"/>
  <c r="B2315" i="19"/>
  <c r="E2578" i="19"/>
  <c r="C3117" i="19"/>
  <c r="B3117" i="19"/>
  <c r="C3478" i="19"/>
  <c r="B3478" i="19"/>
  <c r="G3837" i="19"/>
  <c r="O3837" i="19" s="1"/>
  <c r="G3855" i="19"/>
  <c r="O3855" i="19" s="1"/>
  <c r="O3975" i="19" s="1"/>
  <c r="K3975" i="19" s="1"/>
  <c r="G3873" i="19"/>
  <c r="G3891" i="19" s="1"/>
  <c r="C4210" i="19"/>
  <c r="B4210" i="19"/>
  <c r="B5356" i="19"/>
  <c r="B5441" i="19"/>
  <c r="B465" i="19"/>
  <c r="E509" i="19"/>
  <c r="E525" i="19" s="1"/>
  <c r="B543" i="19"/>
  <c r="B863" i="19"/>
  <c r="B904" i="19"/>
  <c r="B1043" i="19"/>
  <c r="B1053" i="19"/>
  <c r="B1070" i="19"/>
  <c r="B1152" i="19"/>
  <c r="F1200" i="19"/>
  <c r="B1208" i="19"/>
  <c r="B1297" i="19"/>
  <c r="N1422" i="19"/>
  <c r="K1422" i="19" s="1"/>
  <c r="K1426" i="19" s="1"/>
  <c r="D1419" i="19" s="1"/>
  <c r="C1443" i="19"/>
  <c r="O1498" i="19"/>
  <c r="B1619" i="19"/>
  <c r="B1637" i="19" s="1"/>
  <c r="E1924" i="19"/>
  <c r="E1940" i="19" s="1"/>
  <c r="C1965" i="19"/>
  <c r="C2021" i="19"/>
  <c r="B2054" i="19"/>
  <c r="B2085" i="19"/>
  <c r="C2216" i="19"/>
  <c r="B2216" i="19"/>
  <c r="B2244" i="19"/>
  <c r="C2244" i="19"/>
  <c r="C2264" i="19"/>
  <c r="B2264" i="19"/>
  <c r="B2604" i="19"/>
  <c r="B2640" i="19" s="1"/>
  <c r="B2624" i="19"/>
  <c r="B2600" i="19"/>
  <c r="B2638" i="19" s="1"/>
  <c r="C2614" i="19"/>
  <c r="B2614" i="19"/>
  <c r="I3617" i="19"/>
  <c r="E3639" i="19"/>
  <c r="B3684" i="19"/>
  <c r="B3661" i="19"/>
  <c r="B3699" i="19" s="1"/>
  <c r="B3681" i="19"/>
  <c r="B3621" i="19"/>
  <c r="B3838" i="19"/>
  <c r="B3856" i="19" s="1"/>
  <c r="B3976" i="19" s="1"/>
  <c r="B3946" i="19"/>
  <c r="C4075" i="19"/>
  <c r="B4075" i="19"/>
  <c r="B4697" i="19"/>
  <c r="C4697" i="19"/>
  <c r="O2986" i="19"/>
  <c r="E1215" i="19"/>
  <c r="E1253" i="19" s="1"/>
  <c r="F1219" i="19"/>
  <c r="F1255" i="19" s="1"/>
  <c r="N1637" i="19"/>
  <c r="B1955" i="19"/>
  <c r="B2006" i="19"/>
  <c r="B2162" i="19"/>
  <c r="C2162" i="19"/>
  <c r="C2281" i="19"/>
  <c r="B2281" i="19"/>
  <c r="C2297" i="19"/>
  <c r="B2297" i="19"/>
  <c r="C2320" i="19"/>
  <c r="B2379" i="19"/>
  <c r="C2379" i="19"/>
  <c r="C2525" i="19"/>
  <c r="B2525" i="19"/>
  <c r="C2553" i="19"/>
  <c r="B2553" i="19"/>
  <c r="B3236" i="19"/>
  <c r="C3236" i="19"/>
  <c r="C3420" i="19"/>
  <c r="B3420" i="19"/>
  <c r="C3484" i="19"/>
  <c r="B3484" i="19"/>
  <c r="F3640" i="19"/>
  <c r="F3660" i="19" s="1"/>
  <c r="F3698" i="19" s="1"/>
  <c r="F3659" i="19"/>
  <c r="F3697" i="19" s="1"/>
  <c r="I3651" i="19"/>
  <c r="I3671" i="19" s="1"/>
  <c r="E3671" i="19"/>
  <c r="G3874" i="19"/>
  <c r="G3892" i="19" s="1"/>
  <c r="G3838" i="19"/>
  <c r="O3838" i="19" s="1"/>
  <c r="G3856" i="19"/>
  <c r="O3856" i="19" s="1"/>
  <c r="O3976" i="19" s="1"/>
  <c r="K3976" i="19" s="1"/>
  <c r="C4280" i="19"/>
  <c r="B4280" i="19"/>
  <c r="N1689" i="19"/>
  <c r="K1689" i="19" s="1"/>
  <c r="K1703" i="19" s="1"/>
  <c r="D1686" i="19" s="1"/>
  <c r="N1559" i="19"/>
  <c r="D1542" i="19" s="1"/>
  <c r="E1918" i="19"/>
  <c r="E1934" i="19" s="1"/>
  <c r="F2563" i="19"/>
  <c r="F2602" i="19"/>
  <c r="F2583" i="19"/>
  <c r="F2603" i="19" s="1"/>
  <c r="E2563" i="19"/>
  <c r="E2583" i="19"/>
  <c r="E2603" i="19" s="1"/>
  <c r="G2743" i="19"/>
  <c r="O2743" i="19" s="1"/>
  <c r="G2761" i="19"/>
  <c r="G2752" i="19"/>
  <c r="O2752" i="19" s="1"/>
  <c r="C3067" i="19"/>
  <c r="B3067" i="19"/>
  <c r="B3685" i="19"/>
  <c r="B3665" i="19"/>
  <c r="B3701" i="19" s="1"/>
  <c r="F3652" i="19"/>
  <c r="F3672" i="19" s="1"/>
  <c r="F3632" i="19"/>
  <c r="E3632" i="19"/>
  <c r="E3652" i="19"/>
  <c r="E3672" i="19" s="1"/>
  <c r="C4355" i="19"/>
  <c r="B4355" i="19"/>
  <c r="B4373" i="19"/>
  <c r="C4373" i="19"/>
  <c r="O229" i="18"/>
  <c r="K4130" i="19" s="1"/>
  <c r="B346" i="19"/>
  <c r="B372" i="19"/>
  <c r="E502" i="19"/>
  <c r="E518" i="19" s="1"/>
  <c r="B725" i="19"/>
  <c r="B733" i="19"/>
  <c r="B741" i="19"/>
  <c r="B782" i="19"/>
  <c r="B974" i="19"/>
  <c r="B984" i="19"/>
  <c r="B994" i="19"/>
  <c r="B1004" i="19"/>
  <c r="B1062" i="19"/>
  <c r="B1086" i="19"/>
  <c r="B1161" i="19"/>
  <c r="B1242" i="19"/>
  <c r="B1388" i="19"/>
  <c r="B1413" i="19"/>
  <c r="B1456" i="19"/>
  <c r="G1586" i="19"/>
  <c r="O1586" i="19" s="1"/>
  <c r="B1628" i="19"/>
  <c r="B1646" i="19" s="1"/>
  <c r="C1681" i="19"/>
  <c r="B1698" i="19"/>
  <c r="B1742" i="19"/>
  <c r="B2026" i="19"/>
  <c r="B2195" i="19"/>
  <c r="C2248" i="19"/>
  <c r="B2248" i="19"/>
  <c r="C2268" i="19"/>
  <c r="B2268" i="19"/>
  <c r="B2325" i="19"/>
  <c r="C2384" i="19"/>
  <c r="B2384" i="19"/>
  <c r="C2851" i="19"/>
  <c r="B2851" i="19"/>
  <c r="C2897" i="19"/>
  <c r="B2897" i="19"/>
  <c r="C3304" i="19"/>
  <c r="B3304" i="19"/>
  <c r="F3671" i="19"/>
  <c r="G3857" i="19"/>
  <c r="O3857" i="19" s="1"/>
  <c r="O3977" i="19" s="1"/>
  <c r="K3977" i="19" s="1"/>
  <c r="G3875" i="19"/>
  <c r="G3839" i="19"/>
  <c r="O3839" i="19" s="1"/>
  <c r="C3933" i="19"/>
  <c r="B3933" i="19"/>
  <c r="O1500" i="19"/>
  <c r="C1534" i="19"/>
  <c r="G1590" i="19"/>
  <c r="O1590" i="19" s="1"/>
  <c r="G1605" i="19"/>
  <c r="O1605" i="19" s="1"/>
  <c r="O1731" i="19" s="1"/>
  <c r="K1731" i="19" s="1"/>
  <c r="G1628" i="19"/>
  <c r="C1760" i="19"/>
  <c r="B1760" i="19"/>
  <c r="E1938" i="19"/>
  <c r="E1921" i="19"/>
  <c r="E1937" i="19" s="1"/>
  <c r="C2057" i="19"/>
  <c r="B2089" i="19"/>
  <c r="F2579" i="19"/>
  <c r="F2599" i="19" s="1"/>
  <c r="F2637" i="19" s="1"/>
  <c r="F2598" i="19"/>
  <c r="F2636" i="19" s="1"/>
  <c r="B2743" i="19"/>
  <c r="B2752" i="19" s="1"/>
  <c r="B2725" i="19"/>
  <c r="C2801" i="19"/>
  <c r="B2801" i="19"/>
  <c r="C2859" i="19"/>
  <c r="B2859" i="19"/>
  <c r="C3267" i="19"/>
  <c r="B3267" i="19"/>
  <c r="C3346" i="19"/>
  <c r="B3346" i="19"/>
  <c r="C3990" i="19"/>
  <c r="B3990" i="19"/>
  <c r="C4037" i="19"/>
  <c r="B4037" i="19"/>
  <c r="C1596" i="19"/>
  <c r="B1596" i="19"/>
  <c r="E1919" i="19"/>
  <c r="E1935" i="19" s="1"/>
  <c r="C2151" i="19"/>
  <c r="B2151" i="19"/>
  <c r="C2168" i="19"/>
  <c r="B2168" i="19"/>
  <c r="B2620" i="19"/>
  <c r="C2767" i="19"/>
  <c r="B2767" i="19"/>
  <c r="C2903" i="19"/>
  <c r="B2903" i="19"/>
  <c r="G3869" i="19"/>
  <c r="G3887" i="19" s="1"/>
  <c r="G3851" i="19"/>
  <c r="O3851" i="19" s="1"/>
  <c r="G3833" i="19"/>
  <c r="O3833" i="19" s="1"/>
  <c r="N2987" i="19"/>
  <c r="B393" i="19"/>
  <c r="B411" i="19"/>
  <c r="B792" i="19"/>
  <c r="B859" i="19"/>
  <c r="B867" i="19"/>
  <c r="B900" i="19"/>
  <c r="B1022" i="19"/>
  <c r="B1048" i="19"/>
  <c r="B1233" i="19"/>
  <c r="B1267" i="19"/>
  <c r="B1358" i="19"/>
  <c r="B1381" i="19"/>
  <c r="G1587" i="19"/>
  <c r="O1587" i="19" s="1"/>
  <c r="B1722" i="19"/>
  <c r="B1837" i="19"/>
  <c r="B1852" i="19"/>
  <c r="B1996" i="19"/>
  <c r="C2236" i="19"/>
  <c r="B2236" i="19"/>
  <c r="C3152" i="19"/>
  <c r="B3152" i="19"/>
  <c r="C3174" i="19"/>
  <c r="B3174" i="19"/>
  <c r="C3309" i="19"/>
  <c r="B3309" i="19"/>
  <c r="B3669" i="19"/>
  <c r="B3703" i="19" s="1"/>
  <c r="B3686" i="19"/>
  <c r="C4044" i="19"/>
  <c r="B4044" i="19"/>
  <c r="G1525" i="19"/>
  <c r="B1692" i="19"/>
  <c r="B1566" i="19"/>
  <c r="B1710" i="19" s="1"/>
  <c r="N1638" i="19"/>
  <c r="C1686" i="19"/>
  <c r="B1686" i="19"/>
  <c r="C2031" i="19"/>
  <c r="C2574" i="19"/>
  <c r="B2574" i="19"/>
  <c r="B2616" i="19" s="1"/>
  <c r="G2705" i="19"/>
  <c r="O2696" i="19"/>
  <c r="C3024" i="19"/>
  <c r="B3024" i="19"/>
  <c r="C3157" i="19"/>
  <c r="B3157" i="19"/>
  <c r="C3224" i="19"/>
  <c r="B3224" i="19"/>
  <c r="C3252" i="19"/>
  <c r="B3252" i="19"/>
  <c r="F3657" i="19"/>
  <c r="F3695" i="19" s="1"/>
  <c r="C3902" i="19"/>
  <c r="B3902" i="19"/>
  <c r="N1636" i="19"/>
  <c r="O1636" i="19" s="1"/>
  <c r="B1737" i="19"/>
  <c r="C1867" i="19"/>
  <c r="B1867" i="19"/>
  <c r="E1923" i="19"/>
  <c r="E1939" i="19" s="1"/>
  <c r="C2156" i="19"/>
  <c r="B2156" i="19"/>
  <c r="C2289" i="19"/>
  <c r="B2289" i="19"/>
  <c r="C2393" i="19"/>
  <c r="B2393" i="19"/>
  <c r="C2407" i="19"/>
  <c r="B2407" i="19"/>
  <c r="I2555" i="19"/>
  <c r="F2576" i="19"/>
  <c r="B2625" i="19"/>
  <c r="N2824" i="19"/>
  <c r="K2824" i="19" s="1"/>
  <c r="K2829" i="19" s="1"/>
  <c r="D2821" i="19" s="1"/>
  <c r="N2739" i="19"/>
  <c r="D2731" i="19" s="1"/>
  <c r="C3110" i="19"/>
  <c r="B3110" i="19"/>
  <c r="C3207" i="19"/>
  <c r="B3207" i="19"/>
  <c r="B3944" i="19"/>
  <c r="B3821" i="19"/>
  <c r="B3959" i="19" s="1"/>
  <c r="K3952" i="19"/>
  <c r="D3938" i="19" s="1"/>
  <c r="B2745" i="19"/>
  <c r="B2754" i="19" s="1"/>
  <c r="E3016" i="19"/>
  <c r="E3032" i="19" s="1"/>
  <c r="E3670" i="19"/>
  <c r="E3704" i="19" s="1"/>
  <c r="E4167" i="19"/>
  <c r="C4409" i="19"/>
  <c r="B4409" i="19"/>
  <c r="C4741" i="19"/>
  <c r="B4741" i="19"/>
  <c r="B5229" i="19"/>
  <c r="B5141" i="19"/>
  <c r="B5154" i="19" s="1"/>
  <c r="B5223" i="19"/>
  <c r="B5135" i="19"/>
  <c r="B5148" i="19" s="1"/>
  <c r="B5132" i="19"/>
  <c r="C5132" i="19"/>
  <c r="B5443" i="19"/>
  <c r="B5358" i="19"/>
  <c r="BO15" i="20"/>
  <c r="BP15" i="20"/>
  <c r="C4544" i="19"/>
  <c r="B4544" i="19"/>
  <c r="C4611" i="19"/>
  <c r="B4611" i="19"/>
  <c r="C4746" i="19"/>
  <c r="B4746" i="19"/>
  <c r="G5142" i="19"/>
  <c r="G5129" i="19"/>
  <c r="O5129" i="19" s="1"/>
  <c r="O5230" i="19" s="1"/>
  <c r="K5230" i="19" s="1"/>
  <c r="G5116" i="19"/>
  <c r="O5116" i="19" s="1"/>
  <c r="B2178" i="19"/>
  <c r="B2293" i="19"/>
  <c r="B2411" i="19"/>
  <c r="C2538" i="19"/>
  <c r="E2570" i="19"/>
  <c r="C3220" i="19"/>
  <c r="B3489" i="19"/>
  <c r="C3581" i="19"/>
  <c r="N3814" i="19"/>
  <c r="D3800" i="19" s="1"/>
  <c r="C3938" i="19"/>
  <c r="N3956" i="19"/>
  <c r="K3956" i="19" s="1"/>
  <c r="K3967" i="19" s="1"/>
  <c r="D3953" i="19" s="1"/>
  <c r="B4126" i="19"/>
  <c r="E4168" i="19"/>
  <c r="E4184" i="19" s="1"/>
  <c r="B4290" i="19"/>
  <c r="B4320" i="19"/>
  <c r="B4335" i="19"/>
  <c r="C4445" i="19"/>
  <c r="B4821" i="19"/>
  <c r="C4821" i="19"/>
  <c r="B4907" i="19"/>
  <c r="B4945" i="19" s="1"/>
  <c r="B4930" i="19"/>
  <c r="D2673" i="19"/>
  <c r="F3666" i="19"/>
  <c r="F3702" i="19" s="1"/>
  <c r="B3819" i="19"/>
  <c r="B3957" i="19" s="1"/>
  <c r="B3837" i="19"/>
  <c r="B3855" i="19" s="1"/>
  <c r="B3975" i="19" s="1"/>
  <c r="B3945" i="19"/>
  <c r="C4845" i="19"/>
  <c r="B4845" i="19"/>
  <c r="D5283" i="19"/>
  <c r="O5293" i="19"/>
  <c r="AE23" i="20"/>
  <c r="AD23" i="20"/>
  <c r="AC23" i="20"/>
  <c r="E4173" i="19"/>
  <c r="E4189" i="19" s="1"/>
  <c r="C4364" i="19"/>
  <c r="B4364" i="19"/>
  <c r="C4385" i="19"/>
  <c r="B4385" i="19"/>
  <c r="E2586" i="19"/>
  <c r="E2590" i="19"/>
  <c r="C2830" i="19"/>
  <c r="B3435" i="19"/>
  <c r="E3643" i="19"/>
  <c r="E3662" i="19"/>
  <c r="E3700" i="19" s="1"/>
  <c r="O3754" i="19"/>
  <c r="O3760" i="19"/>
  <c r="B3805" i="19"/>
  <c r="B4120" i="19"/>
  <c r="C4401" i="19"/>
  <c r="B4401" i="19"/>
  <c r="B4414" i="19"/>
  <c r="B4597" i="19"/>
  <c r="C4597" i="19"/>
  <c r="C4645" i="19"/>
  <c r="B4645" i="19"/>
  <c r="G5136" i="19"/>
  <c r="G5110" i="19"/>
  <c r="O5110" i="19" s="1"/>
  <c r="G5123" i="19"/>
  <c r="O5123" i="19" s="1"/>
  <c r="O5224" i="19" s="1"/>
  <c r="K5224" i="19" s="1"/>
  <c r="B5355" i="19"/>
  <c r="B5440" i="19"/>
  <c r="B1696" i="19"/>
  <c r="G5138" i="19"/>
  <c r="G5125" i="19"/>
  <c r="O5125" i="19" s="1"/>
  <c r="O5226" i="19" s="1"/>
  <c r="K5226" i="19" s="1"/>
  <c r="G5112" i="19"/>
  <c r="O5112" i="19" s="1"/>
  <c r="B5444" i="19"/>
  <c r="B5359" i="19"/>
  <c r="N1577" i="19"/>
  <c r="D1560" i="19" s="1"/>
  <c r="C2369" i="19"/>
  <c r="C3078" i="19"/>
  <c r="B3170" i="19"/>
  <c r="C3277" i="19"/>
  <c r="B3740" i="19"/>
  <c r="N3749" i="19"/>
  <c r="B4199" i="19"/>
  <c r="B4247" i="19"/>
  <c r="C4389" i="19"/>
  <c r="B4511" i="19"/>
  <c r="C4511" i="19"/>
  <c r="C4568" i="19"/>
  <c r="I5027" i="19"/>
  <c r="I5028" i="19" s="1"/>
  <c r="I5030" i="19" s="1"/>
  <c r="D5024" i="19" s="1"/>
  <c r="E5033" i="19"/>
  <c r="N5033" i="19" s="1"/>
  <c r="B5442" i="19"/>
  <c r="B5357" i="19"/>
  <c r="E3011" i="19"/>
  <c r="B3657" i="19"/>
  <c r="B3695" i="19" s="1"/>
  <c r="C4095" i="19"/>
  <c r="C4377" i="19"/>
  <c r="B4377" i="19"/>
  <c r="B4455" i="19"/>
  <c r="C4556" i="19"/>
  <c r="B4556" i="19"/>
  <c r="C4763" i="19"/>
  <c r="B4763" i="19"/>
  <c r="B5227" i="19"/>
  <c r="B5139" i="19"/>
  <c r="B5152" i="19" s="1"/>
  <c r="N3722" i="19"/>
  <c r="O3722" i="19" s="1"/>
  <c r="B4836" i="19"/>
  <c r="C4836" i="19"/>
  <c r="E4883" i="19"/>
  <c r="I4862" i="19"/>
  <c r="B4932" i="19"/>
  <c r="B4915" i="19"/>
  <c r="B4949" i="19" s="1"/>
  <c r="CZ11" i="20"/>
  <c r="CY11" i="20"/>
  <c r="CX11" i="20"/>
  <c r="CW11" i="20"/>
  <c r="CV11" i="20"/>
  <c r="BO13" i="20"/>
  <c r="F4885" i="19"/>
  <c r="E4917" i="19"/>
  <c r="G5058" i="19"/>
  <c r="O5038" i="19"/>
  <c r="B5114" i="19"/>
  <c r="B5127" i="19" s="1"/>
  <c r="B5088" i="19"/>
  <c r="N5211" i="19"/>
  <c r="K5211" i="19" s="1"/>
  <c r="K5219" i="19" s="1"/>
  <c r="D5207" i="19" s="1"/>
  <c r="N5105" i="19"/>
  <c r="D5093" i="19" s="1"/>
  <c r="O5248" i="19"/>
  <c r="C5322" i="19"/>
  <c r="B5322" i="19"/>
  <c r="K5408" i="19"/>
  <c r="AV11" i="20"/>
  <c r="DI11" i="20"/>
  <c r="AU11" i="20"/>
  <c r="DH11" i="20"/>
  <c r="DG11" i="20"/>
  <c r="BD11" i="20"/>
  <c r="DP11" i="20"/>
  <c r="DO11" i="20"/>
  <c r="DN11" i="20"/>
  <c r="DA17" i="20"/>
  <c r="CA23" i="20"/>
  <c r="C5437" i="19"/>
  <c r="B5437" i="19"/>
  <c r="AB15" i="20"/>
  <c r="CL48" i="20"/>
  <c r="CK48" i="20"/>
  <c r="CM48" i="20"/>
  <c r="B4736" i="19"/>
  <c r="F4912" i="19"/>
  <c r="F4948" i="19" s="1"/>
  <c r="O5039" i="19"/>
  <c r="C5056" i="19"/>
  <c r="B5090" i="19"/>
  <c r="B5116" i="19"/>
  <c r="B5129" i="19" s="1"/>
  <c r="B5089" i="19"/>
  <c r="B5099" i="19"/>
  <c r="B5213" i="19" s="1"/>
  <c r="N5150" i="19"/>
  <c r="O5150" i="19" s="1"/>
  <c r="BB11" i="20"/>
  <c r="CK13" i="20"/>
  <c r="CM13" i="20"/>
  <c r="CR20" i="20"/>
  <c r="CF20" i="20"/>
  <c r="BT20" i="20"/>
  <c r="CQ20" i="20"/>
  <c r="CP20" i="20"/>
  <c r="DA20" i="20"/>
  <c r="CO20" i="20"/>
  <c r="BQ20" i="20"/>
  <c r="T20" i="20"/>
  <c r="H20" i="20" s="1"/>
  <c r="CN20" i="20"/>
  <c r="CB20" i="20"/>
  <c r="BN20" i="20"/>
  <c r="BX20" i="20"/>
  <c r="AY20" i="20"/>
  <c r="K20" i="20"/>
  <c r="BB20" i="20" s="1"/>
  <c r="BC20" i="20" s="1"/>
  <c r="CU20" i="20"/>
  <c r="CT20" i="20"/>
  <c r="BR24" i="20"/>
  <c r="C4470" i="19"/>
  <c r="B4470" i="19"/>
  <c r="C4576" i="19"/>
  <c r="B4682" i="19"/>
  <c r="B4701" i="19"/>
  <c r="B4751" i="19"/>
  <c r="CZ22" i="20"/>
  <c r="CY22" i="20"/>
  <c r="CX22" i="20"/>
  <c r="CW22" i="20"/>
  <c r="CV22" i="20"/>
  <c r="Y45" i="20"/>
  <c r="L45" i="20"/>
  <c r="AV56" i="20"/>
  <c r="DI56" i="20"/>
  <c r="AU56" i="20"/>
  <c r="DH56" i="20"/>
  <c r="DG56" i="20"/>
  <c r="DP56" i="20"/>
  <c r="DO56" i="20"/>
  <c r="DN56" i="20"/>
  <c r="DM56" i="20"/>
  <c r="C4667" i="19"/>
  <c r="B4667" i="19"/>
  <c r="E4869" i="19"/>
  <c r="E4908" i="19"/>
  <c r="C5080" i="19"/>
  <c r="B5080" i="19"/>
  <c r="N5153" i="19"/>
  <c r="C5194" i="19"/>
  <c r="B5194" i="19"/>
  <c r="CR8" i="20"/>
  <c r="CF8" i="20"/>
  <c r="BT8" i="20"/>
  <c r="CQ8" i="20"/>
  <c r="CP8" i="20"/>
  <c r="DA8" i="20"/>
  <c r="CO8" i="20"/>
  <c r="BQ8" i="20"/>
  <c r="T8" i="20"/>
  <c r="H8" i="20" s="1"/>
  <c r="CB8" i="20" s="1"/>
  <c r="CN8" i="20"/>
  <c r="BN8" i="20"/>
  <c r="CJ8" i="20"/>
  <c r="BX8" i="20"/>
  <c r="AY8" i="20"/>
  <c r="K8" i="20"/>
  <c r="BB8" i="20" s="1"/>
  <c r="CU8" i="20"/>
  <c r="CT8" i="20"/>
  <c r="E4870" i="19"/>
  <c r="F4909" i="19"/>
  <c r="F4890" i="19"/>
  <c r="F4910" i="19" s="1"/>
  <c r="B5084" i="19"/>
  <c r="B5110" i="19"/>
  <c r="B5123" i="19" s="1"/>
  <c r="C5235" i="19"/>
  <c r="B5235" i="19"/>
  <c r="CG48" i="20"/>
  <c r="C4687" i="19"/>
  <c r="B4687" i="19"/>
  <c r="C4715" i="19"/>
  <c r="B4715" i="19"/>
  <c r="C4926" i="19"/>
  <c r="B4926" i="19"/>
  <c r="M5075" i="19"/>
  <c r="O5075" i="19" s="1"/>
  <c r="M5057" i="19"/>
  <c r="M5069" i="19" s="1"/>
  <c r="M5071" i="19" s="1"/>
  <c r="D5068" i="19" s="1"/>
  <c r="C5312" i="19"/>
  <c r="B5312" i="19"/>
  <c r="BW19" i="20"/>
  <c r="BV19" i="20"/>
  <c r="BU19" i="20"/>
  <c r="B4928" i="19"/>
  <c r="B4903" i="19"/>
  <c r="B4941" i="19" s="1"/>
  <c r="E4889" i="19"/>
  <c r="C5093" i="19"/>
  <c r="B5137" i="19"/>
  <c r="B5150" i="19" s="1"/>
  <c r="AI8" i="20"/>
  <c r="AH8" i="20"/>
  <c r="AG8" i="20"/>
  <c r="AF8" i="20"/>
  <c r="AE8" i="20"/>
  <c r="AD8" i="20"/>
  <c r="AC8" i="20"/>
  <c r="BZ11" i="20"/>
  <c r="CI19" i="20"/>
  <c r="CH19" i="20"/>
  <c r="G5063" i="19"/>
  <c r="O5043" i="19"/>
  <c r="B5112" i="19"/>
  <c r="B5125" i="19" s="1"/>
  <c r="C5158" i="19"/>
  <c r="B5158" i="19"/>
  <c r="C5362" i="19"/>
  <c r="B5362" i="19"/>
  <c r="CM12" i="20"/>
  <c r="CL12" i="20"/>
  <c r="BO14" i="20"/>
  <c r="CC15" i="20"/>
  <c r="U19" i="20"/>
  <c r="BB23" i="20"/>
  <c r="BC23" i="20" s="1"/>
  <c r="C4973" i="19"/>
  <c r="G5064" i="19"/>
  <c r="O5044" i="19"/>
  <c r="B5119" i="19"/>
  <c r="N5149" i="19"/>
  <c r="D5312" i="19"/>
  <c r="O5294" i="19"/>
  <c r="N5420" i="19"/>
  <c r="K5420" i="19" s="1"/>
  <c r="N5370" i="19"/>
  <c r="D5362" i="19" s="1"/>
  <c r="N5373" i="19"/>
  <c r="CI7" i="20"/>
  <c r="CH7" i="20"/>
  <c r="CG7" i="20"/>
  <c r="AS9" i="20"/>
  <c r="CB9" i="20"/>
  <c r="AQ9" i="20"/>
  <c r="AP9" i="20"/>
  <c r="L9" i="20"/>
  <c r="DL9" i="20"/>
  <c r="Z9" i="20"/>
  <c r="I9" i="20"/>
  <c r="AK9" i="20"/>
  <c r="DK9" i="20"/>
  <c r="CZ23" i="20"/>
  <c r="CY23" i="20"/>
  <c r="CX23" i="20"/>
  <c r="CW23" i="20"/>
  <c r="CV23" i="20"/>
  <c r="U52" i="20"/>
  <c r="BD52" i="20"/>
  <c r="BS52" i="20"/>
  <c r="C4552" i="19"/>
  <c r="B4552" i="19"/>
  <c r="B4572" i="19"/>
  <c r="E4890" i="19"/>
  <c r="E4910" i="19" s="1"/>
  <c r="C5177" i="19"/>
  <c r="B5177" i="19"/>
  <c r="C5411" i="19"/>
  <c r="B5411" i="19"/>
  <c r="U7" i="20"/>
  <c r="DJ9" i="20"/>
  <c r="DL23" i="20"/>
  <c r="DK23" i="20"/>
  <c r="AW23" i="20"/>
  <c r="DJ23" i="20"/>
  <c r="AV23" i="20"/>
  <c r="DI23" i="20"/>
  <c r="AU23" i="20"/>
  <c r="DH23" i="20"/>
  <c r="DG23" i="20"/>
  <c r="BD23" i="20"/>
  <c r="AS26" i="20"/>
  <c r="Y26" i="20"/>
  <c r="Z26" i="20" s="1"/>
  <c r="F33" i="20"/>
  <c r="AU6" i="20"/>
  <c r="DI6" i="20"/>
  <c r="CS7" i="20"/>
  <c r="AD13" i="20"/>
  <c r="T15" i="20"/>
  <c r="H15" i="20" s="1"/>
  <c r="CJ15" i="20" s="1"/>
  <c r="AF15" i="20"/>
  <c r="BQ15" i="20"/>
  <c r="CO15" i="20"/>
  <c r="DA15" i="20"/>
  <c r="DG16" i="20"/>
  <c r="CS19" i="20"/>
  <c r="BD26" i="20"/>
  <c r="AB26" i="20"/>
  <c r="AA26" i="20"/>
  <c r="AH28" i="20"/>
  <c r="AG28" i="20"/>
  <c r="AF28" i="20"/>
  <c r="AE28" i="20"/>
  <c r="AD28" i="20"/>
  <c r="CF28" i="20"/>
  <c r="DJ30" i="20"/>
  <c r="AV30" i="20"/>
  <c r="AU30" i="20"/>
  <c r="DO30" i="20"/>
  <c r="DN30" i="20"/>
  <c r="CX30" i="20"/>
  <c r="CW30" i="20"/>
  <c r="DJ44" i="20"/>
  <c r="DP44" i="20"/>
  <c r="DO44" i="20"/>
  <c r="CA44" i="20"/>
  <c r="BZ44" i="20"/>
  <c r="BY44" i="20"/>
  <c r="BN49" i="20"/>
  <c r="CJ49" i="20"/>
  <c r="BX49" i="20"/>
  <c r="AY49" i="20"/>
  <c r="K49" i="20"/>
  <c r="BB49" i="20" s="1"/>
  <c r="CU49" i="20"/>
  <c r="CT49" i="20"/>
  <c r="CR49" i="20"/>
  <c r="CF49" i="20"/>
  <c r="BT49" i="20"/>
  <c r="CQ49" i="20"/>
  <c r="CP49" i="20"/>
  <c r="DA51" i="20"/>
  <c r="AZ56" i="20"/>
  <c r="CL60" i="20"/>
  <c r="CK60" i="20"/>
  <c r="CR66" i="20"/>
  <c r="CF66" i="20"/>
  <c r="BT66" i="20"/>
  <c r="CQ66" i="20"/>
  <c r="CP66" i="20"/>
  <c r="DA66" i="20"/>
  <c r="CO66" i="20"/>
  <c r="BQ66" i="20"/>
  <c r="T66" i="20"/>
  <c r="H66" i="20" s="1"/>
  <c r="CJ66" i="20" s="1"/>
  <c r="CN66" i="20"/>
  <c r="CB66" i="20"/>
  <c r="BN66" i="20"/>
  <c r="BX66" i="20"/>
  <c r="AY66" i="20"/>
  <c r="K66" i="20"/>
  <c r="BD66" i="20" s="1"/>
  <c r="CU66" i="20"/>
  <c r="CT66" i="20"/>
  <c r="BS73" i="20"/>
  <c r="BR73" i="20"/>
  <c r="B5417" i="19"/>
  <c r="B5447" i="19"/>
  <c r="X6" i="20"/>
  <c r="AV6" i="20"/>
  <c r="BU6" i="20"/>
  <c r="CG6" i="20"/>
  <c r="CS6" i="20"/>
  <c r="CT7" i="20"/>
  <c r="CV9" i="20"/>
  <c r="DM9" i="20"/>
  <c r="AB10" i="20"/>
  <c r="BY10" i="20"/>
  <c r="CK10" i="20"/>
  <c r="BO12" i="20"/>
  <c r="AE13" i="20"/>
  <c r="CB13" i="20"/>
  <c r="CN13" i="20"/>
  <c r="T14" i="20"/>
  <c r="H14" i="20" s="1"/>
  <c r="AF14" i="20"/>
  <c r="BQ14" i="20"/>
  <c r="CC14" i="20"/>
  <c r="CO14" i="20"/>
  <c r="DA14" i="20"/>
  <c r="AG15" i="20"/>
  <c r="CP15" i="20"/>
  <c r="AU17" i="20"/>
  <c r="DI17" i="20"/>
  <c r="CG18" i="20"/>
  <c r="CS18" i="20"/>
  <c r="CT19" i="20"/>
  <c r="CV21" i="20"/>
  <c r="DM21" i="20"/>
  <c r="AB22" i="20"/>
  <c r="DJ25" i="20"/>
  <c r="CV30" i="20"/>
  <c r="AI43" i="20"/>
  <c r="AH43" i="20"/>
  <c r="AG43" i="20"/>
  <c r="AF43" i="20"/>
  <c r="AE43" i="20"/>
  <c r="CE44" i="20"/>
  <c r="CD44" i="20"/>
  <c r="CC44" i="20"/>
  <c r="DA49" i="20"/>
  <c r="BD56" i="20"/>
  <c r="CX59" i="20"/>
  <c r="AW6" i="20"/>
  <c r="BV6" i="20"/>
  <c r="CH6" i="20"/>
  <c r="CT6" i="20"/>
  <c r="CU7" i="20"/>
  <c r="AN9" i="20"/>
  <c r="BY9" i="20"/>
  <c r="CK9" i="20"/>
  <c r="DN9" i="20"/>
  <c r="AC10" i="20"/>
  <c r="BN10" i="20"/>
  <c r="BZ10" i="20"/>
  <c r="AD11" i="20"/>
  <c r="BO11" i="20"/>
  <c r="AE12" i="20"/>
  <c r="CN12" i="20"/>
  <c r="T13" i="20"/>
  <c r="H13" i="20" s="1"/>
  <c r="CF13" i="20" s="1"/>
  <c r="AF13" i="20"/>
  <c r="BQ13" i="20"/>
  <c r="CO13" i="20"/>
  <c r="DA13" i="20"/>
  <c r="AG14" i="20"/>
  <c r="CD14" i="20"/>
  <c r="CP14" i="20"/>
  <c r="AH15" i="20"/>
  <c r="CQ15" i="20"/>
  <c r="BT16" i="20"/>
  <c r="CF16" i="20"/>
  <c r="CR16" i="20"/>
  <c r="AV17" i="20"/>
  <c r="CS17" i="20"/>
  <c r="DJ17" i="20"/>
  <c r="CH18" i="20"/>
  <c r="CT18" i="20"/>
  <c r="DK18" i="20"/>
  <c r="CU19" i="20"/>
  <c r="BY21" i="20"/>
  <c r="CW21" i="20"/>
  <c r="AC22" i="20"/>
  <c r="BN22" i="20"/>
  <c r="BZ22" i="20"/>
  <c r="BT24" i="20"/>
  <c r="CF24" i="20"/>
  <c r="CR24" i="20"/>
  <c r="BN25" i="20"/>
  <c r="BX25" i="20"/>
  <c r="AY25" i="20"/>
  <c r="AZ25" i="20" s="1"/>
  <c r="CU25" i="20"/>
  <c r="CR25" i="20"/>
  <c r="CF25" i="20"/>
  <c r="BT25" i="20"/>
  <c r="CQ25" i="20"/>
  <c r="DK25" i="20"/>
  <c r="BV26" i="20"/>
  <c r="CY30" i="20"/>
  <c r="DK31" i="20"/>
  <c r="AW31" i="20"/>
  <c r="DJ31" i="20"/>
  <c r="AV31" i="20"/>
  <c r="AU31" i="20"/>
  <c r="DP31" i="20"/>
  <c r="DO31" i="20"/>
  <c r="BR31" i="20"/>
  <c r="CY31" i="20"/>
  <c r="BP32" i="20"/>
  <c r="BO32" i="20"/>
  <c r="BD44" i="20"/>
  <c r="AB44" i="20"/>
  <c r="AB48" i="20"/>
  <c r="AB49" i="20"/>
  <c r="BR50" i="20"/>
  <c r="U53" i="20"/>
  <c r="CV55" i="20"/>
  <c r="BO59" i="20"/>
  <c r="BP61" i="20"/>
  <c r="DA63" i="20"/>
  <c r="H63" i="20"/>
  <c r="CF63" i="20" s="1"/>
  <c r="I151" i="20"/>
  <c r="Y151" i="20"/>
  <c r="Z151" i="20" s="1"/>
  <c r="CU6" i="20"/>
  <c r="K7" i="20"/>
  <c r="BD7" i="20" s="1"/>
  <c r="AY7" i="20"/>
  <c r="CJ7" i="20"/>
  <c r="AB8" i="20"/>
  <c r="AC9" i="20"/>
  <c r="AO9" i="20"/>
  <c r="BN9" i="20"/>
  <c r="DO9" i="20"/>
  <c r="AD10" i="20"/>
  <c r="CN11" i="20"/>
  <c r="T12" i="20"/>
  <c r="H12" i="20" s="1"/>
  <c r="BQ12" i="20"/>
  <c r="CO12" i="20"/>
  <c r="DA12" i="20"/>
  <c r="AG13" i="20"/>
  <c r="CP13" i="20"/>
  <c r="AH14" i="20"/>
  <c r="CQ14" i="20"/>
  <c r="AI15" i="20"/>
  <c r="BT15" i="20"/>
  <c r="CF15" i="20"/>
  <c r="CR15" i="20"/>
  <c r="CS16" i="20"/>
  <c r="CT17" i="20"/>
  <c r="DK17" i="20"/>
  <c r="CU18" i="20"/>
  <c r="K19" i="20"/>
  <c r="BD19" i="20" s="1"/>
  <c r="AY19" i="20"/>
  <c r="BX19" i="20"/>
  <c r="AB20" i="20"/>
  <c r="BN21" i="20"/>
  <c r="CX21" i="20"/>
  <c r="AD22" i="20"/>
  <c r="BB22" i="20"/>
  <c r="BC22" i="20" s="1"/>
  <c r="CB23" i="20"/>
  <c r="CN23" i="20"/>
  <c r="T24" i="20"/>
  <c r="H24" i="20" s="1"/>
  <c r="CS24" i="20"/>
  <c r="AC28" i="20"/>
  <c r="BD30" i="20"/>
  <c r="AB30" i="20"/>
  <c r="AW30" i="20"/>
  <c r="BZ30" i="20"/>
  <c r="BY30" i="20"/>
  <c r="CZ30" i="20"/>
  <c r="DK32" i="20"/>
  <c r="CW47" i="20"/>
  <c r="CV47" i="20"/>
  <c r="CZ47" i="20"/>
  <c r="T49" i="20"/>
  <c r="H49" i="20" s="1"/>
  <c r="BP51" i="20"/>
  <c r="BO51" i="20"/>
  <c r="BB52" i="20"/>
  <c r="BM52" i="20" s="1"/>
  <c r="CQ53" i="20"/>
  <c r="CP53" i="20"/>
  <c r="DA53" i="20"/>
  <c r="CO53" i="20"/>
  <c r="BQ53" i="20"/>
  <c r="T53" i="20"/>
  <c r="H53" i="20" s="1"/>
  <c r="CB53" i="20" s="1"/>
  <c r="CN53" i="20"/>
  <c r="BN53" i="20"/>
  <c r="CJ53" i="20"/>
  <c r="BX53" i="20"/>
  <c r="AY53" i="20"/>
  <c r="K53" i="20"/>
  <c r="BD53" i="20" s="1"/>
  <c r="CU53" i="20"/>
  <c r="CT53" i="20"/>
  <c r="AB60" i="20"/>
  <c r="BS61" i="20"/>
  <c r="BR61" i="20"/>
  <c r="AI66" i="20"/>
  <c r="AH66" i="20"/>
  <c r="AG66" i="20"/>
  <c r="AF66" i="20"/>
  <c r="AE66" i="20"/>
  <c r="AD66" i="20"/>
  <c r="AC66" i="20"/>
  <c r="DM6" i="20"/>
  <c r="CS15" i="20"/>
  <c r="AI31" i="20"/>
  <c r="AH31" i="20"/>
  <c r="AG31" i="20"/>
  <c r="CL44" i="20"/>
  <c r="CK44" i="20"/>
  <c r="AD49" i="20"/>
  <c r="AC49" i="20"/>
  <c r="AI49" i="20"/>
  <c r="AH49" i="20"/>
  <c r="AG49" i="20"/>
  <c r="BW53" i="20"/>
  <c r="BV53" i="20"/>
  <c r="CR54" i="20"/>
  <c r="CF54" i="20"/>
  <c r="BT54" i="20"/>
  <c r="CQ54" i="20"/>
  <c r="CP54" i="20"/>
  <c r="DA54" i="20"/>
  <c r="CO54" i="20"/>
  <c r="BQ54" i="20"/>
  <c r="T54" i="20"/>
  <c r="H54" i="20" s="1"/>
  <c r="CB54" i="20" s="1"/>
  <c r="CN54" i="20"/>
  <c r="BN54" i="20"/>
  <c r="CJ54" i="20"/>
  <c r="BX54" i="20"/>
  <c r="AY54" i="20"/>
  <c r="K54" i="20"/>
  <c r="CU54" i="20"/>
  <c r="CA56" i="20"/>
  <c r="BZ56" i="20"/>
  <c r="BY56" i="20"/>
  <c r="BP58" i="20"/>
  <c r="BO58" i="20"/>
  <c r="AB61" i="20"/>
  <c r="CE61" i="20"/>
  <c r="CD61" i="20"/>
  <c r="BW65" i="20"/>
  <c r="DN6" i="20"/>
  <c r="AC7" i="20"/>
  <c r="BN7" i="20"/>
  <c r="BT13" i="20"/>
  <c r="CR13" i="20"/>
  <c r="CG14" i="20"/>
  <c r="CS14" i="20"/>
  <c r="CT15" i="20"/>
  <c r="DL16" i="20"/>
  <c r="CV17" i="20"/>
  <c r="AC19" i="20"/>
  <c r="BN19" i="20"/>
  <c r="T22" i="20"/>
  <c r="H22" i="20" s="1"/>
  <c r="DO22" i="20" s="1"/>
  <c r="BQ22" i="20"/>
  <c r="CO22" i="20"/>
  <c r="DA22" i="20"/>
  <c r="DL25" i="20"/>
  <c r="DI25" i="20"/>
  <c r="DH25" i="20"/>
  <c r="AA25" i="20"/>
  <c r="AU25" i="20"/>
  <c r="BS25" i="20"/>
  <c r="CO25" i="20"/>
  <c r="BB26" i="20"/>
  <c r="BC26" i="20" s="1"/>
  <c r="CE30" i="20"/>
  <c r="CD30" i="20"/>
  <c r="CC30" i="20"/>
  <c r="DL30" i="20"/>
  <c r="AD43" i="20"/>
  <c r="AE49" i="20"/>
  <c r="BU53" i="20"/>
  <c r="CM57" i="20"/>
  <c r="CL57" i="20"/>
  <c r="CC61" i="20"/>
  <c r="BR62" i="20"/>
  <c r="CM63" i="20"/>
  <c r="CL63" i="20"/>
  <c r="CK63" i="20"/>
  <c r="U65" i="20"/>
  <c r="CI65" i="20"/>
  <c r="CH65" i="20"/>
  <c r="CG65" i="20"/>
  <c r="CZ67" i="20"/>
  <c r="CV67" i="20"/>
  <c r="CY67" i="20"/>
  <c r="CX67" i="20"/>
  <c r="N5424" i="19"/>
  <c r="K5424" i="19" s="1"/>
  <c r="DO6" i="20"/>
  <c r="CS13" i="20"/>
  <c r="CH14" i="20"/>
  <c r="CU15" i="20"/>
  <c r="CW17" i="20"/>
  <c r="CD22" i="20"/>
  <c r="CQ28" i="20"/>
  <c r="CP28" i="20"/>
  <c r="DA28" i="20"/>
  <c r="CO28" i="20"/>
  <c r="BQ28" i="20"/>
  <c r="T28" i="20"/>
  <c r="H28" i="20" s="1"/>
  <c r="CN28" i="20"/>
  <c r="CB28" i="20"/>
  <c r="CJ28" i="20"/>
  <c r="BX28" i="20"/>
  <c r="AY28" i="20"/>
  <c r="K28" i="20"/>
  <c r="BB28" i="20" s="1"/>
  <c r="CU28" i="20"/>
  <c r="BN28" i="20"/>
  <c r="CS28" i="20"/>
  <c r="CE31" i="20"/>
  <c r="CD31" i="20"/>
  <c r="AF49" i="20"/>
  <c r="CI53" i="20"/>
  <c r="CH53" i="20"/>
  <c r="CK57" i="20"/>
  <c r="F4869" i="19"/>
  <c r="O5040" i="19"/>
  <c r="B5398" i="19"/>
  <c r="B5401" i="19" s="1"/>
  <c r="BB6" i="20"/>
  <c r="DP6" i="20"/>
  <c r="AE7" i="20"/>
  <c r="CB7" i="20"/>
  <c r="CN7" i="20"/>
  <c r="U9" i="20"/>
  <c r="CP9" i="20"/>
  <c r="DG9" i="20"/>
  <c r="AH10" i="20"/>
  <c r="CQ10" i="20"/>
  <c r="BT11" i="20"/>
  <c r="CF11" i="20"/>
  <c r="CR11" i="20"/>
  <c r="CG12" i="20"/>
  <c r="CS12" i="20"/>
  <c r="CT13" i="20"/>
  <c r="CU14" i="20"/>
  <c r="K15" i="20"/>
  <c r="BD15" i="20" s="1"/>
  <c r="AY15" i="20"/>
  <c r="BX15" i="20"/>
  <c r="BY16" i="20"/>
  <c r="CX17" i="20"/>
  <c r="AD18" i="20"/>
  <c r="BO18" i="20"/>
  <c r="AE19" i="20"/>
  <c r="CB19" i="20"/>
  <c r="CN19" i="20"/>
  <c r="U21" i="20"/>
  <c r="BR21" i="20"/>
  <c r="CD21" i="20"/>
  <c r="CP21" i="20"/>
  <c r="DG21" i="20"/>
  <c r="CQ22" i="20"/>
  <c r="DH22" i="20"/>
  <c r="AW25" i="20"/>
  <c r="CS25" i="20"/>
  <c r="CT28" i="20"/>
  <c r="CR29" i="20"/>
  <c r="CF29" i="20"/>
  <c r="CQ29" i="20"/>
  <c r="CP29" i="20"/>
  <c r="DA29" i="20"/>
  <c r="CO29" i="20"/>
  <c r="BQ29" i="20"/>
  <c r="T29" i="20"/>
  <c r="H29" i="20" s="1"/>
  <c r="CN29" i="20"/>
  <c r="CB29" i="20"/>
  <c r="CJ29" i="20"/>
  <c r="BX29" i="20"/>
  <c r="AY29" i="20"/>
  <c r="K29" i="20"/>
  <c r="AF29" i="20" s="1"/>
  <c r="BN29" i="20"/>
  <c r="CS29" i="20"/>
  <c r="DP30" i="20"/>
  <c r="CC31" i="20"/>
  <c r="CR43" i="20"/>
  <c r="CF43" i="20"/>
  <c r="CQ43" i="20"/>
  <c r="CP43" i="20"/>
  <c r="DA43" i="20"/>
  <c r="CO43" i="20"/>
  <c r="BQ43" i="20"/>
  <c r="T43" i="20"/>
  <c r="H43" i="20" s="1"/>
  <c r="BT43" i="20" s="1"/>
  <c r="CN43" i="20"/>
  <c r="CB43" i="20"/>
  <c r="CJ43" i="20"/>
  <c r="BX43" i="20"/>
  <c r="AY43" i="20"/>
  <c r="K43" i="20"/>
  <c r="BN43" i="20"/>
  <c r="CS43" i="20"/>
  <c r="CY44" i="20"/>
  <c r="CX44" i="20"/>
  <c r="CW44" i="20"/>
  <c r="DO45" i="20"/>
  <c r="BS45" i="20"/>
  <c r="BR45" i="20"/>
  <c r="CX45" i="20"/>
  <c r="BP50" i="20"/>
  <c r="BO50" i="20"/>
  <c r="BP52" i="20"/>
  <c r="AH53" i="20"/>
  <c r="AG53" i="20"/>
  <c r="AF53" i="20"/>
  <c r="AE53" i="20"/>
  <c r="AD53" i="20"/>
  <c r="AC53" i="20"/>
  <c r="CG53" i="20"/>
  <c r="CW59" i="20"/>
  <c r="CV59" i="20"/>
  <c r="CZ59" i="20"/>
  <c r="CB6" i="20"/>
  <c r="CN6" i="20"/>
  <c r="T7" i="20"/>
  <c r="H7" i="20" s="1"/>
  <c r="BX7" i="20" s="1"/>
  <c r="AF7" i="20"/>
  <c r="BQ7" i="20"/>
  <c r="CO7" i="20"/>
  <c r="DA7" i="20"/>
  <c r="CQ9" i="20"/>
  <c r="DH9" i="20"/>
  <c r="BT10" i="20"/>
  <c r="CF10" i="20"/>
  <c r="CR10" i="20"/>
  <c r="CS11" i="20"/>
  <c r="CH12" i="20"/>
  <c r="CT12" i="20"/>
  <c r="CU13" i="20"/>
  <c r="K14" i="20"/>
  <c r="AY14" i="20"/>
  <c r="BX14" i="20"/>
  <c r="BN16" i="20"/>
  <c r="BZ16" i="20"/>
  <c r="AD17" i="20"/>
  <c r="BB17" i="20"/>
  <c r="CY17" i="20"/>
  <c r="AE18" i="20"/>
  <c r="CB18" i="20"/>
  <c r="CN18" i="20"/>
  <c r="T19" i="20"/>
  <c r="H19" i="20" s="1"/>
  <c r="AF19" i="20"/>
  <c r="BQ19" i="20"/>
  <c r="CO19" i="20"/>
  <c r="DA19" i="20"/>
  <c r="CQ21" i="20"/>
  <c r="DH21" i="20"/>
  <c r="BT22" i="20"/>
  <c r="CF22" i="20"/>
  <c r="CR22" i="20"/>
  <c r="CG23" i="20"/>
  <c r="CS23" i="20"/>
  <c r="BN24" i="20"/>
  <c r="CX24" i="20"/>
  <c r="CT25" i="20"/>
  <c r="CT29" i="20"/>
  <c r="DM31" i="20"/>
  <c r="U32" i="20"/>
  <c r="CT43" i="20"/>
  <c r="CV44" i="20"/>
  <c r="BW48" i="20"/>
  <c r="BV48" i="20"/>
  <c r="BU48" i="20"/>
  <c r="H50" i="20"/>
  <c r="AI54" i="20"/>
  <c r="AH54" i="20"/>
  <c r="AG54" i="20"/>
  <c r="AF54" i="20"/>
  <c r="AE54" i="20"/>
  <c r="AD54" i="20"/>
  <c r="AC54" i="20"/>
  <c r="T6" i="20"/>
  <c r="H6" i="20" s="1"/>
  <c r="BD6" i="20"/>
  <c r="BQ6" i="20"/>
  <c r="CO6" i="20"/>
  <c r="DA6" i="20"/>
  <c r="AG7" i="20"/>
  <c r="CP7" i="20"/>
  <c r="AU9" i="20"/>
  <c r="DI9" i="20"/>
  <c r="CS10" i="20"/>
  <c r="CU12" i="20"/>
  <c r="K13" i="20"/>
  <c r="BD13" i="20" s="1"/>
  <c r="AY13" i="20"/>
  <c r="BX13" i="20"/>
  <c r="AC15" i="20"/>
  <c r="T18" i="20"/>
  <c r="H18" i="20" s="1"/>
  <c r="AF18" i="20"/>
  <c r="BQ18" i="20"/>
  <c r="CO18" i="20"/>
  <c r="DA18" i="20"/>
  <c r="AG19" i="20"/>
  <c r="CP19" i="20"/>
  <c r="AU21" i="20"/>
  <c r="DI21" i="20"/>
  <c r="CS22" i="20"/>
  <c r="CU29" i="20"/>
  <c r="CU43" i="20"/>
  <c r="CS54" i="20"/>
  <c r="CZ56" i="20"/>
  <c r="CY56" i="20"/>
  <c r="CX56" i="20"/>
  <c r="CW56" i="20"/>
  <c r="CG77" i="20"/>
  <c r="CM84" i="20"/>
  <c r="CL84" i="20"/>
  <c r="CK84" i="20"/>
  <c r="U141" i="20"/>
  <c r="DR141" i="20"/>
  <c r="AJ9" i="20"/>
  <c r="AV9" i="20"/>
  <c r="H10" i="20"/>
  <c r="K12" i="20"/>
  <c r="AY12" i="20"/>
  <c r="BX12" i="20"/>
  <c r="CB16" i="20"/>
  <c r="T17" i="20"/>
  <c r="H17" i="20" s="1"/>
  <c r="BQ17" i="20"/>
  <c r="CO17" i="20"/>
  <c r="AV21" i="20"/>
  <c r="AW22" i="20"/>
  <c r="K24" i="20"/>
  <c r="CB24" i="20"/>
  <c r="T25" i="20"/>
  <c r="H25" i="20" s="1"/>
  <c r="CB25" i="20"/>
  <c r="BD28" i="20"/>
  <c r="CE48" i="20"/>
  <c r="CD48" i="20"/>
  <c r="CC48" i="20"/>
  <c r="CO49" i="20"/>
  <c r="CT54" i="20"/>
  <c r="CV56" i="20"/>
  <c r="Y57" i="20"/>
  <c r="Z57" i="20" s="1"/>
  <c r="AS57" i="20"/>
  <c r="CB57" i="20"/>
  <c r="CS65" i="20"/>
  <c r="CL71" i="20"/>
  <c r="AY26" i="20"/>
  <c r="BX26" i="20"/>
  <c r="CJ26" i="20"/>
  <c r="BN31" i="20"/>
  <c r="AC45" i="20"/>
  <c r="BN45" i="20"/>
  <c r="AD46" i="20"/>
  <c r="AE47" i="20"/>
  <c r="CB47" i="20"/>
  <c r="CN47" i="20"/>
  <c r="T48" i="20"/>
  <c r="H48" i="20" s="1"/>
  <c r="AF48" i="20"/>
  <c r="BQ48" i="20"/>
  <c r="CO48" i="20"/>
  <c r="DA48" i="20"/>
  <c r="AH50" i="20"/>
  <c r="CQ50" i="20"/>
  <c r="AI51" i="20"/>
  <c r="BT51" i="20"/>
  <c r="CF51" i="20"/>
  <c r="CR51" i="20"/>
  <c r="AV52" i="20"/>
  <c r="CS52" i="20"/>
  <c r="K55" i="20"/>
  <c r="AY55" i="20"/>
  <c r="BX55" i="20"/>
  <c r="CJ55" i="20"/>
  <c r="AB56" i="20"/>
  <c r="AC57" i="20"/>
  <c r="BN57" i="20"/>
  <c r="AD58" i="20"/>
  <c r="AE59" i="20"/>
  <c r="CN59" i="20"/>
  <c r="T60" i="20"/>
  <c r="H60" i="20" s="1"/>
  <c r="BQ60" i="20"/>
  <c r="CO60" i="20"/>
  <c r="DA60" i="20"/>
  <c r="AG61" i="20"/>
  <c r="CP61" i="20"/>
  <c r="AH62" i="20"/>
  <c r="CQ62" i="20"/>
  <c r="BT63" i="20"/>
  <c r="CR63" i="20"/>
  <c r="BU64" i="20"/>
  <c r="CS64" i="20"/>
  <c r="CT65" i="20"/>
  <c r="K67" i="20"/>
  <c r="AC67" i="20" s="1"/>
  <c r="AY67" i="20"/>
  <c r="BX67" i="20"/>
  <c r="CV68" i="20"/>
  <c r="CM71" i="20"/>
  <c r="BU76" i="20"/>
  <c r="CQ79" i="20"/>
  <c r="CP79" i="20"/>
  <c r="DA79" i="20"/>
  <c r="CO79" i="20"/>
  <c r="BQ79" i="20"/>
  <c r="T79" i="20"/>
  <c r="H79" i="20" s="1"/>
  <c r="CN79" i="20"/>
  <c r="CB79" i="20"/>
  <c r="BN79" i="20"/>
  <c r="CJ79" i="20"/>
  <c r="BX79" i="20"/>
  <c r="AY79" i="20"/>
  <c r="K79" i="20"/>
  <c r="BB79" i="20" s="1"/>
  <c r="CU79" i="20"/>
  <c r="CT79" i="20"/>
  <c r="CS79" i="20"/>
  <c r="DP144" i="20"/>
  <c r="DO144" i="20"/>
  <c r="AV144" i="20"/>
  <c r="DI144" i="20"/>
  <c r="AU144" i="20"/>
  <c r="DH144" i="20"/>
  <c r="DN144" i="20"/>
  <c r="DM144" i="20"/>
  <c r="DG144" i="20"/>
  <c r="I153" i="20"/>
  <c r="Y153" i="20"/>
  <c r="Z153" i="20" s="1"/>
  <c r="AB29" i="20"/>
  <c r="BN30" i="20"/>
  <c r="CB32" i="20"/>
  <c r="CN32" i="20"/>
  <c r="AB43" i="20"/>
  <c r="AC44" i="20"/>
  <c r="BN44" i="20"/>
  <c r="AD45" i="20"/>
  <c r="CB46" i="20"/>
  <c r="CN46" i="20"/>
  <c r="T47" i="20"/>
  <c r="H47" i="20" s="1"/>
  <c r="DK47" i="20" s="1"/>
  <c r="AF47" i="20"/>
  <c r="BQ47" i="20"/>
  <c r="CO47" i="20"/>
  <c r="DA47" i="20"/>
  <c r="CP48" i="20"/>
  <c r="AI50" i="20"/>
  <c r="BT50" i="20"/>
  <c r="CF50" i="20"/>
  <c r="CR50" i="20"/>
  <c r="CS51" i="20"/>
  <c r="CT52" i="20"/>
  <c r="AC56" i="20"/>
  <c r="BN56" i="20"/>
  <c r="AE58" i="20"/>
  <c r="CN58" i="20"/>
  <c r="T59" i="20"/>
  <c r="H59" i="20" s="1"/>
  <c r="CB59" i="20" s="1"/>
  <c r="AF59" i="20"/>
  <c r="BQ59" i="20"/>
  <c r="CO59" i="20"/>
  <c r="DA59" i="20"/>
  <c r="CP60" i="20"/>
  <c r="AH61" i="20"/>
  <c r="CQ61" i="20"/>
  <c r="AI62" i="20"/>
  <c r="BT62" i="20"/>
  <c r="CR62" i="20"/>
  <c r="CS63" i="20"/>
  <c r="H64" i="20"/>
  <c r="BV64" i="20"/>
  <c r="CT64" i="20"/>
  <c r="CU65" i="20"/>
  <c r="CW68" i="20"/>
  <c r="CZ69" i="20"/>
  <c r="CY69" i="20"/>
  <c r="CA76" i="20"/>
  <c r="BZ76" i="20"/>
  <c r="BY76" i="20"/>
  <c r="CR77" i="20"/>
  <c r="AI80" i="20"/>
  <c r="AH80" i="20"/>
  <c r="AG80" i="20"/>
  <c r="AF80" i="20"/>
  <c r="AE80" i="20"/>
  <c r="AD80" i="20"/>
  <c r="BN80" i="20"/>
  <c r="CE82" i="20"/>
  <c r="CD82" i="20"/>
  <c r="CC82" i="20"/>
  <c r="CV83" i="20"/>
  <c r="CE86" i="20"/>
  <c r="CD86" i="20"/>
  <c r="CC86" i="20"/>
  <c r="AI104" i="20"/>
  <c r="AH104" i="20"/>
  <c r="AG104" i="20"/>
  <c r="AF104" i="20"/>
  <c r="AE104" i="20"/>
  <c r="AD104" i="20"/>
  <c r="AC104" i="20"/>
  <c r="BD46" i="20"/>
  <c r="CS50" i="20"/>
  <c r="BN55" i="20"/>
  <c r="BB56" i="20"/>
  <c r="AI61" i="20"/>
  <c r="BT61" i="20"/>
  <c r="CR61" i="20"/>
  <c r="CS62" i="20"/>
  <c r="K65" i="20"/>
  <c r="BD65" i="20" s="1"/>
  <c r="AY65" i="20"/>
  <c r="BX65" i="20"/>
  <c r="AV68" i="20"/>
  <c r="DI68" i="20"/>
  <c r="AU68" i="20"/>
  <c r="DG68" i="20"/>
  <c r="DO68" i="20"/>
  <c r="BB68" i="20"/>
  <c r="CY68" i="20"/>
  <c r="AV69" i="20"/>
  <c r="DH69" i="20"/>
  <c r="DG69" i="20"/>
  <c r="DP69" i="20"/>
  <c r="DM69" i="20"/>
  <c r="U79" i="20"/>
  <c r="BS83" i="20"/>
  <c r="BR83" i="20"/>
  <c r="CI86" i="20"/>
  <c r="CH86" i="20"/>
  <c r="CG86" i="20"/>
  <c r="BS154" i="20"/>
  <c r="BR154" i="20"/>
  <c r="DM52" i="20"/>
  <c r="CS61" i="20"/>
  <c r="CZ68" i="20"/>
  <c r="AI70" i="20"/>
  <c r="AH70" i="20"/>
  <c r="AF70" i="20"/>
  <c r="AE70" i="20"/>
  <c r="AB71" i="20"/>
  <c r="U72" i="20"/>
  <c r="BP72" i="20"/>
  <c r="BN73" i="20"/>
  <c r="CJ73" i="20"/>
  <c r="CU73" i="20"/>
  <c r="CT73" i="20"/>
  <c r="CR73" i="20"/>
  <c r="CF73" i="20"/>
  <c r="CQ73" i="20"/>
  <c r="CP73" i="20"/>
  <c r="BX73" i="20"/>
  <c r="CQ77" i="20"/>
  <c r="CP77" i="20"/>
  <c r="DA77" i="20"/>
  <c r="CO77" i="20"/>
  <c r="BQ77" i="20"/>
  <c r="T77" i="20"/>
  <c r="H77" i="20" s="1"/>
  <c r="CJ77" i="20" s="1"/>
  <c r="CN77" i="20"/>
  <c r="CB77" i="20"/>
  <c r="BN77" i="20"/>
  <c r="BX77" i="20"/>
  <c r="AY77" i="20"/>
  <c r="K77" i="20"/>
  <c r="CU77" i="20"/>
  <c r="CT77" i="20"/>
  <c r="CM82" i="20"/>
  <c r="CL82" i="20"/>
  <c r="CK82" i="20"/>
  <c r="CZ83" i="20"/>
  <c r="CY83" i="20"/>
  <c r="CX83" i="20"/>
  <c r="BZ83" i="20"/>
  <c r="DA88" i="20"/>
  <c r="AV109" i="20"/>
  <c r="AV113" i="20"/>
  <c r="AU113" i="20"/>
  <c r="BD113" i="20"/>
  <c r="X178" i="20"/>
  <c r="U178" i="20"/>
  <c r="DR178" i="20"/>
  <c r="K26" i="20"/>
  <c r="CB26" i="20"/>
  <c r="CN26" i="20"/>
  <c r="T30" i="20"/>
  <c r="H30" i="20" s="1"/>
  <c r="AF30" i="20"/>
  <c r="BQ30" i="20"/>
  <c r="CO30" i="20"/>
  <c r="DA30" i="20"/>
  <c r="U31" i="20"/>
  <c r="CP31" i="20"/>
  <c r="CQ32" i="20"/>
  <c r="T44" i="20"/>
  <c r="H44" i="20" s="1"/>
  <c r="DI44" i="20" s="1"/>
  <c r="AF44" i="20"/>
  <c r="BQ44" i="20"/>
  <c r="CO44" i="20"/>
  <c r="DA44" i="20"/>
  <c r="AG45" i="20"/>
  <c r="CP45" i="20"/>
  <c r="CQ46" i="20"/>
  <c r="DH46" i="20"/>
  <c r="BT47" i="20"/>
  <c r="CF47" i="20"/>
  <c r="CR47" i="20"/>
  <c r="CS48" i="20"/>
  <c r="CU50" i="20"/>
  <c r="K51" i="20"/>
  <c r="BB51" i="20" s="1"/>
  <c r="AY51" i="20"/>
  <c r="BX51" i="20"/>
  <c r="CJ51" i="20"/>
  <c r="CV51" i="20"/>
  <c r="AB52" i="20"/>
  <c r="BY52" i="20"/>
  <c r="DN52" i="20"/>
  <c r="AE55" i="20"/>
  <c r="CN55" i="20"/>
  <c r="T56" i="20"/>
  <c r="H56" i="20" s="1"/>
  <c r="DK56" i="20" s="1"/>
  <c r="AF56" i="20"/>
  <c r="BQ56" i="20"/>
  <c r="CO56" i="20"/>
  <c r="DA56" i="20"/>
  <c r="BR57" i="20"/>
  <c r="CP57" i="20"/>
  <c r="CQ58" i="20"/>
  <c r="DH58" i="20"/>
  <c r="BT59" i="20"/>
  <c r="CF59" i="20"/>
  <c r="CR59" i="20"/>
  <c r="BU60" i="20"/>
  <c r="CS60" i="20"/>
  <c r="CT61" i="20"/>
  <c r="CU62" i="20"/>
  <c r="K63" i="20"/>
  <c r="BB63" i="20" s="1"/>
  <c r="AY63" i="20"/>
  <c r="BX63" i="20"/>
  <c r="BY64" i="20"/>
  <c r="AC65" i="20"/>
  <c r="BN65" i="20"/>
  <c r="CB67" i="20"/>
  <c r="CN67" i="20"/>
  <c r="DH68" i="20"/>
  <c r="U69" i="20"/>
  <c r="CK69" i="20"/>
  <c r="DO69" i="20"/>
  <c r="BS72" i="20"/>
  <c r="CX72" i="20"/>
  <c r="CW72" i="20"/>
  <c r="K73" i="20"/>
  <c r="CB73" i="20"/>
  <c r="DP82" i="20"/>
  <c r="DL83" i="20"/>
  <c r="DJ83" i="20"/>
  <c r="AU83" i="20"/>
  <c r="DP83" i="20"/>
  <c r="DO83" i="20"/>
  <c r="BO85" i="20"/>
  <c r="AB86" i="20"/>
  <c r="AV106" i="20"/>
  <c r="AU106" i="20"/>
  <c r="CM144" i="20"/>
  <c r="CL144" i="20"/>
  <c r="AS154" i="20"/>
  <c r="I154" i="20"/>
  <c r="CW175" i="20"/>
  <c r="CV175" i="20"/>
  <c r="BQ26" i="20"/>
  <c r="CO26" i="20"/>
  <c r="DA26" i="20"/>
  <c r="CP30" i="20"/>
  <c r="CQ31" i="20"/>
  <c r="CF32" i="20"/>
  <c r="CR32" i="20"/>
  <c r="AG44" i="20"/>
  <c r="CP44" i="20"/>
  <c r="CQ45" i="20"/>
  <c r="BT46" i="20"/>
  <c r="CF46" i="20"/>
  <c r="CR46" i="20"/>
  <c r="CS47" i="20"/>
  <c r="CT48" i="20"/>
  <c r="K50" i="20"/>
  <c r="AY50" i="20"/>
  <c r="BX50" i="20"/>
  <c r="CJ50" i="20"/>
  <c r="AB51" i="20"/>
  <c r="CW51" i="20"/>
  <c r="BZ52" i="20"/>
  <c r="DO52" i="20"/>
  <c r="T55" i="20"/>
  <c r="H55" i="20" s="1"/>
  <c r="AF55" i="20"/>
  <c r="BQ55" i="20"/>
  <c r="CO55" i="20"/>
  <c r="DA55" i="20"/>
  <c r="AG56" i="20"/>
  <c r="CP56" i="20"/>
  <c r="CS59" i="20"/>
  <c r="BV60" i="20"/>
  <c r="CU61" i="20"/>
  <c r="K62" i="20"/>
  <c r="AY62" i="20"/>
  <c r="BX62" i="20"/>
  <c r="CJ62" i="20"/>
  <c r="AB63" i="20"/>
  <c r="CW63" i="20"/>
  <c r="AD65" i="20"/>
  <c r="T67" i="20"/>
  <c r="H67" i="20" s="1"/>
  <c r="CJ67" i="20" s="1"/>
  <c r="BQ67" i="20"/>
  <c r="CP67" i="20"/>
  <c r="BB69" i="20"/>
  <c r="CL69" i="20"/>
  <c r="AC70" i="20"/>
  <c r="BV72" i="20"/>
  <c r="BU72" i="20"/>
  <c r="U77" i="20"/>
  <c r="AH79" i="20"/>
  <c r="AG79" i="20"/>
  <c r="AF79" i="20"/>
  <c r="AE79" i="20"/>
  <c r="AD79" i="20"/>
  <c r="AC79" i="20"/>
  <c r="CX81" i="20"/>
  <c r="DP143" i="20"/>
  <c r="AV143" i="20"/>
  <c r="DI143" i="20"/>
  <c r="AU143" i="20"/>
  <c r="DH143" i="20"/>
  <c r="DO143" i="20"/>
  <c r="DN143" i="20"/>
  <c r="DM143" i="20"/>
  <c r="DG143" i="20"/>
  <c r="BD143" i="20"/>
  <c r="CK144" i="20"/>
  <c r="BR149" i="20"/>
  <c r="CP26" i="20"/>
  <c r="CQ30" i="20"/>
  <c r="CF31" i="20"/>
  <c r="CR31" i="20"/>
  <c r="CS32" i="20"/>
  <c r="AH44" i="20"/>
  <c r="CQ44" i="20"/>
  <c r="CF45" i="20"/>
  <c r="CR45" i="20"/>
  <c r="CS46" i="20"/>
  <c r="CT47" i="20"/>
  <c r="CU48" i="20"/>
  <c r="AB50" i="20"/>
  <c r="AC51" i="20"/>
  <c r="CX51" i="20"/>
  <c r="AD52" i="20"/>
  <c r="CY52" i="20"/>
  <c r="DP52" i="20"/>
  <c r="AG55" i="20"/>
  <c r="CP55" i="20"/>
  <c r="AH56" i="20"/>
  <c r="CQ56" i="20"/>
  <c r="BT57" i="20"/>
  <c r="CF57" i="20"/>
  <c r="CR57" i="20"/>
  <c r="AV58" i="20"/>
  <c r="BU58" i="20"/>
  <c r="CS58" i="20"/>
  <c r="CT59" i="20"/>
  <c r="K61" i="20"/>
  <c r="BD61" i="20" s="1"/>
  <c r="AY61" i="20"/>
  <c r="BX61" i="20"/>
  <c r="CJ61" i="20"/>
  <c r="AB62" i="20"/>
  <c r="BO64" i="20"/>
  <c r="AE65" i="20"/>
  <c r="CB65" i="20"/>
  <c r="CN65" i="20"/>
  <c r="U67" i="20"/>
  <c r="CS67" i="20"/>
  <c r="BD68" i="20"/>
  <c r="DM68" i="20"/>
  <c r="AD70" i="20"/>
  <c r="BW72" i="20"/>
  <c r="AB73" i="20"/>
  <c r="AZ76" i="20"/>
  <c r="BD82" i="20"/>
  <c r="AB82" i="20"/>
  <c r="AZ82" i="20"/>
  <c r="BP87" i="20"/>
  <c r="U102" i="20"/>
  <c r="BB113" i="20"/>
  <c r="BM113" i="20" s="1"/>
  <c r="CF30" i="20"/>
  <c r="CR30" i="20"/>
  <c r="CF44" i="20"/>
  <c r="CR44" i="20"/>
  <c r="K48" i="20"/>
  <c r="BD48" i="20" s="1"/>
  <c r="AY48" i="20"/>
  <c r="AC50" i="20"/>
  <c r="CY51" i="20"/>
  <c r="AH55" i="20"/>
  <c r="CQ55" i="20"/>
  <c r="BT56" i="20"/>
  <c r="CF56" i="20"/>
  <c r="CR56" i="20"/>
  <c r="H58" i="20"/>
  <c r="K60" i="20"/>
  <c r="AY60" i="20"/>
  <c r="BX60" i="20"/>
  <c r="AC62" i="20"/>
  <c r="BN62" i="20"/>
  <c r="CB64" i="20"/>
  <c r="T65" i="20"/>
  <c r="H65" i="20" s="1"/>
  <c r="CJ65" i="20" s="1"/>
  <c r="AF65" i="20"/>
  <c r="BQ65" i="20"/>
  <c r="CO65" i="20"/>
  <c r="DA65" i="20"/>
  <c r="CT67" i="20"/>
  <c r="CK68" i="20"/>
  <c r="DN68" i="20"/>
  <c r="BP69" i="20"/>
  <c r="BO69" i="20"/>
  <c r="AG70" i="20"/>
  <c r="T73" i="20"/>
  <c r="H73" i="20" s="1"/>
  <c r="BT73" i="20" s="1"/>
  <c r="AY73" i="20"/>
  <c r="CN73" i="20"/>
  <c r="DG76" i="20"/>
  <c r="DL76" i="20"/>
  <c r="DK76" i="20"/>
  <c r="DJ76" i="20"/>
  <c r="AV76" i="20"/>
  <c r="BT77" i="20"/>
  <c r="AI79" i="20"/>
  <c r="BB100" i="20"/>
  <c r="BM100" i="20" s="1"/>
  <c r="F120" i="20"/>
  <c r="Y154" i="20"/>
  <c r="Z154" i="20" s="1"/>
  <c r="F89" i="20"/>
  <c r="BT55" i="20"/>
  <c r="CF55" i="20"/>
  <c r="CR55" i="20"/>
  <c r="AC61" i="20"/>
  <c r="AG65" i="20"/>
  <c r="CP65" i="20"/>
  <c r="BT67" i="20"/>
  <c r="CF67" i="20"/>
  <c r="DP68" i="20"/>
  <c r="BS69" i="20"/>
  <c r="BR69" i="20"/>
  <c r="AB72" i="20"/>
  <c r="CO73" i="20"/>
  <c r="CI79" i="20"/>
  <c r="CH79" i="20"/>
  <c r="AB87" i="20"/>
  <c r="CM145" i="20"/>
  <c r="CL145" i="20"/>
  <c r="CK145" i="20"/>
  <c r="AI148" i="20"/>
  <c r="AH148" i="20"/>
  <c r="AG148" i="20"/>
  <c r="AF148" i="20"/>
  <c r="AD148" i="20"/>
  <c r="AC148" i="20"/>
  <c r="CB62" i="20"/>
  <c r="U64" i="20"/>
  <c r="CR67" i="20"/>
  <c r="CQ67" i="20"/>
  <c r="DA67" i="20"/>
  <c r="CO67" i="20"/>
  <c r="AU69" i="20"/>
  <c r="CJ70" i="20"/>
  <c r="BX70" i="20"/>
  <c r="AY70" i="20"/>
  <c r="K70" i="20"/>
  <c r="CU70" i="20"/>
  <c r="CT70" i="20"/>
  <c r="CR70" i="20"/>
  <c r="CF70" i="20"/>
  <c r="BT70" i="20"/>
  <c r="CQ70" i="20"/>
  <c r="DA70" i="20"/>
  <c r="CO70" i="20"/>
  <c r="BQ70" i="20"/>
  <c r="T70" i="20"/>
  <c r="H70" i="20" s="1"/>
  <c r="CB70" i="20" s="1"/>
  <c r="CN70" i="20"/>
  <c r="BN70" i="20"/>
  <c r="CP70" i="20"/>
  <c r="AD73" i="20"/>
  <c r="AC73" i="20"/>
  <c r="AI73" i="20"/>
  <c r="AH73" i="20"/>
  <c r="AG73" i="20"/>
  <c r="CS73" i="20"/>
  <c r="CG79" i="20"/>
  <c r="CR80" i="20"/>
  <c r="CF80" i="20"/>
  <c r="CQ80" i="20"/>
  <c r="CP80" i="20"/>
  <c r="DA80" i="20"/>
  <c r="CO80" i="20"/>
  <c r="BQ80" i="20"/>
  <c r="T80" i="20"/>
  <c r="H80" i="20" s="1"/>
  <c r="BT80" i="20" s="1"/>
  <c r="CN80" i="20"/>
  <c r="CB80" i="20"/>
  <c r="CJ80" i="20"/>
  <c r="BX80" i="20"/>
  <c r="AY80" i="20"/>
  <c r="K80" i="20"/>
  <c r="CU80" i="20"/>
  <c r="CT80" i="20"/>
  <c r="BR88" i="20"/>
  <c r="T103" i="20"/>
  <c r="H103" i="20" s="1"/>
  <c r="BT103" i="20" s="1"/>
  <c r="AY103" i="20"/>
  <c r="K103" i="20"/>
  <c r="T104" i="20"/>
  <c r="H104" i="20" s="1"/>
  <c r="BT104" i="20" s="1"/>
  <c r="AY104" i="20"/>
  <c r="K104" i="20"/>
  <c r="AV111" i="20"/>
  <c r="AV115" i="20"/>
  <c r="AU115" i="20"/>
  <c r="BD115" i="20"/>
  <c r="CM141" i="20"/>
  <c r="AE148" i="20"/>
  <c r="CS76" i="20"/>
  <c r="AD84" i="20"/>
  <c r="U87" i="20"/>
  <c r="AG87" i="20"/>
  <c r="CP87" i="20"/>
  <c r="AH88" i="20"/>
  <c r="CQ88" i="20"/>
  <c r="AV100" i="20"/>
  <c r="AB106" i="20"/>
  <c r="AD116" i="20"/>
  <c r="CN141" i="20"/>
  <c r="BP147" i="20"/>
  <c r="BS153" i="20"/>
  <c r="BR153" i="20"/>
  <c r="CI167" i="20"/>
  <c r="CH167" i="20"/>
  <c r="CG167" i="20"/>
  <c r="BS171" i="20"/>
  <c r="BN68" i="20"/>
  <c r="BQ71" i="20"/>
  <c r="CO71" i="20"/>
  <c r="DA71" i="20"/>
  <c r="BR72" i="20"/>
  <c r="CP72" i="20"/>
  <c r="BT74" i="20"/>
  <c r="CR74" i="20"/>
  <c r="BU75" i="20"/>
  <c r="CS75" i="20"/>
  <c r="CT76" i="20"/>
  <c r="AB81" i="20"/>
  <c r="CK81" i="20"/>
  <c r="AC82" i="20"/>
  <c r="BN82" i="20"/>
  <c r="AD83" i="20"/>
  <c r="BO83" i="20"/>
  <c r="AE84" i="20"/>
  <c r="CB84" i="20"/>
  <c r="CN84" i="20"/>
  <c r="T85" i="20"/>
  <c r="H85" i="20" s="1"/>
  <c r="BT85" i="20" s="1"/>
  <c r="BQ85" i="20"/>
  <c r="CC85" i="20"/>
  <c r="CO85" i="20"/>
  <c r="DA85" i="20"/>
  <c r="AG86" i="20"/>
  <c r="BR86" i="20"/>
  <c r="CP86" i="20"/>
  <c r="AH87" i="20"/>
  <c r="CQ87" i="20"/>
  <c r="AI88" i="20"/>
  <c r="BT88" i="20"/>
  <c r="CF88" i="20"/>
  <c r="CR88" i="20"/>
  <c r="AB105" i="20"/>
  <c r="AC106" i="20"/>
  <c r="AD107" i="20"/>
  <c r="AD109" i="20"/>
  <c r="AD111" i="20"/>
  <c r="AD113" i="20"/>
  <c r="AD115" i="20"/>
  <c r="AE116" i="20"/>
  <c r="T117" i="20"/>
  <c r="H117" i="20" s="1"/>
  <c r="CJ117" i="20" s="1"/>
  <c r="T119" i="20"/>
  <c r="H119" i="20" s="1"/>
  <c r="BT119" i="20" s="1"/>
  <c r="T141" i="20"/>
  <c r="H141" i="20" s="1"/>
  <c r="BT141" i="20" s="1"/>
  <c r="BQ141" i="20"/>
  <c r="CO141" i="20"/>
  <c r="DA141" i="20"/>
  <c r="DR142" i="20"/>
  <c r="DL142" i="20"/>
  <c r="CZ144" i="20"/>
  <c r="CY144" i="20"/>
  <c r="CX144" i="20"/>
  <c r="CA146" i="20"/>
  <c r="BY146" i="20"/>
  <c r="CS74" i="20"/>
  <c r="CU76" i="20"/>
  <c r="AA77" i="20"/>
  <c r="DO81" i="20"/>
  <c r="T84" i="20"/>
  <c r="H84" i="20" s="1"/>
  <c r="AF84" i="20"/>
  <c r="BQ84" i="20"/>
  <c r="CO84" i="20"/>
  <c r="DA84" i="20"/>
  <c r="AI87" i="20"/>
  <c r="CF87" i="20"/>
  <c r="CR87" i="20"/>
  <c r="CS88" i="20"/>
  <c r="BB106" i="20"/>
  <c r="BM106" i="20" s="1"/>
  <c r="T116" i="20"/>
  <c r="H116" i="20" s="1"/>
  <c r="CJ116" i="20" s="1"/>
  <c r="AF116" i="20"/>
  <c r="BB143" i="20"/>
  <c r="BD144" i="20"/>
  <c r="DP145" i="20"/>
  <c r="DO145" i="20"/>
  <c r="AV145" i="20"/>
  <c r="DI145" i="20"/>
  <c r="AU145" i="20"/>
  <c r="DH145" i="20"/>
  <c r="DG146" i="20"/>
  <c r="BB146" i="20"/>
  <c r="BS152" i="20"/>
  <c r="AS160" i="20"/>
  <c r="I160" i="20"/>
  <c r="CY164" i="20"/>
  <c r="CX164" i="20"/>
  <c r="BW167" i="20"/>
  <c r="BV167" i="20"/>
  <c r="BU167" i="20"/>
  <c r="CS87" i="20"/>
  <c r="BO144" i="20"/>
  <c r="AS155" i="20"/>
  <c r="T68" i="20"/>
  <c r="H68" i="20" s="1"/>
  <c r="AF68" i="20"/>
  <c r="BQ68" i="20"/>
  <c r="CO68" i="20"/>
  <c r="DA68" i="20"/>
  <c r="AG69" i="20"/>
  <c r="CP69" i="20"/>
  <c r="BT71" i="20"/>
  <c r="CF71" i="20"/>
  <c r="CR71" i="20"/>
  <c r="CS72" i="20"/>
  <c r="CU74" i="20"/>
  <c r="K75" i="20"/>
  <c r="AW75" i="20" s="1"/>
  <c r="AY75" i="20"/>
  <c r="BX75" i="20"/>
  <c r="AB76" i="20"/>
  <c r="AE81" i="20"/>
  <c r="CB81" i="20"/>
  <c r="CN81" i="20"/>
  <c r="T82" i="20"/>
  <c r="H82" i="20" s="1"/>
  <c r="AF82" i="20"/>
  <c r="BQ82" i="20"/>
  <c r="CO82" i="20"/>
  <c r="DA82" i="20"/>
  <c r="AG83" i="20"/>
  <c r="CP83" i="20"/>
  <c r="AH84" i="20"/>
  <c r="CQ84" i="20"/>
  <c r="CF85" i="20"/>
  <c r="CR85" i="20"/>
  <c r="CS86" i="20"/>
  <c r="CT87" i="20"/>
  <c r="CU88" i="20"/>
  <c r="AG107" i="20"/>
  <c r="AG109" i="20"/>
  <c r="AG111" i="20"/>
  <c r="AG113" i="20"/>
  <c r="AG115" i="20"/>
  <c r="AH116" i="20"/>
  <c r="CF141" i="20"/>
  <c r="CR141" i="20"/>
  <c r="CN142" i="20"/>
  <c r="CB142" i="20"/>
  <c r="CT142" i="20"/>
  <c r="CS142" i="20"/>
  <c r="CR142" i="20"/>
  <c r="CF142" i="20"/>
  <c r="CQ142" i="20"/>
  <c r="BN142" i="20"/>
  <c r="CL142" i="20"/>
  <c r="DO142" i="20"/>
  <c r="CK143" i="20"/>
  <c r="CM146" i="20"/>
  <c r="CK146" i="20"/>
  <c r="AG68" i="20"/>
  <c r="CP68" i="20"/>
  <c r="CQ69" i="20"/>
  <c r="CS71" i="20"/>
  <c r="CT72" i="20"/>
  <c r="K74" i="20"/>
  <c r="BB74" i="20" s="1"/>
  <c r="BC74" i="20" s="1"/>
  <c r="AY74" i="20"/>
  <c r="BX74" i="20"/>
  <c r="CJ74" i="20"/>
  <c r="AB75" i="20"/>
  <c r="BN76" i="20"/>
  <c r="BB77" i="20"/>
  <c r="BC77" i="20" s="1"/>
  <c r="T81" i="20"/>
  <c r="H81" i="20" s="1"/>
  <c r="AT81" i="20" s="1"/>
  <c r="AF81" i="20"/>
  <c r="BQ81" i="20"/>
  <c r="CO81" i="20"/>
  <c r="DA81" i="20"/>
  <c r="AG82" i="20"/>
  <c r="CP82" i="20"/>
  <c r="CQ83" i="20"/>
  <c r="CF84" i="20"/>
  <c r="CR84" i="20"/>
  <c r="CS85" i="20"/>
  <c r="CT86" i="20"/>
  <c r="CU87" i="20"/>
  <c r="K88" i="20"/>
  <c r="BB88" i="20" s="1"/>
  <c r="AY88" i="20"/>
  <c r="CJ88" i="20"/>
  <c r="AC100" i="20"/>
  <c r="CS141" i="20"/>
  <c r="BQ142" i="20"/>
  <c r="CO142" i="20"/>
  <c r="CL143" i="20"/>
  <c r="BD145" i="20"/>
  <c r="DG145" i="20"/>
  <c r="CI147" i="20"/>
  <c r="CH147" i="20"/>
  <c r="CG147" i="20"/>
  <c r="CS84" i="20"/>
  <c r="K87" i="20"/>
  <c r="BD87" i="20" s="1"/>
  <c r="AY87" i="20"/>
  <c r="BX87" i="20"/>
  <c r="CJ87" i="20"/>
  <c r="DA143" i="20"/>
  <c r="DR143" i="20"/>
  <c r="U147" i="20"/>
  <c r="CM166" i="20"/>
  <c r="CL166" i="20"/>
  <c r="BT68" i="20"/>
  <c r="CF68" i="20"/>
  <c r="CR68" i="20"/>
  <c r="CS69" i="20"/>
  <c r="CU71" i="20"/>
  <c r="K72" i="20"/>
  <c r="AD72" i="20" s="1"/>
  <c r="AY72" i="20"/>
  <c r="BX72" i="20"/>
  <c r="CJ72" i="20"/>
  <c r="BN74" i="20"/>
  <c r="BB75" i="20"/>
  <c r="BC75" i="20" s="1"/>
  <c r="CB76" i="20"/>
  <c r="CN76" i="20"/>
  <c r="AH81" i="20"/>
  <c r="CQ81" i="20"/>
  <c r="CF82" i="20"/>
  <c r="CR82" i="20"/>
  <c r="CG83" i="20"/>
  <c r="CS83" i="20"/>
  <c r="CT84" i="20"/>
  <c r="CU85" i="20"/>
  <c r="K86" i="20"/>
  <c r="BD86" i="20" s="1"/>
  <c r="AY86" i="20"/>
  <c r="BX86" i="20"/>
  <c r="CJ86" i="20"/>
  <c r="AC88" i="20"/>
  <c r="BN88" i="20"/>
  <c r="AE100" i="20"/>
  <c r="DP142" i="20"/>
  <c r="DK142" i="20"/>
  <c r="DJ142" i="20"/>
  <c r="AV142" i="20"/>
  <c r="AU142" i="20"/>
  <c r="CU142" i="20"/>
  <c r="DM145" i="20"/>
  <c r="AZ146" i="20"/>
  <c r="CR148" i="20"/>
  <c r="CF148" i="20"/>
  <c r="BT148" i="20"/>
  <c r="CQ148" i="20"/>
  <c r="CP148" i="20"/>
  <c r="DA148" i="20"/>
  <c r="CO148" i="20"/>
  <c r="BQ148" i="20"/>
  <c r="T148" i="20"/>
  <c r="H148" i="20" s="1"/>
  <c r="BN148" i="20"/>
  <c r="CJ148" i="20"/>
  <c r="BX148" i="20"/>
  <c r="AY148" i="20"/>
  <c r="K148" i="20"/>
  <c r="BD148" i="20" s="1"/>
  <c r="CU148" i="20"/>
  <c r="CT148" i="20"/>
  <c r="CS68" i="20"/>
  <c r="H69" i="20"/>
  <c r="DJ69" i="20" s="1"/>
  <c r="CT69" i="20"/>
  <c r="K71" i="20"/>
  <c r="AY71" i="20"/>
  <c r="BX71" i="20"/>
  <c r="CB75" i="20"/>
  <c r="CN75" i="20"/>
  <c r="T76" i="20"/>
  <c r="H76" i="20" s="1"/>
  <c r="BQ76" i="20"/>
  <c r="CO76" i="20"/>
  <c r="DA76" i="20"/>
  <c r="CF81" i="20"/>
  <c r="CR81" i="20"/>
  <c r="CS82" i="20"/>
  <c r="H83" i="20"/>
  <c r="DG83" i="20" s="1"/>
  <c r="CT83" i="20"/>
  <c r="CU84" i="20"/>
  <c r="K85" i="20"/>
  <c r="AY85" i="20"/>
  <c r="BX85" i="20"/>
  <c r="AC87" i="20"/>
  <c r="AD88" i="20"/>
  <c r="T100" i="20"/>
  <c r="H100" i="20" s="1"/>
  <c r="BT100" i="20" s="1"/>
  <c r="AF100" i="20"/>
  <c r="T102" i="20"/>
  <c r="H102" i="20" s="1"/>
  <c r="I102" i="20" s="1"/>
  <c r="AU105" i="20"/>
  <c r="H109" i="20"/>
  <c r="H111" i="20"/>
  <c r="I111" i="20" s="1"/>
  <c r="H113" i="20"/>
  <c r="BT113" i="20" s="1"/>
  <c r="H115" i="20"/>
  <c r="AJ115" i="20" s="1"/>
  <c r="K117" i="20"/>
  <c r="AY117" i="20"/>
  <c r="K119" i="20"/>
  <c r="AY119" i="20"/>
  <c r="K141" i="20"/>
  <c r="BD141" i="20" s="1"/>
  <c r="AY141" i="20"/>
  <c r="BX141" i="20"/>
  <c r="AY142" i="20"/>
  <c r="AZ142" i="20" s="1"/>
  <c r="BX142" i="20"/>
  <c r="CZ143" i="20"/>
  <c r="CY143" i="20"/>
  <c r="DN145" i="20"/>
  <c r="BS150" i="20"/>
  <c r="Y160" i="20"/>
  <c r="Z160" i="20" s="1"/>
  <c r="CZ165" i="20"/>
  <c r="CY165" i="20"/>
  <c r="CX165" i="20"/>
  <c r="CW165" i="20"/>
  <c r="CA165" i="20"/>
  <c r="BZ165" i="20"/>
  <c r="BY165" i="20"/>
  <c r="CB74" i="20"/>
  <c r="T75" i="20"/>
  <c r="H75" i="20" s="1"/>
  <c r="BQ75" i="20"/>
  <c r="CO75" i="20"/>
  <c r="K84" i="20"/>
  <c r="AY84" i="20"/>
  <c r="BX84" i="20"/>
  <c r="CB88" i="20"/>
  <c r="AV105" i="20"/>
  <c r="H106" i="20"/>
  <c r="AT106" i="20" s="1"/>
  <c r="K116" i="20"/>
  <c r="AY116" i="20"/>
  <c r="CW141" i="20"/>
  <c r="CV143" i="20"/>
  <c r="DA144" i="20"/>
  <c r="AB148" i="20"/>
  <c r="Y155" i="20"/>
  <c r="Z155" i="20" s="1"/>
  <c r="AU165" i="20"/>
  <c r="CM165" i="20"/>
  <c r="CL165" i="20"/>
  <c r="CK165" i="20"/>
  <c r="CK185" i="20"/>
  <c r="CM185" i="20"/>
  <c r="CL185" i="20"/>
  <c r="CQ143" i="20"/>
  <c r="CQ144" i="20"/>
  <c r="CQ145" i="20"/>
  <c r="BT146" i="20"/>
  <c r="CF146" i="20"/>
  <c r="CR146" i="20"/>
  <c r="CS147" i="20"/>
  <c r="CU149" i="20"/>
  <c r="CU150" i="20"/>
  <c r="CU151" i="20"/>
  <c r="CU152" i="20"/>
  <c r="CU153" i="20"/>
  <c r="CU154" i="20"/>
  <c r="CU155" i="20"/>
  <c r="CU156" i="20"/>
  <c r="CU157" i="20"/>
  <c r="CU158" i="20"/>
  <c r="CU159" i="20"/>
  <c r="CU160" i="20"/>
  <c r="CU161" i="20"/>
  <c r="CU162" i="20"/>
  <c r="CU163" i="20"/>
  <c r="AY164" i="20"/>
  <c r="AZ164" i="20" s="1"/>
  <c r="BX164" i="20"/>
  <c r="CJ164" i="20"/>
  <c r="DM164" i="20"/>
  <c r="AB165" i="20"/>
  <c r="BN166" i="20"/>
  <c r="BN167" i="20"/>
  <c r="DR168" i="20"/>
  <c r="DR172" i="20"/>
  <c r="CK182" i="20"/>
  <c r="CM182" i="20"/>
  <c r="CK183" i="20"/>
  <c r="CM183" i="20"/>
  <c r="CK184" i="20"/>
  <c r="CM184" i="20"/>
  <c r="X185" i="20"/>
  <c r="U185" i="20"/>
  <c r="DR185" i="20"/>
  <c r="CM187" i="20"/>
  <c r="U187" i="20"/>
  <c r="CA187" i="20"/>
  <c r="AI142" i="20"/>
  <c r="AI143" i="20"/>
  <c r="BT143" i="20"/>
  <c r="CF143" i="20"/>
  <c r="CR143" i="20"/>
  <c r="AI144" i="20"/>
  <c r="BT144" i="20"/>
  <c r="CF144" i="20"/>
  <c r="CR144" i="20"/>
  <c r="BT145" i="20"/>
  <c r="CF145" i="20"/>
  <c r="CR145" i="20"/>
  <c r="CS146" i="20"/>
  <c r="CT147" i="20"/>
  <c r="K149" i="20"/>
  <c r="AY149" i="20"/>
  <c r="BX149" i="20"/>
  <c r="CJ149" i="20"/>
  <c r="K150" i="20"/>
  <c r="AY150" i="20"/>
  <c r="BX150" i="20"/>
  <c r="CJ150" i="20"/>
  <c r="K151" i="20"/>
  <c r="L151" i="20" s="1"/>
  <c r="AY151" i="20"/>
  <c r="BX151" i="20"/>
  <c r="CJ151" i="20"/>
  <c r="K152" i="20"/>
  <c r="AT152" i="20" s="1"/>
  <c r="AY152" i="20"/>
  <c r="BX152" i="20"/>
  <c r="CJ152" i="20"/>
  <c r="K153" i="20"/>
  <c r="AY153" i="20"/>
  <c r="BX153" i="20"/>
  <c r="CJ153" i="20"/>
  <c r="K154" i="20"/>
  <c r="L154" i="20" s="1"/>
  <c r="N154" i="20" s="1"/>
  <c r="AY154" i="20"/>
  <c r="BX154" i="20"/>
  <c r="CJ154" i="20"/>
  <c r="K155" i="20"/>
  <c r="AY155" i="20"/>
  <c r="BX155" i="20"/>
  <c r="CJ155" i="20"/>
  <c r="K156" i="20"/>
  <c r="AY156" i="20"/>
  <c r="BX156" i="20"/>
  <c r="K157" i="20"/>
  <c r="AY157" i="20"/>
  <c r="BX157" i="20"/>
  <c r="K158" i="20"/>
  <c r="AY158" i="20"/>
  <c r="BX158" i="20"/>
  <c r="K159" i="20"/>
  <c r="AY159" i="20"/>
  <c r="BX159" i="20"/>
  <c r="K160" i="20"/>
  <c r="L160" i="20" s="1"/>
  <c r="N160" i="20" s="1"/>
  <c r="AY160" i="20"/>
  <c r="BX160" i="20"/>
  <c r="CJ160" i="20"/>
  <c r="K161" i="20"/>
  <c r="AY161" i="20"/>
  <c r="BX161" i="20"/>
  <c r="K162" i="20"/>
  <c r="BD162" i="20" s="1"/>
  <c r="AY162" i="20"/>
  <c r="BX162" i="20"/>
  <c r="K163" i="20"/>
  <c r="AY163" i="20"/>
  <c r="BX163" i="20"/>
  <c r="CJ163" i="20"/>
  <c r="AB164" i="20"/>
  <c r="BN165" i="20"/>
  <c r="CR170" i="20"/>
  <c r="CF170" i="20"/>
  <c r="CQ170" i="20"/>
  <c r="CP170" i="20"/>
  <c r="CN170" i="20"/>
  <c r="CB170" i="20"/>
  <c r="CJ170" i="20"/>
  <c r="BX170" i="20"/>
  <c r="AY170" i="20"/>
  <c r="K170" i="20"/>
  <c r="AF170" i="20" s="1"/>
  <c r="CU170" i="20"/>
  <c r="CT170" i="20"/>
  <c r="H170" i="20"/>
  <c r="BT170" i="20" s="1"/>
  <c r="DA170" i="20"/>
  <c r="BP172" i="20"/>
  <c r="BO172" i="20"/>
  <c r="CM177" i="20"/>
  <c r="CL177" i="20"/>
  <c r="BP179" i="20"/>
  <c r="BO179" i="20"/>
  <c r="X181" i="20"/>
  <c r="U181" i="20"/>
  <c r="DR181" i="20"/>
  <c r="X182" i="20"/>
  <c r="U182" i="20"/>
  <c r="DR182" i="20"/>
  <c r="X183" i="20"/>
  <c r="U183" i="20"/>
  <c r="DR183" i="20"/>
  <c r="X184" i="20"/>
  <c r="U184" i="20"/>
  <c r="DR184" i="20"/>
  <c r="CS143" i="20"/>
  <c r="CS144" i="20"/>
  <c r="CS145" i="20"/>
  <c r="CT146" i="20"/>
  <c r="CU147" i="20"/>
  <c r="AB162" i="20"/>
  <c r="AB163" i="20"/>
  <c r="AC164" i="20"/>
  <c r="BN164" i="20"/>
  <c r="DO164" i="20"/>
  <c r="CB166" i="20"/>
  <c r="CN166" i="20"/>
  <c r="DR166" i="20"/>
  <c r="CN167" i="20"/>
  <c r="CR173" i="20"/>
  <c r="CF173" i="20"/>
  <c r="BT173" i="20"/>
  <c r="CQ173" i="20"/>
  <c r="CP173" i="20"/>
  <c r="DA173" i="20"/>
  <c r="CO173" i="20"/>
  <c r="BQ173" i="20"/>
  <c r="T173" i="20"/>
  <c r="H173" i="20" s="1"/>
  <c r="CB173" i="20" s="1"/>
  <c r="CN173" i="20"/>
  <c r="CJ173" i="20"/>
  <c r="BX173" i="20"/>
  <c r="AY173" i="20"/>
  <c r="K173" i="20"/>
  <c r="CU173" i="20"/>
  <c r="CT173" i="20"/>
  <c r="CM176" i="20"/>
  <c r="CL176" i="20"/>
  <c r="CK176" i="20"/>
  <c r="CK177" i="20"/>
  <c r="H143" i="20"/>
  <c r="AT143" i="20" s="1"/>
  <c r="CT143" i="20"/>
  <c r="H144" i="20"/>
  <c r="AT144" i="20" s="1"/>
  <c r="CT144" i="20"/>
  <c r="CT145" i="20"/>
  <c r="CU146" i="20"/>
  <c r="K147" i="20"/>
  <c r="BB147" i="20" s="1"/>
  <c r="AY147" i="20"/>
  <c r="BX147" i="20"/>
  <c r="CJ147" i="20"/>
  <c r="AC149" i="20"/>
  <c r="BN149" i="20"/>
  <c r="AC150" i="20"/>
  <c r="BN150" i="20"/>
  <c r="AC151" i="20"/>
  <c r="BN151" i="20"/>
  <c r="AC152" i="20"/>
  <c r="BN152" i="20"/>
  <c r="AC153" i="20"/>
  <c r="BN153" i="20"/>
  <c r="AC154" i="20"/>
  <c r="BN154" i="20"/>
  <c r="AC155" i="20"/>
  <c r="BN155" i="20"/>
  <c r="AC156" i="20"/>
  <c r="BN156" i="20"/>
  <c r="AC157" i="20"/>
  <c r="BN157" i="20"/>
  <c r="AC158" i="20"/>
  <c r="BN158" i="20"/>
  <c r="AC159" i="20"/>
  <c r="BN159" i="20"/>
  <c r="AC160" i="20"/>
  <c r="BN160" i="20"/>
  <c r="AC161" i="20"/>
  <c r="BN161" i="20"/>
  <c r="AC162" i="20"/>
  <c r="BN162" i="20"/>
  <c r="BN163" i="20"/>
  <c r="BB164" i="20"/>
  <c r="BM164" i="20" s="1"/>
  <c r="DP164" i="20"/>
  <c r="CN165" i="20"/>
  <c r="T166" i="20"/>
  <c r="H166" i="20" s="1"/>
  <c r="BQ166" i="20"/>
  <c r="CO166" i="20"/>
  <c r="DA166" i="20"/>
  <c r="T167" i="20"/>
  <c r="H167" i="20" s="1"/>
  <c r="BQ167" i="20"/>
  <c r="CO167" i="20"/>
  <c r="CQ168" i="20"/>
  <c r="CP168" i="20"/>
  <c r="CN168" i="20"/>
  <c r="CB168" i="20"/>
  <c r="CJ168" i="20"/>
  <c r="BX168" i="20"/>
  <c r="AY168" i="20"/>
  <c r="K168" i="20"/>
  <c r="CU168" i="20"/>
  <c r="CT168" i="20"/>
  <c r="H168" i="20"/>
  <c r="CF168" i="20"/>
  <c r="DR169" i="20"/>
  <c r="BN170" i="20"/>
  <c r="CR172" i="20"/>
  <c r="CF172" i="20"/>
  <c r="BT172" i="20"/>
  <c r="CQ172" i="20"/>
  <c r="CP172" i="20"/>
  <c r="DA172" i="20"/>
  <c r="CO172" i="20"/>
  <c r="BQ172" i="20"/>
  <c r="T172" i="20"/>
  <c r="H172" i="20" s="1"/>
  <c r="BX172" i="20" s="1"/>
  <c r="CN172" i="20"/>
  <c r="CB172" i="20"/>
  <c r="CJ172" i="20"/>
  <c r="AY172" i="20"/>
  <c r="K172" i="20"/>
  <c r="AW172" i="20" s="1"/>
  <c r="CU172" i="20"/>
  <c r="CT172" i="20"/>
  <c r="BP178" i="20"/>
  <c r="BO178" i="20"/>
  <c r="X180" i="20"/>
  <c r="U180" i="20"/>
  <c r="DR180" i="20"/>
  <c r="DA164" i="20"/>
  <c r="BR165" i="20"/>
  <c r="CP165" i="20"/>
  <c r="CC162" i="20"/>
  <c r="U164" i="20"/>
  <c r="CQ165" i="20"/>
  <c r="BT166" i="20"/>
  <c r="CF166" i="20"/>
  <c r="CR166" i="20"/>
  <c r="CO168" i="20"/>
  <c r="CR169" i="20"/>
  <c r="CF169" i="20"/>
  <c r="CQ169" i="20"/>
  <c r="CP169" i="20"/>
  <c r="CN169" i="20"/>
  <c r="CB169" i="20"/>
  <c r="CJ169" i="20"/>
  <c r="BX169" i="20"/>
  <c r="AY169" i="20"/>
  <c r="K169" i="20"/>
  <c r="BB169" i="20" s="1"/>
  <c r="BC169" i="20" s="1"/>
  <c r="CU169" i="20"/>
  <c r="CT169" i="20"/>
  <c r="DA169" i="20"/>
  <c r="X172" i="20"/>
  <c r="CK179" i="20"/>
  <c r="CM179" i="20"/>
  <c r="BP185" i="20"/>
  <c r="BO185" i="20"/>
  <c r="CK186" i="20"/>
  <c r="CM186" i="20"/>
  <c r="CL186" i="20"/>
  <c r="CD149" i="20"/>
  <c r="CD150" i="20"/>
  <c r="CD151" i="20"/>
  <c r="CD152" i="20"/>
  <c r="CD154" i="20"/>
  <c r="BR155" i="20"/>
  <c r="BR156" i="20"/>
  <c r="CD156" i="20"/>
  <c r="CD158" i="20"/>
  <c r="CD159" i="20"/>
  <c r="BR161" i="20"/>
  <c r="CD161" i="20"/>
  <c r="BR162" i="20"/>
  <c r="CD162" i="20"/>
  <c r="BT165" i="20"/>
  <c r="CF165" i="20"/>
  <c r="CR165" i="20"/>
  <c r="CS166" i="20"/>
  <c r="CQ167" i="20"/>
  <c r="CP167" i="20"/>
  <c r="CJ167" i="20"/>
  <c r="BX167" i="20"/>
  <c r="CU167" i="20"/>
  <c r="CT167" i="20"/>
  <c r="DA167" i="20"/>
  <c r="BD176" i="20"/>
  <c r="X179" i="20"/>
  <c r="U179" i="20"/>
  <c r="DR179" i="20"/>
  <c r="BP181" i="20"/>
  <c r="BO181" i="20"/>
  <c r="BP182" i="20"/>
  <c r="BO182" i="20"/>
  <c r="BP183" i="20"/>
  <c r="BO183" i="20"/>
  <c r="X186" i="20"/>
  <c r="U186" i="20"/>
  <c r="AD142" i="20"/>
  <c r="AD143" i="20"/>
  <c r="AD144" i="20"/>
  <c r="BB144" i="20"/>
  <c r="BB145" i="20"/>
  <c r="CN146" i="20"/>
  <c r="T147" i="20"/>
  <c r="H147" i="20" s="1"/>
  <c r="AF147" i="20"/>
  <c r="BQ147" i="20"/>
  <c r="CO147" i="20"/>
  <c r="DA147" i="20"/>
  <c r="AH149" i="20"/>
  <c r="CQ149" i="20"/>
  <c r="AH150" i="20"/>
  <c r="CQ150" i="20"/>
  <c r="AH151" i="20"/>
  <c r="CQ151" i="20"/>
  <c r="AH152" i="20"/>
  <c r="CQ152" i="20"/>
  <c r="CQ153" i="20"/>
  <c r="CQ154" i="20"/>
  <c r="DI164" i="20"/>
  <c r="CS165" i="20"/>
  <c r="CT166" i="20"/>
  <c r="X168" i="20"/>
  <c r="CR171" i="20"/>
  <c r="CF171" i="20"/>
  <c r="BT171" i="20"/>
  <c r="CQ171" i="20"/>
  <c r="CP171" i="20"/>
  <c r="CN171" i="20"/>
  <c r="CB171" i="20"/>
  <c r="CJ171" i="20"/>
  <c r="AY171" i="20"/>
  <c r="K171" i="20"/>
  <c r="CU171" i="20"/>
  <c r="CT171" i="20"/>
  <c r="H171" i="20"/>
  <c r="BX171" i="20" s="1"/>
  <c r="DA171" i="20"/>
  <c r="AB175" i="20"/>
  <c r="CB143" i="20"/>
  <c r="CB144" i="20"/>
  <c r="CN144" i="20"/>
  <c r="AE145" i="20"/>
  <c r="CN145" i="20"/>
  <c r="T146" i="20"/>
  <c r="H146" i="20" s="1"/>
  <c r="CB146" i="20" s="1"/>
  <c r="AF146" i="20"/>
  <c r="BQ146" i="20"/>
  <c r="CO146" i="20"/>
  <c r="DA146" i="20"/>
  <c r="AG147" i="20"/>
  <c r="CP147" i="20"/>
  <c r="BT149" i="20"/>
  <c r="CR149" i="20"/>
  <c r="BT150" i="20"/>
  <c r="CF150" i="20"/>
  <c r="CR150" i="20"/>
  <c r="BT151" i="20"/>
  <c r="CF151" i="20"/>
  <c r="CR151" i="20"/>
  <c r="BT152" i="20"/>
  <c r="CR152" i="20"/>
  <c r="BT153" i="20"/>
  <c r="CF153" i="20"/>
  <c r="CR153" i="20"/>
  <c r="BT154" i="20"/>
  <c r="CF154" i="20"/>
  <c r="CR154" i="20"/>
  <c r="BT155" i="20"/>
  <c r="CF155" i="20"/>
  <c r="CR155" i="20"/>
  <c r="BT156" i="20"/>
  <c r="CF156" i="20"/>
  <c r="CR156" i="20"/>
  <c r="BT157" i="20"/>
  <c r="CF157" i="20"/>
  <c r="CR157" i="20"/>
  <c r="BT158" i="20"/>
  <c r="CF158" i="20"/>
  <c r="CR158" i="20"/>
  <c r="BT159" i="20"/>
  <c r="CF159" i="20"/>
  <c r="CR159" i="20"/>
  <c r="BT160" i="20"/>
  <c r="CF160" i="20"/>
  <c r="CR160" i="20"/>
  <c r="BT161" i="20"/>
  <c r="CF161" i="20"/>
  <c r="CR161" i="20"/>
  <c r="BT162" i="20"/>
  <c r="CF162" i="20"/>
  <c r="CR162" i="20"/>
  <c r="BT163" i="20"/>
  <c r="CF163" i="20"/>
  <c r="CR163" i="20"/>
  <c r="AV164" i="20"/>
  <c r="BU164" i="20"/>
  <c r="CG164" i="20"/>
  <c r="CS164" i="20"/>
  <c r="CT165" i="20"/>
  <c r="CU166" i="20"/>
  <c r="CB167" i="20"/>
  <c r="BN168" i="20"/>
  <c r="T169" i="20"/>
  <c r="H169" i="20" s="1"/>
  <c r="BQ169" i="20"/>
  <c r="BQ144" i="20"/>
  <c r="CO144" i="20"/>
  <c r="T145" i="20"/>
  <c r="H145" i="20" s="1"/>
  <c r="BQ145" i="20"/>
  <c r="CO145" i="20"/>
  <c r="K166" i="20"/>
  <c r="AY166" i="20"/>
  <c r="BX166" i="20"/>
  <c r="K167" i="20"/>
  <c r="AY167" i="20"/>
  <c r="BQ168" i="20"/>
  <c r="DA168" i="20"/>
  <c r="X169" i="20"/>
  <c r="CO170" i="20"/>
  <c r="BN171" i="20"/>
  <c r="CK178" i="20"/>
  <c r="CM178" i="20"/>
  <c r="AW169" i="20"/>
  <c r="CU174" i="20"/>
  <c r="K175" i="20"/>
  <c r="AD175" i="20" s="1"/>
  <c r="AY175" i="20"/>
  <c r="BX175" i="20"/>
  <c r="CJ175" i="20"/>
  <c r="AB176" i="20"/>
  <c r="CW176" i="20"/>
  <c r="AC177" i="20"/>
  <c r="BN177" i="20"/>
  <c r="CY182" i="20"/>
  <c r="BB183" i="20"/>
  <c r="BC183" i="20" s="1"/>
  <c r="CY183" i="20"/>
  <c r="BB184" i="20"/>
  <c r="BC184" i="20" s="1"/>
  <c r="CY184" i="20"/>
  <c r="BB185" i="20"/>
  <c r="BC185" i="20" s="1"/>
  <c r="CY185" i="20"/>
  <c r="BB186" i="20"/>
  <c r="BC186" i="20" s="1"/>
  <c r="CE186" i="20"/>
  <c r="CX186" i="20"/>
  <c r="H191" i="20"/>
  <c r="K174" i="20"/>
  <c r="BD174" i="20" s="1"/>
  <c r="AY174" i="20"/>
  <c r="BX174" i="20"/>
  <c r="CJ174" i="20"/>
  <c r="CX176" i="20"/>
  <c r="AD177" i="20"/>
  <c r="CZ184" i="20"/>
  <c r="CB185" i="20"/>
  <c r="CN185" i="20"/>
  <c r="CZ185" i="20"/>
  <c r="BQ186" i="20"/>
  <c r="CF186" i="20"/>
  <c r="CY186" i="20"/>
  <c r="CZ189" i="20"/>
  <c r="CY189" i="20"/>
  <c r="CX189" i="20"/>
  <c r="CW189" i="20"/>
  <c r="CV189" i="20"/>
  <c r="AE12" i="22"/>
  <c r="AD12" i="22"/>
  <c r="AC12" i="22"/>
  <c r="CA12" i="22"/>
  <c r="BD14" i="22"/>
  <c r="CM15" i="22"/>
  <c r="CF15" i="22"/>
  <c r="AB174" i="20"/>
  <c r="BN175" i="20"/>
  <c r="AD176" i="20"/>
  <c r="CY176" i="20"/>
  <c r="AE177" i="20"/>
  <c r="CN177" i="20"/>
  <c r="T178" i="20"/>
  <c r="H178" i="20" s="1"/>
  <c r="CF178" i="20" s="1"/>
  <c r="BQ178" i="20"/>
  <c r="CC178" i="20"/>
  <c r="CO178" i="20"/>
  <c r="DA178" i="20"/>
  <c r="T179" i="20"/>
  <c r="H179" i="20" s="1"/>
  <c r="BQ179" i="20"/>
  <c r="CO179" i="20"/>
  <c r="DA179" i="20"/>
  <c r="T180" i="20"/>
  <c r="H180" i="20" s="1"/>
  <c r="BQ180" i="20"/>
  <c r="CC180" i="20"/>
  <c r="CO180" i="20"/>
  <c r="DA180" i="20"/>
  <c r="T181" i="20"/>
  <c r="H181" i="20" s="1"/>
  <c r="CJ181" i="20" s="1"/>
  <c r="BQ181" i="20"/>
  <c r="CC181" i="20"/>
  <c r="CO181" i="20"/>
  <c r="DA181" i="20"/>
  <c r="T182" i="20"/>
  <c r="H182" i="20" s="1"/>
  <c r="BQ182" i="20"/>
  <c r="CC182" i="20"/>
  <c r="CO182" i="20"/>
  <c r="DA182" i="20"/>
  <c r="T183" i="20"/>
  <c r="H183" i="20" s="1"/>
  <c r="BD183" i="20"/>
  <c r="BQ183" i="20"/>
  <c r="CO183" i="20"/>
  <c r="DA183" i="20"/>
  <c r="T184" i="20"/>
  <c r="H184" i="20" s="1"/>
  <c r="BD184" i="20"/>
  <c r="BQ184" i="20"/>
  <c r="CC184" i="20"/>
  <c r="CO184" i="20"/>
  <c r="DA184" i="20"/>
  <c r="T185" i="20"/>
  <c r="H185" i="20" s="1"/>
  <c r="BD185" i="20"/>
  <c r="BQ185" i="20"/>
  <c r="CO185" i="20"/>
  <c r="DA185" i="20"/>
  <c r="T186" i="20"/>
  <c r="H186" i="20" s="1"/>
  <c r="BD186" i="20"/>
  <c r="CZ186" i="20"/>
  <c r="BW187" i="20"/>
  <c r="BV187" i="20"/>
  <c r="BU187" i="20"/>
  <c r="AB168" i="20"/>
  <c r="AB169" i="20"/>
  <c r="AB170" i="20"/>
  <c r="AB171" i="20"/>
  <c r="AB172" i="20"/>
  <c r="AB173" i="20"/>
  <c r="BN174" i="20"/>
  <c r="CN176" i="20"/>
  <c r="T177" i="20"/>
  <c r="H177" i="20" s="1"/>
  <c r="AF177" i="20"/>
  <c r="BQ177" i="20"/>
  <c r="CO177" i="20"/>
  <c r="DA177" i="20"/>
  <c r="CP178" i="20"/>
  <c r="CP179" i="20"/>
  <c r="CP180" i="20"/>
  <c r="CP181" i="20"/>
  <c r="CP182" i="20"/>
  <c r="CP183" i="20"/>
  <c r="CP184" i="20"/>
  <c r="CP185" i="20"/>
  <c r="DR186" i="20"/>
  <c r="BZ187" i="20"/>
  <c r="BY187" i="20"/>
  <c r="CN174" i="20"/>
  <c r="T175" i="20"/>
  <c r="H175" i="20" s="1"/>
  <c r="BQ175" i="20"/>
  <c r="CO175" i="20"/>
  <c r="DA175" i="20"/>
  <c r="AG176" i="20"/>
  <c r="CP176" i="20"/>
  <c r="AH177" i="20"/>
  <c r="CQ177" i="20"/>
  <c r="BT178" i="20"/>
  <c r="CR178" i="20"/>
  <c r="BT179" i="20"/>
  <c r="CR179" i="20"/>
  <c r="BT180" i="20"/>
  <c r="CF180" i="20"/>
  <c r="CR180" i="20"/>
  <c r="BT181" i="20"/>
  <c r="CF181" i="20"/>
  <c r="CR181" i="20"/>
  <c r="BT182" i="20"/>
  <c r="CF182" i="20"/>
  <c r="CR182" i="20"/>
  <c r="BT183" i="20"/>
  <c r="CF183" i="20"/>
  <c r="CR183" i="20"/>
  <c r="BT184" i="20"/>
  <c r="CF184" i="20"/>
  <c r="CR184" i="20"/>
  <c r="BT185" i="20"/>
  <c r="CF185" i="20"/>
  <c r="CR185" i="20"/>
  <c r="T174" i="20"/>
  <c r="H174" i="20" s="1"/>
  <c r="CB174" i="20" s="1"/>
  <c r="BQ174" i="20"/>
  <c r="CO174" i="20"/>
  <c r="DA174" i="20"/>
  <c r="U175" i="20"/>
  <c r="CP175" i="20"/>
  <c r="CQ176" i="20"/>
  <c r="BT177" i="20"/>
  <c r="CF177" i="20"/>
  <c r="CR177" i="20"/>
  <c r="CS178" i="20"/>
  <c r="CS179" i="20"/>
  <c r="CS180" i="20"/>
  <c r="CS181" i="20"/>
  <c r="CS182" i="20"/>
  <c r="CS183" i="20"/>
  <c r="CS184" i="20"/>
  <c r="CS185" i="20"/>
  <c r="DA186" i="20"/>
  <c r="CO186" i="20"/>
  <c r="CT186" i="20"/>
  <c r="CS186" i="20"/>
  <c r="CN186" i="20"/>
  <c r="CI187" i="20"/>
  <c r="CH187" i="20"/>
  <c r="CG187" i="20"/>
  <c r="CM16" i="22"/>
  <c r="CF16" i="22"/>
  <c r="CS177" i="20"/>
  <c r="CT185" i="20"/>
  <c r="BX186" i="20"/>
  <c r="CP186" i="20"/>
  <c r="CL187" i="20"/>
  <c r="CK187" i="20"/>
  <c r="CF13" i="22"/>
  <c r="CQ174" i="20"/>
  <c r="BT175" i="20"/>
  <c r="CF175" i="20"/>
  <c r="CR175" i="20"/>
  <c r="BU176" i="20"/>
  <c r="CG176" i="20"/>
  <c r="CS176" i="20"/>
  <c r="CT177" i="20"/>
  <c r="CU178" i="20"/>
  <c r="CU179" i="20"/>
  <c r="CU180" i="20"/>
  <c r="CM13" i="22"/>
  <c r="BT174" i="20"/>
  <c r="CF174" i="20"/>
  <c r="CR174" i="20"/>
  <c r="H176" i="20"/>
  <c r="BV176" i="20"/>
  <c r="CH176" i="20"/>
  <c r="CU177" i="20"/>
  <c r="K178" i="20"/>
  <c r="BB178" i="20" s="1"/>
  <c r="BC178" i="20" s="1"/>
  <c r="AY178" i="20"/>
  <c r="BX178" i="20"/>
  <c r="K179" i="20"/>
  <c r="BB179" i="20" s="1"/>
  <c r="BC179" i="20" s="1"/>
  <c r="AY179" i="20"/>
  <c r="BX179" i="20"/>
  <c r="K180" i="20"/>
  <c r="BB180" i="20" s="1"/>
  <c r="BC180" i="20" s="1"/>
  <c r="AY180" i="20"/>
  <c r="BX180" i="20"/>
  <c r="K181" i="20"/>
  <c r="BB181" i="20" s="1"/>
  <c r="BC181" i="20" s="1"/>
  <c r="AY181" i="20"/>
  <c r="BX181" i="20"/>
  <c r="K182" i="20"/>
  <c r="BD182" i="20" s="1"/>
  <c r="AY182" i="20"/>
  <c r="BX182" i="20"/>
  <c r="K183" i="20"/>
  <c r="AY183" i="20"/>
  <c r="BX183" i="20"/>
  <c r="K184" i="20"/>
  <c r="AY184" i="20"/>
  <c r="BX184" i="20"/>
  <c r="K185" i="20"/>
  <c r="AY185" i="20"/>
  <c r="BX185" i="20"/>
  <c r="K186" i="20"/>
  <c r="AY186" i="20"/>
  <c r="CR186" i="20"/>
  <c r="K177" i="20"/>
  <c r="BD177" i="20" s="1"/>
  <c r="AY177" i="20"/>
  <c r="BX177" i="20"/>
  <c r="CS187" i="20"/>
  <c r="BT189" i="20"/>
  <c r="CR189" i="20"/>
  <c r="CQ191" i="20"/>
  <c r="AC13" i="22"/>
  <c r="CM21" i="22"/>
  <c r="CF21" i="22"/>
  <c r="CT187" i="20"/>
  <c r="CS189" i="20"/>
  <c r="BT191" i="20"/>
  <c r="CR191" i="20"/>
  <c r="AD13" i="22"/>
  <c r="CF14" i="22"/>
  <c r="CA19" i="22"/>
  <c r="BD20" i="22"/>
  <c r="CU187" i="20"/>
  <c r="CT189" i="20"/>
  <c r="CS191" i="20"/>
  <c r="AE13" i="22"/>
  <c r="CM22" i="22"/>
  <c r="CF22" i="22"/>
  <c r="AB187" i="20"/>
  <c r="K189" i="20"/>
  <c r="AA189" i="20"/>
  <c r="AY189" i="20"/>
  <c r="BX189" i="20"/>
  <c r="CJ189" i="20"/>
  <c r="CU191" i="20"/>
  <c r="AD19" i="22"/>
  <c r="BN187" i="20"/>
  <c r="AB189" i="20"/>
  <c r="K191" i="20"/>
  <c r="AA191" i="20"/>
  <c r="AY191" i="20"/>
  <c r="BX191" i="20"/>
  <c r="CJ191" i="20"/>
  <c r="CA17" i="22"/>
  <c r="CB187" i="20"/>
  <c r="CN187" i="20"/>
  <c r="BB189" i="20"/>
  <c r="BC189" i="20" s="1"/>
  <c r="BO189" i="20"/>
  <c r="BN191" i="20"/>
  <c r="AC17" i="22"/>
  <c r="T187" i="20"/>
  <c r="H187" i="20" s="1"/>
  <c r="BQ187" i="20"/>
  <c r="CO187" i="20"/>
  <c r="CB189" i="20"/>
  <c r="CN189" i="20"/>
  <c r="AD17" i="22"/>
  <c r="CF6" i="22"/>
  <c r="CM6" i="22"/>
  <c r="BQ189" i="20"/>
  <c r="CO189" i="20"/>
  <c r="CB191" i="20"/>
  <c r="BD21" i="22"/>
  <c r="CM109" i="22"/>
  <c r="CF109" i="22"/>
  <c r="BD109" i="22"/>
  <c r="AD109" i="22"/>
  <c r="AE109" i="22"/>
  <c r="CA204" i="22"/>
  <c r="AE204" i="22"/>
  <c r="AD204" i="22"/>
  <c r="AE261" i="22"/>
  <c r="CA261" i="22"/>
  <c r="AD261" i="22"/>
  <c r="AC261" i="22"/>
  <c r="CA206" i="22"/>
  <c r="BD260" i="22"/>
  <c r="BD264" i="22"/>
  <c r="AD260" i="22"/>
  <c r="AE260" i="22"/>
  <c r="CA260" i="22"/>
  <c r="CF265" i="22"/>
  <c r="AC267" i="22"/>
  <c r="AC268" i="22"/>
  <c r="AE272" i="22"/>
  <c r="AD272" i="22"/>
  <c r="BD276" i="22"/>
  <c r="AD267" i="22"/>
  <c r="AD268" i="22"/>
  <c r="AC263" i="22"/>
  <c r="AE267" i="22"/>
  <c r="AE268" i="22"/>
  <c r="AC272" i="22"/>
  <c r="CA273" i="22"/>
  <c r="AC273" i="22"/>
  <c r="AE273" i="22"/>
  <c r="AD273" i="22"/>
  <c r="BD266" i="22"/>
  <c r="BD270" i="22"/>
  <c r="BD273" i="22"/>
  <c r="CA266" i="22"/>
  <c r="CA268" i="22"/>
  <c r="BD267" i="22"/>
  <c r="CA269" i="22"/>
  <c r="CM267" i="22"/>
  <c r="CF267" i="22"/>
  <c r="CA272" i="22"/>
  <c r="AC274" i="22"/>
  <c r="AE276" i="22"/>
  <c r="AE274" i="22"/>
  <c r="AC270" i="22"/>
  <c r="CA275" i="22"/>
  <c r="AE275" i="22"/>
  <c r="CF278" i="22"/>
  <c r="AD275" i="22"/>
  <c r="CF279" i="22"/>
  <c r="CM287" i="22"/>
  <c r="AE285" i="22"/>
  <c r="AD285" i="22"/>
  <c r="AC285" i="22"/>
  <c r="CF289" i="22"/>
  <c r="CF287" i="22"/>
  <c r="CF292" i="22"/>
  <c r="CM292" i="22"/>
  <c r="BD289" i="22"/>
  <c r="CM288" i="22"/>
  <c r="BD290" i="22"/>
  <c r="BD286" i="22"/>
  <c r="BD287" i="22"/>
  <c r="AE289" i="22"/>
  <c r="CF305" i="22"/>
  <c r="CA303" i="22"/>
  <c r="AC303" i="22"/>
  <c r="CM306" i="22"/>
  <c r="AC304" i="22"/>
  <c r="CA304" i="22"/>
  <c r="CF306" i="22"/>
  <c r="AD304" i="22"/>
  <c r="AE304" i="22"/>
  <c r="AE305" i="22"/>
  <c r="AD305" i="22"/>
  <c r="AC305" i="22"/>
  <c r="CM317" i="22"/>
  <c r="CM326" i="22"/>
  <c r="CF326" i="22"/>
  <c r="CM324" i="22"/>
  <c r="CF324" i="22"/>
  <c r="AC324" i="22"/>
  <c r="CA323" i="22"/>
  <c r="AM20" i="23"/>
  <c r="AN20" i="23" s="1"/>
  <c r="AC323" i="22"/>
  <c r="CM327" i="22"/>
  <c r="AC326" i="22"/>
  <c r="AD326" i="22"/>
  <c r="AC327" i="22"/>
  <c r="CA325" i="22"/>
  <c r="AC325" i="22"/>
  <c r="AD325" i="22"/>
  <c r="CA334" i="22"/>
  <c r="Z130" i="23"/>
  <c r="O2955" i="19" s="1"/>
  <c r="O2957" i="19" s="1"/>
  <c r="AL192" i="23"/>
  <c r="AM192" i="23" s="1"/>
  <c r="AN192" i="23" s="1"/>
  <c r="AM28" i="23"/>
  <c r="AN28" i="23" s="1"/>
  <c r="AM190" i="23"/>
  <c r="AN190" i="23" s="1"/>
  <c r="AL19" i="23"/>
  <c r="AM19" i="23" s="1"/>
  <c r="AN19" i="23" s="1"/>
  <c r="AM52" i="23"/>
  <c r="AN52" i="23" s="1"/>
  <c r="AO95" i="23"/>
  <c r="AN154" i="23"/>
  <c r="Y95" i="23"/>
  <c r="O1833" i="19" s="1"/>
  <c r="AQ95" i="23"/>
  <c r="AJ199" i="23"/>
  <c r="M4851" i="19" s="1"/>
  <c r="Y37" i="23"/>
  <c r="O422" i="19" s="1"/>
  <c r="AM119" i="23"/>
  <c r="AN119" i="23" s="1"/>
  <c r="Z37" i="23"/>
  <c r="O447" i="19" s="1"/>
  <c r="O449" i="19" s="1"/>
  <c r="AL13" i="23"/>
  <c r="AM13" i="23" s="1"/>
  <c r="AM75" i="23"/>
  <c r="AN75" i="23" s="1"/>
  <c r="AM79" i="23"/>
  <c r="AN79" i="23" s="1"/>
  <c r="AL117" i="23"/>
  <c r="Z95" i="23"/>
  <c r="O1858" i="19" s="1"/>
  <c r="O1861" i="19" s="1"/>
  <c r="AF130" i="23"/>
  <c r="M3601" i="19" s="1"/>
  <c r="AK199" i="23"/>
  <c r="AM149" i="23"/>
  <c r="AN149" i="23" s="1"/>
  <c r="AN171" i="23"/>
  <c r="AF37" i="23"/>
  <c r="M1154" i="19" s="1"/>
  <c r="AL14" i="23"/>
  <c r="AM14" i="23" s="1"/>
  <c r="AN14" i="23" s="1"/>
  <c r="AL32" i="23"/>
  <c r="AM32" i="23" s="1"/>
  <c r="AN32" i="23" s="1"/>
  <c r="AN61" i="23"/>
  <c r="AL172" i="23"/>
  <c r="AG37" i="23"/>
  <c r="M1155" i="19" s="1"/>
  <c r="AM15" i="23"/>
  <c r="AN15" i="23" s="1"/>
  <c r="AN33" i="23"/>
  <c r="AL116" i="23"/>
  <c r="AM116" i="23" s="1"/>
  <c r="AN116" i="23" s="1"/>
  <c r="AM148" i="23"/>
  <c r="AM186" i="23"/>
  <c r="AN186" i="23" s="1"/>
  <c r="AL23" i="23"/>
  <c r="AM23" i="23" s="1"/>
  <c r="AN23" i="23" s="1"/>
  <c r="AG95" i="23"/>
  <c r="M2541" i="19" s="1"/>
  <c r="AJ130" i="23"/>
  <c r="M3605" i="19" s="1"/>
  <c r="AL115" i="23"/>
  <c r="AH130" i="23"/>
  <c r="M3603" i="19" s="1"/>
  <c r="Z199" i="23"/>
  <c r="O4107" i="19" s="1"/>
  <c r="O4109" i="19" s="1"/>
  <c r="AN164" i="23"/>
  <c r="AJ37" i="23"/>
  <c r="M1158" i="19" s="1"/>
  <c r="AM24" i="23"/>
  <c r="AN24" i="23" s="1"/>
  <c r="AH95" i="23"/>
  <c r="M2542" i="19" s="1"/>
  <c r="AN65" i="23"/>
  <c r="AM67" i="23"/>
  <c r="AN67" i="23" s="1"/>
  <c r="AN86" i="23"/>
  <c r="AN92" i="23"/>
  <c r="AK130" i="23"/>
  <c r="AN113" i="23"/>
  <c r="AM114" i="23"/>
  <c r="AN114" i="23" s="1"/>
  <c r="AL165" i="23"/>
  <c r="AL10" i="23"/>
  <c r="AK37" i="23"/>
  <c r="AM17" i="23"/>
  <c r="AL36" i="23"/>
  <c r="AM36" i="23" s="1"/>
  <c r="AI95" i="23"/>
  <c r="M2543" i="19" s="1"/>
  <c r="AM57" i="23"/>
  <c r="AN57" i="23" s="1"/>
  <c r="AL66" i="23"/>
  <c r="AM66" i="23" s="1"/>
  <c r="AM87" i="23"/>
  <c r="AN87" i="23" s="1"/>
  <c r="AL87" i="23"/>
  <c r="AL93" i="23"/>
  <c r="AM93" i="23" s="1"/>
  <c r="AN93" i="23" s="1"/>
  <c r="AL179" i="23"/>
  <c r="AM179" i="23" s="1"/>
  <c r="AM11" i="23"/>
  <c r="AN11" i="23" s="1"/>
  <c r="AL17" i="23"/>
  <c r="AJ95" i="23"/>
  <c r="M2544" i="19" s="1"/>
  <c r="AN50" i="23"/>
  <c r="AL56" i="23"/>
  <c r="AL70" i="23"/>
  <c r="AM71" i="23"/>
  <c r="AN71" i="23" s="1"/>
  <c r="AI130" i="23"/>
  <c r="M3604" i="19" s="1"/>
  <c r="AF199" i="23"/>
  <c r="M4847" i="19" s="1"/>
  <c r="AN162" i="23"/>
  <c r="AN178" i="23"/>
  <c r="AO37" i="23"/>
  <c r="O423" i="19" s="1"/>
  <c r="O428" i="19" s="1"/>
  <c r="O430" i="19" s="1"/>
  <c r="D426" i="19" s="1"/>
  <c r="AL27" i="23"/>
  <c r="AM27" i="23" s="1"/>
  <c r="AM49" i="23"/>
  <c r="AL51" i="23"/>
  <c r="AM51" i="23" s="1"/>
  <c r="AM74" i="23"/>
  <c r="AN74" i="23" s="1"/>
  <c r="AN156" i="23"/>
  <c r="AM157" i="23"/>
  <c r="AN157" i="23" s="1"/>
  <c r="AN160" i="23"/>
  <c r="AM193" i="23"/>
  <c r="AN193" i="23" s="1"/>
  <c r="AN148" i="23"/>
  <c r="AL58" i="23"/>
  <c r="AM58" i="23" s="1"/>
  <c r="AL63" i="23"/>
  <c r="AM63" i="23" s="1"/>
  <c r="AL81" i="23"/>
  <c r="AM81" i="23" s="1"/>
  <c r="AK95" i="23"/>
  <c r="AM194" i="23"/>
  <c r="AN194" i="23" s="1"/>
  <c r="AL68" i="23"/>
  <c r="AM68" i="23" s="1"/>
  <c r="AL72" i="23"/>
  <c r="AM72" i="23" s="1"/>
  <c r="AL76" i="23"/>
  <c r="AM76" i="23" s="1"/>
  <c r="AL82" i="23"/>
  <c r="AM89" i="23"/>
  <c r="AN89" i="23" s="1"/>
  <c r="AM125" i="23"/>
  <c r="AN125" i="23" s="1"/>
  <c r="AL126" i="23"/>
  <c r="AM126" i="23" s="1"/>
  <c r="AM152" i="23"/>
  <c r="AN152" i="23" s="1"/>
  <c r="AL153" i="23"/>
  <c r="AM160" i="23"/>
  <c r="AL161" i="23"/>
  <c r="AM161" i="23" s="1"/>
  <c r="AN161" i="23" s="1"/>
  <c r="AL168" i="23"/>
  <c r="AM174" i="23"/>
  <c r="AN174" i="23" s="1"/>
  <c r="AL182" i="23"/>
  <c r="AL188" i="23"/>
  <c r="AM188" i="23" s="1"/>
  <c r="AL196" i="23"/>
  <c r="AM196" i="23" s="1"/>
  <c r="AL21" i="23"/>
  <c r="AM21" i="23" s="1"/>
  <c r="AL25" i="23"/>
  <c r="AM25" i="23" s="1"/>
  <c r="AL29" i="23"/>
  <c r="AM29" i="23" s="1"/>
  <c r="AL34" i="23"/>
  <c r="AM34" i="23" s="1"/>
  <c r="AL53" i="23"/>
  <c r="AM53" i="23" s="1"/>
  <c r="AL59" i="23"/>
  <c r="AM59" i="23" s="1"/>
  <c r="AL83" i="23"/>
  <c r="AM83" i="23" s="1"/>
  <c r="AL90" i="23"/>
  <c r="AM90" i="23" s="1"/>
  <c r="AL127" i="23"/>
  <c r="AM153" i="23"/>
  <c r="AN153" i="23" s="1"/>
  <c r="AM168" i="23"/>
  <c r="AL169" i="23"/>
  <c r="AM169" i="23" s="1"/>
  <c r="AL175" i="23"/>
  <c r="AM175" i="23" s="1"/>
  <c r="AL49" i="23"/>
  <c r="AL54" i="23"/>
  <c r="AL60" i="23"/>
  <c r="AM64" i="23"/>
  <c r="AN64" i="23" s="1"/>
  <c r="AL69" i="23"/>
  <c r="AM69" i="23" s="1"/>
  <c r="AL73" i="23"/>
  <c r="AM73" i="23" s="1"/>
  <c r="AL77" i="23"/>
  <c r="AL85" i="23"/>
  <c r="AM85" i="23" s="1"/>
  <c r="AL91" i="23"/>
  <c r="AM91" i="23" s="1"/>
  <c r="AL155" i="23"/>
  <c r="AM155" i="23" s="1"/>
  <c r="AL163" i="23"/>
  <c r="AM163" i="23" s="1"/>
  <c r="AL170" i="23"/>
  <c r="AM170" i="23" s="1"/>
  <c r="AL176" i="23"/>
  <c r="AM176" i="23" s="1"/>
  <c r="AM183" i="23"/>
  <c r="AN183" i="23" s="1"/>
  <c r="AM189" i="23"/>
  <c r="AN189" i="23" s="1"/>
  <c r="AM198" i="23"/>
  <c r="AN198" i="23" s="1"/>
  <c r="AL177" i="23"/>
  <c r="AL184" i="23"/>
  <c r="AM184" i="23" s="1"/>
  <c r="K4263" i="19" l="1"/>
  <c r="Y163" i="20"/>
  <c r="AS163" i="20"/>
  <c r="I163" i="20"/>
  <c r="CB163" i="20"/>
  <c r="Z163" i="20"/>
  <c r="BR158" i="20"/>
  <c r="DI165" i="20"/>
  <c r="BD102" i="20"/>
  <c r="AZ102" i="20"/>
  <c r="AW102" i="20"/>
  <c r="AU10" i="20"/>
  <c r="BU12" i="20"/>
  <c r="AV187" i="20"/>
  <c r="AC165" i="20"/>
  <c r="DN165" i="20"/>
  <c r="AV165" i="20"/>
  <c r="AV59" i="20"/>
  <c r="BB102" i="20"/>
  <c r="BC102" i="20" s="1"/>
  <c r="AZ30" i="20"/>
  <c r="AN83" i="23"/>
  <c r="DO187" i="20"/>
  <c r="BR191" i="20"/>
  <c r="DJ187" i="20"/>
  <c r="AW187" i="20"/>
  <c r="DO165" i="20"/>
  <c r="BO143" i="20"/>
  <c r="AU59" i="20"/>
  <c r="BV12" i="20"/>
  <c r="BY69" i="20"/>
  <c r="BR49" i="20"/>
  <c r="DK187" i="20"/>
  <c r="DP165" i="20"/>
  <c r="BY82" i="20"/>
  <c r="AE165" i="20"/>
  <c r="AU187" i="20"/>
  <c r="DL187" i="20"/>
  <c r="BD165" i="20"/>
  <c r="I109" i="20"/>
  <c r="CA145" i="20"/>
  <c r="AT105" i="20"/>
  <c r="DM165" i="20"/>
  <c r="CH72" i="20"/>
  <c r="BZ82" i="20"/>
  <c r="DI10" i="20"/>
  <c r="DH10" i="20"/>
  <c r="CA69" i="20"/>
  <c r="AZ143" i="20"/>
  <c r="O116" i="22"/>
  <c r="W116" i="22" s="1"/>
  <c r="AJ116" i="22" s="1"/>
  <c r="X116" i="22" s="1"/>
  <c r="AZ187" i="20"/>
  <c r="BZ145" i="20"/>
  <c r="CG72" i="20"/>
  <c r="BW186" i="20"/>
  <c r="BV186" i="20"/>
  <c r="DI187" i="20"/>
  <c r="DG187" i="20"/>
  <c r="AD165" i="20"/>
  <c r="DG165" i="20"/>
  <c r="BR143" i="20"/>
  <c r="BD109" i="20"/>
  <c r="BY23" i="20"/>
  <c r="BR159" i="20"/>
  <c r="L163" i="20"/>
  <c r="N163" i="20" s="1"/>
  <c r="DH165" i="20"/>
  <c r="AF102" i="20"/>
  <c r="BO75" i="20"/>
  <c r="BB109" i="20"/>
  <c r="BM109" i="20" s="1"/>
  <c r="BM76" i="20"/>
  <c r="DI59" i="20"/>
  <c r="BV18" i="20"/>
  <c r="H207" i="4"/>
  <c r="H565" i="4"/>
  <c r="H302" i="4"/>
  <c r="H296" i="4"/>
  <c r="H404" i="4"/>
  <c r="H20" i="4"/>
  <c r="H508" i="4"/>
  <c r="H206" i="4"/>
  <c r="H526" i="4"/>
  <c r="H572" i="4"/>
  <c r="H31" i="4"/>
  <c r="H681" i="4"/>
  <c r="H623" i="4"/>
  <c r="H51" i="4"/>
  <c r="H197" i="4"/>
  <c r="H528" i="4"/>
  <c r="H485" i="4"/>
  <c r="H532" i="4"/>
  <c r="H180" i="4"/>
  <c r="H619" i="4"/>
  <c r="H295" i="4"/>
  <c r="H621" i="4"/>
  <c r="H630" i="4"/>
  <c r="H262" i="4"/>
  <c r="H273" i="4"/>
  <c r="H72" i="4"/>
  <c r="H196" i="4"/>
  <c r="H71" i="4"/>
  <c r="H557" i="4"/>
  <c r="H186" i="4"/>
  <c r="H117" i="4"/>
  <c r="H200" i="4"/>
  <c r="H23" i="4"/>
  <c r="H804" i="4"/>
  <c r="H209" i="4"/>
  <c r="H531" i="4"/>
  <c r="H558" i="4"/>
  <c r="H546" i="4"/>
  <c r="H560" i="4"/>
  <c r="H269" i="4"/>
  <c r="H530" i="4"/>
  <c r="H208" i="4"/>
  <c r="H691" i="4"/>
  <c r="H568" i="4"/>
  <c r="H54" i="4"/>
  <c r="H323" i="4"/>
  <c r="H540" i="4"/>
  <c r="H223" i="4"/>
  <c r="H509" i="4"/>
  <c r="H300" i="4"/>
  <c r="H567" i="4"/>
  <c r="H602" i="4"/>
  <c r="H70" i="4"/>
  <c r="H612" i="4"/>
  <c r="H176" i="4"/>
  <c r="H287" i="4"/>
  <c r="H633" i="4"/>
  <c r="H276" i="4"/>
  <c r="H616" i="4"/>
  <c r="H527" i="4"/>
  <c r="H261" i="4"/>
  <c r="H50" i="4"/>
  <c r="H571" i="4"/>
  <c r="H700" i="4"/>
  <c r="H304" i="4"/>
  <c r="H77" i="4"/>
  <c r="H618" i="4"/>
  <c r="H297" i="4"/>
  <c r="H59" i="4"/>
  <c r="H520" i="4"/>
  <c r="H53" i="4"/>
  <c r="H525" i="4"/>
  <c r="H692" i="4"/>
  <c r="H47" i="4"/>
  <c r="H164" i="4"/>
  <c r="H205" i="4"/>
  <c r="H543" i="4"/>
  <c r="H316" i="4"/>
  <c r="H603" i="4"/>
  <c r="H559" i="4"/>
  <c r="H290" i="4"/>
  <c r="H198" i="4"/>
  <c r="H599" i="4"/>
  <c r="H634" i="4"/>
  <c r="H743" i="4"/>
  <c r="H317" i="4"/>
  <c r="H793" i="4"/>
  <c r="H671" i="4"/>
  <c r="H510" i="4"/>
  <c r="H52" i="4"/>
  <c r="H279" i="4"/>
  <c r="H228" i="4"/>
  <c r="H199" i="4"/>
  <c r="H303" i="4"/>
  <c r="H704" i="4"/>
  <c r="H88" i="4"/>
  <c r="H566" i="4"/>
  <c r="H141" i="4"/>
  <c r="H598" i="4"/>
  <c r="H614" i="4"/>
  <c r="H55" i="4"/>
  <c r="H161" i="4"/>
  <c r="H609" i="4"/>
  <c r="H574" i="4"/>
  <c r="H496" i="4"/>
  <c r="H620" i="4"/>
  <c r="H49" i="4"/>
  <c r="H695" i="4"/>
  <c r="H617" i="4"/>
  <c r="H307" i="4"/>
  <c r="H569" i="4"/>
  <c r="H56" i="4"/>
  <c r="H533" i="4"/>
  <c r="H788" i="4"/>
  <c r="H682" i="4"/>
  <c r="H613" i="4"/>
  <c r="H305" i="4"/>
  <c r="H537" i="4"/>
  <c r="H703" i="4"/>
  <c r="H484" i="4"/>
  <c r="H606" i="4"/>
  <c r="H74" i="4"/>
  <c r="H260" i="4"/>
  <c r="H690" i="4"/>
  <c r="H522" i="4"/>
  <c r="H73" i="4"/>
  <c r="H670" i="4"/>
  <c r="H615" i="4"/>
  <c r="H293" i="4"/>
  <c r="H299" i="4"/>
  <c r="H48" i="4"/>
  <c r="H240" i="4"/>
  <c r="H627" i="4"/>
  <c r="H284" i="4"/>
  <c r="H242" i="4"/>
  <c r="H19" i="4"/>
  <c r="H524" i="4"/>
  <c r="H1" i="4"/>
  <c r="H787" i="4"/>
  <c r="H628" i="4"/>
  <c r="H256" i="4"/>
  <c r="H521" i="4"/>
  <c r="H529" i="4"/>
  <c r="H744" i="4"/>
  <c r="H21" i="4"/>
  <c r="H629" i="4"/>
  <c r="H259" i="4"/>
  <c r="H523" i="4"/>
  <c r="H270" i="4"/>
  <c r="H622" i="4"/>
  <c r="H573" i="4"/>
  <c r="H631" i="4"/>
  <c r="H698" i="4"/>
  <c r="H632" i="4"/>
  <c r="H306" i="4"/>
  <c r="H570" i="4"/>
  <c r="H507" i="4"/>
  <c r="H258" i="4"/>
  <c r="H212" i="4"/>
  <c r="I45" i="21"/>
  <c r="O3602" i="19"/>
  <c r="AV111" i="22"/>
  <c r="AT115" i="22"/>
  <c r="AU115" i="22" s="1"/>
  <c r="O151" i="22"/>
  <c r="W151" i="22" s="1"/>
  <c r="AJ151" i="22" s="1"/>
  <c r="X151" i="22" s="1"/>
  <c r="AV113" i="22"/>
  <c r="AT151" i="22"/>
  <c r="AV122" i="22"/>
  <c r="AV120" i="22"/>
  <c r="K1886" i="19"/>
  <c r="O1886" i="19" s="1"/>
  <c r="K1883" i="19"/>
  <c r="N1883" i="19" s="1"/>
  <c r="K1887" i="19"/>
  <c r="O1887" i="19" s="1"/>
  <c r="K1885" i="19"/>
  <c r="O1885" i="19" s="1"/>
  <c r="O112" i="18"/>
  <c r="O111" i="18"/>
  <c r="K1880" i="19"/>
  <c r="K1888" i="19"/>
  <c r="O1888" i="19" s="1"/>
  <c r="AT150" i="22"/>
  <c r="AU150" i="22" s="1"/>
  <c r="AW150" i="22" s="1"/>
  <c r="N1889" i="19"/>
  <c r="K1890" i="19"/>
  <c r="O1890" i="19" s="1"/>
  <c r="AV150" i="22"/>
  <c r="K1892" i="19"/>
  <c r="M3611" i="19"/>
  <c r="M3617" i="19" s="1"/>
  <c r="M4873" i="19"/>
  <c r="O4873" i="19" s="1"/>
  <c r="K1986" i="19"/>
  <c r="K1988" i="19" s="1"/>
  <c r="D1984" i="19" s="1"/>
  <c r="H264" i="4" s="1"/>
  <c r="O1638" i="19"/>
  <c r="O2941" i="19"/>
  <c r="O2943" i="19" s="1"/>
  <c r="D2939" i="19" s="1"/>
  <c r="H103" i="4" s="1"/>
  <c r="M4857" i="19"/>
  <c r="M2549" i="19"/>
  <c r="M1196" i="19"/>
  <c r="M1237" i="19"/>
  <c r="K1237" i="19" s="1"/>
  <c r="M1180" i="19"/>
  <c r="M1215" i="19"/>
  <c r="N1215" i="19" s="1"/>
  <c r="K4265" i="19"/>
  <c r="M4929" i="19"/>
  <c r="K4929" i="19" s="1"/>
  <c r="O2540" i="19"/>
  <c r="M1176" i="19"/>
  <c r="M1177" i="19" s="1"/>
  <c r="O1177" i="19" s="1"/>
  <c r="O1156" i="19"/>
  <c r="G1617" i="19"/>
  <c r="G1635" i="19" s="1"/>
  <c r="O1635" i="19" s="1"/>
  <c r="M4931" i="19"/>
  <c r="K4931" i="19" s="1"/>
  <c r="B1212" i="19"/>
  <c r="B1250" i="19" s="1"/>
  <c r="M4889" i="19"/>
  <c r="O4888" i="19"/>
  <c r="O3887" i="19"/>
  <c r="O5270" i="19"/>
  <c r="O5279" i="19" s="1"/>
  <c r="M4869" i="19"/>
  <c r="M4870" i="19" s="1"/>
  <c r="O4849" i="19"/>
  <c r="M4930" i="19"/>
  <c r="K4930" i="19" s="1"/>
  <c r="O1157" i="19"/>
  <c r="G3878" i="19"/>
  <c r="O3878" i="19" s="1"/>
  <c r="G3860" i="19"/>
  <c r="O3860" i="19" s="1"/>
  <c r="O3980" i="19" s="1"/>
  <c r="K3980" i="19" s="1"/>
  <c r="AF21" i="20"/>
  <c r="AJ21" i="20"/>
  <c r="AG21" i="20"/>
  <c r="DK83" i="20"/>
  <c r="CG76" i="20"/>
  <c r="DK64" i="20"/>
  <c r="CW55" i="20"/>
  <c r="BO84" i="20"/>
  <c r="CH76" i="20"/>
  <c r="CX55" i="20"/>
  <c r="CH83" i="20"/>
  <c r="CY55" i="20"/>
  <c r="BR157" i="20"/>
  <c r="DP21" i="20"/>
  <c r="I150" i="20"/>
  <c r="DN21" i="20"/>
  <c r="BU18" i="20"/>
  <c r="AN173" i="23"/>
  <c r="BR87" i="20"/>
  <c r="BZ176" i="20"/>
  <c r="BD146" i="20"/>
  <c r="Z150" i="20"/>
  <c r="AZ52" i="20"/>
  <c r="BY176" i="20"/>
  <c r="AU146" i="20"/>
  <c r="AN58" i="23"/>
  <c r="BB148" i="20"/>
  <c r="BM148" i="20" s="1"/>
  <c r="DI146" i="20"/>
  <c r="AS150" i="20"/>
  <c r="BD64" i="20"/>
  <c r="BB83" i="20"/>
  <c r="DM83" i="20"/>
  <c r="DH146" i="20"/>
  <c r="AV146" i="20"/>
  <c r="CW86" i="20"/>
  <c r="DN146" i="20"/>
  <c r="CL45" i="20"/>
  <c r="BD83" i="20"/>
  <c r="CW185" i="20"/>
  <c r="BO67" i="20"/>
  <c r="AZ6" i="20"/>
  <c r="AM88" i="23"/>
  <c r="AN88" i="23" s="1"/>
  <c r="CM45" i="20"/>
  <c r="BR176" i="20"/>
  <c r="BR160" i="20"/>
  <c r="BB64" i="20"/>
  <c r="AV83" i="20"/>
  <c r="BM102" i="20"/>
  <c r="F1224" i="19"/>
  <c r="F1185" i="19"/>
  <c r="F4898" i="19"/>
  <c r="F4918" i="19" s="1"/>
  <c r="E1205" i="19"/>
  <c r="E1225" i="19" s="1"/>
  <c r="I1225" i="19" s="1"/>
  <c r="E1185" i="19"/>
  <c r="E4898" i="19"/>
  <c r="E4918" i="19" s="1"/>
  <c r="F4878" i="19"/>
  <c r="E4271" i="19"/>
  <c r="K4271" i="19" s="1"/>
  <c r="E4878" i="19"/>
  <c r="CM117" i="20"/>
  <c r="CL117" i="20"/>
  <c r="CK117" i="20"/>
  <c r="BW104" i="20"/>
  <c r="BV104" i="20"/>
  <c r="BU104" i="20"/>
  <c r="BW100" i="20"/>
  <c r="BU100" i="20"/>
  <c r="BV100" i="20"/>
  <c r="BU103" i="20"/>
  <c r="BW103" i="20"/>
  <c r="BV103" i="20"/>
  <c r="BW107" i="20"/>
  <c r="BV107" i="20"/>
  <c r="BU107" i="20"/>
  <c r="I164" i="20"/>
  <c r="CB164" i="20"/>
  <c r="L164" i="20"/>
  <c r="N164" i="20" s="1"/>
  <c r="BW113" i="20"/>
  <c r="BV113" i="20"/>
  <c r="BU113" i="20"/>
  <c r="CM116" i="20"/>
  <c r="CK116" i="20"/>
  <c r="CL116" i="20"/>
  <c r="BW119" i="20"/>
  <c r="BU119" i="20"/>
  <c r="BV119" i="20"/>
  <c r="AS71" i="20"/>
  <c r="Y71" i="20"/>
  <c r="Z71" i="20" s="1"/>
  <c r="CY24" i="20"/>
  <c r="AN76" i="23"/>
  <c r="DL176" i="20"/>
  <c r="AD167" i="20"/>
  <c r="BO184" i="20"/>
  <c r="DN176" i="20"/>
  <c r="BW168" i="20"/>
  <c r="AV46" i="20"/>
  <c r="AU46" i="20"/>
  <c r="DJ82" i="20"/>
  <c r="AU32" i="20"/>
  <c r="BO23" i="20"/>
  <c r="CG52" i="20"/>
  <c r="DO107" i="20"/>
  <c r="DN107" i="20"/>
  <c r="DM107" i="20"/>
  <c r="DL107" i="20"/>
  <c r="DK107" i="20"/>
  <c r="DJ107" i="20"/>
  <c r="DI107" i="20"/>
  <c r="DH107" i="20"/>
  <c r="DG107" i="20"/>
  <c r="DP107" i="20"/>
  <c r="CE179" i="20"/>
  <c r="DH111" i="20"/>
  <c r="DG111" i="20"/>
  <c r="DP111" i="20"/>
  <c r="DO111" i="20"/>
  <c r="DN111" i="20"/>
  <c r="DM111" i="20"/>
  <c r="DL111" i="20"/>
  <c r="DK111" i="20"/>
  <c r="DI111" i="20"/>
  <c r="DJ111" i="20"/>
  <c r="CY119" i="20"/>
  <c r="CZ119" i="20"/>
  <c r="CX119" i="20"/>
  <c r="CV119" i="20"/>
  <c r="CW119" i="20"/>
  <c r="BT111" i="20"/>
  <c r="CA102" i="20"/>
  <c r="BZ102" i="20"/>
  <c r="BY102" i="20"/>
  <c r="AM181" i="23"/>
  <c r="AN181" i="23" s="1"/>
  <c r="CI113" i="20"/>
  <c r="CH113" i="20"/>
  <c r="CG113" i="20"/>
  <c r="AT110" i="22"/>
  <c r="O110" i="22"/>
  <c r="W110" i="22" s="1"/>
  <c r="AJ110" i="22" s="1"/>
  <c r="X110" i="22" s="1"/>
  <c r="AV110" i="22"/>
  <c r="AT130" i="22"/>
  <c r="AV130" i="22"/>
  <c r="O130" i="22"/>
  <c r="W130" i="22" s="1"/>
  <c r="AJ130" i="22" s="1"/>
  <c r="X130" i="22" s="1"/>
  <c r="BY115" i="20"/>
  <c r="BZ115" i="20"/>
  <c r="CA115" i="20"/>
  <c r="CW115" i="20"/>
  <c r="CX115" i="20"/>
  <c r="CV115" i="20"/>
  <c r="CY115" i="20"/>
  <c r="CZ115" i="20"/>
  <c r="BO103" i="20"/>
  <c r="BP103" i="20"/>
  <c r="BO107" i="20"/>
  <c r="BP107" i="20"/>
  <c r="CM106" i="20"/>
  <c r="CL106" i="20"/>
  <c r="CK106" i="20"/>
  <c r="CY109" i="20"/>
  <c r="CZ109" i="20"/>
  <c r="CW109" i="20"/>
  <c r="CV109" i="20"/>
  <c r="CX109" i="20"/>
  <c r="BU69" i="20"/>
  <c r="AN129" i="23"/>
  <c r="DO176" i="20"/>
  <c r="CD87" i="20"/>
  <c r="DK82" i="20"/>
  <c r="BR74" i="20"/>
  <c r="DO16" i="20"/>
  <c r="AH32" i="20"/>
  <c r="AV32" i="20"/>
  <c r="CH52" i="20"/>
  <c r="Z21" i="20"/>
  <c r="O4092" i="19"/>
  <c r="O4094" i="19" s="1"/>
  <c r="O4097" i="19" s="1"/>
  <c r="M4097" i="19" s="1"/>
  <c r="M4099" i="19" s="1"/>
  <c r="D4095" i="19" s="1"/>
  <c r="H776" i="4" s="1"/>
  <c r="CA119" i="20"/>
  <c r="BZ119" i="20"/>
  <c r="BY119" i="20"/>
  <c r="AN94" i="23"/>
  <c r="CI102" i="20"/>
  <c r="CH102" i="20"/>
  <c r="CG102" i="20"/>
  <c r="CY113" i="20"/>
  <c r="CZ113" i="20"/>
  <c r="CV113" i="20"/>
  <c r="CW113" i="20"/>
  <c r="CX113" i="20"/>
  <c r="AT114" i="22"/>
  <c r="AV114" i="22"/>
  <c r="O114" i="22"/>
  <c r="W114" i="22" s="1"/>
  <c r="AJ114" i="22" s="1"/>
  <c r="X114" i="22" s="1"/>
  <c r="BU115" i="20"/>
  <c r="BW115" i="20"/>
  <c r="BV115" i="20"/>
  <c r="AT41" i="22"/>
  <c r="AU41" i="22" s="1"/>
  <c r="AB41" i="22"/>
  <c r="BR116" i="20"/>
  <c r="BS116" i="20"/>
  <c r="CX107" i="20"/>
  <c r="CY107" i="20"/>
  <c r="CZ107" i="20"/>
  <c r="CW107" i="20"/>
  <c r="CV107" i="20"/>
  <c r="CA106" i="20"/>
  <c r="BZ106" i="20"/>
  <c r="BY106" i="20"/>
  <c r="BO117" i="20"/>
  <c r="BP117" i="20"/>
  <c r="BO109" i="20"/>
  <c r="BP109" i="20"/>
  <c r="CM104" i="20"/>
  <c r="CK104" i="20"/>
  <c r="CL104" i="20"/>
  <c r="BP104" i="20"/>
  <c r="BO104" i="20"/>
  <c r="DH176" i="20"/>
  <c r="BB176" i="20"/>
  <c r="BC176" i="20" s="1"/>
  <c r="AM56" i="23"/>
  <c r="AN56" i="23" s="1"/>
  <c r="AN27" i="23"/>
  <c r="AN36" i="23"/>
  <c r="AN175" i="23"/>
  <c r="DP176" i="20"/>
  <c r="CE87" i="20"/>
  <c r="AI32" i="20"/>
  <c r="DJ32" i="20"/>
  <c r="AL21" i="20"/>
  <c r="DP115" i="20"/>
  <c r="DO115" i="20"/>
  <c r="DN115" i="20"/>
  <c r="DM115" i="20"/>
  <c r="DL115" i="20"/>
  <c r="DK115" i="20"/>
  <c r="DJ115" i="20"/>
  <c r="DI115" i="20"/>
  <c r="DH115" i="20"/>
  <c r="DG115" i="20"/>
  <c r="CM119" i="20"/>
  <c r="CL119" i="20"/>
  <c r="CK119" i="20"/>
  <c r="CA111" i="20"/>
  <c r="BY111" i="20"/>
  <c r="BZ111" i="20"/>
  <c r="CY102" i="20"/>
  <c r="CZ102" i="20"/>
  <c r="CV102" i="20"/>
  <c r="CX102" i="20"/>
  <c r="CW102" i="20"/>
  <c r="CV105" i="20"/>
  <c r="CX105" i="20"/>
  <c r="CW105" i="20"/>
  <c r="CY105" i="20"/>
  <c r="CZ105" i="20"/>
  <c r="CZ116" i="20"/>
  <c r="CY116" i="20"/>
  <c r="CX116" i="20"/>
  <c r="CV116" i="20"/>
  <c r="CW116" i="20"/>
  <c r="CL107" i="20"/>
  <c r="CM107" i="20"/>
  <c r="CK107" i="20"/>
  <c r="BS106" i="20"/>
  <c r="BR106" i="20"/>
  <c r="CE109" i="20"/>
  <c r="CD109" i="20"/>
  <c r="CC109" i="20"/>
  <c r="CE119" i="20"/>
  <c r="CC119" i="20"/>
  <c r="CD119" i="20"/>
  <c r="BS113" i="20"/>
  <c r="BR113" i="20"/>
  <c r="CE115" i="20"/>
  <c r="CD115" i="20"/>
  <c r="CC115" i="20"/>
  <c r="CA103" i="20"/>
  <c r="BZ103" i="20"/>
  <c r="BY103" i="20"/>
  <c r="CG103" i="20"/>
  <c r="CI103" i="20"/>
  <c r="CH103" i="20"/>
  <c r="BW116" i="20"/>
  <c r="BU116" i="20"/>
  <c r="BV116" i="20"/>
  <c r="BP106" i="20"/>
  <c r="BO106" i="20"/>
  <c r="CI109" i="20"/>
  <c r="CH109" i="20"/>
  <c r="CG109" i="20"/>
  <c r="CZ100" i="20"/>
  <c r="CY100" i="20"/>
  <c r="CV100" i="20"/>
  <c r="CX100" i="20"/>
  <c r="CW100" i="20"/>
  <c r="DG176" i="20"/>
  <c r="DM104" i="20"/>
  <c r="DL104" i="20"/>
  <c r="DJ104" i="20"/>
  <c r="DN104" i="20"/>
  <c r="DK104" i="20"/>
  <c r="DI104" i="20"/>
  <c r="DH104" i="20"/>
  <c r="DG104" i="20"/>
  <c r="DP104" i="20"/>
  <c r="DO104" i="20"/>
  <c r="BZ64" i="20"/>
  <c r="CA83" i="20"/>
  <c r="DL32" i="20"/>
  <c r="CE111" i="20"/>
  <c r="CD111" i="20"/>
  <c r="CC111" i="20"/>
  <c r="CM113" i="20"/>
  <c r="CK113" i="20"/>
  <c r="CL113" i="20"/>
  <c r="BP105" i="20"/>
  <c r="BO105" i="20"/>
  <c r="BS103" i="20"/>
  <c r="BR103" i="20"/>
  <c r="BT106" i="20"/>
  <c r="BS117" i="20"/>
  <c r="BR117" i="20"/>
  <c r="BR109" i="20"/>
  <c r="BS109" i="20"/>
  <c r="CD100" i="20"/>
  <c r="CE100" i="20"/>
  <c r="CC100" i="20"/>
  <c r="BY100" i="20"/>
  <c r="BZ100" i="20"/>
  <c r="CA100" i="20"/>
  <c r="DK113" i="20"/>
  <c r="DJ113" i="20"/>
  <c r="DI113" i="20"/>
  <c r="DH113" i="20"/>
  <c r="DG113" i="20"/>
  <c r="DP113" i="20"/>
  <c r="DO113" i="20"/>
  <c r="DN113" i="20"/>
  <c r="DL113" i="20"/>
  <c r="DM113" i="20"/>
  <c r="I107" i="20"/>
  <c r="DJ105" i="20"/>
  <c r="DI105" i="20"/>
  <c r="DK105" i="20"/>
  <c r="DH105" i="20"/>
  <c r="DG105" i="20"/>
  <c r="DP105" i="20"/>
  <c r="DO105" i="20"/>
  <c r="DN105" i="20"/>
  <c r="DM105" i="20"/>
  <c r="DL105" i="20"/>
  <c r="CI119" i="20"/>
  <c r="CG119" i="20"/>
  <c r="CH119" i="20"/>
  <c r="BO102" i="20"/>
  <c r="BP102" i="20"/>
  <c r="CI105" i="20"/>
  <c r="CH105" i="20"/>
  <c r="CG105" i="20"/>
  <c r="CE103" i="20"/>
  <c r="CD103" i="20"/>
  <c r="CC103" i="20"/>
  <c r="CM103" i="20"/>
  <c r="CL103" i="20"/>
  <c r="CK103" i="20"/>
  <c r="AN167" i="23"/>
  <c r="BZ107" i="20"/>
  <c r="CA107" i="20"/>
  <c r="BY107" i="20"/>
  <c r="AN123" i="23"/>
  <c r="CA104" i="20"/>
  <c r="BZ104" i="20"/>
  <c r="BY104" i="20"/>
  <c r="CI100" i="20"/>
  <c r="CG100" i="20"/>
  <c r="CH100" i="20"/>
  <c r="AU176" i="20"/>
  <c r="BO119" i="20"/>
  <c r="BP119" i="20"/>
  <c r="CI111" i="20"/>
  <c r="CG111" i="20"/>
  <c r="CH111" i="20"/>
  <c r="CM102" i="20"/>
  <c r="CK102" i="20"/>
  <c r="CL102" i="20"/>
  <c r="BS105" i="20"/>
  <c r="BR105" i="20"/>
  <c r="AT140" i="22"/>
  <c r="AV140" i="22"/>
  <c r="O140" i="22"/>
  <c r="W140" i="22" s="1"/>
  <c r="AJ140" i="22" s="1"/>
  <c r="X140" i="22" s="1"/>
  <c r="CE106" i="20"/>
  <c r="CC106" i="20"/>
  <c r="CD106" i="20"/>
  <c r="BW117" i="20"/>
  <c r="BV117" i="20"/>
  <c r="BU117" i="20"/>
  <c r="CM100" i="20"/>
  <c r="CK100" i="20"/>
  <c r="CL100" i="20"/>
  <c r="AM180" i="23"/>
  <c r="AN180" i="23" s="1"/>
  <c r="AN72" i="23"/>
  <c r="BO176" i="20"/>
  <c r="BO169" i="20"/>
  <c r="DI176" i="20"/>
  <c r="BR151" i="20"/>
  <c r="CV164" i="20"/>
  <c r="AF103" i="20"/>
  <c r="DH103" i="20"/>
  <c r="DG103" i="20"/>
  <c r="DP103" i="20"/>
  <c r="DO103" i="20"/>
  <c r="DN103" i="20"/>
  <c r="DM103" i="20"/>
  <c r="DL103" i="20"/>
  <c r="DK103" i="20"/>
  <c r="DI103" i="20"/>
  <c r="DJ103" i="20"/>
  <c r="BV69" i="20"/>
  <c r="BT44" i="20"/>
  <c r="DN82" i="20"/>
  <c r="CD45" i="20"/>
  <c r="BB45" i="20"/>
  <c r="DJ22" i="20"/>
  <c r="DI22" i="20"/>
  <c r="DP45" i="20"/>
  <c r="CD15" i="20"/>
  <c r="CH48" i="20"/>
  <c r="AZ32" i="20"/>
  <c r="BO111" i="20"/>
  <c r="BP111" i="20"/>
  <c r="CY111" i="20"/>
  <c r="CZ111" i="20"/>
  <c r="CV111" i="20"/>
  <c r="CW111" i="20"/>
  <c r="CX111" i="20"/>
  <c r="BS102" i="20"/>
  <c r="BR102" i="20"/>
  <c r="BO113" i="20"/>
  <c r="BP113" i="20"/>
  <c r="CM105" i="20"/>
  <c r="CL105" i="20"/>
  <c r="CK105" i="20"/>
  <c r="AV125" i="22"/>
  <c r="AT125" i="22"/>
  <c r="O125" i="22"/>
  <c r="W125" i="22" s="1"/>
  <c r="AJ125" i="22" s="1"/>
  <c r="X125" i="22" s="1"/>
  <c r="AV117" i="22"/>
  <c r="AT117" i="22"/>
  <c r="O117" i="22"/>
  <c r="W117" i="22" s="1"/>
  <c r="AJ117" i="22" s="1"/>
  <c r="X117" i="22" s="1"/>
  <c r="AN191" i="23"/>
  <c r="CA116" i="20"/>
  <c r="BY116" i="20"/>
  <c r="BZ116" i="20"/>
  <c r="CE107" i="20"/>
  <c r="CC107" i="20"/>
  <c r="CD107" i="20"/>
  <c r="CI117" i="20"/>
  <c r="CG117" i="20"/>
  <c r="CH117" i="20"/>
  <c r="BT109" i="20"/>
  <c r="CH104" i="20"/>
  <c r="CI104" i="20"/>
  <c r="CG104" i="20"/>
  <c r="BO100" i="20"/>
  <c r="BP100" i="20"/>
  <c r="DL116" i="20"/>
  <c r="DK116" i="20"/>
  <c r="DJ116" i="20"/>
  <c r="DI116" i="20"/>
  <c r="DM116" i="20"/>
  <c r="DH116" i="20"/>
  <c r="DG116" i="20"/>
  <c r="DP116" i="20"/>
  <c r="DO116" i="20"/>
  <c r="DN116" i="20"/>
  <c r="DG106" i="20"/>
  <c r="DP106" i="20"/>
  <c r="DH106" i="20"/>
  <c r="DO106" i="20"/>
  <c r="DN106" i="20"/>
  <c r="DM106" i="20"/>
  <c r="DL106" i="20"/>
  <c r="DK106" i="20"/>
  <c r="DJ106" i="20"/>
  <c r="DI106" i="20"/>
  <c r="AN168" i="23"/>
  <c r="AM165" i="23"/>
  <c r="AN165" i="23" s="1"/>
  <c r="AN169" i="23"/>
  <c r="CC179" i="20"/>
  <c r="AV176" i="20"/>
  <c r="CW164" i="20"/>
  <c r="DG32" i="20"/>
  <c r="BB82" i="20"/>
  <c r="DI46" i="20"/>
  <c r="DO82" i="20"/>
  <c r="DN32" i="20"/>
  <c r="AU45" i="20"/>
  <c r="DG22" i="20"/>
  <c r="DJ102" i="20"/>
  <c r="DI102" i="20"/>
  <c r="DG102" i="20"/>
  <c r="DH102" i="20"/>
  <c r="DP102" i="20"/>
  <c r="DM102" i="20"/>
  <c r="DO102" i="20"/>
  <c r="DN102" i="20"/>
  <c r="DK102" i="20"/>
  <c r="DL102" i="20"/>
  <c r="CA113" i="20"/>
  <c r="BY113" i="20"/>
  <c r="BZ113" i="20"/>
  <c r="AB139" i="22"/>
  <c r="AV139" i="22"/>
  <c r="AT139" i="22"/>
  <c r="O139" i="22"/>
  <c r="W139" i="22" s="1"/>
  <c r="AJ139" i="22" s="1"/>
  <c r="X139" i="22" s="1"/>
  <c r="BP115" i="20"/>
  <c r="BO115" i="20"/>
  <c r="CE117" i="20"/>
  <c r="CD117" i="20"/>
  <c r="CC117" i="20"/>
  <c r="CA117" i="20"/>
  <c r="BZ117" i="20"/>
  <c r="BY117" i="20"/>
  <c r="AM115" i="23"/>
  <c r="AN115" i="23" s="1"/>
  <c r="DG119" i="20"/>
  <c r="DP119" i="20"/>
  <c r="DO119" i="20"/>
  <c r="DN119" i="20"/>
  <c r="DM119" i="20"/>
  <c r="DL119" i="20"/>
  <c r="DK119" i="20"/>
  <c r="DJ119" i="20"/>
  <c r="DH119" i="20"/>
  <c r="DI119" i="20"/>
  <c r="BD32" i="20"/>
  <c r="AV22" i="20"/>
  <c r="BY18" i="20"/>
  <c r="AS16" i="20"/>
  <c r="CW10" i="20"/>
  <c r="CV57" i="20"/>
  <c r="BB32" i="20"/>
  <c r="BC32" i="20" s="1"/>
  <c r="BS119" i="20"/>
  <c r="BR119" i="20"/>
  <c r="CE102" i="20"/>
  <c r="CC102" i="20"/>
  <c r="CD102" i="20"/>
  <c r="BT102" i="20"/>
  <c r="BT105" i="20"/>
  <c r="AV147" i="22"/>
  <c r="AT147" i="22"/>
  <c r="O147" i="22"/>
  <c r="W147" i="22" s="1"/>
  <c r="AJ147" i="22" s="1"/>
  <c r="X147" i="22" s="1"/>
  <c r="CF115" i="20"/>
  <c r="CI116" i="20"/>
  <c r="CG116" i="20"/>
  <c r="CH116" i="20"/>
  <c r="CI106" i="20"/>
  <c r="CG106" i="20"/>
  <c r="CH106" i="20"/>
  <c r="CM109" i="20"/>
  <c r="CK109" i="20"/>
  <c r="CL109" i="20"/>
  <c r="BS100" i="20"/>
  <c r="BR100" i="20"/>
  <c r="AN176" i="23"/>
  <c r="BU168" i="20"/>
  <c r="AU82" i="20"/>
  <c r="DP46" i="20"/>
  <c r="BZ18" i="20"/>
  <c r="BO46" i="20"/>
  <c r="Y16" i="20"/>
  <c r="AL16" i="20" s="1"/>
  <c r="K3107" i="19"/>
  <c r="K3109" i="19" s="1"/>
  <c r="D3105" i="19" s="1"/>
  <c r="H265" i="4" s="1"/>
  <c r="CX185" i="20"/>
  <c r="BS111" i="20"/>
  <c r="BR111" i="20"/>
  <c r="CM111" i="20"/>
  <c r="CK111" i="20"/>
  <c r="CL111" i="20"/>
  <c r="CE113" i="20"/>
  <c r="CC113" i="20"/>
  <c r="CD113" i="20"/>
  <c r="CE105" i="20"/>
  <c r="CD105" i="20"/>
  <c r="CC105" i="20"/>
  <c r="AT131" i="22"/>
  <c r="AV131" i="22"/>
  <c r="O131" i="22"/>
  <c r="W131" i="22" s="1"/>
  <c r="AJ131" i="22" s="1"/>
  <c r="X131" i="22" s="1"/>
  <c r="AV119" i="22"/>
  <c r="AT119" i="22"/>
  <c r="O119" i="22"/>
  <c r="W119" i="22" s="1"/>
  <c r="AJ119" i="22" s="1"/>
  <c r="X119" i="22" s="1"/>
  <c r="CK115" i="20"/>
  <c r="CL115" i="20"/>
  <c r="CM115" i="20"/>
  <c r="CZ103" i="20"/>
  <c r="CV103" i="20"/>
  <c r="CX103" i="20"/>
  <c r="CY103" i="20"/>
  <c r="CW103" i="20"/>
  <c r="BS107" i="20"/>
  <c r="BR107" i="20"/>
  <c r="CG107" i="20"/>
  <c r="CH107" i="20"/>
  <c r="CI107" i="20"/>
  <c r="CV117" i="20"/>
  <c r="CZ117" i="20"/>
  <c r="CY117" i="20"/>
  <c r="CW117" i="20"/>
  <c r="CX117" i="20"/>
  <c r="CA109" i="20"/>
  <c r="BY109" i="20"/>
  <c r="BZ109" i="20"/>
  <c r="BS104" i="20"/>
  <c r="BR104" i="20"/>
  <c r="AN182" i="23"/>
  <c r="AM182" i="23"/>
  <c r="AL199" i="23"/>
  <c r="AZ176" i="20"/>
  <c r="BD117" i="20"/>
  <c r="DM117" i="20"/>
  <c r="DL117" i="20"/>
  <c r="DK117" i="20"/>
  <c r="DJ117" i="20"/>
  <c r="DN117" i="20"/>
  <c r="DI117" i="20"/>
  <c r="DH117" i="20"/>
  <c r="DG117" i="20"/>
  <c r="DP117" i="20"/>
  <c r="DO117" i="20"/>
  <c r="CG75" i="20"/>
  <c r="BO146" i="20"/>
  <c r="AU22" i="20"/>
  <c r="CK56" i="20"/>
  <c r="CI75" i="20"/>
  <c r="DP109" i="20"/>
  <c r="DO109" i="20"/>
  <c r="DN109" i="20"/>
  <c r="DM109" i="20"/>
  <c r="DL109" i="20"/>
  <c r="DK109" i="20"/>
  <c r="DH109" i="20"/>
  <c r="DJ109" i="20"/>
  <c r="DI109" i="20"/>
  <c r="DG109" i="20"/>
  <c r="AU100" i="20"/>
  <c r="DJ100" i="20"/>
  <c r="DI100" i="20"/>
  <c r="DG100" i="20"/>
  <c r="DK100" i="20"/>
  <c r="DH100" i="20"/>
  <c r="DP100" i="20"/>
  <c r="DO100" i="20"/>
  <c r="DN100" i="20"/>
  <c r="DM100" i="20"/>
  <c r="DL100" i="20"/>
  <c r="CA105" i="20"/>
  <c r="BY105" i="20"/>
  <c r="BZ105" i="20"/>
  <c r="AT144" i="22"/>
  <c r="AV144" i="22"/>
  <c r="O144" i="22"/>
  <c r="W144" i="22" s="1"/>
  <c r="AJ144" i="22" s="1"/>
  <c r="X144" i="22" s="1"/>
  <c r="BS115" i="20"/>
  <c r="BR115" i="20"/>
  <c r="BO116" i="20"/>
  <c r="BP116" i="20"/>
  <c r="CD116" i="20"/>
  <c r="CE116" i="20"/>
  <c r="CC116" i="20"/>
  <c r="CW106" i="20"/>
  <c r="CY106" i="20"/>
  <c r="CZ106" i="20"/>
  <c r="CX106" i="20"/>
  <c r="CV106" i="20"/>
  <c r="CZ104" i="20"/>
  <c r="CW104" i="20"/>
  <c r="CX104" i="20"/>
  <c r="CV104" i="20"/>
  <c r="CY104" i="20"/>
  <c r="CE104" i="20"/>
  <c r="CD104" i="20"/>
  <c r="CC104" i="20"/>
  <c r="CZ67" i="22"/>
  <c r="F260" i="22"/>
  <c r="AB170" i="22"/>
  <c r="AB169" i="22"/>
  <c r="D260" i="22"/>
  <c r="CR260" i="22" s="1"/>
  <c r="C260" i="22"/>
  <c r="BH260" i="22"/>
  <c r="CI109" i="22"/>
  <c r="CT109" i="22" s="1"/>
  <c r="AB164" i="22"/>
  <c r="AB166" i="22"/>
  <c r="AB154" i="22"/>
  <c r="AB165" i="22"/>
  <c r="AB162" i="22"/>
  <c r="AB155" i="22"/>
  <c r="AB157" i="22"/>
  <c r="AB156" i="22"/>
  <c r="CZ346" i="22"/>
  <c r="CN109" i="22"/>
  <c r="AV118" i="22"/>
  <c r="BX109" i="22"/>
  <c r="CX109" i="22"/>
  <c r="CY109" i="22" s="1"/>
  <c r="CZ274" i="22"/>
  <c r="CZ266" i="22"/>
  <c r="N4141" i="19"/>
  <c r="O4141" i="19"/>
  <c r="CZ217" i="22"/>
  <c r="CZ230" i="22"/>
  <c r="CZ214" i="22"/>
  <c r="CZ205" i="22"/>
  <c r="CZ231" i="22"/>
  <c r="CZ226" i="22"/>
  <c r="CZ216" i="22"/>
  <c r="CZ234" i="22"/>
  <c r="B3659" i="19"/>
  <c r="B3697" i="19" s="1"/>
  <c r="B3825" i="19"/>
  <c r="B3963" i="19" s="1"/>
  <c r="G3858" i="19"/>
  <c r="O3858" i="19" s="1"/>
  <c r="O3978" i="19" s="1"/>
  <c r="K3978" i="19" s="1"/>
  <c r="G3840" i="19"/>
  <c r="O3840" i="19" s="1"/>
  <c r="G1599" i="19"/>
  <c r="O1599" i="19" s="1"/>
  <c r="O1725" i="19" s="1"/>
  <c r="K1725" i="19" s="1"/>
  <c r="O2701" i="19"/>
  <c r="D2694" i="19" s="1"/>
  <c r="H380" i="4" s="1"/>
  <c r="I2607" i="19"/>
  <c r="G1588" i="19"/>
  <c r="O1588" i="19" s="1"/>
  <c r="G1606" i="19"/>
  <c r="O1606" i="19" s="1"/>
  <c r="O1732" i="19" s="1"/>
  <c r="K1732" i="19" s="1"/>
  <c r="O1642" i="19"/>
  <c r="O1624" i="19"/>
  <c r="B4905" i="19"/>
  <c r="B4943" i="19" s="1"/>
  <c r="B2737" i="19"/>
  <c r="B2827" i="19" s="1"/>
  <c r="CZ227" i="22"/>
  <c r="CZ225" i="22"/>
  <c r="CZ229" i="22"/>
  <c r="CZ223" i="22"/>
  <c r="CZ240" i="22"/>
  <c r="CZ232" i="22"/>
  <c r="CZ233" i="22"/>
  <c r="CZ207" i="22"/>
  <c r="CZ224" i="22"/>
  <c r="CZ245" i="22"/>
  <c r="CZ31" i="22"/>
  <c r="CZ349" i="22"/>
  <c r="CZ336" i="22"/>
  <c r="CZ355" i="22"/>
  <c r="CZ344" i="22"/>
  <c r="CZ288" i="22"/>
  <c r="CZ303" i="22"/>
  <c r="CZ307" i="22"/>
  <c r="CZ335" i="22"/>
  <c r="CZ339" i="22"/>
  <c r="CZ276" i="22"/>
  <c r="CZ238" i="22"/>
  <c r="CZ277" i="22"/>
  <c r="CZ279" i="22"/>
  <c r="CZ354" i="22"/>
  <c r="CZ347" i="22"/>
  <c r="CZ338" i="22"/>
  <c r="CZ309" i="22"/>
  <c r="CZ242" i="22"/>
  <c r="CZ244" i="22"/>
  <c r="CZ211" i="22"/>
  <c r="CZ236" i="22"/>
  <c r="CZ311" i="22"/>
  <c r="CZ282" i="22"/>
  <c r="CZ269" i="22"/>
  <c r="CZ296" i="22"/>
  <c r="CZ302" i="22"/>
  <c r="CZ293" i="22"/>
  <c r="CZ312" i="22"/>
  <c r="CZ322" i="22"/>
  <c r="CZ235" i="22"/>
  <c r="CZ221" i="22"/>
  <c r="CZ316" i="22"/>
  <c r="CZ284" i="22"/>
  <c r="CZ305" i="22"/>
  <c r="CZ290" i="22"/>
  <c r="CZ262" i="22"/>
  <c r="CZ308" i="22"/>
  <c r="CZ341" i="22"/>
  <c r="CZ289" i="22"/>
  <c r="CZ265" i="22"/>
  <c r="CZ206" i="22"/>
  <c r="CZ213" i="22"/>
  <c r="CZ228" i="22"/>
  <c r="CZ325" i="22"/>
  <c r="AS88" i="20"/>
  <c r="BX88" i="20"/>
  <c r="Y88" i="20"/>
  <c r="Z88" i="20" s="1"/>
  <c r="DJ164" i="20"/>
  <c r="DN164" i="20"/>
  <c r="AS164" i="20"/>
  <c r="CZ81" i="20"/>
  <c r="CY57" i="20"/>
  <c r="CK30" i="20"/>
  <c r="DI45" i="20"/>
  <c r="CA11" i="20"/>
  <c r="CX10" i="20"/>
  <c r="Y164" i="20"/>
  <c r="AK164" i="20" s="1"/>
  <c r="BU147" i="20"/>
  <c r="CL31" i="20"/>
  <c r="CL30" i="20"/>
  <c r="CY10" i="20"/>
  <c r="BT81" i="20"/>
  <c r="BV81" i="20" s="1"/>
  <c r="BO173" i="20"/>
  <c r="BV147" i="20"/>
  <c r="DP64" i="20"/>
  <c r="CX52" i="20"/>
  <c r="DM64" i="20"/>
  <c r="AV64" i="20"/>
  <c r="CM31" i="20"/>
  <c r="BR9" i="20"/>
  <c r="BR11" i="20"/>
  <c r="CZ10" i="20"/>
  <c r="BB142" i="20"/>
  <c r="AT164" i="20"/>
  <c r="V153" i="20"/>
  <c r="DN64" i="20"/>
  <c r="DH164" i="20"/>
  <c r="DG164" i="20"/>
  <c r="BR170" i="20"/>
  <c r="Y105" i="20"/>
  <c r="AP105" i="20" s="1"/>
  <c r="CX63" i="20"/>
  <c r="CV63" i="20"/>
  <c r="CB71" i="20"/>
  <c r="CY45" i="20"/>
  <c r="CL56" i="20"/>
  <c r="DK164" i="20"/>
  <c r="BR164" i="20"/>
  <c r="L71" i="20"/>
  <c r="N71" i="20" s="1"/>
  <c r="CZ45" i="20"/>
  <c r="BP17" i="20"/>
  <c r="CV45" i="20"/>
  <c r="AE166" i="20"/>
  <c r="CY63" i="20"/>
  <c r="BT45" i="20"/>
  <c r="BR23" i="20"/>
  <c r="BU26" i="20"/>
  <c r="O1294" i="19"/>
  <c r="O1301" i="19" s="1"/>
  <c r="G3870" i="19"/>
  <c r="G3888" i="19" s="1"/>
  <c r="O3888" i="19" s="1"/>
  <c r="G3852" i="19"/>
  <c r="O3852" i="19" s="1"/>
  <c r="O3972" i="19" s="1"/>
  <c r="K3972" i="19" s="1"/>
  <c r="G1593" i="19"/>
  <c r="O1593" i="19" s="1"/>
  <c r="K578" i="19"/>
  <c r="M5259" i="19"/>
  <c r="CX306" i="22"/>
  <c r="CY306" i="22" s="1"/>
  <c r="CI306" i="22"/>
  <c r="CT306" i="22" s="1"/>
  <c r="CN306" i="22"/>
  <c r="BX306" i="22"/>
  <c r="BW306" i="22"/>
  <c r="CX282" i="22"/>
  <c r="CY282" i="22" s="1"/>
  <c r="CI282" i="22"/>
  <c r="CT282" i="22" s="1"/>
  <c r="CN282" i="22"/>
  <c r="BX282" i="22"/>
  <c r="BW282" i="22"/>
  <c r="CZ263" i="22"/>
  <c r="CX284" i="22"/>
  <c r="CY284" i="22" s="1"/>
  <c r="CI284" i="22"/>
  <c r="CT284" i="22" s="1"/>
  <c r="CN284" i="22"/>
  <c r="BX284" i="22"/>
  <c r="BW284" i="22"/>
  <c r="CI281" i="22"/>
  <c r="CT281" i="22" s="1"/>
  <c r="CX281" i="22"/>
  <c r="CY281" i="22" s="1"/>
  <c r="BX281" i="22"/>
  <c r="CN281" i="22"/>
  <c r="BW281" i="22"/>
  <c r="CI302" i="22"/>
  <c r="CT302" i="22" s="1"/>
  <c r="CX302" i="22"/>
  <c r="CY302" i="22" s="1"/>
  <c r="CN302" i="22"/>
  <c r="BX302" i="22"/>
  <c r="BW302" i="22"/>
  <c r="CZ268" i="22"/>
  <c r="CZ321" i="22"/>
  <c r="CZ291" i="22"/>
  <c r="CZ297" i="22"/>
  <c r="CZ298" i="22"/>
  <c r="CZ300" i="22"/>
  <c r="CZ278" i="22"/>
  <c r="CX320" i="22"/>
  <c r="CY320" i="22" s="1"/>
  <c r="CW320" i="22"/>
  <c r="CV320" i="22"/>
  <c r="CU320" i="22"/>
  <c r="CT320" i="22"/>
  <c r="CI320" i="22"/>
  <c r="CS320" i="22"/>
  <c r="CN320" i="22"/>
  <c r="BX320" i="22"/>
  <c r="BW320" i="22"/>
  <c r="CZ280" i="22"/>
  <c r="CZ275" i="22"/>
  <c r="CI264" i="22"/>
  <c r="CT264" i="22" s="1"/>
  <c r="CX264" i="22"/>
  <c r="CY264" i="22" s="1"/>
  <c r="CN264" i="22"/>
  <c r="BW264" i="22"/>
  <c r="BX264" i="22"/>
  <c r="CZ203" i="22"/>
  <c r="CV50" i="22"/>
  <c r="CU50" i="22"/>
  <c r="CT50" i="22"/>
  <c r="CS50" i="22"/>
  <c r="CX50" i="22"/>
  <c r="CY50" i="22" s="1"/>
  <c r="CW50" i="22"/>
  <c r="CI50" i="22"/>
  <c r="CN50" i="22"/>
  <c r="BW50" i="22"/>
  <c r="BX50" i="22"/>
  <c r="CX81" i="22"/>
  <c r="CY81" i="22" s="1"/>
  <c r="CN81" i="22"/>
  <c r="CI81" i="22"/>
  <c r="CT81" i="22" s="1"/>
  <c r="BW81" i="22"/>
  <c r="BX81" i="22"/>
  <c r="CX14" i="22"/>
  <c r="CY14" i="22" s="1"/>
  <c r="CN14" i="22"/>
  <c r="BX14" i="22"/>
  <c r="CI14" i="22"/>
  <c r="CT14" i="22" s="1"/>
  <c r="BW14" i="22"/>
  <c r="CX65" i="22"/>
  <c r="CY65" i="22" s="1"/>
  <c r="CN65" i="22"/>
  <c r="BX65" i="22"/>
  <c r="CI65" i="22"/>
  <c r="CT65" i="22" s="1"/>
  <c r="BW65" i="22"/>
  <c r="CN82" i="22"/>
  <c r="CX82" i="22"/>
  <c r="CY82" i="22" s="1"/>
  <c r="CI82" i="22"/>
  <c r="CT82" i="22" s="1"/>
  <c r="BW82" i="22"/>
  <c r="BX82" i="22"/>
  <c r="CX69" i="22"/>
  <c r="CY69" i="22" s="1"/>
  <c r="CN69" i="22"/>
  <c r="CI69" i="22"/>
  <c r="CT69" i="22" s="1"/>
  <c r="BX69" i="22"/>
  <c r="BW69" i="22"/>
  <c r="CZ209" i="22"/>
  <c r="BX239" i="22"/>
  <c r="BW239" i="22"/>
  <c r="CX239" i="22"/>
  <c r="CY239" i="22" s="1"/>
  <c r="CN239" i="22"/>
  <c r="CI239" i="22"/>
  <c r="CT239" i="22" s="1"/>
  <c r="CZ215" i="22"/>
  <c r="CI352" i="22"/>
  <c r="CX352" i="22"/>
  <c r="CY352" i="22" s="1"/>
  <c r="CW352" i="22"/>
  <c r="CV352" i="22"/>
  <c r="CU352" i="22"/>
  <c r="CT352" i="22"/>
  <c r="CS352" i="22"/>
  <c r="CN352" i="22"/>
  <c r="BX352" i="22"/>
  <c r="BW352" i="22"/>
  <c r="CZ345" i="22"/>
  <c r="CX342" i="22"/>
  <c r="CY342" i="22" s="1"/>
  <c r="CW342" i="22"/>
  <c r="CV342" i="22"/>
  <c r="CU342" i="22"/>
  <c r="CT342" i="22"/>
  <c r="CS342" i="22"/>
  <c r="CI342" i="22"/>
  <c r="CN342" i="22"/>
  <c r="BX342" i="22"/>
  <c r="BW342" i="22"/>
  <c r="CV269" i="22"/>
  <c r="CU269" i="22"/>
  <c r="CT269" i="22"/>
  <c r="CS269" i="22"/>
  <c r="CI269" i="22"/>
  <c r="CX269" i="22"/>
  <c r="CY269" i="22" s="1"/>
  <c r="CW269" i="22"/>
  <c r="BX269" i="22"/>
  <c r="CN269" i="22"/>
  <c r="BW269" i="22"/>
  <c r="CX322" i="22"/>
  <c r="CY322" i="22" s="1"/>
  <c r="CW322" i="22"/>
  <c r="CV322" i="22"/>
  <c r="CI322" i="22"/>
  <c r="CU322" i="22"/>
  <c r="CT322" i="22"/>
  <c r="CS322" i="22"/>
  <c r="BW322" i="22"/>
  <c r="CN322" i="22"/>
  <c r="BX322" i="22"/>
  <c r="CZ273" i="22"/>
  <c r="CI266" i="22"/>
  <c r="CT266" i="22" s="1"/>
  <c r="CX266" i="22"/>
  <c r="CY266" i="22" s="1"/>
  <c r="CN266" i="22"/>
  <c r="BX266" i="22"/>
  <c r="BW266" i="22"/>
  <c r="CZ329" i="22"/>
  <c r="CZ315" i="22"/>
  <c r="CZ324" i="22"/>
  <c r="CX297" i="22"/>
  <c r="CY297" i="22" s="1"/>
  <c r="CW297" i="22"/>
  <c r="CV297" i="22"/>
  <c r="CU297" i="22"/>
  <c r="CT297" i="22"/>
  <c r="CS297" i="22"/>
  <c r="CI297" i="22"/>
  <c r="CN297" i="22"/>
  <c r="BX297" i="22"/>
  <c r="BW297" i="22"/>
  <c r="CZ267" i="22"/>
  <c r="CZ328" i="22"/>
  <c r="CZ320" i="22"/>
  <c r="CX295" i="22"/>
  <c r="CY295" i="22" s="1"/>
  <c r="CW295" i="22"/>
  <c r="CV295" i="22"/>
  <c r="CU295" i="22"/>
  <c r="CT295" i="22"/>
  <c r="CS295" i="22"/>
  <c r="CI295" i="22"/>
  <c r="CN295" i="22"/>
  <c r="BX295" i="22"/>
  <c r="BW295" i="22"/>
  <c r="CI285" i="22"/>
  <c r="CT285" i="22" s="1"/>
  <c r="CX285" i="22"/>
  <c r="CY285" i="22" s="1"/>
  <c r="BW285" i="22"/>
  <c r="CN285" i="22"/>
  <c r="BX285" i="22"/>
  <c r="CN203" i="22"/>
  <c r="CX203" i="22"/>
  <c r="CY203" i="22" s="1"/>
  <c r="BX203" i="22"/>
  <c r="BW203" i="22"/>
  <c r="CI203" i="22"/>
  <c r="CT203" i="22" s="1"/>
  <c r="CX61" i="22"/>
  <c r="CY61" i="22" s="1"/>
  <c r="CW61" i="22"/>
  <c r="CV61" i="22"/>
  <c r="CU61" i="22"/>
  <c r="CT61" i="22"/>
  <c r="CS61" i="22"/>
  <c r="BX61" i="22"/>
  <c r="CI61" i="22"/>
  <c r="BW61" i="22"/>
  <c r="CN61" i="22"/>
  <c r="CX9" i="22"/>
  <c r="CY9" i="22" s="1"/>
  <c r="BX9" i="22"/>
  <c r="CI9" i="22"/>
  <c r="CT9" i="22" s="1"/>
  <c r="BW9" i="22"/>
  <c r="CN9" i="22"/>
  <c r="CV52" i="22"/>
  <c r="CU52" i="22"/>
  <c r="CT52" i="22"/>
  <c r="CS52" i="22"/>
  <c r="CX52" i="22"/>
  <c r="CY52" i="22" s="1"/>
  <c r="CW52" i="22"/>
  <c r="CN52" i="22"/>
  <c r="BX52" i="22"/>
  <c r="CI52" i="22"/>
  <c r="BW52" i="22"/>
  <c r="CV70" i="22"/>
  <c r="CU70" i="22"/>
  <c r="CT70" i="22"/>
  <c r="CS70" i="22"/>
  <c r="CX70" i="22"/>
  <c r="CY70" i="22" s="1"/>
  <c r="CI70" i="22"/>
  <c r="BW70" i="22"/>
  <c r="BX70" i="22"/>
  <c r="CW70" i="22"/>
  <c r="CN70" i="22"/>
  <c r="CX83" i="22"/>
  <c r="CY83" i="22" s="1"/>
  <c r="CN83" i="22"/>
  <c r="BX83" i="22"/>
  <c r="CI83" i="22"/>
  <c r="CT83" i="22" s="1"/>
  <c r="BW83" i="22"/>
  <c r="CX24" i="22"/>
  <c r="CY24" i="22" s="1"/>
  <c r="BX24" i="22"/>
  <c r="CI24" i="22"/>
  <c r="CT24" i="22" s="1"/>
  <c r="BW24" i="22"/>
  <c r="CN24" i="22"/>
  <c r="CV76" i="22"/>
  <c r="CU76" i="22"/>
  <c r="CT76" i="22"/>
  <c r="CS76" i="22"/>
  <c r="CX76" i="22"/>
  <c r="CY76" i="22" s="1"/>
  <c r="CW76" i="22"/>
  <c r="CN76" i="22"/>
  <c r="CI76" i="22"/>
  <c r="BW76" i="22"/>
  <c r="BX76" i="22"/>
  <c r="CX241" i="22"/>
  <c r="CY241" i="22" s="1"/>
  <c r="CN241" i="22"/>
  <c r="BX241" i="22"/>
  <c r="BW241" i="22"/>
  <c r="CI241" i="22"/>
  <c r="CT241" i="22" s="1"/>
  <c r="CN231" i="22"/>
  <c r="CX231" i="22"/>
  <c r="CY231" i="22" s="1"/>
  <c r="BX231" i="22"/>
  <c r="BW231" i="22"/>
  <c r="CI231" i="22"/>
  <c r="CT231" i="22" s="1"/>
  <c r="CX354" i="22"/>
  <c r="CY354" i="22" s="1"/>
  <c r="CI354" i="22"/>
  <c r="CT354" i="22" s="1"/>
  <c r="BX354" i="22"/>
  <c r="BW354" i="22"/>
  <c r="CN354" i="22"/>
  <c r="CZ352" i="22"/>
  <c r="CU351" i="22"/>
  <c r="CI351" i="22"/>
  <c r="CT351" i="22"/>
  <c r="CS351" i="22"/>
  <c r="CX351" i="22"/>
  <c r="CY351" i="22" s="1"/>
  <c r="CW351" i="22"/>
  <c r="CN351" i="22"/>
  <c r="CV351" i="22"/>
  <c r="BX351" i="22"/>
  <c r="BW351" i="22"/>
  <c r="CX311" i="22"/>
  <c r="CY311" i="22" s="1"/>
  <c r="CI311" i="22"/>
  <c r="CT311" i="22" s="1"/>
  <c r="CN311" i="22"/>
  <c r="BW311" i="22"/>
  <c r="BX311" i="22"/>
  <c r="CZ348" i="22"/>
  <c r="CZ306" i="22"/>
  <c r="CV273" i="22"/>
  <c r="CU273" i="22"/>
  <c r="CT273" i="22"/>
  <c r="CS273" i="22"/>
  <c r="CI273" i="22"/>
  <c r="CX273" i="22"/>
  <c r="CY273" i="22" s="1"/>
  <c r="CW273" i="22"/>
  <c r="CN273" i="22"/>
  <c r="BW273" i="22"/>
  <c r="BX273" i="22"/>
  <c r="CI277" i="22"/>
  <c r="CT277" i="22" s="1"/>
  <c r="CX277" i="22"/>
  <c r="CY277" i="22" s="1"/>
  <c r="CN277" i="22"/>
  <c r="BW277" i="22"/>
  <c r="BX277" i="22"/>
  <c r="CI308" i="22"/>
  <c r="CT308" i="22" s="1"/>
  <c r="CX308" i="22"/>
  <c r="CY308" i="22" s="1"/>
  <c r="CN308" i="22"/>
  <c r="BX308" i="22"/>
  <c r="BW308" i="22"/>
  <c r="CZ272" i="22"/>
  <c r="CZ281" i="22"/>
  <c r="CZ319" i="22"/>
  <c r="CX293" i="22"/>
  <c r="CY293" i="22" s="1"/>
  <c r="CI293" i="22"/>
  <c r="CT293" i="22" s="1"/>
  <c r="CN293" i="22"/>
  <c r="BX293" i="22"/>
  <c r="BW293" i="22"/>
  <c r="CZ264" i="22"/>
  <c r="CZ202" i="22"/>
  <c r="CV23" i="22"/>
  <c r="CU23" i="22"/>
  <c r="CT23" i="22"/>
  <c r="CS23" i="22"/>
  <c r="CX23" i="22"/>
  <c r="CY23" i="22" s="1"/>
  <c r="BX23" i="22"/>
  <c r="CI23" i="22"/>
  <c r="BW23" i="22"/>
  <c r="CN23" i="22"/>
  <c r="CW23" i="22"/>
  <c r="CV78" i="22"/>
  <c r="CU78" i="22"/>
  <c r="CT78" i="22"/>
  <c r="CS78" i="22"/>
  <c r="CX78" i="22"/>
  <c r="CY78" i="22" s="1"/>
  <c r="CW78" i="22"/>
  <c r="CN78" i="22"/>
  <c r="CI78" i="22"/>
  <c r="BW78" i="22"/>
  <c r="BX78" i="22"/>
  <c r="CX19" i="22"/>
  <c r="CY19" i="22" s="1"/>
  <c r="CN19" i="22"/>
  <c r="BX19" i="22"/>
  <c r="CI19" i="22"/>
  <c r="CT19" i="22" s="1"/>
  <c r="BW19" i="22"/>
  <c r="CX44" i="22"/>
  <c r="CY44" i="22" s="1"/>
  <c r="CN44" i="22"/>
  <c r="BX44" i="22"/>
  <c r="CI44" i="22"/>
  <c r="CT44" i="22" s="1"/>
  <c r="BW44" i="22"/>
  <c r="BX205" i="22"/>
  <c r="BW205" i="22"/>
  <c r="CX205" i="22"/>
  <c r="CY205" i="22" s="1"/>
  <c r="CN205" i="22"/>
  <c r="CI205" i="22"/>
  <c r="CT205" i="22" s="1"/>
  <c r="BX229" i="22"/>
  <c r="BW229" i="22"/>
  <c r="CX229" i="22"/>
  <c r="CY229" i="22" s="1"/>
  <c r="CI229" i="22"/>
  <c r="CT229" i="22" s="1"/>
  <c r="CN229" i="22"/>
  <c r="BW219" i="22"/>
  <c r="CN219" i="22"/>
  <c r="CX219" i="22"/>
  <c r="CY219" i="22" s="1"/>
  <c r="BX219" i="22"/>
  <c r="CI219" i="22"/>
  <c r="CT219" i="22" s="1"/>
  <c r="CX215" i="22"/>
  <c r="CY215" i="22" s="1"/>
  <c r="BX215" i="22"/>
  <c r="BW215" i="22"/>
  <c r="CI215" i="22"/>
  <c r="CT215" i="22" s="1"/>
  <c r="CN215" i="22"/>
  <c r="BW211" i="22"/>
  <c r="CN211" i="22"/>
  <c r="CX211" i="22"/>
  <c r="CY211" i="22" s="1"/>
  <c r="CI211" i="22"/>
  <c r="CT211" i="22" s="1"/>
  <c r="BX211" i="22"/>
  <c r="CZ351" i="22"/>
  <c r="CI340" i="22"/>
  <c r="CT340" i="22" s="1"/>
  <c r="CX340" i="22"/>
  <c r="CY340" i="22" s="1"/>
  <c r="CN340" i="22"/>
  <c r="BX340" i="22"/>
  <c r="BW340" i="22"/>
  <c r="CE340" i="22" s="1"/>
  <c r="CX334" i="22"/>
  <c r="CY334" i="22" s="1"/>
  <c r="CW334" i="22"/>
  <c r="CV334" i="22"/>
  <c r="CI334" i="22"/>
  <c r="CU334" i="22"/>
  <c r="CT334" i="22"/>
  <c r="CS334" i="22"/>
  <c r="CN334" i="22"/>
  <c r="BX334" i="22"/>
  <c r="BW334" i="22"/>
  <c r="CU325" i="22"/>
  <c r="CT325" i="22"/>
  <c r="CS325" i="22"/>
  <c r="CI325" i="22"/>
  <c r="CX325" i="22"/>
  <c r="CY325" i="22" s="1"/>
  <c r="CW325" i="22"/>
  <c r="CV325" i="22"/>
  <c r="CN325" i="22"/>
  <c r="BW325" i="22"/>
  <c r="BX325" i="22"/>
  <c r="CI279" i="22"/>
  <c r="CT279" i="22" s="1"/>
  <c r="CN279" i="22"/>
  <c r="CX279" i="22"/>
  <c r="CY279" i="22" s="1"/>
  <c r="BX279" i="22"/>
  <c r="BW279" i="22"/>
  <c r="CI286" i="22"/>
  <c r="CX286" i="22"/>
  <c r="CY286" i="22" s="1"/>
  <c r="CW286" i="22"/>
  <c r="CV286" i="22"/>
  <c r="CU286" i="22"/>
  <c r="CT286" i="22"/>
  <c r="CS286" i="22"/>
  <c r="CN286" i="22"/>
  <c r="BW286" i="22"/>
  <c r="BX286" i="22"/>
  <c r="CI276" i="22"/>
  <c r="CX276" i="22"/>
  <c r="CY276" i="22" s="1"/>
  <c r="CW276" i="22"/>
  <c r="CV276" i="22"/>
  <c r="CU276" i="22"/>
  <c r="CT276" i="22"/>
  <c r="CS276" i="22"/>
  <c r="CN276" i="22"/>
  <c r="BW276" i="22"/>
  <c r="BX276" i="22"/>
  <c r="CI287" i="22"/>
  <c r="CT287" i="22" s="1"/>
  <c r="CX287" i="22"/>
  <c r="CY287" i="22" s="1"/>
  <c r="CN287" i="22"/>
  <c r="BW287" i="22"/>
  <c r="BX287" i="22"/>
  <c r="CX79" i="22"/>
  <c r="CY79" i="22" s="1"/>
  <c r="CW79" i="22"/>
  <c r="CV79" i="22"/>
  <c r="CU79" i="22"/>
  <c r="CT79" i="22"/>
  <c r="CS79" i="22"/>
  <c r="CN79" i="22"/>
  <c r="CI79" i="22"/>
  <c r="BW79" i="22"/>
  <c r="BX79" i="22"/>
  <c r="CX39" i="22"/>
  <c r="CY39" i="22" s="1"/>
  <c r="CN39" i="22"/>
  <c r="BX39" i="22"/>
  <c r="CI39" i="22"/>
  <c r="CT39" i="22" s="1"/>
  <c r="BW39" i="22"/>
  <c r="CX67" i="22"/>
  <c r="CY67" i="22" s="1"/>
  <c r="CN67" i="22"/>
  <c r="BX67" i="22"/>
  <c r="CI67" i="22"/>
  <c r="CT67" i="22" s="1"/>
  <c r="BW67" i="22"/>
  <c r="CX73" i="22"/>
  <c r="CY73" i="22" s="1"/>
  <c r="CI73" i="22"/>
  <c r="CT73" i="22" s="1"/>
  <c r="BW73" i="22"/>
  <c r="BX73" i="22"/>
  <c r="CN73" i="22"/>
  <c r="CX66" i="22"/>
  <c r="CY66" i="22" s="1"/>
  <c r="CN66" i="22"/>
  <c r="BX66" i="22"/>
  <c r="CI66" i="22"/>
  <c r="CT66" i="22" s="1"/>
  <c r="BW66" i="22"/>
  <c r="CX56" i="22"/>
  <c r="CY56" i="22" s="1"/>
  <c r="CN56" i="22"/>
  <c r="BX56" i="22"/>
  <c r="CI56" i="22"/>
  <c r="CT56" i="22" s="1"/>
  <c r="BW56" i="22"/>
  <c r="CN238" i="22"/>
  <c r="CX238" i="22"/>
  <c r="CY238" i="22" s="1"/>
  <c r="BX238" i="22"/>
  <c r="BW238" i="22"/>
  <c r="CI238" i="22"/>
  <c r="CT238" i="22" s="1"/>
  <c r="CZ219" i="22"/>
  <c r="CN225" i="22"/>
  <c r="CX225" i="22"/>
  <c r="CY225" i="22" s="1"/>
  <c r="CI225" i="22"/>
  <c r="CT225" i="22" s="1"/>
  <c r="BX225" i="22"/>
  <c r="BW225" i="22"/>
  <c r="CZ337" i="22"/>
  <c r="CZ340" i="22"/>
  <c r="CZ342" i="22"/>
  <c r="CX270" i="22"/>
  <c r="CY270" i="22" s="1"/>
  <c r="CI270" i="22"/>
  <c r="CT270" i="22" s="1"/>
  <c r="CN270" i="22"/>
  <c r="BX270" i="22"/>
  <c r="BW270" i="22"/>
  <c r="CX301" i="22"/>
  <c r="CY301" i="22" s="1"/>
  <c r="CI301" i="22"/>
  <c r="CT301" i="22" s="1"/>
  <c r="CN301" i="22"/>
  <c r="BW301" i="22"/>
  <c r="BX301" i="22"/>
  <c r="CI333" i="22"/>
  <c r="CT333" i="22" s="1"/>
  <c r="CX333" i="22"/>
  <c r="CY333" i="22" s="1"/>
  <c r="CN333" i="22"/>
  <c r="BX333" i="22"/>
  <c r="BW333" i="22"/>
  <c r="CX329" i="22"/>
  <c r="CY329" i="22" s="1"/>
  <c r="CI329" i="22"/>
  <c r="CT329" i="22" s="1"/>
  <c r="BX329" i="22"/>
  <c r="CN329" i="22"/>
  <c r="BW329" i="22"/>
  <c r="CI323" i="22"/>
  <c r="CT323" i="22" s="1"/>
  <c r="CX323" i="22"/>
  <c r="CY323" i="22" s="1"/>
  <c r="CN323" i="22"/>
  <c r="BW323" i="22"/>
  <c r="CE323" i="22" s="1"/>
  <c r="BX323" i="22"/>
  <c r="CI315" i="22"/>
  <c r="CT315" i="22" s="1"/>
  <c r="CX315" i="22"/>
  <c r="CY315" i="22" s="1"/>
  <c r="CN315" i="22"/>
  <c r="BX315" i="22"/>
  <c r="BW315" i="22"/>
  <c r="CX324" i="22"/>
  <c r="CY324" i="22" s="1"/>
  <c r="CI324" i="22"/>
  <c r="CW324" i="22"/>
  <c r="CV324" i="22"/>
  <c r="CU324" i="22"/>
  <c r="CT324" i="22"/>
  <c r="CS324" i="22"/>
  <c r="CN324" i="22"/>
  <c r="BW324" i="22"/>
  <c r="BX324" i="22"/>
  <c r="CX299" i="22"/>
  <c r="CY299" i="22" s="1"/>
  <c r="CW299" i="22"/>
  <c r="CV299" i="22"/>
  <c r="CU299" i="22"/>
  <c r="CI299" i="22"/>
  <c r="CT299" i="22"/>
  <c r="CS299" i="22"/>
  <c r="CN299" i="22"/>
  <c r="BW299" i="22"/>
  <c r="BX299" i="22"/>
  <c r="CV206" i="22"/>
  <c r="BW206" i="22"/>
  <c r="CU206" i="22"/>
  <c r="CT206" i="22"/>
  <c r="CS206" i="22"/>
  <c r="CX206" i="22"/>
  <c r="CY206" i="22" s="1"/>
  <c r="CN206" i="22"/>
  <c r="BX206" i="22"/>
  <c r="CW206" i="22"/>
  <c r="CI206" i="22"/>
  <c r="CN202" i="22"/>
  <c r="BX202" i="22"/>
  <c r="BW202" i="22"/>
  <c r="CX202" i="22"/>
  <c r="CY202" i="22" s="1"/>
  <c r="CI202" i="22"/>
  <c r="CT202" i="22" s="1"/>
  <c r="CX85" i="22"/>
  <c r="CY85" i="22" s="1"/>
  <c r="CI85" i="22"/>
  <c r="CT85" i="22" s="1"/>
  <c r="BW85" i="22"/>
  <c r="BX85" i="22"/>
  <c r="CN85" i="22"/>
  <c r="CX77" i="22"/>
  <c r="CY77" i="22" s="1"/>
  <c r="CW77" i="22"/>
  <c r="CV77" i="22"/>
  <c r="CU77" i="22"/>
  <c r="CT77" i="22"/>
  <c r="CS77" i="22"/>
  <c r="CN77" i="22"/>
  <c r="CI77" i="22"/>
  <c r="BW77" i="22"/>
  <c r="BX77" i="22"/>
  <c r="CV58" i="22"/>
  <c r="CU58" i="22"/>
  <c r="CT58" i="22"/>
  <c r="CS58" i="22"/>
  <c r="CX58" i="22"/>
  <c r="CY58" i="22" s="1"/>
  <c r="CW58" i="22"/>
  <c r="BW58" i="22"/>
  <c r="BX58" i="22"/>
  <c r="CI58" i="22"/>
  <c r="CN58" i="22"/>
  <c r="CX27" i="22"/>
  <c r="CY27" i="22" s="1"/>
  <c r="CN27" i="22"/>
  <c r="BX27" i="22"/>
  <c r="CI27" i="22"/>
  <c r="CT27" i="22" s="1"/>
  <c r="BW27" i="22"/>
  <c r="CX213" i="22"/>
  <c r="CY213" i="22" s="1"/>
  <c r="CN213" i="22"/>
  <c r="BX213" i="22"/>
  <c r="BW213" i="22"/>
  <c r="CI213" i="22"/>
  <c r="CT213" i="22" s="1"/>
  <c r="CZ239" i="22"/>
  <c r="CN244" i="22"/>
  <c r="CX244" i="22"/>
  <c r="CY244" i="22" s="1"/>
  <c r="BW244" i="22"/>
  <c r="BX244" i="22"/>
  <c r="CI244" i="22"/>
  <c r="CT244" i="22" s="1"/>
  <c r="BX236" i="22"/>
  <c r="BW236" i="22"/>
  <c r="CE236" i="22" s="1"/>
  <c r="CX236" i="22"/>
  <c r="CY236" i="22" s="1"/>
  <c r="CN236" i="22"/>
  <c r="CI236" i="22"/>
  <c r="CT236" i="22" s="1"/>
  <c r="BX232" i="22"/>
  <c r="CN232" i="22"/>
  <c r="BW232" i="22"/>
  <c r="CX232" i="22"/>
  <c r="CY232" i="22" s="1"/>
  <c r="CI232" i="22"/>
  <c r="CT232" i="22" s="1"/>
  <c r="CI349" i="22"/>
  <c r="CT349" i="22" s="1"/>
  <c r="CX349" i="22"/>
  <c r="CY349" i="22" s="1"/>
  <c r="CN349" i="22"/>
  <c r="BW349" i="22"/>
  <c r="BX349" i="22"/>
  <c r="CX336" i="22"/>
  <c r="CY336" i="22" s="1"/>
  <c r="CI336" i="22"/>
  <c r="CT336" i="22" s="1"/>
  <c r="CN336" i="22"/>
  <c r="BW336" i="22"/>
  <c r="BX336" i="22"/>
  <c r="CX294" i="22"/>
  <c r="CY294" i="22" s="1"/>
  <c r="CW294" i="22"/>
  <c r="CV294" i="22"/>
  <c r="CI294" i="22"/>
  <c r="CU294" i="22"/>
  <c r="CT294" i="22"/>
  <c r="CN294" i="22"/>
  <c r="CS294" i="22"/>
  <c r="BX294" i="22"/>
  <c r="BW294" i="22"/>
  <c r="CZ270" i="22"/>
  <c r="CX272" i="22"/>
  <c r="CY272" i="22" s="1"/>
  <c r="CW272" i="22"/>
  <c r="CV272" i="22"/>
  <c r="CI272" i="22"/>
  <c r="CU272" i="22"/>
  <c r="CT272" i="22"/>
  <c r="CS272" i="22"/>
  <c r="CN272" i="22"/>
  <c r="BX272" i="22"/>
  <c r="BW272" i="22"/>
  <c r="CE272" i="22" s="1"/>
  <c r="CI288" i="22"/>
  <c r="CT288" i="22" s="1"/>
  <c r="CX288" i="22"/>
  <c r="CY288" i="22" s="1"/>
  <c r="CN288" i="22"/>
  <c r="BW288" i="22"/>
  <c r="BX288" i="22"/>
  <c r="CZ330" i="22"/>
  <c r="CU319" i="22"/>
  <c r="CT319" i="22"/>
  <c r="CS319" i="22"/>
  <c r="CI319" i="22"/>
  <c r="CX319" i="22"/>
  <c r="CY319" i="22" s="1"/>
  <c r="CW319" i="22"/>
  <c r="CN319" i="22"/>
  <c r="CV319" i="22"/>
  <c r="BX319" i="22"/>
  <c r="BW319" i="22"/>
  <c r="CI303" i="22"/>
  <c r="CT303" i="22" s="1"/>
  <c r="CX303" i="22"/>
  <c r="CY303" i="22" s="1"/>
  <c r="CN303" i="22"/>
  <c r="BX303" i="22"/>
  <c r="BW303" i="22"/>
  <c r="CT310" i="22"/>
  <c r="CS310" i="22"/>
  <c r="CI310" i="22"/>
  <c r="CX310" i="22"/>
  <c r="CY310" i="22" s="1"/>
  <c r="CW310" i="22"/>
  <c r="CV310" i="22"/>
  <c r="CU310" i="22"/>
  <c r="CN310" i="22"/>
  <c r="BW310" i="22"/>
  <c r="BX310" i="22"/>
  <c r="CZ286" i="22"/>
  <c r="CI328" i="22"/>
  <c r="CT328" i="22" s="1"/>
  <c r="CX328" i="22"/>
  <c r="CY328" i="22" s="1"/>
  <c r="CN328" i="22"/>
  <c r="BX328" i="22"/>
  <c r="BW328" i="22"/>
  <c r="CZ283" i="22"/>
  <c r="CI261" i="22"/>
  <c r="CT261" i="22" s="1"/>
  <c r="CX261" i="22"/>
  <c r="CY261" i="22" s="1"/>
  <c r="BX261" i="22"/>
  <c r="CN261" i="22"/>
  <c r="BW261" i="22"/>
  <c r="CZ287" i="22"/>
  <c r="CV46" i="22"/>
  <c r="CU46" i="22"/>
  <c r="CT46" i="22"/>
  <c r="CS46" i="22"/>
  <c r="CX46" i="22"/>
  <c r="CY46" i="22" s="1"/>
  <c r="CI46" i="22"/>
  <c r="BX46" i="22"/>
  <c r="BW46" i="22"/>
  <c r="CW46" i="22"/>
  <c r="CN46" i="22"/>
  <c r="CX53" i="22"/>
  <c r="CY53" i="22" s="1"/>
  <c r="CN53" i="22"/>
  <c r="BX53" i="22"/>
  <c r="CI53" i="22"/>
  <c r="CT53" i="22" s="1"/>
  <c r="BW53" i="22"/>
  <c r="CX22" i="22"/>
  <c r="CY22" i="22" s="1"/>
  <c r="BX22" i="22"/>
  <c r="CI22" i="22"/>
  <c r="CT22" i="22" s="1"/>
  <c r="BW22" i="22"/>
  <c r="CN22" i="22"/>
  <c r="CX51" i="22"/>
  <c r="CY51" i="22" s="1"/>
  <c r="CW51" i="22"/>
  <c r="CV51" i="22"/>
  <c r="CU51" i="22"/>
  <c r="CT51" i="22"/>
  <c r="CS51" i="22"/>
  <c r="CN51" i="22"/>
  <c r="BX51" i="22"/>
  <c r="CI51" i="22"/>
  <c r="BW51" i="22"/>
  <c r="CX38" i="22"/>
  <c r="CY38" i="22" s="1"/>
  <c r="CN38" i="22"/>
  <c r="BX38" i="22"/>
  <c r="CI38" i="22"/>
  <c r="CT38" i="22" s="1"/>
  <c r="BW38" i="22"/>
  <c r="CN214" i="22"/>
  <c r="BX214" i="22"/>
  <c r="BW214" i="22"/>
  <c r="CX214" i="22"/>
  <c r="CY214" i="22" s="1"/>
  <c r="CI214" i="22"/>
  <c r="CT214" i="22" s="1"/>
  <c r="CZ241" i="22"/>
  <c r="CZ222" i="22"/>
  <c r="BW240" i="22"/>
  <c r="CN240" i="22"/>
  <c r="CX240" i="22"/>
  <c r="CY240" i="22" s="1"/>
  <c r="BX240" i="22"/>
  <c r="CI240" i="22"/>
  <c r="CT240" i="22" s="1"/>
  <c r="CI337" i="22"/>
  <c r="CT337" i="22" s="1"/>
  <c r="CX337" i="22"/>
  <c r="CY337" i="22" s="1"/>
  <c r="CN337" i="22"/>
  <c r="BW337" i="22"/>
  <c r="BX337" i="22"/>
  <c r="CI355" i="22"/>
  <c r="CT355" i="22" s="1"/>
  <c r="CX355" i="22"/>
  <c r="CY355" i="22" s="1"/>
  <c r="CN355" i="22"/>
  <c r="BX355" i="22"/>
  <c r="BW355" i="22"/>
  <c r="CZ318" i="22"/>
  <c r="CZ301" i="22"/>
  <c r="CZ334" i="22"/>
  <c r="CX292" i="22"/>
  <c r="CY292" i="22" s="1"/>
  <c r="CI292" i="22"/>
  <c r="CT292" i="22" s="1"/>
  <c r="CN292" i="22"/>
  <c r="BX292" i="22"/>
  <c r="BW292" i="22"/>
  <c r="CZ333" i="22"/>
  <c r="CZ323" i="22"/>
  <c r="CZ314" i="22"/>
  <c r="CI283" i="22"/>
  <c r="CT283" i="22" s="1"/>
  <c r="CN283" i="22"/>
  <c r="CX283" i="22"/>
  <c r="CY283" i="22" s="1"/>
  <c r="BX283" i="22"/>
  <c r="BW283" i="22"/>
  <c r="CV204" i="22"/>
  <c r="CN204" i="22"/>
  <c r="CU204" i="22"/>
  <c r="CT204" i="22"/>
  <c r="CS204" i="22"/>
  <c r="CX204" i="22"/>
  <c r="CY204" i="22" s="1"/>
  <c r="BX204" i="22"/>
  <c r="CW204" i="22"/>
  <c r="BW204" i="22"/>
  <c r="CE204" i="22" s="1"/>
  <c r="CI204" i="22"/>
  <c r="CX18" i="22"/>
  <c r="CY18" i="22" s="1"/>
  <c r="CN18" i="22"/>
  <c r="BX18" i="22"/>
  <c r="CI18" i="22"/>
  <c r="CT18" i="22" s="1"/>
  <c r="BW18" i="22"/>
  <c r="CE18" i="22" s="1"/>
  <c r="CX47" i="22"/>
  <c r="CY47" i="22" s="1"/>
  <c r="CW47" i="22"/>
  <c r="CV47" i="22"/>
  <c r="CU47" i="22"/>
  <c r="CT47" i="22"/>
  <c r="CS47" i="22"/>
  <c r="BX47" i="22"/>
  <c r="CI47" i="22"/>
  <c r="BW47" i="22"/>
  <c r="CN47" i="22"/>
  <c r="CX13" i="22"/>
  <c r="CY13" i="22" s="1"/>
  <c r="BX13" i="22"/>
  <c r="CN13" i="22"/>
  <c r="CX30" i="22"/>
  <c r="CY30" i="22" s="1"/>
  <c r="CN30" i="22"/>
  <c r="BX30" i="22"/>
  <c r="CI30" i="22"/>
  <c r="CT30" i="22" s="1"/>
  <c r="BW30" i="22"/>
  <c r="CX17" i="22"/>
  <c r="CY17" i="22" s="1"/>
  <c r="CN17" i="22"/>
  <c r="BX17" i="22"/>
  <c r="CI17" i="22"/>
  <c r="CT17" i="22" s="1"/>
  <c r="BW17" i="22"/>
  <c r="CX71" i="22"/>
  <c r="CY71" i="22" s="1"/>
  <c r="CW71" i="22"/>
  <c r="CV71" i="22"/>
  <c r="CU71" i="22"/>
  <c r="CT71" i="22"/>
  <c r="CS71" i="22"/>
  <c r="BX71" i="22"/>
  <c r="CI71" i="22"/>
  <c r="BW71" i="22"/>
  <c r="CN71" i="22"/>
  <c r="CX36" i="22"/>
  <c r="CY36" i="22" s="1"/>
  <c r="BX36" i="22"/>
  <c r="CI36" i="22"/>
  <c r="CT36" i="22" s="1"/>
  <c r="BW36" i="22"/>
  <c r="CN36" i="22"/>
  <c r="CV223" i="22"/>
  <c r="CU223" i="22"/>
  <c r="CT223" i="22"/>
  <c r="CS223" i="22"/>
  <c r="BX223" i="22"/>
  <c r="BW223" i="22"/>
  <c r="CX223" i="22"/>
  <c r="CY223" i="22" s="1"/>
  <c r="CN223" i="22"/>
  <c r="CI223" i="22"/>
  <c r="CW223" i="22"/>
  <c r="CZ343" i="22"/>
  <c r="CU341" i="22"/>
  <c r="CT341" i="22"/>
  <c r="CS341" i="22"/>
  <c r="CX341" i="22"/>
  <c r="CY341" i="22" s="1"/>
  <c r="CW341" i="22"/>
  <c r="CI341" i="22"/>
  <c r="CV341" i="22"/>
  <c r="CN341" i="22"/>
  <c r="BX341" i="22"/>
  <c r="BW341" i="22"/>
  <c r="CZ294" i="22"/>
  <c r="CX296" i="22"/>
  <c r="CY296" i="22" s="1"/>
  <c r="CI296" i="22"/>
  <c r="CT296" i="22" s="1"/>
  <c r="CN296" i="22"/>
  <c r="BX296" i="22"/>
  <c r="BW296" i="22"/>
  <c r="CX305" i="22"/>
  <c r="CY305" i="22" s="1"/>
  <c r="CW305" i="22"/>
  <c r="CV305" i="22"/>
  <c r="CU305" i="22"/>
  <c r="CT305" i="22"/>
  <c r="CS305" i="22"/>
  <c r="CI305" i="22"/>
  <c r="BX305" i="22"/>
  <c r="BW305" i="22"/>
  <c r="CN305" i="22"/>
  <c r="CZ327" i="22"/>
  <c r="CZ317" i="22"/>
  <c r="CI290" i="22"/>
  <c r="CT290" i="22" s="1"/>
  <c r="CX290" i="22"/>
  <c r="CY290" i="22" s="1"/>
  <c r="CN290" i="22"/>
  <c r="BW290" i="22"/>
  <c r="BX290" i="22"/>
  <c r="CZ310" i="22"/>
  <c r="CX262" i="22"/>
  <c r="CY262" i="22" s="1"/>
  <c r="CI262" i="22"/>
  <c r="CW262" i="22"/>
  <c r="CV262" i="22"/>
  <c r="CU262" i="22"/>
  <c r="CT262" i="22"/>
  <c r="CS262" i="22"/>
  <c r="CN262" i="22"/>
  <c r="BW262" i="22"/>
  <c r="BX262" i="22"/>
  <c r="CZ326" i="22"/>
  <c r="CI312" i="22"/>
  <c r="CT312" i="22" s="1"/>
  <c r="CX312" i="22"/>
  <c r="CY312" i="22" s="1"/>
  <c r="CN312" i="22"/>
  <c r="BW312" i="22"/>
  <c r="BX312" i="22"/>
  <c r="CZ299" i="22"/>
  <c r="CX309" i="22"/>
  <c r="CY309" i="22" s="1"/>
  <c r="CI309" i="22"/>
  <c r="CT309" i="22" s="1"/>
  <c r="BW309" i="22"/>
  <c r="BX309" i="22"/>
  <c r="CN309" i="22"/>
  <c r="CZ261" i="22"/>
  <c r="CX54" i="22"/>
  <c r="CY54" i="22" s="1"/>
  <c r="CN54" i="22"/>
  <c r="BX54" i="22"/>
  <c r="CI54" i="22"/>
  <c r="CT54" i="22" s="1"/>
  <c r="BW54" i="22"/>
  <c r="CV80" i="22"/>
  <c r="CU80" i="22"/>
  <c r="CT80" i="22"/>
  <c r="CS80" i="22"/>
  <c r="CN80" i="22"/>
  <c r="CX80" i="22"/>
  <c r="CY80" i="22" s="1"/>
  <c r="CW80" i="22"/>
  <c r="CI80" i="22"/>
  <c r="BW80" i="22"/>
  <c r="BX80" i="22"/>
  <c r="CX32" i="22"/>
  <c r="CY32" i="22" s="1"/>
  <c r="CN32" i="22"/>
  <c r="BX32" i="22"/>
  <c r="CI32" i="22"/>
  <c r="CT32" i="22" s="1"/>
  <c r="BW32" i="22"/>
  <c r="CX86" i="22"/>
  <c r="CY86" i="22" s="1"/>
  <c r="BX86" i="22"/>
  <c r="CN86" i="22"/>
  <c r="CI86" i="22"/>
  <c r="CT86" i="22" s="1"/>
  <c r="BW86" i="22"/>
  <c r="CN84" i="22"/>
  <c r="CX84" i="22"/>
  <c r="CY84" i="22" s="1"/>
  <c r="CI84" i="22"/>
  <c r="CT84" i="22" s="1"/>
  <c r="BW84" i="22"/>
  <c r="BX84" i="22"/>
  <c r="CX26" i="22"/>
  <c r="CY26" i="22" s="1"/>
  <c r="CN26" i="22"/>
  <c r="BX26" i="22"/>
  <c r="CI26" i="22"/>
  <c r="CT26" i="22" s="1"/>
  <c r="BW26" i="22"/>
  <c r="CX224" i="22"/>
  <c r="CY224" i="22" s="1"/>
  <c r="BX224" i="22"/>
  <c r="BW224" i="22"/>
  <c r="CN224" i="22"/>
  <c r="CI224" i="22"/>
  <c r="CT224" i="22" s="1"/>
  <c r="CX243" i="22"/>
  <c r="CY243" i="22" s="1"/>
  <c r="BX243" i="22"/>
  <c r="BW243" i="22"/>
  <c r="CI243" i="22"/>
  <c r="CT243" i="22" s="1"/>
  <c r="CN243" i="22"/>
  <c r="CZ237" i="22"/>
  <c r="CZ353" i="22"/>
  <c r="CI350" i="22"/>
  <c r="CT350" i="22" s="1"/>
  <c r="CX350" i="22"/>
  <c r="CY350" i="22" s="1"/>
  <c r="CN350" i="22"/>
  <c r="BW350" i="22"/>
  <c r="CE350" i="22" s="1"/>
  <c r="BX350" i="22"/>
  <c r="CX348" i="22"/>
  <c r="CY348" i="22" s="1"/>
  <c r="CI348" i="22"/>
  <c r="CW348" i="22"/>
  <c r="CV348" i="22"/>
  <c r="CU348" i="22"/>
  <c r="CT348" i="22"/>
  <c r="CS348" i="22"/>
  <c r="CN348" i="22"/>
  <c r="BW348" i="22"/>
  <c r="BX348" i="22"/>
  <c r="CX344" i="22"/>
  <c r="CY344" i="22" s="1"/>
  <c r="CW344" i="22"/>
  <c r="CV344" i="22"/>
  <c r="CU344" i="22"/>
  <c r="CT344" i="22"/>
  <c r="CI344" i="22"/>
  <c r="CS344" i="22"/>
  <c r="CN344" i="22"/>
  <c r="BX344" i="22"/>
  <c r="BW344" i="22"/>
  <c r="CE344" i="22" s="1"/>
  <c r="CZ332" i="22"/>
  <c r="CZ292" i="22"/>
  <c r="CX330" i="22"/>
  <c r="CY330" i="22" s="1"/>
  <c r="CI330" i="22"/>
  <c r="CT330" i="22" s="1"/>
  <c r="BX330" i="22"/>
  <c r="CN330" i="22"/>
  <c r="BW330" i="22"/>
  <c r="CZ331" i="22"/>
  <c r="CX274" i="22"/>
  <c r="CY274" i="22" s="1"/>
  <c r="CI274" i="22"/>
  <c r="CW274" i="22"/>
  <c r="CV274" i="22"/>
  <c r="CU274" i="22"/>
  <c r="CT274" i="22"/>
  <c r="CS274" i="22"/>
  <c r="CN274" i="22"/>
  <c r="BW274" i="22"/>
  <c r="BX274" i="22"/>
  <c r="CI278" i="22"/>
  <c r="CT278" i="22" s="1"/>
  <c r="CX278" i="22"/>
  <c r="CY278" i="22" s="1"/>
  <c r="CN278" i="22"/>
  <c r="BX278" i="22"/>
  <c r="BW278" i="22"/>
  <c r="CX307" i="22"/>
  <c r="CY307" i="22" s="1"/>
  <c r="CW307" i="22"/>
  <c r="CV307" i="22"/>
  <c r="CU307" i="22"/>
  <c r="CT307" i="22"/>
  <c r="CS307" i="22"/>
  <c r="CI307" i="22"/>
  <c r="CN307" i="22"/>
  <c r="BX307" i="22"/>
  <c r="BW307" i="22"/>
  <c r="CZ271" i="22"/>
  <c r="CX304" i="22"/>
  <c r="CY304" i="22" s="1"/>
  <c r="CI304" i="22"/>
  <c r="CT304" i="22" s="1"/>
  <c r="BX304" i="22"/>
  <c r="CN304" i="22"/>
  <c r="BW304" i="22"/>
  <c r="CZ204" i="22"/>
  <c r="CX29" i="22"/>
  <c r="CY29" i="22" s="1"/>
  <c r="CN29" i="22"/>
  <c r="BX29" i="22"/>
  <c r="CI29" i="22"/>
  <c r="CT29" i="22" s="1"/>
  <c r="BW29" i="22"/>
  <c r="CX28" i="22"/>
  <c r="CY28" i="22" s="1"/>
  <c r="CN28" i="22"/>
  <c r="BX28" i="22"/>
  <c r="CI28" i="22"/>
  <c r="CT28" i="22" s="1"/>
  <c r="BW28" i="22"/>
  <c r="CV64" i="22"/>
  <c r="CU64" i="22"/>
  <c r="CT64" i="22"/>
  <c r="CS64" i="22"/>
  <c r="CX64" i="22"/>
  <c r="CY64" i="22" s="1"/>
  <c r="CN64" i="22"/>
  <c r="CW64" i="22"/>
  <c r="BX64" i="22"/>
  <c r="CI64" i="22"/>
  <c r="BW64" i="22"/>
  <c r="CX15" i="22"/>
  <c r="CY15" i="22" s="1"/>
  <c r="CN15" i="22"/>
  <c r="BX15" i="22"/>
  <c r="CI15" i="22"/>
  <c r="CT15" i="22" s="1"/>
  <c r="BW15" i="22"/>
  <c r="CX12" i="22"/>
  <c r="CY12" i="22" s="1"/>
  <c r="BX12" i="22"/>
  <c r="BW12" i="22"/>
  <c r="CN12" i="22"/>
  <c r="CI12" i="22"/>
  <c r="CT12" i="22" s="1"/>
  <c r="BX217" i="22"/>
  <c r="BW217" i="22"/>
  <c r="CN217" i="22"/>
  <c r="CX217" i="22"/>
  <c r="CY217" i="22" s="1"/>
  <c r="CW217" i="22"/>
  <c r="CV217" i="22"/>
  <c r="CU217" i="22"/>
  <c r="CT217" i="22"/>
  <c r="CS217" i="22"/>
  <c r="CI217" i="22"/>
  <c r="BX235" i="22"/>
  <c r="CX235" i="22"/>
  <c r="CY235" i="22" s="1"/>
  <c r="CW235" i="22"/>
  <c r="CV235" i="22"/>
  <c r="CN235" i="22"/>
  <c r="CU235" i="22"/>
  <c r="CT235" i="22"/>
  <c r="CS235" i="22"/>
  <c r="CI235" i="22"/>
  <c r="BW235" i="22"/>
  <c r="BW227" i="22"/>
  <c r="CN227" i="22"/>
  <c r="CX227" i="22"/>
  <c r="CY227" i="22" s="1"/>
  <c r="CI227" i="22"/>
  <c r="CT227" i="22" s="1"/>
  <c r="BX227" i="22"/>
  <c r="CX353" i="22"/>
  <c r="CY353" i="22" s="1"/>
  <c r="CI353" i="22"/>
  <c r="CT353" i="22" s="1"/>
  <c r="BX353" i="22"/>
  <c r="BW353" i="22"/>
  <c r="CN353" i="22"/>
  <c r="CI347" i="22"/>
  <c r="CT347" i="22" s="1"/>
  <c r="CX347" i="22"/>
  <c r="CY347" i="22" s="1"/>
  <c r="CN347" i="22"/>
  <c r="BW347" i="22"/>
  <c r="BX347" i="22"/>
  <c r="CX318" i="22"/>
  <c r="CY318" i="22" s="1"/>
  <c r="CW318" i="22"/>
  <c r="CV318" i="22"/>
  <c r="CU318" i="22"/>
  <c r="CT318" i="22"/>
  <c r="CS318" i="22"/>
  <c r="CI318" i="22"/>
  <c r="BX318" i="22"/>
  <c r="CN318" i="22"/>
  <c r="BW318" i="22"/>
  <c r="CX289" i="22"/>
  <c r="CY289" i="22" s="1"/>
  <c r="CI289" i="22"/>
  <c r="CT289" i="22" s="1"/>
  <c r="CN289" i="22"/>
  <c r="BW289" i="22"/>
  <c r="BX289" i="22"/>
  <c r="CV265" i="22"/>
  <c r="CU265" i="22"/>
  <c r="CI265" i="22"/>
  <c r="CT265" i="22"/>
  <c r="CS265" i="22"/>
  <c r="CX265" i="22"/>
  <c r="CY265" i="22" s="1"/>
  <c r="CW265" i="22"/>
  <c r="CN265" i="22"/>
  <c r="BW265" i="22"/>
  <c r="BX265" i="22"/>
  <c r="CU327" i="22"/>
  <c r="CI327" i="22"/>
  <c r="CT327" i="22"/>
  <c r="CS327" i="22"/>
  <c r="CX327" i="22"/>
  <c r="CY327" i="22" s="1"/>
  <c r="CW327" i="22"/>
  <c r="CN327" i="22"/>
  <c r="CV327" i="22"/>
  <c r="BX327" i="22"/>
  <c r="BW327" i="22"/>
  <c r="CI314" i="22"/>
  <c r="CT314" i="22" s="1"/>
  <c r="CX314" i="22"/>
  <c r="CY314" i="22" s="1"/>
  <c r="CN314" i="22"/>
  <c r="BW314" i="22"/>
  <c r="BX314" i="22"/>
  <c r="CV88" i="22"/>
  <c r="CU88" i="22"/>
  <c r="CN88" i="22"/>
  <c r="CT88" i="22"/>
  <c r="CS88" i="22"/>
  <c r="CX88" i="22"/>
  <c r="CY88" i="22" s="1"/>
  <c r="CW88" i="22"/>
  <c r="CI88" i="22"/>
  <c r="BW88" i="22"/>
  <c r="BX88" i="22"/>
  <c r="CX49" i="22"/>
  <c r="CY49" i="22" s="1"/>
  <c r="CW49" i="22"/>
  <c r="CV49" i="22"/>
  <c r="CU49" i="22"/>
  <c r="CT49" i="22"/>
  <c r="CS49" i="22"/>
  <c r="BX49" i="22"/>
  <c r="CI49" i="22"/>
  <c r="BW49" i="22"/>
  <c r="CN49" i="22"/>
  <c r="CX63" i="22"/>
  <c r="CY63" i="22" s="1"/>
  <c r="CW63" i="22"/>
  <c r="CV63" i="22"/>
  <c r="CU63" i="22"/>
  <c r="CT63" i="22"/>
  <c r="CS63" i="22"/>
  <c r="CN63" i="22"/>
  <c r="BX63" i="22"/>
  <c r="CI63" i="22"/>
  <c r="BW63" i="22"/>
  <c r="CX41" i="22"/>
  <c r="CY41" i="22" s="1"/>
  <c r="CN41" i="22"/>
  <c r="BX41" i="22"/>
  <c r="CI41" i="22"/>
  <c r="CT41" i="22" s="1"/>
  <c r="BW41" i="22"/>
  <c r="CX31" i="22"/>
  <c r="CY31" i="22" s="1"/>
  <c r="CN31" i="22"/>
  <c r="BX31" i="22"/>
  <c r="CI31" i="22"/>
  <c r="CT31" i="22" s="1"/>
  <c r="BW31" i="22"/>
  <c r="CX75" i="22"/>
  <c r="CY75" i="22" s="1"/>
  <c r="CW75" i="22"/>
  <c r="CV75" i="22"/>
  <c r="CU75" i="22"/>
  <c r="CT75" i="22"/>
  <c r="CS75" i="22"/>
  <c r="CN75" i="22"/>
  <c r="BX75" i="22"/>
  <c r="CI75" i="22"/>
  <c r="BW75" i="22"/>
  <c r="CX34" i="22"/>
  <c r="CY34" i="22" s="1"/>
  <c r="BX34" i="22"/>
  <c r="CI34" i="22"/>
  <c r="CT34" i="22" s="1"/>
  <c r="BW34" i="22"/>
  <c r="CN34" i="22"/>
  <c r="CX16" i="22"/>
  <c r="CY16" i="22" s="1"/>
  <c r="CN16" i="22"/>
  <c r="BX16" i="22"/>
  <c r="CI16" i="22"/>
  <c r="CT16" i="22" s="1"/>
  <c r="BW16" i="22"/>
  <c r="CX59" i="22"/>
  <c r="CY59" i="22" s="1"/>
  <c r="CW59" i="22"/>
  <c r="CV59" i="22"/>
  <c r="CU59" i="22"/>
  <c r="CT59" i="22"/>
  <c r="CS59" i="22"/>
  <c r="BX59" i="22"/>
  <c r="CI59" i="22"/>
  <c r="BW59" i="22"/>
  <c r="CN59" i="22"/>
  <c r="CX45" i="22"/>
  <c r="CY45" i="22" s="1"/>
  <c r="CW45" i="22"/>
  <c r="CV45" i="22"/>
  <c r="CU45" i="22"/>
  <c r="CT45" i="22"/>
  <c r="CS45" i="22"/>
  <c r="CN45" i="22"/>
  <c r="CI45" i="22"/>
  <c r="BX45" i="22"/>
  <c r="BW45" i="22"/>
  <c r="CV62" i="22"/>
  <c r="CU62" i="22"/>
  <c r="CT62" i="22"/>
  <c r="CS62" i="22"/>
  <c r="CX62" i="22"/>
  <c r="CY62" i="22" s="1"/>
  <c r="CN62" i="22"/>
  <c r="BX62" i="22"/>
  <c r="BW62" i="22"/>
  <c r="CW62" i="22"/>
  <c r="CI62" i="22"/>
  <c r="CX55" i="22"/>
  <c r="CY55" i="22" s="1"/>
  <c r="CN55" i="22"/>
  <c r="BX55" i="22"/>
  <c r="CI55" i="22"/>
  <c r="CT55" i="22" s="1"/>
  <c r="BW55" i="22"/>
  <c r="BW233" i="22"/>
  <c r="CN233" i="22"/>
  <c r="CX233" i="22"/>
  <c r="CY233" i="22" s="1"/>
  <c r="BX233" i="22"/>
  <c r="CI233" i="22"/>
  <c r="CT233" i="22" s="1"/>
  <c r="CX207" i="22"/>
  <c r="CY207" i="22" s="1"/>
  <c r="BX207" i="22"/>
  <c r="CN207" i="22"/>
  <c r="BW207" i="22"/>
  <c r="CI207" i="22"/>
  <c r="CT207" i="22" s="1"/>
  <c r="BX245" i="22"/>
  <c r="CN245" i="22"/>
  <c r="BW245" i="22"/>
  <c r="CX245" i="22"/>
  <c r="CY245" i="22" s="1"/>
  <c r="CI245" i="22"/>
  <c r="CT245" i="22" s="1"/>
  <c r="BX242" i="22"/>
  <c r="BW242" i="22"/>
  <c r="CX242" i="22"/>
  <c r="CY242" i="22" s="1"/>
  <c r="CI242" i="22"/>
  <c r="CT242" i="22" s="1"/>
  <c r="CN242" i="22"/>
  <c r="CX237" i="22"/>
  <c r="CY237" i="22" s="1"/>
  <c r="BX237" i="22"/>
  <c r="BW237" i="22"/>
  <c r="CN237" i="22"/>
  <c r="CI237" i="22"/>
  <c r="CT237" i="22" s="1"/>
  <c r="CX228" i="22"/>
  <c r="CY228" i="22" s="1"/>
  <c r="CN228" i="22"/>
  <c r="BX228" i="22"/>
  <c r="BW228" i="22"/>
  <c r="CI228" i="22"/>
  <c r="CT228" i="22" s="1"/>
  <c r="CI343" i="22"/>
  <c r="CT343" i="22" s="1"/>
  <c r="CX343" i="22"/>
  <c r="CY343" i="22" s="1"/>
  <c r="CN343" i="22"/>
  <c r="BX343" i="22"/>
  <c r="BW343" i="22"/>
  <c r="CI263" i="22"/>
  <c r="CT263" i="22" s="1"/>
  <c r="CX263" i="22"/>
  <c r="CY263" i="22" s="1"/>
  <c r="CN263" i="22"/>
  <c r="BW263" i="22"/>
  <c r="BX263" i="22"/>
  <c r="CX332" i="22"/>
  <c r="CY332" i="22" s="1"/>
  <c r="CW332" i="22"/>
  <c r="CV332" i="22"/>
  <c r="CU332" i="22"/>
  <c r="CT332" i="22"/>
  <c r="CI332" i="22"/>
  <c r="CS332" i="22"/>
  <c r="CN332" i="22"/>
  <c r="BX332" i="22"/>
  <c r="BW332" i="22"/>
  <c r="CX268" i="22"/>
  <c r="CY268" i="22" s="1"/>
  <c r="CI268" i="22"/>
  <c r="CT268" i="22" s="1"/>
  <c r="BX268" i="22"/>
  <c r="CN268" i="22"/>
  <c r="BW268" i="22"/>
  <c r="CI321" i="22"/>
  <c r="CT321" i="22" s="1"/>
  <c r="CX321" i="22"/>
  <c r="CY321" i="22" s="1"/>
  <c r="CN321" i="22"/>
  <c r="BX321" i="22"/>
  <c r="BW321" i="22"/>
  <c r="CU317" i="22"/>
  <c r="CT317" i="22"/>
  <c r="CS317" i="22"/>
  <c r="CX317" i="22"/>
  <c r="CY317" i="22" s="1"/>
  <c r="CW317" i="22"/>
  <c r="CI317" i="22"/>
  <c r="CV317" i="22"/>
  <c r="BX317" i="22"/>
  <c r="CN317" i="22"/>
  <c r="BW317" i="22"/>
  <c r="CI291" i="22"/>
  <c r="CT291" i="22" s="1"/>
  <c r="CX291" i="22"/>
  <c r="CY291" i="22" s="1"/>
  <c r="CN291" i="22"/>
  <c r="BX291" i="22"/>
  <c r="BW291" i="22"/>
  <c r="CX260" i="22"/>
  <c r="CW260" i="22"/>
  <c r="CV260" i="22"/>
  <c r="CI260" i="22"/>
  <c r="CU260" i="22"/>
  <c r="CT260" i="22"/>
  <c r="CS260" i="22"/>
  <c r="CN260" i="22"/>
  <c r="BX260" i="22"/>
  <c r="BW260" i="22"/>
  <c r="CE260" i="22" s="1"/>
  <c r="CI298" i="22"/>
  <c r="CT298" i="22" s="1"/>
  <c r="CX298" i="22"/>
  <c r="CY298" i="22" s="1"/>
  <c r="CN298" i="22"/>
  <c r="BW298" i="22"/>
  <c r="BX298" i="22"/>
  <c r="CI300" i="22"/>
  <c r="CT300" i="22" s="1"/>
  <c r="CX300" i="22"/>
  <c r="CY300" i="22" s="1"/>
  <c r="CN300" i="22"/>
  <c r="BW300" i="22"/>
  <c r="BX300" i="22"/>
  <c r="CI326" i="22"/>
  <c r="CX326" i="22"/>
  <c r="CY326" i="22" s="1"/>
  <c r="CW326" i="22"/>
  <c r="CV326" i="22"/>
  <c r="CU326" i="22"/>
  <c r="CT326" i="22"/>
  <c r="CS326" i="22"/>
  <c r="CN326" i="22"/>
  <c r="BW326" i="22"/>
  <c r="BX326" i="22"/>
  <c r="CX280" i="22"/>
  <c r="CY280" i="22" s="1"/>
  <c r="CI280" i="22"/>
  <c r="CT280" i="22" s="1"/>
  <c r="BX280" i="22"/>
  <c r="CN280" i="22"/>
  <c r="BW280" i="22"/>
  <c r="CV275" i="22"/>
  <c r="CU275" i="22"/>
  <c r="CT275" i="22"/>
  <c r="CS275" i="22"/>
  <c r="CI275" i="22"/>
  <c r="CX275" i="22"/>
  <c r="CY275" i="22" s="1"/>
  <c r="CW275" i="22"/>
  <c r="CN275" i="22"/>
  <c r="BW275" i="22"/>
  <c r="BX275" i="22"/>
  <c r="CZ295" i="22"/>
  <c r="CZ285" i="22"/>
  <c r="CZ304" i="22"/>
  <c r="CX20" i="22"/>
  <c r="CY20" i="22" s="1"/>
  <c r="CN20" i="22"/>
  <c r="BX20" i="22"/>
  <c r="CI20" i="22"/>
  <c r="CT20" i="22" s="1"/>
  <c r="BW20" i="22"/>
  <c r="CN87" i="22"/>
  <c r="CX87" i="22"/>
  <c r="CY87" i="22" s="1"/>
  <c r="BX87" i="22"/>
  <c r="CI87" i="22"/>
  <c r="CT87" i="22" s="1"/>
  <c r="BW87" i="22"/>
  <c r="CX33" i="22"/>
  <c r="CY33" i="22" s="1"/>
  <c r="BX33" i="22"/>
  <c r="CI33" i="22"/>
  <c r="CT33" i="22" s="1"/>
  <c r="BW33" i="22"/>
  <c r="CN33" i="22"/>
  <c r="CV48" i="22"/>
  <c r="CU48" i="22"/>
  <c r="CT48" i="22"/>
  <c r="CS48" i="22"/>
  <c r="CX48" i="22"/>
  <c r="CY48" i="22" s="1"/>
  <c r="BX48" i="22"/>
  <c r="CI48" i="22"/>
  <c r="BW48" i="22"/>
  <c r="CW48" i="22"/>
  <c r="CN48" i="22"/>
  <c r="CV60" i="22"/>
  <c r="CU60" i="22"/>
  <c r="CT60" i="22"/>
  <c r="CS60" i="22"/>
  <c r="CX60" i="22"/>
  <c r="CY60" i="22" s="1"/>
  <c r="BX60" i="22"/>
  <c r="CI60" i="22"/>
  <c r="BW60" i="22"/>
  <c r="CW60" i="22"/>
  <c r="CN60" i="22"/>
  <c r="CX11" i="22"/>
  <c r="CI11" i="22"/>
  <c r="CT11" i="22" s="1"/>
  <c r="BW11" i="22"/>
  <c r="BX11" i="22"/>
  <c r="CN11" i="22"/>
  <c r="CX40" i="22"/>
  <c r="CY40" i="22" s="1"/>
  <c r="CN40" i="22"/>
  <c r="BX40" i="22"/>
  <c r="CI40" i="22"/>
  <c r="CT40" i="22" s="1"/>
  <c r="BW40" i="22"/>
  <c r="CX72" i="22"/>
  <c r="CY72" i="22" s="1"/>
  <c r="CI72" i="22"/>
  <c r="CT72" i="22" s="1"/>
  <c r="BW72" i="22"/>
  <c r="BX72" i="22"/>
  <c r="CN72" i="22"/>
  <c r="CX43" i="22"/>
  <c r="CY43" i="22" s="1"/>
  <c r="CN43" i="22"/>
  <c r="BX43" i="22"/>
  <c r="CI43" i="22"/>
  <c r="CT43" i="22" s="1"/>
  <c r="BW43" i="22"/>
  <c r="CX230" i="22"/>
  <c r="CY230" i="22" s="1"/>
  <c r="CW230" i="22"/>
  <c r="BX230" i="22"/>
  <c r="CV230" i="22"/>
  <c r="BW230" i="22"/>
  <c r="CU230" i="22"/>
  <c r="CT230" i="22"/>
  <c r="CS230" i="22"/>
  <c r="CN230" i="22"/>
  <c r="CI230" i="22"/>
  <c r="CV221" i="22"/>
  <c r="BW221" i="22"/>
  <c r="CN221" i="22"/>
  <c r="CU221" i="22"/>
  <c r="CT221" i="22"/>
  <c r="CS221" i="22"/>
  <c r="CX221" i="22"/>
  <c r="CY221" i="22" s="1"/>
  <c r="CI221" i="22"/>
  <c r="BX221" i="22"/>
  <c r="CW221" i="22"/>
  <c r="CU339" i="22"/>
  <c r="CI339" i="22"/>
  <c r="CT339" i="22"/>
  <c r="CS339" i="22"/>
  <c r="CX339" i="22"/>
  <c r="CY339" i="22" s="1"/>
  <c r="CW339" i="22"/>
  <c r="CV339" i="22"/>
  <c r="CN339" i="22"/>
  <c r="BX339" i="22"/>
  <c r="BW339" i="22"/>
  <c r="CX346" i="22"/>
  <c r="CY346" i="22" s="1"/>
  <c r="CI346" i="22"/>
  <c r="CT346" i="22" s="1"/>
  <c r="CN346" i="22"/>
  <c r="BW346" i="22"/>
  <c r="CE346" i="22" s="1"/>
  <c r="BX346" i="22"/>
  <c r="CI316" i="22"/>
  <c r="CX316" i="22"/>
  <c r="CY316" i="22" s="1"/>
  <c r="CW316" i="22"/>
  <c r="CV316" i="22"/>
  <c r="CU316" i="22"/>
  <c r="CT316" i="22"/>
  <c r="CS316" i="22"/>
  <c r="CN316" i="22"/>
  <c r="BX316" i="22"/>
  <c r="BW316" i="22"/>
  <c r="CI331" i="22"/>
  <c r="CT331" i="22" s="1"/>
  <c r="CX331" i="22"/>
  <c r="CY331" i="22" s="1"/>
  <c r="CN331" i="22"/>
  <c r="BX331" i="22"/>
  <c r="BW331" i="22"/>
  <c r="CI267" i="22"/>
  <c r="CT267" i="22" s="1"/>
  <c r="CX267" i="22"/>
  <c r="CY267" i="22" s="1"/>
  <c r="CN267" i="22"/>
  <c r="BX267" i="22"/>
  <c r="BW267" i="22"/>
  <c r="CI271" i="22"/>
  <c r="CT271" i="22" s="1"/>
  <c r="CX271" i="22"/>
  <c r="CY271" i="22" s="1"/>
  <c r="CN271" i="22"/>
  <c r="BX271" i="22"/>
  <c r="BW271" i="22"/>
  <c r="CX37" i="22"/>
  <c r="CY37" i="22" s="1"/>
  <c r="BX37" i="22"/>
  <c r="CI37" i="22"/>
  <c r="CT37" i="22" s="1"/>
  <c r="CN37" i="22"/>
  <c r="BW37" i="22"/>
  <c r="CX35" i="22"/>
  <c r="CY35" i="22" s="1"/>
  <c r="BX35" i="22"/>
  <c r="CI35" i="22"/>
  <c r="CT35" i="22" s="1"/>
  <c r="BW35" i="22"/>
  <c r="CN35" i="22"/>
  <c r="CX74" i="22"/>
  <c r="CY74" i="22" s="1"/>
  <c r="BX74" i="22"/>
  <c r="BW74" i="22"/>
  <c r="CN74" i="22"/>
  <c r="CI74" i="22"/>
  <c r="CT74" i="22" s="1"/>
  <c r="CX57" i="22"/>
  <c r="CY57" i="22" s="1"/>
  <c r="CN57" i="22"/>
  <c r="BX57" i="22"/>
  <c r="CI57" i="22"/>
  <c r="CT57" i="22" s="1"/>
  <c r="BW57" i="22"/>
  <c r="CX68" i="22"/>
  <c r="CY68" i="22" s="1"/>
  <c r="CN68" i="22"/>
  <c r="BX68" i="22"/>
  <c r="CI68" i="22"/>
  <c r="CT68" i="22" s="1"/>
  <c r="BW68" i="22"/>
  <c r="CX25" i="22"/>
  <c r="CY25" i="22" s="1"/>
  <c r="BW25" i="22"/>
  <c r="CN25" i="22"/>
  <c r="BX25" i="22"/>
  <c r="CI25" i="22"/>
  <c r="CT25" i="22" s="1"/>
  <c r="CX21" i="22"/>
  <c r="CY21" i="22" s="1"/>
  <c r="BW21" i="22"/>
  <c r="BX21" i="22"/>
  <c r="CI21" i="22"/>
  <c r="CT21" i="22" s="1"/>
  <c r="CN21" i="22"/>
  <c r="CX209" i="22"/>
  <c r="CY209" i="22" s="1"/>
  <c r="CN209" i="22"/>
  <c r="BX209" i="22"/>
  <c r="BW209" i="22"/>
  <c r="CI209" i="22"/>
  <c r="CT209" i="22" s="1"/>
  <c r="BX226" i="22"/>
  <c r="BW226" i="22"/>
  <c r="CX226" i="22"/>
  <c r="CY226" i="22" s="1"/>
  <c r="CN226" i="22"/>
  <c r="CI226" i="22"/>
  <c r="CT226" i="22" s="1"/>
  <c r="CX222" i="22"/>
  <c r="CY222" i="22" s="1"/>
  <c r="BX222" i="22"/>
  <c r="BW222" i="22"/>
  <c r="CN222" i="22"/>
  <c r="CI222" i="22"/>
  <c r="CT222" i="22" s="1"/>
  <c r="CZ243" i="22"/>
  <c r="CX234" i="22"/>
  <c r="CY234" i="22" s="1"/>
  <c r="BX234" i="22"/>
  <c r="BW234" i="22"/>
  <c r="CE234" i="22" s="1"/>
  <c r="CN234" i="22"/>
  <c r="CI234" i="22"/>
  <c r="CT234" i="22" s="1"/>
  <c r="CX216" i="22"/>
  <c r="CY216" i="22" s="1"/>
  <c r="CN216" i="22"/>
  <c r="BX216" i="22"/>
  <c r="CI216" i="22"/>
  <c r="CT216" i="22" s="1"/>
  <c r="BW216" i="22"/>
  <c r="CI335" i="22"/>
  <c r="CT335" i="22" s="1"/>
  <c r="CX335" i="22"/>
  <c r="CY335" i="22" s="1"/>
  <c r="CN335" i="22"/>
  <c r="BW335" i="22"/>
  <c r="BX335" i="22"/>
  <c r="CI345" i="22"/>
  <c r="CT345" i="22" s="1"/>
  <c r="CX345" i="22"/>
  <c r="CY345" i="22" s="1"/>
  <c r="CN345" i="22"/>
  <c r="BX345" i="22"/>
  <c r="BW345" i="22"/>
  <c r="CI338" i="22"/>
  <c r="CT338" i="22" s="1"/>
  <c r="CX338" i="22"/>
  <c r="CY338" i="22" s="1"/>
  <c r="CN338" i="22"/>
  <c r="BW338" i="22"/>
  <c r="BX338" i="22"/>
  <c r="CZ350" i="22"/>
  <c r="E64" i="22"/>
  <c r="BY64" i="22" s="1"/>
  <c r="E338" i="22"/>
  <c r="BZ338" i="22" s="1"/>
  <c r="O4130" i="19"/>
  <c r="O242" i="18"/>
  <c r="O241" i="18"/>
  <c r="E345" i="22"/>
  <c r="I345" i="22" s="1"/>
  <c r="BE345" i="22" s="1"/>
  <c r="E205" i="22"/>
  <c r="BV205" i="22" s="1"/>
  <c r="E349" i="22"/>
  <c r="BV349" i="22" s="1"/>
  <c r="E340" i="22"/>
  <c r="CW340" i="22" s="1"/>
  <c r="E344" i="22"/>
  <c r="CB344" i="22" s="1"/>
  <c r="E352" i="22"/>
  <c r="BV352" i="22" s="1"/>
  <c r="E347" i="22"/>
  <c r="CU347" i="22" s="1"/>
  <c r="E311" i="22"/>
  <c r="BY311" i="22" s="1"/>
  <c r="E341" i="22"/>
  <c r="BV341" i="22" s="1"/>
  <c r="E217" i="22"/>
  <c r="BV217" i="22" s="1"/>
  <c r="E354" i="22"/>
  <c r="BV354" i="22" s="1"/>
  <c r="E233" i="22"/>
  <c r="CU233" i="22" s="1"/>
  <c r="E223" i="22"/>
  <c r="I223" i="22" s="1"/>
  <c r="BN352" i="22"/>
  <c r="BM352" i="22"/>
  <c r="BL352" i="22"/>
  <c r="BK352" i="22"/>
  <c r="BI352" i="22"/>
  <c r="BJ352" i="22"/>
  <c r="BO352" i="22"/>
  <c r="N339" i="22"/>
  <c r="AR339" i="22"/>
  <c r="AB339" i="22"/>
  <c r="L339" i="22"/>
  <c r="AT339" i="22" s="1"/>
  <c r="N335" i="22"/>
  <c r="L335" i="22"/>
  <c r="AT335" i="22" s="1"/>
  <c r="AR335" i="22"/>
  <c r="BO342" i="22"/>
  <c r="BL342" i="22"/>
  <c r="BI342" i="22"/>
  <c r="BN342" i="22"/>
  <c r="BJ342" i="22"/>
  <c r="BM342" i="22"/>
  <c r="BK342" i="22"/>
  <c r="L355" i="22"/>
  <c r="AR355" i="22" s="1"/>
  <c r="N355" i="22"/>
  <c r="L344" i="22"/>
  <c r="AT344" i="22" s="1"/>
  <c r="AR344" i="22"/>
  <c r="N344" i="22"/>
  <c r="AB344" i="22"/>
  <c r="E245" i="22"/>
  <c r="CW245" i="22" s="1"/>
  <c r="BO354" i="22"/>
  <c r="BJ354" i="22"/>
  <c r="BM354" i="22"/>
  <c r="BI354" i="22"/>
  <c r="BK354" i="22"/>
  <c r="BN354" i="22"/>
  <c r="BL354" i="22"/>
  <c r="BE352" i="22"/>
  <c r="E339" i="22"/>
  <c r="BV339" i="22" s="1"/>
  <c r="CE351" i="22"/>
  <c r="BO351" i="22"/>
  <c r="BK351" i="22"/>
  <c r="BN351" i="22"/>
  <c r="BI351" i="22"/>
  <c r="BL351" i="22"/>
  <c r="BJ351" i="22"/>
  <c r="BM351" i="22"/>
  <c r="BE341" i="22"/>
  <c r="BO311" i="22"/>
  <c r="BN311" i="22"/>
  <c r="BM311" i="22"/>
  <c r="BL311" i="22"/>
  <c r="BI311" i="22"/>
  <c r="BJ311" i="22"/>
  <c r="BK311" i="22"/>
  <c r="BE348" i="22"/>
  <c r="E209" i="22"/>
  <c r="BV209" i="22" s="1"/>
  <c r="AR352" i="22"/>
  <c r="AB352" i="22"/>
  <c r="N352" i="22"/>
  <c r="L352" i="22"/>
  <c r="AT352" i="22" s="1"/>
  <c r="BE351" i="22"/>
  <c r="N345" i="22"/>
  <c r="L345" i="22"/>
  <c r="AR345" i="22" s="1"/>
  <c r="BO340" i="22"/>
  <c r="BM340" i="22"/>
  <c r="BK340" i="22"/>
  <c r="BJ340" i="22"/>
  <c r="BI340" i="22"/>
  <c r="BL340" i="22"/>
  <c r="BN340" i="22"/>
  <c r="E346" i="22"/>
  <c r="CW346" i="22" s="1"/>
  <c r="N350" i="22"/>
  <c r="L350" i="22"/>
  <c r="AR350" i="22" s="1"/>
  <c r="N351" i="22"/>
  <c r="L351" i="22"/>
  <c r="AV351" i="22" s="1"/>
  <c r="AR351" i="22"/>
  <c r="AB351" i="22"/>
  <c r="BE342" i="22"/>
  <c r="BJ349" i="22"/>
  <c r="BL349" i="22"/>
  <c r="BI349" i="22"/>
  <c r="BK349" i="22"/>
  <c r="BO349" i="22"/>
  <c r="BN349" i="22"/>
  <c r="BM349" i="22"/>
  <c r="L337" i="22"/>
  <c r="AR337" i="22" s="1"/>
  <c r="N337" i="22"/>
  <c r="E351" i="22"/>
  <c r="BV351" i="22" s="1"/>
  <c r="BJ336" i="22"/>
  <c r="BN336" i="22"/>
  <c r="BL336" i="22"/>
  <c r="BO336" i="22"/>
  <c r="BM336" i="22"/>
  <c r="BK336" i="22"/>
  <c r="BI336" i="22"/>
  <c r="N340" i="22"/>
  <c r="L340" i="22"/>
  <c r="AR340" i="22" s="1"/>
  <c r="E342" i="22"/>
  <c r="E355" i="22"/>
  <c r="CV355" i="22" s="1"/>
  <c r="L346" i="22"/>
  <c r="AR346" i="22" s="1"/>
  <c r="N346" i="22"/>
  <c r="E234" i="22"/>
  <c r="BZ234" i="22" s="1"/>
  <c r="BE349" i="22"/>
  <c r="N343" i="22"/>
  <c r="AR343" i="22"/>
  <c r="L343" i="22"/>
  <c r="AT343" i="22" s="1"/>
  <c r="BL337" i="22"/>
  <c r="BK337" i="22"/>
  <c r="BI337" i="22"/>
  <c r="BN337" i="22"/>
  <c r="BO337" i="22"/>
  <c r="BM337" i="22"/>
  <c r="BJ337" i="22"/>
  <c r="BE336" i="22"/>
  <c r="BN355" i="22"/>
  <c r="BL355" i="22"/>
  <c r="BI355" i="22"/>
  <c r="BM355" i="22"/>
  <c r="BO355" i="22"/>
  <c r="BJ355" i="22"/>
  <c r="BK355" i="22"/>
  <c r="AB341" i="22"/>
  <c r="N341" i="22"/>
  <c r="AR341" i="22"/>
  <c r="L341" i="22"/>
  <c r="AT341" i="22" s="1"/>
  <c r="E213" i="22"/>
  <c r="BV213" i="22" s="1"/>
  <c r="E239" i="22"/>
  <c r="CW239" i="22" s="1"/>
  <c r="AR349" i="22"/>
  <c r="L349" i="22"/>
  <c r="N349" i="22"/>
  <c r="BE343" i="22"/>
  <c r="E337" i="22"/>
  <c r="CU337" i="22" s="1"/>
  <c r="N336" i="22"/>
  <c r="AR336" i="22"/>
  <c r="L336" i="22"/>
  <c r="AT336" i="22" s="1"/>
  <c r="N311" i="22"/>
  <c r="L311" i="22"/>
  <c r="AR311" i="22" s="1"/>
  <c r="BO341" i="22"/>
  <c r="BN341" i="22"/>
  <c r="BL341" i="22"/>
  <c r="BK341" i="22"/>
  <c r="BI341" i="22"/>
  <c r="BM341" i="22"/>
  <c r="BJ341" i="22"/>
  <c r="E350" i="22"/>
  <c r="CW350" i="22" s="1"/>
  <c r="E232" i="22"/>
  <c r="CW232" i="22" s="1"/>
  <c r="BE353" i="22"/>
  <c r="E343" i="22"/>
  <c r="CW343" i="22" s="1"/>
  <c r="E336" i="22"/>
  <c r="CU336" i="22" s="1"/>
  <c r="BN350" i="22"/>
  <c r="BL350" i="22"/>
  <c r="BJ350" i="22"/>
  <c r="BM350" i="22"/>
  <c r="BO350" i="22"/>
  <c r="BK350" i="22"/>
  <c r="BI350" i="22"/>
  <c r="BK348" i="22"/>
  <c r="BN348" i="22"/>
  <c r="BJ348" i="22"/>
  <c r="BL348" i="22"/>
  <c r="BI348" i="22"/>
  <c r="BM348" i="22"/>
  <c r="BO348" i="22"/>
  <c r="BM344" i="22"/>
  <c r="BK344" i="22"/>
  <c r="BJ344" i="22"/>
  <c r="BN344" i="22"/>
  <c r="BI344" i="22"/>
  <c r="BL344" i="22"/>
  <c r="BO344" i="22"/>
  <c r="BO353" i="22"/>
  <c r="BN353" i="22"/>
  <c r="BL353" i="22"/>
  <c r="BK353" i="22"/>
  <c r="BM353" i="22"/>
  <c r="BJ353" i="22"/>
  <c r="BI353" i="22"/>
  <c r="BK347" i="22"/>
  <c r="BM347" i="22"/>
  <c r="BJ347" i="22"/>
  <c r="BI347" i="22"/>
  <c r="BN347" i="22"/>
  <c r="BO347" i="22"/>
  <c r="BL347" i="22"/>
  <c r="N342" i="22"/>
  <c r="Y342" i="22" s="1"/>
  <c r="CA342" i="22" s="1"/>
  <c r="L342" i="22"/>
  <c r="AV342" i="22" s="1"/>
  <c r="AB342" i="22"/>
  <c r="AR342" i="22"/>
  <c r="BE354" i="22"/>
  <c r="N353" i="22"/>
  <c r="Y353" i="22" s="1"/>
  <c r="CA353" i="22" s="1"/>
  <c r="AR353" i="22"/>
  <c r="L353" i="22"/>
  <c r="AV353" i="22" s="1"/>
  <c r="BJ343" i="22"/>
  <c r="BK343" i="22"/>
  <c r="BI343" i="22"/>
  <c r="BO343" i="22"/>
  <c r="BM343" i="22"/>
  <c r="BL343" i="22"/>
  <c r="BN343" i="22"/>
  <c r="E335" i="22"/>
  <c r="BV335" i="22" s="1"/>
  <c r="BE347" i="22"/>
  <c r="BE344" i="22"/>
  <c r="N354" i="22"/>
  <c r="L354" i="22"/>
  <c r="AR354" i="22"/>
  <c r="E353" i="22"/>
  <c r="CU353" i="22" s="1"/>
  <c r="BK339" i="22"/>
  <c r="BN339" i="22"/>
  <c r="BO339" i="22"/>
  <c r="BJ339" i="22"/>
  <c r="BL339" i="22"/>
  <c r="BI339" i="22"/>
  <c r="BM339" i="22"/>
  <c r="BE335" i="22"/>
  <c r="AR347" i="22"/>
  <c r="L347" i="22"/>
  <c r="N347" i="22"/>
  <c r="N338" i="22"/>
  <c r="L338" i="22"/>
  <c r="AR338" i="22" s="1"/>
  <c r="BJ346" i="22"/>
  <c r="BL346" i="22"/>
  <c r="BN346" i="22"/>
  <c r="BK346" i="22"/>
  <c r="BM346" i="22"/>
  <c r="BO346" i="22"/>
  <c r="BI346" i="22"/>
  <c r="AR348" i="22"/>
  <c r="AB348" i="22"/>
  <c r="N348" i="22"/>
  <c r="L348" i="22"/>
  <c r="AV348" i="22" s="1"/>
  <c r="E229" i="22"/>
  <c r="BV229" i="22" s="1"/>
  <c r="BE339" i="22"/>
  <c r="BN335" i="22"/>
  <c r="BM335" i="22"/>
  <c r="BI335" i="22"/>
  <c r="BO335" i="22"/>
  <c r="BK335" i="22"/>
  <c r="BL335" i="22"/>
  <c r="BJ335" i="22"/>
  <c r="BJ345" i="22"/>
  <c r="BM345" i="22"/>
  <c r="BK345" i="22"/>
  <c r="BO345" i="22"/>
  <c r="BN345" i="22"/>
  <c r="BL345" i="22"/>
  <c r="BI345" i="22"/>
  <c r="BN338" i="22"/>
  <c r="BO338" i="22"/>
  <c r="BM338" i="22"/>
  <c r="BI338" i="22"/>
  <c r="BJ338" i="22"/>
  <c r="BK338" i="22"/>
  <c r="BL338" i="22"/>
  <c r="E348" i="22"/>
  <c r="BV348" i="22" s="1"/>
  <c r="CZ52" i="22"/>
  <c r="CZ80" i="22"/>
  <c r="E211" i="22"/>
  <c r="I211" i="22" s="1"/>
  <c r="E214" i="22"/>
  <c r="CB214" i="22" s="1"/>
  <c r="E243" i="22"/>
  <c r="CW243" i="22" s="1"/>
  <c r="E236" i="22"/>
  <c r="CV236" i="22" s="1"/>
  <c r="E219" i="22"/>
  <c r="BV219" i="22" s="1"/>
  <c r="E215" i="22"/>
  <c r="I215" i="22" s="1"/>
  <c r="E207" i="22"/>
  <c r="CW207" i="22" s="1"/>
  <c r="E228" i="22"/>
  <c r="I228" i="22" s="1"/>
  <c r="E225" i="22"/>
  <c r="BV225" i="22" s="1"/>
  <c r="E227" i="22"/>
  <c r="I227" i="22" s="1"/>
  <c r="E241" i="22"/>
  <c r="CS241" i="22" s="1"/>
  <c r="E216" i="22"/>
  <c r="CU216" i="22" s="1"/>
  <c r="BM214" i="22"/>
  <c r="BL214" i="22"/>
  <c r="BI214" i="22"/>
  <c r="BJ214" i="22"/>
  <c r="BO214" i="22"/>
  <c r="BN214" i="22"/>
  <c r="BK214" i="22"/>
  <c r="BL205" i="22"/>
  <c r="BM205" i="22"/>
  <c r="BO205" i="22"/>
  <c r="BJ205" i="22"/>
  <c r="BK205" i="22"/>
  <c r="BN205" i="22"/>
  <c r="BI205" i="22"/>
  <c r="BL245" i="22"/>
  <c r="BM245" i="22"/>
  <c r="BN245" i="22"/>
  <c r="BK245" i="22"/>
  <c r="BO245" i="22"/>
  <c r="BI245" i="22"/>
  <c r="BJ245" i="22"/>
  <c r="L239" i="22"/>
  <c r="AR239" i="22" s="1"/>
  <c r="N239" i="22"/>
  <c r="E224" i="22"/>
  <c r="BV224" i="22" s="1"/>
  <c r="E238" i="22"/>
  <c r="BV238" i="22" s="1"/>
  <c r="BK240" i="22"/>
  <c r="BL240" i="22"/>
  <c r="BO240" i="22"/>
  <c r="BJ240" i="22"/>
  <c r="BN240" i="22"/>
  <c r="BI240" i="22"/>
  <c r="BM240" i="22"/>
  <c r="BO244" i="22"/>
  <c r="BM244" i="22"/>
  <c r="BN244" i="22"/>
  <c r="BI244" i="22"/>
  <c r="BL244" i="22"/>
  <c r="BK244" i="22"/>
  <c r="BJ244" i="22"/>
  <c r="E221" i="22"/>
  <c r="BV221" i="22" s="1"/>
  <c r="BO213" i="22"/>
  <c r="BN213" i="22"/>
  <c r="BL213" i="22"/>
  <c r="BK213" i="22"/>
  <c r="BI213" i="22"/>
  <c r="BJ213" i="22"/>
  <c r="BM213" i="22"/>
  <c r="BN230" i="22"/>
  <c r="BK230" i="22"/>
  <c r="BJ230" i="22"/>
  <c r="BL230" i="22"/>
  <c r="BI230" i="22"/>
  <c r="BM230" i="22"/>
  <c r="BO230" i="22"/>
  <c r="L241" i="22"/>
  <c r="N241" i="22"/>
  <c r="BO242" i="22"/>
  <c r="BN242" i="22"/>
  <c r="BM242" i="22"/>
  <c r="BL242" i="22"/>
  <c r="BK242" i="22"/>
  <c r="BJ242" i="22"/>
  <c r="BI242" i="22"/>
  <c r="N223" i="22"/>
  <c r="AR223" i="22"/>
  <c r="L223" i="22"/>
  <c r="L237" i="22"/>
  <c r="AR237" i="22" s="1"/>
  <c r="N237" i="22"/>
  <c r="BL219" i="22"/>
  <c r="BI219" i="22"/>
  <c r="BN219" i="22"/>
  <c r="BJ219" i="22"/>
  <c r="BK219" i="22"/>
  <c r="BM219" i="22"/>
  <c r="BO219" i="22"/>
  <c r="N213" i="22"/>
  <c r="L213" i="22"/>
  <c r="AV213" i="22" s="1"/>
  <c r="L205" i="22"/>
  <c r="AR205" i="22" s="1"/>
  <c r="N205" i="22"/>
  <c r="E222" i="22"/>
  <c r="CW222" i="22" s="1"/>
  <c r="BL226" i="22"/>
  <c r="BI226" i="22"/>
  <c r="BO226" i="22"/>
  <c r="BM226" i="22"/>
  <c r="BJ226" i="22"/>
  <c r="BK226" i="22"/>
  <c r="BN226" i="22"/>
  <c r="BL222" i="22"/>
  <c r="BI222" i="22"/>
  <c r="BK222" i="22"/>
  <c r="BJ222" i="22"/>
  <c r="BM222" i="22"/>
  <c r="BN222" i="22"/>
  <c r="BO222" i="22"/>
  <c r="N221" i="22"/>
  <c r="L221" i="22"/>
  <c r="AR221" i="22"/>
  <c r="BN238" i="22"/>
  <c r="BM238" i="22"/>
  <c r="BO238" i="22"/>
  <c r="BK238" i="22"/>
  <c r="BL238" i="22"/>
  <c r="BI238" i="22"/>
  <c r="BJ238" i="22"/>
  <c r="N236" i="22"/>
  <c r="L236" i="22"/>
  <c r="AR236" i="22" s="1"/>
  <c r="N215" i="22"/>
  <c r="L215" i="22"/>
  <c r="AT215" i="22" s="1"/>
  <c r="BL239" i="22"/>
  <c r="BN239" i="22"/>
  <c r="BJ239" i="22"/>
  <c r="BM239" i="22"/>
  <c r="BK239" i="22"/>
  <c r="BI239" i="22"/>
  <c r="BO239" i="22"/>
  <c r="L224" i="22"/>
  <c r="AR224" i="22" s="1"/>
  <c r="N224" i="22"/>
  <c r="L245" i="22"/>
  <c r="AR245" i="22" s="1"/>
  <c r="N245" i="22"/>
  <c r="N234" i="22"/>
  <c r="L234" i="22"/>
  <c r="BI236" i="22"/>
  <c r="BN236" i="22"/>
  <c r="BM236" i="22"/>
  <c r="BO236" i="22"/>
  <c r="BK236" i="22"/>
  <c r="BL236" i="22"/>
  <c r="BJ236" i="22"/>
  <c r="L219" i="22"/>
  <c r="AR219" i="22" s="1"/>
  <c r="N219" i="22"/>
  <c r="BN225" i="22"/>
  <c r="BK225" i="22"/>
  <c r="BJ225" i="22"/>
  <c r="BL225" i="22"/>
  <c r="BO225" i="22"/>
  <c r="BM225" i="22"/>
  <c r="BI225" i="22"/>
  <c r="BO215" i="22"/>
  <c r="BN215" i="22"/>
  <c r="BI215" i="22"/>
  <c r="BM215" i="22"/>
  <c r="BL215" i="22"/>
  <c r="BK215" i="22"/>
  <c r="BJ215" i="22"/>
  <c r="N214" i="22"/>
  <c r="L214" i="22"/>
  <c r="AR214" i="22" s="1"/>
  <c r="BO241" i="22"/>
  <c r="BN241" i="22"/>
  <c r="BM241" i="22"/>
  <c r="BL241" i="22"/>
  <c r="BI241" i="22"/>
  <c r="BJ241" i="22"/>
  <c r="BK241" i="22"/>
  <c r="BJ231" i="22"/>
  <c r="BM231" i="22"/>
  <c r="BL231" i="22"/>
  <c r="BO231" i="22"/>
  <c r="BK231" i="22"/>
  <c r="BN231" i="22"/>
  <c r="BI231" i="22"/>
  <c r="N225" i="22"/>
  <c r="L225" i="22"/>
  <c r="AR225" i="22" s="1"/>
  <c r="BL211" i="22"/>
  <c r="BM211" i="22"/>
  <c r="BK211" i="22"/>
  <c r="BI211" i="22"/>
  <c r="BN211" i="22"/>
  <c r="BJ211" i="22"/>
  <c r="BO211" i="22"/>
  <c r="BI229" i="22"/>
  <c r="BK229" i="22"/>
  <c r="BO229" i="22"/>
  <c r="BJ229" i="22"/>
  <c r="BN229" i="22"/>
  <c r="BL229" i="22"/>
  <c r="BM229" i="22"/>
  <c r="N222" i="22"/>
  <c r="L222" i="22"/>
  <c r="AR222" i="22" s="1"/>
  <c r="E226" i="22"/>
  <c r="BV226" i="22" s="1"/>
  <c r="BJ237" i="22"/>
  <c r="BN237" i="22"/>
  <c r="BI237" i="22"/>
  <c r="BL237" i="22"/>
  <c r="BM237" i="22"/>
  <c r="BK237" i="22"/>
  <c r="BO237" i="22"/>
  <c r="L243" i="22"/>
  <c r="AR243" i="22" s="1"/>
  <c r="N243" i="22"/>
  <c r="E242" i="22"/>
  <c r="CS242" i="22" s="1"/>
  <c r="BL223" i="22"/>
  <c r="BM223" i="22"/>
  <c r="BN223" i="22"/>
  <c r="BJ223" i="22"/>
  <c r="BI223" i="22"/>
  <c r="BK223" i="22"/>
  <c r="BO223" i="22"/>
  <c r="L211" i="22"/>
  <c r="AR211" i="22" s="1"/>
  <c r="N211" i="22"/>
  <c r="BL209" i="22"/>
  <c r="BN209" i="22"/>
  <c r="BM209" i="22"/>
  <c r="BO209" i="22"/>
  <c r="BJ209" i="22"/>
  <c r="BK209" i="22"/>
  <c r="BI209" i="22"/>
  <c r="BO233" i="22"/>
  <c r="BL233" i="22"/>
  <c r="BI233" i="22"/>
  <c r="BN233" i="22"/>
  <c r="BJ233" i="22"/>
  <c r="BK233" i="22"/>
  <c r="BM233" i="22"/>
  <c r="N228" i="22"/>
  <c r="L228" i="22"/>
  <c r="AR228" i="22" s="1"/>
  <c r="BO221" i="22"/>
  <c r="BJ221" i="22"/>
  <c r="BI221" i="22"/>
  <c r="BM221" i="22"/>
  <c r="BK221" i="22"/>
  <c r="BL221" i="22"/>
  <c r="BN221" i="22"/>
  <c r="E240" i="22"/>
  <c r="BV240" i="22" s="1"/>
  <c r="E244" i="22"/>
  <c r="BV244" i="22" s="1"/>
  <c r="AB217" i="22"/>
  <c r="E235" i="22"/>
  <c r="BV235" i="22" s="1"/>
  <c r="BL232" i="22"/>
  <c r="BI232" i="22"/>
  <c r="BK232" i="22"/>
  <c r="BM232" i="22"/>
  <c r="BN232" i="22"/>
  <c r="BO232" i="22"/>
  <c r="BJ232" i="22"/>
  <c r="BL207" i="22"/>
  <c r="BM207" i="22"/>
  <c r="BN207" i="22"/>
  <c r="BO207" i="22"/>
  <c r="BI207" i="22"/>
  <c r="BJ207" i="22"/>
  <c r="BK207" i="22"/>
  <c r="E231" i="22"/>
  <c r="CW231" i="22" s="1"/>
  <c r="E230" i="22"/>
  <c r="BV230" i="22" s="1"/>
  <c r="L242" i="22"/>
  <c r="AR242" i="22" s="1"/>
  <c r="N242" i="22"/>
  <c r="BL217" i="22"/>
  <c r="BN217" i="22"/>
  <c r="BI217" i="22"/>
  <c r="BK217" i="22"/>
  <c r="BM217" i="22"/>
  <c r="BO217" i="22"/>
  <c r="BJ217" i="22"/>
  <c r="L209" i="22"/>
  <c r="AV209" i="22" s="1"/>
  <c r="N209" i="22"/>
  <c r="N233" i="22"/>
  <c r="L233" i="22"/>
  <c r="L229" i="22"/>
  <c r="AR229" i="22" s="1"/>
  <c r="N229" i="22"/>
  <c r="L238" i="22"/>
  <c r="AR238" i="22" s="1"/>
  <c r="N238" i="22"/>
  <c r="N240" i="22"/>
  <c r="L240" i="22"/>
  <c r="N244" i="22"/>
  <c r="L244" i="22"/>
  <c r="AR244" i="22" s="1"/>
  <c r="BL228" i="22"/>
  <c r="BM228" i="22"/>
  <c r="BI228" i="22"/>
  <c r="BJ228" i="22"/>
  <c r="BO228" i="22"/>
  <c r="BN228" i="22"/>
  <c r="BK228" i="22"/>
  <c r="N227" i="22"/>
  <c r="Y227" i="22" s="1"/>
  <c r="CA227" i="22" s="1"/>
  <c r="AR227" i="22"/>
  <c r="L227" i="22"/>
  <c r="AO227" i="22" s="1"/>
  <c r="BD227" i="22" s="1"/>
  <c r="E81" i="22"/>
  <c r="CB81" i="22" s="1"/>
  <c r="L207" i="22"/>
  <c r="AR207" i="22" s="1"/>
  <c r="N207" i="22"/>
  <c r="BN224" i="22"/>
  <c r="BL224" i="22"/>
  <c r="BO224" i="22"/>
  <c r="BK224" i="22"/>
  <c r="BI224" i="22"/>
  <c r="BJ224" i="22"/>
  <c r="BM224" i="22"/>
  <c r="BK234" i="22"/>
  <c r="BO234" i="22"/>
  <c r="BN234" i="22"/>
  <c r="BM234" i="22"/>
  <c r="BL234" i="22"/>
  <c r="BJ234" i="22"/>
  <c r="BI234" i="22"/>
  <c r="L216" i="22"/>
  <c r="AT216" i="22" s="1"/>
  <c r="N216" i="22"/>
  <c r="L217" i="22"/>
  <c r="AT217" i="22" s="1"/>
  <c r="AR217" i="22"/>
  <c r="N217" i="22"/>
  <c r="BL235" i="22"/>
  <c r="BK235" i="22"/>
  <c r="BN235" i="22"/>
  <c r="BJ235" i="22"/>
  <c r="BM235" i="22"/>
  <c r="BI235" i="22"/>
  <c r="BO235" i="22"/>
  <c r="BO227" i="22"/>
  <c r="BI227" i="22"/>
  <c r="BM227" i="22"/>
  <c r="BK227" i="22"/>
  <c r="BJ227" i="22"/>
  <c r="BN227" i="22"/>
  <c r="BL227" i="22"/>
  <c r="L232" i="22"/>
  <c r="AR232" i="22" s="1"/>
  <c r="N232" i="22"/>
  <c r="L231" i="22"/>
  <c r="AR231" i="22" s="1"/>
  <c r="N231" i="22"/>
  <c r="L230" i="22"/>
  <c r="AR230" i="22"/>
  <c r="N230" i="22"/>
  <c r="BM216" i="22"/>
  <c r="BK216" i="22"/>
  <c r="BJ216" i="22"/>
  <c r="BL216" i="22"/>
  <c r="BO216" i="22"/>
  <c r="BI216" i="22"/>
  <c r="BN216" i="22"/>
  <c r="N235" i="22"/>
  <c r="AR235" i="22"/>
  <c r="L235" i="22"/>
  <c r="L226" i="22"/>
  <c r="AR226" i="22" s="1"/>
  <c r="N226" i="22"/>
  <c r="BI243" i="22"/>
  <c r="BO243" i="22"/>
  <c r="BJ243" i="22"/>
  <c r="BN243" i="22"/>
  <c r="BK243" i="22"/>
  <c r="BM243" i="22"/>
  <c r="BL243" i="22"/>
  <c r="E237" i="22"/>
  <c r="CU237" i="22" s="1"/>
  <c r="E54" i="22"/>
  <c r="CB54" i="22" s="1"/>
  <c r="CZ46" i="22"/>
  <c r="E75" i="22"/>
  <c r="CB75" i="22" s="1"/>
  <c r="CZ65" i="22"/>
  <c r="AT143" i="22"/>
  <c r="AU143" i="22" s="1"/>
  <c r="AV143" i="22"/>
  <c r="CZ66" i="22"/>
  <c r="CZ45" i="22"/>
  <c r="CZ57" i="22"/>
  <c r="CZ43" i="22"/>
  <c r="E59" i="22"/>
  <c r="BY59" i="22" s="1"/>
  <c r="CZ76" i="22"/>
  <c r="AT120" i="22"/>
  <c r="AU120" i="22" s="1"/>
  <c r="AT122" i="22"/>
  <c r="AU122" i="22" s="1"/>
  <c r="AT129" i="22"/>
  <c r="AU129" i="22" s="1"/>
  <c r="AV129" i="22"/>
  <c r="AV115" i="22"/>
  <c r="AR137" i="22"/>
  <c r="AT137" i="22"/>
  <c r="AU137" i="22" s="1"/>
  <c r="AV137" i="22"/>
  <c r="AR126" i="22"/>
  <c r="AT126" i="22"/>
  <c r="AU126" i="22" s="1"/>
  <c r="AV126" i="22"/>
  <c r="E32" i="22"/>
  <c r="I32" i="22" s="1"/>
  <c r="AT138" i="22"/>
  <c r="AU138" i="22" s="1"/>
  <c r="AV138" i="22"/>
  <c r="AT123" i="22"/>
  <c r="AU123" i="22" s="1"/>
  <c r="AV123" i="22"/>
  <c r="AR141" i="22"/>
  <c r="AV141" i="22"/>
  <c r="AT141" i="22"/>
  <c r="AU141" i="22" s="1"/>
  <c r="AR135" i="22"/>
  <c r="AT135" i="22"/>
  <c r="AU135" i="22" s="1"/>
  <c r="AV135" i="22"/>
  <c r="AR128" i="22"/>
  <c r="AV128" i="22"/>
  <c r="AT128" i="22"/>
  <c r="AU128" i="22" s="1"/>
  <c r="AR127" i="22"/>
  <c r="AV127" i="22"/>
  <c r="AT127" i="22"/>
  <c r="AU127" i="22" s="1"/>
  <c r="E72" i="22"/>
  <c r="I72" i="22" s="1"/>
  <c r="AV134" i="22"/>
  <c r="AT134" i="22"/>
  <c r="AU134" i="22" s="1"/>
  <c r="AV124" i="22"/>
  <c r="AT124" i="22"/>
  <c r="AU124" i="22" s="1"/>
  <c r="AV136" i="22"/>
  <c r="AT136" i="22"/>
  <c r="AU136" i="22" s="1"/>
  <c r="E66" i="22"/>
  <c r="BY66" i="22" s="1"/>
  <c r="CZ53" i="22"/>
  <c r="AJ162" i="22"/>
  <c r="X162" i="22" s="1"/>
  <c r="AJ159" i="22"/>
  <c r="X159" i="22" s="1"/>
  <c r="AJ170" i="22"/>
  <c r="X170" i="22" s="1"/>
  <c r="AJ156" i="22"/>
  <c r="X156" i="22" s="1"/>
  <c r="AJ165" i="22"/>
  <c r="X165" i="22" s="1"/>
  <c r="AU159" i="22"/>
  <c r="AW159" i="22" s="1"/>
  <c r="AX159" i="22"/>
  <c r="AU170" i="22"/>
  <c r="AW170" i="22" s="1"/>
  <c r="AX170" i="22"/>
  <c r="E78" i="22"/>
  <c r="CB78" i="22" s="1"/>
  <c r="E77" i="22"/>
  <c r="BY77" i="22" s="1"/>
  <c r="AU162" i="22"/>
  <c r="AW162" i="22" s="1"/>
  <c r="AX162" i="22"/>
  <c r="AU156" i="22"/>
  <c r="AW156" i="22" s="1"/>
  <c r="AX156" i="22"/>
  <c r="AU165" i="22"/>
  <c r="AW165" i="22" s="1"/>
  <c r="AX165" i="22"/>
  <c r="AJ161" i="22"/>
  <c r="X161" i="22" s="1"/>
  <c r="AJ157" i="22"/>
  <c r="X157" i="22" s="1"/>
  <c r="AU166" i="22"/>
  <c r="AW166" i="22" s="1"/>
  <c r="AX166" i="22"/>
  <c r="AJ154" i="22"/>
  <c r="X154" i="22" s="1"/>
  <c r="AU161" i="22"/>
  <c r="AW161" i="22" s="1"/>
  <c r="AX161" i="22"/>
  <c r="AU154" i="22"/>
  <c r="AW154" i="22" s="1"/>
  <c r="AX154" i="22"/>
  <c r="AU157" i="22"/>
  <c r="AW157" i="22" s="1"/>
  <c r="AX157" i="22"/>
  <c r="AJ166" i="22"/>
  <c r="X166" i="22" s="1"/>
  <c r="CZ75" i="22"/>
  <c r="AJ160" i="22"/>
  <c r="X160" i="22" s="1"/>
  <c r="AJ158" i="22"/>
  <c r="X158" i="22" s="1"/>
  <c r="AU169" i="22"/>
  <c r="AW169" i="22" s="1"/>
  <c r="AX169" i="22"/>
  <c r="AJ155" i="22"/>
  <c r="X155" i="22" s="1"/>
  <c r="AJ164" i="22"/>
  <c r="X164" i="22" s="1"/>
  <c r="AU164" i="22"/>
  <c r="AW164" i="22" s="1"/>
  <c r="AX164" i="22"/>
  <c r="AU158" i="22"/>
  <c r="AW158" i="22" s="1"/>
  <c r="AX158" i="22"/>
  <c r="AU155" i="22"/>
  <c r="AW155" i="22" s="1"/>
  <c r="AX155" i="22"/>
  <c r="AU160" i="22"/>
  <c r="AW160" i="22" s="1"/>
  <c r="AX160" i="22"/>
  <c r="AJ169" i="22"/>
  <c r="X169" i="22" s="1"/>
  <c r="E30" i="22"/>
  <c r="CB30" i="22" s="1"/>
  <c r="E49" i="22"/>
  <c r="I49" i="22" s="1"/>
  <c r="E39" i="22"/>
  <c r="BY39" i="22" s="1"/>
  <c r="E79" i="22"/>
  <c r="CB79" i="22" s="1"/>
  <c r="E40" i="22"/>
  <c r="BY40" i="22" s="1"/>
  <c r="E83" i="22"/>
  <c r="CB83" i="22" s="1"/>
  <c r="E31" i="22"/>
  <c r="I31" i="22" s="1"/>
  <c r="CZ59" i="22"/>
  <c r="E52" i="22"/>
  <c r="BY52" i="22" s="1"/>
  <c r="CZ79" i="22"/>
  <c r="CZ81" i="22"/>
  <c r="CZ47" i="22"/>
  <c r="AT121" i="22"/>
  <c r="AU121" i="22" s="1"/>
  <c r="AR111" i="22"/>
  <c r="CZ62" i="22"/>
  <c r="CZ25" i="22"/>
  <c r="E87" i="22"/>
  <c r="I87" i="22" s="1"/>
  <c r="AB152" i="22"/>
  <c r="CZ30" i="22"/>
  <c r="CZ72" i="22"/>
  <c r="CZ34" i="22"/>
  <c r="E55" i="22"/>
  <c r="CB55" i="22" s="1"/>
  <c r="CZ51" i="22"/>
  <c r="E82" i="22"/>
  <c r="BY82" i="22" s="1"/>
  <c r="E70" i="22"/>
  <c r="I70" i="22" s="1"/>
  <c r="CZ49" i="22"/>
  <c r="V128" i="22"/>
  <c r="CZ29" i="22"/>
  <c r="E53" i="22"/>
  <c r="BY53" i="22" s="1"/>
  <c r="CZ70" i="22"/>
  <c r="CZ77" i="22"/>
  <c r="CZ33" i="22"/>
  <c r="E65" i="22"/>
  <c r="I65" i="22" s="1"/>
  <c r="E46" i="22"/>
  <c r="BY46" i="22" s="1"/>
  <c r="CZ85" i="22"/>
  <c r="CZ32" i="22"/>
  <c r="CZ36" i="22"/>
  <c r="BK74" i="22"/>
  <c r="BJ74" i="22"/>
  <c r="BM74" i="22"/>
  <c r="BI74" i="22"/>
  <c r="BN74" i="22"/>
  <c r="BO74" i="22"/>
  <c r="BL74" i="22"/>
  <c r="CZ26" i="22"/>
  <c r="BK57" i="22"/>
  <c r="BJ57" i="22"/>
  <c r="BO57" i="22"/>
  <c r="BM57" i="22"/>
  <c r="BL57" i="22"/>
  <c r="BN57" i="22"/>
  <c r="BI57" i="22"/>
  <c r="N61" i="22"/>
  <c r="Y61" i="22" s="1"/>
  <c r="L61" i="22"/>
  <c r="AO61" i="22" s="1"/>
  <c r="CR61" i="22"/>
  <c r="E86" i="22"/>
  <c r="CW86" i="22" s="1"/>
  <c r="E26" i="22"/>
  <c r="CR26" i="22" s="1"/>
  <c r="BK68" i="22"/>
  <c r="BM68" i="22"/>
  <c r="BN68" i="22"/>
  <c r="BO68" i="22"/>
  <c r="BJ68" i="22"/>
  <c r="BI68" i="22"/>
  <c r="BL68" i="22"/>
  <c r="BL25" i="22"/>
  <c r="BJ25" i="22"/>
  <c r="BO25" i="22"/>
  <c r="BN25" i="22"/>
  <c r="BI25" i="22"/>
  <c r="BM25" i="22"/>
  <c r="BK25" i="22"/>
  <c r="CZ54" i="22"/>
  <c r="CZ63" i="22"/>
  <c r="L40" i="22"/>
  <c r="AO40" i="22" s="1"/>
  <c r="N40" i="22"/>
  <c r="CR40" i="22"/>
  <c r="AT112" i="22"/>
  <c r="AU112" i="22" s="1"/>
  <c r="CJ120" i="22"/>
  <c r="CE120" i="22"/>
  <c r="CD120" i="22"/>
  <c r="CC120" i="22"/>
  <c r="BR118" i="22"/>
  <c r="BQ118" i="22"/>
  <c r="AN118" i="22"/>
  <c r="AL118" i="22"/>
  <c r="AM118" i="22"/>
  <c r="V118" i="22"/>
  <c r="AH118" i="22" s="1"/>
  <c r="BS118" i="22"/>
  <c r="M118" i="22"/>
  <c r="O118" i="22" s="1"/>
  <c r="CJ136" i="22"/>
  <c r="CE136" i="22"/>
  <c r="CD136" i="22"/>
  <c r="CC136" i="22"/>
  <c r="CE111" i="22"/>
  <c r="CJ111" i="22"/>
  <c r="CD111" i="22"/>
  <c r="CC111" i="22"/>
  <c r="AH148" i="22"/>
  <c r="V148" i="22"/>
  <c r="BS148" i="22"/>
  <c r="AG148" i="22"/>
  <c r="BR148" i="22"/>
  <c r="BQ148" i="22"/>
  <c r="AN148" i="22"/>
  <c r="AM148" i="22"/>
  <c r="AL148" i="22"/>
  <c r="M148" i="22"/>
  <c r="O148" i="22" s="1"/>
  <c r="CQ148" i="22"/>
  <c r="CP148" i="22"/>
  <c r="CJ124" i="22"/>
  <c r="CE124" i="22"/>
  <c r="CD124" i="22"/>
  <c r="CC124" i="22"/>
  <c r="CE134" i="22"/>
  <c r="CJ134" i="22"/>
  <c r="CD134" i="22"/>
  <c r="CC134" i="22"/>
  <c r="BI81" i="22"/>
  <c r="BK81" i="22"/>
  <c r="BO81" i="22"/>
  <c r="BL81" i="22"/>
  <c r="BN81" i="22"/>
  <c r="BM81" i="22"/>
  <c r="BJ81" i="22"/>
  <c r="L86" i="22"/>
  <c r="AO86" i="22" s="1"/>
  <c r="N86" i="22"/>
  <c r="CR86" i="22"/>
  <c r="BN35" i="22"/>
  <c r="BO35" i="22"/>
  <c r="BL35" i="22"/>
  <c r="BJ35" i="22"/>
  <c r="BM35" i="22"/>
  <c r="BI35" i="22"/>
  <c r="BK35" i="22"/>
  <c r="AL149" i="22"/>
  <c r="V149" i="22"/>
  <c r="AH149" i="22" s="1"/>
  <c r="BS149" i="22"/>
  <c r="BR149" i="22"/>
  <c r="BQ149" i="22"/>
  <c r="AN149" i="22"/>
  <c r="AM149" i="22"/>
  <c r="M149" i="22"/>
  <c r="O149" i="22" s="1"/>
  <c r="CP121" i="22"/>
  <c r="CQ121" i="22"/>
  <c r="CJ148" i="22"/>
  <c r="CE148" i="22"/>
  <c r="CD148" i="22"/>
  <c r="CC148" i="22"/>
  <c r="AN141" i="22"/>
  <c r="AM141" i="22"/>
  <c r="BQ141" i="22"/>
  <c r="AL141" i="22"/>
  <c r="AH141" i="22"/>
  <c r="V141" i="22"/>
  <c r="BS141" i="22"/>
  <c r="BR141" i="22"/>
  <c r="M141" i="22"/>
  <c r="O141" i="22" s="1"/>
  <c r="AG141" i="22"/>
  <c r="CP124" i="22"/>
  <c r="CQ124" i="22"/>
  <c r="AN129" i="22"/>
  <c r="AM129" i="22"/>
  <c r="AH129" i="22"/>
  <c r="V129" i="22"/>
  <c r="BS129" i="22"/>
  <c r="AG129" i="22"/>
  <c r="BQ129" i="22"/>
  <c r="BR129" i="22"/>
  <c r="AL129" i="22"/>
  <c r="M129" i="22"/>
  <c r="O129" i="22" s="1"/>
  <c r="V122" i="22"/>
  <c r="BQ122" i="22"/>
  <c r="AM122" i="22"/>
  <c r="BS122" i="22"/>
  <c r="BR122" i="22"/>
  <c r="AL122" i="22"/>
  <c r="AH122" i="22"/>
  <c r="AN122" i="22"/>
  <c r="M122" i="22"/>
  <c r="O122" i="22" s="1"/>
  <c r="W122" i="22" s="1"/>
  <c r="AG122" i="22"/>
  <c r="L27" i="22"/>
  <c r="AV27" i="22" s="1"/>
  <c r="N27" i="22"/>
  <c r="Y27" i="22" s="1"/>
  <c r="AR27" i="22"/>
  <c r="CR87" i="22"/>
  <c r="N87" i="22"/>
  <c r="Y87" i="22" s="1"/>
  <c r="L87" i="22"/>
  <c r="AO87" i="22" s="1"/>
  <c r="BN65" i="22"/>
  <c r="BJ65" i="22"/>
  <c r="BM65" i="22"/>
  <c r="BO65" i="22"/>
  <c r="BK65" i="22"/>
  <c r="BL65" i="22"/>
  <c r="BI65" i="22"/>
  <c r="CR80" i="22"/>
  <c r="L80" i="22"/>
  <c r="AO80" i="22" s="1"/>
  <c r="N80" i="22"/>
  <c r="Y80" i="22" s="1"/>
  <c r="AR80" i="22"/>
  <c r="BJ82" i="22"/>
  <c r="BI82" i="22"/>
  <c r="BK82" i="22"/>
  <c r="BN82" i="22"/>
  <c r="BL82" i="22"/>
  <c r="BO82" i="22"/>
  <c r="BM82" i="22"/>
  <c r="E74" i="22"/>
  <c r="CW74" i="22" s="1"/>
  <c r="N55" i="22"/>
  <c r="CR55" i="22"/>
  <c r="L55" i="22"/>
  <c r="AO55" i="22" s="1"/>
  <c r="L31" i="22"/>
  <c r="AV31" i="22" s="1"/>
  <c r="N31" i="22"/>
  <c r="AR31" i="22"/>
  <c r="BL69" i="22"/>
  <c r="BI69" i="22"/>
  <c r="BO69" i="22"/>
  <c r="BN69" i="22"/>
  <c r="BK69" i="22"/>
  <c r="BJ69" i="22"/>
  <c r="BM69" i="22"/>
  <c r="CR75" i="22"/>
  <c r="L75" i="22"/>
  <c r="AT75" i="22" s="1"/>
  <c r="AU75" i="22" s="1"/>
  <c r="N75" i="22"/>
  <c r="Y75" i="22" s="1"/>
  <c r="AR75" i="22"/>
  <c r="CZ87" i="22"/>
  <c r="E28" i="22"/>
  <c r="CR28" i="22" s="1"/>
  <c r="CZ61" i="22"/>
  <c r="L41" i="22"/>
  <c r="AO41" i="22" s="1"/>
  <c r="N41" i="22"/>
  <c r="CR41" i="22"/>
  <c r="AU116" i="22"/>
  <c r="AW116" i="22" s="1"/>
  <c r="AX116" i="22"/>
  <c r="AM134" i="22"/>
  <c r="V134" i="22"/>
  <c r="AH134" i="22" s="1"/>
  <c r="BS134" i="22"/>
  <c r="AN134" i="22"/>
  <c r="BR134" i="22"/>
  <c r="AL134" i="22"/>
  <c r="BQ134" i="22"/>
  <c r="M134" i="22"/>
  <c r="O134" i="22" s="1"/>
  <c r="W134" i="22" s="1"/>
  <c r="AT149" i="22"/>
  <c r="CQ122" i="22"/>
  <c r="CP122" i="22"/>
  <c r="V143" i="22"/>
  <c r="AH143" i="22" s="1"/>
  <c r="BS143" i="22"/>
  <c r="BR143" i="22"/>
  <c r="BQ143" i="22"/>
  <c r="AN143" i="22"/>
  <c r="AM143" i="22"/>
  <c r="AL143" i="22"/>
  <c r="M143" i="22"/>
  <c r="CJ149" i="22"/>
  <c r="CE149" i="22"/>
  <c r="CD149" i="22"/>
  <c r="CC149" i="22"/>
  <c r="CP127" i="22"/>
  <c r="CQ127" i="22"/>
  <c r="CQ111" i="22"/>
  <c r="CP111" i="22"/>
  <c r="AB145" i="22"/>
  <c r="AM120" i="22"/>
  <c r="BQ120" i="22"/>
  <c r="AL120" i="22"/>
  <c r="V120" i="22"/>
  <c r="AH120" i="22" s="1"/>
  <c r="AN120" i="22"/>
  <c r="BR120" i="22"/>
  <c r="BS120" i="22"/>
  <c r="M120" i="22"/>
  <c r="O120" i="22" s="1"/>
  <c r="BJ46" i="22"/>
  <c r="BO46" i="22"/>
  <c r="BL46" i="22"/>
  <c r="BN46" i="22"/>
  <c r="BK46" i="22"/>
  <c r="BI46" i="22"/>
  <c r="BM46" i="22"/>
  <c r="L38" i="22"/>
  <c r="AR38" i="22" s="1"/>
  <c r="N38" i="22"/>
  <c r="CR38" i="22"/>
  <c r="L88" i="22"/>
  <c r="AV88" i="22" s="1"/>
  <c r="N88" i="22"/>
  <c r="Y88" i="22" s="1"/>
  <c r="CR88" i="22"/>
  <c r="CR84" i="22"/>
  <c r="L84" i="22"/>
  <c r="AO84" i="22" s="1"/>
  <c r="N84" i="22"/>
  <c r="BI78" i="22"/>
  <c r="BN78" i="22"/>
  <c r="BK78" i="22"/>
  <c r="BO78" i="22"/>
  <c r="BJ78" i="22"/>
  <c r="BL78" i="22"/>
  <c r="BM78" i="22"/>
  <c r="CZ69" i="22"/>
  <c r="CR60" i="22"/>
  <c r="N60" i="22"/>
  <c r="Y60" i="22" s="1"/>
  <c r="AR60" i="22"/>
  <c r="L60" i="22"/>
  <c r="AT60" i="22" s="1"/>
  <c r="AU60" i="22" s="1"/>
  <c r="CZ64" i="22"/>
  <c r="BI52" i="22"/>
  <c r="BN52" i="22"/>
  <c r="BO52" i="22"/>
  <c r="BJ52" i="22"/>
  <c r="BM52" i="22"/>
  <c r="BL52" i="22"/>
  <c r="BK52" i="22"/>
  <c r="L82" i="22"/>
  <c r="AO82" i="22" s="1"/>
  <c r="N82" i="22"/>
  <c r="CR82" i="22"/>
  <c r="BL70" i="22"/>
  <c r="BJ70" i="22"/>
  <c r="BM70" i="22"/>
  <c r="BN70" i="22"/>
  <c r="BI70" i="22"/>
  <c r="BK70" i="22"/>
  <c r="BO70" i="22"/>
  <c r="E41" i="22"/>
  <c r="BL83" i="22"/>
  <c r="BJ83" i="22"/>
  <c r="BM83" i="22"/>
  <c r="BK83" i="22"/>
  <c r="BI83" i="22"/>
  <c r="BO83" i="22"/>
  <c r="BN83" i="22"/>
  <c r="L73" i="22"/>
  <c r="AO73" i="22" s="1"/>
  <c r="N73" i="22"/>
  <c r="CR73" i="22"/>
  <c r="CZ40" i="22"/>
  <c r="N85" i="22"/>
  <c r="L85" i="22"/>
  <c r="AO85" i="22" s="1"/>
  <c r="CR85" i="22"/>
  <c r="CZ73" i="22"/>
  <c r="N57" i="22"/>
  <c r="L57" i="22"/>
  <c r="AT57" i="22" s="1"/>
  <c r="AU57" i="22" s="1"/>
  <c r="CR57" i="22"/>
  <c r="CZ50" i="22"/>
  <c r="BN76" i="22"/>
  <c r="BO76" i="22"/>
  <c r="BI76" i="22"/>
  <c r="BJ76" i="22"/>
  <c r="BM76" i="22"/>
  <c r="BK76" i="22"/>
  <c r="BL76" i="22"/>
  <c r="L43" i="22"/>
  <c r="AR43" i="22" s="1"/>
  <c r="CR43" i="22"/>
  <c r="N43" i="22"/>
  <c r="AU151" i="22"/>
  <c r="AW151" i="22" s="1"/>
  <c r="AX151" i="22"/>
  <c r="CP113" i="22"/>
  <c r="CQ113" i="22"/>
  <c r="AV149" i="22"/>
  <c r="CE122" i="22"/>
  <c r="CJ122" i="22"/>
  <c r="CD122" i="22"/>
  <c r="CC122" i="22"/>
  <c r="N58" i="22"/>
  <c r="Y58" i="22" s="1"/>
  <c r="L58" i="22"/>
  <c r="AV58" i="22" s="1"/>
  <c r="CR58" i="22"/>
  <c r="CE128" i="22"/>
  <c r="CJ128" i="22"/>
  <c r="CC128" i="22"/>
  <c r="CD128" i="22"/>
  <c r="CJ129" i="22"/>
  <c r="AT111" i="22"/>
  <c r="AU111" i="22" s="1"/>
  <c r="AN115" i="22"/>
  <c r="AM115" i="22"/>
  <c r="AL115" i="22"/>
  <c r="V115" i="22"/>
  <c r="AH115" i="22" s="1"/>
  <c r="BS115" i="22"/>
  <c r="BQ115" i="22"/>
  <c r="BR115" i="22"/>
  <c r="M115" i="22"/>
  <c r="AN126" i="22"/>
  <c r="BQ126" i="22"/>
  <c r="AL126" i="22"/>
  <c r="BR126" i="22"/>
  <c r="AM126" i="22"/>
  <c r="V126" i="22"/>
  <c r="BS126" i="22"/>
  <c r="AH126" i="22"/>
  <c r="M126" i="22"/>
  <c r="O126" i="22" s="1"/>
  <c r="AG126" i="22"/>
  <c r="AN112" i="22"/>
  <c r="AG112" i="22"/>
  <c r="AM112" i="22"/>
  <c r="V112" i="22"/>
  <c r="BS112" i="22"/>
  <c r="AL112" i="22"/>
  <c r="BQ112" i="22"/>
  <c r="BR112" i="22"/>
  <c r="AH112" i="22"/>
  <c r="M112" i="22"/>
  <c r="O112" i="22" s="1"/>
  <c r="CP134" i="22"/>
  <c r="CQ134" i="22"/>
  <c r="AJ145" i="22"/>
  <c r="X145" i="22" s="1"/>
  <c r="CJ137" i="22"/>
  <c r="CE137" i="22"/>
  <c r="CD137" i="22"/>
  <c r="CC137" i="22"/>
  <c r="BI47" i="22"/>
  <c r="BN47" i="22"/>
  <c r="BK47" i="22"/>
  <c r="BO47" i="22"/>
  <c r="BM47" i="22"/>
  <c r="BL47" i="22"/>
  <c r="BJ47" i="22"/>
  <c r="CR68" i="22"/>
  <c r="L68" i="22"/>
  <c r="AV68" i="22" s="1"/>
  <c r="N68" i="22"/>
  <c r="BJ79" i="22"/>
  <c r="BK79" i="22"/>
  <c r="BL79" i="22"/>
  <c r="BN79" i="22"/>
  <c r="BI79" i="22"/>
  <c r="BM79" i="22"/>
  <c r="BO79" i="22"/>
  <c r="CR64" i="22"/>
  <c r="L64" i="22"/>
  <c r="AV64" i="22" s="1"/>
  <c r="N64" i="22"/>
  <c r="Y64" i="22" s="1"/>
  <c r="AR64" i="22"/>
  <c r="N28" i="22"/>
  <c r="Y28" i="22" s="1"/>
  <c r="AR28" i="22"/>
  <c r="L28" i="22"/>
  <c r="AV28" i="22" s="1"/>
  <c r="L76" i="22"/>
  <c r="AO76" i="22" s="1"/>
  <c r="CR76" i="22"/>
  <c r="N76" i="22"/>
  <c r="Y76" i="22" s="1"/>
  <c r="N44" i="22"/>
  <c r="L44" i="22"/>
  <c r="AO44" i="22" s="1"/>
  <c r="CR44" i="22"/>
  <c r="BI44" i="22"/>
  <c r="BN44" i="22"/>
  <c r="BO44" i="22"/>
  <c r="BJ44" i="22"/>
  <c r="BL44" i="22"/>
  <c r="BM44" i="22"/>
  <c r="BK44" i="22"/>
  <c r="CP136" i="22"/>
  <c r="CQ136" i="22"/>
  <c r="AU145" i="22"/>
  <c r="AW145" i="22" s="1"/>
  <c r="AX145" i="22"/>
  <c r="BO39" i="22"/>
  <c r="BM39" i="22"/>
  <c r="BL39" i="22"/>
  <c r="BJ39" i="22"/>
  <c r="BN39" i="22"/>
  <c r="BK39" i="22"/>
  <c r="BI39" i="22"/>
  <c r="BI67" i="22"/>
  <c r="BJ67" i="22"/>
  <c r="BM67" i="22"/>
  <c r="BK67" i="22"/>
  <c r="BN67" i="22"/>
  <c r="BO67" i="22"/>
  <c r="BL67" i="22"/>
  <c r="CR63" i="22"/>
  <c r="L63" i="22"/>
  <c r="AO63" i="22" s="1"/>
  <c r="N63" i="22"/>
  <c r="Y63" i="22" s="1"/>
  <c r="BK73" i="22"/>
  <c r="BN73" i="22"/>
  <c r="BO73" i="22"/>
  <c r="BI73" i="22"/>
  <c r="BJ73" i="22"/>
  <c r="BL73" i="22"/>
  <c r="BM73" i="22"/>
  <c r="CR56" i="22"/>
  <c r="N56" i="22"/>
  <c r="L56" i="22"/>
  <c r="AO56" i="22" s="1"/>
  <c r="BY45" i="22"/>
  <c r="I45" i="22"/>
  <c r="CB45" i="22"/>
  <c r="E51" i="22"/>
  <c r="CZ84" i="22"/>
  <c r="BO66" i="22"/>
  <c r="BJ66" i="22"/>
  <c r="BI66" i="22"/>
  <c r="BK66" i="22"/>
  <c r="BL66" i="22"/>
  <c r="BM66" i="22"/>
  <c r="BN66" i="22"/>
  <c r="E27" i="22"/>
  <c r="CR27" i="22" s="1"/>
  <c r="I60" i="22"/>
  <c r="CB60" i="22"/>
  <c r="BY60" i="22"/>
  <c r="CR45" i="22"/>
  <c r="L45" i="22"/>
  <c r="AO45" i="22" s="1"/>
  <c r="N45" i="22"/>
  <c r="Y45" i="22" s="1"/>
  <c r="E38" i="22"/>
  <c r="BN56" i="22"/>
  <c r="BI56" i="22"/>
  <c r="BO56" i="22"/>
  <c r="BL56" i="22"/>
  <c r="BJ56" i="22"/>
  <c r="BM56" i="22"/>
  <c r="BK56" i="22"/>
  <c r="AJ152" i="22"/>
  <c r="X152" i="22" s="1"/>
  <c r="AT113" i="22"/>
  <c r="AU113" i="22" s="1"/>
  <c r="CE129" i="22"/>
  <c r="CD129" i="22"/>
  <c r="CC129" i="22"/>
  <c r="AM127" i="22"/>
  <c r="BQ127" i="22"/>
  <c r="AL127" i="22"/>
  <c r="AH127" i="22"/>
  <c r="V127" i="22"/>
  <c r="AN127" i="22"/>
  <c r="BS127" i="22"/>
  <c r="BR127" i="22"/>
  <c r="M127" i="22"/>
  <c r="O127" i="22" s="1"/>
  <c r="CE141" i="22"/>
  <c r="CJ141" i="22"/>
  <c r="CC141" i="22"/>
  <c r="CJ112" i="22"/>
  <c r="CE112" i="22"/>
  <c r="CD112" i="22"/>
  <c r="CC112" i="22"/>
  <c r="BM29" i="22"/>
  <c r="BL29" i="22"/>
  <c r="BJ29" i="22"/>
  <c r="BO29" i="22"/>
  <c r="BK29" i="22"/>
  <c r="BN29" i="22"/>
  <c r="BI29" i="22"/>
  <c r="E37" i="22"/>
  <c r="CW37" i="22" s="1"/>
  <c r="CR74" i="22"/>
  <c r="L74" i="22"/>
  <c r="AO74" i="22" s="1"/>
  <c r="N74" i="22"/>
  <c r="L67" i="22"/>
  <c r="AV67" i="22" s="1"/>
  <c r="N67" i="22"/>
  <c r="CR67" i="22"/>
  <c r="BN53" i="22"/>
  <c r="BI53" i="22"/>
  <c r="BM53" i="22"/>
  <c r="BL53" i="22"/>
  <c r="BK53" i="22"/>
  <c r="BO53" i="22"/>
  <c r="BJ53" i="22"/>
  <c r="L69" i="22"/>
  <c r="AR69" i="22" s="1"/>
  <c r="N69" i="22"/>
  <c r="CR69" i="22"/>
  <c r="BM85" i="22"/>
  <c r="BK85" i="22"/>
  <c r="BI85" i="22"/>
  <c r="BJ85" i="22"/>
  <c r="BO85" i="22"/>
  <c r="BN85" i="22"/>
  <c r="BL85" i="22"/>
  <c r="E35" i="22"/>
  <c r="CW35" i="22" s="1"/>
  <c r="BI77" i="22"/>
  <c r="BK77" i="22"/>
  <c r="BO77" i="22"/>
  <c r="BL77" i="22"/>
  <c r="BM77" i="22"/>
  <c r="BJ77" i="22"/>
  <c r="BN77" i="22"/>
  <c r="BO58" i="22"/>
  <c r="BI58" i="22"/>
  <c r="BN58" i="22"/>
  <c r="BM58" i="22"/>
  <c r="BL58" i="22"/>
  <c r="BK58" i="22"/>
  <c r="BJ58" i="22"/>
  <c r="CR79" i="22"/>
  <c r="N79" i="22"/>
  <c r="Y79" i="22" s="1"/>
  <c r="L79" i="22"/>
  <c r="AT79" i="22" s="1"/>
  <c r="AU79" i="22" s="1"/>
  <c r="AR79" i="22"/>
  <c r="CR81" i="22"/>
  <c r="N81" i="22"/>
  <c r="L81" i="22"/>
  <c r="AO81" i="22" s="1"/>
  <c r="CZ48" i="22"/>
  <c r="N47" i="22"/>
  <c r="L47" i="22"/>
  <c r="AT47" i="22" s="1"/>
  <c r="AU47" i="22" s="1"/>
  <c r="CR47" i="22"/>
  <c r="AR47" i="22"/>
  <c r="BI27" i="22"/>
  <c r="BK27" i="22"/>
  <c r="BO27" i="22"/>
  <c r="BN27" i="22"/>
  <c r="BM27" i="22"/>
  <c r="BJ27" i="22"/>
  <c r="BL27" i="22"/>
  <c r="E73" i="22"/>
  <c r="AU152" i="22"/>
  <c r="AW152" i="22" s="1"/>
  <c r="AX152" i="22"/>
  <c r="CD138" i="22"/>
  <c r="CJ138" i="22"/>
  <c r="CE138" i="22"/>
  <c r="CC138" i="22"/>
  <c r="CQ138" i="22"/>
  <c r="CP138" i="22"/>
  <c r="CQ123" i="22"/>
  <c r="CP123" i="22"/>
  <c r="CE113" i="22"/>
  <c r="CJ113" i="22"/>
  <c r="CC113" i="22"/>
  <c r="CD113" i="22"/>
  <c r="CJ121" i="22"/>
  <c r="CE121" i="22"/>
  <c r="CD121" i="22"/>
  <c r="CC121" i="22"/>
  <c r="BJ88" i="22"/>
  <c r="BI88" i="22"/>
  <c r="BK88" i="22"/>
  <c r="BL88" i="22"/>
  <c r="BN88" i="22"/>
  <c r="BO88" i="22"/>
  <c r="BM88" i="22"/>
  <c r="BI49" i="22"/>
  <c r="BN49" i="22"/>
  <c r="BM49" i="22"/>
  <c r="BL49" i="22"/>
  <c r="BK49" i="22"/>
  <c r="BJ49" i="22"/>
  <c r="BO49" i="22"/>
  <c r="E68" i="22"/>
  <c r="CW68" i="22" s="1"/>
  <c r="BM54" i="22"/>
  <c r="BN54" i="22"/>
  <c r="BK54" i="22"/>
  <c r="BJ54" i="22"/>
  <c r="BL54" i="22"/>
  <c r="BO54" i="22"/>
  <c r="BI54" i="22"/>
  <c r="BN80" i="22"/>
  <c r="BO80" i="22"/>
  <c r="BL80" i="22"/>
  <c r="BI80" i="22"/>
  <c r="BM80" i="22"/>
  <c r="BK80" i="22"/>
  <c r="BJ80" i="22"/>
  <c r="E34" i="22"/>
  <c r="CW34" i="22" s="1"/>
  <c r="L26" i="22"/>
  <c r="AV26" i="22" s="1"/>
  <c r="AR26" i="22"/>
  <c r="N26" i="22"/>
  <c r="Y26" i="22" s="1"/>
  <c r="CZ68" i="22"/>
  <c r="L59" i="22"/>
  <c r="AV59" i="22" s="1"/>
  <c r="N59" i="22"/>
  <c r="CR59" i="22"/>
  <c r="AR59" i="22"/>
  <c r="N77" i="22"/>
  <c r="Y77" i="22" s="1"/>
  <c r="L77" i="22"/>
  <c r="AO77" i="22" s="1"/>
  <c r="CR77" i="22"/>
  <c r="I61" i="22"/>
  <c r="CB61" i="22"/>
  <c r="BY61" i="22"/>
  <c r="L54" i="22"/>
  <c r="AO54" i="22" s="1"/>
  <c r="N54" i="22"/>
  <c r="CR54" i="22"/>
  <c r="CR65" i="22"/>
  <c r="N65" i="22"/>
  <c r="Y65" i="22" s="1"/>
  <c r="L65" i="22"/>
  <c r="AO65" i="22" s="1"/>
  <c r="BK51" i="22"/>
  <c r="BI51" i="22"/>
  <c r="BO51" i="22"/>
  <c r="BM51" i="22"/>
  <c r="BJ51" i="22"/>
  <c r="BL51" i="22"/>
  <c r="BN51" i="22"/>
  <c r="E85" i="22"/>
  <c r="L62" i="22"/>
  <c r="AV62" i="22" s="1"/>
  <c r="N62" i="22"/>
  <c r="Y62" i="22" s="1"/>
  <c r="CR62" i="22"/>
  <c r="AR62" i="22"/>
  <c r="BL38" i="22"/>
  <c r="BK38" i="22"/>
  <c r="BO38" i="22"/>
  <c r="BN38" i="22"/>
  <c r="BI38" i="22"/>
  <c r="BJ38" i="22"/>
  <c r="BM38" i="22"/>
  <c r="CJ126" i="22"/>
  <c r="CE126" i="22"/>
  <c r="CC126" i="22"/>
  <c r="CD126" i="22"/>
  <c r="CJ123" i="22"/>
  <c r="CE123" i="22"/>
  <c r="CC123" i="22"/>
  <c r="CD123" i="22"/>
  <c r="AV148" i="22"/>
  <c r="CQ149" i="22"/>
  <c r="CP149" i="22"/>
  <c r="AL138" i="22"/>
  <c r="V138" i="22"/>
  <c r="AN138" i="22"/>
  <c r="BR138" i="22"/>
  <c r="AM138" i="22"/>
  <c r="BQ138" i="22"/>
  <c r="BS138" i="22"/>
  <c r="AH138" i="22"/>
  <c r="M138" i="22"/>
  <c r="O138" i="22" s="1"/>
  <c r="AG138" i="22"/>
  <c r="V137" i="22"/>
  <c r="BR137" i="22"/>
  <c r="AN137" i="22"/>
  <c r="AM137" i="22"/>
  <c r="AH137" i="22"/>
  <c r="BQ137" i="22"/>
  <c r="BS137" i="22"/>
  <c r="AL137" i="22"/>
  <c r="AG137" i="22"/>
  <c r="M137" i="22"/>
  <c r="O137" i="22" s="1"/>
  <c r="AR136" i="22"/>
  <c r="BR136" i="22"/>
  <c r="BQ136" i="22"/>
  <c r="V136" i="22"/>
  <c r="AH136" i="22"/>
  <c r="AN136" i="22"/>
  <c r="AM136" i="22"/>
  <c r="AL136" i="22"/>
  <c r="AG136" i="22"/>
  <c r="BS136" i="22"/>
  <c r="M136" i="22"/>
  <c r="O136" i="22" s="1"/>
  <c r="BS111" i="22"/>
  <c r="AN111" i="22"/>
  <c r="AM111" i="22"/>
  <c r="V111" i="22"/>
  <c r="AL111" i="22"/>
  <c r="BR111" i="22"/>
  <c r="BQ111" i="22"/>
  <c r="AH111" i="22"/>
  <c r="AG111" i="22"/>
  <c r="M111" i="22"/>
  <c r="O111" i="22" s="1"/>
  <c r="CQ137" i="22"/>
  <c r="CP137" i="22"/>
  <c r="AN146" i="22"/>
  <c r="AM146" i="22"/>
  <c r="AL146" i="22"/>
  <c r="AH146" i="22"/>
  <c r="V146" i="22"/>
  <c r="BS146" i="22"/>
  <c r="AG146" i="22"/>
  <c r="BR146" i="22"/>
  <c r="BQ146" i="22"/>
  <c r="M146" i="22"/>
  <c r="O146" i="22" s="1"/>
  <c r="L25" i="22"/>
  <c r="AT25" i="22" s="1"/>
  <c r="AU25" i="22" s="1"/>
  <c r="N25" i="22"/>
  <c r="Y25" i="22" s="1"/>
  <c r="AR25" i="22"/>
  <c r="BI87" i="22"/>
  <c r="BK87" i="22"/>
  <c r="BM87" i="22"/>
  <c r="BO87" i="22"/>
  <c r="BJ87" i="22"/>
  <c r="BN87" i="22"/>
  <c r="BL87" i="22"/>
  <c r="E80" i="22"/>
  <c r="E56" i="22"/>
  <c r="BM28" i="22"/>
  <c r="BJ28" i="22"/>
  <c r="BL28" i="22"/>
  <c r="BK28" i="22"/>
  <c r="BN28" i="22"/>
  <c r="BO28" i="22"/>
  <c r="BI28" i="22"/>
  <c r="CZ78" i="22"/>
  <c r="N34" i="22"/>
  <c r="L34" i="22"/>
  <c r="AV34" i="22" s="1"/>
  <c r="AR34" i="22"/>
  <c r="E29" i="22"/>
  <c r="N30" i="22"/>
  <c r="L30" i="22"/>
  <c r="AT30" i="22" s="1"/>
  <c r="AU30" i="22" s="1"/>
  <c r="CR30" i="22"/>
  <c r="E44" i="22"/>
  <c r="CW44" i="22" s="1"/>
  <c r="CZ83" i="22"/>
  <c r="L72" i="22"/>
  <c r="AO72" i="22" s="1"/>
  <c r="CR72" i="22"/>
  <c r="N72" i="22"/>
  <c r="E36" i="22"/>
  <c r="BL30" i="22"/>
  <c r="BK30" i="22"/>
  <c r="BO30" i="22"/>
  <c r="BJ30" i="22"/>
  <c r="BM30" i="22"/>
  <c r="BI30" i="22"/>
  <c r="BN30" i="22"/>
  <c r="BM71" i="22"/>
  <c r="BN71" i="22"/>
  <c r="BJ71" i="22"/>
  <c r="BL71" i="22"/>
  <c r="BO71" i="22"/>
  <c r="BI71" i="22"/>
  <c r="BK71" i="22"/>
  <c r="N48" i="22"/>
  <c r="L48" i="22"/>
  <c r="AT48" i="22" s="1"/>
  <c r="AU48" i="22" s="1"/>
  <c r="CR48" i="22"/>
  <c r="AR48" i="22"/>
  <c r="E48" i="22"/>
  <c r="BJ36" i="22"/>
  <c r="BL36" i="22"/>
  <c r="BK36" i="22"/>
  <c r="BO36" i="22"/>
  <c r="BM36" i="22"/>
  <c r="BI36" i="22"/>
  <c r="BN36" i="22"/>
  <c r="CZ56" i="22"/>
  <c r="E43" i="22"/>
  <c r="E63" i="22"/>
  <c r="CQ129" i="22"/>
  <c r="CP129" i="22"/>
  <c r="AN123" i="22"/>
  <c r="AL123" i="22"/>
  <c r="AH123" i="22"/>
  <c r="BR123" i="22"/>
  <c r="BS123" i="22"/>
  <c r="BQ123" i="22"/>
  <c r="AM123" i="22"/>
  <c r="V123" i="22"/>
  <c r="AG123" i="22"/>
  <c r="M123" i="22"/>
  <c r="O123" i="22" s="1"/>
  <c r="AN124" i="22"/>
  <c r="BR124" i="22"/>
  <c r="AL124" i="22"/>
  <c r="V124" i="22"/>
  <c r="AM124" i="22"/>
  <c r="BQ124" i="22"/>
  <c r="AH124" i="22"/>
  <c r="BS124" i="22"/>
  <c r="M124" i="22"/>
  <c r="O124" i="22" s="1"/>
  <c r="AG124" i="22"/>
  <c r="CQ115" i="22"/>
  <c r="CP115" i="22"/>
  <c r="V113" i="22"/>
  <c r="AH113" i="22" s="1"/>
  <c r="AL113" i="22"/>
  <c r="AM113" i="22"/>
  <c r="AN113" i="22"/>
  <c r="BQ113" i="22"/>
  <c r="BS113" i="22"/>
  <c r="M113" i="22"/>
  <c r="O113" i="22" s="1"/>
  <c r="BR113" i="22"/>
  <c r="L35" i="22"/>
  <c r="AT35" i="22" s="1"/>
  <c r="AU35" i="22" s="1"/>
  <c r="N35" i="22"/>
  <c r="E88" i="22"/>
  <c r="L29" i="22"/>
  <c r="AT29" i="22" s="1"/>
  <c r="AU29" i="22" s="1"/>
  <c r="N29" i="22"/>
  <c r="CR29" i="22"/>
  <c r="BI63" i="22"/>
  <c r="BL63" i="22"/>
  <c r="BO63" i="22"/>
  <c r="BK63" i="22"/>
  <c r="BN63" i="22"/>
  <c r="BJ63" i="22"/>
  <c r="BM63" i="22"/>
  <c r="BJ64" i="22"/>
  <c r="BO64" i="22"/>
  <c r="BL64" i="22"/>
  <c r="BK64" i="22"/>
  <c r="BM64" i="22"/>
  <c r="BI64" i="22"/>
  <c r="BN64" i="22"/>
  <c r="E76" i="22"/>
  <c r="E57" i="22"/>
  <c r="BK32" i="22"/>
  <c r="BI32" i="22"/>
  <c r="BM32" i="22"/>
  <c r="BL32" i="22"/>
  <c r="BN32" i="22"/>
  <c r="BJ32" i="22"/>
  <c r="BO32" i="22"/>
  <c r="BL86" i="22"/>
  <c r="BK86" i="22"/>
  <c r="BJ86" i="22"/>
  <c r="BM86" i="22"/>
  <c r="BO86" i="22"/>
  <c r="BI86" i="22"/>
  <c r="BN86" i="22"/>
  <c r="E50" i="22"/>
  <c r="BI84" i="22"/>
  <c r="BL84" i="22"/>
  <c r="BO84" i="22"/>
  <c r="BN84" i="22"/>
  <c r="BK84" i="22"/>
  <c r="BM84" i="22"/>
  <c r="BJ84" i="22"/>
  <c r="BN26" i="22"/>
  <c r="BJ26" i="22"/>
  <c r="BM26" i="22"/>
  <c r="BO26" i="22"/>
  <c r="BI26" i="22"/>
  <c r="BL26" i="22"/>
  <c r="BK26" i="22"/>
  <c r="L53" i="22"/>
  <c r="AO53" i="22" s="1"/>
  <c r="CR53" i="22"/>
  <c r="N53" i="22"/>
  <c r="E71" i="22"/>
  <c r="CZ27" i="22"/>
  <c r="E69" i="22"/>
  <c r="CW69" i="22" s="1"/>
  <c r="CZ44" i="22"/>
  <c r="CZ41" i="22"/>
  <c r="CQ128" i="22"/>
  <c r="CP128" i="22"/>
  <c r="AB150" i="22"/>
  <c r="CQ126" i="22"/>
  <c r="CP126" i="22"/>
  <c r="AT146" i="22"/>
  <c r="CJ118" i="22"/>
  <c r="CE118" i="22"/>
  <c r="CD118" i="22"/>
  <c r="CC118" i="22"/>
  <c r="CJ146" i="22"/>
  <c r="CE146" i="22"/>
  <c r="CD146" i="22"/>
  <c r="CC146" i="22"/>
  <c r="CP146" i="22"/>
  <c r="CQ146" i="22"/>
  <c r="L50" i="22"/>
  <c r="AT50" i="22" s="1"/>
  <c r="AU50" i="22" s="1"/>
  <c r="N50" i="22"/>
  <c r="CR50" i="22"/>
  <c r="AR50" i="22"/>
  <c r="CR83" i="22"/>
  <c r="L83" i="22"/>
  <c r="AO83" i="22" s="1"/>
  <c r="N83" i="22"/>
  <c r="CZ28" i="22"/>
  <c r="BL41" i="22"/>
  <c r="BJ41" i="22"/>
  <c r="BO41" i="22"/>
  <c r="BK41" i="22"/>
  <c r="BM41" i="22"/>
  <c r="BI41" i="22"/>
  <c r="BN41" i="22"/>
  <c r="BJ31" i="22"/>
  <c r="BN31" i="22"/>
  <c r="BL31" i="22"/>
  <c r="BM31" i="22"/>
  <c r="BO31" i="22"/>
  <c r="BK31" i="22"/>
  <c r="BI31" i="22"/>
  <c r="BI75" i="22"/>
  <c r="BO75" i="22"/>
  <c r="BN75" i="22"/>
  <c r="BK75" i="22"/>
  <c r="BM75" i="22"/>
  <c r="BL75" i="22"/>
  <c r="BJ75" i="22"/>
  <c r="CZ60" i="22"/>
  <c r="L39" i="22"/>
  <c r="AV39" i="22" s="1"/>
  <c r="N39" i="22"/>
  <c r="Y39" i="22" s="1"/>
  <c r="AR39" i="22"/>
  <c r="E47" i="22"/>
  <c r="L78" i="22"/>
  <c r="AT78" i="22" s="1"/>
  <c r="AU78" i="22" s="1"/>
  <c r="N78" i="22"/>
  <c r="Y78" i="22" s="1"/>
  <c r="CR78" i="22"/>
  <c r="AR78" i="22"/>
  <c r="N32" i="22"/>
  <c r="Y32" i="22" s="1"/>
  <c r="L32" i="22"/>
  <c r="AO32" i="22" s="1"/>
  <c r="CR32" i="22"/>
  <c r="CR51" i="22"/>
  <c r="N51" i="22"/>
  <c r="L51" i="22"/>
  <c r="AT51" i="22" s="1"/>
  <c r="AU51" i="22" s="1"/>
  <c r="CR46" i="22"/>
  <c r="N46" i="22"/>
  <c r="L46" i="22"/>
  <c r="AT46" i="22" s="1"/>
  <c r="AU46" i="22" s="1"/>
  <c r="CZ37" i="22"/>
  <c r="CZ88" i="22"/>
  <c r="CZ86" i="22"/>
  <c r="AJ150" i="22"/>
  <c r="X150" i="22" s="1"/>
  <c r="CJ110" i="22"/>
  <c r="CE110" i="22"/>
  <c r="CC110" i="22"/>
  <c r="AT148" i="22"/>
  <c r="AV146" i="22"/>
  <c r="CE127" i="22"/>
  <c r="CJ127" i="22"/>
  <c r="CD127" i="22"/>
  <c r="CC127" i="22"/>
  <c r="CQ143" i="22"/>
  <c r="CP143" i="22"/>
  <c r="AR129" i="22"/>
  <c r="BN61" i="22"/>
  <c r="BO61" i="22"/>
  <c r="BK61" i="22"/>
  <c r="BI61" i="22"/>
  <c r="BJ61" i="22"/>
  <c r="BL61" i="22"/>
  <c r="BM61" i="22"/>
  <c r="CR70" i="22"/>
  <c r="N70" i="22"/>
  <c r="Y70" i="22" s="1"/>
  <c r="L70" i="22"/>
  <c r="AO70" i="22" s="1"/>
  <c r="AR70" i="22"/>
  <c r="BM37" i="22"/>
  <c r="BK37" i="22"/>
  <c r="BJ37" i="22"/>
  <c r="BI37" i="22"/>
  <c r="BL37" i="22"/>
  <c r="BO37" i="22"/>
  <c r="BN37" i="22"/>
  <c r="CZ55" i="22"/>
  <c r="CZ38" i="22"/>
  <c r="E58" i="22"/>
  <c r="CZ74" i="22"/>
  <c r="BK34" i="22"/>
  <c r="BO34" i="22"/>
  <c r="BN34" i="22"/>
  <c r="BM34" i="22"/>
  <c r="BJ34" i="22"/>
  <c r="BI34" i="22"/>
  <c r="BL34" i="22"/>
  <c r="BK59" i="22"/>
  <c r="BN59" i="22"/>
  <c r="BO59" i="22"/>
  <c r="BM59" i="22"/>
  <c r="BL59" i="22"/>
  <c r="BI59" i="22"/>
  <c r="BJ59" i="22"/>
  <c r="CR71" i="22"/>
  <c r="L71" i="22"/>
  <c r="AO71" i="22" s="1"/>
  <c r="N71" i="22"/>
  <c r="E25" i="22"/>
  <c r="CW25" i="22" s="1"/>
  <c r="BI45" i="22"/>
  <c r="BM45" i="22"/>
  <c r="BK45" i="22"/>
  <c r="BJ45" i="22"/>
  <c r="BO45" i="22"/>
  <c r="BL45" i="22"/>
  <c r="BN45" i="22"/>
  <c r="E84" i="22"/>
  <c r="CW84" i="22" s="1"/>
  <c r="CR66" i="22"/>
  <c r="L66" i="22"/>
  <c r="AR66" i="22" s="1"/>
  <c r="N66" i="22"/>
  <c r="BN62" i="22"/>
  <c r="BJ62" i="22"/>
  <c r="BO62" i="22"/>
  <c r="BM62" i="22"/>
  <c r="BI62" i="22"/>
  <c r="BL62" i="22"/>
  <c r="BK62" i="22"/>
  <c r="L37" i="22"/>
  <c r="AV37" i="22" s="1"/>
  <c r="N37" i="22"/>
  <c r="CR37" i="22"/>
  <c r="BN55" i="22"/>
  <c r="BO55" i="22"/>
  <c r="BK55" i="22"/>
  <c r="BL55" i="22"/>
  <c r="BJ55" i="22"/>
  <c r="BM55" i="22"/>
  <c r="BI55" i="22"/>
  <c r="CJ135" i="22"/>
  <c r="CE135" i="22"/>
  <c r="CD135" i="22"/>
  <c r="CC135" i="22"/>
  <c r="CP118" i="22"/>
  <c r="CQ118" i="22"/>
  <c r="M121" i="22"/>
  <c r="O121" i="22" s="1"/>
  <c r="AL121" i="22"/>
  <c r="AH121" i="22"/>
  <c r="V121" i="22"/>
  <c r="BR121" i="22"/>
  <c r="BS121" i="22"/>
  <c r="AM121" i="22"/>
  <c r="AN121" i="22"/>
  <c r="BQ121" i="22"/>
  <c r="AG121" i="22"/>
  <c r="CJ143" i="22"/>
  <c r="CE143" i="22"/>
  <c r="CD143" i="22"/>
  <c r="CC143" i="22"/>
  <c r="CJ115" i="22"/>
  <c r="CE115" i="22"/>
  <c r="CC115" i="22"/>
  <c r="CD115" i="22"/>
  <c r="CQ112" i="22"/>
  <c r="CP112" i="22"/>
  <c r="BQ135" i="22"/>
  <c r="AN135" i="22"/>
  <c r="AM135" i="22"/>
  <c r="V135" i="22"/>
  <c r="AH135" i="22" s="1"/>
  <c r="AL135" i="22"/>
  <c r="BS135" i="22"/>
  <c r="BR135" i="22"/>
  <c r="M135" i="22"/>
  <c r="AM128" i="22"/>
  <c r="AN128" i="22"/>
  <c r="AL128" i="22"/>
  <c r="AH128" i="22"/>
  <c r="BS128" i="22"/>
  <c r="BQ128" i="22"/>
  <c r="BR128" i="22"/>
  <c r="M128" i="22"/>
  <c r="AG128" i="22"/>
  <c r="E62" i="22"/>
  <c r="E33" i="22"/>
  <c r="CW33" i="22" s="1"/>
  <c r="E67" i="22"/>
  <c r="BI50" i="22"/>
  <c r="BJ50" i="22"/>
  <c r="BN50" i="22"/>
  <c r="BL50" i="22"/>
  <c r="BO50" i="22"/>
  <c r="BM50" i="22"/>
  <c r="BK50" i="22"/>
  <c r="L33" i="22"/>
  <c r="AV33" i="22" s="1"/>
  <c r="N33" i="22"/>
  <c r="CR33" i="22"/>
  <c r="BN33" i="22"/>
  <c r="BI33" i="22"/>
  <c r="BK33" i="22"/>
  <c r="BL33" i="22"/>
  <c r="BO33" i="22"/>
  <c r="BJ33" i="22"/>
  <c r="BM33" i="22"/>
  <c r="BK48" i="22"/>
  <c r="BM48" i="22"/>
  <c r="BI48" i="22"/>
  <c r="BO48" i="22"/>
  <c r="BN48" i="22"/>
  <c r="BL48" i="22"/>
  <c r="BJ48" i="22"/>
  <c r="CZ82" i="22"/>
  <c r="CZ39" i="22"/>
  <c r="BN60" i="22"/>
  <c r="BO60" i="22"/>
  <c r="BK60" i="22"/>
  <c r="BL60" i="22"/>
  <c r="BM60" i="22"/>
  <c r="BJ60" i="22"/>
  <c r="BI60" i="22"/>
  <c r="N36" i="22"/>
  <c r="L36" i="22"/>
  <c r="AR36" i="22" s="1"/>
  <c r="CR36" i="22"/>
  <c r="N52" i="22"/>
  <c r="Y52" i="22" s="1"/>
  <c r="CR52" i="22"/>
  <c r="L52" i="22"/>
  <c r="AT52" i="22" s="1"/>
  <c r="AU52" i="22" s="1"/>
  <c r="CZ58" i="22"/>
  <c r="CZ35" i="22"/>
  <c r="BL40" i="22"/>
  <c r="BI40" i="22"/>
  <c r="BN40" i="22"/>
  <c r="BK40" i="22"/>
  <c r="BO40" i="22"/>
  <c r="BM40" i="22"/>
  <c r="BJ40" i="22"/>
  <c r="BK72" i="22"/>
  <c r="BO72" i="22"/>
  <c r="BJ72" i="22"/>
  <c r="BN72" i="22"/>
  <c r="BI72" i="22"/>
  <c r="BL72" i="22"/>
  <c r="BM72" i="22"/>
  <c r="BM43" i="22"/>
  <c r="BN43" i="22"/>
  <c r="BL43" i="22"/>
  <c r="BI43" i="22"/>
  <c r="BK43" i="22"/>
  <c r="BO43" i="22"/>
  <c r="BJ43" i="22"/>
  <c r="CZ71" i="22"/>
  <c r="CR49" i="22"/>
  <c r="L49" i="22"/>
  <c r="AO49" i="22" s="1"/>
  <c r="N49" i="22"/>
  <c r="Y49" i="22" s="1"/>
  <c r="AV112" i="22"/>
  <c r="CP135" i="22"/>
  <c r="CQ135" i="22"/>
  <c r="CQ120" i="22"/>
  <c r="CP120" i="22"/>
  <c r="CZ18" i="22"/>
  <c r="E18" i="22"/>
  <c r="CR18" i="22" s="1"/>
  <c r="N18" i="22"/>
  <c r="L18" i="22"/>
  <c r="AR18" i="22" s="1"/>
  <c r="BK18" i="22"/>
  <c r="BJ18" i="22"/>
  <c r="BL18" i="22"/>
  <c r="BN18" i="22"/>
  <c r="BI18" i="22"/>
  <c r="BM18" i="22"/>
  <c r="BO18" i="22"/>
  <c r="N2981" i="19"/>
  <c r="K2999" i="19"/>
  <c r="O2999" i="19" s="1"/>
  <c r="O2981" i="19"/>
  <c r="M3562" i="19"/>
  <c r="N3562" i="19" s="1"/>
  <c r="F200" i="22"/>
  <c r="E200" i="22" s="1"/>
  <c r="I200" i="22" s="1"/>
  <c r="D109" i="22"/>
  <c r="C109" i="22"/>
  <c r="D200" i="22"/>
  <c r="BH200" i="22"/>
  <c r="C200" i="22"/>
  <c r="N4140" i="19"/>
  <c r="CM276" i="22"/>
  <c r="I1200" i="19"/>
  <c r="I1220" i="19" s="1"/>
  <c r="B2816" i="19"/>
  <c r="G2763" i="19"/>
  <c r="O2763" i="19" s="1"/>
  <c r="B3950" i="19"/>
  <c r="F2591" i="19"/>
  <c r="F2611" i="19" s="1"/>
  <c r="E3644" i="19"/>
  <c r="E3664" i="19" s="1"/>
  <c r="F2610" i="19"/>
  <c r="AS62" i="20"/>
  <c r="Y62" i="20"/>
  <c r="Z62" i="20" s="1"/>
  <c r="CF62" i="20"/>
  <c r="CI62" i="20" s="1"/>
  <c r="V62" i="20"/>
  <c r="BD164" i="20"/>
  <c r="DK46" i="20"/>
  <c r="BD59" i="20"/>
  <c r="B5199" i="19"/>
  <c r="G1584" i="19"/>
  <c r="O1584" i="19" s="1"/>
  <c r="O1620" i="19"/>
  <c r="M3640" i="19"/>
  <c r="M3660" i="19" s="1"/>
  <c r="M3698" i="19" s="1"/>
  <c r="O3891" i="19"/>
  <c r="G1629" i="19"/>
  <c r="O1629" i="19" s="1"/>
  <c r="O5152" i="19"/>
  <c r="G1602" i="19"/>
  <c r="O1602" i="19" s="1"/>
  <c r="O1728" i="19" s="1"/>
  <c r="K1728" i="19" s="1"/>
  <c r="I1196" i="19"/>
  <c r="I1216" i="19" s="1"/>
  <c r="E2591" i="19"/>
  <c r="E2611" i="19" s="1"/>
  <c r="M1285" i="19"/>
  <c r="F3663" i="19"/>
  <c r="O5139" i="19"/>
  <c r="G5126" i="19"/>
  <c r="O5126" i="19" s="1"/>
  <c r="O5227" i="19" s="1"/>
  <c r="K5227" i="19" s="1"/>
  <c r="G2745" i="19"/>
  <c r="O2745" i="19" s="1"/>
  <c r="I2582" i="19"/>
  <c r="I2602" i="19" s="1"/>
  <c r="E2571" i="19"/>
  <c r="B3949" i="19"/>
  <c r="F3644" i="19"/>
  <c r="F3664" i="19" s="1"/>
  <c r="E3624" i="19"/>
  <c r="G5113" i="19"/>
  <c r="O5113" i="19" s="1"/>
  <c r="CV145" i="20"/>
  <c r="CZ145" i="20"/>
  <c r="CW145" i="20"/>
  <c r="AU107" i="20"/>
  <c r="BD107" i="20"/>
  <c r="CA22" i="20"/>
  <c r="BY22" i="20"/>
  <c r="BW14" i="20"/>
  <c r="BV14" i="20"/>
  <c r="BU14" i="20"/>
  <c r="BB58" i="20"/>
  <c r="BD58" i="20"/>
  <c r="AU58" i="20"/>
  <c r="DP58" i="20"/>
  <c r="DI58" i="20"/>
  <c r="DK16" i="20"/>
  <c r="V16" i="20"/>
  <c r="DJ16" i="20"/>
  <c r="DM16" i="20"/>
  <c r="DN16" i="20"/>
  <c r="BB16" i="20"/>
  <c r="BC16" i="20" s="1"/>
  <c r="L16" i="20"/>
  <c r="AT16" i="20"/>
  <c r="AU16" i="20"/>
  <c r="DI16" i="20"/>
  <c r="I16" i="20"/>
  <c r="DP16" i="20"/>
  <c r="BD10" i="20"/>
  <c r="DM10" i="20"/>
  <c r="DN10" i="20"/>
  <c r="DP10" i="20"/>
  <c r="AV10" i="20"/>
  <c r="BO63" i="20"/>
  <c r="BP63" i="20"/>
  <c r="CW81" i="20"/>
  <c r="CV81" i="20"/>
  <c r="CZ82" i="20"/>
  <c r="CY82" i="20"/>
  <c r="CV82" i="20"/>
  <c r="CX82" i="20"/>
  <c r="CI77" i="20"/>
  <c r="CH77" i="20"/>
  <c r="AI102" i="20"/>
  <c r="AH102" i="20"/>
  <c r="AU102" i="20"/>
  <c r="AG102" i="20"/>
  <c r="AU111" i="20"/>
  <c r="BB111" i="20"/>
  <c r="BD111" i="20"/>
  <c r="BD105" i="20"/>
  <c r="I105" i="20"/>
  <c r="AW21" i="20"/>
  <c r="I21" i="20"/>
  <c r="AM21" i="20"/>
  <c r="AN21" i="20"/>
  <c r="AE21" i="20"/>
  <c r="AC21" i="20"/>
  <c r="DO21" i="20"/>
  <c r="AQ21" i="20"/>
  <c r="AI21" i="20"/>
  <c r="DL44" i="20"/>
  <c r="AV44" i="20"/>
  <c r="DN44" i="20"/>
  <c r="DM44" i="20"/>
  <c r="BB44" i="20"/>
  <c r="BC44" i="20" s="1"/>
  <c r="AU44" i="20"/>
  <c r="DK44" i="20"/>
  <c r="BD16" i="20"/>
  <c r="CW9" i="20"/>
  <c r="CX9" i="20"/>
  <c r="BV52" i="20"/>
  <c r="BU52" i="20"/>
  <c r="AZ16" i="20"/>
  <c r="CM10" i="20"/>
  <c r="CL10" i="20"/>
  <c r="AI30" i="20"/>
  <c r="AG30" i="20"/>
  <c r="AH30" i="20"/>
  <c r="BV65" i="20"/>
  <c r="BU65" i="20"/>
  <c r="BB47" i="20"/>
  <c r="AU47" i="20"/>
  <c r="DI47" i="20"/>
  <c r="AV47" i="20"/>
  <c r="BD18" i="20"/>
  <c r="AU18" i="20"/>
  <c r="DL18" i="20"/>
  <c r="BB18" i="20"/>
  <c r="BM18" i="20" s="1"/>
  <c r="DI18" i="20"/>
  <c r="AV18" i="20"/>
  <c r="DJ18" i="20"/>
  <c r="BD45" i="20"/>
  <c r="I45" i="20"/>
  <c r="AT45" i="20"/>
  <c r="DJ45" i="20"/>
  <c r="DH45" i="20"/>
  <c r="V45" i="20"/>
  <c r="DM45" i="20"/>
  <c r="DN45" i="20"/>
  <c r="AV45" i="20"/>
  <c r="DG45" i="20"/>
  <c r="CL81" i="20"/>
  <c r="CM81" i="20"/>
  <c r="DM57" i="20"/>
  <c r="DH57" i="20"/>
  <c r="BW76" i="20"/>
  <c r="BV76" i="20"/>
  <c r="CI23" i="20"/>
  <c r="CH23" i="20"/>
  <c r="CE22" i="20"/>
  <c r="CC22" i="20"/>
  <c r="CZ176" i="20"/>
  <c r="CV176" i="20"/>
  <c r="BB66" i="20"/>
  <c r="BC66" i="20" s="1"/>
  <c r="CK64" i="20"/>
  <c r="L105" i="20"/>
  <c r="N105" i="20" s="1"/>
  <c r="DJ10" i="20"/>
  <c r="AM16" i="20"/>
  <c r="DG10" i="20"/>
  <c r="DO10" i="20"/>
  <c r="AG29" i="20"/>
  <c r="CY175" i="20"/>
  <c r="CZ175" i="20"/>
  <c r="CX175" i="20"/>
  <c r="CI60" i="20"/>
  <c r="CG60" i="20"/>
  <c r="CH60" i="20"/>
  <c r="BD47" i="20"/>
  <c r="L21" i="20"/>
  <c r="AS21" i="20"/>
  <c r="CJ21" i="20"/>
  <c r="CL21" i="20" s="1"/>
  <c r="AZ183" i="20"/>
  <c r="AZ179" i="20"/>
  <c r="CX145" i="20"/>
  <c r="AV107" i="20"/>
  <c r="DK58" i="20"/>
  <c r="CL64" i="20"/>
  <c r="BB107" i="20"/>
  <c r="BM107" i="20" s="1"/>
  <c r="V105" i="20"/>
  <c r="AV16" i="20"/>
  <c r="DH16" i="20"/>
  <c r="CA24" i="20"/>
  <c r="BY24" i="20"/>
  <c r="BZ24" i="20"/>
  <c r="CM6" i="20"/>
  <c r="CL6" i="20"/>
  <c r="AZ24" i="20"/>
  <c r="V21" i="20"/>
  <c r="AT54" i="20"/>
  <c r="AZ165" i="20"/>
  <c r="AZ105" i="20"/>
  <c r="AZ23" i="20"/>
  <c r="AT9" i="20"/>
  <c r="CY21" i="20"/>
  <c r="AB120" i="20"/>
  <c r="AK45" i="20"/>
  <c r="K4260" i="19"/>
  <c r="K4267" i="19" s="1"/>
  <c r="D4258" i="19" s="1"/>
  <c r="H266" i="4" s="1"/>
  <c r="AZ47" i="20"/>
  <c r="I157" i="20"/>
  <c r="Y157" i="20"/>
  <c r="Z157" i="20" s="1"/>
  <c r="CJ157" i="20"/>
  <c r="AS157" i="20"/>
  <c r="I189" i="20"/>
  <c r="X189" i="20"/>
  <c r="AM189" i="20" s="1"/>
  <c r="AS189" i="20"/>
  <c r="CF189" i="20"/>
  <c r="CI189" i="20" s="1"/>
  <c r="Y189" i="20"/>
  <c r="Z189" i="20" s="1"/>
  <c r="BC58" i="20"/>
  <c r="BM58" i="20"/>
  <c r="CJ23" i="20"/>
  <c r="L23" i="20"/>
  <c r="DP23" i="20"/>
  <c r="Y23" i="20"/>
  <c r="Z23" i="20" s="1"/>
  <c r="I23" i="20"/>
  <c r="DO23" i="20"/>
  <c r="AS23" i="20"/>
  <c r="DN23" i="20"/>
  <c r="AE67" i="20"/>
  <c r="AZ7" i="20"/>
  <c r="AH29" i="20"/>
  <c r="AK21" i="20"/>
  <c r="AC26" i="20"/>
  <c r="V160" i="20"/>
  <c r="AN105" i="20"/>
  <c r="AQ45" i="20"/>
  <c r="BD29" i="20"/>
  <c r="DK10" i="20"/>
  <c r="AZ111" i="20"/>
  <c r="BB105" i="20"/>
  <c r="BM105" i="20" s="1"/>
  <c r="AZ18" i="20"/>
  <c r="BR64" i="20"/>
  <c r="L189" i="20"/>
  <c r="N189" i="20" s="1"/>
  <c r="BD71" i="20"/>
  <c r="BD179" i="20"/>
  <c r="AZ166" i="20"/>
  <c r="BB166" i="20"/>
  <c r="BC166" i="20" s="1"/>
  <c r="V157" i="20"/>
  <c r="AZ116" i="20"/>
  <c r="AZ55" i="20"/>
  <c r="AT10" i="20"/>
  <c r="DH44" i="20"/>
  <c r="AZ144" i="20"/>
  <c r="DL45" i="20"/>
  <c r="AT55" i="20"/>
  <c r="CN93" i="20"/>
  <c r="AZ45" i="20"/>
  <c r="L205" i="4"/>
  <c r="L629" i="4"/>
  <c r="K1412" i="19"/>
  <c r="D1402" i="19" s="1"/>
  <c r="H833" i="4" s="1"/>
  <c r="I1449" i="19"/>
  <c r="D1443" i="19" s="1"/>
  <c r="H22" i="4" s="1"/>
  <c r="L670" i="4"/>
  <c r="L614" i="4"/>
  <c r="G183" i="22"/>
  <c r="E279" i="22"/>
  <c r="CB279" i="22" s="1"/>
  <c r="CF290" i="22"/>
  <c r="BL109" i="22"/>
  <c r="E202" i="22"/>
  <c r="CR202" i="22" s="1"/>
  <c r="G3871" i="19"/>
  <c r="G3889" i="19" s="1"/>
  <c r="O3889" i="19" s="1"/>
  <c r="O1512" i="19"/>
  <c r="D1505" i="19" s="1"/>
  <c r="H377" i="4" s="1"/>
  <c r="G3853" i="19"/>
  <c r="O3853" i="19" s="1"/>
  <c r="O3973" i="19" s="1"/>
  <c r="K3973" i="19" s="1"/>
  <c r="M5257" i="19"/>
  <c r="K1434" i="19"/>
  <c r="D1427" i="19" s="1"/>
  <c r="H283" i="4" s="1"/>
  <c r="B3824" i="19"/>
  <c r="B3962" i="19" s="1"/>
  <c r="E286" i="22"/>
  <c r="CB286" i="22" s="1"/>
  <c r="E306" i="22"/>
  <c r="BZ306" i="22" s="1"/>
  <c r="E290" i="22"/>
  <c r="CB290" i="22" s="1"/>
  <c r="E267" i="22"/>
  <c r="BZ267" i="22" s="1"/>
  <c r="E325" i="22"/>
  <c r="BZ325" i="22" s="1"/>
  <c r="CF274" i="22"/>
  <c r="O4139" i="19"/>
  <c r="E284" i="22"/>
  <c r="CB284" i="22" s="1"/>
  <c r="E327" i="22"/>
  <c r="BZ327" i="22" s="1"/>
  <c r="E298" i="22"/>
  <c r="BY298" i="22" s="1"/>
  <c r="E285" i="22"/>
  <c r="BZ285" i="22" s="1"/>
  <c r="K4157" i="19"/>
  <c r="O4157" i="19" s="1"/>
  <c r="N4139" i="19"/>
  <c r="K4173" i="19"/>
  <c r="K4189" i="19" s="1"/>
  <c r="O471" i="19"/>
  <c r="E293" i="22"/>
  <c r="CB293" i="22" s="1"/>
  <c r="E287" i="22"/>
  <c r="CB287" i="22" s="1"/>
  <c r="E292" i="22"/>
  <c r="BZ292" i="22" s="1"/>
  <c r="E333" i="22"/>
  <c r="CM264" i="22"/>
  <c r="E320" i="22"/>
  <c r="BY320" i="22" s="1"/>
  <c r="E295" i="22"/>
  <c r="CB295" i="22" s="1"/>
  <c r="CM270" i="22"/>
  <c r="E334" i="22"/>
  <c r="BZ334" i="22" s="1"/>
  <c r="CF334" i="22" s="1"/>
  <c r="E260" i="22"/>
  <c r="BZ260" i="22" s="1"/>
  <c r="E297" i="22"/>
  <c r="I297" i="22" s="1"/>
  <c r="E329" i="22"/>
  <c r="I329" i="22" s="1"/>
  <c r="BE329" i="22" s="1"/>
  <c r="CF277" i="22"/>
  <c r="CF263" i="22"/>
  <c r="E273" i="22"/>
  <c r="BZ273" i="22" s="1"/>
  <c r="E204" i="22"/>
  <c r="CB204" i="22" s="1"/>
  <c r="E309" i="22"/>
  <c r="CY6" i="22"/>
  <c r="CY7" i="22"/>
  <c r="E316" i="22"/>
  <c r="BZ316" i="22" s="1"/>
  <c r="O4133" i="19"/>
  <c r="E332" i="22"/>
  <c r="E301" i="22"/>
  <c r="E272" i="22"/>
  <c r="BZ272" i="22" s="1"/>
  <c r="E303" i="22"/>
  <c r="BZ303" i="22" s="1"/>
  <c r="E262" i="22"/>
  <c r="BV262" i="22" s="1"/>
  <c r="E300" i="22"/>
  <c r="CB300" i="22" s="1"/>
  <c r="E261" i="22"/>
  <c r="BZ261" i="22" s="1"/>
  <c r="E296" i="22"/>
  <c r="CB296" i="22" s="1"/>
  <c r="E276" i="22"/>
  <c r="BV276" i="22" s="1"/>
  <c r="E15" i="22"/>
  <c r="BZ15" i="22" s="1"/>
  <c r="E23" i="22"/>
  <c r="CB23" i="22" s="1"/>
  <c r="CF20" i="22"/>
  <c r="N4129" i="19"/>
  <c r="O4129" i="19"/>
  <c r="N2982" i="19"/>
  <c r="O2982" i="19"/>
  <c r="K3016" i="19"/>
  <c r="K3032" i="19" s="1"/>
  <c r="O4140" i="19"/>
  <c r="E322" i="22"/>
  <c r="E268" i="22"/>
  <c r="CB268" i="22" s="1"/>
  <c r="M3563" i="19"/>
  <c r="N3563" i="19" s="1"/>
  <c r="K4158" i="19"/>
  <c r="O4158" i="19" s="1"/>
  <c r="E270" i="22"/>
  <c r="CB270" i="22" s="1"/>
  <c r="K4174" i="19"/>
  <c r="K4190" i="19" s="1"/>
  <c r="BW13" i="22"/>
  <c r="CF286" i="22"/>
  <c r="E24" i="22"/>
  <c r="CB24" i="22" s="1"/>
  <c r="E17" i="22"/>
  <c r="CW17" i="22" s="1"/>
  <c r="E19" i="22"/>
  <c r="BZ19" i="22" s="1"/>
  <c r="E13" i="22"/>
  <c r="CV13" i="22" s="1"/>
  <c r="CI13" i="22"/>
  <c r="CT13" i="22" s="1"/>
  <c r="E12" i="22"/>
  <c r="CU12" i="22" s="1"/>
  <c r="G246" i="22"/>
  <c r="BH356" i="22"/>
  <c r="G356" i="22"/>
  <c r="E312" i="22"/>
  <c r="CV312" i="22" s="1"/>
  <c r="CZ23" i="22"/>
  <c r="M1113" i="19"/>
  <c r="N1113" i="19" s="1"/>
  <c r="K505" i="19"/>
  <c r="K521" i="19" s="1"/>
  <c r="K489" i="19"/>
  <c r="O489" i="19" s="1"/>
  <c r="N477" i="19"/>
  <c r="CZ7" i="22"/>
  <c r="CZ16" i="22"/>
  <c r="CZ19" i="22"/>
  <c r="K503" i="19"/>
  <c r="K519" i="19" s="1"/>
  <c r="O469" i="19"/>
  <c r="K487" i="19"/>
  <c r="O487" i="19" s="1"/>
  <c r="M1111" i="19"/>
  <c r="N1111" i="19" s="1"/>
  <c r="N469" i="19"/>
  <c r="CZ13" i="22"/>
  <c r="CZ6" i="22"/>
  <c r="CZ9" i="22"/>
  <c r="CZ14" i="22"/>
  <c r="CZ24" i="22"/>
  <c r="CZ12" i="22"/>
  <c r="L520" i="4"/>
  <c r="L1" i="4"/>
  <c r="L523" i="4"/>
  <c r="L141" i="4"/>
  <c r="L196" i="4"/>
  <c r="L161" i="4"/>
  <c r="L787" i="4"/>
  <c r="L20" i="4"/>
  <c r="L704" i="4"/>
  <c r="L484" i="4"/>
  <c r="L56" i="4"/>
  <c r="L560" i="4"/>
  <c r="L21" i="4"/>
  <c r="L744" i="4"/>
  <c r="L570" i="4"/>
  <c r="L558" i="4"/>
  <c r="L531" i="4"/>
  <c r="L297" i="4"/>
  <c r="L533" i="4"/>
  <c r="L532" i="4"/>
  <c r="L522" i="4"/>
  <c r="L209" i="4"/>
  <c r="L804" i="4"/>
  <c r="L530" i="4"/>
  <c r="L200" i="4"/>
  <c r="L634" i="4"/>
  <c r="L404" i="4"/>
  <c r="L690" i="4"/>
  <c r="L186" i="4"/>
  <c r="L19" i="4"/>
  <c r="L524" i="4"/>
  <c r="L485" i="4"/>
  <c r="L510" i="4"/>
  <c r="L51" i="4"/>
  <c r="L743" i="4"/>
  <c r="L793" i="4"/>
  <c r="L197" i="4"/>
  <c r="L557" i="4"/>
  <c r="L117" i="4"/>
  <c r="L199" i="4"/>
  <c r="L623" i="4"/>
  <c r="L31" i="4"/>
  <c r="L529" i="4"/>
  <c r="L682" i="4"/>
  <c r="L521" i="4"/>
  <c r="L681" i="4"/>
  <c r="L633" i="4"/>
  <c r="L618" i="4"/>
  <c r="L198" i="4"/>
  <c r="L559" i="4"/>
  <c r="L788" i="4"/>
  <c r="L52" i="4"/>
  <c r="CM203" i="22"/>
  <c r="CF203" i="22"/>
  <c r="CF316" i="22"/>
  <c r="CM316" i="22"/>
  <c r="CM315" i="22"/>
  <c r="CF315" i="22"/>
  <c r="CF262" i="22"/>
  <c r="CM262" i="22"/>
  <c r="CF291" i="22"/>
  <c r="CM291" i="22"/>
  <c r="CM271" i="22"/>
  <c r="CF271" i="22"/>
  <c r="L47" i="4"/>
  <c r="L296" i="4"/>
  <c r="L619" i="4"/>
  <c r="B5197" i="19"/>
  <c r="F4913" i="19"/>
  <c r="E4894" i="19"/>
  <c r="E4914" i="19" s="1"/>
  <c r="I4914" i="19" s="1"/>
  <c r="E4874" i="19"/>
  <c r="B5201" i="19"/>
  <c r="I4893" i="19"/>
  <c r="I4913" i="19" s="1"/>
  <c r="N4130" i="19"/>
  <c r="F4874" i="19"/>
  <c r="AK17" i="20"/>
  <c r="DO17" i="20"/>
  <c r="V155" i="20"/>
  <c r="L149" i="20"/>
  <c r="N149" i="20" s="1"/>
  <c r="AU81" i="20"/>
  <c r="DK69" i="20"/>
  <c r="CY16" i="20"/>
  <c r="AU57" i="20"/>
  <c r="L57" i="20"/>
  <c r="AM57" i="20" s="1"/>
  <c r="BO180" i="20"/>
  <c r="CY64" i="20"/>
  <c r="AT79" i="20"/>
  <c r="DI57" i="20"/>
  <c r="BZ57" i="20"/>
  <c r="I31" i="20"/>
  <c r="E4993" i="19"/>
  <c r="E4995" i="19" s="1"/>
  <c r="D4992" i="19" s="1"/>
  <c r="H564" i="4" s="1"/>
  <c r="E3992" i="19"/>
  <c r="CZ57" i="20"/>
  <c r="CW57" i="20"/>
  <c r="AZ189" i="20"/>
  <c r="AC175" i="20"/>
  <c r="DN81" i="20"/>
  <c r="AZ50" i="20"/>
  <c r="CK52" i="20"/>
  <c r="AJ45" i="20"/>
  <c r="AV57" i="20"/>
  <c r="CA57" i="20"/>
  <c r="BM44" i="20"/>
  <c r="DG31" i="20"/>
  <c r="AZ141" i="20"/>
  <c r="BD67" i="20"/>
  <c r="CG69" i="20"/>
  <c r="BZ45" i="20"/>
  <c r="AM9" i="20"/>
  <c r="DJ57" i="20"/>
  <c r="AS31" i="20"/>
  <c r="CV26" i="20"/>
  <c r="DH31" i="20"/>
  <c r="AN23" i="20"/>
  <c r="CF149" i="20"/>
  <c r="AV81" i="20"/>
  <c r="L155" i="20"/>
  <c r="CH69" i="20"/>
  <c r="AZ26" i="20"/>
  <c r="CA45" i="20"/>
  <c r="DK57" i="20"/>
  <c r="Y31" i="20"/>
  <c r="AK31" i="20" s="1"/>
  <c r="CW26" i="20"/>
  <c r="CK11" i="20"/>
  <c r="AZ81" i="20"/>
  <c r="DH81" i="20"/>
  <c r="AZ74" i="20"/>
  <c r="V31" i="20"/>
  <c r="BD79" i="20"/>
  <c r="CH26" i="20"/>
  <c r="DO57" i="20"/>
  <c r="I57" i="20"/>
  <c r="DI31" i="20"/>
  <c r="CV75" i="20"/>
  <c r="AI29" i="20"/>
  <c r="BR16" i="20"/>
  <c r="CL11" i="20"/>
  <c r="AZ160" i="20"/>
  <c r="AP57" i="20"/>
  <c r="DL57" i="20"/>
  <c r="I32" i="20"/>
  <c r="CW75" i="20"/>
  <c r="DN57" i="20"/>
  <c r="CB176" i="20"/>
  <c r="CE176" i="20" s="1"/>
  <c r="BB172" i="20"/>
  <c r="BC172" i="20" s="1"/>
  <c r="AZ156" i="20"/>
  <c r="AZ153" i="20"/>
  <c r="Y149" i="20"/>
  <c r="Z149" i="20" s="1"/>
  <c r="CX64" i="20"/>
  <c r="AO105" i="20"/>
  <c r="AN57" i="20"/>
  <c r="AP45" i="20"/>
  <c r="CW16" i="20"/>
  <c r="DP57" i="20"/>
  <c r="BZ31" i="20"/>
  <c r="CX75" i="20"/>
  <c r="BU7" i="20"/>
  <c r="AZ57" i="20"/>
  <c r="AK69" i="20"/>
  <c r="AZ175" i="20"/>
  <c r="AG170" i="20"/>
  <c r="AZ163" i="20"/>
  <c r="DI81" i="20"/>
  <c r="AZ71" i="20"/>
  <c r="AZ148" i="20"/>
  <c r="I149" i="20"/>
  <c r="CL83" i="20"/>
  <c r="AQ69" i="20"/>
  <c r="CL52" i="20"/>
  <c r="AM45" i="20"/>
  <c r="CG26" i="20"/>
  <c r="BO6" i="20"/>
  <c r="BD57" i="20"/>
  <c r="BY31" i="20"/>
  <c r="CY75" i="20"/>
  <c r="BV7" i="20"/>
  <c r="BO145" i="20"/>
  <c r="AZ147" i="20"/>
  <c r="CM83" i="20"/>
  <c r="AJ69" i="20"/>
  <c r="V57" i="20"/>
  <c r="BB57" i="20"/>
  <c r="BM57" i="20" s="1"/>
  <c r="DG57" i="20"/>
  <c r="AZ145" i="20"/>
  <c r="AZ117" i="20"/>
  <c r="DM81" i="20"/>
  <c r="AK57" i="20"/>
  <c r="AD67" i="20"/>
  <c r="AT57" i="20"/>
  <c r="AZ109" i="20"/>
  <c r="Y159" i="20"/>
  <c r="AJ159" i="20" s="1"/>
  <c r="V159" i="20"/>
  <c r="AS159" i="20"/>
  <c r="L159" i="20"/>
  <c r="I159" i="20"/>
  <c r="CJ159" i="20"/>
  <c r="CM159" i="20" s="1"/>
  <c r="Y158" i="20"/>
  <c r="Z158" i="20" s="1"/>
  <c r="CJ158" i="20"/>
  <c r="CM158" i="20" s="1"/>
  <c r="AS158" i="20"/>
  <c r="I158" i="20"/>
  <c r="DJ68" i="20"/>
  <c r="AJ68" i="20"/>
  <c r="AT68" i="20"/>
  <c r="AQ68" i="20"/>
  <c r="AP68" i="20"/>
  <c r="DO76" i="20"/>
  <c r="AT76" i="20"/>
  <c r="BE76" i="20" s="1"/>
  <c r="AT73" i="20"/>
  <c r="CJ156" i="20"/>
  <c r="CK156" i="20" s="1"/>
  <c r="Y156" i="20"/>
  <c r="Z156" i="20" s="1"/>
  <c r="I156" i="20"/>
  <c r="AS156" i="20"/>
  <c r="Y162" i="20"/>
  <c r="AQ162" i="20" s="1"/>
  <c r="L162" i="20"/>
  <c r="N162" i="20" s="1"/>
  <c r="I162" i="20"/>
  <c r="CJ162" i="20"/>
  <c r="CM162" i="20" s="1"/>
  <c r="AS162" i="20"/>
  <c r="BM59" i="20"/>
  <c r="BC59" i="20"/>
  <c r="AT11" i="20"/>
  <c r="Y11" i="20"/>
  <c r="Z11" i="20" s="1"/>
  <c r="V11" i="20"/>
  <c r="AS11" i="20"/>
  <c r="L11" i="20"/>
  <c r="N11" i="20" s="1"/>
  <c r="DL11" i="20"/>
  <c r="CB11" i="20"/>
  <c r="I11" i="20"/>
  <c r="DK11" i="20"/>
  <c r="DJ11" i="20"/>
  <c r="BM47" i="20"/>
  <c r="BC47" i="20"/>
  <c r="AS161" i="20"/>
  <c r="I161" i="20"/>
  <c r="Y161" i="20"/>
  <c r="Z161" i="20" s="1"/>
  <c r="CJ161" i="20"/>
  <c r="CM161" i="20" s="1"/>
  <c r="AK18" i="20"/>
  <c r="AJ18" i="20"/>
  <c r="V152" i="20"/>
  <c r="AS152" i="20"/>
  <c r="I152" i="20"/>
  <c r="Y152" i="20"/>
  <c r="Z152" i="20" s="1"/>
  <c r="CF152" i="20"/>
  <c r="DH32" i="20"/>
  <c r="AE72" i="20"/>
  <c r="BP141" i="20"/>
  <c r="BO141" i="20"/>
  <c r="BZ81" i="20"/>
  <c r="CA81" i="20"/>
  <c r="BU21" i="20"/>
  <c r="BV21" i="20"/>
  <c r="BW21" i="20"/>
  <c r="CC17" i="20"/>
  <c r="CE17" i="20"/>
  <c r="CD17" i="20"/>
  <c r="BU9" i="20"/>
  <c r="BW9" i="20"/>
  <c r="BV9" i="20"/>
  <c r="BB31" i="20"/>
  <c r="BC31" i="20" s="1"/>
  <c r="BD181" i="20"/>
  <c r="AA160" i="20"/>
  <c r="AT147" i="20"/>
  <c r="AC166" i="20"/>
  <c r="I58" i="20"/>
  <c r="AC72" i="20"/>
  <c r="L88" i="20"/>
  <c r="N88" i="20" s="1"/>
  <c r="I69" i="20"/>
  <c r="DL52" i="20"/>
  <c r="AT12" i="20"/>
  <c r="V71" i="20"/>
  <c r="AT14" i="20"/>
  <c r="AT43" i="20"/>
  <c r="AT15" i="20"/>
  <c r="BB61" i="20"/>
  <c r="BM61" i="20" s="1"/>
  <c r="AL23" i="20"/>
  <c r="AF23" i="20"/>
  <c r="BV75" i="20"/>
  <c r="BW75" i="20"/>
  <c r="BB165" i="20"/>
  <c r="BC165" i="20" s="1"/>
  <c r="CE158" i="20"/>
  <c r="CC158" i="20"/>
  <c r="CV182" i="20"/>
  <c r="CZ182" i="20"/>
  <c r="CX182" i="20"/>
  <c r="CW182" i="20"/>
  <c r="CE149" i="20"/>
  <c r="CC149" i="20"/>
  <c r="CA59" i="20"/>
  <c r="BZ59" i="20"/>
  <c r="BY59" i="20"/>
  <c r="AZ17" i="20"/>
  <c r="CZ32" i="20"/>
  <c r="CW32" i="20"/>
  <c r="CV32" i="20"/>
  <c r="CX32" i="20"/>
  <c r="CZ24" i="20"/>
  <c r="CV24" i="20"/>
  <c r="CL68" i="20"/>
  <c r="CM68" i="20"/>
  <c r="BS58" i="20"/>
  <c r="BR58" i="20"/>
  <c r="AZ44" i="20"/>
  <c r="AZ69" i="20"/>
  <c r="DM58" i="20"/>
  <c r="DO58" i="20"/>
  <c r="DN58" i="20"/>
  <c r="DG58" i="20"/>
  <c r="CM32" i="20"/>
  <c r="CL32" i="20"/>
  <c r="CK32" i="20"/>
  <c r="BS63" i="20"/>
  <c r="BR63" i="20"/>
  <c r="CE21" i="20"/>
  <c r="CC21" i="20"/>
  <c r="BS51" i="20"/>
  <c r="BR51" i="20"/>
  <c r="BD22" i="20"/>
  <c r="BB182" i="20"/>
  <c r="BC182" i="20" s="1"/>
  <c r="AZ167" i="20"/>
  <c r="AZ151" i="20"/>
  <c r="AB192" i="20"/>
  <c r="AZ75" i="20"/>
  <c r="AO115" i="20"/>
  <c r="AK115" i="20"/>
  <c r="DH83" i="20"/>
  <c r="DL69" i="20"/>
  <c r="AZ65" i="20"/>
  <c r="I52" i="20"/>
  <c r="AN45" i="20"/>
  <c r="AZ13" i="20"/>
  <c r="AZ43" i="20"/>
  <c r="AG23" i="20"/>
  <c r="CW186" i="20"/>
  <c r="CV186" i="20"/>
  <c r="DM82" i="20"/>
  <c r="DL82" i="20"/>
  <c r="DJ81" i="20"/>
  <c r="DL81" i="20"/>
  <c r="DK81" i="20"/>
  <c r="DP81" i="20"/>
  <c r="CD181" i="20"/>
  <c r="CE181" i="20"/>
  <c r="DL17" i="20"/>
  <c r="DH17" i="20"/>
  <c r="DG17" i="20"/>
  <c r="DI69" i="20"/>
  <c r="DN69" i="20"/>
  <c r="DG52" i="20"/>
  <c r="DI52" i="20"/>
  <c r="DH52" i="20"/>
  <c r="AU52" i="20"/>
  <c r="AZ10" i="20"/>
  <c r="AZ60" i="20"/>
  <c r="AO69" i="20"/>
  <c r="DK52" i="20"/>
  <c r="AH23" i="20"/>
  <c r="BR163" i="20"/>
  <c r="BS163" i="20"/>
  <c r="CD184" i="20"/>
  <c r="CE184" i="20"/>
  <c r="AZ106" i="20"/>
  <c r="CC141" i="20"/>
  <c r="CE141" i="20"/>
  <c r="CD141" i="20"/>
  <c r="CZ72" i="20"/>
  <c r="CY72" i="20"/>
  <c r="BS32" i="20"/>
  <c r="BR32" i="20"/>
  <c r="AZ64" i="20"/>
  <c r="BD21" i="20"/>
  <c r="BZ68" i="20"/>
  <c r="CA68" i="20"/>
  <c r="DL164" i="20"/>
  <c r="BB9" i="20"/>
  <c r="BW23" i="20"/>
  <c r="BV23" i="20"/>
  <c r="DG18" i="20"/>
  <c r="DH18" i="20"/>
  <c r="AZ86" i="20"/>
  <c r="AZ87" i="20"/>
  <c r="AP115" i="20"/>
  <c r="AT60" i="20"/>
  <c r="I47" i="20"/>
  <c r="DI83" i="20"/>
  <c r="AP69" i="20"/>
  <c r="DL64" i="20"/>
  <c r="AT22" i="20"/>
  <c r="AI23" i="20"/>
  <c r="CE160" i="20"/>
  <c r="CC160" i="20"/>
  <c r="AZ113" i="20"/>
  <c r="CM142" i="20"/>
  <c r="CK142" i="20"/>
  <c r="CZ64" i="20"/>
  <c r="CV64" i="20"/>
  <c r="CY26" i="20"/>
  <c r="CX26" i="20"/>
  <c r="AT21" i="20"/>
  <c r="CG21" i="20"/>
  <c r="CI21" i="20"/>
  <c r="CH21" i="20"/>
  <c r="BB81" i="20"/>
  <c r="AG32" i="20"/>
  <c r="DO32" i="20"/>
  <c r="DM32" i="20"/>
  <c r="CL9" i="20"/>
  <c r="CM9" i="20"/>
  <c r="DM47" i="20"/>
  <c r="DG47" i="20"/>
  <c r="DP47" i="20"/>
  <c r="DO47" i="20"/>
  <c r="DN47" i="20"/>
  <c r="DH47" i="20"/>
  <c r="DM23" i="20"/>
  <c r="I64" i="20"/>
  <c r="AT52" i="20"/>
  <c r="CE159" i="20"/>
  <c r="CC159" i="20"/>
  <c r="CE155" i="20"/>
  <c r="CC155" i="20"/>
  <c r="DO146" i="20"/>
  <c r="DM146" i="20"/>
  <c r="CE154" i="20"/>
  <c r="CC154" i="20"/>
  <c r="BP186" i="20"/>
  <c r="BO186" i="20"/>
  <c r="CE152" i="20"/>
  <c r="CC152" i="20"/>
  <c r="CE157" i="20"/>
  <c r="CC157" i="20"/>
  <c r="DN31" i="20"/>
  <c r="DL31" i="20"/>
  <c r="DG64" i="20"/>
  <c r="DH64" i="20"/>
  <c r="AU64" i="20"/>
  <c r="DI64" i="20"/>
  <c r="CV60" i="20"/>
  <c r="CZ60" i="20"/>
  <c r="CY60" i="20"/>
  <c r="CX60" i="20"/>
  <c r="CW60" i="20"/>
  <c r="CM47" i="20"/>
  <c r="CL47" i="20"/>
  <c r="CK47" i="20"/>
  <c r="CZ31" i="20"/>
  <c r="CW31" i="20"/>
  <c r="CV31" i="20"/>
  <c r="BV17" i="20"/>
  <c r="BW17" i="20"/>
  <c r="BZ21" i="20"/>
  <c r="CA21" i="20"/>
  <c r="AZ9" i="20"/>
  <c r="CZ46" i="20"/>
  <c r="CX46" i="20"/>
  <c r="CW46" i="20"/>
  <c r="CV46" i="20"/>
  <c r="BD166" i="20"/>
  <c r="CX86" i="20"/>
  <c r="CZ86" i="20"/>
  <c r="CY86" i="20"/>
  <c r="CE83" i="20"/>
  <c r="CC83" i="20"/>
  <c r="CZ141" i="20"/>
  <c r="CY141" i="20"/>
  <c r="CX141" i="20"/>
  <c r="CC186" i="20"/>
  <c r="CD186" i="20"/>
  <c r="CV184" i="20"/>
  <c r="CX184" i="20"/>
  <c r="CW184" i="20"/>
  <c r="CE161" i="20"/>
  <c r="CC161" i="20"/>
  <c r="CH164" i="20"/>
  <c r="CI164" i="20"/>
  <c r="BP81" i="20"/>
  <c r="BO81" i="20"/>
  <c r="BB21" i="20"/>
  <c r="BC21" i="20" s="1"/>
  <c r="CZ9" i="20"/>
  <c r="CY9" i="20"/>
  <c r="CA17" i="20"/>
  <c r="BY17" i="20"/>
  <c r="L31" i="20"/>
  <c r="CZ16" i="20"/>
  <c r="CV16" i="20"/>
  <c r="BP47" i="20"/>
  <c r="BO47" i="20"/>
  <c r="AF31" i="20"/>
  <c r="AT86" i="20"/>
  <c r="AZ177" i="20"/>
  <c r="L156" i="20"/>
  <c r="N156" i="20" s="1"/>
  <c r="AA164" i="20"/>
  <c r="AQ164" i="20"/>
  <c r="AZ88" i="20"/>
  <c r="AZ73" i="20"/>
  <c r="AZ61" i="20"/>
  <c r="BB65" i="20"/>
  <c r="BD55" i="20"/>
  <c r="BD14" i="20"/>
  <c r="Z45" i="20"/>
  <c r="BD106" i="20"/>
  <c r="BB115" i="20"/>
  <c r="BM115" i="20" s="1"/>
  <c r="CE153" i="20"/>
  <c r="CC153" i="20"/>
  <c r="CM46" i="20"/>
  <c r="CL46" i="20"/>
  <c r="CK46" i="20"/>
  <c r="CM59" i="20"/>
  <c r="CL59" i="20"/>
  <c r="CK59" i="20"/>
  <c r="CH58" i="20"/>
  <c r="CI58" i="20"/>
  <c r="AZ46" i="20"/>
  <c r="AW32" i="20"/>
  <c r="BM32" i="20" s="1"/>
  <c r="BM46" i="20"/>
  <c r="AT165" i="20"/>
  <c r="CV181" i="20"/>
  <c r="CZ181" i="20"/>
  <c r="CX181" i="20"/>
  <c r="CW181" i="20"/>
  <c r="AZ59" i="20"/>
  <c r="CE63" i="20"/>
  <c r="CD63" i="20"/>
  <c r="CC63" i="20"/>
  <c r="BP48" i="20"/>
  <c r="BO48" i="20"/>
  <c r="BS46" i="20"/>
  <c r="BR46" i="20"/>
  <c r="AZ68" i="20"/>
  <c r="DM30" i="20"/>
  <c r="DK30" i="20"/>
  <c r="DM46" i="20"/>
  <c r="DO46" i="20"/>
  <c r="DN46" i="20"/>
  <c r="DG46" i="20"/>
  <c r="AD21" i="20"/>
  <c r="AZ191" i="20"/>
  <c r="L161" i="20"/>
  <c r="AT46" i="20"/>
  <c r="AK23" i="20"/>
  <c r="AZ107" i="20"/>
  <c r="CD178" i="20"/>
  <c r="CE178" i="20"/>
  <c r="CD85" i="20"/>
  <c r="CE85" i="20"/>
  <c r="CD183" i="20"/>
  <c r="CE183" i="20"/>
  <c r="CE151" i="20"/>
  <c r="CC151" i="20"/>
  <c r="AZ115" i="20"/>
  <c r="CA58" i="20"/>
  <c r="BY58" i="20"/>
  <c r="BZ58" i="20"/>
  <c r="DM59" i="20"/>
  <c r="DN59" i="20"/>
  <c r="DH59" i="20"/>
  <c r="DG59" i="20"/>
  <c r="DP59" i="20"/>
  <c r="DO59" i="20"/>
  <c r="DG6" i="20"/>
  <c r="DH6" i="20"/>
  <c r="AZ21" i="20"/>
  <c r="BP60" i="20"/>
  <c r="BO60" i="20"/>
  <c r="AZ11" i="20"/>
  <c r="CM58" i="20"/>
  <c r="CL58" i="20"/>
  <c r="CK58" i="20"/>
  <c r="BS10" i="20"/>
  <c r="BR10" i="20"/>
  <c r="BP26" i="20"/>
  <c r="BO26" i="20"/>
  <c r="AF32" i="20"/>
  <c r="DK176" i="20"/>
  <c r="DJ165" i="20"/>
  <c r="AZ184" i="20"/>
  <c r="AZ180" i="20"/>
  <c r="AT169" i="20"/>
  <c r="AZ158" i="20"/>
  <c r="AZ155" i="20"/>
  <c r="DK165" i="20"/>
  <c r="AD74" i="20"/>
  <c r="V164" i="20"/>
  <c r="V149" i="20"/>
  <c r="AT115" i="20"/>
  <c r="AZ66" i="20"/>
  <c r="AH21" i="20"/>
  <c r="CW143" i="20"/>
  <c r="CX143" i="20"/>
  <c r="CD182" i="20"/>
  <c r="CE182" i="20"/>
  <c r="DN142" i="20"/>
  <c r="DM142" i="20"/>
  <c r="CE150" i="20"/>
  <c r="CC150" i="20"/>
  <c r="DK22" i="20"/>
  <c r="DL22" i="20"/>
  <c r="CZ58" i="20"/>
  <c r="CW58" i="20"/>
  <c r="CV58" i="20"/>
  <c r="CX58" i="20"/>
  <c r="CH17" i="20"/>
  <c r="CI17" i="20"/>
  <c r="AZ31" i="20"/>
  <c r="AZ58" i="20"/>
  <c r="CZ52" i="20"/>
  <c r="CV52" i="20"/>
  <c r="CA32" i="20"/>
  <c r="BZ32" i="20"/>
  <c r="BY32" i="20"/>
  <c r="BD17" i="20"/>
  <c r="V162" i="20"/>
  <c r="DL165" i="20"/>
  <c r="AT80" i="20"/>
  <c r="BB73" i="20"/>
  <c r="BM73" i="20" s="1"/>
  <c r="DJ58" i="20"/>
  <c r="V151" i="20"/>
  <c r="BV164" i="20"/>
  <c r="BW164" i="20"/>
  <c r="CE156" i="20"/>
  <c r="CC156" i="20"/>
  <c r="DJ21" i="20"/>
  <c r="DL21" i="20"/>
  <c r="DK21" i="20"/>
  <c r="CG9" i="20"/>
  <c r="CH9" i="20"/>
  <c r="CI9" i="20"/>
  <c r="BZ9" i="20"/>
  <c r="CA9" i="20"/>
  <c r="BD9" i="20"/>
  <c r="BP71" i="20"/>
  <c r="BO71" i="20"/>
  <c r="AE22" i="20"/>
  <c r="O3869" i="19"/>
  <c r="N4138" i="19"/>
  <c r="O3725" i="19"/>
  <c r="D3720" i="19" s="1"/>
  <c r="H257" i="4" s="1"/>
  <c r="N3617" i="19"/>
  <c r="E588" i="19"/>
  <c r="K580" i="19"/>
  <c r="N1891" i="19"/>
  <c r="I4897" i="19"/>
  <c r="I4917" i="19" s="1"/>
  <c r="N474" i="19"/>
  <c r="E587" i="19"/>
  <c r="K579" i="19"/>
  <c r="O3892" i="19"/>
  <c r="K581" i="19"/>
  <c r="E589" i="19"/>
  <c r="G3877" i="19"/>
  <c r="G3841" i="19"/>
  <c r="O3841" i="19" s="1"/>
  <c r="O3847" i="19" s="1"/>
  <c r="D3830" i="19" s="1"/>
  <c r="H66" i="4" s="1"/>
  <c r="N1387" i="19"/>
  <c r="D1381" i="19" s="1"/>
  <c r="H536" i="4" s="1"/>
  <c r="O3873" i="19"/>
  <c r="O2985" i="19"/>
  <c r="B2598" i="19"/>
  <c r="B2636" i="19" s="1"/>
  <c r="B2622" i="19"/>
  <c r="N1884" i="19"/>
  <c r="N2986" i="19"/>
  <c r="O476" i="19"/>
  <c r="G3787" i="19"/>
  <c r="D3774" i="19" s="1"/>
  <c r="H158" i="4" s="1"/>
  <c r="O4869" i="19"/>
  <c r="G3859" i="19"/>
  <c r="O3859" i="19" s="1"/>
  <c r="O3979" i="19" s="1"/>
  <c r="K3979" i="19" s="1"/>
  <c r="G3872" i="19"/>
  <c r="G3854" i="19"/>
  <c r="O3854" i="19" s="1"/>
  <c r="O3974" i="19" s="1"/>
  <c r="K3974" i="19" s="1"/>
  <c r="L23" i="4"/>
  <c r="L164" i="4"/>
  <c r="L606" i="4"/>
  <c r="L53" i="4"/>
  <c r="L609" i="4"/>
  <c r="L540" i="4"/>
  <c r="L507" i="4"/>
  <c r="L74" i="4"/>
  <c r="L700" i="4"/>
  <c r="L630" i="4"/>
  <c r="L602" i="4"/>
  <c r="L71" i="4"/>
  <c r="L287" i="4"/>
  <c r="L73" i="4"/>
  <c r="L566" i="4"/>
  <c r="L565" i="4"/>
  <c r="L620" i="4"/>
  <c r="L599" i="4"/>
  <c r="L316" i="4"/>
  <c r="L622" i="4"/>
  <c r="L228" i="4"/>
  <c r="L546" i="4"/>
  <c r="L276" i="4"/>
  <c r="L77" i="4"/>
  <c r="L207" i="4"/>
  <c r="L48" i="4"/>
  <c r="L526" i="4"/>
  <c r="L525" i="4"/>
  <c r="L568" i="4"/>
  <c r="L223" i="4"/>
  <c r="L572" i="4"/>
  <c r="L698" i="4"/>
  <c r="L631" i="4"/>
  <c r="L615" i="4"/>
  <c r="L180" i="4"/>
  <c r="L571" i="4"/>
  <c r="L508" i="4"/>
  <c r="L574" i="4"/>
  <c r="L569" i="4"/>
  <c r="L703" i="4"/>
  <c r="L603" i="4"/>
  <c r="L269" i="4"/>
  <c r="L621" i="4"/>
  <c r="L691" i="4"/>
  <c r="L279" i="4"/>
  <c r="L627" i="4"/>
  <c r="L262" i="4"/>
  <c r="L598" i="4"/>
  <c r="L50" i="4"/>
  <c r="L293" i="4"/>
  <c r="L317" i="4"/>
  <c r="L270" i="4"/>
  <c r="L261" i="4"/>
  <c r="L612" i="4"/>
  <c r="L695" i="4"/>
  <c r="L70" i="4"/>
  <c r="L617" i="4"/>
  <c r="L613" i="4"/>
  <c r="L290" i="4"/>
  <c r="L212" i="4"/>
  <c r="L692" i="4"/>
  <c r="L54" i="4"/>
  <c r="L49" i="4"/>
  <c r="L206" i="4"/>
  <c r="L323" i="4"/>
  <c r="L88" i="4"/>
  <c r="L496" i="4"/>
  <c r="L628" i="4"/>
  <c r="L242" i="4"/>
  <c r="L616" i="4"/>
  <c r="L543" i="4"/>
  <c r="L176" i="4"/>
  <c r="L258" i="4"/>
  <c r="L260" i="4"/>
  <c r="L671" i="4"/>
  <c r="L240" i="4"/>
  <c r="L573" i="4"/>
  <c r="L72" i="4"/>
  <c r="L527" i="4"/>
  <c r="L509" i="4"/>
  <c r="L528" i="4"/>
  <c r="L59" i="4"/>
  <c r="L208" i="4"/>
  <c r="L259" i="4"/>
  <c r="L567" i="4"/>
  <c r="L284" i="4"/>
  <c r="L256" i="4"/>
  <c r="L537" i="4"/>
  <c r="L632" i="4"/>
  <c r="L55" i="4"/>
  <c r="L273" i="4"/>
  <c r="L295" i="4"/>
  <c r="I177" i="20"/>
  <c r="Y177" i="20"/>
  <c r="Z177" i="20" s="1"/>
  <c r="V177" i="20"/>
  <c r="AS177" i="20"/>
  <c r="L177" i="20"/>
  <c r="CB177" i="20"/>
  <c r="CK181" i="20"/>
  <c r="CM181" i="20"/>
  <c r="CL181" i="20"/>
  <c r="CA172" i="20"/>
  <c r="BY172" i="20"/>
  <c r="BZ172" i="20"/>
  <c r="Y116" i="20"/>
  <c r="Z116" i="20" s="1"/>
  <c r="V116" i="20"/>
  <c r="AS116" i="20"/>
  <c r="L116" i="20"/>
  <c r="V28" i="20"/>
  <c r="AS28" i="20"/>
  <c r="L28" i="20"/>
  <c r="Y28" i="20"/>
  <c r="Z28" i="20" s="1"/>
  <c r="AT28" i="20"/>
  <c r="BT28" i="20"/>
  <c r="Y24" i="20"/>
  <c r="Z24" i="20" s="1"/>
  <c r="CJ24" i="20"/>
  <c r="AS24" i="20"/>
  <c r="L24" i="20"/>
  <c r="N24" i="20" s="1"/>
  <c r="X24" i="20"/>
  <c r="V148" i="20"/>
  <c r="AS148" i="20"/>
  <c r="L148" i="20"/>
  <c r="I148" i="20"/>
  <c r="Y148" i="20"/>
  <c r="Z148" i="20" s="1"/>
  <c r="AT148" i="20"/>
  <c r="CB148" i="20"/>
  <c r="L48" i="20"/>
  <c r="Y48" i="20"/>
  <c r="Z48" i="20" s="1"/>
  <c r="V48" i="20"/>
  <c r="AS48" i="20"/>
  <c r="BX48" i="20"/>
  <c r="CI13" i="20"/>
  <c r="CH13" i="20"/>
  <c r="CG13" i="20"/>
  <c r="BM172" i="20"/>
  <c r="BC88" i="20"/>
  <c r="BM88" i="20"/>
  <c r="Y82" i="20"/>
  <c r="AL82" i="20" s="1"/>
  <c r="V82" i="20"/>
  <c r="AS82" i="20"/>
  <c r="L82" i="20"/>
  <c r="I82" i="20"/>
  <c r="DG82" i="20"/>
  <c r="AT82" i="20"/>
  <c r="DH82" i="20"/>
  <c r="BT82" i="20"/>
  <c r="DI82" i="20"/>
  <c r="CM15" i="20"/>
  <c r="CL15" i="20"/>
  <c r="CK15" i="20"/>
  <c r="CE174" i="20"/>
  <c r="CD174" i="20"/>
  <c r="CC174" i="20"/>
  <c r="CE173" i="20"/>
  <c r="CD173" i="20"/>
  <c r="CC173" i="20"/>
  <c r="N161" i="20"/>
  <c r="AA161" i="20"/>
  <c r="BV43" i="20"/>
  <c r="BU43" i="20"/>
  <c r="BW43" i="20"/>
  <c r="BC8" i="20"/>
  <c r="BM8" i="20"/>
  <c r="CE59" i="20"/>
  <c r="CD59" i="20"/>
  <c r="CC59" i="20"/>
  <c r="L75" i="20"/>
  <c r="N75" i="20" s="1"/>
  <c r="Y75" i="20"/>
  <c r="Z75" i="20" s="1"/>
  <c r="V75" i="20"/>
  <c r="AS75" i="20"/>
  <c r="X75" i="20"/>
  <c r="CJ75" i="20"/>
  <c r="AS100" i="20"/>
  <c r="L100" i="20"/>
  <c r="Y100" i="20"/>
  <c r="AK100" i="20" s="1"/>
  <c r="V100" i="20"/>
  <c r="I100" i="20"/>
  <c r="AT100" i="20"/>
  <c r="BC51" i="20"/>
  <c r="BM51" i="20"/>
  <c r="V19" i="20"/>
  <c r="AS19" i="20"/>
  <c r="L19" i="20"/>
  <c r="AO19" i="20" s="1"/>
  <c r="Y19" i="20"/>
  <c r="Z19" i="20" s="1"/>
  <c r="CJ19" i="20"/>
  <c r="AT19" i="20"/>
  <c r="CE53" i="20"/>
  <c r="CD53" i="20"/>
  <c r="CC53" i="20"/>
  <c r="L179" i="20"/>
  <c r="I179" i="20"/>
  <c r="Y179" i="20"/>
  <c r="Z179" i="20" s="1"/>
  <c r="AS179" i="20"/>
  <c r="CF179" i="20"/>
  <c r="CM77" i="20"/>
  <c r="CL77" i="20"/>
  <c r="CK77" i="20"/>
  <c r="L25" i="20"/>
  <c r="N25" i="20" s="1"/>
  <c r="AS25" i="20"/>
  <c r="I25" i="20"/>
  <c r="Y25" i="20"/>
  <c r="AN25" i="20" s="1"/>
  <c r="V25" i="20"/>
  <c r="CJ25" i="20"/>
  <c r="DN25" i="20"/>
  <c r="DM25" i="20"/>
  <c r="X25" i="20"/>
  <c r="DO25" i="20"/>
  <c r="AT25" i="20"/>
  <c r="BE25" i="20" s="1"/>
  <c r="DP25" i="20"/>
  <c r="I167" i="20"/>
  <c r="Y167" i="20"/>
  <c r="Z167" i="20" s="1"/>
  <c r="AS167" i="20"/>
  <c r="L167" i="20"/>
  <c r="AO167" i="20" s="1"/>
  <c r="CE70" i="20"/>
  <c r="CC70" i="20"/>
  <c r="CD70" i="20"/>
  <c r="CD146" i="20"/>
  <c r="CC146" i="20"/>
  <c r="CE146" i="20"/>
  <c r="N151" i="20"/>
  <c r="AA151" i="20"/>
  <c r="BM75" i="20"/>
  <c r="Y84" i="20"/>
  <c r="Z84" i="20" s="1"/>
  <c r="V84" i="20"/>
  <c r="AS84" i="20"/>
  <c r="L84" i="20"/>
  <c r="BT84" i="20"/>
  <c r="BW141" i="20"/>
  <c r="BV141" i="20"/>
  <c r="BU141" i="20"/>
  <c r="BC63" i="20"/>
  <c r="BM63" i="20"/>
  <c r="BI295" i="22"/>
  <c r="BL295" i="22"/>
  <c r="BK295" i="22"/>
  <c r="BJ295" i="22"/>
  <c r="BO295" i="22"/>
  <c r="BM295" i="22"/>
  <c r="BN295" i="22"/>
  <c r="AM54" i="23"/>
  <c r="M4856" i="19"/>
  <c r="M4928" i="19"/>
  <c r="K4928" i="19" s="1"/>
  <c r="O4847" i="19"/>
  <c r="AL130" i="23"/>
  <c r="AN66" i="23"/>
  <c r="AN188" i="23"/>
  <c r="O1844" i="19"/>
  <c r="O1846" i="19" s="1"/>
  <c r="AN29" i="23"/>
  <c r="CC189" i="20"/>
  <c r="CE189" i="20"/>
  <c r="CD189" i="20"/>
  <c r="CD187" i="20"/>
  <c r="CC187" i="20"/>
  <c r="CE187" i="20"/>
  <c r="CF19" i="22"/>
  <c r="CM19" i="22"/>
  <c r="BY182" i="20"/>
  <c r="CA182" i="20"/>
  <c r="BZ182" i="20"/>
  <c r="BY178" i="20"/>
  <c r="CA178" i="20"/>
  <c r="BZ178" i="20"/>
  <c r="CW178" i="20"/>
  <c r="CV178" i="20"/>
  <c r="CZ178" i="20"/>
  <c r="CY178" i="20"/>
  <c r="CX178" i="20"/>
  <c r="BS174" i="20"/>
  <c r="BR174" i="20"/>
  <c r="CI182" i="20"/>
  <c r="CH182" i="20"/>
  <c r="CG182" i="20"/>
  <c r="CI178" i="20"/>
  <c r="CH178" i="20"/>
  <c r="CG178" i="20"/>
  <c r="L191" i="20"/>
  <c r="N191" i="20" s="1"/>
  <c r="I191" i="20"/>
  <c r="AS191" i="20"/>
  <c r="Y191" i="20"/>
  <c r="Z191" i="20" s="1"/>
  <c r="BP168" i="20"/>
  <c r="BO168" i="20"/>
  <c r="CG163" i="20"/>
  <c r="CI163" i="20"/>
  <c r="CH163" i="20"/>
  <c r="CG159" i="20"/>
  <c r="CI159" i="20"/>
  <c r="CH159" i="20"/>
  <c r="CG155" i="20"/>
  <c r="CI155" i="20"/>
  <c r="CH155" i="20"/>
  <c r="CG151" i="20"/>
  <c r="CI151" i="20"/>
  <c r="CH151" i="20"/>
  <c r="BR146" i="20"/>
  <c r="BS146" i="20"/>
  <c r="L178" i="20"/>
  <c r="I178" i="20"/>
  <c r="Y178" i="20"/>
  <c r="Z178" i="20" s="1"/>
  <c r="AS178" i="20"/>
  <c r="CM171" i="20"/>
  <c r="CK171" i="20"/>
  <c r="CL171" i="20"/>
  <c r="AE172" i="20"/>
  <c r="AD172" i="20"/>
  <c r="AC172" i="20"/>
  <c r="AH170" i="20"/>
  <c r="AE180" i="20"/>
  <c r="AD180" i="20"/>
  <c r="AC180" i="20"/>
  <c r="AZ172" i="20"/>
  <c r="CI172" i="20"/>
  <c r="CH172" i="20"/>
  <c r="CG172" i="20"/>
  <c r="CM168" i="20"/>
  <c r="CK168" i="20"/>
  <c r="CL168" i="20"/>
  <c r="I166" i="20"/>
  <c r="Y166" i="20"/>
  <c r="AQ166" i="20" s="1"/>
  <c r="AS166" i="20"/>
  <c r="L166" i="20"/>
  <c r="CL147" i="20"/>
  <c r="CM147" i="20"/>
  <c r="CK147" i="20"/>
  <c r="CM173" i="20"/>
  <c r="CK173" i="20"/>
  <c r="CL173" i="20"/>
  <c r="AT172" i="20"/>
  <c r="AZ170" i="20"/>
  <c r="CM157" i="20"/>
  <c r="CL157" i="20"/>
  <c r="CK157" i="20"/>
  <c r="CZ152" i="20"/>
  <c r="CY152" i="20"/>
  <c r="CX152" i="20"/>
  <c r="CW152" i="20"/>
  <c r="CV152" i="20"/>
  <c r="BC148" i="20"/>
  <c r="CE74" i="20"/>
  <c r="CD74" i="20"/>
  <c r="CC74" i="20"/>
  <c r="BY141" i="20"/>
  <c r="CA141" i="20"/>
  <c r="BZ141" i="20"/>
  <c r="Y109" i="20"/>
  <c r="V109" i="20"/>
  <c r="AS109" i="20"/>
  <c r="L109" i="20"/>
  <c r="AT109" i="20"/>
  <c r="BY85" i="20"/>
  <c r="CA85" i="20"/>
  <c r="BZ85" i="20"/>
  <c r="CZ142" i="20"/>
  <c r="CY142" i="20"/>
  <c r="CW142" i="20"/>
  <c r="CV142" i="20"/>
  <c r="CX142" i="20"/>
  <c r="BP74" i="20"/>
  <c r="BO74" i="20"/>
  <c r="CV70" i="20"/>
  <c r="CZ70" i="20"/>
  <c r="CY70" i="20"/>
  <c r="CX70" i="20"/>
  <c r="CW70" i="20"/>
  <c r="E2848" i="19"/>
  <c r="E3709" i="19"/>
  <c r="E3711" i="19" s="1"/>
  <c r="D3708" i="19" s="1"/>
  <c r="H563" i="4" s="1"/>
  <c r="I59" i="20"/>
  <c r="Y32" i="20"/>
  <c r="AP32" i="20" s="1"/>
  <c r="AS32" i="20"/>
  <c r="L32" i="20"/>
  <c r="BC64" i="20"/>
  <c r="L47" i="20"/>
  <c r="BX47" i="20"/>
  <c r="Y47" i="20"/>
  <c r="AQ47" i="20" s="1"/>
  <c r="AS47" i="20"/>
  <c r="V47" i="20"/>
  <c r="AT47" i="20"/>
  <c r="DJ47" i="20"/>
  <c r="CH31" i="20"/>
  <c r="CG31" i="20"/>
  <c r="CI31" i="20"/>
  <c r="BM69" i="20"/>
  <c r="BC69" i="20"/>
  <c r="DJ59" i="20"/>
  <c r="V55" i="20"/>
  <c r="AS55" i="20"/>
  <c r="L55" i="20"/>
  <c r="Y55" i="20"/>
  <c r="Z55" i="20" s="1"/>
  <c r="CB55" i="20"/>
  <c r="DP50" i="20"/>
  <c r="DO50" i="20"/>
  <c r="DN50" i="20"/>
  <c r="DM50" i="20"/>
  <c r="DL50" i="20"/>
  <c r="I50" i="20"/>
  <c r="DK50" i="20"/>
  <c r="DJ50" i="20"/>
  <c r="AV50" i="20"/>
  <c r="DI50" i="20"/>
  <c r="AU50" i="20"/>
  <c r="DH50" i="20"/>
  <c r="DG50" i="20"/>
  <c r="BD50" i="20"/>
  <c r="BB50" i="20"/>
  <c r="BS44" i="20"/>
  <c r="BR44" i="20"/>
  <c r="BC28" i="20"/>
  <c r="BM28" i="20"/>
  <c r="CA65" i="20"/>
  <c r="BZ65" i="20"/>
  <c r="BY65" i="20"/>
  <c r="BP55" i="20"/>
  <c r="BO55" i="20"/>
  <c r="BS59" i="20"/>
  <c r="BR59" i="20"/>
  <c r="V79" i="20"/>
  <c r="AS79" i="20"/>
  <c r="Y79" i="20"/>
  <c r="Z79" i="20" s="1"/>
  <c r="BT79" i="20"/>
  <c r="L79" i="20"/>
  <c r="AJ79" i="20" s="1"/>
  <c r="CA67" i="20"/>
  <c r="BZ67" i="20"/>
  <c r="BY67" i="20"/>
  <c r="BW63" i="20"/>
  <c r="BV63" i="20"/>
  <c r="BU63" i="20"/>
  <c r="BP24" i="20"/>
  <c r="BO24" i="20"/>
  <c r="BP29" i="20"/>
  <c r="BO29" i="20"/>
  <c r="CE19" i="20"/>
  <c r="CD19" i="20"/>
  <c r="CC19" i="20"/>
  <c r="CE7" i="20"/>
  <c r="CD7" i="20"/>
  <c r="CC7" i="20"/>
  <c r="BP28" i="20"/>
  <c r="BO28" i="20"/>
  <c r="DN18" i="20"/>
  <c r="CE54" i="20"/>
  <c r="CD54" i="20"/>
  <c r="CC54" i="20"/>
  <c r="AZ53" i="20"/>
  <c r="CE23" i="20"/>
  <c r="CD23" i="20"/>
  <c r="CC23" i="20"/>
  <c r="CA19" i="20"/>
  <c r="BZ19" i="20"/>
  <c r="BY19" i="20"/>
  <c r="BP9" i="20"/>
  <c r="BO9" i="20"/>
  <c r="V9" i="20"/>
  <c r="G5140" i="19"/>
  <c r="G5127" i="19"/>
  <c r="O5127" i="19" s="1"/>
  <c r="O5228" i="19" s="1"/>
  <c r="K5228" i="19" s="1"/>
  <c r="G5114" i="19"/>
  <c r="O5114" i="19" s="1"/>
  <c r="AQ16" i="20"/>
  <c r="Z16" i="20"/>
  <c r="AO16" i="20"/>
  <c r="AK16" i="20"/>
  <c r="CE8" i="20"/>
  <c r="CD8" i="20"/>
  <c r="CC8" i="20"/>
  <c r="AZ20" i="20"/>
  <c r="CI20" i="20"/>
  <c r="CH20" i="20"/>
  <c r="CG20" i="20"/>
  <c r="B5204" i="19"/>
  <c r="B5103" i="19"/>
  <c r="B5217" i="19" s="1"/>
  <c r="AJ11" i="20"/>
  <c r="F4905" i="19"/>
  <c r="F4943" i="19" s="1"/>
  <c r="F4886" i="19"/>
  <c r="AL95" i="23"/>
  <c r="AN49" i="23"/>
  <c r="M2625" i="19"/>
  <c r="K2625" i="19" s="1"/>
  <c r="O2544" i="19"/>
  <c r="M2589" i="19"/>
  <c r="CM334" i="22"/>
  <c r="CF275" i="22"/>
  <c r="CM275" i="22"/>
  <c r="BP187" i="20"/>
  <c r="BO187" i="20"/>
  <c r="BV189" i="20"/>
  <c r="BU189" i="20"/>
  <c r="BW189" i="20"/>
  <c r="BW182" i="20"/>
  <c r="BV182" i="20"/>
  <c r="BU182" i="20"/>
  <c r="BW178" i="20"/>
  <c r="BV178" i="20"/>
  <c r="BU178" i="20"/>
  <c r="X191" i="20"/>
  <c r="DN187" i="20"/>
  <c r="DK175" i="20"/>
  <c r="AW175" i="20"/>
  <c r="AT175" i="20" s="1"/>
  <c r="DJ175" i="20"/>
  <c r="AV175" i="20"/>
  <c r="DI175" i="20"/>
  <c r="AU175" i="20"/>
  <c r="DH175" i="20"/>
  <c r="DG175" i="20"/>
  <c r="DP175" i="20"/>
  <c r="DO175" i="20"/>
  <c r="DN175" i="20"/>
  <c r="DM175" i="20"/>
  <c r="AE175" i="20"/>
  <c r="DL175" i="20"/>
  <c r="DM166" i="20"/>
  <c r="DL166" i="20"/>
  <c r="AL166" i="20"/>
  <c r="DK166" i="20"/>
  <c r="DJ166" i="20"/>
  <c r="AV166" i="20"/>
  <c r="DI166" i="20"/>
  <c r="AU166" i="20"/>
  <c r="AI166" i="20"/>
  <c r="DH166" i="20"/>
  <c r="AH166" i="20"/>
  <c r="DG166" i="20"/>
  <c r="AG166" i="20"/>
  <c r="DP166" i="20"/>
  <c r="DO166" i="20"/>
  <c r="DN166" i="20"/>
  <c r="AN166" i="20"/>
  <c r="CE167" i="20"/>
  <c r="CD167" i="20"/>
  <c r="CC167" i="20"/>
  <c r="BU163" i="20"/>
  <c r="BW163" i="20"/>
  <c r="BV163" i="20"/>
  <c r="BU159" i="20"/>
  <c r="BW159" i="20"/>
  <c r="BV159" i="20"/>
  <c r="BU155" i="20"/>
  <c r="BW155" i="20"/>
  <c r="BV155" i="20"/>
  <c r="BU151" i="20"/>
  <c r="BW151" i="20"/>
  <c r="BV151" i="20"/>
  <c r="CE171" i="20"/>
  <c r="CD171" i="20"/>
  <c r="CC171" i="20"/>
  <c r="AI170" i="20"/>
  <c r="CE168" i="20"/>
  <c r="CD168" i="20"/>
  <c r="CC168" i="20"/>
  <c r="BP159" i="20"/>
  <c r="BO159" i="20"/>
  <c r="BP153" i="20"/>
  <c r="BO153" i="20"/>
  <c r="BZ147" i="20"/>
  <c r="CA147" i="20"/>
  <c r="BY147" i="20"/>
  <c r="AI184" i="20"/>
  <c r="AH184" i="20"/>
  <c r="AG184" i="20"/>
  <c r="AF184" i="20"/>
  <c r="AE184" i="20"/>
  <c r="AD184" i="20"/>
  <c r="AC184" i="20"/>
  <c r="CA170" i="20"/>
  <c r="BY170" i="20"/>
  <c r="BZ170" i="20"/>
  <c r="AD166" i="20"/>
  <c r="CA162" i="20"/>
  <c r="BZ162" i="20"/>
  <c r="BY162" i="20"/>
  <c r="DJ150" i="20"/>
  <c r="AV150" i="20"/>
  <c r="AJ150" i="20"/>
  <c r="DI150" i="20"/>
  <c r="AU150" i="20"/>
  <c r="DH150" i="20"/>
  <c r="DG150" i="20"/>
  <c r="AQ150" i="20"/>
  <c r="DP150" i="20"/>
  <c r="BB150" i="20"/>
  <c r="AP150" i="20"/>
  <c r="DO150" i="20"/>
  <c r="AO150" i="20"/>
  <c r="DN150" i="20"/>
  <c r="AN150" i="20"/>
  <c r="DM150" i="20"/>
  <c r="DL150" i="20"/>
  <c r="DK150" i="20"/>
  <c r="BD150" i="20"/>
  <c r="AK150" i="20"/>
  <c r="V150" i="20"/>
  <c r="AT150" i="20"/>
  <c r="BV145" i="20"/>
  <c r="BU145" i="20"/>
  <c r="BW145" i="20"/>
  <c r="AT177" i="20"/>
  <c r="CZ163" i="20"/>
  <c r="CY163" i="20"/>
  <c r="CX163" i="20"/>
  <c r="CW163" i="20"/>
  <c r="CV163" i="20"/>
  <c r="CZ151" i="20"/>
  <c r="CY151" i="20"/>
  <c r="CX151" i="20"/>
  <c r="CW151" i="20"/>
  <c r="CV151" i="20"/>
  <c r="Y68" i="20"/>
  <c r="Z68" i="20" s="1"/>
  <c r="AS68" i="20"/>
  <c r="V68" i="20"/>
  <c r="CB68" i="20"/>
  <c r="L68" i="20"/>
  <c r="DK68" i="20"/>
  <c r="AK68" i="20"/>
  <c r="DH142" i="20"/>
  <c r="BP88" i="20"/>
  <c r="BO88" i="20"/>
  <c r="AC74" i="20"/>
  <c r="AW166" i="20"/>
  <c r="V166" i="20" s="1"/>
  <c r="L72" i="20"/>
  <c r="Y72" i="20"/>
  <c r="AH72" i="20" s="1"/>
  <c r="AS72" i="20"/>
  <c r="CB72" i="20"/>
  <c r="DK146" i="20"/>
  <c r="CZ76" i="20"/>
  <c r="CY76" i="20"/>
  <c r="CX76" i="20"/>
  <c r="CW76" i="20"/>
  <c r="CV76" i="20"/>
  <c r="CI74" i="20"/>
  <c r="CG74" i="20"/>
  <c r="CH74" i="20"/>
  <c r="DG142" i="20"/>
  <c r="I115" i="20"/>
  <c r="CM80" i="20"/>
  <c r="CK80" i="20"/>
  <c r="CL80" i="20"/>
  <c r="DM70" i="20"/>
  <c r="DL70" i="20"/>
  <c r="I70" i="20"/>
  <c r="DK70" i="20"/>
  <c r="DI70" i="20"/>
  <c r="AU70" i="20"/>
  <c r="DH70" i="20"/>
  <c r="BD70" i="20"/>
  <c r="DP70" i="20"/>
  <c r="DO70" i="20"/>
  <c r="BB70" i="20"/>
  <c r="DN70" i="20"/>
  <c r="DJ70" i="20"/>
  <c r="DG70" i="20"/>
  <c r="AV70" i="20"/>
  <c r="AT70" i="20"/>
  <c r="CG67" i="20"/>
  <c r="CI67" i="20"/>
  <c r="CH67" i="20"/>
  <c r="DL46" i="20"/>
  <c r="BC100" i="20"/>
  <c r="I76" i="20"/>
  <c r="AZ48" i="20"/>
  <c r="DJ46" i="20"/>
  <c r="BV31" i="20"/>
  <c r="BU31" i="20"/>
  <c r="BW31" i="20"/>
  <c r="DK143" i="20"/>
  <c r="DL68" i="20"/>
  <c r="I83" i="20"/>
  <c r="L61" i="20"/>
  <c r="Y61" i="20"/>
  <c r="Z61" i="20" s="1"/>
  <c r="V61" i="20"/>
  <c r="AS61" i="20"/>
  <c r="CF61" i="20"/>
  <c r="BM68" i="20"/>
  <c r="BC68" i="20"/>
  <c r="AS64" i="20"/>
  <c r="L64" i="20"/>
  <c r="Y64" i="20"/>
  <c r="AJ64" i="20" s="1"/>
  <c r="CF64" i="20"/>
  <c r="V64" i="20"/>
  <c r="AT64" i="20"/>
  <c r="AS52" i="20"/>
  <c r="L52" i="20"/>
  <c r="Y52" i="20"/>
  <c r="AQ52" i="20" s="1"/>
  <c r="V52" i="20"/>
  <c r="AZ67" i="20"/>
  <c r="BP45" i="20"/>
  <c r="BO45" i="20"/>
  <c r="L157" i="20"/>
  <c r="BS7" i="20"/>
  <c r="BR7" i="20"/>
  <c r="BS43" i="20"/>
  <c r="BR43" i="20"/>
  <c r="DI29" i="20"/>
  <c r="AU29" i="20"/>
  <c r="DH29" i="20"/>
  <c r="DG29" i="20"/>
  <c r="DN29" i="20"/>
  <c r="DM29" i="20"/>
  <c r="I29" i="20"/>
  <c r="DP29" i="20"/>
  <c r="DO29" i="20"/>
  <c r="BB29" i="20"/>
  <c r="BC29" i="20" s="1"/>
  <c r="DL29" i="20"/>
  <c r="DK29" i="20"/>
  <c r="DJ29" i="20"/>
  <c r="AW29" i="20"/>
  <c r="V29" i="20" s="1"/>
  <c r="AV29" i="20"/>
  <c r="BT29" i="20"/>
  <c r="AN16" i="20"/>
  <c r="CI11" i="20"/>
  <c r="CH11" i="20"/>
  <c r="CG11" i="20"/>
  <c r="AJ57" i="20"/>
  <c r="AT50" i="20"/>
  <c r="CZ28" i="20"/>
  <c r="CY28" i="20"/>
  <c r="CV28" i="20"/>
  <c r="CX28" i="20"/>
  <c r="CW28" i="20"/>
  <c r="BD60" i="20"/>
  <c r="CA53" i="20"/>
  <c r="BZ53" i="20"/>
  <c r="BY53" i="20"/>
  <c r="BC52" i="20"/>
  <c r="BE52" i="20" s="1"/>
  <c r="DI32" i="20"/>
  <c r="BM30" i="20"/>
  <c r="DP22" i="20"/>
  <c r="AZ19" i="20"/>
  <c r="AJ16" i="20"/>
  <c r="BS12" i="20"/>
  <c r="BR12" i="20"/>
  <c r="I6" i="20"/>
  <c r="AT53" i="20"/>
  <c r="CZ7" i="20"/>
  <c r="CY7" i="20"/>
  <c r="CX7" i="20"/>
  <c r="CW7" i="20"/>
  <c r="CV7" i="20"/>
  <c r="V66" i="20"/>
  <c r="AS66" i="20"/>
  <c r="L66" i="20"/>
  <c r="Y66" i="20"/>
  <c r="Z66" i="20" s="1"/>
  <c r="CY49" i="20"/>
  <c r="CX49" i="20"/>
  <c r="CW49" i="20"/>
  <c r="CV49" i="20"/>
  <c r="CZ49" i="20"/>
  <c r="DI30" i="20"/>
  <c r="L26" i="20"/>
  <c r="N26" i="20" s="1"/>
  <c r="I4910" i="19"/>
  <c r="BB7" i="20"/>
  <c r="BM16" i="20"/>
  <c r="AC20" i="20"/>
  <c r="DJ56" i="20"/>
  <c r="CA20" i="20"/>
  <c r="BZ20" i="20"/>
  <c r="BY20" i="20"/>
  <c r="M4863" i="19"/>
  <c r="N4863" i="19" s="1"/>
  <c r="O4857" i="19"/>
  <c r="M4886" i="19"/>
  <c r="M4906" i="19" s="1"/>
  <c r="O3765" i="19"/>
  <c r="N288" i="22"/>
  <c r="L288" i="22"/>
  <c r="AR288" i="22" s="1"/>
  <c r="G2744" i="19"/>
  <c r="O2744" i="19" s="1"/>
  <c r="G2753" i="19"/>
  <c r="O2753" i="19" s="1"/>
  <c r="O2834" i="19" s="1"/>
  <c r="K2834" i="19" s="1"/>
  <c r="G2762" i="19"/>
  <c r="G2709" i="19"/>
  <c r="D2702" i="19" s="1"/>
  <c r="H156" i="4" s="1"/>
  <c r="AN170" i="23"/>
  <c r="AM82" i="23"/>
  <c r="AN82" i="23" s="1"/>
  <c r="AN17" i="23"/>
  <c r="AM172" i="23"/>
  <c r="AM117" i="23"/>
  <c r="AN53" i="23"/>
  <c r="CM325" i="22"/>
  <c r="CF325" i="22"/>
  <c r="CM303" i="22"/>
  <c r="CF303" i="22"/>
  <c r="BR187" i="20"/>
  <c r="BS187" i="20"/>
  <c r="DN178" i="20"/>
  <c r="DM178" i="20"/>
  <c r="DL178" i="20"/>
  <c r="DK178" i="20"/>
  <c r="AW178" i="20"/>
  <c r="DJ178" i="20"/>
  <c r="AV178" i="20"/>
  <c r="DI178" i="20"/>
  <c r="AU178" i="20"/>
  <c r="DH178" i="20"/>
  <c r="DG178" i="20"/>
  <c r="DP178" i="20"/>
  <c r="AO178" i="20"/>
  <c r="DO178" i="20"/>
  <c r="AS174" i="20"/>
  <c r="L174" i="20"/>
  <c r="I174" i="20"/>
  <c r="Y174" i="20"/>
  <c r="AF174" i="20" s="1"/>
  <c r="AE174" i="20"/>
  <c r="X187" i="20"/>
  <c r="BS184" i="20"/>
  <c r="BR184" i="20"/>
  <c r="BS182" i="20"/>
  <c r="BR182" i="20"/>
  <c r="BS180" i="20"/>
  <c r="BR180" i="20"/>
  <c r="BS178" i="20"/>
  <c r="BR178" i="20"/>
  <c r="CL174" i="20"/>
  <c r="CK174" i="20"/>
  <c r="CM174" i="20"/>
  <c r="CZ174" i="20"/>
  <c r="CX174" i="20"/>
  <c r="CW174" i="20"/>
  <c r="CV174" i="20"/>
  <c r="CY174" i="20"/>
  <c r="CV166" i="20"/>
  <c r="CZ166" i="20"/>
  <c r="CY166" i="20"/>
  <c r="CX166" i="20"/>
  <c r="CW166" i="20"/>
  <c r="AT176" i="20"/>
  <c r="CM172" i="20"/>
  <c r="CK172" i="20"/>
  <c r="CL172" i="20"/>
  <c r="BP170" i="20"/>
  <c r="BO170" i="20"/>
  <c r="CB165" i="20"/>
  <c r="AW168" i="20"/>
  <c r="AT168" i="20" s="1"/>
  <c r="CM154" i="20"/>
  <c r="CL154" i="20"/>
  <c r="CK154" i="20"/>
  <c r="AZ152" i="20"/>
  <c r="CM149" i="20"/>
  <c r="CL149" i="20"/>
  <c r="CK149" i="20"/>
  <c r="BM187" i="20"/>
  <c r="BP167" i="20"/>
  <c r="BO167" i="20"/>
  <c r="CZ162" i="20"/>
  <c r="CY162" i="20"/>
  <c r="CX162" i="20"/>
  <c r="CW162" i="20"/>
  <c r="CV162" i="20"/>
  <c r="CZ150" i="20"/>
  <c r="CY150" i="20"/>
  <c r="CX150" i="20"/>
  <c r="CW150" i="20"/>
  <c r="CV150" i="20"/>
  <c r="BC147" i="20"/>
  <c r="BM147" i="20"/>
  <c r="CE88" i="20"/>
  <c r="CD88" i="20"/>
  <c r="CC88" i="20"/>
  <c r="DN85" i="20"/>
  <c r="DM85" i="20"/>
  <c r="DL85" i="20"/>
  <c r="I85" i="20"/>
  <c r="DK85" i="20"/>
  <c r="DJ85" i="20"/>
  <c r="AV85" i="20"/>
  <c r="DI85" i="20"/>
  <c r="AU85" i="20"/>
  <c r="DG85" i="20"/>
  <c r="DP85" i="20"/>
  <c r="DO85" i="20"/>
  <c r="DH85" i="20"/>
  <c r="BB85" i="20"/>
  <c r="AT85" i="20"/>
  <c r="AF167" i="20"/>
  <c r="CL72" i="20"/>
  <c r="CK72" i="20"/>
  <c r="CM72" i="20"/>
  <c r="V81" i="20"/>
  <c r="DG81" i="20"/>
  <c r="AS81" i="20"/>
  <c r="L81" i="20"/>
  <c r="I81" i="20"/>
  <c r="Y81" i="20"/>
  <c r="AO81" i="20" s="1"/>
  <c r="CE142" i="20"/>
  <c r="CD142" i="20"/>
  <c r="CC142" i="20"/>
  <c r="DA192" i="20"/>
  <c r="E4936" i="19" s="1"/>
  <c r="E4938" i="19" s="1"/>
  <c r="D4935" i="19" s="1"/>
  <c r="H159" i="4" s="1"/>
  <c r="CI88" i="20"/>
  <c r="CH88" i="20"/>
  <c r="CG88" i="20"/>
  <c r="BR85" i="20"/>
  <c r="BS85" i="20"/>
  <c r="BW74" i="20"/>
  <c r="BU74" i="20"/>
  <c r="BV74" i="20"/>
  <c r="AQ115" i="20"/>
  <c r="CE80" i="20"/>
  <c r="CD80" i="20"/>
  <c r="CC80" i="20"/>
  <c r="AZ70" i="20"/>
  <c r="BU67" i="20"/>
  <c r="BW67" i="20"/>
  <c r="BV67" i="20"/>
  <c r="AT111" i="20"/>
  <c r="DO48" i="20"/>
  <c r="DN48" i="20"/>
  <c r="DM48" i="20"/>
  <c r="DL48" i="20"/>
  <c r="I48" i="20"/>
  <c r="DK48" i="20"/>
  <c r="DJ48" i="20"/>
  <c r="AV48" i="20"/>
  <c r="DH48" i="20"/>
  <c r="DG48" i="20"/>
  <c r="DP48" i="20"/>
  <c r="DI48" i="20"/>
  <c r="AU48" i="20"/>
  <c r="CG30" i="20"/>
  <c r="CI30" i="20"/>
  <c r="CH30" i="20"/>
  <c r="BC109" i="20"/>
  <c r="CI47" i="20"/>
  <c r="CH47" i="20"/>
  <c r="CG47" i="20"/>
  <c r="V44" i="20"/>
  <c r="AS44" i="20"/>
  <c r="L44" i="20"/>
  <c r="Y44" i="20"/>
  <c r="AQ44" i="20" s="1"/>
  <c r="I44" i="20"/>
  <c r="AT44" i="20"/>
  <c r="CE26" i="20"/>
  <c r="CD26" i="20"/>
  <c r="CC26" i="20"/>
  <c r="BO73" i="20"/>
  <c r="BP73" i="20"/>
  <c r="AO68" i="20"/>
  <c r="DH65" i="20"/>
  <c r="DG65" i="20"/>
  <c r="DP65" i="20"/>
  <c r="DO65" i="20"/>
  <c r="DN65" i="20"/>
  <c r="DM65" i="20"/>
  <c r="DL65" i="20"/>
  <c r="I65" i="20"/>
  <c r="DK65" i="20"/>
  <c r="DJ65" i="20"/>
  <c r="AV65" i="20"/>
  <c r="DI65" i="20"/>
  <c r="AU65" i="20"/>
  <c r="BP80" i="20"/>
  <c r="BO80" i="20"/>
  <c r="CZ79" i="20"/>
  <c r="CY79" i="20"/>
  <c r="CX79" i="20"/>
  <c r="CV79" i="20"/>
  <c r="CW79" i="20"/>
  <c r="DJ67" i="20"/>
  <c r="DI67" i="20"/>
  <c r="DH67" i="20"/>
  <c r="AV67" i="20"/>
  <c r="AJ67" i="20"/>
  <c r="AU67" i="20"/>
  <c r="DP67" i="20"/>
  <c r="DO67" i="20"/>
  <c r="DN67" i="20"/>
  <c r="DM67" i="20"/>
  <c r="DL67" i="20"/>
  <c r="BB67" i="20"/>
  <c r="BC67" i="20" s="1"/>
  <c r="DK67" i="20"/>
  <c r="DG67" i="20"/>
  <c r="AN67" i="20"/>
  <c r="AM67" i="20"/>
  <c r="AL67" i="20"/>
  <c r="I67" i="20"/>
  <c r="AW67" i="20"/>
  <c r="V67" i="20" s="1"/>
  <c r="AK67" i="20"/>
  <c r="DJ55" i="20"/>
  <c r="AV55" i="20"/>
  <c r="AJ55" i="20"/>
  <c r="DI55" i="20"/>
  <c r="AU55" i="20"/>
  <c r="DH55" i="20"/>
  <c r="DG55" i="20"/>
  <c r="AQ55" i="20"/>
  <c r="DP55" i="20"/>
  <c r="BB55" i="20"/>
  <c r="AP55" i="20"/>
  <c r="DO55" i="20"/>
  <c r="AO55" i="20"/>
  <c r="DN55" i="20"/>
  <c r="DM55" i="20"/>
  <c r="I55" i="20"/>
  <c r="DL55" i="20"/>
  <c r="DK55" i="20"/>
  <c r="AK55" i="20"/>
  <c r="BD103" i="20"/>
  <c r="BS17" i="20"/>
  <c r="BR17" i="20"/>
  <c r="BM64" i="20"/>
  <c r="CB50" i="20"/>
  <c r="L50" i="20"/>
  <c r="V50" i="20"/>
  <c r="AS50" i="20"/>
  <c r="Y50" i="20"/>
  <c r="AP50" i="20" s="1"/>
  <c r="BS19" i="20"/>
  <c r="BR19" i="20"/>
  <c r="Y12" i="20"/>
  <c r="Z12" i="20" s="1"/>
  <c r="V12" i="20"/>
  <c r="AS12" i="20"/>
  <c r="L12" i="20"/>
  <c r="CB12" i="20"/>
  <c r="AZ29" i="20"/>
  <c r="CI29" i="20"/>
  <c r="CH29" i="20"/>
  <c r="CG29" i="20"/>
  <c r="DP18" i="20"/>
  <c r="BW11" i="20"/>
  <c r="BV11" i="20"/>
  <c r="BU11" i="20"/>
  <c r="DH28" i="20"/>
  <c r="DG28" i="20"/>
  <c r="AQ28" i="20"/>
  <c r="DP28" i="20"/>
  <c r="AP28" i="20"/>
  <c r="DM28" i="20"/>
  <c r="AM28" i="20"/>
  <c r="DL28" i="20"/>
  <c r="AL28" i="20"/>
  <c r="I28" i="20"/>
  <c r="DI28" i="20"/>
  <c r="AV28" i="20"/>
  <c r="AU28" i="20"/>
  <c r="AO28" i="20"/>
  <c r="AN28" i="20"/>
  <c r="AK28" i="20"/>
  <c r="DO28" i="20"/>
  <c r="DN28" i="20"/>
  <c r="DK28" i="20"/>
  <c r="DJ28" i="20"/>
  <c r="V54" i="20"/>
  <c r="AS54" i="20"/>
  <c r="L54" i="20"/>
  <c r="Y54" i="20"/>
  <c r="Z54" i="20" s="1"/>
  <c r="CM53" i="20"/>
  <c r="CL53" i="20"/>
  <c r="CK53" i="20"/>
  <c r="BD12" i="20"/>
  <c r="CI24" i="20"/>
  <c r="CH24" i="20"/>
  <c r="CG24" i="20"/>
  <c r="BB12" i="20"/>
  <c r="V7" i="20"/>
  <c r="AS7" i="20"/>
  <c r="L7" i="20"/>
  <c r="Y7" i="20"/>
  <c r="Z7" i="20" s="1"/>
  <c r="BS66" i="20"/>
  <c r="BR66" i="20"/>
  <c r="DP49" i="20"/>
  <c r="DO49" i="20"/>
  <c r="DN49" i="20"/>
  <c r="DM49" i="20"/>
  <c r="DL49" i="20"/>
  <c r="I49" i="20"/>
  <c r="DK49" i="20"/>
  <c r="DI49" i="20"/>
  <c r="AU49" i="20"/>
  <c r="DH49" i="20"/>
  <c r="DG49" i="20"/>
  <c r="AV49" i="20"/>
  <c r="DJ49" i="20"/>
  <c r="BD49" i="20"/>
  <c r="BD43" i="20"/>
  <c r="G5141" i="19"/>
  <c r="G5128" i="19"/>
  <c r="O5128" i="19" s="1"/>
  <c r="O5229" i="19" s="1"/>
  <c r="K5229" i="19" s="1"/>
  <c r="G5115" i="19"/>
  <c r="O5115" i="19" s="1"/>
  <c r="AT7" i="20"/>
  <c r="N16" i="20"/>
  <c r="AA16" i="20"/>
  <c r="AD20" i="20"/>
  <c r="M5269" i="19"/>
  <c r="O5278" i="19"/>
  <c r="G5149" i="19"/>
  <c r="O5149" i="19" s="1"/>
  <c r="O5136" i="19"/>
  <c r="M3686" i="19"/>
  <c r="K3686" i="19" s="1"/>
  <c r="O3605" i="19"/>
  <c r="M3650" i="19"/>
  <c r="AM77" i="23"/>
  <c r="AN77" i="23" s="1"/>
  <c r="BW191" i="20"/>
  <c r="BU191" i="20"/>
  <c r="BV191" i="20"/>
  <c r="BW180" i="20"/>
  <c r="BV180" i="20"/>
  <c r="BU180" i="20"/>
  <c r="BM169" i="20"/>
  <c r="BP156" i="20"/>
  <c r="BO156" i="20"/>
  <c r="CH143" i="20"/>
  <c r="CG143" i="20"/>
  <c r="CI143" i="20"/>
  <c r="BW146" i="20"/>
  <c r="BV146" i="20"/>
  <c r="BU146" i="20"/>
  <c r="CM148" i="20"/>
  <c r="CL148" i="20"/>
  <c r="CK148" i="20"/>
  <c r="BP62" i="20"/>
  <c r="BO62" i="20"/>
  <c r="CI46" i="20"/>
  <c r="CH46" i="20"/>
  <c r="CG46" i="20"/>
  <c r="BP79" i="20"/>
  <c r="BO79" i="20"/>
  <c r="CI43" i="20"/>
  <c r="CH43" i="20"/>
  <c r="CG43" i="20"/>
  <c r="BP7" i="20"/>
  <c r="BO7" i="20"/>
  <c r="BC10" i="20"/>
  <c r="BM10" i="20"/>
  <c r="CI25" i="20"/>
  <c r="CH25" i="20"/>
  <c r="CG25" i="20"/>
  <c r="CI16" i="20"/>
  <c r="CH16" i="20"/>
  <c r="CG16" i="20"/>
  <c r="BM23" i="20"/>
  <c r="N9" i="20"/>
  <c r="AL9" i="20"/>
  <c r="AM177" i="23"/>
  <c r="AN177" i="23" s="1"/>
  <c r="AL37" i="23"/>
  <c r="AN25" i="23"/>
  <c r="BY179" i="20"/>
  <c r="CA179" i="20"/>
  <c r="BZ179" i="20"/>
  <c r="CG160" i="20"/>
  <c r="CI160" i="20"/>
  <c r="CH160" i="20"/>
  <c r="AN163" i="23"/>
  <c r="M2624" i="19"/>
  <c r="K2624" i="19" s="1"/>
  <c r="M2566" i="19"/>
  <c r="O2543" i="19"/>
  <c r="O4112" i="19"/>
  <c r="O4114" i="19" s="1"/>
  <c r="D4105" i="19"/>
  <c r="H247" i="4" s="1"/>
  <c r="AN13" i="23"/>
  <c r="CF269" i="22"/>
  <c r="CM269" i="22"/>
  <c r="L187" i="20"/>
  <c r="N187" i="20" s="1"/>
  <c r="I187" i="20"/>
  <c r="Y187" i="20"/>
  <c r="AJ187" i="20" s="1"/>
  <c r="V187" i="20"/>
  <c r="DM187" i="20"/>
  <c r="AS187" i="20"/>
  <c r="AT187" i="20"/>
  <c r="BE187" i="20" s="1"/>
  <c r="CM17" i="22"/>
  <c r="CF17" i="22"/>
  <c r="AW189" i="20"/>
  <c r="AT189" i="20" s="1"/>
  <c r="BY185" i="20"/>
  <c r="CA185" i="20"/>
  <c r="BZ185" i="20"/>
  <c r="BY181" i="20"/>
  <c r="CA181" i="20"/>
  <c r="BZ181" i="20"/>
  <c r="CV177" i="20"/>
  <c r="CZ177" i="20"/>
  <c r="CY177" i="20"/>
  <c r="CX177" i="20"/>
  <c r="CW177" i="20"/>
  <c r="CI185" i="20"/>
  <c r="CH185" i="20"/>
  <c r="CG185" i="20"/>
  <c r="CI181" i="20"/>
  <c r="CH181" i="20"/>
  <c r="CG181" i="20"/>
  <c r="BD180" i="20"/>
  <c r="BD178" i="20"/>
  <c r="DP187" i="20"/>
  <c r="BZ174" i="20"/>
  <c r="BY174" i="20"/>
  <c r="CA174" i="20"/>
  <c r="AW173" i="20"/>
  <c r="AT173" i="20" s="1"/>
  <c r="BP171" i="20"/>
  <c r="BO171" i="20"/>
  <c r="CG162" i="20"/>
  <c r="CI162" i="20"/>
  <c r="CH162" i="20"/>
  <c r="CG158" i="20"/>
  <c r="CI158" i="20"/>
  <c r="CH158" i="20"/>
  <c r="CG154" i="20"/>
  <c r="CI154" i="20"/>
  <c r="CH154" i="20"/>
  <c r="CG150" i="20"/>
  <c r="CI150" i="20"/>
  <c r="CH150" i="20"/>
  <c r="BB175" i="20"/>
  <c r="BC175" i="20" s="1"/>
  <c r="AE179" i="20"/>
  <c r="AD179" i="20"/>
  <c r="AC179" i="20"/>
  <c r="BB168" i="20"/>
  <c r="BC168" i="20" s="1"/>
  <c r="CE172" i="20"/>
  <c r="CD172" i="20"/>
  <c r="CC172" i="20"/>
  <c r="BB170" i="20"/>
  <c r="BC170" i="20" s="1"/>
  <c r="BP158" i="20"/>
  <c r="BO158" i="20"/>
  <c r="BP152" i="20"/>
  <c r="BO152" i="20"/>
  <c r="DJ162" i="20"/>
  <c r="AV162" i="20"/>
  <c r="DI162" i="20"/>
  <c r="AU162" i="20"/>
  <c r="DH162" i="20"/>
  <c r="AT162" i="20"/>
  <c r="DG162" i="20"/>
  <c r="DP162" i="20"/>
  <c r="BB162" i="20"/>
  <c r="DO162" i="20"/>
  <c r="DN162" i="20"/>
  <c r="DM162" i="20"/>
  <c r="DL162" i="20"/>
  <c r="DK162" i="20"/>
  <c r="CA159" i="20"/>
  <c r="BZ159" i="20"/>
  <c r="BY159" i="20"/>
  <c r="CA154" i="20"/>
  <c r="BZ154" i="20"/>
  <c r="BY154" i="20"/>
  <c r="CA149" i="20"/>
  <c r="BZ149" i="20"/>
  <c r="BY149" i="20"/>
  <c r="CH144" i="20"/>
  <c r="CG144" i="20"/>
  <c r="CI144" i="20"/>
  <c r="AC167" i="20"/>
  <c r="CZ161" i="20"/>
  <c r="CY161" i="20"/>
  <c r="CX161" i="20"/>
  <c r="CW161" i="20"/>
  <c r="CV161" i="20"/>
  <c r="CZ149" i="20"/>
  <c r="CY149" i="20"/>
  <c r="CX149" i="20"/>
  <c r="CW149" i="20"/>
  <c r="CV149" i="20"/>
  <c r="CA84" i="20"/>
  <c r="BZ84" i="20"/>
  <c r="BY84" i="20"/>
  <c r="Y115" i="20"/>
  <c r="Z115" i="20" s="1"/>
  <c r="V115" i="20"/>
  <c r="AS115" i="20"/>
  <c r="L115" i="20"/>
  <c r="Y107" i="20"/>
  <c r="AN107" i="20" s="1"/>
  <c r="V107" i="20"/>
  <c r="AS107" i="20"/>
  <c r="L107" i="20"/>
  <c r="AT107" i="20"/>
  <c r="CV84" i="20"/>
  <c r="CZ84" i="20"/>
  <c r="CY84" i="20"/>
  <c r="CX84" i="20"/>
  <c r="CW84" i="20"/>
  <c r="BR76" i="20"/>
  <c r="BS76" i="20"/>
  <c r="CY148" i="20"/>
  <c r="CX148" i="20"/>
  <c r="CW148" i="20"/>
  <c r="CV148" i="20"/>
  <c r="CZ148" i="20"/>
  <c r="BW148" i="20"/>
  <c r="BV148" i="20"/>
  <c r="BU148" i="20"/>
  <c r="DI142" i="20"/>
  <c r="CH82" i="20"/>
  <c r="CG82" i="20"/>
  <c r="CI82" i="20"/>
  <c r="BZ72" i="20"/>
  <c r="BY72" i="20"/>
  <c r="CA72" i="20"/>
  <c r="AT149" i="20"/>
  <c r="BC79" i="20"/>
  <c r="BM79" i="20"/>
  <c r="BC106" i="20"/>
  <c r="BE106" i="20" s="1"/>
  <c r="CI87" i="20"/>
  <c r="CH87" i="20"/>
  <c r="CG87" i="20"/>
  <c r="AW167" i="20"/>
  <c r="V167" i="20" s="1"/>
  <c r="CO194" i="20"/>
  <c r="BW88" i="20"/>
  <c r="BV88" i="20"/>
  <c r="BU88" i="20"/>
  <c r="BD85" i="20"/>
  <c r="CN194" i="20"/>
  <c r="E4956" i="19" s="1"/>
  <c r="AU104" i="20"/>
  <c r="AT104" i="20"/>
  <c r="BD104" i="20"/>
  <c r="BB104" i="20"/>
  <c r="BM104" i="20" s="1"/>
  <c r="I104" i="20"/>
  <c r="AV104" i="20"/>
  <c r="Y70" i="20"/>
  <c r="AP70" i="20" s="1"/>
  <c r="V70" i="20"/>
  <c r="AS70" i="20"/>
  <c r="L70" i="20"/>
  <c r="CA70" i="20"/>
  <c r="BZ70" i="20"/>
  <c r="BY70" i="20"/>
  <c r="CE62" i="20"/>
  <c r="CD62" i="20"/>
  <c r="CC62" i="20"/>
  <c r="I46" i="20"/>
  <c r="Y58" i="20"/>
  <c r="AO58" i="20" s="1"/>
  <c r="V58" i="20"/>
  <c r="AS58" i="20"/>
  <c r="L58" i="20"/>
  <c r="CB58" i="20"/>
  <c r="DL58" i="20"/>
  <c r="DL47" i="20"/>
  <c r="BT30" i="20"/>
  <c r="BT32" i="20"/>
  <c r="BW47" i="20"/>
  <c r="BV47" i="20"/>
  <c r="BU47" i="20"/>
  <c r="DH26" i="20"/>
  <c r="DG26" i="20"/>
  <c r="AN26" i="20"/>
  <c r="AM26" i="20"/>
  <c r="DN26" i="20"/>
  <c r="AJ26" i="20"/>
  <c r="DM26" i="20"/>
  <c r="DO26" i="20"/>
  <c r="AK26" i="20"/>
  <c r="I26" i="20"/>
  <c r="DL26" i="20"/>
  <c r="DK26" i="20"/>
  <c r="DJ26" i="20"/>
  <c r="DI26" i="20"/>
  <c r="AW26" i="20"/>
  <c r="AV26" i="20"/>
  <c r="AU26" i="20"/>
  <c r="DP26" i="20"/>
  <c r="AL26" i="20"/>
  <c r="AE26" i="20"/>
  <c r="BP77" i="20"/>
  <c r="BO77" i="20"/>
  <c r="AT83" i="20"/>
  <c r="AT113" i="20"/>
  <c r="DH79" i="20"/>
  <c r="DG79" i="20"/>
  <c r="AQ79" i="20"/>
  <c r="DP79" i="20"/>
  <c r="AP79" i="20"/>
  <c r="DO79" i="20"/>
  <c r="AO79" i="20"/>
  <c r="DM79" i="20"/>
  <c r="AM79" i="20"/>
  <c r="DL79" i="20"/>
  <c r="AL79" i="20"/>
  <c r="I79" i="20"/>
  <c r="DK79" i="20"/>
  <c r="AK79" i="20"/>
  <c r="AN79" i="20"/>
  <c r="DN79" i="20"/>
  <c r="DJ79" i="20"/>
  <c r="DI79" i="20"/>
  <c r="AV79" i="20"/>
  <c r="AU79" i="20"/>
  <c r="DJ52" i="20"/>
  <c r="BS48" i="20"/>
  <c r="BR48" i="20"/>
  <c r="CE57" i="20"/>
  <c r="CD57" i="20"/>
  <c r="CC57" i="20"/>
  <c r="AP16" i="20"/>
  <c r="DA89" i="20"/>
  <c r="E2629" i="19" s="1"/>
  <c r="E2631" i="19" s="1"/>
  <c r="D2628" i="19" s="1"/>
  <c r="H155" i="4" s="1"/>
  <c r="BY29" i="20"/>
  <c r="CA29" i="20"/>
  <c r="BZ29" i="20"/>
  <c r="CA15" i="20"/>
  <c r="BZ15" i="20"/>
  <c r="BY15" i="20"/>
  <c r="AO57" i="20"/>
  <c r="AZ28" i="20"/>
  <c r="AM17" i="20"/>
  <c r="BS54" i="20"/>
  <c r="BR54" i="20"/>
  <c r="BP53" i="20"/>
  <c r="BO53" i="20"/>
  <c r="DH19" i="20"/>
  <c r="DG19" i="20"/>
  <c r="AQ19" i="20"/>
  <c r="DP19" i="20"/>
  <c r="AP19" i="20"/>
  <c r="DO19" i="20"/>
  <c r="DN19" i="20"/>
  <c r="AN19" i="20"/>
  <c r="DM19" i="20"/>
  <c r="AM19" i="20"/>
  <c r="DL19" i="20"/>
  <c r="AL19" i="20"/>
  <c r="I19" i="20"/>
  <c r="DK19" i="20"/>
  <c r="AK19" i="20"/>
  <c r="DJ19" i="20"/>
  <c r="AV19" i="20"/>
  <c r="AJ19" i="20"/>
  <c r="DI19" i="20"/>
  <c r="AU19" i="20"/>
  <c r="BB19" i="20"/>
  <c r="CI15" i="20"/>
  <c r="CH15" i="20"/>
  <c r="CG15" i="20"/>
  <c r="BW24" i="20"/>
  <c r="BV24" i="20"/>
  <c r="BU24" i="20"/>
  <c r="CZ19" i="20"/>
  <c r="CY19" i="20"/>
  <c r="CX19" i="20"/>
  <c r="CW19" i="20"/>
  <c r="CV19" i="20"/>
  <c r="DK6" i="20"/>
  <c r="DJ6" i="20"/>
  <c r="I68" i="20"/>
  <c r="DM22" i="20"/>
  <c r="AM32" i="20"/>
  <c r="DL56" i="20"/>
  <c r="CM21" i="20"/>
  <c r="AE20" i="20"/>
  <c r="BD20" i="20"/>
  <c r="I4918" i="19"/>
  <c r="AH26" i="20"/>
  <c r="AP11" i="20"/>
  <c r="E3027" i="19"/>
  <c r="E3663" i="19"/>
  <c r="I3643" i="19"/>
  <c r="I3663" i="19" s="1"/>
  <c r="O5297" i="19"/>
  <c r="BY26" i="20"/>
  <c r="CA26" i="20"/>
  <c r="BZ26" i="20"/>
  <c r="G1627" i="19"/>
  <c r="G1591" i="19"/>
  <c r="O1591" i="19" s="1"/>
  <c r="G1609" i="19"/>
  <c r="O1609" i="19" s="1"/>
  <c r="O1735" i="19" s="1"/>
  <c r="K1735" i="19" s="1"/>
  <c r="G1529" i="19"/>
  <c r="D1513" i="19" s="1"/>
  <c r="H154" i="4" s="1"/>
  <c r="AN155" i="23"/>
  <c r="AN90" i="23"/>
  <c r="AN68" i="23"/>
  <c r="CA177" i="20"/>
  <c r="BZ177" i="20"/>
  <c r="BY177" i="20"/>
  <c r="AZ185" i="20"/>
  <c r="AZ181" i="20"/>
  <c r="L184" i="20"/>
  <c r="N184" i="20" s="1"/>
  <c r="I184" i="20"/>
  <c r="Y184" i="20"/>
  <c r="Z184" i="20" s="1"/>
  <c r="AS184" i="20"/>
  <c r="AZ174" i="20"/>
  <c r="BB171" i="20"/>
  <c r="BC171" i="20" s="1"/>
  <c r="BS145" i="20"/>
  <c r="BR145" i="20"/>
  <c r="I165" i="20"/>
  <c r="Y165" i="20"/>
  <c r="AJ165" i="20" s="1"/>
  <c r="V165" i="20"/>
  <c r="AS165" i="20"/>
  <c r="L165" i="20"/>
  <c r="BU162" i="20"/>
  <c r="BW162" i="20"/>
  <c r="BV162" i="20"/>
  <c r="BU158" i="20"/>
  <c r="BW158" i="20"/>
  <c r="BV158" i="20"/>
  <c r="BU154" i="20"/>
  <c r="BW154" i="20"/>
  <c r="BV154" i="20"/>
  <c r="BU150" i="20"/>
  <c r="BW150" i="20"/>
  <c r="BV150" i="20"/>
  <c r="CB145" i="20"/>
  <c r="BD175" i="20"/>
  <c r="BS147" i="20"/>
  <c r="BR147" i="20"/>
  <c r="AI186" i="20"/>
  <c r="AH186" i="20"/>
  <c r="AG186" i="20"/>
  <c r="AF186" i="20"/>
  <c r="AE186" i="20"/>
  <c r="AD186" i="20"/>
  <c r="AC186" i="20"/>
  <c r="CZ169" i="20"/>
  <c r="CY169" i="20"/>
  <c r="CW169" i="20"/>
  <c r="CV169" i="20"/>
  <c r="CX169" i="20"/>
  <c r="AD173" i="20"/>
  <c r="AZ159" i="20"/>
  <c r="DJ157" i="20"/>
  <c r="AV157" i="20"/>
  <c r="DI157" i="20"/>
  <c r="AU157" i="20"/>
  <c r="DH157" i="20"/>
  <c r="AT157" i="20"/>
  <c r="DG157" i="20"/>
  <c r="BD157" i="20"/>
  <c r="DP157" i="20"/>
  <c r="BB157" i="20"/>
  <c r="DO157" i="20"/>
  <c r="DN157" i="20"/>
  <c r="AN157" i="20"/>
  <c r="DM157" i="20"/>
  <c r="AM157" i="20"/>
  <c r="DL157" i="20"/>
  <c r="DK157" i="20"/>
  <c r="AZ154" i="20"/>
  <c r="DJ152" i="20"/>
  <c r="AV152" i="20"/>
  <c r="DI152" i="20"/>
  <c r="AU152" i="20"/>
  <c r="DH152" i="20"/>
  <c r="DG152" i="20"/>
  <c r="AQ152" i="20"/>
  <c r="DP152" i="20"/>
  <c r="BB152" i="20"/>
  <c r="AP152" i="20"/>
  <c r="DO152" i="20"/>
  <c r="DN152" i="20"/>
  <c r="DM152" i="20"/>
  <c r="DL152" i="20"/>
  <c r="DK152" i="20"/>
  <c r="BD152" i="20"/>
  <c r="L152" i="20"/>
  <c r="AM152" i="20" s="1"/>
  <c r="AZ149" i="20"/>
  <c r="BV144" i="20"/>
  <c r="BU144" i="20"/>
  <c r="BW144" i="20"/>
  <c r="BP166" i="20"/>
  <c r="BO166" i="20"/>
  <c r="CZ160" i="20"/>
  <c r="CY160" i="20"/>
  <c r="CX160" i="20"/>
  <c r="CW160" i="20"/>
  <c r="CV160" i="20"/>
  <c r="AZ119" i="20"/>
  <c r="DA120" i="20"/>
  <c r="E3690" i="19" s="1"/>
  <c r="E3692" i="19" s="1"/>
  <c r="D3689" i="19" s="1"/>
  <c r="H157" i="4" s="1"/>
  <c r="DI148" i="20"/>
  <c r="AU148" i="20"/>
  <c r="DH148" i="20"/>
  <c r="DG148" i="20"/>
  <c r="DP148" i="20"/>
  <c r="AP148" i="20"/>
  <c r="DO148" i="20"/>
  <c r="AO148" i="20"/>
  <c r="DN148" i="20"/>
  <c r="AN148" i="20"/>
  <c r="DM148" i="20"/>
  <c r="AM148" i="20"/>
  <c r="DL148" i="20"/>
  <c r="AL148" i="20"/>
  <c r="DK148" i="20"/>
  <c r="AK148" i="20"/>
  <c r="AV148" i="20"/>
  <c r="DJ148" i="20"/>
  <c r="AQ148" i="20"/>
  <c r="AJ148" i="20"/>
  <c r="CI148" i="20"/>
  <c r="CH148" i="20"/>
  <c r="CG148" i="20"/>
  <c r="CL86" i="20"/>
  <c r="CK86" i="20"/>
  <c r="CM86" i="20"/>
  <c r="AZ72" i="20"/>
  <c r="BS142" i="20"/>
  <c r="BR142" i="20"/>
  <c r="BB103" i="20"/>
  <c r="BC103" i="20" s="1"/>
  <c r="CI84" i="20"/>
  <c r="CH84" i="20"/>
  <c r="CG84" i="20"/>
  <c r="CZ88" i="20"/>
  <c r="CY88" i="20"/>
  <c r="CX88" i="20"/>
  <c r="CW88" i="20"/>
  <c r="CV88" i="20"/>
  <c r="CA75" i="20"/>
  <c r="BZ75" i="20"/>
  <c r="BY75" i="20"/>
  <c r="N155" i="20"/>
  <c r="AA155" i="20"/>
  <c r="BW87" i="20"/>
  <c r="BV87" i="20"/>
  <c r="BU87" i="20"/>
  <c r="BS141" i="20"/>
  <c r="BR141" i="20"/>
  <c r="L150" i="20"/>
  <c r="AZ104" i="20"/>
  <c r="V80" i="20"/>
  <c r="AS80" i="20"/>
  <c r="L80" i="20"/>
  <c r="Y80" i="20"/>
  <c r="Z80" i="20" s="1"/>
  <c r="BS70" i="20"/>
  <c r="BR70" i="20"/>
  <c r="CM70" i="20"/>
  <c r="CL70" i="20"/>
  <c r="CK70" i="20"/>
  <c r="AW103" i="20"/>
  <c r="V103" i="20" s="1"/>
  <c r="E1749" i="19"/>
  <c r="E2648" i="19"/>
  <c r="E2650" i="19" s="1"/>
  <c r="D2647" i="19" s="1"/>
  <c r="H562" i="4" s="1"/>
  <c r="BC83" i="20"/>
  <c r="BM83" i="20"/>
  <c r="DN76" i="20"/>
  <c r="CD64" i="20"/>
  <c r="CC64" i="20"/>
  <c r="CE64" i="20"/>
  <c r="AT151" i="20"/>
  <c r="L74" i="20"/>
  <c r="AS74" i="20"/>
  <c r="Y74" i="20"/>
  <c r="Z74" i="20" s="1"/>
  <c r="CM61" i="20"/>
  <c r="CL61" i="20"/>
  <c r="CK61" i="20"/>
  <c r="BS56" i="20"/>
  <c r="BR56" i="20"/>
  <c r="AT32" i="20"/>
  <c r="BE32" i="20" s="1"/>
  <c r="V88" i="20"/>
  <c r="CE77" i="20"/>
  <c r="CD77" i="20"/>
  <c r="CC77" i="20"/>
  <c r="CA73" i="20"/>
  <c r="BZ73" i="20"/>
  <c r="BY73" i="20"/>
  <c r="CI50" i="20"/>
  <c r="CH50" i="20"/>
  <c r="CG50" i="20"/>
  <c r="AZ79" i="20"/>
  <c r="CE16" i="20"/>
  <c r="CD16" i="20"/>
  <c r="CC16" i="20"/>
  <c r="BC57" i="20"/>
  <c r="BE57" i="20" s="1"/>
  <c r="CU89" i="20"/>
  <c r="CZ43" i="20"/>
  <c r="CW43" i="20"/>
  <c r="CV43" i="20"/>
  <c r="CX43" i="20"/>
  <c r="CY43" i="20"/>
  <c r="AT58" i="20"/>
  <c r="BE58" i="20" s="1"/>
  <c r="BP16" i="20"/>
  <c r="BO16" i="20"/>
  <c r="CK29" i="20"/>
  <c r="CM29" i="20"/>
  <c r="CL29" i="20"/>
  <c r="BC18" i="20"/>
  <c r="AZ15" i="20"/>
  <c r="BC6" i="20"/>
  <c r="CA28" i="20"/>
  <c r="BY28" i="20"/>
  <c r="BZ28" i="20"/>
  <c r="BS22" i="20"/>
  <c r="BR22" i="20"/>
  <c r="BW13" i="20"/>
  <c r="BV13" i="20"/>
  <c r="BU13" i="20"/>
  <c r="AJ17" i="20"/>
  <c r="BP10" i="20"/>
  <c r="BO10" i="20"/>
  <c r="N5430" i="19"/>
  <c r="K5430" i="19" s="1"/>
  <c r="K5436" i="19" s="1"/>
  <c r="D5427" i="19" s="1"/>
  <c r="H294" i="4" s="1"/>
  <c r="N5379" i="19"/>
  <c r="D5371" i="19" s="1"/>
  <c r="H547" i="4" s="1"/>
  <c r="M4909" i="19"/>
  <c r="M4890" i="19"/>
  <c r="BD8" i="20"/>
  <c r="V8" i="20"/>
  <c r="AS8" i="20"/>
  <c r="L8" i="20"/>
  <c r="Y8" i="20"/>
  <c r="Z8" i="20" s="1"/>
  <c r="AI26" i="20"/>
  <c r="N2716" i="19"/>
  <c r="O2716" i="19" s="1"/>
  <c r="O2719" i="19" s="1"/>
  <c r="N2688" i="19"/>
  <c r="AN196" i="23"/>
  <c r="AN51" i="23"/>
  <c r="M1239" i="19"/>
  <c r="K1239" i="19" s="1"/>
  <c r="O1158" i="19"/>
  <c r="M1203" i="19"/>
  <c r="O1154" i="19"/>
  <c r="M1235" i="19"/>
  <c r="K1235" i="19" s="1"/>
  <c r="M1163" i="19"/>
  <c r="O1864" i="19"/>
  <c r="O1866" i="19" s="1"/>
  <c r="D1856" i="19"/>
  <c r="H245" i="4" s="1"/>
  <c r="CF323" i="22"/>
  <c r="CM323" i="22"/>
  <c r="DP191" i="20"/>
  <c r="DO191" i="20"/>
  <c r="DN191" i="20"/>
  <c r="DM191" i="20"/>
  <c r="DL191" i="20"/>
  <c r="DJ191" i="20"/>
  <c r="AV191" i="20"/>
  <c r="DI191" i="20"/>
  <c r="AU191" i="20"/>
  <c r="DH191" i="20"/>
  <c r="DG191" i="20"/>
  <c r="AW191" i="20"/>
  <c r="V191" i="20" s="1"/>
  <c r="DK191" i="20"/>
  <c r="DN183" i="20"/>
  <c r="DM183" i="20"/>
  <c r="DL183" i="20"/>
  <c r="DK183" i="20"/>
  <c r="AW183" i="20"/>
  <c r="AT183" i="20" s="1"/>
  <c r="DJ183" i="20"/>
  <c r="AV183" i="20"/>
  <c r="DI183" i="20"/>
  <c r="AU183" i="20"/>
  <c r="DH183" i="20"/>
  <c r="DG183" i="20"/>
  <c r="DP183" i="20"/>
  <c r="DO183" i="20"/>
  <c r="DN179" i="20"/>
  <c r="DM179" i="20"/>
  <c r="DL179" i="20"/>
  <c r="DK179" i="20"/>
  <c r="AW179" i="20"/>
  <c r="AT179" i="20" s="1"/>
  <c r="DJ179" i="20"/>
  <c r="AV179" i="20"/>
  <c r="DI179" i="20"/>
  <c r="AU179" i="20"/>
  <c r="DH179" i="20"/>
  <c r="DG179" i="20"/>
  <c r="DP179" i="20"/>
  <c r="DO179" i="20"/>
  <c r="Y175" i="20"/>
  <c r="AF175" i="20" s="1"/>
  <c r="AS175" i="20"/>
  <c r="L175" i="20"/>
  <c r="CB175" i="20"/>
  <c r="I175" i="20"/>
  <c r="BP174" i="20"/>
  <c r="BO174" i="20"/>
  <c r="CA175" i="20"/>
  <c r="BZ175" i="20"/>
  <c r="BY175" i="20"/>
  <c r="CA166" i="20"/>
  <c r="BZ166" i="20"/>
  <c r="BY166" i="20"/>
  <c r="V169" i="20"/>
  <c r="AS169" i="20"/>
  <c r="L169" i="20"/>
  <c r="I169" i="20"/>
  <c r="Y169" i="20"/>
  <c r="AP169" i="20" s="1"/>
  <c r="BT169" i="20"/>
  <c r="CA171" i="20"/>
  <c r="BY171" i="20"/>
  <c r="BZ171" i="20"/>
  <c r="AH168" i="20"/>
  <c r="AG168" i="20"/>
  <c r="AE168" i="20"/>
  <c r="AD168" i="20"/>
  <c r="AF168" i="20"/>
  <c r="AC168" i="20"/>
  <c r="AI168" i="20"/>
  <c r="BC144" i="20"/>
  <c r="BE144" i="20" s="1"/>
  <c r="BM144" i="20"/>
  <c r="AC173" i="20"/>
  <c r="DI172" i="20"/>
  <c r="AU172" i="20"/>
  <c r="DH172" i="20"/>
  <c r="DG172" i="20"/>
  <c r="BD172" i="20"/>
  <c r="DP172" i="20"/>
  <c r="DN172" i="20"/>
  <c r="DM172" i="20"/>
  <c r="DL172" i="20"/>
  <c r="DK172" i="20"/>
  <c r="AV172" i="20"/>
  <c r="DO172" i="20"/>
  <c r="DJ172" i="20"/>
  <c r="BW172" i="20"/>
  <c r="BV172" i="20"/>
  <c r="BU172" i="20"/>
  <c r="CA168" i="20"/>
  <c r="BY168" i="20"/>
  <c r="BZ168" i="20"/>
  <c r="BP160" i="20"/>
  <c r="BO160" i="20"/>
  <c r="BP154" i="20"/>
  <c r="BO154" i="20"/>
  <c r="Y143" i="20"/>
  <c r="Z143" i="20" s="1"/>
  <c r="V143" i="20"/>
  <c r="BX143" i="20"/>
  <c r="AS143" i="20"/>
  <c r="L143" i="20"/>
  <c r="I143" i="20"/>
  <c r="CA173" i="20"/>
  <c r="BY173" i="20"/>
  <c r="BZ173" i="20"/>
  <c r="BP164" i="20"/>
  <c r="BO164" i="20"/>
  <c r="L180" i="20"/>
  <c r="I180" i="20"/>
  <c r="Y180" i="20"/>
  <c r="Z180" i="20" s="1"/>
  <c r="AS180" i="20"/>
  <c r="CJ180" i="20"/>
  <c r="DI170" i="20"/>
  <c r="AU170" i="20"/>
  <c r="DH170" i="20"/>
  <c r="DG170" i="20"/>
  <c r="DP170" i="20"/>
  <c r="DN170" i="20"/>
  <c r="DM170" i="20"/>
  <c r="DL170" i="20"/>
  <c r="DK170" i="20"/>
  <c r="DO170" i="20"/>
  <c r="DJ170" i="20"/>
  <c r="BD170" i="20"/>
  <c r="AV170" i="20"/>
  <c r="DJ163" i="20"/>
  <c r="AV163" i="20"/>
  <c r="AJ163" i="20"/>
  <c r="DI163" i="20"/>
  <c r="AU163" i="20"/>
  <c r="DH163" i="20"/>
  <c r="AT163" i="20"/>
  <c r="DG163" i="20"/>
  <c r="AQ163" i="20"/>
  <c r="DP163" i="20"/>
  <c r="BB163" i="20"/>
  <c r="AP163" i="20"/>
  <c r="DO163" i="20"/>
  <c r="AO163" i="20"/>
  <c r="DN163" i="20"/>
  <c r="AN163" i="20"/>
  <c r="DM163" i="20"/>
  <c r="AM163" i="20"/>
  <c r="DL163" i="20"/>
  <c r="AL163" i="20"/>
  <c r="DK163" i="20"/>
  <c r="AK163" i="20"/>
  <c r="V163" i="20"/>
  <c r="DJ158" i="20"/>
  <c r="AV158" i="20"/>
  <c r="DI158" i="20"/>
  <c r="AU158" i="20"/>
  <c r="DH158" i="20"/>
  <c r="AT158" i="20"/>
  <c r="DG158" i="20"/>
  <c r="BD158" i="20"/>
  <c r="DP158" i="20"/>
  <c r="BB158" i="20"/>
  <c r="DO158" i="20"/>
  <c r="DN158" i="20"/>
  <c r="AN158" i="20"/>
  <c r="DM158" i="20"/>
  <c r="DL158" i="20"/>
  <c r="AK158" i="20"/>
  <c r="DK158" i="20"/>
  <c r="L158" i="20"/>
  <c r="CA155" i="20"/>
  <c r="BZ155" i="20"/>
  <c r="BY155" i="20"/>
  <c r="DJ153" i="20"/>
  <c r="AV153" i="20"/>
  <c r="AJ153" i="20"/>
  <c r="DI153" i="20"/>
  <c r="AU153" i="20"/>
  <c r="DH153" i="20"/>
  <c r="DG153" i="20"/>
  <c r="AQ153" i="20"/>
  <c r="DP153" i="20"/>
  <c r="BB153" i="20"/>
  <c r="AP153" i="20"/>
  <c r="DO153" i="20"/>
  <c r="AO153" i="20"/>
  <c r="DN153" i="20"/>
  <c r="AN153" i="20"/>
  <c r="DM153" i="20"/>
  <c r="DL153" i="20"/>
  <c r="AK153" i="20"/>
  <c r="BD153" i="20"/>
  <c r="DK153" i="20"/>
  <c r="CA150" i="20"/>
  <c r="BZ150" i="20"/>
  <c r="BY150" i="20"/>
  <c r="CZ153" i="20"/>
  <c r="CY153" i="20"/>
  <c r="CX153" i="20"/>
  <c r="CW153" i="20"/>
  <c r="CV153" i="20"/>
  <c r="Y106" i="20"/>
  <c r="AQ106" i="20" s="1"/>
  <c r="V106" i="20"/>
  <c r="AS106" i="20"/>
  <c r="L106" i="20"/>
  <c r="I106" i="20"/>
  <c r="AA162" i="20"/>
  <c r="AN117" i="20"/>
  <c r="AM117" i="20"/>
  <c r="AL117" i="20"/>
  <c r="I117" i="20"/>
  <c r="AK117" i="20"/>
  <c r="AV117" i="20"/>
  <c r="AJ117" i="20"/>
  <c r="AU117" i="20"/>
  <c r="AT117" i="20"/>
  <c r="BB117" i="20"/>
  <c r="BM117" i="20" s="1"/>
  <c r="BW81" i="20"/>
  <c r="Z164" i="20"/>
  <c r="AL164" i="20"/>
  <c r="AP164" i="20"/>
  <c r="CU192" i="20"/>
  <c r="AT153" i="20"/>
  <c r="AQ74" i="20"/>
  <c r="DP74" i="20"/>
  <c r="AP74" i="20"/>
  <c r="DO74" i="20"/>
  <c r="AO74" i="20"/>
  <c r="DN74" i="20"/>
  <c r="DM74" i="20"/>
  <c r="DL74" i="20"/>
  <c r="I74" i="20"/>
  <c r="DJ74" i="20"/>
  <c r="AV74" i="20"/>
  <c r="AJ74" i="20"/>
  <c r="DI74" i="20"/>
  <c r="AU74" i="20"/>
  <c r="DH74" i="20"/>
  <c r="BD74" i="20"/>
  <c r="AW74" i="20"/>
  <c r="AK74" i="20"/>
  <c r="AG74" i="20"/>
  <c r="DK74" i="20"/>
  <c r="DG74" i="20"/>
  <c r="BW85" i="20"/>
  <c r="BV85" i="20"/>
  <c r="BU85" i="20"/>
  <c r="CE81" i="20"/>
  <c r="CD81" i="20"/>
  <c r="CC81" i="20"/>
  <c r="BW71" i="20"/>
  <c r="BU71" i="20"/>
  <c r="BV71" i="20"/>
  <c r="DJ146" i="20"/>
  <c r="CU120" i="20"/>
  <c r="I103" i="20"/>
  <c r="AV103" i="20"/>
  <c r="AU103" i="20"/>
  <c r="AI103" i="20"/>
  <c r="AI120" i="20" s="1"/>
  <c r="AH103" i="20"/>
  <c r="AG103" i="20"/>
  <c r="AG120" i="20" s="1"/>
  <c r="BU55" i="20"/>
  <c r="BW55" i="20"/>
  <c r="BV55" i="20"/>
  <c r="DO60" i="20"/>
  <c r="DN60" i="20"/>
  <c r="DM60" i="20"/>
  <c r="DL60" i="20"/>
  <c r="I60" i="20"/>
  <c r="DK60" i="20"/>
  <c r="DJ60" i="20"/>
  <c r="AV60" i="20"/>
  <c r="DI60" i="20"/>
  <c r="AU60" i="20"/>
  <c r="DH60" i="20"/>
  <c r="DG60" i="20"/>
  <c r="DP60" i="20"/>
  <c r="BB60" i="20"/>
  <c r="BU44" i="20"/>
  <c r="BV44" i="20"/>
  <c r="BW44" i="20"/>
  <c r="BM82" i="20"/>
  <c r="BC82" i="20"/>
  <c r="DL143" i="20"/>
  <c r="DJ143" i="20"/>
  <c r="BP65" i="20"/>
  <c r="BO65" i="20"/>
  <c r="V30" i="20"/>
  <c r="AS30" i="20"/>
  <c r="L30" i="20"/>
  <c r="Y30" i="20"/>
  <c r="AQ30" i="20" s="1"/>
  <c r="I30" i="20"/>
  <c r="DH30" i="20"/>
  <c r="DH77" i="20"/>
  <c r="DG77" i="20"/>
  <c r="DP77" i="20"/>
  <c r="DO77" i="20"/>
  <c r="DM77" i="20"/>
  <c r="DL77" i="20"/>
  <c r="I77" i="20"/>
  <c r="DK77" i="20"/>
  <c r="DN77" i="20"/>
  <c r="DJ77" i="20"/>
  <c r="DI77" i="20"/>
  <c r="AV77" i="20"/>
  <c r="AU77" i="20"/>
  <c r="CM65" i="20"/>
  <c r="CL65" i="20"/>
  <c r="CK65" i="20"/>
  <c r="BC56" i="20"/>
  <c r="BM56" i="20"/>
  <c r="BR47" i="20"/>
  <c r="BS47" i="20"/>
  <c r="BP30" i="20"/>
  <c r="BO30" i="20"/>
  <c r="DK144" i="20"/>
  <c r="CM67" i="20"/>
  <c r="CL67" i="20"/>
  <c r="CK67" i="20"/>
  <c r="CI63" i="20"/>
  <c r="CH63" i="20"/>
  <c r="CG63" i="20"/>
  <c r="CA55" i="20"/>
  <c r="BZ55" i="20"/>
  <c r="BY55" i="20"/>
  <c r="AE74" i="20"/>
  <c r="AM18" i="20"/>
  <c r="DH53" i="20"/>
  <c r="DG53" i="20"/>
  <c r="DP53" i="20"/>
  <c r="DO53" i="20"/>
  <c r="DN53" i="20"/>
  <c r="DM53" i="20"/>
  <c r="DL53" i="20"/>
  <c r="I53" i="20"/>
  <c r="DK53" i="20"/>
  <c r="DI53" i="20"/>
  <c r="AV53" i="20"/>
  <c r="DJ53" i="20"/>
  <c r="AU53" i="20"/>
  <c r="CU33" i="20"/>
  <c r="CZ6" i="20"/>
  <c r="CY6" i="20"/>
  <c r="CX6" i="20"/>
  <c r="CW6" i="20"/>
  <c r="CV6" i="20"/>
  <c r="L63" i="20"/>
  <c r="Y63" i="20"/>
  <c r="Z63" i="20" s="1"/>
  <c r="V63" i="20"/>
  <c r="AS63" i="20"/>
  <c r="BB53" i="20"/>
  <c r="AT31" i="20"/>
  <c r="BZ25" i="20"/>
  <c r="BY25" i="20"/>
  <c r="CA25" i="20"/>
  <c r="CE13" i="20"/>
  <c r="CD13" i="20"/>
  <c r="CC13" i="20"/>
  <c r="AA9" i="20"/>
  <c r="CE66" i="20"/>
  <c r="CD66" i="20"/>
  <c r="CC66" i="20"/>
  <c r="L49" i="20"/>
  <c r="Y49" i="20"/>
  <c r="AP49" i="20" s="1"/>
  <c r="V49" i="20"/>
  <c r="AS49" i="20"/>
  <c r="CB49" i="20"/>
  <c r="DG30" i="20"/>
  <c r="AT23" i="20"/>
  <c r="BP8" i="20"/>
  <c r="BO8" i="20"/>
  <c r="DI20" i="20"/>
  <c r="AU20" i="20"/>
  <c r="DH20" i="20"/>
  <c r="DG20" i="20"/>
  <c r="DP20" i="20"/>
  <c r="DO20" i="20"/>
  <c r="DN20" i="20"/>
  <c r="DM20" i="20"/>
  <c r="DL20" i="20"/>
  <c r="I20" i="20"/>
  <c r="DK20" i="20"/>
  <c r="AW20" i="20"/>
  <c r="AT20" i="20" s="1"/>
  <c r="AV20" i="20"/>
  <c r="DJ20" i="20"/>
  <c r="BW20" i="20"/>
  <c r="BV20" i="20"/>
  <c r="BU20" i="20"/>
  <c r="B5142" i="19"/>
  <c r="B5155" i="19" s="1"/>
  <c r="B5230" i="19"/>
  <c r="AN11" i="20"/>
  <c r="O5258" i="19"/>
  <c r="O5252" i="19"/>
  <c r="D5244" i="19" s="1"/>
  <c r="H116" i="4" s="1"/>
  <c r="M2577" i="19"/>
  <c r="M2597" i="19" s="1"/>
  <c r="M2555" i="19"/>
  <c r="N2555" i="19" s="1"/>
  <c r="O2549" i="19"/>
  <c r="G5151" i="19"/>
  <c r="O5151" i="19" s="1"/>
  <c r="O5138" i="19"/>
  <c r="B3943" i="19"/>
  <c r="B3820" i="19"/>
  <c r="B3958" i="19" s="1"/>
  <c r="N1491" i="19"/>
  <c r="N1536" i="19"/>
  <c r="O1536" i="19" s="1"/>
  <c r="O1539" i="19" s="1"/>
  <c r="AN34" i="23"/>
  <c r="AM60" i="23"/>
  <c r="AN60" i="23" s="1"/>
  <c r="O452" i="19"/>
  <c r="O454" i="19" s="1"/>
  <c r="D445" i="19"/>
  <c r="H244" i="4" s="1"/>
  <c r="CM273" i="22"/>
  <c r="CF273" i="22"/>
  <c r="DN185" i="20"/>
  <c r="DM185" i="20"/>
  <c r="DL185" i="20"/>
  <c r="DK185" i="20"/>
  <c r="AW185" i="20"/>
  <c r="V185" i="20" s="1"/>
  <c r="DJ185" i="20"/>
  <c r="AV185" i="20"/>
  <c r="DI185" i="20"/>
  <c r="AU185" i="20"/>
  <c r="DH185" i="20"/>
  <c r="DG185" i="20"/>
  <c r="DP185" i="20"/>
  <c r="DO185" i="20"/>
  <c r="DN181" i="20"/>
  <c r="DM181" i="20"/>
  <c r="DL181" i="20"/>
  <c r="DK181" i="20"/>
  <c r="AW181" i="20"/>
  <c r="V181" i="20" s="1"/>
  <c r="DJ181" i="20"/>
  <c r="AV181" i="20"/>
  <c r="DI181" i="20"/>
  <c r="AU181" i="20"/>
  <c r="DH181" i="20"/>
  <c r="DG181" i="20"/>
  <c r="DP181" i="20"/>
  <c r="DO181" i="20"/>
  <c r="CI177" i="20"/>
  <c r="CH177" i="20"/>
  <c r="CG177" i="20"/>
  <c r="L186" i="20"/>
  <c r="N186" i="20" s="1"/>
  <c r="I186" i="20"/>
  <c r="Y186" i="20"/>
  <c r="AL186" i="20" s="1"/>
  <c r="AS186" i="20"/>
  <c r="DJ174" i="20"/>
  <c r="AV174" i="20"/>
  <c r="DI174" i="20"/>
  <c r="AU174" i="20"/>
  <c r="DH174" i="20"/>
  <c r="DG174" i="20"/>
  <c r="DO174" i="20"/>
  <c r="DN174" i="20"/>
  <c r="DM174" i="20"/>
  <c r="AM174" i="20"/>
  <c r="DL174" i="20"/>
  <c r="AD174" i="20"/>
  <c r="BB174" i="20"/>
  <c r="BC174" i="20" s="1"/>
  <c r="DP174" i="20"/>
  <c r="AW174" i="20"/>
  <c r="AT174" i="20" s="1"/>
  <c r="DK174" i="20"/>
  <c r="AC174" i="20"/>
  <c r="AW171" i="20"/>
  <c r="V171" i="20" s="1"/>
  <c r="BW171" i="20"/>
  <c r="BV171" i="20"/>
  <c r="BU171" i="20"/>
  <c r="DI169" i="20"/>
  <c r="AU169" i="20"/>
  <c r="DH169" i="20"/>
  <c r="DG169" i="20"/>
  <c r="DP169" i="20"/>
  <c r="DN169" i="20"/>
  <c r="DM169" i="20"/>
  <c r="DL169" i="20"/>
  <c r="DK169" i="20"/>
  <c r="DO169" i="20"/>
  <c r="DJ169" i="20"/>
  <c r="BD169" i="20"/>
  <c r="AV169" i="20"/>
  <c r="CI166" i="20"/>
  <c r="CH166" i="20"/>
  <c r="CG166" i="20"/>
  <c r="AE173" i="20"/>
  <c r="BB173" i="20"/>
  <c r="BC173" i="20" s="1"/>
  <c r="CI168" i="20"/>
  <c r="CH168" i="20"/>
  <c r="CG168" i="20"/>
  <c r="AN164" i="20"/>
  <c r="CA161" i="20"/>
  <c r="BZ161" i="20"/>
  <c r="BY161" i="20"/>
  <c r="CL156" i="20"/>
  <c r="AA154" i="20"/>
  <c r="CM151" i="20"/>
  <c r="CL151" i="20"/>
  <c r="CK151" i="20"/>
  <c r="AI185" i="20"/>
  <c r="AH185" i="20"/>
  <c r="AG185" i="20"/>
  <c r="AF185" i="20"/>
  <c r="AE185" i="20"/>
  <c r="AD185" i="20"/>
  <c r="AC185" i="20"/>
  <c r="CZ159" i="20"/>
  <c r="CY159" i="20"/>
  <c r="CX159" i="20"/>
  <c r="CW159" i="20"/>
  <c r="CV159" i="20"/>
  <c r="BZ86" i="20"/>
  <c r="BY86" i="20"/>
  <c r="CA86" i="20"/>
  <c r="DO72" i="20"/>
  <c r="DN72" i="20"/>
  <c r="DM72" i="20"/>
  <c r="DK72" i="20"/>
  <c r="DJ72" i="20"/>
  <c r="AV72" i="20"/>
  <c r="DH72" i="20"/>
  <c r="DG72" i="20"/>
  <c r="DL72" i="20"/>
  <c r="DI72" i="20"/>
  <c r="AU72" i="20"/>
  <c r="I72" i="20"/>
  <c r="DP72" i="20"/>
  <c r="BB72" i="20"/>
  <c r="BC72" i="20" s="1"/>
  <c r="BD163" i="20"/>
  <c r="L142" i="20"/>
  <c r="I142" i="20"/>
  <c r="AS142" i="20"/>
  <c r="Y142" i="20"/>
  <c r="AO142" i="20" s="1"/>
  <c r="V142" i="20"/>
  <c r="BT142" i="20"/>
  <c r="CM88" i="20"/>
  <c r="CL88" i="20"/>
  <c r="CK88" i="20"/>
  <c r="BP76" i="20"/>
  <c r="BO76" i="20"/>
  <c r="CI141" i="20"/>
  <c r="CH141" i="20"/>
  <c r="CG141" i="20"/>
  <c r="BR68" i="20"/>
  <c r="BS68" i="20"/>
  <c r="BC146" i="20"/>
  <c r="BM146" i="20"/>
  <c r="DJ145" i="20"/>
  <c r="BS80" i="20"/>
  <c r="BR80" i="20"/>
  <c r="AT103" i="20"/>
  <c r="CH56" i="20"/>
  <c r="CG56" i="20"/>
  <c r="CI56" i="20"/>
  <c r="L85" i="20"/>
  <c r="Y85" i="20"/>
  <c r="AO85" i="20" s="1"/>
  <c r="AS85" i="20"/>
  <c r="V85" i="20"/>
  <c r="CA61" i="20"/>
  <c r="BZ61" i="20"/>
  <c r="BY61" i="20"/>
  <c r="CA62" i="20"/>
  <c r="BZ62" i="20"/>
  <c r="BY62" i="20"/>
  <c r="CM51" i="20"/>
  <c r="CL51" i="20"/>
  <c r="CK51" i="20"/>
  <c r="AW77" i="20"/>
  <c r="AT77" i="20" s="1"/>
  <c r="BW62" i="20"/>
  <c r="BV62" i="20"/>
  <c r="BU62" i="20"/>
  <c r="BW50" i="20"/>
  <c r="BV50" i="20"/>
  <c r="BU50" i="20"/>
  <c r="L153" i="20"/>
  <c r="CA79" i="20"/>
  <c r="BZ79" i="20"/>
  <c r="BY79" i="20"/>
  <c r="V65" i="20"/>
  <c r="AS65" i="20"/>
  <c r="L65" i="20"/>
  <c r="Y65" i="20"/>
  <c r="Z65" i="20" s="1"/>
  <c r="BO31" i="20"/>
  <c r="BP31" i="20"/>
  <c r="CA12" i="20"/>
  <c r="BZ12" i="20"/>
  <c r="BY12" i="20"/>
  <c r="BY13" i="20"/>
  <c r="CA13" i="20"/>
  <c r="BZ13" i="20"/>
  <c r="BZ14" i="20"/>
  <c r="BY14" i="20"/>
  <c r="CA14" i="20"/>
  <c r="CD6" i="20"/>
  <c r="CC6" i="20"/>
  <c r="CE6" i="20"/>
  <c r="BP43" i="20"/>
  <c r="BO43" i="20"/>
  <c r="CE29" i="20"/>
  <c r="CD29" i="20"/>
  <c r="CC29" i="20"/>
  <c r="DP15" i="20"/>
  <c r="DO15" i="20"/>
  <c r="DN15" i="20"/>
  <c r="DM15" i="20"/>
  <c r="DL15" i="20"/>
  <c r="I15" i="20"/>
  <c r="DK15" i="20"/>
  <c r="DJ15" i="20"/>
  <c r="AV15" i="20"/>
  <c r="DI15" i="20"/>
  <c r="AU15" i="20"/>
  <c r="DH15" i="20"/>
  <c r="DG15" i="20"/>
  <c r="BB15" i="20"/>
  <c r="AT65" i="20"/>
  <c r="CZ18" i="20"/>
  <c r="CY18" i="20"/>
  <c r="CX18" i="20"/>
  <c r="CW18" i="20"/>
  <c r="CV18" i="20"/>
  <c r="BC49" i="20"/>
  <c r="BM49" i="20"/>
  <c r="BS13" i="20"/>
  <c r="BR13" i="20"/>
  <c r="AT62" i="20"/>
  <c r="CZ66" i="20"/>
  <c r="CY66" i="20"/>
  <c r="CX66" i="20"/>
  <c r="CW66" i="20"/>
  <c r="CV66" i="20"/>
  <c r="CM49" i="20"/>
  <c r="CL49" i="20"/>
  <c r="CK49" i="20"/>
  <c r="BC11" i="20"/>
  <c r="BM11" i="20"/>
  <c r="AT49" i="20"/>
  <c r="AQ11" i="20"/>
  <c r="B5453" i="19"/>
  <c r="B4265" i="19" s="1"/>
  <c r="B4275" i="19" s="1"/>
  <c r="B5386" i="19"/>
  <c r="B5368" i="19"/>
  <c r="BO276" i="22"/>
  <c r="BJ276" i="22"/>
  <c r="BN276" i="22"/>
  <c r="BM276" i="22"/>
  <c r="BL276" i="22"/>
  <c r="BK276" i="22"/>
  <c r="BI276" i="22"/>
  <c r="BM307" i="22"/>
  <c r="BK307" i="22"/>
  <c r="BI307" i="22"/>
  <c r="BN307" i="22"/>
  <c r="BL307" i="22"/>
  <c r="BJ307" i="22"/>
  <c r="BO307" i="22"/>
  <c r="AN81" i="23"/>
  <c r="CE191" i="20"/>
  <c r="CD191" i="20"/>
  <c r="CC191" i="20"/>
  <c r="CF191" i="20"/>
  <c r="DM177" i="20"/>
  <c r="AM177" i="20"/>
  <c r="DL177" i="20"/>
  <c r="DK177" i="20"/>
  <c r="DJ177" i="20"/>
  <c r="AV177" i="20"/>
  <c r="DI177" i="20"/>
  <c r="AU177" i="20"/>
  <c r="DH177" i="20"/>
  <c r="DG177" i="20"/>
  <c r="DP177" i="20"/>
  <c r="BB177" i="20"/>
  <c r="DO177" i="20"/>
  <c r="AO177" i="20"/>
  <c r="DN177" i="20"/>
  <c r="BY184" i="20"/>
  <c r="CA184" i="20"/>
  <c r="BZ184" i="20"/>
  <c r="BY180" i="20"/>
  <c r="CA180" i="20"/>
  <c r="BZ180" i="20"/>
  <c r="I176" i="20"/>
  <c r="Y176" i="20"/>
  <c r="AO176" i="20" s="1"/>
  <c r="V176" i="20"/>
  <c r="AS176" i="20"/>
  <c r="L176" i="20"/>
  <c r="DJ176" i="20"/>
  <c r="CI184" i="20"/>
  <c r="CH184" i="20"/>
  <c r="CG184" i="20"/>
  <c r="CI180" i="20"/>
  <c r="CH180" i="20"/>
  <c r="CG180" i="20"/>
  <c r="BS177" i="20"/>
  <c r="BR177" i="20"/>
  <c r="CH186" i="20"/>
  <c r="CG186" i="20"/>
  <c r="CI186" i="20"/>
  <c r="BP177" i="20"/>
  <c r="BO177" i="20"/>
  <c r="AW170" i="20"/>
  <c r="V170" i="20" s="1"/>
  <c r="AZ169" i="20"/>
  <c r="BW166" i="20"/>
  <c r="BV166" i="20"/>
  <c r="BU166" i="20"/>
  <c r="BP163" i="20"/>
  <c r="BO163" i="20"/>
  <c r="AS173" i="20"/>
  <c r="L173" i="20"/>
  <c r="I173" i="20"/>
  <c r="Y173" i="20"/>
  <c r="AF173" i="20" s="1"/>
  <c r="AC171" i="20"/>
  <c r="AZ161" i="20"/>
  <c r="DJ159" i="20"/>
  <c r="AV159" i="20"/>
  <c r="DI159" i="20"/>
  <c r="AU159" i="20"/>
  <c r="DH159" i="20"/>
  <c r="AT159" i="20"/>
  <c r="DG159" i="20"/>
  <c r="BD159" i="20"/>
  <c r="DP159" i="20"/>
  <c r="BB159" i="20"/>
  <c r="DO159" i="20"/>
  <c r="AO159" i="20"/>
  <c r="DN159" i="20"/>
  <c r="DM159" i="20"/>
  <c r="AM159" i="20"/>
  <c r="DL159" i="20"/>
  <c r="DK159" i="20"/>
  <c r="CA156" i="20"/>
  <c r="BZ156" i="20"/>
  <c r="BY156" i="20"/>
  <c r="DJ154" i="20"/>
  <c r="AV154" i="20"/>
  <c r="AJ154" i="20"/>
  <c r="DI154" i="20"/>
  <c r="AU154" i="20"/>
  <c r="DH154" i="20"/>
  <c r="AT154" i="20"/>
  <c r="DG154" i="20"/>
  <c r="AQ154" i="20"/>
  <c r="DP154" i="20"/>
  <c r="BB154" i="20"/>
  <c r="AP154" i="20"/>
  <c r="DO154" i="20"/>
  <c r="AO154" i="20"/>
  <c r="DN154" i="20"/>
  <c r="AN154" i="20"/>
  <c r="DM154" i="20"/>
  <c r="AM154" i="20"/>
  <c r="DL154" i="20"/>
  <c r="AL154" i="20"/>
  <c r="DK154" i="20"/>
  <c r="BD154" i="20"/>
  <c r="AK154" i="20"/>
  <c r="V154" i="20"/>
  <c r="CA151" i="20"/>
  <c r="BZ151" i="20"/>
  <c r="BY151" i="20"/>
  <c r="DJ149" i="20"/>
  <c r="AV149" i="20"/>
  <c r="DI149" i="20"/>
  <c r="AU149" i="20"/>
  <c r="DH149" i="20"/>
  <c r="DG149" i="20"/>
  <c r="DP149" i="20"/>
  <c r="BB149" i="20"/>
  <c r="DO149" i="20"/>
  <c r="DN149" i="20"/>
  <c r="DM149" i="20"/>
  <c r="DL149" i="20"/>
  <c r="DK149" i="20"/>
  <c r="BD149" i="20"/>
  <c r="CZ158" i="20"/>
  <c r="CY158" i="20"/>
  <c r="CX158" i="20"/>
  <c r="CW158" i="20"/>
  <c r="CV158" i="20"/>
  <c r="CI146" i="20"/>
  <c r="CH146" i="20"/>
  <c r="CG146" i="20"/>
  <c r="V158" i="20"/>
  <c r="I119" i="20"/>
  <c r="AV119" i="20"/>
  <c r="AU119" i="20"/>
  <c r="AT119" i="20"/>
  <c r="BB119" i="20"/>
  <c r="BM119" i="20" s="1"/>
  <c r="BD119" i="20"/>
  <c r="Y113" i="20"/>
  <c r="V113" i="20"/>
  <c r="AS113" i="20"/>
  <c r="L113" i="20"/>
  <c r="I113" i="20"/>
  <c r="Y83" i="20"/>
  <c r="Z83" i="20" s="1"/>
  <c r="BT83" i="20"/>
  <c r="V83" i="20"/>
  <c r="AS83" i="20"/>
  <c r="L83" i="20"/>
  <c r="CC75" i="20"/>
  <c r="CE75" i="20"/>
  <c r="CD75" i="20"/>
  <c r="CA148" i="20"/>
  <c r="BZ148" i="20"/>
  <c r="BY148" i="20"/>
  <c r="CW71" i="20"/>
  <c r="CV71" i="20"/>
  <c r="CZ71" i="20"/>
  <c r="CY71" i="20"/>
  <c r="CX71" i="20"/>
  <c r="CA88" i="20"/>
  <c r="BZ88" i="20"/>
  <c r="BY88" i="20"/>
  <c r="AQ75" i="20"/>
  <c r="DP75" i="20"/>
  <c r="AP75" i="20"/>
  <c r="DO75" i="20"/>
  <c r="AO75" i="20"/>
  <c r="DN75" i="20"/>
  <c r="AN75" i="20"/>
  <c r="DM75" i="20"/>
  <c r="AM75" i="20"/>
  <c r="DK75" i="20"/>
  <c r="AK75" i="20"/>
  <c r="DJ75" i="20"/>
  <c r="AV75" i="20"/>
  <c r="AJ75" i="20"/>
  <c r="DI75" i="20"/>
  <c r="AU75" i="20"/>
  <c r="I75" i="20"/>
  <c r="AT75" i="20"/>
  <c r="AL75" i="20"/>
  <c r="DL75" i="20"/>
  <c r="DH75" i="20"/>
  <c r="DG75" i="20"/>
  <c r="CE84" i="20"/>
  <c r="CC84" i="20"/>
  <c r="CD84" i="20"/>
  <c r="AF166" i="20"/>
  <c r="BD72" i="20"/>
  <c r="AM105" i="20"/>
  <c r="AQ105" i="20"/>
  <c r="BV56" i="20"/>
  <c r="BU56" i="20"/>
  <c r="BW56" i="20"/>
  <c r="AS67" i="20"/>
  <c r="L67" i="20"/>
  <c r="Y67" i="20"/>
  <c r="AF67" i="20" s="1"/>
  <c r="AZ62" i="20"/>
  <c r="Y56" i="20"/>
  <c r="AK56" i="20" s="1"/>
  <c r="V56" i="20"/>
  <c r="AS56" i="20"/>
  <c r="CB56" i="20"/>
  <c r="L56" i="20"/>
  <c r="I56" i="20"/>
  <c r="AW72" i="20"/>
  <c r="AT145" i="20"/>
  <c r="BO44" i="20"/>
  <c r="BP44" i="20"/>
  <c r="CM79" i="20"/>
  <c r="CL79" i="20"/>
  <c r="CK79" i="20"/>
  <c r="DJ64" i="20"/>
  <c r="AL57" i="20"/>
  <c r="AQ57" i="20"/>
  <c r="AT48" i="20"/>
  <c r="CE25" i="20"/>
  <c r="CD25" i="20"/>
  <c r="CC25" i="20"/>
  <c r="AZ12" i="20"/>
  <c r="DA33" i="20"/>
  <c r="E1243" i="19" s="1"/>
  <c r="E1245" i="19" s="1"/>
  <c r="D1242" i="19" s="1"/>
  <c r="H153" i="4" s="1"/>
  <c r="AT56" i="20"/>
  <c r="BE56" i="20" s="1"/>
  <c r="AT30" i="20"/>
  <c r="BE30" i="20" s="1"/>
  <c r="AZ14" i="20"/>
  <c r="CH10" i="20"/>
  <c r="CG10" i="20"/>
  <c r="CI10" i="20"/>
  <c r="DI43" i="20"/>
  <c r="AU43" i="20"/>
  <c r="DH43" i="20"/>
  <c r="DG43" i="20"/>
  <c r="DN43" i="20"/>
  <c r="DM43" i="20"/>
  <c r="I43" i="20"/>
  <c r="DP43" i="20"/>
  <c r="DO43" i="20"/>
  <c r="BB43" i="20"/>
  <c r="DL43" i="20"/>
  <c r="DK43" i="20"/>
  <c r="DJ43" i="20"/>
  <c r="AV43" i="20"/>
  <c r="CX14" i="20"/>
  <c r="CW14" i="20"/>
  <c r="CV14" i="20"/>
  <c r="CZ14" i="20"/>
  <c r="CY14" i="20"/>
  <c r="Y22" i="20"/>
  <c r="AL22" i="20" s="1"/>
  <c r="V22" i="20"/>
  <c r="AS22" i="20"/>
  <c r="L22" i="20"/>
  <c r="CJ22" i="20"/>
  <c r="I22" i="20"/>
  <c r="DN22" i="20"/>
  <c r="BB62" i="20"/>
  <c r="CZ54" i="20"/>
  <c r="CY54" i="20"/>
  <c r="CX54" i="20"/>
  <c r="CW54" i="20"/>
  <c r="CV54" i="20"/>
  <c r="CA7" i="20"/>
  <c r="BZ7" i="20"/>
  <c r="BY7" i="20"/>
  <c r="BB48" i="20"/>
  <c r="BW25" i="20"/>
  <c r="BV25" i="20"/>
  <c r="BU25" i="20"/>
  <c r="AT61" i="20"/>
  <c r="BS14" i="20"/>
  <c r="BR14" i="20"/>
  <c r="DI66" i="20"/>
  <c r="AU66" i="20"/>
  <c r="DH66" i="20"/>
  <c r="DG66" i="20"/>
  <c r="DP66" i="20"/>
  <c r="DO66" i="20"/>
  <c r="DN66" i="20"/>
  <c r="DM66" i="20"/>
  <c r="DL66" i="20"/>
  <c r="I66" i="20"/>
  <c r="DK66" i="20"/>
  <c r="AV66" i="20"/>
  <c r="DJ66" i="20"/>
  <c r="AT66" i="20"/>
  <c r="BO49" i="20"/>
  <c r="BP49" i="20"/>
  <c r="DG44" i="20"/>
  <c r="CI28" i="20"/>
  <c r="CH28" i="20"/>
  <c r="CG28" i="20"/>
  <c r="CZ8" i="20"/>
  <c r="CY8" i="20"/>
  <c r="CX8" i="20"/>
  <c r="CW8" i="20"/>
  <c r="CV8" i="20"/>
  <c r="E4946" i="19"/>
  <c r="N4946" i="19" s="1"/>
  <c r="N4908" i="19"/>
  <c r="N45" i="20"/>
  <c r="AA45" i="20"/>
  <c r="BS20" i="20"/>
  <c r="BR20" i="20"/>
  <c r="AD26" i="20"/>
  <c r="B5101" i="19"/>
  <c r="B5215" i="19" s="1"/>
  <c r="B5202" i="19"/>
  <c r="E4903" i="19"/>
  <c r="E4941" i="19" s="1"/>
  <c r="E4884" i="19"/>
  <c r="B5451" i="19"/>
  <c r="B4263" i="19" s="1"/>
  <c r="B4273" i="19" s="1"/>
  <c r="B5366" i="19"/>
  <c r="B5384" i="19"/>
  <c r="M3560" i="19"/>
  <c r="N3560" i="19" s="1"/>
  <c r="K3013" i="19"/>
  <c r="K3029" i="19" s="1"/>
  <c r="O2979" i="19"/>
  <c r="N2979" i="19"/>
  <c r="K2997" i="19"/>
  <c r="O2997" i="19" s="1"/>
  <c r="AN73" i="23"/>
  <c r="AN126" i="23"/>
  <c r="O2542" i="19"/>
  <c r="M2562" i="19"/>
  <c r="M2623" i="19"/>
  <c r="K2623" i="19" s="1"/>
  <c r="M2581" i="19"/>
  <c r="AN63" i="23"/>
  <c r="O425" i="19"/>
  <c r="D420" i="19" s="1"/>
  <c r="H236" i="4" s="1"/>
  <c r="O433" i="19"/>
  <c r="O435" i="19" s="1"/>
  <c r="CF268" i="22"/>
  <c r="CM268" i="22"/>
  <c r="CM206" i="22"/>
  <c r="CF206" i="22"/>
  <c r="BS189" i="20"/>
  <c r="BR189" i="20"/>
  <c r="DN184" i="20"/>
  <c r="DM184" i="20"/>
  <c r="DL184" i="20"/>
  <c r="AL184" i="20"/>
  <c r="DK184" i="20"/>
  <c r="AW184" i="20"/>
  <c r="AT184" i="20" s="1"/>
  <c r="DJ184" i="20"/>
  <c r="AV184" i="20"/>
  <c r="DI184" i="20"/>
  <c r="AU184" i="20"/>
  <c r="DH184" i="20"/>
  <c r="DG184" i="20"/>
  <c r="AQ184" i="20"/>
  <c r="DP184" i="20"/>
  <c r="DO184" i="20"/>
  <c r="DN180" i="20"/>
  <c r="AN180" i="20"/>
  <c r="DM180" i="20"/>
  <c r="DL180" i="20"/>
  <c r="DK180" i="20"/>
  <c r="AW180" i="20"/>
  <c r="V180" i="20" s="1"/>
  <c r="AK180" i="20"/>
  <c r="DJ180" i="20"/>
  <c r="AV180" i="20"/>
  <c r="AJ180" i="20"/>
  <c r="DI180" i="20"/>
  <c r="AU180" i="20"/>
  <c r="DH180" i="20"/>
  <c r="DG180" i="20"/>
  <c r="AQ180" i="20"/>
  <c r="DP180" i="20"/>
  <c r="DO180" i="20"/>
  <c r="CG174" i="20"/>
  <c r="CI174" i="20"/>
  <c r="CH174" i="20"/>
  <c r="BV175" i="20"/>
  <c r="BU175" i="20"/>
  <c r="BW175" i="20"/>
  <c r="BS185" i="20"/>
  <c r="BR185" i="20"/>
  <c r="BS183" i="20"/>
  <c r="BR183" i="20"/>
  <c r="BS181" i="20"/>
  <c r="BR181" i="20"/>
  <c r="BS179" i="20"/>
  <c r="BR179" i="20"/>
  <c r="L182" i="20"/>
  <c r="I182" i="20"/>
  <c r="Y182" i="20"/>
  <c r="Z182" i="20" s="1"/>
  <c r="AS182" i="20"/>
  <c r="BS168" i="20"/>
  <c r="BR168" i="20"/>
  <c r="L185" i="20"/>
  <c r="N185" i="20" s="1"/>
  <c r="I185" i="20"/>
  <c r="Y185" i="20"/>
  <c r="AN185" i="20" s="1"/>
  <c r="AS185" i="20"/>
  <c r="CE143" i="20"/>
  <c r="CD143" i="20"/>
  <c r="CC143" i="20"/>
  <c r="CZ171" i="20"/>
  <c r="CY171" i="20"/>
  <c r="CW171" i="20"/>
  <c r="CV171" i="20"/>
  <c r="CX171" i="20"/>
  <c r="CA167" i="20"/>
  <c r="BY167" i="20"/>
  <c r="BZ167" i="20"/>
  <c r="CM169" i="20"/>
  <c r="CK169" i="20"/>
  <c r="CL169" i="20"/>
  <c r="V172" i="20"/>
  <c r="AS172" i="20"/>
  <c r="L172" i="20"/>
  <c r="I172" i="20"/>
  <c r="Y172" i="20"/>
  <c r="AJ172" i="20" s="1"/>
  <c r="CZ168" i="20"/>
  <c r="CY168" i="20"/>
  <c r="CW168" i="20"/>
  <c r="CV168" i="20"/>
  <c r="CX168" i="20"/>
  <c r="CZ173" i="20"/>
  <c r="CY173" i="20"/>
  <c r="CW173" i="20"/>
  <c r="CV173" i="20"/>
  <c r="CX173" i="20"/>
  <c r="AS170" i="20"/>
  <c r="L170" i="20"/>
  <c r="I170" i="20"/>
  <c r="Y170" i="20"/>
  <c r="AP170" i="20" s="1"/>
  <c r="CI170" i="20"/>
  <c r="CH170" i="20"/>
  <c r="CG170" i="20"/>
  <c r="CA163" i="20"/>
  <c r="BZ163" i="20"/>
  <c r="BY163" i="20"/>
  <c r="DJ161" i="20"/>
  <c r="AV161" i="20"/>
  <c r="AJ161" i="20"/>
  <c r="DI161" i="20"/>
  <c r="AU161" i="20"/>
  <c r="DH161" i="20"/>
  <c r="AT161" i="20"/>
  <c r="DG161" i="20"/>
  <c r="BD161" i="20"/>
  <c r="AQ161" i="20"/>
  <c r="DP161" i="20"/>
  <c r="BB161" i="20"/>
  <c r="AP161" i="20"/>
  <c r="DO161" i="20"/>
  <c r="AO161" i="20"/>
  <c r="DN161" i="20"/>
  <c r="AN161" i="20"/>
  <c r="DM161" i="20"/>
  <c r="AM161" i="20"/>
  <c r="DL161" i="20"/>
  <c r="AL161" i="20"/>
  <c r="DK161" i="20"/>
  <c r="AK161" i="20"/>
  <c r="CA158" i="20"/>
  <c r="BZ158" i="20"/>
  <c r="BY158" i="20"/>
  <c r="CA153" i="20"/>
  <c r="BZ153" i="20"/>
  <c r="BY153" i="20"/>
  <c r="BV143" i="20"/>
  <c r="BU143" i="20"/>
  <c r="BW143" i="20"/>
  <c r="BY71" i="20"/>
  <c r="CA71" i="20"/>
  <c r="BZ71" i="20"/>
  <c r="CE164" i="20"/>
  <c r="CD164" i="20"/>
  <c r="CC164" i="20"/>
  <c r="BO148" i="20"/>
  <c r="BP148" i="20"/>
  <c r="CA87" i="20"/>
  <c r="BZ87" i="20"/>
  <c r="BY87" i="20"/>
  <c r="CA74" i="20"/>
  <c r="BZ74" i="20"/>
  <c r="BY74" i="20"/>
  <c r="BP142" i="20"/>
  <c r="BO142" i="20"/>
  <c r="BS84" i="20"/>
  <c r="BR84" i="20"/>
  <c r="AS102" i="20"/>
  <c r="L102" i="20"/>
  <c r="Y102" i="20"/>
  <c r="AN102" i="20" s="1"/>
  <c r="V102" i="20"/>
  <c r="AS76" i="20"/>
  <c r="L76" i="20"/>
  <c r="N76" i="20" s="1"/>
  <c r="Y76" i="20"/>
  <c r="X76" i="20"/>
  <c r="CJ76" i="20"/>
  <c r="V76" i="20"/>
  <c r="DM76" i="20"/>
  <c r="BR71" i="20"/>
  <c r="BS71" i="20"/>
  <c r="AS103" i="20"/>
  <c r="L103" i="20"/>
  <c r="Y103" i="20"/>
  <c r="AM103" i="20" s="1"/>
  <c r="BW70" i="20"/>
  <c r="BV70" i="20"/>
  <c r="BU70" i="20"/>
  <c r="DP76" i="20"/>
  <c r="BX46" i="20"/>
  <c r="Y46" i="20"/>
  <c r="AK46" i="20" s="1"/>
  <c r="V46" i="20"/>
  <c r="AS46" i="20"/>
  <c r="L46" i="20"/>
  <c r="L141" i="20"/>
  <c r="I141" i="20"/>
  <c r="Y141" i="20"/>
  <c r="Z141" i="20" s="1"/>
  <c r="V141" i="20"/>
  <c r="AS141" i="20"/>
  <c r="CX48" i="20"/>
  <c r="CW48" i="20"/>
  <c r="CV48" i="20"/>
  <c r="CZ48" i="20"/>
  <c r="CY48" i="20"/>
  <c r="AQ62" i="20"/>
  <c r="DP62" i="20"/>
  <c r="AP62" i="20"/>
  <c r="DO62" i="20"/>
  <c r="AO62" i="20"/>
  <c r="DN62" i="20"/>
  <c r="AN62" i="20"/>
  <c r="DM62" i="20"/>
  <c r="AM62" i="20"/>
  <c r="DL62" i="20"/>
  <c r="I62" i="20"/>
  <c r="DK62" i="20"/>
  <c r="AK62" i="20"/>
  <c r="DJ62" i="20"/>
  <c r="AV62" i="20"/>
  <c r="AJ62" i="20"/>
  <c r="DI62" i="20"/>
  <c r="AU62" i="20"/>
  <c r="DH62" i="20"/>
  <c r="BD62" i="20"/>
  <c r="DG62" i="20"/>
  <c r="L62" i="20"/>
  <c r="CM50" i="20"/>
  <c r="CL50" i="20"/>
  <c r="CK50" i="20"/>
  <c r="BW46" i="20"/>
  <c r="BV46" i="20"/>
  <c r="BU46" i="20"/>
  <c r="V161" i="20"/>
  <c r="AS77" i="20"/>
  <c r="Y77" i="20"/>
  <c r="AM77" i="20" s="1"/>
  <c r="X77" i="20"/>
  <c r="L77" i="20"/>
  <c r="N77" i="20" s="1"/>
  <c r="CI73" i="20"/>
  <c r="CH73" i="20"/>
  <c r="CG73" i="20"/>
  <c r="CZ65" i="20"/>
  <c r="CY65" i="20"/>
  <c r="CX65" i="20"/>
  <c r="CW65" i="20"/>
  <c r="CV65" i="20"/>
  <c r="AB89" i="20"/>
  <c r="CE79" i="20"/>
  <c r="CD79" i="20"/>
  <c r="CC79" i="20"/>
  <c r="CE24" i="20"/>
  <c r="CD24" i="20"/>
  <c r="CC24" i="20"/>
  <c r="BV22" i="20"/>
  <c r="BU22" i="20"/>
  <c r="BW22" i="20"/>
  <c r="DP17" i="20"/>
  <c r="DO14" i="20"/>
  <c r="DN14" i="20"/>
  <c r="DM14" i="20"/>
  <c r="DL14" i="20"/>
  <c r="I14" i="20"/>
  <c r="DK14" i="20"/>
  <c r="DJ14" i="20"/>
  <c r="AV14" i="20"/>
  <c r="DI14" i="20"/>
  <c r="AU14" i="20"/>
  <c r="DH14" i="20"/>
  <c r="DG14" i="20"/>
  <c r="BB14" i="20"/>
  <c r="DP14" i="20"/>
  <c r="BY43" i="20"/>
  <c r="CA43" i="20"/>
  <c r="BZ43" i="20"/>
  <c r="BS29" i="20"/>
  <c r="BR29" i="20"/>
  <c r="AZ54" i="20"/>
  <c r="BW54" i="20"/>
  <c r="BV54" i="20"/>
  <c r="BU54" i="20"/>
  <c r="V53" i="20"/>
  <c r="AS53" i="20"/>
  <c r="L53" i="20"/>
  <c r="Y53" i="20"/>
  <c r="BW16" i="20"/>
  <c r="BV16" i="20"/>
  <c r="BU16" i="20"/>
  <c r="L13" i="20"/>
  <c r="Y13" i="20"/>
  <c r="AO13" i="20" s="1"/>
  <c r="V13" i="20"/>
  <c r="AS13" i="20"/>
  <c r="CA66" i="20"/>
  <c r="BZ66" i="20"/>
  <c r="BY66" i="20"/>
  <c r="CI66" i="20"/>
  <c r="CH66" i="20"/>
  <c r="CG66" i="20"/>
  <c r="BW49" i="20"/>
  <c r="BV49" i="20"/>
  <c r="BU49" i="20"/>
  <c r="B5138" i="19"/>
  <c r="B5151" i="19" s="1"/>
  <c r="B5226" i="19"/>
  <c r="N23" i="20"/>
  <c r="AZ8" i="20"/>
  <c r="BW8" i="20"/>
  <c r="BV8" i="20"/>
  <c r="BU8" i="20"/>
  <c r="AS20" i="20"/>
  <c r="L20" i="20"/>
  <c r="Y20" i="20"/>
  <c r="CJ20" i="20"/>
  <c r="E4183" i="19"/>
  <c r="N300" i="22"/>
  <c r="L300" i="22"/>
  <c r="AR300" i="22" s="1"/>
  <c r="AM70" i="23"/>
  <c r="AN70" i="23" s="1"/>
  <c r="CA189" i="20"/>
  <c r="BZ189" i="20"/>
  <c r="BY189" i="20"/>
  <c r="CH175" i="20"/>
  <c r="CG175" i="20"/>
  <c r="CI175" i="20"/>
  <c r="BW184" i="20"/>
  <c r="BV184" i="20"/>
  <c r="BU184" i="20"/>
  <c r="CF12" i="22"/>
  <c r="CM12" i="22"/>
  <c r="BS186" i="20"/>
  <c r="BR186" i="20"/>
  <c r="CZ167" i="20"/>
  <c r="CY167" i="20"/>
  <c r="CW167" i="20"/>
  <c r="CV167" i="20"/>
  <c r="CX167" i="20"/>
  <c r="Y145" i="20"/>
  <c r="AN145" i="20" s="1"/>
  <c r="V145" i="20"/>
  <c r="AS145" i="20"/>
  <c r="L145" i="20"/>
  <c r="I145" i="20"/>
  <c r="AS146" i="20"/>
  <c r="I146" i="20"/>
  <c r="Y146" i="20"/>
  <c r="AN146" i="20" s="1"/>
  <c r="V146" i="20"/>
  <c r="L146" i="20"/>
  <c r="DL146" i="20"/>
  <c r="CM163" i="20"/>
  <c r="CL163" i="20"/>
  <c r="CK163" i="20"/>
  <c r="AF120" i="20"/>
  <c r="CM87" i="20"/>
  <c r="CL87" i="20"/>
  <c r="CK87" i="20"/>
  <c r="AT146" i="20"/>
  <c r="CM74" i="20"/>
  <c r="CL74" i="20"/>
  <c r="CK74" i="20"/>
  <c r="BC65" i="20"/>
  <c r="BM65" i="20"/>
  <c r="BS77" i="20"/>
  <c r="BR77" i="20"/>
  <c r="BP57" i="20"/>
  <c r="BO57" i="20"/>
  <c r="DM12" i="20"/>
  <c r="DL12" i="20"/>
  <c r="I12" i="20"/>
  <c r="DK12" i="20"/>
  <c r="DJ12" i="20"/>
  <c r="AV12" i="20"/>
  <c r="DI12" i="20"/>
  <c r="AU12" i="20"/>
  <c r="DH12" i="20"/>
  <c r="DG12" i="20"/>
  <c r="DP12" i="20"/>
  <c r="DO12" i="20"/>
  <c r="DN12" i="20"/>
  <c r="BV10" i="20"/>
  <c r="BU10" i="20"/>
  <c r="BW10" i="20"/>
  <c r="DI54" i="20"/>
  <c r="AU54" i="20"/>
  <c r="DH54" i="20"/>
  <c r="DG54" i="20"/>
  <c r="DP54" i="20"/>
  <c r="DO54" i="20"/>
  <c r="DN54" i="20"/>
  <c r="DM54" i="20"/>
  <c r="DL54" i="20"/>
  <c r="I54" i="20"/>
  <c r="AV54" i="20"/>
  <c r="DK54" i="20"/>
  <c r="DJ54" i="20"/>
  <c r="BS53" i="20"/>
  <c r="BR53" i="20"/>
  <c r="BM6" i="20"/>
  <c r="N5035" i="19"/>
  <c r="N5074" i="19"/>
  <c r="O5074" i="19" s="1"/>
  <c r="O5077" i="19" s="1"/>
  <c r="AN69" i="23"/>
  <c r="BU174" i="20"/>
  <c r="BW174" i="20"/>
  <c r="BV174" i="20"/>
  <c r="CG156" i="20"/>
  <c r="CI156" i="20"/>
  <c r="CH156" i="20"/>
  <c r="CM167" i="20"/>
  <c r="CK167" i="20"/>
  <c r="CL167" i="20"/>
  <c r="CE169" i="20"/>
  <c r="CD169" i="20"/>
  <c r="CC169" i="20"/>
  <c r="DH168" i="20"/>
  <c r="DG168" i="20"/>
  <c r="DP168" i="20"/>
  <c r="DN168" i="20"/>
  <c r="DM168" i="20"/>
  <c r="DL168" i="20"/>
  <c r="DK168" i="20"/>
  <c r="BD168" i="20"/>
  <c r="AV168" i="20"/>
  <c r="AU168" i="20"/>
  <c r="DO168" i="20"/>
  <c r="DJ168" i="20"/>
  <c r="DI168" i="20"/>
  <c r="BP155" i="20"/>
  <c r="BO155" i="20"/>
  <c r="BP149" i="20"/>
  <c r="BO149" i="20"/>
  <c r="Y144" i="20"/>
  <c r="AJ144" i="20" s="1"/>
  <c r="V144" i="20"/>
  <c r="BX144" i="20"/>
  <c r="AS144" i="20"/>
  <c r="L144" i="20"/>
  <c r="I144" i="20"/>
  <c r="DL144" i="20"/>
  <c r="DJ156" i="20"/>
  <c r="AV156" i="20"/>
  <c r="AJ156" i="20"/>
  <c r="DI156" i="20"/>
  <c r="AU156" i="20"/>
  <c r="DH156" i="20"/>
  <c r="AT156" i="20"/>
  <c r="DG156" i="20"/>
  <c r="BD156" i="20"/>
  <c r="AQ156" i="20"/>
  <c r="DP156" i="20"/>
  <c r="BB156" i="20"/>
  <c r="AP156" i="20"/>
  <c r="DO156" i="20"/>
  <c r="DN156" i="20"/>
  <c r="AN156" i="20"/>
  <c r="DM156" i="20"/>
  <c r="AM156" i="20"/>
  <c r="DL156" i="20"/>
  <c r="AL156" i="20"/>
  <c r="DK156" i="20"/>
  <c r="AK156" i="20"/>
  <c r="DJ151" i="20"/>
  <c r="AV151" i="20"/>
  <c r="AJ151" i="20"/>
  <c r="DI151" i="20"/>
  <c r="AU151" i="20"/>
  <c r="DH151" i="20"/>
  <c r="DG151" i="20"/>
  <c r="AQ151" i="20"/>
  <c r="DP151" i="20"/>
  <c r="BB151" i="20"/>
  <c r="AP151" i="20"/>
  <c r="DO151" i="20"/>
  <c r="AO151" i="20"/>
  <c r="DN151" i="20"/>
  <c r="AN151" i="20"/>
  <c r="DM151" i="20"/>
  <c r="AM151" i="20"/>
  <c r="DL151" i="20"/>
  <c r="AL151" i="20"/>
  <c r="DK151" i="20"/>
  <c r="BD151" i="20"/>
  <c r="AK151" i="20"/>
  <c r="CA142" i="20"/>
  <c r="BY142" i="20"/>
  <c r="BZ142" i="20"/>
  <c r="Y111" i="20"/>
  <c r="AK111" i="20" s="1"/>
  <c r="V111" i="20"/>
  <c r="AS111" i="20"/>
  <c r="L111" i="20"/>
  <c r="AQ88" i="20"/>
  <c r="DP88" i="20"/>
  <c r="AP88" i="20"/>
  <c r="DO88" i="20"/>
  <c r="AO88" i="20"/>
  <c r="DN88" i="20"/>
  <c r="AN88" i="20"/>
  <c r="DM88" i="20"/>
  <c r="AM88" i="20"/>
  <c r="DL88" i="20"/>
  <c r="I88" i="20"/>
  <c r="DK88" i="20"/>
  <c r="AK88" i="20"/>
  <c r="DJ88" i="20"/>
  <c r="AV88" i="20"/>
  <c r="AJ88" i="20"/>
  <c r="DI88" i="20"/>
  <c r="AU88" i="20"/>
  <c r="DH88" i="20"/>
  <c r="AT88" i="20"/>
  <c r="BD88" i="20"/>
  <c r="DG88" i="20"/>
  <c r="CZ80" i="20"/>
  <c r="CY80" i="20"/>
  <c r="CW80" i="20"/>
  <c r="CV80" i="20"/>
  <c r="CX80" i="20"/>
  <c r="CI70" i="20"/>
  <c r="CH70" i="20"/>
  <c r="CG70" i="20"/>
  <c r="CD52" i="20"/>
  <c r="CC52" i="20"/>
  <c r="CE52" i="20"/>
  <c r="CY61" i="20"/>
  <c r="CX61" i="20"/>
  <c r="CW61" i="20"/>
  <c r="CV61" i="20"/>
  <c r="CZ61" i="20"/>
  <c r="CA50" i="20"/>
  <c r="BZ50" i="20"/>
  <c r="BY50" i="20"/>
  <c r="BD63" i="20"/>
  <c r="DP63" i="20"/>
  <c r="DO63" i="20"/>
  <c r="DN63" i="20"/>
  <c r="DM63" i="20"/>
  <c r="DL63" i="20"/>
  <c r="I63" i="20"/>
  <c r="DK63" i="20"/>
  <c r="DJ63" i="20"/>
  <c r="AV63" i="20"/>
  <c r="DI63" i="20"/>
  <c r="AU63" i="20"/>
  <c r="DH63" i="20"/>
  <c r="AT63" i="20"/>
  <c r="DG63" i="20"/>
  <c r="BB54" i="20"/>
  <c r="DP24" i="20"/>
  <c r="I24" i="20"/>
  <c r="DO24" i="20"/>
  <c r="DN24" i="20"/>
  <c r="DM24" i="20"/>
  <c r="DL24" i="20"/>
  <c r="DK24" i="20"/>
  <c r="AW24" i="20"/>
  <c r="AT24" i="20" s="1"/>
  <c r="DJ24" i="20"/>
  <c r="AV24" i="20"/>
  <c r="DI24" i="20"/>
  <c r="AU24" i="20"/>
  <c r="DH24" i="20"/>
  <c r="DG24" i="20"/>
  <c r="BD54" i="20"/>
  <c r="CK43" i="20"/>
  <c r="CM43" i="20"/>
  <c r="CL43" i="20"/>
  <c r="CA54" i="20"/>
  <c r="BZ54" i="20"/>
  <c r="BY54" i="20"/>
  <c r="DN17" i="20"/>
  <c r="L17" i="20"/>
  <c r="CJ17" i="20"/>
  <c r="AL17" i="20"/>
  <c r="I17" i="20"/>
  <c r="Y17" i="20"/>
  <c r="AT17" i="20"/>
  <c r="V17" i="20"/>
  <c r="AS17" i="20"/>
  <c r="DM17" i="20"/>
  <c r="CX25" i="20"/>
  <c r="CW25" i="20"/>
  <c r="CV25" i="20"/>
  <c r="CZ25" i="20"/>
  <c r="CY25" i="20"/>
  <c r="L14" i="20"/>
  <c r="Y14" i="20"/>
  <c r="AP14" i="20" s="1"/>
  <c r="V14" i="20"/>
  <c r="AS14" i="20"/>
  <c r="CJ14" i="20"/>
  <c r="AE6" i="20"/>
  <c r="AD6" i="20"/>
  <c r="AC6" i="20"/>
  <c r="CM66" i="20"/>
  <c r="CL66" i="20"/>
  <c r="CK66" i="20"/>
  <c r="CI49" i="20"/>
  <c r="CH49" i="20"/>
  <c r="CG49" i="20"/>
  <c r="CA8" i="20"/>
  <c r="BZ8" i="20"/>
  <c r="BY8" i="20"/>
  <c r="CI8" i="20"/>
  <c r="CH8" i="20"/>
  <c r="CG8" i="20"/>
  <c r="L295" i="22"/>
  <c r="AV295" i="22" s="1"/>
  <c r="AR295" i="22"/>
  <c r="AB295" i="22"/>
  <c r="N295" i="22"/>
  <c r="Y295" i="22" s="1"/>
  <c r="AM127" i="23"/>
  <c r="AN127" i="23" s="1"/>
  <c r="AN21" i="23"/>
  <c r="AM10" i="23"/>
  <c r="AM37" i="23" s="1"/>
  <c r="O2541" i="19"/>
  <c r="M2550" i="19"/>
  <c r="M2622" i="19"/>
  <c r="K2622" i="19" s="1"/>
  <c r="O1155" i="19"/>
  <c r="M1236" i="19"/>
  <c r="K1236" i="19" s="1"/>
  <c r="M1164" i="19"/>
  <c r="O3601" i="19"/>
  <c r="M3610" i="19"/>
  <c r="M3682" i="19"/>
  <c r="K3682" i="19" s="1"/>
  <c r="CM304" i="22"/>
  <c r="CF304" i="22"/>
  <c r="CM260" i="22"/>
  <c r="CF260" i="22"/>
  <c r="DP189" i="20"/>
  <c r="DO189" i="20"/>
  <c r="DN189" i="20"/>
  <c r="DM189" i="20"/>
  <c r="DK189" i="20"/>
  <c r="AK189" i="20"/>
  <c r="DJ189" i="20"/>
  <c r="AV189" i="20"/>
  <c r="DI189" i="20"/>
  <c r="AU189" i="20"/>
  <c r="DL189" i="20"/>
  <c r="DH189" i="20"/>
  <c r="DG189" i="20"/>
  <c r="BW183" i="20"/>
  <c r="BV183" i="20"/>
  <c r="BU183" i="20"/>
  <c r="BW179" i="20"/>
  <c r="BV179" i="20"/>
  <c r="BU179" i="20"/>
  <c r="BS175" i="20"/>
  <c r="BR175" i="20"/>
  <c r="CD176" i="20"/>
  <c r="L183" i="20"/>
  <c r="N183" i="20" s="1"/>
  <c r="I183" i="20"/>
  <c r="Y183" i="20"/>
  <c r="AL183" i="20" s="1"/>
  <c r="AS183" i="20"/>
  <c r="CM175" i="20"/>
  <c r="CL175" i="20"/>
  <c r="CK175" i="20"/>
  <c r="DH167" i="20"/>
  <c r="DG167" i="20"/>
  <c r="DP167" i="20"/>
  <c r="DN167" i="20"/>
  <c r="DM167" i="20"/>
  <c r="DL167" i="20"/>
  <c r="DK167" i="20"/>
  <c r="DO167" i="20"/>
  <c r="AM167" i="20"/>
  <c r="DJ167" i="20"/>
  <c r="AL167" i="20"/>
  <c r="DI167" i="20"/>
  <c r="AK167" i="20"/>
  <c r="AV167" i="20"/>
  <c r="AJ167" i="20"/>
  <c r="AU167" i="20"/>
  <c r="AI167" i="20"/>
  <c r="AH167" i="20"/>
  <c r="AG167" i="20"/>
  <c r="AQ167" i="20"/>
  <c r="AN167" i="20"/>
  <c r="AE167" i="20"/>
  <c r="BD167" i="20"/>
  <c r="BS169" i="20"/>
  <c r="BR169" i="20"/>
  <c r="BU160" i="20"/>
  <c r="BW160" i="20"/>
  <c r="BV160" i="20"/>
  <c r="BU156" i="20"/>
  <c r="BW156" i="20"/>
  <c r="BV156" i="20"/>
  <c r="BU152" i="20"/>
  <c r="BW152" i="20"/>
  <c r="BV152" i="20"/>
  <c r="AZ171" i="20"/>
  <c r="BC145" i="20"/>
  <c r="BM145" i="20"/>
  <c r="CZ172" i="20"/>
  <c r="CY172" i="20"/>
  <c r="CW172" i="20"/>
  <c r="CV172" i="20"/>
  <c r="CX172" i="20"/>
  <c r="AZ168" i="20"/>
  <c r="BS166" i="20"/>
  <c r="BR166" i="20"/>
  <c r="AZ173" i="20"/>
  <c r="CI173" i="20"/>
  <c r="CH173" i="20"/>
  <c r="CG173" i="20"/>
  <c r="AE181" i="20"/>
  <c r="AD181" i="20"/>
  <c r="AC181" i="20"/>
  <c r="CZ170" i="20"/>
  <c r="CY170" i="20"/>
  <c r="CW170" i="20"/>
  <c r="CV170" i="20"/>
  <c r="CX170" i="20"/>
  <c r="BB167" i="20"/>
  <c r="BC167" i="20" s="1"/>
  <c r="AA163" i="20"/>
  <c r="CA160" i="20"/>
  <c r="BZ160" i="20"/>
  <c r="BY160" i="20"/>
  <c r="CM155" i="20"/>
  <c r="CL155" i="20"/>
  <c r="CK155" i="20"/>
  <c r="CM150" i="20"/>
  <c r="CL150" i="20"/>
  <c r="CK150" i="20"/>
  <c r="CZ154" i="20"/>
  <c r="CY154" i="20"/>
  <c r="CX154" i="20"/>
  <c r="CW154" i="20"/>
  <c r="CV154" i="20"/>
  <c r="I116" i="20"/>
  <c r="AV116" i="20"/>
  <c r="AU116" i="20"/>
  <c r="AT116" i="20"/>
  <c r="BD116" i="20"/>
  <c r="BB116" i="20"/>
  <c r="BM116" i="20" s="1"/>
  <c r="BS75" i="20"/>
  <c r="BR75" i="20"/>
  <c r="CG81" i="20"/>
  <c r="CI81" i="20"/>
  <c r="CH81" i="20"/>
  <c r="DN71" i="20"/>
  <c r="AN71" i="20"/>
  <c r="DM71" i="20"/>
  <c r="AM71" i="20"/>
  <c r="DL71" i="20"/>
  <c r="AL71" i="20"/>
  <c r="I71" i="20"/>
  <c r="DJ71" i="20"/>
  <c r="AV71" i="20"/>
  <c r="AJ71" i="20"/>
  <c r="DI71" i="20"/>
  <c r="AU71" i="20"/>
  <c r="DG71" i="20"/>
  <c r="DK71" i="20"/>
  <c r="DH71" i="20"/>
  <c r="AT71" i="20"/>
  <c r="AQ71" i="20"/>
  <c r="AP71" i="20"/>
  <c r="AO71" i="20"/>
  <c r="AK71" i="20"/>
  <c r="DP71" i="20"/>
  <c r="DO71" i="20"/>
  <c r="BV68" i="20"/>
  <c r="BU68" i="20"/>
  <c r="BW68" i="20"/>
  <c r="DL145" i="20"/>
  <c r="DP87" i="20"/>
  <c r="DO87" i="20"/>
  <c r="DN87" i="20"/>
  <c r="DM87" i="20"/>
  <c r="DL87" i="20"/>
  <c r="I87" i="20"/>
  <c r="DK87" i="20"/>
  <c r="DJ87" i="20"/>
  <c r="AV87" i="20"/>
  <c r="DI87" i="20"/>
  <c r="AU87" i="20"/>
  <c r="DH87" i="20"/>
  <c r="DG87" i="20"/>
  <c r="AT87" i="20"/>
  <c r="CY87" i="20"/>
  <c r="CX87" i="20"/>
  <c r="CW87" i="20"/>
  <c r="CV87" i="20"/>
  <c r="CZ87" i="20"/>
  <c r="CE163" i="20"/>
  <c r="CD163" i="20"/>
  <c r="CC163" i="20"/>
  <c r="CI85" i="20"/>
  <c r="CH85" i="20"/>
  <c r="CG85" i="20"/>
  <c r="CI71" i="20"/>
  <c r="CG71" i="20"/>
  <c r="CH71" i="20"/>
  <c r="V156" i="20"/>
  <c r="L119" i="20"/>
  <c r="Y119" i="20"/>
  <c r="AM119" i="20" s="1"/>
  <c r="V119" i="20"/>
  <c r="AS119" i="20"/>
  <c r="V104" i="20"/>
  <c r="AS104" i="20"/>
  <c r="L104" i="20"/>
  <c r="Y104" i="20"/>
  <c r="AN104" i="20" s="1"/>
  <c r="DI80" i="20"/>
  <c r="AU80" i="20"/>
  <c r="DH80" i="20"/>
  <c r="DG80" i="20"/>
  <c r="BD80" i="20"/>
  <c r="DP80" i="20"/>
  <c r="DN80" i="20"/>
  <c r="AN80" i="20"/>
  <c r="DM80" i="20"/>
  <c r="AM80" i="20"/>
  <c r="DL80" i="20"/>
  <c r="I80" i="20"/>
  <c r="AV80" i="20"/>
  <c r="AO80" i="20"/>
  <c r="DO80" i="20"/>
  <c r="DK80" i="20"/>
  <c r="DJ80" i="20"/>
  <c r="BW80" i="20"/>
  <c r="BV80" i="20"/>
  <c r="BU80" i="20"/>
  <c r="BB71" i="20"/>
  <c r="BB87" i="20"/>
  <c r="CG55" i="20"/>
  <c r="CI55" i="20"/>
  <c r="CH55" i="20"/>
  <c r="BC113" i="20"/>
  <c r="L59" i="20"/>
  <c r="Y59" i="20"/>
  <c r="AK59" i="20" s="1"/>
  <c r="AT59" i="20"/>
  <c r="BE59" i="20" s="1"/>
  <c r="V59" i="20"/>
  <c r="AS59" i="20"/>
  <c r="DK59" i="20"/>
  <c r="DL59" i="20"/>
  <c r="CZ62" i="20"/>
  <c r="CY62" i="20"/>
  <c r="CX62" i="20"/>
  <c r="CW62" i="20"/>
  <c r="CV62" i="20"/>
  <c r="CZ50" i="20"/>
  <c r="CY50" i="20"/>
  <c r="CX50" i="20"/>
  <c r="CW50" i="20"/>
  <c r="CV50" i="20"/>
  <c r="L117" i="20"/>
  <c r="Y117" i="20"/>
  <c r="AP117" i="20" s="1"/>
  <c r="V117" i="20"/>
  <c r="AS117" i="20"/>
  <c r="CZ77" i="20"/>
  <c r="CY77" i="20"/>
  <c r="CX77" i="20"/>
  <c r="CV77" i="20"/>
  <c r="CW77" i="20"/>
  <c r="L73" i="20"/>
  <c r="Y73" i="20"/>
  <c r="AK73" i="20" s="1"/>
  <c r="V73" i="20"/>
  <c r="AS73" i="20"/>
  <c r="CE32" i="20"/>
  <c r="CD32" i="20"/>
  <c r="CC32" i="20"/>
  <c r="BB80" i="20"/>
  <c r="CM55" i="20"/>
  <c r="CL55" i="20"/>
  <c r="CK55" i="20"/>
  <c r="BC45" i="20"/>
  <c r="BE45" i="20" s="1"/>
  <c r="BM45" i="20"/>
  <c r="BM22" i="20"/>
  <c r="AS6" i="20"/>
  <c r="L6" i="20"/>
  <c r="BX6" i="20"/>
  <c r="Y6" i="20"/>
  <c r="AT6" i="20"/>
  <c r="V6" i="20"/>
  <c r="V43" i="20"/>
  <c r="AS43" i="20"/>
  <c r="L43" i="20"/>
  <c r="Y43" i="20"/>
  <c r="AQ43" i="20" s="1"/>
  <c r="BC17" i="20"/>
  <c r="BM17" i="20"/>
  <c r="AT102" i="20"/>
  <c r="BE102" i="20" s="1"/>
  <c r="CY15" i="20"/>
  <c r="CX15" i="20"/>
  <c r="CW15" i="20"/>
  <c r="CV15" i="20"/>
  <c r="CZ15" i="20"/>
  <c r="BP19" i="20"/>
  <c r="BO19" i="20"/>
  <c r="L15" i="20"/>
  <c r="Y15" i="20"/>
  <c r="AQ15" i="20" s="1"/>
  <c r="V15" i="20"/>
  <c r="AS15" i="20"/>
  <c r="DL6" i="20"/>
  <c r="AS18" i="20"/>
  <c r="L18" i="20"/>
  <c r="CJ18" i="20"/>
  <c r="Y18" i="20"/>
  <c r="AN18" i="20" s="1"/>
  <c r="V18" i="20"/>
  <c r="AT18" i="20"/>
  <c r="I18" i="20"/>
  <c r="DM18" i="20"/>
  <c r="AL18" i="20"/>
  <c r="DO18" i="20"/>
  <c r="BP66" i="20"/>
  <c r="BO66" i="20"/>
  <c r="E327" i="19"/>
  <c r="E1262" i="19"/>
  <c r="E1264" i="19" s="1"/>
  <c r="D1261" i="19" s="1"/>
  <c r="H561" i="4" s="1"/>
  <c r="CE9" i="20"/>
  <c r="CD9" i="20"/>
  <c r="CC9" i="20"/>
  <c r="V23" i="20"/>
  <c r="CM8" i="20"/>
  <c r="CL8" i="20"/>
  <c r="CK8" i="20"/>
  <c r="CZ20" i="20"/>
  <c r="CY20" i="20"/>
  <c r="CX20" i="20"/>
  <c r="CW20" i="20"/>
  <c r="CV20" i="20"/>
  <c r="B5203" i="19"/>
  <c r="B5102" i="19"/>
  <c r="B5216" i="19" s="1"/>
  <c r="B5364" i="19"/>
  <c r="B5382" i="19"/>
  <c r="B5449" i="19"/>
  <c r="B4261" i="19" s="1"/>
  <c r="B4271" i="19" s="1"/>
  <c r="F2596" i="19"/>
  <c r="F2634" i="19" s="1"/>
  <c r="F2577" i="19"/>
  <c r="F2597" i="19" s="1"/>
  <c r="F2635" i="19" s="1"/>
  <c r="BK300" i="22"/>
  <c r="BN300" i="22"/>
  <c r="BM300" i="22"/>
  <c r="BL300" i="22"/>
  <c r="BO300" i="22"/>
  <c r="BJ300" i="22"/>
  <c r="BI300" i="22"/>
  <c r="L276" i="22"/>
  <c r="AR276" i="22" s="1"/>
  <c r="N276" i="22"/>
  <c r="CA169" i="20"/>
  <c r="BY169" i="20"/>
  <c r="BZ169" i="20"/>
  <c r="BP162" i="20"/>
  <c r="BO162" i="20"/>
  <c r="BP150" i="20"/>
  <c r="BO150" i="20"/>
  <c r="CE166" i="20"/>
  <c r="CD166" i="20"/>
  <c r="CC166" i="20"/>
  <c r="AI182" i="20"/>
  <c r="AH182" i="20"/>
  <c r="AG182" i="20"/>
  <c r="AF182" i="20"/>
  <c r="AE182" i="20"/>
  <c r="AD182" i="20"/>
  <c r="AC182" i="20"/>
  <c r="BW170" i="20"/>
  <c r="BV170" i="20"/>
  <c r="BU170" i="20"/>
  <c r="CM153" i="20"/>
  <c r="CL153" i="20"/>
  <c r="CK153" i="20"/>
  <c r="CZ157" i="20"/>
  <c r="CY157" i="20"/>
  <c r="CX157" i="20"/>
  <c r="CW157" i="20"/>
  <c r="CV157" i="20"/>
  <c r="DK145" i="20"/>
  <c r="BW77" i="20"/>
  <c r="BV77" i="20"/>
  <c r="BU77" i="20"/>
  <c r="CA63" i="20"/>
  <c r="BZ63" i="20"/>
  <c r="BY63" i="20"/>
  <c r="BW73" i="20"/>
  <c r="BV73" i="20"/>
  <c r="BU73" i="20"/>
  <c r="BP56" i="20"/>
  <c r="BO56" i="20"/>
  <c r="AS29" i="20"/>
  <c r="L29" i="20"/>
  <c r="Y29" i="20"/>
  <c r="AL29" i="20" s="1"/>
  <c r="BP22" i="20"/>
  <c r="BO22" i="20"/>
  <c r="AB33" i="20"/>
  <c r="BW66" i="20"/>
  <c r="BV66" i="20"/>
  <c r="BU66" i="20"/>
  <c r="DI8" i="20"/>
  <c r="AU8" i="20"/>
  <c r="DH8" i="20"/>
  <c r="AT8" i="20"/>
  <c r="DG8" i="20"/>
  <c r="DP8" i="20"/>
  <c r="DO8" i="20"/>
  <c r="DN8" i="20"/>
  <c r="DM8" i="20"/>
  <c r="DL8" i="20"/>
  <c r="I8" i="20"/>
  <c r="DK8" i="20"/>
  <c r="AV8" i="20"/>
  <c r="DJ8" i="20"/>
  <c r="AN179" i="23"/>
  <c r="BY183" i="20"/>
  <c r="CA183" i="20"/>
  <c r="BZ183" i="20"/>
  <c r="CI183" i="20"/>
  <c r="CH183" i="20"/>
  <c r="CG183" i="20"/>
  <c r="L181" i="20"/>
  <c r="I181" i="20"/>
  <c r="Y181" i="20"/>
  <c r="AM181" i="20" s="1"/>
  <c r="AS181" i="20"/>
  <c r="BM176" i="20"/>
  <c r="CG152" i="20"/>
  <c r="CI152" i="20"/>
  <c r="CH152" i="20"/>
  <c r="DI171" i="20"/>
  <c r="AU171" i="20"/>
  <c r="DH171" i="20"/>
  <c r="DG171" i="20"/>
  <c r="DP171" i="20"/>
  <c r="DN171" i="20"/>
  <c r="DM171" i="20"/>
  <c r="DL171" i="20"/>
  <c r="DK171" i="20"/>
  <c r="DO171" i="20"/>
  <c r="DJ171" i="20"/>
  <c r="BD171" i="20"/>
  <c r="AV171" i="20"/>
  <c r="AE171" i="20"/>
  <c r="BP161" i="20"/>
  <c r="BO161" i="20"/>
  <c r="DI173" i="20"/>
  <c r="AU173" i="20"/>
  <c r="DH173" i="20"/>
  <c r="DG173" i="20"/>
  <c r="BD173" i="20"/>
  <c r="DP173" i="20"/>
  <c r="AP173" i="20"/>
  <c r="DN173" i="20"/>
  <c r="AN173" i="20"/>
  <c r="DM173" i="20"/>
  <c r="DL173" i="20"/>
  <c r="DK173" i="20"/>
  <c r="AK173" i="20"/>
  <c r="AV173" i="20"/>
  <c r="DO173" i="20"/>
  <c r="AO173" i="20"/>
  <c r="DJ173" i="20"/>
  <c r="BW173" i="20"/>
  <c r="BV173" i="20"/>
  <c r="BU173" i="20"/>
  <c r="CM160" i="20"/>
  <c r="CL160" i="20"/>
  <c r="CK160" i="20"/>
  <c r="V147" i="20"/>
  <c r="AS147" i="20"/>
  <c r="CB147" i="20"/>
  <c r="I147" i="20"/>
  <c r="Y147" i="20"/>
  <c r="Z147" i="20" s="1"/>
  <c r="L147" i="20"/>
  <c r="AD171" i="20"/>
  <c r="CD76" i="20"/>
  <c r="CC76" i="20"/>
  <c r="CE76" i="20"/>
  <c r="CH68" i="20"/>
  <c r="CG68" i="20"/>
  <c r="CI68" i="20"/>
  <c r="BZ60" i="20"/>
  <c r="BY60" i="20"/>
  <c r="CA60" i="20"/>
  <c r="BS55" i="20"/>
  <c r="BR55" i="20"/>
  <c r="BS26" i="20"/>
  <c r="BR26" i="20"/>
  <c r="BD51" i="20"/>
  <c r="DP51" i="20"/>
  <c r="DO51" i="20"/>
  <c r="DN51" i="20"/>
  <c r="DM51" i="20"/>
  <c r="DL51" i="20"/>
  <c r="I51" i="20"/>
  <c r="DK51" i="20"/>
  <c r="DJ51" i="20"/>
  <c r="AV51" i="20"/>
  <c r="DI51" i="20"/>
  <c r="AU51" i="20"/>
  <c r="DH51" i="20"/>
  <c r="DG51" i="20"/>
  <c r="AT51" i="20"/>
  <c r="BS30" i="20"/>
  <c r="BR30" i="20"/>
  <c r="DJ144" i="20"/>
  <c r="L60" i="20"/>
  <c r="Y60" i="20"/>
  <c r="Z60" i="20" s="1"/>
  <c r="V60" i="20"/>
  <c r="AS60" i="20"/>
  <c r="CB60" i="20"/>
  <c r="BW51" i="20"/>
  <c r="BV51" i="20"/>
  <c r="BU51" i="20"/>
  <c r="CW13" i="20"/>
  <c r="CV13" i="20"/>
  <c r="CZ13" i="20"/>
  <c r="CY13" i="20"/>
  <c r="CX13" i="20"/>
  <c r="BS28" i="20"/>
  <c r="BR28" i="20"/>
  <c r="CI54" i="20"/>
  <c r="CH54" i="20"/>
  <c r="CG54" i="20"/>
  <c r="DH7" i="20"/>
  <c r="DG7" i="20"/>
  <c r="DP7" i="20"/>
  <c r="DO7" i="20"/>
  <c r="AO7" i="20"/>
  <c r="DN7" i="20"/>
  <c r="DM7" i="20"/>
  <c r="DL7" i="20"/>
  <c r="I7" i="20"/>
  <c r="DK7" i="20"/>
  <c r="DJ7" i="20"/>
  <c r="AV7" i="20"/>
  <c r="AU7" i="20"/>
  <c r="DI7" i="20"/>
  <c r="N334" i="22"/>
  <c r="L334" i="22"/>
  <c r="AV334" i="22" s="1"/>
  <c r="BO322" i="22"/>
  <c r="BN322" i="22"/>
  <c r="BM322" i="22"/>
  <c r="BL322" i="22"/>
  <c r="BK322" i="22"/>
  <c r="BI322" i="22"/>
  <c r="BJ322" i="22"/>
  <c r="N285" i="22"/>
  <c r="L285" i="22"/>
  <c r="AT285" i="22" s="1"/>
  <c r="BL267" i="22"/>
  <c r="BO267" i="22"/>
  <c r="BN267" i="22"/>
  <c r="BM267" i="22"/>
  <c r="BK267" i="22"/>
  <c r="BJ267" i="22"/>
  <c r="BI267" i="22"/>
  <c r="BM263" i="22"/>
  <c r="BJ263" i="22"/>
  <c r="BO263" i="22"/>
  <c r="BN263" i="22"/>
  <c r="BL263" i="22"/>
  <c r="BK263" i="22"/>
  <c r="BI263" i="22"/>
  <c r="BK280" i="22"/>
  <c r="BJ280" i="22"/>
  <c r="BI280" i="22"/>
  <c r="BN280" i="22"/>
  <c r="BL280" i="22"/>
  <c r="BO280" i="22"/>
  <c r="BM280" i="22"/>
  <c r="M4808" i="19"/>
  <c r="N4808" i="19" s="1"/>
  <c r="K4152" i="19"/>
  <c r="O4152" i="19" s="1"/>
  <c r="K4168" i="19"/>
  <c r="K4184" i="19" s="1"/>
  <c r="L204" i="22"/>
  <c r="AT204" i="22" s="1"/>
  <c r="N204" i="22"/>
  <c r="G3894" i="19"/>
  <c r="O3894" i="19" s="1"/>
  <c r="O3876" i="19"/>
  <c r="M3561" i="19"/>
  <c r="N3561" i="19" s="1"/>
  <c r="K3014" i="19"/>
  <c r="K3030" i="19" s="1"/>
  <c r="K2998" i="19"/>
  <c r="O2998" i="19" s="1"/>
  <c r="M5267" i="19"/>
  <c r="O5276" i="19"/>
  <c r="N331" i="22"/>
  <c r="L331" i="22"/>
  <c r="AR331" i="22" s="1"/>
  <c r="BE327" i="22"/>
  <c r="AB262" i="22"/>
  <c r="L262" i="22"/>
  <c r="AT262" i="22" s="1"/>
  <c r="AR262" i="22"/>
  <c r="N262" i="22"/>
  <c r="M2507" i="19"/>
  <c r="N2507" i="19" s="1"/>
  <c r="K1925" i="19"/>
  <c r="K1941" i="19" s="1"/>
  <c r="K1909" i="19"/>
  <c r="O1909" i="19" s="1"/>
  <c r="L298" i="22"/>
  <c r="AV298" i="22" s="1"/>
  <c r="N298" i="22"/>
  <c r="O1180" i="19"/>
  <c r="M1181" i="19"/>
  <c r="M1199" i="19"/>
  <c r="BM23" i="22"/>
  <c r="BL23" i="22"/>
  <c r="BK23" i="22"/>
  <c r="BJ23" i="22"/>
  <c r="BI23" i="22"/>
  <c r="BO23" i="22"/>
  <c r="BN23" i="22"/>
  <c r="G1637" i="19"/>
  <c r="O1637" i="19" s="1"/>
  <c r="O1619" i="19"/>
  <c r="K493" i="19"/>
  <c r="O493" i="19" s="1"/>
  <c r="K509" i="19"/>
  <c r="K525" i="19" s="1"/>
  <c r="M1117" i="19"/>
  <c r="N1117" i="19" s="1"/>
  <c r="N305" i="22"/>
  <c r="L305" i="22"/>
  <c r="AT305" i="22" s="1"/>
  <c r="N290" i="22"/>
  <c r="L290" i="22"/>
  <c r="AV290" i="22" s="1"/>
  <c r="E330" i="22"/>
  <c r="BI326" i="22"/>
  <c r="BK326" i="22"/>
  <c r="BJ326" i="22"/>
  <c r="BO326" i="22"/>
  <c r="BN326" i="22"/>
  <c r="BM326" i="22"/>
  <c r="BL326" i="22"/>
  <c r="BE318" i="22"/>
  <c r="E314" i="22"/>
  <c r="CR314" i="22" s="1"/>
  <c r="E265" i="22"/>
  <c r="BV265" i="22" s="1"/>
  <c r="M4806" i="19"/>
  <c r="N4806" i="19" s="1"/>
  <c r="K4166" i="19"/>
  <c r="K4182" i="19" s="1"/>
  <c r="N4132" i="19"/>
  <c r="K4150" i="19"/>
  <c r="O4150" i="19" s="1"/>
  <c r="O4132" i="19"/>
  <c r="L301" i="22"/>
  <c r="AV301" i="22" s="1"/>
  <c r="N301" i="22"/>
  <c r="L277" i="22"/>
  <c r="AV277" i="22" s="1"/>
  <c r="N277" i="22"/>
  <c r="N2978" i="19"/>
  <c r="M3559" i="19"/>
  <c r="N3559" i="19" s="1"/>
  <c r="K2996" i="19"/>
  <c r="O2996" i="19" s="1"/>
  <c r="K3012" i="19"/>
  <c r="K3028" i="19" s="1"/>
  <c r="O2978" i="19"/>
  <c r="E3640" i="19"/>
  <c r="E3659" i="19"/>
  <c r="E3697" i="19" s="1"/>
  <c r="N296" i="22"/>
  <c r="L296" i="22"/>
  <c r="AT296" i="22" s="1"/>
  <c r="AU296" i="22" s="1"/>
  <c r="E331" i="22"/>
  <c r="CS331" i="22" s="1"/>
  <c r="N327" i="22"/>
  <c r="AR327" i="22"/>
  <c r="L327" i="22"/>
  <c r="AT327" i="22" s="1"/>
  <c r="E319" i="22"/>
  <c r="BJ279" i="22"/>
  <c r="BI279" i="22"/>
  <c r="BN279" i="22"/>
  <c r="BO279" i="22"/>
  <c r="BM279" i="22"/>
  <c r="BL279" i="22"/>
  <c r="BK279" i="22"/>
  <c r="BM262" i="22"/>
  <c r="BI262" i="22"/>
  <c r="BN262" i="22"/>
  <c r="BK262" i="22"/>
  <c r="BJ262" i="22"/>
  <c r="BO262" i="22"/>
  <c r="BL262" i="22"/>
  <c r="M2505" i="19"/>
  <c r="N2505" i="19" s="1"/>
  <c r="K1923" i="19"/>
  <c r="K1939" i="19" s="1"/>
  <c r="K1907" i="19"/>
  <c r="O1907" i="19" s="1"/>
  <c r="N15" i="22"/>
  <c r="L15" i="22"/>
  <c r="AR15" i="22" s="1"/>
  <c r="BI7" i="22"/>
  <c r="BO7" i="22"/>
  <c r="BN7" i="22"/>
  <c r="BM7" i="22"/>
  <c r="BL7" i="22"/>
  <c r="BK7" i="22"/>
  <c r="BJ7" i="22"/>
  <c r="BI281" i="22"/>
  <c r="BL281" i="22"/>
  <c r="BK281" i="22"/>
  <c r="BJ281" i="22"/>
  <c r="BO281" i="22"/>
  <c r="BN281" i="22"/>
  <c r="BM281" i="22"/>
  <c r="L330" i="22"/>
  <c r="AR330" i="22" s="1"/>
  <c r="N330" i="22"/>
  <c r="N318" i="22"/>
  <c r="Y318" i="22" s="1"/>
  <c r="L318" i="22"/>
  <c r="AO318" i="22" s="1"/>
  <c r="AR318" i="22"/>
  <c r="BE314" i="22"/>
  <c r="L273" i="22"/>
  <c r="AT273" i="22" s="1"/>
  <c r="N273" i="22"/>
  <c r="AR261" i="22"/>
  <c r="N261" i="22"/>
  <c r="L261" i="22"/>
  <c r="AV261" i="22" s="1"/>
  <c r="M4804" i="19"/>
  <c r="N4804" i="19" s="1"/>
  <c r="K4148" i="19"/>
  <c r="O4148" i="19" s="1"/>
  <c r="K4164" i="19"/>
  <c r="K4180" i="19" s="1"/>
  <c r="BL204" i="22"/>
  <c r="BK204" i="22"/>
  <c r="BI204" i="22"/>
  <c r="BM204" i="22"/>
  <c r="BO204" i="22"/>
  <c r="BN204" i="22"/>
  <c r="BJ204" i="22"/>
  <c r="AR294" i="22"/>
  <c r="L294" i="22"/>
  <c r="AO294" i="22" s="1"/>
  <c r="AB294" i="22"/>
  <c r="N294" i="22"/>
  <c r="Y294" i="22" s="1"/>
  <c r="E277" i="22"/>
  <c r="CW277" i="22" s="1"/>
  <c r="F1181" i="19"/>
  <c r="E1181" i="19"/>
  <c r="F1220" i="19"/>
  <c r="F1201" i="19"/>
  <c r="F1221" i="19" s="1"/>
  <c r="E1201" i="19"/>
  <c r="E1221" i="19" s="1"/>
  <c r="BK331" i="22"/>
  <c r="BL331" i="22"/>
  <c r="BI331" i="22"/>
  <c r="BO331" i="22"/>
  <c r="BN331" i="22"/>
  <c r="BM331" i="22"/>
  <c r="BJ331" i="22"/>
  <c r="N323" i="22"/>
  <c r="L323" i="22"/>
  <c r="AR323" i="22" s="1"/>
  <c r="N315" i="22"/>
  <c r="L315" i="22"/>
  <c r="AR315" i="22"/>
  <c r="L303" i="22"/>
  <c r="AV303" i="22" s="1"/>
  <c r="N303" i="22"/>
  <c r="N266" i="22"/>
  <c r="L266" i="22"/>
  <c r="AV266" i="22" s="1"/>
  <c r="BN310" i="22"/>
  <c r="BL310" i="22"/>
  <c r="BJ310" i="22"/>
  <c r="BO310" i="22"/>
  <c r="BM310" i="22"/>
  <c r="BK310" i="22"/>
  <c r="BI310" i="22"/>
  <c r="BL286" i="22"/>
  <c r="BJ286" i="22"/>
  <c r="BO286" i="22"/>
  <c r="BN286" i="22"/>
  <c r="BM286" i="22"/>
  <c r="BK286" i="22"/>
  <c r="BI286" i="22"/>
  <c r="M2498" i="19"/>
  <c r="N2498" i="19" s="1"/>
  <c r="K1900" i="19"/>
  <c r="O1900" i="19" s="1"/>
  <c r="K1916" i="19"/>
  <c r="K1932" i="19" s="1"/>
  <c r="N1882" i="19"/>
  <c r="N17" i="22"/>
  <c r="L17" i="22"/>
  <c r="AR17" i="22" s="1"/>
  <c r="N22" i="22"/>
  <c r="L22" i="22"/>
  <c r="AR22" i="22" s="1"/>
  <c r="L21" i="22"/>
  <c r="AR21" i="22" s="1"/>
  <c r="N21" i="22"/>
  <c r="E20" i="22"/>
  <c r="CW20" i="22" s="1"/>
  <c r="BK20" i="22"/>
  <c r="BJ20" i="22"/>
  <c r="BI20" i="22"/>
  <c r="BO20" i="22"/>
  <c r="BM20" i="22"/>
  <c r="BN20" i="22"/>
  <c r="BL20" i="22"/>
  <c r="F1212" i="19"/>
  <c r="F1250" i="19" s="1"/>
  <c r="F1193" i="19"/>
  <c r="F1213" i="19" s="1"/>
  <c r="F1251" i="19" s="1"/>
  <c r="BK203" i="22"/>
  <c r="BJ203" i="22"/>
  <c r="BL203" i="22"/>
  <c r="BO203" i="22"/>
  <c r="BM203" i="22"/>
  <c r="BI203" i="22"/>
  <c r="BN203" i="22"/>
  <c r="M4811" i="19"/>
  <c r="N4811" i="19" s="1"/>
  <c r="N4137" i="19"/>
  <c r="K4171" i="19"/>
  <c r="K4187" i="19" s="1"/>
  <c r="O4137" i="19"/>
  <c r="K4155" i="19"/>
  <c r="O4155" i="19" s="1"/>
  <c r="E4909" i="19"/>
  <c r="I4889" i="19"/>
  <c r="I4909" i="19" s="1"/>
  <c r="B5228" i="19"/>
  <c r="B5140" i="19"/>
  <c r="B5153" i="19" s="1"/>
  <c r="O5266" i="19"/>
  <c r="M5256" i="19"/>
  <c r="AM23" i="20"/>
  <c r="G5155" i="19"/>
  <c r="O5155" i="19" s="1"/>
  <c r="O5142" i="19"/>
  <c r="AN91" i="23"/>
  <c r="M3642" i="19"/>
  <c r="M3623" i="19"/>
  <c r="M3684" i="19"/>
  <c r="K3684" i="19" s="1"/>
  <c r="O3603" i="19"/>
  <c r="M4932" i="19"/>
  <c r="K4932" i="19" s="1"/>
  <c r="O4851" i="19"/>
  <c r="M4896" i="19"/>
  <c r="O1839" i="19"/>
  <c r="O1841" i="19" s="1"/>
  <c r="D1837" i="19" s="1"/>
  <c r="H230" i="4" s="1"/>
  <c r="O1834" i="19"/>
  <c r="O1836" i="19" s="1"/>
  <c r="D1831" i="19" s="1"/>
  <c r="H238" i="4" s="1"/>
  <c r="D2953" i="19"/>
  <c r="H246" i="4" s="1"/>
  <c r="O2960" i="19"/>
  <c r="O2962" i="19" s="1"/>
  <c r="CM266" i="22"/>
  <c r="CF266" i="22"/>
  <c r="CF261" i="22"/>
  <c r="CM261" i="22"/>
  <c r="CM204" i="22"/>
  <c r="CF204" i="22"/>
  <c r="BP191" i="20"/>
  <c r="BO191" i="20"/>
  <c r="CM191" i="20"/>
  <c r="CL191" i="20"/>
  <c r="CK191" i="20"/>
  <c r="CZ191" i="20"/>
  <c r="CY191" i="20"/>
  <c r="CX191" i="20"/>
  <c r="CW191" i="20"/>
  <c r="CV191" i="20"/>
  <c r="AZ186" i="20"/>
  <c r="AZ182" i="20"/>
  <c r="AZ178" i="20"/>
  <c r="CW180" i="20"/>
  <c r="CV180" i="20"/>
  <c r="CZ180" i="20"/>
  <c r="CY180" i="20"/>
  <c r="CX180" i="20"/>
  <c r="BY186" i="20"/>
  <c r="CA186" i="20"/>
  <c r="BZ186" i="20"/>
  <c r="BW177" i="20"/>
  <c r="BV177" i="20"/>
  <c r="BU177" i="20"/>
  <c r="BW185" i="20"/>
  <c r="BV185" i="20"/>
  <c r="BU185" i="20"/>
  <c r="BW181" i="20"/>
  <c r="BV181" i="20"/>
  <c r="BU181" i="20"/>
  <c r="BO175" i="20"/>
  <c r="BP175" i="20"/>
  <c r="AI169" i="20"/>
  <c r="AH169" i="20"/>
  <c r="AG169" i="20"/>
  <c r="AF169" i="20"/>
  <c r="CG161" i="20"/>
  <c r="CI161" i="20"/>
  <c r="CH161" i="20"/>
  <c r="CG157" i="20"/>
  <c r="CI157" i="20"/>
  <c r="CH157" i="20"/>
  <c r="CG153" i="20"/>
  <c r="CI153" i="20"/>
  <c r="CH153" i="20"/>
  <c r="CG149" i="20"/>
  <c r="CI149" i="20"/>
  <c r="CH149" i="20"/>
  <c r="AS171" i="20"/>
  <c r="L171" i="20"/>
  <c r="I171" i="20"/>
  <c r="Y171" i="20"/>
  <c r="AH171" i="20" s="1"/>
  <c r="CI171" i="20"/>
  <c r="CH171" i="20"/>
  <c r="CG171" i="20"/>
  <c r="CI165" i="20"/>
  <c r="CH165" i="20"/>
  <c r="CG165" i="20"/>
  <c r="BS172" i="20"/>
  <c r="BR172" i="20"/>
  <c r="AS168" i="20"/>
  <c r="L168" i="20"/>
  <c r="I168" i="20"/>
  <c r="Y168" i="20"/>
  <c r="BS167" i="20"/>
  <c r="BR167" i="20"/>
  <c r="BC164" i="20"/>
  <c r="DH147" i="20"/>
  <c r="DG147" i="20"/>
  <c r="DO147" i="20"/>
  <c r="DM147" i="20"/>
  <c r="DL147" i="20"/>
  <c r="DK147" i="20"/>
  <c r="DJ147" i="20"/>
  <c r="AV147" i="20"/>
  <c r="AU147" i="20"/>
  <c r="DP147" i="20"/>
  <c r="DN147" i="20"/>
  <c r="DI147" i="20"/>
  <c r="BS173" i="20"/>
  <c r="BR173" i="20"/>
  <c r="CM170" i="20"/>
  <c r="CK170" i="20"/>
  <c r="CL170" i="20"/>
  <c r="BP165" i="20"/>
  <c r="BO165" i="20"/>
  <c r="AZ162" i="20"/>
  <c r="DJ160" i="20"/>
  <c r="AV160" i="20"/>
  <c r="AJ160" i="20"/>
  <c r="DI160" i="20"/>
  <c r="AU160" i="20"/>
  <c r="DH160" i="20"/>
  <c r="AT160" i="20"/>
  <c r="DG160" i="20"/>
  <c r="BD160" i="20"/>
  <c r="AQ160" i="20"/>
  <c r="DP160" i="20"/>
  <c r="BB160" i="20"/>
  <c r="AP160" i="20"/>
  <c r="DO160" i="20"/>
  <c r="AO160" i="20"/>
  <c r="DN160" i="20"/>
  <c r="AN160" i="20"/>
  <c r="DM160" i="20"/>
  <c r="AM160" i="20"/>
  <c r="DL160" i="20"/>
  <c r="AL160" i="20"/>
  <c r="DK160" i="20"/>
  <c r="AK160" i="20"/>
  <c r="CA157" i="20"/>
  <c r="BZ157" i="20"/>
  <c r="BY157" i="20"/>
  <c r="CM152" i="20"/>
  <c r="CL152" i="20"/>
  <c r="CK152" i="20"/>
  <c r="AZ150" i="20"/>
  <c r="CM164" i="20"/>
  <c r="CL164" i="20"/>
  <c r="CK164" i="20"/>
  <c r="CZ156" i="20"/>
  <c r="CY156" i="20"/>
  <c r="CX156" i="20"/>
  <c r="CW156" i="20"/>
  <c r="CV156" i="20"/>
  <c r="AZ84" i="20"/>
  <c r="BD147" i="20"/>
  <c r="AZ85" i="20"/>
  <c r="Y69" i="20"/>
  <c r="Z69" i="20" s="1"/>
  <c r="V69" i="20"/>
  <c r="AS69" i="20"/>
  <c r="CB69" i="20"/>
  <c r="L69" i="20"/>
  <c r="BS148" i="20"/>
  <c r="BR148" i="20"/>
  <c r="DO86" i="20"/>
  <c r="DN86" i="20"/>
  <c r="DM86" i="20"/>
  <c r="DL86" i="20"/>
  <c r="I86" i="20"/>
  <c r="DK86" i="20"/>
  <c r="DJ86" i="20"/>
  <c r="AV86" i="20"/>
  <c r="DH86" i="20"/>
  <c r="DG86" i="20"/>
  <c r="BB86" i="20"/>
  <c r="AU86" i="20"/>
  <c r="DP86" i="20"/>
  <c r="DI86" i="20"/>
  <c r="BS81" i="20"/>
  <c r="BR81" i="20"/>
  <c r="L87" i="20"/>
  <c r="Y87" i="20"/>
  <c r="AN87" i="20" s="1"/>
  <c r="V87" i="20"/>
  <c r="AS87" i="20"/>
  <c r="BS82" i="20"/>
  <c r="BR82" i="20"/>
  <c r="CZ74" i="20"/>
  <c r="CY74" i="20"/>
  <c r="CX74" i="20"/>
  <c r="CW74" i="20"/>
  <c r="CV74" i="20"/>
  <c r="BP68" i="20"/>
  <c r="BO68" i="20"/>
  <c r="AZ103" i="20"/>
  <c r="AZ80" i="20"/>
  <c r="CI80" i="20"/>
  <c r="CH80" i="20"/>
  <c r="CG80" i="20"/>
  <c r="CE65" i="20"/>
  <c r="CD65" i="20"/>
  <c r="CC65" i="20"/>
  <c r="DP61" i="20"/>
  <c r="DO61" i="20"/>
  <c r="DN61" i="20"/>
  <c r="DM61" i="20"/>
  <c r="DL61" i="20"/>
  <c r="I61" i="20"/>
  <c r="DK61" i="20"/>
  <c r="DJ61" i="20"/>
  <c r="AV61" i="20"/>
  <c r="DI61" i="20"/>
  <c r="AU61" i="20"/>
  <c r="DH61" i="20"/>
  <c r="DG61" i="20"/>
  <c r="CI57" i="20"/>
  <c r="CH57" i="20"/>
  <c r="CG57" i="20"/>
  <c r="CH45" i="20"/>
  <c r="CG45" i="20"/>
  <c r="CI45" i="20"/>
  <c r="CE73" i="20"/>
  <c r="CD73" i="20"/>
  <c r="CC73" i="20"/>
  <c r="AZ63" i="20"/>
  <c r="CI59" i="20"/>
  <c r="CH59" i="20"/>
  <c r="CG59" i="20"/>
  <c r="CA51" i="20"/>
  <c r="BZ51" i="20"/>
  <c r="BY51" i="20"/>
  <c r="AG178" i="20"/>
  <c r="AF178" i="20"/>
  <c r="AE178" i="20"/>
  <c r="AD178" i="20"/>
  <c r="AC178" i="20"/>
  <c r="AZ77" i="20"/>
  <c r="CY73" i="20"/>
  <c r="CX73" i="20"/>
  <c r="CW73" i="20"/>
  <c r="CV73" i="20"/>
  <c r="CZ73" i="20"/>
  <c r="AT69" i="20"/>
  <c r="BS60" i="20"/>
  <c r="BR60" i="20"/>
  <c r="CD47" i="20"/>
  <c r="CC47" i="20"/>
  <c r="CE47" i="20"/>
  <c r="Y10" i="20"/>
  <c r="Z10" i="20" s="1"/>
  <c r="V10" i="20"/>
  <c r="AS10" i="20"/>
  <c r="CB10" i="20"/>
  <c r="L10" i="20"/>
  <c r="DL10" i="20"/>
  <c r="I10" i="20"/>
  <c r="CZ29" i="20"/>
  <c r="CW29" i="20"/>
  <c r="CV29" i="20"/>
  <c r="CX29" i="20"/>
  <c r="CY29" i="20"/>
  <c r="DN13" i="20"/>
  <c r="DM13" i="20"/>
  <c r="DL13" i="20"/>
  <c r="I13" i="20"/>
  <c r="DK13" i="20"/>
  <c r="DJ13" i="20"/>
  <c r="AV13" i="20"/>
  <c r="DI13" i="20"/>
  <c r="AU13" i="20"/>
  <c r="DH13" i="20"/>
  <c r="AT13" i="20"/>
  <c r="DG13" i="20"/>
  <c r="DP13" i="20"/>
  <c r="BB13" i="20"/>
  <c r="DO13" i="20"/>
  <c r="BR6" i="20"/>
  <c r="BS6" i="20"/>
  <c r="CD18" i="20"/>
  <c r="CC18" i="20"/>
  <c r="CE18" i="20"/>
  <c r="AL45" i="20"/>
  <c r="CE43" i="20"/>
  <c r="CD43" i="20"/>
  <c r="CC43" i="20"/>
  <c r="CM28" i="20"/>
  <c r="CL28" i="20"/>
  <c r="CK28" i="20"/>
  <c r="CM54" i="20"/>
  <c r="CL54" i="20"/>
  <c r="CK54" i="20"/>
  <c r="BW15" i="20"/>
  <c r="BV15" i="20"/>
  <c r="BU15" i="20"/>
  <c r="AZ49" i="20"/>
  <c r="AQ23" i="20"/>
  <c r="B5224" i="19"/>
  <c r="B5136" i="19"/>
  <c r="B5149" i="19" s="1"/>
  <c r="BP20" i="20"/>
  <c r="BO20" i="20"/>
  <c r="K5410" i="19"/>
  <c r="D5398" i="19" s="1"/>
  <c r="H844" i="4" s="1"/>
  <c r="K5412" i="19"/>
  <c r="K5414" i="19" s="1"/>
  <c r="K5416" i="19" s="1"/>
  <c r="D5411" i="19" s="1"/>
  <c r="H175" i="4" s="1"/>
  <c r="O5047" i="19"/>
  <c r="N3794" i="19"/>
  <c r="O3794" i="19" s="1"/>
  <c r="O3797" i="19" s="1"/>
  <c r="N3751" i="19"/>
  <c r="I2590" i="19"/>
  <c r="I2610" i="19" s="1"/>
  <c r="E2610" i="19"/>
  <c r="B5385" i="19"/>
  <c r="B5367" i="19"/>
  <c r="B5452" i="19"/>
  <c r="B4264" i="19" s="1"/>
  <c r="B4274" i="19" s="1"/>
  <c r="E288" i="22"/>
  <c r="CR288" i="22" s="1"/>
  <c r="N307" i="22"/>
  <c r="Y307" i="22" s="1"/>
  <c r="CA307" i="22" s="1"/>
  <c r="L307" i="22"/>
  <c r="AV307" i="22" s="1"/>
  <c r="E283" i="22"/>
  <c r="CW283" i="22" s="1"/>
  <c r="BN330" i="22"/>
  <c r="BM330" i="22"/>
  <c r="BI330" i="22"/>
  <c r="BO330" i="22"/>
  <c r="BL330" i="22"/>
  <c r="BK330" i="22"/>
  <c r="BJ330" i="22"/>
  <c r="BE322" i="22"/>
  <c r="AR297" i="22"/>
  <c r="N297" i="22"/>
  <c r="Y297" i="22" s="1"/>
  <c r="L297" i="22"/>
  <c r="AV297" i="22" s="1"/>
  <c r="AB297" i="22"/>
  <c r="E269" i="22"/>
  <c r="BV269" i="22" s="1"/>
  <c r="L287" i="22"/>
  <c r="AR287" i="22" s="1"/>
  <c r="N287" i="22"/>
  <c r="I3672" i="19"/>
  <c r="E294" i="22"/>
  <c r="BL301" i="22"/>
  <c r="BI301" i="22"/>
  <c r="BO301" i="22"/>
  <c r="BN301" i="22"/>
  <c r="BM301" i="22"/>
  <c r="BK301" i="22"/>
  <c r="BJ301" i="22"/>
  <c r="BJ277" i="22"/>
  <c r="BN277" i="22"/>
  <c r="BM277" i="22"/>
  <c r="BL277" i="22"/>
  <c r="BK277" i="22"/>
  <c r="BI277" i="22"/>
  <c r="BO277" i="22"/>
  <c r="BJ296" i="22"/>
  <c r="BI296" i="22"/>
  <c r="BO296" i="22"/>
  <c r="BN296" i="22"/>
  <c r="BL296" i="22"/>
  <c r="BK296" i="22"/>
  <c r="BM296" i="22"/>
  <c r="BJ323" i="22"/>
  <c r="BI323" i="22"/>
  <c r="BO323" i="22"/>
  <c r="BN323" i="22"/>
  <c r="BM323" i="22"/>
  <c r="BL323" i="22"/>
  <c r="BK323" i="22"/>
  <c r="BO319" i="22"/>
  <c r="BI319" i="22"/>
  <c r="BN319" i="22"/>
  <c r="BL319" i="22"/>
  <c r="BJ319" i="22"/>
  <c r="BM319" i="22"/>
  <c r="BK319" i="22"/>
  <c r="E315" i="22"/>
  <c r="CS315" i="22" s="1"/>
  <c r="N264" i="22"/>
  <c r="L264" i="22"/>
  <c r="AV264" i="22" s="1"/>
  <c r="BO260" i="22"/>
  <c r="BI260" i="22"/>
  <c r="BL260" i="22"/>
  <c r="BK260" i="22"/>
  <c r="BN260" i="22"/>
  <c r="BM260" i="22"/>
  <c r="BJ260" i="22"/>
  <c r="M2501" i="19"/>
  <c r="N2501" i="19" s="1"/>
  <c r="K1903" i="19"/>
  <c r="O1903" i="19" s="1"/>
  <c r="K1919" i="19"/>
  <c r="K1935" i="19" s="1"/>
  <c r="M2500" i="19"/>
  <c r="N2500" i="19" s="1"/>
  <c r="K1902" i="19"/>
  <c r="O1902" i="19" s="1"/>
  <c r="K1918" i="19"/>
  <c r="K1934" i="19" s="1"/>
  <c r="BO16" i="22"/>
  <c r="BN16" i="22"/>
  <c r="BM16" i="22"/>
  <c r="BL16" i="22"/>
  <c r="BK16" i="22"/>
  <c r="BJ16" i="22"/>
  <c r="BI16" i="22"/>
  <c r="N11" i="22"/>
  <c r="L11" i="22"/>
  <c r="AO11" i="22" s="1"/>
  <c r="G96" i="22"/>
  <c r="L281" i="22"/>
  <c r="AV281" i="22" s="1"/>
  <c r="N281" i="22"/>
  <c r="N283" i="22"/>
  <c r="L283" i="22"/>
  <c r="AV283" i="22" s="1"/>
  <c r="AN184" i="23"/>
  <c r="AN85" i="23"/>
  <c r="M3685" i="19"/>
  <c r="K3685" i="19" s="1"/>
  <c r="M3627" i="19"/>
  <c r="O3604" i="19"/>
  <c r="AN59" i="23"/>
  <c r="CF272" i="22"/>
  <c r="CM272" i="22"/>
  <c r="CA191" i="20"/>
  <c r="BZ191" i="20"/>
  <c r="BY191" i="20"/>
  <c r="CM189" i="20"/>
  <c r="CL189" i="20"/>
  <c r="CK189" i="20"/>
  <c r="CZ187" i="20"/>
  <c r="CX187" i="20"/>
  <c r="CW187" i="20"/>
  <c r="CY187" i="20"/>
  <c r="CV187" i="20"/>
  <c r="DO186" i="20"/>
  <c r="DN186" i="20"/>
  <c r="DL186" i="20"/>
  <c r="DK186" i="20"/>
  <c r="DJ186" i="20"/>
  <c r="DP186" i="20"/>
  <c r="AW186" i="20"/>
  <c r="DM186" i="20"/>
  <c r="AV186" i="20"/>
  <c r="DI186" i="20"/>
  <c r="AU186" i="20"/>
  <c r="DH186" i="20"/>
  <c r="DG186" i="20"/>
  <c r="DN182" i="20"/>
  <c r="DM182" i="20"/>
  <c r="AM182" i="20"/>
  <c r="DL182" i="20"/>
  <c r="DK182" i="20"/>
  <c r="AW182" i="20"/>
  <c r="V182" i="20" s="1"/>
  <c r="DJ182" i="20"/>
  <c r="AV182" i="20"/>
  <c r="AJ182" i="20"/>
  <c r="DI182" i="20"/>
  <c r="AU182" i="20"/>
  <c r="DH182" i="20"/>
  <c r="DG182" i="20"/>
  <c r="AQ182" i="20"/>
  <c r="DP182" i="20"/>
  <c r="DO182" i="20"/>
  <c r="AO182" i="20"/>
  <c r="CW179" i="20"/>
  <c r="CV179" i="20"/>
  <c r="CZ179" i="20"/>
  <c r="CY179" i="20"/>
  <c r="CX179" i="20"/>
  <c r="CE185" i="20"/>
  <c r="CD185" i="20"/>
  <c r="CC185" i="20"/>
  <c r="BS144" i="20"/>
  <c r="BR144" i="20"/>
  <c r="BU161" i="20"/>
  <c r="BW161" i="20"/>
  <c r="BV161" i="20"/>
  <c r="BU157" i="20"/>
  <c r="BW157" i="20"/>
  <c r="BV157" i="20"/>
  <c r="BU153" i="20"/>
  <c r="BW153" i="20"/>
  <c r="BV153" i="20"/>
  <c r="BU149" i="20"/>
  <c r="BW149" i="20"/>
  <c r="BV149" i="20"/>
  <c r="CC144" i="20"/>
  <c r="CE144" i="20"/>
  <c r="CD144" i="20"/>
  <c r="BW165" i="20"/>
  <c r="BV165" i="20"/>
  <c r="BU165" i="20"/>
  <c r="CI169" i="20"/>
  <c r="CH169" i="20"/>
  <c r="CG169" i="20"/>
  <c r="BP157" i="20"/>
  <c r="BO157" i="20"/>
  <c r="BP151" i="20"/>
  <c r="BO151" i="20"/>
  <c r="CZ146" i="20"/>
  <c r="CY146" i="20"/>
  <c r="CW146" i="20"/>
  <c r="CX146" i="20"/>
  <c r="CV146" i="20"/>
  <c r="CZ147" i="20"/>
  <c r="CX147" i="20"/>
  <c r="CV147" i="20"/>
  <c r="CY147" i="20"/>
  <c r="CW147" i="20"/>
  <c r="AI183" i="20"/>
  <c r="AH183" i="20"/>
  <c r="AG183" i="20"/>
  <c r="AF183" i="20"/>
  <c r="AE183" i="20"/>
  <c r="AD183" i="20"/>
  <c r="AC183" i="20"/>
  <c r="CE170" i="20"/>
  <c r="CD170" i="20"/>
  <c r="CC170" i="20"/>
  <c r="AZ157" i="20"/>
  <c r="DJ155" i="20"/>
  <c r="AV155" i="20"/>
  <c r="AJ155" i="20"/>
  <c r="DI155" i="20"/>
  <c r="AU155" i="20"/>
  <c r="DH155" i="20"/>
  <c r="AT155" i="20"/>
  <c r="DG155" i="20"/>
  <c r="AQ155" i="20"/>
  <c r="DP155" i="20"/>
  <c r="BB155" i="20"/>
  <c r="AP155" i="20"/>
  <c r="DO155" i="20"/>
  <c r="AO155" i="20"/>
  <c r="DN155" i="20"/>
  <c r="AN155" i="20"/>
  <c r="DM155" i="20"/>
  <c r="AM155" i="20"/>
  <c r="DL155" i="20"/>
  <c r="AL155" i="20"/>
  <c r="DK155" i="20"/>
  <c r="BD155" i="20"/>
  <c r="AK155" i="20"/>
  <c r="CA152" i="20"/>
  <c r="BZ152" i="20"/>
  <c r="BY152" i="20"/>
  <c r="CH145" i="20"/>
  <c r="CG145" i="20"/>
  <c r="CI145" i="20"/>
  <c r="CA164" i="20"/>
  <c r="BZ164" i="20"/>
  <c r="BY164" i="20"/>
  <c r="CZ155" i="20"/>
  <c r="CY155" i="20"/>
  <c r="CX155" i="20"/>
  <c r="CW155" i="20"/>
  <c r="CV155" i="20"/>
  <c r="DM84" i="20"/>
  <c r="AM84" i="20"/>
  <c r="DL84" i="20"/>
  <c r="I84" i="20"/>
  <c r="DK84" i="20"/>
  <c r="DJ84" i="20"/>
  <c r="AV84" i="20"/>
  <c r="DI84" i="20"/>
  <c r="AU84" i="20"/>
  <c r="DH84" i="20"/>
  <c r="AT84" i="20"/>
  <c r="BD84" i="20"/>
  <c r="DP84" i="20"/>
  <c r="BB84" i="20"/>
  <c r="AO84" i="20"/>
  <c r="AN84" i="20"/>
  <c r="DO84" i="20"/>
  <c r="DN84" i="20"/>
  <c r="DG84" i="20"/>
  <c r="DP141" i="20"/>
  <c r="DN141" i="20"/>
  <c r="DM141" i="20"/>
  <c r="DL141" i="20"/>
  <c r="DK141" i="20"/>
  <c r="DJ141" i="20"/>
  <c r="AV141" i="20"/>
  <c r="DI141" i="20"/>
  <c r="AU141" i="20"/>
  <c r="DH141" i="20"/>
  <c r="AT141" i="20"/>
  <c r="DG141" i="20"/>
  <c r="DO141" i="20"/>
  <c r="BB141" i="20"/>
  <c r="CW85" i="20"/>
  <c r="CV85" i="20"/>
  <c r="CZ85" i="20"/>
  <c r="CY85" i="20"/>
  <c r="CX85" i="20"/>
  <c r="L86" i="20"/>
  <c r="Y86" i="20"/>
  <c r="V86" i="20"/>
  <c r="AS86" i="20"/>
  <c r="BT86" i="20"/>
  <c r="CH142" i="20"/>
  <c r="CG142" i="20"/>
  <c r="CI142" i="20"/>
  <c r="BC143" i="20"/>
  <c r="BE143" i="20" s="1"/>
  <c r="BM143" i="20"/>
  <c r="BO82" i="20"/>
  <c r="BP82" i="20"/>
  <c r="CA80" i="20"/>
  <c r="BY80" i="20"/>
  <c r="BZ80" i="20"/>
  <c r="BP70" i="20"/>
  <c r="BO70" i="20"/>
  <c r="BS65" i="20"/>
  <c r="BR65" i="20"/>
  <c r="CG44" i="20"/>
  <c r="CI44" i="20"/>
  <c r="CH44" i="20"/>
  <c r="BW57" i="20"/>
  <c r="BV57" i="20"/>
  <c r="BU57" i="20"/>
  <c r="BV45" i="20"/>
  <c r="BU45" i="20"/>
  <c r="BW45" i="20"/>
  <c r="BS67" i="20"/>
  <c r="BR67" i="20"/>
  <c r="CM62" i="20"/>
  <c r="CL62" i="20"/>
  <c r="CK62" i="20"/>
  <c r="CI32" i="20"/>
  <c r="CH32" i="20"/>
  <c r="CG32" i="20"/>
  <c r="DP73" i="20"/>
  <c r="DO73" i="20"/>
  <c r="DN73" i="20"/>
  <c r="DM73" i="20"/>
  <c r="DL73" i="20"/>
  <c r="I73" i="20"/>
  <c r="DK73" i="20"/>
  <c r="DI73" i="20"/>
  <c r="AU73" i="20"/>
  <c r="DH73" i="20"/>
  <c r="DG73" i="20"/>
  <c r="BD73" i="20"/>
  <c r="AV73" i="20"/>
  <c r="DJ73" i="20"/>
  <c r="CE67" i="20"/>
  <c r="CD67" i="20"/>
  <c r="CC67" i="20"/>
  <c r="BW59" i="20"/>
  <c r="BV59" i="20"/>
  <c r="BU59" i="20"/>
  <c r="AZ51" i="20"/>
  <c r="CA77" i="20"/>
  <c r="BZ77" i="20"/>
  <c r="BY77" i="20"/>
  <c r="CM73" i="20"/>
  <c r="CL73" i="20"/>
  <c r="CK73" i="20"/>
  <c r="BW61" i="20"/>
  <c r="BV61" i="20"/>
  <c r="BU61" i="20"/>
  <c r="CH62" i="20"/>
  <c r="CE46" i="20"/>
  <c r="CC46" i="20"/>
  <c r="CD46" i="20"/>
  <c r="BS79" i="20"/>
  <c r="BR79" i="20"/>
  <c r="CI51" i="20"/>
  <c r="CH51" i="20"/>
  <c r="CG51" i="20"/>
  <c r="CK26" i="20"/>
  <c r="CL26" i="20"/>
  <c r="CM26" i="20"/>
  <c r="CD71" i="20"/>
  <c r="CC71" i="20"/>
  <c r="CE71" i="20"/>
  <c r="BR18" i="20"/>
  <c r="BS18" i="20"/>
  <c r="CV12" i="20"/>
  <c r="CZ12" i="20"/>
  <c r="CY12" i="20"/>
  <c r="CX12" i="20"/>
  <c r="CW12" i="20"/>
  <c r="CH22" i="20"/>
  <c r="CG22" i="20"/>
  <c r="CI22" i="20"/>
  <c r="AO45" i="20"/>
  <c r="BM25" i="20"/>
  <c r="CE28" i="20"/>
  <c r="CD28" i="20"/>
  <c r="CC28" i="20"/>
  <c r="BC61" i="20"/>
  <c r="BP54" i="20"/>
  <c r="BO54" i="20"/>
  <c r="CZ53" i="20"/>
  <c r="CY53" i="20"/>
  <c r="CX53" i="20"/>
  <c r="CW53" i="20"/>
  <c r="CV53" i="20"/>
  <c r="BP21" i="20"/>
  <c r="BO21" i="20"/>
  <c r="CE11" i="20"/>
  <c r="CD11" i="20"/>
  <c r="CC11" i="20"/>
  <c r="CM7" i="20"/>
  <c r="CL7" i="20"/>
  <c r="CK7" i="20"/>
  <c r="BP25" i="20"/>
  <c r="BO25" i="20"/>
  <c r="CB51" i="20"/>
  <c r="L51" i="20"/>
  <c r="Y51" i="20"/>
  <c r="AP51" i="20" s="1"/>
  <c r="V51" i="20"/>
  <c r="AS51" i="20"/>
  <c r="CA49" i="20"/>
  <c r="BZ49" i="20"/>
  <c r="BY49" i="20"/>
  <c r="BS15" i="20"/>
  <c r="BR15" i="20"/>
  <c r="K5426" i="19"/>
  <c r="D5417" i="19" s="1"/>
  <c r="H280" i="4" s="1"/>
  <c r="CM16" i="20"/>
  <c r="CL16" i="20"/>
  <c r="CK16" i="20"/>
  <c r="B5198" i="19"/>
  <c r="B5097" i="19"/>
  <c r="B5211" i="19" s="1"/>
  <c r="BS8" i="20"/>
  <c r="BR8" i="20"/>
  <c r="CE20" i="20"/>
  <c r="CD20" i="20"/>
  <c r="CC20" i="20"/>
  <c r="G5067" i="19"/>
  <c r="D5056" i="19" s="1"/>
  <c r="H160" i="4" s="1"/>
  <c r="G5135" i="19"/>
  <c r="G5122" i="19"/>
  <c r="O5122" i="19" s="1"/>
  <c r="G5109" i="19"/>
  <c r="O5109" i="19" s="1"/>
  <c r="E2606" i="19"/>
  <c r="I2586" i="19"/>
  <c r="I2606" i="19" s="1"/>
  <c r="O4870" i="19"/>
  <c r="B2763" i="19"/>
  <c r="B2772" i="19" s="1"/>
  <c r="B2835" i="19"/>
  <c r="BL288" i="22"/>
  <c r="BK288" i="22"/>
  <c r="BJ288" i="22"/>
  <c r="BI288" i="22"/>
  <c r="BM288" i="22"/>
  <c r="BN288" i="22"/>
  <c r="BO288" i="22"/>
  <c r="E307" i="22"/>
  <c r="E328" i="22"/>
  <c r="AR316" i="22"/>
  <c r="N316" i="22"/>
  <c r="L316" i="22"/>
  <c r="AV316" i="22" s="1"/>
  <c r="L312" i="22"/>
  <c r="AR312" i="22" s="1"/>
  <c r="N312" i="22"/>
  <c r="BL273" i="22"/>
  <c r="BM273" i="22"/>
  <c r="BO273" i="22"/>
  <c r="BN273" i="22"/>
  <c r="BK273" i="22"/>
  <c r="BJ273" i="22"/>
  <c r="BI273" i="22"/>
  <c r="BN269" i="22"/>
  <c r="BI269" i="22"/>
  <c r="CE269" i="22"/>
  <c r="BO269" i="22"/>
  <c r="BM269" i="22"/>
  <c r="BL269" i="22"/>
  <c r="BK269" i="22"/>
  <c r="BJ269" i="22"/>
  <c r="AR265" i="22"/>
  <c r="L265" i="22"/>
  <c r="AV265" i="22" s="1"/>
  <c r="N265" i="22"/>
  <c r="BJ261" i="22"/>
  <c r="BI261" i="22"/>
  <c r="BN261" i="22"/>
  <c r="BM261" i="22"/>
  <c r="BO261" i="22"/>
  <c r="BL261" i="22"/>
  <c r="BK261" i="22"/>
  <c r="BM292" i="22"/>
  <c r="BL292" i="22"/>
  <c r="BO292" i="22"/>
  <c r="BN292" i="22"/>
  <c r="BK292" i="22"/>
  <c r="BJ292" i="22"/>
  <c r="BI292" i="22"/>
  <c r="BJ299" i="22"/>
  <c r="BM299" i="22"/>
  <c r="BL299" i="22"/>
  <c r="BK299" i="22"/>
  <c r="BO299" i="22"/>
  <c r="BN299" i="22"/>
  <c r="BI299" i="22"/>
  <c r="E275" i="22"/>
  <c r="BV275" i="22" s="1"/>
  <c r="L202" i="22"/>
  <c r="AV202" i="22" s="1"/>
  <c r="N202" i="22"/>
  <c r="I2603" i="19"/>
  <c r="BK294" i="22"/>
  <c r="BJ294" i="22"/>
  <c r="BI294" i="22"/>
  <c r="BN294" i="22"/>
  <c r="BO294" i="22"/>
  <c r="BM294" i="22"/>
  <c r="BL294" i="22"/>
  <c r="B5365" i="19"/>
  <c r="B5450" i="19"/>
  <c r="B4262" i="19" s="1"/>
  <c r="B4272" i="19" s="1"/>
  <c r="B5383" i="19"/>
  <c r="BL327" i="22"/>
  <c r="BJ327" i="22"/>
  <c r="BI327" i="22"/>
  <c r="BO327" i="22"/>
  <c r="BN327" i="22"/>
  <c r="BM327" i="22"/>
  <c r="BK327" i="22"/>
  <c r="E323" i="22"/>
  <c r="CS323" i="22" s="1"/>
  <c r="BE319" i="22"/>
  <c r="BJ315" i="22"/>
  <c r="BO315" i="22"/>
  <c r="BN315" i="22"/>
  <c r="BM315" i="22"/>
  <c r="BL315" i="22"/>
  <c r="BK315" i="22"/>
  <c r="BI315" i="22"/>
  <c r="N272" i="22"/>
  <c r="L272" i="22"/>
  <c r="AV272" i="22" s="1"/>
  <c r="BI264" i="22"/>
  <c r="BJ264" i="22"/>
  <c r="BO264" i="22"/>
  <c r="BN264" i="22"/>
  <c r="BM264" i="22"/>
  <c r="BL264" i="22"/>
  <c r="BK264" i="22"/>
  <c r="E206" i="22"/>
  <c r="BV206" i="22" s="1"/>
  <c r="K1904" i="19"/>
  <c r="O1904" i="19" s="1"/>
  <c r="M2502" i="19"/>
  <c r="N2502" i="19" s="1"/>
  <c r="K1920" i="19"/>
  <c r="K1936" i="19" s="1"/>
  <c r="BH96" i="22"/>
  <c r="BO11" i="22"/>
  <c r="BN11" i="22"/>
  <c r="BM11" i="22"/>
  <c r="BL11" i="22"/>
  <c r="BK11" i="22"/>
  <c r="BJ11" i="22"/>
  <c r="BI11" i="22"/>
  <c r="CZ21" i="22"/>
  <c r="BL21" i="22"/>
  <c r="BK21" i="22"/>
  <c r="BJ21" i="22"/>
  <c r="BI21" i="22"/>
  <c r="BO21" i="22"/>
  <c r="BN21" i="22"/>
  <c r="BM21" i="22"/>
  <c r="BO6" i="22"/>
  <c r="BN6" i="22"/>
  <c r="BM6" i="22"/>
  <c r="BL6" i="22"/>
  <c r="BK6" i="22"/>
  <c r="BJ6" i="22"/>
  <c r="BI6" i="22"/>
  <c r="N470" i="19"/>
  <c r="G1643" i="19"/>
  <c r="O1643" i="19" s="1"/>
  <c r="O1625" i="19"/>
  <c r="E305" i="22"/>
  <c r="BV305" i="22" s="1"/>
  <c r="E281" i="22"/>
  <c r="CV281" i="22" s="1"/>
  <c r="AR302" i="22"/>
  <c r="N302" i="22"/>
  <c r="Y302" i="22" s="1"/>
  <c r="CA302" i="22" s="1"/>
  <c r="L302" i="22"/>
  <c r="AT302" i="22" s="1"/>
  <c r="E278" i="22"/>
  <c r="BV278" i="22" s="1"/>
  <c r="BE324" i="22"/>
  <c r="BK316" i="22"/>
  <c r="BI316" i="22"/>
  <c r="BM316" i="22"/>
  <c r="BJ316" i="22"/>
  <c r="BO316" i="22"/>
  <c r="BN316" i="22"/>
  <c r="BL316" i="22"/>
  <c r="BN312" i="22"/>
  <c r="BL312" i="22"/>
  <c r="BJ312" i="22"/>
  <c r="BO312" i="22"/>
  <c r="BM312" i="22"/>
  <c r="BK312" i="22"/>
  <c r="BI312" i="22"/>
  <c r="N269" i="22"/>
  <c r="AR269" i="22"/>
  <c r="AB269" i="22"/>
  <c r="L269" i="22"/>
  <c r="AT269" i="22" s="1"/>
  <c r="N308" i="22"/>
  <c r="L308" i="22"/>
  <c r="AT308" i="22" s="1"/>
  <c r="L284" i="22"/>
  <c r="AT284" i="22" s="1"/>
  <c r="N284" i="22"/>
  <c r="N2980" i="19"/>
  <c r="BO333" i="22"/>
  <c r="BN333" i="22"/>
  <c r="BK333" i="22"/>
  <c r="BJ333" i="22"/>
  <c r="BM333" i="22"/>
  <c r="BL333" i="22"/>
  <c r="BI333" i="22"/>
  <c r="BK329" i="22"/>
  <c r="BJ329" i="22"/>
  <c r="BO329" i="22"/>
  <c r="BN329" i="22"/>
  <c r="BM329" i="22"/>
  <c r="BL329" i="22"/>
  <c r="BI329" i="22"/>
  <c r="L291" i="22"/>
  <c r="AV291" i="22" s="1"/>
  <c r="N291" i="22"/>
  <c r="M2497" i="19"/>
  <c r="N2497" i="19" s="1"/>
  <c r="K1899" i="19"/>
  <c r="O1899" i="19" s="1"/>
  <c r="O1881" i="19"/>
  <c r="N1881" i="19"/>
  <c r="K1915" i="19"/>
  <c r="K1931" i="19" s="1"/>
  <c r="L310" i="22"/>
  <c r="AR310" i="22" s="1"/>
  <c r="N310" i="22"/>
  <c r="Y310" i="22" s="1"/>
  <c r="CA310" i="22" s="1"/>
  <c r="CM310" i="22" s="1"/>
  <c r="M2504" i="19"/>
  <c r="N2504" i="19" s="1"/>
  <c r="CZ20" i="22"/>
  <c r="BM14" i="22"/>
  <c r="BL14" i="22"/>
  <c r="BK14" i="22"/>
  <c r="BJ14" i="22"/>
  <c r="BI14" i="22"/>
  <c r="BO14" i="22"/>
  <c r="BN14" i="22"/>
  <c r="E11" i="22"/>
  <c r="CW11" i="22" s="1"/>
  <c r="CZ17" i="22"/>
  <c r="BO22" i="22"/>
  <c r="BN22" i="22"/>
  <c r="BM22" i="22"/>
  <c r="BL22" i="22"/>
  <c r="BK22" i="22"/>
  <c r="BJ22" i="22"/>
  <c r="BI22" i="22"/>
  <c r="E21" i="22"/>
  <c r="CW21" i="22" s="1"/>
  <c r="E9" i="22"/>
  <c r="BV9" i="22" s="1"/>
  <c r="O1280" i="19"/>
  <c r="D1274" i="19" s="1"/>
  <c r="H94" i="4" s="1"/>
  <c r="O1284" i="19"/>
  <c r="K511" i="19"/>
  <c r="K527" i="19" s="1"/>
  <c r="K495" i="19"/>
  <c r="O495" i="19" s="1"/>
  <c r="M1119" i="19"/>
  <c r="N1119" i="19" s="1"/>
  <c r="BO305" i="22"/>
  <c r="BN305" i="22"/>
  <c r="BM305" i="22"/>
  <c r="BL305" i="22"/>
  <c r="BJ305" i="22"/>
  <c r="BI305" i="22"/>
  <c r="BK305" i="22"/>
  <c r="BK283" i="22"/>
  <c r="BN283" i="22"/>
  <c r="BM283" i="22"/>
  <c r="BL283" i="22"/>
  <c r="BO283" i="22"/>
  <c r="BJ283" i="22"/>
  <c r="BI283" i="22"/>
  <c r="E302" i="22"/>
  <c r="CW302" i="22" s="1"/>
  <c r="BI278" i="22"/>
  <c r="BN278" i="22"/>
  <c r="BJ278" i="22"/>
  <c r="BM278" i="22"/>
  <c r="BL278" i="22"/>
  <c r="BO278" i="22"/>
  <c r="BK278" i="22"/>
  <c r="AB324" i="22"/>
  <c r="AR324" i="22"/>
  <c r="N324" i="22"/>
  <c r="L324" i="22"/>
  <c r="AT324" i="22" s="1"/>
  <c r="N320" i="22"/>
  <c r="L320" i="22"/>
  <c r="AR320" i="22" s="1"/>
  <c r="BE316" i="22"/>
  <c r="BK297" i="22"/>
  <c r="BJ297" i="22"/>
  <c r="BI297" i="22"/>
  <c r="BN297" i="22"/>
  <c r="BM297" i="22"/>
  <c r="BL297" i="22"/>
  <c r="BO297" i="22"/>
  <c r="BJ265" i="22"/>
  <c r="BN265" i="22"/>
  <c r="BM265" i="22"/>
  <c r="BL265" i="22"/>
  <c r="BK265" i="22"/>
  <c r="BO265" i="22"/>
  <c r="BI265" i="22"/>
  <c r="N292" i="22"/>
  <c r="L292" i="22"/>
  <c r="AR292" i="22" s="1"/>
  <c r="E299" i="22"/>
  <c r="BJ275" i="22"/>
  <c r="BM275" i="22"/>
  <c r="BI275" i="22"/>
  <c r="BO275" i="22"/>
  <c r="BN275" i="22"/>
  <c r="BL275" i="22"/>
  <c r="BK275" i="22"/>
  <c r="BJ202" i="22"/>
  <c r="BI202" i="22"/>
  <c r="BK202" i="22"/>
  <c r="BO202" i="22"/>
  <c r="BM202" i="22"/>
  <c r="BL202" i="22"/>
  <c r="BN202" i="22"/>
  <c r="E282" i="22"/>
  <c r="CW282" i="22" s="1"/>
  <c r="E308" i="22"/>
  <c r="CS308" i="22" s="1"/>
  <c r="O2980" i="19"/>
  <c r="BE325" i="22"/>
  <c r="L321" i="22"/>
  <c r="AR321" i="22" s="1"/>
  <c r="N321" i="22"/>
  <c r="E291" i="22"/>
  <c r="CW291" i="22" s="1"/>
  <c r="N268" i="22"/>
  <c r="L268" i="22"/>
  <c r="AR268" i="22" s="1"/>
  <c r="E264" i="22"/>
  <c r="CW264" i="22" s="1"/>
  <c r="L206" i="22"/>
  <c r="AV206" i="22" s="1"/>
  <c r="N206" i="22"/>
  <c r="E1930" i="19"/>
  <c r="E310" i="22"/>
  <c r="K3011" i="19"/>
  <c r="K3027" i="19" s="1"/>
  <c r="M3558" i="19"/>
  <c r="N3558" i="19" s="1"/>
  <c r="K2995" i="19"/>
  <c r="O2995" i="19" s="1"/>
  <c r="O2977" i="19"/>
  <c r="CZ15" i="22"/>
  <c r="N14" i="22"/>
  <c r="L14" i="22"/>
  <c r="AR14" i="22" s="1"/>
  <c r="BK13" i="22"/>
  <c r="BJ13" i="22"/>
  <c r="BI13" i="22"/>
  <c r="BO13" i="22"/>
  <c r="BN13" i="22"/>
  <c r="BM13" i="22"/>
  <c r="BL13" i="22"/>
  <c r="E22" i="22"/>
  <c r="BV22" i="22" s="1"/>
  <c r="M1197" i="19"/>
  <c r="M1216" i="19"/>
  <c r="K497" i="19"/>
  <c r="O497" i="19" s="1"/>
  <c r="O479" i="19"/>
  <c r="K513" i="19"/>
  <c r="K529" i="19" s="1"/>
  <c r="M1121" i="19"/>
  <c r="N1121" i="19" s="1"/>
  <c r="B1383" i="19"/>
  <c r="B1397" i="19"/>
  <c r="O1300" i="19"/>
  <c r="M1293" i="19"/>
  <c r="BL302" i="22"/>
  <c r="BK302" i="22"/>
  <c r="BO302" i="22"/>
  <c r="BJ302" i="22"/>
  <c r="BI302" i="22"/>
  <c r="BM302" i="22"/>
  <c r="BN302" i="22"/>
  <c r="N328" i="22"/>
  <c r="Y328" i="22" s="1"/>
  <c r="CA328" i="22" s="1"/>
  <c r="L328" i="22"/>
  <c r="AR328" i="22" s="1"/>
  <c r="BM324" i="22"/>
  <c r="BL324" i="22"/>
  <c r="BK324" i="22"/>
  <c r="BJ324" i="22"/>
  <c r="BI324" i="22"/>
  <c r="BO324" i="22"/>
  <c r="BN324" i="22"/>
  <c r="BL320" i="22"/>
  <c r="BJ320" i="22"/>
  <c r="BM320" i="22"/>
  <c r="BK320" i="22"/>
  <c r="BO320" i="22"/>
  <c r="BN320" i="22"/>
  <c r="BI320" i="22"/>
  <c r="G3893" i="19"/>
  <c r="O3893" i="19" s="1"/>
  <c r="O3875" i="19"/>
  <c r="AR275" i="22"/>
  <c r="N275" i="22"/>
  <c r="L275" i="22"/>
  <c r="AV275" i="22" s="1"/>
  <c r="L306" i="22"/>
  <c r="AV306" i="22" s="1"/>
  <c r="N306" i="22"/>
  <c r="N289" i="22"/>
  <c r="L289" i="22"/>
  <c r="AT289" i="22" s="1"/>
  <c r="O3874" i="19"/>
  <c r="L333" i="22"/>
  <c r="AT333" i="22" s="1"/>
  <c r="N333" i="22"/>
  <c r="L329" i="22"/>
  <c r="AV329" i="22" s="1"/>
  <c r="N329" i="22"/>
  <c r="Y329" i="22" s="1"/>
  <c r="CA329" i="22" s="1"/>
  <c r="N325" i="22"/>
  <c r="L325" i="22"/>
  <c r="AT325" i="22" s="1"/>
  <c r="AR325" i="22"/>
  <c r="BK272" i="22"/>
  <c r="BN272" i="22"/>
  <c r="BM272" i="22"/>
  <c r="BL272" i="22"/>
  <c r="BJ272" i="22"/>
  <c r="BI272" i="22"/>
  <c r="BO272" i="22"/>
  <c r="K4273" i="19"/>
  <c r="N286" i="22"/>
  <c r="L286" i="22"/>
  <c r="AV286" i="22" s="1"/>
  <c r="K3019" i="19"/>
  <c r="K3035" i="19" s="1"/>
  <c r="M3566" i="19"/>
  <c r="N3566" i="19" s="1"/>
  <c r="K3003" i="19"/>
  <c r="O3003" i="19" s="1"/>
  <c r="N16" i="22"/>
  <c r="L16" i="22"/>
  <c r="AR16" i="22" s="1"/>
  <c r="E16" i="22"/>
  <c r="CW16" i="22" s="1"/>
  <c r="L13" i="22"/>
  <c r="AR13" i="22" s="1"/>
  <c r="N13" i="22"/>
  <c r="BI12" i="22"/>
  <c r="BO12" i="22"/>
  <c r="BN12" i="22"/>
  <c r="BM12" i="22"/>
  <c r="BL12" i="22"/>
  <c r="BK12" i="22"/>
  <c r="BJ12" i="22"/>
  <c r="N24" i="22"/>
  <c r="L24" i="22"/>
  <c r="AO24" i="22" s="1"/>
  <c r="N7" i="22"/>
  <c r="L7" i="22"/>
  <c r="AR7" i="22" s="1"/>
  <c r="G1639" i="19"/>
  <c r="O1639" i="19" s="1"/>
  <c r="O1621" i="19"/>
  <c r="N479" i="19"/>
  <c r="K492" i="19"/>
  <c r="O492" i="19" s="1"/>
  <c r="K508" i="19"/>
  <c r="K524" i="19" s="1"/>
  <c r="M1116" i="19"/>
  <c r="N1116" i="19" s="1"/>
  <c r="N278" i="22"/>
  <c r="L278" i="22"/>
  <c r="AV278" i="22" s="1"/>
  <c r="L332" i="22"/>
  <c r="AT332" i="22" s="1"/>
  <c r="N332" i="22"/>
  <c r="Y332" i="22" s="1"/>
  <c r="CA332" i="22" s="1"/>
  <c r="E324" i="22"/>
  <c r="BV324" i="22" s="1"/>
  <c r="E271" i="22"/>
  <c r="CW271" i="22" s="1"/>
  <c r="N263" i="22"/>
  <c r="L263" i="22"/>
  <c r="AV263" i="22" s="1"/>
  <c r="AR263" i="22"/>
  <c r="BN304" i="22"/>
  <c r="BM304" i="22"/>
  <c r="BL304" i="22"/>
  <c r="BO304" i="22"/>
  <c r="BK304" i="22"/>
  <c r="BJ304" i="22"/>
  <c r="BI304" i="22"/>
  <c r="O2833" i="19"/>
  <c r="K2833" i="19" s="1"/>
  <c r="O4134" i="19"/>
  <c r="E289" i="22"/>
  <c r="CW289" i="22" s="1"/>
  <c r="O1617" i="19"/>
  <c r="BL284" i="22"/>
  <c r="BO284" i="22"/>
  <c r="BN284" i="22"/>
  <c r="BM284" i="22"/>
  <c r="BK284" i="22"/>
  <c r="BI284" i="22"/>
  <c r="BJ284" i="22"/>
  <c r="E2579" i="19"/>
  <c r="E2598" i="19"/>
  <c r="E2636" i="19" s="1"/>
  <c r="BO325" i="22"/>
  <c r="BN325" i="22"/>
  <c r="BM325" i="22"/>
  <c r="BL325" i="22"/>
  <c r="BK325" i="22"/>
  <c r="BJ325" i="22"/>
  <c r="BI325" i="22"/>
  <c r="E321" i="22"/>
  <c r="CU321" i="22" s="1"/>
  <c r="E317" i="22"/>
  <c r="BV317" i="22" s="1"/>
  <c r="BN291" i="22"/>
  <c r="BM291" i="22"/>
  <c r="BO291" i="22"/>
  <c r="BL291" i="22"/>
  <c r="BK291" i="22"/>
  <c r="BJ291" i="22"/>
  <c r="BI291" i="22"/>
  <c r="BM268" i="22"/>
  <c r="BK268" i="22"/>
  <c r="BJ268" i="22"/>
  <c r="BI268" i="22"/>
  <c r="BO268" i="22"/>
  <c r="BN268" i="22"/>
  <c r="BL268" i="22"/>
  <c r="BK206" i="22"/>
  <c r="BJ206" i="22"/>
  <c r="BL206" i="22"/>
  <c r="BI206" i="22"/>
  <c r="BO206" i="22"/>
  <c r="BN206" i="22"/>
  <c r="BM206" i="22"/>
  <c r="BO274" i="22"/>
  <c r="BN274" i="22"/>
  <c r="BL274" i="22"/>
  <c r="BM274" i="22"/>
  <c r="BK274" i="22"/>
  <c r="BJ274" i="22"/>
  <c r="BI274" i="22"/>
  <c r="K2976" i="19"/>
  <c r="E14" i="22"/>
  <c r="BV14" i="22" s="1"/>
  <c r="CZ11" i="22"/>
  <c r="N19" i="22"/>
  <c r="L19" i="22"/>
  <c r="AV19" i="22" s="1"/>
  <c r="N9" i="22"/>
  <c r="L9" i="22"/>
  <c r="AR9" i="22" s="1"/>
  <c r="CR9" i="22"/>
  <c r="N6" i="22"/>
  <c r="L6" i="22"/>
  <c r="AR6" i="22" s="1"/>
  <c r="O475" i="19"/>
  <c r="O1889" i="19"/>
  <c r="I1217" i="19"/>
  <c r="M4807" i="19"/>
  <c r="N4807" i="19" s="1"/>
  <c r="K4167" i="19"/>
  <c r="K4183" i="19" s="1"/>
  <c r="K4151" i="19"/>
  <c r="O4151" i="19" s="1"/>
  <c r="M4809" i="19"/>
  <c r="N4809" i="19" s="1"/>
  <c r="O4135" i="19"/>
  <c r="K4169" i="19"/>
  <c r="K4185" i="19" s="1"/>
  <c r="K4153" i="19"/>
  <c r="O4153" i="19" s="1"/>
  <c r="O1882" i="19"/>
  <c r="K510" i="19"/>
  <c r="K526" i="19" s="1"/>
  <c r="M1118" i="19"/>
  <c r="N1118" i="19" s="1"/>
  <c r="K494" i="19"/>
  <c r="O494" i="19" s="1"/>
  <c r="M4803" i="19"/>
  <c r="N4803" i="19" s="1"/>
  <c r="K4163" i="19"/>
  <c r="K4147" i="19"/>
  <c r="O4147" i="19" s="1"/>
  <c r="BJ290" i="22"/>
  <c r="BI290" i="22"/>
  <c r="BO290" i="22"/>
  <c r="BN290" i="22"/>
  <c r="BM290" i="22"/>
  <c r="BK290" i="22"/>
  <c r="BL290" i="22"/>
  <c r="M3568" i="19"/>
  <c r="N3568" i="19" s="1"/>
  <c r="K3021" i="19"/>
  <c r="K3037" i="19" s="1"/>
  <c r="O2987" i="19"/>
  <c r="K3005" i="19"/>
  <c r="O3005" i="19" s="1"/>
  <c r="BN332" i="22"/>
  <c r="BL332" i="22"/>
  <c r="BK332" i="22"/>
  <c r="BO332" i="22"/>
  <c r="BI332" i="22"/>
  <c r="BM332" i="22"/>
  <c r="BJ332" i="22"/>
  <c r="BN328" i="22"/>
  <c r="BO328" i="22"/>
  <c r="BM328" i="22"/>
  <c r="BL328" i="22"/>
  <c r="BK328" i="22"/>
  <c r="BJ328" i="22"/>
  <c r="BI328" i="22"/>
  <c r="N309" i="22"/>
  <c r="L309" i="22"/>
  <c r="AR309" i="22" s="1"/>
  <c r="L267" i="22"/>
  <c r="AV267" i="22" s="1"/>
  <c r="N267" i="22"/>
  <c r="AR280" i="22"/>
  <c r="N280" i="22"/>
  <c r="L280" i="22"/>
  <c r="AT280" i="22" s="1"/>
  <c r="AR299" i="22"/>
  <c r="AB299" i="22"/>
  <c r="L299" i="22"/>
  <c r="AT299" i="22" s="1"/>
  <c r="AU299" i="22" s="1"/>
  <c r="N299" i="22"/>
  <c r="Y299" i="22" s="1"/>
  <c r="N2983" i="19"/>
  <c r="K3017" i="19"/>
  <c r="K3033" i="19" s="1"/>
  <c r="O2983" i="19"/>
  <c r="M3564" i="19"/>
  <c r="N3564" i="19" s="1"/>
  <c r="K3001" i="19"/>
  <c r="O3001" i="19" s="1"/>
  <c r="BJ282" i="22"/>
  <c r="BM282" i="22"/>
  <c r="BL282" i="22"/>
  <c r="BK282" i="22"/>
  <c r="BO282" i="22"/>
  <c r="BN282" i="22"/>
  <c r="BI282" i="22"/>
  <c r="BI289" i="22"/>
  <c r="BK289" i="22"/>
  <c r="BJ289" i="22"/>
  <c r="BO289" i="22"/>
  <c r="BN289" i="22"/>
  <c r="BM289" i="22"/>
  <c r="BL289" i="22"/>
  <c r="O1504" i="19"/>
  <c r="BN308" i="22"/>
  <c r="BL308" i="22"/>
  <c r="BJ308" i="22"/>
  <c r="BM308" i="22"/>
  <c r="BK308" i="22"/>
  <c r="BI308" i="22"/>
  <c r="BO308" i="22"/>
  <c r="L317" i="22"/>
  <c r="AT317" i="22" s="1"/>
  <c r="N317" i="22"/>
  <c r="BK266" i="22"/>
  <c r="BM266" i="22"/>
  <c r="BL266" i="22"/>
  <c r="BJ266" i="22"/>
  <c r="BI266" i="22"/>
  <c r="BO266" i="22"/>
  <c r="BN266" i="22"/>
  <c r="G1640" i="19"/>
  <c r="O1640" i="19" s="1"/>
  <c r="O1622" i="19"/>
  <c r="N274" i="22"/>
  <c r="L274" i="22"/>
  <c r="AR274" i="22"/>
  <c r="AB274" i="22"/>
  <c r="M3565" i="19"/>
  <c r="N3565" i="19" s="1"/>
  <c r="K3018" i="19"/>
  <c r="K3034" i="19" s="1"/>
  <c r="K3002" i="19"/>
  <c r="O3002" i="19" s="1"/>
  <c r="N2984" i="19"/>
  <c r="BO17" i="22"/>
  <c r="BN17" i="22"/>
  <c r="BM17" i="22"/>
  <c r="BL17" i="22"/>
  <c r="BK17" i="22"/>
  <c r="BJ17" i="22"/>
  <c r="BI17" i="22"/>
  <c r="N12" i="22"/>
  <c r="L12" i="22"/>
  <c r="BO19" i="22"/>
  <c r="BN19" i="22"/>
  <c r="BM19" i="22"/>
  <c r="BL19" i="22"/>
  <c r="BK19" i="22"/>
  <c r="BJ19" i="22"/>
  <c r="BI19" i="22"/>
  <c r="BJ9" i="22"/>
  <c r="BI9" i="22"/>
  <c r="BO9" i="22"/>
  <c r="BN9" i="22"/>
  <c r="BM9" i="22"/>
  <c r="BL9" i="22"/>
  <c r="BK9" i="22"/>
  <c r="M4805" i="19"/>
  <c r="N4805" i="19" s="1"/>
  <c r="K4165" i="19"/>
  <c r="K4181" i="19" s="1"/>
  <c r="O4131" i="19"/>
  <c r="K4149" i="19"/>
  <c r="O4149" i="19" s="1"/>
  <c r="E203" i="22"/>
  <c r="BV203" i="22" s="1"/>
  <c r="K506" i="19"/>
  <c r="K522" i="19" s="1"/>
  <c r="M1114" i="19"/>
  <c r="N1114" i="19" s="1"/>
  <c r="N472" i="19"/>
  <c r="K490" i="19"/>
  <c r="O490" i="19" s="1"/>
  <c r="E1191" i="19"/>
  <c r="E1210" i="19"/>
  <c r="E1248" i="19" s="1"/>
  <c r="N1886" i="19"/>
  <c r="E1224" i="19"/>
  <c r="I1204" i="19"/>
  <c r="I1224" i="19" s="1"/>
  <c r="B1399" i="19"/>
  <c r="B1385" i="19"/>
  <c r="O3971" i="19"/>
  <c r="K3971" i="19" s="1"/>
  <c r="BL334" i="22"/>
  <c r="BK334" i="22"/>
  <c r="BO334" i="22"/>
  <c r="BJ334" i="22"/>
  <c r="BI334" i="22"/>
  <c r="BM334" i="22"/>
  <c r="BN334" i="22"/>
  <c r="N326" i="22"/>
  <c r="L326" i="22"/>
  <c r="AR326" i="22" s="1"/>
  <c r="BL318" i="22"/>
  <c r="BN318" i="22"/>
  <c r="BJ318" i="22"/>
  <c r="BI318" i="22"/>
  <c r="BO318" i="22"/>
  <c r="BK318" i="22"/>
  <c r="BM318" i="22"/>
  <c r="BI314" i="22"/>
  <c r="BJ314" i="22"/>
  <c r="BO314" i="22"/>
  <c r="BN314" i="22"/>
  <c r="BM314" i="22"/>
  <c r="BL314" i="22"/>
  <c r="BK314" i="22"/>
  <c r="BJ271" i="22"/>
  <c r="BM271" i="22"/>
  <c r="BK271" i="22"/>
  <c r="BI271" i="22"/>
  <c r="BO271" i="22"/>
  <c r="BN271" i="22"/>
  <c r="BL271" i="22"/>
  <c r="B2734" i="19"/>
  <c r="B2824" i="19" s="1"/>
  <c r="B2815" i="19"/>
  <c r="N304" i="22"/>
  <c r="L304" i="22"/>
  <c r="AR304" i="22" s="1"/>
  <c r="BM287" i="22"/>
  <c r="BL287" i="22"/>
  <c r="BK287" i="22"/>
  <c r="BO287" i="22"/>
  <c r="BN287" i="22"/>
  <c r="BJ287" i="22"/>
  <c r="BI287" i="22"/>
  <c r="M4812" i="19"/>
  <c r="N4812" i="19" s="1"/>
  <c r="K4156" i="19"/>
  <c r="O4156" i="19" s="1"/>
  <c r="K4172" i="19"/>
  <c r="K4188" i="19" s="1"/>
  <c r="O2761" i="19"/>
  <c r="G2770" i="19"/>
  <c r="O2770" i="19" s="1"/>
  <c r="BL306" i="22"/>
  <c r="BJ306" i="22"/>
  <c r="BM306" i="22"/>
  <c r="BK306" i="22"/>
  <c r="BI306" i="22"/>
  <c r="BN306" i="22"/>
  <c r="BO306" i="22"/>
  <c r="L282" i="22"/>
  <c r="N282" i="22"/>
  <c r="Y282" i="22" s="1"/>
  <c r="AR282" i="22"/>
  <c r="BN321" i="22"/>
  <c r="BM321" i="22"/>
  <c r="BL321" i="22"/>
  <c r="BK321" i="22"/>
  <c r="BJ321" i="22"/>
  <c r="BI321" i="22"/>
  <c r="BO321" i="22"/>
  <c r="BN317" i="22"/>
  <c r="BL317" i="22"/>
  <c r="BJ317" i="22"/>
  <c r="BO317" i="22"/>
  <c r="BM317" i="22"/>
  <c r="BK317" i="22"/>
  <c r="BI317" i="22"/>
  <c r="BM303" i="22"/>
  <c r="BL303" i="22"/>
  <c r="BK303" i="22"/>
  <c r="BO303" i="22"/>
  <c r="BN303" i="22"/>
  <c r="BJ303" i="22"/>
  <c r="BI303" i="22"/>
  <c r="N270" i="22"/>
  <c r="L270" i="22"/>
  <c r="AR270" i="22" s="1"/>
  <c r="BI298" i="22"/>
  <c r="BL298" i="22"/>
  <c r="BK298" i="22"/>
  <c r="BJ298" i="22"/>
  <c r="BO298" i="22"/>
  <c r="BN298" i="22"/>
  <c r="BM298" i="22"/>
  <c r="E274" i="22"/>
  <c r="BV274" i="22" s="1"/>
  <c r="BN15" i="22"/>
  <c r="BM15" i="22"/>
  <c r="BL15" i="22"/>
  <c r="BK15" i="22"/>
  <c r="BJ15" i="22"/>
  <c r="BI15" i="22"/>
  <c r="BO15" i="22"/>
  <c r="CZ22" i="22"/>
  <c r="N23" i="22"/>
  <c r="L23" i="22"/>
  <c r="AO23" i="22" s="1"/>
  <c r="CR23" i="22"/>
  <c r="BO24" i="22"/>
  <c r="BN24" i="22"/>
  <c r="BM24" i="22"/>
  <c r="BL24" i="22"/>
  <c r="BK24" i="22"/>
  <c r="BJ24" i="22"/>
  <c r="BI24" i="22"/>
  <c r="E7" i="22"/>
  <c r="E2597" i="19"/>
  <c r="N478" i="19"/>
  <c r="K496" i="19"/>
  <c r="O496" i="19" s="1"/>
  <c r="K512" i="19"/>
  <c r="K528" i="19" s="1"/>
  <c r="M1120" i="19"/>
  <c r="N1120" i="19" s="1"/>
  <c r="O478" i="19"/>
  <c r="O2764" i="19"/>
  <c r="G2773" i="19"/>
  <c r="O2773" i="19" s="1"/>
  <c r="E1213" i="19"/>
  <c r="E1251" i="19" s="1"/>
  <c r="BK293" i="22"/>
  <c r="BJ293" i="22"/>
  <c r="BI293" i="22"/>
  <c r="BN293" i="22"/>
  <c r="BO293" i="22"/>
  <c r="BM293" i="22"/>
  <c r="BL293" i="22"/>
  <c r="B1398" i="19"/>
  <c r="B1384" i="19"/>
  <c r="E326" i="22"/>
  <c r="BV326" i="22" s="1"/>
  <c r="AR322" i="22"/>
  <c r="N322" i="22"/>
  <c r="Y322" i="22" s="1"/>
  <c r="L322" i="22"/>
  <c r="AB322" i="22"/>
  <c r="E318" i="22"/>
  <c r="AR314" i="22"/>
  <c r="N314" i="22"/>
  <c r="Y314" i="22" s="1"/>
  <c r="CA314" i="22" s="1"/>
  <c r="L314" i="22"/>
  <c r="AV314" i="22" s="1"/>
  <c r="BI309" i="22"/>
  <c r="BN309" i="22"/>
  <c r="BL309" i="22"/>
  <c r="BO309" i="22"/>
  <c r="BM309" i="22"/>
  <c r="BK309" i="22"/>
  <c r="BJ309" i="22"/>
  <c r="BI285" i="22"/>
  <c r="BJ285" i="22"/>
  <c r="BO285" i="22"/>
  <c r="BM285" i="22"/>
  <c r="BN285" i="22"/>
  <c r="BL285" i="22"/>
  <c r="BK285" i="22"/>
  <c r="N271" i="22"/>
  <c r="L271" i="22"/>
  <c r="AR271" i="22" s="1"/>
  <c r="E263" i="22"/>
  <c r="CW263" i="22" s="1"/>
  <c r="B2833" i="19"/>
  <c r="B2761" i="19"/>
  <c r="B2770" i="19" s="1"/>
  <c r="G1646" i="19"/>
  <c r="O1646" i="19" s="1"/>
  <c r="O1628" i="19"/>
  <c r="E304" i="22"/>
  <c r="CS304" i="22" s="1"/>
  <c r="E280" i="22"/>
  <c r="CV280" i="22" s="1"/>
  <c r="M4810" i="19"/>
  <c r="N4810" i="19" s="1"/>
  <c r="K4170" i="19"/>
  <c r="K4186" i="19" s="1"/>
  <c r="K4154" i="19"/>
  <c r="O4154" i="19" s="1"/>
  <c r="N4136" i="19"/>
  <c r="O4136" i="19"/>
  <c r="K3004" i="19"/>
  <c r="O3004" i="19" s="1"/>
  <c r="M3567" i="19"/>
  <c r="N3567" i="19" s="1"/>
  <c r="K3020" i="19"/>
  <c r="K3036" i="19" s="1"/>
  <c r="AR319" i="22"/>
  <c r="N319" i="22"/>
  <c r="Y319" i="22" s="1"/>
  <c r="L319" i="22"/>
  <c r="BE315" i="22"/>
  <c r="N279" i="22"/>
  <c r="AR279" i="22"/>
  <c r="L279" i="22"/>
  <c r="BI270" i="22"/>
  <c r="BJ270" i="22"/>
  <c r="BO270" i="22"/>
  <c r="BN270" i="22"/>
  <c r="BM270" i="22"/>
  <c r="BL270" i="22"/>
  <c r="BK270" i="22"/>
  <c r="E266" i="22"/>
  <c r="BV266" i="22" s="1"/>
  <c r="K488" i="19"/>
  <c r="O488" i="19" s="1"/>
  <c r="K504" i="19"/>
  <c r="K520" i="19" s="1"/>
  <c r="M1112" i="19"/>
  <c r="N1112" i="19" s="1"/>
  <c r="L20" i="22"/>
  <c r="AR20" i="22" s="1"/>
  <c r="N20" i="22"/>
  <c r="E6" i="22"/>
  <c r="E3657" i="19"/>
  <c r="E3695" i="19" s="1"/>
  <c r="E3638" i="19"/>
  <c r="L203" i="22"/>
  <c r="AV203" i="22" s="1"/>
  <c r="N203" i="22"/>
  <c r="O473" i="19"/>
  <c r="K507" i="19"/>
  <c r="K523" i="19" s="1"/>
  <c r="K491" i="19"/>
  <c r="O491" i="19" s="1"/>
  <c r="M1115" i="19"/>
  <c r="N1115" i="19" s="1"/>
  <c r="I3668" i="19"/>
  <c r="L293" i="22"/>
  <c r="AR293" i="22" s="1"/>
  <c r="N293" i="22"/>
  <c r="K1905" i="19" l="1"/>
  <c r="O1905" i="19" s="1"/>
  <c r="K1921" i="19"/>
  <c r="K1937" i="19" s="1"/>
  <c r="M2503" i="19"/>
  <c r="N2503" i="19" s="1"/>
  <c r="K1908" i="19"/>
  <c r="O1908" i="19" s="1"/>
  <c r="O3611" i="19"/>
  <c r="K1924" i="19"/>
  <c r="K1940" i="19" s="1"/>
  <c r="AN186" i="20"/>
  <c r="AJ191" i="20"/>
  <c r="AP84" i="20"/>
  <c r="AQ173" i="20"/>
  <c r="AM176" i="20"/>
  <c r="AP177" i="20"/>
  <c r="AJ177" i="20"/>
  <c r="AL158" i="20"/>
  <c r="AR158" i="20" s="1"/>
  <c r="W158" i="20" s="1"/>
  <c r="AJ158" i="20"/>
  <c r="AK191" i="20"/>
  <c r="AK157" i="20"/>
  <c r="AP157" i="20"/>
  <c r="BE22" i="20"/>
  <c r="Z105" i="20"/>
  <c r="BB33" i="20"/>
  <c r="O735" i="19" s="1"/>
  <c r="O736" i="19" s="1"/>
  <c r="D733" i="19" s="1"/>
  <c r="H494" i="4" s="1"/>
  <c r="AL173" i="20"/>
  <c r="BA173" i="20" s="1"/>
  <c r="AQ158" i="20"/>
  <c r="AA71" i="20"/>
  <c r="AB116" i="22"/>
  <c r="AJ173" i="20"/>
  <c r="AM173" i="20"/>
  <c r="AM158" i="20"/>
  <c r="AL157" i="20"/>
  <c r="AJ157" i="20"/>
  <c r="AO11" i="20"/>
  <c r="N1885" i="19"/>
  <c r="AK105" i="20"/>
  <c r="BE16" i="20"/>
  <c r="AP44" i="20"/>
  <c r="CG62" i="20"/>
  <c r="AQ84" i="20"/>
  <c r="CC176" i="20"/>
  <c r="AJ189" i="20"/>
  <c r="AQ177" i="20"/>
  <c r="AK177" i="20"/>
  <c r="AQ157" i="20"/>
  <c r="AK11" i="20"/>
  <c r="AO164" i="20"/>
  <c r="AM164" i="20"/>
  <c r="N1890" i="19"/>
  <c r="AB151" i="22"/>
  <c r="N1887" i="19"/>
  <c r="AL84" i="20"/>
  <c r="AO17" i="20"/>
  <c r="AN177" i="20"/>
  <c r="AL177" i="20"/>
  <c r="AP158" i="20"/>
  <c r="AJ164" i="20"/>
  <c r="BF164" i="20" s="1"/>
  <c r="AL105" i="20"/>
  <c r="M2506" i="19"/>
  <c r="N2506" i="19" s="1"/>
  <c r="CW202" i="22"/>
  <c r="CS202" i="22"/>
  <c r="CU202" i="22"/>
  <c r="CV202" i="22"/>
  <c r="M1253" i="19"/>
  <c r="N1253" i="19" s="1"/>
  <c r="O1883" i="19"/>
  <c r="K1901" i="19"/>
  <c r="O1901" i="19" s="1"/>
  <c r="K1917" i="19"/>
  <c r="K1933" i="19" s="1"/>
  <c r="M2499" i="19"/>
  <c r="N2499" i="19" s="1"/>
  <c r="AR260" i="22"/>
  <c r="L260" i="22"/>
  <c r="AV260" i="22" s="1"/>
  <c r="N1888" i="19"/>
  <c r="K1922" i="19"/>
  <c r="K1938" i="19" s="1"/>
  <c r="K1906" i="19"/>
  <c r="O1906" i="19" s="1"/>
  <c r="AX150" i="22"/>
  <c r="K1910" i="19"/>
  <c r="O1910" i="19" s="1"/>
  <c r="O1892" i="19"/>
  <c r="N1892" i="19"/>
  <c r="AB110" i="22"/>
  <c r="AB140" i="22"/>
  <c r="AB114" i="22"/>
  <c r="AB130" i="22"/>
  <c r="M4874" i="19"/>
  <c r="O4874" i="19" s="1"/>
  <c r="M4892" i="19"/>
  <c r="O4892" i="19" s="1"/>
  <c r="O2946" i="19"/>
  <c r="O2950" i="19" s="1"/>
  <c r="M2950" i="19" s="1"/>
  <c r="M2952" i="19" s="1"/>
  <c r="D2949" i="19" s="1"/>
  <c r="H724" i="4" s="1"/>
  <c r="K4277" i="19"/>
  <c r="D4268" i="19" s="1"/>
  <c r="H301" i="4" s="1"/>
  <c r="G3896" i="19"/>
  <c r="O3896" i="19" s="1"/>
  <c r="O1176" i="19"/>
  <c r="N1216" i="19"/>
  <c r="O1196" i="19"/>
  <c r="D4090" i="19"/>
  <c r="H110" i="4" s="1"/>
  <c r="M5270" i="19"/>
  <c r="O3870" i="19"/>
  <c r="O2783" i="19"/>
  <c r="I3664" i="19"/>
  <c r="AK184" i="20"/>
  <c r="AM55" i="20"/>
  <c r="AP167" i="20"/>
  <c r="AP184" i="20"/>
  <c r="AN55" i="20"/>
  <c r="AP23" i="20"/>
  <c r="BE165" i="20"/>
  <c r="CI35" i="20"/>
  <c r="AM184" i="20"/>
  <c r="AK159" i="20"/>
  <c r="CH35" i="20"/>
  <c r="E876" i="19" s="1"/>
  <c r="E878" i="19" s="1"/>
  <c r="D875" i="19" s="1"/>
  <c r="H801" i="4" s="1"/>
  <c r="AQ48" i="20"/>
  <c r="BC107" i="20"/>
  <c r="AP180" i="20"/>
  <c r="AO180" i="20"/>
  <c r="AL180" i="20"/>
  <c r="AN184" i="20"/>
  <c r="BP35" i="20"/>
  <c r="AK84" i="20"/>
  <c r="AJ23" i="20"/>
  <c r="CG35" i="20"/>
  <c r="E872" i="19" s="1"/>
  <c r="BW35" i="20"/>
  <c r="BM66" i="20"/>
  <c r="AO156" i="20"/>
  <c r="AR156" i="20" s="1"/>
  <c r="W156" i="20" s="1"/>
  <c r="AM180" i="20"/>
  <c r="AX180" i="20" s="1"/>
  <c r="AJ184" i="20"/>
  <c r="CA122" i="20"/>
  <c r="AL74" i="20"/>
  <c r="I2611" i="19"/>
  <c r="O2748" i="19"/>
  <c r="D2740" i="19" s="1"/>
  <c r="H63" i="4" s="1"/>
  <c r="BU81" i="20"/>
  <c r="AU131" i="22"/>
  <c r="AW131" i="22" s="1"/>
  <c r="BD131" i="22"/>
  <c r="AX131" i="22"/>
  <c r="AU139" i="22"/>
  <c r="AW139" i="22" s="1"/>
  <c r="AX139" i="22"/>
  <c r="AU125" i="22"/>
  <c r="AW125" i="22" s="1"/>
  <c r="AX125" i="22"/>
  <c r="AU140" i="22"/>
  <c r="AW140" i="22" s="1"/>
  <c r="AX140" i="22"/>
  <c r="AJ54" i="20"/>
  <c r="AP58" i="20"/>
  <c r="O4102" i="19"/>
  <c r="M4102" i="19" s="1"/>
  <c r="M4104" i="19" s="1"/>
  <c r="D4100" i="19" s="1"/>
  <c r="H733" i="4" s="1"/>
  <c r="AN24" i="20"/>
  <c r="AJ52" i="20"/>
  <c r="AN81" i="20"/>
  <c r="BE68" i="20"/>
  <c r="AA105" i="20"/>
  <c r="BW105" i="20"/>
  <c r="BV105" i="20"/>
  <c r="BU105" i="20"/>
  <c r="AJ149" i="20"/>
  <c r="BE23" i="20"/>
  <c r="BU102" i="20"/>
  <c r="BV102" i="20"/>
  <c r="BW102" i="20"/>
  <c r="BO35" i="20"/>
  <c r="BO37" i="20" s="1"/>
  <c r="BW111" i="20"/>
  <c r="BV111" i="20"/>
  <c r="BU111" i="20"/>
  <c r="AM149" i="20"/>
  <c r="AQ7" i="20"/>
  <c r="AN149" i="20"/>
  <c r="AL24" i="20"/>
  <c r="AH120" i="20"/>
  <c r="AN58" i="20"/>
  <c r="AN68" i="20"/>
  <c r="AO100" i="20"/>
  <c r="AU110" i="22"/>
  <c r="AW110" i="22" s="1"/>
  <c r="AX110" i="22"/>
  <c r="AK8" i="20"/>
  <c r="AN189" i="20"/>
  <c r="V183" i="20"/>
  <c r="AO149" i="20"/>
  <c r="AJ47" i="20"/>
  <c r="AA149" i="20"/>
  <c r="AO82" i="20"/>
  <c r="AU147" i="22"/>
  <c r="AW147" i="22" s="1"/>
  <c r="AX147" i="22"/>
  <c r="CK159" i="20"/>
  <c r="BS35" i="20"/>
  <c r="AQ58" i="20"/>
  <c r="AJ58" i="20"/>
  <c r="AL55" i="20"/>
  <c r="AB119" i="22"/>
  <c r="CL159" i="20"/>
  <c r="AM199" i="23"/>
  <c r="AB144" i="22"/>
  <c r="AB117" i="22"/>
  <c r="AK149" i="20"/>
  <c r="BC111" i="20"/>
  <c r="BE111" i="20" s="1"/>
  <c r="BM111" i="20"/>
  <c r="AU119" i="22"/>
  <c r="AW119" i="22" s="1"/>
  <c r="AX119" i="22"/>
  <c r="BW109" i="20"/>
  <c r="BV109" i="20"/>
  <c r="BU109" i="20"/>
  <c r="AP149" i="20"/>
  <c r="AO54" i="20"/>
  <c r="AL47" i="20"/>
  <c r="AM95" i="23"/>
  <c r="AQ82" i="20"/>
  <c r="CI115" i="20"/>
  <c r="CH115" i="20"/>
  <c r="CH122" i="20" s="1"/>
  <c r="E3330" i="19" s="1"/>
  <c r="E3332" i="19" s="1"/>
  <c r="D3329" i="19" s="1"/>
  <c r="H812" i="4" s="1"/>
  <c r="CG115" i="20"/>
  <c r="AU117" i="22"/>
  <c r="AW117" i="22" s="1"/>
  <c r="AX117" i="22"/>
  <c r="AU130" i="22"/>
  <c r="AW130" i="22" s="1"/>
  <c r="AX130" i="22"/>
  <c r="AQ149" i="20"/>
  <c r="AW120" i="20"/>
  <c r="O3281" i="19" s="1"/>
  <c r="BM103" i="20"/>
  <c r="AN54" i="23"/>
  <c r="AU144" i="22"/>
  <c r="AW144" i="22" s="1"/>
  <c r="AX144" i="22"/>
  <c r="AB131" i="22"/>
  <c r="AB147" i="22"/>
  <c r="BW106" i="20"/>
  <c r="BU106" i="20"/>
  <c r="BV106" i="20"/>
  <c r="BR35" i="20"/>
  <c r="BR37" i="20" s="1"/>
  <c r="AO66" i="20"/>
  <c r="AL149" i="20"/>
  <c r="AJ105" i="20"/>
  <c r="AB125" i="22"/>
  <c r="AU114" i="22"/>
  <c r="AW114" i="22" s="1"/>
  <c r="AX114" i="22"/>
  <c r="CZ260" i="22"/>
  <c r="CZ356" i="22" s="1"/>
  <c r="O4239" i="19" s="1"/>
  <c r="O4244" i="19" s="1"/>
  <c r="O4246" i="19" s="1"/>
  <c r="BZ209" i="22"/>
  <c r="I340" i="22"/>
  <c r="BE340" i="22" s="1"/>
  <c r="CM314" i="22"/>
  <c r="CM328" i="22"/>
  <c r="CB245" i="22"/>
  <c r="BY207" i="22"/>
  <c r="CO207" i="22" s="1"/>
  <c r="CQ207" i="22" s="1"/>
  <c r="BY234" i="22"/>
  <c r="CO234" i="22" s="1"/>
  <c r="CQ234" i="22" s="1"/>
  <c r="AG149" i="22"/>
  <c r="BY347" i="22"/>
  <c r="CO347" i="22" s="1"/>
  <c r="CP347" i="22" s="1"/>
  <c r="CM307" i="22"/>
  <c r="BZ347" i="22"/>
  <c r="CD347" i="22" s="1"/>
  <c r="CM342" i="22"/>
  <c r="CB347" i="22"/>
  <c r="CM302" i="22"/>
  <c r="I347" i="22"/>
  <c r="CB209" i="22"/>
  <c r="I311" i="22"/>
  <c r="BE311" i="22" s="1"/>
  <c r="CB340" i="22"/>
  <c r="CM332" i="22"/>
  <c r="CM329" i="22"/>
  <c r="BY209" i="22"/>
  <c r="CO209" i="22" s="1"/>
  <c r="CP209" i="22" s="1"/>
  <c r="CB311" i="22"/>
  <c r="BZ340" i="22"/>
  <c r="CC340" i="22" s="1"/>
  <c r="I209" i="22"/>
  <c r="BR209" i="22" s="1"/>
  <c r="BY340" i="22"/>
  <c r="CO340" i="22" s="1"/>
  <c r="CQ340" i="22" s="1"/>
  <c r="BV307" i="22"/>
  <c r="CB207" i="22"/>
  <c r="BV310" i="22"/>
  <c r="I207" i="22"/>
  <c r="AI207" i="22" s="1"/>
  <c r="I234" i="22"/>
  <c r="AI234" i="22" s="1"/>
  <c r="BZ207" i="22"/>
  <c r="CD207" i="22" s="1"/>
  <c r="AG127" i="22"/>
  <c r="BZ245" i="22"/>
  <c r="CD245" i="22" s="1"/>
  <c r="I245" i="22"/>
  <c r="BR245" i="22" s="1"/>
  <c r="CM353" i="22"/>
  <c r="BY245" i="22"/>
  <c r="CO245" i="22" s="1"/>
  <c r="CQ245" i="22" s="1"/>
  <c r="CR12" i="22"/>
  <c r="BV328" i="22"/>
  <c r="AO309" i="22"/>
  <c r="AO330" i="22"/>
  <c r="AO355" i="22"/>
  <c r="AO353" i="22"/>
  <c r="AO307" i="22"/>
  <c r="BD307" i="22" s="1"/>
  <c r="AO314" i="22"/>
  <c r="AO302" i="22"/>
  <c r="BD302" i="22" s="1"/>
  <c r="AO328" i="22"/>
  <c r="AO308" i="22"/>
  <c r="BD308" i="22" s="1"/>
  <c r="BZ332" i="22"/>
  <c r="CF332" i="22" s="1"/>
  <c r="AO329" i="22"/>
  <c r="AO284" i="22"/>
  <c r="BD284" i="22" s="1"/>
  <c r="AO331" i="22"/>
  <c r="AO310" i="22"/>
  <c r="BD310" i="22" s="1"/>
  <c r="BV342" i="22"/>
  <c r="AO311" i="22"/>
  <c r="AO333" i="22"/>
  <c r="BD333" i="22" s="1"/>
  <c r="AO332" i="22"/>
  <c r="BD332" i="22" s="1"/>
  <c r="AO342" i="22"/>
  <c r="AO283" i="22"/>
  <c r="AO301" i="22"/>
  <c r="G2772" i="19"/>
  <c r="O2772" i="19" s="1"/>
  <c r="M1294" i="19"/>
  <c r="G1647" i="19"/>
  <c r="O1647" i="19" s="1"/>
  <c r="O3871" i="19"/>
  <c r="N4143" i="19"/>
  <c r="D4126" i="19" s="1"/>
  <c r="H227" i="4" s="1"/>
  <c r="CB39" i="22"/>
  <c r="CB217" i="22"/>
  <c r="I225" i="22"/>
  <c r="AL225" i="22" s="1"/>
  <c r="BZ225" i="22"/>
  <c r="CC225" i="22" s="1"/>
  <c r="I77" i="22"/>
  <c r="BS77" i="22" s="1"/>
  <c r="BY345" i="22"/>
  <c r="CO345" i="22" s="1"/>
  <c r="CP345" i="22" s="1"/>
  <c r="AV344" i="22"/>
  <c r="CB345" i="22"/>
  <c r="CZ200" i="22"/>
  <c r="I344" i="22"/>
  <c r="AI344" i="22" s="1"/>
  <c r="CB64" i="22"/>
  <c r="I64" i="22"/>
  <c r="BS64" i="22" s="1"/>
  <c r="CU338" i="22"/>
  <c r="I239" i="22"/>
  <c r="J239" i="22" s="1"/>
  <c r="BY239" i="22"/>
  <c r="CO239" i="22" s="1"/>
  <c r="CP239" i="22" s="1"/>
  <c r="BZ239" i="22"/>
  <c r="CD239" i="22" s="1"/>
  <c r="CB239" i="22"/>
  <c r="AJ73" i="20"/>
  <c r="AC189" i="20"/>
  <c r="AJ116" i="20"/>
  <c r="AJ66" i="20"/>
  <c r="AO23" i="20"/>
  <c r="BC142" i="20"/>
  <c r="BE142" i="20" s="1"/>
  <c r="BM142" i="20"/>
  <c r="AN152" i="20"/>
  <c r="AP47" i="20"/>
  <c r="AO73" i="20"/>
  <c r="BE69" i="20"/>
  <c r="AK147" i="20"/>
  <c r="AO189" i="20"/>
  <c r="AN116" i="20"/>
  <c r="AJ174" i="20"/>
  <c r="BE47" i="20"/>
  <c r="AJ152" i="20"/>
  <c r="AK182" i="20"/>
  <c r="AJ7" i="20"/>
  <c r="AP7" i="20"/>
  <c r="AD189" i="20"/>
  <c r="AL80" i="20"/>
  <c r="AP116" i="20"/>
  <c r="AA23" i="20"/>
  <c r="AK66" i="20"/>
  <c r="AQ66" i="20"/>
  <c r="AN83" i="20"/>
  <c r="AO152" i="20"/>
  <c r="CK162" i="20"/>
  <c r="V168" i="20"/>
  <c r="AT171" i="20"/>
  <c r="BE171" i="20" s="1"/>
  <c r="AP189" i="20"/>
  <c r="AK116" i="20"/>
  <c r="BE10" i="20"/>
  <c r="AT67" i="20"/>
  <c r="AE189" i="20"/>
  <c r="AR16" i="20"/>
  <c r="W16" i="20" s="1"/>
  <c r="AJ84" i="20"/>
  <c r="AL182" i="20"/>
  <c r="AC169" i="20"/>
  <c r="AK7" i="20"/>
  <c r="AQ189" i="20"/>
  <c r="AQ116" i="20"/>
  <c r="AL66" i="20"/>
  <c r="AM68" i="20"/>
  <c r="AG189" i="20"/>
  <c r="AL116" i="20"/>
  <c r="BE18" i="20"/>
  <c r="AO174" i="20"/>
  <c r="BE164" i="20"/>
  <c r="AL189" i="20"/>
  <c r="AP80" i="20"/>
  <c r="AM116" i="20"/>
  <c r="BE64" i="20"/>
  <c r="AL100" i="20"/>
  <c r="AF189" i="20"/>
  <c r="AA88" i="20"/>
  <c r="AD169" i="20"/>
  <c r="AM66" i="20"/>
  <c r="AL73" i="20"/>
  <c r="AN182" i="20"/>
  <c r="AI189" i="20"/>
  <c r="AK144" i="20"/>
  <c r="AL88" i="20"/>
  <c r="V20" i="20"/>
  <c r="AN66" i="20"/>
  <c r="AJ72" i="20"/>
  <c r="AN74" i="20"/>
  <c r="AK152" i="20"/>
  <c r="CK21" i="20"/>
  <c r="AH189" i="20"/>
  <c r="AH174" i="20"/>
  <c r="AL141" i="20"/>
  <c r="AN7" i="20"/>
  <c r="AQ80" i="20"/>
  <c r="AO116" i="20"/>
  <c r="AM53" i="20"/>
  <c r="AQ169" i="20"/>
  <c r="AP174" i="20"/>
  <c r="AH74" i="20"/>
  <c r="AL179" i="20"/>
  <c r="O1613" i="19"/>
  <c r="D1596" i="19" s="1"/>
  <c r="H497" i="4" s="1"/>
  <c r="O1595" i="19"/>
  <c r="D1578" i="19" s="1"/>
  <c r="H60" i="4" s="1"/>
  <c r="L22" i="4"/>
  <c r="L377" i="4"/>
  <c r="CV338" i="22"/>
  <c r="CS335" i="22"/>
  <c r="CV216" i="22"/>
  <c r="BV234" i="22"/>
  <c r="BV222" i="22"/>
  <c r="CS57" i="22"/>
  <c r="CS37" i="22"/>
  <c r="CS271" i="22"/>
  <c r="CU267" i="22"/>
  <c r="CU331" i="22"/>
  <c r="CR347" i="22"/>
  <c r="CR354" i="22"/>
  <c r="CW72" i="22"/>
  <c r="CW280" i="22"/>
  <c r="CX356" i="22"/>
  <c r="E4794" i="19" s="1"/>
  <c r="E4796" i="19" s="1"/>
  <c r="D4793" i="19" s="1"/>
  <c r="H493" i="4" s="1"/>
  <c r="CY260" i="22"/>
  <c r="BV332" i="22"/>
  <c r="CU228" i="22"/>
  <c r="CV237" i="22"/>
  <c r="CV233" i="22"/>
  <c r="CS34" i="22"/>
  <c r="CU31" i="22"/>
  <c r="CR321" i="22"/>
  <c r="CR292" i="22"/>
  <c r="CV12" i="22"/>
  <c r="CU15" i="22"/>
  <c r="CR227" i="22"/>
  <c r="BV243" i="22"/>
  <c r="CW312" i="22"/>
  <c r="CU290" i="22"/>
  <c r="CS36" i="22"/>
  <c r="CS17" i="22"/>
  <c r="CV30" i="22"/>
  <c r="BV13" i="22"/>
  <c r="CR343" i="22"/>
  <c r="BV214" i="22"/>
  <c r="CW261" i="22"/>
  <c r="CS328" i="22"/>
  <c r="CU288" i="22"/>
  <c r="CV336" i="22"/>
  <c r="CS349" i="22"/>
  <c r="BV236" i="22"/>
  <c r="CU329" i="22"/>
  <c r="CS67" i="22"/>
  <c r="CW39" i="22"/>
  <c r="CV279" i="22"/>
  <c r="BV340" i="22"/>
  <c r="CV211" i="22"/>
  <c r="BV215" i="22"/>
  <c r="CW229" i="22"/>
  <c r="CU241" i="22"/>
  <c r="CV24" i="22"/>
  <c r="CW83" i="22"/>
  <c r="CS203" i="22"/>
  <c r="CR282" i="22"/>
  <c r="BV239" i="22"/>
  <c r="CS264" i="22"/>
  <c r="BV302" i="22"/>
  <c r="BV281" i="22"/>
  <c r="BJ200" i="22"/>
  <c r="BJ246" i="22" s="1"/>
  <c r="BV200" i="22"/>
  <c r="CV200" i="22"/>
  <c r="CU200" i="22"/>
  <c r="CS200" i="22"/>
  <c r="BX200" i="22"/>
  <c r="BW200" i="22"/>
  <c r="CX200" i="22"/>
  <c r="CW200" i="22"/>
  <c r="CI200" i="22"/>
  <c r="CT200" i="22" s="1"/>
  <c r="CT246" i="22" s="1"/>
  <c r="O3552" i="19" s="1"/>
  <c r="O3554" i="19" s="1"/>
  <c r="O3582" i="19" s="1"/>
  <c r="CN200" i="22"/>
  <c r="BV338" i="22"/>
  <c r="CS345" i="22"/>
  <c r="BV216" i="22"/>
  <c r="CS74" i="22"/>
  <c r="CV267" i="22"/>
  <c r="CS33" i="22"/>
  <c r="BV20" i="22"/>
  <c r="CR290" i="22"/>
  <c r="CV321" i="22"/>
  <c r="BV263" i="22"/>
  <c r="CV228" i="22"/>
  <c r="CU242" i="22"/>
  <c r="BV207" i="22"/>
  <c r="BV16" i="22"/>
  <c r="CV31" i="22"/>
  <c r="CS41" i="22"/>
  <c r="CV347" i="22"/>
  <c r="CV353" i="22"/>
  <c r="CS227" i="22"/>
  <c r="CW12" i="22"/>
  <c r="CV15" i="22"/>
  <c r="CS32" i="22"/>
  <c r="CS54" i="22"/>
  <c r="CV290" i="22"/>
  <c r="CU296" i="22"/>
  <c r="CW30" i="22"/>
  <c r="CU303" i="22"/>
  <c r="CV288" i="22"/>
  <c r="CW336" i="22"/>
  <c r="BV232" i="22"/>
  <c r="CS85" i="22"/>
  <c r="CU323" i="22"/>
  <c r="CS270" i="22"/>
  <c r="CW225" i="22"/>
  <c r="CS73" i="22"/>
  <c r="CU287" i="22"/>
  <c r="CW279" i="22"/>
  <c r="BV211" i="22"/>
  <c r="CW219" i="22"/>
  <c r="CS205" i="22"/>
  <c r="CW19" i="22"/>
  <c r="CS293" i="22"/>
  <c r="CS311" i="22"/>
  <c r="CS354" i="22"/>
  <c r="CS231" i="22"/>
  <c r="CV241" i="22"/>
  <c r="CW24" i="22"/>
  <c r="CR335" i="22"/>
  <c r="CS81" i="22"/>
  <c r="CW281" i="22"/>
  <c r="CW6" i="22"/>
  <c r="CV6" i="22"/>
  <c r="CU6" i="22"/>
  <c r="BV6" i="22"/>
  <c r="CS6" i="22"/>
  <c r="L200" i="22"/>
  <c r="AR200" i="22" s="1"/>
  <c r="CR200" i="22"/>
  <c r="CW338" i="22"/>
  <c r="CU335" i="22"/>
  <c r="CS226" i="22"/>
  <c r="CU57" i="22"/>
  <c r="CS35" i="22"/>
  <c r="CU271" i="22"/>
  <c r="CS40" i="22"/>
  <c r="CS11" i="22"/>
  <c r="BV280" i="22"/>
  <c r="CR278" i="22"/>
  <c r="CS268" i="22"/>
  <c r="CS343" i="22"/>
  <c r="CW237" i="22"/>
  <c r="CV242" i="22"/>
  <c r="BV245" i="22"/>
  <c r="CS16" i="22"/>
  <c r="CU34" i="22"/>
  <c r="CW31" i="22"/>
  <c r="CW347" i="22"/>
  <c r="CW353" i="22"/>
  <c r="BV15" i="22"/>
  <c r="CS278" i="22"/>
  <c r="CU309" i="22"/>
  <c r="CW290" i="22"/>
  <c r="CV296" i="22"/>
  <c r="CU36" i="22"/>
  <c r="CU17" i="22"/>
  <c r="CW240" i="22"/>
  <c r="CW214" i="22"/>
  <c r="CS53" i="22"/>
  <c r="BV261" i="22"/>
  <c r="CU328" i="22"/>
  <c r="CV303" i="22"/>
  <c r="CW288" i="22"/>
  <c r="CU349" i="22"/>
  <c r="CU315" i="22"/>
  <c r="CW238" i="22"/>
  <c r="CU67" i="22"/>
  <c r="CS39" i="22"/>
  <c r="CV287" i="22"/>
  <c r="CU308" i="22"/>
  <c r="BV273" i="22"/>
  <c r="CW9" i="22"/>
  <c r="CU203" i="22"/>
  <c r="BV285" i="22"/>
  <c r="CU264" i="22"/>
  <c r="CS302" i="22"/>
  <c r="CZ109" i="22"/>
  <c r="CU345" i="22"/>
  <c r="CS209" i="22"/>
  <c r="CS68" i="22"/>
  <c r="CV57" i="22"/>
  <c r="CU74" i="22"/>
  <c r="CU37" i="22"/>
  <c r="CV271" i="22"/>
  <c r="CS43" i="22"/>
  <c r="CU33" i="22"/>
  <c r="CW321" i="22"/>
  <c r="CS263" i="22"/>
  <c r="CW228" i="22"/>
  <c r="BV242" i="22"/>
  <c r="CW233" i="22"/>
  <c r="CV34" i="22"/>
  <c r="CU41" i="22"/>
  <c r="BV289" i="22"/>
  <c r="CU227" i="22"/>
  <c r="BV12" i="22"/>
  <c r="CS350" i="22"/>
  <c r="CS224" i="22"/>
  <c r="CU54" i="22"/>
  <c r="CV309" i="22"/>
  <c r="CW296" i="22"/>
  <c r="CV36" i="22"/>
  <c r="CV17" i="22"/>
  <c r="CS22" i="22"/>
  <c r="CV328" i="22"/>
  <c r="BV303" i="22"/>
  <c r="BV288" i="22"/>
  <c r="CW236" i="22"/>
  <c r="CW27" i="22"/>
  <c r="CU85" i="22"/>
  <c r="CV333" i="22"/>
  <c r="CS301" i="22"/>
  <c r="CW56" i="22"/>
  <c r="CU73" i="22"/>
  <c r="CV67" i="22"/>
  <c r="CW287" i="22"/>
  <c r="CR315" i="22"/>
  <c r="CR329" i="22"/>
  <c r="CW211" i="22"/>
  <c r="CU205" i="22"/>
  <c r="CS19" i="22"/>
  <c r="CU293" i="22"/>
  <c r="BV277" i="22"/>
  <c r="CU354" i="22"/>
  <c r="CW241" i="22"/>
  <c r="CS239" i="22"/>
  <c r="CS14" i="22"/>
  <c r="CV264" i="22"/>
  <c r="CU306" i="22"/>
  <c r="N109" i="22"/>
  <c r="CR109" i="22"/>
  <c r="CW216" i="22"/>
  <c r="CS25" i="22"/>
  <c r="CW57" i="22"/>
  <c r="CV74" i="22"/>
  <c r="CU35" i="22"/>
  <c r="CR304" i="22"/>
  <c r="BV346" i="22"/>
  <c r="CS72" i="22"/>
  <c r="CU40" i="22"/>
  <c r="CU11" i="22"/>
  <c r="CS291" i="22"/>
  <c r="CU268" i="22"/>
  <c r="CU343" i="22"/>
  <c r="BV237" i="22"/>
  <c r="CU16" i="22"/>
  <c r="CS314" i="22"/>
  <c r="CS289" i="22"/>
  <c r="BV347" i="22"/>
  <c r="CS353" i="22"/>
  <c r="CW29" i="22"/>
  <c r="CU304" i="22"/>
  <c r="CU278" i="22"/>
  <c r="CS330" i="22"/>
  <c r="CS243" i="22"/>
  <c r="CS26" i="22"/>
  <c r="CS86" i="22"/>
  <c r="CU32" i="22"/>
  <c r="CV54" i="22"/>
  <c r="CW309" i="22"/>
  <c r="CS312" i="22"/>
  <c r="BV290" i="22"/>
  <c r="CW36" i="22"/>
  <c r="BV17" i="22"/>
  <c r="CS18" i="22"/>
  <c r="BV204" i="22"/>
  <c r="CS283" i="22"/>
  <c r="CS292" i="22"/>
  <c r="CV337" i="22"/>
  <c r="CU53" i="22"/>
  <c r="CS261" i="22"/>
  <c r="CW328" i="22"/>
  <c r="CW303" i="22"/>
  <c r="CS232" i="22"/>
  <c r="CW244" i="22"/>
  <c r="CS213" i="22"/>
  <c r="CV85" i="22"/>
  <c r="CU270" i="22"/>
  <c r="CS66" i="22"/>
  <c r="CV73" i="22"/>
  <c r="CW67" i="22"/>
  <c r="CU39" i="22"/>
  <c r="CR261" i="22"/>
  <c r="CS215" i="22"/>
  <c r="CV205" i="22"/>
  <c r="CS44" i="22"/>
  <c r="CV293" i="22"/>
  <c r="CV308" i="22"/>
  <c r="CS277" i="22"/>
  <c r="CU311" i="22"/>
  <c r="CV354" i="22"/>
  <c r="CU231" i="22"/>
  <c r="CV203" i="22"/>
  <c r="CS285" i="22"/>
  <c r="CW82" i="22"/>
  <c r="CS65" i="22"/>
  <c r="CU81" i="22"/>
  <c r="BV264" i="22"/>
  <c r="CU226" i="22"/>
  <c r="CS21" i="22"/>
  <c r="CU68" i="22"/>
  <c r="CV331" i="22"/>
  <c r="CS346" i="22"/>
  <c r="CU43" i="22"/>
  <c r="CV40" i="22"/>
  <c r="CV11" i="22"/>
  <c r="CS298" i="22"/>
  <c r="BV260" i="22"/>
  <c r="CV268" i="22"/>
  <c r="CU263" i="22"/>
  <c r="BV343" i="22"/>
  <c r="BV228" i="22"/>
  <c r="CS245" i="22"/>
  <c r="CS55" i="22"/>
  <c r="CV16" i="22"/>
  <c r="CU289" i="22"/>
  <c r="BV353" i="22"/>
  <c r="CV227" i="22"/>
  <c r="CV278" i="22"/>
  <c r="BV344" i="22"/>
  <c r="CU350" i="22"/>
  <c r="CU224" i="22"/>
  <c r="CS84" i="22"/>
  <c r="CV32" i="22"/>
  <c r="CW355" i="22"/>
  <c r="CW337" i="22"/>
  <c r="CS38" i="22"/>
  <c r="CU22" i="22"/>
  <c r="CW85" i="22"/>
  <c r="CV329" i="22"/>
  <c r="CW333" i="22"/>
  <c r="CU301" i="22"/>
  <c r="CV270" i="22"/>
  <c r="CS56" i="22"/>
  <c r="CW73" i="22"/>
  <c r="CR328" i="22"/>
  <c r="CS219" i="22"/>
  <c r="CW205" i="22"/>
  <c r="CU19" i="22"/>
  <c r="CW293" i="22"/>
  <c r="CU277" i="22"/>
  <c r="CV311" i="22"/>
  <c r="CW354" i="22"/>
  <c r="CV231" i="22"/>
  <c r="BV241" i="22"/>
  <c r="CS266" i="22"/>
  <c r="CU14" i="22"/>
  <c r="CV81" i="22"/>
  <c r="CS284" i="22"/>
  <c r="CS282" i="22"/>
  <c r="CV306" i="22"/>
  <c r="CS234" i="22"/>
  <c r="CS222" i="22"/>
  <c r="CV226" i="22"/>
  <c r="CU209" i="22"/>
  <c r="CU25" i="22"/>
  <c r="CV68" i="22"/>
  <c r="CV43" i="22"/>
  <c r="CU72" i="22"/>
  <c r="CW40" i="22"/>
  <c r="CV33" i="22"/>
  <c r="CS300" i="22"/>
  <c r="CU291" i="22"/>
  <c r="CW268" i="22"/>
  <c r="CV263" i="22"/>
  <c r="CR353" i="22"/>
  <c r="BV233" i="22"/>
  <c r="CU314" i="22"/>
  <c r="CV289" i="22"/>
  <c r="CS347" i="22"/>
  <c r="BV227" i="22"/>
  <c r="CS28" i="22"/>
  <c r="CV304" i="22"/>
  <c r="CW278" i="22"/>
  <c r="CU330" i="22"/>
  <c r="CV350" i="22"/>
  <c r="CU243" i="22"/>
  <c r="CU26" i="22"/>
  <c r="CU86" i="22"/>
  <c r="CW32" i="22"/>
  <c r="CR336" i="22"/>
  <c r="CW13" i="22"/>
  <c r="CU18" i="22"/>
  <c r="CU283" i="22"/>
  <c r="CS240" i="22"/>
  <c r="CV22" i="22"/>
  <c r="CV53" i="22"/>
  <c r="CU261" i="22"/>
  <c r="CU232" i="22"/>
  <c r="CS244" i="22"/>
  <c r="CU213" i="22"/>
  <c r="CS27" i="22"/>
  <c r="CV323" i="22"/>
  <c r="CV301" i="22"/>
  <c r="CW270" i="22"/>
  <c r="CS225" i="22"/>
  <c r="CS238" i="22"/>
  <c r="CU66" i="22"/>
  <c r="CS340" i="22"/>
  <c r="CU215" i="22"/>
  <c r="CS229" i="22"/>
  <c r="CU44" i="22"/>
  <c r="CV19" i="22"/>
  <c r="CW308" i="22"/>
  <c r="BV231" i="22"/>
  <c r="CW203" i="22"/>
  <c r="CU285" i="22"/>
  <c r="CU239" i="22"/>
  <c r="CS69" i="22"/>
  <c r="CU65" i="22"/>
  <c r="CV14" i="22"/>
  <c r="CW81" i="22"/>
  <c r="CW306" i="22"/>
  <c r="CV345" i="22"/>
  <c r="CV335" i="22"/>
  <c r="CW226" i="22"/>
  <c r="CV209" i="22"/>
  <c r="CU21" i="22"/>
  <c r="CV25" i="22"/>
  <c r="BV271" i="22"/>
  <c r="CW267" i="22"/>
  <c r="CW331" i="22"/>
  <c r="CU346" i="22"/>
  <c r="CW43" i="22"/>
  <c r="CV72" i="22"/>
  <c r="CS87" i="22"/>
  <c r="CS20" i="22"/>
  <c r="CU298" i="22"/>
  <c r="CT356" i="22"/>
  <c r="O4798" i="19" s="1"/>
  <c r="O4800" i="19" s="1"/>
  <c r="D4797" i="19" s="1"/>
  <c r="H204" i="4" s="1"/>
  <c r="BV291" i="22"/>
  <c r="CS321" i="22"/>
  <c r="CW242" i="22"/>
  <c r="CU245" i="22"/>
  <c r="CS207" i="22"/>
  <c r="CS233" i="22"/>
  <c r="CU55" i="22"/>
  <c r="CV314" i="22"/>
  <c r="BV327" i="22"/>
  <c r="CS29" i="22"/>
  <c r="CW304" i="22"/>
  <c r="CV330" i="22"/>
  <c r="BV350" i="22"/>
  <c r="CV224" i="22"/>
  <c r="CV26" i="22"/>
  <c r="CU84" i="22"/>
  <c r="CV86" i="22"/>
  <c r="BV223" i="22"/>
  <c r="CV18" i="22"/>
  <c r="CV283" i="22"/>
  <c r="CU292" i="22"/>
  <c r="BV337" i="22"/>
  <c r="CU38" i="22"/>
  <c r="CW22" i="22"/>
  <c r="CW53" i="22"/>
  <c r="CV261" i="22"/>
  <c r="CV349" i="22"/>
  <c r="CV232" i="22"/>
  <c r="CV315" i="22"/>
  <c r="CW323" i="22"/>
  <c r="CW329" i="22"/>
  <c r="CW301" i="22"/>
  <c r="CU56" i="22"/>
  <c r="CV66" i="22"/>
  <c r="BV334" i="22"/>
  <c r="CV44" i="22"/>
  <c r="BV19" i="22"/>
  <c r="CV277" i="22"/>
  <c r="CW311" i="22"/>
  <c r="CS83" i="22"/>
  <c r="CS9" i="22"/>
  <c r="CV285" i="22"/>
  <c r="CU266" i="22"/>
  <c r="CV239" i="22"/>
  <c r="CS82" i="22"/>
  <c r="CV65" i="22"/>
  <c r="CW14" i="22"/>
  <c r="CW335" i="22"/>
  <c r="CU234" i="22"/>
  <c r="CU222" i="22"/>
  <c r="CW209" i="22"/>
  <c r="CV21" i="22"/>
  <c r="CS280" i="22"/>
  <c r="CU300" i="22"/>
  <c r="CV298" i="22"/>
  <c r="CV291" i="22"/>
  <c r="BV268" i="22"/>
  <c r="CS237" i="22"/>
  <c r="CV245" i="22"/>
  <c r="CV55" i="22"/>
  <c r="BV314" i="22"/>
  <c r="CW227" i="22"/>
  <c r="CW15" i="22"/>
  <c r="CW330" i="22"/>
  <c r="CV243" i="22"/>
  <c r="CW26" i="22"/>
  <c r="CV84" i="22"/>
  <c r="CR349" i="22"/>
  <c r="CS13" i="22"/>
  <c r="CW18" i="22"/>
  <c r="CV292" i="22"/>
  <c r="CU240" i="22"/>
  <c r="CS214" i="22"/>
  <c r="CV38" i="22"/>
  <c r="CS336" i="22"/>
  <c r="CW349" i="22"/>
  <c r="CS236" i="22"/>
  <c r="CV213" i="22"/>
  <c r="CU27" i="22"/>
  <c r="CW315" i="22"/>
  <c r="BV270" i="22"/>
  <c r="CU225" i="22"/>
  <c r="CU238" i="22"/>
  <c r="CV56" i="22"/>
  <c r="CS279" i="22"/>
  <c r="CU340" i="22"/>
  <c r="CS211" i="22"/>
  <c r="CV215" i="22"/>
  <c r="CU219" i="22"/>
  <c r="CU229" i="22"/>
  <c r="CR280" i="22"/>
  <c r="CW285" i="22"/>
  <c r="CV266" i="22"/>
  <c r="CU69" i="22"/>
  <c r="CU302" i="22"/>
  <c r="CS281" i="22"/>
  <c r="CU284" i="22"/>
  <c r="CU282" i="22"/>
  <c r="CS338" i="22"/>
  <c r="CW345" i="22"/>
  <c r="CS216" i="22"/>
  <c r="CV234" i="22"/>
  <c r="CV222" i="22"/>
  <c r="BV21" i="22"/>
  <c r="CV37" i="22"/>
  <c r="CS267" i="22"/>
  <c r="CV346" i="22"/>
  <c r="CU87" i="22"/>
  <c r="CU20" i="22"/>
  <c r="CV300" i="22"/>
  <c r="CV343" i="22"/>
  <c r="CU207" i="22"/>
  <c r="CW55" i="22"/>
  <c r="CV41" i="22"/>
  <c r="CW314" i="22"/>
  <c r="CR263" i="22"/>
  <c r="CS12" i="22"/>
  <c r="CU28" i="22"/>
  <c r="CU29" i="22"/>
  <c r="BV304" i="22"/>
  <c r="CW224" i="22"/>
  <c r="CS296" i="22"/>
  <c r="CS30" i="22"/>
  <c r="CW292" i="22"/>
  <c r="CS355" i="22"/>
  <c r="CS337" i="22"/>
  <c r="CW38" i="22"/>
  <c r="BV272" i="22"/>
  <c r="CU244" i="22"/>
  <c r="CW213" i="22"/>
  <c r="CV27" i="22"/>
  <c r="BV323" i="22"/>
  <c r="CS329" i="22"/>
  <c r="CS333" i="22"/>
  <c r="CV225" i="22"/>
  <c r="CV238" i="22"/>
  <c r="BV287" i="22"/>
  <c r="CV340" i="22"/>
  <c r="CV229" i="22"/>
  <c r="CR302" i="22"/>
  <c r="CS24" i="22"/>
  <c r="CU83" i="22"/>
  <c r="CU9" i="22"/>
  <c r="CW266" i="22"/>
  <c r="CV69" i="22"/>
  <c r="CU82" i="22"/>
  <c r="CW65" i="22"/>
  <c r="CV302" i="22"/>
  <c r="CV284" i="22"/>
  <c r="CV282" i="22"/>
  <c r="CS306" i="22"/>
  <c r="BV345" i="22"/>
  <c r="CW234" i="22"/>
  <c r="CV35" i="22"/>
  <c r="BV267" i="22"/>
  <c r="CV87" i="22"/>
  <c r="CV20" i="22"/>
  <c r="CU280" i="22"/>
  <c r="CW300" i="22"/>
  <c r="CW298" i="22"/>
  <c r="CS228" i="22"/>
  <c r="CV207" i="22"/>
  <c r="CS31" i="22"/>
  <c r="CW41" i="22"/>
  <c r="CY356" i="22"/>
  <c r="N4066" i="19" s="1"/>
  <c r="CS15" i="22"/>
  <c r="CV28" i="22"/>
  <c r="CV29" i="22"/>
  <c r="CR323" i="22"/>
  <c r="CU312" i="22"/>
  <c r="CS290" i="22"/>
  <c r="CU13" i="22"/>
  <c r="BV18" i="22"/>
  <c r="CR279" i="22"/>
  <c r="CU355" i="22"/>
  <c r="CV240" i="22"/>
  <c r="CU214" i="22"/>
  <c r="CS288" i="22"/>
  <c r="BV336" i="22"/>
  <c r="CU236" i="22"/>
  <c r="CV244" i="22"/>
  <c r="BV315" i="22"/>
  <c r="BV329" i="22"/>
  <c r="CW66" i="22"/>
  <c r="CS287" i="22"/>
  <c r="BV279" i="22"/>
  <c r="BV325" i="22"/>
  <c r="CU211" i="22"/>
  <c r="CW215" i="22"/>
  <c r="CV219" i="22"/>
  <c r="CV9" i="22"/>
  <c r="CV82" i="22"/>
  <c r="CU281" i="22"/>
  <c r="CR7" i="22"/>
  <c r="CU7" i="22"/>
  <c r="CS7" i="22"/>
  <c r="CW7" i="22"/>
  <c r="CV7" i="22"/>
  <c r="BV316" i="22"/>
  <c r="CW87" i="22"/>
  <c r="CW28" i="22"/>
  <c r="CW54" i="22"/>
  <c r="CS309" i="22"/>
  <c r="CU30" i="22"/>
  <c r="BV292" i="22"/>
  <c r="CV214" i="22"/>
  <c r="CS303" i="22"/>
  <c r="CU333" i="22"/>
  <c r="CV39" i="22"/>
  <c r="BV286" i="22"/>
  <c r="CU279" i="22"/>
  <c r="CU24" i="22"/>
  <c r="CV83" i="22"/>
  <c r="CW284" i="22"/>
  <c r="BV306" i="22"/>
  <c r="BY75" i="22"/>
  <c r="BY78" i="22"/>
  <c r="BY338" i="22"/>
  <c r="CO338" i="22" s="1"/>
  <c r="CQ338" i="22" s="1"/>
  <c r="I75" i="22"/>
  <c r="Z75" i="22" s="1"/>
  <c r="AE75" i="22" s="1"/>
  <c r="CB338" i="22"/>
  <c r="I338" i="22"/>
  <c r="BE338" i="22" s="1"/>
  <c r="BF338" i="22" s="1"/>
  <c r="I352" i="22"/>
  <c r="M352" i="22" s="1"/>
  <c r="O352" i="22" s="1"/>
  <c r="W352" i="22" s="1"/>
  <c r="BZ345" i="22"/>
  <c r="CC345" i="22" s="1"/>
  <c r="I236" i="22"/>
  <c r="BE236" i="22" s="1"/>
  <c r="AV44" i="22"/>
  <c r="AT68" i="22"/>
  <c r="AU68" i="22" s="1"/>
  <c r="AT53" i="22"/>
  <c r="AU53" i="22" s="1"/>
  <c r="AT85" i="22"/>
  <c r="AU85" i="22" s="1"/>
  <c r="AV72" i="22"/>
  <c r="AT62" i="22"/>
  <c r="AU62" i="22" s="1"/>
  <c r="AT44" i="22"/>
  <c r="AU44" i="22" s="1"/>
  <c r="AT80" i="22"/>
  <c r="AU80" i="22" s="1"/>
  <c r="AV75" i="22"/>
  <c r="AO202" i="22"/>
  <c r="AT72" i="22"/>
  <c r="AU72" i="22" s="1"/>
  <c r="AV60" i="22"/>
  <c r="AT76" i="22"/>
  <c r="AU76" i="22" s="1"/>
  <c r="AV47" i="22"/>
  <c r="AT55" i="22"/>
  <c r="AU55" i="22" s="1"/>
  <c r="AV48" i="22"/>
  <c r="AT82" i="22"/>
  <c r="AU82" i="22" s="1"/>
  <c r="AV74" i="22"/>
  <c r="AV76" i="22"/>
  <c r="CM227" i="22"/>
  <c r="AV55" i="22"/>
  <c r="AT74" i="22"/>
  <c r="AU74" i="22" s="1"/>
  <c r="AV45" i="22"/>
  <c r="AT49" i="22"/>
  <c r="AU49" i="22" s="1"/>
  <c r="AV70" i="22"/>
  <c r="AV79" i="22"/>
  <c r="AT59" i="22"/>
  <c r="AU59" i="22" s="1"/>
  <c r="AV61" i="22"/>
  <c r="AT45" i="22"/>
  <c r="AU45" i="22" s="1"/>
  <c r="AT71" i="22"/>
  <c r="AU71" i="22" s="1"/>
  <c r="AV49" i="22"/>
  <c r="AT70" i="22"/>
  <c r="AU70" i="22" s="1"/>
  <c r="AT61" i="22"/>
  <c r="AU61" i="22" s="1"/>
  <c r="AV57" i="22"/>
  <c r="AV66" i="22"/>
  <c r="AV71" i="22"/>
  <c r="AV51" i="22"/>
  <c r="AV69" i="22"/>
  <c r="AV43" i="22"/>
  <c r="AT66" i="22"/>
  <c r="AU66" i="22" s="1"/>
  <c r="AT88" i="22"/>
  <c r="AU88" i="22" s="1"/>
  <c r="AT69" i="22"/>
  <c r="AU69" i="22" s="1"/>
  <c r="AT43" i="22"/>
  <c r="AU43" i="22" s="1"/>
  <c r="AV54" i="22"/>
  <c r="AV65" i="22"/>
  <c r="AV83" i="22"/>
  <c r="AV56" i="22"/>
  <c r="AV52" i="22"/>
  <c r="AV78" i="22"/>
  <c r="AT58" i="22"/>
  <c r="AU58" i="22" s="1"/>
  <c r="AT54" i="22"/>
  <c r="AU54" i="22" s="1"/>
  <c r="AT65" i="22"/>
  <c r="AU65" i="22" s="1"/>
  <c r="AT56" i="22"/>
  <c r="AU56" i="22" s="1"/>
  <c r="AT63" i="22"/>
  <c r="AU63" i="22" s="1"/>
  <c r="AV77" i="22"/>
  <c r="AV81" i="22"/>
  <c r="AV84" i="22"/>
  <c r="AT64" i="22"/>
  <c r="AU64" i="22" s="1"/>
  <c r="AV63" i="22"/>
  <c r="AT77" i="22"/>
  <c r="AU77" i="22" s="1"/>
  <c r="AV73" i="22"/>
  <c r="AT86" i="22"/>
  <c r="AU86" i="22" s="1"/>
  <c r="AT81" i="22"/>
  <c r="AU81" i="22" s="1"/>
  <c r="AV87" i="22"/>
  <c r="AV46" i="22"/>
  <c r="AT67" i="22"/>
  <c r="AU67" i="22" s="1"/>
  <c r="AV50" i="22"/>
  <c r="AT73" i="22"/>
  <c r="AU73" i="22" s="1"/>
  <c r="AV86" i="22"/>
  <c r="AV53" i="22"/>
  <c r="AT87" i="22"/>
  <c r="AU87" i="22" s="1"/>
  <c r="CB205" i="22"/>
  <c r="BY344" i="22"/>
  <c r="CO344" i="22" s="1"/>
  <c r="CQ344" i="22" s="1"/>
  <c r="CR39" i="22"/>
  <c r="Y72" i="22"/>
  <c r="AE72" i="22" s="1"/>
  <c r="BZ228" i="22"/>
  <c r="CD228" i="22" s="1"/>
  <c r="BZ205" i="22"/>
  <c r="CC205" i="22" s="1"/>
  <c r="BY205" i="22"/>
  <c r="CO205" i="22" s="1"/>
  <c r="CQ205" i="22" s="1"/>
  <c r="BY79" i="22"/>
  <c r="CR34" i="22"/>
  <c r="AT205" i="22"/>
  <c r="AU205" i="22" s="1"/>
  <c r="BY228" i="22"/>
  <c r="CO228" i="22" s="1"/>
  <c r="CQ228" i="22" s="1"/>
  <c r="I205" i="22"/>
  <c r="M205" i="22" s="1"/>
  <c r="O205" i="22" s="1"/>
  <c r="CB77" i="22"/>
  <c r="BY354" i="22"/>
  <c r="CO354" i="22" s="1"/>
  <c r="CP354" i="22" s="1"/>
  <c r="CB215" i="22"/>
  <c r="BZ215" i="22"/>
  <c r="CD215" i="22" s="1"/>
  <c r="BY215" i="22"/>
  <c r="CO215" i="22" s="1"/>
  <c r="CQ215" i="22" s="1"/>
  <c r="CR31" i="22"/>
  <c r="CB219" i="22"/>
  <c r="BZ352" i="22"/>
  <c r="CD352" i="22" s="1"/>
  <c r="AV29" i="22"/>
  <c r="AT39" i="22"/>
  <c r="AU39" i="22" s="1"/>
  <c r="AV40" i="22"/>
  <c r="AT26" i="22"/>
  <c r="AU26" i="22" s="1"/>
  <c r="AV30" i="22"/>
  <c r="AT27" i="22"/>
  <c r="AU27" i="22" s="1"/>
  <c r="AV36" i="22"/>
  <c r="AT36" i="22"/>
  <c r="AU36" i="22" s="1"/>
  <c r="AT31" i="22"/>
  <c r="AU31" i="22" s="1"/>
  <c r="CB234" i="22"/>
  <c r="AV337" i="22"/>
  <c r="AT37" i="22"/>
  <c r="AU37" i="22" s="1"/>
  <c r="AV38" i="22"/>
  <c r="AT38" i="22"/>
  <c r="AU38" i="22" s="1"/>
  <c r="AT34" i="22"/>
  <c r="AU34" i="22" s="1"/>
  <c r="AV35" i="22"/>
  <c r="AT32" i="22"/>
  <c r="AU32" i="22" s="1"/>
  <c r="AT28" i="22"/>
  <c r="AU28" i="22" s="1"/>
  <c r="AV32" i="22"/>
  <c r="AT33" i="22"/>
  <c r="AU33" i="22" s="1"/>
  <c r="AR54" i="22"/>
  <c r="CR11" i="22"/>
  <c r="AR84" i="22"/>
  <c r="AR41" i="22"/>
  <c r="AR40" i="22"/>
  <c r="AR85" i="22"/>
  <c r="AR83" i="22"/>
  <c r="AR82" i="22"/>
  <c r="I217" i="22"/>
  <c r="BR217" i="22" s="1"/>
  <c r="BZ217" i="22"/>
  <c r="CD217" i="22" s="1"/>
  <c r="BY217" i="22"/>
  <c r="CO217" i="22" s="1"/>
  <c r="CQ217" i="22" s="1"/>
  <c r="BY227" i="22"/>
  <c r="CO227" i="22" s="1"/>
  <c r="CP227" i="22" s="1"/>
  <c r="BZ233" i="22"/>
  <c r="CC233" i="22" s="1"/>
  <c r="I233" i="22"/>
  <c r="AK233" i="22" s="1"/>
  <c r="CB233" i="22"/>
  <c r="BY233" i="22"/>
  <c r="CO233" i="22" s="1"/>
  <c r="CQ233" i="22" s="1"/>
  <c r="BY54" i="22"/>
  <c r="I54" i="22"/>
  <c r="AI54" i="22" s="1"/>
  <c r="I79" i="22"/>
  <c r="M79" i="22" s="1"/>
  <c r="O79" i="22" s="1"/>
  <c r="W79" i="22" s="1"/>
  <c r="CB40" i="22"/>
  <c r="CB72" i="22"/>
  <c r="BZ243" i="22"/>
  <c r="CD243" i="22" s="1"/>
  <c r="CB87" i="22"/>
  <c r="I40" i="22"/>
  <c r="AI40" i="22" s="1"/>
  <c r="I53" i="22"/>
  <c r="Y53" i="22" s="1"/>
  <c r="CB53" i="22"/>
  <c r="I39" i="22"/>
  <c r="AK39" i="22" s="1"/>
  <c r="I216" i="22"/>
  <c r="M216" i="22" s="1"/>
  <c r="O216" i="22" s="1"/>
  <c r="BZ213" i="22"/>
  <c r="CC213" i="22" s="1"/>
  <c r="BZ216" i="22"/>
  <c r="CD216" i="22" s="1"/>
  <c r="CB354" i="22"/>
  <c r="CB216" i="22"/>
  <c r="BZ354" i="22"/>
  <c r="CC354" i="22" s="1"/>
  <c r="I232" i="22"/>
  <c r="J232" i="22" s="1"/>
  <c r="BY216" i="22"/>
  <c r="CO216" i="22" s="1"/>
  <c r="CQ216" i="22" s="1"/>
  <c r="BY232" i="22"/>
  <c r="CO232" i="22" s="1"/>
  <c r="CP232" i="22" s="1"/>
  <c r="BZ344" i="22"/>
  <c r="CD344" i="22" s="1"/>
  <c r="BZ232" i="22"/>
  <c r="CC232" i="22" s="1"/>
  <c r="CB232" i="22"/>
  <c r="AV335" i="22"/>
  <c r="BJ109" i="22"/>
  <c r="BJ183" i="22" s="1"/>
  <c r="BM109" i="22"/>
  <c r="BM183" i="22" s="1"/>
  <c r="I354" i="22"/>
  <c r="AI354" i="22" s="1"/>
  <c r="CB223" i="22"/>
  <c r="AT346" i="22"/>
  <c r="BD346" i="22" s="1"/>
  <c r="AV346" i="22"/>
  <c r="BY87" i="22"/>
  <c r="BZ223" i="22"/>
  <c r="CC223" i="22" s="1"/>
  <c r="BY223" i="22"/>
  <c r="CO223" i="22" s="1"/>
  <c r="CQ223" i="22" s="1"/>
  <c r="I241" i="22"/>
  <c r="AI241" i="22" s="1"/>
  <c r="BY241" i="22"/>
  <c r="CO241" i="22" s="1"/>
  <c r="CP241" i="22" s="1"/>
  <c r="BZ241" i="22"/>
  <c r="CC241" i="22" s="1"/>
  <c r="CB241" i="22"/>
  <c r="BY31" i="22"/>
  <c r="CB31" i="22"/>
  <c r="BZ227" i="22"/>
  <c r="CE227" i="22" s="1"/>
  <c r="BY219" i="22"/>
  <c r="CO219" i="22" s="1"/>
  <c r="CQ219" i="22" s="1"/>
  <c r="AV355" i="22"/>
  <c r="CB236" i="22"/>
  <c r="CB227" i="22"/>
  <c r="BY236" i="22"/>
  <c r="CO236" i="22" s="1"/>
  <c r="BZ236" i="22"/>
  <c r="CC236" i="22" s="1"/>
  <c r="CB211" i="22"/>
  <c r="AT353" i="22"/>
  <c r="AU353" i="22" s="1"/>
  <c r="BY352" i="22"/>
  <c r="CO352" i="22" s="1"/>
  <c r="CQ352" i="22" s="1"/>
  <c r="I229" i="22"/>
  <c r="M229" i="22" s="1"/>
  <c r="O229" i="22" s="1"/>
  <c r="BY211" i="22"/>
  <c r="CO211" i="22" s="1"/>
  <c r="CQ211" i="22" s="1"/>
  <c r="CB352" i="22"/>
  <c r="BZ229" i="22"/>
  <c r="CC229" i="22" s="1"/>
  <c r="CB349" i="22"/>
  <c r="BY229" i="22"/>
  <c r="CO229" i="22" s="1"/>
  <c r="CQ229" i="22" s="1"/>
  <c r="CB229" i="22"/>
  <c r="BZ219" i="22"/>
  <c r="CC219" i="22" s="1"/>
  <c r="CB243" i="22"/>
  <c r="AV343" i="22"/>
  <c r="BY243" i="22"/>
  <c r="CO243" i="22" s="1"/>
  <c r="CP243" i="22" s="1"/>
  <c r="BY225" i="22"/>
  <c r="CO225" i="22" s="1"/>
  <c r="CQ225" i="22" s="1"/>
  <c r="BZ349" i="22"/>
  <c r="CD349" i="22" s="1"/>
  <c r="BY213" i="22"/>
  <c r="CO213" i="22" s="1"/>
  <c r="CQ213" i="22" s="1"/>
  <c r="BY349" i="22"/>
  <c r="CO349" i="22" s="1"/>
  <c r="CP349" i="22" s="1"/>
  <c r="CB225" i="22"/>
  <c r="I213" i="22"/>
  <c r="AK213" i="22" s="1"/>
  <c r="I341" i="22"/>
  <c r="BQ341" i="22" s="1"/>
  <c r="I349" i="22"/>
  <c r="BQ349" i="22" s="1"/>
  <c r="CB213" i="22"/>
  <c r="BZ341" i="22"/>
  <c r="CC341" i="22" s="1"/>
  <c r="BY341" i="22"/>
  <c r="CO341" i="22" s="1"/>
  <c r="CQ341" i="22" s="1"/>
  <c r="CB341" i="22"/>
  <c r="I243" i="22"/>
  <c r="J243" i="22" s="1"/>
  <c r="BY81" i="22"/>
  <c r="BY55" i="22"/>
  <c r="I55" i="22"/>
  <c r="Y55" i="22" s="1"/>
  <c r="CB59" i="22"/>
  <c r="AT355" i="22"/>
  <c r="AU355" i="22" s="1"/>
  <c r="AR284" i="22"/>
  <c r="AT337" i="22"/>
  <c r="AU337" i="22" s="1"/>
  <c r="AR283" i="22"/>
  <c r="AV340" i="22"/>
  <c r="AT340" i="22"/>
  <c r="BD340" i="22" s="1"/>
  <c r="AV336" i="22"/>
  <c r="CB228" i="22"/>
  <c r="AT311" i="22"/>
  <c r="AU311" i="22" s="1"/>
  <c r="AT351" i="22"/>
  <c r="BD351" i="22" s="1"/>
  <c r="I214" i="22"/>
  <c r="Z214" i="22" s="1"/>
  <c r="AA214" i="22" s="1"/>
  <c r="BZ214" i="22"/>
  <c r="CC214" i="22" s="1"/>
  <c r="AR264" i="22"/>
  <c r="AT350" i="22"/>
  <c r="AU350" i="22" s="1"/>
  <c r="BZ211" i="22"/>
  <c r="CC211" i="22" s="1"/>
  <c r="AV350" i="22"/>
  <c r="BD339" i="22"/>
  <c r="AU339" i="22"/>
  <c r="BF345" i="22"/>
  <c r="BG345" i="22"/>
  <c r="BG340" i="22"/>
  <c r="BF340" i="22"/>
  <c r="BG344" i="22"/>
  <c r="BF344" i="22"/>
  <c r="AK347" i="22"/>
  <c r="AI347" i="22"/>
  <c r="M347" i="22"/>
  <c r="O347" i="22" s="1"/>
  <c r="W347" i="22" s="1"/>
  <c r="Z347" i="22"/>
  <c r="AA347" i="22" s="1"/>
  <c r="AM349" i="22"/>
  <c r="AL349" i="22"/>
  <c r="V349" i="22"/>
  <c r="AN349" i="22"/>
  <c r="J349" i="22"/>
  <c r="BD352" i="22"/>
  <c r="AU352" i="22"/>
  <c r="AU336" i="22"/>
  <c r="BD336" i="22"/>
  <c r="V336" i="22"/>
  <c r="AN336" i="22"/>
  <c r="J336" i="22"/>
  <c r="AM336" i="22"/>
  <c r="AL336" i="22"/>
  <c r="BG342" i="22"/>
  <c r="BF342" i="22"/>
  <c r="AT349" i="22"/>
  <c r="AV338" i="22"/>
  <c r="BG352" i="22"/>
  <c r="BF352" i="22"/>
  <c r="CB348" i="22"/>
  <c r="BY348" i="22"/>
  <c r="CO348" i="22" s="1"/>
  <c r="I348" i="22"/>
  <c r="BR348" i="22" s="1"/>
  <c r="BZ348" i="22"/>
  <c r="AI311" i="22"/>
  <c r="CE348" i="22"/>
  <c r="CE341" i="22"/>
  <c r="CE336" i="22"/>
  <c r="BS345" i="22"/>
  <c r="BQ345" i="22"/>
  <c r="BR345" i="22"/>
  <c r="AN345" i="22"/>
  <c r="J345" i="22"/>
  <c r="AM345" i="22"/>
  <c r="V345" i="22"/>
  <c r="AL345" i="22"/>
  <c r="AV349" i="22"/>
  <c r="AT338" i="22"/>
  <c r="CE354" i="22"/>
  <c r="J347" i="22"/>
  <c r="AL347" i="22"/>
  <c r="V347" i="22"/>
  <c r="BQ347" i="22"/>
  <c r="AM347" i="22"/>
  <c r="BS347" i="22"/>
  <c r="BR347" i="22"/>
  <c r="AN347" i="22"/>
  <c r="I353" i="22"/>
  <c r="BQ353" i="22" s="1"/>
  <c r="BZ353" i="22"/>
  <c r="CF353" i="22" s="1"/>
  <c r="CB353" i="22"/>
  <c r="BY353" i="22"/>
  <c r="CO353" i="22" s="1"/>
  <c r="AT342" i="22"/>
  <c r="AM350" i="22"/>
  <c r="AN350" i="22"/>
  <c r="V350" i="22"/>
  <c r="AT345" i="22"/>
  <c r="AR281" i="22"/>
  <c r="CE337" i="22"/>
  <c r="AV345" i="22"/>
  <c r="AU341" i="22"/>
  <c r="BD341" i="22"/>
  <c r="AT347" i="22"/>
  <c r="AM346" i="22"/>
  <c r="V346" i="22"/>
  <c r="AN346" i="22"/>
  <c r="I346" i="22"/>
  <c r="AL346" i="22" s="1"/>
  <c r="CB346" i="22"/>
  <c r="BY346" i="22"/>
  <c r="CO346" i="22" s="1"/>
  <c r="BZ346" i="22"/>
  <c r="BG348" i="22"/>
  <c r="BF348" i="22"/>
  <c r="AN355" i="22"/>
  <c r="AM355" i="22"/>
  <c r="V355" i="22"/>
  <c r="CE339" i="22"/>
  <c r="AN353" i="22"/>
  <c r="J353" i="22"/>
  <c r="AM353" i="22"/>
  <c r="V353" i="22"/>
  <c r="AL353" i="22"/>
  <c r="BZ343" i="22"/>
  <c r="BY343" i="22"/>
  <c r="CO343" i="22" s="1"/>
  <c r="CB343" i="22"/>
  <c r="I343" i="22"/>
  <c r="BS343" i="22" s="1"/>
  <c r="AV347" i="22"/>
  <c r="AV341" i="22"/>
  <c r="AM341" i="22"/>
  <c r="AL341" i="22"/>
  <c r="V341" i="22"/>
  <c r="AN341" i="22"/>
  <c r="J341" i="22"/>
  <c r="M340" i="22"/>
  <c r="O340" i="22" s="1"/>
  <c r="Z340" i="22"/>
  <c r="AA340" i="22" s="1"/>
  <c r="AK340" i="22"/>
  <c r="AI340" i="22"/>
  <c r="AM343" i="22"/>
  <c r="J343" i="22"/>
  <c r="V343" i="22"/>
  <c r="AN343" i="22"/>
  <c r="AL343" i="22"/>
  <c r="BY355" i="22"/>
  <c r="CB355" i="22"/>
  <c r="I355" i="22"/>
  <c r="CB351" i="22"/>
  <c r="BY351" i="22"/>
  <c r="CO351" i="22" s="1"/>
  <c r="BZ351" i="22"/>
  <c r="I351" i="22"/>
  <c r="M351" i="22" s="1"/>
  <c r="O351" i="22" s="1"/>
  <c r="W351" i="22" s="1"/>
  <c r="Z345" i="22"/>
  <c r="AI345" i="22"/>
  <c r="AK345" i="22"/>
  <c r="M345" i="22"/>
  <c r="O345" i="22" s="1"/>
  <c r="BG351" i="22"/>
  <c r="BF351" i="22"/>
  <c r="AR298" i="22"/>
  <c r="AU344" i="22"/>
  <c r="BD344" i="22"/>
  <c r="J354" i="22"/>
  <c r="AM354" i="22"/>
  <c r="AL354" i="22"/>
  <c r="AN354" i="22"/>
  <c r="V354" i="22"/>
  <c r="AV311" i="22"/>
  <c r="AN311" i="22"/>
  <c r="AM311" i="22"/>
  <c r="V311" i="22"/>
  <c r="BS311" i="22"/>
  <c r="CB337" i="22"/>
  <c r="I337" i="22"/>
  <c r="J337" i="22" s="1"/>
  <c r="BY337" i="22"/>
  <c r="CO337" i="22" s="1"/>
  <c r="BZ337" i="22"/>
  <c r="I342" i="22"/>
  <c r="BR342" i="22" s="1"/>
  <c r="CB342" i="22"/>
  <c r="BZ342" i="22"/>
  <c r="CF342" i="22" s="1"/>
  <c r="BY342" i="22"/>
  <c r="CO342" i="22" s="1"/>
  <c r="M344" i="22"/>
  <c r="O344" i="22" s="1"/>
  <c r="W344" i="22" s="1"/>
  <c r="AN335" i="22"/>
  <c r="J335" i="22"/>
  <c r="AM335" i="22"/>
  <c r="AL335" i="22"/>
  <c r="V335" i="22"/>
  <c r="AR308" i="22"/>
  <c r="CE338" i="22"/>
  <c r="BF335" i="22"/>
  <c r="BG335" i="22"/>
  <c r="CE347" i="22"/>
  <c r="BF353" i="22"/>
  <c r="BG353" i="22"/>
  <c r="BG336" i="22"/>
  <c r="BF336" i="22"/>
  <c r="AV352" i="22"/>
  <c r="J352" i="22"/>
  <c r="AM352" i="22"/>
  <c r="AL352" i="22"/>
  <c r="V352" i="22"/>
  <c r="AN352" i="22"/>
  <c r="CE352" i="22"/>
  <c r="AT354" i="22"/>
  <c r="AN348" i="22"/>
  <c r="J348" i="22"/>
  <c r="AL348" i="22"/>
  <c r="V348" i="22"/>
  <c r="AM348" i="22"/>
  <c r="BG347" i="22"/>
  <c r="BF347" i="22"/>
  <c r="AN342" i="22"/>
  <c r="J342" i="22"/>
  <c r="AL342" i="22"/>
  <c r="AM342" i="22"/>
  <c r="V342" i="22"/>
  <c r="BD335" i="22"/>
  <c r="AU335" i="22"/>
  <c r="BF343" i="22"/>
  <c r="BG343" i="22"/>
  <c r="CE349" i="22"/>
  <c r="AV354" i="22"/>
  <c r="CE345" i="22"/>
  <c r="BG339" i="22"/>
  <c r="BF339" i="22"/>
  <c r="I335" i="22"/>
  <c r="BR335" i="22" s="1"/>
  <c r="CB335" i="22"/>
  <c r="BZ335" i="22"/>
  <c r="CF335" i="22" s="1"/>
  <c r="BY335" i="22"/>
  <c r="CO335" i="22" s="1"/>
  <c r="BF354" i="22"/>
  <c r="BG354" i="22"/>
  <c r="AU343" i="22"/>
  <c r="BD343" i="22"/>
  <c r="CB350" i="22"/>
  <c r="I350" i="22"/>
  <c r="BS350" i="22" s="1"/>
  <c r="BZ350" i="22"/>
  <c r="BY350" i="22"/>
  <c r="CO350" i="22" s="1"/>
  <c r="BG349" i="22"/>
  <c r="BF349" i="22"/>
  <c r="AV339" i="22"/>
  <c r="AN339" i="22"/>
  <c r="J339" i="22"/>
  <c r="AM339" i="22"/>
  <c r="AL339" i="22"/>
  <c r="V339" i="22"/>
  <c r="AN338" i="22"/>
  <c r="AM338" i="22"/>
  <c r="V338" i="22"/>
  <c r="CE343" i="22"/>
  <c r="CB336" i="22"/>
  <c r="I336" i="22"/>
  <c r="BS336" i="22" s="1"/>
  <c r="BY336" i="22"/>
  <c r="CO336" i="22" s="1"/>
  <c r="BZ336" i="22"/>
  <c r="AN340" i="22"/>
  <c r="V340" i="22"/>
  <c r="BQ340" i="22"/>
  <c r="BR340" i="22"/>
  <c r="AM340" i="22"/>
  <c r="J340" i="22"/>
  <c r="BS340" i="22"/>
  <c r="AL340" i="22"/>
  <c r="AN337" i="22"/>
  <c r="AM337" i="22"/>
  <c r="V337" i="22"/>
  <c r="AT348" i="22"/>
  <c r="AM351" i="22"/>
  <c r="AN351" i="22"/>
  <c r="J351" i="22"/>
  <c r="AL351" i="22"/>
  <c r="V351" i="22"/>
  <c r="BG341" i="22"/>
  <c r="BF341" i="22"/>
  <c r="BZ339" i="22"/>
  <c r="CB339" i="22"/>
  <c r="BY339" i="22"/>
  <c r="CO339" i="22" s="1"/>
  <c r="I339" i="22"/>
  <c r="BS339" i="22" s="1"/>
  <c r="AN344" i="22"/>
  <c r="J344" i="22"/>
  <c r="AL344" i="22"/>
  <c r="V344" i="22"/>
  <c r="AM344" i="22"/>
  <c r="CD338" i="22"/>
  <c r="CC338" i="22"/>
  <c r="I81" i="22"/>
  <c r="M81" i="22" s="1"/>
  <c r="O81" i="22" s="1"/>
  <c r="AT213" i="22"/>
  <c r="AU213" i="22" s="1"/>
  <c r="AR333" i="22"/>
  <c r="AR303" i="22"/>
  <c r="AR285" i="22"/>
  <c r="AR289" i="22"/>
  <c r="AR291" i="22"/>
  <c r="AR306" i="22"/>
  <c r="AR277" i="22"/>
  <c r="AR267" i="22"/>
  <c r="AR266" i="22"/>
  <c r="AR301" i="22"/>
  <c r="I219" i="22"/>
  <c r="BQ219" i="22" s="1"/>
  <c r="BY214" i="22"/>
  <c r="CO214" i="22" s="1"/>
  <c r="CP214" i="22" s="1"/>
  <c r="I83" i="22"/>
  <c r="BQ83" i="22" s="1"/>
  <c r="BY83" i="22"/>
  <c r="AV205" i="22"/>
  <c r="AR209" i="22"/>
  <c r="AV216" i="22"/>
  <c r="AT219" i="22"/>
  <c r="AU219" i="22" s="1"/>
  <c r="AR216" i="22"/>
  <c r="AT209" i="22"/>
  <c r="BD209" i="22" s="1"/>
  <c r="CJ234" i="22"/>
  <c r="AV215" i="22"/>
  <c r="AV217" i="22"/>
  <c r="AR215" i="22"/>
  <c r="AU217" i="22"/>
  <c r="BD217" i="22"/>
  <c r="AU215" i="22"/>
  <c r="BD215" i="22"/>
  <c r="AR233" i="22"/>
  <c r="V233" i="22"/>
  <c r="AN233" i="22"/>
  <c r="AM233" i="22"/>
  <c r="CE237" i="22"/>
  <c r="CE231" i="22"/>
  <c r="AM219" i="22"/>
  <c r="V219" i="22"/>
  <c r="AN219" i="22"/>
  <c r="BZ230" i="22"/>
  <c r="CB230" i="22"/>
  <c r="BY230" i="22"/>
  <c r="CO230" i="22" s="1"/>
  <c r="I230" i="22"/>
  <c r="BR230" i="22" s="1"/>
  <c r="BS228" i="22"/>
  <c r="BR228" i="22"/>
  <c r="V228" i="22"/>
  <c r="AL228" i="22"/>
  <c r="BQ228" i="22"/>
  <c r="AN228" i="22"/>
  <c r="J228" i="22"/>
  <c r="AM228" i="22"/>
  <c r="AI215" i="22"/>
  <c r="M215" i="22"/>
  <c r="O215" i="22" s="1"/>
  <c r="BE215" i="22"/>
  <c r="AK215" i="22"/>
  <c r="Z215" i="22"/>
  <c r="AA215" i="22" s="1"/>
  <c r="CE215" i="22"/>
  <c r="V236" i="22"/>
  <c r="AM236" i="22"/>
  <c r="AN236" i="22"/>
  <c r="BS223" i="22"/>
  <c r="BR223" i="22"/>
  <c r="BQ223" i="22"/>
  <c r="J223" i="22"/>
  <c r="AN223" i="22"/>
  <c r="V223" i="22"/>
  <c r="AM223" i="22"/>
  <c r="AL223" i="22"/>
  <c r="AL230" i="22"/>
  <c r="J230" i="22"/>
  <c r="V230" i="22"/>
  <c r="AN230" i="22"/>
  <c r="AM230" i="22"/>
  <c r="AR240" i="22"/>
  <c r="V240" i="22"/>
  <c r="AN240" i="22"/>
  <c r="AM240" i="22"/>
  <c r="BY231" i="22"/>
  <c r="CO231" i="22" s="1"/>
  <c r="I231" i="22"/>
  <c r="AL231" i="22" s="1"/>
  <c r="CB231" i="22"/>
  <c r="BZ231" i="22"/>
  <c r="CC231" i="22" s="1"/>
  <c r="BZ235" i="22"/>
  <c r="I235" i="22"/>
  <c r="BS235" i="22" s="1"/>
  <c r="BY235" i="22"/>
  <c r="CO235" i="22" s="1"/>
  <c r="CP235" i="22" s="1"/>
  <c r="CB235" i="22"/>
  <c r="CE230" i="22"/>
  <c r="CB226" i="22"/>
  <c r="BY226" i="22"/>
  <c r="CO226" i="22" s="1"/>
  <c r="I226" i="22"/>
  <c r="BS226" i="22" s="1"/>
  <c r="BZ226" i="22"/>
  <c r="V225" i="22"/>
  <c r="AN225" i="22"/>
  <c r="AM225" i="22"/>
  <c r="CE222" i="22"/>
  <c r="CE226" i="22"/>
  <c r="AV219" i="22"/>
  <c r="CE244" i="22"/>
  <c r="BY238" i="22"/>
  <c r="CO238" i="22" s="1"/>
  <c r="BZ238" i="22"/>
  <c r="CD238" i="22" s="1"/>
  <c r="CB238" i="22"/>
  <c r="I238" i="22"/>
  <c r="J238" i="22" s="1"/>
  <c r="V226" i="22"/>
  <c r="AN226" i="22"/>
  <c r="AM226" i="22"/>
  <c r="AN232" i="22"/>
  <c r="V232" i="22"/>
  <c r="AM232" i="22"/>
  <c r="CE241" i="22"/>
  <c r="CE219" i="22"/>
  <c r="CB221" i="22"/>
  <c r="I221" i="22"/>
  <c r="BS221" i="22" s="1"/>
  <c r="BZ221" i="22"/>
  <c r="BY221" i="22"/>
  <c r="CO221" i="22" s="1"/>
  <c r="BY224" i="22"/>
  <c r="CO224" i="22" s="1"/>
  <c r="I224" i="22"/>
  <c r="BS224" i="22" s="1"/>
  <c r="BZ224" i="22"/>
  <c r="CB224" i="22"/>
  <c r="J235" i="22"/>
  <c r="V235" i="22"/>
  <c r="AM235" i="22"/>
  <c r="AL235" i="22"/>
  <c r="AN235" i="22"/>
  <c r="AI223" i="22"/>
  <c r="BE223" i="22"/>
  <c r="AK223" i="22"/>
  <c r="M223" i="22"/>
  <c r="O223" i="22" s="1"/>
  <c r="W223" i="22" s="1"/>
  <c r="Z223" i="22"/>
  <c r="AA223" i="22" s="1"/>
  <c r="CE221" i="22"/>
  <c r="V211" i="22"/>
  <c r="AN211" i="22"/>
  <c r="BR211" i="22"/>
  <c r="BS211" i="22"/>
  <c r="AM211" i="22"/>
  <c r="BQ211" i="22"/>
  <c r="AL211" i="22"/>
  <c r="CB242" i="22"/>
  <c r="BZ242" i="22"/>
  <c r="BY242" i="22"/>
  <c r="CO242" i="22" s="1"/>
  <c r="I242" i="22"/>
  <c r="BR242" i="22" s="1"/>
  <c r="V222" i="22"/>
  <c r="AM222" i="22"/>
  <c r="AN222" i="22"/>
  <c r="CE211" i="22"/>
  <c r="AN245" i="22"/>
  <c r="AM245" i="22"/>
  <c r="V245" i="22"/>
  <c r="BY222" i="22"/>
  <c r="CO222" i="22" s="1"/>
  <c r="I222" i="22"/>
  <c r="AL222" i="22" s="1"/>
  <c r="CB222" i="22"/>
  <c r="BZ222" i="22"/>
  <c r="CE213" i="22"/>
  <c r="CE214" i="22"/>
  <c r="V231" i="22"/>
  <c r="AN231" i="22"/>
  <c r="AM231" i="22"/>
  <c r="AM217" i="22"/>
  <c r="AL217" i="22"/>
  <c r="J217" i="22"/>
  <c r="V217" i="22"/>
  <c r="AN217" i="22"/>
  <c r="CD209" i="22"/>
  <c r="CC209" i="22"/>
  <c r="V238" i="22"/>
  <c r="AN238" i="22"/>
  <c r="AM238" i="22"/>
  <c r="AM209" i="22"/>
  <c r="AN209" i="22"/>
  <c r="V209" i="22"/>
  <c r="BY244" i="22"/>
  <c r="CO244" i="22" s="1"/>
  <c r="BZ244" i="22"/>
  <c r="CC244" i="22" s="1"/>
  <c r="CB244" i="22"/>
  <c r="I244" i="22"/>
  <c r="BQ244" i="22" s="1"/>
  <c r="CE223" i="22"/>
  <c r="M228" i="22"/>
  <c r="O228" i="22" s="1"/>
  <c r="Z228" i="22"/>
  <c r="BE228" i="22"/>
  <c r="AI228" i="22"/>
  <c r="AK228" i="22"/>
  <c r="CE239" i="22"/>
  <c r="AM237" i="22"/>
  <c r="V237" i="22"/>
  <c r="AN237" i="22"/>
  <c r="CE242" i="22"/>
  <c r="CB237" i="22"/>
  <c r="I237" i="22"/>
  <c r="BS237" i="22" s="1"/>
  <c r="BY237" i="22"/>
  <c r="CO237" i="22" s="1"/>
  <c r="BZ237" i="22"/>
  <c r="AU216" i="22"/>
  <c r="BD216" i="22"/>
  <c r="I240" i="22"/>
  <c r="BR240" i="22" s="1"/>
  <c r="CB240" i="22"/>
  <c r="BY240" i="22"/>
  <c r="CO240" i="22" s="1"/>
  <c r="BZ240" i="22"/>
  <c r="CE225" i="22"/>
  <c r="AT211" i="22"/>
  <c r="CE238" i="22"/>
  <c r="J211" i="22"/>
  <c r="Z211" i="22"/>
  <c r="AG211" i="22" s="1"/>
  <c r="BE211" i="22"/>
  <c r="M211" i="22"/>
  <c r="O211" i="22" s="1"/>
  <c r="AK211" i="22"/>
  <c r="AI211" i="22"/>
  <c r="CE216" i="22"/>
  <c r="CE224" i="22"/>
  <c r="Z227" i="22"/>
  <c r="M227" i="22"/>
  <c r="AK227" i="22"/>
  <c r="AI227" i="22"/>
  <c r="BE227" i="22"/>
  <c r="AM243" i="22"/>
  <c r="BQ243" i="22"/>
  <c r="V243" i="22"/>
  <c r="AN243" i="22"/>
  <c r="CE229" i="22"/>
  <c r="V214" i="22"/>
  <c r="AN214" i="22"/>
  <c r="AM214" i="22"/>
  <c r="AM224" i="22"/>
  <c r="AN224" i="22"/>
  <c r="V224" i="22"/>
  <c r="AV211" i="22"/>
  <c r="AL239" i="22"/>
  <c r="V239" i="22"/>
  <c r="BQ239" i="22"/>
  <c r="AN239" i="22"/>
  <c r="AM239" i="22"/>
  <c r="AK207" i="22"/>
  <c r="AN216" i="22"/>
  <c r="AM216" i="22"/>
  <c r="V216" i="22"/>
  <c r="V244" i="22"/>
  <c r="AN244" i="22"/>
  <c r="AM244" i="22"/>
  <c r="CE232" i="22"/>
  <c r="AN215" i="22"/>
  <c r="AL215" i="22"/>
  <c r="AM215" i="22"/>
  <c r="BS215" i="22"/>
  <c r="J215" i="22"/>
  <c r="BR215" i="22"/>
  <c r="BQ215" i="22"/>
  <c r="V215" i="22"/>
  <c r="AM205" i="22"/>
  <c r="V205" i="22"/>
  <c r="AN205" i="22"/>
  <c r="CE205" i="22"/>
  <c r="CE243" i="22"/>
  <c r="CE235" i="22"/>
  <c r="V207" i="22"/>
  <c r="AN207" i="22"/>
  <c r="AM207" i="22"/>
  <c r="BS207" i="22"/>
  <c r="V227" i="22"/>
  <c r="BS227" i="22"/>
  <c r="BR227" i="22"/>
  <c r="AL227" i="22"/>
  <c r="BQ227" i="22"/>
  <c r="J227" i="22"/>
  <c r="AN227" i="22"/>
  <c r="AM227" i="22"/>
  <c r="AM229" i="22"/>
  <c r="AN229" i="22"/>
  <c r="V229" i="22"/>
  <c r="V242" i="22"/>
  <c r="AN242" i="22"/>
  <c r="AM242" i="22"/>
  <c r="CE233" i="22"/>
  <c r="CE209" i="22"/>
  <c r="AR213" i="22"/>
  <c r="AN213" i="22"/>
  <c r="AM213" i="22"/>
  <c r="V213" i="22"/>
  <c r="CD234" i="22"/>
  <c r="CC234" i="22"/>
  <c r="AR241" i="22"/>
  <c r="AN241" i="22"/>
  <c r="AM241" i="22"/>
  <c r="V241" i="22"/>
  <c r="CE240" i="22"/>
  <c r="CE228" i="22"/>
  <c r="CE217" i="22"/>
  <c r="CE207" i="22"/>
  <c r="AR234" i="22"/>
  <c r="AN234" i="22"/>
  <c r="AM234" i="22"/>
  <c r="V234" i="22"/>
  <c r="AL221" i="22"/>
  <c r="J221" i="22"/>
  <c r="V221" i="22"/>
  <c r="AN221" i="22"/>
  <c r="AM221" i="22"/>
  <c r="CE245" i="22"/>
  <c r="BY32" i="22"/>
  <c r="CB32" i="22"/>
  <c r="AY156" i="22"/>
  <c r="AZ156" i="22" s="1"/>
  <c r="AY166" i="22"/>
  <c r="AZ166" i="22" s="1"/>
  <c r="AY170" i="22"/>
  <c r="AZ170" i="22" s="1"/>
  <c r="BY70" i="22"/>
  <c r="CB70" i="22"/>
  <c r="I78" i="22"/>
  <c r="BQ78" i="22" s="1"/>
  <c r="AY165" i="22"/>
  <c r="AZ165" i="22" s="1"/>
  <c r="AY169" i="22"/>
  <c r="AZ169" i="22" s="1"/>
  <c r="AY160" i="22"/>
  <c r="AZ160" i="22" s="1"/>
  <c r="AY155" i="22"/>
  <c r="AZ155" i="22" s="1"/>
  <c r="AY158" i="22"/>
  <c r="AZ158" i="22" s="1"/>
  <c r="AY157" i="22"/>
  <c r="AZ157" i="22" s="1"/>
  <c r="AY164" i="22"/>
  <c r="AZ164" i="22" s="1"/>
  <c r="AY161" i="22"/>
  <c r="AZ161" i="22" s="1"/>
  <c r="AY159" i="22"/>
  <c r="AZ159" i="22" s="1"/>
  <c r="AY154" i="22"/>
  <c r="AZ154" i="22" s="1"/>
  <c r="AY162" i="22"/>
  <c r="AZ162" i="22" s="1"/>
  <c r="AG143" i="22"/>
  <c r="O143" i="22"/>
  <c r="CG111" i="22"/>
  <c r="CH111" i="22" s="1"/>
  <c r="I66" i="22"/>
  <c r="M66" i="22" s="1"/>
  <c r="O66" i="22" s="1"/>
  <c r="I59" i="22"/>
  <c r="BQ59" i="22" s="1"/>
  <c r="CB66" i="22"/>
  <c r="BY49" i="22"/>
  <c r="BY72" i="22"/>
  <c r="I46" i="22"/>
  <c r="BE46" i="22" s="1"/>
  <c r="CG138" i="22"/>
  <c r="CH138" i="22" s="1"/>
  <c r="AW120" i="22"/>
  <c r="AB122" i="22"/>
  <c r="W127" i="22"/>
  <c r="AB127" i="22"/>
  <c r="W126" i="22"/>
  <c r="AB126" i="22"/>
  <c r="W129" i="22"/>
  <c r="AB129" i="22"/>
  <c r="I30" i="22"/>
  <c r="BS30" i="22" s="1"/>
  <c r="W141" i="22"/>
  <c r="AB141" i="22"/>
  <c r="W120" i="22"/>
  <c r="AB120" i="22"/>
  <c r="BY30" i="22"/>
  <c r="W138" i="22"/>
  <c r="AB138" i="22"/>
  <c r="AG135" i="22"/>
  <c r="O135" i="22"/>
  <c r="W123" i="22"/>
  <c r="AB123" i="22"/>
  <c r="W137" i="22"/>
  <c r="AB137" i="22"/>
  <c r="W136" i="22"/>
  <c r="AB136" i="22"/>
  <c r="W124" i="22"/>
  <c r="AB124" i="22"/>
  <c r="AF128" i="22"/>
  <c r="AS128" i="22" s="1"/>
  <c r="O128" i="22"/>
  <c r="CG141" i="22"/>
  <c r="CH141" i="22" s="1"/>
  <c r="AG115" i="22"/>
  <c r="O115" i="22"/>
  <c r="BY65" i="22"/>
  <c r="CB65" i="22"/>
  <c r="I52" i="22"/>
  <c r="BR52" i="22" s="1"/>
  <c r="CB52" i="22"/>
  <c r="AF134" i="22"/>
  <c r="CG124" i="22"/>
  <c r="CH124" i="22" s="1"/>
  <c r="AF148" i="22"/>
  <c r="AS148" i="22" s="1"/>
  <c r="CG115" i="22"/>
  <c r="CH115" i="22" s="1"/>
  <c r="CG135" i="22"/>
  <c r="CH135" i="22" s="1"/>
  <c r="CG110" i="22"/>
  <c r="CH110" i="22" s="1"/>
  <c r="CB49" i="22"/>
  <c r="I82" i="22"/>
  <c r="BE82" i="22" s="1"/>
  <c r="CB82" i="22"/>
  <c r="AW127" i="22"/>
  <c r="AF136" i="22"/>
  <c r="AS136" i="22" s="1"/>
  <c r="CG137" i="22"/>
  <c r="CH137" i="22" s="1"/>
  <c r="CG128" i="22"/>
  <c r="CH128" i="22" s="1"/>
  <c r="AW137" i="22"/>
  <c r="CG129" i="22"/>
  <c r="CH129" i="22" s="1"/>
  <c r="AG118" i="22"/>
  <c r="CG120" i="22"/>
  <c r="CH120" i="22" s="1"/>
  <c r="AF137" i="22"/>
  <c r="AP137" i="22" s="1"/>
  <c r="AF115" i="22"/>
  <c r="AF120" i="22"/>
  <c r="AW136" i="22"/>
  <c r="AF112" i="22"/>
  <c r="AP112" i="22" s="1"/>
  <c r="CG136" i="22"/>
  <c r="CH136" i="22" s="1"/>
  <c r="CG118" i="22"/>
  <c r="CH118" i="22" s="1"/>
  <c r="AF123" i="22"/>
  <c r="AS123" i="22" s="1"/>
  <c r="CG113" i="22"/>
  <c r="CH113" i="22" s="1"/>
  <c r="CB46" i="22"/>
  <c r="AF124" i="22"/>
  <c r="AS124" i="22" s="1"/>
  <c r="CG112" i="22"/>
  <c r="CH112" i="22" s="1"/>
  <c r="AF143" i="22"/>
  <c r="AF149" i="22"/>
  <c r="AW121" i="22"/>
  <c r="CG126" i="22"/>
  <c r="CH126" i="22" s="1"/>
  <c r="CG121" i="22"/>
  <c r="CH121" i="22" s="1"/>
  <c r="AF146" i="22"/>
  <c r="AP146" i="22" s="1"/>
  <c r="AW111" i="22"/>
  <c r="CG127" i="22"/>
  <c r="CH127" i="22" s="1"/>
  <c r="AF127" i="22"/>
  <c r="AW115" i="22"/>
  <c r="CG122" i="22"/>
  <c r="CH122" i="22" s="1"/>
  <c r="AL49" i="22"/>
  <c r="BD49" i="22"/>
  <c r="BD32" i="22"/>
  <c r="BD63" i="22"/>
  <c r="AL76" i="22"/>
  <c r="BD76" i="22"/>
  <c r="BD77" i="22"/>
  <c r="AY151" i="22"/>
  <c r="AZ151" i="22" s="1"/>
  <c r="BD44" i="22"/>
  <c r="CB67" i="22"/>
  <c r="I67" i="22"/>
  <c r="Y67" i="22" s="1"/>
  <c r="BY67" i="22"/>
  <c r="AV25" i="22"/>
  <c r="V25" i="22"/>
  <c r="J25" i="22"/>
  <c r="AM25" i="22"/>
  <c r="AN25" i="22"/>
  <c r="AL25" i="22"/>
  <c r="AY150" i="22"/>
  <c r="AZ150" i="22" s="1"/>
  <c r="AO62" i="22"/>
  <c r="AM62" i="22"/>
  <c r="V62" i="22"/>
  <c r="AN62" i="22"/>
  <c r="AL62" i="22"/>
  <c r="J62" i="22"/>
  <c r="AO69" i="22"/>
  <c r="V69" i="22"/>
  <c r="AN69" i="22"/>
  <c r="AM69" i="22"/>
  <c r="BY37" i="22"/>
  <c r="I37" i="22"/>
  <c r="J37" i="22" s="1"/>
  <c r="CB37" i="22"/>
  <c r="AY145" i="22"/>
  <c r="AZ145" i="22" s="1"/>
  <c r="AR68" i="22"/>
  <c r="AN68" i="22"/>
  <c r="AM68" i="22"/>
  <c r="V68" i="22"/>
  <c r="AR57" i="22"/>
  <c r="AM57" i="22"/>
  <c r="AN57" i="22"/>
  <c r="V57" i="22"/>
  <c r="BD41" i="22"/>
  <c r="AR71" i="22"/>
  <c r="AN71" i="22"/>
  <c r="AM71" i="22"/>
  <c r="V71" i="22"/>
  <c r="J71" i="22"/>
  <c r="AL71" i="22"/>
  <c r="CA78" i="22"/>
  <c r="BZ78" i="22"/>
  <c r="BR32" i="22"/>
  <c r="M32" i="22"/>
  <c r="O32" i="22" s="1"/>
  <c r="AK32" i="22"/>
  <c r="BE32" i="22"/>
  <c r="AI32" i="22"/>
  <c r="AR72" i="22"/>
  <c r="V72" i="22"/>
  <c r="AN72" i="22"/>
  <c r="BQ72" i="22"/>
  <c r="AM72" i="22"/>
  <c r="J72" i="22"/>
  <c r="BR72" i="22"/>
  <c r="BS72" i="22"/>
  <c r="W146" i="22"/>
  <c r="AB146" i="22"/>
  <c r="BY85" i="22"/>
  <c r="I85" i="22"/>
  <c r="BR85" i="22" s="1"/>
  <c r="CB85" i="22"/>
  <c r="CB68" i="22"/>
  <c r="BY68" i="22"/>
  <c r="I68" i="22"/>
  <c r="BQ68" i="22" s="1"/>
  <c r="AO57" i="22"/>
  <c r="BY38" i="22"/>
  <c r="CB38" i="22"/>
  <c r="I38" i="22"/>
  <c r="BR38" i="22" s="1"/>
  <c r="CA76" i="22"/>
  <c r="BV76" i="22" s="1"/>
  <c r="BZ76" i="22"/>
  <c r="AW112" i="22"/>
  <c r="CA58" i="22"/>
  <c r="BV58" i="22" s="1"/>
  <c r="BZ58" i="22"/>
  <c r="CA75" i="22"/>
  <c r="BZ75" i="22"/>
  <c r="AR55" i="22"/>
  <c r="V55" i="22"/>
  <c r="AM55" i="22"/>
  <c r="AN55" i="22"/>
  <c r="AV80" i="22"/>
  <c r="AM80" i="22"/>
  <c r="V80" i="22"/>
  <c r="AN80" i="22"/>
  <c r="AL80" i="22"/>
  <c r="J80" i="22"/>
  <c r="AF118" i="22"/>
  <c r="I73" i="22"/>
  <c r="Y73" i="22" s="1"/>
  <c r="BY73" i="22"/>
  <c r="CB73" i="22"/>
  <c r="BD71" i="22"/>
  <c r="AR58" i="22"/>
  <c r="V58" i="22"/>
  <c r="AN58" i="22"/>
  <c r="AM58" i="22"/>
  <c r="J58" i="22"/>
  <c r="AL58" i="22"/>
  <c r="AR88" i="22"/>
  <c r="V88" i="22"/>
  <c r="AM88" i="22"/>
  <c r="AN88" i="22"/>
  <c r="J88" i="22"/>
  <c r="AL88" i="22"/>
  <c r="AO31" i="22"/>
  <c r="V31" i="22"/>
  <c r="AN31" i="22"/>
  <c r="AM31" i="22"/>
  <c r="AL31" i="22"/>
  <c r="BQ31" i="22"/>
  <c r="BR31" i="22"/>
  <c r="J31" i="22"/>
  <c r="BS31" i="22"/>
  <c r="CA80" i="22"/>
  <c r="BV80" i="22" s="1"/>
  <c r="BZ80" i="22"/>
  <c r="BD55" i="22"/>
  <c r="I33" i="22"/>
  <c r="BS33" i="22" s="1"/>
  <c r="CB33" i="22"/>
  <c r="BY33" i="22"/>
  <c r="AO68" i="22"/>
  <c r="AR46" i="22"/>
  <c r="V46" i="22"/>
  <c r="AM46" i="22"/>
  <c r="AN46" i="22"/>
  <c r="AL46" i="22"/>
  <c r="J46" i="22"/>
  <c r="AO78" i="22"/>
  <c r="V78" i="22"/>
  <c r="AN78" i="22"/>
  <c r="AM78" i="22"/>
  <c r="J78" i="22"/>
  <c r="AL75" i="22"/>
  <c r="AR29" i="22"/>
  <c r="AM29" i="22"/>
  <c r="AN29" i="22"/>
  <c r="V29" i="22"/>
  <c r="AW123" i="22"/>
  <c r="CG146" i="22"/>
  <c r="CH146" i="22" s="1"/>
  <c r="AO59" i="22"/>
  <c r="V59" i="22"/>
  <c r="AN59" i="22"/>
  <c r="AM59" i="22"/>
  <c r="J59" i="22"/>
  <c r="AL59" i="22"/>
  <c r="AO25" i="22"/>
  <c r="AR67" i="22"/>
  <c r="AN67" i="22"/>
  <c r="AM67" i="22"/>
  <c r="V67" i="22"/>
  <c r="CA45" i="22"/>
  <c r="Z45" i="22"/>
  <c r="AA45" i="22" s="1"/>
  <c r="BZ45" i="22"/>
  <c r="AW126" i="22"/>
  <c r="Y59" i="22"/>
  <c r="AG134" i="22"/>
  <c r="AY116" i="22"/>
  <c r="AZ116" i="22" s="1"/>
  <c r="AO75" i="22"/>
  <c r="V75" i="22"/>
  <c r="AM75" i="22"/>
  <c r="AN75" i="22"/>
  <c r="J75" i="22"/>
  <c r="AF141" i="22"/>
  <c r="W148" i="22"/>
  <c r="AB148" i="22"/>
  <c r="BY62" i="22"/>
  <c r="CB62" i="22"/>
  <c r="I62" i="22"/>
  <c r="BS62" i="22" s="1"/>
  <c r="AF135" i="22"/>
  <c r="CB88" i="22"/>
  <c r="BY88" i="22"/>
  <c r="I88" i="22"/>
  <c r="BR88" i="22" s="1"/>
  <c r="AW124" i="22"/>
  <c r="CB56" i="22"/>
  <c r="I56" i="22"/>
  <c r="Y56" i="22" s="1"/>
  <c r="BY56" i="22"/>
  <c r="AF138" i="22"/>
  <c r="BD82" i="22"/>
  <c r="AM54" i="22"/>
  <c r="V54" i="22"/>
  <c r="AN54" i="22"/>
  <c r="CB34" i="22"/>
  <c r="I34" i="22"/>
  <c r="BS34" i="22" s="1"/>
  <c r="BY34" i="22"/>
  <c r="AO79" i="22"/>
  <c r="V79" i="22"/>
  <c r="AN79" i="22"/>
  <c r="AM79" i="22"/>
  <c r="AL79" i="22"/>
  <c r="J79" i="22"/>
  <c r="AR45" i="22"/>
  <c r="AM45" i="22"/>
  <c r="V45" i="22"/>
  <c r="AN45" i="22"/>
  <c r="J45" i="22"/>
  <c r="BS45" i="22"/>
  <c r="BQ45" i="22"/>
  <c r="AL45" i="22"/>
  <c r="BY51" i="22"/>
  <c r="I51" i="22"/>
  <c r="BS51" i="22" s="1"/>
  <c r="CB51" i="22"/>
  <c r="CG148" i="22"/>
  <c r="CH148" i="22" s="1"/>
  <c r="AR76" i="22"/>
  <c r="AM76" i="22"/>
  <c r="V76" i="22"/>
  <c r="AN76" i="22"/>
  <c r="J76" i="22"/>
  <c r="CA64" i="22"/>
  <c r="CJ64" i="22" s="1"/>
  <c r="BZ64" i="22"/>
  <c r="BY41" i="22"/>
  <c r="CB41" i="22"/>
  <c r="I41" i="22"/>
  <c r="AF122" i="22"/>
  <c r="W149" i="22"/>
  <c r="AB149" i="22"/>
  <c r="AW118" i="22"/>
  <c r="AM66" i="22"/>
  <c r="V66" i="22"/>
  <c r="AN66" i="22"/>
  <c r="AM70" i="22"/>
  <c r="AN70" i="22"/>
  <c r="V70" i="22"/>
  <c r="J70" i="22"/>
  <c r="AL70" i="22"/>
  <c r="BR70" i="22"/>
  <c r="BQ70" i="22"/>
  <c r="Y31" i="22"/>
  <c r="BE31" i="22"/>
  <c r="AI31" i="22"/>
  <c r="AK31" i="22"/>
  <c r="M31" i="22"/>
  <c r="O31" i="22" s="1"/>
  <c r="AO50" i="22"/>
  <c r="AN50" i="22"/>
  <c r="AM50" i="22"/>
  <c r="V50" i="22"/>
  <c r="J50" i="22"/>
  <c r="AL50" i="22"/>
  <c r="AW113" i="22"/>
  <c r="AO88" i="22"/>
  <c r="I48" i="22"/>
  <c r="BR48" i="22" s="1"/>
  <c r="CB48" i="22"/>
  <c r="BY48" i="22"/>
  <c r="CB29" i="22"/>
  <c r="BY29" i="22"/>
  <c r="I29" i="22"/>
  <c r="CB80" i="22"/>
  <c r="I80" i="22"/>
  <c r="Z80" i="22" s="1"/>
  <c r="AD80" i="22" s="1"/>
  <c r="BY80" i="22"/>
  <c r="CA79" i="22"/>
  <c r="BZ79" i="22"/>
  <c r="CR35" i="22"/>
  <c r="I35" i="22"/>
  <c r="Y35" i="22" s="1"/>
  <c r="CB35" i="22"/>
  <c r="BY35" i="22"/>
  <c r="AR74" i="22"/>
  <c r="V74" i="22"/>
  <c r="AN74" i="22"/>
  <c r="AM74" i="22"/>
  <c r="BD45" i="22"/>
  <c r="AO64" i="22"/>
  <c r="AM64" i="22"/>
  <c r="V64" i="22"/>
  <c r="AN64" i="22"/>
  <c r="AL64" i="22"/>
  <c r="J64" i="22"/>
  <c r="AO43" i="22"/>
  <c r="AN43" i="22"/>
  <c r="AM43" i="22"/>
  <c r="V43" i="22"/>
  <c r="AO60" i="22"/>
  <c r="AL60" i="22"/>
  <c r="AM60" i="22"/>
  <c r="AN60" i="22"/>
  <c r="V60" i="22"/>
  <c r="BR60" i="22"/>
  <c r="BQ60" i="22"/>
  <c r="BS60" i="22"/>
  <c r="J60" i="22"/>
  <c r="AT84" i="22"/>
  <c r="AU84" i="22" s="1"/>
  <c r="AM84" i="22"/>
  <c r="AN84" i="22"/>
  <c r="V84" i="22"/>
  <c r="CB74" i="22"/>
  <c r="BY74" i="22"/>
  <c r="I74" i="22"/>
  <c r="J74" i="22" s="1"/>
  <c r="AF129" i="22"/>
  <c r="AS129" i="22" s="1"/>
  <c r="AW141" i="22"/>
  <c r="AR52" i="22"/>
  <c r="AN52" i="22"/>
  <c r="V52" i="22"/>
  <c r="AM52" i="22"/>
  <c r="AL52" i="22"/>
  <c r="J52" i="22"/>
  <c r="AR33" i="22"/>
  <c r="V33" i="22"/>
  <c r="AN33" i="22"/>
  <c r="AM33" i="22"/>
  <c r="CB58" i="22"/>
  <c r="BY58" i="22"/>
  <c r="I58" i="22"/>
  <c r="Z58" i="22" s="1"/>
  <c r="CA70" i="22"/>
  <c r="BV70" i="22" s="1"/>
  <c r="BZ70" i="22"/>
  <c r="Z70" i="22"/>
  <c r="AA70" i="22" s="1"/>
  <c r="AR51" i="22"/>
  <c r="AN51" i="22"/>
  <c r="AM51" i="22"/>
  <c r="V51" i="22"/>
  <c r="AL51" i="22"/>
  <c r="J51" i="22"/>
  <c r="AR35" i="22"/>
  <c r="V35" i="22"/>
  <c r="AN35" i="22"/>
  <c r="AM35" i="22"/>
  <c r="AF111" i="22"/>
  <c r="AP111" i="22" s="1"/>
  <c r="AO66" i="22"/>
  <c r="AO28" i="22"/>
  <c r="AN28" i="22"/>
  <c r="AL28" i="22"/>
  <c r="J28" i="22"/>
  <c r="V28" i="22"/>
  <c r="AM28" i="22"/>
  <c r="AV85" i="22"/>
  <c r="AN85" i="22"/>
  <c r="V85" i="22"/>
  <c r="AM85" i="22"/>
  <c r="AW134" i="22"/>
  <c r="CG134" i="22"/>
  <c r="CH134" i="22" s="1"/>
  <c r="AT40" i="22"/>
  <c r="AU40" i="22" s="1"/>
  <c r="AN40" i="22"/>
  <c r="AM40" i="22"/>
  <c r="V40" i="22"/>
  <c r="I26" i="22"/>
  <c r="BQ26" i="22" s="1"/>
  <c r="BY26" i="22"/>
  <c r="CB26" i="22"/>
  <c r="BD73" i="22"/>
  <c r="AW135" i="22"/>
  <c r="AF121" i="22"/>
  <c r="I84" i="22"/>
  <c r="J84" i="22" s="1"/>
  <c r="BY84" i="22"/>
  <c r="CB84" i="22"/>
  <c r="AO58" i="22"/>
  <c r="I69" i="22"/>
  <c r="Y69" i="22" s="1"/>
  <c r="BY69" i="22"/>
  <c r="CB69" i="22"/>
  <c r="W111" i="22"/>
  <c r="AB111" i="22"/>
  <c r="M61" i="22"/>
  <c r="O61" i="22" s="1"/>
  <c r="W61" i="22" s="1"/>
  <c r="BE61" i="22"/>
  <c r="AI61" i="22"/>
  <c r="AK61" i="22"/>
  <c r="BZ26" i="22"/>
  <c r="CA26" i="22"/>
  <c r="BV26" i="22" s="1"/>
  <c r="AO52" i="22"/>
  <c r="AO67" i="22"/>
  <c r="Z60" i="22"/>
  <c r="AA60" i="22" s="1"/>
  <c r="CA60" i="22"/>
  <c r="BV60" i="22" s="1"/>
  <c r="BZ60" i="22"/>
  <c r="CA27" i="22"/>
  <c r="BV27" i="22" s="1"/>
  <c r="BZ27" i="22"/>
  <c r="AW122" i="22"/>
  <c r="BY86" i="22"/>
  <c r="I86" i="22"/>
  <c r="AL86" i="22" s="1"/>
  <c r="CB86" i="22"/>
  <c r="CA52" i="22"/>
  <c r="CJ52" i="22" s="1"/>
  <c r="BZ52" i="22"/>
  <c r="AR37" i="22"/>
  <c r="AM37" i="22"/>
  <c r="AN37" i="22"/>
  <c r="V37" i="22"/>
  <c r="I47" i="22"/>
  <c r="BR47" i="22" s="1"/>
  <c r="BY47" i="22"/>
  <c r="CB47" i="22"/>
  <c r="AO37" i="22"/>
  <c r="Y83" i="22"/>
  <c r="BD53" i="22"/>
  <c r="AO48" i="22"/>
  <c r="AN48" i="22"/>
  <c r="AM48" i="22"/>
  <c r="V48" i="22"/>
  <c r="AL48" i="22"/>
  <c r="J48" i="22"/>
  <c r="BS70" i="22"/>
  <c r="AI70" i="22"/>
  <c r="M70" i="22"/>
  <c r="O70" i="22" s="1"/>
  <c r="W70" i="22" s="1"/>
  <c r="BE70" i="22"/>
  <c r="AK70" i="22"/>
  <c r="BD65" i="22"/>
  <c r="AO34" i="22"/>
  <c r="AM34" i="22"/>
  <c r="V34" i="22"/>
  <c r="AN34" i="22"/>
  <c r="AL34" i="22"/>
  <c r="J34" i="22"/>
  <c r="AO47" i="22"/>
  <c r="AM47" i="22"/>
  <c r="V47" i="22"/>
  <c r="AN47" i="22"/>
  <c r="J47" i="22"/>
  <c r="AL47" i="22"/>
  <c r="AO35" i="22"/>
  <c r="BE60" i="22"/>
  <c r="M60" i="22"/>
  <c r="O60" i="22" s="1"/>
  <c r="W60" i="22" s="1"/>
  <c r="AK60" i="22"/>
  <c r="AI60" i="22"/>
  <c r="CA63" i="22"/>
  <c r="BV63" i="22" s="1"/>
  <c r="BZ63" i="22"/>
  <c r="BD56" i="22"/>
  <c r="AR44" i="22"/>
  <c r="AN44" i="22"/>
  <c r="AM44" i="22"/>
  <c r="V44" i="22"/>
  <c r="BZ28" i="22"/>
  <c r="CA28" i="22"/>
  <c r="BV28" i="22" s="1"/>
  <c r="BD85" i="22"/>
  <c r="AO38" i="22"/>
  <c r="AM38" i="22"/>
  <c r="AN38" i="22"/>
  <c r="V38" i="22"/>
  <c r="AK72" i="22"/>
  <c r="M72" i="22"/>
  <c r="O72" i="22" s="1"/>
  <c r="BE72" i="22"/>
  <c r="AI72" i="22"/>
  <c r="AO29" i="22"/>
  <c r="AO27" i="22"/>
  <c r="AN27" i="22"/>
  <c r="AM27" i="22"/>
  <c r="V27" i="22"/>
  <c r="J27" i="22"/>
  <c r="AL27" i="22"/>
  <c r="Y46" i="22"/>
  <c r="BD70" i="22"/>
  <c r="BD80" i="22"/>
  <c r="BD86" i="22"/>
  <c r="AU146" i="22"/>
  <c r="AW146" i="22" s="1"/>
  <c r="CB71" i="22"/>
  <c r="BY71" i="22"/>
  <c r="I71" i="22"/>
  <c r="BR71" i="22" s="1"/>
  <c r="BY44" i="22"/>
  <c r="I44" i="22"/>
  <c r="BR44" i="22" s="1"/>
  <c r="CB44" i="22"/>
  <c r="AR65" i="22"/>
  <c r="AM65" i="22"/>
  <c r="V65" i="22"/>
  <c r="AN65" i="22"/>
  <c r="J65" i="22"/>
  <c r="AL65" i="22"/>
  <c r="BR65" i="22"/>
  <c r="BS65" i="22"/>
  <c r="AO26" i="22"/>
  <c r="AM26" i="22"/>
  <c r="AL26" i="22"/>
  <c r="J26" i="22"/>
  <c r="V26" i="22"/>
  <c r="AN26" i="22"/>
  <c r="BY27" i="22"/>
  <c r="CB27" i="22"/>
  <c r="I27" i="22"/>
  <c r="BQ27" i="22" s="1"/>
  <c r="BR45" i="22"/>
  <c r="M45" i="22"/>
  <c r="O45" i="22" s="1"/>
  <c r="W45" i="22" s="1"/>
  <c r="BE45" i="22"/>
  <c r="AI45" i="22"/>
  <c r="AK45" i="22"/>
  <c r="AR63" i="22"/>
  <c r="V63" i="22"/>
  <c r="AN63" i="22"/>
  <c r="AM63" i="22"/>
  <c r="AL63" i="22"/>
  <c r="J63" i="22"/>
  <c r="W112" i="22"/>
  <c r="AB112" i="22"/>
  <c r="AG120" i="22"/>
  <c r="CG143" i="22"/>
  <c r="CH143" i="22" s="1"/>
  <c r="AV41" i="22"/>
  <c r="AN41" i="22"/>
  <c r="V41" i="22"/>
  <c r="AM41" i="22"/>
  <c r="AR87" i="22"/>
  <c r="AM87" i="22"/>
  <c r="V87" i="22"/>
  <c r="AE87" i="22" s="1"/>
  <c r="BQ87" i="22"/>
  <c r="AN87" i="22"/>
  <c r="BS87" i="22"/>
  <c r="J87" i="22"/>
  <c r="BR87" i="22"/>
  <c r="AL87" i="22"/>
  <c r="AR86" i="22"/>
  <c r="V86" i="22"/>
  <c r="AM86" i="22"/>
  <c r="AN86" i="22"/>
  <c r="AR61" i="22"/>
  <c r="AM61" i="22"/>
  <c r="AN61" i="22"/>
  <c r="V61" i="22"/>
  <c r="J61" i="22"/>
  <c r="BQ61" i="22"/>
  <c r="AL61" i="22"/>
  <c r="BR61" i="22"/>
  <c r="BS61" i="22"/>
  <c r="W121" i="22"/>
  <c r="AB121" i="22"/>
  <c r="AR32" i="22"/>
  <c r="AN32" i="22"/>
  <c r="AM32" i="22"/>
  <c r="V32" i="22"/>
  <c r="AE32" i="22" s="1"/>
  <c r="BQ32" i="22"/>
  <c r="J32" i="22"/>
  <c r="AL32" i="22"/>
  <c r="BS32" i="22"/>
  <c r="BY57" i="22"/>
  <c r="CB57" i="22"/>
  <c r="I57" i="22"/>
  <c r="BS57" i="22" s="1"/>
  <c r="W113" i="22"/>
  <c r="AB113" i="22"/>
  <c r="BY63" i="22"/>
  <c r="CB63" i="22"/>
  <c r="I63" i="22"/>
  <c r="Z63" i="22" s="1"/>
  <c r="CA65" i="22"/>
  <c r="BV65" i="22" s="1"/>
  <c r="BZ65" i="22"/>
  <c r="Z65" i="22"/>
  <c r="AE65" i="22"/>
  <c r="AD65" i="22"/>
  <c r="AR77" i="22"/>
  <c r="AM77" i="22"/>
  <c r="V77" i="22"/>
  <c r="AN77" i="22"/>
  <c r="J77" i="22"/>
  <c r="AL77" i="22"/>
  <c r="AY152" i="22"/>
  <c r="AZ152" i="22" s="1"/>
  <c r="AL72" i="22"/>
  <c r="BD72" i="22"/>
  <c r="AO33" i="22"/>
  <c r="AK49" i="22"/>
  <c r="BE49" i="22"/>
  <c r="AI49" i="22"/>
  <c r="M49" i="22"/>
  <c r="O49" i="22" s="1"/>
  <c r="W49" i="22" s="1"/>
  <c r="BZ87" i="22"/>
  <c r="Z87" i="22"/>
  <c r="AA87" i="22" s="1"/>
  <c r="CA87" i="22"/>
  <c r="BV87" i="22" s="1"/>
  <c r="CG149" i="22"/>
  <c r="CH149" i="22" s="1"/>
  <c r="Z61" i="22"/>
  <c r="AA61" i="22" s="1"/>
  <c r="BZ61" i="22"/>
  <c r="CA61" i="22"/>
  <c r="BV61" i="22" s="1"/>
  <c r="AE61" i="22"/>
  <c r="Z49" i="22"/>
  <c r="AA49" i="22" s="1"/>
  <c r="CA49" i="22"/>
  <c r="BV49" i="22" s="1"/>
  <c r="BZ49" i="22"/>
  <c r="BD54" i="22"/>
  <c r="BZ32" i="22"/>
  <c r="Z32" i="22"/>
  <c r="AA32" i="22" s="1"/>
  <c r="CA32" i="22"/>
  <c r="BV32" i="22" s="1"/>
  <c r="AC32" i="22"/>
  <c r="AD32" i="22"/>
  <c r="BZ39" i="22"/>
  <c r="CA39" i="22"/>
  <c r="BV39" i="22" s="1"/>
  <c r="CB76" i="22"/>
  <c r="I76" i="22"/>
  <c r="BS76" i="22" s="1"/>
  <c r="BY76" i="22"/>
  <c r="AG113" i="22"/>
  <c r="BY43" i="22"/>
  <c r="I43" i="22"/>
  <c r="CB43" i="22"/>
  <c r="BY36" i="22"/>
  <c r="I36" i="22"/>
  <c r="BQ36" i="22" s="1"/>
  <c r="CB36" i="22"/>
  <c r="AR30" i="22"/>
  <c r="AM30" i="22"/>
  <c r="V30" i="22"/>
  <c r="AN30" i="22"/>
  <c r="BZ77" i="22"/>
  <c r="CA77" i="22"/>
  <c r="BV77" i="22" s="1"/>
  <c r="AO30" i="22"/>
  <c r="AR73" i="22"/>
  <c r="AN73" i="22"/>
  <c r="AM73" i="22"/>
  <c r="V73" i="22"/>
  <c r="AW143" i="22"/>
  <c r="BY28" i="22"/>
  <c r="I28" i="22"/>
  <c r="BS28" i="22" s="1"/>
  <c r="CB28" i="22"/>
  <c r="AR49" i="22"/>
  <c r="AM49" i="22"/>
  <c r="AN49" i="22"/>
  <c r="V49" i="22"/>
  <c r="BR49" i="22"/>
  <c r="J49" i="22"/>
  <c r="BS49" i="22"/>
  <c r="BQ49" i="22"/>
  <c r="AO36" i="22"/>
  <c r="AN36" i="22"/>
  <c r="AM36" i="22"/>
  <c r="V36" i="22"/>
  <c r="AW128" i="22"/>
  <c r="CR25" i="22"/>
  <c r="BY25" i="22"/>
  <c r="I25" i="22"/>
  <c r="BS25" i="22" s="1"/>
  <c r="CB25" i="22"/>
  <c r="AU148" i="22"/>
  <c r="AW148" i="22" s="1"/>
  <c r="AO39" i="22"/>
  <c r="V39" i="22"/>
  <c r="AN39" i="22"/>
  <c r="AM39" i="22"/>
  <c r="J39" i="22"/>
  <c r="AL39" i="22"/>
  <c r="AT83" i="22"/>
  <c r="AU83" i="22" s="1"/>
  <c r="AN83" i="22"/>
  <c r="AM83" i="22"/>
  <c r="V83" i="22"/>
  <c r="AR53" i="22"/>
  <c r="AN53" i="22"/>
  <c r="AM53" i="22"/>
  <c r="V53" i="22"/>
  <c r="CB50" i="22"/>
  <c r="BY50" i="22"/>
  <c r="I50" i="22"/>
  <c r="BS50" i="22" s="1"/>
  <c r="AF113" i="22"/>
  <c r="BZ25" i="22"/>
  <c r="CA25" i="22"/>
  <c r="BV25" i="22" s="1"/>
  <c r="AW138" i="22"/>
  <c r="BZ62" i="22"/>
  <c r="CA62" i="22"/>
  <c r="BV62" i="22" s="1"/>
  <c r="BD61" i="22"/>
  <c r="AR81" i="22"/>
  <c r="V81" i="22"/>
  <c r="AM81" i="22"/>
  <c r="AN81" i="22"/>
  <c r="BD74" i="22"/>
  <c r="BD87" i="22"/>
  <c r="AR56" i="22"/>
  <c r="AM56" i="22"/>
  <c r="AN56" i="22"/>
  <c r="V56" i="22"/>
  <c r="AO46" i="22"/>
  <c r="AK87" i="22"/>
  <c r="AI87" i="22"/>
  <c r="BE87" i="22"/>
  <c r="M87" i="22"/>
  <c r="O87" i="22" s="1"/>
  <c r="AL78" i="22"/>
  <c r="AF126" i="22"/>
  <c r="AV82" i="22"/>
  <c r="AM82" i="22"/>
  <c r="V82" i="22"/>
  <c r="AN82" i="22"/>
  <c r="CA88" i="22"/>
  <c r="BV88" i="22" s="1"/>
  <c r="BZ88" i="22"/>
  <c r="AU149" i="22"/>
  <c r="AW149" i="22" s="1"/>
  <c r="CG123" i="22"/>
  <c r="CH123" i="22" s="1"/>
  <c r="AO51" i="22"/>
  <c r="AW129" i="22"/>
  <c r="BQ65" i="22"/>
  <c r="AK65" i="22"/>
  <c r="M65" i="22"/>
  <c r="AI65" i="22"/>
  <c r="BE65" i="22"/>
  <c r="W118" i="22"/>
  <c r="AB118" i="22"/>
  <c r="CB18" i="22"/>
  <c r="I18" i="22"/>
  <c r="BR18" i="22" s="1"/>
  <c r="BZ18" i="22"/>
  <c r="CC18" i="22" s="1"/>
  <c r="BY18" i="22"/>
  <c r="CO18" i="22" s="1"/>
  <c r="CQ18" i="22" s="1"/>
  <c r="CR24" i="22"/>
  <c r="CR14" i="22"/>
  <c r="CR16" i="22"/>
  <c r="CE109" i="22"/>
  <c r="V18" i="22"/>
  <c r="AN18" i="22"/>
  <c r="AM18" i="22"/>
  <c r="AV18" i="22"/>
  <c r="AT18" i="22"/>
  <c r="AU18" i="22" s="1"/>
  <c r="CB200" i="22"/>
  <c r="BY204" i="22"/>
  <c r="CO204" i="22" s="1"/>
  <c r="CP204" i="22" s="1"/>
  <c r="BY200" i="22"/>
  <c r="CO200" i="22" s="1"/>
  <c r="CQ200" i="22" s="1"/>
  <c r="AR334" i="22"/>
  <c r="I320" i="22"/>
  <c r="BE320" i="22" s="1"/>
  <c r="BG320" i="22" s="1"/>
  <c r="AR329" i="22"/>
  <c r="I322" i="22"/>
  <c r="BQ322" i="22" s="1"/>
  <c r="BZ279" i="22"/>
  <c r="CC279" i="22" s="1"/>
  <c r="AR307" i="22"/>
  <c r="AR305" i="22"/>
  <c r="AR296" i="22"/>
  <c r="AR290" i="22"/>
  <c r="CD325" i="22"/>
  <c r="CR13" i="22"/>
  <c r="CB325" i="22"/>
  <c r="CB260" i="22"/>
  <c r="I279" i="22"/>
  <c r="BQ279" i="22" s="1"/>
  <c r="BY306" i="22"/>
  <c r="CO306" i="22" s="1"/>
  <c r="CP306" i="22" s="1"/>
  <c r="BY279" i="22"/>
  <c r="CO279" i="22" s="1"/>
  <c r="CQ279" i="22" s="1"/>
  <c r="CR19" i="22"/>
  <c r="AR278" i="22"/>
  <c r="E109" i="22"/>
  <c r="BY267" i="22"/>
  <c r="CO267" i="22" s="1"/>
  <c r="CQ267" i="22" s="1"/>
  <c r="I290" i="22"/>
  <c r="AK290" i="22" s="1"/>
  <c r="BY325" i="22"/>
  <c r="CO325" i="22" s="1"/>
  <c r="CQ325" i="22" s="1"/>
  <c r="BY290" i="22"/>
  <c r="CO290" i="22" s="1"/>
  <c r="CP290" i="22" s="1"/>
  <c r="I325" i="22"/>
  <c r="BR325" i="22" s="1"/>
  <c r="I260" i="22"/>
  <c r="M260" i="22" s="1"/>
  <c r="O260" i="22" s="1"/>
  <c r="BY284" i="22"/>
  <c r="BY285" i="22"/>
  <c r="CO285" i="22" s="1"/>
  <c r="CQ285" i="22" s="1"/>
  <c r="I267" i="22"/>
  <c r="M267" i="22" s="1"/>
  <c r="O267" i="22" s="1"/>
  <c r="CB267" i="22"/>
  <c r="CR15" i="22"/>
  <c r="N200" i="22"/>
  <c r="AR272" i="22"/>
  <c r="AR273" i="22"/>
  <c r="BH246" i="22"/>
  <c r="BM200" i="22"/>
  <c r="BM246" i="22" s="1"/>
  <c r="BN200" i="22"/>
  <c r="BN246" i="22" s="1"/>
  <c r="BO200" i="22"/>
  <c r="BO246" i="22" s="1"/>
  <c r="BK200" i="22"/>
  <c r="BK246" i="22" s="1"/>
  <c r="BI200" i="22"/>
  <c r="BI246" i="22" s="1"/>
  <c r="BL200" i="22"/>
  <c r="BL246" i="22" s="1"/>
  <c r="CD292" i="22"/>
  <c r="BK109" i="22"/>
  <c r="BK183" i="22" s="1"/>
  <c r="BN109" i="22"/>
  <c r="BN183" i="22" s="1"/>
  <c r="BI109" i="22"/>
  <c r="BI183" i="22" s="1"/>
  <c r="CX183" i="22"/>
  <c r="E2487" i="19" s="1"/>
  <c r="E2489" i="19" s="1"/>
  <c r="D2486" i="19" s="1"/>
  <c r="H491" i="4" s="1"/>
  <c r="BH183" i="22"/>
  <c r="BO109" i="22"/>
  <c r="BO183" i="22" s="1"/>
  <c r="BZ200" i="22"/>
  <c r="BE79" i="20"/>
  <c r="AK80" i="20"/>
  <c r="Z47" i="20"/>
  <c r="AL32" i="20"/>
  <c r="AL48" i="20"/>
  <c r="AJ28" i="20"/>
  <c r="L833" i="4"/>
  <c r="O3865" i="19"/>
  <c r="D3848" i="19" s="1"/>
  <c r="H503" i="4" s="1"/>
  <c r="Z103" i="20"/>
  <c r="Z70" i="20"/>
  <c r="AO47" i="20"/>
  <c r="AO32" i="20"/>
  <c r="AN82" i="20"/>
  <c r="AJ82" i="20"/>
  <c r="AP159" i="20"/>
  <c r="AM83" i="20"/>
  <c r="AM82" i="20"/>
  <c r="BE46" i="20"/>
  <c r="AJ147" i="20"/>
  <c r="AO162" i="20"/>
  <c r="AM7" i="20"/>
  <c r="AL54" i="20"/>
  <c r="AJ32" i="20"/>
  <c r="Z32" i="20"/>
  <c r="N21" i="20"/>
  <c r="AO21" i="20"/>
  <c r="AP21" i="20"/>
  <c r="AA21" i="20"/>
  <c r="BR91" i="20"/>
  <c r="Z159" i="20"/>
  <c r="CM23" i="20"/>
  <c r="CL23" i="20"/>
  <c r="CK23" i="20"/>
  <c r="AQ186" i="20"/>
  <c r="AA11" i="20"/>
  <c r="AJ61" i="20"/>
  <c r="AN61" i="20"/>
  <c r="Z31" i="20"/>
  <c r="AM8" i="20"/>
  <c r="AO8" i="20"/>
  <c r="AQ8" i="20"/>
  <c r="BC73" i="20"/>
  <c r="BE73" i="20" s="1"/>
  <c r="CK158" i="20"/>
  <c r="Z43" i="20"/>
  <c r="AJ80" i="20"/>
  <c r="AK24" i="20"/>
  <c r="AL11" i="20"/>
  <c r="AC31" i="20"/>
  <c r="AQ159" i="20"/>
  <c r="V173" i="20"/>
  <c r="BO91" i="20"/>
  <c r="AF72" i="20"/>
  <c r="AP72" i="20"/>
  <c r="AM72" i="20"/>
  <c r="AO72" i="20"/>
  <c r="CM156" i="20"/>
  <c r="AK174" i="20"/>
  <c r="Z49" i="20"/>
  <c r="BE31" i="20"/>
  <c r="Z30" i="20"/>
  <c r="BA148" i="20"/>
  <c r="AO157" i="20"/>
  <c r="CK161" i="20"/>
  <c r="AL31" i="20"/>
  <c r="AE31" i="20"/>
  <c r="AL162" i="20"/>
  <c r="AN162" i="20"/>
  <c r="AP162" i="20"/>
  <c r="BS91" i="20"/>
  <c r="CL162" i="20"/>
  <c r="CG189" i="20"/>
  <c r="AJ186" i="20"/>
  <c r="AL61" i="20"/>
  <c r="AP31" i="20"/>
  <c r="AL147" i="20"/>
  <c r="AJ8" i="20"/>
  <c r="CL158" i="20"/>
  <c r="AM24" i="20"/>
  <c r="AR151" i="20"/>
  <c r="W151" i="20" s="1"/>
  <c r="AP182" i="20"/>
  <c r="AM30" i="20"/>
  <c r="AJ113" i="20"/>
  <c r="AL159" i="20"/>
  <c r="AN159" i="20"/>
  <c r="Z176" i="20"/>
  <c r="BP91" i="20"/>
  <c r="AG72" i="20"/>
  <c r="AI72" i="20"/>
  <c r="AQ72" i="20"/>
  <c r="AI174" i="20"/>
  <c r="AL174" i="20"/>
  <c r="AN174" i="20"/>
  <c r="AQ174" i="20"/>
  <c r="BM31" i="20"/>
  <c r="DN120" i="20"/>
  <c r="N3208" i="19" s="1"/>
  <c r="N3210" i="19" s="1"/>
  <c r="D3207" i="19" s="1"/>
  <c r="H439" i="4" s="1"/>
  <c r="AM74" i="20"/>
  <c r="BA74" i="20" s="1"/>
  <c r="AM31" i="20"/>
  <c r="AL152" i="20"/>
  <c r="AX152" i="20" s="1"/>
  <c r="CL161" i="20"/>
  <c r="BA26" i="20"/>
  <c r="AJ162" i="20"/>
  <c r="BA9" i="20"/>
  <c r="AL81" i="20"/>
  <c r="Z174" i="20"/>
  <c r="AO31" i="20"/>
  <c r="V32" i="20"/>
  <c r="CH189" i="20"/>
  <c r="BW91" i="20"/>
  <c r="Z162" i="20"/>
  <c r="AM186" i="20"/>
  <c r="AO61" i="20"/>
  <c r="AQ31" i="20"/>
  <c r="AL8" i="20"/>
  <c r="AN8" i="20"/>
  <c r="AP8" i="20"/>
  <c r="AJ24" i="20"/>
  <c r="BE11" i="20"/>
  <c r="AL72" i="20"/>
  <c r="AK72" i="20"/>
  <c r="AN72" i="20"/>
  <c r="AG174" i="20"/>
  <c r="AN31" i="20"/>
  <c r="AF74" i="20"/>
  <c r="AK162" i="20"/>
  <c r="AM162" i="20"/>
  <c r="BE44" i="20"/>
  <c r="AP81" i="20"/>
  <c r="AJ109" i="20"/>
  <c r="AD31" i="20"/>
  <c r="BC105" i="20"/>
  <c r="BE105" i="20" s="1"/>
  <c r="K2838" i="19"/>
  <c r="D2830" i="19" s="1"/>
  <c r="H81" i="4" s="1"/>
  <c r="L283" i="4"/>
  <c r="O2757" i="19"/>
  <c r="D2749" i="19" s="1"/>
  <c r="H500" i="4" s="1"/>
  <c r="I202" i="22"/>
  <c r="AI202" i="22" s="1"/>
  <c r="CB202" i="22"/>
  <c r="I306" i="22"/>
  <c r="BS306" i="22" s="1"/>
  <c r="BY202" i="22"/>
  <c r="I286" i="22"/>
  <c r="AK286" i="22" s="1"/>
  <c r="CB320" i="22"/>
  <c r="BY260" i="22"/>
  <c r="CO260" i="22" s="1"/>
  <c r="CQ260" i="22" s="1"/>
  <c r="CR17" i="22"/>
  <c r="BZ290" i="22"/>
  <c r="CC290" i="22" s="1"/>
  <c r="I292" i="22"/>
  <c r="M292" i="22" s="1"/>
  <c r="O292" i="22" s="1"/>
  <c r="W292" i="22" s="1"/>
  <c r="CR20" i="22"/>
  <c r="L109" i="22"/>
  <c r="AR109" i="22" s="1"/>
  <c r="CR21" i="22"/>
  <c r="CR22" i="22"/>
  <c r="BZ287" i="22"/>
  <c r="CD287" i="22" s="1"/>
  <c r="CB306" i="22"/>
  <c r="CD306" i="22"/>
  <c r="CC334" i="22"/>
  <c r="BY286" i="22"/>
  <c r="CO286" i="22" s="1"/>
  <c r="CP286" i="22" s="1"/>
  <c r="BZ286" i="22"/>
  <c r="CD286" i="22" s="1"/>
  <c r="BY292" i="22"/>
  <c r="CO292" i="22" s="1"/>
  <c r="CQ292" i="22" s="1"/>
  <c r="I204" i="22"/>
  <c r="M204" i="22" s="1"/>
  <c r="O204" i="22" s="1"/>
  <c r="CD267" i="22"/>
  <c r="CB298" i="22"/>
  <c r="I334" i="22"/>
  <c r="AL334" i="22" s="1"/>
  <c r="I298" i="22"/>
  <c r="AK298" i="22" s="1"/>
  <c r="I284" i="22"/>
  <c r="BR284" i="22" s="1"/>
  <c r="CB285" i="22"/>
  <c r="CC285" i="22"/>
  <c r="I285" i="22"/>
  <c r="M285" i="22" s="1"/>
  <c r="O285" i="22" s="1"/>
  <c r="BY329" i="22"/>
  <c r="CO329" i="22" s="1"/>
  <c r="CQ329" i="22" s="1"/>
  <c r="BY327" i="22"/>
  <c r="CO327" i="22" s="1"/>
  <c r="CQ327" i="22" s="1"/>
  <c r="CD327" i="22"/>
  <c r="CB329" i="22"/>
  <c r="BZ268" i="22"/>
  <c r="CD268" i="22" s="1"/>
  <c r="I327" i="22"/>
  <c r="M327" i="22" s="1"/>
  <c r="O327" i="22" s="1"/>
  <c r="W327" i="22" s="1"/>
  <c r="BZ329" i="22"/>
  <c r="CE329" i="22" s="1"/>
  <c r="I268" i="22"/>
  <c r="AK268" i="22" s="1"/>
  <c r="CB327" i="22"/>
  <c r="BY268" i="22"/>
  <c r="CO268" i="22" s="1"/>
  <c r="CP268" i="22" s="1"/>
  <c r="BY297" i="22"/>
  <c r="I333" i="22"/>
  <c r="I295" i="22"/>
  <c r="AI295" i="22" s="1"/>
  <c r="CB309" i="22"/>
  <c r="I293" i="22"/>
  <c r="BR293" i="22" s="1"/>
  <c r="I272" i="22"/>
  <c r="AI272" i="22" s="1"/>
  <c r="BY309" i="22"/>
  <c r="CB322" i="22"/>
  <c r="CB333" i="22"/>
  <c r="I309" i="22"/>
  <c r="AK309" i="22" s="1"/>
  <c r="BY272" i="22"/>
  <c r="CO272" i="22" s="1"/>
  <c r="CQ272" i="22" s="1"/>
  <c r="CB297" i="22"/>
  <c r="BY322" i="22"/>
  <c r="BY333" i="22"/>
  <c r="BY293" i="22"/>
  <c r="CB272" i="22"/>
  <c r="BY295" i="22"/>
  <c r="BY332" i="22"/>
  <c r="CO332" i="22" s="1"/>
  <c r="CP332" i="22" s="1"/>
  <c r="I287" i="22"/>
  <c r="M287" i="22" s="1"/>
  <c r="O287" i="22" s="1"/>
  <c r="I332" i="22"/>
  <c r="BE332" i="22" s="1"/>
  <c r="BG332" i="22" s="1"/>
  <c r="CB334" i="22"/>
  <c r="CB332" i="22"/>
  <c r="BY334" i="22"/>
  <c r="CO334" i="22" s="1"/>
  <c r="CP334" i="22" s="1"/>
  <c r="BY287" i="22"/>
  <c r="CO287" i="22" s="1"/>
  <c r="CP287" i="22" s="1"/>
  <c r="CB292" i="22"/>
  <c r="I23" i="22"/>
  <c r="Y23" i="22" s="1"/>
  <c r="BY23" i="22"/>
  <c r="BZ276" i="22"/>
  <c r="CD276" i="22" s="1"/>
  <c r="AT334" i="22"/>
  <c r="AU334" i="22" s="1"/>
  <c r="BZ204" i="22"/>
  <c r="CD204" i="22" s="1"/>
  <c r="I300" i="22"/>
  <c r="AI300" i="22" s="1"/>
  <c r="BY300" i="22"/>
  <c r="AR204" i="22"/>
  <c r="AR203" i="22"/>
  <c r="AR202" i="22"/>
  <c r="BY316" i="22"/>
  <c r="CO316" i="22" s="1"/>
  <c r="CQ316" i="22" s="1"/>
  <c r="BY273" i="22"/>
  <c r="CO273" i="22" s="1"/>
  <c r="CP273" i="22" s="1"/>
  <c r="CC273" i="22"/>
  <c r="I273" i="22"/>
  <c r="Z273" i="22" s="1"/>
  <c r="AA273" i="22" s="1"/>
  <c r="CD261" i="22"/>
  <c r="I261" i="22"/>
  <c r="M261" i="22" s="1"/>
  <c r="O261" i="22" s="1"/>
  <c r="W261" i="22" s="1"/>
  <c r="I316" i="22"/>
  <c r="AK316" i="22" s="1"/>
  <c r="CB261" i="22"/>
  <c r="BY261" i="22"/>
  <c r="CO261" i="22" s="1"/>
  <c r="CQ261" i="22" s="1"/>
  <c r="AT301" i="22"/>
  <c r="AU301" i="22" s="1"/>
  <c r="BY17" i="22"/>
  <c r="CO17" i="22" s="1"/>
  <c r="CQ17" i="22" s="1"/>
  <c r="CB273" i="22"/>
  <c r="BY301" i="22"/>
  <c r="I301" i="22"/>
  <c r="BS301" i="22" s="1"/>
  <c r="I17" i="22"/>
  <c r="BQ17" i="22" s="1"/>
  <c r="I15" i="22"/>
  <c r="BQ15" i="22" s="1"/>
  <c r="BY15" i="22"/>
  <c r="CO15" i="22" s="1"/>
  <c r="CQ15" i="22" s="1"/>
  <c r="CB15" i="22"/>
  <c r="I276" i="22"/>
  <c r="BR276" i="22" s="1"/>
  <c r="BY276" i="22"/>
  <c r="CO276" i="22" s="1"/>
  <c r="CQ276" i="22" s="1"/>
  <c r="CB276" i="22"/>
  <c r="CB262" i="22"/>
  <c r="CB301" i="22"/>
  <c r="BZ262" i="22"/>
  <c r="CC262" i="22" s="1"/>
  <c r="I262" i="22"/>
  <c r="BS262" i="22" s="1"/>
  <c r="BY270" i="22"/>
  <c r="CO270" i="22" s="1"/>
  <c r="CQ270" i="22" s="1"/>
  <c r="BY262" i="22"/>
  <c r="CO262" i="22" s="1"/>
  <c r="CP262" i="22" s="1"/>
  <c r="I270" i="22"/>
  <c r="M270" i="22" s="1"/>
  <c r="O270" i="22" s="1"/>
  <c r="CB303" i="22"/>
  <c r="CB316" i="22"/>
  <c r="BY296" i="22"/>
  <c r="I303" i="22"/>
  <c r="BR303" i="22" s="1"/>
  <c r="BZ270" i="22"/>
  <c r="CD270" i="22" s="1"/>
  <c r="I296" i="22"/>
  <c r="BE296" i="22" s="1"/>
  <c r="AT277" i="22"/>
  <c r="AU277" i="22" s="1"/>
  <c r="BY303" i="22"/>
  <c r="CO303" i="22" s="1"/>
  <c r="CQ303" i="22" s="1"/>
  <c r="CD303" i="22"/>
  <c r="CC316" i="22"/>
  <c r="AT307" i="22"/>
  <c r="AU307" i="22" s="1"/>
  <c r="AV324" i="22"/>
  <c r="AT329" i="22"/>
  <c r="AU329" i="22" s="1"/>
  <c r="BY24" i="22"/>
  <c r="I24" i="22"/>
  <c r="AL24" i="22" s="1"/>
  <c r="AV321" i="22"/>
  <c r="AO321" i="22"/>
  <c r="AT310" i="22"/>
  <c r="AU310" i="22" s="1"/>
  <c r="AV310" i="22"/>
  <c r="AO298" i="22"/>
  <c r="AT298" i="22"/>
  <c r="AU298" i="22" s="1"/>
  <c r="AT316" i="22"/>
  <c r="AU316" i="22" s="1"/>
  <c r="AT267" i="22"/>
  <c r="AU267" i="22" s="1"/>
  <c r="I13" i="22"/>
  <c r="BR13" i="22" s="1"/>
  <c r="BY13" i="22"/>
  <c r="CO13" i="22" s="1"/>
  <c r="CQ13" i="22" s="1"/>
  <c r="I19" i="22"/>
  <c r="BS19" i="22" s="1"/>
  <c r="BY19" i="22"/>
  <c r="CO19" i="22" s="1"/>
  <c r="CP19" i="22" s="1"/>
  <c r="CB19" i="22"/>
  <c r="BY12" i="22"/>
  <c r="CO12" i="22" s="1"/>
  <c r="CQ12" i="22" s="1"/>
  <c r="I12" i="22"/>
  <c r="AL12" i="22" s="1"/>
  <c r="AV331" i="22"/>
  <c r="AT264" i="22"/>
  <c r="AU264" i="22" s="1"/>
  <c r="AT281" i="22"/>
  <c r="AU281" i="22" s="1"/>
  <c r="AV288" i="22"/>
  <c r="AV325" i="22"/>
  <c r="AT288" i="22"/>
  <c r="AU288" i="22" s="1"/>
  <c r="CB17" i="22"/>
  <c r="BZ17" i="22"/>
  <c r="CC17" i="22" s="1"/>
  <c r="CB13" i="22"/>
  <c r="BZ13" i="22"/>
  <c r="CD13" i="22" s="1"/>
  <c r="AV308" i="22"/>
  <c r="AO296" i="22"/>
  <c r="BD296" i="22" s="1"/>
  <c r="AV296" i="22"/>
  <c r="BZ12" i="22"/>
  <c r="CD12" i="22" s="1"/>
  <c r="CB12" i="22"/>
  <c r="CC267" i="22"/>
  <c r="CC261" i="22"/>
  <c r="AT330" i="22"/>
  <c r="AU330" i="22" s="1"/>
  <c r="AV330" i="22"/>
  <c r="AR332" i="22"/>
  <c r="CB312" i="22"/>
  <c r="I312" i="22"/>
  <c r="J312" i="22" s="1"/>
  <c r="BY312" i="22"/>
  <c r="AR11" i="22"/>
  <c r="AR23" i="22"/>
  <c r="AV204" i="22"/>
  <c r="AR24" i="22"/>
  <c r="AT203" i="22"/>
  <c r="AU203" i="22" s="1"/>
  <c r="AR206" i="22"/>
  <c r="AT202" i="22"/>
  <c r="AU202" i="22" s="1"/>
  <c r="K3982" i="19"/>
  <c r="D3968" i="19" s="1"/>
  <c r="H84" i="4" s="1"/>
  <c r="AT206" i="22"/>
  <c r="AU206" i="22" s="1"/>
  <c r="CD316" i="22"/>
  <c r="CD334" i="22"/>
  <c r="CC325" i="22"/>
  <c r="CC327" i="22"/>
  <c r="CC303" i="22"/>
  <c r="CC272" i="22"/>
  <c r="CD285" i="22"/>
  <c r="CD272" i="22"/>
  <c r="BK356" i="22"/>
  <c r="CC292" i="22"/>
  <c r="CD273" i="22"/>
  <c r="BL356" i="22"/>
  <c r="BJ356" i="22"/>
  <c r="BN356" i="22"/>
  <c r="BI356" i="22"/>
  <c r="CC306" i="22"/>
  <c r="BM356" i="22"/>
  <c r="BO356" i="22"/>
  <c r="CC260" i="22"/>
  <c r="CD260" i="22"/>
  <c r="AT263" i="22"/>
  <c r="AU263" i="22" s="1"/>
  <c r="AV262" i="22"/>
  <c r="AT261" i="22"/>
  <c r="AU261" i="22" s="1"/>
  <c r="AV284" i="22"/>
  <c r="AO297" i="22"/>
  <c r="BD297" i="22" s="1"/>
  <c r="AV289" i="22"/>
  <c r="AV302" i="22"/>
  <c r="AT297" i="22"/>
  <c r="AU297" i="22" s="1"/>
  <c r="AT323" i="22"/>
  <c r="AU323" i="22" s="1"/>
  <c r="AV333" i="22"/>
  <c r="AT321" i="22"/>
  <c r="AU321" i="22" s="1"/>
  <c r="AV327" i="22"/>
  <c r="AT291" i="22"/>
  <c r="AU291" i="22" s="1"/>
  <c r="AT275" i="22"/>
  <c r="AU275" i="22" s="1"/>
  <c r="AV273" i="22"/>
  <c r="AV285" i="22"/>
  <c r="AT290" i="22"/>
  <c r="AU290" i="22" s="1"/>
  <c r="AT260" i="22"/>
  <c r="AV323" i="22"/>
  <c r="AT331" i="22"/>
  <c r="AU331" i="22" s="1"/>
  <c r="AR317" i="22"/>
  <c r="AV269" i="22"/>
  <c r="AT306" i="22"/>
  <c r="AU306" i="22" s="1"/>
  <c r="AT265" i="22"/>
  <c r="AU265" i="22" s="1"/>
  <c r="AV305" i="22"/>
  <c r="AV280" i="22"/>
  <c r="AR286" i="22"/>
  <c r="AT272" i="22"/>
  <c r="AU272" i="22" s="1"/>
  <c r="AT283" i="22"/>
  <c r="AU283" i="22" s="1"/>
  <c r="AV294" i="22"/>
  <c r="AT294" i="22"/>
  <c r="AU294" i="22" s="1"/>
  <c r="L564" i="4"/>
  <c r="CY183" i="22"/>
  <c r="N1813" i="19" s="1"/>
  <c r="BL183" i="22"/>
  <c r="K1739" i="19"/>
  <c r="D1722" i="19" s="1"/>
  <c r="H78" i="4" s="1"/>
  <c r="AU192" i="20"/>
  <c r="O4420" i="19" s="1"/>
  <c r="O4422" i="19" s="1"/>
  <c r="D4419" i="19" s="1"/>
  <c r="H645" i="4" s="1"/>
  <c r="AK109" i="20"/>
  <c r="AJ179" i="20"/>
  <c r="AT191" i="20"/>
  <c r="AJ13" i="20"/>
  <c r="AM61" i="20"/>
  <c r="AJ12" i="20"/>
  <c r="Z145" i="20"/>
  <c r="BA163" i="20"/>
  <c r="AF179" i="20"/>
  <c r="AN48" i="20"/>
  <c r="AJ178" i="20"/>
  <c r="Z117" i="20"/>
  <c r="AT185" i="20"/>
  <c r="BE185" i="20" s="1"/>
  <c r="AM73" i="20"/>
  <c r="AQ61" i="20"/>
  <c r="Z73" i="20"/>
  <c r="AM145" i="20"/>
  <c r="AO109" i="20"/>
  <c r="AN165" i="20"/>
  <c r="V175" i="20"/>
  <c r="AQ73" i="20"/>
  <c r="AN73" i="20"/>
  <c r="AP59" i="20"/>
  <c r="AN12" i="20"/>
  <c r="V77" i="20"/>
  <c r="Z85" i="20"/>
  <c r="AO179" i="20"/>
  <c r="AK179" i="20"/>
  <c r="AG179" i="20"/>
  <c r="N57" i="20"/>
  <c r="AA57" i="20"/>
  <c r="AH179" i="20"/>
  <c r="AO48" i="20"/>
  <c r="AF26" i="20"/>
  <c r="AM6" i="20"/>
  <c r="AO12" i="20"/>
  <c r="AK12" i="20"/>
  <c r="AP179" i="20"/>
  <c r="AN115" i="20"/>
  <c r="AI179" i="20"/>
  <c r="AJ48" i="20"/>
  <c r="AK178" i="20"/>
  <c r="E3997" i="19"/>
  <c r="E3994" i="19"/>
  <c r="D3990" i="19" s="1"/>
  <c r="H581" i="4" s="1"/>
  <c r="BF28" i="20"/>
  <c r="AH178" i="20"/>
  <c r="AP178" i="20"/>
  <c r="AQ141" i="20"/>
  <c r="AM13" i="20"/>
  <c r="AI178" i="20"/>
  <c r="AP61" i="20"/>
  <c r="Z59" i="20"/>
  <c r="DP120" i="20"/>
  <c r="DK120" i="20"/>
  <c r="N3196" i="19" s="1"/>
  <c r="N3198" i="19" s="1"/>
  <c r="D3195" i="19" s="1"/>
  <c r="H433" i="4" s="1"/>
  <c r="AM111" i="20"/>
  <c r="AL12" i="20"/>
  <c r="AO46" i="20"/>
  <c r="AM179" i="20"/>
  <c r="AK48" i="20"/>
  <c r="AL178" i="20"/>
  <c r="AA156" i="20"/>
  <c r="BE21" i="20"/>
  <c r="AP73" i="20"/>
  <c r="AP141" i="20"/>
  <c r="AM141" i="20"/>
  <c r="AQ10" i="20"/>
  <c r="AQ179" i="20"/>
  <c r="BY122" i="20"/>
  <c r="AK61" i="20"/>
  <c r="AP145" i="20"/>
  <c r="AO111" i="20"/>
  <c r="AQ12" i="20"/>
  <c r="BE146" i="20"/>
  <c r="DJ120" i="20"/>
  <c r="N3192" i="19" s="1"/>
  <c r="N3194" i="19" s="1"/>
  <c r="D3191" i="19" s="1"/>
  <c r="H413" i="4" s="1"/>
  <c r="AT167" i="20"/>
  <c r="BE167" i="20" s="1"/>
  <c r="AQ178" i="20"/>
  <c r="DL120" i="20"/>
  <c r="N3200" i="19" s="1"/>
  <c r="N3202" i="19" s="1"/>
  <c r="D3199" i="19" s="1"/>
  <c r="H451" i="4" s="1"/>
  <c r="Z171" i="20"/>
  <c r="AP12" i="20"/>
  <c r="BE75" i="20"/>
  <c r="BZ122" i="20"/>
  <c r="CD122" i="20"/>
  <c r="AP63" i="20"/>
  <c r="AM12" i="20"/>
  <c r="AL14" i="20"/>
  <c r="Z175" i="20"/>
  <c r="AN179" i="20"/>
  <c r="AM178" i="20"/>
  <c r="AN178" i="20"/>
  <c r="BD33" i="20"/>
  <c r="DN192" i="20"/>
  <c r="N4402" i="19" s="1"/>
  <c r="N4404" i="19" s="1"/>
  <c r="D4401" i="19" s="1"/>
  <c r="H440" i="4" s="1"/>
  <c r="CW192" i="20"/>
  <c r="AJ25" i="20"/>
  <c r="AP13" i="20"/>
  <c r="AK13" i="20"/>
  <c r="DP33" i="20"/>
  <c r="N721" i="19" s="1"/>
  <c r="N723" i="19" s="1"/>
  <c r="D720" i="19" s="1"/>
  <c r="H463" i="4" s="1"/>
  <c r="BE189" i="20"/>
  <c r="AN147" i="20"/>
  <c r="AM63" i="20"/>
  <c r="Z53" i="20"/>
  <c r="AK141" i="20"/>
  <c r="AR141" i="20" s="1"/>
  <c r="W141" i="20" s="1"/>
  <c r="AP147" i="20"/>
  <c r="BF23" i="20"/>
  <c r="AN59" i="20"/>
  <c r="CE122" i="20"/>
  <c r="Z14" i="20"/>
  <c r="Z111" i="20"/>
  <c r="AM14" i="20"/>
  <c r="AP102" i="20"/>
  <c r="Z142" i="20"/>
  <c r="AK169" i="20"/>
  <c r="AV120" i="20"/>
  <c r="O3221" i="19" s="1"/>
  <c r="O3223" i="19" s="1"/>
  <c r="O3286" i="19" s="1"/>
  <c r="O3294" i="19" s="1"/>
  <c r="M3294" i="19" s="1"/>
  <c r="Z169" i="20"/>
  <c r="BE183" i="20"/>
  <c r="BE168" i="20"/>
  <c r="Z64" i="20"/>
  <c r="AP100" i="20"/>
  <c r="BC115" i="20"/>
  <c r="BE115" i="20" s="1"/>
  <c r="AL69" i="20"/>
  <c r="AO147" i="20"/>
  <c r="BA151" i="20"/>
  <c r="AO141" i="20"/>
  <c r="AQ13" i="20"/>
  <c r="AL13" i="20"/>
  <c r="AQ147" i="20"/>
  <c r="AL7" i="20"/>
  <c r="AU33" i="20"/>
  <c r="O726" i="19" s="1"/>
  <c r="O728" i="19" s="1"/>
  <c r="D725" i="19" s="1"/>
  <c r="H639" i="4" s="1"/>
  <c r="CC122" i="20"/>
  <c r="AN63" i="20"/>
  <c r="AK54" i="20"/>
  <c r="AP54" i="20"/>
  <c r="Z46" i="20"/>
  <c r="Z172" i="20"/>
  <c r="Z186" i="20"/>
  <c r="BD120" i="20"/>
  <c r="AL44" i="20"/>
  <c r="AM166" i="20"/>
  <c r="BM21" i="20"/>
  <c r="AL169" i="20"/>
  <c r="AO158" i="20"/>
  <c r="AX158" i="20" s="1"/>
  <c r="Z82" i="20"/>
  <c r="AH6" i="20"/>
  <c r="AJ63" i="20"/>
  <c r="AO63" i="20"/>
  <c r="AP144" i="20"/>
  <c r="AQ54" i="20"/>
  <c r="AM146" i="20"/>
  <c r="AP20" i="20"/>
  <c r="AR105" i="20"/>
  <c r="W105" i="20" s="1"/>
  <c r="AR149" i="20"/>
  <c r="BE174" i="20"/>
  <c r="BE20" i="20"/>
  <c r="AO106" i="20"/>
  <c r="BE147" i="20"/>
  <c r="DM33" i="20"/>
  <c r="N709" i="19" s="1"/>
  <c r="N711" i="19" s="1"/>
  <c r="D708" i="19" s="1"/>
  <c r="H417" i="4" s="1"/>
  <c r="AM169" i="20"/>
  <c r="DM120" i="20"/>
  <c r="N3204" i="19" s="1"/>
  <c r="N3206" i="19" s="1"/>
  <c r="D3203" i="19" s="1"/>
  <c r="H419" i="4" s="1"/>
  <c r="Z106" i="20"/>
  <c r="BA28" i="20"/>
  <c r="BC9" i="20"/>
  <c r="BE9" i="20" s="1"/>
  <c r="BM9" i="20"/>
  <c r="BM165" i="20"/>
  <c r="AN13" i="20"/>
  <c r="AR160" i="20"/>
  <c r="W160" i="20" s="1"/>
  <c r="DI33" i="20"/>
  <c r="Z6" i="20"/>
  <c r="BA167" i="20"/>
  <c r="Z13" i="20"/>
  <c r="Z109" i="20"/>
  <c r="AK82" i="20"/>
  <c r="AN141" i="20"/>
  <c r="AK186" i="20"/>
  <c r="AE169" i="20"/>
  <c r="DN33" i="20"/>
  <c r="N713" i="19" s="1"/>
  <c r="N715" i="19" s="1"/>
  <c r="D712" i="19" s="1"/>
  <c r="H437" i="4" s="1"/>
  <c r="AM144" i="20"/>
  <c r="AK63" i="20"/>
  <c r="AN111" i="20"/>
  <c r="Z102" i="20"/>
  <c r="BA180" i="20"/>
  <c r="AO184" i="20"/>
  <c r="AP66" i="20"/>
  <c r="BA66" i="20" s="1"/>
  <c r="AK22" i="20"/>
  <c r="AX177" i="20"/>
  <c r="AJ169" i="20"/>
  <c r="AN169" i="20"/>
  <c r="DO120" i="20"/>
  <c r="N3212" i="19" s="1"/>
  <c r="N3214" i="19" s="1"/>
  <c r="D3211" i="19" s="1"/>
  <c r="H455" i="4" s="1"/>
  <c r="AO166" i="20"/>
  <c r="AJ166" i="20"/>
  <c r="Z166" i="20"/>
  <c r="AR71" i="20"/>
  <c r="AF6" i="20"/>
  <c r="AQ63" i="20"/>
  <c r="AM54" i="20"/>
  <c r="AO169" i="20"/>
  <c r="Z50" i="20"/>
  <c r="AM48" i="20"/>
  <c r="AL25" i="20"/>
  <c r="AP82" i="20"/>
  <c r="N31" i="20"/>
  <c r="AA31" i="20"/>
  <c r="AJ31" i="20"/>
  <c r="N159" i="20"/>
  <c r="AA159" i="20"/>
  <c r="AO186" i="20"/>
  <c r="BD192" i="20"/>
  <c r="AP168" i="20"/>
  <c r="AV33" i="20"/>
  <c r="O730" i="19" s="1"/>
  <c r="O732" i="19" s="1"/>
  <c r="O795" i="19" s="1"/>
  <c r="O803" i="19" s="1"/>
  <c r="M803" i="19" s="1"/>
  <c r="DO33" i="20"/>
  <c r="N717" i="19" s="1"/>
  <c r="N719" i="19" s="1"/>
  <c r="D716" i="19" s="1"/>
  <c r="H453" i="4" s="1"/>
  <c r="BE24" i="20"/>
  <c r="AL144" i="20"/>
  <c r="BE179" i="20"/>
  <c r="BF9" i="20"/>
  <c r="AP48" i="20"/>
  <c r="AP166" i="20"/>
  <c r="AM100" i="20"/>
  <c r="AJ141" i="20"/>
  <c r="AP186" i="20"/>
  <c r="AM147" i="20"/>
  <c r="AF181" i="20"/>
  <c r="AL63" i="20"/>
  <c r="AN54" i="20"/>
  <c r="BF75" i="20"/>
  <c r="AO65" i="20"/>
  <c r="AQ142" i="20"/>
  <c r="AO165" i="20"/>
  <c r="BA55" i="20"/>
  <c r="AK166" i="20"/>
  <c r="BC81" i="20"/>
  <c r="BE81" i="20" s="1"/>
  <c r="BM81" i="20"/>
  <c r="AO44" i="20"/>
  <c r="AN100" i="20"/>
  <c r="AM11" i="20"/>
  <c r="I1221" i="19"/>
  <c r="L257" i="4"/>
  <c r="K589" i="19"/>
  <c r="K583" i="19"/>
  <c r="D576" i="19" s="1"/>
  <c r="H263" i="4" s="1"/>
  <c r="K587" i="19"/>
  <c r="L158" i="4"/>
  <c r="K588" i="19"/>
  <c r="K2627" i="19"/>
  <c r="D2619" i="19" s="1"/>
  <c r="H13" i="4" s="1"/>
  <c r="M2946" i="19"/>
  <c r="M2948" i="19" s="1"/>
  <c r="D2944" i="19" s="1"/>
  <c r="H766" i="4" s="1"/>
  <c r="O5118" i="19"/>
  <c r="D5106" i="19" s="1"/>
  <c r="H69" i="4" s="1"/>
  <c r="O2546" i="19"/>
  <c r="D2538" i="19" s="1"/>
  <c r="H677" i="4" s="1"/>
  <c r="G3890" i="19"/>
  <c r="O3890" i="19" s="1"/>
  <c r="O3872" i="19"/>
  <c r="L536" i="4"/>
  <c r="O2577" i="19"/>
  <c r="O4146" i="19"/>
  <c r="O4160" i="19" s="1"/>
  <c r="D4144" i="19" s="1"/>
  <c r="H489" i="4" s="1"/>
  <c r="L103" i="4"/>
  <c r="G3895" i="19"/>
  <c r="O3895" i="19" s="1"/>
  <c r="O3877" i="19"/>
  <c r="L175" i="4"/>
  <c r="L280" i="4"/>
  <c r="L844" i="4"/>
  <c r="L244" i="4"/>
  <c r="L159" i="4"/>
  <c r="L156" i="4"/>
  <c r="L66" i="4"/>
  <c r="L160" i="4"/>
  <c r="L247" i="4"/>
  <c r="L562" i="4"/>
  <c r="L154" i="4"/>
  <c r="L246" i="4"/>
  <c r="L245" i="4"/>
  <c r="L238" i="4"/>
  <c r="L776" i="4"/>
  <c r="L230" i="4"/>
  <c r="L236" i="4"/>
  <c r="L116" i="4"/>
  <c r="L94" i="4"/>
  <c r="L547" i="4"/>
  <c r="L380" i="4"/>
  <c r="L294" i="4"/>
  <c r="L157" i="4"/>
  <c r="L563" i="4"/>
  <c r="L155" i="4"/>
  <c r="L561" i="4"/>
  <c r="L153" i="4"/>
  <c r="AU332" i="22"/>
  <c r="AU317" i="22"/>
  <c r="BD317" i="22"/>
  <c r="AU325" i="22"/>
  <c r="BD325" i="22"/>
  <c r="E1211" i="19"/>
  <c r="V6" i="22"/>
  <c r="AN6" i="22"/>
  <c r="AM6" i="22"/>
  <c r="AT6" i="22"/>
  <c r="AV6" i="22"/>
  <c r="AR19" i="22"/>
  <c r="AN24" i="22"/>
  <c r="AM24" i="22"/>
  <c r="V24" i="22"/>
  <c r="AV24" i="22"/>
  <c r="AT24" i="22"/>
  <c r="AU24" i="22" s="1"/>
  <c r="BY299" i="22"/>
  <c r="I299" i="22"/>
  <c r="BS299" i="22" s="1"/>
  <c r="CB299" i="22"/>
  <c r="V293" i="22"/>
  <c r="AN293" i="22"/>
  <c r="AM293" i="22"/>
  <c r="E3658" i="19"/>
  <c r="I266" i="22"/>
  <c r="BS266" i="22" s="1"/>
  <c r="BY266" i="22"/>
  <c r="CO266" i="22" s="1"/>
  <c r="BZ266" i="22"/>
  <c r="CB266" i="22"/>
  <c r="V322" i="22"/>
  <c r="AN322" i="22"/>
  <c r="J322" i="22"/>
  <c r="AM322" i="22"/>
  <c r="AL322" i="22"/>
  <c r="AT322" i="22"/>
  <c r="AU322" i="22" s="1"/>
  <c r="AO322" i="22"/>
  <c r="AV322" i="22"/>
  <c r="CE287" i="22"/>
  <c r="CE271" i="22"/>
  <c r="V12" i="22"/>
  <c r="AN12" i="22"/>
  <c r="AM12" i="22"/>
  <c r="AV12" i="22"/>
  <c r="AT12" i="22"/>
  <c r="AU324" i="22"/>
  <c r="BD324" i="22"/>
  <c r="K4179" i="19"/>
  <c r="E4192" i="19" s="1"/>
  <c r="D4177" i="19" s="1"/>
  <c r="H669" i="4" s="1"/>
  <c r="E4176" i="19"/>
  <c r="CE291" i="22"/>
  <c r="AL263" i="22"/>
  <c r="AN263" i="22"/>
  <c r="J263" i="22"/>
  <c r="AM263" i="22"/>
  <c r="V263" i="22"/>
  <c r="V13" i="22"/>
  <c r="AN13" i="22"/>
  <c r="AM13" i="22"/>
  <c r="AV13" i="22"/>
  <c r="AT13" i="22"/>
  <c r="AN325" i="22"/>
  <c r="J325" i="22"/>
  <c r="AM325" i="22"/>
  <c r="AL325" i="22"/>
  <c r="V325" i="22"/>
  <c r="V328" i="22"/>
  <c r="AN328" i="22"/>
  <c r="AM328" i="22"/>
  <c r="AV328" i="22"/>
  <c r="BY310" i="22"/>
  <c r="CO310" i="22" s="1"/>
  <c r="I310" i="22"/>
  <c r="BR310" i="22" s="1"/>
  <c r="CB310" i="22"/>
  <c r="BZ310" i="22"/>
  <c r="CF310" i="22" s="1"/>
  <c r="BF329" i="22"/>
  <c r="BG329" i="22"/>
  <c r="AN324" i="22"/>
  <c r="J324" i="22"/>
  <c r="AM324" i="22"/>
  <c r="AL324" i="22"/>
  <c r="V324" i="22"/>
  <c r="AT328" i="22"/>
  <c r="CE6" i="22"/>
  <c r="BN96" i="22"/>
  <c r="BF315" i="22"/>
  <c r="BG315" i="22"/>
  <c r="BY280" i="22"/>
  <c r="CO280" i="22" s="1"/>
  <c r="I280" i="22"/>
  <c r="BS280" i="22" s="1"/>
  <c r="CB280" i="22"/>
  <c r="BZ280" i="22"/>
  <c r="CA322" i="22"/>
  <c r="BV322" i="22" s="1"/>
  <c r="BZ322" i="22"/>
  <c r="K502" i="19"/>
  <c r="E515" i="19" s="1"/>
  <c r="M1110" i="19"/>
  <c r="N1110" i="19" s="1"/>
  <c r="N1123" i="19" s="1"/>
  <c r="D1108" i="19" s="1"/>
  <c r="H10" i="4" s="1"/>
  <c r="K486" i="19"/>
  <c r="O486" i="19" s="1"/>
  <c r="O468" i="19"/>
  <c r="O485" i="19" s="1"/>
  <c r="N468" i="19"/>
  <c r="AN270" i="22"/>
  <c r="AM270" i="22"/>
  <c r="V270" i="22"/>
  <c r="AV270" i="22"/>
  <c r="AT270" i="22"/>
  <c r="CA282" i="22"/>
  <c r="BV282" i="22" s="1"/>
  <c r="BZ282" i="22"/>
  <c r="AV293" i="22"/>
  <c r="N4816" i="19"/>
  <c r="D4801" i="19" s="1"/>
  <c r="H16" i="4" s="1"/>
  <c r="CZ96" i="22"/>
  <c r="CE325" i="22"/>
  <c r="CB324" i="22"/>
  <c r="I324" i="22"/>
  <c r="BR324" i="22" s="1"/>
  <c r="BY324" i="22"/>
  <c r="CO324" i="22" s="1"/>
  <c r="BZ324" i="22"/>
  <c r="BY16" i="22"/>
  <c r="CO16" i="22" s="1"/>
  <c r="I16" i="22"/>
  <c r="AL16" i="22" s="1"/>
  <c r="BZ16" i="22"/>
  <c r="CB16" i="22"/>
  <c r="AV299" i="22"/>
  <c r="BY9" i="22"/>
  <c r="CO9" i="22" s="1"/>
  <c r="I9" i="22"/>
  <c r="J9" i="22" s="1"/>
  <c r="BZ9" i="22"/>
  <c r="CB9" i="22"/>
  <c r="AM284" i="22"/>
  <c r="AN284" i="22"/>
  <c r="V284" i="22"/>
  <c r="B5421" i="19"/>
  <c r="B5392" i="19"/>
  <c r="B5403" i="19" s="1"/>
  <c r="B5374" i="19"/>
  <c r="B5431" i="19" s="1"/>
  <c r="CE270" i="22"/>
  <c r="I304" i="22"/>
  <c r="BR304" i="22" s="1"/>
  <c r="BY304" i="22"/>
  <c r="CO304" i="22" s="1"/>
  <c r="CB304" i="22"/>
  <c r="BZ304" i="22"/>
  <c r="CE15" i="22"/>
  <c r="CC15" i="22"/>
  <c r="CD15" i="22"/>
  <c r="CE303" i="22"/>
  <c r="CE317" i="22"/>
  <c r="AO293" i="22"/>
  <c r="CE9" i="22"/>
  <c r="AR12" i="22"/>
  <c r="AM317" i="22"/>
  <c r="AN317" i="22"/>
  <c r="V317" i="22"/>
  <c r="CR6" i="22"/>
  <c r="BY14" i="22"/>
  <c r="CO14" i="22" s="1"/>
  <c r="I14" i="22"/>
  <c r="BQ14" i="22" s="1"/>
  <c r="BZ14" i="22"/>
  <c r="CB14" i="22"/>
  <c r="I289" i="22"/>
  <c r="BQ289" i="22" s="1"/>
  <c r="BY289" i="22"/>
  <c r="CO289" i="22" s="1"/>
  <c r="CB289" i="22"/>
  <c r="BZ289" i="22"/>
  <c r="CE12" i="22"/>
  <c r="AO299" i="22"/>
  <c r="I264" i="22"/>
  <c r="BR264" i="22" s="1"/>
  <c r="BY264" i="22"/>
  <c r="CO264" i="22" s="1"/>
  <c r="CB264" i="22"/>
  <c r="BZ264" i="22"/>
  <c r="CE278" i="22"/>
  <c r="AV317" i="22"/>
  <c r="BY281" i="22"/>
  <c r="CO281" i="22" s="1"/>
  <c r="I281" i="22"/>
  <c r="BR281" i="22" s="1"/>
  <c r="CB281" i="22"/>
  <c r="BZ281" i="22"/>
  <c r="BI96" i="22"/>
  <c r="AR167" i="20"/>
  <c r="W167" i="20" s="1"/>
  <c r="V319" i="22"/>
  <c r="AN319" i="22"/>
  <c r="AM319" i="22"/>
  <c r="J319" i="22"/>
  <c r="AL319" i="22"/>
  <c r="AV319" i="22"/>
  <c r="AT319" i="22"/>
  <c r="AU319" i="22" s="1"/>
  <c r="AO319" i="22"/>
  <c r="V271" i="22"/>
  <c r="AN271" i="22"/>
  <c r="AM271" i="22"/>
  <c r="AV271" i="22"/>
  <c r="AT271" i="22"/>
  <c r="AU333" i="22"/>
  <c r="AN282" i="22"/>
  <c r="AM282" i="22"/>
  <c r="AL282" i="22"/>
  <c r="J282" i="22"/>
  <c r="V282" i="22"/>
  <c r="CE334" i="22"/>
  <c r="AT293" i="22"/>
  <c r="AU293" i="22" s="1"/>
  <c r="AM306" i="22"/>
  <c r="V306" i="22"/>
  <c r="AN306" i="22"/>
  <c r="AN268" i="22"/>
  <c r="AM268" i="22"/>
  <c r="V268" i="22"/>
  <c r="AU284" i="22"/>
  <c r="CE265" i="22"/>
  <c r="BY21" i="22"/>
  <c r="CO21" i="22" s="1"/>
  <c r="I21" i="22"/>
  <c r="J21" i="22" s="1"/>
  <c r="CB21" i="22"/>
  <c r="BZ21" i="22"/>
  <c r="CE14" i="22"/>
  <c r="AT268" i="22"/>
  <c r="J260" i="22"/>
  <c r="AM260" i="22"/>
  <c r="AN260" i="22"/>
  <c r="AL260" i="22"/>
  <c r="V260" i="22"/>
  <c r="CA319" i="22"/>
  <c r="BV319" i="22" s="1"/>
  <c r="BZ319" i="22"/>
  <c r="BY326" i="22"/>
  <c r="CO326" i="22" s="1"/>
  <c r="I326" i="22"/>
  <c r="BE326" i="22" s="1"/>
  <c r="BG326" i="22" s="1"/>
  <c r="CB326" i="22"/>
  <c r="BZ326" i="22"/>
  <c r="E2635" i="19"/>
  <c r="I2597" i="19"/>
  <c r="N2597" i="19" s="1"/>
  <c r="AM267" i="22"/>
  <c r="V267" i="22"/>
  <c r="AN267" i="22"/>
  <c r="BY271" i="22"/>
  <c r="CO271" i="22" s="1"/>
  <c r="I271" i="22"/>
  <c r="BR271" i="22" s="1"/>
  <c r="CB271" i="22"/>
  <c r="BZ271" i="22"/>
  <c r="AN16" i="22"/>
  <c r="AM16" i="22"/>
  <c r="V16" i="22"/>
  <c r="AV16" i="22"/>
  <c r="AT16" i="22"/>
  <c r="V286" i="22"/>
  <c r="AN286" i="22"/>
  <c r="AM286" i="22"/>
  <c r="BR329" i="22"/>
  <c r="AL329" i="22"/>
  <c r="BS329" i="22"/>
  <c r="BQ329" i="22"/>
  <c r="J329" i="22"/>
  <c r="AN329" i="22"/>
  <c r="AM329" i="22"/>
  <c r="V329" i="22"/>
  <c r="AN289" i="22"/>
  <c r="AM289" i="22"/>
  <c r="V289" i="22"/>
  <c r="BY308" i="22"/>
  <c r="I308" i="22"/>
  <c r="BS308" i="22" s="1"/>
  <c r="CB308" i="22"/>
  <c r="AV268" i="22"/>
  <c r="BY278" i="22"/>
  <c r="CO278" i="22" s="1"/>
  <c r="I278" i="22"/>
  <c r="BS278" i="22" s="1"/>
  <c r="BZ278" i="22"/>
  <c r="CB278" i="22"/>
  <c r="CI96" i="22"/>
  <c r="CT96" i="22"/>
  <c r="O1105" i="19" s="1"/>
  <c r="O1107" i="19" s="1"/>
  <c r="D1104" i="19" s="1"/>
  <c r="H201" i="4" s="1"/>
  <c r="CE285" i="22"/>
  <c r="V314" i="22"/>
  <c r="AM314" i="22"/>
  <c r="AN314" i="22"/>
  <c r="AL314" i="22"/>
  <c r="J314" i="22"/>
  <c r="BY274" i="22"/>
  <c r="CO274" i="22" s="1"/>
  <c r="I274" i="22"/>
  <c r="BS274" i="22" s="1"/>
  <c r="CB274" i="22"/>
  <c r="BZ274" i="22"/>
  <c r="CE306" i="22"/>
  <c r="AU280" i="22"/>
  <c r="CE19" i="22"/>
  <c r="CD19" i="22"/>
  <c r="CC19" i="22"/>
  <c r="AN274" i="22"/>
  <c r="J274" i="22"/>
  <c r="AM274" i="22"/>
  <c r="AL274" i="22"/>
  <c r="V274" i="22"/>
  <c r="AT274" i="22"/>
  <c r="AV274" i="22"/>
  <c r="CE266" i="22"/>
  <c r="CE290" i="22"/>
  <c r="AU308" i="22"/>
  <c r="BY22" i="22"/>
  <c r="CO22" i="22" s="1"/>
  <c r="I22" i="22"/>
  <c r="AL22" i="22" s="1"/>
  <c r="CB22" i="22"/>
  <c r="BZ22" i="22"/>
  <c r="AN321" i="22"/>
  <c r="V321" i="22"/>
  <c r="AM321" i="22"/>
  <c r="AV332" i="22"/>
  <c r="O1292" i="19"/>
  <c r="M1284" i="19"/>
  <c r="M1288" i="19" s="1"/>
  <c r="D1281" i="19" s="1"/>
  <c r="H753" i="4" s="1"/>
  <c r="AN302" i="22"/>
  <c r="V302" i="22"/>
  <c r="J302" i="22"/>
  <c r="AM302" i="22"/>
  <c r="AL302" i="22"/>
  <c r="BJ96" i="22"/>
  <c r="AM86" i="20"/>
  <c r="AQ86" i="20"/>
  <c r="AL86" i="20"/>
  <c r="Z86" i="20"/>
  <c r="AP86" i="20"/>
  <c r="AK86" i="20"/>
  <c r="AO86" i="20"/>
  <c r="AJ86" i="20"/>
  <c r="AN86" i="20"/>
  <c r="BD294" i="22"/>
  <c r="BY6" i="22"/>
  <c r="CO6" i="22" s="1"/>
  <c r="I6" i="22"/>
  <c r="AL6" i="22" s="1"/>
  <c r="CB6" i="22"/>
  <c r="BZ6" i="22"/>
  <c r="I7" i="22"/>
  <c r="Y7" i="22" s="1"/>
  <c r="BY7" i="22"/>
  <c r="CB7" i="22"/>
  <c r="AU289" i="22"/>
  <c r="AU204" i="22"/>
  <c r="BD204" i="22"/>
  <c r="V9" i="22"/>
  <c r="AN9" i="22"/>
  <c r="AM9" i="22"/>
  <c r="AV9" i="22"/>
  <c r="AO9" i="22"/>
  <c r="AT9" i="22"/>
  <c r="AU9" i="22" s="1"/>
  <c r="AU285" i="22"/>
  <c r="BG316" i="22"/>
  <c r="BF316" i="22"/>
  <c r="AM203" i="22"/>
  <c r="V203" i="22"/>
  <c r="AN203" i="22"/>
  <c r="V279" i="22"/>
  <c r="J279" i="22"/>
  <c r="AL279" i="22"/>
  <c r="AN279" i="22"/>
  <c r="AM279" i="22"/>
  <c r="AT279" i="22"/>
  <c r="AV279" i="22"/>
  <c r="CE17" i="22"/>
  <c r="AN309" i="22"/>
  <c r="V309" i="22"/>
  <c r="AM309" i="22"/>
  <c r="AV309" i="22"/>
  <c r="AT309" i="22"/>
  <c r="CE206" i="22"/>
  <c r="CE268" i="22"/>
  <c r="E2599" i="19"/>
  <c r="E2637" i="19" s="1"/>
  <c r="V278" i="22"/>
  <c r="AN278" i="22"/>
  <c r="AM278" i="22"/>
  <c r="M1217" i="19"/>
  <c r="N1217" i="19" s="1"/>
  <c r="O1197" i="19"/>
  <c r="CE13" i="22"/>
  <c r="BY282" i="22"/>
  <c r="I282" i="22"/>
  <c r="Z282" i="22" s="1"/>
  <c r="CB282" i="22"/>
  <c r="AU269" i="22"/>
  <c r="AM320" i="22"/>
  <c r="V320" i="22"/>
  <c r="AN320" i="22"/>
  <c r="AO320" i="22"/>
  <c r="AV320" i="22"/>
  <c r="AT320" i="22"/>
  <c r="AU320" i="22" s="1"/>
  <c r="CE22" i="22"/>
  <c r="BK96" i="22"/>
  <c r="BY328" i="22"/>
  <c r="CO328" i="22" s="1"/>
  <c r="I328" i="22"/>
  <c r="BE328" i="22" s="1"/>
  <c r="BG328" i="22" s="1"/>
  <c r="CB328" i="22"/>
  <c r="BZ328" i="22"/>
  <c r="CF328" i="22" s="1"/>
  <c r="CV192" i="20"/>
  <c r="AU327" i="22"/>
  <c r="BD327" i="22"/>
  <c r="V20" i="22"/>
  <c r="AN20" i="22"/>
  <c r="AM20" i="22"/>
  <c r="AV20" i="22"/>
  <c r="AT20" i="22"/>
  <c r="O1657" i="19"/>
  <c r="D1492" i="19"/>
  <c r="H320" i="4" s="1"/>
  <c r="CA299" i="22"/>
  <c r="BV299" i="22" s="1"/>
  <c r="BZ299" i="22"/>
  <c r="AL280" i="22"/>
  <c r="J280" i="22"/>
  <c r="V280" i="22"/>
  <c r="AM280" i="22"/>
  <c r="AN280" i="22"/>
  <c r="K3010" i="19"/>
  <c r="K2994" i="19"/>
  <c r="O2994" i="19" s="1"/>
  <c r="M3557" i="19"/>
  <c r="N3557" i="19" s="1"/>
  <c r="N3570" i="19" s="1"/>
  <c r="D3555" i="19" s="1"/>
  <c r="H14" i="4" s="1"/>
  <c r="O2976" i="19"/>
  <c r="O2993" i="19" s="1"/>
  <c r="N2976" i="19"/>
  <c r="N2990" i="19" s="1"/>
  <c r="D2973" i="19" s="1"/>
  <c r="H226" i="4" s="1"/>
  <c r="I317" i="22"/>
  <c r="BE317" i="22" s="1"/>
  <c r="BF317" i="22" s="1"/>
  <c r="BY317" i="22"/>
  <c r="CO317" i="22" s="1"/>
  <c r="CB317" i="22"/>
  <c r="BZ317" i="22"/>
  <c r="V332" i="22"/>
  <c r="AM332" i="22"/>
  <c r="AN332" i="22"/>
  <c r="V7" i="22"/>
  <c r="AN7" i="22"/>
  <c r="AM7" i="22"/>
  <c r="AV7" i="22"/>
  <c r="AT7" i="22"/>
  <c r="AU7" i="22" s="1"/>
  <c r="AO7" i="22"/>
  <c r="AV282" i="22"/>
  <c r="AN275" i="22"/>
  <c r="AM275" i="22"/>
  <c r="AL275" i="22"/>
  <c r="V275" i="22"/>
  <c r="J275" i="22"/>
  <c r="V292" i="22"/>
  <c r="AN292" i="22"/>
  <c r="AM292" i="22"/>
  <c r="AV292" i="22"/>
  <c r="AT292" i="22"/>
  <c r="CE305" i="22"/>
  <c r="AM310" i="22"/>
  <c r="AN310" i="22"/>
  <c r="V310" i="22"/>
  <c r="AI297" i="22"/>
  <c r="BE297" i="22"/>
  <c r="AK297" i="22"/>
  <c r="M297" i="22"/>
  <c r="O297" i="22" s="1"/>
  <c r="W297" i="22" s="1"/>
  <c r="BY263" i="22"/>
  <c r="CO263" i="22" s="1"/>
  <c r="I263" i="22"/>
  <c r="BS263" i="22" s="1"/>
  <c r="CB263" i="22"/>
  <c r="BZ263" i="22"/>
  <c r="V304" i="22"/>
  <c r="AN304" i="22"/>
  <c r="AM304" i="22"/>
  <c r="AT304" i="22"/>
  <c r="AV304" i="22"/>
  <c r="V326" i="22"/>
  <c r="AN326" i="22"/>
  <c r="AM326" i="22"/>
  <c r="AV326" i="22"/>
  <c r="AT326" i="22"/>
  <c r="CE289" i="22"/>
  <c r="V299" i="22"/>
  <c r="AN299" i="22"/>
  <c r="AM299" i="22"/>
  <c r="AL299" i="22"/>
  <c r="J299" i="22"/>
  <c r="V19" i="22"/>
  <c r="AN19" i="22"/>
  <c r="AM19" i="22"/>
  <c r="AT19" i="22"/>
  <c r="CB321" i="22"/>
  <c r="BY321" i="22"/>
  <c r="I321" i="22"/>
  <c r="BE321" i="22" s="1"/>
  <c r="BF321" i="22" s="1"/>
  <c r="AU302" i="22"/>
  <c r="AO282" i="22"/>
  <c r="CE324" i="22"/>
  <c r="AN14" i="22"/>
  <c r="AM14" i="22"/>
  <c r="V14" i="22"/>
  <c r="AV14" i="22"/>
  <c r="AT14" i="22"/>
  <c r="BG325" i="22"/>
  <c r="BF325" i="22"/>
  <c r="CE275" i="22"/>
  <c r="BY302" i="22"/>
  <c r="CO302" i="22" s="1"/>
  <c r="I302" i="22"/>
  <c r="BS302" i="22" s="1"/>
  <c r="CB302" i="22"/>
  <c r="BZ302" i="22"/>
  <c r="CF302" i="22" s="1"/>
  <c r="BY11" i="22"/>
  <c r="I11" i="22"/>
  <c r="Y11" i="22" s="1"/>
  <c r="CB11" i="22"/>
  <c r="AM291" i="22"/>
  <c r="V291" i="22"/>
  <c r="AN291" i="22"/>
  <c r="AX155" i="20"/>
  <c r="BA155" i="20"/>
  <c r="AR155" i="20"/>
  <c r="W155" i="20" s="1"/>
  <c r="I318" i="22"/>
  <c r="BS318" i="22" s="1"/>
  <c r="CB318" i="22"/>
  <c r="BY318" i="22"/>
  <c r="AN23" i="22"/>
  <c r="AM23" i="22"/>
  <c r="V23" i="22"/>
  <c r="AV23" i="22"/>
  <c r="AT23" i="22"/>
  <c r="AU23" i="22" s="1"/>
  <c r="BY203" i="22"/>
  <c r="CO203" i="22" s="1"/>
  <c r="I203" i="22"/>
  <c r="BQ203" i="22" s="1"/>
  <c r="CB203" i="22"/>
  <c r="BZ203" i="22"/>
  <c r="Z329" i="22"/>
  <c r="AK329" i="22"/>
  <c r="M329" i="22"/>
  <c r="O329" i="22" s="1"/>
  <c r="W329" i="22" s="1"/>
  <c r="AI329" i="22"/>
  <c r="AT314" i="22"/>
  <c r="CE274" i="22"/>
  <c r="CE304" i="22"/>
  <c r="AN333" i="22"/>
  <c r="AM333" i="22"/>
  <c r="V333" i="22"/>
  <c r="AT282" i="22"/>
  <c r="AU282" i="22" s="1"/>
  <c r="AT278" i="22"/>
  <c r="AT286" i="22"/>
  <c r="AM206" i="22"/>
  <c r="AN206" i="22"/>
  <c r="V206" i="22"/>
  <c r="I291" i="22"/>
  <c r="BS291" i="22" s="1"/>
  <c r="BY291" i="22"/>
  <c r="CO291" i="22" s="1"/>
  <c r="CB291" i="22"/>
  <c r="BZ291" i="22"/>
  <c r="BG324" i="22"/>
  <c r="BF324" i="22"/>
  <c r="CE327" i="22"/>
  <c r="CE261" i="22"/>
  <c r="CE315" i="22"/>
  <c r="I275" i="22"/>
  <c r="BR275" i="22" s="1"/>
  <c r="CB275" i="22"/>
  <c r="BY275" i="22"/>
  <c r="CO275" i="22" s="1"/>
  <c r="BZ275" i="22"/>
  <c r="AM265" i="22"/>
  <c r="V265" i="22"/>
  <c r="AN265" i="22"/>
  <c r="J265" i="22"/>
  <c r="AL265" i="22"/>
  <c r="AL316" i="22"/>
  <c r="J316" i="22"/>
  <c r="V316" i="22"/>
  <c r="AN316" i="22"/>
  <c r="AM316" i="22"/>
  <c r="DH192" i="20"/>
  <c r="N4378" i="19" s="1"/>
  <c r="N4380" i="19" s="1"/>
  <c r="D4377" i="19" s="1"/>
  <c r="H447" i="4" s="1"/>
  <c r="V11" i="22"/>
  <c r="AN11" i="22"/>
  <c r="AM11" i="22"/>
  <c r="AV11" i="22"/>
  <c r="AT11" i="22"/>
  <c r="BD11" i="22" s="1"/>
  <c r="AN264" i="22"/>
  <c r="AM264" i="22"/>
  <c r="V264" i="22"/>
  <c r="V287" i="22"/>
  <c r="AN287" i="22"/>
  <c r="AM287" i="22"/>
  <c r="N10" i="20"/>
  <c r="AA10" i="20"/>
  <c r="AZ120" i="20"/>
  <c r="O3274" i="19" s="1"/>
  <c r="O3276" i="19" s="1"/>
  <c r="D3273" i="19" s="1"/>
  <c r="H661" i="4" s="1"/>
  <c r="BC86" i="20"/>
  <c r="BE86" i="20" s="1"/>
  <c r="BM86" i="20"/>
  <c r="AN17" i="22"/>
  <c r="AM17" i="22"/>
  <c r="V17" i="22"/>
  <c r="AV17" i="22"/>
  <c r="AT17" i="22"/>
  <c r="CE263" i="22"/>
  <c r="DH33" i="20"/>
  <c r="N693" i="19" s="1"/>
  <c r="N695" i="19" s="1"/>
  <c r="D692" i="19" s="1"/>
  <c r="H441" i="4" s="1"/>
  <c r="N60" i="20"/>
  <c r="AA60" i="20"/>
  <c r="AK51" i="20"/>
  <c r="AQ171" i="20"/>
  <c r="V276" i="22"/>
  <c r="AM276" i="22"/>
  <c r="AN276" i="22"/>
  <c r="CM18" i="20"/>
  <c r="CL18" i="20"/>
  <c r="CK18" i="20"/>
  <c r="AL59" i="20"/>
  <c r="N119" i="20"/>
  <c r="AA119" i="20"/>
  <c r="BC116" i="20"/>
  <c r="BF116" i="20"/>
  <c r="Z183" i="20"/>
  <c r="M2579" i="19"/>
  <c r="M2599" i="19" s="1"/>
  <c r="M2556" i="19"/>
  <c r="N2556" i="19" s="1"/>
  <c r="N2558" i="19" s="1"/>
  <c r="D2553" i="19" s="1"/>
  <c r="H5" i="4" s="1"/>
  <c r="O2550" i="19"/>
  <c r="O2552" i="19" s="1"/>
  <c r="D2547" i="19" s="1"/>
  <c r="H595" i="4" s="1"/>
  <c r="N17" i="20"/>
  <c r="AA17" i="20"/>
  <c r="AX88" i="20"/>
  <c r="CA144" i="20"/>
  <c r="BZ144" i="20"/>
  <c r="BY144" i="20"/>
  <c r="O5186" i="19"/>
  <c r="K5186" i="19" s="1"/>
  <c r="O5079" i="19"/>
  <c r="D5072" i="19" s="1"/>
  <c r="H222" i="4" s="1"/>
  <c r="N146" i="20"/>
  <c r="AA146" i="20"/>
  <c r="AG76" i="20"/>
  <c r="AF76" i="20"/>
  <c r="AE76" i="20"/>
  <c r="AD76" i="20"/>
  <c r="AC76" i="20"/>
  <c r="AI76" i="20"/>
  <c r="AH76" i="20"/>
  <c r="BE184" i="20"/>
  <c r="O438" i="19"/>
  <c r="D431" i="19"/>
  <c r="H90" i="4" s="1"/>
  <c r="AX66" i="20"/>
  <c r="AQ22" i="20"/>
  <c r="AO22" i="20"/>
  <c r="AN22" i="20"/>
  <c r="AF22" i="20"/>
  <c r="AG22" i="20"/>
  <c r="AH22" i="20"/>
  <c r="AP22" i="20"/>
  <c r="AI22" i="20"/>
  <c r="AJ22" i="20"/>
  <c r="DP89" i="20"/>
  <c r="DG89" i="20"/>
  <c r="N2070" i="19" s="1"/>
  <c r="N2072" i="19" s="1"/>
  <c r="D2069" i="19" s="1"/>
  <c r="H423" i="4" s="1"/>
  <c r="N56" i="20"/>
  <c r="AA56" i="20"/>
  <c r="AX154" i="20"/>
  <c r="AM15" i="20"/>
  <c r="N142" i="20"/>
  <c r="AA142" i="20"/>
  <c r="O5268" i="19"/>
  <c r="M5258" i="19"/>
  <c r="M5262" i="19" s="1"/>
  <c r="D5253" i="19" s="1"/>
  <c r="H785" i="4" s="1"/>
  <c r="BM20" i="20"/>
  <c r="BG23" i="20"/>
  <c r="BH23" i="20" s="1"/>
  <c r="BC53" i="20"/>
  <c r="BM53" i="20"/>
  <c r="AN53" i="20"/>
  <c r="AN77" i="20"/>
  <c r="AN30" i="20"/>
  <c r="AO30" i="20"/>
  <c r="AE30" i="20"/>
  <c r="AD30" i="20"/>
  <c r="AP30" i="20"/>
  <c r="AC30" i="20"/>
  <c r="AJ60" i="20"/>
  <c r="AO60" i="20"/>
  <c r="AN103" i="20"/>
  <c r="CW120" i="20"/>
  <c r="BC117" i="20"/>
  <c r="BE117" i="20" s="1"/>
  <c r="AP106" i="20"/>
  <c r="N180" i="20"/>
  <c r="AA180" i="20"/>
  <c r="AL143" i="20"/>
  <c r="AJ143" i="20"/>
  <c r="AP172" i="20"/>
  <c r="AM183" i="20"/>
  <c r="N2777" i="19"/>
  <c r="O2778" i="19" s="1"/>
  <c r="O2780" i="19" s="1"/>
  <c r="D2684" i="19"/>
  <c r="H251" i="4" s="1"/>
  <c r="N4909" i="19"/>
  <c r="AO143" i="20"/>
  <c r="AX148" i="20"/>
  <c r="AM165" i="20"/>
  <c r="AK165" i="20"/>
  <c r="AP165" i="20"/>
  <c r="AI165" i="20"/>
  <c r="AG165" i="20"/>
  <c r="AH165" i="20"/>
  <c r="AL165" i="20"/>
  <c r="AQ165" i="20"/>
  <c r="AF165" i="20"/>
  <c r="AE103" i="20"/>
  <c r="BF26" i="20"/>
  <c r="BM26" i="20"/>
  <c r="AX26" i="20"/>
  <c r="AT26" i="20"/>
  <c r="BE26" i="20" s="1"/>
  <c r="AJ104" i="20"/>
  <c r="AO104" i="20"/>
  <c r="AL107" i="20"/>
  <c r="D4110" i="19"/>
  <c r="H111" i="4" s="1"/>
  <c r="O4117" i="19"/>
  <c r="O5141" i="19"/>
  <c r="G5154" i="19"/>
  <c r="O5154" i="19" s="1"/>
  <c r="AK49" i="20"/>
  <c r="BE67" i="20"/>
  <c r="AI67" i="20"/>
  <c r="AL85" i="20"/>
  <c r="BA19" i="20"/>
  <c r="AK29" i="20"/>
  <c r="AO52" i="20"/>
  <c r="AP52" i="20"/>
  <c r="AM52" i="20"/>
  <c r="AL52" i="20"/>
  <c r="AN52" i="20"/>
  <c r="AK52" i="20"/>
  <c r="AC103" i="20"/>
  <c r="N61" i="20"/>
  <c r="AA61" i="20"/>
  <c r="AJ111" i="20"/>
  <c r="BC150" i="20"/>
  <c r="BE150" i="20" s="1"/>
  <c r="BM150" i="20"/>
  <c r="G5153" i="19"/>
  <c r="O5153" i="19" s="1"/>
  <c r="O5140" i="19"/>
  <c r="AM143" i="20"/>
  <c r="CX192" i="20"/>
  <c r="N167" i="20"/>
  <c r="AA167" i="20"/>
  <c r="N19" i="20"/>
  <c r="AA19" i="20"/>
  <c r="BE100" i="20"/>
  <c r="AT120" i="20"/>
  <c r="AF75" i="20"/>
  <c r="AE75" i="20"/>
  <c r="AD75" i="20"/>
  <c r="AC75" i="20"/>
  <c r="AI75" i="20"/>
  <c r="AH75" i="20"/>
  <c r="AG75" i="20"/>
  <c r="BE169" i="20"/>
  <c r="BE82" i="20"/>
  <c r="BZ48" i="20"/>
  <c r="BY48" i="20"/>
  <c r="CA48" i="20"/>
  <c r="BW28" i="20"/>
  <c r="BV28" i="20"/>
  <c r="BU28" i="20"/>
  <c r="AQ143" i="20"/>
  <c r="B5376" i="19"/>
  <c r="B5433" i="19" s="1"/>
  <c r="B5394" i="19"/>
  <c r="B5405" i="19" s="1"/>
  <c r="B5423" i="19"/>
  <c r="CE203" i="22"/>
  <c r="J315" i="22"/>
  <c r="AN315" i="22"/>
  <c r="AL315" i="22"/>
  <c r="V315" i="22"/>
  <c r="AM315" i="22"/>
  <c r="J261" i="22"/>
  <c r="V261" i="22"/>
  <c r="AN261" i="22"/>
  <c r="AL261" i="22"/>
  <c r="AM261" i="22"/>
  <c r="BG314" i="22"/>
  <c r="BF314" i="22"/>
  <c r="I331" i="22"/>
  <c r="BE331" i="22" s="1"/>
  <c r="BG331" i="22" s="1"/>
  <c r="CB331" i="22"/>
  <c r="BY331" i="22"/>
  <c r="V296" i="22"/>
  <c r="AN296" i="22"/>
  <c r="AM296" i="22"/>
  <c r="AT315" i="22"/>
  <c r="CE280" i="22"/>
  <c r="AQ51" i="20"/>
  <c r="B5391" i="19"/>
  <c r="B5402" i="19" s="1"/>
  <c r="B5373" i="19"/>
  <c r="B5430" i="19" s="1"/>
  <c r="B5420" i="19"/>
  <c r="N18" i="20"/>
  <c r="AA18" i="20"/>
  <c r="N43" i="20"/>
  <c r="AA43" i="20"/>
  <c r="AJ87" i="20"/>
  <c r="AO87" i="20"/>
  <c r="AQ168" i="20"/>
  <c r="N5159" i="19"/>
  <c r="O5160" i="19" s="1"/>
  <c r="O5162" i="19" s="1"/>
  <c r="D5031" i="19"/>
  <c r="H255" i="4" s="1"/>
  <c r="BC14" i="20"/>
  <c r="BM14" i="20"/>
  <c r="AS192" i="20"/>
  <c r="O4415" i="19" s="1"/>
  <c r="O4417" i="19" s="1"/>
  <c r="D4414" i="19" s="1"/>
  <c r="H471" i="4" s="1"/>
  <c r="AQ76" i="20"/>
  <c r="AP76" i="20"/>
  <c r="N102" i="20"/>
  <c r="AA102" i="20"/>
  <c r="AJ43" i="20"/>
  <c r="DH89" i="20"/>
  <c r="N2074" i="19" s="1"/>
  <c r="N2076" i="19" s="1"/>
  <c r="D2073" i="19" s="1"/>
  <c r="H443" i="4" s="1"/>
  <c r="CE56" i="20"/>
  <c r="CD56" i="20"/>
  <c r="CC56" i="20"/>
  <c r="BW83" i="20"/>
  <c r="BV83" i="20"/>
  <c r="BU83" i="20"/>
  <c r="AN119" i="20"/>
  <c r="B5377" i="19"/>
  <c r="B5434" i="19" s="1"/>
  <c r="B5424" i="19"/>
  <c r="B5395" i="19"/>
  <c r="B5406" i="19" s="1"/>
  <c r="AN181" i="20"/>
  <c r="AJ185" i="20"/>
  <c r="D450" i="19"/>
  <c r="H91" i="4" s="1"/>
  <c r="O457" i="19"/>
  <c r="AQ20" i="20"/>
  <c r="AN144" i="20"/>
  <c r="AO77" i="20"/>
  <c r="AJ103" i="20"/>
  <c r="CX120" i="20"/>
  <c r="AJ170" i="20"/>
  <c r="AQ170" i="20"/>
  <c r="AO172" i="20"/>
  <c r="D1862" i="19"/>
  <c r="H98" i="4" s="1"/>
  <c r="O1869" i="19"/>
  <c r="O2804" i="19"/>
  <c r="K2804" i="19" s="1"/>
  <c r="O2721" i="19"/>
  <c r="D2714" i="19" s="1"/>
  <c r="H216" i="4" s="1"/>
  <c r="O4889" i="19"/>
  <c r="AJ46" i="20"/>
  <c r="BE113" i="20"/>
  <c r="CE58" i="20"/>
  <c r="CD58" i="20"/>
  <c r="CC58" i="20"/>
  <c r="BE107" i="20"/>
  <c r="CI122" i="20"/>
  <c r="CG122" i="20"/>
  <c r="AJ30" i="20"/>
  <c r="AQ67" i="20"/>
  <c r="AP65" i="20"/>
  <c r="AO146" i="20"/>
  <c r="BO122" i="20"/>
  <c r="AP85" i="20"/>
  <c r="AX9" i="20"/>
  <c r="AR66" i="20"/>
  <c r="W66" i="20" s="1"/>
  <c r="BV29" i="20"/>
  <c r="BU29" i="20"/>
  <c r="BW29" i="20"/>
  <c r="Z52" i="20"/>
  <c r="N68" i="20"/>
  <c r="AA68" i="20"/>
  <c r="AM175" i="20"/>
  <c r="AR9" i="20"/>
  <c r="W9" i="20" s="1"/>
  <c r="AQ50" i="20"/>
  <c r="BY47" i="20"/>
  <c r="CA47" i="20"/>
  <c r="BZ47" i="20"/>
  <c r="AM22" i="20"/>
  <c r="AR148" i="20"/>
  <c r="W148" i="20" s="1"/>
  <c r="BE28" i="20"/>
  <c r="DI192" i="20"/>
  <c r="N4382" i="19" s="1"/>
  <c r="N4384" i="19" s="1"/>
  <c r="D4381" i="19" s="1"/>
  <c r="H461" i="4" s="1"/>
  <c r="DP192" i="20"/>
  <c r="N4410" i="19" s="1"/>
  <c r="N4412" i="19" s="1"/>
  <c r="D4409" i="19" s="1"/>
  <c r="H464" i="4" s="1"/>
  <c r="BY283" i="22"/>
  <c r="I283" i="22"/>
  <c r="BS283" i="22" s="1"/>
  <c r="CB283" i="22"/>
  <c r="CE10" i="20"/>
  <c r="CD10" i="20"/>
  <c r="CC10" i="20"/>
  <c r="Z87" i="20"/>
  <c r="M4916" i="19"/>
  <c r="M4897" i="19"/>
  <c r="O4896" i="19"/>
  <c r="M4877" i="19"/>
  <c r="O4877" i="19" s="1"/>
  <c r="AM301" i="22"/>
  <c r="V301" i="22"/>
  <c r="AN301" i="22"/>
  <c r="AV315" i="22"/>
  <c r="N147" i="20"/>
  <c r="AA147" i="20"/>
  <c r="AK171" i="20"/>
  <c r="Z181" i="20"/>
  <c r="AS89" i="20"/>
  <c r="O2107" i="19" s="1"/>
  <c r="O2109" i="19" s="1"/>
  <c r="D2106" i="19" s="1"/>
  <c r="H467" i="4" s="1"/>
  <c r="AO59" i="20"/>
  <c r="Z104" i="20"/>
  <c r="AX71" i="20"/>
  <c r="AG6" i="20"/>
  <c r="AQ111" i="20"/>
  <c r="AL111" i="20"/>
  <c r="N13" i="20"/>
  <c r="AA13" i="20"/>
  <c r="AQ14" i="20"/>
  <c r="W71" i="20"/>
  <c r="AR161" i="20"/>
  <c r="W161" i="20" s="1"/>
  <c r="CA46" i="20"/>
  <c r="BZ46" i="20"/>
  <c r="BY46" i="20"/>
  <c r="Z76" i="20"/>
  <c r="AT180" i="20"/>
  <c r="BE180" i="20" s="1"/>
  <c r="AH20" i="20"/>
  <c r="BC62" i="20"/>
  <c r="BE62" i="20" s="1"/>
  <c r="BM62" i="20"/>
  <c r="AK43" i="20"/>
  <c r="AU89" i="20"/>
  <c r="O2112" i="19" s="1"/>
  <c r="O2114" i="19" s="1"/>
  <c r="BE145" i="20"/>
  <c r="AJ83" i="20"/>
  <c r="AK83" i="20"/>
  <c r="AO83" i="20"/>
  <c r="Z113" i="20"/>
  <c r="BC149" i="20"/>
  <c r="BE149" i="20" s="1"/>
  <c r="BF149" i="20"/>
  <c r="BM149" i="20"/>
  <c r="AX159" i="20"/>
  <c r="AN15" i="20"/>
  <c r="AR57" i="20"/>
  <c r="W57" i="20" s="1"/>
  <c r="N85" i="20"/>
  <c r="AA85" i="20"/>
  <c r="CE49" i="20"/>
  <c r="CD49" i="20"/>
  <c r="CC49" i="20"/>
  <c r="AO53" i="20"/>
  <c r="AP46" i="20"/>
  <c r="AA30" i="20"/>
  <c r="N30" i="20"/>
  <c r="AK76" i="20"/>
  <c r="AO103" i="20"/>
  <c r="AQ117" i="20"/>
  <c r="AM106" i="20"/>
  <c r="AI171" i="20"/>
  <c r="AO170" i="20"/>
  <c r="AQ172" i="20"/>
  <c r="N169" i="20"/>
  <c r="AA169" i="20"/>
  <c r="CE175" i="20"/>
  <c r="CD175" i="20"/>
  <c r="CC175" i="20"/>
  <c r="AN183" i="20"/>
  <c r="M1191" i="19"/>
  <c r="M1211" i="19" s="1"/>
  <c r="M1169" i="19"/>
  <c r="N1169" i="19" s="1"/>
  <c r="O1163" i="19"/>
  <c r="N150" i="20"/>
  <c r="AA150" i="20"/>
  <c r="Z165" i="20"/>
  <c r="BE83" i="20"/>
  <c r="AA58" i="20"/>
  <c r="N58" i="20"/>
  <c r="AK104" i="20"/>
  <c r="AP104" i="20"/>
  <c r="AM115" i="20"/>
  <c r="M2567" i="19"/>
  <c r="O2567" i="19" s="1"/>
  <c r="O2566" i="19"/>
  <c r="M2585" i="19"/>
  <c r="AQ146" i="20"/>
  <c r="BD89" i="20"/>
  <c r="BC55" i="20"/>
  <c r="BE55" i="20" s="1"/>
  <c r="BF55" i="20"/>
  <c r="BM55" i="20"/>
  <c r="BM67" i="20"/>
  <c r="AW89" i="20"/>
  <c r="O2176" i="19" s="1"/>
  <c r="AK65" i="20"/>
  <c r="AK44" i="20"/>
  <c r="BP122" i="20"/>
  <c r="AQ85" i="20"/>
  <c r="AM85" i="20"/>
  <c r="G2771" i="19"/>
  <c r="O2771" i="19" s="1"/>
  <c r="O2762" i="19"/>
  <c r="O2766" i="19" s="1"/>
  <c r="D2758" i="19" s="1"/>
  <c r="H660" i="4" s="1"/>
  <c r="N52" i="20"/>
  <c r="AA52" i="20"/>
  <c r="AP83" i="20"/>
  <c r="AK70" i="20"/>
  <c r="CD68" i="20"/>
  <c r="CC68" i="20"/>
  <c r="CE68" i="20"/>
  <c r="AF171" i="20"/>
  <c r="AC170" i="20"/>
  <c r="AJ175" i="20"/>
  <c r="CE55" i="20"/>
  <c r="CD55" i="20"/>
  <c r="CC55" i="20"/>
  <c r="AA47" i="20"/>
  <c r="N47" i="20"/>
  <c r="AQ145" i="20"/>
  <c r="AN109" i="20"/>
  <c r="AQ109" i="20"/>
  <c r="AL109" i="20"/>
  <c r="AP109" i="20"/>
  <c r="AM109" i="20"/>
  <c r="BW84" i="20"/>
  <c r="BV84" i="20"/>
  <c r="BU84" i="20"/>
  <c r="N179" i="20"/>
  <c r="AA179" i="20"/>
  <c r="AR19" i="20"/>
  <c r="W19" i="20" s="1"/>
  <c r="I120" i="20"/>
  <c r="G2911" i="19" s="1"/>
  <c r="G2913" i="19" s="1"/>
  <c r="D2909" i="19" s="1"/>
  <c r="Z51" i="20"/>
  <c r="BM186" i="20"/>
  <c r="CE277" i="22"/>
  <c r="N87" i="20"/>
  <c r="AA87" i="20"/>
  <c r="AT303" i="22"/>
  <c r="AV287" i="22"/>
  <c r="BY265" i="22"/>
  <c r="CO265" i="22" s="1"/>
  <c r="I265" i="22"/>
  <c r="BS265" i="22" s="1"/>
  <c r="BZ265" i="22"/>
  <c r="CB265" i="22"/>
  <c r="V290" i="22"/>
  <c r="AN290" i="22"/>
  <c r="AM290" i="22"/>
  <c r="AM298" i="22"/>
  <c r="V298" i="22"/>
  <c r="AN298" i="22"/>
  <c r="V262" i="22"/>
  <c r="AL262" i="22"/>
  <c r="AM262" i="22"/>
  <c r="J262" i="22"/>
  <c r="AN262" i="22"/>
  <c r="BG327" i="22"/>
  <c r="BF327" i="22"/>
  <c r="CE267" i="22"/>
  <c r="AL51" i="20"/>
  <c r="N181" i="20"/>
  <c r="AA181" i="20"/>
  <c r="AD29" i="20"/>
  <c r="AE29" i="20"/>
  <c r="N104" i="20"/>
  <c r="AA104" i="20"/>
  <c r="AP87" i="20"/>
  <c r="CL14" i="20"/>
  <c r="CK14" i="20"/>
  <c r="CM14" i="20"/>
  <c r="AX151" i="20"/>
  <c r="AK168" i="20"/>
  <c r="CM20" i="20"/>
  <c r="CL20" i="20"/>
  <c r="CK20" i="20"/>
  <c r="M2582" i="19"/>
  <c r="M2601" i="19"/>
  <c r="O2581" i="19"/>
  <c r="AL43" i="20"/>
  <c r="DI89" i="20"/>
  <c r="N2078" i="19" s="1"/>
  <c r="N2080" i="19" s="1"/>
  <c r="D2077" i="19" s="1"/>
  <c r="H457" i="4" s="1"/>
  <c r="BE77" i="20"/>
  <c r="AJ119" i="20"/>
  <c r="AR154" i="20"/>
  <c r="W154" i="20" s="1"/>
  <c r="CI191" i="20"/>
  <c r="CG191" i="20"/>
  <c r="CH191" i="20"/>
  <c r="N153" i="20"/>
  <c r="AA153" i="20"/>
  <c r="BV142" i="20"/>
  <c r="BU142" i="20"/>
  <c r="BW142" i="20"/>
  <c r="AJ181" i="20"/>
  <c r="AL20" i="20"/>
  <c r="AJ53" i="20"/>
  <c r="AP77" i="20"/>
  <c r="AK60" i="20"/>
  <c r="AU120" i="20"/>
  <c r="O3217" i="19" s="1"/>
  <c r="O3219" i="19" s="1"/>
  <c r="CY120" i="20"/>
  <c r="AK170" i="20"/>
  <c r="K1241" i="19"/>
  <c r="D1233" i="19" s="1"/>
  <c r="H11" i="4" s="1"/>
  <c r="BR194" i="20"/>
  <c r="AO56" i="20"/>
  <c r="BC104" i="20"/>
  <c r="BE104" i="20" s="1"/>
  <c r="O4956" i="19"/>
  <c r="O4959" i="19" s="1"/>
  <c r="D4954" i="19" s="1"/>
  <c r="H680" i="4" s="1"/>
  <c r="E4963" i="19"/>
  <c r="N107" i="20"/>
  <c r="AA107" i="20"/>
  <c r="BM173" i="20"/>
  <c r="AX173" i="20"/>
  <c r="BM189" i="20"/>
  <c r="Z187" i="20"/>
  <c r="AR159" i="20"/>
  <c r="W159" i="20" s="1"/>
  <c r="AL49" i="20"/>
  <c r="AQ65" i="20"/>
  <c r="BM178" i="20"/>
  <c r="V288" i="22"/>
  <c r="AN288" i="22"/>
  <c r="AM288" i="22"/>
  <c r="BM29" i="20"/>
  <c r="AO29" i="20"/>
  <c r="BB120" i="20"/>
  <c r="O3226" i="19" s="1"/>
  <c r="O3227" i="19" s="1"/>
  <c r="D3224" i="19" s="1"/>
  <c r="H501" i="4" s="1"/>
  <c r="AL150" i="20"/>
  <c r="AG175" i="20"/>
  <c r="AN175" i="20"/>
  <c r="BC50" i="20"/>
  <c r="BE50" i="20" s="1"/>
  <c r="BM50" i="20"/>
  <c r="AL50" i="20"/>
  <c r="AK146" i="20"/>
  <c r="CY192" i="20"/>
  <c r="BF148" i="20"/>
  <c r="N166" i="20"/>
  <c r="AA166" i="20"/>
  <c r="AF172" i="20"/>
  <c r="N178" i="20"/>
  <c r="AA178" i="20"/>
  <c r="O4853" i="19"/>
  <c r="D4845" i="19" s="1"/>
  <c r="H679" i="4" s="1"/>
  <c r="N84" i="20"/>
  <c r="AA84" i="20"/>
  <c r="AM25" i="20"/>
  <c r="Z25" i="20"/>
  <c r="V189" i="20"/>
  <c r="DI120" i="20"/>
  <c r="N28" i="20"/>
  <c r="AA28" i="20"/>
  <c r="CE316" i="22"/>
  <c r="BY305" i="22"/>
  <c r="CO305" i="22" s="1"/>
  <c r="I305" i="22"/>
  <c r="BQ305" i="22" s="1"/>
  <c r="BZ305" i="22"/>
  <c r="CB305" i="22"/>
  <c r="CE21" i="22"/>
  <c r="CX96" i="22"/>
  <c r="E1101" i="19" s="1"/>
  <c r="E1103" i="19" s="1"/>
  <c r="D1100" i="19" s="1"/>
  <c r="H490" i="4" s="1"/>
  <c r="CY11" i="22"/>
  <c r="CY96" i="22" s="1"/>
  <c r="N402" i="19" s="1"/>
  <c r="CE292" i="22"/>
  <c r="N51" i="20"/>
  <c r="AA51" i="20"/>
  <c r="AV192" i="20"/>
  <c r="O4424" i="19" s="1"/>
  <c r="O4426" i="19" s="1"/>
  <c r="BA23" i="20"/>
  <c r="AT287" i="22"/>
  <c r="CB314" i="22"/>
  <c r="BY314" i="22"/>
  <c r="CO314" i="22" s="1"/>
  <c r="I314" i="22"/>
  <c r="BR314" i="22" s="1"/>
  <c r="BZ314" i="22"/>
  <c r="CF314" i="22" s="1"/>
  <c r="CB330" i="22"/>
  <c r="BY330" i="22"/>
  <c r="I330" i="22"/>
  <c r="BE330" i="22" s="1"/>
  <c r="BG330" i="22" s="1"/>
  <c r="BE51" i="20"/>
  <c r="AL171" i="20"/>
  <c r="Z29" i="20"/>
  <c r="AR23" i="20"/>
  <c r="W23" i="20" s="1"/>
  <c r="DL33" i="20"/>
  <c r="N705" i="19" s="1"/>
  <c r="N707" i="19" s="1"/>
  <c r="D704" i="19" s="1"/>
  <c r="H449" i="4" s="1"/>
  <c r="AO6" i="20"/>
  <c r="AK87" i="20"/>
  <c r="AV276" i="22"/>
  <c r="I192" i="20"/>
  <c r="G4060" i="19" s="1"/>
  <c r="G4062" i="19" s="1"/>
  <c r="D4058" i="19" s="1"/>
  <c r="AJ76" i="20"/>
  <c r="BM48" i="20"/>
  <c r="BC48" i="20"/>
  <c r="BE48" i="20" s="1"/>
  <c r="I89" i="20"/>
  <c r="G1807" i="19" s="1"/>
  <c r="G1809" i="19" s="1"/>
  <c r="D1805" i="19" s="1"/>
  <c r="BM72" i="20"/>
  <c r="AQ56" i="20"/>
  <c r="AP56" i="20"/>
  <c r="AK145" i="20"/>
  <c r="BS122" i="20"/>
  <c r="BC154" i="20"/>
  <c r="BE154" i="20" s="1"/>
  <c r="BM154" i="20"/>
  <c r="BF154" i="20"/>
  <c r="N176" i="20"/>
  <c r="AA176" i="20"/>
  <c r="AJ15" i="20"/>
  <c r="AO15" i="20"/>
  <c r="BM171" i="20"/>
  <c r="AO185" i="20"/>
  <c r="AK185" i="20"/>
  <c r="AN10" i="23"/>
  <c r="AN37" i="23" s="1"/>
  <c r="AP53" i="20"/>
  <c r="BM60" i="20"/>
  <c r="BC60" i="20"/>
  <c r="BE60" i="20" s="1"/>
  <c r="AP103" i="20"/>
  <c r="CZ120" i="20"/>
  <c r="N106" i="20"/>
  <c r="AA106" i="20"/>
  <c r="AX163" i="20"/>
  <c r="AK172" i="20"/>
  <c r="N175" i="20"/>
  <c r="AA175" i="20"/>
  <c r="AJ183" i="20"/>
  <c r="BE191" i="20"/>
  <c r="O1160" i="19"/>
  <c r="D1152" i="19" s="1"/>
  <c r="H676" i="4" s="1"/>
  <c r="BS194" i="20"/>
  <c r="DJ33" i="20"/>
  <c r="N697" i="19" s="1"/>
  <c r="N699" i="19" s="1"/>
  <c r="D696" i="19" s="1"/>
  <c r="H409" i="4" s="1"/>
  <c r="AI74" i="20"/>
  <c r="AI175" i="20"/>
  <c r="AX23" i="20"/>
  <c r="AL83" i="20"/>
  <c r="AL46" i="20"/>
  <c r="AJ81" i="20"/>
  <c r="AM81" i="20"/>
  <c r="AQ81" i="20"/>
  <c r="AN85" i="20"/>
  <c r="AF187" i="20"/>
  <c r="AQ187" i="20"/>
  <c r="AE187" i="20"/>
  <c r="AO187" i="20"/>
  <c r="AC187" i="20"/>
  <c r="AN187" i="20"/>
  <c r="AL187" i="20"/>
  <c r="AG187" i="20"/>
  <c r="AD187" i="20"/>
  <c r="AP187" i="20"/>
  <c r="AM187" i="20"/>
  <c r="AI187" i="20"/>
  <c r="AH187" i="20"/>
  <c r="AP29" i="20"/>
  <c r="BC70" i="20"/>
  <c r="BM70" i="20"/>
  <c r="AN172" i="23"/>
  <c r="AN199" i="23" s="1"/>
  <c r="N79" i="20"/>
  <c r="AA79" i="20"/>
  <c r="AK50" i="20"/>
  <c r="E2853" i="19"/>
  <c r="E2850" i="19"/>
  <c r="D2846" i="19" s="1"/>
  <c r="H579" i="4" s="1"/>
  <c r="AM102" i="20"/>
  <c r="CZ192" i="20"/>
  <c r="AG172" i="20"/>
  <c r="K4934" i="19"/>
  <c r="D4926" i="19" s="1"/>
  <c r="H17" i="4" s="1"/>
  <c r="V120" i="20"/>
  <c r="CL122" i="20"/>
  <c r="E3342" i="19" s="1"/>
  <c r="E3344" i="19" s="1"/>
  <c r="D3341" i="19" s="1"/>
  <c r="H816" i="4" s="1"/>
  <c r="AQ6" i="20"/>
  <c r="BL96" i="22"/>
  <c r="O5131" i="19"/>
  <c r="D5119" i="19" s="1"/>
  <c r="H506" i="4" s="1"/>
  <c r="O5223" i="19"/>
  <c r="K5223" i="19" s="1"/>
  <c r="K5232" i="19" s="1"/>
  <c r="D5220" i="19" s="1"/>
  <c r="H87" i="4" s="1"/>
  <c r="CC51" i="20"/>
  <c r="CD51" i="20"/>
  <c r="CE51" i="20"/>
  <c r="BW86" i="20"/>
  <c r="BV86" i="20"/>
  <c r="BU86" i="20"/>
  <c r="BB192" i="20"/>
  <c r="O4429" i="19" s="1"/>
  <c r="O4430" i="19" s="1"/>
  <c r="D4427" i="19" s="1"/>
  <c r="H504" i="4" s="1"/>
  <c r="BC141" i="20"/>
  <c r="BM141" i="20"/>
  <c r="DJ192" i="20"/>
  <c r="N4386" i="19" s="1"/>
  <c r="N4388" i="19" s="1"/>
  <c r="D4385" i="19" s="1"/>
  <c r="H415" i="4" s="1"/>
  <c r="AX84" i="20"/>
  <c r="BC155" i="20"/>
  <c r="BE155" i="20" s="1"/>
  <c r="BM155" i="20"/>
  <c r="BF155" i="20"/>
  <c r="AN283" i="22"/>
  <c r="AM283" i="22"/>
  <c r="V283" i="22"/>
  <c r="BG322" i="22"/>
  <c r="BF322" i="22"/>
  <c r="AN307" i="22"/>
  <c r="AM307" i="22"/>
  <c r="V307" i="22"/>
  <c r="D3747" i="19"/>
  <c r="H253" i="4" s="1"/>
  <c r="N3903" i="19"/>
  <c r="O3904" i="19" s="1"/>
  <c r="O3906" i="19" s="1"/>
  <c r="AP10" i="20"/>
  <c r="AK10" i="20"/>
  <c r="AN10" i="20"/>
  <c r="AM10" i="20"/>
  <c r="AO10" i="20"/>
  <c r="AJ10" i="20"/>
  <c r="BA84" i="20"/>
  <c r="AX160" i="20"/>
  <c r="BY20" i="22"/>
  <c r="CO20" i="22" s="1"/>
  <c r="I20" i="22"/>
  <c r="BR20" i="22" s="1"/>
  <c r="BZ20" i="22"/>
  <c r="CB20" i="22"/>
  <c r="AM318" i="22"/>
  <c r="AN318" i="22"/>
  <c r="AL318" i="22"/>
  <c r="V318" i="22"/>
  <c r="J318" i="22"/>
  <c r="AN15" i="22"/>
  <c r="AM15" i="22"/>
  <c r="V15" i="22"/>
  <c r="AV15" i="22"/>
  <c r="AT15" i="22"/>
  <c r="CE279" i="22"/>
  <c r="CB319" i="22"/>
  <c r="I319" i="22"/>
  <c r="BY319" i="22"/>
  <c r="E3660" i="19"/>
  <c r="O3640" i="19"/>
  <c r="BF318" i="22"/>
  <c r="BG318" i="22"/>
  <c r="AT266" i="22"/>
  <c r="AM204" i="22"/>
  <c r="AL204" i="22"/>
  <c r="AN204" i="22"/>
  <c r="J204" i="22"/>
  <c r="V204" i="22"/>
  <c r="AM51" i="20"/>
  <c r="BE173" i="20"/>
  <c r="N29" i="20"/>
  <c r="AA29" i="20"/>
  <c r="AQ18" i="20"/>
  <c r="BC87" i="20"/>
  <c r="BE87" i="20" s="1"/>
  <c r="BM87" i="20"/>
  <c r="BE116" i="20"/>
  <c r="K3688" i="19"/>
  <c r="D3680" i="19" s="1"/>
  <c r="H15" i="4" s="1"/>
  <c r="AJ146" i="20"/>
  <c r="BC156" i="20"/>
  <c r="BE156" i="20" s="1"/>
  <c r="BM156" i="20"/>
  <c r="AL168" i="20"/>
  <c r="Z146" i="20"/>
  <c r="AT276" i="22"/>
  <c r="Z20" i="20"/>
  <c r="AN14" i="20"/>
  <c r="AQ102" i="20"/>
  <c r="BO194" i="20"/>
  <c r="N182" i="20"/>
  <c r="AA182" i="20"/>
  <c r="M2563" i="19"/>
  <c r="O2563" i="19" s="1"/>
  <c r="O2562" i="19"/>
  <c r="Z22" i="20"/>
  <c r="AO43" i="20"/>
  <c r="AN113" i="20"/>
  <c r="AX105" i="20"/>
  <c r="BR122" i="20"/>
  <c r="BC159" i="20"/>
  <c r="BE159" i="20" s="1"/>
  <c r="BF159" i="20"/>
  <c r="BM159" i="20"/>
  <c r="BA161" i="20"/>
  <c r="BE49" i="20"/>
  <c r="AL142" i="20"/>
  <c r="AO181" i="20"/>
  <c r="AP185" i="20"/>
  <c r="BM185" i="20"/>
  <c r="BA177" i="20"/>
  <c r="CE273" i="22"/>
  <c r="AM20" i="20"/>
  <c r="N63" i="20"/>
  <c r="AA63" i="20"/>
  <c r="AK53" i="20"/>
  <c r="AQ77" i="20"/>
  <c r="AP60" i="20"/>
  <c r="AK103" i="20"/>
  <c r="AL170" i="20"/>
  <c r="CY89" i="20"/>
  <c r="BA79" i="20"/>
  <c r="N80" i="20"/>
  <c r="AA80" i="20"/>
  <c r="O5303" i="19"/>
  <c r="M5298" i="19"/>
  <c r="M5300" i="19" s="1"/>
  <c r="D5292" i="19" s="1"/>
  <c r="H786" i="4" s="1"/>
  <c r="DK33" i="20"/>
  <c r="N701" i="19" s="1"/>
  <c r="N703" i="19" s="1"/>
  <c r="D700" i="19" s="1"/>
  <c r="H429" i="4" s="1"/>
  <c r="BC19" i="20"/>
  <c r="BM19" i="20"/>
  <c r="BF19" i="20"/>
  <c r="N70" i="20"/>
  <c r="AA70" i="20"/>
  <c r="AQ104" i="20"/>
  <c r="M3670" i="19"/>
  <c r="M3631" i="19"/>
  <c r="O3631" i="19" s="1"/>
  <c r="M3651" i="19"/>
  <c r="O3650" i="19"/>
  <c r="AJ49" i="20"/>
  <c r="AM49" i="20"/>
  <c r="AX28" i="20"/>
  <c r="AQ144" i="20"/>
  <c r="AL65" i="20"/>
  <c r="Z81" i="20"/>
  <c r="BE176" i="20"/>
  <c r="AM29" i="20"/>
  <c r="AL70" i="20"/>
  <c r="Z72" i="20"/>
  <c r="AM150" i="20"/>
  <c r="AO175" i="20"/>
  <c r="AK175" i="20"/>
  <c r="M2590" i="19"/>
  <c r="M2609" i="19"/>
  <c r="M2570" i="19"/>
  <c r="O2570" i="19" s="1"/>
  <c r="O2589" i="19"/>
  <c r="AL6" i="20"/>
  <c r="BW79" i="20"/>
  <c r="BV79" i="20"/>
  <c r="BU79" i="20"/>
  <c r="AM50" i="20"/>
  <c r="N55" i="20"/>
  <c r="AA55" i="20"/>
  <c r="AH172" i="20"/>
  <c r="M4884" i="19"/>
  <c r="M4904" i="19" s="1"/>
  <c r="M4862" i="19"/>
  <c r="N4862" i="19" s="1"/>
  <c r="N4865" i="19" s="1"/>
  <c r="D4860" i="19" s="1"/>
  <c r="H9" i="4" s="1"/>
  <c r="O4856" i="19"/>
  <c r="O4859" i="19" s="1"/>
  <c r="D4854" i="19" s="1"/>
  <c r="H597" i="4" s="1"/>
  <c r="AR84" i="20"/>
  <c r="W84" i="20" s="1"/>
  <c r="AK30" i="20"/>
  <c r="DG120" i="20"/>
  <c r="N3184" i="19" s="1"/>
  <c r="N3186" i="19" s="1"/>
  <c r="D3183" i="19" s="1"/>
  <c r="H425" i="4" s="1"/>
  <c r="BW122" i="20"/>
  <c r="BV82" i="20"/>
  <c r="BU82" i="20"/>
  <c r="BW82" i="20"/>
  <c r="N48" i="20"/>
  <c r="AA48" i="20"/>
  <c r="AI24" i="20"/>
  <c r="AH24" i="20"/>
  <c r="AG24" i="20"/>
  <c r="AF24" i="20"/>
  <c r="AE24" i="20"/>
  <c r="AD24" i="20"/>
  <c r="AC24" i="20"/>
  <c r="N116" i="20"/>
  <c r="AA116" i="20"/>
  <c r="CE177" i="20"/>
  <c r="CD177" i="20"/>
  <c r="CC177" i="20"/>
  <c r="BM96" i="22"/>
  <c r="BY206" i="22"/>
  <c r="CO206" i="22" s="1"/>
  <c r="I206" i="22"/>
  <c r="AL206" i="22" s="1"/>
  <c r="BZ206" i="22"/>
  <c r="CB206" i="22"/>
  <c r="BG319" i="22"/>
  <c r="BF319" i="22"/>
  <c r="G5148" i="19"/>
  <c r="O5148" i="19" s="1"/>
  <c r="O5135" i="19"/>
  <c r="DO192" i="20"/>
  <c r="N4406" i="19" s="1"/>
  <c r="N4408" i="19" s="1"/>
  <c r="D4405" i="19" s="1"/>
  <c r="H456" i="4" s="1"/>
  <c r="AM281" i="22"/>
  <c r="V281" i="22"/>
  <c r="AN281" i="22"/>
  <c r="BY315" i="22"/>
  <c r="CO315" i="22" s="1"/>
  <c r="I315" i="22"/>
  <c r="BS315" i="22" s="1"/>
  <c r="BZ315" i="22"/>
  <c r="CB315" i="22"/>
  <c r="I294" i="22"/>
  <c r="Z294" i="22" s="1"/>
  <c r="AE294" i="22" s="1"/>
  <c r="BY294" i="22"/>
  <c r="CB294" i="22"/>
  <c r="I269" i="22"/>
  <c r="BQ269" i="22" s="1"/>
  <c r="BY269" i="22"/>
  <c r="CO269" i="22" s="1"/>
  <c r="CB269" i="22"/>
  <c r="BZ269" i="22"/>
  <c r="O3799" i="19"/>
  <c r="D3792" i="19" s="1"/>
  <c r="H219" i="4" s="1"/>
  <c r="O3930" i="19"/>
  <c r="K3930" i="19" s="1"/>
  <c r="Z168" i="20"/>
  <c r="O5275" i="19"/>
  <c r="M5266" i="19"/>
  <c r="AN22" i="22"/>
  <c r="AM22" i="22"/>
  <c r="V22" i="22"/>
  <c r="AV22" i="22"/>
  <c r="AT22" i="22"/>
  <c r="BY277" i="22"/>
  <c r="CO277" i="22" s="1"/>
  <c r="CB277" i="22"/>
  <c r="BZ277" i="22"/>
  <c r="I277" i="22"/>
  <c r="BR277" i="22" s="1"/>
  <c r="CA318" i="22"/>
  <c r="BV318" i="22" s="1"/>
  <c r="BZ318" i="22"/>
  <c r="CE281" i="22"/>
  <c r="AM331" i="22"/>
  <c r="AN331" i="22"/>
  <c r="V331" i="22"/>
  <c r="AT318" i="22"/>
  <c r="AU318" i="22" s="1"/>
  <c r="CE147" i="20"/>
  <c r="CD147" i="20"/>
  <c r="CC147" i="20"/>
  <c r="AM171" i="20"/>
  <c r="BE6" i="20"/>
  <c r="BF71" i="20"/>
  <c r="BC71" i="20"/>
  <c r="BE71" i="20" s="1"/>
  <c r="BM71" i="20"/>
  <c r="M3638" i="19"/>
  <c r="M3658" i="19" s="1"/>
  <c r="M3616" i="19"/>
  <c r="N3616" i="19" s="1"/>
  <c r="N3619" i="19" s="1"/>
  <c r="D3614" i="19" s="1"/>
  <c r="H7" i="4" s="1"/>
  <c r="O3610" i="19"/>
  <c r="O3613" i="19" s="1"/>
  <c r="D3608" i="19" s="1"/>
  <c r="H596" i="4" s="1"/>
  <c r="CA295" i="22"/>
  <c r="BV295" i="22" s="1"/>
  <c r="BZ295" i="22"/>
  <c r="BE17" i="20"/>
  <c r="BA71" i="20"/>
  <c r="V300" i="22"/>
  <c r="AN300" i="22"/>
  <c r="AM300" i="22"/>
  <c r="N20" i="20"/>
  <c r="AA20" i="20"/>
  <c r="N141" i="20"/>
  <c r="AA141" i="20"/>
  <c r="BP194" i="20"/>
  <c r="Z170" i="20"/>
  <c r="B5422" i="19"/>
  <c r="B5375" i="19"/>
  <c r="B5432" i="19" s="1"/>
  <c r="B5393" i="19"/>
  <c r="B5404" i="19" s="1"/>
  <c r="AV89" i="20"/>
  <c r="O2116" i="19" s="1"/>
  <c r="O2118" i="19" s="1"/>
  <c r="AP43" i="20"/>
  <c r="AO119" i="20"/>
  <c r="AK119" i="20"/>
  <c r="AP15" i="20"/>
  <c r="AO76" i="20"/>
  <c r="BA75" i="20"/>
  <c r="AK181" i="20"/>
  <c r="CV33" i="20"/>
  <c r="AQ53" i="20"/>
  <c r="AK77" i="20"/>
  <c r="AQ60" i="20"/>
  <c r="AL60" i="20"/>
  <c r="AQ103" i="20"/>
  <c r="BC153" i="20"/>
  <c r="BE153" i="20" s="1"/>
  <c r="BM153" i="20"/>
  <c r="CK180" i="20"/>
  <c r="CM180" i="20"/>
  <c r="CL180" i="20"/>
  <c r="AL172" i="20"/>
  <c r="AO183" i="20"/>
  <c r="N8" i="20"/>
  <c r="AA8" i="20"/>
  <c r="CX89" i="20"/>
  <c r="AR88" i="20"/>
  <c r="W88" i="20" s="1"/>
  <c r="CC145" i="20"/>
  <c r="CE145" i="20"/>
  <c r="CD145" i="20"/>
  <c r="O1627" i="19"/>
  <c r="O1631" i="19" s="1"/>
  <c r="D1614" i="19" s="1"/>
  <c r="H657" i="4" s="1"/>
  <c r="G1645" i="19"/>
  <c r="O1645" i="19" s="1"/>
  <c r="V26" i="20"/>
  <c r="AQ83" i="20"/>
  <c r="AL104" i="20"/>
  <c r="AJ145" i="20"/>
  <c r="AQ49" i="20"/>
  <c r="N7" i="20"/>
  <c r="AA7" i="20"/>
  <c r="AJ85" i="20"/>
  <c r="AH175" i="20"/>
  <c r="N157" i="20"/>
  <c r="AA157" i="20"/>
  <c r="AM113" i="20"/>
  <c r="CE72" i="20"/>
  <c r="CD72" i="20"/>
  <c r="CC72" i="20"/>
  <c r="AL68" i="20"/>
  <c r="BM175" i="20"/>
  <c r="F4906" i="19"/>
  <c r="F4944" i="19" s="1"/>
  <c r="O4886" i="19"/>
  <c r="AI172" i="20"/>
  <c r="AF20" i="20"/>
  <c r="AD25" i="20"/>
  <c r="AG25" i="20"/>
  <c r="AF25" i="20"/>
  <c r="AE25" i="20"/>
  <c r="AC25" i="20"/>
  <c r="AI25" i="20"/>
  <c r="AH25" i="20"/>
  <c r="AG67" i="20"/>
  <c r="DH120" i="20"/>
  <c r="N3188" i="19" s="1"/>
  <c r="N3190" i="19" s="1"/>
  <c r="D3187" i="19" s="1"/>
  <c r="H445" i="4" s="1"/>
  <c r="N82" i="20"/>
  <c r="AA82" i="20"/>
  <c r="CE148" i="20"/>
  <c r="CD148" i="20"/>
  <c r="CC148" i="20"/>
  <c r="AR28" i="20"/>
  <c r="W28" i="20" s="1"/>
  <c r="AA177" i="20"/>
  <c r="N177" i="20"/>
  <c r="V272" i="22"/>
  <c r="AN272" i="22"/>
  <c r="AM272" i="22"/>
  <c r="BY323" i="22"/>
  <c r="CO323" i="22" s="1"/>
  <c r="CB323" i="22"/>
  <c r="I323" i="22"/>
  <c r="BE323" i="22" s="1"/>
  <c r="BG323" i="22" s="1"/>
  <c r="BZ323" i="22"/>
  <c r="J202" i="22"/>
  <c r="V202" i="22"/>
  <c r="AL202" i="22"/>
  <c r="AM202" i="22"/>
  <c r="AN202" i="22"/>
  <c r="CE288" i="22"/>
  <c r="DK192" i="20"/>
  <c r="N4390" i="19" s="1"/>
  <c r="N4392" i="19" s="1"/>
  <c r="D4389" i="19" s="1"/>
  <c r="H435" i="4" s="1"/>
  <c r="BM182" i="20"/>
  <c r="AT186" i="20"/>
  <c r="BE186" i="20" s="1"/>
  <c r="AU273" i="22"/>
  <c r="D5036" i="19"/>
  <c r="H329" i="4" s="1"/>
  <c r="O5165" i="19"/>
  <c r="BC13" i="20"/>
  <c r="BM13" i="20"/>
  <c r="N69" i="20"/>
  <c r="AA69" i="20"/>
  <c r="N168" i="20"/>
  <c r="AA168" i="20"/>
  <c r="CE20" i="22"/>
  <c r="CE286" i="22"/>
  <c r="V277" i="22"/>
  <c r="AN277" i="22"/>
  <c r="AM277" i="22"/>
  <c r="AN305" i="22"/>
  <c r="V305" i="22"/>
  <c r="AM305" i="22"/>
  <c r="AV318" i="22"/>
  <c r="AM334" i="22"/>
  <c r="V334" i="22"/>
  <c r="AN334" i="22"/>
  <c r="CE60" i="20"/>
  <c r="CD60" i="20"/>
  <c r="CC60" i="20"/>
  <c r="AN51" i="20"/>
  <c r="AG171" i="20"/>
  <c r="AJ6" i="20"/>
  <c r="AK6" i="20"/>
  <c r="AN6" i="20"/>
  <c r="N117" i="20"/>
  <c r="AA117" i="20"/>
  <c r="AL87" i="20"/>
  <c r="O3607" i="19"/>
  <c r="D3599" i="19" s="1"/>
  <c r="H678" i="4" s="1"/>
  <c r="AN17" i="20"/>
  <c r="AQ17" i="20"/>
  <c r="AM168" i="20"/>
  <c r="AJ14" i="20"/>
  <c r="AO14" i="20"/>
  <c r="AA46" i="20"/>
  <c r="N46" i="20"/>
  <c r="AL76" i="20"/>
  <c r="AX161" i="20"/>
  <c r="N170" i="20"/>
  <c r="AA170" i="20"/>
  <c r="DJ89" i="20"/>
  <c r="N2082" i="19" s="1"/>
  <c r="N2084" i="19" s="1"/>
  <c r="D2081" i="19" s="1"/>
  <c r="H411" i="4" s="1"/>
  <c r="AM43" i="20"/>
  <c r="AL56" i="20"/>
  <c r="AQ113" i="20"/>
  <c r="AP119" i="20"/>
  <c r="AI173" i="20"/>
  <c r="AG173" i="20"/>
  <c r="AQ176" i="20"/>
  <c r="AL176" i="20"/>
  <c r="AP176" i="20"/>
  <c r="AN176" i="20"/>
  <c r="BE65" i="20"/>
  <c r="AK15" i="20"/>
  <c r="BE103" i="20"/>
  <c r="AP111" i="20"/>
  <c r="AP181" i="20"/>
  <c r="BM181" i="20"/>
  <c r="AQ185" i="20"/>
  <c r="AL185" i="20"/>
  <c r="AI20" i="20"/>
  <c r="AN20" i="20"/>
  <c r="N49" i="20"/>
  <c r="AA49" i="20"/>
  <c r="CW33" i="20"/>
  <c r="N158" i="20"/>
  <c r="AA158" i="20"/>
  <c r="BC158" i="20"/>
  <c r="BE158" i="20" s="1"/>
  <c r="BM158" i="20"/>
  <c r="BA160" i="20"/>
  <c r="AD170" i="20"/>
  <c r="AM170" i="20"/>
  <c r="N143" i="20"/>
  <c r="AA143" i="20"/>
  <c r="AK183" i="20"/>
  <c r="BM191" i="20"/>
  <c r="M1204" i="19"/>
  <c r="M1184" i="19"/>
  <c r="O1184" i="19" s="1"/>
  <c r="M1223" i="19"/>
  <c r="O1203" i="19"/>
  <c r="CV89" i="20"/>
  <c r="AQ46" i="20"/>
  <c r="AL145" i="20"/>
  <c r="AL58" i="20"/>
  <c r="AM58" i="20"/>
  <c r="AK58" i="20"/>
  <c r="BF79" i="20"/>
  <c r="AM107" i="20"/>
  <c r="AJ107" i="20"/>
  <c r="AK107" i="20"/>
  <c r="AO107" i="20"/>
  <c r="AP107" i="20"/>
  <c r="AN49" i="20"/>
  <c r="AH67" i="20"/>
  <c r="AM65" i="20"/>
  <c r="AK81" i="20"/>
  <c r="AT178" i="20"/>
  <c r="BE178" i="20" s="1"/>
  <c r="AM130" i="23"/>
  <c r="AN56" i="20"/>
  <c r="BE53" i="20"/>
  <c r="AN29" i="20"/>
  <c r="CI64" i="20"/>
  <c r="CH64" i="20"/>
  <c r="CG64" i="20"/>
  <c r="CI61" i="20"/>
  <c r="CH61" i="20"/>
  <c r="CG61" i="20"/>
  <c r="AJ70" i="20"/>
  <c r="AM70" i="20"/>
  <c r="AP175" i="20"/>
  <c r="AN50" i="20"/>
  <c r="AR55" i="20"/>
  <c r="W55" i="20" s="1"/>
  <c r="N32" i="20"/>
  <c r="AA32" i="20"/>
  <c r="AF180" i="20"/>
  <c r="AH173" i="20"/>
  <c r="BE148" i="20"/>
  <c r="BF45" i="20"/>
  <c r="BG45" i="20" s="1"/>
  <c r="BI45" i="20" s="1"/>
  <c r="CE69" i="20"/>
  <c r="CD69" i="20"/>
  <c r="CC69" i="20"/>
  <c r="BC160" i="20"/>
  <c r="BE160" i="20" s="1"/>
  <c r="BF160" i="20"/>
  <c r="BM160" i="20"/>
  <c r="AU262" i="22"/>
  <c r="V323" i="22"/>
  <c r="AN323" i="22"/>
  <c r="AM323" i="22"/>
  <c r="AU305" i="22"/>
  <c r="M2496" i="19"/>
  <c r="N2496" i="19" s="1"/>
  <c r="N2509" i="19" s="1"/>
  <c r="D2494" i="19" s="1"/>
  <c r="H12" i="4" s="1"/>
  <c r="K1898" i="19"/>
  <c r="O1898" i="19" s="1"/>
  <c r="K1914" i="19"/>
  <c r="N1880" i="19"/>
  <c r="O1880" i="19"/>
  <c r="O1897" i="19" s="1"/>
  <c r="CE326" i="22"/>
  <c r="AJ171" i="20"/>
  <c r="AN171" i="20"/>
  <c r="N73" i="20"/>
  <c r="AA73" i="20"/>
  <c r="AQ87" i="20"/>
  <c r="O1164" i="19"/>
  <c r="M1193" i="19"/>
  <c r="M1170" i="19"/>
  <c r="N1170" i="19" s="1"/>
  <c r="N14" i="20"/>
  <c r="AA14" i="20"/>
  <c r="BM24" i="20"/>
  <c r="BE88" i="20"/>
  <c r="BC151" i="20"/>
  <c r="BF151" i="20"/>
  <c r="BM151" i="20"/>
  <c r="AJ168" i="20"/>
  <c r="AW33" i="20"/>
  <c r="O790" i="19" s="1"/>
  <c r="N145" i="20"/>
  <c r="AA145" i="20"/>
  <c r="N53" i="20"/>
  <c r="AA53" i="20"/>
  <c r="AN46" i="20"/>
  <c r="Z185" i="20"/>
  <c r="BM184" i="20"/>
  <c r="E4904" i="19"/>
  <c r="CM22" i="20"/>
  <c r="CL22" i="20"/>
  <c r="CK22" i="20"/>
  <c r="DK89" i="20"/>
  <c r="N2086" i="19" s="1"/>
  <c r="N2088" i="19" s="1"/>
  <c r="D2085" i="19" s="1"/>
  <c r="H431" i="4" s="1"/>
  <c r="DM89" i="20"/>
  <c r="N2094" i="19" s="1"/>
  <c r="N2096" i="19" s="1"/>
  <c r="D2093" i="19" s="1"/>
  <c r="H418" i="4" s="1"/>
  <c r="AM56" i="20"/>
  <c r="Z67" i="20"/>
  <c r="AL113" i="20"/>
  <c r="BC119" i="20"/>
  <c r="BE119" i="20" s="1"/>
  <c r="AK176" i="20"/>
  <c r="AP6" i="20"/>
  <c r="AP18" i="20"/>
  <c r="N65" i="20"/>
  <c r="AA65" i="20"/>
  <c r="AP142" i="20"/>
  <c r="AK142" i="20"/>
  <c r="AN142" i="20"/>
  <c r="CX33" i="20"/>
  <c r="AL53" i="20"/>
  <c r="AM60" i="20"/>
  <c r="AL103" i="20"/>
  <c r="BM74" i="20"/>
  <c r="AX74" i="20"/>
  <c r="BF74" i="20"/>
  <c r="AN106" i="20"/>
  <c r="AJ106" i="20"/>
  <c r="AL106" i="20"/>
  <c r="AR163" i="20"/>
  <c r="W163" i="20" s="1"/>
  <c r="BC163" i="20"/>
  <c r="BE163" i="20" s="1"/>
  <c r="BF163" i="20"/>
  <c r="BM163" i="20"/>
  <c r="AE170" i="20"/>
  <c r="AM172" i="20"/>
  <c r="AP183" i="20"/>
  <c r="BM183" i="20"/>
  <c r="CW89" i="20"/>
  <c r="V74" i="20"/>
  <c r="E1754" i="19"/>
  <c r="E1751" i="19"/>
  <c r="D1747" i="19" s="1"/>
  <c r="H577" i="4" s="1"/>
  <c r="AP146" i="20"/>
  <c r="AJ142" i="20"/>
  <c r="BA149" i="20"/>
  <c r="BA154" i="20"/>
  <c r="BC157" i="20"/>
  <c r="BE157" i="20" s="1"/>
  <c r="BM157" i="20"/>
  <c r="BA159" i="20"/>
  <c r="V184" i="20"/>
  <c r="AX19" i="20"/>
  <c r="AX79" i="20"/>
  <c r="BW32" i="20"/>
  <c r="BV32" i="20"/>
  <c r="BU32" i="20"/>
  <c r="Z58" i="20"/>
  <c r="AM104" i="20"/>
  <c r="Z107" i="20"/>
  <c r="BC162" i="20"/>
  <c r="BE162" i="20" s="1"/>
  <c r="BM162" i="20"/>
  <c r="CE12" i="20"/>
  <c r="CD12" i="20"/>
  <c r="CC12" i="20"/>
  <c r="N50" i="20"/>
  <c r="AA50" i="20"/>
  <c r="AO67" i="20"/>
  <c r="AD103" i="20"/>
  <c r="AJ44" i="20"/>
  <c r="AM44" i="20"/>
  <c r="AP143" i="20"/>
  <c r="BA105" i="20"/>
  <c r="AL146" i="20"/>
  <c r="BC85" i="20"/>
  <c r="BE85" i="20" s="1"/>
  <c r="BM85" i="20"/>
  <c r="I33" i="20"/>
  <c r="G395" i="19" s="1"/>
  <c r="G397" i="19" s="1"/>
  <c r="D393" i="19" s="1"/>
  <c r="AX57" i="20"/>
  <c r="BA57" i="20"/>
  <c r="BF57" i="20"/>
  <c r="BG57" i="20" s="1"/>
  <c r="BI57" i="20" s="1"/>
  <c r="AN64" i="20"/>
  <c r="AQ64" i="20"/>
  <c r="AL64" i="20"/>
  <c r="AO64" i="20"/>
  <c r="AP64" i="20"/>
  <c r="AK64" i="20"/>
  <c r="AN70" i="20"/>
  <c r="V72" i="20"/>
  <c r="AN95" i="23"/>
  <c r="BE109" i="20"/>
  <c r="BE172" i="20"/>
  <c r="AG180" i="20"/>
  <c r="AX75" i="20"/>
  <c r="AT29" i="20"/>
  <c r="BE29" i="20" s="1"/>
  <c r="CI179" i="20"/>
  <c r="CI194" i="20" s="1"/>
  <c r="CH179" i="20"/>
  <c r="CG179" i="20"/>
  <c r="CG194" i="20" s="1"/>
  <c r="BE19" i="20"/>
  <c r="AO145" i="20"/>
  <c r="Z100" i="20"/>
  <c r="AO18" i="20"/>
  <c r="AJ176" i="20"/>
  <c r="V24" i="20"/>
  <c r="AG26" i="20"/>
  <c r="AR177" i="20"/>
  <c r="W177" i="20" s="1"/>
  <c r="V269" i="22"/>
  <c r="AM269" i="22"/>
  <c r="AL269" i="22"/>
  <c r="J269" i="22"/>
  <c r="AN269" i="22"/>
  <c r="BO96" i="22"/>
  <c r="I307" i="22"/>
  <c r="BS307" i="22" s="1"/>
  <c r="BY307" i="22"/>
  <c r="CO307" i="22" s="1"/>
  <c r="CB307" i="22"/>
  <c r="BZ307" i="22"/>
  <c r="CF307" i="22" s="1"/>
  <c r="DL192" i="20"/>
  <c r="N4394" i="19" s="1"/>
  <c r="N4396" i="19" s="1"/>
  <c r="D4393" i="19" s="1"/>
  <c r="H452" i="4" s="1"/>
  <c r="BF84" i="20"/>
  <c r="BC84" i="20"/>
  <c r="BE84" i="20" s="1"/>
  <c r="BM84" i="20"/>
  <c r="I288" i="22"/>
  <c r="BS288" i="22" s="1"/>
  <c r="BY288" i="22"/>
  <c r="CO288" i="22" s="1"/>
  <c r="CB288" i="22"/>
  <c r="BZ288" i="22"/>
  <c r="AL10" i="20"/>
  <c r="N171" i="20"/>
  <c r="AA171" i="20"/>
  <c r="O3623" i="19"/>
  <c r="M3624" i="19"/>
  <c r="O3624" i="19" s="1"/>
  <c r="AN303" i="22"/>
  <c r="AM303" i="22"/>
  <c r="V303" i="22"/>
  <c r="CA294" i="22"/>
  <c r="BV294" i="22" s="1"/>
  <c r="BZ294" i="22"/>
  <c r="AJ51" i="20"/>
  <c r="AO51" i="20"/>
  <c r="AO171" i="20"/>
  <c r="Z15" i="20"/>
  <c r="CA6" i="20"/>
  <c r="CA35" i="20" s="1"/>
  <c r="BZ6" i="20"/>
  <c r="BZ35" i="20" s="1"/>
  <c r="E852" i="19" s="1"/>
  <c r="BY6" i="20"/>
  <c r="BC80" i="20"/>
  <c r="BE80" i="20" s="1"/>
  <c r="BM80" i="20"/>
  <c r="AM59" i="20"/>
  <c r="AA59" i="20"/>
  <c r="N59" i="20"/>
  <c r="AM87" i="20"/>
  <c r="AG181" i="20"/>
  <c r="AI6" i="20"/>
  <c r="Z17" i="20"/>
  <c r="BA45" i="20"/>
  <c r="BC54" i="20"/>
  <c r="BE54" i="20" s="1"/>
  <c r="BM54" i="20"/>
  <c r="N144" i="20"/>
  <c r="AA144" i="20"/>
  <c r="AN168" i="20"/>
  <c r="AR45" i="20"/>
  <c r="W45" i="20" s="1"/>
  <c r="AH77" i="20"/>
  <c r="AG77" i="20"/>
  <c r="AF77" i="20"/>
  <c r="AE77" i="20"/>
  <c r="AD77" i="20"/>
  <c r="AC77" i="20"/>
  <c r="AI77" i="20"/>
  <c r="N62" i="20"/>
  <c r="AA62" i="20"/>
  <c r="AL62" i="20"/>
  <c r="BF62" i="20" s="1"/>
  <c r="N22" i="20"/>
  <c r="AA22" i="20"/>
  <c r="DL89" i="20"/>
  <c r="N2090" i="19" s="1"/>
  <c r="N2092" i="19" s="1"/>
  <c r="D2089" i="19" s="1"/>
  <c r="H450" i="4" s="1"/>
  <c r="AN43" i="20"/>
  <c r="N67" i="20"/>
  <c r="AA67" i="20"/>
  <c r="BG75" i="20"/>
  <c r="BH75" i="20" s="1"/>
  <c r="N83" i="20"/>
  <c r="AA83" i="20"/>
  <c r="N113" i="20"/>
  <c r="AA113" i="20"/>
  <c r="AQ119" i="20"/>
  <c r="AL119" i="20"/>
  <c r="AX149" i="20"/>
  <c r="Z173" i="20"/>
  <c r="BM170" i="20"/>
  <c r="BC177" i="20"/>
  <c r="BE177" i="20" s="1"/>
  <c r="BM177" i="20"/>
  <c r="BF177" i="20"/>
  <c r="CE276" i="22"/>
  <c r="AV300" i="22"/>
  <c r="AG20" i="20"/>
  <c r="W149" i="20"/>
  <c r="V186" i="20"/>
  <c r="AQ181" i="20"/>
  <c r="AL181" i="20"/>
  <c r="AM185" i="20"/>
  <c r="O1541" i="19"/>
  <c r="D1534" i="19" s="1"/>
  <c r="H213" i="4" s="1"/>
  <c r="O1678" i="19"/>
  <c r="K1678" i="19" s="1"/>
  <c r="AJ20" i="20"/>
  <c r="AO20" i="20"/>
  <c r="CY33" i="20"/>
  <c r="AL77" i="20"/>
  <c r="AO117" i="20"/>
  <c r="AL153" i="20"/>
  <c r="AN170" i="20"/>
  <c r="CZ89" i="20"/>
  <c r="N152" i="20"/>
  <c r="AA152" i="20"/>
  <c r="N165" i="20"/>
  <c r="AA165" i="20"/>
  <c r="AN76" i="20"/>
  <c r="AK187" i="20"/>
  <c r="AO49" i="20"/>
  <c r="BC12" i="20"/>
  <c r="BE12" i="20" s="1"/>
  <c r="BM12" i="20"/>
  <c r="N54" i="20"/>
  <c r="AA54" i="20"/>
  <c r="N12" i="20"/>
  <c r="AA12" i="20"/>
  <c r="CE50" i="20"/>
  <c r="CD50" i="20"/>
  <c r="CC50" i="20"/>
  <c r="AX55" i="20"/>
  <c r="AN65" i="20"/>
  <c r="AK113" i="20"/>
  <c r="Z44" i="20"/>
  <c r="AN143" i="20"/>
  <c r="AA81" i="20"/>
  <c r="N81" i="20"/>
  <c r="AK85" i="20"/>
  <c r="BM168" i="20"/>
  <c r="AA174" i="20"/>
  <c r="N174" i="20"/>
  <c r="O3909" i="19"/>
  <c r="D3752" i="19"/>
  <c r="H326" i="4" s="1"/>
  <c r="AC29" i="20"/>
  <c r="AQ29" i="20"/>
  <c r="BE70" i="20"/>
  <c r="AQ70" i="20"/>
  <c r="AL175" i="20"/>
  <c r="AQ191" i="20"/>
  <c r="AE191" i="20"/>
  <c r="AP191" i="20"/>
  <c r="AD191" i="20"/>
  <c r="AO191" i="20"/>
  <c r="AC191" i="20"/>
  <c r="AN191" i="20"/>
  <c r="AM191" i="20"/>
  <c r="AL191" i="20"/>
  <c r="AI191" i="20"/>
  <c r="AH191" i="20"/>
  <c r="AG191" i="20"/>
  <c r="AF191" i="20"/>
  <c r="AQ59" i="20"/>
  <c r="AR79" i="20"/>
  <c r="W79" i="20" s="1"/>
  <c r="AO50" i="20"/>
  <c r="AH180" i="20"/>
  <c r="CM19" i="20"/>
  <c r="CL19" i="20"/>
  <c r="CK19" i="20"/>
  <c r="AJ100" i="20"/>
  <c r="N100" i="20"/>
  <c r="AA100" i="20"/>
  <c r="AN117" i="23"/>
  <c r="AN130" i="23" s="1"/>
  <c r="CM24" i="20"/>
  <c r="CL24" i="20"/>
  <c r="CK24" i="20"/>
  <c r="AN44" i="20"/>
  <c r="N86" i="20"/>
  <c r="AA86" i="20"/>
  <c r="DG192" i="20"/>
  <c r="N4374" i="19" s="1"/>
  <c r="N4376" i="19" s="1"/>
  <c r="D4373" i="19" s="1"/>
  <c r="H427" i="4" s="1"/>
  <c r="CE16" i="22"/>
  <c r="BR297" i="22"/>
  <c r="BQ297" i="22"/>
  <c r="AL297" i="22"/>
  <c r="J297" i="22"/>
  <c r="AM297" i="22"/>
  <c r="BS297" i="22"/>
  <c r="V297" i="22"/>
  <c r="AN297" i="22"/>
  <c r="O2965" i="19"/>
  <c r="D2958" i="19"/>
  <c r="H104" i="4" s="1"/>
  <c r="M3643" i="19"/>
  <c r="M3662" i="19"/>
  <c r="O3642" i="19"/>
  <c r="AN266" i="22"/>
  <c r="AM266" i="22"/>
  <c r="V266" i="22"/>
  <c r="AM327" i="22"/>
  <c r="J327" i="22"/>
  <c r="AN327" i="22"/>
  <c r="AL327" i="22"/>
  <c r="V327" i="22"/>
  <c r="M1219" i="19"/>
  <c r="M1200" i="19"/>
  <c r="O1199" i="19"/>
  <c r="AP171" i="20"/>
  <c r="N15" i="20"/>
  <c r="AA15" i="20"/>
  <c r="N6" i="20"/>
  <c r="AA6" i="20"/>
  <c r="AH181" i="20"/>
  <c r="V295" i="22"/>
  <c r="J295" i="22"/>
  <c r="AN295" i="22"/>
  <c r="AL295" i="22"/>
  <c r="AM295" i="22"/>
  <c r="AX45" i="20"/>
  <c r="N111" i="20"/>
  <c r="AA111" i="20"/>
  <c r="AO168" i="20"/>
  <c r="AZ89" i="20"/>
  <c r="O2169" i="19" s="1"/>
  <c r="O2171" i="19" s="1"/>
  <c r="D2168" i="19" s="1"/>
  <c r="H658" i="4" s="1"/>
  <c r="AK14" i="20"/>
  <c r="N103" i="20"/>
  <c r="AA103" i="20"/>
  <c r="AM76" i="20"/>
  <c r="BC161" i="20"/>
  <c r="BE161" i="20" s="1"/>
  <c r="BM161" i="20"/>
  <c r="BF161" i="20"/>
  <c r="BM180" i="20"/>
  <c r="BE66" i="20"/>
  <c r="BB89" i="20"/>
  <c r="O2121" i="19" s="1"/>
  <c r="O2122" i="19" s="1"/>
  <c r="D2119" i="19" s="1"/>
  <c r="H498" i="4" s="1"/>
  <c r="BC43" i="20"/>
  <c r="BM43" i="20"/>
  <c r="DN89" i="20"/>
  <c r="N2098" i="19" s="1"/>
  <c r="N2100" i="19" s="1"/>
  <c r="D2097" i="19" s="1"/>
  <c r="H438" i="4" s="1"/>
  <c r="AJ56" i="20"/>
  <c r="N173" i="20"/>
  <c r="AA173" i="20"/>
  <c r="AO300" i="22"/>
  <c r="BC15" i="20"/>
  <c r="BE15" i="20" s="1"/>
  <c r="BM15" i="20"/>
  <c r="AL15" i="20"/>
  <c r="BM77" i="20"/>
  <c r="AM46" i="20"/>
  <c r="BM174" i="20"/>
  <c r="N1651" i="19"/>
  <c r="O1652" i="19" s="1"/>
  <c r="O1654" i="19" s="1"/>
  <c r="D1487" i="19"/>
  <c r="H249" i="4" s="1"/>
  <c r="M2635" i="19"/>
  <c r="CZ33" i="20"/>
  <c r="AP17" i="20"/>
  <c r="AN60" i="20"/>
  <c r="CA143" i="20"/>
  <c r="BZ143" i="20"/>
  <c r="BZ194" i="20" s="1"/>
  <c r="E4545" i="19" s="1"/>
  <c r="E4547" i="19" s="1"/>
  <c r="D4544" i="19" s="1"/>
  <c r="H822" i="4" s="1"/>
  <c r="BY143" i="20"/>
  <c r="AN172" i="20"/>
  <c r="BW169" i="20"/>
  <c r="BV169" i="20"/>
  <c r="BU169" i="20"/>
  <c r="BM179" i="20"/>
  <c r="AQ183" i="20"/>
  <c r="N74" i="20"/>
  <c r="AA74" i="20"/>
  <c r="BC152" i="20"/>
  <c r="BE152" i="20" s="1"/>
  <c r="BM152" i="20"/>
  <c r="BU30" i="20"/>
  <c r="BW30" i="20"/>
  <c r="BV30" i="20"/>
  <c r="N115" i="20"/>
  <c r="AA115" i="20"/>
  <c r="AP67" i="20"/>
  <c r="AO113" i="20"/>
  <c r="N44" i="20"/>
  <c r="AA44" i="20"/>
  <c r="AM142" i="20"/>
  <c r="M4944" i="19"/>
  <c r="N64" i="20"/>
  <c r="AA64" i="20"/>
  <c r="AO70" i="20"/>
  <c r="N72" i="20"/>
  <c r="AA72" i="20"/>
  <c r="AZ192" i="20"/>
  <c r="O4477" i="19" s="1"/>
  <c r="O4479" i="19" s="1"/>
  <c r="D4476" i="19" s="1"/>
  <c r="H663" i="4" s="1"/>
  <c r="AQ175" i="20"/>
  <c r="BE175" i="20"/>
  <c r="AO295" i="22"/>
  <c r="AO144" i="20"/>
  <c r="AJ50" i="20"/>
  <c r="N109" i="20"/>
  <c r="AA109" i="20"/>
  <c r="AT170" i="20"/>
  <c r="BE170" i="20" s="1"/>
  <c r="AI180" i="20"/>
  <c r="O1849" i="19"/>
  <c r="D1842" i="19"/>
  <c r="H97" i="4" s="1"/>
  <c r="AK25" i="20"/>
  <c r="V179" i="20"/>
  <c r="AQ100" i="20"/>
  <c r="AS120" i="20"/>
  <c r="O3179" i="19" s="1"/>
  <c r="O3181" i="19" s="1"/>
  <c r="D3178" i="19" s="1"/>
  <c r="H469" i="4" s="1"/>
  <c r="BF88" i="20"/>
  <c r="AL115" i="20"/>
  <c r="AM308" i="22"/>
  <c r="V308" i="22"/>
  <c r="AN308" i="22"/>
  <c r="CE264" i="22"/>
  <c r="AO312" i="22"/>
  <c r="AM312" i="22"/>
  <c r="V312" i="22"/>
  <c r="AV312" i="22"/>
  <c r="AT312" i="22"/>
  <c r="AU312" i="22" s="1"/>
  <c r="AN312" i="22"/>
  <c r="BE141" i="20"/>
  <c r="DM192" i="20"/>
  <c r="N4398" i="19" s="1"/>
  <c r="N4400" i="19" s="1"/>
  <c r="D4397" i="19" s="1"/>
  <c r="H420" i="4" s="1"/>
  <c r="AT182" i="20"/>
  <c r="BE182" i="20" s="1"/>
  <c r="M3628" i="19"/>
  <c r="O3628" i="19" s="1"/>
  <c r="M3646" i="19"/>
  <c r="O3627" i="19"/>
  <c r="BZ297" i="22"/>
  <c r="Z297" i="22"/>
  <c r="AA297" i="22" s="1"/>
  <c r="CA297" i="22"/>
  <c r="BV297" i="22" s="1"/>
  <c r="BE13" i="20"/>
  <c r="AN69" i="20"/>
  <c r="AM69" i="20"/>
  <c r="AM21" i="22"/>
  <c r="V21" i="22"/>
  <c r="AN21" i="22"/>
  <c r="AV21" i="22"/>
  <c r="AT21" i="22"/>
  <c r="V294" i="22"/>
  <c r="J294" i="22"/>
  <c r="AN294" i="22"/>
  <c r="AM294" i="22"/>
  <c r="AL294" i="22"/>
  <c r="AM273" i="22"/>
  <c r="AN273" i="22"/>
  <c r="V273" i="22"/>
  <c r="AN330" i="22"/>
  <c r="V330" i="22"/>
  <c r="AM330" i="22"/>
  <c r="CE262" i="22"/>
  <c r="O1181" i="19"/>
  <c r="V285" i="22"/>
  <c r="AN285" i="22"/>
  <c r="AM285" i="22"/>
  <c r="DG33" i="20"/>
  <c r="N689" i="19" s="1"/>
  <c r="N691" i="19" s="1"/>
  <c r="D688" i="19" s="1"/>
  <c r="H421" i="4" s="1"/>
  <c r="BE8" i="20"/>
  <c r="E332" i="19"/>
  <c r="E329" i="19"/>
  <c r="D325" i="19" s="1"/>
  <c r="H575" i="4" s="1"/>
  <c r="Z18" i="20"/>
  <c r="AS33" i="20"/>
  <c r="O684" i="19" s="1"/>
  <c r="O686" i="19" s="1"/>
  <c r="D683" i="19" s="1"/>
  <c r="H465" i="4" s="1"/>
  <c r="AJ59" i="20"/>
  <c r="Z119" i="20"/>
  <c r="AI181" i="20"/>
  <c r="CM17" i="20"/>
  <c r="CL17" i="20"/>
  <c r="CK17" i="20"/>
  <c r="BE63" i="20"/>
  <c r="Z144" i="20"/>
  <c r="AZ33" i="20"/>
  <c r="O783" i="19" s="1"/>
  <c r="O785" i="19" s="1"/>
  <c r="D782" i="19" s="1"/>
  <c r="H655" i="4" s="1"/>
  <c r="BA88" i="20"/>
  <c r="Z77" i="20"/>
  <c r="CM76" i="20"/>
  <c r="CL76" i="20"/>
  <c r="CK76" i="20"/>
  <c r="AD102" i="20"/>
  <c r="AE102" i="20"/>
  <c r="AE120" i="20" s="1"/>
  <c r="O3124" i="19" s="1"/>
  <c r="O3126" i="19" s="1"/>
  <c r="D3122" i="19" s="1"/>
  <c r="AO102" i="20"/>
  <c r="AK102" i="20"/>
  <c r="AC102" i="20"/>
  <c r="AL102" i="20"/>
  <c r="N172" i="20"/>
  <c r="AA172" i="20"/>
  <c r="BE61" i="20"/>
  <c r="DO89" i="20"/>
  <c r="N2102" i="19" s="1"/>
  <c r="N2104" i="19" s="1"/>
  <c r="D2101" i="19" s="1"/>
  <c r="H454" i="4" s="1"/>
  <c r="Z56" i="20"/>
  <c r="AT300" i="22"/>
  <c r="AU300" i="22" s="1"/>
  <c r="AT72" i="20"/>
  <c r="BE72" i="20" s="1"/>
  <c r="AT181" i="20"/>
  <c r="BE181" i="20" s="1"/>
  <c r="AK20" i="20"/>
  <c r="AJ77" i="20"/>
  <c r="AL30" i="20"/>
  <c r="CV120" i="20"/>
  <c r="AT74" i="20"/>
  <c r="BE74" i="20" s="1"/>
  <c r="AK106" i="20"/>
  <c r="AM153" i="20"/>
  <c r="AR153" i="20" s="1"/>
  <c r="M4910" i="19"/>
  <c r="N4910" i="19" s="1"/>
  <c r="O4890" i="19"/>
  <c r="BE151" i="20"/>
  <c r="AX167" i="20"/>
  <c r="BF167" i="20"/>
  <c r="BM167" i="20"/>
  <c r="AQ107" i="20"/>
  <c r="AJ65" i="20"/>
  <c r="CE165" i="20"/>
  <c r="CD165" i="20"/>
  <c r="CC165" i="20"/>
  <c r="V174" i="20"/>
  <c r="BC7" i="20"/>
  <c r="BE7" i="20" s="1"/>
  <c r="BM7" i="20"/>
  <c r="N66" i="20"/>
  <c r="AA66" i="20"/>
  <c r="BA16" i="20"/>
  <c r="AX16" i="20"/>
  <c r="BF16" i="20"/>
  <c r="AJ29" i="20"/>
  <c r="BM166" i="20"/>
  <c r="AT166" i="20"/>
  <c r="BE166" i="20" s="1"/>
  <c r="AW192" i="20"/>
  <c r="O4484" i="19" s="1"/>
  <c r="AT295" i="22"/>
  <c r="AU295" i="22" s="1"/>
  <c r="AK143" i="20"/>
  <c r="AN47" i="20"/>
  <c r="AK47" i="20"/>
  <c r="AM47" i="20"/>
  <c r="AC32" i="20"/>
  <c r="AQ32" i="20"/>
  <c r="AN32" i="20"/>
  <c r="AK32" i="20"/>
  <c r="AD32" i="20"/>
  <c r="AE32" i="20"/>
  <c r="AJ102" i="20"/>
  <c r="V178" i="20"/>
  <c r="AK200" i="22"/>
  <c r="AI200" i="22"/>
  <c r="BE200" i="22"/>
  <c r="Z200" i="22"/>
  <c r="AA200" i="22" s="1"/>
  <c r="BF105" i="20"/>
  <c r="BE14" i="20"/>
  <c r="CL25" i="20"/>
  <c r="CK25" i="20"/>
  <c r="CM25" i="20"/>
  <c r="AM64" i="20"/>
  <c r="CM75" i="20"/>
  <c r="CL75" i="20"/>
  <c r="CK75" i="20"/>
  <c r="AP113" i="20"/>
  <c r="N148" i="20"/>
  <c r="AA148" i="20"/>
  <c r="M4893" i="19" l="1"/>
  <c r="M4912" i="19"/>
  <c r="L494" i="4"/>
  <c r="BG164" i="20"/>
  <c r="BI164" i="20" s="1"/>
  <c r="BH164" i="20"/>
  <c r="AX164" i="20"/>
  <c r="BF180" i="20"/>
  <c r="AR152" i="20"/>
  <c r="W152" i="20" s="1"/>
  <c r="BF173" i="20"/>
  <c r="CA194" i="20"/>
  <c r="BA158" i="20"/>
  <c r="BA164" i="20"/>
  <c r="BF157" i="20"/>
  <c r="AX24" i="20"/>
  <c r="CG37" i="20"/>
  <c r="E819" i="19" s="1"/>
  <c r="AR164" i="20"/>
  <c r="W164" i="20" s="1"/>
  <c r="Z352" i="22"/>
  <c r="AA352" i="22" s="1"/>
  <c r="N1894" i="19"/>
  <c r="D1877" i="19" s="1"/>
  <c r="H225" i="4" s="1"/>
  <c r="AR162" i="20"/>
  <c r="W162" i="20" s="1"/>
  <c r="AR7" i="20"/>
  <c r="W7" i="20" s="1"/>
  <c r="BA152" i="20"/>
  <c r="BA184" i="20"/>
  <c r="L301" i="4"/>
  <c r="Y202" i="22"/>
  <c r="CJ243" i="22"/>
  <c r="AY110" i="22"/>
  <c r="AZ110" i="22" s="1"/>
  <c r="AY125" i="22"/>
  <c r="AZ125" i="22" s="1"/>
  <c r="CJ207" i="22"/>
  <c r="AK234" i="22"/>
  <c r="AY139" i="22"/>
  <c r="AZ139" i="22" s="1"/>
  <c r="L266" i="4"/>
  <c r="L110" i="4"/>
  <c r="O2775" i="19"/>
  <c r="BA7" i="20"/>
  <c r="CH91" i="20"/>
  <c r="E2261" i="19" s="1"/>
  <c r="E2263" i="19" s="1"/>
  <c r="D2260" i="19" s="1"/>
  <c r="H811" i="4" s="1"/>
  <c r="BF156" i="20"/>
  <c r="CC35" i="20"/>
  <c r="E860" i="19" s="1"/>
  <c r="CI91" i="20"/>
  <c r="CD35" i="20"/>
  <c r="E864" i="19" s="1"/>
  <c r="E866" i="19" s="1"/>
  <c r="D863" i="19" s="1"/>
  <c r="H808" i="4" s="1"/>
  <c r="BF7" i="20"/>
  <c r="BG7" i="20" s="1"/>
  <c r="BH7" i="20" s="1"/>
  <c r="BA156" i="20"/>
  <c r="CE35" i="20"/>
  <c r="AY130" i="22"/>
  <c r="AZ130" i="22" s="1"/>
  <c r="CK91" i="20"/>
  <c r="CM35" i="20"/>
  <c r="AX156" i="20"/>
  <c r="CK35" i="20"/>
  <c r="E884" i="19" s="1"/>
  <c r="BA80" i="20"/>
  <c r="BA189" i="20"/>
  <c r="BA182" i="20"/>
  <c r="BF174" i="20"/>
  <c r="AX116" i="20"/>
  <c r="CL35" i="20"/>
  <c r="E888" i="19" s="1"/>
  <c r="E890" i="19" s="1"/>
  <c r="D887" i="19" s="1"/>
  <c r="H814" i="4" s="1"/>
  <c r="AX179" i="20"/>
  <c r="AX7" i="20"/>
  <c r="BU35" i="20"/>
  <c r="BU37" i="20" s="1"/>
  <c r="E807" i="19" s="1"/>
  <c r="BV35" i="20"/>
  <c r="E840" i="19" s="1"/>
  <c r="E842" i="19" s="1"/>
  <c r="O1649" i="19"/>
  <c r="BF141" i="20"/>
  <c r="BA48" i="20"/>
  <c r="AY131" i="22"/>
  <c r="AZ131" i="22" s="1"/>
  <c r="BA117" i="20"/>
  <c r="BF80" i="20"/>
  <c r="BA116" i="20"/>
  <c r="AX73" i="20"/>
  <c r="AY114" i="22"/>
  <c r="AZ114" i="22" s="1"/>
  <c r="AY117" i="22"/>
  <c r="AZ117" i="22" s="1"/>
  <c r="AR116" i="20"/>
  <c r="W116" i="20" s="1"/>
  <c r="BY35" i="20"/>
  <c r="BY37" i="20" s="1"/>
  <c r="E811" i="19" s="1"/>
  <c r="E813" i="19" s="1"/>
  <c r="D810" i="19" s="1"/>
  <c r="H44" i="4" s="1"/>
  <c r="AR80" i="20"/>
  <c r="W80" i="20" s="1"/>
  <c r="AY144" i="22"/>
  <c r="AZ144" i="22" s="1"/>
  <c r="AY140" i="22"/>
  <c r="AZ140" i="22" s="1"/>
  <c r="AX80" i="20"/>
  <c r="BA13" i="20"/>
  <c r="BF12" i="20"/>
  <c r="AY119" i="22"/>
  <c r="AZ119" i="22" s="1"/>
  <c r="BF189" i="20"/>
  <c r="AX189" i="20"/>
  <c r="AX174" i="20"/>
  <c r="AR182" i="20"/>
  <c r="W182" i="20" s="1"/>
  <c r="BF182" i="20"/>
  <c r="BA174" i="20"/>
  <c r="AX182" i="20"/>
  <c r="AX186" i="20"/>
  <c r="AR147" i="20"/>
  <c r="W147" i="20" s="1"/>
  <c r="AY147" i="22"/>
  <c r="AZ147" i="22" s="1"/>
  <c r="BY124" i="20"/>
  <c r="BR124" i="20"/>
  <c r="BO124" i="20"/>
  <c r="CC124" i="20"/>
  <c r="E3326" i="19"/>
  <c r="CG124" i="20"/>
  <c r="E3301" i="19" s="1"/>
  <c r="E3303" i="19" s="1"/>
  <c r="D3300" i="19" s="1"/>
  <c r="H29" i="4" s="1"/>
  <c r="AK229" i="22"/>
  <c r="CJ209" i="22"/>
  <c r="BE239" i="22"/>
  <c r="BQ225" i="22"/>
  <c r="Z239" i="22"/>
  <c r="AG239" i="22" s="1"/>
  <c r="CJ347" i="22"/>
  <c r="AI225" i="22"/>
  <c r="CQ347" i="22"/>
  <c r="CJ239" i="22"/>
  <c r="AI77" i="22"/>
  <c r="BE245" i="22"/>
  <c r="BG245" i="22" s="1"/>
  <c r="BS245" i="22"/>
  <c r="BQ245" i="22"/>
  <c r="BR77" i="22"/>
  <c r="AL338" i="22"/>
  <c r="AK341" i="22"/>
  <c r="CC347" i="22"/>
  <c r="AI209" i="22"/>
  <c r="M338" i="22"/>
  <c r="O338" i="22" s="1"/>
  <c r="AB338" i="22" s="1"/>
  <c r="CD340" i="22"/>
  <c r="CE332" i="22"/>
  <c r="CP340" i="22"/>
  <c r="BE209" i="22"/>
  <c r="CJ245" i="22"/>
  <c r="AK209" i="22"/>
  <c r="M209" i="22"/>
  <c r="O209" i="22" s="1"/>
  <c r="W209" i="22" s="1"/>
  <c r="AL209" i="22"/>
  <c r="Z209" i="22"/>
  <c r="AG209" i="22" s="1"/>
  <c r="BS209" i="22"/>
  <c r="J209" i="22"/>
  <c r="BQ209" i="22"/>
  <c r="M55" i="22"/>
  <c r="O55" i="22" s="1"/>
  <c r="AB55" i="22" s="1"/>
  <c r="CP207" i="22"/>
  <c r="CC207" i="22"/>
  <c r="CG207" i="22" s="1"/>
  <c r="CH207" i="22" s="1"/>
  <c r="CP234" i="22"/>
  <c r="J213" i="22"/>
  <c r="AL229" i="22"/>
  <c r="AW229" i="22" s="1"/>
  <c r="BS229" i="22"/>
  <c r="BE232" i="22"/>
  <c r="BG232" i="22" s="1"/>
  <c r="BR213" i="22"/>
  <c r="CD225" i="22"/>
  <c r="CG225" i="22" s="1"/>
  <c r="CH225" i="22" s="1"/>
  <c r="CQ239" i="22"/>
  <c r="AS149" i="22"/>
  <c r="CC245" i="22"/>
  <c r="CG245" i="22" s="1"/>
  <c r="CH245" i="22" s="1"/>
  <c r="CJ217" i="22"/>
  <c r="CJ205" i="22"/>
  <c r="Z77" i="22"/>
  <c r="AD77" i="22" s="1"/>
  <c r="BE77" i="22"/>
  <c r="BF77" i="22" s="1"/>
  <c r="CJ79" i="22"/>
  <c r="J234" i="22"/>
  <c r="BS234" i="22"/>
  <c r="CJ233" i="22"/>
  <c r="Z234" i="22"/>
  <c r="AA234" i="22" s="1"/>
  <c r="AI245" i="22"/>
  <c r="AL245" i="22"/>
  <c r="AW245" i="22" s="1"/>
  <c r="BQ338" i="22"/>
  <c r="AI338" i="22"/>
  <c r="M77" i="22"/>
  <c r="O77" i="22" s="1"/>
  <c r="W77" i="22" s="1"/>
  <c r="BR234" i="22"/>
  <c r="BE234" i="22"/>
  <c r="BG234" i="22" s="1"/>
  <c r="M245" i="22"/>
  <c r="O245" i="22" s="1"/>
  <c r="W245" i="22" s="1"/>
  <c r="J245" i="22"/>
  <c r="J338" i="22"/>
  <c r="BG338" i="22"/>
  <c r="AK338" i="22"/>
  <c r="AK77" i="22"/>
  <c r="BQ77" i="22"/>
  <c r="AL234" i="22"/>
  <c r="AW234" i="22" s="1"/>
  <c r="BQ234" i="22"/>
  <c r="M234" i="22"/>
  <c r="O234" i="22" s="1"/>
  <c r="W234" i="22" s="1"/>
  <c r="AK205" i="22"/>
  <c r="Z245" i="22"/>
  <c r="AA245" i="22" s="1"/>
  <c r="AK245" i="22"/>
  <c r="BS338" i="22"/>
  <c r="BR338" i="22"/>
  <c r="Z338" i="22"/>
  <c r="AA338" i="22" s="1"/>
  <c r="CP245" i="22"/>
  <c r="BR200" i="22"/>
  <c r="AM200" i="22"/>
  <c r="AM246" i="22" s="1"/>
  <c r="O3451" i="19" s="1"/>
  <c r="O3453" i="19" s="1"/>
  <c r="O3530" i="19" s="1"/>
  <c r="O3538" i="19" s="1"/>
  <c r="M3538" i="19" s="1"/>
  <c r="CE310" i="22"/>
  <c r="CP205" i="22"/>
  <c r="AT200" i="22"/>
  <c r="AT246" i="22" s="1"/>
  <c r="O3490" i="19" s="1"/>
  <c r="O3493" i="19" s="1"/>
  <c r="D3489" i="19" s="1"/>
  <c r="H502" i="4" s="1"/>
  <c r="BS200" i="22"/>
  <c r="J200" i="22"/>
  <c r="CC332" i="22"/>
  <c r="V200" i="22"/>
  <c r="AH200" i="22" s="1"/>
  <c r="M232" i="22"/>
  <c r="O232" i="22" s="1"/>
  <c r="W232" i="22" s="1"/>
  <c r="AL213" i="22"/>
  <c r="AW213" i="22" s="1"/>
  <c r="BQ213" i="22"/>
  <c r="BQ229" i="22"/>
  <c r="J207" i="22"/>
  <c r="AL207" i="22"/>
  <c r="AW207" i="22" s="1"/>
  <c r="AI239" i="22"/>
  <c r="BR239" i="22"/>
  <c r="Z207" i="22"/>
  <c r="AG207" i="22" s="1"/>
  <c r="M207" i="22"/>
  <c r="O207" i="22" s="1"/>
  <c r="W207" i="22" s="1"/>
  <c r="BS239" i="22"/>
  <c r="Z229" i="22"/>
  <c r="AA229" i="22" s="1"/>
  <c r="BE229" i="22"/>
  <c r="BG229" i="22" s="1"/>
  <c r="M225" i="22"/>
  <c r="O225" i="22" s="1"/>
  <c r="W225" i="22" s="1"/>
  <c r="AI213" i="22"/>
  <c r="BS232" i="22"/>
  <c r="AL232" i="22"/>
  <c r="AW232" i="22" s="1"/>
  <c r="AL355" i="22"/>
  <c r="CJ340" i="22"/>
  <c r="AK311" i="22"/>
  <c r="Y311" i="22"/>
  <c r="Z311" i="22" s="1"/>
  <c r="AH311" i="22" s="1"/>
  <c r="M200" i="22"/>
  <c r="O200" i="22" s="1"/>
  <c r="AB200" i="22" s="1"/>
  <c r="AN200" i="22"/>
  <c r="AN246" i="22" s="1"/>
  <c r="AL200" i="22"/>
  <c r="AI232" i="22"/>
  <c r="Z232" i="22"/>
  <c r="AA232" i="22" s="1"/>
  <c r="BS213" i="22"/>
  <c r="J229" i="22"/>
  <c r="BR207" i="22"/>
  <c r="AK239" i="22"/>
  <c r="BE207" i="22"/>
  <c r="BG207" i="22" s="1"/>
  <c r="AI229" i="22"/>
  <c r="Z243" i="22"/>
  <c r="AA243" i="22" s="1"/>
  <c r="CQ209" i="22"/>
  <c r="BE225" i="22"/>
  <c r="BG225" i="22" s="1"/>
  <c r="Z213" i="22"/>
  <c r="AG213" i="22" s="1"/>
  <c r="J225" i="22"/>
  <c r="BR225" i="22"/>
  <c r="BQ311" i="22"/>
  <c r="J311" i="22"/>
  <c r="CD345" i="22"/>
  <c r="CG345" i="22" s="1"/>
  <c r="CH345" i="22" s="1"/>
  <c r="M311" i="22"/>
  <c r="O311" i="22" s="1"/>
  <c r="AB311" i="22" s="1"/>
  <c r="AV200" i="22"/>
  <c r="AV246" i="22" s="1"/>
  <c r="O3455" i="19" s="1"/>
  <c r="O3457" i="19" s="1"/>
  <c r="D3454" i="19" s="1"/>
  <c r="H218" i="4" s="1"/>
  <c r="BQ200" i="22"/>
  <c r="CD332" i="22"/>
  <c r="AK232" i="22"/>
  <c r="BR229" i="22"/>
  <c r="BQ207" i="22"/>
  <c r="M239" i="22"/>
  <c r="O239" i="22" s="1"/>
  <c r="W239" i="22" s="1"/>
  <c r="AK225" i="22"/>
  <c r="Z225" i="22"/>
  <c r="AG225" i="22" s="1"/>
  <c r="M213" i="22"/>
  <c r="O213" i="22" s="1"/>
  <c r="AB213" i="22" s="1"/>
  <c r="BR232" i="22"/>
  <c r="BS225" i="22"/>
  <c r="BR311" i="22"/>
  <c r="AL311" i="22"/>
  <c r="AW311" i="22" s="1"/>
  <c r="AI39" i="22"/>
  <c r="BE54" i="22"/>
  <c r="BG54" i="22" s="1"/>
  <c r="CJ75" i="22"/>
  <c r="BR39" i="22"/>
  <c r="M39" i="22"/>
  <c r="O39" i="22" s="1"/>
  <c r="W39" i="22" s="1"/>
  <c r="CP217" i="22"/>
  <c r="BQ39" i="22"/>
  <c r="BE39" i="22"/>
  <c r="BG39" i="22" s="1"/>
  <c r="BS39" i="22"/>
  <c r="Z39" i="22"/>
  <c r="AA39" i="22" s="1"/>
  <c r="BR55" i="22"/>
  <c r="BS341" i="22"/>
  <c r="CQ243" i="22"/>
  <c r="BR34" i="22"/>
  <c r="BE243" i="22"/>
  <c r="BG243" i="22" s="1"/>
  <c r="AL243" i="22"/>
  <c r="AW243" i="22" s="1"/>
  <c r="CE342" i="22"/>
  <c r="CQ345" i="22"/>
  <c r="AK344" i="22"/>
  <c r="AK352" i="22"/>
  <c r="M243" i="22"/>
  <c r="O243" i="22" s="1"/>
  <c r="W243" i="22" s="1"/>
  <c r="AI243" i="22"/>
  <c r="BR243" i="22"/>
  <c r="BS344" i="22"/>
  <c r="BR344" i="22"/>
  <c r="CJ345" i="22"/>
  <c r="BQ352" i="22"/>
  <c r="Z344" i="22"/>
  <c r="AG344" i="22" s="1"/>
  <c r="AI352" i="22"/>
  <c r="AL333" i="22"/>
  <c r="AW333" i="22" s="1"/>
  <c r="AK243" i="22"/>
  <c r="BS243" i="22"/>
  <c r="BQ344" i="22"/>
  <c r="CJ352" i="22"/>
  <c r="BS352" i="22"/>
  <c r="BR352" i="22"/>
  <c r="CC217" i="22"/>
  <c r="CG217" i="22" s="1"/>
  <c r="CH217" i="22" s="1"/>
  <c r="W285" i="22"/>
  <c r="W267" i="22"/>
  <c r="AB345" i="22"/>
  <c r="W345" i="22"/>
  <c r="W340" i="22"/>
  <c r="BD301" i="22"/>
  <c r="Y333" i="22"/>
  <c r="Z333" i="22" s="1"/>
  <c r="AA333" i="22" s="1"/>
  <c r="Y301" i="22"/>
  <c r="Z301" i="22" s="1"/>
  <c r="AG301" i="22" s="1"/>
  <c r="BD309" i="22"/>
  <c r="O499" i="19"/>
  <c r="D483" i="19" s="1"/>
  <c r="H486" i="4" s="1"/>
  <c r="W270" i="22"/>
  <c r="W287" i="22"/>
  <c r="BD283" i="22"/>
  <c r="BD311" i="22"/>
  <c r="Y330" i="22"/>
  <c r="Z330" i="22" s="1"/>
  <c r="Y355" i="22"/>
  <c r="Y284" i="22"/>
  <c r="Z284" i="22" s="1"/>
  <c r="AA284" i="22" s="1"/>
  <c r="AB260" i="22"/>
  <c r="W260" i="22"/>
  <c r="Y283" i="22"/>
  <c r="Z283" i="22" s="1"/>
  <c r="Y331" i="22"/>
  <c r="Z331" i="22" s="1"/>
  <c r="AA331" i="22" s="1"/>
  <c r="Y309" i="22"/>
  <c r="Z309" i="22" s="1"/>
  <c r="AA309" i="22" s="1"/>
  <c r="Y308" i="22"/>
  <c r="Z308" i="22" s="1"/>
  <c r="AI55" i="22"/>
  <c r="BS55" i="22"/>
  <c r="BE55" i="22"/>
  <c r="BG55" i="22" s="1"/>
  <c r="BQ55" i="22"/>
  <c r="CJ78" i="22"/>
  <c r="AK55" i="22"/>
  <c r="AL37" i="22"/>
  <c r="AW37" i="22" s="1"/>
  <c r="AL85" i="22"/>
  <c r="AW85" i="22" s="1"/>
  <c r="AL55" i="22"/>
  <c r="AW55" i="22" s="1"/>
  <c r="BD81" i="22"/>
  <c r="CD213" i="22"/>
  <c r="CG213" i="22" s="1"/>
  <c r="CH213" i="22" s="1"/>
  <c r="AL67" i="22"/>
  <c r="AW67" i="22" s="1"/>
  <c r="J54" i="22"/>
  <c r="AK54" i="22"/>
  <c r="CC243" i="22"/>
  <c r="CG243" i="22" s="1"/>
  <c r="CH243" i="22" s="1"/>
  <c r="BD205" i="22"/>
  <c r="BR54" i="22"/>
  <c r="BS54" i="22"/>
  <c r="BQ67" i="22"/>
  <c r="BQ54" i="22"/>
  <c r="M54" i="22"/>
  <c r="O54" i="22" s="1"/>
  <c r="W54" i="22" s="1"/>
  <c r="CP233" i="22"/>
  <c r="BR67" i="22"/>
  <c r="CD354" i="22"/>
  <c r="CF354" i="22"/>
  <c r="CE353" i="22"/>
  <c r="CE335" i="22"/>
  <c r="AA329" i="22"/>
  <c r="AD329" i="22"/>
  <c r="AE329" i="22"/>
  <c r="AC329" i="22"/>
  <c r="CD329" i="22"/>
  <c r="CF329" i="22"/>
  <c r="CE328" i="22"/>
  <c r="CE314" i="22"/>
  <c r="CE307" i="22"/>
  <c r="CE302" i="22"/>
  <c r="O4488" i="19"/>
  <c r="O4496" i="19" s="1"/>
  <c r="M4496" i="19" s="1"/>
  <c r="BQ46" i="22"/>
  <c r="CP344" i="22"/>
  <c r="AL35" i="22"/>
  <c r="AW35" i="22" s="1"/>
  <c r="BE75" i="22"/>
  <c r="BF75" i="22" s="1"/>
  <c r="BS36" i="22"/>
  <c r="M75" i="22"/>
  <c r="O75" i="22" s="1"/>
  <c r="W75" i="22" s="1"/>
  <c r="AK241" i="22"/>
  <c r="BS75" i="22"/>
  <c r="AK75" i="22"/>
  <c r="BR75" i="22"/>
  <c r="AI75" i="22"/>
  <c r="M64" i="22"/>
  <c r="O64" i="22" s="1"/>
  <c r="W64" i="22" s="1"/>
  <c r="BQ75" i="22"/>
  <c r="BS320" i="22"/>
  <c r="BR73" i="22"/>
  <c r="AI64" i="22"/>
  <c r="BE64" i="22"/>
  <c r="BF64" i="22" s="1"/>
  <c r="AK64" i="22"/>
  <c r="M46" i="22"/>
  <c r="O46" i="22" s="1"/>
  <c r="W46" i="22" s="1"/>
  <c r="Z64" i="22"/>
  <c r="AA64" i="22" s="1"/>
  <c r="CJ354" i="22"/>
  <c r="BQ64" i="22"/>
  <c r="BR64" i="22"/>
  <c r="CJ215" i="22"/>
  <c r="BS46" i="22"/>
  <c r="J241" i="22"/>
  <c r="J266" i="22"/>
  <c r="AL266" i="22"/>
  <c r="BE241" i="22"/>
  <c r="BF241" i="22" s="1"/>
  <c r="AU351" i="22"/>
  <c r="M241" i="22"/>
  <c r="O241" i="22" s="1"/>
  <c r="W241" i="22" s="1"/>
  <c r="AL233" i="22"/>
  <c r="AW233" i="22" s="1"/>
  <c r="AL38" i="22"/>
  <c r="AW38" i="22" s="1"/>
  <c r="BR241" i="22"/>
  <c r="J73" i="22"/>
  <c r="BS241" i="22"/>
  <c r="CC239" i="22"/>
  <c r="CG239" i="22" s="1"/>
  <c r="CH239" i="22" s="1"/>
  <c r="BS73" i="22"/>
  <c r="CD205" i="22"/>
  <c r="CG205" i="22" s="1"/>
  <c r="CH205" i="22" s="1"/>
  <c r="AL236" i="22"/>
  <c r="AW236" i="22" s="1"/>
  <c r="BQ73" i="22"/>
  <c r="BE233" i="22"/>
  <c r="BF233" i="22" s="1"/>
  <c r="BR78" i="22"/>
  <c r="J333" i="22"/>
  <c r="BQ241" i="22"/>
  <c r="BS38" i="22"/>
  <c r="J38" i="22"/>
  <c r="BS236" i="22"/>
  <c r="Z236" i="22"/>
  <c r="J236" i="22"/>
  <c r="AI236" i="22"/>
  <c r="BQ236" i="22"/>
  <c r="CJ213" i="22"/>
  <c r="BQ79" i="22"/>
  <c r="AK236" i="22"/>
  <c r="BS79" i="22"/>
  <c r="M236" i="22"/>
  <c r="O236" i="22" s="1"/>
  <c r="W236" i="22" s="1"/>
  <c r="CJ344" i="22"/>
  <c r="BR236" i="22"/>
  <c r="BQ52" i="22"/>
  <c r="BS217" i="22"/>
  <c r="M354" i="22"/>
  <c r="O354" i="22" s="1"/>
  <c r="W354" i="22" s="1"/>
  <c r="J83" i="22"/>
  <c r="CD229" i="22"/>
  <c r="CG229" i="22" s="1"/>
  <c r="CH229" i="22" s="1"/>
  <c r="BR83" i="22"/>
  <c r="AK79" i="22"/>
  <c r="CJ228" i="22"/>
  <c r="BS354" i="22"/>
  <c r="BS83" i="22"/>
  <c r="AI79" i="22"/>
  <c r="AL83" i="22"/>
  <c r="AW83" i="22" s="1"/>
  <c r="BQ51" i="22"/>
  <c r="BR79" i="22"/>
  <c r="M217" i="22"/>
  <c r="O217" i="22" s="1"/>
  <c r="W217" i="22" s="1"/>
  <c r="AK217" i="22"/>
  <c r="BE217" i="22"/>
  <c r="BF217" i="22" s="1"/>
  <c r="CP228" i="22"/>
  <c r="CW356" i="22"/>
  <c r="N4822" i="19" s="1"/>
  <c r="N4823" i="19" s="1"/>
  <c r="D4821" i="19" s="1"/>
  <c r="H515" i="4" s="1"/>
  <c r="Z79" i="22"/>
  <c r="AA79" i="22" s="1"/>
  <c r="AI217" i="22"/>
  <c r="Z217" i="22"/>
  <c r="AG217" i="22" s="1"/>
  <c r="BQ217" i="22"/>
  <c r="CJ211" i="22"/>
  <c r="BS52" i="22"/>
  <c r="CP338" i="22"/>
  <c r="AL40" i="22"/>
  <c r="AW40" i="22" s="1"/>
  <c r="CQ227" i="22"/>
  <c r="AL284" i="22"/>
  <c r="AW284" i="22" s="1"/>
  <c r="BQ40" i="22"/>
  <c r="CC215" i="22"/>
  <c r="CG215" i="22" s="1"/>
  <c r="CH215" i="22" s="1"/>
  <c r="CJ343" i="22"/>
  <c r="BR40" i="22"/>
  <c r="J284" i="22"/>
  <c r="J40" i="22"/>
  <c r="BR41" i="22"/>
  <c r="W41" i="22"/>
  <c r="BZ72" i="22"/>
  <c r="CD72" i="22" s="1"/>
  <c r="BS40" i="22"/>
  <c r="BE40" i="22"/>
  <c r="BG40" i="22" s="1"/>
  <c r="CS356" i="22"/>
  <c r="AC72" i="22"/>
  <c r="AK40" i="22"/>
  <c r="AG340" i="22"/>
  <c r="CJ338" i="22"/>
  <c r="CQ354" i="22"/>
  <c r="CU356" i="22"/>
  <c r="N4818" i="19" s="1"/>
  <c r="N4820" i="19" s="1"/>
  <c r="D4817" i="19" s="1"/>
  <c r="H8" i="4" s="1"/>
  <c r="Z72" i="22"/>
  <c r="AA72" i="22" s="1"/>
  <c r="M40" i="22"/>
  <c r="O40" i="22" s="1"/>
  <c r="W40" i="22" s="1"/>
  <c r="CA72" i="22"/>
  <c r="BV72" i="22" s="1"/>
  <c r="AD72" i="22"/>
  <c r="CJ227" i="22"/>
  <c r="CV356" i="22"/>
  <c r="BQ66" i="22"/>
  <c r="AR145" i="20"/>
  <c r="W145" i="20" s="1"/>
  <c r="AR82" i="20"/>
  <c r="W82" i="20" s="1"/>
  <c r="BF13" i="20"/>
  <c r="AX141" i="20"/>
  <c r="CL194" i="20"/>
  <c r="CL91" i="20"/>
  <c r="E2269" i="19" s="1"/>
  <c r="E2265" i="19" s="1"/>
  <c r="K2265" i="19" s="1"/>
  <c r="K2267" i="19" s="1"/>
  <c r="D2264" i="19" s="1"/>
  <c r="H143" i="4" s="1"/>
  <c r="BA141" i="20"/>
  <c r="CK194" i="20"/>
  <c r="L497" i="4"/>
  <c r="L60" i="4"/>
  <c r="N482" i="19"/>
  <c r="D465" i="19" s="1"/>
  <c r="H224" i="4" s="1"/>
  <c r="O3901" i="19"/>
  <c r="O3910" i="19" s="1"/>
  <c r="O3912" i="19" s="1"/>
  <c r="O3914" i="19" s="1"/>
  <c r="CJ236" i="22"/>
  <c r="BV75" i="22"/>
  <c r="CP215" i="22"/>
  <c r="CC228" i="22"/>
  <c r="CG228" i="22" s="1"/>
  <c r="CH228" i="22" s="1"/>
  <c r="CJ45" i="22"/>
  <c r="BV45" i="22"/>
  <c r="CD211" i="22"/>
  <c r="CG211" i="22" s="1"/>
  <c r="CH211" i="22" s="1"/>
  <c r="CJ223" i="22"/>
  <c r="CW246" i="22"/>
  <c r="N3576" i="19" s="1"/>
  <c r="N3577" i="19" s="1"/>
  <c r="D3575" i="19" s="1"/>
  <c r="H514" i="4" s="1"/>
  <c r="BV64" i="22"/>
  <c r="CS109" i="22"/>
  <c r="CS183" i="22" s="1"/>
  <c r="O1962" i="19" s="1"/>
  <c r="O1964" i="19" s="1"/>
  <c r="D1961" i="19" s="1"/>
  <c r="H239" i="4" s="1"/>
  <c r="BV109" i="22"/>
  <c r="CW109" i="22"/>
  <c r="CW183" i="22" s="1"/>
  <c r="N2515" i="19" s="1"/>
  <c r="N2516" i="19" s="1"/>
  <c r="D2514" i="19" s="1"/>
  <c r="H513" i="4" s="1"/>
  <c r="CV109" i="22"/>
  <c r="CV183" i="22" s="1"/>
  <c r="O2518" i="19" s="1"/>
  <c r="O2519" i="19" s="1"/>
  <c r="O2522" i="19" s="1"/>
  <c r="CU109" i="22"/>
  <c r="CU183" i="22" s="1"/>
  <c r="N2511" i="19" s="1"/>
  <c r="N2513" i="19" s="1"/>
  <c r="D2510" i="19" s="1"/>
  <c r="H4" i="4" s="1"/>
  <c r="BS82" i="22"/>
  <c r="M219" i="22"/>
  <c r="O219" i="22" s="1"/>
  <c r="AB219" i="22" s="1"/>
  <c r="CY200" i="22"/>
  <c r="CY246" i="22" s="1"/>
  <c r="O3086" i="19" s="1"/>
  <c r="O3088" i="19" s="1"/>
  <c r="D3084" i="19" s="1"/>
  <c r="H233" i="4" s="1"/>
  <c r="CX246" i="22"/>
  <c r="E3548" i="19" s="1"/>
  <c r="E3550" i="19" s="1"/>
  <c r="D3547" i="19" s="1"/>
  <c r="H492" i="4" s="1"/>
  <c r="J53" i="22"/>
  <c r="CS246" i="22"/>
  <c r="O3059" i="19" s="1"/>
  <c r="O3061" i="19" s="1"/>
  <c r="D3057" i="19" s="1"/>
  <c r="H241" i="4" s="1"/>
  <c r="AL53" i="22"/>
  <c r="AW53" i="22" s="1"/>
  <c r="CP223" i="22"/>
  <c r="BQ53" i="22"/>
  <c r="CU246" i="22"/>
  <c r="N3572" i="19" s="1"/>
  <c r="N3574" i="19" s="1"/>
  <c r="D3571" i="19" s="1"/>
  <c r="H6" i="4" s="1"/>
  <c r="BQ81" i="22"/>
  <c r="BS53" i="22"/>
  <c r="CV246" i="22"/>
  <c r="O3579" i="19" s="1"/>
  <c r="O3580" i="19" s="1"/>
  <c r="D3578" i="19" s="1"/>
  <c r="H191" i="4" s="1"/>
  <c r="BV52" i="22"/>
  <c r="BR53" i="22"/>
  <c r="BV78" i="22"/>
  <c r="BV79" i="22"/>
  <c r="AL30" i="22"/>
  <c r="AW30" i="22" s="1"/>
  <c r="BR82" i="22"/>
  <c r="BE205" i="22"/>
  <c r="BG205" i="22" s="1"/>
  <c r="AI205" i="22"/>
  <c r="Z205" i="22"/>
  <c r="AG205" i="22" s="1"/>
  <c r="AL287" i="22"/>
  <c r="Z25" i="22"/>
  <c r="AC25" i="22" s="1"/>
  <c r="J30" i="22"/>
  <c r="AL205" i="22"/>
  <c r="AW205" i="22" s="1"/>
  <c r="BQ30" i="22"/>
  <c r="AL303" i="22"/>
  <c r="BR30" i="22"/>
  <c r="BQ205" i="22"/>
  <c r="J303" i="22"/>
  <c r="BR205" i="22"/>
  <c r="AL82" i="22"/>
  <c r="AW82" i="22" s="1"/>
  <c r="BS205" i="22"/>
  <c r="AG347" i="22"/>
  <c r="BQ82" i="22"/>
  <c r="J82" i="22"/>
  <c r="J205" i="22"/>
  <c r="AH75" i="22"/>
  <c r="J86" i="22"/>
  <c r="J85" i="22"/>
  <c r="J66" i="22"/>
  <c r="BE213" i="22"/>
  <c r="BG213" i="22" s="1"/>
  <c r="BR86" i="22"/>
  <c r="BS26" i="22"/>
  <c r="J33" i="22"/>
  <c r="AC65" i="22"/>
  <c r="O65" i="22"/>
  <c r="W72" i="22"/>
  <c r="AB72" i="22"/>
  <c r="BQ85" i="22"/>
  <c r="BS59" i="22"/>
  <c r="W66" i="22"/>
  <c r="AB66" i="22"/>
  <c r="CP352" i="22"/>
  <c r="AC75" i="22"/>
  <c r="BS86" i="22"/>
  <c r="BQ48" i="22"/>
  <c r="W81" i="22"/>
  <c r="AB81" i="22"/>
  <c r="W87" i="22"/>
  <c r="AB87" i="22"/>
  <c r="AA227" i="22"/>
  <c r="AD227" i="22"/>
  <c r="AC227" i="22"/>
  <c r="AE227" i="22"/>
  <c r="CD227" i="22"/>
  <c r="CF227" i="22"/>
  <c r="AD61" i="22"/>
  <c r="AH49" i="22"/>
  <c r="AF49" i="22"/>
  <c r="AE49" i="22"/>
  <c r="AH45" i="22"/>
  <c r="AL18" i="22"/>
  <c r="AW18" i="22" s="1"/>
  <c r="BQ56" i="22"/>
  <c r="AD49" i="22"/>
  <c r="AD87" i="22"/>
  <c r="BS47" i="22"/>
  <c r="BQ34" i="22"/>
  <c r="BS74" i="22"/>
  <c r="BS78" i="22"/>
  <c r="BQ69" i="22"/>
  <c r="AL219" i="22"/>
  <c r="AW219" i="22" s="1"/>
  <c r="J56" i="22"/>
  <c r="AC60" i="22"/>
  <c r="BS348" i="22"/>
  <c r="BE216" i="22"/>
  <c r="BF216" i="22" s="1"/>
  <c r="BR56" i="22"/>
  <c r="AC49" i="22"/>
  <c r="BQ47" i="22"/>
  <c r="AD60" i="22"/>
  <c r="CJ232" i="22"/>
  <c r="AL73" i="22"/>
  <c r="AW73" i="22" s="1"/>
  <c r="M349" i="22"/>
  <c r="O349" i="22" s="1"/>
  <c r="W349" i="22" s="1"/>
  <c r="BS81" i="22"/>
  <c r="Y81" i="22"/>
  <c r="Z81" i="22" s="1"/>
  <c r="AA81" i="22" s="1"/>
  <c r="AK349" i="22"/>
  <c r="CC352" i="22"/>
  <c r="CG352" i="22" s="1"/>
  <c r="CH352" i="22" s="1"/>
  <c r="AL283" i="22"/>
  <c r="AW283" i="22" s="1"/>
  <c r="BS56" i="22"/>
  <c r="AK219" i="22"/>
  <c r="CC344" i="22"/>
  <c r="CG344" i="22" s="1"/>
  <c r="CH344" i="22" s="1"/>
  <c r="AF61" i="22"/>
  <c r="AI349" i="22"/>
  <c r="AC61" i="22"/>
  <c r="AF65" i="22"/>
  <c r="AG32" i="22"/>
  <c r="BQ76" i="22"/>
  <c r="AL81" i="22"/>
  <c r="AW81" i="22" s="1"/>
  <c r="Z62" i="22"/>
  <c r="AC62" i="22" s="1"/>
  <c r="J41" i="22"/>
  <c r="BR63" i="22"/>
  <c r="BR33" i="22"/>
  <c r="AL301" i="22"/>
  <c r="AW301" i="22" s="1"/>
  <c r="AL56" i="22"/>
  <c r="AW56" i="22" s="1"/>
  <c r="BR81" i="22"/>
  <c r="AL41" i="22"/>
  <c r="AW41" i="22" s="1"/>
  <c r="J81" i="22"/>
  <c r="J67" i="22"/>
  <c r="CP219" i="22"/>
  <c r="Z88" i="22"/>
  <c r="AE88" i="22" s="1"/>
  <c r="AD56" i="22"/>
  <c r="BZ56" i="22"/>
  <c r="CC56" i="22" s="1"/>
  <c r="Z67" i="22"/>
  <c r="AH67" i="22" s="1"/>
  <c r="CA67" i="22"/>
  <c r="BV67" i="22" s="1"/>
  <c r="J36" i="22"/>
  <c r="AL43" i="22"/>
  <c r="AW43" i="22" s="1"/>
  <c r="BR51" i="22"/>
  <c r="AI219" i="22"/>
  <c r="M341" i="22"/>
  <c r="O341" i="22" s="1"/>
  <c r="W341" i="22" s="1"/>
  <c r="BS349" i="22"/>
  <c r="BQ50" i="22"/>
  <c r="AC64" i="22"/>
  <c r="AE45" i="22"/>
  <c r="AE56" i="22"/>
  <c r="AL36" i="22"/>
  <c r="AW36" i="22" s="1"/>
  <c r="AL74" i="22"/>
  <c r="AW74" i="22" s="1"/>
  <c r="AH70" i="22"/>
  <c r="AD45" i="22"/>
  <c r="BR80" i="22"/>
  <c r="BR50" i="22"/>
  <c r="CA56" i="22"/>
  <c r="AL289" i="22"/>
  <c r="AD25" i="22"/>
  <c r="BD84" i="22"/>
  <c r="BS41" i="22"/>
  <c r="BS48" i="22"/>
  <c r="BQ74" i="22"/>
  <c r="BR59" i="22"/>
  <c r="BS80" i="22"/>
  <c r="BR337" i="22"/>
  <c r="BR341" i="22"/>
  <c r="AK354" i="22"/>
  <c r="BR349" i="22"/>
  <c r="AE25" i="22"/>
  <c r="AG87" i="22"/>
  <c r="BQ41" i="22"/>
  <c r="BS37" i="22"/>
  <c r="AE64" i="22"/>
  <c r="AG45" i="22"/>
  <c r="AC45" i="22"/>
  <c r="BS69" i="22"/>
  <c r="Z354" i="22"/>
  <c r="AH87" i="22"/>
  <c r="AD70" i="22"/>
  <c r="AF45" i="22"/>
  <c r="Z349" i="22"/>
  <c r="AA349" i="22" s="1"/>
  <c r="AE67" i="22"/>
  <c r="AF32" i="22"/>
  <c r="AH61" i="22"/>
  <c r="BQ86" i="22"/>
  <c r="BR26" i="22"/>
  <c r="AE70" i="22"/>
  <c r="BR69" i="22"/>
  <c r="BR354" i="22"/>
  <c r="AF70" i="22"/>
  <c r="AC70" i="22"/>
  <c r="BS66" i="22"/>
  <c r="Z219" i="22"/>
  <c r="AG219" i="22" s="1"/>
  <c r="BQ354" i="22"/>
  <c r="W31" i="22"/>
  <c r="AB31" i="22"/>
  <c r="W32" i="22"/>
  <c r="AB32" i="22"/>
  <c r="BZ53" i="22"/>
  <c r="CD53" i="22" s="1"/>
  <c r="AD53" i="22"/>
  <c r="AE53" i="22"/>
  <c r="CA53" i="22"/>
  <c r="Z53" i="22"/>
  <c r="AG53" i="22" s="1"/>
  <c r="BZ73" i="22"/>
  <c r="CD73" i="22" s="1"/>
  <c r="CA73" i="22"/>
  <c r="BV73" i="22" s="1"/>
  <c r="Z73" i="22"/>
  <c r="AH73" i="22" s="1"/>
  <c r="AE73" i="22"/>
  <c r="Z55" i="22"/>
  <c r="AC55" i="22"/>
  <c r="AE55" i="22"/>
  <c r="BZ55" i="22"/>
  <c r="CD55" i="22" s="1"/>
  <c r="CA55" i="22"/>
  <c r="CF55" i="22" s="1"/>
  <c r="AD55" i="22"/>
  <c r="AD63" i="22"/>
  <c r="AC63" i="22"/>
  <c r="AE63" i="22"/>
  <c r="BZ69" i="22"/>
  <c r="CD69" i="22" s="1"/>
  <c r="CA69" i="22"/>
  <c r="CE69" i="22" s="1"/>
  <c r="Z69" i="22"/>
  <c r="AH69" i="22" s="1"/>
  <c r="AE69" i="22"/>
  <c r="AE58" i="22"/>
  <c r="AD58" i="22"/>
  <c r="AC58" i="22"/>
  <c r="AE35" i="22"/>
  <c r="CA35" i="22"/>
  <c r="BV35" i="22" s="1"/>
  <c r="BZ35" i="22"/>
  <c r="CC35" i="22" s="1"/>
  <c r="Z35" i="22"/>
  <c r="AG35" i="22" s="1"/>
  <c r="AF87" i="22"/>
  <c r="BQ84" i="22"/>
  <c r="AG80" i="22"/>
  <c r="AG70" i="22"/>
  <c r="BR66" i="22"/>
  <c r="BZ67" i="22"/>
  <c r="CD67" i="22" s="1"/>
  <c r="BS71" i="22"/>
  <c r="J57" i="22"/>
  <c r="AL69" i="22"/>
  <c r="AW69" i="22" s="1"/>
  <c r="BE79" i="22"/>
  <c r="BG79" i="22" s="1"/>
  <c r="Y40" i="22"/>
  <c r="AL84" i="22"/>
  <c r="AW84" i="22" s="1"/>
  <c r="AD67" i="22"/>
  <c r="BR25" i="22"/>
  <c r="BD83" i="22"/>
  <c r="Y43" i="22"/>
  <c r="Y33" i="22"/>
  <c r="AG65" i="22"/>
  <c r="AH58" i="22"/>
  <c r="AC87" i="22"/>
  <c r="AH32" i="22"/>
  <c r="AG61" i="22"/>
  <c r="BQ63" i="22"/>
  <c r="AH65" i="22"/>
  <c r="BR27" i="22"/>
  <c r="BQ38" i="22"/>
  <c r="BQ35" i="22"/>
  <c r="BR76" i="22"/>
  <c r="AL54" i="22"/>
  <c r="AW54" i="22" s="1"/>
  <c r="BR46" i="22"/>
  <c r="AC80" i="22"/>
  <c r="Z56" i="22"/>
  <c r="AG56" i="22" s="1"/>
  <c r="J55" i="22"/>
  <c r="Z76" i="22"/>
  <c r="AG76" i="22" s="1"/>
  <c r="Z78" i="22"/>
  <c r="AH78" i="22" s="1"/>
  <c r="Y68" i="22"/>
  <c r="Y38" i="22"/>
  <c r="Z28" i="22"/>
  <c r="AG28" i="22" s="1"/>
  <c r="Z27" i="22"/>
  <c r="AG27" i="22" s="1"/>
  <c r="BQ28" i="22"/>
  <c r="BS35" i="22"/>
  <c r="BR29" i="22"/>
  <c r="BS68" i="22"/>
  <c r="BQ62" i="22"/>
  <c r="Y84" i="22"/>
  <c r="Y57" i="22"/>
  <c r="Z52" i="22"/>
  <c r="AA52" i="22" s="1"/>
  <c r="AE60" i="22"/>
  <c r="BR28" i="22"/>
  <c r="BR35" i="22"/>
  <c r="AL33" i="22"/>
  <c r="AW33" i="22" s="1"/>
  <c r="BR74" i="22"/>
  <c r="BQ29" i="22"/>
  <c r="AE80" i="22"/>
  <c r="BQ58" i="22"/>
  <c r="J69" i="22"/>
  <c r="Y74" i="22"/>
  <c r="BS44" i="22"/>
  <c r="AG60" i="22"/>
  <c r="BQ43" i="22"/>
  <c r="BS29" i="22"/>
  <c r="J68" i="22"/>
  <c r="BR62" i="22"/>
  <c r="Y66" i="22"/>
  <c r="BQ44" i="22"/>
  <c r="AF60" i="22"/>
  <c r="J43" i="22"/>
  <c r="J29" i="22"/>
  <c r="BR58" i="22"/>
  <c r="BQ71" i="22"/>
  <c r="BQ57" i="22"/>
  <c r="AL68" i="22"/>
  <c r="AW68" i="22" s="1"/>
  <c r="Y54" i="22"/>
  <c r="AG49" i="22"/>
  <c r="AL44" i="22"/>
  <c r="AW44" i="22" s="1"/>
  <c r="AH60" i="22"/>
  <c r="BR43" i="22"/>
  <c r="AD64" i="22"/>
  <c r="AD75" i="22"/>
  <c r="AL57" i="22"/>
  <c r="AW57" i="22" s="1"/>
  <c r="Y30" i="22"/>
  <c r="Y37" i="22"/>
  <c r="Y29" i="22"/>
  <c r="J44" i="22"/>
  <c r="BR37" i="22"/>
  <c r="BS85" i="22"/>
  <c r="BQ33" i="22"/>
  <c r="BS84" i="22"/>
  <c r="BD40" i="22"/>
  <c r="AL66" i="22"/>
  <c r="AW66" i="22" s="1"/>
  <c r="BR57" i="22"/>
  <c r="BR36" i="22"/>
  <c r="AH63" i="22"/>
  <c r="BR84" i="22"/>
  <c r="BS88" i="22"/>
  <c r="AG75" i="22"/>
  <c r="Y82" i="22"/>
  <c r="CD341" i="22"/>
  <c r="CG341" i="22" s="1"/>
  <c r="CH341" i="22" s="1"/>
  <c r="AH340" i="22"/>
  <c r="CC349" i="22"/>
  <c r="CG349" i="22" s="1"/>
  <c r="CH349" i="22" s="1"/>
  <c r="AF347" i="22"/>
  <c r="BD355" i="22"/>
  <c r="BQ232" i="22"/>
  <c r="AI216" i="22"/>
  <c r="CD232" i="22"/>
  <c r="CG232" i="22" s="1"/>
  <c r="CH232" i="22" s="1"/>
  <c r="Z216" i="22"/>
  <c r="AG216" i="22" s="1"/>
  <c r="J216" i="22"/>
  <c r="CD241" i="22"/>
  <c r="CG241" i="22" s="1"/>
  <c r="CH241" i="22" s="1"/>
  <c r="AK216" i="22"/>
  <c r="CD233" i="22"/>
  <c r="CG233" i="22" s="1"/>
  <c r="CH233" i="22" s="1"/>
  <c r="CP229" i="22"/>
  <c r="BQ216" i="22"/>
  <c r="BR216" i="22"/>
  <c r="AL216" i="22"/>
  <c r="AW216" i="22" s="1"/>
  <c r="CC216" i="22"/>
  <c r="CG216" i="22" s="1"/>
  <c r="CH216" i="22" s="1"/>
  <c r="BS216" i="22"/>
  <c r="CJ229" i="22"/>
  <c r="CJ235" i="22"/>
  <c r="CJ225" i="22"/>
  <c r="BQ233" i="22"/>
  <c r="J233" i="22"/>
  <c r="J231" i="22"/>
  <c r="Z233" i="22"/>
  <c r="AA233" i="22" s="1"/>
  <c r="J214" i="22"/>
  <c r="CC227" i="22"/>
  <c r="BS214" i="22"/>
  <c r="BQ214" i="22"/>
  <c r="BR214" i="22"/>
  <c r="AL214" i="22"/>
  <c r="AW214" i="22" s="1"/>
  <c r="CP216" i="22"/>
  <c r="AK214" i="22"/>
  <c r="CJ216" i="22"/>
  <c r="BE214" i="22"/>
  <c r="BF214" i="22" s="1"/>
  <c r="AI214" i="22"/>
  <c r="BS233" i="22"/>
  <c r="BQ235" i="22"/>
  <c r="M214" i="22"/>
  <c r="O214" i="22" s="1"/>
  <c r="W214" i="22" s="1"/>
  <c r="BR233" i="22"/>
  <c r="AI233" i="22"/>
  <c r="M233" i="22"/>
  <c r="O233" i="22" s="1"/>
  <c r="W233" i="22" s="1"/>
  <c r="AK53" i="22"/>
  <c r="BE53" i="22"/>
  <c r="BF53" i="22" s="1"/>
  <c r="AI53" i="22"/>
  <c r="M53" i="22"/>
  <c r="AI78" i="22"/>
  <c r="BE81" i="22"/>
  <c r="BG81" i="22" s="1"/>
  <c r="AK81" i="22"/>
  <c r="CD223" i="22"/>
  <c r="CG223" i="22" s="1"/>
  <c r="CH223" i="22" s="1"/>
  <c r="CD214" i="22"/>
  <c r="CG214" i="22" s="1"/>
  <c r="CH214" i="22" s="1"/>
  <c r="CJ32" i="22"/>
  <c r="AK78" i="22"/>
  <c r="CQ232" i="22"/>
  <c r="BE78" i="22"/>
  <c r="BG78" i="22" s="1"/>
  <c r="AL241" i="22"/>
  <c r="AW241" i="22" s="1"/>
  <c r="Z241" i="22"/>
  <c r="AA241" i="22" s="1"/>
  <c r="AH347" i="22"/>
  <c r="J287" i="22"/>
  <c r="M78" i="22"/>
  <c r="O78" i="22" s="1"/>
  <c r="W78" i="22" s="1"/>
  <c r="CD236" i="22"/>
  <c r="CG236" i="22" s="1"/>
  <c r="CH236" i="22" s="1"/>
  <c r="AH352" i="22"/>
  <c r="AL306" i="22"/>
  <c r="AW306" i="22" s="1"/>
  <c r="AL238" i="22"/>
  <c r="AW238" i="22" s="1"/>
  <c r="J267" i="22"/>
  <c r="J306" i="22"/>
  <c r="Z341" i="22"/>
  <c r="AA341" i="22" s="1"/>
  <c r="AG352" i="22"/>
  <c r="AL267" i="22"/>
  <c r="AW267" i="22" s="1"/>
  <c r="AU346" i="22"/>
  <c r="AW346" i="22" s="1"/>
  <c r="J242" i="22"/>
  <c r="CQ241" i="22"/>
  <c r="AI341" i="22"/>
  <c r="J301" i="22"/>
  <c r="CJ241" i="22"/>
  <c r="AL312" i="22"/>
  <c r="AW312" i="22" s="1"/>
  <c r="CJ219" i="22"/>
  <c r="CJ341" i="22"/>
  <c r="CP341" i="22"/>
  <c r="BD350" i="22"/>
  <c r="BQ202" i="22"/>
  <c r="CJ87" i="22"/>
  <c r="CG340" i="22"/>
  <c r="CH340" i="22" s="1"/>
  <c r="AK52" i="22"/>
  <c r="AI52" i="22"/>
  <c r="BE52" i="22"/>
  <c r="BF52" i="22" s="1"/>
  <c r="M52" i="22"/>
  <c r="CP225" i="22"/>
  <c r="CD219" i="22"/>
  <c r="CG219" i="22" s="1"/>
  <c r="CH219" i="22" s="1"/>
  <c r="AL264" i="22"/>
  <c r="AW264" i="22" s="1"/>
  <c r="J264" i="22"/>
  <c r="CP211" i="22"/>
  <c r="CP213" i="22"/>
  <c r="CQ349" i="22"/>
  <c r="BQ343" i="22"/>
  <c r="CJ349" i="22"/>
  <c r="BD353" i="22"/>
  <c r="AF340" i="22"/>
  <c r="AU340" i="22"/>
  <c r="AW340" i="22" s="1"/>
  <c r="BQ351" i="22"/>
  <c r="BS202" i="22"/>
  <c r="BS351" i="22"/>
  <c r="BQ342" i="22"/>
  <c r="BS342" i="22"/>
  <c r="BR351" i="22"/>
  <c r="AF345" i="22"/>
  <c r="AU209" i="22"/>
  <c r="J308" i="22"/>
  <c r="BR343" i="22"/>
  <c r="AL308" i="22"/>
  <c r="AW308" i="22" s="1"/>
  <c r="AL270" i="22"/>
  <c r="J270" i="22"/>
  <c r="CJ348" i="22"/>
  <c r="AI81" i="22"/>
  <c r="BE83" i="22"/>
  <c r="BG83" i="22" s="1"/>
  <c r="AI83" i="22"/>
  <c r="BD213" i="22"/>
  <c r="M83" i="22"/>
  <c r="O83" i="22" s="1"/>
  <c r="AK83" i="22"/>
  <c r="BQ339" i="22"/>
  <c r="BR339" i="22"/>
  <c r="CJ346" i="22"/>
  <c r="J281" i="22"/>
  <c r="BS335" i="22"/>
  <c r="BS337" i="22"/>
  <c r="BQ335" i="22"/>
  <c r="AW344" i="22"/>
  <c r="BQ337" i="22"/>
  <c r="AW355" i="22"/>
  <c r="BD337" i="22"/>
  <c r="J289" i="22"/>
  <c r="BR244" i="22"/>
  <c r="AL226" i="22"/>
  <c r="AW226" i="22" s="1"/>
  <c r="BR219" i="22"/>
  <c r="CJ342" i="22"/>
  <c r="AW343" i="22"/>
  <c r="BQ348" i="22"/>
  <c r="AF311" i="22"/>
  <c r="CJ353" i="22"/>
  <c r="BR235" i="22"/>
  <c r="BQ346" i="22"/>
  <c r="CJ238" i="22"/>
  <c r="CG347" i="22"/>
  <c r="CH347" i="22" s="1"/>
  <c r="BS346" i="22"/>
  <c r="J283" i="22"/>
  <c r="AL281" i="22"/>
  <c r="AW281" i="22" s="1"/>
  <c r="BS238" i="22"/>
  <c r="BS219" i="22"/>
  <c r="CG338" i="22"/>
  <c r="CH338" i="22" s="1"/>
  <c r="Z339" i="22"/>
  <c r="AA339" i="22" s="1"/>
  <c r="M339" i="22"/>
  <c r="O339" i="22" s="1"/>
  <c r="W339" i="22" s="1"/>
  <c r="AK339" i="22"/>
  <c r="AI339" i="22"/>
  <c r="AI342" i="22"/>
  <c r="Z342" i="22"/>
  <c r="AK342" i="22"/>
  <c r="M342" i="22"/>
  <c r="O342" i="22" s="1"/>
  <c r="W342" i="22" s="1"/>
  <c r="CQ343" i="22"/>
  <c r="CP343" i="22"/>
  <c r="J350" i="22"/>
  <c r="CD353" i="22"/>
  <c r="CC353" i="22"/>
  <c r="BG311" i="22"/>
  <c r="BF311" i="22"/>
  <c r="CJ335" i="22"/>
  <c r="AW352" i="22"/>
  <c r="J298" i="22"/>
  <c r="CQ339" i="22"/>
  <c r="CP339" i="22"/>
  <c r="Z355" i="22"/>
  <c r="AA355" i="22" s="1"/>
  <c r="AK355" i="22"/>
  <c r="M355" i="22"/>
  <c r="O355" i="22" s="1"/>
  <c r="W355" i="22" s="1"/>
  <c r="AI355" i="22"/>
  <c r="BE355" i="22"/>
  <c r="CD343" i="22"/>
  <c r="CC343" i="22"/>
  <c r="Z353" i="22"/>
  <c r="AI353" i="22"/>
  <c r="M353" i="22"/>
  <c r="O353" i="22" s="1"/>
  <c r="W353" i="22" s="1"/>
  <c r="AK353" i="22"/>
  <c r="AG345" i="22"/>
  <c r="CC348" i="22"/>
  <c r="CD348" i="22"/>
  <c r="AB347" i="22"/>
  <c r="AL298" i="22"/>
  <c r="AW298" i="22" s="1"/>
  <c r="AL293" i="22"/>
  <c r="AW293" i="22" s="1"/>
  <c r="J355" i="22"/>
  <c r="BQ350" i="22"/>
  <c r="AI348" i="22"/>
  <c r="AK348" i="22"/>
  <c r="Z348" i="22"/>
  <c r="M348" i="22"/>
  <c r="O348" i="22" s="1"/>
  <c r="W348" i="22" s="1"/>
  <c r="BQ230" i="22"/>
  <c r="CC339" i="22"/>
  <c r="CD339" i="22"/>
  <c r="CD336" i="22"/>
  <c r="CC336" i="22"/>
  <c r="CC337" i="22"/>
  <c r="CD337" i="22"/>
  <c r="BS353" i="22"/>
  <c r="CJ339" i="22"/>
  <c r="CQ348" i="22"/>
  <c r="CP348" i="22"/>
  <c r="AW351" i="22"/>
  <c r="CQ336" i="22"/>
  <c r="CP336" i="22"/>
  <c r="AW339" i="22"/>
  <c r="CQ337" i="22"/>
  <c r="CP337" i="22"/>
  <c r="AW341" i="22"/>
  <c r="AU345" i="22"/>
  <c r="AW345" i="22" s="1"/>
  <c r="BD345" i="22"/>
  <c r="Z336" i="22"/>
  <c r="AI336" i="22"/>
  <c r="M336" i="22"/>
  <c r="O336" i="22" s="1"/>
  <c r="W336" i="22" s="1"/>
  <c r="AK336" i="22"/>
  <c r="AU354" i="22"/>
  <c r="AW354" i="22" s="1"/>
  <c r="BD354" i="22"/>
  <c r="AL337" i="22"/>
  <c r="AW337" i="22" s="1"/>
  <c r="Z337" i="22"/>
  <c r="AA337" i="22" s="1"/>
  <c r="AK337" i="22"/>
  <c r="AI337" i="22"/>
  <c r="M337" i="22"/>
  <c r="O337" i="22" s="1"/>
  <c r="W337" i="22" s="1"/>
  <c r="BE337" i="22"/>
  <c r="AW353" i="22"/>
  <c r="AL350" i="22"/>
  <c r="AW350" i="22" s="1"/>
  <c r="BD342" i="22"/>
  <c r="AU342" i="22"/>
  <c r="AW342" i="22" s="1"/>
  <c r="BR224" i="22"/>
  <c r="AA345" i="22"/>
  <c r="CD346" i="22"/>
  <c r="CC346" i="22"/>
  <c r="AW336" i="22"/>
  <c r="J309" i="22"/>
  <c r="CQ335" i="22"/>
  <c r="CP335" i="22"/>
  <c r="CJ350" i="22"/>
  <c r="AB340" i="22"/>
  <c r="CQ346" i="22"/>
  <c r="CP346" i="22"/>
  <c r="AU347" i="22"/>
  <c r="AW347" i="22" s="1"/>
  <c r="BD347" i="22"/>
  <c r="AH345" i="22"/>
  <c r="AL309" i="22"/>
  <c r="J293" i="22"/>
  <c r="CD335" i="22"/>
  <c r="CC335" i="22"/>
  <c r="AF352" i="22"/>
  <c r="AW335" i="22"/>
  <c r="AK351" i="22"/>
  <c r="AI351" i="22"/>
  <c r="Z351" i="22"/>
  <c r="BR353" i="22"/>
  <c r="BQ355" i="22"/>
  <c r="BR350" i="22"/>
  <c r="CJ351" i="22"/>
  <c r="CQ350" i="22"/>
  <c r="CP350" i="22"/>
  <c r="CQ342" i="22"/>
  <c r="CP342" i="22"/>
  <c r="CC351" i="22"/>
  <c r="CD351" i="22"/>
  <c r="BR355" i="22"/>
  <c r="Z346" i="22"/>
  <c r="AA346" i="22" s="1"/>
  <c r="M346" i="22"/>
  <c r="O346" i="22" s="1"/>
  <c r="W346" i="22" s="1"/>
  <c r="AK346" i="22"/>
  <c r="AI346" i="22"/>
  <c r="BE346" i="22"/>
  <c r="BR346" i="22"/>
  <c r="CJ337" i="22"/>
  <c r="BD338" i="22"/>
  <c r="AU338" i="22"/>
  <c r="AW338" i="22" s="1"/>
  <c r="CD350" i="22"/>
  <c r="CC350" i="22"/>
  <c r="Z335" i="22"/>
  <c r="AK335" i="22"/>
  <c r="AI335" i="22"/>
  <c r="M335" i="22"/>
  <c r="O335" i="22" s="1"/>
  <c r="W335" i="22" s="1"/>
  <c r="CC342" i="22"/>
  <c r="CD342" i="22"/>
  <c r="CQ351" i="22"/>
  <c r="CP351" i="22"/>
  <c r="M343" i="22"/>
  <c r="O343" i="22" s="1"/>
  <c r="W343" i="22" s="1"/>
  <c r="Z343" i="22"/>
  <c r="AA343" i="22" s="1"/>
  <c r="AK343" i="22"/>
  <c r="AI343" i="22"/>
  <c r="BS355" i="22"/>
  <c r="CQ353" i="22"/>
  <c r="CP353" i="22"/>
  <c r="CJ336" i="22"/>
  <c r="AU349" i="22"/>
  <c r="AW349" i="22" s="1"/>
  <c r="BD349" i="22"/>
  <c r="BQ336" i="22"/>
  <c r="AU348" i="22"/>
  <c r="AW348" i="22" s="1"/>
  <c r="BD348" i="22"/>
  <c r="AI350" i="22"/>
  <c r="M350" i="22"/>
  <c r="O350" i="22" s="1"/>
  <c r="AK350" i="22"/>
  <c r="Z350" i="22"/>
  <c r="AG350" i="22" s="1"/>
  <c r="BE350" i="22"/>
  <c r="J346" i="22"/>
  <c r="BR336" i="22"/>
  <c r="AH214" i="22"/>
  <c r="CQ214" i="22"/>
  <c r="AK333" i="22"/>
  <c r="BE333" i="22"/>
  <c r="AB285" i="22"/>
  <c r="AL285" i="22"/>
  <c r="AW285" i="22" s="1"/>
  <c r="M312" i="22"/>
  <c r="O312" i="22" s="1"/>
  <c r="BE312" i="22"/>
  <c r="BD298" i="22"/>
  <c r="J271" i="22"/>
  <c r="AB270" i="22"/>
  <c r="Y298" i="22"/>
  <c r="Z298" i="22" s="1"/>
  <c r="AA298" i="22" s="1"/>
  <c r="AL291" i="22"/>
  <c r="AW291" i="22" s="1"/>
  <c r="AL271" i="22"/>
  <c r="AB267" i="22"/>
  <c r="J277" i="22"/>
  <c r="J291" i="22"/>
  <c r="AL277" i="22"/>
  <c r="AW277" i="22" s="1"/>
  <c r="Y312" i="22"/>
  <c r="Z312" i="22" s="1"/>
  <c r="AA312" i="22" s="1"/>
  <c r="J285" i="22"/>
  <c r="Y293" i="22"/>
  <c r="Z293" i="22" s="1"/>
  <c r="AE293" i="22" s="1"/>
  <c r="CJ242" i="22"/>
  <c r="J219" i="22"/>
  <c r="BQ237" i="22"/>
  <c r="J237" i="22"/>
  <c r="CJ214" i="22"/>
  <c r="AL237" i="22"/>
  <c r="AW237" i="22" s="1"/>
  <c r="AL244" i="22"/>
  <c r="AW244" i="22" s="1"/>
  <c r="BE219" i="22"/>
  <c r="BG219" i="22" s="1"/>
  <c r="BR231" i="22"/>
  <c r="AG215" i="22"/>
  <c r="BQ231" i="22"/>
  <c r="CJ221" i="22"/>
  <c r="BS222" i="22"/>
  <c r="BQ221" i="22"/>
  <c r="BQ222" i="22"/>
  <c r="J222" i="22"/>
  <c r="CJ226" i="22"/>
  <c r="BR221" i="22"/>
  <c r="BS242" i="22"/>
  <c r="BR222" i="22"/>
  <c r="BQ242" i="22"/>
  <c r="AL242" i="22"/>
  <c r="AW242" i="22" s="1"/>
  <c r="J244" i="22"/>
  <c r="AL224" i="22"/>
  <c r="AW224" i="22" s="1"/>
  <c r="BQ238" i="22"/>
  <c r="BR238" i="22"/>
  <c r="AG227" i="22"/>
  <c r="AH227" i="22"/>
  <c r="CQ235" i="22"/>
  <c r="AA211" i="22"/>
  <c r="AG214" i="22"/>
  <c r="CG209" i="22"/>
  <c r="CH209" i="22" s="1"/>
  <c r="BD219" i="22"/>
  <c r="CC238" i="22"/>
  <c r="CG238" i="22" s="1"/>
  <c r="CH238" i="22" s="1"/>
  <c r="AH209" i="22"/>
  <c r="AH211" i="22"/>
  <c r="W228" i="22"/>
  <c r="CG234" i="22"/>
  <c r="CH234" i="22" s="1"/>
  <c r="AF215" i="22"/>
  <c r="AF228" i="22"/>
  <c r="AW230" i="22"/>
  <c r="AW231" i="22"/>
  <c r="AW225" i="22"/>
  <c r="AW222" i="22"/>
  <c r="AH239" i="22"/>
  <c r="CJ240" i="22"/>
  <c r="AW227" i="22"/>
  <c r="AA239" i="22"/>
  <c r="J224" i="22"/>
  <c r="AK237" i="22"/>
  <c r="M237" i="22"/>
  <c r="O237" i="22" s="1"/>
  <c r="W237" i="22" s="1"/>
  <c r="AI237" i="22"/>
  <c r="BE237" i="22"/>
  <c r="Z237" i="22"/>
  <c r="AF237" i="22" s="1"/>
  <c r="BR237" i="22"/>
  <c r="AW217" i="22"/>
  <c r="J240" i="22"/>
  <c r="CJ237" i="22"/>
  <c r="BS244" i="22"/>
  <c r="M244" i="22"/>
  <c r="AK244" i="22"/>
  <c r="AI244" i="22"/>
  <c r="BE244" i="22"/>
  <c r="Z244" i="22"/>
  <c r="AA244" i="22" s="1"/>
  <c r="BE222" i="22"/>
  <c r="AI222" i="22"/>
  <c r="M222" i="22"/>
  <c r="O222" i="22" s="1"/>
  <c r="W222" i="22" s="1"/>
  <c r="Z222" i="22"/>
  <c r="AK222" i="22"/>
  <c r="BE242" i="22"/>
  <c r="M242" i="22"/>
  <c r="O242" i="22" s="1"/>
  <c r="W242" i="22" s="1"/>
  <c r="Z242" i="22"/>
  <c r="AA242" i="22" s="1"/>
  <c r="AK242" i="22"/>
  <c r="AI242" i="22"/>
  <c r="CD224" i="22"/>
  <c r="CC224" i="22"/>
  <c r="AL240" i="22"/>
  <c r="AW240" i="22" s="1"/>
  <c r="BF215" i="22"/>
  <c r="BG215" i="22"/>
  <c r="BG217" i="22"/>
  <c r="CQ222" i="22"/>
  <c r="CP222" i="22"/>
  <c r="CP242" i="22"/>
  <c r="CQ242" i="22"/>
  <c r="AK224" i="22"/>
  <c r="AI224" i="22"/>
  <c r="M224" i="22"/>
  <c r="O224" i="22" s="1"/>
  <c r="W224" i="22" s="1"/>
  <c r="Z224" i="22"/>
  <c r="AA224" i="22" s="1"/>
  <c r="BE224" i="22"/>
  <c r="CQ238" i="22"/>
  <c r="CP238" i="22"/>
  <c r="AH223" i="22"/>
  <c r="W215" i="22"/>
  <c r="AB215" i="22"/>
  <c r="BG227" i="22"/>
  <c r="BF227" i="22"/>
  <c r="CD242" i="22"/>
  <c r="CC242" i="22"/>
  <c r="CQ224" i="22"/>
  <c r="CP224" i="22"/>
  <c r="W216" i="22"/>
  <c r="AB216" i="22"/>
  <c r="AF223" i="22"/>
  <c r="BE230" i="22"/>
  <c r="M230" i="22"/>
  <c r="O230" i="22" s="1"/>
  <c r="W230" i="22" s="1"/>
  <c r="Z230" i="22"/>
  <c r="AA230" i="22" s="1"/>
  <c r="AK230" i="22"/>
  <c r="AI230" i="22"/>
  <c r="AW215" i="22"/>
  <c r="CC240" i="22"/>
  <c r="CD240" i="22"/>
  <c r="CJ222" i="22"/>
  <c r="BE235" i="22"/>
  <c r="M235" i="22"/>
  <c r="AK235" i="22"/>
  <c r="Z235" i="22"/>
  <c r="AI235" i="22"/>
  <c r="BQ240" i="22"/>
  <c r="BS230" i="22"/>
  <c r="AG223" i="22"/>
  <c r="AH228" i="22"/>
  <c r="CQ230" i="22"/>
  <c r="CP230" i="22"/>
  <c r="CJ231" i="22"/>
  <c r="AW239" i="22"/>
  <c r="BD211" i="22"/>
  <c r="AU211" i="22"/>
  <c r="AW211" i="22" s="1"/>
  <c r="CQ240" i="22"/>
  <c r="CP240" i="22"/>
  <c r="BF228" i="22"/>
  <c r="BG228" i="22"/>
  <c r="CP244" i="22"/>
  <c r="CQ244" i="22"/>
  <c r="CQ221" i="22"/>
  <c r="CP221" i="22"/>
  <c r="CJ244" i="22"/>
  <c r="CJ230" i="22"/>
  <c r="CC235" i="22"/>
  <c r="CD235" i="22"/>
  <c r="AW223" i="22"/>
  <c r="AG228" i="22"/>
  <c r="CD231" i="22"/>
  <c r="CG231" i="22" s="1"/>
  <c r="CH231" i="22" s="1"/>
  <c r="W205" i="22"/>
  <c r="AB205" i="22"/>
  <c r="AF227" i="22"/>
  <c r="O227" i="22"/>
  <c r="W227" i="22" s="1"/>
  <c r="AA228" i="22"/>
  <c r="AW235" i="22"/>
  <c r="CD244" i="22"/>
  <c r="CG244" i="22" s="1"/>
  <c r="CH244" i="22" s="1"/>
  <c r="CQ236" i="22"/>
  <c r="CP236" i="22"/>
  <c r="Z240" i="22"/>
  <c r="AG240" i="22" s="1"/>
  <c r="AI240" i="22"/>
  <c r="BE240" i="22"/>
  <c r="M240" i="22"/>
  <c r="AK240" i="22"/>
  <c r="CD221" i="22"/>
  <c r="CC221" i="22"/>
  <c r="BS240" i="22"/>
  <c r="CC230" i="22"/>
  <c r="CD230" i="22"/>
  <c r="AH215" i="22"/>
  <c r="BG239" i="22"/>
  <c r="BF239" i="22"/>
  <c r="Z221" i="22"/>
  <c r="BE221" i="22"/>
  <c r="M221" i="22"/>
  <c r="O221" i="22" s="1"/>
  <c r="W221" i="22" s="1"/>
  <c r="AI221" i="22"/>
  <c r="AK221" i="22"/>
  <c r="CC226" i="22"/>
  <c r="CD226" i="22"/>
  <c r="BF236" i="22"/>
  <c r="BG236" i="22"/>
  <c r="W211" i="22"/>
  <c r="AB211" i="22"/>
  <c r="AF211" i="22"/>
  <c r="BR226" i="22"/>
  <c r="AK226" i="22"/>
  <c r="BE226" i="22"/>
  <c r="M226" i="22"/>
  <c r="O226" i="22" s="1"/>
  <c r="W226" i="22" s="1"/>
  <c r="Z226" i="22"/>
  <c r="AI226" i="22"/>
  <c r="BS231" i="22"/>
  <c r="Z231" i="22"/>
  <c r="AA231" i="22" s="1"/>
  <c r="M231" i="22"/>
  <c r="AK231" i="22"/>
  <c r="AI231" i="22"/>
  <c r="BE231" i="22"/>
  <c r="AW221" i="22"/>
  <c r="BG211" i="22"/>
  <c r="BF211" i="22"/>
  <c r="CC237" i="22"/>
  <c r="CD237" i="22"/>
  <c r="CC222" i="22"/>
  <c r="CD222" i="22"/>
  <c r="BG209" i="22"/>
  <c r="BF209" i="22"/>
  <c r="BQ226" i="22"/>
  <c r="CQ231" i="22"/>
  <c r="CP231" i="22"/>
  <c r="W229" i="22"/>
  <c r="BQ224" i="22"/>
  <c r="CJ224" i="22"/>
  <c r="CQ237" i="22"/>
  <c r="CP237" i="22"/>
  <c r="BG223" i="22"/>
  <c r="BF223" i="22"/>
  <c r="J226" i="22"/>
  <c r="AK238" i="22"/>
  <c r="AI238" i="22"/>
  <c r="BE238" i="22"/>
  <c r="M238" i="22"/>
  <c r="O238" i="22" s="1"/>
  <c r="W238" i="22" s="1"/>
  <c r="Z238" i="22"/>
  <c r="AA238" i="22" s="1"/>
  <c r="CP226" i="22"/>
  <c r="CQ226" i="22"/>
  <c r="AW228" i="22"/>
  <c r="AX115" i="22"/>
  <c r="AY115" i="22" s="1"/>
  <c r="AZ115" i="22" s="1"/>
  <c r="M59" i="22"/>
  <c r="O59" i="22" s="1"/>
  <c r="W59" i="22" s="1"/>
  <c r="CJ70" i="22"/>
  <c r="BE59" i="22"/>
  <c r="BG59" i="22" s="1"/>
  <c r="CJ65" i="22"/>
  <c r="CJ204" i="22"/>
  <c r="AX124" i="22"/>
  <c r="AY124" i="22" s="1"/>
  <c r="AZ124" i="22" s="1"/>
  <c r="AI46" i="22"/>
  <c r="AK46" i="22"/>
  <c r="AI59" i="22"/>
  <c r="AX136" i="22"/>
  <c r="AY136" i="22" s="1"/>
  <c r="AZ136" i="22" s="1"/>
  <c r="AP136" i="22"/>
  <c r="AX149" i="22"/>
  <c r="AY149" i="22" s="1"/>
  <c r="AZ149" i="22" s="1"/>
  <c r="AS143" i="22"/>
  <c r="W143" i="22"/>
  <c r="AJ143" i="22" s="1"/>
  <c r="X143" i="22" s="1"/>
  <c r="AB143" i="22"/>
  <c r="CJ58" i="22"/>
  <c r="AX123" i="22"/>
  <c r="AY123" i="22" s="1"/>
  <c r="AZ123" i="22" s="1"/>
  <c r="AX148" i="22"/>
  <c r="AY148" i="22" s="1"/>
  <c r="AZ148" i="22" s="1"/>
  <c r="AP124" i="22"/>
  <c r="AJ124" i="22"/>
  <c r="X124" i="22" s="1"/>
  <c r="AK66" i="22"/>
  <c r="AI66" i="22"/>
  <c r="BE66" i="22"/>
  <c r="BG66" i="22" s="1"/>
  <c r="AP148" i="22"/>
  <c r="AP149" i="22"/>
  <c r="AK59" i="22"/>
  <c r="AX128" i="22"/>
  <c r="AY128" i="22" s="1"/>
  <c r="AZ128" i="22" s="1"/>
  <c r="AP128" i="22"/>
  <c r="AJ123" i="22"/>
  <c r="X123" i="22" s="1"/>
  <c r="AK30" i="22"/>
  <c r="AI30" i="22"/>
  <c r="M30" i="22"/>
  <c r="O30" i="22" s="1"/>
  <c r="BE30" i="22"/>
  <c r="BG30" i="22" s="1"/>
  <c r="AX137" i="22"/>
  <c r="AY137" i="22" s="1"/>
  <c r="AZ137" i="22" s="1"/>
  <c r="AS137" i="22"/>
  <c r="AJ137" i="22"/>
  <c r="X137" i="22" s="1"/>
  <c r="AP115" i="22"/>
  <c r="AP120" i="22"/>
  <c r="AS112" i="22"/>
  <c r="AX112" i="22"/>
  <c r="AY112" i="22" s="1"/>
  <c r="AZ112" i="22" s="1"/>
  <c r="AJ134" i="22"/>
  <c r="X134" i="22" s="1"/>
  <c r="AW72" i="22"/>
  <c r="AJ112" i="22"/>
  <c r="X112" i="22" s="1"/>
  <c r="AP123" i="22"/>
  <c r="AJ136" i="22"/>
  <c r="X136" i="22" s="1"/>
  <c r="AJ118" i="22"/>
  <c r="X118" i="22" s="1"/>
  <c r="AJ127" i="22"/>
  <c r="X127" i="22" s="1"/>
  <c r="M82" i="22"/>
  <c r="O82" i="22" s="1"/>
  <c r="W115" i="22"/>
  <c r="AJ115" i="22" s="1"/>
  <c r="X115" i="22" s="1"/>
  <c r="AB115" i="22"/>
  <c r="CJ80" i="22"/>
  <c r="AK82" i="22"/>
  <c r="W135" i="22"/>
  <c r="AJ135" i="22" s="1"/>
  <c r="X135" i="22" s="1"/>
  <c r="AB135" i="22"/>
  <c r="W128" i="22"/>
  <c r="AJ128" i="22" s="1"/>
  <c r="X128" i="22" s="1"/>
  <c r="AB128" i="22"/>
  <c r="AI82" i="22"/>
  <c r="AP127" i="22"/>
  <c r="AX146" i="22"/>
  <c r="AY146" i="22" s="1"/>
  <c r="AZ146" i="22" s="1"/>
  <c r="CJ63" i="22"/>
  <c r="CJ28" i="22"/>
  <c r="AX143" i="22"/>
  <c r="AY143" i="22" s="1"/>
  <c r="AZ143" i="22" s="1"/>
  <c r="AW78" i="22"/>
  <c r="AP143" i="22"/>
  <c r="AS115" i="22"/>
  <c r="AS146" i="22"/>
  <c r="AW65" i="22"/>
  <c r="AW39" i="22"/>
  <c r="AW61" i="22"/>
  <c r="CJ26" i="22"/>
  <c r="AW63" i="22"/>
  <c r="AW80" i="22"/>
  <c r="AW45" i="22"/>
  <c r="AW50" i="22"/>
  <c r="AW79" i="22"/>
  <c r="AW58" i="22"/>
  <c r="CJ88" i="22"/>
  <c r="AA75" i="22"/>
  <c r="AS127" i="22"/>
  <c r="AX127" i="22"/>
  <c r="AY127" i="22" s="1"/>
  <c r="AZ127" i="22" s="1"/>
  <c r="AW64" i="22"/>
  <c r="BD33" i="22"/>
  <c r="CM27" i="22"/>
  <c r="CO27" i="22"/>
  <c r="CF27" i="22"/>
  <c r="CE27" i="22"/>
  <c r="CC79" i="22"/>
  <c r="CD79" i="22"/>
  <c r="BD51" i="22"/>
  <c r="AP126" i="22"/>
  <c r="AX126" i="22"/>
  <c r="AY126" i="22" s="1"/>
  <c r="AZ126" i="22" s="1"/>
  <c r="AJ126" i="22"/>
  <c r="X126" i="22" s="1"/>
  <c r="AS126" i="22"/>
  <c r="BS43" i="22"/>
  <c r="AK43" i="22"/>
  <c r="BE43" i="22"/>
  <c r="M43" i="22"/>
  <c r="O43" i="22" s="1"/>
  <c r="AI43" i="22"/>
  <c r="AI57" i="22"/>
  <c r="BE57" i="22"/>
  <c r="M57" i="22"/>
  <c r="O57" i="22" s="1"/>
  <c r="AK57" i="22"/>
  <c r="AW86" i="22"/>
  <c r="CO63" i="22"/>
  <c r="CF63" i="22"/>
  <c r="CM63" i="22"/>
  <c r="CE63" i="22"/>
  <c r="AW48" i="22"/>
  <c r="AE83" i="22"/>
  <c r="Z83" i="22"/>
  <c r="AA83" i="22" s="1"/>
  <c r="CA83" i="22"/>
  <c r="BV83" i="22" s="1"/>
  <c r="BZ83" i="22"/>
  <c r="AD83" i="22"/>
  <c r="AJ111" i="22"/>
  <c r="X111" i="22" s="1"/>
  <c r="M84" i="22"/>
  <c r="O84" i="22" s="1"/>
  <c r="BE84" i="22"/>
  <c r="AK84" i="22"/>
  <c r="AI84" i="22"/>
  <c r="AW28" i="22"/>
  <c r="BS58" i="22"/>
  <c r="M58" i="22"/>
  <c r="AI58" i="22"/>
  <c r="BE58" i="22"/>
  <c r="AK58" i="22"/>
  <c r="AI74" i="22"/>
  <c r="BE74" i="22"/>
  <c r="M74" i="22"/>
  <c r="O74" i="22" s="1"/>
  <c r="AK74" i="22"/>
  <c r="CF79" i="22"/>
  <c r="CO79" i="22"/>
  <c r="CM79" i="22"/>
  <c r="CE79" i="22"/>
  <c r="M29" i="22"/>
  <c r="O29" i="22" s="1"/>
  <c r="BE29" i="22"/>
  <c r="AI29" i="22"/>
  <c r="AK29" i="22"/>
  <c r="BD88" i="22"/>
  <c r="BG31" i="22"/>
  <c r="BF31" i="22"/>
  <c r="AX122" i="22"/>
  <c r="AY122" i="22" s="1"/>
  <c r="AZ122" i="22" s="1"/>
  <c r="AP122" i="22"/>
  <c r="AJ122" i="22"/>
  <c r="X122" i="22" s="1"/>
  <c r="AS122" i="22"/>
  <c r="BG82" i="22"/>
  <c r="BF82" i="22"/>
  <c r="BD79" i="22"/>
  <c r="BQ88" i="22"/>
  <c r="BE88" i="22"/>
  <c r="M88" i="22"/>
  <c r="O88" i="22" s="1"/>
  <c r="W88" i="22" s="1"/>
  <c r="AI88" i="22"/>
  <c r="AK88" i="22"/>
  <c r="BD59" i="22"/>
  <c r="AH80" i="22"/>
  <c r="M38" i="22"/>
  <c r="O38" i="22" s="1"/>
  <c r="AK38" i="22"/>
  <c r="BE38" i="22"/>
  <c r="AI38" i="22"/>
  <c r="BR68" i="22"/>
  <c r="M68" i="22"/>
  <c r="O68" i="22" s="1"/>
  <c r="AI68" i="22"/>
  <c r="AK68" i="22"/>
  <c r="BE68" i="22"/>
  <c r="AS134" i="22"/>
  <c r="AL29" i="22"/>
  <c r="AW29" i="22" s="1"/>
  <c r="BD29" i="22"/>
  <c r="CF60" i="22"/>
  <c r="CE60" i="22"/>
  <c r="CO60" i="22"/>
  <c r="CM60" i="22"/>
  <c r="BE62" i="22"/>
  <c r="M62" i="22"/>
  <c r="AI62" i="22"/>
  <c r="AK62" i="22"/>
  <c r="CM76" i="22"/>
  <c r="CO76" i="22"/>
  <c r="CF76" i="22"/>
  <c r="CE76" i="22"/>
  <c r="AP113" i="22"/>
  <c r="AX113" i="22"/>
  <c r="AY113" i="22" s="1"/>
  <c r="AZ113" i="22" s="1"/>
  <c r="AS113" i="22"/>
  <c r="CD77" i="22"/>
  <c r="CC77" i="22"/>
  <c r="CC39" i="22"/>
  <c r="CD39" i="22"/>
  <c r="CM61" i="22"/>
  <c r="CO61" i="22"/>
  <c r="CE61" i="22"/>
  <c r="CF61" i="22"/>
  <c r="AJ121" i="22"/>
  <c r="X121" i="22" s="1"/>
  <c r="Y71" i="22"/>
  <c r="M71" i="22"/>
  <c r="O71" i="22" s="1"/>
  <c r="W71" i="22" s="1"/>
  <c r="AI71" i="22"/>
  <c r="AK71" i="22"/>
  <c r="BE71" i="22"/>
  <c r="BD37" i="22"/>
  <c r="AX111" i="22"/>
  <c r="AY111" i="22" s="1"/>
  <c r="AZ111" i="22" s="1"/>
  <c r="AS111" i="22"/>
  <c r="AW51" i="22"/>
  <c r="CA31" i="22"/>
  <c r="BV31" i="22" s="1"/>
  <c r="BZ31" i="22"/>
  <c r="Z31" i="22"/>
  <c r="AC31" i="22" s="1"/>
  <c r="Y41" i="22"/>
  <c r="M41" i="22"/>
  <c r="O41" i="22" s="1"/>
  <c r="BE41" i="22"/>
  <c r="AK41" i="22"/>
  <c r="AI41" i="22"/>
  <c r="Y51" i="22"/>
  <c r="M51" i="22"/>
  <c r="O51" i="22" s="1"/>
  <c r="W51" i="22" s="1"/>
  <c r="AK51" i="22"/>
  <c r="AI51" i="22"/>
  <c r="BE51" i="22"/>
  <c r="Z59" i="22"/>
  <c r="AA59" i="22" s="1"/>
  <c r="CA59" i="22"/>
  <c r="BV59" i="22" s="1"/>
  <c r="BZ59" i="22"/>
  <c r="CC80" i="22"/>
  <c r="CD80" i="22"/>
  <c r="AW31" i="22"/>
  <c r="CC75" i="22"/>
  <c r="CD75" i="22"/>
  <c r="AJ146" i="22"/>
  <c r="X146" i="22" s="1"/>
  <c r="AX134" i="22"/>
  <c r="AY134" i="22" s="1"/>
  <c r="AZ134" i="22" s="1"/>
  <c r="BF87" i="22"/>
  <c r="BG87" i="22"/>
  <c r="BD36" i="22"/>
  <c r="BS63" i="22"/>
  <c r="AI63" i="22"/>
  <c r="M63" i="22"/>
  <c r="AK63" i="22"/>
  <c r="BE63" i="22"/>
  <c r="AA63" i="22"/>
  <c r="AW87" i="22"/>
  <c r="BG72" i="22"/>
  <c r="BF72" i="22"/>
  <c r="CO28" i="22"/>
  <c r="CM28" i="22"/>
  <c r="CE28" i="22"/>
  <c r="CF28" i="22"/>
  <c r="BG70" i="22"/>
  <c r="BF70" i="22"/>
  <c r="BD28" i="22"/>
  <c r="CC45" i="22"/>
  <c r="CD45" i="22"/>
  <c r="CM75" i="22"/>
  <c r="CO75" i="22"/>
  <c r="CF75" i="22"/>
  <c r="CE75" i="22"/>
  <c r="CF58" i="22"/>
  <c r="CE58" i="22"/>
  <c r="CM58" i="22"/>
  <c r="CO58" i="22"/>
  <c r="AW62" i="22"/>
  <c r="AP134" i="22"/>
  <c r="AS120" i="22"/>
  <c r="AA65" i="22"/>
  <c r="Y50" i="22"/>
  <c r="AK50" i="22"/>
  <c r="AI50" i="22"/>
  <c r="M50" i="22"/>
  <c r="O50" i="22" s="1"/>
  <c r="W50" i="22" s="1"/>
  <c r="BE50" i="22"/>
  <c r="CD61" i="22"/>
  <c r="CC61" i="22"/>
  <c r="AW32" i="22"/>
  <c r="AW26" i="22"/>
  <c r="Y86" i="22"/>
  <c r="BE86" i="22"/>
  <c r="AI86" i="22"/>
  <c r="AK86" i="22"/>
  <c r="M86" i="22"/>
  <c r="O86" i="22" s="1"/>
  <c r="BD64" i="22"/>
  <c r="Y34" i="22"/>
  <c r="M34" i="22"/>
  <c r="O34" i="22" s="1"/>
  <c r="AI34" i="22"/>
  <c r="BE34" i="22"/>
  <c r="AK34" i="22"/>
  <c r="BD78" i="22"/>
  <c r="BD68" i="22"/>
  <c r="AA58" i="22"/>
  <c r="AW25" i="22"/>
  <c r="AJ120" i="22"/>
  <c r="X120" i="22" s="1"/>
  <c r="CO77" i="22"/>
  <c r="CE77" i="22"/>
  <c r="CM77" i="22"/>
  <c r="CF77" i="22"/>
  <c r="BF65" i="22"/>
  <c r="BG65" i="22"/>
  <c r="CF87" i="22"/>
  <c r="CO87" i="22"/>
  <c r="CM87" i="22"/>
  <c r="CE87" i="22"/>
  <c r="CJ27" i="22"/>
  <c r="BD38" i="22"/>
  <c r="CD28" i="22"/>
  <c r="CC28" i="22"/>
  <c r="AW34" i="22"/>
  <c r="BD67" i="22"/>
  <c r="CM26" i="22"/>
  <c r="CE26" i="22"/>
  <c r="CO26" i="22"/>
  <c r="CF26" i="22"/>
  <c r="BD66" i="22"/>
  <c r="AW60" i="22"/>
  <c r="BD43" i="22"/>
  <c r="AW59" i="22"/>
  <c r="AW75" i="22"/>
  <c r="CO80" i="22"/>
  <c r="CM80" i="22"/>
  <c r="CE80" i="22"/>
  <c r="CF80" i="22"/>
  <c r="CD78" i="22"/>
  <c r="CC78" i="22"/>
  <c r="AX120" i="22"/>
  <c r="AY120" i="22" s="1"/>
  <c r="AZ120" i="22" s="1"/>
  <c r="BS67" i="22"/>
  <c r="AI67" i="22"/>
  <c r="M67" i="22"/>
  <c r="AK67" i="22"/>
  <c r="BE67" i="22"/>
  <c r="BD46" i="22"/>
  <c r="BD39" i="22"/>
  <c r="AI76" i="22"/>
  <c r="AK76" i="22"/>
  <c r="BE76" i="22"/>
  <c r="M76" i="22"/>
  <c r="CM32" i="22"/>
  <c r="CO32" i="22"/>
  <c r="CF32" i="22"/>
  <c r="CE32" i="22"/>
  <c r="CJ60" i="22"/>
  <c r="BF39" i="22"/>
  <c r="BD26" i="22"/>
  <c r="Y44" i="22"/>
  <c r="M44" i="22"/>
  <c r="O44" i="22" s="1"/>
  <c r="BE44" i="22"/>
  <c r="AK44" i="22"/>
  <c r="AI44" i="22"/>
  <c r="AW27" i="22"/>
  <c r="BG60" i="22"/>
  <c r="BF60" i="22"/>
  <c r="BD48" i="22"/>
  <c r="Y47" i="22"/>
  <c r="M47" i="22"/>
  <c r="O47" i="22" s="1"/>
  <c r="W47" i="22" s="1"/>
  <c r="BE47" i="22"/>
  <c r="AI47" i="22"/>
  <c r="AK47" i="22"/>
  <c r="CD26" i="22"/>
  <c r="CC26" i="22"/>
  <c r="BD60" i="22"/>
  <c r="BF40" i="22"/>
  <c r="BD75" i="22"/>
  <c r="BD31" i="22"/>
  <c r="AI73" i="22"/>
  <c r="M73" i="22"/>
  <c r="BE73" i="22"/>
  <c r="AK73" i="22"/>
  <c r="CD62" i="22"/>
  <c r="CC62" i="22"/>
  <c r="CD63" i="22"/>
  <c r="CC63" i="22"/>
  <c r="CC87" i="22"/>
  <c r="CD87" i="22"/>
  <c r="BG46" i="22"/>
  <c r="BF46" i="22"/>
  <c r="BD35" i="22"/>
  <c r="BD47" i="22"/>
  <c r="BE69" i="22"/>
  <c r="M69" i="22"/>
  <c r="AK69" i="22"/>
  <c r="AI69" i="22"/>
  <c r="Z26" i="22"/>
  <c r="AH26" i="22" s="1"/>
  <c r="AK26" i="22"/>
  <c r="M26" i="22"/>
  <c r="O26" i="22" s="1"/>
  <c r="BE26" i="22"/>
  <c r="AI26" i="22"/>
  <c r="AJ138" i="22"/>
  <c r="X138" i="22" s="1"/>
  <c r="AP138" i="22"/>
  <c r="AX138" i="22"/>
  <c r="AY138" i="22" s="1"/>
  <c r="AZ138" i="22" s="1"/>
  <c r="AS138" i="22"/>
  <c r="AJ148" i="22"/>
  <c r="X148" i="22" s="1"/>
  <c r="CM45" i="22"/>
  <c r="CE45" i="22"/>
  <c r="CF45" i="22"/>
  <c r="CO45" i="22"/>
  <c r="CF78" i="22"/>
  <c r="CM78" i="22"/>
  <c r="CE78" i="22"/>
  <c r="CO78" i="22"/>
  <c r="CF25" i="22"/>
  <c r="CE25" i="22"/>
  <c r="CO25" i="22"/>
  <c r="CM25" i="22"/>
  <c r="CC32" i="22"/>
  <c r="CD32" i="22"/>
  <c r="CD49" i="22"/>
  <c r="CC49" i="22"/>
  <c r="BF45" i="22"/>
  <c r="BG45" i="22"/>
  <c r="CJ76" i="22"/>
  <c r="BD52" i="22"/>
  <c r="AX121" i="22"/>
  <c r="AY121" i="22" s="1"/>
  <c r="AZ121" i="22" s="1"/>
  <c r="AP121" i="22"/>
  <c r="AS121" i="22"/>
  <c r="J35" i="22"/>
  <c r="M35" i="22"/>
  <c r="O35" i="22" s="1"/>
  <c r="BE35" i="22"/>
  <c r="AK35" i="22"/>
  <c r="AI35" i="22"/>
  <c r="BD50" i="22"/>
  <c r="AW70" i="22"/>
  <c r="AX141" i="22"/>
  <c r="AY141" i="22" s="1"/>
  <c r="AZ141" i="22" s="1"/>
  <c r="AP141" i="22"/>
  <c r="AJ141" i="22"/>
  <c r="X141" i="22" s="1"/>
  <c r="AS141" i="22"/>
  <c r="BD25" i="22"/>
  <c r="BF32" i="22"/>
  <c r="BG32" i="22"/>
  <c r="CJ61" i="22"/>
  <c r="BQ37" i="22"/>
  <c r="BE37" i="22"/>
  <c r="AI37" i="22"/>
  <c r="M37" i="22"/>
  <c r="O37" i="22" s="1"/>
  <c r="AK37" i="22"/>
  <c r="BQ25" i="22"/>
  <c r="M25" i="22"/>
  <c r="O25" i="22" s="1"/>
  <c r="BE25" i="22"/>
  <c r="AK25" i="22"/>
  <c r="AI25" i="22"/>
  <c r="CD88" i="22"/>
  <c r="CC88" i="22"/>
  <c r="CJ62" i="22"/>
  <c r="CF62" i="22"/>
  <c r="CE62" i="22"/>
  <c r="CM62" i="22"/>
  <c r="CO62" i="22"/>
  <c r="M28" i="22"/>
  <c r="O28" i="22" s="1"/>
  <c r="AI28" i="22"/>
  <c r="BE28" i="22"/>
  <c r="AK28" i="22"/>
  <c r="CJ77" i="22"/>
  <c r="Y36" i="22"/>
  <c r="AK36" i="22"/>
  <c r="BE36" i="22"/>
  <c r="AI36" i="22"/>
  <c r="M36" i="22"/>
  <c r="O36" i="22" s="1"/>
  <c r="CJ39" i="22"/>
  <c r="CF39" i="22"/>
  <c r="CO39" i="22"/>
  <c r="CM39" i="22"/>
  <c r="CE39" i="22"/>
  <c r="CD60" i="22"/>
  <c r="CC60" i="22"/>
  <c r="CC70" i="22"/>
  <c r="CD70" i="22"/>
  <c r="BQ80" i="22"/>
  <c r="BE80" i="22"/>
  <c r="M80" i="22"/>
  <c r="O80" i="22" s="1"/>
  <c r="W80" i="22" s="1"/>
  <c r="AK80" i="22"/>
  <c r="AI80" i="22"/>
  <c r="AA80" i="22"/>
  <c r="CC64" i="22"/>
  <c r="CD64" i="22"/>
  <c r="AK56" i="22"/>
  <c r="BE56" i="22"/>
  <c r="M56" i="22"/>
  <c r="AI56" i="22"/>
  <c r="M33" i="22"/>
  <c r="O33" i="22" s="1"/>
  <c r="AI33" i="22"/>
  <c r="AK33" i="22"/>
  <c r="BE33" i="22"/>
  <c r="AP118" i="22"/>
  <c r="AX118" i="22"/>
  <c r="AY118" i="22" s="1"/>
  <c r="AZ118" i="22" s="1"/>
  <c r="AS118" i="22"/>
  <c r="BG49" i="22"/>
  <c r="BF49" i="22"/>
  <c r="AJ113" i="22"/>
  <c r="X113" i="22" s="1"/>
  <c r="CF88" i="22"/>
  <c r="CO88" i="22"/>
  <c r="CM88" i="22"/>
  <c r="CE88" i="22"/>
  <c r="CC25" i="22"/>
  <c r="CD25" i="22"/>
  <c r="BD30" i="22"/>
  <c r="CJ49" i="22"/>
  <c r="CE49" i="22"/>
  <c r="CM49" i="22"/>
  <c r="CF49" i="22"/>
  <c r="CO49" i="22"/>
  <c r="AW77" i="22"/>
  <c r="CD65" i="22"/>
  <c r="CC65" i="22"/>
  <c r="BD34" i="22"/>
  <c r="CD52" i="22"/>
  <c r="CC52" i="22"/>
  <c r="CD27" i="22"/>
  <c r="CC27" i="22"/>
  <c r="BG61" i="22"/>
  <c r="BF61" i="22"/>
  <c r="BD58" i="22"/>
  <c r="CJ25" i="22"/>
  <c r="CF70" i="22"/>
  <c r="CE70" i="22"/>
  <c r="CO70" i="22"/>
  <c r="CM70" i="22"/>
  <c r="AW52" i="22"/>
  <c r="AJ129" i="22"/>
  <c r="X129" i="22" s="1"/>
  <c r="AP129" i="22"/>
  <c r="AX129" i="22"/>
  <c r="AY129" i="22" s="1"/>
  <c r="AZ129" i="22" s="1"/>
  <c r="AW71" i="22"/>
  <c r="BD69" i="22"/>
  <c r="BD62" i="22"/>
  <c r="AW76" i="22"/>
  <c r="CF65" i="22"/>
  <c r="CE65" i="22"/>
  <c r="CO65" i="22"/>
  <c r="CM65" i="22"/>
  <c r="BS27" i="22"/>
  <c r="AK27" i="22"/>
  <c r="M27" i="22"/>
  <c r="O27" i="22" s="1"/>
  <c r="BE27" i="22"/>
  <c r="AI27" i="22"/>
  <c r="BZ46" i="22"/>
  <c r="CA46" i="22"/>
  <c r="BV46" i="22" s="1"/>
  <c r="Z46" i="22"/>
  <c r="AC46" i="22" s="1"/>
  <c r="BD27" i="22"/>
  <c r="AW47" i="22"/>
  <c r="CF52" i="22"/>
  <c r="CM52" i="22"/>
  <c r="CE52" i="22"/>
  <c r="CO52" i="22"/>
  <c r="Y48" i="22"/>
  <c r="BE48" i="22"/>
  <c r="AK48" i="22"/>
  <c r="M48" i="22"/>
  <c r="O48" i="22" s="1"/>
  <c r="W48" i="22" s="1"/>
  <c r="AI48" i="22"/>
  <c r="AJ149" i="22"/>
  <c r="X149" i="22" s="1"/>
  <c r="CE64" i="22"/>
  <c r="CF64" i="22"/>
  <c r="CM64" i="22"/>
  <c r="CO64" i="22"/>
  <c r="AP135" i="22"/>
  <c r="AX135" i="22"/>
  <c r="AY135" i="22" s="1"/>
  <c r="AZ135" i="22" s="1"/>
  <c r="AS135" i="22"/>
  <c r="AW46" i="22"/>
  <c r="AW88" i="22"/>
  <c r="CC58" i="22"/>
  <c r="CD58" i="22"/>
  <c r="CC76" i="22"/>
  <c r="CD76" i="22"/>
  <c r="BD57" i="22"/>
  <c r="Y85" i="22"/>
  <c r="AK85" i="22"/>
  <c r="M85" i="22"/>
  <c r="O85" i="22" s="1"/>
  <c r="BE85" i="22"/>
  <c r="AI85" i="22"/>
  <c r="AW49" i="22"/>
  <c r="CC200" i="22"/>
  <c r="BE18" i="22"/>
  <c r="BG18" i="22" s="1"/>
  <c r="AK18" i="22"/>
  <c r="BF320" i="22"/>
  <c r="Z18" i="22"/>
  <c r="AA18" i="22" s="1"/>
  <c r="BS18" i="22"/>
  <c r="AI18" i="22"/>
  <c r="M18" i="22"/>
  <c r="O18" i="22" s="1"/>
  <c r="W18" i="22" s="1"/>
  <c r="J18" i="22"/>
  <c r="BQ18" i="22"/>
  <c r="CQ204" i="22"/>
  <c r="CD18" i="22"/>
  <c r="CG18" i="22" s="1"/>
  <c r="CH18" i="22" s="1"/>
  <c r="CP18" i="22"/>
  <c r="CJ18" i="22"/>
  <c r="AK320" i="22"/>
  <c r="BR202" i="22"/>
  <c r="BR320" i="22"/>
  <c r="AL320" i="22"/>
  <c r="AW320" i="22" s="1"/>
  <c r="J320" i="22"/>
  <c r="BQ320" i="22"/>
  <c r="AI320" i="22"/>
  <c r="M320" i="22"/>
  <c r="O320" i="22" s="1"/>
  <c r="CP200" i="22"/>
  <c r="BE202" i="22"/>
  <c r="BG202" i="22" s="1"/>
  <c r="M202" i="22"/>
  <c r="O202" i="22" s="1"/>
  <c r="W202" i="22" s="1"/>
  <c r="Z202" i="22"/>
  <c r="AK202" i="22"/>
  <c r="BY109" i="22"/>
  <c r="CO109" i="22" s="1"/>
  <c r="CQ109" i="22" s="1"/>
  <c r="BS204" i="22"/>
  <c r="BZ109" i="22"/>
  <c r="CD109" i="22" s="1"/>
  <c r="CB109" i="22"/>
  <c r="CT183" i="22"/>
  <c r="O2491" i="19" s="1"/>
  <c r="O2493" i="19" s="1"/>
  <c r="I109" i="22"/>
  <c r="J109" i="22" s="1"/>
  <c r="Y320" i="22"/>
  <c r="AI334" i="22"/>
  <c r="BE334" i="22"/>
  <c r="J334" i="22"/>
  <c r="BE204" i="22"/>
  <c r="BG204" i="22" s="1"/>
  <c r="BR279" i="22"/>
  <c r="AK322" i="22"/>
  <c r="BR322" i="22"/>
  <c r="AB329" i="22"/>
  <c r="AB327" i="22"/>
  <c r="CD279" i="22"/>
  <c r="CG279" i="22" s="1"/>
  <c r="CH279" i="22" s="1"/>
  <c r="BS322" i="22"/>
  <c r="M322" i="22"/>
  <c r="O322" i="22" s="1"/>
  <c r="W322" i="22" s="1"/>
  <c r="AI322" i="22"/>
  <c r="Z322" i="22"/>
  <c r="AH322" i="22" s="1"/>
  <c r="AI290" i="22"/>
  <c r="J307" i="22"/>
  <c r="J304" i="22"/>
  <c r="AL307" i="22"/>
  <c r="AW307" i="22" s="1"/>
  <c r="AL290" i="22"/>
  <c r="AW290" i="22" s="1"/>
  <c r="J305" i="22"/>
  <c r="BE267" i="22"/>
  <c r="BF267" i="22" s="1"/>
  <c r="CP279" i="22"/>
  <c r="AL304" i="22"/>
  <c r="AL305" i="22"/>
  <c r="AW305" i="22" s="1"/>
  <c r="AL300" i="22"/>
  <c r="AW300" i="22" s="1"/>
  <c r="J300" i="22"/>
  <c r="CQ306" i="22"/>
  <c r="J290" i="22"/>
  <c r="BS267" i="22"/>
  <c r="BR267" i="22"/>
  <c r="Z267" i="22"/>
  <c r="AA267" i="22" s="1"/>
  <c r="CP260" i="22"/>
  <c r="CQ290" i="22"/>
  <c r="Y300" i="22"/>
  <c r="Z300" i="22" s="1"/>
  <c r="AA300" i="22" s="1"/>
  <c r="AL292" i="22"/>
  <c r="J296" i="22"/>
  <c r="AL296" i="22"/>
  <c r="AW296" i="22" s="1"/>
  <c r="J292" i="22"/>
  <c r="Y296" i="22"/>
  <c r="Z296" i="22" s="1"/>
  <c r="AH296" i="22" s="1"/>
  <c r="BS290" i="22"/>
  <c r="BQ290" i="22"/>
  <c r="AB292" i="22"/>
  <c r="BE279" i="22"/>
  <c r="BG279" i="22" s="1"/>
  <c r="J286" i="22"/>
  <c r="CJ279" i="22"/>
  <c r="BR286" i="22"/>
  <c r="BE286" i="22"/>
  <c r="BF286" i="22" s="1"/>
  <c r="BR290" i="22"/>
  <c r="BQ267" i="22"/>
  <c r="AK267" i="22"/>
  <c r="BE290" i="22"/>
  <c r="BG290" i="22" s="1"/>
  <c r="CJ290" i="22"/>
  <c r="CJ306" i="22"/>
  <c r="AI267" i="22"/>
  <c r="M290" i="22"/>
  <c r="O290" i="22" s="1"/>
  <c r="W290" i="22" s="1"/>
  <c r="CC287" i="22"/>
  <c r="CG287" i="22" s="1"/>
  <c r="CH287" i="22" s="1"/>
  <c r="AI279" i="22"/>
  <c r="Z279" i="22"/>
  <c r="AA279" i="22" s="1"/>
  <c r="BS279" i="22"/>
  <c r="CP267" i="22"/>
  <c r="BS286" i="22"/>
  <c r="AK279" i="22"/>
  <c r="CJ286" i="22"/>
  <c r="CJ267" i="22"/>
  <c r="AL276" i="22"/>
  <c r="M279" i="22"/>
  <c r="O279" i="22" s="1"/>
  <c r="W279" i="22" s="1"/>
  <c r="BS298" i="22"/>
  <c r="J276" i="22"/>
  <c r="CQ334" i="22"/>
  <c r="BE298" i="22"/>
  <c r="BG298" i="22" s="1"/>
  <c r="AL286" i="22"/>
  <c r="BQ286" i="22"/>
  <c r="Z325" i="22"/>
  <c r="AA325" i="22" s="1"/>
  <c r="BQ272" i="22"/>
  <c r="CP285" i="22"/>
  <c r="Z290" i="22"/>
  <c r="AA290" i="22" s="1"/>
  <c r="AK292" i="22"/>
  <c r="Z272" i="22"/>
  <c r="AA272" i="22" s="1"/>
  <c r="J278" i="22"/>
  <c r="CP325" i="22"/>
  <c r="BR272" i="22"/>
  <c r="J272" i="22"/>
  <c r="AI292" i="22"/>
  <c r="BQ292" i="22"/>
  <c r="BR292" i="22"/>
  <c r="AI325" i="22"/>
  <c r="CJ285" i="22"/>
  <c r="J268" i="22"/>
  <c r="CJ325" i="22"/>
  <c r="BS325" i="22"/>
  <c r="AL278" i="22"/>
  <c r="CJ200" i="22"/>
  <c r="BQ334" i="22"/>
  <c r="Z260" i="22"/>
  <c r="AA260" i="22" s="1"/>
  <c r="Z306" i="22"/>
  <c r="AH306" i="22" s="1"/>
  <c r="Z334" i="22"/>
  <c r="AK306" i="22"/>
  <c r="AL273" i="22"/>
  <c r="AW273" i="22" s="1"/>
  <c r="AI260" i="22"/>
  <c r="AK287" i="22"/>
  <c r="J273" i="22"/>
  <c r="BS334" i="22"/>
  <c r="M334" i="22"/>
  <c r="O334" i="22" s="1"/>
  <c r="W334" i="22" s="1"/>
  <c r="AL272" i="22"/>
  <c r="AW272" i="22" s="1"/>
  <c r="Z292" i="22"/>
  <c r="AH292" i="22" s="1"/>
  <c r="BE292" i="22"/>
  <c r="BF292" i="22" s="1"/>
  <c r="BQ261" i="22"/>
  <c r="AK261" i="22"/>
  <c r="BS287" i="22"/>
  <c r="M306" i="22"/>
  <c r="O306" i="22" s="1"/>
  <c r="W306" i="22" s="1"/>
  <c r="BS292" i="22"/>
  <c r="BE272" i="22"/>
  <c r="BF272" i="22" s="1"/>
  <c r="AK325" i="22"/>
  <c r="BQ260" i="22"/>
  <c r="BS260" i="22"/>
  <c r="BR306" i="22"/>
  <c r="BE260" i="22"/>
  <c r="BF260" i="22" s="1"/>
  <c r="AK260" i="22"/>
  <c r="BQ325" i="22"/>
  <c r="BR334" i="22"/>
  <c r="AK334" i="22"/>
  <c r="M295" i="22"/>
  <c r="O295" i="22" s="1"/>
  <c r="W295" i="22" s="1"/>
  <c r="BE306" i="22"/>
  <c r="BF306" i="22" s="1"/>
  <c r="BR260" i="22"/>
  <c r="CJ292" i="22"/>
  <c r="AI306" i="22"/>
  <c r="BR309" i="22"/>
  <c r="M325" i="22"/>
  <c r="O325" i="22" s="1"/>
  <c r="W325" i="22" s="1"/>
  <c r="AL268" i="22"/>
  <c r="BR268" i="22"/>
  <c r="BQ306" i="22"/>
  <c r="BE309" i="22"/>
  <c r="BF309" i="22" s="1"/>
  <c r="BE268" i="22"/>
  <c r="BF268" i="22" s="1"/>
  <c r="CE200" i="22"/>
  <c r="CP292" i="22"/>
  <c r="CC276" i="22"/>
  <c r="CG276" i="22" s="1"/>
  <c r="CH276" i="22" s="1"/>
  <c r="CD200" i="22"/>
  <c r="CP327" i="22"/>
  <c r="BQ327" i="22"/>
  <c r="M286" i="22"/>
  <c r="O286" i="22" s="1"/>
  <c r="CP261" i="22"/>
  <c r="AN109" i="22"/>
  <c r="AN183" i="22" s="1"/>
  <c r="AX178" i="20"/>
  <c r="AR73" i="20"/>
  <c r="W73" i="20" s="1"/>
  <c r="BF48" i="20"/>
  <c r="BA21" i="20"/>
  <c r="CM91" i="20"/>
  <c r="BF31" i="20"/>
  <c r="BG31" i="20" s="1"/>
  <c r="BH31" i="20" s="1"/>
  <c r="BA24" i="20"/>
  <c r="BU91" i="20"/>
  <c r="AR150" i="20"/>
  <c r="W150" i="20" s="1"/>
  <c r="BU194" i="20"/>
  <c r="O794" i="19"/>
  <c r="O802" i="19" s="1"/>
  <c r="M802" i="19" s="1"/>
  <c r="AR8" i="20"/>
  <c r="W8" i="20" s="1"/>
  <c r="BY194" i="20"/>
  <c r="CG91" i="20"/>
  <c r="CG93" i="20" s="1"/>
  <c r="E2204" i="19" s="1"/>
  <c r="E2206" i="19" s="1"/>
  <c r="D2203" i="19" s="1"/>
  <c r="H28" i="4" s="1"/>
  <c r="CC91" i="20"/>
  <c r="E2245" i="19" s="1"/>
  <c r="BY91" i="20"/>
  <c r="E2233" i="19" s="1"/>
  <c r="BA73" i="20"/>
  <c r="AX31" i="20"/>
  <c r="BA72" i="20"/>
  <c r="BF186" i="20"/>
  <c r="BF21" i="20"/>
  <c r="AR21" i="20"/>
  <c r="W21" i="20" s="1"/>
  <c r="AX168" i="20"/>
  <c r="BV91" i="20"/>
  <c r="E2225" i="19" s="1"/>
  <c r="E2227" i="19" s="1"/>
  <c r="D2224" i="19" s="1"/>
  <c r="H818" i="4" s="1"/>
  <c r="AR48" i="20"/>
  <c r="W48" i="20" s="1"/>
  <c r="CD91" i="20"/>
  <c r="E2249" i="19" s="1"/>
  <c r="E2251" i="19" s="1"/>
  <c r="D2248" i="19" s="1"/>
  <c r="H809" i="4" s="1"/>
  <c r="BZ91" i="20"/>
  <c r="E2237" i="19" s="1"/>
  <c r="E2239" i="19" s="1"/>
  <c r="D2236" i="19" s="1"/>
  <c r="H821" i="4" s="1"/>
  <c r="AX61" i="20"/>
  <c r="AR31" i="20"/>
  <c r="W31" i="20" s="1"/>
  <c r="CE91" i="20"/>
  <c r="CA91" i="20"/>
  <c r="D3220" i="19"/>
  <c r="H637" i="4" s="1"/>
  <c r="BA31" i="20"/>
  <c r="BF169" i="20"/>
  <c r="AR13" i="20"/>
  <c r="W13" i="20" s="1"/>
  <c r="BF179" i="20"/>
  <c r="BG179" i="20" s="1"/>
  <c r="BI179" i="20" s="1"/>
  <c r="AR12" i="20"/>
  <c r="W12" i="20" s="1"/>
  <c r="BA61" i="20"/>
  <c r="AX162" i="20"/>
  <c r="AX21" i="20"/>
  <c r="CK93" i="20"/>
  <c r="E2208" i="19" s="1"/>
  <c r="E2210" i="19" s="1"/>
  <c r="D2207" i="19" s="1"/>
  <c r="H33" i="4" s="1"/>
  <c r="BF152" i="20"/>
  <c r="BA15" i="20"/>
  <c r="BA49" i="20"/>
  <c r="BF184" i="20"/>
  <c r="BG184" i="20" s="1"/>
  <c r="BI184" i="20" s="1"/>
  <c r="BF158" i="20"/>
  <c r="BG158" i="20" s="1"/>
  <c r="BI158" i="20" s="1"/>
  <c r="BF43" i="20"/>
  <c r="BF73" i="20"/>
  <c r="BG73" i="20" s="1"/>
  <c r="BI73" i="20" s="1"/>
  <c r="AR46" i="20"/>
  <c r="AX72" i="20"/>
  <c r="BF178" i="20"/>
  <c r="BG178" i="20" s="1"/>
  <c r="BI178" i="20" s="1"/>
  <c r="AX13" i="20"/>
  <c r="BF8" i="20"/>
  <c r="BG8" i="20" s="1"/>
  <c r="BI8" i="20" s="1"/>
  <c r="AX48" i="20"/>
  <c r="AR22" i="20"/>
  <c r="W22" i="20" s="1"/>
  <c r="BF147" i="20"/>
  <c r="BG147" i="20" s="1"/>
  <c r="BH147" i="20" s="1"/>
  <c r="BA162" i="20"/>
  <c r="BA178" i="20"/>
  <c r="AX12" i="20"/>
  <c r="BA157" i="20"/>
  <c r="BO93" i="20"/>
  <c r="AX8" i="20"/>
  <c r="AX157" i="20"/>
  <c r="AR169" i="20"/>
  <c r="W169" i="20" s="1"/>
  <c r="BF72" i="20"/>
  <c r="BA186" i="20"/>
  <c r="AR157" i="20"/>
  <c r="W157" i="20" s="1"/>
  <c r="AX109" i="20"/>
  <c r="BA8" i="20"/>
  <c r="BA12" i="20"/>
  <c r="BA179" i="20"/>
  <c r="BR93" i="20"/>
  <c r="E874" i="19"/>
  <c r="D871" i="19" s="1"/>
  <c r="E821" i="19"/>
  <c r="D818" i="19" s="1"/>
  <c r="H27" i="4" s="1"/>
  <c r="AD33" i="20"/>
  <c r="O596" i="19" s="1"/>
  <c r="O598" i="19" s="1"/>
  <c r="D594" i="19" s="1"/>
  <c r="H361" i="4" s="1"/>
  <c r="AD120" i="20"/>
  <c r="O3119" i="19" s="1"/>
  <c r="O3121" i="19" s="1"/>
  <c r="D3117" i="19" s="1"/>
  <c r="H364" i="4" s="1"/>
  <c r="AR183" i="20"/>
  <c r="W183" i="20" s="1"/>
  <c r="BF162" i="20"/>
  <c r="AX184" i="20"/>
  <c r="BA17" i="20"/>
  <c r="BA14" i="20"/>
  <c r="AD192" i="20"/>
  <c r="O4282" i="19" s="1"/>
  <c r="O4284" i="19" s="1"/>
  <c r="D4280" i="19" s="1"/>
  <c r="H365" i="4" s="1"/>
  <c r="AR61" i="20"/>
  <c r="W61" i="20" s="1"/>
  <c r="AR85" i="20"/>
  <c r="W85" i="20" s="1"/>
  <c r="CH194" i="20"/>
  <c r="E4569" i="19" s="1"/>
  <c r="E4571" i="19" s="1"/>
  <c r="D4568" i="19" s="1"/>
  <c r="H813" i="4" s="1"/>
  <c r="BF24" i="20"/>
  <c r="BG24" i="20" s="1"/>
  <c r="BI24" i="20" s="1"/>
  <c r="CM194" i="20"/>
  <c r="AX150" i="20"/>
  <c r="BA169" i="20"/>
  <c r="BF61" i="20"/>
  <c r="AI204" i="22"/>
  <c r="AK204" i="22"/>
  <c r="BR204" i="22"/>
  <c r="BQ204" i="22"/>
  <c r="Z204" i="22"/>
  <c r="AA204" i="22" s="1"/>
  <c r="N2635" i="19"/>
  <c r="Z285" i="22"/>
  <c r="AA285" i="22" s="1"/>
  <c r="AI286" i="22"/>
  <c r="CQ286" i="22"/>
  <c r="BE285" i="22"/>
  <c r="BG285" i="22" s="1"/>
  <c r="Z286" i="22"/>
  <c r="AA286" i="22" s="1"/>
  <c r="V109" i="22"/>
  <c r="AV109" i="22"/>
  <c r="AV183" i="22" s="1"/>
  <c r="O2394" i="19" s="1"/>
  <c r="O2396" i="19" s="1"/>
  <c r="CJ260" i="22"/>
  <c r="AM109" i="22"/>
  <c r="AM183" i="22" s="1"/>
  <c r="AT109" i="22"/>
  <c r="AU109" i="22" s="1"/>
  <c r="CD290" i="22"/>
  <c r="CG290" i="22" s="1"/>
  <c r="CH290" i="22" s="1"/>
  <c r="CJ262" i="22"/>
  <c r="CC329" i="22"/>
  <c r="CC286" i="22"/>
  <c r="CG286" i="22" s="1"/>
  <c r="CH286" i="22" s="1"/>
  <c r="AI296" i="22"/>
  <c r="BQ296" i="22"/>
  <c r="BE293" i="22"/>
  <c r="BG293" i="22" s="1"/>
  <c r="BS284" i="22"/>
  <c r="M284" i="22"/>
  <c r="O284" i="22" s="1"/>
  <c r="W284" i="22" s="1"/>
  <c r="BS23" i="22"/>
  <c r="BQ326" i="22"/>
  <c r="BE284" i="22"/>
  <c r="BG284" i="22" s="1"/>
  <c r="BS293" i="22"/>
  <c r="CJ329" i="22"/>
  <c r="BR333" i="22"/>
  <c r="Z316" i="22"/>
  <c r="AA316" i="22" s="1"/>
  <c r="AI284" i="22"/>
  <c r="BQ284" i="22"/>
  <c r="CP329" i="22"/>
  <c r="CQ287" i="22"/>
  <c r="CD262" i="22"/>
  <c r="CG262" i="22" s="1"/>
  <c r="CH262" i="22" s="1"/>
  <c r="AK284" i="22"/>
  <c r="CJ332" i="22"/>
  <c r="BQ294" i="22"/>
  <c r="BS294" i="22"/>
  <c r="BS285" i="22"/>
  <c r="BR327" i="22"/>
  <c r="BR331" i="22"/>
  <c r="M298" i="22"/>
  <c r="O298" i="22" s="1"/>
  <c r="W298" i="22" s="1"/>
  <c r="AI285" i="22"/>
  <c r="BQ285" i="22"/>
  <c r="BQ298" i="22"/>
  <c r="AI298" i="22"/>
  <c r="AK285" i="22"/>
  <c r="BR285" i="22"/>
  <c r="CJ297" i="22"/>
  <c r="AK23" i="22"/>
  <c r="BR298" i="22"/>
  <c r="Z327" i="22"/>
  <c r="AA327" i="22" s="1"/>
  <c r="AK332" i="22"/>
  <c r="BF332" i="22"/>
  <c r="AI287" i="22"/>
  <c r="BS295" i="22"/>
  <c r="BR295" i="22"/>
  <c r="Z276" i="22"/>
  <c r="AA276" i="22" s="1"/>
  <c r="AK295" i="22"/>
  <c r="BQ287" i="22"/>
  <c r="CJ261" i="22"/>
  <c r="AK276" i="22"/>
  <c r="Z295" i="22"/>
  <c r="AA295" i="22" s="1"/>
  <c r="BE295" i="22"/>
  <c r="BF295" i="22" s="1"/>
  <c r="BS276" i="22"/>
  <c r="Z287" i="22"/>
  <c r="AA287" i="22" s="1"/>
  <c r="BQ295" i="22"/>
  <c r="BE276" i="22"/>
  <c r="BF276" i="22" s="1"/>
  <c r="CJ327" i="22"/>
  <c r="CQ262" i="22"/>
  <c r="CJ268" i="22"/>
  <c r="BR332" i="22"/>
  <c r="CJ272" i="22"/>
  <c r="CG334" i="22"/>
  <c r="CH334" i="22" s="1"/>
  <c r="BQ300" i="22"/>
  <c r="M23" i="22"/>
  <c r="O23" i="22" s="1"/>
  <c r="W23" i="22" s="1"/>
  <c r="BQ301" i="22"/>
  <c r="AI327" i="22"/>
  <c r="M332" i="22"/>
  <c r="O332" i="22" s="1"/>
  <c r="BS332" i="22"/>
  <c r="CJ334" i="22"/>
  <c r="AK327" i="22"/>
  <c r="AI332" i="22"/>
  <c r="BQ23" i="22"/>
  <c r="J23" i="22"/>
  <c r="J332" i="22"/>
  <c r="CP272" i="22"/>
  <c r="CQ268" i="22"/>
  <c r="CC268" i="22"/>
  <c r="CG268" i="22" s="1"/>
  <c r="CH268" i="22" s="1"/>
  <c r="AK301" i="22"/>
  <c r="BE23" i="22"/>
  <c r="BF23" i="22" s="1"/>
  <c r="BS327" i="22"/>
  <c r="BE301" i="22"/>
  <c r="BG301" i="22" s="1"/>
  <c r="AI23" i="22"/>
  <c r="Z332" i="22"/>
  <c r="BR23" i="22"/>
  <c r="AL23" i="22"/>
  <c r="AW23" i="22" s="1"/>
  <c r="BQ332" i="22"/>
  <c r="AL332" i="22"/>
  <c r="AW332" i="22" s="1"/>
  <c r="BD331" i="22"/>
  <c r="AK296" i="22"/>
  <c r="BQ262" i="22"/>
  <c r="BR296" i="22"/>
  <c r="BQ316" i="22"/>
  <c r="M316" i="22"/>
  <c r="O316" i="22" s="1"/>
  <c r="W316" i="22" s="1"/>
  <c r="AK272" i="22"/>
  <c r="BS309" i="22"/>
  <c r="BQ309" i="22"/>
  <c r="BQ268" i="22"/>
  <c r="BS268" i="22"/>
  <c r="AI309" i="22"/>
  <c r="AI268" i="22"/>
  <c r="M296" i="22"/>
  <c r="O296" i="22" s="1"/>
  <c r="W296" i="22" s="1"/>
  <c r="BS272" i="22"/>
  <c r="BS296" i="22"/>
  <c r="BS316" i="22"/>
  <c r="AI316" i="22"/>
  <c r="M272" i="22"/>
  <c r="O272" i="22" s="1"/>
  <c r="W272" i="22" s="1"/>
  <c r="M309" i="22"/>
  <c r="O309" i="22" s="1"/>
  <c r="W309" i="22" s="1"/>
  <c r="Z268" i="22"/>
  <c r="AA268" i="22" s="1"/>
  <c r="M268" i="22"/>
  <c r="O268" i="22" s="1"/>
  <c r="W268" i="22" s="1"/>
  <c r="CJ295" i="22"/>
  <c r="BR316" i="22"/>
  <c r="BD334" i="22"/>
  <c r="BS261" i="22"/>
  <c r="Z261" i="22"/>
  <c r="AA261" i="22" s="1"/>
  <c r="AI261" i="22"/>
  <c r="BQ333" i="22"/>
  <c r="AK293" i="22"/>
  <c r="M333" i="22"/>
  <c r="O333" i="22" s="1"/>
  <c r="AB333" i="22" s="1"/>
  <c r="CJ322" i="22"/>
  <c r="BE261" i="22"/>
  <c r="BF261" i="22" s="1"/>
  <c r="AI273" i="22"/>
  <c r="BS333" i="22"/>
  <c r="AI293" i="22"/>
  <c r="AI333" i="22"/>
  <c r="CQ332" i="22"/>
  <c r="CJ287" i="22"/>
  <c r="CC270" i="22"/>
  <c r="CG270" i="22" s="1"/>
  <c r="CH270" i="22" s="1"/>
  <c r="BR261" i="22"/>
  <c r="M293" i="22"/>
  <c r="O293" i="22" s="1"/>
  <c r="W293" i="22" s="1"/>
  <c r="BQ293" i="22"/>
  <c r="BE287" i="22"/>
  <c r="BG287" i="22" s="1"/>
  <c r="BR294" i="22"/>
  <c r="M276" i="22"/>
  <c r="O276" i="22" s="1"/>
  <c r="W276" i="22" s="1"/>
  <c r="BQ276" i="22"/>
  <c r="BR287" i="22"/>
  <c r="AI276" i="22"/>
  <c r="CP303" i="22"/>
  <c r="J331" i="22"/>
  <c r="BQ331" i="22"/>
  <c r="CJ303" i="22"/>
  <c r="AL326" i="22"/>
  <c r="J326" i="22"/>
  <c r="BF326" i="22"/>
  <c r="BR326" i="22"/>
  <c r="BS326" i="22"/>
  <c r="CR246" i="22"/>
  <c r="O3064" i="19" s="1"/>
  <c r="O3070" i="19" s="1"/>
  <c r="CC204" i="22"/>
  <c r="CG204" i="22" s="1"/>
  <c r="CH204" i="22" s="1"/>
  <c r="BQ273" i="22"/>
  <c r="BE273" i="22"/>
  <c r="BG273" i="22" s="1"/>
  <c r="M273" i="22"/>
  <c r="O273" i="22" s="1"/>
  <c r="W273" i="22" s="1"/>
  <c r="BR273" i="22"/>
  <c r="AK273" i="22"/>
  <c r="BD329" i="22"/>
  <c r="CG292" i="22"/>
  <c r="CH292" i="22" s="1"/>
  <c r="BR17" i="22"/>
  <c r="BS273" i="22"/>
  <c r="CA23" i="22"/>
  <c r="BD316" i="22"/>
  <c r="CJ316" i="22"/>
  <c r="CP316" i="22"/>
  <c r="BR278" i="22"/>
  <c r="M301" i="22"/>
  <c r="O301" i="22" s="1"/>
  <c r="W301" i="22" s="1"/>
  <c r="AI301" i="22"/>
  <c r="BR301" i="22"/>
  <c r="CQ273" i="22"/>
  <c r="BQ299" i="22"/>
  <c r="BS310" i="22"/>
  <c r="BR300" i="22"/>
  <c r="AK300" i="22"/>
  <c r="BS300" i="22"/>
  <c r="M300" i="22"/>
  <c r="O300" i="22" s="1"/>
  <c r="BE300" i="22"/>
  <c r="BF300" i="22" s="1"/>
  <c r="CG273" i="22"/>
  <c r="CH273" i="22" s="1"/>
  <c r="CJ273" i="22"/>
  <c r="W204" i="22"/>
  <c r="AB204" i="22"/>
  <c r="J203" i="22"/>
  <c r="AL203" i="22"/>
  <c r="AW203" i="22" s="1"/>
  <c r="CJ326" i="22"/>
  <c r="Z303" i="22"/>
  <c r="AA303" i="22" s="1"/>
  <c r="BE303" i="22"/>
  <c r="BF303" i="22" s="1"/>
  <c r="BQ318" i="22"/>
  <c r="AK303" i="22"/>
  <c r="CJ17" i="22"/>
  <c r="AI303" i="22"/>
  <c r="BS303" i="22"/>
  <c r="AL331" i="22"/>
  <c r="AW331" i="22" s="1"/>
  <c r="M303" i="22"/>
  <c r="O303" i="22" s="1"/>
  <c r="W303" i="22" s="1"/>
  <c r="Z262" i="22"/>
  <c r="AA262" i="22" s="1"/>
  <c r="BR262" i="22"/>
  <c r="AI262" i="22"/>
  <c r="M262" i="22"/>
  <c r="O262" i="22" s="1"/>
  <c r="W262" i="22" s="1"/>
  <c r="AK262" i="22"/>
  <c r="CP17" i="22"/>
  <c r="BD330" i="22"/>
  <c r="BE262" i="22"/>
  <c r="BF262" i="22" s="1"/>
  <c r="BQ303" i="22"/>
  <c r="BS331" i="22"/>
  <c r="BR308" i="22"/>
  <c r="BQ330" i="22"/>
  <c r="BS330" i="22"/>
  <c r="J330" i="22"/>
  <c r="AL330" i="22"/>
  <c r="AW330" i="22" s="1"/>
  <c r="BR269" i="22"/>
  <c r="J310" i="22"/>
  <c r="BQ310" i="22"/>
  <c r="BS269" i="22"/>
  <c r="AL310" i="22"/>
  <c r="AW310" i="22" s="1"/>
  <c r="BD323" i="22"/>
  <c r="CJ266" i="22"/>
  <c r="BR15" i="22"/>
  <c r="BE15" i="22"/>
  <c r="BG15" i="22" s="1"/>
  <c r="J15" i="22"/>
  <c r="AI15" i="22"/>
  <c r="BS15" i="22"/>
  <c r="AL15" i="22"/>
  <c r="AK15" i="22"/>
  <c r="M15" i="22"/>
  <c r="O15" i="22" s="1"/>
  <c r="AB15" i="22" s="1"/>
  <c r="Z15" i="22"/>
  <c r="AA15" i="22" s="1"/>
  <c r="BS17" i="22"/>
  <c r="Z17" i="22"/>
  <c r="AA17" i="22" s="1"/>
  <c r="BE17" i="22"/>
  <c r="BG17" i="22" s="1"/>
  <c r="J17" i="22"/>
  <c r="AI17" i="22"/>
  <c r="AL17" i="22"/>
  <c r="AK17" i="22"/>
  <c r="M17" i="22"/>
  <c r="O17" i="22" s="1"/>
  <c r="AB17" i="22" s="1"/>
  <c r="CP276" i="22"/>
  <c r="BR270" i="22"/>
  <c r="CJ276" i="22"/>
  <c r="Z270" i="22"/>
  <c r="AA270" i="22" s="1"/>
  <c r="BQ270" i="22"/>
  <c r="BE270" i="22"/>
  <c r="BG270" i="22" s="1"/>
  <c r="BS270" i="22"/>
  <c r="AI270" i="22"/>
  <c r="AK270" i="22"/>
  <c r="CP15" i="22"/>
  <c r="CJ15" i="22"/>
  <c r="BQ312" i="22"/>
  <c r="BS312" i="22"/>
  <c r="BQ283" i="22"/>
  <c r="CP270" i="22"/>
  <c r="BR312" i="22"/>
  <c r="CJ270" i="22"/>
  <c r="Z13" i="22"/>
  <c r="AG13" i="22" s="1"/>
  <c r="BS13" i="22"/>
  <c r="Y24" i="22"/>
  <c r="BZ24" i="22" s="1"/>
  <c r="BQ24" i="22"/>
  <c r="BE24" i="22"/>
  <c r="BG24" i="22" s="1"/>
  <c r="CQ19" i="22"/>
  <c r="BR24" i="22"/>
  <c r="AI24" i="22"/>
  <c r="BS24" i="22"/>
  <c r="AK24" i="22"/>
  <c r="M24" i="22"/>
  <c r="O24" i="22" s="1"/>
  <c r="AB24" i="22" s="1"/>
  <c r="J24" i="22"/>
  <c r="BS305" i="22"/>
  <c r="BS277" i="22"/>
  <c r="CJ304" i="22"/>
  <c r="CJ281" i="22"/>
  <c r="CJ310" i="22"/>
  <c r="BQ277" i="22"/>
  <c r="BR305" i="22"/>
  <c r="BR318" i="22"/>
  <c r="Z318" i="22"/>
  <c r="AH318" i="22" s="1"/>
  <c r="CJ289" i="22"/>
  <c r="CJ269" i="22"/>
  <c r="Z299" i="22"/>
  <c r="AE299" i="22" s="1"/>
  <c r="BD321" i="22"/>
  <c r="BR299" i="22"/>
  <c r="CG306" i="22"/>
  <c r="CH306" i="22" s="1"/>
  <c r="CG285" i="22"/>
  <c r="CH285" i="22" s="1"/>
  <c r="CP12" i="22"/>
  <c r="CJ12" i="22"/>
  <c r="M13" i="22"/>
  <c r="O13" i="22" s="1"/>
  <c r="W13" i="22" s="1"/>
  <c r="BE13" i="22"/>
  <c r="BG13" i="22" s="1"/>
  <c r="J13" i="22"/>
  <c r="AI13" i="22"/>
  <c r="AL13" i="22"/>
  <c r="AK13" i="22"/>
  <c r="AK12" i="22"/>
  <c r="BQ13" i="22"/>
  <c r="CC12" i="22"/>
  <c r="CG12" i="22" s="1"/>
  <c r="CH12" i="22" s="1"/>
  <c r="BQ22" i="22"/>
  <c r="BR22" i="22"/>
  <c r="BS22" i="22"/>
  <c r="J22" i="22"/>
  <c r="BR7" i="22"/>
  <c r="BR330" i="22"/>
  <c r="BQ304" i="22"/>
  <c r="BQ281" i="22"/>
  <c r="BS304" i="22"/>
  <c r="BS281" i="22"/>
  <c r="BS289" i="22"/>
  <c r="BF330" i="22"/>
  <c r="CJ13" i="22"/>
  <c r="AD297" i="22"/>
  <c r="BR289" i="22"/>
  <c r="BS14" i="22"/>
  <c r="O4828" i="19"/>
  <c r="CP13" i="22"/>
  <c r="AL14" i="22"/>
  <c r="CG272" i="22"/>
  <c r="CH272" i="22" s="1"/>
  <c r="CG267" i="22"/>
  <c r="CH267" i="22" s="1"/>
  <c r="BZ23" i="22"/>
  <c r="CD23" i="22" s="1"/>
  <c r="BQ21" i="22"/>
  <c r="J19" i="22"/>
  <c r="AL19" i="22"/>
  <c r="Z19" i="22"/>
  <c r="AA19" i="22" s="1"/>
  <c r="AK19" i="22"/>
  <c r="M19" i="22"/>
  <c r="O19" i="22" s="1"/>
  <c r="AB19" i="22" s="1"/>
  <c r="BQ19" i="22"/>
  <c r="BE19" i="22"/>
  <c r="BG19" i="22" s="1"/>
  <c r="BR19" i="22"/>
  <c r="AI19" i="22"/>
  <c r="Z23" i="22"/>
  <c r="AG23" i="22" s="1"/>
  <c r="CC13" i="22"/>
  <c r="CG13" i="22" s="1"/>
  <c r="CH13" i="22" s="1"/>
  <c r="O4195" i="19"/>
  <c r="AR356" i="22"/>
  <c r="O4753" i="19" s="1"/>
  <c r="O4754" i="19" s="1"/>
  <c r="D4751" i="19" s="1"/>
  <c r="H664" i="4" s="1"/>
  <c r="CG260" i="22"/>
  <c r="CH260" i="22" s="1"/>
  <c r="CJ19" i="22"/>
  <c r="CJ299" i="22"/>
  <c r="CJ323" i="22"/>
  <c r="M12" i="22"/>
  <c r="O12" i="22" s="1"/>
  <c r="AB12" i="22" s="1"/>
  <c r="BE12" i="22"/>
  <c r="BG12" i="22" s="1"/>
  <c r="BQ12" i="22"/>
  <c r="AI12" i="22"/>
  <c r="BR12" i="22"/>
  <c r="BS12" i="22"/>
  <c r="J12" i="22"/>
  <c r="Z12" i="22"/>
  <c r="AG12" i="22" s="1"/>
  <c r="CJ14" i="22"/>
  <c r="BQ264" i="22"/>
  <c r="BG317" i="22"/>
  <c r="CJ280" i="22"/>
  <c r="BS264" i="22"/>
  <c r="CD17" i="22"/>
  <c r="CG17" i="22" s="1"/>
  <c r="CH17" i="22" s="1"/>
  <c r="BQ308" i="22"/>
  <c r="CJ21" i="22"/>
  <c r="BQ280" i="22"/>
  <c r="BR280" i="22"/>
  <c r="CJ264" i="22"/>
  <c r="AL9" i="22"/>
  <c r="AW9" i="22" s="1"/>
  <c r="CJ9" i="22"/>
  <c r="J14" i="22"/>
  <c r="CJ16" i="22"/>
  <c r="BS9" i="22"/>
  <c r="BQ9" i="22"/>
  <c r="BR9" i="22"/>
  <c r="J7" i="22"/>
  <c r="O4825" i="19"/>
  <c r="O4826" i="19" s="1"/>
  <c r="D4824" i="19" s="1"/>
  <c r="H193" i="4" s="1"/>
  <c r="AL11" i="22"/>
  <c r="BS7" i="22"/>
  <c r="BS11" i="22"/>
  <c r="BQ7" i="22"/>
  <c r="CJ22" i="22"/>
  <c r="AL7" i="22"/>
  <c r="AW7" i="22" s="1"/>
  <c r="J11" i="22"/>
  <c r="BR14" i="22"/>
  <c r="BQ11" i="22"/>
  <c r="BR11" i="22"/>
  <c r="CA11" i="22"/>
  <c r="BZ11" i="22"/>
  <c r="CD11" i="22" s="1"/>
  <c r="Z11" i="22"/>
  <c r="AH11" i="22" s="1"/>
  <c r="BZ7" i="22"/>
  <c r="CD7" i="22" s="1"/>
  <c r="CA7" i="22"/>
  <c r="BV7" i="22" s="1"/>
  <c r="Z7" i="22"/>
  <c r="AH7" i="22" s="1"/>
  <c r="AL21" i="22"/>
  <c r="BQ16" i="22"/>
  <c r="BR16" i="22"/>
  <c r="BS16" i="22"/>
  <c r="CJ307" i="22"/>
  <c r="J16" i="22"/>
  <c r="BS21" i="22"/>
  <c r="J6" i="22"/>
  <c r="AK312" i="22"/>
  <c r="AI312" i="22"/>
  <c r="BR21" i="22"/>
  <c r="CJ20" i="22"/>
  <c r="BR283" i="22"/>
  <c r="CR356" i="22"/>
  <c r="O4217" i="19" s="1"/>
  <c r="O4219" i="19" s="1"/>
  <c r="D4215" i="19" s="1"/>
  <c r="H234" i="4" s="1"/>
  <c r="BQ323" i="22"/>
  <c r="BD24" i="22"/>
  <c r="BD206" i="22"/>
  <c r="BD203" i="22"/>
  <c r="BD202" i="22"/>
  <c r="AR183" i="22"/>
  <c r="O2445" i="19" s="1"/>
  <c r="O2446" i="19" s="1"/>
  <c r="D2443" i="19" s="1"/>
  <c r="H659" i="4" s="1"/>
  <c r="BD23" i="22"/>
  <c r="CR183" i="22"/>
  <c r="O1966" i="19" s="1"/>
  <c r="O1971" i="19" s="1"/>
  <c r="O1973" i="19" s="1"/>
  <c r="D1969" i="19" s="1"/>
  <c r="H100" i="4" s="1"/>
  <c r="AO96" i="22"/>
  <c r="O1066" i="19" s="1"/>
  <c r="AR246" i="22"/>
  <c r="O3506" i="19" s="1"/>
  <c r="O3508" i="19" s="1"/>
  <c r="D3504" i="19" s="1"/>
  <c r="H662" i="4" s="1"/>
  <c r="CR96" i="22"/>
  <c r="O556" i="19" s="1"/>
  <c r="O558" i="19" s="1"/>
  <c r="D554" i="19" s="1"/>
  <c r="H229" i="4" s="1"/>
  <c r="AR96" i="22"/>
  <c r="O1060" i="19" s="1"/>
  <c r="O1061" i="19" s="1"/>
  <c r="D1058" i="19" s="1"/>
  <c r="H656" i="4" s="1"/>
  <c r="CW96" i="22"/>
  <c r="N1129" i="19" s="1"/>
  <c r="N1130" i="19" s="1"/>
  <c r="D1128" i="19" s="1"/>
  <c r="H512" i="4" s="1"/>
  <c r="CU96" i="22"/>
  <c r="N1125" i="19" s="1"/>
  <c r="N1127" i="19" s="1"/>
  <c r="D1124" i="19" s="1"/>
  <c r="H2" i="4" s="1"/>
  <c r="CV96" i="22"/>
  <c r="O1132" i="19" s="1"/>
  <c r="O1133" i="19" s="1"/>
  <c r="D1131" i="19" s="1"/>
  <c r="H187" i="4" s="1"/>
  <c r="E868" i="19"/>
  <c r="K868" i="19" s="1"/>
  <c r="K870" i="19" s="1"/>
  <c r="D867" i="19" s="1"/>
  <c r="H137" i="4" s="1"/>
  <c r="L84" i="4"/>
  <c r="J206" i="22"/>
  <c r="CJ203" i="22"/>
  <c r="AW202" i="22"/>
  <c r="BS203" i="22"/>
  <c r="BR206" i="22"/>
  <c r="BS206" i="22"/>
  <c r="AW204" i="22"/>
  <c r="AG200" i="22"/>
  <c r="BQ206" i="22"/>
  <c r="BR203" i="22"/>
  <c r="D3551" i="19"/>
  <c r="H203" i="4" s="1"/>
  <c r="O4212" i="19"/>
  <c r="O4222" i="19" s="1"/>
  <c r="CG327" i="22"/>
  <c r="CH327" i="22" s="1"/>
  <c r="CG316" i="22"/>
  <c r="CH316" i="22" s="1"/>
  <c r="CG325" i="22"/>
  <c r="CH325" i="22" s="1"/>
  <c r="CG303" i="22"/>
  <c r="CH303" i="22" s="1"/>
  <c r="CG261" i="22"/>
  <c r="CH261" i="22" s="1"/>
  <c r="AH273" i="22"/>
  <c r="AL323" i="22"/>
  <c r="AW323" i="22" s="1"/>
  <c r="J323" i="22"/>
  <c r="CJ324" i="22"/>
  <c r="BS323" i="22"/>
  <c r="BF323" i="22"/>
  <c r="BR323" i="22"/>
  <c r="BR307" i="22"/>
  <c r="BQ278" i="22"/>
  <c r="BS275" i="22"/>
  <c r="BF331" i="22"/>
  <c r="BS321" i="22"/>
  <c r="BQ314" i="22"/>
  <c r="BR317" i="22"/>
  <c r="BS324" i="22"/>
  <c r="BQ321" i="22"/>
  <c r="BS314" i="22"/>
  <c r="J317" i="22"/>
  <c r="BF328" i="22"/>
  <c r="BQ317" i="22"/>
  <c r="J328" i="22"/>
  <c r="BQ315" i="22"/>
  <c r="BQ328" i="22"/>
  <c r="Y321" i="22"/>
  <c r="BS319" i="22"/>
  <c r="BR328" i="22"/>
  <c r="BS328" i="22"/>
  <c r="BR315" i="22"/>
  <c r="AL328" i="22"/>
  <c r="AL321" i="22"/>
  <c r="AW321" i="22" s="1"/>
  <c r="BG321" i="22"/>
  <c r="BQ319" i="22"/>
  <c r="J321" i="22"/>
  <c r="Z319" i="22"/>
  <c r="AE319" i="22" s="1"/>
  <c r="AL317" i="22"/>
  <c r="AW317" i="22" s="1"/>
  <c r="BQ324" i="22"/>
  <c r="BR321" i="22"/>
  <c r="BR319" i="22"/>
  <c r="BS317" i="22"/>
  <c r="AV356" i="22"/>
  <c r="O4702" i="19" s="1"/>
  <c r="O4704" i="19" s="1"/>
  <c r="O4728" i="19" s="1"/>
  <c r="K4728" i="19" s="1"/>
  <c r="AD282" i="22"/>
  <c r="AE282" i="22"/>
  <c r="AL288" i="22"/>
  <c r="AW288" i="22" s="1"/>
  <c r="BR265" i="22"/>
  <c r="BQ282" i="22"/>
  <c r="BS271" i="22"/>
  <c r="BQ265" i="22"/>
  <c r="BQ266" i="22"/>
  <c r="J288" i="22"/>
  <c r="BR282" i="22"/>
  <c r="BS282" i="22"/>
  <c r="BQ263" i="22"/>
  <c r="BQ288" i="22"/>
  <c r="BR291" i="22"/>
  <c r="BR263" i="22"/>
  <c r="BR266" i="22"/>
  <c r="BQ307" i="22"/>
  <c r="CJ274" i="22"/>
  <c r="BQ275" i="22"/>
  <c r="AT356" i="22"/>
  <c r="O4737" i="19" s="1"/>
  <c r="O4740" i="19" s="1"/>
  <c r="D4736" i="19" s="1"/>
  <c r="H505" i="4" s="1"/>
  <c r="BR288" i="22"/>
  <c r="BQ274" i="22"/>
  <c r="AM356" i="22"/>
  <c r="O4698" i="19" s="1"/>
  <c r="O4700" i="19" s="1"/>
  <c r="O4776" i="19" s="1"/>
  <c r="O4784" i="19" s="1"/>
  <c r="M4784" i="19" s="1"/>
  <c r="BR274" i="22"/>
  <c r="BQ291" i="22"/>
  <c r="BQ302" i="22"/>
  <c r="BQ271" i="22"/>
  <c r="CJ288" i="22"/>
  <c r="CJ282" i="22"/>
  <c r="BR302" i="22"/>
  <c r="AU260" i="22"/>
  <c r="AW260" i="22" s="1"/>
  <c r="AW334" i="22"/>
  <c r="AG329" i="22"/>
  <c r="CJ319" i="22"/>
  <c r="AB261" i="22"/>
  <c r="AC297" i="22"/>
  <c r="AF297" i="22"/>
  <c r="AD294" i="22"/>
  <c r="AW269" i="22"/>
  <c r="AC282" i="22"/>
  <c r="AE297" i="22"/>
  <c r="AH297" i="22"/>
  <c r="CJ318" i="22"/>
  <c r="AH329" i="22"/>
  <c r="AF329" i="22"/>
  <c r="AW316" i="22"/>
  <c r="O4249" i="19"/>
  <c r="O4254" i="19" s="1"/>
  <c r="M4254" i="19" s="1"/>
  <c r="M4256" i="19" s="1"/>
  <c r="D4252" i="19" s="1"/>
  <c r="H737" i="4" s="1"/>
  <c r="D4242" i="19"/>
  <c r="H114" i="4" s="1"/>
  <c r="O4241" i="19"/>
  <c r="D4237" i="19" s="1"/>
  <c r="H235" i="4" s="1"/>
  <c r="AG294" i="22"/>
  <c r="AW299" i="22"/>
  <c r="AW280" i="22"/>
  <c r="AB287" i="22"/>
  <c r="AC294" i="22"/>
  <c r="AH294" i="22"/>
  <c r="AG297" i="22"/>
  <c r="AN356" i="22"/>
  <c r="AW297" i="22"/>
  <c r="CJ294" i="22"/>
  <c r="L801" i="4"/>
  <c r="L78" i="4"/>
  <c r="L451" i="4"/>
  <c r="L491" i="4"/>
  <c r="O5144" i="19"/>
  <c r="D5132" i="19" s="1"/>
  <c r="H665" i="4" s="1"/>
  <c r="D729" i="19"/>
  <c r="H635" i="4" s="1"/>
  <c r="O4884" i="19"/>
  <c r="L463" i="4"/>
  <c r="L69" i="4"/>
  <c r="L413" i="4"/>
  <c r="L433" i="4"/>
  <c r="L440" i="4"/>
  <c r="AR15" i="20"/>
  <c r="W15" i="20" s="1"/>
  <c r="BA32" i="20"/>
  <c r="AE192" i="20"/>
  <c r="O4287" i="19" s="1"/>
  <c r="O4289" i="19" s="1"/>
  <c r="D4285" i="19" s="1"/>
  <c r="AR119" i="20"/>
  <c r="W119" i="20" s="1"/>
  <c r="L581" i="4"/>
  <c r="BF69" i="20"/>
  <c r="BG69" i="20" s="1"/>
  <c r="BI69" i="20" s="1"/>
  <c r="CK122" i="20"/>
  <c r="BA181" i="20"/>
  <c r="AX165" i="20"/>
  <c r="E4005" i="19"/>
  <c r="M3998" i="19"/>
  <c r="N4000" i="19" s="1"/>
  <c r="N4002" i="19" s="1"/>
  <c r="D3995" i="19" s="1"/>
  <c r="H593" i="4" s="1"/>
  <c r="AX29" i="20"/>
  <c r="AX175" i="20"/>
  <c r="AF33" i="20"/>
  <c r="O606" i="19" s="1"/>
  <c r="O608" i="19" s="1"/>
  <c r="D604" i="19" s="1"/>
  <c r="H330" i="4" s="1"/>
  <c r="BW194" i="20"/>
  <c r="BA147" i="20"/>
  <c r="BF170" i="20"/>
  <c r="BG170" i="20" s="1"/>
  <c r="BH170" i="20" s="1"/>
  <c r="AX58" i="20"/>
  <c r="BF51" i="20"/>
  <c r="BF103" i="20"/>
  <c r="BG103" i="20" s="1"/>
  <c r="BH103" i="20" s="1"/>
  <c r="AE7" i="22"/>
  <c r="AX52" i="20"/>
  <c r="AX63" i="20"/>
  <c r="AR59" i="20"/>
  <c r="W59" i="20" s="1"/>
  <c r="W46" i="20"/>
  <c r="BF54" i="20"/>
  <c r="BG54" i="20" s="1"/>
  <c r="BA144" i="20"/>
  <c r="W24" i="20"/>
  <c r="W26" i="20"/>
  <c r="AR86" i="20"/>
  <c r="W86" i="20" s="1"/>
  <c r="L419" i="4"/>
  <c r="AR143" i="20"/>
  <c r="W143" i="20" s="1"/>
  <c r="BF67" i="20"/>
  <c r="BG67" i="20" s="1"/>
  <c r="BI67" i="20" s="1"/>
  <c r="AR171" i="20"/>
  <c r="W171" i="20" s="1"/>
  <c r="AR18" i="20"/>
  <c r="W18" i="20" s="1"/>
  <c r="AR76" i="20"/>
  <c r="W76" i="20" s="1"/>
  <c r="BG9" i="20"/>
  <c r="BH9" i="20" s="1"/>
  <c r="AR11" i="20"/>
  <c r="W11" i="20" s="1"/>
  <c r="AX54" i="20"/>
  <c r="BF166" i="20"/>
  <c r="BM33" i="20"/>
  <c r="O762" i="19" s="1"/>
  <c r="K763" i="19" s="1"/>
  <c r="K764" i="19" s="1"/>
  <c r="D761" i="19" s="1"/>
  <c r="H75" i="4" s="1"/>
  <c r="BF77" i="20"/>
  <c r="BA51" i="20"/>
  <c r="BA119" i="20"/>
  <c r="AR70" i="20"/>
  <c r="W70" i="20" s="1"/>
  <c r="AX85" i="20"/>
  <c r="BF181" i="20"/>
  <c r="BG181" i="20" s="1"/>
  <c r="AX82" i="20"/>
  <c r="AR144" i="20"/>
  <c r="L417" i="4"/>
  <c r="AP192" i="20"/>
  <c r="O4342" i="19" s="1"/>
  <c r="O4344" i="19" s="1"/>
  <c r="D4340" i="19" s="1"/>
  <c r="H403" i="4" s="1"/>
  <c r="AX183" i="20"/>
  <c r="AR187" i="20"/>
  <c r="W187" i="20" s="1"/>
  <c r="AX166" i="20"/>
  <c r="AL120" i="20"/>
  <c r="O3139" i="19" s="1"/>
  <c r="O3141" i="19" s="1"/>
  <c r="D3137" i="19" s="1"/>
  <c r="H324" i="4" s="1"/>
  <c r="BF15" i="20"/>
  <c r="BG15" i="20" s="1"/>
  <c r="BI15" i="20" s="1"/>
  <c r="AX147" i="20"/>
  <c r="BM120" i="20"/>
  <c r="O3253" i="19" s="1"/>
  <c r="K3254" i="19" s="1"/>
  <c r="K3255" i="19" s="1"/>
  <c r="D3252" i="19" s="1"/>
  <c r="H82" i="4" s="1"/>
  <c r="AI33" i="20"/>
  <c r="O621" i="19" s="1"/>
  <c r="O623" i="19" s="1"/>
  <c r="D619" i="19" s="1"/>
  <c r="H392" i="4" s="1"/>
  <c r="AX64" i="20"/>
  <c r="AH89" i="20"/>
  <c r="O2008" i="19" s="1"/>
  <c r="O2010" i="19" s="1"/>
  <c r="D2006" i="19" s="1"/>
  <c r="H348" i="4" s="1"/>
  <c r="BF175" i="20"/>
  <c r="BG175" i="20" s="1"/>
  <c r="BH175" i="20" s="1"/>
  <c r="BV194" i="20"/>
  <c r="E4533" i="19" s="1"/>
  <c r="E4535" i="19" s="1"/>
  <c r="D4532" i="19" s="1"/>
  <c r="H819" i="4" s="1"/>
  <c r="AR43" i="20"/>
  <c r="W43" i="20" s="1"/>
  <c r="BF104" i="20"/>
  <c r="BG104" i="20" s="1"/>
  <c r="BH104" i="20" s="1"/>
  <c r="BF52" i="20"/>
  <c r="BG52" i="20" s="1"/>
  <c r="BI52" i="20" s="1"/>
  <c r="AX169" i="20"/>
  <c r="AR103" i="20"/>
  <c r="W103" i="20" s="1"/>
  <c r="BF86" i="20"/>
  <c r="BG86" i="20" s="1"/>
  <c r="BI86" i="20" s="1"/>
  <c r="AR165" i="20"/>
  <c r="W165" i="20" s="1"/>
  <c r="AC120" i="20"/>
  <c r="BF144" i="20"/>
  <c r="AA33" i="20"/>
  <c r="N742" i="19" s="1"/>
  <c r="BF85" i="20"/>
  <c r="BG85" i="20" s="1"/>
  <c r="BF49" i="20"/>
  <c r="AX172" i="20"/>
  <c r="BA185" i="20"/>
  <c r="AR172" i="20"/>
  <c r="W172" i="20" s="1"/>
  <c r="AR75" i="20"/>
  <c r="W75" i="20" s="1"/>
  <c r="BC120" i="20"/>
  <c r="O3230" i="19" s="1"/>
  <c r="O3231" i="19" s="1"/>
  <c r="D3228" i="19" s="1"/>
  <c r="H64" i="4" s="1"/>
  <c r="AR166" i="20"/>
  <c r="W166" i="20" s="1"/>
  <c r="L437" i="4"/>
  <c r="BA168" i="20"/>
  <c r="AQ89" i="20"/>
  <c r="AR170" i="20"/>
  <c r="W170" i="20" s="1"/>
  <c r="AQ192" i="20"/>
  <c r="O4347" i="19" s="1"/>
  <c r="O4349" i="19" s="1"/>
  <c r="D4345" i="19" s="1"/>
  <c r="H395" i="4" s="1"/>
  <c r="BA150" i="20"/>
  <c r="BA170" i="20"/>
  <c r="BA54" i="20"/>
  <c r="CM122" i="20"/>
  <c r="L453" i="4"/>
  <c r="AX181" i="20"/>
  <c r="BA109" i="20"/>
  <c r="AK120" i="20"/>
  <c r="O3134" i="19" s="1"/>
  <c r="O3136" i="19" s="1"/>
  <c r="D3132" i="19" s="1"/>
  <c r="H357" i="4" s="1"/>
  <c r="BF47" i="20"/>
  <c r="AR52" i="20"/>
  <c r="W52" i="20" s="1"/>
  <c r="AO120" i="20"/>
  <c r="O3149" i="19" s="1"/>
  <c r="O3151" i="19" s="1"/>
  <c r="D3147" i="19" s="1"/>
  <c r="H398" i="4" s="1"/>
  <c r="AR146" i="20"/>
  <c r="W146" i="20" s="1"/>
  <c r="AJ192" i="20"/>
  <c r="O4312" i="19" s="1"/>
  <c r="O4314" i="19" s="1"/>
  <c r="D4310" i="19" s="1"/>
  <c r="H342" i="4" s="1"/>
  <c r="AR53" i="20"/>
  <c r="BF87" i="20"/>
  <c r="BG87" i="20" s="1"/>
  <c r="BI87" i="20" s="1"/>
  <c r="CE194" i="20"/>
  <c r="BF109" i="20"/>
  <c r="BG109" i="20" s="1"/>
  <c r="BH109" i="20" s="1"/>
  <c r="AN120" i="20"/>
  <c r="BF82" i="20"/>
  <c r="BA82" i="20"/>
  <c r="BA63" i="20"/>
  <c r="BF63" i="20"/>
  <c r="AR77" i="20"/>
  <c r="W77" i="20" s="1"/>
  <c r="AR10" i="20"/>
  <c r="W10" i="20" s="1"/>
  <c r="AE33" i="20"/>
  <c r="O601" i="19" s="1"/>
  <c r="O603" i="19" s="1"/>
  <c r="D599" i="19" s="1"/>
  <c r="H367" i="4" s="1"/>
  <c r="AM120" i="20"/>
  <c r="O3144" i="19" s="1"/>
  <c r="O3146" i="19" s="1"/>
  <c r="D3142" i="19" s="1"/>
  <c r="H381" i="4" s="1"/>
  <c r="AR63" i="20"/>
  <c r="W63" i="20" s="1"/>
  <c r="BA52" i="20"/>
  <c r="BF11" i="20"/>
  <c r="BG11" i="20" s="1"/>
  <c r="BI11" i="20" s="1"/>
  <c r="BA69" i="20"/>
  <c r="BF20" i="20"/>
  <c r="BG20" i="20" s="1"/>
  <c r="BI20" i="20" s="1"/>
  <c r="CC194" i="20"/>
  <c r="E4553" i="19" s="1"/>
  <c r="CD194" i="20"/>
  <c r="E4557" i="19" s="1"/>
  <c r="E4559" i="19" s="1"/>
  <c r="D4556" i="19" s="1"/>
  <c r="H810" i="4" s="1"/>
  <c r="AX170" i="20"/>
  <c r="BA18" i="20"/>
  <c r="BI23" i="20"/>
  <c r="W25" i="20"/>
  <c r="AK192" i="20"/>
  <c r="O4317" i="19" s="1"/>
  <c r="O4319" i="19" s="1"/>
  <c r="D4315" i="19" s="1"/>
  <c r="H359" i="4" s="1"/>
  <c r="AC192" i="20"/>
  <c r="AR29" i="20"/>
  <c r="W29" i="20" s="1"/>
  <c r="BF187" i="20"/>
  <c r="BG187" i="20" s="1"/>
  <c r="BI187" i="20" s="1"/>
  <c r="AX18" i="20"/>
  <c r="BA165" i="20"/>
  <c r="BF113" i="20"/>
  <c r="BG113" i="20" s="1"/>
  <c r="BI113" i="20" s="1"/>
  <c r="BF60" i="20"/>
  <c r="BG60" i="20" s="1"/>
  <c r="BI60" i="20" s="1"/>
  <c r="AX103" i="20"/>
  <c r="BF66" i="20"/>
  <c r="BG66" i="20" s="1"/>
  <c r="BH66" i="20" s="1"/>
  <c r="AA120" i="20"/>
  <c r="N3233" i="19" s="1"/>
  <c r="AX11" i="20"/>
  <c r="BF165" i="20"/>
  <c r="AN192" i="20"/>
  <c r="O4332" i="19" s="1"/>
  <c r="O4334" i="19" s="1"/>
  <c r="D4330" i="19" s="1"/>
  <c r="H352" i="4" s="1"/>
  <c r="AR107" i="20"/>
  <c r="W107" i="20" s="1"/>
  <c r="AG89" i="20"/>
  <c r="O2003" i="19" s="1"/>
  <c r="O2005" i="19" s="1"/>
  <c r="D2001" i="19" s="1"/>
  <c r="H370" i="4" s="1"/>
  <c r="AR104" i="20"/>
  <c r="W104" i="20" s="1"/>
  <c r="AL192" i="20"/>
  <c r="O4322" i="19" s="1"/>
  <c r="O4324" i="19" s="1"/>
  <c r="D4320" i="19" s="1"/>
  <c r="H327" i="4" s="1"/>
  <c r="AM33" i="20"/>
  <c r="O641" i="19" s="1"/>
  <c r="O643" i="19" s="1"/>
  <c r="D639" i="19" s="1"/>
  <c r="H375" i="4" s="1"/>
  <c r="BA53" i="20"/>
  <c r="L455" i="4"/>
  <c r="AR54" i="20"/>
  <c r="W54" i="20" s="1"/>
  <c r="BA11" i="20"/>
  <c r="BF171" i="20"/>
  <c r="BG171" i="20" s="1"/>
  <c r="BH171" i="20" s="1"/>
  <c r="BF70" i="20"/>
  <c r="BG70" i="20" s="1"/>
  <c r="BI70" i="20" s="1"/>
  <c r="BF168" i="20"/>
  <c r="BG168" i="20" s="1"/>
  <c r="BI168" i="20" s="1"/>
  <c r="AH33" i="20"/>
  <c r="O616" i="19" s="1"/>
  <c r="O618" i="19" s="1"/>
  <c r="D614" i="19" s="1"/>
  <c r="H347" i="4" s="1"/>
  <c r="AP120" i="20"/>
  <c r="O3154" i="19" s="1"/>
  <c r="O3156" i="19" s="1"/>
  <c r="D3152" i="19" s="1"/>
  <c r="H402" i="4" s="1"/>
  <c r="BA166" i="20"/>
  <c r="L677" i="4"/>
  <c r="N4944" i="19"/>
  <c r="O3883" i="19"/>
  <c r="D3866" i="19" s="1"/>
  <c r="K591" i="19"/>
  <c r="D584" i="19" s="1"/>
  <c r="H298" i="4" s="1"/>
  <c r="L13" i="4"/>
  <c r="L227" i="4"/>
  <c r="O5157" i="19"/>
  <c r="D5145" i="19" s="1"/>
  <c r="H179" i="4" s="1"/>
  <c r="M4913" i="19"/>
  <c r="N4913" i="19" s="1"/>
  <c r="M4894" i="19"/>
  <c r="O4893" i="19"/>
  <c r="M4948" i="19"/>
  <c r="N4948" i="19" s="1"/>
  <c r="N4912" i="19"/>
  <c r="L724" i="4"/>
  <c r="L766" i="4"/>
  <c r="L431" i="4"/>
  <c r="L461" i="4"/>
  <c r="L249" i="4"/>
  <c r="L493" i="4"/>
  <c r="L9" i="4"/>
  <c r="L680" i="4"/>
  <c r="L655" i="4"/>
  <c r="L415" i="4"/>
  <c r="L506" i="4"/>
  <c r="L679" i="4"/>
  <c r="L304" i="4"/>
  <c r="L816" i="4"/>
  <c r="L421" i="4"/>
  <c r="L15" i="4"/>
  <c r="L490" i="4"/>
  <c r="L204" i="4"/>
  <c r="L10" i="4"/>
  <c r="L657" i="4"/>
  <c r="L639" i="4"/>
  <c r="L471" i="4"/>
  <c r="L441" i="4"/>
  <c r="L226" i="4"/>
  <c r="L320" i="4"/>
  <c r="L663" i="4"/>
  <c r="L658" i="4"/>
  <c r="L577" i="4"/>
  <c r="L595" i="4"/>
  <c r="L7" i="4"/>
  <c r="L17" i="4"/>
  <c r="L255" i="4"/>
  <c r="L678" i="4"/>
  <c r="L596" i="4"/>
  <c r="L253" i="4"/>
  <c r="L465" i="4"/>
  <c r="L454" i="4"/>
  <c r="L822" i="4"/>
  <c r="L504" i="4"/>
  <c r="L11" i="4"/>
  <c r="L216" i="4"/>
  <c r="L14" i="4"/>
  <c r="L753" i="4"/>
  <c r="L111" i="4"/>
  <c r="L785" i="4"/>
  <c r="L326" i="4"/>
  <c r="L450" i="4"/>
  <c r="L452" i="4"/>
  <c r="L12" i="4"/>
  <c r="L445" i="4"/>
  <c r="L456" i="4"/>
  <c r="L409" i="4"/>
  <c r="L91" i="4"/>
  <c r="L423" i="4"/>
  <c r="L90" i="4"/>
  <c r="L645" i="4"/>
  <c r="L411" i="4"/>
  <c r="L420" i="4"/>
  <c r="L597" i="4"/>
  <c r="L427" i="4"/>
  <c r="L425" i="4"/>
  <c r="L501" i="4"/>
  <c r="L669" i="4"/>
  <c r="L222" i="4"/>
  <c r="L251" i="4"/>
  <c r="L213" i="4"/>
  <c r="L87" i="4"/>
  <c r="L306" i="4"/>
  <c r="L438" i="4"/>
  <c r="L579" i="4"/>
  <c r="L467" i="4"/>
  <c r="L812" i="4"/>
  <c r="L98" i="4"/>
  <c r="L661" i="4"/>
  <c r="L5" i="4"/>
  <c r="L329" i="4"/>
  <c r="L498" i="4"/>
  <c r="L97" i="4"/>
  <c r="L457" i="4"/>
  <c r="L469" i="4"/>
  <c r="L104" i="4"/>
  <c r="L418" i="4"/>
  <c r="L435" i="4"/>
  <c r="L219" i="4"/>
  <c r="L429" i="4"/>
  <c r="L449" i="4"/>
  <c r="L660" i="4"/>
  <c r="L443" i="4"/>
  <c r="L16" i="4"/>
  <c r="L786" i="4"/>
  <c r="L676" i="4"/>
  <c r="L302" i="4"/>
  <c r="L464" i="4"/>
  <c r="L447" i="4"/>
  <c r="L489" i="4"/>
  <c r="BG161" i="20"/>
  <c r="BI161" i="20" s="1"/>
  <c r="BG71" i="20"/>
  <c r="BI71" i="20" s="1"/>
  <c r="E3328" i="19"/>
  <c r="D3325" i="19" s="1"/>
  <c r="E3322" i="19"/>
  <c r="K3322" i="19" s="1"/>
  <c r="K3324" i="19" s="1"/>
  <c r="D3321" i="19" s="1"/>
  <c r="H139" i="4" s="1"/>
  <c r="O1658" i="19"/>
  <c r="O1660" i="19" s="1"/>
  <c r="O1662" i="19" s="1"/>
  <c r="D1632" i="19"/>
  <c r="H177" i="4" s="1"/>
  <c r="D2767" i="19"/>
  <c r="H178" i="4" s="1"/>
  <c r="O2784" i="19"/>
  <c r="O2786" i="19" s="1"/>
  <c r="O2788" i="19" s="1"/>
  <c r="BG144" i="20"/>
  <c r="BI144" i="20" s="1"/>
  <c r="BG80" i="20"/>
  <c r="BI80" i="20" s="1"/>
  <c r="BG157" i="20"/>
  <c r="BI157" i="20" s="1"/>
  <c r="E4516" i="19"/>
  <c r="E4518" i="19" s="1"/>
  <c r="D4515" i="19" s="1"/>
  <c r="H35" i="4" s="1"/>
  <c r="E4577" i="19"/>
  <c r="BG47" i="20"/>
  <c r="BI47" i="20" s="1"/>
  <c r="BG12" i="20"/>
  <c r="BI12" i="20" s="1"/>
  <c r="BG160" i="20"/>
  <c r="BI160" i="20" s="1"/>
  <c r="E4504" i="19"/>
  <c r="E4506" i="19" s="1"/>
  <c r="D4503" i="19" s="1"/>
  <c r="H46" i="4" s="1"/>
  <c r="E4541" i="19"/>
  <c r="BG177" i="20"/>
  <c r="BI177" i="20" s="1"/>
  <c r="BG84" i="20"/>
  <c r="BI84" i="20" s="1"/>
  <c r="BG163" i="20"/>
  <c r="BI163" i="20" s="1"/>
  <c r="BA104" i="20"/>
  <c r="BA47" i="20"/>
  <c r="BM89" i="20"/>
  <c r="O2148" i="19" s="1"/>
  <c r="K2149" i="19" s="1"/>
  <c r="K2150" i="19" s="1"/>
  <c r="D2147" i="19" s="1"/>
  <c r="H79" i="4" s="1"/>
  <c r="BG156" i="20"/>
  <c r="BH156" i="20" s="1"/>
  <c r="M2965" i="19"/>
  <c r="M2967" i="19" s="1"/>
  <c r="D2963" i="19" s="1"/>
  <c r="H767" i="4" s="1"/>
  <c r="O2969" i="19"/>
  <c r="M2969" i="19" s="1"/>
  <c r="M2971" i="19" s="1"/>
  <c r="D2968" i="19" s="1"/>
  <c r="H725" i="4" s="1"/>
  <c r="BA191" i="20"/>
  <c r="AR186" i="20"/>
  <c r="W186" i="20" s="1"/>
  <c r="AX51" i="20"/>
  <c r="CC288" i="22"/>
  <c r="CD288" i="22"/>
  <c r="BG19" i="20"/>
  <c r="BI19" i="20" s="1"/>
  <c r="AX44" i="20"/>
  <c r="BA44" i="20"/>
  <c r="BF44" i="20"/>
  <c r="AR184" i="20"/>
  <c r="W184" i="20" s="1"/>
  <c r="M1213" i="19"/>
  <c r="O1193" i="19"/>
  <c r="AO192" i="20"/>
  <c r="O4337" i="19" s="1"/>
  <c r="O4339" i="19" s="1"/>
  <c r="D4335" i="19" s="1"/>
  <c r="H399" i="4" s="1"/>
  <c r="CD323" i="22"/>
  <c r="CC323" i="22"/>
  <c r="CM318" i="22"/>
  <c r="CE318" i="22"/>
  <c r="CO318" i="22"/>
  <c r="CF318" i="22"/>
  <c r="CC269" i="22"/>
  <c r="CD269" i="22"/>
  <c r="M3704" i="19"/>
  <c r="N3704" i="19" s="1"/>
  <c r="N3670" i="19"/>
  <c r="AR185" i="20"/>
  <c r="W185" i="20" s="1"/>
  <c r="V33" i="20"/>
  <c r="BF81" i="20"/>
  <c r="AX81" i="20"/>
  <c r="BA81" i="20"/>
  <c r="AX15" i="20"/>
  <c r="M314" i="22"/>
  <c r="O314" i="22" s="1"/>
  <c r="W314" i="22" s="1"/>
  <c r="AK314" i="22"/>
  <c r="AI314" i="22"/>
  <c r="Z314" i="22"/>
  <c r="O4489" i="19"/>
  <c r="O4497" i="19" s="1"/>
  <c r="M4497" i="19" s="1"/>
  <c r="D4423" i="19"/>
  <c r="H638" i="4" s="1"/>
  <c r="BF172" i="20"/>
  <c r="BF50" i="20"/>
  <c r="M2639" i="19"/>
  <c r="N2639" i="19" s="1"/>
  <c r="N2601" i="19"/>
  <c r="CD265" i="22"/>
  <c r="CC265" i="22"/>
  <c r="N4916" i="19"/>
  <c r="M4950" i="19"/>
  <c r="N4950" i="19" s="1"/>
  <c r="AX46" i="20"/>
  <c r="BA46" i="20"/>
  <c r="BF46" i="20"/>
  <c r="AJ89" i="20"/>
  <c r="AX43" i="20"/>
  <c r="BA43" i="20"/>
  <c r="AI89" i="20"/>
  <c r="O2013" i="19" s="1"/>
  <c r="O2015" i="19" s="1"/>
  <c r="D2011" i="19" s="1"/>
  <c r="H393" i="4" s="1"/>
  <c r="D2776" i="19"/>
  <c r="H101" i="4" s="1"/>
  <c r="O2792" i="19"/>
  <c r="J438" i="19"/>
  <c r="J440" i="19" s="1"/>
  <c r="D436" i="19" s="1"/>
  <c r="H746" i="4" s="1"/>
  <c r="O442" i="19"/>
  <c r="M442" i="19" s="1"/>
  <c r="M444" i="19" s="1"/>
  <c r="D441" i="19" s="1"/>
  <c r="H706" i="4" s="1"/>
  <c r="AN96" i="22"/>
  <c r="BE275" i="22"/>
  <c r="M275" i="22"/>
  <c r="O275" i="22" s="1"/>
  <c r="W275" i="22" s="1"/>
  <c r="AK275" i="22"/>
  <c r="AI275" i="22"/>
  <c r="Z275" i="22"/>
  <c r="AI263" i="22"/>
  <c r="BE263" i="22"/>
  <c r="M263" i="22"/>
  <c r="O263" i="22" s="1"/>
  <c r="W263" i="22" s="1"/>
  <c r="AK263" i="22"/>
  <c r="Z263" i="22"/>
  <c r="AA263" i="22" s="1"/>
  <c r="BF64" i="20"/>
  <c r="AI6" i="22"/>
  <c r="BE6" i="22"/>
  <c r="M6" i="22"/>
  <c r="O6" i="22" s="1"/>
  <c r="AK6" i="22"/>
  <c r="Z6" i="22"/>
  <c r="AA6" i="22" s="1"/>
  <c r="CP274" i="22"/>
  <c r="CQ274" i="22"/>
  <c r="AR51" i="20"/>
  <c r="CQ326" i="22"/>
  <c r="CP326" i="22"/>
  <c r="AW319" i="22"/>
  <c r="CP289" i="22"/>
  <c r="CQ289" i="22"/>
  <c r="AK310" i="22"/>
  <c r="M310" i="22"/>
  <c r="O310" i="22" s="1"/>
  <c r="W310" i="22" s="1"/>
  <c r="BE310" i="22"/>
  <c r="AI310" i="22"/>
  <c r="Z310" i="22"/>
  <c r="AW263" i="22"/>
  <c r="AW322" i="22"/>
  <c r="CQ266" i="22"/>
  <c r="CP266" i="22"/>
  <c r="BG151" i="20"/>
  <c r="BI151" i="20" s="1"/>
  <c r="AR181" i="20"/>
  <c r="W181" i="20" s="1"/>
  <c r="BG13" i="20"/>
  <c r="BI13" i="20" s="1"/>
  <c r="BD295" i="22"/>
  <c r="AM192" i="20"/>
  <c r="O4327" i="19" s="1"/>
  <c r="O4329" i="19" s="1"/>
  <c r="D4325" i="19" s="1"/>
  <c r="H383" i="4" s="1"/>
  <c r="AR60" i="20"/>
  <c r="W60" i="20" s="1"/>
  <c r="BG155" i="20"/>
  <c r="BI155" i="20" s="1"/>
  <c r="AM89" i="20"/>
  <c r="O2033" i="19" s="1"/>
  <c r="O2035" i="19" s="1"/>
  <c r="D2031" i="19" s="1"/>
  <c r="H378" i="4" s="1"/>
  <c r="AN33" i="20"/>
  <c r="O646" i="19" s="1"/>
  <c r="O648" i="19" s="1"/>
  <c r="D644" i="19" s="1"/>
  <c r="H350" i="4" s="1"/>
  <c r="AK323" i="22"/>
  <c r="AI323" i="22"/>
  <c r="M323" i="22"/>
  <c r="O323" i="22" s="1"/>
  <c r="W323" i="22" s="1"/>
  <c r="Z323" i="22"/>
  <c r="AH323" i="22" s="1"/>
  <c r="AR58" i="20"/>
  <c r="W58" i="20" s="1"/>
  <c r="M3696" i="19"/>
  <c r="AR6" i="20"/>
  <c r="W6" i="20" s="1"/>
  <c r="CD20" i="22"/>
  <c r="CC20" i="22"/>
  <c r="BG48" i="20"/>
  <c r="BH48" i="20" s="1"/>
  <c r="AR117" i="20"/>
  <c r="W117" i="20" s="1"/>
  <c r="CQ314" i="22"/>
  <c r="CP314" i="22"/>
  <c r="BF29" i="20"/>
  <c r="BG29" i="20" s="1"/>
  <c r="BI29" i="20" s="1"/>
  <c r="M2583" i="19"/>
  <c r="O2582" i="19"/>
  <c r="M2602" i="19"/>
  <c r="N2602" i="19" s="1"/>
  <c r="AK265" i="22"/>
  <c r="BE265" i="22"/>
  <c r="M265" i="22"/>
  <c r="O265" i="22" s="1"/>
  <c r="W265" i="22" s="1"/>
  <c r="AI265" i="22"/>
  <c r="Z265" i="22"/>
  <c r="O1166" i="19"/>
  <c r="D1161" i="19" s="1"/>
  <c r="H594" i="4" s="1"/>
  <c r="BF30" i="20"/>
  <c r="BA30" i="20"/>
  <c r="AX30" i="20"/>
  <c r="BF14" i="20"/>
  <c r="BG14" i="20" s="1"/>
  <c r="BI14" i="20" s="1"/>
  <c r="BF150" i="20"/>
  <c r="BG150" i="20" s="1"/>
  <c r="BI150" i="20" s="1"/>
  <c r="BG149" i="20"/>
  <c r="BI149" i="20" s="1"/>
  <c r="AH192" i="20"/>
  <c r="O4302" i="19" s="1"/>
  <c r="O4304" i="19" s="1"/>
  <c r="D4300" i="19" s="1"/>
  <c r="H349" i="4" s="1"/>
  <c r="O5277" i="19"/>
  <c r="O5281" i="19" s="1"/>
  <c r="D5273" i="19" s="1"/>
  <c r="H482" i="4" s="1"/>
  <c r="M5268" i="19"/>
  <c r="M5272" i="19" s="1"/>
  <c r="D5263" i="19" s="1"/>
  <c r="H741" i="4" s="1"/>
  <c r="BA22" i="20"/>
  <c r="BF22" i="20"/>
  <c r="AX22" i="20"/>
  <c r="BA103" i="20"/>
  <c r="BD282" i="22"/>
  <c r="AO356" i="22"/>
  <c r="O4759" i="19" s="1"/>
  <c r="AU19" i="22"/>
  <c r="AU304" i="22"/>
  <c r="CP263" i="22"/>
  <c r="CQ263" i="22"/>
  <c r="CQ6" i="22"/>
  <c r="CP6" i="22"/>
  <c r="M21" i="22"/>
  <c r="O21" i="22" s="1"/>
  <c r="AK21" i="22"/>
  <c r="AI21" i="22"/>
  <c r="BE21" i="22"/>
  <c r="Z21" i="22"/>
  <c r="CJ314" i="22"/>
  <c r="CQ264" i="22"/>
  <c r="CP264" i="22"/>
  <c r="AI289" i="22"/>
  <c r="M289" i="22"/>
  <c r="O289" i="22" s="1"/>
  <c r="W289" i="22" s="1"/>
  <c r="AK289" i="22"/>
  <c r="BE289" i="22"/>
  <c r="Z289" i="22"/>
  <c r="BD293" i="22"/>
  <c r="CD9" i="22"/>
  <c r="CC9" i="22"/>
  <c r="CQ310" i="22"/>
  <c r="CP310" i="22"/>
  <c r="AI266" i="22"/>
  <c r="M266" i="22"/>
  <c r="O266" i="22" s="1"/>
  <c r="W266" i="22" s="1"/>
  <c r="AK266" i="22"/>
  <c r="BE266" i="22"/>
  <c r="Z266" i="22"/>
  <c r="AA266" i="22" s="1"/>
  <c r="BG166" i="20"/>
  <c r="BH166" i="20" s="1"/>
  <c r="BG63" i="20"/>
  <c r="BI63" i="20" s="1"/>
  <c r="AO183" i="22"/>
  <c r="O2451" i="19" s="1"/>
  <c r="BD312" i="22"/>
  <c r="BC89" i="20"/>
  <c r="O2125" i="19" s="1"/>
  <c r="O2126" i="19" s="1"/>
  <c r="D2123" i="19" s="1"/>
  <c r="H61" i="4" s="1"/>
  <c r="AR47" i="20"/>
  <c r="W47" i="20" s="1"/>
  <c r="BA70" i="20"/>
  <c r="BI75" i="20"/>
  <c r="CC294" i="22"/>
  <c r="CD294" i="22"/>
  <c r="CQ288" i="22"/>
  <c r="CP288" i="22"/>
  <c r="BG165" i="20"/>
  <c r="BI165" i="20" s="1"/>
  <c r="E1762" i="19"/>
  <c r="M1755" i="19"/>
  <c r="N1757" i="19" s="1"/>
  <c r="N1759" i="19" s="1"/>
  <c r="D1752" i="19" s="1"/>
  <c r="H591" i="4" s="1"/>
  <c r="AK33" i="20"/>
  <c r="O631" i="19" s="1"/>
  <c r="O633" i="19" s="1"/>
  <c r="D629" i="19" s="1"/>
  <c r="H353" i="4" s="1"/>
  <c r="AR50" i="20"/>
  <c r="W50" i="20" s="1"/>
  <c r="CP269" i="22"/>
  <c r="CQ269" i="22"/>
  <c r="M2643" i="19"/>
  <c r="N2643" i="19" s="1"/>
  <c r="N2609" i="19"/>
  <c r="AK20" i="22"/>
  <c r="AI20" i="22"/>
  <c r="BE20" i="22"/>
  <c r="M20" i="22"/>
  <c r="O20" i="22" s="1"/>
  <c r="Z20" i="22"/>
  <c r="AA20" i="22" s="1"/>
  <c r="AQ33" i="20"/>
  <c r="O661" i="19" s="1"/>
  <c r="O663" i="19" s="1"/>
  <c r="D659" i="19" s="1"/>
  <c r="H394" i="4" s="1"/>
  <c r="AR49" i="20"/>
  <c r="W49" i="20" s="1"/>
  <c r="CD305" i="22"/>
  <c r="CC305" i="22"/>
  <c r="BA172" i="20"/>
  <c r="BA171" i="20"/>
  <c r="CQ265" i="22"/>
  <c r="CP265" i="22"/>
  <c r="BA175" i="20"/>
  <c r="BG55" i="20"/>
  <c r="BH55" i="20" s="1"/>
  <c r="N1172" i="19"/>
  <c r="D1167" i="19" s="1"/>
  <c r="H3" i="4" s="1"/>
  <c r="M283" i="22"/>
  <c r="O283" i="22" s="1"/>
  <c r="W283" i="22" s="1"/>
  <c r="BE283" i="22"/>
  <c r="AK283" i="22"/>
  <c r="AI283" i="22"/>
  <c r="AX87" i="20"/>
  <c r="BA87" i="20"/>
  <c r="BA85" i="20"/>
  <c r="AG192" i="20"/>
  <c r="O4297" i="19" s="1"/>
  <c r="O4299" i="19" s="1"/>
  <c r="D4295" i="19" s="1"/>
  <c r="H373" i="4" s="1"/>
  <c r="BF117" i="20"/>
  <c r="AU17" i="22"/>
  <c r="CD291" i="22"/>
  <c r="CC291" i="22"/>
  <c r="CD302" i="22"/>
  <c r="CC302" i="22"/>
  <c r="AU14" i="22"/>
  <c r="CQ21" i="22"/>
  <c r="CP21" i="22"/>
  <c r="BA68" i="20"/>
  <c r="M264" i="22"/>
  <c r="O264" i="22" s="1"/>
  <c r="W264" i="22" s="1"/>
  <c r="AK264" i="22"/>
  <c r="BE264" i="22"/>
  <c r="AI264" i="22"/>
  <c r="Z264" i="22"/>
  <c r="AK9" i="22"/>
  <c r="AI9" i="22"/>
  <c r="M9" i="22"/>
  <c r="O9" i="22" s="1"/>
  <c r="BE9" i="22"/>
  <c r="Z9" i="22"/>
  <c r="CD324" i="22"/>
  <c r="CC324" i="22"/>
  <c r="AU13" i="22"/>
  <c r="AX115" i="20"/>
  <c r="BF115" i="20"/>
  <c r="BA115" i="20"/>
  <c r="E4529" i="19"/>
  <c r="E4500" i="19"/>
  <c r="E4502" i="19" s="1"/>
  <c r="D4499" i="19" s="1"/>
  <c r="H43" i="4" s="1"/>
  <c r="W153" i="20"/>
  <c r="BA59" i="20"/>
  <c r="AX59" i="20"/>
  <c r="BF59" i="20"/>
  <c r="M3647" i="19"/>
  <c r="M3666" i="19"/>
  <c r="O3646" i="19"/>
  <c r="M1849" i="19"/>
  <c r="M1851" i="19" s="1"/>
  <c r="D1847" i="19" s="1"/>
  <c r="H757" i="4" s="1"/>
  <c r="O1853" i="19"/>
  <c r="M1853" i="19" s="1"/>
  <c r="M1855" i="19" s="1"/>
  <c r="D1852" i="19" s="1"/>
  <c r="H716" i="4" s="1"/>
  <c r="BD300" i="22"/>
  <c r="AR69" i="20"/>
  <c r="W69" i="20" s="1"/>
  <c r="BA67" i="20"/>
  <c r="AR102" i="20"/>
  <c r="W102" i="20" s="1"/>
  <c r="CO294" i="22"/>
  <c r="CM294" i="22"/>
  <c r="CF294" i="22"/>
  <c r="CE294" i="22"/>
  <c r="AI288" i="22"/>
  <c r="M288" i="22"/>
  <c r="O288" i="22" s="1"/>
  <c r="W288" i="22" s="1"/>
  <c r="BE288" i="22"/>
  <c r="AK288" i="22"/>
  <c r="Z288" i="22"/>
  <c r="AH288" i="22" s="1"/>
  <c r="AR62" i="20"/>
  <c r="W62" i="20" s="1"/>
  <c r="AR72" i="20"/>
  <c r="W72" i="20" s="1"/>
  <c r="AR74" i="20"/>
  <c r="W74" i="20" s="1"/>
  <c r="BG88" i="20"/>
  <c r="BH88" i="20" s="1"/>
  <c r="BF17" i="20"/>
  <c r="BG17" i="20" s="1"/>
  <c r="BI17" i="20" s="1"/>
  <c r="AJ33" i="20"/>
  <c r="BA6" i="20"/>
  <c r="AX6" i="20"/>
  <c r="BF6" i="20"/>
  <c r="BG6" i="20" s="1"/>
  <c r="BI6" i="20" s="1"/>
  <c r="CQ323" i="22"/>
  <c r="CP323" i="22"/>
  <c r="AR64" i="20"/>
  <c r="W64" i="20" s="1"/>
  <c r="BA62" i="20"/>
  <c r="BE277" i="22"/>
  <c r="AI277" i="22"/>
  <c r="AK277" i="22"/>
  <c r="Z277" i="22"/>
  <c r="M277" i="22"/>
  <c r="O277" i="22" s="1"/>
  <c r="W277" i="22" s="1"/>
  <c r="BE269" i="22"/>
  <c r="AK269" i="22"/>
  <c r="AI269" i="22"/>
  <c r="M269" i="22"/>
  <c r="O269" i="22" s="1"/>
  <c r="W269" i="22" s="1"/>
  <c r="Z269" i="22"/>
  <c r="AA269" i="22" s="1"/>
  <c r="M4942" i="19"/>
  <c r="O2590" i="19"/>
  <c r="M2610" i="19"/>
  <c r="N2610" i="19" s="1"/>
  <c r="M2571" i="19"/>
  <c r="O2571" i="19" s="1"/>
  <c r="O2573" i="19" s="1"/>
  <c r="M2591" i="19"/>
  <c r="BC33" i="20"/>
  <c r="O739" i="19" s="1"/>
  <c r="O740" i="19" s="1"/>
  <c r="D737" i="19" s="1"/>
  <c r="H57" i="4" s="1"/>
  <c r="BF185" i="20"/>
  <c r="AX146" i="20"/>
  <c r="BA146" i="20"/>
  <c r="BF146" i="20"/>
  <c r="E3698" i="19"/>
  <c r="N3698" i="19" s="1"/>
  <c r="N3660" i="19"/>
  <c r="CQ20" i="22"/>
  <c r="CP20" i="22"/>
  <c r="AO33" i="20"/>
  <c r="O651" i="19" s="1"/>
  <c r="O653" i="19" s="1"/>
  <c r="D649" i="19" s="1"/>
  <c r="H396" i="4" s="1"/>
  <c r="AU287" i="22"/>
  <c r="AW287" i="22" s="1"/>
  <c r="AI305" i="22"/>
  <c r="M305" i="22"/>
  <c r="O305" i="22" s="1"/>
  <c r="W305" i="22" s="1"/>
  <c r="BE305" i="22"/>
  <c r="AK305" i="22"/>
  <c r="Z305" i="22"/>
  <c r="AA305" i="22" s="1"/>
  <c r="AX62" i="20"/>
  <c r="BF32" i="20"/>
  <c r="M1249" i="19"/>
  <c r="AX83" i="20"/>
  <c r="BA83" i="20"/>
  <c r="BF83" i="20"/>
  <c r="BG83" i="20" s="1"/>
  <c r="BI83" i="20" s="1"/>
  <c r="K2808" i="19"/>
  <c r="K2811" i="19" s="1"/>
  <c r="D2807" i="19" s="1"/>
  <c r="H168" i="4" s="1"/>
  <c r="K2806" i="19"/>
  <c r="D2801" i="19" s="1"/>
  <c r="H837" i="4" s="1"/>
  <c r="O461" i="19"/>
  <c r="M461" i="19" s="1"/>
  <c r="M463" i="19" s="1"/>
  <c r="D460" i="19" s="1"/>
  <c r="H707" i="4" s="1"/>
  <c r="J457" i="19"/>
  <c r="J459" i="19" s="1"/>
  <c r="D455" i="19" s="1"/>
  <c r="H747" i="4" s="1"/>
  <c r="BA113" i="20"/>
  <c r="BA111" i="20"/>
  <c r="AX111" i="20"/>
  <c r="BF111" i="20"/>
  <c r="AX104" i="20"/>
  <c r="AI192" i="20"/>
  <c r="O4307" i="19" s="1"/>
  <c r="O4309" i="19" s="1"/>
  <c r="D4305" i="19" s="1"/>
  <c r="AR83" i="20"/>
  <c r="W83" i="20" s="1"/>
  <c r="BE43" i="20"/>
  <c r="CC203" i="22"/>
  <c r="CD203" i="22"/>
  <c r="AR191" i="20"/>
  <c r="W191" i="20" s="1"/>
  <c r="AR180" i="20"/>
  <c r="W180" i="20" s="1"/>
  <c r="CC317" i="22"/>
  <c r="CD317" i="22"/>
  <c r="CC299" i="22"/>
  <c r="CD299" i="22"/>
  <c r="BQ20" i="22"/>
  <c r="CJ206" i="22"/>
  <c r="AC89" i="20"/>
  <c r="AW329" i="22"/>
  <c r="CC271" i="22"/>
  <c r="CD271" i="22"/>
  <c r="CD319" i="22"/>
  <c r="CC319" i="22"/>
  <c r="CJ278" i="22"/>
  <c r="CP9" i="22"/>
  <c r="CQ9" i="22"/>
  <c r="CQ324" i="22"/>
  <c r="CP324" i="22"/>
  <c r="O534" i="19"/>
  <c r="AU12" i="22"/>
  <c r="AW12" i="22" s="1"/>
  <c r="BQ6" i="22"/>
  <c r="BF200" i="22"/>
  <c r="BG200" i="22"/>
  <c r="BG61" i="20"/>
  <c r="BH61" i="20" s="1"/>
  <c r="AU21" i="22"/>
  <c r="AC33" i="20"/>
  <c r="BH84" i="20"/>
  <c r="AP33" i="20"/>
  <c r="O656" i="19" s="1"/>
  <c r="O658" i="19" s="1"/>
  <c r="D654" i="19" s="1"/>
  <c r="H400" i="4" s="1"/>
  <c r="E4565" i="19"/>
  <c r="E4512" i="19"/>
  <c r="E4514" i="19" s="1"/>
  <c r="D4511" i="19" s="1"/>
  <c r="H30" i="4" s="1"/>
  <c r="BA29" i="20"/>
  <c r="BF153" i="20"/>
  <c r="AP89" i="20"/>
  <c r="O2048" i="19" s="1"/>
  <c r="O2050" i="19" s="1"/>
  <c r="D2046" i="19" s="1"/>
  <c r="H401" i="4" s="1"/>
  <c r="CC277" i="22"/>
  <c r="CD277" i="22"/>
  <c r="BA187" i="20"/>
  <c r="AX185" i="20"/>
  <c r="BA64" i="20"/>
  <c r="CQ305" i="22"/>
  <c r="CP305" i="22"/>
  <c r="AR189" i="20"/>
  <c r="W189" i="20" s="1"/>
  <c r="AX32" i="20"/>
  <c r="BG28" i="20"/>
  <c r="BH28" i="20" s="1"/>
  <c r="O1873" i="19"/>
  <c r="M1873" i="19" s="1"/>
  <c r="M1875" i="19" s="1"/>
  <c r="D1872" i="19" s="1"/>
  <c r="H717" i="4" s="1"/>
  <c r="M1869" i="19"/>
  <c r="M1871" i="19" s="1"/>
  <c r="D1867" i="19" s="1"/>
  <c r="H758" i="4" s="1"/>
  <c r="AX113" i="20"/>
  <c r="AA89" i="20"/>
  <c r="AD89" i="20"/>
  <c r="BG26" i="20"/>
  <c r="BI26" i="20" s="1"/>
  <c r="CQ291" i="22"/>
  <c r="CP291" i="22"/>
  <c r="AW206" i="22"/>
  <c r="M302" i="22"/>
  <c r="O302" i="22" s="1"/>
  <c r="W302" i="22" s="1"/>
  <c r="AK302" i="22"/>
  <c r="AI302" i="22"/>
  <c r="BE302" i="22"/>
  <c r="Z302" i="22"/>
  <c r="AK321" i="22"/>
  <c r="M321" i="22"/>
  <c r="O321" i="22" s="1"/>
  <c r="W321" i="22" s="1"/>
  <c r="AI321" i="22"/>
  <c r="AU292" i="22"/>
  <c r="CF299" i="22"/>
  <c r="CM299" i="22"/>
  <c r="CO299" i="22"/>
  <c r="CE299" i="22"/>
  <c r="BD320" i="22"/>
  <c r="AU274" i="22"/>
  <c r="AW274" i="22" s="1"/>
  <c r="CJ265" i="22"/>
  <c r="AW282" i="22"/>
  <c r="CD281" i="22"/>
  <c r="CC281" i="22"/>
  <c r="CJ317" i="22"/>
  <c r="AK324" i="22"/>
  <c r="AI324" i="22"/>
  <c r="M324" i="22"/>
  <c r="O324" i="22" s="1"/>
  <c r="W324" i="22" s="1"/>
  <c r="Z324" i="22"/>
  <c r="AH324" i="22" s="1"/>
  <c r="CJ6" i="22"/>
  <c r="O3638" i="19"/>
  <c r="E1249" i="19"/>
  <c r="I1211" i="19"/>
  <c r="N1211" i="19" s="1"/>
  <c r="N2915" i="19"/>
  <c r="BH12" i="20"/>
  <c r="K1682" i="19"/>
  <c r="K1685" i="19" s="1"/>
  <c r="D1681" i="19" s="1"/>
  <c r="H165" i="4" s="1"/>
  <c r="K1680" i="19"/>
  <c r="D1675" i="19" s="1"/>
  <c r="H834" i="4" s="1"/>
  <c r="AR20" i="20"/>
  <c r="W20" i="20" s="1"/>
  <c r="O1911" i="19"/>
  <c r="D1895" i="19" s="1"/>
  <c r="H487" i="4" s="1"/>
  <c r="O1946" i="19"/>
  <c r="AR142" i="20"/>
  <c r="W142" i="20" s="1"/>
  <c r="O2181" i="19"/>
  <c r="O2189" i="19" s="1"/>
  <c r="M2189" i="19" s="1"/>
  <c r="D2115" i="19"/>
  <c r="H636" i="4" s="1"/>
  <c r="BG173" i="20"/>
  <c r="BH173" i="20" s="1"/>
  <c r="O3918" i="19"/>
  <c r="D3902" i="19"/>
  <c r="H108" i="4" s="1"/>
  <c r="AX119" i="20"/>
  <c r="AW262" i="22"/>
  <c r="AU303" i="22"/>
  <c r="AW303" i="22" s="1"/>
  <c r="O2180" i="19"/>
  <c r="O2188" i="19" s="1"/>
  <c r="M2188" i="19" s="1"/>
  <c r="D2111" i="19"/>
  <c r="H641" i="4" s="1"/>
  <c r="O5174" i="19"/>
  <c r="D5158" i="19"/>
  <c r="H115" i="4" s="1"/>
  <c r="AK331" i="22"/>
  <c r="M331" i="22"/>
  <c r="O331" i="22" s="1"/>
  <c r="W331" i="22" s="1"/>
  <c r="AI331" i="22"/>
  <c r="AE89" i="20"/>
  <c r="AX187" i="20"/>
  <c r="O4122" i="19"/>
  <c r="M4122" i="19" s="1"/>
  <c r="M4124" i="19" s="1"/>
  <c r="D4120" i="19" s="1"/>
  <c r="H734" i="4" s="1"/>
  <c r="M4117" i="19"/>
  <c r="M4119" i="19" s="1"/>
  <c r="D4115" i="19" s="1"/>
  <c r="H777" i="4" s="1"/>
  <c r="AX143" i="20"/>
  <c r="BF143" i="20"/>
  <c r="BA143" i="20"/>
  <c r="K5190" i="19"/>
  <c r="K5193" i="19" s="1"/>
  <c r="D5189" i="19" s="1"/>
  <c r="H174" i="4" s="1"/>
  <c r="K5188" i="19"/>
  <c r="D5183" i="19" s="1"/>
  <c r="H843" i="4" s="1"/>
  <c r="BE291" i="22"/>
  <c r="AK291" i="22"/>
  <c r="AI291" i="22"/>
  <c r="M291" i="22"/>
  <c r="O291" i="22" s="1"/>
  <c r="W291" i="22" s="1"/>
  <c r="Z291" i="22"/>
  <c r="AG291" i="22" s="1"/>
  <c r="AU286" i="22"/>
  <c r="AK203" i="22"/>
  <c r="AI203" i="22"/>
  <c r="M203" i="22"/>
  <c r="O203" i="22" s="1"/>
  <c r="BE203" i="22"/>
  <c r="Z203" i="22"/>
  <c r="AH203" i="22" s="1"/>
  <c r="CQ302" i="22"/>
  <c r="CP302" i="22"/>
  <c r="CP317" i="22"/>
  <c r="CQ317" i="22"/>
  <c r="BS20" i="22"/>
  <c r="CC278" i="22"/>
  <c r="CD278" i="22"/>
  <c r="AK271" i="22"/>
  <c r="BE271" i="22"/>
  <c r="AI271" i="22"/>
  <c r="M271" i="22"/>
  <c r="O271" i="22" s="1"/>
  <c r="W271" i="22" s="1"/>
  <c r="Z271" i="22"/>
  <c r="AH271" i="22" s="1"/>
  <c r="CD14" i="22"/>
  <c r="CC14" i="22"/>
  <c r="CC304" i="22"/>
  <c r="CD304" i="22"/>
  <c r="CD16" i="22"/>
  <c r="CC16" i="22"/>
  <c r="AU328" i="22"/>
  <c r="BD328" i="22"/>
  <c r="I3658" i="19"/>
  <c r="N3658" i="19" s="1"/>
  <c r="E3696" i="19"/>
  <c r="AK299" i="22"/>
  <c r="BE299" i="22"/>
  <c r="M299" i="22"/>
  <c r="AI299" i="22"/>
  <c r="BR6" i="22"/>
  <c r="O1191" i="19"/>
  <c r="AR174" i="20"/>
  <c r="W174" i="20" s="1"/>
  <c r="L575" i="4"/>
  <c r="CF297" i="22"/>
  <c r="CE297" i="22"/>
  <c r="CO297" i="22"/>
  <c r="CM297" i="22"/>
  <c r="AX17" i="20"/>
  <c r="BG154" i="20"/>
  <c r="BH154" i="20" s="1"/>
  <c r="BA77" i="20"/>
  <c r="M1257" i="19"/>
  <c r="N1257" i="19" s="1"/>
  <c r="N1223" i="19"/>
  <c r="BM192" i="20"/>
  <c r="O4456" i="19" s="1"/>
  <c r="K4457" i="19" s="1"/>
  <c r="K4458" i="19" s="1"/>
  <c r="D4455" i="19" s="1"/>
  <c r="H85" i="4" s="1"/>
  <c r="AR106" i="20"/>
  <c r="W106" i="20" s="1"/>
  <c r="CQ277" i="22"/>
  <c r="CP277" i="22"/>
  <c r="K3932" i="19"/>
  <c r="D3927" i="19" s="1"/>
  <c r="H840" i="4" s="1"/>
  <c r="K3934" i="19"/>
  <c r="K3937" i="19" s="1"/>
  <c r="D3933" i="19" s="1"/>
  <c r="H171" i="4" s="1"/>
  <c r="AI294" i="22"/>
  <c r="AA294" i="22"/>
  <c r="BE294" i="22"/>
  <c r="M294" i="22"/>
  <c r="O294" i="22" s="1"/>
  <c r="W294" i="22" s="1"/>
  <c r="AK294" i="22"/>
  <c r="BU122" i="20"/>
  <c r="AO89" i="20"/>
  <c r="O2043" i="19" s="1"/>
  <c r="O2045" i="19" s="1"/>
  <c r="D2041" i="19" s="1"/>
  <c r="H397" i="4" s="1"/>
  <c r="M319" i="22"/>
  <c r="O319" i="22" s="1"/>
  <c r="W319" i="22" s="1"/>
  <c r="AK319" i="22"/>
  <c r="AI319" i="22"/>
  <c r="AX76" i="20"/>
  <c r="BF76" i="20"/>
  <c r="BA76" i="20"/>
  <c r="O4963" i="19"/>
  <c r="O4966" i="19" s="1"/>
  <c r="D4960" i="19" s="1"/>
  <c r="H185" i="4" s="1"/>
  <c r="E4969" i="19"/>
  <c r="D3216" i="19"/>
  <c r="H643" i="4" s="1"/>
  <c r="O3285" i="19"/>
  <c r="O3293" i="19" s="1"/>
  <c r="M3293" i="19" s="1"/>
  <c r="AR56" i="20"/>
  <c r="W56" i="20" s="1"/>
  <c r="CJ277" i="22"/>
  <c r="AK89" i="20"/>
  <c r="O2023" i="19" s="1"/>
  <c r="O2025" i="19" s="1"/>
  <c r="D2021" i="19" s="1"/>
  <c r="H355" i="4" s="1"/>
  <c r="AX144" i="20"/>
  <c r="AF89" i="20"/>
  <c r="O1998" i="19" s="1"/>
  <c r="O2000" i="19" s="1"/>
  <c r="D1996" i="19" s="1"/>
  <c r="H332" i="4" s="1"/>
  <c r="AR109" i="20"/>
  <c r="W109" i="20" s="1"/>
  <c r="AX60" i="20"/>
  <c r="BA60" i="20"/>
  <c r="BF53" i="20"/>
  <c r="BG53" i="20" s="1"/>
  <c r="BI53" i="20" s="1"/>
  <c r="BG105" i="20"/>
  <c r="BI105" i="20" s="1"/>
  <c r="CJ315" i="22"/>
  <c r="AU278" i="22"/>
  <c r="AI318" i="22"/>
  <c r="M318" i="22"/>
  <c r="O318" i="22" s="1"/>
  <c r="W318" i="22" s="1"/>
  <c r="AK318" i="22"/>
  <c r="AI317" i="22"/>
  <c r="AK317" i="22"/>
  <c r="M317" i="22"/>
  <c r="O317" i="22" s="1"/>
  <c r="W317" i="22" s="1"/>
  <c r="Z317" i="22"/>
  <c r="AH317" i="22" s="1"/>
  <c r="AU309" i="22"/>
  <c r="O1299" i="19"/>
  <c r="O1303" i="19" s="1"/>
  <c r="D1297" i="19" s="1"/>
  <c r="H474" i="4" s="1"/>
  <c r="M1292" i="19"/>
  <c r="M1296" i="19" s="1"/>
  <c r="D1289" i="19" s="1"/>
  <c r="H712" i="4" s="1"/>
  <c r="AI278" i="22"/>
  <c r="AK278" i="22"/>
  <c r="BE278" i="22"/>
  <c r="M278" i="22"/>
  <c r="O278" i="22" s="1"/>
  <c r="W278" i="22" s="1"/>
  <c r="Z278" i="22"/>
  <c r="AA278" i="22" s="1"/>
  <c r="CP271" i="22"/>
  <c r="CQ271" i="22"/>
  <c r="CJ328" i="22"/>
  <c r="CF319" i="22"/>
  <c r="CO319" i="22"/>
  <c r="CM319" i="22"/>
  <c r="CE319" i="22"/>
  <c r="CG19" i="22"/>
  <c r="CH19" i="22" s="1"/>
  <c r="AU271" i="22"/>
  <c r="AK281" i="22"/>
  <c r="M281" i="22"/>
  <c r="O281" i="22" s="1"/>
  <c r="W281" i="22" s="1"/>
  <c r="AI281" i="22"/>
  <c r="BE281" i="22"/>
  <c r="Z281" i="22"/>
  <c r="AO246" i="22"/>
  <c r="O3513" i="19" s="1"/>
  <c r="M14" i="22"/>
  <c r="O14" i="22" s="1"/>
  <c r="AK14" i="22"/>
  <c r="AI14" i="22"/>
  <c r="BE14" i="22"/>
  <c r="Z14" i="22"/>
  <c r="M16" i="22"/>
  <c r="O16" i="22" s="1"/>
  <c r="AK16" i="22"/>
  <c r="AI16" i="22"/>
  <c r="BE16" i="22"/>
  <c r="Z16" i="22"/>
  <c r="AA16" i="22" s="1"/>
  <c r="K518" i="19"/>
  <c r="E531" i="19" s="1"/>
  <c r="D516" i="19" s="1"/>
  <c r="H666" i="4" s="1"/>
  <c r="CJ291" i="22"/>
  <c r="CG15" i="22"/>
  <c r="CH15" i="22" s="1"/>
  <c r="BG182" i="20"/>
  <c r="BI182" i="20" s="1"/>
  <c r="AR113" i="20"/>
  <c r="W113" i="20" s="1"/>
  <c r="M333" i="19"/>
  <c r="N335" i="19" s="1"/>
  <c r="N337" i="19" s="1"/>
  <c r="D330" i="19" s="1"/>
  <c r="H590" i="4" s="1"/>
  <c r="E340" i="19"/>
  <c r="BE192" i="20"/>
  <c r="BG141" i="20"/>
  <c r="BG152" i="20"/>
  <c r="BI152" i="20" s="1"/>
  <c r="AX77" i="20"/>
  <c r="W53" i="20"/>
  <c r="AX100" i="20"/>
  <c r="AJ120" i="20"/>
  <c r="BA100" i="20"/>
  <c r="BF100" i="20"/>
  <c r="BG100" i="20" s="1"/>
  <c r="AN89" i="20"/>
  <c r="O2038" i="19" s="1"/>
  <c r="O2040" i="19" s="1"/>
  <c r="D2036" i="19" s="1"/>
  <c r="H351" i="4" s="1"/>
  <c r="AX176" i="20"/>
  <c r="BF176" i="20"/>
  <c r="BA176" i="20"/>
  <c r="K1930" i="19"/>
  <c r="E1943" i="19" s="1"/>
  <c r="D1928" i="19" s="1"/>
  <c r="H667" i="4" s="1"/>
  <c r="E1927" i="19"/>
  <c r="BG50" i="20"/>
  <c r="BI50" i="20" s="1"/>
  <c r="BG186" i="20"/>
  <c r="BI186" i="20" s="1"/>
  <c r="CD295" i="22"/>
  <c r="CC295" i="22"/>
  <c r="AU22" i="22"/>
  <c r="AW22" i="22" s="1"/>
  <c r="BV122" i="20"/>
  <c r="M5303" i="19"/>
  <c r="M5305" i="19" s="1"/>
  <c r="D5301" i="19" s="1"/>
  <c r="H742" i="4" s="1"/>
  <c r="O5308" i="19"/>
  <c r="O5310" i="19" s="1"/>
  <c r="D5306" i="19" s="1"/>
  <c r="H483" i="4" s="1"/>
  <c r="AU276" i="22"/>
  <c r="AR17" i="20"/>
  <c r="W17" i="20" s="1"/>
  <c r="AW318" i="22"/>
  <c r="E2861" i="19"/>
  <c r="M2854" i="19"/>
  <c r="N2856" i="19" s="1"/>
  <c r="N2858" i="19" s="1"/>
  <c r="D2851" i="19" s="1"/>
  <c r="H592" i="4" s="1"/>
  <c r="BA183" i="20"/>
  <c r="AX171" i="20"/>
  <c r="AR68" i="20"/>
  <c r="W68" i="20" s="1"/>
  <c r="W144" i="20"/>
  <c r="AR81" i="20"/>
  <c r="W81" i="20" s="1"/>
  <c r="BG167" i="20"/>
  <c r="BI167" i="20" s="1"/>
  <c r="AT96" i="22"/>
  <c r="O1044" i="19" s="1"/>
  <c r="O1047" i="19" s="1"/>
  <c r="D1043" i="19" s="1"/>
  <c r="H495" i="4" s="1"/>
  <c r="AU11" i="22"/>
  <c r="AX69" i="20"/>
  <c r="AU314" i="22"/>
  <c r="AW314" i="22" s="1"/>
  <c r="BD314" i="22"/>
  <c r="CP203" i="22"/>
  <c r="CQ203" i="22"/>
  <c r="BD7" i="22"/>
  <c r="CC328" i="22"/>
  <c r="CD328" i="22"/>
  <c r="AK282" i="22"/>
  <c r="M282" i="22"/>
  <c r="O282" i="22" s="1"/>
  <c r="W282" i="22" s="1"/>
  <c r="AA282" i="22"/>
  <c r="BE282" i="22"/>
  <c r="AI282" i="22"/>
  <c r="AW302" i="22"/>
  <c r="CP278" i="22"/>
  <c r="CQ278" i="22"/>
  <c r="AU16" i="22"/>
  <c r="AW16" i="22" s="1"/>
  <c r="BD319" i="22"/>
  <c r="CQ281" i="22"/>
  <c r="CP281" i="22"/>
  <c r="CQ14" i="22"/>
  <c r="CP14" i="22"/>
  <c r="CQ304" i="22"/>
  <c r="CP304" i="22"/>
  <c r="CP16" i="22"/>
  <c r="CQ16" i="22"/>
  <c r="AU270" i="22"/>
  <c r="AW324" i="22"/>
  <c r="AW325" i="22"/>
  <c r="BS6" i="22"/>
  <c r="AR178" i="20"/>
  <c r="W178" i="20" s="1"/>
  <c r="AT192" i="20"/>
  <c r="AQ120" i="20"/>
  <c r="BG159" i="20"/>
  <c r="BH159" i="20" s="1"/>
  <c r="AR168" i="20"/>
  <c r="W168" i="20" s="1"/>
  <c r="CD307" i="22"/>
  <c r="CC307" i="22"/>
  <c r="BG172" i="20"/>
  <c r="BI172" i="20" s="1"/>
  <c r="M1205" i="19"/>
  <c r="M1185" i="19"/>
  <c r="O1185" i="19" s="1"/>
  <c r="O1187" i="19" s="1"/>
  <c r="O1204" i="19"/>
  <c r="M1224" i="19"/>
  <c r="N1224" i="19" s="1"/>
  <c r="CO295" i="22"/>
  <c r="CM295" i="22"/>
  <c r="CF295" i="22"/>
  <c r="CE295" i="22"/>
  <c r="CC318" i="22"/>
  <c r="CD318" i="22"/>
  <c r="CD206" i="22"/>
  <c r="CC206" i="22"/>
  <c r="AX49" i="20"/>
  <c r="AR14" i="20"/>
  <c r="W14" i="20" s="1"/>
  <c r="AI330" i="22"/>
  <c r="AK330" i="22"/>
  <c r="M330" i="22"/>
  <c r="O330" i="22" s="1"/>
  <c r="W330" i="22" s="1"/>
  <c r="BG77" i="20"/>
  <c r="BI77" i="20" s="1"/>
  <c r="M2586" i="19"/>
  <c r="O2585" i="19"/>
  <c r="M2605" i="19"/>
  <c r="BE120" i="20"/>
  <c r="AV96" i="22"/>
  <c r="O1009" i="19" s="1"/>
  <c r="O1011" i="19" s="1"/>
  <c r="CJ305" i="22"/>
  <c r="O3007" i="19"/>
  <c r="D2991" i="19" s="1"/>
  <c r="H488" i="4" s="1"/>
  <c r="O3042" i="19"/>
  <c r="J20" i="22"/>
  <c r="CJ302" i="22"/>
  <c r="CD22" i="22"/>
  <c r="CC22" i="22"/>
  <c r="AK308" i="22"/>
  <c r="M308" i="22"/>
  <c r="O308" i="22" s="1"/>
  <c r="W308" i="22" s="1"/>
  <c r="BE308" i="22"/>
  <c r="AI308" i="22"/>
  <c r="AU268" i="22"/>
  <c r="BD299" i="22"/>
  <c r="M304" i="22"/>
  <c r="O304" i="22" s="1"/>
  <c r="W304" i="22" s="1"/>
  <c r="AI304" i="22"/>
  <c r="BE304" i="22"/>
  <c r="AK304" i="22"/>
  <c r="Z304" i="22"/>
  <c r="AA304" i="22" s="1"/>
  <c r="CD282" i="22"/>
  <c r="CC282" i="22"/>
  <c r="CC280" i="22"/>
  <c r="CD280" i="22"/>
  <c r="E4196" i="19"/>
  <c r="O4196" i="19" s="1"/>
  <c r="D4161" i="19"/>
  <c r="H675" i="4" s="1"/>
  <c r="BG74" i="20"/>
  <c r="BH74" i="20" s="1"/>
  <c r="AR67" i="20"/>
  <c r="W67" i="20" s="1"/>
  <c r="AW294" i="22"/>
  <c r="BG296" i="22"/>
  <c r="BF296" i="22"/>
  <c r="AR179" i="20"/>
  <c r="W179" i="20" s="1"/>
  <c r="AR32" i="20"/>
  <c r="W32" i="20" s="1"/>
  <c r="AX56" i="20"/>
  <c r="BF56" i="20"/>
  <c r="BA56" i="20"/>
  <c r="AW327" i="22"/>
  <c r="N3662" i="19"/>
  <c r="M3700" i="19"/>
  <c r="N3700" i="19" s="1"/>
  <c r="BA153" i="20"/>
  <c r="BF183" i="20"/>
  <c r="AX106" i="20"/>
  <c r="BA106" i="20"/>
  <c r="BF106" i="20"/>
  <c r="BF119" i="20"/>
  <c r="BG119" i="20" s="1"/>
  <c r="BI119" i="20" s="1"/>
  <c r="I4904" i="19"/>
  <c r="N4904" i="19" s="1"/>
  <c r="E4942" i="19"/>
  <c r="BH45" i="20"/>
  <c r="BF191" i="20"/>
  <c r="BG191" i="20" s="1"/>
  <c r="BI191" i="20" s="1"/>
  <c r="BG62" i="20"/>
  <c r="BH62" i="20" s="1"/>
  <c r="AX68" i="20"/>
  <c r="BF68" i="20"/>
  <c r="AR175" i="20"/>
  <c r="W175" i="20" s="1"/>
  <c r="CC315" i="22"/>
  <c r="CD315" i="22"/>
  <c r="AK206" i="22"/>
  <c r="AI206" i="22"/>
  <c r="M206" i="22"/>
  <c r="O206" i="22" s="1"/>
  <c r="BE206" i="22"/>
  <c r="Z206" i="22"/>
  <c r="AA206" i="22" s="1"/>
  <c r="BG49" i="20"/>
  <c r="BH49" i="20" s="1"/>
  <c r="BG79" i="20"/>
  <c r="BI79" i="20" s="1"/>
  <c r="AU266" i="22"/>
  <c r="AR100" i="20"/>
  <c r="W100" i="20" s="1"/>
  <c r="BG16" i="20"/>
  <c r="BI16" i="20" s="1"/>
  <c r="AX67" i="20"/>
  <c r="BF58" i="20"/>
  <c r="AX153" i="20"/>
  <c r="BG174" i="20"/>
  <c r="BI174" i="20" s="1"/>
  <c r="AU315" i="22"/>
  <c r="AW315" i="22" s="1"/>
  <c r="BD315" i="22"/>
  <c r="AW261" i="22"/>
  <c r="AX20" i="20"/>
  <c r="AR173" i="20"/>
  <c r="W173" i="20" s="1"/>
  <c r="AR111" i="20"/>
  <c r="W111" i="20" s="1"/>
  <c r="CJ263" i="22"/>
  <c r="CC275" i="22"/>
  <c r="CD275" i="22"/>
  <c r="CJ275" i="22"/>
  <c r="AU20" i="22"/>
  <c r="AL20" i="22"/>
  <c r="M328" i="22"/>
  <c r="O328" i="22" s="1"/>
  <c r="W328" i="22" s="1"/>
  <c r="AK328" i="22"/>
  <c r="AI328" i="22"/>
  <c r="Z328" i="22"/>
  <c r="BD9" i="22"/>
  <c r="CD274" i="22"/>
  <c r="CC274" i="22"/>
  <c r="CD326" i="22"/>
  <c r="CC326" i="22"/>
  <c r="CS96" i="22"/>
  <c r="O551" i="19" s="1"/>
  <c r="CM282" i="22"/>
  <c r="CE282" i="22"/>
  <c r="CO282" i="22"/>
  <c r="CF282" i="22"/>
  <c r="AX102" i="20"/>
  <c r="BF102" i="20"/>
  <c r="BA102" i="20"/>
  <c r="AX65" i="20"/>
  <c r="BF65" i="20"/>
  <c r="BG65" i="20" s="1"/>
  <c r="BI65" i="20" s="1"/>
  <c r="BA65" i="20"/>
  <c r="CD297" i="22"/>
  <c r="CC297" i="22"/>
  <c r="BF25" i="20"/>
  <c r="AX25" i="20"/>
  <c r="BA25" i="20"/>
  <c r="AX47" i="20"/>
  <c r="AR65" i="20"/>
  <c r="W65" i="20" s="1"/>
  <c r="AW295" i="22"/>
  <c r="M1201" i="19"/>
  <c r="O1200" i="19"/>
  <c r="M1220" i="19"/>
  <c r="N1220" i="19" s="1"/>
  <c r="O3643" i="19"/>
  <c r="M3663" i="19"/>
  <c r="N3663" i="19" s="1"/>
  <c r="M3644" i="19"/>
  <c r="E844" i="19"/>
  <c r="K844" i="19" s="1"/>
  <c r="K846" i="19" s="1"/>
  <c r="D843" i="19" s="1"/>
  <c r="H150" i="4" s="1"/>
  <c r="E854" i="19"/>
  <c r="D851" i="19" s="1"/>
  <c r="H820" i="4" s="1"/>
  <c r="CQ307" i="22"/>
  <c r="CP307" i="22"/>
  <c r="BG148" i="20"/>
  <c r="BI148" i="20" s="1"/>
  <c r="AX191" i="20"/>
  <c r="AX14" i="20"/>
  <c r="AT33" i="20"/>
  <c r="AK315" i="22"/>
  <c r="AI315" i="22"/>
  <c r="M315" i="22"/>
  <c r="O315" i="22" s="1"/>
  <c r="W315" i="22" s="1"/>
  <c r="Z315" i="22"/>
  <c r="AH315" i="22" s="1"/>
  <c r="M3671" i="19"/>
  <c r="N3671" i="19" s="1"/>
  <c r="M3632" i="19"/>
  <c r="O3632" i="19" s="1"/>
  <c r="O3634" i="19" s="1"/>
  <c r="M3652" i="19"/>
  <c r="O3651" i="19"/>
  <c r="BG51" i="20"/>
  <c r="BH51" i="20" s="1"/>
  <c r="AL89" i="20"/>
  <c r="O2028" i="19" s="1"/>
  <c r="O2030" i="19" s="1"/>
  <c r="D2026" i="19" s="1"/>
  <c r="H321" i="4" s="1"/>
  <c r="V89" i="20"/>
  <c r="BA58" i="20"/>
  <c r="AG33" i="20"/>
  <c r="O611" i="19" s="1"/>
  <c r="O613" i="19" s="1"/>
  <c r="D609" i="19" s="1"/>
  <c r="H368" i="4" s="1"/>
  <c r="BG82" i="20"/>
  <c r="BH82" i="20" s="1"/>
  <c r="AR44" i="20"/>
  <c r="AR115" i="20"/>
  <c r="W115" i="20" s="1"/>
  <c r="AF192" i="20"/>
  <c r="O4292" i="19" s="1"/>
  <c r="O4294" i="19" s="1"/>
  <c r="D4290" i="19" s="1"/>
  <c r="H334" i="4" s="1"/>
  <c r="N2599" i="19"/>
  <c r="M2637" i="19"/>
  <c r="N2637" i="19" s="1"/>
  <c r="AR87" i="20"/>
  <c r="W87" i="20" s="1"/>
  <c r="CQ275" i="22"/>
  <c r="CP275" i="22"/>
  <c r="CC263" i="22"/>
  <c r="CD263" i="22"/>
  <c r="BG297" i="22"/>
  <c r="BF297" i="22"/>
  <c r="BF18" i="20"/>
  <c r="CP328" i="22"/>
  <c r="CQ328" i="22"/>
  <c r="AI7" i="22"/>
  <c r="BE7" i="22"/>
  <c r="M7" i="22"/>
  <c r="O7" i="22" s="1"/>
  <c r="AK7" i="22"/>
  <c r="CD6" i="22"/>
  <c r="CC6" i="22"/>
  <c r="AX86" i="20"/>
  <c r="BA86" i="20"/>
  <c r="M22" i="22"/>
  <c r="O22" i="22" s="1"/>
  <c r="AK22" i="22"/>
  <c r="AI22" i="22"/>
  <c r="BE22" i="22"/>
  <c r="Z22" i="22"/>
  <c r="AA22" i="22" s="1"/>
  <c r="CD289" i="22"/>
  <c r="CC289" i="22"/>
  <c r="CD322" i="22"/>
  <c r="CC322" i="22"/>
  <c r="AI280" i="22"/>
  <c r="AK280" i="22"/>
  <c r="M280" i="22"/>
  <c r="O280" i="22" s="1"/>
  <c r="W280" i="22" s="1"/>
  <c r="BE280" i="22"/>
  <c r="Z280" i="22"/>
  <c r="CC310" i="22"/>
  <c r="CD310" i="22"/>
  <c r="CJ271" i="22"/>
  <c r="BD322" i="22"/>
  <c r="AU6" i="22"/>
  <c r="AW6" i="22" s="1"/>
  <c r="BD6" i="22"/>
  <c r="AT89" i="20"/>
  <c r="AX50" i="20"/>
  <c r="BA50" i="20"/>
  <c r="N4906" i="19"/>
  <c r="O1666" i="19"/>
  <c r="D1650" i="19"/>
  <c r="H95" i="4" s="1"/>
  <c r="M1255" i="19"/>
  <c r="N1255" i="19" s="1"/>
  <c r="N1219" i="19"/>
  <c r="BH177" i="20"/>
  <c r="M307" i="22"/>
  <c r="O307" i="22" s="1"/>
  <c r="W307" i="22" s="1"/>
  <c r="AK307" i="22"/>
  <c r="AI307" i="22"/>
  <c r="BE307" i="22"/>
  <c r="Z307" i="22"/>
  <c r="BH57" i="20"/>
  <c r="AX142" i="20"/>
  <c r="BA142" i="20"/>
  <c r="BF142" i="20"/>
  <c r="AX117" i="20"/>
  <c r="BD318" i="22"/>
  <c r="AX70" i="20"/>
  <c r="BF107" i="20"/>
  <c r="BA107" i="20"/>
  <c r="AX107" i="20"/>
  <c r="AX145" i="20"/>
  <c r="BA145" i="20"/>
  <c r="BF145" i="20"/>
  <c r="BG145" i="20" s="1"/>
  <c r="BI145" i="20" s="1"/>
  <c r="AR176" i="20"/>
  <c r="W176" i="20" s="1"/>
  <c r="AA192" i="20"/>
  <c r="BE33" i="20"/>
  <c r="CP315" i="22"/>
  <c r="CQ315" i="22"/>
  <c r="CQ206" i="22"/>
  <c r="CP206" i="22"/>
  <c r="AL33" i="20"/>
  <c r="O636" i="19" s="1"/>
  <c r="O638" i="19" s="1"/>
  <c r="D634" i="19" s="1"/>
  <c r="H318" i="4" s="1"/>
  <c r="BG116" i="20"/>
  <c r="BH116" i="20" s="1"/>
  <c r="AU15" i="22"/>
  <c r="AX10" i="20"/>
  <c r="BA10" i="20"/>
  <c r="BF10" i="20"/>
  <c r="BC192" i="20"/>
  <c r="O4433" i="19" s="1"/>
  <c r="O4434" i="19" s="1"/>
  <c r="D4431" i="19" s="1"/>
  <c r="H67" i="4" s="1"/>
  <c r="AR30" i="20"/>
  <c r="W30" i="20" s="1"/>
  <c r="CD314" i="22"/>
  <c r="CC314" i="22"/>
  <c r="AX53" i="20"/>
  <c r="BA20" i="20"/>
  <c r="BG180" i="20"/>
  <c r="BH180" i="20" s="1"/>
  <c r="M4878" i="19"/>
  <c r="O4878" i="19" s="1"/>
  <c r="O4880" i="19" s="1"/>
  <c r="M4917" i="19"/>
  <c r="N4917" i="19" s="1"/>
  <c r="M4898" i="19"/>
  <c r="O4897" i="19"/>
  <c r="BG169" i="20"/>
  <c r="BH169" i="20" s="1"/>
  <c r="AM96" i="22"/>
  <c r="O1005" i="19" s="1"/>
  <c r="O1007" i="19" s="1"/>
  <c r="AW265" i="22"/>
  <c r="AI11" i="22"/>
  <c r="BE11" i="22"/>
  <c r="M11" i="22"/>
  <c r="O11" i="22" s="1"/>
  <c r="AB11" i="22" s="1"/>
  <c r="AK11" i="22"/>
  <c r="AU326" i="22"/>
  <c r="BD326" i="22"/>
  <c r="AW275" i="22"/>
  <c r="K3026" i="19"/>
  <c r="E3039" i="19" s="1"/>
  <c r="D3024" i="19" s="1"/>
  <c r="H668" i="4" s="1"/>
  <c r="E3023" i="19"/>
  <c r="O2579" i="19"/>
  <c r="AU279" i="22"/>
  <c r="AW279" i="22" s="1"/>
  <c r="CP22" i="22"/>
  <c r="CQ22" i="22"/>
  <c r="M274" i="22"/>
  <c r="O274" i="22" s="1"/>
  <c r="W274" i="22" s="1"/>
  <c r="AK274" i="22"/>
  <c r="AI274" i="22"/>
  <c r="Z274" i="22"/>
  <c r="BE274" i="22"/>
  <c r="W51" i="20"/>
  <c r="O1135" i="19"/>
  <c r="AW289" i="22"/>
  <c r="AI326" i="22"/>
  <c r="M326" i="22"/>
  <c r="O326" i="22" s="1"/>
  <c r="W326" i="22" s="1"/>
  <c r="Z326" i="22"/>
  <c r="AK326" i="22"/>
  <c r="CD21" i="22"/>
  <c r="CC21" i="22"/>
  <c r="AH282" i="22"/>
  <c r="CD264" i="22"/>
  <c r="CC264" i="22"/>
  <c r="CF322" i="22"/>
  <c r="CE322" i="22"/>
  <c r="CO322" i="22"/>
  <c r="CM322" i="22"/>
  <c r="CQ280" i="22"/>
  <c r="CP280" i="22"/>
  <c r="CD266" i="22"/>
  <c r="CC266" i="22"/>
  <c r="AW24" i="22"/>
  <c r="L225" i="4" l="1"/>
  <c r="BH80" i="20"/>
  <c r="BG233" i="22"/>
  <c r="CC37" i="20"/>
  <c r="E815" i="19" s="1"/>
  <c r="E817" i="19" s="1"/>
  <c r="D814" i="19" s="1"/>
  <c r="H24" i="4" s="1"/>
  <c r="BG162" i="20"/>
  <c r="BI162" i="20" s="1"/>
  <c r="BI31" i="20"/>
  <c r="E836" i="19"/>
  <c r="BH63" i="20"/>
  <c r="AA344" i="22"/>
  <c r="W213" i="22"/>
  <c r="AB202" i="22"/>
  <c r="CA202" i="22"/>
  <c r="BZ202" i="22"/>
  <c r="E856" i="19"/>
  <c r="K856" i="19" s="1"/>
  <c r="K858" i="19" s="1"/>
  <c r="D855" i="19" s="1"/>
  <c r="H134" i="4" s="1"/>
  <c r="CG329" i="22"/>
  <c r="CH329" i="22" s="1"/>
  <c r="W55" i="22"/>
  <c r="AF55" i="22"/>
  <c r="L63" i="4"/>
  <c r="L503" i="4"/>
  <c r="L733" i="4"/>
  <c r="L439" i="4"/>
  <c r="L81" i="4"/>
  <c r="L500" i="4"/>
  <c r="E2271" i="19"/>
  <c r="D2268" i="19" s="1"/>
  <c r="H815" i="4" s="1"/>
  <c r="BU93" i="20"/>
  <c r="E2192" i="19" s="1"/>
  <c r="E2194" i="19" s="1"/>
  <c r="D2191" i="19" s="1"/>
  <c r="H41" i="4" s="1"/>
  <c r="CK37" i="20"/>
  <c r="E823" i="19" s="1"/>
  <c r="E825" i="19" s="1"/>
  <c r="D822" i="19" s="1"/>
  <c r="H32" i="4" s="1"/>
  <c r="BG189" i="20"/>
  <c r="BI189" i="20" s="1"/>
  <c r="E2221" i="19"/>
  <c r="E2217" i="19" s="1"/>
  <c r="K2217" i="19" s="1"/>
  <c r="K2219" i="19" s="1"/>
  <c r="BH155" i="20"/>
  <c r="E4508" i="19"/>
  <c r="E4510" i="19" s="1"/>
  <c r="D4507" i="19" s="1"/>
  <c r="H26" i="4" s="1"/>
  <c r="BJ34" i="20"/>
  <c r="BH87" i="20"/>
  <c r="E2257" i="19"/>
  <c r="E2259" i="19" s="1"/>
  <c r="D2256" i="19" s="1"/>
  <c r="H802" i="4" s="1"/>
  <c r="CC93" i="20"/>
  <c r="E2200" i="19" s="1"/>
  <c r="E2202" i="19" s="1"/>
  <c r="D2199" i="19" s="1"/>
  <c r="H25" i="4" s="1"/>
  <c r="E3318" i="19"/>
  <c r="E3314" i="19" s="1"/>
  <c r="K3314" i="19" s="1"/>
  <c r="K3316" i="19" s="1"/>
  <c r="BU124" i="20"/>
  <c r="E3297" i="19" s="1"/>
  <c r="E3299" i="19" s="1"/>
  <c r="D3296" i="19" s="1"/>
  <c r="H42" i="4" s="1"/>
  <c r="E3338" i="19"/>
  <c r="CK124" i="20"/>
  <c r="E3305" i="19" s="1"/>
  <c r="E3307" i="19" s="1"/>
  <c r="D3304" i="19" s="1"/>
  <c r="H34" i="4" s="1"/>
  <c r="W338" i="22"/>
  <c r="BF234" i="22"/>
  <c r="CG354" i="22"/>
  <c r="CH354" i="22" s="1"/>
  <c r="AA207" i="22"/>
  <c r="BF245" i="22"/>
  <c r="AG311" i="22"/>
  <c r="AA311" i="22"/>
  <c r="BG77" i="22"/>
  <c r="AC77" i="22"/>
  <c r="AC311" i="22"/>
  <c r="AB209" i="22"/>
  <c r="BF229" i="22"/>
  <c r="BF232" i="22"/>
  <c r="AW209" i="22"/>
  <c r="AF209" i="22"/>
  <c r="AS209" i="22" s="1"/>
  <c r="AF338" i="22"/>
  <c r="AG338" i="22"/>
  <c r="AE311" i="22"/>
  <c r="AD311" i="22"/>
  <c r="AH338" i="22"/>
  <c r="AA209" i="22"/>
  <c r="AW266" i="22"/>
  <c r="AF239" i="22"/>
  <c r="AJ239" i="22" s="1"/>
  <c r="X239" i="22" s="1"/>
  <c r="AF243" i="22"/>
  <c r="AA77" i="22"/>
  <c r="AH243" i="22"/>
  <c r="AH207" i="22"/>
  <c r="AH77" i="22"/>
  <c r="AH234" i="22"/>
  <c r="AF245" i="22"/>
  <c r="AG243" i="22"/>
  <c r="AE77" i="22"/>
  <c r="AG77" i="22"/>
  <c r="AH245" i="22"/>
  <c r="AG245" i="22"/>
  <c r="BD200" i="22"/>
  <c r="BD246" i="22" s="1"/>
  <c r="O3500" i="19" s="1"/>
  <c r="AH213" i="22"/>
  <c r="AA225" i="22"/>
  <c r="AG234" i="22"/>
  <c r="AU200" i="22"/>
  <c r="AU246" i="22" s="1"/>
  <c r="O3495" i="19" s="1"/>
  <c r="O3498" i="19" s="1"/>
  <c r="D3494" i="19" s="1"/>
  <c r="H65" i="4" s="1"/>
  <c r="BG216" i="22"/>
  <c r="AF234" i="22"/>
  <c r="AF229" i="22"/>
  <c r="AH344" i="22"/>
  <c r="AH229" i="22"/>
  <c r="AF344" i="22"/>
  <c r="AF77" i="22"/>
  <c r="BF55" i="22"/>
  <c r="AA213" i="22"/>
  <c r="AG229" i="22"/>
  <c r="AF213" i="22"/>
  <c r="W200" i="22"/>
  <c r="AF200" i="22"/>
  <c r="AP200" i="22" s="1"/>
  <c r="AE39" i="22"/>
  <c r="AB54" i="22"/>
  <c r="W311" i="22"/>
  <c r="CG332" i="22"/>
  <c r="CH332" i="22" s="1"/>
  <c r="BF54" i="22"/>
  <c r="AH232" i="22"/>
  <c r="AF207" i="22"/>
  <c r="AG232" i="22"/>
  <c r="AF232" i="22"/>
  <c r="AF75" i="22"/>
  <c r="AX75" i="22" s="1"/>
  <c r="AY75" i="22" s="1"/>
  <c r="AZ75" i="22" s="1"/>
  <c r="AW271" i="22"/>
  <c r="BF243" i="22"/>
  <c r="AF225" i="22"/>
  <c r="BZ311" i="22"/>
  <c r="CC311" i="22" s="1"/>
  <c r="CA311" i="22"/>
  <c r="CO311" i="22" s="1"/>
  <c r="AH225" i="22"/>
  <c r="BF225" i="22"/>
  <c r="BF207" i="22"/>
  <c r="BF81" i="22"/>
  <c r="AB39" i="22"/>
  <c r="BG75" i="22"/>
  <c r="AF39" i="22"/>
  <c r="AG64" i="22"/>
  <c r="AG39" i="22"/>
  <c r="CE72" i="22"/>
  <c r="AA219" i="22"/>
  <c r="AD39" i="22"/>
  <c r="AH39" i="22"/>
  <c r="AC39" i="22"/>
  <c r="CE35" i="22"/>
  <c r="CJ72" i="22"/>
  <c r="CM72" i="22"/>
  <c r="CC72" i="22"/>
  <c r="AG52" i="22"/>
  <c r="AH219" i="22"/>
  <c r="AH64" i="22"/>
  <c r="CO72" i="22"/>
  <c r="CP72" i="22" s="1"/>
  <c r="AH217" i="22"/>
  <c r="CF72" i="22"/>
  <c r="AH27" i="22"/>
  <c r="AA217" i="22"/>
  <c r="AF64" i="22"/>
  <c r="W219" i="22"/>
  <c r="CM67" i="22"/>
  <c r="CO67" i="22"/>
  <c r="CQ67" i="22" s="1"/>
  <c r="CE67" i="22"/>
  <c r="CF69" i="22"/>
  <c r="CJ67" i="22"/>
  <c r="CF67" i="22"/>
  <c r="AH28" i="22"/>
  <c r="CJ69" i="22"/>
  <c r="AF236" i="22"/>
  <c r="AF219" i="22"/>
  <c r="AG236" i="22"/>
  <c r="AA236" i="22"/>
  <c r="AH236" i="22"/>
  <c r="CF35" i="22"/>
  <c r="CM35" i="22"/>
  <c r="CE73" i="22"/>
  <c r="CO35" i="22"/>
  <c r="CQ35" i="22" s="1"/>
  <c r="CJ35" i="22"/>
  <c r="AD283" i="22"/>
  <c r="AE283" i="22"/>
  <c r="AC283" i="22"/>
  <c r="CA283" i="22"/>
  <c r="BZ283" i="22"/>
  <c r="CA355" i="22"/>
  <c r="AE355" i="22"/>
  <c r="AD355" i="22"/>
  <c r="AC355" i="22"/>
  <c r="BZ355" i="22"/>
  <c r="W333" i="22"/>
  <c r="AB286" i="22"/>
  <c r="W286" i="22"/>
  <c r="AB312" i="22"/>
  <c r="W312" i="22"/>
  <c r="AB350" i="22"/>
  <c r="W350" i="22"/>
  <c r="CA309" i="22"/>
  <c r="AD309" i="22"/>
  <c r="AC309" i="22"/>
  <c r="AE309" i="22"/>
  <c r="BZ309" i="22"/>
  <c r="AB300" i="22"/>
  <c r="W300" i="22"/>
  <c r="AB332" i="22"/>
  <c r="W332" i="22"/>
  <c r="AC330" i="22"/>
  <c r="CA330" i="22"/>
  <c r="AE330" i="22"/>
  <c r="AD330" i="22"/>
  <c r="BZ330" i="22"/>
  <c r="AC301" i="22"/>
  <c r="AE301" i="22"/>
  <c r="CA301" i="22"/>
  <c r="AD301" i="22"/>
  <c r="BZ301" i="22"/>
  <c r="AB320" i="22"/>
  <c r="W320" i="22"/>
  <c r="AC308" i="22"/>
  <c r="AD308" i="22"/>
  <c r="AE308" i="22"/>
  <c r="CA308" i="22"/>
  <c r="BZ308" i="22"/>
  <c r="AC331" i="22"/>
  <c r="AD331" i="22"/>
  <c r="AE331" i="22"/>
  <c r="CA331" i="22"/>
  <c r="BZ331" i="22"/>
  <c r="AC284" i="22"/>
  <c r="AE284" i="22"/>
  <c r="CA284" i="22"/>
  <c r="AD284" i="22"/>
  <c r="BZ284" i="22"/>
  <c r="CA333" i="22"/>
  <c r="AC333" i="22"/>
  <c r="AE333" i="22"/>
  <c r="AD333" i="22"/>
  <c r="BZ333" i="22"/>
  <c r="AA354" i="22"/>
  <c r="AE354" i="22"/>
  <c r="AD354" i="22"/>
  <c r="AC354" i="22"/>
  <c r="AG353" i="22"/>
  <c r="AC353" i="22"/>
  <c r="AD353" i="22"/>
  <c r="AE353" i="22"/>
  <c r="AG342" i="22"/>
  <c r="AC342" i="22"/>
  <c r="AD342" i="22"/>
  <c r="AE342" i="22"/>
  <c r="AH335" i="22"/>
  <c r="AC335" i="22"/>
  <c r="AE335" i="22"/>
  <c r="AD335" i="22"/>
  <c r="AD334" i="22"/>
  <c r="AE334" i="22"/>
  <c r="AC334" i="22"/>
  <c r="AA332" i="22"/>
  <c r="AE332" i="22"/>
  <c r="AD332" i="22"/>
  <c r="AC332" i="22"/>
  <c r="AA328" i="22"/>
  <c r="AD328" i="22"/>
  <c r="AC328" i="22"/>
  <c r="AE328" i="22"/>
  <c r="AA314" i="22"/>
  <c r="AC314" i="22"/>
  <c r="AD314" i="22"/>
  <c r="AE314" i="22"/>
  <c r="AA310" i="22"/>
  <c r="AC310" i="22"/>
  <c r="AE310" i="22"/>
  <c r="AD310" i="22"/>
  <c r="AG307" i="22"/>
  <c r="AE307" i="22"/>
  <c r="AD307" i="22"/>
  <c r="AC307" i="22"/>
  <c r="AE302" i="22"/>
  <c r="AC302" i="22"/>
  <c r="AD302" i="22"/>
  <c r="D3884" i="19"/>
  <c r="O5166" i="19"/>
  <c r="O5168" i="19" s="1"/>
  <c r="O5170" i="19" s="1"/>
  <c r="BF213" i="22"/>
  <c r="AG79" i="22"/>
  <c r="AH72" i="22"/>
  <c r="CE55" i="22"/>
  <c r="AH25" i="22"/>
  <c r="CO55" i="22"/>
  <c r="CQ55" i="22" s="1"/>
  <c r="AF72" i="22"/>
  <c r="AC79" i="22"/>
  <c r="AG25" i="22"/>
  <c r="AA25" i="22"/>
  <c r="AG72" i="22"/>
  <c r="AE79" i="22"/>
  <c r="AD79" i="22"/>
  <c r="AH79" i="22"/>
  <c r="AF79" i="22"/>
  <c r="AF216" i="22"/>
  <c r="AH205" i="22"/>
  <c r="AG73" i="22"/>
  <c r="AA216" i="22"/>
  <c r="AA28" i="22"/>
  <c r="BG64" i="22"/>
  <c r="AF217" i="22"/>
  <c r="BG241" i="22"/>
  <c r="AF205" i="22"/>
  <c r="AA73" i="22"/>
  <c r="AA205" i="22"/>
  <c r="AA62" i="22"/>
  <c r="AH62" i="22"/>
  <c r="BG53" i="22"/>
  <c r="CO69" i="22"/>
  <c r="CP69" i="22" s="1"/>
  <c r="AH216" i="22"/>
  <c r="CC53" i="22"/>
  <c r="AB354" i="22"/>
  <c r="AC81" i="22"/>
  <c r="CC67" i="22"/>
  <c r="CO73" i="22"/>
  <c r="CP73" i="22" s="1"/>
  <c r="CM73" i="22"/>
  <c r="CJ73" i="22"/>
  <c r="CC69" i="22"/>
  <c r="CF73" i="22"/>
  <c r="CA81" i="22"/>
  <c r="BV81" i="22" s="1"/>
  <c r="AD81" i="22"/>
  <c r="BZ81" i="22"/>
  <c r="CD81" i="22" s="1"/>
  <c r="AB40" i="22"/>
  <c r="AE81" i="22"/>
  <c r="AS49" i="22"/>
  <c r="AX60" i="22"/>
  <c r="AY60" i="22" s="1"/>
  <c r="AZ60" i="22" s="1"/>
  <c r="L229" i="4"/>
  <c r="BH8" i="20"/>
  <c r="BY93" i="20"/>
  <c r="E2196" i="19" s="1"/>
  <c r="E2198" i="19" s="1"/>
  <c r="D2195" i="19" s="1"/>
  <c r="H45" i="4" s="1"/>
  <c r="BG72" i="20"/>
  <c r="BI72" i="20" s="1"/>
  <c r="L224" i="4"/>
  <c r="CJ23" i="22"/>
  <c r="BV23" i="22"/>
  <c r="AP49" i="22"/>
  <c r="AG78" i="22"/>
  <c r="CJ55" i="22"/>
  <c r="BV55" i="22"/>
  <c r="CO11" i="22"/>
  <c r="CQ11" i="22" s="1"/>
  <c r="BV11" i="22"/>
  <c r="AH76" i="22"/>
  <c r="BF205" i="22"/>
  <c r="CM69" i="22"/>
  <c r="BV69" i="22"/>
  <c r="CJ53" i="22"/>
  <c r="BV53" i="22"/>
  <c r="AA76" i="22"/>
  <c r="AS60" i="22"/>
  <c r="AA78" i="22"/>
  <c r="CE56" i="22"/>
  <c r="BV56" i="22"/>
  <c r="AF35" i="22"/>
  <c r="AF78" i="22"/>
  <c r="AG67" i="22"/>
  <c r="BF78" i="22"/>
  <c r="CD56" i="22"/>
  <c r="AG349" i="22"/>
  <c r="CC55" i="22"/>
  <c r="AA67" i="22"/>
  <c r="AF67" i="22"/>
  <c r="AH349" i="22"/>
  <c r="CG227" i="22"/>
  <c r="CH227" i="22" s="1"/>
  <c r="BG214" i="22"/>
  <c r="AW309" i="22"/>
  <c r="AG88" i="22"/>
  <c r="AJ49" i="22"/>
  <c r="X49" i="22" s="1"/>
  <c r="AC53" i="22"/>
  <c r="O53" i="22"/>
  <c r="AJ87" i="22"/>
  <c r="X87" i="22" s="1"/>
  <c r="AF76" i="22"/>
  <c r="O76" i="22"/>
  <c r="W76" i="22" s="1"/>
  <c r="AG58" i="22"/>
  <c r="O58" i="22"/>
  <c r="W58" i="22" s="1"/>
  <c r="W44" i="22"/>
  <c r="AB44" i="22"/>
  <c r="W43" i="22"/>
  <c r="AB43" i="22"/>
  <c r="AC56" i="22"/>
  <c r="O56" i="22"/>
  <c r="AD69" i="22"/>
  <c r="O69" i="22"/>
  <c r="AC73" i="22"/>
  <c r="O73" i="22"/>
  <c r="AF62" i="22"/>
  <c r="O62" i="22"/>
  <c r="W62" i="22" s="1"/>
  <c r="AF52" i="22"/>
  <c r="O52" i="22"/>
  <c r="W52" i="22" s="1"/>
  <c r="W65" i="22"/>
  <c r="AJ65" i="22" s="1"/>
  <c r="X65" i="22" s="1"/>
  <c r="AB65" i="22"/>
  <c r="W68" i="22"/>
  <c r="AB68" i="22"/>
  <c r="W74" i="22"/>
  <c r="AB74" i="22"/>
  <c r="AC67" i="22"/>
  <c r="O67" i="22"/>
  <c r="AF63" i="22"/>
  <c r="O63" i="22"/>
  <c r="W63" i="22" s="1"/>
  <c r="W57" i="22"/>
  <c r="AB57" i="22"/>
  <c r="W84" i="22"/>
  <c r="AB84" i="22"/>
  <c r="W86" i="22"/>
  <c r="AB86" i="22"/>
  <c r="W83" i="22"/>
  <c r="AB83" i="22"/>
  <c r="W85" i="22"/>
  <c r="AB85" i="22"/>
  <c r="W82" i="22"/>
  <c r="AB82" i="22"/>
  <c r="AA202" i="22"/>
  <c r="AC202" i="22"/>
  <c r="AC246" i="22" s="1"/>
  <c r="AE202" i="22"/>
  <c r="AE246" i="22" s="1"/>
  <c r="O3372" i="19" s="1"/>
  <c r="O3375" i="19" s="1"/>
  <c r="D3370" i="19" s="1"/>
  <c r="AD202" i="22"/>
  <c r="AD246" i="22" s="1"/>
  <c r="O3366" i="19" s="1"/>
  <c r="O3369" i="19" s="1"/>
  <c r="D3364" i="19" s="1"/>
  <c r="AP87" i="22"/>
  <c r="AS87" i="22"/>
  <c r="AX87" i="22"/>
  <c r="AY87" i="22" s="1"/>
  <c r="AZ87" i="22" s="1"/>
  <c r="AF73" i="22"/>
  <c r="AS70" i="22"/>
  <c r="AP70" i="22"/>
  <c r="AF53" i="22"/>
  <c r="CG78" i="22"/>
  <c r="CH78" i="22" s="1"/>
  <c r="AG69" i="22"/>
  <c r="AF69" i="22"/>
  <c r="AA69" i="22"/>
  <c r="AX65" i="22"/>
  <c r="AY65" i="22" s="1"/>
  <c r="AZ65" i="22" s="1"/>
  <c r="AE62" i="22"/>
  <c r="AD62" i="22"/>
  <c r="AX61" i="22"/>
  <c r="AY61" i="22" s="1"/>
  <c r="AZ61" i="22" s="1"/>
  <c r="AH55" i="22"/>
  <c r="AS45" i="22"/>
  <c r="AX49" i="22"/>
  <c r="AY49" i="22" s="1"/>
  <c r="AZ49" i="22" s="1"/>
  <c r="AP45" i="22"/>
  <c r="AX45" i="22"/>
  <c r="AY45" i="22" s="1"/>
  <c r="AZ45" i="22" s="1"/>
  <c r="AS32" i="22"/>
  <c r="AA27" i="22"/>
  <c r="AE11" i="22"/>
  <c r="AB349" i="22"/>
  <c r="AS347" i="22"/>
  <c r="AJ32" i="22"/>
  <c r="X32" i="22" s="1"/>
  <c r="AS65" i="22"/>
  <c r="CG58" i="22"/>
  <c r="CH58" i="22" s="1"/>
  <c r="AA35" i="22"/>
  <c r="BF79" i="22"/>
  <c r="AE31" i="22"/>
  <c r="AC83" i="22"/>
  <c r="CJ56" i="22"/>
  <c r="AG354" i="22"/>
  <c r="AF354" i="22"/>
  <c r="AH53" i="22"/>
  <c r="AJ70" i="22"/>
  <c r="X70" i="22" s="1"/>
  <c r="CM56" i="22"/>
  <c r="CF53" i="22"/>
  <c r="CC73" i="22"/>
  <c r="AX32" i="22"/>
  <c r="AY32" i="22" s="1"/>
  <c r="AZ32" i="22" s="1"/>
  <c r="AA53" i="22"/>
  <c r="AA56" i="22"/>
  <c r="CO56" i="22"/>
  <c r="CQ56" i="22" s="1"/>
  <c r="CO53" i="22"/>
  <c r="CP53" i="22" s="1"/>
  <c r="AP32" i="22"/>
  <c r="CF56" i="22"/>
  <c r="CG27" i="22"/>
  <c r="CH27" i="22" s="1"/>
  <c r="CM53" i="22"/>
  <c r="CD35" i="22"/>
  <c r="AH35" i="22"/>
  <c r="AX70" i="22"/>
  <c r="AY70" i="22" s="1"/>
  <c r="AZ70" i="22" s="1"/>
  <c r="AJ45" i="22"/>
  <c r="X45" i="22" s="1"/>
  <c r="AP65" i="22"/>
  <c r="CE53" i="22"/>
  <c r="AC88" i="22"/>
  <c r="AE23" i="22"/>
  <c r="AH354" i="22"/>
  <c r="AP61" i="22"/>
  <c r="AH88" i="22"/>
  <c r="AA88" i="22"/>
  <c r="AD88" i="22"/>
  <c r="CG25" i="22"/>
  <c r="CH25" i="22" s="1"/>
  <c r="AP340" i="22"/>
  <c r="AP60" i="22"/>
  <c r="AD31" i="22"/>
  <c r="AG62" i="22"/>
  <c r="AJ60" i="22"/>
  <c r="X60" i="22" s="1"/>
  <c r="AF80" i="22"/>
  <c r="AJ80" i="22" s="1"/>
  <c r="X80" i="22" s="1"/>
  <c r="AF56" i="22"/>
  <c r="AF349" i="22"/>
  <c r="AJ61" i="22"/>
  <c r="X61" i="22" s="1"/>
  <c r="W34" i="22"/>
  <c r="AB34" i="22"/>
  <c r="CG87" i="22"/>
  <c r="CH87" i="22" s="1"/>
  <c r="W26" i="22"/>
  <c r="AB26" i="22"/>
  <c r="AP311" i="22"/>
  <c r="W36" i="22"/>
  <c r="AB36" i="22"/>
  <c r="W37" i="22"/>
  <c r="AB37" i="22"/>
  <c r="W27" i="22"/>
  <c r="AB27" i="22"/>
  <c r="W38" i="22"/>
  <c r="AB38" i="22"/>
  <c r="W29" i="22"/>
  <c r="AB29" i="22"/>
  <c r="W35" i="22"/>
  <c r="AB35" i="22"/>
  <c r="W33" i="22"/>
  <c r="AB33" i="22"/>
  <c r="W30" i="22"/>
  <c r="AB30" i="22"/>
  <c r="W28" i="22"/>
  <c r="AB28" i="22"/>
  <c r="W25" i="22"/>
  <c r="AB25" i="22"/>
  <c r="CG76" i="22"/>
  <c r="CH76" i="22" s="1"/>
  <c r="CM55" i="22"/>
  <c r="AG81" i="22"/>
  <c r="AF59" i="22"/>
  <c r="AE74" i="22"/>
  <c r="AC74" i="22"/>
  <c r="BZ74" i="22"/>
  <c r="AD74" i="22"/>
  <c r="Z74" i="22"/>
  <c r="CA74" i="22"/>
  <c r="BV74" i="22" s="1"/>
  <c r="AD52" i="22"/>
  <c r="AC52" i="22"/>
  <c r="AE52" i="22"/>
  <c r="AD27" i="22"/>
  <c r="AC27" i="22"/>
  <c r="AE27" i="22"/>
  <c r="AH52" i="22"/>
  <c r="AD73" i="22"/>
  <c r="AA26" i="22"/>
  <c r="AC26" i="22"/>
  <c r="AE26" i="22"/>
  <c r="AD26" i="22"/>
  <c r="AH81" i="22"/>
  <c r="AD28" i="22"/>
  <c r="AC28" i="22"/>
  <c r="AE28" i="22"/>
  <c r="AH46" i="22"/>
  <c r="AC35" i="22"/>
  <c r="CG65" i="22"/>
  <c r="CH65" i="22" s="1"/>
  <c r="AD59" i="22"/>
  <c r="AF27" i="22"/>
  <c r="AD35" i="22"/>
  <c r="CG45" i="22"/>
  <c r="CH45" i="22" s="1"/>
  <c r="AF81" i="22"/>
  <c r="Z57" i="22"/>
  <c r="AE57" i="22"/>
  <c r="AD57" i="22"/>
  <c r="CA57" i="22"/>
  <c r="BV57" i="22" s="1"/>
  <c r="AC57" i="22"/>
  <c r="BZ57" i="22"/>
  <c r="BZ38" i="22"/>
  <c r="CA38" i="22"/>
  <c r="BV38" i="22" s="1"/>
  <c r="AC38" i="22"/>
  <c r="AE38" i="22"/>
  <c r="AD38" i="22"/>
  <c r="Z38" i="22"/>
  <c r="AF88" i="22"/>
  <c r="AD40" i="22"/>
  <c r="CA40" i="22"/>
  <c r="BV40" i="22" s="1"/>
  <c r="Z40" i="22"/>
  <c r="BZ40" i="22"/>
  <c r="AC40" i="22"/>
  <c r="CG70" i="22"/>
  <c r="CH70" i="22" s="1"/>
  <c r="CG63" i="22"/>
  <c r="CH63" i="22" s="1"/>
  <c r="AC59" i="22"/>
  <c r="AF58" i="22"/>
  <c r="AG63" i="22"/>
  <c r="AG46" i="22"/>
  <c r="AE84" i="22"/>
  <c r="Z84" i="22"/>
  <c r="BZ84" i="22"/>
  <c r="AD84" i="22"/>
  <c r="CA84" i="22"/>
  <c r="BV84" i="22" s="1"/>
  <c r="AC84" i="22"/>
  <c r="AE68" i="22"/>
  <c r="CA68" i="22"/>
  <c r="BV68" i="22" s="1"/>
  <c r="BZ68" i="22"/>
  <c r="AD68" i="22"/>
  <c r="AC68" i="22"/>
  <c r="Z68" i="22"/>
  <c r="AG26" i="22"/>
  <c r="AD46" i="22"/>
  <c r="AC78" i="22"/>
  <c r="AE78" i="22"/>
  <c r="AD78" i="22"/>
  <c r="AE46" i="22"/>
  <c r="CG32" i="22"/>
  <c r="CH32" i="22" s="1"/>
  <c r="CG62" i="22"/>
  <c r="CH62" i="22" s="1"/>
  <c r="CG28" i="22"/>
  <c r="CH28" i="22" s="1"/>
  <c r="AS61" i="22"/>
  <c r="AG59" i="22"/>
  <c r="AH56" i="22"/>
  <c r="AH83" i="22"/>
  <c r="AF25" i="22"/>
  <c r="AE76" i="22"/>
  <c r="AC76" i="22"/>
  <c r="AD76" i="22"/>
  <c r="AA31" i="22"/>
  <c r="AG31" i="22"/>
  <c r="AH31" i="22"/>
  <c r="AF31" i="22"/>
  <c r="CG79" i="22"/>
  <c r="CH79" i="22" s="1"/>
  <c r="AE82" i="22"/>
  <c r="AD82" i="22"/>
  <c r="AC82" i="22"/>
  <c r="BZ82" i="22"/>
  <c r="Z82" i="22"/>
  <c r="CA82" i="22"/>
  <c r="BV82" i="22" s="1"/>
  <c r="BZ29" i="22"/>
  <c r="CA29" i="22"/>
  <c r="BV29" i="22" s="1"/>
  <c r="Z29" i="22"/>
  <c r="AC29" i="22"/>
  <c r="AE29" i="22"/>
  <c r="CA54" i="22"/>
  <c r="BV54" i="22" s="1"/>
  <c r="Z54" i="22"/>
  <c r="AE54" i="22"/>
  <c r="BZ54" i="22"/>
  <c r="AC54" i="22"/>
  <c r="AD54" i="22"/>
  <c r="AC69" i="22"/>
  <c r="CG64" i="22"/>
  <c r="CH64" i="22" s="1"/>
  <c r="CG61" i="22"/>
  <c r="CH61" i="22" s="1"/>
  <c r="AF26" i="22"/>
  <c r="AF83" i="22"/>
  <c r="AG83" i="22"/>
  <c r="BZ37" i="22"/>
  <c r="CA37" i="22"/>
  <c r="BV37" i="22" s="1"/>
  <c r="Z37" i="22"/>
  <c r="AC37" i="22"/>
  <c r="AD37" i="22"/>
  <c r="AF28" i="22"/>
  <c r="CG39" i="22"/>
  <c r="CH39" i="22" s="1"/>
  <c r="AH59" i="22"/>
  <c r="AC30" i="22"/>
  <c r="Z30" i="22"/>
  <c r="AD30" i="22"/>
  <c r="AE30" i="22"/>
  <c r="BZ30" i="22"/>
  <c r="CA30" i="22"/>
  <c r="BV30" i="22" s="1"/>
  <c r="CG80" i="22"/>
  <c r="CH80" i="22" s="1"/>
  <c r="BZ66" i="22"/>
  <c r="CA66" i="22"/>
  <c r="BV66" i="22" s="1"/>
  <c r="AC66" i="22"/>
  <c r="Z66" i="22"/>
  <c r="AE66" i="22"/>
  <c r="AD66" i="22"/>
  <c r="BZ33" i="22"/>
  <c r="CA33" i="22"/>
  <c r="BV33" i="22" s="1"/>
  <c r="Z33" i="22"/>
  <c r="AD33" i="22"/>
  <c r="AC33" i="22"/>
  <c r="CG88" i="22"/>
  <c r="CH88" i="22" s="1"/>
  <c r="AE59" i="22"/>
  <c r="Z43" i="22"/>
  <c r="CA43" i="22"/>
  <c r="BV43" i="22" s="1"/>
  <c r="AC43" i="22"/>
  <c r="AE43" i="22"/>
  <c r="AD43" i="22"/>
  <c r="BZ43" i="22"/>
  <c r="AA55" i="22"/>
  <c r="AG55" i="22"/>
  <c r="AF341" i="22"/>
  <c r="AH341" i="22"/>
  <c r="AG341" i="22"/>
  <c r="AH233" i="22"/>
  <c r="AG233" i="22"/>
  <c r="AF214" i="22"/>
  <c r="AJ214" i="22" s="1"/>
  <c r="X214" i="22" s="1"/>
  <c r="AF233" i="22"/>
  <c r="AH241" i="22"/>
  <c r="AG241" i="22"/>
  <c r="AF241" i="22"/>
  <c r="AP347" i="22"/>
  <c r="AP338" i="22"/>
  <c r="AJ347" i="22"/>
  <c r="X347" i="22" s="1"/>
  <c r="AX311" i="22"/>
  <c r="AY311" i="22" s="1"/>
  <c r="BG52" i="22"/>
  <c r="AX347" i="22"/>
  <c r="AY347" i="22" s="1"/>
  <c r="AZ347" i="22" s="1"/>
  <c r="AW270" i="22"/>
  <c r="BF83" i="22"/>
  <c r="BF59" i="22"/>
  <c r="AS340" i="22"/>
  <c r="AX340" i="22"/>
  <c r="AY340" i="22" s="1"/>
  <c r="AJ340" i="22" s="1"/>
  <c r="X340" i="22" s="1"/>
  <c r="CG337" i="22"/>
  <c r="CH337" i="22" s="1"/>
  <c r="AS311" i="22"/>
  <c r="CG336" i="22"/>
  <c r="CH336" i="22" s="1"/>
  <c r="BF66" i="22"/>
  <c r="BF219" i="22"/>
  <c r="CG351" i="22"/>
  <c r="CH351" i="22" s="1"/>
  <c r="AP345" i="22"/>
  <c r="CG339" i="22"/>
  <c r="CH339" i="22" s="1"/>
  <c r="AH346" i="22"/>
  <c r="AG346" i="22"/>
  <c r="AF346" i="22"/>
  <c r="CG343" i="22"/>
  <c r="CH343" i="22" s="1"/>
  <c r="AH339" i="22"/>
  <c r="AG339" i="22"/>
  <c r="AF339" i="22"/>
  <c r="AJ352" i="22"/>
  <c r="X352" i="22" s="1"/>
  <c r="AX352" i="22"/>
  <c r="AY352" i="22" s="1"/>
  <c r="AZ352" i="22" s="1"/>
  <c r="AP352" i="22"/>
  <c r="AS352" i="22"/>
  <c r="BG355" i="22"/>
  <c r="BF355" i="22"/>
  <c r="BG350" i="22"/>
  <c r="BF350" i="22"/>
  <c r="AA348" i="22"/>
  <c r="AH348" i="22"/>
  <c r="AG348" i="22"/>
  <c r="AF348" i="22"/>
  <c r="AA350" i="22"/>
  <c r="AH350" i="22"/>
  <c r="AF350" i="22"/>
  <c r="CG335" i="22"/>
  <c r="CH335" i="22" s="1"/>
  <c r="AA342" i="22"/>
  <c r="AF342" i="22"/>
  <c r="AH342" i="22"/>
  <c r="AB335" i="22"/>
  <c r="AB355" i="22"/>
  <c r="AS345" i="22"/>
  <c r="CG346" i="22"/>
  <c r="CH346" i="22" s="1"/>
  <c r="AB336" i="22"/>
  <c r="CG348" i="22"/>
  <c r="CH348" i="22" s="1"/>
  <c r="CG353" i="22"/>
  <c r="CH353" i="22" s="1"/>
  <c r="AX345" i="22"/>
  <c r="AY345" i="22" s="1"/>
  <c r="BG346" i="22"/>
  <c r="BF346" i="22"/>
  <c r="BF337" i="22"/>
  <c r="BG337" i="22"/>
  <c r="AG355" i="22"/>
  <c r="AH355" i="22"/>
  <c r="AF355" i="22"/>
  <c r="CG342" i="22"/>
  <c r="CH342" i="22" s="1"/>
  <c r="AG335" i="22"/>
  <c r="AF335" i="22"/>
  <c r="AA351" i="22"/>
  <c r="AG351" i="22"/>
  <c r="AF351" i="22"/>
  <c r="AH351" i="22"/>
  <c r="AB337" i="22"/>
  <c r="AA336" i="22"/>
  <c r="AH336" i="22"/>
  <c r="AF336" i="22"/>
  <c r="AG336" i="22"/>
  <c r="AA335" i="22"/>
  <c r="AB353" i="22"/>
  <c r="AG343" i="22"/>
  <c r="AH343" i="22"/>
  <c r="AF343" i="22"/>
  <c r="CG350" i="22"/>
  <c r="CH350" i="22" s="1"/>
  <c r="AB343" i="22"/>
  <c r="AB346" i="22"/>
  <c r="AH337" i="22"/>
  <c r="AG337" i="22"/>
  <c r="AF337" i="22"/>
  <c r="AA353" i="22"/>
  <c r="AF353" i="22"/>
  <c r="AH353" i="22"/>
  <c r="AG334" i="22"/>
  <c r="BF333" i="22"/>
  <c r="BG333" i="22"/>
  <c r="AB263" i="22"/>
  <c r="CA298" i="22"/>
  <c r="BV298" i="22" s="1"/>
  <c r="BZ298" i="22"/>
  <c r="AB271" i="22"/>
  <c r="AB266" i="22"/>
  <c r="AB303" i="22"/>
  <c r="AB298" i="22"/>
  <c r="CA293" i="22"/>
  <c r="BV293" i="22" s="1"/>
  <c r="BZ293" i="22"/>
  <c r="CA312" i="22"/>
  <c r="BV312" i="22" s="1"/>
  <c r="BZ312" i="22"/>
  <c r="BF312" i="22"/>
  <c r="BG312" i="22"/>
  <c r="AB309" i="22"/>
  <c r="AB264" i="22"/>
  <c r="AB293" i="22"/>
  <c r="AB301" i="22"/>
  <c r="CG242" i="22"/>
  <c r="CH242" i="22" s="1"/>
  <c r="AJ228" i="22"/>
  <c r="X228" i="22" s="1"/>
  <c r="AH240" i="22"/>
  <c r="AX228" i="22"/>
  <c r="AY228" i="22" s="1"/>
  <c r="AZ228" i="22" s="1"/>
  <c r="CG237" i="22"/>
  <c r="CH237" i="22" s="1"/>
  <c r="CG230" i="22"/>
  <c r="CH230" i="22" s="1"/>
  <c r="CG221" i="22"/>
  <c r="CH221" i="22" s="1"/>
  <c r="CG240" i="22"/>
  <c r="CH240" i="22" s="1"/>
  <c r="CG224" i="22"/>
  <c r="CH224" i="22" s="1"/>
  <c r="AJ211" i="22"/>
  <c r="X211" i="22" s="1"/>
  <c r="AA240" i="22"/>
  <c r="BF30" i="22"/>
  <c r="CG222" i="22"/>
  <c r="CH222" i="22" s="1"/>
  <c r="BG231" i="22"/>
  <c r="BF231" i="22"/>
  <c r="AJ227" i="22"/>
  <c r="X227" i="22" s="1"/>
  <c r="BF230" i="22"/>
  <c r="BG230" i="22"/>
  <c r="AH242" i="22"/>
  <c r="AG242" i="22"/>
  <c r="AF242" i="22"/>
  <c r="AP227" i="22"/>
  <c r="AX227" i="22"/>
  <c r="AY227" i="22" s="1"/>
  <c r="AZ227" i="22" s="1"/>
  <c r="AS227" i="22"/>
  <c r="AX223" i="22"/>
  <c r="AY223" i="22" s="1"/>
  <c r="AZ223" i="22" s="1"/>
  <c r="AP223" i="22"/>
  <c r="AS223" i="22"/>
  <c r="BF242" i="22"/>
  <c r="BG242" i="22"/>
  <c r="AF244" i="22"/>
  <c r="O244" i="22"/>
  <c r="W244" i="22" s="1"/>
  <c r="AF231" i="22"/>
  <c r="O231" i="22"/>
  <c r="W231" i="22" s="1"/>
  <c r="AP211" i="22"/>
  <c r="AS211" i="22"/>
  <c r="CG226" i="22"/>
  <c r="CH226" i="22" s="1"/>
  <c r="CG235" i="22"/>
  <c r="CH235" i="22" s="1"/>
  <c r="BG224" i="22"/>
  <c r="BF224" i="22"/>
  <c r="AX211" i="22"/>
  <c r="AY211" i="22" s="1"/>
  <c r="AZ211" i="22" s="1"/>
  <c r="AP215" i="22"/>
  <c r="AS215" i="22"/>
  <c r="AG224" i="22"/>
  <c r="AH224" i="22"/>
  <c r="AF224" i="22"/>
  <c r="AG231" i="22"/>
  <c r="AH231" i="22"/>
  <c r="AA222" i="22"/>
  <c r="AG222" i="22"/>
  <c r="AF222" i="22"/>
  <c r="AH222" i="22"/>
  <c r="AH238" i="22"/>
  <c r="AG238" i="22"/>
  <c r="AF238" i="22"/>
  <c r="BF221" i="22"/>
  <c r="BG221" i="22"/>
  <c r="AA237" i="22"/>
  <c r="AH237" i="22"/>
  <c r="AG237" i="22"/>
  <c r="AS228" i="22"/>
  <c r="BG238" i="22"/>
  <c r="BF238" i="22"/>
  <c r="AG226" i="22"/>
  <c r="AF226" i="22"/>
  <c r="AH226" i="22"/>
  <c r="AA221" i="22"/>
  <c r="AG221" i="22"/>
  <c r="AH221" i="22"/>
  <c r="AA235" i="22"/>
  <c r="AF235" i="22"/>
  <c r="AH235" i="22"/>
  <c r="BF222" i="22"/>
  <c r="BG222" i="22"/>
  <c r="BG237" i="22"/>
  <c r="BF237" i="22"/>
  <c r="AP228" i="22"/>
  <c r="AA226" i="22"/>
  <c r="AX215" i="22"/>
  <c r="AY215" i="22" s="1"/>
  <c r="AZ215" i="22" s="1"/>
  <c r="AF240" i="22"/>
  <c r="O240" i="22"/>
  <c r="W240" i="22" s="1"/>
  <c r="AF221" i="22"/>
  <c r="AJ215" i="22"/>
  <c r="X215" i="22" s="1"/>
  <c r="AG235" i="22"/>
  <c r="O235" i="22"/>
  <c r="W235" i="22" s="1"/>
  <c r="AG230" i="22"/>
  <c r="AF230" i="22"/>
  <c r="AH230" i="22"/>
  <c r="AJ223" i="22"/>
  <c r="X223" i="22" s="1"/>
  <c r="AG244" i="22"/>
  <c r="AH244" i="22"/>
  <c r="BG226" i="22"/>
  <c r="BF226" i="22"/>
  <c r="BF240" i="22"/>
  <c r="BG240" i="22"/>
  <c r="BG235" i="22"/>
  <c r="BF235" i="22"/>
  <c r="BG244" i="22"/>
  <c r="BF244" i="22"/>
  <c r="BF202" i="22"/>
  <c r="CG77" i="22"/>
  <c r="CH77" i="22" s="1"/>
  <c r="CG60" i="22"/>
  <c r="CH60" i="22" s="1"/>
  <c r="BF69" i="22"/>
  <c r="BG69" i="22"/>
  <c r="CQ75" i="22"/>
  <c r="CP75" i="22"/>
  <c r="CC46" i="22"/>
  <c r="CD46" i="22"/>
  <c r="CP45" i="22"/>
  <c r="CQ45" i="22"/>
  <c r="BG26" i="22"/>
  <c r="BF26" i="22"/>
  <c r="CP80" i="22"/>
  <c r="CQ80" i="22"/>
  <c r="CP26" i="22"/>
  <c r="CQ26" i="22"/>
  <c r="Z86" i="22"/>
  <c r="CA86" i="22"/>
  <c r="BV86" i="22" s="1"/>
  <c r="AE86" i="22"/>
  <c r="BZ86" i="22"/>
  <c r="AC86" i="22"/>
  <c r="AD86" i="22"/>
  <c r="BG50" i="22"/>
  <c r="BF50" i="22"/>
  <c r="BG51" i="22"/>
  <c r="BF51" i="22"/>
  <c r="BF68" i="22"/>
  <c r="BG68" i="22"/>
  <c r="CP65" i="22"/>
  <c r="CQ65" i="22"/>
  <c r="Z41" i="22"/>
  <c r="CA41" i="22"/>
  <c r="BV41" i="22" s="1"/>
  <c r="BZ41" i="22"/>
  <c r="AD41" i="22"/>
  <c r="AC41" i="22"/>
  <c r="BZ85" i="22"/>
  <c r="AC85" i="22"/>
  <c r="CA85" i="22"/>
  <c r="BV85" i="22" s="1"/>
  <c r="AD85" i="22"/>
  <c r="Z85" i="22"/>
  <c r="AE85" i="22"/>
  <c r="CP64" i="22"/>
  <c r="CQ64" i="22"/>
  <c r="CG52" i="22"/>
  <c r="CH52" i="22" s="1"/>
  <c r="CP70" i="22"/>
  <c r="CQ70" i="22"/>
  <c r="BG56" i="22"/>
  <c r="BF56" i="22"/>
  <c r="CP78" i="22"/>
  <c r="CQ78" i="22"/>
  <c r="BF34" i="22"/>
  <c r="BG34" i="22"/>
  <c r="BG27" i="22"/>
  <c r="BF27" i="22"/>
  <c r="CP61" i="22"/>
  <c r="CQ61" i="22"/>
  <c r="BG57" i="22"/>
  <c r="BF57" i="22"/>
  <c r="BF48" i="22"/>
  <c r="BG48" i="22"/>
  <c r="CP39" i="22"/>
  <c r="CQ39" i="22"/>
  <c r="BG28" i="22"/>
  <c r="BF28" i="22"/>
  <c r="BG67" i="22"/>
  <c r="BF67" i="22"/>
  <c r="CG26" i="22"/>
  <c r="CH26" i="22" s="1"/>
  <c r="CQ87" i="22"/>
  <c r="CP87" i="22"/>
  <c r="CQ28" i="22"/>
  <c r="CP28" i="22"/>
  <c r="BF71" i="22"/>
  <c r="BG71" i="22"/>
  <c r="CA48" i="22"/>
  <c r="BV48" i="22" s="1"/>
  <c r="Z48" i="22"/>
  <c r="AC48" i="22" s="1"/>
  <c r="BZ48" i="22"/>
  <c r="BF25" i="22"/>
  <c r="BG25" i="22"/>
  <c r="CP32" i="22"/>
  <c r="CQ32" i="22"/>
  <c r="CQ77" i="22"/>
  <c r="CP77" i="22"/>
  <c r="BZ34" i="22"/>
  <c r="Z34" i="22"/>
  <c r="AE34" i="22" s="1"/>
  <c r="CA34" i="22"/>
  <c r="BV34" i="22" s="1"/>
  <c r="BZ50" i="22"/>
  <c r="CA50" i="22"/>
  <c r="BV50" i="22" s="1"/>
  <c r="Z50" i="22"/>
  <c r="AE50" i="22" s="1"/>
  <c r="Z51" i="22"/>
  <c r="AC51" i="22" s="1"/>
  <c r="AD51" i="22"/>
  <c r="BZ51" i="22"/>
  <c r="CA51" i="22"/>
  <c r="BV51" i="22" s="1"/>
  <c r="CD31" i="22"/>
  <c r="CC31" i="22"/>
  <c r="CQ88" i="22"/>
  <c r="CP88" i="22"/>
  <c r="CP58" i="22"/>
  <c r="CQ58" i="22"/>
  <c r="CJ31" i="22"/>
  <c r="CF31" i="22"/>
  <c r="CO31" i="22"/>
  <c r="CE31" i="22"/>
  <c r="CM31" i="22"/>
  <c r="BF74" i="22"/>
  <c r="BG74" i="22"/>
  <c r="BG84" i="22"/>
  <c r="BF84" i="22"/>
  <c r="Z36" i="22"/>
  <c r="BZ36" i="22"/>
  <c r="CA36" i="22"/>
  <c r="BV36" i="22" s="1"/>
  <c r="AD36" i="22"/>
  <c r="AC36" i="22"/>
  <c r="AE36" i="22"/>
  <c r="BG35" i="22"/>
  <c r="BF35" i="22"/>
  <c r="BG73" i="22"/>
  <c r="BF73" i="22"/>
  <c r="BF47" i="22"/>
  <c r="BG47" i="22"/>
  <c r="BG44" i="22"/>
  <c r="BF44" i="22"/>
  <c r="BF62" i="22"/>
  <c r="BG62" i="22"/>
  <c r="BF38" i="22"/>
  <c r="BG38" i="22"/>
  <c r="BG29" i="22"/>
  <c r="BF29" i="22"/>
  <c r="CP62" i="22"/>
  <c r="CQ62" i="22"/>
  <c r="CP25" i="22"/>
  <c r="CQ25" i="22"/>
  <c r="CD59" i="22"/>
  <c r="CC59" i="22"/>
  <c r="Z71" i="22"/>
  <c r="AD71" i="22" s="1"/>
  <c r="CA71" i="22"/>
  <c r="BV71" i="22" s="1"/>
  <c r="BZ71" i="22"/>
  <c r="CQ63" i="22"/>
  <c r="CP63" i="22"/>
  <c r="BG43" i="22"/>
  <c r="BF43" i="22"/>
  <c r="CQ27" i="22"/>
  <c r="CP27" i="22"/>
  <c r="CF83" i="22"/>
  <c r="CE83" i="22"/>
  <c r="CO83" i="22"/>
  <c r="CM83" i="22"/>
  <c r="CJ83" i="22"/>
  <c r="AF46" i="22"/>
  <c r="AA46" i="22"/>
  <c r="BF33" i="22"/>
  <c r="BG33" i="22"/>
  <c r="BZ47" i="22"/>
  <c r="CA47" i="22"/>
  <c r="BV47" i="22" s="1"/>
  <c r="Z47" i="22"/>
  <c r="AE47" i="22" s="1"/>
  <c r="BZ44" i="22"/>
  <c r="CA44" i="22"/>
  <c r="BV44" i="22" s="1"/>
  <c r="Z44" i="22"/>
  <c r="AC44" i="22"/>
  <c r="AE44" i="22"/>
  <c r="AD44" i="22"/>
  <c r="BG76" i="22"/>
  <c r="BF76" i="22"/>
  <c r="CO59" i="22"/>
  <c r="CM59" i="22"/>
  <c r="CF59" i="22"/>
  <c r="CE59" i="22"/>
  <c r="CJ59" i="22"/>
  <c r="CQ76" i="22"/>
  <c r="CP76" i="22"/>
  <c r="CQ60" i="22"/>
  <c r="CP60" i="22"/>
  <c r="BG58" i="22"/>
  <c r="BF58" i="22"/>
  <c r="BF37" i="22"/>
  <c r="BG37" i="22"/>
  <c r="BF86" i="22"/>
  <c r="BG86" i="22"/>
  <c r="CQ52" i="22"/>
  <c r="CP52" i="22"/>
  <c r="CJ46" i="22"/>
  <c r="CE46" i="22"/>
  <c r="CF46" i="22"/>
  <c r="CO46" i="22"/>
  <c r="CM46" i="22"/>
  <c r="CP49" i="22"/>
  <c r="CQ49" i="22"/>
  <c r="BG80" i="22"/>
  <c r="BF80" i="22"/>
  <c r="BG36" i="22"/>
  <c r="BF36" i="22"/>
  <c r="CG75" i="22"/>
  <c r="CH75" i="22" s="1"/>
  <c r="BF41" i="22"/>
  <c r="BG41" i="22"/>
  <c r="BG88" i="22"/>
  <c r="BF88" i="22"/>
  <c r="BG85" i="22"/>
  <c r="BF85" i="22"/>
  <c r="CG49" i="22"/>
  <c r="CH49" i="22" s="1"/>
  <c r="BG63" i="22"/>
  <c r="BF63" i="22"/>
  <c r="CP79" i="22"/>
  <c r="CQ79" i="22"/>
  <c r="CC83" i="22"/>
  <c r="CD83" i="22"/>
  <c r="BF204" i="22"/>
  <c r="BF18" i="22"/>
  <c r="AG18" i="22"/>
  <c r="AH18" i="22"/>
  <c r="AB18" i="22"/>
  <c r="AF18" i="22"/>
  <c r="CP109" i="22"/>
  <c r="AF202" i="22"/>
  <c r="AH202" i="22"/>
  <c r="CJ109" i="22"/>
  <c r="CJ183" i="22" s="1"/>
  <c r="AG202" i="22"/>
  <c r="CC109" i="22"/>
  <c r="CG109" i="22" s="1"/>
  <c r="AK109" i="22"/>
  <c r="AK183" i="22" s="1"/>
  <c r="O2386" i="19" s="1"/>
  <c r="O2388" i="19" s="1"/>
  <c r="D2384" i="19" s="1"/>
  <c r="H468" i="4" s="1"/>
  <c r="Z109" i="22"/>
  <c r="AA109" i="22" s="1"/>
  <c r="BS109" i="22"/>
  <c r="BS183" i="22" s="1"/>
  <c r="N2371" i="19" s="1"/>
  <c r="N2373" i="19" s="1"/>
  <c r="D2369" i="19" s="1"/>
  <c r="H459" i="4" s="1"/>
  <c r="AL109" i="22"/>
  <c r="AL183" i="22" s="1"/>
  <c r="BE109" i="22"/>
  <c r="BF109" i="22" s="1"/>
  <c r="M109" i="22"/>
  <c r="O109" i="22" s="1"/>
  <c r="AB109" i="22" s="1"/>
  <c r="BQ109" i="22"/>
  <c r="BQ183" i="22" s="1"/>
  <c r="N2361" i="19" s="1"/>
  <c r="N2363" i="19" s="1"/>
  <c r="D2359" i="19" s="1"/>
  <c r="H424" i="4" s="1"/>
  <c r="AI109" i="22"/>
  <c r="AC322" i="22"/>
  <c r="BR109" i="22"/>
  <c r="BR183" i="22" s="1"/>
  <c r="N2366" i="19" s="1"/>
  <c r="N2368" i="19" s="1"/>
  <c r="D2364" i="19" s="1"/>
  <c r="H444" i="4" s="1"/>
  <c r="AA322" i="22"/>
  <c r="BZ320" i="22"/>
  <c r="CA320" i="22"/>
  <c r="BV320" i="22" s="1"/>
  <c r="Z320" i="22"/>
  <c r="AE320" i="22" s="1"/>
  <c r="BF334" i="22"/>
  <c r="BG334" i="22"/>
  <c r="AB325" i="22"/>
  <c r="AE322" i="22"/>
  <c r="AG322" i="22"/>
  <c r="AF322" i="22"/>
  <c r="AD322" i="22"/>
  <c r="BG267" i="22"/>
  <c r="BF279" i="22"/>
  <c r="AG267" i="22"/>
  <c r="AF267" i="22"/>
  <c r="AW304" i="22"/>
  <c r="AH267" i="22"/>
  <c r="AB307" i="22"/>
  <c r="AB305" i="22"/>
  <c r="AW276" i="22"/>
  <c r="AW292" i="22"/>
  <c r="CA300" i="22"/>
  <c r="BV300" i="22" s="1"/>
  <c r="BZ300" i="22"/>
  <c r="AF279" i="22"/>
  <c r="BZ296" i="22"/>
  <c r="CA296" i="22"/>
  <c r="BV296" i="22" s="1"/>
  <c r="AB296" i="22"/>
  <c r="AB291" i="22"/>
  <c r="BG286" i="22"/>
  <c r="BF290" i="22"/>
  <c r="AH290" i="22"/>
  <c r="BG309" i="22"/>
  <c r="AG260" i="22"/>
  <c r="AW286" i="22"/>
  <c r="BF298" i="22"/>
  <c r="AB290" i="22"/>
  <c r="AF290" i="22"/>
  <c r="AG279" i="22"/>
  <c r="AB279" i="22"/>
  <c r="AH279" i="22"/>
  <c r="AH325" i="22"/>
  <c r="AH272" i="22"/>
  <c r="BG276" i="22"/>
  <c r="BF287" i="22"/>
  <c r="AE300" i="22"/>
  <c r="BG268" i="22"/>
  <c r="AG300" i="22"/>
  <c r="AG290" i="22"/>
  <c r="BG272" i="22"/>
  <c r="AH300" i="22"/>
  <c r="AD300" i="22"/>
  <c r="BG306" i="22"/>
  <c r="AC300" i="22"/>
  <c r="AW278" i="22"/>
  <c r="BF285" i="22"/>
  <c r="BG292" i="22"/>
  <c r="BG260" i="22"/>
  <c r="AA334" i="22"/>
  <c r="AH334" i="22"/>
  <c r="AG306" i="22"/>
  <c r="AH332" i="22"/>
  <c r="AG325" i="22"/>
  <c r="AG298" i="22"/>
  <c r="BG295" i="22"/>
  <c r="AG332" i="22"/>
  <c r="AF260" i="22"/>
  <c r="AB334" i="22"/>
  <c r="AF334" i="22"/>
  <c r="AD298" i="22"/>
  <c r="AH260" i="22"/>
  <c r="AC298" i="22"/>
  <c r="AE298" i="22"/>
  <c r="AF325" i="22"/>
  <c r="CG200" i="22"/>
  <c r="CH200" i="22" s="1"/>
  <c r="AB306" i="22"/>
  <c r="AF306" i="22"/>
  <c r="AA306" i="22"/>
  <c r="AB284" i="22"/>
  <c r="AW268" i="22"/>
  <c r="AG292" i="22"/>
  <c r="AF292" i="22"/>
  <c r="AA292" i="22"/>
  <c r="AF285" i="22"/>
  <c r="AB272" i="22"/>
  <c r="BF293" i="22"/>
  <c r="AG284" i="22"/>
  <c r="AT183" i="22"/>
  <c r="O2429" i="19" s="1"/>
  <c r="O2432" i="19" s="1"/>
  <c r="D2428" i="19" s="1"/>
  <c r="H499" i="4" s="1"/>
  <c r="AF312" i="22"/>
  <c r="AF284" i="22"/>
  <c r="AB268" i="22"/>
  <c r="L361" i="4"/>
  <c r="BH178" i="20"/>
  <c r="BI173" i="20"/>
  <c r="BG21" i="20"/>
  <c r="BI21" i="20" s="1"/>
  <c r="BI85" i="20"/>
  <c r="BH85" i="20"/>
  <c r="BH181" i="20"/>
  <c r="BI181" i="20"/>
  <c r="E2247" i="19"/>
  <c r="D2244" i="19" s="1"/>
  <c r="H799" i="4" s="1"/>
  <c r="E2241" i="19"/>
  <c r="K2241" i="19" s="1"/>
  <c r="K2243" i="19" s="1"/>
  <c r="D2240" i="19" s="1"/>
  <c r="H135" i="4" s="1"/>
  <c r="BJ90" i="20"/>
  <c r="E886" i="19"/>
  <c r="D883" i="19" s="1"/>
  <c r="E862" i="19"/>
  <c r="D859" i="19" s="1"/>
  <c r="H798" i="4" s="1"/>
  <c r="AE295" i="22"/>
  <c r="AG204" i="22"/>
  <c r="E2223" i="19"/>
  <c r="D2220" i="19" s="1"/>
  <c r="H795" i="4" s="1"/>
  <c r="BH161" i="20"/>
  <c r="C33" i="21"/>
  <c r="N400" i="19"/>
  <c r="N773" i="19" s="1"/>
  <c r="O773" i="19" s="1"/>
  <c r="K773" i="19" s="1"/>
  <c r="BH157" i="20"/>
  <c r="BI147" i="20"/>
  <c r="AC295" i="22"/>
  <c r="AA296" i="22"/>
  <c r="AF286" i="22"/>
  <c r="AH204" i="22"/>
  <c r="AH285" i="22"/>
  <c r="E2229" i="19"/>
  <c r="K2229" i="19" s="1"/>
  <c r="K2231" i="19" s="1"/>
  <c r="D2228" i="19" s="1"/>
  <c r="H151" i="4" s="1"/>
  <c r="E2235" i="19"/>
  <c r="D2232" i="19" s="1"/>
  <c r="H806" i="4" s="1"/>
  <c r="BH149" i="20"/>
  <c r="BI159" i="20"/>
  <c r="BH71" i="20"/>
  <c r="BH73" i="20"/>
  <c r="BH11" i="20"/>
  <c r="E809" i="19"/>
  <c r="D806" i="19" s="1"/>
  <c r="H40" i="4" s="1"/>
  <c r="AD295" i="22"/>
  <c r="AF295" i="22"/>
  <c r="AG286" i="22"/>
  <c r="AF204" i="22"/>
  <c r="AG285" i="22"/>
  <c r="AH286" i="22"/>
  <c r="L27" i="4"/>
  <c r="L2" i="4"/>
  <c r="L656" i="4"/>
  <c r="L512" i="4"/>
  <c r="AB273" i="22"/>
  <c r="AH298" i="22"/>
  <c r="AG273" i="22"/>
  <c r="AH284" i="22"/>
  <c r="AF273" i="22"/>
  <c r="BF284" i="22"/>
  <c r="AF287" i="22"/>
  <c r="AF300" i="22"/>
  <c r="O3066" i="19"/>
  <c r="D3062" i="19" s="1"/>
  <c r="H232" i="4" s="1"/>
  <c r="AE296" i="22"/>
  <c r="AC296" i="22"/>
  <c r="AH293" i="22"/>
  <c r="AF261" i="22"/>
  <c r="AD296" i="22"/>
  <c r="AG296" i="22"/>
  <c r="AF296" i="22"/>
  <c r="AH295" i="22"/>
  <c r="AF298" i="22"/>
  <c r="AG295" i="22"/>
  <c r="AD23" i="22"/>
  <c r="AB23" i="22"/>
  <c r="AC23" i="22"/>
  <c r="O4198" i="19"/>
  <c r="O4201" i="19" s="1"/>
  <c r="AA301" i="22"/>
  <c r="AD293" i="22"/>
  <c r="AH301" i="22"/>
  <c r="AH333" i="22"/>
  <c r="AW326" i="22"/>
  <c r="AG327" i="22"/>
  <c r="AB316" i="22"/>
  <c r="AG293" i="22"/>
  <c r="AH287" i="22"/>
  <c r="AG287" i="22"/>
  <c r="AG333" i="22"/>
  <c r="AF293" i="22"/>
  <c r="AC293" i="22"/>
  <c r="AH309" i="22"/>
  <c r="AG262" i="22"/>
  <c r="AF327" i="22"/>
  <c r="BG303" i="22"/>
  <c r="AB276" i="22"/>
  <c r="AH262" i="22"/>
  <c r="AF316" i="22"/>
  <c r="AG309" i="22"/>
  <c r="AG316" i="22"/>
  <c r="AA293" i="22"/>
  <c r="AF309" i="22"/>
  <c r="AH316" i="22"/>
  <c r="AH327" i="22"/>
  <c r="AG276" i="22"/>
  <c r="BF301" i="22"/>
  <c r="AH276" i="22"/>
  <c r="AF276" i="22"/>
  <c r="BG23" i="22"/>
  <c r="AF332" i="22"/>
  <c r="AH268" i="22"/>
  <c r="M4249" i="19"/>
  <c r="M4251" i="19" s="1"/>
  <c r="D4247" i="19" s="1"/>
  <c r="H780" i="4" s="1"/>
  <c r="BG300" i="22"/>
  <c r="AF301" i="22"/>
  <c r="AA299" i="22"/>
  <c r="AG268" i="22"/>
  <c r="AF268" i="22"/>
  <c r="AG272" i="22"/>
  <c r="AG299" i="22"/>
  <c r="AF272" i="22"/>
  <c r="BF273" i="22"/>
  <c r="BG261" i="22"/>
  <c r="BG262" i="22"/>
  <c r="AF333" i="22"/>
  <c r="AH261" i="22"/>
  <c r="AG261" i="22"/>
  <c r="AE318" i="22"/>
  <c r="AH299" i="22"/>
  <c r="AC299" i="22"/>
  <c r="CO23" i="22"/>
  <c r="CP23" i="22" s="1"/>
  <c r="CE23" i="22"/>
  <c r="CF23" i="22"/>
  <c r="CM23" i="22"/>
  <c r="AH17" i="22"/>
  <c r="AF303" i="22"/>
  <c r="AH270" i="22"/>
  <c r="AG270" i="22"/>
  <c r="AF270" i="22"/>
  <c r="AG303" i="22"/>
  <c r="AH303" i="22"/>
  <c r="AD312" i="22"/>
  <c r="AC312" i="22"/>
  <c r="AE312" i="22"/>
  <c r="AH312" i="22"/>
  <c r="AG312" i="22"/>
  <c r="BF13" i="22"/>
  <c r="W15" i="22"/>
  <c r="AF262" i="22"/>
  <c r="BF15" i="22"/>
  <c r="AH319" i="22"/>
  <c r="AW17" i="22"/>
  <c r="W17" i="22"/>
  <c r="W203" i="22"/>
  <c r="AB203" i="22"/>
  <c r="AD299" i="22"/>
  <c r="AW15" i="22"/>
  <c r="AF15" i="22"/>
  <c r="AH15" i="22"/>
  <c r="AG15" i="22"/>
  <c r="AG17" i="22"/>
  <c r="AF17" i="22"/>
  <c r="W24" i="22"/>
  <c r="BF17" i="22"/>
  <c r="W19" i="22"/>
  <c r="W12" i="22"/>
  <c r="BF24" i="22"/>
  <c r="O3583" i="19"/>
  <c r="O3585" i="19" s="1"/>
  <c r="D3581" i="19" s="1"/>
  <c r="H552" i="4" s="1"/>
  <c r="CA24" i="22"/>
  <c r="BV24" i="22" s="1"/>
  <c r="BF270" i="22"/>
  <c r="AH13" i="22"/>
  <c r="AA13" i="22"/>
  <c r="AF282" i="22"/>
  <c r="Z24" i="22"/>
  <c r="AA24" i="22" s="1"/>
  <c r="AG318" i="22"/>
  <c r="AD318" i="22"/>
  <c r="AC318" i="22"/>
  <c r="AA318" i="22"/>
  <c r="AW13" i="22"/>
  <c r="AJ297" i="22"/>
  <c r="X297" i="22" s="1"/>
  <c r="CG324" i="22"/>
  <c r="CH324" i="22" s="1"/>
  <c r="AF265" i="22"/>
  <c r="AW14" i="22"/>
  <c r="AB13" i="22"/>
  <c r="CC7" i="22"/>
  <c r="AF13" i="22"/>
  <c r="AH12" i="22"/>
  <c r="AH23" i="22"/>
  <c r="AF23" i="22"/>
  <c r="AA23" i="22"/>
  <c r="CM7" i="22"/>
  <c r="BF19" i="22"/>
  <c r="CC23" i="22"/>
  <c r="O4223" i="19"/>
  <c r="O4225" i="19" s="1"/>
  <c r="O4228" i="19" s="1"/>
  <c r="AW19" i="22"/>
  <c r="O4214" i="19"/>
  <c r="D4210" i="19" s="1"/>
  <c r="H243" i="4" s="1"/>
  <c r="AG314" i="22"/>
  <c r="AH314" i="22"/>
  <c r="J356" i="22"/>
  <c r="G4602" i="19" s="1"/>
  <c r="G4604" i="19" s="1"/>
  <c r="D4601" i="19" s="1"/>
  <c r="AH19" i="22"/>
  <c r="AP297" i="22"/>
  <c r="AF12" i="22"/>
  <c r="AA11" i="22"/>
  <c r="AG11" i="22"/>
  <c r="AA12" i="22"/>
  <c r="AG19" i="22"/>
  <c r="AF19" i="22"/>
  <c r="BF12" i="22"/>
  <c r="AG7" i="22"/>
  <c r="AA7" i="22"/>
  <c r="AF302" i="22"/>
  <c r="O4829" i="19"/>
  <c r="O4831" i="19" s="1"/>
  <c r="D4827" i="19" s="1"/>
  <c r="H554" i="4" s="1"/>
  <c r="AS297" i="22"/>
  <c r="AL356" i="22"/>
  <c r="AF274" i="22"/>
  <c r="D4697" i="19"/>
  <c r="H646" i="4" s="1"/>
  <c r="AF323" i="22"/>
  <c r="AG264" i="22"/>
  <c r="AF263" i="22"/>
  <c r="AW328" i="22"/>
  <c r="CC11" i="22"/>
  <c r="AG323" i="22"/>
  <c r="AH263" i="22"/>
  <c r="AW11" i="22"/>
  <c r="CJ11" i="22"/>
  <c r="O3481" i="19"/>
  <c r="K3481" i="19" s="1"/>
  <c r="K3483" i="19" s="1"/>
  <c r="D3478" i="19" s="1"/>
  <c r="H839" i="4" s="1"/>
  <c r="CF7" i="22"/>
  <c r="CM11" i="22"/>
  <c r="AW21" i="22"/>
  <c r="CO7" i="22"/>
  <c r="CP7" i="22" s="1"/>
  <c r="CE11" i="22"/>
  <c r="CE7" i="22"/>
  <c r="CF11" i="22"/>
  <c r="AG265" i="22"/>
  <c r="CG310" i="22"/>
  <c r="CH310" i="22" s="1"/>
  <c r="CJ7" i="22"/>
  <c r="AG282" i="22"/>
  <c r="O299" i="22"/>
  <c r="W299" i="22" s="1"/>
  <c r="AF299" i="22"/>
  <c r="AG324" i="22"/>
  <c r="AF294" i="22"/>
  <c r="AP294" i="22" s="1"/>
  <c r="AD7" i="22"/>
  <c r="AC7" i="22"/>
  <c r="CE183" i="22"/>
  <c r="O2317" i="19" s="1"/>
  <c r="O2319" i="19" s="1"/>
  <c r="D2315" i="19" s="1"/>
  <c r="H333" i="4" s="1"/>
  <c r="AC11" i="22"/>
  <c r="AD11" i="22"/>
  <c r="D3450" i="19"/>
  <c r="H644" i="4" s="1"/>
  <c r="AH20" i="22"/>
  <c r="CD183" i="22"/>
  <c r="O2350" i="19" s="1"/>
  <c r="O2352" i="19" s="1"/>
  <c r="D2348" i="19" s="1"/>
  <c r="H379" i="4" s="1"/>
  <c r="AL246" i="22"/>
  <c r="AG20" i="22"/>
  <c r="J96" i="22"/>
  <c r="BR96" i="22"/>
  <c r="N981" i="19" s="1"/>
  <c r="N983" i="19" s="1"/>
  <c r="D979" i="19" s="1"/>
  <c r="H442" i="4" s="1"/>
  <c r="AL96" i="22"/>
  <c r="AF20" i="22"/>
  <c r="O1136" i="19"/>
  <c r="O1138" i="19" s="1"/>
  <c r="D1134" i="19" s="1"/>
  <c r="H548" i="4" s="1"/>
  <c r="O562" i="19"/>
  <c r="O1968" i="19"/>
  <c r="D1965" i="19" s="1"/>
  <c r="H231" i="4" s="1"/>
  <c r="CG22" i="22"/>
  <c r="CH22" i="22" s="1"/>
  <c r="O1976" i="19"/>
  <c r="M1976" i="19" s="1"/>
  <c r="M1978" i="19" s="1"/>
  <c r="D1974" i="19" s="1"/>
  <c r="H760" i="4" s="1"/>
  <c r="BS96" i="22"/>
  <c r="N986" i="19" s="1"/>
  <c r="N988" i="19" s="1"/>
  <c r="D984" i="19" s="1"/>
  <c r="H458" i="4" s="1"/>
  <c r="BD96" i="22"/>
  <c r="O1054" i="19" s="1"/>
  <c r="AU183" i="22"/>
  <c r="O2434" i="19" s="1"/>
  <c r="O2437" i="19" s="1"/>
  <c r="D2433" i="19" s="1"/>
  <c r="H62" i="4" s="1"/>
  <c r="BQ96" i="22"/>
  <c r="N976" i="19" s="1"/>
  <c r="N978" i="19" s="1"/>
  <c r="D974" i="19" s="1"/>
  <c r="H422" i="4" s="1"/>
  <c r="L191" i="4"/>
  <c r="L137" i="4"/>
  <c r="L203" i="4"/>
  <c r="O3069" i="19"/>
  <c r="O3072" i="19" s="1"/>
  <c r="D3067" i="19" s="1"/>
  <c r="H106" i="4" s="1"/>
  <c r="L241" i="4"/>
  <c r="J246" i="22"/>
  <c r="G3355" i="19" s="1"/>
  <c r="G3357" i="19" s="1"/>
  <c r="D3354" i="19" s="1"/>
  <c r="BQ246" i="22"/>
  <c r="N3422" i="19" s="1"/>
  <c r="N3424" i="19" s="1"/>
  <c r="D3420" i="19" s="1"/>
  <c r="H426" i="4" s="1"/>
  <c r="BR246" i="22"/>
  <c r="N3427" i="19" s="1"/>
  <c r="N3429" i="19" s="1"/>
  <c r="D3425" i="19" s="1"/>
  <c r="H446" i="4" s="1"/>
  <c r="L6" i="4"/>
  <c r="BS246" i="22"/>
  <c r="N3432" i="19" s="1"/>
  <c r="N3434" i="19" s="1"/>
  <c r="D3430" i="19" s="1"/>
  <c r="H460" i="4" s="1"/>
  <c r="AK246" i="22"/>
  <c r="O3447" i="19" s="1"/>
  <c r="O3449" i="19" s="1"/>
  <c r="D3445" i="19" s="1"/>
  <c r="H470" i="4" s="1"/>
  <c r="O3091" i="19"/>
  <c r="O3093" i="19" s="1"/>
  <c r="O3096" i="19" s="1"/>
  <c r="M3096" i="19" s="1"/>
  <c r="M3098" i="19" s="1"/>
  <c r="D3094" i="19" s="1"/>
  <c r="H770" i="4" s="1"/>
  <c r="AF206" i="22"/>
  <c r="W206" i="22"/>
  <c r="AB206" i="22"/>
  <c r="AH206" i="22"/>
  <c r="AA203" i="22"/>
  <c r="AG203" i="22"/>
  <c r="AG206" i="22"/>
  <c r="AF203" i="22"/>
  <c r="CG323" i="22"/>
  <c r="CH323" i="22" s="1"/>
  <c r="L8" i="4"/>
  <c r="CG304" i="22"/>
  <c r="CH304" i="22" s="1"/>
  <c r="CG266" i="22"/>
  <c r="CH266" i="22" s="1"/>
  <c r="CG280" i="22"/>
  <c r="CH280" i="22" s="1"/>
  <c r="AK356" i="22"/>
  <c r="O4694" i="19" s="1"/>
  <c r="O4696" i="19" s="1"/>
  <c r="D4692" i="19" s="1"/>
  <c r="AX297" i="22"/>
  <c r="AY297" i="22" s="1"/>
  <c r="AZ297" i="22" s="1"/>
  <c r="L234" i="4"/>
  <c r="AA324" i="22"/>
  <c r="AF314" i="22"/>
  <c r="BR356" i="22"/>
  <c r="N4674" i="19" s="1"/>
  <c r="N4676" i="19" s="1"/>
  <c r="D4672" i="19" s="1"/>
  <c r="H448" i="4" s="1"/>
  <c r="AD319" i="22"/>
  <c r="AX329" i="22"/>
  <c r="AY329" i="22" s="1"/>
  <c r="AS329" i="22"/>
  <c r="AC319" i="22"/>
  <c r="BQ356" i="22"/>
  <c r="N4669" i="19" s="1"/>
  <c r="N4671" i="19" s="1"/>
  <c r="D4667" i="19" s="1"/>
  <c r="H428" i="4" s="1"/>
  <c r="AA319" i="22"/>
  <c r="AF319" i="22"/>
  <c r="BS356" i="22"/>
  <c r="N4679" i="19" s="1"/>
  <c r="N4681" i="19" s="1"/>
  <c r="D4677" i="19" s="1"/>
  <c r="H462" i="4" s="1"/>
  <c r="AA315" i="22"/>
  <c r="AF318" i="22"/>
  <c r="AG319" i="22"/>
  <c r="AP329" i="22"/>
  <c r="AF275" i="22"/>
  <c r="CA321" i="22"/>
  <c r="BV321" i="22" s="1"/>
  <c r="BZ321" i="22"/>
  <c r="Z321" i="22"/>
  <c r="AE321" i="22" s="1"/>
  <c r="K4730" i="19"/>
  <c r="D4725" i="19" s="1"/>
  <c r="H842" i="4" s="1"/>
  <c r="K4732" i="19"/>
  <c r="K4734" i="19" s="1"/>
  <c r="K4735" i="19" s="1"/>
  <c r="D4731" i="19" s="1"/>
  <c r="H173" i="4" s="1"/>
  <c r="D4701" i="19"/>
  <c r="H221" i="4" s="1"/>
  <c r="L505" i="4"/>
  <c r="AU356" i="22"/>
  <c r="O4742" i="19" s="1"/>
  <c r="O4745" i="19" s="1"/>
  <c r="D4741" i="19" s="1"/>
  <c r="H68" i="4" s="1"/>
  <c r="BD356" i="22"/>
  <c r="O4747" i="19" s="1"/>
  <c r="L114" i="4"/>
  <c r="CG326" i="22"/>
  <c r="CH326" i="22" s="1"/>
  <c r="AG263" i="22"/>
  <c r="AH302" i="22"/>
  <c r="AA302" i="22"/>
  <c r="AA288" i="22"/>
  <c r="AB314" i="22"/>
  <c r="AB319" i="22"/>
  <c r="AA323" i="22"/>
  <c r="AB323" i="22"/>
  <c r="AG315" i="22"/>
  <c r="AF324" i="22"/>
  <c r="AA330" i="22"/>
  <c r="AF330" i="22"/>
  <c r="AH330" i="22"/>
  <c r="AG330" i="22"/>
  <c r="AB321" i="22"/>
  <c r="AH328" i="22"/>
  <c r="AF315" i="22"/>
  <c r="AB330" i="22"/>
  <c r="AB318" i="22"/>
  <c r="AB328" i="22"/>
  <c r="AB315" i="22"/>
  <c r="AH331" i="22"/>
  <c r="AG331" i="22"/>
  <c r="AF331" i="22"/>
  <c r="AA317" i="22"/>
  <c r="AF317" i="22"/>
  <c r="AF328" i="22"/>
  <c r="AB326" i="22"/>
  <c r="AB317" i="22"/>
  <c r="AB331" i="22"/>
  <c r="AG328" i="22"/>
  <c r="AA326" i="22"/>
  <c r="AG326" i="22"/>
  <c r="AF326" i="22"/>
  <c r="AH326" i="22"/>
  <c r="AG317" i="22"/>
  <c r="L235" i="4"/>
  <c r="AA271" i="22"/>
  <c r="AG283" i="22"/>
  <c r="AH283" i="22"/>
  <c r="AF283" i="22"/>
  <c r="AB310" i="22"/>
  <c r="AA307" i="22"/>
  <c r="AF307" i="22"/>
  <c r="AH275" i="22"/>
  <c r="AB281" i="22"/>
  <c r="AG275" i="22"/>
  <c r="AB277" i="22"/>
  <c r="AG302" i="22"/>
  <c r="CG281" i="22"/>
  <c r="CH281" i="22" s="1"/>
  <c r="AA277" i="22"/>
  <c r="AF277" i="22"/>
  <c r="AH277" i="22"/>
  <c r="AG277" i="22"/>
  <c r="AB275" i="22"/>
  <c r="AF291" i="22"/>
  <c r="AH280" i="22"/>
  <c r="AG280" i="22"/>
  <c r="AF280" i="22"/>
  <c r="AA291" i="22"/>
  <c r="AG288" i="22"/>
  <c r="AF288" i="22"/>
  <c r="AA264" i="22"/>
  <c r="AF264" i="22"/>
  <c r="AH264" i="22"/>
  <c r="AA283" i="22"/>
  <c r="AA275" i="22"/>
  <c r="AH291" i="22"/>
  <c r="CG274" i="22"/>
  <c r="CH274" i="22" s="1"/>
  <c r="AH304" i="22"/>
  <c r="AF304" i="22"/>
  <c r="AG304" i="22"/>
  <c r="AF278" i="22"/>
  <c r="AH278" i="22"/>
  <c r="AG278" i="22"/>
  <c r="AB283" i="22"/>
  <c r="AA308" i="22"/>
  <c r="AH308" i="22"/>
  <c r="AG308" i="22"/>
  <c r="AF308" i="22"/>
  <c r="AB302" i="22"/>
  <c r="AH266" i="22"/>
  <c r="AF266" i="22"/>
  <c r="AF271" i="22"/>
  <c r="AA265" i="22"/>
  <c r="AH265" i="22"/>
  <c r="AB280" i="22"/>
  <c r="AA274" i="22"/>
  <c r="AH274" i="22"/>
  <c r="AA280" i="22"/>
  <c r="AB278" i="22"/>
  <c r="AB288" i="22"/>
  <c r="AA289" i="22"/>
  <c r="AF289" i="22"/>
  <c r="AG289" i="22"/>
  <c r="AH289" i="22"/>
  <c r="AG266" i="22"/>
  <c r="AB308" i="22"/>
  <c r="AH269" i="22"/>
  <c r="AG269" i="22"/>
  <c r="AF269" i="22"/>
  <c r="AB265" i="22"/>
  <c r="AF310" i="22"/>
  <c r="AG310" i="22"/>
  <c r="AH310" i="22"/>
  <c r="AB304" i="22"/>
  <c r="AB282" i="22"/>
  <c r="AG305" i="22"/>
  <c r="AF305" i="22"/>
  <c r="AH305" i="22"/>
  <c r="AG271" i="22"/>
  <c r="AB289" i="22"/>
  <c r="AA281" i="22"/>
  <c r="AF281" i="22"/>
  <c r="AH281" i="22"/>
  <c r="AG281" i="22"/>
  <c r="AG274" i="22"/>
  <c r="AH307" i="22"/>
  <c r="L392" i="4"/>
  <c r="D2517" i="19"/>
  <c r="H189" i="4" s="1"/>
  <c r="O183" i="22"/>
  <c r="E2390" i="19" s="1"/>
  <c r="O2390" i="19" s="1"/>
  <c r="O2392" i="19" s="1"/>
  <c r="L635" i="4"/>
  <c r="L64" i="4"/>
  <c r="L4" i="4"/>
  <c r="L513" i="4"/>
  <c r="BD183" i="22"/>
  <c r="O2439" i="19" s="1"/>
  <c r="D2393" i="19"/>
  <c r="H215" i="4" s="1"/>
  <c r="O2420" i="19"/>
  <c r="K2420" i="19" s="1"/>
  <c r="L403" i="4"/>
  <c r="L819" i="4"/>
  <c r="L239" i="4"/>
  <c r="J183" i="22"/>
  <c r="G2294" i="19" s="1"/>
  <c r="G2296" i="19" s="1"/>
  <c r="D2293" i="19" s="1"/>
  <c r="L330" i="4"/>
  <c r="O2521" i="19"/>
  <c r="O2524" i="19" s="1"/>
  <c r="D2520" i="19" s="1"/>
  <c r="H550" i="4" s="1"/>
  <c r="D2490" i="19"/>
  <c r="H202" i="4" s="1"/>
  <c r="L665" i="4"/>
  <c r="L814" i="4"/>
  <c r="L367" i="4"/>
  <c r="L75" i="4"/>
  <c r="L381" i="4"/>
  <c r="L370" i="4"/>
  <c r="L82" i="4"/>
  <c r="L348" i="4"/>
  <c r="L375" i="4"/>
  <c r="L398" i="4"/>
  <c r="L347" i="4"/>
  <c r="L327" i="4"/>
  <c r="L402" i="4"/>
  <c r="L357" i="4"/>
  <c r="L395" i="4"/>
  <c r="BI54" i="20"/>
  <c r="BH54" i="20"/>
  <c r="AH6" i="22"/>
  <c r="BI74" i="20"/>
  <c r="BI154" i="20"/>
  <c r="L352" i="4"/>
  <c r="BI170" i="20"/>
  <c r="BI55" i="20"/>
  <c r="BH184" i="20"/>
  <c r="AF6" i="22"/>
  <c r="BH182" i="20"/>
  <c r="AG6" i="22"/>
  <c r="BI180" i="20"/>
  <c r="BI62" i="20"/>
  <c r="BH19" i="20"/>
  <c r="L593" i="4"/>
  <c r="BA192" i="20"/>
  <c r="O4495" i="19" s="1"/>
  <c r="M4495" i="19" s="1"/>
  <c r="AR89" i="20"/>
  <c r="BL90" i="20" s="1"/>
  <c r="O2059" i="19" s="1"/>
  <c r="BI82" i="20"/>
  <c r="M4006" i="19"/>
  <c r="N4008" i="19" s="1"/>
  <c r="N4010" i="19" s="1"/>
  <c r="D4003" i="19" s="1"/>
  <c r="H588" i="4" s="1"/>
  <c r="E4013" i="19"/>
  <c r="W44" i="20"/>
  <c r="BH160" i="20"/>
  <c r="BI7" i="20"/>
  <c r="L810" i="4"/>
  <c r="L359" i="4"/>
  <c r="BH13" i="20"/>
  <c r="AR192" i="20"/>
  <c r="BL193" i="20" s="1"/>
  <c r="O4362" i="19" s="1"/>
  <c r="BH163" i="20"/>
  <c r="BH158" i="20"/>
  <c r="BI103" i="20"/>
  <c r="BH148" i="20"/>
  <c r="BI116" i="20"/>
  <c r="BH26" i="20"/>
  <c r="L324" i="4"/>
  <c r="BH152" i="20"/>
  <c r="BI9" i="20"/>
  <c r="BH179" i="20"/>
  <c r="L300" i="4"/>
  <c r="L265" i="4"/>
  <c r="N1249" i="19"/>
  <c r="O4894" i="19"/>
  <c r="M4914" i="19"/>
  <c r="N4914" i="19" s="1"/>
  <c r="L394" i="4"/>
  <c r="L383" i="4"/>
  <c r="L843" i="4"/>
  <c r="L334" i="4"/>
  <c r="L712" i="4"/>
  <c r="L174" i="4"/>
  <c r="L108" i="4"/>
  <c r="L401" i="4"/>
  <c r="L349" i="4"/>
  <c r="L101" i="4"/>
  <c r="L35" i="4"/>
  <c r="L397" i="4"/>
  <c r="L373" i="4"/>
  <c r="L746" i="4"/>
  <c r="L742" i="4"/>
  <c r="L396" i="4"/>
  <c r="L318" i="4"/>
  <c r="L474" i="4"/>
  <c r="L350" i="4"/>
  <c r="L393" i="4"/>
  <c r="L641" i="4"/>
  <c r="L399" i="4"/>
  <c r="L61" i="4"/>
  <c r="L355" i="4"/>
  <c r="L57" i="4"/>
  <c r="L378" i="4"/>
  <c r="L725" i="4"/>
  <c r="L178" i="4"/>
  <c r="L353" i="4"/>
  <c r="L592" i="4"/>
  <c r="L482" i="4"/>
  <c r="L368" i="4"/>
  <c r="L675" i="4"/>
  <c r="L351" i="4"/>
  <c r="L115" i="4"/>
  <c r="L834" i="4"/>
  <c r="L767" i="4"/>
  <c r="L46" i="4"/>
  <c r="L177" i="4"/>
  <c r="L85" i="4"/>
  <c r="L165" i="4"/>
  <c r="L30" i="4"/>
  <c r="L95" i="4"/>
  <c r="L332" i="4"/>
  <c r="L171" i="4"/>
  <c r="L734" i="4"/>
  <c r="L707" i="4"/>
  <c r="L716" i="4"/>
  <c r="L591" i="4"/>
  <c r="L594" i="4"/>
  <c r="L139" i="4"/>
  <c r="L67" i="4"/>
  <c r="L483" i="4"/>
  <c r="L487" i="4"/>
  <c r="L218" i="4"/>
  <c r="L777" i="4"/>
  <c r="L747" i="4"/>
  <c r="L179" i="4"/>
  <c r="L201" i="4"/>
  <c r="L668" i="4"/>
  <c r="L820" i="4"/>
  <c r="L590" i="4"/>
  <c r="L666" i="4"/>
  <c r="L840" i="4"/>
  <c r="L758" i="4"/>
  <c r="L400" i="4"/>
  <c r="L837" i="4"/>
  <c r="L757" i="4"/>
  <c r="L638" i="4"/>
  <c r="L79" i="4"/>
  <c r="L342" i="4"/>
  <c r="L667" i="4"/>
  <c r="L150" i="4"/>
  <c r="L488" i="4"/>
  <c r="L643" i="4"/>
  <c r="L717" i="4"/>
  <c r="L168" i="4"/>
  <c r="L3" i="4"/>
  <c r="L321" i="4"/>
  <c r="L495" i="4"/>
  <c r="L636" i="4"/>
  <c r="L43" i="4"/>
  <c r="L741" i="4"/>
  <c r="L486" i="4"/>
  <c r="L187" i="4"/>
  <c r="L737" i="4"/>
  <c r="L502" i="4"/>
  <c r="L100" i="4"/>
  <c r="L706" i="4"/>
  <c r="D4866" i="19"/>
  <c r="H184" i="4" s="1"/>
  <c r="O4922" i="19"/>
  <c r="D5163" i="19"/>
  <c r="H133" i="4" s="1"/>
  <c r="O5173" i="19"/>
  <c r="BI100" i="20"/>
  <c r="D3620" i="19"/>
  <c r="H183" i="4" s="1"/>
  <c r="O3676" i="19"/>
  <c r="CG307" i="22"/>
  <c r="CH307" i="22" s="1"/>
  <c r="M4918" i="19"/>
  <c r="N4918" i="19" s="1"/>
  <c r="O4898" i="19"/>
  <c r="BG7" i="22"/>
  <c r="BF7" i="22"/>
  <c r="BG58" i="20"/>
  <c r="BI58" i="20" s="1"/>
  <c r="BG183" i="20"/>
  <c r="BI183" i="20" s="1"/>
  <c r="BI171" i="20"/>
  <c r="BH167" i="20"/>
  <c r="D3907" i="19"/>
  <c r="H129" i="4" s="1"/>
  <c r="O3917" i="19"/>
  <c r="BI141" i="20"/>
  <c r="E535" i="19"/>
  <c r="O535" i="19" s="1"/>
  <c r="O537" i="19" s="1"/>
  <c r="D500" i="19"/>
  <c r="H672" i="4" s="1"/>
  <c r="BH186" i="20"/>
  <c r="BG271" i="22"/>
  <c r="BF271" i="22"/>
  <c r="CG278" i="22"/>
  <c r="CH278" i="22" s="1"/>
  <c r="BI28" i="20"/>
  <c r="M2611" i="19"/>
  <c r="N2611" i="19" s="1"/>
  <c r="O2591" i="19"/>
  <c r="BI88" i="20"/>
  <c r="N3666" i="19"/>
  <c r="M3702" i="19"/>
  <c r="N3702" i="19" s="1"/>
  <c r="BG283" i="22"/>
  <c r="BF283" i="22"/>
  <c r="BH165" i="20"/>
  <c r="BI175" i="20"/>
  <c r="BH14" i="20"/>
  <c r="CG203" i="22"/>
  <c r="CH203" i="22" s="1"/>
  <c r="BA89" i="20"/>
  <c r="O2187" i="19" s="1"/>
  <c r="M2187" i="19" s="1"/>
  <c r="BG44" i="20"/>
  <c r="BI44" i="20" s="1"/>
  <c r="BI156" i="20"/>
  <c r="BF274" i="22"/>
  <c r="BG274" i="22"/>
  <c r="BG18" i="20"/>
  <c r="BI18" i="20" s="1"/>
  <c r="M3672" i="19"/>
  <c r="N3672" i="19" s="1"/>
  <c r="O3652" i="19"/>
  <c r="M2641" i="19"/>
  <c r="N2641" i="19" s="1"/>
  <c r="N2645" i="19" s="1"/>
  <c r="D2632" i="19" s="1"/>
  <c r="H406" i="4" s="1"/>
  <c r="N2605" i="19"/>
  <c r="BF120" i="20"/>
  <c r="BH100" i="20"/>
  <c r="CQ297" i="22"/>
  <c r="CP297" i="22"/>
  <c r="CG277" i="22"/>
  <c r="CH277" i="22" s="1"/>
  <c r="C11" i="21"/>
  <c r="BG146" i="20"/>
  <c r="BI146" i="20" s="1"/>
  <c r="BF33" i="20"/>
  <c r="BH6" i="20"/>
  <c r="M3648" i="19"/>
  <c r="M3667" i="19"/>
  <c r="N3667" i="19" s="1"/>
  <c r="O3647" i="19"/>
  <c r="E4525" i="19"/>
  <c r="K4525" i="19" s="1"/>
  <c r="K4527" i="19" s="1"/>
  <c r="E4531" i="19"/>
  <c r="D4528" i="19" s="1"/>
  <c r="H797" i="4" s="1"/>
  <c r="M2603" i="19"/>
  <c r="N2603" i="19" s="1"/>
  <c r="O2583" i="19"/>
  <c r="BG310" i="22"/>
  <c r="BF310" i="22"/>
  <c r="BG64" i="20"/>
  <c r="BI64" i="20" s="1"/>
  <c r="AX89" i="20"/>
  <c r="O2186" i="19" s="1"/>
  <c r="M2186" i="19" s="1"/>
  <c r="CQ282" i="22"/>
  <c r="CP282" i="22"/>
  <c r="AK96" i="22"/>
  <c r="O1001" i="19" s="1"/>
  <c r="O1003" i="19" s="1"/>
  <c r="D999" i="19" s="1"/>
  <c r="H466" i="4" s="1"/>
  <c r="BI169" i="20"/>
  <c r="W22" i="22"/>
  <c r="AB22" i="22"/>
  <c r="BG25" i="20"/>
  <c r="BI25" i="20" s="1"/>
  <c r="BI109" i="20"/>
  <c r="BG56" i="20"/>
  <c r="BI56" i="20" s="1"/>
  <c r="O1035" i="19"/>
  <c r="K1035" i="19" s="1"/>
  <c r="D1008" i="19"/>
  <c r="H211" i="4" s="1"/>
  <c r="O2615" i="19"/>
  <c r="D2559" i="19"/>
  <c r="H182" i="4" s="1"/>
  <c r="CG295" i="22"/>
  <c r="CH295" i="22" s="1"/>
  <c r="BA120" i="20"/>
  <c r="O3292" i="19" s="1"/>
  <c r="M3292" i="19" s="1"/>
  <c r="AF16" i="22"/>
  <c r="AH16" i="22"/>
  <c r="AG16" i="22"/>
  <c r="BI66" i="20"/>
  <c r="AX33" i="20"/>
  <c r="O800" i="19" s="1"/>
  <c r="M800" i="19" s="1"/>
  <c r="CG294" i="22"/>
  <c r="CH294" i="22" s="1"/>
  <c r="CG291" i="22"/>
  <c r="CH291" i="22" s="1"/>
  <c r="BI166" i="20"/>
  <c r="N3696" i="19"/>
  <c r="B24" i="21"/>
  <c r="O2018" i="19"/>
  <c r="O2020" i="19" s="1"/>
  <c r="D2016" i="19" s="1"/>
  <c r="H338" i="4" s="1"/>
  <c r="BH50" i="20"/>
  <c r="BH20" i="20"/>
  <c r="BH168" i="20"/>
  <c r="BH70" i="20"/>
  <c r="CG315" i="22"/>
  <c r="CH315" i="22" s="1"/>
  <c r="B33" i="21"/>
  <c r="BJ121" i="20"/>
  <c r="O3129" i="19"/>
  <c r="O3131" i="19" s="1"/>
  <c r="D3127" i="19" s="1"/>
  <c r="H340" i="4" s="1"/>
  <c r="BG16" i="22"/>
  <c r="BF16" i="22"/>
  <c r="BG203" i="22"/>
  <c r="BF203" i="22"/>
  <c r="BG291" i="22"/>
  <c r="BF291" i="22"/>
  <c r="CQ299" i="22"/>
  <c r="CP299" i="22"/>
  <c r="N2128" i="19"/>
  <c r="N1811" i="19"/>
  <c r="E4561" i="19"/>
  <c r="K4561" i="19" s="1"/>
  <c r="K4563" i="19" s="1"/>
  <c r="D4560" i="19" s="1"/>
  <c r="H140" i="4" s="1"/>
  <c r="E4567" i="19"/>
  <c r="D4564" i="19" s="1"/>
  <c r="H803" i="4" s="1"/>
  <c r="CG317" i="22"/>
  <c r="CH317" i="22" s="1"/>
  <c r="BE89" i="20"/>
  <c r="BG43" i="20"/>
  <c r="BI43" i="20" s="1"/>
  <c r="BA33" i="20"/>
  <c r="O801" i="19" s="1"/>
  <c r="M801" i="19" s="1"/>
  <c r="BG59" i="20"/>
  <c r="BI59" i="20" s="1"/>
  <c r="BG115" i="20"/>
  <c r="BI115" i="20" s="1"/>
  <c r="AF21" i="22"/>
  <c r="AG21" i="22"/>
  <c r="AH21" i="22"/>
  <c r="BG30" i="20"/>
  <c r="BI30" i="20" s="1"/>
  <c r="BH29" i="20"/>
  <c r="AR33" i="20"/>
  <c r="BL34" i="20" s="1"/>
  <c r="BG46" i="20"/>
  <c r="BI46" i="20" s="1"/>
  <c r="BH172" i="20"/>
  <c r="CG269" i="22"/>
  <c r="CH269" i="22" s="1"/>
  <c r="BH15" i="20"/>
  <c r="BH77" i="20"/>
  <c r="CG314" i="22"/>
  <c r="CH314" i="22" s="1"/>
  <c r="M2606" i="19"/>
  <c r="N2606" i="19" s="1"/>
  <c r="O2586" i="19"/>
  <c r="M2587" i="19"/>
  <c r="BF280" i="22"/>
  <c r="BG280" i="22"/>
  <c r="AW20" i="22"/>
  <c r="BH191" i="20"/>
  <c r="CG263" i="22"/>
  <c r="CH263" i="22" s="1"/>
  <c r="CG206" i="22"/>
  <c r="CH206" i="22" s="1"/>
  <c r="D1173" i="19"/>
  <c r="H181" i="4" s="1"/>
  <c r="O1229" i="19"/>
  <c r="CG328" i="22"/>
  <c r="CH328" i="22" s="1"/>
  <c r="AX120" i="20"/>
  <c r="O3291" i="19" s="1"/>
  <c r="M3291" i="19" s="1"/>
  <c r="CG16" i="22"/>
  <c r="CH16" i="22" s="1"/>
  <c r="O3924" i="19"/>
  <c r="J3924" i="19" s="1"/>
  <c r="J3918" i="19"/>
  <c r="BH24" i="20"/>
  <c r="BI61" i="20"/>
  <c r="AF7" i="22"/>
  <c r="BG32" i="20"/>
  <c r="BI32" i="20" s="1"/>
  <c r="BG185" i="20"/>
  <c r="BI185" i="20" s="1"/>
  <c r="B11" i="21"/>
  <c r="O626" i="19"/>
  <c r="O628" i="19" s="1"/>
  <c r="D624" i="19" s="1"/>
  <c r="H336" i="4" s="1"/>
  <c r="BG289" i="22"/>
  <c r="BF289" i="22"/>
  <c r="BG21" i="22"/>
  <c r="BF21" i="22"/>
  <c r="BH151" i="20"/>
  <c r="W6" i="22"/>
  <c r="AB6" i="22"/>
  <c r="D2781" i="19"/>
  <c r="H125" i="4" s="1"/>
  <c r="O2791" i="19"/>
  <c r="BH67" i="20"/>
  <c r="W11" i="22"/>
  <c r="BG10" i="20"/>
  <c r="BI10" i="20" s="1"/>
  <c r="BG307" i="22"/>
  <c r="BF307" i="22"/>
  <c r="O1201" i="19"/>
  <c r="M1221" i="19"/>
  <c r="N1221" i="19" s="1"/>
  <c r="O553" i="19"/>
  <c r="D549" i="19" s="1"/>
  <c r="H237" i="4" s="1"/>
  <c r="O561" i="19"/>
  <c r="AR120" i="20"/>
  <c r="BL121" i="20" s="1"/>
  <c r="CG318" i="22"/>
  <c r="CH318" i="22" s="1"/>
  <c r="CG322" i="22"/>
  <c r="CH322" i="22" s="1"/>
  <c r="D3008" i="19"/>
  <c r="H674" i="4" s="1"/>
  <c r="E3043" i="19"/>
  <c r="O3043" i="19" s="1"/>
  <c r="O3045" i="19" s="1"/>
  <c r="BG11" i="22"/>
  <c r="BF11" i="22"/>
  <c r="N4436" i="19"/>
  <c r="N4064" i="19"/>
  <c r="BI51" i="20"/>
  <c r="BH65" i="20"/>
  <c r="CG282" i="22"/>
  <c r="CH282" i="22" s="1"/>
  <c r="BI49" i="20"/>
  <c r="M1225" i="19"/>
  <c r="N1225" i="19" s="1"/>
  <c r="O1205" i="19"/>
  <c r="AH14" i="22"/>
  <c r="AG14" i="22"/>
  <c r="AF14" i="22"/>
  <c r="BH53" i="20"/>
  <c r="BG299" i="22"/>
  <c r="BF299" i="22"/>
  <c r="BG153" i="20"/>
  <c r="BI153" i="20" s="1"/>
  <c r="BG111" i="20"/>
  <c r="BI111" i="20" s="1"/>
  <c r="N4942" i="19"/>
  <c r="N4952" i="19" s="1"/>
  <c r="D4939" i="19" s="1"/>
  <c r="H408" i="4" s="1"/>
  <c r="BG277" i="22"/>
  <c r="BF277" i="22"/>
  <c r="BH17" i="20"/>
  <c r="O2798" i="19"/>
  <c r="J2798" i="19" s="1"/>
  <c r="J2792" i="19"/>
  <c r="CQ318" i="22"/>
  <c r="CP318" i="22"/>
  <c r="N1213" i="19"/>
  <c r="M1251" i="19"/>
  <c r="N1251" i="19" s="1"/>
  <c r="BH105" i="20"/>
  <c r="BH47" i="20"/>
  <c r="BH60" i="20"/>
  <c r="CG264" i="22"/>
  <c r="CH264" i="22" s="1"/>
  <c r="CQ295" i="22"/>
  <c r="CP295" i="22"/>
  <c r="E348" i="19"/>
  <c r="M341" i="19"/>
  <c r="N343" i="19" s="1"/>
  <c r="N345" i="19" s="1"/>
  <c r="D338" i="19" s="1"/>
  <c r="H583" i="4" s="1"/>
  <c r="W16" i="22"/>
  <c r="AB16" i="22"/>
  <c r="BG14" i="22"/>
  <c r="BF14" i="22"/>
  <c r="BF281" i="22"/>
  <c r="BG281" i="22"/>
  <c r="CG319" i="22"/>
  <c r="CH319" i="22" s="1"/>
  <c r="O4969" i="19"/>
  <c r="O4972" i="19" s="1"/>
  <c r="D4967" i="19" s="1"/>
  <c r="H195" i="4" s="1"/>
  <c r="E4981" i="19"/>
  <c r="K4981" i="19" s="1"/>
  <c r="K4984" i="19" s="1"/>
  <c r="D4979" i="19" s="1"/>
  <c r="H18" i="4" s="1"/>
  <c r="E4987" i="19"/>
  <c r="N4987" i="19" s="1"/>
  <c r="N4990" i="19" s="1"/>
  <c r="D4985" i="19" s="1"/>
  <c r="H511" i="4" s="1"/>
  <c r="BG143" i="20"/>
  <c r="BI143" i="20" s="1"/>
  <c r="BG305" i="22"/>
  <c r="BF305" i="22"/>
  <c r="CQ294" i="22"/>
  <c r="CP294" i="22"/>
  <c r="W20" i="22"/>
  <c r="AB20" i="22"/>
  <c r="BF265" i="22"/>
  <c r="BG265" i="22"/>
  <c r="BF89" i="20"/>
  <c r="BG6" i="22"/>
  <c r="BF6" i="22"/>
  <c r="BG263" i="22"/>
  <c r="BF263" i="22"/>
  <c r="BH86" i="20"/>
  <c r="E4555" i="19"/>
  <c r="D4552" i="19" s="1"/>
  <c r="H800" i="4" s="1"/>
  <c r="E4549" i="19"/>
  <c r="K4549" i="19" s="1"/>
  <c r="K4551" i="19" s="1"/>
  <c r="D4548" i="19" s="1"/>
  <c r="H136" i="4" s="1"/>
  <c r="BH52" i="20"/>
  <c r="BG282" i="22"/>
  <c r="BF282" i="22"/>
  <c r="E1947" i="19"/>
  <c r="O1947" i="19" s="1"/>
  <c r="O1949" i="19" s="1"/>
  <c r="O1952" i="19" s="1"/>
  <c r="D1912" i="19"/>
  <c r="H673" i="4" s="1"/>
  <c r="AH9" i="22"/>
  <c r="AG9" i="22"/>
  <c r="AF9" i="22"/>
  <c r="AF11" i="22"/>
  <c r="BG20" i="22"/>
  <c r="BF20" i="22"/>
  <c r="W21" i="22"/>
  <c r="AB21" i="22"/>
  <c r="BH150" i="20"/>
  <c r="CG302" i="22"/>
  <c r="CH302" i="22" s="1"/>
  <c r="CG265" i="22"/>
  <c r="CH265" i="22" s="1"/>
  <c r="BG81" i="20"/>
  <c r="BI81" i="20" s="1"/>
  <c r="BH113" i="20"/>
  <c r="BH145" i="20"/>
  <c r="O1672" i="19"/>
  <c r="J1672" i="19" s="1"/>
  <c r="J1666" i="19"/>
  <c r="O4974" i="19"/>
  <c r="N752" i="19"/>
  <c r="N744" i="19"/>
  <c r="D741" i="19" s="1"/>
  <c r="H600" i="4" s="1"/>
  <c r="N746" i="19"/>
  <c r="K748" i="19" s="1"/>
  <c r="K750" i="19" s="1"/>
  <c r="D745" i="19" s="1"/>
  <c r="H267" i="4" s="1"/>
  <c r="CG21" i="22"/>
  <c r="CH21" i="22" s="1"/>
  <c r="BG142" i="20"/>
  <c r="BI142" i="20" s="1"/>
  <c r="CG289" i="22"/>
  <c r="CH289" i="22" s="1"/>
  <c r="BG102" i="20"/>
  <c r="BI102" i="20" s="1"/>
  <c r="BG68" i="20"/>
  <c r="BI68" i="20" s="1"/>
  <c r="BH119" i="20"/>
  <c r="BF278" i="22"/>
  <c r="BG278" i="22"/>
  <c r="J5174" i="19"/>
  <c r="O5180" i="19"/>
  <c r="J5180" i="19" s="1"/>
  <c r="BI104" i="20"/>
  <c r="CG271" i="22"/>
  <c r="CH271" i="22" s="1"/>
  <c r="BG9" i="22"/>
  <c r="BF9" i="22"/>
  <c r="BG264" i="22"/>
  <c r="BF264" i="22"/>
  <c r="CG9" i="22"/>
  <c r="CH9" i="22" s="1"/>
  <c r="AA21" i="22"/>
  <c r="BI48" i="20"/>
  <c r="BF275" i="22"/>
  <c r="BG275" i="22"/>
  <c r="BH141" i="20"/>
  <c r="CG288" i="22"/>
  <c r="CH288" i="22" s="1"/>
  <c r="CG299" i="22"/>
  <c r="CH299" i="22" s="1"/>
  <c r="CQ322" i="22"/>
  <c r="CP322" i="22"/>
  <c r="BG304" i="22"/>
  <c r="BF304" i="22"/>
  <c r="CG275" i="22"/>
  <c r="CH275" i="22" s="1"/>
  <c r="BG206" i="22"/>
  <c r="BF206" i="22"/>
  <c r="BG106" i="20"/>
  <c r="BI106" i="20" s="1"/>
  <c r="BH16" i="20"/>
  <c r="BG308" i="22"/>
  <c r="BF308" i="22"/>
  <c r="CG6" i="22"/>
  <c r="CH6" i="22" s="1"/>
  <c r="O1665" i="19"/>
  <c r="D1655" i="19"/>
  <c r="H121" i="4" s="1"/>
  <c r="W14" i="22"/>
  <c r="AB14" i="22"/>
  <c r="CP319" i="22"/>
  <c r="CQ319" i="22"/>
  <c r="CD24" i="22"/>
  <c r="CC24" i="22"/>
  <c r="N3235" i="19"/>
  <c r="D3232" i="19" s="1"/>
  <c r="H607" i="4" s="1"/>
  <c r="N3243" i="19"/>
  <c r="N3237" i="19"/>
  <c r="K3239" i="19" s="1"/>
  <c r="K3241" i="19" s="1"/>
  <c r="D3236" i="19" s="1"/>
  <c r="H274" i="4" s="1"/>
  <c r="AA9" i="22"/>
  <c r="CG305" i="22"/>
  <c r="CH305" i="22" s="1"/>
  <c r="BH174" i="20"/>
  <c r="BF192" i="20"/>
  <c r="E4579" i="19"/>
  <c r="D4576" i="19" s="1"/>
  <c r="H817" i="4" s="1"/>
  <c r="E4573" i="19"/>
  <c r="K4573" i="19" s="1"/>
  <c r="K4575" i="19" s="1"/>
  <c r="D4572" i="19" s="1"/>
  <c r="H145" i="4" s="1"/>
  <c r="BH187" i="20"/>
  <c r="AF22" i="22"/>
  <c r="AH22" i="22"/>
  <c r="AG22" i="22"/>
  <c r="W7" i="22"/>
  <c r="AB7" i="22"/>
  <c r="M3664" i="19"/>
  <c r="N3664" i="19" s="1"/>
  <c r="O3644" i="19"/>
  <c r="AU96" i="22"/>
  <c r="O1049" i="19" s="1"/>
  <c r="O1052" i="19" s="1"/>
  <c r="D1048" i="19" s="1"/>
  <c r="H58" i="4" s="1"/>
  <c r="M2862" i="19"/>
  <c r="N2864" i="19" s="1"/>
  <c r="N2866" i="19" s="1"/>
  <c r="D2859" i="19" s="1"/>
  <c r="H587" i="4" s="1"/>
  <c r="E2869" i="19"/>
  <c r="AA14" i="22"/>
  <c r="BG76" i="20"/>
  <c r="BI76" i="20" s="1"/>
  <c r="BG107" i="20"/>
  <c r="BI107" i="20" s="1"/>
  <c r="BG117" i="20"/>
  <c r="BI117" i="20" s="1"/>
  <c r="BG302" i="22"/>
  <c r="BF302" i="22"/>
  <c r="C24" i="21"/>
  <c r="BG288" i="22"/>
  <c r="BF288" i="22"/>
  <c r="W9" i="22"/>
  <c r="AB9" i="22"/>
  <c r="M1763" i="19"/>
  <c r="N1765" i="19" s="1"/>
  <c r="N1767" i="19" s="1"/>
  <c r="D1760" i="19" s="1"/>
  <c r="H585" i="4" s="1"/>
  <c r="E1770" i="19"/>
  <c r="BG22" i="20"/>
  <c r="BI22" i="20" s="1"/>
  <c r="BG176" i="20"/>
  <c r="BI176" i="20" s="1"/>
  <c r="E4537" i="19"/>
  <c r="K4537" i="19" s="1"/>
  <c r="K4539" i="19" s="1"/>
  <c r="D4536" i="19" s="1"/>
  <c r="H152" i="4" s="1"/>
  <c r="E4543" i="19"/>
  <c r="D4540" i="19" s="1"/>
  <c r="H807" i="4" s="1"/>
  <c r="B42" i="21"/>
  <c r="BH144" i="20"/>
  <c r="C42" i="21"/>
  <c r="D1004" i="19"/>
  <c r="H640" i="4" s="1"/>
  <c r="O1083" i="19"/>
  <c r="O1091" i="19" s="1"/>
  <c r="M1091" i="19" s="1"/>
  <c r="BG22" i="22"/>
  <c r="BF22" i="22"/>
  <c r="BG294" i="22"/>
  <c r="BF294" i="22"/>
  <c r="CG297" i="22"/>
  <c r="CH297" i="22" s="1"/>
  <c r="CG14" i="22"/>
  <c r="CH14" i="22" s="1"/>
  <c r="BH83" i="20"/>
  <c r="BG269" i="22"/>
  <c r="BF269" i="22"/>
  <c r="BF266" i="22"/>
  <c r="BG266" i="22"/>
  <c r="CG20" i="22"/>
  <c r="CH20" i="22" s="1"/>
  <c r="BH79" i="20"/>
  <c r="BJ193" i="20"/>
  <c r="BH69" i="20"/>
  <c r="N767" i="19" l="1"/>
  <c r="O767" i="19" s="1"/>
  <c r="O769" i="19" s="1"/>
  <c r="D765" i="19" s="1"/>
  <c r="H210" i="4" s="1"/>
  <c r="L24" i="4"/>
  <c r="L134" i="4"/>
  <c r="BH162" i="20"/>
  <c r="CD202" i="22"/>
  <c r="CD246" i="22" s="1"/>
  <c r="O3411" i="19" s="1"/>
  <c r="O3413" i="19" s="1"/>
  <c r="D3409" i="19" s="1"/>
  <c r="H382" i="4" s="1"/>
  <c r="CC202" i="22"/>
  <c r="CC246" i="22" s="1"/>
  <c r="CM202" i="22"/>
  <c r="CM246" i="22" s="1"/>
  <c r="O3501" i="19" s="1"/>
  <c r="BV202" i="22"/>
  <c r="CO202" i="22"/>
  <c r="CE202" i="22"/>
  <c r="CE246" i="22" s="1"/>
  <c r="O3378" i="19" s="1"/>
  <c r="O3380" i="19" s="1"/>
  <c r="D3376" i="19" s="1"/>
  <c r="CJ202" i="22"/>
  <c r="CJ246" i="22" s="1"/>
  <c r="CF202" i="22"/>
  <c r="CF246" i="22" s="1"/>
  <c r="O3383" i="19" s="1"/>
  <c r="O3385" i="19" s="1"/>
  <c r="D3381" i="19" s="1"/>
  <c r="H372" i="4" s="1"/>
  <c r="E2253" i="19"/>
  <c r="K2253" i="19" s="1"/>
  <c r="K2255" i="19" s="1"/>
  <c r="D2252" i="19" s="1"/>
  <c r="H138" i="4" s="1"/>
  <c r="L26" i="4"/>
  <c r="L193" i="4"/>
  <c r="L365" i="4"/>
  <c r="L659" i="4"/>
  <c r="L515" i="4"/>
  <c r="L233" i="4"/>
  <c r="L143" i="4"/>
  <c r="L637" i="4"/>
  <c r="L813" i="4"/>
  <c r="L364" i="4"/>
  <c r="L821" i="4"/>
  <c r="L492" i="4"/>
  <c r="L811" i="4"/>
  <c r="L514" i="4"/>
  <c r="L44" i="4"/>
  <c r="L664" i="4"/>
  <c r="L808" i="4"/>
  <c r="L662" i="4"/>
  <c r="L29" i="4"/>
  <c r="L818" i="4"/>
  <c r="L815" i="4"/>
  <c r="L28" i="4"/>
  <c r="L33" i="4"/>
  <c r="L809" i="4"/>
  <c r="E3320" i="19"/>
  <c r="D3317" i="19" s="1"/>
  <c r="H796" i="4" s="1"/>
  <c r="BH189" i="20"/>
  <c r="E3340" i="19"/>
  <c r="D3337" i="19" s="1"/>
  <c r="H805" i="4" s="1"/>
  <c r="E3334" i="19"/>
  <c r="K3334" i="19" s="1"/>
  <c r="K3336" i="19" s="1"/>
  <c r="D3333" i="19" s="1"/>
  <c r="H144" i="4" s="1"/>
  <c r="AS338" i="22"/>
  <c r="AP209" i="22"/>
  <c r="AX209" i="22"/>
  <c r="AY209" i="22" s="1"/>
  <c r="AZ209" i="22" s="1"/>
  <c r="AJ209" i="22"/>
  <c r="X209" i="22" s="1"/>
  <c r="AX338" i="22"/>
  <c r="AY338" i="22" s="1"/>
  <c r="AZ338" i="22" s="1"/>
  <c r="BV311" i="22"/>
  <c r="CF311" i="22"/>
  <c r="AP207" i="22"/>
  <c r="CM311" i="22"/>
  <c r="AJ344" i="22"/>
  <c r="X344" i="22" s="1"/>
  <c r="AS239" i="22"/>
  <c r="AX239" i="22"/>
  <c r="AY239" i="22" s="1"/>
  <c r="AZ239" i="22" s="1"/>
  <c r="AP239" i="22"/>
  <c r="CE311" i="22"/>
  <c r="CJ311" i="22"/>
  <c r="AP344" i="22"/>
  <c r="AS344" i="22"/>
  <c r="AX344" i="22"/>
  <c r="AY344" i="22" s="1"/>
  <c r="AZ344" i="22" s="1"/>
  <c r="AX245" i="22"/>
  <c r="AY245" i="22" s="1"/>
  <c r="AZ245" i="22" s="1"/>
  <c r="AS243" i="22"/>
  <c r="CQ72" i="22"/>
  <c r="AP243" i="22"/>
  <c r="AS207" i="22"/>
  <c r="AX234" i="22"/>
  <c r="AY234" i="22" s="1"/>
  <c r="AZ234" i="22" s="1"/>
  <c r="AJ245" i="22"/>
  <c r="X245" i="22" s="1"/>
  <c r="AX243" i="22"/>
  <c r="AY243" i="22" s="1"/>
  <c r="AZ243" i="22" s="1"/>
  <c r="AJ243" i="22"/>
  <c r="X243" i="22" s="1"/>
  <c r="AS245" i="22"/>
  <c r="AP245" i="22"/>
  <c r="CG72" i="22"/>
  <c r="CH72" i="22" s="1"/>
  <c r="AS200" i="22"/>
  <c r="CQ69" i="22"/>
  <c r="AX225" i="22"/>
  <c r="AY225" i="22" s="1"/>
  <c r="AZ225" i="22" s="1"/>
  <c r="AJ77" i="22"/>
  <c r="X77" i="22" s="1"/>
  <c r="AX213" i="22"/>
  <c r="AY213" i="22" s="1"/>
  <c r="AZ213" i="22" s="1"/>
  <c r="AJ207" i="22"/>
  <c r="X207" i="22" s="1"/>
  <c r="AX207" i="22"/>
  <c r="AY207" i="22" s="1"/>
  <c r="AZ207" i="22" s="1"/>
  <c r="AS77" i="22"/>
  <c r="AJ200" i="22"/>
  <c r="X200" i="22" s="1"/>
  <c r="AX200" i="22"/>
  <c r="AW200" i="22"/>
  <c r="AW246" i="22" s="1"/>
  <c r="AJ213" i="22"/>
  <c r="X213" i="22" s="1"/>
  <c r="AX229" i="22"/>
  <c r="AY229" i="22" s="1"/>
  <c r="AZ229" i="22" s="1"/>
  <c r="AP234" i="22"/>
  <c r="AS234" i="22"/>
  <c r="AJ234" i="22"/>
  <c r="X234" i="22" s="1"/>
  <c r="AS213" i="22"/>
  <c r="AP229" i="22"/>
  <c r="AJ229" i="22"/>
  <c r="X229" i="22" s="1"/>
  <c r="AP213" i="22"/>
  <c r="AX77" i="22"/>
  <c r="AY77" i="22" s="1"/>
  <c r="AZ77" i="22" s="1"/>
  <c r="AP77" i="22"/>
  <c r="CD311" i="22"/>
  <c r="AS229" i="22"/>
  <c r="AX72" i="22"/>
  <c r="AY72" i="22" s="1"/>
  <c r="AZ72" i="22" s="1"/>
  <c r="AJ75" i="22"/>
  <c r="X75" i="22" s="1"/>
  <c r="AP75" i="22"/>
  <c r="CG69" i="22"/>
  <c r="CH69" i="22" s="1"/>
  <c r="AS232" i="22"/>
  <c r="AS75" i="22"/>
  <c r="AS225" i="22"/>
  <c r="AX232" i="22"/>
  <c r="AY232" i="22" s="1"/>
  <c r="AZ232" i="22" s="1"/>
  <c r="AP225" i="22"/>
  <c r="AJ225" i="22"/>
  <c r="X225" i="22" s="1"/>
  <c r="AJ232" i="22"/>
  <c r="X232" i="22" s="1"/>
  <c r="AP232" i="22"/>
  <c r="AS39" i="22"/>
  <c r="AP27" i="22"/>
  <c r="AJ39" i="22"/>
  <c r="X39" i="22" s="1"/>
  <c r="AX39" i="22"/>
  <c r="AY39" i="22" s="1"/>
  <c r="AZ39" i="22" s="1"/>
  <c r="AP39" i="22"/>
  <c r="CC81" i="22"/>
  <c r="AX64" i="22"/>
  <c r="AY64" i="22" s="1"/>
  <c r="AZ64" i="22" s="1"/>
  <c r="AS219" i="22"/>
  <c r="AS64" i="22"/>
  <c r="AX217" i="22"/>
  <c r="AY217" i="22" s="1"/>
  <c r="AZ217" i="22" s="1"/>
  <c r="AJ236" i="22"/>
  <c r="X236" i="22" s="1"/>
  <c r="AJ64" i="22"/>
  <c r="X64" i="22" s="1"/>
  <c r="AP64" i="22"/>
  <c r="AP217" i="22"/>
  <c r="AJ219" i="22"/>
  <c r="X219" i="22" s="1"/>
  <c r="AS216" i="22"/>
  <c r="CP67" i="22"/>
  <c r="CP55" i="22"/>
  <c r="AX219" i="22"/>
  <c r="AY219" i="22" s="1"/>
  <c r="AZ219" i="22" s="1"/>
  <c r="CG35" i="22"/>
  <c r="CH35" i="22" s="1"/>
  <c r="AP219" i="22"/>
  <c r="AP72" i="22"/>
  <c r="AS80" i="22"/>
  <c r="AJ217" i="22"/>
  <c r="X217" i="22" s="1"/>
  <c r="AS28" i="22"/>
  <c r="AJ72" i="22"/>
  <c r="X72" i="22" s="1"/>
  <c r="AP80" i="22"/>
  <c r="AS217" i="22"/>
  <c r="AS72" i="22"/>
  <c r="AX80" i="22"/>
  <c r="AY80" i="22" s="1"/>
  <c r="AZ80" i="22" s="1"/>
  <c r="AS73" i="22"/>
  <c r="CG67" i="22"/>
  <c r="CH67" i="22" s="1"/>
  <c r="AS236" i="22"/>
  <c r="CQ73" i="22"/>
  <c r="AP236" i="22"/>
  <c r="AX236" i="22"/>
  <c r="AY236" i="22" s="1"/>
  <c r="AZ236" i="22" s="1"/>
  <c r="CP35" i="22"/>
  <c r="AP205" i="22"/>
  <c r="CP11" i="22"/>
  <c r="AX28" i="22"/>
  <c r="AY28" i="22" s="1"/>
  <c r="AZ28" i="22" s="1"/>
  <c r="AX205" i="22"/>
  <c r="AY205" i="22" s="1"/>
  <c r="AZ205" i="22" s="1"/>
  <c r="AJ205" i="22"/>
  <c r="X205" i="22" s="1"/>
  <c r="CM284" i="22"/>
  <c r="CF284" i="22"/>
  <c r="BV284" i="22"/>
  <c r="CE284" i="22"/>
  <c r="CO284" i="22"/>
  <c r="CJ284" i="22"/>
  <c r="CF331" i="22"/>
  <c r="CM331" i="22"/>
  <c r="CE331" i="22"/>
  <c r="BV331" i="22"/>
  <c r="CO331" i="22"/>
  <c r="CJ331" i="22"/>
  <c r="CC308" i="22"/>
  <c r="CD308" i="22"/>
  <c r="CC330" i="22"/>
  <c r="CD330" i="22"/>
  <c r="CP311" i="22"/>
  <c r="CQ311" i="22"/>
  <c r="CD331" i="22"/>
  <c r="CC331" i="22"/>
  <c r="AX7" i="22"/>
  <c r="AY7" i="22" s="1"/>
  <c r="AZ7" i="22" s="1"/>
  <c r="AS205" i="22"/>
  <c r="AX216" i="22"/>
  <c r="AY216" i="22" s="1"/>
  <c r="AZ216" i="22" s="1"/>
  <c r="CD333" i="22"/>
  <c r="CC333" i="22"/>
  <c r="CM333" i="22"/>
  <c r="CF333" i="22"/>
  <c r="BV333" i="22"/>
  <c r="CE333" i="22"/>
  <c r="CJ333" i="22"/>
  <c r="CO333" i="22"/>
  <c r="CM308" i="22"/>
  <c r="CF308" i="22"/>
  <c r="BV308" i="22"/>
  <c r="CE308" i="22"/>
  <c r="CO308" i="22"/>
  <c r="CJ308" i="22"/>
  <c r="CM301" i="22"/>
  <c r="CF301" i="22"/>
  <c r="CE301" i="22"/>
  <c r="BV301" i="22"/>
  <c r="CO301" i="22"/>
  <c r="CJ301" i="22"/>
  <c r="CC309" i="22"/>
  <c r="CD309" i="22"/>
  <c r="CM309" i="22"/>
  <c r="CF309" i="22"/>
  <c r="CE309" i="22"/>
  <c r="BV309" i="22"/>
  <c r="CO309" i="22"/>
  <c r="CJ309" i="22"/>
  <c r="CD355" i="22"/>
  <c r="CC355" i="22"/>
  <c r="CM355" i="22"/>
  <c r="CF355" i="22"/>
  <c r="CE355" i="22"/>
  <c r="BV355" i="22"/>
  <c r="CO355" i="22"/>
  <c r="CJ355" i="22"/>
  <c r="CC301" i="22"/>
  <c r="CD301" i="22"/>
  <c r="CM330" i="22"/>
  <c r="CE330" i="22"/>
  <c r="CF330" i="22"/>
  <c r="BV330" i="22"/>
  <c r="CJ330" i="22"/>
  <c r="CO330" i="22"/>
  <c r="CM283" i="22"/>
  <c r="CF283" i="22"/>
  <c r="BV283" i="22"/>
  <c r="CE283" i="22"/>
  <c r="CO283" i="22"/>
  <c r="CJ283" i="22"/>
  <c r="CG73" i="22"/>
  <c r="CH73" i="22" s="1"/>
  <c r="CC284" i="22"/>
  <c r="CD284" i="22"/>
  <c r="CD283" i="22"/>
  <c r="CC283" i="22"/>
  <c r="CQ53" i="22"/>
  <c r="AP216" i="22"/>
  <c r="AJ216" i="22"/>
  <c r="X216" i="22" s="1"/>
  <c r="AJ349" i="22"/>
  <c r="X349" i="22" s="1"/>
  <c r="AX67" i="22"/>
  <c r="AY67" i="22" s="1"/>
  <c r="AZ67" i="22" s="1"/>
  <c r="AS79" i="22"/>
  <c r="AJ79" i="22"/>
  <c r="X79" i="22" s="1"/>
  <c r="AP79" i="22"/>
  <c r="AX78" i="22"/>
  <c r="AY78" i="22" s="1"/>
  <c r="AZ78" i="22" s="1"/>
  <c r="AX76" i="22"/>
  <c r="AY76" i="22" s="1"/>
  <c r="AZ76" i="22" s="1"/>
  <c r="AX79" i="22"/>
  <c r="AY79" i="22" s="1"/>
  <c r="AZ79" i="22" s="1"/>
  <c r="AP76" i="22"/>
  <c r="AP78" i="22"/>
  <c r="AP67" i="22"/>
  <c r="AS67" i="22"/>
  <c r="AS58" i="22"/>
  <c r="AS35" i="22"/>
  <c r="AP63" i="22"/>
  <c r="CF81" i="22"/>
  <c r="CO81" i="22"/>
  <c r="CQ81" i="22" s="1"/>
  <c r="CM81" i="22"/>
  <c r="CE81" i="22"/>
  <c r="CJ81" i="22"/>
  <c r="AS78" i="22"/>
  <c r="CG55" i="22"/>
  <c r="CH55" i="22" s="1"/>
  <c r="AX349" i="22"/>
  <c r="AY349" i="22" s="1"/>
  <c r="AZ349" i="22" s="1"/>
  <c r="AX69" i="22"/>
  <c r="AY69" i="22" s="1"/>
  <c r="AZ69" i="22" s="1"/>
  <c r="AS52" i="22"/>
  <c r="AP341" i="22"/>
  <c r="L237" i="4"/>
  <c r="AS69" i="22"/>
  <c r="CG56" i="22"/>
  <c r="CH56" i="22" s="1"/>
  <c r="AS76" i="22"/>
  <c r="AX62" i="22"/>
  <c r="AY62" i="22" s="1"/>
  <c r="AZ62" i="22" s="1"/>
  <c r="O2052" i="19"/>
  <c r="O2053" i="19" s="1"/>
  <c r="D2051" i="19" s="1"/>
  <c r="D24" i="21"/>
  <c r="D42" i="21"/>
  <c r="BH72" i="20"/>
  <c r="AX26" i="22"/>
  <c r="AY26" i="22" s="1"/>
  <c r="AZ26" i="22" s="1"/>
  <c r="N4920" i="19"/>
  <c r="D4901" i="19" s="1"/>
  <c r="H519" i="4" s="1"/>
  <c r="N1259" i="19"/>
  <c r="D1246" i="19" s="1"/>
  <c r="H405" i="4" s="1"/>
  <c r="AP53" i="22"/>
  <c r="BV96" i="22"/>
  <c r="AX35" i="22"/>
  <c r="AY35" i="22" s="1"/>
  <c r="AZ35" i="22" s="1"/>
  <c r="O96" i="22"/>
  <c r="N1009" i="19" s="1"/>
  <c r="N1013" i="19" s="1"/>
  <c r="AP35" i="22"/>
  <c r="AJ354" i="22"/>
  <c r="X354" i="22" s="1"/>
  <c r="AJ63" i="22"/>
  <c r="X63" i="22" s="1"/>
  <c r="AP73" i="22"/>
  <c r="AX73" i="22"/>
  <c r="AY73" i="22" s="1"/>
  <c r="AZ73" i="22" s="1"/>
  <c r="W67" i="22"/>
  <c r="AJ67" i="22" s="1"/>
  <c r="X67" i="22" s="1"/>
  <c r="AB67" i="22"/>
  <c r="W73" i="22"/>
  <c r="AJ73" i="22" s="1"/>
  <c r="X73" i="22" s="1"/>
  <c r="AB73" i="22"/>
  <c r="AX52" i="22"/>
  <c r="AY52" i="22" s="1"/>
  <c r="AZ52" i="22" s="1"/>
  <c r="W69" i="22"/>
  <c r="AJ69" i="22" s="1"/>
  <c r="X69" i="22" s="1"/>
  <c r="AB69" i="22"/>
  <c r="W53" i="22"/>
  <c r="AJ53" i="22" s="1"/>
  <c r="X53" i="22" s="1"/>
  <c r="AB53" i="22"/>
  <c r="W56" i="22"/>
  <c r="AJ56" i="22" s="1"/>
  <c r="X56" i="22" s="1"/>
  <c r="AB56" i="22"/>
  <c r="AP52" i="22"/>
  <c r="CG53" i="22"/>
  <c r="CH53" i="22" s="1"/>
  <c r="AP83" i="22"/>
  <c r="AX354" i="22"/>
  <c r="AY354" i="22" s="1"/>
  <c r="AZ354" i="22" s="1"/>
  <c r="AP69" i="22"/>
  <c r="AJ62" i="22"/>
  <c r="X62" i="22" s="1"/>
  <c r="AS62" i="22"/>
  <c r="AX58" i="22"/>
  <c r="AY58" i="22" s="1"/>
  <c r="AZ58" i="22" s="1"/>
  <c r="AP56" i="22"/>
  <c r="AS56" i="22"/>
  <c r="AX27" i="22"/>
  <c r="AY27" i="22" s="1"/>
  <c r="AZ27" i="22" s="1"/>
  <c r="CP56" i="22"/>
  <c r="AP62" i="22"/>
  <c r="AX53" i="22"/>
  <c r="AY53" i="22" s="1"/>
  <c r="AZ53" i="22" s="1"/>
  <c r="AJ83" i="22"/>
  <c r="X83" i="22" s="1"/>
  <c r="AS53" i="22"/>
  <c r="AP354" i="22"/>
  <c r="AP26" i="22"/>
  <c r="AJ27" i="22"/>
  <c r="X27" i="22" s="1"/>
  <c r="AD47" i="22"/>
  <c r="AS349" i="22"/>
  <c r="AC71" i="22"/>
  <c r="AP58" i="22"/>
  <c r="AP349" i="22"/>
  <c r="AS354" i="22"/>
  <c r="AX81" i="22"/>
  <c r="AY81" i="22" s="1"/>
  <c r="AZ81" i="22" s="1"/>
  <c r="AP28" i="22"/>
  <c r="AJ88" i="22"/>
  <c r="X88" i="22" s="1"/>
  <c r="CG83" i="22"/>
  <c r="CH83" i="22" s="1"/>
  <c r="AE51" i="22"/>
  <c r="AX63" i="22"/>
  <c r="AY63" i="22" s="1"/>
  <c r="AZ63" i="22" s="1"/>
  <c r="AX341" i="22"/>
  <c r="AY341" i="22" s="1"/>
  <c r="AZ341" i="22" s="1"/>
  <c r="AD48" i="22"/>
  <c r="AJ46" i="22"/>
  <c r="X46" i="22" s="1"/>
  <c r="AE71" i="22"/>
  <c r="AJ28" i="22"/>
  <c r="X28" i="22" s="1"/>
  <c r="AS63" i="22"/>
  <c r="AP81" i="22"/>
  <c r="AJ35" i="22"/>
  <c r="X35" i="22" s="1"/>
  <c r="AA51" i="22"/>
  <c r="AH51" i="22"/>
  <c r="AG51" i="22"/>
  <c r="AF51" i="22"/>
  <c r="AD34" i="22"/>
  <c r="AS26" i="22"/>
  <c r="AH43" i="22"/>
  <c r="AA43" i="22"/>
  <c r="AF43" i="22"/>
  <c r="AG43" i="22"/>
  <c r="CD30" i="22"/>
  <c r="CC30" i="22"/>
  <c r="CD37" i="22"/>
  <c r="CC37" i="22"/>
  <c r="AA54" i="22"/>
  <c r="AG54" i="22"/>
  <c r="AH54" i="22"/>
  <c r="AF54" i="22"/>
  <c r="CJ40" i="22"/>
  <c r="CE40" i="22"/>
  <c r="CO40" i="22"/>
  <c r="CM40" i="22"/>
  <c r="CF40" i="22"/>
  <c r="AJ26" i="22"/>
  <c r="X26" i="22" s="1"/>
  <c r="AF74" i="22"/>
  <c r="AG74" i="22"/>
  <c r="AH74" i="22"/>
  <c r="AA74" i="22"/>
  <c r="CJ54" i="22"/>
  <c r="CE54" i="22"/>
  <c r="CM54" i="22"/>
  <c r="CF54" i="22"/>
  <c r="CO54" i="22"/>
  <c r="AX25" i="22"/>
  <c r="AY25" i="22" s="1"/>
  <c r="AZ25" i="22" s="1"/>
  <c r="AS25" i="22"/>
  <c r="AP25" i="22"/>
  <c r="AF50" i="22"/>
  <c r="AH50" i="22"/>
  <c r="AC50" i="22"/>
  <c r="AA66" i="22"/>
  <c r="AG66" i="22"/>
  <c r="AF66" i="22"/>
  <c r="AH66" i="22"/>
  <c r="AX83" i="22"/>
  <c r="AY83" i="22" s="1"/>
  <c r="AZ83" i="22" s="1"/>
  <c r="AX56" i="22"/>
  <c r="AY56" i="22" s="1"/>
  <c r="AZ56" i="22" s="1"/>
  <c r="CD68" i="22"/>
  <c r="CC68" i="22"/>
  <c r="AJ59" i="22"/>
  <c r="X59" i="22" s="1"/>
  <c r="AS88" i="22"/>
  <c r="AP88" i="22"/>
  <c r="AX88" i="22"/>
  <c r="AY88" i="22" s="1"/>
  <c r="AZ88" i="22" s="1"/>
  <c r="AH57" i="22"/>
  <c r="AF57" i="22"/>
  <c r="AA57" i="22"/>
  <c r="AG57" i="22"/>
  <c r="CC74" i="22"/>
  <c r="CD74" i="22"/>
  <c r="AH41" i="22"/>
  <c r="AG41" i="22"/>
  <c r="AF41" i="22"/>
  <c r="AF30" i="22"/>
  <c r="AH30" i="22"/>
  <c r="AG30" i="22"/>
  <c r="AA30" i="22"/>
  <c r="AJ78" i="22"/>
  <c r="X78" i="22" s="1"/>
  <c r="CM68" i="22"/>
  <c r="CE68" i="22"/>
  <c r="CJ68" i="22"/>
  <c r="CO68" i="22"/>
  <c r="CF68" i="22"/>
  <c r="AF38" i="22"/>
  <c r="AH38" i="22"/>
  <c r="AA38" i="22"/>
  <c r="AG38" i="22"/>
  <c r="AD50" i="22"/>
  <c r="CM66" i="22"/>
  <c r="CE66" i="22"/>
  <c r="CF66" i="22"/>
  <c r="CJ66" i="22"/>
  <c r="CO66" i="22"/>
  <c r="AD29" i="22"/>
  <c r="AA29" i="22"/>
  <c r="AG29" i="22"/>
  <c r="AH29" i="22"/>
  <c r="AF29" i="22"/>
  <c r="AS31" i="22"/>
  <c r="AP31" i="22"/>
  <c r="AX31" i="22"/>
  <c r="AY31" i="22" s="1"/>
  <c r="AZ31" i="22" s="1"/>
  <c r="AJ31" i="22"/>
  <c r="X31" i="22" s="1"/>
  <c r="AS55" i="22"/>
  <c r="AX55" i="22"/>
  <c r="AY55" i="22" s="1"/>
  <c r="AZ55" i="22" s="1"/>
  <c r="CC66" i="22"/>
  <c r="CD66" i="22"/>
  <c r="CJ29" i="22"/>
  <c r="CO29" i="22"/>
  <c r="CE29" i="22"/>
  <c r="CM29" i="22"/>
  <c r="CF29" i="22"/>
  <c r="AJ25" i="22"/>
  <c r="X25" i="22" s="1"/>
  <c r="AS59" i="22"/>
  <c r="AP59" i="22"/>
  <c r="AX59" i="22"/>
  <c r="AY59" i="22" s="1"/>
  <c r="AZ59" i="22" s="1"/>
  <c r="AS27" i="22"/>
  <c r="AA44" i="22"/>
  <c r="AF44" i="22"/>
  <c r="AG44" i="22"/>
  <c r="AH44" i="22"/>
  <c r="CG31" i="22"/>
  <c r="CH31" i="22" s="1"/>
  <c r="AC34" i="22"/>
  <c r="AA85" i="22"/>
  <c r="AF85" i="22"/>
  <c r="AG85" i="22"/>
  <c r="AH85" i="22"/>
  <c r="AS83" i="22"/>
  <c r="AS81" i="22"/>
  <c r="AJ55" i="22"/>
  <c r="X55" i="22" s="1"/>
  <c r="CD29" i="22"/>
  <c r="CC29" i="22"/>
  <c r="CF84" i="22"/>
  <c r="CO84" i="22"/>
  <c r="CJ84" i="22"/>
  <c r="CE84" i="22"/>
  <c r="CM84" i="22"/>
  <c r="CD43" i="22"/>
  <c r="CC43" i="22"/>
  <c r="CJ82" i="22"/>
  <c r="CE82" i="22"/>
  <c r="CM82" i="22"/>
  <c r="CO82" i="22"/>
  <c r="CF82" i="22"/>
  <c r="CO38" i="22"/>
  <c r="CM38" i="22"/>
  <c r="CF38" i="22"/>
  <c r="CJ38" i="22"/>
  <c r="CE38" i="22"/>
  <c r="AA71" i="22"/>
  <c r="AG71" i="22"/>
  <c r="AH71" i="22"/>
  <c r="AF71" i="22"/>
  <c r="AA36" i="22"/>
  <c r="AF36" i="22"/>
  <c r="AH36" i="22"/>
  <c r="AG36" i="22"/>
  <c r="AA82" i="22"/>
  <c r="AF82" i="22"/>
  <c r="AH82" i="22"/>
  <c r="AG82" i="22"/>
  <c r="AJ58" i="22"/>
  <c r="X58" i="22" s="1"/>
  <c r="CD84" i="22"/>
  <c r="CC84" i="22"/>
  <c r="CC38" i="22"/>
  <c r="CD38" i="22"/>
  <c r="AA47" i="22"/>
  <c r="AG47" i="22"/>
  <c r="AH47" i="22"/>
  <c r="AF47" i="22"/>
  <c r="CG59" i="22"/>
  <c r="CH59" i="22" s="1"/>
  <c r="AA34" i="22"/>
  <c r="AG34" i="22"/>
  <c r="AF34" i="22"/>
  <c r="AH34" i="22"/>
  <c r="AA48" i="22"/>
  <c r="AF48" i="22"/>
  <c r="AG48" i="22"/>
  <c r="AH48" i="22"/>
  <c r="AC47" i="22"/>
  <c r="AE33" i="22"/>
  <c r="AA33" i="22"/>
  <c r="AH33" i="22"/>
  <c r="AF33" i="22"/>
  <c r="AG33" i="22"/>
  <c r="CD82" i="22"/>
  <c r="CC82" i="22"/>
  <c r="AG84" i="22"/>
  <c r="AA84" i="22"/>
  <c r="AF84" i="22"/>
  <c r="AH84" i="22"/>
  <c r="CC57" i="22"/>
  <c r="CD57" i="22"/>
  <c r="AJ52" i="22"/>
  <c r="X52" i="22" s="1"/>
  <c r="AE48" i="22"/>
  <c r="CE33" i="22"/>
  <c r="CJ33" i="22"/>
  <c r="CO33" i="22"/>
  <c r="CF33" i="22"/>
  <c r="CM33" i="22"/>
  <c r="AP55" i="22"/>
  <c r="AE37" i="22"/>
  <c r="AG37" i="22"/>
  <c r="AA37" i="22"/>
  <c r="AH37" i="22"/>
  <c r="AF37" i="22"/>
  <c r="CC54" i="22"/>
  <c r="CD54" i="22"/>
  <c r="CC40" i="22"/>
  <c r="CD40" i="22"/>
  <c r="AA86" i="22"/>
  <c r="AG86" i="22"/>
  <c r="AH86" i="22"/>
  <c r="AF86" i="22"/>
  <c r="CG46" i="22"/>
  <c r="CH46" i="22" s="1"/>
  <c r="CF43" i="22"/>
  <c r="CE43" i="22"/>
  <c r="CM43" i="22"/>
  <c r="CO43" i="22"/>
  <c r="CJ43" i="22"/>
  <c r="CC33" i="22"/>
  <c r="CD33" i="22"/>
  <c r="CJ30" i="22"/>
  <c r="CO30" i="22"/>
  <c r="CE30" i="22"/>
  <c r="CM30" i="22"/>
  <c r="CF30" i="22"/>
  <c r="CJ37" i="22"/>
  <c r="CE37" i="22"/>
  <c r="CF37" i="22"/>
  <c r="CO37" i="22"/>
  <c r="CM37" i="22"/>
  <c r="AJ76" i="22"/>
  <c r="X76" i="22" s="1"/>
  <c r="AA68" i="22"/>
  <c r="AF68" i="22"/>
  <c r="AH68" i="22"/>
  <c r="AG68" i="22"/>
  <c r="AE40" i="22"/>
  <c r="AG40" i="22"/>
  <c r="AH40" i="22"/>
  <c r="AF40" i="22"/>
  <c r="AA40" i="22"/>
  <c r="CO57" i="22"/>
  <c r="CM57" i="22"/>
  <c r="CF57" i="22"/>
  <c r="CE57" i="22"/>
  <c r="CJ57" i="22"/>
  <c r="CE74" i="22"/>
  <c r="CF74" i="22"/>
  <c r="CM74" i="22"/>
  <c r="CO74" i="22"/>
  <c r="CJ74" i="22"/>
  <c r="AJ81" i="22"/>
  <c r="X81" i="22" s="1"/>
  <c r="AJ341" i="22"/>
  <c r="X341" i="22" s="1"/>
  <c r="AS341" i="22"/>
  <c r="AP214" i="22"/>
  <c r="AS214" i="22"/>
  <c r="AX233" i="22"/>
  <c r="AY233" i="22" s="1"/>
  <c r="AZ233" i="22" s="1"/>
  <c r="AX214" i="22"/>
  <c r="AY214" i="22" s="1"/>
  <c r="AZ214" i="22" s="1"/>
  <c r="AP233" i="22"/>
  <c r="AS233" i="22"/>
  <c r="AJ233" i="22"/>
  <c r="X233" i="22" s="1"/>
  <c r="AP241" i="22"/>
  <c r="AJ241" i="22"/>
  <c r="X241" i="22" s="1"/>
  <c r="AS241" i="22"/>
  <c r="AX241" i="22"/>
  <c r="AY241" i="22" s="1"/>
  <c r="AZ241" i="22" s="1"/>
  <c r="BG109" i="22"/>
  <c r="BG185" i="22" s="1"/>
  <c r="E2530" i="19" s="1"/>
  <c r="E2532" i="19" s="1"/>
  <c r="D2529" i="19" s="1"/>
  <c r="H828" i="4" s="1"/>
  <c r="AZ340" i="22"/>
  <c r="AZ311" i="22"/>
  <c r="AJ339" i="22"/>
  <c r="X339" i="22" s="1"/>
  <c r="AJ342" i="22"/>
  <c r="X342" i="22" s="1"/>
  <c r="AD320" i="22"/>
  <c r="AZ345" i="22"/>
  <c r="AC321" i="22"/>
  <c r="AP337" i="22"/>
  <c r="AX337" i="22"/>
  <c r="AY337" i="22" s="1"/>
  <c r="AS337" i="22"/>
  <c r="AJ353" i="22"/>
  <c r="X353" i="22" s="1"/>
  <c r="AP346" i="22"/>
  <c r="AX346" i="22"/>
  <c r="AY346" i="22" s="1"/>
  <c r="AS346" i="22"/>
  <c r="AD321" i="22"/>
  <c r="AP351" i="22"/>
  <c r="AX351" i="22"/>
  <c r="AY351" i="22" s="1"/>
  <c r="AZ351" i="22" s="1"/>
  <c r="AS351" i="22"/>
  <c r="AJ351" i="22"/>
  <c r="X351" i="22" s="1"/>
  <c r="AP350" i="22"/>
  <c r="AX350" i="22"/>
  <c r="AY350" i="22" s="1"/>
  <c r="AS350" i="22"/>
  <c r="AJ343" i="22"/>
  <c r="X343" i="22" s="1"/>
  <c r="AP335" i="22"/>
  <c r="AX335" i="22"/>
  <c r="AY335" i="22" s="1"/>
  <c r="AZ335" i="22" s="1"/>
  <c r="AS335" i="22"/>
  <c r="AP348" i="22"/>
  <c r="AX348" i="22"/>
  <c r="AY348" i="22" s="1"/>
  <c r="AZ348" i="22" s="1"/>
  <c r="AS348" i="22"/>
  <c r="AX339" i="22"/>
  <c r="AY339" i="22" s="1"/>
  <c r="AZ339" i="22" s="1"/>
  <c r="AP339" i="22"/>
  <c r="AS339" i="22"/>
  <c r="AJ338" i="22"/>
  <c r="X338" i="22" s="1"/>
  <c r="AX343" i="22"/>
  <c r="AY343" i="22" s="1"/>
  <c r="AZ343" i="22" s="1"/>
  <c r="AP343" i="22"/>
  <c r="AS343" i="22"/>
  <c r="AP336" i="22"/>
  <c r="AX336" i="22"/>
  <c r="AY336" i="22" s="1"/>
  <c r="AZ336" i="22" s="1"/>
  <c r="AS336" i="22"/>
  <c r="AJ336" i="22"/>
  <c r="X336" i="22" s="1"/>
  <c r="AJ335" i="22"/>
  <c r="X335" i="22" s="1"/>
  <c r="AP353" i="22"/>
  <c r="AX353" i="22"/>
  <c r="AY353" i="22" s="1"/>
  <c r="AZ353" i="22" s="1"/>
  <c r="AS353" i="22"/>
  <c r="AP355" i="22"/>
  <c r="AX355" i="22"/>
  <c r="AY355" i="22" s="1"/>
  <c r="AS355" i="22"/>
  <c r="AJ311" i="22"/>
  <c r="X311" i="22" s="1"/>
  <c r="AP342" i="22"/>
  <c r="AX342" i="22"/>
  <c r="AY342" i="22" s="1"/>
  <c r="AZ342" i="22" s="1"/>
  <c r="AS342" i="22"/>
  <c r="AJ348" i="22"/>
  <c r="X348" i="22" s="1"/>
  <c r="O246" i="22"/>
  <c r="E3347" i="19" s="1"/>
  <c r="E3349" i="19" s="1"/>
  <c r="D3346" i="19" s="1"/>
  <c r="H580" i="4" s="1"/>
  <c r="AC320" i="22"/>
  <c r="AP262" i="22"/>
  <c r="CC312" i="22"/>
  <c r="CD312" i="22"/>
  <c r="CD298" i="22"/>
  <c r="CC298" i="22"/>
  <c r="CO312" i="22"/>
  <c r="CM312" i="22"/>
  <c r="CF312" i="22"/>
  <c r="CE312" i="22"/>
  <c r="CJ312" i="22"/>
  <c r="CJ298" i="22"/>
  <c r="CF298" i="22"/>
  <c r="CE298" i="22"/>
  <c r="CM298" i="22"/>
  <c r="CO298" i="22"/>
  <c r="CC293" i="22"/>
  <c r="CD293" i="22"/>
  <c r="CE293" i="22"/>
  <c r="CM293" i="22"/>
  <c r="CF293" i="22"/>
  <c r="CJ293" i="22"/>
  <c r="CO293" i="22"/>
  <c r="AJ230" i="22"/>
  <c r="X230" i="22" s="1"/>
  <c r="AJ222" i="22"/>
  <c r="X222" i="22" s="1"/>
  <c r="AJ235" i="22"/>
  <c r="X235" i="22" s="1"/>
  <c r="AX237" i="22"/>
  <c r="AY237" i="22" s="1"/>
  <c r="AZ237" i="22" s="1"/>
  <c r="AJ221" i="22"/>
  <c r="X221" i="22" s="1"/>
  <c r="AJ240" i="22"/>
  <c r="X240" i="22" s="1"/>
  <c r="AS221" i="22"/>
  <c r="AJ226" i="22"/>
  <c r="X226" i="22" s="1"/>
  <c r="AJ238" i="22"/>
  <c r="X238" i="22" s="1"/>
  <c r="AJ242" i="22"/>
  <c r="X242" i="22" s="1"/>
  <c r="AJ224" i="22"/>
  <c r="X224" i="22" s="1"/>
  <c r="AP231" i="22"/>
  <c r="AX231" i="22"/>
  <c r="AY231" i="22" s="1"/>
  <c r="AZ231" i="22" s="1"/>
  <c r="AS231" i="22"/>
  <c r="AJ244" i="22"/>
  <c r="X244" i="22" s="1"/>
  <c r="AX244" i="22"/>
  <c r="AY244" i="22" s="1"/>
  <c r="AZ244" i="22" s="1"/>
  <c r="AS244" i="22"/>
  <c r="AJ237" i="22"/>
  <c r="X237" i="22" s="1"/>
  <c r="AP238" i="22"/>
  <c r="AX238" i="22"/>
  <c r="AY238" i="22" s="1"/>
  <c r="AZ238" i="22" s="1"/>
  <c r="AP244" i="22"/>
  <c r="AX235" i="22"/>
  <c r="AY235" i="22" s="1"/>
  <c r="AZ235" i="22" s="1"/>
  <c r="AP235" i="22"/>
  <c r="AS235" i="22"/>
  <c r="AP237" i="22"/>
  <c r="AS238" i="22"/>
  <c r="AS237" i="22"/>
  <c r="AX242" i="22"/>
  <c r="AY242" i="22" s="1"/>
  <c r="AZ242" i="22" s="1"/>
  <c r="AP242" i="22"/>
  <c r="AS242" i="22"/>
  <c r="AP221" i="22"/>
  <c r="AX221" i="22"/>
  <c r="AY221" i="22" s="1"/>
  <c r="AZ221" i="22" s="1"/>
  <c r="AP224" i="22"/>
  <c r="AX224" i="22"/>
  <c r="AY224" i="22" s="1"/>
  <c r="AZ224" i="22" s="1"/>
  <c r="AS224" i="22"/>
  <c r="AP230" i="22"/>
  <c r="AX230" i="22"/>
  <c r="AY230" i="22" s="1"/>
  <c r="AZ230" i="22" s="1"/>
  <c r="AS230" i="22"/>
  <c r="AP240" i="22"/>
  <c r="AX240" i="22"/>
  <c r="AY240" i="22" s="1"/>
  <c r="AZ240" i="22" s="1"/>
  <c r="AS240" i="22"/>
  <c r="AP222" i="22"/>
  <c r="AX222" i="22"/>
  <c r="AY222" i="22" s="1"/>
  <c r="AZ222" i="22" s="1"/>
  <c r="AS222" i="22"/>
  <c r="AP226" i="22"/>
  <c r="AX226" i="22"/>
  <c r="AY226" i="22" s="1"/>
  <c r="AZ226" i="22" s="1"/>
  <c r="AS226" i="22"/>
  <c r="AJ231" i="22"/>
  <c r="X231" i="22" s="1"/>
  <c r="CO34" i="22"/>
  <c r="CF34" i="22"/>
  <c r="CE34" i="22"/>
  <c r="CM34" i="22"/>
  <c r="CJ34" i="22"/>
  <c r="CD47" i="22"/>
  <c r="CC47" i="22"/>
  <c r="CO51" i="22"/>
  <c r="CM51" i="22"/>
  <c r="CF51" i="22"/>
  <c r="CE51" i="22"/>
  <c r="CJ51" i="22"/>
  <c r="CC48" i="22"/>
  <c r="CD48" i="22"/>
  <c r="CF85" i="22"/>
  <c r="CO85" i="22"/>
  <c r="CE85" i="22"/>
  <c r="CM85" i="22"/>
  <c r="CJ85" i="22"/>
  <c r="CD86" i="22"/>
  <c r="CC86" i="22"/>
  <c r="AX46" i="22"/>
  <c r="AY46" i="22" s="1"/>
  <c r="AZ46" i="22" s="1"/>
  <c r="AS46" i="22"/>
  <c r="AP46" i="22"/>
  <c r="CC51" i="22"/>
  <c r="CD51" i="22"/>
  <c r="CD34" i="22"/>
  <c r="CC34" i="22"/>
  <c r="CC85" i="22"/>
  <c r="CD85" i="22"/>
  <c r="CJ86" i="22"/>
  <c r="CF86" i="22"/>
  <c r="CM86" i="22"/>
  <c r="CO86" i="22"/>
  <c r="CE86" i="22"/>
  <c r="CM48" i="22"/>
  <c r="CO48" i="22"/>
  <c r="CF48" i="22"/>
  <c r="CE48" i="22"/>
  <c r="CJ48" i="22"/>
  <c r="CQ83" i="22"/>
  <c r="CP83" i="22"/>
  <c r="CD71" i="22"/>
  <c r="CC71" i="22"/>
  <c r="CM71" i="22"/>
  <c r="CF71" i="22"/>
  <c r="CE71" i="22"/>
  <c r="CO71" i="22"/>
  <c r="CJ71" i="22"/>
  <c r="CP31" i="22"/>
  <c r="CQ31" i="22"/>
  <c r="AG50" i="22"/>
  <c r="AA50" i="22"/>
  <c r="CC41" i="22"/>
  <c r="CD41" i="22"/>
  <c r="CM44" i="22"/>
  <c r="CE44" i="22"/>
  <c r="CO44" i="22"/>
  <c r="CF44" i="22"/>
  <c r="CJ44" i="22"/>
  <c r="CJ50" i="22"/>
  <c r="CO50" i="22"/>
  <c r="CE50" i="22"/>
  <c r="CF50" i="22"/>
  <c r="CM50" i="22"/>
  <c r="CE41" i="22"/>
  <c r="CM41" i="22"/>
  <c r="CF41" i="22"/>
  <c r="CO41" i="22"/>
  <c r="CJ41" i="22"/>
  <c r="CQ59" i="22"/>
  <c r="CP59" i="22"/>
  <c r="CC44" i="22"/>
  <c r="CD44" i="22"/>
  <c r="CM36" i="22"/>
  <c r="CF36" i="22"/>
  <c r="CE36" i="22"/>
  <c r="CO36" i="22"/>
  <c r="CJ36" i="22"/>
  <c r="AE41" i="22"/>
  <c r="AA41" i="22"/>
  <c r="CC36" i="22"/>
  <c r="CD36" i="22"/>
  <c r="CD50" i="22"/>
  <c r="CC50" i="22"/>
  <c r="CP46" i="22"/>
  <c r="CQ46" i="22"/>
  <c r="CM47" i="22"/>
  <c r="CE47" i="22"/>
  <c r="CF47" i="22"/>
  <c r="CO47" i="22"/>
  <c r="CJ47" i="22"/>
  <c r="AX285" i="22"/>
  <c r="AY285" i="22" s="1"/>
  <c r="AP306" i="22"/>
  <c r="AX18" i="22"/>
  <c r="AY18" i="22" s="1"/>
  <c r="AZ18" i="22" s="1"/>
  <c r="AS18" i="22"/>
  <c r="AP18" i="22"/>
  <c r="AJ18" i="22"/>
  <c r="X18" i="22" s="1"/>
  <c r="AJ202" i="22"/>
  <c r="X202" i="22" s="1"/>
  <c r="CC183" i="22"/>
  <c r="B26" i="21" s="1"/>
  <c r="AP202" i="22"/>
  <c r="AX202" i="22"/>
  <c r="AY202" i="22" s="1"/>
  <c r="AZ202" i="22" s="1"/>
  <c r="AS202" i="22"/>
  <c r="W109" i="22"/>
  <c r="AG109" i="22"/>
  <c r="AG183" i="22" s="1"/>
  <c r="O2333" i="19" s="1"/>
  <c r="O2336" i="19" s="1"/>
  <c r="D2331" i="19" s="1"/>
  <c r="H356" i="4" s="1"/>
  <c r="AH109" i="22"/>
  <c r="AH183" i="22" s="1"/>
  <c r="O2339" i="19" s="1"/>
  <c r="O2342" i="19" s="1"/>
  <c r="D2337" i="19" s="1"/>
  <c r="H389" i="4" s="1"/>
  <c r="AF109" i="22"/>
  <c r="AF183" i="22" s="1"/>
  <c r="AD24" i="22"/>
  <c r="AC24" i="22"/>
  <c r="AE24" i="22"/>
  <c r="AW109" i="22"/>
  <c r="AW183" i="22" s="1"/>
  <c r="AF320" i="22"/>
  <c r="AA320" i="22"/>
  <c r="AH320" i="22"/>
  <c r="AG320" i="22"/>
  <c r="CJ320" i="22"/>
  <c r="CF320" i="22"/>
  <c r="CE320" i="22"/>
  <c r="CM320" i="22"/>
  <c r="CO320" i="22"/>
  <c r="CC320" i="22"/>
  <c r="CD320" i="22"/>
  <c r="AZ329" i="22"/>
  <c r="AJ329" i="22"/>
  <c r="X329" i="22" s="1"/>
  <c r="AS322" i="22"/>
  <c r="AX322" i="22"/>
  <c r="AY322" i="22" s="1"/>
  <c r="AZ322" i="22" s="1"/>
  <c r="AJ322" i="22"/>
  <c r="X322" i="22" s="1"/>
  <c r="AP322" i="22"/>
  <c r="AS267" i="22"/>
  <c r="AX267" i="22"/>
  <c r="AY267" i="22" s="1"/>
  <c r="AP267" i="22"/>
  <c r="CD300" i="22"/>
  <c r="CC300" i="22"/>
  <c r="CE300" i="22"/>
  <c r="CM300" i="22"/>
  <c r="CF300" i="22"/>
  <c r="CJ300" i="22"/>
  <c r="CO300" i="22"/>
  <c r="CO296" i="22"/>
  <c r="CJ296" i="22"/>
  <c r="CM296" i="22"/>
  <c r="CE296" i="22"/>
  <c r="CF296" i="22"/>
  <c r="CC296" i="22"/>
  <c r="CD296" i="22"/>
  <c r="AP290" i="22"/>
  <c r="AX290" i="22"/>
  <c r="AY290" i="22" s="1"/>
  <c r="AJ279" i="22"/>
  <c r="X279" i="22" s="1"/>
  <c r="AP279" i="22"/>
  <c r="AS279" i="22"/>
  <c r="AX279" i="22"/>
  <c r="AY279" i="22" s="1"/>
  <c r="AZ279" i="22" s="1"/>
  <c r="AS260" i="22"/>
  <c r="AX260" i="22"/>
  <c r="AY260" i="22" s="1"/>
  <c r="AZ260" i="22" s="1"/>
  <c r="AP260" i="22"/>
  <c r="AJ260" i="22"/>
  <c r="X260" i="22" s="1"/>
  <c r="AJ325" i="22"/>
  <c r="X325" i="22" s="1"/>
  <c r="AX325" i="22"/>
  <c r="AY325" i="22" s="1"/>
  <c r="AZ325" i="22" s="1"/>
  <c r="AS290" i="22"/>
  <c r="AP325" i="22"/>
  <c r="AS306" i="22"/>
  <c r="AS325" i="22"/>
  <c r="AX306" i="22"/>
  <c r="AY306" i="22" s="1"/>
  <c r="AS334" i="22"/>
  <c r="AX334" i="22"/>
  <c r="AY334" i="22" s="1"/>
  <c r="AP334" i="22"/>
  <c r="AX332" i="22"/>
  <c r="AY332" i="22" s="1"/>
  <c r="AZ332" i="22" s="1"/>
  <c r="AP298" i="22"/>
  <c r="AX292" i="22"/>
  <c r="AY292" i="22" s="1"/>
  <c r="AP292" i="22"/>
  <c r="AS292" i="22"/>
  <c r="AX298" i="22"/>
  <c r="AY298" i="22" s="1"/>
  <c r="D4193" i="19"/>
  <c r="H112" i="4" s="1"/>
  <c r="AS296" i="22"/>
  <c r="AS273" i="22"/>
  <c r="AS286" i="22"/>
  <c r="AP296" i="22"/>
  <c r="AP286" i="22"/>
  <c r="L798" i="4"/>
  <c r="AS298" i="22"/>
  <c r="AP273" i="22"/>
  <c r="AP284" i="22"/>
  <c r="AJ204" i="22"/>
  <c r="X204" i="22" s="1"/>
  <c r="CQ23" i="22"/>
  <c r="AS284" i="22"/>
  <c r="AX284" i="22"/>
  <c r="AY284" i="22" s="1"/>
  <c r="AP293" i="22"/>
  <c r="BH44" i="20"/>
  <c r="AX273" i="22"/>
  <c r="AY273" i="22" s="1"/>
  <c r="AS204" i="22"/>
  <c r="BH21" i="20"/>
  <c r="AX296" i="22"/>
  <c r="AY296" i="22" s="1"/>
  <c r="AX286" i="22"/>
  <c r="AY286" i="22" s="1"/>
  <c r="AZ286" i="22" s="1"/>
  <c r="E880" i="19"/>
  <c r="K880" i="19" s="1"/>
  <c r="K882" i="19" s="1"/>
  <c r="AP204" i="22"/>
  <c r="AP285" i="22"/>
  <c r="AS285" i="22"/>
  <c r="L40" i="4"/>
  <c r="BH18" i="20"/>
  <c r="O4352" i="19"/>
  <c r="O4354" i="19" s="1"/>
  <c r="D4350" i="19" s="1"/>
  <c r="AX204" i="22"/>
  <c r="AY204" i="22" s="1"/>
  <c r="AZ204" i="22" s="1"/>
  <c r="E838" i="19"/>
  <c r="M836" i="19"/>
  <c r="M838" i="19" s="1"/>
  <c r="E832" i="19"/>
  <c r="K832" i="19" s="1"/>
  <c r="K834" i="19" s="1"/>
  <c r="D2216" i="19"/>
  <c r="H147" i="4" s="1"/>
  <c r="AJ295" i="22"/>
  <c r="X295" i="22" s="1"/>
  <c r="BH10" i="20"/>
  <c r="BH143" i="20"/>
  <c r="M2059" i="19"/>
  <c r="O2063" i="19"/>
  <c r="M2063" i="19" s="1"/>
  <c r="AP295" i="22"/>
  <c r="L32" i="4"/>
  <c r="L422" i="4"/>
  <c r="L548" i="4"/>
  <c r="L458" i="4"/>
  <c r="L442" i="4"/>
  <c r="AS332" i="22"/>
  <c r="AP300" i="22"/>
  <c r="AS295" i="22"/>
  <c r="AP332" i="22"/>
  <c r="AS300" i="22"/>
  <c r="AX295" i="22"/>
  <c r="AY295" i="22" s="1"/>
  <c r="AZ295" i="22" s="1"/>
  <c r="AX300" i="22"/>
  <c r="AY300" i="22" s="1"/>
  <c r="AE183" i="22"/>
  <c r="O2311" i="19" s="1"/>
  <c r="O2314" i="19" s="1"/>
  <c r="D2309" i="19" s="1"/>
  <c r="H386" i="4" s="1"/>
  <c r="AW356" i="22"/>
  <c r="AP316" i="22"/>
  <c r="AP287" i="22"/>
  <c r="AX301" i="22"/>
  <c r="AY301" i="22" s="1"/>
  <c r="AP301" i="22"/>
  <c r="AP327" i="22"/>
  <c r="AS287" i="22"/>
  <c r="AX287" i="22"/>
  <c r="AY287" i="22" s="1"/>
  <c r="AX309" i="22"/>
  <c r="AY309" i="22" s="1"/>
  <c r="AS316" i="22"/>
  <c r="AJ327" i="22"/>
  <c r="X327" i="22" s="1"/>
  <c r="AS293" i="22"/>
  <c r="AP309" i="22"/>
  <c r="AX327" i="22"/>
  <c r="AY327" i="22" s="1"/>
  <c r="AZ327" i="22" s="1"/>
  <c r="AX293" i="22"/>
  <c r="AY293" i="22" s="1"/>
  <c r="AS309" i="22"/>
  <c r="AS301" i="22"/>
  <c r="AX316" i="22"/>
  <c r="AY316" i="22" s="1"/>
  <c r="AZ316" i="22" s="1"/>
  <c r="AJ316" i="22"/>
  <c r="X316" i="22" s="1"/>
  <c r="AS327" i="22"/>
  <c r="AJ262" i="22"/>
  <c r="X262" i="22" s="1"/>
  <c r="AX333" i="22"/>
  <c r="AY333" i="22" s="1"/>
  <c r="AS276" i="22"/>
  <c r="AX261" i="22"/>
  <c r="AY261" i="22" s="1"/>
  <c r="AZ261" i="22" s="1"/>
  <c r="AS272" i="22"/>
  <c r="AP272" i="22"/>
  <c r="AJ261" i="22"/>
  <c r="X261" i="22" s="1"/>
  <c r="AS261" i="22"/>
  <c r="AP261" i="22"/>
  <c r="AP276" i="22"/>
  <c r="AX276" i="22"/>
  <c r="AY276" i="22" s="1"/>
  <c r="AX272" i="22"/>
  <c r="AY272" i="22" s="1"/>
  <c r="AX268" i="22"/>
  <c r="AY268" i="22" s="1"/>
  <c r="AP268" i="22"/>
  <c r="AJ294" i="22"/>
  <c r="X294" i="22" s="1"/>
  <c r="AS268" i="22"/>
  <c r="AX303" i="22"/>
  <c r="AY303" i="22" s="1"/>
  <c r="AE356" i="22"/>
  <c r="O4619" i="19" s="1"/>
  <c r="O4622" i="19" s="1"/>
  <c r="D4617" i="19" s="1"/>
  <c r="H387" i="4" s="1"/>
  <c r="AS299" i="22"/>
  <c r="AP333" i="22"/>
  <c r="AS333" i="22"/>
  <c r="AP312" i="22"/>
  <c r="AP303" i="22"/>
  <c r="AP270" i="22"/>
  <c r="AS270" i="22"/>
  <c r="AX270" i="22"/>
  <c r="AY270" i="22" s="1"/>
  <c r="AS312" i="22"/>
  <c r="AX312" i="22"/>
  <c r="AY312" i="22" s="1"/>
  <c r="AS303" i="22"/>
  <c r="AX294" i="22"/>
  <c r="AY294" i="22" s="1"/>
  <c r="AZ294" i="22" s="1"/>
  <c r="CG23" i="22"/>
  <c r="CH23" i="22" s="1"/>
  <c r="AX318" i="22"/>
  <c r="AY318" i="22" s="1"/>
  <c r="AZ318" i="22" s="1"/>
  <c r="AX262" i="22"/>
  <c r="AY262" i="22" s="1"/>
  <c r="AZ262" i="22" s="1"/>
  <c r="AS262" i="22"/>
  <c r="AP323" i="22"/>
  <c r="CJ24" i="22"/>
  <c r="CF24" i="22"/>
  <c r="AP17" i="22"/>
  <c r="CE24" i="22"/>
  <c r="CM24" i="22"/>
  <c r="CO24" i="22"/>
  <c r="CP24" i="22" s="1"/>
  <c r="AJ17" i="22"/>
  <c r="X17" i="22" s="1"/>
  <c r="AX17" i="22"/>
  <c r="AY17" i="22" s="1"/>
  <c r="AZ17" i="22" s="1"/>
  <c r="AS17" i="22"/>
  <c r="AX314" i="22"/>
  <c r="AY314" i="22" s="1"/>
  <c r="AZ314" i="22" s="1"/>
  <c r="AS282" i="22"/>
  <c r="AS323" i="22"/>
  <c r="AX323" i="22"/>
  <c r="AY323" i="22" s="1"/>
  <c r="AZ323" i="22" s="1"/>
  <c r="AS294" i="22"/>
  <c r="AP274" i="22"/>
  <c r="AP15" i="22"/>
  <c r="AS274" i="22"/>
  <c r="AS15" i="22"/>
  <c r="AX15" i="22"/>
  <c r="AY15" i="22" s="1"/>
  <c r="AZ15" i="22" s="1"/>
  <c r="AJ15" i="22"/>
  <c r="X15" i="22" s="1"/>
  <c r="AX13" i="22"/>
  <c r="AY13" i="22" s="1"/>
  <c r="AZ13" i="22" s="1"/>
  <c r="AG24" i="22"/>
  <c r="AP265" i="22"/>
  <c r="AS314" i="22"/>
  <c r="AP314" i="22"/>
  <c r="AF24" i="22"/>
  <c r="AH24" i="22"/>
  <c r="AX23" i="22"/>
  <c r="AY23" i="22" s="1"/>
  <c r="AZ23" i="22" s="1"/>
  <c r="AJ265" i="22"/>
  <c r="X265" i="22" s="1"/>
  <c r="AP263" i="22"/>
  <c r="AJ324" i="22"/>
  <c r="X324" i="22" s="1"/>
  <c r="AJ23" i="22"/>
  <c r="X23" i="22" s="1"/>
  <c r="AP328" i="22"/>
  <c r="AJ263" i="22"/>
  <c r="X263" i="22" s="1"/>
  <c r="AS23" i="22"/>
  <c r="AS263" i="22"/>
  <c r="AP23" i="22"/>
  <c r="AX263" i="22"/>
  <c r="AY263" i="22" s="1"/>
  <c r="AZ263" i="22" s="1"/>
  <c r="AP282" i="22"/>
  <c r="AX282" i="22"/>
  <c r="AY282" i="22" s="1"/>
  <c r="AZ282" i="22" s="1"/>
  <c r="AJ282" i="22"/>
  <c r="X282" i="22" s="1"/>
  <c r="AJ13" i="22"/>
  <c r="X13" i="22" s="1"/>
  <c r="AS13" i="22"/>
  <c r="AP13" i="22"/>
  <c r="M4228" i="19"/>
  <c r="M4230" i="19" s="1"/>
  <c r="D4226" i="19" s="1"/>
  <c r="H779" i="4" s="1"/>
  <c r="O4233" i="19"/>
  <c r="M4233" i="19" s="1"/>
  <c r="M4235" i="19" s="1"/>
  <c r="D4231" i="19" s="1"/>
  <c r="H736" i="4" s="1"/>
  <c r="O3101" i="19"/>
  <c r="M3101" i="19" s="1"/>
  <c r="M3103" i="19" s="1"/>
  <c r="D3099" i="19" s="1"/>
  <c r="H728" i="4" s="1"/>
  <c r="AP318" i="22"/>
  <c r="O356" i="22"/>
  <c r="N4065" i="19" s="1"/>
  <c r="N4069" i="19" s="1"/>
  <c r="D4063" i="19" s="1"/>
  <c r="H254" i="4" s="1"/>
  <c r="AX12" i="22"/>
  <c r="AY12" i="22" s="1"/>
  <c r="AZ12" i="22" s="1"/>
  <c r="AJ12" i="22"/>
  <c r="X12" i="22" s="1"/>
  <c r="AP12" i="22"/>
  <c r="K3485" i="19"/>
  <c r="K3487" i="19" s="1"/>
  <c r="K3488" i="19" s="1"/>
  <c r="D3484" i="19" s="1"/>
  <c r="H170" i="4" s="1"/>
  <c r="AS12" i="22"/>
  <c r="AJ19" i="22"/>
  <c r="X19" i="22" s="1"/>
  <c r="AP302" i="22"/>
  <c r="AS265" i="22"/>
  <c r="AS275" i="22"/>
  <c r="AJ314" i="22"/>
  <c r="X314" i="22" s="1"/>
  <c r="AJ274" i="22"/>
  <c r="X274" i="22" s="1"/>
  <c r="AX302" i="22"/>
  <c r="AY302" i="22" s="1"/>
  <c r="AZ302" i="22" s="1"/>
  <c r="AX265" i="22"/>
  <c r="AY265" i="22" s="1"/>
  <c r="AZ265" i="22" s="1"/>
  <c r="AS19" i="22"/>
  <c r="AX19" i="22"/>
  <c r="AY19" i="22" s="1"/>
  <c r="AZ19" i="22" s="1"/>
  <c r="AP19" i="22"/>
  <c r="AX315" i="22"/>
  <c r="AY315" i="22" s="1"/>
  <c r="AZ315" i="22" s="1"/>
  <c r="AJ275" i="22"/>
  <c r="X275" i="22" s="1"/>
  <c r="AP275" i="22"/>
  <c r="AJ299" i="22"/>
  <c r="X299" i="22" s="1"/>
  <c r="AS318" i="22"/>
  <c r="AX275" i="22"/>
  <c r="AY275" i="22" s="1"/>
  <c r="AZ275" i="22" s="1"/>
  <c r="AS315" i="22"/>
  <c r="AP315" i="22"/>
  <c r="D4220" i="19"/>
  <c r="H113" i="4" s="1"/>
  <c r="AX274" i="22"/>
  <c r="AY274" i="22" s="1"/>
  <c r="AZ274" i="22" s="1"/>
  <c r="CG11" i="22"/>
  <c r="CH11" i="22" s="1"/>
  <c r="CG7" i="22"/>
  <c r="CH7" i="22" s="1"/>
  <c r="CQ7" i="22"/>
  <c r="AW96" i="22"/>
  <c r="AX299" i="22"/>
  <c r="AY299" i="22" s="1"/>
  <c r="AZ299" i="22" s="1"/>
  <c r="AP299" i="22"/>
  <c r="AS328" i="22"/>
  <c r="AX271" i="22"/>
  <c r="AY271" i="22" s="1"/>
  <c r="AJ319" i="22"/>
  <c r="X319" i="22" s="1"/>
  <c r="D3089" i="19"/>
  <c r="H107" i="4" s="1"/>
  <c r="AJ315" i="22"/>
  <c r="X315" i="22" s="1"/>
  <c r="BF358" i="22"/>
  <c r="E4833" i="19" s="1"/>
  <c r="E4835" i="19" s="1"/>
  <c r="D4832" i="19" s="1"/>
  <c r="H826" i="4" s="1"/>
  <c r="BG358" i="22"/>
  <c r="E4837" i="19" s="1"/>
  <c r="E4839" i="19" s="1"/>
  <c r="D4836" i="19" s="1"/>
  <c r="H830" i="4" s="1"/>
  <c r="AJ269" i="22"/>
  <c r="X269" i="22" s="1"/>
  <c r="AJ302" i="22"/>
  <c r="X302" i="22" s="1"/>
  <c r="AJ318" i="22"/>
  <c r="X318" i="22" s="1"/>
  <c r="O1980" i="19"/>
  <c r="M1980" i="19" s="1"/>
  <c r="M1982" i="19" s="1"/>
  <c r="D1979" i="19" s="1"/>
  <c r="H719" i="4" s="1"/>
  <c r="AX20" i="22"/>
  <c r="AY20" i="22" s="1"/>
  <c r="AZ20" i="22" s="1"/>
  <c r="AP20" i="22"/>
  <c r="AS20" i="22"/>
  <c r="O3075" i="19"/>
  <c r="M3075" i="19" s="1"/>
  <c r="M3077" i="19" s="1"/>
  <c r="D3073" i="19" s="1"/>
  <c r="H769" i="4" s="1"/>
  <c r="O564" i="19"/>
  <c r="D559" i="19" s="1"/>
  <c r="H93" i="4" s="1"/>
  <c r="AS6" i="22"/>
  <c r="AP6" i="22"/>
  <c r="L106" i="4"/>
  <c r="L462" i="4"/>
  <c r="L448" i="4"/>
  <c r="L65" i="4"/>
  <c r="N3706" i="19"/>
  <c r="D3693" i="19" s="1"/>
  <c r="H407" i="4" s="1"/>
  <c r="O4900" i="19"/>
  <c r="O4923" i="19" s="1"/>
  <c r="O4925" i="19" s="1"/>
  <c r="D4921" i="19" s="1"/>
  <c r="H555" i="4" s="1"/>
  <c r="L426" i="4"/>
  <c r="L305" i="4"/>
  <c r="C35" i="21"/>
  <c r="L446" i="4"/>
  <c r="AX206" i="22"/>
  <c r="AY206" i="22" s="1"/>
  <c r="AZ206" i="22" s="1"/>
  <c r="L460" i="4"/>
  <c r="AH246" i="22"/>
  <c r="O3400" i="19" s="1"/>
  <c r="O3403" i="19" s="1"/>
  <c r="D3398" i="19" s="1"/>
  <c r="H390" i="4" s="1"/>
  <c r="BF248" i="22"/>
  <c r="E3587" i="19" s="1"/>
  <c r="E3589" i="19" s="1"/>
  <c r="BG248" i="22"/>
  <c r="E3591" i="19" s="1"/>
  <c r="E3593" i="19" s="1"/>
  <c r="D3590" i="19" s="1"/>
  <c r="H829" i="4" s="1"/>
  <c r="L470" i="4"/>
  <c r="AG246" i="22"/>
  <c r="O3394" i="19" s="1"/>
  <c r="O3397" i="19" s="1"/>
  <c r="D3392" i="19" s="1"/>
  <c r="H358" i="4" s="1"/>
  <c r="K3502" i="19"/>
  <c r="K3503" i="19" s="1"/>
  <c r="D3499" i="19" s="1"/>
  <c r="H83" i="4" s="1"/>
  <c r="AB246" i="22"/>
  <c r="AJ206" i="22"/>
  <c r="X206" i="22" s="1"/>
  <c r="AS206" i="22"/>
  <c r="AF246" i="22"/>
  <c r="AX203" i="22"/>
  <c r="AY203" i="22" s="1"/>
  <c r="AZ203" i="22" s="1"/>
  <c r="AP203" i="22"/>
  <c r="AS203" i="22"/>
  <c r="AP206" i="22"/>
  <c r="AJ203" i="22"/>
  <c r="CK248" i="22"/>
  <c r="B35" i="21"/>
  <c r="O3406" i="19"/>
  <c r="O3408" i="19" s="1"/>
  <c r="D3404" i="19" s="1"/>
  <c r="H325" i="4" s="1"/>
  <c r="C34" i="21"/>
  <c r="O3360" i="19"/>
  <c r="O3363" i="19" s="1"/>
  <c r="D3358" i="19" s="1"/>
  <c r="L173" i="4"/>
  <c r="AS302" i="22"/>
  <c r="AX328" i="22"/>
  <c r="AY328" i="22" s="1"/>
  <c r="L842" i="4"/>
  <c r="AB356" i="22"/>
  <c r="L428" i="4"/>
  <c r="L424" i="4"/>
  <c r="AS324" i="22"/>
  <c r="AS319" i="22"/>
  <c r="AP319" i="22"/>
  <c r="AX319" i="22"/>
  <c r="AY319" i="22" s="1"/>
  <c r="AZ319" i="22" s="1"/>
  <c r="AX324" i="22"/>
  <c r="AY324" i="22" s="1"/>
  <c r="AZ324" i="22" s="1"/>
  <c r="AP324" i="22"/>
  <c r="AH321" i="22"/>
  <c r="AG321" i="22"/>
  <c r="AF321" i="22"/>
  <c r="AA321" i="22"/>
  <c r="CC321" i="22"/>
  <c r="CD321" i="22"/>
  <c r="CJ321" i="22"/>
  <c r="CE321" i="22"/>
  <c r="CO321" i="22"/>
  <c r="CM321" i="22"/>
  <c r="CF321" i="22"/>
  <c r="L221" i="4"/>
  <c r="AJ280" i="22"/>
  <c r="X280" i="22" s="1"/>
  <c r="L68" i="4"/>
  <c r="AS271" i="22"/>
  <c r="AP271" i="22"/>
  <c r="L379" i="4"/>
  <c r="AP326" i="22"/>
  <c r="AS326" i="22"/>
  <c r="AX326" i="22"/>
  <c r="AY326" i="22" s="1"/>
  <c r="AP317" i="22"/>
  <c r="AS317" i="22"/>
  <c r="AX317" i="22"/>
  <c r="AY317" i="22" s="1"/>
  <c r="AP331" i="22"/>
  <c r="AS331" i="22"/>
  <c r="AX331" i="22"/>
  <c r="AY331" i="22" s="1"/>
  <c r="AP330" i="22"/>
  <c r="AS330" i="22"/>
  <c r="AX330" i="22"/>
  <c r="AY330" i="22" s="1"/>
  <c r="AP283" i="22"/>
  <c r="AX283" i="22"/>
  <c r="AY283" i="22" s="1"/>
  <c r="AS283" i="22"/>
  <c r="AP278" i="22"/>
  <c r="AX278" i="22"/>
  <c r="AY278" i="22" s="1"/>
  <c r="AS278" i="22"/>
  <c r="AP305" i="22"/>
  <c r="AX305" i="22"/>
  <c r="AY305" i="22" s="1"/>
  <c r="AS305" i="22"/>
  <c r="AP264" i="22"/>
  <c r="AS264" i="22"/>
  <c r="AX264" i="22"/>
  <c r="AY264" i="22" s="1"/>
  <c r="AP291" i="22"/>
  <c r="AS291" i="22"/>
  <c r="AX291" i="22"/>
  <c r="AY291" i="22" s="1"/>
  <c r="AP308" i="22"/>
  <c r="AS308" i="22"/>
  <c r="AX308" i="22"/>
  <c r="AY308" i="22" s="1"/>
  <c r="AP304" i="22"/>
  <c r="AX304" i="22"/>
  <c r="AY304" i="22" s="1"/>
  <c r="AS304" i="22"/>
  <c r="AP288" i="22"/>
  <c r="AX288" i="22"/>
  <c r="AY288" i="22" s="1"/>
  <c r="AS288" i="22"/>
  <c r="AP266" i="22"/>
  <c r="AS266" i="22"/>
  <c r="AX266" i="22"/>
  <c r="AY266" i="22" s="1"/>
  <c r="AP281" i="22"/>
  <c r="AS281" i="22"/>
  <c r="AX281" i="22"/>
  <c r="AY281" i="22" s="1"/>
  <c r="AP289" i="22"/>
  <c r="AS289" i="22"/>
  <c r="AX289" i="22"/>
  <c r="AY289" i="22" s="1"/>
  <c r="AP310" i="22"/>
  <c r="AS310" i="22"/>
  <c r="AX310" i="22"/>
  <c r="AY310" i="22" s="1"/>
  <c r="AP269" i="22"/>
  <c r="AX269" i="22"/>
  <c r="AY269" i="22" s="1"/>
  <c r="AZ269" i="22" s="1"/>
  <c r="AS269" i="22"/>
  <c r="AP277" i="22"/>
  <c r="AS277" i="22"/>
  <c r="AX277" i="22"/>
  <c r="AY277" i="22" s="1"/>
  <c r="AP280" i="22"/>
  <c r="AS280" i="22"/>
  <c r="AX280" i="22"/>
  <c r="AY280" i="22" s="1"/>
  <c r="AZ280" i="22" s="1"/>
  <c r="AP307" i="22"/>
  <c r="AX307" i="22"/>
  <c r="AY307" i="22" s="1"/>
  <c r="AS307" i="22"/>
  <c r="L468" i="4"/>
  <c r="CH109" i="22"/>
  <c r="N1812" i="19"/>
  <c r="N1816" i="19" s="1"/>
  <c r="L444" i="4"/>
  <c r="AB183" i="22"/>
  <c r="E2274" i="19"/>
  <c r="E2278" i="19" s="1"/>
  <c r="N2394" i="19"/>
  <c r="N2398" i="19" s="1"/>
  <c r="N2400" i="19" s="1"/>
  <c r="D2397" i="19" s="1"/>
  <c r="H605" i="4" s="1"/>
  <c r="L189" i="4"/>
  <c r="L333" i="4"/>
  <c r="CQ183" i="22"/>
  <c r="N2381" i="19" s="1"/>
  <c r="N2383" i="19" s="1"/>
  <c r="D2379" i="19" s="1"/>
  <c r="H432" i="4" s="1"/>
  <c r="CP183" i="22"/>
  <c r="N2376" i="19" s="1"/>
  <c r="N2378" i="19" s="1"/>
  <c r="D2374" i="19" s="1"/>
  <c r="H412" i="4" s="1"/>
  <c r="K2422" i="19"/>
  <c r="D2417" i="19" s="1"/>
  <c r="H836" i="4" s="1"/>
  <c r="K2424" i="19"/>
  <c r="K2426" i="19" s="1"/>
  <c r="K2427" i="19" s="1"/>
  <c r="D2423" i="19" s="1"/>
  <c r="H167" i="4" s="1"/>
  <c r="L215" i="4"/>
  <c r="O2468" i="19"/>
  <c r="O2477" i="19" s="1"/>
  <c r="M2477" i="19" s="1"/>
  <c r="D2389" i="19"/>
  <c r="H642" i="4" s="1"/>
  <c r="L550" i="4"/>
  <c r="BF185" i="22"/>
  <c r="E2526" i="19" s="1"/>
  <c r="E2528" i="19" s="1"/>
  <c r="L303" i="4"/>
  <c r="L202" i="4"/>
  <c r="L588" i="4"/>
  <c r="BH25" i="20"/>
  <c r="BH22" i="20"/>
  <c r="BH59" i="20"/>
  <c r="AX6" i="22"/>
  <c r="AY6" i="22" s="1"/>
  <c r="AZ6" i="22" s="1"/>
  <c r="E4014" i="19"/>
  <c r="E4016" i="19" s="1"/>
  <c r="D4011" i="19" s="1"/>
  <c r="H701" i="4" s="1"/>
  <c r="E4019" i="19"/>
  <c r="M4020" i="19" s="1"/>
  <c r="M4022" i="19" s="1"/>
  <c r="D4017" i="19" s="1"/>
  <c r="H688" i="4" s="1"/>
  <c r="BH185" i="20"/>
  <c r="BH111" i="20"/>
  <c r="BH146" i="20"/>
  <c r="BH58" i="20"/>
  <c r="BH102" i="20"/>
  <c r="O1207" i="19"/>
  <c r="D1188" i="19" s="1"/>
  <c r="H188" i="4" s="1"/>
  <c r="N1227" i="19"/>
  <c r="D1208" i="19" s="1"/>
  <c r="H516" i="4" s="1"/>
  <c r="L125" i="4"/>
  <c r="L803" i="4"/>
  <c r="L336" i="4"/>
  <c r="L182" i="4"/>
  <c r="L267" i="4"/>
  <c r="L18" i="4"/>
  <c r="L600" i="4"/>
  <c r="L136" i="4"/>
  <c r="L583" i="4"/>
  <c r="L340" i="4"/>
  <c r="L211" i="4"/>
  <c r="L672" i="4"/>
  <c r="L587" i="4"/>
  <c r="L181" i="4"/>
  <c r="L121" i="4"/>
  <c r="L640" i="4"/>
  <c r="L800" i="4"/>
  <c r="L674" i="4"/>
  <c r="L58" i="4"/>
  <c r="L185" i="4"/>
  <c r="L408" i="4"/>
  <c r="L338" i="4"/>
  <c r="L129" i="4"/>
  <c r="L299" i="4"/>
  <c r="L183" i="4"/>
  <c r="L511" i="4"/>
  <c r="L274" i="4"/>
  <c r="L673" i="4"/>
  <c r="L760" i="4"/>
  <c r="L466" i="4"/>
  <c r="L406" i="4"/>
  <c r="L807" i="4"/>
  <c r="L145" i="4"/>
  <c r="L839" i="4"/>
  <c r="L184" i="4"/>
  <c r="L152" i="4"/>
  <c r="L817" i="4"/>
  <c r="L607" i="4"/>
  <c r="L797" i="4"/>
  <c r="L133" i="4"/>
  <c r="L140" i="4"/>
  <c r="L264" i="4"/>
  <c r="L585" i="4"/>
  <c r="BH76" i="20"/>
  <c r="AJ14" i="22"/>
  <c r="X14" i="22" s="1"/>
  <c r="O1671" i="19"/>
  <c r="J1671" i="19" s="1"/>
  <c r="J1674" i="19" s="1"/>
  <c r="D1669" i="19" s="1"/>
  <c r="H714" i="4" s="1"/>
  <c r="J1665" i="19"/>
  <c r="J1668" i="19" s="1"/>
  <c r="D1663" i="19" s="1"/>
  <c r="H755" i="4" s="1"/>
  <c r="BH30" i="20"/>
  <c r="BH115" i="20"/>
  <c r="BH64" i="20"/>
  <c r="J3917" i="19"/>
  <c r="J3920" i="19" s="1"/>
  <c r="D3915" i="19" s="1"/>
  <c r="H774" i="4" s="1"/>
  <c r="O3923" i="19"/>
  <c r="J3923" i="19" s="1"/>
  <c r="J3926" i="19" s="1"/>
  <c r="D3921" i="19" s="1"/>
  <c r="H731" i="4" s="1"/>
  <c r="AP16" i="22"/>
  <c r="AS16" i="22"/>
  <c r="AX16" i="22"/>
  <c r="AY16" i="22" s="1"/>
  <c r="AZ16" i="22" s="1"/>
  <c r="K1039" i="19"/>
  <c r="K1041" i="19" s="1"/>
  <c r="K1042" i="19" s="1"/>
  <c r="D1038" i="19" s="1"/>
  <c r="H163" i="4" s="1"/>
  <c r="K1037" i="19"/>
  <c r="D1032" i="19" s="1"/>
  <c r="H832" i="4" s="1"/>
  <c r="O5179" i="19"/>
  <c r="J5179" i="19" s="1"/>
  <c r="J5182" i="19" s="1"/>
  <c r="D5177" i="19" s="1"/>
  <c r="H740" i="4" s="1"/>
  <c r="J5173" i="19"/>
  <c r="J5176" i="19" s="1"/>
  <c r="D5171" i="19" s="1"/>
  <c r="H784" i="4" s="1"/>
  <c r="AJ7" i="22"/>
  <c r="X7" i="22" s="1"/>
  <c r="AP14" i="22"/>
  <c r="AS14" i="22"/>
  <c r="AX14" i="22"/>
  <c r="AY14" i="22" s="1"/>
  <c r="AZ14" i="22" s="1"/>
  <c r="BH183" i="20"/>
  <c r="K775" i="19"/>
  <c r="D770" i="19" s="1"/>
  <c r="H831" i="4" s="1"/>
  <c r="K777" i="19"/>
  <c r="K779" i="19" s="1"/>
  <c r="K781" i="19" s="1"/>
  <c r="D776" i="19" s="1"/>
  <c r="H162" i="4" s="1"/>
  <c r="E2870" i="19"/>
  <c r="E2872" i="19" s="1"/>
  <c r="D2867" i="19" s="1"/>
  <c r="H699" i="4" s="1"/>
  <c r="E2875" i="19"/>
  <c r="M2876" i="19" s="1"/>
  <c r="M2878" i="19" s="1"/>
  <c r="D2873" i="19" s="1"/>
  <c r="H687" i="4" s="1"/>
  <c r="K3310" i="19"/>
  <c r="M3310" i="19" s="1"/>
  <c r="M3312" i="19" s="1"/>
  <c r="D3309" i="19" s="1"/>
  <c r="H791" i="4" s="1"/>
  <c r="D3313" i="19"/>
  <c r="H148" i="4" s="1"/>
  <c r="N4446" i="19"/>
  <c r="N4438" i="19"/>
  <c r="D4435" i="19" s="1"/>
  <c r="H610" i="4" s="1"/>
  <c r="N4461" i="19"/>
  <c r="N4440" i="19"/>
  <c r="K4442" i="19" s="1"/>
  <c r="K4444" i="19" s="1"/>
  <c r="D4439" i="19" s="1"/>
  <c r="H277" i="4" s="1"/>
  <c r="D33" i="21"/>
  <c r="O3168" i="19"/>
  <c r="O3159" i="19"/>
  <c r="O3161" i="19" s="1"/>
  <c r="D3157" i="19" s="1"/>
  <c r="O2797" i="19"/>
  <c r="J2797" i="19" s="1"/>
  <c r="J2800" i="19" s="1"/>
  <c r="D2795" i="19" s="1"/>
  <c r="H722" i="4" s="1"/>
  <c r="J2791" i="19"/>
  <c r="J2794" i="19" s="1"/>
  <c r="D2789" i="19" s="1"/>
  <c r="H764" i="4" s="1"/>
  <c r="BH32" i="20"/>
  <c r="BH176" i="20"/>
  <c r="BH46" i="20"/>
  <c r="AP21" i="22"/>
  <c r="AS21" i="22"/>
  <c r="AX21" i="22"/>
  <c r="AY21" i="22" s="1"/>
  <c r="AZ21" i="22" s="1"/>
  <c r="D3040" i="19"/>
  <c r="H105" i="4" s="1"/>
  <c r="O3048" i="19"/>
  <c r="BH142" i="20"/>
  <c r="BH153" i="20"/>
  <c r="AJ6" i="22"/>
  <c r="X6" i="22" s="1"/>
  <c r="BH56" i="20"/>
  <c r="E1771" i="19"/>
  <c r="E1773" i="19" s="1"/>
  <c r="D1768" i="19" s="1"/>
  <c r="H696" i="4" s="1"/>
  <c r="E1776" i="19"/>
  <c r="M1777" i="19" s="1"/>
  <c r="M1779" i="19" s="1"/>
  <c r="D1774" i="19" s="1"/>
  <c r="H685" i="4" s="1"/>
  <c r="AP22" i="22"/>
  <c r="AS22" i="22"/>
  <c r="AX22" i="22"/>
  <c r="AY22" i="22" s="1"/>
  <c r="AZ22" i="22" s="1"/>
  <c r="AS11" i="22"/>
  <c r="AP11" i="22"/>
  <c r="AX11" i="22"/>
  <c r="AJ22" i="22"/>
  <c r="X22" i="22" s="1"/>
  <c r="D4524" i="19"/>
  <c r="H149" i="4" s="1"/>
  <c r="K4521" i="19"/>
  <c r="M4521" i="19" s="1"/>
  <c r="M4523" i="19" s="1"/>
  <c r="D4520" i="19" s="1"/>
  <c r="H792" i="4" s="1"/>
  <c r="BG33" i="20"/>
  <c r="BJ35" i="20" s="1"/>
  <c r="N3245" i="19"/>
  <c r="D3242" i="19" s="1"/>
  <c r="H541" i="4" s="1"/>
  <c r="N3247" i="19"/>
  <c r="K3249" i="19" s="1"/>
  <c r="K3251" i="19" s="1"/>
  <c r="D3246" i="19" s="1"/>
  <c r="H288" i="4" s="1"/>
  <c r="BH81" i="20"/>
  <c r="AJ20" i="22"/>
  <c r="X20" i="22" s="1"/>
  <c r="BH107" i="20"/>
  <c r="O4975" i="19"/>
  <c r="O4978" i="19" s="1"/>
  <c r="D4973" i="19" s="1"/>
  <c r="H556" i="4" s="1"/>
  <c r="AJ16" i="22"/>
  <c r="X16" i="22" s="1"/>
  <c r="AS7" i="22"/>
  <c r="AP7" i="22"/>
  <c r="BF98" i="22"/>
  <c r="AJ11" i="22"/>
  <c r="X11" i="22" s="1"/>
  <c r="BI89" i="20"/>
  <c r="O3648" i="19"/>
  <c r="O3654" i="19" s="1"/>
  <c r="M3668" i="19"/>
  <c r="N3668" i="19" s="1"/>
  <c r="N3674" i="19" s="1"/>
  <c r="D3655" i="19" s="1"/>
  <c r="H518" i="4" s="1"/>
  <c r="BI120" i="20"/>
  <c r="M1952" i="19"/>
  <c r="M1954" i="19" s="1"/>
  <c r="D1950" i="19" s="1"/>
  <c r="H759" i="4" s="1"/>
  <c r="O1957" i="19"/>
  <c r="M1957" i="19" s="1"/>
  <c r="M1959" i="19" s="1"/>
  <c r="BH106" i="20"/>
  <c r="AJ21" i="22"/>
  <c r="X21" i="22" s="1"/>
  <c r="AS9" i="22"/>
  <c r="AP9" i="22"/>
  <c r="AX9" i="22"/>
  <c r="AY9" i="22" s="1"/>
  <c r="AZ9" i="22" s="1"/>
  <c r="E349" i="19"/>
  <c r="E351" i="19" s="1"/>
  <c r="D346" i="19" s="1"/>
  <c r="H693" i="4" s="1"/>
  <c r="E354" i="19"/>
  <c r="M355" i="19" s="1"/>
  <c r="M357" i="19" s="1"/>
  <c r="D352" i="19" s="1"/>
  <c r="H683" i="4" s="1"/>
  <c r="BG98" i="22"/>
  <c r="E1144" i="19" s="1"/>
  <c r="E1146" i="19" s="1"/>
  <c r="M2607" i="19"/>
  <c r="N2607" i="19" s="1"/>
  <c r="N2613" i="19" s="1"/>
  <c r="D2594" i="19" s="1"/>
  <c r="H517" i="4" s="1"/>
  <c r="O2587" i="19"/>
  <c r="O2593" i="19" s="1"/>
  <c r="D11" i="21"/>
  <c r="O673" i="19"/>
  <c r="O665" i="19"/>
  <c r="O666" i="19" s="1"/>
  <c r="D664" i="19" s="1"/>
  <c r="BG89" i="20"/>
  <c r="O2173" i="19" s="1"/>
  <c r="BH43" i="20"/>
  <c r="N2153" i="19"/>
  <c r="BG120" i="20"/>
  <c r="O3278" i="19" s="1"/>
  <c r="O4206" i="19"/>
  <c r="M4206" i="19" s="1"/>
  <c r="M4208" i="19" s="1"/>
  <c r="D4204" i="19" s="1"/>
  <c r="H735" i="4" s="1"/>
  <c r="M4201" i="19"/>
  <c r="M4203" i="19" s="1"/>
  <c r="D4199" i="19" s="1"/>
  <c r="H778" i="4" s="1"/>
  <c r="BH117" i="20"/>
  <c r="N2138" i="19"/>
  <c r="N2130" i="19"/>
  <c r="D2127" i="19" s="1"/>
  <c r="H604" i="4" s="1"/>
  <c r="N2132" i="19"/>
  <c r="K2134" i="19" s="1"/>
  <c r="K2136" i="19" s="1"/>
  <c r="D2131" i="19" s="1"/>
  <c r="H271" i="4" s="1"/>
  <c r="D532" i="19"/>
  <c r="H92" i="4" s="1"/>
  <c r="O540" i="19"/>
  <c r="H24" i="21"/>
  <c r="O4366" i="19"/>
  <c r="M4366" i="19" s="1"/>
  <c r="M4367" i="19" s="1"/>
  <c r="D4364" i="19" s="1"/>
  <c r="H738" i="4" s="1"/>
  <c r="M4362" i="19"/>
  <c r="AJ9" i="22"/>
  <c r="X9" i="22" s="1"/>
  <c r="BH68" i="20"/>
  <c r="N754" i="19"/>
  <c r="D751" i="19" s="1"/>
  <c r="H534" i="4" s="1"/>
  <c r="N756" i="19"/>
  <c r="K758" i="19" s="1"/>
  <c r="K760" i="19" s="1"/>
  <c r="D755" i="19" s="1"/>
  <c r="H281" i="4" s="1"/>
  <c r="BI192" i="20"/>
  <c r="BG192" i="20"/>
  <c r="O4481" i="19" s="1"/>
  <c r="H42" i="21"/>
  <c r="L210" i="4" l="1"/>
  <c r="K2213" i="19"/>
  <c r="M2213" i="19" s="1"/>
  <c r="M2215" i="19" s="1"/>
  <c r="D2212" i="19" s="1"/>
  <c r="H790" i="4" s="1"/>
  <c r="L308" i="4"/>
  <c r="L312" i="4"/>
  <c r="L382" i="4"/>
  <c r="L372" i="4"/>
  <c r="CQ202" i="22"/>
  <c r="CQ246" i="22" s="1"/>
  <c r="N3442" i="19" s="1"/>
  <c r="N3444" i="19" s="1"/>
  <c r="D3440" i="19" s="1"/>
  <c r="H434" i="4" s="1"/>
  <c r="CP202" i="22"/>
  <c r="CP246" i="22" s="1"/>
  <c r="N3437" i="19" s="1"/>
  <c r="N3439" i="19" s="1"/>
  <c r="D3435" i="19" s="1"/>
  <c r="H414" i="4" s="1"/>
  <c r="CG202" i="22"/>
  <c r="CH202" i="22" s="1"/>
  <c r="AC356" i="22"/>
  <c r="O4607" i="19" s="1"/>
  <c r="O4610" i="19" s="1"/>
  <c r="D4605" i="19" s="1"/>
  <c r="H346" i="4" s="1"/>
  <c r="L795" i="4"/>
  <c r="L243" i="4"/>
  <c r="L151" i="4"/>
  <c r="L135" i="4"/>
  <c r="L552" i="4"/>
  <c r="L232" i="4"/>
  <c r="L646" i="4"/>
  <c r="L780" i="4"/>
  <c r="L770" i="4"/>
  <c r="L34" i="4"/>
  <c r="L806" i="4"/>
  <c r="L231" i="4"/>
  <c r="L45" i="4"/>
  <c r="L25" i="4"/>
  <c r="L499" i="4"/>
  <c r="L307" i="4"/>
  <c r="L802" i="4"/>
  <c r="L644" i="4"/>
  <c r="L138" i="4"/>
  <c r="L554" i="4"/>
  <c r="L62" i="4"/>
  <c r="L42" i="4"/>
  <c r="L459" i="4"/>
  <c r="L799" i="4"/>
  <c r="L41" i="4"/>
  <c r="BH33" i="20"/>
  <c r="CG311" i="22"/>
  <c r="CH311" i="22" s="1"/>
  <c r="AY200" i="22"/>
  <c r="AZ200" i="22" s="1"/>
  <c r="N401" i="19"/>
  <c r="N405" i="19" s="1"/>
  <c r="D399" i="19" s="1"/>
  <c r="H248" i="4" s="1"/>
  <c r="CG333" i="22"/>
  <c r="CH333" i="22" s="1"/>
  <c r="AF356" i="22"/>
  <c r="O4635" i="19" s="1"/>
  <c r="O4638" i="19" s="1"/>
  <c r="D4633" i="19" s="1"/>
  <c r="H343" i="4" s="1"/>
  <c r="CG284" i="22"/>
  <c r="CH284" i="22" s="1"/>
  <c r="E893" i="19"/>
  <c r="E895" i="19" s="1"/>
  <c r="E897" i="19" s="1"/>
  <c r="CP81" i="22"/>
  <c r="CQ283" i="22"/>
  <c r="CP283" i="22"/>
  <c r="CP308" i="22"/>
  <c r="CQ308" i="22"/>
  <c r="CQ330" i="22"/>
  <c r="CP330" i="22"/>
  <c r="CQ333" i="22"/>
  <c r="CP333" i="22"/>
  <c r="CQ331" i="22"/>
  <c r="CP331" i="22"/>
  <c r="AD356" i="22"/>
  <c r="O4613" i="19" s="1"/>
  <c r="O4616" i="19" s="1"/>
  <c r="D4611" i="19" s="1"/>
  <c r="H366" i="4" s="1"/>
  <c r="CG283" i="22"/>
  <c r="CH283" i="22" s="1"/>
  <c r="CQ355" i="22"/>
  <c r="CP355" i="22"/>
  <c r="CP309" i="22"/>
  <c r="CQ309" i="22"/>
  <c r="CQ301" i="22"/>
  <c r="CP301" i="22"/>
  <c r="CG308" i="22"/>
  <c r="CH308" i="22" s="1"/>
  <c r="CG331" i="22"/>
  <c r="CH331" i="22" s="1"/>
  <c r="CG330" i="22"/>
  <c r="CH330" i="22" s="1"/>
  <c r="CG355" i="22"/>
  <c r="CH355" i="22" s="1"/>
  <c r="CG309" i="22"/>
  <c r="CH309" i="22" s="1"/>
  <c r="CG301" i="22"/>
  <c r="CH301" i="22" s="1"/>
  <c r="CQ284" i="22"/>
  <c r="CP284" i="22"/>
  <c r="CG81" i="22"/>
  <c r="CH81" i="22" s="1"/>
  <c r="O1230" i="19"/>
  <c r="O1232" i="19" s="1"/>
  <c r="D1228" i="19" s="1"/>
  <c r="H549" i="4" s="1"/>
  <c r="L93" i="4"/>
  <c r="L405" i="4"/>
  <c r="D4881" i="19"/>
  <c r="H194" i="4" s="1"/>
  <c r="AJ41" i="22"/>
  <c r="X41" i="22" s="1"/>
  <c r="AB96" i="22"/>
  <c r="AD96" i="22"/>
  <c r="O920" i="19" s="1"/>
  <c r="O923" i="19" s="1"/>
  <c r="D918" i="19" s="1"/>
  <c r="H362" i="4" s="1"/>
  <c r="CG40" i="22"/>
  <c r="CH40" i="22" s="1"/>
  <c r="CG86" i="22"/>
  <c r="CH86" i="22" s="1"/>
  <c r="AJ74" i="22"/>
  <c r="X74" i="22" s="1"/>
  <c r="AJ57" i="22"/>
  <c r="X57" i="22" s="1"/>
  <c r="AJ54" i="22"/>
  <c r="X54" i="22" s="1"/>
  <c r="CG50" i="22"/>
  <c r="CH50" i="22" s="1"/>
  <c r="AE96" i="22"/>
  <c r="O926" i="19" s="1"/>
  <c r="O929" i="19" s="1"/>
  <c r="D924" i="19" s="1"/>
  <c r="H385" i="4" s="1"/>
  <c r="AJ47" i="22"/>
  <c r="X47" i="22" s="1"/>
  <c r="AJ43" i="22"/>
  <c r="X43" i="22" s="1"/>
  <c r="AJ85" i="22"/>
  <c r="X85" i="22" s="1"/>
  <c r="AJ48" i="22"/>
  <c r="X48" i="22" s="1"/>
  <c r="AJ40" i="22"/>
  <c r="X40" i="22" s="1"/>
  <c r="AC96" i="22"/>
  <c r="O914" i="19" s="1"/>
  <c r="O917" i="19" s="1"/>
  <c r="D912" i="19" s="1"/>
  <c r="H344" i="4" s="1"/>
  <c r="CG34" i="22"/>
  <c r="CH34" i="22" s="1"/>
  <c r="AJ86" i="22"/>
  <c r="X86" i="22" s="1"/>
  <c r="AJ29" i="22"/>
  <c r="X29" i="22" s="1"/>
  <c r="CG38" i="22"/>
  <c r="CH38" i="22" s="1"/>
  <c r="AJ71" i="22"/>
  <c r="X71" i="22" s="1"/>
  <c r="CG66" i="22"/>
  <c r="CH66" i="22" s="1"/>
  <c r="CG84" i="22"/>
  <c r="CH84" i="22" s="1"/>
  <c r="CG54" i="22"/>
  <c r="CH54" i="22" s="1"/>
  <c r="AJ66" i="22"/>
  <c r="X66" i="22" s="1"/>
  <c r="AJ33" i="22"/>
  <c r="X33" i="22" s="1"/>
  <c r="CQ37" i="22"/>
  <c r="CP37" i="22"/>
  <c r="CG36" i="22"/>
  <c r="CH36" i="22" s="1"/>
  <c r="CG51" i="22"/>
  <c r="CH51" i="22" s="1"/>
  <c r="CP43" i="22"/>
  <c r="CQ43" i="22"/>
  <c r="CQ33" i="22"/>
  <c r="CP33" i="22"/>
  <c r="CG29" i="22"/>
  <c r="CH29" i="22" s="1"/>
  <c r="CQ29" i="22"/>
  <c r="CP29" i="22"/>
  <c r="AX57" i="22"/>
  <c r="AY57" i="22" s="1"/>
  <c r="AZ57" i="22" s="1"/>
  <c r="AP57" i="22"/>
  <c r="AS57" i="22"/>
  <c r="AX54" i="22"/>
  <c r="AY54" i="22" s="1"/>
  <c r="AZ54" i="22" s="1"/>
  <c r="AP54" i="22"/>
  <c r="AS54" i="22"/>
  <c r="CG48" i="22"/>
  <c r="CH48" i="22" s="1"/>
  <c r="AX40" i="22"/>
  <c r="AY40" i="22" s="1"/>
  <c r="AZ40" i="22" s="1"/>
  <c r="AS40" i="22"/>
  <c r="AP40" i="22"/>
  <c r="CG82" i="22"/>
  <c r="CH82" i="22" s="1"/>
  <c r="AS48" i="22"/>
  <c r="AX48" i="22"/>
  <c r="AY48" i="22" s="1"/>
  <c r="AZ48" i="22" s="1"/>
  <c r="AP48" i="22"/>
  <c r="AS71" i="22"/>
  <c r="AX71" i="22"/>
  <c r="AY71" i="22" s="1"/>
  <c r="AZ71" i="22" s="1"/>
  <c r="AP71" i="22"/>
  <c r="AS44" i="22"/>
  <c r="AX44" i="22"/>
  <c r="AY44" i="22" s="1"/>
  <c r="AZ44" i="22" s="1"/>
  <c r="AP44" i="22"/>
  <c r="AJ50" i="22"/>
  <c r="X50" i="22" s="1"/>
  <c r="AX51" i="22"/>
  <c r="AY51" i="22" s="1"/>
  <c r="AZ51" i="22" s="1"/>
  <c r="AS51" i="22"/>
  <c r="AP51" i="22"/>
  <c r="CQ74" i="22"/>
  <c r="CP74" i="22"/>
  <c r="CG43" i="22"/>
  <c r="CH43" i="22" s="1"/>
  <c r="AS30" i="22"/>
  <c r="AX30" i="22"/>
  <c r="AY30" i="22" s="1"/>
  <c r="AZ30" i="22" s="1"/>
  <c r="AP30" i="22"/>
  <c r="AX37" i="22"/>
  <c r="AY37" i="22" s="1"/>
  <c r="AZ37" i="22" s="1"/>
  <c r="AS37" i="22"/>
  <c r="AP37" i="22"/>
  <c r="AP34" i="22"/>
  <c r="AX34" i="22"/>
  <c r="AY34" i="22" s="1"/>
  <c r="AZ34" i="22" s="1"/>
  <c r="AS34" i="22"/>
  <c r="CQ66" i="22"/>
  <c r="CP66" i="22"/>
  <c r="AP50" i="22"/>
  <c r="AX50" i="22"/>
  <c r="AY50" i="22" s="1"/>
  <c r="AZ50" i="22" s="1"/>
  <c r="AS50" i="22"/>
  <c r="AS74" i="22"/>
  <c r="AP74" i="22"/>
  <c r="AX74" i="22"/>
  <c r="AY74" i="22" s="1"/>
  <c r="AZ74" i="22" s="1"/>
  <c r="CG37" i="22"/>
  <c r="CH37" i="22" s="1"/>
  <c r="CG71" i="22"/>
  <c r="CH71" i="22" s="1"/>
  <c r="AS33" i="22"/>
  <c r="AX33" i="22"/>
  <c r="AY33" i="22" s="1"/>
  <c r="AZ33" i="22" s="1"/>
  <c r="AP33" i="22"/>
  <c r="AX38" i="22"/>
  <c r="AY38" i="22" s="1"/>
  <c r="AZ38" i="22" s="1"/>
  <c r="AP38" i="22"/>
  <c r="AS38" i="22"/>
  <c r="AX41" i="22"/>
  <c r="AY41" i="22" s="1"/>
  <c r="AZ41" i="22" s="1"/>
  <c r="AP41" i="22"/>
  <c r="AS41" i="22"/>
  <c r="AP86" i="22"/>
  <c r="AX86" i="22"/>
  <c r="AY86" i="22" s="1"/>
  <c r="AZ86" i="22" s="1"/>
  <c r="AS86" i="22"/>
  <c r="AJ51" i="22"/>
  <c r="X51" i="22" s="1"/>
  <c r="AJ44" i="22"/>
  <c r="X44" i="22" s="1"/>
  <c r="CG68" i="22"/>
  <c r="CH68" i="22" s="1"/>
  <c r="CG30" i="22"/>
  <c r="CH30" i="22" s="1"/>
  <c r="AJ30" i="22"/>
  <c r="X30" i="22" s="1"/>
  <c r="CG41" i="22"/>
  <c r="CH41" i="22" s="1"/>
  <c r="CG47" i="22"/>
  <c r="CH47" i="22" s="1"/>
  <c r="AS68" i="22"/>
  <c r="AX68" i="22"/>
  <c r="AY68" i="22" s="1"/>
  <c r="AZ68" i="22" s="1"/>
  <c r="AP68" i="22"/>
  <c r="CQ30" i="22"/>
  <c r="CP30" i="22"/>
  <c r="CG57" i="22"/>
  <c r="CH57" i="22" s="1"/>
  <c r="AX82" i="22"/>
  <c r="AY82" i="22" s="1"/>
  <c r="AZ82" i="22" s="1"/>
  <c r="AP82" i="22"/>
  <c r="AS82" i="22"/>
  <c r="AX85" i="22"/>
  <c r="AY85" i="22" s="1"/>
  <c r="AZ85" i="22" s="1"/>
  <c r="AS85" i="22"/>
  <c r="AP85" i="22"/>
  <c r="CP68" i="22"/>
  <c r="CQ68" i="22"/>
  <c r="AJ37" i="22"/>
  <c r="X37" i="22" s="1"/>
  <c r="AS47" i="22"/>
  <c r="AP47" i="22"/>
  <c r="AX47" i="22"/>
  <c r="AY47" i="22" s="1"/>
  <c r="AZ47" i="22" s="1"/>
  <c r="CP54" i="22"/>
  <c r="CQ54" i="22"/>
  <c r="CP40" i="22"/>
  <c r="CQ40" i="22"/>
  <c r="CQ38" i="22"/>
  <c r="CP38" i="22"/>
  <c r="AJ34" i="22"/>
  <c r="X34" i="22" s="1"/>
  <c r="CG74" i="22"/>
  <c r="CH74" i="22" s="1"/>
  <c r="AX43" i="22"/>
  <c r="AY43" i="22" s="1"/>
  <c r="AZ43" i="22" s="1"/>
  <c r="AP43" i="22"/>
  <c r="AS43" i="22"/>
  <c r="AJ38" i="22"/>
  <c r="X38" i="22" s="1"/>
  <c r="CG33" i="22"/>
  <c r="CH33" i="22" s="1"/>
  <c r="AP84" i="22"/>
  <c r="AX84" i="22"/>
  <c r="AY84" i="22" s="1"/>
  <c r="AZ84" i="22" s="1"/>
  <c r="AS84" i="22"/>
  <c r="AJ84" i="22"/>
  <c r="X84" i="22" s="1"/>
  <c r="CP84" i="22"/>
  <c r="CQ84" i="22"/>
  <c r="AJ82" i="22"/>
  <c r="X82" i="22" s="1"/>
  <c r="CG44" i="22"/>
  <c r="CH44" i="22" s="1"/>
  <c r="CQ57" i="22"/>
  <c r="CP57" i="22"/>
  <c r="AX36" i="22"/>
  <c r="AY36" i="22" s="1"/>
  <c r="AZ36" i="22" s="1"/>
  <c r="AP36" i="22"/>
  <c r="AS36" i="22"/>
  <c r="CQ82" i="22"/>
  <c r="CP82" i="22"/>
  <c r="AX29" i="22"/>
  <c r="AY29" i="22" s="1"/>
  <c r="AZ29" i="22" s="1"/>
  <c r="AP29" i="22"/>
  <c r="AS29" i="22"/>
  <c r="AJ36" i="22"/>
  <c r="X36" i="22" s="1"/>
  <c r="AS66" i="22"/>
  <c r="AX66" i="22"/>
  <c r="AY66" i="22" s="1"/>
  <c r="AZ66" i="22" s="1"/>
  <c r="AP66" i="22"/>
  <c r="AJ68" i="22"/>
  <c r="X68" i="22" s="1"/>
  <c r="N2916" i="19"/>
  <c r="N2919" i="19" s="1"/>
  <c r="D2914" i="19" s="1"/>
  <c r="H252" i="4" s="1"/>
  <c r="N3455" i="19"/>
  <c r="N3459" i="19" s="1"/>
  <c r="N3469" i="19" s="1"/>
  <c r="N3473" i="19" s="1"/>
  <c r="K3475" i="19" s="1"/>
  <c r="K3477" i="19" s="1"/>
  <c r="D3472" i="19" s="1"/>
  <c r="H289" i="4" s="1"/>
  <c r="CG298" i="22"/>
  <c r="CH298" i="22" s="1"/>
  <c r="CD356" i="22"/>
  <c r="O4658" i="19" s="1"/>
  <c r="O4660" i="19" s="1"/>
  <c r="D4656" i="19" s="1"/>
  <c r="H384" i="4" s="1"/>
  <c r="CE356" i="22"/>
  <c r="O4625" i="19" s="1"/>
  <c r="O4627" i="19" s="1"/>
  <c r="D4623" i="19" s="1"/>
  <c r="H335" i="4" s="1"/>
  <c r="AG356" i="22"/>
  <c r="O4641" i="19" s="1"/>
  <c r="O4644" i="19" s="1"/>
  <c r="D4639" i="19" s="1"/>
  <c r="H360" i="4" s="1"/>
  <c r="AZ355" i="22"/>
  <c r="AJ355" i="22"/>
  <c r="X355" i="22" s="1"/>
  <c r="AZ346" i="22"/>
  <c r="CG312" i="22"/>
  <c r="CH312" i="22" s="1"/>
  <c r="CG293" i="22"/>
  <c r="CH293" i="22" s="1"/>
  <c r="AJ350" i="22"/>
  <c r="X350" i="22" s="1"/>
  <c r="AZ350" i="22"/>
  <c r="AZ337" i="22"/>
  <c r="AJ345" i="22"/>
  <c r="X345" i="22" s="1"/>
  <c r="AZ333" i="22"/>
  <c r="AJ333" i="22"/>
  <c r="X333" i="22" s="1"/>
  <c r="AH356" i="22"/>
  <c r="O4647" i="19" s="1"/>
  <c r="O4650" i="19" s="1"/>
  <c r="D4645" i="19" s="1"/>
  <c r="H391" i="4" s="1"/>
  <c r="AZ293" i="22"/>
  <c r="AJ293" i="22"/>
  <c r="X293" i="22" s="1"/>
  <c r="AZ283" i="22"/>
  <c r="AJ283" i="22"/>
  <c r="X283" i="22" s="1"/>
  <c r="AZ264" i="22"/>
  <c r="AJ264" i="22"/>
  <c r="X264" i="22" s="1"/>
  <c r="AZ270" i="22"/>
  <c r="AJ270" i="22"/>
  <c r="X270" i="22" s="1"/>
  <c r="AZ303" i="22"/>
  <c r="AJ303" i="22"/>
  <c r="X303" i="22" s="1"/>
  <c r="AZ301" i="22"/>
  <c r="AJ301" i="22"/>
  <c r="X301" i="22" s="1"/>
  <c r="AZ289" i="22"/>
  <c r="AJ289" i="22"/>
  <c r="X289" i="22" s="1"/>
  <c r="AZ284" i="22"/>
  <c r="AJ284" i="22"/>
  <c r="X284" i="22" s="1"/>
  <c r="CP312" i="22"/>
  <c r="CQ312" i="22"/>
  <c r="CP298" i="22"/>
  <c r="CQ298" i="22"/>
  <c r="AZ312" i="22"/>
  <c r="AJ312" i="22"/>
  <c r="X312" i="22" s="1"/>
  <c r="AZ277" i="22"/>
  <c r="AJ277" i="22"/>
  <c r="X277" i="22" s="1"/>
  <c r="AZ281" i="22"/>
  <c r="AJ281" i="22"/>
  <c r="X281" i="22" s="1"/>
  <c r="AZ308" i="22"/>
  <c r="AJ308" i="22"/>
  <c r="X308" i="22" s="1"/>
  <c r="AZ309" i="22"/>
  <c r="AJ309" i="22"/>
  <c r="X309" i="22" s="1"/>
  <c r="AZ306" i="22"/>
  <c r="AJ306" i="22"/>
  <c r="X306" i="22" s="1"/>
  <c r="AZ267" i="22"/>
  <c r="AJ267" i="22"/>
  <c r="X267" i="22" s="1"/>
  <c r="AZ287" i="22"/>
  <c r="AJ287" i="22"/>
  <c r="X287" i="22" s="1"/>
  <c r="AZ285" i="22"/>
  <c r="AJ285" i="22"/>
  <c r="X285" i="22" s="1"/>
  <c r="AZ266" i="22"/>
  <c r="AJ266" i="22"/>
  <c r="X266" i="22" s="1"/>
  <c r="AZ291" i="22"/>
  <c r="AJ291" i="22"/>
  <c r="X291" i="22" s="1"/>
  <c r="AZ271" i="22"/>
  <c r="AJ271" i="22"/>
  <c r="X271" i="22" s="1"/>
  <c r="AZ298" i="22"/>
  <c r="AJ298" i="22"/>
  <c r="X298" i="22" s="1"/>
  <c r="CQ293" i="22"/>
  <c r="CP293" i="22"/>
  <c r="CK219" i="22"/>
  <c r="CL219" i="22" s="1"/>
  <c r="CK244" i="22"/>
  <c r="CL244" i="22" s="1"/>
  <c r="CK238" i="22"/>
  <c r="CL238" i="22" s="1"/>
  <c r="CK245" i="22"/>
  <c r="CL245" i="22" s="1"/>
  <c r="CK239" i="22"/>
  <c r="CL239" i="22" s="1"/>
  <c r="CK240" i="22"/>
  <c r="CL240" i="22" s="1"/>
  <c r="CK241" i="22"/>
  <c r="CL241" i="22" s="1"/>
  <c r="CK235" i="22"/>
  <c r="CL235" i="22" s="1"/>
  <c r="CK242" i="22"/>
  <c r="CL242" i="22" s="1"/>
  <c r="CK230" i="22"/>
  <c r="CL230" i="22" s="1"/>
  <c r="CK231" i="22"/>
  <c r="CL231" i="22" s="1"/>
  <c r="CK232" i="22"/>
  <c r="CL232" i="22" s="1"/>
  <c r="CK226" i="22"/>
  <c r="CL226" i="22" s="1"/>
  <c r="CK237" i="22"/>
  <c r="CL237" i="22" s="1"/>
  <c r="CK243" i="22"/>
  <c r="CL243" i="22" s="1"/>
  <c r="CK234" i="22"/>
  <c r="CL234" i="22" s="1"/>
  <c r="CK233" i="22"/>
  <c r="CL233" i="22" s="1"/>
  <c r="CK236" i="22"/>
  <c r="CL236" i="22" s="1"/>
  <c r="CK224" i="22"/>
  <c r="CL224" i="22" s="1"/>
  <c r="CK227" i="22"/>
  <c r="CL227" i="22" s="1"/>
  <c r="CK223" i="22"/>
  <c r="CL223" i="22" s="1"/>
  <c r="CK221" i="22"/>
  <c r="CL221" i="22" s="1"/>
  <c r="CK229" i="22"/>
  <c r="CL229" i="22" s="1"/>
  <c r="CK222" i="22"/>
  <c r="CL222" i="22" s="1"/>
  <c r="CK228" i="22"/>
  <c r="CL228" i="22" s="1"/>
  <c r="CK225" i="22"/>
  <c r="CL225" i="22" s="1"/>
  <c r="CK216" i="22"/>
  <c r="CL216" i="22" s="1"/>
  <c r="CK217" i="22"/>
  <c r="CL217" i="22" s="1"/>
  <c r="CK213" i="22"/>
  <c r="CL213" i="22" s="1"/>
  <c r="CK214" i="22"/>
  <c r="CL214" i="22" s="1"/>
  <c r="CK215" i="22"/>
  <c r="CL215" i="22" s="1"/>
  <c r="CK209" i="22"/>
  <c r="CL209" i="22" s="1"/>
  <c r="CK211" i="22"/>
  <c r="CL211" i="22" s="1"/>
  <c r="CK205" i="22"/>
  <c r="CL205" i="22" s="1"/>
  <c r="CK207" i="22"/>
  <c r="CL207" i="22" s="1"/>
  <c r="CG85" i="22"/>
  <c r="CH85" i="22" s="1"/>
  <c r="CP47" i="22"/>
  <c r="CQ47" i="22"/>
  <c r="CP41" i="22"/>
  <c r="CQ41" i="22"/>
  <c r="CQ44" i="22"/>
  <c r="CP44" i="22"/>
  <c r="CQ86" i="22"/>
  <c r="CP86" i="22"/>
  <c r="CQ36" i="22"/>
  <c r="CP36" i="22"/>
  <c r="CQ51" i="22"/>
  <c r="CP51" i="22"/>
  <c r="CQ85" i="22"/>
  <c r="CP85" i="22"/>
  <c r="CP50" i="22"/>
  <c r="CQ50" i="22"/>
  <c r="CQ48" i="22"/>
  <c r="CP48" i="22"/>
  <c r="CQ71" i="22"/>
  <c r="CP71" i="22"/>
  <c r="CQ34" i="22"/>
  <c r="CP34" i="22"/>
  <c r="CK185" i="22"/>
  <c r="CK168" i="22" s="1"/>
  <c r="CL168" i="22" s="1"/>
  <c r="O2345" i="19"/>
  <c r="O2347" i="19" s="1"/>
  <c r="D2343" i="19" s="1"/>
  <c r="H322" i="4" s="1"/>
  <c r="AP109" i="22"/>
  <c r="AP183" i="22" s="1"/>
  <c r="O2465" i="19" s="1"/>
  <c r="AJ109" i="22"/>
  <c r="X109" i="22" s="1"/>
  <c r="AX109" i="22"/>
  <c r="AY109" i="22" s="1"/>
  <c r="AS109" i="22"/>
  <c r="AS183" i="22" s="1"/>
  <c r="O2466" i="19" s="1"/>
  <c r="CG320" i="22"/>
  <c r="CH320" i="22" s="1"/>
  <c r="CQ320" i="22"/>
  <c r="CP320" i="22"/>
  <c r="AP320" i="22"/>
  <c r="AS320" i="22"/>
  <c r="AX320" i="22"/>
  <c r="AY320" i="22" s="1"/>
  <c r="AZ334" i="22"/>
  <c r="AJ334" i="22"/>
  <c r="X334" i="22" s="1"/>
  <c r="CF356" i="22"/>
  <c r="O4630" i="19" s="1"/>
  <c r="O4632" i="19" s="1"/>
  <c r="D4628" i="19" s="1"/>
  <c r="H374" i="4" s="1"/>
  <c r="AZ307" i="22"/>
  <c r="AJ307" i="22"/>
  <c r="X307" i="22" s="1"/>
  <c r="AZ305" i="22"/>
  <c r="AJ305" i="22"/>
  <c r="X305" i="22" s="1"/>
  <c r="AZ304" i="22"/>
  <c r="AJ304" i="22"/>
  <c r="X304" i="22" s="1"/>
  <c r="CG300" i="22"/>
  <c r="CH300" i="22" s="1"/>
  <c r="CQ300" i="22"/>
  <c r="CP300" i="22"/>
  <c r="CM356" i="22"/>
  <c r="O4748" i="19" s="1"/>
  <c r="K4749" i="19" s="1"/>
  <c r="K4750" i="19" s="1"/>
  <c r="D4746" i="19" s="1"/>
  <c r="H86" i="4" s="1"/>
  <c r="AZ300" i="22"/>
  <c r="AJ300" i="22"/>
  <c r="X300" i="22" s="1"/>
  <c r="CG296" i="22"/>
  <c r="CH296" i="22" s="1"/>
  <c r="CP296" i="22"/>
  <c r="CQ296" i="22"/>
  <c r="AZ296" i="22"/>
  <c r="AJ296" i="22"/>
  <c r="X296" i="22" s="1"/>
  <c r="AZ292" i="22"/>
  <c r="AJ292" i="22"/>
  <c r="X292" i="22" s="1"/>
  <c r="AZ290" i="22"/>
  <c r="AJ290" i="22"/>
  <c r="X290" i="22" s="1"/>
  <c r="AJ332" i="22"/>
  <c r="X332" i="22" s="1"/>
  <c r="AJ286" i="22"/>
  <c r="X286" i="22" s="1"/>
  <c r="AZ278" i="22"/>
  <c r="AJ278" i="22"/>
  <c r="X278" i="22" s="1"/>
  <c r="AD183" i="22"/>
  <c r="O2305" i="19" s="1"/>
  <c r="O2308" i="19" s="1"/>
  <c r="D2303" i="19" s="1"/>
  <c r="H363" i="4" s="1"/>
  <c r="AZ276" i="22"/>
  <c r="AJ276" i="22"/>
  <c r="X276" i="22" s="1"/>
  <c r="AZ272" i="22"/>
  <c r="AJ272" i="22"/>
  <c r="X272" i="22" s="1"/>
  <c r="AZ273" i="22"/>
  <c r="AJ273" i="22"/>
  <c r="X273" i="22" s="1"/>
  <c r="AZ268" i="22"/>
  <c r="AJ268" i="22"/>
  <c r="X268" i="22" s="1"/>
  <c r="CG24" i="22"/>
  <c r="CH24" i="22" s="1"/>
  <c r="K828" i="19"/>
  <c r="M828" i="19" s="1"/>
  <c r="M830" i="19" s="1"/>
  <c r="D827" i="19" s="1"/>
  <c r="H789" i="4" s="1"/>
  <c r="D831" i="19"/>
  <c r="H146" i="4" s="1"/>
  <c r="BJ91" i="20"/>
  <c r="BJ83" i="20" s="1"/>
  <c r="D835" i="19"/>
  <c r="H794" i="4" s="1"/>
  <c r="D879" i="19"/>
  <c r="H142" i="4" s="1"/>
  <c r="K840" i="19"/>
  <c r="M840" i="19" s="1"/>
  <c r="M842" i="19" s="1"/>
  <c r="D839" i="19" s="1"/>
  <c r="AC183" i="22"/>
  <c r="O2299" i="19" s="1"/>
  <c r="O2302" i="19" s="1"/>
  <c r="D2297" i="19" s="1"/>
  <c r="H345" i="4" s="1"/>
  <c r="N4702" i="19"/>
  <c r="N4706" i="19" s="1"/>
  <c r="N4710" i="19" s="1"/>
  <c r="K4712" i="19" s="1"/>
  <c r="K4714" i="19" s="1"/>
  <c r="D4709" i="19" s="1"/>
  <c r="H278" i="4" s="1"/>
  <c r="CQ24" i="22"/>
  <c r="AJ323" i="22"/>
  <c r="X323" i="22" s="1"/>
  <c r="CF183" i="22"/>
  <c r="O2322" i="19" s="1"/>
  <c r="O2324" i="19" s="1"/>
  <c r="D2320" i="19" s="1"/>
  <c r="H371" i="4" s="1"/>
  <c r="CM183" i="22"/>
  <c r="O2440" i="19" s="1"/>
  <c r="K2441" i="19" s="1"/>
  <c r="K2442" i="19" s="1"/>
  <c r="D2438" i="19" s="1"/>
  <c r="H80" i="4" s="1"/>
  <c r="AF96" i="22"/>
  <c r="O942" i="19" s="1"/>
  <c r="O945" i="19" s="1"/>
  <c r="D940" i="19" s="1"/>
  <c r="H337" i="4" s="1"/>
  <c r="AP24" i="22"/>
  <c r="AG96" i="22"/>
  <c r="O948" i="19" s="1"/>
  <c r="O951" i="19" s="1"/>
  <c r="D946" i="19" s="1"/>
  <c r="H354" i="4" s="1"/>
  <c r="AX24" i="22"/>
  <c r="AY24" i="22" s="1"/>
  <c r="AZ24" i="22" s="1"/>
  <c r="AH96" i="22"/>
  <c r="O954" i="19" s="1"/>
  <c r="O957" i="19" s="1"/>
  <c r="D952" i="19" s="1"/>
  <c r="H388" i="4" s="1"/>
  <c r="AJ24" i="22"/>
  <c r="X24" i="22" s="1"/>
  <c r="AS24" i="22"/>
  <c r="E4582" i="19"/>
  <c r="E4586" i="19" s="1"/>
  <c r="E4598" i="19" s="1"/>
  <c r="M4598" i="19" s="1"/>
  <c r="M4600" i="19" s="1"/>
  <c r="D4597" i="19" s="1"/>
  <c r="H689" i="4" s="1"/>
  <c r="C43" i="21"/>
  <c r="CD96" i="22"/>
  <c r="O965" i="19" s="1"/>
  <c r="O967" i="19" s="1"/>
  <c r="D963" i="19" s="1"/>
  <c r="H376" i="4" s="1"/>
  <c r="CC96" i="22"/>
  <c r="CJ96" i="22"/>
  <c r="E4841" i="19"/>
  <c r="E4843" i="19" s="1"/>
  <c r="D4840" i="19" s="1"/>
  <c r="H39" i="4" s="1"/>
  <c r="BF360" i="22"/>
  <c r="CE96" i="22"/>
  <c r="O932" i="19" s="1"/>
  <c r="O934" i="19" s="1"/>
  <c r="D930" i="19" s="1"/>
  <c r="H331" i="4" s="1"/>
  <c r="CM96" i="22"/>
  <c r="O1055" i="19" s="1"/>
  <c r="K1056" i="19" s="1"/>
  <c r="K1057" i="19" s="1"/>
  <c r="D1053" i="19" s="1"/>
  <c r="H76" i="4" s="1"/>
  <c r="CF96" i="22"/>
  <c r="O937" i="19" s="1"/>
  <c r="O939" i="19" s="1"/>
  <c r="D935" i="19" s="1"/>
  <c r="H369" i="4" s="1"/>
  <c r="CG183" i="22"/>
  <c r="D26" i="21" s="1"/>
  <c r="H26" i="21" s="1"/>
  <c r="O3080" i="19"/>
  <c r="M3080" i="19" s="1"/>
  <c r="M3082" i="19" s="1"/>
  <c r="D3078" i="19" s="1"/>
  <c r="H727" i="4" s="1"/>
  <c r="O567" i="19"/>
  <c r="M567" i="19" s="1"/>
  <c r="M569" i="19" s="1"/>
  <c r="D565" i="19" s="1"/>
  <c r="H749" i="4" s="1"/>
  <c r="C36" i="21"/>
  <c r="L407" i="4"/>
  <c r="AP246" i="22"/>
  <c r="O3527" i="19" s="1"/>
  <c r="E3595" i="19"/>
  <c r="E3597" i="19" s="1"/>
  <c r="D3594" i="19" s="1"/>
  <c r="H38" i="4" s="1"/>
  <c r="D3586" i="19"/>
  <c r="H825" i="4" s="1"/>
  <c r="AJ246" i="22"/>
  <c r="O3416" i="19" s="1"/>
  <c r="AS246" i="22"/>
  <c r="O3528" i="19" s="1"/>
  <c r="L829" i="4"/>
  <c r="AX246" i="22"/>
  <c r="L358" i="4"/>
  <c r="L83" i="4"/>
  <c r="BA247" i="22"/>
  <c r="B34" i="21"/>
  <c r="B36" i="21" s="1"/>
  <c r="O3388" i="19"/>
  <c r="O3391" i="19" s="1"/>
  <c r="D3386" i="19" s="1"/>
  <c r="H341" i="4" s="1"/>
  <c r="L325" i="4"/>
  <c r="X203" i="22"/>
  <c r="CK203" i="22"/>
  <c r="CL203" i="22" s="1"/>
  <c r="CK200" i="22"/>
  <c r="CK206" i="22"/>
  <c r="CL206" i="22" s="1"/>
  <c r="CK202" i="22"/>
  <c r="CL202" i="22" s="1"/>
  <c r="CK204" i="22"/>
  <c r="CL204" i="22" s="1"/>
  <c r="CJ356" i="22"/>
  <c r="CC356" i="22"/>
  <c r="AZ331" i="22"/>
  <c r="AZ326" i="22"/>
  <c r="AZ330" i="22"/>
  <c r="AZ317" i="22"/>
  <c r="AZ328" i="22"/>
  <c r="AZ310" i="22"/>
  <c r="AZ288" i="22"/>
  <c r="CQ321" i="22"/>
  <c r="CP321" i="22"/>
  <c r="AS321" i="22"/>
  <c r="AX321" i="22"/>
  <c r="AY321" i="22" s="1"/>
  <c r="AP321" i="22"/>
  <c r="CG321" i="22"/>
  <c r="N4071" i="19"/>
  <c r="O4072" i="19" s="1"/>
  <c r="O4074" i="19" s="1"/>
  <c r="O4077" i="19" s="1"/>
  <c r="L412" i="4"/>
  <c r="L432" i="4"/>
  <c r="L389" i="4"/>
  <c r="E2534" i="19"/>
  <c r="E2536" i="19" s="1"/>
  <c r="D2533" i="19" s="1"/>
  <c r="H37" i="4" s="1"/>
  <c r="L356" i="4"/>
  <c r="D2525" i="19"/>
  <c r="H824" i="4" s="1"/>
  <c r="N2402" i="19"/>
  <c r="K2404" i="19" s="1"/>
  <c r="K2406" i="19" s="1"/>
  <c r="D2401" i="19" s="1"/>
  <c r="H272" i="4" s="1"/>
  <c r="N2408" i="19"/>
  <c r="N2410" i="19" s="1"/>
  <c r="D2407" i="19" s="1"/>
  <c r="H539" i="4" s="1"/>
  <c r="E2276" i="19"/>
  <c r="D2273" i="19" s="1"/>
  <c r="H578" i="4" s="1"/>
  <c r="L828" i="4"/>
  <c r="L642" i="4"/>
  <c r="L605" i="4"/>
  <c r="E2282" i="19"/>
  <c r="M2278" i="19"/>
  <c r="N2278" i="19" s="1"/>
  <c r="N2280" i="19" s="1"/>
  <c r="D2277" i="19" s="1"/>
  <c r="H586" i="4" s="1"/>
  <c r="E2290" i="19"/>
  <c r="M2290" i="19" s="1"/>
  <c r="M2292" i="19" s="1"/>
  <c r="D2289" i="19" s="1"/>
  <c r="H686" i="4" s="1"/>
  <c r="L167" i="4"/>
  <c r="L836" i="4"/>
  <c r="O2327" i="19"/>
  <c r="O2330" i="19" s="1"/>
  <c r="D2325" i="19" s="1"/>
  <c r="H339" i="4" s="1"/>
  <c r="B25" i="21"/>
  <c r="B27" i="21" s="1"/>
  <c r="BA184" i="22"/>
  <c r="E25" i="21" s="1"/>
  <c r="BJ122" i="20"/>
  <c r="BJ107" i="20" s="1"/>
  <c r="L688" i="4"/>
  <c r="L516" i="4"/>
  <c r="L701" i="4"/>
  <c r="BH120" i="20"/>
  <c r="BH192" i="20"/>
  <c r="BH89" i="20"/>
  <c r="L778" i="4"/>
  <c r="L792" i="4"/>
  <c r="L148" i="4"/>
  <c r="L740" i="4"/>
  <c r="L832" i="4"/>
  <c r="L555" i="4"/>
  <c r="L784" i="4"/>
  <c r="L149" i="4"/>
  <c r="L791" i="4"/>
  <c r="L162" i="4"/>
  <c r="L163" i="4"/>
  <c r="L731" i="4"/>
  <c r="L693" i="4"/>
  <c r="L105" i="4"/>
  <c r="L604" i="4"/>
  <c r="L764" i="4"/>
  <c r="L831" i="4"/>
  <c r="L774" i="4"/>
  <c r="L518" i="4"/>
  <c r="L735" i="4"/>
  <c r="L722" i="4"/>
  <c r="L271" i="4"/>
  <c r="L738" i="4"/>
  <c r="L195" i="4"/>
  <c r="L281" i="4"/>
  <c r="L687" i="4"/>
  <c r="L755" i="4"/>
  <c r="L517" i="4"/>
  <c r="L534" i="4"/>
  <c r="L288" i="4"/>
  <c r="L699" i="4"/>
  <c r="L714" i="4"/>
  <c r="L759" i="4"/>
  <c r="L541" i="4"/>
  <c r="L92" i="4"/>
  <c r="L683" i="4"/>
  <c r="L188" i="4"/>
  <c r="L277" i="4"/>
  <c r="L685" i="4"/>
  <c r="L696" i="4"/>
  <c r="L610" i="4"/>
  <c r="L556" i="4"/>
  <c r="D3635" i="19"/>
  <c r="H192" i="4" s="1"/>
  <c r="O3677" i="19"/>
  <c r="O3679" i="19" s="1"/>
  <c r="D3675" i="19" s="1"/>
  <c r="H553" i="4" s="1"/>
  <c r="N2140" i="19"/>
  <c r="D2137" i="19" s="1"/>
  <c r="H538" i="4" s="1"/>
  <c r="N2142" i="19"/>
  <c r="K2144" i="19" s="1"/>
  <c r="K2146" i="19" s="1"/>
  <c r="D2141" i="19" s="1"/>
  <c r="H285" i="4" s="1"/>
  <c r="BJ194" i="20"/>
  <c r="BJ173" i="20" s="1"/>
  <c r="D2574" i="19"/>
  <c r="H190" i="4" s="1"/>
  <c r="O2616" i="19"/>
  <c r="O2618" i="19" s="1"/>
  <c r="D2614" i="19" s="1"/>
  <c r="H551" i="4" s="1"/>
  <c r="M540" i="19"/>
  <c r="M542" i="19" s="1"/>
  <c r="D538" i="19" s="1"/>
  <c r="H748" i="4" s="1"/>
  <c r="O545" i="19"/>
  <c r="M545" i="19" s="1"/>
  <c r="M547" i="19" s="1"/>
  <c r="D543" i="19" s="1"/>
  <c r="H708" i="4" s="1"/>
  <c r="D1944" i="19"/>
  <c r="H99" i="4" s="1"/>
  <c r="D1955" i="19"/>
  <c r="H718" i="4" s="1"/>
  <c r="O3172" i="19"/>
  <c r="M3172" i="19" s="1"/>
  <c r="M3168" i="19"/>
  <c r="H11" i="21"/>
  <c r="H33" i="21"/>
  <c r="N1818" i="19"/>
  <c r="O1819" i="19" s="1"/>
  <c r="O1821" i="19" s="1"/>
  <c r="D1810" i="19"/>
  <c r="H250" i="4" s="1"/>
  <c r="N1017" i="19"/>
  <c r="K1019" i="19" s="1"/>
  <c r="K1021" i="19" s="1"/>
  <c r="D1016" i="19" s="1"/>
  <c r="H268" i="4" s="1"/>
  <c r="N1023" i="19"/>
  <c r="N1015" i="19"/>
  <c r="D1012" i="19" s="1"/>
  <c r="H601" i="4" s="1"/>
  <c r="O787" i="19"/>
  <c r="BI33" i="20"/>
  <c r="AY11" i="22"/>
  <c r="M3048" i="19"/>
  <c r="M3050" i="19" s="1"/>
  <c r="D3046" i="19" s="1"/>
  <c r="H768" i="4" s="1"/>
  <c r="O3053" i="19"/>
  <c r="M3053" i="19" s="1"/>
  <c r="M3055" i="19" s="1"/>
  <c r="D3051" i="19" s="1"/>
  <c r="H726" i="4" s="1"/>
  <c r="O4461" i="19"/>
  <c r="N4467" i="19"/>
  <c r="O2153" i="19"/>
  <c r="N2159" i="19"/>
  <c r="N4448" i="19"/>
  <c r="D4445" i="19" s="1"/>
  <c r="H544" i="4" s="1"/>
  <c r="N4450" i="19"/>
  <c r="K4452" i="19" s="1"/>
  <c r="K4454" i="19" s="1"/>
  <c r="D4449" i="19" s="1"/>
  <c r="H291" i="4" s="1"/>
  <c r="O677" i="19"/>
  <c r="M677" i="19" s="1"/>
  <c r="M673" i="19"/>
  <c r="D1143" i="19"/>
  <c r="H827" i="4" s="1"/>
  <c r="BF100" i="22"/>
  <c r="E1140" i="19"/>
  <c r="E1142" i="19" s="1"/>
  <c r="D1139" i="19" s="1"/>
  <c r="H823" i="4" s="1"/>
  <c r="AZ246" i="22"/>
  <c r="H310" i="4" l="1"/>
  <c r="H312" i="4"/>
  <c r="H308" i="4"/>
  <c r="H314" i="4"/>
  <c r="BJ186" i="20"/>
  <c r="BJ163" i="20"/>
  <c r="BJ176" i="20"/>
  <c r="BJ172" i="20"/>
  <c r="BJ153" i="20"/>
  <c r="BJ181" i="20"/>
  <c r="BJ104" i="20"/>
  <c r="BJ183" i="20"/>
  <c r="BJ182" i="20"/>
  <c r="BJ171" i="20"/>
  <c r="BJ161" i="20"/>
  <c r="BJ180" i="20"/>
  <c r="BJ177" i="20"/>
  <c r="BJ191" i="20"/>
  <c r="BJ105" i="20"/>
  <c r="BJ184" i="20"/>
  <c r="BJ151" i="20"/>
  <c r="BJ179" i="20"/>
  <c r="BJ185" i="20"/>
  <c r="BJ189" i="20"/>
  <c r="BJ170" i="20"/>
  <c r="BJ102" i="20"/>
  <c r="BK102" i="20" s="1"/>
  <c r="BJ106" i="20"/>
  <c r="BJ150" i="20"/>
  <c r="BJ168" i="20"/>
  <c r="BJ187" i="20"/>
  <c r="BJ146" i="20"/>
  <c r="BJ142" i="20"/>
  <c r="BJ141" i="20"/>
  <c r="BJ109" i="20"/>
  <c r="BJ119" i="20"/>
  <c r="BJ175" i="20"/>
  <c r="BJ145" i="20"/>
  <c r="BJ158" i="20"/>
  <c r="BJ162" i="20"/>
  <c r="BJ174" i="20"/>
  <c r="BJ149" i="20"/>
  <c r="BJ100" i="20"/>
  <c r="BJ113" i="20"/>
  <c r="BJ152" i="20"/>
  <c r="BJ169" i="20"/>
  <c r="BJ166" i="20"/>
  <c r="BJ148" i="20"/>
  <c r="BJ143" i="20"/>
  <c r="BJ157" i="20"/>
  <c r="BJ117" i="20"/>
  <c r="BJ103" i="20"/>
  <c r="BJ154" i="20"/>
  <c r="BJ147" i="20"/>
  <c r="BJ159" i="20"/>
  <c r="BJ156" i="20"/>
  <c r="BJ167" i="20"/>
  <c r="BJ165" i="20"/>
  <c r="BJ111" i="20"/>
  <c r="BK111" i="20" s="1"/>
  <c r="BJ116" i="20"/>
  <c r="CG246" i="22"/>
  <c r="D35" i="21" s="1"/>
  <c r="H35" i="21" s="1"/>
  <c r="BJ178" i="20"/>
  <c r="BJ155" i="20"/>
  <c r="BJ144" i="20"/>
  <c r="BJ164" i="20"/>
  <c r="BJ160" i="20"/>
  <c r="BJ115" i="20"/>
  <c r="BK115" i="20" s="1"/>
  <c r="N407" i="19"/>
  <c r="O408" i="19" s="1"/>
  <c r="O410" i="19" s="1"/>
  <c r="D406" i="19" s="1"/>
  <c r="H89" i="4" s="1"/>
  <c r="AY246" i="22"/>
  <c r="O3511" i="19" s="1"/>
  <c r="L107" i="4"/>
  <c r="L387" i="4"/>
  <c r="L519" i="4"/>
  <c r="L390" i="4"/>
  <c r="L113" i="4"/>
  <c r="L346" i="4"/>
  <c r="L805" i="4"/>
  <c r="L147" i="4"/>
  <c r="L314" i="4"/>
  <c r="L719" i="4"/>
  <c r="L826" i="4"/>
  <c r="L310" i="4"/>
  <c r="L414" i="4"/>
  <c r="L580" i="4"/>
  <c r="L144" i="4"/>
  <c r="L790" i="4"/>
  <c r="L728" i="4"/>
  <c r="L830" i="4"/>
  <c r="L779" i="4"/>
  <c r="L112" i="4"/>
  <c r="L386" i="4"/>
  <c r="L736" i="4"/>
  <c r="L769" i="4"/>
  <c r="L170" i="4"/>
  <c r="L796" i="4"/>
  <c r="L434" i="4"/>
  <c r="BK105" i="20"/>
  <c r="BK119" i="20"/>
  <c r="BK117" i="20"/>
  <c r="BJ32" i="20"/>
  <c r="BK32" i="20" s="1"/>
  <c r="BJ19" i="20"/>
  <c r="BJ7" i="20"/>
  <c r="BJ22" i="20"/>
  <c r="BJ31" i="20"/>
  <c r="BJ18" i="20"/>
  <c r="BK18" i="20" s="1"/>
  <c r="BJ6" i="20"/>
  <c r="BJ28" i="20"/>
  <c r="BK28" i="20" s="1"/>
  <c r="BJ15" i="20"/>
  <c r="BJ14" i="20"/>
  <c r="BJ13" i="20"/>
  <c r="BJ24" i="20"/>
  <c r="BJ11" i="20"/>
  <c r="BJ10" i="20"/>
  <c r="BJ21" i="20"/>
  <c r="BJ30" i="20"/>
  <c r="BJ17" i="20"/>
  <c r="BK17" i="20" s="1"/>
  <c r="BJ26" i="20"/>
  <c r="BK26" i="20" s="1"/>
  <c r="BJ23" i="20"/>
  <c r="BJ20" i="20"/>
  <c r="BK20" i="20" s="1"/>
  <c r="BJ29" i="20"/>
  <c r="BJ16" i="20"/>
  <c r="BJ25" i="20"/>
  <c r="BJ12" i="20"/>
  <c r="BJ9" i="20"/>
  <c r="BJ8" i="20"/>
  <c r="BK103" i="20"/>
  <c r="BK106" i="20"/>
  <c r="BK113" i="20"/>
  <c r="BK107" i="20"/>
  <c r="BK104" i="20"/>
  <c r="BK109" i="20"/>
  <c r="BK116" i="20"/>
  <c r="CK172" i="22"/>
  <c r="CL172" i="22" s="1"/>
  <c r="CK167" i="22"/>
  <c r="CL167" i="22" s="1"/>
  <c r="CK176" i="22"/>
  <c r="CL176" i="22" s="1"/>
  <c r="CK181" i="22"/>
  <c r="CL181" i="22" s="1"/>
  <c r="CK144" i="22"/>
  <c r="CL144" i="22" s="1"/>
  <c r="CK147" i="22"/>
  <c r="CL147" i="22" s="1"/>
  <c r="CK139" i="22"/>
  <c r="CL139" i="22" s="1"/>
  <c r="CK140" i="22"/>
  <c r="CL140" i="22" s="1"/>
  <c r="CK119" i="22"/>
  <c r="CL119" i="22" s="1"/>
  <c r="CK133" i="22"/>
  <c r="CL133" i="22" s="1"/>
  <c r="CK163" i="22"/>
  <c r="CL163" i="22" s="1"/>
  <c r="CK117" i="22"/>
  <c r="CL117" i="22" s="1"/>
  <c r="D892" i="19"/>
  <c r="H576" i="4" s="1"/>
  <c r="L549" i="4"/>
  <c r="L823" i="4"/>
  <c r="BA357" i="22"/>
  <c r="L749" i="4"/>
  <c r="L362" i="4"/>
  <c r="AP356" i="22"/>
  <c r="O4773" i="19" s="1"/>
  <c r="C26" i="21"/>
  <c r="C44" i="21"/>
  <c r="C50" i="21" s="1"/>
  <c r="N3461" i="19"/>
  <c r="D3458" i="19" s="1"/>
  <c r="H608" i="4" s="1"/>
  <c r="N3471" i="19"/>
  <c r="D3468" i="19" s="1"/>
  <c r="H542" i="4" s="1"/>
  <c r="L385" i="4"/>
  <c r="C12" i="21"/>
  <c r="L344" i="4"/>
  <c r="CG356" i="22"/>
  <c r="D44" i="21" s="1"/>
  <c r="H44" i="21" s="1"/>
  <c r="N3463" i="19"/>
  <c r="K3465" i="19" s="1"/>
  <c r="K3467" i="19" s="1"/>
  <c r="D3462" i="19" s="1"/>
  <c r="H275" i="4" s="1"/>
  <c r="N2921" i="19"/>
  <c r="O2922" i="19" s="1"/>
  <c r="O2924" i="19" s="1"/>
  <c r="D2920" i="19" s="1"/>
  <c r="H102" i="4" s="1"/>
  <c r="AY356" i="22"/>
  <c r="O4757" i="19" s="1"/>
  <c r="AJ337" i="22"/>
  <c r="X337" i="22" s="1"/>
  <c r="AJ346" i="22"/>
  <c r="X346" i="22" s="1"/>
  <c r="B43" i="21"/>
  <c r="AS356" i="22"/>
  <c r="O4774" i="19" s="1"/>
  <c r="CP356" i="22"/>
  <c r="N4684" i="19" s="1"/>
  <c r="N4686" i="19" s="1"/>
  <c r="D4682" i="19" s="1"/>
  <c r="H416" i="4" s="1"/>
  <c r="CQ356" i="22"/>
  <c r="N4689" i="19" s="1"/>
  <c r="N4691" i="19" s="1"/>
  <c r="D4687" i="19" s="1"/>
  <c r="H436" i="4" s="1"/>
  <c r="CK174" i="22"/>
  <c r="CL174" i="22" s="1"/>
  <c r="CK175" i="22"/>
  <c r="CL175" i="22" s="1"/>
  <c r="CK178" i="22"/>
  <c r="CL178" i="22" s="1"/>
  <c r="CK179" i="22"/>
  <c r="CL179" i="22" s="1"/>
  <c r="CK182" i="22"/>
  <c r="CL182" i="22" s="1"/>
  <c r="CK171" i="22"/>
  <c r="CL171" i="22" s="1"/>
  <c r="CK177" i="22"/>
  <c r="CL177" i="22" s="1"/>
  <c r="CK173" i="22"/>
  <c r="CL173" i="22" s="1"/>
  <c r="CK180" i="22"/>
  <c r="CL180" i="22" s="1"/>
  <c r="AJ183" i="22"/>
  <c r="BC184" i="22" s="1"/>
  <c r="O2459" i="19" s="1"/>
  <c r="CK166" i="22"/>
  <c r="CL166" i="22" s="1"/>
  <c r="CK169" i="22"/>
  <c r="CL169" i="22" s="1"/>
  <c r="CK164" i="22"/>
  <c r="CL164" i="22" s="1"/>
  <c r="CK170" i="22"/>
  <c r="CL170" i="22" s="1"/>
  <c r="CK165" i="22"/>
  <c r="CL165" i="22" s="1"/>
  <c r="CK162" i="22"/>
  <c r="CL162" i="22" s="1"/>
  <c r="CK159" i="22"/>
  <c r="CL159" i="22" s="1"/>
  <c r="CK156" i="22"/>
  <c r="CL156" i="22" s="1"/>
  <c r="CK160" i="22"/>
  <c r="CL160" i="22" s="1"/>
  <c r="CK157" i="22"/>
  <c r="CL157" i="22" s="1"/>
  <c r="CK154" i="22"/>
  <c r="CL154" i="22" s="1"/>
  <c r="CK161" i="22"/>
  <c r="CL161" i="22" s="1"/>
  <c r="CK158" i="22"/>
  <c r="CL158" i="22" s="1"/>
  <c r="CK155" i="22"/>
  <c r="CL155" i="22" s="1"/>
  <c r="CK109" i="22"/>
  <c r="CK152" i="22"/>
  <c r="CL152" i="22" s="1"/>
  <c r="CK149" i="22"/>
  <c r="CL149" i="22" s="1"/>
  <c r="CK145" i="22"/>
  <c r="CL145" i="22" s="1"/>
  <c r="CK150" i="22"/>
  <c r="CL150" i="22" s="1"/>
  <c r="CK146" i="22"/>
  <c r="CL146" i="22" s="1"/>
  <c r="CK151" i="22"/>
  <c r="CL151" i="22" s="1"/>
  <c r="CK148" i="22"/>
  <c r="CL148" i="22" s="1"/>
  <c r="CK143" i="22"/>
  <c r="CL143" i="22" s="1"/>
  <c r="CK138" i="22"/>
  <c r="CL138" i="22" s="1"/>
  <c r="CK135" i="22"/>
  <c r="CL135" i="22" s="1"/>
  <c r="CK130" i="22"/>
  <c r="CL130" i="22" s="1"/>
  <c r="CK127" i="22"/>
  <c r="CL127" i="22" s="1"/>
  <c r="CK136" i="22"/>
  <c r="CL136" i="22" s="1"/>
  <c r="CK141" i="22"/>
  <c r="CL141" i="22" s="1"/>
  <c r="CK131" i="22"/>
  <c r="CL131" i="22" s="1"/>
  <c r="CK128" i="22"/>
  <c r="CL128" i="22" s="1"/>
  <c r="CK137" i="22"/>
  <c r="CL137" i="22" s="1"/>
  <c r="CK129" i="22"/>
  <c r="CL129" i="22" s="1"/>
  <c r="CK125" i="22"/>
  <c r="CL125" i="22" s="1"/>
  <c r="CK134" i="22"/>
  <c r="CL134" i="22" s="1"/>
  <c r="CK132" i="22"/>
  <c r="CL132" i="22" s="1"/>
  <c r="CK123" i="22"/>
  <c r="CL123" i="22" s="1"/>
  <c r="CK121" i="22"/>
  <c r="CL121" i="22" s="1"/>
  <c r="CK116" i="22"/>
  <c r="CL116" i="22" s="1"/>
  <c r="CK113" i="22"/>
  <c r="CL113" i="22" s="1"/>
  <c r="CK110" i="22"/>
  <c r="CL110" i="22" s="1"/>
  <c r="CK122" i="22"/>
  <c r="CL122" i="22" s="1"/>
  <c r="CK118" i="22"/>
  <c r="CL118" i="22" s="1"/>
  <c r="CK114" i="22"/>
  <c r="CL114" i="22" s="1"/>
  <c r="CK111" i="22"/>
  <c r="CL111" i="22" s="1"/>
  <c r="CK124" i="22"/>
  <c r="CL124" i="22" s="1"/>
  <c r="CK120" i="22"/>
  <c r="CL120" i="22" s="1"/>
  <c r="CK126" i="22"/>
  <c r="CL126" i="22" s="1"/>
  <c r="CK115" i="22"/>
  <c r="CL115" i="22" s="1"/>
  <c r="CK112" i="22"/>
  <c r="CL112" i="22" s="1"/>
  <c r="AX183" i="22"/>
  <c r="AZ320" i="22"/>
  <c r="AJ320" i="22"/>
  <c r="X320" i="22" s="1"/>
  <c r="CM248" i="22"/>
  <c r="O3524" i="19" s="1"/>
  <c r="BJ44" i="20"/>
  <c r="BJ64" i="20"/>
  <c r="BJ84" i="20"/>
  <c r="BJ61" i="20"/>
  <c r="BJ81" i="20"/>
  <c r="BJ58" i="20"/>
  <c r="BJ82" i="20"/>
  <c r="BJ59" i="20"/>
  <c r="BJ79" i="20"/>
  <c r="BJ48" i="20"/>
  <c r="BJ68" i="20"/>
  <c r="BJ45" i="20"/>
  <c r="BJ65" i="20"/>
  <c r="BJ85" i="20"/>
  <c r="BJ66" i="20"/>
  <c r="BJ86" i="20"/>
  <c r="BJ63" i="20"/>
  <c r="BJ87" i="20"/>
  <c r="BJ52" i="20"/>
  <c r="BJ76" i="20"/>
  <c r="BJ49" i="20"/>
  <c r="BJ69" i="20"/>
  <c r="BJ50" i="20"/>
  <c r="BJ70" i="20"/>
  <c r="BJ47" i="20"/>
  <c r="BJ71" i="20"/>
  <c r="BJ60" i="20"/>
  <c r="BJ80" i="20"/>
  <c r="BJ53" i="20"/>
  <c r="BJ77" i="20"/>
  <c r="BJ54" i="20"/>
  <c r="BJ74" i="20"/>
  <c r="BJ55" i="20"/>
  <c r="BJ75" i="20"/>
  <c r="L794" i="4"/>
  <c r="L146" i="4"/>
  <c r="L142" i="4"/>
  <c r="L789" i="4"/>
  <c r="BJ56" i="20"/>
  <c r="BJ72" i="20"/>
  <c r="BJ88" i="20"/>
  <c r="BJ57" i="20"/>
  <c r="BJ73" i="20"/>
  <c r="BJ46" i="20"/>
  <c r="BJ62" i="20"/>
  <c r="BJ78" i="20"/>
  <c r="BJ51" i="20"/>
  <c r="BJ67" i="20"/>
  <c r="L388" i="4"/>
  <c r="L76" i="4"/>
  <c r="L369" i="4"/>
  <c r="L376" i="4"/>
  <c r="L354" i="4"/>
  <c r="N4716" i="19"/>
  <c r="N4720" i="19" s="1"/>
  <c r="K4722" i="19" s="1"/>
  <c r="K4724" i="19" s="1"/>
  <c r="D4719" i="19" s="1"/>
  <c r="H292" i="4" s="1"/>
  <c r="C25" i="21"/>
  <c r="N4708" i="19"/>
  <c r="D4705" i="19" s="1"/>
  <c r="H611" i="4" s="1"/>
  <c r="BC185" i="22"/>
  <c r="O2458" i="19" s="1"/>
  <c r="AP96" i="22"/>
  <c r="O1080" i="19" s="1"/>
  <c r="B12" i="21"/>
  <c r="M4586" i="19"/>
  <c r="N4586" i="19" s="1"/>
  <c r="N4588" i="19" s="1"/>
  <c r="D4585" i="19" s="1"/>
  <c r="H589" i="4" s="1"/>
  <c r="E4590" i="19"/>
  <c r="E4594" i="19" s="1"/>
  <c r="M4594" i="19" s="1"/>
  <c r="M4596" i="19" s="1"/>
  <c r="D4593" i="19" s="1"/>
  <c r="H626" i="4" s="1"/>
  <c r="E4584" i="19"/>
  <c r="D4581" i="19" s="1"/>
  <c r="H582" i="4" s="1"/>
  <c r="BA97" i="22"/>
  <c r="AS96" i="22"/>
  <c r="O1081" i="19" s="1"/>
  <c r="B13" i="21"/>
  <c r="CK98" i="22"/>
  <c r="CK10" i="22" s="1"/>
  <c r="CL10" i="22" s="1"/>
  <c r="O960" i="19"/>
  <c r="O962" i="19" s="1"/>
  <c r="D958" i="19" s="1"/>
  <c r="H319" i="4" s="1"/>
  <c r="C13" i="21"/>
  <c r="O572" i="19"/>
  <c r="M572" i="19" s="1"/>
  <c r="M574" i="19" s="1"/>
  <c r="D570" i="19" s="1"/>
  <c r="H709" i="4" s="1"/>
  <c r="CQ96" i="22"/>
  <c r="N996" i="19" s="1"/>
  <c r="N998" i="19" s="1"/>
  <c r="D994" i="19" s="1"/>
  <c r="H430" i="4" s="1"/>
  <c r="CP96" i="22"/>
  <c r="N991" i="19" s="1"/>
  <c r="N993" i="19" s="1"/>
  <c r="D989" i="19" s="1"/>
  <c r="H410" i="4" s="1"/>
  <c r="AX356" i="22"/>
  <c r="CM185" i="22"/>
  <c r="O2462" i="19" s="1"/>
  <c r="O2356" i="19"/>
  <c r="AX96" i="22"/>
  <c r="AJ96" i="22"/>
  <c r="D12" i="21" s="1"/>
  <c r="D4070" i="19"/>
  <c r="H109" i="4" s="1"/>
  <c r="N2412" i="19"/>
  <c r="K2414" i="19" s="1"/>
  <c r="K2416" i="19" s="1"/>
  <c r="D2411" i="19" s="1"/>
  <c r="H286" i="4" s="1"/>
  <c r="BC247" i="22"/>
  <c r="O3521" i="19" s="1"/>
  <c r="L38" i="4"/>
  <c r="D34" i="21"/>
  <c r="L825" i="4"/>
  <c r="CK246" i="22"/>
  <c r="CL200" i="22"/>
  <c r="CL246" i="22" s="1"/>
  <c r="CK249" i="22" s="1"/>
  <c r="F35" i="21" s="1"/>
  <c r="L341" i="4"/>
  <c r="BA248" i="22"/>
  <c r="BA213" i="22" s="1"/>
  <c r="BB213" i="22" s="1"/>
  <c r="CK358" i="22"/>
  <c r="CK311" i="22" s="1"/>
  <c r="CL311" i="22" s="1"/>
  <c r="B44" i="21"/>
  <c r="O4653" i="19"/>
  <c r="O4655" i="19" s="1"/>
  <c r="D4651" i="19" s="1"/>
  <c r="H328" i="4" s="1"/>
  <c r="CH321" i="22"/>
  <c r="L335" i="4"/>
  <c r="AJ330" i="22"/>
  <c r="X330" i="22" s="1"/>
  <c r="AJ326" i="22"/>
  <c r="X326" i="22" s="1"/>
  <c r="AJ331" i="22"/>
  <c r="X331" i="22" s="1"/>
  <c r="L254" i="4"/>
  <c r="AJ328" i="22"/>
  <c r="X328" i="22" s="1"/>
  <c r="AZ321" i="22"/>
  <c r="AJ317" i="22"/>
  <c r="X317" i="22" s="1"/>
  <c r="AJ288" i="22"/>
  <c r="X288" i="22" s="1"/>
  <c r="AJ310" i="22"/>
  <c r="X310" i="22" s="1"/>
  <c r="L824" i="4"/>
  <c r="L37" i="4"/>
  <c r="L272" i="4"/>
  <c r="L578" i="4"/>
  <c r="E2286" i="19"/>
  <c r="M2286" i="19" s="1"/>
  <c r="M2288" i="19" s="1"/>
  <c r="D2285" i="19" s="1"/>
  <c r="H625" i="4" s="1"/>
  <c r="E2284" i="19"/>
  <c r="D2281" i="19" s="1"/>
  <c r="H697" i="4" s="1"/>
  <c r="L539" i="4"/>
  <c r="L686" i="4"/>
  <c r="AY183" i="22"/>
  <c r="O2449" i="19" s="1"/>
  <c r="AZ109" i="22"/>
  <c r="AZ183" i="22" s="1"/>
  <c r="G25" i="21"/>
  <c r="L339" i="4"/>
  <c r="L263" i="4"/>
  <c r="L298" i="4"/>
  <c r="E1148" i="19"/>
  <c r="E1150" i="19" s="1"/>
  <c r="D1147" i="19" s="1"/>
  <c r="H36" i="4" s="1"/>
  <c r="L553" i="4"/>
  <c r="L337" i="4"/>
  <c r="L250" i="4"/>
  <c r="L551" i="4"/>
  <c r="L192" i="4"/>
  <c r="L268" i="4"/>
  <c r="L718" i="4"/>
  <c r="L726" i="4"/>
  <c r="L99" i="4"/>
  <c r="L285" i="4"/>
  <c r="L689" i="4"/>
  <c r="L768" i="4"/>
  <c r="L708" i="4"/>
  <c r="L538" i="4"/>
  <c r="L190" i="4"/>
  <c r="L248" i="4"/>
  <c r="L748" i="4"/>
  <c r="L827" i="4"/>
  <c r="L291" i="4"/>
  <c r="L289" i="4"/>
  <c r="L544" i="4"/>
  <c r="L331" i="4"/>
  <c r="L601" i="4"/>
  <c r="O2155" i="19"/>
  <c r="D2151" i="19" s="1"/>
  <c r="H214" i="4" s="1"/>
  <c r="O2159" i="19"/>
  <c r="K2159" i="19" s="1"/>
  <c r="AY96" i="22"/>
  <c r="O1064" i="19" s="1"/>
  <c r="AZ11" i="22"/>
  <c r="O413" i="19"/>
  <c r="BK25" i="20"/>
  <c r="BK31" i="20"/>
  <c r="BK23" i="20"/>
  <c r="BK11" i="20"/>
  <c r="BK30" i="20"/>
  <c r="BK12" i="20"/>
  <c r="BK13" i="20"/>
  <c r="BK14" i="20"/>
  <c r="BK29" i="20"/>
  <c r="BK15" i="20"/>
  <c r="BK24" i="20"/>
  <c r="BK16" i="20"/>
  <c r="BK19" i="20"/>
  <c r="BK7" i="20"/>
  <c r="BK8" i="20"/>
  <c r="BK21" i="20"/>
  <c r="BK9" i="20"/>
  <c r="BK22" i="20"/>
  <c r="BK10" i="20"/>
  <c r="CG96" i="22"/>
  <c r="M4077" i="19"/>
  <c r="M4079" i="19" s="1"/>
  <c r="D4075" i="19" s="1"/>
  <c r="H775" i="4" s="1"/>
  <c r="O4082" i="19"/>
  <c r="M4082" i="19" s="1"/>
  <c r="M4084" i="19" s="1"/>
  <c r="D4080" i="19" s="1"/>
  <c r="H732" i="4" s="1"/>
  <c r="M897" i="19"/>
  <c r="N897" i="19" s="1"/>
  <c r="N899" i="19" s="1"/>
  <c r="D896" i="19" s="1"/>
  <c r="H584" i="4" s="1"/>
  <c r="E909" i="19"/>
  <c r="M909" i="19" s="1"/>
  <c r="M911" i="19" s="1"/>
  <c r="D908" i="19" s="1"/>
  <c r="H684" i="4" s="1"/>
  <c r="E901" i="19"/>
  <c r="D1817" i="19"/>
  <c r="H96" i="4" s="1"/>
  <c r="O1824" i="19"/>
  <c r="N1027" i="19"/>
  <c r="K1029" i="19" s="1"/>
  <c r="K1031" i="19" s="1"/>
  <c r="D1026" i="19" s="1"/>
  <c r="H282" i="4" s="1"/>
  <c r="N1025" i="19"/>
  <c r="D1022" i="19" s="1"/>
  <c r="H535" i="4" s="1"/>
  <c r="O4463" i="19"/>
  <c r="D4459" i="19" s="1"/>
  <c r="H220" i="4" s="1"/>
  <c r="O4467" i="19"/>
  <c r="K4467" i="19" s="1"/>
  <c r="O3417" i="19" l="1"/>
  <c r="O3419" i="19" s="1"/>
  <c r="D3414" i="19" s="1"/>
  <c r="L360" i="4"/>
  <c r="L343" i="4"/>
  <c r="L391" i="4"/>
  <c r="L252" i="4"/>
  <c r="L322" i="4"/>
  <c r="L366" i="4"/>
  <c r="L374" i="4"/>
  <c r="L371" i="4"/>
  <c r="L80" i="4"/>
  <c r="L345" i="4"/>
  <c r="L363" i="4"/>
  <c r="L39" i="4"/>
  <c r="L384" i="4"/>
  <c r="L586" i="4"/>
  <c r="L278" i="4"/>
  <c r="L194" i="4"/>
  <c r="L86" i="4"/>
  <c r="L727" i="4"/>
  <c r="BK100" i="20"/>
  <c r="BK120" i="20" s="1"/>
  <c r="BJ120" i="20"/>
  <c r="L576" i="4"/>
  <c r="C27" i="21"/>
  <c r="C17" i="21"/>
  <c r="L709" i="4"/>
  <c r="CK183" i="22"/>
  <c r="O2453" i="19" s="1"/>
  <c r="O4664" i="19"/>
  <c r="CM358" i="22"/>
  <c r="O4770" i="19" s="1"/>
  <c r="CK93" i="22"/>
  <c r="CL93" i="22" s="1"/>
  <c r="CK94" i="22"/>
  <c r="CL94" i="22" s="1"/>
  <c r="CK95" i="22"/>
  <c r="CL95" i="22" s="1"/>
  <c r="CK92" i="22"/>
  <c r="CL92" i="22" s="1"/>
  <c r="CK89" i="22"/>
  <c r="CL89" i="22" s="1"/>
  <c r="CK90" i="22"/>
  <c r="CL90" i="22" s="1"/>
  <c r="CK91" i="22"/>
  <c r="CL91" i="22" s="1"/>
  <c r="O2927" i="19"/>
  <c r="M2927" i="19" s="1"/>
  <c r="M2929" i="19" s="1"/>
  <c r="D2925" i="19" s="1"/>
  <c r="H765" i="4" s="1"/>
  <c r="N3258" i="19"/>
  <c r="O3258" i="19" s="1"/>
  <c r="O3260" i="19" s="1"/>
  <c r="D3256" i="19" s="1"/>
  <c r="H217" i="4" s="1"/>
  <c r="BA358" i="22"/>
  <c r="BC183" i="22"/>
  <c r="AZ356" i="22"/>
  <c r="B50" i="21"/>
  <c r="CK355" i="22"/>
  <c r="CL355" i="22" s="1"/>
  <c r="CK353" i="22"/>
  <c r="CL353" i="22" s="1"/>
  <c r="CK354" i="22"/>
  <c r="CL354" i="22" s="1"/>
  <c r="CK351" i="22"/>
  <c r="CL351" i="22" s="1"/>
  <c r="CK352" i="22"/>
  <c r="CL352" i="22" s="1"/>
  <c r="CK348" i="22"/>
  <c r="CL348" i="22" s="1"/>
  <c r="CK344" i="22"/>
  <c r="CL344" i="22" s="1"/>
  <c r="CK341" i="22"/>
  <c r="CL341" i="22" s="1"/>
  <c r="CK349" i="22"/>
  <c r="CL349" i="22" s="1"/>
  <c r="CK345" i="22"/>
  <c r="CL345" i="22" s="1"/>
  <c r="CK350" i="22"/>
  <c r="CL350" i="22" s="1"/>
  <c r="CK346" i="22"/>
  <c r="CL346" i="22" s="1"/>
  <c r="CK342" i="22"/>
  <c r="CL342" i="22" s="1"/>
  <c r="CK340" i="22"/>
  <c r="CL340" i="22" s="1"/>
  <c r="CK339" i="22"/>
  <c r="CL339" i="22" s="1"/>
  <c r="CK337" i="22"/>
  <c r="CL337" i="22" s="1"/>
  <c r="CK347" i="22"/>
  <c r="CL347" i="22" s="1"/>
  <c r="CK343" i="22"/>
  <c r="CL343" i="22" s="1"/>
  <c r="CK338" i="22"/>
  <c r="CL338" i="22" s="1"/>
  <c r="CK335" i="22"/>
  <c r="CL335" i="22" s="1"/>
  <c r="CK336" i="22"/>
  <c r="CL336" i="22" s="1"/>
  <c r="BA231" i="22"/>
  <c r="BB231" i="22" s="1"/>
  <c r="BA240" i="22"/>
  <c r="BB240" i="22" s="1"/>
  <c r="BA223" i="22"/>
  <c r="BB223" i="22" s="1"/>
  <c r="BA225" i="22"/>
  <c r="BB225" i="22" s="1"/>
  <c r="BA234" i="22"/>
  <c r="BB234" i="22" s="1"/>
  <c r="BA233" i="22"/>
  <c r="BB233" i="22" s="1"/>
  <c r="BA243" i="22"/>
  <c r="BB243" i="22" s="1"/>
  <c r="BA235" i="22"/>
  <c r="BB235" i="22" s="1"/>
  <c r="BA245" i="22"/>
  <c r="BB245" i="22" s="1"/>
  <c r="BA224" i="22"/>
  <c r="BB224" i="22" s="1"/>
  <c r="BA228" i="22"/>
  <c r="BB228" i="22" s="1"/>
  <c r="BA229" i="22"/>
  <c r="BB229" i="22" s="1"/>
  <c r="BA232" i="22"/>
  <c r="BB232" i="22" s="1"/>
  <c r="BA222" i="22"/>
  <c r="BB222" i="22" s="1"/>
  <c r="BA236" i="22"/>
  <c r="BB236" i="22" s="1"/>
  <c r="BA226" i="22"/>
  <c r="BB226" i="22" s="1"/>
  <c r="BA230" i="22"/>
  <c r="BB230" i="22" s="1"/>
  <c r="BA244" i="22"/>
  <c r="BB244" i="22" s="1"/>
  <c r="BA238" i="22"/>
  <c r="BB238" i="22" s="1"/>
  <c r="BA221" i="22"/>
  <c r="BB221" i="22" s="1"/>
  <c r="BA237" i="22"/>
  <c r="BB237" i="22" s="1"/>
  <c r="BA227" i="22"/>
  <c r="BB227" i="22" s="1"/>
  <c r="BA242" i="22"/>
  <c r="BB242" i="22" s="1"/>
  <c r="BA239" i="22"/>
  <c r="BB239" i="22" s="1"/>
  <c r="BA241" i="22"/>
  <c r="BB241" i="22" s="1"/>
  <c r="BA219" i="22"/>
  <c r="BB219" i="22" s="1"/>
  <c r="BA215" i="22"/>
  <c r="BB215" i="22" s="1"/>
  <c r="BA211" i="22"/>
  <c r="BB211" i="22" s="1"/>
  <c r="BA217" i="22"/>
  <c r="BB217" i="22" s="1"/>
  <c r="BA216" i="22"/>
  <c r="BB216" i="22" s="1"/>
  <c r="BA214" i="22"/>
  <c r="BB214" i="22" s="1"/>
  <c r="BA209" i="22"/>
  <c r="BB209" i="22" s="1"/>
  <c r="BA205" i="22"/>
  <c r="BB205" i="22" s="1"/>
  <c r="BA207" i="22"/>
  <c r="BB207" i="22" s="1"/>
  <c r="O2474" i="19"/>
  <c r="O2481" i="19" s="1"/>
  <c r="M2481" i="19" s="1"/>
  <c r="D25" i="21"/>
  <c r="H25" i="21" s="1"/>
  <c r="H27" i="21" s="1"/>
  <c r="O2355" i="19"/>
  <c r="O2358" i="19" s="1"/>
  <c r="D2353" i="19" s="1"/>
  <c r="CL109" i="22"/>
  <c r="CL183" i="22" s="1"/>
  <c r="CK186" i="22" s="1"/>
  <c r="F26" i="21" s="1"/>
  <c r="O3535" i="19"/>
  <c r="O3542" i="19" s="1"/>
  <c r="M3542" i="19" s="1"/>
  <c r="CK18" i="22"/>
  <c r="CL18" i="22" s="1"/>
  <c r="CK87" i="22"/>
  <c r="CL87" i="22" s="1"/>
  <c r="CK85" i="22"/>
  <c r="CL85" i="22" s="1"/>
  <c r="CK86" i="22"/>
  <c r="CL86" i="22" s="1"/>
  <c r="CK88" i="22"/>
  <c r="CL88" i="22" s="1"/>
  <c r="CK84" i="22"/>
  <c r="CL84" i="22" s="1"/>
  <c r="CK81" i="22"/>
  <c r="CL81" i="22" s="1"/>
  <c r="CK82" i="22"/>
  <c r="CL82" i="22" s="1"/>
  <c r="CK83" i="22"/>
  <c r="CL83" i="22" s="1"/>
  <c r="CK76" i="22"/>
  <c r="CL76" i="22" s="1"/>
  <c r="CK80" i="22"/>
  <c r="CL80" i="22" s="1"/>
  <c r="CK79" i="22"/>
  <c r="CL79" i="22" s="1"/>
  <c r="CK77" i="22"/>
  <c r="CL77" i="22" s="1"/>
  <c r="CK75" i="22"/>
  <c r="CL75" i="22" s="1"/>
  <c r="CK70" i="22"/>
  <c r="CL70" i="22" s="1"/>
  <c r="CK71" i="22"/>
  <c r="CL71" i="22" s="1"/>
  <c r="CK68" i="22"/>
  <c r="CL68" i="22" s="1"/>
  <c r="CK69" i="22"/>
  <c r="CL69" i="22" s="1"/>
  <c r="CK65" i="22"/>
  <c r="CL65" i="22" s="1"/>
  <c r="CK61" i="22"/>
  <c r="CL61" i="22" s="1"/>
  <c r="CK78" i="22"/>
  <c r="CL78" i="22" s="1"/>
  <c r="CK73" i="22"/>
  <c r="CL73" i="22" s="1"/>
  <c r="CK55" i="22"/>
  <c r="CL55" i="22" s="1"/>
  <c r="CK66" i="22"/>
  <c r="CL66" i="22" s="1"/>
  <c r="CK74" i="22"/>
  <c r="CL74" i="22" s="1"/>
  <c r="CK67" i="22"/>
  <c r="CL67" i="22" s="1"/>
  <c r="CK60" i="22"/>
  <c r="CL60" i="22" s="1"/>
  <c r="CK56" i="22"/>
  <c r="CL56" i="22" s="1"/>
  <c r="CK72" i="22"/>
  <c r="CL72" i="22" s="1"/>
  <c r="CK64" i="22"/>
  <c r="CL64" i="22" s="1"/>
  <c r="CK63" i="22"/>
  <c r="CL63" i="22" s="1"/>
  <c r="CK58" i="22"/>
  <c r="CL58" i="22" s="1"/>
  <c r="CK62" i="22"/>
  <c r="CL62" i="22" s="1"/>
  <c r="CK59" i="22"/>
  <c r="CL59" i="22" s="1"/>
  <c r="CK57" i="22"/>
  <c r="CL57" i="22" s="1"/>
  <c r="CK21" i="22"/>
  <c r="CL21" i="22" s="1"/>
  <c r="CK51" i="22"/>
  <c r="CL51" i="22" s="1"/>
  <c r="CK52" i="22"/>
  <c r="CL52" i="22" s="1"/>
  <c r="CK49" i="22"/>
  <c r="CL49" i="22" s="1"/>
  <c r="CK50" i="22"/>
  <c r="CL50" i="22" s="1"/>
  <c r="CK54" i="22"/>
  <c r="CL54" i="22" s="1"/>
  <c r="CK53" i="22"/>
  <c r="CL53" i="22" s="1"/>
  <c r="CK48" i="22"/>
  <c r="CL48" i="22" s="1"/>
  <c r="CK46" i="22"/>
  <c r="CL46" i="22" s="1"/>
  <c r="CK40" i="22"/>
  <c r="CL40" i="22" s="1"/>
  <c r="CK36" i="22"/>
  <c r="CL36" i="22" s="1"/>
  <c r="CK32" i="22"/>
  <c r="CL32" i="22" s="1"/>
  <c r="CK43" i="22"/>
  <c r="CL43" i="22" s="1"/>
  <c r="CK41" i="22"/>
  <c r="CL41" i="22" s="1"/>
  <c r="CK47" i="22"/>
  <c r="CL47" i="22" s="1"/>
  <c r="CK35" i="22"/>
  <c r="CL35" i="22" s="1"/>
  <c r="CK30" i="22"/>
  <c r="CL30" i="22" s="1"/>
  <c r="CK29" i="22"/>
  <c r="CL29" i="22" s="1"/>
  <c r="CK26" i="22"/>
  <c r="CL26" i="22" s="1"/>
  <c r="CK34" i="22"/>
  <c r="CL34" i="22" s="1"/>
  <c r="CK33" i="22"/>
  <c r="CL33" i="22" s="1"/>
  <c r="CK27" i="22"/>
  <c r="CL27" i="22" s="1"/>
  <c r="CK44" i="22"/>
  <c r="CL44" i="22" s="1"/>
  <c r="CK45" i="22"/>
  <c r="CL45" i="22" s="1"/>
  <c r="CK39" i="22"/>
  <c r="CL39" i="22" s="1"/>
  <c r="CK31" i="22"/>
  <c r="CL31" i="22" s="1"/>
  <c r="CK28" i="22"/>
  <c r="CL28" i="22" s="1"/>
  <c r="CK25" i="22"/>
  <c r="CL25" i="22" s="1"/>
  <c r="CK38" i="22"/>
  <c r="CL38" i="22" s="1"/>
  <c r="CK37" i="22"/>
  <c r="CL37" i="22" s="1"/>
  <c r="N4718" i="19"/>
  <c r="D4715" i="19" s="1"/>
  <c r="H545" i="4" s="1"/>
  <c r="E4592" i="19"/>
  <c r="D4589" i="19" s="1"/>
  <c r="H702" i="4" s="1"/>
  <c r="L410" i="4"/>
  <c r="L319" i="4"/>
  <c r="L430" i="4"/>
  <c r="B17" i="21"/>
  <c r="CK9" i="22"/>
  <c r="CL9" i="22" s="1"/>
  <c r="CK17" i="22"/>
  <c r="CL17" i="22" s="1"/>
  <c r="CK7" i="22"/>
  <c r="CL7" i="22" s="1"/>
  <c r="CK16" i="22"/>
  <c r="CL16" i="22" s="1"/>
  <c r="CK12" i="22"/>
  <c r="CL12" i="22" s="1"/>
  <c r="CK22" i="22"/>
  <c r="CL22" i="22" s="1"/>
  <c r="CK19" i="22"/>
  <c r="CL19" i="22" s="1"/>
  <c r="CK23" i="22"/>
  <c r="CL23" i="22" s="1"/>
  <c r="CK20" i="22"/>
  <c r="CL20" i="22" s="1"/>
  <c r="CK15" i="22"/>
  <c r="CL15" i="22" s="1"/>
  <c r="CK13" i="22"/>
  <c r="CL13" i="22" s="1"/>
  <c r="CK14" i="22"/>
  <c r="CL14" i="22" s="1"/>
  <c r="CK24" i="22"/>
  <c r="CL24" i="22" s="1"/>
  <c r="CK6" i="22"/>
  <c r="CL6" i="22" s="1"/>
  <c r="CK11" i="22"/>
  <c r="CL11" i="22" s="1"/>
  <c r="BA202" i="22"/>
  <c r="BB202" i="22" s="1"/>
  <c r="BC97" i="22"/>
  <c r="O1074" i="19" s="1"/>
  <c r="O970" i="19"/>
  <c r="BA203" i="22"/>
  <c r="BB203" i="22" s="1"/>
  <c r="BA206" i="22"/>
  <c r="BB206" i="22" s="1"/>
  <c r="BA204" i="22"/>
  <c r="BB204" i="22" s="1"/>
  <c r="BA200" i="22"/>
  <c r="BB200" i="22" s="1"/>
  <c r="O3515" i="19"/>
  <c r="CK250" i="22"/>
  <c r="I25" i="21"/>
  <c r="L109" i="4"/>
  <c r="L286" i="4"/>
  <c r="H34" i="21"/>
  <c r="H36" i="21" s="1"/>
  <c r="D36" i="21"/>
  <c r="L328" i="4"/>
  <c r="CK260" i="22"/>
  <c r="CK304" i="22"/>
  <c r="CL304" i="22" s="1"/>
  <c r="CK330" i="22"/>
  <c r="CL330" i="22" s="1"/>
  <c r="CK327" i="22"/>
  <c r="CL327" i="22" s="1"/>
  <c r="CK307" i="22"/>
  <c r="CL307" i="22" s="1"/>
  <c r="CK287" i="22"/>
  <c r="CL287" i="22" s="1"/>
  <c r="CK301" i="22"/>
  <c r="CL301" i="22" s="1"/>
  <c r="CK323" i="22"/>
  <c r="CL323" i="22" s="1"/>
  <c r="CK268" i="22"/>
  <c r="CL268" i="22" s="1"/>
  <c r="CK333" i="22"/>
  <c r="CL333" i="22" s="1"/>
  <c r="CK308" i="22"/>
  <c r="CL308" i="22" s="1"/>
  <c r="CK326" i="22"/>
  <c r="CL326" i="22" s="1"/>
  <c r="CK271" i="22"/>
  <c r="CL271" i="22" s="1"/>
  <c r="CK286" i="22"/>
  <c r="CL286" i="22" s="1"/>
  <c r="CK331" i="22"/>
  <c r="CL331" i="22" s="1"/>
  <c r="CK264" i="22"/>
  <c r="CL264" i="22" s="1"/>
  <c r="CK269" i="22"/>
  <c r="CL269" i="22" s="1"/>
  <c r="CK322" i="22"/>
  <c r="CL322" i="22" s="1"/>
  <c r="CK291" i="22"/>
  <c r="CL291" i="22" s="1"/>
  <c r="CK272" i="22"/>
  <c r="CL272" i="22" s="1"/>
  <c r="CK284" i="22"/>
  <c r="CL284" i="22" s="1"/>
  <c r="CK309" i="22"/>
  <c r="CL309" i="22" s="1"/>
  <c r="CK296" i="22"/>
  <c r="CL296" i="22" s="1"/>
  <c r="CK263" i="22"/>
  <c r="CL263" i="22" s="1"/>
  <c r="CK297" i="22"/>
  <c r="CL297" i="22" s="1"/>
  <c r="CK288" i="22"/>
  <c r="CL288" i="22" s="1"/>
  <c r="CK314" i="22"/>
  <c r="CL314" i="22" s="1"/>
  <c r="CK277" i="22"/>
  <c r="CL277" i="22" s="1"/>
  <c r="CK275" i="22"/>
  <c r="CL275" i="22" s="1"/>
  <c r="CK319" i="22"/>
  <c r="CL319" i="22" s="1"/>
  <c r="CK262" i="22"/>
  <c r="CL262" i="22" s="1"/>
  <c r="CK289" i="22"/>
  <c r="CL289" i="22" s="1"/>
  <c r="CK280" i="22"/>
  <c r="CL280" i="22" s="1"/>
  <c r="CK306" i="22"/>
  <c r="CL306" i="22" s="1"/>
  <c r="CK317" i="22"/>
  <c r="CL317" i="22" s="1"/>
  <c r="CK325" i="22"/>
  <c r="CL325" i="22" s="1"/>
  <c r="CK278" i="22"/>
  <c r="CL278" i="22" s="1"/>
  <c r="CK282" i="22"/>
  <c r="CL282" i="22" s="1"/>
  <c r="CK300" i="22"/>
  <c r="CL300" i="22" s="1"/>
  <c r="CK266" i="22"/>
  <c r="CL266" i="22" s="1"/>
  <c r="CK302" i="22"/>
  <c r="CL302" i="22" s="1"/>
  <c r="CK283" i="22"/>
  <c r="CL283" i="22" s="1"/>
  <c r="CK294" i="22"/>
  <c r="CL294" i="22" s="1"/>
  <c r="CK293" i="22"/>
  <c r="CL293" i="22" s="1"/>
  <c r="CK299" i="22"/>
  <c r="CL299" i="22" s="1"/>
  <c r="CK270" i="22"/>
  <c r="CL270" i="22" s="1"/>
  <c r="CK321" i="22"/>
  <c r="CL321" i="22" s="1"/>
  <c r="CK303" i="22"/>
  <c r="CL303" i="22" s="1"/>
  <c r="CK312" i="22"/>
  <c r="CL312" i="22" s="1"/>
  <c r="CK281" i="22"/>
  <c r="CL281" i="22" s="1"/>
  <c r="CK315" i="22"/>
  <c r="CL315" i="22" s="1"/>
  <c r="CK285" i="22"/>
  <c r="CL285" i="22" s="1"/>
  <c r="CK267" i="22"/>
  <c r="CL267" i="22" s="1"/>
  <c r="CK290" i="22"/>
  <c r="CL290" i="22" s="1"/>
  <c r="CK274" i="22"/>
  <c r="CL274" i="22" s="1"/>
  <c r="CK276" i="22"/>
  <c r="CL276" i="22" s="1"/>
  <c r="CK329" i="22"/>
  <c r="CL329" i="22" s="1"/>
  <c r="CK310" i="22"/>
  <c r="CL310" i="22" s="1"/>
  <c r="CK334" i="22"/>
  <c r="CL334" i="22" s="1"/>
  <c r="CK295" i="22"/>
  <c r="CL295" i="22" s="1"/>
  <c r="CK324" i="22"/>
  <c r="CL324" i="22" s="1"/>
  <c r="CK292" i="22"/>
  <c r="CL292" i="22" s="1"/>
  <c r="CK273" i="22"/>
  <c r="CL273" i="22" s="1"/>
  <c r="CK328" i="22"/>
  <c r="CL328" i="22" s="1"/>
  <c r="CK316" i="22"/>
  <c r="CL316" i="22" s="1"/>
  <c r="CK305" i="22"/>
  <c r="CL305" i="22" s="1"/>
  <c r="CK261" i="22"/>
  <c r="CL261" i="22" s="1"/>
  <c r="CK318" i="22"/>
  <c r="CL318" i="22" s="1"/>
  <c r="CK279" i="22"/>
  <c r="CL279" i="22" s="1"/>
  <c r="CK320" i="22"/>
  <c r="CL320" i="22" s="1"/>
  <c r="CK332" i="22"/>
  <c r="CL332" i="22" s="1"/>
  <c r="CK298" i="22"/>
  <c r="CL298" i="22" s="1"/>
  <c r="CK265" i="22"/>
  <c r="CL265" i="22" s="1"/>
  <c r="AJ321" i="22"/>
  <c r="AJ356" i="22" s="1"/>
  <c r="BA185" i="22"/>
  <c r="BA136" i="22" s="1"/>
  <c r="BB136" i="22" s="1"/>
  <c r="L697" i="4"/>
  <c r="L625" i="4"/>
  <c r="L36" i="4"/>
  <c r="L220" i="4"/>
  <c r="L282" i="4"/>
  <c r="L102" i="4"/>
  <c r="L535" i="4"/>
  <c r="L214" i="4"/>
  <c r="L96" i="4"/>
  <c r="L89" i="4"/>
  <c r="L684" i="4"/>
  <c r="L775" i="4"/>
  <c r="L584" i="4"/>
  <c r="L732" i="4"/>
  <c r="L626" i="4"/>
  <c r="K4471" i="19"/>
  <c r="K4473" i="19" s="1"/>
  <c r="K4475" i="19" s="1"/>
  <c r="D4470" i="19" s="1"/>
  <c r="H172" i="4" s="1"/>
  <c r="K4469" i="19"/>
  <c r="D4464" i="19" s="1"/>
  <c r="H841" i="4" s="1"/>
  <c r="CM98" i="22"/>
  <c r="O1077" i="19" s="1"/>
  <c r="D13" i="21"/>
  <c r="H13" i="21" s="1"/>
  <c r="O971" i="19"/>
  <c r="M1824" i="19"/>
  <c r="M1826" i="19" s="1"/>
  <c r="D1822" i="19" s="1"/>
  <c r="H756" i="4" s="1"/>
  <c r="O1828" i="19"/>
  <c r="M1828" i="19" s="1"/>
  <c r="M1830" i="19" s="1"/>
  <c r="D1827" i="19" s="1"/>
  <c r="H715" i="4" s="1"/>
  <c r="E905" i="19"/>
  <c r="M905" i="19" s="1"/>
  <c r="M907" i="19" s="1"/>
  <c r="D904" i="19" s="1"/>
  <c r="H624" i="4" s="1"/>
  <c r="E903" i="19"/>
  <c r="D900" i="19" s="1"/>
  <c r="H694" i="4" s="1"/>
  <c r="BA98" i="22"/>
  <c r="O417" i="19"/>
  <c r="M417" i="19" s="1"/>
  <c r="M419" i="19" s="1"/>
  <c r="D416" i="19" s="1"/>
  <c r="H705" i="4" s="1"/>
  <c r="M413" i="19"/>
  <c r="M415" i="19" s="1"/>
  <c r="D411" i="19" s="1"/>
  <c r="H745" i="4" s="1"/>
  <c r="H12" i="21"/>
  <c r="AZ96" i="22"/>
  <c r="K2163" i="19"/>
  <c r="K2165" i="19" s="1"/>
  <c r="K2167" i="19" s="1"/>
  <c r="D2162" i="19" s="1"/>
  <c r="H166" i="4" s="1"/>
  <c r="K2161" i="19"/>
  <c r="D2156" i="19" s="1"/>
  <c r="H835" i="4" s="1"/>
  <c r="BJ33" i="20"/>
  <c r="BJ37" i="20" s="1"/>
  <c r="E11" i="21" s="1"/>
  <c r="BK6" i="20"/>
  <c r="BK33" i="20" s="1"/>
  <c r="BJ36" i="20" s="1"/>
  <c r="L313" i="4" l="1"/>
  <c r="O1315" i="19"/>
  <c r="F11" i="21"/>
  <c r="H17" i="21"/>
  <c r="L292" i="4"/>
  <c r="L611" i="4"/>
  <c r="L275" i="4"/>
  <c r="L436" i="4"/>
  <c r="L589" i="4"/>
  <c r="L582" i="4"/>
  <c r="L608" i="4"/>
  <c r="L542" i="4"/>
  <c r="L416" i="4"/>
  <c r="BL35" i="20"/>
  <c r="O672" i="19" s="1"/>
  <c r="BL33" i="20"/>
  <c r="O3279" i="19"/>
  <c r="O3290" i="19" s="1"/>
  <c r="BJ124" i="20"/>
  <c r="BJ123" i="20"/>
  <c r="F33" i="21" s="1"/>
  <c r="O3280" i="19"/>
  <c r="BA168" i="22"/>
  <c r="BB168" i="22" s="1"/>
  <c r="BA167" i="22"/>
  <c r="BB167" i="22" s="1"/>
  <c r="BA172" i="22"/>
  <c r="BB172" i="22" s="1"/>
  <c r="BA181" i="22"/>
  <c r="BB181" i="22" s="1"/>
  <c r="BA176" i="22"/>
  <c r="BB176" i="22" s="1"/>
  <c r="BA144" i="22"/>
  <c r="BB144" i="22" s="1"/>
  <c r="BA147" i="22"/>
  <c r="BB147" i="22" s="1"/>
  <c r="BA140" i="22"/>
  <c r="BB140" i="22" s="1"/>
  <c r="BA139" i="22"/>
  <c r="BB139" i="22" s="1"/>
  <c r="BA133" i="22"/>
  <c r="BB133" i="22" s="1"/>
  <c r="BA119" i="22"/>
  <c r="BB119" i="22" s="1"/>
  <c r="BA117" i="22"/>
  <c r="BB117" i="22" s="1"/>
  <c r="CK187" i="22"/>
  <c r="E26" i="21" s="1"/>
  <c r="G26" i="21" s="1"/>
  <c r="BA10" i="22"/>
  <c r="BB10" i="22" s="1"/>
  <c r="O2931" i="19"/>
  <c r="M2931" i="19" s="1"/>
  <c r="M2933" i="19" s="1"/>
  <c r="D2930" i="19" s="1"/>
  <c r="H723" i="4" s="1"/>
  <c r="N3264" i="19"/>
  <c r="BA328" i="22"/>
  <c r="BB328" i="22" s="1"/>
  <c r="BA89" i="22"/>
  <c r="BB89" i="22" s="1"/>
  <c r="BA90" i="22"/>
  <c r="BB90" i="22" s="1"/>
  <c r="BA91" i="22"/>
  <c r="BB91" i="22" s="1"/>
  <c r="BA92" i="22"/>
  <c r="BB92" i="22" s="1"/>
  <c r="BA93" i="22"/>
  <c r="BB93" i="22" s="1"/>
  <c r="BA94" i="22"/>
  <c r="BB94" i="22" s="1"/>
  <c r="BA95" i="22"/>
  <c r="BB95" i="22" s="1"/>
  <c r="BA331" i="22"/>
  <c r="BB331" i="22" s="1"/>
  <c r="BA330" i="22"/>
  <c r="BB330" i="22" s="1"/>
  <c r="BA263" i="22"/>
  <c r="BB263" i="22" s="1"/>
  <c r="BA296" i="22"/>
  <c r="BB296" i="22" s="1"/>
  <c r="BA279" i="22"/>
  <c r="BB279" i="22" s="1"/>
  <c r="BA329" i="22"/>
  <c r="BB329" i="22" s="1"/>
  <c r="BA337" i="22"/>
  <c r="BB337" i="22" s="1"/>
  <c r="BA278" i="22"/>
  <c r="BB278" i="22" s="1"/>
  <c r="BA288" i="22"/>
  <c r="BB288" i="22" s="1"/>
  <c r="BA321" i="22"/>
  <c r="BB321" i="22" s="1"/>
  <c r="BA264" i="22"/>
  <c r="BB264" i="22" s="1"/>
  <c r="BA282" i="22"/>
  <c r="BB282" i="22" s="1"/>
  <c r="BA311" i="22"/>
  <c r="BB311" i="22" s="1"/>
  <c r="BA333" i="22"/>
  <c r="BB333" i="22" s="1"/>
  <c r="O3264" i="19"/>
  <c r="K3264" i="19" s="1"/>
  <c r="K3266" i="19" s="1"/>
  <c r="D3261" i="19" s="1"/>
  <c r="H838" i="4" s="1"/>
  <c r="BA352" i="22"/>
  <c r="BB352" i="22" s="1"/>
  <c r="BA304" i="22"/>
  <c r="BB304" i="22" s="1"/>
  <c r="BA314" i="22"/>
  <c r="BB314" i="22" s="1"/>
  <c r="BA287" i="22"/>
  <c r="BB287" i="22" s="1"/>
  <c r="BA285" i="22"/>
  <c r="BB285" i="22" s="1"/>
  <c r="BA293" i="22"/>
  <c r="BB293" i="22" s="1"/>
  <c r="BA271" i="22"/>
  <c r="BB271" i="22" s="1"/>
  <c r="BA319" i="22"/>
  <c r="BB319" i="22" s="1"/>
  <c r="BA325" i="22"/>
  <c r="BB325" i="22" s="1"/>
  <c r="BA336" i="22"/>
  <c r="BB336" i="22" s="1"/>
  <c r="BA267" i="22"/>
  <c r="BB267" i="22" s="1"/>
  <c r="BA318" i="22"/>
  <c r="BB318" i="22" s="1"/>
  <c r="BA301" i="22"/>
  <c r="BB301" i="22" s="1"/>
  <c r="BA348" i="22"/>
  <c r="BB348" i="22" s="1"/>
  <c r="BA338" i="22"/>
  <c r="BB338" i="22" s="1"/>
  <c r="BA305" i="22"/>
  <c r="BB305" i="22" s="1"/>
  <c r="BA265" i="22"/>
  <c r="BB265" i="22" s="1"/>
  <c r="BA272" i="22"/>
  <c r="BB272" i="22" s="1"/>
  <c r="BA340" i="22"/>
  <c r="BB340" i="22" s="1"/>
  <c r="BA270" i="22"/>
  <c r="BB270" i="22" s="1"/>
  <c r="BA322" i="22"/>
  <c r="BB322" i="22" s="1"/>
  <c r="BA283" i="22"/>
  <c r="BB283" i="22" s="1"/>
  <c r="BA346" i="22"/>
  <c r="BB346" i="22" s="1"/>
  <c r="BA312" i="22"/>
  <c r="BB312" i="22" s="1"/>
  <c r="BA300" i="22"/>
  <c r="BB300" i="22" s="1"/>
  <c r="BA323" i="22"/>
  <c r="BB323" i="22" s="1"/>
  <c r="BA350" i="22"/>
  <c r="BB350" i="22" s="1"/>
  <c r="BA351" i="22"/>
  <c r="BB351" i="22" s="1"/>
  <c r="BA298" i="22"/>
  <c r="BB298" i="22" s="1"/>
  <c r="BA299" i="22"/>
  <c r="BB299" i="22" s="1"/>
  <c r="BA327" i="22"/>
  <c r="BB327" i="22" s="1"/>
  <c r="BA292" i="22"/>
  <c r="BB292" i="22" s="1"/>
  <c r="BA261" i="22"/>
  <c r="BB261" i="22" s="1"/>
  <c r="BA291" i="22"/>
  <c r="BB291" i="22" s="1"/>
  <c r="BA308" i="22"/>
  <c r="BB308" i="22" s="1"/>
  <c r="BA274" i="22"/>
  <c r="BB274" i="22" s="1"/>
  <c r="BA275" i="22"/>
  <c r="BB275" i="22" s="1"/>
  <c r="BA316" i="22"/>
  <c r="BB316" i="22" s="1"/>
  <c r="BA294" i="22"/>
  <c r="BB294" i="22" s="1"/>
  <c r="BA307" i="22"/>
  <c r="BB307" i="22" s="1"/>
  <c r="BA269" i="22"/>
  <c r="BB269" i="22" s="1"/>
  <c r="BA306" i="22"/>
  <c r="BB306" i="22" s="1"/>
  <c r="BA343" i="22"/>
  <c r="BB343" i="22" s="1"/>
  <c r="BA309" i="22"/>
  <c r="BB309" i="22" s="1"/>
  <c r="BA317" i="22"/>
  <c r="BB317" i="22" s="1"/>
  <c r="BA273" i="22"/>
  <c r="BB273" i="22" s="1"/>
  <c r="BA320" i="22"/>
  <c r="BB320" i="22" s="1"/>
  <c r="BA266" i="22"/>
  <c r="BB266" i="22" s="1"/>
  <c r="BA268" i="22"/>
  <c r="BB268" i="22" s="1"/>
  <c r="BA339" i="22"/>
  <c r="BB339" i="22" s="1"/>
  <c r="BA353" i="22"/>
  <c r="BB353" i="22" s="1"/>
  <c r="BA345" i="22"/>
  <c r="BB345" i="22" s="1"/>
  <c r="BA284" i="22"/>
  <c r="BB284" i="22" s="1"/>
  <c r="BA295" i="22"/>
  <c r="BB295" i="22" s="1"/>
  <c r="BA334" i="22"/>
  <c r="BB334" i="22" s="1"/>
  <c r="BA289" i="22"/>
  <c r="BB289" i="22" s="1"/>
  <c r="BA326" i="22"/>
  <c r="BB326" i="22" s="1"/>
  <c r="BA303" i="22"/>
  <c r="BB303" i="22" s="1"/>
  <c r="BA260" i="22"/>
  <c r="BB260" i="22" s="1"/>
  <c r="BA341" i="22"/>
  <c r="BB341" i="22" s="1"/>
  <c r="BA349" i="22"/>
  <c r="BB349" i="22" s="1"/>
  <c r="BA276" i="22"/>
  <c r="BB276" i="22" s="1"/>
  <c r="BA290" i="22"/>
  <c r="BB290" i="22" s="1"/>
  <c r="BA310" i="22"/>
  <c r="BB310" i="22" s="1"/>
  <c r="BA277" i="22"/>
  <c r="BB277" i="22" s="1"/>
  <c r="BA315" i="22"/>
  <c r="BB315" i="22" s="1"/>
  <c r="BA297" i="22"/>
  <c r="BB297" i="22" s="1"/>
  <c r="BA332" i="22"/>
  <c r="BB332" i="22" s="1"/>
  <c r="BA344" i="22"/>
  <c r="BB344" i="22" s="1"/>
  <c r="BA342" i="22"/>
  <c r="BB342" i="22" s="1"/>
  <c r="BA324" i="22"/>
  <c r="BB324" i="22" s="1"/>
  <c r="BA262" i="22"/>
  <c r="BB262" i="22" s="1"/>
  <c r="BA281" i="22"/>
  <c r="BB281" i="22" s="1"/>
  <c r="BA302" i="22"/>
  <c r="BB302" i="22" s="1"/>
  <c r="BA286" i="22"/>
  <c r="BB286" i="22" s="1"/>
  <c r="BA280" i="22"/>
  <c r="BB280" i="22" s="1"/>
  <c r="BA335" i="22"/>
  <c r="BB335" i="22" s="1"/>
  <c r="BA355" i="22"/>
  <c r="BB355" i="22" s="1"/>
  <c r="BA347" i="22"/>
  <c r="BB347" i="22" s="1"/>
  <c r="BA354" i="22"/>
  <c r="BB354" i="22" s="1"/>
  <c r="BA163" i="22"/>
  <c r="BB163" i="22" s="1"/>
  <c r="BA173" i="22"/>
  <c r="BB173" i="22" s="1"/>
  <c r="BA177" i="22"/>
  <c r="BB177" i="22" s="1"/>
  <c r="BA180" i="22"/>
  <c r="BB180" i="22" s="1"/>
  <c r="BA175" i="22"/>
  <c r="BB175" i="22" s="1"/>
  <c r="BA179" i="22"/>
  <c r="BB179" i="22" s="1"/>
  <c r="BA178" i="22"/>
  <c r="BB178" i="22" s="1"/>
  <c r="BA174" i="22"/>
  <c r="BB174" i="22" s="1"/>
  <c r="BA171" i="22"/>
  <c r="BB171" i="22" s="1"/>
  <c r="BA182" i="22"/>
  <c r="BB182" i="22" s="1"/>
  <c r="M2474" i="19"/>
  <c r="D27" i="21"/>
  <c r="BA170" i="22"/>
  <c r="BB170" i="22" s="1"/>
  <c r="BA169" i="22"/>
  <c r="BB169" i="22" s="1"/>
  <c r="BA164" i="22"/>
  <c r="BB164" i="22" s="1"/>
  <c r="BA156" i="22"/>
  <c r="BB156" i="22" s="1"/>
  <c r="BA161" i="22"/>
  <c r="BB161" i="22" s="1"/>
  <c r="BA154" i="22"/>
  <c r="BB154" i="22" s="1"/>
  <c r="BA166" i="22"/>
  <c r="BB166" i="22" s="1"/>
  <c r="BA165" i="22"/>
  <c r="BB165" i="22" s="1"/>
  <c r="BA160" i="22"/>
  <c r="BB160" i="22" s="1"/>
  <c r="BA159" i="22"/>
  <c r="BB159" i="22" s="1"/>
  <c r="BA155" i="22"/>
  <c r="BB155" i="22" s="1"/>
  <c r="BA162" i="22"/>
  <c r="BB162" i="22" s="1"/>
  <c r="BA158" i="22"/>
  <c r="BB158" i="22" s="1"/>
  <c r="BA157" i="22"/>
  <c r="BB157" i="22" s="1"/>
  <c r="BA116" i="22"/>
  <c r="BB116" i="22" s="1"/>
  <c r="BA121" i="22"/>
  <c r="BB121" i="22" s="1"/>
  <c r="BA128" i="22"/>
  <c r="BB128" i="22" s="1"/>
  <c r="BA145" i="22"/>
  <c r="BB145" i="22" s="1"/>
  <c r="BA149" i="22"/>
  <c r="BB149" i="22" s="1"/>
  <c r="BA152" i="22"/>
  <c r="BB152" i="22" s="1"/>
  <c r="BA143" i="22"/>
  <c r="BB143" i="22" s="1"/>
  <c r="BA148" i="22"/>
  <c r="BB148" i="22" s="1"/>
  <c r="BA151" i="22"/>
  <c r="BB151" i="22" s="1"/>
  <c r="BA146" i="22"/>
  <c r="BB146" i="22" s="1"/>
  <c r="BA150" i="22"/>
  <c r="BB150" i="22" s="1"/>
  <c r="BA126" i="22"/>
  <c r="BB126" i="22" s="1"/>
  <c r="BA112" i="22"/>
  <c r="BB112" i="22" s="1"/>
  <c r="BA115" i="22"/>
  <c r="BB115" i="22" s="1"/>
  <c r="BA125" i="22"/>
  <c r="BB125" i="22" s="1"/>
  <c r="BA127" i="22"/>
  <c r="BB127" i="22" s="1"/>
  <c r="BA122" i="22"/>
  <c r="BB122" i="22" s="1"/>
  <c r="BA129" i="22"/>
  <c r="BB129" i="22" s="1"/>
  <c r="BA111" i="22"/>
  <c r="BB111" i="22" s="1"/>
  <c r="BA132" i="22"/>
  <c r="BB132" i="22" s="1"/>
  <c r="BA120" i="22"/>
  <c r="BB120" i="22" s="1"/>
  <c r="BA114" i="22"/>
  <c r="BB114" i="22" s="1"/>
  <c r="BA134" i="22"/>
  <c r="BB134" i="22" s="1"/>
  <c r="BA110" i="22"/>
  <c r="BB110" i="22" s="1"/>
  <c r="BA118" i="22"/>
  <c r="BB118" i="22" s="1"/>
  <c r="BA137" i="22"/>
  <c r="BB137" i="22" s="1"/>
  <c r="BA113" i="22"/>
  <c r="BB113" i="22" s="1"/>
  <c r="BA131" i="22"/>
  <c r="BB131" i="22" s="1"/>
  <c r="BA130" i="22"/>
  <c r="BB130" i="22" s="1"/>
  <c r="BA124" i="22"/>
  <c r="BB124" i="22" s="1"/>
  <c r="BA141" i="22"/>
  <c r="BB141" i="22" s="1"/>
  <c r="BA135" i="22"/>
  <c r="BB135" i="22" s="1"/>
  <c r="BA123" i="22"/>
  <c r="BB123" i="22" s="1"/>
  <c r="BA138" i="22"/>
  <c r="BB138" i="22" s="1"/>
  <c r="M3535" i="19"/>
  <c r="BA87" i="22"/>
  <c r="BB87" i="22" s="1"/>
  <c r="BA85" i="22"/>
  <c r="BB85" i="22" s="1"/>
  <c r="BA86" i="22"/>
  <c r="BB86" i="22" s="1"/>
  <c r="BA81" i="22"/>
  <c r="BB81" i="22" s="1"/>
  <c r="BA84" i="22"/>
  <c r="BB84" i="22" s="1"/>
  <c r="BA82" i="22"/>
  <c r="BB82" i="22" s="1"/>
  <c r="BA88" i="22"/>
  <c r="BB88" i="22" s="1"/>
  <c r="BA83" i="22"/>
  <c r="BB83" i="22" s="1"/>
  <c r="BA79" i="22"/>
  <c r="BB79" i="22" s="1"/>
  <c r="BA76" i="22"/>
  <c r="BB76" i="22" s="1"/>
  <c r="BA80" i="22"/>
  <c r="BB80" i="22" s="1"/>
  <c r="BA77" i="22"/>
  <c r="BB77" i="22" s="1"/>
  <c r="BA78" i="22"/>
  <c r="BB78" i="22" s="1"/>
  <c r="BA75" i="22"/>
  <c r="BB75" i="22" s="1"/>
  <c r="BA70" i="22"/>
  <c r="BB70" i="22" s="1"/>
  <c r="BA71" i="22"/>
  <c r="BB71" i="22" s="1"/>
  <c r="BA73" i="22"/>
  <c r="BB73" i="22" s="1"/>
  <c r="BA68" i="22"/>
  <c r="BB68" i="22" s="1"/>
  <c r="BA69" i="22"/>
  <c r="BB69" i="22" s="1"/>
  <c r="BA65" i="22"/>
  <c r="BB65" i="22" s="1"/>
  <c r="BA61" i="22"/>
  <c r="BB61" i="22" s="1"/>
  <c r="BA63" i="22"/>
  <c r="BB63" i="22" s="1"/>
  <c r="BA55" i="22"/>
  <c r="BB55" i="22" s="1"/>
  <c r="BA74" i="22"/>
  <c r="BB74" i="22" s="1"/>
  <c r="BA67" i="22"/>
  <c r="BB67" i="22" s="1"/>
  <c r="BA60" i="22"/>
  <c r="BB60" i="22" s="1"/>
  <c r="BA56" i="22"/>
  <c r="BB56" i="22" s="1"/>
  <c r="BA64" i="22"/>
  <c r="BB64" i="22" s="1"/>
  <c r="BA59" i="22"/>
  <c r="BB59" i="22" s="1"/>
  <c r="BA58" i="22"/>
  <c r="BB58" i="22" s="1"/>
  <c r="BA66" i="22"/>
  <c r="BB66" i="22" s="1"/>
  <c r="BA62" i="22"/>
  <c r="BB62" i="22" s="1"/>
  <c r="BA72" i="22"/>
  <c r="BB72" i="22" s="1"/>
  <c r="BA57" i="22"/>
  <c r="BB57" i="22" s="1"/>
  <c r="BA18" i="22"/>
  <c r="BB18" i="22" s="1"/>
  <c r="BA51" i="22"/>
  <c r="BB51" i="22" s="1"/>
  <c r="BA52" i="22"/>
  <c r="BB52" i="22" s="1"/>
  <c r="BA54" i="22"/>
  <c r="BB54" i="22" s="1"/>
  <c r="BA49" i="22"/>
  <c r="BB49" i="22" s="1"/>
  <c r="BA53" i="22"/>
  <c r="BB53" i="22" s="1"/>
  <c r="BA50" i="22"/>
  <c r="BB50" i="22" s="1"/>
  <c r="BA48" i="22"/>
  <c r="BB48" i="22" s="1"/>
  <c r="BA46" i="22"/>
  <c r="BB46" i="22" s="1"/>
  <c r="BA40" i="22"/>
  <c r="BB40" i="22" s="1"/>
  <c r="BA36" i="22"/>
  <c r="BB36" i="22" s="1"/>
  <c r="BA32" i="22"/>
  <c r="BB32" i="22" s="1"/>
  <c r="BA44" i="22"/>
  <c r="BB44" i="22" s="1"/>
  <c r="BA39" i="22"/>
  <c r="BB39" i="22" s="1"/>
  <c r="BA35" i="22"/>
  <c r="BB35" i="22" s="1"/>
  <c r="BA29" i="22"/>
  <c r="BB29" i="22" s="1"/>
  <c r="BA26" i="22"/>
  <c r="BB26" i="22" s="1"/>
  <c r="BA43" i="22"/>
  <c r="BB43" i="22" s="1"/>
  <c r="BA33" i="22"/>
  <c r="BB33" i="22" s="1"/>
  <c r="BA30" i="22"/>
  <c r="BB30" i="22" s="1"/>
  <c r="BA27" i="22"/>
  <c r="BB27" i="22" s="1"/>
  <c r="BA41" i="22"/>
  <c r="BB41" i="22" s="1"/>
  <c r="BA28" i="22"/>
  <c r="BB28" i="22" s="1"/>
  <c r="BA25" i="22"/>
  <c r="BB25" i="22" s="1"/>
  <c r="BA45" i="22"/>
  <c r="BB45" i="22" s="1"/>
  <c r="BA38" i="22"/>
  <c r="BB38" i="22" s="1"/>
  <c r="BA31" i="22"/>
  <c r="BB31" i="22" s="1"/>
  <c r="BA34" i="22"/>
  <c r="BB34" i="22" s="1"/>
  <c r="BA47" i="22"/>
  <c r="BB47" i="22" s="1"/>
  <c r="BA37" i="22"/>
  <c r="BB37" i="22" s="1"/>
  <c r="O788" i="19"/>
  <c r="O799" i="19" s="1"/>
  <c r="CK96" i="22"/>
  <c r="O1068" i="19" s="1"/>
  <c r="CL96" i="22"/>
  <c r="CK99" i="22" s="1"/>
  <c r="F13" i="21" s="1"/>
  <c r="X321" i="22"/>
  <c r="BC357" i="22"/>
  <c r="O4767" i="19" s="1"/>
  <c r="O4781" i="19" s="1"/>
  <c r="D43" i="21"/>
  <c r="O4663" i="19"/>
  <c r="O4666" i="19" s="1"/>
  <c r="D4661" i="19" s="1"/>
  <c r="O973" i="19"/>
  <c r="D968" i="19" s="1"/>
  <c r="O1088" i="19"/>
  <c r="M1088" i="19" s="1"/>
  <c r="BB246" i="22"/>
  <c r="BA249" i="22" s="1"/>
  <c r="F34" i="21" s="1"/>
  <c r="BA246" i="22"/>
  <c r="BA250" i="22" s="1"/>
  <c r="BC248" i="22" s="1"/>
  <c r="O3520" i="19" s="1"/>
  <c r="D17" i="21"/>
  <c r="CM249" i="22"/>
  <c r="O3523" i="19" s="1"/>
  <c r="E35" i="21"/>
  <c r="G35" i="21" s="1"/>
  <c r="I35" i="21" s="1"/>
  <c r="CK356" i="22"/>
  <c r="CL260" i="22"/>
  <c r="CL356" i="22" s="1"/>
  <c r="CK359" i="22" s="1"/>
  <c r="F44" i="21" s="1"/>
  <c r="BA109" i="22"/>
  <c r="L172" i="4"/>
  <c r="L217" i="4"/>
  <c r="L835" i="4"/>
  <c r="L166" i="4"/>
  <c r="L705" i="4"/>
  <c r="L765" i="4"/>
  <c r="L694" i="4"/>
  <c r="L624" i="4"/>
  <c r="L715" i="4"/>
  <c r="L756" i="4"/>
  <c r="L841" i="4"/>
  <c r="BA6" i="22"/>
  <c r="BB6" i="22" s="1"/>
  <c r="BA7" i="22"/>
  <c r="BB7" i="22" s="1"/>
  <c r="BA9" i="22"/>
  <c r="BB9" i="22" s="1"/>
  <c r="BA24" i="22"/>
  <c r="BB24" i="22" s="1"/>
  <c r="BA22" i="22"/>
  <c r="BB22" i="22" s="1"/>
  <c r="BA21" i="22"/>
  <c r="BB21" i="22" s="1"/>
  <c r="BA15" i="22"/>
  <c r="BB15" i="22" s="1"/>
  <c r="BA16" i="22"/>
  <c r="BB16" i="22" s="1"/>
  <c r="BA17" i="22"/>
  <c r="BB17" i="22" s="1"/>
  <c r="BA20" i="22"/>
  <c r="BB20" i="22" s="1"/>
  <c r="BA19" i="22"/>
  <c r="BB19" i="22" s="1"/>
  <c r="BA11" i="22"/>
  <c r="BA12" i="22"/>
  <c r="BB12" i="22" s="1"/>
  <c r="BA13" i="22"/>
  <c r="BB13" i="22" s="1"/>
  <c r="BA23" i="22"/>
  <c r="BB23" i="22" s="1"/>
  <c r="BA14" i="22"/>
  <c r="BB14" i="22" s="1"/>
  <c r="O789" i="19"/>
  <c r="L745" i="4"/>
  <c r="H311" i="4" l="1"/>
  <c r="O3282" i="19"/>
  <c r="D3277" i="19" s="1"/>
  <c r="H651" i="4" s="1"/>
  <c r="H313" i="4"/>
  <c r="L309" i="4"/>
  <c r="F36" i="21"/>
  <c r="L311" i="4"/>
  <c r="L702" i="4"/>
  <c r="L545" i="4"/>
  <c r="E33" i="21"/>
  <c r="G33" i="21" s="1"/>
  <c r="BL122" i="20"/>
  <c r="O3167" i="19" s="1"/>
  <c r="BL120" i="20"/>
  <c r="O3284" i="19"/>
  <c r="O3288" i="19" s="1"/>
  <c r="D3283" i="19" s="1"/>
  <c r="H127" i="4" s="1"/>
  <c r="M3290" i="19"/>
  <c r="M3295" i="19" s="1"/>
  <c r="D3289" i="19" s="1"/>
  <c r="H772" i="4" s="1"/>
  <c r="CM186" i="22"/>
  <c r="O2461" i="19" s="1"/>
  <c r="O791" i="19"/>
  <c r="D786" i="19" s="1"/>
  <c r="H647" i="4" s="1"/>
  <c r="K3268" i="19"/>
  <c r="K3270" i="19" s="1"/>
  <c r="K3272" i="19" s="1"/>
  <c r="D3267" i="19" s="1"/>
  <c r="H169" i="4" s="1"/>
  <c r="BB356" i="22"/>
  <c r="BA359" i="22" s="1"/>
  <c r="BA356" i="22"/>
  <c r="O4758" i="19" s="1"/>
  <c r="G11" i="21"/>
  <c r="CK100" i="22"/>
  <c r="CM99" i="22" s="1"/>
  <c r="O1076" i="19" s="1"/>
  <c r="H43" i="21"/>
  <c r="H50" i="21" s="1"/>
  <c r="D50" i="21"/>
  <c r="M4781" i="19"/>
  <c r="O4788" i="19"/>
  <c r="M4788" i="19" s="1"/>
  <c r="O1095" i="19"/>
  <c r="M1095" i="19" s="1"/>
  <c r="O3512" i="19"/>
  <c r="O3516" i="19" s="1"/>
  <c r="D3509" i="19" s="1"/>
  <c r="H652" i="4" s="1"/>
  <c r="O3529" i="19"/>
  <c r="O3537" i="19" s="1"/>
  <c r="M3537" i="19" s="1"/>
  <c r="E34" i="21"/>
  <c r="G34" i="21" s="1"/>
  <c r="BC246" i="22"/>
  <c r="O3534" i="19"/>
  <c r="M3534" i="19" s="1"/>
  <c r="O4761" i="19"/>
  <c r="CK360" i="22"/>
  <c r="BA183" i="22"/>
  <c r="BB109" i="22"/>
  <c r="BB183" i="22" s="1"/>
  <c r="BA186" i="22" s="1"/>
  <c r="L838" i="4"/>
  <c r="BA96" i="22"/>
  <c r="BB11" i="22"/>
  <c r="BB96" i="22" s="1"/>
  <c r="BA99" i="22" s="1"/>
  <c r="M799" i="19"/>
  <c r="M805" i="19" s="1"/>
  <c r="D798" i="19" s="1"/>
  <c r="H751" i="4" s="1"/>
  <c r="O793" i="19"/>
  <c r="O797" i="19" s="1"/>
  <c r="D792" i="19" s="1"/>
  <c r="H119" i="4" s="1"/>
  <c r="H315" i="4" l="1"/>
  <c r="H309" i="4"/>
  <c r="F43" i="21"/>
  <c r="O4361" i="19"/>
  <c r="M4361" i="19" s="1"/>
  <c r="F25" i="21"/>
  <c r="I33" i="21"/>
  <c r="G36" i="21"/>
  <c r="G37" i="21" s="1"/>
  <c r="I11" i="21"/>
  <c r="L651" i="4"/>
  <c r="L315" i="4"/>
  <c r="L723" i="4"/>
  <c r="O3175" i="19"/>
  <c r="O3176" i="19" s="1"/>
  <c r="D3174" i="19" s="1"/>
  <c r="H478" i="4" s="1"/>
  <c r="O3164" i="19"/>
  <c r="O3165" i="19" s="1"/>
  <c r="D3162" i="19" s="1"/>
  <c r="H126" i="4" s="1"/>
  <c r="M3167" i="19"/>
  <c r="M3169" i="19" s="1"/>
  <c r="D3166" i="19" s="1"/>
  <c r="H771" i="4" s="1"/>
  <c r="O3171" i="19"/>
  <c r="M3171" i="19" s="1"/>
  <c r="M3173" i="19" s="1"/>
  <c r="D3170" i="19" s="1"/>
  <c r="H729" i="4" s="1"/>
  <c r="L647" i="4"/>
  <c r="O4762" i="19"/>
  <c r="D4755" i="19" s="1"/>
  <c r="H654" i="4" s="1"/>
  <c r="O4775" i="19"/>
  <c r="O4783" i="19" s="1"/>
  <c r="M4783" i="19" s="1"/>
  <c r="BA360" i="22"/>
  <c r="BC358" i="22" s="1"/>
  <c r="O4766" i="19" s="1"/>
  <c r="O680" i="19"/>
  <c r="O681" i="19" s="1"/>
  <c r="D679" i="19" s="1"/>
  <c r="H472" i="4" s="1"/>
  <c r="O669" i="19"/>
  <c r="O670" i="19" s="1"/>
  <c r="D667" i="19" s="1"/>
  <c r="H118" i="4" s="1"/>
  <c r="O676" i="19"/>
  <c r="M676" i="19" s="1"/>
  <c r="M678" i="19" s="1"/>
  <c r="D675" i="19" s="1"/>
  <c r="H710" i="4" s="1"/>
  <c r="M672" i="19"/>
  <c r="M674" i="19" s="1"/>
  <c r="D671" i="19" s="1"/>
  <c r="H750" i="4" s="1"/>
  <c r="E13" i="21"/>
  <c r="G13" i="21" s="1"/>
  <c r="I13" i="21" s="1"/>
  <c r="O3532" i="19"/>
  <c r="D3517" i="19" s="1"/>
  <c r="H128" i="4" s="1"/>
  <c r="E36" i="21"/>
  <c r="M3539" i="19"/>
  <c r="D3533" i="19" s="1"/>
  <c r="H773" i="4" s="1"/>
  <c r="O3541" i="19"/>
  <c r="O3545" i="19" s="1"/>
  <c r="O3546" i="19" s="1"/>
  <c r="D3544" i="19" s="1"/>
  <c r="H479" i="4" s="1"/>
  <c r="I34" i="21"/>
  <c r="CM359" i="22"/>
  <c r="O4769" i="19" s="1"/>
  <c r="E44" i="21"/>
  <c r="G44" i="21" s="1"/>
  <c r="I44" i="21" s="1"/>
  <c r="O2450" i="19"/>
  <c r="O2454" i="19" s="1"/>
  <c r="D2447" i="19" s="1"/>
  <c r="H650" i="4" s="1"/>
  <c r="O2467" i="19"/>
  <c r="L119" i="4"/>
  <c r="L751" i="4"/>
  <c r="F12" i="21"/>
  <c r="O1316" i="19"/>
  <c r="O1320" i="19" s="1"/>
  <c r="O1065" i="19"/>
  <c r="O1069" i="19" s="1"/>
  <c r="D1062" i="19" s="1"/>
  <c r="H648" i="4" s="1"/>
  <c r="O1082" i="19"/>
  <c r="O1090" i="19" s="1"/>
  <c r="M1090" i="19" s="1"/>
  <c r="BA100" i="22"/>
  <c r="F17" i="21" l="1"/>
  <c r="I14" i="21"/>
  <c r="I36" i="21"/>
  <c r="L652" i="4"/>
  <c r="L169" i="4"/>
  <c r="L127" i="4"/>
  <c r="L772" i="4"/>
  <c r="E43" i="21"/>
  <c r="G43" i="21" s="1"/>
  <c r="I43" i="21" s="1"/>
  <c r="O4780" i="19"/>
  <c r="O4787" i="19" s="1"/>
  <c r="BC356" i="22"/>
  <c r="L118" i="4"/>
  <c r="L710" i="4"/>
  <c r="L750" i="4"/>
  <c r="L472" i="4"/>
  <c r="M3541" i="19"/>
  <c r="M3543" i="19" s="1"/>
  <c r="D3540" i="19" s="1"/>
  <c r="H730" i="4" s="1"/>
  <c r="O4778" i="19"/>
  <c r="D4763" i="19" s="1"/>
  <c r="H132" i="4" s="1"/>
  <c r="O2476" i="19"/>
  <c r="M2476" i="19" s="1"/>
  <c r="O2470" i="19"/>
  <c r="D2455" i="19" s="1"/>
  <c r="H124" i="4" s="1"/>
  <c r="L650" i="4"/>
  <c r="M1320" i="19"/>
  <c r="O1325" i="19"/>
  <c r="BC96" i="22"/>
  <c r="BC98" i="22"/>
  <c r="O1073" i="19" s="1"/>
  <c r="E12" i="21"/>
  <c r="L648" i="4"/>
  <c r="O1318" i="19"/>
  <c r="M1318" i="19" s="1"/>
  <c r="L771" i="4" l="1"/>
  <c r="L479" i="4"/>
  <c r="L654" i="4"/>
  <c r="L729" i="4"/>
  <c r="L128" i="4"/>
  <c r="L773" i="4"/>
  <c r="L478" i="4"/>
  <c r="L126" i="4"/>
  <c r="M4780" i="19"/>
  <c r="M4785" i="19" s="1"/>
  <c r="D4779" i="19" s="1"/>
  <c r="H783" i="4" s="1"/>
  <c r="G12" i="21"/>
  <c r="G17" i="21" s="1"/>
  <c r="E17" i="21"/>
  <c r="M1322" i="19"/>
  <c r="D1312" i="19" s="1"/>
  <c r="H754" i="4" s="1"/>
  <c r="L132" i="4"/>
  <c r="L124" i="4"/>
  <c r="O1087" i="19"/>
  <c r="O1085" i="19"/>
  <c r="D1070" i="19" s="1"/>
  <c r="H120" i="4" s="1"/>
  <c r="M1325" i="19"/>
  <c r="M1327" i="19" s="1"/>
  <c r="D1323" i="19" s="1"/>
  <c r="H713" i="4" s="1"/>
  <c r="O1330" i="19"/>
  <c r="O1332" i="19" s="1"/>
  <c r="D1328" i="19" s="1"/>
  <c r="H475" i="4" s="1"/>
  <c r="M4787" i="19"/>
  <c r="M4789" i="19" s="1"/>
  <c r="D4786" i="19" s="1"/>
  <c r="H739" i="4" s="1"/>
  <c r="O4791" i="19"/>
  <c r="O4792" i="19" s="1"/>
  <c r="D4790" i="19" s="1"/>
  <c r="H481" i="4" s="1"/>
  <c r="L730" i="4" l="1"/>
  <c r="I12" i="21"/>
  <c r="I17" i="21" s="1"/>
  <c r="L754" i="4"/>
  <c r="L713" i="4"/>
  <c r="L739" i="4"/>
  <c r="L120" i="4"/>
  <c r="L475" i="4"/>
  <c r="M1087" i="19"/>
  <c r="M1092" i="19" s="1"/>
  <c r="D1086" i="19" s="1"/>
  <c r="H752" i="4" s="1"/>
  <c r="O1094" i="19"/>
  <c r="L481" i="4"/>
  <c r="L783" i="4" l="1"/>
  <c r="G18" i="21"/>
  <c r="L752" i="4"/>
  <c r="O1098" i="19"/>
  <c r="O1099" i="19" s="1"/>
  <c r="D1097" i="19" s="1"/>
  <c r="H473" i="4" s="1"/>
  <c r="M1094" i="19"/>
  <c r="M1096" i="19" s="1"/>
  <c r="D1093" i="19" s="1"/>
  <c r="H711" i="4" s="1"/>
  <c r="L473" i="4" l="1"/>
  <c r="L711" i="4"/>
  <c r="BJ43" i="20" l="1"/>
  <c r="BK44" i="20"/>
  <c r="BK45" i="20"/>
  <c r="BK46" i="20"/>
  <c r="BK47" i="20"/>
  <c r="BK48" i="20"/>
  <c r="BK49" i="20"/>
  <c r="BK50" i="20"/>
  <c r="BK51" i="20"/>
  <c r="BK52" i="20"/>
  <c r="BK53" i="20"/>
  <c r="BK54" i="20"/>
  <c r="BK55" i="20"/>
  <c r="BK56" i="20"/>
  <c r="BK57" i="20"/>
  <c r="BK58" i="20"/>
  <c r="BK59" i="20"/>
  <c r="BK60" i="20"/>
  <c r="BK61" i="20"/>
  <c r="BK62" i="20"/>
  <c r="BK63" i="20"/>
  <c r="BK64" i="20"/>
  <c r="BK65" i="20"/>
  <c r="BK66" i="20"/>
  <c r="BK67" i="20"/>
  <c r="BK68" i="20"/>
  <c r="BK69" i="20"/>
  <c r="BK70" i="20"/>
  <c r="BK71" i="20"/>
  <c r="BK72" i="20"/>
  <c r="BK73" i="20"/>
  <c r="BK74" i="20"/>
  <c r="BK75" i="20"/>
  <c r="BK76" i="20"/>
  <c r="BK77" i="20"/>
  <c r="BK79" i="20"/>
  <c r="BK80" i="20"/>
  <c r="BK81" i="20"/>
  <c r="BK82" i="20"/>
  <c r="BK83" i="20"/>
  <c r="BK84" i="20"/>
  <c r="BK85" i="20"/>
  <c r="BK86" i="20"/>
  <c r="BK87" i="20"/>
  <c r="BK88" i="20"/>
  <c r="BJ89" i="20" l="1"/>
  <c r="BK43" i="20"/>
  <c r="BK89" i="20" s="1"/>
  <c r="BJ92" i="20" l="1"/>
  <c r="O2175" i="19"/>
  <c r="BJ93" i="20"/>
  <c r="O2174" i="19"/>
  <c r="F24" i="21" l="1"/>
  <c r="F27" i="21" s="1"/>
  <c r="I26" i="21" s="1"/>
  <c r="O2472" i="19"/>
  <c r="BL91" i="20"/>
  <c r="O2058" i="19" s="1"/>
  <c r="BL89" i="20"/>
  <c r="O2055" i="19" s="1"/>
  <c r="O2056" i="19" s="1"/>
  <c r="D2054" i="19" s="1"/>
  <c r="H122" i="4" s="1"/>
  <c r="E24" i="21"/>
  <c r="O2185" i="19"/>
  <c r="O2177" i="19"/>
  <c r="D2172" i="19" s="1"/>
  <c r="H649" i="4" s="1"/>
  <c r="M2472" i="19" l="1"/>
  <c r="O2473" i="19"/>
  <c r="L122" i="4"/>
  <c r="G24" i="21"/>
  <c r="G27" i="21" s="1"/>
  <c r="E27" i="21"/>
  <c r="M2058" i="19"/>
  <c r="M2060" i="19" s="1"/>
  <c r="D2057" i="19" s="1"/>
  <c r="H761" i="4" s="1"/>
  <c r="O2062" i="19"/>
  <c r="L649" i="4"/>
  <c r="O2179" i="19"/>
  <c r="O2183" i="19" s="1"/>
  <c r="D2178" i="19" s="1"/>
  <c r="H123" i="4" s="1"/>
  <c r="M2185" i="19"/>
  <c r="M2190" i="19" s="1"/>
  <c r="D2184" i="19" s="1"/>
  <c r="H762" i="4" s="1"/>
  <c r="M2473" i="19" l="1"/>
  <c r="M2478" i="19" s="1"/>
  <c r="D2471" i="19" s="1"/>
  <c r="O2480" i="19"/>
  <c r="O2066" i="19"/>
  <c r="O2067" i="19" s="1"/>
  <c r="D2065" i="19" s="1"/>
  <c r="H476" i="4" s="1"/>
  <c r="M2062" i="19"/>
  <c r="M2064" i="19" s="1"/>
  <c r="D2061" i="19" s="1"/>
  <c r="H720" i="4" s="1"/>
  <c r="I24" i="21"/>
  <c r="I27" i="21" s="1"/>
  <c r="L123" i="4"/>
  <c r="L762" i="4"/>
  <c r="H763" i="4" l="1"/>
  <c r="O2484" i="19"/>
  <c r="O2485" i="19" s="1"/>
  <c r="D2483" i="19" s="1"/>
  <c r="M2480" i="19"/>
  <c r="M2482" i="19" s="1"/>
  <c r="D2479" i="19" s="1"/>
  <c r="L761" i="4"/>
  <c r="G28" i="21"/>
  <c r="H477" i="4" l="1"/>
  <c r="L477" i="4"/>
  <c r="H721" i="4"/>
  <c r="L721" i="4"/>
  <c r="L763" i="4"/>
  <c r="L720" i="4"/>
  <c r="L476" i="4"/>
  <c r="BK154" i="20" l="1"/>
  <c r="BK141" i="20"/>
  <c r="BK142" i="20"/>
  <c r="BK143" i="20"/>
  <c r="BK144" i="20"/>
  <c r="BK145" i="20"/>
  <c r="BK146" i="20"/>
  <c r="BK147" i="20"/>
  <c r="BK148" i="20"/>
  <c r="BK149" i="20"/>
  <c r="BK150" i="20"/>
  <c r="BK151" i="20"/>
  <c r="BK152" i="20"/>
  <c r="BK153" i="20"/>
  <c r="BK155" i="20"/>
  <c r="BK156" i="20"/>
  <c r="BK157" i="20"/>
  <c r="BK158" i="20"/>
  <c r="BK159" i="20"/>
  <c r="BK160" i="20"/>
  <c r="BK161" i="20"/>
  <c r="BK162" i="20"/>
  <c r="BK163" i="20"/>
  <c r="BK164" i="20"/>
  <c r="BK165" i="20"/>
  <c r="BK166" i="20"/>
  <c r="BK167" i="20"/>
  <c r="BK168" i="20"/>
  <c r="BK169" i="20"/>
  <c r="BK170" i="20"/>
  <c r="BK171" i="20"/>
  <c r="BK172" i="20"/>
  <c r="BK173" i="20"/>
  <c r="BK174" i="20"/>
  <c r="BK175" i="20"/>
  <c r="BK176" i="20"/>
  <c r="BK177" i="20"/>
  <c r="BK178" i="20"/>
  <c r="BK179" i="20"/>
  <c r="BK180" i="20"/>
  <c r="BK181" i="20"/>
  <c r="BK182" i="20"/>
  <c r="BK183" i="20"/>
  <c r="BK184" i="20"/>
  <c r="BK185" i="20"/>
  <c r="BK186" i="20"/>
  <c r="BK187" i="20"/>
  <c r="BK189" i="20"/>
  <c r="BK191" i="20"/>
  <c r="BJ192" i="20"/>
  <c r="O4482" i="19" s="1"/>
  <c r="BK192" i="20" l="1"/>
  <c r="O4483" i="19" s="1"/>
  <c r="O4485" i="19" s="1"/>
  <c r="D4480" i="19" s="1"/>
  <c r="H653" i="4" s="1"/>
  <c r="BJ195" i="20"/>
  <c r="F42" i="21" s="1"/>
  <c r="F50" i="21" s="1"/>
  <c r="O4493" i="19"/>
  <c r="BJ196" i="20"/>
  <c r="L653" i="4" l="1"/>
  <c r="E42" i="21"/>
  <c r="BL192" i="20"/>
  <c r="BL194" i="20"/>
  <c r="O4360" i="19" s="1"/>
  <c r="O4487" i="19"/>
  <c r="O4491" i="19" s="1"/>
  <c r="D4486" i="19" s="1"/>
  <c r="H131" i="4" s="1"/>
  <c r="M4493" i="19"/>
  <c r="M4498" i="19" s="1"/>
  <c r="D4492" i="19" s="1"/>
  <c r="H782" i="4" s="1"/>
  <c r="L131" i="4" l="1"/>
  <c r="O4365" i="19"/>
  <c r="M4365" i="19" s="1"/>
  <c r="M4360" i="19"/>
  <c r="M4363" i="19" s="1"/>
  <c r="D4359" i="19" s="1"/>
  <c r="H781" i="4" s="1"/>
  <c r="O4356" i="19"/>
  <c r="O4358" i="19" s="1"/>
  <c r="D4355" i="19" s="1"/>
  <c r="H130" i="4" s="1"/>
  <c r="O4369" i="19"/>
  <c r="O4371" i="19" s="1"/>
  <c r="D4368" i="19" s="1"/>
  <c r="H480" i="4" s="1"/>
  <c r="G42" i="21"/>
  <c r="E50" i="21"/>
  <c r="L782" i="4"/>
  <c r="G50" i="21" l="1"/>
  <c r="I42" i="21"/>
  <c r="I50" i="21" s="1"/>
  <c r="L130" i="4"/>
  <c r="L781" i="4"/>
  <c r="L480" i="4"/>
  <c r="G51" i="21" l="1"/>
  <c r="M309" i="4" l="1"/>
  <c r="M308" i="4"/>
  <c r="M311" i="4"/>
  <c r="M310" i="4"/>
  <c r="M313" i="4"/>
  <c r="M312" i="4"/>
  <c r="M315" i="4"/>
  <c r="M314" i="4"/>
  <c r="M614" i="4"/>
  <c r="M228" i="4"/>
  <c r="M672" i="4"/>
  <c r="M263" i="4"/>
  <c r="M318" i="4"/>
  <c r="M465" i="4"/>
  <c r="M639" i="4"/>
  <c r="M655" i="4"/>
  <c r="M794" i="4"/>
  <c r="M584" i="4"/>
  <c r="M388" i="4"/>
  <c r="M205" i="4"/>
  <c r="M706" i="4"/>
  <c r="M708" i="4"/>
  <c r="M367" i="4"/>
  <c r="M417" i="4"/>
  <c r="M75" i="4"/>
  <c r="M354" i="4"/>
  <c r="M601" i="4"/>
  <c r="M752" i="4"/>
  <c r="M36" i="4"/>
  <c r="M713" i="4"/>
  <c r="M295" i="4"/>
  <c r="M213" i="4"/>
  <c r="M165" i="4"/>
  <c r="M244" i="4"/>
  <c r="M237" i="4"/>
  <c r="M368" i="4"/>
  <c r="M750" i="4"/>
  <c r="M453" i="4"/>
  <c r="M831" i="4"/>
  <c r="M146" i="4"/>
  <c r="M694" i="4"/>
  <c r="M376" i="4"/>
  <c r="M535" i="4"/>
  <c r="M473" i="4"/>
  <c r="M676" i="4"/>
  <c r="M164" i="4"/>
  <c r="M537" i="4"/>
  <c r="M284" i="4"/>
  <c r="M683" i="4"/>
  <c r="M236" i="4"/>
  <c r="M666" i="4"/>
  <c r="M396" i="4"/>
  <c r="M409" i="4"/>
  <c r="M267" i="4"/>
  <c r="M24" i="4"/>
  <c r="M801" i="4"/>
  <c r="M331" i="4"/>
  <c r="M466" i="4"/>
  <c r="M656" i="4"/>
  <c r="M548" i="4"/>
  <c r="M11" i="4"/>
  <c r="M602" i="4"/>
  <c r="M691" i="4"/>
  <c r="M377" i="4"/>
  <c r="M755" i="4"/>
  <c r="M577" i="4"/>
  <c r="M250" i="4"/>
  <c r="M98" i="4"/>
  <c r="M239" i="4"/>
  <c r="M348" i="4"/>
  <c r="M720" i="4"/>
  <c r="M438" i="4"/>
  <c r="M248" i="4"/>
  <c r="M224" i="4"/>
  <c r="M361" i="4"/>
  <c r="M472" i="4"/>
  <c r="M57" i="4"/>
  <c r="M32" i="4"/>
  <c r="M684" i="4"/>
  <c r="M410" i="4"/>
  <c r="M120" i="4"/>
  <c r="M3" i="4"/>
  <c r="M712" i="4"/>
  <c r="M212" i="4"/>
  <c r="M571" i="4"/>
  <c r="M95" i="4"/>
  <c r="M585" i="4"/>
  <c r="M715" i="4"/>
  <c r="M225" i="4"/>
  <c r="M351" i="4"/>
  <c r="M457" i="4"/>
  <c r="M271" i="4"/>
  <c r="M45" i="4"/>
  <c r="M135" i="4"/>
  <c r="M625" i="4"/>
  <c r="M379" i="4"/>
  <c r="M539" i="4"/>
  <c r="M477" i="4"/>
  <c r="M677" i="4"/>
  <c r="M323" i="4"/>
  <c r="M125" i="4"/>
  <c r="M621" i="4"/>
  <c r="M104" i="4"/>
  <c r="M241" i="4"/>
  <c r="M300" i="4"/>
  <c r="M771" i="4"/>
  <c r="M439" i="4"/>
  <c r="M217" i="4"/>
  <c r="M148" i="4"/>
  <c r="M358" i="4"/>
  <c r="M218" i="4"/>
  <c r="M128" i="4"/>
  <c r="M829" i="4"/>
  <c r="M89" i="4"/>
  <c r="M486" i="4"/>
  <c r="M330" i="4"/>
  <c r="M600" i="4"/>
  <c r="M789" i="4"/>
  <c r="M430" i="4"/>
  <c r="M711" i="4"/>
  <c r="M181" i="4"/>
  <c r="M474" i="4"/>
  <c r="M833" i="4"/>
  <c r="M121" i="4"/>
  <c r="M696" i="4"/>
  <c r="M487" i="4"/>
  <c r="M264" i="4"/>
  <c r="M397" i="4"/>
  <c r="M411" i="4"/>
  <c r="M538" i="4"/>
  <c r="M25" i="4"/>
  <c r="M799" i="4"/>
  <c r="M686" i="4"/>
  <c r="M286" i="4"/>
  <c r="M491" i="4"/>
  <c r="M595" i="4"/>
  <c r="M565" i="4"/>
  <c r="M380" i="4"/>
  <c r="M764" i="4"/>
  <c r="M579" i="4"/>
  <c r="M252" i="4"/>
  <c r="M767" i="4"/>
  <c r="M232" i="4"/>
  <c r="M729" i="4"/>
  <c r="M455" i="4"/>
  <c r="M838" i="4"/>
  <c r="M796" i="4"/>
  <c r="M745" i="4"/>
  <c r="M92" i="4"/>
  <c r="M347" i="4"/>
  <c r="M534" i="4"/>
  <c r="M150" i="4"/>
  <c r="M344" i="4"/>
  <c r="M640" i="4"/>
  <c r="M490" i="4"/>
  <c r="M188" i="4"/>
  <c r="M316" i="4"/>
  <c r="M269" i="4"/>
  <c r="M695" i="4"/>
  <c r="M714" i="4"/>
  <c r="M685" i="4"/>
  <c r="M238" i="4"/>
  <c r="M673" i="4"/>
  <c r="M299" i="4"/>
  <c r="M401" i="4"/>
  <c r="M431" i="4"/>
  <c r="M285" i="4"/>
  <c r="M28" i="4"/>
  <c r="M809" i="4"/>
  <c r="M303" i="4"/>
  <c r="M424" i="4"/>
  <c r="M836" i="4"/>
  <c r="M202" i="4"/>
  <c r="M5" i="4"/>
  <c r="M256" i="4"/>
  <c r="M156" i="4"/>
  <c r="M722" i="4"/>
  <c r="M592" i="4"/>
  <c r="M102" i="4"/>
  <c r="M725" i="4"/>
  <c r="M106" i="4"/>
  <c r="M478" i="4"/>
  <c r="M169" i="4"/>
  <c r="M575" i="4"/>
  <c r="M336" i="4"/>
  <c r="M441" i="4"/>
  <c r="M210" i="4"/>
  <c r="M134" i="4"/>
  <c r="M385" i="4"/>
  <c r="M268" i="4"/>
  <c r="M10" i="4"/>
  <c r="M549" i="4"/>
  <c r="M475" i="4"/>
  <c r="M77" i="4"/>
  <c r="M320" i="4"/>
  <c r="M270" i="4"/>
  <c r="M615" i="4"/>
  <c r="M97" i="4"/>
  <c r="M99" i="4"/>
  <c r="M122" i="4"/>
  <c r="M418" i="4"/>
  <c r="M214" i="4"/>
  <c r="M802" i="4"/>
  <c r="M363" i="4"/>
  <c r="M459" i="4"/>
  <c r="M499" i="4"/>
  <c r="M4" i="4"/>
  <c r="M190" i="4"/>
  <c r="M590" i="4"/>
  <c r="M90" i="4"/>
  <c r="M229" i="4"/>
  <c r="M353" i="4"/>
  <c r="M429" i="4"/>
  <c r="M162" i="4"/>
  <c r="M798" i="4"/>
  <c r="M369" i="4"/>
  <c r="M282" i="4"/>
  <c r="M2" i="4"/>
  <c r="M153" i="4"/>
  <c r="M508" i="4"/>
  <c r="M22" i="4"/>
  <c r="M154" i="4"/>
  <c r="M78" i="4"/>
  <c r="M53" i="4"/>
  <c r="M757" i="4"/>
  <c r="M759" i="4"/>
  <c r="M332" i="4"/>
  <c r="M761" i="4"/>
  <c r="M454" i="4"/>
  <c r="M835" i="4"/>
  <c r="M790" i="4"/>
  <c r="M811" i="4"/>
  <c r="M386" i="4"/>
  <c r="M412" i="4"/>
  <c r="M62" i="4"/>
  <c r="M513" i="4"/>
  <c r="M517" i="4"/>
  <c r="M260" i="4"/>
  <c r="M606" i="4"/>
  <c r="M273" i="4"/>
  <c r="M687" i="4"/>
  <c r="M488" i="4"/>
  <c r="M357" i="4"/>
  <c r="M583" i="4"/>
  <c r="M746" i="4"/>
  <c r="M93" i="4"/>
  <c r="M375" i="4"/>
  <c r="M449" i="4"/>
  <c r="M647" i="4"/>
  <c r="M808" i="4"/>
  <c r="M337" i="4"/>
  <c r="M832" i="4"/>
  <c r="M512" i="4"/>
  <c r="M405" i="4"/>
  <c r="M525" i="4"/>
  <c r="M206" i="4"/>
  <c r="M716" i="4"/>
  <c r="M718" i="4"/>
  <c r="M370" i="4"/>
  <c r="M476" i="4"/>
  <c r="M166" i="4"/>
  <c r="M147" i="4"/>
  <c r="M143" i="4"/>
  <c r="M333" i="4"/>
  <c r="M432" i="4"/>
  <c r="M80" i="4"/>
  <c r="M189" i="4"/>
  <c r="M551" i="4"/>
  <c r="M540" i="4"/>
  <c r="M287" i="4"/>
  <c r="M631" i="4"/>
  <c r="M240" i="4"/>
  <c r="M674" i="4"/>
  <c r="M233" i="4"/>
  <c r="M324" i="4"/>
  <c r="M425" i="4"/>
  <c r="M64" i="4"/>
  <c r="M772" i="4"/>
  <c r="M816" i="4"/>
  <c r="M446" i="4"/>
  <c r="M170" i="4"/>
  <c r="M14" i="4"/>
  <c r="M693" i="4"/>
  <c r="M749" i="4"/>
  <c r="M350" i="4"/>
  <c r="M437" i="4"/>
  <c r="M119" i="4"/>
  <c r="M137" i="4"/>
  <c r="M319" i="4"/>
  <c r="M163" i="4"/>
  <c r="M187" i="4"/>
  <c r="M52" i="4"/>
  <c r="M747" i="4"/>
  <c r="M394" i="4"/>
  <c r="M40" i="4"/>
  <c r="M814" i="4"/>
  <c r="M422" i="4"/>
  <c r="M58" i="4"/>
  <c r="M827" i="4"/>
  <c r="M568" i="4"/>
  <c r="M496" i="4"/>
  <c r="M497" i="4"/>
  <c r="M758" i="4"/>
  <c r="M100" i="4"/>
  <c r="M355" i="4"/>
  <c r="M498" i="4"/>
  <c r="M123" i="4"/>
  <c r="M151" i="4"/>
  <c r="M578" i="4"/>
  <c r="M356" i="4"/>
  <c r="M215" i="4"/>
  <c r="M124" i="4"/>
  <c r="M828" i="4"/>
  <c r="M406" i="4"/>
  <c r="M660" i="4"/>
  <c r="M207" i="4"/>
  <c r="M724" i="4"/>
  <c r="M768" i="4"/>
  <c r="M47" i="4"/>
  <c r="M707" i="4"/>
  <c r="M298" i="4"/>
  <c r="M118" i="4"/>
  <c r="M635" i="4"/>
  <c r="M44" i="4"/>
  <c r="M576" i="4"/>
  <c r="M710" i="4"/>
  <c r="M494" i="4"/>
  <c r="M27" i="4"/>
  <c r="M624" i="4"/>
  <c r="M458" i="4"/>
  <c r="M648" i="4"/>
  <c r="M594" i="4"/>
  <c r="M753" i="4"/>
  <c r="M536" i="4"/>
  <c r="M71" i="4"/>
  <c r="M177" i="4"/>
  <c r="M591" i="4"/>
  <c r="M756" i="4"/>
  <c r="M719" i="4"/>
  <c r="M378" i="4"/>
  <c r="M443" i="4"/>
  <c r="M604" i="4"/>
  <c r="M41" i="4"/>
  <c r="M821" i="4"/>
  <c r="M697" i="4"/>
  <c r="M322" i="4"/>
  <c r="M272" i="4"/>
  <c r="M721" i="4"/>
  <c r="M562" i="4"/>
  <c r="M251" i="4"/>
  <c r="M101" i="4"/>
  <c r="M304" i="4"/>
  <c r="M246" i="4"/>
  <c r="M265" i="4"/>
  <c r="M126" i="4"/>
  <c r="M421" i="4"/>
  <c r="M201" i="4"/>
  <c r="M627" i="4"/>
  <c r="M48" i="4"/>
  <c r="M393" i="4"/>
  <c r="M658" i="4"/>
  <c r="M371" i="4"/>
  <c r="M550" i="4"/>
  <c r="M526" i="4"/>
  <c r="M616" i="4"/>
  <c r="M726" i="4"/>
  <c r="M274" i="4"/>
  <c r="M139" i="4"/>
  <c r="M502" i="4"/>
  <c r="M191" i="4"/>
  <c r="M15" i="4"/>
  <c r="M129" i="4"/>
  <c r="M50" i="4"/>
  <c r="M735" i="4"/>
  <c r="M359" i="4"/>
  <c r="M415" i="4"/>
  <c r="M67" i="4"/>
  <c r="M803" i="4"/>
  <c r="M366" i="4"/>
  <c r="M462" i="4"/>
  <c r="M68" i="4"/>
  <c r="M515" i="4"/>
  <c r="M519" i="4"/>
  <c r="M703" i="4"/>
  <c r="M115" i="4"/>
  <c r="M116" i="4"/>
  <c r="M671" i="4"/>
  <c r="M88" i="4"/>
  <c r="M484" i="4"/>
  <c r="M682" i="4"/>
  <c r="M618" i="4"/>
  <c r="M792" i="4"/>
  <c r="M813" i="4"/>
  <c r="M387" i="4"/>
  <c r="M416" i="4"/>
  <c r="M86" i="4"/>
  <c r="M193" i="4"/>
  <c r="M555" i="4"/>
  <c r="M564" i="4"/>
  <c r="M255" i="4"/>
  <c r="M133" i="4"/>
  <c r="M785" i="4"/>
  <c r="M180" i="4"/>
  <c r="M23" i="4"/>
  <c r="M560" i="4"/>
  <c r="M200" i="4"/>
  <c r="M681" i="4"/>
  <c r="M56" i="4"/>
  <c r="M744" i="4"/>
  <c r="M463" i="4"/>
  <c r="M823" i="4"/>
  <c r="M598" i="4"/>
  <c r="M302" i="4"/>
  <c r="M338" i="4"/>
  <c r="M649" i="4"/>
  <c r="M339" i="4"/>
  <c r="M824" i="4"/>
  <c r="M216" i="4"/>
  <c r="M54" i="4"/>
  <c r="M769" i="4"/>
  <c r="M541" i="4"/>
  <c r="M812" i="4"/>
  <c r="M426" i="4"/>
  <c r="M65" i="4"/>
  <c r="M552" i="4"/>
  <c r="M157" i="4"/>
  <c r="M700" i="4"/>
  <c r="M774" i="4"/>
  <c r="M306" i="4"/>
  <c r="M247" i="4"/>
  <c r="M266" i="4"/>
  <c r="M327" i="4"/>
  <c r="M435" i="4"/>
  <c r="M610" i="4"/>
  <c r="M281" i="4"/>
  <c r="M259" i="4"/>
  <c r="M96" i="4"/>
  <c r="M321" i="4"/>
  <c r="M762" i="4"/>
  <c r="M389" i="4"/>
  <c r="M37" i="4"/>
  <c r="M63" i="4"/>
  <c r="M49" i="4"/>
  <c r="M727" i="4"/>
  <c r="M469" i="4"/>
  <c r="M288" i="4"/>
  <c r="M144" i="4"/>
  <c r="M460" i="4"/>
  <c r="M83" i="4"/>
  <c r="M825" i="4"/>
  <c r="M407" i="4"/>
  <c r="M253" i="4"/>
  <c r="M731" i="4"/>
  <c r="M622" i="4"/>
  <c r="M111" i="4"/>
  <c r="M243" i="4"/>
  <c r="M301" i="4"/>
  <c r="M383" i="4"/>
  <c r="M738" i="4"/>
  <c r="M452" i="4"/>
  <c r="M277" i="4"/>
  <c r="M149" i="4"/>
  <c r="M145" i="4"/>
  <c r="M335" i="4"/>
  <c r="M436" i="4"/>
  <c r="M664" i="4"/>
  <c r="M554" i="4"/>
  <c r="M17" i="4"/>
  <c r="M329" i="4"/>
  <c r="M784" i="4"/>
  <c r="M741" i="4"/>
  <c r="M507" i="4"/>
  <c r="M404" i="4"/>
  <c r="M199" i="4"/>
  <c r="M198" i="4"/>
  <c r="M186" i="4"/>
  <c r="M209" i="4"/>
  <c r="M420" i="4"/>
  <c r="M544" i="4"/>
  <c r="M797" i="4"/>
  <c r="M817" i="4"/>
  <c r="M374" i="4"/>
  <c r="M646" i="4"/>
  <c r="M654" i="4"/>
  <c r="M826" i="4"/>
  <c r="M159" i="4"/>
  <c r="M567" i="4"/>
  <c r="M160" i="4"/>
  <c r="M740" i="4"/>
  <c r="M482" i="4"/>
  <c r="M70" i="4"/>
  <c r="M628" i="4"/>
  <c r="M788" i="4"/>
  <c r="M523" i="4"/>
  <c r="M558" i="4"/>
  <c r="M196" i="4"/>
  <c r="M51" i="4"/>
  <c r="M819" i="4"/>
  <c r="M343" i="4"/>
  <c r="M221" i="4"/>
  <c r="M132" i="4"/>
  <c r="M830" i="4"/>
  <c r="M408" i="4"/>
  <c r="M258" i="4"/>
  <c r="M528" i="4"/>
  <c r="M843" i="4"/>
  <c r="M613" i="4"/>
  <c r="M692" i="4"/>
  <c r="M524" i="4"/>
  <c r="M521" i="4"/>
  <c r="M522" i="4"/>
  <c r="M1" i="4"/>
  <c r="M751" i="4"/>
  <c r="M516" i="4"/>
  <c r="M249" i="4"/>
  <c r="M230" i="4"/>
  <c r="M33" i="4"/>
  <c r="M444" i="4"/>
  <c r="M182" i="4"/>
  <c r="M500" i="4"/>
  <c r="M765" i="4"/>
  <c r="M107" i="4"/>
  <c r="M445" i="4"/>
  <c r="M82" i="4"/>
  <c r="M805" i="4"/>
  <c r="M414" i="4"/>
  <c r="M662" i="4"/>
  <c r="M38" i="4"/>
  <c r="M326" i="4"/>
  <c r="M840" i="4"/>
  <c r="M581" i="4"/>
  <c r="M254" i="4"/>
  <c r="M777" i="4"/>
  <c r="M234" i="4"/>
  <c r="M352" i="4"/>
  <c r="M619" i="4"/>
  <c r="M820" i="4"/>
  <c r="M561" i="4"/>
  <c r="M603" i="4"/>
  <c r="M795" i="4"/>
  <c r="M468" i="4"/>
  <c r="M13" i="4"/>
  <c r="M178" i="4"/>
  <c r="M723" i="4"/>
  <c r="M770" i="4"/>
  <c r="M413" i="4"/>
  <c r="M661" i="4"/>
  <c r="M434" i="4"/>
  <c r="M652" i="4"/>
  <c r="M563" i="4"/>
  <c r="M158" i="4"/>
  <c r="M171" i="4"/>
  <c r="M593" i="4"/>
  <c r="M109" i="4"/>
  <c r="M734" i="4"/>
  <c r="M113" i="4"/>
  <c r="M399" i="4"/>
  <c r="M440" i="4"/>
  <c r="M291" i="4"/>
  <c r="M629" i="4"/>
  <c r="M142" i="4"/>
  <c r="M60" i="4"/>
  <c r="M245" i="4"/>
  <c r="M467" i="4"/>
  <c r="M818" i="4"/>
  <c r="M642" i="4"/>
  <c r="M155" i="4"/>
  <c r="M837" i="4"/>
  <c r="M103" i="4"/>
  <c r="M728" i="4"/>
  <c r="M433" i="4"/>
  <c r="M651" i="4"/>
  <c r="M580" i="4"/>
  <c r="M470" i="4"/>
  <c r="M773" i="4"/>
  <c r="M678" i="4"/>
  <c r="M527" i="4"/>
  <c r="M276" i="4"/>
  <c r="M588" i="4"/>
  <c r="M775" i="4"/>
  <c r="M779" i="4"/>
  <c r="M403" i="4"/>
  <c r="M456" i="4"/>
  <c r="M85" i="4"/>
  <c r="M152" i="4"/>
  <c r="M582" i="4"/>
  <c r="M360" i="4"/>
  <c r="M611" i="4"/>
  <c r="M783" i="4"/>
  <c r="M39" i="4"/>
  <c r="M222" i="4"/>
  <c r="M174" i="4"/>
  <c r="M317" i="4"/>
  <c r="M547" i="4"/>
  <c r="M599" i="4"/>
  <c r="M485" i="4"/>
  <c r="M533" i="4"/>
  <c r="M20" i="4"/>
  <c r="M559" i="4"/>
  <c r="M634" i="4"/>
  <c r="M292" i="4"/>
  <c r="M570" i="4"/>
  <c r="M197" i="4"/>
  <c r="M623" i="4"/>
  <c r="M705" i="4"/>
  <c r="M362" i="4"/>
  <c r="M94" i="4"/>
  <c r="M657" i="4"/>
  <c r="M717" i="4"/>
  <c r="M423" i="4"/>
  <c r="M806" i="4"/>
  <c r="M605" i="4"/>
  <c r="M168" i="4"/>
  <c r="M766" i="4"/>
  <c r="M451" i="4"/>
  <c r="M127" i="4"/>
  <c r="M305" i="4"/>
  <c r="M644" i="4"/>
  <c r="M730" i="4"/>
  <c r="M596" i="4"/>
  <c r="M566" i="4"/>
  <c r="M219" i="4"/>
  <c r="M290" i="4"/>
  <c r="M701" i="4"/>
  <c r="M732" i="4"/>
  <c r="M227" i="4"/>
  <c r="M736" i="4"/>
  <c r="M395" i="4"/>
  <c r="M464" i="4"/>
  <c r="M220" i="4"/>
  <c r="M807" i="4"/>
  <c r="M589" i="4"/>
  <c r="M391" i="4"/>
  <c r="M278" i="4"/>
  <c r="M739" i="4"/>
  <c r="M680" i="4"/>
  <c r="M612" i="4"/>
  <c r="M279" i="4"/>
  <c r="M786" i="4"/>
  <c r="M223" i="4"/>
  <c r="M297" i="4"/>
  <c r="M793" i="4"/>
  <c r="M21" i="4"/>
  <c r="M91" i="4"/>
  <c r="M754" i="4"/>
  <c r="M834" i="4"/>
  <c r="M667" i="4"/>
  <c r="M450" i="4"/>
  <c r="M138" i="4"/>
  <c r="M167" i="4"/>
  <c r="M81" i="4"/>
  <c r="M364" i="4"/>
  <c r="M419" i="4"/>
  <c r="M42" i="4"/>
  <c r="M372" i="4"/>
  <c r="M608" i="4"/>
  <c r="M479" i="4"/>
  <c r="M7" i="4"/>
  <c r="M257" i="4"/>
  <c r="M609" i="4"/>
  <c r="M84" i="4"/>
  <c r="M688" i="4"/>
  <c r="M489" i="4"/>
  <c r="M365" i="4"/>
  <c r="M471" i="4"/>
  <c r="M841" i="4"/>
  <c r="M43" i="4"/>
  <c r="M822" i="4"/>
  <c r="M702" i="4"/>
  <c r="M328" i="4"/>
  <c r="M545" i="4"/>
  <c r="M481" i="4"/>
  <c r="M679" i="4"/>
  <c r="M185" i="4"/>
  <c r="M262" i="4"/>
  <c r="M546" i="4"/>
  <c r="M293" i="4"/>
  <c r="M742" i="4"/>
  <c r="M296" i="4"/>
  <c r="M510" i="4"/>
  <c r="M141" i="4"/>
  <c r="M172" i="4"/>
  <c r="M46" i="4"/>
  <c r="M136" i="4"/>
  <c r="M626" i="4"/>
  <c r="M384" i="4"/>
  <c r="M493" i="4"/>
  <c r="M597" i="4"/>
  <c r="M195" i="4"/>
  <c r="M69" i="4"/>
  <c r="M87" i="4"/>
  <c r="M483" i="4"/>
  <c r="M844" i="4"/>
  <c r="M804" i="4"/>
  <c r="M461" i="4"/>
  <c r="M35" i="4"/>
  <c r="M140" i="4"/>
  <c r="M346" i="4"/>
  <c r="M448" i="4"/>
  <c r="M505" i="4"/>
  <c r="M194" i="4"/>
  <c r="M511" i="4"/>
  <c r="M179" i="4"/>
  <c r="M743" i="4"/>
  <c r="M748" i="4"/>
  <c r="M442" i="4"/>
  <c r="M670" i="4"/>
  <c r="M641" i="4"/>
  <c r="M815" i="4"/>
  <c r="M659" i="4"/>
  <c r="M340" i="4"/>
  <c r="M643" i="4"/>
  <c r="M29" i="4"/>
  <c r="M341" i="4"/>
  <c r="M275" i="4"/>
  <c r="M492" i="4"/>
  <c r="M183" i="4"/>
  <c r="M543" i="4"/>
  <c r="M632" i="4"/>
  <c r="M242" i="4"/>
  <c r="M675" i="4"/>
  <c r="M235" i="4"/>
  <c r="M334" i="4"/>
  <c r="M709" i="4"/>
  <c r="M211" i="4"/>
  <c r="M176" i="4"/>
  <c r="M231" i="4"/>
  <c r="M636" i="4"/>
  <c r="M650" i="4"/>
  <c r="M72" i="4"/>
  <c r="M226" i="4"/>
  <c r="M381" i="4"/>
  <c r="M637" i="4"/>
  <c r="M34" i="4"/>
  <c r="M390" i="4"/>
  <c r="M542" i="4"/>
  <c r="M203" i="4"/>
  <c r="M192" i="4"/>
  <c r="M261" i="4"/>
  <c r="M66" i="4"/>
  <c r="M617" i="4"/>
  <c r="M110" i="4"/>
  <c r="M669" i="4"/>
  <c r="M114" i="4"/>
  <c r="M373" i="4"/>
  <c r="M427" i="4"/>
  <c r="M645" i="4"/>
  <c r="M663" i="4"/>
  <c r="M26" i="4"/>
  <c r="M800" i="4"/>
  <c r="M689" i="4"/>
  <c r="M842" i="4"/>
  <c r="M204" i="4"/>
  <c r="M9" i="4"/>
  <c r="M556" i="4"/>
  <c r="M74" i="4"/>
  <c r="M506" i="4"/>
  <c r="M175" i="4"/>
  <c r="M117" i="4"/>
  <c r="M530" i="4"/>
  <c r="M557" i="4"/>
  <c r="M31" i="4"/>
  <c r="M704" i="4"/>
  <c r="M30" i="4"/>
  <c r="M810" i="4"/>
  <c r="M307" i="4"/>
  <c r="M428" i="4"/>
  <c r="M173" i="4"/>
  <c r="M16" i="4"/>
  <c r="M184" i="4"/>
  <c r="M18" i="4"/>
  <c r="M574" i="4"/>
  <c r="M665" i="4"/>
  <c r="M509" i="4"/>
  <c r="M280" i="4"/>
  <c r="M787" i="4"/>
  <c r="M531" i="4"/>
  <c r="M520" i="4"/>
  <c r="M529" i="4"/>
  <c r="M690" i="4"/>
  <c r="M504" i="4"/>
  <c r="M8" i="4"/>
  <c r="M569" i="4"/>
  <c r="M294" i="4"/>
  <c r="M532" i="4"/>
  <c r="M161" i="4"/>
  <c r="M392" i="4"/>
  <c r="M495" i="4"/>
  <c r="M59" i="4"/>
  <c r="M620" i="4"/>
  <c r="M760" i="4"/>
  <c r="M61" i="4"/>
  <c r="M586" i="4"/>
  <c r="M763" i="4"/>
  <c r="M572" i="4"/>
  <c r="M587" i="4"/>
  <c r="M668" i="4"/>
  <c r="M398" i="4"/>
  <c r="M501" i="4"/>
  <c r="M325" i="4"/>
  <c r="M289" i="4"/>
  <c r="M6" i="4"/>
  <c r="M518" i="4"/>
  <c r="M73" i="4"/>
  <c r="M503" i="4"/>
  <c r="M55" i="4"/>
  <c r="M776" i="4"/>
  <c r="M112" i="4"/>
  <c r="M780" i="4"/>
  <c r="M349" i="4"/>
  <c r="M447" i="4"/>
  <c r="M638" i="4"/>
  <c r="M400" i="4"/>
  <c r="M76" i="4"/>
  <c r="M283" i="4"/>
  <c r="M630" i="4"/>
  <c r="M79" i="4"/>
  <c r="M345" i="4"/>
  <c r="M12" i="4"/>
  <c r="M698" i="4"/>
  <c r="M699" i="4"/>
  <c r="M105" i="4"/>
  <c r="M402" i="4"/>
  <c r="M607" i="4"/>
  <c r="M791" i="4"/>
  <c r="M382" i="4"/>
  <c r="M839" i="4"/>
  <c r="M514" i="4"/>
  <c r="M553" i="4"/>
  <c r="M573" i="4"/>
  <c r="M108" i="4"/>
  <c r="M208" i="4"/>
  <c r="M733" i="4"/>
  <c r="M778" i="4"/>
  <c r="M737" i="4"/>
  <c r="M342" i="4"/>
  <c r="M19" i="4"/>
  <c r="M633" i="4"/>
  <c r="M653" i="4"/>
  <c r="M131" i="4"/>
  <c r="M782" i="4"/>
  <c r="M781" i="4"/>
  <c r="M130" i="4"/>
  <c r="M480" i="4"/>
  <c r="B2" i="4" l="1"/>
  <c r="B3" i="4" l="1"/>
  <c r="B4" i="4" s="1"/>
  <c r="B5" i="4" s="1"/>
  <c r="B6" i="4" s="1"/>
  <c r="B7" i="4" s="1"/>
  <c r="B8" i="4" s="1"/>
  <c r="B9" i="4" s="1"/>
  <c r="B10" i="4" s="1"/>
  <c r="B11" i="4" s="1"/>
  <c r="B12" i="4" s="1"/>
  <c r="B13" i="4" s="1"/>
  <c r="B14" i="4" s="1"/>
  <c r="B15" i="4" s="1"/>
  <c r="B16" i="4" s="1"/>
  <c r="B17" i="4" s="1"/>
  <c r="B18" i="4" s="1"/>
  <c r="B19" i="4" s="1"/>
  <c r="B20" i="4" s="1"/>
  <c r="B21" i="4" s="1"/>
  <c r="B22" i="4" s="1"/>
  <c r="B23" i="4" s="1"/>
  <c r="B24" i="4" s="1"/>
  <c r="B25" i="4" s="1"/>
  <c r="B26" i="4" s="1"/>
  <c r="B27" i="4" s="1"/>
  <c r="B28" i="4" s="1"/>
  <c r="B29" i="4" s="1"/>
  <c r="B30" i="4" s="1"/>
  <c r="B31" i="4" s="1"/>
  <c r="B32" i="4" s="1"/>
  <c r="B33" i="4" s="1"/>
  <c r="B34" i="4" s="1"/>
  <c r="B35" i="4" s="1"/>
  <c r="B36" i="4" s="1"/>
  <c r="B37" i="4" s="1"/>
  <c r="B38" i="4" s="1"/>
  <c r="B39" i="4" s="1"/>
  <c r="B40" i="4" s="1"/>
  <c r="B41" i="4" s="1"/>
  <c r="B42" i="4" s="1"/>
  <c r="B43" i="4" s="1"/>
  <c r="B44" i="4" s="1"/>
  <c r="B45" i="4" s="1"/>
  <c r="B46" i="4" s="1"/>
  <c r="B47" i="4" s="1"/>
  <c r="B48" i="4" s="1"/>
  <c r="B49" i="4" s="1"/>
  <c r="B50" i="4" s="1"/>
  <c r="B51" i="4" s="1"/>
  <c r="B52" i="4" s="1"/>
  <c r="B53" i="4" s="1"/>
  <c r="B54" i="4" s="1"/>
  <c r="B55" i="4" s="1"/>
  <c r="B56" i="4" s="1"/>
  <c r="B57" i="4" s="1"/>
  <c r="B58" i="4" s="1"/>
  <c r="B59" i="4" s="1"/>
  <c r="B60" i="4" s="1"/>
  <c r="B61" i="4" s="1"/>
  <c r="B62" i="4" s="1"/>
  <c r="B63" i="4" s="1"/>
  <c r="B64" i="4" s="1"/>
  <c r="B65" i="4" s="1"/>
  <c r="B66" i="4" s="1"/>
  <c r="B67" i="4" s="1"/>
  <c r="B68" i="4" s="1"/>
  <c r="B69" i="4" s="1"/>
  <c r="B70" i="4" s="1"/>
  <c r="B71" i="4" s="1"/>
  <c r="B72" i="4" s="1"/>
  <c r="B73" i="4" s="1"/>
  <c r="B74" i="4" s="1"/>
  <c r="B75" i="4" s="1"/>
  <c r="B76" i="4" s="1"/>
  <c r="B77" i="4" s="1"/>
  <c r="B78" i="4" s="1"/>
  <c r="B79" i="4" s="1"/>
  <c r="B80" i="4" s="1"/>
  <c r="B81" i="4" s="1"/>
  <c r="B82" i="4" s="1"/>
  <c r="B83" i="4" s="1"/>
  <c r="B84" i="4" s="1"/>
  <c r="B85" i="4" s="1"/>
  <c r="B86" i="4" s="1"/>
  <c r="B87" i="4" s="1"/>
  <c r="B88" i="4" s="1"/>
  <c r="B89" i="4" s="1"/>
  <c r="B90" i="4" s="1"/>
  <c r="B91" i="4" s="1"/>
  <c r="B92" i="4" s="1"/>
  <c r="B93" i="4" s="1"/>
  <c r="B94" i="4" s="1"/>
  <c r="B95" i="4" s="1"/>
  <c r="B96" i="4" s="1"/>
  <c r="B97" i="4" s="1"/>
  <c r="B98" i="4" s="1"/>
  <c r="B99" i="4" s="1"/>
  <c r="B100" i="4" s="1"/>
  <c r="B101" i="4" s="1"/>
  <c r="B102" i="4" s="1"/>
  <c r="B103" i="4" s="1"/>
  <c r="B104" i="4" s="1"/>
  <c r="B105" i="4" s="1"/>
  <c r="B106" i="4" s="1"/>
  <c r="B107" i="4" s="1"/>
  <c r="B108" i="4" s="1"/>
  <c r="B109" i="4" s="1"/>
  <c r="B110" i="4" s="1"/>
  <c r="B111" i="4" s="1"/>
  <c r="B112" i="4" s="1"/>
  <c r="B113" i="4" s="1"/>
  <c r="B114" i="4" s="1"/>
  <c r="B115" i="4" s="1"/>
  <c r="B116" i="4" s="1"/>
  <c r="B117" i="4" s="1"/>
  <c r="B118" i="4" s="1"/>
  <c r="B119" i="4" s="1"/>
  <c r="B120" i="4" s="1"/>
  <c r="B121" i="4" s="1"/>
  <c r="B122" i="4" s="1"/>
  <c r="B123" i="4" s="1"/>
  <c r="B124" i="4" s="1"/>
  <c r="B125" i="4" s="1"/>
  <c r="B126" i="4" s="1"/>
  <c r="B127" i="4" s="1"/>
  <c r="B128" i="4" s="1"/>
  <c r="B129" i="4" s="1"/>
  <c r="B130" i="4" s="1"/>
  <c r="B131" i="4" s="1"/>
  <c r="B132" i="4" s="1"/>
  <c r="B133" i="4" s="1"/>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58" i="4" s="1"/>
  <c r="B159" i="4" s="1"/>
  <c r="B160" i="4" s="1"/>
  <c r="B161" i="4" s="1"/>
  <c r="B162" i="4" s="1"/>
  <c r="B163" i="4" s="1"/>
  <c r="B164" i="4" s="1"/>
  <c r="B165" i="4" s="1"/>
  <c r="B166" i="4" s="1"/>
  <c r="B167" i="4" s="1"/>
  <c r="B168" i="4" s="1"/>
  <c r="B169" i="4" s="1"/>
  <c r="B170" i="4" s="1"/>
  <c r="B171" i="4" s="1"/>
  <c r="B172" i="4" s="1"/>
  <c r="B173" i="4" s="1"/>
  <c r="B174" i="4" s="1"/>
  <c r="B175" i="4" s="1"/>
  <c r="B176" i="4" s="1"/>
  <c r="B177" i="4" s="1"/>
  <c r="B178" i="4" s="1"/>
  <c r="B179" i="4" s="1"/>
  <c r="B180" i="4" s="1"/>
  <c r="B181" i="4" s="1"/>
  <c r="B182" i="4" s="1"/>
  <c r="B183" i="4" s="1"/>
  <c r="B184" i="4" s="1"/>
  <c r="B185" i="4" s="1"/>
  <c r="B186" i="4" s="1"/>
  <c r="B187" i="4" s="1"/>
  <c r="B188" i="4" s="1"/>
  <c r="B189" i="4" s="1"/>
  <c r="B190" i="4" s="1"/>
  <c r="B191" i="4" s="1"/>
  <c r="B192" i="4" s="1"/>
  <c r="B193" i="4" s="1"/>
  <c r="B194" i="4" s="1"/>
  <c r="B195" i="4" s="1"/>
  <c r="B196" i="4" s="1"/>
  <c r="B197" i="4" s="1"/>
  <c r="B198" i="4" s="1"/>
  <c r="B199" i="4" s="1"/>
  <c r="B200" i="4" s="1"/>
  <c r="B201" i="4" s="1"/>
  <c r="B202" i="4" s="1"/>
  <c r="B203" i="4" s="1"/>
  <c r="B204" i="4" s="1"/>
  <c r="B205" i="4" s="1"/>
  <c r="B206" i="4" s="1"/>
  <c r="B207" i="4" s="1"/>
  <c r="B208" i="4" s="1"/>
  <c r="B209" i="4" s="1"/>
  <c r="B210" i="4" s="1"/>
  <c r="B211" i="4" s="1"/>
  <c r="B212" i="4" s="1"/>
  <c r="B213" i="4" s="1"/>
  <c r="B214" i="4" s="1"/>
  <c r="B215" i="4" s="1"/>
  <c r="B216" i="4" s="1"/>
  <c r="B217" i="4" s="1"/>
  <c r="B218" i="4" s="1"/>
  <c r="B219" i="4" s="1"/>
  <c r="B220" i="4" s="1"/>
  <c r="B221" i="4" s="1"/>
  <c r="B222" i="4" s="1"/>
  <c r="B223" i="4" s="1"/>
  <c r="B224" i="4" s="1"/>
  <c r="B225" i="4" s="1"/>
  <c r="B226" i="4" s="1"/>
  <c r="B227" i="4" s="1"/>
  <c r="B228" i="4" s="1"/>
  <c r="B229" i="4" s="1"/>
  <c r="B230" i="4" s="1"/>
  <c r="B231" i="4" s="1"/>
  <c r="B232" i="4" s="1"/>
  <c r="B233" i="4" s="1"/>
  <c r="B234" i="4" s="1"/>
  <c r="B235" i="4" s="1"/>
  <c r="B236" i="4" s="1"/>
  <c r="B237" i="4" s="1"/>
  <c r="B238" i="4" s="1"/>
  <c r="B239" i="4" s="1"/>
  <c r="B240" i="4" s="1"/>
  <c r="B241" i="4" s="1"/>
  <c r="B242" i="4" s="1"/>
  <c r="B243" i="4" s="1"/>
  <c r="B244" i="4" s="1"/>
  <c r="B245" i="4" s="1"/>
  <c r="B246" i="4" s="1"/>
  <c r="B247" i="4" s="1"/>
  <c r="B248" i="4" s="1"/>
  <c r="B249" i="4" s="1"/>
  <c r="B250" i="4" s="1"/>
  <c r="B251" i="4" s="1"/>
  <c r="B252" i="4" s="1"/>
  <c r="B253" i="4" s="1"/>
  <c r="B254" i="4" s="1"/>
  <c r="B255" i="4" s="1"/>
  <c r="B256" i="4" s="1"/>
  <c r="B257" i="4" s="1"/>
  <c r="B258" i="4" s="1"/>
  <c r="B259" i="4" s="1"/>
  <c r="B260" i="4" s="1"/>
  <c r="B261" i="4" s="1"/>
  <c r="B262" i="4" s="1"/>
  <c r="B263" i="4" s="1"/>
  <c r="B264" i="4" s="1"/>
  <c r="B265" i="4" s="1"/>
  <c r="B266" i="4" s="1"/>
  <c r="B267" i="4" s="1"/>
  <c r="B268" i="4" s="1"/>
  <c r="B269" i="4" s="1"/>
  <c r="B270" i="4" s="1"/>
  <c r="B271" i="4" s="1"/>
  <c r="B272" i="4" s="1"/>
  <c r="B273" i="4" s="1"/>
  <c r="B274" i="4" s="1"/>
  <c r="B275" i="4" s="1"/>
  <c r="B276" i="4" s="1"/>
  <c r="B277" i="4" s="1"/>
  <c r="B278" i="4" s="1"/>
  <c r="B279" i="4" s="1"/>
  <c r="B280" i="4" s="1"/>
  <c r="B281" i="4" s="1"/>
  <c r="B282" i="4" s="1"/>
  <c r="B283" i="4" s="1"/>
  <c r="B284" i="4" s="1"/>
  <c r="B285" i="4" s="1"/>
  <c r="B286" i="4" s="1"/>
  <c r="B287" i="4" s="1"/>
  <c r="B288" i="4" s="1"/>
  <c r="B289" i="4" s="1"/>
  <c r="B290" i="4" s="1"/>
  <c r="B291" i="4" s="1"/>
  <c r="B292" i="4" s="1"/>
  <c r="B293" i="4" s="1"/>
  <c r="B294" i="4" s="1"/>
  <c r="B295" i="4" s="1"/>
  <c r="B296" i="4" s="1"/>
  <c r="B297" i="4" s="1"/>
  <c r="B298" i="4" s="1"/>
  <c r="B299" i="4" s="1"/>
  <c r="B300" i="4" s="1"/>
  <c r="B301" i="4" s="1"/>
  <c r="B302" i="4" l="1"/>
  <c r="B303" i="4" s="1"/>
  <c r="B304" i="4" s="1"/>
  <c r="B305" i="4" s="1"/>
  <c r="B306" i="4" s="1"/>
  <c r="B307" i="4" s="1"/>
  <c r="B308" i="4" s="1"/>
  <c r="B309" i="4" s="1"/>
  <c r="B310" i="4" s="1"/>
  <c r="B311" i="4" s="1"/>
  <c r="B312" i="4" s="1"/>
  <c r="B313" i="4" s="1"/>
  <c r="B314" i="4" s="1"/>
  <c r="B315" i="4" s="1"/>
  <c r="B316" i="4" s="1"/>
  <c r="B317" i="4" s="1"/>
  <c r="B318" i="4" s="1"/>
  <c r="B319" i="4" s="1"/>
  <c r="B320" i="4" s="1"/>
  <c r="B321" i="4" l="1"/>
  <c r="B322" i="4" l="1"/>
  <c r="B323" i="4" l="1"/>
  <c r="B324" i="4" l="1"/>
  <c r="B325" i="4" l="1"/>
  <c r="B326" i="4" l="1"/>
  <c r="B327" i="4" l="1"/>
  <c r="B328" i="4" l="1"/>
  <c r="B329" i="4" l="1"/>
  <c r="B330" i="4" s="1"/>
  <c r="B331" i="4" s="1"/>
  <c r="B332" i="4" s="1"/>
  <c r="B333" i="4" s="1"/>
  <c r="B334" i="4" s="1"/>
  <c r="B335" i="4" s="1"/>
  <c r="B336" i="4" s="1"/>
  <c r="B337" i="4" s="1"/>
  <c r="B338" i="4" s="1"/>
  <c r="B339" i="4" s="1"/>
  <c r="B340" i="4" s="1"/>
  <c r="B341" i="4" s="1"/>
  <c r="B342" i="4" s="1"/>
  <c r="B343" i="4" s="1"/>
  <c r="B344" i="4" s="1"/>
  <c r="B345" i="4" s="1"/>
  <c r="B346" i="4" s="1"/>
  <c r="B347" i="4" s="1"/>
  <c r="B348" i="4" s="1"/>
  <c r="B349" i="4" s="1"/>
  <c r="B350" i="4" s="1"/>
  <c r="B351" i="4" s="1"/>
  <c r="B352" i="4" s="1"/>
  <c r="B353" i="4" s="1"/>
  <c r="B354" i="4" s="1"/>
  <c r="B355" i="4" s="1"/>
  <c r="B356" i="4" s="1"/>
  <c r="B357" i="4" s="1"/>
  <c r="B358" i="4" s="1"/>
  <c r="B359" i="4" s="1"/>
  <c r="B360" i="4" s="1"/>
  <c r="B361" i="4" s="1"/>
  <c r="B362" i="4" s="1"/>
  <c r="B363" i="4" s="1"/>
  <c r="B364" i="4" s="1"/>
  <c r="B365" i="4" s="1"/>
  <c r="B366" i="4" s="1"/>
  <c r="B367" i="4" s="1"/>
  <c r="B368" i="4" s="1"/>
  <c r="B369" i="4" s="1"/>
  <c r="B370" i="4" s="1"/>
  <c r="B371" i="4" s="1"/>
  <c r="B372" i="4" s="1"/>
  <c r="B373" i="4" s="1"/>
  <c r="B374" i="4" s="1"/>
  <c r="B375" i="4" s="1"/>
  <c r="B376" i="4" s="1"/>
  <c r="B377" i="4" s="1"/>
  <c r="B378" i="4" s="1"/>
  <c r="B379" i="4" s="1"/>
  <c r="B380" i="4" s="1"/>
  <c r="B381" i="4" s="1"/>
  <c r="B382" i="4" s="1"/>
  <c r="B383" i="4" s="1"/>
  <c r="B384" i="4" s="1"/>
  <c r="B385" i="4" s="1"/>
  <c r="B386" i="4" s="1"/>
  <c r="B387" i="4" s="1"/>
  <c r="B388" i="4" s="1"/>
  <c r="B389" i="4" s="1"/>
  <c r="B390" i="4" s="1"/>
  <c r="B391" i="4" s="1"/>
  <c r="B392" i="4" s="1"/>
  <c r="B393" i="4" s="1"/>
  <c r="B394" i="4" s="1"/>
  <c r="B395" i="4" s="1"/>
  <c r="B396" i="4" s="1"/>
  <c r="B397" i="4" s="1"/>
  <c r="B398" i="4" s="1"/>
  <c r="B399" i="4" s="1"/>
  <c r="B400" i="4" s="1"/>
  <c r="B401" i="4" s="1"/>
  <c r="B402" i="4" s="1"/>
  <c r="B403" i="4" s="1"/>
  <c r="B404" i="4" s="1"/>
  <c r="B405" i="4" s="1"/>
  <c r="B406" i="4" s="1"/>
  <c r="B407" i="4" s="1"/>
  <c r="B408" i="4" s="1"/>
  <c r="B409" i="4" s="1"/>
  <c r="B410" i="4" s="1"/>
  <c r="B411" i="4" s="1"/>
  <c r="B412" i="4" s="1"/>
  <c r="B413" i="4" s="1"/>
  <c r="B414" i="4" s="1"/>
  <c r="B415" i="4" s="1"/>
  <c r="B416" i="4" s="1"/>
  <c r="B417" i="4" s="1"/>
  <c r="B418" i="4" s="1"/>
  <c r="B419" i="4" s="1"/>
  <c r="B420" i="4" s="1"/>
  <c r="B421" i="4" s="1"/>
  <c r="B422" i="4" s="1"/>
  <c r="B423" i="4" s="1"/>
  <c r="B424" i="4" s="1"/>
  <c r="B425" i="4" s="1"/>
  <c r="B426" i="4" s="1"/>
  <c r="B427" i="4" s="1"/>
  <c r="B428" i="4" s="1"/>
  <c r="B429" i="4" s="1"/>
  <c r="B430" i="4" s="1"/>
  <c r="B431" i="4" s="1"/>
  <c r="B432" i="4" s="1"/>
  <c r="B433" i="4" s="1"/>
  <c r="B434" i="4" s="1"/>
  <c r="B435" i="4" s="1"/>
  <c r="B436" i="4" s="1"/>
  <c r="B437" i="4" s="1"/>
  <c r="B438" i="4" s="1"/>
  <c r="B439" i="4" s="1"/>
  <c r="B440" i="4" s="1"/>
  <c r="B441" i="4" s="1"/>
  <c r="B442" i="4" s="1"/>
  <c r="B443" i="4" s="1"/>
  <c r="B444" i="4" s="1"/>
  <c r="B445" i="4" s="1"/>
  <c r="B446" i="4" s="1"/>
  <c r="B447" i="4" s="1"/>
  <c r="B448" i="4" s="1"/>
  <c r="B449" i="4" s="1"/>
  <c r="B450" i="4" s="1"/>
  <c r="B451" i="4" s="1"/>
  <c r="B452" i="4" s="1"/>
  <c r="B453" i="4" s="1"/>
  <c r="B454" i="4" s="1"/>
  <c r="B455" i="4" s="1"/>
  <c r="B456" i="4" s="1"/>
  <c r="B457" i="4" s="1"/>
  <c r="B458" i="4" s="1"/>
  <c r="B459" i="4" s="1"/>
  <c r="B460" i="4" s="1"/>
  <c r="B461" i="4" s="1"/>
  <c r="B462" i="4" s="1"/>
  <c r="B463" i="4" s="1"/>
  <c r="B464" i="4" s="1"/>
  <c r="B465" i="4" s="1"/>
  <c r="B466" i="4" s="1"/>
  <c r="B467" i="4" s="1"/>
  <c r="B468" i="4" s="1"/>
  <c r="B469" i="4" s="1"/>
  <c r="B470" i="4" s="1"/>
  <c r="B471" i="4" s="1"/>
  <c r="B472" i="4" s="1"/>
  <c r="B473" i="4" s="1"/>
  <c r="B474" i="4" s="1"/>
  <c r="B475" i="4" s="1"/>
  <c r="B476" i="4" s="1"/>
  <c r="B477" i="4" s="1"/>
  <c r="B478" i="4" s="1"/>
  <c r="B479" i="4" s="1"/>
  <c r="B480" i="4" s="1"/>
  <c r="B481" i="4" s="1"/>
  <c r="B482" i="4" s="1"/>
  <c r="B483" i="4" s="1"/>
  <c r="B484" i="4" s="1"/>
  <c r="B485" i="4" s="1"/>
  <c r="B486" i="4" s="1"/>
  <c r="B487" i="4" s="1"/>
  <c r="B488" i="4" s="1"/>
  <c r="B489" i="4" s="1"/>
  <c r="B490" i="4" s="1"/>
  <c r="B491" i="4" s="1"/>
  <c r="B492" i="4" s="1"/>
  <c r="B493" i="4" s="1"/>
  <c r="B494" i="4" s="1"/>
  <c r="B495" i="4" s="1"/>
  <c r="B496" i="4" s="1"/>
  <c r="B497" i="4" s="1"/>
  <c r="B498" i="4" s="1"/>
  <c r="B499" i="4" s="1"/>
  <c r="B500" i="4" s="1"/>
  <c r="B501" i="4" s="1"/>
  <c r="B502" i="4" s="1"/>
  <c r="B503" i="4" s="1"/>
  <c r="B504" i="4" s="1"/>
  <c r="B505" i="4" s="1"/>
  <c r="B506" i="4" s="1"/>
  <c r="B507" i="4" s="1"/>
  <c r="B508" i="4" s="1"/>
  <c r="B509" i="4" s="1"/>
  <c r="B510" i="4" s="1"/>
  <c r="B511" i="4" s="1"/>
  <c r="B512" i="4" s="1"/>
  <c r="B513" i="4" s="1"/>
  <c r="B514" i="4" s="1"/>
  <c r="B515" i="4" s="1"/>
  <c r="B516" i="4" s="1"/>
  <c r="B517" i="4" s="1"/>
  <c r="B518" i="4" s="1"/>
  <c r="B519" i="4" s="1"/>
  <c r="B520" i="4" s="1"/>
  <c r="B521" i="4" s="1"/>
  <c r="B522" i="4" s="1"/>
  <c r="B523" i="4" s="1"/>
  <c r="B524" i="4" s="1"/>
  <c r="B525" i="4" s="1"/>
  <c r="B526" i="4" s="1"/>
  <c r="B527" i="4" s="1"/>
  <c r="B528" i="4" s="1"/>
  <c r="B529" i="4" s="1"/>
  <c r="B530" i="4" s="1"/>
  <c r="B531" i="4" s="1"/>
  <c r="B532" i="4" s="1"/>
  <c r="B533" i="4" s="1"/>
  <c r="B534" i="4" s="1"/>
  <c r="B535" i="4" s="1"/>
  <c r="B536" i="4" s="1"/>
  <c r="B537" i="4" s="1"/>
  <c r="B538" i="4" s="1"/>
  <c r="B539" i="4" s="1"/>
  <c r="B540" i="4" s="1"/>
  <c r="B541" i="4" s="1"/>
  <c r="B542" i="4" s="1"/>
  <c r="B543" i="4" s="1"/>
  <c r="B544" i="4" s="1"/>
  <c r="B545" i="4" s="1"/>
  <c r="B546" i="4" s="1"/>
  <c r="B547" i="4" s="1"/>
  <c r="B548" i="4" s="1"/>
  <c r="B549" i="4" s="1"/>
  <c r="B550" i="4" s="1"/>
  <c r="B551" i="4" s="1"/>
  <c r="B552" i="4" s="1"/>
  <c r="B553" i="4" s="1"/>
  <c r="B554" i="4" s="1"/>
  <c r="B555" i="4" s="1"/>
  <c r="B556" i="4" s="1"/>
  <c r="B557" i="4" s="1"/>
  <c r="B558" i="4" s="1"/>
  <c r="B559" i="4" s="1"/>
  <c r="B560" i="4" s="1"/>
  <c r="B561" i="4" s="1"/>
  <c r="B562" i="4" s="1"/>
  <c r="B563" i="4" s="1"/>
  <c r="B564" i="4" s="1"/>
  <c r="B565" i="4" s="1"/>
  <c r="B566" i="4" s="1"/>
  <c r="B567" i="4" s="1"/>
  <c r="B568" i="4" s="1"/>
  <c r="B569" i="4" s="1"/>
  <c r="B570" i="4" s="1"/>
  <c r="B571" i="4" s="1"/>
  <c r="B572" i="4" s="1"/>
  <c r="B573" i="4" s="1"/>
  <c r="B574" i="4" s="1"/>
  <c r="B575" i="4" s="1"/>
  <c r="B576" i="4" s="1"/>
  <c r="B577" i="4" s="1"/>
  <c r="B578" i="4" s="1"/>
  <c r="B579" i="4" s="1"/>
  <c r="B580" i="4" s="1"/>
  <c r="B581" i="4" s="1"/>
  <c r="B582" i="4" s="1"/>
  <c r="B583" i="4" s="1"/>
  <c r="B584" i="4" s="1"/>
  <c r="B585" i="4" s="1"/>
  <c r="B586" i="4" s="1"/>
  <c r="B587" i="4" s="1"/>
  <c r="B588" i="4" s="1"/>
  <c r="B589" i="4" s="1"/>
  <c r="B590" i="4" s="1"/>
  <c r="B591" i="4" s="1"/>
  <c r="B592" i="4" s="1"/>
  <c r="B593" i="4" s="1"/>
  <c r="B594" i="4" s="1"/>
  <c r="B595" i="4" s="1"/>
  <c r="B596" i="4" s="1"/>
  <c r="B597" i="4" s="1"/>
  <c r="B598" i="4" s="1"/>
  <c r="B599" i="4" s="1"/>
  <c r="B600" i="4" s="1"/>
  <c r="B601" i="4" s="1"/>
  <c r="B602" i="4" s="1"/>
  <c r="B603" i="4" s="1"/>
  <c r="B604" i="4" s="1"/>
  <c r="B605" i="4" s="1"/>
  <c r="B606" i="4" s="1"/>
  <c r="B607" i="4" s="1"/>
  <c r="B608" i="4" s="1"/>
  <c r="B609" i="4" s="1"/>
  <c r="B610" i="4" s="1"/>
  <c r="B611" i="4" s="1"/>
  <c r="B612" i="4" s="1"/>
  <c r="B613" i="4" s="1"/>
  <c r="B614" i="4" s="1"/>
  <c r="B615" i="4" s="1"/>
  <c r="B616" i="4" s="1"/>
  <c r="B617" i="4" s="1"/>
  <c r="B618" i="4" s="1"/>
  <c r="B619" i="4" s="1"/>
  <c r="B620" i="4" s="1"/>
  <c r="B621" i="4" s="1"/>
  <c r="B622" i="4" s="1"/>
  <c r="B623" i="4" s="1"/>
  <c r="B624" i="4" s="1"/>
  <c r="B625" i="4" s="1"/>
  <c r="B626" i="4" s="1"/>
  <c r="B627" i="4" s="1"/>
  <c r="B628" i="4" s="1"/>
  <c r="B629" i="4" s="1"/>
  <c r="B630" i="4" s="1"/>
  <c r="B631" i="4" s="1"/>
  <c r="B632" i="4" s="1"/>
  <c r="B633" i="4" s="1"/>
  <c r="B634" i="4" s="1"/>
  <c r="B635" i="4" s="1"/>
  <c r="B636" i="4" s="1"/>
  <c r="B637" i="4" s="1"/>
  <c r="B638" i="4" s="1"/>
  <c r="B639" i="4" s="1"/>
  <c r="B640" i="4" s="1"/>
  <c r="B641" i="4" s="1"/>
  <c r="B642" i="4" s="1"/>
  <c r="B643" i="4" s="1"/>
  <c r="B644" i="4" s="1"/>
  <c r="B645" i="4" s="1"/>
  <c r="B646" i="4" s="1"/>
  <c r="B647" i="4" s="1"/>
  <c r="B648" i="4" s="1"/>
  <c r="B649" i="4" s="1"/>
  <c r="B650" i="4" s="1"/>
  <c r="B651" i="4" s="1"/>
  <c r="B652" i="4" s="1"/>
  <c r="B653" i="4" s="1"/>
  <c r="B654" i="4" s="1"/>
  <c r="B655" i="4" s="1"/>
  <c r="B656" i="4" s="1"/>
  <c r="B657" i="4" s="1"/>
  <c r="B658" i="4" s="1"/>
  <c r="B659" i="4" s="1"/>
  <c r="B660" i="4" s="1"/>
  <c r="B661" i="4" s="1"/>
  <c r="B662" i="4" s="1"/>
  <c r="B663" i="4" s="1"/>
  <c r="B664" i="4" s="1"/>
  <c r="B665" i="4" s="1"/>
  <c r="B666" i="4" s="1"/>
  <c r="B667" i="4" s="1"/>
  <c r="B668" i="4" s="1"/>
  <c r="B669" i="4" s="1"/>
  <c r="B670" i="4" s="1"/>
  <c r="B671" i="4" s="1"/>
  <c r="B672" i="4" s="1"/>
  <c r="B673" i="4" s="1"/>
  <c r="B674" i="4" s="1"/>
  <c r="B675" i="4" s="1"/>
  <c r="B676" i="4" s="1"/>
  <c r="B677" i="4" s="1"/>
  <c r="B678" i="4" s="1"/>
  <c r="B679" i="4" s="1"/>
  <c r="B680" i="4" s="1"/>
  <c r="B681" i="4" s="1"/>
  <c r="B682" i="4" s="1"/>
  <c r="B683" i="4" s="1"/>
  <c r="B684" i="4" s="1"/>
  <c r="B685" i="4" s="1"/>
  <c r="B686" i="4" s="1"/>
  <c r="B687" i="4" s="1"/>
  <c r="B688" i="4" s="1"/>
  <c r="B689" i="4" s="1"/>
  <c r="B690" i="4" s="1"/>
  <c r="B691" i="4" s="1"/>
  <c r="B692" i="4" s="1"/>
  <c r="B693" i="4" s="1"/>
  <c r="B694" i="4" s="1"/>
  <c r="B695" i="4" s="1"/>
  <c r="B696" i="4" s="1"/>
  <c r="B697" i="4" s="1"/>
  <c r="B698" i="4" s="1"/>
  <c r="B699" i="4" s="1"/>
  <c r="B700" i="4" s="1"/>
  <c r="B701" i="4" s="1"/>
  <c r="B702" i="4" s="1"/>
  <c r="B703" i="4" s="1"/>
  <c r="B704" i="4" s="1"/>
  <c r="B705" i="4" s="1"/>
  <c r="B706" i="4" s="1"/>
  <c r="B707" i="4" s="1"/>
  <c r="B708" i="4" s="1"/>
  <c r="B709" i="4" s="1"/>
  <c r="B710" i="4" s="1"/>
  <c r="B711" i="4" s="1"/>
  <c r="B712" i="4" s="1"/>
  <c r="B713" i="4" s="1"/>
  <c r="B714" i="4" s="1"/>
  <c r="B715" i="4" s="1"/>
  <c r="B716" i="4" s="1"/>
  <c r="B717" i="4" s="1"/>
  <c r="B718" i="4" s="1"/>
  <c r="B719" i="4" s="1"/>
  <c r="B720" i="4" s="1"/>
  <c r="B721" i="4" s="1"/>
  <c r="B722" i="4" s="1"/>
  <c r="B723" i="4" s="1"/>
  <c r="B724" i="4" s="1"/>
  <c r="B725" i="4" s="1"/>
  <c r="B726" i="4" s="1"/>
  <c r="B727" i="4" s="1"/>
  <c r="B728" i="4" s="1"/>
  <c r="B729" i="4" s="1"/>
  <c r="B730" i="4" s="1"/>
  <c r="B731" i="4" s="1"/>
  <c r="B732" i="4" s="1"/>
  <c r="B733" i="4" s="1"/>
  <c r="B734" i="4" s="1"/>
  <c r="B735" i="4" s="1"/>
  <c r="B736" i="4" s="1"/>
  <c r="B737" i="4" s="1"/>
  <c r="B738" i="4" s="1"/>
  <c r="B739" i="4" s="1"/>
  <c r="B740" i="4" s="1"/>
  <c r="B741" i="4" s="1"/>
  <c r="B742" i="4" s="1"/>
  <c r="B743" i="4" s="1"/>
  <c r="B744" i="4" s="1"/>
  <c r="B745" i="4" s="1"/>
  <c r="B746" i="4" s="1"/>
  <c r="B747" i="4" s="1"/>
  <c r="B748" i="4" s="1"/>
  <c r="B749" i="4" s="1"/>
  <c r="B750" i="4" s="1"/>
  <c r="B751" i="4" s="1"/>
  <c r="B752" i="4" s="1"/>
  <c r="B753" i="4" s="1"/>
  <c r="B754" i="4" s="1"/>
  <c r="B755" i="4" s="1"/>
  <c r="B756" i="4" s="1"/>
  <c r="B757" i="4" s="1"/>
  <c r="B758" i="4" s="1"/>
  <c r="B759" i="4" s="1"/>
  <c r="B760" i="4" s="1"/>
  <c r="B761" i="4" s="1"/>
  <c r="B762" i="4" s="1"/>
  <c r="B763" i="4" s="1"/>
  <c r="B764" i="4" s="1"/>
  <c r="B765" i="4" s="1"/>
  <c r="B766" i="4" s="1"/>
  <c r="B767" i="4" s="1"/>
  <c r="B768" i="4" s="1"/>
  <c r="B769" i="4" s="1"/>
  <c r="B770" i="4" s="1"/>
  <c r="B771" i="4" s="1"/>
  <c r="B772" i="4" s="1"/>
  <c r="B773" i="4" s="1"/>
  <c r="B774" i="4" s="1"/>
  <c r="B775" i="4" s="1"/>
  <c r="B776" i="4" s="1"/>
  <c r="B777" i="4" s="1"/>
  <c r="B778" i="4" s="1"/>
  <c r="B779" i="4" s="1"/>
  <c r="B780" i="4" s="1"/>
  <c r="B781" i="4" s="1"/>
  <c r="B782" i="4" s="1"/>
  <c r="B783" i="4" s="1"/>
  <c r="B784" i="4" s="1"/>
  <c r="B785" i="4" s="1"/>
  <c r="B786" i="4" s="1"/>
  <c r="B787" i="4" s="1"/>
  <c r="B788" i="4" s="1"/>
  <c r="B789" i="4" s="1"/>
  <c r="B790" i="4" s="1"/>
  <c r="B791" i="4" s="1"/>
  <c r="B792" i="4" s="1"/>
  <c r="B793" i="4" s="1"/>
  <c r="B794" i="4" s="1"/>
  <c r="B795" i="4" s="1"/>
  <c r="B796" i="4" s="1"/>
  <c r="B797" i="4" s="1"/>
  <c r="B798" i="4" s="1"/>
  <c r="B799" i="4" s="1"/>
  <c r="B800" i="4" s="1"/>
  <c r="B801" i="4" s="1"/>
  <c r="B802" i="4" s="1"/>
  <c r="B803" i="4" s="1"/>
  <c r="B804" i="4" s="1"/>
  <c r="B805" i="4" s="1"/>
  <c r="B806" i="4" s="1"/>
  <c r="B807" i="4" s="1"/>
  <c r="B808" i="4" s="1"/>
  <c r="B809" i="4" s="1"/>
  <c r="B810" i="4" s="1"/>
  <c r="B811" i="4" s="1"/>
  <c r="B812" i="4" s="1"/>
  <c r="B813" i="4" s="1"/>
  <c r="B814" i="4" s="1"/>
  <c r="B815" i="4" s="1"/>
  <c r="B816" i="4" s="1"/>
  <c r="B817" i="4" s="1"/>
  <c r="B818" i="4" s="1"/>
  <c r="B819" i="4" s="1"/>
  <c r="B820" i="4" s="1"/>
  <c r="B821" i="4" s="1"/>
  <c r="B822" i="4" s="1"/>
  <c r="B823" i="4" s="1"/>
  <c r="B824" i="4" s="1"/>
  <c r="B825" i="4" s="1"/>
  <c r="B826" i="4" s="1"/>
  <c r="B827" i="4" s="1"/>
  <c r="B828" i="4" s="1"/>
  <c r="B829" i="4" s="1"/>
  <c r="B830" i="4" s="1"/>
  <c r="B831" i="4" s="1"/>
  <c r="B832" i="4" s="1"/>
  <c r="B833" i="4" s="1"/>
  <c r="B834" i="4" s="1"/>
  <c r="B835" i="4" s="1"/>
  <c r="B836" i="4" s="1"/>
  <c r="B837" i="4" s="1"/>
  <c r="B838" i="4" s="1"/>
  <c r="B839" i="4" s="1"/>
  <c r="B840" i="4" s="1"/>
  <c r="B841" i="4" s="1"/>
  <c r="B842" i="4" s="1"/>
  <c r="B843" i="4" s="1"/>
  <c r="B844" i="4" s="1"/>
</calcChain>
</file>

<file path=xl/sharedStrings.xml><?xml version="1.0" encoding="utf-8"?>
<sst xmlns="http://schemas.openxmlformats.org/spreadsheetml/2006/main" count="75715" uniqueCount="17044">
  <si>
    <t>Obra</t>
  </si>
  <si>
    <t>Bancos</t>
  </si>
  <si>
    <t>PLANILHA ORÇAMENTÁRIA RESUMIDA</t>
  </si>
  <si>
    <t>ITEM</t>
  </si>
  <si>
    <t>DESCRIÇÃO</t>
  </si>
  <si>
    <t>TOTAL</t>
  </si>
  <si>
    <t>(%)</t>
  </si>
  <si>
    <t>Total sem BDI</t>
  </si>
  <si>
    <t>Total do BDI</t>
  </si>
  <si>
    <t>Total Geral</t>
  </si>
  <si>
    <t>B.D.I.</t>
  </si>
  <si>
    <t>Encargos Sociais</t>
  </si>
  <si>
    <t>Padrão - 21,22%
Material - 11,10%</t>
  </si>
  <si>
    <t>Orçamento Sintético</t>
  </si>
  <si>
    <t>Item</t>
  </si>
  <si>
    <t>Código</t>
  </si>
  <si>
    <t>Banco</t>
  </si>
  <si>
    <t>Descrição</t>
  </si>
  <si>
    <t>Und</t>
  </si>
  <si>
    <t>Quant.</t>
  </si>
  <si>
    <t>Valor Unit</t>
  </si>
  <si>
    <t>BDI</t>
  </si>
  <si>
    <t>Valor Unit com BDI</t>
  </si>
  <si>
    <t>Total</t>
  </si>
  <si>
    <t>Peso (%)</t>
  </si>
  <si>
    <t>ADMINISTRAÇÃO</t>
  </si>
  <si>
    <t xml:space="preserve"> 1.1 </t>
  </si>
  <si>
    <t>EQUIPE TÉCNICA GERENCIAL</t>
  </si>
  <si>
    <t xml:space="preserve"> 1.1.1 </t>
  </si>
  <si>
    <t>MÃO DE OBRA EQUIPE TÉCNICA GERENCIAL</t>
  </si>
  <si>
    <t xml:space="preserve"> 1.1.1.1 </t>
  </si>
  <si>
    <t xml:space="preserve"> 93568 </t>
  </si>
  <si>
    <t>SINAPI</t>
  </si>
  <si>
    <t>ENGENHEIRO CIVIL DE OBRA SENIOR COM ENCARGOS COMPLEMENTARES</t>
  </si>
  <si>
    <t>MES</t>
  </si>
  <si>
    <t xml:space="preserve"> 93567 </t>
  </si>
  <si>
    <t>ENGENHEIRO CIVIL DE OBRA PLENO COM ENCARGOS COMPLEMENTARES</t>
  </si>
  <si>
    <t xml:space="preserve"> 100534 </t>
  </si>
  <si>
    <t>TECNICO DE EDIFICACOES COM ENCARGOS COMPLEMENTARES</t>
  </si>
  <si>
    <t>Próprio</t>
  </si>
  <si>
    <t>MÊS</t>
  </si>
  <si>
    <t xml:space="preserve"> 1.1.2 </t>
  </si>
  <si>
    <t>VEICULOS EQUIPE TÉCNICA</t>
  </si>
  <si>
    <t xml:space="preserve"> 1.1.2.1 </t>
  </si>
  <si>
    <t xml:space="preserve"> E9093 MÊS </t>
  </si>
  <si>
    <t>VEICULO LEVE - 53 KW  (SEM MOTORISTA)</t>
  </si>
  <si>
    <t xml:space="preserve"> 1.2 </t>
  </si>
  <si>
    <t>EQUIPE GERENCIAL ADMINISTRATIVA</t>
  </si>
  <si>
    <t xml:space="preserve"> 1.2.1 </t>
  </si>
  <si>
    <t xml:space="preserve"> 93566 </t>
  </si>
  <si>
    <t>AUXILIAR DE ESCRITORIO COM ENCARGOS COMPLEMENTARES</t>
  </si>
  <si>
    <t xml:space="preserve"> VIGIA ADM </t>
  </si>
  <si>
    <t>VIGIA NOTURNO COM ENCARGOS COMPLEMENTARES (MENSALISTA) COM ADICIONAL DE PERICULOSIDADE</t>
  </si>
  <si>
    <t xml:space="preserve"> 101460 </t>
  </si>
  <si>
    <t>VIGIA DIURNO COM ENCARGOS COMPLEMENTARES</t>
  </si>
  <si>
    <t xml:space="preserve"> 1.3 </t>
  </si>
  <si>
    <t>EQUIPE DE PRODUÇÃO</t>
  </si>
  <si>
    <t xml:space="preserve"> 1.3.1 </t>
  </si>
  <si>
    <t xml:space="preserve"> 93572 </t>
  </si>
  <si>
    <t>ENCARREGADO GERAL DE OBRAS COM ENCARGOS COMPLEMENTARES</t>
  </si>
  <si>
    <t xml:space="preserve"> 93564 </t>
  </si>
  <si>
    <t>APONTADOR OU APROPRIADOR COM ENCARGOS COMPLEMENTARES</t>
  </si>
  <si>
    <t xml:space="preserve"> 93563 </t>
  </si>
  <si>
    <t>ALMOXARIFE COM ENCARGOS COMPLEMENTARES</t>
  </si>
  <si>
    <t xml:space="preserve"> 100316 </t>
  </si>
  <si>
    <t>AUXILIAR DE ALMOXARIFE COM ENCARGOS COMPLEMENTARES</t>
  </si>
  <si>
    <t xml:space="preserve"> 1.4 </t>
  </si>
  <si>
    <t>EQUIPE DE TOPOGRAFIA</t>
  </si>
  <si>
    <t xml:space="preserve"> 1.4.1 </t>
  </si>
  <si>
    <t>MÃO DE OBRA EQUIPE DE TOPOGRAFIA</t>
  </si>
  <si>
    <t xml:space="preserve"> 1.4.1.1 </t>
  </si>
  <si>
    <t xml:space="preserve"> 94296 </t>
  </si>
  <si>
    <t>TOPOGRAFO COM ENCARGOS COMPLEMENTARES</t>
  </si>
  <si>
    <t xml:space="preserve"> 1.4.1.2 </t>
  </si>
  <si>
    <t xml:space="preserve"> 101389 </t>
  </si>
  <si>
    <t>AUXILIAR DE TOPÓGRAFO COM ENCARGOS COMPLEMENTARES</t>
  </si>
  <si>
    <t xml:space="preserve"> 1.4.2 </t>
  </si>
  <si>
    <t>VEICULOS EQUIPE TOPOGRAFIA</t>
  </si>
  <si>
    <t xml:space="preserve"> 1.4.2.1 </t>
  </si>
  <si>
    <t>VAN FURGÃO - 93KW</t>
  </si>
  <si>
    <t xml:space="preserve"> 1.5 </t>
  </si>
  <si>
    <t>DETALHAMENTO PROJETO DRENAGEM</t>
  </si>
  <si>
    <t xml:space="preserve"> 1.5.1 </t>
  </si>
  <si>
    <t xml:space="preserve"> 1.5.2 </t>
  </si>
  <si>
    <t xml:space="preserve"> 93559 </t>
  </si>
  <si>
    <t>DESENHISTA DETALHISTA COM ENCARGOS COMPLEMENTARES</t>
  </si>
  <si>
    <t xml:space="preserve"> 1.5.3 </t>
  </si>
  <si>
    <t xml:space="preserve"> ART-DF </t>
  </si>
  <si>
    <t>RELATORIO E ART DOS SERVIÇOS</t>
  </si>
  <si>
    <t>UN</t>
  </si>
  <si>
    <t xml:space="preserve"> 1.6 </t>
  </si>
  <si>
    <t>CONSUMOS MENSAIS ESTIMADOS</t>
  </si>
  <si>
    <t xml:space="preserve"> 1.6.1 </t>
  </si>
  <si>
    <t xml:space="preserve"> CPU-01 </t>
  </si>
  <si>
    <t>CONSUMO MENSAL DE ENERGIA ELÉTRICA- ESTIMADO</t>
  </si>
  <si>
    <t xml:space="preserve"> 1.6.2 </t>
  </si>
  <si>
    <t xml:space="preserve"> CPU-02 </t>
  </si>
  <si>
    <t>CONSUMO MENSAL DE ÁGUA E ESGOTO - ESTIMADO</t>
  </si>
  <si>
    <t xml:space="preserve"> 1.7 </t>
  </si>
  <si>
    <t>DIVERSOS EQUIPAMENTOS</t>
  </si>
  <si>
    <t xml:space="preserve"> 1.7.1 </t>
  </si>
  <si>
    <t xml:space="preserve"> 6259 </t>
  </si>
  <si>
    <t>CAMINHÃO PIPA 6.000 L, PESO BRUTO TOTAL 13.000 KG, DISTÂNCIA ENTRE EIXOS 4,80 M, POTÊNCIA 189 CV INCLUSIVE TANQUE DE AÇO PARA TRANSPORTE DE ÁGUA, CAPACIDADE 6 M3 - CHP DIURNO. AF_06/2014</t>
  </si>
  <si>
    <t>CHP</t>
  </si>
  <si>
    <t xml:space="preserve"> 1.7.2 </t>
  </si>
  <si>
    <t xml:space="preserve"> 73417 </t>
  </si>
  <si>
    <t>GRUPO GERADOR ESTACIONÁRIO, MOTOR DIESEL POTÊNCIA 170 KVA - CHP DIURNO. AF_02/2016</t>
  </si>
  <si>
    <t xml:space="preserve"> 1.7.3 </t>
  </si>
  <si>
    <t xml:space="preserve"> 93428 </t>
  </si>
  <si>
    <t>GRUPO GERADOR ESTACIONÁRIO, POTÊNCIA 150 KVA, MOTOR A DIESEL- CHI DIURNO. AF_03/2016</t>
  </si>
  <si>
    <t>CHI</t>
  </si>
  <si>
    <t xml:space="preserve"> 1.8 </t>
  </si>
  <si>
    <t>RECUPERAÇÃO DA ÁREA DE CANTEIRO DE OBRAS - PRINCIPAL</t>
  </si>
  <si>
    <t xml:space="preserve"> 1.8.1 </t>
  </si>
  <si>
    <t xml:space="preserve"> 97637 </t>
  </si>
  <si>
    <t>m²</t>
  </si>
  <si>
    <t xml:space="preserve"> 100983 </t>
  </si>
  <si>
    <t>CARGA, MANOBRA E DESCARGA DE ENTULHO EM CAMINHÃO BASCULANTE 14 M³ - CARGA COM ESCAVADEIRA HIDRÁULICA  (CAÇAMBA DE 0,80 M³ / 111 HP) E DESCARGA LIVRE (UNIDADE: M3). AF_07/2020</t>
  </si>
  <si>
    <t>m³</t>
  </si>
  <si>
    <t xml:space="preserve"> 95876 </t>
  </si>
  <si>
    <t>TRANSPORTE COM CAMINHÃO BASCULANTE DE 14 M³, EM VIA URBANA PAVIMENTADA, DMT ATÉ 30 KM (UNIDADE: M3XKM). AF_07/2020</t>
  </si>
  <si>
    <t>M3XKM</t>
  </si>
  <si>
    <t xml:space="preserve"> 93593 </t>
  </si>
  <si>
    <t>TRANSPORTE COM CAMINHÃO BASCULANTE DE 14 M³, EM VIA URBANA PAVIMENTADA, ADICIONAL PARA DMT EXCEDENTE A 30 KM (UNIDADE: M3XKM). AF_07/2020</t>
  </si>
  <si>
    <t xml:space="preserve"> 4915669 </t>
  </si>
  <si>
    <t>SICRO3</t>
  </si>
  <si>
    <t>Remoção mecanizada de camada granular do pavimento</t>
  </si>
  <si>
    <t xml:space="preserve"> 100979 </t>
  </si>
  <si>
    <t>CARGA, MANOBRA E DESCARGA DE SOLOS E MATERIAIS GRANULARES EM CAMINHÃO BASCULANTE 14 M³ - CARGA COM ESCAVADEIRA HIDRÁULICA (CAÇAMBA DE 1,20 M³ / 155 HP) E DESCARGA LIVRE (UNIDADE: M3). AF_07/2020</t>
  </si>
  <si>
    <t xml:space="preserve"> 4413942 </t>
  </si>
  <si>
    <t>Espalhamento de material em bota-fora</t>
  </si>
  <si>
    <t xml:space="preserve"> 98519 </t>
  </si>
  <si>
    <t xml:space="preserve"> 98520 </t>
  </si>
  <si>
    <t xml:space="preserve"> 98521 </t>
  </si>
  <si>
    <t xml:space="preserve"> 98504 </t>
  </si>
  <si>
    <t>MOBILIZAÇÃO E DESMOBILIZAÇÃO</t>
  </si>
  <si>
    <t xml:space="preserve"> 2.1 </t>
  </si>
  <si>
    <t xml:space="preserve"> E9665 </t>
  </si>
  <si>
    <t xml:space="preserve"> 2.2 </t>
  </si>
  <si>
    <t xml:space="preserve"> E9686 </t>
  </si>
  <si>
    <t>Caminhão carroceria com guindauto com capacidade de 20 t.m - 136 kW</t>
  </si>
  <si>
    <t>CANTEIRO DE OBRAS</t>
  </si>
  <si>
    <t xml:space="preserve"> 3.1 </t>
  </si>
  <si>
    <t>INSTALAÇÕES DA OBRA CANTEIRO CENTRAL</t>
  </si>
  <si>
    <t xml:space="preserve"> 3.1.1 </t>
  </si>
  <si>
    <t xml:space="preserve"> 98525 </t>
  </si>
  <si>
    <t>PLACA DE OBRA EM CHAPA DE ACO GALVANIZADO</t>
  </si>
  <si>
    <t xml:space="preserve"> 98459 </t>
  </si>
  <si>
    <t>PORTAO EM TUBO DE ACO GALVANIZADO DIN 2440/NBR 5580, PAINEL UNICO, DIMENSOES 1,0X1,6M, INCLUSIVE CADEADO</t>
  </si>
  <si>
    <t>PORTAO EM TUBO DE ACO GALVANIZADO DIN 2440/NBR 5580, PAINEL UNICO, DIMENSOES 4,0X1,2M, INCLUSIVE CADEADO</t>
  </si>
  <si>
    <t xml:space="preserve"> 93585 </t>
  </si>
  <si>
    <t>EXECUÇÃO DE GUARITA EM CANTEIRO DE OBRA EM CHAPA DE MADEIRA COMPENSADA, NÃO INCLUSO MOBILIÁRIO. AF_04/2016</t>
  </si>
  <si>
    <t xml:space="preserve"> 00010775 </t>
  </si>
  <si>
    <t>LOCACAO DE CONTAINER 2,30 X 6,00 M, ALT. 2,50 M, COM 1 SANITARIO, PARA ESCRITORIO, COMPLETO, SEM DIVISORIAS INTERNAS (NAO INCLUI MOBILIZACAO/DESMOBILIZACAO)</t>
  </si>
  <si>
    <t xml:space="preserve"> 00010778 </t>
  </si>
  <si>
    <t>LOCACAO DE CONTAINER 2,30 X 6,00 M, ALT. 2,50 M, PARA SANITARIO, COM 4 BACIAS, 8 CHUVEIROS,1 LAVATORIO E 1 MICTORIO (NAO INCLUI MOBILIZACAO/DESMOBILIZACAO)</t>
  </si>
  <si>
    <t xml:space="preserve"> 00010776 </t>
  </si>
  <si>
    <t>LOCACAO DE CONTAINER 2,30 X 6,00 M, ALT. 2,50 M, PARA ESCRITORIO, SEM DIVISORIAS INTERNAS E SEM SANITARIO (NAO INCLUI MOBILIZACAO/DESMOBILIZACAO)</t>
  </si>
  <si>
    <t xml:space="preserve"> 93584 </t>
  </si>
  <si>
    <t>EXECUÇÃO DE DEPÓSITO EM CANTEIRO DE OBRA EM CHAPA DE MADEIRA COMPENSADA, NÃO INCLUSO MOBILIÁRIO. AF_04/2016</t>
  </si>
  <si>
    <t xml:space="preserve"> 93583 </t>
  </si>
  <si>
    <t>EXECUÇÃO DE CENTRAL DE FÔRMAS, PRODUÇÃO DE ARGAMASSA OU CONCRETO EM CANTEIRO DE OBRA, NÃO INCLUSO MOBILIÁRIO E EQUIPAMENTOS. AF_04/2016</t>
  </si>
  <si>
    <t xml:space="preserve"> 93582 </t>
  </si>
  <si>
    <t>EXECUÇÃO DE CENTRAL DE ARMADURA EM CANTEIRO DE OBRA, NÃO INCLUSO MOBILIÁRIO E EQUIPAMENTOS. AF_04/2016</t>
  </si>
  <si>
    <t xml:space="preserve"> 93214 </t>
  </si>
  <si>
    <t xml:space="preserve"> 93243 </t>
  </si>
  <si>
    <t xml:space="preserve"> 98461 </t>
  </si>
  <si>
    <t xml:space="preserve"> 98462 </t>
  </si>
  <si>
    <t xml:space="preserve"> 98054 </t>
  </si>
  <si>
    <t>INSTAL/LIGACAO PROVISORIA ELETRICA BAIXA TENSAO P/CANT OBRA           OBRA,M3-CHAVE 100A CARGA 3KWH,20CV EXCL FORN MEDIDOR</t>
  </si>
  <si>
    <t xml:space="preserve"> NOVACAP 5702 M </t>
  </si>
  <si>
    <t>LIGAÇÃO PROVISORIA PARA ÁGUA EM OBRA, INCLUSIVE PEQUENAS OBRAS, INSTALAÇÃO SANITÁRIA, (INSTALAÇÃO MÍNIMA)</t>
  </si>
  <si>
    <t xml:space="preserve"> 2003850 </t>
  </si>
  <si>
    <t>Lastro de brita comercial compactado com soquete vibratório - espalhamento manual</t>
  </si>
  <si>
    <t xml:space="preserve"> 94968 </t>
  </si>
  <si>
    <t>CONCRETO MAGRO PARA LASTRO, TRAÇO 1:4,5:4,5 (EM MASSA SECA DE CIMENTO/ AREIA MÉDIA/ BRITA 1) - PREPARO MECÂNICO COM BETONEIRA 600 L. AF_05/2021</t>
  </si>
  <si>
    <t xml:space="preserve"> 94971 </t>
  </si>
  <si>
    <t>CONCRETO FCK = 25MPA, TRAÇO 1:2,3:2,7 (EM MASSA SECA DE CIMENTO/ AREIA MÉDIA/ BRITA 1) - PREPARO MECÂNICO COM BETONEIRA 600 L. AF_05/2021</t>
  </si>
  <si>
    <t xml:space="preserve"> 3107997 </t>
  </si>
  <si>
    <t>Fôrmas de compensado resinado 10 mm - uso geral - utilização de 3 vezes - confecção, instalação e retirada</t>
  </si>
  <si>
    <t xml:space="preserve"> 103670 </t>
  </si>
  <si>
    <t>LANÇAMENTO COM USO DE BALDES, ADENSAMENTO E ACABAMENTO DE CONCRETO EM ESTRUTURAS. AF_02/2022</t>
  </si>
  <si>
    <t>REDE DE DRENAGEM ÁREA 1 - 0,94 KM</t>
  </si>
  <si>
    <t>4.1</t>
  </si>
  <si>
    <t>OBRAS DE DRENAGEM DE ÁGUAS PLUVIAIS</t>
  </si>
  <si>
    <t>4.1.1</t>
  </si>
  <si>
    <t>SERVIÇOS PRELIMINARES</t>
  </si>
  <si>
    <t>4.1.1.1</t>
  </si>
  <si>
    <t>LOCAÇÃO DE REDES</t>
  </si>
  <si>
    <t>4.1.1.1.1</t>
  </si>
  <si>
    <t xml:space="preserve"> 74209/1 M </t>
  </si>
  <si>
    <t>4.1.1.1.2</t>
  </si>
  <si>
    <t xml:space="preserve"> 99063 </t>
  </si>
  <si>
    <t>LOCAÇÃO DE REDE DE DRENAGEM</t>
  </si>
  <si>
    <t>M</t>
  </si>
  <si>
    <t>4.1.1.1.3</t>
  </si>
  <si>
    <t xml:space="preserve"> 01.04.01U </t>
  </si>
  <si>
    <t>COMPESA</t>
  </si>
  <si>
    <t>PASSARELA, EM MADEIRA, PARA COBERTA DE VALAS PARA PASSAGEM DE VEÍCULOS.</t>
  </si>
  <si>
    <t>4.1.1.1.4</t>
  </si>
  <si>
    <t xml:space="preserve"> 01.04.02U </t>
  </si>
  <si>
    <t>PASSARELA, EM MADEIRA, PARA COBERTA DE VALAS PARA PASSAGEM DE PEDESTRES.</t>
  </si>
  <si>
    <t>4.1.1.1.5</t>
  </si>
  <si>
    <t xml:space="preserve"> 01.03.12U </t>
  </si>
  <si>
    <t>TELA TAPUME, COR LARANJA, COM SUPORTE A CADA 2M (FORNECIMENTO E INSTALAÇÃO)</t>
  </si>
  <si>
    <t>4.1.1.1.6</t>
  </si>
  <si>
    <t xml:space="preserve"> 01.03.16U </t>
  </si>
  <si>
    <t>SINALIZADOR ELETRÔNICO</t>
  </si>
  <si>
    <t>4.1.1.1.7</t>
  </si>
  <si>
    <t xml:space="preserve"> 5212556 </t>
  </si>
  <si>
    <t>un.dia</t>
  </si>
  <si>
    <t>4.1.1.1.8</t>
  </si>
  <si>
    <t xml:space="preserve"> 5212560 </t>
  </si>
  <si>
    <t>4.1.1.1.9</t>
  </si>
  <si>
    <t xml:space="preserve"> 5213346 </t>
  </si>
  <si>
    <t>4.1.1.1.10</t>
  </si>
  <si>
    <t xml:space="preserve"> 5213835 </t>
  </si>
  <si>
    <t>Cone plástico para canalização de trânsito - utilização de 150 ciclos - fornecimento, 01 implantação e 01 retirada diária</t>
  </si>
  <si>
    <t>4.1.1.1.11</t>
  </si>
  <si>
    <t xml:space="preserve"> 5213836 </t>
  </si>
  <si>
    <t xml:space="preserve"> 8335 </t>
  </si>
  <si>
    <t>ORSE</t>
  </si>
  <si>
    <t>m</t>
  </si>
  <si>
    <t>4.1.1.2</t>
  </si>
  <si>
    <t>DEMOLIÇÕES E RETIRADAS DE PAVIMENTAÇÃO ASFÁLTICA</t>
  </si>
  <si>
    <t>4.1.1.2.1</t>
  </si>
  <si>
    <t xml:space="preserve"> 97636 </t>
  </si>
  <si>
    <t>4.1.1.2.2</t>
  </si>
  <si>
    <t>4.1.1.2.3</t>
  </si>
  <si>
    <t>4.1.1.2.4</t>
  </si>
  <si>
    <t>4.1.1.3</t>
  </si>
  <si>
    <t>DEMOLIÇÃO DE POÇOS DE VISITA</t>
  </si>
  <si>
    <t>4.1.1.3.1</t>
  </si>
  <si>
    <t xml:space="preserve"> 1600438 </t>
  </si>
  <si>
    <t>4.1.1.3.2</t>
  </si>
  <si>
    <t xml:space="preserve"> 97622 </t>
  </si>
  <si>
    <t>4.1.1.3.3</t>
  </si>
  <si>
    <t>4.1.1.3.4</t>
  </si>
  <si>
    <t>4.1.1.3.5</t>
  </si>
  <si>
    <t>4.1.1.4</t>
  </si>
  <si>
    <t>DEMOLIÇÃO DE TUBOS DE CONCRETO</t>
  </si>
  <si>
    <t>4.1.1.4.1</t>
  </si>
  <si>
    <t xml:space="preserve"> 02.01.67 </t>
  </si>
  <si>
    <t>EMBASA</t>
  </si>
  <si>
    <t>4.1.1.4.2</t>
  </si>
  <si>
    <t>4.1.1.4.3</t>
  </si>
  <si>
    <t>4.1.1.4.4</t>
  </si>
  <si>
    <t>4.1.1.5</t>
  </si>
  <si>
    <t>DEMOLIÇÕES DE PASSEIOS E MEIO-FIO</t>
  </si>
  <si>
    <t>4.1.1.5.1</t>
  </si>
  <si>
    <t xml:space="preserve"> 05.002.0014-0 </t>
  </si>
  <si>
    <t>EMOP</t>
  </si>
  <si>
    <t>M2</t>
  </si>
  <si>
    <t>4.1.1.5.2</t>
  </si>
  <si>
    <t xml:space="preserve"> 94990 </t>
  </si>
  <si>
    <t>4.1.1.5.3</t>
  </si>
  <si>
    <t xml:space="preserve"> 022520 </t>
  </si>
  <si>
    <t>SBC</t>
  </si>
  <si>
    <t>RETIRADA MEIO-FIO EM CONCRETO</t>
  </si>
  <si>
    <t>4.1.1.5.4</t>
  </si>
  <si>
    <t xml:space="preserve"> 020214 </t>
  </si>
  <si>
    <t>RECONSTRUCAO DE MEIO-FIO EM CONCRETO 10cm MOLDADO NO LOCAL</t>
  </si>
  <si>
    <t>4.1.1.5.5</t>
  </si>
  <si>
    <t>4.1.1.5.6</t>
  </si>
  <si>
    <t>4.1.1.5.7</t>
  </si>
  <si>
    <t>4.1.1.6</t>
  </si>
  <si>
    <t>DEMOLIÇÕES DE PAREDES PARA AMPLIAÇÃO DE BOCA DE LOBO</t>
  </si>
  <si>
    <t>4.1.1.6.1</t>
  </si>
  <si>
    <t>M³</t>
  </si>
  <si>
    <t>4.1.1.6.2</t>
  </si>
  <si>
    <t>4.1.1.6.3</t>
  </si>
  <si>
    <t>4.1.1.6.4</t>
  </si>
  <si>
    <t>4.1.1.6.5</t>
  </si>
  <si>
    <t>4.1.1.7</t>
  </si>
  <si>
    <t>ENSAIOS</t>
  </si>
  <si>
    <t>4.1.1.7.1</t>
  </si>
  <si>
    <t>DETERMINAÇÃO DA DENSIDADE IN SITU DAS MISTURAS ASFÁLTICAS COMPACTADAS (DNIT 431/2020-ME)</t>
  </si>
  <si>
    <t>4.1.1.7.2</t>
  </si>
  <si>
    <t>ENSAIO QUIMICO COMPLETO DE CAL</t>
  </si>
  <si>
    <t>4.1.2</t>
  </si>
  <si>
    <t>REDES DE DRENAGEM DE ÁGUAS PLUVIAIS</t>
  </si>
  <si>
    <t>4.1.2.1</t>
  </si>
  <si>
    <t>ESCAVAÇÕES PARA SISTEMAS DESTRUTIVOS, COM DEPOSIÇÃO LATERAL PARA POSTERIOR REAPROVEITAMENTO</t>
  </si>
  <si>
    <t>4.1.2.1.1</t>
  </si>
  <si>
    <t xml:space="preserve"> 102284 </t>
  </si>
  <si>
    <t>ESCAVAÇÃO MECANIZADA DE VALA COM PROF. MAIOR QUE 1,5 M ATÉ 3,0 M (MÉDIA MONTANTE E JUSANTE/UMA COMPOSIÇÃO POR TRECHO), ESCAVADEIRA (0,8 M3), LARGURA ATÉ 1,5 M, EM SOLO MOLE, EM LOCAIS COM ALTO NÍVEL DE INTERFERÊNCIA. AF_02/2021</t>
  </si>
  <si>
    <t>4.1.2.1.2</t>
  </si>
  <si>
    <t xml:space="preserve"> 102301 </t>
  </si>
  <si>
    <t>4.1.2.1.3</t>
  </si>
  <si>
    <t xml:space="preserve"> 102283 </t>
  </si>
  <si>
    <t>ESCAVAÇÃO MECANIZADA DE VALA COM PROF. ATÉ 1,5 M (MÉDIA MONTANTE E JUSANTE/UMA COMPOSIÇÃO POR TRECHO), ESCAVADEIRA (0,8 M3), LARG. DE 1,5 M A 2,5 M, EM SOLO MOLE, EM LOCAIS COM ALTO NÍVEL DE INTERFERÊNCIA. AF_02/2021</t>
  </si>
  <si>
    <t>4.1.2.1.4</t>
  </si>
  <si>
    <t xml:space="preserve"> 102287 </t>
  </si>
  <si>
    <t>4.1.2.1.5</t>
  </si>
  <si>
    <t xml:space="preserve"> 102288 </t>
  </si>
  <si>
    <t>4.1.2.1.6</t>
  </si>
  <si>
    <t xml:space="preserve"> 102289 </t>
  </si>
  <si>
    <t>ESCAVAÇÃO MECANIZADA DE VALA COM PROF. MAIOR QUE 4,5 M ATÉ 6,0 M (MÉDIA MONTANTE E JUSANTE/UMA COMPOSIÇÃO POR TRECHO), ESCAVADEIRA (1,2 M3), LARG. DE 1,5 M A 2,5 M, EM SOLO MOLE, EM LOCAIS COM ALTO NÍVEL DE INTERFERÊNCIA. AF_02/2021</t>
  </si>
  <si>
    <t>4.1.2.1.7</t>
  </si>
  <si>
    <t xml:space="preserve"> 102276 </t>
  </si>
  <si>
    <t>4.1.2.1.8</t>
  </si>
  <si>
    <t xml:space="preserve"> 90084 </t>
  </si>
  <si>
    <t>4.1.2.1.9</t>
  </si>
  <si>
    <t xml:space="preserve"> 90082 </t>
  </si>
  <si>
    <t>4.1.2.1.10</t>
  </si>
  <si>
    <t xml:space="preserve"> 102278 </t>
  </si>
  <si>
    <t>ESCAVAÇÃO MECANIZADA DE VALA COM PROF. MAIOR QUE 1,50 M ATÉ 3,0 M (MÉDIA MONTANTE E JUSANTE/UMA COMPOSIÇÃO POR TRECHO), ESCAVADEIRA (1,2 M3), LARG. DE 1,5 M A 2,5 M, EM SOLO DE 1A CATEGORIA, EM LOCAIS COM ALTO NÍVEL DE INTERFERÊNCIA. AF_02/2021</t>
  </si>
  <si>
    <t>4.1.2.1.11</t>
  </si>
  <si>
    <t xml:space="preserve"> 90087 </t>
  </si>
  <si>
    <t>4.1.2.1.12</t>
  </si>
  <si>
    <t xml:space="preserve"> 00000003 </t>
  </si>
  <si>
    <t>ESCAVAÇÃO MECANIZADA DE VALAS EM MATERIAL DE 1ª E/OU 2ª CATEGORIAS, LARGURA MAIOR QUE 2,5M E ATÉ 2,00 M DE PROFUNDIDADE</t>
  </si>
  <si>
    <t>4.1.2.1.13</t>
  </si>
  <si>
    <t xml:space="preserve"> 00000004 </t>
  </si>
  <si>
    <t>ESCAVAÇÃO MECANIZADA DE VALAS EM MATERIAL DE 1ª E/OU 2ª CATEGORIAS, LARGURA MAIOR QUE 2,5M EACIMA DE 2,00 M  E ATÉ 4,00 M DE PROFUNDIDADE.</t>
  </si>
  <si>
    <t>4.1.2.1.14</t>
  </si>
  <si>
    <t xml:space="preserve"> 00000005 </t>
  </si>
  <si>
    <t>ESCAVAÇÃO MECANIZADA DE VALAS EM MATERIAL DE 1ª E/OU 2ª CATEGORIAS, LARGURA MAIOR QUE 2,5M E ACIMA DE 4,00 M E ATÉ 6,00 M DE PROFUNDIDADE.</t>
  </si>
  <si>
    <t>4.1.2.1.15</t>
  </si>
  <si>
    <t xml:space="preserve"> 102355 </t>
  </si>
  <si>
    <t>4.1.2.1.16</t>
  </si>
  <si>
    <t>4.1.2.1.17</t>
  </si>
  <si>
    <t>4.1.2.1.18</t>
  </si>
  <si>
    <t>4.1.2.1.19</t>
  </si>
  <si>
    <t xml:space="preserve"> 100574 </t>
  </si>
  <si>
    <t>4.1.2.2</t>
  </si>
  <si>
    <t>ESGOTAMENTO DE VALAS</t>
  </si>
  <si>
    <t>4.1.2.2.1</t>
  </si>
  <si>
    <t xml:space="preserve"> 2003864 </t>
  </si>
  <si>
    <t>ESGOTAMENTO DE ÁGUA COM BOMBA SUBMERSA</t>
  </si>
  <si>
    <t>h</t>
  </si>
  <si>
    <t>4.1.2.3</t>
  </si>
  <si>
    <t>ESCORAMENTOS DE VALAS PARA REDE DE DRENAGEM</t>
  </si>
  <si>
    <t>4.1.2.3.1</t>
  </si>
  <si>
    <t xml:space="preserve"> 07.93.30 </t>
  </si>
  <si>
    <t>ESCORAMENTO DE VALA, TIPO BLINDAGEM, COM PROFUNDIDADE DE 0 A 1,5 M, LARGURA MENOR QUE 1,5 M - EXECUÇÃO E FORNECIMENTO, INCLUI MATERIAL (ESCAVAÇÃO EXTERNA AO BLINDADO)</t>
  </si>
  <si>
    <t>4.1.2.3.2</t>
  </si>
  <si>
    <t xml:space="preserve"> 07.93.35 </t>
  </si>
  <si>
    <t>ESCORAMENTO DE VALA, TIPO BLINDAGEM, COM PROFUNDIDADE DE 1,5 A 3,0 M, LARGURA MENOR QUE 1,5 M - EXECUÇÃO E FORNECIMENTO, INCLUI MATERIAL (ESCAVAÇÃO INTERNA AO BLINDADO)</t>
  </si>
  <si>
    <t>4.1.2.3.3</t>
  </si>
  <si>
    <t xml:space="preserve"> 07.93.32 </t>
  </si>
  <si>
    <t>4.1.2.3.4</t>
  </si>
  <si>
    <t xml:space="preserve"> 07.93.37 </t>
  </si>
  <si>
    <t>ESCORAMENTO DE VALA, TIPO BLINDAGEM, COM PROFUNDIDADE DE 1,5 A 3,0 M, LARGURA DE 1,5 A 2,5 M - EXECUÇÃO E FORNECIMENTO, INCLUI MATERIAL (ESCAVAÇÃO INTERNA AO BLINDADO)</t>
  </si>
  <si>
    <t>4.1.2.3.5</t>
  </si>
  <si>
    <t xml:space="preserve"> 07.93.40 </t>
  </si>
  <si>
    <t>4.1.2.3.6</t>
  </si>
  <si>
    <t xml:space="preserve"> 07.93.42 </t>
  </si>
  <si>
    <t>4.1.2.3.7</t>
  </si>
  <si>
    <t xml:space="preserve"> 07.93.45 </t>
  </si>
  <si>
    <t>4.1.2.3.8</t>
  </si>
  <si>
    <t xml:space="preserve"> 07.93.46 </t>
  </si>
  <si>
    <t>4.1.2.3.9</t>
  </si>
  <si>
    <t xml:space="preserve"> 07.93.52 </t>
  </si>
  <si>
    <t>4.1.2.4</t>
  </si>
  <si>
    <t>PREENCHIMENTO DE VALAS E ASSENTAMENTO DE TUBOS</t>
  </si>
  <si>
    <t>4.1.2.4.1</t>
  </si>
  <si>
    <t xml:space="preserve"> 101623 </t>
  </si>
  <si>
    <t>PREPARO DE FUNDO DE VALA COM LARGURA MENOR QUE 1,5 M, COM CAMADA DE BRITA, LANÇAMENTO MECANIZADO. AF_08/2020</t>
  </si>
  <si>
    <t>4.1.2.4.2</t>
  </si>
  <si>
    <t xml:space="preserve"> 101624 </t>
  </si>
  <si>
    <t>PREPARO DE FUNDO DE VALA COM LARGURA MAIOR OU IGUAL A 1,5 M E MENOR QUE 2,5 M, COM CAMADA DE BRITA, LANÇAMENTO MECANIZADO. AF_08/2020</t>
  </si>
  <si>
    <t>4.1.2.4.3</t>
  </si>
  <si>
    <t xml:space="preserve"> 96390 M </t>
  </si>
  <si>
    <t>EXECUÇÃO E COMPACTAÇÃO DE BASE E OU SUB BASE PARA PAVIMENTAÇÃO DE SOLO (PREDOMINANTEMENTE ARENOSO) COM CAL (TEOR DE 4%) - EXCLUSIVE SOLO, ESCAVAÇÃO, CARGA E TRANSPORTE.</t>
  </si>
  <si>
    <t>4.1.2.4.4</t>
  </si>
  <si>
    <t xml:space="preserve"> 4011276 </t>
  </si>
  <si>
    <t>Base ou sub-base de brita graduada com brita comercial</t>
  </si>
  <si>
    <t>4.1.2.4.5</t>
  </si>
  <si>
    <t xml:space="preserve"> 4011353 M </t>
  </si>
  <si>
    <t>PINTURA DE LIGAÇÃO (SEM MATERIAL)</t>
  </si>
  <si>
    <t>4.1.2.4.6</t>
  </si>
  <si>
    <t xml:space="preserve"> ANP-RR-1C </t>
  </si>
  <si>
    <t>EMULSÃO ASFÁLTICA - RR-1C - FORNECIMENTO E TRANSPORTE</t>
  </si>
  <si>
    <t>t</t>
  </si>
  <si>
    <t>4.1.2.4.7</t>
  </si>
  <si>
    <t xml:space="preserve"> 4011352 M </t>
  </si>
  <si>
    <t>IMPRIMAÇÃO COM EMULSÃO ASFÁLTICA (SEM MATERIAL)</t>
  </si>
  <si>
    <t>4.1.2.4.8</t>
  </si>
  <si>
    <t xml:space="preserve"> ANP-EMU </t>
  </si>
  <si>
    <t>EMULSÃO ASFÁLTICA PARA IMPRIMAÇÃO - FORNECIMENTO E TRANSPORTE</t>
  </si>
  <si>
    <t>T</t>
  </si>
  <si>
    <t>4.1.2.4.9</t>
  </si>
  <si>
    <t xml:space="preserve"> M0344 </t>
  </si>
  <si>
    <t>kg</t>
  </si>
  <si>
    <t>4.1.2.4.10</t>
  </si>
  <si>
    <t xml:space="preserve"> 95995 M </t>
  </si>
  <si>
    <t>CONSTRUÇÃO DE PAVIMENTO COM APLICAÇÃO CONCRETO BETUMINOSO USINADO A QUENTE (CBUQ), CAMADA DE ROLAMENTO - EXCLUSIVE TRANSPORTE E CARGA  AF_03/2017 (SEM MATERIAL)</t>
  </si>
  <si>
    <t>4.1.2.4.11</t>
  </si>
  <si>
    <t xml:space="preserve"> 101023 M </t>
  </si>
  <si>
    <t>USINAGEM DE CBUQ SEM  CAP 50/70, PARA CAPA DE ROLAMENTO (SEM MATERIAL  E TRANSPORTE)</t>
  </si>
  <si>
    <t>4.1.2.4.12</t>
  </si>
  <si>
    <t xml:space="preserve"> ANP-CAP 50/70 </t>
  </si>
  <si>
    <t>CIMENTO ASFÁLTICO DE PETRÓLEO - CAP 50/70 FORNECIMENTO E TRANSPORTE</t>
  </si>
  <si>
    <t>4.1.2.4.13</t>
  </si>
  <si>
    <t>REATERRO MANUAL APILOADO COM SOQUETE. AF_10/2017</t>
  </si>
  <si>
    <t>4.1.2.4.14</t>
  </si>
  <si>
    <t xml:space="preserve"> 02.05.04U </t>
  </si>
  <si>
    <t>REATERRO COMPACTADO MECANICAMENTE EM CAMADAS DE 0,20 M COM APROVEITAMENTO DO MATERIAL ESCAVADO.</t>
  </si>
  <si>
    <t>4.1.2.4.15</t>
  </si>
  <si>
    <t>4.1.2.4.16</t>
  </si>
  <si>
    <t>4.1.2.4.17</t>
  </si>
  <si>
    <t xml:space="preserve"> 92824 </t>
  </si>
  <si>
    <t>4.1.2.4.18</t>
  </si>
  <si>
    <t xml:space="preserve"> 92826 </t>
  </si>
  <si>
    <t>4.1.2.4.19</t>
  </si>
  <si>
    <t xml:space="preserve"> 92828 </t>
  </si>
  <si>
    <t>4.1.2.4.20</t>
  </si>
  <si>
    <t xml:space="preserve"> 92830 </t>
  </si>
  <si>
    <t>4.1.2.4.21</t>
  </si>
  <si>
    <t xml:space="preserve"> 92832 </t>
  </si>
  <si>
    <t>4.1.2.5</t>
  </si>
  <si>
    <t>FORNECIMENTO DE TUBOS</t>
  </si>
  <si>
    <t>4.1.2.5.1</t>
  </si>
  <si>
    <t xml:space="preserve"> 100952 </t>
  </si>
  <si>
    <t>TRANSPORTE COM CAMINHÃO CARROCERIA COM GUINDAUTO (MUNCK),  MOMENTO MÁXIMO DE CARGA 11,7 TM, EM VIA URBANA PAVIMENTADA, DMT ATÉ 30KM (UNIDADE: TXKM). AF_07/2020</t>
  </si>
  <si>
    <t>TXKM</t>
  </si>
  <si>
    <t>4.1.2.5.2</t>
  </si>
  <si>
    <t xml:space="preserve"> 101463 </t>
  </si>
  <si>
    <t>CARGA, MANOBRA E DESCARGA DE TUBOS DE CONCRETO, DN 600 MM, EM CAMINHÃO CARROCERIA COM GUINDAUTO (MUNCK) 11,7 TM. AF_07/2020</t>
  </si>
  <si>
    <t>4.1.2.5.3</t>
  </si>
  <si>
    <t xml:space="preserve"> 00007725 </t>
  </si>
  <si>
    <t>TUBO DE CONCRETO ARMADO PARA AGUAS PLUVIAIS, CLASSE PA-1, COM ENCAIXE PONTA E BOLSA, DIAMETRO NOMINAL DE = 600 MM</t>
  </si>
  <si>
    <t>4.1.2.5.4</t>
  </si>
  <si>
    <t xml:space="preserve"> 101465 </t>
  </si>
  <si>
    <t>CARGA, MANOBRA E DESCARGA DE TUBOS DE CONCRETO, DN 800 MM, EM CAMINHÃO CARROCERIA COM GUINDAUTO (MUNCK) 11,7 TM. AF_07/2020</t>
  </si>
  <si>
    <t>4.1.2.5.5</t>
  </si>
  <si>
    <t xml:space="preserve"> 00007763 </t>
  </si>
  <si>
    <t>TUBO DE CONCRETO ARMADO PARA AGUAS PLUVIAIS, CLASSE PA-2, COM ENCAIXE PONTA E BOLSA, DIAMETRO NOMINAL DE 800 MM</t>
  </si>
  <si>
    <t>4.1.2.5.6</t>
  </si>
  <si>
    <t xml:space="preserve"> 101467 </t>
  </si>
  <si>
    <t>CARGA, MANOBRA E DESCARGA DE TUBOS DE CONCRETO, DN 1000 MM, EM CAMINHÃO CARROCERIA COM GUINDAUTO (MUNCK) 11,7 TM. AF_07/2020</t>
  </si>
  <si>
    <t>4.1.2.5.7</t>
  </si>
  <si>
    <t xml:space="preserve"> 00007753 </t>
  </si>
  <si>
    <t>TUBO DE CONCRETO ARMADO PARA AGUAS PLUVIAIS, CLASSE PA-1, COM ENCAIXE PONTA E BOLSA, DIAMETRO NOMINAL DE 1000 MM</t>
  </si>
  <si>
    <t>4.1.2.5.8</t>
  </si>
  <si>
    <t xml:space="preserve"> 00007765 </t>
  </si>
  <si>
    <t>TUBO DE CONCRETO ARMADO PARA AGUAS PLUVIAIS, CLASSE PA-2, COM ENCAIXE PONTA E BOLSA, DIAMETRO NOMINAL DE 1000 MM</t>
  </si>
  <si>
    <t>4.1.2.5.9</t>
  </si>
  <si>
    <t xml:space="preserve"> 101468 </t>
  </si>
  <si>
    <t>CARGA, MANOBRA E DESCARGA DE TUBOS DE CONCRETO, DN 1200 MM, EM CAMINHÃO CARROCERIA COM GUINDAUTO (MUNCK) 11,7 TM. AF_07/2020</t>
  </si>
  <si>
    <t>4.1.2.5.10</t>
  </si>
  <si>
    <t xml:space="preserve"> 00007757 </t>
  </si>
  <si>
    <t>TUBO DE CONCRETO ARMADO PARA AGUAS PLUVIAIS, CLASSE PA-1, COM ENCAIXE PONTA E BOLSA, DIAMETRO NOMINAL DE 1200 MM</t>
  </si>
  <si>
    <t>4.1.2.5.11</t>
  </si>
  <si>
    <t xml:space="preserve"> C0703 </t>
  </si>
  <si>
    <t>SEINFRA</t>
  </si>
  <si>
    <t>4.1.2.5.12</t>
  </si>
  <si>
    <t xml:space="preserve"> 00007767 </t>
  </si>
  <si>
    <t>TUBO DE CONCRETO ARMADO PARA AGUAS PLUVIAIS, CLASSE PA-2, COM ENCAIXE PONTA E BOLSA, DIAMETRO NOMINAL DE 1500 MM</t>
  </si>
  <si>
    <t>4.1.2.6</t>
  </si>
  <si>
    <t>BOCAS DE LOBO</t>
  </si>
  <si>
    <t>4.1.2.6.1</t>
  </si>
  <si>
    <t>4.1.2.6.2</t>
  </si>
  <si>
    <t>4.1.2.6.3</t>
  </si>
  <si>
    <t>4.1.2.6.4</t>
  </si>
  <si>
    <t xml:space="preserve"> 01.03.09U </t>
  </si>
  <si>
    <t>PLACA DE SINALIZAÇÃO E ADVERTÊNCIA EM CHAPA DE AÇO GALVANIZADA Nº 16 (FORNECIMENTO E FIXAÇÃO)</t>
  </si>
  <si>
    <t>4.1.2.6.5</t>
  </si>
  <si>
    <t>4.1.2.6.7</t>
  </si>
  <si>
    <t xml:space="preserve"> 102282 </t>
  </si>
  <si>
    <t>ESCAVAÇÃO MECANIZADA DE VALA COM PROF. ATÉ 1,5 M (MÉDIA MONTANTE E JUSANTE/UMA COMPOSIÇÃO POR TRECHO), ESCAVADEIRA (0,8 M3),LARG. MENOR QUE 1,5 M, EM SOLO DE MOLE, EM LOCAIS COM ALTO NÍVEL DE INTERFERÊNCIA. AF_02/2021</t>
  </si>
  <si>
    <t>4.1.2.6.8</t>
  </si>
  <si>
    <t>4.1.2.6.9</t>
  </si>
  <si>
    <t xml:space="preserve"> 102285 </t>
  </si>
  <si>
    <t>ESCAVAÇÃO MECANIZADA DE VALA COM PROF. MAIOR QUE 3,0 M ATÉ 4,5 M (MÉDIA MONTANTE E JUSANTE/UMA COMPOSIÇÃO POR TRECHO), ESCAVADEIRA (0,8 M3), LARG. MENOR QUE 1,5 M, EM SOLO  MOLE, EM LOCAIS COM ALTO NÍVEL DE INTERFERÊNCIA. AF_02/2021</t>
  </si>
  <si>
    <t>4.1.2.6.10</t>
  </si>
  <si>
    <t>4.1.2.6.11</t>
  </si>
  <si>
    <t>4.1.2.6.12</t>
  </si>
  <si>
    <t>4.1.2.6.13</t>
  </si>
  <si>
    <t>4.1.2.6.14</t>
  </si>
  <si>
    <t xml:space="preserve"> 90086 </t>
  </si>
  <si>
    <t>4.1.2.6.15</t>
  </si>
  <si>
    <t>4.1.2.6.16</t>
  </si>
  <si>
    <t>4.1.2.6.17</t>
  </si>
  <si>
    <t>4.1.2.6.18</t>
  </si>
  <si>
    <t>4.1.2.6.19</t>
  </si>
  <si>
    <t>4.1.2.6.20</t>
  </si>
  <si>
    <t xml:space="preserve"> 07.93.38 </t>
  </si>
  <si>
    <t>4.1.2.6.21</t>
  </si>
  <si>
    <t>4.1.2.6.22</t>
  </si>
  <si>
    <t>4.1.2.6.23</t>
  </si>
  <si>
    <t>4.1.2.6.24</t>
  </si>
  <si>
    <t>4.1.2.6.25</t>
  </si>
  <si>
    <t>4.1.2.6.26</t>
  </si>
  <si>
    <t>4.1.2.6.27</t>
  </si>
  <si>
    <t>4.1.2.6.28</t>
  </si>
  <si>
    <t>4.1.2.6.29</t>
  </si>
  <si>
    <t>4.1.2.6.30</t>
  </si>
  <si>
    <t>4.1.2.6.31</t>
  </si>
  <si>
    <t>4.1.2.6.32</t>
  </si>
  <si>
    <t>4.1.2.6.33</t>
  </si>
  <si>
    <t>4.1.2.6.34</t>
  </si>
  <si>
    <t>4.1.2.6.35</t>
  </si>
  <si>
    <t>4.1.2.6.36</t>
  </si>
  <si>
    <t>4.1.2.6.37</t>
  </si>
  <si>
    <t>4.1.2.6.38</t>
  </si>
  <si>
    <t>4.1.2.6.39</t>
  </si>
  <si>
    <t>4.1.2.6.40</t>
  </si>
  <si>
    <t>4.1.2.6.41</t>
  </si>
  <si>
    <t xml:space="preserve"> 94285 </t>
  </si>
  <si>
    <t>4.1.2.6.42</t>
  </si>
  <si>
    <t>4.1.2.6.43</t>
  </si>
  <si>
    <t xml:space="preserve"> 0407819 </t>
  </si>
  <si>
    <t>Armação em aço CA-50 - fornecimento, preparo e colocação</t>
  </si>
  <si>
    <t>4.1.2.6.44</t>
  </si>
  <si>
    <t xml:space="preserve"> 103320 </t>
  </si>
  <si>
    <t>ALVENARIA DE VEDAÇÃO DE BLOCOS VAZADOS DE CONCRETO DE 19X19X39 CM (ESPESSURA 19 CM) E ARGAMASSA DE ASSENTAMENTO COM PREPARO EM BETONEIRA. AF_12/2021</t>
  </si>
  <si>
    <t>4.1.2.6.45</t>
  </si>
  <si>
    <t xml:space="preserve"> 3108000 </t>
  </si>
  <si>
    <t>Fôrmas de compensado resinado 12 mm - uso geral - utilização de 2 vezes - confecção, instalação e retirada</t>
  </si>
  <si>
    <t>4.1.2.6.46</t>
  </si>
  <si>
    <t>4.1.2.6.47</t>
  </si>
  <si>
    <t>4.1.2.6.48</t>
  </si>
  <si>
    <t xml:space="preserve"> 00007781 </t>
  </si>
  <si>
    <t>TUBO DE CONCRETO SIMPLES PARA AGUAS PLUVIAIS, CLASSE PS1, COM ENCAIXE PONTA E BOLSA, DIAMETRO NOMINAL DE 400 MM</t>
  </si>
  <si>
    <t>4.1.2.6.49</t>
  </si>
  <si>
    <t xml:space="preserve"> 00007785 </t>
  </si>
  <si>
    <t>TUBO DE CONCRETO SIMPLES PARA AGUAS PLUVIAIS, CLASSE PS2, COM ENCAIXE PONTA E BOLSA, DIAMETRO NOMINAL DE 400 MM</t>
  </si>
  <si>
    <t xml:space="preserve"> 92821 </t>
  </si>
  <si>
    <t xml:space="preserve"> 4.1.2.7 </t>
  </si>
  <si>
    <t>POÇOS DE VISITA</t>
  </si>
  <si>
    <t>4.1.2.7.1</t>
  </si>
  <si>
    <t xml:space="preserve"> 18.95.04 </t>
  </si>
  <si>
    <t>REVEST. PRIMARIO C CASCALHO OU SAIBRO C\ COMPACTACAO</t>
  </si>
  <si>
    <t>4.1.2.7.2</t>
  </si>
  <si>
    <t xml:space="preserve"> 97733 </t>
  </si>
  <si>
    <t>4.1.2.7.3</t>
  </si>
  <si>
    <t>4.1.2.7.4</t>
  </si>
  <si>
    <t xml:space="preserve"> 94969 </t>
  </si>
  <si>
    <t>CONCRETO FCK = 15MPA, TRAÇO 1:3,4:3,5 (EM MASSA SECA DE CIMENTO/ AREIA MÉDIA/ BRITA 1) - PREPARO MECÂNICO COM BETONEIRA 600 L. AF_05/2021</t>
  </si>
  <si>
    <t>4.1.2.7.5</t>
  </si>
  <si>
    <t>4.1.2.7.6</t>
  </si>
  <si>
    <t xml:space="preserve"> 3103302 </t>
  </si>
  <si>
    <t>Fôrmas de tábuas de pinho para dispositivos de drenagem - utilização de 3 vezes - confecção, instalação e retirada</t>
  </si>
  <si>
    <t>4.1.2.7.7</t>
  </si>
  <si>
    <t>4.1.2.7.8</t>
  </si>
  <si>
    <t>ARMAÇÃO EM AÇO CA-50 - FORNECIMENTO, PREPARO E COLOCAÇÃO</t>
  </si>
  <si>
    <t>4.1.2.7.9</t>
  </si>
  <si>
    <t xml:space="preserve"> 99318 </t>
  </si>
  <si>
    <t>CHAMINÉ CIRCULAR PARA POÇO DE VISITA PARA DRENAGEM, EM CONCRETO PRÉ-MOLDADO, DIÂMETRO INTERNO = 0,6 M. AF_12/2020</t>
  </si>
  <si>
    <t>4.1.2.7.10</t>
  </si>
  <si>
    <t xml:space="preserve"> 101792 </t>
  </si>
  <si>
    <t>ESCORAMENTO DE FÔRMAS DE LAJE EM MADEIRA NÃO APARELHADA, PÉ-DIREITO SIMPLES, INCLUSO TRAVAMENTO, 4 UTILIZAÇÕES. AF_09/2020</t>
  </si>
  <si>
    <t>4.1.2.8</t>
  </si>
  <si>
    <t>SERVIÇOS FINAIS PARA DRENAGEM</t>
  </si>
  <si>
    <t>4.1.2.8.1</t>
  </si>
  <si>
    <t xml:space="preserve"> 27.01.06U </t>
  </si>
  <si>
    <t>LIMPEZA E TESTE DE REDES DE DRENAGEM</t>
  </si>
  <si>
    <t>4.2</t>
  </si>
  <si>
    <t>TERRAPLENAGEM (MOVIMENTOS DE TERRA EXCETO OS JÁ INDICADOS NAS DEMAIS PLANILHAS)</t>
  </si>
  <si>
    <t>4.2.1</t>
  </si>
  <si>
    <t>PREPARAÇÃO DO TERRENO (RASPAGEM E LIMPEZA)</t>
  </si>
  <si>
    <t>4.2.1.1</t>
  </si>
  <si>
    <t>4.2.1.2</t>
  </si>
  <si>
    <t>4.2.1.3</t>
  </si>
  <si>
    <t>4.2.1.4</t>
  </si>
  <si>
    <t>4.2.1.5</t>
  </si>
  <si>
    <t>4.2.2</t>
  </si>
  <si>
    <t>CORTE COM TRANSPORTE LOCAL PARA ATERRO DE COMPENSAÇÃO</t>
  </si>
  <si>
    <t>4.2.2.1</t>
  </si>
  <si>
    <t xml:space="preserve"> 101146 </t>
  </si>
  <si>
    <t>ESCAVAÇÃO HORIZONTAL, INCLUINDO CARGA, DESCARGA E TRANSPORTE EM SOLO DE 1A CATEGORIA COM TRATOR DE ESTEIRAS (170HP/LÂMINA: 5,20M3) E CAMINHÃO BASCULANTE DE 14M3, DMT ATÉ 200M. AF_07/2020</t>
  </si>
  <si>
    <t>4.2.2.2</t>
  </si>
  <si>
    <t>4.2.2.3</t>
  </si>
  <si>
    <t>4.2.2.4</t>
  </si>
  <si>
    <t>4.2.3</t>
  </si>
  <si>
    <t>ATERROS (CONSIDERANDO-SE O APROVEITAMENTO DO MATERIAL DO CORTE)</t>
  </si>
  <si>
    <t>4.2.3.1</t>
  </si>
  <si>
    <t xml:space="preserve"> 96385 </t>
  </si>
  <si>
    <t>4.2.4</t>
  </si>
  <si>
    <t>PAVIMENTAÇÃO</t>
  </si>
  <si>
    <t>4.2.4.1</t>
  </si>
  <si>
    <t xml:space="preserve"> 4011209 </t>
  </si>
  <si>
    <t>Regularização do subleito</t>
  </si>
  <si>
    <t>4.2.4.2</t>
  </si>
  <si>
    <t xml:space="preserve"> 5503041 </t>
  </si>
  <si>
    <t>Compactação de aterros a 100% do Proctor intermediário</t>
  </si>
  <si>
    <t>4.2.4.3</t>
  </si>
  <si>
    <t>4.2.4.4</t>
  </si>
  <si>
    <t>4.2.4.5</t>
  </si>
  <si>
    <t>4.2.4.6</t>
  </si>
  <si>
    <t>4.2.4.7</t>
  </si>
  <si>
    <t>4.2.4.8</t>
  </si>
  <si>
    <t xml:space="preserve"> 4413996 </t>
  </si>
  <si>
    <t>Enleivamento</t>
  </si>
  <si>
    <t>4.2.4.9</t>
  </si>
  <si>
    <t>4.2.4.10</t>
  </si>
  <si>
    <t>4.2.4.11</t>
  </si>
  <si>
    <t>4.2.4.12</t>
  </si>
  <si>
    <t>4.2.4.13</t>
  </si>
  <si>
    <t>4.2.4.14</t>
  </si>
  <si>
    <t xml:space="preserve"> 94273 </t>
  </si>
  <si>
    <t>4.2.5</t>
  </si>
  <si>
    <t>SINALIZAÇÃO</t>
  </si>
  <si>
    <t>4.2.5.1</t>
  </si>
  <si>
    <t xml:space="preserve"> 5213571 </t>
  </si>
  <si>
    <t>Placa em aço - película I + III - fornecimento e implantação</t>
  </si>
  <si>
    <t>4.2.5.2</t>
  </si>
  <si>
    <t xml:space="preserve"> 5213865 </t>
  </si>
  <si>
    <t>un</t>
  </si>
  <si>
    <t>4.2.5.3</t>
  </si>
  <si>
    <t xml:space="preserve"> 5213408 </t>
  </si>
  <si>
    <t>Pintura de faixa com termoplástico por aspersão - espessura de 1,5 mm</t>
  </si>
  <si>
    <t>4.3</t>
  </si>
  <si>
    <t>MANUTENÇÃO DE DISPOSITIVOS EXISTENTES</t>
  </si>
  <si>
    <t>4.3.1</t>
  </si>
  <si>
    <t>LIMPEZA E DESOBSTRUÇÃO DE BOCA DE LOBO</t>
  </si>
  <si>
    <t>4.3.1.1</t>
  </si>
  <si>
    <t xml:space="preserve"> 9068 </t>
  </si>
  <si>
    <t>DESOBSTRUÇÃO E LIMPEZA DE BOCA-DE-LOBO</t>
  </si>
  <si>
    <t>4.3.2</t>
  </si>
  <si>
    <t>LIMPEZA E DESOBSTRUÇÃO DE POÇOS DE VISITA</t>
  </si>
  <si>
    <t>4.3.2.1</t>
  </si>
  <si>
    <t xml:space="preserve"> 25.14.01 </t>
  </si>
  <si>
    <t>BOMBEAMENTO DE POCO DE VISITA</t>
  </si>
  <si>
    <t>4.3.2.2</t>
  </si>
  <si>
    <t xml:space="preserve"> 25.14.10 </t>
  </si>
  <si>
    <t>LIMPEZA PV</t>
  </si>
  <si>
    <t>4.4</t>
  </si>
  <si>
    <t>REVITALIZAÇÃO DE POÇO DE VISITA SOB ASFALTO</t>
  </si>
  <si>
    <t>4.4.1</t>
  </si>
  <si>
    <t>4.4.2</t>
  </si>
  <si>
    <t>4.4.3</t>
  </si>
  <si>
    <t>4.4.4</t>
  </si>
  <si>
    <t>4.4.5</t>
  </si>
  <si>
    <t>4.4.6</t>
  </si>
  <si>
    <t xml:space="preserve"> 6380 </t>
  </si>
  <si>
    <t>FORNECIMENTO E ASSENTAMENTO DE TAMPÃO CIRCULAR PARA DRENAGEM, EM FERRO FUNDIDO, DIÂMETRO = 0,6 M</t>
  </si>
  <si>
    <t>4.4.7</t>
  </si>
  <si>
    <t>4.4.8</t>
  </si>
  <si>
    <t>4.4.9</t>
  </si>
  <si>
    <t>4.4.10</t>
  </si>
  <si>
    <t>4.4.11</t>
  </si>
  <si>
    <t>4.4.12</t>
  </si>
  <si>
    <t>4.4.13</t>
  </si>
  <si>
    <t>4.4.14</t>
  </si>
  <si>
    <t>4.4.15</t>
  </si>
  <si>
    <t>4.4.16</t>
  </si>
  <si>
    <t>4.4.17</t>
  </si>
  <si>
    <t>4.4.18</t>
  </si>
  <si>
    <t>4.4.19</t>
  </si>
  <si>
    <t>4.4.20</t>
  </si>
  <si>
    <t>4.4.21</t>
  </si>
  <si>
    <t>4.4.22</t>
  </si>
  <si>
    <t>REDE DE DRENAGEM ÁREA 2 - 1,89 KM</t>
  </si>
  <si>
    <t>5.1</t>
  </si>
  <si>
    <t>5.1.1</t>
  </si>
  <si>
    <t>5.1.1.1</t>
  </si>
  <si>
    <t>5.1.1.1.1</t>
  </si>
  <si>
    <t>5.1.1.1.2</t>
  </si>
  <si>
    <t>5.1.1.1.3</t>
  </si>
  <si>
    <t>5.1.1.1.4</t>
  </si>
  <si>
    <t>5.1.1.1.5</t>
  </si>
  <si>
    <t>5.1.1.1.6</t>
  </si>
  <si>
    <t>5.1.1.1.7</t>
  </si>
  <si>
    <t>5.1.1.1.8</t>
  </si>
  <si>
    <t>5.1.1.1.9</t>
  </si>
  <si>
    <t>5.1.1.1.10</t>
  </si>
  <si>
    <t>5.1.1.1.11</t>
  </si>
  <si>
    <t>5.1.1.1.12</t>
  </si>
  <si>
    <t>5.1.1.2</t>
  </si>
  <si>
    <t>5.1.1.2.1</t>
  </si>
  <si>
    <t>5.1.1.2.2</t>
  </si>
  <si>
    <t>5.1.1.2.3</t>
  </si>
  <si>
    <t>5.1.1.2.4</t>
  </si>
  <si>
    <t>5.1.1.3</t>
  </si>
  <si>
    <t>5.1.1.3.1</t>
  </si>
  <si>
    <t>5.1.1.3.2</t>
  </si>
  <si>
    <t>5.1.1.3.3</t>
  </si>
  <si>
    <t>5.1.1.3.4</t>
  </si>
  <si>
    <t>5.1.1.3.5</t>
  </si>
  <si>
    <t>5.1.1.4</t>
  </si>
  <si>
    <t>5.1.1.4.1</t>
  </si>
  <si>
    <t>5.1.1.4.2</t>
  </si>
  <si>
    <t>5.1.1.4.3</t>
  </si>
  <si>
    <t>5.1.1.4.4</t>
  </si>
  <si>
    <t>5.1.1.5</t>
  </si>
  <si>
    <t>5.1.1.5.1</t>
  </si>
  <si>
    <t>5.1.1.5.2</t>
  </si>
  <si>
    <t>5.1.1.5.3</t>
  </si>
  <si>
    <t>5.1.1.5.4</t>
  </si>
  <si>
    <t>5.1.1.5.5</t>
  </si>
  <si>
    <t>5.1.1.5.6</t>
  </si>
  <si>
    <t>5.1.1.5.7</t>
  </si>
  <si>
    <t>5.1.1.6</t>
  </si>
  <si>
    <t>5.1.1.6.1</t>
  </si>
  <si>
    <t>5.1.1.6.2</t>
  </si>
  <si>
    <t>5.1.1.6.3</t>
  </si>
  <si>
    <t>5.1.1.6.4</t>
  </si>
  <si>
    <t>5.1.1.6.5</t>
  </si>
  <si>
    <t>5.1.1.7</t>
  </si>
  <si>
    <t>5.1.1.7.1</t>
  </si>
  <si>
    <t>5.1.1.7.2</t>
  </si>
  <si>
    <t>5.1.2</t>
  </si>
  <si>
    <t>5.1.2.1</t>
  </si>
  <si>
    <t>5.1.2.1.1</t>
  </si>
  <si>
    <t>5.1.2.1.2</t>
  </si>
  <si>
    <t>5.1.2.1.3</t>
  </si>
  <si>
    <t>5.1.2.1.4</t>
  </si>
  <si>
    <t>5.1.2.1.5</t>
  </si>
  <si>
    <t>5.1.2.1.6</t>
  </si>
  <si>
    <t>5.1.2.1.7</t>
  </si>
  <si>
    <t>5.1.2.1.8</t>
  </si>
  <si>
    <t>5.1.2.1.9</t>
  </si>
  <si>
    <t>5.1.2.1.10</t>
  </si>
  <si>
    <t>5.1.2.1.11</t>
  </si>
  <si>
    <t>5.1.2.1.12</t>
  </si>
  <si>
    <t>5.1.2.1.13</t>
  </si>
  <si>
    <t>5.1.2.1.14</t>
  </si>
  <si>
    <t>5.1.2.1.15</t>
  </si>
  <si>
    <t>5.1.2.1.16</t>
  </si>
  <si>
    <t>5.1.2.2</t>
  </si>
  <si>
    <t>5.1.2.2.1</t>
  </si>
  <si>
    <t>5.1.2.3</t>
  </si>
  <si>
    <t>5.1.2.3.1</t>
  </si>
  <si>
    <t>5.1.2.3.2</t>
  </si>
  <si>
    <t>5.1.2.3.3</t>
  </si>
  <si>
    <t xml:space="preserve"> 07.93.39 </t>
  </si>
  <si>
    <t>ESCORAMENTO DE VALA, TIPO BLINDAGEM, COM PROFUNDIDADE DE 3,0 A 4,5 M, LARGURA MENOR QUE 1,5 M - EXECUÇÃO E FORNECIMENTO, INCLUI MATERIAL (ESCAVAÇÃO INTERNA AO BLINDADO)</t>
  </si>
  <si>
    <t>5.1.2.3.4</t>
  </si>
  <si>
    <t>5.1.2.3.5</t>
  </si>
  <si>
    <t>5.1.2.3.6</t>
  </si>
  <si>
    <t>5.1.2.3.7</t>
  </si>
  <si>
    <t>5.1.2.3.8</t>
  </si>
  <si>
    <t>5.1.2.3.9</t>
  </si>
  <si>
    <t>5.1.2.4</t>
  </si>
  <si>
    <t>5.1.2.4.1</t>
  </si>
  <si>
    <t>5.1.2.4.2</t>
  </si>
  <si>
    <t>5.1.2.4.3</t>
  </si>
  <si>
    <t>5.1.2.4.4</t>
  </si>
  <si>
    <t>5.1.2.4.5</t>
  </si>
  <si>
    <t>5.1.2.4.6</t>
  </si>
  <si>
    <t>5.1.2.4.7</t>
  </si>
  <si>
    <t>5.1.2.4.8</t>
  </si>
  <si>
    <t>5.1.2.4.9</t>
  </si>
  <si>
    <t>5.1.2.4.10</t>
  </si>
  <si>
    <t>5.1.2.4.11</t>
  </si>
  <si>
    <t>5.1.2.4.12</t>
  </si>
  <si>
    <t>5.1.2.4.13</t>
  </si>
  <si>
    <t>5.1.2.4.14</t>
  </si>
  <si>
    <t>5.1.2.4.15</t>
  </si>
  <si>
    <t>5.1.2.4.16</t>
  </si>
  <si>
    <t>5.1.2.4.17</t>
  </si>
  <si>
    <t>5.1.2.4.18</t>
  </si>
  <si>
    <t>5.1.2.4.19</t>
  </si>
  <si>
    <t>5.1.2.4.20</t>
  </si>
  <si>
    <t>5.1.2.4.21</t>
  </si>
  <si>
    <t>5.1.2.5</t>
  </si>
  <si>
    <t>5.1.2.5.1</t>
  </si>
  <si>
    <t>5.1.2.5.2</t>
  </si>
  <si>
    <t>5.1.2.5.3</t>
  </si>
  <si>
    <t>5.1.2.5.4</t>
  </si>
  <si>
    <t xml:space="preserve"> 00007762 </t>
  </si>
  <si>
    <t>TUBO DE CONCRETO ARMADO PARA AGUAS PLUVIAIS, CLASSE PA-2, COM ENCAIXE PONTA E BOLSA, DIAMETRO NOMINAL DE 600 MM</t>
  </si>
  <si>
    <t>5.1.2.5.5</t>
  </si>
  <si>
    <t>5.1.2.5.6</t>
  </si>
  <si>
    <t xml:space="preserve"> 00007750 </t>
  </si>
  <si>
    <t>TUBO DE CONCRETO ARMADO PARA AGUAS PLUVIAIS, CLASSE PA-1, COM ENCAIXE PONTA E BOLSA, DIAMETRO NOMINAL DE 800 MM</t>
  </si>
  <si>
    <t>5.1.2.5.7</t>
  </si>
  <si>
    <t>5.1.2.5.8</t>
  </si>
  <si>
    <t>5.1.2.5.9</t>
  </si>
  <si>
    <t>5.1.2.5.10</t>
  </si>
  <si>
    <t>5.1.2.5.11</t>
  </si>
  <si>
    <t>5.1.2.5.12</t>
  </si>
  <si>
    <t>5.1.2.5.13</t>
  </si>
  <si>
    <t xml:space="preserve"> 00007766 </t>
  </si>
  <si>
    <t>TUBO DE CONCRETO ARMADO PARA AGUAS PLUVIAIS, CLASSE PA-2, COM ENCAIXE PONTA E BOLSA, DIAMETRO NOMINAL DE 1200 MM</t>
  </si>
  <si>
    <t>5.1.2.5.14</t>
  </si>
  <si>
    <t>CARGA, MANOBRA E DESCARGA DE TUBOS DE CONCRETO, DN 1500 MM, EM CAMINHÃO CARROCERIA COM GUINDAUTO (MUNCK) 11,7 TM.</t>
  </si>
  <si>
    <t>5.1.2.5.15</t>
  </si>
  <si>
    <t>5.1.2.6</t>
  </si>
  <si>
    <t>5.1.2.6.1</t>
  </si>
  <si>
    <t>5.1.2.6.2</t>
  </si>
  <si>
    <t>PASSARELA, EM MADEIRA, PARA COBERTA DE VALAS PARA PASSAGEM DE PEDESTRES</t>
  </si>
  <si>
    <t>5.1.2.6.3</t>
  </si>
  <si>
    <t>5.1.2.6.4</t>
  </si>
  <si>
    <t>5.1.2.6.5</t>
  </si>
  <si>
    <t>5.1.2.6.6</t>
  </si>
  <si>
    <t>5.1.2.6.7</t>
  </si>
  <si>
    <t>5.1.2.6.8</t>
  </si>
  <si>
    <t>5.1.2.6.9</t>
  </si>
  <si>
    <t>5.1.2.6.10</t>
  </si>
  <si>
    <t>5.1.2.6.11</t>
  </si>
  <si>
    <t>5.1.2.6.12</t>
  </si>
  <si>
    <t>5.1.2.6.13</t>
  </si>
  <si>
    <t>5.1.2.6.14</t>
  </si>
  <si>
    <t>5.1.2.6.15</t>
  </si>
  <si>
    <t>5.1.2.6.16</t>
  </si>
  <si>
    <t>5.1.2.6.17</t>
  </si>
  <si>
    <t>5.1.2.6.18</t>
  </si>
  <si>
    <t>5.1.2.6.19</t>
  </si>
  <si>
    <t>5.1.2.6.20</t>
  </si>
  <si>
    <t>5.1.2.6.21</t>
  </si>
  <si>
    <t>5.1.2.6.22</t>
  </si>
  <si>
    <t>5.1.2.6.23</t>
  </si>
  <si>
    <t>5.1.2.6.24</t>
  </si>
  <si>
    <t>5.1.2.6.25</t>
  </si>
  <si>
    <t>5.1.2.6.26</t>
  </si>
  <si>
    <t>5.1.2.6.27</t>
  </si>
  <si>
    <t>5.1.2.6.28</t>
  </si>
  <si>
    <t>5.1.2.6.29</t>
  </si>
  <si>
    <t>5.1.2.6.30</t>
  </si>
  <si>
    <t>5.1.2.6.31</t>
  </si>
  <si>
    <t>5.1.2.6.32</t>
  </si>
  <si>
    <t>5.1.2.6.33</t>
  </si>
  <si>
    <t>5.1.2.6.34</t>
  </si>
  <si>
    <t>5.1.2.6.35</t>
  </si>
  <si>
    <t>5.1.2.6.36</t>
  </si>
  <si>
    <t>5.1.2.6.37</t>
  </si>
  <si>
    <t>5.1.2.6.38</t>
  </si>
  <si>
    <t>5.1.2.6.39</t>
  </si>
  <si>
    <t>5.1.2.6.40</t>
  </si>
  <si>
    <t>5.1.2.6.41</t>
  </si>
  <si>
    <t>5.1.2.6.42</t>
  </si>
  <si>
    <t>5.1.2.6.43</t>
  </si>
  <si>
    <t>5.1.2.6.44</t>
  </si>
  <si>
    <t>5.1.2.6.45</t>
  </si>
  <si>
    <t>5.1.2.6.46</t>
  </si>
  <si>
    <t>5.1.2.6.47</t>
  </si>
  <si>
    <t>5.1.2.6.48</t>
  </si>
  <si>
    <t>5.1.2.6.49</t>
  </si>
  <si>
    <t>5.1.2.6.50</t>
  </si>
  <si>
    <t>5.1.2.7</t>
  </si>
  <si>
    <t>5.1.2.7.1</t>
  </si>
  <si>
    <t>5.1.2.7.2</t>
  </si>
  <si>
    <t>5.1.2.7.3</t>
  </si>
  <si>
    <t>5.1.2.7.4</t>
  </si>
  <si>
    <t>5.1.2.7.5</t>
  </si>
  <si>
    <t>5.1.2.7.6</t>
  </si>
  <si>
    <t>5.1.2.7.7</t>
  </si>
  <si>
    <t>5.1.2.7.8</t>
  </si>
  <si>
    <t>5.1.2.7.9</t>
  </si>
  <si>
    <t>5.1.2.7.10</t>
  </si>
  <si>
    <t>5.1.2.8</t>
  </si>
  <si>
    <t>5.1.2.8.1</t>
  </si>
  <si>
    <t>5.2</t>
  </si>
  <si>
    <t>MANUTENÇÃO E LIMPEZA DO DISSIPADOR DE ENERGIA EXISTENTE</t>
  </si>
  <si>
    <t>5.2.1</t>
  </si>
  <si>
    <t xml:space="preserve"> 98524 </t>
  </si>
  <si>
    <t>5.2.2</t>
  </si>
  <si>
    <t xml:space="preserve"> 072200 </t>
  </si>
  <si>
    <t>SIURB INFRA</t>
  </si>
  <si>
    <t>DESASSOREAMENTO, LIMPEZA E REMOÇÃO DE MATERIAL DE GALERIA MOLDADA</t>
  </si>
  <si>
    <t>5.3</t>
  </si>
  <si>
    <t>5.3.1</t>
  </si>
  <si>
    <t>5.3.1.1</t>
  </si>
  <si>
    <t>5.3.2</t>
  </si>
  <si>
    <t>5.3.2.1</t>
  </si>
  <si>
    <t>5.3.2.2</t>
  </si>
  <si>
    <t>5.4</t>
  </si>
  <si>
    <t>5.4.1</t>
  </si>
  <si>
    <t>5.4.2</t>
  </si>
  <si>
    <t>5.4.3</t>
  </si>
  <si>
    <t>5.4.4</t>
  </si>
  <si>
    <t>5.4.5</t>
  </si>
  <si>
    <t>5.4.6</t>
  </si>
  <si>
    <t>5.4.7</t>
  </si>
  <si>
    <t>5.4.8</t>
  </si>
  <si>
    <t>5.4.9</t>
  </si>
  <si>
    <t>5.4.10</t>
  </si>
  <si>
    <t>5.4.11</t>
  </si>
  <si>
    <t>5.4.12</t>
  </si>
  <si>
    <t>5.4.13</t>
  </si>
  <si>
    <t>5.4.14</t>
  </si>
  <si>
    <t>5.4.15</t>
  </si>
  <si>
    <t>5.4.16</t>
  </si>
  <si>
    <t>5.4.17</t>
  </si>
  <si>
    <t>5.4.18</t>
  </si>
  <si>
    <t>5.4.19</t>
  </si>
  <si>
    <t>5.4.20</t>
  </si>
  <si>
    <t>5.4.21</t>
  </si>
  <si>
    <t>5.4.22</t>
  </si>
  <si>
    <t>REDE DE DRENAGEM ÁREA 3 - 0,64 KM</t>
  </si>
  <si>
    <t>6.1</t>
  </si>
  <si>
    <t>6.1.1</t>
  </si>
  <si>
    <t>6.1.1.1</t>
  </si>
  <si>
    <t>6.1.1.1.1</t>
  </si>
  <si>
    <t>6.1.1.1.2</t>
  </si>
  <si>
    <t>6.1.1.1.3</t>
  </si>
  <si>
    <t>6.1.1.1.4</t>
  </si>
  <si>
    <t>6.1.1.1.5</t>
  </si>
  <si>
    <t>6.1.1.1.6</t>
  </si>
  <si>
    <t>6.1.1.1.7</t>
  </si>
  <si>
    <t>6.1.1.1.8</t>
  </si>
  <si>
    <t>6.1.1.1.9</t>
  </si>
  <si>
    <t>6.1.1.1.10</t>
  </si>
  <si>
    <t>6.1.1.1.11</t>
  </si>
  <si>
    <t>6.1.1.1.12</t>
  </si>
  <si>
    <t>6.1.1.2</t>
  </si>
  <si>
    <t>6.1.1.2.1</t>
  </si>
  <si>
    <t>6.1.1.2.2</t>
  </si>
  <si>
    <t>6.1.1.2.3</t>
  </si>
  <si>
    <t>6.1.1.2.4</t>
  </si>
  <si>
    <t>6.1.1.3</t>
  </si>
  <si>
    <t>DEMOLIÇÃO DE DISPOSITIVOS DE CONCRETO</t>
  </si>
  <si>
    <t>6.1.1.3.1</t>
  </si>
  <si>
    <t>6.1.1.3.2</t>
  </si>
  <si>
    <t>6.1.1.3.3</t>
  </si>
  <si>
    <t>6.1.1.3.4</t>
  </si>
  <si>
    <t>6.1.1.4</t>
  </si>
  <si>
    <t>6.1.1.4.1</t>
  </si>
  <si>
    <t>6.1.1.4.2</t>
  </si>
  <si>
    <t>6.1.1.4.3</t>
  </si>
  <si>
    <t>6.1.1.4.4</t>
  </si>
  <si>
    <t>6.1.1.5</t>
  </si>
  <si>
    <t>6.1.1.5.1</t>
  </si>
  <si>
    <t>6.1.1.5.2</t>
  </si>
  <si>
    <t>6.1.1.5.3</t>
  </si>
  <si>
    <t>6.1.1.5.4</t>
  </si>
  <si>
    <t>6.1.1.5.5</t>
  </si>
  <si>
    <t>6.1.1.5.6</t>
  </si>
  <si>
    <t>6.1.1.5.7</t>
  </si>
  <si>
    <t>6.1.1.6</t>
  </si>
  <si>
    <t>6.1.1.6.1</t>
  </si>
  <si>
    <t>6.1.1.6.2</t>
  </si>
  <si>
    <t>6.1.1.6.3</t>
  </si>
  <si>
    <t>6.1.1.6.4</t>
  </si>
  <si>
    <t>6.1.1.6.5</t>
  </si>
  <si>
    <t>6.1.1.7</t>
  </si>
  <si>
    <t>LIGAÇÃO DE BOCA DE LOBOS A PV EXISTENTES</t>
  </si>
  <si>
    <t>6.1.1.7.1</t>
  </si>
  <si>
    <t>6.1.1.7.2</t>
  </si>
  <si>
    <t>6.1.1.7.3</t>
  </si>
  <si>
    <t>6.1.1.7.4</t>
  </si>
  <si>
    <t>6.1.1.8</t>
  </si>
  <si>
    <t>6.1.1.8.1</t>
  </si>
  <si>
    <t>6.1.1.8.2</t>
  </si>
  <si>
    <t>6.1.2</t>
  </si>
  <si>
    <t>6.1.2.1</t>
  </si>
  <si>
    <t>6.1.2.1.1</t>
  </si>
  <si>
    <t>6.1.2.1.2</t>
  </si>
  <si>
    <t>6.1.2.1.3</t>
  </si>
  <si>
    <t>6.1.2.1.4</t>
  </si>
  <si>
    <t>6.1.2.1.5</t>
  </si>
  <si>
    <t>6.1.2.1.6</t>
  </si>
  <si>
    <t>6.1.2.1.7</t>
  </si>
  <si>
    <t>6.1.2.1.8</t>
  </si>
  <si>
    <t>6.1.2.1.9</t>
  </si>
  <si>
    <t>6.1.2.1.10</t>
  </si>
  <si>
    <t>6.1.2.1.11</t>
  </si>
  <si>
    <t>6.1.2.1.12</t>
  </si>
  <si>
    <t>6.1.2.2</t>
  </si>
  <si>
    <t>6.1.2.2.1</t>
  </si>
  <si>
    <t>6.1.2.3</t>
  </si>
  <si>
    <t>6.1.2.3.1</t>
  </si>
  <si>
    <t>6.1.2.3.2</t>
  </si>
  <si>
    <t>6.1.2.3.3</t>
  </si>
  <si>
    <t>6.1.2.3.4</t>
  </si>
  <si>
    <t>6.1.2.3.5</t>
  </si>
  <si>
    <t>6.1.2.3.6</t>
  </si>
  <si>
    <t>6.1.2.3.7</t>
  </si>
  <si>
    <t>6.1.2.3.8</t>
  </si>
  <si>
    <t>6.1.2.4</t>
  </si>
  <si>
    <t>6.1.2.4.1</t>
  </si>
  <si>
    <t>6.1.2.4.2</t>
  </si>
  <si>
    <t>6.1.2.4.3</t>
  </si>
  <si>
    <t>6.1.2.4.4</t>
  </si>
  <si>
    <t>6.1.2.4.5</t>
  </si>
  <si>
    <t>6.1.2.4.6</t>
  </si>
  <si>
    <t>6.1.2.4.7</t>
  </si>
  <si>
    <t>6.1.2.4.8</t>
  </si>
  <si>
    <t>6.1.2.4.9</t>
  </si>
  <si>
    <t>6.1.2.4.10</t>
  </si>
  <si>
    <t>6.1.2.4.11</t>
  </si>
  <si>
    <t>6.1.2.4.12</t>
  </si>
  <si>
    <t>6.1.2.4.13</t>
  </si>
  <si>
    <t>6.1.2.4.14</t>
  </si>
  <si>
    <t>6.1.2.4.15</t>
  </si>
  <si>
    <t>6.1.2.4.16</t>
  </si>
  <si>
    <t>6.1.2.4.17</t>
  </si>
  <si>
    <t>6.1.2.4.18</t>
  </si>
  <si>
    <t>6.1.2.4.19</t>
  </si>
  <si>
    <t>6.1.2.5</t>
  </si>
  <si>
    <t>6.1.2.5.1</t>
  </si>
  <si>
    <t>6.1.2.5.2</t>
  </si>
  <si>
    <t>6.1.2.5.3</t>
  </si>
  <si>
    <t>6.1.2.5.4</t>
  </si>
  <si>
    <t>6.1.2.5.5</t>
  </si>
  <si>
    <t>6.1.2.5.6</t>
  </si>
  <si>
    <t>6.1.2.5.7</t>
  </si>
  <si>
    <t xml:space="preserve"> 00007758 </t>
  </si>
  <si>
    <t>TUBO DE CONCRETO ARMADO PARA AGUAS PLUVIAIS, CLASSE PA-1, COM ENCAIXE PONTA E BOLSA, DIAMETRO NOMINAL DE 1500 MM</t>
  </si>
  <si>
    <t>6.1.2.5.8</t>
  </si>
  <si>
    <t>6.1.2.6</t>
  </si>
  <si>
    <t>6.1.2.6.1</t>
  </si>
  <si>
    <t>6.1.2.6.2</t>
  </si>
  <si>
    <t>6.1.2.6.3</t>
  </si>
  <si>
    <t>6.1.2.6.4</t>
  </si>
  <si>
    <t>6.1.2.6.5</t>
  </si>
  <si>
    <t>6.1.2.6.6</t>
  </si>
  <si>
    <t>6.1.2.6.7</t>
  </si>
  <si>
    <t>6.1.2.6.8</t>
  </si>
  <si>
    <t>6.1.2.6.9</t>
  </si>
  <si>
    <t>6.1.2.6.10</t>
  </si>
  <si>
    <t>6.1.2.6.11</t>
  </si>
  <si>
    <t>6.1.2.6.12</t>
  </si>
  <si>
    <t>6.1.2.6.13</t>
  </si>
  <si>
    <t>6.1.2.6.14</t>
  </si>
  <si>
    <t>6.1.2.6.15</t>
  </si>
  <si>
    <t>6.1.2.6.16</t>
  </si>
  <si>
    <t>6.1.2.6.17</t>
  </si>
  <si>
    <t>6.1.2.6.18</t>
  </si>
  <si>
    <t>6.1.2.6.19</t>
  </si>
  <si>
    <t>6.1.2.6.20</t>
  </si>
  <si>
    <t>6.1.2.6.21</t>
  </si>
  <si>
    <t>6.1.2.6.22</t>
  </si>
  <si>
    <t>6.1.2.6.23</t>
  </si>
  <si>
    <t>6.1.2.6.24</t>
  </si>
  <si>
    <t>6.1.2.6.25</t>
  </si>
  <si>
    <t>6.1.2.6.26</t>
  </si>
  <si>
    <t>6.1.2.6.27</t>
  </si>
  <si>
    <t>6.1.2.6.28</t>
  </si>
  <si>
    <t>6.1.2.6.29</t>
  </si>
  <si>
    <t>6.1.2.6.30</t>
  </si>
  <si>
    <t>6.1.2.6.31</t>
  </si>
  <si>
    <t>6.1.2.6.32</t>
  </si>
  <si>
    <t>6.1.2.6.33</t>
  </si>
  <si>
    <t>6.1.2.6.34</t>
  </si>
  <si>
    <t>6.1.2.6.35</t>
  </si>
  <si>
    <t>6.1.2.6.36</t>
  </si>
  <si>
    <t>6.1.2.6.37</t>
  </si>
  <si>
    <t>6.1.2.6.38</t>
  </si>
  <si>
    <t>6.1.2.6.39</t>
  </si>
  <si>
    <t>6.1.2.6.40</t>
  </si>
  <si>
    <t>6.1.2.6.41</t>
  </si>
  <si>
    <t>6.1.2.6.42</t>
  </si>
  <si>
    <t>6.1.2.7</t>
  </si>
  <si>
    <t>6.1.2.7.1</t>
  </si>
  <si>
    <t>6.1.2.7.2</t>
  </si>
  <si>
    <t>6.1.2.7.3</t>
  </si>
  <si>
    <t>6.1.2.7.4</t>
  </si>
  <si>
    <t>6.1.2.7.5</t>
  </si>
  <si>
    <t>6.1.2.7.6</t>
  </si>
  <si>
    <t>6.1.2.7.7</t>
  </si>
  <si>
    <t>6.1.2.7.8</t>
  </si>
  <si>
    <t>6.1.2.7.9</t>
  </si>
  <si>
    <t>6.1.2.7.10</t>
  </si>
  <si>
    <t>6.1.2.8</t>
  </si>
  <si>
    <t>6.1.2.8.1</t>
  </si>
  <si>
    <t>6.2</t>
  </si>
  <si>
    <t>MANUTENÇÃO E LIMPEZA DO DISSIPADOR DE ENERGIA E BACIA DE DETENÇÃO EXISTENTES</t>
  </si>
  <si>
    <t>6.2.1</t>
  </si>
  <si>
    <t>6.2.2</t>
  </si>
  <si>
    <t>6.3</t>
  </si>
  <si>
    <t>6.3.1</t>
  </si>
  <si>
    <t>6.3.2</t>
  </si>
  <si>
    <t>6.3.3</t>
  </si>
  <si>
    <t>6.4</t>
  </si>
  <si>
    <t>6.4.1</t>
  </si>
  <si>
    <t>6.4.2</t>
  </si>
  <si>
    <t>6.4.3</t>
  </si>
  <si>
    <t>6.4.4</t>
  </si>
  <si>
    <t>6.4.5</t>
  </si>
  <si>
    <t>6.4.6</t>
  </si>
  <si>
    <t>6.4.7</t>
  </si>
  <si>
    <t>6.4.8</t>
  </si>
  <si>
    <t>6.4.9</t>
  </si>
  <si>
    <t>6.4.10</t>
  </si>
  <si>
    <t>6.4.11</t>
  </si>
  <si>
    <t>6.4.12</t>
  </si>
  <si>
    <t>6.4.13</t>
  </si>
  <si>
    <t>6.4.14</t>
  </si>
  <si>
    <t>6.4.15</t>
  </si>
  <si>
    <t>6.4.16</t>
  </si>
  <si>
    <t>6.4.17</t>
  </si>
  <si>
    <t>6.4.18</t>
  </si>
  <si>
    <t>6.4.19</t>
  </si>
  <si>
    <t>REDE DE DRENAGEM ÁREA 4 - 1,85 KM</t>
  </si>
  <si>
    <t>7.1</t>
  </si>
  <si>
    <t>7.1.1</t>
  </si>
  <si>
    <t>7.1.1.1</t>
  </si>
  <si>
    <t>7.1.1.1.1</t>
  </si>
  <si>
    <t>7.1.1.1.2</t>
  </si>
  <si>
    <t>7.1.1.1.3</t>
  </si>
  <si>
    <t>7.1.1.1.4</t>
  </si>
  <si>
    <t>7.1.1.1.5</t>
  </si>
  <si>
    <t>7.1.1.1.6</t>
  </si>
  <si>
    <t>7.1.1.1.7</t>
  </si>
  <si>
    <t>7.1.1.1.8</t>
  </si>
  <si>
    <t>7.1.1.1.9</t>
  </si>
  <si>
    <t>7.1.1.1.10</t>
  </si>
  <si>
    <t>7.1.1.1.11</t>
  </si>
  <si>
    <t>7.1.1.1.12</t>
  </si>
  <si>
    <t>7.1.1.2</t>
  </si>
  <si>
    <t>7.1.1.2.1</t>
  </si>
  <si>
    <t>7.1.1.2.2</t>
  </si>
  <si>
    <t>7.1.1.2.3</t>
  </si>
  <si>
    <t>7.1.1.2.4</t>
  </si>
  <si>
    <t>7.1.1.3</t>
  </si>
  <si>
    <t>7.1.1.3.1</t>
  </si>
  <si>
    <t>7.1.1.3.2</t>
  </si>
  <si>
    <t>7.1.1.3.3</t>
  </si>
  <si>
    <t>7.1.1.3.4</t>
  </si>
  <si>
    <t>7.1.1.4</t>
  </si>
  <si>
    <t>7.1.1.4.1</t>
  </si>
  <si>
    <t>7.1.1.4.2</t>
  </si>
  <si>
    <t>7.1.1.4.3</t>
  </si>
  <si>
    <t>7.1.1.4.4</t>
  </si>
  <si>
    <t>7.1.1.5</t>
  </si>
  <si>
    <t>7.1.1.5.1</t>
  </si>
  <si>
    <t>7.1.1.5.2</t>
  </si>
  <si>
    <t>7.1.1.5.3</t>
  </si>
  <si>
    <t>7.1.1.5.4</t>
  </si>
  <si>
    <t>7.1.1.5.5</t>
  </si>
  <si>
    <t>7.1.1.5.6</t>
  </si>
  <si>
    <t>7.1.1.5.7</t>
  </si>
  <si>
    <t>7.1.1.6</t>
  </si>
  <si>
    <t>7.1.1.6.1</t>
  </si>
  <si>
    <t>7.1.1.6.2</t>
  </si>
  <si>
    <t>7.1.1.6.3</t>
  </si>
  <si>
    <t>7.1.1.6.4</t>
  </si>
  <si>
    <t>7.1.1.6.5</t>
  </si>
  <si>
    <t>7.1.1.7</t>
  </si>
  <si>
    <t>7.1.1.7.1</t>
  </si>
  <si>
    <t>7.1.1.7.2</t>
  </si>
  <si>
    <t>7.1.1.7.3</t>
  </si>
  <si>
    <t>7.1.1.7.4</t>
  </si>
  <si>
    <t>7.1.1.8</t>
  </si>
  <si>
    <t>7.1.1.8.1</t>
  </si>
  <si>
    <t>7.1.1.8.2</t>
  </si>
  <si>
    <t>7.1.2</t>
  </si>
  <si>
    <t>7.1.2.1</t>
  </si>
  <si>
    <t>7.1.2.1.1</t>
  </si>
  <si>
    <t>7.1.2.1.2</t>
  </si>
  <si>
    <t>7.1.2.1.3</t>
  </si>
  <si>
    <t>7.1.2.1.4</t>
  </si>
  <si>
    <t>7.1.2.1.6</t>
  </si>
  <si>
    <t>7.1.2.1.7</t>
  </si>
  <si>
    <t>7.1.2.1.8</t>
  </si>
  <si>
    <t>7.1.2.1.9</t>
  </si>
  <si>
    <t>7.1.2.1.10</t>
  </si>
  <si>
    <t>7.1.2.1.11</t>
  </si>
  <si>
    <t>7.1.2.1.12</t>
  </si>
  <si>
    <t>7.1.2.1.13</t>
  </si>
  <si>
    <t>7.1.2.1.14</t>
  </si>
  <si>
    <t>7.1.2.1.15</t>
  </si>
  <si>
    <t>7.1.2.1.16</t>
  </si>
  <si>
    <t>7.1.2.1.17</t>
  </si>
  <si>
    <t>7.1.2.2</t>
  </si>
  <si>
    <t>7.1.2.2.1</t>
  </si>
  <si>
    <t>7.1.2.3</t>
  </si>
  <si>
    <t>7.1.2.3.1</t>
  </si>
  <si>
    <t>7.1.2.3.2</t>
  </si>
  <si>
    <t>7.1.2.3.3</t>
  </si>
  <si>
    <t>7.1.2.3.4</t>
  </si>
  <si>
    <t>7.1.2.3.5</t>
  </si>
  <si>
    <t>7.1.2.3.6</t>
  </si>
  <si>
    <t>7.1.2.3.7</t>
  </si>
  <si>
    <t>7.1.2.3.8</t>
  </si>
  <si>
    <t>7.1.2.3.9</t>
  </si>
  <si>
    <t>7.1.2.3.10</t>
  </si>
  <si>
    <t>7.1.2.4</t>
  </si>
  <si>
    <t>7.1.2.4.1</t>
  </si>
  <si>
    <t>7.1.2.4.2</t>
  </si>
  <si>
    <t>7.1.2.4.3</t>
  </si>
  <si>
    <t>7.1.2.4.4</t>
  </si>
  <si>
    <t>7.1.2.4.5</t>
  </si>
  <si>
    <t>7.1.2.4.6</t>
  </si>
  <si>
    <t>7.1.2.4.7</t>
  </si>
  <si>
    <t>7.1.2.4.8</t>
  </si>
  <si>
    <t>7.1.2.4.9</t>
  </si>
  <si>
    <t>7.1.2.4.10</t>
  </si>
  <si>
    <t>7.1.2.4.11</t>
  </si>
  <si>
    <t>7.1.2.4.12</t>
  </si>
  <si>
    <t>7.1.2.4.13</t>
  </si>
  <si>
    <t>7.1.2.4.14</t>
  </si>
  <si>
    <t>7.1.2.4.15</t>
  </si>
  <si>
    <t>7.1.2.4.16</t>
  </si>
  <si>
    <t>7.1.2.4.17</t>
  </si>
  <si>
    <t>7.1.2.4.18</t>
  </si>
  <si>
    <t>7.1.2.4.19</t>
  </si>
  <si>
    <t>7.1.2.4.20</t>
  </si>
  <si>
    <t>7.1.2.4.21</t>
  </si>
  <si>
    <t>7.1.2.5</t>
  </si>
  <si>
    <t>7.1.2.5.1</t>
  </si>
  <si>
    <t>7.1.2.5.2</t>
  </si>
  <si>
    <t>7.1.2.5.3</t>
  </si>
  <si>
    <t>7.1.2.5.4</t>
  </si>
  <si>
    <t>7.1.2.5.5</t>
  </si>
  <si>
    <t>7.1.2.5.6</t>
  </si>
  <si>
    <t>7.1.2.5.7</t>
  </si>
  <si>
    <t>7.1.2.5.8</t>
  </si>
  <si>
    <t>7.1.2.5.9</t>
  </si>
  <si>
    <t>7.1.2.5.10</t>
  </si>
  <si>
    <t>7.1.2.5.11</t>
  </si>
  <si>
    <t>7.1.2.5.12</t>
  </si>
  <si>
    <t>7.1.2.5.13</t>
  </si>
  <si>
    <t>7.1.2.5.14</t>
  </si>
  <si>
    <t>7.1.2.5.15</t>
  </si>
  <si>
    <t>7.1.2.6</t>
  </si>
  <si>
    <t>7.1.2.6.1</t>
  </si>
  <si>
    <t>7.1.2.6.2</t>
  </si>
  <si>
    <t>7.1.2.6.3</t>
  </si>
  <si>
    <t>7.1.2.6.4</t>
  </si>
  <si>
    <t>7.1.2.6.5</t>
  </si>
  <si>
    <t>7.1.2.6.6</t>
  </si>
  <si>
    <t>7.1.2.6.7</t>
  </si>
  <si>
    <t>7.1.2.6.8</t>
  </si>
  <si>
    <t>7.1.2.6.9</t>
  </si>
  <si>
    <t>7.1.2.6.10</t>
  </si>
  <si>
    <t>7.1.2.6.11</t>
  </si>
  <si>
    <t>7.1.2.6.12</t>
  </si>
  <si>
    <t>7.1.2.6.13</t>
  </si>
  <si>
    <t>7.1.2.6.14</t>
  </si>
  <si>
    <t>7.1.2.6.15</t>
  </si>
  <si>
    <t>7.1.2.6.16</t>
  </si>
  <si>
    <t>7.1.2.6.17</t>
  </si>
  <si>
    <t>7.1.2.6.18</t>
  </si>
  <si>
    <t>7.1.2.6.19</t>
  </si>
  <si>
    <t>7.1.2.6.20</t>
  </si>
  <si>
    <t>7.1.2.6.21</t>
  </si>
  <si>
    <t>7.1.2.6.22</t>
  </si>
  <si>
    <t>7.1.2.6.23</t>
  </si>
  <si>
    <t>7.1.2.6.24</t>
  </si>
  <si>
    <t>7.1.2.6.25</t>
  </si>
  <si>
    <t>7.1.2.6.26</t>
  </si>
  <si>
    <t>7.1.2.6.27</t>
  </si>
  <si>
    <t>7.1.2.6.28</t>
  </si>
  <si>
    <t>7.1.2.6.29</t>
  </si>
  <si>
    <t>7.1.2.6.30</t>
  </si>
  <si>
    <t>7.1.2.6.31</t>
  </si>
  <si>
    <t>7.1.2.6.32</t>
  </si>
  <si>
    <t>7.1.2.6.33</t>
  </si>
  <si>
    <t>7.1.2.6.34</t>
  </si>
  <si>
    <t>7.1.2.6.35</t>
  </si>
  <si>
    <t>7.1.2.6.36</t>
  </si>
  <si>
    <t>7.1.2.6.37</t>
  </si>
  <si>
    <t>7.1.2.6.38</t>
  </si>
  <si>
    <t>7.1.2.6.39</t>
  </si>
  <si>
    <t>7.1.2.6.40</t>
  </si>
  <si>
    <t>7.1.2.6.41</t>
  </si>
  <si>
    <t>7.1.2.6.42</t>
  </si>
  <si>
    <t>7.1.2.6.43</t>
  </si>
  <si>
    <t>7.1.2.6.44</t>
  </si>
  <si>
    <t>7.1.2.6.45</t>
  </si>
  <si>
    <t>7.1.2.6.46</t>
  </si>
  <si>
    <t>7.1.2.6.47</t>
  </si>
  <si>
    <t>7.1.2.6.48</t>
  </si>
  <si>
    <t>7.1.2.6.49</t>
  </si>
  <si>
    <t>7.1.2.7</t>
  </si>
  <si>
    <t>7.1.2.7.1</t>
  </si>
  <si>
    <t>7.1.2.7.2</t>
  </si>
  <si>
    <t>7.1.2.7.3</t>
  </si>
  <si>
    <t>7.1.2.7.4</t>
  </si>
  <si>
    <t>7.1.2.7.5</t>
  </si>
  <si>
    <t>7.1.2.7.6</t>
  </si>
  <si>
    <t>7.1.2.7.7</t>
  </si>
  <si>
    <t>7.1.2.7.8</t>
  </si>
  <si>
    <t>7.1.2.7.9</t>
  </si>
  <si>
    <t>7.1.2.7.10</t>
  </si>
  <si>
    <t>7.1.2.8</t>
  </si>
  <si>
    <t>GALERIAS</t>
  </si>
  <si>
    <t>7.1.2.8.1</t>
  </si>
  <si>
    <t>7.1.2.8.2</t>
  </si>
  <si>
    <t>7.1.2.8.3</t>
  </si>
  <si>
    <t>7.1.2.8.4</t>
  </si>
  <si>
    <t>7.1.2.8.5</t>
  </si>
  <si>
    <t>7.1.2.8.6</t>
  </si>
  <si>
    <t xml:space="preserve"> 102727 </t>
  </si>
  <si>
    <t>FABRICAÇÃO, MONTAGEM E DESMONTAGEM DE FÔRMA PARA BOCA PARA BUEIRO, EM CHAPA DE MADEIRA COMPENSADA RESINADA, E = 17 MM, 2 UTILIZAÇÕES. AF_07/2021</t>
  </si>
  <si>
    <t>7.1.2.9</t>
  </si>
  <si>
    <t>7.1.2.9.1</t>
  </si>
  <si>
    <t>7.2</t>
  </si>
  <si>
    <t>7.2.1</t>
  </si>
  <si>
    <t>7.2.2</t>
  </si>
  <si>
    <t>7.3</t>
  </si>
  <si>
    <t>7.3.1</t>
  </si>
  <si>
    <t>7.3.1.1</t>
  </si>
  <si>
    <t>7.3.2</t>
  </si>
  <si>
    <t>7.3.2.1</t>
  </si>
  <si>
    <t>7.3.2.2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</si>
  <si>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</si>
  <si>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</si>
  <si>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</si>
  <si>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</si>
  <si>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</si>
  <si>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</si>
  <si>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</si>
  <si>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</si>
  <si>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</si>
  <si>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</si>
  <si>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</si>
  <si>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</si>
  <si>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</si>
  <si>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</si>
  <si>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</si>
  <si>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</si>
  <si>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</si>
  <si>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</si>
  <si>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</si>
  <si>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</si>
  <si>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</si>
  <si>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</si>
  <si>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7.5</t>
  </si>
  <si>
    <t>7.5.1</t>
  </si>
  <si>
    <t>7.5.1.1</t>
  </si>
  <si>
    <t>7.5.1.2</t>
  </si>
  <si>
    <t>7.5.1.3</t>
  </si>
  <si>
    <t>7.5.1.4</t>
  </si>
  <si>
    <t>7.5.1.5</t>
  </si>
  <si>
    <t>7.5.2</t>
  </si>
  <si>
    <t>7.5.2.1</t>
  </si>
  <si>
    <t>7.5.2.2</t>
  </si>
  <si>
    <t>7.5.2.3</t>
  </si>
  <si>
    <t>7.5.2.4</t>
  </si>
  <si>
    <t>7.5.3</t>
  </si>
  <si>
    <t>7.5.3.1</t>
  </si>
  <si>
    <t>7.5.4</t>
  </si>
  <si>
    <t>7.5.4.1</t>
  </si>
  <si>
    <t>7.5.4.2</t>
  </si>
  <si>
    <t>7.5.4.3</t>
  </si>
  <si>
    <t>7.5.4.4</t>
  </si>
  <si>
    <t>7.5.4.5</t>
  </si>
  <si>
    <t>7.5.4.6</t>
  </si>
  <si>
    <t>7.5.4.7</t>
  </si>
  <si>
    <t>7.5.4.8</t>
  </si>
  <si>
    <t>7.5.4.9</t>
  </si>
  <si>
    <t>7.5.4.10</t>
  </si>
  <si>
    <t>7.5.4.11</t>
  </si>
  <si>
    <t>7.5.4.12</t>
  </si>
  <si>
    <t>7.5.4.13</t>
  </si>
  <si>
    <t>7.5.4.14</t>
  </si>
  <si>
    <t>7.5.5</t>
  </si>
  <si>
    <t>7.5.5.1</t>
  </si>
  <si>
    <t>7.5.5.2</t>
  </si>
  <si>
    <t>7.5.5.3</t>
  </si>
  <si>
    <t>BACIA DE DETENÇÃO - ÁREA 4</t>
  </si>
  <si>
    <t/>
  </si>
  <si>
    <t xml:space="preserve"> 8.1 </t>
  </si>
  <si>
    <t>PREPARAÇÃO DO TERRENO</t>
  </si>
  <si>
    <t xml:space="preserve"> 8.1.1 </t>
  </si>
  <si>
    <t>M²</t>
  </si>
  <si>
    <t xml:space="preserve"> 8.2 </t>
  </si>
  <si>
    <t>CORTE</t>
  </si>
  <si>
    <t xml:space="preserve"> 8.2.1 </t>
  </si>
  <si>
    <t xml:space="preserve"> 5502899 </t>
  </si>
  <si>
    <t>ESCAVAÇÃO, CARGA E TRANSPORTE DE SOLOS MOLES - DMT DE 50 A 200 M - CAMINHO DE SERVIÇO EM LEITO NATURAL - COM CAMINHÃOBASCULANTE DE 14 M³</t>
  </si>
  <si>
    <t xml:space="preserve"> 8.3 </t>
  </si>
  <si>
    <t>ATERRO</t>
  </si>
  <si>
    <t xml:space="preserve"> 8.3.1 </t>
  </si>
  <si>
    <t xml:space="preserve"> 8.4 </t>
  </si>
  <si>
    <t>GABIÃO</t>
  </si>
  <si>
    <t xml:space="preserve"> 8.4.1 </t>
  </si>
  <si>
    <t xml:space="preserve"> 3205864 </t>
  </si>
  <si>
    <t>GABIÃO CAIXA 2 X 1 X 0,50 M - ZN/AL + PVC - D = 2,4 MM - PEDRA DE MÃO COMERCIAL - FORNECIMENTO E ASSENTAMENTO</t>
  </si>
  <si>
    <t xml:space="preserve"> 3205866 </t>
  </si>
  <si>
    <t>GABIÃO CAIXA 2 X 1 X 1,00 M - ZN/AL + PVC - D = 2,4 MM - PEDRA DE MÃO COMERCIAL - FORNECIMENTO E ASSENTAMENTO</t>
  </si>
  <si>
    <t xml:space="preserve"> 3205874 </t>
  </si>
  <si>
    <t>GABIÃO COLCHÃO ESPESSURA 0,23 M - ZN/AL + PVC - D = 2,0 MM - PEDRA DE MÃO COMERCIAL - FORNECIMENTO E ASSENTAMENTO</t>
  </si>
  <si>
    <t xml:space="preserve"> 4816119 </t>
  </si>
  <si>
    <t>SELO DE ARGILA APILOADO</t>
  </si>
  <si>
    <t xml:space="preserve"> 2003868 </t>
  </si>
  <si>
    <t>LASTRO DE PEDRA DE MÃO OU RACHÃO - ESPALHAMENTO MANUAL</t>
  </si>
  <si>
    <t xml:space="preserve"> 1106057 </t>
  </si>
  <si>
    <t>CONCRETO MAGRO - CONFECÇÃO EM BETONEIRA E LANÇAMENTO MANUAL - AREIA E BRITA COMERCIAIS</t>
  </si>
  <si>
    <t xml:space="preserve"> 3083 </t>
  </si>
  <si>
    <t>FORNECIMENTO E APLICAÇÃO DE MANTA GEOTEXTIL RT-10, RESISTENCIA A TRAÇÃO=10KN/M (ANTIGO BIDIM OP-20 OU SIMILAR) EM COLCHÕES DRENANTES</t>
  </si>
  <si>
    <t xml:space="preserve"> 9154 </t>
  </si>
  <si>
    <t>FORNECIMENTO E APLICAÇÃO DE MANTA GEOTÉXTIL RT-21, RESISTENCIA A TRAÇÃO=21 KN/M (ANTIGO BIDIM OP-40 OU SIMILAR) EM COLCHÕES DRENANTES</t>
  </si>
  <si>
    <t xml:space="preserve"> 1516298 </t>
  </si>
  <si>
    <t>GEOGRELHA COM RESISTÊNCIA À TRAÇÃO DE 45 KN/M - FORNECIMENTO E INSTALAÇÃO</t>
  </si>
  <si>
    <t>ENLEIVAMENTO</t>
  </si>
  <si>
    <t xml:space="preserve"> 8.5 </t>
  </si>
  <si>
    <t>DISSIPADOR DE ENERGIA</t>
  </si>
  <si>
    <t xml:space="preserve"> 8.5.1 </t>
  </si>
  <si>
    <t xml:space="preserve"> 94967 </t>
  </si>
  <si>
    <t>CONCRETO FCK = 40MPA, TRAÇO 1:1,6:1,9 (EM MASSA SECA DE CIMENTO/ AREIA MÉDIA/ BRITA 1) - PREPARO MECÂNICO COM BETONEIRA 400 L. AF_05/2021</t>
  </si>
  <si>
    <t>FÔRMAS DE TÁBUAS DE PINHO PARA DISPOSITIVOS DE DRENAGEM - UTILIZAÇÃO DE 3 VEZES - CONFECÇÃO, INSTALAÇÃO E RETIRADA</t>
  </si>
  <si>
    <t>KG</t>
  </si>
  <si>
    <t xml:space="preserve"> 8.6 </t>
  </si>
  <si>
    <t>VERTEDOURO DE SAÍDA DA BACIA</t>
  </si>
  <si>
    <t xml:space="preserve"> 8.6.1 </t>
  </si>
  <si>
    <t xml:space="preserve"> 92817 </t>
  </si>
  <si>
    <t>ASSENTAMENTO DE TUBO DE CONCRETO PARA REDES COLETORAS DE ÁGUAS PLUVIAIS, DIÂMETRO DE 1200 MM, JUNTA RÍGIDA, INSTALADO EM LOCAL COM BAIXO NÍVEL DE INTERFERÊNCIAS (NÃO INCLUI FORNECIMENTO). AF_12/2015</t>
  </si>
  <si>
    <t xml:space="preserve"> 33.02.03U </t>
  </si>
  <si>
    <t>FORNECIMENTO E COLOCAÇÃO DE GRADE DE FERRO PARA PROTEÇÃO EM PISO.</t>
  </si>
  <si>
    <t xml:space="preserve"> 030082 </t>
  </si>
  <si>
    <t>CHUMBADOR QUIMICO PARA ENGASTE EM CONCRETO</t>
  </si>
  <si>
    <t xml:space="preserve"> 8.7 </t>
  </si>
  <si>
    <t xml:space="preserve"> 8.7.1 </t>
  </si>
  <si>
    <t xml:space="preserve"> 8.8 </t>
  </si>
  <si>
    <t xml:space="preserve"> 8.8.1 </t>
  </si>
  <si>
    <t>PLACA PARA SINALIZAÇÃO DE OBRAS MONTADA EM CAVALETE METÁLICO - 1,00 X 1,00 M - UTILIZAÇÃO DE 600 CICLOS - FORNECIMENTO, 01IMPLANTAÇÃO E 01 RETIRADA DIÁRIA</t>
  </si>
  <si>
    <t>UN.DIA</t>
  </si>
  <si>
    <t>CONE PLÁSTICO PARA CANALIZAÇÃO DE TRÂNSITO - UTILIZAÇÃO DE 150 CICLOS - FORNECIMENTO, 01 IMPLANTAÇÃO E 01 RETIRADA DIÁRIA</t>
  </si>
  <si>
    <t xml:space="preserve"> 98522 </t>
  </si>
  <si>
    <t>ALAMBRADO EM MOURÕES DE CONCRETO, COM TELA DE ARAME GALVANIZADO (INCLUSIVE MURETA EM CONCRETO). AF_05/2018</t>
  </si>
  <si>
    <t xml:space="preserve"> 32.04.01U </t>
  </si>
  <si>
    <t>PORTÃO TUBULAR, EM FERRO GALVANIZADO DE 1 1/2", COM CONTRAVENTAMENTO EM TUBO DE FERRO GALVANIZADO DE 1" E COM TELA ARAMADA # 1" COM FIO Nº 10, INCLUSIVE DOBRADIÇAS, BATEDOR, FECHO, PINTURA E ASSENTAMENTO EM ESTRUTURA DE CONCRETO.</t>
  </si>
  <si>
    <t>PV</t>
  </si>
  <si>
    <t>LIGAÇÕES</t>
  </si>
  <si>
    <t>TRECHO</t>
  </si>
  <si>
    <t>PROF DO PV</t>
  </si>
  <si>
    <t>TIPO DE PV</t>
  </si>
  <si>
    <t>EXTENSÃO DO TUBO DE LIGAÇÃO (APENAS LIGADOS A PVS PROJETADOS)</t>
  </si>
  <si>
    <t>BOCA DE LOBO EXISTENTE</t>
  </si>
  <si>
    <t>BOCA DE LOBO PROJETADA</t>
  </si>
  <si>
    <t>TIPO</t>
  </si>
  <si>
    <t>TOTAL TRECHOS EXISTENTES</t>
  </si>
  <si>
    <t>DIÂMETRO DOS PVS EXISTENTES (SE PV EXISTENTE)</t>
  </si>
  <si>
    <t>TIPO DE BOCA DE LOBO</t>
  </si>
  <si>
    <t>RESUMO</t>
  </si>
  <si>
    <t>TUBULAÇÃO DE LIGAÇÃO A DEMOLIR</t>
  </si>
  <si>
    <t>RD-1</t>
  </si>
  <si>
    <t>BOCA DE LOBO SIMPLES EXISTENTE COM BOCA DE LOBO DUPLA PROJETADA</t>
  </si>
  <si>
    <t>PV1.1</t>
  </si>
  <si>
    <t>BL1</t>
  </si>
  <si>
    <t>PROJETADO</t>
  </si>
  <si>
    <t>TRIPLA</t>
  </si>
  <si>
    <t>BOCA DE LOBO SIMPLES EXISTENTE COM BOCA DE LOBO SIMPLES PROJETADA</t>
  </si>
  <si>
    <t>PV3.1</t>
  </si>
  <si>
    <t>BL2</t>
  </si>
  <si>
    <t>BOCA DE LOBO SIMPLES EXISTENTE COM BOCA DE LOBO TRIPLA PROJETADA</t>
  </si>
  <si>
    <t>RD-2</t>
  </si>
  <si>
    <t>BOCA DE LOBO DUPLA EXISTENTE COM BOCA DE LOBO SIMPLES PROJETADA</t>
  </si>
  <si>
    <t>BOCA DE LOBO DUPLA EXISTENTE COM BOCA DE LOBO TRIPLA PROJETADA</t>
  </si>
  <si>
    <t>BL3</t>
  </si>
  <si>
    <t>BOCA DE LOBO DUPLA EXISTENTE COM BOCA DE LOBO DUPLA PROJETADA</t>
  </si>
  <si>
    <t>BL4</t>
  </si>
  <si>
    <t>BOCA DE LOBO TRIPLA EXISTENTE COM BOCA DE LOBO SIMPLES PROJETADA</t>
  </si>
  <si>
    <t>PV2.1</t>
  </si>
  <si>
    <t>DUPLA</t>
  </si>
  <si>
    <t>BL5</t>
  </si>
  <si>
    <t>BOCA DE LOBO TRIPLA EXISTENTE COM BOCA DE LOBO DUPLA PROJETADA</t>
  </si>
  <si>
    <t>SIMPLES</t>
  </si>
  <si>
    <t>BL6</t>
  </si>
  <si>
    <t>BOCA DE LOBO TRIPLA EXISTENTE COM BOCA DE LOBO TRIPLA PROJETADA</t>
  </si>
  <si>
    <t>BL7</t>
  </si>
  <si>
    <t>BOCA DE LOBO PROJETADA SIMPLES</t>
  </si>
  <si>
    <t>BL8</t>
  </si>
  <si>
    <t>BOCA DE LOBO PROJETADA DUPLA</t>
  </si>
  <si>
    <t>PV4.1</t>
  </si>
  <si>
    <t>BL9</t>
  </si>
  <si>
    <t>BOCA DE LOBO PROJETADA TRIPLA</t>
  </si>
  <si>
    <t>PV5.1</t>
  </si>
  <si>
    <t>BL10</t>
  </si>
  <si>
    <t>BL11</t>
  </si>
  <si>
    <t>BOCA DE LOBO PROJETADA QUADRUPLA</t>
  </si>
  <si>
    <t>BL12</t>
  </si>
  <si>
    <t>PV6.1</t>
  </si>
  <si>
    <t>BL13</t>
  </si>
  <si>
    <t>PV7.1</t>
  </si>
  <si>
    <t>ABERTURA EM BOCAS DE LOBO EXISTENTE</t>
  </si>
  <si>
    <t>BL14</t>
  </si>
  <si>
    <t>BL15</t>
  </si>
  <si>
    <t>BL16</t>
  </si>
  <si>
    <t>PV8.1</t>
  </si>
  <si>
    <t>BL17</t>
  </si>
  <si>
    <t>PV9.1</t>
  </si>
  <si>
    <t>BL18</t>
  </si>
  <si>
    <t>BL19</t>
  </si>
  <si>
    <t>BL20</t>
  </si>
  <si>
    <t>PV10.1</t>
  </si>
  <si>
    <t>BL21</t>
  </si>
  <si>
    <t>PV11.1</t>
  </si>
  <si>
    <t>BL22</t>
  </si>
  <si>
    <t>BL23</t>
  </si>
  <si>
    <t>PV12.1</t>
  </si>
  <si>
    <t>BL24</t>
  </si>
  <si>
    <t>PV13.1</t>
  </si>
  <si>
    <t>BL25</t>
  </si>
  <si>
    <t>PV14.1</t>
  </si>
  <si>
    <t>BL26</t>
  </si>
  <si>
    <t>BL27</t>
  </si>
  <si>
    <t>PV15.1</t>
  </si>
  <si>
    <t>BL28</t>
  </si>
  <si>
    <t>PV16.1</t>
  </si>
  <si>
    <t>BL30</t>
  </si>
  <si>
    <t>BL29</t>
  </si>
  <si>
    <t>BL31</t>
  </si>
  <si>
    <t>PV17.1</t>
  </si>
  <si>
    <t>BL32</t>
  </si>
  <si>
    <t>BL33</t>
  </si>
  <si>
    <t>PV18.1</t>
  </si>
  <si>
    <t>BL34</t>
  </si>
  <si>
    <t>BL35</t>
  </si>
  <si>
    <t>PV19.1</t>
  </si>
  <si>
    <t>BL36</t>
  </si>
  <si>
    <t>EXISTENTE</t>
  </si>
  <si>
    <t>PV1-19</t>
  </si>
  <si>
    <t>BL70</t>
  </si>
  <si>
    <t>BL37</t>
  </si>
  <si>
    <t>BL71</t>
  </si>
  <si>
    <t>PV2-19</t>
  </si>
  <si>
    <t>BL38</t>
  </si>
  <si>
    <t>BL72</t>
  </si>
  <si>
    <t>BL39</t>
  </si>
  <si>
    <t>BL73</t>
  </si>
  <si>
    <t>PV3-19</t>
  </si>
  <si>
    <t>BL40</t>
  </si>
  <si>
    <t>BL74</t>
  </si>
  <si>
    <t>PV4-19</t>
  </si>
  <si>
    <t>BL41</t>
  </si>
  <si>
    <t>BL76</t>
  </si>
  <si>
    <t>PV5-19</t>
  </si>
  <si>
    <t>BL42</t>
  </si>
  <si>
    <t>BL80</t>
  </si>
  <si>
    <t>PV6-19</t>
  </si>
  <si>
    <t>BL43</t>
  </si>
  <si>
    <t>BL81</t>
  </si>
  <si>
    <t>PV7-19</t>
  </si>
  <si>
    <t>BL44</t>
  </si>
  <si>
    <t>BL82</t>
  </si>
  <si>
    <t>PV1-20</t>
  </si>
  <si>
    <t>BL45</t>
  </si>
  <si>
    <t>BL75</t>
  </si>
  <si>
    <t>PV1-21</t>
  </si>
  <si>
    <t>BL46</t>
  </si>
  <si>
    <t>PV2-21</t>
  </si>
  <si>
    <t>BL47</t>
  </si>
  <si>
    <t>PV3-21</t>
  </si>
  <si>
    <t>BL48</t>
  </si>
  <si>
    <t>BL52</t>
  </si>
  <si>
    <t>PV4-21</t>
  </si>
  <si>
    <t>BL49</t>
  </si>
  <si>
    <t>BL54</t>
  </si>
  <si>
    <t>PV5-21</t>
  </si>
  <si>
    <t>BL50</t>
  </si>
  <si>
    <t>BL59</t>
  </si>
  <si>
    <t>PV7-21</t>
  </si>
  <si>
    <t>BL51</t>
  </si>
  <si>
    <t>BL63</t>
  </si>
  <si>
    <t>PV8-21</t>
  </si>
  <si>
    <t>BL64</t>
  </si>
  <si>
    <t>PV9-21</t>
  </si>
  <si>
    <t>BL53</t>
  </si>
  <si>
    <t>BL65</t>
  </si>
  <si>
    <t>BL66</t>
  </si>
  <si>
    <t>PV10-21</t>
  </si>
  <si>
    <t>BL55</t>
  </si>
  <si>
    <t>BL67</t>
  </si>
  <si>
    <t>PV11-21</t>
  </si>
  <si>
    <t>BL56</t>
  </si>
  <si>
    <t>BL68</t>
  </si>
  <si>
    <t>BL57</t>
  </si>
  <si>
    <t>BL69</t>
  </si>
  <si>
    <t>PV1-22</t>
  </si>
  <si>
    <t>BL58</t>
  </si>
  <si>
    <t>PV1-23</t>
  </si>
  <si>
    <t>PV2-23</t>
  </si>
  <si>
    <t>BL60</t>
  </si>
  <si>
    <t>PV3-23</t>
  </si>
  <si>
    <t>BL61</t>
  </si>
  <si>
    <t>PV4-23</t>
  </si>
  <si>
    <t>BL62</t>
  </si>
  <si>
    <t>PV5-23</t>
  </si>
  <si>
    <t>PV6-23</t>
  </si>
  <si>
    <t>PV1-24</t>
  </si>
  <si>
    <t>QUADRUPLA</t>
  </si>
  <si>
    <t>PV2-24</t>
  </si>
  <si>
    <t>PV4.1-23</t>
  </si>
  <si>
    <t>PV1-25</t>
  </si>
  <si>
    <t>PV1-26</t>
  </si>
  <si>
    <t>PV1-27</t>
  </si>
  <si>
    <t>PV1-30</t>
  </si>
  <si>
    <t>PV2-27</t>
  </si>
  <si>
    <t>PV1-31</t>
  </si>
  <si>
    <t>PV1-28</t>
  </si>
  <si>
    <t>PV1-29</t>
  </si>
  <si>
    <t>PV2-31</t>
  </si>
  <si>
    <t>BL77</t>
  </si>
  <si>
    <t>BL78</t>
  </si>
  <si>
    <t>PV1-32</t>
  </si>
  <si>
    <t>BL79</t>
  </si>
  <si>
    <t>PV2-32</t>
  </si>
  <si>
    <t>PV1-33</t>
  </si>
  <si>
    <t>PV1-34</t>
  </si>
  <si>
    <t>PV1-35</t>
  </si>
  <si>
    <t>BL83</t>
  </si>
  <si>
    <t>PV1-168</t>
  </si>
  <si>
    <t>PV2-35</t>
  </si>
  <si>
    <t>BL84</t>
  </si>
  <si>
    <t>PV1-36</t>
  </si>
  <si>
    <t>BL85</t>
  </si>
  <si>
    <t>PV2-36</t>
  </si>
  <si>
    <t>BL86</t>
  </si>
  <si>
    <t>PV1-37</t>
  </si>
  <si>
    <t>BL87</t>
  </si>
  <si>
    <t>BL88</t>
  </si>
  <si>
    <t>DIÂMETRO DOS PVS EXISTENTES</t>
  </si>
  <si>
    <t>PV20.1</t>
  </si>
  <si>
    <t>PV21.1</t>
  </si>
  <si>
    <t>PV22.1</t>
  </si>
  <si>
    <t>PV23.1</t>
  </si>
  <si>
    <t>PV24.1</t>
  </si>
  <si>
    <t>PV25.1</t>
  </si>
  <si>
    <t>PV26.1</t>
  </si>
  <si>
    <t>PV1.2</t>
  </si>
  <si>
    <t>PV1.3</t>
  </si>
  <si>
    <t>PV2.2</t>
  </si>
  <si>
    <t>PV3.2</t>
  </si>
  <si>
    <t>PV4.2</t>
  </si>
  <si>
    <t>PV5.2</t>
  </si>
  <si>
    <t>PV6.2</t>
  </si>
  <si>
    <t>PV1-39</t>
  </si>
  <si>
    <t>PV1-40</t>
  </si>
  <si>
    <t>PV2-40</t>
  </si>
  <si>
    <t>PV1-41</t>
  </si>
  <si>
    <t>PV1-42</t>
  </si>
  <si>
    <t>PV2-42</t>
  </si>
  <si>
    <t>PV1-43</t>
  </si>
  <si>
    <t>PV2-43</t>
  </si>
  <si>
    <t>PV1-44</t>
  </si>
  <si>
    <t>PV2-44</t>
  </si>
  <si>
    <t>PV1-45</t>
  </si>
  <si>
    <t>PV2-45</t>
  </si>
  <si>
    <t>PV3-45</t>
  </si>
  <si>
    <t>PV4-45</t>
  </si>
  <si>
    <t>PV5-45</t>
  </si>
  <si>
    <t>PV1-46</t>
  </si>
  <si>
    <t>PV1-47</t>
  </si>
  <si>
    <t>PV1-48</t>
  </si>
  <si>
    <t>PV2-48</t>
  </si>
  <si>
    <t>PV3-48</t>
  </si>
  <si>
    <t>PV4-48</t>
  </si>
  <si>
    <t>PV12-48</t>
  </si>
  <si>
    <t>PV13-48</t>
  </si>
  <si>
    <t>PV1-50</t>
  </si>
  <si>
    <t>PV1-51</t>
  </si>
  <si>
    <t>PV1-52</t>
  </si>
  <si>
    <t>PV1-53</t>
  </si>
  <si>
    <t>ÁREA 3</t>
  </si>
  <si>
    <t>PROF.
DO PV</t>
  </si>
  <si>
    <t>BOCA DE LOBO
EXISTENTE</t>
  </si>
  <si>
    <t>BOCA DE LOBO
PROJETADA</t>
  </si>
  <si>
    <t>PV 1.1</t>
  </si>
  <si>
    <t>RD-3</t>
  </si>
  <si>
    <t>RD-4</t>
  </si>
  <si>
    <t>RD-6</t>
  </si>
  <si>
    <t xml:space="preserve">PV1.1 </t>
  </si>
  <si>
    <t>RD-7</t>
  </si>
  <si>
    <t>PV3-55</t>
  </si>
  <si>
    <t>PV4-55</t>
  </si>
  <si>
    <t>PV1-56</t>
  </si>
  <si>
    <t>PV4-57</t>
  </si>
  <si>
    <t>PV1-59</t>
  </si>
  <si>
    <t>PV6-59</t>
  </si>
  <si>
    <t>PV7-59</t>
  </si>
  <si>
    <t>PV10-59</t>
  </si>
  <si>
    <t>PV11-59</t>
  </si>
  <si>
    <t>PV12-59</t>
  </si>
  <si>
    <t>PV13-59</t>
  </si>
  <si>
    <t>PV18-59</t>
  </si>
  <si>
    <t>PV1-60</t>
  </si>
  <si>
    <t>PV2-61</t>
  </si>
  <si>
    <t>PV3-63</t>
  </si>
  <si>
    <t>PV4-63</t>
  </si>
  <si>
    <t>PV5-63</t>
  </si>
  <si>
    <t>PV1-.64</t>
  </si>
  <si>
    <t>PV1-65</t>
  </si>
  <si>
    <t>PV2-65</t>
  </si>
  <si>
    <t>PV1-66</t>
  </si>
  <si>
    <t>ÁREA 4</t>
  </si>
  <si>
    <t>PV2.3</t>
  </si>
  <si>
    <t>PV3.3</t>
  </si>
  <si>
    <t>PV5.3</t>
  </si>
  <si>
    <t>PV7.3</t>
  </si>
  <si>
    <t>PV8.3</t>
  </si>
  <si>
    <t>PV9.3</t>
  </si>
  <si>
    <t>PV10.3</t>
  </si>
  <si>
    <t>PV11.3</t>
  </si>
  <si>
    <t>PV12.3</t>
  </si>
  <si>
    <t>PV13.3</t>
  </si>
  <si>
    <t>PV1-67</t>
  </si>
  <si>
    <t>PV2-67</t>
  </si>
  <si>
    <t>PV1-68</t>
  </si>
  <si>
    <t>PV1-69</t>
  </si>
  <si>
    <t>400-500</t>
  </si>
  <si>
    <t>PV2-72</t>
  </si>
  <si>
    <t>PV1-70</t>
  </si>
  <si>
    <t>PV1-71</t>
  </si>
  <si>
    <t>PV1-72</t>
  </si>
  <si>
    <t>PV1-73</t>
  </si>
  <si>
    <t>PV2-73</t>
  </si>
  <si>
    <t>PV1-74</t>
  </si>
  <si>
    <t>PV2-74</t>
  </si>
  <si>
    <t>PV1-75</t>
  </si>
  <si>
    <t>PV2-75</t>
  </si>
  <si>
    <t>PV2-76</t>
  </si>
  <si>
    <t>PV3-76</t>
  </si>
  <si>
    <t>PV4-76</t>
  </si>
  <si>
    <t>PV5-76</t>
  </si>
  <si>
    <t>PV6-76</t>
  </si>
  <si>
    <t>500-800</t>
  </si>
  <si>
    <t>PV7-76</t>
  </si>
  <si>
    <t>PV8-76</t>
  </si>
  <si>
    <t>PV9-76</t>
  </si>
  <si>
    <t>PV1-77</t>
  </si>
  <si>
    <t>PV1-78</t>
  </si>
  <si>
    <t>PV2-77</t>
  </si>
  <si>
    <t>PV1-79</t>
  </si>
  <si>
    <t>PV2-78</t>
  </si>
  <si>
    <t>PV2-79</t>
  </si>
  <si>
    <t>PV1-80</t>
  </si>
  <si>
    <t>PV2-80</t>
  </si>
  <si>
    <t>PV1-81</t>
  </si>
  <si>
    <t>BL89</t>
  </si>
  <si>
    <t>PV1-82</t>
  </si>
  <si>
    <t>BL90</t>
  </si>
  <si>
    <t>PV1-83</t>
  </si>
  <si>
    <t>BL91</t>
  </si>
  <si>
    <t>PV1-84</t>
  </si>
  <si>
    <t>BL92</t>
  </si>
  <si>
    <t>PV1-85</t>
  </si>
  <si>
    <t>BL93</t>
  </si>
  <si>
    <t>PV2-85</t>
  </si>
  <si>
    <t>BL94</t>
  </si>
  <si>
    <t>PV1-86</t>
  </si>
  <si>
    <t>BL95</t>
  </si>
  <si>
    <t>GOVERNO DO DISTRITO FEDERAL
Secretaria de Estado de Obras e Infraestrutura do
Distrito Federal - SODF</t>
  </si>
  <si>
    <t>MEMÓRIA DE CÁLCULO</t>
  </si>
  <si>
    <t>SERVIÇO:</t>
  </si>
  <si>
    <t>REVISÃO E READEQUAÇÃO DOS PROJETOS EXECUTIVOS DE DRENAGEM NO SETOR HABITACIONAL MESTRE D'ARMAS, REGIÃO ADMINISTRATIVA DE PLANATINA - RA VI, PELA SODF, NO DISTRITO FEDERAL</t>
  </si>
  <si>
    <t>LOCALIDADE:</t>
  </si>
  <si>
    <t>BRASILIA-DF</t>
  </si>
  <si>
    <t>DISCRIMINAÇÃO</t>
  </si>
  <si>
    <t>UN.</t>
  </si>
  <si>
    <t>COMP. 
(M)</t>
  </si>
  <si>
    <t>LARG. 
(M)</t>
  </si>
  <si>
    <t>ALTURA
(M)</t>
  </si>
  <si>
    <t>ESPES.
(M)</t>
  </si>
  <si>
    <t>PERÍM. 
(M)</t>
  </si>
  <si>
    <t>DIÂM.
(M)</t>
  </si>
  <si>
    <t>PESO (KG)</t>
  </si>
  <si>
    <t>%</t>
  </si>
  <si>
    <t>QUANT.</t>
  </si>
  <si>
    <t>ÁREA
(M²)</t>
  </si>
  <si>
    <t>VOLUME (M³)</t>
  </si>
  <si>
    <t>Considerada 2 placas por área, a ser instalada conforme recomendações da SODF</t>
  </si>
  <si>
    <t>MOMENTO DE TRANSP. (TXKM)</t>
  </si>
  <si>
    <t>CONFORME PLANILHA DE QUANTITATIVOS</t>
  </si>
  <si>
    <t>REDE DE DRENAGEM</t>
  </si>
  <si>
    <t>UM PLATAFORMA A CADA 500M</t>
  </si>
  <si>
    <t>UM PLATAFORMA C=4 X L=1</t>
  </si>
  <si>
    <t>UM PLATAFORMA A CADA 200M</t>
  </si>
  <si>
    <t>UM PLATAFORMA C=2 X L=1</t>
  </si>
  <si>
    <t>EM AMBOS OS LADOS DA VALA</t>
  </si>
  <si>
    <t>CONSIDEROU-SE QUE 20% DOS SERVIÇOS RERÃO EXECUTADOS A NOITE - UM PONTO A CADA 10 M</t>
  </si>
  <si>
    <t>REDE</t>
  </si>
  <si>
    <t>VIAS</t>
  </si>
  <si>
    <t xml:space="preserve">CONFORME NR - 18 - 18.6.7. As escavações com mais de 1,25m de profundidade devem dispor de escadas ou rampas, colocadas próximas aos postos de trabalho, a fim de permitir, em caso de emergência, a saída rápida dos trabalhadores, independentemente do previsto no subitem 18.6.5. </t>
  </si>
  <si>
    <t>ÁREA DE DEMOLIÇÃO ASFÁLTICA NA REDE</t>
  </si>
  <si>
    <t>ÁREA DA DEMOLIÇÃO ASÁLFTICA NA LIGAÇÃO PV-REDE</t>
  </si>
  <si>
    <t>DEMOLIÇÃO DO PAVIMENTO NA AMPLIAÇÃO/ CONSTRUÇÃO DA BL</t>
  </si>
  <si>
    <t>TIPO DE TRÁFEGO - LEVE</t>
  </si>
  <si>
    <t>PESO (T)</t>
  </si>
  <si>
    <t>PESO ESP. (T/M²)</t>
  </si>
  <si>
    <t>ÁREA DE DEMOLIÇÃO ASFÁLTICA</t>
  </si>
  <si>
    <t>COMP. 
(KM)</t>
  </si>
  <si>
    <t>MOMENTO DE TRANSP. (M³XKM)</t>
  </si>
  <si>
    <t>TRANSPORTE ATÉ ATERRO SAMAMBAIA</t>
  </si>
  <si>
    <t>DIST.
(KM)</t>
  </si>
  <si>
    <t>PESO ESP.</t>
  </si>
  <si>
    <t>CONFORME PLANILHA DE QUANTITATIVOS DEMOLIÇÃO DE POÇOS</t>
  </si>
  <si>
    <t>DESCONTO DO VOLUME DE ALENARIA NOS POÇOS COM PV ATÉ 800MM</t>
  </si>
  <si>
    <t>PESO ESP. (T/M³)</t>
  </si>
  <si>
    <t>TRANSPORTE DAS MANILHAS DEMOLIDAS ATÉ ATERRO SAMAMBAIA</t>
  </si>
  <si>
    <t>QUANT. (UN)</t>
  </si>
  <si>
    <t>DEMOLIÇÃO DE PASSEIO PARA COLOCAÇÃO DAS BOCAS DE LOBO  (ESTIMADO COM BASE NA ESPESSURA DA TAMPA 7 CM)</t>
  </si>
  <si>
    <t>FOLGA DE 50CM</t>
  </si>
  <si>
    <t>PASSEIO DEMOLIDO DESCONTANDO BOCA DE LOBO</t>
  </si>
  <si>
    <t>DEMOLIÇÃO DE PASSEIO</t>
  </si>
  <si>
    <t>DEMOLIÇÃO DE MEIO FIO</t>
  </si>
  <si>
    <t>AMPLIAÇÃO DE BOCAS DE LOBO - DEMOLIÇÃO DE CINTAS</t>
  </si>
  <si>
    <t>AMPLIAÇÃO DE BOCAS DE LOBO - DEMOLIÇÃO DA ALVENARIA</t>
  </si>
  <si>
    <t>DEMOLIÇÃO DE CINTAS</t>
  </si>
  <si>
    <t>DEMOLIÇÃO DA ALVENARIA</t>
  </si>
  <si>
    <t>PROPORÇÃO M³/M</t>
  </si>
  <si>
    <t>1 ENSAIO A CADA 100M</t>
  </si>
  <si>
    <t>EXTENSÃO REDE ASFALTADA</t>
  </si>
  <si>
    <t>PROPORÇÃO ROCHA/BRITA</t>
  </si>
  <si>
    <t>CARGA PARA BOTA FORA</t>
  </si>
  <si>
    <t>TRANSPORTE ATÉ ATERRO ESTRUTURAL - BOTA FORA - MATERIAL NÃO APROVEITADO</t>
  </si>
  <si>
    <t>TRANSPORTE ATÉ ATERRO SAMAMBIA - BOTA FORA - ROCHA</t>
  </si>
  <si>
    <t>ESPALHAMENTO DO MATERIAL NO DESTINO</t>
  </si>
  <si>
    <t>SUB-BASE COM ADIÇÃO DE CAL E REAPROVEITAMENTO DO MATERIAL DA VALA</t>
  </si>
  <si>
    <t>TAXA</t>
  </si>
  <si>
    <t>EMULSÃO ASFÁLTICA - RR-1C PARA PINTURA DE LIGAÇÃO</t>
  </si>
  <si>
    <t>CONFORME COMPOSIÇÃO 4011353 SICRO  - PARA CADA 1M² DE PINTURA DE LIGAÇÃO USARIA 0,00045 T DE EMULSÃO ASFÁLTICA RR-1C</t>
  </si>
  <si>
    <t>EMULSÃO ASFÁLTICA PARA IMPRIMAÇÃO</t>
  </si>
  <si>
    <t>CONFORME COMPOSIÇÃO 4011352 SICRO  - PARA CADA 1M² DE EMULSÃO ASFÁLTICA PARA IMPRIMAÇÃOUSARIA 0,0013 T DE EMULSÃO ASFÁLTICA PARA IMPRIMAÇÃO</t>
  </si>
  <si>
    <t>CONFORME COMPOSIÇÃO 4011304 SICRO PARA CADA 1M³ DE MELHORAMENTO USARIA 4% DE CAL QUE CORRESPONDE A 82,52KG</t>
  </si>
  <si>
    <t>QUANTIDADE</t>
  </si>
  <si>
    <t>CONCRETO BETUMINOSO USINADO A QUENTE</t>
  </si>
  <si>
    <t>PESO ESPEC. MATERIAL BETUMINOSOS (T/M³)</t>
  </si>
  <si>
    <t>TAXA T/T</t>
  </si>
  <si>
    <t>REATERRO COM MATERIAL DA PRÓPRIA VALA</t>
  </si>
  <si>
    <t>REATERRO COM APROVEITAMENTO DO MATERIAL DE VALAS PRÓXIMAS</t>
  </si>
  <si>
    <t>REATERRO ORIGINARIO DE OUTRO TRECHO DA ÁREA</t>
  </si>
  <si>
    <t>REATERRO DO REFORÇO</t>
  </si>
  <si>
    <t>CARGA DO MATERIAL PARA ATERRO RETIRADO DE VALAS PRÓXIMAS (DMT ESTIMADO EM ATÉ 200M)</t>
  </si>
  <si>
    <t>CARGA DA BRITA PARA PREPARO DE FUNDO DE VALA COM LARGURA MENOR QUE 1,5 M.</t>
  </si>
  <si>
    <t>CARGA DA BRITA PARA PREPARO DE FUNDO DE VALA COM LARGURA MAIOR OU IGUAL A 1,5 M E MENOR QUE 2,5 M.</t>
  </si>
  <si>
    <t>TRANSPORTE DO MATERIAL PARA ATERRO RETIRADO DE VALAS PRÓXIMAS (DMT ESTIMADO EM ATÉ 200M)</t>
  </si>
  <si>
    <t>TRANSPORTE DO MATERIAL PARA ATERRO REFORÇO RETIRADO DE VALAS PROXIMAS (DMT ESTIMADO EM ATÉ 200M)</t>
  </si>
  <si>
    <t>TRANSPORTE DO MATERIAL PARA ATERRO APILOADO RETIRADO DE VALAS PROXIMAS (DMT ESTIMADO EM ATÉ 200M)</t>
  </si>
  <si>
    <t>TRANSPORTE DA BRITA PARA PREPARO DE FUNDO DE VALA COM LARGURA MENOR QUE 1,5 M. (DMT ESTIMADO DE 25,60 KM)</t>
  </si>
  <si>
    <t>TRANSPORTE DA BRITA PARA PREPARO DE FUNDO DE VALA COM LARGURA MAIOR OU IGUAL A 1,5 M E MENOR QUE 2,5 M. (DMT ESTIMADO DE 25,60 KM)</t>
  </si>
  <si>
    <t>PESO POR M (T)</t>
  </si>
  <si>
    <t>TRANSPORTE MÉDIO NOVACAP ATÉ MESTRE D'ARMS</t>
  </si>
  <si>
    <t>PESO CONFORME http://www.guaranitubos.com.br/tubo-concreto-armado-agua-pluvial.php</t>
  </si>
  <si>
    <t>TUBO DE CONCRETO ARMADO PARA AGUAS PLUVIAIS, CLASSE PA-2, COM ENCAIXE PONTA E BOLSA, DIAMETRO NOMINAL DE = 600 MM</t>
  </si>
  <si>
    <t xml:space="preserve">M     </t>
  </si>
  <si>
    <t>VAZÃO (M³/H)</t>
  </si>
  <si>
    <t>N BOCAS (UN)</t>
  </si>
  <si>
    <t>TOTAL DOS TUBOS DE LIGAÇÃO</t>
  </si>
  <si>
    <t>A CADA 100M DE TELAS TAPUMES</t>
  </si>
  <si>
    <t>ESCAVAÇÃO TUBO DE LIGAÇÃO BOCA DE LOBO - POÇO DE VISITA</t>
  </si>
  <si>
    <t>TEMPO (H)</t>
  </si>
  <si>
    <t>ESCAVAÇÃO BOCA DE LOBO</t>
  </si>
  <si>
    <t>Área (m²)</t>
  </si>
  <si>
    <t>TUBO DE LIGAÇÃO BOCA DE LOBO - POÇO DE VISITA</t>
  </si>
  <si>
    <t>BOCA DE LOBO</t>
  </si>
  <si>
    <t>VALAS DO TUBO DE LIGAÇÃO DN 400MM</t>
  </si>
  <si>
    <t>LIGAÇÃO BOCA - PV</t>
  </si>
  <si>
    <t>REATERRO ORIGINARIO DA TERRAPLENAGEM DA VIA</t>
  </si>
  <si>
    <t>BOTA FORA ATERRO ESTRUTURAL</t>
  </si>
  <si>
    <t>BOTA FORA ATERRO SAMAMBAIA</t>
  </si>
  <si>
    <t>CARGA PARA OUTROS TRECHOS</t>
  </si>
  <si>
    <t>REFORÇO EM OUTROS TRECHOS</t>
  </si>
  <si>
    <t>REATERRO APILOADO</t>
  </si>
  <si>
    <t>REATERRO MECANIZADO</t>
  </si>
  <si>
    <t>FUNDO</t>
  </si>
  <si>
    <t>PESO TOTAL (KG)</t>
  </si>
  <si>
    <t>PESO TOTAL CONFORME DESENHO MODELO</t>
  </si>
  <si>
    <t>ÁREA (M²)</t>
  </si>
  <si>
    <t>ESTIMADO CONFORME DESENHO TIPO</t>
  </si>
  <si>
    <t>ESTIMADO CONFORME DESENHO TIPO p</t>
  </si>
  <si>
    <t>TUBO DE LIGAÇÃO ENTRE PV E BOCA ATÉ 1,75 PROF</t>
  </si>
  <si>
    <t>TUBO DE LIGAÇÃO ENTRE PV E BOCA ACIMA DE  1,75 PROF</t>
  </si>
  <si>
    <t>TUBO DE LIGAÇÃO ENTRE PV E BOCA</t>
  </si>
  <si>
    <t>CONFORME DESENHO TIPO</t>
  </si>
  <si>
    <t>PV DN 600</t>
  </si>
  <si>
    <t>PV DN 800</t>
  </si>
  <si>
    <t>PV DN 1000</t>
  </si>
  <si>
    <t>PV DN 1200</t>
  </si>
  <si>
    <t>PV DN 1500</t>
  </si>
  <si>
    <t xml:space="preserve">CONCRETO MAGRO </t>
  </si>
  <si>
    <t>ENCHIMENTO</t>
  </si>
  <si>
    <t>TAMPA</t>
  </si>
  <si>
    <t>PAREDES</t>
  </si>
  <si>
    <t>TAMANHO DA ADUELA CONFORME PLANILHA DE QUANTITATIVO FEITO COM BASE NO DESNHO TIPO</t>
  </si>
  <si>
    <t>EXTENSÃO TOTAL DA REDE</t>
  </si>
  <si>
    <t>COMP. 
TOTAL</t>
  </si>
  <si>
    <t>CONFORME CUBAÇÃO</t>
  </si>
  <si>
    <t>VIA 1 - ESTACA 0+0,00 A 12+13,72</t>
  </si>
  <si>
    <t>VIA 2 - ESTACA 0+0,00 A 5+16,63</t>
  </si>
  <si>
    <t>VIA 3 - ESTACA 0+0,00 A 8+18,60</t>
  </si>
  <si>
    <t>COMP. 
(M)
CHUMBADOR</t>
  </si>
  <si>
    <t>COMP.
(M)
TOTAL</t>
  </si>
  <si>
    <t>ESPASSAMENTO (M)</t>
  </si>
  <si>
    <t>TRANSPORTE ATÉ ATERRO SAMAMBAIA - D = 75KM</t>
  </si>
  <si>
    <t>MATERIAL ESCAVADO (FHV = 15%)</t>
  </si>
  <si>
    <t>MATERIAL UTILIZADO PARA ATERRO DA VIA</t>
  </si>
  <si>
    <t>MATERIAL NECESSÁRIO PARA REATERRO DE VALAS DA DRENAGEM (FHV = 15%)</t>
  </si>
  <si>
    <t>MATERIAL NECESSÁRIO PARA REATERRO DE VALAS DA LIGAÇÃO PV - BOCA DE LOBO (FHV = 15%)</t>
  </si>
  <si>
    <t>TRANSPORTE ATÉ ATERRO REDE - D = 0,2KM</t>
  </si>
  <si>
    <t>MATERIAL PARA BOTA FORA</t>
  </si>
  <si>
    <t>TRANSPORTE ATÉ ATERRO ESTRUTURAL - D = 44,2KM</t>
  </si>
  <si>
    <t>SUBLEITO</t>
  </si>
  <si>
    <t>SUB-BASE</t>
  </si>
  <si>
    <t>BASE</t>
  </si>
  <si>
    <t>VIA 2 - ESTACA 0+3,47 A 5+16,63</t>
  </si>
  <si>
    <t>CAL PARA SUB-BASE</t>
  </si>
  <si>
    <t>TAXA KG/M³</t>
  </si>
  <si>
    <t>BOCAS DE LOBO EXISTENTE</t>
  </si>
  <si>
    <t>POÇOS DE VISITA EXISTENTE</t>
  </si>
  <si>
    <t>POÇOS DE VISITA EXISTENTE - REVITALIZAÇÃO DE POÇOS DE VISITA SOB O ASFALTO</t>
  </si>
  <si>
    <t>PEÍMETRO  SINALIZADO</t>
  </si>
  <si>
    <t>ALTURA TOTAL
(M)</t>
  </si>
  <si>
    <t>PV6-21</t>
  </si>
  <si>
    <t>DEMOLIÇÃO ASFÁLTICA</t>
  </si>
  <si>
    <t>TAMPA POÇOS DE VISITA</t>
  </si>
  <si>
    <t>ÁREA = ÁREA DEMOLIDA - ÁREA DO PV</t>
  </si>
  <si>
    <t>BASE = 15CM</t>
  </si>
  <si>
    <t>VOLUME = VOLUME DEMOLIDO - VOLUME DO PV</t>
  </si>
  <si>
    <t>SUB-BASE = 15CM</t>
  </si>
  <si>
    <t>VOLUME DE DEMOLIÇÃO ASFÁLTICA</t>
  </si>
  <si>
    <t>VOLUME ESCAVADO</t>
  </si>
  <si>
    <t>VOLUME REAPROVEITADO PARA ATERRO E SUB-BASE</t>
  </si>
  <si>
    <t>BOTA FORA = VOLUME ESCAVADO - VOLUME REAPROVEITADO</t>
  </si>
  <si>
    <t>COMP. TOTAL (M)</t>
  </si>
  <si>
    <t>CONFORME QUANTITATIVO</t>
  </si>
  <si>
    <t>MATERIAL DEMOLIDO NAS BOCAS DE LOBO</t>
  </si>
  <si>
    <t>CARGA DE MATERIAL NÃO APROVEITADO</t>
  </si>
  <si>
    <t>TRANSPORTE ATÉ ATERRO ESTRUTURAL</t>
  </si>
  <si>
    <t>COMPRIMENTO TOTAL DE  ADUELAS -  CONFORME PLANILHA DE QUANTITATIVOS DE PROJETO</t>
  </si>
  <si>
    <t>DISSIPADOR DE ENERGIA EXISTENTE</t>
  </si>
  <si>
    <t>ÁREA DE LANÇAMENTO DO DISSIPADOR</t>
  </si>
  <si>
    <t>PERÍMETRO  SINALIZADO</t>
  </si>
  <si>
    <t>LIGAÇÃO BL NOVAS COM PV EXISTENTES</t>
  </si>
  <si>
    <t>TUBOS PA-1 E PA-2</t>
  </si>
  <si>
    <t>BACIA DE DETENÇÃO</t>
  </si>
  <si>
    <t>PV1-63</t>
  </si>
  <si>
    <t>PV1-64</t>
  </si>
  <si>
    <t>PV2-63</t>
  </si>
  <si>
    <t>PV17-59</t>
  </si>
  <si>
    <t>COMPACTAÇÃO DE ATERROS A 100% DO PROCTOR INTERMEDIÁRIO</t>
  </si>
  <si>
    <t>TRANSPORTE ATÉ ATERRO SAMAMBAIA - D=75KM</t>
  </si>
  <si>
    <t>ESGOTAMENTO DE ÁGUA COM BOMBA SUBMERSA.</t>
  </si>
  <si>
    <t>H</t>
  </si>
  <si>
    <t>GALERIA MOLDADA 1,65 x 1,65</t>
  </si>
  <si>
    <t>TAXA (KG/M)</t>
  </si>
  <si>
    <t>PV1-76</t>
  </si>
  <si>
    <t>VIA 4 - ESTACA 16+7,98 A 41+12,55</t>
  </si>
  <si>
    <t>VIA 5 - ESTACA 0+0,00 A 3+18,85</t>
  </si>
  <si>
    <t>VIA 6 - ESTACA 0+0,00 A 3+15,85</t>
  </si>
  <si>
    <t>VIA 7 - ESTACA 0+0,00 A 3+4,01</t>
  </si>
  <si>
    <t>VIA 8 - ESTACA 0+0,00 A 2+13,13</t>
  </si>
  <si>
    <t>TRANSPORTE ATÉ ATERRO ESTRUTURAL - D = 44KM</t>
  </si>
  <si>
    <t xml:space="preserve">CONFORME DESENHO: </t>
  </si>
  <si>
    <t>ÁREA DA BACIA DE DETENÇÃO</t>
  </si>
  <si>
    <t>SOLO MOLE</t>
  </si>
  <si>
    <t>MATERIAL UTILIZADO PARA ATERRO</t>
  </si>
  <si>
    <t>ATERRO COMPACTADO</t>
  </si>
  <si>
    <t>GABIÃO TIPO CAIXA (h=0,50m)</t>
  </si>
  <si>
    <t>GABIÃO TIPO CAIXA (h=1,0m)</t>
  </si>
  <si>
    <t>GABIÃO TIPO COLCHÃO</t>
  </si>
  <si>
    <t>SELO DE ARGILA</t>
  </si>
  <si>
    <t>LASTRO DE RACHÃO</t>
  </si>
  <si>
    <t>CONCRETO MAGRO</t>
  </si>
  <si>
    <t>FILTRO GEOTÊXTIL (RT 10kN/m)</t>
  </si>
  <si>
    <t>FILTRO GEOTÊXTIL (RT 20kN/m)</t>
  </si>
  <si>
    <t>MICROGRELHA 45x45kN/m</t>
  </si>
  <si>
    <t>DISSIPADOR A3</t>
  </si>
  <si>
    <t>CONCRETO FCK = 40MPA</t>
  </si>
  <si>
    <t>CONFORME DESENHO: PLA-A4-SODF-EST-01-03-00</t>
  </si>
  <si>
    <t>LAJE PISO</t>
  </si>
  <si>
    <t>PAREDE 1</t>
  </si>
  <si>
    <t>PAREDE 2</t>
  </si>
  <si>
    <t>PAREDE 3</t>
  </si>
  <si>
    <t>PAREDE 4</t>
  </si>
  <si>
    <t>CONFORME DESENHO: PLA-A4-SODF-EST-02-03-00</t>
  </si>
  <si>
    <t>CONFORME PROJETO</t>
  </si>
  <si>
    <t>Considerada 1 placa a ser instalada conforme recomendações da SODF</t>
  </si>
  <si>
    <t>CERCA DA BACIA DE DETENÇÃO</t>
  </si>
  <si>
    <t>ÁREA 1</t>
  </si>
  <si>
    <t>ESCAVAÇÃO</t>
  </si>
  <si>
    <t>brita</t>
  </si>
  <si>
    <t>APOIO</t>
  </si>
  <si>
    <t>NEGATIVO SIGNIFICA QUE UTILIZOU DE OUTRO TRECHO PARA FAZER ATERRO MANUAL E REFORÇO</t>
  </si>
  <si>
    <t>TUBO</t>
  </si>
  <si>
    <t>CAIXA DE PASSAGEM</t>
  </si>
  <si>
    <t>PV´s</t>
  </si>
  <si>
    <t>ESCORAMENTO</t>
  </si>
  <si>
    <t>LOGRADOURO</t>
  </si>
  <si>
    <t>PROF. MONT.</t>
  </si>
  <si>
    <t>PROF. JUS.</t>
  </si>
  <si>
    <t>COMP</t>
  </si>
  <si>
    <t>DIAM</t>
  </si>
  <si>
    <t>PROF MED</t>
  </si>
  <si>
    <t>ESCADA DE ACESSO A VALA</t>
  </si>
  <si>
    <t>TALUDE</t>
  </si>
  <si>
    <t>LARGURA DO FUNDO DA VALA</t>
  </si>
  <si>
    <t>BOCA</t>
  </si>
  <si>
    <t>TUBO EXISTENTE (MM)</t>
  </si>
  <si>
    <t>ÁREA PAV</t>
  </si>
  <si>
    <t>TIPO DE PAV</t>
  </si>
  <si>
    <t>FURO REPRESENTATIVO</t>
  </si>
  <si>
    <t>1 = SOLO MOLE</t>
  </si>
  <si>
    <t>PROFUNDIDADE DO IMPENETRÁVEL</t>
  </si>
  <si>
    <t>NÍVEL DE ÁGUA</t>
  </si>
  <si>
    <t>LASTRO</t>
  </si>
  <si>
    <t>VOLUME DO TUBO EXISTENTE</t>
  </si>
  <si>
    <t>ESCAVAÇÃO TOTAL</t>
  </si>
  <si>
    <t>VERIFICAÇÃO</t>
  </si>
  <si>
    <t>PROF SOLO MOLE</t>
  </si>
  <si>
    <t>PROF 1  E 2 CATEGORIA</t>
  </si>
  <si>
    <t>3 CATEGORIA</t>
  </si>
  <si>
    <t>DEMOLIÇÃO DE PAVIMENTO ASFALT.</t>
  </si>
  <si>
    <t>DEMOLIÇÃO DE PAVIMENTO CONCRETO</t>
  </si>
  <si>
    <t>ESCAVAÇÃO SOLO MOLE
H&lt;1,5
L&lt;1,5</t>
  </si>
  <si>
    <t>ESCAVAÇÃO SOLO MOLE
1,5&lt;H&lt;3
L&lt;1,5</t>
  </si>
  <si>
    <t>ESCAVAÇÃO SOLO MOLE
3&lt;H&lt;4,5
L&lt;1,5</t>
  </si>
  <si>
    <t>ESCAVAÇÃO SOLO MOLe
H&lt;1,5
1,5&lt;L&lt;2,5</t>
  </si>
  <si>
    <t>ESCAVAÇÃO SOLO MOLE
1,5&lt;H&lt;3
1,5&lt;L&lt;2,5</t>
  </si>
  <si>
    <t>ESCAVAÇÃO SOLO MOLE
3&lt;H&lt;4,5
1,5&lt;L&lt;2,5</t>
  </si>
  <si>
    <t>ESCAVAÇÃO SOLO MOLE
4,5&lt;H&lt;6
1,5&lt;L&lt;2,5</t>
  </si>
  <si>
    <t>ESCAVAÇÃO 1ª E 2ª CAT.
H&lt;1,5
L&lt;1,5</t>
  </si>
  <si>
    <t>ESCAVAÇÃO 1ª E 2ª CAT.
1,5&lt;H&lt;3
L&lt;1,5</t>
  </si>
  <si>
    <t>ESCAVAÇÃO 1ª E 2ª CAT.
H&lt;1,5
1,5&lt;L&lt;2,5</t>
  </si>
  <si>
    <t>ESCAVAÇÃO 1ª E 2ª CAT.
1,5&lt;H&lt;3
1,5&lt;L&lt;2,5</t>
  </si>
  <si>
    <t>ESCAVAÇÃO 1ª E 2ª CAT.
3&lt;H&lt;4,5
1,5&lt;L&lt;2,5</t>
  </si>
  <si>
    <t>ESCAVAÇÃO 1ª E 2ª CAT.
H&lt;2
L&gt;2,5</t>
  </si>
  <si>
    <t>ESCAVAÇÃO 1ª E 2ª CAT.
2&lt;H&lt;4
L&gt;2,5</t>
  </si>
  <si>
    <t>ESCAVAÇÃO 1ª E 2ª CAT.
4&lt;H&lt;6
L&gt;2,5</t>
  </si>
  <si>
    <t>ROCHA</t>
  </si>
  <si>
    <t>ESGOTAMENTO</t>
  </si>
  <si>
    <t>REATERRO TOTAL</t>
  </si>
  <si>
    <t>FUNDO DE VALA
L&lt;1,5</t>
  </si>
  <si>
    <t>FUNDO DE VALA
L&gt;=1,5</t>
  </si>
  <si>
    <t>REATERRO REFORÇO</t>
  </si>
  <si>
    <t>REFORÇO C/ MATERIAL DE OUTRO TRECHO</t>
  </si>
  <si>
    <t>H APILOAMENTO MANUAL</t>
  </si>
  <si>
    <t>REATERRO MANUAL SEM EMPRÉSTIMO</t>
  </si>
  <si>
    <t>REATERRO COM MATERIAL DE OUTRO TRECHO DA ÁREA</t>
  </si>
  <si>
    <t>SUB-BASE (COM MATERIAL DA VALA)</t>
  </si>
  <si>
    <t>BASE DE BRITA</t>
  </si>
  <si>
    <t>ASFALTO</t>
  </si>
  <si>
    <t>REATERRO MEC TOTAL</t>
  </si>
  <si>
    <t>SOBRA PARA MECANIZADO NO TRECHO</t>
  </si>
  <si>
    <t>REATERRO MEC SEM EMPREST</t>
  </si>
  <si>
    <t>SOBRA PARA OUTRO TRECHO DA ÁREA</t>
  </si>
  <si>
    <t>REATERRO MEC COM EMPRESTIMO TOTAL</t>
  </si>
  <si>
    <t>REATERRO MEC
MATERIAL ENTRE TRECHO</t>
  </si>
  <si>
    <t>REATERRO MEC COM EMPRÉSTIMO DE OUTRA ÁREA</t>
  </si>
  <si>
    <t>BOTA FORA</t>
  </si>
  <si>
    <t>CAL</t>
  </si>
  <si>
    <t>ADUELAS</t>
  </si>
  <si>
    <t>H&lt;1,5
L&lt;1,5</t>
  </si>
  <si>
    <t>3,0&lt;H&lt;1,5
L&lt;1,5</t>
  </si>
  <si>
    <t>4,5&lt;H&lt;3,0
L&lt;1,5</t>
  </si>
  <si>
    <t>H&lt;1,5
2,5&lt;L&lt;1,5</t>
  </si>
  <si>
    <t>3,0&lt;H&lt;1,5
2,5&lt;L&lt;1,5</t>
  </si>
  <si>
    <t>4,5&lt;H&lt;3,0
2,5&lt;L&lt;1,5</t>
  </si>
  <si>
    <t>H&lt;1,5
3,5&lt;L&lt;2,5</t>
  </si>
  <si>
    <t>3,0&lt;H&lt;1,5
3,5&lt;L&lt;2,5</t>
  </si>
  <si>
    <t>4,5&lt;H&lt;3,0
3,5&lt;L&lt;2,5</t>
  </si>
  <si>
    <t>6&lt;H&lt;4,5
3,5&lt;L&lt;2,5</t>
  </si>
  <si>
    <t>(M³)</t>
  </si>
  <si>
    <t>(M²)</t>
  </si>
  <si>
    <t>Sh Mte. D'armas/Condomínio Estância Mte. D'armas V Mod 13/14</t>
  </si>
  <si>
    <t>ST-62</t>
  </si>
  <si>
    <t>ST-59</t>
  </si>
  <si>
    <t>ST-60</t>
  </si>
  <si>
    <t>32 Sh Mte. D'armas/Condomínio Estância Mte. D'armas V Mod 18/19</t>
  </si>
  <si>
    <t>ST-57</t>
  </si>
  <si>
    <t>21 Sh Mte. D'armas/Condomínio Estância Mte. D'armas V Mod 19/20</t>
  </si>
  <si>
    <t>SPT-12</t>
  </si>
  <si>
    <t>4 Sh Mte. D'armas/Condomínio Estância Mte. D'armas V Mod 2</t>
  </si>
  <si>
    <t>ST-61</t>
  </si>
  <si>
    <t>SPT-11</t>
  </si>
  <si>
    <t>SE NEGATIVO EDITAR MANUALMENTE A ESCAVAÇÃO MAIS PROFUNDA POR CONTA DO TUBO EXISTENTE</t>
  </si>
  <si>
    <t>VOLUME REAPROVEITÁVEL=</t>
  </si>
  <si>
    <t>ATERRO SAMAMBAIA</t>
  </si>
  <si>
    <t>Extensão</t>
  </si>
  <si>
    <t>C1</t>
  </si>
  <si>
    <t>C2</t>
  </si>
  <si>
    <t>CA1</t>
  </si>
  <si>
    <t>CA2</t>
  </si>
  <si>
    <t>CA3</t>
  </si>
  <si>
    <t>VOLUME DISPONÍVEL PARA REATERRO COM MATERIAL DO PRÓPRIO TRECHO</t>
  </si>
  <si>
    <t>ATERRO ESTRUTURAL</t>
  </si>
  <si>
    <t>EMPRÉSTIMO TOTAL DE OUTRAS ÁREAS</t>
  </si>
  <si>
    <t>SOBRA</t>
  </si>
  <si>
    <t>TUBO CONC.</t>
  </si>
  <si>
    <t>MATERIAL PARA OUTRA ÁREA</t>
  </si>
  <si>
    <t>REATERRO MEC
COM EMPRESTIMO DE OUTRO TRECHO</t>
  </si>
  <si>
    <t>Sh Mte. D'armas/Condomínio Estância Mte. D'armas V Mod 1</t>
  </si>
  <si>
    <t>ST-71</t>
  </si>
  <si>
    <t>Sh Mte. D'armas/Condomínio Estância Mte. D'armas V Mod 7/8</t>
  </si>
  <si>
    <t>ST-63</t>
  </si>
  <si>
    <t>ST-64</t>
  </si>
  <si>
    <t>ST-65</t>
  </si>
  <si>
    <t>Sh Mte. D'armas/Condomínio Estância Mte. D'armas V Mod 31</t>
  </si>
  <si>
    <t>31 Sh Mte. D'armas/Condomínio Estância Mte. D'armas II Mod I</t>
  </si>
  <si>
    <t>ST-68</t>
  </si>
  <si>
    <t>ST-69</t>
  </si>
  <si>
    <t>Sh Mte. D'armas/Condomínio Estância Mte. D'armas V Mod I Mod</t>
  </si>
  <si>
    <t>ST-70</t>
  </si>
  <si>
    <t>Sh Mte. D'armas/Condomínio Estância Mte. D'armas II Mod I</t>
  </si>
  <si>
    <t>Estância V Módulo 31 Cj. F</t>
  </si>
  <si>
    <t>SPT-16</t>
  </si>
  <si>
    <t>Sh Mte. D'armas/Condomínio Estância Mte. D'armas V Mod 9/A</t>
  </si>
  <si>
    <t>ST-73</t>
  </si>
  <si>
    <t>ST-74</t>
  </si>
  <si>
    <t>ST-75</t>
  </si>
  <si>
    <t>ST-76</t>
  </si>
  <si>
    <t>12 Sh Mte. D'armas/Condomínio Estância Mte. D'armas II Mod B</t>
  </si>
  <si>
    <t>Condomínio Estância Mte. D'armas III Mod 4</t>
  </si>
  <si>
    <t>ST-80</t>
  </si>
  <si>
    <t>16 Sh Mte. D'armas/Condomínio Estância Mte. D'armas II Mod B</t>
  </si>
  <si>
    <t>7 Sh Mte. D'armas/Condomínio Estância Mte. D'armas II Mod e/F</t>
  </si>
  <si>
    <t>ST-79</t>
  </si>
  <si>
    <t>31 Condomínio Estância Mte. D'armas III</t>
  </si>
  <si>
    <t>ST-83</t>
  </si>
  <si>
    <t>Sh Mte. D'armas/Condomínio Estância Mte. D'armas II Mod H</t>
  </si>
  <si>
    <t>ST-84</t>
  </si>
  <si>
    <t>7 Sh Mte. D'armas/Condomínio Estância Mte. D'armas II Mod D/e</t>
  </si>
  <si>
    <t>ST-89</t>
  </si>
  <si>
    <t>ST-90</t>
  </si>
  <si>
    <t>ST-91</t>
  </si>
  <si>
    <t>3 Condomínio Estância Mte. D'armas III</t>
  </si>
  <si>
    <t>ST-101</t>
  </si>
  <si>
    <t>Condomínio Estância Mte. D'armas IV Mod 7</t>
  </si>
  <si>
    <t>ST-97</t>
  </si>
  <si>
    <t>Condomínio Estância Mte. D'armas IV</t>
  </si>
  <si>
    <t>ST-104</t>
  </si>
  <si>
    <t>Condomínio Estância Mte. D'armas IV Mod 2</t>
  </si>
  <si>
    <t>ST-110</t>
  </si>
  <si>
    <t>ST-111</t>
  </si>
  <si>
    <t>SPT-29</t>
  </si>
  <si>
    <t>ST-103</t>
  </si>
  <si>
    <t>SPT-23</t>
  </si>
  <si>
    <t>SPT-22</t>
  </si>
  <si>
    <t>LOCAL</t>
  </si>
  <si>
    <t>1 CAT</t>
  </si>
  <si>
    <t>REAPROVEITAMENTO</t>
  </si>
  <si>
    <t>EMPRESTIMO</t>
  </si>
  <si>
    <t>SOLO REMANESCENTE P/
REAPROVEITAMENTO</t>
  </si>
  <si>
    <t>REDE ÁREA 1</t>
  </si>
  <si>
    <t>LIGAÇÕES PV-BL</t>
  </si>
  <si>
    <t>VIA 1</t>
  </si>
  <si>
    <t>VIA 2</t>
  </si>
  <si>
    <t>VIA 3</t>
  </si>
  <si>
    <t>SALDO</t>
  </si>
  <si>
    <t>ÁREA 2</t>
  </si>
  <si>
    <t>REDE ÁREA 2</t>
  </si>
  <si>
    <t>REDE ÁREA 3</t>
  </si>
  <si>
    <t>REDE ÁREA 4</t>
  </si>
  <si>
    <t>VIA 4</t>
  </si>
  <si>
    <t>VIA 5</t>
  </si>
  <si>
    <t>VIA 6</t>
  </si>
  <si>
    <t>VIA 7</t>
  </si>
  <si>
    <t>VIA 8</t>
  </si>
  <si>
    <t>*SE NEGATIVO APLICAR DESCONTO MANUALMENTE NA ULTIMA CAMADA</t>
  </si>
  <si>
    <t>OBS: EM TRECHOS ONDE O PV É PROJETADO E A BOCA É EXISTENTE OU AMPLIADA, CONSIDEROU-SE UMA EXTENSÃO DE TUBO A SER REPOSTO (50% DA EXTENSÃO)(TUBO ESCAVADO NA DEMOLIÇÃO DO PV ANTERIOR)</t>
  </si>
  <si>
    <t>ATERRO ESTÁ NO REATERRO SEM EMPREST</t>
  </si>
  <si>
    <t>DEMOLIÇÃO DE 
PAREDES AMPLIAÇÃO</t>
  </si>
  <si>
    <t>DEMOLIÇÃO DE 
CINTAS PARA AMPLIAÇÃO</t>
  </si>
  <si>
    <t>CONSTRUÇÃO DAS PAREDES DA BOCA DE LOBO (M²)</t>
  </si>
  <si>
    <t>CONSTRUÇÃO DO CONCRETO (CINTAS E PILARES, TAMPAS E FUNDO) (M³)</t>
  </si>
  <si>
    <t>FORMA DO CONCRETO (CINTAS E PILARES, TAMPAS E FUNDO) (M³)</t>
  </si>
  <si>
    <t>EXTENSÃO DA SARJETA</t>
  </si>
  <si>
    <t>DEMOLIÇÃO DO PAVIMENTO</t>
  </si>
  <si>
    <t>DEMOLIÇÃO DA PAREDE DO POÇO EXISTENTE PARA CONEXÃO A BL NOVO</t>
  </si>
  <si>
    <t>TIPO DE BOCA</t>
  </si>
  <si>
    <t>COMP. DA LIGAÇÃO</t>
  </si>
  <si>
    <t>DIAM DO TUBO DE LIGAÇÃO</t>
  </si>
  <si>
    <t>LARGURA DO FUNDO DA VALA ESCAVADO</t>
  </si>
  <si>
    <t>TUBO EXISTENTE (MM) DE LIGAÇÃO</t>
  </si>
  <si>
    <t>ÁREA PAV. DEMOLIDA</t>
  </si>
  <si>
    <t>VOLUME DO TUBO EXISTENTE
NA ESCAVAÇÃO</t>
  </si>
  <si>
    <t>ESCAVAÇÃO 1ª E 2ª CAT.
3&lt;H&lt;4,5
L&lt;1,5</t>
  </si>
  <si>
    <t>TEM ROCHA?</t>
  </si>
  <si>
    <t>REATERRO MEC
COM EMPRESTIMO DE OUTRO TRECHO DA ÁREA</t>
  </si>
  <si>
    <t>1,5&lt;H&lt;3
L&lt;1,5</t>
  </si>
  <si>
    <t>3&lt;H&lt;4,5
L&lt;1,5</t>
  </si>
  <si>
    <t>ESCAVAÇÃO TOTAL (M³)</t>
  </si>
  <si>
    <t>ÁREA DE ESCAVAÇÃO (M²)</t>
  </si>
  <si>
    <t>ÁREA OCUPADA PELAS BOCAS CONSTRUIDAS (M²)</t>
  </si>
  <si>
    <t>PROF DA BOCA (M)</t>
  </si>
  <si>
    <t>PROF 1  E 2 CATEGORIA (M)</t>
  </si>
  <si>
    <t>PROF SOLO MOLE (M)</t>
  </si>
  <si>
    <t>PROF DA ROCHA (M)</t>
  </si>
  <si>
    <t>ESCAVAÇÃO 1ª E 2ª CAT.
H&lt;1,5
1,5&lt;L&lt;2,5
 (M³)</t>
  </si>
  <si>
    <t>ESCAVAÇÃO 1ª E 2ª CAT.
1,5&lt;H&lt;3
1,5&lt;L&lt;2,5
 (M³)</t>
  </si>
  <si>
    <t>ESCAVAÇÃO SOLO MOLE
H&lt;1,5
1,5&lt;L&lt;2,5
 (M³)</t>
  </si>
  <si>
    <t>ESCAVAÇÃO SOLO MOLE
1,5&lt;H&lt;3
1,5&lt;L&lt;2,5
 (M³)</t>
  </si>
  <si>
    <t>ESCAVAÇÃO EM ROCHA (M³)</t>
  </si>
  <si>
    <t>VOLUME DO CONCRETO DA SARJETA</t>
  </si>
  <si>
    <t>ATERRO TOTAL (M³)</t>
  </si>
  <si>
    <t>ATERRO SEM EMPRESTIMO (M³)</t>
  </si>
  <si>
    <t>ATERRO COM EMPRESTIMO (M³)</t>
  </si>
  <si>
    <t>COMPRIMENTO PARA ESCORAR (M)</t>
  </si>
  <si>
    <t>PROF. PARA ESCORAR (M)</t>
  </si>
  <si>
    <t>H&lt;1,5
1,5&lt;L&lt;2,5</t>
  </si>
  <si>
    <t>3,0&lt;H&lt;1,5
1,5&lt;L&lt;2,5</t>
  </si>
  <si>
    <t>ST-50</t>
  </si>
  <si>
    <t>ST-51</t>
  </si>
  <si>
    <t>ST-55</t>
  </si>
  <si>
    <t>ST-56</t>
  </si>
  <si>
    <t>PV3A-21</t>
  </si>
  <si>
    <t>ST-52</t>
  </si>
  <si>
    <t>ST-53</t>
  </si>
  <si>
    <t>ST-49</t>
  </si>
  <si>
    <t>ST-58</t>
  </si>
  <si>
    <t>MATERIAL DISPONIVEL PARA REAPROVEITAMENTO</t>
  </si>
  <si>
    <t>EMPRÉSTIMO TOTAL DA ESCAVAÇÃO DA VIA DA ÁREA 1</t>
  </si>
  <si>
    <t>MATERIAL DE EMPRESTIMO</t>
  </si>
  <si>
    <t>DEMOLIÇÃO DE PAREDES AMPLIAÇÃO</t>
  </si>
  <si>
    <t>ST-78</t>
  </si>
  <si>
    <t>ST-66</t>
  </si>
  <si>
    <t>ST-67</t>
  </si>
  <si>
    <t>SPT-14</t>
  </si>
  <si>
    <t>ST-72</t>
  </si>
  <si>
    <t>ST-77</t>
  </si>
  <si>
    <t>EMPRÉSTIMO TOTAL</t>
  </si>
  <si>
    <t>ASLFALTO</t>
  </si>
  <si>
    <t>ST-81</t>
  </si>
  <si>
    <t>ST-82</t>
  </si>
  <si>
    <t>ST-86</t>
  </si>
  <si>
    <t>ST-92</t>
  </si>
  <si>
    <t>X</t>
  </si>
  <si>
    <t>ST-88</t>
  </si>
  <si>
    <t>ST-102</t>
  </si>
  <si>
    <t>ST-87</t>
  </si>
  <si>
    <t>ST-85</t>
  </si>
  <si>
    <t>SPT-17</t>
  </si>
  <si>
    <t>ST-98</t>
  </si>
  <si>
    <t>ST-99</t>
  </si>
  <si>
    <t>ST-100</t>
  </si>
  <si>
    <t>ST-94</t>
  </si>
  <si>
    <t>ST-95</t>
  </si>
  <si>
    <t>ST-96</t>
  </si>
  <si>
    <t>Planilha de Cálculo de Rede de Drenagem Pluvial</t>
  </si>
  <si>
    <t>Local:</t>
  </si>
  <si>
    <t>Setor Habitacional Mestre D'Armas - Área 01</t>
  </si>
  <si>
    <t xml:space="preserve"> </t>
  </si>
  <si>
    <t>Rede 1</t>
  </si>
  <si>
    <t>PROFUNDIDADE DE SAÍDA</t>
  </si>
  <si>
    <t>Descrição dos PV's</t>
  </si>
  <si>
    <t>Cota Terreno</t>
  </si>
  <si>
    <t>Área de Contribuição (ha)</t>
  </si>
  <si>
    <t>Coef.</t>
  </si>
  <si>
    <t>Tempo</t>
  </si>
  <si>
    <t>Intensidade</t>
  </si>
  <si>
    <t>Comprim. (m)</t>
  </si>
  <si>
    <t>Vazão</t>
  </si>
  <si>
    <t>Seção</t>
  </si>
  <si>
    <t>Declividade</t>
  </si>
  <si>
    <t>Velocidade</t>
  </si>
  <si>
    <t>Y/D</t>
  </si>
  <si>
    <t>Profundidade do PV</t>
  </si>
  <si>
    <t>Cota Geratriz Inf. Tubo</t>
  </si>
  <si>
    <t>Degrau</t>
  </si>
  <si>
    <t>PAVIMENTO</t>
  </si>
  <si>
    <t>REDE EXISTENTE</t>
  </si>
  <si>
    <t>VOLUME DO POÇO EXISTENTE</t>
  </si>
  <si>
    <t>VOLUME DO TUBO E</t>
  </si>
  <si>
    <t>PV ANTERIOR</t>
  </si>
  <si>
    <t>PROF. PV ANTERIOR</t>
  </si>
  <si>
    <t>BOCA DE LOBO PROJETADO</t>
  </si>
  <si>
    <t>PV 600</t>
  </si>
  <si>
    <t>PV 800</t>
  </si>
  <si>
    <t>PV 1000</t>
  </si>
  <si>
    <t>PV 1200</t>
  </si>
  <si>
    <t>PV 1500</t>
  </si>
  <si>
    <t>GALERIA 1650</t>
  </si>
  <si>
    <t>GALERIA 1650
RECOBRIMENTO ATÉ 2M</t>
  </si>
  <si>
    <t>GALERIA 1650
RECOBRIMENTO 2 ATÉ 3M</t>
  </si>
  <si>
    <t>GALERIA 1650
RECOBRIMENTO 3 ATÉ 4M</t>
  </si>
  <si>
    <t>VOLUME DE ALVENARIA DO POÇO DE VISITA</t>
  </si>
  <si>
    <t>Mont. (m)</t>
  </si>
  <si>
    <t>Jus. (m)</t>
  </si>
  <si>
    <t>Trecho</t>
  </si>
  <si>
    <t>Escoam. C</t>
  </si>
  <si>
    <t>Manning</t>
  </si>
  <si>
    <t>Concent. (min)</t>
  </si>
  <si>
    <t>Chuva (mm/h)</t>
  </si>
  <si>
    <t>Entre PV</t>
  </si>
  <si>
    <t>Calculada (l/s)</t>
  </si>
  <si>
    <t>D1</t>
  </si>
  <si>
    <t>D2</t>
  </si>
  <si>
    <t>Adotada (%)</t>
  </si>
  <si>
    <t>(m/s)</t>
  </si>
  <si>
    <t>(m)</t>
  </si>
  <si>
    <t>(mm)</t>
  </si>
  <si>
    <t>(m³)</t>
  </si>
  <si>
    <t>(un)</t>
  </si>
  <si>
    <t>PV1.1-&gt;PV2.1</t>
  </si>
  <si>
    <t>PV4-29</t>
  </si>
  <si>
    <t>PV2.1-&gt;PV3.1</t>
  </si>
  <si>
    <t>-</t>
  </si>
  <si>
    <t>PV3.1-&gt;PV4.1</t>
  </si>
  <si>
    <t>PV5-29</t>
  </si>
  <si>
    <t>PV4.1-&gt;PV5.1</t>
  </si>
  <si>
    <t>PV5.1-&gt;PV6.1</t>
  </si>
  <si>
    <t>PV6-29</t>
  </si>
  <si>
    <t>PV6.1-&gt;PV7.1</t>
  </si>
  <si>
    <t>PV7.1-&gt;PV8.1</t>
  </si>
  <si>
    <t>PV7-29</t>
  </si>
  <si>
    <t>PV8.1-&gt;PV9.1</t>
  </si>
  <si>
    <t>PV9.1-&gt;PV10.1</t>
  </si>
  <si>
    <t>PV8-29</t>
  </si>
  <si>
    <t>PV10.1-&gt;PV11.1</t>
  </si>
  <si>
    <t>PV11.1-&gt;PV12.1</t>
  </si>
  <si>
    <t>PV9-29</t>
  </si>
  <si>
    <t>PV12.1-&gt;PV13.1</t>
  </si>
  <si>
    <t>PV10-29</t>
  </si>
  <si>
    <t>PV13.1-&gt;PV14.1</t>
  </si>
  <si>
    <t>PV14.1-&gt;PV15.1</t>
  </si>
  <si>
    <t>PV12-21</t>
  </si>
  <si>
    <t>PV15.1-&gt;PV16.1</t>
  </si>
  <si>
    <t>PV16.1-&gt;PV17.1</t>
  </si>
  <si>
    <t>PV13-21</t>
  </si>
  <si>
    <t>PV17.1-&gt;PV18.1</t>
  </si>
  <si>
    <t>PV14-21</t>
  </si>
  <si>
    <t>PV18.1-&gt;PV19.1</t>
  </si>
  <si>
    <t>PV15-21</t>
  </si>
  <si>
    <t>PV19.1-&gt;PV20.1</t>
  </si>
  <si>
    <t>TERRENO NATURAL</t>
  </si>
  <si>
    <t>PV20.1-&gt;PV21.1</t>
  </si>
  <si>
    <t>PV21.1-&gt;PV22.1</t>
  </si>
  <si>
    <t>PV2-29</t>
  </si>
  <si>
    <t>PV3-29</t>
  </si>
  <si>
    <t>Setor Habitacional Mestre D'Armas - Área 02</t>
  </si>
  <si>
    <t>TR=</t>
  </si>
  <si>
    <t>anos</t>
  </si>
  <si>
    <t>Tc=</t>
  </si>
  <si>
    <t>min</t>
  </si>
  <si>
    <t>Rede 2</t>
  </si>
  <si>
    <t>PV1-38</t>
  </si>
  <si>
    <t>PV2-38</t>
  </si>
  <si>
    <t>PV3-38</t>
  </si>
  <si>
    <t>PV4-38</t>
  </si>
  <si>
    <t>PV5-38</t>
  </si>
  <si>
    <t>PV6-38</t>
  </si>
  <si>
    <t>PV7-38</t>
  </si>
  <si>
    <t>PV8-38</t>
  </si>
  <si>
    <t>PV9-38</t>
  </si>
  <si>
    <t>PV10-38</t>
  </si>
  <si>
    <t>PV11-38</t>
  </si>
  <si>
    <t>PV12-38</t>
  </si>
  <si>
    <t>PV13-38</t>
  </si>
  <si>
    <t>PV14-38</t>
  </si>
  <si>
    <t>PV22.1-&gt;PV23.1</t>
  </si>
  <si>
    <t>PV15-38</t>
  </si>
  <si>
    <t>PV23.1-&gt;PV24.1</t>
  </si>
  <si>
    <t>PV16-38</t>
  </si>
  <si>
    <t>PV24.1-&gt;PV25.1</t>
  </si>
  <si>
    <t>PV17-38</t>
  </si>
  <si>
    <t>PV25.1-&gt;PV26.1</t>
  </si>
  <si>
    <t>PV18-38</t>
  </si>
  <si>
    <t>PV1.2-&gt;PV2.2</t>
  </si>
  <si>
    <t>PV14-48</t>
  </si>
  <si>
    <t>PV2.2-&gt;PV3.2</t>
  </si>
  <si>
    <t>PV15-48</t>
  </si>
  <si>
    <t>PV3.2-&gt;PV4.2</t>
  </si>
  <si>
    <t>PV16-48</t>
  </si>
  <si>
    <t>PV4.2-&gt;PV5.2</t>
  </si>
  <si>
    <t>PV17-48</t>
  </si>
  <si>
    <t>PV5.2-&gt;PV6.2</t>
  </si>
  <si>
    <t>PV18-48</t>
  </si>
  <si>
    <t>PV1.3-&gt;PV6.2</t>
  </si>
  <si>
    <t>PV6.2-&gt;PV26.1</t>
  </si>
  <si>
    <t>PV19-38</t>
  </si>
  <si>
    <t>PV26.1-&gt;PV27.1</t>
  </si>
  <si>
    <t>PV27.1-&gt;PV28.1</t>
  </si>
  <si>
    <t>PV28.1-&gt;PV22-38 Ex</t>
  </si>
  <si>
    <t>PV5-48</t>
  </si>
  <si>
    <t>PV6-48</t>
  </si>
  <si>
    <t>PV7-48</t>
  </si>
  <si>
    <t>PV8-48</t>
  </si>
  <si>
    <t>PV9-48</t>
  </si>
  <si>
    <t>PV10-48</t>
  </si>
  <si>
    <t>Setor Habitacional Mestre D'Armas - Área 03</t>
  </si>
  <si>
    <t>PV1.1-&gt;PV1-56</t>
  </si>
  <si>
    <t>PV3-59</t>
  </si>
  <si>
    <t>PV4-59</t>
  </si>
  <si>
    <t>PV5-59</t>
  </si>
  <si>
    <t>PV1.1-&gt;PV1-55</t>
  </si>
  <si>
    <t>PV1-55</t>
  </si>
  <si>
    <t>PV1.1-&gt;PV1-58</t>
  </si>
  <si>
    <t>RD-5</t>
  </si>
  <si>
    <t>PV1.1-&gt;PV1-62</t>
  </si>
  <si>
    <t>PV14-59</t>
  </si>
  <si>
    <t>PV15-59</t>
  </si>
  <si>
    <t>PV3.1-&gt;PV17-59</t>
  </si>
  <si>
    <t>PV16-59</t>
  </si>
  <si>
    <t>PV1.1-&gt;PV1-57</t>
  </si>
  <si>
    <t>Setor Habitacional Mestre D'Armas - Área 04</t>
  </si>
  <si>
    <t>PV3-67</t>
  </si>
  <si>
    <t>PV4-67</t>
  </si>
  <si>
    <t>PV5-67</t>
  </si>
  <si>
    <t>PV6-67</t>
  </si>
  <si>
    <t>PV7-67</t>
  </si>
  <si>
    <t>PV8-67</t>
  </si>
  <si>
    <t>PV9-67</t>
  </si>
  <si>
    <t>PV10-67</t>
  </si>
  <si>
    <t>PV11-67</t>
  </si>
  <si>
    <t>PV12-67</t>
  </si>
  <si>
    <t>PV13-67</t>
  </si>
  <si>
    <t>PV14-67</t>
  </si>
  <si>
    <t>PV10-76</t>
  </si>
  <si>
    <t>PV11-76</t>
  </si>
  <si>
    <t>PV3.2-&gt;PV23.1</t>
  </si>
  <si>
    <t>PV12-76</t>
  </si>
  <si>
    <t>PV15-67</t>
  </si>
  <si>
    <t>PV16-67</t>
  </si>
  <si>
    <t>PV17-67</t>
  </si>
  <si>
    <t>PV1.3-&gt;PV2.3</t>
  </si>
  <si>
    <t>PV3-85</t>
  </si>
  <si>
    <t>PV2.3-&gt;PV3.3</t>
  </si>
  <si>
    <t>PV3.3-&gt;PV4.3</t>
  </si>
  <si>
    <t>PV4-85</t>
  </si>
  <si>
    <t>PV4.3-&gt;PV5.3</t>
  </si>
  <si>
    <t>PV5.3-&gt;PV6.3</t>
  </si>
  <si>
    <t>PV5-85</t>
  </si>
  <si>
    <t>PV6.3-&gt;PV7.3</t>
  </si>
  <si>
    <t>PV7.3-&gt;PV8.3</t>
  </si>
  <si>
    <t>PV6-85</t>
  </si>
  <si>
    <t>PV8.3-&gt;PV9.3</t>
  </si>
  <si>
    <t>PV7-85</t>
  </si>
  <si>
    <t>PV9.3-&gt;PV10.3</t>
  </si>
  <si>
    <t>PV8-85</t>
  </si>
  <si>
    <t>PV10.3-&gt;PV11.3</t>
  </si>
  <si>
    <t>PV9-85</t>
  </si>
  <si>
    <t>PV11.3-&gt;PV12.3</t>
  </si>
  <si>
    <t>PV10-85</t>
  </si>
  <si>
    <t>PV12.3-&gt;PV13.3</t>
  </si>
  <si>
    <t>PV11-85</t>
  </si>
  <si>
    <t>PV13.3-&gt;PV26.1</t>
  </si>
  <si>
    <t>PV12-85</t>
  </si>
  <si>
    <t>PV18-67</t>
  </si>
  <si>
    <t>PV19-67</t>
  </si>
  <si>
    <t>PV28.1-&gt;PV29.1</t>
  </si>
  <si>
    <t>PV20-67</t>
  </si>
  <si>
    <t>PV29.1-&gt;PV30.1</t>
  </si>
  <si>
    <t>PV30.1-&gt;PV31.1</t>
  </si>
  <si>
    <t>PV31.1-&gt;PV32.1</t>
  </si>
  <si>
    <t>Cronograma Físico e Financeiro</t>
  </si>
  <si>
    <t>Total Por Etapa</t>
  </si>
  <si>
    <t>30 DIAS</t>
  </si>
  <si>
    <t>60 DIAS</t>
  </si>
  <si>
    <t>90 DIAS</t>
  </si>
  <si>
    <t>120 DIAS</t>
  </si>
  <si>
    <t>150 DIAS</t>
  </si>
  <si>
    <t>180 DIAS</t>
  </si>
  <si>
    <t>210 DIAS</t>
  </si>
  <si>
    <t>240 DIAS</t>
  </si>
  <si>
    <t>270 DIAS</t>
  </si>
  <si>
    <t>Porcentagem</t>
  </si>
  <si>
    <t>Custo</t>
  </si>
  <si>
    <t>Porcentagem Acumulado</t>
  </si>
  <si>
    <t>Custo Acumulado</t>
  </si>
  <si>
    <t>CLASSIFICAÇÃO DA CURVA ABC</t>
  </si>
  <si>
    <t>A</t>
  </si>
  <si>
    <t>B</t>
  </si>
  <si>
    <t>C</t>
  </si>
  <si>
    <t>CÓD.
 ABC</t>
  </si>
  <si>
    <t>UNID.</t>
  </si>
  <si>
    <t>UNIT. S/ BDI 
(R$)</t>
  </si>
  <si>
    <t>UNIT. C/ BDI (R$)</t>
  </si>
  <si>
    <t>TOTAL C/ BDI                             (R$)</t>
  </si>
  <si>
    <t>%         PARCIAL</t>
  </si>
  <si>
    <t>% 
ACUM.</t>
  </si>
  <si>
    <t>CLASSIF.</t>
  </si>
  <si>
    <t>Composições Analíticas com Preço Unitário</t>
  </si>
  <si>
    <t>Composições Principais</t>
  </si>
  <si>
    <t>Tipo</t>
  </si>
  <si>
    <t>Composição</t>
  </si>
  <si>
    <t>SEDI - SERVIÇOS DIVERSOS</t>
  </si>
  <si>
    <t>Composição Auxiliar</t>
  </si>
  <si>
    <t xml:space="preserve"> 95418 </t>
  </si>
  <si>
    <t>CURSO DE CAPACITAÇÃO PARA ENGENHEIRO CIVIL DE OBRA SÊNIOR (ENCARGOS COMPLEMENTARES) - MENSALISTA</t>
  </si>
  <si>
    <t>Insumo</t>
  </si>
  <si>
    <t xml:space="preserve"> 00040814 </t>
  </si>
  <si>
    <t>ENGENHEIRO CIVIL DE OBRA SENIOR (MENSALISTA)</t>
  </si>
  <si>
    <t>Mão de Obra</t>
  </si>
  <si>
    <t xml:space="preserve"> 00040863 </t>
  </si>
  <si>
    <t>Material</t>
  </si>
  <si>
    <t xml:space="preserve"> 00040864 </t>
  </si>
  <si>
    <t xml:space="preserve"> 00043474 </t>
  </si>
  <si>
    <t>FERRAMENTAS - FAMILIA ENGENHEIRO CIVIL - MENSALISTA (ENCARGOS COMPLEMENTARES - COLETADO CAIXA)</t>
  </si>
  <si>
    <t>Equipamento</t>
  </si>
  <si>
    <t xml:space="preserve"> 00043498 </t>
  </si>
  <si>
    <t>EPI - FAMILIA ENGENHEIRO CIVIL - MENSALISTA (ENCARGOS COMPLEMENTARES - COLETADO CAIXA)</t>
  </si>
  <si>
    <t xml:space="preserve"> 95417 </t>
  </si>
  <si>
    <t>CURSO DE CAPACITAÇÃO PARA ENGENHEIRO CIVIL DE OBRA PLENO (ENCARGOS COMPLEMENTARES) - MENSALISTA</t>
  </si>
  <si>
    <t xml:space="preserve"> 00040813 </t>
  </si>
  <si>
    <t>ENGENHEIRO CIVIL DE OBRA PLENO (MENSALISTA)</t>
  </si>
  <si>
    <t xml:space="preserve"> 100536 </t>
  </si>
  <si>
    <t>CURSO DE CAPACITAÇÃO PARA TECNICO DE EDIFICACOES (ENCARGOS COMPLEMENTARES) - MENSALISTA</t>
  </si>
  <si>
    <t xml:space="preserve"> 00040946 </t>
  </si>
  <si>
    <t>TECNICO DE EDIFICACOES (MENSALISTA)</t>
  </si>
  <si>
    <t xml:space="preserve"> 00043470 </t>
  </si>
  <si>
    <t>FERRAMENTAS - FAMILIA ALMOXARIFE - MENSALISTA (ENCARGOS COMPLEMENTARES - COLETADO CAIXA)</t>
  </si>
  <si>
    <t xml:space="preserve"> 00043494 </t>
  </si>
  <si>
    <t>EPI - FAMILIA ALMOXARIFE - MENSALISTA (ENCARGOS COMPLEMENTARES - COLETADO CAIXA)</t>
  </si>
  <si>
    <t xml:space="preserve"> 00043481 </t>
  </si>
  <si>
    <t>FERRAMENTAS - FAMILIA TOPOGRAFO - MENSALISTA (ENCARGOS COMPLEMENTARES - COLETADO CAIXA)</t>
  </si>
  <si>
    <t xml:space="preserve"> 00043505 </t>
  </si>
  <si>
    <t>EPI - FAMILIA TOPOGRAFO - MENSALISTA (ENCARGOS COMPLEMENTARES - COLETADO CAIXA)</t>
  </si>
  <si>
    <t>CHOR - CUSTOS HORÁRIOS DE MÁQUINAS E EQUIPAMENTOS</t>
  </si>
  <si>
    <t>Equipamentos</t>
  </si>
  <si>
    <t>Quantidade</t>
  </si>
  <si>
    <t>Utilização</t>
  </si>
  <si>
    <t>Custo Operacional</t>
  </si>
  <si>
    <t>Custo Horário</t>
  </si>
  <si>
    <t>Operativa</t>
  </si>
  <si>
    <t>Improdutiva</t>
  </si>
  <si>
    <t>E9093</t>
  </si>
  <si>
    <t>Veículo leve - 53 kW (sem motorista)</t>
  </si>
  <si>
    <t>Custo Horário de Equipamentos =&gt;</t>
  </si>
  <si>
    <t>Custo Horário de Execução =&gt;</t>
  </si>
  <si>
    <t>Fator de Influencia da Chuva - FIC =&gt;</t>
  </si>
  <si>
    <t>Custo do FIC =&gt;</t>
  </si>
  <si>
    <t>Produção de Equipe =&gt;</t>
  </si>
  <si>
    <t>Custo Unitário de Execução =&gt;</t>
  </si>
  <si>
    <t xml:space="preserve"> 95416 </t>
  </si>
  <si>
    <t>CURSO DE CAPACITAÇÃO PARA AUXILIAR DE ESCRITÓRIO (ENCARGOS COMPLEMENTARES) - MENSALISTA</t>
  </si>
  <si>
    <t xml:space="preserve"> 00040812 </t>
  </si>
  <si>
    <t>AUXILIAR DE ESCRITORIO (MENSALISTA)</t>
  </si>
  <si>
    <t>CANT - CANTEIRO DE OBRAS</t>
  </si>
  <si>
    <t xml:space="preserve"> VIGIA ADM AUX 2 </t>
  </si>
  <si>
    <t>JORNADA NOTURNA</t>
  </si>
  <si>
    <t xml:space="preserve"> VIGIA ADM AUX 3 </t>
  </si>
  <si>
    <t>ADICIONAL NOTURNO</t>
  </si>
  <si>
    <t xml:space="preserve"> 101372 </t>
  </si>
  <si>
    <t>CURSO DE CAPACITAÇÃO PARA VIGIA DIURNO (ENCARGOS COMPLEMENTARES) - MENSALISTA</t>
  </si>
  <si>
    <t xml:space="preserve"> 00040861 </t>
  </si>
  <si>
    <t xml:space="preserve"> 00040862 </t>
  </si>
  <si>
    <t xml:space="preserve"> 00041096 </t>
  </si>
  <si>
    <t>VIGIA DIURNO (MENSALISTA)</t>
  </si>
  <si>
    <t xml:space="preserve"> 00043479 </t>
  </si>
  <si>
    <t>FERRAMENTAS - FAMILIA SERVENTE - MENSALISTA (ENCARGOS COMPLEMENTARES - COLETADO CAIXA)</t>
  </si>
  <si>
    <t xml:space="preserve"> 00043503 </t>
  </si>
  <si>
    <t>EPI - FAMILIA SERVENTE - MENSALISTA (ENCARGOS COMPLEMENTARES - COLETADO CAIXA)</t>
  </si>
  <si>
    <t xml:space="preserve"> 95422 </t>
  </si>
  <si>
    <t>CURSO DE CAPACITAÇÃO PARA ENCARREGADO GERAL DE OBRAS (ENCARGOS COMPLEMENTARES) - MENSALISTA</t>
  </si>
  <si>
    <t xml:space="preserve"> 00040818 </t>
  </si>
  <si>
    <t>ENCARREGADO GERAL DE OBRAS (MENSALISTA)</t>
  </si>
  <si>
    <t xml:space="preserve"> 00043475 </t>
  </si>
  <si>
    <t>FERRAMENTAS - FAMILIA ENCARREGADO GERAL - MENSALISTA (ENCARGOS COMPLEMENTARES - COLETADO CAIXA)</t>
  </si>
  <si>
    <t xml:space="preserve"> 00043499 </t>
  </si>
  <si>
    <t>EPI - FAMILIA ENCARREGADO GERAL - MENSALISTA (ENCARGOS COMPLEMENTARES - COLETADO CAIXA)</t>
  </si>
  <si>
    <t xml:space="preserve"> 95414 </t>
  </si>
  <si>
    <t>CURSO DE CAPACITAÇÃO PARA APONTADOR OU APROPRIADOR (ENCARGOS COMPLEMENTARES) - MENSALISTA</t>
  </si>
  <si>
    <t xml:space="preserve"> 00040810 </t>
  </si>
  <si>
    <t>APONTADOR OU APROPRIADOR DE MAO DE OBRA (MENSALISTA)</t>
  </si>
  <si>
    <t xml:space="preserve"> 95413 </t>
  </si>
  <si>
    <t>CURSO DE CAPACITAÇÃO PARA ALMOXARIFE (ENCARGOS COMPLEMENTARES) - MENSALISTA</t>
  </si>
  <si>
    <t xml:space="preserve"> 00040809 </t>
  </si>
  <si>
    <t>ALMOXARIFE (MENSALISTA)</t>
  </si>
  <si>
    <t xml:space="preserve"> 100310 </t>
  </si>
  <si>
    <t>CURSO DE CAPACITAÇÃO PARA AUXILIAR DE ALMOXARIFE (ENCARGOS COMPLEMENTARES) - MENSALISTA</t>
  </si>
  <si>
    <t xml:space="preserve"> 95424 </t>
  </si>
  <si>
    <t>CURSO DE CAPACITAÇÃO PARA TOPÓGRAFO (ENCARGOS COMPLEMENTARES) - MENSALISTA</t>
  </si>
  <si>
    <t xml:space="preserve"> 00040820 </t>
  </si>
  <si>
    <t>TOPOGRAFO (MENSALISTA)</t>
  </si>
  <si>
    <t xml:space="preserve"> 101301 </t>
  </si>
  <si>
    <t>CURSO DE CAPACITAÇÃO PARA AUXILIAR DE TOPÓGRAFO (ENCARGOS COMPLEMENTARES) - MENSALISTA</t>
  </si>
  <si>
    <t xml:space="preserve"> 00041093 </t>
  </si>
  <si>
    <t>AUXILIAR DE TOPOGRAFO (MENSALISTA)</t>
  </si>
  <si>
    <t>E9125</t>
  </si>
  <si>
    <t>Veículo tipo van furgão com capacidade de 1,54 t - 93 kW</t>
  </si>
  <si>
    <t xml:space="preserve"> 95409 </t>
  </si>
  <si>
    <t>CURSO DE CAPACITAÇÃO PARA DESENHISTA DETALHISTA (ENCARGOS COMPLEMENTARES) - MENSALISTA</t>
  </si>
  <si>
    <t xml:space="preserve"> 00014250 </t>
  </si>
  <si>
    <t>ENERGIA ELETRICA COMERCIAL, BAIXA TENSAO, RELATIVA AO CONSUMO DE ATE 100 KWH, INCLUINDO ICMS, PIS/PASEP E COFINS</t>
  </si>
  <si>
    <t>KWH</t>
  </si>
  <si>
    <t xml:space="preserve"> 00044480 </t>
  </si>
  <si>
    <t>TARIFA "A" ENTRE  0 E 20M3 FORNECIMENTO  D'AGUA</t>
  </si>
  <si>
    <t>Taxas</t>
  </si>
  <si>
    <t xml:space="preserve"> 53882 </t>
  </si>
  <si>
    <t>CAMINHÃO PIPA 6.000 L, PESO BRUTO TOTAL 13.000 KG, DISTÂNCIA ENTRE EIXOS 4,80 M, POTÊNCIA 189 CV INCLUSIVE TANQUE DE AÇO PARA TRANSPORTE DE ÁGUA, CAPACIDADE 6 M3 - MANUTENÇÃO. AF_06/2014</t>
  </si>
  <si>
    <t xml:space="preserve"> 5747 </t>
  </si>
  <si>
    <t>CAMINHÃO PIPA 6.000 L, PESO BRUTO TOTAL 13.000 KG, DISTÂNCIA ENTRE EIXOS 4,80 M, POTÊNCIA 189 CV INCLUSIVE TANQUE DE AÇO PARA TRANSPORTE DE ÁGUA, CAPACIDADE 6 M3 - MATERIAIS NA OPERAÇÃO. AF_06/2014</t>
  </si>
  <si>
    <t xml:space="preserve"> 88282 </t>
  </si>
  <si>
    <t>MOTORISTA DE CAMINHÃO COM ENCARGOS COMPLEMENTARES</t>
  </si>
  <si>
    <t xml:space="preserve"> 91359 </t>
  </si>
  <si>
    <t>CAMINHÃO PIPA 6.000 L, PESO BRUTO TOTAL 13.000 KG, DISTÂNCIA ENTRE EIXOS 4,80 M, POTÊNCIA 189 CV INCLUSIVE TANQUE DE AÇO PARA TRANSPORTE DE ÁGUA, CAPACIDADE 6 M3 - DEPRECIAÇÃO. AF_06/2014</t>
  </si>
  <si>
    <t xml:space="preserve"> 91360 </t>
  </si>
  <si>
    <t>CAMINHÃO PIPA 6.000 L, PESO BRUTO TOTAL 13.000 KG, DISTÂNCIA ENTRE EIXOS 4,80 M, POTÊNCIA 189 CV INCLUSIVE TANQUE DE AÇO PARA TRANSPORTE DE ÁGUA, CAPACIDADE 6 M3 - JUROS. AF_06/2014</t>
  </si>
  <si>
    <t xml:space="preserve"> 91361 </t>
  </si>
  <si>
    <t>CAMINHÃO PIPA 6.000 L, PESO BRUTO TOTAL 13.000 KG, DISTÂNCIA ENTRE EIXOS 4,80 M, POTÊNCIA 189 CV INCLUSIVE TANQUE DE AÇO PARA TRANSPORTE DE ÁGUA, CAPACIDADE 6 M3 - IMPOSTOS E SEGUROS. AF_06/2014</t>
  </si>
  <si>
    <t xml:space="preserve"> 73303 </t>
  </si>
  <si>
    <t>GRUPO GERADOR ESTACIONÁRIO, MOTOR DIESEL POTÊNCIA 170 KVA - DEPRECIAÇÃO. AF_02/2016</t>
  </si>
  <si>
    <t xml:space="preserve"> 73307 </t>
  </si>
  <si>
    <t>GRUPO GERADOR ESTACIONÁRIO, MOTOR DIESEL POTÊNCIA 170 KVA - MANUTENÇÃO. AF_02/2016</t>
  </si>
  <si>
    <t xml:space="preserve"> 73311 </t>
  </si>
  <si>
    <t>GRUPO GERADOR ESTACIONÁRIO, MOTOR DIESEL POTÊNCIA 170 KVA - MATERIAIS NA OPERAÇÃO. AF_02/2016</t>
  </si>
  <si>
    <t xml:space="preserve"> 93423 </t>
  </si>
  <si>
    <t>GRUPO GERADOR ESTACIONÁRIO, POTÊNCIA 150 KVA, MOTOR A DIESEL- DEPRECIAÇÃO. AF_03/2016</t>
  </si>
  <si>
    <t xml:space="preserve"> 93424 </t>
  </si>
  <si>
    <t>GRUPO GERADOR ESTACIONÁRIO, POTÊNCIA 150 KVA, MOTOR A DIESEL- JUROS. AF_03/2016</t>
  </si>
  <si>
    <t>SERP - SERVIÇOS PRELIMINARES</t>
  </si>
  <si>
    <t xml:space="preserve"> 88278 </t>
  </si>
  <si>
    <t>MONTADOR DE ESTRUTURA METÁLICA COM ENCARGOS COMPLEMENTARES</t>
  </si>
  <si>
    <t xml:space="preserve"> 88316 </t>
  </si>
  <si>
    <t>SERVENTE COM ENCARGOS COMPLEMENTARES</t>
  </si>
  <si>
    <t>TRAN - TRANSPORTES, CARGAS E DESCARGAS</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</si>
  <si>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</si>
  <si>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</si>
  <si>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</si>
  <si>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</si>
  <si>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89876 </t>
  </si>
  <si>
    <t>CAMINHÃO BASCULANTE 14 M3, COM CAVALO MECÂNICO DE CAPACIDADE MÁXIMA DE TRAÇÃO COMBINADO DE 36000 KG, POTÊNCIA 286 CV, INCLUSIVE SEMIREBOQUE COM CAÇAMBA METÁLICA - CHP DIURNO. AF_12/2014</t>
  </si>
  <si>
    <t xml:space="preserve"> 89877 </t>
  </si>
  <si>
    <t>CAMINHÃO BASCULANTE 14 M3, COM CAVALO MECÂNICO DE CAPACIDADE MÁXIMA DE TRAÇÃO COMBINADO DE 36000 KG, POTÊNCIA 286 CV, INCLUSIVE SEMIREBOQUE COM CAÇAMBA METÁLICA - CHI DIURNO. AF_12/2014</t>
  </si>
  <si>
    <t>E9524</t>
  </si>
  <si>
    <t>Motoniveladora - 93 kW</t>
  </si>
  <si>
    <t>D</t>
  </si>
  <si>
    <t>Atividades Auxiliares</t>
  </si>
  <si>
    <t>Unidade</t>
  </si>
  <si>
    <t>Preço Unitário</t>
  </si>
  <si>
    <t>Atividade Auxiliar</t>
  </si>
  <si>
    <t>Custo Total das Atividades =&gt;</t>
  </si>
  <si>
    <t>E</t>
  </si>
  <si>
    <t>Tempos Fixos</t>
  </si>
  <si>
    <t>Tempo Fixo</t>
  </si>
  <si>
    <t>M3508</t>
  </si>
  <si>
    <t>Carga, manobra e descarga de agregados ou solos em caminhão basculante de 6 m³ - carga com carregadeira de 1,72 m³ edescarga livre</t>
  </si>
  <si>
    <t>Custo Total dos Tempos Fixos =&gt;</t>
  </si>
  <si>
    <t>F</t>
  </si>
  <si>
    <t>Momento de Transporte</t>
  </si>
  <si>
    <t>Distância Média de Transporte (DMT)</t>
  </si>
  <si>
    <t>LN</t>
  </si>
  <si>
    <t>RP</t>
  </si>
  <si>
    <t>Camada granular (base ou sub-base) - Caminhão basculante com capacidade de 6 m³ - 136 kW</t>
  </si>
  <si>
    <t>tkm</t>
  </si>
  <si>
    <t>Custo total dos Momentos de Transportes =&gt;</t>
  </si>
  <si>
    <t xml:space="preserve"> 88907 </t>
  </si>
  <si>
    <t>ESCAVADEIRA HIDRÁULICA SOBRE ESTEIRAS, CAÇAMBA 1,20 M3, PESO OPERACIONAL 21 T, POTÊNCIA BRUTA 155 HP - CHP DIURNO. AF_06/2014</t>
  </si>
  <si>
    <t xml:space="preserve"> 88908 </t>
  </si>
  <si>
    <t>ESCAVADEIRA HIDRÁULICA SOBRE ESTEIRAS, CAÇAMBA 1,20 M3, PESO OPERACIONAL 21 T, POTÊNCIA BRUTA 155 HP - CHI DIURNO. AF_06/2014</t>
  </si>
  <si>
    <t>E9540</t>
  </si>
  <si>
    <t>Trator sobre esteiras com lâmina - 127 kW</t>
  </si>
  <si>
    <t>URBA - URBANIZAÇÃO</t>
  </si>
  <si>
    <t xml:space="preserve"> 88441 </t>
  </si>
  <si>
    <t>JARDINEIRO COM ENCARGOS COMPLEMENTARES</t>
  </si>
  <si>
    <t xml:space="preserve"> 00003123 </t>
  </si>
  <si>
    <t>FERTILIZANTE NPK - 4: 14: 8</t>
  </si>
  <si>
    <t xml:space="preserve"> 00038125 </t>
  </si>
  <si>
    <t>FERTILIZANTE ORGANICO COMPOSTO, CLASSE A</t>
  </si>
  <si>
    <t xml:space="preserve"> 00044479 </t>
  </si>
  <si>
    <t>CALCARIO DOLOMITICO A (POSTO PEDREIRA/FORNECEDOR,  SEM FRETE)</t>
  </si>
  <si>
    <t xml:space="preserve"> 00003324 </t>
  </si>
  <si>
    <t>GRAMA BATATAIS EM PLACAS, SEM PLANTIO</t>
  </si>
  <si>
    <t xml:space="preserve"> 89031 </t>
  </si>
  <si>
    <t>TRATOR DE ESTEIRAS, POTÊNCIA 100 HP, PESO OPERACIONAL 9,4 T, COM LÂMINA 2,19 M3 - CHI DIURNO. AF_06/2014</t>
  </si>
  <si>
    <t xml:space="preserve"> 89032 </t>
  </si>
  <si>
    <t>TRATOR DE ESTEIRAS, POTÊNCIA 100 HP, PESO OPERACIONAL 9,4 T, COM LÂMINA 2,19 M3 - CHP DIURNO. AF_06/2014</t>
  </si>
  <si>
    <t xml:space="preserve"> 94962 </t>
  </si>
  <si>
    <t>CONCRETO MAGRO PARA LASTRO, TRAÇO 1:4,5:4,5 (EM MASSA SECA DE CIMENTO/ AREIA MÉDIA/ BRITA 1) - PREPARO MECÂNICO COM BETONEIRA 400 L. AF_05/2021</t>
  </si>
  <si>
    <t>FUES - FUNDAÇÕES E ESTRUTURAS</t>
  </si>
  <si>
    <t xml:space="preserve"> 88262 </t>
  </si>
  <si>
    <t>CARPINTEIRO DE FORMAS COM ENCARGOS COMPLEMENTARES</t>
  </si>
  <si>
    <t xml:space="preserve"> 00004813 </t>
  </si>
  <si>
    <t>PLACA DE OBRA (PARA CONSTRUCAO CIVIL) EM CHAPA GALVANIZADA *N. 22*, ADESIVADA, DE *2,4 X 1,2* M (SEM POSTES PARA FIXACAO)</t>
  </si>
  <si>
    <t xml:space="preserve"> 00004491 </t>
  </si>
  <si>
    <t>PONTALETE *7,5 X 7,5* CM EM PINUS, MISTA OU EQUIVALENTE DA REGIAO - BRUTA</t>
  </si>
  <si>
    <t xml:space="preserve"> 00005075 </t>
  </si>
  <si>
    <t>PREGO DE ACO POLIDO COM CABECA 18 X 30 (2 3/4 X 10)</t>
  </si>
  <si>
    <t xml:space="preserve"> 00004417 </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</si>
  <si>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</si>
  <si>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</si>
  <si>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</si>
  <si>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</si>
  <si>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</si>
  <si>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</si>
  <si>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</si>
  <si>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</si>
  <si>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00003992 </t>
  </si>
  <si>
    <t xml:space="preserve"> 00004433 </t>
  </si>
  <si>
    <t xml:space="preserve"> 00005061 </t>
  </si>
  <si>
    <t>PREGO DE ACO POLIDO COM CABECA 18 X 27 (2 1/2 X 10)</t>
  </si>
  <si>
    <t xml:space="preserve"> 00007243 </t>
  </si>
  <si>
    <t>TELHA TRAPEZOIDAL EM ACO ZINCADO, SEM PINTURA, ALTURA DE APROXIMADAMENTE 40 MM, ESPESSURA DE 0,50 MM E LARGURA UTIL DE 980 MM</t>
  </si>
  <si>
    <t>ESQV - ESQUADRIAS/FERRAGENS/VIDROS</t>
  </si>
  <si>
    <t xml:space="preserve"> 88317 </t>
  </si>
  <si>
    <t>SOLDADOR COM ENCARGOS COMPLEMENTARES</t>
  </si>
  <si>
    <t xml:space="preserve"> 00000555 </t>
  </si>
  <si>
    <t xml:space="preserve"> 00010998 </t>
  </si>
  <si>
    <t>ELETRODO REVESTIDO AWS - E-6010, DIAMETRO IGUAL A 4,00 MM</t>
  </si>
  <si>
    <t xml:space="preserve"> 00021010 </t>
  </si>
  <si>
    <t>TUBO ACO GALVANIZADO COM COSTURA, CLASSE LEVE, DN 25 MM ( 1"),  E = 2,65 MM,  *2,11* KG/M (NBR 5580)</t>
  </si>
  <si>
    <t xml:space="preserve"> 00007691 </t>
  </si>
  <si>
    <t>TUBO ACO GALVANIZADO COM COSTURA, CLASSE MEDIA, DN 1/2", E = *2,65* MM, PESO *1,22* KG/M (NBR 5580)</t>
  </si>
  <si>
    <t xml:space="preserve"> M0004 </t>
  </si>
  <si>
    <t>Aço CA 50</t>
  </si>
  <si>
    <t xml:space="preserve"> 00043603 </t>
  </si>
  <si>
    <t>CADEADO SIMPLES, CORPO EM LATAO MACICO, COM LARGURA DE 50 MM E ALTURA DE APROX 40 MM, HASTE CEMENTADA EM ACO TEMPERADO COM DIAMETRO DE APROX 8,0 MM, INCLUINDO 2 CHAVES</t>
  </si>
  <si>
    <t xml:space="preserve"> 00007698 </t>
  </si>
  <si>
    <t>TUBO ACO GALVANIZADO COM COSTURA, CLASSE MEDIA, DN 1.1/4", E = *3,25* MM, PESO *3,14* KG/M (NBR 5580)</t>
  </si>
  <si>
    <t xml:space="preserve"> 100665 </t>
  </si>
  <si>
    <t>JANELA DE MADEIRA - CEDRINHO/ANGELIM OU EQUIVALENTE DA REGIÃO - DE ABRIR COM 4 FOLHAS (2 VENEZIANAS E 2 GUILHOTINAS PARA VIDRO), COM BATENTE, ALIZAR E FERRAGENS. EXCLUSIVE VIDROS, ACABAMENTO E CONTRAMARCO. FORNECIMENTO E INSTALAÇÃO. AF_12/2019</t>
  </si>
  <si>
    <t xml:space="preserve"> 100919 </t>
  </si>
  <si>
    <t>LÂMPADA FLUORESCENTE ESPIRAL BRANCA 45 W, BASE E27 - FORNECIMENTO E INSTALAÇÃO. AF_02/2020</t>
  </si>
  <si>
    <t>INEL - INSTALAÇÃO ELÉTRICA/ELETRIFICAÇÃO E ILUMINAÇÃO EXTERNA</t>
  </si>
  <si>
    <t xml:space="preserve"> 88489 </t>
  </si>
  <si>
    <t>PINT - PINTURAS</t>
  </si>
  <si>
    <t xml:space="preserve"> 90822 </t>
  </si>
  <si>
    <t>PORTA DE MADEIRA PARA PINTURA, SEMI-OCA (LEVE OU MÉDIA), 80X210CM, ESPESSURA DE 3,5CM, INCLUSO DOBRADIÇAS - FORNECIMENTO E INSTALAÇÃO. AF_12/2019</t>
  </si>
  <si>
    <t xml:space="preserve"> 91170 </t>
  </si>
  <si>
    <t>INHI - INSTALAÇÕES HIDROS SANITÁRIAS</t>
  </si>
  <si>
    <t xml:space="preserve"> 91173 </t>
  </si>
  <si>
    <t xml:space="preserve"> 91852 </t>
  </si>
  <si>
    <t xml:space="preserve"> 91862 </t>
  </si>
  <si>
    <t xml:space="preserve"> 91870 </t>
  </si>
  <si>
    <t xml:space="preserve"> 91926 </t>
  </si>
  <si>
    <t xml:space="preserve"> 92027 </t>
  </si>
  <si>
    <t xml:space="preserve"> 92543 </t>
  </si>
  <si>
    <t>TRAMA DE MADEIRA COMPOSTA POR TERÇAS PARA TELHADOS DE ATÉ 2 ÁGUAS PARA TELHA ONDULADA DE FIBROCIMENTO, METÁLICA, PLÁSTICA OU TERMOACÚSTICA, INCLUSO TRANSPORTE VERTICAL. AF_07/2019</t>
  </si>
  <si>
    <t>COBE - COBERTURA</t>
  </si>
  <si>
    <t xml:space="preserve"> 94210 </t>
  </si>
  <si>
    <t>TELHAMENTO COM TELHA ONDULADA DE FIBROCIMENTO E = 6 MM, COM RECOBRIMENTO LATERAL DE 1 1/4 DE ONDA PARA TELHADO COM INCLINAÇÃO MÁXIMA DE 10°, COM ATÉ 2 ÁGUAS, INCLUSO IÇAMENTO. AF_07/2019</t>
  </si>
  <si>
    <t xml:space="preserve"> 95240 </t>
  </si>
  <si>
    <t>LASTRO DE CONCRETO MAGRO, APLICADO EM PISOS, LAJES SOBRE SOLO OU RADIERS, ESPESSURA DE 3 CM. AF_07/2016</t>
  </si>
  <si>
    <t xml:space="preserve"> 95811 </t>
  </si>
  <si>
    <t xml:space="preserve"> 97593 </t>
  </si>
  <si>
    <t>LUMINÁRIA TIPO SPOT, DE SOBREPOR, COM 1 LÂMPADA FLUORESCENTE DE 15 W, SEM REATOR - FORNECIMENTO E INSTALAÇÃO. AF_02/2020</t>
  </si>
  <si>
    <t xml:space="preserve"> 98308 </t>
  </si>
  <si>
    <t>TOMADA PARA TELEFONE RJ11 - FORNECIMENTO E INSTALAÇÃO. AF_11/2019</t>
  </si>
  <si>
    <t>INES - INSTALAÇÕES ESPECIAIS</t>
  </si>
  <si>
    <t xml:space="preserve"> 98441 </t>
  </si>
  <si>
    <t>PAREDE DE MADEIRA COMPENSADA PARA CONSTRUÇÃO TEMPORÁRIA EM CHAPA SIMPLES, EXTERNA, COM ÁREA LÍQUIDA MAIOR OU IGUAL A 6 M², SEM VÃO. AF_05/2018</t>
  </si>
  <si>
    <t xml:space="preserve"> 98442 </t>
  </si>
  <si>
    <t>PAREDE DE MADEIRA COMPENSADA PARA CONSTRUÇÃO TEMPORÁRIA EM CHAPA SIMPLES, EXTERNA, COM ÁREA LÍQUIDA MENOR QUE 6 M², SEM VÃO. AF_05/2018</t>
  </si>
  <si>
    <t xml:space="preserve"> 98445 </t>
  </si>
  <si>
    <t>PAREDE DE MADEIRA COMPENSADA PARA CONSTRUÇÃO TEMPORÁRIA EM CHAPA SIMPLES, EXTERNA, COM ÁREA LÍQUIDA MAIOR OU IGUAL A 6 M², COM VÃO. AF_05/2018</t>
  </si>
  <si>
    <t xml:space="preserve"> 98446 </t>
  </si>
  <si>
    <t>PAREDE DE MADEIRA COMPENSADA PARA CONSTRUÇÃO TEMPORÁRIA EM CHAPA SIMPLES, EXTERNA, COM ÁREA LÍQUIDA MENOR QUE 6 M², COM VÃO. AF_05/2018</t>
  </si>
  <si>
    <t xml:space="preserve"> 00003080 </t>
  </si>
  <si>
    <t>FECHADURA ESPELHO PARA PORTA EXTERNA, EM ACO INOX (MAQUINA, TESTA E CONTRA-TESTA) E EM ZAMAC (MACANETA, LINGUETA E TRINCOS) COM ACABAMENTO CROMADO, MAQUINA DE 40 MM, INCLUINDO CHAVE TIPO CILINDRO</t>
  </si>
  <si>
    <t>CJ</t>
  </si>
  <si>
    <t xml:space="preserve"> 101165 </t>
  </si>
  <si>
    <t>ALVENARIA DE EMBASAMENTO COM BLOCO ESTRUTURAL DE CONCRETO, DE 14X19X29CM E ARGAMASSA DE ASSENTAMENTO COM PREPARO EM BETONEIRA. AF_05/2020</t>
  </si>
  <si>
    <t xml:space="preserve"> 91341 </t>
  </si>
  <si>
    <t>PORTA EM ALUMÍNIO DE ABRIR TIPO VENEZIANA COM GUARNIÇÃO, FIXAÇÃO COM PARAFUSOS - FORNECIMENTO E INSTALAÇÃO. AF_12/2019</t>
  </si>
  <si>
    <t xml:space="preserve"> 91924 </t>
  </si>
  <si>
    <t xml:space="preserve"> 92023 </t>
  </si>
  <si>
    <t xml:space="preserve"> 93358 </t>
  </si>
  <si>
    <t>ESCAVAÇÃO MANUAL DE VALA COM PROFUNDIDADE MENOR OU IGUAL A 1,30 M. AF_02/2021</t>
  </si>
  <si>
    <t>MOVT - MOVIMENTO DE TERRA</t>
  </si>
  <si>
    <t xml:space="preserve"> 93382 </t>
  </si>
  <si>
    <t>REATERRO MANUAL DE VALAS, COM COMPACTADOR DE SOLOS DE PERCUSSÃO. AF_08/2023</t>
  </si>
  <si>
    <t xml:space="preserve"> 94559 </t>
  </si>
  <si>
    <t>JANELA DE AÇO TIPO BASCULANTE PARA VIDROS, COM BATENTE, FERRAGENS E PINTURA ANTICORROSIVA. EXCLUSIVE VIDROS, ACABAMENTO, ALIZAR E CONTRAMARCO. FORNECIMENTO E INSTALAÇÃO. AF_12/2019</t>
  </si>
  <si>
    <t xml:space="preserve"> 95241 </t>
  </si>
  <si>
    <t>LASTRO DE CONCRETO MAGRO, APLICADO EM PISOS, LAJES SOBRE SOLO OU RADIERS, ESPESSURA DE 5 CM. AF_07/2016</t>
  </si>
  <si>
    <t xml:space="preserve"> 95805 </t>
  </si>
  <si>
    <t xml:space="preserve"> 97586 </t>
  </si>
  <si>
    <t>LUMINÁRIA TIPO CALHA, DE SOBREPOR, COM 2 LÂMPADAS TUBULARES FLUORESCENTES DE 36 W, COM REATOR DE PARTIDA RÁPIDA - FORNECIMENTO E INSTALAÇÃO. AF_02/2020</t>
  </si>
  <si>
    <t xml:space="preserve"> 00011455 </t>
  </si>
  <si>
    <t>FERROLHO COM FECHO / TRINCO REDONDO, EM ACO GALVANIZADO / ZINCADO, DE SOBREPOR, COM COMPRIMENTO DE 8" E ESPESSURA MINIMA DA CHAPA DE 1,50 MM</t>
  </si>
  <si>
    <t xml:space="preserve"> 101876 </t>
  </si>
  <si>
    <t>QUADRO DE DISTRIBUIÇÃO DE ENERGIA EM PVC, DE EMBUTIR, SEM BARRAMENTO, PARA 6 DISJUNTORES - FORNECIMENTO E INSTALAÇÃO. AF_10/2020</t>
  </si>
  <si>
    <t xml:space="preserve"> 101891 </t>
  </si>
  <si>
    <t>DISJUNTOR MONOPOLAR TIPO NEMA, CORRENTE NOMINAL DE 35 ATÉ 50A - FORNECIMENTO E INSTALAÇÃO. AF_10/2020</t>
  </si>
  <si>
    <t xml:space="preserve"> 92008 </t>
  </si>
  <si>
    <t xml:space="preserve"> 92981 </t>
  </si>
  <si>
    <t>CABO DE COBRE FLEXÍVEL ISOLADO, 16 MM², ANTI-CHAMA 450/750 V, PARA DISTRIBUIÇÃO - FORNECIMENTO E INSTALAÇÃO. AF_12/2015</t>
  </si>
  <si>
    <t xml:space="preserve"> 96985 </t>
  </si>
  <si>
    <t xml:space="preserve"> 97886 </t>
  </si>
  <si>
    <t>CAIXA ENTERRADA ELÉTRICA RETANGULAR, EM ALVENARIA COM TIJOLOS CERÂMICOS MACIÇOS, FUNDO COM BRITA, DIMENSÕES INTERNAS: 0,3X0,3X0,3 M. AF_12/2020</t>
  </si>
  <si>
    <t xml:space="preserve"> 00010886 </t>
  </si>
  <si>
    <t>EXTINTOR DE INCENDIO PORTATIL COM CARGA DE AGUA PRESSURIZADA DE 10 L, CLASSE A</t>
  </si>
  <si>
    <t xml:space="preserve"> 00010891 </t>
  </si>
  <si>
    <t>EXTINTOR DE INCENDIO PORTATIL COM CARGA DE PO QUIMICO SECO (PQS) DE 4 KG, CLASSE BC</t>
  </si>
  <si>
    <t xml:space="preserve"> 91959 </t>
  </si>
  <si>
    <t xml:space="preserve"> 92000 </t>
  </si>
  <si>
    <t xml:space="preserve"> 92001 </t>
  </si>
  <si>
    <t xml:space="preserve"> 89408 </t>
  </si>
  <si>
    <t>JOELHO 90 GRAUS, PVC, SOLDÁVEL, DN 25MM, INSTALADO EM RAMAL DE DISTRIBUIÇÃO DE ÁGUA - FORNECIMENTO E INSTALAÇÃO. AF_06/2022</t>
  </si>
  <si>
    <t xml:space="preserve"> 89972 </t>
  </si>
  <si>
    <t>KIT DE REGISTRO DE GAVETA BRUTO DE LATÃO ¾", INCLUSIVE CONEXÕES, ROSCÁVEL, INSTALADO EM RAMAL DE ÁGUA FRIA - FORNECIMENTO E INSTALAÇÃO. AF_12/2014</t>
  </si>
  <si>
    <t xml:space="preserve"> 94648 </t>
  </si>
  <si>
    <t>TUBO, PVC, SOLDÁVEL, DN  25 MM, INSTALADO EM RESERVAÇÃO DE ÁGUA DE EDIFICAÇÃO QUE POSSUA RESERVATÓRIO DE FIBRA/FIBROCIMENTO   FORNECIMENTO E INSTALAÇÃO. AF_06/2016</t>
  </si>
  <si>
    <t xml:space="preserve"> 94688 </t>
  </si>
  <si>
    <t>TÊ, PVC, SOLDÁVEL, DN  25 MM INSTALADO EM RESERVAÇÃO DE ÁGUA DE EDIFICAÇÃO QUE POSSUA RESERVATÓRIO DE FIBRA/FIBROCIMENTO   FORNECIMENTO E INSTALAÇÃO. AF_06/2016</t>
  </si>
  <si>
    <t xml:space="preserve"> 94703 </t>
  </si>
  <si>
    <t>ADAPTADOR COM FLANGE E ANEL DE VEDAÇÃO, PVC, SOLDÁVEL, DN  25 MM X 3/4 , INSTALADO EM RESERVAÇÃO DE ÁGUA DE EDIFICAÇÃO QUE POSSUA RESERVATÓRIO DE FIBRA/FIBROCIMENTO   FORNECIMENTO E INSTALAÇÃO. AF_06/2016</t>
  </si>
  <si>
    <t xml:space="preserve"> 94796 </t>
  </si>
  <si>
    <t>TORNEIRA DE BOIA PARA CAIXA D'ÁGUA, ROSCÁVEL, 3/4" - FORNECIMENTO E INSTALAÇÃO. AF_08/2021</t>
  </si>
  <si>
    <t xml:space="preserve"> 00034636 </t>
  </si>
  <si>
    <t xml:space="preserve"> 00034640 </t>
  </si>
  <si>
    <t xml:space="preserve"> 00034492 </t>
  </si>
  <si>
    <t>CONCRETO USINADO BOMBEAVEL, CLASSE DE RESISTENCIA C20, COM BRITA 0 E 1, SLUMP = 100 +/- 20 MM, EXCLUI SERVICO DE BOMBEAMENTO (NBR 8953)</t>
  </si>
  <si>
    <t xml:space="preserve"> 00043681 </t>
  </si>
  <si>
    <t>CHAPA/PAINEL DE MADEIRA COMPENSADA RESINADA (MADEIRITE RESINADO ROSA) PARA FORMA DE CONCRETO, DE 2200 x 1100 MM, E = 8 A 12 MM</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</si>
  <si>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</si>
  <si>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</si>
  <si>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</si>
  <si>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</si>
  <si>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88309 </t>
  </si>
  <si>
    <t>PEDREIRO COM ENCARGOS COMPLEMENTARES</t>
  </si>
  <si>
    <t xml:space="preserve"> 88628 </t>
  </si>
  <si>
    <t>ARGAMASSA TRAÇO 1:3 (EM VOLUME DE CIMENTO E AREIA MÉDIA ÚMIDA), PREPARO MECÂNICO COM BETONEIRA 400 L. AF_08/2019</t>
  </si>
  <si>
    <t xml:space="preserve"> 97738 </t>
  </si>
  <si>
    <t xml:space="preserve"> 97740 </t>
  </si>
  <si>
    <t>PEÇA CIRCULAR PRÉ-MOLDADA, VOLUME DE CONCRETO ACIMA DE 100 LITROS, TAXA DE AÇO APROXIMADA DE 30KG/M³. AF_01/2018</t>
  </si>
  <si>
    <t xml:space="preserve"> 00012565 </t>
  </si>
  <si>
    <t>ANEL EM CONCRETO ARMADO, LISO, PARA FOSSAS SEPTICAS E SUMIDOUROS, SEM FUNDO, DIAMETRO INTERNO DE 2,00 M E ALTURA DE 0,50 M</t>
  </si>
  <si>
    <t xml:space="preserve"> 88264 </t>
  </si>
  <si>
    <t>ELETRICISTA COM ENCARGOS COMPLEMENTARES</t>
  </si>
  <si>
    <t xml:space="preserve"> 00000392 </t>
  </si>
  <si>
    <t>ABRACADEIRA EM ACO PARA AMARRACAO DE ELETRODUTOS, TIPO D, COM 1/2" E PARAFUSO DE FIXACAO</t>
  </si>
  <si>
    <t xml:space="preserve"> 00000979 </t>
  </si>
  <si>
    <t>CABO DE COBRE, FLEXIVEL, CLASSE 4 OU 5, ISOLACAO EM PVC/A, ANTICHAMA BWF-B, 1 CONDUTOR, 450/750 V, SECAO NOMINAL 16 MM2</t>
  </si>
  <si>
    <t xml:space="preserve"> 00002673 </t>
  </si>
  <si>
    <t>ELETRODUTO DE PVC RIGIDO ROSCAVEL DE 1/2 ", SEM LUVA</t>
  </si>
  <si>
    <t xml:space="preserve"> 00001875 </t>
  </si>
  <si>
    <t>CURVA 90 GRAUS, LONGA, DE PVC RIGIDO ROSCAVEL, DE 1 1/2", PARA ELETRODUTO</t>
  </si>
  <si>
    <t xml:space="preserve"> 00012056 </t>
  </si>
  <si>
    <t>ELETRODUTO FLEXIVEL, EM ACO, TIPO CONDUITE, DIAMETRO DE 1 1/2"</t>
  </si>
  <si>
    <t xml:space="preserve"> 00012344 </t>
  </si>
  <si>
    <t>FUSIVEL DIAZED 20 A TAMANHO DII, CAPACIDADE DE INTERRUPCAO DE 50 KA EM VCA E 8 KA EM VCC, TENSAO NOMIMNAL DE 500 V</t>
  </si>
  <si>
    <t xml:space="preserve"> 00003406 </t>
  </si>
  <si>
    <t>ISOLADOR DE PORCELANA, TIPO PINO MONOCORPO, PARA TENSAO DE *15* KV</t>
  </si>
  <si>
    <t xml:space="preserve"> 00007701 </t>
  </si>
  <si>
    <t>TUBO ACO GALVANIZADO COM COSTURA, CLASSE MEDIA, DN 2.1/2", E = *3,65* MM, PESO *6,51* KG/M (NBR 5580)</t>
  </si>
  <si>
    <t xml:space="preserve"> 00004481 </t>
  </si>
  <si>
    <t>Equipamento para Aquisição Permanente</t>
  </si>
  <si>
    <t xml:space="preserve"> 88267 </t>
  </si>
  <si>
    <t>ENCANADOR OU BOMBEIRO HIDRÁULICO COM ENCARGOS COMPLEMENTARES</t>
  </si>
  <si>
    <t xml:space="preserve"> 88252 </t>
  </si>
  <si>
    <t>AUXILIAR DE SERVIÇOS GERAIS COM ENCARGOS COMPLEMENTARES</t>
  </si>
  <si>
    <t xml:space="preserve"> 88241 </t>
  </si>
  <si>
    <t>AJUDANTE DE OPERAÇÃO EM GERAL COM ENCARGOS COMPLEMENTARES</t>
  </si>
  <si>
    <t xml:space="preserve"> M0081 </t>
  </si>
  <si>
    <t>Areia grossa</t>
  </si>
  <si>
    <t xml:space="preserve"> 00020247 </t>
  </si>
  <si>
    <t>PREGO DE ACO POLIDO COM CABECA 15 X 15 (1 1/4 X 13)</t>
  </si>
  <si>
    <t xml:space="preserve"> 00036365 </t>
  </si>
  <si>
    <t>TUBO COLETOR DE ESGOTO PVC, JEI, DN 100 MM (NBR  7362)</t>
  </si>
  <si>
    <t xml:space="preserve"> 00034401 </t>
  </si>
  <si>
    <t>TIJOLO CERAMICO LAMINADO 5,5 X 11 X 23 CM (L X A X C)</t>
  </si>
  <si>
    <t xml:space="preserve"> 00011686 </t>
  </si>
  <si>
    <t xml:space="preserve"> 00010422 </t>
  </si>
  <si>
    <t>BACIA SANITARIA (VASO) COM CAIXA ACOPLADA, SIFAO APARENTE, DE LOUCA BRANCA (SEM ASSENTO)</t>
  </si>
  <si>
    <t xml:space="preserve"> 00012774 </t>
  </si>
  <si>
    <t>HIDROMETRO UNIJATO / MEDIDOR DE AGUA, DN 3/4", VAZAO MAXIMA DE 5 M3/H, PARA AGUA POTAVEL FRIA, RELOJOARIA PLANA, CLASSE B, HORIZONTAL (SEM CONEXOES)0,</t>
  </si>
  <si>
    <t>E9647</t>
  </si>
  <si>
    <t>Compactador manual com soquete vibratório - 4,10 kW</t>
  </si>
  <si>
    <t>M0192</t>
  </si>
  <si>
    <t>Brita 2</t>
  </si>
  <si>
    <t>Custo Total do Material =&gt;</t>
  </si>
  <si>
    <t>Carga, manobra e descarga de agregados ou solos em caminhão basculante de 10 m³ - carga com carregadeira de 3,40 m³(exclusa) e descarga livre</t>
  </si>
  <si>
    <t>Brita 2 - Caminhão basculante com capacidade de 10 m³ - 188 kW</t>
  </si>
  <si>
    <t xml:space="preserve"> 88377 </t>
  </si>
  <si>
    <t>OPERADOR DE BETONEIRA ESTACIONÁRIA/MISTURADOR COM ENCARGOS COMPLEMENTARES</t>
  </si>
  <si>
    <t xml:space="preserve"> 89225 </t>
  </si>
  <si>
    <t xml:space="preserve"> 89226 </t>
  </si>
  <si>
    <t xml:space="preserve"> M0028 </t>
  </si>
  <si>
    <t>Areia média</t>
  </si>
  <si>
    <t xml:space="preserve"> M0191 </t>
  </si>
  <si>
    <t>Brita 1</t>
  </si>
  <si>
    <t>E9066</t>
  </si>
  <si>
    <t>E9535</t>
  </si>
  <si>
    <t>Serra circular com bancada - D = 30 cm - 4 kW</t>
  </si>
  <si>
    <t>M0284</t>
  </si>
  <si>
    <t>Caibro de pinho - L = 7,5 cm e E = 7,5 cm</t>
  </si>
  <si>
    <t>M0446</t>
  </si>
  <si>
    <t>Compensado resinado - E = 10 mm</t>
  </si>
  <si>
    <t>M0560</t>
  </si>
  <si>
    <t>Desmoldante para fôrmas de madeira</t>
  </si>
  <si>
    <t>l</t>
  </si>
  <si>
    <t>M0310</t>
  </si>
  <si>
    <t>Peça de madeira - L = 7,5 cm e E = 2,5 cm</t>
  </si>
  <si>
    <t>M1205</t>
  </si>
  <si>
    <t>Prego de ferro</t>
  </si>
  <si>
    <t>M0290</t>
  </si>
  <si>
    <t>Tábua - E = 2,5 cm e L = 10 cm</t>
  </si>
  <si>
    <t>M0286</t>
  </si>
  <si>
    <t>Tábua - E = 2,5 cm e L = 30 cm</t>
  </si>
  <si>
    <t>Carga, manobra e descarga de materiais diversos em caminhão carroceria de 15 t - carga e descarga manuais</t>
  </si>
  <si>
    <t>Caibro de pinho - L = 7,5 cm e E = 7,5 cm - Caminhão carroceria com capacidade de 15 t - 188 kW</t>
  </si>
  <si>
    <t>Compensado resinado - E = 10 mm - Caminhão carroceria com capacidade de 15 t - 188 kW</t>
  </si>
  <si>
    <t>Desmoldante para fôrmas de madeira - Caminhão carroceria com capacidade de 15 t - 188 kW</t>
  </si>
  <si>
    <t>Peça de madeira - L = 7,5 cm e E = 2,5 cm - Caminhão carroceria com capacidade de 15 t - 188 kW</t>
  </si>
  <si>
    <t>Prego de ferro - Caminhão carroceria com capacidade de 15 t - 188 kW</t>
  </si>
  <si>
    <t>Tábua - E = 2,5 cm e L = 10 cm - Caminhão carroceria com capacidade de 15 t - 188 kW</t>
  </si>
  <si>
    <t>Tábua - E = 2,5 cm e L = 30 cm - Caminhão carroceria com capacidade de 15 t - 188 kW</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</si>
  <si>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</si>
  <si>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</si>
  <si>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</si>
  <si>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</si>
  <si>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SERT - SERVIÇOS TÉCNICOS</t>
  </si>
  <si>
    <t xml:space="preserve"> 00004006 </t>
  </si>
  <si>
    <t>MADEIRA SERRADA EM PINUS, MISTA OU EQUIVALENTE DA REGIAO - BRUTA</t>
  </si>
  <si>
    <t xml:space="preserve"> 00037524 </t>
  </si>
  <si>
    <t>TELA PLASTICA LARANJA, TIPO TAPUME PARA SINALIZACAO, MALHA RETANGULAR, ROLO 1.20 X 50 M (L X C)</t>
  </si>
  <si>
    <t>BALIZADOR MOVEL CONFORME NTC-108</t>
  </si>
  <si>
    <t>Outros</t>
  </si>
  <si>
    <t xml:space="preserve"> 88247 </t>
  </si>
  <si>
    <t>AUXILIAR DE ELETRICISTA COM ENCARGOS COMPLEMENTARES</t>
  </si>
  <si>
    <t>SINALIZADOR ELETRONICO</t>
  </si>
  <si>
    <t>M1079</t>
  </si>
  <si>
    <t>Parafuso de cabeça sextavada em aço galvanizado tipo autoatarrachante com arruela de vedação - D = 6,3</t>
  </si>
  <si>
    <t>Placa em aço nº 16 galvanizado com película retrorrefletiva tipo I + I - confecção</t>
  </si>
  <si>
    <t>Cavalete em perfil metálico para placa de sinalização - 1,00 m x 1,00 m - confecção</t>
  </si>
  <si>
    <t>Cavalete em perfil metálico para placa de sinalização - 1,00 m x 1,00 m - confecção - Caminhão carroceria com capacidade de 15 t - 188 kW</t>
  </si>
  <si>
    <t>Placa em aço nº 16 galvanizado com película retrorrefletiva tipo I + I - confecção - Caminhão carroceria com capacidade de 15 t - 188 kW</t>
  </si>
  <si>
    <t>Parafuso de cabeça sextavada em aço galvanizado tipo autoatarrachante com arruela de vedação - D = 6,3 - Caminhão carroceria com capacidade de 15 t - 188 kW</t>
  </si>
  <si>
    <t>M0789</t>
  </si>
  <si>
    <t>Conjunto para fixação de placas em aço galvanizado composto por barra chata, abraçadeira, parafusos,</t>
  </si>
  <si>
    <t>Suporte metálico móvel para placa de sinalização - confecção</t>
  </si>
  <si>
    <t>Suporte metálico móvel para placa de sinalização - confecção - Caminhão carroceria com capacidade de 15 t - 188 kW</t>
  </si>
  <si>
    <t>Conjunto para fixação de placas em aço galvanizado composto por barra chata, abraçadeira, parafusos, - Caminhão carroceria com capacidade de 15 t - 188 kW</t>
  </si>
  <si>
    <t>Barreira de sinalização tipo III de direcionamento ou bloqueio - confecção</t>
  </si>
  <si>
    <t>Barreira de sinalização tipo III de direcionamento ou bloqueio - confecção - Caminhão carroceria com capacidade de 15 t - 188 kW</t>
  </si>
  <si>
    <t>M0047</t>
  </si>
  <si>
    <t>Cone de sinalização em polietileno - H = 75 cm e base quadrada de 40 x 40 cm</t>
  </si>
  <si>
    <t>Cone de sinalização em polietileno - H = 75 cm e base quadrada de 40 x 40 cm - Caminhão carroceria com capacidade de 15 t - 188 kW</t>
  </si>
  <si>
    <t>M0048</t>
  </si>
  <si>
    <t>Balizador cônico refletivo em polietileno semiflexível - H = 114 cm e base octogonal de D = 40 cm</t>
  </si>
  <si>
    <t>Balizador cônico refletivo em polietileno semiflexível - H = 114 cm e base octogonal de D = 40 cm - Caminhão carroceria com capacidade de 15 t - 188 kW</t>
  </si>
  <si>
    <t xml:space="preserve"> 00020205 </t>
  </si>
  <si>
    <t>RIPA APARELHADA *1,5 X 5* CM, EM MACARANDUBA/MASSARANDUBA, ANGELIM OU EQUIVALENTE DA REGIAO</t>
  </si>
  <si>
    <t xml:space="preserve"> 00006189 </t>
  </si>
  <si>
    <t xml:space="preserve"> 91283 </t>
  </si>
  <si>
    <t>CORTADORA DE PISO COM MOTOR 4 TEMPOS A GASOLINA, POTÊNCIA DE 13 HP, COM DISCO DE CORTE DIAMANTADO SEGMENTADO PARA CONCRETO, DIÂMETRO DE 350 MM, FURO DE 1" (14 X 1") - CHP DIURNO. AF_08/2015</t>
  </si>
  <si>
    <t xml:space="preserve"> 91285 </t>
  </si>
  <si>
    <t>CORTADORA DE PISO COM MOTOR 4 TEMPOS A GASOLINA, POTÊNCIA DE 13 HP, COM DISCO DE CORTE DIAMANTADO SEGMENTADO PARA CONCRETO, DIÂMETRO DE 350 MM, FURO DE 1" (14 X 1") - CHI DIURNO. AF_08/2015</t>
  </si>
  <si>
    <t>E9071</t>
  </si>
  <si>
    <t>Transportador manual carrinho de mão com capacidade de 80 l</t>
  </si>
  <si>
    <t>M3512</t>
  </si>
  <si>
    <t>Carga, manobra e descarga de material demolido em caminhão basculante de 6 m³ - carga manual e descarga livre</t>
  </si>
  <si>
    <t>Material demolido - concreto armado - Caminhão basculante com capacidade de 6 m³ - 136 kW</t>
  </si>
  <si>
    <t xml:space="preserve"> 06.01.10 </t>
  </si>
  <si>
    <t>CARGA E TRANSP. MANUAL HORIZONTAL EM CARRO DE MAO, DE MATERIAIS A GRANEL, P/ DISTANCIAS ATE 30m</t>
  </si>
  <si>
    <t xml:space="preserve"> 88298 </t>
  </si>
  <si>
    <t>OPERADOR DE MARTELETE OU MARTELETEIRO COM ENCARGOS COMPLEMENTARES</t>
  </si>
  <si>
    <t xml:space="preserve"> 90972 </t>
  </si>
  <si>
    <t>COMPRESSOR DE AR REBOCAVEL, VAZÃO 250 PCM, PRESSAO DE TRABALHO 102 PSI, MOTOR A DIESEL POTÊNCIA 81 CV - CHP DIURNO. AF_06/2015</t>
  </si>
  <si>
    <t xml:space="preserve"> 5795 </t>
  </si>
  <si>
    <t>MARTELETE OU ROMPEDOR PNEUMÁTICO MANUAL, 28 KG, COM SILENCIADOR - CHP DIURNO. AF_07/2016</t>
  </si>
  <si>
    <t>L</t>
  </si>
  <si>
    <t xml:space="preserve"> 88297 </t>
  </si>
  <si>
    <t>OPERADOR DE MÁQUINAS E EQUIPAMENTOS COM ENCARGOS COMPLEMENTARES</t>
  </si>
  <si>
    <t>PISO - PISOS</t>
  </si>
  <si>
    <t xml:space="preserve"> 94964 </t>
  </si>
  <si>
    <t>CONCRETO FCK = 20MPA, TRAÇO 1:2,7:3 (EM MASSA SECA DE CIMENTO/ AREIA MÉDIA/ BRITA 1) - PREPARO MECÂNICO COM BETONEIRA 400 L. AF_05/2021</t>
  </si>
  <si>
    <t xml:space="preserve"> 00002692 </t>
  </si>
  <si>
    <t>DESMOLDANTE PROTETOR PARA FORMAS DE MADEIRA, DE BASE OLEOSA EMULSIONADA EM AGUA</t>
  </si>
  <si>
    <t xml:space="preserve"> 00004509 </t>
  </si>
  <si>
    <t>SARRAFO *2,5 X 10* CM EM PINUS, MISTA OU EQUIVALENTE DA REGIAO - BRUTA</t>
  </si>
  <si>
    <t xml:space="preserve"> 00004517 </t>
  </si>
  <si>
    <t>SARRAFO *2,5 X 7,5* CM EM PINUS, MISTA OU EQUIVALENTE DA REGIAO - BRUTA</t>
  </si>
  <si>
    <t xml:space="preserve"> 00005068 </t>
  </si>
  <si>
    <t>PREGO DE ACO POLIDO COM CABECA 17 X 21 (2 X 11)</t>
  </si>
  <si>
    <t>DEMOLICOES</t>
  </si>
  <si>
    <t>PREPARACAO DO TERRENO</t>
  </si>
  <si>
    <t xml:space="preserve"> M1382 </t>
  </si>
  <si>
    <t>Areia grossa lavada</t>
  </si>
  <si>
    <t xml:space="preserve"> 00006193 </t>
  </si>
  <si>
    <t xml:space="preserve"> 5952 </t>
  </si>
  <si>
    <t>MARTELETE OU ROMPEDOR PNEUMÁTICO MANUAL, 28 KG, COM SILENCIADOR - CHI DIURNO. AF_07/2016</t>
  </si>
  <si>
    <t xml:space="preserve"> 5953 </t>
  </si>
  <si>
    <t>COMPRESSOR DE AR REBOCÁVEL, VAZÃO 189 PCM, PRESSÃO EFETIVA DE TRABALHO 102 PSI, MOTOR DIESEL, POTÊNCIA 63 CV - CHP DIURNO. AF_06/2015</t>
  </si>
  <si>
    <t xml:space="preserve"> 5954 </t>
  </si>
  <si>
    <t>COMPRESSOR DE AR REBOCÁVEL, VAZÃO 189 PCM, PRESSÃO EFETIVA DE TRABALHO 102 PSI, MOTOR DIESEL, POTÊNCIA 63 CV - CHI DIURNO. AF_06/2015</t>
  </si>
  <si>
    <t>PAVI - PAVIMENTAÇÃO</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</si>
  <si>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</si>
  <si>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</si>
  <si>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</si>
  <si>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</si>
  <si>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ASTU</t>
  </si>
  <si>
    <t>E9630</t>
  </si>
  <si>
    <t>Bomba submersível com capacidade de 75 m³/h - 3,6 kW</t>
  </si>
  <si>
    <t>E9764</t>
  </si>
  <si>
    <t>Grupo gerador - 7,2 kVA</t>
  </si>
  <si>
    <t xml:space="preserve"> 09.90.30 </t>
  </si>
  <si>
    <t xml:space="preserve"> 09.90.31 </t>
  </si>
  <si>
    <t xml:space="preserve"> 09.90.32 </t>
  </si>
  <si>
    <t xml:space="preserve"> 09.90.33 </t>
  </si>
  <si>
    <t xml:space="preserve"> 09.90.35 </t>
  </si>
  <si>
    <t xml:space="preserve"> 91533 </t>
  </si>
  <si>
    <t>COMPACTADOR DE SOLOS DE PERCUSSÃO (SOQUETE) COM MOTOR A GASOLINA 4 TEMPOS, POTÊNCIA 4 CV - CHP DIURNO. AF_08/2015</t>
  </si>
  <si>
    <t xml:space="preserve"> 91534 </t>
  </si>
  <si>
    <t>COMPACTADOR DE SOLOS DE PERCUSSÃO (SOQUETE) COM MOTOR A GASOLINA 4 TEMPOS, POTÊNCIA 4 CV - CHI DIURNO. AF_08/2015</t>
  </si>
  <si>
    <t xml:space="preserve"> M0005 </t>
  </si>
  <si>
    <t>Brita 0</t>
  </si>
  <si>
    <t xml:space="preserve"> 5684 </t>
  </si>
  <si>
    <t>ROLO COMPACTADOR VIBRATÓRIO DE UM CILINDRO AÇO LISO, POTÊNCIA 80 HP, PESO OPERACIONAL MÁXIMO 8,1 T, IMPACTO DINÂMICO 16,15 / 9,5 T, LARGURA DE TRABALHO 1,68 M - CHP DIURNO. AF_06/2014</t>
  </si>
  <si>
    <t xml:space="preserve"> 5685 </t>
  </si>
  <si>
    <t>ROLO COMPACTADOR VIBRATÓRIO DE UM CILINDRO AÇO LISO, POTÊNCIA 80 HP, PESO OPERACIONAL MÁXIMO 8,1 T, IMPACTO DINÂMICO 16,15 / 9,5 T, LARGURA DE TRABALHO 1,68 M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</si>
  <si>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</si>
  <si>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</si>
  <si>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</si>
  <si>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</si>
  <si>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5921 </t>
  </si>
  <si>
    <t>GRADE DE DISCO REBOCÁVEL COM 20 DISCOS 24" X 6 MM COM PNEUS PARA TRANSPORTE - CHP DIURNO. AF_06/2014</t>
  </si>
  <si>
    <t xml:space="preserve"> 5923 </t>
  </si>
  <si>
    <t>GRADE DE DISCO REBOCÁVEL COM 20 DISCOS 24" X 6 MM COM PNEUS PARA TRANSPORTE - CHI DIURNO. AF_06/2014</t>
  </si>
  <si>
    <t xml:space="preserve"> 5932 </t>
  </si>
  <si>
    <t>MOTONIVELADORA POTÊNCIA BÁSICA LÍQUIDA (PRIMEIRA MARCHA) 125 HP, PESO BRUTO 13032 KG, LARGURA DA LÂMINA DE 3,7 M - CHP DIURNO. AF_06/2014</t>
  </si>
  <si>
    <t xml:space="preserve"> 5934 </t>
  </si>
  <si>
    <t>MOTONIVELADORA POTÊNCIA BÁSICA LÍQUIDA (PRIMEIRA MARCHA) 125 HP, PESO BRUTO 13032 KG, LARGURA DA LÂMINA DE 3,7 M - CHI DIURNO. AF_06/2014</t>
  </si>
  <si>
    <t xml:space="preserve"> 89035 </t>
  </si>
  <si>
    <t>TRATOR DE PNEUS, POTÊNCIA 85 CV, TRAÇÃO 4X4, PESO COM LASTRO DE 4.675 KG - CHP DIURNO. AF_06/2014</t>
  </si>
  <si>
    <t xml:space="preserve"> 89036 </t>
  </si>
  <si>
    <t>TRATOR DE PNEUS, POTÊNCIA 85 CV, TRAÇÃO 4X4, PESO COM LASTRO DE 4.675 KG - CHI DIURNO. AF_06/2014</t>
  </si>
  <si>
    <t xml:space="preserve"> 96463 </t>
  </si>
  <si>
    <t>ROLO COMPACTADOR DE PNEUS, ESTATICO, PRESSAO VARIAVEL, POTENCIA 110 HP, PESO SEM/COM LASTRO 10,8/27 T, LARGURA DE ROLAGEM 2,30 M - CHP DIURNO. AF_06/2017</t>
  </si>
  <si>
    <t xml:space="preserve"> 96464 </t>
  </si>
  <si>
    <t>ROLO COMPACTADOR DE PNEUS, ESTATICO, PRESSAO VARIAVEL, POTENCIA 110 HP, PESO SEM/COM LASTRO 10,8/27 T, LARGURA DE ROLAGEM 2,30 M - CHI DIURNO. AF_06/2017</t>
  </si>
  <si>
    <t>E9571</t>
  </si>
  <si>
    <t>Caminhão tanque com capacidade de 10.000 l - 188 kW</t>
  </si>
  <si>
    <t>E9514</t>
  </si>
  <si>
    <t>Distribuidor de agregados sobre pneus autopropelido - 130 kW</t>
  </si>
  <si>
    <t>E9762</t>
  </si>
  <si>
    <t>Rolo compactador de pneus autopropelido de 27 t - 85 kW</t>
  </si>
  <si>
    <t>E9530</t>
  </si>
  <si>
    <t>Rolo compactador liso vibratório autopropelido por pneus de 11 t - 97 kW</t>
  </si>
  <si>
    <t>Usinagem de brita graduada com brita comercial em usina de 300 t/h</t>
  </si>
  <si>
    <t>Carga, manobra e descarga de agregados ou solos em caminhão basculante de 10 m³ - carga em usina de solos de 300 t/h e</t>
  </si>
  <si>
    <t>Usinagem de brita graduada com brita comercial em usina de 300 t/h - Caminhão basculante com capacidade de 10 m³ - 188 kW</t>
  </si>
  <si>
    <t>E9509</t>
  </si>
  <si>
    <t>Caminhão tanque distribuidor de asfalto com capacidade de 6.000 l - 7 kW/136 kW</t>
  </si>
  <si>
    <t>E9558</t>
  </si>
  <si>
    <t>Tanque de estocagem de asfalto com capacidade de 30.000 l</t>
  </si>
  <si>
    <t xml:space="preserve"> 95995 </t>
  </si>
  <si>
    <t>EXECUÇÃO DE PAVIMENTO COM APLICAÇÃO DE CONCRETO ASFÁLTICO, CAMADA DE ROLAMENTO - EXCLUSIVE CARGA E TRANSPORTE. AF_11/2019</t>
  </si>
  <si>
    <t xml:space="preserve"> 00001518 </t>
  </si>
  <si>
    <t>CONCRETO BETUMINOSO USINADO A QUENTE (CBUQ) PARA PAVIMENTACAO ASFALTICA, PADRAO DNIT, FAIXA C, COM CAP 50/70 - AQUISICAO POSTO USINA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</si>
  <si>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</si>
  <si>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</si>
  <si>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</si>
  <si>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</si>
  <si>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7030 </t>
  </si>
  <si>
    <t xml:space="preserve"> 90776 </t>
  </si>
  <si>
    <t>ENCARREGADO GERAL COM ENCARGOS COMPLEMENTARES</t>
  </si>
  <si>
    <t xml:space="preserve"> 95872 </t>
  </si>
  <si>
    <t>GRUPO GERADOR COM CARENAGEM, MOTOR DIESEL POTÊNCIA STANDART ENTRE 250 E 260 KVA - CHP DIURNO. AF_12/2016</t>
  </si>
  <si>
    <t xml:space="preserve"> 95873 </t>
  </si>
  <si>
    <t>GRUPO GERADOR COM CARENAGEM, MOTOR DIESEL POTÊNCIA STANDART ENTRE 250 E 260 KVA - CHI DIURNO. AF_12/2016</t>
  </si>
  <si>
    <t xml:space="preserve"> 100641 </t>
  </si>
  <si>
    <t>USINA DE MISTURA ASFÁLTICA À QUENTE, TIPO CONTRA FLUXO, PROD 100 A 140 TON/HORA - CHP DIURNO. AF_12/2019</t>
  </si>
  <si>
    <t xml:space="preserve"> 100642 </t>
  </si>
  <si>
    <t>USINA DE MISTURA ASFÁLTICA À QUENTE, TIPO CONTRA FLUXO, PROD 100 A 140 TON/HORA - CHI DIURNO. AF_12/2019</t>
  </si>
  <si>
    <t xml:space="preserve"> 91277 </t>
  </si>
  <si>
    <t>PLACA VIBRATÓRIA REVERSÍVEL COM MOTOR 4 TEMPOS A GASOLINA, FORÇA CENTRÍFUGA DE 25 KN (2500 KGF), POTÊNCIA 5,5 CV - CHP DIURNO. AF_08/2015</t>
  </si>
  <si>
    <t>ASTU - ASSENTAMENTO DE TUBOS E PECAS</t>
  </si>
  <si>
    <t xml:space="preserve"> 88246 </t>
  </si>
  <si>
    <t>ASSENTADOR DE TUBOS COM ENCARGOS COMPLEMENTARES</t>
  </si>
  <si>
    <t xml:space="preserve"> 88629 </t>
  </si>
  <si>
    <t>ARGAMASSA TRAÇO 1:3 (EM VOLUME DE CIMENTO E AREIA MÉDIA ÚMIDA), PREPARO MANUAL. AF_08/2019</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</si>
  <si>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</si>
  <si>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</si>
  <si>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</si>
  <si>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</si>
  <si>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CARGA, TRANSPORTE E DESCARGA DE TUBOS E CONEXÕES</t>
  </si>
  <si>
    <t xml:space="preserve"> 89272 </t>
  </si>
  <si>
    <t>GUINDASTE HIDRÁULICO AUTOPROPELIDO, COM LANÇA TELESCÓPICA 28,80 M, CAPACIDADE MÁXIMA 30 T, POTÊNCIA 97 KW, TRAÇÃO 4 X 4 - CHP DIURNO. AF_11/2014</t>
  </si>
  <si>
    <t xml:space="preserve"> 88261 </t>
  </si>
  <si>
    <t>CARPINTEIRO DE ESQUADRIA COM ENCARGOS COMPLEMENTARES</t>
  </si>
  <si>
    <t xml:space="preserve"> 88310 </t>
  </si>
  <si>
    <t>PINTOR COM ENCARGOS COMPLEMENTARES</t>
  </si>
  <si>
    <t xml:space="preserve"> 102486 </t>
  </si>
  <si>
    <t>CONCRETO FCK = 15MPA, TRAÇO 1:3,4:3,4 (EM MASSA SECA DE CIMENTO/ AREIA MÉDIA/ SEIXO ROLADO) - PREPARO MANUAL. AF_05/2021</t>
  </si>
  <si>
    <t xml:space="preserve"> 00004343 </t>
  </si>
  <si>
    <t>PARAFUSO FRANCES ZINCADO, DIAMETRO 1/2", COMPRIMENTO 4", COM PORCA E ARRUELA</t>
  </si>
  <si>
    <t xml:space="preserve"> 00007311 </t>
  </si>
  <si>
    <t>TINTA ESMALTE SINTETICO PREMIUM ACETINADO</t>
  </si>
  <si>
    <t xml:space="preserve"> 09.90.34 </t>
  </si>
  <si>
    <t>DROP - DRENAGEM/OBRAS DE CONTENÇÃO / POÇOS DE VISITA E CAIXAS</t>
  </si>
  <si>
    <t>M0004</t>
  </si>
  <si>
    <t>M0075</t>
  </si>
  <si>
    <t>Arame liso recozido em aço-carbono - D = 1,24 mm (18 BWG)</t>
  </si>
  <si>
    <t>ARMADOR COM ENCARGOS COMPLEMENTARES</t>
  </si>
  <si>
    <t>Aço CA 50 - Caminhão carroceria com capacidade de 15 t - 188 kW</t>
  </si>
  <si>
    <t>Arame liso recozido em aço-carbono - D = 1,24 mm (18 BWG) - Caminhão carroceria com capacidade de 15 t - 188 kW</t>
  </si>
  <si>
    <t>PARE - PAREDES/PAINEIS</t>
  </si>
  <si>
    <t xml:space="preserve"> 87292 </t>
  </si>
  <si>
    <t>ARGAMASSA TRAÇO 1:2:8 (EM VOLUME DE CIMENTO, CAL E AREIA MÉDIA ÚMIDA) PARA EMBOÇO/MASSA ÚNICA/ASSENTAMENTO DE ALVENARIA DE VEDAÇÃO, PREPARO MECÂNICO COM BETONEIRA 400 L. AF_08/2019</t>
  </si>
  <si>
    <t xml:space="preserve"> 00000654 </t>
  </si>
  <si>
    <t>BLOCO DE VEDACAO DE CONCRETO 19 X 19 X 39 CM (CLASSE C - NBR 6136)</t>
  </si>
  <si>
    <t xml:space="preserve"> 00034548 </t>
  </si>
  <si>
    <t>TELA DE ACO SOLDADA GALVANIZADA/ZINCADA PARA ALVENARIA, FIO  D = *1,20 A 1,70* MM, MALHA 15 X 15 MM, (C X L) *50 X 17,5* CM</t>
  </si>
  <si>
    <t xml:space="preserve"> 00037395 </t>
  </si>
  <si>
    <t>PINO DE ACO COM FURO, HASTE = 27 MM (ACAO DIRETA)</t>
  </si>
  <si>
    <t>CENTO</t>
  </si>
  <si>
    <t>M0447</t>
  </si>
  <si>
    <t>Compensado resinado - E = 12 mm</t>
  </si>
  <si>
    <t>Compensado resinado - E = 12 mm - Caminhão carroceria com capacidade de 15 t - 188 kW</t>
  </si>
  <si>
    <t xml:space="preserve"> 5863 </t>
  </si>
  <si>
    <t>ROLO COMPACTADOR VIBRATÓRIO REBOCÁVEL, CILINDRO DE AÇO LISO, POTÊNCIA DE TRAÇÃO DE 65 CV, PESO 4,7 T, IMPACTO DINÂMICO 18,3 T, LARGURA DE TRABALHO 1,67 M - CHP DIURNO. AF_02/2016</t>
  </si>
  <si>
    <t xml:space="preserve"> E9685 </t>
  </si>
  <si>
    <t>Rolo compactador pé de carneiro vibratório autopropelido por pneus de 11,6 t - 82 kW</t>
  </si>
  <si>
    <t xml:space="preserve"> E9577 </t>
  </si>
  <si>
    <t>Trator agrícola sobre pneus - 77 kW</t>
  </si>
  <si>
    <t xml:space="preserve"> E9669 </t>
  </si>
  <si>
    <t>Caminhão tanque com capacidade de 8.000 l - 136 kW</t>
  </si>
  <si>
    <t xml:space="preserve"> E9518 </t>
  </si>
  <si>
    <t>Grade de 24 discos rebocável de D = 60 cm (24”)</t>
  </si>
  <si>
    <t xml:space="preserve"> 92767 </t>
  </si>
  <si>
    <t>ARMAÇÃO DE LAJE DE ESTRUTURA CONVENCIONAL DE CONCRETO ARMADO UTILIZANDO AÇO CA-60 DE 4,2 MM - MONTAGEM. AF_06/2022</t>
  </si>
  <si>
    <t xml:space="preserve"> 00001358 </t>
  </si>
  <si>
    <t>CHAPA/PAINEL DE MADEIRA COMPENSADA RESINADA (MADEIRITE RESINADO ROSA) PARA FORMA DE CONCRETO, DE 2200 x 1100 MM, E = 17 MM</t>
  </si>
  <si>
    <t>M1429</t>
  </si>
  <si>
    <t>Tábua de pinho de terceira - E = 2,5 cm</t>
  </si>
  <si>
    <t>Tábua de pinho de terceira - E = 2,5 cm - Caminhão carroceria com capacidade de 15 t - 188 kW</t>
  </si>
  <si>
    <t xml:space="preserve"> 00012532 </t>
  </si>
  <si>
    <t>ANEL EM CONCRETO ARMADO, LISO, PARA POCOS DE INSPECAO, SEM FUNDO, DIAMETRO INTERNO DE 0,60 M E ALTURA DE 0,50 M</t>
  </si>
  <si>
    <t xml:space="preserve"> 92273 </t>
  </si>
  <si>
    <t>FABRICAÇÃO DE ESCORAS DO TIPO PONTALETE, EM MADEIRA, PARA PÉ-DIREITO SIMPLES. AF_09/2020</t>
  </si>
  <si>
    <t xml:space="preserve"> 00040304 </t>
  </si>
  <si>
    <t>PREGO DE ACO POLIDO COM CABECA DUPLA 17 X 27 (2 1/2 X 11)</t>
  </si>
  <si>
    <t xml:space="preserve"> 92106 </t>
  </si>
  <si>
    <t xml:space="preserve"> 100975 </t>
  </si>
  <si>
    <t>CARGA, MANOBRA E DESCARGA DE SOLOS E MATERIAIS GRANULARES EM CAMINHÃO BASCULANTE 14 M³ - CARGA COM PÁ CARREGADEIRA (CAÇAMBA DE 1,7 A 2,8 M³ / 128 HP) E DESCARGA LIVRE (UNIDADE: M3). AF_07/2020</t>
  </si>
  <si>
    <t xml:space="preserve"> 5847 </t>
  </si>
  <si>
    <t>TRATOR DE ESTEIRAS, POTÊNCIA 170 HP, PESO OPERACIONAL 19 T, CAÇAMBA 5,2 M3 - CHP DIURNO. AF_06/2014</t>
  </si>
  <si>
    <t xml:space="preserve"> 5849 </t>
  </si>
  <si>
    <t>TRATOR DE ESTEIRAS, POTÊNCIA 170 HP, PESO OPERACIONAL 19 T, CAÇAMBA 5,2 M3 - CHI DIURNO. AF_06/2014</t>
  </si>
  <si>
    <t xml:space="preserve"> 93592 </t>
  </si>
  <si>
    <t>TRANSPORTE COM CAMINHÃO BASCULANTE DE 14 M³, EM VIA URBANA EM REVESTIMENTO PRIMÁRIO (UNIDADE: M3XKM). AF_07/2020</t>
  </si>
  <si>
    <t xml:space="preserve"> 73436 </t>
  </si>
  <si>
    <t>ROLO COMPACTADOR VIBRATÓRIO PÉ DE CARNEIRO PARA SOLOS, POTÊNCIA 80 HP, PESO OPERACIONAL SEM/COM LASTRO 7,4 / 8,8 T, LARGURA DE TRABALHO 1,68 M - CHP DIURNO. AF_02/2016</t>
  </si>
  <si>
    <t xml:space="preserve"> 93244 </t>
  </si>
  <si>
    <t>ROLO COMPACTADOR VIBRATÓRIO PÉ DE CARNEIRO PARA SOLOS, POTÊNCIA 80 HP, PESO OPERACIONAL SEM/COM LASTRO 7,4 / 8,8 T, LARGURA DE TRABALHO 1,68 M - CHI DIURNO. AF_02/2016</t>
  </si>
  <si>
    <t>E9518</t>
  </si>
  <si>
    <t>E9685</t>
  </si>
  <si>
    <t>E9577</t>
  </si>
  <si>
    <t>M0220</t>
  </si>
  <si>
    <t>Adubo à base de nitrogênio, fósforo e potássio (NPK)</t>
  </si>
  <si>
    <t>M0225</t>
  </si>
  <si>
    <t>Adubo orgânico composto</t>
  </si>
  <si>
    <t>M0217</t>
  </si>
  <si>
    <t>Enxofre</t>
  </si>
  <si>
    <t>M1755</t>
  </si>
  <si>
    <t>Pó calcário dolomítico</t>
  </si>
  <si>
    <t>M1358</t>
  </si>
  <si>
    <t>Sarrafo em madeira de terceira - E = 2,5 cm e L = 5 cm</t>
  </si>
  <si>
    <t>Obtenção de grama para replantio</t>
  </si>
  <si>
    <t>Obtenção de grama para replantio - Caminhão carroceria com capacidade de 15 t - 188 kW</t>
  </si>
  <si>
    <t>Adubo à base de nitrogênio, fósforo e potássio (NPK) - Caminhão carroceria com capacidade de 15 t - 188 kW</t>
  </si>
  <si>
    <t>Adubo orgânico composto - Caminhão carroceria com capacidade de 15 t - 188 kW</t>
  </si>
  <si>
    <t>Pó calcário dolomítico - Caminhão carroceria com capacidade de 15 t - 188 kW</t>
  </si>
  <si>
    <t>Sarrafo em madeira de terceira - E = 2,5 cm e L = 5 cm - Caminhão carroceria com capacidade de 15 t - 188 kW</t>
  </si>
  <si>
    <t xml:space="preserve"> 00004059 </t>
  </si>
  <si>
    <t>MEIO-FIO OU GUIA DE CONCRETO, PRE-MOLDADO, COMP 1 M, *30 X 12/15* CM (H X L1/L2)</t>
  </si>
  <si>
    <t>E9687</t>
  </si>
  <si>
    <t>Caminhão carroceria com capacidade de 5 t - 115 kW</t>
  </si>
  <si>
    <t>Placa em aço nº 16 galvanizado com película retrorrefletiva tipo I + III - confecção</t>
  </si>
  <si>
    <t>M0787</t>
  </si>
  <si>
    <t>Suporte em aço-carbono galvanizado tipo perfil C para placa de sinalização</t>
  </si>
  <si>
    <t>Concreto fck = 20 MPa - confecção em betoneira e lançamento manual - areia e brita comerciais</t>
  </si>
  <si>
    <t>Escavação manual em material de 1ª categoria na profundidade de até 1 m</t>
  </si>
  <si>
    <t>Suporte em aço-carbono galvanizado tipo perfil C para placa de sinalização - Caminhão carroceria com capacidade de 15 t - 188 kW</t>
  </si>
  <si>
    <t>E9645</t>
  </si>
  <si>
    <t>Caminhão demarcador de faixas com sistema de pintura a quente - 5 kW/30,10 kW/136 kW</t>
  </si>
  <si>
    <t>M2040</t>
  </si>
  <si>
    <t>Massa termoplástica para aspersão</t>
  </si>
  <si>
    <t>M2038</t>
  </si>
  <si>
    <t>Microesferas refletivas de vidro tipo II-A</t>
  </si>
  <si>
    <t>M2044</t>
  </si>
  <si>
    <t>Tinta à base de resina acrílica emulsionada em água para pré-marcação viária</t>
  </si>
  <si>
    <t>Massa termoplástica para aspersão - Caminhão carroceria com capacidade de 15 t - 188 kW</t>
  </si>
  <si>
    <t>Microesferas refletivas de vidro tipo II-A - Caminhão carroceria com capacidade de 15 t - 188 kW</t>
  </si>
  <si>
    <t>Caixas de Inspeção</t>
  </si>
  <si>
    <t xml:space="preserve"> 81.01.10 </t>
  </si>
  <si>
    <t>EQUIPE DE 2 ELEMENTOS COM - SAVEIRO (M)*</t>
  </si>
  <si>
    <t>hora</t>
  </si>
  <si>
    <t>Conversão InfoWOrca</t>
  </si>
  <si>
    <t xml:space="preserve"> 155 </t>
  </si>
  <si>
    <t>Alvenaria tijolo cerâmico maciço (5x9x19), esp = 0,09m (singela), com argamassa traço t5 - 1:2:8 (cimento / cal / areia) c/ junta de 2,0cm - R1</t>
  </si>
  <si>
    <t>Alvenarias de Vedação</t>
  </si>
  <si>
    <t xml:space="preserve"> 1903 </t>
  </si>
  <si>
    <t>Argamassa cimento e areia traço t-1 (1:3) - 1 saco cimento 50kg / 3 padiolas areia dim. 0.35 x 0.45 x 0.23 m - Confecção mecânica e transporte</t>
  </si>
  <si>
    <t>Argamassas</t>
  </si>
  <si>
    <t xml:space="preserve"> 00006240 </t>
  </si>
  <si>
    <t>Infraestrutura</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</si>
  <si>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</si>
  <si>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</si>
  <si>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</si>
  <si>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</si>
  <si>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</si>
  <si>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</si>
  <si>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E9575</t>
  </si>
  <si>
    <t>Caminhão basculante com caçamba estanque com capacidade de 14 m³ - 188 kW</t>
  </si>
  <si>
    <t>E9576</t>
  </si>
  <si>
    <t>Escavadeira hidráulica de longo alcance sobre esteiras - 103 kW</t>
  </si>
  <si>
    <t>Gabião caixa 2 x 1 x 0,50 m - Zn/Al + PVC - D = 2,4 mm - pedra de mão comercial - fornecimento e assentamento</t>
  </si>
  <si>
    <t>E9526</t>
  </si>
  <si>
    <t>M0232</t>
  </si>
  <si>
    <t>Gabião tipo caixa em liga de zinco e alumínio revestido com polímero de malha hexagonal - C = 2,00 m, L =</t>
  </si>
  <si>
    <t>M1097</t>
  </si>
  <si>
    <t>Pedra de mão ou rachão</t>
  </si>
  <si>
    <t>Gabião tipo caixa em liga de zinco e alumínio revestido com polímero de malha hexagonal - C = 2,00 m, L = - Caminhão carroceria com capacidade de 15 t - 188 kW</t>
  </si>
  <si>
    <t>Pedra de mão ou rachão - Caminhão basculante com capacidade de 10 m³ - 188 kW</t>
  </si>
  <si>
    <t>Gabião caixa 2 x 1 x 1,00 m - Zn/Al + PVC - D = 2,4 mm - pedra de mão comercial - fornecimento e assentamento</t>
  </si>
  <si>
    <t>M0233</t>
  </si>
  <si>
    <t>Gabião colchão espessura 0,23 m - Zn/Al + PVC - D = 2,0 mm - pedra de mão comercial - fornecimento e assentamento</t>
  </si>
  <si>
    <t>M0235</t>
  </si>
  <si>
    <t>Gabião tipo colchão em liga de zinco e alumínio revestido com polímero de malha hexagonal - E = 0,23 m</t>
  </si>
  <si>
    <t>Gabião tipo colchão em liga de zinco e alumínio revestido com polímero de malha hexagonal - E = 0,23 m - Caminhão carroceria com capacidade de 15 t - 188 kW</t>
  </si>
  <si>
    <t>Concreto magro - confecção em betoneira e lançamento manual - areia e brita comerciais</t>
  </si>
  <si>
    <t>E9519</t>
  </si>
  <si>
    <t>Betoneira com motor a gasolina com capacidade de 600 l - 10 kW</t>
  </si>
  <si>
    <t>E9064</t>
  </si>
  <si>
    <t>Transportador manual gerica com capacidade de 180 l</t>
  </si>
  <si>
    <t>M0082</t>
  </si>
  <si>
    <t>Areia média lavada</t>
  </si>
  <si>
    <t>M0424</t>
  </si>
  <si>
    <t>Cimento Portland CP II - 32 - saco</t>
  </si>
  <si>
    <t>Areia média lavada - Caminhão basculante com capacidade de 10 m³ - 188 kW</t>
  </si>
  <si>
    <t>Cimento Portland CP II - 32 - saco - Caminhão carroceria com capacidade de 15 t - 188 kW</t>
  </si>
  <si>
    <t>Mantas Geotéxteis</t>
  </si>
  <si>
    <t xml:space="preserve"> 00004011 </t>
  </si>
  <si>
    <t>GEOTEXTIL NAO TECIDO AGULHADO DE FILAMENTOS CONTINUOS 100% POLIESTER, RESITENCIA A TRACAO = 10 KN/M</t>
  </si>
  <si>
    <t xml:space="preserve"> 00004012 </t>
  </si>
  <si>
    <t>GEOTEXTIL NAO TECIDO AGULHADO DE FILAMENTOS CONTINUOS 100% POLIESTER, RESITENCIA A TRACAO = 21 KN/M</t>
  </si>
  <si>
    <t>M1449</t>
  </si>
  <si>
    <t>Geogrelha unidirecional em poliéster - resistência à tração longitudinal de 100 kN/m</t>
  </si>
  <si>
    <t>Geogrelha unidirecional em poliéster - resistência à tração longitudinal de 100 kN/m - Caminhão carroceria com capacidade de 15 t - 188 kW</t>
  </si>
  <si>
    <t xml:space="preserve"> 88830 </t>
  </si>
  <si>
    <t xml:space="preserve"> 88831 </t>
  </si>
  <si>
    <t xml:space="preserve"> 88315 </t>
  </si>
  <si>
    <t>SERRALHEIRO COM ENCARGOS COMPLEMENTARES</t>
  </si>
  <si>
    <t xml:space="preserve"> 88242 </t>
  </si>
  <si>
    <t>AJUDANTE DE PEDREIRO COM ENCARGOS COMPLEMENTARES</t>
  </si>
  <si>
    <t xml:space="preserve"> 00001381 </t>
  </si>
  <si>
    <t>ARGAMASSA COLANTE AC I PARA CERAMICAS</t>
  </si>
  <si>
    <t xml:space="preserve"> 00000565 </t>
  </si>
  <si>
    <t xml:space="preserve"> 00000567 </t>
  </si>
  <si>
    <t>FUNDACOES DIRETAS</t>
  </si>
  <si>
    <t xml:space="preserve"> 88238 </t>
  </si>
  <si>
    <t>AJUDANTE DE ARMADOR COM ENCARGOS COMPLEMENTARES</t>
  </si>
  <si>
    <t xml:space="preserve"> 88245 </t>
  </si>
  <si>
    <t xml:space="preserve"> 048112 </t>
  </si>
  <si>
    <t xml:space="preserve"> 00004107 </t>
  </si>
  <si>
    <t>MOURAO DE CONCRETO RETO, SECAO QUADARA *10 X 10* CM, H= *2,30* M</t>
  </si>
  <si>
    <t xml:space="preserve"> 00004460 </t>
  </si>
  <si>
    <t xml:space="preserve"> 00010937 </t>
  </si>
  <si>
    <t>TELA DE ARAME GALVANIZADA REVESTIDA EM PVC, QUADRANGULAR / LOSANGULAR, FIO 2,11 MM (14 BWG), BITOLA FINAL = *2,8* MM, MALHA *8 X 8* CM, H = 2 M</t>
  </si>
  <si>
    <t xml:space="preserve"> 00043130 </t>
  </si>
  <si>
    <t>ARAME GALVANIZADO 12 BWG, D = 2,76 MM (0,048 KG/M) OU 14 BWG, D = 2,11 MM (0,026 KG/M)</t>
  </si>
  <si>
    <t xml:space="preserve"> 83765 </t>
  </si>
  <si>
    <t>GRUPO DE SOLDAGEM COM GERADOR A DIESEL 60 CV PARA SOLDA ELÉTRICA, SOBRE 04 RODAS, COM MOTOR 4 CILINDROS 600 A - CHP DIURNO. AF_02/2016</t>
  </si>
  <si>
    <t xml:space="preserve"> 100726 </t>
  </si>
  <si>
    <t>PINTURA COM TINTA ALQUÍDICA DE FUNDO E ACABAMENTO (ESMALTE SINTÉTICO GRAFITE) APLICADA A ROLO OU PINCEL SOBRE SUPERFÍCIES METÁLICAS (EXCETO PERFIL) EXECUTADO EM OBRA (POR DEMÃO). AF_01/2020</t>
  </si>
  <si>
    <t xml:space="preserve"> 100722 </t>
  </si>
  <si>
    <t>PINTURA COM TINTA ALQUÍDICA DE FUNDO (TIPO ZARCÃO) APLICADA A ROLO OU PINCEL SOBRE SUPERFÍCIES METÁLICAS (EXCETO PERFIL) EXECUTADO EM OBRA (POR DEMÃO). AF_01/2020</t>
  </si>
  <si>
    <t xml:space="preserve"> 100717 </t>
  </si>
  <si>
    <t>LIXAMENTO MANUAL EM SUPERFÍCIES METÁLICAS EM OBRA. AF_01/2020</t>
  </si>
  <si>
    <t xml:space="preserve"> 00037411 </t>
  </si>
  <si>
    <t>TELA DE ACO SOLDADA GALVANIZADA/ZINCADA PARA ALVENARIA, FIO D = *1,24 MM, MALHA 25 X 25 MM</t>
  </si>
  <si>
    <t xml:space="preserve"> 00021012 </t>
  </si>
  <si>
    <t xml:space="preserve"> 00011002 </t>
  </si>
  <si>
    <t>ELETRODO REVESTIDO AWS - E6013, DIAMETRO IGUAL A 2,50 MM</t>
  </si>
  <si>
    <t>Composições Auxiliares</t>
  </si>
  <si>
    <t xml:space="preserve"> 5914647 </t>
  </si>
  <si>
    <t>E9579</t>
  </si>
  <si>
    <t>Caminhão basculante com capacidade de 10 m³ - 188 kW</t>
  </si>
  <si>
    <t xml:space="preserve"> 5915399 </t>
  </si>
  <si>
    <t>E9506</t>
  </si>
  <si>
    <t>Caminhão basculante com capacidade de 6 m³ - 136 kW</t>
  </si>
  <si>
    <t>E9584</t>
  </si>
  <si>
    <t>Carregadeira de pneus com capacidade de 1,72 m³ - 113 kW</t>
  </si>
  <si>
    <t xml:space="preserve"> 5914333 </t>
  </si>
  <si>
    <t>Carga, manobra e descarga de materiais diversos em caminhão carroceria de 15 t - carga e descarga com caminhãoguindauto de 20 t.m</t>
  </si>
  <si>
    <t>E9592</t>
  </si>
  <si>
    <t>Caminhão carroceria com capacidade de 15 t - 188 kW</t>
  </si>
  <si>
    <t>E9686</t>
  </si>
  <si>
    <t xml:space="preserve"> 71.01.10 </t>
  </si>
  <si>
    <t xml:space="preserve"> 30.90.15 </t>
  </si>
  <si>
    <t xml:space="preserve"> 57.02.58 </t>
  </si>
  <si>
    <t xml:space="preserve"> 57.02.67 </t>
  </si>
  <si>
    <t xml:space="preserve"> 59.04.01 </t>
  </si>
  <si>
    <t>CONSUMO COMBUSTIVEL - SAVEIRO (10km/litro)</t>
  </si>
  <si>
    <t xml:space="preserve"> 59.05.01 </t>
  </si>
  <si>
    <t xml:space="preserve"> 101445 </t>
  </si>
  <si>
    <t xml:space="preserve"> 101452 </t>
  </si>
  <si>
    <t>SERVENTE DE OBRAS COM ENCARGOS COMPLEMENTARES</t>
  </si>
  <si>
    <t xml:space="preserve"> 88248 </t>
  </si>
  <si>
    <t>AUXILIAR DE ENCANADOR OU BOMBEIRO HIDRÁULICO COM ENCARGOS COMPLEMENTARES</t>
  </si>
  <si>
    <t xml:space="preserve"> 00000096 </t>
  </si>
  <si>
    <t>ADAPTADOR PVC SOLDAVEL, COM FLANGE E ANEL DE VEDACAO, 25 MM X 3/4", PARA CAIXA D'AGUA</t>
  </si>
  <si>
    <t xml:space="preserve"> 00020083 </t>
  </si>
  <si>
    <t>SOLUCAO PREPARADORA / LIMPADORA PARA PVC, FRASCO COM 1000 CM3</t>
  </si>
  <si>
    <t xml:space="preserve"> 00038383 </t>
  </si>
  <si>
    <t>LIXA D'AGUA EM FOLHA, GRAO 100</t>
  </si>
  <si>
    <t xml:space="preserve"> 89383 </t>
  </si>
  <si>
    <t>ADAPTADOR CURTO COM BOLSA E ROSCA PARA REGISTRO, PVC, SOLDÁVEL, DN 25MM X 3/4 , INSTALADO EM RAMAL OU SUB-RAMAL DE ÁGUA - FORNECIMENTO E INSTALAÇÃO. AF_06/2022</t>
  </si>
  <si>
    <t xml:space="preserve"> 00000065 </t>
  </si>
  <si>
    <t>ADAPTADOR PVC SOLDAVEL CURTO COM BOLSA E ROSCA, 25 MM X 3/4", PARA AGUA FRIA</t>
  </si>
  <si>
    <t xml:space="preserve"> 00000122 </t>
  </si>
  <si>
    <t>ADESIVO PLASTICO PARA PVC, FRASCO COM *850* GR</t>
  </si>
  <si>
    <t xml:space="preserve"> 95308 </t>
  </si>
  <si>
    <t>CURSO DE CAPACITAÇÃO PARA AJUDANTE DE ARMADOR (ENCARGOS COMPLEMENTARES) - HORISTA</t>
  </si>
  <si>
    <t xml:space="preserve"> 00006114 </t>
  </si>
  <si>
    <t>AJUDANTE DE ARMADOR (HORISTA)</t>
  </si>
  <si>
    <t xml:space="preserve"> 00037370 </t>
  </si>
  <si>
    <t xml:space="preserve"> 00037371 </t>
  </si>
  <si>
    <t>Serviços</t>
  </si>
  <si>
    <t xml:space="preserve"> 00037372 </t>
  </si>
  <si>
    <t xml:space="preserve"> 00037373 </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</si>
  <si>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</si>
  <si>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</si>
  <si>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</si>
  <si>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</si>
  <si>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</si>
  <si>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</si>
  <si>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</si>
  <si>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</si>
  <si>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</si>
  <si>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</si>
  <si>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</si>
  <si>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</si>
  <si>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95311 </t>
  </si>
  <si>
    <t>CURSO DE CAPACITAÇÃO PARA AJUDANTE DE OPERAÇÃO EM GERAL (ENCARGOS COMPLEMENTARES) - HORISTA</t>
  </si>
  <si>
    <t xml:space="preserve"> 00000248 </t>
  </si>
  <si>
    <t>AJUDANTE DE OPERACAO EM GERAL (HORISTA)</t>
  </si>
  <si>
    <t xml:space="preserve"> 95312 </t>
  </si>
  <si>
    <t>CURSO DE CAPACITAÇÃO PARA AJUDANTE DE PEDREIRO (ENCARGOS COMPLEMENTARES) - HORISTA</t>
  </si>
  <si>
    <t xml:space="preserve"> 00006127 </t>
  </si>
  <si>
    <t>AUXILIAR DE PEDREIRO (HORISTA)</t>
  </si>
  <si>
    <t xml:space="preserve"> 00034566 </t>
  </si>
  <si>
    <t>BLOCO DE CONCRETO ESTRUTURAL 14 X 19 X 29 CM, FBK 6 MPA (NBR 6136)</t>
  </si>
  <si>
    <t xml:space="preserve"> 00007356 </t>
  </si>
  <si>
    <t>TINTA LATEX ACRILICA PREMIUM, COR BRANCO FOSCO</t>
  </si>
  <si>
    <t xml:space="preserve"> 87367 </t>
  </si>
  <si>
    <t>ARGAMASSA TRAÇO 1:1:6 (EM VOLUME DE CIMENTO, CAL E AREIA MÉDIA ÚMIDA) PARA EMBOÇO/MASSA ÚNICA/ASSENTAMENTO DE ALVENARIA DE VEDAÇÃO, PREPARO MANUAL. AF_08/2019</t>
  </si>
  <si>
    <t xml:space="preserve"> 100475 </t>
  </si>
  <si>
    <t>ARGAMASSA TRAÇO 1:3 (EM VOLUME DE CIMENTO E AREIA MÉDIA ÚMIDA) COM ADIÇÃO DE IMPERMEABILIZANTE, PREPARO MECÂNICO COM BETONEIRA 400 L. AF_08/2019</t>
  </si>
  <si>
    <t xml:space="preserve"> 00000123 </t>
  </si>
  <si>
    <t>ADITIVO IMPERMEABILIZANTE DE PEGA NORMAL PARA ARGAMASSAS E CONCRETOS SEM ARMACAO, LIQUIDO E ISENTO DE CLORETOS</t>
  </si>
  <si>
    <t xml:space="preserve"> 87316 </t>
  </si>
  <si>
    <t>ARGAMASSA TRAÇO 1:4 (EM VOLUME DE CIMENTO E AREIA GROSSA ÚMIDA) PARA CHAPISCO CONVENCIONAL, PREPARO MECÂNICO COM BETONEIRA 400 L. AF_08/2019</t>
  </si>
  <si>
    <t xml:space="preserve"> 95314 </t>
  </si>
  <si>
    <t>CURSO DE CAPACITAÇÃO PARA ARMADOR (ENCARGOS COMPLEMENTARES) - HORISTA</t>
  </si>
  <si>
    <t xml:space="preserve"> 00000378 </t>
  </si>
  <si>
    <t>ARMADOR (HORISTA)</t>
  </si>
  <si>
    <t xml:space="preserve"> 92799 </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</si>
  <si>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</si>
  <si>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</si>
  <si>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</si>
  <si>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</si>
  <si>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92768 </t>
  </si>
  <si>
    <t>ARMAÇÃO DE LAJE DE ESTRUTURA CONVENCIONAL DE CONCRETO ARMADO UTILIZANDO AÇO CA-60 DE 5,0 MM - MONTAGEM. AF_06/2022</t>
  </si>
  <si>
    <t xml:space="preserve"> 92800 </t>
  </si>
  <si>
    <t>CORTE E DOBRA DE AÇO CA-60, DIÂMETRO DE 5,0 MM. AF_06/2022</t>
  </si>
  <si>
    <t xml:space="preserve"> 95315 </t>
  </si>
  <si>
    <t>CURSO DE CAPACITAÇÃO PARA ASSENTADOR DE TUBOS (ENCARGOS COMPLEMENTARES) - HORISTA</t>
  </si>
  <si>
    <t xml:space="preserve"> 00040331 </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</si>
  <si>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</si>
  <si>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</si>
  <si>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</si>
  <si>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</si>
  <si>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</si>
  <si>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</si>
  <si>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</si>
  <si>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</si>
  <si>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</si>
  <si>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</si>
  <si>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</si>
  <si>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</si>
  <si>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</si>
  <si>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</si>
  <si>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</si>
  <si>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</si>
  <si>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</si>
  <si>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</si>
  <si>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</si>
  <si>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</si>
  <si>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95321 </t>
  </si>
  <si>
    <t>CURSO DE CAPACITAÇÃO PARA AUXILIAR DE SERVIÇOS GERAIS (ENCARGOS COMPLEMENTARES) - HORISTA</t>
  </si>
  <si>
    <t xml:space="preserve"> 00006121 </t>
  </si>
  <si>
    <t xml:space="preserve"> 00043467 </t>
  </si>
  <si>
    <t>FERRAMENTAS - FAMILIA SERVENTE - HORISTA (ENCARGOS COMPLEMENTARES - COLETADO CAIXA)</t>
  </si>
  <si>
    <t xml:space="preserve"> 00043491 </t>
  </si>
  <si>
    <t>EPI - FAMILIA SERVENTE - HORISTA (ENCARGOS COMPLEMENTARES - COLETADO CAIXA)</t>
  </si>
  <si>
    <t xml:space="preserve"> 3308 </t>
  </si>
  <si>
    <t>Argamassa em volume - cimento, cal e areia traço t-5 (1:2:8) - 1 saco cimento 50 kg / 2 sacos cal 20 kg / 8 padiolas de areia dim 0.35 x 0.45 x 0.13 m - Confecção mecânica e transporte</t>
  </si>
  <si>
    <t xml:space="preserve"> 2212 </t>
  </si>
  <si>
    <t>Tijolo cerâmico maciço 5 x 9 x 19cm</t>
  </si>
  <si>
    <t xml:space="preserve"> 88826 </t>
  </si>
  <si>
    <t xml:space="preserve"> 88827 </t>
  </si>
  <si>
    <t xml:space="preserve"> 88828 </t>
  </si>
  <si>
    <t xml:space="preserve"> 88829 </t>
  </si>
  <si>
    <t xml:space="preserve"> 00010535 </t>
  </si>
  <si>
    <t>BETONEIRA CAPACIDADE NOMINAL 400 L, CAPACIDADE DE MISTURA  280 L, MOTOR ELETRICO TRIFASICO 220/380 V POTENCIA 2 CV, SEM CARREGADOR</t>
  </si>
  <si>
    <t xml:space="preserve"> 00002705 </t>
  </si>
  <si>
    <t>ENERGIA ELETRICA ATE 2000 KWH INDUSTRIAL, SEM DEMANDA</t>
  </si>
  <si>
    <t xml:space="preserve"> 89221 </t>
  </si>
  <si>
    <t xml:space="preserve"> 89222 </t>
  </si>
  <si>
    <t xml:space="preserve"> 89223 </t>
  </si>
  <si>
    <t xml:space="preserve"> 89224 </t>
  </si>
  <si>
    <t xml:space="preserve"> 00036397 </t>
  </si>
  <si>
    <t>BETONEIRA, CAPACIDADE NOMINAL 600 L, CAPACIDADE DE MISTURA  360L, MOTOR ELETRICO TRIFASICO 220/380V, POTENCIA 4CV, EXCLUSO CARREGADOR</t>
  </si>
  <si>
    <t xml:space="preserve"> 5213387 </t>
  </si>
  <si>
    <t>M3236</t>
  </si>
  <si>
    <t>Película retrorrefletiva tipo III + SI</t>
  </si>
  <si>
    <t>M2034</t>
  </si>
  <si>
    <t>Solvente para tinta à base de resina acrílica</t>
  </si>
  <si>
    <t>M2128</t>
  </si>
  <si>
    <t>Tinta esmalte sintético acetinado</t>
  </si>
  <si>
    <t>Película retrorrefletiva tipo III + SI - Caminhão carroceria com capacidade de 15 t - 188 kW</t>
  </si>
  <si>
    <t>Solvente para tinta à base de resina acrílica - Caminhão carroceria com capacidade de 15 t - 188 kW</t>
  </si>
  <si>
    <t>Tinta esmalte sintético acetinado - Caminhão carroceria com capacidade de 15 t - 188 kW</t>
  </si>
  <si>
    <t xml:space="preserve"> 00001013 </t>
  </si>
  <si>
    <t>CABO DE COBRE, FLEXIVEL, CLASSE 4 OU 5, ISOLACAO EM PVC/A, ANTICHAMA BWF-B, 1 CONDUTOR, 450/750 V, SECAO NOMINAL 1,5 MM2</t>
  </si>
  <si>
    <t xml:space="preserve"> 00021127 </t>
  </si>
  <si>
    <t>FITA ISOLANTE ADESIVA ANTICHAMA, USO ATE 750 V, EM ROLO DE 19 MM X 5 M</t>
  </si>
  <si>
    <t xml:space="preserve"> 00001014 </t>
  </si>
  <si>
    <t>CABO DE COBRE, FLEXIVEL, CLASSE 4 OU 5, ISOLACAO EM PVC/A, ANTICHAMA BWF-B, 1 CONDUTOR, 450/750 V, SECAO NOMINAL 2,5 MM2</t>
  </si>
  <si>
    <t xml:space="preserve"> 101619 </t>
  </si>
  <si>
    <t>PREPARO DE FUNDO DE VALA COM LARGURA MENOR QUE 1,5 M, COM CAMADA DE BRITA, LANÇAMENTO MANUAL. AF_08/2020</t>
  </si>
  <si>
    <t xml:space="preserve"> 97734 </t>
  </si>
  <si>
    <t>PEÇA RETANGULAR PRÉ-MOLDADA, VOLUME DE CONCRETO DE 10 A 30 LITROS, TAXA DE AÇO APROXIMADA DE 30KG/M³. AF_01/2018</t>
  </si>
  <si>
    <t xml:space="preserve"> 00007258 </t>
  </si>
  <si>
    <t>TIJOLO CERAMICO MACICO COMUM *5 X 10 X 20* CM (L X A X C)</t>
  </si>
  <si>
    <t xml:space="preserve"> 91386 </t>
  </si>
  <si>
    <t>CAMINHÃO BASCULANTE 10 M3, TRUCADO CABINE SIMPLES, PESO BRUTO TOTAL 23.000 KG, CARGA ÚTIL MÁXIMA 15.935 KG, DISTÂNCIA ENTRE EIXOS 4,80 M, POTÊNCIA 230 CV INCLUSIVE CAÇAMBA METÁLICA - CHP DIURNO. AF_06/2014</t>
  </si>
  <si>
    <t xml:space="preserve"> 88281 </t>
  </si>
  <si>
    <t>MOTORISTA DE BASCULANTE COM ENCARGOS COMPLEMENTARES</t>
  </si>
  <si>
    <t xml:space="preserve"> 91380 </t>
  </si>
  <si>
    <t>CAMINHÃO BASCULANTE 10 M3, TRUCADO CABINE SIMPLES, PESO BRUTO TOTAL 23.000 KG, CARGA ÚTIL MÁXIMA 15.935 KG, DISTÂNCIA ENTRE EIXOS 4,80 M, POTÊNCIA 230 CV INCLUSIVE CAÇAMBA METÁLICA - DEPRECIAÇÃO. AF_06/2014</t>
  </si>
  <si>
    <t xml:space="preserve"> 91381 </t>
  </si>
  <si>
    <t>CAMINHÃO BASCULANTE 10 M3, TRUCADO CABINE SIMPLES, PESO BRUTO TOTAL 23.000 KG, CARGA ÚTIL MÁXIMA 15.935 KG, DISTÂNCIA ENTRE EIXOS 4,80 M, POTÊNCIA 230 CV INCLUSIVE CAÇAMBA METÁLICA - JUROS.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</si>
  <si>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</si>
  <si>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</si>
  <si>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91383 </t>
  </si>
  <si>
    <t>CAMINHÃO BASCULANTE 10 M3, TRUCADO CABINE SIMPLES, PESO BRUTO TOTAL 23.000 KG, CARGA ÚTIL MÁXIMA 15.935 KG, DISTÂNCIA ENTRE EIXOS 4,80 M, POTÊNCIA 230 CV INCLUSIVE CAÇAMBA METÁLICA - MANUTENÇÃO. AF_06/2014</t>
  </si>
  <si>
    <t xml:space="preserve"> 91384 </t>
  </si>
  <si>
    <t>CAMINHÃO BASCULANTE 10 M3, TRUCADO CABINE SIMPLES, PESO BRUTO TOTAL 23.000 KG, CARGA ÚTIL MÁXIMA 15.935 KG, DISTÂNCIA ENTRE EIXOS 4,80 M, POTÊNCIA 230 CV INCLUSIVE CAÇAMBA METÁLICA - MATERIAIS NA OPERAÇÃO. AF_06/2014</t>
  </si>
  <si>
    <t xml:space="preserve"> 00037734 </t>
  </si>
  <si>
    <t>CACAMBA METALICA BASCULANTE COM CAPACIDADE DE 10 M3 (INCLUI MONTAGEM, NAO INCLUI CAMINHAO)</t>
  </si>
  <si>
    <t xml:space="preserve"> 00037758 </t>
  </si>
  <si>
    <t>CAMINHAO TRUCADO, PESO BRUTO TOTAL 23000 KG, CARGA UTIL MAXIMA 15285 KG, DISTANCIA ENTRE EIXOS 4,80 M, POTENCIA 326 CV (INCLUI CABINE E CHASSI, NAO INCLUI CARROCERIA)</t>
  </si>
  <si>
    <t xml:space="preserve"> 89870 </t>
  </si>
  <si>
    <t>CAMINHÃO BASCULANTE 14 M3, COM CAVALO MECÂNICO DE CAPACIDADE MÁXIMA DE TRAÇÃO COMBINADO DE 36000 KG, POTÊNCIA 286 CV, INCLUSIVE SEMIREBOQUE COM CAÇAMBA METÁLICA - DEPRECIAÇÃO. AF_12/2014</t>
  </si>
  <si>
    <t xml:space="preserve"> 89871 </t>
  </si>
  <si>
    <t>CAMINHÃO BASCULANTE 14 M3, COM CAVALO MECÂNICO DE CAPACIDADE MÁXIMA DE TRAÇÃO COMBINADO DE 36000 KG, POTÊNCIA 286 CV, INCLUSIVE SEMIREBOQUE COM CAÇAMBA METÁLICA - JUROS. AF_12/2014</t>
  </si>
  <si>
    <t xml:space="preserve"> 89872 </t>
  </si>
  <si>
    <t>CAMINHÃO BASCULANTE 14 M3, COM CAVALO MECÂNICO DE CAPACIDADE MÁXIMA DE TRAÇÃO COMBINADO DE 36000 KG, POTÊNCIA 286 CV, INCLUSIVE SEMIREBOQUE COM CAÇAMBA METÁLICA - IMPOSTOS E SEGUROS. AF_12/2014</t>
  </si>
  <si>
    <t xml:space="preserve"> 89873 </t>
  </si>
  <si>
    <t>CAMINHÃO BASCULANTE 14 M3, COM CAVALO MECÂNICO DE CAPACIDADE MÁXIMA DE TRAÇÃO COMBINADO DE 36000 KG, POTÊNCIA 286 CV, INCLUSIVE SEMIREBOQUE COM CAÇAMBA METÁLICA - MANUTENÇÃO. AF_12/2014</t>
  </si>
  <si>
    <t xml:space="preserve"> 89874 </t>
  </si>
  <si>
    <t>CAMINHÃO BASCULANTE 14 M3, COM CAVALO MECÂNICO DE CAPACIDADE MÁXIMA DE TRAÇÃO COMBINADO DE 36000 KG, POTÊNCIA 286 CV, INCLUSIVE SEMIREBOQUE COM CAÇAMBA METÁLICA - MATERIAIS NA OPERAÇÃO. AF_12/2014</t>
  </si>
  <si>
    <t xml:space="preserve"> 00037743 </t>
  </si>
  <si>
    <t>SEMIRREBOQUE COM DOIS EIXOS EM TANDEM TIPO BASCULANTE COM CACAMBA METALICA 14 M3  (INCLUI MONTAGEM, NAO INCLUI CAVALO MECANICO)</t>
  </si>
  <si>
    <t xml:space="preserve"> 00037762 </t>
  </si>
  <si>
    <t>CAVALO MECANICO TRACAO 4X2, PESO BRUTO TOTAL 16000 KG, CAPACIDADE MAXIMA DE TRACAO *36000* KG, DISTANCIA ENTRE EIXOS *3,56* M, POTENCIA *286* CV (INCLUI CABINE E CHASSI, NAO INCLUI SEMIRREBOQUE)</t>
  </si>
  <si>
    <t xml:space="preserve"> 92105 </t>
  </si>
  <si>
    <t xml:space="preserve"> 92101 </t>
  </si>
  <si>
    <t xml:space="preserve"> 00037768 </t>
  </si>
  <si>
    <t>LIMPADORA A SUCCAO, TANQUE 12000 L, BASCULAMENTO HIDRAULICO, BOMBA 12 M3/MIN 95% VACUO (INCLUI MONTAGEM, NAO INCLUI CAMINHAO)</t>
  </si>
  <si>
    <t xml:space="preserve"> 00044060 </t>
  </si>
  <si>
    <t>CAMINHAO TRUCADO, PESO BRUTO TOTAL 23000 KG, CARGA UTIL MAXIMA 15460 KG, DISTANCIA ENTRE EIXOS 4,80 M, POTENCIA 286 CV (INCLUI CABINE E CHASSI, NAO INCLUI CARROCERIA)</t>
  </si>
  <si>
    <t xml:space="preserve"> 92103 </t>
  </si>
  <si>
    <t xml:space="preserve"> 92102 </t>
  </si>
  <si>
    <t xml:space="preserve"> 92104 </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</si>
  <si>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</si>
  <si>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</si>
  <si>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</si>
  <si>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</si>
  <si>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</si>
  <si>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</si>
  <si>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</si>
  <si>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</si>
  <si>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</si>
  <si>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</si>
  <si>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</si>
  <si>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</si>
  <si>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00037738 </t>
  </si>
  <si>
    <t>TANQUE DE ACO PARA TRANSPORTE DE AGUA COM CAPACIDADE DE 6 M3 (INCLUI MONTAGEM, NAO INCLUI CAMINHAO)</t>
  </si>
  <si>
    <t xml:space="preserve"> 00044057 </t>
  </si>
  <si>
    <t>CAMINHAO TOCO, PESO BRUTO TOTAL 13200 KG, CARGA UTIL MAXIMA 9200 KG, DISTANCIA ENTRE EIXOS 3,31 M, POTENCIA 175 CV (INCLUI CABINE E CHASSI, NAO INCLUI CARROCERIA)</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</si>
  <si>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</si>
  <si>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</si>
  <si>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</si>
  <si>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</si>
  <si>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</si>
  <si>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</si>
  <si>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</si>
  <si>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(HORISTA)</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</si>
  <si>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</si>
  <si>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</si>
  <si>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</si>
  <si>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</si>
  <si>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</si>
  <si>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</si>
  <si>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</si>
  <si>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</si>
  <si>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</si>
  <si>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</si>
  <si>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88321 </t>
  </si>
  <si>
    <t>TÉCNICO DE LABORATÓRIO COM ENCARGOS COMPLEMENTARES</t>
  </si>
  <si>
    <t xml:space="preserve"> 90968 </t>
  </si>
  <si>
    <t>COMPRESSOR DE AR REBOCAVEL, VAZÃO 250 PCM, PRESSAO DE TRABALHO 102 PSI, MOTOR A DIESEL POTÊNCIA 81 CV - DEPRECIAÇÃO. AF_06/2015</t>
  </si>
  <si>
    <t xml:space="preserve"> 90969 </t>
  </si>
  <si>
    <t>COMPRESSOR DE AR REBOCAVEL, VAZÃO 250 PCM, PRESSAO DE TRABALHO 102 PSI, MOTOR A DIESEL POTÊNCIA 81 CV - JUROS. AF_06/2015</t>
  </si>
  <si>
    <t xml:space="preserve"> 90970 </t>
  </si>
  <si>
    <t>COMPRESSOR DE AR REBOCAVEL, VAZÃO 250 PCM, PRESSAO DE TRABALHO 102 PSI, MOTOR A DIESEL POTÊNCIA 81 CV - MANUTENÇÃO. AF_06/2015</t>
  </si>
  <si>
    <t xml:space="preserve"> 90971 </t>
  </si>
  <si>
    <t>COMPRESSOR DE AR REBOCAVEL, VAZÃO 250 PCM, PRESSAO DE TRABALHO 102 PSI, MOTOR A DIESEL POTÊNCIA 81 CV - MATERIAIS NA OPERAÇÃO. AF_06/2015</t>
  </si>
  <si>
    <t xml:space="preserve"> 00036525 </t>
  </si>
  <si>
    <t>COMPRESSOR DE AR REBOCAVEL, VAZAO 250 PCM, PRESSAO EFETIVA DE TRABALHO 102 PSI, MOTOR DIESEL, POTENCIA 81 CV</t>
  </si>
  <si>
    <t xml:space="preserve"> 90957 </t>
  </si>
  <si>
    <t>COMPRESSOR DE AR REBOCÁVEL, VAZÃO 189 PCM, PRESSÃO EFETIVA DE TRABALHO 102 PSI, MOTOR DIESEL, POTÊNCIA 63 CV - DEPRECIAÇÃO. AF_06/2015</t>
  </si>
  <si>
    <t xml:space="preserve"> 90958 </t>
  </si>
  <si>
    <t>COMPRESSOR DE AR REBOCÁVEL, VAZÃO 189 PCM, PRESSÃO EFETIVA DE TRABALHO 102 PSI, MOTOR DIESEL, POTÊNCIA 63 CV - JUROS. AF_06/2015</t>
  </si>
  <si>
    <t xml:space="preserve"> 53865 </t>
  </si>
  <si>
    <t>COMPRESSOR DE AR REBOCÁVEL, VAZÃO 189 PCM, PRESSÃO EFETIVA DE TRABALHO 102 PSI, MOTOR DIESEL, POTÊNCIA 63 CV - MATERIAIS NA OPERAÇÃO. AF_06/2015</t>
  </si>
  <si>
    <t xml:space="preserve"> 5797 </t>
  </si>
  <si>
    <t>COMPRESSOR DE AR REBOCÁVEL, VAZÃO 189 PCM, PRESSÃO EFETIVA DE TRABALHO 102 PSI, MOTOR DIESEL, POTÊNCIA 63 CV - MANUTENÇÃO. AF_06/2015</t>
  </si>
  <si>
    <t xml:space="preserve"> 00036522 </t>
  </si>
  <si>
    <t>COMPRESSOR DE AR REBOCAVEL, VAZAO 189 PCM, PRESSAO EFETIVA DE TRABALHO 102 PSI, MOTOR DIESEL, POTENCIA 63 CV</t>
  </si>
  <si>
    <t xml:space="preserve"> 00004734 </t>
  </si>
  <si>
    <t>SEIXO ROLADO PARA APLICACAO EM CONCRETO (POSTO PEDREIRA/FORNECEDOR, SEM FRETE)</t>
  </si>
  <si>
    <t xml:space="preserve"> 94972 </t>
  </si>
  <si>
    <t>CONCRETO FCK = 30MPA, TRAÇO 1:2,1:2,5 (EM MASSA SECA DE CIMENTO/ AREIA MÉDIA/ BRITA 1) - PREPARO MECÂNICO COM BETONEIRA 600 L. AF_05/2021</t>
  </si>
  <si>
    <t xml:space="preserve"> 00011950 </t>
  </si>
  <si>
    <t>BUCHA DE NYLON SEM ABA S6, COM PARAFUSO DE 4,20 X 40 MM EM ACO ZINCADO COM ROSCA SOBERBA, CABECA CHATA E FENDA PHILLIPS</t>
  </si>
  <si>
    <t xml:space="preserve"> 00012010 </t>
  </si>
  <si>
    <t>CONDULETE EM PVC, TIPO "B", SEM TAMPA, DE 1/2" OU 3/4"</t>
  </si>
  <si>
    <t xml:space="preserve"> 00012016 </t>
  </si>
  <si>
    <t>CONDULETE EM PVC, TIPO "LB", SEM TAMPA, DE 1/2" OU 3/4"</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</si>
  <si>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</si>
  <si>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</si>
  <si>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</si>
  <si>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</si>
  <si>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</si>
  <si>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</si>
  <si>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</si>
  <si>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</si>
  <si>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</si>
  <si>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 MOTOR A GASOLINA, POTENCIA 13 HP, SEM DISCO</t>
  </si>
  <si>
    <t xml:space="preserve"> 00013887 </t>
  </si>
  <si>
    <t>DISCO DE CORTE DIAMANTADO SEGMENTADO PARA CONCRETO, DIAMETRO DE 350 MM, FURO DE 1 " (14 X 1 ")</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</si>
  <si>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</si>
  <si>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</si>
  <si>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</si>
  <si>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</si>
  <si>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</si>
  <si>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</si>
  <si>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</si>
  <si>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</si>
  <si>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95401 </t>
  </si>
  <si>
    <t>CURSO DE CAPACITAÇÃO PARA ENCARREGADO GERAL (ENCARGOS COMPLEMENTARES) - HORISTA</t>
  </si>
  <si>
    <t xml:space="preserve"> 00004083 </t>
  </si>
  <si>
    <t xml:space="preserve"> 95390 </t>
  </si>
  <si>
    <t>CURSO DE CAPACITAÇÃO PARA JARDINEIRO (ENCARGOS COMPLEMENTARES) - HORISTA</t>
  </si>
  <si>
    <t xml:space="preserve"> 00044503 </t>
  </si>
  <si>
    <t>JARDINEIRO (HORISTA)</t>
  </si>
  <si>
    <t xml:space="preserve"> 95344 </t>
  </si>
  <si>
    <t>CURSO DE CAPACITAÇÃO PARA MONTADOR DE ESTRUTURA METÁLICA (ENCARGOS COMPLEMENTARES) - HORISTA</t>
  </si>
  <si>
    <t xml:space="preserve"> 00044497 </t>
  </si>
  <si>
    <t>MONTADOR DE ESTRUTURAS METALICAS HORISTA</t>
  </si>
  <si>
    <t xml:space="preserve"> 95346 </t>
  </si>
  <si>
    <t>CURSO DE CAPACITAÇÃO PARA MOTORISTA DE BASCULANTE (ENCARGOS COMPLEMENTARES) - HORISTA</t>
  </si>
  <si>
    <t xml:space="preserve"> 00020020 </t>
  </si>
  <si>
    <t xml:space="preserve"> 95347 </t>
  </si>
  <si>
    <t>CURSO DE CAPACITAÇÃO PARA MOTORISTA DE CAMINHÃO (ENCARGOS COMPLEMENTARES) - HORISTA</t>
  </si>
  <si>
    <t xml:space="preserve"> 00004093 </t>
  </si>
  <si>
    <t xml:space="preserve"> 95351 </t>
  </si>
  <si>
    <t>CURSO DE CAPACITAÇÃO PARA MOTORISTA OPERADOR DE MUNCK (ENCARGOS COMPLEMENTARES) - HORISTA</t>
  </si>
  <si>
    <t xml:space="preserve"> 00004096 </t>
  </si>
  <si>
    <t xml:space="preserve"> 95389 </t>
  </si>
  <si>
    <t>CURSO DE CAPACITAÇÃO PARA OPERADOR DE BETONEIRA ESTACIONÁRIA/MISTURADOR (ENCARGOS COMPLEMENTARES) - HORISTA</t>
  </si>
  <si>
    <t xml:space="preserve"> 00037666 </t>
  </si>
  <si>
    <t xml:space="preserve"> 95357 </t>
  </si>
  <si>
    <t>CURSO DE CAPACITAÇÃO PARA OPERADOR DE ESCAVADEIRA (ENCARGOS COMPLEMENTARES) - HORISTA</t>
  </si>
  <si>
    <t xml:space="preserve"> 00004234 </t>
  </si>
  <si>
    <t xml:space="preserve"> 95358 </t>
  </si>
  <si>
    <t>CURSO DE CAPACITAÇÃO PARA OPERADOR DE GUINCHO (ENCARGOS COMPLEMENTARES) - HORISTA</t>
  </si>
  <si>
    <t xml:space="preserve"> 00004253 </t>
  </si>
  <si>
    <t xml:space="preserve"> 95359 </t>
  </si>
  <si>
    <t>CURSO DE CAPACITAÇÃO PARA OPERADOR DE GUINDASTE (ENCARGOS COMPLEMENTARES) - HORISTA</t>
  </si>
  <si>
    <t xml:space="preserve"> 00004254 </t>
  </si>
  <si>
    <t>OPERADOR DE GUINDASTE (HORISTA)</t>
  </si>
  <si>
    <t xml:space="preserve"> 95361 </t>
  </si>
  <si>
    <t>CURSO DE CAPACITAÇÃO PARA OPERADOR DE MARTELETE OU MARTELETEIRO (ENCARGOS COMPLEMENTARES) - HORISTA</t>
  </si>
  <si>
    <t xml:space="preserve"> 00004257 </t>
  </si>
  <si>
    <t xml:space="preserve"> 95363 </t>
  </si>
  <si>
    <t>CURSO DE CAPACITAÇÃO PARA OPERADOR DE MOTONIVELADORA (ENCARGOS COMPLEMENTARES) - HORISTA</t>
  </si>
  <si>
    <t xml:space="preserve"> 00004239 </t>
  </si>
  <si>
    <t xml:space="preserve"> 95360 </t>
  </si>
  <si>
    <t>CURSO DE CAPACITAÇÃO PARA OPERADOR DE MÁQUINAS E EQUIPAMENTOS (ENCARGOS COMPLEMENTARES) - HORISTA</t>
  </si>
  <si>
    <t xml:space="preserve"> 00004230 </t>
  </si>
  <si>
    <t xml:space="preserve"> 95365 </t>
  </si>
  <si>
    <t>CURSO DE CAPACITAÇÃO PARA OPERADOR DE PAVIMENTADORA (ENCARGOS COMPLEMENTARES) - HORISTA</t>
  </si>
  <si>
    <t xml:space="preserve"> 00044500 </t>
  </si>
  <si>
    <t xml:space="preserve"> 95364 </t>
  </si>
  <si>
    <t>CURSO DE CAPACITAÇÃO PARA OPERADOR DE PÁ CARREGADEIRA (ENCARGOS COMPLEMENTARES) - HORISTA</t>
  </si>
  <si>
    <t xml:space="preserve"> 00004248 </t>
  </si>
  <si>
    <t xml:space="preserve"> 95366 </t>
  </si>
  <si>
    <t>CURSO DE CAPACITAÇÃO PARA OPERADOR DE ROLO COMPACTADOR (ENCARGOS COMPLEMENTARES) - HORISTA</t>
  </si>
  <si>
    <t xml:space="preserve"> 00004238 </t>
  </si>
  <si>
    <t xml:space="preserve"> 95367 </t>
  </si>
  <si>
    <t>CURSO DE CAPACITAÇÃO PARA OPERADOR DE USINA DE ASFALTO, DE SOLOS OU DE CONCRETO (ENCARGOS COMPLEMENTARES) - HORISTA</t>
  </si>
  <si>
    <t xml:space="preserve"> 00004233 </t>
  </si>
  <si>
    <t xml:space="preserve"> 95371 </t>
  </si>
  <si>
    <t>CURSO DE CAPACITAÇÃO PARA PEDREIRO (ENCARGOS COMPLEMENTARES) - HORISTA</t>
  </si>
  <si>
    <t xml:space="preserve"> 00004750 </t>
  </si>
  <si>
    <t>PEDREIRO (HORISTA)</t>
  </si>
  <si>
    <t xml:space="preserve"> 101357 </t>
  </si>
  <si>
    <t>CURSO DE CAPACITAÇÃO PARA PEDREIRO (ENCARGOS COMPLEMENTARES) - MENSALISTA</t>
  </si>
  <si>
    <t xml:space="preserve"> 00041065 </t>
  </si>
  <si>
    <t>PEDREIRO (MENSALISTA)</t>
  </si>
  <si>
    <t xml:space="preserve"> 95372 </t>
  </si>
  <si>
    <t>CURSO DE CAPACITAÇÃO PARA PINTOR (ENCARGOS COMPLEMENTARES) - HORISTA</t>
  </si>
  <si>
    <t xml:space="preserve"> 00004783 </t>
  </si>
  <si>
    <t>PINTOR (HORISTA)</t>
  </si>
  <si>
    <t xml:space="preserve"> 95376 </t>
  </si>
  <si>
    <t>CURSO DE CAPACITAÇÃO PARA RASTELEIRO (ENCARGOS COMPLEMENTARES) - HORISTA</t>
  </si>
  <si>
    <t xml:space="preserve"> 00004759 </t>
  </si>
  <si>
    <t>CALCETEIRO / RASTELEIRO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</si>
  <si>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</si>
  <si>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</si>
  <si>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</si>
  <si>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</si>
  <si>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</si>
  <si>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</si>
  <si>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</si>
  <si>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 xml:space="preserve"> 101364 </t>
  </si>
  <si>
    <t>CURSO DE CAPACITAÇÃO PARA SERVENTE DE OBRAS (ENCARGOS COMPLEMENTARES) - MENSALISTA</t>
  </si>
  <si>
    <t xml:space="preserve"> 00041084 </t>
  </si>
  <si>
    <t>SERVENTE DE OBRAS (MENSALISTA)</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</si>
  <si>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</si>
  <si>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</si>
  <si>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</si>
  <si>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</si>
  <si>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</si>
  <si>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</si>
  <si>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</si>
  <si>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(HORISTA)</t>
  </si>
  <si>
    <t xml:space="preserve"> 95386 </t>
  </si>
  <si>
    <t>CURSO DE CAPACITAÇÃO PARA TRATORISTA (ENCARGOS COMPLEMENTARES) - HORISTA</t>
  </si>
  <si>
    <t xml:space="preserve"> 95383 </t>
  </si>
  <si>
    <t>CURSO DE CAPACITAÇÃO PARA TÉCNICO DE LABORATÓRIO (ENCARGOS COMPLEMENTARES) - HORISTA</t>
  </si>
  <si>
    <t xml:space="preserve"> 00007153 </t>
  </si>
  <si>
    <t>TECNICO EM LABORATORIO E CAMPO DE CONSTRUCAO CIVIL (HORISTA)</t>
  </si>
  <si>
    <t xml:space="preserve"> 5914652 </t>
  </si>
  <si>
    <t xml:space="preserve"> 5914655 </t>
  </si>
  <si>
    <t xml:space="preserve"> 5915433 </t>
  </si>
  <si>
    <t xml:space="preserve"> 5219544 </t>
  </si>
  <si>
    <t>M0366</t>
  </si>
  <si>
    <t>Cantoneira em aço ASTM A36 galvanizado</t>
  </si>
  <si>
    <t>M0162</t>
  </si>
  <si>
    <t>Corrente de elo soldado em aço galvanizado com acabamento polido - D = 3,18 mm (1/8”)</t>
  </si>
  <si>
    <t>M0163</t>
  </si>
  <si>
    <t>Gonzo com aba em aço galvanizado - D = 12,7 mm (1/2”)</t>
  </si>
  <si>
    <t>M0879</t>
  </si>
  <si>
    <t>Lixa para ferro Nº 150</t>
  </si>
  <si>
    <t>Corte de perfil metálico com máquina policorte com espessura de até 1/8”</t>
  </si>
  <si>
    <t>Pintura de acabamento com esmalte epóxi com pistola a ar comprimido, uma demão, espessura de até 40 µm</t>
  </si>
  <si>
    <t>Pintura de fundo com tinta epóxi com pistola a ar comprimido, uma demão, espessura de até 120 µm</t>
  </si>
  <si>
    <t>Solda elétrica de perfis metálicos e chapas de aço com eletrodo E60XX</t>
  </si>
  <si>
    <t>Cantoneira em aço ASTM A36 galvanizado - Caminhão carroceria com capacidade de 15 t - 188 kW</t>
  </si>
  <si>
    <t>Corrente de elo soldado em aço galvanizado com acabamento polido - D = 3,18 mm (1/8”) - Caminhão carroceria com capacidade de 15 t - 188 kW</t>
  </si>
  <si>
    <t>Gonzo com aba em aço galvanizado - D = 12,7 mm (1/2”) - Caminhão carroceria com capacidade de 15 t - 188 kW</t>
  </si>
  <si>
    <t xml:space="preserve"> 1107892 </t>
  </si>
  <si>
    <t>E9010</t>
  </si>
  <si>
    <t>M0030</t>
  </si>
  <si>
    <t>Aditivo plastificante e retardador de pega para concreto e argamassa</t>
  </si>
  <si>
    <t>M0191</t>
  </si>
  <si>
    <t>Aditivo plastificante e retardador de pega para concreto e argamassa - Caminhão carroceria com capacidade de 15 t - 188 kW</t>
  </si>
  <si>
    <t>Brita 1 - Caminhão basculante com capacidade de 10 m³ - 188 kW</t>
  </si>
  <si>
    <t xml:space="preserve"> 1419543 </t>
  </si>
  <si>
    <t>E9717</t>
  </si>
  <si>
    <t>Máquina policorte - 2,20 kW</t>
  </si>
  <si>
    <t>M0076</t>
  </si>
  <si>
    <t>Disco de corte abrasivo para policorte - D = 300 mm</t>
  </si>
  <si>
    <t xml:space="preserve"> 00001574 </t>
  </si>
  <si>
    <t>TERMINAL A COMPRESSAO EM COBRE ESTANHADO PARA CABO 10 MM2, 1 FURO E 1 COMPRESSAO, PARA PARAFUSO DE FIXACAO M6</t>
  </si>
  <si>
    <t xml:space="preserve"> 00002386 </t>
  </si>
  <si>
    <t>DISJUNTOR TIPO NEMA, MONOPOLAR 35  ATE  50 A, TENSAO MAXIMA DE 240 V</t>
  </si>
  <si>
    <t xml:space="preserve"> 00002689 </t>
  </si>
  <si>
    <t>ELETRODUTO PVC FLEXIVEL CORRUGADO, COR AMARELA, DE 20 MM</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</si>
  <si>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</si>
  <si>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</si>
  <si>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</si>
  <si>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</si>
  <si>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</si>
  <si>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</si>
  <si>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</si>
  <si>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</si>
  <si>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</si>
  <si>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</si>
  <si>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</si>
  <si>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</si>
  <si>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</si>
  <si>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</si>
  <si>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</si>
  <si>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</si>
  <si>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88900 </t>
  </si>
  <si>
    <t>ESCAVADEIRA HIDRÁULICA SOBRE ESTEIRAS, CAÇAMBA 1,20 M3, PESO OPERACIONAL 21 T, POTÊNCIA BRUTA 155 HP - DEPRECIAÇÃO. AF_06/2014</t>
  </si>
  <si>
    <t xml:space="preserve"> 88902 </t>
  </si>
  <si>
    <t>ESCAVADEIRA HIDRÁULICA SOBRE ESTEIRAS, CAÇAMBA 1,20 M3, PESO OPERACIONAL 21 T, POTÊNCIA BRUTA 155 HP - JUROS. AF_06/2014</t>
  </si>
  <si>
    <t xml:space="preserve"> 88903 </t>
  </si>
  <si>
    <t>ESCAVADEIRA HIDRÁULICA SOBRE ESTEIRAS, CAÇAMBA 1,20 M3, PESO OPERACIONAL 21 T, POTÊNCIA BRUTA 155 HP - MANUTENÇÃO. AF_06/2014</t>
  </si>
  <si>
    <t xml:space="preserve"> 88904 </t>
  </si>
  <si>
    <t>ESCAVADEIRA HIDRÁULICA SOBRE ESTEIRAS, CAÇAMBA 1,20 M3, PESO OPERACIONAL 21 T, POTÊNCIA BRUTA 155 HP - MATERIAIS NA OPERAÇÃO. AF_06/2014</t>
  </si>
  <si>
    <t xml:space="preserve"> 00014525 </t>
  </si>
  <si>
    <t>ESCAVADEIRA HIDRAULICA SOBRE ESTEIRAS COM CACAMBA DE 1,20 M3, PESO OPERACIONAL 21 T, POTENCIA BRUTA 155 HP</t>
  </si>
  <si>
    <t xml:space="preserve"> 5835 </t>
  </si>
  <si>
    <t>VIBROACABADORA DE ASFALTO SOBRE ESTEIRAS, LARGURA DE PAVIMENTAÇÃO 1,90 M A 5,30 M, POTÊNCIA 105 HP CAPACIDADE 450 T/H - CHP DIURNO. AF_11/2014</t>
  </si>
  <si>
    <t xml:space="preserve"> 5837 </t>
  </si>
  <si>
    <t>VIBROACABADORA DE ASFALTO SOBRE ESTEIRAS, LARGURA DE PAVIMENTAÇÃO 1,90 M A 5,30 M, POTÊNCIA 105 HP CAPACIDADE 450 T/H - CHI DIURNO. AF_11/2014</t>
  </si>
  <si>
    <t xml:space="preserve"> 88314 </t>
  </si>
  <si>
    <t>RASTELEIRO COM ENCARGOS COMPLEMENTARES</t>
  </si>
  <si>
    <t xml:space="preserve"> 95631 </t>
  </si>
  <si>
    <t>ROLO COMPACTADOR VIBRATORIO TANDEM, ACO LISO, POTENCIA 125 HP, PESO SEM/COM LASTRO 10,20/11,65 T, LARGURA DE TRABALHO 1,73 M - CHP DIURNO. AF_11/2016</t>
  </si>
  <si>
    <t xml:space="preserve"> 95632 </t>
  </si>
  <si>
    <t>ROLO COMPACTADOR VIBRATORIO TANDEM, ACO LISO, POTENCIA 125 HP, PESO SEM/COM LASTRO 10,20/11,65 T, LARGURA DE TRABALHO 1,73 M - CHI DIURNO. AF_11/2016</t>
  </si>
  <si>
    <t xml:space="preserve"> 96155 </t>
  </si>
  <si>
    <t>TRATOR DE PNEUS COM POTÊNCIA DE 85 CV, TRAÇÃO 4X4, COM VASSOURA MECÂNICA ACOPLADA - CHI DIURNO. AF_02/2017</t>
  </si>
  <si>
    <t xml:space="preserve"> 96157 </t>
  </si>
  <si>
    <t>TRATOR DE PNEUS COM POTÊNCIA DE 85 CV, TRAÇÃO 4X4, COM VASSOURA MECÂNICA ACOPLADA - CHP DIURNO. AF_03/2017</t>
  </si>
  <si>
    <t xml:space="preserve"> 4805750 </t>
  </si>
  <si>
    <t xml:space="preserve"> 102891 </t>
  </si>
  <si>
    <t>PÓRTICO ROLANTE MONOVIGA, PERFIL I, 4 PERNAS, CAPACIDADE 5 T  - MATERIAIS NA OPERAÇÃO. AF_04/2019</t>
  </si>
  <si>
    <t xml:space="preserve"> 102933 </t>
  </si>
  <si>
    <t>FURADEIRA ELETROMAGNÉTICA, VELOCIDADE (SEM CARGA/ COM CARGA) 450/ 270 RPM, ESPESSURA MÁXIMA DA CHAPA A SER FURADA 50 MM, PORÇA DE ADESÃO MAGNÉTICA 17000 N, POTÊNCIA 1100 W, ALIMENTÇÃO 220 - 60 HZ, MONOFÁSICA - MATERIAIS NA OPERAÇÃO. AF_08/2019</t>
  </si>
  <si>
    <t xml:space="preserve"> 102945 </t>
  </si>
  <si>
    <t>TARTARUGA DE OXICORTE CG1, MONOFÁSICA, 220 V, FREQUÊNCIA 50 HZ, VELOCIDADE DE CORTE (MM/MIN) 50 A 750, DIÂMETRO MÍNIMO DO COMPASSO MM 200 - MATERIAIS NA OPERAÇÃO. AF_05/2023</t>
  </si>
  <si>
    <t xml:space="preserve"> 00000445 </t>
  </si>
  <si>
    <t>PINO ROSCA EXTERNA, EM ACO GALVANIZADO, PARA ISOLADOR DE 25KV, DIAMETRO 35MM, COMPRIMENTO *320* MM</t>
  </si>
  <si>
    <t xml:space="preserve"> 00001330 </t>
  </si>
  <si>
    <t xml:space="preserve"> 00010999 </t>
  </si>
  <si>
    <t>ELETRODO REVESTIDO AWS - E6013, DIAMETRO IGUAL A 4,00 MM</t>
  </si>
  <si>
    <t xml:space="preserve"> 00038412 </t>
  </si>
  <si>
    <t>INVERSOR DE SOLDA MONOFASICO DE 160 A, POTENCIA DE 5400 W, TENSAO DE 220 V, TURBO VENTILADO, PROTECAO POR FUSIVEL TERMICO, PARA ELETRODOS DE 2,0 A 4,0 MM</t>
  </si>
  <si>
    <t xml:space="preserve"> 00020995 </t>
  </si>
  <si>
    <t>TUBO ACO CARBONO SEM COSTURA 8", E= *12,70 MM, SCHEDULE 80, *64,64 KG/M</t>
  </si>
  <si>
    <t xml:space="preserve"> 00007672 </t>
  </si>
  <si>
    <t xml:space="preserve"> 3106121 </t>
  </si>
  <si>
    <t>Fôrmas de tábuas de pinho - utilização de 3 vezes - confecção, instalação e retirada</t>
  </si>
  <si>
    <t xml:space="preserve"> 53840 </t>
  </si>
  <si>
    <t>GRADE DE DISCO REBOCÁVEL COM 20 DISCOS 24" X 6 MM COM PNEUS PARA TRANSPORTE - DEPRECIAÇÃO. AF_06/2014</t>
  </si>
  <si>
    <t xml:space="preserve"> 87026 </t>
  </si>
  <si>
    <t>GRADE DE DISCO REBOCÁVEL COM 20 DISCOS 24" X 6 MM COM PNEUS PARA TRANSPORTE - JUROS. AF_06/2014</t>
  </si>
  <si>
    <t xml:space="preserve"> 53841 </t>
  </si>
  <si>
    <t>GRADE DE DISCO REBOCÁVEL COM 20 DISCOS 24" X 6 MM COM PNEUS PARA TRANSPORTE - MANUTENÇÃO. AF_06/2014</t>
  </si>
  <si>
    <t xml:space="preserve"> 00003318 </t>
  </si>
  <si>
    <t>GRADE DE DISCOS MECANICA 20X24" COM 20 DISCOS 24" X 6MM  COM PNEUS PARA TRANSPORTE</t>
  </si>
  <si>
    <t xml:space="preserve"> 83761 </t>
  </si>
  <si>
    <t>GRUPO DE SOLDAGEM COM GERADOR A DIESEL 60 CV PARA SOLDA ELÉTRICA, SOBRE 04 RODAS, COM MOTOR 4 CILINDROS 600 A - DEPRECIAÇÃO. AF_02/2016</t>
  </si>
  <si>
    <t xml:space="preserve"> 83762 </t>
  </si>
  <si>
    <t>GRUPO DE SOLDAGEM COM GERADOR A DIESEL 60 CV PARA SOLDA ELÉTRICA, SOBRE 04 RODAS, COM MOTOR 4 CILINDROS 600 A - MANUTENÇÃO. AF_02/2016</t>
  </si>
  <si>
    <t xml:space="preserve"> 83763 </t>
  </si>
  <si>
    <t>GRUPO DE SOLDAGEM COM GERADOR A DIESEL 60 CV PARA SOLDA ELÉTRICA, SOBRE 04 RODAS, COM MOTOR 4 CILINDROS 600 A - MATERIAIS NA OPERAÇÃO. AF_02/2016</t>
  </si>
  <si>
    <t xml:space="preserve"> 83764 </t>
  </si>
  <si>
    <t>GRUPO DE SOLDAGEM COM GERADOR A DIESEL 60 CV PARA SOLDA ELÉTRICA, SOBRE 04 RODAS, COM MOTOR 4 CILINDROS 600 A - JUROS. AF_02/2016</t>
  </si>
  <si>
    <t xml:space="preserve"> 00013333 </t>
  </si>
  <si>
    <t>GRUPO GERADOR DE SOLDA ELETRICA, COM MAQUINA DE SOLDA, ATE 400 AMPERES E GERADOR A DIESEL 60 CV, MOTOR 4 CILINDROS, TANQUE COMBUST., CARENAGEM DE PROTECAO SOBRE RODAS</t>
  </si>
  <si>
    <t xml:space="preserve"> 95869 </t>
  </si>
  <si>
    <t>GRUPO GERADOR COM CARENAGEM, MOTOR DIESEL POTÊNCIA STANDART ENTRE 250 E 260 KVA - JUROS. AF_12/2016</t>
  </si>
  <si>
    <t xml:space="preserve"> 95874 </t>
  </si>
  <si>
    <t>GRUPO GERADOR COM CARENAGEM, MOTOR DIESEL POTÊNCIA STANDART ENTRE 250 E 260 KVA - DEPRECIAÇÃO. AF_12/2016</t>
  </si>
  <si>
    <t xml:space="preserve"> 95870 </t>
  </si>
  <si>
    <t>GRUPO GERADOR COM CARENAGEM, MOTOR DIESEL POTÊNCIA STANDART ENTRE 250 E 260 KVA - MANUTENÇÃO. AF_12/2016</t>
  </si>
  <si>
    <t xml:space="preserve"> 95871 </t>
  </si>
  <si>
    <t>GRUPO GERADOR COM CARENAGEM, MOTOR DIESEL POTÊNCIA STANDART ENTRE 250 E 260 KVA - MATERIAIS NA OPERAÇÃO. AF_12/2016</t>
  </si>
  <si>
    <t xml:space="preserve"> 00039588 </t>
  </si>
  <si>
    <t>GRUPO GERADOR DIESEL, COM CARENAGEM, POTENCIA STANDART ENTRE 250 E 260 KVA, VELOCIDADE DE 1800 RPM, FREQUENCIA DE 60 HZ</t>
  </si>
  <si>
    <t xml:space="preserve"> 00025019 </t>
  </si>
  <si>
    <t>GRUPO GERADOR ESTACIONARIO, MOTOR DIESEL POTENCIA 170 KVA</t>
  </si>
  <si>
    <t xml:space="preserve"> 00036501 </t>
  </si>
  <si>
    <t>GRUPO GERADOR ESTACIONARIO, POTENCIA 150 KVA, MOTOR DIESEL</t>
  </si>
  <si>
    <t xml:space="preserve"> 93282 </t>
  </si>
  <si>
    <t>GUINCHO ELÉTRICO DE COLUNA, CAPACIDADE 400 KG, COM MOTO FREIO, MOTOR TRIFÁSICO DE 1,25 CV - CHI DIURNO. AF_03/2016</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</si>
  <si>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</si>
  <si>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</si>
  <si>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</si>
  <si>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</si>
  <si>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</si>
  <si>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</si>
  <si>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93281 </t>
  </si>
  <si>
    <t>GUINCHO ELÉTRICO DE COLUNA, CAPACIDADE 400 KG, COM MOTO FREIO, MOTOR TRIFÁSICO DE 1,25 CV - CHP DIURNO.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</si>
  <si>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</si>
  <si>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</si>
  <si>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</si>
  <si>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</si>
  <si>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</si>
  <si>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</si>
  <si>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88296 </t>
  </si>
  <si>
    <t>OPERADOR DE GUINDASTE COM ENCARGOS COMPLEMENTARES</t>
  </si>
  <si>
    <t xml:space="preserve"> 89267 </t>
  </si>
  <si>
    <t>GUINDASTE HIDRÁULICO AUTOPROPELIDO, COM LANÇA TELESCÓPICA 28,80 M, CAPACIDADE MÁXIMA 30 T, POTÊNCIA 97 KW, TRAÇÃO 4 X 4 - DEPRECIAÇÃO. AF_11/2014</t>
  </si>
  <si>
    <t xml:space="preserve"> 89268 </t>
  </si>
  <si>
    <t>GUINDASTE HIDRÁULICO AUTOPROPELIDO, COM LANÇA TELESCÓPICA 28,80 M, CAPACIDADE MÁXIMA 30 T, POTÊNCIA 97 KW, TRAÇÃO 4 X 4 - JUROS. AF_11/2014</t>
  </si>
  <si>
    <t xml:space="preserve"> 89269 </t>
  </si>
  <si>
    <t>GUINDASTE HIDRÁULICO AUTOPROPELIDO, COM LANÇA TELESCÓPICA 28,80 M, CAPACIDADE MÁXIMA 30 T, POTÊNCIA 97 KW, TRAÇÃO 4 X 4 - IMPOSTOS E SEGUROS. AF_11/2014</t>
  </si>
  <si>
    <t xml:space="preserve"> 89270 </t>
  </si>
  <si>
    <t>GUINDASTE HIDRÁULICO AUTOPROPELIDO, COM LANÇA TELESCÓPICA 28,80 M, CAPACIDADE MÁXIMA 30 T, POTÊNCIA 97 KW, TRAÇÃO 4 X 4 - MANUTENÇÃO. AF_11/2014</t>
  </si>
  <si>
    <t xml:space="preserve"> 89271 </t>
  </si>
  <si>
    <t>GUINDASTE HIDRÁULICO AUTOPROPELIDO, COM LANÇA TELESCÓPICA 28,80 M, CAPACIDADE MÁXIMA 30 T, POTÊNCIA 97 KW, TRAÇÃO 4 X 4 - MATERIAIS NA OPERAÇÃO. AF_11/2014</t>
  </si>
  <si>
    <t xml:space="preserve"> 00044475 </t>
  </si>
  <si>
    <t>GUINDASTE HIDRAULICO AUTOPROPELIDO, COM LANCA TELESCOPICA 28,80 M, CAPACIDADE MAXIMA 30 T, POTENCIA 97 KW, TRACAO  4 X 4</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</si>
  <si>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</si>
  <si>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</si>
  <si>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</si>
  <si>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</si>
  <si>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</si>
  <si>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</si>
  <si>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</si>
  <si>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</si>
  <si>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</si>
  <si>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</si>
  <si>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</si>
  <si>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</si>
  <si>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</si>
  <si>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</si>
  <si>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</si>
  <si>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</si>
  <si>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00003379 </t>
  </si>
  <si>
    <t xml:space="preserve"> 91946 </t>
  </si>
  <si>
    <t xml:space="preserve"> 92022 </t>
  </si>
  <si>
    <t xml:space="preserve"> 00038101 </t>
  </si>
  <si>
    <t>TOMADA 2P+T 10A, 250V  (APENAS MODULO)</t>
  </si>
  <si>
    <t xml:space="preserve"> 00038112 </t>
  </si>
  <si>
    <t>INTERRUPTOR SIMPLES 10A, 250V (APENAS MODULO)</t>
  </si>
  <si>
    <t xml:space="preserve"> 92026 </t>
  </si>
  <si>
    <t xml:space="preserve"> 91958 </t>
  </si>
  <si>
    <t xml:space="preserve"> 00011190 </t>
  </si>
  <si>
    <t>JANELA BASCULANTE, ACO, COM BATENTE/REQUADRO, 60 X 60 CM (SEM VIDROS)</t>
  </si>
  <si>
    <t xml:space="preserve"> 00000142 </t>
  </si>
  <si>
    <t>SELANTE ELASTICO MONOCOMPONENTE A BASE DE POLIURETANO (PU) PARA JUNTAS DIVERSAS</t>
  </si>
  <si>
    <t>310ML</t>
  </si>
  <si>
    <t xml:space="preserve"> 00003421 </t>
  </si>
  <si>
    <t>JANELA EM MADEIRA CEDRINHO/ ANGELIM COMERCIAL/ CURUPIXA/ CUMARU OU EQUIVALENTE DA REGIAO, CAIXA DO BATENTE/MARCO *10* CM, 2 FOLHAS DE ABRIR TIPO VENEZIANA E 2 FOLHAS GUILHOTINA PARA VIDRO, COM GUARNICAO/ALIZAR, COM FERRAGENS (SEM VIDRO E SEM ACABAMENTO)</t>
  </si>
  <si>
    <t xml:space="preserve"> 00004430 </t>
  </si>
  <si>
    <t xml:space="preserve"> 00003529 </t>
  </si>
  <si>
    <t xml:space="preserve"> 89353 </t>
  </si>
  <si>
    <t>REGISTRO DE GAVETA BRUTO, LATÃO, ROSCÁVEL, 3/4" - FORNECIMENTO E INSTALAÇÃO. AF_08/2021</t>
  </si>
  <si>
    <t xml:space="preserve"> 00003768 </t>
  </si>
  <si>
    <t>LIXA EM FOLHA PARA FERRO, NUMERO 150</t>
  </si>
  <si>
    <t xml:space="preserve"> 00012266 </t>
  </si>
  <si>
    <t>LUMINARIA SPOT DE SOBREPOR EM ALUMINIO COM ALETA PLASTICA PARA 1 LAMPADA, BASE E27, POTENCIA MAXIMA 40/60 W (NAO INCLUI LAMPADA)</t>
  </si>
  <si>
    <t xml:space="preserve"> 00012295 </t>
  </si>
  <si>
    <t>SOQUETE DE BAQUELITE BASE E27, PARA LAMPADAS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</si>
  <si>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</si>
  <si>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</si>
  <si>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</si>
  <si>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</si>
  <si>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</si>
  <si>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</si>
  <si>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</si>
  <si>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MARTELO DEMOLIDOR PNEUMATICO MANUAL, PESO  DE 28 KG, COM SILENCIADOR</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</si>
  <si>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</si>
  <si>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</si>
  <si>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</si>
  <si>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</si>
  <si>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89229 </t>
  </si>
  <si>
    <t>MOTONIVELADORA POTÊNCIA BÁSICA LÍQUIDA (PRIMEIRA MARCHA) 125 HP, PESO BRUTO 13032 KG, LARGURA DA LÂMINA DE 3,7 M - JUROS. AF_06/2014</t>
  </si>
  <si>
    <t xml:space="preserve"> 53849 </t>
  </si>
  <si>
    <t>MOTONIVELADORA POTÊNCIA BÁSICA LÍQUIDA (PRIMEIRA MARCHA) 125 HP, PESO BRUTO 13032 KG, LARGURA DA LÂMINA DE 3,7 M - MATERIAIS NA OPERAÇÃO. AF_06/2014</t>
  </si>
  <si>
    <t xml:space="preserve"> 5779 </t>
  </si>
  <si>
    <t>MOTONIVELADORA POTÊNCIA BÁSICA LÍQUIDA (PRIMEIRA MARCHA) 125 HP, PESO BRUTO 13032 KG, LARGURA DA LÂMINA DE 3,7 M - MANUTENÇÃO. AF_06/2014</t>
  </si>
  <si>
    <t xml:space="preserve"> 00004090 </t>
  </si>
  <si>
    <t>MOTONIVELADORA POTENCIA BASICA LIQUIDA (PRIMEIRA MARCHA) 125 HP , PESO BRUTO 13843 KG, LARGURA DA LAMINA DE 3,7 M</t>
  </si>
  <si>
    <t xml:space="preserve"> 88302 </t>
  </si>
  <si>
    <t>OPERADOR DE PAVIMENTADORA COM ENCARGOS COMPLEMENTARES</t>
  </si>
  <si>
    <t xml:space="preserve"> 88301 </t>
  </si>
  <si>
    <t>OPERADOR DE PÁ CARREGADEIRA COM ENCARGOS COMPLEMENTARES</t>
  </si>
  <si>
    <t xml:space="preserve"> 88303 </t>
  </si>
  <si>
    <t>OPERADOR DE ROLO COMPACTADOR COM ENCARGOS COMPLEMENTARES</t>
  </si>
  <si>
    <t xml:space="preserve"> 88304 </t>
  </si>
  <si>
    <t>OPERADOR DE USINA DE ASFALTO, DE SOLOS OU DE CONCRETO COM ENCARGOS COMPLEMENTARES</t>
  </si>
  <si>
    <t xml:space="preserve"> 4413995 </t>
  </si>
  <si>
    <t xml:space="preserve"> 00043477 </t>
  </si>
  <si>
    <t>FERRAMENTAS - FAMILIA PEDREIRO - MENSALISTA (ENCARGOS COMPLEMENTARES - COLETADO CAIXA)</t>
  </si>
  <si>
    <t xml:space="preserve"> 00043501 </t>
  </si>
  <si>
    <t>EPI - FAMILIA PEDREIRO - MENSALISTA (ENCARGOS COMPLEMENTARES - COLETADO CAIXA)</t>
  </si>
  <si>
    <t xml:space="preserve"> 00005073 </t>
  </si>
  <si>
    <t>PREGO DE ACO POLIDO COM CABECA 17 X 24 (2 1/4 X 11)</t>
  </si>
  <si>
    <t xml:space="preserve"> 00039995 </t>
  </si>
  <si>
    <t>POLIESTIRENO EXPANDIDO/EPS (ISOPOR), TIPO 2F, BLOCO</t>
  </si>
  <si>
    <t xml:space="preserve"> 00043682 </t>
  </si>
  <si>
    <t>CHAPA/PAINEL DE MADEIRA COMPENSADA RESINADA (MADEIRITE RESINADO ROSA) PARA FORMA DE CONCRETO, DE 2200 X 1100 MM, E = 6 MM</t>
  </si>
  <si>
    <t xml:space="preserve"> 00039014 </t>
  </si>
  <si>
    <t>FIBRA DE ACO PARA REFORCO DO CONCRETO, SOLTA, TIPO A-I, FATOR DE FORMA *50* L / D, COMPRIMENTO DE *30* MM E RESISTENCIA A TRACAO DO ACO MAIOR 1000 MPA</t>
  </si>
  <si>
    <t xml:space="preserve"> 00043677 </t>
  </si>
  <si>
    <t>CHAPA/PAINEL DE MADEIRA COMPENSADA RESINADA (MADEIRITE RESINADO ROSA) PARA FORMA DE CONCRETO, DE 2200 X 1100 MM, E = 20 MM</t>
  </si>
  <si>
    <t xml:space="preserve"> 00043466 </t>
  </si>
  <si>
    <t>FERRAMENTAS - FAMILIA PINTOR - HORISTA (ENCARGOS COMPLEMENTARES - COLETADO CAIXA)</t>
  </si>
  <si>
    <t xml:space="preserve"> 00043490 </t>
  </si>
  <si>
    <t>EPI - FAMILIA PINTOR - HORISTA (ENCARGOS COMPLEMENTARES - COLETADO CAIXA)</t>
  </si>
  <si>
    <t xml:space="preserve"> 00005318 </t>
  </si>
  <si>
    <t>DILUENTE AGUARRAS</t>
  </si>
  <si>
    <t xml:space="preserve"> 00007307 </t>
  </si>
  <si>
    <t>FUNDO ANTICORROSIVO PARA METAIS FERROSOS (ZARCAO)</t>
  </si>
  <si>
    <t xml:space="preserve"> 00007293 </t>
  </si>
  <si>
    <t>TINTA ESMALTE SINTETICO PREMIUM DE DUPLA ACAO GRAFITE FOSCO PARA SUPERFICIES METALICAS FERROSAS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</si>
  <si>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</si>
  <si>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</si>
  <si>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</si>
  <si>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</si>
  <si>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</si>
  <si>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</si>
  <si>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</si>
  <si>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</si>
  <si>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</si>
  <si>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 xml:space="preserve"> 00002432 </t>
  </si>
  <si>
    <t>DOBRADICA EM ACO/FERRO, 3 1/2" X  3", E= 1,9  A 2 MM, COM ANEL,  CROMADO OU ZINCADO, TAMPA BOLA, COM PARAFUSOS</t>
  </si>
  <si>
    <t xml:space="preserve"> 00010555 </t>
  </si>
  <si>
    <t>PORTA DE MADEIRA, FOLHA MEDIA (NBR 15930) DE 800 X 2100 MM, DE 35 MM A 40 MM DE ESPESSURA, NUCLEO SEMI-SOLIDO (SARRAFEADO), CAPA LISA EM HDF, ACABAMENTO EM PRIMER PARA PINTURA</t>
  </si>
  <si>
    <t xml:space="preserve"> 00011055 </t>
  </si>
  <si>
    <t>PARAFUSO ROSCA SOBERBA ZINCADO CABECA CHATA FENDA SIMPLES 3,5 X 25 MM (1 ")</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</si>
  <si>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</si>
  <si>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</si>
  <si>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</si>
  <si>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</si>
  <si>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</si>
  <si>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PORTA DE ABRIR EM ALUMINIO TIPO VENEZIANA, ACABAMENTO ANODIZADO NATURAL, SEM GUARNICAO/ALIZAR/VISTA, 87 X 210 CM</t>
  </si>
  <si>
    <t xml:space="preserve"> 2408080 </t>
  </si>
  <si>
    <t>E9643</t>
  </si>
  <si>
    <t>Equipamento para pintura a ar comprimido de pistola com caneca com capacidade de 1.000</t>
  </si>
  <si>
    <t>E9521</t>
  </si>
  <si>
    <t>M3920</t>
  </si>
  <si>
    <t>Diluente para tinta epóxi bicomponente ou tricomponente</t>
  </si>
  <si>
    <t>M0718</t>
  </si>
  <si>
    <t>Tinta esmalte à base de resina epóxi bicomponente</t>
  </si>
  <si>
    <t xml:space="preserve"> 2408079 </t>
  </si>
  <si>
    <t>M0717</t>
  </si>
  <si>
    <t>Tinta à base de resina epóxi bicomponente para fundo preparador de pintura</t>
  </si>
  <si>
    <t xml:space="preserve"> 5212552 </t>
  </si>
  <si>
    <t>Pintura eletrostática a pó com tinta poliéster em chapa de aço</t>
  </si>
  <si>
    <t>E9076</t>
  </si>
  <si>
    <t>Equipamento para pintura eletrostática com cabine dupla de 7,00 kW e estufa de 80.000 kCal</t>
  </si>
  <si>
    <t>E9753</t>
  </si>
  <si>
    <t>Grupo gerador - 23 kVA</t>
  </si>
  <si>
    <t>M3153</t>
  </si>
  <si>
    <t>Tinta em pó à base de resina poliéster</t>
  </si>
  <si>
    <t>Tinta em pó à base de resina poliéster - Caminhão carroceria com capacidade de 15 t - 188 kW</t>
  </si>
  <si>
    <t xml:space="preserve"> 5213416 </t>
  </si>
  <si>
    <t>E9568</t>
  </si>
  <si>
    <t>Furadeira de impacto de 12,5 mm - 0,80 kW</t>
  </si>
  <si>
    <t>E9623</t>
  </si>
  <si>
    <t>Máquina de bancada guilhotina - 4,00 kW</t>
  </si>
  <si>
    <t>E9622</t>
  </si>
  <si>
    <t>Máquina de bancada universal para corte de chapa - 1,50 kW</t>
  </si>
  <si>
    <t>E9507</t>
  </si>
  <si>
    <t>Plotadora de recorte com computador e programa computacional</t>
  </si>
  <si>
    <t>M1367</t>
  </si>
  <si>
    <t>Chapa fina em aço galvanizado</t>
  </si>
  <si>
    <t>M3235</t>
  </si>
  <si>
    <t>Película retrorrefletiva tipo I</t>
  </si>
  <si>
    <t>Chapa fina em aço galvanizado - Caminhão carroceria com capacidade de 15 t - 188 kW</t>
  </si>
  <si>
    <t>Película retrorrefletiva tipo I - Caminhão carroceria com capacidade de 15 t - 188 kW</t>
  </si>
  <si>
    <t xml:space="preserve"> 5213417 </t>
  </si>
  <si>
    <t>M3237</t>
  </si>
  <si>
    <t>Película retrorrefletiva tipo III</t>
  </si>
  <si>
    <t>Película retrorrefletiva tipo III - Caminhão carroceria com capacidade de 15 t - 188 kW</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</si>
  <si>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</si>
  <si>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</si>
  <si>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</si>
  <si>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</si>
  <si>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</si>
  <si>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</si>
  <si>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</si>
  <si>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</si>
  <si>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</si>
  <si>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</si>
  <si>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00039795 </t>
  </si>
  <si>
    <t>QUADRO DE DISTRIBUICAO, SEM BARRAMENTO, EM PVC, DE EMBUTIR, PARA 6 DISJUNTORES NEMA OU 8 DISJUNTORES DIN</t>
  </si>
  <si>
    <t xml:space="preserve"> 00003148 </t>
  </si>
  <si>
    <t>FITA VEDA ROSCA EM ROLOS DE 18 MM X 50 M (L X C)</t>
  </si>
  <si>
    <t xml:space="preserve"> 00006016 </t>
  </si>
  <si>
    <t>REGISTRO GAVETA BRUTO EM LATAO FORJADO, BITOLA 3/4 " (REF 1509)</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</si>
  <si>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</si>
  <si>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</si>
  <si>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</si>
  <si>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</si>
  <si>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</si>
  <si>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</si>
  <si>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</si>
  <si>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</si>
  <si>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</si>
  <si>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</si>
  <si>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96459 </t>
  </si>
  <si>
    <t>ROLO COMPACTADOR DE PNEUS, ESTATICO, PRESSAO VARIAVEL, POTENCIA 110 HP, PESO SEM/COM LASTRO 10,8/27 T, LARGURA DE ROLAGEM 2,30 M - JUROS. AF_06/2017</t>
  </si>
  <si>
    <t xml:space="preserve"> 96460 </t>
  </si>
  <si>
    <t>ROLO COMPACTADOR DE PNEUS, ESTATICO, PRESSAO VARIAVEL, POTENCIA 110 HP, PESO SEM/COM LASTRO 10,8/27 T, LARGURA DE ROLAGEM 2,30 M - DEPRECIAÇÃO. AF_06/2017</t>
  </si>
  <si>
    <t xml:space="preserve"> 96457 </t>
  </si>
  <si>
    <t>ROLO COMPACTADOR DE PNEUS, ESTATICO, PRESSAO VARIAVEL, POTENCIA 110 HP, PESO SEM/COM LASTRO 10,8/27 T, LARGURA DE ROLAGEM 2,30 M - MATERIAIS NA OPERACAO. AF_06/2017</t>
  </si>
  <si>
    <t xml:space="preserve"> 96458 </t>
  </si>
  <si>
    <t>ROLO COMPACTADOR DE PNEUS, ESTATICO, PRESSAO VARIAVEL, POTENCIA 110 HP, PESO SEM/COM LASTRO 10,8/27 T, LARGURA DE ROLAGEM 2,30 M - MANUTENCAO. AF_06/2017</t>
  </si>
  <si>
    <t xml:space="preserve"> 00014511 </t>
  </si>
  <si>
    <t>ROLO COMPACTADOR DE PNEUS, ESTATICO, PRESSAO VARIAVEL, POTENCIA 110 HP, PESO SEM/COM LASTRO 10,8/27 T, LARGURA DE ROLAGEM 2,30 M</t>
  </si>
  <si>
    <t xml:space="preserve"> 95627 </t>
  </si>
  <si>
    <t>ROLO COMPACTADOR VIBRATORIO TANDEM, ACO LISO, POTENCIA 125 HP, PESO SEM/COM LASTRO 10,20/11,65 T, LARGURA DE TRABALHO 1,73 M - DEPRECIAÇÃO. AF_11/2016</t>
  </si>
  <si>
    <t xml:space="preserve"> 95628 </t>
  </si>
  <si>
    <t>ROLO COMPACTADOR VIBRATORIO TANDEM, ACO LISO, POTENCIA 125 HP, PESO SEM/COM LASTRO 10,20/11,65 T, LARGURA DE TRABALHO 1,73 M - JUROS. AF_11/2016</t>
  </si>
  <si>
    <t xml:space="preserve"> 95629 </t>
  </si>
  <si>
    <t>ROLO COMPACTADOR VIBRATORIO TANDEM, ACO LISO, POTENCIA 125 HP, PESO SEM/COM LASTRO 10,20/11,65 T, LARGURA DE TRABALHO 1,73 M - MANUTENÇÃO. AF_11/2016</t>
  </si>
  <si>
    <t xml:space="preserve"> 95630 </t>
  </si>
  <si>
    <t>ROLO COMPACTADOR VIBRATORIO TANDEM, ACO LISO, POTENCIA 125 HP, PESO SEM/COM LASTRO 10,20/11,65 T, LARGURA DE TRABALHO 1,73 M - MATERIAIS NA OPERAÇÃO. AF_11/2016</t>
  </si>
  <si>
    <t xml:space="preserve"> 00014626 </t>
  </si>
  <si>
    <t>ROLO COMPACTADOR VIBRATORIO TANDEM, ACO LISO, POTENCIA 125 HP, PESO SEM/COM LASTRO 10,20/11,65 T, LARGURA DE TRABALHO 1,73 M</t>
  </si>
  <si>
    <t xml:space="preserve"> 89210 </t>
  </si>
  <si>
    <t>ROLO COMPACTADOR VIBRATÓRIO DE UM CILINDRO AÇO LISO, POTÊNCIA 80 HP, PESO OPERACIONAL MÁXIMO 8,1 T, IMPACTO DINÂMICO 16,15 / 9,5 T, LARGURA DE TRABALHO 1,68 M - DEPRECIAÇÃO. AF_06/2014</t>
  </si>
  <si>
    <t xml:space="preserve"> 89211 </t>
  </si>
  <si>
    <t>ROLO COMPACTADOR VIBRATÓRIO DE UM CILINDRO AÇO LISO, POTÊNCIA 80 HP, PESO OPERACIONAL MÁXIMO 8,1 T, IMPACTO DINÂMICO 16,15 / 9,5 T, LARGURA DE TRABALHO 1,68 M - JUROS. AF_06/2014</t>
  </si>
  <si>
    <t xml:space="preserve"> 53788 </t>
  </si>
  <si>
    <t>ROLO COMPACTADOR VIBRATÓRIO DE UM CILINDRO AÇO LISO, POTÊNCIA 80 HP, PESO OPERACIONAL MÁXIMO 8,1 T, IMPACTO DINÂMICO 16,15 / 9,5 T, LARGURA DE TRABALHO 1,68 M - MATERIAIS NA OPERAÇÃO. AF_06/2014</t>
  </si>
  <si>
    <t xml:space="preserve"> 5674 </t>
  </si>
  <si>
    <t>ROLO COMPACTADOR VIBRATÓRIO DE UM CILINDRO AÇO LISO, POTÊNCIA 80 HP, PESO OPERACIONAL MÁXIMO 8,1 T, IMPACTO DINÂMICO 16,15 / 9,5 T, LARGURA DE TRABALHO 1,68 M - MANUTENÇÃO. AF_06/2014</t>
  </si>
  <si>
    <t xml:space="preserve"> 00010646 </t>
  </si>
  <si>
    <t>ROLO COMPACTADOR VIBRATORIO DE UM CILINDRO, ACO LISO, POTENCIA 80 HP, PESO OPERACIONAL MAXIMO 8,1 T, IMPACTO DINAMICO 16,15/9,5 T, LARGURA TRABALHO 1,68 M</t>
  </si>
  <si>
    <t xml:space="preserve"> 73309 </t>
  </si>
  <si>
    <t>ROLO COMPACTADOR VIBRATÓRIO PÉ DE CARNEIRO PARA SOLOS, POTÊNCIA 80 HP, PESO OPERACIONAL SEM/COM LASTRO 7,4 / 8,8 T, LARGURA DE TRABALHO 1,68 M - DEPRECIAÇÃO. AF_02/2016</t>
  </si>
  <si>
    <t xml:space="preserve"> 73313 </t>
  </si>
  <si>
    <t>ROLO COMPACTADOR VIBRATÓRIO PÉ DE CARNEIRO PARA SOLOS, POTÊNCIA 80 HP, PESO OPERACIONAL SEM/COM LASTRO 7,4 / 8,8 T, LARGURA DE TRABALHO 1,68 M - JUROS. AF_02/2016</t>
  </si>
  <si>
    <t xml:space="preserve"> 5089 </t>
  </si>
  <si>
    <t>ROLO COMPACTADOR VIBRATÓRIO PÉ DE CARNEIRO PARA SOLOS, POTÊNCIA 80 HP, PESO OPERACIONAL SEM/COM LASTRO 7,4 / 8,8 T, LARGURA DE TRABALHO 1,68 M - MANUTENÇÃO. AF_02/2016</t>
  </si>
  <si>
    <t xml:space="preserve"> 73315 </t>
  </si>
  <si>
    <t>ROLO COMPACTADOR VIBRATÓRIO PÉ DE CARNEIRO PARA SOLOS, POTÊNCIA 80 HP, PESO OPERACIONAL SEM/COM LASTRO 7,4 / 8,8 T, LARGURA DE TRABALHO 1,68 M - MATERIAIS NA OPERAÇÃO. AF_02/2016</t>
  </si>
  <si>
    <t xml:space="preserve"> 00014513 </t>
  </si>
  <si>
    <t>ROLO COMPACTADOR PE DE CARNEIRO VIBRATORIO, POTENCIA 80 HP, PESO OPERACIONAL SEM/COM LASTRO 7,4/8,8 T, LARGURA DE TRABALHO 1,68 M</t>
  </si>
  <si>
    <t xml:space="preserve"> 53818 </t>
  </si>
  <si>
    <t>ROLO COMPACTADOR VIBRATÓRIO REBOCÁVEL, CILINDRO DE AÇO LISO, POTÊNCIA DE TRAÇÃO DE 65 CV, PESO 4,7 T, IMPACTO DINÂMICO 18,3 T, LARGURA DE TRABALHO 1,67 M - DEPRECIAÇÃO. AF_02/2016</t>
  </si>
  <si>
    <t xml:space="preserve"> 5727 </t>
  </si>
  <si>
    <t>ROLO COMPACTADOR VIBRATÓRIO REBOCÁVEL, CILINDRO DE AÇO LISO, POTÊNCIA DE TRAÇÃO DE 65 CV, PESO 4,7 T, IMPACTO DINÂMICO 18,3 T, LARGURA DE TRABALHO 1,67 M - MANUTENÇÃO. AF_02/2016</t>
  </si>
  <si>
    <t xml:space="preserve"> 93238 </t>
  </si>
  <si>
    <t>ROLO COMPACTADOR VIBRATÓRIO REBOCÁVEL, CILINDRO DE AÇO LISO, POTÊNCIA DE TRAÇÃO DE 65 CV, PESO 4,7 T, IMPACTO DINÂMICO 18,3 T, LARGURA DE TRABALHO 1,67 M - JUROS. AF_02/2016</t>
  </si>
  <si>
    <t xml:space="preserve"> 00006069 </t>
  </si>
  <si>
    <t>ROLO COMPACTADOR VIBRATORIO REBOCAVEL, CILINDRO DE ACO LISO, POTENCIA DE TRACAO DE 65 CV, PESO DE 4,7 T, IMPACTO DINAMICO TOTAL DE 18,3 T, LARGURA DO ROLO 1,67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</si>
  <si>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</si>
  <si>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</si>
  <si>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</si>
  <si>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</si>
  <si>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</si>
  <si>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</si>
  <si>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</si>
  <si>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</si>
  <si>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</si>
  <si>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</si>
  <si>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00043468 </t>
  </si>
  <si>
    <t>FERRAMENTAS - FAMILIA SOLDADOR - HORISTA (ENCARGOS COMPLEMENTARES - COLETADO CAIXA)</t>
  </si>
  <si>
    <t xml:space="preserve"> 00043492 </t>
  </si>
  <si>
    <t>EPI - FAMILIA SOLDADOR - HORISTA (ENCARGOS COMPLEMENTARES - COLETADO CAIXA)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</si>
  <si>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</si>
  <si>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</si>
  <si>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</si>
  <si>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</si>
  <si>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2408057 </t>
  </si>
  <si>
    <t>E9547</t>
  </si>
  <si>
    <t>Máquina de solda elétrica transformadora 250 A - 9,20 kW</t>
  </si>
  <si>
    <t>M1397</t>
  </si>
  <si>
    <t>Eletrodo revestido E60XX</t>
  </si>
  <si>
    <t>Eletrodo revestido E60XX - Caminhão carroceria com capacidade de 15 t - 188 kW</t>
  </si>
  <si>
    <t xml:space="preserve"> 5219546 </t>
  </si>
  <si>
    <t xml:space="preserve"> 7032 </t>
  </si>
  <si>
    <t xml:space="preserve"> 7033 </t>
  </si>
  <si>
    <t xml:space="preserve"> 7034 </t>
  </si>
  <si>
    <t xml:space="preserve"> 7035 </t>
  </si>
  <si>
    <t xml:space="preserve"> 00014405 </t>
  </si>
  <si>
    <t>TANQUE DE ASFALTO ESTACIONARIO COM SERPENTINA, CAPACIDADE 30.000 L</t>
  </si>
  <si>
    <t xml:space="preserve"> 88323 </t>
  </si>
  <si>
    <t>TELHADISTA COM ENCARGOS COMPLEMENTARES</t>
  </si>
  <si>
    <t xml:space="preserve"> 00001607 </t>
  </si>
  <si>
    <t>CONJUNTO ARRUELAS DE VEDACAO 5/16" PARA TELHA FIBROCIMENTO (UMA ARRUELA METALICA E UMA ARRUELA PVC - CONICAS)</t>
  </si>
  <si>
    <t xml:space="preserve"> 00004302 </t>
  </si>
  <si>
    <t>PARAFUSO ZINCADO ROSCA SOBERBA, CABECA SEXTAVADA, 5/16 " X 250 MM, PARA FIXACAO DE TELHA EM MADEIRA</t>
  </si>
  <si>
    <t xml:space="preserve"> 00007194 </t>
  </si>
  <si>
    <t>TELHA DE FIBROCIMENTO ONDULADA E = 6 MM, DE 2,44 X 1,10 M (SEM AMIANTO)</t>
  </si>
  <si>
    <t xml:space="preserve"> 91998 </t>
  </si>
  <si>
    <t xml:space="preserve"> 91999 </t>
  </si>
  <si>
    <t xml:space="preserve"> 00038102 </t>
  </si>
  <si>
    <t>TOMADA 2P+T 20A, 250V  (APENAS MODULO)</t>
  </si>
  <si>
    <t xml:space="preserve"> 92006 </t>
  </si>
  <si>
    <t xml:space="preserve"> 00038082 </t>
  </si>
  <si>
    <t>TOMADA RJ11, 2 FIOS, CONJUNTO MONTADO PARA EMBUTIR 4" X 2" (PLACA + SUPORTE + MODULO)</t>
  </si>
  <si>
    <t xml:space="preserve"> 00011830 </t>
  </si>
  <si>
    <t>TORNEIRA DE BOIA CONVENCIONAL PARA CAIXA D'AGUA, AGUA FRIA, 3/4", COM HASTE E TORNEIRA METALICOS E BALAO PLASTICO</t>
  </si>
  <si>
    <t xml:space="preserve"> 00004425 </t>
  </si>
  <si>
    <t xml:space="preserve"> 00040568 </t>
  </si>
  <si>
    <t>PREGO DE ACO POLIDO COM CABECA 22 X 48 (4 1/4 X 5)</t>
  </si>
  <si>
    <t xml:space="preserve"> 88324 </t>
  </si>
  <si>
    <t>TRATORISTA COM ENCARGOS COMPLEMENTARES</t>
  </si>
  <si>
    <t xml:space="preserve"> 89029 </t>
  </si>
  <si>
    <t>TRATOR DE ESTEIRAS, POTÊNCIA 100 HP, PESO OPERACIONAL 9,4 T, COM LÂMINA 2,19 M3 - DEPRECIAÇÃO. AF_06/2014</t>
  </si>
  <si>
    <t xml:space="preserve"> 89030 </t>
  </si>
  <si>
    <t>TRATOR DE ESTEIRAS, POTÊNCIA 100 HP, PESO OPERACIONAL 9,4 T, COM LÂMINA 2,19 M3 - JUROS.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</si>
  <si>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</si>
  <si>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</si>
  <si>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</si>
  <si>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</si>
  <si>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</si>
  <si>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</si>
  <si>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</si>
  <si>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</si>
  <si>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</si>
  <si>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</si>
  <si>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</si>
  <si>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</si>
  <si>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</si>
  <si>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</si>
  <si>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</si>
  <si>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</si>
  <si>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89017 </t>
  </si>
  <si>
    <t>TRATOR DE ESTEIRAS, POTÊNCIA 170 HP, PESO OPERACIONAL 19 T, CAÇAMBA 5,2 M3 - DEPRECIAÇÃO. AF_06/2014</t>
  </si>
  <si>
    <t xml:space="preserve"> 89018 </t>
  </si>
  <si>
    <t>TRATOR DE ESTEIRAS, POTÊNCIA 170 HP, PESO OPERACIONAL 19 T, CAÇAMBA 5,2 M3 - JUROS. AF_06/2014</t>
  </si>
  <si>
    <t xml:space="preserve"> 53806 </t>
  </si>
  <si>
    <t>TRATOR DE ESTEIRAS, POTÊNCIA 170 HP, PESO OPERACIONAL 19 T, CAÇAMBA 5,2 M3 - MANUTENÇÃO. AF_06/2014</t>
  </si>
  <si>
    <t xml:space="preserve"> 5718 </t>
  </si>
  <si>
    <t>TRATOR DE ESTEIRAS, POTÊNCIA 170 HP, PESO OPERACIONAL 19 T, CAÇAMBA 5,2 M3 - MATERIAIS NA OPERAÇÃO. AF_06/2014</t>
  </si>
  <si>
    <t xml:space="preserve"> 00007625 </t>
  </si>
  <si>
    <t>TRATOR DE ESTEIRAS, POTENCIA DE 170 HP, PESO OPERACIONAL DE 19 T, COM LAMINA COM CAPACIDADE DE 5,2 M3</t>
  </si>
  <si>
    <t xml:space="preserve"> 96053 </t>
  </si>
  <si>
    <t>TRATOR DE PNEUS COM POTÊNCIA DE 85 CV, TRAÇÃO 4X4, COM VASSOURA MECÂNICA ACOPLADA - DEPRECIAÇÃO. AF_03/2017</t>
  </si>
  <si>
    <t xml:space="preserve"> 96055 </t>
  </si>
  <si>
    <t>TRATOR DE PNEUS COM POTÊNCIA DE 85 CV, TRAÇÃO 4X4, COM VASSOURA MECÂNICA ACOPLADA - JUROS. AF_03/2017</t>
  </si>
  <si>
    <t xml:space="preserve"> 96056 </t>
  </si>
  <si>
    <t>TRATOR DE PNEUS COM POTÊNCIA DE 85 CV, TRAÇÃO 4X4, COM VASSOURA MECÂNICA ACOPLADA - MANUTENÇÃO. AF_03/2017</t>
  </si>
  <si>
    <t xml:space="preserve"> 96057 </t>
  </si>
  <si>
    <t>TRATOR DE PNEUS COM POTÊNCIA DE 85 CV, TRAÇÃO 4X4, COM VASSOURA MECÂNICA ACOPLADA - MATERIAIS NA OPERAÇÃO. AF_03/2017</t>
  </si>
  <si>
    <t xml:space="preserve"> 00007640 </t>
  </si>
  <si>
    <t>TRATOR DE PNEUS COM POTENCIA DE 85 CV, TRACAO 4 X 4, PESO COM LASTRO DE 4675 KG</t>
  </si>
  <si>
    <t xml:space="preserve"> 00013726 </t>
  </si>
  <si>
    <t>VASSOURA MECANICA REBOCAVEL COM ESCOVA CILINDRICA LARGURA UTIL DE VARRIMENTO = 2,44M</t>
  </si>
  <si>
    <t xml:space="preserve"> 89033 </t>
  </si>
  <si>
    <t>TRATOR DE PNEUS, POTÊNCIA 85 CV, TRAÇÃO 4X4, PESO COM LASTRO DE 4.675 KG - DEPRECIAÇÃO. AF_06/2014</t>
  </si>
  <si>
    <t xml:space="preserve"> 89034 </t>
  </si>
  <si>
    <t>TRATOR DE PNEUS, POTÊNCIA 85 CV, TRAÇÃO 4X4, PESO COM LASTRO DE 4.675 KG - JUROS. AF_06/2014</t>
  </si>
  <si>
    <t xml:space="preserve"> 5714 </t>
  </si>
  <si>
    <t>TRATOR DE PNEUS, POTÊNCIA 85 CV, TRAÇÃO 4X4, PESO COM LASTRO DE 4.675 KG - MANUTENÇÃO. AF_06/2014</t>
  </si>
  <si>
    <t xml:space="preserve"> 5715 </t>
  </si>
  <si>
    <t>TRATOR DE PNEUS, POTÊNCIA 85 CV, TRAÇÃO 4X4, PESO COM LASTRO DE 4.675 KG - MATERIAIS NA OPERAÇÃO. AF_06/2014</t>
  </si>
  <si>
    <t xml:space="preserve"> 00009868 </t>
  </si>
  <si>
    <t xml:space="preserve"> 5914359 </t>
  </si>
  <si>
    <t>Transporte com caminhão basculante de 10 m³ - rodovia em leito natural</t>
  </si>
  <si>
    <t xml:space="preserve"> 5914374 </t>
  </si>
  <si>
    <t>Transporte com caminhão basculante de 10 m³ - rodovia em revestimento primário</t>
  </si>
  <si>
    <t xml:space="preserve"> 5914389 </t>
  </si>
  <si>
    <t>Transporte com caminhão basculante de 10 m³ - rodovia pavimentada</t>
  </si>
  <si>
    <t xml:space="preserve"> 5914314 </t>
  </si>
  <si>
    <t>Transporte com caminhão basculante de 6 m³ - rodovia em leito natural</t>
  </si>
  <si>
    <t xml:space="preserve"> 5914329 </t>
  </si>
  <si>
    <t>Transporte com caminhão basculante de 6 m³ - rodovia em revestimento primário</t>
  </si>
  <si>
    <t xml:space="preserve"> 5914344 </t>
  </si>
  <si>
    <t>Transporte com caminhão basculante de 6 m³ - rodovia pavimentada</t>
  </si>
  <si>
    <t xml:space="preserve"> 5914449 </t>
  </si>
  <si>
    <t>Transporte com caminhão carroceria de 15 t - rodovia em leito natural</t>
  </si>
  <si>
    <t xml:space="preserve"> 5914464 </t>
  </si>
  <si>
    <t>Transporte com caminhão carroceria de 15 t - rodovia em revestimento primário</t>
  </si>
  <si>
    <t xml:space="preserve"> 5914479 </t>
  </si>
  <si>
    <t>Transporte com caminhão carroceria de 15 t - rodovia pavimentada</t>
  </si>
  <si>
    <t xml:space="preserve"> 00043458 </t>
  </si>
  <si>
    <t>FERRAMENTAS - FAMILIA ALMOXARIFE - HORISTA (ENCARGOS COMPLEMENTARES - COLETADO CAIXA)</t>
  </si>
  <si>
    <t xml:space="preserve"> 00043482 </t>
  </si>
  <si>
    <t>EPI - FAMILIA ALMOXARIFE - HORISTA (ENCARGOS COMPLEMENTARES - COLETADO CAIXA)</t>
  </si>
  <si>
    <t xml:space="preserve"> 00007139 </t>
  </si>
  <si>
    <t>TE SOLDAVEL, PVC, 90 GRAUS, 25 MM, PARA AGUA FRIA PREDIAL (NBR 5648)</t>
  </si>
  <si>
    <t xml:space="preserve"> 100637 </t>
  </si>
  <si>
    <t>USINA DE MISTURA ASFÁLTICA À QUENTE, TIPO CONTRA FLUXO, PROD 100 A 140 TON/HORA - DEPRECIAÇÃO. AF_12/2019</t>
  </si>
  <si>
    <t xml:space="preserve"> 100638 </t>
  </si>
  <si>
    <t>USINA DE MISTURA ASFÁLTICA À QUENTE, TIPO CONTRA FLUXO, PROD 100 A 140 TON/HORA - JUROS. AF_12/2019</t>
  </si>
  <si>
    <t xml:space="preserve"> 100639 </t>
  </si>
  <si>
    <t>USINA DE MISTURA ASFÁLTICA À QUENTE, TIPO CONTRA FLUXO, PROD 100 A 140 TON/HORA - MANUTENÇÃO. AF_12/2019</t>
  </si>
  <si>
    <t xml:space="preserve"> 100640 </t>
  </si>
  <si>
    <t>USINA DE MISTURA ASFÁLTICA À QUENTE, TIPO CONTRA FLUXO, PROD 100 A 140 TON/HORA - MATERIAIS NA OPERAÇÃO. AF_12/2019</t>
  </si>
  <si>
    <t xml:space="preserve"> 00010601 </t>
  </si>
  <si>
    <t>USINA DE ASFALTO A QUENTE, FIXA, TIPO CONTRA FLUXO, CAPACIDADE DE 100 A 140 T/H, POTENCIA DE 280 KW, COM MISTURADOR EXTERNO ROTATIVO</t>
  </si>
  <si>
    <t xml:space="preserve"> 6416040 </t>
  </si>
  <si>
    <t>E9511</t>
  </si>
  <si>
    <t>Carregadeira de pneus com capacidade de 3,40 m³ - 195 kW</t>
  </si>
  <si>
    <t>E9779</t>
  </si>
  <si>
    <t>Grupo gerador - 113 kVA</t>
  </si>
  <si>
    <t>E9615</t>
  </si>
  <si>
    <t>Usina misturadora de solos com capacidade de 300 t/h - 44 kW</t>
  </si>
  <si>
    <t>M0005</t>
  </si>
  <si>
    <t>M1135</t>
  </si>
  <si>
    <t>Pó de pedra</t>
  </si>
  <si>
    <t>Brita 0 - Caminhão basculante com capacidade de 10 m³ - 188 kW</t>
  </si>
  <si>
    <t>Pó de pedra - Caminhão basculante com capacidade de 10 m³ - 188 kW</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</si>
  <si>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</si>
  <si>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</si>
  <si>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</si>
  <si>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</si>
  <si>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</si>
  <si>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</si>
  <si>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</si>
  <si>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</si>
  <si>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</si>
  <si>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</si>
  <si>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89240 </t>
  </si>
  <si>
    <t>VIBROACABADORA DE ASFALTO SOBRE ESTEIRAS, LARGURA DE PAVIMENTAÇÃO 1,90 M A 5,30 M, POTÊNCIA 105 HP CAPACIDADE 450 T/H - DEPRECIAÇÃO. AF_11/2014</t>
  </si>
  <si>
    <t xml:space="preserve"> 89241 </t>
  </si>
  <si>
    <t>VIBROACABADORA DE ASFALTO SOBRE ESTEIRAS, LARGURA DE PAVIMENTAÇÃO 1,90 M A 5,30 M, POTÊNCIA 105 HP CAPACIDADE 450 T/H - JUROS. AF_11/2014</t>
  </si>
  <si>
    <t xml:space="preserve"> 5710 </t>
  </si>
  <si>
    <t>VIBROACABADORA DE ASFALTO SOBRE ESTEIRAS, LARGURA DE PAVIMENTAÇÃO 1,90 M A 5,30 M, POTÊNCIA 105 HP CAPACIDADE 450 T/H - MANUTENÇÃO. AF_11/2014</t>
  </si>
  <si>
    <t xml:space="preserve"> 5711 </t>
  </si>
  <si>
    <t>VIBROACABADORA DE ASFALTO SOBRE ESTEIRAS, LARGURA DE PAVIMENTAÇÃO 1,90 M A 5,30 M, POTÊNCIA 105 HP CAPACIDADE 450 T/H - MATERIAIS NA OPERAÇÃO. AF_11/2014</t>
  </si>
  <si>
    <t xml:space="preserve"> 00010488 </t>
  </si>
  <si>
    <t>VIBROACABADORA DE ASFALTO SOBRE ESTEIRAS, LARG. PAVIMENT. 1,90 A 5,3 M, POT. 78 KW/105 HP, CAP. 450 T/H</t>
  </si>
  <si>
    <t>Dimensionamento de Canteiro de Obras CONF. NR-18 E NR-24</t>
  </si>
  <si>
    <t xml:space="preserve">Conforme Quantitativo Validado pelos projetistas. </t>
  </si>
  <si>
    <t>Volume (Área Limpeza x e= 20 cm) x empolamento vegetação 1,25</t>
  </si>
  <si>
    <t>Carga x Bota-fora URE</t>
  </si>
  <si>
    <t>Conforme Quantitativo Validado pelos projetistas</t>
  </si>
  <si>
    <t>Dimensionamento de Canteiro de Obras CONF. NR-18 E NR-24 - 2 unid ESCRITORIO CENTRAL E ALMOXARIFADO</t>
  </si>
  <si>
    <t>Dimensionamento de Canteiro de Obras CONF. NR-18 E NR-24 - 3 unid- VESTIARIO E BANHEIROS 3 Unid</t>
  </si>
  <si>
    <t>Modificada seguindo  Dimensionamento de Canteiro de Obras CONF. NR-18 E NR-24 REFEITÓRIO E AREA DE LAZER</t>
  </si>
  <si>
    <t>Modificada seguindo  Dimensionamento de Canteiro de Obras CONF. NR-18 E NR-24</t>
  </si>
  <si>
    <t>Dimensionamento de Canteiro de Obras CONF. NR-18 E NR-24 Área Canteiro 800 m2 e=5 cm</t>
  </si>
  <si>
    <t>BASE CONTAINERS</t>
  </si>
  <si>
    <t>ESTIMADO (canteiro 30 pessoas) uso de 2 meses de gerador</t>
  </si>
  <si>
    <t>ESTIMADO (canteiro 30 pessoas)</t>
  </si>
  <si>
    <t>Caminhão pipa, considerado 22 dias x 2hs x 6meses Canteiro</t>
  </si>
  <si>
    <t>Estimativo 44 hs /Mês (Produtivo)x 2 mês</t>
  </si>
  <si>
    <t>Estimativo 176 hs /Mês (Improdutivo)x 2 mês</t>
  </si>
  <si>
    <t>Àrea  de demolição *0,05* Empolamento 1,30</t>
  </si>
  <si>
    <t>Carga x Bota-fora NOVACAP</t>
  </si>
  <si>
    <t>Área Canteiro de Recuperação  800 m2 - e= 5 cm</t>
  </si>
  <si>
    <t>Volume  x empolamento Brita 1,50</t>
  </si>
  <si>
    <t>Conforme Quantitativo Validado pelos projetistas E= 15 cm</t>
  </si>
  <si>
    <t>Permanência 1 Profissional 1/3 PERIODO</t>
  </si>
  <si>
    <t>Permanência 1 Profissional  periodo integral</t>
  </si>
  <si>
    <t>Permanência 1 Profissional Meio  Periodo</t>
  </si>
  <si>
    <t>Consideramos 1 profissionais</t>
  </si>
  <si>
    <t xml:space="preserve">Permanência 2 Profissionais por Periodo </t>
  </si>
  <si>
    <t>Permanência 2 Profissional  Periodo Integral - 1 p/a cada frente de trabalho</t>
  </si>
  <si>
    <t>Consideramos 1 profissional</t>
  </si>
  <si>
    <t>Permanência 1 Profissional  Período integral</t>
  </si>
  <si>
    <t>Permanência 1 Profissionais  Período integral</t>
  </si>
  <si>
    <t xml:space="preserve">Previsão de 1 mês engenheiro SENIOR para elaboração de projeto </t>
  </si>
  <si>
    <t xml:space="preserve">Previsão de 1  mês de desenhista para elaboração de projeto </t>
  </si>
  <si>
    <t>DURAÇÃO DA OBRA (MÊS):</t>
  </si>
  <si>
    <t>PERÍODO INTEGRAL</t>
  </si>
  <si>
    <t>Período Integral</t>
  </si>
  <si>
    <t>DIAS</t>
  </si>
  <si>
    <t>HORAS</t>
  </si>
  <si>
    <t>Dimensionamento de Canteiro de Obras CONF. NR-18 E NR-24.</t>
  </si>
  <si>
    <t>Inclusive Tapume (264 m2)</t>
  </si>
  <si>
    <t>Guarita (4 m2)</t>
  </si>
  <si>
    <t>Central de Formas (50 m2)</t>
  </si>
  <si>
    <t>Armação (50 m2)</t>
  </si>
  <si>
    <t>Depósito (20 m2)</t>
  </si>
  <si>
    <t>EMPOLAMENTO</t>
  </si>
  <si>
    <t>DIST. (KM)</t>
  </si>
  <si>
    <t>VOLUME EMPOLADO (M³)</t>
  </si>
  <si>
    <t>QUANT. (H)</t>
  </si>
  <si>
    <t>MOM. DE TRANSP. (M³KM)</t>
  </si>
  <si>
    <t>Carga x Bota-fora URE (30 km, restante pago no excedente)</t>
  </si>
  <si>
    <t>Seguindo Padrão GDF - Canteiro Tamanho lote (20x40) m  H=2,2 M  264 m2</t>
  </si>
  <si>
    <t xml:space="preserve"> - 1 Portões (4x1,2) e (1x1,60) = 257,60</t>
  </si>
  <si>
    <t>DURAÇÃO OBRA (MÊS)</t>
  </si>
  <si>
    <t>TEMPO TOTAL (MÊS)</t>
  </si>
  <si>
    <t xml:space="preserve"> COMP-TEC-020 </t>
  </si>
  <si>
    <t>PRÓPRIO</t>
  </si>
  <si>
    <t>TÉCNICO DE MEIO AMBIENTE COM ENCARGOS COMPLEMENTARES E ENCARGOS SOCIAIS E.S 70,04%</t>
  </si>
  <si>
    <t xml:space="preserve"> E9125-MÊS </t>
  </si>
  <si>
    <t>REMOÇÃO DE TAPUME/ CHAPAS METÁLICAS E DE MADEIRA, DE FORMA MANUAL, SEM REAPROVEITAMENTO. AF_09/2023</t>
  </si>
  <si>
    <t>REMOÇÃO MECANIZADA DE CAMADA GRANULAR DO PAVIMENTO</t>
  </si>
  <si>
    <t>ESPALHAMENTO DE MATERIAL EM BOTA-FORA</t>
  </si>
  <si>
    <t>CAVALO MECÂNICO COM SEMIRREBOQUE COM CAPACIDADE DE 22 T - 240 KW</t>
  </si>
  <si>
    <t>CAMINHÃO CARROCERIA COM GUINDAUTO COM CAPACIDADE DE 20 T.M - 136 KW</t>
  </si>
  <si>
    <t xml:space="preserve"> 85188 M </t>
  </si>
  <si>
    <t xml:space="preserve"> 85189 M </t>
  </si>
  <si>
    <t>EXECUÇÃO DE RESERVATÓRIO ELEVADO DE ÁGUA (1000 LITROS) EM CANTEIRO DE OBRA, APOIADO EM ESTRUTURA DE MADEIRA. AF_02/2016_PA</t>
  </si>
  <si>
    <t>EXECUÇÃO DE RESERVATÓRIO ELEVADO DE ÁGUA (2000 LITROS) EM CANTEIRO DE OBRA, APOIADO EM ESTRUTURA DE MADEIRA. AF_02/2016_PA</t>
  </si>
  <si>
    <t>TANQUE SÉPTICO CIRCULAR, EM CONCRETO PRÉ-MOLDADO, DIÂMETRO INTERNO = 1,88 M, ALTURA INTERNA = 2,50 M, VOLUME ÚTIL: 6245,8 L (PARA 32 CONTRIBUINTES). AF_12/2020_PA</t>
  </si>
  <si>
    <t xml:space="preserve"> 73960/001 M </t>
  </si>
  <si>
    <t>LASTRO DE BRITA COMERCIAL COMPACTADO COM SOQUETE VIBRATÓRIO - ESPALHAMENTO MANUAL</t>
  </si>
  <si>
    <t>FÔRMAS DE COMPENSADO RESINADO 10 MM - USO GERAL - UTILIZAÇÃO DE 3 VEZES - CONFECÇÃO, INSTALAÇÃO E RETIRADA</t>
  </si>
  <si>
    <t>ESCADA DE MADEIRA PARA OBRA, EM TÁBUA DE CONSTRUÇÃO, LARGURA 1,00M</t>
  </si>
  <si>
    <t>DEMOLIÇÃO PARCIAL DE PAVIMENTO ASFÁLTICO, DE FORMA MECANIZADA, SEM REAPROVEITAMENTO. AF_09/2023</t>
  </si>
  <si>
    <t>DEMOLIÇÃO DE ALVENARIA DE BLOCO FURADO, DE FORMA MANUAL, SEM REAPROVEITAMENTO. AF_09/2023</t>
  </si>
  <si>
    <t>EXECUÇÃO DE PASSEIO (CALÇADA) OU PISO DE CONCRETO COM CONCRETO MOLDADO IN LOCO, FEITO EM OBRA, ACABAMENTO CONVENCIONAL, NÃO ARMADO. AF_08/2022</t>
  </si>
  <si>
    <t>RECONSTRUCAO DE MEIO-FIO EM CONCRETO 10CM MOLDADO NO LOCAL</t>
  </si>
  <si>
    <t xml:space="preserve"> 96.01.04 M </t>
  </si>
  <si>
    <t>BASE OU SUB-BASE DE BRITA GRADUADA COM BRITA COMERCIAL</t>
  </si>
  <si>
    <t>CAL HIDRATADA - A GRANEL</t>
  </si>
  <si>
    <t xml:space="preserve"> 0401001113 </t>
  </si>
  <si>
    <t>AGESUL</t>
  </si>
  <si>
    <t>FÔRMAS DE COMPENSADO RESINADO 12 MM - USO GERAL - UTILIZAÇÃO DE 2 VEZES - CONFECÇÃO, INSTALAÇÃO E RETIRADA</t>
  </si>
  <si>
    <t>REGULARIZAÇÃO DO SUBLEITO</t>
  </si>
  <si>
    <t>PLACA EM AÇO - PELÍCULA I + III - FORNECIMENTO E IMPLANTAÇÃO</t>
  </si>
  <si>
    <t>PINTURA DE FAIXA COM TERMOPLÁSTICO POR ASPERSÃO - ESPESSURA DE 1,5 MM</t>
  </si>
  <si>
    <t>EXAMES - MENSALISTA (COLETADO CAIXA - ENCARGOS COMPLEMENTARES)</t>
  </si>
  <si>
    <t>SEGURO - MENSALISTA (COLETADO CAIXA - ENCARGOS COMPLEMENTARES)</t>
  </si>
  <si>
    <t>TÉCNICO DE MEIO AMBIENTE SEM ENCARGOS</t>
  </si>
  <si>
    <t>Observação</t>
  </si>
  <si>
    <t>44 CHP 176 CHI</t>
  </si>
  <si>
    <t>TRANSPORTE - MENSALISTA (COLETADO CAIXA - ENCARGOS COMPLEMENTARES)</t>
  </si>
  <si>
    <t>ALIMENTACAO - MENSALISTA (COLETADO CAIXA - ENCARGOS COMPLEMENTARES)</t>
  </si>
  <si>
    <t>CONFORME VOLUME 8 DNIT 44CHP 176CHI</t>
  </si>
  <si>
    <t xml:space="preserve">CONS_LUZ
</t>
  </si>
  <si>
    <t>CONS_ÁGUA NOVACAP</t>
  </si>
  <si>
    <t>SARRAFO NAO APARELHADO *2,5 X 7* CM, EM MACARANDUBA/MASSARANDUBA, ANGELIM, PEROBA-ROSA OU EQUIVALENTE DA REGIAO - BRUTA</t>
  </si>
  <si>
    <t>TABUA APARELHADA *2,5 X 30* CM, EM MACARANDUBA/MASSARANDUBA, ANGELIM OU EQUIVALENTE DA REGIAO</t>
  </si>
  <si>
    <t>CAIBRO NAO APARELHADO *6 X 6* CM, EM MACARANDUBA/MASSARANDUBA, ANGELIM OU EQUIVALENTE DA REGIAO - BRUTA</t>
  </si>
  <si>
    <t>BARRA DE ACO CHATO, RETANGULAR, 25,4 MM X 6,35 MM (L X E), 1,2265 KG/M</t>
  </si>
  <si>
    <t xml:space="preserve">Copia da SINAPI (85188) - </t>
  </si>
  <si>
    <t>Copia da SINAPI (85189)</t>
  </si>
  <si>
    <t>PINTURA LÁTEX ACRÍLICA PREMIUM, APLICAÇÃO MANUAL EM PAREDES, DUAS DEMÃOS. AF_04/2023</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</si>
  <si>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</si>
  <si>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</si>
  <si>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ELETRODUTO FLEXÍVEL CORRUGADO, PVC, DN 20 MM (1/2"),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</si>
  <si>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</si>
  <si>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PAREDE - FORNECIMENTO E INSTALAÇÃO. AF_03/2023</t>
  </si>
  <si>
    <t>CABO DE COBRE FLEXÍVEL ISOLADO, 2,5 MM², ANTI-CHAMA 450/750 V, PARA CIRCUITOS TERMINAIS - FORNECIMENTO E INSTALAÇÃO. AF_03/2023</t>
  </si>
  <si>
    <t>INTERRUPTOR SIMPLES (2 MÓDULOS) COM 1 TOMADA DE EMBUTIR 2P+T 10 A, INCLUINDO SUPORTE E PLACA - FORNECIMENTO E INSTALAÇÃO. AF_03/2023</t>
  </si>
  <si>
    <t>CONDULETE DE PVC, TIPO LB, PARA ELETRODUTO DE PVC SOLDÁVEL DN 25 MM (3/4''), APARENTE - FORNECIMENTO E INSTALAÇÃO. AF_10/2022</t>
  </si>
  <si>
    <t>CABO DE COBRE FLEXÍVEL ISOLADO, 1,5 MM², ANTI-CHAMA 450/750 V, PARA CIRCUITOS TERMINAIS - FORNECIMENTO E INSTALAÇÃO. AF_03/2023</t>
  </si>
  <si>
    <t>INTERRUPTOR SIMPLES (1 MÓDULO) COM 1 TOMADA DE EMBUTIR 2P+T 10 A, INCLUINDO SUPORTE E PLACA - FORNECIMENTO E INSTALAÇÃO. AF_03/2023</t>
  </si>
  <si>
    <t>CONDULETE DE PVC, TIPO B, PARA ELETRODUTO DE PVC SOLDÁVEL DN 25 MM (3/4''), APARENTE - FORNECIMENTO E INSTALAÇÃO. AF_10/2022</t>
  </si>
  <si>
    <t>TOMADA BAIXA DE EMBUTIR (2 MÓDULOS), 2P+T 10 A, INCLUINDO SUPORTE E PLACA - FORNECIMENTO E INSTALAÇÃO. AF_03/2023</t>
  </si>
  <si>
    <t>HASTE DE ATERRAMENTO, DIÂMETRO 5/8", COM 3 METROS - FORNECIMENTO E INSTALAÇÃO. AF_08/2023</t>
  </si>
  <si>
    <t>INTERRUPTOR SIMPLES (2 MÓDULOS), 10A/250V, INCLUINDO SUPORTE E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</si>
  <si>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</si>
  <si>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</si>
  <si>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CAIXA D'AGUA / RESERVATORIO EM POLIETILENO, 1000 LITROS, COM TAMPA</t>
  </si>
  <si>
    <t>CAIXA D'AGUA / RESERVATORIO EM POLIETILENO, 2000 LITROS, COM TAMPA</t>
  </si>
  <si>
    <t>PEÇA CIRCULAR PRÉ-MOLDADA, VOLUME DE CONCRETO DE 10 A 30 LITROS, TAXA DE FIBRA DE POLIPROPILENO APROXIMADA DE 6 KG/M³. AF_01/2018_PS</t>
  </si>
  <si>
    <t>VIGA NAO APARELHADA *8 X 16* CM EM MACARANDUBA/MASSARANDUBA, ANGELIM OU EQUIVALENTE DA REGIAO - BRUTA</t>
  </si>
  <si>
    <t xml:space="preserve"> 045636 </t>
  </si>
  <si>
    <t>CHAVE FUSIVEL BASE C POLIMERICA UNIPOLAR 15KV 100A ELO 15K MAURIZIO</t>
  </si>
  <si>
    <t>Copia da SINAPI (73960/001)</t>
  </si>
  <si>
    <t>CONJUNTO DE LIGACAO PARA VASO / BACIA SANITARIA, EM PLASTICO BRANCO, COM TUBO, CANOPLA E ANEL DE EXPANSAO (TUBO 1.1/2" X 20 CM)</t>
  </si>
  <si>
    <t>CONFORME NOVACAP</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</si>
  <si>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</si>
  <si>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</si>
  <si>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Grupo gerador - 14 kVA</t>
  </si>
  <si>
    <t>TABUA NAO APARELHADA *2,5 X 30* CM, EM MACARANDUBA/MASSARANDUBA, ANGELIM OU EQUIVALENTE DA REGIAO - BRUTA</t>
  </si>
  <si>
    <t>TABUA NAO APARELHADA *2,5 X 20* CM, EM MACARANDUBA/MASSARANDUBA, ANGELIM OU EQUIVALENTE DA REGIAO - BRUTA</t>
  </si>
  <si>
    <t>FONTE: COMPESA 02.03.04U</t>
  </si>
  <si>
    <t>FONTE: COMPESA 02.03.06U</t>
  </si>
  <si>
    <t xml:space="preserve">FONTE: COMPESA </t>
  </si>
  <si>
    <t>Esgotamento de água com bomba submersa</t>
  </si>
  <si>
    <t>TANQUE DE ASFALTO ESTACIONÁRIO COM SERPENTINA, CAPACIDADE 30.000 L - CHP DIURNO. AF_05/2023</t>
  </si>
  <si>
    <t xml:space="preserve"> M0345 </t>
  </si>
  <si>
    <t>Cal hidratada - saco</t>
  </si>
  <si>
    <t>CAMINHÃO PARA EQUIPAMENTO DE LIMPEZA A SUCÇÃO, COM CAMINHÃO TRUCADO DE PESO BRUTO TOTAL 23000 KG, CARGA ÚTIL MÁXIMA 15935 KG, DISTÂNCIA ENTRE EIXOS 4,80 M, POTÊNCIA 230 CV, INCLUSIVE LIMPADORA A SUCÇÃO, TANQUE 12000 L - CHP DIURNO. AF_05/2023</t>
  </si>
  <si>
    <t>Desobstrução e limpeza de boca-de-lobo</t>
  </si>
  <si>
    <t xml:space="preserve"> 5811 </t>
  </si>
  <si>
    <t>CAMINHÃO BASCULANTE 6 M3, PESO BRUTO TOTAL 16.000 KG, CARGA ÚTIL MÁXIMA 13.071 KG, DISTÂNCIA ENTRE EIXOS 4,80 M, POTÊNCIA 230 CV INCLUSIVE CAÇAMBA METÁLICA - CHP DIURNO. AF_06/2014</t>
  </si>
  <si>
    <t>UNXMES</t>
  </si>
  <si>
    <t>Retroescavadeira de pneus - capacidade da caçamba da pá-carregadeira de 0,76 m³ e da</t>
  </si>
  <si>
    <t>Lastro de pedra de mão ou rachão - espalhamento manual</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</si>
  <si>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</si>
  <si>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</si>
  <si>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CANTONEIRA (ABAS IGUAIS) EM ACO CARBONO, 25,4 MM X 3,17 MM (L X E), 1,27KG/M</t>
  </si>
  <si>
    <t>CHUMBADOR QUIMICO AMPOLA AQA22 ANCORA 22mm</t>
  </si>
  <si>
    <t>SARRAFO NAO APARELHADO *2,5 X 10* CM, EM MACARANDUBA/MASSARANDUBA, ANGELIM OU EQUIVALENTE DA REGIAO - BRUTA</t>
  </si>
  <si>
    <t>ALIMENTACAO - HORISTA (COLETADO CAIXA - ENCARGOS COMPLEMENTARES)</t>
  </si>
  <si>
    <t>TRANSPORTE - HORISTA (COLETADO CAIXA - ENCARGOS COMPLEMENTARES)</t>
  </si>
  <si>
    <t>EXAMES - HORISTA (COLETADO CAIXA - ENCARGOS COMPLEMENTARES)</t>
  </si>
  <si>
    <t>SEGURO - HORISTA (COLETADO CAIXA - ENCARGOS COMPLEMENTARES)</t>
  </si>
  <si>
    <t>CORTE E DOBRA DE AÇO CA-60, DIÂMETRO DE 4,2 MM. AF_06/2022</t>
  </si>
  <si>
    <t>ASSENTADOR DE MANILHAS (HORISTA)</t>
  </si>
  <si>
    <t>AUXILIAR DE SERVICOS GERAIS (HORISTA)</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</si>
  <si>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</si>
  <si>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</si>
  <si>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</si>
  <si>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</si>
  <si>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</si>
  <si>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</si>
  <si>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</si>
  <si>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</si>
  <si>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 xml:space="preserve"> 53792 </t>
  </si>
  <si>
    <t>CAMINHÃO BASCULANTE 6 M3, PESO BRUTO TOTAL 16.000 KG, CARGA ÚTIL MÁXIMA 13.071 KG, DISTÂNCIA ENTRE EIXOS 4,80 M, POTÊNCIA 230 CV INCLUSIVE CAÇAMBA METÁLICA - MATERIAIS NA OPERAÇÃO. AF_06/2014</t>
  </si>
  <si>
    <t xml:space="preserve"> 5695 </t>
  </si>
  <si>
    <t>CAMINHÃO BASCULANTE 6 M3, PESO BRUTO TOTAL 16.000 KG, CARGA ÚTIL MÁXIMA 13.071 KG, DISTÂNCIA ENTRE EIXOS 4,80 M, POTÊNCIA 230 CV INCLUSIVE CAÇAMBA METÁLICA - MANUTENÇÃO. AF_06/2014</t>
  </si>
  <si>
    <t xml:space="preserve"> 91367 </t>
  </si>
  <si>
    <t>CAMINHÃO BASCULANTE 6 M3, PESO BRUTO TOTAL 16.000 KG, CARGA ÚTIL MÁXIMA 13.071 KG, DISTÂNCIA ENTRE EIXOS 4,80 M, POTÊNCIA 230 CV INCLUSIVE CAÇAMBA METÁLICA - DEPRECIAÇÃO. AF_06/2014</t>
  </si>
  <si>
    <t xml:space="preserve"> 91368 </t>
  </si>
  <si>
    <t>CAMINHÃO BASCULANTE 6 M3, PESO BRUTO TOTAL 16.000 KG, CARGA ÚTIL MÁXIMA 13.071 KG, DISTÂNCIA ENTRE EIXOS 4,80 M, POTÊNCIA 230 CV INCLUSIVE CAÇAMBA METÁLICA - JUROS. AF_06/2014</t>
  </si>
  <si>
    <t xml:space="preserve"> 91369 </t>
  </si>
  <si>
    <t>CAMINHÃO BASCULANTE 6 M3, PESO BRUTO TOTAL 16.000 KG, CARGA ÚTIL MÁXIMA 13.071 KG, DISTÂNCIA ENTRE EIXOS 4,80 M, POTÊNCIA 230 CV INCLUSIVE CAÇAMBA METÁLICA - IMPOSTOS E SEGUROS. AF_06/2014</t>
  </si>
  <si>
    <t xml:space="preserve"> 00037733 </t>
  </si>
  <si>
    <t>CACAMBA METALICA BASCULANTE COM CAPACIDADE DE 6 M3 (INCLUI MONTAGEM, NAO INCLUI CAMINHAO)</t>
  </si>
  <si>
    <t xml:space="preserve"> 00044058 </t>
  </si>
  <si>
    <t>CAMINHAO TOCO, PESO BRUTO TOTAL 16000 KG, CARGA UTIL MAXIMA 10830 KG, DISTANCIA ENTRE EIXOS 3,56 M, POTENCIA 226 CV (INCLUI CABINE E CHASSI, NAO INCLUI CARROCERIA)</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</si>
  <si>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</si>
  <si>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</si>
  <si>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</si>
  <si>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</si>
  <si>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</si>
  <si>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 xml:space="preserve"> M0039 </t>
  </si>
  <si>
    <t xml:space="preserve"> M0014 </t>
  </si>
  <si>
    <t>Aço CA 60</t>
  </si>
  <si>
    <t>ENCARREGADO GERAL DE OBRAS (HORISTA)</t>
  </si>
  <si>
    <t>MOTORISTA DE CAMINHAO-BASCULANTE (HORISTA)</t>
  </si>
  <si>
    <t>MOTORISTA DE CAMINHAO (HORISTA)</t>
  </si>
  <si>
    <t>MOTORISTA OPERADOR DE CAMINHAO COM MUNCK (HORISTA)</t>
  </si>
  <si>
    <t>OPERADOR DE BETONEIRA ESTACIONARIA / MISTURADOR (HORISTA)</t>
  </si>
  <si>
    <t>OPERADOR DE ESCAVADEIRA (HORISTA)</t>
  </si>
  <si>
    <t>OPERADOR DE GUINCHO OU GUINCHEIRO (HORISTA)</t>
  </si>
  <si>
    <t>OPERADOR DE MARTELETE OU MARTELETEIRO (HORISTA)</t>
  </si>
  <si>
    <t>OPERADOR DE MOTONIVELADORA (HORISTA)</t>
  </si>
  <si>
    <t>OPERADOR DE MAQUINAS E TRATORES DIVERSOS - TERRAPLANAGEM (HORISTA)</t>
  </si>
  <si>
    <t>OPERADOR DE PAVIMENTADORA / MESA VIBROACABADORA (HORISTA)</t>
  </si>
  <si>
    <t>OPERADOR DE PA CARREGADEIRA (HORISTA)</t>
  </si>
  <si>
    <t>OPERADOR DE ROLO COMPACTADOR (HORISTA)</t>
  </si>
  <si>
    <t>OPERADOR DE USINA DE ASFALTO, DE SOLOS OU DE CONCRETO (HORISTA)</t>
  </si>
  <si>
    <t>SERVENTE DE OBRAS (HORISTA)</t>
  </si>
  <si>
    <t>Balança plataforma digital à bateria, com mesa de 75 x 75 cm e capacidade de 500 kg</t>
  </si>
  <si>
    <t>HASTE DE ATERRAMENTO EM ACO COM 3,00 M DE COMPRIMENTO E DN = 5/8", REVESTIDA COM BAIXA CAMADA DE COBRE, SEM CONECTOR</t>
  </si>
  <si>
    <t>SUPORTE PARAFUSADO COM PLACA DE ENCAIXE 4" X 2" MÉDIO (1,30 M DO PISO) PARA PONTO ELÉTRICO - FORNECIMENTO E INSTALAÇÃO. AF_03/2023</t>
  </si>
  <si>
    <t>INTERRUPTOR SIMPLES (1 MÓDULO) COM 1 TOMADA DE EMBUTIR 2P+T 10 A, SEM SUPORTE E SEM PLACA - FORNECIMENTO E INSTALAÇÃO. AF_03/2023</t>
  </si>
  <si>
    <t>INTERRUPTOR SIMPLES (2 MÓDULOS) COM 1 TOMADA DE EMBUTIR 2P+T 10 A, SEM SUPORTE E SEM PLACA - FORNECIMENTO E INSTALAÇÃO. AF_03/2023</t>
  </si>
  <si>
    <t>INTERRUPTOR SIMPLES (2 MÓDULOS), 10A/250V, SEM SUPORTE E SEM PLACA - FORNECIMENTO E INSTALAÇÃO. AF_03/2023</t>
  </si>
  <si>
    <t>CAIBRO NAO APARELHADO *5 X 6* CM, EM MACARANDUBA/MASSARANDUBA, ANGELIM OU EQUIVALENTE DA REGIAO - BRUTA</t>
  </si>
  <si>
    <t>JOELHO PVC, SOLDAVEL, 90 GRAUS, 25 MM, COR MARROM, PARA AGUA FRIA PREDIAL</t>
  </si>
  <si>
    <t>COMPACTADOR DE SOLO TIPO PLACA VIBRATORIA REVERSIVEL, A GASOLINA 4 TEMPOS, PESO 125 A 150 KG, FORCA CENTRIF. 2500 A 2800 KGF, LARG. TRABALHO 400 A 450 MM, FREQ. VIBRACAO 4300 A 4500 RPM, VELOC. TRABALHO 15 A 20 M/MIN, POT. 5,5 A 6,0 HP</t>
  </si>
  <si>
    <t>Grupo gerador - 3,2 kVA</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</si>
  <si>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</si>
  <si>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</si>
  <si>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</si>
  <si>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</si>
  <si>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TOMADA BAIXA DE EMBUTIR (1 MÓDULO), 2P+T 10 A, SEM SUPORTE E SEM PLACA - FORNECIMENTO E INSTALAÇÃO. AF_03/2023</t>
  </si>
  <si>
    <t>TOMADA BAIXA DE EMBUTIR (1 MÓDULO), 2P+T 20 A, SEM SUPORTE E SEM PLACA - FORNECIMENTO E INSTALAÇÃO. AF_03/2023</t>
  </si>
  <si>
    <t>TOMADA BAIXA DE EMBUTIR (2 MÓDULOS), 2P+T 10 A, SEM SUPORTE E SEM PLACA - FORNECIMENTO E INSTALAÇÃO. AF_03/2023</t>
  </si>
  <si>
    <t>VIGA NAO APARELHADA *6 X 12* CM, EM MACARANDUBA/MASSARANDUBA, ANGELIM OU EQUIVALENTE DA REGIAO - BRUTA</t>
  </si>
  <si>
    <t>TUBO PVC, SOLDAVEL, DE 25 MM, AGUA FRIA (NBR-5648)</t>
  </si>
  <si>
    <t>VALOR P/CUSTO DE MATERIA PRIMA NACIONAL</t>
  </si>
  <si>
    <t>BARRA CHATA DE ACO CARBONO, P/USOS GERAIS, PADRAO AMERICANO, FABRICACAO USUAL, PRECO DE USINA, DE 5" X 1/2". FORN.</t>
  </si>
  <si>
    <t xml:space="preserve"> 00087 </t>
  </si>
  <si>
    <t xml:space="preserve"> 00088 </t>
  </si>
  <si>
    <t>CHUMBO VIRGEM EM LINGOTE</t>
  </si>
  <si>
    <t xml:space="preserve"> 00089 </t>
  </si>
  <si>
    <t>COBRE ELETROLITICO, TIPO PRENSADO-BARRA</t>
  </si>
  <si>
    <t xml:space="preserve"> 00090 </t>
  </si>
  <si>
    <t>COBRE ELETROLITICO, TIPO LAMINADO-CHAPA</t>
  </si>
  <si>
    <t xml:space="preserve"> 00091 </t>
  </si>
  <si>
    <t xml:space="preserve"> 00096 </t>
  </si>
  <si>
    <t>LATAO EM BARRA, PRENSADO, RETANGULAR</t>
  </si>
  <si>
    <t xml:space="preserve"> 00097 </t>
  </si>
  <si>
    <t xml:space="preserve"> 00098 </t>
  </si>
  <si>
    <t xml:space="preserve"> 00036 </t>
  </si>
  <si>
    <t xml:space="preserve"> 01.001.0275-0</t>
  </si>
  <si>
    <t>SODF / BRASÍLIA-DF</t>
  </si>
  <si>
    <t>ANEXO II - MOVIMENTAÇÃO DE SOLO</t>
  </si>
  <si>
    <t>MOVIMENTO DE SOLO</t>
  </si>
  <si>
    <t>OBS: Para reaterro nas valas de interligação de PV-BL e das bocas de lobo, foi utilizado o material da Via 1 (V=682,94m³) com acrescimo de fator de homogenização de 15%  disponivel na VIA 1UTLIZADO VOLUME DA VIA 1</t>
  </si>
  <si>
    <t>ORIGEM VIA ÁREA 1</t>
  </si>
  <si>
    <t>TRANSPORTE DO MATERIAL REAPROVEITAVEL DAS BOCAS DE LOBO PARA A REDE E LIGAÇÕES COM PV (DMT ESTIMADO EM 200M)</t>
  </si>
  <si>
    <t>TRANSPORTE ATÉ ATERRO ESTRUTURAL - BOTA FORA - MATERIAL APROVEITADO PARA LIGAÇÕES PV-BL (FHV 15%)</t>
  </si>
  <si>
    <t xml:space="preserve">OBS: Para reaterro nas valas de interligação de PV-BL, foi utilizado o material reaproveitável das escavações da rede (V=255,01m³) com acrescimo de fator de homogenização de 15% </t>
  </si>
  <si>
    <t>REVOLVIMENTO E LIMPEZA MANUAL DE SOLO. AF_07/2024</t>
  </si>
  <si>
    <t>APLICAÇÃO DE ADUBO EM SOLO. AF_07/2024</t>
  </si>
  <si>
    <t>APLICAÇÃO DE CALCÁRIO PARA CORREÇÃO DO PH DO SOLO. AF_07/2024</t>
  </si>
  <si>
    <t>PLANTIO DE GRAMA BATATAIS EM PLACAS. AF_07/2024</t>
  </si>
  <si>
    <t>LIMPEZA MECANIZADA DE CAMADA VEGETAL, VEGETAÇÃO E PEQUENAS ÁRVORES (DIÂMETRO DE TRONCO MENOR QUE 0,20 M), COM TRATOR DE ESTEIRAS. AF_03/2024</t>
  </si>
  <si>
    <t>TAPUME COM TELHA METÁLICA. AF_03/2024</t>
  </si>
  <si>
    <t>ESTRUTURA DE MADEIRA PROVISÓRIA PARA SUPORTE DE CAIXA DÁGUA ELEVADA DE 1000 LITROS. AF_03/2024</t>
  </si>
  <si>
    <t>ESTRUTURA DE MADEIRA PROVISÓRIA PARA SUPORTE DE CAIXA DÁGUA ELEVADA DE 3000 LITROS. AF_03/2024</t>
  </si>
  <si>
    <t>DEMOLICAO MECANICA DE CONCRETO SIMPLES C/ COMPRESSOR E MARTELETE PNEUMATICO INCL. REMOCAO ECARREG. MANUAL DO EXPURGO</t>
  </si>
  <si>
    <t>DEMOLICAO COM EQUIPAMENTO DE AR COMPRIMIDO,DE PASSEIO CIMENT ADO COM ESPESSURA ATE 10CM,INCLUSIVE EMPILHAMENTO LATERAL DE NTRO DO CANTEIRO DE SERVICO 3%-DESGASTE DE FERRAMENTAS E EPI</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</si>
  <si>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</si>
  <si>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</si>
  <si>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</si>
  <si>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</si>
  <si>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</si>
  <si>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</si>
  <si>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</si>
  <si>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</si>
  <si>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</si>
  <si>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</si>
  <si>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</si>
  <si>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ESPALHAMENTO DE MATERIAL COM TRATOR DE ESTEIRAS. AF_09/2024</t>
  </si>
  <si>
    <t>ESCORAMENTO DE VALA, TIPO BLINDADEM, COM PROFUNDIDADE DE 0 A 1,5 M, LARGURA MAIOR OU IGUAL A 1,5 M EMENOR QUE 2,5 M - EXECUÇÃO E FORNECIMENTO, INCLUI MATERIAL (ESCAVAÇÃO EXTERNA AO BLINDADO)</t>
  </si>
  <si>
    <t>ESCORAMENTO DE VALA, TIPO BLINDAGEM, COM PROFUNDIDADE DE 1,5 A 3,0 M, LARGURA DE 1,5 A 2,5 M -EXECUÇÃO E FORNECIMENTO, INCLUI MATERIAL (ESCAVAÇÃO INTERNA AO BLINDADO)</t>
  </si>
  <si>
    <t>ESCORAMENTO DE VALA, TIPO BLINDAGEM, COM PROFUNDIDADE DE 3,0 A 4,5 M, LARGURA MAIOR OU IGUAL A 1,5 M EMENOR QUE 2,5 M - EXECUÇÃO E FORNECIMENTO, INCLUI MATERIAL (ESCAVAÇÃO EXTERNA AO BLINDADO)</t>
  </si>
  <si>
    <t>ESCORAMENTO DE VALA, TIPO BLINDADEM, COM PROFUNDIDADE DE 0 A 1,5 M, LARGURA MAIOR OU IGUAL A 2,5 M EMENOR QUE 3,5 M - EXECUÇÃO E FORNECIMENTO, INCLUI MATERIAL (ESCAVAÇÃO EXTERNA AO BLINDADO)</t>
  </si>
  <si>
    <t>ESCORAMENTO DE VALA, TIPO BLINDAGEM, COM PROFUNDIDADE DE 1,5 A 3,0 M, LARGURA DE 2,5 A 3,5 M -EXECUÇÃO E FORNECIMENTO, INCLUI MATERIAL (ESCAVAÇÃO INTERNA AO BLINDADO)</t>
  </si>
  <si>
    <t>ESCORAMENTO DE VALA, TIPO BLINDAGEM, COM PROFUNDIDADE DE 3,0 A 4,5 M, LARGURA MAIOR OU IGUAL A 2,5 M EMENOR QUE 3,5 M - EXECUÇÃO E FORNECIMENTO, INCLUI MATERIAL (ESCAVAÇÃO EXTERNA AO BLINDADO)</t>
  </si>
  <si>
    <t>ESCORAMENTO DE VALA, TIPO BLINDAGEM, COM PROFUNDIDADE DE 4,5 A 6,0 M, LARGURA MAIOR OU IGUAL A 2,5 M EMENOR QUE 3,5 M - EXECUÇÃO E FORNECIMENTO, INCLUI MATERIAL (ESCAVAÇÃO EXTERNA AO BLINDADO)</t>
  </si>
  <si>
    <t>REATERRO MANUAL APILOADO COM SOQUETE</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</si>
  <si>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</si>
  <si>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</si>
  <si>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</si>
  <si>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</si>
  <si>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1500 MM, JUNTA RÍGIDA, INSTALADO EM LOCAL COM ALTO NÍVEL DE INTERFERÊNCIAS (NÃO INCLUI FORNECIMENTO). AF_03/2024</t>
  </si>
  <si>
    <t>ESCAVAÇÃO MECANIZADA DE VALA COM PROF. ATÉ 1,5 M (MÉDIA MONTANTE E JUSANTE/UMA COMPOSIÇÃO POR TRECHO), ESCAVADEIRA (0,8 M3),LARG. MENOR QUE 1,5 M, EM SOLO DE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</si>
  <si>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</si>
  <si>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</si>
  <si>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ESCORAMENTO DE VALA, TIPO BLINDAGEM, COM PROFUNDIDADE DE 3,0 A 4,5 M, LARGURA MENOR QUE 1,5 M -EXECUÇÃO E FORNECIMENTO, INCLUI MATERIAL (ESCAVAÇÃO EXTERNA AO BLINDADO)</t>
  </si>
  <si>
    <t>EXECUÇÃO DE SARJETA DE CONCRETO USINADO, MOLDADA  IN LOCO  EM TRECHO RETO, 60 CM BASE X 15 CM ALTURA. AF_01/2024</t>
  </si>
  <si>
    <t>ASSENTAMENTO DE TUBO DE CONCRETO PARA REDES COLETORAS DE ÁGUAS PLUVIAIS, DIÂMETRO DE 400 MM, JUNTA RÍGIDA, INSTALADO EM LOCAL COM ALTO NÍVEL DE INTERFERÊNCIAS (NÃO INCLUI FORNECIMENTO). AF_03/2024</t>
  </si>
  <si>
    <t>PEÇA RETANGULAR PRÉ-MOLDADA, VOLUME DE CONCRETO DE ATÉ 10 LITROS, TAXA DE AÇO APROXIMADA DE 30KG/M³. AF_03/2024</t>
  </si>
  <si>
    <t>EXECUÇÃO E COMPACTAÇÃO DE CORPO DE ATERRO DE ATERRO (95% DE ENERGIA DO PROCTOR NORMAL) COM SOLO PREDOMINANTEMENTE ARGILOSO ESPESSURA 15 CM - EXCLUSIVE MATERIAL, ESCAVAÇÃO, CARGA E TRANSPORTE. AF_09/2024</t>
  </si>
  <si>
    <t>ASSENTAMENTO DE GUIA (MEIO-FIO) EM TRECHO RETO, CONFECCIONADA EM CONCRETO PRÉ-FABRICADO, DIMENSÕES 100X15X13X30 CM (COMPRIMENTO X BASE INFERIOR X BASE SUPERIOR X ALTURA). AF_01/2024</t>
  </si>
  <si>
    <t>LIMPEZA MANUAL DE VEGETAÇÃO EM TERRENO COM ENXADA. AF_03/2024</t>
  </si>
  <si>
    <t>PLACA PARA SINALIZAÇÃO DE OBRAS MONTADA EM CAVALETE METÁLICO - 1,00 X 1,00 M - UTILIZAÇÃO DE 600 CICLOS - FORNECIMENTO, 01 IMPLANTAÇÃO E 01 RETIRADA DIÁRIA</t>
  </si>
  <si>
    <t>PLACA DE ADVERTÊNCIA PARA SINALIZAÇÃO DE OBRAS MONTADA EM SUPORTE METÁLICO MÓVEL, LADO 1,00 M - UTILIZAÇÃO DE 600 CICLOS - FORNECIMENTO, 01 IMPLANTAÇÃO E 01 RETIRADA DIÁRIA</t>
  </si>
  <si>
    <t>BARREIRA DE SINALIZAÇÃO TIPO III DE DIRECIONAMENTO OU BLOQUEIO - UTILIZAÇÃO DE 150 CICLOS - FORNECIMENTO, 01 IMPLANTAÇÃO E 01 RETIRADA DIÁRIA</t>
  </si>
  <si>
    <t>BALIZADOR CÔNICO REFLETIVO EM POLIETILENO SEMIFLEXÍVEL DE 114 X 11 X 40 CM - UTILIZAÇÃO DE 150 CICLOS - FORNECIMENTO, 01 IMPLANTAÇÃO E 01 RETIRADA DIÁRIA</t>
  </si>
  <si>
    <t>DEMOLIÇÃO MANUAL DE CONCRETO ARMADO</t>
  </si>
  <si>
    <t>SUPORTE METÁLICO GALVANIZADO PARA PLACA DE ADVERTÊNCIA OU REGULAMENTAÇÃO - LADO OU DIÂMETRO DE 1,00 M - FORNECIMENTO E IMPLANTAÇÃO</t>
  </si>
  <si>
    <t>SINAPI - 12/2024 - Distrito Federal
SBC - 01/2025 - Distrito Federal
SICRO3 - 10/2024 - Distrito Federal
ORSE - 11/2024 - Sergipe
SEINFRA - 028 - Ceará
SIURB INFRA - 07/2024 - São Paulo
AGESUL - 06/2024 - Mato Grosso do Sul
EMBASA - 05/2024 - Bahia
COMPESA - 07/2024 - Pernambuco
EMOP - 12/2024 - Rio de Janeiro</t>
  </si>
  <si>
    <t xml:space="preserve"> P9897 OUT/24 </t>
  </si>
  <si>
    <t xml:space="preserve"> 00041085 </t>
  </si>
  <si>
    <t>AJUDANTE ESPECIALIZADO (MENSALISTA)</t>
  </si>
  <si>
    <t xml:space="preserve"> 00040807 </t>
  </si>
  <si>
    <t>DESENHISTA PROJETISTA (MENSALISTA)</t>
  </si>
  <si>
    <t>5914314
0,000
R$ 1,17</t>
  </si>
  <si>
    <t>5914329
0,000
R$ 0,93</t>
  </si>
  <si>
    <t xml:space="preserve"> 00006194 </t>
  </si>
  <si>
    <t>TABUA *2,5 X 15 CM EM PINUS, MISTA OU EQUIVALENTE DA REGIAO - BRUTA</t>
  </si>
  <si>
    <t xml:space="preserve"> 00001347 </t>
  </si>
  <si>
    <t>CHAPA/PAINEL DE MADEIRA COMPENSADA PLASTIFICADA (MADEIRITE PLASTIFICADO) PARA FORMA DE CONCRETO, DE 2200 X 1100 MM, E = 12 MM</t>
  </si>
  <si>
    <t xml:space="preserve"> 00002747 </t>
  </si>
  <si>
    <t>MOURAO ROLICO DE MADEIRA TRATADA, D = 16 A 20 CM, H = 2,20 M, EM EUCALIPTO OU EQUIVALENTE DA REGIAO (PARA CERCA)</t>
  </si>
  <si>
    <t xml:space="preserve"> 00006212 </t>
  </si>
  <si>
    <t>TABUA *2,5 X 30 CM EM PINUS, MISTA OU EQUIVALENTE DA REGIAO - BRUTA</t>
  </si>
  <si>
    <t>5914359
0,000
R$ 1,24</t>
  </si>
  <si>
    <t>5914374
0,000
R$ 0,99</t>
  </si>
  <si>
    <t xml:space="preserve"> M1954 </t>
  </si>
  <si>
    <t>Cimento Portland CP II - 32 - a granel</t>
  </si>
  <si>
    <t>5914449
0,000
R$ 1,04</t>
  </si>
  <si>
    <t>5914464
0,000
R$ 0,83</t>
  </si>
  <si>
    <t>LOCAÇÃO DE REDE DE ÁGUA OU ESGOTO. AF_03/2024</t>
  </si>
  <si>
    <t>TELA TAPUME, COR LARANJA, COM SUPORTE A CADA 2M, DE ACORDO COM PADRÃO COMPESA / NTC - 108 (FORNECIMENTO E INSTALAÇÃO)</t>
  </si>
  <si>
    <t xml:space="preserve"> 0500003U </t>
  </si>
  <si>
    <t>SINALIZADOR ELETRÔNICO, PADRÃO COMPESA / NTC - 108</t>
  </si>
  <si>
    <t xml:space="preserve"> 0500006U </t>
  </si>
  <si>
    <t>Placa para sinalização de obras montada em cavalete metálico - 1,00 x 1,00 m - utilização de 600 ciclos - fornecimento, 01 implantação e 01 retirada diária</t>
  </si>
  <si>
    <t>Placa de advertência para sinalização de obras montada em suporte metálico móvel, lado 1,00 m - utilização de 600 ciclos - fornecimento, 01 implantação e 01 retirada diária</t>
  </si>
  <si>
    <t>Barreira de sinalização tipo III de direcionamento ou bloqueio - utilização de 150 ciclos - fornecimento, 01 implantação e 01 retirada diária</t>
  </si>
  <si>
    <t>Balizador cônico refletivo em polietileno semiflexível de 114 x 11 x 40 cm - utilização de 150 ciclos - fornecimento, 01 implantação e 01 retirada diária</t>
  </si>
  <si>
    <t xml:space="preserve"> E9535 </t>
  </si>
  <si>
    <t>Demolição manual de concreto armado</t>
  </si>
  <si>
    <t xml:space="preserve"> M0043 </t>
  </si>
  <si>
    <t>Óleo diesel</t>
  </si>
  <si>
    <t xml:space="preserve"> 90973 </t>
  </si>
  <si>
    <t>COMPRESSOR DE AR REBOCAVEL, VAZÃO 250 PCM, PRESSAO DE TRABALHO 102 PSI, MOTOR A DIESEL POTÊNCIA 81 CV - CHI DIURNO. AF_06/2015</t>
  </si>
  <si>
    <t xml:space="preserve"> 000050 </t>
  </si>
  <si>
    <t>CIMENTO PORTLAND CP III 32RS NBR 11578 (quilo)</t>
  </si>
  <si>
    <t xml:space="preserve"> 01.001.0275-A </t>
  </si>
  <si>
    <t xml:space="preserve"> 55.100.0002-B </t>
  </si>
  <si>
    <t>COMPOSICAO BASICA - ENSAIO DE LABORATORIO 33,9%-ASSISTENCIA TECNICA (30%) E DESGASTE DE FERRAMENTAS E EPI (3%)</t>
  </si>
  <si>
    <t>DESMONTE DE MATERIAL DE 3ª CATEGORIA (BLOCOS DE ROCHAS OU MATACOS), EM VALA, COM MARTELETE PNEUMÁTICO MANUAL -  EXCLUSIVE RETIRADA, CARGA E TRANSPORTE. AF_03/2021</t>
  </si>
  <si>
    <t>ESCORAMENTO DE VALA, TIPO BLINDAGEM, COM PROFUNDIDADE DE 0 A 1,5 M, LARGURA MENOR QUE 1,5 M -EXECUÇÃO E FORNECIMENTO, INCLUI MATERIAL (ESCAVAÇÃO EXTERNA AO BLINDADO)</t>
  </si>
  <si>
    <t>FABRICAÇÃO DE CONJUNTO DE MÓDULO METÁLICO, COMPRIMENTO DE 3,0 M E ALTURA DE 1,8 M (ESTRONCAS DE1,00 M).</t>
  </si>
  <si>
    <t>ESCORAMENTO DE VALA, TIPO BLINDAGEM, COM PROFUNDIDADE DE 1,5 A 3,0 M, LARGURA MENOR QUE 1,5 M -EXECUÇÃO E FORNECIMENTO, INCLUI MATERIAL (ESCAVAÇÃO INTERNA AO BLINDADO)</t>
  </si>
  <si>
    <t>FABRICAÇÃO DE CONJUNTO DE MÓDULO METÁLICO, COMPRIMENTO DE 3,6 M E ALTURA DE 3,0 M (ESTRONCAS DE1,00 M).</t>
  </si>
  <si>
    <t>FABRICAÇÃO DE CONJUNTO DE MÓDULO METÁLICO, COMPRIMENTO DE 3,0 M E ALTURA DE 1,8 M (ESTRONCAS DE2,00 M).</t>
  </si>
  <si>
    <t>FABRICAÇÃO DE CONJUNTO DE MÓDULO METÁLICO, COMPRIMENTO DE 3,6 M E ALTURA DE 3 M (ESTRONCAS DE 2,00M).</t>
  </si>
  <si>
    <t>FABRICAÇÃO DE CONJUNTO DE MÓDULO METÁLICO, COMPRIMENTO DE 3,0 M E ALTURA DE 2,4 M (ESTRONCAS DE2,00 M).</t>
  </si>
  <si>
    <t>PLACA DE SINALIZAÇÃO E ADVERTÊNCIA EM CHAPA DE AÇO GALVANIZADA Nº 16 DE ACORDO COM PADRÃO COMPESA  / NTC-108 (FORNECIMENTO E FIXAÇÃO)</t>
  </si>
  <si>
    <t xml:space="preserve"> 00011027 </t>
  </si>
  <si>
    <t>CHAPA DE ACO GALVANIZADA BITOLA GSG 16, E = 1,55 MM (12,40 KG/M2)</t>
  </si>
  <si>
    <t>FABRICAÇÃO DE CONJUNTO DE MÓDULO METÁLICO, COMPRIMENTO DE 3,0 M E ALTURA DE 2,4 M (ESTRONCAS DE1,00 M).</t>
  </si>
  <si>
    <t xml:space="preserve"> 010554 </t>
  </si>
  <si>
    <t>CASCALHO LAVADO</t>
  </si>
  <si>
    <t>LIMPEZA E TESTE DE REDES DE ESGOTOS SANITÁRIOS</t>
  </si>
  <si>
    <t>Suporte metálico galvanizado para placa de advertência ou regulamentação - lado ou diâmetro de 1,00 m - fornecimento e implantação</t>
  </si>
  <si>
    <t>442 - BOMBEAMENTO DE POCO DE VISITA</t>
  </si>
  <si>
    <t>445 - LIMPEZA PVS COM PROFUNDIDADE ATE 3,00 M.</t>
  </si>
  <si>
    <t>Fornecimento e Assentamento de Tampão de ferro dúctil diam. = 600mm em poço de visita e Caixas de Passagem</t>
  </si>
  <si>
    <t>TAMPAO FOFO SIMPLES COM BASE / REQUADRO, CLASSE D400 CARGA MAX. 40 T, REDONDO, TAMPA 600 MM (COM INSCRICAO EM RELEVO DO TIPO DE REDE)</t>
  </si>
  <si>
    <t>ESCORAMENTO DE VALA, TIPO BLINDAGEM, COM PROFUNDIDADE DE 3,0 A 4,5 M, LARGURA MENOR QUE 1,5 M -EXECUÇÃO E FORNECIMENTO, INCLUI MATERIAL (ESCAVAÇÃO INTERNA AO BLINDADO)</t>
  </si>
  <si>
    <t>Escavação, carga e transporte de solos moles - DMT de 50 a 200 m - caminho de serviço em leito natural - com caminhão basculante de 14 m³</t>
  </si>
  <si>
    <t>Selo de argila apiloado (solo local)</t>
  </si>
  <si>
    <t>Impermeabilização - Fornecimento e aplicação de manta geotextil RT-10, resistencia a tração=10kN/m (antigo Bidim OP-20 ou similar) em colchões drenantes</t>
  </si>
  <si>
    <t>Impermeabilização - Fornecimento e aplicação de manta geotéxtil RT-21, resistencia a tração=21 kN/m (antigo Bidim OP-40 ou similar) em colchões drenantes</t>
  </si>
  <si>
    <t>Geogrelha unidirecional com resistência à tração de 100 kN/m - fornecimento e instalação</t>
  </si>
  <si>
    <t>ASSENTAMENTO DE TUBO DE CONCRETO PARA REDES COLETORAS DE ÁGUAS PLUVIAIS, DIÂMETRO DE 1200 MM, JUNTA RÍGIDA, INSTALADO EM LOCAL COM BAIXO NÍVEL DE INTERFERÊNCIAS (NÃO INCLUI FORNECIMENTO). AF_03/2024</t>
  </si>
  <si>
    <t>BARRA DE ACO CHATO, RETANGULAR, 25,4 MM X 4,76 MM (L X E), 0,94 KG/M</t>
  </si>
  <si>
    <t>PORTÃO TUBULAR, CONFORME PADRÃO COMPESA, EM FERRO GALVANIZADO DE 1 1/2", COM CONTRAVENTAMENTO EM TUBO DE FERRO GALVANIZADO DE 1" E COM TELA ARAMADA # 1" COM FIO Nº 10, INCLUSIVE DOBRADIÇAS, BATEDOR, FECHO, PINTURA E ASSENTAMENTO EM ESTRUTURA DE CONCRETO.</t>
  </si>
  <si>
    <t>TUBO ACO GALVANIZADO COM COSTURA, CLASSE LEVE, DN 40 MM (1 1/2"), E = 3,00 MM, *3,48* KG/M (NBR 5580)</t>
  </si>
  <si>
    <t>Cal hidratada - a granel</t>
  </si>
  <si>
    <t xml:space="preserve"> 55.100.0070-B </t>
  </si>
  <si>
    <t>PERFIL "H" DE ACO CARBONO, P/USOS GERAIS , PADRAO AMERICANO, COMPRIMENTO USUAL, P RECO DE REVENDEDOR, DE 6"X6"</t>
  </si>
  <si>
    <t>Gasolina comum</t>
  </si>
  <si>
    <t xml:space="preserve"> 55.100.0058-B </t>
  </si>
  <si>
    <t>Carga, manobra e descarga de agregados ou solos em caminhão basculante de 10 m³ - carga com carregadeira de 3,40 m³ (exclusa) e descarga livre</t>
  </si>
  <si>
    <t>Carga, manobra e descarga de materiais diversos em caminhão carroceria de 15 t - carga e descarga com caminhão guindauto de 20 t.m</t>
  </si>
  <si>
    <t>SMARTPHONE COM CONFIG MIN: ANDROID 8, MEM RAM 4 GB, PROC OCTA-CORE 2 GHZ, REDE 4G, MEMÓRIA INTERNA64 GB, WIFI B/G/N/AC, TELA 5", CAMERA 12 MP, BATERIA DE 3000 mA, BT 4.0, AGPS</t>
  </si>
  <si>
    <t>SERVENTE</t>
  </si>
  <si>
    <t>PEDREIRO / ENCANADOR / ARTIFICE</t>
  </si>
  <si>
    <t>LOCACAO POR MES - SAVEIRO SEM MOTORISTA E SMARTPHONE - SEM COMBUSTIVES</t>
  </si>
  <si>
    <t>CHAPA DE ACO GROSSA, ASTM A36, E = 1/4" (6,35 MM) 49,79 KG/M2</t>
  </si>
  <si>
    <t>TUBO ACO CARBONO SEM COSTURA 6", E= 7,11 MM, SCHEDULE 40, *28,26 KG/M</t>
  </si>
  <si>
    <t xml:space="preserve"> 00038124 </t>
  </si>
  <si>
    <t>ESPUMA EXPANSIVA DE POLIURETANO, APLICACAO MANUAL - 500 ML</t>
  </si>
  <si>
    <t xml:space="preserve"> 00039961 </t>
  </si>
  <si>
    <t>SILICONE ACETICO USO GERAL INCOLOR 280 G</t>
  </si>
  <si>
    <t xml:space="preserve"> 00003780 </t>
  </si>
  <si>
    <t>LUMINARIA DE SOBREPOR EM CHAPA DE ACO PARA 1 LAMPADA FLUORESCENTE DE *36* W, ALETADA, COMPLETA (LAMPADA E REATOR INCLUSOS)</t>
  </si>
  <si>
    <t xml:space="preserve"> 00038194 </t>
  </si>
  <si>
    <t>LAMPADA LED 10 W BIVOLT BRANCA, FORMATO TRADICIONAL (BASE E27)</t>
  </si>
  <si>
    <t xml:space="preserve"> 00039387 </t>
  </si>
  <si>
    <t>LAMPADA LED TUBULAR BIVOLT 18/20 W, BASE G13</t>
  </si>
  <si>
    <t xml:space="preserve"> 55.100.0068-B </t>
  </si>
  <si>
    <t>PERFIL "H" DE ACO CARBONO, P/USOS GERAIS, PADRAO AMERICANO, COMPR. USUAL, PRECO DE USINA, DE 6" X 6". FORN.</t>
  </si>
  <si>
    <t xml:space="preserve"> 55.100.0069-B </t>
  </si>
  <si>
    <t>PERFIL "U" DE ACO CARBONO, P/USOS GERAIS, PADRAO AMERICANO, COMPR. USUAL, PRECO DE USINA, DE 6" X 2". FORN.</t>
  </si>
  <si>
    <t>Diluente para tinta epóxi bicomponente ou tricomponente - Caminhão carroceria com capacidade de 15 t - 188 kW</t>
  </si>
  <si>
    <t>Tinta esmalte à base de resina epóxi bicomponente - Caminhão carroceria com capacidade de 15 t - 188 kW</t>
  </si>
  <si>
    <t>Tinta à base de resina epóxi bicomponente para fundo preparador de pintura - Caminhão carroceria com capacidade de 15 t - 188 kW</t>
  </si>
  <si>
    <t xml:space="preserve"> M0003 </t>
  </si>
  <si>
    <t>Aço CA 25</t>
  </si>
  <si>
    <t>CHAPA DE ACO CARBONO,P/USOS GERAIS,LAMIN ADA FRIO,SUPERF.COM.,TAM.PADRAO,BORDAS U NIV.,REC.BRANCO,PRECO DE USINA,ESP.1,5MM</t>
  </si>
  <si>
    <t>FERRO GUSA EM LINGOTE, COM 1,91 A 2,4% D E SILICIO, 0,12% MAXIMO DE FOSFORO, 3,80  A 4,2% DE CARBONO, 0,030% MAIXMO DE ENX OFRE E 0,40 A 0,80% MAXIMO DE MANGANES</t>
  </si>
  <si>
    <t>LATAO EM CHAPA, DE (1,2x0,60)M, E C/ESPE S. DE 3,5MM</t>
  </si>
  <si>
    <t>FIO SOLIDO DE COBRE ELETROLITICO, NU, TE MPERA MEIO DURA, CLASSE 1, SECAO CIRCULA R DE 1,0 A 16,0MM2</t>
  </si>
  <si>
    <t xml:space="preserve">MAPA DE COTAÇÃO DE PREÇOS DE FABRICAÇÃO / FORNECIMENTO </t>
  </si>
  <si>
    <t xml:space="preserve">
(*) INDÍCE NACIONAL DE CUSTO DA CONSTRUÇÃO-DNIT</t>
  </si>
  <si>
    <t>Método de Reajuste: Instrução de Serviço nº 01 - DG/DNIT SEDE, 02 Janeiro de 2019</t>
  </si>
  <si>
    <t>INFORMAÇÕES</t>
  </si>
  <si>
    <t>IDENTIFICAÇÃO DOS FORNECEDORES</t>
  </si>
  <si>
    <t>INDICES (*)</t>
  </si>
  <si>
    <t>Fornecedor A</t>
  </si>
  <si>
    <t>Fornecedor B</t>
  </si>
  <si>
    <t>Fornecedor C</t>
  </si>
  <si>
    <t>Fornecedor D</t>
  </si>
  <si>
    <t>FORNECEDOR E</t>
  </si>
  <si>
    <t>Razão Social:</t>
  </si>
  <si>
    <t>Avançar Projetos e Consultoria Ambiental LTDA</t>
  </si>
  <si>
    <t>Peninsula Engenharia, Construção e Soluções LTDA</t>
  </si>
  <si>
    <t>APOENA Soluções Ambientais</t>
  </si>
  <si>
    <t>DC Engenharia e Locação LTDA</t>
  </si>
  <si>
    <t>I₀ A</t>
  </si>
  <si>
    <t>Nome do Contato:</t>
  </si>
  <si>
    <t>Eng. Ambiental Luana Oliveira Barros</t>
  </si>
  <si>
    <t>Raquel Vasconcelos / Clara Barradas</t>
  </si>
  <si>
    <t>João Victor de Queiroz Magalhães</t>
  </si>
  <si>
    <t>Debora Tomaz Cantuária Clemente</t>
  </si>
  <si>
    <t>I₀ B</t>
  </si>
  <si>
    <t>Email :</t>
  </si>
  <si>
    <t xml:space="preserve">lbarrosengambiental@gmail.com </t>
  </si>
  <si>
    <t>peninsulaengenharia@gmail.com</t>
  </si>
  <si>
    <t>apoena.ambiental@gmail,com</t>
  </si>
  <si>
    <t>deboracantuaria@gmail.com</t>
  </si>
  <si>
    <t>I₀ C</t>
  </si>
  <si>
    <t>Data da Cotação:</t>
  </si>
  <si>
    <t>I₀ D</t>
  </si>
  <si>
    <t>Data Reajustada:</t>
  </si>
  <si>
    <t>COTAÇÃO SET/2024</t>
  </si>
  <si>
    <t>Telefone:</t>
  </si>
  <si>
    <t>(61) 99457-8973</t>
  </si>
  <si>
    <t>(61) 98210-4088 - Rafel, CEO</t>
  </si>
  <si>
    <t>(61) 3226-8632 / 98214-3964</t>
  </si>
  <si>
    <t>(61) 98506-4466 / 96754595</t>
  </si>
  <si>
    <t>Frete:</t>
  </si>
  <si>
    <t>CIF (Brasília / DF)</t>
  </si>
  <si>
    <r>
      <t>I</t>
    </r>
    <r>
      <rPr>
        <b/>
        <i/>
        <vertAlign val="subscript"/>
        <sz val="10"/>
        <color rgb="FF000000"/>
        <rFont val="Arial"/>
        <family val="2"/>
      </rPr>
      <t>base</t>
    </r>
  </si>
  <si>
    <t xml:space="preserve">Item </t>
  </si>
  <si>
    <t xml:space="preserve">Código </t>
  </si>
  <si>
    <t>Descrição do Serviço ou Material</t>
  </si>
  <si>
    <t>Fornecedor E</t>
  </si>
  <si>
    <t>Valor Adotado</t>
  </si>
  <si>
    <t>Valor Unit.
(Cotado)</t>
  </si>
  <si>
    <t>Valor Unit.
(Base)</t>
  </si>
  <si>
    <t>R$ (Base)</t>
  </si>
  <si>
    <t>Fornecedor</t>
  </si>
  <si>
    <t>COT-PCA/PGRS 01</t>
  </si>
  <si>
    <t>Plano de Controle Ambiental e Plano de Gerenciamento de Resíduos Sólidos</t>
  </si>
  <si>
    <t xml:space="preserve">HA </t>
  </si>
  <si>
    <t>COT-PCA/PGRS 02</t>
  </si>
  <si>
    <t xml:space="preserve">UN </t>
  </si>
  <si>
    <t>GOVERNO DO DISTRITO FEDERAL</t>
  </si>
  <si>
    <t>SECRETARIA DE ESTADO DE OBRAS E INFRAESTRUTURA DO DISTRITO FEDERAL</t>
  </si>
  <si>
    <t>SUBSECRETARIA DE PROJETOS , ORÇAMENTO E PLANEJAMENTO DE OBRAS</t>
  </si>
  <si>
    <t xml:space="preserve">VALOR  DA CONTRATAÇÃO </t>
  </si>
  <si>
    <t>SEM DESONERAÇÃO</t>
  </si>
  <si>
    <t>RESPONSÁVEL TÉCNICO DO ORÇAMENTO:</t>
  </si>
  <si>
    <t>DATA:</t>
  </si>
  <si>
    <t>PROCESSO SEI Nº 00110-00000752/2024-72</t>
  </si>
  <si>
    <t>Encargos Sociais Horista:</t>
  </si>
  <si>
    <t>Encargos Sociais Mensalista:</t>
  </si>
  <si>
    <t>BDI - DIF. (%):</t>
  </si>
  <si>
    <t>BDI - CONSULTORIA (%):</t>
  </si>
  <si>
    <t>RESUMO GERAL</t>
  </si>
  <si>
    <t>CUSTO TOTAL</t>
  </si>
  <si>
    <t xml:space="preserve"> ORÇAMENTO PREÇO TOTAL COM BDI</t>
  </si>
  <si>
    <t>ORÇAMENTO DETALHADO</t>
  </si>
  <si>
    <t>Fonte</t>
  </si>
  <si>
    <t>Preço Total S/ BDI</t>
  </si>
  <si>
    <t>Preço Total C/ BDI</t>
  </si>
  <si>
    <t>OBSERVAÇÕES</t>
  </si>
  <si>
    <t>1.1</t>
  </si>
  <si>
    <t>COT01</t>
  </si>
  <si>
    <t xml:space="preserve"> ORÇAMENTO  PREÇO TOTAL COM BDI</t>
  </si>
  <si>
    <t>GOVERNO DE BRASILIA</t>
  </si>
  <si>
    <t xml:space="preserve">SECRETARIA DE ESTADO DE OBRAS E INFRAESTRUTURA </t>
  </si>
  <si>
    <t>Subsecretaria de Projetos, Orçamentos e Planejamento de Obras</t>
  </si>
  <si>
    <t>CRONOGRAMA FÍSICO FINANCEIRO</t>
  </si>
  <si>
    <t>SERVIÇO</t>
  </si>
  <si>
    <t>PREÇO C/ BDI (R$)</t>
  </si>
  <si>
    <t>ELABORAÇÃO/ADEQUAÇÃO E APROVAÇÃO DE PROJETO NA CONCESSIONÁRIA</t>
  </si>
  <si>
    <t>AQUISIÇÃO DOS MATERIAIS</t>
  </si>
  <si>
    <t>IMPLANTAÇÃO, ENERGIZAÇÃO E TRANSFERÊNCIA DE REDE DE DISTRIBUIÇÃO</t>
  </si>
  <si>
    <t>DESATIVAÇÃO DE REDE DE DISTRIBUIÇÃO</t>
  </si>
  <si>
    <t>ENCERRAMENTO TÉCNICO ADMINISTRATIVO</t>
  </si>
  <si>
    <t>DESEMBOLSO MENSAL</t>
  </si>
  <si>
    <t>PERCENTUAL PARCIAL</t>
  </si>
  <si>
    <t>DESEMBOLSO TOTAL</t>
  </si>
  <si>
    <t>PERCENTUAL ACUMUILADO</t>
  </si>
  <si>
    <t>4 MESES</t>
  </si>
  <si>
    <t>BENEFÍCIOS E DESPESAS INDIRETAS</t>
  </si>
  <si>
    <t>Drenagem Pluvial, Redes de Abastecimento de Água, Coleta de Esgoto e Construções Correlatas</t>
  </si>
  <si>
    <t>SEM Desoneração da Folha de Pagamento</t>
  </si>
  <si>
    <t>3º Quartil</t>
  </si>
  <si>
    <t>Grupo</t>
  </si>
  <si>
    <t>Componentes</t>
  </si>
  <si>
    <t>Incidências</t>
  </si>
  <si>
    <t>Despesas Indiretas</t>
  </si>
  <si>
    <t>Administração Central</t>
  </si>
  <si>
    <t>Seguros + Garantias</t>
  </si>
  <si>
    <t>Riscos</t>
  </si>
  <si>
    <t>Despesas Financeiras</t>
  </si>
  <si>
    <t>Subtotal A</t>
  </si>
  <si>
    <t>Tributos</t>
  </si>
  <si>
    <t>COFINS - Contribuição Para o Financiamento Seguridade Social</t>
  </si>
  <si>
    <t>PIS - Programa de Integração Social</t>
  </si>
  <si>
    <t>ISS - Imposto Sobre Serviços de Qualquer Natureza</t>
  </si>
  <si>
    <t>CPRB - Contribuição Previdenciária Sobre Receita Bruta</t>
  </si>
  <si>
    <t>Subtotal B</t>
  </si>
  <si>
    <t>Bonificação</t>
  </si>
  <si>
    <t>Lucro</t>
  </si>
  <si>
    <t>Subtotal C</t>
  </si>
  <si>
    <t>FÓRMULA PARA CÁLCULO DO BDI</t>
  </si>
  <si>
    <t>BDI =</t>
  </si>
  <si>
    <t>[(</t>
  </si>
  <si>
    <t>(1 + (AC + S + R + G)) x ((1 + DF) X (1 + L))</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</si>
  <si>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</si>
  <si>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</si>
  <si>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</si>
  <si>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</si>
  <si>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</si>
  <si>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</si>
  <si>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</si>
  <si>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</si>
  <si>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</si>
  <si>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</si>
  <si>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</si>
  <si>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</si>
  <si>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</si>
  <si>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</si>
  <si>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</si>
  <si>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</si>
  <si>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de Incidência de Impostos</t>
  </si>
  <si>
    <t>Taxa Representativa da Incidênca de Impostos é aplicada sobre o preço de venda da prestação do serviço, enquanto que as demais taxas são aplicadas sobre o custo</t>
  </si>
  <si>
    <t>Referência:</t>
  </si>
  <si>
    <t>Relatório do Acordão n° 2.622/2013 - TCU/Plenário</t>
  </si>
  <si>
    <t>Fornecimento de Materiais Betuminosos e Outros Materiais e Equipamentos de Grande Relevância de Natureza Específica e Manutenção</t>
  </si>
  <si>
    <t>Edificações</t>
  </si>
  <si>
    <t>Vias Urbanas e Rodovias (incluindo obras de arte especiais)</t>
  </si>
  <si>
    <t>Drenagem Pluvial com Pavimentação</t>
  </si>
  <si>
    <t>Paisagismo, Parques e Jardins</t>
  </si>
  <si>
    <t>Obras de Menor Complexidade (Praças, Calçadas, Ciclovias, Meios Fios, Quiosques e Obras Correlatas)</t>
  </si>
  <si>
    <t>Fornecimento de Materiais Betuminosos e Outros Materiais e Equipamentos de Grande Relevância de Natureza Específica</t>
  </si>
  <si>
    <t>COM Desoneração da Folha de Pagamento</t>
  </si>
  <si>
    <t>1º Quartil</t>
  </si>
  <si>
    <t>Médio</t>
  </si>
  <si>
    <t>Manutenção e Consultoria</t>
  </si>
  <si>
    <t>BDI (%):</t>
  </si>
  <si>
    <t>DADOS DA CONTRATAÇÃO</t>
  </si>
  <si>
    <t>DEZEMBRO DE 2024</t>
  </si>
  <si>
    <t>&lt; COLOCAR DATA SINAPI</t>
  </si>
  <si>
    <t>PREMISSAS DO ORÇAMENTO</t>
  </si>
  <si>
    <t>Este documento foi elaborado de acordo com a Portaria 137 e Orientações Normativas para Elaboração de Orçamento de Obras e Serviços de Engenharia da Secretaria de Estado de Obras e Infraestrutura do Distrito Federal</t>
  </si>
  <si>
    <t>Disponível em: https://www.so.df.gov.br/orientacoes-normativas-para-elaboracao-de-orcamento-de-obras-e-servicos-de-engenharia-da-secretaria-de-estado-de-obras-e-infraestrutura-do-distrito-federal/</t>
  </si>
  <si>
    <t>O orçamento foi elaborado de acordo com a estrutura do SINAPI - Sistema Nacional de Pesquisa de Custos e Índices da Construção Civil - CAIXA ECONÔMICA FEDERAL e estrutura do SICRO-Sistema de Custos Rodoviários - DNIT e com composições retiradas de outros sistemas de custos de Órgãos aceitos pelo TCU.</t>
  </si>
  <si>
    <t>AUTOMATICO, VERIFICAR</t>
  </si>
  <si>
    <t>As tabelas de custo utilizadas são do Distrito Federal. Foram consideradas as suas inovações e alterações metodológicas, porém adaptando-as de forma a se adequarem às obras no âmbito do Distrito Federal, conforme segue abaixo:</t>
  </si>
  <si>
    <r>
      <rPr>
        <b/>
        <sz val="14"/>
        <color theme="1"/>
        <rFont val="Arial"/>
        <family val="2"/>
      </rPr>
      <t xml:space="preserve">1 - </t>
    </r>
    <r>
      <rPr>
        <sz val="14"/>
        <color theme="1"/>
        <rFont val="Arial"/>
        <family val="2"/>
      </rPr>
      <t>A SODF se pauta pela busca de um preço justo  de suas obras e serviços, conforme Orientações Para Elaboração de Planilhas Orçamentárias de Obras Públicas-TCU, sendo os preços máximos pactuados com o particular para execução dos serviços, entendendo que o objeto contratual é a obra e está é um conjunto orgânico de serviços que, agregados, que se complementam e formam um todo com função definida e completa.</t>
    </r>
  </si>
  <si>
    <r>
      <rPr>
        <b/>
        <sz val="14"/>
        <color theme="1"/>
        <rFont val="Arial"/>
        <family val="2"/>
      </rPr>
      <t xml:space="preserve">2 - </t>
    </r>
    <r>
      <rPr>
        <sz val="14"/>
        <color theme="1"/>
        <rFont val="Arial"/>
        <family val="2"/>
      </rPr>
      <t>A fim de garantir o atributo de temporalidade do orçamento , ou seja, que após o processo de licitação ainda seja vantajosa a contratação, são adotadas determinadas diretrizes pela SODF.</t>
    </r>
  </si>
  <si>
    <r>
      <rPr>
        <b/>
        <sz val="14"/>
        <color theme="1"/>
        <rFont val="Arial"/>
        <family val="2"/>
      </rPr>
      <t xml:space="preserve">3 - </t>
    </r>
    <r>
      <rPr>
        <sz val="14"/>
        <color theme="1"/>
        <rFont val="Arial"/>
        <family val="2"/>
      </rPr>
      <t xml:space="preserve">A primeira diretriz é que a composição de custos unitário representa serviços a serem executados de forma independente e que o preço licitado representa a qualidade mínima exigida e preço máximo a ser pago. </t>
    </r>
  </si>
  <si>
    <r>
      <rPr>
        <b/>
        <sz val="14"/>
        <color theme="1"/>
        <rFont val="Arial"/>
        <family val="2"/>
      </rPr>
      <t xml:space="preserve">4 - </t>
    </r>
    <r>
      <rPr>
        <sz val="14"/>
        <color theme="1"/>
        <rFont val="Arial"/>
        <family val="2"/>
      </rPr>
      <t>O orçamento licitado é elaborado com base em fixação de preços paradigma , assim são adotados custos referências pois estes se mostram vantajosos para Administração Pública pela atualização recorrente dos custos SINAPI, visando garantir que cotações não maculem o preço da obra criando orçamento subestimado e falho na temporalidade.</t>
    </r>
  </si>
  <si>
    <r>
      <rPr>
        <b/>
        <sz val="14"/>
        <color theme="1"/>
        <rFont val="Arial"/>
        <family val="2"/>
      </rPr>
      <t xml:space="preserve">5 - </t>
    </r>
    <r>
      <rPr>
        <sz val="14"/>
        <color theme="1"/>
        <rFont val="Arial"/>
        <family val="2"/>
      </rPr>
      <t>As tabelas de referência utilizadas são do Distrito Federal. Sempre que o SINAPI adota insumos AS - Atribuído São Paulo estes são adotados como referência equivalente a Distrito Federal vez que os custos pesquisados na cesta de produtos do INCC, se equivalem, e são utilizadas ambas as capitais e ainda Belo Horizonte e Rio de Janeiro.</t>
    </r>
  </si>
  <si>
    <r>
      <rPr>
        <b/>
        <sz val="14"/>
        <color theme="1"/>
        <rFont val="Arial"/>
        <family val="2"/>
      </rPr>
      <t xml:space="preserve">6- </t>
    </r>
    <r>
      <rPr>
        <sz val="14"/>
        <color theme="1"/>
        <rFont val="Arial"/>
        <family val="2"/>
      </rPr>
      <t>Para a SODF os custos AS são idênticos ao do Distrito Federal e, portanto, adotado como paradigma.</t>
    </r>
  </si>
  <si>
    <r>
      <rPr>
        <b/>
        <sz val="14"/>
        <color theme="1"/>
        <rFont val="Arial"/>
        <family val="2"/>
      </rPr>
      <t xml:space="preserve">7 - </t>
    </r>
    <r>
      <rPr>
        <sz val="14"/>
        <color theme="1"/>
        <rFont val="Arial"/>
        <family val="2"/>
      </rPr>
      <t xml:space="preserve">A formação de preço paradigma dos serviços é definida a partir da adoção de comparativo de preços de mercado (cotações) e tabela de referências, devido a recomendação do Manual de Orientação de Custos STJ, e TCDF via Relatório de Auditoria-Processo nº 35.717/2017. </t>
    </r>
  </si>
  <si>
    <r>
      <rPr>
        <b/>
        <sz val="14"/>
        <color theme="1"/>
        <rFont val="Arial"/>
        <family val="2"/>
      </rPr>
      <t xml:space="preserve">8 - </t>
    </r>
    <r>
      <rPr>
        <b/>
        <sz val="14"/>
        <color rgb="FFFF0000"/>
        <rFont val="Arial"/>
        <family val="2"/>
      </rPr>
      <t>LICITANTE: EM TODOS OS PREÇOS JÁ ESTÃO CONTEMPLADOS O FRETE DE INSUMOS E SERVIÇOS.</t>
    </r>
  </si>
  <si>
    <r>
      <rPr>
        <b/>
        <sz val="14"/>
        <color theme="1"/>
        <rFont val="Arial"/>
        <family val="2"/>
      </rPr>
      <t xml:space="preserve">9 - </t>
    </r>
    <r>
      <rPr>
        <sz val="14"/>
        <color theme="1"/>
        <rFont val="Arial"/>
        <family val="2"/>
      </rPr>
      <t>Os sistemas oficiais de referência da Administração Pública reproduzem os preços de mercado, e, por gozarem de presunção de veracidade, devem ter precedência em relação à utilização de cotações efetuadas diretamente com empresas que atuam no mercado - Acórdão 452/2019 Plenário – TCU.</t>
    </r>
  </si>
  <si>
    <r>
      <rPr>
        <b/>
        <sz val="14"/>
        <color theme="1"/>
        <rFont val="Arial"/>
        <family val="2"/>
      </rPr>
      <t>10</t>
    </r>
    <r>
      <rPr>
        <sz val="14"/>
        <color theme="1"/>
        <rFont val="Arial"/>
        <family val="2"/>
      </rPr>
      <t xml:space="preserve"> - As composições de serviços do SICRO não correspondem, de forma direta, aos custos referenciais do mesmo sistema. Durante a elaboração de orçamentos, essas composições servem como base para a aplicação de índices de consumo e produtividade, sendo seus insumos substituídos por aqueles equivalentes constantes da tabela SINAPI. </t>
    </r>
  </si>
  <si>
    <r>
      <rPr>
        <b/>
        <sz val="14"/>
        <color theme="1"/>
        <rFont val="Arial"/>
        <family val="2"/>
      </rPr>
      <t xml:space="preserve">11 - </t>
    </r>
    <r>
      <rPr>
        <sz val="14"/>
        <color theme="1"/>
        <rFont val="Arial"/>
        <family val="2"/>
      </rPr>
      <t xml:space="preserve">Já o custo, preço, valor monetário são adotados primeiro SINAPI. Excepcionalmente são adotados custo SICRO, pois os custos são trimestrais e podem tornar o orçamento licitado defasado e inexequível. </t>
    </r>
  </si>
  <si>
    <r>
      <rPr>
        <b/>
        <sz val="14"/>
        <color theme="1"/>
        <rFont val="Arial"/>
        <family val="2"/>
      </rPr>
      <t xml:space="preserve">12 - </t>
    </r>
    <r>
      <rPr>
        <sz val="14"/>
        <color theme="1"/>
        <rFont val="Arial"/>
        <family val="2"/>
      </rPr>
      <t xml:space="preserve">Os equipamentos são descritos no SICRO e SINAPI e a composição de custos é para atender ao serviço dentro das Normas Técnicas Brasileira. </t>
    </r>
  </si>
  <si>
    <r>
      <rPr>
        <b/>
        <sz val="14"/>
        <color theme="1"/>
        <rFont val="Arial"/>
        <family val="2"/>
      </rPr>
      <t xml:space="preserve">13 </t>
    </r>
    <r>
      <rPr>
        <sz val="14"/>
        <color theme="1"/>
        <rFont val="Arial"/>
        <family val="2"/>
      </rPr>
      <t xml:space="preserve">- Quando da execução dos serviços a variação dos custos com a mudança de equipamentos, superiores ao licitado, não configuram em superfaturamento por qualidade , tendo como base a definição de serviço do OT – IBR 002/2009. </t>
    </r>
  </si>
  <si>
    <r>
      <rPr>
        <b/>
        <sz val="14"/>
        <color theme="1"/>
        <rFont val="Arial"/>
        <family val="2"/>
      </rPr>
      <t>14 -</t>
    </r>
    <r>
      <rPr>
        <sz val="14"/>
        <color theme="1"/>
        <rFont val="Arial"/>
        <family val="2"/>
      </rPr>
      <t xml:space="preserve"> A adoção do equipamento SICRO e SINAPI define os custos máximos que a SODF pretende pagar pelo serviço acabado e não no tipo de equipamento utilizado em campo, visa ainda garantir que o Contratado possa executar serviços com equipamento de maior produtividade sem que interfira no serviço acabado.</t>
    </r>
  </si>
  <si>
    <r>
      <rPr>
        <b/>
        <sz val="14"/>
        <color theme="1"/>
        <rFont val="Arial"/>
        <family val="2"/>
      </rPr>
      <t>15</t>
    </r>
    <r>
      <rPr>
        <sz val="14"/>
        <color theme="1"/>
        <rFont val="Arial"/>
        <family val="2"/>
      </rPr>
      <t xml:space="preserve"> - A adoção de equipamentos de maior produtividade em campo garante a temporalidade do orçamento a exequibilidade da obra nos prazos contratados, margem de negociação para Administração.</t>
    </r>
  </si>
  <si>
    <r>
      <rPr>
        <b/>
        <sz val="14"/>
        <color theme="1"/>
        <rFont val="Arial"/>
        <family val="2"/>
      </rPr>
      <t>16 -</t>
    </r>
    <r>
      <rPr>
        <sz val="14"/>
        <color theme="1"/>
        <rFont val="Arial"/>
        <family val="2"/>
      </rPr>
      <t xml:space="preserve"> A data do reajuste é do mês de referência do SINAPI, ou seja, a data de referência de publicação nos documentos técnicos no site da CAIXA (mantenedora da tabela de referência).</t>
    </r>
  </si>
  <si>
    <r>
      <rPr>
        <b/>
        <sz val="14"/>
        <color theme="1"/>
        <rFont val="Arial"/>
        <family val="2"/>
      </rPr>
      <t xml:space="preserve">17 - </t>
    </r>
    <r>
      <rPr>
        <sz val="14"/>
        <color theme="1"/>
        <rFont val="Arial"/>
        <family val="2"/>
      </rPr>
      <t>O orçamento foi elaborado nas duas condições de recolhimento de tributos previdenciários, sendo considerada a mais vantajosa para a Administração Pública</t>
    </r>
    <r>
      <rPr>
        <b/>
        <sz val="14"/>
        <color theme="1"/>
        <rFont val="Arial"/>
        <family val="2"/>
      </rPr>
      <t>.</t>
    </r>
    <r>
      <rPr>
        <sz val="14"/>
        <color theme="1"/>
        <rFont val="Arial"/>
        <family val="2"/>
      </rPr>
      <t xml:space="preserve"> </t>
    </r>
  </si>
  <si>
    <r>
      <rPr>
        <b/>
        <sz val="14"/>
        <color theme="1"/>
        <rFont val="Arial"/>
        <family val="2"/>
      </rPr>
      <t xml:space="preserve">18 - </t>
    </r>
    <r>
      <rPr>
        <sz val="14"/>
        <color theme="1"/>
        <rFont val="Arial"/>
        <family val="2"/>
      </rPr>
      <t>Os custos referentes à alimentação, transporte, ferramentas e equipamentos de proteção já estão incluídos nos encargos complementares.</t>
    </r>
  </si>
  <si>
    <r>
      <rPr>
        <b/>
        <sz val="14"/>
        <color theme="1"/>
        <rFont val="Arial"/>
        <family val="2"/>
      </rPr>
      <t>19</t>
    </r>
    <r>
      <rPr>
        <sz val="14"/>
        <color theme="1"/>
        <rFont val="Arial"/>
        <family val="2"/>
      </rPr>
      <t xml:space="preserve"> - O custo dos betuminosos atendem o binômio aquisição/transporte ANP, com isso o frete até a obra já está contemplado.</t>
    </r>
  </si>
  <si>
    <r>
      <rPr>
        <b/>
        <sz val="14"/>
        <color theme="1"/>
        <rFont val="Arial"/>
        <family val="2"/>
      </rPr>
      <t xml:space="preserve">20 - </t>
    </r>
    <r>
      <rPr>
        <sz val="14"/>
        <color theme="1"/>
        <rFont val="Arial"/>
        <family val="2"/>
      </rPr>
      <t xml:space="preserve">O frete do CBUQ da usina até a obra será remunerado, considerando a </t>
    </r>
    <r>
      <rPr>
        <b/>
        <sz val="14"/>
        <color theme="1"/>
        <rFont val="Arial"/>
        <family val="2"/>
      </rPr>
      <t>Usina localizada na NOVACAP.</t>
    </r>
  </si>
  <si>
    <r>
      <rPr>
        <b/>
        <sz val="14"/>
        <color theme="1"/>
        <rFont val="Arial"/>
        <family val="2"/>
      </rPr>
      <t xml:space="preserve">21 - </t>
    </r>
    <r>
      <rPr>
        <sz val="14"/>
        <color theme="1"/>
        <rFont val="Arial"/>
        <family val="2"/>
      </rPr>
      <t>O Fator Influência de Chuvas – FIC foi considerado nas composições retiradas do sistema SICRO.</t>
    </r>
  </si>
  <si>
    <r>
      <rPr>
        <b/>
        <sz val="14"/>
        <color theme="1"/>
        <rFont val="Arial"/>
        <family val="2"/>
      </rPr>
      <t xml:space="preserve">22 - </t>
    </r>
    <r>
      <rPr>
        <sz val="14"/>
        <color theme="1"/>
        <rFont val="Arial"/>
        <family val="2"/>
      </rPr>
      <t>A Administração Local foi dimensionada em função das peculiaridades das obras e atendendo a NR 18, conforme Portaria-SODF 137/2022.</t>
    </r>
  </si>
  <si>
    <r>
      <rPr>
        <b/>
        <sz val="14"/>
        <color theme="1"/>
        <rFont val="Arial"/>
        <family val="2"/>
      </rPr>
      <t xml:space="preserve">23 - </t>
    </r>
    <r>
      <rPr>
        <sz val="14"/>
        <color theme="1"/>
        <rFont val="Arial"/>
        <family val="2"/>
      </rPr>
      <t>A Taxa do BDI adotada será conforme Portaria-SODF 137/2022.</t>
    </r>
  </si>
  <si>
    <r>
      <rPr>
        <b/>
        <sz val="14"/>
        <color theme="1"/>
        <rFont val="Arial"/>
        <family val="2"/>
      </rPr>
      <t xml:space="preserve">24 - </t>
    </r>
    <r>
      <rPr>
        <sz val="14"/>
        <color theme="1"/>
        <rFont val="Arial"/>
        <family val="2"/>
      </rPr>
      <t xml:space="preserve">A respeito da URE, para fins de preço não é aplicado BDI, conforme já referendado pela Assessoria e Jurídico-Legislativa desta Secretaria, mediante Parecer 475 (SEI nº 74005116). </t>
    </r>
  </si>
  <si>
    <r>
      <rPr>
        <b/>
        <sz val="14"/>
        <color theme="1"/>
        <rFont val="Arial"/>
        <family val="2"/>
      </rPr>
      <t xml:space="preserve">25 - </t>
    </r>
    <r>
      <rPr>
        <sz val="14"/>
        <color theme="1"/>
        <rFont val="Arial"/>
        <family val="2"/>
      </rPr>
      <t>Os custos da obra consideraram a logística de fornecimento de materiais e fluxo dos caminhões e maquinário dentro da cidade e dentro da obra.</t>
    </r>
  </si>
  <si>
    <r>
      <rPr>
        <b/>
        <sz val="14"/>
        <color theme="1"/>
        <rFont val="Arial"/>
        <family val="2"/>
      </rPr>
      <t xml:space="preserve">26 - </t>
    </r>
    <r>
      <rPr>
        <sz val="14"/>
        <color theme="1"/>
        <rFont val="Arial"/>
        <family val="2"/>
      </rPr>
      <t>Eventuais preços novos serão adotados cotações de mercado para insumos relevantes em curva ABC, conforme orientações do TCDF.</t>
    </r>
  </si>
  <si>
    <r>
      <rPr>
        <b/>
        <sz val="14"/>
        <color theme="1"/>
        <rFont val="Arial"/>
        <family val="2"/>
      </rPr>
      <t xml:space="preserve">27 - </t>
    </r>
    <r>
      <rPr>
        <sz val="14"/>
        <color theme="1"/>
        <rFont val="Arial"/>
        <family val="2"/>
      </rPr>
      <t>Preços novos serão consideradas a integralidade da composição, encaminhada pela Contratada, com devida aprovação dos serviços pelo Executor do Contrato.</t>
    </r>
  </si>
  <si>
    <r>
      <rPr>
        <b/>
        <sz val="14"/>
        <color theme="1"/>
        <rFont val="Arial"/>
        <family val="2"/>
      </rPr>
      <t xml:space="preserve">28 - </t>
    </r>
    <r>
      <rPr>
        <sz val="14"/>
        <color theme="1"/>
        <rFont val="Arial"/>
        <family val="2"/>
      </rPr>
      <t>Nos preços novos será avaliado apenas duplicidade de serviços e mão de obra.</t>
    </r>
  </si>
  <si>
    <t>&lt; DATA QUE O ORÇAMENTO FOI FINALIZADO</t>
  </si>
  <si>
    <t>DIOLIVIA ALVES CARVALHO TIBURCIO</t>
  </si>
  <si>
    <t>CREA: 25872/D-DF</t>
  </si>
  <si>
    <t>PRAZO ESTIMADO: 4 MESES</t>
  </si>
  <si>
    <t>TABELA REFERÊNCIA: COTAÇÃO SET/2024</t>
  </si>
  <si>
    <t>CONTRATAÇÃO DE EMPRESA ESPECIALIZADA PARA A ELABORAÇÃO DE PLANO DE CONTROLE AMBIENTAL (PCA E PLANO DE GERENCIAMENTO DE RESÍDUOS SÓLIDOS (PGRS) - SETOR HABITACIONAL MESTRE D'ARMAS</t>
  </si>
  <si>
    <t>RESUMO GERAL DE PREÇOS</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</si>
  <si>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</si>
  <si>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</si>
  <si>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</si>
  <si>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</si>
  <si>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</si>
  <si>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</si>
  <si>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</si>
  <si>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</si>
  <si>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</si>
  <si>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</si>
  <si>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</si>
  <si>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</si>
  <si>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</si>
  <si>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</si>
  <si>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</si>
  <si>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</si>
  <si>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</si>
  <si>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</si>
  <si>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</si>
  <si>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</si>
  <si>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</si>
  <si>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</si>
  <si>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</si>
  <si>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</si>
  <si>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</si>
  <si>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</si>
  <si>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</si>
  <si>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</si>
  <si>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</si>
  <si>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</si>
  <si>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</si>
  <si>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</si>
  <si>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</si>
  <si>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</si>
  <si>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</si>
  <si>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</si>
  <si>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</si>
  <si>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</si>
  <si>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</si>
  <si>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</si>
  <si>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</si>
  <si>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</si>
  <si>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</si>
  <si>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</si>
  <si>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</si>
  <si>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</si>
  <si>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</si>
  <si>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</si>
  <si>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</si>
  <si>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</si>
  <si>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</si>
  <si>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</si>
  <si>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</si>
  <si>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</si>
  <si>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</si>
  <si>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</si>
  <si>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</si>
  <si>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</si>
  <si>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</si>
  <si>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</si>
  <si>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</si>
  <si>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</si>
  <si>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</si>
  <si>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</si>
  <si>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</si>
  <si>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</si>
  <si>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</si>
  <si>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</si>
  <si>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</si>
  <si>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</si>
  <si>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</si>
  <si>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</si>
  <si>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</si>
  <si>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</si>
  <si>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</si>
  <si>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</si>
  <si>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</si>
  <si>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</si>
  <si>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</si>
  <si>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</si>
  <si>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</si>
  <si>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</si>
  <si>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</si>
  <si>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</si>
  <si>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</si>
  <si>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</si>
  <si>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</si>
  <si>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</si>
  <si>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</si>
  <si>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</si>
  <si>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</si>
  <si>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</si>
  <si>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</si>
  <si>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</si>
  <si>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</si>
  <si>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</si>
  <si>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</si>
  <si>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</si>
  <si>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</si>
  <si>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</si>
  <si>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</si>
  <si>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</si>
  <si>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</si>
  <si>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</si>
  <si>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</si>
  <si>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</si>
  <si>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</si>
  <si>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</si>
  <si>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</si>
  <si>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</si>
  <si>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</si>
  <si>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</si>
  <si>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</si>
  <si>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</si>
  <si>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</si>
  <si>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</si>
  <si>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</si>
  <si>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</si>
  <si>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</si>
  <si>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</si>
  <si>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</si>
  <si>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</si>
  <si>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</si>
  <si>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</si>
  <si>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</si>
  <si>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</si>
  <si>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</si>
  <si>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</si>
  <si>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</si>
  <si>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</si>
  <si>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</si>
  <si>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</si>
  <si>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</si>
  <si>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</si>
  <si>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</si>
  <si>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</si>
  <si>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</si>
  <si>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</si>
  <si>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</si>
  <si>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</si>
  <si>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</si>
  <si>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</si>
  <si>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</si>
  <si>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</si>
  <si>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</si>
  <si>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</si>
  <si>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</si>
  <si>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</si>
  <si>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</si>
  <si>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</si>
  <si>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</si>
  <si>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</si>
  <si>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</si>
  <si>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</si>
  <si>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</si>
  <si>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</si>
  <si>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</si>
  <si>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</si>
  <si>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</si>
  <si>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</si>
  <si>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</si>
  <si>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</si>
  <si>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</si>
  <si>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</si>
  <si>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</si>
  <si>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</si>
  <si>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</si>
  <si>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</si>
  <si>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</si>
  <si>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</si>
  <si>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</si>
  <si>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</si>
  <si>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</si>
  <si>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</si>
  <si>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</si>
  <si>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</si>
  <si>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</si>
  <si>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</si>
  <si>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</si>
  <si>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</si>
  <si>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</si>
  <si>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</si>
  <si>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</si>
  <si>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</si>
  <si>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</si>
  <si>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</si>
  <si>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</si>
  <si>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</si>
  <si>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</si>
  <si>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</si>
  <si>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</si>
  <si>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</si>
  <si>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</si>
  <si>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</si>
  <si>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</si>
  <si>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</si>
  <si>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</si>
  <si>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</si>
  <si>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</si>
  <si>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</si>
  <si>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</si>
  <si>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</si>
  <si>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</si>
  <si>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</si>
  <si>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</si>
  <si>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</si>
  <si>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</si>
  <si>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</si>
  <si>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</si>
  <si>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</si>
  <si>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</si>
  <si>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</si>
  <si>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</si>
  <si>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</si>
  <si>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</si>
  <si>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</si>
  <si>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</si>
  <si>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</si>
  <si>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</si>
  <si>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</si>
  <si>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</si>
  <si>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</si>
  <si>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</si>
  <si>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</si>
  <si>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</si>
  <si>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</si>
  <si>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</si>
  <si>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</si>
  <si>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</si>
  <si>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</si>
  <si>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</si>
  <si>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</si>
  <si>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</si>
  <si>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</si>
  <si>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</si>
  <si>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</si>
  <si>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</si>
  <si>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</si>
  <si>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</si>
  <si>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</si>
  <si>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</si>
  <si>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</si>
  <si>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</si>
  <si>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</si>
  <si>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</si>
  <si>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</si>
  <si>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</si>
  <si>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</si>
  <si>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</si>
  <si>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</si>
  <si>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</si>
  <si>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</si>
  <si>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</si>
  <si>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</si>
  <si>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</si>
  <si>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</si>
  <si>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</si>
  <si>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</si>
  <si>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</si>
  <si>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</si>
  <si>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</si>
  <si>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</si>
  <si>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</si>
  <si>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</si>
  <si>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</si>
  <si>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</si>
  <si>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</si>
  <si>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</si>
  <si>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</si>
  <si>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</si>
  <si>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</si>
  <si>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</si>
  <si>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</si>
  <si>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</si>
  <si>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</si>
  <si>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</si>
  <si>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</si>
  <si>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</si>
  <si>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</si>
  <si>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</si>
  <si>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</si>
  <si>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</si>
  <si>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</si>
  <si>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</si>
  <si>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</si>
  <si>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</si>
  <si>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</si>
  <si>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</si>
  <si>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</si>
  <si>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</si>
  <si>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</si>
  <si>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</si>
  <si>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</si>
  <si>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</si>
  <si>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</si>
  <si>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</si>
  <si>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</si>
  <si>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</si>
  <si>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</si>
  <si>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</si>
  <si>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</si>
  <si>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</si>
  <si>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</si>
  <si>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</si>
  <si>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</si>
  <si>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</si>
  <si>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</si>
  <si>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</si>
  <si>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</si>
  <si>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</si>
  <si>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</si>
  <si>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</si>
  <si>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</si>
  <si>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</si>
  <si>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</si>
  <si>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</si>
  <si>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</si>
  <si>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</si>
  <si>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</si>
  <si>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</si>
  <si>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</si>
  <si>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</si>
  <si>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</si>
  <si>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</si>
  <si>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</si>
  <si>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</si>
  <si>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</si>
  <si>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</si>
  <si>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</si>
  <si>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</si>
  <si>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</si>
  <si>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</si>
  <si>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</si>
  <si>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</si>
  <si>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</si>
  <si>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</si>
  <si>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</si>
  <si>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</si>
  <si>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</si>
  <si>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</si>
  <si>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</si>
  <si>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</si>
  <si>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</si>
  <si>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</si>
  <si>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</si>
  <si>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</si>
  <si>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</si>
  <si>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</si>
  <si>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</si>
  <si>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</si>
  <si>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</si>
  <si>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</si>
  <si>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</si>
  <si>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</si>
  <si>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</si>
  <si>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</si>
  <si>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</si>
  <si>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</si>
  <si>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</si>
  <si>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</si>
  <si>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</si>
  <si>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</si>
  <si>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</si>
  <si>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</si>
  <si>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</si>
  <si>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</si>
  <si>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</si>
  <si>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</si>
  <si>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</si>
  <si>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</si>
  <si>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</si>
  <si>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</si>
  <si>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</si>
  <si>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</si>
  <si>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</si>
  <si>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</si>
  <si>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</si>
  <si>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</si>
  <si>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</si>
  <si>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</si>
  <si>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</si>
  <si>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</si>
  <si>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</si>
  <si>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</si>
  <si>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</si>
  <si>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</si>
  <si>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</si>
  <si>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</si>
  <si>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</si>
  <si>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</si>
  <si>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</si>
  <si>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</si>
  <si>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</si>
  <si>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</si>
  <si>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</si>
  <si>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</si>
  <si>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</si>
  <si>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</si>
  <si>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</si>
  <si>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</si>
  <si>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</si>
  <si>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</si>
  <si>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</si>
  <si>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</si>
  <si>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</si>
  <si>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</si>
  <si>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</si>
  <si>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</si>
  <si>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</si>
  <si>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</si>
  <si>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</si>
  <si>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</si>
  <si>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</si>
  <si>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</si>
  <si>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</si>
  <si>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</si>
  <si>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</si>
  <si>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</si>
  <si>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</si>
  <si>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</si>
  <si>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</si>
  <si>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</si>
  <si>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</si>
  <si>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</si>
  <si>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</si>
  <si>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</si>
  <si>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</si>
  <si>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</si>
  <si>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</si>
  <si>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</si>
  <si>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</si>
  <si>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</si>
  <si>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</si>
  <si>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</si>
  <si>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</si>
  <si>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</si>
  <si>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</si>
  <si>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</si>
  <si>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</si>
  <si>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</si>
  <si>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</si>
  <si>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</si>
  <si>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</si>
  <si>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</si>
  <si>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</si>
  <si>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</si>
  <si>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</si>
  <si>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</si>
  <si>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</si>
  <si>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</si>
  <si>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</si>
  <si>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</si>
  <si>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</si>
  <si>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</si>
  <si>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</si>
  <si>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</si>
  <si>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</si>
  <si>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</si>
  <si>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</si>
  <si>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</si>
  <si>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</si>
  <si>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</si>
  <si>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</si>
  <si>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</si>
  <si>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</si>
  <si>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</si>
  <si>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</si>
  <si>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</si>
  <si>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</si>
  <si>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</si>
  <si>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</si>
  <si>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</si>
  <si>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</si>
  <si>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</si>
  <si>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</si>
  <si>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</si>
  <si>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</si>
  <si>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</si>
  <si>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</si>
  <si>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</si>
  <si>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</si>
  <si>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</si>
  <si>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</si>
  <si>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</si>
  <si>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</si>
  <si>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</si>
  <si>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</si>
  <si>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</si>
  <si>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</si>
  <si>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</si>
  <si>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</si>
  <si>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M3</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</si>
  <si>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</si>
  <si>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</si>
  <si>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</si>
  <si>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</si>
  <si>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</si>
  <si>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</si>
  <si>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RETROESCAVADEIRA SOBRE RODAS COM CARREGADEIRA, TRAÇÃO 4X2, POTÊNCIA LÍQ. 79 HP, CAÇAMBA CARREG. CAP. MÍN. 1 M3, CAÇAMBA RETRO CAP. 0,20 M3, PESO OPERACIONAL MÍN. 6.570 KG, PROFUNDIDADE ESCAVAÇÃO MÁX. 4,37 M - CHP DIURNO. AF_06/2014</t>
  </si>
  <si>
    <t>GRADE DE DISCO CONTROLE REMOTO REBOCÁVEL, COM 24 DISCOS 24 X 6 MM COM PNEUS PARA TRANSPORTE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</si>
  <si>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</si>
  <si>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</si>
  <si>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VASSOURA MECÂNICA REBOCÁVEL COM ESCOVA CILÍNDRICA, LARGURA ÚTIL DE VARRIMENTO DE 2,44 M - CHP DIURNO. AF_06/2014</t>
  </si>
  <si>
    <t>TRATOR DE PNEUS, POTÊNCIA 122 CV, TRAÇÃO 4X4, PESO COM LASTRO DE 4.510 KG - CHP DIURNO. AF_06/2014</t>
  </si>
  <si>
    <t>TRATOR DE ESTEIRAS, POTÊNCIA 347 HP, PESO OPERACIONAL 38,5 T, COM LÂMINA 8,70 M3 - CHP DIURNO. AF_06/2014</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</si>
  <si>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</si>
  <si>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</si>
  <si>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</si>
  <si>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</si>
  <si>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</si>
  <si>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</si>
  <si>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ESPARGIDOR DE ASFALTO PRESSURIZADO COM TANQUE DE 2500 L, REBOCÁVEL COM MOTOR A GASOLINA POTÊNCIA 3,4 HP - CHP DIURNO. AF_07/2014</t>
  </si>
  <si>
    <t>PÁ CARREGADEIRA SOBRE RODAS, POTÊNCIA 197 HP, CAPACIDADE DA CAÇAMBA 2,5 A 3,5 M3, PESO OPERACIONAL 18338 KG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</si>
  <si>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</si>
  <si>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</si>
  <si>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</si>
  <si>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</si>
  <si>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</si>
  <si>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</si>
  <si>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</si>
  <si>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</si>
  <si>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</si>
  <si>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</si>
  <si>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</si>
  <si>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</si>
  <si>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</si>
  <si>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</si>
  <si>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BOMBA SUBMERSÍVEL ELÉTRICA TRIFÁSICA, POTÊNCIA 2,96 HP, Ø ROTOR 144 MM SEMI-ABERTO, BOCAL DE SAÍDA Ø 2", HM/Q = 2 MCA / 38,8 M3/H A 28 MCA / 5 M3/H - CHP DIURNO. AF_06/2014</t>
  </si>
  <si>
    <t>TANQUE DE ASFALTO ESTACIONÁRIO COM MAÇARICO, CAPACIDADE 20.000 L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</si>
  <si>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</si>
  <si>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</si>
  <si>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</si>
  <si>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</si>
  <si>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</si>
  <si>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</si>
  <si>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18 M3, COM CAVALO MECÂNICO DE CAPACIDADE MÁXIMA DE TRAÇÃO COMBINADO DE 45000 KG, POTÊNCIA 330 CV, INCLUSIVE SEMIREBOQUE COM CAÇAMBA METÁLICA - CHP DIURNO. AF_12/2014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</si>
  <si>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</si>
  <si>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</si>
  <si>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</si>
  <si>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</si>
  <si>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</si>
  <si>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</si>
  <si>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</si>
  <si>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</si>
  <si>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</si>
  <si>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</si>
  <si>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</si>
  <si>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</si>
  <si>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</si>
  <si>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</si>
  <si>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</si>
  <si>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</si>
  <si>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</si>
  <si>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</si>
  <si>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DISTRIBUIDOR DE AGREGADOS REBOCAVEL, CAPACIDADE 1,9 M³, LARGURA DE TRABALHO 3,66 M - CHP DIURNO. AF_11/2015</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</si>
  <si>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</si>
  <si>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</si>
  <si>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</si>
  <si>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</si>
  <si>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</si>
  <si>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</si>
  <si>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</si>
  <si>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</si>
  <si>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</si>
  <si>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</si>
  <si>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</si>
  <si>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</si>
  <si>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</si>
  <si>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</si>
  <si>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</si>
  <si>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</si>
  <si>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</si>
  <si>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</si>
  <si>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</si>
  <si>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</si>
  <si>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</si>
  <si>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</si>
  <si>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</si>
  <si>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</si>
  <si>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</si>
  <si>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</si>
  <si>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</si>
  <si>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</si>
  <si>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</si>
  <si>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</si>
  <si>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</si>
  <si>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</si>
  <si>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</si>
  <si>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</si>
  <si>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</si>
  <si>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</si>
  <si>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</si>
  <si>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MINICARREGADEIRA SOBRE RODAS POTENCIA 47HP CAPACIDADE OPERACAO 646 KG, COM VASSOURA MECÂNICA ACOPLADA - CHP DIURNO. AF_03/2017</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</si>
  <si>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</si>
  <si>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</si>
  <si>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</si>
  <si>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</si>
  <si>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ASFALTO, TIPO GRAVIMÉTRICA, PROD 150 TON/HORA - CHP DIURNO. AF_12/2019</t>
  </si>
  <si>
    <t>MARTELO DEMOLIDOR ELÉTRICO, COM POTÊNCIA DE 2.000 W, 1.000 IMPACTOS POR MINUTO, PESO DE 30 KG - CHP DIURNO. AF_01/2021</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</si>
  <si>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</si>
  <si>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</si>
  <si>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</si>
  <si>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</si>
  <si>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</si>
  <si>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</si>
  <si>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</si>
  <si>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</si>
  <si>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</si>
  <si>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</si>
  <si>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</si>
  <si>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RETROESCAVADEIRA SOBRE RODAS COM CARREGADEIRA, TRAÇÃO 4X2, POTÊNCIA LÍQ. 79 HP, CAÇAMBA CARREG. CAP. MÍN. 1 M3, CAÇAMBA RETRO CAP. 0,20 M3, PESO OPERACIONAL MÍN. 6.570 KG, PROFUNDIDADE ESCAVAÇÃO MÁX. 4,37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</si>
  <si>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</si>
  <si>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</si>
  <si>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</si>
  <si>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</si>
  <si>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VASSOURA MECÂNICA REBOCÁVEL COM ESCOVA CILÍNDRICA, LARGURA ÚTIL DE VARRIMENTO DE 2,44 M - CHI DIURNO. AF_06/2014</t>
  </si>
  <si>
    <t>TRATOR DE PNEUS, POTÊNCIA 122 CV, TRAÇÃO 4X4, PESO COM LASTRO DE 4.510 KG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</si>
  <si>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</si>
  <si>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</si>
  <si>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</si>
  <si>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</si>
  <si>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</si>
  <si>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</si>
  <si>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</si>
  <si>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</si>
  <si>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ESPARGIDOR DE ASFALTO PRESSURIZADO COM TANQUE DE 2500 L, REBOCÁVEL COM MOTOR A GASOLINA POTÊNCIA 3,4 HP - CHI DIURNO. AF_07/2014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</si>
  <si>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</si>
  <si>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</si>
  <si>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</si>
  <si>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</si>
  <si>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</si>
  <si>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</si>
  <si>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</si>
  <si>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</si>
  <si>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</si>
  <si>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</si>
  <si>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</si>
  <si>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</si>
  <si>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</si>
  <si>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</si>
  <si>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</si>
  <si>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</si>
  <si>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</si>
  <si>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BOMBA SUBMERSÍVEL ELÉTRICA TRIFÁSICA, POTÊNCIA 2,96 HP, Ø ROTOR 144 MM SEMI-ABERTO, BOCAL DE SAÍDA Ø 2", HM/Q = 2 MCA / 38,8 M3/H A 28 MCA / 5 M3/H - CHI DIURNO. AF_06/2014</t>
  </si>
  <si>
    <t>TANQUE DE ASFALTO ESTACIONÁRIO COM MAÇARICO, CAPACIDADE 20.000 L - CHI DIURNO. AF_05/2023</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</si>
  <si>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</si>
  <si>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</si>
  <si>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</si>
  <si>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</si>
  <si>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</si>
  <si>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</si>
  <si>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</si>
  <si>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18 M3, COM CAVALO MECÂNICO DE CAPACIDADE MÁXIMA DE TRAÇÃO COMBINADO DE 45000 KG, POTÊNCIA 330 CV, INCLUSIVE SEMIREBOQUE COM CAÇAMBA METÁLICA - CHI DIURNO. AF_12/2014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</si>
  <si>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</si>
  <si>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</si>
  <si>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</si>
  <si>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</si>
  <si>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</si>
  <si>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</si>
  <si>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</si>
  <si>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</si>
  <si>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</si>
  <si>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</si>
  <si>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</si>
  <si>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</si>
  <si>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</si>
  <si>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</si>
  <si>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</si>
  <si>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</si>
  <si>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</si>
  <si>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</si>
  <si>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</si>
  <si>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</si>
  <si>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</si>
  <si>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</si>
  <si>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</si>
  <si>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</si>
  <si>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</si>
  <si>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</si>
  <si>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</si>
  <si>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</si>
  <si>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</si>
  <si>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</si>
  <si>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</si>
  <si>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</si>
  <si>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</si>
  <si>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</si>
  <si>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GRUA ASCENSIONAL, LANÇA DE 30 M, CAPACIDADE DE 1,0 T A 30 M, ALTURA ATÉ 39 M - CHI DIURNO. AF_05/2023</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</si>
  <si>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</si>
  <si>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</si>
  <si>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</si>
  <si>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</si>
  <si>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</si>
  <si>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</si>
  <si>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</si>
  <si>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</si>
  <si>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</si>
  <si>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</si>
  <si>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</si>
  <si>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</si>
  <si>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</si>
  <si>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</si>
  <si>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</si>
  <si>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</si>
  <si>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</si>
  <si>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</si>
  <si>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</si>
  <si>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</si>
  <si>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</si>
  <si>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</si>
  <si>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</si>
  <si>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</si>
  <si>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</si>
  <si>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</si>
  <si>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</si>
  <si>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</si>
  <si>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</si>
  <si>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</si>
  <si>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ASFALTO, TIPO GRAVIMÉTRICA, PROD 150 TON/HORA - CHI DIURNO. AF_12/2019</t>
  </si>
  <si>
    <t>MARTELO DEMOLIDOR ELÉTRICO, COM POTÊNCIA DE 2.000 W, 1.000 IMPACTOS POR MINUTO, PESO DE 30 KG -  CHI DIURNO. AF_01/2021</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</si>
  <si>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</si>
  <si>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</si>
  <si>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</si>
  <si>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</si>
  <si>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</si>
  <si>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</si>
  <si>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</si>
  <si>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</si>
  <si>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</si>
  <si>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</si>
  <si>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</si>
  <si>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</si>
  <si>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</si>
  <si>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</si>
  <si>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</si>
  <si>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</si>
  <si>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</si>
  <si>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</si>
  <si>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</si>
  <si>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TRATOR DE ESTEIRAS, POTÊNCIA 347 HP, PESO OPERACIONAL 38,5 T, COM LÂMINA 8,70 M3 - MATERIAIS NA OPERAÇÃO.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</si>
  <si>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</si>
  <si>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</si>
  <si>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</si>
  <si>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</si>
  <si>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</si>
  <si>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</si>
  <si>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</si>
  <si>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</si>
  <si>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</si>
  <si>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</si>
  <si>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</si>
  <si>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</si>
  <si>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</si>
  <si>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</si>
  <si>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</si>
  <si>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</si>
  <si>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</si>
  <si>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</si>
  <si>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</si>
  <si>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</si>
  <si>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</si>
  <si>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</si>
  <si>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</si>
  <si>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</si>
  <si>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</si>
  <si>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</si>
  <si>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</si>
  <si>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</si>
  <si>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</si>
  <si>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</si>
  <si>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</si>
  <si>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</si>
  <si>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</si>
  <si>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</si>
  <si>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</si>
  <si>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</si>
  <si>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347 HP, PESO OPERACIONAL 38,5 T, COM LÂMINA 8,70 M3 -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</si>
  <si>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</si>
  <si>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</si>
  <si>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</si>
  <si>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</si>
  <si>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ROLO COMPACTADOR DE PNEUS ESTÁTICO, PRESSÃO VARIÁVEL, POTÊNCIA 111 HP, PESO SEM/COM LASTRO 9,5 / 26 T, LARGURA DE TRABALHO 1,90 M - MATERIAIS NA OPERAÇÃO. AF_07/2014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</si>
  <si>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</si>
  <si>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</si>
  <si>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</si>
  <si>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</si>
  <si>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</si>
  <si>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</si>
  <si>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</si>
  <si>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</si>
  <si>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</si>
  <si>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</si>
  <si>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</si>
  <si>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</si>
  <si>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</si>
  <si>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</si>
  <si>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</si>
  <si>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</si>
  <si>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</si>
  <si>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</si>
  <si>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</si>
  <si>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</si>
  <si>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</si>
  <si>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</si>
  <si>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</si>
  <si>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</si>
  <si>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</si>
  <si>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</si>
  <si>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</si>
  <si>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</si>
  <si>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</si>
  <si>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</si>
  <si>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</si>
  <si>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</si>
  <si>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</si>
  <si>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</si>
  <si>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</si>
  <si>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</si>
  <si>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</si>
  <si>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</si>
  <si>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</si>
  <si>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</si>
  <si>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</si>
  <si>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</si>
  <si>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</si>
  <si>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</si>
  <si>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</si>
  <si>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</si>
  <si>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</si>
  <si>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</si>
  <si>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</si>
  <si>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</si>
  <si>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</si>
  <si>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</si>
  <si>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</si>
  <si>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</si>
  <si>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</si>
  <si>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</si>
  <si>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</si>
  <si>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</si>
  <si>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</si>
  <si>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</si>
  <si>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</si>
  <si>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</si>
  <si>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</si>
  <si>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</si>
  <si>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</si>
  <si>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</si>
  <si>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</si>
  <si>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</si>
  <si>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</si>
  <si>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</si>
  <si>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</si>
  <si>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</si>
  <si>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</si>
  <si>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</si>
  <si>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</si>
  <si>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</si>
  <si>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</si>
  <si>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</si>
  <si>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</si>
  <si>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</si>
  <si>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</si>
  <si>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</si>
  <si>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</si>
  <si>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</si>
  <si>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</si>
  <si>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</si>
  <si>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</si>
  <si>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</si>
  <si>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</si>
  <si>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</si>
  <si>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</si>
  <si>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</si>
  <si>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</si>
  <si>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</si>
  <si>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</si>
  <si>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</si>
  <si>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</si>
  <si>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</si>
  <si>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</si>
  <si>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</si>
  <si>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</si>
  <si>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</si>
  <si>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</si>
  <si>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</si>
  <si>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</si>
  <si>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</si>
  <si>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</si>
  <si>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</si>
  <si>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</si>
  <si>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</si>
  <si>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</si>
  <si>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</si>
  <si>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</si>
  <si>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</si>
  <si>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</si>
  <si>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</si>
  <si>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</si>
  <si>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</si>
  <si>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</si>
  <si>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</si>
  <si>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</si>
  <si>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</si>
  <si>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</si>
  <si>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</si>
  <si>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</si>
  <si>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</si>
  <si>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</si>
  <si>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</si>
  <si>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</si>
  <si>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</si>
  <si>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</si>
  <si>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</si>
  <si>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</si>
  <si>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</si>
  <si>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</si>
  <si>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</si>
  <si>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</si>
  <si>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</si>
  <si>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</si>
  <si>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</si>
  <si>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</si>
  <si>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</si>
  <si>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</si>
  <si>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</si>
  <si>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</si>
  <si>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</si>
  <si>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</si>
  <si>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</si>
  <si>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</si>
  <si>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</si>
  <si>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</si>
  <si>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</si>
  <si>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</si>
  <si>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</si>
  <si>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</si>
  <si>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</si>
  <si>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</si>
  <si>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</si>
  <si>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</si>
  <si>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</si>
  <si>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</si>
  <si>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</si>
  <si>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</si>
  <si>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</si>
  <si>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</si>
  <si>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</si>
  <si>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</si>
  <si>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</si>
  <si>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</si>
  <si>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</si>
  <si>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</si>
  <si>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</si>
  <si>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</si>
  <si>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</si>
  <si>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</si>
  <si>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</si>
  <si>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</si>
  <si>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</si>
  <si>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</si>
  <si>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</si>
  <si>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</si>
  <si>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</si>
  <si>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</si>
  <si>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</si>
  <si>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</si>
  <si>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</si>
  <si>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</si>
  <si>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</si>
  <si>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</si>
  <si>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</si>
  <si>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</si>
  <si>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</si>
  <si>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</si>
  <si>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</si>
  <si>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</si>
  <si>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</si>
  <si>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</si>
  <si>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</si>
  <si>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</si>
  <si>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</si>
  <si>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</si>
  <si>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</si>
  <si>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</si>
  <si>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</si>
  <si>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</si>
  <si>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</si>
  <si>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</si>
  <si>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</si>
  <si>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</si>
  <si>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</si>
  <si>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</si>
  <si>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</si>
  <si>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</si>
  <si>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</si>
  <si>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</si>
  <si>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</si>
  <si>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</si>
  <si>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</si>
  <si>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</si>
  <si>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</si>
  <si>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</si>
  <si>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</si>
  <si>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</si>
  <si>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</si>
  <si>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</si>
  <si>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</si>
  <si>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</si>
  <si>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</si>
  <si>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</si>
  <si>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</si>
  <si>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</si>
  <si>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</si>
  <si>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</si>
  <si>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</si>
  <si>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</si>
  <si>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</si>
  <si>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</si>
  <si>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</si>
  <si>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</si>
  <si>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</si>
  <si>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</si>
  <si>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</si>
  <si>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</si>
  <si>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</si>
  <si>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</si>
  <si>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</si>
  <si>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</si>
  <si>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</si>
  <si>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</si>
  <si>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</si>
  <si>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</si>
  <si>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</si>
  <si>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</si>
  <si>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</si>
  <si>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</si>
  <si>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</si>
  <si>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</si>
  <si>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</si>
  <si>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</si>
  <si>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</si>
  <si>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</si>
  <si>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</si>
  <si>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</si>
  <si>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</si>
  <si>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</si>
  <si>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</si>
  <si>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</si>
  <si>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</si>
  <si>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</si>
  <si>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</si>
  <si>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</si>
  <si>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</si>
  <si>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</si>
  <si>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</si>
  <si>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</si>
  <si>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</si>
  <si>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</si>
  <si>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</si>
  <si>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</si>
  <si>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</si>
  <si>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</si>
  <si>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</si>
  <si>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</si>
  <si>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</si>
  <si>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</si>
  <si>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</si>
  <si>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</si>
  <si>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</si>
  <si>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</si>
  <si>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</si>
  <si>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</si>
  <si>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</si>
  <si>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</si>
  <si>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</si>
  <si>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</si>
  <si>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</si>
  <si>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</si>
  <si>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</si>
  <si>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</si>
  <si>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</si>
  <si>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</si>
  <si>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</si>
  <si>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</si>
  <si>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</si>
  <si>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</si>
  <si>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</si>
  <si>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</si>
  <si>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</si>
  <si>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</si>
  <si>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</si>
  <si>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</si>
  <si>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</si>
  <si>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</si>
  <si>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</si>
  <si>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</si>
  <si>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</si>
  <si>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</si>
  <si>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</si>
  <si>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</si>
  <si>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</si>
  <si>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</si>
  <si>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</si>
  <si>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</si>
  <si>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</si>
  <si>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</si>
  <si>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</si>
  <si>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</si>
  <si>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</si>
  <si>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</si>
  <si>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</si>
  <si>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</si>
  <si>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</si>
  <si>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</si>
  <si>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</si>
  <si>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</si>
  <si>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</si>
  <si>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</si>
  <si>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</si>
  <si>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</si>
  <si>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</si>
  <si>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</si>
  <si>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</si>
  <si>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PERFURATRIZ ROTATIVA SOBRE ESTEIRA, TORQUE MAXIMO 2500 KGM, POTENCIA 110 HP, MOTOR DIESEL - MATERIAIS NA OPERAÇÃO. AF_05/2017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</si>
  <si>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</si>
  <si>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</si>
  <si>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</si>
  <si>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</si>
  <si>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</si>
  <si>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</si>
  <si>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</si>
  <si>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</si>
  <si>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</si>
  <si>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</si>
  <si>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</si>
  <si>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</si>
  <si>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</si>
  <si>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</si>
  <si>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</si>
  <si>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</si>
  <si>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</si>
  <si>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</si>
  <si>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</si>
  <si>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</si>
  <si>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</si>
  <si>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</si>
  <si>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</si>
  <si>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</si>
  <si>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</si>
  <si>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</si>
  <si>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</si>
  <si>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</si>
  <si>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</si>
  <si>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</si>
  <si>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</si>
  <si>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</si>
  <si>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</si>
  <si>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</si>
  <si>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</si>
  <si>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</si>
  <si>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</si>
  <si>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</si>
  <si>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</si>
  <si>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</si>
  <si>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</si>
  <si>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</si>
  <si>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</si>
  <si>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</si>
  <si>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</si>
  <si>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</si>
  <si>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</si>
  <si>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</si>
  <si>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</si>
  <si>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</si>
  <si>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</si>
  <si>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</si>
  <si>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</si>
  <si>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</si>
  <si>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</si>
  <si>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</si>
  <si>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</si>
  <si>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</si>
  <si>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</si>
  <si>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</si>
  <si>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</si>
  <si>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</si>
  <si>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</si>
  <si>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</si>
  <si>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</si>
  <si>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</si>
  <si>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</si>
  <si>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</si>
  <si>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</si>
  <si>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</si>
  <si>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</si>
  <si>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</si>
  <si>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</si>
  <si>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</si>
  <si>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</si>
  <si>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</si>
  <si>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</si>
  <si>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</si>
  <si>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</si>
  <si>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</si>
  <si>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</si>
  <si>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</si>
  <si>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</si>
  <si>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</si>
  <si>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</si>
  <si>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</si>
  <si>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</si>
  <si>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</si>
  <si>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</si>
  <si>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</si>
  <si>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</si>
  <si>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</si>
  <si>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</si>
  <si>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</si>
  <si>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</si>
  <si>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</si>
  <si>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</si>
  <si>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</si>
  <si>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</si>
  <si>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</si>
  <si>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</si>
  <si>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</si>
  <si>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</si>
  <si>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</si>
  <si>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</si>
  <si>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</si>
  <si>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</si>
  <si>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</si>
  <si>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</si>
  <si>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</si>
  <si>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</si>
  <si>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</si>
  <si>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</si>
  <si>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</si>
  <si>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</si>
  <si>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</si>
  <si>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</si>
  <si>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</si>
  <si>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</si>
  <si>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</si>
  <si>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</si>
  <si>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</si>
  <si>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</si>
  <si>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</si>
  <si>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</si>
  <si>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</si>
  <si>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</si>
  <si>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</si>
  <si>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</si>
  <si>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</si>
  <si>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</si>
  <si>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</si>
  <si>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</si>
  <si>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</si>
  <si>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</si>
  <si>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</si>
  <si>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</si>
  <si>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</si>
  <si>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</si>
  <si>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</si>
  <si>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</si>
  <si>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</si>
  <si>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</si>
  <si>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</si>
  <si>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</si>
  <si>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</si>
  <si>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</si>
  <si>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</si>
  <si>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</si>
  <si>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</si>
  <si>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</si>
  <si>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</si>
  <si>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</si>
  <si>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</si>
  <si>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</si>
  <si>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</si>
  <si>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</si>
  <si>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</si>
  <si>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</si>
  <si>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</si>
  <si>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</si>
  <si>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</si>
  <si>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</si>
  <si>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</si>
  <si>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</si>
  <si>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</si>
  <si>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</si>
  <si>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</si>
  <si>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</si>
  <si>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</si>
  <si>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</si>
  <si>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</si>
  <si>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</si>
  <si>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</si>
  <si>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</si>
  <si>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</si>
  <si>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</si>
  <si>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</si>
  <si>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</si>
  <si>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</si>
  <si>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</si>
  <si>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</si>
  <si>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</si>
  <si>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</si>
  <si>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</si>
  <si>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</si>
  <si>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</si>
  <si>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</si>
  <si>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</si>
  <si>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</si>
  <si>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</si>
  <si>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</si>
  <si>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</si>
  <si>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</si>
  <si>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</si>
  <si>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</si>
  <si>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</si>
  <si>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</si>
  <si>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</si>
  <si>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</si>
  <si>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</si>
  <si>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</si>
  <si>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</si>
  <si>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</si>
  <si>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</si>
  <si>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</si>
  <si>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</si>
  <si>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</si>
  <si>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</si>
  <si>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</si>
  <si>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</si>
  <si>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</si>
  <si>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</si>
  <si>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</si>
  <si>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</si>
  <si>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</si>
  <si>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</si>
  <si>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</si>
  <si>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</si>
  <si>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</si>
  <si>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</si>
  <si>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</si>
  <si>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</si>
  <si>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</si>
  <si>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</si>
  <si>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</si>
  <si>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</si>
  <si>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</si>
  <si>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</si>
  <si>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</si>
  <si>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</si>
  <si>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</si>
  <si>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</si>
  <si>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</si>
  <si>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</si>
  <si>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</si>
  <si>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</si>
  <si>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</si>
  <si>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</si>
  <si>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</si>
  <si>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</si>
  <si>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</si>
  <si>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</si>
  <si>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</si>
  <si>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</si>
  <si>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</si>
  <si>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</si>
  <si>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</si>
  <si>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</si>
  <si>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</si>
  <si>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</si>
  <si>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</si>
  <si>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</si>
  <si>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</si>
  <si>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</si>
  <si>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</si>
  <si>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</si>
  <si>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</si>
  <si>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</si>
  <si>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</si>
  <si>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</si>
  <si>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</si>
  <si>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</si>
  <si>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</si>
  <si>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</si>
  <si>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</si>
  <si>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</si>
  <si>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</si>
  <si>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</si>
  <si>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</si>
  <si>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</si>
  <si>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</si>
  <si>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</si>
  <si>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</si>
  <si>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</si>
  <si>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</si>
  <si>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</si>
  <si>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</si>
  <si>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</si>
  <si>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</si>
  <si>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</si>
  <si>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</si>
  <si>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</si>
  <si>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</si>
  <si>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</si>
  <si>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</si>
  <si>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</si>
  <si>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</si>
  <si>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</si>
  <si>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</si>
  <si>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</si>
  <si>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</si>
  <si>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</si>
  <si>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</si>
  <si>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</si>
  <si>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</si>
  <si>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</si>
  <si>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</si>
  <si>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</si>
  <si>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</si>
  <si>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</si>
  <si>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</si>
  <si>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</si>
  <si>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</si>
  <si>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</si>
  <si>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</si>
  <si>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</si>
  <si>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</si>
  <si>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</si>
  <si>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</si>
  <si>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</si>
  <si>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</si>
  <si>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</si>
  <si>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</si>
  <si>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</si>
  <si>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</si>
  <si>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</si>
  <si>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</si>
  <si>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</si>
  <si>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</si>
  <si>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</si>
  <si>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</si>
  <si>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</si>
  <si>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</si>
  <si>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</si>
  <si>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</si>
  <si>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</si>
  <si>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</si>
  <si>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</si>
  <si>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</si>
  <si>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</si>
  <si>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</si>
  <si>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</si>
  <si>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</si>
  <si>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</si>
  <si>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</si>
  <si>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</si>
  <si>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</si>
  <si>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</si>
  <si>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</si>
  <si>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</si>
  <si>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</si>
  <si>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</si>
  <si>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</si>
  <si>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</si>
  <si>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</si>
  <si>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</si>
  <si>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</si>
  <si>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</si>
  <si>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</si>
  <si>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</si>
  <si>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</si>
  <si>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</si>
  <si>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</si>
  <si>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</si>
  <si>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</si>
  <si>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</si>
  <si>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</si>
  <si>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</si>
  <si>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</si>
  <si>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</si>
  <si>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</si>
  <si>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</si>
  <si>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</si>
  <si>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</si>
  <si>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</si>
  <si>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</si>
  <si>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</si>
  <si>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</si>
  <si>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</si>
  <si>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</si>
  <si>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</si>
  <si>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</si>
  <si>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</si>
  <si>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</si>
  <si>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</si>
  <si>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</si>
  <si>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</si>
  <si>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</si>
  <si>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</si>
  <si>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</si>
  <si>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</si>
  <si>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</si>
  <si>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</si>
  <si>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</si>
  <si>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</si>
  <si>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</si>
  <si>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</si>
  <si>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</si>
  <si>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</si>
  <si>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</si>
  <si>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</si>
  <si>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</si>
  <si>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</si>
  <si>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</si>
  <si>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</si>
  <si>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</si>
  <si>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</si>
  <si>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</si>
  <si>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</si>
  <si>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</si>
  <si>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</si>
  <si>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</si>
  <si>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</si>
  <si>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</si>
  <si>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</si>
  <si>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</si>
  <si>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</si>
  <si>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</si>
  <si>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</si>
  <si>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</si>
  <si>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</si>
  <si>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</si>
  <si>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</si>
  <si>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</si>
  <si>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</si>
  <si>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</si>
  <si>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</si>
  <si>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</si>
  <si>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</si>
  <si>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</si>
  <si>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</si>
  <si>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</si>
  <si>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</si>
  <si>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</si>
  <si>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</si>
  <si>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</si>
  <si>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</si>
  <si>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</si>
  <si>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</si>
  <si>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</si>
  <si>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</si>
  <si>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</si>
  <si>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</si>
  <si>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</si>
  <si>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</si>
  <si>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</si>
  <si>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</si>
  <si>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</si>
  <si>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</si>
  <si>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</si>
  <si>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</si>
  <si>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</si>
  <si>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</si>
  <si>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</si>
  <si>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</si>
  <si>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</si>
  <si>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</si>
  <si>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</si>
  <si>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</si>
  <si>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</si>
  <si>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</si>
  <si>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</si>
  <si>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</si>
  <si>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</si>
  <si>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</si>
  <si>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</si>
  <si>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</si>
  <si>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</si>
  <si>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</si>
  <si>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</si>
  <si>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</si>
  <si>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</si>
  <si>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</si>
  <si>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</si>
  <si>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</si>
  <si>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</si>
  <si>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</si>
  <si>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</si>
  <si>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</si>
  <si>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</si>
  <si>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</si>
  <si>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</si>
  <si>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</si>
  <si>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</si>
  <si>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</si>
  <si>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</si>
  <si>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</si>
  <si>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</si>
  <si>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</si>
  <si>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</si>
  <si>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</si>
  <si>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</si>
  <si>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</si>
  <si>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</si>
  <si>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</si>
  <si>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</si>
  <si>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</si>
  <si>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</si>
  <si>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</si>
  <si>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</si>
  <si>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</si>
  <si>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</si>
  <si>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</si>
  <si>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</si>
  <si>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</si>
  <si>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</si>
  <si>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</si>
  <si>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</si>
  <si>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</si>
  <si>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</si>
  <si>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</si>
  <si>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</si>
  <si>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</si>
  <si>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</si>
  <si>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</si>
  <si>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</si>
  <si>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</si>
  <si>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</si>
  <si>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</si>
  <si>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</si>
  <si>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</si>
  <si>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</si>
  <si>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</si>
  <si>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</si>
  <si>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</si>
  <si>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</si>
  <si>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</si>
  <si>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</si>
  <si>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</si>
  <si>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</si>
  <si>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</si>
  <si>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</si>
  <si>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</si>
  <si>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</si>
  <si>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</si>
  <si>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</si>
  <si>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</si>
  <si>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</si>
  <si>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</si>
  <si>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</si>
  <si>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</si>
  <si>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</si>
  <si>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</si>
  <si>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</si>
  <si>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</si>
  <si>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</si>
  <si>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</si>
  <si>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</si>
  <si>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</si>
  <si>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</si>
  <si>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</si>
  <si>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</si>
  <si>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</si>
  <si>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</si>
  <si>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</si>
  <si>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</si>
  <si>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</si>
  <si>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</si>
  <si>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</si>
  <si>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</si>
  <si>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</si>
  <si>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</si>
  <si>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</si>
  <si>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</si>
  <si>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</si>
  <si>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</si>
  <si>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</si>
  <si>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</si>
  <si>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</si>
  <si>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</si>
  <si>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</si>
  <si>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</si>
  <si>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</si>
  <si>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</si>
  <si>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</si>
  <si>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</si>
  <si>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</si>
  <si>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</si>
  <si>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</si>
  <si>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</si>
  <si>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</si>
  <si>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</si>
  <si>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</si>
  <si>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</si>
  <si>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</si>
  <si>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</si>
  <si>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</si>
  <si>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</si>
  <si>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</si>
  <si>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</si>
  <si>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</si>
  <si>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</si>
  <si>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</si>
  <si>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</si>
  <si>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</si>
  <si>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</si>
  <si>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</si>
  <si>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</si>
  <si>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</si>
  <si>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</si>
  <si>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</si>
  <si>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</si>
  <si>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</si>
  <si>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</si>
  <si>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</si>
  <si>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</si>
  <si>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</si>
  <si>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</si>
  <si>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</si>
  <si>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</si>
  <si>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</si>
  <si>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</si>
  <si>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</si>
  <si>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</si>
  <si>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</si>
  <si>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</si>
  <si>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</si>
  <si>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</si>
  <si>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</si>
  <si>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</si>
  <si>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</si>
  <si>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</si>
  <si>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</si>
  <si>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</si>
  <si>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</si>
  <si>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</si>
  <si>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</si>
  <si>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</si>
  <si>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</si>
  <si>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</si>
  <si>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</si>
  <si>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</si>
  <si>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</si>
  <si>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</si>
  <si>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</si>
  <si>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</si>
  <si>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</si>
  <si>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</si>
  <si>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</si>
  <si>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</si>
  <si>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</si>
  <si>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</si>
  <si>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</si>
  <si>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</si>
  <si>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</si>
  <si>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</si>
  <si>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</si>
  <si>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</si>
  <si>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</si>
  <si>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</si>
  <si>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</si>
  <si>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</si>
  <si>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</si>
  <si>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</si>
  <si>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</si>
  <si>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</si>
  <si>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</si>
  <si>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</si>
  <si>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</si>
  <si>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</si>
  <si>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</si>
  <si>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</si>
  <si>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</si>
  <si>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</si>
  <si>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</si>
  <si>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</si>
  <si>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</si>
  <si>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</si>
  <si>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</si>
  <si>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</si>
  <si>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</si>
  <si>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</si>
  <si>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</si>
  <si>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</si>
  <si>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</si>
  <si>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</si>
  <si>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</si>
  <si>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</si>
  <si>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</si>
  <si>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</si>
  <si>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</si>
  <si>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</si>
  <si>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</si>
  <si>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</si>
  <si>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</si>
  <si>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</si>
  <si>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</si>
  <si>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</si>
  <si>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</si>
  <si>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</si>
  <si>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</si>
  <si>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</si>
  <si>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</si>
  <si>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</si>
  <si>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</si>
  <si>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</si>
  <si>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</si>
  <si>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</si>
  <si>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</si>
  <si>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</si>
  <si>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</si>
  <si>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</si>
  <si>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</si>
  <si>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</si>
  <si>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</si>
  <si>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</si>
  <si>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</si>
  <si>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</si>
  <si>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</si>
  <si>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</si>
  <si>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</si>
  <si>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</si>
  <si>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</si>
  <si>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</si>
  <si>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</si>
  <si>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</si>
  <si>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</si>
  <si>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</si>
  <si>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</si>
  <si>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</si>
  <si>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</si>
  <si>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</si>
  <si>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</si>
  <si>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</si>
  <si>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</si>
  <si>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</si>
  <si>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</si>
  <si>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</si>
  <si>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</si>
  <si>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</si>
  <si>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</si>
  <si>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</si>
  <si>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</si>
  <si>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</si>
  <si>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</si>
  <si>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</si>
  <si>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</si>
  <si>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</si>
  <si>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</si>
  <si>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</si>
  <si>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</si>
  <si>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</si>
  <si>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</si>
  <si>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</si>
  <si>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</si>
  <si>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</si>
  <si>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</si>
  <si>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</si>
  <si>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</si>
  <si>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</si>
  <si>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</si>
  <si>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</si>
  <si>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</si>
  <si>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</si>
  <si>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</si>
  <si>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</si>
  <si>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</si>
  <si>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</si>
  <si>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</si>
  <si>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</si>
  <si>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</si>
  <si>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</si>
  <si>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</si>
  <si>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</si>
  <si>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</si>
  <si>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</si>
  <si>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</si>
  <si>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</si>
  <si>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</si>
  <si>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</si>
  <si>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</si>
  <si>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</si>
  <si>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</si>
  <si>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</si>
  <si>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</si>
  <si>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</si>
  <si>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</si>
  <si>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</si>
  <si>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</si>
  <si>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</si>
  <si>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</si>
  <si>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</si>
  <si>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</si>
  <si>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</si>
  <si>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</si>
  <si>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</si>
  <si>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</si>
  <si>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</si>
  <si>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</si>
  <si>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</si>
  <si>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</si>
  <si>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</si>
  <si>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</si>
  <si>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</si>
  <si>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</si>
  <si>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</si>
  <si>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</si>
  <si>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</si>
  <si>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</si>
  <si>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</si>
  <si>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</si>
  <si>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</si>
  <si>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</si>
  <si>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</si>
  <si>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</si>
  <si>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</si>
  <si>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</si>
  <si>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</si>
  <si>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</si>
  <si>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</si>
  <si>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</si>
  <si>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</si>
  <si>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</si>
  <si>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</si>
  <si>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</si>
  <si>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</si>
  <si>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</si>
  <si>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</si>
  <si>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</si>
  <si>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</si>
  <si>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</si>
  <si>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</si>
  <si>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</si>
  <si>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</si>
  <si>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</si>
  <si>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</si>
  <si>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</si>
  <si>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</si>
  <si>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</si>
  <si>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</si>
  <si>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</si>
  <si>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</si>
  <si>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</si>
  <si>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</si>
  <si>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</si>
  <si>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</si>
  <si>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</si>
  <si>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</si>
  <si>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</si>
  <si>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</si>
  <si>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</si>
  <si>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</si>
  <si>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</si>
  <si>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</si>
  <si>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</si>
  <si>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</si>
  <si>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</si>
  <si>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</si>
  <si>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</si>
  <si>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</si>
  <si>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</si>
  <si>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</si>
  <si>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</si>
  <si>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</si>
  <si>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PORTA DE FERRO, DE ABRIR, TIPO GRADE COM CHAPA, COM GUARNIÇÕES. AF_12/2019</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</si>
  <si>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</si>
  <si>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</si>
  <si>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</si>
  <si>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</si>
  <si>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</si>
  <si>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</si>
  <si>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</si>
  <si>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</si>
  <si>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</si>
  <si>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</si>
  <si>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</si>
  <si>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</si>
  <si>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</si>
  <si>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</si>
  <si>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</si>
  <si>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</si>
  <si>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</si>
  <si>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</si>
  <si>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</si>
  <si>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</si>
  <si>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</si>
  <si>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</si>
  <si>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</si>
  <si>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</si>
  <si>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</si>
  <si>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</si>
  <si>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</si>
  <si>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</si>
  <si>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</si>
  <si>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</si>
  <si>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</si>
  <si>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</si>
  <si>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</si>
  <si>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</si>
  <si>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</si>
  <si>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</si>
  <si>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</si>
  <si>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</si>
  <si>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</si>
  <si>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</si>
  <si>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</si>
  <si>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</si>
  <si>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</si>
  <si>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</si>
  <si>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</si>
  <si>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</si>
  <si>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</si>
  <si>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</si>
  <si>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</si>
  <si>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</si>
  <si>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</si>
  <si>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</si>
  <si>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</si>
  <si>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</si>
  <si>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</si>
  <si>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</si>
  <si>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</si>
  <si>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</si>
  <si>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</si>
  <si>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</si>
  <si>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</si>
  <si>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</si>
  <si>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</si>
  <si>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</si>
  <si>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</si>
  <si>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</si>
  <si>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</si>
  <si>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</si>
  <si>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</si>
  <si>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</si>
  <si>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</si>
  <si>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</si>
  <si>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</si>
  <si>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</si>
  <si>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</si>
  <si>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</si>
  <si>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</si>
  <si>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</si>
  <si>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</si>
  <si>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</si>
  <si>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</si>
  <si>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</si>
  <si>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</si>
  <si>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</si>
  <si>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</si>
  <si>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</si>
  <si>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</si>
  <si>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</si>
  <si>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</si>
  <si>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</si>
  <si>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</si>
  <si>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</si>
  <si>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</si>
  <si>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</si>
  <si>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</si>
  <si>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</si>
  <si>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</si>
  <si>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</si>
  <si>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</si>
  <si>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</si>
  <si>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</si>
  <si>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</si>
  <si>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</si>
  <si>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</si>
  <si>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</si>
  <si>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</si>
  <si>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</si>
  <si>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</si>
  <si>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</si>
  <si>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</si>
  <si>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</si>
  <si>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</si>
  <si>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</si>
  <si>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</si>
  <si>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</si>
  <si>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</si>
  <si>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</si>
  <si>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</si>
  <si>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</si>
  <si>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</si>
  <si>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</si>
  <si>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</si>
  <si>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</si>
  <si>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</si>
  <si>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</si>
  <si>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</si>
  <si>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</si>
  <si>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</si>
  <si>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</si>
  <si>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</si>
  <si>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</si>
  <si>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</si>
  <si>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</si>
  <si>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</si>
  <si>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</si>
  <si>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</si>
  <si>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</si>
  <si>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</si>
  <si>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</si>
  <si>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</si>
  <si>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</si>
  <si>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</si>
  <si>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</si>
  <si>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</si>
  <si>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</si>
  <si>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</si>
  <si>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</si>
  <si>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</si>
  <si>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</si>
  <si>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</si>
  <si>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</si>
  <si>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</si>
  <si>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</si>
  <si>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</si>
  <si>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</si>
  <si>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</si>
  <si>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</si>
  <si>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</si>
  <si>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</si>
  <si>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</si>
  <si>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</si>
  <si>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</si>
  <si>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</si>
  <si>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</si>
  <si>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</si>
  <si>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</si>
  <si>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</si>
  <si>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</si>
  <si>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</si>
  <si>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</si>
  <si>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</si>
  <si>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</si>
  <si>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</si>
  <si>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</si>
  <si>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</si>
  <si>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</si>
  <si>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</si>
  <si>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</si>
  <si>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</si>
  <si>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</si>
  <si>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</si>
  <si>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</si>
  <si>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</si>
  <si>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</si>
  <si>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</si>
  <si>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</si>
  <si>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</si>
  <si>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</si>
  <si>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</si>
  <si>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</si>
  <si>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</si>
  <si>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</si>
  <si>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</si>
  <si>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</si>
  <si>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</si>
  <si>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</si>
  <si>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</si>
  <si>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</si>
  <si>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</si>
  <si>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</si>
  <si>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</si>
  <si>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</si>
  <si>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</si>
  <si>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</si>
  <si>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</si>
  <si>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</si>
  <si>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</si>
  <si>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</si>
  <si>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</si>
  <si>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</si>
  <si>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</si>
  <si>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</si>
  <si>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</si>
  <si>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</si>
  <si>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</si>
  <si>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</si>
  <si>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</si>
  <si>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</si>
  <si>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</si>
  <si>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</si>
  <si>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</si>
  <si>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</si>
  <si>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</si>
  <si>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</si>
  <si>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</si>
  <si>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</si>
  <si>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</si>
  <si>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</si>
  <si>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</si>
  <si>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</si>
  <si>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</si>
  <si>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</si>
  <si>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</si>
  <si>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</si>
  <si>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</si>
  <si>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</si>
  <si>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</si>
  <si>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</si>
  <si>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</si>
  <si>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</si>
  <si>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</si>
  <si>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</si>
  <si>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</si>
  <si>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</si>
  <si>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</si>
  <si>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</si>
  <si>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</si>
  <si>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</si>
  <si>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</si>
  <si>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</si>
  <si>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</si>
  <si>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</si>
  <si>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</si>
  <si>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</si>
  <si>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</si>
  <si>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</si>
  <si>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</si>
  <si>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</si>
  <si>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</si>
  <si>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</si>
  <si>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</si>
  <si>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</si>
  <si>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</si>
  <si>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</si>
  <si>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</si>
  <si>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</si>
  <si>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</si>
  <si>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</si>
  <si>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</si>
  <si>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</si>
  <si>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</si>
  <si>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</si>
  <si>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</si>
  <si>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</si>
  <si>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</si>
  <si>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</si>
  <si>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</si>
  <si>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</si>
  <si>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</si>
  <si>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</si>
  <si>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</si>
  <si>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</si>
  <si>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</si>
  <si>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</si>
  <si>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</si>
  <si>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</si>
  <si>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</si>
  <si>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</si>
  <si>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</si>
  <si>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</si>
  <si>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</si>
  <si>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</si>
  <si>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</si>
  <si>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</si>
  <si>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</si>
  <si>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</si>
  <si>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</si>
  <si>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</si>
  <si>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</si>
  <si>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</si>
  <si>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</si>
  <si>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</si>
  <si>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</si>
  <si>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</si>
  <si>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</si>
  <si>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</si>
  <si>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</si>
  <si>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</si>
  <si>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</si>
  <si>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</si>
  <si>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</si>
  <si>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</si>
  <si>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</si>
  <si>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</si>
  <si>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</si>
  <si>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</si>
  <si>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</si>
  <si>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</si>
  <si>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</si>
  <si>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</si>
  <si>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</si>
  <si>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</si>
  <si>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</si>
  <si>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</si>
  <si>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</si>
  <si>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</si>
  <si>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</si>
  <si>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</si>
  <si>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</si>
  <si>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</si>
  <si>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</si>
  <si>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</si>
  <si>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</si>
  <si>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</si>
  <si>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</si>
  <si>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</si>
  <si>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</si>
  <si>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</si>
  <si>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</si>
  <si>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</si>
  <si>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</si>
  <si>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</si>
  <si>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</si>
  <si>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</si>
  <si>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</si>
  <si>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</si>
  <si>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</si>
  <si>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</si>
  <si>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</si>
  <si>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</si>
  <si>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</si>
  <si>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</si>
  <si>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</si>
  <si>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</si>
  <si>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</si>
  <si>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</si>
  <si>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</si>
  <si>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</si>
  <si>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</si>
  <si>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</si>
  <si>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</si>
  <si>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</si>
  <si>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</si>
  <si>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</si>
  <si>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</si>
  <si>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</si>
  <si>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</si>
  <si>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</si>
  <si>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</si>
  <si>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</si>
  <si>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</si>
  <si>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</si>
  <si>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</si>
  <si>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</si>
  <si>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</si>
  <si>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</si>
  <si>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</si>
  <si>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</si>
  <si>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</si>
  <si>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</si>
  <si>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</si>
  <si>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</si>
  <si>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</si>
  <si>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</si>
  <si>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</si>
  <si>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</si>
  <si>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</si>
  <si>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</si>
  <si>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</si>
  <si>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</si>
  <si>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</si>
  <si>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</si>
  <si>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</si>
  <si>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</si>
  <si>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</si>
  <si>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</si>
  <si>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</si>
  <si>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</si>
  <si>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</si>
  <si>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</si>
  <si>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</si>
  <si>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</si>
  <si>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</si>
  <si>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</si>
  <si>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</si>
  <si>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</si>
  <si>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</si>
  <si>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</si>
  <si>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</si>
  <si>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</si>
  <si>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</si>
  <si>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</si>
  <si>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</si>
  <si>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</si>
  <si>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</si>
  <si>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</si>
  <si>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</si>
  <si>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</si>
  <si>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</si>
  <si>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</si>
  <si>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</si>
  <si>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</si>
  <si>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</si>
  <si>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</si>
  <si>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</si>
  <si>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</si>
  <si>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</si>
  <si>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</si>
  <si>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</si>
  <si>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</si>
  <si>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</si>
  <si>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</si>
  <si>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</si>
  <si>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</si>
  <si>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</si>
  <si>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</si>
  <si>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</si>
  <si>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</si>
  <si>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</si>
  <si>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</si>
  <si>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</si>
  <si>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</si>
  <si>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</si>
  <si>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</si>
  <si>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</si>
  <si>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</si>
  <si>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</si>
  <si>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</si>
  <si>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</si>
  <si>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</si>
  <si>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</si>
  <si>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</si>
  <si>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</si>
  <si>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</si>
  <si>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</si>
  <si>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</si>
  <si>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</si>
  <si>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</si>
  <si>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</si>
  <si>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</si>
  <si>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</si>
  <si>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</si>
  <si>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</si>
  <si>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</si>
  <si>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</si>
  <si>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</si>
  <si>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</si>
  <si>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</si>
  <si>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</si>
  <si>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</si>
  <si>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</si>
  <si>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</si>
  <si>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</si>
  <si>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</si>
  <si>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</si>
  <si>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</si>
  <si>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</si>
  <si>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</si>
  <si>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</si>
  <si>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</si>
  <si>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</si>
  <si>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</si>
  <si>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</si>
  <si>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</si>
  <si>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</si>
  <si>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</si>
  <si>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</si>
  <si>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FCK = 15MPA, TRAÇO 1:3,4:3,5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</si>
  <si>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</si>
  <si>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</si>
  <si>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20MPA, TRAÇO 1:2,7:3 (EM MASSA SECA DE CIMENTO/ AREIA MÉDIA/ BRITA 1) - PREPARO MECÂNICO COM BETONEIRA 600 L. AF_05/2021</t>
  </si>
  <si>
    <t>CONCRETO FCK = 40MPA, TRAÇO 1:1,6:1,9 (EM MASSA SECA DE CIMENTO/ AREIA MÉDIA/ BRITA 1) - PREPARO MECÂNICO COM BETONEIRA 600 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</si>
  <si>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</si>
  <si>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</si>
  <si>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</si>
  <si>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</si>
  <si>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</si>
  <si>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</si>
  <si>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</si>
  <si>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</si>
  <si>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</si>
  <si>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</si>
  <si>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</si>
  <si>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</si>
  <si>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</si>
  <si>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</si>
  <si>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</si>
  <si>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</si>
  <si>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</si>
  <si>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</si>
  <si>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</si>
  <si>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</si>
  <si>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</si>
  <si>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</si>
  <si>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</si>
  <si>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</si>
  <si>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</si>
  <si>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</si>
  <si>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</si>
  <si>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</si>
  <si>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</si>
  <si>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</si>
  <si>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</si>
  <si>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BALDES - LANÇAMENTO, ADENSAMENTO E ACABAMENTO.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</si>
  <si>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</si>
  <si>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</si>
  <si>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</si>
  <si>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</si>
  <si>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</si>
  <si>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</si>
  <si>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</si>
  <si>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</si>
  <si>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</si>
  <si>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</si>
  <si>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</si>
  <si>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</si>
  <si>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</si>
  <si>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</si>
  <si>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</si>
  <si>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</si>
  <si>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</si>
  <si>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</si>
  <si>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</si>
  <si>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</si>
  <si>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</si>
  <si>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</si>
  <si>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</si>
  <si>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</si>
  <si>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</si>
  <si>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</si>
  <si>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</si>
  <si>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</si>
  <si>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</si>
  <si>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</si>
  <si>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</si>
  <si>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</si>
  <si>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</si>
  <si>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</si>
  <si>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</si>
  <si>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</si>
  <si>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</si>
  <si>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</si>
  <si>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</si>
  <si>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</si>
  <si>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</si>
  <si>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</si>
  <si>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</si>
  <si>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</si>
  <si>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</si>
  <si>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</si>
  <si>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</si>
  <si>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</si>
  <si>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</si>
  <si>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</si>
  <si>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</si>
  <si>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</si>
  <si>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</si>
  <si>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</si>
  <si>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</si>
  <si>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</si>
  <si>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</si>
  <si>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</si>
  <si>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</si>
  <si>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</si>
  <si>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</si>
  <si>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</si>
  <si>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</si>
  <si>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</si>
  <si>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</si>
  <si>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</si>
  <si>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</si>
  <si>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</si>
  <si>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</si>
  <si>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</si>
  <si>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</si>
  <si>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</si>
  <si>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</si>
  <si>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</si>
  <si>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</si>
  <si>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</si>
  <si>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</si>
  <si>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</si>
  <si>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</si>
  <si>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</si>
  <si>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</si>
  <si>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</si>
  <si>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</si>
  <si>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</si>
  <si>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</si>
  <si>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</si>
  <si>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</si>
  <si>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</si>
  <si>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</si>
  <si>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</si>
  <si>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</si>
  <si>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</si>
  <si>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</si>
  <si>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</si>
  <si>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</si>
  <si>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</si>
  <si>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</si>
  <si>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</si>
  <si>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</si>
  <si>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</si>
  <si>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</si>
  <si>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</si>
  <si>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</si>
  <si>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</si>
  <si>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</si>
  <si>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</si>
  <si>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</si>
  <si>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</si>
  <si>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</si>
  <si>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</si>
  <si>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</si>
  <si>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</si>
  <si>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</si>
  <si>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</si>
  <si>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</si>
  <si>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</si>
  <si>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</si>
  <si>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</si>
  <si>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</si>
  <si>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</si>
  <si>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</si>
  <si>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</si>
  <si>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</si>
  <si>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</si>
  <si>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</si>
  <si>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</si>
  <si>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</si>
  <si>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</si>
  <si>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</si>
  <si>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</si>
  <si>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</si>
  <si>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</si>
  <si>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</si>
  <si>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</si>
  <si>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</si>
  <si>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</si>
  <si>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</si>
  <si>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</si>
  <si>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</si>
  <si>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</si>
  <si>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</si>
  <si>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</si>
  <si>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</si>
  <si>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</si>
  <si>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</si>
  <si>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</si>
  <si>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</si>
  <si>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</si>
  <si>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</si>
  <si>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</si>
  <si>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</si>
  <si>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</si>
  <si>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</si>
  <si>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</si>
  <si>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</si>
  <si>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</si>
  <si>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</si>
  <si>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</si>
  <si>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</si>
  <si>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</si>
  <si>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</si>
  <si>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</si>
  <si>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</si>
  <si>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</si>
  <si>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</si>
  <si>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</si>
  <si>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</si>
  <si>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</si>
  <si>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</si>
  <si>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</si>
  <si>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</si>
  <si>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</si>
  <si>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</si>
  <si>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</si>
  <si>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</si>
  <si>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</si>
  <si>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</si>
  <si>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</si>
  <si>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</si>
  <si>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</si>
  <si>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</si>
  <si>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</si>
  <si>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</si>
  <si>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</si>
  <si>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</si>
  <si>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</si>
  <si>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</si>
  <si>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</si>
  <si>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</si>
  <si>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</si>
  <si>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</si>
  <si>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</si>
  <si>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</si>
  <si>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</si>
  <si>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</si>
  <si>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</si>
  <si>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</si>
  <si>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</si>
  <si>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</si>
  <si>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</si>
  <si>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</si>
  <si>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</si>
  <si>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</si>
  <si>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</si>
  <si>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</si>
  <si>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</si>
  <si>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</si>
  <si>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</si>
  <si>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</si>
  <si>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</si>
  <si>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</si>
  <si>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</si>
  <si>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</si>
  <si>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</si>
  <si>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</si>
  <si>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</si>
  <si>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</si>
  <si>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</si>
  <si>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</si>
  <si>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</si>
  <si>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</si>
  <si>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</si>
  <si>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</si>
  <si>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</si>
  <si>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</si>
  <si>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</si>
  <si>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</si>
  <si>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</si>
  <si>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</si>
  <si>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</si>
  <si>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</si>
  <si>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</si>
  <si>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</si>
  <si>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</si>
  <si>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</si>
  <si>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</si>
  <si>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</si>
  <si>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</si>
  <si>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</si>
  <si>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</si>
  <si>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</si>
  <si>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</si>
  <si>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</si>
  <si>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</si>
  <si>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</si>
  <si>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</si>
  <si>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</si>
  <si>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</si>
  <si>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</si>
  <si>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</si>
  <si>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</si>
  <si>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</si>
  <si>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</si>
  <si>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</si>
  <si>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</si>
  <si>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</si>
  <si>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</si>
  <si>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</si>
  <si>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</si>
  <si>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</si>
  <si>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</si>
  <si>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</si>
  <si>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</si>
  <si>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</si>
  <si>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</si>
  <si>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</si>
  <si>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</si>
  <si>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</si>
  <si>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</si>
  <si>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</si>
  <si>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</si>
  <si>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</si>
  <si>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</si>
  <si>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</si>
  <si>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</si>
  <si>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</si>
  <si>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</si>
  <si>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</si>
  <si>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</si>
  <si>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</si>
  <si>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</si>
  <si>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</si>
  <si>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</si>
  <si>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</si>
  <si>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</si>
  <si>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</si>
  <si>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</si>
  <si>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</si>
  <si>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</si>
  <si>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</si>
  <si>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</si>
  <si>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</si>
  <si>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</si>
  <si>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</si>
  <si>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</si>
  <si>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</si>
  <si>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</si>
  <si>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</si>
  <si>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</si>
  <si>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</si>
  <si>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</si>
  <si>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</si>
  <si>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</si>
  <si>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</si>
  <si>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</si>
  <si>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</si>
  <si>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</si>
  <si>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</si>
  <si>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</si>
  <si>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</si>
  <si>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</si>
  <si>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</si>
  <si>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</si>
  <si>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</si>
  <si>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</si>
  <si>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</si>
  <si>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</si>
  <si>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</si>
  <si>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</si>
  <si>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</si>
  <si>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</si>
  <si>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</si>
  <si>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</si>
  <si>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</si>
  <si>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</si>
  <si>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</si>
  <si>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</si>
  <si>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</si>
  <si>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</si>
  <si>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</si>
  <si>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</si>
  <si>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</si>
  <si>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</si>
  <si>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</si>
  <si>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</si>
  <si>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</si>
  <si>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</si>
  <si>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</si>
  <si>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</si>
  <si>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</si>
  <si>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</si>
  <si>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</si>
  <si>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</si>
  <si>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</si>
  <si>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</si>
  <si>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</si>
  <si>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</si>
  <si>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</si>
  <si>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</si>
  <si>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</si>
  <si>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</si>
  <si>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</si>
  <si>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</si>
  <si>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</si>
  <si>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</si>
  <si>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</si>
  <si>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</si>
  <si>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</si>
  <si>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</si>
  <si>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</si>
  <si>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</si>
  <si>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</si>
  <si>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</si>
  <si>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</si>
  <si>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</si>
  <si>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</si>
  <si>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</si>
  <si>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</si>
  <si>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</si>
  <si>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</si>
  <si>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</si>
  <si>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</si>
  <si>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</si>
  <si>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</si>
  <si>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</si>
  <si>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</si>
  <si>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</si>
  <si>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</si>
  <si>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</si>
  <si>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</si>
  <si>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</si>
  <si>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</si>
  <si>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</si>
  <si>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</si>
  <si>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</si>
  <si>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</si>
  <si>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</si>
  <si>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</si>
  <si>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</si>
  <si>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</si>
  <si>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</si>
  <si>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</si>
  <si>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</si>
  <si>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</si>
  <si>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</si>
  <si>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</si>
  <si>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</si>
  <si>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</si>
  <si>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</si>
  <si>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</si>
  <si>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</si>
  <si>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</si>
  <si>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</si>
  <si>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</si>
  <si>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</si>
  <si>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</si>
  <si>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</si>
  <si>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</si>
  <si>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</si>
  <si>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</si>
  <si>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</si>
  <si>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</si>
  <si>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</si>
  <si>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</si>
  <si>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</si>
  <si>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</si>
  <si>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</si>
  <si>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</si>
  <si>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</si>
  <si>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</si>
  <si>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</si>
  <si>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</si>
  <si>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</si>
  <si>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</si>
  <si>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</si>
  <si>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</si>
  <si>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</si>
  <si>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</si>
  <si>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</si>
  <si>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</si>
  <si>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</si>
  <si>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</si>
  <si>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</si>
  <si>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</si>
  <si>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</si>
  <si>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</si>
  <si>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</si>
  <si>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</si>
  <si>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</si>
  <si>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</si>
  <si>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</si>
  <si>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</si>
  <si>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</si>
  <si>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</si>
  <si>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</si>
  <si>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</si>
  <si>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</si>
  <si>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</si>
  <si>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</si>
  <si>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</si>
  <si>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</si>
  <si>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</si>
  <si>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</si>
  <si>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</si>
  <si>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</si>
  <si>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</si>
  <si>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</si>
  <si>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</si>
  <si>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</si>
  <si>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</si>
  <si>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</si>
  <si>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</si>
  <si>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</si>
  <si>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</si>
  <si>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</si>
  <si>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</si>
  <si>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</si>
  <si>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</si>
  <si>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</si>
  <si>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</si>
  <si>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</si>
  <si>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</si>
  <si>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</si>
  <si>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20 A, SEM SUPORTE E SEM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</si>
  <si>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</si>
  <si>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</si>
  <si>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</si>
  <si>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</si>
  <si>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</si>
  <si>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</si>
  <si>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</si>
  <si>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</si>
  <si>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</si>
  <si>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</si>
  <si>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</si>
  <si>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</si>
  <si>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</si>
  <si>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</si>
  <si>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</si>
  <si>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</si>
  <si>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</si>
  <si>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</si>
  <si>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</si>
  <si>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</si>
  <si>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</si>
  <si>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</si>
  <si>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</si>
  <si>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</si>
  <si>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</si>
  <si>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</si>
  <si>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</si>
  <si>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</si>
  <si>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</si>
  <si>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</si>
  <si>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</si>
  <si>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</si>
  <si>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</si>
  <si>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</si>
  <si>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</si>
  <si>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</si>
  <si>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</si>
  <si>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</si>
  <si>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</si>
  <si>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</si>
  <si>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</si>
  <si>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</si>
  <si>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</si>
  <si>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</si>
  <si>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</si>
  <si>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</si>
  <si>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</si>
  <si>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</si>
  <si>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</si>
  <si>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</si>
  <si>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</si>
  <si>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</si>
  <si>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</si>
  <si>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</si>
  <si>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</si>
  <si>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</si>
  <si>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</si>
  <si>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</si>
  <si>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</si>
  <si>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</si>
  <si>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</si>
  <si>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</si>
  <si>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</si>
  <si>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</si>
  <si>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</si>
  <si>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</si>
  <si>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</si>
  <si>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</si>
  <si>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</si>
  <si>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</si>
  <si>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</si>
  <si>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</si>
  <si>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</si>
  <si>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</si>
  <si>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</si>
  <si>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</si>
  <si>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</si>
  <si>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</si>
  <si>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</si>
  <si>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</si>
  <si>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</si>
  <si>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</si>
  <si>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</si>
  <si>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</si>
  <si>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</si>
  <si>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</si>
  <si>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</si>
  <si>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</si>
  <si>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</si>
  <si>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</si>
  <si>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</si>
  <si>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</si>
  <si>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</si>
  <si>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</si>
  <si>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</si>
  <si>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</si>
  <si>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</si>
  <si>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</si>
  <si>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</si>
  <si>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</si>
  <si>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</si>
  <si>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</si>
  <si>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</si>
  <si>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</si>
  <si>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</si>
  <si>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</si>
  <si>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</si>
  <si>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</si>
  <si>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</si>
  <si>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</si>
  <si>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</si>
  <si>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</si>
  <si>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</si>
  <si>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</si>
  <si>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</si>
  <si>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</si>
  <si>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</si>
  <si>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</si>
  <si>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</si>
  <si>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</si>
  <si>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</si>
  <si>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</si>
  <si>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</si>
  <si>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</si>
  <si>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</si>
  <si>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</si>
  <si>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</si>
  <si>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</si>
  <si>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</si>
  <si>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</si>
  <si>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</si>
  <si>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</si>
  <si>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</si>
  <si>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</si>
  <si>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</si>
  <si>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</si>
  <si>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</si>
  <si>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</si>
  <si>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</si>
  <si>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</si>
  <si>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</si>
  <si>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</si>
  <si>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</si>
  <si>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</si>
  <si>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</si>
  <si>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</si>
  <si>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</si>
  <si>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</si>
  <si>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</si>
  <si>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</si>
  <si>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</si>
  <si>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</si>
  <si>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</si>
  <si>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</si>
  <si>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</si>
  <si>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</si>
  <si>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</si>
  <si>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</si>
  <si>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</si>
  <si>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</si>
  <si>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</si>
  <si>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</si>
  <si>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</si>
  <si>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</si>
  <si>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</si>
  <si>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</si>
  <si>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</si>
  <si>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</si>
  <si>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</si>
  <si>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</si>
  <si>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</si>
  <si>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</si>
  <si>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</si>
  <si>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</si>
  <si>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</si>
  <si>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</si>
  <si>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</si>
  <si>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</si>
  <si>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</si>
  <si>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</si>
  <si>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</si>
  <si>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</si>
  <si>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</si>
  <si>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</si>
  <si>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</si>
  <si>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</si>
  <si>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</si>
  <si>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</si>
  <si>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</si>
  <si>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</si>
  <si>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</si>
  <si>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</si>
  <si>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</si>
  <si>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</si>
  <si>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</si>
  <si>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</si>
  <si>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</si>
  <si>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</si>
  <si>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</si>
  <si>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</si>
  <si>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</si>
  <si>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</si>
  <si>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</si>
  <si>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</si>
  <si>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</si>
  <si>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</si>
  <si>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</si>
  <si>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</si>
  <si>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</si>
  <si>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</si>
  <si>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</si>
  <si>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</si>
  <si>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</si>
  <si>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</si>
  <si>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</si>
  <si>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</si>
  <si>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</si>
  <si>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</si>
  <si>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</si>
  <si>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</si>
  <si>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</si>
  <si>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</si>
  <si>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</si>
  <si>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</si>
  <si>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</si>
  <si>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</si>
  <si>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</si>
  <si>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</si>
  <si>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</si>
  <si>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</si>
  <si>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</si>
  <si>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</si>
  <si>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</si>
  <si>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</si>
  <si>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</si>
  <si>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</si>
  <si>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</si>
  <si>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</si>
  <si>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</si>
  <si>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</si>
  <si>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</si>
  <si>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</si>
  <si>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</si>
  <si>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</si>
  <si>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</si>
  <si>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</si>
  <si>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</si>
  <si>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</si>
  <si>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</si>
  <si>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</si>
  <si>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</si>
  <si>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</si>
  <si>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</si>
  <si>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</si>
  <si>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</si>
  <si>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</si>
  <si>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</si>
  <si>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</si>
  <si>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</si>
  <si>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</si>
  <si>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</si>
  <si>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</si>
  <si>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</si>
  <si>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</si>
  <si>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</si>
  <si>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</si>
  <si>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</si>
  <si>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</si>
  <si>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</si>
  <si>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</si>
  <si>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</si>
  <si>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</si>
  <si>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</si>
  <si>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</si>
  <si>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</si>
  <si>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</si>
  <si>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</si>
  <si>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</si>
  <si>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</si>
  <si>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</si>
  <si>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</si>
  <si>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</si>
  <si>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</si>
  <si>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</si>
  <si>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</si>
  <si>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</si>
  <si>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</si>
  <si>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</si>
  <si>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</si>
  <si>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</si>
  <si>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</si>
  <si>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</si>
  <si>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</si>
  <si>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</si>
  <si>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</si>
  <si>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</si>
  <si>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</si>
  <si>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</si>
  <si>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</si>
  <si>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</si>
  <si>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</si>
  <si>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</si>
  <si>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</si>
  <si>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</si>
  <si>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</si>
  <si>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</si>
  <si>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</si>
  <si>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</si>
  <si>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</si>
  <si>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</si>
  <si>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</si>
  <si>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</si>
  <si>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</si>
  <si>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</si>
  <si>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</si>
  <si>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</si>
  <si>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</si>
  <si>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</si>
  <si>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</si>
  <si>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</si>
  <si>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</si>
  <si>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</si>
  <si>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</si>
  <si>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</si>
  <si>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</si>
  <si>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</si>
  <si>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</si>
  <si>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</si>
  <si>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</si>
  <si>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</si>
  <si>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</si>
  <si>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</si>
  <si>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</si>
  <si>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</si>
  <si>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</si>
  <si>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</si>
  <si>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</si>
  <si>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</si>
  <si>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</si>
  <si>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</si>
  <si>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</si>
  <si>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</si>
  <si>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</si>
  <si>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</si>
  <si>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</si>
  <si>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</si>
  <si>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</si>
  <si>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</si>
  <si>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</si>
  <si>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</si>
  <si>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</si>
  <si>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</si>
  <si>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</si>
  <si>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</si>
  <si>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</si>
  <si>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</si>
  <si>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</si>
  <si>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</si>
  <si>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</si>
  <si>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</si>
  <si>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</si>
  <si>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</si>
  <si>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</si>
  <si>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</si>
  <si>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</si>
  <si>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</si>
  <si>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</si>
  <si>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</si>
  <si>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</si>
  <si>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</si>
  <si>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</si>
  <si>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</si>
  <si>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</si>
  <si>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</si>
  <si>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</si>
  <si>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</si>
  <si>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</si>
  <si>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</si>
  <si>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</si>
  <si>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</si>
  <si>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</si>
  <si>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</si>
  <si>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</si>
  <si>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</si>
  <si>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</si>
  <si>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</si>
  <si>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</si>
  <si>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</si>
  <si>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</si>
  <si>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</si>
  <si>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</si>
  <si>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</si>
  <si>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</si>
  <si>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</si>
  <si>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</si>
  <si>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</si>
  <si>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</si>
  <si>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</si>
  <si>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</si>
  <si>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</si>
  <si>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</si>
  <si>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</si>
  <si>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</si>
  <si>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</si>
  <si>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</si>
  <si>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</si>
  <si>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</si>
  <si>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</si>
  <si>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</si>
  <si>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</si>
  <si>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</si>
  <si>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</si>
  <si>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</si>
  <si>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</si>
  <si>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</si>
  <si>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</si>
  <si>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</si>
  <si>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</si>
  <si>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</si>
  <si>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</si>
  <si>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</si>
  <si>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</si>
  <si>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</si>
  <si>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</si>
  <si>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</si>
  <si>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</si>
  <si>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</si>
  <si>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</si>
  <si>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</si>
  <si>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</si>
  <si>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</si>
  <si>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</si>
  <si>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</si>
  <si>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</si>
  <si>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</si>
  <si>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</si>
  <si>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</si>
  <si>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</si>
  <si>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</si>
  <si>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</si>
  <si>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</si>
  <si>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</si>
  <si>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</si>
  <si>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</si>
  <si>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</si>
  <si>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</si>
  <si>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</si>
  <si>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</si>
  <si>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</si>
  <si>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</si>
  <si>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</si>
  <si>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</si>
  <si>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</si>
  <si>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</si>
  <si>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</si>
  <si>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</si>
  <si>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</si>
  <si>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</si>
  <si>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</si>
  <si>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</si>
  <si>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</si>
  <si>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</si>
  <si>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</si>
  <si>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</si>
  <si>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</si>
  <si>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</si>
  <si>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</si>
  <si>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</si>
  <si>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</si>
  <si>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</si>
  <si>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</si>
  <si>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</si>
  <si>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</si>
  <si>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</si>
  <si>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</si>
  <si>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</si>
  <si>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</si>
  <si>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</si>
  <si>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</si>
  <si>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</si>
  <si>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</si>
  <si>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</si>
  <si>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</si>
  <si>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</si>
  <si>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</si>
  <si>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</si>
  <si>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</si>
  <si>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</si>
  <si>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</si>
  <si>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</si>
  <si>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</si>
  <si>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</si>
  <si>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</si>
  <si>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</si>
  <si>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</si>
  <si>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</si>
  <si>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</si>
  <si>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</si>
  <si>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</si>
  <si>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</si>
  <si>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</si>
  <si>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</si>
  <si>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</si>
  <si>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</si>
  <si>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</si>
  <si>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</si>
  <si>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</si>
  <si>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</si>
  <si>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</si>
  <si>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</si>
  <si>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</si>
  <si>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</si>
  <si>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</si>
  <si>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</si>
  <si>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</si>
  <si>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</si>
  <si>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</si>
  <si>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</si>
  <si>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</si>
  <si>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</si>
  <si>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</si>
  <si>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</si>
  <si>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</si>
  <si>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</si>
  <si>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</si>
  <si>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</si>
  <si>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</si>
  <si>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</si>
  <si>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</si>
  <si>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</si>
  <si>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</si>
  <si>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</si>
  <si>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</si>
  <si>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</si>
  <si>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</si>
  <si>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</si>
  <si>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</si>
  <si>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</si>
  <si>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</si>
  <si>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</si>
  <si>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</si>
  <si>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</si>
  <si>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</si>
  <si>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</si>
  <si>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</si>
  <si>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</si>
  <si>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</si>
  <si>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</si>
  <si>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</si>
  <si>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</si>
  <si>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</si>
  <si>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</si>
  <si>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</si>
  <si>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</si>
  <si>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</si>
  <si>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</si>
  <si>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</si>
  <si>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</si>
  <si>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</si>
  <si>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</si>
  <si>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</si>
  <si>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</si>
  <si>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</si>
  <si>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</si>
  <si>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</si>
  <si>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</si>
  <si>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</si>
  <si>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</si>
  <si>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</si>
  <si>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</si>
  <si>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</si>
  <si>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</si>
  <si>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</si>
  <si>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</si>
  <si>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</si>
  <si>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</si>
  <si>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</si>
  <si>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</si>
  <si>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</si>
  <si>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</si>
  <si>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</si>
  <si>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</si>
  <si>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</si>
  <si>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</si>
  <si>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</si>
  <si>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</si>
  <si>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</si>
  <si>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</si>
  <si>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</si>
  <si>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</si>
  <si>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</si>
  <si>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</si>
  <si>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</si>
  <si>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</si>
  <si>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</si>
  <si>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</si>
  <si>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</si>
  <si>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</si>
  <si>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</si>
  <si>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</si>
  <si>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</si>
  <si>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</si>
  <si>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</si>
  <si>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</si>
  <si>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</si>
  <si>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</si>
  <si>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</si>
  <si>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</si>
  <si>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</si>
  <si>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</si>
  <si>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</si>
  <si>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</si>
  <si>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</si>
  <si>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</si>
  <si>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</si>
  <si>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</si>
  <si>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</si>
  <si>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</si>
  <si>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</si>
  <si>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</si>
  <si>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</si>
  <si>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</si>
  <si>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</si>
  <si>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</si>
  <si>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</si>
  <si>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</si>
  <si>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</si>
  <si>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</si>
  <si>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</si>
  <si>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</si>
  <si>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</si>
  <si>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</si>
  <si>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</si>
  <si>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</si>
  <si>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</si>
  <si>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</si>
  <si>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</si>
  <si>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</si>
  <si>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</si>
  <si>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</si>
  <si>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</si>
  <si>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</si>
  <si>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</si>
  <si>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</si>
  <si>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</si>
  <si>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</si>
  <si>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</si>
  <si>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</si>
  <si>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</si>
  <si>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</si>
  <si>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</si>
  <si>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</si>
  <si>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</si>
  <si>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</si>
  <si>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</si>
  <si>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</si>
  <si>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</si>
  <si>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</si>
  <si>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</si>
  <si>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</si>
  <si>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</si>
  <si>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</si>
  <si>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</si>
  <si>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</si>
  <si>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</si>
  <si>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</si>
  <si>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</si>
  <si>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</si>
  <si>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</si>
  <si>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</si>
  <si>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</si>
  <si>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</si>
  <si>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</si>
  <si>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</si>
  <si>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</si>
  <si>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</si>
  <si>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</si>
  <si>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</si>
  <si>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</si>
  <si>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</si>
  <si>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</si>
  <si>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</si>
  <si>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</si>
  <si>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</si>
  <si>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</si>
  <si>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</si>
  <si>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</si>
  <si>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</si>
  <si>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</si>
  <si>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</si>
  <si>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</si>
  <si>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</si>
  <si>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</si>
  <si>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</si>
  <si>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</si>
  <si>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</si>
  <si>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</si>
  <si>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</si>
  <si>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</si>
  <si>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</si>
  <si>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</si>
  <si>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</si>
  <si>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</si>
  <si>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</si>
  <si>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</si>
  <si>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</si>
  <si>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</si>
  <si>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</si>
  <si>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</si>
  <si>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</si>
  <si>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</si>
  <si>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</si>
  <si>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</si>
  <si>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</si>
  <si>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</si>
  <si>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</si>
  <si>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</si>
  <si>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</si>
  <si>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</si>
  <si>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</si>
  <si>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</si>
  <si>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</si>
  <si>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</si>
  <si>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</si>
  <si>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</si>
  <si>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</si>
  <si>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</si>
  <si>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</si>
  <si>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</si>
  <si>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</si>
  <si>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</si>
  <si>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</si>
  <si>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</si>
  <si>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</si>
  <si>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</si>
  <si>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</si>
  <si>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</si>
  <si>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</si>
  <si>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</si>
  <si>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</si>
  <si>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</si>
  <si>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</si>
  <si>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</si>
  <si>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</si>
  <si>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</si>
  <si>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</si>
  <si>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</si>
  <si>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</si>
  <si>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</si>
  <si>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</si>
  <si>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</si>
  <si>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</si>
  <si>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</si>
  <si>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</si>
  <si>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</si>
  <si>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</si>
  <si>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</si>
  <si>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</si>
  <si>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</si>
  <si>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</si>
  <si>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</si>
  <si>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</si>
  <si>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</si>
  <si>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</si>
  <si>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</si>
  <si>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</si>
  <si>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</si>
  <si>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</si>
  <si>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</si>
  <si>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</si>
  <si>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</si>
  <si>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</si>
  <si>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</si>
  <si>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</si>
  <si>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</si>
  <si>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</si>
  <si>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</si>
  <si>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</si>
  <si>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</si>
  <si>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</si>
  <si>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</si>
  <si>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</si>
  <si>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</si>
  <si>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</si>
  <si>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</si>
  <si>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</si>
  <si>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</si>
  <si>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</si>
  <si>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</si>
  <si>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</si>
  <si>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</si>
  <si>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</si>
  <si>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</si>
  <si>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</si>
  <si>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</si>
  <si>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</si>
  <si>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</si>
  <si>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</si>
  <si>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</si>
  <si>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</si>
  <si>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</si>
  <si>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</si>
  <si>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</si>
  <si>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</si>
  <si>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</si>
  <si>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</si>
  <si>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</si>
  <si>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</si>
  <si>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</si>
  <si>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</si>
  <si>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</si>
  <si>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</si>
  <si>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</si>
  <si>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</si>
  <si>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</si>
  <si>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</si>
  <si>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</si>
  <si>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</si>
  <si>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</si>
  <si>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</si>
  <si>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</si>
  <si>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</si>
  <si>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</si>
  <si>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</si>
  <si>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</si>
  <si>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</si>
  <si>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</si>
  <si>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</si>
  <si>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</si>
  <si>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</si>
  <si>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</si>
  <si>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</si>
  <si>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</si>
  <si>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</si>
  <si>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</si>
  <si>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</si>
  <si>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</si>
  <si>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</si>
  <si>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</si>
  <si>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</si>
  <si>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</si>
  <si>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</si>
  <si>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</si>
  <si>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</si>
  <si>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</si>
  <si>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</si>
  <si>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</si>
  <si>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</si>
  <si>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</si>
  <si>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</si>
  <si>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</si>
  <si>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</si>
  <si>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</si>
  <si>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</si>
  <si>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</si>
  <si>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</si>
  <si>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</si>
  <si>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</si>
  <si>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</si>
  <si>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</si>
  <si>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</si>
  <si>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</si>
  <si>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</si>
  <si>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</si>
  <si>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</si>
  <si>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</si>
  <si>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</si>
  <si>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</si>
  <si>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</si>
  <si>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</si>
  <si>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</si>
  <si>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</si>
  <si>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</si>
  <si>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</si>
  <si>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</si>
  <si>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</si>
  <si>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</si>
  <si>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</si>
  <si>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</si>
  <si>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</si>
  <si>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</si>
  <si>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</si>
  <si>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</si>
  <si>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</si>
  <si>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</si>
  <si>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</si>
  <si>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</si>
  <si>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</si>
  <si>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</si>
  <si>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</si>
  <si>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</si>
  <si>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</si>
  <si>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</si>
  <si>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</si>
  <si>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</si>
  <si>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</si>
  <si>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</si>
  <si>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</si>
  <si>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</si>
  <si>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</si>
  <si>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</si>
  <si>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</si>
  <si>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</si>
  <si>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</si>
  <si>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</si>
  <si>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</si>
  <si>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</si>
  <si>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</si>
  <si>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</si>
  <si>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</si>
  <si>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</si>
  <si>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</si>
  <si>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</si>
  <si>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</si>
  <si>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</si>
  <si>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</si>
  <si>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</si>
  <si>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</si>
  <si>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</si>
  <si>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</si>
  <si>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</si>
  <si>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</si>
  <si>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</si>
  <si>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</si>
  <si>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</si>
  <si>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</si>
  <si>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</si>
  <si>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</si>
  <si>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</si>
  <si>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</si>
  <si>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</si>
  <si>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</si>
  <si>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</si>
  <si>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</si>
  <si>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</si>
  <si>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</si>
  <si>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</si>
  <si>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</si>
  <si>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</si>
  <si>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</si>
  <si>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</si>
  <si>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</si>
  <si>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</si>
  <si>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</si>
  <si>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</si>
  <si>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</si>
  <si>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</si>
  <si>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</si>
  <si>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</si>
  <si>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</si>
  <si>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</si>
  <si>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</si>
  <si>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</si>
  <si>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</si>
  <si>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</si>
  <si>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</si>
  <si>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</si>
  <si>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</si>
  <si>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</si>
  <si>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</si>
  <si>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</si>
  <si>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</si>
  <si>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</si>
  <si>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</si>
  <si>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</si>
  <si>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</si>
  <si>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</si>
  <si>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</si>
  <si>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</si>
  <si>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</si>
  <si>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</si>
  <si>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</si>
  <si>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</si>
  <si>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</si>
  <si>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</si>
  <si>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</si>
  <si>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</si>
  <si>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</si>
  <si>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</si>
  <si>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</si>
  <si>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</si>
  <si>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</si>
  <si>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</si>
  <si>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</si>
  <si>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</si>
  <si>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</si>
  <si>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</si>
  <si>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</si>
  <si>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</si>
  <si>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</si>
  <si>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</si>
  <si>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</si>
  <si>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</si>
  <si>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</si>
  <si>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</si>
  <si>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</si>
  <si>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</si>
  <si>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</si>
  <si>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</si>
  <si>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</si>
  <si>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</si>
  <si>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</si>
  <si>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</si>
  <si>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</si>
  <si>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</si>
  <si>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</si>
  <si>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</si>
  <si>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</si>
  <si>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</si>
  <si>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</si>
  <si>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</si>
  <si>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</si>
  <si>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</si>
  <si>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</si>
  <si>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</si>
  <si>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</si>
  <si>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</si>
  <si>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</si>
  <si>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</si>
  <si>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</si>
  <si>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</si>
  <si>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</si>
  <si>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</si>
  <si>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</si>
  <si>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</si>
  <si>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</si>
  <si>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</si>
  <si>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</si>
  <si>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</si>
  <si>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</si>
  <si>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</si>
  <si>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</si>
  <si>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</si>
  <si>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</si>
  <si>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</si>
  <si>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</si>
  <si>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</si>
  <si>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</si>
  <si>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</si>
  <si>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</si>
  <si>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</si>
  <si>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</si>
  <si>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</si>
  <si>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</si>
  <si>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</si>
  <si>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</si>
  <si>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</si>
  <si>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</si>
  <si>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</si>
  <si>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</si>
  <si>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</si>
  <si>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</si>
  <si>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</si>
  <si>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</si>
  <si>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</si>
  <si>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</si>
  <si>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</si>
  <si>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</si>
  <si>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</si>
  <si>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</si>
  <si>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</si>
  <si>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</si>
  <si>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</si>
  <si>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</si>
  <si>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</si>
  <si>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</si>
  <si>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</si>
  <si>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</si>
  <si>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</si>
  <si>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</si>
  <si>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</si>
  <si>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</si>
  <si>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</si>
  <si>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</si>
  <si>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</si>
  <si>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</si>
  <si>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</si>
  <si>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</si>
  <si>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</si>
  <si>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</si>
  <si>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</si>
  <si>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</si>
  <si>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</si>
  <si>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</si>
  <si>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</si>
  <si>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</si>
  <si>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</si>
  <si>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</si>
  <si>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</si>
  <si>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</si>
  <si>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</si>
  <si>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</si>
  <si>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</si>
  <si>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</si>
  <si>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</si>
  <si>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</si>
  <si>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</si>
  <si>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</si>
  <si>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</si>
  <si>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</si>
  <si>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</si>
  <si>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</si>
  <si>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</si>
  <si>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</si>
  <si>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</si>
  <si>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</si>
  <si>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</si>
  <si>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</si>
  <si>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</si>
  <si>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</si>
  <si>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</si>
  <si>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</si>
  <si>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</si>
  <si>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</si>
  <si>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</si>
  <si>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</si>
  <si>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</si>
  <si>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</si>
  <si>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</si>
  <si>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</si>
  <si>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</si>
  <si>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</si>
  <si>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</si>
  <si>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</si>
  <si>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</si>
  <si>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</si>
  <si>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</si>
  <si>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</si>
  <si>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</si>
  <si>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</si>
  <si>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</si>
  <si>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</si>
  <si>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</si>
  <si>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</si>
  <si>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</si>
  <si>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</si>
  <si>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</si>
  <si>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</si>
  <si>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</si>
  <si>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</si>
  <si>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</si>
  <si>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</si>
  <si>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</si>
  <si>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</si>
  <si>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</si>
  <si>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</si>
  <si>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</si>
  <si>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</si>
  <si>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</si>
  <si>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</si>
  <si>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</si>
  <si>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</si>
  <si>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</si>
  <si>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</si>
  <si>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</si>
  <si>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</si>
  <si>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</si>
  <si>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</si>
  <si>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</si>
  <si>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</si>
  <si>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</si>
  <si>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</si>
  <si>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</si>
  <si>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</si>
  <si>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</si>
  <si>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</si>
  <si>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</si>
  <si>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</si>
  <si>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</si>
  <si>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</si>
  <si>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</si>
  <si>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</si>
  <si>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</si>
  <si>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</si>
  <si>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</si>
  <si>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</si>
  <si>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</si>
  <si>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</si>
  <si>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</si>
  <si>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</si>
  <si>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</si>
  <si>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</si>
  <si>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</si>
  <si>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</si>
  <si>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</si>
  <si>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</si>
  <si>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</si>
  <si>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</si>
  <si>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</si>
  <si>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</si>
  <si>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</si>
  <si>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</si>
  <si>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</si>
  <si>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</si>
  <si>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</si>
  <si>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</si>
  <si>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</si>
  <si>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</si>
  <si>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</si>
  <si>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</si>
  <si>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</si>
  <si>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</si>
  <si>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</si>
  <si>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</si>
  <si>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</si>
  <si>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</si>
  <si>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</si>
  <si>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</si>
  <si>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</si>
  <si>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</si>
  <si>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</si>
  <si>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</si>
  <si>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</si>
  <si>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</si>
  <si>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</si>
  <si>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</si>
  <si>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</si>
  <si>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</si>
  <si>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</si>
  <si>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</si>
  <si>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</si>
  <si>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</si>
  <si>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</si>
  <si>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</si>
  <si>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</si>
  <si>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</si>
  <si>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</si>
  <si>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</si>
  <si>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</si>
  <si>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</si>
  <si>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</si>
  <si>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</si>
  <si>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</si>
  <si>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</si>
  <si>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</si>
  <si>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</si>
  <si>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</si>
  <si>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</si>
  <si>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</si>
  <si>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</si>
  <si>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</si>
  <si>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</si>
  <si>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</si>
  <si>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</si>
  <si>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</si>
  <si>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</si>
  <si>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</si>
  <si>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</si>
  <si>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</si>
  <si>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</si>
  <si>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</si>
  <si>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</si>
  <si>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</si>
  <si>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</si>
  <si>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</si>
  <si>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</si>
  <si>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</si>
  <si>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</si>
  <si>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</si>
  <si>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</si>
  <si>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</si>
  <si>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</si>
  <si>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</si>
  <si>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</si>
  <si>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</si>
  <si>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</si>
  <si>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</si>
  <si>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</si>
  <si>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</si>
  <si>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</si>
  <si>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</si>
  <si>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</si>
  <si>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</si>
  <si>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</si>
  <si>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</si>
  <si>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</si>
  <si>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</si>
  <si>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</si>
  <si>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</si>
  <si>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</si>
  <si>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</si>
  <si>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</si>
  <si>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</si>
  <si>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</si>
  <si>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</si>
  <si>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</si>
  <si>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</si>
  <si>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</si>
  <si>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</si>
  <si>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</si>
  <si>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</si>
  <si>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</si>
  <si>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</si>
  <si>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</si>
  <si>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</si>
  <si>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</si>
  <si>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</si>
  <si>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</si>
  <si>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</si>
  <si>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</si>
  <si>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</si>
  <si>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</si>
  <si>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</si>
  <si>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</si>
  <si>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</si>
  <si>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</si>
  <si>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</si>
  <si>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</si>
  <si>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</si>
  <si>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</si>
  <si>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</si>
  <si>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</si>
  <si>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</si>
  <si>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</si>
  <si>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</si>
  <si>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</si>
  <si>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</si>
  <si>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</si>
  <si>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</si>
  <si>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</si>
  <si>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</si>
  <si>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</si>
  <si>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</si>
  <si>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</si>
  <si>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</si>
  <si>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</si>
  <si>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</si>
  <si>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</si>
  <si>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</si>
  <si>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</si>
  <si>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</si>
  <si>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</si>
  <si>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</si>
  <si>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</si>
  <si>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</si>
  <si>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</si>
  <si>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</si>
  <si>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</si>
  <si>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</si>
  <si>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</si>
  <si>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</si>
  <si>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</si>
  <si>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</si>
  <si>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</si>
  <si>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</si>
  <si>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</si>
  <si>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</si>
  <si>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</si>
  <si>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</si>
  <si>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</si>
  <si>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</si>
  <si>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</si>
  <si>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</si>
  <si>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</si>
  <si>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</si>
  <si>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</si>
  <si>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</si>
  <si>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</si>
  <si>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</si>
  <si>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</si>
  <si>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</si>
  <si>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</si>
  <si>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</si>
  <si>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</si>
  <si>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</si>
  <si>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</si>
  <si>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</si>
  <si>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</si>
  <si>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</si>
  <si>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</si>
  <si>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</si>
  <si>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</si>
  <si>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</si>
  <si>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</si>
  <si>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</si>
  <si>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</si>
  <si>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</si>
  <si>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</si>
  <si>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</si>
  <si>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</si>
  <si>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</si>
  <si>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</si>
  <si>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</si>
  <si>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</si>
  <si>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</si>
  <si>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</si>
  <si>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</si>
  <si>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</si>
  <si>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</si>
  <si>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</si>
  <si>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</si>
  <si>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</si>
  <si>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</si>
  <si>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</si>
  <si>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</si>
  <si>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</si>
  <si>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</si>
  <si>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</si>
  <si>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</si>
  <si>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</si>
  <si>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</si>
  <si>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</si>
  <si>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</si>
  <si>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</si>
  <si>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</si>
  <si>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</si>
  <si>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</si>
  <si>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</si>
  <si>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</si>
  <si>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</si>
  <si>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</si>
  <si>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</si>
  <si>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</si>
  <si>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</si>
  <si>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</si>
  <si>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</si>
  <si>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</si>
  <si>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</si>
  <si>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</si>
  <si>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</si>
  <si>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</si>
  <si>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</si>
  <si>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</si>
  <si>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</si>
  <si>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</si>
  <si>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</si>
  <si>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</si>
  <si>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</si>
  <si>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</si>
  <si>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</si>
  <si>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</si>
  <si>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</si>
  <si>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</si>
  <si>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</si>
  <si>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</si>
  <si>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</si>
  <si>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</si>
  <si>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</si>
  <si>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</si>
  <si>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</si>
  <si>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</si>
  <si>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</si>
  <si>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</si>
  <si>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</si>
  <si>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</si>
  <si>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</si>
  <si>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</si>
  <si>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</si>
  <si>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</si>
  <si>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</si>
  <si>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</si>
  <si>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</si>
  <si>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</si>
  <si>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</si>
  <si>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</si>
  <si>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</si>
  <si>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</si>
  <si>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</si>
  <si>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</si>
  <si>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</si>
  <si>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</si>
  <si>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</si>
  <si>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</si>
  <si>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</si>
  <si>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</si>
  <si>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</si>
  <si>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</si>
  <si>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</si>
  <si>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</si>
  <si>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</si>
  <si>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</si>
  <si>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</si>
  <si>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</si>
  <si>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</si>
  <si>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</si>
  <si>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</si>
  <si>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</si>
  <si>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</si>
  <si>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</si>
  <si>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</si>
  <si>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</si>
  <si>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</si>
  <si>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</si>
  <si>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</si>
  <si>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</si>
  <si>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</si>
  <si>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</si>
  <si>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</si>
  <si>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</si>
  <si>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</si>
  <si>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</si>
  <si>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</si>
  <si>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</si>
  <si>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</si>
  <si>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</si>
  <si>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</si>
  <si>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</si>
  <si>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</si>
  <si>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</si>
  <si>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</si>
  <si>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</si>
  <si>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</si>
  <si>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</si>
  <si>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</si>
  <si>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</si>
  <si>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</si>
  <si>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</si>
  <si>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</si>
  <si>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</si>
  <si>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</si>
  <si>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</si>
  <si>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</si>
  <si>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</si>
  <si>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</si>
  <si>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</si>
  <si>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</si>
  <si>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</si>
  <si>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</si>
  <si>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</si>
  <si>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</si>
  <si>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</si>
  <si>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</si>
  <si>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</si>
  <si>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</si>
  <si>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</si>
  <si>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</si>
  <si>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</si>
  <si>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</si>
  <si>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</si>
  <si>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</si>
  <si>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</si>
  <si>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</si>
  <si>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</si>
  <si>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</si>
  <si>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</si>
  <si>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</si>
  <si>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</si>
  <si>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</si>
  <si>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</si>
  <si>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</si>
  <si>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</si>
  <si>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</si>
  <si>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</si>
  <si>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</si>
  <si>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</si>
  <si>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</si>
  <si>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</si>
  <si>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</si>
  <si>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</si>
  <si>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</si>
  <si>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</si>
  <si>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</si>
  <si>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</si>
  <si>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</si>
  <si>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</si>
  <si>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</si>
  <si>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</si>
  <si>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</si>
  <si>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</si>
  <si>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</si>
  <si>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</si>
  <si>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</si>
  <si>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</si>
  <si>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</si>
  <si>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</si>
  <si>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</si>
  <si>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</si>
  <si>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</si>
  <si>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</si>
  <si>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</si>
  <si>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</si>
  <si>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</si>
  <si>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</si>
  <si>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</si>
  <si>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</si>
  <si>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</si>
  <si>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</si>
  <si>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</si>
  <si>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</si>
  <si>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</si>
  <si>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</si>
  <si>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</si>
  <si>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</si>
  <si>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</si>
  <si>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</si>
  <si>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</si>
  <si>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</si>
  <si>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</si>
  <si>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</si>
  <si>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</si>
  <si>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</si>
  <si>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</si>
  <si>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</si>
  <si>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</si>
  <si>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</si>
  <si>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</si>
  <si>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</si>
  <si>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</si>
  <si>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</si>
  <si>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</si>
  <si>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</si>
  <si>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</si>
  <si>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</si>
  <si>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</si>
  <si>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</si>
  <si>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</si>
  <si>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</si>
  <si>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</si>
  <si>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</si>
  <si>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</si>
  <si>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</si>
  <si>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</si>
  <si>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</si>
  <si>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</si>
  <si>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</si>
  <si>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</si>
  <si>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</si>
  <si>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</si>
  <si>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</si>
  <si>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</si>
  <si>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</si>
  <si>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</si>
  <si>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</si>
  <si>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</si>
  <si>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</si>
  <si>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</si>
  <si>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</si>
  <si>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</si>
  <si>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</si>
  <si>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</si>
  <si>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</si>
  <si>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</si>
  <si>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</si>
  <si>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</si>
  <si>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</si>
  <si>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</si>
  <si>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</si>
  <si>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</si>
  <si>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</si>
  <si>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</si>
  <si>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</si>
  <si>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</si>
  <si>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</si>
  <si>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</si>
  <si>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</si>
  <si>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</si>
  <si>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</si>
  <si>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</si>
  <si>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</si>
  <si>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</si>
  <si>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</si>
  <si>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</si>
  <si>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</si>
  <si>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</si>
  <si>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</si>
  <si>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</si>
  <si>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</si>
  <si>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</si>
  <si>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</si>
  <si>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</si>
  <si>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</si>
  <si>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</si>
  <si>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</si>
  <si>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</si>
  <si>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</si>
  <si>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</si>
  <si>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</si>
  <si>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</si>
  <si>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</si>
  <si>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</si>
  <si>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</si>
  <si>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</si>
  <si>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</si>
  <si>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</si>
  <si>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</si>
  <si>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</si>
  <si>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</si>
  <si>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</si>
  <si>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</si>
  <si>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</si>
  <si>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</si>
  <si>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</si>
  <si>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</si>
  <si>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</si>
  <si>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</si>
  <si>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</si>
  <si>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</si>
  <si>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</si>
  <si>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</si>
  <si>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</si>
  <si>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</si>
  <si>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</si>
  <si>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</si>
  <si>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</si>
  <si>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</si>
  <si>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</si>
  <si>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</si>
  <si>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</si>
  <si>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</si>
  <si>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</si>
  <si>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</si>
  <si>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</si>
  <si>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</si>
  <si>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</si>
  <si>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</si>
  <si>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</si>
  <si>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</si>
  <si>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</si>
  <si>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</si>
  <si>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</si>
  <si>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</si>
  <si>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</si>
  <si>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</si>
  <si>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</si>
  <si>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</si>
  <si>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</si>
  <si>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</si>
  <si>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</si>
  <si>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</si>
  <si>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</si>
  <si>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</si>
  <si>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</si>
  <si>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</si>
  <si>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</si>
  <si>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</si>
  <si>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</si>
  <si>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</si>
  <si>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</si>
  <si>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</si>
  <si>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</si>
  <si>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</si>
  <si>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</si>
  <si>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</si>
  <si>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</si>
  <si>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</si>
  <si>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</si>
  <si>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</si>
  <si>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</si>
  <si>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</si>
  <si>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</si>
  <si>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</si>
  <si>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</si>
  <si>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</si>
  <si>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</si>
  <si>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</si>
  <si>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</si>
  <si>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</si>
  <si>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</si>
  <si>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</si>
  <si>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</si>
  <si>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</si>
  <si>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</si>
  <si>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</si>
  <si>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</si>
  <si>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</si>
  <si>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</si>
  <si>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</si>
  <si>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</si>
  <si>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</si>
  <si>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</si>
  <si>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</si>
  <si>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</si>
  <si>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</si>
  <si>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</si>
  <si>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</si>
  <si>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</si>
  <si>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</si>
  <si>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</si>
  <si>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</si>
  <si>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</si>
  <si>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</si>
  <si>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</si>
  <si>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</si>
  <si>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</si>
  <si>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</si>
  <si>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</si>
  <si>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</si>
  <si>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</si>
  <si>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</si>
  <si>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</si>
  <si>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</si>
  <si>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</si>
  <si>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</si>
  <si>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</si>
  <si>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</si>
  <si>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</si>
  <si>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</si>
  <si>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</si>
  <si>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</si>
  <si>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</si>
  <si>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</si>
  <si>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</si>
  <si>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</si>
  <si>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</si>
  <si>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</si>
  <si>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</si>
  <si>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</si>
  <si>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</si>
  <si>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</si>
  <si>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</si>
  <si>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</si>
  <si>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</si>
  <si>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</si>
  <si>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</si>
  <si>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</si>
  <si>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</si>
  <si>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</si>
  <si>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</si>
  <si>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</si>
  <si>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</si>
  <si>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</si>
  <si>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</si>
  <si>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</si>
  <si>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</si>
  <si>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</si>
  <si>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</si>
  <si>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</si>
  <si>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</si>
  <si>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</si>
  <si>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</si>
  <si>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</si>
  <si>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</si>
  <si>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</si>
  <si>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</si>
  <si>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</si>
  <si>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</si>
  <si>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</si>
  <si>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</si>
  <si>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</si>
  <si>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</si>
  <si>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</si>
  <si>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</si>
  <si>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</si>
  <si>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</si>
  <si>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</si>
  <si>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</si>
  <si>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</si>
  <si>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</si>
  <si>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</si>
  <si>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</si>
  <si>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</si>
  <si>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</si>
  <si>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</si>
  <si>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</si>
  <si>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</si>
  <si>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</si>
  <si>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</si>
  <si>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</si>
  <si>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</si>
  <si>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</si>
  <si>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</si>
  <si>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</si>
  <si>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</si>
  <si>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</si>
  <si>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</si>
  <si>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</si>
  <si>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</si>
  <si>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</si>
  <si>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</si>
  <si>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</si>
  <si>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</si>
  <si>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</si>
  <si>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</si>
  <si>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</si>
  <si>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</si>
  <si>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</si>
  <si>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</si>
  <si>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</si>
  <si>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</si>
  <si>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</si>
  <si>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</si>
  <si>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</si>
  <si>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</si>
  <si>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</si>
  <si>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</si>
  <si>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</si>
  <si>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</si>
  <si>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</si>
  <si>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</si>
  <si>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</si>
  <si>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</si>
  <si>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</si>
  <si>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</si>
  <si>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</si>
  <si>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</si>
  <si>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</si>
  <si>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</si>
  <si>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</si>
  <si>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</si>
  <si>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</si>
  <si>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</si>
  <si>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</si>
  <si>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</si>
  <si>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</si>
  <si>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</si>
  <si>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</si>
  <si>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</si>
  <si>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</si>
  <si>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</si>
  <si>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</si>
  <si>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</si>
  <si>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</si>
  <si>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</si>
  <si>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</si>
  <si>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</si>
  <si>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</si>
  <si>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</si>
  <si>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</si>
  <si>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</si>
  <si>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</si>
  <si>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</si>
  <si>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</si>
  <si>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</si>
  <si>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</si>
  <si>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</si>
  <si>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</si>
  <si>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</si>
  <si>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</si>
  <si>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</si>
  <si>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</si>
  <si>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</si>
  <si>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</si>
  <si>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</si>
  <si>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</si>
  <si>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</si>
  <si>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</si>
  <si>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</si>
  <si>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</si>
  <si>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</si>
  <si>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</si>
  <si>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</si>
  <si>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</si>
  <si>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</si>
  <si>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</si>
  <si>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</si>
  <si>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</si>
  <si>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</si>
  <si>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</si>
  <si>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</si>
  <si>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</si>
  <si>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</si>
  <si>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</si>
  <si>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</si>
  <si>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</si>
  <si>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</si>
  <si>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</si>
  <si>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</si>
  <si>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</si>
  <si>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</si>
  <si>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</si>
  <si>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</si>
  <si>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</si>
  <si>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</si>
  <si>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</si>
  <si>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</si>
  <si>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</si>
  <si>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</si>
  <si>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</si>
  <si>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</si>
  <si>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</si>
  <si>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</si>
  <si>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</si>
  <si>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</si>
  <si>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</si>
  <si>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</si>
  <si>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</si>
  <si>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</si>
  <si>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</si>
  <si>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</si>
  <si>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</si>
  <si>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</si>
  <si>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</si>
  <si>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</si>
  <si>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</si>
  <si>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</si>
  <si>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</si>
  <si>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</si>
  <si>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</si>
  <si>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</si>
  <si>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</si>
  <si>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</si>
  <si>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</si>
  <si>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</si>
  <si>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</si>
  <si>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</si>
  <si>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</si>
  <si>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</si>
  <si>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</si>
  <si>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</si>
  <si>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</si>
  <si>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</si>
  <si>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</si>
  <si>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</si>
  <si>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</si>
  <si>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</si>
  <si>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</si>
  <si>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</si>
  <si>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</si>
  <si>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</si>
  <si>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</si>
  <si>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</si>
  <si>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</si>
  <si>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</si>
  <si>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</si>
  <si>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</si>
  <si>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</si>
  <si>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</si>
  <si>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</si>
  <si>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</si>
  <si>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</si>
  <si>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</si>
  <si>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</si>
  <si>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</si>
  <si>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</si>
  <si>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</si>
  <si>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</si>
  <si>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</si>
  <si>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</si>
  <si>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</si>
  <si>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</si>
  <si>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</si>
  <si>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</si>
  <si>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</si>
  <si>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</si>
  <si>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</si>
  <si>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</si>
  <si>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</si>
  <si>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</si>
  <si>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</si>
  <si>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</si>
  <si>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</si>
  <si>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</si>
  <si>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</si>
  <si>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</si>
  <si>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</si>
  <si>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</si>
  <si>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</si>
  <si>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</si>
  <si>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</si>
  <si>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</si>
  <si>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</si>
  <si>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</si>
  <si>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</si>
  <si>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</si>
  <si>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</si>
  <si>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</si>
  <si>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</si>
  <si>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</si>
  <si>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</si>
  <si>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</si>
  <si>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</si>
  <si>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</si>
  <si>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</si>
  <si>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</si>
  <si>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</si>
  <si>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</si>
  <si>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</si>
  <si>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</si>
  <si>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</si>
  <si>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</si>
  <si>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</si>
  <si>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</si>
  <si>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</si>
  <si>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</si>
  <si>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</si>
  <si>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</si>
  <si>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</si>
  <si>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</si>
  <si>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</si>
  <si>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</si>
  <si>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</si>
  <si>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</si>
  <si>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</si>
  <si>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</si>
  <si>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</si>
  <si>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</si>
  <si>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</si>
  <si>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</si>
  <si>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</si>
  <si>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</si>
  <si>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</si>
  <si>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</si>
  <si>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</si>
  <si>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</si>
  <si>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</si>
  <si>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</si>
  <si>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</si>
  <si>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</si>
  <si>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</si>
  <si>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</si>
  <si>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</si>
  <si>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</si>
  <si>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</si>
  <si>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</si>
  <si>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</si>
  <si>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</si>
  <si>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</si>
  <si>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</si>
  <si>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</si>
  <si>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</si>
  <si>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</si>
  <si>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</si>
  <si>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</si>
  <si>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</si>
  <si>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</si>
  <si>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</si>
  <si>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</si>
  <si>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</si>
  <si>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</si>
  <si>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</si>
  <si>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</si>
  <si>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</si>
  <si>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</si>
  <si>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</si>
  <si>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</si>
  <si>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</si>
  <si>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</si>
  <si>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</si>
  <si>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</si>
  <si>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</si>
  <si>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</si>
  <si>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</si>
  <si>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</si>
  <si>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</si>
  <si>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</si>
  <si>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</si>
  <si>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</si>
  <si>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</si>
  <si>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</si>
  <si>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</si>
  <si>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</si>
  <si>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</si>
  <si>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</si>
  <si>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</si>
  <si>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</si>
  <si>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</si>
  <si>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</si>
  <si>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</si>
  <si>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</si>
  <si>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</si>
  <si>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</si>
  <si>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</si>
  <si>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</si>
  <si>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</si>
  <si>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</si>
  <si>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</si>
  <si>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</si>
  <si>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</si>
  <si>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</si>
  <si>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</si>
  <si>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</si>
  <si>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</si>
  <si>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</si>
  <si>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</si>
  <si>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</si>
  <si>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</si>
  <si>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</si>
  <si>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</si>
  <si>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</si>
  <si>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</si>
  <si>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</si>
  <si>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</si>
  <si>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</si>
  <si>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</si>
  <si>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</si>
  <si>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</si>
  <si>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</si>
  <si>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</si>
  <si>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</si>
  <si>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</si>
  <si>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</si>
  <si>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</si>
  <si>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</si>
  <si>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</si>
  <si>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</si>
  <si>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</si>
  <si>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</si>
  <si>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</si>
  <si>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</si>
  <si>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</si>
  <si>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</si>
  <si>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</si>
  <si>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</si>
  <si>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</si>
  <si>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</si>
  <si>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</si>
  <si>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</si>
  <si>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</si>
  <si>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</si>
  <si>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</si>
  <si>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</si>
  <si>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</si>
  <si>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</si>
  <si>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</si>
  <si>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</si>
  <si>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</si>
  <si>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</si>
  <si>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</si>
  <si>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</si>
  <si>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</si>
  <si>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</si>
  <si>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</si>
  <si>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</si>
  <si>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</si>
  <si>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</si>
  <si>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</si>
  <si>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</si>
  <si>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</si>
  <si>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</si>
  <si>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</si>
  <si>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</si>
  <si>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</si>
  <si>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</si>
  <si>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</si>
  <si>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</si>
  <si>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</si>
  <si>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</si>
  <si>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</si>
  <si>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</si>
  <si>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</si>
  <si>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</si>
  <si>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</si>
  <si>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</si>
  <si>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</si>
  <si>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</si>
  <si>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</si>
  <si>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</si>
  <si>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</si>
  <si>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</si>
  <si>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</si>
  <si>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</si>
  <si>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</si>
  <si>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</si>
  <si>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</si>
  <si>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</si>
  <si>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</si>
  <si>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</si>
  <si>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</si>
  <si>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</si>
  <si>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</si>
  <si>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</si>
  <si>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</si>
  <si>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</si>
  <si>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</si>
  <si>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</si>
  <si>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</si>
  <si>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</si>
  <si>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</si>
  <si>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</si>
  <si>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</si>
  <si>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</si>
  <si>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</si>
  <si>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</si>
  <si>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</si>
  <si>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</si>
  <si>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</si>
  <si>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</si>
  <si>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</si>
  <si>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</si>
  <si>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</si>
  <si>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</si>
  <si>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</si>
  <si>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</si>
  <si>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</si>
  <si>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</si>
  <si>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</si>
  <si>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</si>
  <si>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</si>
  <si>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</si>
  <si>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</si>
  <si>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</si>
  <si>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</si>
  <si>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</si>
  <si>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</si>
  <si>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</si>
  <si>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</si>
  <si>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</si>
  <si>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</si>
  <si>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</si>
  <si>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</si>
  <si>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</si>
  <si>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</si>
  <si>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</si>
  <si>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</si>
  <si>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</si>
  <si>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</si>
  <si>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</si>
  <si>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</si>
  <si>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</si>
  <si>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</si>
  <si>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</si>
  <si>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</si>
  <si>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</si>
  <si>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</si>
  <si>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</si>
  <si>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</si>
  <si>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</si>
  <si>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</si>
  <si>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</si>
  <si>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</si>
  <si>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</si>
  <si>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</si>
  <si>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</si>
  <si>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</si>
  <si>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</si>
  <si>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</si>
  <si>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</si>
  <si>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</si>
  <si>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</si>
  <si>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</si>
  <si>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</si>
  <si>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</si>
  <si>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</si>
  <si>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</si>
  <si>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</si>
  <si>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</si>
  <si>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</si>
  <si>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</si>
  <si>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</si>
  <si>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</si>
  <si>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</si>
  <si>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</si>
  <si>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</si>
  <si>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</si>
  <si>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</si>
  <si>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</si>
  <si>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</si>
  <si>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</si>
  <si>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</si>
  <si>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</si>
  <si>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</si>
  <si>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</si>
  <si>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</si>
  <si>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</si>
  <si>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</si>
  <si>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</si>
  <si>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</si>
  <si>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</si>
  <si>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</si>
  <si>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</si>
  <si>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</si>
  <si>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</si>
  <si>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</si>
  <si>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</si>
  <si>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</si>
  <si>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</si>
  <si>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</si>
  <si>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</si>
  <si>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</si>
  <si>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</si>
  <si>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</si>
  <si>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</si>
  <si>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</si>
  <si>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</si>
  <si>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</si>
  <si>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</si>
  <si>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</si>
  <si>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</si>
  <si>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</si>
  <si>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</si>
  <si>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</si>
  <si>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</si>
  <si>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</si>
  <si>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</si>
  <si>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</si>
  <si>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</si>
  <si>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</si>
  <si>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</si>
  <si>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</si>
  <si>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</si>
  <si>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</si>
  <si>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</si>
  <si>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</si>
  <si>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</si>
  <si>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</si>
  <si>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</si>
  <si>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</si>
  <si>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</si>
  <si>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</si>
  <si>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</si>
  <si>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</si>
  <si>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</si>
  <si>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</si>
  <si>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</si>
  <si>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</si>
  <si>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</si>
  <si>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</si>
  <si>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</si>
  <si>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</si>
  <si>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</si>
  <si>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</si>
  <si>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</si>
  <si>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</si>
  <si>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</si>
  <si>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</si>
  <si>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</si>
  <si>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</si>
  <si>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</si>
  <si>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</si>
  <si>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</si>
  <si>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</si>
  <si>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</si>
  <si>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</si>
  <si>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</si>
  <si>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</si>
  <si>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</si>
  <si>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</si>
  <si>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</si>
  <si>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</si>
  <si>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</si>
  <si>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</si>
  <si>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</si>
  <si>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</si>
  <si>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</si>
  <si>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</si>
  <si>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</si>
  <si>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</si>
  <si>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</si>
  <si>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</si>
  <si>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</si>
  <si>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</si>
  <si>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</si>
  <si>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</si>
  <si>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</si>
  <si>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</si>
  <si>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</si>
  <si>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</si>
  <si>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</si>
  <si>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</si>
  <si>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</si>
  <si>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</si>
  <si>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</si>
  <si>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</si>
  <si>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</si>
  <si>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</si>
  <si>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</si>
  <si>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</si>
  <si>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</si>
  <si>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</si>
  <si>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</si>
  <si>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</si>
  <si>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</si>
  <si>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</si>
  <si>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</si>
  <si>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</si>
  <si>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</si>
  <si>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</si>
  <si>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</si>
  <si>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</si>
  <si>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</si>
  <si>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</si>
  <si>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</si>
  <si>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</si>
  <si>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</si>
  <si>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</si>
  <si>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</si>
  <si>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</si>
  <si>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</si>
  <si>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</si>
  <si>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</si>
  <si>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</si>
  <si>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</si>
  <si>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</si>
  <si>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</si>
  <si>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</si>
  <si>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</si>
  <si>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</si>
  <si>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</si>
  <si>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</si>
  <si>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</si>
  <si>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</si>
  <si>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</si>
  <si>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</si>
  <si>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</si>
  <si>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</si>
  <si>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</si>
  <si>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</si>
  <si>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</si>
  <si>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</si>
  <si>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</si>
  <si>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</si>
  <si>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</si>
  <si>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</si>
  <si>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</si>
  <si>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</si>
  <si>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</si>
  <si>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</si>
  <si>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</si>
  <si>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</si>
  <si>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</si>
  <si>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</si>
  <si>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</si>
  <si>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</si>
  <si>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</si>
  <si>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</si>
  <si>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</si>
  <si>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</si>
  <si>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</si>
  <si>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</si>
  <si>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</si>
  <si>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</si>
  <si>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</si>
  <si>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</si>
  <si>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</si>
  <si>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</si>
  <si>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</si>
  <si>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</si>
  <si>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</si>
  <si>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</si>
  <si>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</si>
  <si>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</si>
  <si>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</si>
  <si>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</si>
  <si>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</si>
  <si>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</si>
  <si>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</si>
  <si>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</si>
  <si>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</si>
  <si>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</si>
  <si>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</si>
  <si>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</si>
  <si>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</si>
  <si>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</si>
  <si>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</si>
  <si>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</si>
  <si>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</si>
  <si>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</si>
  <si>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</si>
  <si>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</si>
  <si>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</si>
  <si>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</si>
  <si>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</si>
  <si>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</si>
  <si>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</si>
  <si>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</si>
  <si>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</si>
  <si>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</si>
  <si>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</si>
  <si>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</si>
  <si>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</si>
  <si>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</si>
  <si>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</si>
  <si>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</si>
  <si>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</si>
  <si>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</si>
  <si>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</si>
  <si>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</si>
  <si>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</si>
  <si>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</si>
  <si>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</si>
  <si>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</si>
  <si>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</si>
  <si>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</si>
  <si>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</si>
  <si>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</si>
  <si>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</si>
  <si>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</si>
  <si>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</si>
  <si>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</si>
  <si>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</si>
  <si>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</si>
  <si>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</si>
  <si>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</si>
  <si>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</si>
  <si>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</si>
  <si>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</si>
  <si>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</si>
  <si>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</si>
  <si>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</si>
  <si>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</si>
  <si>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</si>
  <si>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</si>
  <si>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</si>
  <si>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</si>
  <si>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</si>
  <si>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</si>
  <si>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</si>
  <si>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</si>
  <si>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</si>
  <si>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</si>
  <si>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</si>
  <si>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</si>
  <si>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</si>
  <si>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</si>
  <si>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</si>
  <si>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</si>
  <si>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</si>
  <si>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</si>
  <si>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</si>
  <si>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</si>
  <si>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</si>
  <si>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</si>
  <si>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</si>
  <si>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</si>
  <si>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</si>
  <si>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</si>
  <si>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</si>
  <si>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</si>
  <si>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</si>
  <si>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</si>
  <si>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</si>
  <si>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</si>
  <si>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</si>
  <si>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</si>
  <si>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</si>
  <si>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</si>
  <si>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</si>
  <si>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</si>
  <si>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</si>
  <si>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</si>
  <si>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</si>
  <si>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</si>
  <si>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</si>
  <si>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</si>
  <si>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</si>
  <si>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</si>
  <si>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</si>
  <si>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</si>
  <si>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</si>
  <si>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</si>
  <si>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</si>
  <si>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</si>
  <si>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</si>
  <si>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</si>
  <si>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</si>
  <si>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</si>
  <si>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</si>
  <si>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</si>
  <si>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</si>
  <si>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</si>
  <si>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</si>
  <si>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</si>
  <si>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</si>
  <si>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</si>
  <si>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</si>
  <si>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</si>
  <si>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</si>
  <si>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</si>
  <si>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</si>
  <si>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</si>
  <si>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</si>
  <si>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</si>
  <si>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</si>
  <si>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</si>
  <si>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</si>
  <si>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</si>
  <si>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</si>
  <si>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</si>
  <si>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</si>
  <si>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</si>
  <si>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</si>
  <si>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</si>
  <si>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</si>
  <si>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</si>
  <si>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</si>
  <si>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</si>
  <si>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</si>
  <si>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</si>
  <si>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</si>
  <si>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</si>
  <si>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</si>
  <si>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</si>
  <si>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</si>
  <si>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</si>
  <si>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</si>
  <si>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</si>
  <si>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</si>
  <si>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</si>
  <si>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</si>
  <si>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</si>
  <si>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</si>
  <si>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</si>
  <si>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</si>
  <si>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</si>
  <si>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</si>
  <si>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</si>
  <si>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</si>
  <si>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</si>
  <si>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</si>
  <si>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</si>
  <si>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</si>
  <si>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</si>
  <si>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</si>
  <si>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</si>
  <si>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</si>
  <si>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</si>
  <si>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</si>
  <si>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</si>
  <si>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</si>
  <si>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</si>
  <si>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</si>
  <si>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</si>
  <si>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</si>
  <si>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</si>
  <si>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</si>
  <si>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</si>
  <si>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</si>
  <si>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</si>
  <si>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</si>
  <si>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</si>
  <si>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</si>
  <si>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</si>
  <si>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</si>
  <si>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</si>
  <si>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</si>
  <si>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</si>
  <si>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</si>
  <si>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</si>
  <si>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</si>
  <si>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</si>
  <si>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</si>
  <si>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</si>
  <si>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</si>
  <si>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</si>
  <si>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</si>
  <si>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</si>
  <si>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</si>
  <si>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</si>
  <si>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</si>
  <si>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</si>
  <si>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</si>
  <si>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</si>
  <si>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</si>
  <si>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</si>
  <si>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</si>
  <si>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</si>
  <si>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</si>
  <si>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</si>
  <si>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</si>
  <si>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</si>
  <si>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</si>
  <si>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</si>
  <si>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</si>
  <si>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</si>
  <si>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</si>
  <si>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</si>
  <si>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</si>
  <si>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</si>
  <si>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</si>
  <si>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</si>
  <si>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</si>
  <si>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</si>
  <si>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</si>
  <si>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</si>
  <si>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</si>
  <si>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</si>
  <si>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</si>
  <si>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</si>
  <si>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</si>
  <si>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</si>
  <si>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</si>
  <si>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</si>
  <si>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</si>
  <si>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</si>
  <si>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</si>
  <si>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</si>
  <si>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</si>
  <si>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</si>
  <si>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</si>
  <si>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</si>
  <si>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</si>
  <si>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</si>
  <si>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</si>
  <si>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</si>
  <si>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</si>
  <si>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</si>
  <si>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</si>
  <si>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</si>
  <si>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</si>
  <si>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</si>
  <si>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</si>
  <si>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</si>
  <si>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</si>
  <si>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</si>
  <si>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</si>
  <si>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</si>
  <si>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</si>
  <si>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</si>
  <si>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</si>
  <si>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</si>
  <si>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</si>
  <si>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</si>
  <si>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</si>
  <si>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</si>
  <si>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</si>
  <si>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</si>
  <si>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</si>
  <si>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</si>
  <si>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</si>
  <si>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</si>
  <si>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</si>
  <si>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</si>
  <si>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</si>
  <si>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</si>
  <si>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</si>
  <si>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</si>
  <si>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</si>
  <si>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</si>
  <si>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</si>
  <si>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</si>
  <si>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</si>
  <si>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</si>
  <si>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</si>
  <si>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</si>
  <si>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</si>
  <si>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</si>
  <si>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</si>
  <si>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</si>
  <si>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</si>
  <si>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</si>
  <si>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</si>
  <si>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</si>
  <si>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</si>
  <si>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</si>
  <si>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</si>
  <si>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</si>
  <si>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</si>
  <si>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</si>
  <si>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</si>
  <si>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</si>
  <si>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</si>
  <si>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</si>
  <si>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</si>
  <si>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</si>
  <si>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</si>
  <si>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</si>
  <si>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</si>
  <si>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</si>
  <si>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</si>
  <si>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</si>
  <si>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</si>
  <si>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</si>
  <si>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</si>
  <si>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</si>
  <si>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</si>
  <si>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</si>
  <si>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</si>
  <si>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</si>
  <si>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</si>
  <si>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</si>
  <si>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</si>
  <si>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</si>
  <si>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</si>
  <si>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</si>
  <si>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</si>
  <si>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</si>
  <si>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</si>
  <si>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</si>
  <si>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</si>
  <si>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</si>
  <si>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</si>
  <si>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</si>
  <si>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</si>
  <si>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</si>
  <si>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</si>
  <si>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</si>
  <si>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</si>
  <si>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</si>
  <si>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</si>
  <si>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</si>
  <si>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</si>
  <si>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</si>
  <si>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</si>
  <si>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</si>
  <si>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</si>
  <si>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</si>
  <si>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</si>
  <si>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</si>
  <si>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</si>
  <si>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</si>
  <si>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</si>
  <si>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</si>
  <si>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</si>
  <si>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</si>
  <si>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</si>
  <si>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</si>
  <si>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</si>
  <si>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</si>
  <si>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</si>
  <si>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</si>
  <si>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</si>
  <si>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</si>
  <si>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</si>
  <si>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</si>
  <si>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</si>
  <si>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</si>
  <si>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</si>
  <si>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</si>
  <si>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</si>
  <si>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</si>
  <si>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</si>
  <si>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</si>
  <si>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</si>
  <si>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</si>
  <si>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</si>
  <si>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</si>
  <si>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</si>
  <si>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</si>
  <si>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</si>
  <si>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</si>
  <si>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</si>
  <si>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</si>
  <si>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</si>
  <si>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</si>
  <si>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</si>
  <si>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</si>
  <si>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</si>
  <si>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</si>
  <si>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</si>
  <si>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</si>
  <si>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</si>
  <si>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</si>
  <si>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</si>
  <si>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</si>
  <si>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</si>
  <si>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</si>
  <si>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</si>
  <si>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</si>
  <si>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</si>
  <si>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</si>
  <si>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</si>
  <si>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</si>
  <si>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</si>
  <si>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</si>
  <si>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</si>
  <si>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</si>
  <si>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</si>
  <si>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</si>
  <si>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</si>
  <si>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</si>
  <si>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</si>
  <si>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</si>
  <si>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</si>
  <si>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</si>
  <si>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</si>
  <si>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</si>
  <si>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</si>
  <si>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</si>
  <si>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</si>
  <si>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</si>
  <si>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</si>
  <si>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</si>
  <si>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</si>
  <si>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</si>
  <si>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</si>
  <si>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</si>
  <si>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</si>
  <si>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</si>
  <si>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</si>
  <si>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</si>
  <si>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</si>
  <si>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</si>
  <si>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</si>
  <si>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</si>
  <si>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</si>
  <si>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</si>
  <si>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</si>
  <si>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</si>
  <si>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</si>
  <si>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</si>
  <si>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</si>
  <si>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</si>
  <si>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</si>
  <si>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</si>
  <si>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</si>
  <si>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</si>
  <si>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</si>
  <si>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</si>
  <si>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</si>
  <si>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</si>
  <si>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</si>
  <si>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</si>
  <si>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</si>
  <si>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</si>
  <si>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</si>
  <si>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</si>
  <si>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</si>
  <si>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</si>
  <si>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</si>
  <si>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</si>
  <si>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</si>
  <si>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</si>
  <si>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</si>
  <si>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</si>
  <si>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</si>
  <si>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</si>
  <si>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</si>
  <si>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</si>
  <si>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</si>
  <si>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</si>
  <si>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</si>
  <si>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</si>
  <si>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</si>
  <si>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</si>
  <si>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</si>
  <si>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</si>
  <si>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</si>
  <si>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</si>
  <si>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</si>
  <si>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</si>
  <si>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</si>
  <si>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</si>
  <si>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</si>
  <si>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</si>
  <si>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</si>
  <si>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</si>
  <si>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</si>
  <si>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</si>
  <si>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</si>
  <si>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</si>
  <si>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</si>
  <si>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</si>
  <si>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</si>
  <si>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</si>
  <si>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</si>
  <si>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</si>
  <si>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</si>
  <si>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</si>
  <si>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</si>
  <si>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</si>
  <si>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</si>
  <si>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</si>
  <si>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</si>
  <si>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</si>
  <si>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</si>
  <si>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</si>
  <si>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</si>
  <si>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</si>
  <si>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</si>
  <si>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</si>
  <si>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</si>
  <si>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</si>
  <si>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</si>
  <si>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</si>
  <si>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</si>
  <si>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</si>
  <si>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</si>
  <si>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</si>
  <si>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</si>
  <si>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</si>
  <si>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</si>
  <si>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</si>
  <si>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</si>
  <si>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</si>
  <si>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</si>
  <si>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</si>
  <si>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</si>
  <si>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</si>
  <si>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</si>
  <si>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</si>
  <si>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</si>
  <si>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</si>
  <si>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</si>
  <si>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</si>
  <si>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</si>
  <si>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</si>
  <si>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</si>
  <si>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</si>
  <si>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</si>
  <si>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</si>
  <si>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</si>
  <si>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</si>
  <si>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</si>
  <si>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</si>
  <si>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</si>
  <si>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</si>
  <si>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</si>
  <si>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</si>
  <si>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</si>
  <si>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</si>
  <si>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</si>
  <si>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</si>
  <si>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</si>
  <si>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</si>
  <si>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</si>
  <si>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</si>
  <si>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</si>
  <si>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</si>
  <si>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</si>
  <si>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</si>
  <si>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</si>
  <si>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</si>
  <si>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</si>
  <si>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</si>
  <si>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</si>
  <si>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</si>
  <si>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</si>
  <si>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</si>
  <si>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</si>
  <si>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</si>
  <si>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</si>
  <si>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</si>
  <si>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</si>
  <si>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</si>
  <si>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</si>
  <si>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</si>
  <si>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</si>
  <si>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</si>
  <si>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</si>
  <si>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</si>
  <si>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</si>
  <si>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</si>
  <si>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</si>
  <si>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</si>
  <si>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</si>
  <si>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</si>
  <si>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</si>
  <si>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</si>
  <si>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</si>
  <si>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</si>
  <si>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</si>
  <si>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</si>
  <si>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</si>
  <si>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</si>
  <si>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</si>
  <si>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</si>
  <si>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</si>
  <si>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</si>
  <si>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</si>
  <si>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</si>
  <si>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</si>
  <si>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</si>
  <si>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</si>
  <si>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</si>
  <si>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</si>
  <si>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</si>
  <si>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</si>
  <si>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</si>
  <si>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</si>
  <si>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</si>
  <si>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</si>
  <si>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</si>
  <si>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</si>
  <si>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</si>
  <si>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</si>
  <si>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</si>
  <si>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</si>
  <si>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</si>
  <si>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</si>
  <si>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</si>
  <si>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</si>
  <si>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</si>
  <si>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</si>
  <si>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</si>
  <si>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</si>
  <si>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</si>
  <si>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</si>
  <si>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</si>
  <si>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</si>
  <si>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</si>
  <si>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</si>
  <si>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</si>
  <si>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</si>
  <si>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</si>
  <si>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</si>
  <si>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</si>
  <si>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</si>
  <si>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</si>
  <si>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</si>
  <si>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</si>
  <si>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</si>
  <si>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</si>
  <si>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</si>
  <si>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</si>
  <si>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</si>
  <si>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</si>
  <si>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</si>
  <si>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</si>
  <si>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</si>
  <si>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</si>
  <si>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</si>
  <si>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</si>
  <si>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</si>
  <si>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</si>
  <si>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</si>
  <si>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</si>
  <si>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</si>
  <si>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</si>
  <si>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</si>
  <si>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</si>
  <si>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</si>
  <si>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</si>
  <si>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</si>
  <si>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</si>
  <si>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</si>
  <si>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</si>
  <si>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</si>
  <si>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</si>
  <si>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</si>
  <si>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</si>
  <si>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</si>
  <si>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</si>
  <si>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</si>
  <si>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</si>
  <si>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</si>
  <si>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</si>
  <si>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</si>
  <si>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</si>
  <si>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</si>
  <si>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</si>
  <si>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</si>
  <si>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</si>
  <si>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</si>
  <si>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</si>
  <si>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</si>
  <si>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</si>
  <si>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</si>
  <si>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</si>
  <si>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</si>
  <si>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</si>
  <si>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</si>
  <si>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</si>
  <si>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</si>
  <si>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</si>
  <si>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</si>
  <si>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</si>
  <si>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</si>
  <si>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</si>
  <si>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</si>
  <si>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</si>
  <si>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</si>
  <si>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</si>
  <si>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</si>
  <si>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</si>
  <si>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</si>
  <si>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</si>
  <si>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</si>
  <si>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</si>
  <si>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</si>
  <si>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</si>
  <si>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</si>
  <si>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</si>
  <si>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</si>
  <si>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</si>
  <si>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</si>
  <si>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</si>
  <si>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</si>
  <si>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</si>
  <si>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</si>
  <si>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</si>
  <si>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</si>
  <si>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</si>
  <si>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</si>
  <si>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</si>
  <si>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</si>
  <si>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</si>
  <si>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</si>
  <si>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</si>
  <si>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</si>
  <si>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</si>
  <si>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</si>
  <si>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</si>
  <si>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</si>
  <si>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</si>
  <si>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</si>
  <si>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</si>
  <si>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</si>
  <si>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</si>
  <si>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</si>
  <si>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</si>
  <si>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</si>
  <si>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</si>
  <si>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</si>
  <si>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</si>
  <si>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</si>
  <si>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</si>
  <si>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</si>
  <si>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</si>
  <si>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</si>
  <si>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</si>
  <si>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</si>
  <si>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</si>
  <si>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</si>
  <si>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</si>
  <si>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</si>
  <si>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</si>
  <si>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</si>
  <si>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</si>
  <si>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</si>
  <si>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</si>
  <si>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</si>
  <si>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</si>
  <si>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</si>
  <si>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</si>
  <si>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</si>
  <si>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</si>
  <si>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</si>
  <si>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</si>
  <si>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</si>
  <si>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</si>
  <si>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</si>
  <si>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</si>
  <si>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</si>
  <si>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</si>
  <si>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</si>
  <si>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</si>
  <si>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</si>
  <si>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</si>
  <si>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</si>
  <si>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</si>
  <si>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</si>
  <si>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</si>
  <si>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</si>
  <si>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</si>
  <si>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</si>
  <si>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</si>
  <si>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</si>
  <si>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</si>
  <si>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</si>
  <si>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</si>
  <si>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</si>
  <si>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</si>
  <si>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</si>
  <si>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</si>
  <si>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</si>
  <si>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</si>
  <si>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</si>
  <si>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</si>
  <si>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</si>
  <si>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</si>
  <si>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</si>
  <si>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</si>
  <si>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</si>
  <si>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</si>
  <si>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</si>
  <si>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</si>
  <si>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</si>
  <si>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</si>
  <si>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</si>
  <si>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</si>
  <si>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</si>
  <si>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</si>
  <si>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</si>
  <si>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</si>
  <si>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</si>
  <si>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</si>
  <si>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</si>
  <si>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</si>
  <si>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</si>
  <si>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</si>
  <si>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</si>
  <si>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</si>
  <si>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</si>
  <si>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</si>
  <si>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</si>
  <si>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</si>
  <si>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</si>
  <si>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</si>
  <si>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</si>
  <si>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</si>
  <si>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</si>
  <si>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</si>
  <si>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</si>
  <si>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</si>
  <si>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</si>
  <si>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</si>
  <si>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</si>
  <si>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</si>
  <si>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</si>
  <si>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</si>
  <si>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</si>
  <si>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</si>
  <si>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</si>
  <si>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</si>
  <si>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</si>
  <si>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</si>
  <si>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</si>
  <si>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</si>
  <si>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</si>
  <si>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</si>
  <si>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</si>
  <si>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</si>
  <si>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</si>
  <si>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</si>
  <si>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</si>
  <si>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</si>
  <si>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</si>
  <si>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</si>
  <si>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</si>
  <si>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</si>
  <si>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</si>
  <si>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</si>
  <si>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</si>
  <si>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</si>
  <si>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</si>
  <si>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</si>
  <si>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</si>
  <si>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</si>
  <si>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</si>
  <si>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</si>
  <si>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</si>
  <si>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</si>
  <si>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</si>
  <si>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</si>
  <si>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</si>
  <si>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</si>
  <si>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</si>
  <si>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</si>
  <si>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</si>
  <si>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</si>
  <si>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</si>
  <si>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</si>
  <si>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</si>
  <si>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</si>
  <si>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</si>
  <si>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</si>
  <si>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</si>
  <si>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</si>
  <si>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</si>
  <si>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</si>
  <si>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</si>
  <si>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</si>
  <si>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</si>
  <si>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</si>
  <si>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</si>
  <si>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</si>
  <si>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</si>
  <si>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</si>
  <si>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</si>
  <si>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</si>
  <si>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</si>
  <si>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</si>
  <si>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</si>
  <si>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</si>
  <si>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</si>
  <si>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</si>
  <si>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</si>
  <si>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</si>
  <si>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</si>
  <si>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</si>
  <si>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</si>
  <si>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</si>
  <si>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</si>
  <si>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</si>
  <si>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</si>
  <si>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</si>
  <si>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</si>
  <si>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</si>
  <si>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</si>
  <si>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</si>
  <si>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</si>
  <si>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</si>
  <si>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</si>
  <si>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</si>
  <si>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</si>
  <si>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</si>
  <si>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</si>
  <si>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</si>
  <si>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</si>
  <si>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</si>
  <si>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</si>
  <si>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</si>
  <si>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</si>
  <si>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</si>
  <si>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</si>
  <si>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</si>
  <si>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</si>
  <si>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</si>
  <si>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</si>
  <si>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</si>
  <si>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</si>
  <si>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</si>
  <si>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</si>
  <si>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</si>
  <si>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</si>
  <si>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</si>
  <si>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</si>
  <si>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</si>
  <si>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</si>
  <si>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</si>
  <si>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</si>
  <si>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</si>
  <si>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</si>
  <si>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</si>
  <si>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</si>
  <si>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</si>
  <si>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</si>
  <si>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</si>
  <si>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</si>
  <si>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</si>
  <si>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</si>
  <si>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</si>
  <si>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</si>
  <si>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</si>
  <si>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</si>
  <si>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</si>
  <si>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</si>
  <si>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</si>
  <si>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</si>
  <si>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</si>
  <si>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</si>
  <si>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</si>
  <si>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</si>
  <si>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</si>
  <si>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</si>
  <si>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</si>
  <si>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</si>
  <si>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</si>
  <si>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</si>
  <si>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</si>
  <si>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</si>
  <si>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</si>
  <si>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</si>
  <si>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</si>
  <si>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</si>
  <si>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</si>
  <si>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</si>
  <si>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</si>
  <si>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</si>
  <si>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</si>
  <si>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</si>
  <si>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</si>
  <si>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</si>
  <si>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</si>
  <si>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</si>
  <si>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</si>
  <si>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</si>
  <si>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</si>
  <si>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</si>
  <si>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</si>
  <si>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</si>
  <si>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</si>
  <si>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</si>
  <si>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</si>
  <si>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</si>
  <si>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</si>
  <si>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</si>
  <si>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</si>
  <si>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</si>
  <si>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</si>
  <si>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</si>
  <si>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</si>
  <si>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</si>
  <si>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</si>
  <si>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</si>
  <si>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</si>
  <si>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</si>
  <si>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</si>
  <si>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</si>
  <si>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</si>
  <si>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</si>
  <si>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</si>
  <si>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</si>
  <si>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</si>
  <si>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</si>
  <si>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</si>
  <si>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</si>
  <si>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</si>
  <si>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</si>
  <si>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</si>
  <si>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</si>
  <si>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</si>
  <si>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</si>
  <si>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</si>
  <si>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</si>
  <si>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</si>
  <si>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</si>
  <si>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</si>
  <si>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</si>
  <si>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</si>
  <si>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</si>
  <si>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</si>
  <si>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</si>
  <si>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</si>
  <si>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</si>
  <si>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</si>
  <si>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</si>
  <si>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</si>
  <si>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</si>
  <si>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</si>
  <si>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</si>
  <si>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</si>
  <si>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</si>
  <si>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</si>
  <si>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</si>
  <si>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</si>
  <si>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</si>
  <si>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</si>
  <si>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</si>
  <si>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</si>
  <si>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</si>
  <si>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</si>
  <si>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</si>
  <si>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</si>
  <si>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</si>
  <si>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</si>
  <si>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</si>
  <si>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</si>
  <si>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</si>
  <si>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</si>
  <si>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</si>
  <si>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</si>
  <si>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</si>
  <si>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</si>
  <si>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</si>
  <si>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</si>
  <si>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</si>
  <si>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</si>
  <si>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</si>
  <si>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</si>
  <si>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</si>
  <si>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</si>
  <si>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</si>
  <si>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</si>
  <si>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</si>
  <si>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</si>
  <si>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</si>
  <si>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</si>
  <si>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</si>
  <si>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</si>
  <si>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</si>
  <si>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</si>
  <si>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</si>
  <si>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</si>
  <si>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</si>
  <si>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</si>
  <si>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</si>
  <si>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</si>
  <si>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</si>
  <si>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</si>
  <si>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</si>
  <si>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</si>
  <si>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</si>
  <si>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</si>
  <si>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</si>
  <si>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</si>
  <si>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</si>
  <si>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</si>
  <si>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</si>
  <si>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</si>
  <si>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</si>
  <si>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</si>
  <si>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</si>
  <si>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</si>
  <si>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</si>
  <si>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</si>
  <si>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</si>
  <si>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</si>
  <si>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</si>
  <si>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</si>
  <si>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</si>
  <si>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</si>
  <si>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</si>
  <si>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</si>
  <si>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</si>
  <si>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</si>
  <si>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</si>
  <si>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</si>
  <si>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</si>
  <si>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</si>
  <si>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</si>
  <si>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</si>
  <si>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</si>
  <si>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</si>
  <si>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</si>
  <si>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</si>
  <si>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</si>
  <si>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</si>
  <si>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</si>
  <si>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</si>
  <si>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</si>
  <si>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</si>
  <si>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</si>
  <si>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</si>
  <si>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</si>
  <si>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</si>
  <si>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</si>
  <si>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</si>
  <si>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</si>
  <si>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</si>
  <si>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</si>
  <si>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</si>
  <si>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</si>
  <si>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</si>
  <si>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</si>
  <si>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</si>
  <si>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</si>
  <si>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</si>
  <si>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</si>
  <si>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</si>
  <si>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</si>
  <si>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</si>
  <si>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</si>
  <si>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</si>
  <si>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</si>
  <si>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</si>
  <si>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</si>
  <si>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</si>
  <si>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</si>
  <si>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</si>
  <si>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</si>
  <si>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</si>
  <si>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</si>
  <si>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</si>
  <si>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</si>
  <si>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</si>
  <si>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</si>
  <si>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</si>
  <si>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</si>
  <si>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</si>
  <si>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</si>
  <si>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</si>
  <si>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</si>
  <si>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</si>
  <si>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</si>
  <si>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</si>
  <si>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</si>
  <si>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</si>
  <si>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</si>
  <si>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</si>
  <si>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</si>
  <si>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</si>
  <si>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</si>
  <si>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</si>
  <si>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</si>
  <si>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</si>
  <si>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</si>
  <si>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</si>
  <si>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</si>
  <si>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</si>
  <si>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</si>
  <si>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</si>
  <si>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</si>
  <si>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</si>
  <si>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</si>
  <si>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</si>
  <si>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</si>
  <si>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</si>
  <si>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</si>
  <si>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</si>
  <si>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</si>
  <si>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</si>
  <si>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</si>
  <si>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</si>
  <si>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</si>
  <si>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</si>
  <si>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</si>
  <si>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</si>
  <si>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</si>
  <si>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</si>
  <si>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</si>
  <si>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</si>
  <si>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</si>
  <si>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</si>
  <si>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</si>
  <si>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</si>
  <si>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</si>
  <si>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</si>
  <si>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</si>
  <si>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</si>
  <si>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</si>
  <si>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</si>
  <si>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</si>
  <si>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</si>
  <si>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</si>
  <si>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</si>
  <si>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</si>
  <si>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</si>
  <si>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</si>
  <si>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</si>
  <si>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</si>
  <si>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</si>
  <si>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</si>
  <si>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</si>
  <si>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</si>
  <si>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</si>
  <si>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</si>
  <si>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</si>
  <si>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</si>
  <si>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</si>
  <si>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</si>
  <si>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</si>
  <si>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</si>
  <si>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</si>
  <si>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</si>
  <si>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</si>
  <si>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</si>
  <si>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</si>
  <si>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</si>
  <si>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</si>
  <si>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</si>
  <si>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</si>
  <si>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</si>
  <si>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</si>
  <si>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</si>
  <si>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</si>
  <si>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</si>
  <si>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</si>
  <si>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</si>
  <si>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</si>
  <si>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</si>
  <si>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</si>
  <si>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</si>
  <si>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</si>
  <si>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</si>
  <si>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</si>
  <si>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</si>
  <si>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</si>
  <si>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</si>
  <si>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</si>
  <si>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</si>
  <si>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</si>
  <si>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</si>
  <si>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</si>
  <si>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</si>
  <si>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</si>
  <si>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</si>
  <si>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</si>
  <si>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</si>
  <si>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</si>
  <si>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</si>
  <si>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</si>
  <si>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</si>
  <si>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</si>
  <si>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</si>
  <si>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</si>
  <si>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</si>
  <si>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</si>
  <si>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</si>
  <si>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</si>
  <si>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</si>
  <si>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</si>
  <si>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</si>
  <si>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</si>
  <si>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</si>
  <si>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</si>
  <si>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</si>
  <si>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</si>
  <si>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</si>
  <si>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</si>
  <si>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</si>
  <si>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</si>
  <si>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</si>
  <si>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</si>
  <si>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</si>
  <si>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</si>
  <si>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</si>
  <si>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</si>
  <si>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</si>
  <si>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</si>
  <si>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</si>
  <si>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</si>
  <si>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</si>
  <si>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</si>
  <si>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</si>
  <si>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</si>
  <si>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</si>
  <si>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</si>
  <si>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</si>
  <si>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</si>
  <si>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</si>
  <si>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</si>
  <si>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</si>
  <si>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</si>
  <si>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</si>
  <si>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</si>
  <si>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</si>
  <si>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</si>
  <si>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</si>
  <si>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</si>
  <si>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</si>
  <si>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</si>
  <si>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</si>
  <si>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</si>
  <si>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</si>
  <si>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</si>
  <si>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</si>
  <si>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</si>
  <si>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</si>
  <si>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</si>
  <si>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</si>
  <si>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</si>
  <si>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</si>
  <si>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</si>
  <si>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</si>
  <si>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</si>
  <si>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</si>
  <si>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</si>
  <si>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</si>
  <si>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</si>
  <si>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</si>
  <si>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</si>
  <si>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</si>
  <si>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</si>
  <si>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</si>
  <si>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</si>
  <si>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</si>
  <si>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</si>
  <si>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</si>
  <si>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</si>
  <si>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</si>
  <si>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</si>
  <si>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</si>
  <si>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</si>
  <si>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</si>
  <si>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</si>
  <si>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</si>
  <si>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</si>
  <si>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</si>
  <si>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</si>
  <si>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</si>
  <si>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</si>
  <si>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</si>
  <si>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</si>
  <si>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</si>
  <si>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</si>
  <si>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</si>
  <si>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</si>
  <si>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</si>
  <si>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</si>
  <si>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</si>
  <si>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</si>
  <si>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</si>
  <si>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</si>
  <si>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</si>
  <si>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</si>
  <si>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</si>
  <si>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</si>
  <si>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</si>
  <si>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</si>
  <si>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</si>
  <si>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</si>
  <si>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</si>
  <si>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</si>
  <si>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</si>
  <si>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</si>
  <si>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</si>
  <si>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</si>
  <si>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</si>
  <si>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</si>
  <si>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</si>
  <si>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</si>
  <si>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</si>
  <si>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</si>
  <si>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</si>
  <si>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</si>
  <si>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</si>
  <si>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</si>
  <si>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</si>
  <si>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</si>
  <si>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</si>
  <si>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</si>
  <si>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</si>
  <si>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</si>
  <si>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</si>
  <si>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</si>
  <si>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</si>
  <si>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</si>
  <si>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</si>
  <si>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</si>
  <si>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</si>
  <si>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</si>
  <si>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</si>
  <si>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</si>
  <si>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</si>
  <si>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</si>
  <si>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</si>
  <si>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</si>
  <si>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</si>
  <si>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</si>
  <si>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</si>
  <si>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</si>
  <si>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</si>
  <si>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</si>
  <si>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</si>
  <si>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</si>
  <si>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</si>
  <si>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</si>
  <si>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</si>
  <si>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</si>
  <si>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</si>
  <si>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</si>
  <si>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</si>
  <si>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</si>
  <si>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</si>
  <si>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</si>
  <si>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</si>
  <si>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</si>
  <si>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</si>
  <si>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</si>
  <si>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</si>
  <si>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</si>
  <si>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</si>
  <si>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</si>
  <si>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</si>
  <si>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</si>
  <si>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</si>
  <si>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</si>
  <si>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</si>
  <si>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</si>
  <si>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</si>
  <si>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</si>
  <si>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</si>
  <si>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</si>
  <si>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</si>
  <si>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</si>
  <si>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</si>
  <si>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</si>
  <si>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</si>
  <si>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</si>
  <si>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</si>
  <si>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</si>
  <si>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</si>
  <si>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</si>
  <si>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</si>
  <si>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</si>
  <si>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</si>
  <si>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</si>
  <si>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</si>
  <si>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</si>
  <si>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</si>
  <si>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</si>
  <si>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</si>
  <si>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</si>
  <si>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</si>
  <si>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</si>
  <si>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</si>
  <si>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</si>
  <si>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</si>
  <si>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</si>
  <si>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</si>
  <si>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</si>
  <si>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</si>
  <si>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</si>
  <si>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</si>
  <si>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</si>
  <si>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</si>
  <si>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</si>
  <si>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</si>
  <si>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</si>
  <si>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</si>
  <si>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</si>
  <si>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</si>
  <si>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</si>
  <si>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</si>
  <si>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</si>
  <si>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</si>
  <si>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</si>
  <si>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</si>
  <si>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</si>
  <si>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</si>
  <si>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</si>
  <si>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</si>
  <si>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</si>
  <si>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700 MM, EM CAMINHÃO CARROCERIA COM GUINDAUTO (MUNCK) 11,7 TM. AF_07/2020</t>
  </si>
  <si>
    <t>CARGA, MANOBRA E DESCARGA DE TUBOS DE CONCRETO, DN 900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</si>
  <si>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</si>
  <si>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</si>
  <si>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</si>
  <si>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</si>
  <si>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</si>
  <si>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</si>
  <si>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</si>
  <si>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</si>
  <si>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</si>
  <si>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</si>
  <si>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</si>
  <si>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</si>
  <si>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</si>
  <si>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</si>
  <si>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</si>
  <si>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</si>
  <si>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</si>
  <si>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</si>
  <si>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</si>
  <si>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</si>
  <si>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</si>
  <si>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</si>
  <si>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</si>
  <si>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</si>
  <si>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</si>
  <si>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</si>
  <si>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</si>
  <si>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</si>
  <si>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</si>
  <si>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</si>
  <si>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</si>
  <si>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</si>
  <si>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</si>
  <si>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</si>
  <si>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</si>
  <si>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</si>
  <si>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</si>
  <si>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</si>
  <si>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</si>
  <si>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</si>
  <si>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</si>
  <si>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</si>
  <si>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ESPALHAMENTO DE TERRA VEGETAL PARA O PLANTIO. AF_07/2024</t>
  </si>
  <si>
    <t>PLANTIO DE GRAMA EM PAVIMENTO CONCREGRAMA.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</si>
  <si>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</si>
  <si>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</si>
  <si>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</si>
  <si>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</si>
  <si>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</si>
  <si>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</si>
  <si>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</si>
  <si>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</si>
  <si>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</si>
  <si>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</si>
  <si>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</si>
  <si>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</si>
  <si>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</si>
  <si>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</si>
  <si>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</si>
  <si>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</si>
  <si>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</si>
  <si>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</si>
  <si>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</si>
  <si>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</si>
  <si>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</si>
  <si>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</si>
  <si>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</si>
  <si>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</si>
  <si>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</si>
  <si>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</si>
  <si>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</si>
  <si>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</si>
  <si>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</si>
  <si>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</si>
  <si>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</si>
  <si>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</si>
  <si>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</si>
  <si>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</si>
  <si>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</si>
  <si>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</si>
  <si>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</si>
  <si>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</si>
  <si>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</si>
  <si>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</si>
  <si>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</si>
  <si>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ESTRUTURA METÁLICA COM ENCARGOS COMPLEMENTARES</t>
  </si>
  <si>
    <t>AJUDANTE ESPECIALIZADO COM ENCARGOS COMPLEMENTARES</t>
  </si>
  <si>
    <t>AUXILIAR DE LABORATÓRIO COM ENCARGOS COMPLEMENTARES</t>
  </si>
  <si>
    <t>AUXILIAR DE MECÂNICO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</si>
  <si>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</si>
  <si>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</si>
  <si>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</si>
  <si>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</si>
  <si>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</si>
  <si>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CAVOUQUEIRO OU OPERADOR PERFURATRIZ/ROMPEDOR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</si>
  <si>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</si>
  <si>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</si>
  <si>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</si>
  <si>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</si>
  <si>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</si>
  <si>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</si>
  <si>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</si>
  <si>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</si>
  <si>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ELETROMECÃNICO COM ENCARGOS COMPLEMENTARES</t>
  </si>
  <si>
    <t>MOTORISTA DE CAMINHÃO E CARRETA COM ENCARGOS COMPLEMENTARES</t>
  </si>
  <si>
    <t>MOTORISTA DE VEÍCULO LEVE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</si>
  <si>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</si>
  <si>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</si>
  <si>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</si>
  <si>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</si>
  <si>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MOTO-ESCREIPER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</si>
  <si>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</si>
  <si>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</si>
  <si>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</si>
  <si>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</si>
  <si>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</si>
  <si>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</si>
  <si>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SOLDADOR A (PARA SOLDA A SER TESTADA COM RAIOS "X") COM ENCARGOS COMPLEMENTARES</t>
  </si>
  <si>
    <t>TÉCNICO DE SONDAGEM COM ENCARGOS COMPLEMENTARES</t>
  </si>
  <si>
    <t>VIDRACEIRO COM ENCARGOS COMPLEMENTARES</t>
  </si>
  <si>
    <t>ARQUITETO DE OBRA JUNIOR COM ENCARGOS COMPLEMENTARES</t>
  </si>
  <si>
    <t>ARQUITETO DE OBRA PLENO COM ENCARGOS COMPLEMENTARES</t>
  </si>
  <si>
    <t>ARQUITETO DE OBRA SENIOR COM ENCARGOS COMPLEMENTARES</t>
  </si>
  <si>
    <t>DESENHISTA PROJETISTA COM ENCARGOS COMPLEMENTARES</t>
  </si>
  <si>
    <t>ENGENHEIRO CIVIL DE OBRA JUNIOR COM ENCARGOS COMPLEMENTARES</t>
  </si>
  <si>
    <t>MESTRE DE OBRAS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</si>
  <si>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</si>
  <si>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</si>
  <si>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</si>
  <si>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</si>
  <si>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ESTRUTURA METÁLICA (ENCARGOS COMPLEMENTARES) - HORISTA</t>
  </si>
  <si>
    <t>CURSO DE CAPACITAÇÃO PARA AJUDANTE ESPECIALIZADO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</si>
  <si>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</si>
  <si>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</si>
  <si>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</si>
  <si>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</si>
  <si>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</si>
  <si>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</si>
  <si>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</si>
  <si>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</si>
  <si>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CAVOUQUEIRO OU OPERADOR PERFURATRIZ/ROMPEDOR (ENCARGOS COMPLEMENTARES) - HORISTA</t>
  </si>
  <si>
    <t>CURSO DE CAPACITAÇÃO PARA ELETROTÉCNICO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</si>
  <si>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</si>
  <si>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</si>
  <si>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</si>
  <si>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</si>
  <si>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</si>
  <si>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</si>
  <si>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</si>
  <si>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ELETROMECÂNICO (ENCARGOS COMPLEMENTARES) - HORISTA</t>
  </si>
  <si>
    <t>CURSO DE CAPACITAÇÃO PARA MOTORISTA DE CAMINHÃO E CARRETA (ENCARGOS COMPLEMENTARES) - HORISTA</t>
  </si>
  <si>
    <t>CURSO DE CAPACITAÇÃO PARA MOTORISTA DE VEÍCULO LEVE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</si>
  <si>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</si>
  <si>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</si>
  <si>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</si>
  <si>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</si>
  <si>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MOTO-ESCREIPER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</si>
  <si>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</si>
  <si>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</si>
  <si>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</si>
  <si>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</si>
  <si>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</si>
  <si>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</si>
  <si>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SOLDADOR A (PARA SOLDA A SER TESTADA COM RAIOS  X ) (ENCARGOS COMPLEMENTARES) - HORISTA</t>
  </si>
  <si>
    <t>CURSO DE CAPACITAÇÃO PARA TÉCNICO DE SONDAGEM (ENCARGOS COMPLEMENTARES) - HORISTA</t>
  </si>
  <si>
    <t>CURSO DE CAPACITAÇÃO PARA VIDRACEIRO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</si>
  <si>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</si>
  <si>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</si>
  <si>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</si>
  <si>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</si>
  <si>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</si>
  <si>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</si>
  <si>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</si>
  <si>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</si>
  <si>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</si>
  <si>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</si>
  <si>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</si>
  <si>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</si>
  <si>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</si>
  <si>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</si>
  <si>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ENGENHEIRO CIVIL DE OBRA JÚNIOR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</si>
  <si>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</si>
  <si>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</si>
  <si>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</si>
  <si>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MESTRE DE OBRAS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</si>
  <si>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</si>
  <si>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</si>
  <si>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</si>
  <si>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</si>
  <si>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</si>
  <si>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</si>
  <si>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</si>
  <si>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</si>
  <si>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</si>
  <si>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</si>
  <si>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</si>
  <si>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</si>
  <si>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CURSO DE CAPACITAÇÃO PARA TECNICO DE EDIFICACOES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</si>
  <si>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</si>
  <si>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</si>
  <si>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</si>
  <si>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</si>
  <si>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</si>
  <si>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</si>
  <si>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</si>
  <si>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</si>
  <si>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</si>
  <si>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</si>
  <si>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</si>
  <si>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</si>
  <si>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</si>
  <si>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</si>
  <si>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</si>
  <si>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</si>
  <si>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</si>
  <si>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</si>
  <si>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</si>
  <si>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</si>
  <si>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</si>
  <si>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</si>
  <si>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</si>
  <si>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</si>
  <si>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</si>
  <si>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</si>
  <si>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</si>
  <si>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</si>
  <si>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</si>
  <si>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</si>
  <si>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</si>
  <si>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</si>
  <si>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</si>
  <si>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</si>
  <si>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</si>
  <si>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</si>
  <si>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</si>
  <si>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</si>
  <si>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</si>
  <si>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</si>
  <si>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</si>
  <si>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</si>
  <si>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</si>
  <si>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</si>
  <si>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</si>
  <si>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</si>
  <si>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</si>
  <si>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</si>
  <si>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</si>
  <si>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</si>
  <si>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</si>
  <si>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</si>
  <si>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</si>
  <si>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</si>
  <si>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</si>
  <si>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</si>
  <si>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</si>
  <si>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</si>
  <si>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</si>
  <si>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</si>
  <si>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</si>
  <si>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</si>
  <si>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</si>
  <si>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</si>
  <si>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</si>
  <si>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</si>
  <si>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</si>
  <si>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</si>
  <si>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</si>
  <si>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</si>
  <si>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</si>
  <si>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</si>
  <si>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</si>
  <si>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</si>
  <si>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</si>
  <si>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</si>
  <si>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</si>
  <si>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</si>
  <si>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</si>
  <si>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</si>
  <si>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</si>
  <si>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</si>
  <si>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</si>
  <si>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</si>
  <si>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</si>
  <si>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</si>
  <si>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</si>
  <si>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</si>
  <si>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</si>
  <si>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</si>
  <si>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</si>
  <si>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</si>
  <si>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</si>
  <si>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</si>
  <si>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</si>
  <si>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</si>
  <si>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</si>
  <si>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</si>
  <si>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</si>
  <si>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</si>
  <si>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</si>
  <si>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</si>
  <si>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</si>
  <si>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</si>
  <si>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</si>
  <si>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</si>
  <si>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</si>
  <si>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</si>
  <si>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</si>
  <si>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</si>
  <si>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ABRACADEIRA DE LATAO PARA FIXACAO DE CABO PARA-RAIO, DIMENSOES 32 X 24 X 24 MM                                                                                                                                                                                                                                                                                                                                                                                                                            </t>
  </si>
  <si>
    <t xml:space="preserve">UN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</si>
  <si>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</si>
  <si>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</si>
  <si>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</si>
  <si>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</si>
  <si>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</si>
  <si>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</si>
  <si>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</si>
  <si>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</si>
  <si>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</si>
  <si>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</si>
  <si>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</si>
  <si>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</si>
  <si>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</si>
  <si>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</si>
  <si>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</si>
  <si>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</si>
  <si>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</si>
  <si>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</si>
  <si>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</si>
  <si>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</si>
  <si>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</si>
  <si>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</si>
  <si>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</si>
  <si>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</si>
  <si>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</si>
  <si>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</si>
  <si>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</si>
  <si>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</si>
  <si>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</si>
  <si>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</si>
  <si>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</si>
  <si>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</si>
  <si>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</si>
  <si>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</si>
  <si>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</si>
  <si>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</si>
  <si>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</si>
  <si>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</si>
  <si>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</si>
  <si>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</si>
  <si>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</si>
  <si>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</si>
  <si>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</si>
  <si>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</si>
  <si>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</si>
  <si>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</si>
  <si>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</si>
  <si>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</si>
  <si>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</si>
  <si>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</si>
  <si>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</si>
  <si>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</si>
  <si>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</si>
  <si>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</si>
  <si>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</si>
  <si>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</si>
  <si>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</si>
  <si>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</si>
  <si>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</si>
  <si>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</si>
  <si>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</si>
  <si>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</si>
  <si>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</si>
  <si>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</si>
  <si>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</si>
  <si>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</si>
  <si>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</si>
  <si>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</si>
  <si>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</si>
  <si>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</si>
  <si>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</si>
  <si>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</si>
  <si>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</si>
  <si>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</si>
  <si>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</si>
  <si>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</si>
  <si>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</si>
  <si>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</si>
  <si>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</si>
  <si>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</si>
  <si>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</si>
  <si>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</si>
  <si>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</si>
  <si>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</si>
  <si>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</si>
  <si>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</si>
  <si>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</si>
  <si>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</si>
  <si>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</si>
  <si>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</si>
  <si>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</si>
  <si>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</si>
  <si>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</si>
  <si>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</si>
  <si>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</si>
  <si>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</si>
  <si>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</si>
  <si>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</si>
  <si>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</si>
  <si>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</si>
  <si>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</si>
  <si>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</si>
  <si>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</si>
  <si>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</si>
  <si>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</si>
  <si>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</si>
  <si>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</si>
  <si>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</si>
  <si>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</si>
  <si>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</si>
  <si>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</si>
  <si>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</si>
  <si>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</si>
  <si>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</si>
  <si>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</si>
  <si>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</si>
  <si>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</si>
  <si>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</si>
  <si>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</si>
  <si>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</si>
  <si>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</si>
  <si>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</si>
  <si>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</si>
  <si>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</si>
  <si>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</si>
  <si>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</si>
  <si>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</si>
  <si>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</si>
  <si>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</si>
  <si>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</si>
  <si>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</si>
  <si>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</si>
  <si>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</si>
  <si>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</si>
  <si>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</si>
  <si>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</si>
  <si>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</si>
  <si>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</si>
  <si>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</si>
  <si>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</si>
  <si>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</si>
  <si>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</si>
  <si>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</si>
  <si>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</si>
  <si>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</si>
  <si>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</si>
  <si>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</si>
  <si>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</si>
  <si>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</si>
  <si>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</si>
  <si>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</si>
  <si>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</si>
  <si>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</si>
  <si>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</si>
  <si>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</si>
  <si>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</si>
  <si>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</si>
  <si>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</si>
  <si>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</si>
  <si>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</si>
  <si>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</si>
  <si>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</si>
  <si>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</si>
  <si>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</si>
  <si>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</si>
  <si>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</si>
  <si>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COM ISOLAMENTO                                                                                                                                                                                                                                                                                                                                                                                                                                                               </t>
  </si>
  <si>
    <t xml:space="preserve">ALICATE DE CRIMPAR RJ11, RJ12 E RJ45, COM CATRACA                                                                                                                                                                                                                                                                                                                                                                                                                                                         </t>
  </si>
  <si>
    <t xml:space="preserve">ALICATE DE PRESSAO PARA SOLDA DE CHAPA 18"                                                                                                                                                                                                                                                                                                                                                                                                                                                                </t>
  </si>
  <si>
    <t xml:space="preserve">ALICATE DE PRESSAO 11" PARA SOLDA, TIPO C                                                                                                                                                                                                                                                                                                                                                                                                                                                                 </t>
  </si>
  <si>
    <t xml:space="preserve">ALICATE DE PRESSAO 11"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</si>
  <si>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</si>
  <si>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</si>
  <si>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</si>
  <si>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</si>
  <si>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</si>
  <si>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</si>
  <si>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</si>
  <si>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</si>
  <si>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</si>
  <si>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</si>
  <si>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</si>
  <si>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</si>
  <si>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</si>
  <si>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</si>
  <si>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</si>
  <si>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</si>
  <si>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</si>
  <si>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</si>
  <si>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</si>
  <si>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</si>
  <si>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</si>
  <si>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</si>
  <si>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</si>
  <si>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</si>
  <si>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</si>
  <si>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</si>
  <si>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</si>
  <si>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</si>
  <si>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</si>
  <si>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</si>
  <si>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</si>
  <si>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</si>
  <si>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</si>
  <si>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</si>
  <si>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</si>
  <si>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</si>
  <si>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</si>
  <si>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</si>
  <si>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</si>
  <si>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</si>
  <si>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</si>
  <si>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</si>
  <si>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</si>
  <si>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</si>
  <si>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</si>
  <si>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</si>
  <si>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</si>
  <si>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</si>
  <si>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</si>
  <si>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</si>
  <si>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</si>
  <si>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</si>
  <si>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</si>
  <si>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</si>
  <si>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</si>
  <si>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</si>
  <si>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</si>
  <si>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</si>
  <si>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</si>
  <si>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</si>
  <si>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</si>
  <si>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</si>
  <si>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</si>
  <si>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</si>
  <si>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</si>
  <si>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</si>
  <si>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</si>
  <si>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</si>
  <si>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</si>
  <si>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</si>
  <si>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</si>
  <si>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</si>
  <si>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</si>
  <si>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</si>
  <si>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</si>
  <si>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</si>
  <si>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</si>
  <si>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</si>
  <si>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</si>
  <si>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</si>
  <si>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</si>
  <si>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</si>
  <si>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</si>
  <si>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</si>
  <si>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</si>
  <si>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</si>
  <si>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</si>
  <si>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</si>
  <si>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</si>
  <si>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</si>
  <si>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</si>
  <si>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</si>
  <si>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</si>
  <si>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</si>
  <si>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</si>
  <si>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</si>
  <si>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</si>
  <si>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</si>
  <si>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</si>
  <si>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</si>
  <si>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</si>
  <si>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</si>
  <si>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</si>
  <si>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</si>
  <si>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</si>
  <si>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</si>
  <si>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</si>
  <si>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</si>
  <si>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</si>
  <si>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</si>
  <si>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</si>
  <si>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</si>
  <si>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</si>
  <si>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</si>
  <si>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</si>
  <si>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</si>
  <si>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</si>
  <si>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</si>
  <si>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</si>
  <si>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</si>
  <si>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</si>
  <si>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</si>
  <si>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</si>
  <si>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</si>
  <si>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</si>
  <si>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</si>
  <si>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</si>
  <si>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</si>
  <si>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</si>
  <si>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</si>
  <si>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</si>
  <si>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</si>
  <si>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</si>
  <si>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</si>
  <si>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</si>
  <si>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</si>
  <si>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</si>
  <si>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</si>
  <si>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</si>
  <si>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</si>
  <si>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</si>
  <si>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</si>
  <si>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</si>
  <si>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</si>
  <si>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</si>
  <si>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</si>
  <si>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</si>
  <si>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</si>
  <si>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</si>
  <si>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</si>
  <si>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</si>
  <si>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</si>
  <si>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</si>
  <si>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</si>
  <si>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</si>
  <si>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</si>
  <si>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</si>
  <si>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</si>
  <si>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</si>
  <si>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</si>
  <si>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</si>
  <si>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</si>
  <si>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</si>
  <si>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</si>
  <si>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</si>
  <si>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</si>
  <si>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</si>
  <si>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</si>
  <si>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</si>
  <si>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</si>
  <si>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</si>
  <si>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</si>
  <si>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</si>
  <si>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</si>
  <si>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</si>
  <si>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</si>
  <si>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</si>
  <si>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</si>
  <si>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</si>
  <si>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</si>
  <si>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</si>
  <si>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</si>
  <si>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</si>
  <si>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</si>
  <si>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</si>
  <si>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</si>
  <si>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</si>
  <si>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</si>
  <si>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</si>
  <si>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</si>
  <si>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</si>
  <si>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</si>
  <si>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</si>
  <si>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ASSENTO VASO SANITARIO INFANTIL EM PLASTICO BRANCO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</si>
  <si>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</si>
  <si>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</si>
  <si>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</si>
  <si>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</si>
  <si>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</si>
  <si>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</si>
  <si>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</si>
  <si>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</si>
  <si>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</si>
  <si>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</si>
  <si>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</si>
  <si>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</si>
  <si>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</si>
  <si>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</si>
  <si>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</si>
  <si>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</si>
  <si>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</si>
  <si>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</si>
  <si>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</si>
  <si>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</si>
  <si>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</si>
  <si>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</si>
  <si>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</si>
  <si>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</si>
  <si>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</si>
  <si>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</si>
  <si>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</si>
  <si>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</si>
  <si>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</si>
  <si>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</si>
  <si>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</si>
  <si>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</si>
  <si>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</si>
  <si>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</si>
  <si>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</si>
  <si>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</si>
  <si>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</si>
  <si>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</si>
  <si>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</si>
  <si>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</si>
  <si>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</si>
  <si>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</si>
  <si>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</si>
  <si>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</si>
  <si>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</si>
  <si>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</si>
  <si>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</si>
  <si>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</si>
  <si>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</si>
  <si>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</si>
  <si>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</si>
  <si>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</si>
  <si>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</si>
  <si>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</si>
  <si>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</si>
  <si>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</si>
  <si>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</si>
  <si>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</si>
  <si>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</si>
  <si>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</si>
  <si>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</si>
  <si>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</si>
  <si>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</si>
  <si>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</si>
  <si>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</si>
  <si>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</si>
  <si>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</si>
  <si>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</si>
  <si>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</si>
  <si>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</si>
  <si>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</si>
  <si>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</si>
  <si>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</si>
  <si>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</si>
  <si>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</si>
  <si>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</si>
  <si>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</si>
  <si>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</si>
  <si>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</si>
  <si>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</si>
  <si>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</si>
  <si>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</si>
  <si>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</si>
  <si>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</si>
  <si>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</si>
  <si>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</si>
  <si>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</si>
  <si>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</si>
  <si>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</si>
  <si>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</si>
  <si>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</si>
  <si>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</si>
  <si>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</si>
  <si>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</si>
  <si>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</si>
  <si>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</si>
  <si>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</si>
  <si>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</si>
  <si>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</si>
  <si>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</si>
  <si>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</si>
  <si>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</si>
  <si>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</si>
  <si>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</si>
  <si>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</si>
  <si>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FUROS NA VERTICAL, 11,5 X 19 X 29 CM (L X A X C)                                                                                                                                                                                                                                                                                                                                                                                                </t>
  </si>
  <si>
    <t xml:space="preserve">BLOCO CERAMICO / TIJOLO VAZADO PARA ALVENARIA DE VEDACAO, FUROS NA VERTICAL, 11,5 X 19 X 39 CM (L X A X C)                                                                                                                                                                                                                                                                                                                                                                                                </t>
  </si>
  <si>
    <t xml:space="preserve">BLOCO CERAMICO / TIJOLO VAZADO PARA ALVENARIA DE VEDACAO, FUROS NA VERTICAL, 14 X 19 X 29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</si>
  <si>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</si>
  <si>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</si>
  <si>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6 FUROS NA HORIZONTAL, 11,5 X 19 X 29 CM (L X A X C)                                                                                                                                                                                                                                                                                                                                                                                            </t>
  </si>
  <si>
    <t xml:space="preserve">BLOCO CERAMICO / TIJOLO VAZADO PARA ALVENARIA DE VEDACAO, 6 FUROS NA HORIZONTAL, 11,5 X 19 X 39 CM (L X A X C)                                                                                                                                                                                                                                                                                                                                                                                            </t>
  </si>
  <si>
    <t xml:space="preserve">BLOCO CERAMICO / TIJOLO VAZADO PARA ALVENARIA DE VEDACAO, 6 FUROS NA HORIZONTAL, 9 X 14 X 24 CM (L X A X C)                                                                                                                                                                                                                                                                                                                                                                                               </t>
  </si>
  <si>
    <t xml:space="preserve">BLOCO CERAMICO / TIJOLO VAZADO PARA ALVENARIA DE VEDACAO, 6 FUROS NA HORIZONTAL, 9 X 19 X 39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</si>
  <si>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</si>
  <si>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</si>
  <si>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CERAMICO / TIJOLO VAZADO PARA ALVENARIA DE VEDACAO, 9 FUROS NA HORIZONTAL, 11,5 X 14 X 24 CM (L X A X C)                                                                                                                                                                                                                                                                                                                                                                                            </t>
  </si>
  <si>
    <t xml:space="preserve">BLOCO CERAMICO / TIJOLO VAZADO PARA ALVENARIA DE VEDACAO, 9 FUROS NA HORIZONTAL, 14 X 19 X 29 CM (L X A X C)                                                                                                                                                                                                                                                                                                                                                                                              </t>
  </si>
  <si>
    <t xml:space="preserve">BLOCO CERAMICO / TIJOLO VAZADO PARA ALVENARIA DE VEDACAO, 9 FUROS NA HORIZONTAL, 14 X 19 X 39 CM (L X A X C)                                                                                                                                                                                                                                                                                                                                                                                              </t>
  </si>
  <si>
    <t xml:space="preserve">BLOCO CERAMICO / TIJOLO VAZADO PARA ALVENARIA DE VEDACAO, 9 FUROS NA HORIZONTAL, 19 X 19 X 29 CM (L X A X C)                                                                                                                                                                                                                                                                                                                                                                                              </t>
  </si>
  <si>
    <t xml:space="preserve">BLOCO CERAMICO / TIJOLO VAZADO PARA ALVENARIA DE VEDACAO, 9 FUROS NA HORIZONTAL, 19 X 19 X 39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</si>
  <si>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</si>
  <si>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</si>
  <si>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</si>
  <si>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</si>
  <si>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</si>
  <si>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</si>
  <si>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</si>
  <si>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</si>
  <si>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</si>
  <si>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</si>
  <si>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</si>
  <si>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</si>
  <si>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</si>
  <si>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</si>
  <si>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</si>
  <si>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</si>
  <si>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</si>
  <si>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</si>
  <si>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</si>
  <si>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</si>
  <si>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</si>
  <si>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</si>
  <si>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</si>
  <si>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</si>
  <si>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</si>
  <si>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</si>
  <si>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</si>
  <si>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</si>
  <si>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</si>
  <si>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</si>
  <si>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</si>
  <si>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</si>
  <si>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</si>
  <si>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</si>
  <si>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</si>
  <si>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</si>
  <si>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</si>
  <si>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</si>
  <si>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</si>
  <si>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</si>
  <si>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</si>
  <si>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</si>
  <si>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</si>
  <si>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</si>
  <si>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</si>
  <si>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</si>
  <si>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</si>
  <si>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</si>
  <si>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</si>
  <si>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</si>
  <si>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</si>
  <si>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</si>
  <si>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</si>
  <si>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</si>
  <si>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</si>
  <si>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</si>
  <si>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</si>
  <si>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</si>
  <si>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</si>
  <si>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</si>
  <si>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</si>
  <si>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</si>
  <si>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</si>
  <si>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</si>
  <si>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</si>
  <si>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</si>
  <si>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</si>
  <si>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</si>
  <si>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14,8 HP, DIAMETRO DE SUCCAO X ELEVACAO 2 1/2" X 2", DIAMETRO DO ROTOR 195 MM, HM/Q: 62 M / 55,5 M3/H A 80 M / 31,50 M3/H                                                                                                                                                                                                                                                                                                                                        </t>
  </si>
  <si>
    <t xml:space="preserve">BOMBA CENTRIFUGA MOTOR ELETRICO TRIFASICO 2,96HP, DIAMETRO DE SUCCAO X ELEVACAO 1 1/2" X 1 1/4", DIAMETRO DO ROTOR 148 MM, HM/Q: 34 M / 14,80 M3/H A 40 M / 8,60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</si>
  <si>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</si>
  <si>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</si>
  <si>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</si>
  <si>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</si>
  <si>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</si>
  <si>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</si>
  <si>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</si>
  <si>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</si>
  <si>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</si>
  <si>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</si>
  <si>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</si>
  <si>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</si>
  <si>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</si>
  <si>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</si>
  <si>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</si>
  <si>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</si>
  <si>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</si>
  <si>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</si>
  <si>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</si>
  <si>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</si>
  <si>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</si>
  <si>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</si>
  <si>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</si>
  <si>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</si>
  <si>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</si>
  <si>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</si>
  <si>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</si>
  <si>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</si>
  <si>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</si>
  <si>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</si>
  <si>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</si>
  <si>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</si>
  <si>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</si>
  <si>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</si>
  <si>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</si>
  <si>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</si>
  <si>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</si>
  <si>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</si>
  <si>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</si>
  <si>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SEM ANEL DE SOLDA, PONTA X BOLSA, 22 X 15 MM                                                                                                                                                                                                                                                                                                                                                                                                                                    </t>
  </si>
  <si>
    <t xml:space="preserve">BUCHA DE REDUCAO DE COBRE SEM ANEL DE SOLDA, PONTA X BOLSA, 28 X 22 MM                                                                                                                                                                                                                                                                                                                                                                                                                                    </t>
  </si>
  <si>
    <t xml:space="preserve">BUCHA DE REDUCAO DE COBRE SEM ANEL DE SOLDA, PONTA X BOLSA, 35 X 28 MM                                                                                                                                                                                                                                                                                                                                                                                                                                    </t>
  </si>
  <si>
    <t xml:space="preserve">BUCHA DE REDUCAO DE COBRE SEM ANEL DE SOLDA, PONTA X BOLSA, 42 X 35 MM                                                                                                                                                                                                                                                                                                                                                                                                                                    </t>
  </si>
  <si>
    <t xml:space="preserve">BUCHA DE REDUCAO DE COBRE SEM ANEL DE SOLDA, PONTA X BOLSA, 54 X 42 MM                                                                                                                                                                                                                                                                                                                                                                                                                                    </t>
  </si>
  <si>
    <t xml:space="preserve">BUCHA DE REDUCAO DE COBRE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</si>
  <si>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</si>
  <si>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</si>
  <si>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</si>
  <si>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</si>
  <si>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</si>
  <si>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</si>
  <si>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</si>
  <si>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</si>
  <si>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</si>
  <si>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</si>
  <si>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</si>
  <si>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</si>
  <si>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</si>
  <si>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</si>
  <si>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</si>
  <si>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</si>
  <si>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</si>
  <si>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</si>
  <si>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</si>
  <si>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</si>
  <si>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</si>
  <si>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</si>
  <si>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</si>
  <si>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</si>
  <si>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</si>
  <si>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</si>
  <si>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</si>
  <si>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</si>
  <si>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</si>
  <si>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</si>
  <si>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</si>
  <si>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</si>
  <si>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</si>
  <si>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</si>
  <si>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</si>
  <si>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</si>
  <si>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</si>
  <si>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</si>
  <si>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</si>
  <si>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</si>
  <si>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</si>
  <si>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</si>
  <si>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</si>
  <si>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</si>
  <si>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</si>
  <si>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</si>
  <si>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</si>
  <si>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</si>
  <si>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</si>
  <si>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</si>
  <si>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</si>
  <si>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</si>
  <si>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</si>
  <si>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</si>
  <si>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</si>
  <si>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</si>
  <si>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</si>
  <si>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</si>
  <si>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</si>
  <si>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</si>
  <si>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</si>
  <si>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</si>
  <si>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</si>
  <si>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</si>
  <si>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</si>
  <si>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</si>
  <si>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</si>
  <si>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</si>
  <si>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</si>
  <si>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</si>
  <si>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</si>
  <si>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</si>
  <si>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</si>
  <si>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</si>
  <si>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</si>
  <si>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</si>
  <si>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</si>
  <si>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</si>
  <si>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</si>
  <si>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</si>
  <si>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</si>
  <si>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</si>
  <si>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</si>
  <si>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</si>
  <si>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</si>
  <si>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</si>
  <si>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</si>
  <si>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</si>
  <si>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</si>
  <si>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</si>
  <si>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</si>
  <si>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</si>
  <si>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</si>
  <si>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</si>
  <si>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</si>
  <si>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</si>
  <si>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</si>
  <si>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</si>
  <si>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</si>
  <si>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</si>
  <si>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</si>
  <si>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</si>
  <si>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</si>
  <si>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</si>
  <si>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</si>
  <si>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</si>
  <si>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</si>
  <si>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</si>
  <si>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</si>
  <si>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</si>
  <si>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</si>
  <si>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</si>
  <si>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</si>
  <si>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</si>
  <si>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</si>
  <si>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</si>
  <si>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</si>
  <si>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</si>
  <si>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</si>
  <si>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</si>
  <si>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</si>
  <si>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</si>
  <si>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</si>
  <si>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</si>
  <si>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</si>
  <si>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</si>
  <si>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</si>
  <si>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</si>
  <si>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</si>
  <si>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</si>
  <si>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</si>
  <si>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</si>
  <si>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</si>
  <si>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</si>
  <si>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</si>
  <si>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</si>
  <si>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</si>
  <si>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</si>
  <si>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</si>
  <si>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</si>
  <si>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</si>
  <si>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</si>
  <si>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</si>
  <si>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</si>
  <si>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</si>
  <si>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</si>
  <si>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</si>
  <si>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</si>
  <si>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</si>
  <si>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</si>
  <si>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</si>
  <si>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</si>
  <si>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</si>
  <si>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</si>
  <si>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</si>
  <si>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</si>
  <si>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</si>
  <si>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</si>
  <si>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</si>
  <si>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</si>
  <si>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</si>
  <si>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</si>
  <si>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</si>
  <si>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</si>
  <si>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</si>
  <si>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</si>
  <si>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</si>
  <si>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</si>
  <si>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</si>
  <si>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</si>
  <si>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</si>
  <si>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</si>
  <si>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</si>
  <si>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</si>
  <si>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</si>
  <si>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</si>
  <si>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</si>
  <si>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</si>
  <si>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</si>
  <si>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</si>
  <si>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</si>
  <si>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</si>
  <si>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</si>
  <si>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</si>
  <si>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</si>
  <si>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</si>
  <si>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</si>
  <si>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</si>
  <si>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</si>
  <si>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</si>
  <si>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</si>
  <si>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</si>
  <si>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</si>
  <si>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</si>
  <si>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</si>
  <si>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</si>
  <si>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</si>
  <si>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</si>
  <si>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</si>
  <si>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</si>
  <si>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</si>
  <si>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</si>
  <si>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</si>
  <si>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</si>
  <si>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</si>
  <si>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</si>
  <si>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</si>
  <si>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</si>
  <si>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</si>
  <si>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</si>
  <si>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</si>
  <si>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</si>
  <si>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</si>
  <si>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</si>
  <si>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</si>
  <si>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</si>
  <si>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</si>
  <si>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</si>
  <si>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</si>
  <si>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</si>
  <si>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</si>
  <si>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</si>
  <si>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</si>
  <si>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</si>
  <si>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</si>
  <si>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</si>
  <si>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</si>
  <si>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</si>
  <si>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</si>
  <si>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</si>
  <si>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</si>
  <si>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</si>
  <si>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</si>
  <si>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</si>
  <si>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</si>
  <si>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</si>
  <si>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</si>
  <si>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</si>
  <si>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</si>
  <si>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</si>
  <si>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</si>
  <si>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</si>
  <si>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</si>
  <si>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</si>
  <si>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</si>
  <si>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</si>
  <si>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</si>
  <si>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</si>
  <si>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</si>
  <si>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</si>
  <si>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</si>
  <si>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</si>
  <si>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</si>
  <si>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</si>
  <si>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</si>
  <si>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</si>
  <si>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</si>
  <si>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</si>
  <si>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</si>
  <si>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</si>
  <si>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</si>
  <si>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</si>
  <si>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</si>
  <si>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</si>
  <si>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</si>
  <si>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</si>
  <si>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</si>
  <si>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</si>
  <si>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</si>
  <si>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</si>
  <si>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</si>
  <si>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</si>
  <si>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</si>
  <si>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</si>
  <si>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</si>
  <si>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</si>
  <si>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</si>
  <si>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</si>
  <si>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</si>
  <si>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</si>
  <si>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</si>
  <si>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</si>
  <si>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</si>
  <si>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</si>
  <si>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</si>
  <si>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</si>
  <si>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</si>
  <si>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</si>
  <si>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</si>
  <si>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</si>
  <si>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</si>
  <si>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</si>
  <si>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</si>
  <si>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</si>
  <si>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</si>
  <si>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</si>
  <si>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</si>
  <si>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</si>
  <si>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</si>
  <si>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</si>
  <si>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</si>
  <si>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</si>
  <si>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</si>
  <si>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</si>
  <si>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</si>
  <si>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</si>
  <si>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</si>
  <si>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</si>
  <si>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</si>
  <si>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</si>
  <si>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</si>
  <si>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</si>
  <si>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</si>
  <si>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</si>
  <si>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</si>
  <si>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</si>
  <si>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</si>
  <si>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</si>
  <si>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</si>
  <si>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</si>
  <si>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</si>
  <si>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</si>
  <si>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</si>
  <si>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</si>
  <si>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</si>
  <si>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</si>
  <si>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</si>
  <si>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</si>
  <si>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</si>
  <si>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</si>
  <si>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</si>
  <si>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</si>
  <si>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</si>
  <si>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</si>
  <si>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</si>
  <si>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</si>
  <si>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</si>
  <si>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</si>
  <si>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</si>
  <si>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</si>
  <si>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</si>
  <si>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</si>
  <si>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</si>
  <si>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</si>
  <si>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</si>
  <si>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</si>
  <si>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</si>
  <si>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</si>
  <si>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</si>
  <si>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</si>
  <si>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</si>
  <si>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</si>
  <si>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</si>
  <si>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</si>
  <si>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</si>
  <si>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</si>
  <si>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</si>
  <si>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</si>
  <si>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</si>
  <si>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</si>
  <si>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</si>
  <si>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</si>
  <si>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</si>
  <si>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</si>
  <si>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</si>
  <si>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</si>
  <si>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</si>
  <si>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</si>
  <si>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</si>
  <si>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</si>
  <si>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</si>
  <si>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</si>
  <si>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</si>
  <si>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</si>
  <si>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</si>
  <si>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</si>
  <si>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</si>
  <si>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</si>
  <si>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</si>
  <si>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</si>
  <si>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</si>
  <si>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</si>
  <si>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</si>
  <si>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</si>
  <si>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</si>
  <si>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</si>
  <si>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</si>
  <si>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</si>
  <si>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</si>
  <si>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</si>
  <si>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</si>
  <si>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</si>
  <si>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</si>
  <si>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</si>
  <si>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</si>
  <si>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</si>
  <si>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</si>
  <si>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</si>
  <si>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</si>
  <si>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</si>
  <si>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</si>
  <si>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</si>
  <si>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</si>
  <si>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</si>
  <si>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</si>
  <si>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</si>
  <si>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</si>
  <si>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</si>
  <si>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</si>
  <si>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</si>
  <si>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</si>
  <si>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</si>
  <si>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</si>
  <si>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</si>
  <si>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</si>
  <si>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</si>
  <si>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</si>
  <si>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</si>
  <si>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</si>
  <si>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</si>
  <si>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</si>
  <si>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</si>
  <si>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</si>
  <si>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</si>
  <si>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</si>
  <si>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</si>
  <si>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</si>
  <si>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</si>
  <si>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</si>
  <si>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</si>
  <si>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</si>
  <si>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</si>
  <si>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</si>
  <si>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</si>
  <si>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</si>
  <si>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</si>
  <si>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</si>
  <si>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</si>
  <si>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</si>
  <si>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</si>
  <si>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</si>
  <si>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</si>
  <si>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</si>
  <si>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</si>
  <si>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</si>
  <si>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</si>
  <si>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</si>
  <si>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</si>
  <si>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</si>
  <si>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</si>
  <si>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</si>
  <si>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</si>
  <si>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</si>
  <si>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</si>
  <si>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EM ACO, COM CAPACIDADE DE *45 A 65* L / *100* KG,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</si>
  <si>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</si>
  <si>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</si>
  <si>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</si>
  <si>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</si>
  <si>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</si>
  <si>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</si>
  <si>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</si>
  <si>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</si>
  <si>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</si>
  <si>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</si>
  <si>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</si>
  <si>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</si>
  <si>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</si>
  <si>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</si>
  <si>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</si>
  <si>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</si>
  <si>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</si>
  <si>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</si>
  <si>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</si>
  <si>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</si>
  <si>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</si>
  <si>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</si>
  <si>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</si>
  <si>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</si>
  <si>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</si>
  <si>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</si>
  <si>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</si>
  <si>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</si>
  <si>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</si>
  <si>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</si>
  <si>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</si>
  <si>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</si>
  <si>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</si>
  <si>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</si>
  <si>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</si>
  <si>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</si>
  <si>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</si>
  <si>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</si>
  <si>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</si>
  <si>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</si>
  <si>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</si>
  <si>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</si>
  <si>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</si>
  <si>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</si>
  <si>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</si>
  <si>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</si>
  <si>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</si>
  <si>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</si>
  <si>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</si>
  <si>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</si>
  <si>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</si>
  <si>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</si>
  <si>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</si>
  <si>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</si>
  <si>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</si>
  <si>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</si>
  <si>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</si>
  <si>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</si>
  <si>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</si>
  <si>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</si>
  <si>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</si>
  <si>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</si>
  <si>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</si>
  <si>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</si>
  <si>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</si>
  <si>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</si>
  <si>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</si>
  <si>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</si>
  <si>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</si>
  <si>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</si>
  <si>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</si>
  <si>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</si>
  <si>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</si>
  <si>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</si>
  <si>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</si>
  <si>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</si>
  <si>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</si>
  <si>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</si>
  <si>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</si>
  <si>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</si>
  <si>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</si>
  <si>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</si>
  <si>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</si>
  <si>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</si>
  <si>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</si>
  <si>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</si>
  <si>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</si>
  <si>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</si>
  <si>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</si>
  <si>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</si>
  <si>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</si>
  <si>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</si>
  <si>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</si>
  <si>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</si>
  <si>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</si>
  <si>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</si>
  <si>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</si>
  <si>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</si>
  <si>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</si>
  <si>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</si>
  <si>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</si>
  <si>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</si>
  <si>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</si>
  <si>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</si>
  <si>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</si>
  <si>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</si>
  <si>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</si>
  <si>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</si>
  <si>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</si>
  <si>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</si>
  <si>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</si>
  <si>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</si>
  <si>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</si>
  <si>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</si>
  <si>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</si>
  <si>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</si>
  <si>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</si>
  <si>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</si>
  <si>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</si>
  <si>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</si>
  <si>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</si>
  <si>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</si>
  <si>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</si>
  <si>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</si>
  <si>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</si>
  <si>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</si>
  <si>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</si>
  <si>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</si>
  <si>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</si>
  <si>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</si>
  <si>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</si>
  <si>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</si>
  <si>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</si>
  <si>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</si>
  <si>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</si>
  <si>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</si>
  <si>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</si>
  <si>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</si>
  <si>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</si>
  <si>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</si>
  <si>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</si>
  <si>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</si>
  <si>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</si>
  <si>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</si>
  <si>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</si>
  <si>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</si>
  <si>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</si>
  <si>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</si>
  <si>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T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</si>
  <si>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</si>
  <si>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</si>
  <si>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</si>
  <si>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</si>
  <si>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</si>
  <si>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</si>
  <si>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</si>
  <si>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</si>
  <si>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</si>
  <si>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</si>
  <si>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</si>
  <si>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</si>
  <si>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</si>
  <si>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</si>
  <si>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</si>
  <si>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</si>
  <si>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</si>
  <si>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</si>
  <si>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</si>
  <si>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</si>
  <si>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</si>
  <si>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</si>
  <si>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</si>
  <si>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</si>
  <si>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</si>
  <si>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</si>
  <si>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</si>
  <si>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</si>
  <si>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</si>
  <si>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</si>
  <si>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</si>
  <si>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</si>
  <si>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</si>
  <si>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 1/4",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</si>
  <si>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</si>
  <si>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</si>
  <si>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</si>
  <si>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</si>
  <si>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</si>
  <si>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</si>
  <si>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</si>
  <si>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</si>
  <si>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</si>
  <si>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</si>
  <si>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</si>
  <si>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</si>
  <si>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</si>
  <si>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</si>
  <si>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</si>
  <si>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</si>
  <si>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</si>
  <si>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</si>
  <si>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</si>
  <si>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</si>
  <si>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</si>
  <si>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</si>
  <si>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</si>
  <si>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</si>
  <si>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</si>
  <si>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</si>
  <si>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</si>
  <si>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</si>
  <si>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</si>
  <si>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</si>
  <si>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</si>
  <si>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</si>
  <si>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</si>
  <si>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</si>
  <si>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</si>
  <si>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</si>
  <si>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</si>
  <si>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</si>
  <si>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</si>
  <si>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</si>
  <si>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</si>
  <si>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</si>
  <si>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</si>
  <si>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</si>
  <si>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</si>
  <si>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</si>
  <si>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</si>
  <si>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</si>
  <si>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</si>
  <si>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</si>
  <si>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</si>
  <si>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</si>
  <si>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</si>
  <si>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</si>
  <si>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</si>
  <si>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</si>
  <si>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</si>
  <si>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</si>
  <si>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</si>
  <si>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</si>
  <si>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</si>
  <si>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</si>
  <si>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</si>
  <si>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</si>
  <si>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SEM ANEL DE SOLDA, BOLSA X ROSCA F, 15 MM X 1/2"                                                                                                                                                                                                                                                                                                                                                                                                                                    </t>
  </si>
  <si>
    <t xml:space="preserve">CONECTOR BRONZE/LATAO SEM ANEL DE SOLDA, BOLSA X ROSCA F, 22 MM X 1/2"                                                                                                                                                                                                                                                                                                                                                                                                                                    </t>
  </si>
  <si>
    <t xml:space="preserve">CONECTOR BRONZE/LATAO SEM ANEL DE SOLDA, BOLSA X ROSCA F, 22 MM X 3/4"                                                                                                                                                                                                                                                                                                                                                                                                                                    </t>
  </si>
  <si>
    <t xml:space="preserve">CONECTOR BRONZE/LATAO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</si>
  <si>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</si>
  <si>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</si>
  <si>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</si>
  <si>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</si>
  <si>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</si>
  <si>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</si>
  <si>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</si>
  <si>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</si>
  <si>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</si>
  <si>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</si>
  <si>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</si>
  <si>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</si>
  <si>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</si>
  <si>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</si>
  <si>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</si>
  <si>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</si>
  <si>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</si>
  <si>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</si>
  <si>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</si>
  <si>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</si>
  <si>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</si>
  <si>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</si>
  <si>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</si>
  <si>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</si>
  <si>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</si>
  <si>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</si>
  <si>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</si>
  <si>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</si>
  <si>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</si>
  <si>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</si>
  <si>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</si>
  <si>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</si>
  <si>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</si>
  <si>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</si>
  <si>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</si>
  <si>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</si>
  <si>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</si>
  <si>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</si>
  <si>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</si>
  <si>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</si>
  <si>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</si>
  <si>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</si>
  <si>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</si>
  <si>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</si>
  <si>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</si>
  <si>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</si>
  <si>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</si>
  <si>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</si>
  <si>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</si>
  <si>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</si>
  <si>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</si>
  <si>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</si>
  <si>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</si>
  <si>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</si>
  <si>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</si>
  <si>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</si>
  <si>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</si>
  <si>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</si>
  <si>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</si>
  <si>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</si>
  <si>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</si>
  <si>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</si>
  <si>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</si>
  <si>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</si>
  <si>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</si>
  <si>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</si>
  <si>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</si>
  <si>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</si>
  <si>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</si>
  <si>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</si>
  <si>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</si>
  <si>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</si>
  <si>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</si>
  <si>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</si>
  <si>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</si>
  <si>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</si>
  <si>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</si>
  <si>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</si>
  <si>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</si>
  <si>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</si>
  <si>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</si>
  <si>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</si>
  <si>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</si>
  <si>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</si>
  <si>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</si>
  <si>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</si>
  <si>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</si>
  <si>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</si>
  <si>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</si>
  <si>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</si>
  <si>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</si>
  <si>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</si>
  <si>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</si>
  <si>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</si>
  <si>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</si>
  <si>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</si>
  <si>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</si>
  <si>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</si>
  <si>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</si>
  <si>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</si>
  <si>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</si>
  <si>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</si>
  <si>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</si>
  <si>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COROA PARA PERFURATRIZ T38, D = 2 1/2", 6 X 4 BOTOES BALISTICOS, FACE PLANA                                                                                                                                                                                                                                                                                                                                                                                                                               </t>
  </si>
  <si>
    <t xml:space="preserve">CORRENTE DE ELO CURTO COMUM, SOLDADA, GALVANIZADA, ESPESSURA DO ELO = 1/2" (12,5 MM)                                                                                                                                                                                                                                                                                                                                                                                                                      </t>
  </si>
  <si>
    <t xml:space="preserve">CORTADEIRA DE PISO DE CONCRETO E ASFALTO, PARA DISCO PADRAO DE DIAMETRO 350 MM (14") OU 450 MM (18"), MOTOR A GASOLINA, POTENCIA 13 HP, SEM DISCO                                                                                                                                                                                                                                                                                                                                                         </t>
  </si>
  <si>
    <t xml:space="preserve">CORTADEIRA HIDRAULICA DE VERGALHAO, PARA ACO DE DIAMETRO ATE 50 MM, MOTOR ELETRICO TRIFASICO, POTENCIA DE 5,5 HP A 7,5 HP                                                                                                                                                                                                                                                                                                                                                                                 </t>
  </si>
  <si>
    <t xml:space="preserve">COTOVELO BRONZE/LATAO SEM ANEL DE SOLDA, BOLSA X ROSCA F, 15MM X 1/2"                                                                                                                                                                                                                                                                                                                                                                                                                                     </t>
  </si>
  <si>
    <t xml:space="preserve">COTOVELO BRONZE/LATAO SEM ANEL DE SOLDA, BOLSA X ROSCA F, 22MM X 1/2"                                                                                                                                                                                                                                                                                                                                                                                                                                     </t>
  </si>
  <si>
    <t xml:space="preserve">COTOVELO BRONZE/LATAO SEM ANEL DE SOLDA, BOLSA X ROSCA F, 22MM X 3/4"                                                                                                                                                                                                                                                                                                                                                                                                                                     </t>
  </si>
  <si>
    <t xml:space="preserve">COTOVELO DE COBRE 90 GRAUS SEM ANEL DE SOLDA, BOLSA X BOLSA, 104 MM                                                                                                                                                                                                                                                                                                                                                                                                                                       </t>
  </si>
  <si>
    <t xml:space="preserve">COTOVELO DE COBRE 90 GRAUS SEM ANEL DE SOLDA, BOLSA X BOLSA, 15 MM                                                                                                                                                                                                                                                                                                                                                                                                                                        </t>
  </si>
  <si>
    <t xml:space="preserve">COTOVELO DE COBRE 90 GRAUS SEM ANEL DE SOLDA, BOLSA X BOLSA, 22 MM                                                                                                                                                                                                                                                                                                                                                                                                                                        </t>
  </si>
  <si>
    <t xml:space="preserve">COTOVELO DE COBRE 90 GRAUS SEM ANEL DE SOLDA, BOLSA X BOLSA, 28 MM                                                                                                                                                                                                                                                                                                                                                                                                                                        </t>
  </si>
  <si>
    <t xml:space="preserve">COTOVELO DE COBRE 90 GRAUS SEM ANEL DE SOLDA, BOLSA X BOLSA, 35 MM                                                                                                                                                                                                                                                                                                                                                                                                                                        </t>
  </si>
  <si>
    <t xml:space="preserve">COTOVELO DE COBRE 90 GRAUS SEM ANEL DE SOLDA, BOLSA X BOLSA, 42 MM                                                                                                                                                                                                                                                                                                                                                                                                                                        </t>
  </si>
  <si>
    <t xml:space="preserve">COTOVELO DE COBRE 90 GRAUS SEM ANEL DE SOLDA, BOLSA X BOLSA, 54 MM                                                                                                                                                                                                                                                                                                                                                                                                                                        </t>
  </si>
  <si>
    <t xml:space="preserve">COTOVELO DE COBRE 90 GRAUS SEM ANEL DE SOLDA, BOLSA X BOLSA, 66 MM                                                                                                                                                                                                                                                                                                                                                                                                                                        </t>
  </si>
  <si>
    <t xml:space="preserve">COTOVELO DE COBRE 90 GRAUS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</si>
  <si>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</si>
  <si>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</si>
  <si>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</si>
  <si>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</si>
  <si>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</si>
  <si>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</si>
  <si>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</si>
  <si>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</si>
  <si>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</si>
  <si>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</si>
  <si>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</si>
  <si>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</si>
  <si>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</si>
  <si>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</si>
  <si>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</si>
  <si>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</si>
  <si>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</si>
  <si>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</si>
  <si>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</si>
  <si>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</si>
  <si>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</si>
  <si>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</si>
  <si>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</si>
  <si>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</si>
  <si>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</si>
  <si>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</si>
  <si>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</si>
  <si>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</si>
  <si>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</si>
  <si>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</si>
  <si>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</si>
  <si>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</si>
  <si>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</si>
  <si>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</si>
  <si>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</si>
  <si>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</si>
  <si>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</si>
  <si>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</si>
  <si>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</si>
  <si>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</si>
  <si>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</si>
  <si>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</si>
  <si>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</si>
  <si>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</si>
  <si>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</si>
  <si>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</si>
  <si>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</si>
  <si>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</si>
  <si>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</si>
  <si>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</si>
  <si>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</si>
  <si>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</si>
  <si>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</si>
  <si>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</si>
  <si>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</si>
  <si>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</si>
  <si>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</si>
  <si>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</si>
  <si>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</si>
  <si>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</si>
  <si>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</si>
  <si>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</si>
  <si>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</si>
  <si>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</si>
  <si>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</si>
  <si>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</si>
  <si>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</si>
  <si>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</si>
  <si>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</si>
  <si>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</si>
  <si>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</si>
  <si>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</si>
  <si>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</si>
  <si>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</si>
  <si>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</si>
  <si>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</si>
  <si>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</si>
  <si>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</si>
  <si>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</si>
  <si>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</si>
  <si>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</si>
  <si>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</si>
  <si>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</si>
  <si>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</si>
  <si>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</si>
  <si>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</si>
  <si>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</si>
  <si>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</si>
  <si>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</si>
  <si>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</si>
  <si>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</si>
  <si>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</si>
  <si>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</si>
  <si>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</si>
  <si>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SEM ANEL DE SOLDA, BOLSA X BOLSA, 15 MM                                                                                                                                                                                                                                                                                                                                                                                                                                </t>
  </si>
  <si>
    <t xml:space="preserve">CURVA DE TRANSPOSICAO BRONZE/LATAO SEM ANEL DE SOLDA, BOLSA X BOLSA, 22 MM                                                                                                                                                                                                                                                                                                                                                                                                                                </t>
  </si>
  <si>
    <t xml:space="preserve">CURVA DE TRANSPOSICAO BRONZE/LATAO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</si>
  <si>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</si>
  <si>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</si>
  <si>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</si>
  <si>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</si>
  <si>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</si>
  <si>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</si>
  <si>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</si>
  <si>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</si>
  <si>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</si>
  <si>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</si>
  <si>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</si>
  <si>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</si>
  <si>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</si>
  <si>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</si>
  <si>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</si>
  <si>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</si>
  <si>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</si>
  <si>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</si>
  <si>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</si>
  <si>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</si>
  <si>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</si>
  <si>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</si>
  <si>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</si>
  <si>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</si>
  <si>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</si>
  <si>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</si>
  <si>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</si>
  <si>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</si>
  <si>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</si>
  <si>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</si>
  <si>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</si>
  <si>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</si>
  <si>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</si>
  <si>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</si>
  <si>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</si>
  <si>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</si>
  <si>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</si>
  <si>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</si>
  <si>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</si>
  <si>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</si>
  <si>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</si>
  <si>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</si>
  <si>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</si>
  <si>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</si>
  <si>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</si>
  <si>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</si>
  <si>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</si>
  <si>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</si>
  <si>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</si>
  <si>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</si>
  <si>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</si>
  <si>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</si>
  <si>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SEM ANEL DE SOLDA, BOLSA X BOLSA, 15 MM                                                                                                                                                                                                                                                                                                                                                                                                                                           </t>
  </si>
  <si>
    <t xml:space="preserve">CURVA 45 GRAUS DE COBRE SEM ANEL DE SOLDA, BOLSA X BOLSA, 22 MM                                                                                                                                                                                                                                                                                                                                                                                                                                           </t>
  </si>
  <si>
    <t xml:space="preserve">CURVA 45 GRAUS DE COBRE SEM ANEL DE SOLDA, BOLSA X BOLSA, 28 MM                                                                                                                                                                                                                                                                                                                                                                                                                                           </t>
  </si>
  <si>
    <t xml:space="preserve">CURVA 45 GRAUS DE COBRE SEM ANEL DE SOLDA, BOLSA X BOLSA, 35 MM                                                                                                                                                                                                                                                                                                                                                                                                                                           </t>
  </si>
  <si>
    <t xml:space="preserve">CURVA 45 GRAUS DE COBRE SEM ANEL DE SOLDA, BOLSA X BOLSA, 42 MM                                                                                                                                                                                                                                                                                                                                                                                                                                           </t>
  </si>
  <si>
    <t xml:space="preserve">CURVA 45 GRAUS DE COBRE SEM ANEL DE SOLDA, BOLSA X BOLSA, 54 MM                                                                                                                                                                                                                                                                                                                                                                                                                                           </t>
  </si>
  <si>
    <t xml:space="preserve">CURVA 45 GRAUS DE COBRE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</si>
  <si>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</si>
  <si>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</si>
  <si>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</si>
  <si>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</si>
  <si>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</si>
  <si>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</si>
  <si>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</si>
  <si>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</si>
  <si>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</si>
  <si>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</si>
  <si>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</si>
  <si>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</si>
  <si>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</si>
  <si>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</si>
  <si>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</si>
  <si>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</si>
  <si>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</si>
  <si>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</si>
  <si>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</si>
  <si>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</si>
  <si>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</si>
  <si>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</si>
  <si>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</si>
  <si>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</si>
  <si>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</si>
  <si>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</si>
  <si>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</si>
  <si>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</si>
  <si>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</si>
  <si>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</si>
  <si>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</si>
  <si>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</si>
  <si>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</si>
  <si>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</si>
  <si>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</si>
  <si>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</si>
  <si>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</si>
  <si>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</si>
  <si>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</si>
  <si>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</si>
  <si>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</si>
  <si>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</si>
  <si>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</si>
  <si>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</si>
  <si>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</si>
  <si>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</si>
  <si>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</si>
  <si>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</si>
  <si>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</si>
  <si>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</si>
  <si>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</si>
  <si>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</si>
  <si>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</si>
  <si>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</si>
  <si>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</si>
  <si>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</si>
  <si>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</si>
  <si>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</si>
  <si>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</si>
  <si>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</si>
  <si>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</si>
  <si>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</si>
  <si>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</si>
  <si>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</si>
  <si>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</si>
  <si>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</si>
  <si>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</si>
  <si>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</si>
  <si>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</si>
  <si>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</si>
  <si>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</si>
  <si>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</si>
  <si>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</si>
  <si>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</si>
  <si>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</si>
  <si>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</si>
  <si>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</si>
  <si>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</si>
  <si>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</si>
  <si>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</si>
  <si>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</si>
  <si>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</si>
  <si>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</si>
  <si>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</si>
  <si>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</si>
  <si>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</si>
  <si>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</si>
  <si>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</si>
  <si>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</si>
  <si>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</si>
  <si>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</si>
  <si>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</si>
  <si>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</si>
  <si>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</si>
  <si>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</si>
  <si>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</si>
  <si>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</si>
  <si>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</si>
  <si>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</si>
  <si>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</si>
  <si>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</si>
  <si>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</si>
  <si>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</si>
  <si>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</si>
  <si>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</si>
  <si>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</si>
  <si>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</si>
  <si>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 xml:space="preserve">DISCO DE CORTE DIAMANTADO SEGMENTADO PARA CONCRETO/ASFALTO, DIAMETRO DE *350* MM, FURO DE 25,40 MM                                                                                                                                                                                                                                                                                                                                                                                                        </t>
  </si>
  <si>
    <t xml:space="preserve">DISCO DE CORTE DIAMANTADO SEGMENTADO, DIAMETRO DE *110* MM, FURO DE 20 MM                                                                                                                                                                                                                                                                                                                                                                                                                                 </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</si>
  <si>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</si>
  <si>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</si>
  <si>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</si>
  <si>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</si>
  <si>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</si>
  <si>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</si>
  <si>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</si>
  <si>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</si>
  <si>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</si>
  <si>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</si>
  <si>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</si>
  <si>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</si>
  <si>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</si>
  <si>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</si>
  <si>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</si>
  <si>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</si>
  <si>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</si>
  <si>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</si>
  <si>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</si>
  <si>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</si>
  <si>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 X 400 A / 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</si>
  <si>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</si>
  <si>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</si>
  <si>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</si>
  <si>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</si>
  <si>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</si>
  <si>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</si>
  <si>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</si>
  <si>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</si>
  <si>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</si>
  <si>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</si>
  <si>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</si>
  <si>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</si>
  <si>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</si>
  <si>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</si>
  <si>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</si>
  <si>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</si>
  <si>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</si>
  <si>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</si>
  <si>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</si>
  <si>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</si>
  <si>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</si>
  <si>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</si>
  <si>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</si>
  <si>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</si>
  <si>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</si>
  <si>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</si>
  <si>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</si>
  <si>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</si>
  <si>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</si>
  <si>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</si>
  <si>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</si>
  <si>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</si>
  <si>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</si>
  <si>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</si>
  <si>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</si>
  <si>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</si>
  <si>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</si>
  <si>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</si>
  <si>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</si>
  <si>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</si>
  <si>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</si>
  <si>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</si>
  <si>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</si>
  <si>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</si>
  <si>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</si>
  <si>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</si>
  <si>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</si>
  <si>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</si>
  <si>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</si>
  <si>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</si>
  <si>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</si>
  <si>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</si>
  <si>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</si>
  <si>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</si>
  <si>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</si>
  <si>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</si>
  <si>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</si>
  <si>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</si>
  <si>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</si>
  <si>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</si>
  <si>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</si>
  <si>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</si>
  <si>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</si>
  <si>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</si>
  <si>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</si>
  <si>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</si>
  <si>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DOMOS / CLARABOIA INDIVIDUAL, EM ACRILICO BRANCO/LEITOSO, *95 X 95* CM, INCLUI ACESSORIOS DE FIXACAO,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</si>
  <si>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</si>
  <si>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</si>
  <si>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</si>
  <si>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BRANCO, PARA ACOPLAR EM HASTE 1/2", AGUA FRIA                                                                                                                                                                                                                                                                                                                                                                                                                      </t>
  </si>
  <si>
    <t xml:space="preserve">DUCHA HIGIENICA PLASTICA COM REGISTRO METALICO 1/2"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</si>
  <si>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</si>
  <si>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</si>
  <si>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</si>
  <si>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</si>
  <si>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</si>
  <si>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</si>
  <si>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</si>
  <si>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</si>
  <si>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</si>
  <si>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</si>
  <si>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</si>
  <si>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</si>
  <si>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</si>
  <si>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</si>
  <si>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</si>
  <si>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</si>
  <si>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</si>
  <si>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</si>
  <si>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</si>
  <si>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</si>
  <si>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</si>
  <si>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</si>
  <si>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</si>
  <si>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</si>
  <si>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</si>
  <si>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</si>
  <si>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</si>
  <si>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</si>
  <si>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</si>
  <si>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</si>
  <si>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</si>
  <si>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</si>
  <si>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</si>
  <si>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</si>
  <si>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</si>
  <si>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</si>
  <si>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</si>
  <si>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</si>
  <si>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</si>
  <si>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</si>
  <si>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</si>
  <si>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</si>
  <si>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</si>
  <si>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</si>
  <si>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</si>
  <si>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</si>
  <si>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</si>
  <si>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</si>
  <si>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</si>
  <si>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</si>
  <si>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</si>
  <si>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</si>
  <si>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</si>
  <si>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</si>
  <si>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</si>
  <si>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</si>
  <si>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</si>
  <si>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</si>
  <si>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</si>
  <si>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</si>
  <si>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</si>
  <si>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</si>
  <si>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</si>
  <si>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</si>
  <si>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</si>
  <si>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</si>
  <si>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</si>
  <si>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</si>
  <si>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</si>
  <si>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</si>
  <si>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</si>
  <si>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</si>
  <si>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</si>
  <si>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</si>
  <si>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</si>
  <si>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</si>
  <si>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</si>
  <si>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</si>
  <si>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</si>
  <si>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</si>
  <si>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</si>
  <si>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</si>
  <si>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</si>
  <si>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</si>
  <si>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</si>
  <si>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</si>
  <si>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</si>
  <si>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</si>
  <si>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</si>
  <si>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</si>
  <si>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</si>
  <si>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</si>
  <si>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</si>
  <si>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</si>
  <si>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</si>
  <si>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</si>
  <si>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</si>
  <si>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</si>
  <si>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EM ACO, *25 X 23* CM, COM CABO DE MADEIRA DE *150* CM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</si>
  <si>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</si>
  <si>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</si>
  <si>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</si>
  <si>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</si>
  <si>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</si>
  <si>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</si>
  <si>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</si>
  <si>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</si>
  <si>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</si>
  <si>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</si>
  <si>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</si>
  <si>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</si>
  <si>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</si>
  <si>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</si>
  <si>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</si>
  <si>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</si>
  <si>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</si>
  <si>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</si>
  <si>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</si>
  <si>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</si>
  <si>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</si>
  <si>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</si>
  <si>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</si>
  <si>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</si>
  <si>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</si>
  <si>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</si>
  <si>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</si>
  <si>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COM SAPATAS DE BORRACHA, *2,30* X *0,57* M (ALTURA UTIL X LARGURA MINIMA), MODELO PINTOR, 8 DEGRAUS, CAPACIDADE *100* KG                                                                                                                                                                                                                                                                                                                                               </t>
  </si>
  <si>
    <t xml:space="preserve">ESCADA EXTENSIVEL EM ALUMINIO, COM SAPATAS DE BORRACHA, ALTURA FECHADA 3,60 M, ALTURA ESTENDIDA DE 6,0 A 6,30 M, LARGURA MINIMA DE 35 CM, CACIDADE *120* KG                                                                                                                                                                                                                                                                                                                                               </t>
  </si>
  <si>
    <t xml:space="preserve">ESCAVADEIRA HIDRAULICA DE BRACO LONGO (LONGO ALCANCE) SOBRE ESTEIRAS, CACAMBA 0,52 M3, PESO OPERACIONAL 24 T, POTENCIA LIQUIDA 155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</si>
  <si>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</si>
  <si>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</si>
  <si>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</si>
  <si>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</si>
  <si>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</si>
  <si>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</si>
  <si>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</si>
  <si>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</si>
  <si>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</si>
  <si>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</si>
  <si>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</si>
  <si>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</si>
  <si>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</si>
  <si>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</si>
  <si>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</si>
  <si>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</si>
  <si>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</si>
  <si>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</si>
  <si>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</si>
  <si>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</si>
  <si>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</si>
  <si>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</si>
  <si>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</si>
  <si>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</si>
  <si>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</si>
  <si>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</si>
  <si>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PLASTICO LISA, LARGURA *10* CM                                                                                                                                                                                                                                                                                                                                                                                                                                                                </t>
  </si>
  <si>
    <t xml:space="preserve">ESPATULA EM ACO INOX COM CABO DE MADEIRA E LARGURA DE *8*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</si>
  <si>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</si>
  <si>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</si>
  <si>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</si>
  <si>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</si>
  <si>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</si>
  <si>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</si>
  <si>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</si>
  <si>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</si>
  <si>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</si>
  <si>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</si>
  <si>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</si>
  <si>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</si>
  <si>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</si>
  <si>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</si>
  <si>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</si>
  <si>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</si>
  <si>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</si>
  <si>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</si>
  <si>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</si>
  <si>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</si>
  <si>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</si>
  <si>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</si>
  <si>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</si>
  <si>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</si>
  <si>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</si>
  <si>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</si>
  <si>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</si>
  <si>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</si>
  <si>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</si>
  <si>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</si>
  <si>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</si>
  <si>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</si>
  <si>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</si>
  <si>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</si>
  <si>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</si>
  <si>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</si>
  <si>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</si>
  <si>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</si>
  <si>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</si>
  <si>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</si>
  <si>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</si>
  <si>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</si>
  <si>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</si>
  <si>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</si>
  <si>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</si>
  <si>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</si>
  <si>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</si>
  <si>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</si>
  <si>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</si>
  <si>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</si>
  <si>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</si>
  <si>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</si>
  <si>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</si>
  <si>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</si>
  <si>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</si>
  <si>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</si>
  <si>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</si>
  <si>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</si>
  <si>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</si>
  <si>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</si>
  <si>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</si>
  <si>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</si>
  <si>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</si>
  <si>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</si>
  <si>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</si>
  <si>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</si>
  <si>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</si>
  <si>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</si>
  <si>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</si>
  <si>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</si>
  <si>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</si>
  <si>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</si>
  <si>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</si>
  <si>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</si>
  <si>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</si>
  <si>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</si>
  <si>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</si>
  <si>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</si>
  <si>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</si>
  <si>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</si>
  <si>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</si>
  <si>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</si>
  <si>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</si>
  <si>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</si>
  <si>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</si>
  <si>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</si>
  <si>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</si>
  <si>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</si>
  <si>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</si>
  <si>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</si>
  <si>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</si>
  <si>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</si>
  <si>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</si>
  <si>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</si>
  <si>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</si>
  <si>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</si>
  <si>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</si>
  <si>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</si>
  <si>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</si>
  <si>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</si>
  <si>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</si>
  <si>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</si>
  <si>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</si>
  <si>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</si>
  <si>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</si>
  <si>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</si>
  <si>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</si>
  <si>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</si>
  <si>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</si>
  <si>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</si>
  <si>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</si>
  <si>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</si>
  <si>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</si>
  <si>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</si>
  <si>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</si>
  <si>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</si>
  <si>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</si>
  <si>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</si>
  <si>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</si>
  <si>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</si>
  <si>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</si>
  <si>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</si>
  <si>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</si>
  <si>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</si>
  <si>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</si>
  <si>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</si>
  <si>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</si>
  <si>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</si>
  <si>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</si>
  <si>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</si>
  <si>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</si>
  <si>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</si>
  <si>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</si>
  <si>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</si>
  <si>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LARGURA DE 19 MM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</si>
  <si>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</si>
  <si>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</si>
  <si>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</si>
  <si>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</si>
  <si>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PTFE, ROLO  DE 18 MM X 25 M (L X C)                                                                                                                                                                                                                                                                                                                                                                                                                                                   </t>
  </si>
  <si>
    <t xml:space="preserve">FITA VEDA ROSCA, EM PTFE, ROLO DE 18 MM X 10 M (L X C)                                                                                                                                                                                                                                                                                                                                                                                                                                                    </t>
  </si>
  <si>
    <t xml:space="preserve">FITA VEDA ROSCA, EM PTFE, ROLO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</si>
  <si>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</si>
  <si>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</si>
  <si>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</si>
  <si>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</si>
  <si>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</si>
  <si>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</si>
  <si>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</si>
  <si>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</si>
  <si>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</si>
  <si>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</si>
  <si>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</si>
  <si>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</si>
  <si>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</si>
  <si>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</si>
  <si>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</si>
  <si>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</si>
  <si>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</si>
  <si>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</si>
  <si>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</si>
  <si>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</si>
  <si>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</si>
  <si>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</si>
  <si>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</si>
  <si>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</si>
  <si>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</si>
  <si>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</si>
  <si>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</si>
  <si>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</si>
  <si>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</si>
  <si>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</si>
  <si>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</si>
  <si>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</si>
  <si>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</si>
  <si>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</si>
  <si>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</si>
  <si>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</si>
  <si>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</si>
  <si>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</si>
  <si>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</si>
  <si>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</si>
  <si>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</si>
  <si>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</si>
  <si>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</si>
  <si>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</si>
  <si>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</si>
  <si>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</si>
  <si>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</si>
  <si>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</si>
  <si>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</si>
  <si>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</si>
  <si>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</si>
  <si>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</si>
  <si>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</si>
  <si>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</si>
  <si>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</si>
  <si>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</si>
  <si>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</si>
  <si>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</si>
  <si>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</si>
  <si>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</si>
  <si>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</si>
  <si>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</si>
  <si>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</si>
  <si>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</si>
  <si>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</si>
  <si>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</si>
  <si>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</si>
  <si>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</si>
  <si>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</si>
  <si>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</si>
  <si>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</si>
  <si>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</si>
  <si>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</si>
  <si>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</si>
  <si>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</si>
  <si>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</si>
  <si>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</si>
  <si>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</si>
  <si>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</si>
  <si>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</si>
  <si>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</si>
  <si>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</si>
  <si>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</si>
  <si>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</si>
  <si>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</si>
  <si>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</si>
  <si>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</si>
  <si>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</si>
  <si>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</si>
  <si>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</si>
  <si>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</si>
  <si>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</si>
  <si>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</si>
  <si>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</si>
  <si>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</si>
  <si>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</si>
  <si>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</si>
  <si>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</si>
  <si>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</si>
  <si>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</si>
  <si>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</si>
  <si>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</si>
  <si>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</si>
  <si>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</si>
  <si>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</si>
  <si>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</si>
  <si>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</si>
  <si>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</si>
  <si>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</si>
  <si>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</si>
  <si>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</si>
  <si>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</si>
  <si>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</si>
  <si>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</si>
  <si>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</si>
  <si>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</si>
  <si>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GRELHA FOFO SIMPLES COM REQUADRO, CARGA MAXIMA 12,5 T, *300 X 1000* MM, E= *15* MM, AREA ESTACIONAMENTO CARRO PASSEIO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</si>
  <si>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</si>
  <si>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</si>
  <si>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</si>
  <si>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</si>
  <si>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</si>
  <si>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</si>
  <si>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</si>
  <si>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</si>
  <si>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</si>
  <si>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</si>
  <si>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</si>
  <si>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</si>
  <si>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</si>
  <si>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</si>
  <si>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</si>
  <si>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</si>
  <si>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</si>
  <si>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</si>
  <si>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</si>
  <si>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</si>
  <si>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</si>
  <si>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</si>
  <si>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</si>
  <si>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</si>
  <si>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</si>
  <si>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</si>
  <si>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</si>
  <si>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</si>
  <si>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</si>
  <si>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</si>
  <si>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</si>
  <si>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</si>
  <si>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</si>
  <si>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</si>
  <si>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</si>
  <si>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</si>
  <si>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</si>
  <si>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</si>
  <si>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</si>
  <si>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</si>
  <si>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</si>
  <si>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</si>
  <si>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</si>
  <si>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PARA PERFURATRIZ DE ESTEIRA T38, D= 1 1/2" X *3 M*, PARA PROLONGAR BROCA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</si>
  <si>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</si>
  <si>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</si>
  <si>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</si>
  <si>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</si>
  <si>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</si>
  <si>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</si>
  <si>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</si>
  <si>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</si>
  <si>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</si>
  <si>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</si>
  <si>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</si>
  <si>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</si>
  <si>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</si>
  <si>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</si>
  <si>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</si>
  <si>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</si>
  <si>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</si>
  <si>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</si>
  <si>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</si>
  <si>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</si>
  <si>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</si>
  <si>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</si>
  <si>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</si>
  <si>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</si>
  <si>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</si>
  <si>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</si>
  <si>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</si>
  <si>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</si>
  <si>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</si>
  <si>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</si>
  <si>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</si>
  <si>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</si>
  <si>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</si>
  <si>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</si>
  <si>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</si>
  <si>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</si>
  <si>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</si>
  <si>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</si>
  <si>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</si>
  <si>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</si>
  <si>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</si>
  <si>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</si>
  <si>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</si>
  <si>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</si>
  <si>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</si>
  <si>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</si>
  <si>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</si>
  <si>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</si>
  <si>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</si>
  <si>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</si>
  <si>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</si>
  <si>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</si>
  <si>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</si>
  <si>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</si>
  <si>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</si>
  <si>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</si>
  <si>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</si>
  <si>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</si>
  <si>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</si>
  <si>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</si>
  <si>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</si>
  <si>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</si>
  <si>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</si>
  <si>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</si>
  <si>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</si>
  <si>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</si>
  <si>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</si>
  <si>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</si>
  <si>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</si>
  <si>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</si>
  <si>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</si>
  <si>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</si>
  <si>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</si>
  <si>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</si>
  <si>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</si>
  <si>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</si>
  <si>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</si>
  <si>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</si>
  <si>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</si>
  <si>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</si>
  <si>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</si>
  <si>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</si>
  <si>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</si>
  <si>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</si>
  <si>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</si>
  <si>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</si>
  <si>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</si>
  <si>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</si>
  <si>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</si>
  <si>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</si>
  <si>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</si>
  <si>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</si>
  <si>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</si>
  <si>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</si>
  <si>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</si>
  <si>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</si>
  <si>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</si>
  <si>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</si>
  <si>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</si>
  <si>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</si>
  <si>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</si>
  <si>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</si>
  <si>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</si>
  <si>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</si>
  <si>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</si>
  <si>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</si>
  <si>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</si>
  <si>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</si>
  <si>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</si>
  <si>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</si>
  <si>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</si>
  <si>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</si>
  <si>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</si>
  <si>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</si>
  <si>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</si>
  <si>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</si>
  <si>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</si>
  <si>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</si>
  <si>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</si>
  <si>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</si>
  <si>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</si>
  <si>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</si>
  <si>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</si>
  <si>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</si>
  <si>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</si>
  <si>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</si>
  <si>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</si>
  <si>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</si>
  <si>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</si>
  <si>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</si>
  <si>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</si>
  <si>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</si>
  <si>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</si>
  <si>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</si>
  <si>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</si>
  <si>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</si>
  <si>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</si>
  <si>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</si>
  <si>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</si>
  <si>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</si>
  <si>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</si>
  <si>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</si>
  <si>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</si>
  <si>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</si>
  <si>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</si>
  <si>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</si>
  <si>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</si>
  <si>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</si>
  <si>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</si>
  <si>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</si>
  <si>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</si>
  <si>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</si>
  <si>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</si>
  <si>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</si>
  <si>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</si>
  <si>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</si>
  <si>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</si>
  <si>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</si>
  <si>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</si>
  <si>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</si>
  <si>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</si>
  <si>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</si>
  <si>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</si>
  <si>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</si>
  <si>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</si>
  <si>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</si>
  <si>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</si>
  <si>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</si>
  <si>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</si>
  <si>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</si>
  <si>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</si>
  <si>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</si>
  <si>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</si>
  <si>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</si>
  <si>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</si>
  <si>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</si>
  <si>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</si>
  <si>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</si>
  <si>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</si>
  <si>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</si>
  <si>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</si>
  <si>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</si>
  <si>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</si>
  <si>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</si>
  <si>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</si>
  <si>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</si>
  <si>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</si>
  <si>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</si>
  <si>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</si>
  <si>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</si>
  <si>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</si>
  <si>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</si>
  <si>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</si>
  <si>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</si>
  <si>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</si>
  <si>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</si>
  <si>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</si>
  <si>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</si>
  <si>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</si>
  <si>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</si>
  <si>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</si>
  <si>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</si>
  <si>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</si>
  <si>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</si>
  <si>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</si>
  <si>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</si>
  <si>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</si>
  <si>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</si>
  <si>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</si>
  <si>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</si>
  <si>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</si>
  <si>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</si>
  <si>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</si>
  <si>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</si>
  <si>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</si>
  <si>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</si>
  <si>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</si>
  <si>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</si>
  <si>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</si>
  <si>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</si>
  <si>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</si>
  <si>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PONTA X PONTA, 35 MM                                                                                                                                                                                                                                                                                                                                                                                                                                                      </t>
  </si>
  <si>
    <t xml:space="preserve">JUNTA DE EXPANSAO BRONZE/LATAO, PONTA X PONTA, 42 MM                                                                                                                                                                                                                                                                                                                                                                                                                                                      </t>
  </si>
  <si>
    <t xml:space="preserve">JUNTA DE EXPANSAO BRONZE/LATAO, PONTA X PONTA, 54 MM                                                                                                                                                                                                                                                                                                                                                                                                                                                      </t>
  </si>
  <si>
    <t xml:space="preserve">JUNTA DE EXPANSAO BRONZE/LATAO, PONTA X PONTA, 66 MM                                                                                                                                                                                                                                                                                                                                                                                                                                                      </t>
  </si>
  <si>
    <t xml:space="preserve">JUNTA DE EXPANSAO DE COBRE, PONTA X PONTA, 15 MM                                                                                                                                                                                                                                                                                                                                                                                                                                                          </t>
  </si>
  <si>
    <t xml:space="preserve">JUNTA DE EXPANSAO DE COBRE, PONTA X PONTA, 22 MM                                                                                                                                                                                                                                                                                                                                                                                                                                                          </t>
  </si>
  <si>
    <t xml:space="preserve">JUNTA DE EXPANSAO DE COBRE,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</si>
  <si>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</si>
  <si>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</si>
  <si>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</si>
  <si>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</si>
  <si>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</si>
  <si>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</si>
  <si>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</si>
  <si>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</si>
  <si>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</si>
  <si>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</si>
  <si>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</si>
  <si>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</si>
  <si>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</si>
  <si>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</si>
  <si>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</si>
  <si>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</si>
  <si>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</si>
  <si>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</si>
  <si>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</si>
  <si>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</si>
  <si>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</si>
  <si>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</si>
  <si>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</si>
  <si>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</si>
  <si>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</si>
  <si>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</si>
  <si>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</si>
  <si>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</si>
  <si>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</si>
  <si>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</si>
  <si>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</si>
  <si>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</si>
  <si>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</si>
  <si>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</si>
  <si>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</si>
  <si>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</si>
  <si>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</si>
  <si>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</si>
  <si>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</si>
  <si>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</si>
  <si>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</si>
  <si>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</si>
  <si>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</si>
  <si>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</si>
  <si>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</si>
  <si>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</si>
  <si>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</si>
  <si>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</si>
  <si>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</si>
  <si>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</si>
  <si>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</si>
  <si>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</si>
  <si>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</si>
  <si>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</si>
  <si>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</si>
  <si>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</si>
  <si>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</si>
  <si>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</si>
  <si>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</si>
  <si>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</si>
  <si>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</si>
  <si>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</si>
  <si>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</si>
  <si>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</si>
  <si>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</si>
  <si>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</si>
  <si>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</si>
  <si>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</si>
  <si>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</si>
  <si>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</si>
  <si>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</si>
  <si>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</si>
  <si>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</si>
  <si>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</si>
  <si>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</si>
  <si>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</si>
  <si>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</si>
  <si>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</si>
  <si>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</si>
  <si>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PARA PEDREIRO LISA, 0,8 MM X 100 M                                                                                                                                                                                                                                                                                                                                                                                                                                                                  </t>
  </si>
  <si>
    <t xml:space="preserve">LIXA D'AGUA EM FOLHA, COR PRETA,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</si>
  <si>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</si>
  <si>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</si>
  <si>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</si>
  <si>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</si>
  <si>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</si>
  <si>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</si>
  <si>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</si>
  <si>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</si>
  <si>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</si>
  <si>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</si>
  <si>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</si>
  <si>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</si>
  <si>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</si>
  <si>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</si>
  <si>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</si>
  <si>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</si>
  <si>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</si>
  <si>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</si>
  <si>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</si>
  <si>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</si>
  <si>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</si>
  <si>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</si>
  <si>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</si>
  <si>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</si>
  <si>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</si>
  <si>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</si>
  <si>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</si>
  <si>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</si>
  <si>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</si>
  <si>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</si>
  <si>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</si>
  <si>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</si>
  <si>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</si>
  <si>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</si>
  <si>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</si>
  <si>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</si>
  <si>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</si>
  <si>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</si>
  <si>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</si>
  <si>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</si>
  <si>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</si>
  <si>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</si>
  <si>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</si>
  <si>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</si>
  <si>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</si>
  <si>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</si>
  <si>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</si>
  <si>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</si>
  <si>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</si>
  <si>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</si>
  <si>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</si>
  <si>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</si>
  <si>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</si>
  <si>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</si>
  <si>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</si>
  <si>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</si>
  <si>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</si>
  <si>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</si>
  <si>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</si>
  <si>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</si>
  <si>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</si>
  <si>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</si>
  <si>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</si>
  <si>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</si>
  <si>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</si>
  <si>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</si>
  <si>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</si>
  <si>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</si>
  <si>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</si>
  <si>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</si>
  <si>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</si>
  <si>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</si>
  <si>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SEM ANEL DE SOLDA, BOLSA X BOLSA, 104 MM                                                                                                                                                                                                                                                                                                                                                                                                                                                    </t>
  </si>
  <si>
    <t xml:space="preserve">LUVA DE COBRE SEM ANEL DE SOLDA, BOLSA X BOLSA, 15 MM                                                                                                                                                                                                                                                                                                                                                                                                                                                     </t>
  </si>
  <si>
    <t xml:space="preserve">LUVA DE COBRE SEM ANEL DE SOLDA, BOLSA X BOLSA, 22 MM                                                                                                                                                                                                                                                                                                                                                                                                                                                     </t>
  </si>
  <si>
    <t xml:space="preserve">LUVA DE COBRE SEM ANEL DE SOLDA, BOLSA X BOLSA, 28 MM                                                                                                                                                                                                                                                                                                                                                                                                                                                     </t>
  </si>
  <si>
    <t xml:space="preserve">LUVA DE COBRE SEM ANEL DE SOLDA, BOLSA X BOLSA, 35 MM                                                                                                                                                                                                                                                                                                                                                                                                                                                     </t>
  </si>
  <si>
    <t xml:space="preserve">LUVA DE COBRE SEM ANEL DE SOLDA, BOLSA X BOLSA, 42 MM                                                                                                                                                                                                                                                                                                                                                                                                                                                     </t>
  </si>
  <si>
    <t xml:space="preserve">LUVA DE COBRE SEM ANEL DE SOLDA, BOLSA X BOLSA, 54 MM                                                                                                                                                                                                                                                                                                                                                                                                                                                     </t>
  </si>
  <si>
    <t xml:space="preserve">LUVA DE COBRE SEM ANEL DE SOLDA, BOLSA X BOLSA, 66 MM                                                                                                                                                                                                                                                                                                                                                                                                                                                     </t>
  </si>
  <si>
    <t xml:space="preserve">LUVA DE COBRE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</si>
  <si>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</si>
  <si>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</si>
  <si>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</si>
  <si>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</si>
  <si>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</si>
  <si>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</si>
  <si>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</si>
  <si>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</si>
  <si>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</si>
  <si>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</si>
  <si>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</si>
  <si>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</si>
  <si>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</si>
  <si>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</si>
  <si>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</si>
  <si>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</si>
  <si>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</si>
  <si>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</si>
  <si>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</si>
  <si>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</si>
  <si>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</si>
  <si>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</si>
  <si>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</si>
  <si>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</si>
  <si>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</si>
  <si>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</si>
  <si>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</si>
  <si>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</si>
  <si>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</si>
  <si>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</si>
  <si>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</si>
  <si>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</si>
  <si>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</si>
  <si>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</si>
  <si>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</si>
  <si>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</si>
  <si>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</si>
  <si>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</si>
  <si>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</si>
  <si>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</si>
  <si>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</si>
  <si>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</si>
  <si>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</si>
  <si>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</si>
  <si>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</si>
  <si>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</si>
  <si>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</si>
  <si>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</si>
  <si>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</si>
  <si>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</si>
  <si>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</si>
  <si>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</si>
  <si>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</si>
  <si>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</si>
  <si>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</si>
  <si>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</si>
  <si>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</si>
  <si>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</si>
  <si>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</si>
  <si>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</si>
  <si>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</si>
  <si>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</si>
  <si>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</si>
  <si>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</si>
  <si>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</si>
  <si>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</si>
  <si>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</si>
  <si>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</si>
  <si>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</si>
  <si>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</si>
  <si>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</si>
  <si>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</si>
  <si>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</si>
  <si>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</si>
  <si>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</si>
  <si>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</si>
  <si>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</si>
  <si>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</si>
  <si>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</si>
  <si>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</si>
  <si>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</si>
  <si>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</si>
  <si>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</si>
  <si>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</si>
  <si>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</si>
  <si>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</si>
  <si>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</si>
  <si>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</si>
  <si>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</si>
  <si>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</si>
  <si>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</si>
  <si>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</si>
  <si>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</si>
  <si>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</si>
  <si>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</si>
  <si>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</si>
  <si>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</si>
  <si>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</si>
  <si>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</si>
  <si>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</si>
  <si>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</si>
  <si>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</si>
  <si>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</si>
  <si>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</si>
  <si>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</si>
  <si>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</si>
  <si>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</si>
  <si>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</si>
  <si>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</si>
  <si>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</si>
  <si>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</si>
  <si>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</si>
  <si>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</si>
  <si>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</si>
  <si>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PARA PERFURATRIZ DE ESTEIRA T38, D = 1 1/2"                                                                                                                                                                                                                                                                                                                                                                                                                                                          </t>
  </si>
  <si>
    <t xml:space="preserve">LUVA PASSANTE DE COBRE SEM ANEL DE SOLDA, BOLSA 15 MM                                                                                                                                                                                                                                                                                                                                                                                                                                                     </t>
  </si>
  <si>
    <t xml:space="preserve">LUVA PASSANTE DE COBRE SEM ANEL DE SOLDA, BOLSA 22 MM                                                                                                                                                                                                                                                                                                                                                                                                                                                     </t>
  </si>
  <si>
    <t xml:space="preserve">LUVA PASSANTE DE COBRE SEM ANEL DE SOLDA, BOLSA 28 MM                                                                                                                                                                                                                                                                                                                                                                                                                                                     </t>
  </si>
  <si>
    <t xml:space="preserve">LUVA PASSANTE DE COBRE SEM ANEL DE SOLDA, BOLSA 35 MM                                                                                                                                                                                                                                                                                                                                                                                                                                                     </t>
  </si>
  <si>
    <t xml:space="preserve">LUVA PASSANTE DE COBRE SEM ANEL DE SOLDA, BOLSA 42 MM                                                                                                                                                                                                                                                                                                                                                                                                                                                     </t>
  </si>
  <si>
    <t xml:space="preserve">LUVA PASSANTE DE COBRE SEM ANEL DE SOLDA, BOLSA 54 MM                                                                                                                                                                                                                                                                                                                                                                                                                                                     </t>
  </si>
  <si>
    <t xml:space="preserve">LUVA PASSANTE DE COBRE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</si>
  <si>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</si>
  <si>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</si>
  <si>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</si>
  <si>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</si>
  <si>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</si>
  <si>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</si>
  <si>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</si>
  <si>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</si>
  <si>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</si>
  <si>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</si>
  <si>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</si>
  <si>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</si>
  <si>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</si>
  <si>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</si>
  <si>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</si>
  <si>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</si>
  <si>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</si>
  <si>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</si>
  <si>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</si>
  <si>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</si>
  <si>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</si>
  <si>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</si>
  <si>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</si>
  <si>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</si>
  <si>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</si>
  <si>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</si>
  <si>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</si>
  <si>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</si>
  <si>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</si>
  <si>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</si>
  <si>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</si>
  <si>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</si>
  <si>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</si>
  <si>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</si>
  <si>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</si>
  <si>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</si>
  <si>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</si>
  <si>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</si>
  <si>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</si>
  <si>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</si>
  <si>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</si>
  <si>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</si>
  <si>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</si>
  <si>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</si>
  <si>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</si>
  <si>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</si>
  <si>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</si>
  <si>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</si>
  <si>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</si>
  <si>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</si>
  <si>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</si>
  <si>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</si>
  <si>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</si>
  <si>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</si>
  <si>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</si>
  <si>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</si>
  <si>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</si>
  <si>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</si>
  <si>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</si>
  <si>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</si>
  <si>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</si>
  <si>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</si>
  <si>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</si>
  <si>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</si>
  <si>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</si>
  <si>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LUVA, PEAD PE 100, DE 400 MM, PARA ELETROFUSAO                                                                                                                                                                                                                                                                                                                                                                                                                                                            </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</si>
  <si>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</si>
  <si>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</si>
  <si>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</si>
  <si>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</si>
  <si>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</si>
  <si>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</si>
  <si>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</si>
  <si>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</si>
  <si>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</si>
  <si>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</si>
  <si>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</si>
  <si>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</si>
  <si>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</si>
  <si>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TRANCADA, PVC COM REFORCO, COM PRESSAO DE TRABALHO (PT) 250 LBS/POL2, DE 3/4" X *2,8* MM                                                                                                                                                                                                                                                                                                                                                                                                </t>
  </si>
  <si>
    <t xml:space="preserve">MANGUEIRA CRISTAL TRANCADA, PVC COM REFORCO, PRESSAO DE TRABALHO (PT) 250 LBS/POL2, DE 1" X *3,1*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</si>
  <si>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</si>
  <si>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</si>
  <si>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</si>
  <si>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</si>
  <si>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CRISTAL, LISA, PVC TRANSPARENTE, 3/8" X 1,5 MM                                                                                                                                                                                                                                                                                                                                                                                                                                                  </t>
  </si>
  <si>
    <t xml:space="preserve">MANGUEIRA CRISTAL, LISA, PVC TRANSPARENTE, 5/16" X 1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</si>
  <si>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</si>
  <si>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</si>
  <si>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</si>
  <si>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</si>
  <si>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</si>
  <si>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</si>
  <si>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</si>
  <si>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</si>
  <si>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</si>
  <si>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</si>
  <si>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</si>
  <si>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</si>
  <si>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 TIPO FLAT/ACHATADA,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</si>
  <si>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</si>
  <si>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</si>
  <si>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</si>
  <si>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</si>
  <si>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</si>
  <si>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</si>
  <si>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</si>
  <si>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</si>
  <si>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</si>
  <si>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</si>
  <si>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</si>
  <si>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</si>
  <si>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</si>
  <si>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</si>
  <si>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</si>
  <si>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</si>
  <si>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</si>
  <si>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</si>
  <si>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DE EMULSAO ASFALTICA PARA IMPERMEABILIZACAO FLEXIVEL)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</si>
  <si>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</si>
  <si>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</si>
  <si>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</si>
  <si>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</si>
  <si>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</si>
  <si>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</si>
  <si>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</si>
  <si>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</si>
  <si>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</si>
  <si>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</si>
  <si>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</si>
  <si>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</si>
  <si>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</si>
  <si>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</si>
  <si>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</si>
  <si>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</si>
  <si>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</si>
  <si>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</si>
  <si>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</si>
  <si>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</si>
  <si>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</si>
  <si>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</si>
  <si>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</si>
  <si>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</si>
  <si>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</si>
  <si>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</si>
  <si>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</si>
  <si>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</si>
  <si>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</si>
  <si>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</si>
  <si>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</si>
  <si>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</si>
  <si>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</si>
  <si>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</si>
  <si>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</si>
  <si>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</si>
  <si>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</si>
  <si>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</si>
  <si>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</si>
  <si>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</si>
  <si>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</si>
  <si>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</si>
  <si>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</si>
  <si>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</si>
  <si>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</si>
  <si>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</si>
  <si>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</si>
  <si>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</si>
  <si>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</si>
  <si>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</si>
  <si>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</si>
  <si>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</si>
  <si>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</si>
  <si>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</si>
  <si>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</si>
  <si>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</si>
  <si>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</si>
  <si>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</si>
  <si>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</si>
  <si>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</si>
  <si>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</si>
  <si>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</si>
  <si>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</si>
  <si>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</si>
  <si>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</si>
  <si>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</si>
  <si>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</si>
  <si>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</si>
  <si>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</si>
  <si>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</si>
  <si>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</si>
  <si>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</si>
  <si>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</si>
  <si>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</si>
  <si>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</si>
  <si>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</si>
  <si>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</si>
  <si>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</si>
  <si>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</si>
  <si>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</si>
  <si>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</si>
  <si>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</si>
  <si>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</si>
  <si>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</si>
  <si>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</si>
  <si>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</si>
  <si>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</si>
  <si>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</si>
  <si>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</si>
  <si>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</si>
  <si>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</si>
  <si>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</si>
  <si>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</si>
  <si>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</si>
  <si>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</si>
  <si>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</si>
  <si>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</si>
  <si>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</si>
  <si>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</si>
  <si>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</si>
  <si>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</si>
  <si>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</si>
  <si>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</si>
  <si>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</si>
  <si>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</si>
  <si>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</si>
  <si>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</si>
  <si>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</si>
  <si>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</si>
  <si>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</si>
  <si>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</si>
  <si>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</si>
  <si>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</si>
  <si>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</si>
  <si>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</si>
  <si>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</si>
  <si>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</si>
  <si>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</si>
  <si>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</si>
  <si>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</si>
  <si>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</si>
  <si>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t>
  </si>
  <si>
    <t xml:space="preserve">MISTURADOR DE METAL CROMADO, DE MESA/BANCADA, COM BICA BAIXA, PARA LAVATORIO                                                                                                                                                                                                                                                                                                                                                                                                                              </t>
  </si>
  <si>
    <t xml:space="preserve">MISTURADOR DE PAREDE, DE METAL CROMADO, PARA COZINHA, BICA ALTA MOVEL, COM AREJADOR ARTICULADO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</si>
  <si>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</si>
  <si>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</si>
  <si>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</si>
  <si>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</si>
  <si>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</si>
  <si>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</si>
  <si>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</si>
  <si>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</si>
  <si>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</si>
  <si>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</si>
  <si>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</si>
  <si>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</si>
  <si>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</si>
  <si>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</si>
  <si>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</si>
  <si>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</si>
  <si>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</si>
  <si>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</si>
  <si>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</si>
  <si>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</si>
  <si>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</si>
  <si>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</si>
  <si>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</si>
  <si>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</si>
  <si>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</si>
  <si>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</si>
  <si>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</si>
  <si>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</si>
  <si>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</si>
  <si>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</si>
  <si>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</si>
  <si>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</si>
  <si>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</si>
  <si>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</si>
  <si>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</si>
  <si>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</si>
  <si>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</si>
  <si>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</si>
  <si>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</si>
  <si>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</si>
  <si>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</si>
  <si>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</si>
  <si>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</si>
  <si>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</si>
  <si>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</si>
  <si>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</si>
  <si>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</si>
  <si>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</si>
  <si>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</si>
  <si>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</si>
  <si>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</si>
  <si>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</si>
  <si>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</si>
  <si>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</si>
  <si>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</si>
  <si>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</si>
  <si>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</si>
  <si>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</si>
  <si>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</si>
  <si>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</si>
  <si>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</si>
  <si>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</si>
  <si>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</si>
  <si>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</si>
  <si>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</si>
  <si>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</si>
  <si>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</si>
  <si>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</si>
  <si>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</si>
  <si>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</si>
  <si>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</si>
  <si>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</si>
  <si>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</si>
  <si>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</si>
  <si>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</si>
  <si>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</si>
  <si>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</si>
  <si>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</si>
  <si>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</si>
  <si>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</si>
  <si>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</si>
  <si>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</si>
  <si>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</si>
  <si>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</si>
  <si>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</si>
  <si>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</si>
  <si>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</si>
  <si>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</si>
  <si>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</si>
  <si>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</si>
  <si>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</si>
  <si>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</si>
  <si>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</si>
  <si>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</si>
  <si>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</si>
  <si>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</si>
  <si>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</si>
  <si>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</si>
  <si>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</si>
  <si>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</si>
  <si>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</si>
  <si>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</si>
  <si>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</si>
  <si>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</si>
  <si>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</si>
  <si>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</si>
  <si>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</si>
  <si>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</si>
  <si>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</si>
  <si>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</si>
  <si>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</si>
  <si>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</si>
  <si>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</si>
  <si>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</si>
  <si>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</si>
  <si>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</si>
  <si>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</si>
  <si>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</si>
  <si>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</si>
  <si>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</si>
  <si>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</si>
  <si>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</si>
  <si>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</si>
  <si>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</si>
  <si>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</si>
  <si>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</si>
  <si>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</si>
  <si>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</si>
  <si>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</si>
  <si>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</si>
  <si>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</si>
  <si>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</si>
  <si>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</si>
  <si>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</si>
  <si>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</si>
  <si>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</si>
  <si>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</si>
  <si>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</si>
  <si>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</si>
  <si>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</si>
  <si>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</si>
  <si>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</si>
  <si>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</si>
  <si>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</si>
  <si>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</si>
  <si>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</si>
  <si>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</si>
  <si>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</si>
  <si>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</si>
  <si>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</si>
  <si>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</si>
  <si>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</si>
  <si>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</si>
  <si>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</si>
  <si>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</si>
  <si>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</si>
  <si>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</si>
  <si>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</si>
  <si>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</si>
  <si>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</si>
  <si>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</si>
  <si>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</si>
  <si>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</si>
  <si>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</si>
  <si>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</si>
  <si>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</si>
  <si>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</si>
  <si>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</si>
  <si>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</si>
  <si>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</si>
  <si>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</si>
  <si>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</si>
  <si>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</si>
  <si>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</si>
  <si>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</si>
  <si>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</si>
  <si>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</si>
  <si>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</si>
  <si>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</si>
  <si>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</si>
  <si>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</si>
  <si>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</si>
  <si>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</si>
  <si>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</si>
  <si>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</si>
  <si>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</si>
  <si>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</si>
  <si>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</si>
  <si>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</si>
  <si>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</si>
  <si>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</si>
  <si>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</si>
  <si>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</si>
  <si>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</si>
  <si>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</si>
  <si>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</si>
  <si>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</si>
  <si>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</si>
  <si>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</si>
  <si>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</si>
  <si>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</si>
  <si>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</si>
  <si>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</si>
  <si>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</si>
  <si>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</si>
  <si>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</si>
  <si>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</si>
  <si>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</si>
  <si>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</si>
  <si>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</si>
  <si>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</si>
  <si>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</si>
  <si>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</si>
  <si>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</si>
  <si>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</si>
  <si>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</si>
  <si>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</si>
  <si>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</si>
  <si>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</si>
  <si>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</si>
  <si>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</si>
  <si>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</si>
  <si>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</si>
  <si>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</si>
  <si>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</si>
  <si>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</si>
  <si>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</si>
  <si>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</si>
  <si>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</si>
  <si>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</si>
  <si>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</si>
  <si>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</si>
  <si>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</si>
  <si>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</si>
  <si>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</si>
  <si>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</si>
  <si>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</si>
  <si>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</si>
  <si>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</si>
  <si>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</si>
  <si>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</si>
  <si>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</si>
  <si>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</si>
  <si>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</si>
  <si>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</si>
  <si>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</si>
  <si>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</si>
  <si>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</si>
  <si>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</si>
  <si>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</si>
  <si>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</si>
  <si>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</si>
  <si>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</si>
  <si>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</si>
  <si>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</si>
  <si>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</si>
  <si>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</si>
  <si>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</si>
  <si>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</si>
  <si>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</si>
  <si>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</si>
  <si>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</si>
  <si>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</si>
  <si>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</si>
  <si>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</si>
  <si>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</si>
  <si>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</si>
  <si>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</si>
  <si>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</si>
  <si>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</si>
  <si>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</si>
  <si>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</si>
  <si>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</si>
  <si>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</si>
  <si>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</si>
  <si>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</si>
  <si>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</si>
  <si>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</si>
  <si>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</si>
  <si>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</si>
  <si>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</si>
  <si>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</si>
  <si>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</si>
  <si>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</si>
  <si>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</si>
  <si>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</si>
  <si>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</si>
  <si>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</si>
  <si>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</si>
  <si>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</si>
  <si>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</si>
  <si>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</si>
  <si>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</si>
  <si>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</si>
  <si>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</si>
  <si>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</si>
  <si>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</si>
  <si>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</si>
  <si>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</si>
  <si>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</si>
  <si>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</si>
  <si>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</si>
  <si>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</si>
  <si>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</si>
  <si>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DE COROA DIAMANTADA PARA CONCRETO, DIAMETRO ATE 250 MM, MOTOR ELETRICO 220 V, POTENCIA 2.500W                                                                                                                                                                                                                                                                                                                                                                                                 </t>
  </si>
  <si>
    <t xml:space="preserve">PERFURATRIZ HIDRAULICA COM TRADO CURTO ACOPLADO, PROFUNDIDADE MAXIMA DE 20 M, DIAMETRO MAXIMO DE 1500 MM, POTENCIA INSTALADA DE 137 HP, MESA ROTATIVA COM TORQUE MAXIMO DE 30 KNM (INCLUI MONTAGEM, NAO INCLUI CAMINHAO)                                                                                                                                                                                                                                                                                  </t>
  </si>
  <si>
    <t xml:space="preserve">PERFURATRIZ HIDRAULICA SOBRE ESTEIRA, TORQUE MAXIMO 161 KNM, PROFUNDIDADE MAXIMA 54 M, DIAMETRO MAXIMO 1500 MM, POTENCIA MOTOR 268 HP                                                                                                                                                                                                                                                                                                                                                                     </t>
  </si>
  <si>
    <t xml:space="preserve">PERFURATRIZ HIDRAULICA SOBRE ESTEIRA, TORQUE MAXIMO 98 KNM, PROFUNDIDADE MAXIMA 25 M, DIAMETRO MAXIMO 115 MM, POTENCIA MOTOR 190 HP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</si>
  <si>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</si>
  <si>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</si>
  <si>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</si>
  <si>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PARA EXECUCAO DE ESTACAS SECANTES, TIPO HELICE CONTINUA COM CABECOTE DUPLO E TUBO METALICO 300 KW                                                                                                                                                                                                                                                                                                                                                                                             </t>
  </si>
  <si>
    <t xml:space="preserve">PERFURATRIZ PARA FURO DIRECIONAL HORIZONTAL (HDD) COM CAPACIDADE ATE 89 KN, POTENCIA 24,8 HP A 80 HP (INCLUSO FERRAMENTAS E LOCALIZADOR), PARA REDE SUBTERRANEA                                                                                                                                                                                                                                                                                                                                           </t>
  </si>
  <si>
    <t xml:space="preserve">PERFURATRIZ PARA FURO DIRECIONAL HORIZONTAL (HDD) COM CAPACIDADE DE 201 KN A 560 KN, POTENCIA 200 HP A 260 HP (INCLUSO FERRAMENTAS E LOCALIZADOR), PARA REDE SUBTERRANEA                                                                                                                                                                                                                                                                                                                                  </t>
  </si>
  <si>
    <t xml:space="preserve">PERFURATRIZ PARA FURO DIRECIONAL HORIZONTAL (HDD) COM CAPACIDADE DE 90 KN A 200 KN, POTENCIA 100 HP A 160 HP (INCLUSO FERRAMENTAS E LOCALIZADOR), PARA REDE SUBTERRANEA                                                                                                                                                                                                                                                                                                                                   </t>
  </si>
  <si>
    <t xml:space="preserve">PERFURATRIZ PNEUMATICA MANUAL DE PESO MEDIO, 18KG, COMPRIMENTO DE CURSO DE 6 M, DIAMETRO DO PISTAO DE 5,5 CM                                                                                                                                                                                                                                                                                                                                                                                              </t>
  </si>
  <si>
    <t xml:space="preserve">PERFURATRIZ ROTATIVA SOBRE ESTEIRA, TORQUE MAXIMO 2500 KGM, POTENCIA 110 HP, MOTOR DIESEL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</si>
  <si>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</si>
  <si>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</si>
  <si>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</si>
  <si>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</si>
  <si>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</si>
  <si>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</si>
  <si>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</si>
  <si>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</si>
  <si>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</si>
  <si>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</si>
  <si>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</si>
  <si>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</si>
  <si>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</si>
  <si>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</si>
  <si>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</si>
  <si>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</si>
  <si>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</si>
  <si>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</si>
  <si>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</si>
  <si>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</si>
  <si>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</si>
  <si>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</si>
  <si>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</si>
  <si>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</si>
  <si>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</si>
  <si>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</si>
  <si>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</si>
  <si>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COR LISA, PEI MAIOR OU IGUAL A 4, FORMATO MAIOR QUE 2025 CM2                                                                                                                                                                                                                                                                                                                                                                                                                  </t>
  </si>
  <si>
    <t xml:space="preserve">PISO EM CERAMICA ESMALTADA, COR LISA, PEI MAIOR OU IGUAL A 4,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</si>
  <si>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</si>
  <si>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</si>
  <si>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</si>
  <si>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</si>
  <si>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</si>
  <si>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LISO, MONOCOLOR, ACETINADO OU POLIDO, FORMATO MAIOR QUE 2500 ATE 6400 CM2                                                                                                                                                                                                                                                                                                                                                                                                </t>
  </si>
  <si>
    <t xml:space="preserve">PISO EM PORCELANATO, RETIFICADO, LISO, MONOCOLOR, ACETINADO OU POLIDO, FORMATO MENOR OU IGUAL A 2500 CM2                                                                                                                                                                                                                                                                                                                                                                                                  </t>
  </si>
  <si>
    <t xml:space="preserve">PISO EM PORCELANATO,RETIFICADO, LISO, MONOCOLOR, ACETINADO OU POLIDO, FORMATO MAIOR QUE 6400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</si>
  <si>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</si>
  <si>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</si>
  <si>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</si>
  <si>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</si>
  <si>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</si>
  <si>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</si>
  <si>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</si>
  <si>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</si>
  <si>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</si>
  <si>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</si>
  <si>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</si>
  <si>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</si>
  <si>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</si>
  <si>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</si>
  <si>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</si>
  <si>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</si>
  <si>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</si>
  <si>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</si>
  <si>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</si>
  <si>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</si>
  <si>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</si>
  <si>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</si>
  <si>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</si>
  <si>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</si>
  <si>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</si>
  <si>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</si>
  <si>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</si>
  <si>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</si>
  <si>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</si>
  <si>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</si>
  <si>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</si>
  <si>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</si>
  <si>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</si>
  <si>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</si>
  <si>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</si>
  <si>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</si>
  <si>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</si>
  <si>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</si>
  <si>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</si>
  <si>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</si>
  <si>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</si>
  <si>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</si>
  <si>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</si>
  <si>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</si>
  <si>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</si>
  <si>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</si>
  <si>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</si>
  <si>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</si>
  <si>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</si>
  <si>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</si>
  <si>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</si>
  <si>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</si>
  <si>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</si>
  <si>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</si>
  <si>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</si>
  <si>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</si>
  <si>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</si>
  <si>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</si>
  <si>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</si>
  <si>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</si>
  <si>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</si>
  <si>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</si>
  <si>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</si>
  <si>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</si>
  <si>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</si>
  <si>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</si>
  <si>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</si>
  <si>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</si>
  <si>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</si>
  <si>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</si>
  <si>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</si>
  <si>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</si>
  <si>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</si>
  <si>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</si>
  <si>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</si>
  <si>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</si>
  <si>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</si>
  <si>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</si>
  <si>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</si>
  <si>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</si>
  <si>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</si>
  <si>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</si>
  <si>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</si>
  <si>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</si>
  <si>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</si>
  <si>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</si>
  <si>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</si>
  <si>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</si>
  <si>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</si>
  <si>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</si>
  <si>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</si>
  <si>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</si>
  <si>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</si>
  <si>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</si>
  <si>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</si>
  <si>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</si>
  <si>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</si>
  <si>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</si>
  <si>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</si>
  <si>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</si>
  <si>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</si>
  <si>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</si>
  <si>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</si>
  <si>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</si>
  <si>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</si>
  <si>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CM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</si>
  <si>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</si>
  <si>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</si>
  <si>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CM X 210 CM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</si>
  <si>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</si>
  <si>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</si>
  <si>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</si>
  <si>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</si>
  <si>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</si>
  <si>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</si>
  <si>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</si>
  <si>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</si>
  <si>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</si>
  <si>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</si>
  <si>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</si>
  <si>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</si>
  <si>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</si>
  <si>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</si>
  <si>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</si>
  <si>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</si>
  <si>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</si>
  <si>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</si>
  <si>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</si>
  <si>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</si>
  <si>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</si>
  <si>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</si>
  <si>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</si>
  <si>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</si>
  <si>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</si>
  <si>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</si>
  <si>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</si>
  <si>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</si>
  <si>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</si>
  <si>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</si>
  <si>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</si>
  <si>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</si>
  <si>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</si>
  <si>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</si>
  <si>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</si>
  <si>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7 M, DIAMETRO INFERIOR = *125*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</si>
  <si>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</si>
  <si>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</si>
  <si>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</si>
  <si>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</si>
  <si>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</si>
  <si>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</si>
  <si>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</si>
  <si>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</si>
  <si>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</si>
  <si>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</si>
  <si>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</si>
  <si>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</si>
  <si>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</si>
  <si>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</si>
  <si>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</si>
  <si>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</si>
  <si>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</si>
  <si>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</si>
  <si>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</si>
  <si>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</si>
  <si>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</si>
  <si>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</si>
  <si>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</si>
  <si>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</si>
  <si>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</si>
  <si>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</si>
  <si>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</si>
  <si>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</si>
  <si>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</si>
  <si>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</si>
  <si>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</si>
  <si>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</si>
  <si>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</si>
  <si>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</si>
  <si>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</si>
  <si>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</si>
  <si>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</si>
  <si>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</si>
  <si>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</si>
  <si>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</si>
  <si>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</si>
  <si>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</si>
  <si>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</si>
  <si>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</si>
  <si>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</si>
  <si>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</si>
  <si>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</si>
  <si>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</si>
  <si>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</si>
  <si>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</si>
  <si>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</si>
  <si>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</si>
  <si>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</si>
  <si>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</si>
  <si>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</si>
  <si>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</si>
  <si>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</si>
  <si>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</si>
  <si>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</si>
  <si>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</si>
  <si>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</si>
  <si>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</si>
  <si>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</si>
  <si>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</si>
  <si>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</si>
  <si>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</si>
  <si>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</si>
  <si>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</si>
  <si>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</si>
  <si>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</si>
  <si>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</si>
  <si>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</si>
  <si>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</si>
  <si>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</si>
  <si>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</si>
  <si>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</si>
  <si>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</si>
  <si>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</si>
  <si>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</si>
  <si>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</si>
  <si>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</si>
  <si>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</si>
  <si>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</si>
  <si>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</si>
  <si>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</si>
  <si>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</si>
  <si>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</si>
  <si>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</si>
  <si>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</si>
  <si>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</si>
  <si>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</si>
  <si>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</si>
  <si>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</si>
  <si>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</si>
  <si>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</si>
  <si>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CANEQUINHA, COM VOLUME DE 1,50 L, SEM COMPRESSOR                                                                                                                                                                                                                                                                                                                                                                    </t>
  </si>
  <si>
    <t xml:space="preserve">PROLONGADOR/ EXTENSOR TELESCOPICO, EM CHAPA METALICA, COM 3 METROS, PARA ROLO DE PINTURA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</si>
  <si>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</si>
  <si>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</si>
  <si>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</si>
  <si>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</si>
  <si>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</si>
  <si>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</si>
  <si>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</si>
  <si>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COM CORDAO EM NYLON E CALCO GUIA EM ACO OU MADEIRA                                                                                                                                                                                                                                                                                                                                                                                                                        </t>
  </si>
  <si>
    <t xml:space="preserve">PRUMO DE PAREDE EM ACO 700 A 750 G, COM CORDAO EM NYLON E TACO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</si>
  <si>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</si>
  <si>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</si>
  <si>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</si>
  <si>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</si>
  <si>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PUNHO PARA PERFURATRIZ DE ESTEIRA T38, D = 1 1/2" (38 MM), C = 380 MM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</si>
  <si>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</si>
  <si>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</si>
  <si>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</si>
  <si>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</si>
  <si>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</si>
  <si>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</si>
  <si>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</si>
  <si>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</si>
  <si>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</si>
  <si>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</si>
  <si>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</si>
  <si>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</si>
  <si>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</si>
  <si>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</si>
  <si>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</si>
  <si>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</si>
  <si>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</si>
  <si>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</si>
  <si>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</si>
  <si>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</si>
  <si>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</si>
  <si>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</si>
  <si>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</si>
  <si>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</si>
  <si>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</si>
  <si>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</si>
  <si>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</si>
  <si>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</si>
  <si>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</si>
  <si>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</si>
  <si>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</si>
  <si>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</si>
  <si>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</si>
  <si>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</si>
  <si>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</si>
  <si>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</si>
  <si>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</si>
  <si>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</si>
  <si>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</si>
  <si>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</si>
  <si>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</si>
  <si>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</si>
  <si>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</si>
  <si>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</si>
  <si>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</si>
  <si>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</si>
  <si>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</si>
  <si>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</si>
  <si>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</si>
  <si>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</si>
  <si>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</si>
  <si>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</si>
  <si>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</si>
  <si>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</si>
  <si>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REBOLO ABRASIVO RETO DE USO GERAL GRAO 36, DE 6 X 1" (DIAMETRO X ESPESSURA)                                                                                                                                                                                                                                                                                                                                                                                                                               </t>
  </si>
  <si>
    <t xml:space="preserve">REBOLO ABRASIVO RETO DE USO GERAL GRAO 36, DE 6 X 3/4" (DIAMETRO X ESPESSURA)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</si>
  <si>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</si>
  <si>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</si>
  <si>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</si>
  <si>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</si>
  <si>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</si>
  <si>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</si>
  <si>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</si>
  <si>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</si>
  <si>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</si>
  <si>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</si>
  <si>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</si>
  <si>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</si>
  <si>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</si>
  <si>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</si>
  <si>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</si>
  <si>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</si>
  <si>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</si>
  <si>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</si>
  <si>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</si>
  <si>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</si>
  <si>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</si>
  <si>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</si>
  <si>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</si>
  <si>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</si>
  <si>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</si>
  <si>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</si>
  <si>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</si>
  <si>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</si>
  <si>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</si>
  <si>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</si>
  <si>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</si>
  <si>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</si>
  <si>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1/2"                                                                                                                                                                                                                                                                                                                                                                                                                                                     </t>
  </si>
  <si>
    <t xml:space="preserve">REGISTRO GAVETA BRUTO EM LATAO FORJADO, BITOLA 1 1/4"                                                                                                                                                                                                                                                                                                                                                                                                                                                     </t>
  </si>
  <si>
    <t xml:space="preserve">REGISTRO GAVETA BRUTO EM LATAO FORJADO, BITOLA 1/2"                                                                                                                                                                                                                                                                                                                                                                                                                                                       </t>
  </si>
  <si>
    <t xml:space="preserve">REGISTRO GAVETA BRUTO EM LATAO FORJADO, BITOLA 1"                                                                                                                                                                                                                                                                                                                                                                                                                                                         </t>
  </si>
  <si>
    <t xml:space="preserve">REGISTRO GAVETA BRUTO EM LATAO FORJADO, BITOLA 2 1/2"                                                                                                                                                                                                                                                                                                                                                                                                                                                     </t>
  </si>
  <si>
    <t xml:space="preserve">REGISTRO GAVETA BRUTO EM LATAO FORJADO, BITOLA 2"                                                                                                                                                                                                                                                                                                                                                                                                                                                         </t>
  </si>
  <si>
    <t xml:space="preserve">REGISTRO GAVETA BRUTO EM LATAO FORJADO, BITOLA 3/4"                                                                                                                                                                                                                                                                                                                                                                                                                                                       </t>
  </si>
  <si>
    <t xml:space="preserve">REGISTRO GAVETA BRUTO EM LATAO FORJADO, BITOLA 3"                                                                                                                                                                                                                                                                                                                                                                                                                                                         </t>
  </si>
  <si>
    <t xml:space="preserve">REGISTRO GAVETA BRUTO EM LATAO FORJADO, BITOLA 4"                                                                                                                                                                                                                                                                                                                                                                                                                                                         </t>
  </si>
  <si>
    <t xml:space="preserve">REGISTRO GAVETA COM ACABAMENTO E CANOPLA CROMADOS, SIMPLES, BITOLA 1 1/2"                                                                                                                                                                                                                                                                                                                                                                                                                                 </t>
  </si>
  <si>
    <t xml:space="preserve">REGISTRO GAVETA COM ACABAMENTO E CANOPLA CROMADOS, SIMPLES, BITOLA 1 1/4"                                                                                                                                                                                                                                                                                                                                                                                                                                 </t>
  </si>
  <si>
    <t xml:space="preserve">REGISTRO GAVETA COM ACABAMENTO E CANOPLA CROMADOS, SIMPLES, BITOLA 1/2"                                                                                                                                                                                                                                                                                                                                                                                                                                   </t>
  </si>
  <si>
    <t xml:space="preserve">REGISTRO GAVETA COM ACABAMENTO E CANOPLA CROMADOS, SIMPLES, BITOLA 1"                                                                                                                                                                                                                                                                                                                                                                                                                                     </t>
  </si>
  <si>
    <t xml:space="preserve">REGISTRO GAVETA COM ACABAMENTO E CANOPLA CROMADOS, SIMPLES, BITOLA 3/4"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</si>
  <si>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</si>
  <si>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</si>
  <si>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t>
  </si>
  <si>
    <t xml:space="preserve">REGISTRO PRESSAO BRUTO EM LATAO FORJADO, BITOLA 3/4"                                                                                                                                                                                                                                                                                                                                                                                                                                                      </t>
  </si>
  <si>
    <t xml:space="preserve">REGISTRO PRESSAO COM ACABAMENTO E CANOPLA CROMADA, SIMPLES, BITOLA 1/2"                                                                                                                                                                                                                                                                                                                                                                                                                                   </t>
  </si>
  <si>
    <t xml:space="preserve">REGISTRO PRESSAO COM ACABAMENTO E CANOPLA CROMADA, SIMPLES, BITOLA 3/4"                                                                                                                                                                                                                                                                                                                                                                                                                                   </t>
  </si>
  <si>
    <t xml:space="preserve">REGUA DE ALUMINIO PARA PEDREIRO 2 M X *25,5* MM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</si>
  <si>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</si>
  <si>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</si>
  <si>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</si>
  <si>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</si>
  <si>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</si>
  <si>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</si>
  <si>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</si>
  <si>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</si>
  <si>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</si>
  <si>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</si>
  <si>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</si>
  <si>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</si>
  <si>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</si>
  <si>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</si>
  <si>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PARA FACHADAS, PECAS NO FORMATO APROX. *5 X 15* CM, FORNECIDAS EM PLACAS COM PECAS UNIDAS EM PONTOS                                                                                                                                                                                                                                                                                                                                                                    </t>
  </si>
  <si>
    <t xml:space="preserve">REVESTIMENTO EM CERAMICA ESMALTADA PARA FACHADAS, PECAS NO FORMATO APROX. *7 X 26* CM, FORNECIDAS EM PLACAS COM PECAS UNIDAS EM PONTOS                                                                                                                                                                                                                                                                                                                                                                    </t>
  </si>
  <si>
    <t xml:space="preserve">REVESTIMENTO EM CERAMICA ESMALTADA, FORMATO MAIOR A 2025 CM2                                                                                                                                                                                                                                                                                                                                                                                                                                              </t>
  </si>
  <si>
    <t xml:space="preserve">REVESTIMENTO EPOXI DE ALTA RESISTENCIA QUIMICA, ISENTO DE SOLVENTES, BICOMPONENTE                                                                                                                                                                                                                                                                                                                                                                                                                         </t>
  </si>
  <si>
    <t xml:space="preserve">REVESTIMENTO PARA ESCADA EM GRANILITE, MARMORITE OU GRANITINA ESP = 8 MM (INCLUSO EXECUCAO)                                                                                                                                                                                                                                                                                                                                                                                                               </t>
  </si>
  <si>
    <t xml:space="preserve">REVESTIMENTO PARA PAREDE, EM CERAMICA ESMALTADA, FORMATO MENOR OU IGUAL A 2025 CM2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</si>
  <si>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</si>
  <si>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</si>
  <si>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</si>
  <si>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</si>
  <si>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</si>
  <si>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</si>
  <si>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</si>
  <si>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</si>
  <si>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</si>
  <si>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</si>
  <si>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</si>
  <si>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</si>
  <si>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</si>
  <si>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BORRACHA DUPLA E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</si>
  <si>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</si>
  <si>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</si>
  <si>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</si>
  <si>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</si>
  <si>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</si>
  <si>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</si>
  <si>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</si>
  <si>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</si>
  <si>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</si>
  <si>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</si>
  <si>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</si>
  <si>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</si>
  <si>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</si>
  <si>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X 68 MM (COMPRIMENTO X DIAMETRO), SEM CABO                                                                                                                                                                                                                                                                                                                                                                                                                                </t>
  </si>
  <si>
    <t xml:space="preserve">ROLO DE LA DE CARNEIRO 25 MM X 23 CM (ALTURA DA LA X COMPRIMENTO),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</si>
  <si>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</si>
  <si>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</si>
  <si>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</si>
  <si>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</si>
  <si>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</si>
  <si>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</si>
  <si>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</si>
  <si>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</si>
  <si>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</si>
  <si>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</si>
  <si>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</si>
  <si>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</si>
  <si>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</si>
  <si>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</si>
  <si>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</si>
  <si>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</si>
  <si>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</si>
  <si>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</si>
  <si>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</si>
  <si>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</si>
  <si>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</si>
  <si>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</si>
  <si>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</si>
  <si>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</si>
  <si>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</si>
  <si>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</si>
  <si>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</si>
  <si>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</si>
  <si>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</si>
  <si>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</si>
  <si>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(25 MM)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</si>
  <si>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</si>
  <si>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</si>
  <si>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</si>
  <si>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</si>
  <si>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</si>
  <si>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</si>
  <si>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</si>
  <si>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</si>
  <si>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</si>
  <si>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</si>
  <si>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</si>
  <si>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</si>
  <si>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</si>
  <si>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</si>
  <si>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</si>
  <si>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</si>
  <si>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</si>
  <si>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</si>
  <si>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</si>
  <si>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</si>
  <si>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</si>
  <si>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</si>
  <si>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</si>
  <si>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</si>
  <si>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</si>
  <si>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</si>
  <si>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</si>
  <si>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</si>
  <si>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</si>
  <si>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</si>
  <si>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</si>
  <si>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</si>
  <si>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</si>
  <si>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</si>
  <si>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</si>
  <si>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</si>
  <si>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</si>
  <si>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</si>
  <si>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</si>
  <si>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</si>
  <si>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</si>
  <si>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</si>
  <si>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</si>
  <si>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</si>
  <si>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</si>
  <si>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</si>
  <si>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</si>
  <si>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</si>
  <si>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</si>
  <si>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</si>
  <si>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</si>
  <si>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</si>
  <si>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</si>
  <si>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</si>
  <si>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</si>
  <si>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</si>
  <si>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</si>
  <si>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</si>
  <si>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</si>
  <si>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</si>
  <si>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</si>
  <si>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</si>
  <si>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</si>
  <si>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</si>
  <si>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</si>
  <si>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</si>
  <si>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</si>
  <si>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</si>
  <si>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</si>
  <si>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</si>
  <si>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</si>
  <si>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</si>
  <si>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</si>
  <si>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</si>
  <si>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</si>
  <si>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</si>
  <si>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</si>
  <si>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</si>
  <si>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</si>
  <si>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</si>
  <si>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</si>
  <si>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</si>
  <si>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</si>
  <si>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</si>
  <si>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</si>
  <si>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</si>
  <si>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</si>
  <si>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</si>
  <si>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</si>
  <si>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</si>
  <si>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</si>
  <si>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</si>
  <si>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</si>
  <si>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</si>
  <si>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</si>
  <si>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</si>
  <si>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</si>
  <si>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</si>
  <si>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</si>
  <si>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</si>
  <si>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</si>
  <si>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</si>
  <si>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</si>
  <si>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</si>
  <si>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</si>
  <si>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</si>
  <si>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</si>
  <si>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</si>
  <si>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</si>
  <si>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</si>
  <si>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</si>
  <si>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</si>
  <si>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</si>
  <si>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</si>
  <si>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</si>
  <si>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</si>
  <si>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</si>
  <si>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</si>
  <si>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</si>
  <si>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</si>
  <si>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</si>
  <si>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</si>
  <si>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</si>
  <si>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</si>
  <si>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</si>
  <si>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</si>
  <si>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</si>
  <si>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</si>
  <si>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</si>
  <si>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</si>
  <si>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</si>
  <si>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</si>
  <si>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</si>
  <si>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</si>
  <si>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</si>
  <si>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</si>
  <si>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</si>
  <si>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</si>
  <si>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</si>
  <si>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</si>
  <si>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</si>
  <si>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</si>
  <si>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</si>
  <si>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</si>
  <si>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</si>
  <si>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</si>
  <si>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</si>
  <si>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</si>
  <si>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</si>
  <si>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</si>
  <si>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</si>
  <si>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</si>
  <si>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</si>
  <si>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</si>
  <si>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</si>
  <si>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</si>
  <si>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</si>
  <si>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</si>
  <si>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</si>
  <si>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</si>
  <si>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</si>
  <si>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</si>
  <si>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SEM ANEL DE SOLDA, BOLSA X BOLSA X BOLSA, 104 MM                                                                                                                                                                                                                                                                                                                                                                                                                                              </t>
  </si>
  <si>
    <t xml:space="preserve">TE DE COBRE SEM ANEL DE SOLDA, BOLSA X BOLSA X BOLSA, 15 MM                                                                                                                                                                                                                                                                                                                                                                                                                                               </t>
  </si>
  <si>
    <t xml:space="preserve">TE DE COBRE SEM ANEL DE SOLDA, BOLSA X BOLSA X BOLSA, 22 MM                                                                                                                                                                                                                                                                                                                                                                                                                                               </t>
  </si>
  <si>
    <t xml:space="preserve">TE DE COBRE SEM ANEL DE SOLDA, BOLSA X BOLSA X BOLSA, 28 MM                                                                                                                                                                                                                                                                                                                                                                                                                                               </t>
  </si>
  <si>
    <t xml:space="preserve">TE DE COBRE SEM ANEL DE SOLDA, BOLSA X BOLSA X BOLSA, 35 MM                                                                                                                                                                                                                                                                                                                                                                                                                                               </t>
  </si>
  <si>
    <t xml:space="preserve">TE DE COBRE SEM ANEL DE SOLDA, BOLSA X BOLSA X BOLSA, 42 MM                                                                                                                                                                                                                                                                                                                                                                                                                                               </t>
  </si>
  <si>
    <t xml:space="preserve">TE DE COBRE SEM ANEL DE SOLDA, BOLSA X BOLSA X BOLSA, 54 MM                                                                                                                                                                                                                                                                                                                                                                                                                                               </t>
  </si>
  <si>
    <t xml:space="preserve">TE DE COBRE SEM ANEL DE SOLDA, BOLSA X BOLSA X BOLSA, 66 MM                                                                                                                                                                                                                                                                                                                                                                                                                                               </t>
  </si>
  <si>
    <t xml:space="preserve">TE DE COBRE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</si>
  <si>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</si>
  <si>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</si>
  <si>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</si>
  <si>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</si>
  <si>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</si>
  <si>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</si>
  <si>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</si>
  <si>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</si>
  <si>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</si>
  <si>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</si>
  <si>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</si>
  <si>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</si>
  <si>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</si>
  <si>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</si>
  <si>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</si>
  <si>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</si>
  <si>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</si>
  <si>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</si>
  <si>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</si>
  <si>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</si>
  <si>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</si>
  <si>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</si>
  <si>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</si>
  <si>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</si>
  <si>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</si>
  <si>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</si>
  <si>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</si>
  <si>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</si>
  <si>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</si>
  <si>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</si>
  <si>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</si>
  <si>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</si>
  <si>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</si>
  <si>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</si>
  <si>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</si>
  <si>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</si>
  <si>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</si>
  <si>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</si>
  <si>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</si>
  <si>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</si>
  <si>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</si>
  <si>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</si>
  <si>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</si>
  <si>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</si>
  <si>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</si>
  <si>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</si>
  <si>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</si>
  <si>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</si>
  <si>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</si>
  <si>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</si>
  <si>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</si>
  <si>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</si>
  <si>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</si>
  <si>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</si>
  <si>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</si>
  <si>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</si>
  <si>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</si>
  <si>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</si>
  <si>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</si>
  <si>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</si>
  <si>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</si>
  <si>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</si>
  <si>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</si>
  <si>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</si>
  <si>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</si>
  <si>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</si>
  <si>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</si>
  <si>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</si>
  <si>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</si>
  <si>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SEM ANEL DE SOLDA, ROSCA F X BOLSA X ROSCA F, 1/2" X 15 X 1/2"                                                                                                                                                                                                                                                                                                                                                                                                                </t>
  </si>
  <si>
    <t xml:space="preserve">TE DUPLA CURVA BRONZE/LATAO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</si>
  <si>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</si>
  <si>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</si>
  <si>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</si>
  <si>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</si>
  <si>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</si>
  <si>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</si>
  <si>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</si>
  <si>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</si>
  <si>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</si>
  <si>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</si>
  <si>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</si>
  <si>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</si>
  <si>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</si>
  <si>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</si>
  <si>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</si>
  <si>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</si>
  <si>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</si>
  <si>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</si>
  <si>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</si>
  <si>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</si>
  <si>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</si>
  <si>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</si>
  <si>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</si>
  <si>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</si>
  <si>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</si>
  <si>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</si>
  <si>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</si>
  <si>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</si>
  <si>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</si>
  <si>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</si>
  <si>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</si>
  <si>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</si>
  <si>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</si>
  <si>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</si>
  <si>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</si>
  <si>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</si>
  <si>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</si>
  <si>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</si>
  <si>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</si>
  <si>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</si>
  <si>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</si>
  <si>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</si>
  <si>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</si>
  <si>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</si>
  <si>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</si>
  <si>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</si>
  <si>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</si>
  <si>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</si>
  <si>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</si>
  <si>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</si>
  <si>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</si>
  <si>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</si>
  <si>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</si>
  <si>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</si>
  <si>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</si>
  <si>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</si>
  <si>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</si>
  <si>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</si>
  <si>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</si>
  <si>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</si>
  <si>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</si>
  <si>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</si>
  <si>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</si>
  <si>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</si>
  <si>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</si>
  <si>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</si>
  <si>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</si>
  <si>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</si>
  <si>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</si>
  <si>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</si>
  <si>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</si>
  <si>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</si>
  <si>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</si>
  <si>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</si>
  <si>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</si>
  <si>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</si>
  <si>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</si>
  <si>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</si>
  <si>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</si>
  <si>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</si>
  <si>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</si>
  <si>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</si>
  <si>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</si>
  <si>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</si>
  <si>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</si>
  <si>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</si>
  <si>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</si>
  <si>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</si>
  <si>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</si>
  <si>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</si>
  <si>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</si>
  <si>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</si>
  <si>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</si>
  <si>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</si>
  <si>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</si>
  <si>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</si>
  <si>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</si>
  <si>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</si>
  <si>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</si>
  <si>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</si>
  <si>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</si>
  <si>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</si>
  <si>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</si>
  <si>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</si>
  <si>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</si>
  <si>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</si>
  <si>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</si>
  <si>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</si>
  <si>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</si>
  <si>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</si>
  <si>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</si>
  <si>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</si>
  <si>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</si>
  <si>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</si>
  <si>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</si>
  <si>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</si>
  <si>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</si>
  <si>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</si>
  <si>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</si>
  <si>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</si>
  <si>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</si>
  <si>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</si>
  <si>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</si>
  <si>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</si>
  <si>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</si>
  <si>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</si>
  <si>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</si>
  <si>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</si>
  <si>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</si>
  <si>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</si>
  <si>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TRANSLUCIDA / INCOLOR, E = *0,6* MM, DE *0,50 X 2,44* M (L X C)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</si>
  <si>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</si>
  <si>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</si>
  <si>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</si>
  <si>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</si>
  <si>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</si>
  <si>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</si>
  <si>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</si>
  <si>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</si>
  <si>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</si>
  <si>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</si>
  <si>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</si>
  <si>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</si>
  <si>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</si>
  <si>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</si>
  <si>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</si>
  <si>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</si>
  <si>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</si>
  <si>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</si>
  <si>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</si>
  <si>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</si>
  <si>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</si>
  <si>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</si>
  <si>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</si>
  <si>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</si>
  <si>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</si>
  <si>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</si>
  <si>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</si>
  <si>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</si>
  <si>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</si>
  <si>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</si>
  <si>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</si>
  <si>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</si>
  <si>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</si>
  <si>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</si>
  <si>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</si>
  <si>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</si>
  <si>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</si>
  <si>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</si>
  <si>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</si>
  <si>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</si>
  <si>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</si>
  <si>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</si>
  <si>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</si>
  <si>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</si>
  <si>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</si>
  <si>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</si>
  <si>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</si>
  <si>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</si>
  <si>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</si>
  <si>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</si>
  <si>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</si>
  <si>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</si>
  <si>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</si>
  <si>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</si>
  <si>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</si>
  <si>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</si>
  <si>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</si>
  <si>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</si>
  <si>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</si>
  <si>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</si>
  <si>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</si>
  <si>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</si>
  <si>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</si>
  <si>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</si>
  <si>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</si>
  <si>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</si>
  <si>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</si>
  <si>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</si>
  <si>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</si>
  <si>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</si>
  <si>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</si>
  <si>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</si>
  <si>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</si>
  <si>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</si>
  <si>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</si>
  <si>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</si>
  <si>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</si>
  <si>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</si>
  <si>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</si>
  <si>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</si>
  <si>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</si>
  <si>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COM 21 FUROS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</si>
  <si>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</si>
  <si>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</si>
  <si>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</si>
  <si>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</si>
  <si>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</si>
  <si>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</si>
  <si>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</si>
  <si>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</si>
  <si>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</si>
  <si>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</si>
  <si>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</si>
  <si>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</si>
  <si>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</si>
  <si>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</si>
  <si>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</si>
  <si>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</si>
  <si>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</si>
  <si>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</si>
  <si>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</si>
  <si>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</si>
  <si>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</si>
  <si>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</si>
  <si>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</si>
  <si>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</si>
  <si>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</si>
  <si>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</si>
  <si>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</si>
  <si>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</si>
  <si>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</si>
  <si>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</si>
  <si>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</si>
  <si>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</si>
  <si>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</si>
  <si>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</si>
  <si>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</si>
  <si>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</si>
  <si>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</si>
  <si>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</si>
  <si>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</si>
  <si>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</si>
  <si>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</si>
  <si>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</si>
  <si>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</si>
  <si>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</si>
  <si>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</si>
  <si>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</si>
  <si>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</si>
  <si>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</si>
  <si>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</si>
  <si>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</si>
  <si>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</si>
  <si>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</si>
  <si>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</si>
  <si>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</si>
  <si>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</si>
  <si>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</si>
  <si>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</si>
  <si>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</si>
  <si>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</si>
  <si>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</si>
  <si>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</si>
  <si>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</si>
  <si>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</si>
  <si>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t>
  </si>
  <si>
    <t xml:space="preserve">TORNEIRA DE MESA PARA LAVATORIO, METALICA CROMADA, COM SENSOR DE APROXIMACAO ELETRICO, BIVOLT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</si>
  <si>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</si>
  <si>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t>
  </si>
  <si>
    <t xml:space="preserve">TORNEIRA DE METAL AMARELO, PARA TANQUE / JARDIM, DE PAREDE, SEM BICO, CANO CURTO, PADRAO POPULAR / USO GERAL, 1/2" OU 3/4"                                                                                                                                                                                                                                                                                                                                                                                </t>
  </si>
  <si>
    <t xml:space="preserve">TORNEIRA ELETRICA DE PAREDE, PLASTICA, BICA ALTA, PARA COZINHA, 5500 W (110/220 V)                                                                                                                                                                                                                                                                                                                                                                                                                        </t>
  </si>
  <si>
    <t xml:space="preserve">TORNEIRA METALICA CROMADA CANO CURTO, SEM BICO, SEM AREJADOR, DE PAREDE, PARA TANQUE E USO GERAL, 1/2" OU 3/4"                                                                                                                                                                                                                                                                                                                                                                                            </t>
  </si>
  <si>
    <t xml:space="preserve">TORNEIRA METALICA CROMADA DE MESA PARA LAVATORIO, BICA ALTA, COM AREJADOR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</si>
  <si>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</si>
  <si>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</si>
  <si>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t>
  </si>
  <si>
    <t xml:space="preserve">TORNEIRA METALICA CROMADA DE PAREDE, PARA COZINHA, BICA MOVEL, COM AREJADOR, 1/2" OU 3/4"                                                                                                                                                                                                                                                                                                                                                                                                                 </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</si>
  <si>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</si>
  <si>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</si>
  <si>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 xml:space="preserve">TORNEIRA METALICA CROMADA, CANO CURTO, COM AREJADOR, SEM BICO PLASTICO, DE PAREDE, PARA USO GERAL, 1/2" OU 3/4"                                                                                                                                                                                                                                                                                                                                                                                           </t>
  </si>
  <si>
    <t xml:space="preserve">TORNEIRA METALICA CROMADA, DE MESA/BANCADA, PARA COZINHA, BICA MOVEL, COM AREJADOR, 1/2" OU 3/4"                                                                                                                                                                                                                                                                                                                                                                                                          </t>
  </si>
  <si>
    <t xml:space="preserve">TORNEIRA METALICA CROMADA, RETA, DE PAREDE, PARA COZINHA, COM AREJADOR, PADRAO POPULAR, 1/2" OU 3/4"                                                                                                                                                                                                                                                                                                                                                                                                      </t>
  </si>
  <si>
    <t xml:space="preserve">TORNEIRA METALICA CROMADA, RETA, DE PAREDE, PARA COZINHA, SEM BICO, SEM AREJADOR, PADRAO POPULAR, 1/2" OU 3/4"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</si>
  <si>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</si>
  <si>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</si>
  <si>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</si>
  <si>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</si>
  <si>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</si>
  <si>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</si>
  <si>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</si>
  <si>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</si>
  <si>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</si>
  <si>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</si>
  <si>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</si>
  <si>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</si>
  <si>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</si>
  <si>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</si>
  <si>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</si>
  <si>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</si>
  <si>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</si>
  <si>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</si>
  <si>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</si>
  <si>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</si>
  <si>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</si>
  <si>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</si>
  <si>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</si>
  <si>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</si>
  <si>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</si>
  <si>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</si>
  <si>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</si>
  <si>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</si>
  <si>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</si>
  <si>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</si>
  <si>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</si>
  <si>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</si>
  <si>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</si>
  <si>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</si>
  <si>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</si>
  <si>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</si>
  <si>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</si>
  <si>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</si>
  <si>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</si>
  <si>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TRINCHA CERDAS GRIS 1.1/2" (38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</si>
  <si>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</si>
  <si>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</si>
  <si>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</si>
  <si>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</si>
  <si>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</si>
  <si>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</si>
  <si>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</si>
  <si>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</si>
  <si>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</si>
  <si>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</si>
  <si>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</si>
  <si>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</si>
  <si>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</si>
  <si>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</si>
  <si>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</si>
  <si>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</si>
  <si>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</si>
  <si>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</si>
  <si>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</si>
  <si>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</si>
  <si>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</si>
  <si>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</si>
  <si>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</si>
  <si>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</si>
  <si>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</si>
  <si>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</si>
  <si>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</si>
  <si>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</si>
  <si>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</si>
  <si>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</si>
  <si>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</si>
  <si>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</si>
  <si>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</si>
  <si>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</si>
  <si>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</si>
  <si>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</si>
  <si>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</si>
  <si>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</si>
  <si>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</si>
  <si>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</si>
  <si>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</si>
  <si>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</si>
  <si>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</si>
  <si>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</si>
  <si>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</si>
  <si>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</si>
  <si>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</si>
  <si>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</si>
  <si>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</si>
  <si>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</si>
  <si>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</si>
  <si>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</si>
  <si>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</si>
  <si>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</si>
  <si>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</si>
  <si>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</si>
  <si>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</si>
  <si>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</si>
  <si>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</si>
  <si>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</si>
  <si>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</si>
  <si>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</si>
  <si>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</si>
  <si>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</si>
  <si>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</si>
  <si>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</si>
  <si>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</si>
  <si>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</si>
  <si>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</si>
  <si>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</si>
  <si>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</si>
  <si>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</si>
  <si>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</si>
  <si>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</si>
  <si>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</si>
  <si>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</si>
  <si>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</si>
  <si>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</si>
  <si>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</si>
  <si>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</si>
  <si>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</si>
  <si>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</si>
  <si>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</si>
  <si>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</si>
  <si>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</si>
  <si>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</si>
  <si>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</si>
  <si>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</si>
  <si>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</si>
  <si>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</si>
  <si>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</si>
  <si>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</si>
  <si>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</si>
  <si>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2" (54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</si>
  <si>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</si>
  <si>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</si>
  <si>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</si>
  <si>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</si>
  <si>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</si>
  <si>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</si>
  <si>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</si>
  <si>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</si>
  <si>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</si>
  <si>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</si>
  <si>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</si>
  <si>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</si>
  <si>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</si>
  <si>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</si>
  <si>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</si>
  <si>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</si>
  <si>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</si>
  <si>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</si>
  <si>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</si>
  <si>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</si>
  <si>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</si>
  <si>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</si>
  <si>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</si>
  <si>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</si>
  <si>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</si>
  <si>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</si>
  <si>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</si>
  <si>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</si>
  <si>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</si>
  <si>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</si>
  <si>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</si>
  <si>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</si>
  <si>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</si>
  <si>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</si>
  <si>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</si>
  <si>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</si>
  <si>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</si>
  <si>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</si>
  <si>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</si>
  <si>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</si>
  <si>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</si>
  <si>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</si>
  <si>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</si>
  <si>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</si>
  <si>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</si>
  <si>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</si>
  <si>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</si>
  <si>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</si>
  <si>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</si>
  <si>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</si>
  <si>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</si>
  <si>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</si>
  <si>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</si>
  <si>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</si>
  <si>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</si>
  <si>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</si>
  <si>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</si>
  <si>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</si>
  <si>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</si>
  <si>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</si>
  <si>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</si>
  <si>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</si>
  <si>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</si>
  <si>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</si>
  <si>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</si>
  <si>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</si>
  <si>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</si>
  <si>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</si>
  <si>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</si>
  <si>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</si>
  <si>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</si>
  <si>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</si>
  <si>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</si>
  <si>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</si>
  <si>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</si>
  <si>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</si>
  <si>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</si>
  <si>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</si>
  <si>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</si>
  <si>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</si>
  <si>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</si>
  <si>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</si>
  <si>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</si>
  <si>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</si>
  <si>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</si>
  <si>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</si>
  <si>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</si>
  <si>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</si>
  <si>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</si>
  <si>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</si>
  <si>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</si>
  <si>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</si>
  <si>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</si>
  <si>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</si>
  <si>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</si>
  <si>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</si>
  <si>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</si>
  <si>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</si>
  <si>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</si>
  <si>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</si>
  <si>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</si>
  <si>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</si>
  <si>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</si>
  <si>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</si>
  <si>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</si>
  <si>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</si>
  <si>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</si>
  <si>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</si>
  <si>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</si>
  <si>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</si>
  <si>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</si>
  <si>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</si>
  <si>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</si>
  <si>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</si>
  <si>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</si>
  <si>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</si>
  <si>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</si>
  <si>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</si>
  <si>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</si>
  <si>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</si>
  <si>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</si>
  <si>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</si>
  <si>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</si>
  <si>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</si>
  <si>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</si>
  <si>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</si>
  <si>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</si>
  <si>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</si>
  <si>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</si>
  <si>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</si>
  <si>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</si>
  <si>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</si>
  <si>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</si>
  <si>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</si>
  <si>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</si>
  <si>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</si>
  <si>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</si>
  <si>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</si>
  <si>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</si>
  <si>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</si>
  <si>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</si>
  <si>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</si>
  <si>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</si>
  <si>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</si>
  <si>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</si>
  <si>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</si>
  <si>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</si>
  <si>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</si>
  <si>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</si>
  <si>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</si>
  <si>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</si>
  <si>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</si>
  <si>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</si>
  <si>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</si>
  <si>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</si>
  <si>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</si>
  <si>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</si>
  <si>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</si>
  <si>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</si>
  <si>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</si>
  <si>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</si>
  <si>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</si>
  <si>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</si>
  <si>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</si>
  <si>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</si>
  <si>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</si>
  <si>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</si>
  <si>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</si>
  <si>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</si>
  <si>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</si>
  <si>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</si>
  <si>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</si>
  <si>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</si>
  <si>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</si>
  <si>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</si>
  <si>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</si>
  <si>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</si>
  <si>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</si>
  <si>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</si>
  <si>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</si>
  <si>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</si>
  <si>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</si>
  <si>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</si>
  <si>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</si>
  <si>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</si>
  <si>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</si>
  <si>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</si>
  <si>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</si>
  <si>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</si>
  <si>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</si>
  <si>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</si>
  <si>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</si>
  <si>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</si>
  <si>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</si>
  <si>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</si>
  <si>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</si>
  <si>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</si>
  <si>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</si>
  <si>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</si>
  <si>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</si>
  <si>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</si>
  <si>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</si>
  <si>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</si>
  <si>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</si>
  <si>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</si>
  <si>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</si>
  <si>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</si>
  <si>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</si>
  <si>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</si>
  <si>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</si>
  <si>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</si>
  <si>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</si>
  <si>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</si>
  <si>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</si>
  <si>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</si>
  <si>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</si>
  <si>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</si>
  <si>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</si>
  <si>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</si>
  <si>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</si>
  <si>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</si>
  <si>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</si>
  <si>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</si>
  <si>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</si>
  <si>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</si>
  <si>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</si>
  <si>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</si>
  <si>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</si>
  <si>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</si>
  <si>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</si>
  <si>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</si>
  <si>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</si>
  <si>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</si>
  <si>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</si>
  <si>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</si>
  <si>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</si>
  <si>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</si>
  <si>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</si>
  <si>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</si>
  <si>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</si>
  <si>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</si>
  <si>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</si>
  <si>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</si>
  <si>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</si>
  <si>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</si>
  <si>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</si>
  <si>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</si>
  <si>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</si>
  <si>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</si>
  <si>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</si>
  <si>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</si>
  <si>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</si>
  <si>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</si>
  <si>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</si>
  <si>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</si>
  <si>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</si>
  <si>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</si>
  <si>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</si>
  <si>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</si>
  <si>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</si>
  <si>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</si>
  <si>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</si>
  <si>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</si>
  <si>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</si>
  <si>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</si>
  <si>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</si>
  <si>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</si>
  <si>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</si>
  <si>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</si>
  <si>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</si>
  <si>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</si>
  <si>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</si>
  <si>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</si>
  <si>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</si>
  <si>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</si>
  <si>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</si>
  <si>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E ACABAMENTO METALICO CROMADO                                                                                                                                                                                                                                                                                                                                                                                                                                   </t>
  </si>
  <si>
    <t xml:space="preserve">VALVULA DE DESCARGA METALICA, BASE 1 1/4" E ACABAMENTO METALICO CROMADO                                                                                                                                                                                                                                                                                                                                                                                                                                   </t>
  </si>
  <si>
    <t xml:space="preserve">VALVULA DE ESCOAMENTO PARA TANQUE, EM METAL CROMADO, 1.1/2 ", SEM LADRAO, COM TAMPAO PLASTICO                                                                                                                                                                                                                                                                                                                                                                                                             </t>
  </si>
  <si>
    <t xml:space="preserve">VALVULA DE ESFERA BRUTA EM BRONZE, BITOLA 1 1/2"                                                                                                                                                                                                                                                                                                                                                                                                                                                          </t>
  </si>
  <si>
    <t xml:space="preserve">VALVULA DE ESFERA BRUTA EM BRONZE, BITOLA 1 1/4"                                                                                                                                                                                                                                                                                                                                                                                                                                                          </t>
  </si>
  <si>
    <t xml:space="preserve">VALVULA DE ESFERA BRUTA EM BRONZE, BITOLA 1/2"                                                                                                                                                                                                                                                                                                                                                                                                                                                            </t>
  </si>
  <si>
    <t xml:space="preserve">VALVULA DE ESFERA BRUTA EM BRONZE, BITOLA 1"                                                                                                                                                                                                                                                                                                                                                                                                                                                              </t>
  </si>
  <si>
    <t xml:space="preserve">VALVULA DE ESFERA BRUTA EM BRONZE, BITOLA 2"                                                                                                                                                                                                                                                                                                                                                                                                                                                              </t>
  </si>
  <si>
    <t xml:space="preserve">VALVULA DE ESFERA BRUTA EM BRONZE, BITOLA 3/4"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</si>
  <si>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</si>
  <si>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</si>
  <si>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</si>
  <si>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</si>
  <si>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</si>
  <si>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</si>
  <si>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</si>
  <si>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</si>
  <si>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</si>
  <si>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</si>
  <si>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</si>
  <si>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</si>
  <si>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</si>
  <si>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</si>
  <si>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</si>
  <si>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</si>
  <si>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</si>
  <si>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</si>
  <si>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</si>
  <si>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</si>
  <si>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</si>
  <si>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</si>
  <si>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</si>
  <si>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</si>
  <si>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</si>
  <si>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</si>
  <si>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SEM LADRAO                                                                                                                                                                                                                                                                                                                                                                                                                                                    </t>
  </si>
  <si>
    <t xml:space="preserve">VALVULA EM METAL CROMADO PARA PIA AMERICANA 3.1/2 X 1.1/2"                                                                                                                                                                                                                                                                                                                                                                                                                                                </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</si>
  <si>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</si>
  <si>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</si>
  <si>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</si>
  <si>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</si>
  <si>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</si>
  <si>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</si>
  <si>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</si>
  <si>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</si>
  <si>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</si>
  <si>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</si>
  <si>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</si>
  <si>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</si>
  <si>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</si>
  <si>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</si>
  <si>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</si>
  <si>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</si>
  <si>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</si>
  <si>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</si>
  <si>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</si>
  <si>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</si>
  <si>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</si>
  <si>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</si>
  <si>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</si>
  <si>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</si>
  <si>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</si>
  <si>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</si>
  <si>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</si>
  <si>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</si>
  <si>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</si>
  <si>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</si>
  <si>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</si>
  <si>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</si>
  <si>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</si>
  <si>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</si>
  <si>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</si>
  <si>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</si>
  <si>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</si>
  <si>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</si>
  <si>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</si>
  <si>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</si>
  <si>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</si>
  <si>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</si>
  <si>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</si>
  <si>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</si>
  <si>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</si>
  <si>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</si>
  <si>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</si>
  <si>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</si>
  <si>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</si>
  <si>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</si>
  <si>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</si>
  <si>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</si>
  <si>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</si>
  <si>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</si>
  <si>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</si>
  <si>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</si>
  <si>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</si>
  <si>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</si>
  <si>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</si>
  <si>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</si>
  <si>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</si>
  <si>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</si>
  <si>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</si>
  <si>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</si>
  <si>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</si>
  <si>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</si>
  <si>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</si>
  <si>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</si>
  <si>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</si>
  <si>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</si>
  <si>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</si>
  <si>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</si>
  <si>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</si>
  <si>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</si>
  <si>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</si>
  <si>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 C5012 </t>
  </si>
  <si>
    <t>ESCAVAÇÃO DE VALA EM MATERIAL DE 3ª CATEGORIA COM ESCAVADEIRA E ROMPEDOR HIDRÁULICO DE 1700KG</t>
  </si>
  <si>
    <t>OBRAS</t>
  </si>
  <si>
    <t>RENOVAÇÃO DE LICENÇA AMBIENTAL</t>
  </si>
  <si>
    <t>Sem Desoneração: 
Horista: 110,14%
Mensalista: 70,04%</t>
  </si>
  <si>
    <t xml:space="preserve"> 1.1.1.2</t>
  </si>
  <si>
    <t xml:space="preserve"> 1.1.1.3</t>
  </si>
  <si>
    <t xml:space="preserve"> 1.1.1.4</t>
  </si>
  <si>
    <t xml:space="preserve"> 1.2.2</t>
  </si>
  <si>
    <t xml:space="preserve"> 1.2.3</t>
  </si>
  <si>
    <t xml:space="preserve"> 1.3.2</t>
  </si>
  <si>
    <t xml:space="preserve"> 1.3.3</t>
  </si>
  <si>
    <t xml:space="preserve"> 1.3.4</t>
  </si>
  <si>
    <t xml:space="preserve"> 1.8.2</t>
  </si>
  <si>
    <t xml:space="preserve"> 1.8.3</t>
  </si>
  <si>
    <t xml:space="preserve"> 1.8.4</t>
  </si>
  <si>
    <t xml:space="preserve"> 1.8.5</t>
  </si>
  <si>
    <t xml:space="preserve"> 1.8.6</t>
  </si>
  <si>
    <t xml:space="preserve"> 1.8.7</t>
  </si>
  <si>
    <t xml:space="preserve"> 1.8.8</t>
  </si>
  <si>
    <t xml:space="preserve"> 1.8.9</t>
  </si>
  <si>
    <t xml:space="preserve"> 1.8.10</t>
  </si>
  <si>
    <t xml:space="preserve"> 1.8.11</t>
  </si>
  <si>
    <t xml:space="preserve"> 1.8.12</t>
  </si>
  <si>
    <t xml:space="preserve"> 1.8.13</t>
  </si>
  <si>
    <t xml:space="preserve"> 3.1.2</t>
  </si>
  <si>
    <t xml:space="preserve"> 3.1.3</t>
  </si>
  <si>
    <t xml:space="preserve"> 3.1.4</t>
  </si>
  <si>
    <t xml:space="preserve"> 3.1.5</t>
  </si>
  <si>
    <t xml:space="preserve"> 3.1.6</t>
  </si>
  <si>
    <t xml:space="preserve"> 3.1.7</t>
  </si>
  <si>
    <t xml:space="preserve"> 3.1.8</t>
  </si>
  <si>
    <t xml:space="preserve"> 3.1.9</t>
  </si>
  <si>
    <t xml:space="preserve"> 3.1.10</t>
  </si>
  <si>
    <t xml:space="preserve"> 3.1.11</t>
  </si>
  <si>
    <t xml:space="preserve"> 3.1.12</t>
  </si>
  <si>
    <t xml:space="preserve"> 3.1.13</t>
  </si>
  <si>
    <t xml:space="preserve"> 3.1.14</t>
  </si>
  <si>
    <t xml:space="preserve"> 3.1.15</t>
  </si>
  <si>
    <t xml:space="preserve"> 3.1.16</t>
  </si>
  <si>
    <t xml:space="preserve"> 3.1.17</t>
  </si>
  <si>
    <t xml:space="preserve"> 3.1.18</t>
  </si>
  <si>
    <t xml:space="preserve"> 3.1.19</t>
  </si>
  <si>
    <t xml:space="preserve"> 3.1.20</t>
  </si>
  <si>
    <t xml:space="preserve"> 3.1.21</t>
  </si>
  <si>
    <t xml:space="preserve"> 3.1.22</t>
  </si>
  <si>
    <t xml:space="preserve"> 3.1.23</t>
  </si>
  <si>
    <t xml:space="preserve"> 3.1.24</t>
  </si>
  <si>
    <t xml:space="preserve"> 3.1.25</t>
  </si>
  <si>
    <t xml:space="preserve"> 3.1.26</t>
  </si>
  <si>
    <t xml:space="preserve"> 3.1.27</t>
  </si>
  <si>
    <t>4.1.2.6.6</t>
  </si>
  <si>
    <t>7.1.2.1.5</t>
  </si>
  <si>
    <t xml:space="preserve"> 8.1.2</t>
  </si>
  <si>
    <t xml:space="preserve"> 8.1.3</t>
  </si>
  <si>
    <t xml:space="preserve"> 8.1.4</t>
  </si>
  <si>
    <t xml:space="preserve"> 8.1.5</t>
  </si>
  <si>
    <t xml:space="preserve"> 8.2.2</t>
  </si>
  <si>
    <t xml:space="preserve"> 8.2.3</t>
  </si>
  <si>
    <t xml:space="preserve"> 8.2.4</t>
  </si>
  <si>
    <t xml:space="preserve"> 8.4.2</t>
  </si>
  <si>
    <t xml:space="preserve"> 8.4.3</t>
  </si>
  <si>
    <t xml:space="preserve"> 8.4.4</t>
  </si>
  <si>
    <t xml:space="preserve"> 8.4.5</t>
  </si>
  <si>
    <t xml:space="preserve"> 8.4.6</t>
  </si>
  <si>
    <t xml:space="preserve"> 8.4.7</t>
  </si>
  <si>
    <t xml:space="preserve"> 8.4.8</t>
  </si>
  <si>
    <t xml:space="preserve"> 8.4.9</t>
  </si>
  <si>
    <t xml:space="preserve"> 8.4.10</t>
  </si>
  <si>
    <t xml:space="preserve"> 8.5.2</t>
  </si>
  <si>
    <t xml:space="preserve"> 8.5.3</t>
  </si>
  <si>
    <t xml:space="preserve"> 8.5.4</t>
  </si>
  <si>
    <t xml:space="preserve"> 8.6.2</t>
  </si>
  <si>
    <t xml:space="preserve"> 8.6.3</t>
  </si>
  <si>
    <t xml:space="preserve"> 8.6.4</t>
  </si>
  <si>
    <t xml:space="preserve"> 8.6.5</t>
  </si>
  <si>
    <t xml:space="preserve"> 8.6.6</t>
  </si>
  <si>
    <t xml:space="preserve"> 8.6.7</t>
  </si>
  <si>
    <t xml:space="preserve"> 8.6.8</t>
  </si>
  <si>
    <t xml:space="preserve"> 8.6.9</t>
  </si>
  <si>
    <t xml:space="preserve"> 8.6.10</t>
  </si>
  <si>
    <t xml:space="preserve"> 8.6.11</t>
  </si>
  <si>
    <t xml:space="preserve"> 8.7.2</t>
  </si>
  <si>
    <t xml:space="preserve"> 8.7.3</t>
  </si>
  <si>
    <t xml:space="preserve"> 8.7.4</t>
  </si>
  <si>
    <t xml:space="preserve"> 8.7.5</t>
  </si>
  <si>
    <t xml:space="preserve"> 8.7.6</t>
  </si>
  <si>
    <t xml:space="preserve"> 8.8.2</t>
  </si>
  <si>
    <t xml:space="preserve"> 8.8.3</t>
  </si>
  <si>
    <t xml:space="preserve"> 8.8.4</t>
  </si>
  <si>
    <t xml:space="preserve"> 8.8.5</t>
  </si>
  <si>
    <t xml:space="preserve"> 8.8.6</t>
  </si>
  <si>
    <t xml:space="preserve"> 8.8.7</t>
  </si>
  <si>
    <t xml:space="preserve"> 8.8.8</t>
  </si>
  <si>
    <t xml:space="preserve"> 8.8.9</t>
  </si>
  <si>
    <t xml:space="preserve"> 8.8.10</t>
  </si>
  <si>
    <t>ELABORAÇÃO PCA E PGRS</t>
  </si>
  <si>
    <t>ESTUDOS PRELIMINARES</t>
  </si>
  <si>
    <t>300 DIAS</t>
  </si>
  <si>
    <t>330 DIAS</t>
  </si>
  <si>
    <t>360 DIAS</t>
  </si>
  <si>
    <t>390 DIAS</t>
  </si>
  <si>
    <t>420 DIAS</t>
  </si>
  <si>
    <t>450 DIAS</t>
  </si>
  <si>
    <t>480 DIAS</t>
  </si>
  <si>
    <t>REVISÃO E READEQUAÇÃO DOS PROJETOS EXECUTIVOS DE DRENAGEM NO SETOR HABITACIONAL MESTRE D'ARMAS, REGIÃO ADMINISTRATIVA DE PLANATINA - RA-PLAN, PELA SODF, NO DISTRITO FEDERAL - BLOCO 1 - LOTE 1 (ÁREA 1, 2, 3 E 4) CONTRATO: 21/2021- SODF - SEM DESONERAÇÃO</t>
  </si>
  <si>
    <t>ORÇAMENTO PADRÃO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</si>
</sst>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4" formatCode="_-&quot;R$&quot;\ * #,##0.00_-;\-&quot;R$&quot;\ * #,##0.00_-;_-&quot;R$&quot;\ * &quot;-&quot;??_-;_-@_-"/>
    <numFmt numFmtId="43" formatCode="_-* #,##0.00_-;\-* #,##0.00_-;_-* &quot;-&quot;??_-;_-@_-"/>
    <numFmt numFmtId="164" formatCode="_(* #,##0.00_);_(* \(#,##0.00\);_(* &quot;-&quot;??_);_(@_)"/>
    <numFmt numFmtId="165" formatCode="#,##0.0000"/>
    <numFmt numFmtId="166" formatCode="_(&quot;R$ &quot;* #,##0.00_);_(&quot;R$ &quot;* \(#,##0.00\);_(&quot;R$ &quot;* &quot;-&quot;??_);_(@_)"/>
    <numFmt numFmtId="167" formatCode="#,##0.0000000"/>
    <numFmt numFmtId="168" formatCode="[$R$-416]&quot; &quot;#,##0.00;[Red]&quot;-&quot;[$R$-416]&quot; &quot;#,##0.00"/>
    <numFmt numFmtId="169" formatCode="_-* #,##0.00000_-;\-* #,##0.00000_-;_-* &quot;-&quot;??_-;_-@_-"/>
    <numFmt numFmtId="170" formatCode="_-* #,##0.0000_-;\-* #,##0.0000_-;_-* &quot;-&quot;????_-;_-@_-"/>
    <numFmt numFmtId="171" formatCode="_-* #,##0.0000_-;\-* #,##0.0000_-;_-* &quot;-&quot;??_-;_-@_-"/>
    <numFmt numFmtId="172" formatCode="_-* #,##0.00_-;\-* #,##0.00_-;_-* &quot;-&quot;????_-;_-@_-"/>
    <numFmt numFmtId="173" formatCode="#,##0.000"/>
    <numFmt numFmtId="174" formatCode="0.000"/>
    <numFmt numFmtId="175" formatCode="_(* #,##0_);_(* \(#,##0\);_(* &quot;-&quot;??_);_(@_)"/>
    <numFmt numFmtId="176" formatCode="_(* #,##0.000_);_(* \(#,##0.000\);_(* &quot;-&quot;??_);_(@_)"/>
    <numFmt numFmtId="177" formatCode="_-* #,##0.000_-;\-* #,##0.000_-;_-* &quot;-&quot;???_-;_-@_-"/>
    <numFmt numFmtId="178" formatCode="0.0000"/>
    <numFmt numFmtId="179" formatCode="_(* #,##0.0_);_(* \(#,##0.0\);_(* &quot;-&quot;??_);_(@_)"/>
    <numFmt numFmtId="180" formatCode="#,##0.00\ %"/>
    <numFmt numFmtId="181" formatCode="_-* #,##0.00000_-;\-* #,##0.00000_-;_-* &quot;-&quot;?????_-;_-@_-"/>
    <numFmt numFmtId="182" formatCode="0.0"/>
    <numFmt numFmtId="183" formatCode="_-[$R$-416]\ * #,##0.00_-;\-[$R$-416]\ * #,##0.00_-;_-[$R$-416]\ * &quot;-&quot;??_-;_-@"/>
    <numFmt numFmtId="184" formatCode="[$-416]mmm\-yy"/>
    <numFmt numFmtId="185" formatCode="mmmm\,\ yyyy"/>
    <numFmt numFmtId="186" formatCode="_-&quot;R$&quot;\ * #,##0.00_-;\-&quot;R$&quot;\ * #,##0.00_-;_-&quot;R$&quot;\ * &quot;-&quot;??_-;_-@"/>
    <numFmt numFmtId="187" formatCode="&quot;R$&quot;\ #,##0.00"/>
  </numFmts>
  <fonts count="94" x14ac:knownFonts="1">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sz val="11"/>
      <name val="Calibri"/>
      <family val="2"/>
      <scheme val="minor"/>
    </font>
    <font>
      <b/>
      <sz val="11"/>
      <name val="Calibri"/>
      <family val="2"/>
      <scheme val="minor"/>
    </font>
    <font>
      <sz val="8"/>
      <name val="Arial"/>
      <family val="2"/>
    </font>
    <font>
      <b/>
      <sz val="8"/>
      <name val="Arial"/>
      <family val="2"/>
    </font>
    <font>
      <b/>
      <sz val="10"/>
      <name val="Calibri"/>
      <family val="2"/>
      <scheme val="minor"/>
    </font>
    <font>
      <b/>
      <sz val="11"/>
      <color theme="1"/>
      <name val="Calibri"/>
      <family val="2"/>
      <scheme val="minor"/>
    </font>
    <font>
      <sz val="10"/>
      <color theme="1"/>
      <name val="Arial"/>
      <family val="2"/>
    </font>
    <font>
      <sz val="10"/>
      <name val="Arial"/>
      <family val="2"/>
    </font>
    <font>
      <b/>
      <sz val="20"/>
      <name val="Calibri"/>
      <family val="2"/>
      <scheme val="minor"/>
    </font>
    <font>
      <b/>
      <sz val="11"/>
      <name val="Arial"/>
      <family val="2"/>
    </font>
    <font>
      <sz val="11"/>
      <name val="Arial"/>
      <family val="2"/>
    </font>
    <font>
      <b/>
      <sz val="10"/>
      <name val="Arial"/>
      <family val="2"/>
    </font>
    <font>
      <b/>
      <sz val="12"/>
      <name val="Arial"/>
      <family val="2"/>
    </font>
    <font>
      <sz val="11"/>
      <color rgb="FFFF0000"/>
      <name val="Calibri"/>
      <family val="2"/>
      <scheme val="minor"/>
    </font>
    <font>
      <b/>
      <sz val="8"/>
      <name val="Calibri"/>
      <family val="2"/>
      <scheme val="minor"/>
    </font>
    <font>
      <b/>
      <i/>
      <sz val="8"/>
      <name val="Calibri"/>
      <family val="2"/>
      <scheme val="minor"/>
    </font>
    <font>
      <sz val="8"/>
      <name val="Calibri"/>
      <family val="2"/>
      <scheme val="minor"/>
    </font>
    <font>
      <sz val="11"/>
      <color indexed="8"/>
      <name val="Calibri"/>
      <family val="2"/>
    </font>
    <font>
      <sz val="10"/>
      <color rgb="FFFF0000"/>
      <name val="Arial"/>
      <family val="2"/>
    </font>
    <font>
      <b/>
      <sz val="10"/>
      <color rgb="FFFF0000"/>
      <name val="Arial"/>
      <family val="2"/>
    </font>
    <font>
      <b/>
      <i/>
      <sz val="11"/>
      <color theme="1"/>
      <name val="Calibri"/>
      <family val="2"/>
      <scheme val="minor"/>
    </font>
    <font>
      <b/>
      <sz val="11"/>
      <color rgb="FF21409A"/>
      <name val="Calibri"/>
      <family val="2"/>
      <scheme val="minor"/>
    </font>
    <font>
      <b/>
      <sz val="11"/>
      <color rgb="FFFF0000"/>
      <name val="Calibri"/>
      <family val="2"/>
      <scheme val="minor"/>
    </font>
    <font>
      <b/>
      <sz val="10"/>
      <color theme="0"/>
      <name val="Arial"/>
      <family val="2"/>
    </font>
    <font>
      <sz val="10"/>
      <color theme="0"/>
      <name val="Arial"/>
      <family val="2"/>
    </font>
    <font>
      <sz val="10"/>
      <name val="Calibri"/>
      <family val="2"/>
      <scheme val="minor"/>
    </font>
    <font>
      <sz val="8"/>
      <name val="Arial"/>
      <family val="1"/>
    </font>
    <font>
      <sz val="11"/>
      <color rgb="FFFF0000"/>
      <name val="Arial"/>
      <family val="1"/>
    </font>
    <font>
      <b/>
      <i/>
      <sz val="11"/>
      <name val="Calibri"/>
      <family val="2"/>
      <scheme val="minor"/>
    </font>
    <font>
      <sz val="11"/>
      <color theme="0"/>
      <name val="Calibri"/>
      <family val="2"/>
      <scheme val="minor"/>
    </font>
    <font>
      <sz val="11"/>
      <color theme="1"/>
      <name val="Arial"/>
      <family val="2"/>
    </font>
    <font>
      <u/>
      <sz val="11"/>
      <color theme="10"/>
      <name val="Arial"/>
      <family val="1"/>
    </font>
    <font>
      <sz val="9"/>
      <color theme="1"/>
      <name val="Arial"/>
      <family val="2"/>
    </font>
    <font>
      <b/>
      <sz val="9"/>
      <color theme="1"/>
      <name val="Arial"/>
      <family val="2"/>
    </font>
    <font>
      <b/>
      <sz val="16"/>
      <color indexed="8"/>
      <name val="Arial"/>
      <family val="2"/>
    </font>
    <font>
      <b/>
      <sz val="11"/>
      <color indexed="8"/>
      <name val="Arial"/>
      <family val="2"/>
    </font>
    <font>
      <b/>
      <i/>
      <sz val="11"/>
      <name val="Arial"/>
      <family val="2"/>
    </font>
    <font>
      <b/>
      <i/>
      <sz val="11"/>
      <color rgb="FF000000"/>
      <name val="Arial"/>
      <family val="2"/>
    </font>
    <font>
      <b/>
      <u/>
      <sz val="11"/>
      <name val="Arial"/>
      <family val="2"/>
    </font>
    <font>
      <b/>
      <sz val="11"/>
      <color rgb="FF000000"/>
      <name val="Arial"/>
      <family val="2"/>
    </font>
    <font>
      <b/>
      <i/>
      <sz val="10"/>
      <color rgb="FF000000"/>
      <name val="Arial"/>
      <family val="2"/>
    </font>
    <font>
      <b/>
      <i/>
      <sz val="10"/>
      <name val="Arial"/>
      <family val="2"/>
    </font>
    <font>
      <b/>
      <i/>
      <sz val="9"/>
      <name val="Arial"/>
      <family val="2"/>
    </font>
    <font>
      <b/>
      <i/>
      <sz val="11"/>
      <name val="Calibri"/>
      <family val="2"/>
    </font>
    <font>
      <sz val="11"/>
      <color rgb="FF000000"/>
      <name val="Arial"/>
      <family val="2"/>
    </font>
    <font>
      <b/>
      <i/>
      <vertAlign val="subscript"/>
      <sz val="10"/>
      <color rgb="FF000000"/>
      <name val="Arial"/>
      <family val="2"/>
    </font>
    <font>
      <sz val="11"/>
      <name val="Calibri"/>
      <family val="2"/>
    </font>
    <font>
      <sz val="9"/>
      <name val="Arial"/>
      <family val="2"/>
    </font>
    <font>
      <sz val="9"/>
      <color rgb="FF000000"/>
      <name val="Arial"/>
      <family val="2"/>
    </font>
    <font>
      <b/>
      <sz val="9"/>
      <name val="Arial"/>
      <family val="2"/>
    </font>
    <font>
      <b/>
      <sz val="9"/>
      <color rgb="FF000000"/>
      <name val="Arial"/>
      <family val="2"/>
    </font>
    <font>
      <b/>
      <sz val="11"/>
      <color theme="1"/>
      <name val="Arial"/>
      <family val="2"/>
    </font>
    <font>
      <b/>
      <sz val="14"/>
      <color theme="1"/>
      <name val="Arial"/>
      <family val="2"/>
    </font>
    <font>
      <sz val="20"/>
      <color indexed="8"/>
      <name val="Arial"/>
      <family val="2"/>
    </font>
    <font>
      <b/>
      <sz val="12"/>
      <color theme="1"/>
      <name val="Arial"/>
      <family val="2"/>
    </font>
    <font>
      <sz val="14"/>
      <color theme="1"/>
      <name val="Arial"/>
      <family val="2"/>
    </font>
    <font>
      <b/>
      <sz val="16"/>
      <color theme="1"/>
      <name val="Arial"/>
      <family val="2"/>
    </font>
    <font>
      <sz val="12"/>
      <color theme="1"/>
      <name val="Arial"/>
      <family val="2"/>
    </font>
    <font>
      <sz val="14"/>
      <color rgb="FF000000"/>
      <name val="Arial"/>
      <family val="2"/>
    </font>
    <font>
      <b/>
      <sz val="14"/>
      <color rgb="FF000000"/>
      <name val="Arial"/>
      <family val="2"/>
    </font>
    <font>
      <b/>
      <sz val="14"/>
      <color rgb="FFFFFF00"/>
      <name val="Arial"/>
      <family val="2"/>
    </font>
    <font>
      <sz val="12"/>
      <name val="Arial"/>
      <family val="2"/>
    </font>
    <font>
      <b/>
      <i/>
      <sz val="14"/>
      <color rgb="FFFFFF00"/>
      <name val="Arial"/>
      <family val="2"/>
    </font>
    <font>
      <b/>
      <sz val="10"/>
      <color theme="1"/>
      <name val="Arial"/>
      <family val="2"/>
    </font>
    <font>
      <sz val="16"/>
      <color theme="1"/>
      <name val="Arial"/>
      <family val="2"/>
    </font>
    <font>
      <b/>
      <sz val="18"/>
      <color theme="1"/>
      <name val="Arial"/>
      <family val="2"/>
    </font>
    <font>
      <b/>
      <sz val="14"/>
      <name val="Arial"/>
      <family val="2"/>
    </font>
    <font>
      <sz val="14"/>
      <name val="Arial"/>
      <family val="2"/>
    </font>
    <font>
      <b/>
      <sz val="18"/>
      <color rgb="FFFFFF00"/>
      <name val="Arial"/>
      <family val="2"/>
    </font>
    <font>
      <sz val="18"/>
      <color theme="1"/>
      <name val="Arial"/>
      <family val="2"/>
    </font>
    <font>
      <b/>
      <sz val="12"/>
      <color rgb="FFFFFF00"/>
      <name val="Arial"/>
      <family val="2"/>
    </font>
    <font>
      <sz val="10"/>
      <name val="Courier New"/>
      <family val="3"/>
    </font>
    <font>
      <sz val="36"/>
      <color rgb="FF202124"/>
      <name val="Arial"/>
      <family val="2"/>
    </font>
    <font>
      <sz val="9"/>
      <color theme="0"/>
      <name val="Arial"/>
      <family val="2"/>
    </font>
    <font>
      <sz val="28"/>
      <color theme="1"/>
      <name val="Arial"/>
      <family val="2"/>
    </font>
    <font>
      <u/>
      <sz val="9"/>
      <color theme="1"/>
      <name val="Arial"/>
      <family val="2"/>
    </font>
    <font>
      <b/>
      <sz val="13"/>
      <color theme="1"/>
      <name val="Arial"/>
      <family val="2"/>
    </font>
    <font>
      <b/>
      <sz val="11"/>
      <color rgb="FFFF0000"/>
      <name val="Arial"/>
      <family val="2"/>
    </font>
    <font>
      <b/>
      <sz val="14"/>
      <color theme="9" tint="0.59999389629810485"/>
      <name val="Arial"/>
      <family val="2"/>
    </font>
    <font>
      <b/>
      <sz val="11"/>
      <color theme="9" tint="0.59999389629810485"/>
      <name val="Arial"/>
      <family val="2"/>
    </font>
    <font>
      <b/>
      <sz val="14"/>
      <color rgb="FFFF0000"/>
      <name val="Arial"/>
      <family val="2"/>
    </font>
    <font>
      <sz val="11"/>
      <color theme="0"/>
      <name val="Arial"/>
      <family val="1"/>
    </font>
  </fonts>
  <fills count="20">
    <fill>
      <patternFill patternType="none"/>
    </fill>
    <fill>
      <patternFill patternType="gray125"/>
    </fill>
    <fill>
      <patternFill patternType="solid">
        <fgColor rgb="FFFFFFFF"/>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8" tint="-0.249977111117893"/>
        <bgColor indexed="64"/>
      </patternFill>
    </fill>
    <fill>
      <patternFill patternType="solid">
        <fgColor rgb="FFFF0000"/>
        <bgColor indexed="64"/>
      </patternFill>
    </fill>
    <fill>
      <patternFill patternType="solid">
        <fgColor rgb="FFCCFFFF"/>
        <bgColor indexed="64"/>
      </patternFill>
    </fill>
    <fill>
      <patternFill patternType="solid">
        <fgColor theme="0" tint="-0.249977111117893"/>
        <bgColor indexed="64"/>
      </patternFill>
    </fill>
    <fill>
      <patternFill patternType="solid">
        <fgColor rgb="FFBFBFBF"/>
        <bgColor rgb="FFBFBFBF"/>
      </patternFill>
    </fill>
    <fill>
      <patternFill patternType="solid">
        <fgColor rgb="FFC0C0C0"/>
        <bgColor rgb="FFC0C0C0"/>
      </patternFill>
    </fill>
    <fill>
      <patternFill patternType="solid">
        <fgColor indexed="22"/>
        <bgColor indexed="64"/>
      </patternFill>
    </fill>
    <fill>
      <patternFill patternType="solid">
        <fgColor rgb="FFD6DCE4"/>
        <bgColor rgb="FFD6DCE4"/>
      </patternFill>
    </fill>
    <fill>
      <patternFill patternType="solid">
        <fgColor theme="0"/>
        <bgColor indexed="64"/>
      </patternFill>
    </fill>
    <fill>
      <patternFill patternType="solid">
        <fgColor theme="4" tint="-0.249977111117893"/>
        <bgColor indexed="64"/>
      </patternFill>
    </fill>
    <fill>
      <patternFill patternType="solid">
        <fgColor theme="6" tint="0.39997558519241921"/>
        <bgColor indexed="64"/>
      </patternFill>
    </fill>
    <fill>
      <patternFill patternType="solid">
        <fgColor indexed="9"/>
        <bgColor indexed="64"/>
      </patternFill>
    </fill>
    <fill>
      <patternFill patternType="solid">
        <fgColor indexed="65"/>
        <bgColor indexed="64"/>
      </patternFill>
    </fill>
  </fills>
  <borders count="183">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bottom/>
      <diagonal/>
    </border>
    <border>
      <left/>
      <right style="thin">
        <color rgb="FFCCCCCC"/>
      </right>
      <top/>
      <bottom/>
      <diagonal/>
    </border>
    <border>
      <left style="thin">
        <color indexed="64"/>
      </left>
      <right style="thin">
        <color indexed="64"/>
      </right>
      <top style="thin">
        <color indexed="64"/>
      </top>
      <bottom style="thin">
        <color indexed="64"/>
      </bottom>
      <diagonal/>
    </border>
    <border>
      <left style="thin">
        <color indexed="64"/>
      </left>
      <right style="thin">
        <color rgb="FFCCCCCC"/>
      </right>
      <top style="thin">
        <color indexed="64"/>
      </top>
      <bottom/>
      <diagonal/>
    </border>
    <border>
      <left style="thin">
        <color rgb="FFCCCCCC"/>
      </left>
      <right style="thin">
        <color rgb="FFCCCCCC"/>
      </right>
      <top style="thin">
        <color indexed="64"/>
      </top>
      <bottom/>
      <diagonal/>
    </border>
    <border>
      <left style="thin">
        <color indexed="64"/>
      </left>
      <right/>
      <top style="thin">
        <color indexed="64"/>
      </top>
      <bottom/>
      <diagonal/>
    </border>
    <border>
      <left/>
      <right/>
      <top style="thin">
        <color indexed="64"/>
      </top>
      <bottom/>
      <diagonal/>
    </border>
    <border>
      <left style="thin">
        <color rgb="FFCCCCCC"/>
      </left>
      <right style="thin">
        <color indexed="64"/>
      </right>
      <top style="thin">
        <color indexed="64"/>
      </top>
      <bottom style="thin">
        <color rgb="FFCCCCCC"/>
      </bottom>
      <diagonal/>
    </border>
    <border>
      <left/>
      <right style="thin">
        <color rgb="FFCCCCCC"/>
      </right>
      <top style="thin">
        <color rgb="FFCCCCCC"/>
      </top>
      <bottom style="thin">
        <color rgb="FFCCCCCC"/>
      </bottom>
      <diagonal/>
    </border>
    <border>
      <left/>
      <right style="thin">
        <color indexed="64"/>
      </right>
      <top/>
      <bottom/>
      <diagonal/>
    </border>
    <border>
      <left/>
      <right/>
      <top/>
      <bottom style="thin">
        <color indexed="64"/>
      </bottom>
      <diagonal/>
    </border>
    <border>
      <left style="thin">
        <color indexed="64"/>
      </left>
      <right style="thin">
        <color rgb="FFCCCCCC"/>
      </right>
      <top/>
      <bottom style="thin">
        <color theme="0" tint="-0.24994659260841701"/>
      </bottom>
      <diagonal/>
    </border>
    <border>
      <left style="thin">
        <color rgb="FFCCCCCC"/>
      </left>
      <right style="thin">
        <color rgb="FFCCCCCC"/>
      </right>
      <top/>
      <bottom style="thin">
        <color theme="0" tint="-0.24994659260841701"/>
      </bottom>
      <diagonal/>
    </border>
    <border>
      <left style="thin">
        <color indexed="64"/>
      </left>
      <right style="thin">
        <color rgb="FFCCCCCC"/>
      </right>
      <top/>
      <bottom/>
      <diagonal/>
    </border>
    <border>
      <left style="thin">
        <color indexed="64"/>
      </left>
      <right/>
      <top style="thin">
        <color theme="0" tint="-0.34998626667073579"/>
      </top>
      <bottom/>
      <diagonal/>
    </border>
    <border>
      <left/>
      <right/>
      <top style="thin">
        <color theme="0" tint="-0.34998626667073579"/>
      </top>
      <bottom/>
      <diagonal/>
    </border>
    <border>
      <left style="thin">
        <color indexed="64"/>
      </left>
      <right style="thin">
        <color rgb="FFCCCCCC"/>
      </right>
      <top/>
      <bottom style="thin">
        <color theme="0" tint="-0.34998626667073579"/>
      </bottom>
      <diagonal/>
    </border>
    <border>
      <left style="thin">
        <color rgb="FFCCCCCC"/>
      </left>
      <right style="thin">
        <color rgb="FFCCCCCC"/>
      </right>
      <top/>
      <bottom style="thin">
        <color theme="0" tint="-0.34998626667073579"/>
      </bottom>
      <diagonal/>
    </border>
    <border>
      <left style="thin">
        <color rgb="FFCCCCCC"/>
      </left>
      <right style="thin">
        <color theme="0" tint="-0.34998626667073579"/>
      </right>
      <top/>
      <bottom style="thin">
        <color theme="0" tint="-0.24994659260841701"/>
      </bottom>
      <diagonal/>
    </border>
    <border>
      <left style="thin">
        <color rgb="FFCCCCCC"/>
      </left>
      <right style="thin">
        <color theme="0" tint="-0.34998626667073579"/>
      </right>
      <top style="thin">
        <color theme="0" tint="-0.34998626667073579"/>
      </top>
      <bottom/>
      <diagonal/>
    </border>
    <border>
      <left style="thin">
        <color rgb="FFCCCCCC"/>
      </left>
      <right style="thin">
        <color theme="0" tint="-0.34998626667073579"/>
      </right>
      <top/>
      <bottom style="thin">
        <color theme="0" tint="-0.34998626667073579"/>
      </bottom>
      <diagonal/>
    </border>
    <border>
      <left style="thin">
        <color rgb="FFCCCCCC"/>
      </left>
      <right style="thin">
        <color rgb="FFCCCCCC"/>
      </right>
      <top style="thin">
        <color indexed="64"/>
      </top>
      <bottom style="thin">
        <color rgb="FFCCCCCC"/>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top style="thick">
        <color rgb="FF000000"/>
      </top>
      <bottom/>
      <diagonal/>
    </border>
    <border>
      <left style="thin">
        <color indexed="64"/>
      </left>
      <right/>
      <top/>
      <bottom style="thin">
        <color indexed="64"/>
      </bottom>
      <diagonal/>
    </border>
    <border>
      <left/>
      <right style="thin">
        <color rgb="FFCCCCCC"/>
      </right>
      <top/>
      <bottom style="thin">
        <color indexed="64"/>
      </bottom>
      <diagonal/>
    </border>
    <border>
      <left/>
      <right style="thin">
        <color indexed="64"/>
      </right>
      <top/>
      <bottom style="thin">
        <color indexed="64"/>
      </bottom>
      <diagonal/>
    </border>
    <border>
      <left style="thin">
        <color theme="0" tint="-0.34998626667073579"/>
      </left>
      <right style="thin">
        <color theme="0" tint="-0.34998626667073579"/>
      </right>
      <top style="thin">
        <color rgb="FFCCCCCC"/>
      </top>
      <bottom style="thin">
        <color theme="0" tint="-0.34998626667073579"/>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top style="hair">
        <color auto="1"/>
      </top>
      <bottom style="hair">
        <color auto="1"/>
      </bottom>
      <diagonal/>
    </border>
    <border>
      <left style="thin">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right/>
      <top/>
      <bottom style="thin">
        <color indexed="8"/>
      </bottom>
      <diagonal/>
    </border>
    <border>
      <left style="thin">
        <color indexed="8"/>
      </left>
      <right/>
      <top/>
      <bottom style="thin">
        <color indexed="8"/>
      </bottom>
      <diagonal/>
    </border>
    <border>
      <left/>
      <right style="thin">
        <color indexed="8"/>
      </right>
      <top/>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bottom style="thin">
        <color indexed="8"/>
      </bottom>
      <diagonal/>
    </border>
    <border>
      <left style="thin">
        <color indexed="8"/>
      </left>
      <right style="medium">
        <color indexed="64"/>
      </right>
      <top style="thin">
        <color indexed="8"/>
      </top>
      <bottom style="thin">
        <color indexed="8"/>
      </bottom>
      <diagonal/>
    </border>
    <border>
      <left style="thin">
        <color indexed="64"/>
      </left>
      <right/>
      <top style="thin">
        <color indexed="8"/>
      </top>
      <bottom style="thin">
        <color indexed="64"/>
      </bottom>
      <diagonal/>
    </border>
    <border>
      <left/>
      <right style="thin">
        <color indexed="8"/>
      </right>
      <top style="thin">
        <color indexed="8"/>
      </top>
      <bottom style="thin">
        <color indexed="64"/>
      </bottom>
      <diagonal/>
    </border>
    <border>
      <left/>
      <right style="thin">
        <color indexed="64"/>
      </right>
      <top style="thin">
        <color indexed="8"/>
      </top>
      <bottom style="thin">
        <color indexed="8"/>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diagonal/>
    </border>
    <border>
      <left style="thin">
        <color indexed="64"/>
      </left>
      <right style="thin">
        <color indexed="8"/>
      </right>
      <top/>
      <bottom style="thin">
        <color indexed="8"/>
      </bottom>
      <diagonal/>
    </border>
    <border>
      <left style="thin">
        <color indexed="8"/>
      </left>
      <right style="thin">
        <color indexed="64"/>
      </right>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bottom/>
      <diagonal/>
    </border>
    <border>
      <left style="thin">
        <color indexed="64"/>
      </left>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diagonal/>
    </border>
    <border>
      <left/>
      <right style="thin">
        <color indexed="64"/>
      </right>
      <top style="thin">
        <color indexed="64"/>
      </top>
      <bottom/>
      <diagonal/>
    </border>
    <border>
      <left style="thin">
        <color indexed="8"/>
      </left>
      <right/>
      <top style="thin">
        <color indexed="64"/>
      </top>
      <bottom style="thin">
        <color indexed="64"/>
      </bottom>
      <diagonal/>
    </border>
    <border>
      <left/>
      <right/>
      <top style="hair">
        <color indexed="8"/>
      </top>
      <bottom/>
      <diagonal/>
    </border>
    <border>
      <left/>
      <right/>
      <top/>
      <bottom style="thin">
        <color theme="0" tint="-0.34998626667073579"/>
      </bottom>
      <diagonal/>
    </border>
    <border>
      <left/>
      <right style="thin">
        <color indexed="64"/>
      </right>
      <top/>
      <bottom style="thin">
        <color theme="0" tint="-0.34998626667073579"/>
      </bottom>
      <diagonal/>
    </border>
    <border>
      <left/>
      <right/>
      <top/>
      <bottom style="thin">
        <color rgb="FFCCCCCC"/>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thin">
        <color theme="0" tint="-0.34998626667073579"/>
      </left>
      <right style="thin">
        <color theme="0" tint="-0.34998626667073579"/>
      </right>
      <top style="thin">
        <color theme="0" tint="-0.34998626667073579"/>
      </top>
      <bottom/>
      <diagonal/>
    </border>
    <border>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style="thin">
        <color theme="0" tint="-0.34998626667073579"/>
      </left>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indexed="64"/>
      </right>
      <top style="medium">
        <color indexed="64"/>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indexed="64"/>
      </right>
      <top/>
      <bottom style="medium">
        <color indexed="64"/>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indexed="64"/>
      </left>
      <right style="thin">
        <color indexed="64"/>
      </right>
      <top style="medium">
        <color indexed="64"/>
      </top>
      <bottom style="thin">
        <color indexed="64"/>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hair">
        <color indexed="64"/>
      </right>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s>
  <cellStyleXfs count="40">
    <xf numFmtId="0" fontId="0" fillId="0" borderId="0"/>
    <xf numFmtId="43" fontId="11" fillId="0" borderId="0" applyFont="0" applyFill="0" applyBorder="0" applyAlignment="0" applyProtection="0"/>
    <xf numFmtId="9" fontId="11" fillId="0" borderId="0" applyFont="0" applyFill="0" applyBorder="0" applyAlignment="0" applyProtection="0"/>
    <xf numFmtId="0" fontId="5" fillId="0" borderId="0"/>
    <xf numFmtId="164" fontId="5" fillId="0" borderId="0" applyFont="0" applyFill="0" applyBorder="0" applyAlignment="0" applyProtection="0"/>
    <xf numFmtId="44" fontId="5" fillId="0" borderId="0" applyFont="0" applyFill="0" applyBorder="0" applyAlignment="0" applyProtection="0"/>
    <xf numFmtId="0" fontId="5" fillId="0" borderId="0"/>
    <xf numFmtId="166" fontId="5" fillId="0" borderId="0" applyFont="0" applyFill="0" applyBorder="0" applyAlignment="0" applyProtection="0"/>
    <xf numFmtId="168" fontId="18" fillId="0" borderId="0"/>
    <xf numFmtId="0" fontId="19" fillId="0" borderId="0"/>
    <xf numFmtId="164" fontId="19" fillId="0" borderId="0" applyFont="0" applyFill="0" applyBorder="0" applyAlignment="0" applyProtection="0"/>
    <xf numFmtId="43" fontId="18" fillId="0" borderId="0" applyFont="0" applyFill="0" applyBorder="0" applyAlignment="0" applyProtection="0"/>
    <xf numFmtId="0" fontId="19" fillId="0" borderId="0"/>
    <xf numFmtId="164" fontId="19"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0" fontId="4" fillId="0" borderId="0"/>
    <xf numFmtId="0" fontId="19" fillId="0" borderId="0"/>
    <xf numFmtId="164" fontId="29" fillId="0" borderId="0" applyFont="0" applyFill="0" applyBorder="0" applyAlignment="0" applyProtection="0"/>
    <xf numFmtId="164" fontId="29"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2" fillId="0" borderId="0"/>
    <xf numFmtId="44" fontId="11" fillId="0" borderId="0" applyFont="0" applyFill="0" applyBorder="0" applyAlignment="0" applyProtection="0"/>
    <xf numFmtId="0" fontId="43" fillId="0" borderId="0" applyNumberFormat="0" applyFill="0" applyBorder="0" applyAlignment="0" applyProtection="0"/>
    <xf numFmtId="0" fontId="1" fillId="0" borderId="0"/>
    <xf numFmtId="0" fontId="1" fillId="0" borderId="0"/>
    <xf numFmtId="0" fontId="19" fillId="0" borderId="0"/>
    <xf numFmtId="9" fontId="19" fillId="0" borderId="0" applyFont="0" applyFill="0" applyBorder="0" applyAlignment="0" applyProtection="0"/>
    <xf numFmtId="166" fontId="19" fillId="0" borderId="0" applyFont="0" applyFill="0" applyBorder="0" applyAlignment="0" applyProtection="0"/>
    <xf numFmtId="164" fontId="19" fillId="0" borderId="0" applyFont="0" applyFill="0" applyBorder="0" applyAlignment="0" applyProtection="0"/>
  </cellStyleXfs>
  <cellXfs count="1210">
    <xf numFmtId="0" fontId="0" fillId="0" borderId="0" xfId="0"/>
    <xf numFmtId="0" fontId="7" fillId="2" borderId="1" xfId="0" applyFont="1" applyFill="1" applyBorder="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8" fillId="2" borderId="0" xfId="0" applyFont="1" applyFill="1" applyAlignment="1">
      <alignment horizontal="right" vertical="top" wrapText="1"/>
    </xf>
    <xf numFmtId="0" fontId="6" fillId="2" borderId="0" xfId="0" applyFont="1" applyFill="1" applyAlignment="1">
      <alignment horizontal="left" vertical="top" wrapText="1"/>
    </xf>
    <xf numFmtId="0" fontId="8" fillId="2" borderId="0" xfId="0" applyFont="1" applyFill="1" applyAlignment="1">
      <alignment horizontal="left" vertical="top" wrapText="1"/>
    </xf>
    <xf numFmtId="0" fontId="6"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0" fillId="2" borderId="0" xfId="0" applyFont="1" applyFill="1" applyAlignment="1">
      <alignment horizontal="left" vertical="top" wrapText="1"/>
    </xf>
    <xf numFmtId="10" fontId="7" fillId="2" borderId="1" xfId="0" applyNumberFormat="1" applyFont="1" applyFill="1" applyBorder="1" applyAlignment="1">
      <alignment horizontal="center" vertical="center" wrapText="1"/>
    </xf>
    <xf numFmtId="10" fontId="6" fillId="2" borderId="0" xfId="0" applyNumberFormat="1" applyFont="1" applyFill="1" applyAlignment="1">
      <alignment vertical="top" wrapText="1"/>
    </xf>
    <xf numFmtId="43" fontId="7" fillId="2" borderId="0" xfId="1" applyFont="1" applyFill="1" applyBorder="1" applyAlignment="1">
      <alignment horizontal="right" vertical="center" wrapText="1"/>
    </xf>
    <xf numFmtId="2" fontId="9" fillId="2" borderId="12" xfId="0" applyNumberFormat="1"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8" xfId="0" applyFont="1" applyFill="1" applyBorder="1" applyAlignment="1">
      <alignment horizontal="center" vertical="center" wrapText="1"/>
    </xf>
    <xf numFmtId="43" fontId="7" fillId="2" borderId="20" xfId="1" applyFont="1" applyFill="1" applyBorder="1" applyAlignment="1">
      <alignment horizontal="right" vertical="center" wrapText="1"/>
    </xf>
    <xf numFmtId="9" fontId="7" fillId="2" borderId="21" xfId="2" applyFont="1" applyFill="1" applyBorder="1" applyAlignment="1">
      <alignment horizontal="right" vertical="center" wrapText="1"/>
    </xf>
    <xf numFmtId="43" fontId="7" fillId="2" borderId="22" xfId="1" applyFont="1" applyFill="1" applyBorder="1" applyAlignment="1">
      <alignment horizontal="right" vertical="center" wrapText="1"/>
    </xf>
    <xf numFmtId="0" fontId="6" fillId="2" borderId="5" xfId="0" applyFont="1" applyFill="1" applyBorder="1" applyAlignment="1">
      <alignment horizontal="center" vertical="center" wrapText="1"/>
    </xf>
    <xf numFmtId="0" fontId="12" fillId="0" borderId="0" xfId="3" applyFont="1"/>
    <xf numFmtId="0" fontId="12" fillId="0" borderId="0" xfId="3" applyFont="1" applyAlignment="1">
      <alignment horizontal="center"/>
    </xf>
    <xf numFmtId="0" fontId="12" fillId="0" borderId="0" xfId="3" applyFont="1" applyAlignment="1">
      <alignment horizontal="center" vertical="center"/>
    </xf>
    <xf numFmtId="0" fontId="12" fillId="0" borderId="0" xfId="3" applyFont="1" applyAlignment="1">
      <alignment horizontal="left" vertical="center" wrapText="1"/>
    </xf>
    <xf numFmtId="0" fontId="14" fillId="0" borderId="0" xfId="3" applyFont="1" applyAlignment="1">
      <alignment horizontal="center" vertical="center"/>
    </xf>
    <xf numFmtId="0" fontId="14" fillId="0" borderId="0" xfId="3" applyFont="1"/>
    <xf numFmtId="0" fontId="15" fillId="0" borderId="0" xfId="3" applyFont="1" applyAlignment="1">
      <alignment horizontal="left" wrapText="1"/>
    </xf>
    <xf numFmtId="0" fontId="15" fillId="0" borderId="0" xfId="3" applyFont="1" applyAlignment="1">
      <alignment vertical="center"/>
    </xf>
    <xf numFmtId="164" fontId="15" fillId="0" borderId="0" xfId="4" applyFont="1" applyFill="1" applyAlignment="1">
      <alignment horizontal="left" vertical="center"/>
    </xf>
    <xf numFmtId="164" fontId="14" fillId="0" borderId="0" xfId="4" applyFont="1" applyFill="1" applyAlignment="1">
      <alignment vertical="center"/>
    </xf>
    <xf numFmtId="0" fontId="14" fillId="0" borderId="0" xfId="3" applyFont="1" applyAlignment="1">
      <alignment vertical="center"/>
    </xf>
    <xf numFmtId="10" fontId="15" fillId="0" borderId="0" xfId="3" applyNumberFormat="1" applyFont="1" applyAlignment="1">
      <alignment vertical="center"/>
    </xf>
    <xf numFmtId="0" fontId="14" fillId="0" borderId="0" xfId="4" applyNumberFormat="1" applyFont="1" applyFill="1" applyAlignment="1">
      <alignment vertical="center" wrapText="1"/>
    </xf>
    <xf numFmtId="10" fontId="16" fillId="0" borderId="0" xfId="6" applyNumberFormat="1" applyFont="1" applyAlignment="1">
      <alignment horizontal="center" vertical="center"/>
    </xf>
    <xf numFmtId="166" fontId="16" fillId="0" borderId="11" xfId="5" applyNumberFormat="1" applyFont="1" applyFill="1" applyBorder="1" applyAlignment="1">
      <alignment horizontal="center" vertical="center"/>
    </xf>
    <xf numFmtId="0" fontId="15" fillId="0" borderId="0" xfId="3" applyFont="1"/>
    <xf numFmtId="0" fontId="14" fillId="0" borderId="0" xfId="3" applyFont="1" applyAlignment="1">
      <alignment horizontal="left" wrapText="1"/>
    </xf>
    <xf numFmtId="166" fontId="14" fillId="0" borderId="0" xfId="3" applyNumberFormat="1" applyFont="1" applyAlignment="1">
      <alignment vertical="center"/>
    </xf>
    <xf numFmtId="10" fontId="14" fillId="0" borderId="0" xfId="3" applyNumberFormat="1" applyFont="1" applyAlignment="1">
      <alignment vertical="center"/>
    </xf>
    <xf numFmtId="43" fontId="14" fillId="0" borderId="0" xfId="3" applyNumberFormat="1" applyFont="1" applyAlignment="1">
      <alignment vertical="center"/>
    </xf>
    <xf numFmtId="0" fontId="12" fillId="0" borderId="4" xfId="3" applyFont="1" applyBorder="1" applyAlignment="1">
      <alignment horizontal="center"/>
    </xf>
    <xf numFmtId="0" fontId="12" fillId="0" borderId="4" xfId="3" applyFont="1" applyBorder="1" applyAlignment="1">
      <alignment horizontal="center" vertical="center"/>
    </xf>
    <xf numFmtId="43" fontId="12" fillId="0" borderId="0" xfId="1" applyFont="1" applyAlignment="1">
      <alignment horizontal="center" vertical="center"/>
    </xf>
    <xf numFmtId="0" fontId="11" fillId="0" borderId="0" xfId="0" applyFont="1"/>
    <xf numFmtId="9" fontId="16" fillId="0" borderId="0" xfId="6" applyNumberFormat="1" applyFont="1" applyAlignment="1">
      <alignment horizontal="center" vertical="center"/>
    </xf>
    <xf numFmtId="0" fontId="15" fillId="0" borderId="24"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25" xfId="3" applyFont="1" applyBorder="1" applyAlignment="1">
      <alignment horizontal="left" vertical="center" wrapText="1"/>
    </xf>
    <xf numFmtId="164" fontId="15" fillId="0" borderId="25" xfId="4" applyFont="1" applyFill="1" applyBorder="1" applyAlignment="1">
      <alignment horizontal="center" vertical="center" wrapText="1"/>
    </xf>
    <xf numFmtId="10" fontId="15" fillId="0" borderId="25" xfId="3" applyNumberFormat="1" applyFont="1" applyBorder="1" applyAlignment="1">
      <alignment horizontal="center" vertical="center" wrapText="1"/>
    </xf>
    <xf numFmtId="0" fontId="15" fillId="0" borderId="26" xfId="3" applyFont="1" applyBorder="1" applyAlignment="1">
      <alignment horizontal="center" vertical="center" wrapText="1"/>
    </xf>
    <xf numFmtId="0" fontId="14" fillId="0" borderId="24" xfId="3" applyFont="1" applyBorder="1" applyAlignment="1">
      <alignment horizontal="center" vertical="center"/>
    </xf>
    <xf numFmtId="0" fontId="14" fillId="0" borderId="25" xfId="3" applyFont="1" applyBorder="1" applyAlignment="1">
      <alignment horizontal="center" vertical="center"/>
    </xf>
    <xf numFmtId="0" fontId="14" fillId="0" borderId="25" xfId="3" applyFont="1" applyBorder="1" applyAlignment="1">
      <alignment horizontal="left" vertical="center" wrapText="1"/>
    </xf>
    <xf numFmtId="164" fontId="14" fillId="0" borderId="25" xfId="4" applyFont="1" applyFill="1" applyBorder="1" applyAlignment="1">
      <alignment vertical="center"/>
    </xf>
    <xf numFmtId="10" fontId="14" fillId="0" borderId="25" xfId="4" applyNumberFormat="1" applyFont="1" applyFill="1" applyBorder="1" applyAlignment="1">
      <alignment vertical="center"/>
    </xf>
    <xf numFmtId="164" fontId="14" fillId="0" borderId="26" xfId="4" applyFont="1" applyFill="1" applyBorder="1" applyAlignment="1">
      <alignment horizontal="center" vertical="center"/>
    </xf>
    <xf numFmtId="0" fontId="6" fillId="2" borderId="27" xfId="0" applyFont="1" applyFill="1" applyBorder="1" applyAlignment="1">
      <alignment vertical="center" wrapText="1"/>
    </xf>
    <xf numFmtId="0" fontId="6" fillId="2" borderId="28" xfId="0" applyFont="1" applyFill="1" applyBorder="1" applyAlignment="1">
      <alignment vertical="center" wrapText="1"/>
    </xf>
    <xf numFmtId="0" fontId="6" fillId="2" borderId="10" xfId="0" applyFont="1" applyFill="1" applyBorder="1" applyAlignment="1">
      <alignment vertical="center" wrapText="1"/>
    </xf>
    <xf numFmtId="0" fontId="7" fillId="2" borderId="27" xfId="0" applyFont="1" applyFill="1" applyBorder="1" applyAlignment="1">
      <alignment vertical="center" wrapText="1"/>
    </xf>
    <xf numFmtId="0" fontId="7" fillId="2" borderId="28" xfId="0" applyFont="1" applyFill="1" applyBorder="1" applyAlignment="1">
      <alignment vertical="center" wrapText="1"/>
    </xf>
    <xf numFmtId="0" fontId="7" fillId="2" borderId="10" xfId="0" applyFont="1" applyFill="1" applyBorder="1" applyAlignment="1">
      <alignment vertical="center" wrapText="1"/>
    </xf>
    <xf numFmtId="0" fontId="8" fillId="2" borderId="0" xfId="0" applyFont="1" applyFill="1" applyAlignment="1">
      <alignment horizontal="left" vertical="center" wrapText="1"/>
    </xf>
    <xf numFmtId="0" fontId="7" fillId="2" borderId="30" xfId="0" applyFont="1" applyFill="1" applyBorder="1" applyAlignment="1">
      <alignment horizontal="center" vertical="center" wrapText="1"/>
    </xf>
    <xf numFmtId="43" fontId="7" fillId="2" borderId="12" xfId="1" applyFont="1" applyFill="1" applyBorder="1" applyAlignment="1">
      <alignment horizontal="right" vertical="center" wrapText="1"/>
    </xf>
    <xf numFmtId="10" fontId="9" fillId="2" borderId="33" xfId="0" applyNumberFormat="1" applyFont="1" applyFill="1" applyBorder="1" applyAlignment="1">
      <alignment horizontal="center" vertical="center" wrapText="1"/>
    </xf>
    <xf numFmtId="10" fontId="8" fillId="0" borderId="0" xfId="0" applyNumberFormat="1" applyFont="1" applyAlignment="1">
      <alignment vertical="top" wrapText="1"/>
    </xf>
    <xf numFmtId="0" fontId="0" fillId="0" borderId="0" xfId="0" applyAlignment="1">
      <alignment horizontal="centerContinuous"/>
    </xf>
    <xf numFmtId="0" fontId="6" fillId="2" borderId="0" xfId="0" applyFont="1" applyFill="1" applyAlignment="1">
      <alignment horizontal="centerContinuous" wrapText="1"/>
    </xf>
    <xf numFmtId="0" fontId="19" fillId="0" borderId="0" xfId="20"/>
    <xf numFmtId="173" fontId="24" fillId="0" borderId="0" xfId="20" applyNumberFormat="1" applyFont="1" applyAlignment="1" applyProtection="1">
      <alignment vertical="center"/>
      <protection hidden="1"/>
    </xf>
    <xf numFmtId="173" fontId="24" fillId="0" borderId="0" xfId="20" applyNumberFormat="1" applyFont="1" applyAlignment="1" applyProtection="1">
      <alignment horizontal="center" vertical="center"/>
      <protection hidden="1"/>
    </xf>
    <xf numFmtId="0" fontId="19" fillId="0" borderId="0" xfId="20" applyProtection="1">
      <protection hidden="1"/>
    </xf>
    <xf numFmtId="0" fontId="19" fillId="0" borderId="0" xfId="20" applyAlignment="1" applyProtection="1">
      <alignment horizontal="center" vertical="center"/>
      <protection hidden="1"/>
    </xf>
    <xf numFmtId="0" fontId="19" fillId="0" borderId="0" xfId="20" applyAlignment="1" applyProtection="1">
      <alignment wrapText="1"/>
      <protection hidden="1"/>
    </xf>
    <xf numFmtId="0" fontId="23" fillId="0" borderId="0" xfId="20" applyFont="1" applyAlignment="1" applyProtection="1">
      <alignment horizontal="center"/>
      <protection hidden="1"/>
    </xf>
    <xf numFmtId="174" fontId="23" fillId="0" borderId="4" xfId="20" applyNumberFormat="1" applyFont="1" applyBorder="1" applyAlignment="1" applyProtection="1">
      <alignment horizontal="center" vertical="center" wrapText="1"/>
      <protection hidden="1"/>
    </xf>
    <xf numFmtId="0" fontId="23" fillId="0" borderId="0" xfId="20" applyFont="1" applyAlignment="1" applyProtection="1">
      <alignment horizontal="center" vertical="center"/>
      <protection hidden="1"/>
    </xf>
    <xf numFmtId="0" fontId="23" fillId="0" borderId="59" xfId="20" applyFont="1" applyBorder="1" applyAlignment="1" applyProtection="1">
      <alignment horizontal="center" vertical="center"/>
      <protection hidden="1"/>
    </xf>
    <xf numFmtId="0" fontId="23" fillId="0" borderId="60" xfId="20" applyFont="1" applyBorder="1" applyAlignment="1" applyProtection="1">
      <alignment horizontal="center" vertical="center"/>
      <protection hidden="1"/>
    </xf>
    <xf numFmtId="0" fontId="23" fillId="0" borderId="35" xfId="20" applyFont="1" applyBorder="1" applyAlignment="1" applyProtection="1">
      <alignment horizontal="center" vertical="center" wrapText="1"/>
      <protection hidden="1"/>
    </xf>
    <xf numFmtId="0" fontId="23" fillId="0" borderId="0" xfId="20" applyFont="1" applyAlignment="1">
      <alignment horizontal="center" vertical="center"/>
    </xf>
    <xf numFmtId="0" fontId="19" fillId="0" borderId="0" xfId="20" applyAlignment="1">
      <alignment vertical="center"/>
    </xf>
    <xf numFmtId="175" fontId="23" fillId="0" borderId="59" xfId="21" applyNumberFormat="1" applyFont="1" applyFill="1" applyBorder="1" applyAlignment="1" applyProtection="1">
      <alignment horizontal="center" vertical="center"/>
      <protection hidden="1"/>
    </xf>
    <xf numFmtId="0" fontId="23" fillId="0" borderId="59" xfId="20" applyFont="1" applyBorder="1" applyAlignment="1" applyProtection="1">
      <alignment horizontal="center"/>
      <protection hidden="1"/>
    </xf>
    <xf numFmtId="2" fontId="23" fillId="0" borderId="59" xfId="20" applyNumberFormat="1" applyFont="1" applyBorder="1" applyAlignment="1" applyProtection="1">
      <alignment horizontal="center" wrapText="1"/>
      <protection hidden="1"/>
    </xf>
    <xf numFmtId="2" fontId="23" fillId="0" borderId="59" xfId="20" applyNumberFormat="1" applyFont="1" applyBorder="1" applyAlignment="1" applyProtection="1">
      <alignment horizontal="center"/>
      <protection hidden="1"/>
    </xf>
    <xf numFmtId="2" fontId="23" fillId="0" borderId="60" xfId="20" applyNumberFormat="1" applyFont="1" applyBorder="1" applyAlignment="1" applyProtection="1">
      <alignment horizontal="center"/>
      <protection hidden="1"/>
    </xf>
    <xf numFmtId="174" fontId="23" fillId="0" borderId="60" xfId="20" applyNumberFormat="1" applyFont="1" applyBorder="1" applyAlignment="1" applyProtection="1">
      <alignment horizontal="center"/>
      <protection hidden="1"/>
    </xf>
    <xf numFmtId="174" fontId="23" fillId="0" borderId="4" xfId="20" applyNumberFormat="1" applyFont="1" applyBorder="1" applyAlignment="1" applyProtection="1">
      <alignment horizontal="center" wrapText="1"/>
      <protection hidden="1"/>
    </xf>
    <xf numFmtId="174" fontId="23" fillId="0" borderId="0" xfId="20" applyNumberFormat="1" applyFont="1" applyAlignment="1" applyProtection="1">
      <alignment horizontal="center" wrapText="1"/>
      <protection hidden="1"/>
    </xf>
    <xf numFmtId="0" fontId="23" fillId="0" borderId="4" xfId="20" applyFont="1" applyBorder="1" applyAlignment="1" applyProtection="1">
      <alignment horizontal="center"/>
      <protection hidden="1"/>
    </xf>
    <xf numFmtId="0" fontId="23" fillId="0" borderId="60" xfId="20" applyFont="1" applyBorder="1" applyAlignment="1" applyProtection="1">
      <alignment horizontal="center"/>
      <protection hidden="1"/>
    </xf>
    <xf numFmtId="0" fontId="23" fillId="0" borderId="59" xfId="20" applyFont="1" applyBorder="1" applyProtection="1">
      <protection hidden="1"/>
    </xf>
    <xf numFmtId="0" fontId="23" fillId="0" borderId="0" xfId="20" applyFont="1" applyAlignment="1">
      <alignment horizontal="center"/>
    </xf>
    <xf numFmtId="176" fontId="19" fillId="0" borderId="59" xfId="21" applyNumberFormat="1" applyFont="1" applyFill="1" applyBorder="1" applyAlignment="1" applyProtection="1">
      <alignment horizontal="left" vertical="center" wrapText="1"/>
      <protection hidden="1"/>
    </xf>
    <xf numFmtId="176" fontId="19" fillId="0" borderId="59" xfId="21" applyNumberFormat="1" applyFont="1" applyFill="1" applyBorder="1" applyAlignment="1" applyProtection="1">
      <alignment horizontal="center" vertical="center"/>
      <protection hidden="1"/>
    </xf>
    <xf numFmtId="175" fontId="19" fillId="0" borderId="59" xfId="21" applyNumberFormat="1" applyFont="1" applyFill="1" applyBorder="1" applyAlignment="1" applyProtection="1">
      <alignment horizontal="center" vertical="center"/>
      <protection hidden="1"/>
    </xf>
    <xf numFmtId="176" fontId="19" fillId="0" borderId="59" xfId="20" applyNumberFormat="1" applyBorder="1" applyAlignment="1" applyProtection="1">
      <alignment horizontal="center" vertical="center"/>
      <protection hidden="1"/>
    </xf>
    <xf numFmtId="176" fontId="19" fillId="0" borderId="59" xfId="20" applyNumberFormat="1" applyBorder="1" applyProtection="1">
      <protection hidden="1"/>
    </xf>
    <xf numFmtId="176" fontId="19" fillId="0" borderId="59" xfId="20" applyNumberFormat="1" applyBorder="1" applyAlignment="1" applyProtection="1">
      <alignment horizontal="center"/>
      <protection hidden="1"/>
    </xf>
    <xf numFmtId="176" fontId="19" fillId="0" borderId="59" xfId="20" applyNumberFormat="1" applyBorder="1" applyAlignment="1" applyProtection="1">
      <alignment horizontal="center" wrapText="1"/>
      <protection hidden="1"/>
    </xf>
    <xf numFmtId="176" fontId="19" fillId="0" borderId="60" xfId="20" applyNumberFormat="1" applyBorder="1" applyAlignment="1" applyProtection="1">
      <alignment horizontal="center" vertical="center"/>
      <protection hidden="1"/>
    </xf>
    <xf numFmtId="176" fontId="19" fillId="0" borderId="60" xfId="20" applyNumberFormat="1" applyBorder="1" applyAlignment="1" applyProtection="1">
      <alignment horizontal="center"/>
      <protection hidden="1"/>
    </xf>
    <xf numFmtId="176" fontId="19" fillId="0" borderId="4" xfId="20" applyNumberFormat="1" applyBorder="1" applyAlignment="1" applyProtection="1">
      <alignment horizontal="center"/>
      <protection hidden="1"/>
    </xf>
    <xf numFmtId="176" fontId="19" fillId="0" borderId="4" xfId="20" applyNumberFormat="1" applyBorder="1" applyAlignment="1" applyProtection="1">
      <alignment horizontal="center" vertical="center"/>
      <protection hidden="1"/>
    </xf>
    <xf numFmtId="176" fontId="19" fillId="0" borderId="62" xfId="20" applyNumberFormat="1" applyBorder="1" applyAlignment="1" applyProtection="1">
      <alignment horizontal="center"/>
      <protection hidden="1"/>
    </xf>
    <xf numFmtId="176" fontId="19" fillId="0" borderId="0" xfId="20" applyNumberFormat="1" applyAlignment="1" applyProtection="1">
      <alignment horizontal="center"/>
      <protection hidden="1"/>
    </xf>
    <xf numFmtId="176" fontId="19" fillId="0" borderId="0" xfId="20" applyNumberFormat="1"/>
    <xf numFmtId="176" fontId="19" fillId="0" borderId="59" xfId="21" applyNumberFormat="1" applyFont="1" applyFill="1" applyBorder="1" applyAlignment="1" applyProtection="1">
      <alignment horizontal="left" vertical="center"/>
      <protection hidden="1"/>
    </xf>
    <xf numFmtId="176" fontId="23" fillId="0" borderId="59" xfId="21" applyNumberFormat="1" applyFont="1" applyFill="1" applyBorder="1" applyAlignment="1" applyProtection="1">
      <alignment horizontal="center" vertical="center"/>
      <protection hidden="1"/>
    </xf>
    <xf numFmtId="0" fontId="23" fillId="0" borderId="0" xfId="20" applyFont="1"/>
    <xf numFmtId="2" fontId="23" fillId="0" borderId="0" xfId="20" applyNumberFormat="1" applyFont="1"/>
    <xf numFmtId="0" fontId="19" fillId="0" borderId="4" xfId="20" applyBorder="1" applyAlignment="1" applyProtection="1">
      <alignment horizontal="center"/>
      <protection hidden="1"/>
    </xf>
    <xf numFmtId="0" fontId="19" fillId="0" borderId="0" xfId="20" applyAlignment="1" applyProtection="1">
      <alignment horizontal="center"/>
      <protection hidden="1"/>
    </xf>
    <xf numFmtId="164" fontId="23" fillId="0" borderId="0" xfId="20" applyNumberFormat="1" applyFont="1" applyAlignment="1">
      <alignment horizontal="center"/>
    </xf>
    <xf numFmtId="43" fontId="23" fillId="0" borderId="0" xfId="20" applyNumberFormat="1" applyFont="1"/>
    <xf numFmtId="164" fontId="19" fillId="0" borderId="59" xfId="20" applyNumberFormat="1" applyBorder="1" applyAlignment="1" applyProtection="1">
      <alignment horizontal="center"/>
      <protection hidden="1"/>
    </xf>
    <xf numFmtId="164" fontId="23" fillId="0" borderId="0" xfId="20" applyNumberFormat="1" applyFont="1" applyAlignment="1" applyProtection="1">
      <alignment horizontal="center" wrapText="1"/>
      <protection hidden="1"/>
    </xf>
    <xf numFmtId="164" fontId="19" fillId="0" borderId="0" xfId="20" applyNumberFormat="1" applyAlignment="1" applyProtection="1">
      <alignment horizontal="center"/>
      <protection hidden="1"/>
    </xf>
    <xf numFmtId="0" fontId="23" fillId="0" borderId="0" xfId="20" applyFont="1" applyAlignment="1">
      <alignment wrapText="1"/>
    </xf>
    <xf numFmtId="43" fontId="19" fillId="0" borderId="59" xfId="20" applyNumberFormat="1" applyBorder="1" applyAlignment="1" applyProtection="1">
      <alignment horizontal="center"/>
      <protection hidden="1"/>
    </xf>
    <xf numFmtId="43" fontId="19" fillId="0" borderId="0" xfId="20" applyNumberFormat="1" applyAlignment="1" applyProtection="1">
      <alignment horizontal="center"/>
      <protection hidden="1"/>
    </xf>
    <xf numFmtId="0" fontId="23" fillId="0" borderId="4" xfId="20" applyFont="1" applyBorder="1"/>
    <xf numFmtId="2" fontId="23" fillId="0" borderId="4" xfId="20" applyNumberFormat="1" applyFont="1" applyBorder="1"/>
    <xf numFmtId="43" fontId="23" fillId="0" borderId="0" xfId="20" applyNumberFormat="1" applyFont="1" applyAlignment="1" applyProtection="1">
      <alignment horizontal="center"/>
      <protection hidden="1"/>
    </xf>
    <xf numFmtId="2" fontId="23" fillId="0" borderId="40" xfId="20" applyNumberFormat="1" applyFont="1" applyBorder="1"/>
    <xf numFmtId="2" fontId="23" fillId="0" borderId="71" xfId="20" applyNumberFormat="1" applyFont="1" applyBorder="1"/>
    <xf numFmtId="178" fontId="23" fillId="0" borderId="0" xfId="20" applyNumberFormat="1" applyFont="1"/>
    <xf numFmtId="174" fontId="23" fillId="0" borderId="0" xfId="20" applyNumberFormat="1" applyFont="1"/>
    <xf numFmtId="0" fontId="19" fillId="0" borderId="0" xfId="20" applyAlignment="1">
      <alignment horizontal="center" vertical="center"/>
    </xf>
    <xf numFmtId="0" fontId="19" fillId="0" borderId="0" xfId="20" applyAlignment="1">
      <alignment wrapText="1"/>
    </xf>
    <xf numFmtId="0" fontId="23" fillId="0" borderId="59" xfId="20" applyFont="1" applyBorder="1" applyAlignment="1" applyProtection="1">
      <alignment horizontal="center" vertical="center" wrapText="1"/>
      <protection hidden="1"/>
    </xf>
    <xf numFmtId="2" fontId="23" fillId="0" borderId="59" xfId="20" applyNumberFormat="1" applyFont="1" applyBorder="1" applyAlignment="1" applyProtection="1">
      <alignment horizontal="center" vertical="center" wrapText="1"/>
      <protection hidden="1"/>
    </xf>
    <xf numFmtId="2" fontId="23" fillId="0" borderId="59" xfId="20" applyNumberFormat="1" applyFont="1" applyBorder="1" applyAlignment="1" applyProtection="1">
      <alignment horizontal="center" vertical="center"/>
      <protection hidden="1"/>
    </xf>
    <xf numFmtId="2" fontId="23" fillId="0" borderId="60" xfId="20" applyNumberFormat="1" applyFont="1" applyBorder="1" applyAlignment="1" applyProtection="1">
      <alignment horizontal="center" vertical="center" wrapText="1"/>
      <protection hidden="1"/>
    </xf>
    <xf numFmtId="174" fontId="23" fillId="0" borderId="60" xfId="20" applyNumberFormat="1" applyFont="1" applyBorder="1" applyAlignment="1" applyProtection="1">
      <alignment horizontal="center" vertical="center" wrapText="1"/>
      <protection hidden="1"/>
    </xf>
    <xf numFmtId="0" fontId="23" fillId="0" borderId="61" xfId="20" applyFont="1" applyBorder="1" applyAlignment="1" applyProtection="1">
      <alignment horizontal="center" vertical="center" wrapText="1"/>
      <protection hidden="1"/>
    </xf>
    <xf numFmtId="0" fontId="23" fillId="0" borderId="59" xfId="20" applyFont="1" applyBorder="1" applyAlignment="1" applyProtection="1">
      <alignment vertical="center" wrapText="1"/>
      <protection hidden="1"/>
    </xf>
    <xf numFmtId="0" fontId="23" fillId="0" borderId="0" xfId="20" applyFont="1" applyAlignment="1" applyProtection="1">
      <alignment vertical="center"/>
      <protection hidden="1"/>
    </xf>
    <xf numFmtId="176" fontId="19" fillId="0" borderId="59" xfId="20" applyNumberFormat="1" applyBorder="1" applyAlignment="1" applyProtection="1">
      <alignment horizontal="center" vertical="center" wrapText="1"/>
      <protection hidden="1"/>
    </xf>
    <xf numFmtId="0" fontId="17" fillId="0" borderId="4" xfId="23" applyFont="1" applyBorder="1" applyAlignment="1">
      <alignment horizontal="center" vertical="center" wrapText="1"/>
    </xf>
    <xf numFmtId="0" fontId="17" fillId="0" borderId="4" xfId="0" applyFont="1" applyBorder="1" applyAlignment="1">
      <alignment horizontal="center"/>
    </xf>
    <xf numFmtId="0" fontId="0" fillId="0" borderId="4" xfId="0" applyBorder="1" applyAlignment="1">
      <alignment wrapText="1"/>
    </xf>
    <xf numFmtId="0" fontId="0" fillId="0" borderId="4" xfId="0" applyBorder="1"/>
    <xf numFmtId="0" fontId="3" fillId="0" borderId="0" xfId="23"/>
    <xf numFmtId="0" fontId="17" fillId="0" borderId="4" xfId="0" applyFont="1" applyBorder="1" applyAlignment="1">
      <alignment horizontal="center" vertical="center" wrapText="1"/>
    </xf>
    <xf numFmtId="0" fontId="12" fillId="0" borderId="80" xfId="23" applyFont="1" applyBorder="1" applyAlignment="1">
      <alignment vertical="center"/>
    </xf>
    <xf numFmtId="0" fontId="12" fillId="0" borderId="0" xfId="23" applyFont="1" applyAlignment="1">
      <alignment vertical="center"/>
    </xf>
    <xf numFmtId="0" fontId="12" fillId="0" borderId="43" xfId="23" applyFont="1" applyBorder="1" applyAlignment="1">
      <alignment horizontal="center" vertical="center" wrapText="1"/>
    </xf>
    <xf numFmtId="10" fontId="12" fillId="0" borderId="43" xfId="28" applyNumberFormat="1" applyFont="1" applyBorder="1" applyAlignment="1">
      <alignment horizontal="center" vertical="center" wrapText="1"/>
    </xf>
    <xf numFmtId="43" fontId="12" fillId="0" borderId="43" xfId="29" applyFont="1" applyBorder="1" applyAlignment="1">
      <alignment horizontal="center" vertical="center" wrapText="1"/>
    </xf>
    <xf numFmtId="10" fontId="12" fillId="0" borderId="44" xfId="28" applyNumberFormat="1" applyFont="1" applyBorder="1" applyAlignment="1">
      <alignment horizontal="center" vertical="center" wrapText="1"/>
    </xf>
    <xf numFmtId="10" fontId="12" fillId="0" borderId="47" xfId="28" applyNumberFormat="1" applyFont="1" applyBorder="1" applyAlignment="1">
      <alignment horizontal="center" vertical="center" wrapText="1"/>
    </xf>
    <xf numFmtId="0" fontId="12" fillId="0" borderId="47" xfId="23" applyFont="1" applyBorder="1" applyAlignment="1">
      <alignment horizontal="center" vertical="center" wrapText="1"/>
    </xf>
    <xf numFmtId="0" fontId="12" fillId="0" borderId="48" xfId="29" applyNumberFormat="1" applyFont="1" applyBorder="1" applyAlignment="1">
      <alignment horizontal="center" vertical="center" wrapText="1"/>
    </xf>
    <xf numFmtId="0" fontId="13" fillId="0" borderId="49" xfId="26" applyNumberFormat="1" applyFont="1" applyBorder="1" applyAlignment="1">
      <alignment horizontal="center" vertical="center" wrapText="1"/>
    </xf>
    <xf numFmtId="4" fontId="13" fillId="0" borderId="49" xfId="26" applyNumberFormat="1" applyFont="1" applyBorder="1" applyAlignment="1">
      <alignment horizontal="left" vertical="center" wrapText="1"/>
    </xf>
    <xf numFmtId="4" fontId="13" fillId="0" borderId="49" xfId="26" applyNumberFormat="1" applyFont="1" applyBorder="1" applyAlignment="1">
      <alignment horizontal="center" vertical="center" wrapText="1"/>
    </xf>
    <xf numFmtId="4" fontId="13" fillId="0" borderId="49" xfId="26" applyNumberFormat="1" applyFont="1" applyFill="1" applyBorder="1" applyAlignment="1">
      <alignment horizontal="center" vertical="center"/>
    </xf>
    <xf numFmtId="0" fontId="12" fillId="0" borderId="0" xfId="23" applyFont="1"/>
    <xf numFmtId="1" fontId="26" fillId="5" borderId="50" xfId="23" applyNumberFormat="1" applyFont="1" applyFill="1" applyBorder="1" applyAlignment="1">
      <alignment horizontal="center" vertical="center" wrapText="1"/>
    </xf>
    <xf numFmtId="2" fontId="26" fillId="5" borderId="50" xfId="23" applyNumberFormat="1" applyFont="1" applyFill="1" applyBorder="1" applyAlignment="1">
      <alignment horizontal="left" vertical="center" wrapText="1"/>
    </xf>
    <xf numFmtId="43" fontId="27" fillId="5" borderId="50" xfId="24" applyFont="1" applyFill="1" applyBorder="1" applyAlignment="1">
      <alignment horizontal="center" vertical="center" wrapText="1"/>
    </xf>
    <xf numFmtId="43" fontId="26" fillId="5" borderId="50" xfId="24" applyFont="1" applyFill="1" applyBorder="1" applyAlignment="1">
      <alignment horizontal="center" vertical="center" wrapText="1"/>
    </xf>
    <xf numFmtId="0" fontId="26" fillId="0" borderId="0" xfId="23" applyFont="1"/>
    <xf numFmtId="0" fontId="28" fillId="0" borderId="0" xfId="23" applyFont="1" applyAlignment="1">
      <alignment horizontal="center" vertical="center"/>
    </xf>
    <xf numFmtId="0" fontId="26" fillId="3" borderId="50" xfId="23" applyFont="1" applyFill="1" applyBorder="1" applyAlignment="1">
      <alignment horizontal="center" vertical="center" wrapText="1"/>
    </xf>
    <xf numFmtId="0" fontId="26" fillId="3" borderId="50" xfId="23" applyFont="1" applyFill="1" applyBorder="1" applyAlignment="1">
      <alignment horizontal="left" vertical="center" wrapText="1"/>
    </xf>
    <xf numFmtId="43" fontId="26" fillId="3" borderId="50" xfId="24" applyFont="1" applyFill="1" applyBorder="1" applyAlignment="1">
      <alignment horizontal="center" vertical="center" wrapText="1"/>
    </xf>
    <xf numFmtId="0" fontId="26" fillId="0" borderId="0" xfId="23" applyFont="1" applyAlignment="1">
      <alignment horizontal="center" vertical="center"/>
    </xf>
    <xf numFmtId="0" fontId="28" fillId="0" borderId="50" xfId="23" applyFont="1" applyBorder="1" applyAlignment="1">
      <alignment horizontal="center" vertical="center" wrapText="1"/>
    </xf>
    <xf numFmtId="0" fontId="28" fillId="0" borderId="50" xfId="23" applyFont="1" applyBorder="1" applyAlignment="1">
      <alignment horizontal="left" vertical="center" wrapText="1"/>
    </xf>
    <xf numFmtId="43" fontId="26" fillId="0" borderId="50" xfId="24" applyFont="1" applyBorder="1" applyAlignment="1">
      <alignment horizontal="center" vertical="center" wrapText="1"/>
    </xf>
    <xf numFmtId="43" fontId="28" fillId="0" borderId="50" xfId="24" applyFont="1" applyBorder="1" applyAlignment="1">
      <alignment horizontal="center" vertical="center" wrapText="1"/>
    </xf>
    <xf numFmtId="2" fontId="26" fillId="0" borderId="0" xfId="23" applyNumberFormat="1" applyFont="1" applyAlignment="1">
      <alignment vertical="center"/>
    </xf>
    <xf numFmtId="9" fontId="28" fillId="0" borderId="50" xfId="28" applyFont="1" applyBorder="1" applyAlignment="1">
      <alignment horizontal="center" vertical="center" wrapText="1"/>
    </xf>
    <xf numFmtId="0" fontId="26" fillId="0" borderId="50" xfId="23" applyFont="1" applyBorder="1" applyAlignment="1">
      <alignment horizontal="left" vertical="center" wrapText="1"/>
    </xf>
    <xf numFmtId="43" fontId="26" fillId="0" borderId="50" xfId="24" applyFont="1" applyBorder="1" applyAlignment="1">
      <alignment horizontal="center" vertical="center"/>
    </xf>
    <xf numFmtId="43" fontId="26" fillId="0" borderId="0" xfId="23" applyNumberFormat="1" applyFont="1"/>
    <xf numFmtId="43" fontId="26" fillId="0" borderId="50" xfId="24" applyFont="1" applyFill="1" applyBorder="1" applyAlignment="1">
      <alignment horizontal="center" vertical="center" wrapText="1"/>
    </xf>
    <xf numFmtId="43" fontId="28" fillId="0" borderId="50" xfId="24" applyFont="1" applyFill="1" applyBorder="1" applyAlignment="1">
      <alignment horizontal="center" vertical="center" wrapText="1"/>
    </xf>
    <xf numFmtId="9" fontId="28" fillId="0" borderId="50" xfId="28" applyFont="1" applyFill="1" applyBorder="1" applyAlignment="1">
      <alignment horizontal="center" vertical="center" wrapText="1"/>
    </xf>
    <xf numFmtId="0" fontId="26" fillId="6" borderId="50" xfId="23" applyFont="1" applyFill="1" applyBorder="1" applyAlignment="1">
      <alignment horizontal="left" vertical="center" wrapText="1"/>
    </xf>
    <xf numFmtId="43" fontId="26" fillId="6" borderId="50" xfId="24" applyFont="1" applyFill="1" applyBorder="1" applyAlignment="1">
      <alignment horizontal="center" vertical="center" wrapText="1"/>
    </xf>
    <xf numFmtId="0" fontId="13" fillId="0" borderId="0" xfId="23" applyFont="1"/>
    <xf numFmtId="170" fontId="28" fillId="0" borderId="50" xfId="24" applyNumberFormat="1" applyFont="1" applyBorder="1" applyAlignment="1">
      <alignment horizontal="center" vertical="center" wrapText="1"/>
    </xf>
    <xf numFmtId="171" fontId="28" fillId="0" borderId="50" xfId="24" applyNumberFormat="1" applyFont="1" applyFill="1" applyBorder="1" applyAlignment="1">
      <alignment horizontal="center" vertical="center" wrapText="1"/>
    </xf>
    <xf numFmtId="43" fontId="28" fillId="0" borderId="51" xfId="24" applyFont="1" applyBorder="1" applyAlignment="1">
      <alignment horizontal="center" vertical="center" wrapText="1"/>
    </xf>
    <xf numFmtId="4" fontId="14" fillId="0" borderId="51" xfId="30" applyNumberFormat="1" applyFont="1" applyBorder="1" applyAlignment="1" applyProtection="1">
      <alignment horizontal="right" vertical="center"/>
      <protection hidden="1"/>
    </xf>
    <xf numFmtId="0" fontId="28" fillId="0" borderId="0" xfId="23" applyFont="1"/>
    <xf numFmtId="0" fontId="26" fillId="0" borderId="50" xfId="23" applyFont="1" applyBorder="1" applyAlignment="1">
      <alignment horizontal="center" vertical="center"/>
    </xf>
    <xf numFmtId="43" fontId="26" fillId="0" borderId="50" xfId="24" applyFont="1" applyBorder="1" applyAlignment="1">
      <alignment horizontal="right" vertical="center"/>
    </xf>
    <xf numFmtId="170" fontId="28" fillId="0" borderId="50" xfId="24" applyNumberFormat="1" applyFont="1" applyFill="1" applyBorder="1" applyAlignment="1">
      <alignment horizontal="center" vertical="center" wrapText="1"/>
    </xf>
    <xf numFmtId="169" fontId="28" fillId="0" borderId="50" xfId="24" applyNumberFormat="1" applyFont="1" applyBorder="1" applyAlignment="1">
      <alignment horizontal="center" vertical="center" wrapText="1"/>
    </xf>
    <xf numFmtId="169" fontId="28" fillId="0" borderId="50" xfId="24" applyNumberFormat="1" applyFont="1" applyFill="1" applyBorder="1" applyAlignment="1">
      <alignment horizontal="center" vertical="center" wrapText="1"/>
    </xf>
    <xf numFmtId="43" fontId="28" fillId="0" borderId="52" xfId="24" applyFont="1" applyBorder="1" applyAlignment="1">
      <alignment horizontal="center" vertical="center" wrapText="1"/>
    </xf>
    <xf numFmtId="0" fontId="26" fillId="0" borderId="50" xfId="23" applyFont="1" applyBorder="1" applyAlignment="1">
      <alignment horizontal="center" vertical="center" wrapText="1"/>
    </xf>
    <xf numFmtId="43" fontId="26" fillId="0" borderId="52" xfId="24" applyFont="1" applyBorder="1" applyAlignment="1">
      <alignment horizontal="center" vertical="center" wrapText="1"/>
    </xf>
    <xf numFmtId="43" fontId="28" fillId="0" borderId="50" xfId="23" applyNumberFormat="1" applyFont="1" applyBorder="1" applyAlignment="1">
      <alignment horizontal="left" vertical="center" wrapText="1"/>
    </xf>
    <xf numFmtId="43" fontId="26" fillId="0" borderId="50" xfId="23" applyNumberFormat="1" applyFont="1" applyBorder="1" applyAlignment="1">
      <alignment horizontal="left" vertical="center" wrapText="1"/>
    </xf>
    <xf numFmtId="43" fontId="28" fillId="0" borderId="52" xfId="24" applyFont="1" applyFill="1" applyBorder="1" applyAlignment="1">
      <alignment horizontal="center" vertical="center" wrapText="1"/>
    </xf>
    <xf numFmtId="43" fontId="26" fillId="0" borderId="52" xfId="24" applyFont="1" applyFill="1" applyBorder="1" applyAlignment="1">
      <alignment horizontal="center" vertical="center" wrapText="1"/>
    </xf>
    <xf numFmtId="43" fontId="26" fillId="3" borderId="53" xfId="24" applyFont="1" applyFill="1" applyBorder="1" applyAlignment="1">
      <alignment horizontal="center" vertical="center" wrapText="1"/>
    </xf>
    <xf numFmtId="43" fontId="26" fillId="0" borderId="50" xfId="24" applyFont="1" applyFill="1" applyBorder="1" applyAlignment="1">
      <alignment horizontal="center" vertical="center"/>
    </xf>
    <xf numFmtId="0" fontId="26" fillId="3" borderId="53" xfId="23" applyFont="1" applyFill="1" applyBorder="1" applyAlignment="1">
      <alignment horizontal="left" vertical="center" wrapText="1"/>
    </xf>
    <xf numFmtId="164" fontId="13" fillId="0" borderId="50" xfId="26" applyFont="1" applyFill="1" applyBorder="1" applyAlignment="1">
      <alignment horizontal="center" vertical="center"/>
    </xf>
    <xf numFmtId="43" fontId="26" fillId="0" borderId="53" xfId="24" applyFont="1" applyFill="1" applyBorder="1" applyAlignment="1">
      <alignment horizontal="center" vertical="center" wrapText="1"/>
    </xf>
    <xf numFmtId="43" fontId="28" fillId="0" borderId="53" xfId="24" applyFont="1" applyFill="1" applyBorder="1" applyAlignment="1">
      <alignment horizontal="center" vertical="center" wrapText="1"/>
    </xf>
    <xf numFmtId="2" fontId="28" fillId="0" borderId="50" xfId="23" applyNumberFormat="1" applyFont="1" applyBorder="1" applyAlignment="1">
      <alignment horizontal="right" vertical="center" wrapText="1"/>
    </xf>
    <xf numFmtId="43" fontId="28" fillId="0" borderId="53" xfId="24" applyFont="1" applyBorder="1" applyAlignment="1">
      <alignment horizontal="center" vertical="center" wrapText="1"/>
    </xf>
    <xf numFmtId="4" fontId="14" fillId="0" borderId="54" xfId="30" applyNumberFormat="1" applyFont="1" applyBorder="1" applyAlignment="1" applyProtection="1">
      <alignment horizontal="right" vertical="center"/>
      <protection hidden="1"/>
    </xf>
    <xf numFmtId="43" fontId="28" fillId="0" borderId="50" xfId="24" applyFont="1" applyFill="1" applyBorder="1" applyAlignment="1">
      <alignment horizontal="center" vertical="center"/>
    </xf>
    <xf numFmtId="43" fontId="28" fillId="0" borderId="0" xfId="23" applyNumberFormat="1" applyFont="1" applyAlignment="1">
      <alignment horizontal="center" vertical="center"/>
    </xf>
    <xf numFmtId="2" fontId="28" fillId="0" borderId="0" xfId="23" applyNumberFormat="1" applyFont="1" applyAlignment="1">
      <alignment horizontal="center" vertical="center"/>
    </xf>
    <xf numFmtId="172" fontId="28" fillId="0" borderId="50" xfId="24" applyNumberFormat="1" applyFont="1" applyBorder="1" applyAlignment="1">
      <alignment horizontal="center" vertical="center" wrapText="1"/>
    </xf>
    <xf numFmtId="43" fontId="28" fillId="0" borderId="50" xfId="24" applyFont="1" applyBorder="1" applyAlignment="1">
      <alignment horizontal="center" vertical="center"/>
    </xf>
    <xf numFmtId="171" fontId="28" fillId="0" borderId="50" xfId="24" applyNumberFormat="1" applyFont="1" applyBorder="1" applyAlignment="1">
      <alignment horizontal="center" vertical="center" wrapText="1"/>
    </xf>
    <xf numFmtId="1" fontId="26" fillId="5" borderId="50" xfId="0" applyNumberFormat="1" applyFont="1" applyFill="1" applyBorder="1" applyAlignment="1">
      <alignment horizontal="center" vertical="center" wrapText="1"/>
    </xf>
    <xf numFmtId="2" fontId="26" fillId="5" borderId="50" xfId="0" applyNumberFormat="1" applyFont="1" applyFill="1" applyBorder="1" applyAlignment="1">
      <alignment horizontal="left" vertical="center" wrapText="1"/>
    </xf>
    <xf numFmtId="0" fontId="26" fillId="0" borderId="0" xfId="0" applyFont="1"/>
    <xf numFmtId="0" fontId="28" fillId="0" borderId="0" xfId="0" applyFont="1" applyAlignment="1">
      <alignment horizontal="center" vertical="center"/>
    </xf>
    <xf numFmtId="0" fontId="26" fillId="3" borderId="50" xfId="0" applyFont="1" applyFill="1" applyBorder="1" applyAlignment="1">
      <alignment horizontal="center" vertical="center" wrapText="1"/>
    </xf>
    <xf numFmtId="0" fontId="26" fillId="3" borderId="50" xfId="0" applyFont="1" applyFill="1" applyBorder="1" applyAlignment="1">
      <alignment horizontal="left" vertical="center" wrapText="1"/>
    </xf>
    <xf numFmtId="0" fontId="26" fillId="0" borderId="0" xfId="0" applyFont="1" applyAlignment="1">
      <alignment horizontal="center" vertical="center"/>
    </xf>
    <xf numFmtId="0" fontId="28" fillId="0" borderId="50" xfId="0" applyFont="1" applyBorder="1" applyAlignment="1">
      <alignment horizontal="center" vertical="center" wrapText="1"/>
    </xf>
    <xf numFmtId="0" fontId="28" fillId="0" borderId="50" xfId="0" applyFont="1" applyBorder="1" applyAlignment="1">
      <alignment horizontal="left" vertical="center" wrapText="1"/>
    </xf>
    <xf numFmtId="2" fontId="26" fillId="0" borderId="0" xfId="0" applyNumberFormat="1" applyFont="1" applyAlignment="1">
      <alignment vertical="center"/>
    </xf>
    <xf numFmtId="0" fontId="26" fillId="0" borderId="50" xfId="0" applyFont="1" applyBorder="1" applyAlignment="1">
      <alignment horizontal="left" vertical="center" wrapText="1"/>
    </xf>
    <xf numFmtId="43" fontId="26" fillId="0" borderId="0" xfId="0" applyNumberFormat="1" applyFont="1"/>
    <xf numFmtId="43" fontId="28" fillId="0" borderId="0" xfId="24" applyFont="1" applyFill="1" applyBorder="1" applyAlignment="1">
      <alignment horizontal="center" vertical="center" wrapText="1"/>
    </xf>
    <xf numFmtId="0" fontId="13" fillId="0" borderId="0" xfId="0" applyFont="1"/>
    <xf numFmtId="0" fontId="28" fillId="0" borderId="0" xfId="0" applyFont="1"/>
    <xf numFmtId="0" fontId="12" fillId="0" borderId="0" xfId="0" applyFont="1"/>
    <xf numFmtId="0" fontId="26" fillId="0" borderId="50" xfId="0" applyFont="1" applyBorder="1" applyAlignment="1">
      <alignment horizontal="center" vertical="center"/>
    </xf>
    <xf numFmtId="0" fontId="26" fillId="0" borderId="50" xfId="0" applyFont="1" applyBorder="1" applyAlignment="1">
      <alignment horizontal="center" vertical="center" wrapText="1"/>
    </xf>
    <xf numFmtId="43" fontId="28" fillId="0" borderId="50" xfId="0" applyNumberFormat="1" applyFont="1" applyBorder="1" applyAlignment="1">
      <alignment horizontal="left" vertical="center" wrapText="1"/>
    </xf>
    <xf numFmtId="43" fontId="26" fillId="0" borderId="50" xfId="0" applyNumberFormat="1" applyFont="1" applyBorder="1" applyAlignment="1">
      <alignment horizontal="left" vertical="center" wrapText="1"/>
    </xf>
    <xf numFmtId="2" fontId="28" fillId="0" borderId="50" xfId="0" applyNumberFormat="1" applyFont="1" applyBorder="1" applyAlignment="1">
      <alignment horizontal="center" vertical="center" wrapText="1"/>
    </xf>
    <xf numFmtId="43" fontId="28" fillId="0" borderId="0" xfId="0" applyNumberFormat="1" applyFont="1" applyAlignment="1">
      <alignment horizontal="center" vertical="center"/>
    </xf>
    <xf numFmtId="2" fontId="28" fillId="0" borderId="0" xfId="0" applyNumberFormat="1" applyFont="1" applyAlignment="1">
      <alignment horizontal="center" vertical="center"/>
    </xf>
    <xf numFmtId="170" fontId="26" fillId="0" borderId="50" xfId="24" applyNumberFormat="1" applyFont="1" applyBorder="1" applyAlignment="1">
      <alignment horizontal="center" vertical="center" wrapText="1"/>
    </xf>
    <xf numFmtId="170" fontId="26" fillId="0" borderId="50" xfId="24" applyNumberFormat="1" applyFont="1" applyFill="1" applyBorder="1" applyAlignment="1">
      <alignment horizontal="center" vertical="center" wrapText="1"/>
    </xf>
    <xf numFmtId="2" fontId="28" fillId="0" borderId="0" xfId="0" applyNumberFormat="1" applyFont="1" applyAlignment="1">
      <alignment vertical="center"/>
    </xf>
    <xf numFmtId="164" fontId="13" fillId="0" borderId="50" xfId="26" applyFont="1" applyBorder="1" applyAlignment="1">
      <alignment horizontal="center" vertical="center"/>
    </xf>
    <xf numFmtId="43" fontId="26" fillId="0" borderId="53" xfId="24" applyFont="1" applyBorder="1" applyAlignment="1">
      <alignment horizontal="center" vertical="center" wrapText="1"/>
    </xf>
    <xf numFmtId="2" fontId="28" fillId="0" borderId="50" xfId="0" applyNumberFormat="1" applyFont="1" applyBorder="1" applyAlignment="1">
      <alignment horizontal="right" vertical="center" wrapText="1"/>
    </xf>
    <xf numFmtId="181" fontId="28" fillId="0" borderId="50" xfId="24" applyNumberFormat="1" applyFont="1" applyFill="1" applyBorder="1" applyAlignment="1">
      <alignment horizontal="center" vertical="center" wrapText="1"/>
    </xf>
    <xf numFmtId="0" fontId="25" fillId="0" borderId="0" xfId="23" applyFont="1" applyAlignment="1">
      <alignment horizontal="center" vertical="center"/>
    </xf>
    <xf numFmtId="0" fontId="25" fillId="0" borderId="0" xfId="23" applyFont="1" applyAlignment="1">
      <alignment horizontal="left" vertical="center" wrapText="1"/>
    </xf>
    <xf numFmtId="0" fontId="25" fillId="0" borderId="80" xfId="23" applyFont="1" applyBorder="1"/>
    <xf numFmtId="0" fontId="25" fillId="0" borderId="0" xfId="23" applyFont="1"/>
    <xf numFmtId="0" fontId="23" fillId="0" borderId="79" xfId="20" applyFont="1" applyBorder="1" applyAlignment="1" applyProtection="1">
      <alignment horizontal="center"/>
      <protection hidden="1"/>
    </xf>
    <xf numFmtId="175" fontId="19" fillId="0" borderId="61" xfId="21" applyNumberFormat="1" applyFont="1" applyFill="1" applyBorder="1" applyAlignment="1" applyProtection="1">
      <alignment horizontal="center" vertical="center"/>
      <protection hidden="1"/>
    </xf>
    <xf numFmtId="164" fontId="19" fillId="0" borderId="59" xfId="21" applyFont="1" applyFill="1" applyBorder="1" applyAlignment="1" applyProtection="1">
      <alignment horizontal="center" vertical="center"/>
      <protection hidden="1"/>
    </xf>
    <xf numFmtId="175" fontId="19" fillId="0" borderId="59" xfId="21" applyNumberFormat="1" applyFont="1" applyFill="1" applyBorder="1" applyAlignment="1" applyProtection="1">
      <alignment horizontal="left" vertical="center" wrapText="1"/>
      <protection hidden="1"/>
    </xf>
    <xf numFmtId="176" fontId="23" fillId="0" borderId="0" xfId="20" applyNumberFormat="1" applyFont="1"/>
    <xf numFmtId="43" fontId="32" fillId="0" borderId="4" xfId="24" applyFont="1" applyBorder="1" applyAlignment="1">
      <alignment vertical="center"/>
    </xf>
    <xf numFmtId="0" fontId="17" fillId="0" borderId="0" xfId="23" applyFont="1"/>
    <xf numFmtId="0" fontId="3" fillId="0" borderId="0" xfId="23" applyAlignment="1">
      <alignment vertical="center"/>
    </xf>
    <xf numFmtId="0" fontId="3" fillId="0" borderId="0" xfId="23" applyAlignment="1">
      <alignment vertical="center" wrapText="1"/>
    </xf>
    <xf numFmtId="0" fontId="17" fillId="0" borderId="0" xfId="0" applyFont="1"/>
    <xf numFmtId="0" fontId="34" fillId="0" borderId="0" xfId="23" applyFont="1" applyAlignment="1">
      <alignment vertical="center" wrapText="1"/>
    </xf>
    <xf numFmtId="43" fontId="25" fillId="0" borderId="0" xfId="24" applyFont="1" applyAlignment="1">
      <alignment vertical="center"/>
    </xf>
    <xf numFmtId="0" fontId="23" fillId="0" borderId="0" xfId="23" applyFont="1" applyAlignment="1">
      <alignment horizontal="center"/>
    </xf>
    <xf numFmtId="0" fontId="19" fillId="0" borderId="0" xfId="23" applyFont="1"/>
    <xf numFmtId="0" fontId="30" fillId="0" borderId="0" xfId="23" applyFont="1" applyAlignment="1">
      <alignment horizontal="center" vertical="center"/>
    </xf>
    <xf numFmtId="0" fontId="30" fillId="0" borderId="0" xfId="23" applyFont="1"/>
    <xf numFmtId="0" fontId="23" fillId="0" borderId="0" xfId="23" applyFont="1"/>
    <xf numFmtId="16" fontId="23" fillId="0" borderId="0" xfId="23" applyNumberFormat="1" applyFont="1" applyAlignment="1">
      <alignment horizontal="center"/>
    </xf>
    <xf numFmtId="0" fontId="23" fillId="0" borderId="0" xfId="23" applyFont="1" applyAlignment="1">
      <alignment horizontal="right"/>
    </xf>
    <xf numFmtId="0" fontId="19" fillId="0" borderId="0" xfId="23" applyFont="1" applyAlignment="1">
      <alignment horizontal="right"/>
    </xf>
    <xf numFmtId="174" fontId="23" fillId="0" borderId="0" xfId="23" applyNumberFormat="1" applyFont="1"/>
    <xf numFmtId="49" fontId="35" fillId="7" borderId="4" xfId="23" applyNumberFormat="1" applyFont="1" applyFill="1" applyBorder="1" applyAlignment="1">
      <alignment horizontal="center"/>
    </xf>
    <xf numFmtId="49" fontId="36" fillId="7" borderId="4" xfId="23" applyNumberFormat="1" applyFont="1" applyFill="1" applyBorder="1" applyAlignment="1">
      <alignment horizontal="center"/>
    </xf>
    <xf numFmtId="49" fontId="36" fillId="7" borderId="69" xfId="23" applyNumberFormat="1" applyFont="1" applyFill="1" applyBorder="1" applyAlignment="1">
      <alignment horizontal="center"/>
    </xf>
    <xf numFmtId="49" fontId="36" fillId="7" borderId="0" xfId="23" applyNumberFormat="1" applyFont="1" applyFill="1" applyAlignment="1">
      <alignment horizontal="center"/>
    </xf>
    <xf numFmtId="0" fontId="19" fillId="0" borderId="4" xfId="23" applyFont="1" applyBorder="1" applyAlignment="1">
      <alignment horizontal="center" vertical="center"/>
    </xf>
    <xf numFmtId="174" fontId="19" fillId="0" borderId="4" xfId="23" applyNumberFormat="1" applyFont="1" applyBorder="1" applyAlignment="1">
      <alignment horizontal="center" vertical="center"/>
    </xf>
    <xf numFmtId="2" fontId="19" fillId="0" borderId="4" xfId="23" applyNumberFormat="1" applyFont="1" applyBorder="1" applyAlignment="1">
      <alignment horizontal="center" vertical="center"/>
    </xf>
    <xf numFmtId="0" fontId="19" fillId="0" borderId="4" xfId="23" applyFont="1" applyBorder="1" applyAlignment="1">
      <alignment horizontal="center"/>
    </xf>
    <xf numFmtId="0" fontId="19" fillId="0" borderId="4" xfId="23" applyFont="1" applyBorder="1"/>
    <xf numFmtId="2" fontId="19" fillId="0" borderId="4" xfId="23" applyNumberFormat="1" applyFont="1" applyBorder="1"/>
    <xf numFmtId="2" fontId="19" fillId="0" borderId="0" xfId="23" applyNumberFormat="1" applyFont="1" applyAlignment="1">
      <alignment horizontal="center" vertical="center"/>
    </xf>
    <xf numFmtId="2" fontId="19" fillId="0" borderId="4" xfId="23" applyNumberFormat="1" applyFont="1" applyBorder="1" applyAlignment="1">
      <alignment horizontal="left" vertical="center"/>
    </xf>
    <xf numFmtId="2" fontId="19" fillId="4" borderId="0" xfId="23" applyNumberFormat="1" applyFont="1" applyFill="1" applyAlignment="1">
      <alignment horizontal="center" vertical="center"/>
    </xf>
    <xf numFmtId="174" fontId="19" fillId="0" borderId="0" xfId="23" applyNumberFormat="1" applyFont="1"/>
    <xf numFmtId="0" fontId="23" fillId="0" borderId="0" xfId="0" applyFont="1"/>
    <xf numFmtId="0" fontId="19" fillId="0" borderId="0" xfId="0" applyFont="1"/>
    <xf numFmtId="0" fontId="30" fillId="0" borderId="0" xfId="0" applyFont="1" applyAlignment="1">
      <alignment horizontal="center" vertical="center"/>
    </xf>
    <xf numFmtId="0" fontId="30" fillId="0" borderId="0" xfId="0" applyFont="1"/>
    <xf numFmtId="16" fontId="23" fillId="0" borderId="0" xfId="0" applyNumberFormat="1" applyFont="1" applyAlignment="1">
      <alignment horizontal="center"/>
    </xf>
    <xf numFmtId="0" fontId="23" fillId="0" borderId="0" xfId="0" applyFont="1" applyAlignment="1">
      <alignment horizontal="center"/>
    </xf>
    <xf numFmtId="0" fontId="23" fillId="0" borderId="0" xfId="0" applyFont="1" applyAlignment="1">
      <alignment horizontal="right"/>
    </xf>
    <xf numFmtId="0" fontId="19" fillId="0" borderId="0" xfId="0" applyFont="1" applyAlignment="1">
      <alignment horizontal="right"/>
    </xf>
    <xf numFmtId="49" fontId="35" fillId="7" borderId="4" xfId="0" applyNumberFormat="1" applyFont="1" applyFill="1" applyBorder="1" applyAlignment="1">
      <alignment horizontal="center"/>
    </xf>
    <xf numFmtId="49" fontId="36" fillId="7" borderId="4" xfId="0" applyNumberFormat="1" applyFont="1" applyFill="1" applyBorder="1" applyAlignment="1">
      <alignment horizontal="center"/>
    </xf>
    <xf numFmtId="49" fontId="36" fillId="7" borderId="69" xfId="0" applyNumberFormat="1" applyFont="1" applyFill="1" applyBorder="1" applyAlignment="1">
      <alignment horizontal="center"/>
    </xf>
    <xf numFmtId="49" fontId="35" fillId="7" borderId="69" xfId="0" applyNumberFormat="1" applyFont="1" applyFill="1" applyBorder="1" applyAlignment="1">
      <alignment horizontal="center"/>
    </xf>
    <xf numFmtId="49" fontId="36" fillId="7" borderId="0" xfId="0" applyNumberFormat="1" applyFont="1" applyFill="1" applyAlignment="1">
      <alignment horizontal="center"/>
    </xf>
    <xf numFmtId="0" fontId="19" fillId="0" borderId="4" xfId="0" applyFont="1" applyBorder="1" applyAlignment="1">
      <alignment horizontal="center" vertical="center"/>
    </xf>
    <xf numFmtId="174" fontId="19" fillId="0" borderId="4" xfId="0" applyNumberFormat="1" applyFont="1" applyBorder="1" applyAlignment="1">
      <alignment horizontal="center" vertical="center"/>
    </xf>
    <xf numFmtId="2" fontId="19" fillId="0" borderId="4" xfId="0" applyNumberFormat="1" applyFont="1" applyBorder="1" applyAlignment="1">
      <alignment horizontal="center" vertical="center"/>
    </xf>
    <xf numFmtId="0" fontId="19" fillId="0" borderId="4" xfId="0" applyFont="1" applyBorder="1" applyAlignment="1">
      <alignment horizontal="left" vertical="center"/>
    </xf>
    <xf numFmtId="0" fontId="19" fillId="0" borderId="4" xfId="0" applyFont="1" applyBorder="1" applyAlignment="1">
      <alignment horizontal="center"/>
    </xf>
    <xf numFmtId="0" fontId="19" fillId="0" borderId="4" xfId="0" applyFont="1" applyBorder="1"/>
    <xf numFmtId="2" fontId="19" fillId="0" borderId="4" xfId="0" applyNumberFormat="1" applyFont="1" applyBorder="1"/>
    <xf numFmtId="2" fontId="30" fillId="0" borderId="4" xfId="0" applyNumberFormat="1" applyFont="1" applyBorder="1" applyAlignment="1">
      <alignment horizontal="center" vertical="center"/>
    </xf>
    <xf numFmtId="49" fontId="19" fillId="7" borderId="69" xfId="0" applyNumberFormat="1" applyFont="1" applyFill="1" applyBorder="1" applyAlignment="1">
      <alignment horizontal="center"/>
    </xf>
    <xf numFmtId="2" fontId="19" fillId="4" borderId="0" xfId="0" applyNumberFormat="1" applyFont="1" applyFill="1" applyAlignment="1">
      <alignment horizontal="center" vertical="center"/>
    </xf>
    <xf numFmtId="174" fontId="19" fillId="0" borderId="0" xfId="0" applyNumberFormat="1" applyFont="1"/>
    <xf numFmtId="49" fontId="36" fillId="7" borderId="84" xfId="0" applyNumberFormat="1" applyFont="1" applyFill="1" applyBorder="1" applyAlignment="1">
      <alignment horizontal="center"/>
    </xf>
    <xf numFmtId="0" fontId="30" fillId="0" borderId="4" xfId="0" applyFont="1" applyBorder="1" applyAlignment="1">
      <alignment horizontal="center" vertical="center"/>
    </xf>
    <xf numFmtId="2" fontId="19" fillId="0" borderId="71" xfId="0" applyNumberFormat="1" applyFont="1" applyBorder="1" applyAlignment="1">
      <alignment horizontal="center" vertical="center"/>
    </xf>
    <xf numFmtId="174" fontId="30" fillId="0" borderId="4" xfId="0" applyNumberFormat="1" applyFont="1" applyBorder="1" applyAlignment="1">
      <alignment horizontal="center" vertical="center"/>
    </xf>
    <xf numFmtId="2" fontId="28" fillId="0" borderId="50" xfId="0" applyNumberFormat="1" applyFont="1" applyBorder="1" applyAlignment="1">
      <alignment horizontal="left" vertical="center" wrapText="1"/>
    </xf>
    <xf numFmtId="49" fontId="35" fillId="0" borderId="69" xfId="0" applyNumberFormat="1" applyFont="1" applyBorder="1" applyAlignment="1">
      <alignment horizontal="center"/>
    </xf>
    <xf numFmtId="49" fontId="36" fillId="0" borderId="69" xfId="0" applyNumberFormat="1" applyFont="1" applyBorder="1" applyAlignment="1">
      <alignment horizontal="center"/>
    </xf>
    <xf numFmtId="49" fontId="30" fillId="0" borderId="69" xfId="0" applyNumberFormat="1" applyFont="1" applyBorder="1" applyAlignment="1">
      <alignment horizontal="center"/>
    </xf>
    <xf numFmtId="49" fontId="19" fillId="0" borderId="69" xfId="0" applyNumberFormat="1" applyFont="1" applyBorder="1" applyAlignment="1">
      <alignment horizontal="center"/>
    </xf>
    <xf numFmtId="43" fontId="0" fillId="0" borderId="4" xfId="24" applyFont="1" applyFill="1" applyBorder="1" applyAlignment="1">
      <alignment horizontal="center" vertical="center"/>
    </xf>
    <xf numFmtId="0" fontId="13" fillId="0" borderId="4" xfId="0" applyFont="1" applyBorder="1" applyAlignment="1">
      <alignment horizontal="center"/>
    </xf>
    <xf numFmtId="43" fontId="39" fillId="0" borderId="4" xfId="24" applyFont="1" applyFill="1" applyBorder="1" applyAlignment="1">
      <alignment horizontal="center" vertical="center"/>
    </xf>
    <xf numFmtId="43" fontId="11" fillId="0" borderId="4" xfId="24" applyFont="1" applyFill="1" applyBorder="1" applyAlignment="1">
      <alignment horizontal="center" vertical="center"/>
    </xf>
    <xf numFmtId="176" fontId="30" fillId="0" borderId="59" xfId="21" applyNumberFormat="1" applyFont="1" applyFill="1" applyBorder="1" applyAlignment="1" applyProtection="1">
      <alignment horizontal="center" vertical="center"/>
      <protection hidden="1"/>
    </xf>
    <xf numFmtId="175" fontId="30" fillId="0" borderId="59" xfId="21" applyNumberFormat="1" applyFont="1" applyFill="1" applyBorder="1" applyAlignment="1" applyProtection="1">
      <alignment horizontal="center" vertical="center"/>
      <protection hidden="1"/>
    </xf>
    <xf numFmtId="164" fontId="23" fillId="0" borderId="86" xfId="22" applyFont="1" applyFill="1" applyBorder="1"/>
    <xf numFmtId="166" fontId="16" fillId="0" borderId="80" xfId="5" applyNumberFormat="1" applyFont="1" applyFill="1" applyBorder="1" applyAlignment="1">
      <alignment horizontal="center" vertical="center"/>
    </xf>
    <xf numFmtId="43" fontId="27" fillId="5" borderId="50" xfId="24" applyFont="1" applyFill="1" applyBorder="1" applyAlignment="1">
      <alignment horizontal="left" vertical="center" wrapText="1"/>
    </xf>
    <xf numFmtId="2" fontId="26" fillId="5" borderId="50" xfId="0" applyNumberFormat="1" applyFont="1" applyFill="1" applyBorder="1" applyAlignment="1">
      <alignment horizontal="center" vertical="center" wrapText="1"/>
    </xf>
    <xf numFmtId="43" fontId="26" fillId="6" borderId="50" xfId="24" applyFont="1" applyFill="1" applyBorder="1" applyAlignment="1">
      <alignment horizontal="left" vertical="center" wrapText="1"/>
    </xf>
    <xf numFmtId="2" fontId="23" fillId="0" borderId="40" xfId="20" applyNumberFormat="1" applyFont="1" applyBorder="1" applyAlignment="1">
      <alignment horizontal="center"/>
    </xf>
    <xf numFmtId="2" fontId="23" fillId="0" borderId="71" xfId="20" applyNumberFormat="1" applyFont="1" applyBorder="1" applyAlignment="1">
      <alignment horizontal="center"/>
    </xf>
    <xf numFmtId="0" fontId="23" fillId="0" borderId="4" xfId="20" applyFont="1" applyBorder="1" applyAlignment="1" applyProtection="1">
      <alignment horizontal="center" vertical="center"/>
      <protection hidden="1"/>
    </xf>
    <xf numFmtId="1" fontId="26" fillId="5" borderId="50" xfId="31" applyNumberFormat="1" applyFont="1" applyFill="1" applyBorder="1" applyAlignment="1">
      <alignment horizontal="center" vertical="center" wrapText="1"/>
    </xf>
    <xf numFmtId="2" fontId="26" fillId="5" borderId="50" xfId="31" applyNumberFormat="1" applyFont="1" applyFill="1" applyBorder="1" applyAlignment="1">
      <alignment horizontal="left" vertical="center" wrapText="1"/>
    </xf>
    <xf numFmtId="43" fontId="27" fillId="5" borderId="50" xfId="17" applyFont="1" applyFill="1" applyBorder="1" applyAlignment="1">
      <alignment horizontal="center" vertical="center" wrapText="1"/>
    </xf>
    <xf numFmtId="43" fontId="26" fillId="5" borderId="50" xfId="17" applyFont="1" applyFill="1" applyBorder="1" applyAlignment="1">
      <alignment horizontal="center" vertical="center" wrapText="1"/>
    </xf>
    <xf numFmtId="0" fontId="26" fillId="0" borderId="0" xfId="31" applyFont="1"/>
    <xf numFmtId="0" fontId="28" fillId="0" borderId="0" xfId="31" applyFont="1" applyAlignment="1">
      <alignment horizontal="center" vertical="center"/>
    </xf>
    <xf numFmtId="0" fontId="26" fillId="3" borderId="50" xfId="31" applyFont="1" applyFill="1" applyBorder="1" applyAlignment="1">
      <alignment horizontal="center" vertical="center" wrapText="1"/>
    </xf>
    <xf numFmtId="0" fontId="26" fillId="3" borderId="50" xfId="31" applyFont="1" applyFill="1" applyBorder="1" applyAlignment="1">
      <alignment horizontal="left" vertical="center" wrapText="1"/>
    </xf>
    <xf numFmtId="43" fontId="26" fillId="3" borderId="50" xfId="17" applyFont="1" applyFill="1" applyBorder="1" applyAlignment="1">
      <alignment horizontal="center" vertical="center" wrapText="1"/>
    </xf>
    <xf numFmtId="0" fontId="26" fillId="0" borderId="0" xfId="31" applyFont="1" applyAlignment="1">
      <alignment horizontal="center" vertical="center"/>
    </xf>
    <xf numFmtId="0" fontId="28" fillId="0" borderId="50" xfId="31" applyFont="1" applyBorder="1" applyAlignment="1">
      <alignment horizontal="center" vertical="center" wrapText="1"/>
    </xf>
    <xf numFmtId="0" fontId="28" fillId="0" borderId="50" xfId="31" applyFont="1" applyBorder="1" applyAlignment="1">
      <alignment horizontal="left" vertical="center" wrapText="1"/>
    </xf>
    <xf numFmtId="43" fontId="26" fillId="0" borderId="50" xfId="17" applyFont="1" applyBorder="1" applyAlignment="1">
      <alignment horizontal="center" vertical="center" wrapText="1"/>
    </xf>
    <xf numFmtId="43" fontId="28" fillId="0" borderId="50" xfId="17" applyFont="1" applyBorder="1" applyAlignment="1">
      <alignment horizontal="center" vertical="center" wrapText="1"/>
    </xf>
    <xf numFmtId="2" fontId="26" fillId="0" borderId="0" xfId="31" applyNumberFormat="1" applyFont="1" applyAlignment="1">
      <alignment vertical="center"/>
    </xf>
    <xf numFmtId="9" fontId="28" fillId="0" borderId="50" xfId="16" applyFont="1" applyBorder="1" applyAlignment="1">
      <alignment horizontal="center" vertical="center" wrapText="1"/>
    </xf>
    <xf numFmtId="0" fontId="26" fillId="0" borderId="50" xfId="31" applyFont="1" applyBorder="1" applyAlignment="1">
      <alignment horizontal="left" vertical="center" wrapText="1"/>
    </xf>
    <xf numFmtId="43" fontId="26" fillId="0" borderId="50" xfId="17" applyFont="1" applyBorder="1" applyAlignment="1">
      <alignment horizontal="center" vertical="center"/>
    </xf>
    <xf numFmtId="43" fontId="26" fillId="0" borderId="0" xfId="31" applyNumberFormat="1" applyFont="1"/>
    <xf numFmtId="4" fontId="23" fillId="0" borderId="1" xfId="0" applyNumberFormat="1" applyFont="1" applyBorder="1" applyAlignment="1">
      <alignment horizontal="right" vertical="center" wrapText="1"/>
    </xf>
    <xf numFmtId="0" fontId="21" fillId="0" borderId="0" xfId="0" applyFont="1"/>
    <xf numFmtId="0" fontId="21" fillId="0" borderId="0" xfId="0" applyFont="1" applyAlignment="1">
      <alignment vertical="center"/>
    </xf>
    <xf numFmtId="0" fontId="17" fillId="0" borderId="4" xfId="23" applyFont="1" applyBorder="1" applyAlignment="1">
      <alignment horizontal="center" vertical="center"/>
    </xf>
    <xf numFmtId="0" fontId="17" fillId="0" borderId="0" xfId="23" applyFont="1" applyAlignment="1">
      <alignment horizontal="center" vertical="center"/>
    </xf>
    <xf numFmtId="0" fontId="17" fillId="0" borderId="40" xfId="23" applyFont="1" applyBorder="1" applyAlignment="1">
      <alignment horizontal="center" vertical="center"/>
    </xf>
    <xf numFmtId="0" fontId="3" fillId="0" borderId="0" xfId="23" applyAlignment="1">
      <alignment horizontal="center" vertical="center"/>
    </xf>
    <xf numFmtId="2" fontId="17" fillId="0" borderId="4" xfId="23" applyNumberFormat="1" applyFont="1" applyBorder="1" applyAlignment="1">
      <alignment horizontal="center" vertical="center" wrapText="1"/>
    </xf>
    <xf numFmtId="0" fontId="3" fillId="0" borderId="4" xfId="23" applyBorder="1" applyAlignment="1">
      <alignment horizontal="left" vertical="center" wrapText="1"/>
    </xf>
    <xf numFmtId="0" fontId="3" fillId="0" borderId="40" xfId="23" applyBorder="1" applyAlignment="1">
      <alignment horizontal="center" vertical="center"/>
    </xf>
    <xf numFmtId="0" fontId="12" fillId="0" borderId="4" xfId="23" applyFont="1" applyBorder="1" applyAlignment="1">
      <alignment horizontal="center" vertical="center"/>
    </xf>
    <xf numFmtId="2" fontId="12" fillId="0" borderId="4" xfId="23" applyNumberFormat="1" applyFont="1" applyBorder="1" applyAlignment="1">
      <alignment horizontal="center" vertical="center"/>
    </xf>
    <xf numFmtId="0" fontId="12" fillId="0" borderId="4" xfId="23" applyFont="1" applyBorder="1" applyAlignment="1">
      <alignment horizontal="center" vertical="center" wrapText="1"/>
    </xf>
    <xf numFmtId="0" fontId="12" fillId="0" borderId="0" xfId="23" applyFont="1" applyAlignment="1">
      <alignment horizontal="center" vertical="center"/>
    </xf>
    <xf numFmtId="0" fontId="12" fillId="0" borderId="4" xfId="23" applyFont="1" applyBorder="1" applyAlignment="1">
      <alignment horizontal="left" vertical="center" wrapText="1"/>
    </xf>
    <xf numFmtId="0" fontId="13" fillId="0" borderId="4" xfId="23" applyFont="1" applyBorder="1" applyAlignment="1">
      <alignment horizontal="center" vertical="center"/>
    </xf>
    <xf numFmtId="0" fontId="12" fillId="0" borderId="40" xfId="23" applyFont="1" applyBorder="1" applyAlignment="1">
      <alignment horizontal="center" vertical="center"/>
    </xf>
    <xf numFmtId="0" fontId="25" fillId="0" borderId="4" xfId="23" applyFont="1" applyBorder="1" applyAlignment="1">
      <alignment horizontal="center" vertical="center"/>
    </xf>
    <xf numFmtId="2" fontId="25" fillId="0" borderId="4" xfId="23" applyNumberFormat="1" applyFont="1" applyBorder="1" applyAlignment="1">
      <alignment horizontal="center" vertical="center"/>
    </xf>
    <xf numFmtId="0" fontId="25" fillId="0" borderId="4" xfId="23" applyFont="1" applyBorder="1" applyAlignment="1">
      <alignment horizontal="center" vertical="center" wrapText="1"/>
    </xf>
    <xf numFmtId="0" fontId="13" fillId="0" borderId="4" xfId="23" applyFont="1" applyBorder="1" applyAlignment="1">
      <alignment horizontal="left" vertical="center" wrapText="1"/>
    </xf>
    <xf numFmtId="0" fontId="13" fillId="0" borderId="40" xfId="23" applyFont="1" applyBorder="1" applyAlignment="1">
      <alignment horizontal="center" vertical="center"/>
    </xf>
    <xf numFmtId="0" fontId="12" fillId="0" borderId="0" xfId="23" applyFont="1" applyAlignment="1">
      <alignment horizontal="left" vertical="center" wrapText="1"/>
    </xf>
    <xf numFmtId="0" fontId="12" fillId="0" borderId="0" xfId="23" applyFont="1" applyAlignment="1">
      <alignment horizontal="center" vertical="center" wrapText="1"/>
    </xf>
    <xf numFmtId="0" fontId="3" fillId="0" borderId="0" xfId="23" applyAlignment="1">
      <alignment horizontal="center" vertical="center" wrapText="1"/>
    </xf>
    <xf numFmtId="43" fontId="17" fillId="0" borderId="0" xfId="23" applyNumberFormat="1" applyFont="1" applyAlignment="1">
      <alignment horizontal="center" vertical="center"/>
    </xf>
    <xf numFmtId="0" fontId="17" fillId="0" borderId="4" xfId="0" applyFont="1" applyBorder="1" applyAlignment="1">
      <alignment horizontal="center" vertical="center"/>
    </xf>
    <xf numFmtId="0" fontId="17" fillId="0" borderId="0" xfId="0" applyFont="1" applyAlignment="1">
      <alignment horizontal="center" vertical="center"/>
    </xf>
    <xf numFmtId="0" fontId="17" fillId="0" borderId="4" xfId="0" applyFont="1" applyBorder="1" applyAlignment="1">
      <alignment horizontal="center" wrapText="1"/>
    </xf>
    <xf numFmtId="0" fontId="0" fillId="0" borderId="4" xfId="0" applyBorder="1" applyAlignment="1">
      <alignment horizontal="center" vertical="center"/>
    </xf>
    <xf numFmtId="0" fontId="0" fillId="0" borderId="4" xfId="0" applyBorder="1" applyAlignment="1">
      <alignment horizontal="center" wrapText="1"/>
    </xf>
    <xf numFmtId="0" fontId="0" fillId="0" borderId="0" xfId="0" applyAlignment="1">
      <alignment wrapText="1"/>
    </xf>
    <xf numFmtId="0" fontId="17" fillId="0" borderId="0" xfId="0" applyFont="1" applyAlignment="1">
      <alignment horizontal="center"/>
    </xf>
    <xf numFmtId="0" fontId="13" fillId="0" borderId="4" xfId="0" applyFont="1" applyBorder="1" applyAlignment="1">
      <alignment horizontal="center" wrapText="1"/>
    </xf>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34" fillId="0" borderId="0" xfId="0" applyFont="1" applyAlignment="1">
      <alignment horizontal="center"/>
    </xf>
    <xf numFmtId="0" fontId="0" fillId="0" borderId="4" xfId="0" applyBorder="1" applyAlignment="1">
      <alignment horizontal="left" vertical="center" wrapText="1"/>
    </xf>
    <xf numFmtId="0" fontId="39" fillId="0" borderId="0" xfId="0" applyFont="1"/>
    <xf numFmtId="0" fontId="0" fillId="0" borderId="4" xfId="0" applyBorder="1" applyAlignment="1">
      <alignment horizontal="center" vertical="center" wrapText="1"/>
    </xf>
    <xf numFmtId="0" fontId="13" fillId="0" borderId="4" xfId="0" applyFont="1" applyBorder="1"/>
    <xf numFmtId="0" fontId="39" fillId="0" borderId="4" xfId="0" applyFont="1" applyBorder="1" applyAlignment="1">
      <alignment horizontal="center" vertical="center"/>
    </xf>
    <xf numFmtId="0" fontId="39" fillId="0" borderId="4" xfId="0" applyFont="1" applyBorder="1" applyAlignment="1">
      <alignment horizontal="center" vertical="center" wrapText="1"/>
    </xf>
    <xf numFmtId="9" fontId="0" fillId="0" borderId="0" xfId="2" applyFont="1" applyFill="1"/>
    <xf numFmtId="0" fontId="0" fillId="0" borderId="4" xfId="0" applyBorder="1" applyAlignment="1">
      <alignment horizontal="center"/>
    </xf>
    <xf numFmtId="0" fontId="39" fillId="0" borderId="0" xfId="0" applyFont="1" applyAlignment="1">
      <alignment wrapText="1"/>
    </xf>
    <xf numFmtId="0" fontId="0" fillId="0" borderId="4" xfId="0" quotePrefix="1" applyBorder="1" applyAlignment="1">
      <alignment horizontal="center" vertical="center"/>
    </xf>
    <xf numFmtId="1" fontId="23" fillId="0" borderId="61" xfId="20" applyNumberFormat="1" applyFont="1" applyBorder="1" applyAlignment="1" applyProtection="1">
      <alignment horizontal="left" vertical="center"/>
      <protection hidden="1"/>
    </xf>
    <xf numFmtId="1" fontId="23" fillId="0" borderId="61" xfId="20" applyNumberFormat="1" applyFont="1" applyBorder="1" applyAlignment="1" applyProtection="1">
      <alignment horizontal="center" vertical="center"/>
      <protection hidden="1"/>
    </xf>
    <xf numFmtId="0" fontId="23" fillId="0" borderId="61" xfId="20" applyFont="1" applyBorder="1" applyAlignment="1" applyProtection="1">
      <alignment horizontal="center" vertical="center"/>
      <protection hidden="1"/>
    </xf>
    <xf numFmtId="0" fontId="23" fillId="0" borderId="61" xfId="20" applyFont="1" applyBorder="1" applyAlignment="1" applyProtection="1">
      <alignment vertical="center"/>
      <protection hidden="1"/>
    </xf>
    <xf numFmtId="0" fontId="23" fillId="0" borderId="58" xfId="20" applyFont="1" applyBorder="1" applyAlignment="1" applyProtection="1">
      <alignment horizontal="center" vertical="center"/>
      <protection hidden="1"/>
    </xf>
    <xf numFmtId="0" fontId="23" fillId="0" borderId="71" xfId="20" applyFont="1" applyBorder="1" applyAlignment="1" applyProtection="1">
      <alignment horizontal="center" vertical="center"/>
      <protection hidden="1"/>
    </xf>
    <xf numFmtId="0" fontId="23" fillId="0" borderId="39" xfId="20" applyFont="1" applyBorder="1" applyAlignment="1" applyProtection="1">
      <alignment horizontal="center" vertical="center"/>
      <protection hidden="1"/>
    </xf>
    <xf numFmtId="0" fontId="23" fillId="0" borderId="59" xfId="20" applyFont="1" applyBorder="1" applyAlignment="1" applyProtection="1">
      <alignment vertical="center"/>
      <protection hidden="1"/>
    </xf>
    <xf numFmtId="0" fontId="23" fillId="0" borderId="58" xfId="20" applyFont="1" applyBorder="1" applyAlignment="1" applyProtection="1">
      <alignment horizontal="center"/>
      <protection hidden="1"/>
    </xf>
    <xf numFmtId="0" fontId="23" fillId="0" borderId="61" xfId="20" applyFont="1" applyBorder="1" applyAlignment="1" applyProtection="1">
      <alignment horizontal="center"/>
      <protection hidden="1"/>
    </xf>
    <xf numFmtId="0" fontId="23" fillId="0" borderId="38" xfId="20" applyFont="1" applyBorder="1" applyAlignment="1" applyProtection="1">
      <alignment horizontal="center"/>
      <protection hidden="1"/>
    </xf>
    <xf numFmtId="0" fontId="23" fillId="0" borderId="0" xfId="20" applyFont="1" applyAlignment="1">
      <alignment horizontal="left"/>
    </xf>
    <xf numFmtId="2" fontId="23" fillId="0" borderId="0" xfId="20" applyNumberFormat="1" applyFont="1" applyAlignment="1" applyProtection="1">
      <alignment horizontal="center" wrapText="1"/>
      <protection hidden="1"/>
    </xf>
    <xf numFmtId="174" fontId="23" fillId="0" borderId="0" xfId="20" applyNumberFormat="1" applyFont="1" applyAlignment="1">
      <alignment horizontal="center"/>
    </xf>
    <xf numFmtId="0" fontId="23" fillId="0" borderId="69" xfId="20" applyFont="1" applyBorder="1" applyAlignment="1" applyProtection="1">
      <alignment horizontal="center"/>
      <protection hidden="1"/>
    </xf>
    <xf numFmtId="0" fontId="23" fillId="0" borderId="70" xfId="20" applyFont="1" applyBorder="1" applyAlignment="1" applyProtection="1">
      <alignment horizontal="center"/>
      <protection hidden="1"/>
    </xf>
    <xf numFmtId="0" fontId="23" fillId="0" borderId="81" xfId="20" applyFont="1" applyBorder="1" applyAlignment="1" applyProtection="1">
      <alignment horizontal="center"/>
      <protection hidden="1"/>
    </xf>
    <xf numFmtId="2" fontId="23" fillId="0" borderId="72" xfId="20" applyNumberFormat="1" applyFont="1" applyBorder="1"/>
    <xf numFmtId="2" fontId="23" fillId="0" borderId="72" xfId="20" applyNumberFormat="1" applyFont="1" applyBorder="1" applyAlignment="1">
      <alignment horizontal="center"/>
    </xf>
    <xf numFmtId="1" fontId="23" fillId="0" borderId="0" xfId="20" applyNumberFormat="1" applyFont="1" applyAlignment="1" applyProtection="1">
      <alignment horizontal="center"/>
      <protection hidden="1"/>
    </xf>
    <xf numFmtId="0" fontId="23" fillId="0" borderId="80" xfId="20" applyFont="1" applyBorder="1"/>
    <xf numFmtId="2" fontId="23" fillId="0" borderId="0" xfId="20" applyNumberFormat="1" applyFont="1" applyAlignment="1">
      <alignment horizontal="center"/>
    </xf>
    <xf numFmtId="2" fontId="23" fillId="0" borderId="11" xfId="20" applyNumberFormat="1" applyFont="1" applyBorder="1" applyAlignment="1">
      <alignment horizontal="center"/>
    </xf>
    <xf numFmtId="0" fontId="23" fillId="0" borderId="40" xfId="20" applyFont="1" applyBorder="1"/>
    <xf numFmtId="2" fontId="23" fillId="0" borderId="80" xfId="20" applyNumberFormat="1" applyFont="1" applyBorder="1"/>
    <xf numFmtId="2" fontId="23" fillId="0" borderId="11" xfId="20" applyNumberFormat="1" applyFont="1" applyBorder="1"/>
    <xf numFmtId="0" fontId="37" fillId="0" borderId="4" xfId="20" applyFont="1" applyBorder="1" applyAlignment="1">
      <alignment horizontal="center" vertical="center"/>
    </xf>
    <xf numFmtId="0" fontId="37" fillId="0" borderId="4" xfId="20" applyFont="1" applyBorder="1" applyAlignment="1">
      <alignment horizontal="left" vertical="center" wrapText="1"/>
    </xf>
    <xf numFmtId="0" fontId="37" fillId="0" borderId="4" xfId="20" applyFont="1" applyBorder="1" applyAlignment="1">
      <alignment horizontal="left" vertical="center"/>
    </xf>
    <xf numFmtId="0" fontId="16" fillId="0" borderId="0" xfId="20" applyFont="1" applyAlignment="1">
      <alignment horizontal="center" vertical="center"/>
    </xf>
    <xf numFmtId="2" fontId="23" fillId="0" borderId="60" xfId="20" applyNumberFormat="1" applyFont="1" applyBorder="1" applyAlignment="1" applyProtection="1">
      <alignment horizontal="center" vertical="center"/>
      <protection hidden="1"/>
    </xf>
    <xf numFmtId="174" fontId="23" fillId="0" borderId="60" xfId="20" applyNumberFormat="1" applyFont="1" applyBorder="1" applyAlignment="1" applyProtection="1">
      <alignment horizontal="center" vertical="center"/>
      <protection hidden="1"/>
    </xf>
    <xf numFmtId="174" fontId="23" fillId="0" borderId="0" xfId="20" applyNumberFormat="1" applyFont="1" applyAlignment="1" applyProtection="1">
      <alignment horizontal="center" vertical="center" wrapText="1"/>
      <protection hidden="1"/>
    </xf>
    <xf numFmtId="0" fontId="23" fillId="0" borderId="38" xfId="20" applyFont="1" applyBorder="1" applyAlignment="1" applyProtection="1">
      <alignment horizontal="center" vertical="center"/>
      <protection hidden="1"/>
    </xf>
    <xf numFmtId="0" fontId="23" fillId="0" borderId="60" xfId="20" applyFont="1" applyBorder="1" applyAlignment="1" applyProtection="1">
      <alignment vertical="center"/>
      <protection hidden="1"/>
    </xf>
    <xf numFmtId="0" fontId="19" fillId="0" borderId="0" xfId="20" applyAlignment="1">
      <alignment horizontal="left"/>
    </xf>
    <xf numFmtId="0" fontId="19" fillId="0" borderId="0" xfId="20" applyAlignment="1">
      <alignment horizontal="center"/>
    </xf>
    <xf numFmtId="1" fontId="19" fillId="0" borderId="61" xfId="20" applyNumberFormat="1" applyBorder="1" applyAlignment="1" applyProtection="1">
      <alignment horizontal="left"/>
      <protection hidden="1"/>
    </xf>
    <xf numFmtId="1" fontId="19" fillId="0" borderId="61" xfId="20" applyNumberFormat="1" applyBorder="1" applyAlignment="1" applyProtection="1">
      <alignment horizontal="center"/>
      <protection hidden="1"/>
    </xf>
    <xf numFmtId="176" fontId="19" fillId="0" borderId="56" xfId="20" applyNumberFormat="1" applyBorder="1" applyAlignment="1" applyProtection="1">
      <alignment horizontal="center"/>
      <protection hidden="1"/>
    </xf>
    <xf numFmtId="176" fontId="19" fillId="0" borderId="63" xfId="20" applyNumberFormat="1" applyBorder="1" applyAlignment="1" applyProtection="1">
      <alignment horizontal="center"/>
      <protection hidden="1"/>
    </xf>
    <xf numFmtId="176" fontId="19" fillId="0" borderId="0" xfId="20" applyNumberFormat="1" applyAlignment="1">
      <alignment horizontal="center"/>
    </xf>
    <xf numFmtId="1" fontId="19" fillId="0" borderId="0" xfId="20" applyNumberFormat="1" applyAlignment="1" applyProtection="1">
      <alignment horizontal="center"/>
      <protection hidden="1"/>
    </xf>
    <xf numFmtId="1" fontId="19" fillId="0" borderId="61" xfId="20" applyNumberFormat="1" applyBorder="1" applyAlignment="1" applyProtection="1">
      <alignment horizontal="center" vertical="center"/>
      <protection hidden="1"/>
    </xf>
    <xf numFmtId="0" fontId="37" fillId="0" borderId="4" xfId="0" applyFont="1" applyBorder="1" applyAlignment="1">
      <alignment vertical="center" wrapText="1"/>
    </xf>
    <xf numFmtId="2" fontId="19" fillId="0" borderId="59" xfId="20" applyNumberFormat="1" applyBorder="1" applyAlignment="1" applyProtection="1">
      <alignment horizontal="center" vertical="center"/>
      <protection hidden="1"/>
    </xf>
    <xf numFmtId="12" fontId="19" fillId="0" borderId="59" xfId="20" applyNumberFormat="1" applyBorder="1" applyProtection="1">
      <protection hidden="1"/>
    </xf>
    <xf numFmtId="2" fontId="19" fillId="0" borderId="59" xfId="20" applyNumberFormat="1" applyBorder="1" applyAlignment="1" applyProtection="1">
      <alignment horizontal="center"/>
      <protection hidden="1"/>
    </xf>
    <xf numFmtId="2" fontId="19" fillId="0" borderId="59" xfId="20" applyNumberFormat="1" applyBorder="1" applyAlignment="1" applyProtection="1">
      <alignment horizontal="center" wrapText="1"/>
      <protection hidden="1"/>
    </xf>
    <xf numFmtId="2" fontId="19" fillId="0" borderId="60" xfId="20" applyNumberFormat="1" applyBorder="1" applyAlignment="1" applyProtection="1">
      <alignment horizontal="center" vertical="center"/>
      <protection hidden="1"/>
    </xf>
    <xf numFmtId="2" fontId="19" fillId="0" borderId="60" xfId="20" applyNumberFormat="1" applyBorder="1" applyAlignment="1" applyProtection="1">
      <alignment horizontal="center"/>
      <protection hidden="1"/>
    </xf>
    <xf numFmtId="2" fontId="19" fillId="0" borderId="4" xfId="20" applyNumberFormat="1" applyBorder="1" applyAlignment="1" applyProtection="1">
      <alignment horizontal="center"/>
      <protection hidden="1"/>
    </xf>
    <xf numFmtId="2" fontId="19" fillId="0" borderId="4" xfId="20" applyNumberFormat="1" applyBorder="1" applyAlignment="1" applyProtection="1">
      <alignment horizontal="center" vertical="center"/>
      <protection hidden="1"/>
    </xf>
    <xf numFmtId="2" fontId="19" fillId="0" borderId="62" xfId="20" applyNumberFormat="1" applyBorder="1" applyAlignment="1" applyProtection="1">
      <alignment horizontal="center"/>
      <protection hidden="1"/>
    </xf>
    <xf numFmtId="2" fontId="19" fillId="0" borderId="56" xfId="20" applyNumberFormat="1" applyBorder="1" applyAlignment="1" applyProtection="1">
      <alignment horizontal="center"/>
      <protection hidden="1"/>
    </xf>
    <xf numFmtId="2" fontId="19" fillId="0" borderId="63" xfId="20" applyNumberFormat="1" applyBorder="1" applyAlignment="1" applyProtection="1">
      <alignment horizontal="center"/>
      <protection hidden="1"/>
    </xf>
    <xf numFmtId="0" fontId="19" fillId="0" borderId="59" xfId="20" applyBorder="1" applyAlignment="1" applyProtection="1">
      <alignment horizontal="center"/>
      <protection hidden="1"/>
    </xf>
    <xf numFmtId="174" fontId="19" fillId="0" borderId="59" xfId="20" applyNumberFormat="1" applyBorder="1" applyAlignment="1" applyProtection="1">
      <alignment horizontal="center"/>
      <protection hidden="1"/>
    </xf>
    <xf numFmtId="182" fontId="19" fillId="0" borderId="0" xfId="20" applyNumberFormat="1" applyAlignment="1" applyProtection="1">
      <alignment horizontal="center"/>
      <protection hidden="1"/>
    </xf>
    <xf numFmtId="182" fontId="19" fillId="0" borderId="4" xfId="20" applyNumberFormat="1" applyBorder="1" applyAlignment="1" applyProtection="1">
      <alignment horizontal="center"/>
      <protection hidden="1"/>
    </xf>
    <xf numFmtId="174" fontId="19" fillId="0" borderId="0" xfId="20" applyNumberFormat="1" applyAlignment="1">
      <alignment horizontal="center"/>
    </xf>
    <xf numFmtId="43" fontId="19" fillId="0" borderId="59" xfId="20" applyNumberFormat="1" applyBorder="1" applyAlignment="1" applyProtection="1">
      <alignment horizontal="center" vertical="center"/>
      <protection hidden="1"/>
    </xf>
    <xf numFmtId="43" fontId="19" fillId="0" borderId="60" xfId="20" applyNumberFormat="1" applyBorder="1" applyAlignment="1" applyProtection="1">
      <alignment horizontal="center" vertical="center"/>
      <protection hidden="1"/>
    </xf>
    <xf numFmtId="12" fontId="19" fillId="0" borderId="59" xfId="20" applyNumberFormat="1" applyBorder="1" applyAlignment="1" applyProtection="1">
      <alignment vertical="center"/>
      <protection hidden="1"/>
    </xf>
    <xf numFmtId="2" fontId="19" fillId="0" borderId="59" xfId="20" applyNumberFormat="1" applyBorder="1" applyAlignment="1" applyProtection="1">
      <alignment horizontal="center" vertical="center" wrapText="1"/>
      <protection hidden="1"/>
    </xf>
    <xf numFmtId="0" fontId="19" fillId="0" borderId="4" xfId="20" applyBorder="1" applyAlignment="1" applyProtection="1">
      <alignment horizontal="center" vertical="center"/>
      <protection hidden="1"/>
    </xf>
    <xf numFmtId="0" fontId="19" fillId="0" borderId="59" xfId="20" applyBorder="1" applyAlignment="1" applyProtection="1">
      <alignment horizontal="center" vertical="center"/>
      <protection hidden="1"/>
    </xf>
    <xf numFmtId="2" fontId="19" fillId="0" borderId="62" xfId="20" applyNumberFormat="1" applyBorder="1" applyAlignment="1" applyProtection="1">
      <alignment horizontal="center" vertical="center"/>
      <protection hidden="1"/>
    </xf>
    <xf numFmtId="2" fontId="19" fillId="0" borderId="56" xfId="20" applyNumberFormat="1" applyBorder="1" applyAlignment="1" applyProtection="1">
      <alignment horizontal="center" vertical="center"/>
      <protection hidden="1"/>
    </xf>
    <xf numFmtId="2" fontId="19" fillId="0" borderId="63" xfId="20" applyNumberFormat="1" applyBorder="1" applyAlignment="1" applyProtection="1">
      <alignment horizontal="center" vertical="center"/>
      <protection hidden="1"/>
    </xf>
    <xf numFmtId="174" fontId="19" fillId="0" borderId="59" xfId="20" applyNumberFormat="1" applyBorder="1" applyAlignment="1" applyProtection="1">
      <alignment horizontal="center" vertical="center"/>
      <protection hidden="1"/>
    </xf>
    <xf numFmtId="182" fontId="19" fillId="0" borderId="0" xfId="20" applyNumberFormat="1" applyAlignment="1" applyProtection="1">
      <alignment horizontal="center" vertical="center"/>
      <protection hidden="1"/>
    </xf>
    <xf numFmtId="182" fontId="19" fillId="0" borderId="4" xfId="20" applyNumberFormat="1" applyBorder="1" applyAlignment="1" applyProtection="1">
      <alignment horizontal="center" vertical="center"/>
      <protection hidden="1"/>
    </xf>
    <xf numFmtId="164" fontId="19" fillId="0" borderId="60" xfId="20" applyNumberFormat="1" applyBorder="1" applyAlignment="1" applyProtection="1">
      <alignment horizontal="center" vertical="center"/>
      <protection hidden="1"/>
    </xf>
    <xf numFmtId="174" fontId="19" fillId="0" borderId="60" xfId="20" applyNumberFormat="1" applyBorder="1" applyAlignment="1" applyProtection="1">
      <alignment horizontal="center" vertical="center"/>
      <protection hidden="1"/>
    </xf>
    <xf numFmtId="43" fontId="19" fillId="0" borderId="0" xfId="20" applyNumberFormat="1" applyAlignment="1">
      <alignment vertical="center"/>
    </xf>
    <xf numFmtId="0" fontId="12" fillId="0" borderId="4" xfId="3" applyFont="1" applyBorder="1" applyAlignment="1">
      <alignment horizontal="center" vertical="center" wrapText="1"/>
    </xf>
    <xf numFmtId="0" fontId="12" fillId="8" borderId="4" xfId="3" applyFont="1" applyFill="1" applyBorder="1" applyAlignment="1">
      <alignment horizontal="center" vertical="center"/>
    </xf>
    <xf numFmtId="0" fontId="12" fillId="8" borderId="4" xfId="3" applyFont="1" applyFill="1" applyBorder="1" applyAlignment="1">
      <alignment horizontal="center" vertical="center" wrapText="1"/>
    </xf>
    <xf numFmtId="0" fontId="12" fillId="8" borderId="0" xfId="3" applyFont="1" applyFill="1"/>
    <xf numFmtId="0" fontId="21" fillId="2" borderId="0" xfId="0" applyFont="1" applyFill="1" applyAlignment="1">
      <alignment horizontal="left" vertical="top" wrapText="1"/>
    </xf>
    <xf numFmtId="0" fontId="22" fillId="0" borderId="0" xfId="0" applyFont="1"/>
    <xf numFmtId="0" fontId="22" fillId="0" borderId="0" xfId="0" applyFont="1" applyAlignment="1">
      <alignment vertical="center"/>
    </xf>
    <xf numFmtId="0" fontId="23" fillId="2" borderId="0" xfId="0" applyFont="1" applyFill="1" applyAlignment="1">
      <alignment horizontal="left" vertical="top" wrapText="1"/>
    </xf>
    <xf numFmtId="0" fontId="21"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0" fontId="23" fillId="0" borderId="1" xfId="0" applyFont="1" applyBorder="1" applyAlignment="1">
      <alignment horizontal="right" vertical="center" wrapText="1"/>
    </xf>
    <xf numFmtId="180" fontId="23" fillId="0" borderId="1" xfId="0" applyNumberFormat="1" applyFont="1" applyBorder="1" applyAlignment="1">
      <alignment horizontal="right"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2" fontId="19" fillId="0" borderId="1" xfId="0" applyNumberFormat="1" applyFont="1" applyBorder="1" applyAlignment="1">
      <alignment horizontal="right" vertical="center" wrapText="1"/>
    </xf>
    <xf numFmtId="4" fontId="19" fillId="0" borderId="1" xfId="0" applyNumberFormat="1" applyFont="1" applyBorder="1" applyAlignment="1">
      <alignment horizontal="right" vertical="center" wrapText="1"/>
    </xf>
    <xf numFmtId="10" fontId="19" fillId="0" borderId="1" xfId="2" applyNumberFormat="1" applyFont="1" applyFill="1" applyBorder="1" applyAlignment="1">
      <alignment horizontal="center" vertical="center" wrapText="1"/>
    </xf>
    <xf numFmtId="180" fontId="19" fillId="0" borderId="1" xfId="0" applyNumberFormat="1" applyFont="1" applyBorder="1" applyAlignment="1">
      <alignment horizontal="right" vertical="center" wrapText="1"/>
    </xf>
    <xf numFmtId="2" fontId="23" fillId="0" borderId="1" xfId="0" applyNumberFormat="1" applyFont="1" applyBorder="1" applyAlignment="1">
      <alignment horizontal="right" vertical="center" wrapText="1"/>
    </xf>
    <xf numFmtId="2" fontId="23" fillId="0" borderId="1" xfId="0" applyNumberFormat="1" applyFont="1" applyBorder="1" applyAlignment="1">
      <alignment horizontal="left" vertical="center" wrapText="1"/>
    </xf>
    <xf numFmtId="165" fontId="19" fillId="0" borderId="1" xfId="0" applyNumberFormat="1" applyFont="1" applyBorder="1" applyAlignment="1">
      <alignment horizontal="right" vertical="center" wrapText="1"/>
    </xf>
    <xf numFmtId="43" fontId="23" fillId="0" borderId="1" xfId="1" applyFont="1" applyFill="1" applyBorder="1" applyAlignment="1">
      <alignment horizontal="right" vertical="center" wrapText="1"/>
    </xf>
    <xf numFmtId="10" fontId="23" fillId="0" borderId="1" xfId="2" applyNumberFormat="1" applyFont="1" applyFill="1" applyBorder="1" applyAlignment="1">
      <alignment horizontal="center" vertical="center" wrapText="1"/>
    </xf>
    <xf numFmtId="43" fontId="23" fillId="0" borderId="1" xfId="1" applyFont="1" applyFill="1" applyBorder="1" applyAlignment="1">
      <alignment horizontal="left" vertical="center" wrapText="1"/>
    </xf>
    <xf numFmtId="0" fontId="19" fillId="2" borderId="0" xfId="0" applyFont="1" applyFill="1" applyAlignment="1">
      <alignment horizontal="center" vertical="top" wrapText="1"/>
    </xf>
    <xf numFmtId="0" fontId="19" fillId="2" borderId="0" xfId="0" applyFont="1" applyFill="1" applyAlignment="1">
      <alignment horizontal="center" vertical="center" wrapText="1"/>
    </xf>
    <xf numFmtId="0" fontId="23" fillId="2" borderId="0" xfId="0" applyFont="1" applyFill="1" applyAlignment="1">
      <alignment vertical="top" wrapText="1"/>
    </xf>
    <xf numFmtId="0" fontId="19" fillId="2" borderId="0" xfId="0" applyFont="1" applyFill="1" applyAlignment="1">
      <alignment horizontal="left" vertical="top" wrapText="1"/>
    </xf>
    <xf numFmtId="0" fontId="23" fillId="2" borderId="0" xfId="0" applyFont="1" applyFill="1" applyAlignment="1">
      <alignment horizontal="right" vertical="top" wrapText="1"/>
    </xf>
    <xf numFmtId="0" fontId="23" fillId="2" borderId="0" xfId="0" applyFont="1" applyFill="1" applyAlignment="1">
      <alignment horizontal="center" vertical="center" wrapText="1"/>
    </xf>
    <xf numFmtId="4" fontId="23" fillId="2" borderId="0" xfId="0" applyNumberFormat="1" applyFont="1" applyFill="1" applyAlignment="1">
      <alignment vertical="top" wrapText="1"/>
    </xf>
    <xf numFmtId="4" fontId="22" fillId="0" borderId="0" xfId="0" applyNumberFormat="1" applyFont="1"/>
    <xf numFmtId="0" fontId="23" fillId="2" borderId="0" xfId="0" applyFont="1" applyFill="1" applyAlignment="1">
      <alignment horizontal="center" vertical="top" wrapText="1"/>
    </xf>
    <xf numFmtId="10" fontId="23" fillId="2" borderId="0" xfId="2" applyNumberFormat="1" applyFont="1" applyFill="1" applyAlignment="1">
      <alignment horizontal="center" vertical="top" wrapText="1"/>
    </xf>
    <xf numFmtId="0" fontId="22" fillId="0" borderId="0" xfId="0" applyFont="1" applyAlignment="1">
      <alignment horizontal="center" vertical="center"/>
    </xf>
    <xf numFmtId="0" fontId="6" fillId="0" borderId="1" xfId="0" applyFont="1" applyBorder="1" applyAlignment="1">
      <alignment horizontal="left" vertical="top" wrapText="1"/>
    </xf>
    <xf numFmtId="0" fontId="6" fillId="0" borderId="1" xfId="0" applyFont="1" applyBorder="1" applyAlignment="1">
      <alignment horizontal="right" vertical="top" wrapText="1"/>
    </xf>
    <xf numFmtId="0" fontId="6" fillId="0" borderId="1" xfId="0" applyFont="1" applyBorder="1" applyAlignment="1">
      <alignment horizontal="center" vertical="top" wrapText="1"/>
    </xf>
    <xf numFmtId="0" fontId="10" fillId="0" borderId="1" xfId="0" applyFont="1" applyBorder="1" applyAlignment="1">
      <alignment horizontal="left" vertical="top" wrapText="1"/>
    </xf>
    <xf numFmtId="0" fontId="10" fillId="0" borderId="1" xfId="0" applyFont="1" applyBorder="1" applyAlignment="1">
      <alignment horizontal="right" vertical="top" wrapText="1"/>
    </xf>
    <xf numFmtId="0" fontId="10" fillId="0" borderId="1" xfId="0" applyFont="1" applyBorder="1" applyAlignment="1">
      <alignment horizontal="center" vertical="top" wrapText="1"/>
    </xf>
    <xf numFmtId="167" fontId="10" fillId="0" borderId="1" xfId="0" applyNumberFormat="1" applyFont="1" applyBorder="1" applyAlignment="1">
      <alignment horizontal="right" vertical="top" wrapText="1"/>
    </xf>
    <xf numFmtId="4" fontId="10" fillId="0" borderId="1" xfId="0" applyNumberFormat="1" applyFont="1" applyBorder="1" applyAlignment="1">
      <alignment horizontal="right" vertical="top" wrapText="1"/>
    </xf>
    <xf numFmtId="165" fontId="10" fillId="0" borderId="1" xfId="0" applyNumberFormat="1" applyFont="1" applyBorder="1" applyAlignment="1">
      <alignment horizontal="right" vertical="top" wrapText="1"/>
    </xf>
    <xf numFmtId="165" fontId="8" fillId="0" borderId="0" xfId="0" applyNumberFormat="1" applyFont="1" applyAlignment="1">
      <alignment horizontal="right" vertical="top" wrapText="1"/>
    </xf>
    <xf numFmtId="0" fontId="15" fillId="0" borderId="0" xfId="4" applyNumberFormat="1" applyFont="1" applyFill="1" applyAlignment="1">
      <alignment vertical="center" wrapText="1"/>
    </xf>
    <xf numFmtId="10" fontId="8" fillId="0" borderId="0" xfId="0" applyNumberFormat="1" applyFont="1" applyAlignment="1">
      <alignment vertical="top"/>
    </xf>
    <xf numFmtId="43" fontId="0" fillId="0" borderId="0" xfId="0" applyNumberFormat="1"/>
    <xf numFmtId="10" fontId="0" fillId="0" borderId="0" xfId="2" applyNumberFormat="1" applyFont="1"/>
    <xf numFmtId="0" fontId="23" fillId="0" borderId="73" xfId="20" applyFont="1" applyBorder="1"/>
    <xf numFmtId="0" fontId="23" fillId="0" borderId="61" xfId="20" applyFont="1" applyBorder="1" applyAlignment="1" applyProtection="1">
      <alignment vertical="center" wrapText="1"/>
      <protection hidden="1"/>
    </xf>
    <xf numFmtId="0" fontId="23" fillId="0" borderId="60" xfId="20" applyFont="1" applyBorder="1" applyAlignment="1" applyProtection="1">
      <alignment horizontal="center" vertical="center" wrapText="1"/>
      <protection hidden="1"/>
    </xf>
    <xf numFmtId="0" fontId="23" fillId="0" borderId="4" xfId="20" applyFont="1" applyBorder="1" applyAlignment="1" applyProtection="1">
      <alignment horizontal="center" vertical="center" wrapText="1"/>
      <protection hidden="1"/>
    </xf>
    <xf numFmtId="0" fontId="23" fillId="0" borderId="4" xfId="20" applyFont="1" applyBorder="1" applyAlignment="1">
      <alignment horizontal="center" vertical="center"/>
    </xf>
    <xf numFmtId="0" fontId="23" fillId="0" borderId="4" xfId="20" applyFont="1" applyBorder="1" applyAlignment="1">
      <alignment horizontal="center" vertical="center" wrapText="1"/>
    </xf>
    <xf numFmtId="0" fontId="23" fillId="0" borderId="4" xfId="20" applyFont="1" applyBorder="1" applyAlignment="1">
      <alignment vertical="center"/>
    </xf>
    <xf numFmtId="176" fontId="19" fillId="0" borderId="0" xfId="20" applyNumberFormat="1" applyAlignment="1" applyProtection="1">
      <alignment horizontal="center" vertical="center"/>
      <protection hidden="1"/>
    </xf>
    <xf numFmtId="176" fontId="19" fillId="0" borderId="4" xfId="20" applyNumberFormat="1" applyBorder="1"/>
    <xf numFmtId="0" fontId="19" fillId="0" borderId="4" xfId="20" applyBorder="1"/>
    <xf numFmtId="177" fontId="19" fillId="0" borderId="40" xfId="20" applyNumberFormat="1" applyBorder="1"/>
    <xf numFmtId="176" fontId="19" fillId="0" borderId="40" xfId="20" applyNumberFormat="1" applyBorder="1"/>
    <xf numFmtId="177" fontId="23" fillId="0" borderId="61" xfId="20" applyNumberFormat="1" applyFont="1" applyBorder="1" applyAlignment="1" applyProtection="1">
      <alignment horizontal="center" vertical="center" wrapText="1"/>
      <protection hidden="1"/>
    </xf>
    <xf numFmtId="176" fontId="19" fillId="0" borderId="78" xfId="20" applyNumberFormat="1" applyBorder="1" applyAlignment="1" applyProtection="1">
      <alignment horizontal="center"/>
      <protection hidden="1"/>
    </xf>
    <xf numFmtId="179" fontId="19" fillId="0" borderId="59" xfId="20" applyNumberFormat="1" applyBorder="1" applyAlignment="1" applyProtection="1">
      <alignment horizontal="center"/>
      <protection hidden="1"/>
    </xf>
    <xf numFmtId="176" fontId="30" fillId="0" borderId="59" xfId="20" applyNumberFormat="1" applyFont="1" applyBorder="1" applyAlignment="1" applyProtection="1">
      <alignment horizontal="center" vertical="center"/>
      <protection hidden="1"/>
    </xf>
    <xf numFmtId="176" fontId="30" fillId="0" borderId="59" xfId="20" applyNumberFormat="1" applyFont="1" applyBorder="1" applyProtection="1">
      <protection hidden="1"/>
    </xf>
    <xf numFmtId="176" fontId="30" fillId="0" borderId="59" xfId="20" applyNumberFormat="1" applyFont="1" applyBorder="1" applyAlignment="1" applyProtection="1">
      <alignment horizontal="center"/>
      <protection hidden="1"/>
    </xf>
    <xf numFmtId="176" fontId="30" fillId="0" borderId="59" xfId="20" applyNumberFormat="1" applyFont="1" applyBorder="1" applyAlignment="1" applyProtection="1">
      <alignment horizontal="center" vertical="center" wrapText="1"/>
      <protection hidden="1"/>
    </xf>
    <xf numFmtId="176" fontId="30" fillId="0" borderId="59" xfId="20" applyNumberFormat="1" applyFont="1" applyBorder="1" applyAlignment="1" applyProtection="1">
      <alignment horizontal="center" wrapText="1"/>
      <protection hidden="1"/>
    </xf>
    <xf numFmtId="176" fontId="30" fillId="0" borderId="60" xfId="20" applyNumberFormat="1" applyFont="1" applyBorder="1" applyAlignment="1" applyProtection="1">
      <alignment horizontal="center" vertical="center"/>
      <protection hidden="1"/>
    </xf>
    <xf numFmtId="176" fontId="30" fillId="0" borderId="60" xfId="20" applyNumberFormat="1" applyFont="1" applyBorder="1" applyAlignment="1" applyProtection="1">
      <alignment horizontal="center"/>
      <protection hidden="1"/>
    </xf>
    <xf numFmtId="176" fontId="30" fillId="0" borderId="4" xfId="20" applyNumberFormat="1" applyFont="1" applyBorder="1" applyAlignment="1" applyProtection="1">
      <alignment horizontal="center"/>
      <protection hidden="1"/>
    </xf>
    <xf numFmtId="176" fontId="30" fillId="0" borderId="4" xfId="20" applyNumberFormat="1" applyFont="1" applyBorder="1" applyAlignment="1" applyProtection="1">
      <alignment horizontal="center" vertical="center"/>
      <protection hidden="1"/>
    </xf>
    <xf numFmtId="176" fontId="30" fillId="0" borderId="0" xfId="20" applyNumberFormat="1" applyFont="1" applyAlignment="1" applyProtection="1">
      <alignment horizontal="center" vertical="center"/>
      <protection hidden="1"/>
    </xf>
    <xf numFmtId="176" fontId="30" fillId="0" borderId="62" xfId="20" applyNumberFormat="1" applyFont="1" applyBorder="1" applyAlignment="1" applyProtection="1">
      <alignment horizontal="center"/>
      <protection hidden="1"/>
    </xf>
    <xf numFmtId="176" fontId="30" fillId="0" borderId="0" xfId="20" applyNumberFormat="1" applyFont="1" applyAlignment="1" applyProtection="1">
      <alignment horizontal="center"/>
      <protection hidden="1"/>
    </xf>
    <xf numFmtId="176" fontId="30" fillId="0" borderId="0" xfId="20" applyNumberFormat="1" applyFont="1"/>
    <xf numFmtId="176" fontId="30" fillId="0" borderId="4" xfId="20" applyNumberFormat="1" applyFont="1" applyBorder="1"/>
    <xf numFmtId="0" fontId="30" fillId="0" borderId="4" xfId="20" applyFont="1" applyBorder="1"/>
    <xf numFmtId="177" fontId="30" fillId="0" borderId="40" xfId="20" applyNumberFormat="1" applyFont="1" applyBorder="1"/>
    <xf numFmtId="176" fontId="30" fillId="0" borderId="40" xfId="20" applyNumberFormat="1" applyFont="1" applyBorder="1"/>
    <xf numFmtId="177" fontId="31" fillId="0" borderId="61" xfId="20" applyNumberFormat="1" applyFont="1" applyBorder="1" applyAlignment="1" applyProtection="1">
      <alignment horizontal="center" vertical="center" wrapText="1"/>
      <protection hidden="1"/>
    </xf>
    <xf numFmtId="177" fontId="23" fillId="0" borderId="0" xfId="20" applyNumberFormat="1" applyFont="1" applyAlignment="1">
      <alignment wrapText="1"/>
    </xf>
    <xf numFmtId="176" fontId="23" fillId="0" borderId="4" xfId="20" applyNumberFormat="1" applyFont="1" applyBorder="1" applyAlignment="1">
      <alignment wrapText="1"/>
    </xf>
    <xf numFmtId="176" fontId="23" fillId="0" borderId="73" xfId="20" applyNumberFormat="1" applyFont="1" applyBorder="1" applyAlignment="1">
      <alignment wrapText="1"/>
    </xf>
    <xf numFmtId="0" fontId="30" fillId="0" borderId="0" xfId="20" applyFont="1" applyAlignment="1" applyProtection="1">
      <alignment horizontal="center"/>
      <protection hidden="1"/>
    </xf>
    <xf numFmtId="43" fontId="23" fillId="0" borderId="0" xfId="20" applyNumberFormat="1" applyFont="1" applyAlignment="1">
      <alignment wrapText="1"/>
    </xf>
    <xf numFmtId="0" fontId="31" fillId="0" borderId="0" xfId="20" applyFont="1"/>
    <xf numFmtId="0" fontId="23" fillId="0" borderId="59" xfId="20" applyFont="1" applyBorder="1" applyAlignment="1" applyProtection="1">
      <alignment horizontal="center" wrapText="1"/>
      <protection hidden="1"/>
    </xf>
    <xf numFmtId="0" fontId="23" fillId="0" borderId="60" xfId="20" applyFont="1" applyBorder="1" applyProtection="1">
      <protection hidden="1"/>
    </xf>
    <xf numFmtId="0" fontId="23" fillId="0" borderId="4" xfId="20" applyFont="1" applyBorder="1" applyProtection="1">
      <protection hidden="1"/>
    </xf>
    <xf numFmtId="0" fontId="23" fillId="0" borderId="0" xfId="20" applyFont="1" applyProtection="1">
      <protection hidden="1"/>
    </xf>
    <xf numFmtId="0" fontId="19" fillId="0" borderId="40" xfId="20" applyBorder="1"/>
    <xf numFmtId="0" fontId="30" fillId="0" borderId="0" xfId="20" applyFont="1"/>
    <xf numFmtId="177" fontId="19" fillId="0" borderId="0" xfId="20" applyNumberFormat="1" applyProtection="1">
      <protection hidden="1"/>
    </xf>
    <xf numFmtId="176" fontId="23" fillId="0" borderId="59" xfId="20" applyNumberFormat="1" applyFont="1" applyBorder="1" applyAlignment="1" applyProtection="1">
      <alignment horizontal="center" vertical="center"/>
      <protection hidden="1"/>
    </xf>
    <xf numFmtId="176" fontId="23" fillId="0" borderId="59" xfId="20" applyNumberFormat="1" applyFont="1" applyBorder="1" applyProtection="1">
      <protection hidden="1"/>
    </xf>
    <xf numFmtId="176" fontId="23" fillId="0" borderId="59" xfId="20" applyNumberFormat="1" applyFont="1" applyBorder="1" applyAlignment="1" applyProtection="1">
      <alignment horizontal="center"/>
      <protection hidden="1"/>
    </xf>
    <xf numFmtId="176" fontId="23" fillId="0" borderId="59" xfId="20" applyNumberFormat="1" applyFont="1" applyBorder="1" applyAlignment="1" applyProtection="1">
      <alignment horizontal="center" wrapText="1"/>
      <protection hidden="1"/>
    </xf>
    <xf numFmtId="176" fontId="23" fillId="0" borderId="60" xfId="20" applyNumberFormat="1" applyFont="1" applyBorder="1" applyAlignment="1" applyProtection="1">
      <alignment horizontal="center" vertical="center"/>
      <protection hidden="1"/>
    </xf>
    <xf numFmtId="176" fontId="23" fillId="0" borderId="60" xfId="20" applyNumberFormat="1" applyFont="1" applyBorder="1" applyAlignment="1" applyProtection="1">
      <alignment horizontal="center"/>
      <protection hidden="1"/>
    </xf>
    <xf numFmtId="176" fontId="23" fillId="0" borderId="4" xfId="20" applyNumberFormat="1" applyFont="1" applyBorder="1" applyAlignment="1" applyProtection="1">
      <alignment horizontal="center"/>
      <protection hidden="1"/>
    </xf>
    <xf numFmtId="176" fontId="23" fillId="0" borderId="4" xfId="20" applyNumberFormat="1" applyFont="1" applyBorder="1" applyAlignment="1" applyProtection="1">
      <alignment horizontal="center" vertical="center"/>
      <protection hidden="1"/>
    </xf>
    <xf numFmtId="176" fontId="23" fillId="0" borderId="0" xfId="20" applyNumberFormat="1" applyFont="1" applyAlignment="1" applyProtection="1">
      <alignment horizontal="center" vertical="center"/>
      <protection hidden="1"/>
    </xf>
    <xf numFmtId="176" fontId="23" fillId="0" borderId="62" xfId="20" applyNumberFormat="1" applyFont="1" applyBorder="1" applyAlignment="1" applyProtection="1">
      <alignment horizontal="center"/>
      <protection hidden="1"/>
    </xf>
    <xf numFmtId="176" fontId="23" fillId="0" borderId="78" xfId="20" applyNumberFormat="1" applyFont="1" applyBorder="1" applyAlignment="1" applyProtection="1">
      <alignment horizontal="center"/>
      <protection hidden="1"/>
    </xf>
    <xf numFmtId="176" fontId="23" fillId="0" borderId="0" xfId="20" applyNumberFormat="1" applyFont="1" applyAlignment="1" applyProtection="1">
      <alignment horizontal="center"/>
      <protection hidden="1"/>
    </xf>
    <xf numFmtId="176" fontId="23" fillId="0" borderId="4" xfId="20" applyNumberFormat="1" applyFont="1" applyBorder="1"/>
    <xf numFmtId="177" fontId="23" fillId="0" borderId="40" xfId="20" applyNumberFormat="1" applyFont="1" applyBorder="1"/>
    <xf numFmtId="176" fontId="23" fillId="0" borderId="40" xfId="20" applyNumberFormat="1" applyFont="1" applyBorder="1"/>
    <xf numFmtId="0" fontId="21" fillId="0" borderId="0" xfId="0" applyFont="1" applyAlignment="1">
      <alignment wrapText="1"/>
    </xf>
    <xf numFmtId="0" fontId="3" fillId="0" borderId="4" xfId="23" applyBorder="1" applyAlignment="1">
      <alignment horizontal="center" vertical="center"/>
    </xf>
    <xf numFmtId="0" fontId="21" fillId="0" borderId="4" xfId="0" applyFont="1" applyBorder="1"/>
    <xf numFmtId="0" fontId="21" fillId="0" borderId="4" xfId="0" applyFont="1" applyBorder="1" applyAlignment="1">
      <alignment horizontal="center" vertical="center"/>
    </xf>
    <xf numFmtId="0" fontId="21" fillId="0" borderId="4" xfId="0" applyFont="1" applyBorder="1" applyAlignment="1">
      <alignment horizontal="center"/>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vertical="center" wrapText="1"/>
    </xf>
    <xf numFmtId="17" fontId="13" fillId="0" borderId="0" xfId="0" applyNumberFormat="1" applyFont="1" applyAlignment="1">
      <alignment horizontal="center" vertical="center" wrapText="1"/>
    </xf>
    <xf numFmtId="43" fontId="17" fillId="0" borderId="97" xfId="24" applyFont="1" applyBorder="1" applyAlignment="1">
      <alignment horizontal="center" vertical="center" wrapText="1"/>
    </xf>
    <xf numFmtId="0" fontId="17" fillId="0" borderId="98" xfId="23" applyFont="1" applyBorder="1" applyAlignment="1">
      <alignment horizontal="center" vertical="center" wrapText="1"/>
    </xf>
    <xf numFmtId="43" fontId="32" fillId="0" borderId="101" xfId="24" applyFont="1" applyBorder="1" applyAlignment="1">
      <alignment vertical="center"/>
    </xf>
    <xf numFmtId="0" fontId="17" fillId="0" borderId="102" xfId="23" applyFont="1" applyBorder="1" applyAlignment="1">
      <alignment vertical="center"/>
    </xf>
    <xf numFmtId="0" fontId="17" fillId="0" borderId="103" xfId="23" applyFont="1" applyBorder="1" applyAlignment="1">
      <alignment vertical="center"/>
    </xf>
    <xf numFmtId="43" fontId="33" fillId="0" borderId="104" xfId="23" applyNumberFormat="1" applyFont="1" applyBorder="1" applyAlignment="1">
      <alignment vertical="center"/>
    </xf>
    <xf numFmtId="0" fontId="17" fillId="0" borderId="92" xfId="23" applyFont="1" applyBorder="1"/>
    <xf numFmtId="0" fontId="17" fillId="0" borderId="93" xfId="23" applyFont="1" applyBorder="1"/>
    <xf numFmtId="0" fontId="0" fillId="0" borderId="92" xfId="0" applyBorder="1"/>
    <xf numFmtId="0" fontId="0" fillId="0" borderId="93" xfId="0" applyBorder="1"/>
    <xf numFmtId="0" fontId="0" fillId="0" borderId="102" xfId="0" applyBorder="1"/>
    <xf numFmtId="0" fontId="0" fillId="0" borderId="103" xfId="0" applyBorder="1"/>
    <xf numFmtId="43" fontId="33" fillId="0" borderId="104" xfId="0" applyNumberFormat="1" applyFont="1" applyBorder="1" applyAlignment="1">
      <alignment vertical="center"/>
    </xf>
    <xf numFmtId="0" fontId="17" fillId="0" borderId="98" xfId="0" applyFont="1" applyBorder="1" applyAlignment="1">
      <alignment horizontal="center" vertical="center" wrapText="1"/>
    </xf>
    <xf numFmtId="43" fontId="12" fillId="0" borderId="97" xfId="1" applyFont="1" applyFill="1" applyBorder="1" applyAlignment="1">
      <alignment horizontal="center" vertical="center" wrapText="1"/>
    </xf>
    <xf numFmtId="0" fontId="17" fillId="0" borderId="102" xfId="0" applyFont="1" applyBorder="1" applyAlignment="1">
      <alignment vertical="center"/>
    </xf>
    <xf numFmtId="0" fontId="17" fillId="0" borderId="103" xfId="0" applyFont="1" applyBorder="1" applyAlignment="1">
      <alignment vertical="center"/>
    </xf>
    <xf numFmtId="43" fontId="12" fillId="0" borderId="96" xfId="1" applyFont="1" applyFill="1" applyBorder="1" applyAlignment="1">
      <alignment horizontal="center" vertical="center" wrapText="1"/>
    </xf>
    <xf numFmtId="0" fontId="17" fillId="0" borderId="92" xfId="0" applyFont="1" applyBorder="1"/>
    <xf numFmtId="0" fontId="17" fillId="0" borderId="93" xfId="0" applyFont="1" applyBorder="1"/>
    <xf numFmtId="43" fontId="12" fillId="0" borderId="4" xfId="1" applyFont="1" applyFill="1" applyBorder="1" applyAlignment="1">
      <alignment vertical="center"/>
    </xf>
    <xf numFmtId="43" fontId="12" fillId="0" borderId="101" xfId="1" applyFont="1" applyFill="1" applyBorder="1" applyAlignment="1">
      <alignment vertical="center"/>
    </xf>
    <xf numFmtId="43" fontId="12" fillId="0" borderId="39" xfId="1" applyFont="1" applyFill="1" applyBorder="1" applyAlignment="1">
      <alignment vertical="center"/>
    </xf>
    <xf numFmtId="43" fontId="12" fillId="0" borderId="40" xfId="1" applyFont="1" applyFill="1" applyBorder="1" applyAlignment="1">
      <alignment vertical="center"/>
    </xf>
    <xf numFmtId="43" fontId="33" fillId="0" borderId="108" xfId="0" applyNumberFormat="1" applyFont="1" applyBorder="1" applyAlignment="1">
      <alignment vertical="center"/>
    </xf>
    <xf numFmtId="43" fontId="32" fillId="0" borderId="39" xfId="24" applyFont="1" applyBorder="1" applyAlignment="1">
      <alignment vertical="center"/>
    </xf>
    <xf numFmtId="43" fontId="17" fillId="0" borderId="0" xfId="0" applyNumberFormat="1" applyFont="1"/>
    <xf numFmtId="43" fontId="12" fillId="0" borderId="109" xfId="1" applyFont="1" applyFill="1" applyBorder="1" applyAlignment="1">
      <alignment horizontal="center" vertical="center" wrapText="1"/>
    </xf>
    <xf numFmtId="43" fontId="17" fillId="9" borderId="99" xfId="24" applyFont="1" applyFill="1" applyBorder="1" applyAlignment="1">
      <alignment horizontal="center" vertical="center"/>
    </xf>
    <xf numFmtId="43" fontId="17" fillId="9" borderId="73" xfId="24" applyFont="1" applyFill="1" applyBorder="1" applyAlignment="1">
      <alignment horizontal="center" vertical="center"/>
    </xf>
    <xf numFmtId="43" fontId="17" fillId="9" borderId="100" xfId="24" applyFont="1" applyFill="1" applyBorder="1" applyAlignment="1">
      <alignment horizontal="center" vertical="center" wrapText="1"/>
    </xf>
    <xf numFmtId="43" fontId="17" fillId="9" borderId="105" xfId="24" applyFont="1" applyFill="1" applyBorder="1" applyAlignment="1">
      <alignment horizontal="center" vertical="center" wrapText="1"/>
    </xf>
    <xf numFmtId="43" fontId="17" fillId="9" borderId="106" xfId="24" applyFont="1" applyFill="1" applyBorder="1" applyAlignment="1">
      <alignment horizontal="center" vertical="center" wrapText="1"/>
    </xf>
    <xf numFmtId="43" fontId="17" fillId="9" borderId="30" xfId="24" applyFont="1" applyFill="1" applyBorder="1" applyAlignment="1">
      <alignment horizontal="center" vertical="center" wrapText="1"/>
    </xf>
    <xf numFmtId="0" fontId="14" fillId="0" borderId="111" xfId="3" applyFont="1" applyBorder="1" applyAlignment="1">
      <alignment horizontal="center" vertical="center"/>
    </xf>
    <xf numFmtId="166" fontId="15" fillId="0" borderId="113" xfId="7" applyFont="1" applyFill="1" applyBorder="1" applyAlignment="1">
      <alignment horizontal="center" vertical="center"/>
    </xf>
    <xf numFmtId="0" fontId="12" fillId="0" borderId="4" xfId="3" applyFont="1" applyBorder="1" applyAlignment="1">
      <alignment horizontal="left" vertical="center" wrapText="1"/>
    </xf>
    <xf numFmtId="0" fontId="12" fillId="0" borderId="0" xfId="3" applyFont="1" applyAlignment="1">
      <alignment horizontal="center" vertical="center" wrapText="1"/>
    </xf>
    <xf numFmtId="43" fontId="12" fillId="0" borderId="4" xfId="1" applyFont="1" applyBorder="1" applyAlignment="1">
      <alignment horizontal="center" vertical="center"/>
    </xf>
    <xf numFmtId="0" fontId="6" fillId="2" borderId="1" xfId="0" applyFont="1" applyFill="1" applyBorder="1" applyAlignment="1">
      <alignment horizontal="left" vertical="top" wrapText="1"/>
    </xf>
    <xf numFmtId="0" fontId="6" fillId="2" borderId="1" xfId="0" applyFont="1" applyFill="1" applyBorder="1" applyAlignment="1">
      <alignment horizontal="right" vertical="top" wrapText="1"/>
    </xf>
    <xf numFmtId="0" fontId="6" fillId="2" borderId="1" xfId="0" applyFont="1" applyFill="1" applyBorder="1" applyAlignment="1">
      <alignment horizontal="center" vertical="top" wrapText="1"/>
    </xf>
    <xf numFmtId="0" fontId="9" fillId="0" borderId="1" xfId="0" applyFont="1" applyBorder="1" applyAlignment="1">
      <alignment horizontal="left" vertical="top" wrapText="1"/>
    </xf>
    <xf numFmtId="0" fontId="9" fillId="0" borderId="1" xfId="0" applyFont="1" applyBorder="1" applyAlignment="1">
      <alignment horizontal="right" vertical="top" wrapText="1"/>
    </xf>
    <xf numFmtId="0" fontId="9" fillId="0" borderId="1" xfId="0" applyFont="1" applyBorder="1" applyAlignment="1">
      <alignment horizontal="center" vertical="top" wrapText="1"/>
    </xf>
    <xf numFmtId="167" fontId="9" fillId="0" borderId="1" xfId="0" applyNumberFormat="1" applyFont="1" applyBorder="1" applyAlignment="1">
      <alignment horizontal="right" vertical="top" wrapText="1"/>
    </xf>
    <xf numFmtId="4" fontId="9" fillId="0" borderId="1" xfId="0" applyNumberFormat="1" applyFont="1" applyBorder="1" applyAlignment="1">
      <alignment horizontal="right" vertical="top" wrapText="1"/>
    </xf>
    <xf numFmtId="0" fontId="9" fillId="0" borderId="29" xfId="0" applyFont="1" applyBorder="1" applyAlignment="1">
      <alignment horizontal="left" vertical="top" wrapText="1"/>
    </xf>
    <xf numFmtId="0" fontId="44" fillId="0" borderId="35" xfId="0" applyFont="1" applyBorder="1" applyAlignment="1">
      <alignment horizontal="center"/>
    </xf>
    <xf numFmtId="0" fontId="44" fillId="0" borderId="92" xfId="0" applyFont="1" applyBorder="1" applyAlignment="1">
      <alignment horizontal="center"/>
    </xf>
    <xf numFmtId="0" fontId="44" fillId="0" borderId="110" xfId="0" applyFont="1" applyBorder="1" applyAlignment="1">
      <alignment horizontal="center"/>
    </xf>
    <xf numFmtId="0" fontId="50" fillId="12" borderId="126" xfId="0" applyFont="1" applyFill="1" applyBorder="1" applyAlignment="1">
      <alignment horizontal="center" vertical="center" wrapText="1"/>
    </xf>
    <xf numFmtId="0" fontId="21" fillId="0" borderId="136" xfId="0" applyFont="1" applyBorder="1" applyAlignment="1">
      <alignment horizontal="center" vertical="center" wrapText="1"/>
    </xf>
    <xf numFmtId="183" fontId="52" fillId="0" borderId="137" xfId="0" applyNumberFormat="1" applyFont="1" applyBorder="1" applyAlignment="1">
      <alignment horizontal="center" vertical="center"/>
    </xf>
    <xf numFmtId="176" fontId="53" fillId="0" borderId="136" xfId="0" applyNumberFormat="1" applyFont="1" applyBorder="1" applyAlignment="1">
      <alignment horizontal="center" vertical="center"/>
    </xf>
    <xf numFmtId="184" fontId="54" fillId="0" borderId="138" xfId="0" applyNumberFormat="1" applyFont="1" applyBorder="1" applyAlignment="1">
      <alignment horizontal="center" vertical="center"/>
    </xf>
    <xf numFmtId="0" fontId="55" fillId="0" borderId="0" xfId="0" applyFont="1"/>
    <xf numFmtId="184" fontId="55" fillId="0" borderId="0" xfId="0" applyNumberFormat="1" applyFont="1"/>
    <xf numFmtId="0" fontId="22" fillId="0" borderId="141" xfId="0" applyFont="1" applyBorder="1" applyAlignment="1">
      <alignment horizontal="center" vertical="center" wrapText="1"/>
    </xf>
    <xf numFmtId="183" fontId="52" fillId="0" borderId="144" xfId="0" applyNumberFormat="1" applyFont="1" applyBorder="1" applyAlignment="1">
      <alignment horizontal="center" vertical="center"/>
    </xf>
    <xf numFmtId="0" fontId="43" fillId="0" borderId="0" xfId="33" applyAlignment="1">
      <alignment horizontal="center" vertical="center"/>
    </xf>
    <xf numFmtId="185" fontId="21" fillId="0" borderId="141" xfId="0" applyNumberFormat="1" applyFont="1" applyBorder="1" applyAlignment="1">
      <alignment horizontal="center" vertical="center" wrapText="1"/>
    </xf>
    <xf numFmtId="176" fontId="53" fillId="0" borderId="141" xfId="0" applyNumberFormat="1" applyFont="1" applyBorder="1" applyAlignment="1">
      <alignment horizontal="center" vertical="center"/>
    </xf>
    <xf numFmtId="184" fontId="54" fillId="0" borderId="146" xfId="0" applyNumberFormat="1" applyFont="1" applyBorder="1" applyAlignment="1">
      <alignment horizontal="center" vertical="center"/>
    </xf>
    <xf numFmtId="0" fontId="22" fillId="0" borderId="126" xfId="0" applyFont="1" applyBorder="1" applyAlignment="1">
      <alignment horizontal="center" vertical="center" wrapText="1"/>
    </xf>
    <xf numFmtId="183" fontId="52" fillId="0" borderId="148" xfId="0" applyNumberFormat="1" applyFont="1" applyBorder="1" applyAlignment="1">
      <alignment horizontal="center" vertical="center"/>
    </xf>
    <xf numFmtId="0" fontId="58" fillId="0" borderId="0" xfId="0" applyFont="1" applyAlignment="1">
      <alignment horizontal="center" vertical="center"/>
    </xf>
    <xf numFmtId="0" fontId="59" fillId="0" borderId="99" xfId="0" applyFont="1" applyBorder="1" applyAlignment="1">
      <alignment horizontal="center" vertical="center"/>
    </xf>
    <xf numFmtId="0" fontId="59" fillId="0" borderId="73" xfId="0" applyFont="1" applyBorder="1" applyAlignment="1">
      <alignment horizontal="center" vertical="center"/>
    </xf>
    <xf numFmtId="0" fontId="60" fillId="0" borderId="73" xfId="0" applyFont="1" applyBorder="1" applyAlignment="1">
      <alignment horizontal="left" vertical="center" wrapText="1"/>
    </xf>
    <xf numFmtId="0" fontId="61" fillId="0" borderId="73" xfId="0" applyFont="1" applyBorder="1" applyAlignment="1">
      <alignment horizontal="center" vertical="center" wrapText="1"/>
    </xf>
    <xf numFmtId="44" fontId="59" fillId="0" borderId="73" xfId="0" applyNumberFormat="1" applyFont="1" applyBorder="1" applyAlignment="1">
      <alignment horizontal="center" vertical="center"/>
    </xf>
    <xf numFmtId="186" fontId="59" fillId="0" borderId="73" xfId="0" applyNumberFormat="1" applyFont="1" applyBorder="1" applyAlignment="1">
      <alignment horizontal="center" vertical="center"/>
    </xf>
    <xf numFmtId="44" fontId="59" fillId="0" borderId="73" xfId="0" applyNumberFormat="1" applyFont="1" applyBorder="1" applyAlignment="1">
      <alignment horizontal="center" vertical="center" wrapText="1"/>
    </xf>
    <xf numFmtId="0" fontId="58" fillId="0" borderId="0" xfId="0" applyFont="1" applyAlignment="1">
      <alignment horizontal="left" vertical="center"/>
    </xf>
    <xf numFmtId="187" fontId="59" fillId="0" borderId="73" xfId="0" applyNumberFormat="1" applyFont="1" applyBorder="1" applyAlignment="1">
      <alignment horizontal="center" vertical="center"/>
    </xf>
    <xf numFmtId="187" fontId="59" fillId="0" borderId="73" xfId="0" applyNumberFormat="1" applyFont="1" applyBorder="1" applyAlignment="1">
      <alignment horizontal="center" vertical="center" wrapText="1"/>
    </xf>
    <xf numFmtId="2" fontId="0" fillId="0" borderId="0" xfId="0" applyNumberFormat="1"/>
    <xf numFmtId="0" fontId="42" fillId="0" borderId="0" xfId="34" applyFont="1"/>
    <xf numFmtId="0" fontId="42" fillId="15" borderId="0" xfId="34" applyFont="1" applyFill="1"/>
    <xf numFmtId="0" fontId="63" fillId="15" borderId="0" xfId="34" applyFont="1" applyFill="1" applyAlignment="1">
      <alignment vertical="center" wrapText="1"/>
    </xf>
    <xf numFmtId="0" fontId="64" fillId="15" borderId="0" xfId="34" applyFont="1" applyFill="1" applyAlignment="1">
      <alignment vertical="center" wrapText="1"/>
    </xf>
    <xf numFmtId="0" fontId="64" fillId="15" borderId="0" xfId="34" applyFont="1" applyFill="1" applyAlignment="1">
      <alignment horizontal="center" vertical="center"/>
    </xf>
    <xf numFmtId="0" fontId="46" fillId="0" borderId="0" xfId="35" applyFont="1" applyAlignment="1">
      <alignment vertical="center"/>
    </xf>
    <xf numFmtId="0" fontId="65" fillId="0" borderId="0" xfId="35" applyFont="1" applyAlignment="1">
      <alignment vertical="center"/>
    </xf>
    <xf numFmtId="0" fontId="64" fillId="15" borderId="0" xfId="34" applyFont="1" applyFill="1"/>
    <xf numFmtId="0" fontId="64" fillId="15" borderId="0" xfId="34" applyFont="1" applyFill="1" applyAlignment="1">
      <alignment horizontal="center" vertical="center" wrapText="1"/>
    </xf>
    <xf numFmtId="0" fontId="67" fillId="15" borderId="0" xfId="34" applyFont="1" applyFill="1"/>
    <xf numFmtId="0" fontId="67" fillId="0" borderId="0" xfId="34" applyFont="1"/>
    <xf numFmtId="0" fontId="64" fillId="0" borderId="0" xfId="34" applyFont="1" applyAlignment="1">
      <alignment vertical="center"/>
    </xf>
    <xf numFmtId="0" fontId="68" fillId="15" borderId="0" xfId="34" applyFont="1" applyFill="1" applyAlignment="1">
      <alignment vertical="center"/>
    </xf>
    <xf numFmtId="0" fontId="68" fillId="15" borderId="0" xfId="34" applyFont="1" applyFill="1" applyAlignment="1">
      <alignment horizontal="right" vertical="center"/>
    </xf>
    <xf numFmtId="187" fontId="68" fillId="15" borderId="0" xfId="34" applyNumberFormat="1" applyFont="1" applyFill="1" applyAlignment="1">
      <alignment horizontal="center" vertical="center"/>
    </xf>
    <xf numFmtId="187" fontId="68" fillId="15" borderId="0" xfId="34" applyNumberFormat="1" applyFont="1" applyFill="1" applyAlignment="1">
      <alignment vertical="center"/>
    </xf>
    <xf numFmtId="187" fontId="42" fillId="0" borderId="0" xfId="34" applyNumberFormat="1" applyFont="1"/>
    <xf numFmtId="0" fontId="67" fillId="15" borderId="0" xfId="34" applyFont="1" applyFill="1" applyAlignment="1">
      <alignment horizontal="left" wrapText="1" indent="3"/>
    </xf>
    <xf numFmtId="0" fontId="63" fillId="15" borderId="0" xfId="34" applyFont="1" applyFill="1"/>
    <xf numFmtId="14" fontId="63" fillId="15" borderId="0" xfId="34" applyNumberFormat="1" applyFont="1" applyFill="1"/>
    <xf numFmtId="0" fontId="69" fillId="0" borderId="0" xfId="0" applyFont="1"/>
    <xf numFmtId="0" fontId="70" fillId="0" borderId="0" xfId="35" applyFont="1" applyAlignment="1">
      <alignment vertical="center"/>
    </xf>
    <xf numFmtId="0" fontId="67" fillId="0" borderId="0" xfId="0" applyFont="1"/>
    <xf numFmtId="0" fontId="67" fillId="15" borderId="0" xfId="34" applyFont="1" applyFill="1" applyAlignment="1">
      <alignment vertical="center"/>
    </xf>
    <xf numFmtId="10" fontId="64" fillId="0" borderId="0" xfId="0" applyNumberFormat="1" applyFont="1" applyAlignment="1">
      <alignment horizontal="center" vertical="center"/>
    </xf>
    <xf numFmtId="0" fontId="64" fillId="0" borderId="0" xfId="0" applyFont="1" applyAlignment="1">
      <alignment horizontal="right" vertical="center"/>
    </xf>
    <xf numFmtId="0" fontId="64" fillId="15" borderId="0" xfId="34" applyFont="1" applyFill="1" applyAlignment="1">
      <alignment vertical="center"/>
    </xf>
    <xf numFmtId="10" fontId="64" fillId="0" borderId="0" xfId="0" applyNumberFormat="1" applyFont="1" applyAlignment="1">
      <alignment vertical="center"/>
    </xf>
    <xf numFmtId="0" fontId="68" fillId="15" borderId="0" xfId="34" applyFont="1" applyFill="1" applyAlignment="1">
      <alignment horizontal="center" vertical="center"/>
    </xf>
    <xf numFmtId="0" fontId="64" fillId="0" borderId="0" xfId="0" applyFont="1" applyAlignment="1">
      <alignment vertical="center"/>
    </xf>
    <xf numFmtId="10" fontId="64" fillId="0" borderId="0" xfId="0" applyNumberFormat="1" applyFont="1" applyAlignment="1">
      <alignment horizontal="right" vertical="center"/>
    </xf>
    <xf numFmtId="0" fontId="64" fillId="0" borderId="0" xfId="0" applyFont="1" applyAlignment="1">
      <alignment horizontal="center" wrapText="1"/>
    </xf>
    <xf numFmtId="0" fontId="0" fillId="0" borderId="11" xfId="0" applyBorder="1"/>
    <xf numFmtId="0" fontId="42" fillId="0" borderId="0" xfId="0" applyFont="1"/>
    <xf numFmtId="0" fontId="18" fillId="0" borderId="0" xfId="0" applyFont="1"/>
    <xf numFmtId="0" fontId="24" fillId="18" borderId="4" xfId="36" applyFont="1" applyFill="1" applyBorder="1" applyAlignment="1">
      <alignment horizontal="center" vertical="center"/>
    </xf>
    <xf numFmtId="10" fontId="73" fillId="18" borderId="4" xfId="37" applyNumberFormat="1" applyFont="1" applyFill="1" applyBorder="1" applyAlignment="1">
      <alignment horizontal="center" vertical="center"/>
    </xf>
    <xf numFmtId="187" fontId="73" fillId="18" borderId="4" xfId="38" applyNumberFormat="1" applyFont="1" applyFill="1" applyBorder="1" applyAlignment="1">
      <alignment horizontal="right" vertical="center"/>
    </xf>
    <xf numFmtId="10" fontId="74" fillId="16" borderId="4" xfId="0" applyNumberFormat="1" applyFont="1" applyFill="1" applyBorder="1" applyAlignment="1">
      <alignment horizontal="center" vertical="center" wrapText="1"/>
    </xf>
    <xf numFmtId="187" fontId="74" fillId="16" borderId="4" xfId="36" applyNumberFormat="1" applyFont="1" applyFill="1" applyBorder="1" applyAlignment="1">
      <alignment horizontal="right" vertical="center" wrapText="1"/>
    </xf>
    <xf numFmtId="0" fontId="18" fillId="0" borderId="0" xfId="0" applyFont="1" applyAlignment="1">
      <alignment horizontal="left" vertical="center"/>
    </xf>
    <xf numFmtId="0" fontId="68" fillId="15" borderId="0" xfId="34" applyFont="1" applyFill="1" applyAlignment="1">
      <alignment horizontal="center" vertical="center" wrapText="1"/>
    </xf>
    <xf numFmtId="43" fontId="68" fillId="15" borderId="0" xfId="11" applyFont="1" applyFill="1" applyBorder="1" applyAlignment="1">
      <alignment horizontal="right" vertical="center" wrapText="1"/>
    </xf>
    <xf numFmtId="0" fontId="75" fillId="15" borderId="0" xfId="34" applyFont="1" applyFill="1" applyAlignment="1">
      <alignment horizontal="left" vertical="center"/>
    </xf>
    <xf numFmtId="0" fontId="76" fillId="15" borderId="0" xfId="34" applyFont="1" applyFill="1" applyAlignment="1">
      <alignment vertical="center"/>
    </xf>
    <xf numFmtId="0" fontId="68" fillId="15" borderId="0" xfId="34" applyFont="1" applyFill="1" applyAlignment="1">
      <alignment vertical="center" wrapText="1"/>
    </xf>
    <xf numFmtId="10" fontId="66" fillId="0" borderId="0" xfId="0" applyNumberFormat="1" applyFont="1" applyAlignment="1">
      <alignment horizontal="center" vertical="center"/>
    </xf>
    <xf numFmtId="0" fontId="19" fillId="0" borderId="0" xfId="9" applyAlignment="1">
      <alignment horizontal="left" vertical="center"/>
    </xf>
    <xf numFmtId="0" fontId="68" fillId="0" borderId="0" xfId="34" applyFont="1" applyAlignment="1">
      <alignment vertical="center"/>
    </xf>
    <xf numFmtId="0" fontId="68" fillId="0" borderId="0" xfId="34" applyFont="1" applyAlignment="1">
      <alignment vertical="center" wrapText="1"/>
    </xf>
    <xf numFmtId="169" fontId="18" fillId="0" borderId="0" xfId="0" applyNumberFormat="1" applyFont="1" applyAlignment="1">
      <alignment horizontal="left" vertical="center"/>
    </xf>
    <xf numFmtId="0" fontId="77" fillId="15" borderId="0" xfId="34" applyFont="1" applyFill="1" applyAlignment="1">
      <alignment horizontal="center" vertical="center"/>
    </xf>
    <xf numFmtId="0" fontId="77" fillId="15" borderId="0" xfId="34" applyFont="1" applyFill="1" applyAlignment="1">
      <alignment horizontal="center" vertical="center" wrapText="1"/>
    </xf>
    <xf numFmtId="43" fontId="77" fillId="15" borderId="0" xfId="11" applyFont="1" applyFill="1" applyBorder="1" applyAlignment="1">
      <alignment horizontal="right" vertical="center"/>
    </xf>
    <xf numFmtId="49" fontId="72" fillId="16" borderId="73" xfId="9" applyNumberFormat="1" applyFont="1" applyFill="1" applyBorder="1" applyAlignment="1">
      <alignment horizontal="center" vertical="center"/>
    </xf>
    <xf numFmtId="0" fontId="72" fillId="16" borderId="73" xfId="9" applyFont="1" applyFill="1" applyBorder="1" applyAlignment="1">
      <alignment horizontal="center" vertical="center" wrapText="1"/>
    </xf>
    <xf numFmtId="165" fontId="72" fillId="16" borderId="73" xfId="9" applyNumberFormat="1" applyFont="1" applyFill="1" applyBorder="1" applyAlignment="1">
      <alignment horizontal="center" vertical="center" wrapText="1"/>
    </xf>
    <xf numFmtId="43" fontId="72" fillId="16" borderId="73" xfId="11" applyFont="1" applyFill="1" applyBorder="1" applyAlignment="1">
      <alignment horizontal="center" vertical="center" wrapText="1"/>
    </xf>
    <xf numFmtId="0" fontId="72" fillId="16" borderId="73" xfId="0" applyFont="1" applyFill="1" applyBorder="1" applyAlignment="1">
      <alignment horizontal="center" vertical="center" wrapText="1"/>
    </xf>
    <xf numFmtId="187" fontId="72" fillId="16" borderId="30" xfId="11" applyNumberFormat="1" applyFont="1" applyFill="1" applyBorder="1" applyAlignment="1">
      <alignment horizontal="center" vertical="center"/>
    </xf>
    <xf numFmtId="0" fontId="78" fillId="6" borderId="80" xfId="9" applyFont="1" applyFill="1" applyBorder="1" applyAlignment="1">
      <alignment horizontal="center" vertical="center"/>
    </xf>
    <xf numFmtId="0" fontId="78" fillId="6" borderId="0" xfId="9" applyFont="1" applyFill="1" applyAlignment="1">
      <alignment vertical="center"/>
    </xf>
    <xf numFmtId="0" fontId="78" fillId="6" borderId="0" xfId="9" applyFont="1" applyFill="1" applyAlignment="1">
      <alignment vertical="center" wrapText="1"/>
    </xf>
    <xf numFmtId="43" fontId="78" fillId="6" borderId="0" xfId="11" applyFont="1" applyFill="1" applyBorder="1" applyAlignment="1">
      <alignment horizontal="right" vertical="center"/>
    </xf>
    <xf numFmtId="187" fontId="78" fillId="6" borderId="0" xfId="11" applyNumberFormat="1" applyFont="1" applyFill="1" applyBorder="1" applyAlignment="1">
      <alignment vertical="center"/>
    </xf>
    <xf numFmtId="0" fontId="23" fillId="6" borderId="11" xfId="9" applyFont="1" applyFill="1" applyBorder="1" applyAlignment="1">
      <alignment horizontal="left" vertical="center"/>
    </xf>
    <xf numFmtId="49" fontId="79" fillId="0" borderId="0" xfId="9" applyNumberFormat="1" applyFont="1" applyAlignment="1">
      <alignment horizontal="left" vertical="center"/>
    </xf>
    <xf numFmtId="0" fontId="79" fillId="0" borderId="0" xfId="9" applyFont="1" applyAlignment="1">
      <alignment horizontal="center" vertical="center"/>
    </xf>
    <xf numFmtId="0" fontId="79" fillId="0" borderId="0" xfId="9" applyFont="1" applyAlignment="1">
      <alignment vertical="center"/>
    </xf>
    <xf numFmtId="0" fontId="79" fillId="0" borderId="0" xfId="9" applyFont="1" applyAlignment="1">
      <alignment vertical="center" wrapText="1"/>
    </xf>
    <xf numFmtId="43" fontId="78" fillId="0" borderId="0" xfId="9" applyNumberFormat="1" applyFont="1" applyAlignment="1">
      <alignment vertical="center"/>
    </xf>
    <xf numFmtId="43" fontId="78" fillId="6" borderId="4" xfId="11" applyFont="1" applyFill="1" applyBorder="1" applyAlignment="1">
      <alignment horizontal="right" vertical="center"/>
    </xf>
    <xf numFmtId="187" fontId="64" fillId="6" borderId="4" xfId="11" applyNumberFormat="1" applyFont="1" applyFill="1" applyBorder="1" applyAlignment="1">
      <alignment vertical="center"/>
    </xf>
    <xf numFmtId="0" fontId="56" fillId="15" borderId="0" xfId="0" applyFont="1" applyFill="1" applyAlignment="1">
      <alignment horizontal="center" vertical="center" wrapText="1"/>
    </xf>
    <xf numFmtId="0" fontId="56" fillId="15" borderId="0" xfId="0" applyFont="1" applyFill="1" applyAlignment="1">
      <alignment horizontal="left" vertical="center" wrapText="1"/>
    </xf>
    <xf numFmtId="4" fontId="56" fillId="15" borderId="0" xfId="0" applyNumberFormat="1" applyFont="1" applyFill="1" applyAlignment="1">
      <alignment horizontal="right" vertical="center" wrapText="1"/>
    </xf>
    <xf numFmtId="43" fontId="21" fillId="15" borderId="0" xfId="11" applyFont="1" applyFill="1" applyBorder="1" applyAlignment="1">
      <alignment horizontal="right" vertical="center"/>
    </xf>
    <xf numFmtId="187" fontId="63" fillId="15" borderId="0" xfId="11" applyNumberFormat="1" applyFont="1" applyFill="1" applyBorder="1" applyAlignment="1">
      <alignment vertical="center"/>
    </xf>
    <xf numFmtId="187" fontId="80" fillId="16" borderId="0" xfId="11" applyNumberFormat="1" applyFont="1" applyFill="1" applyBorder="1" applyAlignment="1">
      <alignment vertical="center"/>
    </xf>
    <xf numFmtId="0" fontId="81" fillId="0" borderId="0" xfId="0" applyFont="1"/>
    <xf numFmtId="0" fontId="22" fillId="0" borderId="0" xfId="9" applyFont="1" applyAlignment="1">
      <alignment horizontal="center" vertical="center"/>
    </xf>
    <xf numFmtId="0" fontId="42" fillId="0" borderId="0" xfId="0" applyFont="1" applyAlignment="1">
      <alignment wrapText="1"/>
    </xf>
    <xf numFmtId="43" fontId="42" fillId="0" borderId="0" xfId="11" applyFont="1" applyFill="1" applyBorder="1" applyAlignment="1">
      <alignment horizontal="right"/>
    </xf>
    <xf numFmtId="187" fontId="42" fillId="0" borderId="0" xfId="11" applyNumberFormat="1" applyFont="1" applyFill="1" applyBorder="1"/>
    <xf numFmtId="0" fontId="78" fillId="18" borderId="0" xfId="0" applyFont="1" applyFill="1" applyAlignment="1">
      <alignment horizontal="center" vertical="top" wrapText="1"/>
    </xf>
    <xf numFmtId="0" fontId="83" fillId="0" borderId="0" xfId="0" applyFont="1" applyAlignment="1">
      <alignment wrapText="1"/>
    </xf>
    <xf numFmtId="0" fontId="83" fillId="0" borderId="0" xfId="0" applyFont="1" applyAlignment="1">
      <alignment horizontal="center"/>
    </xf>
    <xf numFmtId="4" fontId="83" fillId="0" borderId="0" xfId="39" applyNumberFormat="1" applyFont="1" applyBorder="1" applyAlignment="1">
      <alignment horizontal="center"/>
    </xf>
    <xf numFmtId="10" fontId="83" fillId="0" borderId="0" xfId="2" applyNumberFormat="1" applyFont="1" applyBorder="1" applyAlignment="1">
      <alignment horizontal="center"/>
    </xf>
    <xf numFmtId="10" fontId="83" fillId="0" borderId="0" xfId="2" applyNumberFormat="1" applyFont="1" applyAlignment="1">
      <alignment horizontal="center"/>
    </xf>
    <xf numFmtId="10" fontId="83" fillId="0" borderId="0" xfId="0" applyNumberFormat="1" applyFont="1" applyAlignment="1">
      <alignment horizontal="center"/>
    </xf>
    <xf numFmtId="0" fontId="84" fillId="0" borderId="0" xfId="0" applyFont="1"/>
    <xf numFmtId="0" fontId="83" fillId="0" borderId="164" xfId="0" applyFont="1" applyBorder="1" applyAlignment="1">
      <alignment horizontal="center"/>
    </xf>
    <xf numFmtId="0" fontId="42" fillId="15" borderId="0" xfId="0" applyFont="1" applyFill="1"/>
    <xf numFmtId="0" fontId="63" fillId="15" borderId="0" xfId="0" applyFont="1" applyFill="1" applyAlignment="1">
      <alignment vertical="center"/>
    </xf>
    <xf numFmtId="0" fontId="85" fillId="15" borderId="0" xfId="0" applyFont="1" applyFill="1" applyAlignment="1" applyProtection="1">
      <alignment horizontal="center" vertical="center"/>
      <protection locked="0"/>
    </xf>
    <xf numFmtId="0" fontId="75" fillId="3" borderId="165" xfId="0" applyFont="1" applyFill="1" applyBorder="1" applyAlignment="1">
      <alignment horizontal="center" vertical="center"/>
    </xf>
    <xf numFmtId="0" fontId="75" fillId="3" borderId="166" xfId="0" applyFont="1" applyFill="1" applyBorder="1" applyAlignment="1">
      <alignment horizontal="center" vertical="center"/>
    </xf>
    <xf numFmtId="10" fontId="18" fillId="0" borderId="167" xfId="2" applyNumberFormat="1" applyFont="1" applyFill="1" applyBorder="1" applyAlignment="1">
      <alignment horizontal="center" vertical="center"/>
    </xf>
    <xf numFmtId="10" fontId="75" fillId="0" borderId="172" xfId="0" applyNumberFormat="1" applyFont="1" applyBorder="1" applyAlignment="1">
      <alignment horizontal="center" vertical="center"/>
    </xf>
    <xf numFmtId="10" fontId="18" fillId="0" borderId="156" xfId="2" applyNumberFormat="1" applyFont="1" applyFill="1" applyBorder="1" applyAlignment="1">
      <alignment horizontal="center" vertical="center"/>
    </xf>
    <xf numFmtId="10" fontId="18" fillId="0" borderId="100" xfId="2" applyNumberFormat="1" applyFont="1" applyFill="1" applyBorder="1" applyAlignment="1">
      <alignment horizontal="center" vertical="center"/>
    </xf>
    <xf numFmtId="0" fontId="18" fillId="0" borderId="101" xfId="0" applyFont="1" applyBorder="1" applyAlignment="1">
      <alignment horizontal="center" vertical="center"/>
    </xf>
    <xf numFmtId="10" fontId="75" fillId="3" borderId="176" xfId="2" applyNumberFormat="1" applyFont="1" applyFill="1" applyBorder="1" applyAlignment="1">
      <alignment horizontal="center" vertical="center"/>
    </xf>
    <xf numFmtId="0" fontId="42" fillId="15" borderId="0" xfId="0" applyFont="1" applyFill="1" applyAlignment="1">
      <alignment vertical="center"/>
    </xf>
    <xf numFmtId="0" fontId="87" fillId="15" borderId="0" xfId="0" applyFont="1" applyFill="1" applyAlignment="1">
      <alignment horizontal="center"/>
    </xf>
    <xf numFmtId="0" fontId="44" fillId="15" borderId="0" xfId="0" applyFont="1" applyFill="1" applyAlignment="1">
      <alignment horizontal="center" vertical="top"/>
    </xf>
    <xf numFmtId="0" fontId="44" fillId="15" borderId="0" xfId="0" applyFont="1" applyFill="1" applyAlignment="1">
      <alignment horizontal="center" vertical="center"/>
    </xf>
    <xf numFmtId="0" fontId="44" fillId="15" borderId="0" xfId="0" applyFont="1" applyFill="1" applyAlignment="1">
      <alignment horizontal="left" vertical="center"/>
    </xf>
    <xf numFmtId="0" fontId="42" fillId="15" borderId="0" xfId="0" applyFont="1" applyFill="1" applyAlignment="1">
      <alignment horizontal="left"/>
    </xf>
    <xf numFmtId="0" fontId="44" fillId="0" borderId="0" xfId="0" applyFont="1"/>
    <xf numFmtId="0" fontId="45" fillId="0" borderId="0" xfId="0" applyFont="1" applyAlignment="1">
      <alignment horizontal="center" vertical="center"/>
    </xf>
    <xf numFmtId="0" fontId="66" fillId="15" borderId="0" xfId="34" applyFont="1" applyFill="1" applyAlignment="1">
      <alignment vertical="center"/>
    </xf>
    <xf numFmtId="0" fontId="42" fillId="0" borderId="0" xfId="34" applyFont="1" applyAlignment="1">
      <alignment vertical="center"/>
    </xf>
    <xf numFmtId="0" fontId="66" fillId="15" borderId="0" xfId="34" applyFont="1" applyFill="1" applyAlignment="1">
      <alignment vertical="center" wrapText="1"/>
    </xf>
    <xf numFmtId="0" fontId="89" fillId="0" borderId="0" xfId="34" applyFont="1"/>
    <xf numFmtId="0" fontId="63" fillId="0" borderId="0" xfId="34" applyFont="1"/>
    <xf numFmtId="0" fontId="77" fillId="0" borderId="0" xfId="34" applyFont="1" applyAlignment="1">
      <alignment vertical="center"/>
    </xf>
    <xf numFmtId="0" fontId="67" fillId="0" borderId="0" xfId="34" applyFont="1" applyAlignment="1">
      <alignment vertical="top" wrapText="1"/>
    </xf>
    <xf numFmtId="0" fontId="90" fillId="0" borderId="0" xfId="34" applyFont="1" applyAlignment="1">
      <alignment horizontal="left" vertical="top"/>
    </xf>
    <xf numFmtId="0" fontId="64" fillId="15" borderId="0" xfId="34" applyFont="1" applyFill="1" applyAlignment="1">
      <alignment horizontal="left" vertical="center" wrapText="1"/>
    </xf>
    <xf numFmtId="0" fontId="91" fillId="0" borderId="0" xfId="34" applyFont="1"/>
    <xf numFmtId="0" fontId="91" fillId="0" borderId="34" xfId="34" applyFont="1" applyBorder="1" applyAlignment="1">
      <alignment horizontal="left" vertical="center"/>
    </xf>
    <xf numFmtId="0" fontId="42" fillId="0" borderId="90" xfId="34" applyFont="1" applyBorder="1"/>
    <xf numFmtId="0" fontId="42" fillId="0" borderId="91" xfId="34" applyFont="1" applyBorder="1"/>
    <xf numFmtId="0" fontId="42" fillId="15" borderId="0" xfId="34" applyFont="1" applyFill="1" applyAlignment="1">
      <alignment horizontal="center"/>
    </xf>
    <xf numFmtId="0" fontId="91" fillId="0" borderId="0" xfId="34" applyFont="1" applyAlignment="1">
      <alignment horizontal="left" vertical="center"/>
    </xf>
    <xf numFmtId="0" fontId="68" fillId="15" borderId="0" xfId="34" applyFont="1" applyFill="1"/>
    <xf numFmtId="0" fontId="76" fillId="15" borderId="0" xfId="34" applyFont="1" applyFill="1"/>
    <xf numFmtId="0" fontId="21" fillId="0" borderId="0" xfId="0" applyFont="1" applyAlignment="1">
      <alignment horizontal="center"/>
    </xf>
    <xf numFmtId="0" fontId="70" fillId="0" borderId="150" xfId="0" applyFont="1" applyBorder="1" applyAlignment="1">
      <alignment horizontal="center" vertical="center" wrapText="1"/>
    </xf>
    <xf numFmtId="0" fontId="71" fillId="0" borderId="151" xfId="0" applyFont="1" applyBorder="1" applyAlignment="1">
      <alignment horizontal="center" vertical="center" wrapText="1"/>
    </xf>
    <xf numFmtId="0" fontId="70" fillId="0" borderId="151" xfId="0" applyFont="1" applyBorder="1" applyAlignment="1">
      <alignment horizontal="left" vertical="center" wrapText="1"/>
    </xf>
    <xf numFmtId="0" fontId="70" fillId="0" borderId="151" xfId="0" applyFont="1" applyBorder="1" applyAlignment="1">
      <alignment horizontal="center" vertical="center" wrapText="1"/>
    </xf>
    <xf numFmtId="2" fontId="70" fillId="0" borderId="151" xfId="0" applyNumberFormat="1" applyFont="1" applyBorder="1" applyAlignment="1">
      <alignment horizontal="right" vertical="center" wrapText="1"/>
    </xf>
    <xf numFmtId="43" fontId="67" fillId="0" borderId="4" xfId="11" applyFont="1" applyFill="1" applyBorder="1" applyAlignment="1">
      <alignment horizontal="right" vertical="center" wrapText="1"/>
    </xf>
    <xf numFmtId="187" fontId="70" fillId="0" borderId="151" xfId="32" applyNumberFormat="1" applyFont="1" applyFill="1" applyBorder="1" applyAlignment="1" applyProtection="1">
      <alignment horizontal="right" vertical="center" wrapText="1"/>
    </xf>
    <xf numFmtId="187" fontId="70" fillId="0" borderId="152" xfId="11" applyNumberFormat="1" applyFont="1" applyFill="1" applyBorder="1" applyAlignment="1" applyProtection="1">
      <alignment horizontal="right" vertical="center" wrapText="1"/>
    </xf>
    <xf numFmtId="0" fontId="41" fillId="0" borderId="0" xfId="0" applyFont="1"/>
    <xf numFmtId="187" fontId="41" fillId="0" borderId="0" xfId="0" applyNumberFormat="1" applyFont="1"/>
    <xf numFmtId="0" fontId="93" fillId="0" borderId="0" xfId="0" applyFont="1"/>
    <xf numFmtId="0" fontId="24" fillId="17" borderId="4" xfId="36" applyFont="1" applyFill="1" applyBorder="1" applyAlignment="1">
      <alignment horizontal="center" vertical="center"/>
    </xf>
    <xf numFmtId="0" fontId="67" fillId="0" borderId="0" xfId="0" applyFont="1" applyAlignment="1">
      <alignment horizontal="left" vertical="center"/>
    </xf>
    <xf numFmtId="0" fontId="79" fillId="0" borderId="0" xfId="0" applyFont="1"/>
    <xf numFmtId="0" fontId="82" fillId="16" borderId="69" xfId="0" applyFont="1" applyFill="1" applyBorder="1" applyAlignment="1">
      <alignment horizontal="center" vertical="center"/>
    </xf>
    <xf numFmtId="10" fontId="73" fillId="0" borderId="157" xfId="0" applyNumberFormat="1" applyFont="1" applyBorder="1" applyAlignment="1">
      <alignment horizontal="center" vertical="center"/>
    </xf>
    <xf numFmtId="4" fontId="73" fillId="19" borderId="159" xfId="0" applyNumberFormat="1" applyFont="1" applyFill="1" applyBorder="1" applyAlignment="1">
      <alignment horizontal="center" vertical="center"/>
    </xf>
    <xf numFmtId="4" fontId="73" fillId="0" borderId="159" xfId="0" applyNumberFormat="1" applyFont="1" applyBorder="1" applyAlignment="1">
      <alignment horizontal="center" vertical="center"/>
    </xf>
    <xf numFmtId="187" fontId="82" fillId="16" borderId="73" xfId="0" applyNumberFormat="1" applyFont="1" applyFill="1" applyBorder="1" applyAlignment="1">
      <alignment horizontal="center" vertical="center"/>
    </xf>
    <xf numFmtId="10" fontId="82" fillId="16" borderId="4" xfId="0" applyNumberFormat="1" applyFont="1" applyFill="1" applyBorder="1" applyAlignment="1">
      <alignment horizontal="center" vertical="center"/>
    </xf>
    <xf numFmtId="187" fontId="82" fillId="16" borderId="4" xfId="0" applyNumberFormat="1" applyFont="1" applyFill="1" applyBorder="1" applyAlignment="1">
      <alignment horizontal="center" vertical="center"/>
    </xf>
    <xf numFmtId="10" fontId="82" fillId="16" borderId="103" xfId="0" applyNumberFormat="1" applyFont="1" applyFill="1" applyBorder="1" applyAlignment="1">
      <alignment horizontal="center" vertical="center"/>
    </xf>
    <xf numFmtId="0" fontId="19" fillId="0" borderId="0" xfId="0" applyFont="1" applyAlignment="1">
      <alignment horizontal="center" vertical="center"/>
    </xf>
    <xf numFmtId="0" fontId="19" fillId="0" borderId="0" xfId="0" applyFont="1" applyAlignment="1">
      <alignment horizontal="left" vertical="center"/>
    </xf>
    <xf numFmtId="187" fontId="19" fillId="0" borderId="0" xfId="0" applyNumberFormat="1" applyFont="1" applyAlignment="1">
      <alignment horizontal="center" vertical="center"/>
    </xf>
    <xf numFmtId="0" fontId="0" fillId="0" borderId="0" xfId="0" applyAlignment="1">
      <alignment horizontal="left" vertical="center"/>
    </xf>
    <xf numFmtId="187" fontId="0" fillId="0" borderId="0" xfId="32" applyNumberFormat="1" applyFont="1" applyAlignment="1">
      <alignment horizontal="center" vertical="center"/>
    </xf>
    <xf numFmtId="0" fontId="10" fillId="2" borderId="0" xfId="0" applyFont="1" applyFill="1" applyAlignment="1">
      <alignment horizontal="center" wrapText="1"/>
    </xf>
    <xf numFmtId="43" fontId="0" fillId="0" borderId="0" xfId="1" applyFont="1"/>
    <xf numFmtId="43" fontId="9" fillId="2" borderId="25" xfId="1" applyFont="1" applyFill="1" applyBorder="1" applyAlignment="1">
      <alignment horizontal="center" vertical="center" wrapText="1"/>
    </xf>
    <xf numFmtId="10" fontId="9" fillId="2" borderId="25" xfId="0" applyNumberFormat="1" applyFont="1" applyFill="1" applyBorder="1" applyAlignment="1">
      <alignment horizontal="center" vertical="center" wrapText="1"/>
    </xf>
    <xf numFmtId="10" fontId="9" fillId="3" borderId="33" xfId="0" applyNumberFormat="1" applyFont="1" applyFill="1" applyBorder="1" applyAlignment="1">
      <alignment horizontal="center" vertical="center" wrapText="1"/>
    </xf>
    <xf numFmtId="10" fontId="9" fillId="3" borderId="25" xfId="0" applyNumberFormat="1" applyFont="1" applyFill="1" applyBorder="1" applyAlignment="1">
      <alignment horizontal="center" vertical="center" wrapText="1"/>
    </xf>
    <xf numFmtId="0" fontId="6" fillId="2" borderId="0" xfId="0" applyFont="1" applyFill="1" applyAlignment="1">
      <alignment horizontal="centerContinuous" vertical="center" wrapText="1"/>
    </xf>
    <xf numFmtId="0" fontId="0" fillId="0" borderId="0" xfId="0" applyAlignment="1">
      <alignment horizontal="centerContinuous" vertical="center"/>
    </xf>
    <xf numFmtId="0" fontId="6" fillId="2" borderId="6" xfId="0" applyFont="1" applyFill="1" applyBorder="1" applyAlignment="1">
      <alignment horizontal="left" vertical="center" wrapText="1"/>
    </xf>
    <xf numFmtId="0" fontId="6" fillId="2" borderId="6" xfId="0" applyFont="1" applyFill="1" applyBorder="1" applyAlignment="1">
      <alignment horizontal="right" vertical="center" wrapText="1"/>
    </xf>
    <xf numFmtId="0" fontId="0" fillId="0" borderId="16" xfId="0" applyBorder="1" applyAlignment="1">
      <alignment vertical="center"/>
    </xf>
    <xf numFmtId="0" fontId="0" fillId="0" borderId="17" xfId="0" applyBorder="1" applyAlignment="1">
      <alignment vertical="center"/>
    </xf>
    <xf numFmtId="0" fontId="7" fillId="2" borderId="19" xfId="0" applyFont="1" applyFill="1" applyBorder="1" applyAlignment="1">
      <alignment horizontal="left" vertical="center" wrapText="1"/>
    </xf>
    <xf numFmtId="0" fontId="0" fillId="0" borderId="80" xfId="0" applyBorder="1" applyAlignment="1">
      <alignment vertical="center"/>
    </xf>
    <xf numFmtId="0" fontId="7" fillId="2" borderId="2"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31" xfId="0" applyFont="1" applyFill="1" applyBorder="1" applyAlignment="1">
      <alignment horizontal="left" vertical="center" wrapText="1"/>
    </xf>
    <xf numFmtId="0" fontId="7" fillId="2" borderId="12" xfId="0" applyFont="1" applyFill="1" applyBorder="1" applyAlignment="1">
      <alignment horizontal="right" vertical="center" wrapText="1"/>
    </xf>
    <xf numFmtId="0" fontId="7" fillId="2" borderId="32" xfId="0" applyFont="1" applyFill="1" applyBorder="1" applyAlignment="1">
      <alignment horizontal="right" vertical="center" wrapText="1"/>
    </xf>
    <xf numFmtId="10" fontId="8" fillId="2" borderId="0" xfId="2" applyNumberFormat="1" applyFont="1" applyFill="1" applyAlignment="1">
      <alignment horizontal="right" vertical="center" wrapText="1"/>
    </xf>
    <xf numFmtId="43" fontId="8" fillId="2" borderId="0" xfId="1" applyFont="1" applyFill="1" applyAlignment="1">
      <alignment horizontal="right" vertical="center" wrapText="1"/>
    </xf>
    <xf numFmtId="10" fontId="8" fillId="2" borderId="0" xfId="0" applyNumberFormat="1" applyFont="1" applyFill="1" applyAlignment="1">
      <alignment horizontal="right" vertical="center" wrapText="1"/>
    </xf>
    <xf numFmtId="43" fontId="8" fillId="2" borderId="0" xfId="0" applyNumberFormat="1" applyFont="1" applyFill="1" applyAlignment="1">
      <alignment horizontal="right" vertical="center" wrapText="1"/>
    </xf>
    <xf numFmtId="0" fontId="6" fillId="2" borderId="23"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0" fillId="15" borderId="0" xfId="0" applyFill="1" applyAlignment="1">
      <alignment vertical="center"/>
    </xf>
    <xf numFmtId="0" fontId="6" fillId="15" borderId="0" xfId="0" applyFont="1" applyFill="1" applyAlignment="1">
      <alignment horizontal="left" vertical="center" wrapText="1"/>
    </xf>
    <xf numFmtId="0" fontId="8" fillId="15" borderId="0" xfId="0" applyFont="1" applyFill="1" applyAlignment="1">
      <alignment horizontal="left" vertical="center" wrapText="1"/>
    </xf>
    <xf numFmtId="0" fontId="10" fillId="15" borderId="0" xfId="0" applyFont="1" applyFill="1" applyAlignment="1">
      <alignment horizontal="center" vertical="center" wrapText="1"/>
    </xf>
    <xf numFmtId="0" fontId="6" fillId="2" borderId="0" xfId="0" applyFont="1" applyFill="1" applyAlignment="1">
      <alignment horizontal="left" vertical="top"/>
    </xf>
    <xf numFmtId="0" fontId="8" fillId="2" borderId="0" xfId="0" applyFont="1" applyFill="1" applyAlignment="1">
      <alignment horizontal="left" vertical="top" wrapText="1"/>
    </xf>
    <xf numFmtId="43" fontId="7" fillId="2" borderId="27" xfId="1" applyFont="1" applyFill="1" applyBorder="1" applyAlignment="1">
      <alignment horizontal="center" vertical="center" wrapText="1"/>
    </xf>
    <xf numFmtId="43" fontId="7" fillId="2" borderId="10" xfId="1"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8" fillId="2" borderId="0" xfId="0" applyFont="1" applyFill="1" applyAlignment="1">
      <alignment horizontal="right" vertical="top" wrapText="1"/>
    </xf>
    <xf numFmtId="4" fontId="8" fillId="2" borderId="0" xfId="0" applyNumberFormat="1" applyFont="1" applyFill="1" applyAlignment="1">
      <alignment horizontal="right" vertical="top" wrapText="1"/>
    </xf>
    <xf numFmtId="0" fontId="10" fillId="2" borderId="0" xfId="0" applyFont="1" applyFill="1" applyAlignment="1">
      <alignment horizontal="center" wrapText="1"/>
    </xf>
    <xf numFmtId="0" fontId="21" fillId="2" borderId="0" xfId="0" applyFont="1" applyFill="1" applyAlignment="1">
      <alignment horizontal="center" wrapText="1"/>
    </xf>
    <xf numFmtId="0" fontId="22" fillId="0" borderId="0" xfId="0" applyFont="1"/>
    <xf numFmtId="0" fontId="21" fillId="2" borderId="0" xfId="0" applyFont="1" applyFill="1" applyAlignment="1">
      <alignment horizontal="left" vertical="top" wrapText="1"/>
    </xf>
    <xf numFmtId="0" fontId="23" fillId="2" borderId="0" xfId="0" applyFont="1" applyFill="1" applyAlignment="1">
      <alignment horizontal="left" vertical="top" wrapText="1"/>
    </xf>
    <xf numFmtId="0" fontId="64" fillId="15" borderId="0" xfId="34" applyFont="1" applyFill="1" applyAlignment="1">
      <alignment horizontal="center" vertical="center" wrapText="1"/>
    </xf>
    <xf numFmtId="0" fontId="64" fillId="0" borderId="0" xfId="34" applyFont="1" applyAlignment="1">
      <alignment horizontal="center" vertical="center" wrapText="1"/>
    </xf>
    <xf numFmtId="0" fontId="71" fillId="0" borderId="0" xfId="35" applyFont="1" applyAlignment="1">
      <alignment horizontal="center" vertical="center"/>
    </xf>
    <xf numFmtId="0" fontId="64" fillId="15" borderId="0" xfId="34" applyFont="1" applyFill="1" applyAlignment="1">
      <alignment horizontal="center" vertical="center"/>
    </xf>
    <xf numFmtId="4" fontId="64" fillId="0" borderId="0" xfId="0" applyNumberFormat="1" applyFont="1" applyAlignment="1">
      <alignment horizontal="right" vertical="center"/>
    </xf>
    <xf numFmtId="0" fontId="64" fillId="0" borderId="0" xfId="0" applyFont="1" applyAlignment="1">
      <alignment horizontal="right" vertical="center"/>
    </xf>
    <xf numFmtId="0" fontId="64" fillId="0" borderId="0" xfId="0" applyFont="1" applyAlignment="1">
      <alignment horizontal="center" vertical="center"/>
    </xf>
    <xf numFmtId="0" fontId="80" fillId="16" borderId="0" xfId="0" applyFont="1" applyFill="1" applyAlignment="1">
      <alignment horizontal="center" vertical="center" wrapText="1"/>
    </xf>
    <xf numFmtId="0" fontId="15" fillId="0" borderId="7" xfId="3" applyFont="1" applyBorder="1" applyAlignment="1">
      <alignment horizontal="center" vertical="center"/>
    </xf>
    <xf numFmtId="0" fontId="15" fillId="0" borderId="8" xfId="3" applyFont="1" applyBorder="1" applyAlignment="1">
      <alignment horizontal="center" vertical="center"/>
    </xf>
    <xf numFmtId="0" fontId="15" fillId="0" borderId="84" xfId="3" applyFont="1" applyBorder="1" applyAlignment="1">
      <alignment horizontal="center" vertical="center"/>
    </xf>
    <xf numFmtId="0" fontId="15" fillId="0" borderId="0" xfId="3" applyFont="1" applyAlignment="1">
      <alignment horizontal="left" vertical="top" wrapText="1"/>
    </xf>
    <xf numFmtId="10" fontId="15" fillId="0" borderId="0" xfId="3" applyNumberFormat="1" applyFont="1" applyAlignment="1">
      <alignment horizontal="left" vertical="top" wrapText="1"/>
    </xf>
    <xf numFmtId="10" fontId="15" fillId="0" borderId="11" xfId="3" applyNumberFormat="1" applyFont="1" applyBorder="1" applyAlignment="1">
      <alignment horizontal="left" vertical="top" wrapText="1"/>
    </xf>
    <xf numFmtId="10" fontId="15" fillId="0" borderId="87" xfId="3" applyNumberFormat="1" applyFont="1" applyBorder="1" applyAlignment="1">
      <alignment horizontal="left" vertical="top" wrapText="1"/>
    </xf>
    <xf numFmtId="10" fontId="15" fillId="0" borderId="88" xfId="3" applyNumberFormat="1" applyFont="1" applyBorder="1" applyAlignment="1">
      <alignment horizontal="left" vertical="top" wrapText="1"/>
    </xf>
    <xf numFmtId="0" fontId="15" fillId="0" borderId="0" xfId="4" applyNumberFormat="1" applyFont="1" applyFill="1" applyAlignment="1">
      <alignment horizontal="left" vertical="top" wrapText="1"/>
    </xf>
    <xf numFmtId="0" fontId="15" fillId="0" borderId="87" xfId="4" applyNumberFormat="1" applyFont="1" applyFill="1" applyBorder="1" applyAlignment="1">
      <alignment horizontal="left" vertical="top" wrapText="1"/>
    </xf>
    <xf numFmtId="0" fontId="15" fillId="0" borderId="34" xfId="3" applyFont="1" applyBorder="1" applyAlignment="1">
      <alignment horizontal="right" vertical="center"/>
    </xf>
    <xf numFmtId="0" fontId="15" fillId="0" borderId="90" xfId="3" applyFont="1" applyBorder="1" applyAlignment="1">
      <alignment horizontal="right" vertical="center"/>
    </xf>
    <xf numFmtId="0" fontId="15" fillId="0" borderId="112" xfId="3" applyFont="1" applyBorder="1" applyAlignment="1">
      <alignment horizontal="right" vertical="center"/>
    </xf>
    <xf numFmtId="0" fontId="14" fillId="0" borderId="114" xfId="3" applyFont="1" applyBorder="1" applyAlignment="1">
      <alignment horizontal="center"/>
    </xf>
    <xf numFmtId="0" fontId="14" fillId="0" borderId="90" xfId="3" applyFont="1" applyBorder="1" applyAlignment="1">
      <alignment horizontal="center"/>
    </xf>
    <xf numFmtId="0" fontId="14" fillId="0" borderId="91" xfId="3" applyFont="1" applyBorder="1" applyAlignment="1">
      <alignment horizontal="center"/>
    </xf>
    <xf numFmtId="0" fontId="8" fillId="0" borderId="0" xfId="0" applyFont="1" applyAlignment="1">
      <alignment horizontal="right" vertical="top" wrapText="1"/>
    </xf>
    <xf numFmtId="0" fontId="6" fillId="0" borderId="1" xfId="0" applyFont="1" applyBorder="1" applyAlignment="1">
      <alignment horizontal="right" vertical="top" wrapText="1"/>
    </xf>
    <xf numFmtId="0" fontId="6" fillId="0" borderId="1" xfId="0" applyFont="1" applyBorder="1" applyAlignment="1">
      <alignment horizontal="left" vertical="top" wrapText="1"/>
    </xf>
    <xf numFmtId="0" fontId="10" fillId="0" borderId="1" xfId="0" applyFont="1" applyBorder="1" applyAlignment="1">
      <alignment horizontal="left" vertical="top" wrapText="1"/>
    </xf>
    <xf numFmtId="0" fontId="9" fillId="0" borderId="1" xfId="0" applyFont="1" applyBorder="1" applyAlignment="1">
      <alignment horizontal="left" vertical="top" wrapText="1"/>
    </xf>
    <xf numFmtId="165" fontId="10" fillId="0" borderId="1" xfId="0" applyNumberFormat="1" applyFont="1" applyBorder="1" applyAlignment="1">
      <alignment horizontal="right" vertical="top" wrapText="1"/>
    </xf>
    <xf numFmtId="0" fontId="6" fillId="0" borderId="1" xfId="0" applyFont="1" applyBorder="1" applyAlignment="1">
      <alignment horizontal="center" vertical="top" wrapText="1"/>
    </xf>
    <xf numFmtId="0" fontId="10" fillId="0" borderId="0" xfId="0" applyFont="1" applyAlignment="1">
      <alignment horizontal="left" vertical="top" wrapText="1"/>
    </xf>
    <xf numFmtId="0" fontId="8" fillId="0" borderId="0" xfId="0" applyFont="1" applyAlignment="1">
      <alignment horizontal="left" vertical="top" wrapText="1"/>
    </xf>
    <xf numFmtId="0" fontId="6" fillId="0" borderId="0" xfId="0" applyFont="1" applyAlignment="1">
      <alignment horizontal="center" wrapText="1"/>
    </xf>
    <xf numFmtId="0" fontId="0" fillId="0" borderId="0" xfId="0"/>
    <xf numFmtId="0" fontId="6" fillId="0" borderId="0" xfId="0" applyFont="1" applyAlignment="1">
      <alignment horizontal="left" vertical="top" wrapText="1"/>
    </xf>
    <xf numFmtId="0" fontId="8" fillId="0" borderId="0" xfId="0" applyFont="1" applyAlignment="1">
      <alignment horizontal="left" vertical="center" wrapText="1"/>
    </xf>
    <xf numFmtId="10" fontId="8" fillId="0" borderId="0" xfId="0" applyNumberFormat="1" applyFont="1" applyAlignment="1">
      <alignment horizontal="left" vertical="top" wrapText="1"/>
    </xf>
    <xf numFmtId="0" fontId="6" fillId="2" borderId="1" xfId="0" applyFont="1" applyFill="1" applyBorder="1" applyAlignment="1">
      <alignment horizontal="left" vertical="top" wrapText="1"/>
    </xf>
    <xf numFmtId="0" fontId="6" fillId="0" borderId="89" xfId="0" applyFont="1" applyBorder="1" applyAlignment="1">
      <alignment horizontal="center" vertical="center" wrapText="1"/>
    </xf>
    <xf numFmtId="0" fontId="13" fillId="0" borderId="34" xfId="23" applyFont="1" applyBorder="1" applyAlignment="1">
      <alignment horizontal="center" vertical="center" wrapText="1"/>
    </xf>
    <xf numFmtId="0" fontId="20" fillId="0" borderId="34" xfId="23" applyFont="1" applyBorder="1" applyAlignment="1">
      <alignment horizontal="center" vertical="center" wrapText="1"/>
    </xf>
    <xf numFmtId="0" fontId="13" fillId="0" borderId="41" xfId="23" applyFont="1" applyBorder="1" applyAlignment="1">
      <alignment horizontal="left" vertical="center" wrapText="1"/>
    </xf>
    <xf numFmtId="0" fontId="12" fillId="0" borderId="42" xfId="23" applyFont="1" applyBorder="1" applyAlignment="1">
      <alignment horizontal="left" vertical="center" wrapText="1"/>
    </xf>
    <xf numFmtId="0" fontId="13" fillId="0" borderId="45" xfId="23" applyFont="1" applyBorder="1" applyAlignment="1">
      <alignment horizontal="left" vertical="center" wrapText="1"/>
    </xf>
    <xf numFmtId="0" fontId="12" fillId="0" borderId="46" xfId="23" applyFont="1" applyBorder="1" applyAlignment="1">
      <alignment horizontal="left" vertical="center" wrapText="1"/>
    </xf>
    <xf numFmtId="0" fontId="23" fillId="0" borderId="55" xfId="20" applyFont="1" applyBorder="1" applyAlignment="1" applyProtection="1">
      <alignment horizontal="center"/>
      <protection hidden="1"/>
    </xf>
    <xf numFmtId="0" fontId="23" fillId="0" borderId="0" xfId="20" applyFont="1" applyAlignment="1" applyProtection="1">
      <alignment horizontal="center"/>
      <protection hidden="1"/>
    </xf>
    <xf numFmtId="0" fontId="23" fillId="0" borderId="12" xfId="20" applyFont="1" applyBorder="1" applyAlignment="1" applyProtection="1">
      <alignment horizontal="center"/>
      <protection hidden="1"/>
    </xf>
    <xf numFmtId="0" fontId="23" fillId="0" borderId="82" xfId="20" applyFont="1" applyBorder="1" applyAlignment="1" applyProtection="1">
      <alignment horizontal="center"/>
      <protection hidden="1"/>
    </xf>
    <xf numFmtId="0" fontId="23" fillId="0" borderId="35" xfId="20" applyFont="1" applyBorder="1" applyAlignment="1" applyProtection="1">
      <alignment horizontal="center"/>
      <protection hidden="1"/>
    </xf>
    <xf numFmtId="0" fontId="23" fillId="0" borderId="36" xfId="20" applyFont="1" applyBorder="1" applyAlignment="1" applyProtection="1">
      <alignment horizontal="center"/>
      <protection hidden="1"/>
    </xf>
    <xf numFmtId="0" fontId="23" fillId="0" borderId="73" xfId="20" applyFont="1" applyBorder="1" applyAlignment="1" applyProtection="1">
      <alignment horizontal="center"/>
      <protection hidden="1"/>
    </xf>
    <xf numFmtId="0" fontId="23" fillId="0" borderId="4" xfId="20" applyFont="1" applyBorder="1" applyAlignment="1" applyProtection="1">
      <alignment horizontal="center"/>
      <protection hidden="1"/>
    </xf>
    <xf numFmtId="0" fontId="23" fillId="0" borderId="75" xfId="20" applyFont="1" applyBorder="1" applyAlignment="1" applyProtection="1">
      <alignment horizontal="center" vertical="center" wrapText="1"/>
      <protection hidden="1"/>
    </xf>
    <xf numFmtId="0" fontId="23" fillId="0" borderId="77" xfId="20" applyFont="1" applyBorder="1" applyAlignment="1" applyProtection="1">
      <alignment horizontal="center" vertical="center" wrapText="1"/>
      <protection hidden="1"/>
    </xf>
    <xf numFmtId="0" fontId="23" fillId="0" borderId="4" xfId="20" applyFont="1" applyBorder="1" applyAlignment="1" applyProtection="1">
      <alignment horizontal="center" vertical="center"/>
      <protection hidden="1"/>
    </xf>
    <xf numFmtId="0" fontId="23" fillId="0" borderId="30" xfId="20" applyFont="1" applyBorder="1" applyAlignment="1" applyProtection="1">
      <alignment horizontal="center"/>
      <protection hidden="1"/>
    </xf>
    <xf numFmtId="0" fontId="23" fillId="0" borderId="32" xfId="20" applyFont="1" applyBorder="1" applyAlignment="1" applyProtection="1">
      <alignment horizontal="center"/>
      <protection hidden="1"/>
    </xf>
    <xf numFmtId="2" fontId="23" fillId="0" borderId="40" xfId="20" applyNumberFormat="1" applyFont="1" applyBorder="1" applyAlignment="1">
      <alignment horizontal="center"/>
    </xf>
    <xf numFmtId="2" fontId="23" fillId="0" borderId="71" xfId="20" applyNumberFormat="1" applyFont="1" applyBorder="1" applyAlignment="1">
      <alignment horizontal="center"/>
    </xf>
    <xf numFmtId="0" fontId="23" fillId="0" borderId="69" xfId="20" applyFont="1" applyBorder="1" applyAlignment="1">
      <alignment horizontal="center" vertical="center" wrapText="1"/>
    </xf>
    <xf numFmtId="0" fontId="23" fillId="0" borderId="73" xfId="20" applyFont="1" applyBorder="1" applyAlignment="1">
      <alignment horizontal="center" vertical="center" wrapText="1"/>
    </xf>
    <xf numFmtId="0" fontId="23" fillId="0" borderId="74" xfId="20" applyFont="1" applyBorder="1" applyAlignment="1" applyProtection="1">
      <alignment horizontal="center" vertical="center" wrapText="1"/>
      <protection hidden="1"/>
    </xf>
    <xf numFmtId="0" fontId="23" fillId="0" borderId="76" xfId="20" applyFont="1" applyBorder="1" applyAlignment="1" applyProtection="1">
      <alignment horizontal="center" vertical="center" wrapText="1"/>
      <protection hidden="1"/>
    </xf>
    <xf numFmtId="0" fontId="23" fillId="0" borderId="83" xfId="20" applyFont="1" applyBorder="1" applyAlignment="1" applyProtection="1">
      <alignment horizontal="center" vertical="center" wrapText="1"/>
      <protection hidden="1"/>
    </xf>
    <xf numFmtId="0" fontId="23" fillId="0" borderId="82" xfId="20" applyFont="1" applyBorder="1" applyAlignment="1" applyProtection="1">
      <alignment horizontal="center" vertical="center" wrapText="1"/>
      <protection hidden="1"/>
    </xf>
    <xf numFmtId="0" fontId="23" fillId="0" borderId="4" xfId="20" applyFont="1" applyBorder="1" applyAlignment="1">
      <alignment horizontal="center"/>
    </xf>
    <xf numFmtId="0" fontId="23" fillId="0" borderId="69" xfId="20" applyFont="1" applyBorder="1" applyAlignment="1" applyProtection="1">
      <alignment horizontal="center" vertical="center" wrapText="1"/>
      <protection hidden="1"/>
    </xf>
    <xf numFmtId="0" fontId="23" fillId="0" borderId="73" xfId="20" applyFont="1" applyBorder="1" applyAlignment="1" applyProtection="1">
      <alignment horizontal="center" vertical="center" wrapText="1"/>
      <protection hidden="1"/>
    </xf>
    <xf numFmtId="0" fontId="19" fillId="0" borderId="4" xfId="20" applyBorder="1" applyAlignment="1">
      <alignment horizontal="center" wrapText="1"/>
    </xf>
    <xf numFmtId="49" fontId="36" fillId="7" borderId="4" xfId="0" applyNumberFormat="1" applyFont="1" applyFill="1" applyBorder="1" applyAlignment="1">
      <alignment horizontal="center"/>
    </xf>
    <xf numFmtId="0" fontId="23" fillId="0" borderId="0" xfId="23" applyFont="1" applyAlignment="1">
      <alignment horizontal="center"/>
    </xf>
    <xf numFmtId="0" fontId="23" fillId="0" borderId="0" xfId="23" applyFont="1" applyAlignment="1">
      <alignment horizontal="left" vertical="top" wrapText="1"/>
    </xf>
    <xf numFmtId="0" fontId="23" fillId="0" borderId="12" xfId="23" applyFont="1" applyBorder="1" applyAlignment="1">
      <alignment horizontal="center"/>
    </xf>
    <xf numFmtId="49" fontId="36" fillId="7" borderId="4" xfId="23" applyNumberFormat="1" applyFont="1" applyFill="1" applyBorder="1" applyAlignment="1">
      <alignment horizontal="center"/>
    </xf>
    <xf numFmtId="0" fontId="23" fillId="0" borderId="0" xfId="0" applyFont="1" applyAlignment="1">
      <alignment horizontal="left" vertical="top" wrapText="1"/>
    </xf>
    <xf numFmtId="0" fontId="17" fillId="0" borderId="4" xfId="23" applyFont="1" applyBorder="1" applyAlignment="1">
      <alignment horizontal="center" vertical="center"/>
    </xf>
    <xf numFmtId="0" fontId="10" fillId="15" borderId="0" xfId="0" applyFont="1" applyFill="1" applyAlignment="1">
      <alignment horizontal="center" vertical="center" wrapText="1"/>
    </xf>
    <xf numFmtId="10" fontId="6" fillId="15" borderId="0" xfId="0" applyNumberFormat="1" applyFont="1" applyFill="1" applyAlignment="1">
      <alignment horizontal="left" vertical="center" wrapText="1"/>
    </xf>
    <xf numFmtId="10" fontId="8" fillId="15" borderId="0" xfId="0" applyNumberFormat="1" applyFont="1" applyFill="1" applyAlignment="1">
      <alignment horizontal="left" vertical="center" wrapText="1"/>
    </xf>
    <xf numFmtId="0" fontId="8" fillId="2" borderId="0" xfId="0" applyFont="1" applyFill="1" applyAlignment="1">
      <alignment horizontal="left" vertical="center" wrapText="1" indent="1"/>
    </xf>
    <xf numFmtId="0" fontId="8" fillId="2" borderId="3" xfId="0" applyFont="1" applyFill="1" applyBorder="1" applyAlignment="1">
      <alignment horizontal="left" vertical="center" wrapText="1" indent="1"/>
    </xf>
    <xf numFmtId="0" fontId="6" fillId="15" borderId="0" xfId="0" applyFont="1" applyFill="1" applyAlignment="1">
      <alignment horizontal="left" vertical="center"/>
    </xf>
    <xf numFmtId="0" fontId="8" fillId="15" borderId="0" xfId="0" applyFont="1" applyFill="1" applyAlignment="1">
      <alignment horizontal="left"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3" fillId="0" borderId="34" xfId="0" applyFont="1" applyBorder="1" applyAlignment="1">
      <alignment horizontal="center" vertical="center" wrapText="1"/>
    </xf>
    <xf numFmtId="0" fontId="13" fillId="0" borderId="90" xfId="0" applyFont="1" applyBorder="1" applyAlignment="1">
      <alignment horizontal="center" vertical="center" wrapText="1"/>
    </xf>
    <xf numFmtId="0" fontId="13" fillId="0" borderId="91" xfId="0" applyFont="1" applyBorder="1" applyAlignment="1">
      <alignment horizontal="center" vertical="center" wrapText="1"/>
    </xf>
    <xf numFmtId="43" fontId="17" fillId="9" borderId="94" xfId="24" applyFont="1" applyFill="1" applyBorder="1" applyAlignment="1">
      <alignment horizontal="center" vertical="center" wrapText="1"/>
    </xf>
    <xf numFmtId="43" fontId="17" fillId="9" borderId="95" xfId="24" applyFont="1" applyFill="1" applyBorder="1" applyAlignment="1">
      <alignment horizontal="center" vertical="center" wrapText="1"/>
    </xf>
    <xf numFmtId="0" fontId="17" fillId="9" borderId="34" xfId="23" applyFont="1" applyFill="1" applyBorder="1" applyAlignment="1">
      <alignment horizontal="center" vertical="center" wrapText="1"/>
    </xf>
    <xf numFmtId="0" fontId="17" fillId="9" borderId="90" xfId="23" applyFont="1" applyFill="1" applyBorder="1" applyAlignment="1">
      <alignment horizontal="center" vertical="center" wrapText="1"/>
    </xf>
    <xf numFmtId="0" fontId="17" fillId="9" borderId="91" xfId="23" applyFont="1" applyFill="1" applyBorder="1" applyAlignment="1">
      <alignment horizontal="center" vertical="center" wrapText="1"/>
    </xf>
    <xf numFmtId="43" fontId="40" fillId="0" borderId="92" xfId="1" applyFont="1" applyFill="1" applyBorder="1" applyAlignment="1">
      <alignment horizontal="left" vertical="center" wrapText="1"/>
    </xf>
    <xf numFmtId="43" fontId="40" fillId="0" borderId="110" xfId="1" applyFont="1" applyFill="1" applyBorder="1" applyAlignment="1">
      <alignment horizontal="left" vertical="center" wrapText="1"/>
    </xf>
    <xf numFmtId="43" fontId="40" fillId="0" borderId="93" xfId="1" applyFont="1" applyFill="1" applyBorder="1" applyAlignment="1">
      <alignment horizontal="left" vertical="center" wrapText="1"/>
    </xf>
    <xf numFmtId="43" fontId="17" fillId="9" borderId="34" xfId="24" applyFont="1" applyFill="1" applyBorder="1" applyAlignment="1">
      <alignment horizontal="center" vertical="center"/>
    </xf>
    <xf numFmtId="43" fontId="17" fillId="9" borderId="90" xfId="24" applyFont="1" applyFill="1" applyBorder="1" applyAlignment="1">
      <alignment horizontal="center" vertical="center"/>
    </xf>
    <xf numFmtId="43" fontId="17" fillId="9" borderId="91" xfId="24" applyFont="1" applyFill="1" applyBorder="1" applyAlignment="1">
      <alignment horizontal="center" vertical="center"/>
    </xf>
    <xf numFmtId="0" fontId="17" fillId="9" borderId="34" xfId="23" applyFont="1" applyFill="1" applyBorder="1" applyAlignment="1">
      <alignment horizontal="center"/>
    </xf>
    <xf numFmtId="0" fontId="17" fillId="9" borderId="91" xfId="23" applyFont="1" applyFill="1" applyBorder="1" applyAlignment="1">
      <alignment horizontal="center"/>
    </xf>
    <xf numFmtId="43" fontId="40" fillId="0" borderId="107" xfId="1" applyFont="1" applyFill="1" applyBorder="1" applyAlignment="1">
      <alignment horizontal="left" vertical="center" wrapText="1"/>
    </xf>
    <xf numFmtId="43" fontId="40" fillId="0" borderId="0" xfId="1" applyFont="1" applyFill="1" applyBorder="1" applyAlignment="1">
      <alignment horizontal="left" vertical="center" wrapText="1"/>
    </xf>
    <xf numFmtId="43" fontId="40" fillId="0" borderId="38" xfId="1" applyFont="1" applyFill="1" applyBorder="1" applyAlignment="1">
      <alignment horizontal="left" vertical="center" wrapText="1"/>
    </xf>
    <xf numFmtId="2" fontId="23" fillId="0" borderId="72" xfId="20" applyNumberFormat="1" applyFont="1" applyBorder="1" applyAlignment="1">
      <alignment horizontal="center"/>
    </xf>
    <xf numFmtId="0" fontId="23" fillId="0" borderId="37" xfId="20" applyFont="1" applyBorder="1" applyAlignment="1" applyProtection="1">
      <alignment horizontal="center"/>
      <protection hidden="1"/>
    </xf>
    <xf numFmtId="0" fontId="23" fillId="0" borderId="56" xfId="20" applyFont="1" applyBorder="1" applyAlignment="1" applyProtection="1">
      <alignment horizontal="center"/>
      <protection hidden="1"/>
    </xf>
    <xf numFmtId="0" fontId="23" fillId="0" borderId="40" xfId="20" applyFont="1" applyBorder="1" applyAlignment="1" applyProtection="1">
      <alignment horizontal="center" vertical="center"/>
      <protection hidden="1"/>
    </xf>
    <xf numFmtId="0" fontId="23" fillId="0" borderId="72" xfId="20" applyFont="1" applyBorder="1" applyAlignment="1" applyProtection="1">
      <alignment horizontal="center" vertical="center"/>
      <protection hidden="1"/>
    </xf>
    <xf numFmtId="0" fontId="23" fillId="0" borderId="71" xfId="20" applyFont="1" applyBorder="1" applyAlignment="1" applyProtection="1">
      <alignment horizontal="center" vertical="center"/>
      <protection hidden="1"/>
    </xf>
    <xf numFmtId="0" fontId="23" fillId="0" borderId="64" xfId="20" applyFont="1" applyBorder="1" applyAlignment="1" applyProtection="1">
      <alignment horizontal="center"/>
      <protection hidden="1"/>
    </xf>
    <xf numFmtId="0" fontId="23" fillId="0" borderId="65" xfId="20" applyFont="1" applyBorder="1" applyAlignment="1" applyProtection="1">
      <alignment horizontal="center"/>
      <protection hidden="1"/>
    </xf>
    <xf numFmtId="0" fontId="23" fillId="0" borderId="60" xfId="20" applyFont="1" applyBorder="1" applyAlignment="1" applyProtection="1">
      <alignment horizontal="center"/>
      <protection hidden="1"/>
    </xf>
    <xf numFmtId="0" fontId="23" fillId="0" borderId="58" xfId="20" applyFont="1" applyBorder="1" applyAlignment="1" applyProtection="1">
      <alignment horizontal="center"/>
      <protection hidden="1"/>
    </xf>
    <xf numFmtId="0" fontId="23" fillId="0" borderId="61" xfId="20" applyFont="1" applyBorder="1" applyAlignment="1" applyProtection="1">
      <alignment horizontal="center"/>
      <protection hidden="1"/>
    </xf>
    <xf numFmtId="0" fontId="23" fillId="0" borderId="66" xfId="20" applyFont="1" applyBorder="1" applyAlignment="1" applyProtection="1">
      <alignment horizontal="center"/>
      <protection hidden="1"/>
    </xf>
    <xf numFmtId="0" fontId="23" fillId="0" borderId="67" xfId="20" applyFont="1" applyBorder="1" applyAlignment="1" applyProtection="1">
      <alignment horizontal="center"/>
      <protection hidden="1"/>
    </xf>
    <xf numFmtId="0" fontId="23" fillId="0" borderId="68" xfId="20" applyFont="1" applyBorder="1" applyAlignment="1" applyProtection="1">
      <alignment horizontal="center"/>
      <protection hidden="1"/>
    </xf>
    <xf numFmtId="0" fontId="23" fillId="0" borderId="80" xfId="20" applyFont="1" applyBorder="1" applyAlignment="1" applyProtection="1">
      <alignment horizontal="center" vertical="center"/>
      <protection hidden="1"/>
    </xf>
    <xf numFmtId="0" fontId="23" fillId="0" borderId="0" xfId="20" applyFont="1" applyAlignment="1" applyProtection="1">
      <alignment horizontal="center" vertical="center"/>
      <protection hidden="1"/>
    </xf>
    <xf numFmtId="0" fontId="23" fillId="0" borderId="57" xfId="20" applyFont="1" applyBorder="1" applyAlignment="1" applyProtection="1">
      <alignment horizontal="center" vertical="center"/>
      <protection hidden="1"/>
    </xf>
    <xf numFmtId="0" fontId="23" fillId="0" borderId="60" xfId="20" applyFont="1" applyBorder="1" applyAlignment="1" applyProtection="1">
      <alignment horizontal="center" vertical="center"/>
      <protection hidden="1"/>
    </xf>
    <xf numFmtId="0" fontId="23" fillId="0" borderId="58" xfId="20" applyFont="1" applyBorder="1" applyAlignment="1" applyProtection="1">
      <alignment horizontal="center" vertical="center"/>
      <protection hidden="1"/>
    </xf>
    <xf numFmtId="0" fontId="23" fillId="0" borderId="61" xfId="20" applyFont="1" applyBorder="1" applyAlignment="1" applyProtection="1">
      <alignment horizontal="center" vertical="center"/>
      <protection hidden="1"/>
    </xf>
    <xf numFmtId="0" fontId="23" fillId="0" borderId="66" xfId="20" applyFont="1" applyBorder="1" applyAlignment="1" applyProtection="1">
      <alignment horizontal="center" vertical="center"/>
      <protection hidden="1"/>
    </xf>
    <xf numFmtId="164" fontId="23" fillId="0" borderId="0" xfId="20" applyNumberFormat="1" applyFont="1" applyAlignment="1">
      <alignment horizontal="center"/>
    </xf>
    <xf numFmtId="0" fontId="23" fillId="0" borderId="85" xfId="20" applyFont="1" applyBorder="1" applyAlignment="1" applyProtection="1">
      <alignment horizontal="center" vertical="center"/>
      <protection hidden="1"/>
    </xf>
    <xf numFmtId="187" fontId="68" fillId="15" borderId="0" xfId="34" applyNumberFormat="1" applyFont="1" applyFill="1" applyAlignment="1">
      <alignment horizontal="center" vertical="center"/>
    </xf>
    <xf numFmtId="0" fontId="88" fillId="15" borderId="0" xfId="34" applyFont="1" applyFill="1" applyAlignment="1">
      <alignment horizontal="center" vertical="center" wrapText="1"/>
    </xf>
    <xf numFmtId="0" fontId="68" fillId="15" borderId="0" xfId="34" applyFont="1" applyFill="1" applyAlignment="1">
      <alignment horizontal="right" vertical="center"/>
    </xf>
    <xf numFmtId="0" fontId="63" fillId="15" borderId="0" xfId="34" applyFont="1" applyFill="1" applyAlignment="1">
      <alignment horizontal="center" vertical="center" wrapText="1"/>
    </xf>
    <xf numFmtId="0" fontId="64" fillId="0" borderId="0" xfId="34" applyFont="1" applyAlignment="1">
      <alignment horizontal="center" vertical="center"/>
    </xf>
    <xf numFmtId="0" fontId="66" fillId="15" borderId="0" xfId="34" applyFont="1" applyFill="1" applyAlignment="1">
      <alignment horizontal="center" vertical="center"/>
    </xf>
    <xf numFmtId="0" fontId="67" fillId="15" borderId="0" xfId="34" applyFont="1" applyFill="1" applyAlignment="1">
      <alignment horizontal="left" vertical="center" wrapText="1"/>
    </xf>
    <xf numFmtId="0" fontId="66" fillId="15" borderId="0" xfId="34" applyFont="1" applyFill="1" applyAlignment="1">
      <alignment horizontal="center" vertical="center" wrapText="1"/>
    </xf>
    <xf numFmtId="0" fontId="68" fillId="0" borderId="0" xfId="34" applyFont="1" applyAlignment="1">
      <alignment horizontal="center" vertical="center"/>
    </xf>
    <xf numFmtId="0" fontId="77" fillId="0" borderId="0" xfId="34" applyFont="1" applyAlignment="1">
      <alignment horizontal="center" vertical="center"/>
    </xf>
    <xf numFmtId="0" fontId="67" fillId="0" borderId="0" xfId="34" applyFont="1" applyAlignment="1">
      <alignment horizontal="left" vertical="center" wrapText="1"/>
    </xf>
    <xf numFmtId="0" fontId="67" fillId="15" borderId="0" xfId="34" applyFont="1" applyFill="1" applyAlignment="1">
      <alignment horizontal="left" vertical="top" wrapText="1"/>
    </xf>
    <xf numFmtId="0" fontId="64" fillId="15" borderId="0" xfId="34" applyFont="1" applyFill="1" applyAlignment="1">
      <alignment horizontal="left" vertical="center" wrapText="1"/>
    </xf>
    <xf numFmtId="0" fontId="67" fillId="15" borderId="0" xfId="34" applyFont="1" applyFill="1" applyAlignment="1">
      <alignment horizontal="center"/>
    </xf>
    <xf numFmtId="0" fontId="68" fillId="15" borderId="0" xfId="34" applyFont="1" applyFill="1" applyAlignment="1">
      <alignment horizontal="center"/>
    </xf>
    <xf numFmtId="0" fontId="68" fillId="15" borderId="0" xfId="34" applyFont="1" applyFill="1" applyAlignment="1">
      <alignment horizontal="center" vertical="center"/>
    </xf>
    <xf numFmtId="0" fontId="64" fillId="0" borderId="0" xfId="0" applyFont="1" applyAlignment="1">
      <alignment horizontal="center" wrapText="1"/>
    </xf>
    <xf numFmtId="0" fontId="72" fillId="16" borderId="73" xfId="36" applyFont="1" applyFill="1" applyBorder="1" applyAlignment="1">
      <alignment horizontal="center" vertical="center"/>
    </xf>
    <xf numFmtId="0" fontId="24" fillId="17" borderId="40" xfId="36" applyFont="1" applyFill="1" applyBorder="1" applyAlignment="1">
      <alignment horizontal="center" vertical="center"/>
    </xf>
    <xf numFmtId="0" fontId="24" fillId="17" borderId="72" xfId="36" applyFont="1" applyFill="1" applyBorder="1" applyAlignment="1">
      <alignment horizontal="center" vertical="center"/>
    </xf>
    <xf numFmtId="0" fontId="24" fillId="17" borderId="71" xfId="36" applyFont="1" applyFill="1" applyBorder="1" applyAlignment="1">
      <alignment horizontal="center" vertical="center"/>
    </xf>
    <xf numFmtId="0" fontId="24" fillId="18" borderId="40" xfId="36" applyFont="1" applyFill="1" applyBorder="1" applyAlignment="1">
      <alignment horizontal="left" vertical="center"/>
    </xf>
    <xf numFmtId="0" fontId="24" fillId="18" borderId="72" xfId="36" applyFont="1" applyFill="1" applyBorder="1" applyAlignment="1">
      <alignment horizontal="left" vertical="center"/>
    </xf>
    <xf numFmtId="0" fontId="24" fillId="18" borderId="71" xfId="36" applyFont="1" applyFill="1" applyBorder="1" applyAlignment="1">
      <alignment horizontal="left" vertical="center"/>
    </xf>
    <xf numFmtId="0" fontId="74" fillId="16" borderId="40" xfId="0" applyFont="1" applyFill="1" applyBorder="1" applyAlignment="1">
      <alignment horizontal="center" vertical="center" wrapText="1"/>
    </xf>
    <xf numFmtId="0" fontId="74" fillId="16" borderId="72" xfId="0" applyFont="1" applyFill="1" applyBorder="1" applyAlignment="1">
      <alignment horizontal="center" vertical="center" wrapText="1"/>
    </xf>
    <xf numFmtId="0" fontId="45" fillId="0" borderId="36" xfId="0" applyFont="1" applyBorder="1" applyAlignment="1">
      <alignment horizontal="center"/>
    </xf>
    <xf numFmtId="0" fontId="45" fillId="0" borderId="37" xfId="0" applyFont="1" applyBorder="1" applyAlignment="1">
      <alignment horizontal="center"/>
    </xf>
    <xf numFmtId="0" fontId="46" fillId="0" borderId="35" xfId="0" applyFont="1" applyBorder="1" applyAlignment="1">
      <alignment horizontal="center" vertical="center"/>
    </xf>
    <xf numFmtId="0" fontId="46" fillId="0" borderId="36" xfId="0" applyFont="1" applyBorder="1" applyAlignment="1">
      <alignment horizontal="center" vertical="center"/>
    </xf>
    <xf numFmtId="0" fontId="46" fillId="0" borderId="92" xfId="0" applyFont="1" applyBorder="1" applyAlignment="1">
      <alignment horizontal="center" vertical="center"/>
    </xf>
    <xf numFmtId="0" fontId="46" fillId="0" borderId="110" xfId="0" applyFont="1" applyBorder="1" applyAlignment="1">
      <alignment horizontal="center" vertical="center"/>
    </xf>
    <xf numFmtId="0" fontId="21" fillId="0" borderId="35"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37" xfId="0" applyFont="1" applyBorder="1" applyAlignment="1">
      <alignment horizontal="center" vertical="center" wrapText="1"/>
    </xf>
    <xf numFmtId="0" fontId="21" fillId="0" borderId="107" xfId="0" applyFont="1" applyBorder="1" applyAlignment="1">
      <alignment horizontal="center" vertical="center" wrapText="1"/>
    </xf>
    <xf numFmtId="0" fontId="21" fillId="0" borderId="0" xfId="0" applyFont="1" applyAlignment="1">
      <alignment horizontal="center" vertical="center" wrapText="1"/>
    </xf>
    <xf numFmtId="0" fontId="21" fillId="0" borderId="38" xfId="0" applyFont="1" applyBorder="1" applyAlignment="1">
      <alignment horizontal="center" vertical="center" wrapText="1"/>
    </xf>
    <xf numFmtId="0" fontId="21" fillId="0" borderId="92" xfId="0" applyFont="1" applyBorder="1" applyAlignment="1">
      <alignment horizontal="center" vertical="center" wrapText="1"/>
    </xf>
    <xf numFmtId="0" fontId="21" fillId="0" borderId="110" xfId="0" applyFont="1" applyBorder="1" applyAlignment="1">
      <alignment horizontal="center" vertical="center" wrapText="1"/>
    </xf>
    <xf numFmtId="0" fontId="21" fillId="0" borderId="93" xfId="0" applyFont="1" applyBorder="1" applyAlignment="1">
      <alignment horizontal="center" vertical="center" wrapText="1"/>
    </xf>
    <xf numFmtId="0" fontId="45" fillId="0" borderId="107" xfId="0" applyFont="1" applyBorder="1" applyAlignment="1">
      <alignment horizontal="center"/>
    </xf>
    <xf numFmtId="0" fontId="45" fillId="0" borderId="0" xfId="0" applyFont="1" applyAlignment="1">
      <alignment horizontal="center"/>
    </xf>
    <xf numFmtId="0" fontId="45" fillId="0" borderId="38" xfId="0" applyFont="1" applyBorder="1" applyAlignment="1">
      <alignment horizontal="center"/>
    </xf>
    <xf numFmtId="0" fontId="47" fillId="0" borderId="34" xfId="0" applyFont="1" applyBorder="1" applyAlignment="1">
      <alignment horizontal="center" vertical="center" wrapText="1"/>
    </xf>
    <xf numFmtId="0" fontId="47" fillId="0" borderId="90" xfId="0" applyFont="1" applyBorder="1" applyAlignment="1">
      <alignment horizontal="center" vertical="center" wrapText="1"/>
    </xf>
    <xf numFmtId="0" fontId="22" fillId="0" borderId="115" xfId="0" applyFont="1" applyBorder="1" applyAlignment="1">
      <alignment horizontal="center"/>
    </xf>
    <xf numFmtId="0" fontId="22" fillId="0" borderId="116" xfId="0" applyFont="1" applyBorder="1"/>
    <xf numFmtId="0" fontId="22" fillId="0" borderId="117" xfId="0" applyFont="1" applyBorder="1"/>
    <xf numFmtId="0" fontId="21" fillId="10" borderId="35" xfId="0" applyFont="1" applyFill="1" applyBorder="1" applyAlignment="1">
      <alignment horizontal="center" vertical="center"/>
    </xf>
    <xf numFmtId="0" fontId="21" fillId="10" borderId="118" xfId="0" applyFont="1" applyFill="1" applyBorder="1" applyAlignment="1">
      <alignment horizontal="center" vertical="center"/>
    </xf>
    <xf numFmtId="0" fontId="21" fillId="10" borderId="92" xfId="0" applyFont="1" applyFill="1" applyBorder="1" applyAlignment="1">
      <alignment horizontal="center" vertical="center"/>
    </xf>
    <xf numFmtId="0" fontId="21" fillId="10" borderId="125" xfId="0" applyFont="1" applyFill="1" applyBorder="1" applyAlignment="1">
      <alignment horizontal="center" vertical="center"/>
    </xf>
    <xf numFmtId="0" fontId="48" fillId="11" borderId="119" xfId="0" applyFont="1" applyFill="1" applyBorder="1" applyAlignment="1">
      <alignment horizontal="center" vertical="center"/>
    </xf>
    <xf numFmtId="0" fontId="22" fillId="0" borderId="120" xfId="0" applyFont="1" applyBorder="1"/>
    <xf numFmtId="0" fontId="22" fillId="0" borderId="121" xfId="0" applyFont="1" applyBorder="1"/>
    <xf numFmtId="183" fontId="49" fillId="11" borderId="122" xfId="0" applyNumberFormat="1" applyFont="1" applyFill="1" applyBorder="1" applyAlignment="1">
      <alignment horizontal="center" vertical="center" wrapText="1"/>
    </xf>
    <xf numFmtId="0" fontId="22" fillId="0" borderId="123" xfId="0" applyFont="1" applyBorder="1"/>
    <xf numFmtId="0" fontId="22" fillId="0" borderId="124" xfId="0" applyFont="1" applyBorder="1"/>
    <xf numFmtId="0" fontId="22" fillId="0" borderId="131" xfId="0" applyFont="1" applyBorder="1"/>
    <xf numFmtId="0" fontId="22" fillId="0" borderId="132" xfId="0" applyFont="1" applyBorder="1"/>
    <xf numFmtId="0" fontId="22" fillId="0" borderId="133" xfId="0" applyFont="1" applyBorder="1"/>
    <xf numFmtId="0" fontId="50" fillId="12" borderId="127" xfId="0" applyFont="1" applyFill="1" applyBorder="1" applyAlignment="1">
      <alignment horizontal="center" vertical="center"/>
    </xf>
    <xf numFmtId="0" fontId="22" fillId="0" borderId="128" xfId="0" applyFont="1" applyBorder="1"/>
    <xf numFmtId="0" fontId="22" fillId="0" borderId="129" xfId="0" applyFont="1" applyBorder="1"/>
    <xf numFmtId="0" fontId="22" fillId="0" borderId="130" xfId="0" applyFont="1" applyBorder="1"/>
    <xf numFmtId="0" fontId="21" fillId="12" borderId="139" xfId="0" applyFont="1" applyFill="1" applyBorder="1" applyAlignment="1">
      <alignment horizontal="center" vertical="center"/>
    </xf>
    <xf numFmtId="0" fontId="22" fillId="0" borderId="140" xfId="0" applyFont="1" applyBorder="1"/>
    <xf numFmtId="0" fontId="22" fillId="0" borderId="142" xfId="0" applyFont="1" applyBorder="1" applyAlignment="1">
      <alignment horizontal="center" vertical="center" wrapText="1"/>
    </xf>
    <xf numFmtId="0" fontId="22" fillId="0" borderId="143" xfId="0" applyFont="1" applyBorder="1"/>
    <xf numFmtId="0" fontId="22" fillId="0" borderId="142" xfId="0" applyFont="1" applyBorder="1" applyAlignment="1">
      <alignment horizontal="center" vertical="center"/>
    </xf>
    <xf numFmtId="0" fontId="56" fillId="0" borderId="142" xfId="0" applyFont="1" applyBorder="1" applyAlignment="1">
      <alignment horizontal="center" vertical="center" wrapText="1"/>
    </xf>
    <xf numFmtId="0" fontId="21" fillId="12" borderId="134" xfId="0" applyFont="1" applyFill="1" applyBorder="1" applyAlignment="1">
      <alignment horizontal="center" vertical="center"/>
    </xf>
    <xf numFmtId="0" fontId="22" fillId="0" borderId="135" xfId="0" applyFont="1" applyBorder="1"/>
    <xf numFmtId="0" fontId="21" fillId="0" borderId="119" xfId="0" applyFont="1" applyBorder="1" applyAlignment="1">
      <alignment horizontal="center" vertical="center" wrapText="1"/>
    </xf>
    <xf numFmtId="0" fontId="22" fillId="0" borderId="120" xfId="0" applyFont="1" applyBorder="1" applyAlignment="1">
      <alignment vertical="center"/>
    </xf>
    <xf numFmtId="0" fontId="22" fillId="0" borderId="135" xfId="0" applyFont="1" applyBorder="1" applyAlignment="1">
      <alignment vertical="center"/>
    </xf>
    <xf numFmtId="0" fontId="51" fillId="0" borderId="119" xfId="0" applyFont="1" applyBorder="1" applyAlignment="1">
      <alignment horizontal="center" vertical="center" wrapText="1"/>
    </xf>
    <xf numFmtId="0" fontId="22" fillId="0" borderId="120" xfId="0" applyFont="1" applyBorder="1" applyAlignment="1">
      <alignment vertical="center" wrapText="1"/>
    </xf>
    <xf numFmtId="0" fontId="22" fillId="0" borderId="135" xfId="0" applyFont="1" applyBorder="1" applyAlignment="1">
      <alignment vertical="center" wrapText="1"/>
    </xf>
    <xf numFmtId="0" fontId="51" fillId="0" borderId="119" xfId="0" applyFont="1" applyBorder="1" applyAlignment="1">
      <alignment horizontal="center" vertical="top" wrapText="1"/>
    </xf>
    <xf numFmtId="0" fontId="22" fillId="0" borderId="120" xfId="0" applyFont="1" applyBorder="1" applyAlignment="1">
      <alignment wrapText="1"/>
    </xf>
    <xf numFmtId="0" fontId="22" fillId="0" borderId="135" xfId="0" applyFont="1" applyBorder="1" applyAlignment="1">
      <alignment wrapText="1"/>
    </xf>
    <xf numFmtId="185" fontId="21" fillId="0" borderId="142" xfId="0" applyNumberFormat="1" applyFont="1" applyBorder="1" applyAlignment="1">
      <alignment horizontal="center" vertical="center"/>
    </xf>
    <xf numFmtId="0" fontId="21" fillId="0" borderId="143" xfId="0" applyFont="1" applyBorder="1"/>
    <xf numFmtId="0" fontId="21" fillId="0" borderId="140" xfId="0" applyFont="1" applyBorder="1"/>
    <xf numFmtId="0" fontId="43" fillId="0" borderId="142" xfId="33" applyBorder="1" applyAlignment="1">
      <alignment horizontal="center" vertical="center" wrapText="1"/>
    </xf>
    <xf numFmtId="0" fontId="49" fillId="0" borderId="122" xfId="0" applyFont="1" applyBorder="1" applyAlignment="1">
      <alignment horizontal="center" vertical="center"/>
    </xf>
    <xf numFmtId="0" fontId="21" fillId="13" borderId="145" xfId="0" applyFont="1" applyFill="1" applyBorder="1" applyAlignment="1">
      <alignment horizontal="center" vertical="center"/>
    </xf>
    <xf numFmtId="0" fontId="21" fillId="13" borderId="71" xfId="0" applyFont="1" applyFill="1" applyBorder="1" applyAlignment="1">
      <alignment horizontal="center" vertical="center"/>
    </xf>
    <xf numFmtId="185" fontId="22" fillId="0" borderId="142" xfId="0" applyNumberFormat="1" applyFont="1" applyBorder="1" applyAlignment="1">
      <alignment horizontal="center" vertical="center"/>
    </xf>
    <xf numFmtId="185" fontId="22" fillId="0" borderId="143" xfId="0" applyNumberFormat="1" applyFont="1" applyBorder="1" applyAlignment="1">
      <alignment horizontal="center" vertical="center"/>
    </xf>
    <xf numFmtId="185" fontId="22" fillId="0" borderId="140" xfId="0" applyNumberFormat="1" applyFont="1" applyBorder="1" applyAlignment="1">
      <alignment horizontal="center" vertical="center"/>
    </xf>
    <xf numFmtId="0" fontId="21" fillId="12" borderId="147" xfId="0" applyFont="1" applyFill="1" applyBorder="1" applyAlignment="1">
      <alignment horizontal="center" vertical="center"/>
    </xf>
    <xf numFmtId="0" fontId="22" fillId="0" borderId="127" xfId="0" applyFont="1" applyBorder="1" applyAlignment="1">
      <alignment horizontal="center" vertical="center"/>
    </xf>
    <xf numFmtId="14" fontId="22" fillId="0" borderId="127" xfId="0" applyNumberFormat="1" applyFont="1" applyBorder="1" applyAlignment="1">
      <alignment horizontal="center" vertical="center" wrapText="1"/>
    </xf>
    <xf numFmtId="14" fontId="22" fillId="0" borderId="128" xfId="0" applyNumberFormat="1" applyFont="1" applyBorder="1" applyAlignment="1">
      <alignment horizontal="center" vertical="center" wrapText="1"/>
    </xf>
    <xf numFmtId="14" fontId="22" fillId="0" borderId="129" xfId="0" applyNumberFormat="1" applyFont="1" applyBorder="1" applyAlignment="1">
      <alignment horizontal="center" vertical="center" wrapText="1"/>
    </xf>
    <xf numFmtId="0" fontId="21" fillId="11" borderId="105" xfId="0" applyFont="1" applyFill="1" applyBorder="1" applyAlignment="1">
      <alignment horizontal="center" vertical="center"/>
    </xf>
    <xf numFmtId="0" fontId="22" fillId="0" borderId="101" xfId="0" applyFont="1" applyBorder="1"/>
    <xf numFmtId="0" fontId="22" fillId="0" borderId="102" xfId="0" applyFont="1" applyBorder="1"/>
    <xf numFmtId="0" fontId="21" fillId="11" borderId="149" xfId="0" applyFont="1" applyFill="1" applyBorder="1" applyAlignment="1">
      <alignment horizontal="center" vertical="center"/>
    </xf>
    <xf numFmtId="0" fontId="22" fillId="0" borderId="4" xfId="0" applyFont="1" applyBorder="1"/>
    <xf numFmtId="0" fontId="22" fillId="0" borderId="103" xfId="0" applyFont="1" applyBorder="1"/>
    <xf numFmtId="0" fontId="51" fillId="12" borderId="149" xfId="0" applyFont="1" applyFill="1" applyBorder="1" applyAlignment="1">
      <alignment horizontal="center" vertical="center" wrapText="1"/>
    </xf>
    <xf numFmtId="0" fontId="51" fillId="12" borderId="149" xfId="0" applyFont="1" applyFill="1" applyBorder="1" applyAlignment="1">
      <alignment horizontal="center" vertical="center"/>
    </xf>
    <xf numFmtId="0" fontId="22" fillId="0" borderId="149" xfId="0" applyFont="1" applyBorder="1"/>
    <xf numFmtId="0" fontId="51" fillId="11" borderId="149" xfId="0" applyFont="1" applyFill="1" applyBorder="1" applyAlignment="1">
      <alignment horizontal="center" vertical="center" wrapText="1"/>
    </xf>
    <xf numFmtId="0" fontId="22" fillId="0" borderId="106" xfId="0" applyFont="1" applyBorder="1"/>
    <xf numFmtId="0" fontId="22" fillId="0" borderId="39" xfId="0" applyFont="1" applyBorder="1"/>
    <xf numFmtId="0" fontId="51" fillId="12" borderId="4" xfId="0" applyFont="1" applyFill="1" applyBorder="1" applyAlignment="1">
      <alignment horizontal="center" vertical="center" wrapText="1"/>
    </xf>
    <xf numFmtId="0" fontId="51" fillId="12" borderId="4" xfId="0" applyFont="1" applyFill="1" applyBorder="1" applyAlignment="1">
      <alignment horizontal="center" wrapText="1"/>
    </xf>
    <xf numFmtId="4" fontId="62" fillId="14" borderId="73" xfId="0" applyNumberFormat="1" applyFont="1" applyFill="1" applyBorder="1" applyAlignment="1">
      <alignment horizontal="center" vertical="center"/>
    </xf>
    <xf numFmtId="0" fontId="22" fillId="0" borderId="73" xfId="0" applyFont="1" applyBorder="1"/>
    <xf numFmtId="0" fontId="22" fillId="0" borderId="100" xfId="0" applyFont="1" applyBorder="1"/>
    <xf numFmtId="0" fontId="51" fillId="11" borderId="4" xfId="0" applyFont="1" applyFill="1" applyBorder="1" applyAlignment="1">
      <alignment horizontal="center" vertical="center" wrapText="1"/>
    </xf>
    <xf numFmtId="0" fontId="22" fillId="0" borderId="104" xfId="0" applyFont="1" applyBorder="1"/>
    <xf numFmtId="0" fontId="75" fillId="0" borderId="169" xfId="0" applyFont="1" applyBorder="1" applyAlignment="1">
      <alignment horizontal="right" vertical="center"/>
    </xf>
    <xf numFmtId="0" fontId="75" fillId="0" borderId="170" xfId="0" applyFont="1" applyBorder="1" applyAlignment="1">
      <alignment horizontal="right" vertical="center"/>
    </xf>
    <xf numFmtId="0" fontId="75" fillId="0" borderId="171" xfId="0" applyFont="1" applyBorder="1" applyAlignment="1">
      <alignment horizontal="right" vertical="center"/>
    </xf>
    <xf numFmtId="0" fontId="18" fillId="0" borderId="177" xfId="0" applyFont="1" applyBorder="1" applyAlignment="1">
      <alignment horizontal="center" vertical="center"/>
    </xf>
    <xf numFmtId="0" fontId="18" fillId="0" borderId="178" xfId="0" applyFont="1" applyBorder="1" applyAlignment="1">
      <alignment horizontal="center" vertical="center"/>
    </xf>
    <xf numFmtId="0" fontId="18" fillId="0" borderId="179" xfId="0" applyFont="1" applyBorder="1" applyAlignment="1">
      <alignment horizontal="center" vertical="center"/>
    </xf>
    <xf numFmtId="0" fontId="18" fillId="0" borderId="155" xfId="0" applyFont="1" applyBorder="1" applyAlignment="1">
      <alignment horizontal="center" vertical="center"/>
    </xf>
    <xf numFmtId="0" fontId="18" fillId="0" borderId="168" xfId="0" applyFont="1" applyBorder="1" applyAlignment="1">
      <alignment horizontal="center" vertical="center"/>
    </xf>
    <xf numFmtId="0" fontId="18" fillId="0" borderId="99" xfId="0" applyFont="1" applyBorder="1" applyAlignment="1">
      <alignment horizontal="center" vertical="center"/>
    </xf>
    <xf numFmtId="0" fontId="18" fillId="0" borderId="7" xfId="0" applyFont="1" applyBorder="1" applyAlignment="1">
      <alignment horizontal="left" vertical="center"/>
    </xf>
    <xf numFmtId="0" fontId="18" fillId="0" borderId="8" xfId="0" applyFont="1" applyBorder="1" applyAlignment="1">
      <alignment horizontal="left" vertical="center"/>
    </xf>
    <xf numFmtId="0" fontId="18" fillId="0" borderId="84" xfId="0" applyFont="1" applyBorder="1" applyAlignment="1">
      <alignment horizontal="left" vertical="center"/>
    </xf>
    <xf numFmtId="0" fontId="18" fillId="0" borderId="80" xfId="0" applyFont="1" applyBorder="1" applyAlignment="1">
      <alignment horizontal="left" vertical="center"/>
    </xf>
    <xf numFmtId="0" fontId="18" fillId="0" borderId="0" xfId="0" applyFont="1" applyAlignment="1">
      <alignment horizontal="left" vertical="center"/>
    </xf>
    <xf numFmtId="0" fontId="18" fillId="0" borderId="11" xfId="0" applyFont="1" applyBorder="1" applyAlignment="1">
      <alignment horizontal="left" vertical="center"/>
    </xf>
    <xf numFmtId="0" fontId="18" fillId="0" borderId="30" xfId="0" applyFont="1" applyBorder="1" applyAlignment="1">
      <alignment horizontal="left" vertical="center"/>
    </xf>
    <xf numFmtId="0" fontId="18" fillId="0" borderId="12" xfId="0" applyFont="1" applyBorder="1" applyAlignment="1">
      <alignment horizontal="left" vertical="center"/>
    </xf>
    <xf numFmtId="0" fontId="18" fillId="0" borderId="32" xfId="0" applyFont="1" applyBorder="1" applyAlignment="1">
      <alignment horizontal="left" vertical="center"/>
    </xf>
    <xf numFmtId="0" fontId="63" fillId="15" borderId="0" xfId="0" applyFont="1" applyFill="1" applyAlignment="1">
      <alignment horizontal="center" vertical="center"/>
    </xf>
    <xf numFmtId="0" fontId="42" fillId="0" borderId="0" xfId="0" applyFont="1" applyAlignment="1">
      <alignment horizontal="center" vertical="center" wrapText="1"/>
    </xf>
    <xf numFmtId="0" fontId="22" fillId="15" borderId="0" xfId="0" applyFont="1" applyFill="1" applyAlignment="1" applyProtection="1">
      <alignment horizontal="center" vertical="center"/>
      <protection locked="0"/>
    </xf>
    <xf numFmtId="0" fontId="75" fillId="3" borderId="180" xfId="0" applyFont="1" applyFill="1" applyBorder="1" applyAlignment="1">
      <alignment horizontal="center" vertical="center"/>
    </xf>
    <xf numFmtId="0" fontId="75" fillId="3" borderId="181" xfId="0" applyFont="1" applyFill="1" applyBorder="1" applyAlignment="1">
      <alignment horizontal="center" vertical="center"/>
    </xf>
    <xf numFmtId="0" fontId="75" fillId="3" borderId="182" xfId="0" applyFont="1" applyFill="1" applyBorder="1" applyAlignment="1">
      <alignment horizontal="center" vertical="center"/>
    </xf>
    <xf numFmtId="0" fontId="42" fillId="15" borderId="0" xfId="0" applyFont="1" applyFill="1" applyAlignment="1">
      <alignment horizontal="right" vertical="center"/>
    </xf>
    <xf numFmtId="0" fontId="86" fillId="15" borderId="0" xfId="0" applyFont="1" applyFill="1" applyAlignment="1">
      <alignment horizontal="right" vertical="center"/>
    </xf>
    <xf numFmtId="0" fontId="86" fillId="15" borderId="0" xfId="0" applyFont="1" applyFill="1" applyAlignment="1">
      <alignment vertical="center"/>
    </xf>
    <xf numFmtId="0" fontId="22" fillId="15" borderId="0" xfId="0" applyFont="1" applyFill="1" applyAlignment="1">
      <alignment horizontal="center" vertical="center"/>
    </xf>
    <xf numFmtId="0" fontId="86" fillId="15" borderId="0" xfId="0" applyFont="1" applyFill="1" applyAlignment="1">
      <alignment horizontal="left" vertical="center"/>
    </xf>
    <xf numFmtId="0" fontId="42" fillId="15" borderId="0" xfId="0" applyFont="1" applyFill="1" applyAlignment="1">
      <alignment horizontal="left" vertical="center"/>
    </xf>
    <xf numFmtId="0" fontId="18" fillId="0" borderId="40" xfId="0" applyFont="1" applyBorder="1" applyAlignment="1">
      <alignment horizontal="left" vertical="center"/>
    </xf>
    <xf numFmtId="0" fontId="18" fillId="0" borderId="72" xfId="0" applyFont="1" applyBorder="1" applyAlignment="1">
      <alignment horizontal="left" vertical="center"/>
    </xf>
    <xf numFmtId="0" fontId="18" fillId="0" borderId="71" xfId="0" applyFont="1" applyBorder="1" applyAlignment="1">
      <alignment horizontal="left" vertical="center"/>
    </xf>
    <xf numFmtId="0" fontId="75" fillId="3" borderId="173" xfId="0" applyFont="1" applyFill="1" applyBorder="1" applyAlignment="1">
      <alignment horizontal="right" vertical="center"/>
    </xf>
    <xf numFmtId="0" fontId="75" fillId="3" borderId="174" xfId="0" applyFont="1" applyFill="1" applyBorder="1" applyAlignment="1">
      <alignment horizontal="right" vertical="center"/>
    </xf>
    <xf numFmtId="0" fontId="75" fillId="3" borderId="175" xfId="0" applyFont="1" applyFill="1" applyBorder="1" applyAlignment="1">
      <alignment horizontal="right" vertical="center"/>
    </xf>
    <xf numFmtId="0" fontId="75" fillId="15" borderId="0" xfId="0" applyFont="1" applyFill="1" applyAlignment="1">
      <alignment horizontal="center" vertical="center"/>
    </xf>
    <xf numFmtId="0" fontId="44" fillId="15" borderId="0" xfId="0" applyFont="1" applyFill="1" applyAlignment="1">
      <alignment horizontal="left" vertical="center"/>
    </xf>
    <xf numFmtId="0" fontId="44" fillId="15" borderId="0" xfId="0" applyFont="1" applyFill="1" applyAlignment="1">
      <alignment horizontal="left" vertical="center" wrapText="1"/>
    </xf>
    <xf numFmtId="0" fontId="18" fillId="15" borderId="0" xfId="0" applyFont="1" applyFill="1" applyAlignment="1">
      <alignment horizontal="left" vertical="center"/>
    </xf>
    <xf numFmtId="0" fontId="0" fillId="0" borderId="0" xfId="0" applyAlignment="1">
      <alignment horizontal="center" vertical="center" wrapText="1"/>
    </xf>
    <xf numFmtId="0" fontId="42" fillId="15" borderId="0" xfId="0" applyFont="1" applyFill="1" applyAlignment="1">
      <alignment horizontal="center" vertical="center"/>
    </xf>
    <xf numFmtId="0" fontId="44" fillId="0" borderId="0" xfId="0" applyFont="1" applyAlignment="1">
      <alignment horizontal="left" vertical="center" wrapText="1"/>
    </xf>
    <xf numFmtId="0" fontId="42" fillId="0" borderId="0" xfId="0" applyFont="1" applyAlignment="1">
      <alignment horizontal="center" vertical="center"/>
    </xf>
    <xf numFmtId="0" fontId="0" fillId="0" borderId="0" xfId="0" applyAlignment="1">
      <alignment horizontal="center"/>
    </xf>
    <xf numFmtId="0" fontId="44" fillId="0" borderId="0" xfId="0" applyFont="1" applyAlignment="1">
      <alignment vertical="center" wrapText="1"/>
    </xf>
    <xf numFmtId="0" fontId="78" fillId="18" borderId="0" xfId="0" applyFont="1" applyFill="1" applyAlignment="1">
      <alignment horizontal="center" vertical="top" wrapText="1"/>
    </xf>
    <xf numFmtId="0" fontId="24" fillId="18" borderId="0" xfId="0" applyFont="1" applyFill="1" applyAlignment="1">
      <alignment horizontal="center" wrapText="1"/>
    </xf>
    <xf numFmtId="0" fontId="66" fillId="0" borderId="105" xfId="0" applyFont="1" applyBorder="1" applyAlignment="1">
      <alignment horizontal="center" vertical="center"/>
    </xf>
    <xf numFmtId="0" fontId="66" fillId="0" borderId="102" xfId="0" applyFont="1" applyBorder="1" applyAlignment="1">
      <alignment horizontal="center" vertical="center"/>
    </xf>
    <xf numFmtId="0" fontId="24" fillId="19" borderId="106" xfId="0" applyFont="1" applyFill="1" applyBorder="1" applyAlignment="1">
      <alignment horizontal="left" vertical="center" wrapText="1"/>
    </xf>
    <xf numFmtId="0" fontId="24" fillId="19" borderId="104" xfId="0" applyFont="1" applyFill="1" applyBorder="1" applyAlignment="1">
      <alignment horizontal="left" vertical="center" wrapText="1"/>
    </xf>
    <xf numFmtId="4" fontId="73" fillId="19" borderId="158" xfId="0" applyNumberFormat="1" applyFont="1" applyFill="1" applyBorder="1" applyAlignment="1">
      <alignment horizontal="center" vertical="center"/>
    </xf>
    <xf numFmtId="4" fontId="73" fillId="19" borderId="160" xfId="0" applyNumberFormat="1" applyFont="1" applyFill="1" applyBorder="1" applyAlignment="1">
      <alignment horizontal="center" vertical="center"/>
    </xf>
    <xf numFmtId="10" fontId="73" fillId="0" borderId="106" xfId="0" applyNumberFormat="1" applyFont="1" applyBorder="1" applyAlignment="1">
      <alignment horizontal="center" vertical="center"/>
    </xf>
    <xf numFmtId="10" fontId="73" fillId="0" borderId="104" xfId="0" applyNumberFormat="1" applyFont="1" applyBorder="1" applyAlignment="1">
      <alignment horizontal="center" vertical="center"/>
    </xf>
    <xf numFmtId="0" fontId="64" fillId="0" borderId="0" xfId="0" applyFont="1" applyAlignment="1">
      <alignment horizontal="center"/>
    </xf>
    <xf numFmtId="0" fontId="78" fillId="18" borderId="110" xfId="0" applyFont="1" applyFill="1" applyBorder="1" applyAlignment="1">
      <alignment horizontal="center" vertical="top" wrapText="1"/>
    </xf>
    <xf numFmtId="0" fontId="82" fillId="16" borderId="105" xfId="0" applyFont="1" applyFill="1" applyBorder="1" applyAlignment="1">
      <alignment horizontal="center" vertical="center"/>
    </xf>
    <xf numFmtId="0" fontId="82" fillId="16" borderId="155" xfId="0" applyFont="1" applyFill="1" applyBorder="1" applyAlignment="1">
      <alignment horizontal="center" vertical="center"/>
    </xf>
    <xf numFmtId="0" fontId="82" fillId="16" borderId="149" xfId="0" applyFont="1" applyFill="1" applyBorder="1" applyAlignment="1">
      <alignment horizontal="center" vertical="center"/>
    </xf>
    <xf numFmtId="0" fontId="82" fillId="16" borderId="69" xfId="0" applyFont="1" applyFill="1" applyBorder="1" applyAlignment="1">
      <alignment horizontal="center" vertical="center"/>
    </xf>
    <xf numFmtId="0" fontId="82" fillId="16" borderId="153" xfId="0" applyFont="1" applyFill="1" applyBorder="1" applyAlignment="1">
      <alignment horizontal="center" vertical="center"/>
    </xf>
    <xf numFmtId="0" fontId="82" fillId="16" borderId="154" xfId="0" applyFont="1" applyFill="1" applyBorder="1" applyAlignment="1">
      <alignment horizontal="center" vertical="center"/>
    </xf>
    <xf numFmtId="0" fontId="82" fillId="16" borderId="149" xfId="0" applyFont="1" applyFill="1" applyBorder="1" applyAlignment="1">
      <alignment horizontal="center" vertical="center" wrapText="1"/>
    </xf>
    <xf numFmtId="0" fontId="82" fillId="16" borderId="69" xfId="0" applyFont="1" applyFill="1" applyBorder="1" applyAlignment="1">
      <alignment horizontal="center" vertical="center" wrapText="1"/>
    </xf>
    <xf numFmtId="0" fontId="82" fillId="16" borderId="106" xfId="0" applyFont="1" applyFill="1" applyBorder="1" applyAlignment="1">
      <alignment horizontal="center" vertical="center"/>
    </xf>
    <xf numFmtId="0" fontId="82" fillId="16" borderId="156" xfId="0" applyFont="1" applyFill="1" applyBorder="1" applyAlignment="1">
      <alignment horizontal="center" vertical="center"/>
    </xf>
    <xf numFmtId="0" fontId="24" fillId="19" borderId="106" xfId="0" applyFont="1" applyFill="1" applyBorder="1" applyAlignment="1">
      <alignment horizontal="left" vertical="center"/>
    </xf>
    <xf numFmtId="0" fontId="24" fillId="19" borderId="104" xfId="0" applyFont="1" applyFill="1" applyBorder="1" applyAlignment="1">
      <alignment horizontal="left" vertical="center"/>
    </xf>
    <xf numFmtId="0" fontId="24" fillId="0" borderId="106" xfId="0" applyFont="1" applyBorder="1" applyAlignment="1">
      <alignment horizontal="left" vertical="center" wrapText="1"/>
    </xf>
    <xf numFmtId="0" fontId="24" fillId="0" borderId="104" xfId="0" applyFont="1" applyBorder="1" applyAlignment="1">
      <alignment horizontal="left" vertical="center" wrapText="1"/>
    </xf>
    <xf numFmtId="4" fontId="73" fillId="0" borderId="158" xfId="0" applyNumberFormat="1" applyFont="1" applyBorder="1" applyAlignment="1">
      <alignment horizontal="center" vertical="center"/>
    </xf>
    <xf numFmtId="4" fontId="73" fillId="0" borderId="160" xfId="0" applyNumberFormat="1" applyFont="1" applyBorder="1" applyAlignment="1">
      <alignment horizontal="center" vertical="center"/>
    </xf>
    <xf numFmtId="0" fontId="82" fillId="16" borderId="161" xfId="0" applyFont="1" applyFill="1" applyBorder="1" applyAlignment="1">
      <alignment horizontal="center" vertical="center"/>
    </xf>
    <xf numFmtId="0" fontId="82" fillId="16" borderId="32" xfId="0" applyFont="1" applyFill="1" applyBorder="1" applyAlignment="1">
      <alignment horizontal="center" vertical="center"/>
    </xf>
    <xf numFmtId="187" fontId="82" fillId="16" borderId="49" xfId="0" applyNumberFormat="1" applyFont="1" applyFill="1" applyBorder="1" applyAlignment="1">
      <alignment horizontal="center" vertical="center"/>
    </xf>
    <xf numFmtId="187" fontId="82" fillId="16" borderId="79" xfId="0" applyNumberFormat="1" applyFont="1" applyFill="1" applyBorder="1" applyAlignment="1">
      <alignment horizontal="center" vertical="center"/>
    </xf>
    <xf numFmtId="187" fontId="82" fillId="16" borderId="163" xfId="0" applyNumberFormat="1" applyFont="1" applyFill="1" applyBorder="1" applyAlignment="1">
      <alignment horizontal="center" vertical="center"/>
    </xf>
    <xf numFmtId="10" fontId="82" fillId="16" borderId="100" xfId="0" applyNumberFormat="1" applyFont="1" applyFill="1" applyBorder="1" applyAlignment="1">
      <alignment horizontal="center" vertical="center"/>
    </xf>
    <xf numFmtId="10" fontId="82" fillId="16" borderId="39" xfId="0" applyNumberFormat="1" applyFont="1" applyFill="1" applyBorder="1" applyAlignment="1">
      <alignment horizontal="center" vertical="center"/>
    </xf>
    <xf numFmtId="10" fontId="82" fillId="16" borderId="104" xfId="0" applyNumberFormat="1" applyFont="1" applyFill="1" applyBorder="1" applyAlignment="1">
      <alignment horizontal="center" vertical="center"/>
    </xf>
    <xf numFmtId="0" fontId="82" fillId="16" borderId="145" xfId="0" applyFont="1" applyFill="1" applyBorder="1" applyAlignment="1">
      <alignment horizontal="center" vertical="center"/>
    </xf>
    <xf numFmtId="0" fontId="82" fillId="16" borderId="71" xfId="0" applyFont="1" applyFill="1" applyBorder="1" applyAlignment="1">
      <alignment horizontal="center" vertical="center"/>
    </xf>
    <xf numFmtId="0" fontId="82" fillId="16" borderId="162" xfId="0" applyFont="1" applyFill="1" applyBorder="1" applyAlignment="1">
      <alignment horizontal="center" vertical="center"/>
    </xf>
    <xf numFmtId="0" fontId="82" fillId="16" borderId="159" xfId="0" applyFont="1" applyFill="1" applyBorder="1" applyAlignment="1">
      <alignment horizontal="center" vertical="center"/>
    </xf>
  </cellXfs>
  <cellStyles count="40">
    <cellStyle name="Hiperlink" xfId="33" builtinId="8"/>
    <cellStyle name="Moeda" xfId="32" builtinId="4"/>
    <cellStyle name="Moeda 10" xfId="38" xr:uid="{FAC2D977-3B3D-411C-9B5A-0E66FBF32477}"/>
    <cellStyle name="Moeda 3" xfId="7" xr:uid="{110DAF4E-0BEC-4459-9461-C477CBF0CF9D}"/>
    <cellStyle name="Moeda 4" xfId="5" xr:uid="{F0718831-0C65-4F16-8452-53DBF5F15B40}"/>
    <cellStyle name="Normal" xfId="0" builtinId="0"/>
    <cellStyle name="Normal 17 2" xfId="6" xr:uid="{291EA541-D357-49AD-B25D-7D3EF2EC022B}"/>
    <cellStyle name="Normal 2" xfId="3" xr:uid="{D00A658E-D194-4ABD-A34E-B069C6248574}"/>
    <cellStyle name="Normal 2 2" xfId="23" xr:uid="{6B8AB546-F00A-4951-BF40-EF526759DF78}"/>
    <cellStyle name="Normal 2 2 2 2" xfId="9" xr:uid="{619F8793-1651-4A27-98DE-4936301EA19A}"/>
    <cellStyle name="Normal 210 2" xfId="35" xr:uid="{47302DAD-B2CA-4109-8D43-3D8576BD5310}"/>
    <cellStyle name="Normal 217" xfId="12" xr:uid="{5C1C7E5B-D3FB-417A-8724-4278A41E963F}"/>
    <cellStyle name="Normal 227" xfId="34" xr:uid="{153A1142-23D3-431C-BEA6-EBD609CEE014}"/>
    <cellStyle name="Normal 3" xfId="8" xr:uid="{D578C6AD-A505-4B08-A88D-0A315A77F091}"/>
    <cellStyle name="Normal 3 5" xfId="31" xr:uid="{027793BD-0C95-4164-8A3F-367B49B466AE}"/>
    <cellStyle name="Normal 4" xfId="14" xr:uid="{C5409362-B970-422C-ADBA-FCCDBDC96BB3}"/>
    <cellStyle name="Normal 59" xfId="19" xr:uid="{0F193C4B-4871-414B-91C3-9CB1D25E9C8F}"/>
    <cellStyle name="Normal 59 2" xfId="30" xr:uid="{FF3D79D9-712A-42BA-813C-7ABB64248130}"/>
    <cellStyle name="Normal 8 6 2" xfId="36" xr:uid="{BB62D632-EE8A-4299-9F53-BF644AC2E082}"/>
    <cellStyle name="Normal_Orçamento 610-611 2" xfId="20" xr:uid="{A4A179B6-AFDE-49AC-A1D7-1941135770D4}"/>
    <cellStyle name="Porcentagem" xfId="2" builtinId="5"/>
    <cellStyle name="Porcentagem 10 2" xfId="37" xr:uid="{0538B4F1-8E7A-4E29-B824-50B302F379AD}"/>
    <cellStyle name="Porcentagem 2" xfId="16" xr:uid="{970462C6-CC15-4A78-84CE-E488163686B0}"/>
    <cellStyle name="Porcentagem 2 2" xfId="28" xr:uid="{E406DB41-3BF0-449F-9545-4F6BCABAB7E6}"/>
    <cellStyle name="Separador de milhares 2 8" xfId="22" xr:uid="{5D0C401A-8A5E-4341-897A-71608CCC7160}"/>
    <cellStyle name="Vírgula" xfId="1" builtinId="3"/>
    <cellStyle name="Vírgula 17" xfId="24" xr:uid="{3ED204FB-40F3-46B4-9896-B195E6A5630F}"/>
    <cellStyle name="Vírgula 2" xfId="10" xr:uid="{7ABF7865-CFC9-4986-8AE7-F9D143966258}"/>
    <cellStyle name="Vírgula 2 15 3" xfId="39" xr:uid="{C2985C1D-5220-4E94-A897-2FE516C026AA}"/>
    <cellStyle name="Vírgula 2 2" xfId="13" xr:uid="{A2C48266-3F52-4CE6-B5AC-F8167DB7F9C7}"/>
    <cellStyle name="Vírgula 2 2 2" xfId="17" xr:uid="{4C892E00-9FB7-40D1-8575-691570A9CBC5}"/>
    <cellStyle name="Vírgula 2 2 2 2" xfId="29" xr:uid="{045B67DE-C071-4724-809D-2E653F6927D0}"/>
    <cellStyle name="Vírgula 2 2 3" xfId="26" xr:uid="{671462D0-AD74-4DB6-A235-EA8EF39E5DEF}"/>
    <cellStyle name="Vírgula 2 3" xfId="18" xr:uid="{57C0C60F-D758-481F-B61F-999A3241514C}"/>
    <cellStyle name="Vírgula 2 3 2" xfId="27" xr:uid="{370FD24D-8C28-4725-A28A-193A99712684}"/>
    <cellStyle name="Vírgula 2 4" xfId="25" xr:uid="{73A8292C-F963-43B0-82EB-8655E35C5BAA}"/>
    <cellStyle name="Vírgula 2 7" xfId="4" xr:uid="{48655867-4EC3-47F6-AAF1-87EF75A19EF4}"/>
    <cellStyle name="Vírgula 3" xfId="11" xr:uid="{4F952DDC-F8F0-4E35-A495-8C27BD06E606}"/>
    <cellStyle name="Vírgula 4" xfId="15" xr:uid="{63B5C8F1-F863-4354-9236-18B0C63E2170}"/>
    <cellStyle name="Vírgula 4 7" xfId="21" xr:uid="{9E976E45-7878-432C-AE52-399DC967AF7A}"/>
  </cellStyles>
  <dxfs count="17">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ill>
        <patternFill>
          <bgColor theme="7"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dxf>
    <dxf>
      <font>
        <b/>
        <i val="0"/>
      </font>
      <fill>
        <patternFill>
          <bgColor theme="3" tint="0.59996337778862885"/>
        </patternFill>
      </fill>
    </dxf>
    <dxf>
      <font>
        <color rgb="FF9C0006"/>
      </font>
      <fill>
        <patternFill>
          <bgColor rgb="FFFFC7CE"/>
        </patternFill>
      </fill>
    </dxf>
    <dxf>
      <font>
        <color rgb="FF9C0006"/>
      </font>
      <fill>
        <patternFill>
          <bgColor rgb="FFFFC7CE"/>
        </patternFill>
      </fill>
    </dxf>
    <dxf>
      <font>
        <b/>
        <i val="0"/>
      </font>
    </dxf>
    <dxf>
      <font>
        <b/>
        <i val="0"/>
      </font>
      <fill>
        <patternFill>
          <bgColor theme="3" tint="0.59996337778862885"/>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1.png"/><Relationship Id="rId1" Type="http://schemas.openxmlformats.org/officeDocument/2006/relationships/image" Target="../media/image3.png"/><Relationship Id="rId5" Type="http://schemas.openxmlformats.org/officeDocument/2006/relationships/image" Target="../media/image6.png"/><Relationship Id="rId4"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32655</xdr:colOff>
      <xdr:row>0</xdr:row>
      <xdr:rowOff>1</xdr:rowOff>
    </xdr:from>
    <xdr:to>
      <xdr:col>1</xdr:col>
      <xdr:colOff>1074614</xdr:colOff>
      <xdr:row>6</xdr:row>
      <xdr:rowOff>32565</xdr:rowOff>
    </xdr:to>
    <xdr:pic>
      <xdr:nvPicPr>
        <xdr:cNvPr id="2" name="Imagem 1">
          <a:extLst>
            <a:ext uri="{FF2B5EF4-FFF2-40B4-BE49-F238E27FC236}">
              <a16:creationId xmlns:a16="http://schemas.microsoft.com/office/drawing/2014/main" id="{C4B5332E-DEAE-4403-BCA2-F934025F275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655" y="1"/>
          <a:ext cx="1880485" cy="14002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59265</xdr:colOff>
      <xdr:row>0</xdr:row>
      <xdr:rowOff>12700</xdr:rowOff>
    </xdr:from>
    <xdr:to>
      <xdr:col>1</xdr:col>
      <xdr:colOff>1380067</xdr:colOff>
      <xdr:row>4</xdr:row>
      <xdr:rowOff>97366</xdr:rowOff>
    </xdr:to>
    <xdr:pic>
      <xdr:nvPicPr>
        <xdr:cNvPr id="3" name="Imagem 2">
          <a:extLst>
            <a:ext uri="{FF2B5EF4-FFF2-40B4-BE49-F238E27FC236}">
              <a16:creationId xmlns:a16="http://schemas.microsoft.com/office/drawing/2014/main" id="{965F7DF0-75F9-45B6-9CB8-DED364EC6C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1115" y="12700"/>
          <a:ext cx="1320802" cy="8339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120650</xdr:colOff>
      <xdr:row>5</xdr:row>
      <xdr:rowOff>44450</xdr:rowOff>
    </xdr:to>
    <xdr:pic>
      <xdr:nvPicPr>
        <xdr:cNvPr id="2" name="Imagem 1">
          <a:extLst>
            <a:ext uri="{FF2B5EF4-FFF2-40B4-BE49-F238E27FC236}">
              <a16:creationId xmlns:a16="http://schemas.microsoft.com/office/drawing/2014/main" id="{58DE4945-92B1-46C0-B6BF-F1B1DD8763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36650" cy="9334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3175</xdr:colOff>
      <xdr:row>0</xdr:row>
      <xdr:rowOff>177800</xdr:rowOff>
    </xdr:from>
    <xdr:to>
      <xdr:col>2</xdr:col>
      <xdr:colOff>29634</xdr:colOff>
      <xdr:row>3</xdr:row>
      <xdr:rowOff>139700</xdr:rowOff>
    </xdr:to>
    <xdr:pic>
      <xdr:nvPicPr>
        <xdr:cNvPr id="2" name="Imagem 1">
          <a:extLst>
            <a:ext uri="{FF2B5EF4-FFF2-40B4-BE49-F238E27FC236}">
              <a16:creationId xmlns:a16="http://schemas.microsoft.com/office/drawing/2014/main" id="{BCC12D12-CCD8-4F49-A2CA-CD2EC03CB0A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5425" y="177800"/>
          <a:ext cx="420159" cy="476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22412</xdr:colOff>
      <xdr:row>0</xdr:row>
      <xdr:rowOff>0</xdr:rowOff>
    </xdr:from>
    <xdr:to>
      <xdr:col>0</xdr:col>
      <xdr:colOff>500530</xdr:colOff>
      <xdr:row>1</xdr:row>
      <xdr:rowOff>158003</xdr:rowOff>
    </xdr:to>
    <xdr:pic>
      <xdr:nvPicPr>
        <xdr:cNvPr id="2" name="Imagem 1">
          <a:extLst>
            <a:ext uri="{FF2B5EF4-FFF2-40B4-BE49-F238E27FC236}">
              <a16:creationId xmlns:a16="http://schemas.microsoft.com/office/drawing/2014/main" id="{8626AF44-4917-4CED-AED6-31ACBC5182C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412" y="0"/>
          <a:ext cx="478118" cy="342153"/>
        </a:xfrm>
        <a:prstGeom prst="rect">
          <a:avLst/>
        </a:prstGeom>
      </xdr:spPr>
    </xdr:pic>
    <xdr:clientData/>
  </xdr:twoCellAnchor>
  <xdr:twoCellAnchor editAs="oneCell">
    <xdr:from>
      <xdr:col>0</xdr:col>
      <xdr:colOff>37353</xdr:colOff>
      <xdr:row>40</xdr:row>
      <xdr:rowOff>42955</xdr:rowOff>
    </xdr:from>
    <xdr:to>
      <xdr:col>0</xdr:col>
      <xdr:colOff>576008</xdr:colOff>
      <xdr:row>42</xdr:row>
      <xdr:rowOff>54066</xdr:rowOff>
    </xdr:to>
    <xdr:pic>
      <xdr:nvPicPr>
        <xdr:cNvPr id="3" name="Imagem 2">
          <a:extLst>
            <a:ext uri="{FF2B5EF4-FFF2-40B4-BE49-F238E27FC236}">
              <a16:creationId xmlns:a16="http://schemas.microsoft.com/office/drawing/2014/main" id="{5A7CB4C5-2DA7-4490-A2D1-E8539E74C31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7353" y="7535955"/>
          <a:ext cx="538655" cy="417511"/>
        </a:xfrm>
        <a:prstGeom prst="rect">
          <a:avLst/>
        </a:prstGeom>
      </xdr:spPr>
    </xdr:pic>
    <xdr:clientData/>
  </xdr:twoCellAnchor>
  <xdr:twoCellAnchor editAs="oneCell">
    <xdr:from>
      <xdr:col>0</xdr:col>
      <xdr:colOff>1</xdr:colOff>
      <xdr:row>97</xdr:row>
      <xdr:rowOff>1</xdr:rowOff>
    </xdr:from>
    <xdr:to>
      <xdr:col>0</xdr:col>
      <xdr:colOff>463550</xdr:colOff>
      <xdr:row>99</xdr:row>
      <xdr:rowOff>57151</xdr:rowOff>
    </xdr:to>
    <xdr:pic>
      <xdr:nvPicPr>
        <xdr:cNvPr id="4" name="Imagem 3">
          <a:extLst>
            <a:ext uri="{FF2B5EF4-FFF2-40B4-BE49-F238E27FC236}">
              <a16:creationId xmlns:a16="http://schemas.microsoft.com/office/drawing/2014/main" id="{93701D2C-ED9F-4383-B9DC-360E592F41B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 y="18281651"/>
          <a:ext cx="463549" cy="412750"/>
        </a:xfrm>
        <a:prstGeom prst="rect">
          <a:avLst/>
        </a:prstGeom>
      </xdr:spPr>
    </xdr:pic>
    <xdr:clientData/>
  </xdr:twoCellAnchor>
  <xdr:twoCellAnchor editAs="oneCell">
    <xdr:from>
      <xdr:col>0</xdr:col>
      <xdr:colOff>1</xdr:colOff>
      <xdr:row>137</xdr:row>
      <xdr:rowOff>1</xdr:rowOff>
    </xdr:from>
    <xdr:to>
      <xdr:col>0</xdr:col>
      <xdr:colOff>488951</xdr:colOff>
      <xdr:row>139</xdr:row>
      <xdr:rowOff>38100</xdr:rowOff>
    </xdr:to>
    <xdr:pic>
      <xdr:nvPicPr>
        <xdr:cNvPr id="5" name="Imagem 4">
          <a:extLst>
            <a:ext uri="{FF2B5EF4-FFF2-40B4-BE49-F238E27FC236}">
              <a16:creationId xmlns:a16="http://schemas.microsoft.com/office/drawing/2014/main" id="{C0D99DBF-0A97-42DE-AD2C-DB032F532179}"/>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 y="25050751"/>
          <a:ext cx="488950" cy="393699"/>
        </a:xfrm>
        <a:prstGeom prst="rect">
          <a:avLst/>
        </a:prstGeom>
      </xdr:spPr>
    </xdr:pic>
    <xdr:clientData/>
  </xdr:twoCellAnchor>
  <xdr:twoCellAnchor editAs="oneCell">
    <xdr:from>
      <xdr:col>0</xdr:col>
      <xdr:colOff>0</xdr:colOff>
      <xdr:row>177</xdr:row>
      <xdr:rowOff>146050</xdr:rowOff>
    </xdr:from>
    <xdr:to>
      <xdr:col>0</xdr:col>
      <xdr:colOff>515327</xdr:colOff>
      <xdr:row>179</xdr:row>
      <xdr:rowOff>145561</xdr:rowOff>
    </xdr:to>
    <xdr:pic>
      <xdr:nvPicPr>
        <xdr:cNvPr id="6" name="Imagem 5">
          <a:extLst>
            <a:ext uri="{FF2B5EF4-FFF2-40B4-BE49-F238E27FC236}">
              <a16:creationId xmlns:a16="http://schemas.microsoft.com/office/drawing/2014/main" id="{CFEEBBF1-1024-4F72-A97C-5D8F88C296F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32715200"/>
          <a:ext cx="515327" cy="386861"/>
        </a:xfrm>
        <a:prstGeom prst="rect">
          <a:avLst/>
        </a:prstGeom>
      </xdr:spPr>
    </xdr:pic>
    <xdr:clientData/>
  </xdr:twoCellAnchor>
  <xdr:twoCellAnchor editAs="oneCell">
    <xdr:from>
      <xdr:col>0</xdr:col>
      <xdr:colOff>0</xdr:colOff>
      <xdr:row>237</xdr:row>
      <xdr:rowOff>25401</xdr:rowOff>
    </xdr:from>
    <xdr:to>
      <xdr:col>0</xdr:col>
      <xdr:colOff>431799</xdr:colOff>
      <xdr:row>239</xdr:row>
      <xdr:rowOff>88900</xdr:rowOff>
    </xdr:to>
    <xdr:pic>
      <xdr:nvPicPr>
        <xdr:cNvPr id="7" name="Imagem 6">
          <a:extLst>
            <a:ext uri="{FF2B5EF4-FFF2-40B4-BE49-F238E27FC236}">
              <a16:creationId xmlns:a16="http://schemas.microsoft.com/office/drawing/2014/main" id="{07729C4A-D5C2-4D12-8D3A-4C36EF316304}"/>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43738801"/>
          <a:ext cx="431799" cy="4190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58738</xdr:colOff>
      <xdr:row>0</xdr:row>
      <xdr:rowOff>84139</xdr:rowOff>
    </xdr:from>
    <xdr:to>
      <xdr:col>1</xdr:col>
      <xdr:colOff>971550</xdr:colOff>
      <xdr:row>4</xdr:row>
      <xdr:rowOff>114300</xdr:rowOff>
    </xdr:to>
    <xdr:pic>
      <xdr:nvPicPr>
        <xdr:cNvPr id="2" name="Imagem 1">
          <a:extLst>
            <a:ext uri="{FF2B5EF4-FFF2-40B4-BE49-F238E27FC236}">
              <a16:creationId xmlns:a16="http://schemas.microsoft.com/office/drawing/2014/main" id="{09A1239A-5D1F-4134-AE7B-DF7FD69482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738" y="84139"/>
          <a:ext cx="1471612" cy="87471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ados-sinesp\SUPOP\5_SUPOP_2024\2_UNIDADES\3_UNEORC\1-%20OR&#199;AMENTOS%20FINALIZADOS\07%20-%2026%20DE%20SETEMBRO\BASE\SEM%20DESONERA&#199;&#195;O\OR&#199;AMENTO_26%20DE%20SETEMBRO_SEM%20DESONERA&#199;&#195;O_SINAPI%20MAR-2024.xlsx" TargetMode="External"/><Relationship Id="rId1" Type="http://schemas.openxmlformats.org/officeDocument/2006/relationships/externalLinkPath" Target="/5_SUPOP_2024/2_UNIDADES/3_UNEORC/1-%20OR&#199;AMENTOS%20FINALIZADOS/07%20-%2026%20DE%20SETEMBRO/BASE/SEM%20DESONERA&#199;&#195;O/OR&#199;AMENTO_26%20DE%20SETEMBRO_SEM%20DESONERA&#199;&#195;O_SINAPI%20MAR-2024.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ados-sinesp\SUPOP\5_SUPOP_2024\2_UNIDADES\3_UNEORC\8-%20OR&#199;AMENTO%20PADR&#195;O\13-%20DEZEMBRO-2024%20(Data%20Base%2014-01-2024)\OR&#199;AMENTO%20PADR&#195;O%20PEQS%20OBRAS%20DEZ-2024_05022025.xlsx" TargetMode="External"/><Relationship Id="rId1" Type="http://schemas.openxmlformats.org/officeDocument/2006/relationships/externalLinkPath" Target="/5_SUPOP_2024/2_UNIDADES/3_UNEORC/8-%20OR&#199;AMENTO%20PADR&#195;O/13-%20DEZEMBRO-2024%20(Data%20Base%2014-01-2024)/OR&#199;AMENTO%20PADR&#195;O%20PEQS%20OBRAS%20DEZ-2024_0502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A"/>
      <sheetName val="PREMISSA"/>
      <sheetName val="DADOS DE PREENCHIMENTO"/>
      <sheetName val="TEXTO_CAPA"/>
      <sheetName val="RESUMO"/>
      <sheetName val="BASE SINAPI 03-24 S-DESO"/>
      <sheetName val="BASE SINAPI 03-24 C-DESO"/>
      <sheetName val="SICRO 01-2024 (EQUIPAMENTOS) SD"/>
      <sheetName val="SICRO 01-2024 (MÃO-DE-OBRA) SD"/>
      <sheetName val="SICRO 01-2024 (EQUIPAMENTOS) D"/>
      <sheetName val="SICRO 01-2024 (MÃO-DE-OBRA) D"/>
      <sheetName val="SICRO 01-2024 (MATERIAIS)"/>
      <sheetName val="ORÇAMENTO CONSOLIDADO"/>
      <sheetName val="ORÇAMENTO DETALHADO"/>
      <sheetName val="SICRO CONSULTORIA 04-2023"/>
      <sheetName val="CPU SINAPI E DIVERSOS"/>
      <sheetName val="CPU DERDF CBUQ"/>
      <sheetName val="CURVA ABC"/>
      <sheetName val="IMP. REDE DE ENERGIA"/>
      <sheetName val="CRONOGRAMA 6M"/>
      <sheetName val="CRONOGRAMA 36M"/>
      <sheetName val="PESO DOS TUBOS E GALERIAS"/>
      <sheetName val="BDI'S"/>
      <sheetName val="MC_CANTEIRO"/>
      <sheetName val="TAXA URE 2024"/>
      <sheetName val="ANP MARÇO-2024"/>
      <sheetName val="ART-2024"/>
      <sheetName val="MAPA BASE"/>
      <sheetName val="MAPA COT PAV ESTAMPADO"/>
      <sheetName val="MAPA COT INSTRUMENTO"/>
      <sheetName val="MAPA COT SONDAGEM E ENSAIO "/>
      <sheetName val="MAPA COT ESTACA RAIZ"/>
      <sheetName val="MAPA COT GALERIAS"/>
      <sheetName val="MAPA COTAÇÃO PEAD"/>
      <sheetName val="MAPA COT PIGMENTO"/>
      <sheetName val="MAPA COT MAD ECO"/>
      <sheetName val="MAPA COT PERFIS"/>
      <sheetName val="MAPA COT BALIZADOR"/>
      <sheetName val="MAPA COT BATE RODAS"/>
      <sheetName val="MAPA COT GEOGRELHAS"/>
      <sheetName val="MAPA COT POSTES"/>
      <sheetName val="MAPA COT SINALIZAÇÃO OBRAS 1"/>
      <sheetName val="MAPA COT SINALIZAÇÃO OBRA 2"/>
      <sheetName val="INDICES DE REAJUSTE"/>
    </sheetNames>
    <sheetDataSet>
      <sheetData sheetId="0">
        <row r="9">
          <cell r="A9" t="str">
            <v>DADOS DA CONTRATAÇÃO</v>
          </cell>
        </row>
        <row r="18">
          <cell r="A18" t="str">
            <v>SEM DESONERAÇÃO</v>
          </cell>
        </row>
      </sheetData>
      <sheetData sheetId="1"/>
      <sheetData sheetId="2"/>
      <sheetData sheetId="3"/>
      <sheetData sheetId="4">
        <row r="7">
          <cell r="A7" t="str">
            <v>DADOS DA CONTRATAÇÃO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A"/>
      <sheetName val="PREMISSA"/>
      <sheetName val="DADOS DE PREENCHIMENTO"/>
      <sheetName val="TEXTO_CAPA"/>
      <sheetName val="RESUMO"/>
      <sheetName val="BASE SINAPI 12-24 S-DESO"/>
      <sheetName val="BASE SINAPI 12-24 C-DESO"/>
      <sheetName val="SICRO 10-2024 (EQUIPAMENTOS) SD"/>
      <sheetName val="SICRO 10-2024 (MÃO-DE-OBRA) SD"/>
      <sheetName val="SICRO 10-2024 (EQUIPAMENTOS) D"/>
      <sheetName val="SICRO 10-2024 (MÃO-DE-OBRA) D"/>
      <sheetName val="SICRO 10-2024 (MATERIAIS)"/>
      <sheetName val="ORÇAMENTO CONSOLIDADO"/>
      <sheetName val="ORÇAMENTO DETALHADO"/>
      <sheetName val="SICRO CONSULTORIA 10-2024"/>
      <sheetName val="CRONOGRAMA 12M"/>
      <sheetName val="CPU SINAPI E DIVERSOS"/>
      <sheetName val="ESCAVAÇÃO 2021"/>
      <sheetName val="CPU DERDF CBUQ"/>
      <sheetName val="CURVA ABC"/>
      <sheetName val="TAB CONSULT REAJ 2021"/>
      <sheetName val="PESO DOS TUBOS E GALERIAS"/>
      <sheetName val="MC_CANTEIRO"/>
      <sheetName val="INDICES DE REAJUSTE"/>
      <sheetName val="DMT MEDIO"/>
      <sheetName val="ANP DEZ-2024"/>
      <sheetName val="MAPA BASE"/>
      <sheetName val="MAPA COT INSTRUMENTO"/>
      <sheetName val="MAPA COT BALIZ FLEX"/>
      <sheetName val="MAPA COT PIGMENTO"/>
      <sheetName val="MAPA COT SONDAGEM E ENSAIO "/>
      <sheetName val="MAPA COT VIGA BENK. DIÁRIA"/>
      <sheetName val="MAPA COT VIGA BENK. MENSAL"/>
      <sheetName val="MAPA COT ESTACA RAIZ"/>
      <sheetName val="MAPA COT MAD ECO"/>
      <sheetName val="MAPA COT PERFIS"/>
      <sheetName val="MAPA COT PAV ESTAMPADO"/>
      <sheetName val="MAPA COT GEOGRELHAS"/>
      <sheetName val="MAPA COT POSTES"/>
      <sheetName val="MAPA COT MOBILIARIO"/>
      <sheetName val="MAPA COT BATE RODAS"/>
      <sheetName val="MAPA COT BALIZADOR"/>
      <sheetName val="MAPA COT EQUIP LAZER"/>
      <sheetName val="MAPA COT GALERIAS"/>
      <sheetName val="MAPA COTAÇÃO PEAD"/>
      <sheetName val="ENC. SOCIAIS"/>
      <sheetName val="BDI GDES OBRAS"/>
      <sheetName val="BDI SERVIÇOS"/>
      <sheetName val="BDI PEQ. OBRAS"/>
      <sheetName val="BDI CONSULTORIA"/>
      <sheetName val="TAXA URE 2025"/>
      <sheetName val="ART-2025"/>
    </sheetNames>
    <sheetDataSet>
      <sheetData sheetId="0"/>
      <sheetData sheetId="1"/>
      <sheetData sheetId="2"/>
      <sheetData sheetId="3">
        <row r="12">
          <cell r="J12" t="str">
            <v>A Data Base do orçamento, com base na data SINAPI, é DEZEMBRO DE 2024.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hyperlink" Target="mailto:peninsulaengenharia@gmail.com" TargetMode="External"/><Relationship Id="rId2" Type="http://schemas.openxmlformats.org/officeDocument/2006/relationships/hyperlink" Target="mailto:lbarrosengambiental@gmail.com" TargetMode="External"/><Relationship Id="rId1" Type="http://schemas.openxmlformats.org/officeDocument/2006/relationships/hyperlink" Target="mailto:apoena.ambiental@gmail,com" TargetMode="External"/><Relationship Id="rId6" Type="http://schemas.openxmlformats.org/officeDocument/2006/relationships/drawing" Target="../drawings/drawing4.xml"/><Relationship Id="rId5" Type="http://schemas.openxmlformats.org/officeDocument/2006/relationships/printerSettings" Target="../printerSettings/printerSettings16.bin"/><Relationship Id="rId4" Type="http://schemas.openxmlformats.org/officeDocument/2006/relationships/hyperlink" Target="mailto:deboracantuaria@gmail.com"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8354E-3E08-4AA1-88A4-E304DC37A107}">
  <sheetPr>
    <pageSetUpPr fitToPage="1"/>
  </sheetPr>
  <dimension ref="A1:L20"/>
  <sheetViews>
    <sheetView view="pageBreakPreview" zoomScaleNormal="100" zoomScaleSheetLayoutView="100" workbookViewId="0">
      <selection sqref="A1:XFD1048576"/>
    </sheetView>
  </sheetViews>
  <sheetFormatPr defaultRowHeight="14" x14ac:dyDescent="0.3"/>
  <cols>
    <col min="1" max="1" width="10" bestFit="1" customWidth="1"/>
    <col min="2" max="2" width="60" bestFit="1" customWidth="1"/>
    <col min="3" max="3" width="30" bestFit="1" customWidth="1"/>
    <col min="4" max="4" width="5" bestFit="1" customWidth="1"/>
    <col min="5" max="6" width="10" bestFit="1" customWidth="1"/>
    <col min="7" max="7" width="9.25" customWidth="1"/>
    <col min="8" max="8" width="11.08203125" customWidth="1"/>
    <col min="9" max="9" width="12" customWidth="1"/>
    <col min="10" max="10" width="33.58203125" hidden="1" customWidth="1"/>
    <col min="11" max="11" width="14.83203125" style="836" bestFit="1" customWidth="1"/>
    <col min="12" max="12" width="15.4140625" customWidth="1"/>
  </cols>
  <sheetData>
    <row r="1" spans="1:12" ht="15" customHeight="1" x14ac:dyDescent="0.3">
      <c r="A1" s="7"/>
      <c r="B1" s="7" t="s">
        <v>0</v>
      </c>
      <c r="C1" s="7" t="s">
        <v>1</v>
      </c>
      <c r="E1" s="864" t="s">
        <v>10</v>
      </c>
      <c r="F1" s="864"/>
      <c r="G1" s="13" t="s">
        <v>11</v>
      </c>
      <c r="H1" s="13"/>
      <c r="I1" s="13"/>
    </row>
    <row r="2" spans="1:12" ht="140.15" customHeight="1" x14ac:dyDescent="0.3">
      <c r="A2" s="8"/>
      <c r="B2" s="66" t="s">
        <v>17042</v>
      </c>
      <c r="C2" s="865" t="s">
        <v>4452</v>
      </c>
      <c r="D2" s="865"/>
      <c r="E2" s="865" t="s">
        <v>12</v>
      </c>
      <c r="F2" s="865"/>
      <c r="G2" s="865" t="s">
        <v>16941</v>
      </c>
      <c r="H2" s="865"/>
      <c r="I2" s="865"/>
    </row>
    <row r="3" spans="1:12" ht="15" customHeight="1" x14ac:dyDescent="0.3">
      <c r="A3" s="72" t="s">
        <v>2</v>
      </c>
      <c r="B3" s="71"/>
      <c r="C3" s="71"/>
      <c r="D3" s="71"/>
      <c r="E3" s="71"/>
      <c r="F3" s="71"/>
      <c r="G3" s="71"/>
      <c r="H3" s="71"/>
      <c r="I3" s="71"/>
    </row>
    <row r="4" spans="1:12" ht="30" customHeight="1" x14ac:dyDescent="0.3">
      <c r="A4" s="9" t="s">
        <v>3</v>
      </c>
      <c r="B4" s="60" t="s">
        <v>4</v>
      </c>
      <c r="C4" s="61"/>
      <c r="D4" s="61"/>
      <c r="E4" s="61"/>
      <c r="F4" s="62"/>
      <c r="G4" s="868" t="s">
        <v>5</v>
      </c>
      <c r="H4" s="869"/>
      <c r="I4" s="9" t="s">
        <v>6</v>
      </c>
    </row>
    <row r="5" spans="1:12" ht="30" customHeight="1" x14ac:dyDescent="0.3">
      <c r="A5" s="868" t="s">
        <v>17034</v>
      </c>
      <c r="B5" s="870"/>
      <c r="C5" s="870"/>
      <c r="D5" s="870"/>
      <c r="E5" s="870"/>
      <c r="F5" s="870"/>
      <c r="G5" s="870"/>
      <c r="H5" s="870"/>
      <c r="I5" s="869"/>
    </row>
    <row r="6" spans="1:12" ht="30" customHeight="1" x14ac:dyDescent="0.3">
      <c r="A6" s="1" t="s">
        <v>2254</v>
      </c>
      <c r="B6" s="63" t="s">
        <v>17033</v>
      </c>
      <c r="C6" s="64"/>
      <c r="D6" s="64"/>
      <c r="E6" s="64"/>
      <c r="F6" s="65"/>
      <c r="G6" s="866">
        <v>47434.53</v>
      </c>
      <c r="H6" s="867"/>
      <c r="I6" s="12">
        <v>1.6741453440747732E-3</v>
      </c>
      <c r="L6" s="528"/>
    </row>
    <row r="7" spans="1:12" ht="30" customHeight="1" x14ac:dyDescent="0.3">
      <c r="A7" s="868" t="s">
        <v>16939</v>
      </c>
      <c r="B7" s="870"/>
      <c r="C7" s="870"/>
      <c r="D7" s="870"/>
      <c r="E7" s="870"/>
      <c r="F7" s="870"/>
      <c r="G7" s="870"/>
      <c r="H7" s="870"/>
      <c r="I7" s="869"/>
    </row>
    <row r="8" spans="1:12" ht="24" customHeight="1" x14ac:dyDescent="0.3">
      <c r="A8" s="1">
        <v>1</v>
      </c>
      <c r="B8" s="63" t="s">
        <v>25</v>
      </c>
      <c r="C8" s="64"/>
      <c r="D8" s="64"/>
      <c r="E8" s="64"/>
      <c r="F8" s="65"/>
      <c r="G8" s="866">
        <v>1905414.5399999998</v>
      </c>
      <c r="H8" s="867"/>
      <c r="I8" s="12">
        <v>6.724934094789968E-2</v>
      </c>
      <c r="L8" s="528"/>
    </row>
    <row r="9" spans="1:12" ht="24" customHeight="1" x14ac:dyDescent="0.3">
      <c r="A9" s="1">
        <v>2</v>
      </c>
      <c r="B9" s="63" t="s">
        <v>135</v>
      </c>
      <c r="C9" s="64"/>
      <c r="D9" s="64"/>
      <c r="E9" s="64"/>
      <c r="F9" s="65"/>
      <c r="G9" s="866">
        <v>36999.160000000003</v>
      </c>
      <c r="H9" s="867"/>
      <c r="I9" s="12">
        <v>1.3058413659559312E-3</v>
      </c>
      <c r="L9" s="528"/>
    </row>
    <row r="10" spans="1:12" ht="24" customHeight="1" x14ac:dyDescent="0.3">
      <c r="A10" s="1">
        <v>3</v>
      </c>
      <c r="B10" s="63" t="s">
        <v>141</v>
      </c>
      <c r="C10" s="64"/>
      <c r="D10" s="64"/>
      <c r="E10" s="64"/>
      <c r="F10" s="65"/>
      <c r="G10" s="866">
        <v>268402.71999999997</v>
      </c>
      <c r="H10" s="867"/>
      <c r="I10" s="12">
        <v>9.4729549133301203E-3</v>
      </c>
      <c r="L10" s="528"/>
    </row>
    <row r="11" spans="1:12" ht="24" customHeight="1" x14ac:dyDescent="0.3">
      <c r="A11" s="1">
        <v>4</v>
      </c>
      <c r="B11" s="63" t="s">
        <v>182</v>
      </c>
      <c r="C11" s="64"/>
      <c r="D11" s="64"/>
      <c r="E11" s="64"/>
      <c r="F11" s="65"/>
      <c r="G11" s="866">
        <v>4665326.6499999994</v>
      </c>
      <c r="H11" s="867"/>
      <c r="I11" s="12">
        <v>0.16465715776430079</v>
      </c>
      <c r="L11" s="528"/>
    </row>
    <row r="12" spans="1:12" ht="24" customHeight="1" x14ac:dyDescent="0.3">
      <c r="A12" s="1">
        <v>5</v>
      </c>
      <c r="B12" s="63" t="s">
        <v>645</v>
      </c>
      <c r="C12" s="64"/>
      <c r="D12" s="64"/>
      <c r="E12" s="64"/>
      <c r="F12" s="65"/>
      <c r="G12" s="866">
        <v>4893242.7100000009</v>
      </c>
      <c r="H12" s="867"/>
      <c r="I12" s="12">
        <v>0.17270118414526986</v>
      </c>
      <c r="L12" s="528"/>
    </row>
    <row r="13" spans="1:12" ht="24" customHeight="1" x14ac:dyDescent="0.3">
      <c r="A13" s="1">
        <v>6</v>
      </c>
      <c r="B13" s="63" t="s">
        <v>873</v>
      </c>
      <c r="C13" s="64"/>
      <c r="D13" s="64"/>
      <c r="E13" s="64"/>
      <c r="F13" s="65"/>
      <c r="G13" s="866">
        <v>2204000.6299999994</v>
      </c>
      <c r="H13" s="867"/>
      <c r="I13" s="12">
        <v>7.7787582022049467E-2</v>
      </c>
      <c r="L13" s="528"/>
    </row>
    <row r="14" spans="1:12" ht="24" customHeight="1" x14ac:dyDescent="0.3">
      <c r="A14" s="1">
        <v>7</v>
      </c>
      <c r="B14" s="63" t="s">
        <v>1068</v>
      </c>
      <c r="C14" s="64"/>
      <c r="D14" s="64"/>
      <c r="E14" s="64"/>
      <c r="F14" s="65"/>
      <c r="G14" s="866">
        <v>8416180.5200000014</v>
      </c>
      <c r="H14" s="867"/>
      <c r="I14" s="12">
        <v>0.29703908592434258</v>
      </c>
      <c r="L14" s="528"/>
    </row>
    <row r="15" spans="1:12" ht="24" customHeight="1" x14ac:dyDescent="0.3">
      <c r="A15" s="1">
        <v>8</v>
      </c>
      <c r="B15" s="63" t="s">
        <v>1327</v>
      </c>
      <c r="C15" s="64"/>
      <c r="D15" s="64"/>
      <c r="E15" s="64"/>
      <c r="F15" s="65"/>
      <c r="G15" s="866">
        <v>5896577.919999999</v>
      </c>
      <c r="H15" s="867"/>
      <c r="I15" s="12">
        <v>0.20811270757277683</v>
      </c>
      <c r="L15" s="528"/>
    </row>
    <row r="16" spans="1:12" x14ac:dyDescent="0.3">
      <c r="A16" s="10"/>
      <c r="B16" s="10"/>
      <c r="C16" s="10"/>
      <c r="D16" s="10"/>
      <c r="E16" s="10"/>
      <c r="F16" s="10"/>
      <c r="G16" s="10"/>
      <c r="H16" s="10"/>
      <c r="I16" s="10"/>
    </row>
    <row r="17" spans="1:10" x14ac:dyDescent="0.3">
      <c r="A17" s="6"/>
      <c r="B17" s="11"/>
      <c r="C17" s="6"/>
      <c r="D17" s="6"/>
      <c r="E17" s="865" t="s">
        <v>7</v>
      </c>
      <c r="F17" s="871"/>
      <c r="G17" s="872">
        <v>23684307.126478236</v>
      </c>
      <c r="H17" s="871"/>
      <c r="I17" s="871"/>
    </row>
    <row r="18" spans="1:10" x14ac:dyDescent="0.3">
      <c r="A18" s="6"/>
      <c r="B18" s="11"/>
      <c r="C18" s="6"/>
      <c r="D18" s="6"/>
      <c r="E18" s="865" t="s">
        <v>8</v>
      </c>
      <c r="F18" s="871"/>
      <c r="G18" s="872">
        <v>4649272.2535217628</v>
      </c>
      <c r="H18" s="871"/>
      <c r="I18" s="871"/>
      <c r="J18" s="528">
        <v>26428164.84</v>
      </c>
    </row>
    <row r="19" spans="1:10" x14ac:dyDescent="0.3">
      <c r="A19" s="6"/>
      <c r="B19" s="11"/>
      <c r="C19" s="6"/>
      <c r="D19" s="6"/>
      <c r="E19" s="865" t="s">
        <v>9</v>
      </c>
      <c r="F19" s="871"/>
      <c r="G19" s="872">
        <v>28333579.379999999</v>
      </c>
      <c r="H19" s="871"/>
      <c r="I19" s="871"/>
      <c r="J19" s="529">
        <v>7.2097875563273503E-2</v>
      </c>
    </row>
    <row r="20" spans="1:10" x14ac:dyDescent="0.3">
      <c r="A20" s="835"/>
      <c r="B20" s="835"/>
      <c r="C20" s="835"/>
      <c r="D20" s="835"/>
      <c r="E20" s="835"/>
      <c r="F20" s="835"/>
      <c r="G20" s="835"/>
      <c r="H20" s="835"/>
      <c r="I20" s="835"/>
    </row>
  </sheetData>
  <mergeCells count="22">
    <mergeCell ref="G14:H14"/>
    <mergeCell ref="E18:F18"/>
    <mergeCell ref="G18:I18"/>
    <mergeCell ref="E19:F19"/>
    <mergeCell ref="G19:I19"/>
    <mergeCell ref="E17:F17"/>
    <mergeCell ref="G17:I17"/>
    <mergeCell ref="G15:H15"/>
    <mergeCell ref="E1:F1"/>
    <mergeCell ref="E2:F2"/>
    <mergeCell ref="C2:D2"/>
    <mergeCell ref="G12:H12"/>
    <mergeCell ref="G13:H13"/>
    <mergeCell ref="G10:H10"/>
    <mergeCell ref="G4:H4"/>
    <mergeCell ref="G11:H11"/>
    <mergeCell ref="G2:I2"/>
    <mergeCell ref="G8:H8"/>
    <mergeCell ref="G9:H9"/>
    <mergeCell ref="A7:I7"/>
    <mergeCell ref="A5:I5"/>
    <mergeCell ref="G6:H6"/>
  </mergeCells>
  <printOptions horizontalCentered="1"/>
  <pageMargins left="0.51181102362204722" right="0.51181102362204722" top="0.98425196850393704" bottom="0.98425196850393704" header="0.51181102362204722" footer="0.51181102362204722"/>
  <pageSetup paperSize="9" scale="79" firstPageNumber="16" fitToHeight="0" orientation="landscape" useFirstPageNumber="1" r:id="rId1"/>
  <headerFooter>
    <oddHeader>&amp;L &amp;CSECRETARIA DE ESTADO DE OBRAS E INFRAESTRUTURA DO DISTRITO FEDERAL - SODF
CNPJ: 00.394.742/0001-49 &amp;R</oddHeader>
    <oddFooter>&amp;L &amp;CSetor de Áreas Públicas Bloco A-15 - Zona Industrial (Guará) - Brasília / DF
&amp;P&amp;R&amp;D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E3612-4CCD-46BB-A83A-C45DA85F4D73}">
  <sheetPr>
    <pageSetUpPr fitToPage="1"/>
  </sheetPr>
  <dimension ref="A1:N1053"/>
  <sheetViews>
    <sheetView view="pageBreakPreview" topLeftCell="A1029" zoomScale="85" zoomScaleNormal="90" zoomScaleSheetLayoutView="85" workbookViewId="0">
      <selection activeCell="A1029" sqref="A1:XFD1048576"/>
    </sheetView>
  </sheetViews>
  <sheetFormatPr defaultColWidth="9" defaultRowHeight="14" x14ac:dyDescent="0.3"/>
  <cols>
    <col min="1" max="1" width="10" style="485" bestFit="1" customWidth="1"/>
    <col min="2" max="2" width="11.25" style="485" bestFit="1" customWidth="1"/>
    <col min="3" max="3" width="14" style="485" bestFit="1" customWidth="1"/>
    <col min="4" max="4" width="60" style="485" bestFit="1" customWidth="1"/>
    <col min="5" max="5" width="8" style="485" bestFit="1" customWidth="1"/>
    <col min="6" max="6" width="13" style="485" bestFit="1" customWidth="1"/>
    <col min="7" max="7" width="13" style="485" customWidth="1"/>
    <col min="8" max="8" width="13" style="515" customWidth="1"/>
    <col min="9" max="11" width="13" style="485" customWidth="1"/>
    <col min="12" max="12" width="13.08203125" style="485" bestFit="1" customWidth="1"/>
    <col min="13" max="13" width="9" style="485"/>
    <col min="14" max="14" width="13.08203125" style="486" bestFit="1" customWidth="1"/>
    <col min="15" max="16384" width="9" style="485"/>
  </cols>
  <sheetData>
    <row r="1" spans="1:11" x14ac:dyDescent="0.3">
      <c r="A1" s="484"/>
      <c r="B1" s="484"/>
      <c r="C1" s="484"/>
      <c r="D1" s="484" t="s">
        <v>0</v>
      </c>
      <c r="E1" s="876" t="s">
        <v>1</v>
      </c>
      <c r="F1" s="876"/>
      <c r="G1" s="876"/>
      <c r="H1" s="876" t="s">
        <v>10</v>
      </c>
      <c r="I1" s="876"/>
      <c r="J1" s="876" t="s">
        <v>11</v>
      </c>
      <c r="K1" s="876"/>
    </row>
    <row r="2" spans="1:11" ht="134.25" customHeight="1" x14ac:dyDescent="0.3">
      <c r="A2" s="487"/>
      <c r="B2" s="487"/>
      <c r="C2" s="487"/>
      <c r="D2" s="487" t="s">
        <v>17042</v>
      </c>
      <c r="E2" s="877" t="s">
        <v>4452</v>
      </c>
      <c r="F2" s="877"/>
      <c r="G2" s="877"/>
      <c r="H2" s="877" t="s">
        <v>12</v>
      </c>
      <c r="I2" s="877"/>
      <c r="J2" s="877" t="s">
        <v>16941</v>
      </c>
      <c r="K2" s="877"/>
    </row>
    <row r="3" spans="1:11" x14ac:dyDescent="0.3">
      <c r="A3" s="874" t="s">
        <v>13</v>
      </c>
      <c r="B3" s="875"/>
      <c r="C3" s="875"/>
      <c r="D3" s="875"/>
      <c r="E3" s="875"/>
      <c r="F3" s="875"/>
      <c r="G3" s="875"/>
      <c r="H3" s="875"/>
      <c r="I3" s="875"/>
      <c r="J3" s="875"/>
      <c r="K3" s="875"/>
    </row>
    <row r="4" spans="1:11" ht="30" customHeight="1" x14ac:dyDescent="0.3">
      <c r="A4" s="488" t="s">
        <v>14</v>
      </c>
      <c r="B4" s="488" t="s">
        <v>15</v>
      </c>
      <c r="C4" s="488" t="s">
        <v>16</v>
      </c>
      <c r="D4" s="488" t="s">
        <v>17</v>
      </c>
      <c r="E4" s="488" t="s">
        <v>18</v>
      </c>
      <c r="F4" s="488" t="s">
        <v>19</v>
      </c>
      <c r="G4" s="488" t="s">
        <v>20</v>
      </c>
      <c r="H4" s="488" t="s">
        <v>21</v>
      </c>
      <c r="I4" s="488" t="s">
        <v>22</v>
      </c>
      <c r="J4" s="488" t="s">
        <v>23</v>
      </c>
      <c r="K4" s="488" t="s">
        <v>24</v>
      </c>
    </row>
    <row r="5" spans="1:11" ht="24" customHeight="1" x14ac:dyDescent="0.3">
      <c r="A5" s="489">
        <v>1</v>
      </c>
      <c r="B5" s="489" t="s">
        <v>1328</v>
      </c>
      <c r="C5" s="489" t="s">
        <v>1328</v>
      </c>
      <c r="D5" s="490" t="s">
        <v>25</v>
      </c>
      <c r="E5" s="490" t="s">
        <v>1328</v>
      </c>
      <c r="F5" s="491"/>
      <c r="G5" s="490"/>
      <c r="H5" s="489"/>
      <c r="I5" s="490"/>
      <c r="J5" s="357">
        <v>1905414.5399999998</v>
      </c>
      <c r="K5" s="492">
        <v>6.7362114918958285E-2</v>
      </c>
    </row>
    <row r="6" spans="1:11" ht="24" customHeight="1" x14ac:dyDescent="0.3">
      <c r="A6" s="489" t="s">
        <v>26</v>
      </c>
      <c r="B6" s="489" t="s">
        <v>1328</v>
      </c>
      <c r="C6" s="489" t="s">
        <v>1328</v>
      </c>
      <c r="D6" s="490" t="s">
        <v>27</v>
      </c>
      <c r="E6" s="490" t="s">
        <v>1328</v>
      </c>
      <c r="F6" s="491"/>
      <c r="G6" s="490"/>
      <c r="H6" s="489"/>
      <c r="I6" s="490"/>
      <c r="J6" s="357">
        <v>670443.77999999991</v>
      </c>
      <c r="K6" s="492">
        <v>2.3702197084662101E-2</v>
      </c>
    </row>
    <row r="7" spans="1:11" ht="24" customHeight="1" x14ac:dyDescent="0.3">
      <c r="A7" s="489" t="s">
        <v>28</v>
      </c>
      <c r="B7" s="489" t="s">
        <v>1328</v>
      </c>
      <c r="C7" s="489" t="s">
        <v>1328</v>
      </c>
      <c r="D7" s="490" t="s">
        <v>29</v>
      </c>
      <c r="E7" s="490" t="s">
        <v>1328</v>
      </c>
      <c r="F7" s="491"/>
      <c r="G7" s="490"/>
      <c r="H7" s="489"/>
      <c r="I7" s="490"/>
      <c r="J7" s="357">
        <v>630765.41999999993</v>
      </c>
      <c r="K7" s="492">
        <v>2.2299448134233818E-2</v>
      </c>
    </row>
    <row r="8" spans="1:11" ht="26.15" customHeight="1" x14ac:dyDescent="0.3">
      <c r="A8" s="493" t="s">
        <v>30</v>
      </c>
      <c r="B8" s="493" t="s">
        <v>31</v>
      </c>
      <c r="C8" s="493" t="s">
        <v>32</v>
      </c>
      <c r="D8" s="494" t="s">
        <v>33</v>
      </c>
      <c r="E8" s="493" t="s">
        <v>34</v>
      </c>
      <c r="F8" s="495">
        <v>4</v>
      </c>
      <c r="G8" s="496">
        <v>34812.769999999997</v>
      </c>
      <c r="H8" s="497">
        <v>0.2122</v>
      </c>
      <c r="I8" s="495">
        <v>42200.04</v>
      </c>
      <c r="J8" s="496">
        <v>168800.16</v>
      </c>
      <c r="K8" s="498">
        <v>5.9675915857441428E-3</v>
      </c>
    </row>
    <row r="9" spans="1:11" ht="26.15" customHeight="1" x14ac:dyDescent="0.3">
      <c r="A9" s="493" t="s">
        <v>16942</v>
      </c>
      <c r="B9" s="493" t="s">
        <v>35</v>
      </c>
      <c r="C9" s="493" t="s">
        <v>32</v>
      </c>
      <c r="D9" s="494" t="s">
        <v>36</v>
      </c>
      <c r="E9" s="493" t="s">
        <v>34</v>
      </c>
      <c r="F9" s="495">
        <v>12</v>
      </c>
      <c r="G9" s="496">
        <v>24859.48</v>
      </c>
      <c r="H9" s="497">
        <v>0.2122</v>
      </c>
      <c r="I9" s="495">
        <v>30134.66</v>
      </c>
      <c r="J9" s="496">
        <v>361615.92</v>
      </c>
      <c r="K9" s="498">
        <v>1.2784206611315576E-2</v>
      </c>
    </row>
    <row r="10" spans="1:11" ht="26.15" customHeight="1" x14ac:dyDescent="0.3">
      <c r="A10" s="493" t="s">
        <v>16943</v>
      </c>
      <c r="B10" s="493" t="s">
        <v>37</v>
      </c>
      <c r="C10" s="493" t="s">
        <v>32</v>
      </c>
      <c r="D10" s="494" t="s">
        <v>38</v>
      </c>
      <c r="E10" s="493" t="s">
        <v>34</v>
      </c>
      <c r="F10" s="495">
        <v>12</v>
      </c>
      <c r="G10" s="496">
        <v>3536.93</v>
      </c>
      <c r="H10" s="497">
        <v>0.2122</v>
      </c>
      <c r="I10" s="495">
        <v>4287.47</v>
      </c>
      <c r="J10" s="496">
        <v>51449.64</v>
      </c>
      <c r="K10" s="498">
        <v>1.8188989794415199E-3</v>
      </c>
    </row>
    <row r="11" spans="1:11" ht="39" customHeight="1" x14ac:dyDescent="0.3">
      <c r="A11" s="493" t="s">
        <v>16944</v>
      </c>
      <c r="B11" s="493" t="s">
        <v>4209</v>
      </c>
      <c r="C11" s="493" t="s">
        <v>4210</v>
      </c>
      <c r="D11" s="494" t="s">
        <v>4211</v>
      </c>
      <c r="E11" s="493" t="s">
        <v>40</v>
      </c>
      <c r="F11" s="495">
        <v>6</v>
      </c>
      <c r="G11" s="496">
        <v>6723.27</v>
      </c>
      <c r="H11" s="497">
        <v>0.2122</v>
      </c>
      <c r="I11" s="495">
        <v>8149.95</v>
      </c>
      <c r="J11" s="496">
        <v>48899.7</v>
      </c>
      <c r="K11" s="498">
        <v>1.7287509577325806E-3</v>
      </c>
    </row>
    <row r="12" spans="1:11" ht="24" customHeight="1" x14ac:dyDescent="0.3">
      <c r="A12" s="489" t="s">
        <v>41</v>
      </c>
      <c r="B12" s="489" t="s">
        <v>1328</v>
      </c>
      <c r="C12" s="489" t="s">
        <v>1328</v>
      </c>
      <c r="D12" s="490" t="s">
        <v>42</v>
      </c>
      <c r="E12" s="490" t="s">
        <v>1328</v>
      </c>
      <c r="F12" s="499"/>
      <c r="G12" s="490"/>
      <c r="H12" s="489"/>
      <c r="I12" s="500"/>
      <c r="J12" s="357">
        <v>39678.36</v>
      </c>
      <c r="K12" s="492">
        <v>1.4027489504282874E-3</v>
      </c>
    </row>
    <row r="13" spans="1:11" ht="24" customHeight="1" x14ac:dyDescent="0.3">
      <c r="A13" s="493" t="s">
        <v>43</v>
      </c>
      <c r="B13" s="493" t="s">
        <v>44</v>
      </c>
      <c r="C13" s="493" t="s">
        <v>4210</v>
      </c>
      <c r="D13" s="494" t="s">
        <v>45</v>
      </c>
      <c r="E13" s="493" t="s">
        <v>40</v>
      </c>
      <c r="F13" s="495">
        <v>12</v>
      </c>
      <c r="G13" s="496">
        <v>2727.71</v>
      </c>
      <c r="H13" s="497">
        <v>0.2122</v>
      </c>
      <c r="I13" s="495">
        <v>3306.53</v>
      </c>
      <c r="J13" s="496">
        <v>39678.36</v>
      </c>
      <c r="K13" s="498">
        <v>1.4027489504282874E-3</v>
      </c>
    </row>
    <row r="14" spans="1:11" ht="24" customHeight="1" x14ac:dyDescent="0.3">
      <c r="A14" s="489" t="s">
        <v>46</v>
      </c>
      <c r="B14" s="489" t="s">
        <v>1328</v>
      </c>
      <c r="C14" s="489" t="s">
        <v>1328</v>
      </c>
      <c r="D14" s="490" t="s">
        <v>47</v>
      </c>
      <c r="E14" s="490" t="s">
        <v>1328</v>
      </c>
      <c r="F14" s="499"/>
      <c r="G14" s="490"/>
      <c r="H14" s="489"/>
      <c r="I14" s="500"/>
      <c r="J14" s="357">
        <v>299511.36</v>
      </c>
      <c r="K14" s="492">
        <v>1.0588624274827612E-2</v>
      </c>
    </row>
    <row r="15" spans="1:11" ht="26.15" customHeight="1" x14ac:dyDescent="0.3">
      <c r="A15" s="493" t="s">
        <v>48</v>
      </c>
      <c r="B15" s="493" t="s">
        <v>49</v>
      </c>
      <c r="C15" s="493" t="s">
        <v>32</v>
      </c>
      <c r="D15" s="494" t="s">
        <v>50</v>
      </c>
      <c r="E15" s="493" t="s">
        <v>34</v>
      </c>
      <c r="F15" s="495">
        <v>12</v>
      </c>
      <c r="G15" s="496">
        <v>5032.17</v>
      </c>
      <c r="H15" s="497">
        <v>0.2122</v>
      </c>
      <c r="I15" s="495">
        <v>6100</v>
      </c>
      <c r="J15" s="496">
        <v>73200</v>
      </c>
      <c r="K15" s="498">
        <v>2.5878393958659236E-3</v>
      </c>
    </row>
    <row r="16" spans="1:11" ht="26.15" customHeight="1" x14ac:dyDescent="0.3">
      <c r="A16" s="493" t="s">
        <v>16945</v>
      </c>
      <c r="B16" s="493" t="s">
        <v>51</v>
      </c>
      <c r="C16" s="493" t="s">
        <v>4210</v>
      </c>
      <c r="D16" s="494" t="s">
        <v>52</v>
      </c>
      <c r="E16" s="493" t="s">
        <v>40</v>
      </c>
      <c r="F16" s="495">
        <v>24</v>
      </c>
      <c r="G16" s="496">
        <v>5590.7</v>
      </c>
      <c r="H16" s="497">
        <v>0.2122</v>
      </c>
      <c r="I16" s="495">
        <v>6777.05</v>
      </c>
      <c r="J16" s="496">
        <v>162649.20000000001</v>
      </c>
      <c r="K16" s="498">
        <v>5.7501367140174288E-3</v>
      </c>
    </row>
    <row r="17" spans="1:11" ht="24" customHeight="1" x14ac:dyDescent="0.3">
      <c r="A17" s="493" t="s">
        <v>16946</v>
      </c>
      <c r="B17" s="493" t="s">
        <v>53</v>
      </c>
      <c r="C17" s="493" t="s">
        <v>32</v>
      </c>
      <c r="D17" s="494" t="s">
        <v>54</v>
      </c>
      <c r="E17" s="493" t="s">
        <v>34</v>
      </c>
      <c r="F17" s="495">
        <v>12</v>
      </c>
      <c r="G17" s="496">
        <v>4376.49</v>
      </c>
      <c r="H17" s="497">
        <v>0.2122</v>
      </c>
      <c r="I17" s="495">
        <v>5305.18</v>
      </c>
      <c r="J17" s="496">
        <v>63662.16</v>
      </c>
      <c r="K17" s="498">
        <v>2.2506481649442593E-3</v>
      </c>
    </row>
    <row r="18" spans="1:11" ht="24" customHeight="1" x14ac:dyDescent="0.3">
      <c r="A18" s="489" t="s">
        <v>55</v>
      </c>
      <c r="B18" s="489" t="s">
        <v>1328</v>
      </c>
      <c r="C18" s="489" t="s">
        <v>1328</v>
      </c>
      <c r="D18" s="490" t="s">
        <v>56</v>
      </c>
      <c r="E18" s="490" t="s">
        <v>1328</v>
      </c>
      <c r="F18" s="499"/>
      <c r="G18" s="490"/>
      <c r="H18" s="489"/>
      <c r="I18" s="500"/>
      <c r="J18" s="357">
        <v>365398.68</v>
      </c>
      <c r="K18" s="492">
        <v>1.2917938515046528E-2</v>
      </c>
    </row>
    <row r="19" spans="1:11" ht="26.15" customHeight="1" x14ac:dyDescent="0.3">
      <c r="A19" s="493" t="s">
        <v>57</v>
      </c>
      <c r="B19" s="493" t="s">
        <v>58</v>
      </c>
      <c r="C19" s="493" t="s">
        <v>32</v>
      </c>
      <c r="D19" s="494" t="s">
        <v>59</v>
      </c>
      <c r="E19" s="493" t="s">
        <v>34</v>
      </c>
      <c r="F19" s="495">
        <v>24</v>
      </c>
      <c r="G19" s="496">
        <v>4472.0200000000004</v>
      </c>
      <c r="H19" s="497">
        <v>0.2122</v>
      </c>
      <c r="I19" s="495">
        <v>5420.98</v>
      </c>
      <c r="J19" s="496">
        <v>130103.52</v>
      </c>
      <c r="K19" s="498">
        <v>4.5995493797381165E-3</v>
      </c>
    </row>
    <row r="20" spans="1:11" ht="26.15" customHeight="1" x14ac:dyDescent="0.3">
      <c r="A20" s="493" t="s">
        <v>16947</v>
      </c>
      <c r="B20" s="493" t="s">
        <v>60</v>
      </c>
      <c r="C20" s="493" t="s">
        <v>32</v>
      </c>
      <c r="D20" s="494" t="s">
        <v>61</v>
      </c>
      <c r="E20" s="493" t="s">
        <v>34</v>
      </c>
      <c r="F20" s="495">
        <v>12</v>
      </c>
      <c r="G20" s="496">
        <v>6409.08</v>
      </c>
      <c r="H20" s="497">
        <v>0.2122</v>
      </c>
      <c r="I20" s="495">
        <v>7769.09</v>
      </c>
      <c r="J20" s="496">
        <v>93229.08</v>
      </c>
      <c r="K20" s="498">
        <v>3.29592740525049E-3</v>
      </c>
    </row>
    <row r="21" spans="1:11" ht="24" customHeight="1" x14ac:dyDescent="0.3">
      <c r="A21" s="493" t="s">
        <v>16948</v>
      </c>
      <c r="B21" s="493" t="s">
        <v>62</v>
      </c>
      <c r="C21" s="493" t="s">
        <v>32</v>
      </c>
      <c r="D21" s="494" t="s">
        <v>63</v>
      </c>
      <c r="E21" s="493" t="s">
        <v>34</v>
      </c>
      <c r="F21" s="495">
        <v>12</v>
      </c>
      <c r="G21" s="496">
        <v>6625.31</v>
      </c>
      <c r="H21" s="497">
        <v>0.2122</v>
      </c>
      <c r="I21" s="495">
        <v>8031.2</v>
      </c>
      <c r="J21" s="496">
        <v>96374.399999999994</v>
      </c>
      <c r="K21" s="498">
        <v>3.4071238944390829E-3</v>
      </c>
    </row>
    <row r="22" spans="1:11" ht="26.15" customHeight="1" x14ac:dyDescent="0.3">
      <c r="A22" s="493" t="s">
        <v>16949</v>
      </c>
      <c r="B22" s="493" t="s">
        <v>64</v>
      </c>
      <c r="C22" s="493" t="s">
        <v>32</v>
      </c>
      <c r="D22" s="494" t="s">
        <v>65</v>
      </c>
      <c r="E22" s="493" t="s">
        <v>34</v>
      </c>
      <c r="F22" s="495">
        <v>12</v>
      </c>
      <c r="G22" s="496">
        <v>3141.1</v>
      </c>
      <c r="H22" s="497">
        <v>0.2122</v>
      </c>
      <c r="I22" s="495">
        <v>3807.64</v>
      </c>
      <c r="J22" s="496">
        <v>45691.68</v>
      </c>
      <c r="K22" s="498">
        <v>1.6153378356188403E-3</v>
      </c>
    </row>
    <row r="23" spans="1:11" ht="24" customHeight="1" x14ac:dyDescent="0.3">
      <c r="A23" s="489" t="s">
        <v>66</v>
      </c>
      <c r="B23" s="489" t="s">
        <v>1328</v>
      </c>
      <c r="C23" s="489" t="s">
        <v>1328</v>
      </c>
      <c r="D23" s="490" t="s">
        <v>67</v>
      </c>
      <c r="E23" s="490" t="s">
        <v>1328</v>
      </c>
      <c r="F23" s="499"/>
      <c r="G23" s="490"/>
      <c r="H23" s="489"/>
      <c r="I23" s="500"/>
      <c r="J23" s="357">
        <v>262387.44</v>
      </c>
      <c r="K23" s="492">
        <v>9.2761824345957145E-3</v>
      </c>
    </row>
    <row r="24" spans="1:11" ht="24" customHeight="1" x14ac:dyDescent="0.3">
      <c r="A24" s="489" t="s">
        <v>68</v>
      </c>
      <c r="B24" s="489" t="s">
        <v>1328</v>
      </c>
      <c r="C24" s="489" t="s">
        <v>1328</v>
      </c>
      <c r="D24" s="490" t="s">
        <v>69</v>
      </c>
      <c r="E24" s="490" t="s">
        <v>1328</v>
      </c>
      <c r="F24" s="499"/>
      <c r="G24" s="490"/>
      <c r="H24" s="489"/>
      <c r="I24" s="500"/>
      <c r="J24" s="357">
        <v>94354.68</v>
      </c>
      <c r="K24" s="492">
        <v>3.33572073891151E-3</v>
      </c>
    </row>
    <row r="25" spans="1:11" ht="24" customHeight="1" x14ac:dyDescent="0.3">
      <c r="A25" s="493" t="s">
        <v>70</v>
      </c>
      <c r="B25" s="493" t="s">
        <v>71</v>
      </c>
      <c r="C25" s="493" t="s">
        <v>32</v>
      </c>
      <c r="D25" s="494" t="s">
        <v>72</v>
      </c>
      <c r="E25" s="493" t="s">
        <v>34</v>
      </c>
      <c r="F25" s="495">
        <v>12</v>
      </c>
      <c r="G25" s="496">
        <v>4319.6899999999996</v>
      </c>
      <c r="H25" s="497">
        <v>0.2122</v>
      </c>
      <c r="I25" s="495">
        <v>5236.33</v>
      </c>
      <c r="J25" s="496">
        <v>62835.96</v>
      </c>
      <c r="K25" s="498">
        <v>2.221439518648297E-3</v>
      </c>
    </row>
    <row r="26" spans="1:11" ht="24" customHeight="1" x14ac:dyDescent="0.3">
      <c r="A26" s="493" t="s">
        <v>73</v>
      </c>
      <c r="B26" s="493" t="s">
        <v>74</v>
      </c>
      <c r="C26" s="493" t="s">
        <v>32</v>
      </c>
      <c r="D26" s="494" t="s">
        <v>75</v>
      </c>
      <c r="E26" s="493" t="s">
        <v>34</v>
      </c>
      <c r="F26" s="495">
        <v>12</v>
      </c>
      <c r="G26" s="496">
        <v>2166.77</v>
      </c>
      <c r="H26" s="497">
        <v>0.2122</v>
      </c>
      <c r="I26" s="495">
        <v>2626.56</v>
      </c>
      <c r="J26" s="496">
        <v>31518.720000000001</v>
      </c>
      <c r="K26" s="498">
        <v>1.1142812202632132E-3</v>
      </c>
    </row>
    <row r="27" spans="1:11" ht="24" customHeight="1" x14ac:dyDescent="0.3">
      <c r="A27" s="489" t="s">
        <v>76</v>
      </c>
      <c r="B27" s="489" t="s">
        <v>1328</v>
      </c>
      <c r="C27" s="489" t="s">
        <v>1328</v>
      </c>
      <c r="D27" s="490" t="s">
        <v>77</v>
      </c>
      <c r="E27" s="490" t="s">
        <v>1328</v>
      </c>
      <c r="F27" s="499"/>
      <c r="G27" s="490"/>
      <c r="H27" s="489"/>
      <c r="I27" s="500"/>
      <c r="J27" s="357">
        <v>168032.76</v>
      </c>
      <c r="K27" s="492">
        <v>5.940461695684204E-3</v>
      </c>
    </row>
    <row r="28" spans="1:11" ht="24" customHeight="1" x14ac:dyDescent="0.3">
      <c r="A28" s="493" t="s">
        <v>78</v>
      </c>
      <c r="B28" s="493" t="s">
        <v>4212</v>
      </c>
      <c r="C28" s="493" t="s">
        <v>4210</v>
      </c>
      <c r="D28" s="494" t="s">
        <v>79</v>
      </c>
      <c r="E28" s="493" t="s">
        <v>40</v>
      </c>
      <c r="F28" s="495">
        <v>12</v>
      </c>
      <c r="G28" s="496">
        <v>11551.5</v>
      </c>
      <c r="H28" s="497">
        <v>0.2122</v>
      </c>
      <c r="I28" s="495">
        <v>14002.73</v>
      </c>
      <c r="J28" s="496">
        <v>168032.76</v>
      </c>
      <c r="K28" s="498">
        <v>5.940461695684204E-3</v>
      </c>
    </row>
    <row r="29" spans="1:11" ht="24" customHeight="1" x14ac:dyDescent="0.3">
      <c r="A29" s="489" t="s">
        <v>80</v>
      </c>
      <c r="B29" s="489" t="s">
        <v>1328</v>
      </c>
      <c r="C29" s="489" t="s">
        <v>1328</v>
      </c>
      <c r="D29" s="490" t="s">
        <v>81</v>
      </c>
      <c r="E29" s="490" t="s">
        <v>1328</v>
      </c>
      <c r="F29" s="499"/>
      <c r="G29" s="490"/>
      <c r="H29" s="489"/>
      <c r="I29" s="500"/>
      <c r="J29" s="357">
        <v>46758.67</v>
      </c>
      <c r="K29" s="492">
        <v>1.6530591301133072E-3</v>
      </c>
    </row>
    <row r="30" spans="1:11" ht="26.15" customHeight="1" x14ac:dyDescent="0.3">
      <c r="A30" s="493" t="s">
        <v>82</v>
      </c>
      <c r="B30" s="493" t="s">
        <v>31</v>
      </c>
      <c r="C30" s="493" t="s">
        <v>32</v>
      </c>
      <c r="D30" s="494" t="s">
        <v>33</v>
      </c>
      <c r="E30" s="493" t="s">
        <v>34</v>
      </c>
      <c r="F30" s="495">
        <v>1</v>
      </c>
      <c r="G30" s="496">
        <v>34812.769999999997</v>
      </c>
      <c r="H30" s="497">
        <v>0.2122</v>
      </c>
      <c r="I30" s="495">
        <v>42200.04</v>
      </c>
      <c r="J30" s="496">
        <v>42200.04</v>
      </c>
      <c r="K30" s="498">
        <v>1.4918978964360357E-3</v>
      </c>
    </row>
    <row r="31" spans="1:11" ht="24" customHeight="1" x14ac:dyDescent="0.3">
      <c r="A31" s="493" t="s">
        <v>83</v>
      </c>
      <c r="B31" s="493" t="s">
        <v>84</v>
      </c>
      <c r="C31" s="493" t="s">
        <v>32</v>
      </c>
      <c r="D31" s="494" t="s">
        <v>85</v>
      </c>
      <c r="E31" s="493" t="s">
        <v>34</v>
      </c>
      <c r="F31" s="495">
        <v>1</v>
      </c>
      <c r="G31" s="496">
        <v>3263.02</v>
      </c>
      <c r="H31" s="497">
        <v>0.2122</v>
      </c>
      <c r="I31" s="495">
        <v>3955.43</v>
      </c>
      <c r="J31" s="496">
        <v>3955.43</v>
      </c>
      <c r="K31" s="498">
        <v>1.3983630575942554E-4</v>
      </c>
    </row>
    <row r="32" spans="1:11" ht="24" customHeight="1" x14ac:dyDescent="0.3">
      <c r="A32" s="493" t="s">
        <v>86</v>
      </c>
      <c r="B32" s="493" t="s">
        <v>87</v>
      </c>
      <c r="C32" s="493" t="s">
        <v>4210</v>
      </c>
      <c r="D32" s="494" t="s">
        <v>88</v>
      </c>
      <c r="E32" s="493" t="s">
        <v>89</v>
      </c>
      <c r="F32" s="495">
        <v>2</v>
      </c>
      <c r="G32" s="496">
        <v>271.47000000000003</v>
      </c>
      <c r="H32" s="497">
        <v>0.111</v>
      </c>
      <c r="I32" s="495">
        <v>301.60000000000002</v>
      </c>
      <c r="J32" s="496">
        <v>603.20000000000005</v>
      </c>
      <c r="K32" s="498">
        <v>2.1324927917845973E-5</v>
      </c>
    </row>
    <row r="33" spans="1:11" ht="24" customHeight="1" x14ac:dyDescent="0.3">
      <c r="A33" s="489" t="s">
        <v>90</v>
      </c>
      <c r="B33" s="489" t="s">
        <v>1328</v>
      </c>
      <c r="C33" s="489" t="s">
        <v>1328</v>
      </c>
      <c r="D33" s="490" t="s">
        <v>91</v>
      </c>
      <c r="E33" s="490" t="s">
        <v>1328</v>
      </c>
      <c r="F33" s="499"/>
      <c r="G33" s="490"/>
      <c r="H33" s="489"/>
      <c r="I33" s="500"/>
      <c r="J33" s="357">
        <v>45574.32</v>
      </c>
      <c r="K33" s="492">
        <v>1.611188807866124E-3</v>
      </c>
    </row>
    <row r="34" spans="1:11" ht="24" customHeight="1" x14ac:dyDescent="0.3">
      <c r="A34" s="493" t="s">
        <v>92</v>
      </c>
      <c r="B34" s="493" t="s">
        <v>93</v>
      </c>
      <c r="C34" s="493" t="s">
        <v>4210</v>
      </c>
      <c r="D34" s="494" t="s">
        <v>94</v>
      </c>
      <c r="E34" s="493" t="s">
        <v>40</v>
      </c>
      <c r="F34" s="495">
        <v>10</v>
      </c>
      <c r="G34" s="496">
        <v>2096.44</v>
      </c>
      <c r="H34" s="497">
        <v>0.2122</v>
      </c>
      <c r="I34" s="495">
        <v>2541.3000000000002</v>
      </c>
      <c r="J34" s="496">
        <v>25413</v>
      </c>
      <c r="K34" s="498">
        <v>8.9842571813033764E-4</v>
      </c>
    </row>
    <row r="35" spans="1:11" ht="24" customHeight="1" x14ac:dyDescent="0.3">
      <c r="A35" s="493" t="s">
        <v>95</v>
      </c>
      <c r="B35" s="493" t="s">
        <v>96</v>
      </c>
      <c r="C35" s="493" t="s">
        <v>4210</v>
      </c>
      <c r="D35" s="494" t="s">
        <v>97</v>
      </c>
      <c r="E35" s="493" t="s">
        <v>40</v>
      </c>
      <c r="F35" s="495">
        <v>12</v>
      </c>
      <c r="G35" s="496">
        <v>1386</v>
      </c>
      <c r="H35" s="497">
        <v>0.2122</v>
      </c>
      <c r="I35" s="495">
        <v>1680.11</v>
      </c>
      <c r="J35" s="496">
        <v>20161.32</v>
      </c>
      <c r="K35" s="498">
        <v>7.1276308973578634E-4</v>
      </c>
    </row>
    <row r="36" spans="1:11" ht="24" customHeight="1" x14ac:dyDescent="0.3">
      <c r="A36" s="489" t="s">
        <v>98</v>
      </c>
      <c r="B36" s="489" t="s">
        <v>1328</v>
      </c>
      <c r="C36" s="489" t="s">
        <v>1328</v>
      </c>
      <c r="D36" s="490" t="s">
        <v>99</v>
      </c>
      <c r="E36" s="490" t="s">
        <v>1328</v>
      </c>
      <c r="F36" s="499"/>
      <c r="G36" s="490"/>
      <c r="H36" s="489"/>
      <c r="I36" s="500"/>
      <c r="J36" s="357">
        <v>176874.72</v>
      </c>
      <c r="K36" s="492">
        <v>6.2530514829064812E-3</v>
      </c>
    </row>
    <row r="37" spans="1:11" ht="52" customHeight="1" x14ac:dyDescent="0.3">
      <c r="A37" s="493" t="s">
        <v>100</v>
      </c>
      <c r="B37" s="493" t="s">
        <v>101</v>
      </c>
      <c r="C37" s="493" t="s">
        <v>32</v>
      </c>
      <c r="D37" s="494" t="s">
        <v>102</v>
      </c>
      <c r="E37" s="493" t="s">
        <v>103</v>
      </c>
      <c r="F37" s="495">
        <v>528</v>
      </c>
      <c r="G37" s="496">
        <v>241.54</v>
      </c>
      <c r="H37" s="497">
        <v>0.2122</v>
      </c>
      <c r="I37" s="495">
        <v>292.79000000000002</v>
      </c>
      <c r="J37" s="496">
        <v>154593.12</v>
      </c>
      <c r="K37" s="498">
        <v>5.4653301402435546E-3</v>
      </c>
    </row>
    <row r="38" spans="1:11" ht="26.15" customHeight="1" x14ac:dyDescent="0.3">
      <c r="A38" s="493" t="s">
        <v>104</v>
      </c>
      <c r="B38" s="493" t="s">
        <v>105</v>
      </c>
      <c r="C38" s="493" t="s">
        <v>32</v>
      </c>
      <c r="D38" s="494" t="s">
        <v>106</v>
      </c>
      <c r="E38" s="493" t="s">
        <v>103</v>
      </c>
      <c r="F38" s="495">
        <v>88</v>
      </c>
      <c r="G38" s="496">
        <v>174.49</v>
      </c>
      <c r="H38" s="497">
        <v>0.2122</v>
      </c>
      <c r="I38" s="495">
        <v>211.52</v>
      </c>
      <c r="J38" s="496">
        <v>18613.759999999998</v>
      </c>
      <c r="K38" s="498">
        <v>6.5805220537149304E-4</v>
      </c>
    </row>
    <row r="39" spans="1:11" ht="26.15" customHeight="1" x14ac:dyDescent="0.3">
      <c r="A39" s="493" t="s">
        <v>107</v>
      </c>
      <c r="B39" s="493" t="s">
        <v>108</v>
      </c>
      <c r="C39" s="493" t="s">
        <v>32</v>
      </c>
      <c r="D39" s="494" t="s">
        <v>109</v>
      </c>
      <c r="E39" s="493" t="s">
        <v>110</v>
      </c>
      <c r="F39" s="495">
        <v>352</v>
      </c>
      <c r="G39" s="496">
        <v>8.6</v>
      </c>
      <c r="H39" s="497">
        <v>0.2122</v>
      </c>
      <c r="I39" s="495">
        <v>10.42</v>
      </c>
      <c r="J39" s="496">
        <v>3667.84</v>
      </c>
      <c r="K39" s="498">
        <v>1.2966913729143265E-4</v>
      </c>
    </row>
    <row r="40" spans="1:11" ht="26.15" customHeight="1" x14ac:dyDescent="0.3">
      <c r="A40" s="489" t="s">
        <v>111</v>
      </c>
      <c r="B40" s="489" t="s">
        <v>1328</v>
      </c>
      <c r="C40" s="489" t="s">
        <v>1328</v>
      </c>
      <c r="D40" s="490" t="s">
        <v>112</v>
      </c>
      <c r="E40" s="490" t="s">
        <v>1328</v>
      </c>
      <c r="F40" s="499"/>
      <c r="G40" s="490"/>
      <c r="H40" s="489"/>
      <c r="I40" s="500"/>
      <c r="J40" s="357">
        <v>38465.57</v>
      </c>
      <c r="K40" s="492">
        <v>1.3598731889404151E-3</v>
      </c>
    </row>
    <row r="41" spans="1:11" ht="26.15" customHeight="1" x14ac:dyDescent="0.3">
      <c r="A41" s="493" t="s">
        <v>113</v>
      </c>
      <c r="B41" s="493" t="s">
        <v>114</v>
      </c>
      <c r="C41" s="493" t="s">
        <v>32</v>
      </c>
      <c r="D41" s="494" t="s">
        <v>4213</v>
      </c>
      <c r="E41" s="493" t="s">
        <v>1332</v>
      </c>
      <c r="F41" s="495">
        <v>388</v>
      </c>
      <c r="G41" s="496">
        <v>3.07</v>
      </c>
      <c r="H41" s="497">
        <v>0.2122</v>
      </c>
      <c r="I41" s="495">
        <v>3.72</v>
      </c>
      <c r="J41" s="496">
        <v>1443.36</v>
      </c>
      <c r="K41" s="498">
        <v>5.1027102054877588E-5</v>
      </c>
    </row>
    <row r="42" spans="1:11" ht="52" customHeight="1" x14ac:dyDescent="0.3">
      <c r="A42" s="493" t="s">
        <v>16950</v>
      </c>
      <c r="B42" s="493" t="s">
        <v>116</v>
      </c>
      <c r="C42" s="493" t="s">
        <v>32</v>
      </c>
      <c r="D42" s="494" t="s">
        <v>117</v>
      </c>
      <c r="E42" s="493" t="s">
        <v>268</v>
      </c>
      <c r="F42" s="495">
        <v>25.220000000000002</v>
      </c>
      <c r="G42" s="496">
        <v>8.81</v>
      </c>
      <c r="H42" s="497">
        <v>0.2122</v>
      </c>
      <c r="I42" s="495">
        <v>10.68</v>
      </c>
      <c r="J42" s="496">
        <v>269.33999999999997</v>
      </c>
      <c r="K42" s="498">
        <v>9.5219762688869912E-6</v>
      </c>
    </row>
    <row r="43" spans="1:11" ht="39" customHeight="1" x14ac:dyDescent="0.3">
      <c r="A43" s="493" t="s">
        <v>16951</v>
      </c>
      <c r="B43" s="493" t="s">
        <v>119</v>
      </c>
      <c r="C43" s="493" t="s">
        <v>32</v>
      </c>
      <c r="D43" s="494" t="s">
        <v>120</v>
      </c>
      <c r="E43" s="493" t="s">
        <v>121</v>
      </c>
      <c r="F43" s="495">
        <v>756.6</v>
      </c>
      <c r="G43" s="496">
        <v>2.1</v>
      </c>
      <c r="H43" s="497">
        <v>0.2122</v>
      </c>
      <c r="I43" s="495">
        <v>2.5499999999999998</v>
      </c>
      <c r="J43" s="496">
        <v>1929.33</v>
      </c>
      <c r="K43" s="498">
        <v>6.8207598109644839E-5</v>
      </c>
    </row>
    <row r="44" spans="1:11" ht="39" customHeight="1" x14ac:dyDescent="0.3">
      <c r="A44" s="493" t="s">
        <v>16952</v>
      </c>
      <c r="B44" s="493" t="s">
        <v>122</v>
      </c>
      <c r="C44" s="493" t="s">
        <v>32</v>
      </c>
      <c r="D44" s="494" t="s">
        <v>123</v>
      </c>
      <c r="E44" s="493" t="s">
        <v>121</v>
      </c>
      <c r="F44" s="495">
        <v>1134.9000000000001</v>
      </c>
      <c r="G44" s="496">
        <v>0.85</v>
      </c>
      <c r="H44" s="497">
        <v>0.2122</v>
      </c>
      <c r="I44" s="495">
        <v>1.03</v>
      </c>
      <c r="J44" s="496">
        <v>1168.94</v>
      </c>
      <c r="K44" s="498">
        <v>4.1325532560157278E-5</v>
      </c>
    </row>
    <row r="45" spans="1:11" ht="26.15" customHeight="1" x14ac:dyDescent="0.3">
      <c r="A45" s="493" t="s">
        <v>16953</v>
      </c>
      <c r="B45" s="493" t="s">
        <v>124</v>
      </c>
      <c r="C45" s="493" t="s">
        <v>125</v>
      </c>
      <c r="D45" s="494" t="s">
        <v>4214</v>
      </c>
      <c r="E45" s="493" t="s">
        <v>268</v>
      </c>
      <c r="F45" s="495">
        <v>40</v>
      </c>
      <c r="G45" s="496">
        <v>7.29</v>
      </c>
      <c r="H45" s="497">
        <v>0.2122</v>
      </c>
      <c r="I45" s="495">
        <v>8.84</v>
      </c>
      <c r="J45" s="496">
        <v>353.6</v>
      </c>
      <c r="K45" s="498">
        <v>1.2500819813909708E-5</v>
      </c>
    </row>
    <row r="46" spans="1:11" ht="52" customHeight="1" x14ac:dyDescent="0.3">
      <c r="A46" s="493" t="s">
        <v>16954</v>
      </c>
      <c r="B46" s="493" t="s">
        <v>127</v>
      </c>
      <c r="C46" s="493" t="s">
        <v>32</v>
      </c>
      <c r="D46" s="494" t="s">
        <v>128</v>
      </c>
      <c r="E46" s="493" t="s">
        <v>268</v>
      </c>
      <c r="F46" s="495">
        <v>60</v>
      </c>
      <c r="G46" s="496">
        <v>6.53</v>
      </c>
      <c r="H46" s="497">
        <v>0.2122</v>
      </c>
      <c r="I46" s="495">
        <v>7.92</v>
      </c>
      <c r="J46" s="496">
        <v>475.2</v>
      </c>
      <c r="K46" s="498">
        <v>1.6799744274801732E-5</v>
      </c>
    </row>
    <row r="47" spans="1:11" ht="39" customHeight="1" x14ac:dyDescent="0.3">
      <c r="A47" s="493" t="s">
        <v>16955</v>
      </c>
      <c r="B47" s="493" t="s">
        <v>119</v>
      </c>
      <c r="C47" s="493" t="s">
        <v>32</v>
      </c>
      <c r="D47" s="494" t="s">
        <v>120</v>
      </c>
      <c r="E47" s="493" t="s">
        <v>121</v>
      </c>
      <c r="F47" s="495">
        <v>1800</v>
      </c>
      <c r="G47" s="496">
        <v>2.1</v>
      </c>
      <c r="H47" s="497">
        <v>0.2122</v>
      </c>
      <c r="I47" s="495">
        <v>2.5499999999999998</v>
      </c>
      <c r="J47" s="496">
        <v>4590</v>
      </c>
      <c r="K47" s="498">
        <v>1.6227025719978946E-4</v>
      </c>
    </row>
    <row r="48" spans="1:11" ht="39" customHeight="1" x14ac:dyDescent="0.3">
      <c r="A48" s="493" t="s">
        <v>16956</v>
      </c>
      <c r="B48" s="493" t="s">
        <v>122</v>
      </c>
      <c r="C48" s="493" t="s">
        <v>32</v>
      </c>
      <c r="D48" s="494" t="s">
        <v>123</v>
      </c>
      <c r="E48" s="493" t="s">
        <v>121</v>
      </c>
      <c r="F48" s="495">
        <v>2700</v>
      </c>
      <c r="G48" s="496">
        <v>0.85</v>
      </c>
      <c r="H48" s="497">
        <v>0.2122</v>
      </c>
      <c r="I48" s="495">
        <v>1.03</v>
      </c>
      <c r="J48" s="496">
        <v>2781</v>
      </c>
      <c r="K48" s="498">
        <v>9.8316685244578323E-5</v>
      </c>
    </row>
    <row r="49" spans="1:11" ht="24" customHeight="1" x14ac:dyDescent="0.3">
      <c r="A49" s="493" t="s">
        <v>16957</v>
      </c>
      <c r="B49" s="493" t="s">
        <v>129</v>
      </c>
      <c r="C49" s="493" t="s">
        <v>125</v>
      </c>
      <c r="D49" s="494" t="s">
        <v>4215</v>
      </c>
      <c r="E49" s="493" t="s">
        <v>268</v>
      </c>
      <c r="F49" s="495">
        <v>120</v>
      </c>
      <c r="G49" s="496">
        <v>1.97</v>
      </c>
      <c r="H49" s="497">
        <v>0.2122</v>
      </c>
      <c r="I49" s="495">
        <v>2.39</v>
      </c>
      <c r="J49" s="496">
        <v>286.8</v>
      </c>
      <c r="K49" s="498">
        <v>1.0139239600195996E-5</v>
      </c>
    </row>
    <row r="50" spans="1:11" ht="24" customHeight="1" x14ac:dyDescent="0.3">
      <c r="A50" s="493" t="s">
        <v>16958</v>
      </c>
      <c r="B50" s="493" t="s">
        <v>131</v>
      </c>
      <c r="C50" s="493" t="s">
        <v>32</v>
      </c>
      <c r="D50" s="494" t="s">
        <v>4401</v>
      </c>
      <c r="E50" s="493" t="s">
        <v>1332</v>
      </c>
      <c r="F50" s="495">
        <v>800</v>
      </c>
      <c r="G50" s="496">
        <v>4.04</v>
      </c>
      <c r="H50" s="497">
        <v>0.2122</v>
      </c>
      <c r="I50" s="495">
        <v>4.9000000000000004</v>
      </c>
      <c r="J50" s="496">
        <v>3920</v>
      </c>
      <c r="K50" s="498">
        <v>1.3858374906822979E-4</v>
      </c>
    </row>
    <row r="51" spans="1:11" ht="24" customHeight="1" x14ac:dyDescent="0.3">
      <c r="A51" s="493" t="s">
        <v>16959</v>
      </c>
      <c r="B51" s="493" t="s">
        <v>132</v>
      </c>
      <c r="C51" s="493" t="s">
        <v>32</v>
      </c>
      <c r="D51" s="494" t="s">
        <v>4402</v>
      </c>
      <c r="E51" s="493" t="s">
        <v>1332</v>
      </c>
      <c r="F51" s="495">
        <v>800</v>
      </c>
      <c r="G51" s="496">
        <v>5.38</v>
      </c>
      <c r="H51" s="497">
        <v>0.2122</v>
      </c>
      <c r="I51" s="495">
        <v>6.52</v>
      </c>
      <c r="J51" s="496">
        <v>5216</v>
      </c>
      <c r="K51" s="498">
        <v>1.8440123345405269E-4</v>
      </c>
    </row>
    <row r="52" spans="1:11" ht="26.15" customHeight="1" x14ac:dyDescent="0.3">
      <c r="A52" s="493" t="s">
        <v>16960</v>
      </c>
      <c r="B52" s="493" t="s">
        <v>133</v>
      </c>
      <c r="C52" s="493" t="s">
        <v>32</v>
      </c>
      <c r="D52" s="494" t="s">
        <v>4403</v>
      </c>
      <c r="E52" s="493" t="s">
        <v>1332</v>
      </c>
      <c r="F52" s="495">
        <v>800</v>
      </c>
      <c r="G52" s="496">
        <v>0.4</v>
      </c>
      <c r="H52" s="497">
        <v>0.2122</v>
      </c>
      <c r="I52" s="495">
        <v>0.48</v>
      </c>
      <c r="J52" s="496">
        <v>384</v>
      </c>
      <c r="K52" s="498">
        <v>1.3575550929132714E-5</v>
      </c>
    </row>
    <row r="53" spans="1:11" ht="24" customHeight="1" x14ac:dyDescent="0.3">
      <c r="A53" s="493" t="s">
        <v>16961</v>
      </c>
      <c r="B53" s="493" t="s">
        <v>134</v>
      </c>
      <c r="C53" s="493" t="s">
        <v>32</v>
      </c>
      <c r="D53" s="494" t="s">
        <v>4404</v>
      </c>
      <c r="E53" s="493" t="s">
        <v>1332</v>
      </c>
      <c r="F53" s="495">
        <v>800</v>
      </c>
      <c r="G53" s="496">
        <v>16.14</v>
      </c>
      <c r="H53" s="497">
        <v>0.2122</v>
      </c>
      <c r="I53" s="495">
        <v>19.559999999999999</v>
      </c>
      <c r="J53" s="496">
        <v>15648</v>
      </c>
      <c r="K53" s="498">
        <v>5.5320370036215807E-4</v>
      </c>
    </row>
    <row r="54" spans="1:11" ht="24" customHeight="1" x14ac:dyDescent="0.3">
      <c r="A54" s="489">
        <v>2</v>
      </c>
      <c r="B54" s="489" t="s">
        <v>1328</v>
      </c>
      <c r="C54" s="489" t="s">
        <v>1328</v>
      </c>
      <c r="D54" s="490" t="s">
        <v>135</v>
      </c>
      <c r="E54" s="490" t="s">
        <v>1328</v>
      </c>
      <c r="F54" s="499"/>
      <c r="G54" s="490"/>
      <c r="H54" s="489"/>
      <c r="I54" s="500"/>
      <c r="J54" s="357">
        <v>36999.160000000003</v>
      </c>
      <c r="K54" s="492">
        <v>1.3080312002998176E-3</v>
      </c>
    </row>
    <row r="55" spans="1:11" ht="26.15" customHeight="1" x14ac:dyDescent="0.3">
      <c r="A55" s="493" t="s">
        <v>136</v>
      </c>
      <c r="B55" s="493" t="s">
        <v>137</v>
      </c>
      <c r="C55" s="493" t="s">
        <v>125</v>
      </c>
      <c r="D55" s="494" t="s">
        <v>4216</v>
      </c>
      <c r="E55" s="493" t="s">
        <v>89</v>
      </c>
      <c r="F55" s="495">
        <v>44</v>
      </c>
      <c r="G55" s="501">
        <v>390.80189999999999</v>
      </c>
      <c r="H55" s="497">
        <v>0.2122</v>
      </c>
      <c r="I55" s="495">
        <v>473.73</v>
      </c>
      <c r="J55" s="496">
        <v>20844.12</v>
      </c>
      <c r="K55" s="498">
        <v>7.369021162316505E-4</v>
      </c>
    </row>
    <row r="56" spans="1:11" ht="26.15" customHeight="1" x14ac:dyDescent="0.3">
      <c r="A56" s="493" t="s">
        <v>138</v>
      </c>
      <c r="B56" s="493" t="s">
        <v>139</v>
      </c>
      <c r="C56" s="493" t="s">
        <v>125</v>
      </c>
      <c r="D56" s="494" t="s">
        <v>4217</v>
      </c>
      <c r="E56" s="493" t="s">
        <v>89</v>
      </c>
      <c r="F56" s="495">
        <v>44</v>
      </c>
      <c r="G56" s="501">
        <v>302.88959999999997</v>
      </c>
      <c r="H56" s="497">
        <v>0.2122</v>
      </c>
      <c r="I56" s="495">
        <v>367.16</v>
      </c>
      <c r="J56" s="496">
        <v>16155.04</v>
      </c>
      <c r="K56" s="498">
        <v>5.7112908406816711E-4</v>
      </c>
    </row>
    <row r="57" spans="1:11" ht="24" customHeight="1" x14ac:dyDescent="0.3">
      <c r="A57" s="489">
        <v>3</v>
      </c>
      <c r="B57" s="489" t="s">
        <v>1328</v>
      </c>
      <c r="C57" s="489" t="s">
        <v>1328</v>
      </c>
      <c r="D57" s="490" t="s">
        <v>141</v>
      </c>
      <c r="E57" s="490" t="s">
        <v>1328</v>
      </c>
      <c r="F57" s="499"/>
      <c r="G57" s="490"/>
      <c r="H57" s="489"/>
      <c r="I57" s="500"/>
      <c r="J57" s="357">
        <v>268402.71999999997</v>
      </c>
      <c r="K57" s="492">
        <v>9.4888406116608003E-3</v>
      </c>
    </row>
    <row r="58" spans="1:11" ht="24" customHeight="1" x14ac:dyDescent="0.3">
      <c r="A58" s="489" t="s">
        <v>142</v>
      </c>
      <c r="B58" s="489" t="s">
        <v>1328</v>
      </c>
      <c r="C58" s="489" t="s">
        <v>1328</v>
      </c>
      <c r="D58" s="490" t="s">
        <v>143</v>
      </c>
      <c r="E58" s="490" t="s">
        <v>1328</v>
      </c>
      <c r="F58" s="499"/>
      <c r="G58" s="490"/>
      <c r="H58" s="489"/>
      <c r="I58" s="500"/>
      <c r="J58" s="357">
        <v>268402.71999999997</v>
      </c>
      <c r="K58" s="492">
        <v>9.4888406116608003E-3</v>
      </c>
    </row>
    <row r="59" spans="1:11" ht="39" customHeight="1" x14ac:dyDescent="0.3">
      <c r="A59" s="493" t="s">
        <v>144</v>
      </c>
      <c r="B59" s="493" t="s">
        <v>145</v>
      </c>
      <c r="C59" s="493" t="s">
        <v>32</v>
      </c>
      <c r="D59" s="494" t="s">
        <v>4405</v>
      </c>
      <c r="E59" s="493" t="s">
        <v>1332</v>
      </c>
      <c r="F59" s="495">
        <v>800</v>
      </c>
      <c r="G59" s="496">
        <v>0.65</v>
      </c>
      <c r="H59" s="497">
        <v>0.2122</v>
      </c>
      <c r="I59" s="495">
        <v>0.79</v>
      </c>
      <c r="J59" s="496">
        <v>632</v>
      </c>
      <c r="K59" s="498">
        <v>2.2343094237530925E-5</v>
      </c>
    </row>
    <row r="60" spans="1:11" ht="52" customHeight="1" x14ac:dyDescent="0.3">
      <c r="A60" s="493" t="s">
        <v>16962</v>
      </c>
      <c r="B60" s="493" t="s">
        <v>127</v>
      </c>
      <c r="C60" s="493" t="s">
        <v>32</v>
      </c>
      <c r="D60" s="494" t="s">
        <v>128</v>
      </c>
      <c r="E60" s="493" t="s">
        <v>268</v>
      </c>
      <c r="F60" s="495">
        <v>200</v>
      </c>
      <c r="G60" s="496">
        <v>6.53</v>
      </c>
      <c r="H60" s="497">
        <v>0.2122</v>
      </c>
      <c r="I60" s="495">
        <v>7.92</v>
      </c>
      <c r="J60" s="496">
        <v>1584</v>
      </c>
      <c r="K60" s="498">
        <v>5.5999147582672446E-5</v>
      </c>
    </row>
    <row r="61" spans="1:11" ht="39" customHeight="1" x14ac:dyDescent="0.3">
      <c r="A61" s="493" t="s">
        <v>16963</v>
      </c>
      <c r="B61" s="493" t="s">
        <v>119</v>
      </c>
      <c r="C61" s="493" t="s">
        <v>32</v>
      </c>
      <c r="D61" s="494" t="s">
        <v>120</v>
      </c>
      <c r="E61" s="493" t="s">
        <v>121</v>
      </c>
      <c r="F61" s="495">
        <v>6000</v>
      </c>
      <c r="G61" s="496">
        <v>2.1</v>
      </c>
      <c r="H61" s="497">
        <v>0.2122</v>
      </c>
      <c r="I61" s="495">
        <v>2.5499999999999998</v>
      </c>
      <c r="J61" s="496">
        <v>15300</v>
      </c>
      <c r="K61" s="498">
        <v>5.4090085733263162E-4</v>
      </c>
    </row>
    <row r="62" spans="1:11" ht="39" customHeight="1" x14ac:dyDescent="0.3">
      <c r="A62" s="493" t="s">
        <v>16964</v>
      </c>
      <c r="B62" s="493" t="s">
        <v>122</v>
      </c>
      <c r="C62" s="493" t="s">
        <v>32</v>
      </c>
      <c r="D62" s="494" t="s">
        <v>123</v>
      </c>
      <c r="E62" s="493" t="s">
        <v>121</v>
      </c>
      <c r="F62" s="495">
        <v>9000</v>
      </c>
      <c r="G62" s="496">
        <v>0.85</v>
      </c>
      <c r="H62" s="497">
        <v>0.2122</v>
      </c>
      <c r="I62" s="495">
        <v>1.03</v>
      </c>
      <c r="J62" s="496">
        <v>9270</v>
      </c>
      <c r="K62" s="498">
        <v>3.2772228414859443E-4</v>
      </c>
    </row>
    <row r="63" spans="1:11" ht="24" customHeight="1" x14ac:dyDescent="0.3">
      <c r="A63" s="493" t="s">
        <v>16965</v>
      </c>
      <c r="B63" s="493" t="s">
        <v>190</v>
      </c>
      <c r="C63" s="493" t="s">
        <v>4210</v>
      </c>
      <c r="D63" s="494" t="s">
        <v>146</v>
      </c>
      <c r="E63" s="493" t="s">
        <v>1332</v>
      </c>
      <c r="F63" s="495">
        <v>22.5</v>
      </c>
      <c r="G63" s="496">
        <v>521.92999999999995</v>
      </c>
      <c r="H63" s="497">
        <v>0.2122</v>
      </c>
      <c r="I63" s="495">
        <v>632.67999999999995</v>
      </c>
      <c r="J63" s="496">
        <v>14235.3</v>
      </c>
      <c r="K63" s="498">
        <v>5.0326052120177841E-4</v>
      </c>
    </row>
    <row r="64" spans="1:11" ht="24" customHeight="1" x14ac:dyDescent="0.3">
      <c r="A64" s="493" t="s">
        <v>16966</v>
      </c>
      <c r="B64" s="493" t="s">
        <v>147</v>
      </c>
      <c r="C64" s="493" t="s">
        <v>32</v>
      </c>
      <c r="D64" s="494" t="s">
        <v>4406</v>
      </c>
      <c r="E64" s="493" t="s">
        <v>1332</v>
      </c>
      <c r="F64" s="495">
        <v>257.60000000000002</v>
      </c>
      <c r="G64" s="496">
        <v>89.42</v>
      </c>
      <c r="H64" s="497">
        <v>0.2122</v>
      </c>
      <c r="I64" s="495">
        <v>108.39</v>
      </c>
      <c r="J64" s="496">
        <v>27921.26</v>
      </c>
      <c r="K64" s="498">
        <v>9.8710022691551056E-4</v>
      </c>
    </row>
    <row r="65" spans="1:11" ht="39" customHeight="1" x14ac:dyDescent="0.3">
      <c r="A65" s="493" t="s">
        <v>16967</v>
      </c>
      <c r="B65" s="493" t="s">
        <v>4218</v>
      </c>
      <c r="C65" s="493" t="s">
        <v>4210</v>
      </c>
      <c r="D65" s="494" t="s">
        <v>148</v>
      </c>
      <c r="E65" s="493" t="s">
        <v>89</v>
      </c>
      <c r="F65" s="495">
        <v>1</v>
      </c>
      <c r="G65" s="496">
        <v>853.51</v>
      </c>
      <c r="H65" s="497">
        <v>0.2122</v>
      </c>
      <c r="I65" s="495">
        <v>1034.6199999999999</v>
      </c>
      <c r="J65" s="496">
        <v>1034.6199999999999</v>
      </c>
      <c r="K65" s="498">
        <v>3.6576917974737725E-5</v>
      </c>
    </row>
    <row r="66" spans="1:11" ht="39" customHeight="1" x14ac:dyDescent="0.3">
      <c r="A66" s="493" t="s">
        <v>16968</v>
      </c>
      <c r="B66" s="493" t="s">
        <v>4219</v>
      </c>
      <c r="C66" s="493" t="s">
        <v>4210</v>
      </c>
      <c r="D66" s="494" t="s">
        <v>149</v>
      </c>
      <c r="E66" s="493" t="s">
        <v>89</v>
      </c>
      <c r="F66" s="495">
        <v>1</v>
      </c>
      <c r="G66" s="496">
        <v>1927.88</v>
      </c>
      <c r="H66" s="497">
        <v>0.2122</v>
      </c>
      <c r="I66" s="495">
        <v>2336.98</v>
      </c>
      <c r="J66" s="496">
        <v>2336.98</v>
      </c>
      <c r="K66" s="498">
        <v>8.2619247422824406E-5</v>
      </c>
    </row>
    <row r="67" spans="1:11" ht="39" customHeight="1" x14ac:dyDescent="0.3">
      <c r="A67" s="493" t="s">
        <v>16969</v>
      </c>
      <c r="B67" s="493" t="s">
        <v>150</v>
      </c>
      <c r="C67" s="493" t="s">
        <v>32</v>
      </c>
      <c r="D67" s="494" t="s">
        <v>151</v>
      </c>
      <c r="E67" s="493" t="s">
        <v>1332</v>
      </c>
      <c r="F67" s="495">
        <v>4</v>
      </c>
      <c r="G67" s="496">
        <v>956.67</v>
      </c>
      <c r="H67" s="497">
        <v>0.2122</v>
      </c>
      <c r="I67" s="495">
        <v>1159.68</v>
      </c>
      <c r="J67" s="496">
        <v>4638.72</v>
      </c>
      <c r="K67" s="498">
        <v>1.639926552239232E-4</v>
      </c>
    </row>
    <row r="68" spans="1:11" ht="52" customHeight="1" x14ac:dyDescent="0.3">
      <c r="A68" s="493" t="s">
        <v>16970</v>
      </c>
      <c r="B68" s="493" t="s">
        <v>152</v>
      </c>
      <c r="C68" s="493" t="s">
        <v>32</v>
      </c>
      <c r="D68" s="494" t="s">
        <v>153</v>
      </c>
      <c r="E68" s="493" t="s">
        <v>34</v>
      </c>
      <c r="F68" s="495">
        <v>24</v>
      </c>
      <c r="G68" s="496">
        <v>1500</v>
      </c>
      <c r="H68" s="497">
        <v>0.111</v>
      </c>
      <c r="I68" s="495">
        <v>1666.5</v>
      </c>
      <c r="J68" s="496">
        <v>39996</v>
      </c>
      <c r="K68" s="498">
        <v>1.4139784764624793E-3</v>
      </c>
    </row>
    <row r="69" spans="1:11" ht="52" customHeight="1" x14ac:dyDescent="0.3">
      <c r="A69" s="493" t="s">
        <v>16971</v>
      </c>
      <c r="B69" s="493" t="s">
        <v>154</v>
      </c>
      <c r="C69" s="493" t="s">
        <v>32</v>
      </c>
      <c r="D69" s="494" t="s">
        <v>155</v>
      </c>
      <c r="E69" s="493" t="s">
        <v>34</v>
      </c>
      <c r="F69" s="495">
        <v>3</v>
      </c>
      <c r="G69" s="496">
        <v>1875</v>
      </c>
      <c r="H69" s="497">
        <v>0.111</v>
      </c>
      <c r="I69" s="495">
        <v>2083.13</v>
      </c>
      <c r="J69" s="496">
        <v>6249.39</v>
      </c>
      <c r="K69" s="498">
        <v>2.2093466724222056E-4</v>
      </c>
    </row>
    <row r="70" spans="1:11" ht="39" customHeight="1" x14ac:dyDescent="0.3">
      <c r="A70" s="493" t="s">
        <v>16972</v>
      </c>
      <c r="B70" s="493" t="s">
        <v>156</v>
      </c>
      <c r="C70" s="493" t="s">
        <v>32</v>
      </c>
      <c r="D70" s="494" t="s">
        <v>157</v>
      </c>
      <c r="E70" s="493" t="s">
        <v>34</v>
      </c>
      <c r="F70" s="495">
        <v>1</v>
      </c>
      <c r="G70" s="496">
        <v>1171.8699999999999</v>
      </c>
      <c r="H70" s="497">
        <v>0.111</v>
      </c>
      <c r="I70" s="495">
        <v>1301.95</v>
      </c>
      <c r="J70" s="496">
        <v>1301.95</v>
      </c>
      <c r="K70" s="498">
        <v>4.6027834719230048E-5</v>
      </c>
    </row>
    <row r="71" spans="1:11" ht="39" customHeight="1" x14ac:dyDescent="0.3">
      <c r="A71" s="493" t="s">
        <v>16973</v>
      </c>
      <c r="B71" s="493" t="s">
        <v>158</v>
      </c>
      <c r="C71" s="493" t="s">
        <v>32</v>
      </c>
      <c r="D71" s="494" t="s">
        <v>159</v>
      </c>
      <c r="E71" s="493" t="s">
        <v>1332</v>
      </c>
      <c r="F71" s="495">
        <v>20</v>
      </c>
      <c r="G71" s="496">
        <v>755.68</v>
      </c>
      <c r="H71" s="497">
        <v>0.2122</v>
      </c>
      <c r="I71" s="495">
        <v>916.04</v>
      </c>
      <c r="J71" s="496">
        <v>18320.8</v>
      </c>
      <c r="K71" s="498">
        <v>6.4769519130847557E-4</v>
      </c>
    </row>
    <row r="72" spans="1:11" ht="39" customHeight="1" x14ac:dyDescent="0.3">
      <c r="A72" s="493" t="s">
        <v>16974</v>
      </c>
      <c r="B72" s="493" t="s">
        <v>160</v>
      </c>
      <c r="C72" s="493" t="s">
        <v>32</v>
      </c>
      <c r="D72" s="494" t="s">
        <v>161</v>
      </c>
      <c r="E72" s="493" t="s">
        <v>1332</v>
      </c>
      <c r="F72" s="495">
        <v>50</v>
      </c>
      <c r="G72" s="496">
        <v>448.79</v>
      </c>
      <c r="H72" s="497">
        <v>0.2122</v>
      </c>
      <c r="I72" s="495">
        <v>544.02</v>
      </c>
      <c r="J72" s="496">
        <v>27201</v>
      </c>
      <c r="K72" s="498">
        <v>9.6163687714411188E-4</v>
      </c>
    </row>
    <row r="73" spans="1:11" ht="39" customHeight="1" x14ac:dyDescent="0.3">
      <c r="A73" s="493" t="s">
        <v>16975</v>
      </c>
      <c r="B73" s="493" t="s">
        <v>162</v>
      </c>
      <c r="C73" s="493" t="s">
        <v>32</v>
      </c>
      <c r="D73" s="494" t="s">
        <v>163</v>
      </c>
      <c r="E73" s="493" t="s">
        <v>1332</v>
      </c>
      <c r="F73" s="495">
        <v>50</v>
      </c>
      <c r="G73" s="496">
        <v>256.52</v>
      </c>
      <c r="H73" s="497">
        <v>0.2122</v>
      </c>
      <c r="I73" s="495">
        <v>310.95</v>
      </c>
      <c r="J73" s="496">
        <v>15547.5</v>
      </c>
      <c r="K73" s="498">
        <v>5.4965072414242414E-4</v>
      </c>
    </row>
    <row r="74" spans="1:11" ht="39" customHeight="1" x14ac:dyDescent="0.3">
      <c r="A74" s="493" t="s">
        <v>16976</v>
      </c>
      <c r="B74" s="493" t="s">
        <v>164</v>
      </c>
      <c r="C74" s="493" t="s">
        <v>32</v>
      </c>
      <c r="D74" s="494" t="s">
        <v>4220</v>
      </c>
      <c r="E74" s="493" t="s">
        <v>89</v>
      </c>
      <c r="F74" s="495">
        <v>1</v>
      </c>
      <c r="G74" s="496">
        <v>6679.79</v>
      </c>
      <c r="H74" s="497">
        <v>0.2122</v>
      </c>
      <c r="I74" s="495">
        <v>8097.24</v>
      </c>
      <c r="J74" s="496">
        <v>8097.24</v>
      </c>
      <c r="K74" s="498">
        <v>2.8626170313909003E-4</v>
      </c>
    </row>
    <row r="75" spans="1:11" ht="39" customHeight="1" x14ac:dyDescent="0.3">
      <c r="A75" s="493" t="s">
        <v>16977</v>
      </c>
      <c r="B75" s="493" t="s">
        <v>165</v>
      </c>
      <c r="C75" s="493" t="s">
        <v>32</v>
      </c>
      <c r="D75" s="494" t="s">
        <v>4221</v>
      </c>
      <c r="E75" s="493" t="s">
        <v>89</v>
      </c>
      <c r="F75" s="495">
        <v>1</v>
      </c>
      <c r="G75" s="496">
        <v>11616.82</v>
      </c>
      <c r="H75" s="497">
        <v>0.2122</v>
      </c>
      <c r="I75" s="495">
        <v>14081.91</v>
      </c>
      <c r="J75" s="496">
        <v>14081.91</v>
      </c>
      <c r="K75" s="498">
        <v>4.9783772495953977E-4</v>
      </c>
    </row>
    <row r="76" spans="1:11" ht="26.15" customHeight="1" x14ac:dyDescent="0.3">
      <c r="A76" s="493" t="s">
        <v>16978</v>
      </c>
      <c r="B76" s="493" t="s">
        <v>166</v>
      </c>
      <c r="C76" s="493" t="s">
        <v>32</v>
      </c>
      <c r="D76" s="494" t="s">
        <v>4407</v>
      </c>
      <c r="E76" s="493" t="s">
        <v>89</v>
      </c>
      <c r="F76" s="495">
        <v>1</v>
      </c>
      <c r="G76" s="496">
        <v>5847.66</v>
      </c>
      <c r="H76" s="497">
        <v>0.2122</v>
      </c>
      <c r="I76" s="495">
        <v>7088.53</v>
      </c>
      <c r="J76" s="496">
        <v>7088.53</v>
      </c>
      <c r="K76" s="498">
        <v>2.5060078132209667E-4</v>
      </c>
    </row>
    <row r="77" spans="1:11" ht="26.15" customHeight="1" x14ac:dyDescent="0.3">
      <c r="A77" s="493" t="s">
        <v>16979</v>
      </c>
      <c r="B77" s="493" t="s">
        <v>167</v>
      </c>
      <c r="C77" s="493" t="s">
        <v>32</v>
      </c>
      <c r="D77" s="494" t="s">
        <v>4408</v>
      </c>
      <c r="E77" s="493" t="s">
        <v>89</v>
      </c>
      <c r="F77" s="495">
        <v>1</v>
      </c>
      <c r="G77" s="496">
        <v>9951.9599999999991</v>
      </c>
      <c r="H77" s="497">
        <v>0.2122</v>
      </c>
      <c r="I77" s="495">
        <v>12063.77</v>
      </c>
      <c r="J77" s="496">
        <v>12063.77</v>
      </c>
      <c r="K77" s="498">
        <v>4.2649042716756084E-4</v>
      </c>
    </row>
    <row r="78" spans="1:11" ht="52" customHeight="1" x14ac:dyDescent="0.3">
      <c r="A78" s="493" t="s">
        <v>16980</v>
      </c>
      <c r="B78" s="493" t="s">
        <v>168</v>
      </c>
      <c r="C78" s="493" t="s">
        <v>32</v>
      </c>
      <c r="D78" s="494" t="s">
        <v>4222</v>
      </c>
      <c r="E78" s="493" t="s">
        <v>89</v>
      </c>
      <c r="F78" s="495">
        <v>1</v>
      </c>
      <c r="G78" s="496">
        <v>4692.53</v>
      </c>
      <c r="H78" s="497">
        <v>0.2122</v>
      </c>
      <c r="I78" s="495">
        <v>5688.28</v>
      </c>
      <c r="J78" s="496">
        <v>5688.28</v>
      </c>
      <c r="K78" s="498">
        <v>2.0109774697699747E-4</v>
      </c>
    </row>
    <row r="79" spans="1:11" ht="39" customHeight="1" x14ac:dyDescent="0.3">
      <c r="A79" s="493" t="s">
        <v>16981</v>
      </c>
      <c r="B79" s="493" t="s">
        <v>4223</v>
      </c>
      <c r="C79" s="493" t="s">
        <v>4210</v>
      </c>
      <c r="D79" s="494" t="s">
        <v>169</v>
      </c>
      <c r="E79" s="493" t="s">
        <v>89</v>
      </c>
      <c r="F79" s="495">
        <v>1</v>
      </c>
      <c r="G79" s="496">
        <v>2854.5</v>
      </c>
      <c r="H79" s="497">
        <v>0.2122</v>
      </c>
      <c r="I79" s="495">
        <v>3460.22</v>
      </c>
      <c r="J79" s="496">
        <v>3460.22</v>
      </c>
      <c r="K79" s="498">
        <v>1.2232914801042603E-4</v>
      </c>
    </row>
    <row r="80" spans="1:11" ht="39" customHeight="1" x14ac:dyDescent="0.3">
      <c r="A80" s="493" t="s">
        <v>16982</v>
      </c>
      <c r="B80" s="493" t="s">
        <v>170</v>
      </c>
      <c r="C80" s="493" t="s">
        <v>4210</v>
      </c>
      <c r="D80" s="494" t="s">
        <v>171</v>
      </c>
      <c r="E80" s="493" t="s">
        <v>89</v>
      </c>
      <c r="F80" s="495">
        <v>1</v>
      </c>
      <c r="G80" s="496">
        <v>3977.11</v>
      </c>
      <c r="H80" s="497">
        <v>0.2122</v>
      </c>
      <c r="I80" s="495">
        <v>4821.05</v>
      </c>
      <c r="J80" s="496">
        <v>4821.05</v>
      </c>
      <c r="K80" s="498">
        <v>1.7043856720545643E-4</v>
      </c>
    </row>
    <row r="81" spans="1:11" ht="26.15" customHeight="1" x14ac:dyDescent="0.3">
      <c r="A81" s="493" t="s">
        <v>16983</v>
      </c>
      <c r="B81" s="493" t="s">
        <v>172</v>
      </c>
      <c r="C81" s="493" t="s">
        <v>125</v>
      </c>
      <c r="D81" s="494" t="s">
        <v>4224</v>
      </c>
      <c r="E81" s="493" t="s">
        <v>268</v>
      </c>
      <c r="F81" s="495">
        <v>40</v>
      </c>
      <c r="G81" s="496">
        <v>141.58000000000001</v>
      </c>
      <c r="H81" s="497">
        <v>0.2122</v>
      </c>
      <c r="I81" s="495">
        <v>171.62</v>
      </c>
      <c r="J81" s="496">
        <v>6864.8</v>
      </c>
      <c r="K81" s="498">
        <v>2.4269125525601629E-4</v>
      </c>
    </row>
    <row r="82" spans="1:11" ht="39" customHeight="1" x14ac:dyDescent="0.3">
      <c r="A82" s="493" t="s">
        <v>16984</v>
      </c>
      <c r="B82" s="493" t="s">
        <v>174</v>
      </c>
      <c r="C82" s="493" t="s">
        <v>32</v>
      </c>
      <c r="D82" s="494" t="s">
        <v>175</v>
      </c>
      <c r="E82" s="493" t="s">
        <v>268</v>
      </c>
      <c r="F82" s="495">
        <v>6.9300000000000006</v>
      </c>
      <c r="G82" s="496">
        <v>403.4</v>
      </c>
      <c r="H82" s="497">
        <v>0.2122</v>
      </c>
      <c r="I82" s="495">
        <v>489</v>
      </c>
      <c r="J82" s="496">
        <v>3388.77</v>
      </c>
      <c r="K82" s="498">
        <v>1.1980317635967986E-4</v>
      </c>
    </row>
    <row r="83" spans="1:11" ht="39" customHeight="1" x14ac:dyDescent="0.3">
      <c r="A83" s="493" t="s">
        <v>16985</v>
      </c>
      <c r="B83" s="493" t="s">
        <v>176</v>
      </c>
      <c r="C83" s="493" t="s">
        <v>32</v>
      </c>
      <c r="D83" s="494" t="s">
        <v>177</v>
      </c>
      <c r="E83" s="493" t="s">
        <v>268</v>
      </c>
      <c r="F83" s="495">
        <v>13.860000000000001</v>
      </c>
      <c r="G83" s="496">
        <v>470.06</v>
      </c>
      <c r="H83" s="497">
        <v>0.2122</v>
      </c>
      <c r="I83" s="495">
        <v>569.80999999999995</v>
      </c>
      <c r="J83" s="496">
        <v>7897.56</v>
      </c>
      <c r="K83" s="498">
        <v>2.7920241665594102E-4</v>
      </c>
    </row>
    <row r="84" spans="1:11" ht="39" customHeight="1" x14ac:dyDescent="0.3">
      <c r="A84" s="493" t="s">
        <v>16986</v>
      </c>
      <c r="B84" s="493" t="s">
        <v>178</v>
      </c>
      <c r="C84" s="493" t="s">
        <v>125</v>
      </c>
      <c r="D84" s="494" t="s">
        <v>4225</v>
      </c>
      <c r="E84" s="493" t="s">
        <v>1332</v>
      </c>
      <c r="F84" s="495">
        <v>12.360000000000001</v>
      </c>
      <c r="G84" s="496">
        <v>76.72</v>
      </c>
      <c r="H84" s="497">
        <v>0.2122</v>
      </c>
      <c r="I84" s="495">
        <v>93</v>
      </c>
      <c r="J84" s="496">
        <v>1149.48</v>
      </c>
      <c r="K84" s="498">
        <v>4.063756323442571E-5</v>
      </c>
    </row>
    <row r="85" spans="1:11" ht="26.15" customHeight="1" x14ac:dyDescent="0.3">
      <c r="A85" s="493" t="s">
        <v>16987</v>
      </c>
      <c r="B85" s="493" t="s">
        <v>180</v>
      </c>
      <c r="C85" s="493" t="s">
        <v>32</v>
      </c>
      <c r="D85" s="494" t="s">
        <v>181</v>
      </c>
      <c r="E85" s="493" t="s">
        <v>268</v>
      </c>
      <c r="F85" s="495">
        <v>20.790000000000003</v>
      </c>
      <c r="G85" s="496">
        <v>326.63</v>
      </c>
      <c r="H85" s="497">
        <v>0.2122</v>
      </c>
      <c r="I85" s="495">
        <v>395.94</v>
      </c>
      <c r="J85" s="496">
        <v>8231.59</v>
      </c>
      <c r="K85" s="498">
        <v>2.9101137831442594E-4</v>
      </c>
    </row>
    <row r="86" spans="1:11" ht="24" customHeight="1" x14ac:dyDescent="0.3">
      <c r="A86" s="489">
        <v>4</v>
      </c>
      <c r="B86" s="489" t="s">
        <v>1328</v>
      </c>
      <c r="C86" s="489" t="s">
        <v>1328</v>
      </c>
      <c r="D86" s="490" t="s">
        <v>182</v>
      </c>
      <c r="E86" s="489" t="s">
        <v>1328</v>
      </c>
      <c r="F86" s="489"/>
      <c r="G86" s="489"/>
      <c r="H86" s="489"/>
      <c r="I86" s="489"/>
      <c r="J86" s="489">
        <v>4665326.6499999994</v>
      </c>
      <c r="K86" s="492">
        <v>0.16493328004717475</v>
      </c>
    </row>
    <row r="87" spans="1:11" ht="24" customHeight="1" x14ac:dyDescent="0.3">
      <c r="A87" s="489" t="s">
        <v>183</v>
      </c>
      <c r="B87" s="489" t="s">
        <v>1328</v>
      </c>
      <c r="C87" s="489" t="s">
        <v>1328</v>
      </c>
      <c r="D87" s="490" t="s">
        <v>184</v>
      </c>
      <c r="E87" s="490" t="s">
        <v>1328</v>
      </c>
      <c r="F87" s="499"/>
      <c r="G87" s="490"/>
      <c r="H87" s="489"/>
      <c r="I87" s="500"/>
      <c r="J87" s="357">
        <v>3612477.7999999993</v>
      </c>
      <c r="K87" s="492">
        <v>0.12771191758922212</v>
      </c>
    </row>
    <row r="88" spans="1:11" ht="24" customHeight="1" x14ac:dyDescent="0.3">
      <c r="A88" s="489" t="s">
        <v>185</v>
      </c>
      <c r="B88" s="489" t="s">
        <v>1328</v>
      </c>
      <c r="C88" s="489" t="s">
        <v>1328</v>
      </c>
      <c r="D88" s="490" t="s">
        <v>186</v>
      </c>
      <c r="E88" s="490" t="s">
        <v>1328</v>
      </c>
      <c r="F88" s="499"/>
      <c r="G88" s="490"/>
      <c r="H88" s="489"/>
      <c r="I88" s="500"/>
      <c r="J88" s="357">
        <v>330497.33999999997</v>
      </c>
      <c r="K88" s="492">
        <v>1.1684071539356484E-2</v>
      </c>
    </row>
    <row r="89" spans="1:11" ht="24" customHeight="1" x14ac:dyDescent="0.3">
      <c r="A89" s="489" t="s">
        <v>187</v>
      </c>
      <c r="B89" s="489" t="s">
        <v>1328</v>
      </c>
      <c r="C89" s="489" t="s">
        <v>1328</v>
      </c>
      <c r="D89" s="490" t="s">
        <v>188</v>
      </c>
      <c r="E89" s="490" t="s">
        <v>1328</v>
      </c>
      <c r="F89" s="499"/>
      <c r="G89" s="490"/>
      <c r="H89" s="489"/>
      <c r="I89" s="500"/>
      <c r="J89" s="357">
        <v>34995.360000000001</v>
      </c>
      <c r="K89" s="492">
        <v>1.2371908644878485E-3</v>
      </c>
    </row>
    <row r="90" spans="1:11" ht="39" customHeight="1" x14ac:dyDescent="0.3">
      <c r="A90" s="493" t="s">
        <v>189</v>
      </c>
      <c r="B90" s="493" t="s">
        <v>190</v>
      </c>
      <c r="C90" s="493" t="s">
        <v>4210</v>
      </c>
      <c r="D90" s="494" t="s">
        <v>146</v>
      </c>
      <c r="E90" s="493" t="s">
        <v>1332</v>
      </c>
      <c r="F90" s="495">
        <v>12</v>
      </c>
      <c r="G90" s="496">
        <v>521.92999999999995</v>
      </c>
      <c r="H90" s="497">
        <v>0.2122</v>
      </c>
      <c r="I90" s="495">
        <v>632.67999999999995</v>
      </c>
      <c r="J90" s="496">
        <v>7592.16</v>
      </c>
      <c r="K90" s="498">
        <v>2.6840561130761514E-4</v>
      </c>
    </row>
    <row r="91" spans="1:11" ht="39" customHeight="1" x14ac:dyDescent="0.3">
      <c r="A91" s="493" t="s">
        <v>191</v>
      </c>
      <c r="B91" s="493" t="s">
        <v>192</v>
      </c>
      <c r="C91" s="493" t="s">
        <v>32</v>
      </c>
      <c r="D91" s="494" t="s">
        <v>193</v>
      </c>
      <c r="E91" s="493" t="s">
        <v>194</v>
      </c>
      <c r="F91" s="495">
        <v>940.26430040516811</v>
      </c>
      <c r="G91" s="496">
        <v>9.66</v>
      </c>
      <c r="H91" s="497">
        <v>0.2122</v>
      </c>
      <c r="I91" s="495">
        <v>11.71</v>
      </c>
      <c r="J91" s="496">
        <v>11010.49</v>
      </c>
      <c r="K91" s="498">
        <v>3.8925382226486058E-4</v>
      </c>
    </row>
    <row r="92" spans="1:11" ht="39" customHeight="1" x14ac:dyDescent="0.3">
      <c r="A92" s="493" t="s">
        <v>195</v>
      </c>
      <c r="B92" s="493" t="s">
        <v>196</v>
      </c>
      <c r="C92" s="493" t="s">
        <v>197</v>
      </c>
      <c r="D92" s="494" t="s">
        <v>198</v>
      </c>
      <c r="E92" s="493" t="s">
        <v>1332</v>
      </c>
      <c r="F92" s="495">
        <v>8</v>
      </c>
      <c r="G92" s="496">
        <v>17.21</v>
      </c>
      <c r="H92" s="497">
        <v>0.2122</v>
      </c>
      <c r="I92" s="495">
        <v>20.86</v>
      </c>
      <c r="J92" s="496">
        <v>166.88</v>
      </c>
      <c r="K92" s="498">
        <v>5.8997081746189251E-6</v>
      </c>
    </row>
    <row r="93" spans="1:11" ht="39" customHeight="1" x14ac:dyDescent="0.3">
      <c r="A93" s="493" t="s">
        <v>199</v>
      </c>
      <c r="B93" s="493" t="s">
        <v>200</v>
      </c>
      <c r="C93" s="493" t="s">
        <v>197</v>
      </c>
      <c r="D93" s="494" t="s">
        <v>201</v>
      </c>
      <c r="E93" s="493" t="s">
        <v>1332</v>
      </c>
      <c r="F93" s="495">
        <v>10</v>
      </c>
      <c r="G93" s="496">
        <v>11.96</v>
      </c>
      <c r="H93" s="497">
        <v>0.2122</v>
      </c>
      <c r="I93" s="495">
        <v>14.5</v>
      </c>
      <c r="J93" s="496">
        <v>145</v>
      </c>
      <c r="K93" s="498">
        <v>5.1261845956360509E-6</v>
      </c>
    </row>
    <row r="94" spans="1:11" ht="39" customHeight="1" x14ac:dyDescent="0.3">
      <c r="A94" s="493" t="s">
        <v>202</v>
      </c>
      <c r="B94" s="493" t="s">
        <v>203</v>
      </c>
      <c r="C94" s="493" t="s">
        <v>197</v>
      </c>
      <c r="D94" s="494" t="s">
        <v>204</v>
      </c>
      <c r="E94" s="493" t="s">
        <v>194</v>
      </c>
      <c r="F94" s="495">
        <v>1880.5286008103362</v>
      </c>
      <c r="G94" s="496">
        <v>3.25</v>
      </c>
      <c r="H94" s="497">
        <v>0.2122</v>
      </c>
      <c r="I94" s="495">
        <v>3.94</v>
      </c>
      <c r="J94" s="496">
        <v>7409.28</v>
      </c>
      <c r="K94" s="498">
        <v>2.6194025517761569E-4</v>
      </c>
    </row>
    <row r="95" spans="1:11" ht="39" customHeight="1" x14ac:dyDescent="0.3">
      <c r="A95" s="493" t="s">
        <v>205</v>
      </c>
      <c r="B95" s="493" t="s">
        <v>206</v>
      </c>
      <c r="C95" s="493" t="s">
        <v>197</v>
      </c>
      <c r="D95" s="494" t="s">
        <v>207</v>
      </c>
      <c r="E95" s="493" t="s">
        <v>89</v>
      </c>
      <c r="F95" s="495">
        <v>19</v>
      </c>
      <c r="G95" s="496">
        <v>2.76</v>
      </c>
      <c r="H95" s="497">
        <v>0.2122</v>
      </c>
      <c r="I95" s="495">
        <v>3.35</v>
      </c>
      <c r="J95" s="496">
        <v>63.65</v>
      </c>
      <c r="K95" s="498">
        <v>2.25021827249817E-6</v>
      </c>
    </row>
    <row r="96" spans="1:11" ht="39" customHeight="1" x14ac:dyDescent="0.3">
      <c r="A96" s="493" t="s">
        <v>208</v>
      </c>
      <c r="B96" s="493" t="s">
        <v>209</v>
      </c>
      <c r="C96" s="493" t="s">
        <v>125</v>
      </c>
      <c r="D96" s="494" t="s">
        <v>4446</v>
      </c>
      <c r="E96" s="493" t="s">
        <v>1384</v>
      </c>
      <c r="F96" s="495">
        <v>665</v>
      </c>
      <c r="G96" s="496">
        <v>1.96</v>
      </c>
      <c r="H96" s="497">
        <v>0.2122</v>
      </c>
      <c r="I96" s="495">
        <v>2.38</v>
      </c>
      <c r="J96" s="496">
        <v>1582.7</v>
      </c>
      <c r="K96" s="498">
        <v>5.5953188686297778E-5</v>
      </c>
    </row>
    <row r="97" spans="1:11" ht="39" customHeight="1" x14ac:dyDescent="0.3">
      <c r="A97" s="493" t="s">
        <v>211</v>
      </c>
      <c r="B97" s="493" t="s">
        <v>212</v>
      </c>
      <c r="C97" s="493" t="s">
        <v>125</v>
      </c>
      <c r="D97" s="494" t="s">
        <v>4447</v>
      </c>
      <c r="E97" s="493" t="s">
        <v>1384</v>
      </c>
      <c r="F97" s="495">
        <v>443</v>
      </c>
      <c r="G97" s="496">
        <v>3.95</v>
      </c>
      <c r="H97" s="497">
        <v>0.2122</v>
      </c>
      <c r="I97" s="495">
        <v>4.79</v>
      </c>
      <c r="J97" s="496">
        <v>2121.9699999999998</v>
      </c>
      <c r="K97" s="498">
        <v>7.5017999492426408E-5</v>
      </c>
    </row>
    <row r="98" spans="1:11" ht="39" customHeight="1" x14ac:dyDescent="0.3">
      <c r="A98" s="493" t="s">
        <v>213</v>
      </c>
      <c r="B98" s="493" t="s">
        <v>214</v>
      </c>
      <c r="C98" s="493" t="s">
        <v>125</v>
      </c>
      <c r="D98" s="494" t="s">
        <v>4448</v>
      </c>
      <c r="E98" s="493" t="s">
        <v>1384</v>
      </c>
      <c r="F98" s="495">
        <v>222</v>
      </c>
      <c r="G98" s="496">
        <v>8.06</v>
      </c>
      <c r="H98" s="497">
        <v>0.2122</v>
      </c>
      <c r="I98" s="495">
        <v>9.77</v>
      </c>
      <c r="J98" s="496">
        <v>2168.94</v>
      </c>
      <c r="K98" s="498">
        <v>7.6678529771440394E-5</v>
      </c>
    </row>
    <row r="99" spans="1:11" ht="39" customHeight="1" x14ac:dyDescent="0.3">
      <c r="A99" s="493" t="s">
        <v>215</v>
      </c>
      <c r="B99" s="493" t="s">
        <v>216</v>
      </c>
      <c r="C99" s="493" t="s">
        <v>125</v>
      </c>
      <c r="D99" s="494" t="s">
        <v>1385</v>
      </c>
      <c r="E99" s="493" t="s">
        <v>1384</v>
      </c>
      <c r="F99" s="495">
        <v>1107</v>
      </c>
      <c r="G99" s="496">
        <v>0.78</v>
      </c>
      <c r="H99" s="497">
        <v>0.2122</v>
      </c>
      <c r="I99" s="495">
        <v>0.95</v>
      </c>
      <c r="J99" s="496">
        <v>1051.6500000000001</v>
      </c>
      <c r="K99" s="498">
        <v>3.7178979517245887E-5</v>
      </c>
    </row>
    <row r="100" spans="1:11" ht="39" customHeight="1" x14ac:dyDescent="0.3">
      <c r="A100" s="493" t="s">
        <v>218</v>
      </c>
      <c r="B100" s="493" t="s">
        <v>219</v>
      </c>
      <c r="C100" s="493" t="s">
        <v>125</v>
      </c>
      <c r="D100" s="494" t="s">
        <v>4449</v>
      </c>
      <c r="E100" s="493" t="s">
        <v>1384</v>
      </c>
      <c r="F100" s="495">
        <v>1107</v>
      </c>
      <c r="G100" s="496">
        <v>1.25</v>
      </c>
      <c r="H100" s="497">
        <v>0.2122</v>
      </c>
      <c r="I100" s="495">
        <v>1.52</v>
      </c>
      <c r="J100" s="496">
        <v>1682.64</v>
      </c>
      <c r="K100" s="498">
        <v>5.9486367227593413E-5</v>
      </c>
    </row>
    <row r="101" spans="1:11" ht="24" customHeight="1" x14ac:dyDescent="0.3">
      <c r="A101" s="489" t="s">
        <v>223</v>
      </c>
      <c r="B101" s="489" t="s">
        <v>1328</v>
      </c>
      <c r="C101" s="489" t="s">
        <v>1328</v>
      </c>
      <c r="D101" s="490" t="s">
        <v>224</v>
      </c>
      <c r="E101" s="490" t="s">
        <v>1328</v>
      </c>
      <c r="F101" s="499"/>
      <c r="G101" s="490"/>
      <c r="H101" s="489"/>
      <c r="I101" s="500"/>
      <c r="J101" s="357">
        <v>66167.599999999991</v>
      </c>
      <c r="K101" s="492">
        <v>2.3392229782772962E-3</v>
      </c>
    </row>
    <row r="102" spans="1:11" ht="39" customHeight="1" x14ac:dyDescent="0.3">
      <c r="A102" s="493" t="s">
        <v>225</v>
      </c>
      <c r="B102" s="493" t="s">
        <v>226</v>
      </c>
      <c r="C102" s="493" t="s">
        <v>32</v>
      </c>
      <c r="D102" s="494" t="s">
        <v>4227</v>
      </c>
      <c r="E102" s="493" t="s">
        <v>1332</v>
      </c>
      <c r="F102" s="495">
        <v>2097.2491630365098</v>
      </c>
      <c r="G102" s="496">
        <v>22.73</v>
      </c>
      <c r="H102" s="497">
        <v>0.2122</v>
      </c>
      <c r="I102" s="495">
        <v>27.55</v>
      </c>
      <c r="J102" s="496">
        <v>57779.21</v>
      </c>
      <c r="K102" s="498">
        <v>2.0426682500001409E-3</v>
      </c>
    </row>
    <row r="103" spans="1:11" ht="39" customHeight="1" x14ac:dyDescent="0.3">
      <c r="A103" s="493" t="s">
        <v>227</v>
      </c>
      <c r="B103" s="493" t="s">
        <v>116</v>
      </c>
      <c r="C103" s="493" t="s">
        <v>32</v>
      </c>
      <c r="D103" s="494" t="s">
        <v>117</v>
      </c>
      <c r="E103" s="493" t="s">
        <v>268</v>
      </c>
      <c r="F103" s="495">
        <v>62.917474891095289</v>
      </c>
      <c r="G103" s="496">
        <v>8.81</v>
      </c>
      <c r="H103" s="497">
        <v>0.2122</v>
      </c>
      <c r="I103" s="495">
        <v>10.68</v>
      </c>
      <c r="J103" s="496">
        <v>671.95</v>
      </c>
      <c r="K103" s="498">
        <v>2.3755446476121687E-5</v>
      </c>
    </row>
    <row r="104" spans="1:11" ht="39" customHeight="1" x14ac:dyDescent="0.3">
      <c r="A104" s="493" t="s">
        <v>228</v>
      </c>
      <c r="B104" s="493" t="s">
        <v>119</v>
      </c>
      <c r="C104" s="493" t="s">
        <v>32</v>
      </c>
      <c r="D104" s="494" t="s">
        <v>120</v>
      </c>
      <c r="E104" s="493" t="s">
        <v>121</v>
      </c>
      <c r="F104" s="495">
        <v>1887.5242467328587</v>
      </c>
      <c r="G104" s="496">
        <v>2.1</v>
      </c>
      <c r="H104" s="497">
        <v>0.2122</v>
      </c>
      <c r="I104" s="495">
        <v>2.5499999999999998</v>
      </c>
      <c r="J104" s="496">
        <v>4813.18</v>
      </c>
      <c r="K104" s="498">
        <v>1.7016033911740366E-4</v>
      </c>
    </row>
    <row r="105" spans="1:11" ht="39" customHeight="1" x14ac:dyDescent="0.3">
      <c r="A105" s="493" t="s">
        <v>229</v>
      </c>
      <c r="B105" s="493" t="s">
        <v>122</v>
      </c>
      <c r="C105" s="493" t="s">
        <v>32</v>
      </c>
      <c r="D105" s="494" t="s">
        <v>123</v>
      </c>
      <c r="E105" s="493" t="s">
        <v>121</v>
      </c>
      <c r="F105" s="495">
        <v>2818.7028751210687</v>
      </c>
      <c r="G105" s="496">
        <v>0.85</v>
      </c>
      <c r="H105" s="497">
        <v>0.2122</v>
      </c>
      <c r="I105" s="495">
        <v>1.03</v>
      </c>
      <c r="J105" s="496">
        <v>2903.26</v>
      </c>
      <c r="K105" s="498">
        <v>1.0263894268362981E-4</v>
      </c>
    </row>
    <row r="106" spans="1:11" ht="24" customHeight="1" x14ac:dyDescent="0.3">
      <c r="A106" s="489" t="s">
        <v>230</v>
      </c>
      <c r="B106" s="489" t="s">
        <v>1328</v>
      </c>
      <c r="C106" s="489" t="s">
        <v>1328</v>
      </c>
      <c r="D106" s="490" t="s">
        <v>231</v>
      </c>
      <c r="E106" s="490" t="s">
        <v>1328</v>
      </c>
      <c r="F106" s="499"/>
      <c r="G106" s="490"/>
      <c r="H106" s="489"/>
      <c r="I106" s="500"/>
      <c r="J106" s="357">
        <v>19670.830000000002</v>
      </c>
      <c r="K106" s="492">
        <v>6.954227981336242E-4</v>
      </c>
    </row>
    <row r="107" spans="1:11" ht="39" customHeight="1" x14ac:dyDescent="0.3">
      <c r="A107" s="493" t="s">
        <v>232</v>
      </c>
      <c r="B107" s="493" t="s">
        <v>233</v>
      </c>
      <c r="C107" s="493" t="s">
        <v>125</v>
      </c>
      <c r="D107" s="494" t="s">
        <v>4450</v>
      </c>
      <c r="E107" s="493" t="s">
        <v>268</v>
      </c>
      <c r="F107" s="495">
        <v>18.417769439846744</v>
      </c>
      <c r="G107" s="496">
        <v>626.30999999999995</v>
      </c>
      <c r="H107" s="497">
        <v>0.2122</v>
      </c>
      <c r="I107" s="495">
        <v>759.21</v>
      </c>
      <c r="J107" s="496">
        <v>13982.95</v>
      </c>
      <c r="K107" s="498">
        <v>4.9433919235551118E-4</v>
      </c>
    </row>
    <row r="108" spans="1:11" ht="39" customHeight="1" x14ac:dyDescent="0.3">
      <c r="A108" s="493" t="s">
        <v>234</v>
      </c>
      <c r="B108" s="493" t="s">
        <v>235</v>
      </c>
      <c r="C108" s="493" t="s">
        <v>32</v>
      </c>
      <c r="D108" s="494" t="s">
        <v>4228</v>
      </c>
      <c r="E108" s="493" t="s">
        <v>268</v>
      </c>
      <c r="F108" s="495">
        <v>15.470000000000008</v>
      </c>
      <c r="G108" s="496">
        <v>62.38</v>
      </c>
      <c r="H108" s="497">
        <v>0.2122</v>
      </c>
      <c r="I108" s="495">
        <v>75.62</v>
      </c>
      <c r="J108" s="496">
        <v>1169.8399999999999</v>
      </c>
      <c r="K108" s="498">
        <v>4.1357350257647427E-5</v>
      </c>
    </row>
    <row r="109" spans="1:11" ht="39" customHeight="1" x14ac:dyDescent="0.3">
      <c r="A109" s="493" t="s">
        <v>236</v>
      </c>
      <c r="B109" s="493" t="s">
        <v>116</v>
      </c>
      <c r="C109" s="493" t="s">
        <v>32</v>
      </c>
      <c r="D109" s="494" t="s">
        <v>117</v>
      </c>
      <c r="E109" s="493" t="s">
        <v>268</v>
      </c>
      <c r="F109" s="495">
        <v>33.88776943984675</v>
      </c>
      <c r="G109" s="496">
        <v>8.81</v>
      </c>
      <c r="H109" s="497">
        <v>0.2122</v>
      </c>
      <c r="I109" s="495">
        <v>10.68</v>
      </c>
      <c r="J109" s="496">
        <v>361.92</v>
      </c>
      <c r="K109" s="498">
        <v>1.2794956750707583E-5</v>
      </c>
    </row>
    <row r="110" spans="1:11" ht="39" customHeight="1" x14ac:dyDescent="0.3">
      <c r="A110" s="493" t="s">
        <v>237</v>
      </c>
      <c r="B110" s="493" t="s">
        <v>119</v>
      </c>
      <c r="C110" s="493" t="s">
        <v>32</v>
      </c>
      <c r="D110" s="494" t="s">
        <v>120</v>
      </c>
      <c r="E110" s="493" t="s">
        <v>121</v>
      </c>
      <c r="F110" s="495">
        <v>1016.6330831954025</v>
      </c>
      <c r="G110" s="496">
        <v>2.1</v>
      </c>
      <c r="H110" s="497">
        <v>0.2122</v>
      </c>
      <c r="I110" s="495">
        <v>2.5499999999999998</v>
      </c>
      <c r="J110" s="496">
        <v>2592.41</v>
      </c>
      <c r="K110" s="498">
        <v>9.164946350050244E-5</v>
      </c>
    </row>
    <row r="111" spans="1:11" ht="39" customHeight="1" x14ac:dyDescent="0.3">
      <c r="A111" s="493" t="s">
        <v>238</v>
      </c>
      <c r="B111" s="493" t="s">
        <v>122</v>
      </c>
      <c r="C111" s="493" t="s">
        <v>32</v>
      </c>
      <c r="D111" s="494" t="s">
        <v>123</v>
      </c>
      <c r="E111" s="493" t="s">
        <v>121</v>
      </c>
      <c r="F111" s="495">
        <v>1518.1720709051342</v>
      </c>
      <c r="G111" s="496">
        <v>0.85</v>
      </c>
      <c r="H111" s="497">
        <v>0.2122</v>
      </c>
      <c r="I111" s="495">
        <v>1.03</v>
      </c>
      <c r="J111" s="496">
        <v>1563.71</v>
      </c>
      <c r="K111" s="498">
        <v>5.528183526925551E-5</v>
      </c>
    </row>
    <row r="112" spans="1:11" ht="24" customHeight="1" x14ac:dyDescent="0.3">
      <c r="A112" s="489" t="s">
        <v>239</v>
      </c>
      <c r="B112" s="489" t="s">
        <v>1328</v>
      </c>
      <c r="C112" s="489" t="s">
        <v>1328</v>
      </c>
      <c r="D112" s="490" t="s">
        <v>240</v>
      </c>
      <c r="E112" s="490" t="s">
        <v>1328</v>
      </c>
      <c r="F112" s="499"/>
      <c r="G112" s="490"/>
      <c r="H112" s="489"/>
      <c r="I112" s="500"/>
      <c r="J112" s="357">
        <v>124435.28000000001</v>
      </c>
      <c r="K112" s="492">
        <v>4.3991601068252336E-3</v>
      </c>
    </row>
    <row r="113" spans="1:14" ht="39" customHeight="1" x14ac:dyDescent="0.3">
      <c r="A113" s="493" t="s">
        <v>241</v>
      </c>
      <c r="B113" s="493" t="s">
        <v>242</v>
      </c>
      <c r="C113" s="493" t="s">
        <v>243</v>
      </c>
      <c r="D113" s="494" t="s">
        <v>4409</v>
      </c>
      <c r="E113" s="493" t="s">
        <v>268</v>
      </c>
      <c r="F113" s="495">
        <v>244.23790377722153</v>
      </c>
      <c r="G113" s="496">
        <v>310.31</v>
      </c>
      <c r="H113" s="497">
        <v>0.2122</v>
      </c>
      <c r="I113" s="495">
        <v>376.16</v>
      </c>
      <c r="J113" s="496">
        <v>91872.52</v>
      </c>
      <c r="K113" s="498">
        <v>3.2479689433535519E-3</v>
      </c>
    </row>
    <row r="114" spans="1:14" ht="39" customHeight="1" x14ac:dyDescent="0.3">
      <c r="A114" s="493" t="s">
        <v>244</v>
      </c>
      <c r="B114" s="493" t="s">
        <v>116</v>
      </c>
      <c r="C114" s="493" t="s">
        <v>32</v>
      </c>
      <c r="D114" s="494" t="s">
        <v>117</v>
      </c>
      <c r="E114" s="493" t="s">
        <v>268</v>
      </c>
      <c r="F114" s="495">
        <v>244.23790377722153</v>
      </c>
      <c r="G114" s="496">
        <v>8.81</v>
      </c>
      <c r="H114" s="497">
        <v>0.2122</v>
      </c>
      <c r="I114" s="495">
        <v>10.68</v>
      </c>
      <c r="J114" s="496">
        <v>2608.46</v>
      </c>
      <c r="K114" s="498">
        <v>9.2216879105743536E-5</v>
      </c>
    </row>
    <row r="115" spans="1:14" ht="39" customHeight="1" x14ac:dyDescent="0.3">
      <c r="A115" s="493" t="s">
        <v>245</v>
      </c>
      <c r="B115" s="493" t="s">
        <v>119</v>
      </c>
      <c r="C115" s="493" t="s">
        <v>32</v>
      </c>
      <c r="D115" s="494" t="s">
        <v>120</v>
      </c>
      <c r="E115" s="493" t="s">
        <v>121</v>
      </c>
      <c r="F115" s="495">
        <v>7327.1371133166458</v>
      </c>
      <c r="G115" s="496">
        <v>2.1</v>
      </c>
      <c r="H115" s="497">
        <v>0.2122</v>
      </c>
      <c r="I115" s="495">
        <v>2.5499999999999998</v>
      </c>
      <c r="J115" s="496">
        <v>18684.189999999999</v>
      </c>
      <c r="K115" s="498">
        <v>6.6054211696508374E-4</v>
      </c>
    </row>
    <row r="116" spans="1:14" ht="39" customHeight="1" x14ac:dyDescent="0.3">
      <c r="A116" s="493" t="s">
        <v>246</v>
      </c>
      <c r="B116" s="493" t="s">
        <v>122</v>
      </c>
      <c r="C116" s="493" t="s">
        <v>32</v>
      </c>
      <c r="D116" s="494" t="s">
        <v>123</v>
      </c>
      <c r="E116" s="493" t="s">
        <v>121</v>
      </c>
      <c r="F116" s="495">
        <v>10941.858089219524</v>
      </c>
      <c r="G116" s="496">
        <v>0.85</v>
      </c>
      <c r="H116" s="497">
        <v>0.2122</v>
      </c>
      <c r="I116" s="495">
        <v>1.03</v>
      </c>
      <c r="J116" s="496">
        <v>11270.11</v>
      </c>
      <c r="K116" s="498">
        <v>3.9843216740085392E-4</v>
      </c>
    </row>
    <row r="117" spans="1:14" ht="24" customHeight="1" x14ac:dyDescent="0.3">
      <c r="A117" s="489" t="s">
        <v>247</v>
      </c>
      <c r="B117" s="489" t="s">
        <v>1328</v>
      </c>
      <c r="C117" s="489" t="s">
        <v>1328</v>
      </c>
      <c r="D117" s="490" t="s">
        <v>248</v>
      </c>
      <c r="E117" s="490" t="s">
        <v>1328</v>
      </c>
      <c r="F117" s="499"/>
      <c r="G117" s="490"/>
      <c r="H117" s="489"/>
      <c r="I117" s="500"/>
      <c r="J117" s="357">
        <v>40923.409999999996</v>
      </c>
      <c r="K117" s="492">
        <v>1.4467651996061951E-3</v>
      </c>
    </row>
    <row r="118" spans="1:14" ht="39" customHeight="1" x14ac:dyDescent="0.3">
      <c r="A118" s="493" t="s">
        <v>249</v>
      </c>
      <c r="B118" s="493" t="s">
        <v>250</v>
      </c>
      <c r="C118" s="493" t="s">
        <v>251</v>
      </c>
      <c r="D118" s="494" t="s">
        <v>4410</v>
      </c>
      <c r="E118" s="493" t="s">
        <v>252</v>
      </c>
      <c r="F118" s="495">
        <v>325.26479999999992</v>
      </c>
      <c r="G118" s="496">
        <v>11.96</v>
      </c>
      <c r="H118" s="497">
        <v>0.2122</v>
      </c>
      <c r="I118" s="495">
        <v>14.5</v>
      </c>
      <c r="J118" s="496">
        <v>4716.33</v>
      </c>
      <c r="K118" s="498">
        <v>1.6673640133749087E-4</v>
      </c>
    </row>
    <row r="119" spans="1:14" ht="39" customHeight="1" x14ac:dyDescent="0.3">
      <c r="A119" s="493" t="s">
        <v>253</v>
      </c>
      <c r="B119" s="493" t="s">
        <v>254</v>
      </c>
      <c r="C119" s="493" t="s">
        <v>32</v>
      </c>
      <c r="D119" s="494" t="s">
        <v>4229</v>
      </c>
      <c r="E119" s="493" t="s">
        <v>268</v>
      </c>
      <c r="F119" s="495">
        <v>10.127558000000004</v>
      </c>
      <c r="G119" s="496">
        <v>767.76</v>
      </c>
      <c r="H119" s="497">
        <v>0.2122</v>
      </c>
      <c r="I119" s="495">
        <v>930.68</v>
      </c>
      <c r="J119" s="496">
        <v>9425.51</v>
      </c>
      <c r="K119" s="498">
        <v>3.3322002874492106E-4</v>
      </c>
    </row>
    <row r="120" spans="1:14" ht="39" customHeight="1" x14ac:dyDescent="0.3">
      <c r="A120" s="493" t="s">
        <v>255</v>
      </c>
      <c r="B120" s="493" t="s">
        <v>256</v>
      </c>
      <c r="C120" s="493" t="s">
        <v>257</v>
      </c>
      <c r="D120" s="494" t="s">
        <v>258</v>
      </c>
      <c r="E120" s="493" t="s">
        <v>194</v>
      </c>
      <c r="F120" s="495">
        <v>193.60999999999996</v>
      </c>
      <c r="G120" s="496">
        <v>82.29</v>
      </c>
      <c r="H120" s="497">
        <v>0.2122</v>
      </c>
      <c r="I120" s="495">
        <v>99.75</v>
      </c>
      <c r="J120" s="496">
        <v>19312.59</v>
      </c>
      <c r="K120" s="498">
        <v>6.8275794041265409E-4</v>
      </c>
    </row>
    <row r="121" spans="1:14" ht="39" customHeight="1" x14ac:dyDescent="0.3">
      <c r="A121" s="493" t="s">
        <v>259</v>
      </c>
      <c r="B121" s="493" t="s">
        <v>260</v>
      </c>
      <c r="C121" s="493" t="s">
        <v>257</v>
      </c>
      <c r="D121" s="494" t="s">
        <v>4230</v>
      </c>
      <c r="E121" s="493" t="s">
        <v>194</v>
      </c>
      <c r="F121" s="495">
        <v>49</v>
      </c>
      <c r="G121" s="496">
        <v>69.680000000000007</v>
      </c>
      <c r="H121" s="497">
        <v>0.2122</v>
      </c>
      <c r="I121" s="495">
        <v>84.47</v>
      </c>
      <c r="J121" s="496">
        <v>4139.03</v>
      </c>
      <c r="K121" s="498">
        <v>1.4632711604741712E-4</v>
      </c>
    </row>
    <row r="122" spans="1:14" ht="39" customHeight="1" x14ac:dyDescent="0.3">
      <c r="A122" s="493" t="s">
        <v>262</v>
      </c>
      <c r="B122" s="493" t="s">
        <v>116</v>
      </c>
      <c r="C122" s="493" t="s">
        <v>32</v>
      </c>
      <c r="D122" s="494" t="s">
        <v>117</v>
      </c>
      <c r="E122" s="493" t="s">
        <v>268</v>
      </c>
      <c r="F122" s="495">
        <v>24.976494000000002</v>
      </c>
      <c r="G122" s="496">
        <v>8.81</v>
      </c>
      <c r="H122" s="497">
        <v>0.2122</v>
      </c>
      <c r="I122" s="495">
        <v>10.68</v>
      </c>
      <c r="J122" s="496">
        <v>266.74</v>
      </c>
      <c r="K122" s="498">
        <v>9.4300584761376567E-6</v>
      </c>
    </row>
    <row r="123" spans="1:14" ht="39" customHeight="1" x14ac:dyDescent="0.3">
      <c r="A123" s="493" t="s">
        <v>263</v>
      </c>
      <c r="B123" s="493" t="s">
        <v>119</v>
      </c>
      <c r="C123" s="493" t="s">
        <v>32</v>
      </c>
      <c r="D123" s="494" t="s">
        <v>120</v>
      </c>
      <c r="E123" s="493" t="s">
        <v>121</v>
      </c>
      <c r="F123" s="495">
        <v>749.29482000000007</v>
      </c>
      <c r="G123" s="496">
        <v>2.1</v>
      </c>
      <c r="H123" s="497">
        <v>0.2122</v>
      </c>
      <c r="I123" s="495">
        <v>2.5499999999999998</v>
      </c>
      <c r="J123" s="496">
        <v>1910.7</v>
      </c>
      <c r="K123" s="498">
        <v>6.754897177159864E-5</v>
      </c>
    </row>
    <row r="124" spans="1:14" ht="39" customHeight="1" x14ac:dyDescent="0.3">
      <c r="A124" s="493" t="s">
        <v>264</v>
      </c>
      <c r="B124" s="493" t="s">
        <v>122</v>
      </c>
      <c r="C124" s="493" t="s">
        <v>32</v>
      </c>
      <c r="D124" s="494" t="s">
        <v>123</v>
      </c>
      <c r="E124" s="493" t="s">
        <v>121</v>
      </c>
      <c r="F124" s="495">
        <v>1118.9469312000001</v>
      </c>
      <c r="G124" s="496">
        <v>0.85</v>
      </c>
      <c r="H124" s="497">
        <v>0.2122</v>
      </c>
      <c r="I124" s="495">
        <v>1.03</v>
      </c>
      <c r="J124" s="496">
        <v>1152.51</v>
      </c>
      <c r="K124" s="498">
        <v>4.0744682815975895E-5</v>
      </c>
    </row>
    <row r="125" spans="1:14" s="358" customFormat="1" ht="39" customHeight="1" x14ac:dyDescent="0.3">
      <c r="A125" s="489" t="s">
        <v>265</v>
      </c>
      <c r="B125" s="489" t="s">
        <v>1328</v>
      </c>
      <c r="C125" s="489" t="s">
        <v>1328</v>
      </c>
      <c r="D125" s="490" t="s">
        <v>266</v>
      </c>
      <c r="E125" s="489" t="s">
        <v>1328</v>
      </c>
      <c r="F125" s="499"/>
      <c r="G125" s="357"/>
      <c r="H125" s="503"/>
      <c r="I125" s="499"/>
      <c r="J125" s="357">
        <v>4405.7</v>
      </c>
      <c r="K125" s="492">
        <v>1.5575469981375E-4</v>
      </c>
      <c r="L125" s="485"/>
      <c r="N125" s="359"/>
    </row>
    <row r="126" spans="1:14" ht="39" customHeight="1" x14ac:dyDescent="0.3">
      <c r="A126" s="493" t="s">
        <v>267</v>
      </c>
      <c r="B126" s="493" t="s">
        <v>233</v>
      </c>
      <c r="C126" s="493" t="s">
        <v>125</v>
      </c>
      <c r="D126" s="494" t="s">
        <v>4450</v>
      </c>
      <c r="E126" s="493" t="s">
        <v>268</v>
      </c>
      <c r="F126" s="495">
        <v>0.81600000000000028</v>
      </c>
      <c r="G126" s="496">
        <v>626.30999999999995</v>
      </c>
      <c r="H126" s="497">
        <v>0.2122</v>
      </c>
      <c r="I126" s="495">
        <v>759.21</v>
      </c>
      <c r="J126" s="496">
        <v>619.51</v>
      </c>
      <c r="K126" s="498">
        <v>2.1901535302362E-5</v>
      </c>
    </row>
    <row r="127" spans="1:14" ht="39" customHeight="1" x14ac:dyDescent="0.3">
      <c r="A127" s="493" t="s">
        <v>269</v>
      </c>
      <c r="B127" s="493" t="s">
        <v>235</v>
      </c>
      <c r="C127" s="493" t="s">
        <v>32</v>
      </c>
      <c r="D127" s="494" t="s">
        <v>4228</v>
      </c>
      <c r="E127" s="493" t="s">
        <v>268</v>
      </c>
      <c r="F127" s="495">
        <v>17.599999999999998</v>
      </c>
      <c r="G127" s="496">
        <v>62.38</v>
      </c>
      <c r="H127" s="497">
        <v>0.2122</v>
      </c>
      <c r="I127" s="495">
        <v>75.62</v>
      </c>
      <c r="J127" s="496">
        <v>1330.91</v>
      </c>
      <c r="K127" s="498">
        <v>4.7051657518468804E-5</v>
      </c>
    </row>
    <row r="128" spans="1:14" ht="39" customHeight="1" x14ac:dyDescent="0.3">
      <c r="A128" s="493" t="s">
        <v>270</v>
      </c>
      <c r="B128" s="493" t="s">
        <v>116</v>
      </c>
      <c r="C128" s="493" t="s">
        <v>32</v>
      </c>
      <c r="D128" s="494" t="s">
        <v>117</v>
      </c>
      <c r="E128" s="493" t="s">
        <v>268</v>
      </c>
      <c r="F128" s="495">
        <v>18.415999999999997</v>
      </c>
      <c r="G128" s="496">
        <v>8.81</v>
      </c>
      <c r="H128" s="497">
        <v>0.2122</v>
      </c>
      <c r="I128" s="495">
        <v>10.68</v>
      </c>
      <c r="J128" s="496">
        <v>196.68</v>
      </c>
      <c r="K128" s="498">
        <v>6.9532274915151625E-6</v>
      </c>
    </row>
    <row r="129" spans="1:11" ht="39" customHeight="1" x14ac:dyDescent="0.3">
      <c r="A129" s="493" t="s">
        <v>271</v>
      </c>
      <c r="B129" s="493" t="s">
        <v>119</v>
      </c>
      <c r="C129" s="493" t="s">
        <v>32</v>
      </c>
      <c r="D129" s="494" t="s">
        <v>120</v>
      </c>
      <c r="E129" s="493" t="s">
        <v>121</v>
      </c>
      <c r="F129" s="495">
        <v>552.4799999999999</v>
      </c>
      <c r="G129" s="496">
        <v>2.1</v>
      </c>
      <c r="H129" s="497">
        <v>0.2122</v>
      </c>
      <c r="I129" s="495">
        <v>2.5499999999999998</v>
      </c>
      <c r="J129" s="496">
        <v>1408.82</v>
      </c>
      <c r="K129" s="498">
        <v>4.9806009531199869E-5</v>
      </c>
    </row>
    <row r="130" spans="1:11" ht="39" customHeight="1" x14ac:dyDescent="0.3">
      <c r="A130" s="493" t="s">
        <v>272</v>
      </c>
      <c r="B130" s="493" t="s">
        <v>122</v>
      </c>
      <c r="C130" s="493" t="s">
        <v>32</v>
      </c>
      <c r="D130" s="494" t="s">
        <v>123</v>
      </c>
      <c r="E130" s="493" t="s">
        <v>121</v>
      </c>
      <c r="F130" s="495">
        <v>825.03679999999986</v>
      </c>
      <c r="G130" s="496">
        <v>0.85</v>
      </c>
      <c r="H130" s="497">
        <v>0.2122</v>
      </c>
      <c r="I130" s="495">
        <v>1.03</v>
      </c>
      <c r="J130" s="496">
        <v>849.78</v>
      </c>
      <c r="K130" s="498">
        <v>3.0042269970204159E-5</v>
      </c>
    </row>
    <row r="131" spans="1:11" ht="24" customHeight="1" x14ac:dyDescent="0.3">
      <c r="A131" s="489" t="s">
        <v>273</v>
      </c>
      <c r="B131" s="489" t="s">
        <v>1328</v>
      </c>
      <c r="C131" s="489" t="s">
        <v>1328</v>
      </c>
      <c r="D131" s="490" t="s">
        <v>274</v>
      </c>
      <c r="E131" s="490" t="s">
        <v>1328</v>
      </c>
      <c r="F131" s="499"/>
      <c r="G131" s="490"/>
      <c r="H131" s="489"/>
      <c r="I131" s="500"/>
      <c r="J131" s="357">
        <v>39899.159999999996</v>
      </c>
      <c r="K131" s="492">
        <v>1.4105548922125385E-3</v>
      </c>
    </row>
    <row r="132" spans="1:11" ht="39" customHeight="1" x14ac:dyDescent="0.3">
      <c r="A132" s="493" t="s">
        <v>275</v>
      </c>
      <c r="B132" s="493" t="s">
        <v>4231</v>
      </c>
      <c r="C132" s="493" t="s">
        <v>4210</v>
      </c>
      <c r="D132" s="494" t="s">
        <v>276</v>
      </c>
      <c r="E132" s="493" t="s">
        <v>89</v>
      </c>
      <c r="F132" s="495">
        <v>14</v>
      </c>
      <c r="G132" s="496">
        <v>119.76</v>
      </c>
      <c r="H132" s="497">
        <v>0.111</v>
      </c>
      <c r="I132" s="495">
        <v>133.05000000000001</v>
      </c>
      <c r="J132" s="496">
        <v>1862.7</v>
      </c>
      <c r="K132" s="498">
        <v>6.5852027905457044E-5</v>
      </c>
    </row>
    <row r="133" spans="1:11" ht="39" customHeight="1" x14ac:dyDescent="0.3">
      <c r="A133" s="493" t="s">
        <v>277</v>
      </c>
      <c r="B133" s="493" t="s">
        <v>4392</v>
      </c>
      <c r="C133" s="493" t="s">
        <v>251</v>
      </c>
      <c r="D133" s="494" t="s">
        <v>278</v>
      </c>
      <c r="E133" s="493" t="s">
        <v>89</v>
      </c>
      <c r="F133" s="495">
        <v>14</v>
      </c>
      <c r="G133" s="496">
        <v>2241.29</v>
      </c>
      <c r="H133" s="497">
        <v>0.2122</v>
      </c>
      <c r="I133" s="495">
        <v>2716.89</v>
      </c>
      <c r="J133" s="496">
        <v>38036.46</v>
      </c>
      <c r="K133" s="498">
        <v>1.3447028643070816E-3</v>
      </c>
    </row>
    <row r="134" spans="1:11" ht="24" customHeight="1" x14ac:dyDescent="0.3">
      <c r="A134" s="489" t="s">
        <v>279</v>
      </c>
      <c r="B134" s="489" t="s">
        <v>1328</v>
      </c>
      <c r="C134" s="489" t="s">
        <v>1328</v>
      </c>
      <c r="D134" s="490" t="s">
        <v>280</v>
      </c>
      <c r="E134" s="490" t="s">
        <v>1328</v>
      </c>
      <c r="F134" s="499"/>
      <c r="G134" s="490"/>
      <c r="H134" s="489"/>
      <c r="I134" s="500"/>
      <c r="J134" s="357">
        <v>3281980.4599999995</v>
      </c>
      <c r="K134" s="492">
        <v>0.11602784604986564</v>
      </c>
    </row>
    <row r="135" spans="1:11" ht="24" customHeight="1" x14ac:dyDescent="0.3">
      <c r="A135" s="489" t="s">
        <v>281</v>
      </c>
      <c r="B135" s="489" t="s">
        <v>1328</v>
      </c>
      <c r="C135" s="489" t="s">
        <v>1328</v>
      </c>
      <c r="D135" s="490" t="s">
        <v>282</v>
      </c>
      <c r="E135" s="490" t="s">
        <v>1328</v>
      </c>
      <c r="F135" s="499"/>
      <c r="G135" s="490"/>
      <c r="H135" s="489"/>
      <c r="I135" s="500"/>
      <c r="J135" s="357">
        <v>344671.57</v>
      </c>
      <c r="K135" s="492">
        <v>1.2185173053018571E-2</v>
      </c>
    </row>
    <row r="136" spans="1:11" ht="50" x14ac:dyDescent="0.3">
      <c r="A136" s="493" t="s">
        <v>283</v>
      </c>
      <c r="B136" s="493" t="s">
        <v>284</v>
      </c>
      <c r="C136" s="493" t="s">
        <v>32</v>
      </c>
      <c r="D136" s="494" t="s">
        <v>4411</v>
      </c>
      <c r="E136" s="493" t="s">
        <v>268</v>
      </c>
      <c r="F136" s="495">
        <v>64.960000000006957</v>
      </c>
      <c r="G136" s="496">
        <v>11.8</v>
      </c>
      <c r="H136" s="497">
        <v>0.2122</v>
      </c>
      <c r="I136" s="495">
        <v>14.3</v>
      </c>
      <c r="J136" s="496">
        <v>928.92</v>
      </c>
      <c r="K136" s="498">
        <v>3.2840106169505103E-5</v>
      </c>
    </row>
    <row r="137" spans="1:11" ht="50" x14ac:dyDescent="0.3">
      <c r="A137" s="493" t="s">
        <v>286</v>
      </c>
      <c r="B137" s="493" t="s">
        <v>287</v>
      </c>
      <c r="C137" s="493" t="s">
        <v>32</v>
      </c>
      <c r="D137" s="494" t="s">
        <v>4412</v>
      </c>
      <c r="E137" s="493" t="s">
        <v>268</v>
      </c>
      <c r="F137" s="495">
        <v>3.6133345332620621</v>
      </c>
      <c r="G137" s="496">
        <v>14.94</v>
      </c>
      <c r="H137" s="497">
        <v>0.2122</v>
      </c>
      <c r="I137" s="495">
        <v>18.11</v>
      </c>
      <c r="J137" s="496">
        <v>65.430000000000007</v>
      </c>
      <c r="K137" s="498">
        <v>2.3131466075342539E-6</v>
      </c>
    </row>
    <row r="138" spans="1:11" ht="50" x14ac:dyDescent="0.3">
      <c r="A138" s="493" t="s">
        <v>288</v>
      </c>
      <c r="B138" s="493" t="s">
        <v>289</v>
      </c>
      <c r="C138" s="493" t="s">
        <v>32</v>
      </c>
      <c r="D138" s="494" t="s">
        <v>4413</v>
      </c>
      <c r="E138" s="493" t="s">
        <v>268</v>
      </c>
      <c r="F138" s="495">
        <v>416.56334663021261</v>
      </c>
      <c r="G138" s="496">
        <v>12.18</v>
      </c>
      <c r="H138" s="497">
        <v>0.2122</v>
      </c>
      <c r="I138" s="495">
        <v>14.76</v>
      </c>
      <c r="J138" s="496">
        <v>6148.47</v>
      </c>
      <c r="K138" s="498">
        <v>2.1736684276365786E-4</v>
      </c>
    </row>
    <row r="139" spans="1:11" ht="62.5" x14ac:dyDescent="0.3">
      <c r="A139" s="493" t="s">
        <v>291</v>
      </c>
      <c r="B139" s="493" t="s">
        <v>292</v>
      </c>
      <c r="C139" s="493" t="s">
        <v>32</v>
      </c>
      <c r="D139" s="494" t="s">
        <v>4414</v>
      </c>
      <c r="E139" s="493" t="s">
        <v>268</v>
      </c>
      <c r="F139" s="495">
        <v>416.56334663021261</v>
      </c>
      <c r="G139" s="496">
        <v>11.39</v>
      </c>
      <c r="H139" s="497">
        <v>0.2122</v>
      </c>
      <c r="I139" s="495">
        <v>13.81</v>
      </c>
      <c r="J139" s="496">
        <v>5752.73</v>
      </c>
      <c r="K139" s="498">
        <v>2.0337624764726466E-4</v>
      </c>
    </row>
    <row r="140" spans="1:11" ht="50" x14ac:dyDescent="0.3">
      <c r="A140" s="493" t="s">
        <v>293</v>
      </c>
      <c r="B140" s="493" t="s">
        <v>294</v>
      </c>
      <c r="C140" s="493" t="s">
        <v>32</v>
      </c>
      <c r="D140" s="494" t="s">
        <v>4415</v>
      </c>
      <c r="E140" s="493" t="s">
        <v>268</v>
      </c>
      <c r="F140" s="495">
        <v>287.59993300917779</v>
      </c>
      <c r="G140" s="496">
        <v>10.96</v>
      </c>
      <c r="H140" s="497">
        <v>0.2122</v>
      </c>
      <c r="I140" s="495">
        <v>13.29</v>
      </c>
      <c r="J140" s="496">
        <v>3822.2</v>
      </c>
      <c r="K140" s="498">
        <v>1.351262259409663E-4</v>
      </c>
    </row>
    <row r="141" spans="1:11" ht="50" x14ac:dyDescent="0.3">
      <c r="A141" s="493" t="s">
        <v>295</v>
      </c>
      <c r="B141" s="493" t="s">
        <v>296</v>
      </c>
      <c r="C141" s="493" t="s">
        <v>32</v>
      </c>
      <c r="D141" s="494" t="s">
        <v>4416</v>
      </c>
      <c r="E141" s="493" t="s">
        <v>268</v>
      </c>
      <c r="F141" s="495">
        <v>148.49079890181946</v>
      </c>
      <c r="G141" s="496">
        <v>10.73</v>
      </c>
      <c r="H141" s="497">
        <v>0.2122</v>
      </c>
      <c r="I141" s="495">
        <v>13.01</v>
      </c>
      <c r="J141" s="496">
        <v>1931.86</v>
      </c>
      <c r="K141" s="498">
        <v>6.8297041192589379E-5</v>
      </c>
    </row>
    <row r="142" spans="1:11" ht="62.5" x14ac:dyDescent="0.3">
      <c r="A142" s="493" t="s">
        <v>298</v>
      </c>
      <c r="B142" s="493" t="s">
        <v>299</v>
      </c>
      <c r="C142" s="493" t="s">
        <v>32</v>
      </c>
      <c r="D142" s="494" t="s">
        <v>4417</v>
      </c>
      <c r="E142" s="493" t="s">
        <v>268</v>
      </c>
      <c r="F142" s="495">
        <v>341.15000450026776</v>
      </c>
      <c r="G142" s="496">
        <v>10.49</v>
      </c>
      <c r="H142" s="497">
        <v>0.2122</v>
      </c>
      <c r="I142" s="495">
        <v>12.72</v>
      </c>
      <c r="J142" s="496">
        <v>4339.42</v>
      </c>
      <c r="K142" s="498">
        <v>1.5341150315858617E-4</v>
      </c>
    </row>
    <row r="143" spans="1:11" ht="62.5" x14ac:dyDescent="0.3">
      <c r="A143" s="493" t="s">
        <v>300</v>
      </c>
      <c r="B143" s="493" t="s">
        <v>301</v>
      </c>
      <c r="C143" s="493" t="s">
        <v>32</v>
      </c>
      <c r="D143" s="494" t="s">
        <v>4418</v>
      </c>
      <c r="E143" s="493" t="s">
        <v>268</v>
      </c>
      <c r="F143" s="495">
        <v>135.90484442746086</v>
      </c>
      <c r="G143" s="496">
        <v>9.01</v>
      </c>
      <c r="H143" s="497">
        <v>0.2122</v>
      </c>
      <c r="I143" s="495">
        <v>10.92</v>
      </c>
      <c r="J143" s="496">
        <v>1484.08</v>
      </c>
      <c r="K143" s="498">
        <v>5.2466676101321036E-5</v>
      </c>
    </row>
    <row r="144" spans="1:11" ht="62.5" x14ac:dyDescent="0.3">
      <c r="A144" s="493" t="s">
        <v>302</v>
      </c>
      <c r="B144" s="493" t="s">
        <v>303</v>
      </c>
      <c r="C144" s="493" t="s">
        <v>32</v>
      </c>
      <c r="D144" s="494" t="s">
        <v>4419</v>
      </c>
      <c r="E144" s="493" t="s">
        <v>268</v>
      </c>
      <c r="F144" s="495">
        <v>846.15485589323043</v>
      </c>
      <c r="G144" s="496">
        <v>9.31</v>
      </c>
      <c r="H144" s="497">
        <v>0.2122</v>
      </c>
      <c r="I144" s="495">
        <v>11.29</v>
      </c>
      <c r="J144" s="496">
        <v>9553.08</v>
      </c>
      <c r="K144" s="498">
        <v>3.3773001059916446E-4</v>
      </c>
    </row>
    <row r="145" spans="1:11" ht="62.5" x14ac:dyDescent="0.3">
      <c r="A145" s="493" t="s">
        <v>304</v>
      </c>
      <c r="B145" s="493" t="s">
        <v>305</v>
      </c>
      <c r="C145" s="493" t="s">
        <v>32</v>
      </c>
      <c r="D145" s="494" t="s">
        <v>4420</v>
      </c>
      <c r="E145" s="493" t="s">
        <v>268</v>
      </c>
      <c r="F145" s="495">
        <v>764.29939691022128</v>
      </c>
      <c r="G145" s="496">
        <v>8.6999999999999993</v>
      </c>
      <c r="H145" s="497">
        <v>0.2122</v>
      </c>
      <c r="I145" s="495">
        <v>10.55</v>
      </c>
      <c r="J145" s="496">
        <v>8063.35</v>
      </c>
      <c r="K145" s="498">
        <v>2.8506359006359966E-4</v>
      </c>
    </row>
    <row r="146" spans="1:11" ht="62.5" x14ac:dyDescent="0.3">
      <c r="A146" s="493" t="s">
        <v>307</v>
      </c>
      <c r="B146" s="493" t="s">
        <v>308</v>
      </c>
      <c r="C146" s="493" t="s">
        <v>32</v>
      </c>
      <c r="D146" s="494" t="s">
        <v>4421</v>
      </c>
      <c r="E146" s="493" t="s">
        <v>268</v>
      </c>
      <c r="F146" s="495">
        <v>49.898110681382072</v>
      </c>
      <c r="G146" s="496">
        <v>8.36</v>
      </c>
      <c r="H146" s="497">
        <v>0.2122</v>
      </c>
      <c r="I146" s="495">
        <v>10.130000000000001</v>
      </c>
      <c r="J146" s="496">
        <v>505.46</v>
      </c>
      <c r="K146" s="498">
        <v>1.7869525970415159E-5</v>
      </c>
    </row>
    <row r="147" spans="1:11" ht="37.5" x14ac:dyDescent="0.3">
      <c r="A147" s="493" t="s">
        <v>309</v>
      </c>
      <c r="B147" s="493" t="s">
        <v>310</v>
      </c>
      <c r="C147" s="493" t="s">
        <v>4210</v>
      </c>
      <c r="D147" s="494" t="s">
        <v>311</v>
      </c>
      <c r="E147" s="493" t="s">
        <v>268</v>
      </c>
      <c r="F147" s="495">
        <v>1983.7951788816897</v>
      </c>
      <c r="G147" s="496">
        <v>13.06</v>
      </c>
      <c r="H147" s="497">
        <v>0.2122</v>
      </c>
      <c r="I147" s="495">
        <v>15.83</v>
      </c>
      <c r="J147" s="496">
        <v>31403.47</v>
      </c>
      <c r="K147" s="498">
        <v>1.1102067873346127E-3</v>
      </c>
    </row>
    <row r="148" spans="1:11" ht="37.5" x14ac:dyDescent="0.3">
      <c r="A148" s="493" t="s">
        <v>312</v>
      </c>
      <c r="B148" s="493" t="s">
        <v>313</v>
      </c>
      <c r="C148" s="493" t="s">
        <v>4210</v>
      </c>
      <c r="D148" s="494" t="s">
        <v>314</v>
      </c>
      <c r="E148" s="493" t="s">
        <v>268</v>
      </c>
      <c r="F148" s="495">
        <v>1131.6166220623754</v>
      </c>
      <c r="G148" s="496">
        <v>17.96</v>
      </c>
      <c r="H148" s="497">
        <v>0.2122</v>
      </c>
      <c r="I148" s="495">
        <v>21.77</v>
      </c>
      <c r="J148" s="496">
        <v>24635.29</v>
      </c>
      <c r="K148" s="498">
        <v>8.7093133866915069E-4</v>
      </c>
    </row>
    <row r="149" spans="1:11" ht="37.5" x14ac:dyDescent="0.3">
      <c r="A149" s="493" t="s">
        <v>315</v>
      </c>
      <c r="B149" s="493" t="s">
        <v>316</v>
      </c>
      <c r="C149" s="493" t="s">
        <v>4210</v>
      </c>
      <c r="D149" s="494" t="s">
        <v>317</v>
      </c>
      <c r="E149" s="493" t="s">
        <v>268</v>
      </c>
      <c r="F149" s="495">
        <v>125.4469271791038</v>
      </c>
      <c r="G149" s="496">
        <v>26.13</v>
      </c>
      <c r="H149" s="497">
        <v>0.2122</v>
      </c>
      <c r="I149" s="495">
        <v>31.67</v>
      </c>
      <c r="J149" s="496">
        <v>3972.9</v>
      </c>
      <c r="K149" s="498">
        <v>1.4045392262070666E-4</v>
      </c>
    </row>
    <row r="150" spans="1:11" ht="25" x14ac:dyDescent="0.3">
      <c r="A150" s="493" t="s">
        <v>318</v>
      </c>
      <c r="B150" s="493" t="s">
        <v>16937</v>
      </c>
      <c r="C150" s="493" t="s">
        <v>446</v>
      </c>
      <c r="D150" s="494" t="s">
        <v>16938</v>
      </c>
      <c r="E150" s="493" t="s">
        <v>268</v>
      </c>
      <c r="F150" s="495">
        <v>406.58992602701767</v>
      </c>
      <c r="G150" s="496">
        <v>108.71</v>
      </c>
      <c r="H150" s="497">
        <v>0.2122</v>
      </c>
      <c r="I150" s="495">
        <v>131.78</v>
      </c>
      <c r="J150" s="496">
        <v>53580.42</v>
      </c>
      <c r="K150" s="498">
        <v>1.8942284388393776E-3</v>
      </c>
    </row>
    <row r="151" spans="1:11" ht="50" x14ac:dyDescent="0.3">
      <c r="A151" s="493" t="s">
        <v>320</v>
      </c>
      <c r="B151" s="493" t="s">
        <v>127</v>
      </c>
      <c r="C151" s="493" t="s">
        <v>32</v>
      </c>
      <c r="D151" s="494" t="s">
        <v>128</v>
      </c>
      <c r="E151" s="493" t="s">
        <v>268</v>
      </c>
      <c r="F151" s="495">
        <v>1744.3806857317095</v>
      </c>
      <c r="G151" s="496">
        <v>6.53</v>
      </c>
      <c r="H151" s="497">
        <v>0.2122</v>
      </c>
      <c r="I151" s="495">
        <v>7.92</v>
      </c>
      <c r="J151" s="496">
        <v>13815.49</v>
      </c>
      <c r="K151" s="498">
        <v>4.8841897944250964E-4</v>
      </c>
    </row>
    <row r="152" spans="1:11" ht="25" x14ac:dyDescent="0.3">
      <c r="A152" s="493" t="s">
        <v>321</v>
      </c>
      <c r="B152" s="493" t="s">
        <v>119</v>
      </c>
      <c r="C152" s="493" t="s">
        <v>32</v>
      </c>
      <c r="D152" s="494" t="s">
        <v>120</v>
      </c>
      <c r="E152" s="493" t="s">
        <v>121</v>
      </c>
      <c r="F152" s="495">
        <v>52331.420571951283</v>
      </c>
      <c r="G152" s="496">
        <v>2.1</v>
      </c>
      <c r="H152" s="497">
        <v>0.2122</v>
      </c>
      <c r="I152" s="495">
        <v>2.5499999999999998</v>
      </c>
      <c r="J152" s="496">
        <v>133445.12</v>
      </c>
      <c r="K152" s="498">
        <v>4.71768495521934E-3</v>
      </c>
    </row>
    <row r="153" spans="1:11" ht="37.5" x14ac:dyDescent="0.3">
      <c r="A153" s="493" t="s">
        <v>322</v>
      </c>
      <c r="B153" s="493" t="s">
        <v>122</v>
      </c>
      <c r="C153" s="493" t="s">
        <v>32</v>
      </c>
      <c r="D153" s="494" t="s">
        <v>123</v>
      </c>
      <c r="E153" s="493" t="s">
        <v>121</v>
      </c>
      <c r="F153" s="495">
        <v>37211.857473817014</v>
      </c>
      <c r="G153" s="496">
        <v>0.85</v>
      </c>
      <c r="H153" s="497">
        <v>0.2122</v>
      </c>
      <c r="I153" s="495">
        <v>1.03</v>
      </c>
      <c r="J153" s="496">
        <v>38328.21</v>
      </c>
      <c r="K153" s="498">
        <v>1.3550171012434733E-3</v>
      </c>
    </row>
    <row r="154" spans="1:11" x14ac:dyDescent="0.3">
      <c r="A154" s="493" t="s">
        <v>323</v>
      </c>
      <c r="B154" s="493" t="s">
        <v>324</v>
      </c>
      <c r="C154" s="493" t="s">
        <v>32</v>
      </c>
      <c r="D154" s="494" t="s">
        <v>4422</v>
      </c>
      <c r="E154" s="493" t="s">
        <v>268</v>
      </c>
      <c r="F154" s="495">
        <v>1744.3806857317095</v>
      </c>
      <c r="G154" s="496">
        <v>1.37</v>
      </c>
      <c r="H154" s="497">
        <v>0.2122</v>
      </c>
      <c r="I154" s="495">
        <v>1.66</v>
      </c>
      <c r="J154" s="496">
        <v>2895.67</v>
      </c>
      <c r="K154" s="498">
        <v>1.0237061343479616E-4</v>
      </c>
    </row>
    <row r="155" spans="1:11" ht="24" customHeight="1" x14ac:dyDescent="0.3">
      <c r="A155" s="489" t="s">
        <v>325</v>
      </c>
      <c r="B155" s="489" t="s">
        <v>1328</v>
      </c>
      <c r="C155" s="489" t="s">
        <v>1328</v>
      </c>
      <c r="D155" s="490" t="s">
        <v>326</v>
      </c>
      <c r="E155" s="490" t="s">
        <v>1328</v>
      </c>
      <c r="F155" s="499"/>
      <c r="G155" s="490"/>
      <c r="H155" s="489"/>
      <c r="I155" s="500"/>
      <c r="J155" s="357">
        <v>201.85</v>
      </c>
      <c r="K155" s="492">
        <v>7.1360024870974954E-6</v>
      </c>
    </row>
    <row r="156" spans="1:11" ht="39" customHeight="1" x14ac:dyDescent="0.3">
      <c r="A156" s="493" t="s">
        <v>327</v>
      </c>
      <c r="B156" s="493" t="s">
        <v>328</v>
      </c>
      <c r="C156" s="493" t="s">
        <v>125</v>
      </c>
      <c r="D156" s="494" t="s">
        <v>329</v>
      </c>
      <c r="E156" s="493" t="s">
        <v>1901</v>
      </c>
      <c r="F156" s="495">
        <v>12.189321557942453</v>
      </c>
      <c r="G156" s="496">
        <v>13.66</v>
      </c>
      <c r="H156" s="497">
        <v>0.2122</v>
      </c>
      <c r="I156" s="495">
        <v>16.559999999999999</v>
      </c>
      <c r="J156" s="496">
        <v>201.85</v>
      </c>
      <c r="K156" s="498">
        <v>7.1360024870974954E-6</v>
      </c>
    </row>
    <row r="157" spans="1:11" ht="24" customHeight="1" x14ac:dyDescent="0.3">
      <c r="A157" s="489" t="s">
        <v>331</v>
      </c>
      <c r="B157" s="489" t="s">
        <v>1328</v>
      </c>
      <c r="C157" s="489" t="s">
        <v>1328</v>
      </c>
      <c r="D157" s="490" t="s">
        <v>332</v>
      </c>
      <c r="E157" s="490" t="s">
        <v>1328</v>
      </c>
      <c r="F157" s="499"/>
      <c r="G157" s="490"/>
      <c r="H157" s="489"/>
      <c r="I157" s="500"/>
      <c r="J157" s="357">
        <v>336161.36000000004</v>
      </c>
      <c r="K157" s="492">
        <v>1.1884311622621139E-2</v>
      </c>
    </row>
    <row r="158" spans="1:11" ht="37.5" x14ac:dyDescent="0.3">
      <c r="A158" s="493" t="s">
        <v>333</v>
      </c>
      <c r="B158" s="493" t="s">
        <v>334</v>
      </c>
      <c r="C158" s="493" t="s">
        <v>243</v>
      </c>
      <c r="D158" s="494" t="s">
        <v>335</v>
      </c>
      <c r="E158" s="493" t="s">
        <v>1332</v>
      </c>
      <c r="F158" s="495">
        <v>487.3571492860969</v>
      </c>
      <c r="G158" s="496">
        <v>23.05</v>
      </c>
      <c r="H158" s="497">
        <v>0.2122</v>
      </c>
      <c r="I158" s="495">
        <v>27.94</v>
      </c>
      <c r="J158" s="496">
        <v>13616.75</v>
      </c>
      <c r="K158" s="498">
        <v>4.8139292477673926E-4</v>
      </c>
    </row>
    <row r="159" spans="1:11" ht="50" x14ac:dyDescent="0.3">
      <c r="A159" s="493" t="s">
        <v>336</v>
      </c>
      <c r="B159" s="493" t="s">
        <v>337</v>
      </c>
      <c r="C159" s="493" t="s">
        <v>243</v>
      </c>
      <c r="D159" s="494" t="s">
        <v>338</v>
      </c>
      <c r="E159" s="493" t="s">
        <v>1332</v>
      </c>
      <c r="F159" s="495">
        <v>223.31316137011868</v>
      </c>
      <c r="G159" s="496">
        <v>30.02</v>
      </c>
      <c r="H159" s="497">
        <v>0.2122</v>
      </c>
      <c r="I159" s="495">
        <v>36.39</v>
      </c>
      <c r="J159" s="496">
        <v>8126.36</v>
      </c>
      <c r="K159" s="498">
        <v>2.8729118241788257E-4</v>
      </c>
    </row>
    <row r="160" spans="1:11" ht="50" x14ac:dyDescent="0.3">
      <c r="A160" s="493" t="s">
        <v>339</v>
      </c>
      <c r="B160" s="493" t="s">
        <v>340</v>
      </c>
      <c r="C160" s="493" t="s">
        <v>243</v>
      </c>
      <c r="D160" s="494" t="s">
        <v>4423</v>
      </c>
      <c r="E160" s="493" t="s">
        <v>1332</v>
      </c>
      <c r="F160" s="495">
        <v>868.50518978211539</v>
      </c>
      <c r="G160" s="496">
        <v>32.4</v>
      </c>
      <c r="H160" s="497">
        <v>0.2122</v>
      </c>
      <c r="I160" s="495">
        <v>39.28</v>
      </c>
      <c r="J160" s="496">
        <v>34114.879999999997</v>
      </c>
      <c r="K160" s="498">
        <v>1.2060632575032579E-3</v>
      </c>
    </row>
    <row r="161" spans="1:11" ht="37.5" x14ac:dyDescent="0.3">
      <c r="A161" s="493" t="s">
        <v>341</v>
      </c>
      <c r="B161" s="493" t="s">
        <v>342</v>
      </c>
      <c r="C161" s="493" t="s">
        <v>243</v>
      </c>
      <c r="D161" s="494" t="s">
        <v>343</v>
      </c>
      <c r="E161" s="493" t="s">
        <v>1332</v>
      </c>
      <c r="F161" s="495">
        <v>862.011251518579</v>
      </c>
      <c r="G161" s="496">
        <v>41.58</v>
      </c>
      <c r="H161" s="497">
        <v>0.2122</v>
      </c>
      <c r="I161" s="495">
        <v>50.4</v>
      </c>
      <c r="J161" s="496">
        <v>43445.36</v>
      </c>
      <c r="K161" s="498">
        <v>1.5359236909231909E-3</v>
      </c>
    </row>
    <row r="162" spans="1:11" ht="50" x14ac:dyDescent="0.3">
      <c r="A162" s="493" t="s">
        <v>344</v>
      </c>
      <c r="B162" s="493" t="s">
        <v>345</v>
      </c>
      <c r="C162" s="493" t="s">
        <v>243</v>
      </c>
      <c r="D162" s="494" t="s">
        <v>4425</v>
      </c>
      <c r="E162" s="493" t="s">
        <v>1332</v>
      </c>
      <c r="F162" s="495">
        <v>83.231363532681556</v>
      </c>
      <c r="G162" s="496">
        <v>23.69</v>
      </c>
      <c r="H162" s="497">
        <v>0.2122</v>
      </c>
      <c r="I162" s="495">
        <v>28.72</v>
      </c>
      <c r="J162" s="496">
        <v>2390.4</v>
      </c>
      <c r="K162" s="498">
        <v>8.4507804533851143E-5</v>
      </c>
    </row>
    <row r="163" spans="1:11" ht="50" x14ac:dyDescent="0.3">
      <c r="A163" s="493" t="s">
        <v>346</v>
      </c>
      <c r="B163" s="493" t="s">
        <v>347</v>
      </c>
      <c r="C163" s="493" t="s">
        <v>243</v>
      </c>
      <c r="D163" s="494" t="s">
        <v>4426</v>
      </c>
      <c r="E163" s="493" t="s">
        <v>1332</v>
      </c>
      <c r="F163" s="495">
        <v>1464.930562147292</v>
      </c>
      <c r="G163" s="496">
        <v>47.36</v>
      </c>
      <c r="H163" s="497">
        <v>0.2122</v>
      </c>
      <c r="I163" s="495">
        <v>57.41</v>
      </c>
      <c r="J163" s="496">
        <v>84101.66</v>
      </c>
      <c r="K163" s="498">
        <v>2.9732457514442803E-3</v>
      </c>
    </row>
    <row r="164" spans="1:11" ht="37.5" x14ac:dyDescent="0.3">
      <c r="A164" s="493" t="s">
        <v>348</v>
      </c>
      <c r="B164" s="493" t="s">
        <v>349</v>
      </c>
      <c r="C164" s="493" t="s">
        <v>243</v>
      </c>
      <c r="D164" s="494" t="s">
        <v>4427</v>
      </c>
      <c r="E164" s="493" t="s">
        <v>1332</v>
      </c>
      <c r="F164" s="495">
        <v>1464.930562147292</v>
      </c>
      <c r="G164" s="496">
        <v>59.71</v>
      </c>
      <c r="H164" s="497">
        <v>0.2122</v>
      </c>
      <c r="I164" s="495">
        <v>72.38</v>
      </c>
      <c r="J164" s="496">
        <v>106031.67</v>
      </c>
      <c r="K164" s="498">
        <v>3.7485373338176906E-3</v>
      </c>
    </row>
    <row r="165" spans="1:11" ht="50" x14ac:dyDescent="0.3">
      <c r="A165" s="493" t="s">
        <v>350</v>
      </c>
      <c r="B165" s="493" t="s">
        <v>351</v>
      </c>
      <c r="C165" s="493" t="s">
        <v>243</v>
      </c>
      <c r="D165" s="494" t="s">
        <v>4428</v>
      </c>
      <c r="E165" s="493" t="s">
        <v>1332</v>
      </c>
      <c r="F165" s="495">
        <v>900.66899225701604</v>
      </c>
      <c r="G165" s="496">
        <v>38.700000000000003</v>
      </c>
      <c r="H165" s="497">
        <v>0.2122</v>
      </c>
      <c r="I165" s="495">
        <v>46.91</v>
      </c>
      <c r="J165" s="496">
        <v>42250.38</v>
      </c>
      <c r="K165" s="498">
        <v>1.4936775663156516E-3</v>
      </c>
    </row>
    <row r="166" spans="1:11" ht="50" x14ac:dyDescent="0.3">
      <c r="A166" s="493" t="s">
        <v>352</v>
      </c>
      <c r="B166" s="493" t="s">
        <v>353</v>
      </c>
      <c r="C166" s="493" t="s">
        <v>243</v>
      </c>
      <c r="D166" s="494" t="s">
        <v>4429</v>
      </c>
      <c r="E166" s="493" t="s">
        <v>1332</v>
      </c>
      <c r="F166" s="495">
        <v>48.860714877843591</v>
      </c>
      <c r="G166" s="496">
        <v>35.18</v>
      </c>
      <c r="H166" s="497">
        <v>0.2122</v>
      </c>
      <c r="I166" s="495">
        <v>42.65</v>
      </c>
      <c r="J166" s="496">
        <v>2083.9</v>
      </c>
      <c r="K166" s="498">
        <v>7.3672110888592873E-5</v>
      </c>
    </row>
    <row r="167" spans="1:11" ht="24" customHeight="1" x14ac:dyDescent="0.3">
      <c r="A167" s="489" t="s">
        <v>354</v>
      </c>
      <c r="B167" s="489" t="s">
        <v>1328</v>
      </c>
      <c r="C167" s="489" t="s">
        <v>1328</v>
      </c>
      <c r="D167" s="490" t="s">
        <v>355</v>
      </c>
      <c r="E167" s="490" t="s">
        <v>1328</v>
      </c>
      <c r="F167" s="499"/>
      <c r="G167" s="490"/>
      <c r="H167" s="489"/>
      <c r="I167" s="500"/>
      <c r="J167" s="357">
        <v>674004.19</v>
      </c>
      <c r="K167" s="492">
        <v>2.3828068249463128E-2</v>
      </c>
    </row>
    <row r="168" spans="1:11" ht="39" customHeight="1" x14ac:dyDescent="0.3">
      <c r="A168" s="493" t="s">
        <v>356</v>
      </c>
      <c r="B168" s="493" t="s">
        <v>357</v>
      </c>
      <c r="C168" s="493" t="s">
        <v>32</v>
      </c>
      <c r="D168" s="494" t="s">
        <v>358</v>
      </c>
      <c r="E168" s="493" t="s">
        <v>268</v>
      </c>
      <c r="F168" s="495">
        <v>22.743333633351188</v>
      </c>
      <c r="G168" s="496">
        <v>271.92</v>
      </c>
      <c r="H168" s="497">
        <v>0.2122</v>
      </c>
      <c r="I168" s="495">
        <v>329.62</v>
      </c>
      <c r="J168" s="496">
        <v>7496.65</v>
      </c>
      <c r="K168" s="498">
        <v>2.6502904654396553E-4</v>
      </c>
    </row>
    <row r="169" spans="1:11" ht="39" customHeight="1" x14ac:dyDescent="0.3">
      <c r="A169" s="493" t="s">
        <v>359</v>
      </c>
      <c r="B169" s="493" t="s">
        <v>360</v>
      </c>
      <c r="C169" s="493" t="s">
        <v>32</v>
      </c>
      <c r="D169" s="494" t="s">
        <v>361</v>
      </c>
      <c r="E169" s="493" t="s">
        <v>268</v>
      </c>
      <c r="F169" s="495">
        <v>332.33178302823859</v>
      </c>
      <c r="G169" s="496">
        <v>224.67</v>
      </c>
      <c r="H169" s="497">
        <v>0.2122</v>
      </c>
      <c r="I169" s="495">
        <v>272.33999999999997</v>
      </c>
      <c r="J169" s="496">
        <v>90507.23</v>
      </c>
      <c r="K169" s="498">
        <v>3.1997018497909586E-3</v>
      </c>
    </row>
    <row r="170" spans="1:11" ht="39" customHeight="1" x14ac:dyDescent="0.3">
      <c r="A170" s="493" t="s">
        <v>362</v>
      </c>
      <c r="B170" s="493" t="s">
        <v>363</v>
      </c>
      <c r="C170" s="493" t="s">
        <v>4210</v>
      </c>
      <c r="D170" s="494" t="s">
        <v>364</v>
      </c>
      <c r="E170" s="493" t="s">
        <v>268</v>
      </c>
      <c r="F170" s="495">
        <v>267.51512445547655</v>
      </c>
      <c r="G170" s="496">
        <v>15.45</v>
      </c>
      <c r="H170" s="497">
        <v>0.2122</v>
      </c>
      <c r="I170" s="495">
        <v>18.73</v>
      </c>
      <c r="J170" s="496">
        <v>5010.55</v>
      </c>
      <c r="K170" s="498">
        <v>1.7713796017699459E-4</v>
      </c>
    </row>
    <row r="171" spans="1:11" ht="39" customHeight="1" x14ac:dyDescent="0.3">
      <c r="A171" s="493" t="s">
        <v>365</v>
      </c>
      <c r="B171" s="493" t="s">
        <v>366</v>
      </c>
      <c r="C171" s="493" t="s">
        <v>125</v>
      </c>
      <c r="D171" s="494" t="s">
        <v>4232</v>
      </c>
      <c r="E171" s="493" t="s">
        <v>268</v>
      </c>
      <c r="F171" s="495">
        <v>267.51512445547655</v>
      </c>
      <c r="G171" s="496">
        <v>208.42</v>
      </c>
      <c r="H171" s="497">
        <v>0.2122</v>
      </c>
      <c r="I171" s="495">
        <v>252.65</v>
      </c>
      <c r="J171" s="496">
        <v>67587.69</v>
      </c>
      <c r="K171" s="498">
        <v>2.3894274160870675E-3</v>
      </c>
    </row>
    <row r="172" spans="1:11" ht="39" customHeight="1" x14ac:dyDescent="0.3">
      <c r="A172" s="493" t="s">
        <v>368</v>
      </c>
      <c r="B172" s="493" t="s">
        <v>369</v>
      </c>
      <c r="C172" s="493" t="s">
        <v>4210</v>
      </c>
      <c r="D172" s="494" t="s">
        <v>370</v>
      </c>
      <c r="E172" s="493" t="s">
        <v>1332</v>
      </c>
      <c r="F172" s="495">
        <v>1783.43416303651</v>
      </c>
      <c r="G172" s="496">
        <v>0.28000000000000003</v>
      </c>
      <c r="H172" s="497">
        <v>0.2122</v>
      </c>
      <c r="I172" s="495">
        <v>0.34</v>
      </c>
      <c r="J172" s="496">
        <v>606.36</v>
      </c>
      <c r="K172" s="498">
        <v>2.1436643389033625E-5</v>
      </c>
    </row>
    <row r="173" spans="1:11" ht="39" customHeight="1" x14ac:dyDescent="0.3">
      <c r="A173" s="493" t="s">
        <v>371</v>
      </c>
      <c r="B173" s="493" t="s">
        <v>372</v>
      </c>
      <c r="C173" s="493" t="s">
        <v>4210</v>
      </c>
      <c r="D173" s="494" t="s">
        <v>373</v>
      </c>
      <c r="E173" s="493" t="s">
        <v>381</v>
      </c>
      <c r="F173" s="495">
        <v>0.8025453733664295</v>
      </c>
      <c r="G173" s="496">
        <v>4033.08</v>
      </c>
      <c r="H173" s="497">
        <v>0.111</v>
      </c>
      <c r="I173" s="495">
        <v>4480.75</v>
      </c>
      <c r="J173" s="496">
        <v>3596</v>
      </c>
      <c r="K173" s="498">
        <v>1.2712937797177407E-4</v>
      </c>
    </row>
    <row r="174" spans="1:11" ht="39" customHeight="1" x14ac:dyDescent="0.3">
      <c r="A174" s="493" t="s">
        <v>375</v>
      </c>
      <c r="B174" s="493" t="s">
        <v>376</v>
      </c>
      <c r="C174" s="493" t="s">
        <v>4210</v>
      </c>
      <c r="D174" s="494" t="s">
        <v>377</v>
      </c>
      <c r="E174" s="493" t="s">
        <v>1332</v>
      </c>
      <c r="F174" s="495">
        <v>1783.43416303651</v>
      </c>
      <c r="G174" s="496">
        <v>0.4</v>
      </c>
      <c r="H174" s="497">
        <v>0.2122</v>
      </c>
      <c r="I174" s="495">
        <v>0.48</v>
      </c>
      <c r="J174" s="496">
        <v>856.04</v>
      </c>
      <c r="K174" s="498">
        <v>3.0263579732746792E-5</v>
      </c>
    </row>
    <row r="175" spans="1:11" ht="39" customHeight="1" x14ac:dyDescent="0.3">
      <c r="A175" s="493" t="s">
        <v>378</v>
      </c>
      <c r="B175" s="493" t="s">
        <v>379</v>
      </c>
      <c r="C175" s="493" t="s">
        <v>4210</v>
      </c>
      <c r="D175" s="494" t="s">
        <v>380</v>
      </c>
      <c r="E175" s="493" t="s">
        <v>381</v>
      </c>
      <c r="F175" s="495">
        <v>2.3184644119474629</v>
      </c>
      <c r="G175" s="496">
        <v>4291.21</v>
      </c>
      <c r="H175" s="497">
        <v>0.111</v>
      </c>
      <c r="I175" s="495">
        <v>4767.53</v>
      </c>
      <c r="J175" s="496">
        <v>11053.34</v>
      </c>
      <c r="K175" s="498">
        <v>3.9076869819536404E-4</v>
      </c>
    </row>
    <row r="176" spans="1:11" ht="39" customHeight="1" x14ac:dyDescent="0.3">
      <c r="A176" s="493" t="s">
        <v>382</v>
      </c>
      <c r="B176" s="493" t="s">
        <v>383</v>
      </c>
      <c r="C176" s="493" t="s">
        <v>125</v>
      </c>
      <c r="D176" s="494" t="s">
        <v>4233</v>
      </c>
      <c r="E176" s="493" t="s">
        <v>1369</v>
      </c>
      <c r="F176" s="495">
        <v>51113.454349773325</v>
      </c>
      <c r="G176" s="496">
        <v>0.54959999999999998</v>
      </c>
      <c r="H176" s="497">
        <v>0.111</v>
      </c>
      <c r="I176" s="495">
        <v>0.61</v>
      </c>
      <c r="J176" s="496">
        <v>31179.200000000001</v>
      </c>
      <c r="K176" s="498">
        <v>1.1022781706500383E-3</v>
      </c>
    </row>
    <row r="177" spans="1:11" ht="39" customHeight="1" x14ac:dyDescent="0.3">
      <c r="A177" s="493" t="s">
        <v>385</v>
      </c>
      <c r="B177" s="493" t="s">
        <v>386</v>
      </c>
      <c r="C177" s="493" t="s">
        <v>4210</v>
      </c>
      <c r="D177" s="494" t="s">
        <v>387</v>
      </c>
      <c r="E177" s="493" t="s">
        <v>268</v>
      </c>
      <c r="F177" s="495">
        <v>53.503024891095301</v>
      </c>
      <c r="G177" s="496">
        <v>124.59</v>
      </c>
      <c r="H177" s="497">
        <v>0.2122</v>
      </c>
      <c r="I177" s="495">
        <v>151.03</v>
      </c>
      <c r="J177" s="496">
        <v>8080.56</v>
      </c>
      <c r="K177" s="498">
        <v>2.8567201514560585E-4</v>
      </c>
    </row>
    <row r="178" spans="1:11" ht="39" customHeight="1" x14ac:dyDescent="0.3">
      <c r="A178" s="493" t="s">
        <v>388</v>
      </c>
      <c r="B178" s="493" t="s">
        <v>389</v>
      </c>
      <c r="C178" s="493" t="s">
        <v>4210</v>
      </c>
      <c r="D178" s="494" t="s">
        <v>390</v>
      </c>
      <c r="E178" s="493" t="s">
        <v>381</v>
      </c>
      <c r="F178" s="495">
        <v>128.40725973862871</v>
      </c>
      <c r="G178" s="496">
        <v>188.17</v>
      </c>
      <c r="H178" s="497">
        <v>0.2122</v>
      </c>
      <c r="I178" s="495">
        <v>228.1</v>
      </c>
      <c r="J178" s="496">
        <v>29289.69</v>
      </c>
      <c r="K178" s="498">
        <v>1.0354783288893468E-3</v>
      </c>
    </row>
    <row r="179" spans="1:11" ht="39" customHeight="1" x14ac:dyDescent="0.3">
      <c r="A179" s="493" t="s">
        <v>391</v>
      </c>
      <c r="B179" s="493" t="s">
        <v>392</v>
      </c>
      <c r="C179" s="493" t="s">
        <v>4210</v>
      </c>
      <c r="D179" s="494" t="s">
        <v>393</v>
      </c>
      <c r="E179" s="493" t="s">
        <v>381</v>
      </c>
      <c r="F179" s="495">
        <v>8.1191910332734931</v>
      </c>
      <c r="G179" s="496">
        <v>5274.22</v>
      </c>
      <c r="H179" s="497">
        <v>0.111</v>
      </c>
      <c r="I179" s="495">
        <v>5859.66</v>
      </c>
      <c r="J179" s="496">
        <v>47575.69</v>
      </c>
      <c r="K179" s="498">
        <v>1.6819432358948698E-3</v>
      </c>
    </row>
    <row r="180" spans="1:11" ht="39" customHeight="1" x14ac:dyDescent="0.3">
      <c r="A180" s="493" t="s">
        <v>394</v>
      </c>
      <c r="B180" s="493" t="s">
        <v>4234</v>
      </c>
      <c r="C180" s="493" t="s">
        <v>4235</v>
      </c>
      <c r="D180" s="494" t="s">
        <v>4430</v>
      </c>
      <c r="E180" s="493" t="s">
        <v>268</v>
      </c>
      <c r="F180" s="495">
        <v>2086.2191290741885</v>
      </c>
      <c r="G180" s="496">
        <v>56.12</v>
      </c>
      <c r="H180" s="497">
        <v>0.2122</v>
      </c>
      <c r="I180" s="495">
        <v>68.03</v>
      </c>
      <c r="J180" s="496">
        <v>141925.48000000001</v>
      </c>
      <c r="K180" s="498">
        <v>5.0174910986500168E-3</v>
      </c>
    </row>
    <row r="181" spans="1:11" ht="39" customHeight="1" x14ac:dyDescent="0.3">
      <c r="A181" s="493" t="s">
        <v>396</v>
      </c>
      <c r="B181" s="493" t="s">
        <v>397</v>
      </c>
      <c r="C181" s="493" t="s">
        <v>197</v>
      </c>
      <c r="D181" s="494" t="s">
        <v>398</v>
      </c>
      <c r="E181" s="493" t="s">
        <v>268</v>
      </c>
      <c r="F181" s="495">
        <v>3556.2080331943398</v>
      </c>
      <c r="G181" s="496">
        <v>11.09</v>
      </c>
      <c r="H181" s="497">
        <v>0.2122</v>
      </c>
      <c r="I181" s="495">
        <v>13.44</v>
      </c>
      <c r="J181" s="496">
        <v>47795.43</v>
      </c>
      <c r="K181" s="498">
        <v>1.6897117035020771E-3</v>
      </c>
    </row>
    <row r="182" spans="1:11" ht="50" x14ac:dyDescent="0.3">
      <c r="A182" s="493" t="s">
        <v>399</v>
      </c>
      <c r="B182" s="493" t="s">
        <v>127</v>
      </c>
      <c r="C182" s="493" t="s">
        <v>32</v>
      </c>
      <c r="D182" s="494" t="s">
        <v>128</v>
      </c>
      <c r="E182" s="493" t="s">
        <v>268</v>
      </c>
      <c r="F182" s="495">
        <v>885.76580444695333</v>
      </c>
      <c r="G182" s="496">
        <v>6.53</v>
      </c>
      <c r="H182" s="497">
        <v>0.2122</v>
      </c>
      <c r="I182" s="495">
        <v>7.92</v>
      </c>
      <c r="J182" s="496">
        <v>7015.26</v>
      </c>
      <c r="K182" s="498">
        <v>2.4801046721642593E-4</v>
      </c>
    </row>
    <row r="183" spans="1:11" ht="25" x14ac:dyDescent="0.3">
      <c r="A183" s="493" t="s">
        <v>400</v>
      </c>
      <c r="B183" s="493" t="s">
        <v>119</v>
      </c>
      <c r="C183" s="493" t="s">
        <v>32</v>
      </c>
      <c r="D183" s="494" t="s">
        <v>120</v>
      </c>
      <c r="E183" s="493" t="s">
        <v>121</v>
      </c>
      <c r="F183" s="495">
        <v>9196.0611240937706</v>
      </c>
      <c r="G183" s="496">
        <v>2.1</v>
      </c>
      <c r="H183" s="497">
        <v>0.2122</v>
      </c>
      <c r="I183" s="495">
        <v>2.5499999999999998</v>
      </c>
      <c r="J183" s="496">
        <v>23449.95</v>
      </c>
      <c r="K183" s="498">
        <v>8.2902601695472838E-4</v>
      </c>
    </row>
    <row r="184" spans="1:11" ht="50" x14ac:dyDescent="0.3">
      <c r="A184" s="493" t="s">
        <v>401</v>
      </c>
      <c r="B184" s="493" t="s">
        <v>402</v>
      </c>
      <c r="C184" s="493" t="s">
        <v>32</v>
      </c>
      <c r="D184" s="494" t="s">
        <v>4431</v>
      </c>
      <c r="E184" s="493" t="s">
        <v>194</v>
      </c>
      <c r="F184" s="495">
        <v>162.4523830953656</v>
      </c>
      <c r="G184" s="496">
        <v>60.45</v>
      </c>
      <c r="H184" s="497">
        <v>0.2122</v>
      </c>
      <c r="I184" s="495">
        <v>73.28</v>
      </c>
      <c r="J184" s="496">
        <v>11904.51</v>
      </c>
      <c r="K184" s="498">
        <v>4.2086010883169187E-4</v>
      </c>
    </row>
    <row r="185" spans="1:11" ht="50" x14ac:dyDescent="0.3">
      <c r="A185" s="493" t="s">
        <v>403</v>
      </c>
      <c r="B185" s="493" t="s">
        <v>404</v>
      </c>
      <c r="C185" s="493" t="s">
        <v>32</v>
      </c>
      <c r="D185" s="494" t="s">
        <v>4432</v>
      </c>
      <c r="E185" s="493" t="s">
        <v>194</v>
      </c>
      <c r="F185" s="495">
        <v>72.999999999392372</v>
      </c>
      <c r="G185" s="496">
        <v>83.73</v>
      </c>
      <c r="H185" s="497">
        <v>0.2122</v>
      </c>
      <c r="I185" s="495">
        <v>101.5</v>
      </c>
      <c r="J185" s="496">
        <v>7409.49</v>
      </c>
      <c r="K185" s="498">
        <v>2.6194767930703007E-4</v>
      </c>
    </row>
    <row r="186" spans="1:11" ht="50" x14ac:dyDescent="0.3">
      <c r="A186" s="493" t="s">
        <v>405</v>
      </c>
      <c r="B186" s="493" t="s">
        <v>406</v>
      </c>
      <c r="C186" s="493" t="s">
        <v>32</v>
      </c>
      <c r="D186" s="494" t="s">
        <v>4433</v>
      </c>
      <c r="E186" s="493" t="s">
        <v>194</v>
      </c>
      <c r="F186" s="495">
        <v>181.50284289184066</v>
      </c>
      <c r="G186" s="496">
        <v>108</v>
      </c>
      <c r="H186" s="497">
        <v>0.2122</v>
      </c>
      <c r="I186" s="495">
        <v>130.91999999999999</v>
      </c>
      <c r="J186" s="496">
        <v>23762.35</v>
      </c>
      <c r="K186" s="498">
        <v>8.4007029328353315E-4</v>
      </c>
    </row>
    <row r="187" spans="1:11" ht="50" x14ac:dyDescent="0.3">
      <c r="A187" s="493" t="s">
        <v>407</v>
      </c>
      <c r="B187" s="493" t="s">
        <v>408</v>
      </c>
      <c r="C187" s="493" t="s">
        <v>32</v>
      </c>
      <c r="D187" s="494" t="s">
        <v>4434</v>
      </c>
      <c r="E187" s="493" t="s">
        <v>194</v>
      </c>
      <c r="F187" s="495">
        <v>34.998887036138747</v>
      </c>
      <c r="G187" s="496">
        <v>133.19</v>
      </c>
      <c r="H187" s="497">
        <v>0.2122</v>
      </c>
      <c r="I187" s="495">
        <v>161.44999999999999</v>
      </c>
      <c r="J187" s="496">
        <v>5650.57</v>
      </c>
      <c r="K187" s="498">
        <v>1.9976458545215998E-4</v>
      </c>
    </row>
    <row r="188" spans="1:11" ht="50" x14ac:dyDescent="0.3">
      <c r="A188" s="493" t="s">
        <v>409</v>
      </c>
      <c r="B188" s="493" t="s">
        <v>410</v>
      </c>
      <c r="C188" s="493" t="s">
        <v>32</v>
      </c>
      <c r="D188" s="494" t="s">
        <v>4435</v>
      </c>
      <c r="E188" s="493" t="s">
        <v>194</v>
      </c>
      <c r="F188" s="495">
        <v>488.31018738243068</v>
      </c>
      <c r="G188" s="496">
        <v>172.74</v>
      </c>
      <c r="H188" s="497">
        <v>0.2122</v>
      </c>
      <c r="I188" s="495">
        <v>209.4</v>
      </c>
      <c r="J188" s="496">
        <v>102252.15</v>
      </c>
      <c r="K188" s="498">
        <v>3.6149199737977021E-3</v>
      </c>
    </row>
    <row r="189" spans="1:11" ht="24" customHeight="1" x14ac:dyDescent="0.3">
      <c r="A189" s="489" t="s">
        <v>411</v>
      </c>
      <c r="B189" s="489" t="s">
        <v>1328</v>
      </c>
      <c r="C189" s="489" t="s">
        <v>1328</v>
      </c>
      <c r="D189" s="490" t="s">
        <v>412</v>
      </c>
      <c r="E189" s="490" t="s">
        <v>1328</v>
      </c>
      <c r="F189" s="499"/>
      <c r="G189" s="490"/>
      <c r="H189" s="489"/>
      <c r="I189" s="500"/>
      <c r="J189" s="357">
        <v>1063486.4500000002</v>
      </c>
      <c r="K189" s="492">
        <v>3.7597433501087379E-2</v>
      </c>
    </row>
    <row r="190" spans="1:11" ht="39" customHeight="1" x14ac:dyDescent="0.3">
      <c r="A190" s="493" t="s">
        <v>413</v>
      </c>
      <c r="B190" s="493" t="s">
        <v>414</v>
      </c>
      <c r="C190" s="493" t="s">
        <v>32</v>
      </c>
      <c r="D190" s="494" t="s">
        <v>415</v>
      </c>
      <c r="E190" s="493" t="s">
        <v>416</v>
      </c>
      <c r="F190" s="495">
        <v>48212.903970230022</v>
      </c>
      <c r="G190" s="496">
        <v>2.71</v>
      </c>
      <c r="H190" s="497">
        <v>0.2122</v>
      </c>
      <c r="I190" s="495">
        <v>3.29</v>
      </c>
      <c r="J190" s="496">
        <v>158620.45000000001</v>
      </c>
      <c r="K190" s="498">
        <v>5.6077083265024721E-3</v>
      </c>
    </row>
    <row r="191" spans="1:11" ht="39" customHeight="1" x14ac:dyDescent="0.3">
      <c r="A191" s="493" t="s">
        <v>417</v>
      </c>
      <c r="B191" s="493" t="s">
        <v>418</v>
      </c>
      <c r="C191" s="493" t="s">
        <v>32</v>
      </c>
      <c r="D191" s="494" t="s">
        <v>419</v>
      </c>
      <c r="E191" s="493" t="s">
        <v>381</v>
      </c>
      <c r="F191" s="495">
        <v>71.479048561960866</v>
      </c>
      <c r="G191" s="496">
        <v>44.31</v>
      </c>
      <c r="H191" s="497">
        <v>0.2122</v>
      </c>
      <c r="I191" s="495">
        <v>53.71</v>
      </c>
      <c r="J191" s="496">
        <v>3839.13</v>
      </c>
      <c r="K191" s="498">
        <v>1.3572475218375332E-4</v>
      </c>
    </row>
    <row r="192" spans="1:11" ht="39" customHeight="1" x14ac:dyDescent="0.3">
      <c r="A192" s="493" t="s">
        <v>420</v>
      </c>
      <c r="B192" s="493" t="s">
        <v>421</v>
      </c>
      <c r="C192" s="493" t="s">
        <v>32</v>
      </c>
      <c r="D192" s="494" t="s">
        <v>422</v>
      </c>
      <c r="E192" s="493" t="s">
        <v>194</v>
      </c>
      <c r="F192" s="495">
        <v>162.4523830953656</v>
      </c>
      <c r="G192" s="496">
        <v>241.33</v>
      </c>
      <c r="H192" s="497">
        <v>0.111</v>
      </c>
      <c r="I192" s="495">
        <v>268.12</v>
      </c>
      <c r="J192" s="496">
        <v>43556.73</v>
      </c>
      <c r="K192" s="498">
        <v>1.5398609542226114E-3</v>
      </c>
    </row>
    <row r="193" spans="1:11" ht="39" customHeight="1" x14ac:dyDescent="0.3">
      <c r="A193" s="493" t="s">
        <v>423</v>
      </c>
      <c r="B193" s="493" t="s">
        <v>424</v>
      </c>
      <c r="C193" s="493" t="s">
        <v>32</v>
      </c>
      <c r="D193" s="494" t="s">
        <v>425</v>
      </c>
      <c r="E193" s="493" t="s">
        <v>381</v>
      </c>
      <c r="F193" s="495">
        <v>51.099999999574656</v>
      </c>
      <c r="G193" s="496">
        <v>26.01</v>
      </c>
      <c r="H193" s="497">
        <v>0.2122</v>
      </c>
      <c r="I193" s="495">
        <v>31.53</v>
      </c>
      <c r="J193" s="496">
        <v>1611.18</v>
      </c>
      <c r="K193" s="498">
        <v>5.696004204687512E-5</v>
      </c>
    </row>
    <row r="194" spans="1:11" ht="39" customHeight="1" x14ac:dyDescent="0.3">
      <c r="A194" s="493" t="s">
        <v>426</v>
      </c>
      <c r="B194" s="493" t="s">
        <v>427</v>
      </c>
      <c r="C194" s="493" t="s">
        <v>32</v>
      </c>
      <c r="D194" s="494" t="s">
        <v>428</v>
      </c>
      <c r="E194" s="493" t="s">
        <v>194</v>
      </c>
      <c r="F194" s="495">
        <v>72.999999999392372</v>
      </c>
      <c r="G194" s="496">
        <v>390.38</v>
      </c>
      <c r="H194" s="497">
        <v>0.111</v>
      </c>
      <c r="I194" s="495">
        <v>433.71</v>
      </c>
      <c r="J194" s="496">
        <v>31660.82</v>
      </c>
      <c r="K194" s="498">
        <v>1.1193048811669365E-3</v>
      </c>
    </row>
    <row r="195" spans="1:11" ht="39" customHeight="1" x14ac:dyDescent="0.3">
      <c r="A195" s="493" t="s">
        <v>429</v>
      </c>
      <c r="B195" s="493" t="s">
        <v>430</v>
      </c>
      <c r="C195" s="493" t="s">
        <v>32</v>
      </c>
      <c r="D195" s="494" t="s">
        <v>431</v>
      </c>
      <c r="E195" s="493" t="s">
        <v>381</v>
      </c>
      <c r="F195" s="495">
        <v>182.71891193921599</v>
      </c>
      <c r="G195" s="496">
        <v>17.7</v>
      </c>
      <c r="H195" s="497">
        <v>0.2122</v>
      </c>
      <c r="I195" s="495">
        <v>21.46</v>
      </c>
      <c r="J195" s="496">
        <v>3921.14</v>
      </c>
      <c r="K195" s="498">
        <v>1.3862405148505066E-4</v>
      </c>
    </row>
    <row r="196" spans="1:11" ht="39" customHeight="1" x14ac:dyDescent="0.3">
      <c r="A196" s="493" t="s">
        <v>432</v>
      </c>
      <c r="B196" s="493" t="s">
        <v>433</v>
      </c>
      <c r="C196" s="493" t="s">
        <v>32</v>
      </c>
      <c r="D196" s="494" t="s">
        <v>434</v>
      </c>
      <c r="E196" s="493" t="s">
        <v>194</v>
      </c>
      <c r="F196" s="495">
        <v>36.499999999964693</v>
      </c>
      <c r="G196" s="496">
        <v>470.49</v>
      </c>
      <c r="H196" s="497">
        <v>0.111</v>
      </c>
      <c r="I196" s="495">
        <v>522.71</v>
      </c>
      <c r="J196" s="496">
        <v>19078.91</v>
      </c>
      <c r="K196" s="498">
        <v>6.7449665202432138E-4</v>
      </c>
    </row>
    <row r="197" spans="1:11" ht="39" customHeight="1" x14ac:dyDescent="0.3">
      <c r="A197" s="493" t="s">
        <v>435</v>
      </c>
      <c r="B197" s="493" t="s">
        <v>436</v>
      </c>
      <c r="C197" s="493" t="s">
        <v>32</v>
      </c>
      <c r="D197" s="494" t="s">
        <v>437</v>
      </c>
      <c r="E197" s="493" t="s">
        <v>194</v>
      </c>
      <c r="F197" s="495">
        <v>145.00284289187596</v>
      </c>
      <c r="G197" s="496">
        <v>517.13</v>
      </c>
      <c r="H197" s="497">
        <v>0.111</v>
      </c>
      <c r="I197" s="495">
        <v>574.53</v>
      </c>
      <c r="J197" s="496">
        <v>83308.479999999996</v>
      </c>
      <c r="K197" s="498">
        <v>2.9452044611162345E-3</v>
      </c>
    </row>
    <row r="198" spans="1:11" ht="39" customHeight="1" x14ac:dyDescent="0.3">
      <c r="A198" s="493" t="s">
        <v>438</v>
      </c>
      <c r="B198" s="493" t="s">
        <v>439</v>
      </c>
      <c r="C198" s="493" t="s">
        <v>32</v>
      </c>
      <c r="D198" s="494" t="s">
        <v>440</v>
      </c>
      <c r="E198" s="493" t="s">
        <v>381</v>
      </c>
      <c r="F198" s="495">
        <v>40.598708961920941</v>
      </c>
      <c r="G198" s="496">
        <v>16.190000000000001</v>
      </c>
      <c r="H198" s="497">
        <v>0.2122</v>
      </c>
      <c r="I198" s="495">
        <v>19.63</v>
      </c>
      <c r="J198" s="496">
        <v>796.95</v>
      </c>
      <c r="K198" s="498">
        <v>2.8174571127532076E-5</v>
      </c>
    </row>
    <row r="199" spans="1:11" ht="39" customHeight="1" x14ac:dyDescent="0.3">
      <c r="A199" s="493" t="s">
        <v>441</v>
      </c>
      <c r="B199" s="493" t="s">
        <v>442</v>
      </c>
      <c r="C199" s="493" t="s">
        <v>32</v>
      </c>
      <c r="D199" s="494" t="s">
        <v>443</v>
      </c>
      <c r="E199" s="493" t="s">
        <v>194</v>
      </c>
      <c r="F199" s="495">
        <v>34.998887036138747</v>
      </c>
      <c r="G199" s="496">
        <v>702.69</v>
      </c>
      <c r="H199" s="497">
        <v>0.111</v>
      </c>
      <c r="I199" s="495">
        <v>780.69</v>
      </c>
      <c r="J199" s="496">
        <v>27323.279999999999</v>
      </c>
      <c r="K199" s="498">
        <v>9.6595984164310749E-4</v>
      </c>
    </row>
    <row r="200" spans="1:11" ht="39" customHeight="1" x14ac:dyDescent="0.3">
      <c r="A200" s="493" t="s">
        <v>444</v>
      </c>
      <c r="B200" s="493" t="s">
        <v>445</v>
      </c>
      <c r="C200" s="493" t="s">
        <v>446</v>
      </c>
      <c r="D200" s="494" t="s">
        <v>769</v>
      </c>
      <c r="E200" s="493" t="s">
        <v>381</v>
      </c>
      <c r="F200" s="495">
        <v>859.42592979307801</v>
      </c>
      <c r="G200" s="496">
        <v>94.99</v>
      </c>
      <c r="H200" s="497">
        <v>0.2122</v>
      </c>
      <c r="I200" s="495">
        <v>115.15</v>
      </c>
      <c r="J200" s="496">
        <v>98962.89</v>
      </c>
      <c r="K200" s="498">
        <v>3.4986347741905173E-3</v>
      </c>
    </row>
    <row r="201" spans="1:11" ht="39" customHeight="1" x14ac:dyDescent="0.3">
      <c r="A201" s="493" t="s">
        <v>447</v>
      </c>
      <c r="B201" s="493" t="s">
        <v>448</v>
      </c>
      <c r="C201" s="493" t="s">
        <v>32</v>
      </c>
      <c r="D201" s="494" t="s">
        <v>449</v>
      </c>
      <c r="E201" s="493" t="s">
        <v>194</v>
      </c>
      <c r="F201" s="495">
        <v>488.31018738243068</v>
      </c>
      <c r="G201" s="496">
        <v>1089.02</v>
      </c>
      <c r="H201" s="497">
        <v>0.111</v>
      </c>
      <c r="I201" s="495">
        <v>1209.9000000000001</v>
      </c>
      <c r="J201" s="496">
        <v>590806.49</v>
      </c>
      <c r="K201" s="498">
        <v>2.088678019337796E-2</v>
      </c>
    </row>
    <row r="202" spans="1:11" ht="24" customHeight="1" x14ac:dyDescent="0.3">
      <c r="A202" s="489" t="s">
        <v>450</v>
      </c>
      <c r="B202" s="489" t="s">
        <v>1328</v>
      </c>
      <c r="C202" s="489" t="s">
        <v>1328</v>
      </c>
      <c r="D202" s="490" t="s">
        <v>451</v>
      </c>
      <c r="E202" s="490" t="s">
        <v>1328</v>
      </c>
      <c r="F202" s="499"/>
      <c r="G202" s="490"/>
      <c r="H202" s="489"/>
      <c r="I202" s="500"/>
      <c r="J202" s="357">
        <v>595240.1399999999</v>
      </c>
      <c r="K202" s="492">
        <v>2.1043523009463765E-2</v>
      </c>
    </row>
    <row r="203" spans="1:11" ht="39" customHeight="1" x14ac:dyDescent="0.3">
      <c r="A203" s="493" t="s">
        <v>452</v>
      </c>
      <c r="B203" s="493" t="s">
        <v>192</v>
      </c>
      <c r="C203" s="493" t="s">
        <v>32</v>
      </c>
      <c r="D203" s="494" t="s">
        <v>193</v>
      </c>
      <c r="E203" s="493" t="s">
        <v>194</v>
      </c>
      <c r="F203" s="495">
        <v>225.99</v>
      </c>
      <c r="G203" s="496">
        <v>9.66</v>
      </c>
      <c r="H203" s="497">
        <v>0.2122</v>
      </c>
      <c r="I203" s="495">
        <v>11.71</v>
      </c>
      <c r="J203" s="496">
        <v>2646.34</v>
      </c>
      <c r="K203" s="498">
        <v>9.3556050640106946E-5</v>
      </c>
    </row>
    <row r="204" spans="1:11" ht="39" customHeight="1" x14ac:dyDescent="0.3">
      <c r="A204" s="493" t="s">
        <v>453</v>
      </c>
      <c r="B204" s="493" t="s">
        <v>200</v>
      </c>
      <c r="C204" s="493" t="s">
        <v>197</v>
      </c>
      <c r="D204" s="494" t="s">
        <v>201</v>
      </c>
      <c r="E204" s="493" t="s">
        <v>1332</v>
      </c>
      <c r="F204" s="495">
        <v>2</v>
      </c>
      <c r="G204" s="496">
        <v>11.96</v>
      </c>
      <c r="H204" s="497">
        <v>0.2122</v>
      </c>
      <c r="I204" s="495">
        <v>14.5</v>
      </c>
      <c r="J204" s="496">
        <v>29</v>
      </c>
      <c r="K204" s="498">
        <v>1.0252369191272101E-6</v>
      </c>
    </row>
    <row r="205" spans="1:11" ht="39" customHeight="1" x14ac:dyDescent="0.3">
      <c r="A205" s="493" t="s">
        <v>454</v>
      </c>
      <c r="B205" s="493" t="s">
        <v>203</v>
      </c>
      <c r="C205" s="493" t="s">
        <v>197</v>
      </c>
      <c r="D205" s="494" t="s">
        <v>204</v>
      </c>
      <c r="E205" s="493" t="s">
        <v>194</v>
      </c>
      <c r="F205" s="495">
        <v>451.98</v>
      </c>
      <c r="G205" s="496">
        <v>3.25</v>
      </c>
      <c r="H205" s="497">
        <v>0.2122</v>
      </c>
      <c r="I205" s="495">
        <v>3.94</v>
      </c>
      <c r="J205" s="496">
        <v>1780.8</v>
      </c>
      <c r="K205" s="498">
        <v>6.2956617433852958E-5</v>
      </c>
    </row>
    <row r="206" spans="1:11" ht="39" customHeight="1" x14ac:dyDescent="0.3">
      <c r="A206" s="493" t="s">
        <v>455</v>
      </c>
      <c r="B206" s="493" t="s">
        <v>456</v>
      </c>
      <c r="C206" s="493" t="s">
        <v>197</v>
      </c>
      <c r="D206" s="494" t="s">
        <v>457</v>
      </c>
      <c r="E206" s="493" t="s">
        <v>89</v>
      </c>
      <c r="F206" s="495">
        <v>5</v>
      </c>
      <c r="G206" s="496">
        <v>7.15</v>
      </c>
      <c r="H206" s="497">
        <v>0.2122</v>
      </c>
      <c r="I206" s="495">
        <v>8.67</v>
      </c>
      <c r="J206" s="496">
        <v>43.35</v>
      </c>
      <c r="K206" s="498">
        <v>1.5325524291091229E-6</v>
      </c>
    </row>
    <row r="207" spans="1:11" ht="37.5" customHeight="1" x14ac:dyDescent="0.3">
      <c r="A207" s="493" t="s">
        <v>458</v>
      </c>
      <c r="B207" s="493" t="s">
        <v>206</v>
      </c>
      <c r="C207" s="493" t="s">
        <v>197</v>
      </c>
      <c r="D207" s="494" t="s">
        <v>207</v>
      </c>
      <c r="E207" s="493" t="s">
        <v>89</v>
      </c>
      <c r="F207" s="495">
        <v>5</v>
      </c>
      <c r="G207" s="496">
        <v>2.76</v>
      </c>
      <c r="H207" s="497">
        <v>0.2122</v>
      </c>
      <c r="I207" s="495">
        <v>3.35</v>
      </c>
      <c r="J207" s="496">
        <v>16.75</v>
      </c>
      <c r="K207" s="498">
        <v>5.9216270328899212E-7</v>
      </c>
    </row>
    <row r="208" spans="1:11" ht="50" x14ac:dyDescent="0.3">
      <c r="A208" s="493" t="s">
        <v>16988</v>
      </c>
      <c r="B208" s="493" t="s">
        <v>460</v>
      </c>
      <c r="C208" s="493" t="s">
        <v>32</v>
      </c>
      <c r="D208" s="494" t="s">
        <v>4436</v>
      </c>
      <c r="E208" s="493" t="s">
        <v>268</v>
      </c>
      <c r="F208" s="495">
        <v>91.31</v>
      </c>
      <c r="G208" s="496">
        <v>13.71</v>
      </c>
      <c r="H208" s="497">
        <v>0.2122</v>
      </c>
      <c r="I208" s="495">
        <v>16.62</v>
      </c>
      <c r="J208" s="496">
        <v>1517.57</v>
      </c>
      <c r="K208" s="498">
        <v>5.3650647977926906E-5</v>
      </c>
    </row>
    <row r="209" spans="1:11" ht="50" x14ac:dyDescent="0.3">
      <c r="A209" s="493" t="s">
        <v>459</v>
      </c>
      <c r="B209" s="493" t="s">
        <v>284</v>
      </c>
      <c r="C209" s="493" t="s">
        <v>32</v>
      </c>
      <c r="D209" s="494" t="s">
        <v>4411</v>
      </c>
      <c r="E209" s="493" t="s">
        <v>268</v>
      </c>
      <c r="F209" s="495">
        <v>82.73</v>
      </c>
      <c r="G209" s="496">
        <v>11.8</v>
      </c>
      <c r="H209" s="497">
        <v>0.2122</v>
      </c>
      <c r="I209" s="495">
        <v>14.3</v>
      </c>
      <c r="J209" s="496">
        <v>1183.03</v>
      </c>
      <c r="K209" s="498">
        <v>4.1823656290864253E-5</v>
      </c>
    </row>
    <row r="210" spans="1:11" ht="50" x14ac:dyDescent="0.3">
      <c r="A210" s="493" t="s">
        <v>462</v>
      </c>
      <c r="B210" s="493" t="s">
        <v>464</v>
      </c>
      <c r="C210" s="493" t="s">
        <v>32</v>
      </c>
      <c r="D210" s="494" t="s">
        <v>4437</v>
      </c>
      <c r="E210" s="493" t="s">
        <v>268</v>
      </c>
      <c r="F210" s="495">
        <v>42.13</v>
      </c>
      <c r="G210" s="496">
        <v>11.17</v>
      </c>
      <c r="H210" s="497">
        <v>0.2122</v>
      </c>
      <c r="I210" s="495">
        <v>13.54</v>
      </c>
      <c r="J210" s="496">
        <v>570.44000000000005</v>
      </c>
      <c r="K210" s="498">
        <v>2.0166763729204339E-5</v>
      </c>
    </row>
    <row r="211" spans="1:11" ht="50" x14ac:dyDescent="0.3">
      <c r="A211" s="493" t="s">
        <v>463</v>
      </c>
      <c r="B211" s="493" t="s">
        <v>289</v>
      </c>
      <c r="C211" s="493" t="s">
        <v>32</v>
      </c>
      <c r="D211" s="494" t="s">
        <v>4413</v>
      </c>
      <c r="E211" s="493" t="s">
        <v>268</v>
      </c>
      <c r="F211" s="495">
        <v>97.28</v>
      </c>
      <c r="G211" s="496">
        <v>12.18</v>
      </c>
      <c r="H211" s="497">
        <v>0.2122</v>
      </c>
      <c r="I211" s="495">
        <v>14.76</v>
      </c>
      <c r="J211" s="496">
        <v>1435.85</v>
      </c>
      <c r="K211" s="498">
        <v>5.0761601045820852E-5</v>
      </c>
    </row>
    <row r="212" spans="1:11" ht="62.5" x14ac:dyDescent="0.3">
      <c r="A212" s="493" t="s">
        <v>466</v>
      </c>
      <c r="B212" s="493" t="s">
        <v>292</v>
      </c>
      <c r="C212" s="493" t="s">
        <v>32</v>
      </c>
      <c r="D212" s="494" t="s">
        <v>4414</v>
      </c>
      <c r="E212" s="493" t="s">
        <v>268</v>
      </c>
      <c r="F212" s="495">
        <v>84.95</v>
      </c>
      <c r="G212" s="496">
        <v>11.39</v>
      </c>
      <c r="H212" s="497">
        <v>0.2122</v>
      </c>
      <c r="I212" s="495">
        <v>13.81</v>
      </c>
      <c r="J212" s="496">
        <v>1173.1500000000001</v>
      </c>
      <c r="K212" s="498">
        <v>4.1474368678416785E-5</v>
      </c>
    </row>
    <row r="213" spans="1:11" ht="62.5" x14ac:dyDescent="0.3">
      <c r="A213" s="493" t="s">
        <v>467</v>
      </c>
      <c r="B213" s="493" t="s">
        <v>299</v>
      </c>
      <c r="C213" s="493" t="s">
        <v>32</v>
      </c>
      <c r="D213" s="494" t="s">
        <v>4417</v>
      </c>
      <c r="E213" s="493" t="s">
        <v>268</v>
      </c>
      <c r="F213" s="495">
        <v>260.39999999999998</v>
      </c>
      <c r="G213" s="496">
        <v>10.49</v>
      </c>
      <c r="H213" s="497">
        <v>0.2122</v>
      </c>
      <c r="I213" s="495">
        <v>12.72</v>
      </c>
      <c r="J213" s="496">
        <v>3312.28</v>
      </c>
      <c r="K213" s="498">
        <v>1.1709902560298883E-4</v>
      </c>
    </row>
    <row r="214" spans="1:11" ht="62.5" x14ac:dyDescent="0.3">
      <c r="A214" s="493" t="s">
        <v>468</v>
      </c>
      <c r="B214" s="493" t="s">
        <v>301</v>
      </c>
      <c r="C214" s="493" t="s">
        <v>32</v>
      </c>
      <c r="D214" s="494" t="s">
        <v>4418</v>
      </c>
      <c r="E214" s="493" t="s">
        <v>268</v>
      </c>
      <c r="F214" s="495">
        <v>116.59</v>
      </c>
      <c r="G214" s="496">
        <v>9.01</v>
      </c>
      <c r="H214" s="497">
        <v>0.2122</v>
      </c>
      <c r="I214" s="495">
        <v>10.92</v>
      </c>
      <c r="J214" s="496">
        <v>1273.1600000000001</v>
      </c>
      <c r="K214" s="498">
        <v>4.5010021929517207E-5</v>
      </c>
    </row>
    <row r="215" spans="1:11" ht="62.5" x14ac:dyDescent="0.3">
      <c r="A215" s="493" t="s">
        <v>469</v>
      </c>
      <c r="B215" s="493" t="s">
        <v>471</v>
      </c>
      <c r="C215" s="493" t="s">
        <v>32</v>
      </c>
      <c r="D215" s="494" t="s">
        <v>4438</v>
      </c>
      <c r="E215" s="493" t="s">
        <v>268</v>
      </c>
      <c r="F215" s="495">
        <v>1.18</v>
      </c>
      <c r="G215" s="496">
        <v>8.5299999999999994</v>
      </c>
      <c r="H215" s="497">
        <v>0.2122</v>
      </c>
      <c r="I215" s="495">
        <v>10.34</v>
      </c>
      <c r="J215" s="496">
        <v>12.2</v>
      </c>
      <c r="K215" s="498">
        <v>4.3130656597765389E-7</v>
      </c>
    </row>
    <row r="216" spans="1:11" ht="62.5" x14ac:dyDescent="0.3">
      <c r="A216" s="493" t="s">
        <v>470</v>
      </c>
      <c r="B216" s="493" t="s">
        <v>303</v>
      </c>
      <c r="C216" s="493" t="s">
        <v>32</v>
      </c>
      <c r="D216" s="494" t="s">
        <v>4419</v>
      </c>
      <c r="E216" s="493" t="s">
        <v>268</v>
      </c>
      <c r="F216" s="495">
        <v>459.5</v>
      </c>
      <c r="G216" s="496">
        <v>9.31</v>
      </c>
      <c r="H216" s="497">
        <v>0.2122</v>
      </c>
      <c r="I216" s="495">
        <v>11.29</v>
      </c>
      <c r="J216" s="496">
        <v>5187.75</v>
      </c>
      <c r="K216" s="498">
        <v>1.8340251128283396E-4</v>
      </c>
    </row>
    <row r="217" spans="1:11" ht="62.5" x14ac:dyDescent="0.3">
      <c r="A217" s="493" t="s">
        <v>472</v>
      </c>
      <c r="B217" s="493" t="s">
        <v>305</v>
      </c>
      <c r="C217" s="493" t="s">
        <v>32</v>
      </c>
      <c r="D217" s="494" t="s">
        <v>4420</v>
      </c>
      <c r="E217" s="493" t="s">
        <v>268</v>
      </c>
      <c r="F217" s="495">
        <v>179.3</v>
      </c>
      <c r="G217" s="496">
        <v>8.6999999999999993</v>
      </c>
      <c r="H217" s="497">
        <v>0.2122</v>
      </c>
      <c r="I217" s="495">
        <v>10.55</v>
      </c>
      <c r="J217" s="496">
        <v>1891.61</v>
      </c>
      <c r="K217" s="498">
        <v>6.6874083054835237E-5</v>
      </c>
    </row>
    <row r="218" spans="1:11" ht="25" x14ac:dyDescent="0.3">
      <c r="A218" s="493" t="s">
        <v>473</v>
      </c>
      <c r="B218" s="493" t="s">
        <v>16937</v>
      </c>
      <c r="C218" s="493" t="s">
        <v>446</v>
      </c>
      <c r="D218" s="494" t="s">
        <v>16938</v>
      </c>
      <c r="E218" s="493" t="s">
        <v>268</v>
      </c>
      <c r="F218" s="495">
        <v>17.690000000000001</v>
      </c>
      <c r="G218" s="496">
        <v>108.71</v>
      </c>
      <c r="H218" s="497">
        <v>0.2122</v>
      </c>
      <c r="I218" s="495">
        <v>131.78</v>
      </c>
      <c r="J218" s="496">
        <v>2331.1799999999998</v>
      </c>
      <c r="K218" s="498">
        <v>8.2414200038998957E-5</v>
      </c>
    </row>
    <row r="219" spans="1:11" ht="37.5" x14ac:dyDescent="0.3">
      <c r="A219" s="493" t="s">
        <v>474</v>
      </c>
      <c r="B219" s="493" t="s">
        <v>334</v>
      </c>
      <c r="C219" s="493" t="s">
        <v>243</v>
      </c>
      <c r="D219" s="494" t="s">
        <v>335</v>
      </c>
      <c r="E219" s="493" t="s">
        <v>1332</v>
      </c>
      <c r="F219" s="495">
        <v>1682.62</v>
      </c>
      <c r="G219" s="496">
        <v>23.05</v>
      </c>
      <c r="H219" s="497">
        <v>0.2122</v>
      </c>
      <c r="I219" s="495">
        <v>27.94</v>
      </c>
      <c r="J219" s="496">
        <v>47012.4</v>
      </c>
      <c r="K219" s="498">
        <v>1.662029246095726E-3</v>
      </c>
    </row>
    <row r="220" spans="1:11" ht="50" x14ac:dyDescent="0.3">
      <c r="A220" s="493" t="s">
        <v>475</v>
      </c>
      <c r="B220" s="493" t="s">
        <v>337</v>
      </c>
      <c r="C220" s="493" t="s">
        <v>243</v>
      </c>
      <c r="D220" s="494" t="s">
        <v>338</v>
      </c>
      <c r="E220" s="493" t="s">
        <v>1332</v>
      </c>
      <c r="F220" s="495">
        <v>1142.47</v>
      </c>
      <c r="G220" s="496">
        <v>30.02</v>
      </c>
      <c r="H220" s="497">
        <v>0.2122</v>
      </c>
      <c r="I220" s="495">
        <v>36.39</v>
      </c>
      <c r="J220" s="496">
        <v>41574.480000000003</v>
      </c>
      <c r="K220" s="498">
        <v>1.4697824755005456E-3</v>
      </c>
    </row>
    <row r="221" spans="1:11" ht="50" x14ac:dyDescent="0.3">
      <c r="A221" s="493" t="s">
        <v>476</v>
      </c>
      <c r="B221" s="493" t="s">
        <v>478</v>
      </c>
      <c r="C221" s="493" t="s">
        <v>243</v>
      </c>
      <c r="D221" s="494" t="s">
        <v>4439</v>
      </c>
      <c r="E221" s="493" t="s">
        <v>1332</v>
      </c>
      <c r="F221" s="495">
        <v>207.2</v>
      </c>
      <c r="G221" s="496">
        <v>14.37</v>
      </c>
      <c r="H221" s="497">
        <v>0.2122</v>
      </c>
      <c r="I221" s="495">
        <v>17.420000000000002</v>
      </c>
      <c r="J221" s="496">
        <v>3609.42</v>
      </c>
      <c r="K221" s="498">
        <v>1.2760381519434947E-4</v>
      </c>
    </row>
    <row r="222" spans="1:11" ht="50" x14ac:dyDescent="0.3">
      <c r="A222" s="493" t="s">
        <v>477</v>
      </c>
      <c r="B222" s="493" t="s">
        <v>340</v>
      </c>
      <c r="C222" s="493" t="s">
        <v>243</v>
      </c>
      <c r="D222" s="494" t="s">
        <v>4423</v>
      </c>
      <c r="E222" s="493" t="s">
        <v>1332</v>
      </c>
      <c r="F222" s="495">
        <v>510.81</v>
      </c>
      <c r="G222" s="496">
        <v>32.4</v>
      </c>
      <c r="H222" s="497">
        <v>0.2122</v>
      </c>
      <c r="I222" s="495">
        <v>39.28</v>
      </c>
      <c r="J222" s="496">
        <v>20064.61</v>
      </c>
      <c r="K222" s="498">
        <v>7.0934410137548319E-4</v>
      </c>
    </row>
    <row r="223" spans="1:11" ht="37.5" x14ac:dyDescent="0.3">
      <c r="A223" s="493" t="s">
        <v>479</v>
      </c>
      <c r="B223" s="493" t="s">
        <v>342</v>
      </c>
      <c r="C223" s="493" t="s">
        <v>243</v>
      </c>
      <c r="D223" s="494" t="s">
        <v>4424</v>
      </c>
      <c r="E223" s="493" t="s">
        <v>1332</v>
      </c>
      <c r="F223" s="495">
        <v>249.06</v>
      </c>
      <c r="G223" s="496">
        <v>41.58</v>
      </c>
      <c r="H223" s="497">
        <v>0.2122</v>
      </c>
      <c r="I223" s="495">
        <v>50.4</v>
      </c>
      <c r="J223" s="496">
        <v>12552.62</v>
      </c>
      <c r="K223" s="498">
        <v>4.4377273985429664E-4</v>
      </c>
    </row>
    <row r="224" spans="1:11" ht="39" customHeight="1" x14ac:dyDescent="0.3">
      <c r="A224" s="493" t="s">
        <v>480</v>
      </c>
      <c r="B224" s="493" t="s">
        <v>328</v>
      </c>
      <c r="C224" s="493" t="s">
        <v>125</v>
      </c>
      <c r="D224" s="494" t="s">
        <v>329</v>
      </c>
      <c r="E224" s="493" t="s">
        <v>1901</v>
      </c>
      <c r="F224" s="495">
        <v>3.1</v>
      </c>
      <c r="G224" s="496">
        <v>13.66</v>
      </c>
      <c r="H224" s="497">
        <v>0.2122</v>
      </c>
      <c r="I224" s="495">
        <v>16.559999999999999</v>
      </c>
      <c r="J224" s="496">
        <v>51.33</v>
      </c>
      <c r="K224" s="498">
        <v>1.8146693468551619E-6</v>
      </c>
    </row>
    <row r="225" spans="1:11" ht="39" customHeight="1" x14ac:dyDescent="0.3">
      <c r="A225" s="493" t="s">
        <v>481</v>
      </c>
      <c r="B225" s="493" t="s">
        <v>357</v>
      </c>
      <c r="C225" s="493" t="s">
        <v>32</v>
      </c>
      <c r="D225" s="494" t="s">
        <v>358</v>
      </c>
      <c r="E225" s="493" t="s">
        <v>268</v>
      </c>
      <c r="F225" s="495">
        <v>11.8</v>
      </c>
      <c r="G225" s="496">
        <v>271.92</v>
      </c>
      <c r="H225" s="497">
        <v>0.2122</v>
      </c>
      <c r="I225" s="495">
        <v>329.62</v>
      </c>
      <c r="J225" s="496">
        <v>3889.51</v>
      </c>
      <c r="K225" s="498">
        <v>1.3750583618325779E-4</v>
      </c>
    </row>
    <row r="226" spans="1:11" ht="39" customHeight="1" x14ac:dyDescent="0.3">
      <c r="A226" s="493" t="s">
        <v>482</v>
      </c>
      <c r="B226" s="493" t="s">
        <v>386</v>
      </c>
      <c r="C226" s="493" t="s">
        <v>4210</v>
      </c>
      <c r="D226" s="494" t="s">
        <v>387</v>
      </c>
      <c r="E226" s="493" t="s">
        <v>268</v>
      </c>
      <c r="F226" s="495">
        <v>6.78</v>
      </c>
      <c r="G226" s="496">
        <v>124.59</v>
      </c>
      <c r="H226" s="497">
        <v>0.2122</v>
      </c>
      <c r="I226" s="495">
        <v>151.03</v>
      </c>
      <c r="J226" s="496">
        <v>1023.98</v>
      </c>
      <c r="K226" s="498">
        <v>3.6200762084409676E-5</v>
      </c>
    </row>
    <row r="227" spans="1:11" ht="39" customHeight="1" x14ac:dyDescent="0.3">
      <c r="A227" s="493" t="s">
        <v>483</v>
      </c>
      <c r="B227" s="493" t="s">
        <v>369</v>
      </c>
      <c r="C227" s="493" t="s">
        <v>4210</v>
      </c>
      <c r="D227" s="494" t="s">
        <v>370</v>
      </c>
      <c r="E227" s="493" t="s">
        <v>1332</v>
      </c>
      <c r="F227" s="495">
        <v>225.99</v>
      </c>
      <c r="G227" s="496">
        <v>0.28000000000000003</v>
      </c>
      <c r="H227" s="497">
        <v>0.2122</v>
      </c>
      <c r="I227" s="495">
        <v>0.34</v>
      </c>
      <c r="J227" s="496">
        <v>76.83</v>
      </c>
      <c r="K227" s="498">
        <v>2.7161707757428813E-6</v>
      </c>
    </row>
    <row r="228" spans="1:11" ht="39" customHeight="1" x14ac:dyDescent="0.3">
      <c r="A228" s="493" t="s">
        <v>484</v>
      </c>
      <c r="B228" s="493" t="s">
        <v>372</v>
      </c>
      <c r="C228" s="493" t="s">
        <v>4210</v>
      </c>
      <c r="D228" s="494" t="s">
        <v>373</v>
      </c>
      <c r="E228" s="493" t="s">
        <v>381</v>
      </c>
      <c r="F228" s="495">
        <v>0.1</v>
      </c>
      <c r="G228" s="496">
        <v>4033.08</v>
      </c>
      <c r="H228" s="497">
        <v>0.111</v>
      </c>
      <c r="I228" s="495">
        <v>4480.75</v>
      </c>
      <c r="J228" s="496">
        <v>448.07</v>
      </c>
      <c r="K228" s="498">
        <v>1.5840617460459621E-5</v>
      </c>
    </row>
    <row r="229" spans="1:11" ht="39" customHeight="1" x14ac:dyDescent="0.3">
      <c r="A229" s="493" t="s">
        <v>485</v>
      </c>
      <c r="B229" s="493" t="s">
        <v>376</v>
      </c>
      <c r="C229" s="493" t="s">
        <v>4210</v>
      </c>
      <c r="D229" s="494" t="s">
        <v>377</v>
      </c>
      <c r="E229" s="493" t="s">
        <v>1332</v>
      </c>
      <c r="F229" s="495">
        <v>225.99</v>
      </c>
      <c r="G229" s="496">
        <v>0.4</v>
      </c>
      <c r="H229" s="497">
        <v>0.2122</v>
      </c>
      <c r="I229" s="495">
        <v>0.48</v>
      </c>
      <c r="J229" s="496">
        <v>108.47</v>
      </c>
      <c r="K229" s="498">
        <v>3.8347396075078785E-6</v>
      </c>
    </row>
    <row r="230" spans="1:11" ht="39" customHeight="1" x14ac:dyDescent="0.3">
      <c r="A230" s="493" t="s">
        <v>486</v>
      </c>
      <c r="B230" s="493" t="s">
        <v>379</v>
      </c>
      <c r="C230" s="493" t="s">
        <v>4210</v>
      </c>
      <c r="D230" s="494" t="s">
        <v>380</v>
      </c>
      <c r="E230" s="493" t="s">
        <v>381</v>
      </c>
      <c r="F230" s="495">
        <v>0.28999999999999998</v>
      </c>
      <c r="G230" s="496">
        <v>4291.21</v>
      </c>
      <c r="H230" s="497">
        <v>0.111</v>
      </c>
      <c r="I230" s="495">
        <v>4767.53</v>
      </c>
      <c r="J230" s="496">
        <v>1382.58</v>
      </c>
      <c r="K230" s="498">
        <v>4.8878346884375799E-5</v>
      </c>
    </row>
    <row r="231" spans="1:11" ht="39" customHeight="1" x14ac:dyDescent="0.3">
      <c r="A231" s="493" t="s">
        <v>487</v>
      </c>
      <c r="B231" s="493" t="s">
        <v>389</v>
      </c>
      <c r="C231" s="493" t="s">
        <v>4210</v>
      </c>
      <c r="D231" s="494" t="s">
        <v>390</v>
      </c>
      <c r="E231" s="493" t="s">
        <v>381</v>
      </c>
      <c r="F231" s="495">
        <v>16.27</v>
      </c>
      <c r="G231" s="496">
        <v>188.17</v>
      </c>
      <c r="H231" s="497">
        <v>0.2122</v>
      </c>
      <c r="I231" s="495">
        <v>228.1</v>
      </c>
      <c r="J231" s="496">
        <v>3711.18</v>
      </c>
      <c r="K231" s="498">
        <v>1.3120133619056964E-4</v>
      </c>
    </row>
    <row r="232" spans="1:11" ht="39" customHeight="1" x14ac:dyDescent="0.3">
      <c r="A232" s="493" t="s">
        <v>488</v>
      </c>
      <c r="B232" s="493" t="s">
        <v>392</v>
      </c>
      <c r="C232" s="493" t="s">
        <v>4210</v>
      </c>
      <c r="D232" s="494" t="s">
        <v>393</v>
      </c>
      <c r="E232" s="493" t="s">
        <v>381</v>
      </c>
      <c r="F232" s="495">
        <v>1.03</v>
      </c>
      <c r="G232" s="496">
        <v>5274.22</v>
      </c>
      <c r="H232" s="497">
        <v>0.111</v>
      </c>
      <c r="I232" s="495">
        <v>5859.66</v>
      </c>
      <c r="J232" s="496">
        <v>6035.44</v>
      </c>
      <c r="K232" s="498">
        <v>2.1337089348886652E-4</v>
      </c>
    </row>
    <row r="233" spans="1:11" ht="50" x14ac:dyDescent="0.3">
      <c r="A233" s="493" t="s">
        <v>489</v>
      </c>
      <c r="B233" s="493" t="s">
        <v>363</v>
      </c>
      <c r="C233" s="493" t="s">
        <v>4210</v>
      </c>
      <c r="D233" s="494" t="s">
        <v>364</v>
      </c>
      <c r="E233" s="493" t="s">
        <v>268</v>
      </c>
      <c r="F233" s="495">
        <v>33.9</v>
      </c>
      <c r="G233" s="496">
        <v>15.45</v>
      </c>
      <c r="H233" s="497">
        <v>0.2122</v>
      </c>
      <c r="I233" s="495">
        <v>18.73</v>
      </c>
      <c r="J233" s="496">
        <v>634.94000000000005</v>
      </c>
      <c r="K233" s="498">
        <v>2.2447032049332098E-5</v>
      </c>
    </row>
    <row r="234" spans="1:11" ht="39" customHeight="1" x14ac:dyDescent="0.3">
      <c r="A234" s="493" t="s">
        <v>490</v>
      </c>
      <c r="B234" s="493" t="s">
        <v>366</v>
      </c>
      <c r="C234" s="493" t="s">
        <v>125</v>
      </c>
      <c r="D234" s="494" t="s">
        <v>4232</v>
      </c>
      <c r="E234" s="493" t="s">
        <v>268</v>
      </c>
      <c r="F234" s="495">
        <v>33.9</v>
      </c>
      <c r="G234" s="496">
        <v>208.42</v>
      </c>
      <c r="H234" s="497">
        <v>0.2122</v>
      </c>
      <c r="I234" s="495">
        <v>252.65</v>
      </c>
      <c r="J234" s="496">
        <v>8564.83</v>
      </c>
      <c r="K234" s="498">
        <v>3.027924111051139E-4</v>
      </c>
    </row>
    <row r="235" spans="1:11" ht="39" customHeight="1" x14ac:dyDescent="0.3">
      <c r="A235" s="493" t="s">
        <v>491</v>
      </c>
      <c r="B235" s="493" t="s">
        <v>383</v>
      </c>
      <c r="C235" s="493" t="s">
        <v>125</v>
      </c>
      <c r="D235" s="494" t="s">
        <v>4233</v>
      </c>
      <c r="E235" s="493" t="s">
        <v>1369</v>
      </c>
      <c r="F235" s="495">
        <v>5616.01</v>
      </c>
      <c r="G235" s="496">
        <v>0.54959999999999998</v>
      </c>
      <c r="H235" s="497">
        <v>0.111</v>
      </c>
      <c r="I235" s="495">
        <v>0.61</v>
      </c>
      <c r="J235" s="496">
        <v>3425.76</v>
      </c>
      <c r="K235" s="498">
        <v>1.2111088372652524E-4</v>
      </c>
    </row>
    <row r="236" spans="1:11" ht="39" customHeight="1" x14ac:dyDescent="0.3">
      <c r="A236" s="493" t="s">
        <v>492</v>
      </c>
      <c r="B236" s="493" t="s">
        <v>4234</v>
      </c>
      <c r="C236" s="493" t="s">
        <v>4235</v>
      </c>
      <c r="D236" s="494" t="s">
        <v>4430</v>
      </c>
      <c r="E236" s="493" t="s">
        <v>268</v>
      </c>
      <c r="F236" s="495">
        <v>135.58000000000001</v>
      </c>
      <c r="G236" s="496">
        <v>56.12</v>
      </c>
      <c r="H236" s="497">
        <v>0.2122</v>
      </c>
      <c r="I236" s="495">
        <v>68.03</v>
      </c>
      <c r="J236" s="496">
        <v>9223.5</v>
      </c>
      <c r="K236" s="498">
        <v>3.2607836977826974E-4</v>
      </c>
    </row>
    <row r="237" spans="1:11" ht="39" customHeight="1" x14ac:dyDescent="0.3">
      <c r="A237" s="493" t="s">
        <v>493</v>
      </c>
      <c r="B237" s="493" t="s">
        <v>397</v>
      </c>
      <c r="C237" s="493" t="s">
        <v>197</v>
      </c>
      <c r="D237" s="494" t="s">
        <v>398</v>
      </c>
      <c r="E237" s="493" t="s">
        <v>268</v>
      </c>
      <c r="F237" s="495">
        <v>674.02</v>
      </c>
      <c r="G237" s="496">
        <v>11.09</v>
      </c>
      <c r="H237" s="497">
        <v>0.2122</v>
      </c>
      <c r="I237" s="495">
        <v>13.44</v>
      </c>
      <c r="J237" s="496">
        <v>9058.82</v>
      </c>
      <c r="K237" s="498">
        <v>3.2025643819751564E-4</v>
      </c>
    </row>
    <row r="238" spans="1:11" ht="50" x14ac:dyDescent="0.3">
      <c r="A238" s="493" t="s">
        <v>494</v>
      </c>
      <c r="B238" s="493" t="s">
        <v>127</v>
      </c>
      <c r="C238" s="493" t="s">
        <v>32</v>
      </c>
      <c r="D238" s="494" t="s">
        <v>128</v>
      </c>
      <c r="E238" s="493" t="s">
        <v>268</v>
      </c>
      <c r="F238" s="495">
        <v>713.5</v>
      </c>
      <c r="G238" s="496">
        <v>6.53</v>
      </c>
      <c r="H238" s="497">
        <v>0.2122</v>
      </c>
      <c r="I238" s="495">
        <v>7.92</v>
      </c>
      <c r="J238" s="496">
        <v>5650.92</v>
      </c>
      <c r="K238" s="498">
        <v>1.9977695900118394E-4</v>
      </c>
    </row>
    <row r="239" spans="1:11" ht="39" customHeight="1" x14ac:dyDescent="0.3">
      <c r="A239" s="493" t="s">
        <v>495</v>
      </c>
      <c r="B239" s="493" t="s">
        <v>119</v>
      </c>
      <c r="C239" s="493" t="s">
        <v>32</v>
      </c>
      <c r="D239" s="494" t="s">
        <v>120</v>
      </c>
      <c r="E239" s="493" t="s">
        <v>121</v>
      </c>
      <c r="F239" s="495">
        <v>18011.615008141292</v>
      </c>
      <c r="G239" s="496">
        <v>2.1</v>
      </c>
      <c r="H239" s="497">
        <v>0.2122</v>
      </c>
      <c r="I239" s="495">
        <v>2.5499999999999998</v>
      </c>
      <c r="J239" s="496">
        <v>45929.61</v>
      </c>
      <c r="K239" s="498">
        <v>1.6237493742453208E-3</v>
      </c>
    </row>
    <row r="240" spans="1:11" ht="39" customHeight="1" x14ac:dyDescent="0.3">
      <c r="A240" s="493" t="s">
        <v>496</v>
      </c>
      <c r="B240" s="493" t="s">
        <v>122</v>
      </c>
      <c r="C240" s="493" t="s">
        <v>32</v>
      </c>
      <c r="D240" s="494" t="s">
        <v>123</v>
      </c>
      <c r="E240" s="493" t="s">
        <v>121</v>
      </c>
      <c r="F240" s="495">
        <v>8913.0409818319986</v>
      </c>
      <c r="G240" s="496">
        <v>0.85</v>
      </c>
      <c r="H240" s="497">
        <v>0.2122</v>
      </c>
      <c r="I240" s="495">
        <v>1.03</v>
      </c>
      <c r="J240" s="496">
        <v>9180.43</v>
      </c>
      <c r="K240" s="498">
        <v>3.2455571618837979E-4</v>
      </c>
    </row>
    <row r="241" spans="1:11" ht="39" customHeight="1" x14ac:dyDescent="0.3">
      <c r="A241" s="493" t="s">
        <v>497</v>
      </c>
      <c r="B241" s="493" t="s">
        <v>324</v>
      </c>
      <c r="C241" s="493" t="s">
        <v>32</v>
      </c>
      <c r="D241" s="494" t="s">
        <v>4422</v>
      </c>
      <c r="E241" s="493" t="s">
        <v>268</v>
      </c>
      <c r="F241" s="495">
        <v>589.56733195999982</v>
      </c>
      <c r="G241" s="496">
        <v>1.37</v>
      </c>
      <c r="H241" s="497">
        <v>0.2122</v>
      </c>
      <c r="I241" s="495">
        <v>1.66</v>
      </c>
      <c r="J241" s="496">
        <v>978.68</v>
      </c>
      <c r="K241" s="498">
        <v>3.459927131073855E-5</v>
      </c>
    </row>
    <row r="242" spans="1:11" ht="39" customHeight="1" x14ac:dyDescent="0.3">
      <c r="A242" s="493" t="s">
        <v>498</v>
      </c>
      <c r="B242" s="493" t="s">
        <v>500</v>
      </c>
      <c r="C242" s="493" t="s">
        <v>32</v>
      </c>
      <c r="D242" s="494" t="s">
        <v>4440</v>
      </c>
      <c r="E242" s="493" t="s">
        <v>194</v>
      </c>
      <c r="F242" s="495">
        <v>175.64999999999986</v>
      </c>
      <c r="G242" s="496">
        <v>77.209999999999994</v>
      </c>
      <c r="H242" s="497">
        <v>0.2122</v>
      </c>
      <c r="I242" s="495">
        <v>93.59</v>
      </c>
      <c r="J242" s="496">
        <v>16439.080000000002</v>
      </c>
      <c r="K242" s="498">
        <v>5.8117074939605996E-4</v>
      </c>
    </row>
    <row r="243" spans="1:11" ht="39" customHeight="1" x14ac:dyDescent="0.3">
      <c r="A243" s="493" t="s">
        <v>499</v>
      </c>
      <c r="B243" s="493" t="s">
        <v>174</v>
      </c>
      <c r="C243" s="493" t="s">
        <v>32</v>
      </c>
      <c r="D243" s="494" t="s">
        <v>175</v>
      </c>
      <c r="E243" s="493" t="s">
        <v>268</v>
      </c>
      <c r="F243" s="495">
        <v>16.579999999999998</v>
      </c>
      <c r="G243" s="496">
        <v>403.4</v>
      </c>
      <c r="H243" s="497">
        <v>0.2122</v>
      </c>
      <c r="I243" s="495">
        <v>489</v>
      </c>
      <c r="J243" s="496">
        <v>8107.62</v>
      </c>
      <c r="K243" s="498">
        <v>2.8662866725014314E-4</v>
      </c>
    </row>
    <row r="244" spans="1:11" ht="39" customHeight="1" x14ac:dyDescent="0.3">
      <c r="A244" s="493" t="s">
        <v>501</v>
      </c>
      <c r="B244" s="493" t="s">
        <v>503</v>
      </c>
      <c r="C244" s="493" t="s">
        <v>125</v>
      </c>
      <c r="D244" s="494" t="s">
        <v>537</v>
      </c>
      <c r="E244" s="493" t="s">
        <v>1369</v>
      </c>
      <c r="F244" s="495">
        <v>1336</v>
      </c>
      <c r="G244" s="496">
        <v>12.15</v>
      </c>
      <c r="H244" s="497">
        <v>0.2122</v>
      </c>
      <c r="I244" s="495">
        <v>14.73</v>
      </c>
      <c r="J244" s="496">
        <v>19679.28</v>
      </c>
      <c r="K244" s="498">
        <v>6.957215309600594E-4</v>
      </c>
    </row>
    <row r="245" spans="1:11" ht="39" customHeight="1" x14ac:dyDescent="0.3">
      <c r="A245" s="493" t="s">
        <v>502</v>
      </c>
      <c r="B245" s="493" t="s">
        <v>506</v>
      </c>
      <c r="C245" s="493" t="s">
        <v>32</v>
      </c>
      <c r="D245" s="494" t="s">
        <v>507</v>
      </c>
      <c r="E245" s="493" t="s">
        <v>1332</v>
      </c>
      <c r="F245" s="495">
        <v>542.49</v>
      </c>
      <c r="G245" s="496">
        <v>133.38</v>
      </c>
      <c r="H245" s="497">
        <v>0.2122</v>
      </c>
      <c r="I245" s="495">
        <v>161.68</v>
      </c>
      <c r="J245" s="496">
        <v>87709.78</v>
      </c>
      <c r="K245" s="498">
        <v>3.100803607742255E-3</v>
      </c>
    </row>
    <row r="246" spans="1:11" ht="39" customHeight="1" x14ac:dyDescent="0.3">
      <c r="A246" s="493" t="s">
        <v>505</v>
      </c>
      <c r="B246" s="493" t="s">
        <v>509</v>
      </c>
      <c r="C246" s="493" t="s">
        <v>125</v>
      </c>
      <c r="D246" s="494" t="s">
        <v>4236</v>
      </c>
      <c r="E246" s="493" t="s">
        <v>1332</v>
      </c>
      <c r="F246" s="495">
        <v>1008.42</v>
      </c>
      <c r="G246" s="496">
        <v>93.65</v>
      </c>
      <c r="H246" s="497">
        <v>0.2122</v>
      </c>
      <c r="I246" s="495">
        <v>113.52</v>
      </c>
      <c r="J246" s="496">
        <v>114475.83</v>
      </c>
      <c r="K246" s="498">
        <v>4.0470636987493197E-3</v>
      </c>
    </row>
    <row r="247" spans="1:11" ht="39" customHeight="1" x14ac:dyDescent="0.3">
      <c r="A247" s="493" t="s">
        <v>508</v>
      </c>
      <c r="B247" s="493" t="s">
        <v>176</v>
      </c>
      <c r="C247" s="493" t="s">
        <v>32</v>
      </c>
      <c r="D247" s="494" t="s">
        <v>177</v>
      </c>
      <c r="E247" s="493" t="s">
        <v>268</v>
      </c>
      <c r="F247" s="495">
        <v>66.8</v>
      </c>
      <c r="G247" s="496">
        <v>470.06</v>
      </c>
      <c r="H247" s="497">
        <v>0.2122</v>
      </c>
      <c r="I247" s="495">
        <v>569.80999999999995</v>
      </c>
      <c r="J247" s="496">
        <v>38063.300000000003</v>
      </c>
      <c r="K247" s="498">
        <v>1.3456517387522326E-3</v>
      </c>
    </row>
    <row r="248" spans="1:11" ht="39" customHeight="1" x14ac:dyDescent="0.3">
      <c r="A248" s="493" t="s">
        <v>511</v>
      </c>
      <c r="B248" s="493" t="s">
        <v>180</v>
      </c>
      <c r="C248" s="493" t="s">
        <v>32</v>
      </c>
      <c r="D248" s="494" t="s">
        <v>181</v>
      </c>
      <c r="E248" s="493" t="s">
        <v>268</v>
      </c>
      <c r="F248" s="495">
        <v>83.38</v>
      </c>
      <c r="G248" s="496">
        <v>326.63</v>
      </c>
      <c r="H248" s="497">
        <v>0.2122</v>
      </c>
      <c r="I248" s="495">
        <v>395.94</v>
      </c>
      <c r="J248" s="496">
        <v>33013.47</v>
      </c>
      <c r="K248" s="498">
        <v>1.1671251128447786E-3</v>
      </c>
    </row>
    <row r="249" spans="1:11" ht="39" customHeight="1" x14ac:dyDescent="0.3">
      <c r="A249" s="493" t="s">
        <v>512</v>
      </c>
      <c r="B249" s="493" t="s">
        <v>514</v>
      </c>
      <c r="C249" s="493" t="s">
        <v>32</v>
      </c>
      <c r="D249" s="494" t="s">
        <v>515</v>
      </c>
      <c r="E249" s="493" t="s">
        <v>194</v>
      </c>
      <c r="F249" s="495">
        <v>67.95</v>
      </c>
      <c r="G249" s="496">
        <v>62.21</v>
      </c>
      <c r="H249" s="497">
        <v>0.111</v>
      </c>
      <c r="I249" s="495">
        <v>69.12</v>
      </c>
      <c r="J249" s="496">
        <v>4696.7</v>
      </c>
      <c r="K249" s="498">
        <v>1.6604242200223338E-4</v>
      </c>
    </row>
    <row r="250" spans="1:11" ht="39" customHeight="1" x14ac:dyDescent="0.3">
      <c r="A250" s="493" t="s">
        <v>513</v>
      </c>
      <c r="B250" s="493" t="s">
        <v>517</v>
      </c>
      <c r="C250" s="493" t="s">
        <v>32</v>
      </c>
      <c r="D250" s="494" t="s">
        <v>518</v>
      </c>
      <c r="E250" s="493" t="s">
        <v>194</v>
      </c>
      <c r="F250" s="495">
        <v>92.75</v>
      </c>
      <c r="G250" s="496">
        <v>68.3</v>
      </c>
      <c r="H250" s="497">
        <v>0.111</v>
      </c>
      <c r="I250" s="495">
        <v>75.88</v>
      </c>
      <c r="J250" s="496">
        <v>7037.87</v>
      </c>
      <c r="K250" s="498">
        <v>2.4880979848337307E-4</v>
      </c>
    </row>
    <row r="251" spans="1:11" ht="50" x14ac:dyDescent="0.3">
      <c r="A251" s="493" t="s">
        <v>516</v>
      </c>
      <c r="B251" s="493" t="s">
        <v>519</v>
      </c>
      <c r="C251" s="493" t="s">
        <v>32</v>
      </c>
      <c r="D251" s="494" t="s">
        <v>4441</v>
      </c>
      <c r="E251" s="493" t="s">
        <v>194</v>
      </c>
      <c r="F251" s="495">
        <v>160.69999999999999</v>
      </c>
      <c r="G251" s="496">
        <v>38.11</v>
      </c>
      <c r="H251" s="497">
        <v>0.2122</v>
      </c>
      <c r="I251" s="495">
        <v>46.2</v>
      </c>
      <c r="J251" s="496">
        <v>7424.34</v>
      </c>
      <c r="K251" s="498">
        <v>2.6247267131561766E-4</v>
      </c>
    </row>
    <row r="252" spans="1:11" ht="24" customHeight="1" x14ac:dyDescent="0.3">
      <c r="A252" s="489" t="s">
        <v>520</v>
      </c>
      <c r="B252" s="489" t="s">
        <v>1328</v>
      </c>
      <c r="C252" s="489" t="s">
        <v>1328</v>
      </c>
      <c r="D252" s="490" t="s">
        <v>521</v>
      </c>
      <c r="E252" s="490" t="s">
        <v>1328</v>
      </c>
      <c r="F252" s="499"/>
      <c r="G252" s="490"/>
      <c r="H252" s="489"/>
      <c r="I252" s="500"/>
      <c r="J252" s="357">
        <v>262300.67</v>
      </c>
      <c r="K252" s="492">
        <v>9.27311485502769E-3</v>
      </c>
    </row>
    <row r="253" spans="1:11" ht="39" customHeight="1" x14ac:dyDescent="0.3">
      <c r="A253" s="493" t="s">
        <v>522</v>
      </c>
      <c r="B253" s="493" t="s">
        <v>523</v>
      </c>
      <c r="C253" s="493" t="s">
        <v>243</v>
      </c>
      <c r="D253" s="494" t="s">
        <v>524</v>
      </c>
      <c r="E253" s="493" t="s">
        <v>268</v>
      </c>
      <c r="F253" s="495">
        <v>13.67</v>
      </c>
      <c r="G253" s="496">
        <v>262.95</v>
      </c>
      <c r="H253" s="497">
        <v>0.2122</v>
      </c>
      <c r="I253" s="495">
        <v>318.75</v>
      </c>
      <c r="J253" s="496">
        <v>4357.3100000000004</v>
      </c>
      <c r="K253" s="498">
        <v>1.5404396827869602E-4</v>
      </c>
    </row>
    <row r="254" spans="1:11" ht="39" customHeight="1" x14ac:dyDescent="0.3">
      <c r="A254" s="493" t="s">
        <v>525</v>
      </c>
      <c r="B254" s="493" t="s">
        <v>526</v>
      </c>
      <c r="C254" s="493" t="s">
        <v>32</v>
      </c>
      <c r="D254" s="494" t="s">
        <v>4442</v>
      </c>
      <c r="E254" s="493" t="s">
        <v>268</v>
      </c>
      <c r="F254" s="495">
        <v>1.27</v>
      </c>
      <c r="G254" s="496">
        <v>3512.27</v>
      </c>
      <c r="H254" s="497">
        <v>0.2122</v>
      </c>
      <c r="I254" s="495">
        <v>4257.57</v>
      </c>
      <c r="J254" s="496">
        <v>5407.11</v>
      </c>
      <c r="K254" s="498">
        <v>1.9115754475110101E-4</v>
      </c>
    </row>
    <row r="255" spans="1:11" ht="39" customHeight="1" x14ac:dyDescent="0.3">
      <c r="A255" s="493" t="s">
        <v>527</v>
      </c>
      <c r="B255" s="493" t="s">
        <v>506</v>
      </c>
      <c r="C255" s="493" t="s">
        <v>32</v>
      </c>
      <c r="D255" s="494" t="s">
        <v>507</v>
      </c>
      <c r="E255" s="493" t="s">
        <v>1332</v>
      </c>
      <c r="F255" s="495">
        <v>42.28</v>
      </c>
      <c r="G255" s="496">
        <v>133.38</v>
      </c>
      <c r="H255" s="497">
        <v>0.2122</v>
      </c>
      <c r="I255" s="495">
        <v>161.68</v>
      </c>
      <c r="J255" s="496">
        <v>6835.83</v>
      </c>
      <c r="K255" s="498">
        <v>2.416670789268054E-4</v>
      </c>
    </row>
    <row r="256" spans="1:11" ht="39" customHeight="1" x14ac:dyDescent="0.3">
      <c r="A256" s="493" t="s">
        <v>528</v>
      </c>
      <c r="B256" s="493" t="s">
        <v>529</v>
      </c>
      <c r="C256" s="493" t="s">
        <v>32</v>
      </c>
      <c r="D256" s="494" t="s">
        <v>530</v>
      </c>
      <c r="E256" s="493" t="s">
        <v>268</v>
      </c>
      <c r="F256" s="495">
        <v>30.38</v>
      </c>
      <c r="G256" s="496">
        <v>430.64</v>
      </c>
      <c r="H256" s="497">
        <v>0.2122</v>
      </c>
      <c r="I256" s="495">
        <v>522.02</v>
      </c>
      <c r="J256" s="496">
        <v>15858.96</v>
      </c>
      <c r="K256" s="498">
        <v>5.6066176865385037E-4</v>
      </c>
    </row>
    <row r="257" spans="1:11" ht="39" customHeight="1" x14ac:dyDescent="0.3">
      <c r="A257" s="493" t="s">
        <v>531</v>
      </c>
      <c r="B257" s="493" t="s">
        <v>176</v>
      </c>
      <c r="C257" s="493" t="s">
        <v>32</v>
      </c>
      <c r="D257" s="494" t="s">
        <v>177</v>
      </c>
      <c r="E257" s="493" t="s">
        <v>268</v>
      </c>
      <c r="F257" s="495">
        <v>66.2</v>
      </c>
      <c r="G257" s="496">
        <v>470.06</v>
      </c>
      <c r="H257" s="497">
        <v>0.2122</v>
      </c>
      <c r="I257" s="495">
        <v>569.80999999999995</v>
      </c>
      <c r="J257" s="496">
        <v>37721.42</v>
      </c>
      <c r="K257" s="498">
        <v>1.3335652560656388E-3</v>
      </c>
    </row>
    <row r="258" spans="1:11" ht="39" customHeight="1" x14ac:dyDescent="0.3">
      <c r="A258" s="493" t="s">
        <v>532</v>
      </c>
      <c r="B258" s="493" t="s">
        <v>533</v>
      </c>
      <c r="C258" s="493" t="s">
        <v>125</v>
      </c>
      <c r="D258" s="494" t="s">
        <v>1368</v>
      </c>
      <c r="E258" s="493" t="s">
        <v>1332</v>
      </c>
      <c r="F258" s="495">
        <v>872.54</v>
      </c>
      <c r="G258" s="496">
        <v>77.569999999999993</v>
      </c>
      <c r="H258" s="497">
        <v>0.2122</v>
      </c>
      <c r="I258" s="495">
        <v>94.03</v>
      </c>
      <c r="J258" s="496">
        <v>82044.929999999993</v>
      </c>
      <c r="K258" s="498">
        <v>2.9005341814899175E-3</v>
      </c>
    </row>
    <row r="259" spans="1:11" ht="39" customHeight="1" x14ac:dyDescent="0.3">
      <c r="A259" s="493" t="s">
        <v>535</v>
      </c>
      <c r="B259" s="493" t="s">
        <v>180</v>
      </c>
      <c r="C259" s="493" t="s">
        <v>32</v>
      </c>
      <c r="D259" s="494" t="s">
        <v>181</v>
      </c>
      <c r="E259" s="493" t="s">
        <v>268</v>
      </c>
      <c r="F259" s="495">
        <v>96.59</v>
      </c>
      <c r="G259" s="496">
        <v>326.63</v>
      </c>
      <c r="H259" s="497">
        <v>0.2122</v>
      </c>
      <c r="I259" s="495">
        <v>395.94</v>
      </c>
      <c r="J259" s="496">
        <v>38243.839999999997</v>
      </c>
      <c r="K259" s="498">
        <v>1.3520343688687574E-3</v>
      </c>
    </row>
    <row r="260" spans="1:11" ht="39" customHeight="1" x14ac:dyDescent="0.3">
      <c r="A260" s="493" t="s">
        <v>536</v>
      </c>
      <c r="B260" s="493" t="s">
        <v>503</v>
      </c>
      <c r="C260" s="493" t="s">
        <v>125</v>
      </c>
      <c r="D260" s="494" t="s">
        <v>537</v>
      </c>
      <c r="E260" s="493" t="s">
        <v>1369</v>
      </c>
      <c r="F260" s="495">
        <v>3790.03</v>
      </c>
      <c r="G260" s="496">
        <v>12.15</v>
      </c>
      <c r="H260" s="497">
        <v>0.2122</v>
      </c>
      <c r="I260" s="495">
        <v>14.73</v>
      </c>
      <c r="J260" s="496">
        <v>55827.14</v>
      </c>
      <c r="K260" s="498">
        <v>1.9736567247339116E-3</v>
      </c>
    </row>
    <row r="261" spans="1:11" ht="39" customHeight="1" x14ac:dyDescent="0.3">
      <c r="A261" s="493" t="s">
        <v>538</v>
      </c>
      <c r="B261" s="493" t="s">
        <v>539</v>
      </c>
      <c r="C261" s="493" t="s">
        <v>32</v>
      </c>
      <c r="D261" s="494" t="s">
        <v>540</v>
      </c>
      <c r="E261" s="493" t="s">
        <v>194</v>
      </c>
      <c r="F261" s="495">
        <v>30.38</v>
      </c>
      <c r="G261" s="496">
        <v>300.54000000000002</v>
      </c>
      <c r="H261" s="497">
        <v>0.2122</v>
      </c>
      <c r="I261" s="495">
        <v>364.31</v>
      </c>
      <c r="J261" s="496">
        <v>11067.73</v>
      </c>
      <c r="K261" s="498">
        <v>3.9127742782523437E-4</v>
      </c>
    </row>
    <row r="262" spans="1:11" ht="39" customHeight="1" x14ac:dyDescent="0.3">
      <c r="A262" s="493" t="s">
        <v>541</v>
      </c>
      <c r="B262" s="493" t="s">
        <v>542</v>
      </c>
      <c r="C262" s="493" t="s">
        <v>32</v>
      </c>
      <c r="D262" s="494" t="s">
        <v>543</v>
      </c>
      <c r="E262" s="493" t="s">
        <v>268</v>
      </c>
      <c r="F262" s="495">
        <v>238.82</v>
      </c>
      <c r="G262" s="496">
        <v>17.05</v>
      </c>
      <c r="H262" s="497">
        <v>0.2122</v>
      </c>
      <c r="I262" s="495">
        <v>20.67</v>
      </c>
      <c r="J262" s="496">
        <v>4936.3999999999996</v>
      </c>
      <c r="K262" s="498">
        <v>1.7451653543377793E-4</v>
      </c>
    </row>
    <row r="263" spans="1:11" ht="24" customHeight="1" x14ac:dyDescent="0.3">
      <c r="A263" s="489" t="s">
        <v>544</v>
      </c>
      <c r="B263" s="489" t="s">
        <v>1328</v>
      </c>
      <c r="C263" s="489" t="s">
        <v>1328</v>
      </c>
      <c r="D263" s="490" t="s">
        <v>545</v>
      </c>
      <c r="E263" s="490" t="s">
        <v>1328</v>
      </c>
      <c r="F263" s="499"/>
      <c r="G263" s="490"/>
      <c r="H263" s="489"/>
      <c r="I263" s="500"/>
      <c r="J263" s="357">
        <v>5914.23</v>
      </c>
      <c r="K263" s="492">
        <v>2.0908575669688689E-4</v>
      </c>
    </row>
    <row r="264" spans="1:11" ht="39" customHeight="1" x14ac:dyDescent="0.3">
      <c r="A264" s="493" t="s">
        <v>546</v>
      </c>
      <c r="B264" s="493" t="s">
        <v>547</v>
      </c>
      <c r="C264" s="493" t="s">
        <v>197</v>
      </c>
      <c r="D264" s="494" t="s">
        <v>548</v>
      </c>
      <c r="E264" s="493" t="s">
        <v>194</v>
      </c>
      <c r="F264" s="495">
        <v>940.26</v>
      </c>
      <c r="G264" s="496">
        <v>5.19</v>
      </c>
      <c r="H264" s="497">
        <v>0.2122</v>
      </c>
      <c r="I264" s="495">
        <v>6.29</v>
      </c>
      <c r="J264" s="496">
        <v>5914.23</v>
      </c>
      <c r="K264" s="498">
        <v>2.0908575669688689E-4</v>
      </c>
    </row>
    <row r="265" spans="1:11" ht="24" customHeight="1" x14ac:dyDescent="0.3">
      <c r="A265" s="489" t="s">
        <v>549</v>
      </c>
      <c r="B265" s="489" t="s">
        <v>1328</v>
      </c>
      <c r="C265" s="489" t="s">
        <v>1328</v>
      </c>
      <c r="D265" s="490" t="s">
        <v>550</v>
      </c>
      <c r="E265" s="490" t="s">
        <v>1328</v>
      </c>
      <c r="F265" s="499"/>
      <c r="G265" s="490"/>
      <c r="H265" s="489"/>
      <c r="I265" s="500"/>
      <c r="J265" s="357">
        <v>1015526.8000000002</v>
      </c>
      <c r="K265" s="492">
        <v>3.5901916128383268E-2</v>
      </c>
    </row>
    <row r="266" spans="1:11" ht="24" customHeight="1" x14ac:dyDescent="0.3">
      <c r="A266" s="489" t="s">
        <v>551</v>
      </c>
      <c r="B266" s="489" t="s">
        <v>1328</v>
      </c>
      <c r="C266" s="489" t="s">
        <v>1328</v>
      </c>
      <c r="D266" s="490" t="s">
        <v>552</v>
      </c>
      <c r="E266" s="490" t="s">
        <v>1328</v>
      </c>
      <c r="F266" s="499"/>
      <c r="G266" s="490"/>
      <c r="H266" s="489"/>
      <c r="I266" s="500"/>
      <c r="J266" s="357">
        <v>165691.26999999999</v>
      </c>
      <c r="K266" s="492">
        <v>5.8576830062439566E-3</v>
      </c>
    </row>
    <row r="267" spans="1:11" ht="39" customHeight="1" x14ac:dyDescent="0.3">
      <c r="A267" s="493" t="s">
        <v>553</v>
      </c>
      <c r="B267" s="493" t="s">
        <v>145</v>
      </c>
      <c r="C267" s="493" t="s">
        <v>32</v>
      </c>
      <c r="D267" s="494" t="s">
        <v>4405</v>
      </c>
      <c r="E267" s="493" t="s">
        <v>1332</v>
      </c>
      <c r="F267" s="495">
        <v>4007.34</v>
      </c>
      <c r="G267" s="496">
        <v>0.65</v>
      </c>
      <c r="H267" s="497">
        <v>0.2122</v>
      </c>
      <c r="I267" s="495">
        <v>0.79</v>
      </c>
      <c r="J267" s="496">
        <v>3165.79</v>
      </c>
      <c r="K267" s="498">
        <v>1.1192016504150795E-4</v>
      </c>
    </row>
    <row r="268" spans="1:11" ht="39" customHeight="1" x14ac:dyDescent="0.3">
      <c r="A268" s="493" t="s">
        <v>554</v>
      </c>
      <c r="B268" s="493" t="s">
        <v>116</v>
      </c>
      <c r="C268" s="493" t="s">
        <v>32</v>
      </c>
      <c r="D268" s="494" t="s">
        <v>117</v>
      </c>
      <c r="E268" s="493" t="s">
        <v>268</v>
      </c>
      <c r="F268" s="495">
        <v>1202.2</v>
      </c>
      <c r="G268" s="496">
        <v>8.81</v>
      </c>
      <c r="H268" s="497">
        <v>0.2122</v>
      </c>
      <c r="I268" s="495">
        <v>10.68</v>
      </c>
      <c r="J268" s="496">
        <v>12839.49</v>
      </c>
      <c r="K268" s="498">
        <v>4.5391445416429735E-4</v>
      </c>
    </row>
    <row r="269" spans="1:11" ht="39" customHeight="1" x14ac:dyDescent="0.3">
      <c r="A269" s="493" t="s">
        <v>555</v>
      </c>
      <c r="B269" s="493" t="s">
        <v>119</v>
      </c>
      <c r="C269" s="493" t="s">
        <v>32</v>
      </c>
      <c r="D269" s="494" t="s">
        <v>120</v>
      </c>
      <c r="E269" s="493" t="s">
        <v>121</v>
      </c>
      <c r="F269" s="495">
        <v>36066.019999999997</v>
      </c>
      <c r="G269" s="496">
        <v>2.1</v>
      </c>
      <c r="H269" s="497">
        <v>0.2122</v>
      </c>
      <c r="I269" s="495">
        <v>2.5499999999999998</v>
      </c>
      <c r="J269" s="496">
        <v>91968.35</v>
      </c>
      <c r="K269" s="498">
        <v>3.2513568210763093E-3</v>
      </c>
    </row>
    <row r="270" spans="1:11" ht="39" customHeight="1" x14ac:dyDescent="0.3">
      <c r="A270" s="493" t="s">
        <v>556</v>
      </c>
      <c r="B270" s="493" t="s">
        <v>122</v>
      </c>
      <c r="C270" s="493" t="s">
        <v>32</v>
      </c>
      <c r="D270" s="494" t="s">
        <v>123</v>
      </c>
      <c r="E270" s="493" t="s">
        <v>121</v>
      </c>
      <c r="F270" s="495">
        <v>54099.02</v>
      </c>
      <c r="G270" s="496">
        <v>0.85</v>
      </c>
      <c r="H270" s="497">
        <v>0.2122</v>
      </c>
      <c r="I270" s="495">
        <v>1.03</v>
      </c>
      <c r="J270" s="496">
        <v>55721.99</v>
      </c>
      <c r="K270" s="498">
        <v>1.9699393570771452E-3</v>
      </c>
    </row>
    <row r="271" spans="1:11" ht="39" customHeight="1" x14ac:dyDescent="0.3">
      <c r="A271" s="493" t="s">
        <v>557</v>
      </c>
      <c r="B271" s="493" t="s">
        <v>324</v>
      </c>
      <c r="C271" s="493" t="s">
        <v>32</v>
      </c>
      <c r="D271" s="494" t="s">
        <v>4422</v>
      </c>
      <c r="E271" s="493" t="s">
        <v>268</v>
      </c>
      <c r="F271" s="495">
        <v>1202.2</v>
      </c>
      <c r="G271" s="496">
        <v>1.37</v>
      </c>
      <c r="H271" s="497">
        <v>0.2122</v>
      </c>
      <c r="I271" s="495">
        <v>1.66</v>
      </c>
      <c r="J271" s="496">
        <v>1995.65</v>
      </c>
      <c r="K271" s="498">
        <v>7.0552208884697135E-5</v>
      </c>
    </row>
    <row r="272" spans="1:11" ht="24" customHeight="1" x14ac:dyDescent="0.3">
      <c r="A272" s="489" t="s">
        <v>558</v>
      </c>
      <c r="B272" s="489" t="s">
        <v>1328</v>
      </c>
      <c r="C272" s="489" t="s">
        <v>1328</v>
      </c>
      <c r="D272" s="490" t="s">
        <v>559</v>
      </c>
      <c r="E272" s="490" t="s">
        <v>1328</v>
      </c>
      <c r="F272" s="499"/>
      <c r="G272" s="490"/>
      <c r="H272" s="489"/>
      <c r="I272" s="500"/>
      <c r="J272" s="357">
        <v>296596.40000000002</v>
      </c>
      <c r="K272" s="492">
        <v>1.0485571702076611E-2</v>
      </c>
    </row>
    <row r="273" spans="1:11" ht="50" x14ac:dyDescent="0.3">
      <c r="A273" s="493" t="s">
        <v>560</v>
      </c>
      <c r="B273" s="493" t="s">
        <v>561</v>
      </c>
      <c r="C273" s="493" t="s">
        <v>32</v>
      </c>
      <c r="D273" s="494" t="s">
        <v>562</v>
      </c>
      <c r="E273" s="493" t="s">
        <v>268</v>
      </c>
      <c r="F273" s="495">
        <v>3026.63</v>
      </c>
      <c r="G273" s="496">
        <v>13.23</v>
      </c>
      <c r="H273" s="497">
        <v>0.2122</v>
      </c>
      <c r="I273" s="495">
        <v>16.04</v>
      </c>
      <c r="J273" s="496">
        <v>48547.14</v>
      </c>
      <c r="K273" s="498">
        <v>1.7162869050357707E-3</v>
      </c>
    </row>
    <row r="274" spans="1:11" ht="39" customHeight="1" x14ac:dyDescent="0.3">
      <c r="A274" s="493" t="s">
        <v>563</v>
      </c>
      <c r="B274" s="493" t="s">
        <v>119</v>
      </c>
      <c r="C274" s="493" t="s">
        <v>32</v>
      </c>
      <c r="D274" s="494" t="s">
        <v>120</v>
      </c>
      <c r="E274" s="493" t="s">
        <v>121</v>
      </c>
      <c r="F274" s="495">
        <v>80228.0146106842</v>
      </c>
      <c r="G274" s="496">
        <v>2.1</v>
      </c>
      <c r="H274" s="497">
        <v>0.2122</v>
      </c>
      <c r="I274" s="495">
        <v>2.5499999999999998</v>
      </c>
      <c r="J274" s="496">
        <v>204581.43</v>
      </c>
      <c r="K274" s="498">
        <v>7.2325667242703106E-3</v>
      </c>
    </row>
    <row r="275" spans="1:11" ht="39" customHeight="1" x14ac:dyDescent="0.3">
      <c r="A275" s="493" t="s">
        <v>564</v>
      </c>
      <c r="B275" s="493" t="s">
        <v>122</v>
      </c>
      <c r="C275" s="493" t="s">
        <v>32</v>
      </c>
      <c r="D275" s="494" t="s">
        <v>123</v>
      </c>
      <c r="E275" s="493" t="s">
        <v>121</v>
      </c>
      <c r="F275" s="495">
        <v>37900.243969520656</v>
      </c>
      <c r="G275" s="496">
        <v>0.85</v>
      </c>
      <c r="H275" s="497">
        <v>0.2122</v>
      </c>
      <c r="I275" s="495">
        <v>1.03</v>
      </c>
      <c r="J275" s="496">
        <v>39037.25</v>
      </c>
      <c r="K275" s="498">
        <v>1.3800837903861615E-3</v>
      </c>
    </row>
    <row r="276" spans="1:11" ht="39" customHeight="1" x14ac:dyDescent="0.3">
      <c r="A276" s="493" t="s">
        <v>565</v>
      </c>
      <c r="B276" s="493" t="s">
        <v>324</v>
      </c>
      <c r="C276" s="493" t="s">
        <v>32</v>
      </c>
      <c r="D276" s="494" t="s">
        <v>4422</v>
      </c>
      <c r="E276" s="493" t="s">
        <v>268</v>
      </c>
      <c r="F276" s="495">
        <v>2669.03</v>
      </c>
      <c r="G276" s="496">
        <v>1.37</v>
      </c>
      <c r="H276" s="497">
        <v>0.2122</v>
      </c>
      <c r="I276" s="495">
        <v>1.66</v>
      </c>
      <c r="J276" s="496">
        <v>4430.58</v>
      </c>
      <c r="K276" s="498">
        <v>1.5663428238436671E-4</v>
      </c>
    </row>
    <row r="277" spans="1:11" ht="24" customHeight="1" x14ac:dyDescent="0.3">
      <c r="A277" s="489" t="s">
        <v>566</v>
      </c>
      <c r="B277" s="489" t="s">
        <v>1328</v>
      </c>
      <c r="C277" s="489" t="s">
        <v>1328</v>
      </c>
      <c r="D277" s="490" t="s">
        <v>567</v>
      </c>
      <c r="E277" s="490" t="s">
        <v>1328</v>
      </c>
      <c r="F277" s="499"/>
      <c r="G277" s="490"/>
      <c r="H277" s="489"/>
      <c r="I277" s="500"/>
      <c r="J277" s="357">
        <v>386.59</v>
      </c>
      <c r="K277" s="492">
        <v>1.3667115191909937E-5</v>
      </c>
    </row>
    <row r="278" spans="1:11" ht="50" x14ac:dyDescent="0.3">
      <c r="A278" s="493" t="s">
        <v>568</v>
      </c>
      <c r="B278" s="493" t="s">
        <v>569</v>
      </c>
      <c r="C278" s="493" t="s">
        <v>32</v>
      </c>
      <c r="D278" s="494" t="s">
        <v>4443</v>
      </c>
      <c r="E278" s="493" t="s">
        <v>268</v>
      </c>
      <c r="F278" s="495">
        <v>26.21</v>
      </c>
      <c r="G278" s="496">
        <v>12.17</v>
      </c>
      <c r="H278" s="497">
        <v>0.2122</v>
      </c>
      <c r="I278" s="495">
        <v>14.75</v>
      </c>
      <c r="J278" s="496">
        <v>386.59</v>
      </c>
      <c r="K278" s="498">
        <v>1.3667115191909937E-5</v>
      </c>
    </row>
    <row r="279" spans="1:11" ht="24" customHeight="1" x14ac:dyDescent="0.3">
      <c r="A279" s="489" t="s">
        <v>570</v>
      </c>
      <c r="B279" s="489" t="s">
        <v>1328</v>
      </c>
      <c r="C279" s="489" t="s">
        <v>1328</v>
      </c>
      <c r="D279" s="490" t="s">
        <v>571</v>
      </c>
      <c r="E279" s="490" t="s">
        <v>1328</v>
      </c>
      <c r="F279" s="499"/>
      <c r="G279" s="490"/>
      <c r="H279" s="489"/>
      <c r="I279" s="500"/>
      <c r="J279" s="357">
        <v>458502.42000000004</v>
      </c>
      <c r="K279" s="492">
        <v>1.6209434775626558E-2</v>
      </c>
    </row>
    <row r="280" spans="1:11" ht="39" customHeight="1" x14ac:dyDescent="0.3">
      <c r="A280" s="493" t="s">
        <v>572</v>
      </c>
      <c r="B280" s="493" t="s">
        <v>573</v>
      </c>
      <c r="C280" s="493" t="s">
        <v>125</v>
      </c>
      <c r="D280" s="494" t="s">
        <v>4237</v>
      </c>
      <c r="E280" s="493" t="s">
        <v>1332</v>
      </c>
      <c r="F280" s="495">
        <v>4007.8900000000003</v>
      </c>
      <c r="G280" s="496">
        <v>1.1399999999999999</v>
      </c>
      <c r="H280" s="497">
        <v>0.2122</v>
      </c>
      <c r="I280" s="495">
        <v>1.38</v>
      </c>
      <c r="J280" s="496">
        <v>5530.88</v>
      </c>
      <c r="K280" s="498">
        <v>1.9553318521594153E-4</v>
      </c>
    </row>
    <row r="281" spans="1:11" ht="39" customHeight="1" x14ac:dyDescent="0.3">
      <c r="A281" s="493" t="s">
        <v>575</v>
      </c>
      <c r="B281" s="493" t="s">
        <v>576</v>
      </c>
      <c r="C281" s="493" t="s">
        <v>125</v>
      </c>
      <c r="D281" s="494" t="s">
        <v>1898</v>
      </c>
      <c r="E281" s="493" t="s">
        <v>268</v>
      </c>
      <c r="F281" s="495">
        <v>1602.93</v>
      </c>
      <c r="G281" s="496">
        <v>8.59</v>
      </c>
      <c r="H281" s="497">
        <v>0.2122</v>
      </c>
      <c r="I281" s="495">
        <v>10.41</v>
      </c>
      <c r="J281" s="496">
        <v>16686.5</v>
      </c>
      <c r="K281" s="498">
        <v>5.8991778796607555E-4</v>
      </c>
    </row>
    <row r="282" spans="1:11" ht="50" x14ac:dyDescent="0.3">
      <c r="A282" s="493" t="s">
        <v>578</v>
      </c>
      <c r="B282" s="493" t="s">
        <v>363</v>
      </c>
      <c r="C282" s="493" t="s">
        <v>4210</v>
      </c>
      <c r="D282" s="494" t="s">
        <v>364</v>
      </c>
      <c r="E282" s="493" t="s">
        <v>268</v>
      </c>
      <c r="F282" s="495">
        <v>601.09999999999991</v>
      </c>
      <c r="G282" s="496">
        <v>15.45</v>
      </c>
      <c r="H282" s="497">
        <v>0.2122</v>
      </c>
      <c r="I282" s="495">
        <v>18.73</v>
      </c>
      <c r="J282" s="496">
        <v>11258.6</v>
      </c>
      <c r="K282" s="498">
        <v>3.9802525440295203E-4</v>
      </c>
    </row>
    <row r="283" spans="1:11" ht="39" customHeight="1" x14ac:dyDescent="0.3">
      <c r="A283" s="493" t="s">
        <v>579</v>
      </c>
      <c r="B283" s="493" t="s">
        <v>366</v>
      </c>
      <c r="C283" s="493" t="s">
        <v>125</v>
      </c>
      <c r="D283" s="494" t="s">
        <v>4232</v>
      </c>
      <c r="E283" s="493" t="s">
        <v>268</v>
      </c>
      <c r="F283" s="495">
        <v>582.16999999999996</v>
      </c>
      <c r="G283" s="496">
        <v>208.42</v>
      </c>
      <c r="H283" s="497">
        <v>0.2122</v>
      </c>
      <c r="I283" s="495">
        <v>252.65</v>
      </c>
      <c r="J283" s="496">
        <v>147085.25</v>
      </c>
      <c r="K283" s="498">
        <v>5.1999044330708786E-3</v>
      </c>
    </row>
    <row r="284" spans="1:11" ht="39" customHeight="1" x14ac:dyDescent="0.3">
      <c r="A284" s="493" t="s">
        <v>580</v>
      </c>
      <c r="B284" s="493" t="s">
        <v>369</v>
      </c>
      <c r="C284" s="493" t="s">
        <v>4210</v>
      </c>
      <c r="D284" s="494" t="s">
        <v>370</v>
      </c>
      <c r="E284" s="493" t="s">
        <v>1332</v>
      </c>
      <c r="F284" s="495">
        <v>3842.6666666666661</v>
      </c>
      <c r="G284" s="496">
        <v>0.28000000000000003</v>
      </c>
      <c r="H284" s="497">
        <v>0.2122</v>
      </c>
      <c r="I284" s="495">
        <v>0.34</v>
      </c>
      <c r="J284" s="496">
        <v>1306.5</v>
      </c>
      <c r="K284" s="498">
        <v>4.618869085654138E-5</v>
      </c>
    </row>
    <row r="285" spans="1:11" ht="39" customHeight="1" x14ac:dyDescent="0.3">
      <c r="A285" s="493" t="s">
        <v>581</v>
      </c>
      <c r="B285" s="493" t="s">
        <v>376</v>
      </c>
      <c r="C285" s="493" t="s">
        <v>4210</v>
      </c>
      <c r="D285" s="494" t="s">
        <v>377</v>
      </c>
      <c r="E285" s="493" t="s">
        <v>1332</v>
      </c>
      <c r="F285" s="495">
        <v>3842.6666666666661</v>
      </c>
      <c r="G285" s="496">
        <v>0.4</v>
      </c>
      <c r="H285" s="497">
        <v>0.2122</v>
      </c>
      <c r="I285" s="495">
        <v>0.48</v>
      </c>
      <c r="J285" s="496">
        <v>1844.48</v>
      </c>
      <c r="K285" s="498">
        <v>6.5207896296267471E-5</v>
      </c>
    </row>
    <row r="286" spans="1:11" ht="39" customHeight="1" x14ac:dyDescent="0.3">
      <c r="A286" s="493" t="s">
        <v>582</v>
      </c>
      <c r="B286" s="493" t="s">
        <v>386</v>
      </c>
      <c r="C286" s="493" t="s">
        <v>4210</v>
      </c>
      <c r="D286" s="494" t="s">
        <v>387</v>
      </c>
      <c r="E286" s="493" t="s">
        <v>268</v>
      </c>
      <c r="F286" s="495">
        <v>115.28</v>
      </c>
      <c r="G286" s="496">
        <v>124.59</v>
      </c>
      <c r="H286" s="497">
        <v>0.2122</v>
      </c>
      <c r="I286" s="495">
        <v>151.03</v>
      </c>
      <c r="J286" s="496">
        <v>17410.73</v>
      </c>
      <c r="K286" s="498">
        <v>6.155214891364031E-4</v>
      </c>
    </row>
    <row r="287" spans="1:11" ht="39" customHeight="1" x14ac:dyDescent="0.3">
      <c r="A287" s="493" t="s">
        <v>583</v>
      </c>
      <c r="B287" s="493" t="s">
        <v>584</v>
      </c>
      <c r="C287" s="493" t="s">
        <v>125</v>
      </c>
      <c r="D287" s="494" t="s">
        <v>1362</v>
      </c>
      <c r="E287" s="493" t="s">
        <v>1332</v>
      </c>
      <c r="F287" s="495">
        <v>314.56</v>
      </c>
      <c r="G287" s="496">
        <v>10.38</v>
      </c>
      <c r="H287" s="497">
        <v>0.2122</v>
      </c>
      <c r="I287" s="495">
        <v>12.58</v>
      </c>
      <c r="J287" s="496">
        <v>3957.16</v>
      </c>
      <c r="K287" s="498">
        <v>1.3989746644460106E-4</v>
      </c>
    </row>
    <row r="288" spans="1:11" ht="39" customHeight="1" x14ac:dyDescent="0.3">
      <c r="A288" s="493" t="s">
        <v>586</v>
      </c>
      <c r="B288" s="493" t="s">
        <v>389</v>
      </c>
      <c r="C288" s="493" t="s">
        <v>4210</v>
      </c>
      <c r="D288" s="494" t="s">
        <v>390</v>
      </c>
      <c r="E288" s="493" t="s">
        <v>381</v>
      </c>
      <c r="F288" s="495">
        <v>276.67199999999997</v>
      </c>
      <c r="G288" s="496">
        <v>188.17</v>
      </c>
      <c r="H288" s="497">
        <v>0.2122</v>
      </c>
      <c r="I288" s="495">
        <v>228.1</v>
      </c>
      <c r="J288" s="496">
        <v>63108.88</v>
      </c>
      <c r="K288" s="498">
        <v>2.2310880586472004E-3</v>
      </c>
    </row>
    <row r="289" spans="1:11" ht="39" customHeight="1" x14ac:dyDescent="0.3">
      <c r="A289" s="493" t="s">
        <v>587</v>
      </c>
      <c r="B289" s="493" t="s">
        <v>392</v>
      </c>
      <c r="C289" s="493" t="s">
        <v>4210</v>
      </c>
      <c r="D289" s="494" t="s">
        <v>393</v>
      </c>
      <c r="E289" s="493" t="s">
        <v>381</v>
      </c>
      <c r="F289" s="495">
        <v>17.493970559999998</v>
      </c>
      <c r="G289" s="496">
        <v>5274.22</v>
      </c>
      <c r="H289" s="497">
        <v>0.111</v>
      </c>
      <c r="I289" s="495">
        <v>5859.66</v>
      </c>
      <c r="J289" s="496">
        <v>102508.71</v>
      </c>
      <c r="K289" s="498">
        <v>3.6239901387622292E-3</v>
      </c>
    </row>
    <row r="290" spans="1:11" ht="39" customHeight="1" x14ac:dyDescent="0.3">
      <c r="A290" s="493" t="s">
        <v>588</v>
      </c>
      <c r="B290" s="493" t="s">
        <v>372</v>
      </c>
      <c r="C290" s="493" t="s">
        <v>4210</v>
      </c>
      <c r="D290" s="494" t="s">
        <v>373</v>
      </c>
      <c r="E290" s="493" t="s">
        <v>381</v>
      </c>
      <c r="F290" s="495">
        <v>1.7292000000000001</v>
      </c>
      <c r="G290" s="496">
        <v>4033.08</v>
      </c>
      <c r="H290" s="497">
        <v>0.111</v>
      </c>
      <c r="I290" s="495">
        <v>4480.75</v>
      </c>
      <c r="J290" s="496">
        <v>7748.11</v>
      </c>
      <c r="K290" s="498">
        <v>2.7391891122271474E-4</v>
      </c>
    </row>
    <row r="291" spans="1:11" ht="39" customHeight="1" x14ac:dyDescent="0.3">
      <c r="A291" s="493" t="s">
        <v>589</v>
      </c>
      <c r="B291" s="493" t="s">
        <v>379</v>
      </c>
      <c r="C291" s="493" t="s">
        <v>4210</v>
      </c>
      <c r="D291" s="494" t="s">
        <v>380</v>
      </c>
      <c r="E291" s="493" t="s">
        <v>381</v>
      </c>
      <c r="F291" s="495">
        <v>3.2387999999999999</v>
      </c>
      <c r="G291" s="496">
        <v>4291.21</v>
      </c>
      <c r="H291" s="497">
        <v>0.111</v>
      </c>
      <c r="I291" s="495">
        <v>4767.53</v>
      </c>
      <c r="J291" s="496">
        <v>15441.07</v>
      </c>
      <c r="K291" s="498">
        <v>5.4588810464922723E-4</v>
      </c>
    </row>
    <row r="292" spans="1:11" ht="39" customHeight="1" x14ac:dyDescent="0.3">
      <c r="A292" s="493" t="s">
        <v>590</v>
      </c>
      <c r="B292" s="493" t="s">
        <v>383</v>
      </c>
      <c r="C292" s="493" t="s">
        <v>125</v>
      </c>
      <c r="D292" s="494" t="s">
        <v>4233</v>
      </c>
      <c r="E292" s="493" t="s">
        <v>1369</v>
      </c>
      <c r="F292" s="495">
        <v>420.77</v>
      </c>
      <c r="G292" s="496">
        <v>0.54959999999999998</v>
      </c>
      <c r="H292" s="497">
        <v>0.111</v>
      </c>
      <c r="I292" s="495">
        <v>0.61</v>
      </c>
      <c r="J292" s="496">
        <v>256.66000000000003</v>
      </c>
      <c r="K292" s="498">
        <v>9.0737002642479242E-6</v>
      </c>
    </row>
    <row r="293" spans="1:11" ht="50" x14ac:dyDescent="0.3">
      <c r="A293" s="493" t="s">
        <v>591</v>
      </c>
      <c r="B293" s="493" t="s">
        <v>592</v>
      </c>
      <c r="C293" s="493" t="s">
        <v>32</v>
      </c>
      <c r="D293" s="494" t="s">
        <v>4444</v>
      </c>
      <c r="E293" s="493" t="s">
        <v>194</v>
      </c>
      <c r="F293" s="495">
        <v>1097.9000000000001</v>
      </c>
      <c r="G293" s="496">
        <v>48.36</v>
      </c>
      <c r="H293" s="497">
        <v>0.2122</v>
      </c>
      <c r="I293" s="495">
        <v>58.62</v>
      </c>
      <c r="J293" s="496">
        <v>64358.89</v>
      </c>
      <c r="K293" s="498">
        <v>2.2752796586912763E-3</v>
      </c>
    </row>
    <row r="294" spans="1:11" ht="24" customHeight="1" x14ac:dyDescent="0.3">
      <c r="A294" s="489" t="s">
        <v>593</v>
      </c>
      <c r="B294" s="489" t="s">
        <v>1328</v>
      </c>
      <c r="C294" s="489" t="s">
        <v>1328</v>
      </c>
      <c r="D294" s="490" t="s">
        <v>594</v>
      </c>
      <c r="E294" s="490" t="s">
        <v>1328</v>
      </c>
      <c r="F294" s="499"/>
      <c r="G294" s="490"/>
      <c r="H294" s="489"/>
      <c r="I294" s="500"/>
      <c r="J294" s="357">
        <v>94350.12</v>
      </c>
      <c r="K294" s="492">
        <v>3.3355595292442267E-3</v>
      </c>
    </row>
    <row r="295" spans="1:11" ht="39" customHeight="1" x14ac:dyDescent="0.3">
      <c r="A295" s="493" t="s">
        <v>595</v>
      </c>
      <c r="B295" s="493" t="s">
        <v>596</v>
      </c>
      <c r="C295" s="493" t="s">
        <v>125</v>
      </c>
      <c r="D295" s="494" t="s">
        <v>4238</v>
      </c>
      <c r="E295" s="493" t="s">
        <v>1332</v>
      </c>
      <c r="F295" s="495">
        <v>1.1100000000000001</v>
      </c>
      <c r="G295" s="496">
        <v>501.28</v>
      </c>
      <c r="H295" s="497">
        <v>0.2122</v>
      </c>
      <c r="I295" s="495">
        <v>607.65</v>
      </c>
      <c r="J295" s="496">
        <v>674.49</v>
      </c>
      <c r="K295" s="498">
        <v>2.3845243089038346E-5</v>
      </c>
    </row>
    <row r="296" spans="1:11" ht="39" customHeight="1" x14ac:dyDescent="0.3">
      <c r="A296" s="493" t="s">
        <v>598</v>
      </c>
      <c r="B296" s="493" t="s">
        <v>599</v>
      </c>
      <c r="C296" s="493" t="s">
        <v>125</v>
      </c>
      <c r="D296" s="494" t="s">
        <v>4451</v>
      </c>
      <c r="E296" s="493" t="s">
        <v>89</v>
      </c>
      <c r="F296" s="495">
        <v>5</v>
      </c>
      <c r="G296" s="496">
        <v>509.43</v>
      </c>
      <c r="H296" s="497">
        <v>0.2122</v>
      </c>
      <c r="I296" s="495">
        <v>617.53</v>
      </c>
      <c r="J296" s="496">
        <v>3087.65</v>
      </c>
      <c r="K296" s="498">
        <v>1.091576818394183E-4</v>
      </c>
    </row>
    <row r="297" spans="1:11" ht="39" customHeight="1" x14ac:dyDescent="0.3">
      <c r="A297" s="493" t="s">
        <v>601</v>
      </c>
      <c r="B297" s="493" t="s">
        <v>602</v>
      </c>
      <c r="C297" s="493" t="s">
        <v>125</v>
      </c>
      <c r="D297" s="494" t="s">
        <v>4239</v>
      </c>
      <c r="E297" s="493" t="s">
        <v>1332</v>
      </c>
      <c r="F297" s="495">
        <v>1568.08</v>
      </c>
      <c r="G297" s="496">
        <v>47.66</v>
      </c>
      <c r="H297" s="497">
        <v>0.2122</v>
      </c>
      <c r="I297" s="495">
        <v>57.77</v>
      </c>
      <c r="J297" s="496">
        <v>90587.98</v>
      </c>
      <c r="K297" s="498">
        <v>3.2025566043157698E-3</v>
      </c>
    </row>
    <row r="298" spans="1:11" ht="24" customHeight="1" x14ac:dyDescent="0.3">
      <c r="A298" s="489" t="s">
        <v>604</v>
      </c>
      <c r="B298" s="489" t="s">
        <v>1328</v>
      </c>
      <c r="C298" s="489" t="s">
        <v>1328</v>
      </c>
      <c r="D298" s="490" t="s">
        <v>605</v>
      </c>
      <c r="E298" s="490" t="s">
        <v>1328</v>
      </c>
      <c r="F298" s="499"/>
      <c r="G298" s="490"/>
      <c r="H298" s="489"/>
      <c r="I298" s="500"/>
      <c r="J298" s="357">
        <v>15916.75</v>
      </c>
      <c r="K298" s="492">
        <v>5.6270481836269046E-4</v>
      </c>
    </row>
    <row r="299" spans="1:11" ht="24" customHeight="1" x14ac:dyDescent="0.3">
      <c r="A299" s="489" t="s">
        <v>606</v>
      </c>
      <c r="B299" s="489" t="s">
        <v>1328</v>
      </c>
      <c r="C299" s="489" t="s">
        <v>1328</v>
      </c>
      <c r="D299" s="490" t="s">
        <v>607</v>
      </c>
      <c r="E299" s="490" t="s">
        <v>1328</v>
      </c>
      <c r="F299" s="499"/>
      <c r="G299" s="490"/>
      <c r="H299" s="489"/>
      <c r="I299" s="500"/>
      <c r="J299" s="357">
        <v>3106.15</v>
      </c>
      <c r="K299" s="492">
        <v>1.0981171228782704E-4</v>
      </c>
    </row>
    <row r="300" spans="1:11" ht="39" customHeight="1" x14ac:dyDescent="0.3">
      <c r="A300" s="493" t="s">
        <v>608</v>
      </c>
      <c r="B300" s="493" t="s">
        <v>609</v>
      </c>
      <c r="C300" s="493" t="s">
        <v>221</v>
      </c>
      <c r="D300" s="494" t="s">
        <v>610</v>
      </c>
      <c r="E300" s="493" t="s">
        <v>89</v>
      </c>
      <c r="F300" s="495">
        <v>73</v>
      </c>
      <c r="G300" s="496">
        <v>35.1</v>
      </c>
      <c r="H300" s="497">
        <v>0.2122</v>
      </c>
      <c r="I300" s="495">
        <v>42.55</v>
      </c>
      <c r="J300" s="496">
        <v>3106.15</v>
      </c>
      <c r="K300" s="498">
        <v>1.0981171228782704E-4</v>
      </c>
    </row>
    <row r="301" spans="1:11" ht="24" customHeight="1" x14ac:dyDescent="0.3">
      <c r="A301" s="489" t="s">
        <v>611</v>
      </c>
      <c r="B301" s="489" t="s">
        <v>1328</v>
      </c>
      <c r="C301" s="489" t="s">
        <v>1328</v>
      </c>
      <c r="D301" s="490" t="s">
        <v>612</v>
      </c>
      <c r="E301" s="490" t="s">
        <v>1328</v>
      </c>
      <c r="F301" s="499"/>
      <c r="G301" s="490"/>
      <c r="H301" s="489"/>
      <c r="I301" s="500"/>
      <c r="J301" s="357">
        <v>12810.6</v>
      </c>
      <c r="K301" s="492">
        <v>4.5289310607486341E-4</v>
      </c>
    </row>
    <row r="302" spans="1:11" ht="39" customHeight="1" x14ac:dyDescent="0.3">
      <c r="A302" s="493" t="s">
        <v>613</v>
      </c>
      <c r="B302" s="493" t="s">
        <v>614</v>
      </c>
      <c r="C302" s="493" t="s">
        <v>243</v>
      </c>
      <c r="D302" s="494" t="s">
        <v>615</v>
      </c>
      <c r="E302" s="493" t="s">
        <v>89</v>
      </c>
      <c r="F302" s="495">
        <v>55</v>
      </c>
      <c r="G302" s="496">
        <v>165.13</v>
      </c>
      <c r="H302" s="497">
        <v>0.2122</v>
      </c>
      <c r="I302" s="495">
        <v>200.17</v>
      </c>
      <c r="J302" s="496">
        <v>11009.35</v>
      </c>
      <c r="K302" s="498">
        <v>3.8921351984803968E-4</v>
      </c>
    </row>
    <row r="303" spans="1:11" ht="39" customHeight="1" x14ac:dyDescent="0.3">
      <c r="A303" s="493" t="s">
        <v>616</v>
      </c>
      <c r="B303" s="493" t="s">
        <v>617</v>
      </c>
      <c r="C303" s="493" t="s">
        <v>243</v>
      </c>
      <c r="D303" s="494" t="s">
        <v>618</v>
      </c>
      <c r="E303" s="493" t="s">
        <v>89</v>
      </c>
      <c r="F303" s="495">
        <v>55</v>
      </c>
      <c r="G303" s="496">
        <v>27.02</v>
      </c>
      <c r="H303" s="497">
        <v>0.2122</v>
      </c>
      <c r="I303" s="495">
        <v>32.75</v>
      </c>
      <c r="J303" s="496">
        <v>1801.25</v>
      </c>
      <c r="K303" s="498">
        <v>6.3679586226823701E-5</v>
      </c>
    </row>
    <row r="304" spans="1:11" ht="24" customHeight="1" x14ac:dyDescent="0.3">
      <c r="A304" s="489" t="s">
        <v>619</v>
      </c>
      <c r="B304" s="489" t="s">
        <v>1328</v>
      </c>
      <c r="C304" s="489" t="s">
        <v>1328</v>
      </c>
      <c r="D304" s="490" t="s">
        <v>620</v>
      </c>
      <c r="E304" s="490" t="s">
        <v>1328</v>
      </c>
      <c r="F304" s="499"/>
      <c r="G304" s="490"/>
      <c r="H304" s="489"/>
      <c r="I304" s="500"/>
      <c r="J304" s="357">
        <v>21405.299999999996</v>
      </c>
      <c r="K304" s="492">
        <v>7.5674151120667813E-4</v>
      </c>
    </row>
    <row r="305" spans="1:11" ht="39" customHeight="1" x14ac:dyDescent="0.3">
      <c r="A305" s="493" t="s">
        <v>621</v>
      </c>
      <c r="B305" s="493" t="s">
        <v>203</v>
      </c>
      <c r="C305" s="493" t="s">
        <v>197</v>
      </c>
      <c r="D305" s="494" t="s">
        <v>204</v>
      </c>
      <c r="E305" s="493" t="s">
        <v>194</v>
      </c>
      <c r="F305" s="495">
        <v>93.6</v>
      </c>
      <c r="G305" s="496">
        <v>3.25</v>
      </c>
      <c r="H305" s="497">
        <v>0.2122</v>
      </c>
      <c r="I305" s="495">
        <v>3.94</v>
      </c>
      <c r="J305" s="496">
        <v>368.78</v>
      </c>
      <c r="K305" s="498">
        <v>1.3037478311576983E-5</v>
      </c>
    </row>
    <row r="306" spans="1:11" ht="39" customHeight="1" x14ac:dyDescent="0.3">
      <c r="A306" s="493" t="s">
        <v>622</v>
      </c>
      <c r="B306" s="493" t="s">
        <v>226</v>
      </c>
      <c r="C306" s="493" t="s">
        <v>32</v>
      </c>
      <c r="D306" s="494" t="s">
        <v>4227</v>
      </c>
      <c r="E306" s="493" t="s">
        <v>1332</v>
      </c>
      <c r="F306" s="495">
        <v>42.11999999999999</v>
      </c>
      <c r="G306" s="496">
        <v>22.73</v>
      </c>
      <c r="H306" s="497">
        <v>0.2122</v>
      </c>
      <c r="I306" s="495">
        <v>27.55</v>
      </c>
      <c r="J306" s="496">
        <v>1160.4000000000001</v>
      </c>
      <c r="K306" s="498">
        <v>4.1023617963972925E-5</v>
      </c>
    </row>
    <row r="307" spans="1:11" ht="62.5" x14ac:dyDescent="0.3">
      <c r="A307" s="493" t="s">
        <v>623</v>
      </c>
      <c r="B307" s="493">
        <v>90082</v>
      </c>
      <c r="C307" s="493" t="s">
        <v>32</v>
      </c>
      <c r="D307" s="494" t="s">
        <v>4419</v>
      </c>
      <c r="E307" s="493" t="s">
        <v>268</v>
      </c>
      <c r="F307" s="495">
        <v>11.145599999999998</v>
      </c>
      <c r="G307" s="496">
        <v>9.31</v>
      </c>
      <c r="H307" s="497">
        <v>0.2122</v>
      </c>
      <c r="I307" s="495">
        <v>11.29</v>
      </c>
      <c r="J307" s="496">
        <v>125.83</v>
      </c>
      <c r="K307" s="498">
        <v>4.4484676390957536E-6</v>
      </c>
    </row>
    <row r="308" spans="1:11" ht="62.5" x14ac:dyDescent="0.3">
      <c r="A308" s="493" t="s">
        <v>624</v>
      </c>
      <c r="B308" s="493" t="s">
        <v>305</v>
      </c>
      <c r="C308" s="493" t="s">
        <v>32</v>
      </c>
      <c r="D308" s="494" t="s">
        <v>4420</v>
      </c>
      <c r="E308" s="493" t="s">
        <v>268</v>
      </c>
      <c r="F308" s="495">
        <v>27.462240000000001</v>
      </c>
      <c r="G308" s="496">
        <v>8.6999999999999993</v>
      </c>
      <c r="H308" s="497">
        <v>0.2122</v>
      </c>
      <c r="I308" s="495">
        <v>10.55</v>
      </c>
      <c r="J308" s="496">
        <v>289.72000000000003</v>
      </c>
      <c r="K308" s="498">
        <v>1.0242470352052943E-5</v>
      </c>
    </row>
    <row r="309" spans="1:11" ht="39" customHeight="1" x14ac:dyDescent="0.3">
      <c r="A309" s="493" t="s">
        <v>625</v>
      </c>
      <c r="B309" s="493" t="s">
        <v>539</v>
      </c>
      <c r="C309" s="493" t="s">
        <v>32</v>
      </c>
      <c r="D309" s="494" t="s">
        <v>540</v>
      </c>
      <c r="E309" s="493" t="s">
        <v>194</v>
      </c>
      <c r="F309" s="495">
        <v>11.916</v>
      </c>
      <c r="G309" s="496">
        <v>300.54000000000002</v>
      </c>
      <c r="H309" s="497">
        <v>0.2122</v>
      </c>
      <c r="I309" s="495">
        <v>364.31</v>
      </c>
      <c r="J309" s="496">
        <v>4341.1099999999997</v>
      </c>
      <c r="K309" s="498">
        <v>1.5347124972387319E-4</v>
      </c>
    </row>
    <row r="310" spans="1:11" ht="39" customHeight="1" x14ac:dyDescent="0.3">
      <c r="A310" s="493" t="s">
        <v>626</v>
      </c>
      <c r="B310" s="493" t="s">
        <v>627</v>
      </c>
      <c r="C310" s="493" t="s">
        <v>221</v>
      </c>
      <c r="D310" s="494" t="s">
        <v>628</v>
      </c>
      <c r="E310" s="493" t="s">
        <v>89</v>
      </c>
      <c r="F310" s="495">
        <v>13</v>
      </c>
      <c r="G310" s="496">
        <v>541.14</v>
      </c>
      <c r="H310" s="497">
        <v>0.2122</v>
      </c>
      <c r="I310" s="495">
        <v>655.97</v>
      </c>
      <c r="J310" s="496">
        <v>8527.61</v>
      </c>
      <c r="K310" s="498">
        <v>3.0147657254890999E-4</v>
      </c>
    </row>
    <row r="311" spans="1:11" ht="39" customHeight="1" x14ac:dyDescent="0.3">
      <c r="A311" s="493" t="s">
        <v>629</v>
      </c>
      <c r="B311" s="493" t="s">
        <v>386</v>
      </c>
      <c r="C311" s="493" t="s">
        <v>4210</v>
      </c>
      <c r="D311" s="494" t="s">
        <v>387</v>
      </c>
      <c r="E311" s="493" t="s">
        <v>268</v>
      </c>
      <c r="F311" s="495">
        <v>1.1533300978589978</v>
      </c>
      <c r="G311" s="496">
        <v>124.59</v>
      </c>
      <c r="H311" s="497">
        <v>0.2122</v>
      </c>
      <c r="I311" s="495">
        <v>151.03</v>
      </c>
      <c r="J311" s="496">
        <v>174.18</v>
      </c>
      <c r="K311" s="498">
        <v>6.1577850542612918E-6</v>
      </c>
    </row>
    <row r="312" spans="1:11" ht="39" customHeight="1" x14ac:dyDescent="0.3">
      <c r="A312" s="493" t="s">
        <v>630</v>
      </c>
      <c r="B312" s="493" t="s">
        <v>369</v>
      </c>
      <c r="C312" s="493" t="s">
        <v>4210</v>
      </c>
      <c r="D312" s="494" t="s">
        <v>370</v>
      </c>
      <c r="E312" s="493" t="s">
        <v>1332</v>
      </c>
      <c r="F312" s="495">
        <v>38.444336595299951</v>
      </c>
      <c r="G312" s="496">
        <v>0.28000000000000003</v>
      </c>
      <c r="H312" s="497">
        <v>0.2122</v>
      </c>
      <c r="I312" s="495">
        <v>0.34</v>
      </c>
      <c r="J312" s="496">
        <v>13.07</v>
      </c>
      <c r="K312" s="498">
        <v>4.6206367355147026E-7</v>
      </c>
    </row>
    <row r="313" spans="1:11" ht="39" customHeight="1" x14ac:dyDescent="0.3">
      <c r="A313" s="493" t="s">
        <v>631</v>
      </c>
      <c r="B313" s="493" t="s">
        <v>376</v>
      </c>
      <c r="C313" s="493" t="s">
        <v>4210</v>
      </c>
      <c r="D313" s="494" t="s">
        <v>377</v>
      </c>
      <c r="E313" s="493" t="s">
        <v>1332</v>
      </c>
      <c r="F313" s="495">
        <v>38.444336595299951</v>
      </c>
      <c r="G313" s="496">
        <v>0.4</v>
      </c>
      <c r="H313" s="497">
        <v>0.2122</v>
      </c>
      <c r="I313" s="495">
        <v>0.48</v>
      </c>
      <c r="J313" s="496">
        <v>18.45</v>
      </c>
      <c r="K313" s="498">
        <v>6.5226279854817339E-7</v>
      </c>
    </row>
    <row r="314" spans="1:11" ht="39" customHeight="1" x14ac:dyDescent="0.3">
      <c r="A314" s="493" t="s">
        <v>632</v>
      </c>
      <c r="B314" s="493" t="s">
        <v>366</v>
      </c>
      <c r="C314" s="493" t="s">
        <v>125</v>
      </c>
      <c r="D314" s="494" t="s">
        <v>4232</v>
      </c>
      <c r="E314" s="493" t="s">
        <v>268</v>
      </c>
      <c r="F314" s="495">
        <v>4.9681911907772225</v>
      </c>
      <c r="G314" s="496">
        <v>208.42</v>
      </c>
      <c r="H314" s="497">
        <v>0.2122</v>
      </c>
      <c r="I314" s="495">
        <v>252.65</v>
      </c>
      <c r="J314" s="496">
        <v>1255.21</v>
      </c>
      <c r="K314" s="498">
        <v>4.4375435629574671E-5</v>
      </c>
    </row>
    <row r="315" spans="1:11" ht="39" customHeight="1" x14ac:dyDescent="0.3">
      <c r="A315" s="493" t="s">
        <v>633</v>
      </c>
      <c r="B315" s="493" t="s">
        <v>363</v>
      </c>
      <c r="C315" s="493" t="s">
        <v>4210</v>
      </c>
      <c r="D315" s="494" t="s">
        <v>364</v>
      </c>
      <c r="E315" s="493" t="s">
        <v>268</v>
      </c>
      <c r="F315" s="495">
        <v>3.5487079934123029</v>
      </c>
      <c r="G315" s="496">
        <v>15.45</v>
      </c>
      <c r="H315" s="497">
        <v>0.2122</v>
      </c>
      <c r="I315" s="495">
        <v>18.73</v>
      </c>
      <c r="J315" s="496">
        <v>66.459999999999994</v>
      </c>
      <c r="K315" s="498">
        <v>2.3495601946618751E-6</v>
      </c>
    </row>
    <row r="316" spans="1:11" ht="39" customHeight="1" x14ac:dyDescent="0.3">
      <c r="A316" s="493" t="s">
        <v>634</v>
      </c>
      <c r="B316" s="493" t="s">
        <v>4234</v>
      </c>
      <c r="C316" s="493" t="s">
        <v>4235</v>
      </c>
      <c r="D316" s="494" t="s">
        <v>4430</v>
      </c>
      <c r="E316" s="493" t="s">
        <v>268</v>
      </c>
      <c r="F316" s="495">
        <v>26.721771190394634</v>
      </c>
      <c r="G316" s="496">
        <v>56.12</v>
      </c>
      <c r="H316" s="497">
        <v>0.2122</v>
      </c>
      <c r="I316" s="495">
        <v>68.03</v>
      </c>
      <c r="J316" s="496">
        <v>1817.88</v>
      </c>
      <c r="K316" s="498">
        <v>6.4267506570447346E-5</v>
      </c>
    </row>
    <row r="317" spans="1:11" ht="39" customHeight="1" x14ac:dyDescent="0.3">
      <c r="A317" s="493" t="s">
        <v>635</v>
      </c>
      <c r="B317" s="493" t="s">
        <v>576</v>
      </c>
      <c r="C317" s="493" t="s">
        <v>125</v>
      </c>
      <c r="D317" s="494" t="s">
        <v>1898</v>
      </c>
      <c r="E317" s="493" t="s">
        <v>268</v>
      </c>
      <c r="F317" s="495">
        <v>26.721771190394634</v>
      </c>
      <c r="G317" s="496">
        <v>8.59</v>
      </c>
      <c r="H317" s="497">
        <v>0.2122</v>
      </c>
      <c r="I317" s="495">
        <v>10.41</v>
      </c>
      <c r="J317" s="496">
        <v>278.17</v>
      </c>
      <c r="K317" s="498">
        <v>9.8341432342626238E-6</v>
      </c>
    </row>
    <row r="318" spans="1:11" ht="50" x14ac:dyDescent="0.3">
      <c r="A318" s="493" t="s">
        <v>636</v>
      </c>
      <c r="B318" s="493" t="s">
        <v>116</v>
      </c>
      <c r="C318" s="493" t="s">
        <v>32</v>
      </c>
      <c r="D318" s="494" t="s">
        <v>117</v>
      </c>
      <c r="E318" s="493" t="s">
        <v>268</v>
      </c>
      <c r="F318" s="495">
        <v>1.2635999999999996</v>
      </c>
      <c r="G318" s="496">
        <v>8.81</v>
      </c>
      <c r="H318" s="497">
        <v>0.2122</v>
      </c>
      <c r="I318" s="495">
        <v>10.68</v>
      </c>
      <c r="J318" s="496">
        <v>13.49</v>
      </c>
      <c r="K318" s="498">
        <v>4.7691193238020918E-7</v>
      </c>
    </row>
    <row r="319" spans="1:11" ht="50" x14ac:dyDescent="0.3">
      <c r="A319" s="493" t="s">
        <v>637</v>
      </c>
      <c r="B319" s="493" t="s">
        <v>127</v>
      </c>
      <c r="C319" s="493" t="s">
        <v>32</v>
      </c>
      <c r="D319" s="494" t="s">
        <v>128</v>
      </c>
      <c r="E319" s="493" t="s">
        <v>268</v>
      </c>
      <c r="F319" s="495">
        <v>8.3373608161930584</v>
      </c>
      <c r="G319" s="496">
        <v>6.53</v>
      </c>
      <c r="H319" s="497">
        <v>0.2122</v>
      </c>
      <c r="I319" s="495">
        <v>7.92</v>
      </c>
      <c r="J319" s="496">
        <v>66.03</v>
      </c>
      <c r="K319" s="498">
        <v>2.3343584058610236E-6</v>
      </c>
    </row>
    <row r="320" spans="1:11" ht="25" x14ac:dyDescent="0.3">
      <c r="A320" s="493" t="s">
        <v>638</v>
      </c>
      <c r="B320" s="493" t="s">
        <v>119</v>
      </c>
      <c r="C320" s="493" t="s">
        <v>32</v>
      </c>
      <c r="D320" s="494" t="s">
        <v>120</v>
      </c>
      <c r="E320" s="493" t="s">
        <v>121</v>
      </c>
      <c r="F320" s="495">
        <v>288.02882448579174</v>
      </c>
      <c r="G320" s="496">
        <v>2.1</v>
      </c>
      <c r="H320" s="497">
        <v>0.2122</v>
      </c>
      <c r="I320" s="495">
        <v>2.5499999999999998</v>
      </c>
      <c r="J320" s="496">
        <v>734.47</v>
      </c>
      <c r="K320" s="498">
        <v>2.5965715861771106E-5</v>
      </c>
    </row>
    <row r="321" spans="1:11" ht="37.5" x14ac:dyDescent="0.3">
      <c r="A321" s="493" t="s">
        <v>639</v>
      </c>
      <c r="B321" s="493" t="s">
        <v>122</v>
      </c>
      <c r="C321" s="493" t="s">
        <v>32</v>
      </c>
      <c r="D321" s="494" t="s">
        <v>123</v>
      </c>
      <c r="E321" s="493" t="s">
        <v>121</v>
      </c>
      <c r="F321" s="495">
        <v>174.99980358994142</v>
      </c>
      <c r="G321" s="496">
        <v>0.85</v>
      </c>
      <c r="H321" s="497">
        <v>0.2122</v>
      </c>
      <c r="I321" s="495">
        <v>1.03</v>
      </c>
      <c r="J321" s="496">
        <v>180.24</v>
      </c>
      <c r="K321" s="498">
        <v>6.372024217361668E-6</v>
      </c>
    </row>
    <row r="322" spans="1:11" ht="39" customHeight="1" x14ac:dyDescent="0.3">
      <c r="A322" s="493" t="s">
        <v>640</v>
      </c>
      <c r="B322" s="493" t="s">
        <v>389</v>
      </c>
      <c r="C322" s="493" t="s">
        <v>4210</v>
      </c>
      <c r="D322" s="494" t="s">
        <v>390</v>
      </c>
      <c r="E322" s="493" t="s">
        <v>381</v>
      </c>
      <c r="F322" s="495">
        <v>2.7679922348615946</v>
      </c>
      <c r="G322" s="496">
        <v>188.17</v>
      </c>
      <c r="H322" s="497">
        <v>0.2122</v>
      </c>
      <c r="I322" s="495">
        <v>228.1</v>
      </c>
      <c r="J322" s="496">
        <v>631.37</v>
      </c>
      <c r="K322" s="498">
        <v>2.2320821849287816E-5</v>
      </c>
    </row>
    <row r="323" spans="1:11" ht="39" customHeight="1" x14ac:dyDescent="0.3">
      <c r="A323" s="493" t="s">
        <v>641</v>
      </c>
      <c r="B323" s="493" t="s">
        <v>392</v>
      </c>
      <c r="C323" s="493" t="s">
        <v>4210</v>
      </c>
      <c r="D323" s="494" t="s">
        <v>393</v>
      </c>
      <c r="E323" s="493" t="s">
        <v>381</v>
      </c>
      <c r="F323" s="495">
        <v>0.17502014901029861</v>
      </c>
      <c r="G323" s="496">
        <v>5274.22</v>
      </c>
      <c r="H323" s="497">
        <v>0.111</v>
      </c>
      <c r="I323" s="495">
        <v>5859.66</v>
      </c>
      <c r="J323" s="496">
        <v>1025.55</v>
      </c>
      <c r="K323" s="498">
        <v>3.6256266290031394E-5</v>
      </c>
    </row>
    <row r="324" spans="1:11" ht="39" customHeight="1" x14ac:dyDescent="0.3">
      <c r="A324" s="493" t="s">
        <v>642</v>
      </c>
      <c r="B324" s="493" t="s">
        <v>372</v>
      </c>
      <c r="C324" s="493" t="s">
        <v>4210</v>
      </c>
      <c r="D324" s="494" t="s">
        <v>373</v>
      </c>
      <c r="E324" s="493" t="s">
        <v>381</v>
      </c>
      <c r="F324" s="495">
        <v>1.7299951467884978E-2</v>
      </c>
      <c r="G324" s="496">
        <v>4033.08</v>
      </c>
      <c r="H324" s="497">
        <v>0.111</v>
      </c>
      <c r="I324" s="495">
        <v>4480.75</v>
      </c>
      <c r="J324" s="496">
        <v>77.510000000000005</v>
      </c>
      <c r="K324" s="498">
        <v>2.7402108138465541E-6</v>
      </c>
    </row>
    <row r="325" spans="1:11" ht="39" customHeight="1" x14ac:dyDescent="0.3">
      <c r="A325" s="493" t="s">
        <v>643</v>
      </c>
      <c r="B325" s="493" t="s">
        <v>379</v>
      </c>
      <c r="C325" s="493" t="s">
        <v>4210</v>
      </c>
      <c r="D325" s="494" t="s">
        <v>380</v>
      </c>
      <c r="E325" s="493" t="s">
        <v>381</v>
      </c>
      <c r="F325" s="495">
        <v>4.997763757388992E-2</v>
      </c>
      <c r="G325" s="496">
        <v>4291.21</v>
      </c>
      <c r="H325" s="497">
        <v>0.111</v>
      </c>
      <c r="I325" s="495">
        <v>4767.53</v>
      </c>
      <c r="J325" s="496">
        <v>238.26</v>
      </c>
      <c r="K325" s="498">
        <v>8.4232051155603133E-6</v>
      </c>
    </row>
    <row r="326" spans="1:11" ht="39" customHeight="1" x14ac:dyDescent="0.3">
      <c r="A326" s="493" t="s">
        <v>644</v>
      </c>
      <c r="B326" s="493" t="s">
        <v>383</v>
      </c>
      <c r="C326" s="493" t="s">
        <v>125</v>
      </c>
      <c r="D326" s="494" t="s">
        <v>4233</v>
      </c>
      <c r="E326" s="493" t="s">
        <v>1369</v>
      </c>
      <c r="F326" s="495">
        <v>2.4840955953886117</v>
      </c>
      <c r="G326" s="496">
        <v>0.54959999999999998</v>
      </c>
      <c r="H326" s="497">
        <v>0.111</v>
      </c>
      <c r="I326" s="495">
        <v>0.61</v>
      </c>
      <c r="J326" s="496">
        <v>1.51</v>
      </c>
      <c r="K326" s="498">
        <v>5.3383025789037495E-8</v>
      </c>
    </row>
    <row r="327" spans="1:11" ht="24" customHeight="1" x14ac:dyDescent="0.3">
      <c r="A327" s="489">
        <v>5</v>
      </c>
      <c r="B327" s="489" t="s">
        <v>1328</v>
      </c>
      <c r="C327" s="489" t="s">
        <v>1328</v>
      </c>
      <c r="D327" s="490" t="s">
        <v>645</v>
      </c>
      <c r="E327" s="490" t="s">
        <v>1328</v>
      </c>
      <c r="F327" s="499"/>
      <c r="G327" s="490"/>
      <c r="H327" s="489"/>
      <c r="I327" s="500"/>
      <c r="J327" s="357">
        <v>4893242.7100000009</v>
      </c>
      <c r="K327" s="492">
        <v>0.17299079588076144</v>
      </c>
    </row>
    <row r="328" spans="1:11" ht="24" customHeight="1" x14ac:dyDescent="0.3">
      <c r="A328" s="489" t="s">
        <v>646</v>
      </c>
      <c r="B328" s="489" t="s">
        <v>1328</v>
      </c>
      <c r="C328" s="489" t="s">
        <v>1328</v>
      </c>
      <c r="D328" s="490" t="s">
        <v>184</v>
      </c>
      <c r="E328" s="490" t="s">
        <v>1328</v>
      </c>
      <c r="F328" s="499"/>
      <c r="G328" s="490"/>
      <c r="H328" s="489"/>
      <c r="I328" s="500"/>
      <c r="J328" s="357">
        <v>4863394.7</v>
      </c>
      <c r="K328" s="492">
        <v>0.17193557926646905</v>
      </c>
    </row>
    <row r="329" spans="1:11" ht="24" customHeight="1" x14ac:dyDescent="0.3">
      <c r="A329" s="489" t="s">
        <v>647</v>
      </c>
      <c r="B329" s="489" t="s">
        <v>1328</v>
      </c>
      <c r="C329" s="489" t="s">
        <v>1328</v>
      </c>
      <c r="D329" s="490" t="s">
        <v>186</v>
      </c>
      <c r="E329" s="490" t="s">
        <v>1328</v>
      </c>
      <c r="F329" s="499"/>
      <c r="G329" s="490"/>
      <c r="H329" s="489"/>
      <c r="I329" s="500"/>
      <c r="J329" s="357">
        <v>472762.95</v>
      </c>
      <c r="K329" s="492">
        <v>1.6713587252947977E-2</v>
      </c>
    </row>
    <row r="330" spans="1:11" ht="24" customHeight="1" x14ac:dyDescent="0.3">
      <c r="A330" s="489" t="s">
        <v>648</v>
      </c>
      <c r="B330" s="489" t="s">
        <v>1328</v>
      </c>
      <c r="C330" s="489" t="s">
        <v>1328</v>
      </c>
      <c r="D330" s="490" t="s">
        <v>188</v>
      </c>
      <c r="E330" s="490" t="s">
        <v>1328</v>
      </c>
      <c r="F330" s="499"/>
      <c r="G330" s="490"/>
      <c r="H330" s="489"/>
      <c r="I330" s="500"/>
      <c r="J330" s="357">
        <v>60363.479999999996</v>
      </c>
      <c r="K330" s="492">
        <v>2.1340299401033437E-3</v>
      </c>
    </row>
    <row r="331" spans="1:11" ht="39" customHeight="1" x14ac:dyDescent="0.3">
      <c r="A331" s="493" t="s">
        <v>649</v>
      </c>
      <c r="B331" s="493" t="s">
        <v>190</v>
      </c>
      <c r="C331" s="493" t="s">
        <v>4210</v>
      </c>
      <c r="D331" s="494" t="s">
        <v>146</v>
      </c>
      <c r="E331" s="493" t="s">
        <v>1332</v>
      </c>
      <c r="F331" s="495">
        <v>12</v>
      </c>
      <c r="G331" s="496">
        <v>521.92999999999995</v>
      </c>
      <c r="H331" s="497">
        <v>0.2122</v>
      </c>
      <c r="I331" s="495">
        <v>632.67999999999995</v>
      </c>
      <c r="J331" s="496">
        <v>7592.16</v>
      </c>
      <c r="K331" s="498">
        <v>2.6840561130761514E-4</v>
      </c>
    </row>
    <row r="332" spans="1:11" ht="39" customHeight="1" x14ac:dyDescent="0.3">
      <c r="A332" s="493" t="s">
        <v>650</v>
      </c>
      <c r="B332" s="493" t="s">
        <v>192</v>
      </c>
      <c r="C332" s="493" t="s">
        <v>32</v>
      </c>
      <c r="D332" s="494" t="s">
        <v>193</v>
      </c>
      <c r="E332" s="493" t="s">
        <v>194</v>
      </c>
      <c r="F332" s="495">
        <v>1892.75</v>
      </c>
      <c r="G332" s="496">
        <v>9.66</v>
      </c>
      <c r="H332" s="497">
        <v>0.2122</v>
      </c>
      <c r="I332" s="495">
        <v>11.71</v>
      </c>
      <c r="J332" s="496">
        <v>22164.1</v>
      </c>
      <c r="K332" s="498">
        <v>7.835673654905999E-4</v>
      </c>
    </row>
    <row r="333" spans="1:11" ht="39" customHeight="1" x14ac:dyDescent="0.3">
      <c r="A333" s="493" t="s">
        <v>651</v>
      </c>
      <c r="B333" s="493" t="s">
        <v>196</v>
      </c>
      <c r="C333" s="493" t="s">
        <v>197</v>
      </c>
      <c r="D333" s="494" t="s">
        <v>198</v>
      </c>
      <c r="E333" s="493" t="s">
        <v>1332</v>
      </c>
      <c r="F333" s="495">
        <v>16</v>
      </c>
      <c r="G333" s="496">
        <v>17.21</v>
      </c>
      <c r="H333" s="497">
        <v>0.2122</v>
      </c>
      <c r="I333" s="495">
        <v>20.86</v>
      </c>
      <c r="J333" s="496">
        <v>333.76</v>
      </c>
      <c r="K333" s="498">
        <v>1.179941634923785E-5</v>
      </c>
    </row>
    <row r="334" spans="1:11" ht="39" customHeight="1" x14ac:dyDescent="0.3">
      <c r="A334" s="493" t="s">
        <v>652</v>
      </c>
      <c r="B334" s="493" t="s">
        <v>200</v>
      </c>
      <c r="C334" s="493" t="s">
        <v>197</v>
      </c>
      <c r="D334" s="494" t="s">
        <v>201</v>
      </c>
      <c r="E334" s="493" t="s">
        <v>1332</v>
      </c>
      <c r="F334" s="495">
        <v>20</v>
      </c>
      <c r="G334" s="496">
        <v>11.96</v>
      </c>
      <c r="H334" s="497">
        <v>0.2122</v>
      </c>
      <c r="I334" s="495">
        <v>14.5</v>
      </c>
      <c r="J334" s="496">
        <v>290</v>
      </c>
      <c r="K334" s="498">
        <v>1.0252369191272102E-5</v>
      </c>
    </row>
    <row r="335" spans="1:11" ht="39" customHeight="1" x14ac:dyDescent="0.3">
      <c r="A335" s="493" t="s">
        <v>653</v>
      </c>
      <c r="B335" s="493" t="s">
        <v>203</v>
      </c>
      <c r="C335" s="493" t="s">
        <v>197</v>
      </c>
      <c r="D335" s="494" t="s">
        <v>204</v>
      </c>
      <c r="E335" s="493" t="s">
        <v>194</v>
      </c>
      <c r="F335" s="495">
        <v>3785.5</v>
      </c>
      <c r="G335" s="496">
        <v>3.25</v>
      </c>
      <c r="H335" s="497">
        <v>0.2122</v>
      </c>
      <c r="I335" s="495">
        <v>3.94</v>
      </c>
      <c r="J335" s="496">
        <v>14914.87</v>
      </c>
      <c r="K335" s="498">
        <v>5.2728535751665013E-4</v>
      </c>
    </row>
    <row r="336" spans="1:11" ht="39" customHeight="1" x14ac:dyDescent="0.3">
      <c r="A336" s="493" t="s">
        <v>654</v>
      </c>
      <c r="B336" s="493" t="s">
        <v>206</v>
      </c>
      <c r="C336" s="493" t="s">
        <v>197</v>
      </c>
      <c r="D336" s="494" t="s">
        <v>207</v>
      </c>
      <c r="E336" s="493" t="s">
        <v>89</v>
      </c>
      <c r="F336" s="495">
        <v>38</v>
      </c>
      <c r="G336" s="496">
        <v>2.76</v>
      </c>
      <c r="H336" s="497">
        <v>0.2122</v>
      </c>
      <c r="I336" s="495">
        <v>3.35</v>
      </c>
      <c r="J336" s="496">
        <v>127.3</v>
      </c>
      <c r="K336" s="498">
        <v>4.50043654499634E-6</v>
      </c>
    </row>
    <row r="337" spans="1:11" ht="39" customHeight="1" x14ac:dyDescent="0.3">
      <c r="A337" s="493" t="s">
        <v>655</v>
      </c>
      <c r="B337" s="493" t="s">
        <v>209</v>
      </c>
      <c r="C337" s="493" t="s">
        <v>125</v>
      </c>
      <c r="D337" s="494" t="s">
        <v>1383</v>
      </c>
      <c r="E337" s="493" t="s">
        <v>1384</v>
      </c>
      <c r="F337" s="495">
        <v>1154</v>
      </c>
      <c r="G337" s="496">
        <v>1.96</v>
      </c>
      <c r="H337" s="497">
        <v>0.2122</v>
      </c>
      <c r="I337" s="495">
        <v>2.38</v>
      </c>
      <c r="J337" s="496">
        <v>2746.52</v>
      </c>
      <c r="K337" s="498">
        <v>9.7097713900733284E-5</v>
      </c>
    </row>
    <row r="338" spans="1:11" ht="39" customHeight="1" x14ac:dyDescent="0.3">
      <c r="A338" s="493" t="s">
        <v>656</v>
      </c>
      <c r="B338" s="493" t="s">
        <v>212</v>
      </c>
      <c r="C338" s="493" t="s">
        <v>125</v>
      </c>
      <c r="D338" s="494" t="s">
        <v>4447</v>
      </c>
      <c r="E338" s="493" t="s">
        <v>1384</v>
      </c>
      <c r="F338" s="495">
        <v>769</v>
      </c>
      <c r="G338" s="496">
        <v>3.95</v>
      </c>
      <c r="H338" s="497">
        <v>0.2122</v>
      </c>
      <c r="I338" s="495">
        <v>4.79</v>
      </c>
      <c r="J338" s="496">
        <v>3683.51</v>
      </c>
      <c r="K338" s="498">
        <v>1.3022311875773344E-4</v>
      </c>
    </row>
    <row r="339" spans="1:11" ht="39" customHeight="1" x14ac:dyDescent="0.3">
      <c r="A339" s="493" t="s">
        <v>657</v>
      </c>
      <c r="B339" s="493" t="s">
        <v>214</v>
      </c>
      <c r="C339" s="493" t="s">
        <v>125</v>
      </c>
      <c r="D339" s="494" t="s">
        <v>4448</v>
      </c>
      <c r="E339" s="493" t="s">
        <v>1384</v>
      </c>
      <c r="F339" s="495">
        <v>385</v>
      </c>
      <c r="G339" s="496">
        <v>8.06</v>
      </c>
      <c r="H339" s="497">
        <v>0.2122</v>
      </c>
      <c r="I339" s="495">
        <v>9.77</v>
      </c>
      <c r="J339" s="496">
        <v>3761.45</v>
      </c>
      <c r="K339" s="498">
        <v>1.3297853136038084E-4</v>
      </c>
    </row>
    <row r="340" spans="1:11" ht="39" customHeight="1" x14ac:dyDescent="0.3">
      <c r="A340" s="493" t="s">
        <v>658</v>
      </c>
      <c r="B340" s="493" t="s">
        <v>216</v>
      </c>
      <c r="C340" s="493" t="s">
        <v>125</v>
      </c>
      <c r="D340" s="494" t="s">
        <v>1385</v>
      </c>
      <c r="E340" s="493" t="s">
        <v>1384</v>
      </c>
      <c r="F340" s="495">
        <v>1923</v>
      </c>
      <c r="G340" s="496">
        <v>0.78</v>
      </c>
      <c r="H340" s="497">
        <v>0.2122</v>
      </c>
      <c r="I340" s="495">
        <v>0.95</v>
      </c>
      <c r="J340" s="496">
        <v>1826.85</v>
      </c>
      <c r="K340" s="498">
        <v>6.458462295543255E-5</v>
      </c>
    </row>
    <row r="341" spans="1:11" ht="39" customHeight="1" x14ac:dyDescent="0.3">
      <c r="A341" s="493" t="s">
        <v>659</v>
      </c>
      <c r="B341" s="493" t="s">
        <v>219</v>
      </c>
      <c r="C341" s="493" t="s">
        <v>125</v>
      </c>
      <c r="D341" s="494" t="s">
        <v>4449</v>
      </c>
      <c r="E341" s="493" t="s">
        <v>1384</v>
      </c>
      <c r="F341" s="495">
        <v>1923</v>
      </c>
      <c r="G341" s="496">
        <v>1.25</v>
      </c>
      <c r="H341" s="497">
        <v>0.2122</v>
      </c>
      <c r="I341" s="495">
        <v>1.52</v>
      </c>
      <c r="J341" s="496">
        <v>2922.96</v>
      </c>
      <c r="K341" s="498">
        <v>1.0333539672869208E-4</v>
      </c>
    </row>
    <row r="342" spans="1:11" ht="0.5" customHeight="1" x14ac:dyDescent="0.3">
      <c r="A342" s="493" t="s">
        <v>660</v>
      </c>
      <c r="B342" s="493" t="s">
        <v>220</v>
      </c>
      <c r="C342" s="493" t="s">
        <v>221</v>
      </c>
      <c r="D342" s="494" t="s">
        <v>4226</v>
      </c>
      <c r="E342" s="493" t="s">
        <v>194</v>
      </c>
      <c r="F342" s="495">
        <v>0</v>
      </c>
      <c r="G342" s="496">
        <v>300.70999999999998</v>
      </c>
      <c r="H342" s="497">
        <v>0.2122</v>
      </c>
      <c r="I342" s="495">
        <v>364.52</v>
      </c>
      <c r="J342" s="496">
        <v>0</v>
      </c>
      <c r="K342" s="498">
        <v>0</v>
      </c>
    </row>
    <row r="343" spans="1:11" ht="24" customHeight="1" x14ac:dyDescent="0.3">
      <c r="A343" s="489" t="s">
        <v>661</v>
      </c>
      <c r="B343" s="489" t="s">
        <v>1328</v>
      </c>
      <c r="C343" s="489" t="s">
        <v>1328</v>
      </c>
      <c r="D343" s="490" t="s">
        <v>224</v>
      </c>
      <c r="E343" s="490" t="s">
        <v>1328</v>
      </c>
      <c r="F343" s="499"/>
      <c r="G343" s="490"/>
      <c r="H343" s="489"/>
      <c r="I343" s="500"/>
      <c r="J343" s="357">
        <v>109895.04000000001</v>
      </c>
      <c r="K343" s="492">
        <v>3.885119042653846E-3</v>
      </c>
    </row>
    <row r="344" spans="1:11" ht="39" customHeight="1" x14ac:dyDescent="0.3">
      <c r="A344" s="493" t="s">
        <v>662</v>
      </c>
      <c r="B344" s="493" t="s">
        <v>226</v>
      </c>
      <c r="C344" s="493" t="s">
        <v>32</v>
      </c>
      <c r="D344" s="494" t="s">
        <v>4227</v>
      </c>
      <c r="E344" s="493" t="s">
        <v>1332</v>
      </c>
      <c r="F344" s="495">
        <v>3483.233999999999</v>
      </c>
      <c r="G344" s="496">
        <v>22.73</v>
      </c>
      <c r="H344" s="497">
        <v>0.2122</v>
      </c>
      <c r="I344" s="495">
        <v>27.55</v>
      </c>
      <c r="J344" s="496">
        <v>95963.09</v>
      </c>
      <c r="K344" s="498">
        <v>3.3925828531561099E-3</v>
      </c>
    </row>
    <row r="345" spans="1:11" ht="39" customHeight="1" x14ac:dyDescent="0.3">
      <c r="A345" s="493" t="s">
        <v>663</v>
      </c>
      <c r="B345" s="493" t="s">
        <v>116</v>
      </c>
      <c r="C345" s="493" t="s">
        <v>32</v>
      </c>
      <c r="D345" s="494" t="s">
        <v>117</v>
      </c>
      <c r="E345" s="493" t="s">
        <v>268</v>
      </c>
      <c r="F345" s="495">
        <v>104.49701999999996</v>
      </c>
      <c r="G345" s="496">
        <v>8.81</v>
      </c>
      <c r="H345" s="497">
        <v>0.2122</v>
      </c>
      <c r="I345" s="495">
        <v>10.68</v>
      </c>
      <c r="J345" s="496">
        <v>1116.02</v>
      </c>
      <c r="K345" s="498">
        <v>3.9454651947736172E-5</v>
      </c>
    </row>
    <row r="346" spans="1:11" ht="39" customHeight="1" x14ac:dyDescent="0.3">
      <c r="A346" s="493" t="s">
        <v>664</v>
      </c>
      <c r="B346" s="493" t="s">
        <v>119</v>
      </c>
      <c r="C346" s="493" t="s">
        <v>32</v>
      </c>
      <c r="D346" s="494" t="s">
        <v>120</v>
      </c>
      <c r="E346" s="493" t="s">
        <v>121</v>
      </c>
      <c r="F346" s="495">
        <v>3134.9105999999988</v>
      </c>
      <c r="G346" s="496">
        <v>2.1</v>
      </c>
      <c r="H346" s="497">
        <v>0.2122</v>
      </c>
      <c r="I346" s="495">
        <v>2.5499999999999998</v>
      </c>
      <c r="J346" s="496">
        <v>7994.02</v>
      </c>
      <c r="K346" s="498">
        <v>2.8261256676694144E-4</v>
      </c>
    </row>
    <row r="347" spans="1:11" ht="39" customHeight="1" x14ac:dyDescent="0.3">
      <c r="A347" s="493" t="s">
        <v>665</v>
      </c>
      <c r="B347" s="493" t="s">
        <v>122</v>
      </c>
      <c r="C347" s="493" t="s">
        <v>32</v>
      </c>
      <c r="D347" s="494" t="s">
        <v>123</v>
      </c>
      <c r="E347" s="493" t="s">
        <v>121</v>
      </c>
      <c r="F347" s="495">
        <v>4681.4664959999982</v>
      </c>
      <c r="G347" s="496">
        <v>0.85</v>
      </c>
      <c r="H347" s="497">
        <v>0.2122</v>
      </c>
      <c r="I347" s="495">
        <v>1.03</v>
      </c>
      <c r="J347" s="496">
        <v>4821.91</v>
      </c>
      <c r="K347" s="498">
        <v>1.7046897078305814E-4</v>
      </c>
    </row>
    <row r="348" spans="1:11" ht="24" customHeight="1" x14ac:dyDescent="0.3">
      <c r="A348" s="489" t="s">
        <v>666</v>
      </c>
      <c r="B348" s="489" t="s">
        <v>1328</v>
      </c>
      <c r="C348" s="489" t="s">
        <v>1328</v>
      </c>
      <c r="D348" s="490" t="s">
        <v>231</v>
      </c>
      <c r="E348" s="490" t="s">
        <v>1328</v>
      </c>
      <c r="F348" s="499"/>
      <c r="G348" s="490"/>
      <c r="H348" s="489"/>
      <c r="I348" s="500"/>
      <c r="J348" s="357">
        <v>30411.440000000002</v>
      </c>
      <c r="K348" s="492">
        <v>1.0751355535111038E-3</v>
      </c>
    </row>
    <row r="349" spans="1:11" ht="39" customHeight="1" x14ac:dyDescent="0.3">
      <c r="A349" s="493" t="s">
        <v>667</v>
      </c>
      <c r="B349" s="493" t="s">
        <v>233</v>
      </c>
      <c r="C349" s="493" t="s">
        <v>125</v>
      </c>
      <c r="D349" s="494" t="s">
        <v>4450</v>
      </c>
      <c r="E349" s="493" t="s">
        <v>268</v>
      </c>
      <c r="F349" s="495">
        <v>27.202866984817941</v>
      </c>
      <c r="G349" s="496">
        <v>626.30999999999995</v>
      </c>
      <c r="H349" s="497">
        <v>0.2122</v>
      </c>
      <c r="I349" s="495">
        <v>759.21</v>
      </c>
      <c r="J349" s="496">
        <v>20652.68</v>
      </c>
      <c r="K349" s="498">
        <v>7.3013413844552242E-4</v>
      </c>
    </row>
    <row r="350" spans="1:11" ht="39" customHeight="1" x14ac:dyDescent="0.3">
      <c r="A350" s="493" t="s">
        <v>668</v>
      </c>
      <c r="B350" s="493" t="s">
        <v>235</v>
      </c>
      <c r="C350" s="493" t="s">
        <v>32</v>
      </c>
      <c r="D350" s="494" t="s">
        <v>4228</v>
      </c>
      <c r="E350" s="493" t="s">
        <v>268</v>
      </c>
      <c r="F350" s="495">
        <v>29.3475</v>
      </c>
      <c r="G350" s="496">
        <v>62.38</v>
      </c>
      <c r="H350" s="497">
        <v>0.2122</v>
      </c>
      <c r="I350" s="495">
        <v>75.62</v>
      </c>
      <c r="J350" s="496">
        <v>2219.25</v>
      </c>
      <c r="K350" s="498">
        <v>7.8457139061140042E-5</v>
      </c>
    </row>
    <row r="351" spans="1:11" ht="39" customHeight="1" x14ac:dyDescent="0.3">
      <c r="A351" s="493" t="s">
        <v>669</v>
      </c>
      <c r="B351" s="493" t="s">
        <v>116</v>
      </c>
      <c r="C351" s="493" t="s">
        <v>32</v>
      </c>
      <c r="D351" s="494" t="s">
        <v>117</v>
      </c>
      <c r="E351" s="493" t="s">
        <v>268</v>
      </c>
      <c r="F351" s="495">
        <v>56.550366984817941</v>
      </c>
      <c r="G351" s="496">
        <v>8.81</v>
      </c>
      <c r="H351" s="497">
        <v>0.2122</v>
      </c>
      <c r="I351" s="495">
        <v>10.68</v>
      </c>
      <c r="J351" s="496">
        <v>603.95000000000005</v>
      </c>
      <c r="K351" s="498">
        <v>2.1351442665754434E-5</v>
      </c>
    </row>
    <row r="352" spans="1:11" ht="39" customHeight="1" x14ac:dyDescent="0.3">
      <c r="A352" s="493" t="s">
        <v>670</v>
      </c>
      <c r="B352" s="493" t="s">
        <v>119</v>
      </c>
      <c r="C352" s="493" t="s">
        <v>32</v>
      </c>
      <c r="D352" s="494" t="s">
        <v>120</v>
      </c>
      <c r="E352" s="493" t="s">
        <v>121</v>
      </c>
      <c r="F352" s="495">
        <v>1696.5110095445382</v>
      </c>
      <c r="G352" s="496">
        <v>2.1</v>
      </c>
      <c r="H352" s="497">
        <v>0.2122</v>
      </c>
      <c r="I352" s="495">
        <v>2.5499999999999998</v>
      </c>
      <c r="J352" s="496">
        <v>4326.1000000000004</v>
      </c>
      <c r="K352" s="498">
        <v>1.5294060123573186E-4</v>
      </c>
    </row>
    <row r="353" spans="1:11" ht="39" customHeight="1" x14ac:dyDescent="0.3">
      <c r="A353" s="493" t="s">
        <v>671</v>
      </c>
      <c r="B353" s="493" t="s">
        <v>122</v>
      </c>
      <c r="C353" s="493" t="s">
        <v>32</v>
      </c>
      <c r="D353" s="494" t="s">
        <v>123</v>
      </c>
      <c r="E353" s="493" t="s">
        <v>121</v>
      </c>
      <c r="F353" s="495">
        <v>2533.4564409198438</v>
      </c>
      <c r="G353" s="496">
        <v>0.85</v>
      </c>
      <c r="H353" s="497">
        <v>0.2122</v>
      </c>
      <c r="I353" s="495">
        <v>1.03</v>
      </c>
      <c r="J353" s="496">
        <v>2609.46</v>
      </c>
      <c r="K353" s="498">
        <v>9.2252232102954827E-5</v>
      </c>
    </row>
    <row r="354" spans="1:11" ht="24" customHeight="1" x14ac:dyDescent="0.3">
      <c r="A354" s="489" t="s">
        <v>672</v>
      </c>
      <c r="B354" s="489" t="s">
        <v>1328</v>
      </c>
      <c r="C354" s="489" t="s">
        <v>1328</v>
      </c>
      <c r="D354" s="490" t="s">
        <v>240</v>
      </c>
      <c r="E354" s="490" t="s">
        <v>1328</v>
      </c>
      <c r="F354" s="499"/>
      <c r="G354" s="490"/>
      <c r="H354" s="489"/>
      <c r="I354" s="500"/>
      <c r="J354" s="357">
        <v>162903.24</v>
      </c>
      <c r="K354" s="492">
        <v>5.7591177894289825E-3</v>
      </c>
    </row>
    <row r="355" spans="1:11" ht="39" customHeight="1" x14ac:dyDescent="0.3">
      <c r="A355" s="493" t="s">
        <v>673</v>
      </c>
      <c r="B355" s="493" t="s">
        <v>242</v>
      </c>
      <c r="C355" s="493" t="s">
        <v>243</v>
      </c>
      <c r="D355" s="494" t="s">
        <v>4409</v>
      </c>
      <c r="E355" s="493" t="s">
        <v>268</v>
      </c>
      <c r="F355" s="495">
        <v>319.74166187610786</v>
      </c>
      <c r="G355" s="496">
        <v>310.31</v>
      </c>
      <c r="H355" s="497">
        <v>0.2122</v>
      </c>
      <c r="I355" s="495">
        <v>376.16</v>
      </c>
      <c r="J355" s="496">
        <v>120274.02</v>
      </c>
      <c r="K355" s="498">
        <v>4.2520470936498094E-3</v>
      </c>
    </row>
    <row r="356" spans="1:11" ht="39" customHeight="1" x14ac:dyDescent="0.3">
      <c r="A356" s="493" t="s">
        <v>674</v>
      </c>
      <c r="B356" s="493" t="s">
        <v>116</v>
      </c>
      <c r="C356" s="493" t="s">
        <v>32</v>
      </c>
      <c r="D356" s="494" t="s">
        <v>117</v>
      </c>
      <c r="E356" s="493" t="s">
        <v>268</v>
      </c>
      <c r="F356" s="495">
        <v>319.74166187610786</v>
      </c>
      <c r="G356" s="496">
        <v>8.81</v>
      </c>
      <c r="H356" s="497">
        <v>0.2122</v>
      </c>
      <c r="I356" s="495">
        <v>10.68</v>
      </c>
      <c r="J356" s="496">
        <v>3414.84</v>
      </c>
      <c r="K356" s="498">
        <v>1.2072482899697802E-4</v>
      </c>
    </row>
    <row r="357" spans="1:11" ht="39" customHeight="1" x14ac:dyDescent="0.3">
      <c r="A357" s="493" t="s">
        <v>675</v>
      </c>
      <c r="B357" s="493" t="s">
        <v>119</v>
      </c>
      <c r="C357" s="493" t="s">
        <v>32</v>
      </c>
      <c r="D357" s="494" t="s">
        <v>120</v>
      </c>
      <c r="E357" s="493" t="s">
        <v>121</v>
      </c>
      <c r="F357" s="495">
        <v>9592.2498562832352</v>
      </c>
      <c r="G357" s="496">
        <v>2.1</v>
      </c>
      <c r="H357" s="497">
        <v>0.2122</v>
      </c>
      <c r="I357" s="495">
        <v>2.5499999999999998</v>
      </c>
      <c r="J357" s="496">
        <v>24460.23</v>
      </c>
      <c r="K357" s="498">
        <v>8.6474244297734344E-4</v>
      </c>
    </row>
    <row r="358" spans="1:11" ht="39" customHeight="1" x14ac:dyDescent="0.3">
      <c r="A358" s="493" t="s">
        <v>676</v>
      </c>
      <c r="B358" s="493" t="s">
        <v>122</v>
      </c>
      <c r="C358" s="493" t="s">
        <v>32</v>
      </c>
      <c r="D358" s="494" t="s">
        <v>123</v>
      </c>
      <c r="E358" s="493" t="s">
        <v>121</v>
      </c>
      <c r="F358" s="495">
        <v>14324.426452049631</v>
      </c>
      <c r="G358" s="496">
        <v>0.85</v>
      </c>
      <c r="H358" s="497">
        <v>0.2122</v>
      </c>
      <c r="I358" s="495">
        <v>1.03</v>
      </c>
      <c r="J358" s="496">
        <v>14754.15</v>
      </c>
      <c r="K358" s="498">
        <v>5.2160342380485269E-4</v>
      </c>
    </row>
    <row r="359" spans="1:11" ht="24" customHeight="1" x14ac:dyDescent="0.3">
      <c r="A359" s="489" t="s">
        <v>677</v>
      </c>
      <c r="B359" s="489" t="s">
        <v>1328</v>
      </c>
      <c r="C359" s="489" t="s">
        <v>1328</v>
      </c>
      <c r="D359" s="490" t="s">
        <v>248</v>
      </c>
      <c r="E359" s="490" t="s">
        <v>1328</v>
      </c>
      <c r="F359" s="499"/>
      <c r="G359" s="490"/>
      <c r="H359" s="489"/>
      <c r="I359" s="500"/>
      <c r="J359" s="357">
        <v>53107.249999999993</v>
      </c>
      <c r="K359" s="492">
        <v>1.8775004611489147E-3</v>
      </c>
    </row>
    <row r="360" spans="1:11" ht="39" customHeight="1" x14ac:dyDescent="0.3">
      <c r="A360" s="493" t="s">
        <v>678</v>
      </c>
      <c r="B360" s="493" t="s">
        <v>250</v>
      </c>
      <c r="C360" s="493" t="s">
        <v>251</v>
      </c>
      <c r="D360" s="494" t="s">
        <v>4410</v>
      </c>
      <c r="E360" s="493" t="s">
        <v>252</v>
      </c>
      <c r="F360" s="495">
        <v>328.12079999999997</v>
      </c>
      <c r="G360" s="496">
        <v>11.96</v>
      </c>
      <c r="H360" s="497">
        <v>0.2122</v>
      </c>
      <c r="I360" s="495">
        <v>14.5</v>
      </c>
      <c r="J360" s="496">
        <v>4757.75</v>
      </c>
      <c r="K360" s="498">
        <v>1.6820072248198222E-4</v>
      </c>
    </row>
    <row r="361" spans="1:11" ht="39" customHeight="1" x14ac:dyDescent="0.3">
      <c r="A361" s="493" t="s">
        <v>679</v>
      </c>
      <c r="B361" s="493" t="s">
        <v>254</v>
      </c>
      <c r="C361" s="493" t="s">
        <v>32</v>
      </c>
      <c r="D361" s="494" t="s">
        <v>4229</v>
      </c>
      <c r="E361" s="493" t="s">
        <v>268</v>
      </c>
      <c r="F361" s="495">
        <v>10.387650000000004</v>
      </c>
      <c r="G361" s="496">
        <v>767.76</v>
      </c>
      <c r="H361" s="497">
        <v>0.2122</v>
      </c>
      <c r="I361" s="495">
        <v>930.68</v>
      </c>
      <c r="J361" s="496">
        <v>9667.57</v>
      </c>
      <c r="K361" s="498">
        <v>3.4177757524988422E-4</v>
      </c>
    </row>
    <row r="362" spans="1:11" ht="39" customHeight="1" x14ac:dyDescent="0.3">
      <c r="A362" s="493" t="s">
        <v>680</v>
      </c>
      <c r="B362" s="493" t="s">
        <v>256</v>
      </c>
      <c r="C362" s="493" t="s">
        <v>257</v>
      </c>
      <c r="D362" s="494" t="s">
        <v>258</v>
      </c>
      <c r="E362" s="493" t="s">
        <v>194</v>
      </c>
      <c r="F362" s="495">
        <v>195.31</v>
      </c>
      <c r="G362" s="496">
        <v>82.29</v>
      </c>
      <c r="H362" s="497">
        <v>0.2122</v>
      </c>
      <c r="I362" s="495">
        <v>99.75</v>
      </c>
      <c r="J362" s="496">
        <v>19482.169999999998</v>
      </c>
      <c r="K362" s="498">
        <v>6.8875310167974336E-4</v>
      </c>
    </row>
    <row r="363" spans="1:11" ht="39" customHeight="1" x14ac:dyDescent="0.3">
      <c r="A363" s="493" t="s">
        <v>681</v>
      </c>
      <c r="B363" s="493" t="s">
        <v>260</v>
      </c>
      <c r="C363" s="493" t="s">
        <v>257</v>
      </c>
      <c r="D363" s="494" t="s">
        <v>4230</v>
      </c>
      <c r="E363" s="493" t="s">
        <v>194</v>
      </c>
      <c r="F363" s="495">
        <v>43</v>
      </c>
      <c r="G363" s="496">
        <v>69.680000000000007</v>
      </c>
      <c r="H363" s="497">
        <v>0.2122</v>
      </c>
      <c r="I363" s="495">
        <v>84.47</v>
      </c>
      <c r="J363" s="496">
        <v>3632.21</v>
      </c>
      <c r="K363" s="498">
        <v>1.2840951000079462E-4</v>
      </c>
    </row>
    <row r="364" spans="1:11" ht="39" customHeight="1" x14ac:dyDescent="0.3">
      <c r="A364" s="493" t="s">
        <v>682</v>
      </c>
      <c r="B364" s="493" t="s">
        <v>116</v>
      </c>
      <c r="C364" s="493" t="s">
        <v>32</v>
      </c>
      <c r="D364" s="494" t="s">
        <v>117</v>
      </c>
      <c r="E364" s="493" t="s">
        <v>268</v>
      </c>
      <c r="F364" s="495">
        <v>1160.2351487999999</v>
      </c>
      <c r="G364" s="496">
        <v>8.81</v>
      </c>
      <c r="H364" s="497">
        <v>0.2122</v>
      </c>
      <c r="I364" s="495">
        <v>10.68</v>
      </c>
      <c r="J364" s="496">
        <v>12391.31</v>
      </c>
      <c r="K364" s="498">
        <v>4.3806994787414449E-4</v>
      </c>
    </row>
    <row r="365" spans="1:11" ht="39" customHeight="1" x14ac:dyDescent="0.3">
      <c r="A365" s="493" t="s">
        <v>683</v>
      </c>
      <c r="B365" s="493" t="s">
        <v>119</v>
      </c>
      <c r="C365" s="493" t="s">
        <v>32</v>
      </c>
      <c r="D365" s="494" t="s">
        <v>120</v>
      </c>
      <c r="E365" s="493" t="s">
        <v>121</v>
      </c>
      <c r="F365" s="495">
        <v>776.9431800000001</v>
      </c>
      <c r="G365" s="496">
        <v>2.1</v>
      </c>
      <c r="H365" s="497">
        <v>0.2122</v>
      </c>
      <c r="I365" s="495">
        <v>2.5499999999999998</v>
      </c>
      <c r="J365" s="496">
        <v>1981.2</v>
      </c>
      <c r="K365" s="498">
        <v>7.0041358074994097E-5</v>
      </c>
    </row>
    <row r="366" spans="1:11" ht="39" customHeight="1" x14ac:dyDescent="0.3">
      <c r="A366" s="493" t="s">
        <v>684</v>
      </c>
      <c r="B366" s="493" t="s">
        <v>122</v>
      </c>
      <c r="C366" s="493" t="s">
        <v>32</v>
      </c>
      <c r="D366" s="494" t="s">
        <v>123</v>
      </c>
      <c r="E366" s="493" t="s">
        <v>121</v>
      </c>
      <c r="F366" s="495">
        <v>1160.2351487999999</v>
      </c>
      <c r="G366" s="496">
        <v>0.85</v>
      </c>
      <c r="H366" s="497">
        <v>0.2122</v>
      </c>
      <c r="I366" s="495">
        <v>1.03</v>
      </c>
      <c r="J366" s="496">
        <v>1195.04</v>
      </c>
      <c r="K366" s="498">
        <v>4.2248245787371764E-5</v>
      </c>
    </row>
    <row r="367" spans="1:11" ht="24" customHeight="1" x14ac:dyDescent="0.3">
      <c r="A367" s="489" t="s">
        <v>685</v>
      </c>
      <c r="B367" s="489" t="s">
        <v>1328</v>
      </c>
      <c r="C367" s="489" t="s">
        <v>1328</v>
      </c>
      <c r="D367" s="490" t="s">
        <v>266</v>
      </c>
      <c r="E367" s="490" t="s">
        <v>1328</v>
      </c>
      <c r="F367" s="499"/>
      <c r="G367" s="490"/>
      <c r="H367" s="489"/>
      <c r="I367" s="500"/>
      <c r="J367" s="357">
        <v>7633.5199999999995</v>
      </c>
      <c r="K367" s="492">
        <v>2.6986781127227383E-4</v>
      </c>
    </row>
    <row r="368" spans="1:11" ht="39" customHeight="1" x14ac:dyDescent="0.3">
      <c r="A368" s="493" t="s">
        <v>686</v>
      </c>
      <c r="B368" s="493" t="s">
        <v>233</v>
      </c>
      <c r="C368" s="493" t="s">
        <v>125</v>
      </c>
      <c r="D368" s="494" t="s">
        <v>4450</v>
      </c>
      <c r="E368" s="493" t="s">
        <v>268</v>
      </c>
      <c r="F368" s="495">
        <v>1.5345190080000013</v>
      </c>
      <c r="G368" s="496">
        <v>626.30999999999995</v>
      </c>
      <c r="H368" s="497">
        <v>0.2122</v>
      </c>
      <c r="I368" s="495">
        <v>759.21</v>
      </c>
      <c r="J368" s="496">
        <v>1165.02</v>
      </c>
      <c r="K368" s="498">
        <v>4.1186948811089045E-5</v>
      </c>
    </row>
    <row r="369" spans="1:11" ht="39" customHeight="1" x14ac:dyDescent="0.3">
      <c r="A369" s="493" t="s">
        <v>687</v>
      </c>
      <c r="B369" s="493" t="s">
        <v>235</v>
      </c>
      <c r="C369" s="493" t="s">
        <v>32</v>
      </c>
      <c r="D369" s="494" t="s">
        <v>4228</v>
      </c>
      <c r="E369" s="493" t="s">
        <v>268</v>
      </c>
      <c r="F369" s="495">
        <v>30.958136000000021</v>
      </c>
      <c r="G369" s="496">
        <v>62.38</v>
      </c>
      <c r="H369" s="497">
        <v>0.2122</v>
      </c>
      <c r="I369" s="495">
        <v>75.62</v>
      </c>
      <c r="J369" s="496">
        <v>2341.0500000000002</v>
      </c>
      <c r="K369" s="498">
        <v>8.2763134121474323E-5</v>
      </c>
    </row>
    <row r="370" spans="1:11" ht="39" customHeight="1" x14ac:dyDescent="0.3">
      <c r="A370" s="493" t="s">
        <v>688</v>
      </c>
      <c r="B370" s="493" t="s">
        <v>116</v>
      </c>
      <c r="C370" s="493" t="s">
        <v>32</v>
      </c>
      <c r="D370" s="494" t="s">
        <v>117</v>
      </c>
      <c r="E370" s="493" t="s">
        <v>268</v>
      </c>
      <c r="F370" s="495">
        <v>30.958136000000021</v>
      </c>
      <c r="G370" s="496">
        <v>8.81</v>
      </c>
      <c r="H370" s="497">
        <v>0.2122</v>
      </c>
      <c r="I370" s="495">
        <v>10.68</v>
      </c>
      <c r="J370" s="496">
        <v>330.63</v>
      </c>
      <c r="K370" s="498">
        <v>1.1688761467966534E-5</v>
      </c>
    </row>
    <row r="371" spans="1:11" ht="39" customHeight="1" x14ac:dyDescent="0.3">
      <c r="A371" s="493" t="s">
        <v>689</v>
      </c>
      <c r="B371" s="493" t="s">
        <v>119</v>
      </c>
      <c r="C371" s="493" t="s">
        <v>32</v>
      </c>
      <c r="D371" s="494" t="s">
        <v>120</v>
      </c>
      <c r="E371" s="493" t="s">
        <v>121</v>
      </c>
      <c r="F371" s="495">
        <v>928.74408000000062</v>
      </c>
      <c r="G371" s="496">
        <v>2.1</v>
      </c>
      <c r="H371" s="497">
        <v>0.2122</v>
      </c>
      <c r="I371" s="495">
        <v>2.5499999999999998</v>
      </c>
      <c r="J371" s="496">
        <v>2368.29</v>
      </c>
      <c r="K371" s="498">
        <v>8.3726149765509677E-5</v>
      </c>
    </row>
    <row r="372" spans="1:11" ht="39" customHeight="1" x14ac:dyDescent="0.3">
      <c r="A372" s="493" t="s">
        <v>690</v>
      </c>
      <c r="B372" s="493" t="s">
        <v>122</v>
      </c>
      <c r="C372" s="493" t="s">
        <v>32</v>
      </c>
      <c r="D372" s="494" t="s">
        <v>123</v>
      </c>
      <c r="E372" s="493" t="s">
        <v>121</v>
      </c>
      <c r="F372" s="495">
        <v>1386.924492800001</v>
      </c>
      <c r="G372" s="496">
        <v>0.85</v>
      </c>
      <c r="H372" s="497">
        <v>0.2122</v>
      </c>
      <c r="I372" s="495">
        <v>1.03</v>
      </c>
      <c r="J372" s="496">
        <v>1428.53</v>
      </c>
      <c r="K372" s="498">
        <v>5.0502817106234256E-5</v>
      </c>
    </row>
    <row r="373" spans="1:11" ht="24" customHeight="1" x14ac:dyDescent="0.3">
      <c r="A373" s="489" t="s">
        <v>691</v>
      </c>
      <c r="B373" s="489" t="s">
        <v>1328</v>
      </c>
      <c r="C373" s="489" t="s">
        <v>1328</v>
      </c>
      <c r="D373" s="490" t="s">
        <v>274</v>
      </c>
      <c r="E373" s="490" t="s">
        <v>1328</v>
      </c>
      <c r="F373" s="499"/>
      <c r="G373" s="490"/>
      <c r="H373" s="489"/>
      <c r="I373" s="500"/>
      <c r="J373" s="357">
        <v>48448.979999999996</v>
      </c>
      <c r="K373" s="492">
        <v>1.712816654829511E-3</v>
      </c>
    </row>
    <row r="374" spans="1:11" ht="39" customHeight="1" x14ac:dyDescent="0.3">
      <c r="A374" s="493" t="s">
        <v>692</v>
      </c>
      <c r="B374" s="493" t="s">
        <v>4231</v>
      </c>
      <c r="C374" s="493" t="s">
        <v>4210</v>
      </c>
      <c r="D374" s="494" t="s">
        <v>276</v>
      </c>
      <c r="E374" s="493" t="s">
        <v>89</v>
      </c>
      <c r="F374" s="495">
        <v>17</v>
      </c>
      <c r="G374" s="496">
        <v>119.76</v>
      </c>
      <c r="H374" s="497">
        <v>0.111</v>
      </c>
      <c r="I374" s="495">
        <v>133.05000000000001</v>
      </c>
      <c r="J374" s="496">
        <v>2261.85</v>
      </c>
      <c r="K374" s="498">
        <v>7.99631767423407E-5</v>
      </c>
    </row>
    <row r="375" spans="1:11" ht="39" customHeight="1" x14ac:dyDescent="0.3">
      <c r="A375" s="493" t="s">
        <v>693</v>
      </c>
      <c r="B375" s="493" t="s">
        <v>4392</v>
      </c>
      <c r="C375" s="493" t="s">
        <v>251</v>
      </c>
      <c r="D375" s="494" t="s">
        <v>278</v>
      </c>
      <c r="E375" s="493" t="s">
        <v>89</v>
      </c>
      <c r="F375" s="495">
        <v>17</v>
      </c>
      <c r="G375" s="496">
        <v>2241.29</v>
      </c>
      <c r="H375" s="497">
        <v>0.2122</v>
      </c>
      <c r="I375" s="495">
        <v>2716.89</v>
      </c>
      <c r="J375" s="496">
        <v>46187.13</v>
      </c>
      <c r="K375" s="498">
        <v>1.6328534780871704E-3</v>
      </c>
    </row>
    <row r="376" spans="1:11" ht="24" customHeight="1" x14ac:dyDescent="0.3">
      <c r="A376" s="489" t="s">
        <v>694</v>
      </c>
      <c r="B376" s="489" t="s">
        <v>1328</v>
      </c>
      <c r="C376" s="489" t="s">
        <v>1328</v>
      </c>
      <c r="D376" s="490" t="s">
        <v>280</v>
      </c>
      <c r="E376" s="490" t="s">
        <v>1328</v>
      </c>
      <c r="F376" s="499"/>
      <c r="G376" s="490"/>
      <c r="H376" s="489"/>
      <c r="I376" s="500"/>
      <c r="J376" s="357">
        <v>4390631.75</v>
      </c>
      <c r="K376" s="492">
        <v>0.15522199201352108</v>
      </c>
    </row>
    <row r="377" spans="1:11" ht="24" customHeight="1" x14ac:dyDescent="0.3">
      <c r="A377" s="489" t="s">
        <v>695</v>
      </c>
      <c r="B377" s="489" t="s">
        <v>1328</v>
      </c>
      <c r="C377" s="489" t="s">
        <v>1328</v>
      </c>
      <c r="D377" s="490" t="s">
        <v>282</v>
      </c>
      <c r="E377" s="490" t="s">
        <v>1328</v>
      </c>
      <c r="F377" s="499"/>
      <c r="G377" s="490"/>
      <c r="H377" s="489"/>
      <c r="I377" s="500"/>
      <c r="J377" s="357">
        <v>375425.71000000008</v>
      </c>
      <c r="K377" s="492">
        <v>1.3272424078673984E-2</v>
      </c>
    </row>
    <row r="378" spans="1:11" ht="50" x14ac:dyDescent="0.3">
      <c r="A378" s="493" t="s">
        <v>696</v>
      </c>
      <c r="B378" s="493" t="s">
        <v>289</v>
      </c>
      <c r="C378" s="493" t="s">
        <v>32</v>
      </c>
      <c r="D378" s="494" t="s">
        <v>4413</v>
      </c>
      <c r="E378" s="493" t="s">
        <v>268</v>
      </c>
      <c r="F378" s="495">
        <v>617.79899999999998</v>
      </c>
      <c r="G378" s="496">
        <v>12.18</v>
      </c>
      <c r="H378" s="497">
        <v>0.2122</v>
      </c>
      <c r="I378" s="495">
        <v>14.76</v>
      </c>
      <c r="J378" s="496">
        <v>9118.7099999999991</v>
      </c>
      <c r="K378" s="498">
        <v>3.2237372920049939E-4</v>
      </c>
    </row>
    <row r="379" spans="1:11" ht="62.5" x14ac:dyDescent="0.3">
      <c r="A379" s="493" t="s">
        <v>697</v>
      </c>
      <c r="B379" s="493" t="s">
        <v>292</v>
      </c>
      <c r="C379" s="493" t="s">
        <v>32</v>
      </c>
      <c r="D379" s="494" t="s">
        <v>4414</v>
      </c>
      <c r="E379" s="493" t="s">
        <v>268</v>
      </c>
      <c r="F379" s="495">
        <v>717.279</v>
      </c>
      <c r="G379" s="496">
        <v>11.39</v>
      </c>
      <c r="H379" s="497">
        <v>0.2122</v>
      </c>
      <c r="I379" s="495">
        <v>13.81</v>
      </c>
      <c r="J379" s="496">
        <v>9905.6200000000008</v>
      </c>
      <c r="K379" s="498">
        <v>3.501933562360302E-4</v>
      </c>
    </row>
    <row r="380" spans="1:11" ht="50" x14ac:dyDescent="0.3">
      <c r="A380" s="493" t="s">
        <v>698</v>
      </c>
      <c r="B380" s="493" t="s">
        <v>294</v>
      </c>
      <c r="C380" s="493" t="s">
        <v>32</v>
      </c>
      <c r="D380" s="494" t="s">
        <v>4415</v>
      </c>
      <c r="E380" s="493" t="s">
        <v>268</v>
      </c>
      <c r="F380" s="495">
        <v>465.59627999999998</v>
      </c>
      <c r="G380" s="496">
        <v>10.96</v>
      </c>
      <c r="H380" s="497">
        <v>0.2122</v>
      </c>
      <c r="I380" s="495">
        <v>13.29</v>
      </c>
      <c r="J380" s="496">
        <v>6187.77</v>
      </c>
      <c r="K380" s="498">
        <v>2.187562155540613E-4</v>
      </c>
    </row>
    <row r="381" spans="1:11" ht="50" x14ac:dyDescent="0.3">
      <c r="A381" s="493" t="s">
        <v>699</v>
      </c>
      <c r="B381" s="493" t="s">
        <v>296</v>
      </c>
      <c r="C381" s="493" t="s">
        <v>32</v>
      </c>
      <c r="D381" s="494" t="s">
        <v>4416</v>
      </c>
      <c r="E381" s="493" t="s">
        <v>268</v>
      </c>
      <c r="F381" s="495">
        <v>14.040000000000035</v>
      </c>
      <c r="G381" s="496">
        <v>10.73</v>
      </c>
      <c r="H381" s="497">
        <v>0.2122</v>
      </c>
      <c r="I381" s="495">
        <v>13.01</v>
      </c>
      <c r="J381" s="496">
        <v>182.66</v>
      </c>
      <c r="K381" s="498">
        <v>6.4575784706129722E-6</v>
      </c>
    </row>
    <row r="382" spans="1:11" ht="62.5" x14ac:dyDescent="0.3">
      <c r="A382" s="493" t="s">
        <v>700</v>
      </c>
      <c r="B382" s="493" t="s">
        <v>299</v>
      </c>
      <c r="C382" s="493" t="s">
        <v>32</v>
      </c>
      <c r="D382" s="494" t="s">
        <v>4417</v>
      </c>
      <c r="E382" s="493" t="s">
        <v>268</v>
      </c>
      <c r="F382" s="495">
        <v>1091.9789999999998</v>
      </c>
      <c r="G382" s="496">
        <v>10.49</v>
      </c>
      <c r="H382" s="497">
        <v>0.2122</v>
      </c>
      <c r="I382" s="495">
        <v>12.72</v>
      </c>
      <c r="J382" s="496">
        <v>13889.97</v>
      </c>
      <c r="K382" s="498">
        <v>4.9105207067480603E-4</v>
      </c>
    </row>
    <row r="383" spans="1:11" ht="62.5" x14ac:dyDescent="0.3">
      <c r="A383" s="493" t="s">
        <v>701</v>
      </c>
      <c r="B383" s="493" t="s">
        <v>301</v>
      </c>
      <c r="C383" s="493" t="s">
        <v>32</v>
      </c>
      <c r="D383" s="494" t="s">
        <v>4418</v>
      </c>
      <c r="E383" s="493" t="s">
        <v>268</v>
      </c>
      <c r="F383" s="495">
        <v>773.3958752627691</v>
      </c>
      <c r="G383" s="496">
        <v>9.01</v>
      </c>
      <c r="H383" s="497">
        <v>0.2122</v>
      </c>
      <c r="I383" s="495">
        <v>10.92</v>
      </c>
      <c r="J383" s="496">
        <v>8445.48</v>
      </c>
      <c r="K383" s="498">
        <v>2.9857303088794726E-4</v>
      </c>
    </row>
    <row r="384" spans="1:11" ht="62.5" x14ac:dyDescent="0.3">
      <c r="A384" s="493" t="s">
        <v>702</v>
      </c>
      <c r="B384" s="493" t="s">
        <v>303</v>
      </c>
      <c r="C384" s="493" t="s">
        <v>32</v>
      </c>
      <c r="D384" s="494" t="s">
        <v>4419</v>
      </c>
      <c r="E384" s="493" t="s">
        <v>268</v>
      </c>
      <c r="F384" s="495">
        <v>3183.1514999999999</v>
      </c>
      <c r="G384" s="496">
        <v>9.31</v>
      </c>
      <c r="H384" s="497">
        <v>0.2122</v>
      </c>
      <c r="I384" s="495">
        <v>11.29</v>
      </c>
      <c r="J384" s="496">
        <v>35937.78</v>
      </c>
      <c r="K384" s="498">
        <v>1.2705082361197059E-3</v>
      </c>
    </row>
    <row r="385" spans="1:11" ht="62.5" x14ac:dyDescent="0.3">
      <c r="A385" s="493" t="s">
        <v>703</v>
      </c>
      <c r="B385" s="493" t="s">
        <v>305</v>
      </c>
      <c r="C385" s="493" t="s">
        <v>32</v>
      </c>
      <c r="D385" s="494" t="s">
        <v>4420</v>
      </c>
      <c r="E385" s="493" t="s">
        <v>268</v>
      </c>
      <c r="F385" s="495">
        <v>2400.794770174291</v>
      </c>
      <c r="G385" s="496">
        <v>8.6999999999999993</v>
      </c>
      <c r="H385" s="497">
        <v>0.2122</v>
      </c>
      <c r="I385" s="495">
        <v>10.55</v>
      </c>
      <c r="J385" s="496">
        <v>25328.38</v>
      </c>
      <c r="K385" s="498">
        <v>8.9543414750631887E-4</v>
      </c>
    </row>
    <row r="386" spans="1:11" ht="62.5" x14ac:dyDescent="0.3">
      <c r="A386" s="493" t="s">
        <v>704</v>
      </c>
      <c r="B386" s="493" t="s">
        <v>308</v>
      </c>
      <c r="C386" s="493" t="s">
        <v>32</v>
      </c>
      <c r="D386" s="494" t="s">
        <v>4421</v>
      </c>
      <c r="E386" s="493" t="s">
        <v>268</v>
      </c>
      <c r="F386" s="495">
        <v>515.67360938614024</v>
      </c>
      <c r="G386" s="496">
        <v>8.36</v>
      </c>
      <c r="H386" s="497">
        <v>0.2122</v>
      </c>
      <c r="I386" s="495">
        <v>10.130000000000001</v>
      </c>
      <c r="J386" s="496">
        <v>5223.7700000000004</v>
      </c>
      <c r="K386" s="498">
        <v>1.8467592624238439E-4</v>
      </c>
    </row>
    <row r="387" spans="1:11" ht="37.5" x14ac:dyDescent="0.3">
      <c r="A387" s="493" t="s">
        <v>705</v>
      </c>
      <c r="B387" s="493" t="s">
        <v>310</v>
      </c>
      <c r="C387" s="493" t="s">
        <v>4210</v>
      </c>
      <c r="D387" s="494" t="s">
        <v>311</v>
      </c>
      <c r="E387" s="493" t="s">
        <v>268</v>
      </c>
      <c r="F387" s="495">
        <v>792.846</v>
      </c>
      <c r="G387" s="496">
        <v>13.06</v>
      </c>
      <c r="H387" s="497">
        <v>0.2122</v>
      </c>
      <c r="I387" s="495">
        <v>15.83</v>
      </c>
      <c r="J387" s="496">
        <v>12550.75</v>
      </c>
      <c r="K387" s="498">
        <v>4.4370662974951147E-4</v>
      </c>
    </row>
    <row r="388" spans="1:11" ht="37.5" x14ac:dyDescent="0.3">
      <c r="A388" s="493" t="s">
        <v>706</v>
      </c>
      <c r="B388" s="493" t="s">
        <v>313</v>
      </c>
      <c r="C388" s="493" t="s">
        <v>4210</v>
      </c>
      <c r="D388" s="494" t="s">
        <v>314</v>
      </c>
      <c r="E388" s="493" t="s">
        <v>268</v>
      </c>
      <c r="F388" s="495">
        <v>332.83466560515706</v>
      </c>
      <c r="G388" s="496">
        <v>17.96</v>
      </c>
      <c r="H388" s="497">
        <v>0.2122</v>
      </c>
      <c r="I388" s="495">
        <v>21.77</v>
      </c>
      <c r="J388" s="496">
        <v>7245.81</v>
      </c>
      <c r="K388" s="498">
        <v>2.5616110072348725E-4</v>
      </c>
    </row>
    <row r="389" spans="1:11" ht="25" x14ac:dyDescent="0.3">
      <c r="A389" s="493" t="s">
        <v>707</v>
      </c>
      <c r="B389" s="493" t="s">
        <v>16937</v>
      </c>
      <c r="C389" s="493" t="s">
        <v>446</v>
      </c>
      <c r="D389" s="494" t="s">
        <v>16938</v>
      </c>
      <c r="E389" s="493" t="s">
        <v>268</v>
      </c>
      <c r="F389" s="495">
        <v>222.18</v>
      </c>
      <c r="G389" s="496">
        <v>108.71</v>
      </c>
      <c r="H389" s="497">
        <v>0.2122</v>
      </c>
      <c r="I389" s="495">
        <v>131.78</v>
      </c>
      <c r="J389" s="496">
        <v>29278.880000000001</v>
      </c>
      <c r="K389" s="498">
        <v>1.0350961629894929E-3</v>
      </c>
    </row>
    <row r="390" spans="1:11" ht="50" x14ac:dyDescent="0.3">
      <c r="A390" s="493" t="s">
        <v>708</v>
      </c>
      <c r="B390" s="493" t="s">
        <v>127</v>
      </c>
      <c r="C390" s="493" t="s">
        <v>32</v>
      </c>
      <c r="D390" s="494" t="s">
        <v>128</v>
      </c>
      <c r="E390" s="493" t="s">
        <v>268</v>
      </c>
      <c r="F390" s="495">
        <v>2036.89428</v>
      </c>
      <c r="G390" s="496">
        <v>6.53</v>
      </c>
      <c r="H390" s="497">
        <v>0.2122</v>
      </c>
      <c r="I390" s="495">
        <v>7.92</v>
      </c>
      <c r="J390" s="496">
        <v>16132.2</v>
      </c>
      <c r="K390" s="498">
        <v>5.7032162161186142E-4</v>
      </c>
    </row>
    <row r="391" spans="1:11" ht="39" customHeight="1" x14ac:dyDescent="0.3">
      <c r="A391" s="493" t="s">
        <v>709</v>
      </c>
      <c r="B391" s="493" t="s">
        <v>119</v>
      </c>
      <c r="C391" s="493" t="s">
        <v>32</v>
      </c>
      <c r="D391" s="494" t="s">
        <v>120</v>
      </c>
      <c r="E391" s="493" t="s">
        <v>121</v>
      </c>
      <c r="F391" s="495">
        <v>61106.828399999999</v>
      </c>
      <c r="G391" s="496">
        <v>2.1</v>
      </c>
      <c r="H391" s="497">
        <v>0.2122</v>
      </c>
      <c r="I391" s="495">
        <v>2.5499999999999998</v>
      </c>
      <c r="J391" s="496">
        <v>155822.41</v>
      </c>
      <c r="K391" s="498">
        <v>5.5087892261854133E-3</v>
      </c>
    </row>
    <row r="392" spans="1:11" ht="39" customHeight="1" x14ac:dyDescent="0.3">
      <c r="A392" s="493" t="s">
        <v>710</v>
      </c>
      <c r="B392" s="493" t="s">
        <v>122</v>
      </c>
      <c r="C392" s="493" t="s">
        <v>32</v>
      </c>
      <c r="D392" s="494" t="s">
        <v>123</v>
      </c>
      <c r="E392" s="493" t="s">
        <v>121</v>
      </c>
      <c r="F392" s="495">
        <v>35722.606776000001</v>
      </c>
      <c r="G392" s="496">
        <v>0.85</v>
      </c>
      <c r="H392" s="497">
        <v>0.2122</v>
      </c>
      <c r="I392" s="495">
        <v>1.03</v>
      </c>
      <c r="J392" s="496">
        <v>36794.28</v>
      </c>
      <c r="K392" s="498">
        <v>1.3007880782311698E-3</v>
      </c>
    </row>
    <row r="393" spans="1:11" ht="39" customHeight="1" x14ac:dyDescent="0.3">
      <c r="A393" s="493" t="s">
        <v>711</v>
      </c>
      <c r="B393" s="493" t="s">
        <v>324</v>
      </c>
      <c r="C393" s="493" t="s">
        <v>32</v>
      </c>
      <c r="D393" s="494" t="s">
        <v>4422</v>
      </c>
      <c r="E393" s="493" t="s">
        <v>268</v>
      </c>
      <c r="F393" s="495">
        <v>2036.89428</v>
      </c>
      <c r="G393" s="496">
        <v>1.37</v>
      </c>
      <c r="H393" s="497">
        <v>0.2122</v>
      </c>
      <c r="I393" s="495">
        <v>1.66</v>
      </c>
      <c r="J393" s="496">
        <v>3381.24</v>
      </c>
      <c r="K393" s="498">
        <v>1.195369682906789E-4</v>
      </c>
    </row>
    <row r="394" spans="1:11" ht="24" customHeight="1" x14ac:dyDescent="0.3">
      <c r="A394" s="489" t="s">
        <v>712</v>
      </c>
      <c r="B394" s="489" t="s">
        <v>1328</v>
      </c>
      <c r="C394" s="489" t="s">
        <v>1328</v>
      </c>
      <c r="D394" s="490" t="s">
        <v>326</v>
      </c>
      <c r="E394" s="490" t="s">
        <v>1328</v>
      </c>
      <c r="F394" s="499"/>
      <c r="G394" s="490"/>
      <c r="H394" s="489"/>
      <c r="I394" s="500"/>
      <c r="J394" s="357">
        <v>219.27</v>
      </c>
      <c r="K394" s="492">
        <v>7.7518516985180481E-6</v>
      </c>
    </row>
    <row r="395" spans="1:11" ht="39" customHeight="1" x14ac:dyDescent="0.3">
      <c r="A395" s="493" t="s">
        <v>713</v>
      </c>
      <c r="B395" s="493" t="s">
        <v>328</v>
      </c>
      <c r="C395" s="493" t="s">
        <v>125</v>
      </c>
      <c r="D395" s="494" t="s">
        <v>329</v>
      </c>
      <c r="E395" s="493" t="s">
        <v>1901</v>
      </c>
      <c r="F395" s="495">
        <v>13.241074666666666</v>
      </c>
      <c r="G395" s="496">
        <v>13.66</v>
      </c>
      <c r="H395" s="497">
        <v>0.2122</v>
      </c>
      <c r="I395" s="495">
        <v>16.559999999999999</v>
      </c>
      <c r="J395" s="496">
        <v>219.27</v>
      </c>
      <c r="K395" s="498">
        <v>7.7518516985180481E-6</v>
      </c>
    </row>
    <row r="396" spans="1:11" ht="24" customHeight="1" x14ac:dyDescent="0.3">
      <c r="A396" s="489" t="s">
        <v>714</v>
      </c>
      <c r="B396" s="489" t="s">
        <v>1328</v>
      </c>
      <c r="C396" s="489" t="s">
        <v>1328</v>
      </c>
      <c r="D396" s="490" t="s">
        <v>332</v>
      </c>
      <c r="E396" s="490" t="s">
        <v>1328</v>
      </c>
      <c r="F396" s="499"/>
      <c r="G396" s="490"/>
      <c r="H396" s="489"/>
      <c r="I396" s="500"/>
      <c r="J396" s="357">
        <v>510623.91</v>
      </c>
      <c r="K396" s="492">
        <v>1.8052085666244475E-2</v>
      </c>
    </row>
    <row r="397" spans="1:11" ht="37.5" x14ac:dyDescent="0.3">
      <c r="A397" s="493" t="s">
        <v>715</v>
      </c>
      <c r="B397" s="493" t="s">
        <v>334</v>
      </c>
      <c r="C397" s="493" t="s">
        <v>243</v>
      </c>
      <c r="D397" s="494" t="s">
        <v>335</v>
      </c>
      <c r="E397" s="493" t="s">
        <v>1332</v>
      </c>
      <c r="F397" s="495">
        <v>1559.97</v>
      </c>
      <c r="G397" s="496">
        <v>23.05</v>
      </c>
      <c r="H397" s="497">
        <v>0.2122</v>
      </c>
      <c r="I397" s="495">
        <v>27.94</v>
      </c>
      <c r="J397" s="496">
        <v>43585.56</v>
      </c>
      <c r="K397" s="498">
        <v>1.5408801811322126E-3</v>
      </c>
    </row>
    <row r="398" spans="1:11" ht="50" x14ac:dyDescent="0.3">
      <c r="A398" s="493" t="s">
        <v>716</v>
      </c>
      <c r="B398" s="493" t="s">
        <v>337</v>
      </c>
      <c r="C398" s="493" t="s">
        <v>243</v>
      </c>
      <c r="D398" s="494" t="s">
        <v>338</v>
      </c>
      <c r="E398" s="493" t="s">
        <v>1332</v>
      </c>
      <c r="F398" s="495">
        <v>1126.3936000000001</v>
      </c>
      <c r="G398" s="496">
        <v>30.02</v>
      </c>
      <c r="H398" s="497">
        <v>0.2122</v>
      </c>
      <c r="I398" s="495">
        <v>36.39</v>
      </c>
      <c r="J398" s="496">
        <v>40989.46</v>
      </c>
      <c r="K398" s="498">
        <v>1.4491002650720004E-3</v>
      </c>
    </row>
    <row r="399" spans="1:11" ht="50" x14ac:dyDescent="0.3">
      <c r="A399" s="493" t="s">
        <v>717</v>
      </c>
      <c r="B399" s="493" t="s">
        <v>718</v>
      </c>
      <c r="C399" s="493" t="s">
        <v>243</v>
      </c>
      <c r="D399" s="494" t="s">
        <v>719</v>
      </c>
      <c r="E399" s="493" t="s">
        <v>1332</v>
      </c>
      <c r="F399" s="495">
        <v>242.74000000000009</v>
      </c>
      <c r="G399" s="496">
        <v>20.14</v>
      </c>
      <c r="H399" s="497">
        <v>0.2122</v>
      </c>
      <c r="I399" s="495">
        <v>24.41</v>
      </c>
      <c r="J399" s="496">
        <v>5925.28</v>
      </c>
      <c r="K399" s="498">
        <v>2.0947640731607158E-4</v>
      </c>
    </row>
    <row r="400" spans="1:11" ht="50" x14ac:dyDescent="0.3">
      <c r="A400" s="493" t="s">
        <v>720</v>
      </c>
      <c r="B400" s="493" t="s">
        <v>340</v>
      </c>
      <c r="C400" s="493" t="s">
        <v>243</v>
      </c>
      <c r="D400" s="494" t="s">
        <v>4423</v>
      </c>
      <c r="E400" s="493" t="s">
        <v>1332</v>
      </c>
      <c r="F400" s="495">
        <v>3185.6399999999994</v>
      </c>
      <c r="G400" s="496">
        <v>32.4</v>
      </c>
      <c r="H400" s="497">
        <v>0.2122</v>
      </c>
      <c r="I400" s="495">
        <v>39.28</v>
      </c>
      <c r="J400" s="496">
        <v>125131.93</v>
      </c>
      <c r="K400" s="498">
        <v>4.4237887723324728E-3</v>
      </c>
    </row>
    <row r="401" spans="1:11" ht="37.5" x14ac:dyDescent="0.3">
      <c r="A401" s="493" t="s">
        <v>721</v>
      </c>
      <c r="B401" s="493" t="s">
        <v>342</v>
      </c>
      <c r="C401" s="493" t="s">
        <v>243</v>
      </c>
      <c r="D401" s="494" t="s">
        <v>4424</v>
      </c>
      <c r="E401" s="493" t="s">
        <v>1332</v>
      </c>
      <c r="F401" s="495">
        <v>2755.7893000000004</v>
      </c>
      <c r="G401" s="496">
        <v>41.58</v>
      </c>
      <c r="H401" s="497">
        <v>0.2122</v>
      </c>
      <c r="I401" s="495">
        <v>50.4</v>
      </c>
      <c r="J401" s="496">
        <v>138891.78</v>
      </c>
      <c r="K401" s="498">
        <v>4.9102407110101472E-3</v>
      </c>
    </row>
    <row r="402" spans="1:11" ht="50" x14ac:dyDescent="0.3">
      <c r="A402" s="493" t="s">
        <v>722</v>
      </c>
      <c r="B402" s="493" t="s">
        <v>345</v>
      </c>
      <c r="C402" s="493" t="s">
        <v>243</v>
      </c>
      <c r="D402" s="494" t="s">
        <v>4425</v>
      </c>
      <c r="E402" s="493" t="s">
        <v>1332</v>
      </c>
      <c r="F402" s="495">
        <v>696.10670000000005</v>
      </c>
      <c r="G402" s="496">
        <v>23.69</v>
      </c>
      <c r="H402" s="497">
        <v>0.2122</v>
      </c>
      <c r="I402" s="495">
        <v>28.72</v>
      </c>
      <c r="J402" s="496">
        <v>19992.18</v>
      </c>
      <c r="K402" s="498">
        <v>7.0678348378746994E-4</v>
      </c>
    </row>
    <row r="403" spans="1:11" ht="50" x14ac:dyDescent="0.3">
      <c r="A403" s="493" t="s">
        <v>723</v>
      </c>
      <c r="B403" s="493" t="s">
        <v>347</v>
      </c>
      <c r="C403" s="493" t="s">
        <v>243</v>
      </c>
      <c r="D403" s="494" t="s">
        <v>4426</v>
      </c>
      <c r="E403" s="493" t="s">
        <v>1332</v>
      </c>
      <c r="F403" s="495">
        <v>932.64</v>
      </c>
      <c r="G403" s="496">
        <v>47.36</v>
      </c>
      <c r="H403" s="497">
        <v>0.2122</v>
      </c>
      <c r="I403" s="495">
        <v>57.41</v>
      </c>
      <c r="J403" s="496">
        <v>53542.86</v>
      </c>
      <c r="K403" s="498">
        <v>1.892900580264122E-3</v>
      </c>
    </row>
    <row r="404" spans="1:11" ht="37.5" x14ac:dyDescent="0.3">
      <c r="A404" s="493" t="s">
        <v>724</v>
      </c>
      <c r="B404" s="493" t="s">
        <v>349</v>
      </c>
      <c r="C404" s="493" t="s">
        <v>243</v>
      </c>
      <c r="D404" s="494" t="s">
        <v>4427</v>
      </c>
      <c r="E404" s="493" t="s">
        <v>1332</v>
      </c>
      <c r="F404" s="495">
        <v>932.64</v>
      </c>
      <c r="G404" s="496">
        <v>59.71</v>
      </c>
      <c r="H404" s="497">
        <v>0.2122</v>
      </c>
      <c r="I404" s="495">
        <v>72.38</v>
      </c>
      <c r="J404" s="496">
        <v>67504.479999999996</v>
      </c>
      <c r="K404" s="498">
        <v>2.3864856931891162E-3</v>
      </c>
    </row>
    <row r="405" spans="1:11" ht="50" x14ac:dyDescent="0.3">
      <c r="A405" s="493" t="s">
        <v>725</v>
      </c>
      <c r="B405" s="493" t="s">
        <v>351</v>
      </c>
      <c r="C405" s="493" t="s">
        <v>243</v>
      </c>
      <c r="D405" s="494" t="s">
        <v>4428</v>
      </c>
      <c r="E405" s="493" t="s">
        <v>1332</v>
      </c>
      <c r="F405" s="495">
        <v>321.0483999999999</v>
      </c>
      <c r="G405" s="496">
        <v>38.700000000000003</v>
      </c>
      <c r="H405" s="497">
        <v>0.2122</v>
      </c>
      <c r="I405" s="495">
        <v>46.91</v>
      </c>
      <c r="J405" s="496">
        <v>15060.38</v>
      </c>
      <c r="K405" s="498">
        <v>5.3242957214086394E-4</v>
      </c>
    </row>
    <row r="406" spans="1:11" ht="24" customHeight="1" x14ac:dyDescent="0.3">
      <c r="A406" s="489" t="s">
        <v>726</v>
      </c>
      <c r="B406" s="489" t="s">
        <v>1328</v>
      </c>
      <c r="C406" s="489" t="s">
        <v>1328</v>
      </c>
      <c r="D406" s="490" t="s">
        <v>355</v>
      </c>
      <c r="E406" s="490" t="s">
        <v>1328</v>
      </c>
      <c r="F406" s="499"/>
      <c r="G406" s="490"/>
      <c r="H406" s="489"/>
      <c r="I406" s="500"/>
      <c r="J406" s="357">
        <v>1101905.9099999999</v>
      </c>
      <c r="K406" s="492">
        <v>3.8955676563326373E-2</v>
      </c>
    </row>
    <row r="407" spans="1:11" ht="25" x14ac:dyDescent="0.3">
      <c r="A407" s="493" t="s">
        <v>727</v>
      </c>
      <c r="B407" s="493" t="s">
        <v>357</v>
      </c>
      <c r="C407" s="493" t="s">
        <v>32</v>
      </c>
      <c r="D407" s="494" t="s">
        <v>358</v>
      </c>
      <c r="E407" s="493" t="s">
        <v>268</v>
      </c>
      <c r="F407" s="495">
        <v>72.798600000000008</v>
      </c>
      <c r="G407" s="496">
        <v>271.92</v>
      </c>
      <c r="H407" s="497">
        <v>0.2122</v>
      </c>
      <c r="I407" s="495">
        <v>329.62</v>
      </c>
      <c r="J407" s="496">
        <v>23995.87</v>
      </c>
      <c r="K407" s="498">
        <v>8.4832592519231201E-4</v>
      </c>
    </row>
    <row r="408" spans="1:11" ht="37.5" x14ac:dyDescent="0.3">
      <c r="A408" s="493" t="s">
        <v>728</v>
      </c>
      <c r="B408" s="493" t="s">
        <v>360</v>
      </c>
      <c r="C408" s="493" t="s">
        <v>32</v>
      </c>
      <c r="D408" s="494" t="s">
        <v>361</v>
      </c>
      <c r="E408" s="493" t="s">
        <v>268</v>
      </c>
      <c r="F408" s="495">
        <v>466.29710000000006</v>
      </c>
      <c r="G408" s="496">
        <v>224.67</v>
      </c>
      <c r="H408" s="497">
        <v>0.2122</v>
      </c>
      <c r="I408" s="495">
        <v>272.33999999999997</v>
      </c>
      <c r="J408" s="496">
        <v>126991.35</v>
      </c>
      <c r="K408" s="498">
        <v>4.4895248424070772E-3</v>
      </c>
    </row>
    <row r="409" spans="1:11" ht="50" x14ac:dyDescent="0.3">
      <c r="A409" s="493" t="s">
        <v>729</v>
      </c>
      <c r="B409" s="493" t="s">
        <v>363</v>
      </c>
      <c r="C409" s="493" t="s">
        <v>4210</v>
      </c>
      <c r="D409" s="494" t="s">
        <v>364</v>
      </c>
      <c r="E409" s="493" t="s">
        <v>268</v>
      </c>
      <c r="F409" s="495">
        <v>486.97635000000002</v>
      </c>
      <c r="G409" s="496">
        <v>15.45</v>
      </c>
      <c r="H409" s="497">
        <v>0.2122</v>
      </c>
      <c r="I409" s="495">
        <v>18.73</v>
      </c>
      <c r="J409" s="496">
        <v>9121.06</v>
      </c>
      <c r="K409" s="498">
        <v>3.2245680874394588E-4</v>
      </c>
    </row>
    <row r="410" spans="1:11" ht="39" customHeight="1" x14ac:dyDescent="0.3">
      <c r="A410" s="493" t="s">
        <v>730</v>
      </c>
      <c r="B410" s="493" t="s">
        <v>366</v>
      </c>
      <c r="C410" s="493" t="s">
        <v>125</v>
      </c>
      <c r="D410" s="494" t="s">
        <v>4232</v>
      </c>
      <c r="E410" s="493" t="s">
        <v>268</v>
      </c>
      <c r="F410" s="495">
        <v>486.97635000000002</v>
      </c>
      <c r="G410" s="496">
        <v>208.42</v>
      </c>
      <c r="H410" s="497">
        <v>0.2122</v>
      </c>
      <c r="I410" s="495">
        <v>252.65</v>
      </c>
      <c r="J410" s="496">
        <v>123034.57</v>
      </c>
      <c r="K410" s="498">
        <v>4.3496408101014166E-3</v>
      </c>
    </row>
    <row r="411" spans="1:11" ht="39" customHeight="1" x14ac:dyDescent="0.3">
      <c r="A411" s="493" t="s">
        <v>731</v>
      </c>
      <c r="B411" s="493" t="s">
        <v>369</v>
      </c>
      <c r="C411" s="493" t="s">
        <v>4210</v>
      </c>
      <c r="D411" s="494" t="s">
        <v>370</v>
      </c>
      <c r="E411" s="493" t="s">
        <v>1332</v>
      </c>
      <c r="F411" s="495">
        <v>3246.5089999999991</v>
      </c>
      <c r="G411" s="496">
        <v>0.28000000000000003</v>
      </c>
      <c r="H411" s="497">
        <v>0.2122</v>
      </c>
      <c r="I411" s="495">
        <v>0.34</v>
      </c>
      <c r="J411" s="496">
        <v>1103.81</v>
      </c>
      <c r="K411" s="498">
        <v>3.9022991851786406E-5</v>
      </c>
    </row>
    <row r="412" spans="1:11" ht="39" customHeight="1" x14ac:dyDescent="0.3">
      <c r="A412" s="493" t="s">
        <v>732</v>
      </c>
      <c r="B412" s="493" t="s">
        <v>372</v>
      </c>
      <c r="C412" s="493" t="s">
        <v>4210</v>
      </c>
      <c r="D412" s="494" t="s">
        <v>373</v>
      </c>
      <c r="E412" s="493" t="s">
        <v>381</v>
      </c>
      <c r="F412" s="495">
        <v>1.46</v>
      </c>
      <c r="G412" s="496">
        <v>4033.08</v>
      </c>
      <c r="H412" s="497">
        <v>0.111</v>
      </c>
      <c r="I412" s="495">
        <v>4480.75</v>
      </c>
      <c r="J412" s="496">
        <v>6541.89</v>
      </c>
      <c r="K412" s="498">
        <v>2.3127541892652086E-4</v>
      </c>
    </row>
    <row r="413" spans="1:11" ht="39" customHeight="1" x14ac:dyDescent="0.3">
      <c r="A413" s="493" t="s">
        <v>733</v>
      </c>
      <c r="B413" s="493" t="s">
        <v>376</v>
      </c>
      <c r="C413" s="493" t="s">
        <v>4210</v>
      </c>
      <c r="D413" s="494" t="s">
        <v>377</v>
      </c>
      <c r="E413" s="493" t="s">
        <v>1332</v>
      </c>
      <c r="F413" s="495">
        <v>3246.5089999999991</v>
      </c>
      <c r="G413" s="496">
        <v>0.4</v>
      </c>
      <c r="H413" s="497">
        <v>0.2122</v>
      </c>
      <c r="I413" s="495">
        <v>0.48</v>
      </c>
      <c r="J413" s="496">
        <v>1558.32</v>
      </c>
      <c r="K413" s="498">
        <v>5.5091282614286694E-5</v>
      </c>
    </row>
    <row r="414" spans="1:11" ht="39" customHeight="1" x14ac:dyDescent="0.3">
      <c r="A414" s="493" t="s">
        <v>734</v>
      </c>
      <c r="B414" s="493" t="s">
        <v>379</v>
      </c>
      <c r="C414" s="493" t="s">
        <v>4210</v>
      </c>
      <c r="D414" s="494" t="s">
        <v>380</v>
      </c>
      <c r="E414" s="493" t="s">
        <v>381</v>
      </c>
      <c r="F414" s="495">
        <v>4.22</v>
      </c>
      <c r="G414" s="496">
        <v>4291.21</v>
      </c>
      <c r="H414" s="497">
        <v>0.111</v>
      </c>
      <c r="I414" s="495">
        <v>4767.53</v>
      </c>
      <c r="J414" s="496">
        <v>20118.97</v>
      </c>
      <c r="K414" s="498">
        <v>7.1126589030388854E-4</v>
      </c>
    </row>
    <row r="415" spans="1:11" ht="39" customHeight="1" x14ac:dyDescent="0.3">
      <c r="A415" s="493" t="s">
        <v>735</v>
      </c>
      <c r="B415" s="493" t="s">
        <v>383</v>
      </c>
      <c r="C415" s="493" t="s">
        <v>125</v>
      </c>
      <c r="D415" s="494" t="s">
        <v>4233</v>
      </c>
      <c r="E415" s="493" t="s">
        <v>1369</v>
      </c>
      <c r="F415" s="495">
        <v>64002.078770000022</v>
      </c>
      <c r="G415" s="496">
        <v>0.54959999999999998</v>
      </c>
      <c r="H415" s="497">
        <v>0.111</v>
      </c>
      <c r="I415" s="495">
        <v>0.61</v>
      </c>
      <c r="J415" s="496">
        <v>39041.26</v>
      </c>
      <c r="K415" s="498">
        <v>1.3802255559049788E-3</v>
      </c>
    </row>
    <row r="416" spans="1:11" ht="39" customHeight="1" x14ac:dyDescent="0.3">
      <c r="A416" s="493" t="s">
        <v>736</v>
      </c>
      <c r="B416" s="493" t="s">
        <v>386</v>
      </c>
      <c r="C416" s="493" t="s">
        <v>4210</v>
      </c>
      <c r="D416" s="494" t="s">
        <v>387</v>
      </c>
      <c r="E416" s="493" t="s">
        <v>268</v>
      </c>
      <c r="F416" s="495">
        <v>97.395269999999968</v>
      </c>
      <c r="G416" s="496">
        <v>124.59</v>
      </c>
      <c r="H416" s="497">
        <v>0.2122</v>
      </c>
      <c r="I416" s="495">
        <v>151.03</v>
      </c>
      <c r="J416" s="496">
        <v>14709.6</v>
      </c>
      <c r="K416" s="498">
        <v>5.2002844777909003E-4</v>
      </c>
    </row>
    <row r="417" spans="1:11" ht="39" customHeight="1" x14ac:dyDescent="0.3">
      <c r="A417" s="493" t="s">
        <v>737</v>
      </c>
      <c r="B417" s="493" t="s">
        <v>389</v>
      </c>
      <c r="C417" s="493" t="s">
        <v>4210</v>
      </c>
      <c r="D417" s="494" t="s">
        <v>390</v>
      </c>
      <c r="E417" s="493" t="s">
        <v>381</v>
      </c>
      <c r="F417" s="495">
        <v>233.74864799999992</v>
      </c>
      <c r="G417" s="496">
        <v>188.17</v>
      </c>
      <c r="H417" s="497">
        <v>0.2122</v>
      </c>
      <c r="I417" s="495">
        <v>228.1</v>
      </c>
      <c r="J417" s="496">
        <v>53318.06</v>
      </c>
      <c r="K417" s="498">
        <v>1.8849532264910253E-3</v>
      </c>
    </row>
    <row r="418" spans="1:11" ht="39" customHeight="1" x14ac:dyDescent="0.3">
      <c r="A418" s="493" t="s">
        <v>738</v>
      </c>
      <c r="B418" s="493" t="s">
        <v>392</v>
      </c>
      <c r="C418" s="493" t="s">
        <v>4210</v>
      </c>
      <c r="D418" s="494" t="s">
        <v>393</v>
      </c>
      <c r="E418" s="493" t="s">
        <v>381</v>
      </c>
      <c r="F418" s="495">
        <v>14.779927013039993</v>
      </c>
      <c r="G418" s="496">
        <v>5274.22</v>
      </c>
      <c r="H418" s="497">
        <v>0.111</v>
      </c>
      <c r="I418" s="495">
        <v>5859.66</v>
      </c>
      <c r="J418" s="496">
        <v>86605.34</v>
      </c>
      <c r="K418" s="498">
        <v>3.0617583435022253E-3</v>
      </c>
    </row>
    <row r="419" spans="1:11" ht="39" customHeight="1" x14ac:dyDescent="0.3">
      <c r="A419" s="493" t="s">
        <v>739</v>
      </c>
      <c r="B419" s="493" t="s">
        <v>4234</v>
      </c>
      <c r="C419" s="493" t="s">
        <v>4235</v>
      </c>
      <c r="D419" s="494" t="s">
        <v>4430</v>
      </c>
      <c r="E419" s="493" t="s">
        <v>268</v>
      </c>
      <c r="F419" s="495">
        <v>3351.2372152277189</v>
      </c>
      <c r="G419" s="496">
        <v>56.12</v>
      </c>
      <c r="H419" s="497">
        <v>0.2122</v>
      </c>
      <c r="I419" s="495">
        <v>68.03</v>
      </c>
      <c r="J419" s="496">
        <v>227984.66</v>
      </c>
      <c r="K419" s="498">
        <v>8.0599410491953277E-3</v>
      </c>
    </row>
    <row r="420" spans="1:11" ht="25" x14ac:dyDescent="0.3">
      <c r="A420" s="493" t="s">
        <v>740</v>
      </c>
      <c r="B420" s="493" t="s">
        <v>397</v>
      </c>
      <c r="C420" s="493" t="s">
        <v>197</v>
      </c>
      <c r="D420" s="494" t="s">
        <v>398</v>
      </c>
      <c r="E420" s="493" t="s">
        <v>268</v>
      </c>
      <c r="F420" s="495">
        <v>5392.0377449999996</v>
      </c>
      <c r="G420" s="496">
        <v>11.09</v>
      </c>
      <c r="H420" s="497">
        <v>0.2122</v>
      </c>
      <c r="I420" s="495">
        <v>13.44</v>
      </c>
      <c r="J420" s="496">
        <v>72468.98</v>
      </c>
      <c r="K420" s="498">
        <v>2.5619956478445311E-3</v>
      </c>
    </row>
    <row r="421" spans="1:11" ht="50" x14ac:dyDescent="0.3">
      <c r="A421" s="493" t="s">
        <v>741</v>
      </c>
      <c r="B421" s="493" t="s">
        <v>127</v>
      </c>
      <c r="C421" s="493" t="s">
        <v>32</v>
      </c>
      <c r="D421" s="494" t="s">
        <v>128</v>
      </c>
      <c r="E421" s="493" t="s">
        <v>268</v>
      </c>
      <c r="F421" s="495">
        <v>1872.9750868795288</v>
      </c>
      <c r="G421" s="496">
        <v>6.53</v>
      </c>
      <c r="H421" s="497">
        <v>0.2122</v>
      </c>
      <c r="I421" s="495">
        <v>7.92</v>
      </c>
      <c r="J421" s="496">
        <v>14833.96</v>
      </c>
      <c r="K421" s="498">
        <v>5.2442494651228511E-4</v>
      </c>
    </row>
    <row r="422" spans="1:11" ht="25" x14ac:dyDescent="0.3">
      <c r="A422" s="493" t="s">
        <v>742</v>
      </c>
      <c r="B422" s="493" t="s">
        <v>119</v>
      </c>
      <c r="C422" s="493" t="s">
        <v>32</v>
      </c>
      <c r="D422" s="494" t="s">
        <v>120</v>
      </c>
      <c r="E422" s="493" t="s">
        <v>121</v>
      </c>
      <c r="F422" s="495">
        <v>14067.625797375909</v>
      </c>
      <c r="G422" s="496">
        <v>2.1</v>
      </c>
      <c r="H422" s="497">
        <v>0.2122</v>
      </c>
      <c r="I422" s="495">
        <v>2.5499999999999998</v>
      </c>
      <c r="J422" s="496">
        <v>35872.44</v>
      </c>
      <c r="K422" s="498">
        <v>1.2681982712819207E-3</v>
      </c>
    </row>
    <row r="423" spans="1:11" ht="50" x14ac:dyDescent="0.3">
      <c r="A423" s="493" t="s">
        <v>743</v>
      </c>
      <c r="B423" s="493" t="s">
        <v>402</v>
      </c>
      <c r="C423" s="493" t="s">
        <v>32</v>
      </c>
      <c r="D423" s="494" t="s">
        <v>4431</v>
      </c>
      <c r="E423" s="493" t="s">
        <v>194</v>
      </c>
      <c r="F423" s="495">
        <v>519.99</v>
      </c>
      <c r="G423" s="496">
        <v>60.45</v>
      </c>
      <c r="H423" s="497">
        <v>0.2122</v>
      </c>
      <c r="I423" s="495">
        <v>73.28</v>
      </c>
      <c r="J423" s="496">
        <v>38104.86</v>
      </c>
      <c r="K423" s="498">
        <v>1.3471210093163332E-3</v>
      </c>
    </row>
    <row r="424" spans="1:11" ht="50" x14ac:dyDescent="0.3">
      <c r="A424" s="493" t="s">
        <v>744</v>
      </c>
      <c r="B424" s="493" t="s">
        <v>404</v>
      </c>
      <c r="C424" s="493" t="s">
        <v>32</v>
      </c>
      <c r="D424" s="494" t="s">
        <v>4432</v>
      </c>
      <c r="E424" s="493" t="s">
        <v>194</v>
      </c>
      <c r="F424" s="495">
        <v>160.88999999999999</v>
      </c>
      <c r="G424" s="496">
        <v>83.73</v>
      </c>
      <c r="H424" s="497">
        <v>0.2122</v>
      </c>
      <c r="I424" s="495">
        <v>101.5</v>
      </c>
      <c r="J424" s="496">
        <v>16330.33</v>
      </c>
      <c r="K424" s="498">
        <v>5.7732611094933291E-4</v>
      </c>
    </row>
    <row r="425" spans="1:11" ht="50" x14ac:dyDescent="0.3">
      <c r="A425" s="493" t="s">
        <v>745</v>
      </c>
      <c r="B425" s="493" t="s">
        <v>406</v>
      </c>
      <c r="C425" s="493" t="s">
        <v>32</v>
      </c>
      <c r="D425" s="494" t="s">
        <v>4433</v>
      </c>
      <c r="E425" s="493" t="s">
        <v>194</v>
      </c>
      <c r="F425" s="495">
        <v>667.95</v>
      </c>
      <c r="G425" s="496">
        <v>108</v>
      </c>
      <c r="H425" s="497">
        <v>0.2122</v>
      </c>
      <c r="I425" s="495">
        <v>130.91999999999999</v>
      </c>
      <c r="J425" s="496">
        <v>87448.01</v>
      </c>
      <c r="K425" s="498">
        <v>3.0915492536622573E-3</v>
      </c>
    </row>
    <row r="426" spans="1:11" ht="50" x14ac:dyDescent="0.3">
      <c r="A426" s="493" t="s">
        <v>746</v>
      </c>
      <c r="B426" s="493" t="s">
        <v>408</v>
      </c>
      <c r="C426" s="493" t="s">
        <v>32</v>
      </c>
      <c r="D426" s="494" t="s">
        <v>4434</v>
      </c>
      <c r="E426" s="493" t="s">
        <v>194</v>
      </c>
      <c r="F426" s="495">
        <v>233.04</v>
      </c>
      <c r="G426" s="496">
        <v>133.19</v>
      </c>
      <c r="H426" s="497">
        <v>0.2122</v>
      </c>
      <c r="I426" s="495">
        <v>161.44999999999999</v>
      </c>
      <c r="J426" s="496">
        <v>37624.300000000003</v>
      </c>
      <c r="K426" s="498">
        <v>1.3301317729764793E-3</v>
      </c>
    </row>
    <row r="427" spans="1:11" ht="50" x14ac:dyDescent="0.3">
      <c r="A427" s="493" t="s">
        <v>747</v>
      </c>
      <c r="B427" s="493" t="s">
        <v>410</v>
      </c>
      <c r="C427" s="493" t="s">
        <v>32</v>
      </c>
      <c r="D427" s="494" t="s">
        <v>4435</v>
      </c>
      <c r="E427" s="493" t="s">
        <v>194</v>
      </c>
      <c r="F427" s="495">
        <v>310.88</v>
      </c>
      <c r="G427" s="496">
        <v>172.74</v>
      </c>
      <c r="H427" s="497">
        <v>0.2122</v>
      </c>
      <c r="I427" s="495">
        <v>209.4</v>
      </c>
      <c r="J427" s="496">
        <v>65098.27</v>
      </c>
      <c r="K427" s="498">
        <v>2.3014189577693547E-3</v>
      </c>
    </row>
    <row r="428" spans="1:11" ht="24" customHeight="1" x14ac:dyDescent="0.3">
      <c r="A428" s="489" t="s">
        <v>748</v>
      </c>
      <c r="B428" s="489" t="s">
        <v>1328</v>
      </c>
      <c r="C428" s="489" t="s">
        <v>1328</v>
      </c>
      <c r="D428" s="490" t="s">
        <v>412</v>
      </c>
      <c r="E428" s="490" t="s">
        <v>1328</v>
      </c>
      <c r="F428" s="499"/>
      <c r="G428" s="490"/>
      <c r="H428" s="489"/>
      <c r="I428" s="500"/>
      <c r="J428" s="357">
        <v>1470796.3599999999</v>
      </c>
      <c r="K428" s="492">
        <v>5.1997059613445341E-2</v>
      </c>
    </row>
    <row r="429" spans="1:11" ht="39" customHeight="1" x14ac:dyDescent="0.3">
      <c r="A429" s="493" t="s">
        <v>749</v>
      </c>
      <c r="B429" s="493" t="s">
        <v>414</v>
      </c>
      <c r="C429" s="493" t="s">
        <v>32</v>
      </c>
      <c r="D429" s="494" t="s">
        <v>415</v>
      </c>
      <c r="E429" s="493" t="s">
        <v>416</v>
      </c>
      <c r="F429" s="495">
        <v>73252.762600000002</v>
      </c>
      <c r="G429" s="496">
        <v>2.71</v>
      </c>
      <c r="H429" s="497">
        <v>0.2122</v>
      </c>
      <c r="I429" s="495">
        <v>3.29</v>
      </c>
      <c r="J429" s="496">
        <v>241001.58</v>
      </c>
      <c r="K429" s="498">
        <v>8.5201281856548232E-3</v>
      </c>
    </row>
    <row r="430" spans="1:11" ht="39" customHeight="1" x14ac:dyDescent="0.3">
      <c r="A430" s="493" t="s">
        <v>750</v>
      </c>
      <c r="B430" s="493" t="s">
        <v>418</v>
      </c>
      <c r="C430" s="493" t="s">
        <v>32</v>
      </c>
      <c r="D430" s="494" t="s">
        <v>419</v>
      </c>
      <c r="E430" s="493" t="s">
        <v>381</v>
      </c>
      <c r="F430" s="495">
        <v>228.79560000000001</v>
      </c>
      <c r="G430" s="496">
        <v>44.31</v>
      </c>
      <c r="H430" s="497">
        <v>0.2122</v>
      </c>
      <c r="I430" s="495">
        <v>53.71</v>
      </c>
      <c r="J430" s="496">
        <v>12288.61</v>
      </c>
      <c r="K430" s="498">
        <v>4.3443919506054574E-4</v>
      </c>
    </row>
    <row r="431" spans="1:11" ht="39" customHeight="1" x14ac:dyDescent="0.3">
      <c r="A431" s="493" t="s">
        <v>751</v>
      </c>
      <c r="B431" s="493" t="s">
        <v>421</v>
      </c>
      <c r="C431" s="493" t="s">
        <v>32</v>
      </c>
      <c r="D431" s="494" t="s">
        <v>422</v>
      </c>
      <c r="E431" s="493" t="s">
        <v>194</v>
      </c>
      <c r="F431" s="495">
        <v>179.99</v>
      </c>
      <c r="G431" s="496">
        <v>241.33</v>
      </c>
      <c r="H431" s="497">
        <v>0.111</v>
      </c>
      <c r="I431" s="495">
        <v>268.12</v>
      </c>
      <c r="J431" s="496">
        <v>48258.91</v>
      </c>
      <c r="K431" s="498">
        <v>1.7060971106495626E-3</v>
      </c>
    </row>
    <row r="432" spans="1:11" ht="39" customHeight="1" x14ac:dyDescent="0.3">
      <c r="A432" s="493" t="s">
        <v>752</v>
      </c>
      <c r="B432" s="493" t="s">
        <v>753</v>
      </c>
      <c r="C432" s="493" t="s">
        <v>32</v>
      </c>
      <c r="D432" s="494" t="s">
        <v>754</v>
      </c>
      <c r="E432" s="493" t="s">
        <v>194</v>
      </c>
      <c r="F432" s="495">
        <v>340</v>
      </c>
      <c r="G432" s="496">
        <v>209.38</v>
      </c>
      <c r="H432" s="497">
        <v>0.111</v>
      </c>
      <c r="I432" s="495">
        <v>232.62</v>
      </c>
      <c r="J432" s="496">
        <v>79090.8</v>
      </c>
      <c r="K432" s="498">
        <v>2.7960968318381501E-3</v>
      </c>
    </row>
    <row r="433" spans="1:11" ht="39" customHeight="1" x14ac:dyDescent="0.3">
      <c r="A433" s="493" t="s">
        <v>755</v>
      </c>
      <c r="B433" s="493" t="s">
        <v>424</v>
      </c>
      <c r="C433" s="493" t="s">
        <v>32</v>
      </c>
      <c r="D433" s="494" t="s">
        <v>425</v>
      </c>
      <c r="E433" s="493" t="s">
        <v>381</v>
      </c>
      <c r="F433" s="495">
        <v>112.62299999999998</v>
      </c>
      <c r="G433" s="496">
        <v>26.01</v>
      </c>
      <c r="H433" s="497">
        <v>0.2122</v>
      </c>
      <c r="I433" s="495">
        <v>31.53</v>
      </c>
      <c r="J433" s="496">
        <v>3551</v>
      </c>
      <c r="K433" s="498">
        <v>1.2553849309726632E-4</v>
      </c>
    </row>
    <row r="434" spans="1:11" ht="39" customHeight="1" x14ac:dyDescent="0.3">
      <c r="A434" s="493" t="s">
        <v>756</v>
      </c>
      <c r="B434" s="493" t="s">
        <v>757</v>
      </c>
      <c r="C434" s="493" t="s">
        <v>32</v>
      </c>
      <c r="D434" s="494" t="s">
        <v>758</v>
      </c>
      <c r="E434" s="493" t="s">
        <v>194</v>
      </c>
      <c r="F434" s="495">
        <v>110.89</v>
      </c>
      <c r="G434" s="496">
        <v>401.54</v>
      </c>
      <c r="H434" s="497">
        <v>0.111</v>
      </c>
      <c r="I434" s="495">
        <v>446.11</v>
      </c>
      <c r="J434" s="496">
        <v>49469.13</v>
      </c>
      <c r="K434" s="498">
        <v>1.7488820149346015E-3</v>
      </c>
    </row>
    <row r="435" spans="1:11" ht="39" customHeight="1" x14ac:dyDescent="0.3">
      <c r="A435" s="493" t="s">
        <v>759</v>
      </c>
      <c r="B435" s="493" t="s">
        <v>427</v>
      </c>
      <c r="C435" s="493" t="s">
        <v>32</v>
      </c>
      <c r="D435" s="494" t="s">
        <v>428</v>
      </c>
      <c r="E435" s="493" t="s">
        <v>194</v>
      </c>
      <c r="F435" s="495">
        <v>50</v>
      </c>
      <c r="G435" s="496">
        <v>390.38</v>
      </c>
      <c r="H435" s="497">
        <v>0.111</v>
      </c>
      <c r="I435" s="495">
        <v>433.71</v>
      </c>
      <c r="J435" s="496">
        <v>21685.5</v>
      </c>
      <c r="K435" s="498">
        <v>7.6664742102527982E-4</v>
      </c>
    </row>
    <row r="436" spans="1:11" ht="39" customHeight="1" x14ac:dyDescent="0.3">
      <c r="A436" s="493" t="s">
        <v>760</v>
      </c>
      <c r="B436" s="493" t="s">
        <v>430</v>
      </c>
      <c r="C436" s="493" t="s">
        <v>32</v>
      </c>
      <c r="D436" s="494" t="s">
        <v>431</v>
      </c>
      <c r="E436" s="493" t="s">
        <v>381</v>
      </c>
      <c r="F436" s="495">
        <v>672.42526499999997</v>
      </c>
      <c r="G436" s="496">
        <v>17.7</v>
      </c>
      <c r="H436" s="497">
        <v>0.2122</v>
      </c>
      <c r="I436" s="495">
        <v>21.46</v>
      </c>
      <c r="J436" s="496">
        <v>14430.24</v>
      </c>
      <c r="K436" s="498">
        <v>5.1015223447814593E-4</v>
      </c>
    </row>
    <row r="437" spans="1:11" ht="39" customHeight="1" x14ac:dyDescent="0.3">
      <c r="A437" s="493" t="s">
        <v>761</v>
      </c>
      <c r="B437" s="493" t="s">
        <v>433</v>
      </c>
      <c r="C437" s="493" t="s">
        <v>32</v>
      </c>
      <c r="D437" s="494" t="s">
        <v>434</v>
      </c>
      <c r="E437" s="493" t="s">
        <v>194</v>
      </c>
      <c r="F437" s="495">
        <v>236.84</v>
      </c>
      <c r="G437" s="496">
        <v>470.49</v>
      </c>
      <c r="H437" s="497">
        <v>0.111</v>
      </c>
      <c r="I437" s="495">
        <v>522.71</v>
      </c>
      <c r="J437" s="496">
        <v>123798.63</v>
      </c>
      <c r="K437" s="498">
        <v>4.3766526211506699E-3</v>
      </c>
    </row>
    <row r="438" spans="1:11" ht="39" customHeight="1" x14ac:dyDescent="0.3">
      <c r="A438" s="493" t="s">
        <v>762</v>
      </c>
      <c r="B438" s="493" t="s">
        <v>436</v>
      </c>
      <c r="C438" s="493" t="s">
        <v>32</v>
      </c>
      <c r="D438" s="494" t="s">
        <v>437</v>
      </c>
      <c r="E438" s="493" t="s">
        <v>194</v>
      </c>
      <c r="F438" s="495">
        <v>431.11</v>
      </c>
      <c r="G438" s="496">
        <v>517.13</v>
      </c>
      <c r="H438" s="497">
        <v>0.111</v>
      </c>
      <c r="I438" s="495">
        <v>574.53</v>
      </c>
      <c r="J438" s="496">
        <v>247685.62</v>
      </c>
      <c r="K438" s="498">
        <v>8.7564290331349284E-3</v>
      </c>
    </row>
    <row r="439" spans="1:11" ht="39" customHeight="1" x14ac:dyDescent="0.3">
      <c r="A439" s="493" t="s">
        <v>763</v>
      </c>
      <c r="B439" s="493" t="s">
        <v>439</v>
      </c>
      <c r="C439" s="493" t="s">
        <v>32</v>
      </c>
      <c r="D439" s="494" t="s">
        <v>440</v>
      </c>
      <c r="E439" s="493" t="s">
        <v>381</v>
      </c>
      <c r="F439" s="495">
        <v>270.32639999999998</v>
      </c>
      <c r="G439" s="496">
        <v>16.190000000000001</v>
      </c>
      <c r="H439" s="497">
        <v>0.2122</v>
      </c>
      <c r="I439" s="495">
        <v>19.63</v>
      </c>
      <c r="J439" s="496">
        <v>5306.5</v>
      </c>
      <c r="K439" s="498">
        <v>1.8760067970167383E-4</v>
      </c>
    </row>
    <row r="440" spans="1:11" ht="39" customHeight="1" x14ac:dyDescent="0.3">
      <c r="A440" s="493" t="s">
        <v>764</v>
      </c>
      <c r="B440" s="493" t="s">
        <v>442</v>
      </c>
      <c r="C440" s="493" t="s">
        <v>32</v>
      </c>
      <c r="D440" s="494" t="s">
        <v>443</v>
      </c>
      <c r="E440" s="493" t="s">
        <v>194</v>
      </c>
      <c r="F440" s="495">
        <v>182.04</v>
      </c>
      <c r="G440" s="496">
        <v>702.69</v>
      </c>
      <c r="H440" s="497">
        <v>0.111</v>
      </c>
      <c r="I440" s="495">
        <v>780.69</v>
      </c>
      <c r="J440" s="496">
        <v>142116.79999999999</v>
      </c>
      <c r="K440" s="498">
        <v>5.0242548340764786E-3</v>
      </c>
    </row>
    <row r="441" spans="1:11" ht="39" customHeight="1" x14ac:dyDescent="0.3">
      <c r="A441" s="493" t="s">
        <v>765</v>
      </c>
      <c r="B441" s="493" t="s">
        <v>766</v>
      </c>
      <c r="C441" s="493" t="s">
        <v>32</v>
      </c>
      <c r="D441" s="494" t="s">
        <v>767</v>
      </c>
      <c r="E441" s="493" t="s">
        <v>194</v>
      </c>
      <c r="F441" s="495">
        <v>51</v>
      </c>
      <c r="G441" s="496">
        <v>758.46</v>
      </c>
      <c r="H441" s="497">
        <v>0.111</v>
      </c>
      <c r="I441" s="495">
        <v>842.65</v>
      </c>
      <c r="J441" s="496">
        <v>42975.15</v>
      </c>
      <c r="K441" s="498">
        <v>1.5193003581044733E-3</v>
      </c>
    </row>
    <row r="442" spans="1:11" ht="39" customHeight="1" x14ac:dyDescent="0.3">
      <c r="A442" s="493" t="s">
        <v>768</v>
      </c>
      <c r="B442" s="493" t="s">
        <v>445</v>
      </c>
      <c r="C442" s="493" t="s">
        <v>446</v>
      </c>
      <c r="D442" s="494" t="s">
        <v>769</v>
      </c>
      <c r="E442" s="493" t="s">
        <v>381</v>
      </c>
      <c r="F442" s="495">
        <v>547.14880000000005</v>
      </c>
      <c r="G442" s="496">
        <v>94.99</v>
      </c>
      <c r="H442" s="497">
        <v>0.2122</v>
      </c>
      <c r="I442" s="495">
        <v>115.15</v>
      </c>
      <c r="J442" s="496">
        <v>63004.18</v>
      </c>
      <c r="K442" s="498">
        <v>2.2273865998391792E-3</v>
      </c>
    </row>
    <row r="443" spans="1:11" ht="39" customHeight="1" x14ac:dyDescent="0.3">
      <c r="A443" s="493" t="s">
        <v>770</v>
      </c>
      <c r="B443" s="493" t="s">
        <v>448</v>
      </c>
      <c r="C443" s="493" t="s">
        <v>32</v>
      </c>
      <c r="D443" s="494" t="s">
        <v>449</v>
      </c>
      <c r="E443" s="493" t="s">
        <v>194</v>
      </c>
      <c r="F443" s="495">
        <v>310.88</v>
      </c>
      <c r="G443" s="496">
        <v>1089.02</v>
      </c>
      <c r="H443" s="497">
        <v>0.111</v>
      </c>
      <c r="I443" s="495">
        <v>1209.9000000000001</v>
      </c>
      <c r="J443" s="496">
        <v>376133.71</v>
      </c>
      <c r="K443" s="498">
        <v>1.3297454000699571E-2</v>
      </c>
    </row>
    <row r="444" spans="1:11" ht="24" customHeight="1" x14ac:dyDescent="0.3">
      <c r="A444" s="489" t="s">
        <v>771</v>
      </c>
      <c r="B444" s="489" t="s">
        <v>1328</v>
      </c>
      <c r="C444" s="489" t="s">
        <v>1328</v>
      </c>
      <c r="D444" s="490" t="s">
        <v>451</v>
      </c>
      <c r="E444" s="490" t="s">
        <v>1328</v>
      </c>
      <c r="F444" s="499"/>
      <c r="G444" s="490"/>
      <c r="H444" s="489"/>
      <c r="I444" s="500"/>
      <c r="J444" s="357">
        <v>594138.49999999977</v>
      </c>
      <c r="K444" s="492">
        <v>2.1004576733615922E-2</v>
      </c>
    </row>
    <row r="445" spans="1:11" ht="39" customHeight="1" x14ac:dyDescent="0.3">
      <c r="A445" s="493" t="s">
        <v>772</v>
      </c>
      <c r="B445" s="493" t="s">
        <v>192</v>
      </c>
      <c r="C445" s="493" t="s">
        <v>32</v>
      </c>
      <c r="D445" s="494" t="s">
        <v>193</v>
      </c>
      <c r="E445" s="493" t="s">
        <v>194</v>
      </c>
      <c r="F445" s="495">
        <v>139.18</v>
      </c>
      <c r="G445" s="496">
        <v>9.66</v>
      </c>
      <c r="H445" s="497">
        <v>0.2122</v>
      </c>
      <c r="I445" s="495">
        <v>11.71</v>
      </c>
      <c r="J445" s="496">
        <v>1629.79</v>
      </c>
      <c r="K445" s="498">
        <v>5.7617961324977095E-5</v>
      </c>
    </row>
    <row r="446" spans="1:11" ht="39" customHeight="1" x14ac:dyDescent="0.3">
      <c r="A446" s="493" t="s">
        <v>773</v>
      </c>
      <c r="B446" s="493" t="s">
        <v>200</v>
      </c>
      <c r="C446" s="493" t="s">
        <v>197</v>
      </c>
      <c r="D446" s="494" t="s">
        <v>201</v>
      </c>
      <c r="E446" s="493" t="s">
        <v>1332</v>
      </c>
      <c r="F446" s="495">
        <v>2</v>
      </c>
      <c r="G446" s="496">
        <v>11.96</v>
      </c>
      <c r="H446" s="497">
        <v>0.2122</v>
      </c>
      <c r="I446" s="495">
        <v>14.5</v>
      </c>
      <c r="J446" s="496">
        <v>29</v>
      </c>
      <c r="K446" s="498">
        <v>1.0252369191272101E-6</v>
      </c>
    </row>
    <row r="447" spans="1:11" ht="39" customHeight="1" x14ac:dyDescent="0.3">
      <c r="A447" s="493" t="s">
        <v>775</v>
      </c>
      <c r="B447" s="493" t="s">
        <v>203</v>
      </c>
      <c r="C447" s="493" t="s">
        <v>197</v>
      </c>
      <c r="D447" s="494" t="s">
        <v>204</v>
      </c>
      <c r="E447" s="493" t="s">
        <v>194</v>
      </c>
      <c r="F447" s="495">
        <v>278.36</v>
      </c>
      <c r="G447" s="496">
        <v>3.25</v>
      </c>
      <c r="H447" s="497">
        <v>0.2122</v>
      </c>
      <c r="I447" s="495">
        <v>3.94</v>
      </c>
      <c r="J447" s="496">
        <v>1096.73</v>
      </c>
      <c r="K447" s="498">
        <v>3.8772692631530527E-5</v>
      </c>
    </row>
    <row r="448" spans="1:11" ht="39" customHeight="1" x14ac:dyDescent="0.3">
      <c r="A448" s="493" t="s">
        <v>776</v>
      </c>
      <c r="B448" s="493" t="s">
        <v>456</v>
      </c>
      <c r="C448" s="493" t="s">
        <v>197</v>
      </c>
      <c r="D448" s="494" t="s">
        <v>457</v>
      </c>
      <c r="E448" s="493" t="s">
        <v>89</v>
      </c>
      <c r="F448" s="495">
        <v>3</v>
      </c>
      <c r="G448" s="496">
        <v>7.15</v>
      </c>
      <c r="H448" s="497">
        <v>0.2122</v>
      </c>
      <c r="I448" s="495">
        <v>8.67</v>
      </c>
      <c r="J448" s="496">
        <v>26.01</v>
      </c>
      <c r="K448" s="498">
        <v>9.1953145746547374E-7</v>
      </c>
    </row>
    <row r="449" spans="1:11" ht="39" customHeight="1" x14ac:dyDescent="0.3">
      <c r="A449" s="493" t="s">
        <v>777</v>
      </c>
      <c r="B449" s="493" t="s">
        <v>206</v>
      </c>
      <c r="C449" s="493" t="s">
        <v>197</v>
      </c>
      <c r="D449" s="494" t="s">
        <v>207</v>
      </c>
      <c r="E449" s="493" t="s">
        <v>89</v>
      </c>
      <c r="F449" s="495">
        <v>3</v>
      </c>
      <c r="G449" s="496">
        <v>2.76</v>
      </c>
      <c r="H449" s="497">
        <v>0.2122</v>
      </c>
      <c r="I449" s="495">
        <v>3.35</v>
      </c>
      <c r="J449" s="496">
        <v>10.050000000000001</v>
      </c>
      <c r="K449" s="498">
        <v>3.5529762197339529E-7</v>
      </c>
    </row>
    <row r="450" spans="1:11" ht="1" customHeight="1" x14ac:dyDescent="0.3">
      <c r="A450" s="493" t="s">
        <v>778</v>
      </c>
      <c r="B450" s="493" t="s">
        <v>220</v>
      </c>
      <c r="C450" s="493" t="s">
        <v>221</v>
      </c>
      <c r="D450" s="494" t="s">
        <v>4226</v>
      </c>
      <c r="E450" s="493" t="s">
        <v>194</v>
      </c>
      <c r="F450" s="495">
        <v>0</v>
      </c>
      <c r="G450" s="496">
        <v>300.70999999999998</v>
      </c>
      <c r="H450" s="497">
        <v>0.2122</v>
      </c>
      <c r="I450" s="495">
        <v>364.52</v>
      </c>
      <c r="J450" s="496">
        <v>0</v>
      </c>
      <c r="K450" s="498">
        <v>0</v>
      </c>
    </row>
    <row r="451" spans="1:11" ht="50" x14ac:dyDescent="0.3">
      <c r="A451" s="493" t="s">
        <v>779</v>
      </c>
      <c r="B451" s="493" t="s">
        <v>460</v>
      </c>
      <c r="C451" s="493" t="s">
        <v>32</v>
      </c>
      <c r="D451" s="494" t="s">
        <v>4436</v>
      </c>
      <c r="E451" s="493" t="s">
        <v>268</v>
      </c>
      <c r="F451" s="495">
        <v>40.44</v>
      </c>
      <c r="G451" s="496">
        <v>13.71</v>
      </c>
      <c r="H451" s="497">
        <v>0.2122</v>
      </c>
      <c r="I451" s="495">
        <v>16.62</v>
      </c>
      <c r="J451" s="496">
        <v>672.11</v>
      </c>
      <c r="K451" s="498">
        <v>2.3761102955675491E-5</v>
      </c>
    </row>
    <row r="452" spans="1:11" ht="50" x14ac:dyDescent="0.3">
      <c r="A452" s="493" t="s">
        <v>780</v>
      </c>
      <c r="B452" s="493" t="s">
        <v>284</v>
      </c>
      <c r="C452" s="493" t="s">
        <v>32</v>
      </c>
      <c r="D452" s="494" t="s">
        <v>4411</v>
      </c>
      <c r="E452" s="493" t="s">
        <v>268</v>
      </c>
      <c r="F452" s="495">
        <v>31.49</v>
      </c>
      <c r="G452" s="496">
        <v>11.8</v>
      </c>
      <c r="H452" s="497">
        <v>0.2122</v>
      </c>
      <c r="I452" s="495">
        <v>14.3</v>
      </c>
      <c r="J452" s="496">
        <v>450.3</v>
      </c>
      <c r="K452" s="498">
        <v>1.5919454644240784E-5</v>
      </c>
    </row>
    <row r="453" spans="1:11" ht="50" x14ac:dyDescent="0.3">
      <c r="A453" s="493" t="s">
        <v>781</v>
      </c>
      <c r="B453" s="493" t="s">
        <v>464</v>
      </c>
      <c r="C453" s="493" t="s">
        <v>32</v>
      </c>
      <c r="D453" s="494" t="s">
        <v>4437</v>
      </c>
      <c r="E453" s="493" t="s">
        <v>268</v>
      </c>
      <c r="F453" s="495">
        <v>8.86</v>
      </c>
      <c r="G453" s="496">
        <v>11.17</v>
      </c>
      <c r="H453" s="497">
        <v>0.2122</v>
      </c>
      <c r="I453" s="495">
        <v>13.54</v>
      </c>
      <c r="J453" s="496">
        <v>119.96</v>
      </c>
      <c r="K453" s="498">
        <v>4.2409455454655215E-6</v>
      </c>
    </row>
    <row r="454" spans="1:11" ht="50" x14ac:dyDescent="0.3">
      <c r="A454" s="493" t="s">
        <v>782</v>
      </c>
      <c r="B454" s="493" t="s">
        <v>289</v>
      </c>
      <c r="C454" s="493" t="s">
        <v>32</v>
      </c>
      <c r="D454" s="494" t="s">
        <v>4413</v>
      </c>
      <c r="E454" s="493" t="s">
        <v>268</v>
      </c>
      <c r="F454" s="495">
        <v>62.26</v>
      </c>
      <c r="G454" s="496">
        <v>12.18</v>
      </c>
      <c r="H454" s="497">
        <v>0.2122</v>
      </c>
      <c r="I454" s="495">
        <v>14.76</v>
      </c>
      <c r="J454" s="496">
        <v>918.95</v>
      </c>
      <c r="K454" s="498">
        <v>3.2487636787308616E-5</v>
      </c>
    </row>
    <row r="455" spans="1:11" ht="62.5" x14ac:dyDescent="0.3">
      <c r="A455" s="493" t="s">
        <v>783</v>
      </c>
      <c r="B455" s="493" t="s">
        <v>292</v>
      </c>
      <c r="C455" s="493" t="s">
        <v>32</v>
      </c>
      <c r="D455" s="494" t="s">
        <v>4414</v>
      </c>
      <c r="E455" s="493" t="s">
        <v>268</v>
      </c>
      <c r="F455" s="495">
        <v>48.59</v>
      </c>
      <c r="G455" s="496">
        <v>11.39</v>
      </c>
      <c r="H455" s="497">
        <v>0.2122</v>
      </c>
      <c r="I455" s="495">
        <v>13.81</v>
      </c>
      <c r="J455" s="496">
        <v>671.02</v>
      </c>
      <c r="K455" s="498">
        <v>2.3722568188715191E-5</v>
      </c>
    </row>
    <row r="456" spans="1:11" ht="62.5" x14ac:dyDescent="0.3">
      <c r="A456" s="493" t="s">
        <v>784</v>
      </c>
      <c r="B456" s="493" t="s">
        <v>299</v>
      </c>
      <c r="C456" s="493" t="s">
        <v>32</v>
      </c>
      <c r="D456" s="494" t="s">
        <v>4417</v>
      </c>
      <c r="E456" s="493" t="s">
        <v>268</v>
      </c>
      <c r="F456" s="495">
        <v>184.7</v>
      </c>
      <c r="G456" s="496">
        <v>10.49</v>
      </c>
      <c r="H456" s="497">
        <v>0.2122</v>
      </c>
      <c r="I456" s="495">
        <v>12.72</v>
      </c>
      <c r="J456" s="496">
        <v>2349.38</v>
      </c>
      <c r="K456" s="498">
        <v>8.3057624588244312E-5</v>
      </c>
    </row>
    <row r="457" spans="1:11" ht="62.5" x14ac:dyDescent="0.3">
      <c r="A457" s="493" t="s">
        <v>785</v>
      </c>
      <c r="B457" s="493" t="s">
        <v>301</v>
      </c>
      <c r="C457" s="493" t="s">
        <v>32</v>
      </c>
      <c r="D457" s="494" t="s">
        <v>4418</v>
      </c>
      <c r="E457" s="493" t="s">
        <v>268</v>
      </c>
      <c r="F457" s="495">
        <v>112</v>
      </c>
      <c r="G457" s="496">
        <v>9.01</v>
      </c>
      <c r="H457" s="497">
        <v>0.2122</v>
      </c>
      <c r="I457" s="495">
        <v>10.92</v>
      </c>
      <c r="J457" s="496">
        <v>1223.04</v>
      </c>
      <c r="K457" s="498">
        <v>4.3238129709287692E-5</v>
      </c>
    </row>
    <row r="458" spans="1:11" ht="62.5" x14ac:dyDescent="0.3">
      <c r="A458" s="493" t="s">
        <v>786</v>
      </c>
      <c r="B458" s="493" t="s">
        <v>471</v>
      </c>
      <c r="C458" s="493" t="s">
        <v>32</v>
      </c>
      <c r="D458" s="494" t="s">
        <v>4438</v>
      </c>
      <c r="E458" s="493" t="s">
        <v>268</v>
      </c>
      <c r="F458" s="495">
        <v>2.2999999999999998</v>
      </c>
      <c r="G458" s="496">
        <v>8.5299999999999994</v>
      </c>
      <c r="H458" s="497">
        <v>0.2122</v>
      </c>
      <c r="I458" s="495">
        <v>10.34</v>
      </c>
      <c r="J458" s="496">
        <v>23.78</v>
      </c>
      <c r="K458" s="498">
        <v>8.4069427368431234E-7</v>
      </c>
    </row>
    <row r="459" spans="1:11" ht="62.5" x14ac:dyDescent="0.3">
      <c r="A459" s="493" t="s">
        <v>787</v>
      </c>
      <c r="B459" s="493" t="s">
        <v>303</v>
      </c>
      <c r="C459" s="493" t="s">
        <v>32</v>
      </c>
      <c r="D459" s="494" t="s">
        <v>4419</v>
      </c>
      <c r="E459" s="493" t="s">
        <v>268</v>
      </c>
      <c r="F459" s="495">
        <v>568.17999999999995</v>
      </c>
      <c r="G459" s="496">
        <v>9.31</v>
      </c>
      <c r="H459" s="497">
        <v>0.2122</v>
      </c>
      <c r="I459" s="495">
        <v>11.29</v>
      </c>
      <c r="J459" s="496">
        <v>6414.75</v>
      </c>
      <c r="K459" s="498">
        <v>2.2678063886107832E-4</v>
      </c>
    </row>
    <row r="460" spans="1:11" ht="62.5" x14ac:dyDescent="0.3">
      <c r="A460" s="493" t="s">
        <v>788</v>
      </c>
      <c r="B460" s="493" t="s">
        <v>305</v>
      </c>
      <c r="C460" s="493" t="s">
        <v>32</v>
      </c>
      <c r="D460" s="494" t="s">
        <v>4420</v>
      </c>
      <c r="E460" s="493" t="s">
        <v>268</v>
      </c>
      <c r="F460" s="495">
        <v>253.41</v>
      </c>
      <c r="G460" s="496">
        <v>8.6999999999999993</v>
      </c>
      <c r="H460" s="497">
        <v>0.2122</v>
      </c>
      <c r="I460" s="495">
        <v>10.55</v>
      </c>
      <c r="J460" s="496">
        <v>2673.47</v>
      </c>
      <c r="K460" s="498">
        <v>9.4515177454449043E-5</v>
      </c>
    </row>
    <row r="461" spans="1:11" ht="25" x14ac:dyDescent="0.3">
      <c r="A461" s="493" t="s">
        <v>789</v>
      </c>
      <c r="B461" s="493" t="s">
        <v>16937</v>
      </c>
      <c r="C461" s="493" t="s">
        <v>446</v>
      </c>
      <c r="D461" s="494" t="s">
        <v>16938</v>
      </c>
      <c r="E461" s="493" t="s">
        <v>268</v>
      </c>
      <c r="F461" s="495">
        <v>8.06</v>
      </c>
      <c r="G461" s="496">
        <v>108.71</v>
      </c>
      <c r="H461" s="497">
        <v>0.2122</v>
      </c>
      <c r="I461" s="495">
        <v>131.78</v>
      </c>
      <c r="J461" s="496">
        <v>1062.1400000000001</v>
      </c>
      <c r="K461" s="498">
        <v>3.7549832457992244E-5</v>
      </c>
    </row>
    <row r="462" spans="1:11" ht="37.5" x14ac:dyDescent="0.3">
      <c r="A462" s="493" t="s">
        <v>790</v>
      </c>
      <c r="B462" s="493" t="s">
        <v>334</v>
      </c>
      <c r="C462" s="493" t="s">
        <v>243</v>
      </c>
      <c r="D462" s="494" t="s">
        <v>335</v>
      </c>
      <c r="E462" s="493" t="s">
        <v>1332</v>
      </c>
      <c r="F462" s="495">
        <v>1252.76</v>
      </c>
      <c r="G462" s="496">
        <v>23.05</v>
      </c>
      <c r="H462" s="497">
        <v>0.2122</v>
      </c>
      <c r="I462" s="495">
        <v>27.94</v>
      </c>
      <c r="J462" s="496">
        <v>35002.11</v>
      </c>
      <c r="K462" s="498">
        <v>1.2374294972190246E-3</v>
      </c>
    </row>
    <row r="463" spans="1:11" ht="50" x14ac:dyDescent="0.3">
      <c r="A463" s="493" t="s">
        <v>791</v>
      </c>
      <c r="B463" s="493" t="s">
        <v>337</v>
      </c>
      <c r="C463" s="493" t="s">
        <v>243</v>
      </c>
      <c r="D463" s="494" t="s">
        <v>338</v>
      </c>
      <c r="E463" s="493" t="s">
        <v>1332</v>
      </c>
      <c r="F463" s="495">
        <v>789.81</v>
      </c>
      <c r="G463" s="496">
        <v>30.02</v>
      </c>
      <c r="H463" s="497">
        <v>0.2122</v>
      </c>
      <c r="I463" s="495">
        <v>36.39</v>
      </c>
      <c r="J463" s="496">
        <v>28741.18</v>
      </c>
      <c r="K463" s="498">
        <v>1.0160868563889858E-3</v>
      </c>
    </row>
    <row r="464" spans="1:11" ht="50" x14ac:dyDescent="0.3">
      <c r="A464" s="493" t="s">
        <v>792</v>
      </c>
      <c r="B464" s="493" t="s">
        <v>478</v>
      </c>
      <c r="C464" s="493" t="s">
        <v>243</v>
      </c>
      <c r="D464" s="494" t="s">
        <v>4439</v>
      </c>
      <c r="E464" s="493" t="s">
        <v>1332</v>
      </c>
      <c r="F464" s="495">
        <v>45.65</v>
      </c>
      <c r="G464" s="496">
        <v>14.37</v>
      </c>
      <c r="H464" s="497">
        <v>0.2122</v>
      </c>
      <c r="I464" s="495">
        <v>17.420000000000002</v>
      </c>
      <c r="J464" s="496">
        <v>795.22</v>
      </c>
      <c r="K464" s="498">
        <v>2.8113410442356555E-5</v>
      </c>
    </row>
    <row r="465" spans="1:11" ht="50" x14ac:dyDescent="0.3">
      <c r="A465" s="493" t="s">
        <v>793</v>
      </c>
      <c r="B465" s="493" t="s">
        <v>340</v>
      </c>
      <c r="C465" s="493" t="s">
        <v>243</v>
      </c>
      <c r="D465" s="494" t="s">
        <v>4423</v>
      </c>
      <c r="E465" s="493" t="s">
        <v>1332</v>
      </c>
      <c r="F465" s="495">
        <v>578.39</v>
      </c>
      <c r="G465" s="496">
        <v>32.4</v>
      </c>
      <c r="H465" s="497">
        <v>0.2122</v>
      </c>
      <c r="I465" s="495">
        <v>39.28</v>
      </c>
      <c r="J465" s="496">
        <v>22719.15</v>
      </c>
      <c r="K465" s="498">
        <v>8.0319004659272269E-4</v>
      </c>
    </row>
    <row r="466" spans="1:11" ht="37.5" x14ac:dyDescent="0.3">
      <c r="A466" s="493" t="s">
        <v>794</v>
      </c>
      <c r="B466" s="493" t="s">
        <v>342</v>
      </c>
      <c r="C466" s="493" t="s">
        <v>243</v>
      </c>
      <c r="D466" s="494" t="s">
        <v>4424</v>
      </c>
      <c r="E466" s="493" t="s">
        <v>1332</v>
      </c>
      <c r="F466" s="495">
        <v>278.41000000000003</v>
      </c>
      <c r="G466" s="496">
        <v>41.58</v>
      </c>
      <c r="H466" s="497">
        <v>0.2122</v>
      </c>
      <c r="I466" s="495">
        <v>50.4</v>
      </c>
      <c r="J466" s="496">
        <v>14031.86</v>
      </c>
      <c r="K466" s="498">
        <v>4.96068307449115E-4</v>
      </c>
    </row>
    <row r="467" spans="1:11" ht="39" customHeight="1" x14ac:dyDescent="0.3">
      <c r="A467" s="493" t="s">
        <v>795</v>
      </c>
      <c r="B467" s="493" t="s">
        <v>328</v>
      </c>
      <c r="C467" s="493" t="s">
        <v>125</v>
      </c>
      <c r="D467" s="494" t="s">
        <v>329</v>
      </c>
      <c r="E467" s="493" t="s">
        <v>1901</v>
      </c>
      <c r="F467" s="495">
        <v>1.02</v>
      </c>
      <c r="G467" s="496">
        <v>13.66</v>
      </c>
      <c r="H467" s="497">
        <v>0.2122</v>
      </c>
      <c r="I467" s="495">
        <v>16.559999999999999</v>
      </c>
      <c r="J467" s="496">
        <v>16.89</v>
      </c>
      <c r="K467" s="498">
        <v>5.9711212289857173E-7</v>
      </c>
    </row>
    <row r="468" spans="1:11" ht="39" customHeight="1" x14ac:dyDescent="0.3">
      <c r="A468" s="493" t="s">
        <v>796</v>
      </c>
      <c r="B468" s="493" t="s">
        <v>357</v>
      </c>
      <c r="C468" s="493" t="s">
        <v>32</v>
      </c>
      <c r="D468" s="494" t="s">
        <v>358</v>
      </c>
      <c r="E468" s="493" t="s">
        <v>268</v>
      </c>
      <c r="F468" s="495">
        <v>6.96</v>
      </c>
      <c r="G468" s="496">
        <v>271.92</v>
      </c>
      <c r="H468" s="497">
        <v>0.2122</v>
      </c>
      <c r="I468" s="495">
        <v>329.62</v>
      </c>
      <c r="J468" s="496">
        <v>2294.15</v>
      </c>
      <c r="K468" s="498">
        <v>8.1105078552265146E-5</v>
      </c>
    </row>
    <row r="469" spans="1:11" ht="39" customHeight="1" x14ac:dyDescent="0.3">
      <c r="A469" s="493" t="s">
        <v>797</v>
      </c>
      <c r="B469" s="493" t="s">
        <v>386</v>
      </c>
      <c r="C469" s="493" t="s">
        <v>4210</v>
      </c>
      <c r="D469" s="494" t="s">
        <v>387</v>
      </c>
      <c r="E469" s="493" t="s">
        <v>268</v>
      </c>
      <c r="F469" s="495">
        <v>4.5</v>
      </c>
      <c r="G469" s="496">
        <v>124.59</v>
      </c>
      <c r="H469" s="497">
        <v>0.2122</v>
      </c>
      <c r="I469" s="495">
        <v>151.03</v>
      </c>
      <c r="J469" s="496">
        <v>679.63</v>
      </c>
      <c r="K469" s="498">
        <v>2.4026957494704339E-5</v>
      </c>
    </row>
    <row r="470" spans="1:11" ht="39" customHeight="1" x14ac:dyDescent="0.3">
      <c r="A470" s="493" t="s">
        <v>798</v>
      </c>
      <c r="B470" s="493" t="s">
        <v>369</v>
      </c>
      <c r="C470" s="493" t="s">
        <v>4210</v>
      </c>
      <c r="D470" s="494" t="s">
        <v>370</v>
      </c>
      <c r="E470" s="493" t="s">
        <v>1332</v>
      </c>
      <c r="F470" s="495">
        <v>139.18</v>
      </c>
      <c r="G470" s="496">
        <v>0.28000000000000003</v>
      </c>
      <c r="H470" s="497">
        <v>0.2122</v>
      </c>
      <c r="I470" s="495">
        <v>0.34</v>
      </c>
      <c r="J470" s="496">
        <v>47.32</v>
      </c>
      <c r="K470" s="498">
        <v>1.6729038280379168E-6</v>
      </c>
    </row>
    <row r="471" spans="1:11" ht="39" customHeight="1" x14ac:dyDescent="0.3">
      <c r="A471" s="493" t="s">
        <v>799</v>
      </c>
      <c r="B471" s="493" t="s">
        <v>372</v>
      </c>
      <c r="C471" s="493" t="s">
        <v>4210</v>
      </c>
      <c r="D471" s="494" t="s">
        <v>373</v>
      </c>
      <c r="E471" s="493" t="s">
        <v>381</v>
      </c>
      <c r="F471" s="495">
        <v>0.06</v>
      </c>
      <c r="G471" s="496">
        <v>4033.08</v>
      </c>
      <c r="H471" s="497">
        <v>0.111</v>
      </c>
      <c r="I471" s="495">
        <v>4480.75</v>
      </c>
      <c r="J471" s="496">
        <v>268.83999999999997</v>
      </c>
      <c r="K471" s="498">
        <v>9.5042997702813509E-6</v>
      </c>
    </row>
    <row r="472" spans="1:11" ht="39" customHeight="1" x14ac:dyDescent="0.3">
      <c r="A472" s="493" t="s">
        <v>800</v>
      </c>
      <c r="B472" s="493" t="s">
        <v>376</v>
      </c>
      <c r="C472" s="493" t="s">
        <v>4210</v>
      </c>
      <c r="D472" s="494" t="s">
        <v>377</v>
      </c>
      <c r="E472" s="493" t="s">
        <v>1332</v>
      </c>
      <c r="F472" s="495">
        <v>139.18</v>
      </c>
      <c r="G472" s="496">
        <v>0.4</v>
      </c>
      <c r="H472" s="497">
        <v>0.2122</v>
      </c>
      <c r="I472" s="495">
        <v>0.48</v>
      </c>
      <c r="J472" s="496">
        <v>66.8</v>
      </c>
      <c r="K472" s="498">
        <v>2.3615802137137117E-6</v>
      </c>
    </row>
    <row r="473" spans="1:11" ht="39" customHeight="1" x14ac:dyDescent="0.3">
      <c r="A473" s="493" t="s">
        <v>801</v>
      </c>
      <c r="B473" s="493" t="s">
        <v>379</v>
      </c>
      <c r="C473" s="493" t="s">
        <v>4210</v>
      </c>
      <c r="D473" s="494" t="s">
        <v>380</v>
      </c>
      <c r="E473" s="493" t="s">
        <v>381</v>
      </c>
      <c r="F473" s="495">
        <v>0.18</v>
      </c>
      <c r="G473" s="496">
        <v>4291.21</v>
      </c>
      <c r="H473" s="497">
        <v>0.111</v>
      </c>
      <c r="I473" s="495">
        <v>4767.53</v>
      </c>
      <c r="J473" s="496">
        <v>858.15</v>
      </c>
      <c r="K473" s="498">
        <v>3.03381745568626E-5</v>
      </c>
    </row>
    <row r="474" spans="1:11" ht="39" customHeight="1" x14ac:dyDescent="0.3">
      <c r="A474" s="493" t="s">
        <v>802</v>
      </c>
      <c r="B474" s="493" t="s">
        <v>389</v>
      </c>
      <c r="C474" s="493" t="s">
        <v>4210</v>
      </c>
      <c r="D474" s="494" t="s">
        <v>390</v>
      </c>
      <c r="E474" s="493" t="s">
        <v>381</v>
      </c>
      <c r="F474" s="495">
        <v>10.81</v>
      </c>
      <c r="G474" s="496">
        <v>188.17</v>
      </c>
      <c r="H474" s="497">
        <v>0.2122</v>
      </c>
      <c r="I474" s="495">
        <v>228.1</v>
      </c>
      <c r="J474" s="496">
        <v>2465.7600000000002</v>
      </c>
      <c r="K474" s="498">
        <v>8.7172006403693451E-5</v>
      </c>
    </row>
    <row r="475" spans="1:11" ht="39" customHeight="1" x14ac:dyDescent="0.3">
      <c r="A475" s="493" t="s">
        <v>803</v>
      </c>
      <c r="B475" s="493" t="s">
        <v>392</v>
      </c>
      <c r="C475" s="493" t="s">
        <v>4210</v>
      </c>
      <c r="D475" s="494" t="s">
        <v>393</v>
      </c>
      <c r="E475" s="493" t="s">
        <v>381</v>
      </c>
      <c r="F475" s="495">
        <v>0.68</v>
      </c>
      <c r="G475" s="496">
        <v>5274.22</v>
      </c>
      <c r="H475" s="497">
        <v>0.111</v>
      </c>
      <c r="I475" s="495">
        <v>5859.66</v>
      </c>
      <c r="J475" s="496">
        <v>3984.56</v>
      </c>
      <c r="K475" s="498">
        <v>1.4086613856819022E-4</v>
      </c>
    </row>
    <row r="476" spans="1:11" ht="39" customHeight="1" x14ac:dyDescent="0.3">
      <c r="A476" s="493" t="s">
        <v>804</v>
      </c>
      <c r="B476" s="493" t="s">
        <v>363</v>
      </c>
      <c r="C476" s="493" t="s">
        <v>4210</v>
      </c>
      <c r="D476" s="494" t="s">
        <v>364</v>
      </c>
      <c r="E476" s="493" t="s">
        <v>268</v>
      </c>
      <c r="F476" s="495">
        <v>22.51</v>
      </c>
      <c r="G476" s="496">
        <v>15.45</v>
      </c>
      <c r="H476" s="497">
        <v>0.2122</v>
      </c>
      <c r="I476" s="495">
        <v>18.73</v>
      </c>
      <c r="J476" s="496">
        <v>421.61</v>
      </c>
      <c r="K476" s="498">
        <v>1.4905177154249072E-5</v>
      </c>
    </row>
    <row r="477" spans="1:11" ht="39" customHeight="1" x14ac:dyDescent="0.3">
      <c r="A477" s="493" t="s">
        <v>805</v>
      </c>
      <c r="B477" s="493" t="s">
        <v>366</v>
      </c>
      <c r="C477" s="493" t="s">
        <v>125</v>
      </c>
      <c r="D477" s="494" t="s">
        <v>4232</v>
      </c>
      <c r="E477" s="493" t="s">
        <v>268</v>
      </c>
      <c r="F477" s="495">
        <v>22.51</v>
      </c>
      <c r="G477" s="496">
        <v>208.42</v>
      </c>
      <c r="H477" s="497">
        <v>0.2122</v>
      </c>
      <c r="I477" s="495">
        <v>252.65</v>
      </c>
      <c r="J477" s="496">
        <v>5687.15</v>
      </c>
      <c r="K477" s="498">
        <v>2.0105779809014872E-4</v>
      </c>
    </row>
    <row r="478" spans="1:11" ht="39" customHeight="1" x14ac:dyDescent="0.3">
      <c r="A478" s="493" t="s">
        <v>806</v>
      </c>
      <c r="B478" s="493" t="s">
        <v>383</v>
      </c>
      <c r="C478" s="493" t="s">
        <v>125</v>
      </c>
      <c r="D478" s="494" t="s">
        <v>4233</v>
      </c>
      <c r="E478" s="493" t="s">
        <v>1369</v>
      </c>
      <c r="F478" s="495">
        <v>2936.19</v>
      </c>
      <c r="G478" s="496">
        <v>0.54959999999999998</v>
      </c>
      <c r="H478" s="497">
        <v>0.111</v>
      </c>
      <c r="I478" s="495">
        <v>0.61</v>
      </c>
      <c r="J478" s="496">
        <v>1791.07</v>
      </c>
      <c r="K478" s="498">
        <v>6.3319692715212836E-5</v>
      </c>
    </row>
    <row r="479" spans="1:11" ht="39" customHeight="1" x14ac:dyDescent="0.3">
      <c r="A479" s="493" t="s">
        <v>807</v>
      </c>
      <c r="B479" s="493" t="s">
        <v>4234</v>
      </c>
      <c r="C479" s="493" t="s">
        <v>4235</v>
      </c>
      <c r="D479" s="494" t="s">
        <v>4430</v>
      </c>
      <c r="E479" s="493" t="s">
        <v>268</v>
      </c>
      <c r="F479" s="495">
        <v>86.2</v>
      </c>
      <c r="G479" s="496">
        <v>56.12</v>
      </c>
      <c r="H479" s="497">
        <v>0.2122</v>
      </c>
      <c r="I479" s="495">
        <v>68.03</v>
      </c>
      <c r="J479" s="496">
        <v>5864.18</v>
      </c>
      <c r="K479" s="498">
        <v>2.0731633918646218E-4</v>
      </c>
    </row>
    <row r="480" spans="1:11" ht="25" x14ac:dyDescent="0.3">
      <c r="A480" s="493" t="s">
        <v>808</v>
      </c>
      <c r="B480" s="493" t="s">
        <v>397</v>
      </c>
      <c r="C480" s="493" t="s">
        <v>197</v>
      </c>
      <c r="D480" s="494" t="s">
        <v>398</v>
      </c>
      <c r="E480" s="493" t="s">
        <v>268</v>
      </c>
      <c r="F480" s="495">
        <v>698.24</v>
      </c>
      <c r="G480" s="496">
        <v>11.09</v>
      </c>
      <c r="H480" s="497">
        <v>0.2122</v>
      </c>
      <c r="I480" s="495">
        <v>13.44</v>
      </c>
      <c r="J480" s="496">
        <v>9384.34</v>
      </c>
      <c r="K480" s="498">
        <v>3.3176454584973256E-4</v>
      </c>
    </row>
    <row r="481" spans="1:11" ht="50" x14ac:dyDescent="0.3">
      <c r="A481" s="493" t="s">
        <v>809</v>
      </c>
      <c r="B481" s="493" t="s">
        <v>127</v>
      </c>
      <c r="C481" s="493" t="s">
        <v>32</v>
      </c>
      <c r="D481" s="494" t="s">
        <v>128</v>
      </c>
      <c r="E481" s="493" t="s">
        <v>268</v>
      </c>
      <c r="F481" s="495">
        <v>580.30999999999995</v>
      </c>
      <c r="G481" s="496">
        <v>6.53</v>
      </c>
      <c r="H481" s="497">
        <v>0.2122</v>
      </c>
      <c r="I481" s="495">
        <v>7.92</v>
      </c>
      <c r="J481" s="496">
        <v>4596.05</v>
      </c>
      <c r="K481" s="498">
        <v>1.6248414283291773E-4</v>
      </c>
    </row>
    <row r="482" spans="1:11" ht="25" x14ac:dyDescent="0.3">
      <c r="A482" s="493" t="s">
        <v>810</v>
      </c>
      <c r="B482" s="493" t="s">
        <v>119</v>
      </c>
      <c r="C482" s="493" t="s">
        <v>32</v>
      </c>
      <c r="D482" s="494" t="s">
        <v>120</v>
      </c>
      <c r="E482" s="493" t="s">
        <v>121</v>
      </c>
      <c r="F482" s="495">
        <v>9487.1537722775138</v>
      </c>
      <c r="G482" s="496">
        <v>2.1</v>
      </c>
      <c r="H482" s="497">
        <v>0.2122</v>
      </c>
      <c r="I482" s="495">
        <v>2.5499999999999998</v>
      </c>
      <c r="J482" s="496">
        <v>24192.240000000002</v>
      </c>
      <c r="K482" s="498">
        <v>8.5526819325469172E-4</v>
      </c>
    </row>
    <row r="483" spans="1:11" ht="37.5" x14ac:dyDescent="0.3">
      <c r="A483" s="493" t="s">
        <v>811</v>
      </c>
      <c r="B483" s="493" t="s">
        <v>122</v>
      </c>
      <c r="C483" s="493" t="s">
        <v>32</v>
      </c>
      <c r="D483" s="494" t="s">
        <v>123</v>
      </c>
      <c r="E483" s="493" t="s">
        <v>121</v>
      </c>
      <c r="F483" s="495">
        <v>4548.9407826496326</v>
      </c>
      <c r="G483" s="496">
        <v>0.85</v>
      </c>
      <c r="H483" s="497">
        <v>0.2122</v>
      </c>
      <c r="I483" s="495">
        <v>1.03</v>
      </c>
      <c r="J483" s="496">
        <v>4685.3999999999996</v>
      </c>
      <c r="K483" s="498">
        <v>1.6564293313374586E-4</v>
      </c>
    </row>
    <row r="484" spans="1:11" x14ac:dyDescent="0.3">
      <c r="A484" s="493" t="s">
        <v>812</v>
      </c>
      <c r="B484" s="493" t="s">
        <v>324</v>
      </c>
      <c r="C484" s="493" t="s">
        <v>32</v>
      </c>
      <c r="D484" s="494" t="s">
        <v>4422</v>
      </c>
      <c r="E484" s="493" t="s">
        <v>268</v>
      </c>
      <c r="F484" s="495">
        <v>308.53463810208677</v>
      </c>
      <c r="G484" s="496">
        <v>1.37</v>
      </c>
      <c r="H484" s="497">
        <v>0.2122</v>
      </c>
      <c r="I484" s="495">
        <v>1.66</v>
      </c>
      <c r="J484" s="496">
        <v>512.16</v>
      </c>
      <c r="K484" s="498">
        <v>1.8106391051730757E-5</v>
      </c>
    </row>
    <row r="485" spans="1:11" ht="25" x14ac:dyDescent="0.3">
      <c r="A485" s="493" t="s">
        <v>813</v>
      </c>
      <c r="B485" s="493" t="s">
        <v>500</v>
      </c>
      <c r="C485" s="493" t="s">
        <v>32</v>
      </c>
      <c r="D485" s="494" t="s">
        <v>4440</v>
      </c>
      <c r="E485" s="493" t="s">
        <v>194</v>
      </c>
      <c r="F485" s="495">
        <v>195.09</v>
      </c>
      <c r="G485" s="496">
        <v>77.209999999999994</v>
      </c>
      <c r="H485" s="497">
        <v>0.2122</v>
      </c>
      <c r="I485" s="495">
        <v>93.59</v>
      </c>
      <c r="J485" s="496">
        <v>18258.47</v>
      </c>
      <c r="K485" s="498">
        <v>6.4549163899229635E-4</v>
      </c>
    </row>
    <row r="486" spans="1:11" ht="37.5" x14ac:dyDescent="0.3">
      <c r="A486" s="493" t="s">
        <v>814</v>
      </c>
      <c r="B486" s="493" t="s">
        <v>174</v>
      </c>
      <c r="C486" s="493" t="s">
        <v>32</v>
      </c>
      <c r="D486" s="494" t="s">
        <v>175</v>
      </c>
      <c r="E486" s="493" t="s">
        <v>268</v>
      </c>
      <c r="F486" s="495">
        <v>18.98</v>
      </c>
      <c r="G486" s="496">
        <v>403.4</v>
      </c>
      <c r="H486" s="497">
        <v>0.2122</v>
      </c>
      <c r="I486" s="495">
        <v>489</v>
      </c>
      <c r="J486" s="496">
        <v>9281.2199999999993</v>
      </c>
      <c r="K486" s="498">
        <v>3.2811894477730502E-4</v>
      </c>
    </row>
    <row r="487" spans="1:11" ht="39" customHeight="1" x14ac:dyDescent="0.3">
      <c r="A487" s="493" t="s">
        <v>815</v>
      </c>
      <c r="B487" s="493" t="s">
        <v>503</v>
      </c>
      <c r="C487" s="493" t="s">
        <v>125</v>
      </c>
      <c r="D487" s="494" t="s">
        <v>537</v>
      </c>
      <c r="E487" s="493" t="s">
        <v>1369</v>
      </c>
      <c r="F487" s="495">
        <v>1480</v>
      </c>
      <c r="G487" s="496">
        <v>12.15</v>
      </c>
      <c r="H487" s="497">
        <v>0.2122</v>
      </c>
      <c r="I487" s="495">
        <v>14.73</v>
      </c>
      <c r="J487" s="496">
        <v>21800.400000000001</v>
      </c>
      <c r="K487" s="498">
        <v>7.7070948040485637E-4</v>
      </c>
    </row>
    <row r="488" spans="1:11" ht="39" customHeight="1" x14ac:dyDescent="0.3">
      <c r="A488" s="493" t="s">
        <v>816</v>
      </c>
      <c r="B488" s="493" t="s">
        <v>506</v>
      </c>
      <c r="C488" s="493" t="s">
        <v>32</v>
      </c>
      <c r="D488" s="494" t="s">
        <v>507</v>
      </c>
      <c r="E488" s="493" t="s">
        <v>1332</v>
      </c>
      <c r="F488" s="495">
        <v>643</v>
      </c>
      <c r="G488" s="496">
        <v>133.38</v>
      </c>
      <c r="H488" s="497">
        <v>0.2122</v>
      </c>
      <c r="I488" s="495">
        <v>161.68</v>
      </c>
      <c r="J488" s="496">
        <v>103960.24</v>
      </c>
      <c r="K488" s="498">
        <v>3.675306074804323E-3</v>
      </c>
    </row>
    <row r="489" spans="1:11" ht="39" customHeight="1" x14ac:dyDescent="0.3">
      <c r="A489" s="493" t="s">
        <v>817</v>
      </c>
      <c r="B489" s="493" t="s">
        <v>509</v>
      </c>
      <c r="C489" s="493" t="s">
        <v>125</v>
      </c>
      <c r="D489" s="494" t="s">
        <v>4236</v>
      </c>
      <c r="E489" s="493" t="s">
        <v>1332</v>
      </c>
      <c r="F489" s="495">
        <v>1148.94</v>
      </c>
      <c r="G489" s="496">
        <v>93.65</v>
      </c>
      <c r="H489" s="497">
        <v>0.2122</v>
      </c>
      <c r="I489" s="495">
        <v>113.52</v>
      </c>
      <c r="J489" s="496">
        <v>130427.66</v>
      </c>
      <c r="K489" s="498">
        <v>4.6110087002541817E-3</v>
      </c>
    </row>
    <row r="490" spans="1:11" ht="39" customHeight="1" x14ac:dyDescent="0.3">
      <c r="A490" s="493" t="s">
        <v>818</v>
      </c>
      <c r="B490" s="493" t="s">
        <v>176</v>
      </c>
      <c r="C490" s="493" t="s">
        <v>32</v>
      </c>
      <c r="D490" s="494" t="s">
        <v>177</v>
      </c>
      <c r="E490" s="493" t="s">
        <v>268</v>
      </c>
      <c r="F490" s="495">
        <v>77.23</v>
      </c>
      <c r="G490" s="496">
        <v>470.06</v>
      </c>
      <c r="H490" s="497">
        <v>0.2122</v>
      </c>
      <c r="I490" s="495">
        <v>569.80999999999995</v>
      </c>
      <c r="J490" s="496">
        <v>44006.42</v>
      </c>
      <c r="K490" s="498">
        <v>1.5557588435385532E-3</v>
      </c>
    </row>
    <row r="491" spans="1:11" ht="39" customHeight="1" x14ac:dyDescent="0.3">
      <c r="A491" s="493" t="s">
        <v>819</v>
      </c>
      <c r="B491" s="493" t="s">
        <v>180</v>
      </c>
      <c r="C491" s="493" t="s">
        <v>32</v>
      </c>
      <c r="D491" s="494" t="s">
        <v>181</v>
      </c>
      <c r="E491" s="493" t="s">
        <v>268</v>
      </c>
      <c r="F491" s="495">
        <v>96.21</v>
      </c>
      <c r="G491" s="496">
        <v>326.63</v>
      </c>
      <c r="H491" s="497">
        <v>0.2122</v>
      </c>
      <c r="I491" s="495">
        <v>395.94</v>
      </c>
      <c r="J491" s="496">
        <v>38093.379999999997</v>
      </c>
      <c r="K491" s="498">
        <v>1.3467151569083477E-3</v>
      </c>
    </row>
    <row r="492" spans="1:11" ht="39" customHeight="1" x14ac:dyDescent="0.3">
      <c r="A492" s="493" t="s">
        <v>820</v>
      </c>
      <c r="B492" s="493" t="s">
        <v>514</v>
      </c>
      <c r="C492" s="493" t="s">
        <v>32</v>
      </c>
      <c r="D492" s="494" t="s">
        <v>515</v>
      </c>
      <c r="E492" s="493" t="s">
        <v>194</v>
      </c>
      <c r="F492" s="495">
        <v>63.97</v>
      </c>
      <c r="G492" s="496">
        <v>62.21</v>
      </c>
      <c r="H492" s="497">
        <v>0.111</v>
      </c>
      <c r="I492" s="495">
        <v>69.12</v>
      </c>
      <c r="J492" s="496">
        <v>4421.6000000000004</v>
      </c>
      <c r="K492" s="498">
        <v>1.5631681246940942E-4</v>
      </c>
    </row>
    <row r="493" spans="1:11" ht="39" customHeight="1" x14ac:dyDescent="0.3">
      <c r="A493" s="493" t="s">
        <v>821</v>
      </c>
      <c r="B493" s="493" t="s">
        <v>517</v>
      </c>
      <c r="C493" s="493" t="s">
        <v>32</v>
      </c>
      <c r="D493" s="494" t="s">
        <v>518</v>
      </c>
      <c r="E493" s="493" t="s">
        <v>194</v>
      </c>
      <c r="F493" s="495">
        <v>265.87</v>
      </c>
      <c r="G493" s="496">
        <v>68.3</v>
      </c>
      <c r="H493" s="497">
        <v>0.111</v>
      </c>
      <c r="I493" s="495">
        <v>75.88</v>
      </c>
      <c r="J493" s="496">
        <v>20174.21</v>
      </c>
      <c r="K493" s="498">
        <v>7.1321878986983973E-4</v>
      </c>
    </row>
    <row r="494" spans="1:11" ht="50" x14ac:dyDescent="0.3">
      <c r="A494" s="493" t="s">
        <v>822</v>
      </c>
      <c r="B494" s="493" t="s">
        <v>519</v>
      </c>
      <c r="C494" s="493" t="s">
        <v>32</v>
      </c>
      <c r="D494" s="494" t="s">
        <v>4441</v>
      </c>
      <c r="E494" s="493" t="s">
        <v>194</v>
      </c>
      <c r="F494" s="495">
        <v>329.84</v>
      </c>
      <c r="G494" s="496">
        <v>38.11</v>
      </c>
      <c r="H494" s="497">
        <v>0.2122</v>
      </c>
      <c r="I494" s="495">
        <v>46.2</v>
      </c>
      <c r="J494" s="496">
        <v>15238.6</v>
      </c>
      <c r="K494" s="498">
        <v>5.3873018330385881E-4</v>
      </c>
    </row>
    <row r="495" spans="1:11" ht="24" customHeight="1" x14ac:dyDescent="0.3">
      <c r="A495" s="489" t="s">
        <v>823</v>
      </c>
      <c r="B495" s="489" t="s">
        <v>1328</v>
      </c>
      <c r="C495" s="489" t="s">
        <v>1328</v>
      </c>
      <c r="D495" s="490" t="s">
        <v>521</v>
      </c>
      <c r="E495" s="490" t="s">
        <v>1328</v>
      </c>
      <c r="F495" s="499"/>
      <c r="G495" s="490"/>
      <c r="H495" s="489"/>
      <c r="I495" s="500"/>
      <c r="J495" s="357">
        <v>325616.7</v>
      </c>
      <c r="K495" s="492">
        <v>1.151152628704721E-2</v>
      </c>
    </row>
    <row r="496" spans="1:11" ht="39" customHeight="1" x14ac:dyDescent="0.3">
      <c r="A496" s="493" t="s">
        <v>824</v>
      </c>
      <c r="B496" s="493" t="s">
        <v>523</v>
      </c>
      <c r="C496" s="493" t="s">
        <v>243</v>
      </c>
      <c r="D496" s="494" t="s">
        <v>524</v>
      </c>
      <c r="E496" s="493" t="s">
        <v>268</v>
      </c>
      <c r="F496" s="495">
        <v>18.77</v>
      </c>
      <c r="G496" s="496">
        <v>262.95</v>
      </c>
      <c r="H496" s="497">
        <v>0.2122</v>
      </c>
      <c r="I496" s="495">
        <v>318.75</v>
      </c>
      <c r="J496" s="496">
        <v>5982.93</v>
      </c>
      <c r="K496" s="498">
        <v>2.1151450760530205E-4</v>
      </c>
    </row>
    <row r="497" spans="1:11" ht="39" customHeight="1" x14ac:dyDescent="0.3">
      <c r="A497" s="493" t="s">
        <v>825</v>
      </c>
      <c r="B497" s="493" t="s">
        <v>526</v>
      </c>
      <c r="C497" s="493" t="s">
        <v>32</v>
      </c>
      <c r="D497" s="494" t="s">
        <v>4442</v>
      </c>
      <c r="E497" s="493" t="s">
        <v>268</v>
      </c>
      <c r="F497" s="495">
        <v>3.03</v>
      </c>
      <c r="G497" s="496">
        <v>3512.27</v>
      </c>
      <c r="H497" s="497">
        <v>0.2122</v>
      </c>
      <c r="I497" s="495">
        <v>4257.57</v>
      </c>
      <c r="J497" s="496">
        <v>12900.43</v>
      </c>
      <c r="K497" s="498">
        <v>4.5606886581435295E-4</v>
      </c>
    </row>
    <row r="498" spans="1:11" ht="39" customHeight="1" x14ac:dyDescent="0.3">
      <c r="A498" s="493" t="s">
        <v>826</v>
      </c>
      <c r="B498" s="493" t="s">
        <v>506</v>
      </c>
      <c r="C498" s="493" t="s">
        <v>32</v>
      </c>
      <c r="D498" s="494" t="s">
        <v>507</v>
      </c>
      <c r="E498" s="493" t="s">
        <v>1332</v>
      </c>
      <c r="F498" s="495">
        <v>101.19</v>
      </c>
      <c r="G498" s="496">
        <v>133.38</v>
      </c>
      <c r="H498" s="497">
        <v>0.2122</v>
      </c>
      <c r="I498" s="495">
        <v>161.68</v>
      </c>
      <c r="J498" s="496">
        <v>16360.39</v>
      </c>
      <c r="K498" s="498">
        <v>5.7838882204550403E-4</v>
      </c>
    </row>
    <row r="499" spans="1:11" ht="39" customHeight="1" x14ac:dyDescent="0.3">
      <c r="A499" s="493" t="s">
        <v>827</v>
      </c>
      <c r="B499" s="493" t="s">
        <v>529</v>
      </c>
      <c r="C499" s="493" t="s">
        <v>32</v>
      </c>
      <c r="D499" s="494" t="s">
        <v>530</v>
      </c>
      <c r="E499" s="493" t="s">
        <v>268</v>
      </c>
      <c r="F499" s="495">
        <v>29.06</v>
      </c>
      <c r="G499" s="496">
        <v>430.64</v>
      </c>
      <c r="H499" s="497">
        <v>0.2122</v>
      </c>
      <c r="I499" s="495">
        <v>522.02</v>
      </c>
      <c r="J499" s="496">
        <v>15169.9</v>
      </c>
      <c r="K499" s="498">
        <v>5.3630143239544366E-4</v>
      </c>
    </row>
    <row r="500" spans="1:11" ht="39" customHeight="1" x14ac:dyDescent="0.3">
      <c r="A500" s="493" t="s">
        <v>828</v>
      </c>
      <c r="B500" s="493" t="s">
        <v>176</v>
      </c>
      <c r="C500" s="493" t="s">
        <v>32</v>
      </c>
      <c r="D500" s="494" t="s">
        <v>177</v>
      </c>
      <c r="E500" s="493" t="s">
        <v>268</v>
      </c>
      <c r="F500" s="495">
        <v>85.73</v>
      </c>
      <c r="G500" s="496">
        <v>470.06</v>
      </c>
      <c r="H500" s="497">
        <v>0.2122</v>
      </c>
      <c r="I500" s="495">
        <v>569.80999999999995</v>
      </c>
      <c r="J500" s="496">
        <v>48849.81</v>
      </c>
      <c r="K500" s="498">
        <v>1.7269871967017097E-3</v>
      </c>
    </row>
    <row r="501" spans="1:11" ht="39" customHeight="1" x14ac:dyDescent="0.3">
      <c r="A501" s="493" t="s">
        <v>829</v>
      </c>
      <c r="B501" s="493" t="s">
        <v>533</v>
      </c>
      <c r="C501" s="493" t="s">
        <v>125</v>
      </c>
      <c r="D501" s="494" t="s">
        <v>1368</v>
      </c>
      <c r="E501" s="493" t="s">
        <v>1332</v>
      </c>
      <c r="F501" s="495">
        <v>1050.3399999999999</v>
      </c>
      <c r="G501" s="496">
        <v>77.569999999999993</v>
      </c>
      <c r="H501" s="497">
        <v>0.2122</v>
      </c>
      <c r="I501" s="495">
        <v>94.03</v>
      </c>
      <c r="J501" s="496">
        <v>98763.47</v>
      </c>
      <c r="K501" s="498">
        <v>3.491584679486643E-3</v>
      </c>
    </row>
    <row r="502" spans="1:11" ht="39" customHeight="1" x14ac:dyDescent="0.3">
      <c r="A502" s="493" t="s">
        <v>830</v>
      </c>
      <c r="B502" s="493" t="s">
        <v>180</v>
      </c>
      <c r="C502" s="493" t="s">
        <v>32</v>
      </c>
      <c r="D502" s="494" t="s">
        <v>181</v>
      </c>
      <c r="E502" s="493" t="s">
        <v>268</v>
      </c>
      <c r="F502" s="495">
        <v>114.79</v>
      </c>
      <c r="G502" s="496">
        <v>326.63</v>
      </c>
      <c r="H502" s="497">
        <v>0.2122</v>
      </c>
      <c r="I502" s="495">
        <v>395.94</v>
      </c>
      <c r="J502" s="496">
        <v>45449.95</v>
      </c>
      <c r="K502" s="498">
        <v>1.6067919556029566E-3</v>
      </c>
    </row>
    <row r="503" spans="1:11" ht="39" customHeight="1" x14ac:dyDescent="0.3">
      <c r="A503" s="493" t="s">
        <v>831</v>
      </c>
      <c r="B503" s="493" t="s">
        <v>503</v>
      </c>
      <c r="C503" s="493" t="s">
        <v>125</v>
      </c>
      <c r="D503" s="494" t="s">
        <v>537</v>
      </c>
      <c r="E503" s="493" t="s">
        <v>1369</v>
      </c>
      <c r="F503" s="495">
        <v>3969.37</v>
      </c>
      <c r="G503" s="496">
        <v>12.15</v>
      </c>
      <c r="H503" s="497">
        <v>0.2122</v>
      </c>
      <c r="I503" s="495">
        <v>14.73</v>
      </c>
      <c r="J503" s="496">
        <v>58468.82</v>
      </c>
      <c r="K503" s="498">
        <v>2.0670480304070139E-3</v>
      </c>
    </row>
    <row r="504" spans="1:11" ht="39" customHeight="1" x14ac:dyDescent="0.3">
      <c r="A504" s="493" t="s">
        <v>832</v>
      </c>
      <c r="B504" s="493" t="s">
        <v>539</v>
      </c>
      <c r="C504" s="493" t="s">
        <v>32</v>
      </c>
      <c r="D504" s="494" t="s">
        <v>540</v>
      </c>
      <c r="E504" s="493" t="s">
        <v>194</v>
      </c>
      <c r="F504" s="495">
        <v>49.99</v>
      </c>
      <c r="G504" s="496">
        <v>300.54000000000002</v>
      </c>
      <c r="H504" s="497">
        <v>0.2122</v>
      </c>
      <c r="I504" s="495">
        <v>364.31</v>
      </c>
      <c r="J504" s="496">
        <v>18211.849999999999</v>
      </c>
      <c r="K504" s="498">
        <v>6.4384348226230622E-4</v>
      </c>
    </row>
    <row r="505" spans="1:11" ht="39" customHeight="1" x14ac:dyDescent="0.3">
      <c r="A505" s="493" t="s">
        <v>833</v>
      </c>
      <c r="B505" s="493" t="s">
        <v>542</v>
      </c>
      <c r="C505" s="493" t="s">
        <v>32</v>
      </c>
      <c r="D505" s="494" t="s">
        <v>543</v>
      </c>
      <c r="E505" s="493" t="s">
        <v>268</v>
      </c>
      <c r="F505" s="495">
        <v>264.11</v>
      </c>
      <c r="G505" s="496">
        <v>17.05</v>
      </c>
      <c r="H505" s="497">
        <v>0.2122</v>
      </c>
      <c r="I505" s="495">
        <v>20.67</v>
      </c>
      <c r="J505" s="496">
        <v>5459.15</v>
      </c>
      <c r="K505" s="498">
        <v>1.9299731472597617E-4</v>
      </c>
    </row>
    <row r="506" spans="1:11" ht="24" customHeight="1" x14ac:dyDescent="0.3">
      <c r="A506" s="489" t="s">
        <v>834</v>
      </c>
      <c r="B506" s="489" t="s">
        <v>1328</v>
      </c>
      <c r="C506" s="489" t="s">
        <v>1328</v>
      </c>
      <c r="D506" s="490" t="s">
        <v>545</v>
      </c>
      <c r="E506" s="490" t="s">
        <v>1328</v>
      </c>
      <c r="F506" s="499"/>
      <c r="G506" s="490"/>
      <c r="H506" s="489"/>
      <c r="I506" s="500"/>
      <c r="J506" s="357">
        <v>11905.39</v>
      </c>
      <c r="K506" s="492">
        <v>4.2089121946923782E-4</v>
      </c>
    </row>
    <row r="507" spans="1:11" ht="39" customHeight="1" x14ac:dyDescent="0.3">
      <c r="A507" s="493" t="s">
        <v>835</v>
      </c>
      <c r="B507" s="493" t="s">
        <v>547</v>
      </c>
      <c r="C507" s="493" t="s">
        <v>197</v>
      </c>
      <c r="D507" s="494" t="s">
        <v>548</v>
      </c>
      <c r="E507" s="493" t="s">
        <v>194</v>
      </c>
      <c r="F507" s="495">
        <v>1892.75</v>
      </c>
      <c r="G507" s="496">
        <v>5.19</v>
      </c>
      <c r="H507" s="497">
        <v>0.2122</v>
      </c>
      <c r="I507" s="495">
        <v>6.29</v>
      </c>
      <c r="J507" s="496">
        <v>11905.39</v>
      </c>
      <c r="K507" s="498">
        <v>4.2089121946923782E-4</v>
      </c>
    </row>
    <row r="508" spans="1:11" ht="24" customHeight="1" x14ac:dyDescent="0.3">
      <c r="A508" s="489" t="s">
        <v>836</v>
      </c>
      <c r="B508" s="489" t="s">
        <v>1328</v>
      </c>
      <c r="C508" s="489" t="s">
        <v>1328</v>
      </c>
      <c r="D508" s="490" t="s">
        <v>837</v>
      </c>
      <c r="E508" s="490" t="s">
        <v>1328</v>
      </c>
      <c r="F508" s="499"/>
      <c r="G508" s="490"/>
      <c r="H508" s="489"/>
      <c r="I508" s="500"/>
      <c r="J508" s="357">
        <v>11233.990000000002</v>
      </c>
      <c r="K508" s="492">
        <v>3.9715521714158239E-4</v>
      </c>
    </row>
    <row r="509" spans="1:11" ht="39" customHeight="1" x14ac:dyDescent="0.3">
      <c r="A509" s="493" t="s">
        <v>838</v>
      </c>
      <c r="B509" s="493" t="s">
        <v>839</v>
      </c>
      <c r="C509" s="493" t="s">
        <v>32</v>
      </c>
      <c r="D509" s="494" t="s">
        <v>4445</v>
      </c>
      <c r="E509" s="493" t="s">
        <v>1332</v>
      </c>
      <c r="F509" s="495">
        <v>107.07</v>
      </c>
      <c r="G509" s="496">
        <v>4.9800000000000004</v>
      </c>
      <c r="H509" s="497">
        <v>0.2122</v>
      </c>
      <c r="I509" s="495">
        <v>6.04</v>
      </c>
      <c r="J509" s="496">
        <v>646.70000000000005</v>
      </c>
      <c r="K509" s="498">
        <v>2.286278329653679E-5</v>
      </c>
    </row>
    <row r="510" spans="1:11" ht="39" customHeight="1" x14ac:dyDescent="0.3">
      <c r="A510" s="493" t="s">
        <v>840</v>
      </c>
      <c r="B510" s="493" t="s">
        <v>841</v>
      </c>
      <c r="C510" s="493" t="s">
        <v>842</v>
      </c>
      <c r="D510" s="494" t="s">
        <v>843</v>
      </c>
      <c r="E510" s="493" t="s">
        <v>268</v>
      </c>
      <c r="F510" s="495">
        <v>39.020000000000003</v>
      </c>
      <c r="G510" s="496">
        <v>223.83</v>
      </c>
      <c r="H510" s="497">
        <v>0.2122</v>
      </c>
      <c r="I510" s="495">
        <v>271.33</v>
      </c>
      <c r="J510" s="496">
        <v>10587.29</v>
      </c>
      <c r="K510" s="498">
        <v>3.7429243384504558E-4</v>
      </c>
    </row>
    <row r="511" spans="1:11" ht="24" customHeight="1" x14ac:dyDescent="0.3">
      <c r="A511" s="489" t="s">
        <v>844</v>
      </c>
      <c r="B511" s="489" t="s">
        <v>1328</v>
      </c>
      <c r="C511" s="489" t="s">
        <v>1328</v>
      </c>
      <c r="D511" s="490" t="s">
        <v>605</v>
      </c>
      <c r="E511" s="490" t="s">
        <v>1328</v>
      </c>
      <c r="F511" s="499"/>
      <c r="G511" s="490"/>
      <c r="H511" s="489"/>
      <c r="I511" s="500"/>
      <c r="J511" s="357">
        <v>10875.4</v>
      </c>
      <c r="K511" s="492">
        <v>3.8447798587158829E-4</v>
      </c>
    </row>
    <row r="512" spans="1:11" ht="24" customHeight="1" x14ac:dyDescent="0.3">
      <c r="A512" s="489" t="s">
        <v>845</v>
      </c>
      <c r="B512" s="489" t="s">
        <v>1328</v>
      </c>
      <c r="C512" s="489" t="s">
        <v>1328</v>
      </c>
      <c r="D512" s="490" t="s">
        <v>607</v>
      </c>
      <c r="E512" s="490" t="s">
        <v>1328</v>
      </c>
      <c r="F512" s="499"/>
      <c r="G512" s="490"/>
      <c r="H512" s="489"/>
      <c r="I512" s="500"/>
      <c r="J512" s="357">
        <v>2723.2</v>
      </c>
      <c r="K512" s="492">
        <v>9.6273282005766156E-5</v>
      </c>
    </row>
    <row r="513" spans="1:11" ht="39" customHeight="1" x14ac:dyDescent="0.3">
      <c r="A513" s="493" t="s">
        <v>846</v>
      </c>
      <c r="B513" s="493" t="s">
        <v>609</v>
      </c>
      <c r="C513" s="493" t="s">
        <v>221</v>
      </c>
      <c r="D513" s="494" t="s">
        <v>610</v>
      </c>
      <c r="E513" s="493" t="s">
        <v>89</v>
      </c>
      <c r="F513" s="495">
        <v>64</v>
      </c>
      <c r="G513" s="496">
        <v>35.1</v>
      </c>
      <c r="H513" s="497">
        <v>0.2122</v>
      </c>
      <c r="I513" s="495">
        <v>42.55</v>
      </c>
      <c r="J513" s="496">
        <v>2723.2</v>
      </c>
      <c r="K513" s="498">
        <v>9.6273282005766156E-5</v>
      </c>
    </row>
    <row r="514" spans="1:11" ht="24" customHeight="1" x14ac:dyDescent="0.3">
      <c r="A514" s="489" t="s">
        <v>847</v>
      </c>
      <c r="B514" s="489" t="s">
        <v>1328</v>
      </c>
      <c r="C514" s="489" t="s">
        <v>1328</v>
      </c>
      <c r="D514" s="490" t="s">
        <v>612</v>
      </c>
      <c r="E514" s="490" t="s">
        <v>1328</v>
      </c>
      <c r="F514" s="499"/>
      <c r="G514" s="490"/>
      <c r="H514" s="489"/>
      <c r="I514" s="500"/>
      <c r="J514" s="357">
        <v>8152.2</v>
      </c>
      <c r="K514" s="492">
        <v>2.8820470386582215E-4</v>
      </c>
    </row>
    <row r="515" spans="1:11" ht="39" customHeight="1" x14ac:dyDescent="0.3">
      <c r="A515" s="493" t="s">
        <v>848</v>
      </c>
      <c r="B515" s="493" t="s">
        <v>614</v>
      </c>
      <c r="C515" s="493" t="s">
        <v>243</v>
      </c>
      <c r="D515" s="494" t="s">
        <v>615</v>
      </c>
      <c r="E515" s="493" t="s">
        <v>89</v>
      </c>
      <c r="F515" s="495">
        <v>35</v>
      </c>
      <c r="G515" s="496">
        <v>165.13</v>
      </c>
      <c r="H515" s="497">
        <v>0.2122</v>
      </c>
      <c r="I515" s="495">
        <v>200.17</v>
      </c>
      <c r="J515" s="496">
        <v>7005.95</v>
      </c>
      <c r="K515" s="498">
        <v>2.4768133081238891E-4</v>
      </c>
    </row>
    <row r="516" spans="1:11" ht="39" customHeight="1" x14ac:dyDescent="0.3">
      <c r="A516" s="493" t="s">
        <v>849</v>
      </c>
      <c r="B516" s="493" t="s">
        <v>617</v>
      </c>
      <c r="C516" s="493" t="s">
        <v>243</v>
      </c>
      <c r="D516" s="494" t="s">
        <v>618</v>
      </c>
      <c r="E516" s="493" t="s">
        <v>89</v>
      </c>
      <c r="F516" s="495">
        <v>35</v>
      </c>
      <c r="G516" s="496">
        <v>27.02</v>
      </c>
      <c r="H516" s="497">
        <v>0.2122</v>
      </c>
      <c r="I516" s="495">
        <v>32.75</v>
      </c>
      <c r="J516" s="496">
        <v>1146.25</v>
      </c>
      <c r="K516" s="498">
        <v>4.0523373053433263E-5</v>
      </c>
    </row>
    <row r="517" spans="1:11" ht="24" customHeight="1" x14ac:dyDescent="0.3">
      <c r="A517" s="489" t="s">
        <v>850</v>
      </c>
      <c r="B517" s="489" t="s">
        <v>1328</v>
      </c>
      <c r="C517" s="489" t="s">
        <v>1328</v>
      </c>
      <c r="D517" s="490" t="s">
        <v>620</v>
      </c>
      <c r="E517" s="490" t="s">
        <v>1328</v>
      </c>
      <c r="F517" s="499"/>
      <c r="G517" s="490"/>
      <c r="H517" s="489"/>
      <c r="I517" s="500"/>
      <c r="J517" s="357">
        <v>7738.6200000000017</v>
      </c>
      <c r="K517" s="492">
        <v>2.7358341127917975E-4</v>
      </c>
    </row>
    <row r="518" spans="1:11" ht="39" customHeight="1" x14ac:dyDescent="0.3">
      <c r="A518" s="493" t="s">
        <v>851</v>
      </c>
      <c r="B518" s="493" t="s">
        <v>203</v>
      </c>
      <c r="C518" s="493" t="s">
        <v>197</v>
      </c>
      <c r="D518" s="494" t="s">
        <v>204</v>
      </c>
      <c r="E518" s="493" t="s">
        <v>194</v>
      </c>
      <c r="F518" s="495">
        <v>28.799999999999997</v>
      </c>
      <c r="G518" s="496">
        <v>3.25</v>
      </c>
      <c r="H518" s="497">
        <v>0.2122</v>
      </c>
      <c r="I518" s="495">
        <v>3.94</v>
      </c>
      <c r="J518" s="496">
        <v>113.47</v>
      </c>
      <c r="K518" s="498">
        <v>4.0115045935642947E-6</v>
      </c>
    </row>
    <row r="519" spans="1:11" ht="39" customHeight="1" x14ac:dyDescent="0.3">
      <c r="A519" s="493" t="s">
        <v>852</v>
      </c>
      <c r="B519" s="493" t="s">
        <v>226</v>
      </c>
      <c r="C519" s="493" t="s">
        <v>32</v>
      </c>
      <c r="D519" s="494" t="s">
        <v>4227</v>
      </c>
      <c r="E519" s="493" t="s">
        <v>1332</v>
      </c>
      <c r="F519" s="495">
        <v>12.959999999999997</v>
      </c>
      <c r="G519" s="496">
        <v>22.73</v>
      </c>
      <c r="H519" s="497">
        <v>0.2122</v>
      </c>
      <c r="I519" s="495">
        <v>27.55</v>
      </c>
      <c r="J519" s="496">
        <v>357.04</v>
      </c>
      <c r="K519" s="498">
        <v>1.2622434124316523E-5</v>
      </c>
    </row>
    <row r="520" spans="1:11" ht="62.5" x14ac:dyDescent="0.3">
      <c r="A520" s="493" t="s">
        <v>853</v>
      </c>
      <c r="B520" s="493" t="s">
        <v>303</v>
      </c>
      <c r="C520" s="493" t="s">
        <v>32</v>
      </c>
      <c r="D520" s="494" t="s">
        <v>4419</v>
      </c>
      <c r="E520" s="493" t="s">
        <v>268</v>
      </c>
      <c r="F520" s="495">
        <v>0.61559999999999993</v>
      </c>
      <c r="G520" s="496">
        <v>9.31</v>
      </c>
      <c r="H520" s="497">
        <v>0.2122</v>
      </c>
      <c r="I520" s="495">
        <v>11.29</v>
      </c>
      <c r="J520" s="496">
        <v>6.95</v>
      </c>
      <c r="K520" s="498">
        <v>2.4570333061841764E-7</v>
      </c>
    </row>
    <row r="521" spans="1:11" ht="62.5" x14ac:dyDescent="0.3">
      <c r="A521" s="493" t="s">
        <v>854</v>
      </c>
      <c r="B521" s="493" t="s">
        <v>305</v>
      </c>
      <c r="C521" s="493" t="s">
        <v>32</v>
      </c>
      <c r="D521" s="494" t="s">
        <v>4420</v>
      </c>
      <c r="E521" s="493" t="s">
        <v>268</v>
      </c>
      <c r="F521" s="495">
        <v>16.718399999999999</v>
      </c>
      <c r="G521" s="496">
        <v>8.6999999999999993</v>
      </c>
      <c r="H521" s="497">
        <v>0.2122</v>
      </c>
      <c r="I521" s="495">
        <v>10.55</v>
      </c>
      <c r="J521" s="496">
        <v>176.37</v>
      </c>
      <c r="K521" s="498">
        <v>6.2352081181540025E-6</v>
      </c>
    </row>
    <row r="522" spans="1:11" ht="39" customHeight="1" x14ac:dyDescent="0.3">
      <c r="A522" s="493" t="s">
        <v>855</v>
      </c>
      <c r="B522" s="493" t="s">
        <v>539</v>
      </c>
      <c r="C522" s="493" t="s">
        <v>32</v>
      </c>
      <c r="D522" s="494" t="s">
        <v>540</v>
      </c>
      <c r="E522" s="493" t="s">
        <v>194</v>
      </c>
      <c r="F522" s="495">
        <v>5.3499999999999988</v>
      </c>
      <c r="G522" s="496">
        <v>300.54000000000002</v>
      </c>
      <c r="H522" s="497">
        <v>0.2122</v>
      </c>
      <c r="I522" s="495">
        <v>364.31</v>
      </c>
      <c r="J522" s="496">
        <v>1949.05</v>
      </c>
      <c r="K522" s="498">
        <v>6.8904759214651341E-5</v>
      </c>
    </row>
    <row r="523" spans="1:11" ht="39" customHeight="1" x14ac:dyDescent="0.3">
      <c r="A523" s="493" t="s">
        <v>856</v>
      </c>
      <c r="B523" s="493" t="s">
        <v>627</v>
      </c>
      <c r="C523" s="493" t="s">
        <v>221</v>
      </c>
      <c r="D523" s="494" t="s">
        <v>628</v>
      </c>
      <c r="E523" s="493" t="s">
        <v>89</v>
      </c>
      <c r="F523" s="495">
        <v>4</v>
      </c>
      <c r="G523" s="496">
        <v>541.14</v>
      </c>
      <c r="H523" s="497">
        <v>0.2122</v>
      </c>
      <c r="I523" s="495">
        <v>655.97</v>
      </c>
      <c r="J523" s="496">
        <v>2623.88</v>
      </c>
      <c r="K523" s="498">
        <v>9.2762022322741532E-5</v>
      </c>
    </row>
    <row r="524" spans="1:11" ht="39" customHeight="1" x14ac:dyDescent="0.3">
      <c r="A524" s="493" t="s">
        <v>857</v>
      </c>
      <c r="B524" s="493" t="s">
        <v>386</v>
      </c>
      <c r="C524" s="493" t="s">
        <v>4210</v>
      </c>
      <c r="D524" s="494" t="s">
        <v>387</v>
      </c>
      <c r="E524" s="493" t="s">
        <v>268</v>
      </c>
      <c r="F524" s="495">
        <v>0.35487079934123017</v>
      </c>
      <c r="G524" s="496">
        <v>124.59</v>
      </c>
      <c r="H524" s="497">
        <v>0.2122</v>
      </c>
      <c r="I524" s="495">
        <v>151.03</v>
      </c>
      <c r="J524" s="496">
        <v>53.59</v>
      </c>
      <c r="K524" s="498">
        <v>1.8945671205526619E-6</v>
      </c>
    </row>
    <row r="525" spans="1:11" ht="39" customHeight="1" x14ac:dyDescent="0.3">
      <c r="A525" s="493" t="s">
        <v>858</v>
      </c>
      <c r="B525" s="493" t="s">
        <v>369</v>
      </c>
      <c r="C525" s="493" t="s">
        <v>4210</v>
      </c>
      <c r="D525" s="494" t="s">
        <v>370</v>
      </c>
      <c r="E525" s="493" t="s">
        <v>1332</v>
      </c>
      <c r="F525" s="495">
        <v>11.829026644707675</v>
      </c>
      <c r="G525" s="496">
        <v>0.28000000000000003</v>
      </c>
      <c r="H525" s="497">
        <v>0.2122</v>
      </c>
      <c r="I525" s="495">
        <v>0.34</v>
      </c>
      <c r="J525" s="496">
        <v>4.0199999999999996</v>
      </c>
      <c r="K525" s="498">
        <v>1.421190487893581E-7</v>
      </c>
    </row>
    <row r="526" spans="1:11" ht="39" customHeight="1" x14ac:dyDescent="0.3">
      <c r="A526" s="493" t="s">
        <v>859</v>
      </c>
      <c r="B526" s="493" t="s">
        <v>376</v>
      </c>
      <c r="C526" s="493" t="s">
        <v>4210</v>
      </c>
      <c r="D526" s="494" t="s">
        <v>377</v>
      </c>
      <c r="E526" s="493" t="s">
        <v>1332</v>
      </c>
      <c r="F526" s="495">
        <v>11.829026644707675</v>
      </c>
      <c r="G526" s="496">
        <v>0.4</v>
      </c>
      <c r="H526" s="497">
        <v>0.2122</v>
      </c>
      <c r="I526" s="495">
        <v>0.48</v>
      </c>
      <c r="J526" s="496">
        <v>5.67</v>
      </c>
      <c r="K526" s="498">
        <v>2.0045149418797524E-7</v>
      </c>
    </row>
    <row r="527" spans="1:11" ht="39" customHeight="1" x14ac:dyDescent="0.3">
      <c r="A527" s="493" t="s">
        <v>860</v>
      </c>
      <c r="B527" s="493" t="s">
        <v>366</v>
      </c>
      <c r="C527" s="493" t="s">
        <v>125</v>
      </c>
      <c r="D527" s="494" t="s">
        <v>4232</v>
      </c>
      <c r="E527" s="493" t="s">
        <v>268</v>
      </c>
      <c r="F527" s="495">
        <v>1.7743539967061512</v>
      </c>
      <c r="G527" s="496">
        <v>208.42</v>
      </c>
      <c r="H527" s="497">
        <v>0.2122</v>
      </c>
      <c r="I527" s="495">
        <v>252.65</v>
      </c>
      <c r="J527" s="496">
        <v>448.29</v>
      </c>
      <c r="K527" s="498">
        <v>1.5848395119846104E-5</v>
      </c>
    </row>
    <row r="528" spans="1:11" ht="39" customHeight="1" x14ac:dyDescent="0.3">
      <c r="A528" s="493" t="s">
        <v>861</v>
      </c>
      <c r="B528" s="493" t="s">
        <v>363</v>
      </c>
      <c r="C528" s="493" t="s">
        <v>4210</v>
      </c>
      <c r="D528" s="494" t="s">
        <v>364</v>
      </c>
      <c r="E528" s="493" t="s">
        <v>268</v>
      </c>
      <c r="F528" s="495">
        <v>1.4490557639766901</v>
      </c>
      <c r="G528" s="496">
        <v>15.45</v>
      </c>
      <c r="H528" s="497">
        <v>0.2122</v>
      </c>
      <c r="I528" s="495">
        <v>18.73</v>
      </c>
      <c r="J528" s="496">
        <v>27.14</v>
      </c>
      <c r="K528" s="498">
        <v>9.5948034431422354E-7</v>
      </c>
    </row>
    <row r="529" spans="1:11" ht="39" customHeight="1" x14ac:dyDescent="0.3">
      <c r="A529" s="493" t="s">
        <v>862</v>
      </c>
      <c r="B529" s="493" t="s">
        <v>4234</v>
      </c>
      <c r="C529" s="493" t="s">
        <v>4235</v>
      </c>
      <c r="D529" s="494" t="s">
        <v>4430</v>
      </c>
      <c r="E529" s="493" t="s">
        <v>268</v>
      </c>
      <c r="F529" s="495">
        <v>12.59791337661367</v>
      </c>
      <c r="G529" s="496">
        <v>56.12</v>
      </c>
      <c r="H529" s="497">
        <v>0.2122</v>
      </c>
      <c r="I529" s="495">
        <v>68.03</v>
      </c>
      <c r="J529" s="496">
        <v>857.03</v>
      </c>
      <c r="K529" s="498">
        <v>3.0298579199985964E-5</v>
      </c>
    </row>
    <row r="530" spans="1:11" ht="39" customHeight="1" x14ac:dyDescent="0.3">
      <c r="A530" s="493" t="s">
        <v>863</v>
      </c>
      <c r="B530" s="493" t="s">
        <v>576</v>
      </c>
      <c r="C530" s="493" t="s">
        <v>125</v>
      </c>
      <c r="D530" s="494" t="s">
        <v>1898</v>
      </c>
      <c r="E530" s="493" t="s">
        <v>268</v>
      </c>
      <c r="F530" s="495">
        <v>12.59791337661367</v>
      </c>
      <c r="G530" s="496">
        <v>8.59</v>
      </c>
      <c r="H530" s="497">
        <v>0.2122</v>
      </c>
      <c r="I530" s="495">
        <v>10.41</v>
      </c>
      <c r="J530" s="496">
        <v>131.13999999999999</v>
      </c>
      <c r="K530" s="498">
        <v>4.6361920542876667E-6</v>
      </c>
    </row>
    <row r="531" spans="1:11" ht="50" x14ac:dyDescent="0.3">
      <c r="A531" s="493" t="s">
        <v>864</v>
      </c>
      <c r="B531" s="493" t="s">
        <v>116</v>
      </c>
      <c r="C531" s="493" t="s">
        <v>32</v>
      </c>
      <c r="D531" s="494" t="s">
        <v>117</v>
      </c>
      <c r="E531" s="493" t="s">
        <v>268</v>
      </c>
      <c r="F531" s="495">
        <v>0.38879999999999992</v>
      </c>
      <c r="G531" s="496">
        <v>8.81</v>
      </c>
      <c r="H531" s="497">
        <v>0.2122</v>
      </c>
      <c r="I531" s="495">
        <v>10.68</v>
      </c>
      <c r="J531" s="496">
        <v>4.1500000000000004</v>
      </c>
      <c r="K531" s="498">
        <v>1.4671493842682492E-7</v>
      </c>
    </row>
    <row r="532" spans="1:11" ht="50" x14ac:dyDescent="0.3">
      <c r="A532" s="493" t="s">
        <v>865</v>
      </c>
      <c r="B532" s="493" t="s">
        <v>127</v>
      </c>
      <c r="C532" s="493" t="s">
        <v>32</v>
      </c>
      <c r="D532" s="494" t="s">
        <v>128</v>
      </c>
      <c r="E532" s="493" t="s">
        <v>268</v>
      </c>
      <c r="F532" s="495">
        <v>3.28703085940964</v>
      </c>
      <c r="G532" s="496">
        <v>6.53</v>
      </c>
      <c r="H532" s="497">
        <v>0.2122</v>
      </c>
      <c r="I532" s="495">
        <v>7.92</v>
      </c>
      <c r="J532" s="496">
        <v>26.03</v>
      </c>
      <c r="K532" s="498">
        <v>9.2023851740969941E-7</v>
      </c>
    </row>
    <row r="533" spans="1:11" ht="39" customHeight="1" x14ac:dyDescent="0.3">
      <c r="A533" s="493" t="s">
        <v>866</v>
      </c>
      <c r="B533" s="493" t="s">
        <v>119</v>
      </c>
      <c r="C533" s="493" t="s">
        <v>32</v>
      </c>
      <c r="D533" s="494" t="s">
        <v>120</v>
      </c>
      <c r="E533" s="493" t="s">
        <v>121</v>
      </c>
      <c r="F533" s="495">
        <v>110.2749257822892</v>
      </c>
      <c r="G533" s="496">
        <v>2.1</v>
      </c>
      <c r="H533" s="497">
        <v>0.2122</v>
      </c>
      <c r="I533" s="495">
        <v>2.5499999999999998</v>
      </c>
      <c r="J533" s="496">
        <v>281.2</v>
      </c>
      <c r="K533" s="498">
        <v>9.9412628158128106E-6</v>
      </c>
    </row>
    <row r="534" spans="1:11" ht="39" customHeight="1" x14ac:dyDescent="0.3">
      <c r="A534" s="493" t="s">
        <v>867</v>
      </c>
      <c r="B534" s="493" t="s">
        <v>122</v>
      </c>
      <c r="C534" s="493" t="s">
        <v>32</v>
      </c>
      <c r="D534" s="494" t="s">
        <v>123</v>
      </c>
      <c r="E534" s="493" t="s">
        <v>121</v>
      </c>
      <c r="F534" s="495">
        <v>64.094078203616888</v>
      </c>
      <c r="G534" s="496">
        <v>0.85</v>
      </c>
      <c r="H534" s="497">
        <v>0.2122</v>
      </c>
      <c r="I534" s="495">
        <v>1.03</v>
      </c>
      <c r="J534" s="496">
        <v>66.010000000000005</v>
      </c>
      <c r="K534" s="498">
        <v>2.3336513459167982E-6</v>
      </c>
    </row>
    <row r="535" spans="1:11" ht="39" customHeight="1" x14ac:dyDescent="0.3">
      <c r="A535" s="493" t="s">
        <v>868</v>
      </c>
      <c r="B535" s="493" t="s">
        <v>389</v>
      </c>
      <c r="C535" s="493" t="s">
        <v>4210</v>
      </c>
      <c r="D535" s="494" t="s">
        <v>390</v>
      </c>
      <c r="E535" s="493" t="s">
        <v>381</v>
      </c>
      <c r="F535" s="495">
        <v>0.85168991841895236</v>
      </c>
      <c r="G535" s="496">
        <v>188.17</v>
      </c>
      <c r="H535" s="497">
        <v>0.2122</v>
      </c>
      <c r="I535" s="495">
        <v>228.1</v>
      </c>
      <c r="J535" s="496">
        <v>194.27</v>
      </c>
      <c r="K535" s="498">
        <v>6.8680267682359697E-6</v>
      </c>
    </row>
    <row r="536" spans="1:11" ht="39" customHeight="1" x14ac:dyDescent="0.3">
      <c r="A536" s="493" t="s">
        <v>869</v>
      </c>
      <c r="B536" s="493" t="s">
        <v>392</v>
      </c>
      <c r="C536" s="493" t="s">
        <v>4210</v>
      </c>
      <c r="D536" s="494" t="s">
        <v>393</v>
      </c>
      <c r="E536" s="493" t="s">
        <v>381</v>
      </c>
      <c r="F536" s="495">
        <v>5.385235354163035E-2</v>
      </c>
      <c r="G536" s="496">
        <v>5274.22</v>
      </c>
      <c r="H536" s="497">
        <v>0.111</v>
      </c>
      <c r="I536" s="495">
        <v>5859.66</v>
      </c>
      <c r="J536" s="496">
        <v>315.55</v>
      </c>
      <c r="K536" s="498">
        <v>1.1155638270020386E-5</v>
      </c>
    </row>
    <row r="537" spans="1:11" ht="39" customHeight="1" x14ac:dyDescent="0.3">
      <c r="A537" s="493" t="s">
        <v>870</v>
      </c>
      <c r="B537" s="493" t="s">
        <v>372</v>
      </c>
      <c r="C537" s="493" t="s">
        <v>4210</v>
      </c>
      <c r="D537" s="494" t="s">
        <v>373</v>
      </c>
      <c r="E537" s="493" t="s">
        <v>381</v>
      </c>
      <c r="F537" s="495">
        <v>5.3230619901184538E-3</v>
      </c>
      <c r="G537" s="496">
        <v>4033.08</v>
      </c>
      <c r="H537" s="497">
        <v>0.111</v>
      </c>
      <c r="I537" s="495">
        <v>4480.75</v>
      </c>
      <c r="J537" s="496">
        <v>23.85</v>
      </c>
      <c r="K537" s="498">
        <v>8.431689834891022E-7</v>
      </c>
    </row>
    <row r="538" spans="1:11" ht="39" customHeight="1" x14ac:dyDescent="0.3">
      <c r="A538" s="493" t="s">
        <v>871</v>
      </c>
      <c r="B538" s="493" t="s">
        <v>379</v>
      </c>
      <c r="C538" s="493" t="s">
        <v>4210</v>
      </c>
      <c r="D538" s="494" t="s">
        <v>380</v>
      </c>
      <c r="E538" s="493" t="s">
        <v>381</v>
      </c>
      <c r="F538" s="495">
        <v>1.5377734638119976E-2</v>
      </c>
      <c r="G538" s="496">
        <v>4291.21</v>
      </c>
      <c r="H538" s="497">
        <v>0.111</v>
      </c>
      <c r="I538" s="495">
        <v>4767.53</v>
      </c>
      <c r="J538" s="496">
        <v>73.31</v>
      </c>
      <c r="K538" s="498">
        <v>2.5917282255591649E-6</v>
      </c>
    </row>
    <row r="539" spans="1:11" ht="39" customHeight="1" x14ac:dyDescent="0.3">
      <c r="A539" s="493" t="s">
        <v>872</v>
      </c>
      <c r="B539" s="493" t="s">
        <v>383</v>
      </c>
      <c r="C539" s="493" t="s">
        <v>125</v>
      </c>
      <c r="D539" s="494" t="s">
        <v>4233</v>
      </c>
      <c r="E539" s="493" t="s">
        <v>1369</v>
      </c>
      <c r="F539" s="495">
        <v>1.0143390347836829</v>
      </c>
      <c r="G539" s="496">
        <v>0.54959999999999998</v>
      </c>
      <c r="H539" s="497">
        <v>0.111</v>
      </c>
      <c r="I539" s="495">
        <v>0.61</v>
      </c>
      <c r="J539" s="496">
        <v>0.61</v>
      </c>
      <c r="K539" s="498">
        <v>2.1565328298882696E-8</v>
      </c>
    </row>
    <row r="540" spans="1:11" ht="24" customHeight="1" x14ac:dyDescent="0.3">
      <c r="A540" s="489">
        <v>6</v>
      </c>
      <c r="B540" s="489" t="s">
        <v>1328</v>
      </c>
      <c r="C540" s="489" t="s">
        <v>1328</v>
      </c>
      <c r="D540" s="490" t="s">
        <v>873</v>
      </c>
      <c r="E540" s="490" t="s">
        <v>1328</v>
      </c>
      <c r="F540" s="499"/>
      <c r="G540" s="490"/>
      <c r="H540" s="489"/>
      <c r="I540" s="500"/>
      <c r="J540" s="357">
        <v>2204000.6299999994</v>
      </c>
      <c r="K540" s="492">
        <v>7.7918028126056194E-2</v>
      </c>
    </row>
    <row r="541" spans="1:11" ht="24" customHeight="1" x14ac:dyDescent="0.3">
      <c r="A541" s="489" t="s">
        <v>874</v>
      </c>
      <c r="B541" s="489" t="s">
        <v>1328</v>
      </c>
      <c r="C541" s="489" t="s">
        <v>1328</v>
      </c>
      <c r="D541" s="490" t="s">
        <v>184</v>
      </c>
      <c r="E541" s="490" t="s">
        <v>1328</v>
      </c>
      <c r="F541" s="499"/>
      <c r="G541" s="490"/>
      <c r="H541" s="489"/>
      <c r="I541" s="500"/>
      <c r="J541" s="357">
        <v>1430180.19</v>
      </c>
      <c r="K541" s="492">
        <v>5.0561156268702348E-2</v>
      </c>
    </row>
    <row r="542" spans="1:11" ht="24" customHeight="1" x14ac:dyDescent="0.3">
      <c r="A542" s="489" t="s">
        <v>875</v>
      </c>
      <c r="B542" s="489" t="s">
        <v>1328</v>
      </c>
      <c r="C542" s="489" t="s">
        <v>1328</v>
      </c>
      <c r="D542" s="490" t="s">
        <v>186</v>
      </c>
      <c r="E542" s="490" t="s">
        <v>1328</v>
      </c>
      <c r="F542" s="499"/>
      <c r="G542" s="490"/>
      <c r="H542" s="489"/>
      <c r="I542" s="500"/>
      <c r="J542" s="357">
        <v>180415.19000000003</v>
      </c>
      <c r="K542" s="492">
        <v>6.3782177089431137E-3</v>
      </c>
    </row>
    <row r="543" spans="1:11" ht="24" customHeight="1" x14ac:dyDescent="0.3">
      <c r="A543" s="489" t="s">
        <v>876</v>
      </c>
      <c r="B543" s="489" t="s">
        <v>1328</v>
      </c>
      <c r="C543" s="489" t="s">
        <v>1328</v>
      </c>
      <c r="D543" s="490" t="s">
        <v>188</v>
      </c>
      <c r="E543" s="490" t="s">
        <v>1328</v>
      </c>
      <c r="F543" s="499"/>
      <c r="G543" s="490"/>
      <c r="H543" s="489"/>
      <c r="I543" s="500"/>
      <c r="J543" s="357">
        <v>25432.489999999998</v>
      </c>
      <c r="K543" s="492">
        <v>8.9911474804598552E-4</v>
      </c>
    </row>
    <row r="544" spans="1:11" ht="39" customHeight="1" x14ac:dyDescent="0.3">
      <c r="A544" s="493" t="s">
        <v>877</v>
      </c>
      <c r="B544" s="493" t="s">
        <v>190</v>
      </c>
      <c r="C544" s="493" t="s">
        <v>4210</v>
      </c>
      <c r="D544" s="494" t="s">
        <v>146</v>
      </c>
      <c r="E544" s="493" t="s">
        <v>1332</v>
      </c>
      <c r="F544" s="495">
        <v>12</v>
      </c>
      <c r="G544" s="496">
        <v>521.92999999999995</v>
      </c>
      <c r="H544" s="497">
        <v>0.2122</v>
      </c>
      <c r="I544" s="495">
        <v>632.67999999999995</v>
      </c>
      <c r="J544" s="496">
        <v>7592.16</v>
      </c>
      <c r="K544" s="498">
        <v>2.6840561130761514E-4</v>
      </c>
    </row>
    <row r="545" spans="1:11" ht="39" customHeight="1" x14ac:dyDescent="0.3">
      <c r="A545" s="493" t="s">
        <v>878</v>
      </c>
      <c r="B545" s="493" t="s">
        <v>192</v>
      </c>
      <c r="C545" s="493" t="s">
        <v>32</v>
      </c>
      <c r="D545" s="494" t="s">
        <v>193</v>
      </c>
      <c r="E545" s="493" t="s">
        <v>194</v>
      </c>
      <c r="F545" s="495">
        <v>638.88023103113801</v>
      </c>
      <c r="G545" s="496">
        <v>9.66</v>
      </c>
      <c r="H545" s="497">
        <v>0.2122</v>
      </c>
      <c r="I545" s="495">
        <v>11.71</v>
      </c>
      <c r="J545" s="496">
        <v>7481.28</v>
      </c>
      <c r="K545" s="498">
        <v>2.6448567097682809E-4</v>
      </c>
    </row>
    <row r="546" spans="1:11" ht="39" customHeight="1" x14ac:dyDescent="0.3">
      <c r="A546" s="493" t="s">
        <v>879</v>
      </c>
      <c r="B546" s="493" t="s">
        <v>196</v>
      </c>
      <c r="C546" s="493" t="s">
        <v>197</v>
      </c>
      <c r="D546" s="494" t="s">
        <v>198</v>
      </c>
      <c r="E546" s="493" t="s">
        <v>1332</v>
      </c>
      <c r="F546" s="495">
        <v>8</v>
      </c>
      <c r="G546" s="496">
        <v>17.21</v>
      </c>
      <c r="H546" s="497">
        <v>0.2122</v>
      </c>
      <c r="I546" s="495">
        <v>20.86</v>
      </c>
      <c r="J546" s="496">
        <v>166.88</v>
      </c>
      <c r="K546" s="498">
        <v>5.8997081746189251E-6</v>
      </c>
    </row>
    <row r="547" spans="1:11" ht="39" customHeight="1" x14ac:dyDescent="0.3">
      <c r="A547" s="493" t="s">
        <v>880</v>
      </c>
      <c r="B547" s="493" t="s">
        <v>200</v>
      </c>
      <c r="C547" s="493" t="s">
        <v>197</v>
      </c>
      <c r="D547" s="494" t="s">
        <v>201</v>
      </c>
      <c r="E547" s="493" t="s">
        <v>1332</v>
      </c>
      <c r="F547" s="495">
        <v>8</v>
      </c>
      <c r="G547" s="496">
        <v>11.96</v>
      </c>
      <c r="H547" s="497">
        <v>0.2122</v>
      </c>
      <c r="I547" s="495">
        <v>14.5</v>
      </c>
      <c r="J547" s="496">
        <v>116</v>
      </c>
      <c r="K547" s="498">
        <v>4.1009476765088404E-6</v>
      </c>
    </row>
    <row r="548" spans="1:11" ht="39" customHeight="1" x14ac:dyDescent="0.3">
      <c r="A548" s="493" t="s">
        <v>881</v>
      </c>
      <c r="B548" s="493" t="s">
        <v>203</v>
      </c>
      <c r="C548" s="493" t="s">
        <v>197</v>
      </c>
      <c r="D548" s="494" t="s">
        <v>204</v>
      </c>
      <c r="E548" s="493" t="s">
        <v>194</v>
      </c>
      <c r="F548" s="495">
        <v>1277.760462062276</v>
      </c>
      <c r="G548" s="496">
        <v>3.25</v>
      </c>
      <c r="H548" s="497">
        <v>0.2122</v>
      </c>
      <c r="I548" s="495">
        <v>3.94</v>
      </c>
      <c r="J548" s="496">
        <v>5034.37</v>
      </c>
      <c r="K548" s="498">
        <v>1.7798006857056733E-4</v>
      </c>
    </row>
    <row r="549" spans="1:11" ht="39" customHeight="1" x14ac:dyDescent="0.3">
      <c r="A549" s="493" t="s">
        <v>882</v>
      </c>
      <c r="B549" s="493" t="s">
        <v>206</v>
      </c>
      <c r="C549" s="493" t="s">
        <v>197</v>
      </c>
      <c r="D549" s="494" t="s">
        <v>207</v>
      </c>
      <c r="E549" s="493" t="s">
        <v>89</v>
      </c>
      <c r="F549" s="495">
        <v>13</v>
      </c>
      <c r="G549" s="496">
        <v>2.76</v>
      </c>
      <c r="H549" s="497">
        <v>0.2122</v>
      </c>
      <c r="I549" s="495">
        <v>3.35</v>
      </c>
      <c r="J549" s="496">
        <v>43.55</v>
      </c>
      <c r="K549" s="498">
        <v>1.5396230285513792E-6</v>
      </c>
    </row>
    <row r="550" spans="1:11" ht="39" customHeight="1" x14ac:dyDescent="0.3">
      <c r="A550" s="493" t="s">
        <v>883</v>
      </c>
      <c r="B550" s="493" t="s">
        <v>209</v>
      </c>
      <c r="C550" s="493" t="s">
        <v>125</v>
      </c>
      <c r="D550" s="494" t="s">
        <v>1383</v>
      </c>
      <c r="E550" s="493" t="s">
        <v>1384</v>
      </c>
      <c r="F550" s="495">
        <v>386</v>
      </c>
      <c r="G550" s="496">
        <v>1.96</v>
      </c>
      <c r="H550" s="497">
        <v>0.2122</v>
      </c>
      <c r="I550" s="495">
        <v>2.38</v>
      </c>
      <c r="J550" s="496">
        <v>918.68</v>
      </c>
      <c r="K550" s="498">
        <v>3.2478091478061565E-5</v>
      </c>
    </row>
    <row r="551" spans="1:11" ht="39" customHeight="1" x14ac:dyDescent="0.3">
      <c r="A551" s="493" t="s">
        <v>884</v>
      </c>
      <c r="B551" s="493" t="s">
        <v>212</v>
      </c>
      <c r="C551" s="493" t="s">
        <v>125</v>
      </c>
      <c r="D551" s="494" t="s">
        <v>4447</v>
      </c>
      <c r="E551" s="493" t="s">
        <v>1384</v>
      </c>
      <c r="F551" s="495">
        <v>257</v>
      </c>
      <c r="G551" s="496">
        <v>3.95</v>
      </c>
      <c r="H551" s="497">
        <v>0.2122</v>
      </c>
      <c r="I551" s="495">
        <v>4.79</v>
      </c>
      <c r="J551" s="496">
        <v>1231.03</v>
      </c>
      <c r="K551" s="498">
        <v>4.3520600157005842E-5</v>
      </c>
    </row>
    <row r="552" spans="1:11" ht="39" customHeight="1" x14ac:dyDescent="0.3">
      <c r="A552" s="493" t="s">
        <v>885</v>
      </c>
      <c r="B552" s="493" t="s">
        <v>214</v>
      </c>
      <c r="C552" s="493" t="s">
        <v>125</v>
      </c>
      <c r="D552" s="494" t="s">
        <v>4448</v>
      </c>
      <c r="E552" s="493" t="s">
        <v>1384</v>
      </c>
      <c r="F552" s="495">
        <v>129</v>
      </c>
      <c r="G552" s="496">
        <v>8.06</v>
      </c>
      <c r="H552" s="497">
        <v>0.2122</v>
      </c>
      <c r="I552" s="495">
        <v>9.77</v>
      </c>
      <c r="J552" s="496">
        <v>1260.33</v>
      </c>
      <c r="K552" s="498">
        <v>4.4556442975296437E-5</v>
      </c>
    </row>
    <row r="553" spans="1:11" ht="39" customHeight="1" x14ac:dyDescent="0.3">
      <c r="A553" s="493" t="s">
        <v>886</v>
      </c>
      <c r="B553" s="493" t="s">
        <v>216</v>
      </c>
      <c r="C553" s="493" t="s">
        <v>125</v>
      </c>
      <c r="D553" s="494" t="s">
        <v>1385</v>
      </c>
      <c r="E553" s="493" t="s">
        <v>1384</v>
      </c>
      <c r="F553" s="495">
        <v>643</v>
      </c>
      <c r="G553" s="496">
        <v>0.78</v>
      </c>
      <c r="H553" s="497">
        <v>0.2122</v>
      </c>
      <c r="I553" s="495">
        <v>0.95</v>
      </c>
      <c r="J553" s="496">
        <v>610.85</v>
      </c>
      <c r="K553" s="498">
        <v>2.1595378346512288E-5</v>
      </c>
    </row>
    <row r="554" spans="1:11" ht="39" customHeight="1" x14ac:dyDescent="0.3">
      <c r="A554" s="493" t="s">
        <v>887</v>
      </c>
      <c r="B554" s="493" t="s">
        <v>219</v>
      </c>
      <c r="C554" s="493" t="s">
        <v>125</v>
      </c>
      <c r="D554" s="494" t="s">
        <v>4449</v>
      </c>
      <c r="E554" s="493" t="s">
        <v>1384</v>
      </c>
      <c r="F554" s="495">
        <v>643</v>
      </c>
      <c r="G554" s="496">
        <v>1.25</v>
      </c>
      <c r="H554" s="497">
        <v>0.2122</v>
      </c>
      <c r="I554" s="495">
        <v>1.52</v>
      </c>
      <c r="J554" s="496">
        <v>977.36</v>
      </c>
      <c r="K554" s="498">
        <v>3.4552605354419658E-5</v>
      </c>
    </row>
    <row r="555" spans="1:11" ht="39" customHeight="1" x14ac:dyDescent="0.3">
      <c r="A555" s="493" t="s">
        <v>888</v>
      </c>
      <c r="B555" s="493" t="s">
        <v>220</v>
      </c>
      <c r="C555" s="493" t="s">
        <v>221</v>
      </c>
      <c r="D555" s="494" t="s">
        <v>4226</v>
      </c>
      <c r="E555" s="493" t="s">
        <v>194</v>
      </c>
      <c r="F555" s="495">
        <v>0</v>
      </c>
      <c r="G555" s="496">
        <v>300.70999999999998</v>
      </c>
      <c r="H555" s="497">
        <v>0.2122</v>
      </c>
      <c r="I555" s="495">
        <v>364.52</v>
      </c>
      <c r="J555" s="496">
        <v>0</v>
      </c>
      <c r="K555" s="498">
        <v>0</v>
      </c>
    </row>
    <row r="556" spans="1:11" ht="24" customHeight="1" x14ac:dyDescent="0.3">
      <c r="A556" s="489" t="s">
        <v>889</v>
      </c>
      <c r="B556" s="489" t="s">
        <v>1328</v>
      </c>
      <c r="C556" s="489" t="s">
        <v>1328</v>
      </c>
      <c r="D556" s="490" t="s">
        <v>224</v>
      </c>
      <c r="E556" s="490" t="s">
        <v>1328</v>
      </c>
      <c r="F556" s="499"/>
      <c r="G556" s="490"/>
      <c r="H556" s="489"/>
      <c r="I556" s="500"/>
      <c r="J556" s="357">
        <v>38809.000000000007</v>
      </c>
      <c r="K556" s="492">
        <v>1.3720144687726864E-3</v>
      </c>
    </row>
    <row r="557" spans="1:11" ht="39" customHeight="1" x14ac:dyDescent="0.3">
      <c r="A557" s="493" t="s">
        <v>890</v>
      </c>
      <c r="B557" s="493" t="s">
        <v>226</v>
      </c>
      <c r="C557" s="493" t="s">
        <v>32</v>
      </c>
      <c r="D557" s="494" t="s">
        <v>4227</v>
      </c>
      <c r="E557" s="493" t="s">
        <v>1332</v>
      </c>
      <c r="F557" s="495">
        <v>1230.0907945402287</v>
      </c>
      <c r="G557" s="496">
        <v>22.73</v>
      </c>
      <c r="H557" s="497">
        <v>0.2122</v>
      </c>
      <c r="I557" s="495">
        <v>27.55</v>
      </c>
      <c r="J557" s="496">
        <v>33889</v>
      </c>
      <c r="K557" s="498">
        <v>1.1980777224931732E-3</v>
      </c>
    </row>
    <row r="558" spans="1:11" ht="39" customHeight="1" x14ac:dyDescent="0.3">
      <c r="A558" s="493" t="s">
        <v>891</v>
      </c>
      <c r="B558" s="493" t="s">
        <v>116</v>
      </c>
      <c r="C558" s="493" t="s">
        <v>32</v>
      </c>
      <c r="D558" s="494" t="s">
        <v>117</v>
      </c>
      <c r="E558" s="493" t="s">
        <v>268</v>
      </c>
      <c r="F558" s="495">
        <v>36.90272383620686</v>
      </c>
      <c r="G558" s="496">
        <v>8.81</v>
      </c>
      <c r="H558" s="497">
        <v>0.2122</v>
      </c>
      <c r="I558" s="495">
        <v>10.68</v>
      </c>
      <c r="J558" s="496">
        <v>394.12</v>
      </c>
      <c r="K558" s="498">
        <v>1.3933323260910899E-5</v>
      </c>
    </row>
    <row r="559" spans="1:11" ht="39" customHeight="1" x14ac:dyDescent="0.3">
      <c r="A559" s="493" t="s">
        <v>892</v>
      </c>
      <c r="B559" s="493" t="s">
        <v>119</v>
      </c>
      <c r="C559" s="493" t="s">
        <v>32</v>
      </c>
      <c r="D559" s="494" t="s">
        <v>120</v>
      </c>
      <c r="E559" s="493" t="s">
        <v>121</v>
      </c>
      <c r="F559" s="495">
        <v>1107.0817150862058</v>
      </c>
      <c r="G559" s="496">
        <v>2.1</v>
      </c>
      <c r="H559" s="497">
        <v>0.2122</v>
      </c>
      <c r="I559" s="495">
        <v>2.5499999999999998</v>
      </c>
      <c r="J559" s="496">
        <v>2823.05</v>
      </c>
      <c r="K559" s="498">
        <v>9.9803278777312791E-5</v>
      </c>
    </row>
    <row r="560" spans="1:11" ht="39" customHeight="1" x14ac:dyDescent="0.3">
      <c r="A560" s="493" t="s">
        <v>893</v>
      </c>
      <c r="B560" s="493" t="s">
        <v>122</v>
      </c>
      <c r="C560" s="493" t="s">
        <v>32</v>
      </c>
      <c r="D560" s="494" t="s">
        <v>123</v>
      </c>
      <c r="E560" s="493" t="s">
        <v>121</v>
      </c>
      <c r="F560" s="495">
        <v>1653.2420278620673</v>
      </c>
      <c r="G560" s="496">
        <v>0.85</v>
      </c>
      <c r="H560" s="497">
        <v>0.2122</v>
      </c>
      <c r="I560" s="495">
        <v>1.03</v>
      </c>
      <c r="J560" s="496">
        <v>1702.83</v>
      </c>
      <c r="K560" s="498">
        <v>6.0200144241289214E-5</v>
      </c>
    </row>
    <row r="561" spans="1:11" ht="24" customHeight="1" x14ac:dyDescent="0.3">
      <c r="A561" s="489" t="s">
        <v>894</v>
      </c>
      <c r="B561" s="489" t="s">
        <v>1328</v>
      </c>
      <c r="C561" s="489" t="s">
        <v>1328</v>
      </c>
      <c r="D561" s="490" t="s">
        <v>895</v>
      </c>
      <c r="E561" s="490" t="s">
        <v>1328</v>
      </c>
      <c r="F561" s="499"/>
      <c r="G561" s="490"/>
      <c r="H561" s="489"/>
      <c r="I561" s="500"/>
      <c r="J561" s="357">
        <v>14490.14</v>
      </c>
      <c r="K561" s="492">
        <v>5.1226987901110185E-4</v>
      </c>
    </row>
    <row r="562" spans="1:11" ht="39" customHeight="1" x14ac:dyDescent="0.3">
      <c r="A562" s="493" t="s">
        <v>896</v>
      </c>
      <c r="B562" s="493" t="s">
        <v>233</v>
      </c>
      <c r="C562" s="493" t="s">
        <v>125</v>
      </c>
      <c r="D562" s="494" t="s">
        <v>4450</v>
      </c>
      <c r="E562" s="493" t="s">
        <v>268</v>
      </c>
      <c r="F562" s="495">
        <v>16.234851242947787</v>
      </c>
      <c r="G562" s="496">
        <v>626.30999999999995</v>
      </c>
      <c r="H562" s="497">
        <v>0.2122</v>
      </c>
      <c r="I562" s="495">
        <v>759.21</v>
      </c>
      <c r="J562" s="496">
        <v>12325.66</v>
      </c>
      <c r="K562" s="498">
        <v>4.3574902360722374E-4</v>
      </c>
    </row>
    <row r="563" spans="1:11" ht="39" customHeight="1" x14ac:dyDescent="0.3">
      <c r="A563" s="493" t="s">
        <v>897</v>
      </c>
      <c r="B563" s="493" t="s">
        <v>116</v>
      </c>
      <c r="C563" s="493" t="s">
        <v>32</v>
      </c>
      <c r="D563" s="494" t="s">
        <v>117</v>
      </c>
      <c r="E563" s="493" t="s">
        <v>268</v>
      </c>
      <c r="F563" s="495">
        <v>16.234851242947787</v>
      </c>
      <c r="G563" s="496">
        <v>8.81</v>
      </c>
      <c r="H563" s="497">
        <v>0.2122</v>
      </c>
      <c r="I563" s="495">
        <v>10.68</v>
      </c>
      <c r="J563" s="496">
        <v>173.38</v>
      </c>
      <c r="K563" s="498">
        <v>6.1295026564922649E-6</v>
      </c>
    </row>
    <row r="564" spans="1:11" ht="39" customHeight="1" x14ac:dyDescent="0.3">
      <c r="A564" s="493" t="s">
        <v>898</v>
      </c>
      <c r="B564" s="493" t="s">
        <v>119</v>
      </c>
      <c r="C564" s="493" t="s">
        <v>32</v>
      </c>
      <c r="D564" s="494" t="s">
        <v>120</v>
      </c>
      <c r="E564" s="493" t="s">
        <v>121</v>
      </c>
      <c r="F564" s="495">
        <v>487.04553728843359</v>
      </c>
      <c r="G564" s="496">
        <v>2.1</v>
      </c>
      <c r="H564" s="497">
        <v>0.2122</v>
      </c>
      <c r="I564" s="495">
        <v>2.5499999999999998</v>
      </c>
      <c r="J564" s="496">
        <v>1241.96</v>
      </c>
      <c r="K564" s="498">
        <v>4.3907008416525172E-5</v>
      </c>
    </row>
    <row r="565" spans="1:11" ht="39" customHeight="1" x14ac:dyDescent="0.3">
      <c r="A565" s="493" t="s">
        <v>899</v>
      </c>
      <c r="B565" s="493" t="s">
        <v>122</v>
      </c>
      <c r="C565" s="493" t="s">
        <v>32</v>
      </c>
      <c r="D565" s="494" t="s">
        <v>123</v>
      </c>
      <c r="E565" s="493" t="s">
        <v>121</v>
      </c>
      <c r="F565" s="495">
        <v>727.32133568406084</v>
      </c>
      <c r="G565" s="496">
        <v>0.85</v>
      </c>
      <c r="H565" s="497">
        <v>0.2122</v>
      </c>
      <c r="I565" s="495">
        <v>1.03</v>
      </c>
      <c r="J565" s="496">
        <v>749.14</v>
      </c>
      <c r="K565" s="498">
        <v>2.6484344330860627E-5</v>
      </c>
    </row>
    <row r="566" spans="1:11" ht="24" customHeight="1" x14ac:dyDescent="0.3">
      <c r="A566" s="489" t="s">
        <v>900</v>
      </c>
      <c r="B566" s="489" t="s">
        <v>1328</v>
      </c>
      <c r="C566" s="489" t="s">
        <v>1328</v>
      </c>
      <c r="D566" s="490" t="s">
        <v>240</v>
      </c>
      <c r="E566" s="490" t="s">
        <v>1328</v>
      </c>
      <c r="F566" s="499"/>
      <c r="G566" s="490"/>
      <c r="H566" s="489"/>
      <c r="I566" s="500"/>
      <c r="J566" s="357">
        <v>47672.2</v>
      </c>
      <c r="K566" s="492">
        <v>1.6853551536557304E-3</v>
      </c>
    </row>
    <row r="567" spans="1:11" ht="39" customHeight="1" x14ac:dyDescent="0.3">
      <c r="A567" s="493" t="s">
        <v>901</v>
      </c>
      <c r="B567" s="493" t="s">
        <v>242</v>
      </c>
      <c r="C567" s="493" t="s">
        <v>243</v>
      </c>
      <c r="D567" s="494" t="s">
        <v>4409</v>
      </c>
      <c r="E567" s="493" t="s">
        <v>268</v>
      </c>
      <c r="F567" s="495">
        <v>93.569601024270938</v>
      </c>
      <c r="G567" s="496">
        <v>310.31</v>
      </c>
      <c r="H567" s="497">
        <v>0.2122</v>
      </c>
      <c r="I567" s="495">
        <v>376.16</v>
      </c>
      <c r="J567" s="496">
        <v>35197.14</v>
      </c>
      <c r="K567" s="498">
        <v>1.2443243922651412E-3</v>
      </c>
    </row>
    <row r="568" spans="1:11" ht="39" customHeight="1" x14ac:dyDescent="0.3">
      <c r="A568" s="493" t="s">
        <v>902</v>
      </c>
      <c r="B568" s="493" t="s">
        <v>116</v>
      </c>
      <c r="C568" s="493" t="s">
        <v>32</v>
      </c>
      <c r="D568" s="494" t="s">
        <v>117</v>
      </c>
      <c r="E568" s="493" t="s">
        <v>268</v>
      </c>
      <c r="F568" s="495">
        <v>93.569601024270938</v>
      </c>
      <c r="G568" s="496">
        <v>8.81</v>
      </c>
      <c r="H568" s="497">
        <v>0.2122</v>
      </c>
      <c r="I568" s="495">
        <v>10.68</v>
      </c>
      <c r="J568" s="496">
        <v>999.32</v>
      </c>
      <c r="K568" s="498">
        <v>3.5328957173179439E-5</v>
      </c>
    </row>
    <row r="569" spans="1:11" ht="39" customHeight="1" x14ac:dyDescent="0.3">
      <c r="A569" s="493" t="s">
        <v>903</v>
      </c>
      <c r="B569" s="493" t="s">
        <v>119</v>
      </c>
      <c r="C569" s="493" t="s">
        <v>32</v>
      </c>
      <c r="D569" s="494" t="s">
        <v>120</v>
      </c>
      <c r="E569" s="493" t="s">
        <v>121</v>
      </c>
      <c r="F569" s="495">
        <v>2807.0880307281282</v>
      </c>
      <c r="G569" s="496">
        <v>2.1</v>
      </c>
      <c r="H569" s="497">
        <v>0.2122</v>
      </c>
      <c r="I569" s="495">
        <v>2.5499999999999998</v>
      </c>
      <c r="J569" s="496">
        <v>7158.07</v>
      </c>
      <c r="K569" s="498">
        <v>2.5305922874816926E-4</v>
      </c>
    </row>
    <row r="570" spans="1:11" ht="39" customHeight="1" x14ac:dyDescent="0.3">
      <c r="A570" s="493" t="s">
        <v>904</v>
      </c>
      <c r="B570" s="493" t="s">
        <v>122</v>
      </c>
      <c r="C570" s="493" t="s">
        <v>32</v>
      </c>
      <c r="D570" s="494" t="s">
        <v>123</v>
      </c>
      <c r="E570" s="493" t="s">
        <v>121</v>
      </c>
      <c r="F570" s="495">
        <v>4191.9181258873377</v>
      </c>
      <c r="G570" s="496">
        <v>0.85</v>
      </c>
      <c r="H570" s="497">
        <v>0.2122</v>
      </c>
      <c r="I570" s="495">
        <v>1.03</v>
      </c>
      <c r="J570" s="496">
        <v>4317.67</v>
      </c>
      <c r="K570" s="498">
        <v>1.5264257546924073E-4</v>
      </c>
    </row>
    <row r="571" spans="1:11" ht="24" customHeight="1" x14ac:dyDescent="0.3">
      <c r="A571" s="489" t="s">
        <v>905</v>
      </c>
      <c r="B571" s="489" t="s">
        <v>1328</v>
      </c>
      <c r="C571" s="489" t="s">
        <v>1328</v>
      </c>
      <c r="D571" s="490" t="s">
        <v>248</v>
      </c>
      <c r="E571" s="490" t="s">
        <v>1328</v>
      </c>
      <c r="F571" s="499"/>
      <c r="G571" s="490"/>
      <c r="H571" s="489"/>
      <c r="I571" s="500"/>
      <c r="J571" s="357">
        <v>24881.170000000002</v>
      </c>
      <c r="K571" s="492">
        <v>8.7962393362346104E-4</v>
      </c>
    </row>
    <row r="572" spans="1:11" ht="39" customHeight="1" x14ac:dyDescent="0.3">
      <c r="A572" s="493" t="s">
        <v>906</v>
      </c>
      <c r="B572" s="493" t="s">
        <v>250</v>
      </c>
      <c r="C572" s="493" t="s">
        <v>251</v>
      </c>
      <c r="D572" s="494" t="s">
        <v>4410</v>
      </c>
      <c r="E572" s="493" t="s">
        <v>252</v>
      </c>
      <c r="F572" s="495">
        <v>190.76399999999998</v>
      </c>
      <c r="G572" s="496">
        <v>11.96</v>
      </c>
      <c r="H572" s="497">
        <v>0.2122</v>
      </c>
      <c r="I572" s="495">
        <v>14.5</v>
      </c>
      <c r="J572" s="496">
        <v>2766.07</v>
      </c>
      <c r="K572" s="498">
        <v>9.7788864996213877E-5</v>
      </c>
    </row>
    <row r="573" spans="1:11" ht="39" customHeight="1" x14ac:dyDescent="0.3">
      <c r="A573" s="493" t="s">
        <v>907</v>
      </c>
      <c r="B573" s="493" t="s">
        <v>254</v>
      </c>
      <c r="C573" s="493" t="s">
        <v>32</v>
      </c>
      <c r="D573" s="494" t="s">
        <v>4229</v>
      </c>
      <c r="E573" s="493" t="s">
        <v>268</v>
      </c>
      <c r="F573" s="495">
        <v>6.5761500000000011</v>
      </c>
      <c r="G573" s="496">
        <v>767.76</v>
      </c>
      <c r="H573" s="497">
        <v>0.2122</v>
      </c>
      <c r="I573" s="495">
        <v>930.68</v>
      </c>
      <c r="J573" s="496">
        <v>6120.29</v>
      </c>
      <c r="K573" s="498">
        <v>2.163705953022439E-4</v>
      </c>
    </row>
    <row r="574" spans="1:11" ht="39" customHeight="1" x14ac:dyDescent="0.3">
      <c r="A574" s="493" t="s">
        <v>908</v>
      </c>
      <c r="B574" s="493" t="s">
        <v>256</v>
      </c>
      <c r="C574" s="493" t="s">
        <v>257</v>
      </c>
      <c r="D574" s="494" t="s">
        <v>258</v>
      </c>
      <c r="E574" s="493" t="s">
        <v>194</v>
      </c>
      <c r="F574" s="495">
        <v>113.55</v>
      </c>
      <c r="G574" s="496">
        <v>82.29</v>
      </c>
      <c r="H574" s="497">
        <v>0.2122</v>
      </c>
      <c r="I574" s="495">
        <v>99.75</v>
      </c>
      <c r="J574" s="496">
        <v>11326.61</v>
      </c>
      <c r="K574" s="498">
        <v>4.0042961174329138E-4</v>
      </c>
    </row>
    <row r="575" spans="1:11" ht="39" customHeight="1" x14ac:dyDescent="0.3">
      <c r="A575" s="493" t="s">
        <v>909</v>
      </c>
      <c r="B575" s="493" t="s">
        <v>260</v>
      </c>
      <c r="C575" s="493" t="s">
        <v>257</v>
      </c>
      <c r="D575" s="494" t="s">
        <v>4230</v>
      </c>
      <c r="E575" s="493" t="s">
        <v>194</v>
      </c>
      <c r="F575" s="495">
        <v>31.5</v>
      </c>
      <c r="G575" s="496">
        <v>69.680000000000007</v>
      </c>
      <c r="H575" s="497">
        <v>0.2122</v>
      </c>
      <c r="I575" s="495">
        <v>84.47</v>
      </c>
      <c r="J575" s="496">
        <v>2660.8</v>
      </c>
      <c r="K575" s="498">
        <v>9.4067254979782099E-5</v>
      </c>
    </row>
    <row r="576" spans="1:11" ht="39" customHeight="1" x14ac:dyDescent="0.3">
      <c r="A576" s="493" t="s">
        <v>910</v>
      </c>
      <c r="B576" s="493" t="s">
        <v>116</v>
      </c>
      <c r="C576" s="493" t="s">
        <v>32</v>
      </c>
      <c r="D576" s="494" t="s">
        <v>117</v>
      </c>
      <c r="E576" s="493" t="s">
        <v>268</v>
      </c>
      <c r="F576" s="495">
        <v>15.05673</v>
      </c>
      <c r="G576" s="496">
        <v>8.81</v>
      </c>
      <c r="H576" s="497">
        <v>0.2122</v>
      </c>
      <c r="I576" s="495">
        <v>10.68</v>
      </c>
      <c r="J576" s="496">
        <v>160.80000000000001</v>
      </c>
      <c r="K576" s="498">
        <v>5.6847619515743247E-6</v>
      </c>
    </row>
    <row r="577" spans="1:11" ht="39" customHeight="1" x14ac:dyDescent="0.3">
      <c r="A577" s="493" t="s">
        <v>911</v>
      </c>
      <c r="B577" s="493" t="s">
        <v>119</v>
      </c>
      <c r="C577" s="493" t="s">
        <v>32</v>
      </c>
      <c r="D577" s="494" t="s">
        <v>120</v>
      </c>
      <c r="E577" s="493" t="s">
        <v>121</v>
      </c>
      <c r="F577" s="495">
        <v>451.70190000000002</v>
      </c>
      <c r="G577" s="496">
        <v>2.1</v>
      </c>
      <c r="H577" s="497">
        <v>0.2122</v>
      </c>
      <c r="I577" s="495">
        <v>2.5499999999999998</v>
      </c>
      <c r="J577" s="496">
        <v>1151.83</v>
      </c>
      <c r="K577" s="498">
        <v>4.0720642777872218E-5</v>
      </c>
    </row>
    <row r="578" spans="1:11" ht="39" customHeight="1" x14ac:dyDescent="0.3">
      <c r="A578" s="493" t="s">
        <v>912</v>
      </c>
      <c r="B578" s="493" t="s">
        <v>122</v>
      </c>
      <c r="C578" s="493" t="s">
        <v>32</v>
      </c>
      <c r="D578" s="494" t="s">
        <v>123</v>
      </c>
      <c r="E578" s="493" t="s">
        <v>121</v>
      </c>
      <c r="F578" s="495">
        <v>674.54150399999992</v>
      </c>
      <c r="G578" s="496">
        <v>0.85</v>
      </c>
      <c r="H578" s="497">
        <v>0.2122</v>
      </c>
      <c r="I578" s="495">
        <v>1.03</v>
      </c>
      <c r="J578" s="496">
        <v>694.77</v>
      </c>
      <c r="K578" s="498">
        <v>2.4562201872483166E-5</v>
      </c>
    </row>
    <row r="579" spans="1:11" ht="24" customHeight="1" x14ac:dyDescent="0.3">
      <c r="A579" s="489" t="s">
        <v>913</v>
      </c>
      <c r="B579" s="489" t="s">
        <v>1328</v>
      </c>
      <c r="C579" s="489" t="s">
        <v>1328</v>
      </c>
      <c r="D579" s="490" t="s">
        <v>266</v>
      </c>
      <c r="E579" s="490" t="s">
        <v>1328</v>
      </c>
      <c r="F579" s="499"/>
      <c r="G579" s="490"/>
      <c r="H579" s="489"/>
      <c r="I579" s="500"/>
      <c r="J579" s="357">
        <v>168.82</v>
      </c>
      <c r="K579" s="492">
        <v>5.9682929892088139E-6</v>
      </c>
    </row>
    <row r="580" spans="1:11" ht="39" customHeight="1" x14ac:dyDescent="0.3">
      <c r="A580" s="493" t="s">
        <v>914</v>
      </c>
      <c r="B580" s="493" t="s">
        <v>233</v>
      </c>
      <c r="C580" s="493" t="s">
        <v>125</v>
      </c>
      <c r="D580" s="494" t="s">
        <v>4450</v>
      </c>
      <c r="E580" s="493" t="s">
        <v>268</v>
      </c>
      <c r="F580" s="495">
        <v>3.4679999999998608E-2</v>
      </c>
      <c r="G580" s="496">
        <v>626.30999999999995</v>
      </c>
      <c r="H580" s="497">
        <v>0.2122</v>
      </c>
      <c r="I580" s="495">
        <v>759.21</v>
      </c>
      <c r="J580" s="496">
        <v>26.32</v>
      </c>
      <c r="K580" s="498">
        <v>9.3049088660097146E-7</v>
      </c>
    </row>
    <row r="581" spans="1:11" ht="39" customHeight="1" x14ac:dyDescent="0.3">
      <c r="A581" s="493" t="s">
        <v>915</v>
      </c>
      <c r="B581" s="493" t="s">
        <v>235</v>
      </c>
      <c r="C581" s="493" t="s">
        <v>32</v>
      </c>
      <c r="D581" s="494" t="s">
        <v>4228</v>
      </c>
      <c r="E581" s="493" t="s">
        <v>268</v>
      </c>
      <c r="F581" s="495">
        <v>0.65999999999996251</v>
      </c>
      <c r="G581" s="496">
        <v>62.38</v>
      </c>
      <c r="H581" s="497">
        <v>0.2122</v>
      </c>
      <c r="I581" s="495">
        <v>75.62</v>
      </c>
      <c r="J581" s="496">
        <v>49.9</v>
      </c>
      <c r="K581" s="498">
        <v>1.7641145608430272E-6</v>
      </c>
    </row>
    <row r="582" spans="1:11" ht="39" customHeight="1" x14ac:dyDescent="0.3">
      <c r="A582" s="493" t="s">
        <v>916</v>
      </c>
      <c r="B582" s="493" t="s">
        <v>116</v>
      </c>
      <c r="C582" s="493" t="s">
        <v>32</v>
      </c>
      <c r="D582" s="494" t="s">
        <v>117</v>
      </c>
      <c r="E582" s="493" t="s">
        <v>268</v>
      </c>
      <c r="F582" s="495">
        <v>0.69467999999996111</v>
      </c>
      <c r="G582" s="496">
        <v>8.81</v>
      </c>
      <c r="H582" s="497">
        <v>0.2122</v>
      </c>
      <c r="I582" s="495">
        <v>10.68</v>
      </c>
      <c r="J582" s="496">
        <v>7.41</v>
      </c>
      <c r="K582" s="498">
        <v>2.6196570933560786E-7</v>
      </c>
    </row>
    <row r="583" spans="1:11" ht="39" customHeight="1" x14ac:dyDescent="0.3">
      <c r="A583" s="493" t="s">
        <v>917</v>
      </c>
      <c r="B583" s="493" t="s">
        <v>119</v>
      </c>
      <c r="C583" s="493" t="s">
        <v>32</v>
      </c>
      <c r="D583" s="494" t="s">
        <v>120</v>
      </c>
      <c r="E583" s="493" t="s">
        <v>121</v>
      </c>
      <c r="F583" s="495">
        <v>20.840399999998834</v>
      </c>
      <c r="G583" s="496">
        <v>2.1</v>
      </c>
      <c r="H583" s="497">
        <v>0.2122</v>
      </c>
      <c r="I583" s="495">
        <v>2.5499999999999998</v>
      </c>
      <c r="J583" s="496">
        <v>53.14</v>
      </c>
      <c r="K583" s="498">
        <v>1.8786582718075843E-6</v>
      </c>
    </row>
    <row r="584" spans="1:11" ht="39" customHeight="1" x14ac:dyDescent="0.3">
      <c r="A584" s="493" t="s">
        <v>918</v>
      </c>
      <c r="B584" s="493" t="s">
        <v>122</v>
      </c>
      <c r="C584" s="493" t="s">
        <v>32</v>
      </c>
      <c r="D584" s="494" t="s">
        <v>123</v>
      </c>
      <c r="E584" s="493" t="s">
        <v>121</v>
      </c>
      <c r="F584" s="495">
        <v>31.121663999998255</v>
      </c>
      <c r="G584" s="496">
        <v>0.85</v>
      </c>
      <c r="H584" s="497">
        <v>0.2122</v>
      </c>
      <c r="I584" s="495">
        <v>1.03</v>
      </c>
      <c r="J584" s="496">
        <v>32.049999999999997</v>
      </c>
      <c r="K584" s="498">
        <v>1.1330635606216235E-6</v>
      </c>
    </row>
    <row r="585" spans="1:11" ht="24" customHeight="1" x14ac:dyDescent="0.3">
      <c r="A585" s="489" t="s">
        <v>919</v>
      </c>
      <c r="B585" s="489" t="s">
        <v>1328</v>
      </c>
      <c r="C585" s="489" t="s">
        <v>1328</v>
      </c>
      <c r="D585" s="490" t="s">
        <v>920</v>
      </c>
      <c r="E585" s="490" t="s">
        <v>1328</v>
      </c>
      <c r="F585" s="499"/>
      <c r="G585" s="490"/>
      <c r="H585" s="489"/>
      <c r="I585" s="500"/>
      <c r="J585" s="357">
        <v>11861.73</v>
      </c>
      <c r="K585" s="492">
        <v>4.1934770761099317E-4</v>
      </c>
    </row>
    <row r="586" spans="1:11" ht="39" customHeight="1" x14ac:dyDescent="0.3">
      <c r="A586" s="493" t="s">
        <v>921</v>
      </c>
      <c r="B586" s="493" t="s">
        <v>235</v>
      </c>
      <c r="C586" s="493" t="s">
        <v>32</v>
      </c>
      <c r="D586" s="494" t="s">
        <v>4228</v>
      </c>
      <c r="E586" s="493" t="s">
        <v>268</v>
      </c>
      <c r="F586" s="495">
        <v>56.769999999999953</v>
      </c>
      <c r="G586" s="496">
        <v>62.38</v>
      </c>
      <c r="H586" s="497">
        <v>0.2122</v>
      </c>
      <c r="I586" s="495">
        <v>75.62</v>
      </c>
      <c r="J586" s="496">
        <v>4292.9399999999996</v>
      </c>
      <c r="K586" s="498">
        <v>1.517682958482057E-4</v>
      </c>
    </row>
    <row r="587" spans="1:11" ht="39" customHeight="1" x14ac:dyDescent="0.3">
      <c r="A587" s="493" t="s">
        <v>922</v>
      </c>
      <c r="B587" s="493" t="s">
        <v>116</v>
      </c>
      <c r="C587" s="493" t="s">
        <v>32</v>
      </c>
      <c r="D587" s="494" t="s">
        <v>117</v>
      </c>
      <c r="E587" s="493" t="s">
        <v>268</v>
      </c>
      <c r="F587" s="495">
        <v>56.769999999999953</v>
      </c>
      <c r="G587" s="496">
        <v>8.81</v>
      </c>
      <c r="H587" s="497">
        <v>0.2122</v>
      </c>
      <c r="I587" s="495">
        <v>10.68</v>
      </c>
      <c r="J587" s="496">
        <v>606.29999999999995</v>
      </c>
      <c r="K587" s="498">
        <v>2.1434522209200946E-5</v>
      </c>
    </row>
    <row r="588" spans="1:11" ht="39" customHeight="1" x14ac:dyDescent="0.3">
      <c r="A588" s="493" t="s">
        <v>923</v>
      </c>
      <c r="B588" s="493" t="s">
        <v>119</v>
      </c>
      <c r="C588" s="493" t="s">
        <v>32</v>
      </c>
      <c r="D588" s="494" t="s">
        <v>120</v>
      </c>
      <c r="E588" s="493" t="s">
        <v>121</v>
      </c>
      <c r="F588" s="495">
        <v>1703.0999999999985</v>
      </c>
      <c r="G588" s="496">
        <v>2.1</v>
      </c>
      <c r="H588" s="497">
        <v>0.2122</v>
      </c>
      <c r="I588" s="495">
        <v>2.5499999999999998</v>
      </c>
      <c r="J588" s="496">
        <v>4342.8999999999996</v>
      </c>
      <c r="K588" s="498">
        <v>1.535345315888814E-4</v>
      </c>
    </row>
    <row r="589" spans="1:11" ht="39" customHeight="1" x14ac:dyDescent="0.3">
      <c r="A589" s="493" t="s">
        <v>924</v>
      </c>
      <c r="B589" s="493" t="s">
        <v>122</v>
      </c>
      <c r="C589" s="493" t="s">
        <v>32</v>
      </c>
      <c r="D589" s="494" t="s">
        <v>123</v>
      </c>
      <c r="E589" s="493" t="s">
        <v>121</v>
      </c>
      <c r="F589" s="495">
        <v>2543.2959999999975</v>
      </c>
      <c r="G589" s="496">
        <v>0.85</v>
      </c>
      <c r="H589" s="497">
        <v>0.2122</v>
      </c>
      <c r="I589" s="495">
        <v>1.03</v>
      </c>
      <c r="J589" s="496">
        <v>2619.59</v>
      </c>
      <c r="K589" s="498">
        <v>9.2610357964705128E-5</v>
      </c>
    </row>
    <row r="590" spans="1:11" ht="24" customHeight="1" x14ac:dyDescent="0.3">
      <c r="A590" s="489" t="s">
        <v>925</v>
      </c>
      <c r="B590" s="489" t="s">
        <v>1328</v>
      </c>
      <c r="C590" s="489" t="s">
        <v>1328</v>
      </c>
      <c r="D590" s="490" t="s">
        <v>274</v>
      </c>
      <c r="E590" s="490" t="s">
        <v>1328</v>
      </c>
      <c r="F590" s="499"/>
      <c r="G590" s="490"/>
      <c r="H590" s="489"/>
      <c r="I590" s="500"/>
      <c r="J590" s="357">
        <v>17099.64</v>
      </c>
      <c r="K590" s="492">
        <v>6.0452352523394513E-4</v>
      </c>
    </row>
    <row r="591" spans="1:11" ht="39" customHeight="1" x14ac:dyDescent="0.3">
      <c r="A591" s="493" t="s">
        <v>926</v>
      </c>
      <c r="B591" s="493" t="s">
        <v>4231</v>
      </c>
      <c r="C591" s="493" t="s">
        <v>4210</v>
      </c>
      <c r="D591" s="494" t="s">
        <v>276</v>
      </c>
      <c r="E591" s="493" t="s">
        <v>89</v>
      </c>
      <c r="F591" s="495">
        <v>6</v>
      </c>
      <c r="G591" s="496">
        <v>119.76</v>
      </c>
      <c r="H591" s="497">
        <v>0.111</v>
      </c>
      <c r="I591" s="495">
        <v>133.05000000000001</v>
      </c>
      <c r="J591" s="496">
        <v>798.3</v>
      </c>
      <c r="K591" s="498">
        <v>2.8222297673767304E-5</v>
      </c>
    </row>
    <row r="592" spans="1:11" ht="39" customHeight="1" x14ac:dyDescent="0.3">
      <c r="A592" s="493" t="s">
        <v>927</v>
      </c>
      <c r="B592" s="493" t="s">
        <v>4392</v>
      </c>
      <c r="C592" s="493" t="s">
        <v>251</v>
      </c>
      <c r="D592" s="494" t="s">
        <v>278</v>
      </c>
      <c r="E592" s="493" t="s">
        <v>89</v>
      </c>
      <c r="F592" s="495">
        <v>6</v>
      </c>
      <c r="G592" s="496">
        <v>2241.29</v>
      </c>
      <c r="H592" s="497">
        <v>0.2122</v>
      </c>
      <c r="I592" s="495">
        <v>2716.89</v>
      </c>
      <c r="J592" s="496">
        <v>16301.34</v>
      </c>
      <c r="K592" s="498">
        <v>5.7630122756017782E-4</v>
      </c>
    </row>
    <row r="593" spans="1:11" ht="24" customHeight="1" x14ac:dyDescent="0.3">
      <c r="A593" s="489" t="s">
        <v>928</v>
      </c>
      <c r="B593" s="489" t="s">
        <v>1328</v>
      </c>
      <c r="C593" s="489" t="s">
        <v>1328</v>
      </c>
      <c r="D593" s="490" t="s">
        <v>280</v>
      </c>
      <c r="E593" s="490" t="s">
        <v>1328</v>
      </c>
      <c r="F593" s="499"/>
      <c r="G593" s="490"/>
      <c r="H593" s="489"/>
      <c r="I593" s="500"/>
      <c r="J593" s="357">
        <v>1249765</v>
      </c>
      <c r="K593" s="492">
        <v>4.4182938559759237E-2</v>
      </c>
    </row>
    <row r="594" spans="1:11" ht="24" customHeight="1" x14ac:dyDescent="0.3">
      <c r="A594" s="489" t="s">
        <v>929</v>
      </c>
      <c r="B594" s="489" t="s">
        <v>1328</v>
      </c>
      <c r="C594" s="489" t="s">
        <v>1328</v>
      </c>
      <c r="D594" s="490" t="s">
        <v>282</v>
      </c>
      <c r="E594" s="490" t="s">
        <v>1328</v>
      </c>
      <c r="F594" s="499"/>
      <c r="G594" s="490"/>
      <c r="H594" s="489"/>
      <c r="I594" s="500"/>
      <c r="J594" s="357">
        <v>79672.88</v>
      </c>
      <c r="K594" s="492">
        <v>2.8166751044548938E-3</v>
      </c>
    </row>
    <row r="595" spans="1:11" ht="50" x14ac:dyDescent="0.3">
      <c r="A595" s="493" t="s">
        <v>930</v>
      </c>
      <c r="B595" s="493" t="s">
        <v>284</v>
      </c>
      <c r="C595" s="493" t="s">
        <v>32</v>
      </c>
      <c r="D595" s="494" t="s">
        <v>4411</v>
      </c>
      <c r="E595" s="493" t="s">
        <v>268</v>
      </c>
      <c r="F595" s="495">
        <v>38.091200000000001</v>
      </c>
      <c r="G595" s="496">
        <v>11.8</v>
      </c>
      <c r="H595" s="497">
        <v>0.2122</v>
      </c>
      <c r="I595" s="495">
        <v>14.3</v>
      </c>
      <c r="J595" s="496">
        <v>544.70000000000005</v>
      </c>
      <c r="K595" s="498">
        <v>1.9256777580985911E-5</v>
      </c>
    </row>
    <row r="596" spans="1:11" ht="62.5" x14ac:dyDescent="0.3">
      <c r="A596" s="493" t="s">
        <v>931</v>
      </c>
      <c r="B596" s="493" t="s">
        <v>299</v>
      </c>
      <c r="C596" s="493" t="s">
        <v>32</v>
      </c>
      <c r="D596" s="494" t="s">
        <v>4417</v>
      </c>
      <c r="E596" s="493" t="s">
        <v>268</v>
      </c>
      <c r="F596" s="495">
        <v>1058.3999999985729</v>
      </c>
      <c r="G596" s="496">
        <v>10.49</v>
      </c>
      <c r="H596" s="497">
        <v>0.2122</v>
      </c>
      <c r="I596" s="495">
        <v>12.72</v>
      </c>
      <c r="J596" s="496">
        <v>13462.84</v>
      </c>
      <c r="K596" s="498">
        <v>4.7595174497595068E-4</v>
      </c>
    </row>
    <row r="597" spans="1:11" ht="62.5" x14ac:dyDescent="0.3">
      <c r="A597" s="493" t="s">
        <v>932</v>
      </c>
      <c r="B597" s="493" t="s">
        <v>301</v>
      </c>
      <c r="C597" s="493" t="s">
        <v>32</v>
      </c>
      <c r="D597" s="494" t="s">
        <v>4418</v>
      </c>
      <c r="E597" s="493" t="s">
        <v>268</v>
      </c>
      <c r="F597" s="495">
        <v>308.1919693233811</v>
      </c>
      <c r="G597" s="496">
        <v>9.01</v>
      </c>
      <c r="H597" s="497">
        <v>0.2122</v>
      </c>
      <c r="I597" s="495">
        <v>10.92</v>
      </c>
      <c r="J597" s="496">
        <v>3365.45</v>
      </c>
      <c r="K597" s="498">
        <v>1.1897874446471273E-4</v>
      </c>
    </row>
    <row r="598" spans="1:11" ht="62.5" x14ac:dyDescent="0.3">
      <c r="A598" s="493" t="s">
        <v>933</v>
      </c>
      <c r="B598" s="493" t="s">
        <v>303</v>
      </c>
      <c r="C598" s="493" t="s">
        <v>32</v>
      </c>
      <c r="D598" s="494" t="s">
        <v>4419</v>
      </c>
      <c r="E598" s="493" t="s">
        <v>268</v>
      </c>
      <c r="F598" s="495">
        <v>115.8531506677528</v>
      </c>
      <c r="G598" s="496">
        <v>9.31</v>
      </c>
      <c r="H598" s="497">
        <v>0.2122</v>
      </c>
      <c r="I598" s="495">
        <v>11.29</v>
      </c>
      <c r="J598" s="496">
        <v>1307.98</v>
      </c>
      <c r="K598" s="498">
        <v>4.6241013292414085E-5</v>
      </c>
    </row>
    <row r="599" spans="1:11" ht="62.5" x14ac:dyDescent="0.3">
      <c r="A599" s="493" t="s">
        <v>934</v>
      </c>
      <c r="B599" s="493" t="s">
        <v>305</v>
      </c>
      <c r="C599" s="493" t="s">
        <v>32</v>
      </c>
      <c r="D599" s="494" t="s">
        <v>4420</v>
      </c>
      <c r="E599" s="493" t="s">
        <v>268</v>
      </c>
      <c r="F599" s="495">
        <v>88.280165286461624</v>
      </c>
      <c r="G599" s="496">
        <v>8.6999999999999993</v>
      </c>
      <c r="H599" s="497">
        <v>0.2122</v>
      </c>
      <c r="I599" s="495">
        <v>10.55</v>
      </c>
      <c r="J599" s="496">
        <v>931.35</v>
      </c>
      <c r="K599" s="498">
        <v>3.2926013952728522E-5</v>
      </c>
    </row>
    <row r="600" spans="1:11" ht="37.5" x14ac:dyDescent="0.3">
      <c r="A600" s="493" t="s">
        <v>935</v>
      </c>
      <c r="B600" s="493" t="s">
        <v>310</v>
      </c>
      <c r="C600" s="493" t="s">
        <v>4210</v>
      </c>
      <c r="D600" s="494" t="s">
        <v>311</v>
      </c>
      <c r="E600" s="493" t="s">
        <v>268</v>
      </c>
      <c r="F600" s="495">
        <v>518.82072152535636</v>
      </c>
      <c r="G600" s="496">
        <v>13.06</v>
      </c>
      <c r="H600" s="497">
        <v>0.2122</v>
      </c>
      <c r="I600" s="495">
        <v>15.83</v>
      </c>
      <c r="J600" s="496">
        <v>8212.93</v>
      </c>
      <c r="K600" s="498">
        <v>2.9035169138646338E-4</v>
      </c>
    </row>
    <row r="601" spans="1:11" ht="37.5" x14ac:dyDescent="0.3">
      <c r="A601" s="493" t="s">
        <v>936</v>
      </c>
      <c r="B601" s="493" t="s">
        <v>313</v>
      </c>
      <c r="C601" s="493" t="s">
        <v>4210</v>
      </c>
      <c r="D601" s="494" t="s">
        <v>314</v>
      </c>
      <c r="E601" s="493" t="s">
        <v>268</v>
      </c>
      <c r="F601" s="495">
        <v>112.65387743670635</v>
      </c>
      <c r="G601" s="496">
        <v>17.96</v>
      </c>
      <c r="H601" s="497">
        <v>0.2122</v>
      </c>
      <c r="I601" s="495">
        <v>21.77</v>
      </c>
      <c r="J601" s="496">
        <v>2452.4699999999998</v>
      </c>
      <c r="K601" s="498">
        <v>8.6702165070755483E-5</v>
      </c>
    </row>
    <row r="602" spans="1:11" ht="25" x14ac:dyDescent="0.3">
      <c r="A602" s="493" t="s">
        <v>937</v>
      </c>
      <c r="B602" s="493" t="s">
        <v>16937</v>
      </c>
      <c r="C602" s="493" t="s">
        <v>446</v>
      </c>
      <c r="D602" s="494" t="s">
        <v>16938</v>
      </c>
      <c r="E602" s="493" t="s">
        <v>268</v>
      </c>
      <c r="F602" s="495">
        <v>22.56</v>
      </c>
      <c r="G602" s="496">
        <v>108.71</v>
      </c>
      <c r="H602" s="497">
        <v>0.2122</v>
      </c>
      <c r="I602" s="495">
        <v>131.78</v>
      </c>
      <c r="J602" s="496">
        <v>2972.95</v>
      </c>
      <c r="K602" s="498">
        <v>1.0510269305928411E-4</v>
      </c>
    </row>
    <row r="603" spans="1:11" ht="50" x14ac:dyDescent="0.3">
      <c r="A603" s="493" t="s">
        <v>938</v>
      </c>
      <c r="B603" s="493" t="s">
        <v>127</v>
      </c>
      <c r="C603" s="493" t="s">
        <v>32</v>
      </c>
      <c r="D603" s="494" t="s">
        <v>128</v>
      </c>
      <c r="E603" s="493" t="s">
        <v>268</v>
      </c>
      <c r="F603" s="495">
        <v>453.90722392076123</v>
      </c>
      <c r="G603" s="496">
        <v>6.53</v>
      </c>
      <c r="H603" s="497">
        <v>0.2122</v>
      </c>
      <c r="I603" s="495">
        <v>7.92</v>
      </c>
      <c r="J603" s="496">
        <v>3594.94</v>
      </c>
      <c r="K603" s="498">
        <v>1.270919037947301E-4</v>
      </c>
    </row>
    <row r="604" spans="1:11" ht="25" x14ac:dyDescent="0.3">
      <c r="A604" s="493" t="s">
        <v>939</v>
      </c>
      <c r="B604" s="493" t="s">
        <v>119</v>
      </c>
      <c r="C604" s="493" t="s">
        <v>32</v>
      </c>
      <c r="D604" s="494" t="s">
        <v>120</v>
      </c>
      <c r="E604" s="493" t="s">
        <v>121</v>
      </c>
      <c r="F604" s="495">
        <v>13617.216717622836</v>
      </c>
      <c r="G604" s="496">
        <v>2.1</v>
      </c>
      <c r="H604" s="497">
        <v>0.2122</v>
      </c>
      <c r="I604" s="495">
        <v>2.5499999999999998</v>
      </c>
      <c r="J604" s="496">
        <v>34723.9</v>
      </c>
      <c r="K604" s="498">
        <v>1.2275939398648736E-3</v>
      </c>
    </row>
    <row r="605" spans="1:11" ht="37.5" x14ac:dyDescent="0.3">
      <c r="A605" s="493" t="s">
        <v>940</v>
      </c>
      <c r="B605" s="493" t="s">
        <v>122</v>
      </c>
      <c r="C605" s="493" t="s">
        <v>32</v>
      </c>
      <c r="D605" s="494" t="s">
        <v>123</v>
      </c>
      <c r="E605" s="493" t="s">
        <v>121</v>
      </c>
      <c r="F605" s="495">
        <v>7135.8185796748103</v>
      </c>
      <c r="G605" s="496">
        <v>0.85</v>
      </c>
      <c r="H605" s="497">
        <v>0.2122</v>
      </c>
      <c r="I605" s="495">
        <v>1.03</v>
      </c>
      <c r="J605" s="496">
        <v>7349.89</v>
      </c>
      <c r="K605" s="498">
        <v>2.5984064067323761E-4</v>
      </c>
    </row>
    <row r="606" spans="1:11" ht="39" customHeight="1" x14ac:dyDescent="0.3">
      <c r="A606" s="493" t="s">
        <v>941</v>
      </c>
      <c r="B606" s="493" t="s">
        <v>324</v>
      </c>
      <c r="C606" s="493" t="s">
        <v>32</v>
      </c>
      <c r="D606" s="494" t="s">
        <v>4422</v>
      </c>
      <c r="E606" s="493" t="s">
        <v>268</v>
      </c>
      <c r="F606" s="495">
        <v>453.90722392076123</v>
      </c>
      <c r="G606" s="496">
        <v>1.37</v>
      </c>
      <c r="H606" s="497">
        <v>0.2122</v>
      </c>
      <c r="I606" s="495">
        <v>1.66</v>
      </c>
      <c r="J606" s="496">
        <v>753.48</v>
      </c>
      <c r="K606" s="498">
        <v>2.6637776338757599E-5</v>
      </c>
    </row>
    <row r="607" spans="1:11" ht="24" customHeight="1" x14ac:dyDescent="0.3">
      <c r="A607" s="489" t="s">
        <v>942</v>
      </c>
      <c r="B607" s="489" t="s">
        <v>1328</v>
      </c>
      <c r="C607" s="489" t="s">
        <v>1328</v>
      </c>
      <c r="D607" s="490" t="s">
        <v>326</v>
      </c>
      <c r="E607" s="490" t="s">
        <v>1328</v>
      </c>
      <c r="F607" s="499"/>
      <c r="G607" s="490"/>
      <c r="H607" s="489"/>
      <c r="I607" s="500"/>
      <c r="J607" s="357">
        <v>69.260000000000005</v>
      </c>
      <c r="K607" s="492">
        <v>2.4485485868534685E-6</v>
      </c>
    </row>
    <row r="608" spans="1:11" ht="39" customHeight="1" x14ac:dyDescent="0.3">
      <c r="A608" s="493" t="s">
        <v>943</v>
      </c>
      <c r="B608" s="493" t="s">
        <v>328</v>
      </c>
      <c r="C608" s="493" t="s">
        <v>125</v>
      </c>
      <c r="D608" s="494" t="s">
        <v>329</v>
      </c>
      <c r="E608" s="493" t="s">
        <v>1901</v>
      </c>
      <c r="F608" s="495">
        <v>4.1826852966510426</v>
      </c>
      <c r="G608" s="496">
        <v>13.66</v>
      </c>
      <c r="H608" s="497">
        <v>0.2122</v>
      </c>
      <c r="I608" s="495">
        <v>16.559999999999999</v>
      </c>
      <c r="J608" s="496">
        <v>69.260000000000005</v>
      </c>
      <c r="K608" s="498">
        <v>2.4485485868534685E-6</v>
      </c>
    </row>
    <row r="609" spans="1:11" ht="24" customHeight="1" x14ac:dyDescent="0.3">
      <c r="A609" s="489" t="s">
        <v>944</v>
      </c>
      <c r="B609" s="489" t="s">
        <v>1328</v>
      </c>
      <c r="C609" s="489" t="s">
        <v>1328</v>
      </c>
      <c r="D609" s="490" t="s">
        <v>332</v>
      </c>
      <c r="E609" s="490" t="s">
        <v>1328</v>
      </c>
      <c r="F609" s="499"/>
      <c r="G609" s="490"/>
      <c r="H609" s="489"/>
      <c r="I609" s="500"/>
      <c r="J609" s="357">
        <v>108443.93000000001</v>
      </c>
      <c r="K609" s="492">
        <v>3.8338179548705808E-3</v>
      </c>
    </row>
    <row r="610" spans="1:11" ht="37.5" x14ac:dyDescent="0.3">
      <c r="A610" s="493" t="s">
        <v>945</v>
      </c>
      <c r="B610" s="493" t="s">
        <v>334</v>
      </c>
      <c r="C610" s="493" t="s">
        <v>243</v>
      </c>
      <c r="D610" s="494" t="s">
        <v>335</v>
      </c>
      <c r="E610" s="493" t="s">
        <v>1332</v>
      </c>
      <c r="F610" s="495">
        <v>1511.9999999979614</v>
      </c>
      <c r="G610" s="496">
        <v>23.05</v>
      </c>
      <c r="H610" s="497">
        <v>0.2122</v>
      </c>
      <c r="I610" s="495">
        <v>27.94</v>
      </c>
      <c r="J610" s="496">
        <v>42245.27</v>
      </c>
      <c r="K610" s="498">
        <v>1.4934969124999018E-3</v>
      </c>
    </row>
    <row r="611" spans="1:11" ht="50" x14ac:dyDescent="0.3">
      <c r="A611" s="493" t="s">
        <v>946</v>
      </c>
      <c r="B611" s="493" t="s">
        <v>337</v>
      </c>
      <c r="C611" s="493" t="s">
        <v>243</v>
      </c>
      <c r="D611" s="494" t="s">
        <v>338</v>
      </c>
      <c r="E611" s="493" t="s">
        <v>1332</v>
      </c>
      <c r="F611" s="495">
        <v>518.22859999922434</v>
      </c>
      <c r="G611" s="496">
        <v>30.02</v>
      </c>
      <c r="H611" s="497">
        <v>0.2122</v>
      </c>
      <c r="I611" s="495">
        <v>36.39</v>
      </c>
      <c r="J611" s="496">
        <v>18858.330000000002</v>
      </c>
      <c r="K611" s="498">
        <v>6.666984878994567E-4</v>
      </c>
    </row>
    <row r="612" spans="1:11" ht="50" x14ac:dyDescent="0.3">
      <c r="A612" s="493" t="s">
        <v>947</v>
      </c>
      <c r="B612" s="493" t="s">
        <v>340</v>
      </c>
      <c r="C612" s="493" t="s">
        <v>243</v>
      </c>
      <c r="D612" s="494" t="s">
        <v>4423</v>
      </c>
      <c r="E612" s="493" t="s">
        <v>1332</v>
      </c>
      <c r="F612" s="495">
        <v>105.32104606159345</v>
      </c>
      <c r="G612" s="496">
        <v>32.4</v>
      </c>
      <c r="H612" s="497">
        <v>0.2122</v>
      </c>
      <c r="I612" s="495">
        <v>39.28</v>
      </c>
      <c r="J612" s="496">
        <v>4137.01</v>
      </c>
      <c r="K612" s="498">
        <v>1.4625570299305033E-4</v>
      </c>
    </row>
    <row r="613" spans="1:11" ht="37.5" x14ac:dyDescent="0.3">
      <c r="A613" s="493" t="s">
        <v>948</v>
      </c>
      <c r="B613" s="493" t="s">
        <v>342</v>
      </c>
      <c r="C613" s="493" t="s">
        <v>243</v>
      </c>
      <c r="D613" s="494" t="s">
        <v>4424</v>
      </c>
      <c r="E613" s="493" t="s">
        <v>1332</v>
      </c>
      <c r="F613" s="495">
        <v>105.32104606159345</v>
      </c>
      <c r="G613" s="496">
        <v>41.58</v>
      </c>
      <c r="H613" s="497">
        <v>0.2122</v>
      </c>
      <c r="I613" s="495">
        <v>50.4</v>
      </c>
      <c r="J613" s="496">
        <v>5308.18</v>
      </c>
      <c r="K613" s="498">
        <v>1.876600727369888E-4</v>
      </c>
    </row>
    <row r="614" spans="1:11" ht="50" x14ac:dyDescent="0.3">
      <c r="A614" s="493" t="s">
        <v>949</v>
      </c>
      <c r="B614" s="493" t="s">
        <v>345</v>
      </c>
      <c r="C614" s="493" t="s">
        <v>243</v>
      </c>
      <c r="D614" s="494" t="s">
        <v>4425</v>
      </c>
      <c r="E614" s="493" t="s">
        <v>1332</v>
      </c>
      <c r="F614" s="495">
        <v>2.8085612283091299</v>
      </c>
      <c r="G614" s="496">
        <v>23.69</v>
      </c>
      <c r="H614" s="497">
        <v>0.2122</v>
      </c>
      <c r="I614" s="495">
        <v>28.72</v>
      </c>
      <c r="J614" s="496">
        <v>80.66</v>
      </c>
      <c r="K614" s="498">
        <v>2.8515727550620955E-6</v>
      </c>
    </row>
    <row r="615" spans="1:11" ht="50" x14ac:dyDescent="0.3">
      <c r="A615" s="493" t="s">
        <v>950</v>
      </c>
      <c r="B615" s="493" t="s">
        <v>347</v>
      </c>
      <c r="C615" s="493" t="s">
        <v>243</v>
      </c>
      <c r="D615" s="494" t="s">
        <v>4426</v>
      </c>
      <c r="E615" s="493" t="s">
        <v>1332</v>
      </c>
      <c r="F615" s="495">
        <v>299.31964703385944</v>
      </c>
      <c r="G615" s="496">
        <v>47.36</v>
      </c>
      <c r="H615" s="497">
        <v>0.2122</v>
      </c>
      <c r="I615" s="495">
        <v>57.41</v>
      </c>
      <c r="J615" s="496">
        <v>17183.939999999999</v>
      </c>
      <c r="K615" s="498">
        <v>6.0750378289885622E-4</v>
      </c>
    </row>
    <row r="616" spans="1:11" ht="37.5" x14ac:dyDescent="0.3">
      <c r="A616" s="493" t="s">
        <v>951</v>
      </c>
      <c r="B616" s="493" t="s">
        <v>349</v>
      </c>
      <c r="C616" s="493" t="s">
        <v>243</v>
      </c>
      <c r="D616" s="494" t="s">
        <v>4427</v>
      </c>
      <c r="E616" s="493" t="s">
        <v>1332</v>
      </c>
      <c r="F616" s="495">
        <v>279.18456475551534</v>
      </c>
      <c r="G616" s="496">
        <v>59.71</v>
      </c>
      <c r="H616" s="497">
        <v>0.2122</v>
      </c>
      <c r="I616" s="495">
        <v>72.38</v>
      </c>
      <c r="J616" s="496">
        <v>20207.37</v>
      </c>
      <c r="K616" s="498">
        <v>7.1439109525736589E-4</v>
      </c>
    </row>
    <row r="617" spans="1:11" ht="50" x14ac:dyDescent="0.3">
      <c r="A617" s="493" t="s">
        <v>952</v>
      </c>
      <c r="B617" s="493" t="s">
        <v>351</v>
      </c>
      <c r="C617" s="493" t="s">
        <v>243</v>
      </c>
      <c r="D617" s="494" t="s">
        <v>4428</v>
      </c>
      <c r="E617" s="493" t="s">
        <v>1332</v>
      </c>
      <c r="F617" s="495">
        <v>9.0209770841779271</v>
      </c>
      <c r="G617" s="496">
        <v>38.700000000000003</v>
      </c>
      <c r="H617" s="497">
        <v>0.2122</v>
      </c>
      <c r="I617" s="495">
        <v>46.91</v>
      </c>
      <c r="J617" s="496">
        <v>423.17</v>
      </c>
      <c r="K617" s="498">
        <v>1.4960327829898674E-5</v>
      </c>
    </row>
    <row r="618" spans="1:11" ht="24" customHeight="1" x14ac:dyDescent="0.3">
      <c r="A618" s="489" t="s">
        <v>953</v>
      </c>
      <c r="B618" s="489" t="s">
        <v>1328</v>
      </c>
      <c r="C618" s="489" t="s">
        <v>1328</v>
      </c>
      <c r="D618" s="490" t="s">
        <v>355</v>
      </c>
      <c r="E618" s="490" t="s">
        <v>1328</v>
      </c>
      <c r="F618" s="499"/>
      <c r="G618" s="490"/>
      <c r="H618" s="489"/>
      <c r="I618" s="500"/>
      <c r="J618" s="357">
        <v>303198.5</v>
      </c>
      <c r="K618" s="492">
        <v>1.0718975724965222E-2</v>
      </c>
    </row>
    <row r="619" spans="1:11" ht="39" customHeight="1" x14ac:dyDescent="0.3">
      <c r="A619" s="493" t="s">
        <v>954</v>
      </c>
      <c r="B619" s="493" t="s">
        <v>357</v>
      </c>
      <c r="C619" s="493" t="s">
        <v>32</v>
      </c>
      <c r="D619" s="494" t="s">
        <v>358</v>
      </c>
      <c r="E619" s="493" t="s">
        <v>268</v>
      </c>
      <c r="F619" s="495">
        <v>70.559999999904861</v>
      </c>
      <c r="G619" s="496">
        <v>271.92</v>
      </c>
      <c r="H619" s="497">
        <v>0.2122</v>
      </c>
      <c r="I619" s="495">
        <v>329.62</v>
      </c>
      <c r="J619" s="496">
        <v>23257.98</v>
      </c>
      <c r="K619" s="498">
        <v>8.2223930208007829E-4</v>
      </c>
    </row>
    <row r="620" spans="1:11" ht="39" customHeight="1" x14ac:dyDescent="0.3">
      <c r="A620" s="493" t="s">
        <v>955</v>
      </c>
      <c r="B620" s="493" t="s">
        <v>360</v>
      </c>
      <c r="C620" s="493" t="s">
        <v>32</v>
      </c>
      <c r="D620" s="494" t="s">
        <v>361</v>
      </c>
      <c r="E620" s="493" t="s">
        <v>268</v>
      </c>
      <c r="F620" s="495">
        <v>63.467387219310922</v>
      </c>
      <c r="G620" s="496">
        <v>224.67</v>
      </c>
      <c r="H620" s="497">
        <v>0.2122</v>
      </c>
      <c r="I620" s="495">
        <v>272.33999999999997</v>
      </c>
      <c r="J620" s="496">
        <v>17284.7</v>
      </c>
      <c r="K620" s="498">
        <v>6.1106595089786516E-4</v>
      </c>
    </row>
    <row r="621" spans="1:11" ht="39" customHeight="1" x14ac:dyDescent="0.3">
      <c r="A621" s="493" t="s">
        <v>956</v>
      </c>
      <c r="B621" s="493" t="s">
        <v>363</v>
      </c>
      <c r="C621" s="493" t="s">
        <v>4210</v>
      </c>
      <c r="D621" s="494" t="s">
        <v>364</v>
      </c>
      <c r="E621" s="493" t="s">
        <v>268</v>
      </c>
      <c r="F621" s="495">
        <v>156.33686918103427</v>
      </c>
      <c r="G621" s="496">
        <v>15.45</v>
      </c>
      <c r="H621" s="497">
        <v>0.2122</v>
      </c>
      <c r="I621" s="495">
        <v>18.73</v>
      </c>
      <c r="J621" s="496">
        <v>2928.18</v>
      </c>
      <c r="K621" s="498">
        <v>1.0351993937413497E-4</v>
      </c>
    </row>
    <row r="622" spans="1:11" ht="39" customHeight="1" x14ac:dyDescent="0.3">
      <c r="A622" s="493" t="s">
        <v>957</v>
      </c>
      <c r="B622" s="493" t="s">
        <v>366</v>
      </c>
      <c r="C622" s="493" t="s">
        <v>125</v>
      </c>
      <c r="D622" s="494" t="s">
        <v>4232</v>
      </c>
      <c r="E622" s="493" t="s">
        <v>268</v>
      </c>
      <c r="F622" s="495">
        <v>156.33686918103427</v>
      </c>
      <c r="G622" s="496">
        <v>208.42</v>
      </c>
      <c r="H622" s="497">
        <v>0.2122</v>
      </c>
      <c r="I622" s="495">
        <v>252.65</v>
      </c>
      <c r="J622" s="496">
        <v>39498.5</v>
      </c>
      <c r="K622" s="498">
        <v>1.3963903603498658E-3</v>
      </c>
    </row>
    <row r="623" spans="1:11" ht="39" customHeight="1" x14ac:dyDescent="0.3">
      <c r="A623" s="493" t="s">
        <v>958</v>
      </c>
      <c r="B623" s="493" t="s">
        <v>369</v>
      </c>
      <c r="C623" s="493" t="s">
        <v>4210</v>
      </c>
      <c r="D623" s="494" t="s">
        <v>370</v>
      </c>
      <c r="E623" s="493" t="s">
        <v>1332</v>
      </c>
      <c r="F623" s="495">
        <v>1042.2457945402286</v>
      </c>
      <c r="G623" s="496">
        <v>0.28000000000000003</v>
      </c>
      <c r="H623" s="497">
        <v>0.2122</v>
      </c>
      <c r="I623" s="495">
        <v>0.34</v>
      </c>
      <c r="J623" s="496">
        <v>354.36</v>
      </c>
      <c r="K623" s="498">
        <v>1.2527688091790283E-5</v>
      </c>
    </row>
    <row r="624" spans="1:11" ht="39" customHeight="1" x14ac:dyDescent="0.3">
      <c r="A624" s="493" t="s">
        <v>959</v>
      </c>
      <c r="B624" s="493" t="s">
        <v>372</v>
      </c>
      <c r="C624" s="493" t="s">
        <v>4210</v>
      </c>
      <c r="D624" s="494" t="s">
        <v>373</v>
      </c>
      <c r="E624" s="493" t="s">
        <v>381</v>
      </c>
      <c r="F624" s="495">
        <v>0.47</v>
      </c>
      <c r="G624" s="496">
        <v>4033.08</v>
      </c>
      <c r="H624" s="497">
        <v>0.111</v>
      </c>
      <c r="I624" s="495">
        <v>4480.75</v>
      </c>
      <c r="J624" s="496">
        <v>2105.9499999999998</v>
      </c>
      <c r="K624" s="498">
        <v>7.4451644477101659E-5</v>
      </c>
    </row>
    <row r="625" spans="1:11" ht="39" customHeight="1" x14ac:dyDescent="0.3">
      <c r="A625" s="493" t="s">
        <v>960</v>
      </c>
      <c r="B625" s="493" t="s">
        <v>376</v>
      </c>
      <c r="C625" s="493" t="s">
        <v>4210</v>
      </c>
      <c r="D625" s="494" t="s">
        <v>377</v>
      </c>
      <c r="E625" s="493" t="s">
        <v>1332</v>
      </c>
      <c r="F625" s="495">
        <v>1042.2457945402286</v>
      </c>
      <c r="G625" s="496">
        <v>0.4</v>
      </c>
      <c r="H625" s="497">
        <v>0.2122</v>
      </c>
      <c r="I625" s="495">
        <v>0.48</v>
      </c>
      <c r="J625" s="496">
        <v>500.27</v>
      </c>
      <c r="K625" s="498">
        <v>1.7686043914888602E-5</v>
      </c>
    </row>
    <row r="626" spans="1:11" ht="39" customHeight="1" x14ac:dyDescent="0.3">
      <c r="A626" s="493" t="s">
        <v>961</v>
      </c>
      <c r="B626" s="493" t="s">
        <v>379</v>
      </c>
      <c r="C626" s="493" t="s">
        <v>4210</v>
      </c>
      <c r="D626" s="494" t="s">
        <v>380</v>
      </c>
      <c r="E626" s="493" t="s">
        <v>381</v>
      </c>
      <c r="F626" s="495">
        <v>1.35</v>
      </c>
      <c r="G626" s="496">
        <v>4291.21</v>
      </c>
      <c r="H626" s="497">
        <v>0.111</v>
      </c>
      <c r="I626" s="495">
        <v>4767.53</v>
      </c>
      <c r="J626" s="496">
        <v>6436.16</v>
      </c>
      <c r="K626" s="498">
        <v>2.275375465313719E-4</v>
      </c>
    </row>
    <row r="627" spans="1:11" ht="39" customHeight="1" x14ac:dyDescent="0.3">
      <c r="A627" s="493" t="s">
        <v>962</v>
      </c>
      <c r="B627" s="493" t="s">
        <v>383</v>
      </c>
      <c r="C627" s="493" t="s">
        <v>125</v>
      </c>
      <c r="D627" s="494" t="s">
        <v>4233</v>
      </c>
      <c r="E627" s="493" t="s">
        <v>1369</v>
      </c>
      <c r="F627" s="495">
        <v>16044.204268818952</v>
      </c>
      <c r="G627" s="496">
        <v>0.54959999999999998</v>
      </c>
      <c r="H627" s="497">
        <v>0.111</v>
      </c>
      <c r="I627" s="495">
        <v>0.61</v>
      </c>
      <c r="J627" s="496">
        <v>9786.9599999999991</v>
      </c>
      <c r="K627" s="498">
        <v>3.4599836958693932E-4</v>
      </c>
    </row>
    <row r="628" spans="1:11" ht="39" customHeight="1" x14ac:dyDescent="0.3">
      <c r="A628" s="493" t="s">
        <v>963</v>
      </c>
      <c r="B628" s="493" t="s">
        <v>386</v>
      </c>
      <c r="C628" s="493" t="s">
        <v>4210</v>
      </c>
      <c r="D628" s="494" t="s">
        <v>387</v>
      </c>
      <c r="E628" s="493" t="s">
        <v>268</v>
      </c>
      <c r="F628" s="495">
        <v>36.90272383620686</v>
      </c>
      <c r="G628" s="496">
        <v>124.59</v>
      </c>
      <c r="H628" s="497">
        <v>0.2122</v>
      </c>
      <c r="I628" s="495">
        <v>151.03</v>
      </c>
      <c r="J628" s="496">
        <v>5573.41</v>
      </c>
      <c r="K628" s="498">
        <v>1.9703674818733738E-4</v>
      </c>
    </row>
    <row r="629" spans="1:11" ht="39" customHeight="1" x14ac:dyDescent="0.3">
      <c r="A629" s="493" t="s">
        <v>964</v>
      </c>
      <c r="B629" s="493" t="s">
        <v>389</v>
      </c>
      <c r="C629" s="493" t="s">
        <v>4210</v>
      </c>
      <c r="D629" s="494" t="s">
        <v>390</v>
      </c>
      <c r="E629" s="493" t="s">
        <v>381</v>
      </c>
      <c r="F629" s="495">
        <v>88.566537206896456</v>
      </c>
      <c r="G629" s="496">
        <v>188.17</v>
      </c>
      <c r="H629" s="497">
        <v>0.2122</v>
      </c>
      <c r="I629" s="495">
        <v>228.1</v>
      </c>
      <c r="J629" s="496">
        <v>20202.02</v>
      </c>
      <c r="K629" s="498">
        <v>7.1420195672228562E-4</v>
      </c>
    </row>
    <row r="630" spans="1:11" ht="39" customHeight="1" x14ac:dyDescent="0.3">
      <c r="A630" s="493" t="s">
        <v>965</v>
      </c>
      <c r="B630" s="493" t="s">
        <v>392</v>
      </c>
      <c r="C630" s="493" t="s">
        <v>4210</v>
      </c>
      <c r="D630" s="494" t="s">
        <v>393</v>
      </c>
      <c r="E630" s="493" t="s">
        <v>381</v>
      </c>
      <c r="F630" s="495">
        <v>5.6000621475920624</v>
      </c>
      <c r="G630" s="496">
        <v>5274.22</v>
      </c>
      <c r="H630" s="497">
        <v>0.111</v>
      </c>
      <c r="I630" s="495">
        <v>5859.66</v>
      </c>
      <c r="J630" s="496">
        <v>32814.46</v>
      </c>
      <c r="K630" s="498">
        <v>1.1600895128697612E-3</v>
      </c>
    </row>
    <row r="631" spans="1:11" ht="39" customHeight="1" x14ac:dyDescent="0.3">
      <c r="A631" s="493" t="s">
        <v>966</v>
      </c>
      <c r="B631" s="493" t="s">
        <v>4234</v>
      </c>
      <c r="C631" s="493" t="s">
        <v>4235</v>
      </c>
      <c r="D631" s="494" t="s">
        <v>4430</v>
      </c>
      <c r="E631" s="493" t="s">
        <v>268</v>
      </c>
      <c r="F631" s="495">
        <v>859.31023253714272</v>
      </c>
      <c r="G631" s="496">
        <v>56.12</v>
      </c>
      <c r="H631" s="497">
        <v>0.2122</v>
      </c>
      <c r="I631" s="495">
        <v>68.03</v>
      </c>
      <c r="J631" s="496">
        <v>58458.87</v>
      </c>
      <c r="K631" s="498">
        <v>2.0666962680847621E-3</v>
      </c>
    </row>
    <row r="632" spans="1:11" ht="39" customHeight="1" x14ac:dyDescent="0.3">
      <c r="A632" s="493" t="s">
        <v>967</v>
      </c>
      <c r="B632" s="493" t="s">
        <v>397</v>
      </c>
      <c r="C632" s="493" t="s">
        <v>197</v>
      </c>
      <c r="D632" s="494" t="s">
        <v>398</v>
      </c>
      <c r="E632" s="493" t="s">
        <v>268</v>
      </c>
      <c r="F632" s="495">
        <v>793.2967585992925</v>
      </c>
      <c r="G632" s="496">
        <v>11.09</v>
      </c>
      <c r="H632" s="497">
        <v>0.2122</v>
      </c>
      <c r="I632" s="495">
        <v>13.44</v>
      </c>
      <c r="J632" s="496">
        <v>10661.9</v>
      </c>
      <c r="K632" s="498">
        <v>3.7693012096697936E-4</v>
      </c>
    </row>
    <row r="633" spans="1:11" ht="50" x14ac:dyDescent="0.3">
      <c r="A633" s="493" t="s">
        <v>968</v>
      </c>
      <c r="B633" s="493" t="s">
        <v>127</v>
      </c>
      <c r="C633" s="493" t="s">
        <v>32</v>
      </c>
      <c r="D633" s="494" t="s">
        <v>128</v>
      </c>
      <c r="E633" s="493" t="s">
        <v>268</v>
      </c>
      <c r="F633" s="495">
        <v>137.62703060435689</v>
      </c>
      <c r="G633" s="496">
        <v>6.53</v>
      </c>
      <c r="H633" s="497">
        <v>0.2122</v>
      </c>
      <c r="I633" s="495">
        <v>7.92</v>
      </c>
      <c r="J633" s="496">
        <v>1090</v>
      </c>
      <c r="K633" s="498">
        <v>3.8534766960298589E-5</v>
      </c>
    </row>
    <row r="634" spans="1:11" ht="25" x14ac:dyDescent="0.3">
      <c r="A634" s="493" t="s">
        <v>969</v>
      </c>
      <c r="B634" s="493" t="s">
        <v>119</v>
      </c>
      <c r="C634" s="493" t="s">
        <v>32</v>
      </c>
      <c r="D634" s="494" t="s">
        <v>120</v>
      </c>
      <c r="E634" s="493" t="s">
        <v>121</v>
      </c>
      <c r="F634" s="495">
        <v>3431.8210414889527</v>
      </c>
      <c r="G634" s="496">
        <v>2.1</v>
      </c>
      <c r="H634" s="497">
        <v>0.2122</v>
      </c>
      <c r="I634" s="495">
        <v>2.5499999999999998</v>
      </c>
      <c r="J634" s="496">
        <v>8751.14</v>
      </c>
      <c r="K634" s="498">
        <v>3.0937902801554803E-4</v>
      </c>
    </row>
    <row r="635" spans="1:11" ht="50" x14ac:dyDescent="0.3">
      <c r="A635" s="493" t="s">
        <v>970</v>
      </c>
      <c r="B635" s="493" t="s">
        <v>402</v>
      </c>
      <c r="C635" s="493" t="s">
        <v>32</v>
      </c>
      <c r="D635" s="494" t="s">
        <v>4431</v>
      </c>
      <c r="E635" s="493" t="s">
        <v>194</v>
      </c>
      <c r="F635" s="495">
        <v>503.99999999932044</v>
      </c>
      <c r="G635" s="496">
        <v>60.45</v>
      </c>
      <c r="H635" s="497">
        <v>0.2122</v>
      </c>
      <c r="I635" s="495">
        <v>73.28</v>
      </c>
      <c r="J635" s="496">
        <v>36933.11</v>
      </c>
      <c r="K635" s="498">
        <v>1.3056961348340123E-3</v>
      </c>
    </row>
    <row r="636" spans="1:11" ht="50" x14ac:dyDescent="0.3">
      <c r="A636" s="493" t="s">
        <v>971</v>
      </c>
      <c r="B636" s="493" t="s">
        <v>408</v>
      </c>
      <c r="C636" s="493" t="s">
        <v>32</v>
      </c>
      <c r="D636" s="494" t="s">
        <v>4434</v>
      </c>
      <c r="E636" s="493" t="s">
        <v>194</v>
      </c>
      <c r="F636" s="495">
        <v>35.107015353864483</v>
      </c>
      <c r="G636" s="496">
        <v>133.19</v>
      </c>
      <c r="H636" s="497">
        <v>0.2122</v>
      </c>
      <c r="I636" s="495">
        <v>161.44999999999999</v>
      </c>
      <c r="J636" s="496">
        <v>5668.02</v>
      </c>
      <c r="K636" s="498">
        <v>2.003814952534969E-4</v>
      </c>
    </row>
    <row r="637" spans="1:11" ht="50" x14ac:dyDescent="0.3">
      <c r="A637" s="493" t="s">
        <v>972</v>
      </c>
      <c r="B637" s="493" t="s">
        <v>410</v>
      </c>
      <c r="C637" s="493" t="s">
        <v>32</v>
      </c>
      <c r="D637" s="494" t="s">
        <v>4435</v>
      </c>
      <c r="E637" s="493" t="s">
        <v>194</v>
      </c>
      <c r="F637" s="495">
        <v>99.773215677953146</v>
      </c>
      <c r="G637" s="496">
        <v>172.74</v>
      </c>
      <c r="H637" s="497">
        <v>0.2122</v>
      </c>
      <c r="I637" s="495">
        <v>209.4</v>
      </c>
      <c r="J637" s="496">
        <v>20892.509999999998</v>
      </c>
      <c r="K637" s="498">
        <v>7.3861284776670442E-4</v>
      </c>
    </row>
    <row r="638" spans="1:11" ht="24" customHeight="1" x14ac:dyDescent="0.3">
      <c r="A638" s="489" t="s">
        <v>973</v>
      </c>
      <c r="B638" s="489" t="s">
        <v>1328</v>
      </c>
      <c r="C638" s="489" t="s">
        <v>1328</v>
      </c>
      <c r="D638" s="490" t="s">
        <v>412</v>
      </c>
      <c r="E638" s="490" t="s">
        <v>1328</v>
      </c>
      <c r="F638" s="499"/>
      <c r="G638" s="490"/>
      <c r="H638" s="489"/>
      <c r="I638" s="500"/>
      <c r="J638" s="357">
        <v>371756.56</v>
      </c>
      <c r="K638" s="492">
        <v>1.3142708628956203E-2</v>
      </c>
    </row>
    <row r="639" spans="1:11" ht="39" customHeight="1" x14ac:dyDescent="0.3">
      <c r="A639" s="493" t="s">
        <v>974</v>
      </c>
      <c r="B639" s="493" t="s">
        <v>414</v>
      </c>
      <c r="C639" s="493" t="s">
        <v>32</v>
      </c>
      <c r="D639" s="494" t="s">
        <v>415</v>
      </c>
      <c r="E639" s="493" t="s">
        <v>416</v>
      </c>
      <c r="F639" s="495">
        <v>17523.399896135252</v>
      </c>
      <c r="G639" s="496">
        <v>2.71</v>
      </c>
      <c r="H639" s="497">
        <v>0.2122</v>
      </c>
      <c r="I639" s="495">
        <v>3.29</v>
      </c>
      <c r="J639" s="496">
        <v>57651.98</v>
      </c>
      <c r="K639" s="498">
        <v>2.0381702881649495E-3</v>
      </c>
    </row>
    <row r="640" spans="1:11" ht="39" customHeight="1" x14ac:dyDescent="0.3">
      <c r="A640" s="493" t="s">
        <v>975</v>
      </c>
      <c r="B640" s="493" t="s">
        <v>418</v>
      </c>
      <c r="C640" s="493" t="s">
        <v>32</v>
      </c>
      <c r="D640" s="494" t="s">
        <v>419</v>
      </c>
      <c r="E640" s="493" t="s">
        <v>381</v>
      </c>
      <c r="F640" s="495">
        <v>221.75999999970099</v>
      </c>
      <c r="G640" s="496">
        <v>44.31</v>
      </c>
      <c r="H640" s="497">
        <v>0.2122</v>
      </c>
      <c r="I640" s="495">
        <v>53.71</v>
      </c>
      <c r="J640" s="496">
        <v>11910.72</v>
      </c>
      <c r="K640" s="498">
        <v>4.2107965094437391E-4</v>
      </c>
    </row>
    <row r="641" spans="1:11" ht="39" customHeight="1" x14ac:dyDescent="0.3">
      <c r="A641" s="493" t="s">
        <v>976</v>
      </c>
      <c r="B641" s="493" t="s">
        <v>421</v>
      </c>
      <c r="C641" s="493" t="s">
        <v>32</v>
      </c>
      <c r="D641" s="494" t="s">
        <v>422</v>
      </c>
      <c r="E641" s="493" t="s">
        <v>194</v>
      </c>
      <c r="F641" s="495">
        <v>503.99999999932044</v>
      </c>
      <c r="G641" s="496">
        <v>241.33</v>
      </c>
      <c r="H641" s="497">
        <v>0.111</v>
      </c>
      <c r="I641" s="495">
        <v>268.12</v>
      </c>
      <c r="J641" s="496">
        <v>135132.47</v>
      </c>
      <c r="K641" s="498">
        <v>4.777337835063798E-3</v>
      </c>
    </row>
    <row r="642" spans="1:11" ht="39" customHeight="1" x14ac:dyDescent="0.3">
      <c r="A642" s="493" t="s">
        <v>977</v>
      </c>
      <c r="B642" s="493" t="s">
        <v>439</v>
      </c>
      <c r="C642" s="493" t="s">
        <v>32</v>
      </c>
      <c r="D642" s="494" t="s">
        <v>440</v>
      </c>
      <c r="E642" s="493" t="s">
        <v>381</v>
      </c>
      <c r="F642" s="495">
        <v>40.724137810482794</v>
      </c>
      <c r="G642" s="496">
        <v>16.190000000000001</v>
      </c>
      <c r="H642" s="497">
        <v>0.2122</v>
      </c>
      <c r="I642" s="495">
        <v>19.63</v>
      </c>
      <c r="J642" s="496">
        <v>799.41</v>
      </c>
      <c r="K642" s="498">
        <v>2.8261539500671828E-5</v>
      </c>
    </row>
    <row r="643" spans="1:11" ht="39" customHeight="1" x14ac:dyDescent="0.3">
      <c r="A643" s="493" t="s">
        <v>978</v>
      </c>
      <c r="B643" s="493" t="s">
        <v>766</v>
      </c>
      <c r="C643" s="493" t="s">
        <v>32</v>
      </c>
      <c r="D643" s="494" t="s">
        <v>767</v>
      </c>
      <c r="E643" s="493" t="s">
        <v>194</v>
      </c>
      <c r="F643" s="495">
        <v>35.107015353864483</v>
      </c>
      <c r="G643" s="496">
        <v>758.46</v>
      </c>
      <c r="H643" s="497">
        <v>0.111</v>
      </c>
      <c r="I643" s="495">
        <v>842.65</v>
      </c>
      <c r="J643" s="496">
        <v>29582.92</v>
      </c>
      <c r="K643" s="498">
        <v>1.0458448882616112E-3</v>
      </c>
    </row>
    <row r="644" spans="1:11" ht="39" customHeight="1" x14ac:dyDescent="0.3">
      <c r="A644" s="493" t="s">
        <v>979</v>
      </c>
      <c r="B644" s="493" t="s">
        <v>445</v>
      </c>
      <c r="C644" s="493" t="s">
        <v>446</v>
      </c>
      <c r="D644" s="494" t="s">
        <v>769</v>
      </c>
      <c r="E644" s="493" t="s">
        <v>381</v>
      </c>
      <c r="F644" s="495">
        <v>175.60085959319753</v>
      </c>
      <c r="G644" s="496">
        <v>94.99</v>
      </c>
      <c r="H644" s="497">
        <v>0.2122</v>
      </c>
      <c r="I644" s="495">
        <v>115.15</v>
      </c>
      <c r="J644" s="496">
        <v>20220.43</v>
      </c>
      <c r="K644" s="498">
        <v>7.1485280540094535E-4</v>
      </c>
    </row>
    <row r="645" spans="1:11" ht="39" customHeight="1" x14ac:dyDescent="0.3">
      <c r="A645" s="493" t="s">
        <v>980</v>
      </c>
      <c r="B645" s="493" t="s">
        <v>981</v>
      </c>
      <c r="C645" s="493" t="s">
        <v>32</v>
      </c>
      <c r="D645" s="494" t="s">
        <v>982</v>
      </c>
      <c r="E645" s="493" t="s">
        <v>194</v>
      </c>
      <c r="F645" s="495">
        <v>53.981453829334242</v>
      </c>
      <c r="G645" s="496">
        <v>1018.04</v>
      </c>
      <c r="H645" s="497">
        <v>0.111</v>
      </c>
      <c r="I645" s="495">
        <v>1131.04</v>
      </c>
      <c r="J645" s="496">
        <v>61055.18</v>
      </c>
      <c r="K645" s="498">
        <v>2.1584836082743884E-3</v>
      </c>
    </row>
    <row r="646" spans="1:11" ht="39" customHeight="1" x14ac:dyDescent="0.3">
      <c r="A646" s="493" t="s">
        <v>983</v>
      </c>
      <c r="B646" s="493" t="s">
        <v>448</v>
      </c>
      <c r="C646" s="493" t="s">
        <v>32</v>
      </c>
      <c r="D646" s="494" t="s">
        <v>449</v>
      </c>
      <c r="E646" s="493" t="s">
        <v>194</v>
      </c>
      <c r="F646" s="495">
        <v>45.791761848618904</v>
      </c>
      <c r="G646" s="496">
        <v>1089.02</v>
      </c>
      <c r="H646" s="497">
        <v>0.111</v>
      </c>
      <c r="I646" s="495">
        <v>1209.9000000000001</v>
      </c>
      <c r="J646" s="496">
        <v>55403.45</v>
      </c>
      <c r="K646" s="498">
        <v>1.9586780133454629E-3</v>
      </c>
    </row>
    <row r="647" spans="1:11" ht="24" customHeight="1" x14ac:dyDescent="0.3">
      <c r="A647" s="489" t="s">
        <v>984</v>
      </c>
      <c r="B647" s="489" t="s">
        <v>1328</v>
      </c>
      <c r="C647" s="489" t="s">
        <v>1328</v>
      </c>
      <c r="D647" s="490" t="s">
        <v>451</v>
      </c>
      <c r="E647" s="490" t="s">
        <v>1328</v>
      </c>
      <c r="F647" s="499"/>
      <c r="G647" s="490"/>
      <c r="H647" s="489"/>
      <c r="I647" s="500"/>
      <c r="J647" s="357">
        <v>319201.92000000004</v>
      </c>
      <c r="K647" s="492">
        <v>1.1284744587596216E-2</v>
      </c>
    </row>
    <row r="648" spans="1:11" ht="39" customHeight="1" x14ac:dyDescent="0.3">
      <c r="A648" s="493" t="s">
        <v>985</v>
      </c>
      <c r="B648" s="493" t="s">
        <v>192</v>
      </c>
      <c r="C648" s="493" t="s">
        <v>32</v>
      </c>
      <c r="D648" s="494" t="s">
        <v>193</v>
      </c>
      <c r="E648" s="493" t="s">
        <v>194</v>
      </c>
      <c r="F648" s="495">
        <v>187.85</v>
      </c>
      <c r="G648" s="496">
        <v>9.66</v>
      </c>
      <c r="H648" s="497">
        <v>0.2122</v>
      </c>
      <c r="I648" s="495">
        <v>11.71</v>
      </c>
      <c r="J648" s="496">
        <v>2199.7199999999998</v>
      </c>
      <c r="K648" s="498">
        <v>7.776669502560368E-5</v>
      </c>
    </row>
    <row r="649" spans="1:11" ht="39" customHeight="1" x14ac:dyDescent="0.3">
      <c r="A649" s="493" t="s">
        <v>986</v>
      </c>
      <c r="B649" s="493" t="s">
        <v>220</v>
      </c>
      <c r="C649" s="493" t="s">
        <v>221</v>
      </c>
      <c r="D649" s="494" t="s">
        <v>4226</v>
      </c>
      <c r="E649" s="493" t="s">
        <v>194</v>
      </c>
      <c r="F649" s="495">
        <v>0</v>
      </c>
      <c r="G649" s="496">
        <v>300.70999999999998</v>
      </c>
      <c r="H649" s="497">
        <v>0.2122</v>
      </c>
      <c r="I649" s="495">
        <v>364.52</v>
      </c>
      <c r="J649" s="496">
        <v>0</v>
      </c>
      <c r="K649" s="498">
        <v>0</v>
      </c>
    </row>
    <row r="650" spans="1:11" ht="62.5" x14ac:dyDescent="0.3">
      <c r="A650" s="493" t="s">
        <v>987</v>
      </c>
      <c r="B650" s="493" t="s">
        <v>292</v>
      </c>
      <c r="C650" s="493" t="s">
        <v>32</v>
      </c>
      <c r="D650" s="494" t="s">
        <v>4414</v>
      </c>
      <c r="E650" s="493" t="s">
        <v>268</v>
      </c>
      <c r="F650" s="495">
        <v>1.46</v>
      </c>
      <c r="G650" s="496">
        <v>11.39</v>
      </c>
      <c r="H650" s="497">
        <v>0.2122</v>
      </c>
      <c r="I650" s="495">
        <v>13.81</v>
      </c>
      <c r="J650" s="496">
        <v>20.16</v>
      </c>
      <c r="K650" s="498">
        <v>7.127164237794675E-7</v>
      </c>
    </row>
    <row r="651" spans="1:11" ht="62.5" x14ac:dyDescent="0.3">
      <c r="A651" s="493" t="s">
        <v>988</v>
      </c>
      <c r="B651" s="493" t="s">
        <v>299</v>
      </c>
      <c r="C651" s="493" t="s">
        <v>32</v>
      </c>
      <c r="D651" s="494" t="s">
        <v>4417</v>
      </c>
      <c r="E651" s="493" t="s">
        <v>268</v>
      </c>
      <c r="F651" s="495">
        <v>281.58999999999997</v>
      </c>
      <c r="G651" s="496">
        <v>10.49</v>
      </c>
      <c r="H651" s="497">
        <v>0.2122</v>
      </c>
      <c r="I651" s="495">
        <v>12.72</v>
      </c>
      <c r="J651" s="496">
        <v>3581.82</v>
      </c>
      <c r="K651" s="498">
        <v>1.2662807247131808E-4</v>
      </c>
    </row>
    <row r="652" spans="1:11" ht="62.5" x14ac:dyDescent="0.3">
      <c r="A652" s="493" t="s">
        <v>989</v>
      </c>
      <c r="B652" s="493" t="s">
        <v>301</v>
      </c>
      <c r="C652" s="493" t="s">
        <v>32</v>
      </c>
      <c r="D652" s="494" t="s">
        <v>4418</v>
      </c>
      <c r="E652" s="493" t="s">
        <v>268</v>
      </c>
      <c r="F652" s="495">
        <v>139.35</v>
      </c>
      <c r="G652" s="496">
        <v>9.01</v>
      </c>
      <c r="H652" s="497">
        <v>0.2122</v>
      </c>
      <c r="I652" s="495">
        <v>10.92</v>
      </c>
      <c r="J652" s="496">
        <v>1521.7</v>
      </c>
      <c r="K652" s="498">
        <v>5.379665585640951E-5</v>
      </c>
    </row>
    <row r="653" spans="1:11" ht="62.5" x14ac:dyDescent="0.3">
      <c r="A653" s="493" t="s">
        <v>990</v>
      </c>
      <c r="B653" s="493" t="s">
        <v>471</v>
      </c>
      <c r="C653" s="493" t="s">
        <v>32</v>
      </c>
      <c r="D653" s="494" t="s">
        <v>4438</v>
      </c>
      <c r="E653" s="493" t="s">
        <v>268</v>
      </c>
      <c r="F653" s="495">
        <v>0.1</v>
      </c>
      <c r="G653" s="496">
        <v>8.5299999999999994</v>
      </c>
      <c r="H653" s="497">
        <v>0.2122</v>
      </c>
      <c r="I653" s="495">
        <v>10.34</v>
      </c>
      <c r="J653" s="496">
        <v>1.03</v>
      </c>
      <c r="K653" s="498">
        <v>3.6413587127621602E-8</v>
      </c>
    </row>
    <row r="654" spans="1:11" ht="62.5" x14ac:dyDescent="0.3">
      <c r="A654" s="493" t="s">
        <v>991</v>
      </c>
      <c r="B654" s="493" t="s">
        <v>303</v>
      </c>
      <c r="C654" s="493" t="s">
        <v>32</v>
      </c>
      <c r="D654" s="494" t="s">
        <v>4419</v>
      </c>
      <c r="E654" s="493" t="s">
        <v>268</v>
      </c>
      <c r="F654" s="495">
        <v>362.94</v>
      </c>
      <c r="G654" s="496">
        <v>9.31</v>
      </c>
      <c r="H654" s="497">
        <v>0.2122</v>
      </c>
      <c r="I654" s="495">
        <v>11.29</v>
      </c>
      <c r="J654" s="496">
        <v>4097.59</v>
      </c>
      <c r="K654" s="498">
        <v>1.4486208784298156E-4</v>
      </c>
    </row>
    <row r="655" spans="1:11" ht="62.5" x14ac:dyDescent="0.3">
      <c r="A655" s="493" t="s">
        <v>992</v>
      </c>
      <c r="B655" s="493" t="s">
        <v>305</v>
      </c>
      <c r="C655" s="493" t="s">
        <v>32</v>
      </c>
      <c r="D655" s="494" t="s">
        <v>4420</v>
      </c>
      <c r="E655" s="493" t="s">
        <v>268</v>
      </c>
      <c r="F655" s="495">
        <v>109.39</v>
      </c>
      <c r="G655" s="496">
        <v>8.6999999999999993</v>
      </c>
      <c r="H655" s="497">
        <v>0.2122</v>
      </c>
      <c r="I655" s="495">
        <v>10.55</v>
      </c>
      <c r="J655" s="496">
        <v>1154.06</v>
      </c>
      <c r="K655" s="498">
        <v>4.0799479961653382E-5</v>
      </c>
    </row>
    <row r="656" spans="1:11" ht="25" x14ac:dyDescent="0.3">
      <c r="A656" s="493" t="s">
        <v>993</v>
      </c>
      <c r="B656" s="493" t="s">
        <v>16937</v>
      </c>
      <c r="C656" s="493" t="s">
        <v>446</v>
      </c>
      <c r="D656" s="494" t="s">
        <v>16938</v>
      </c>
      <c r="E656" s="493" t="s">
        <v>268</v>
      </c>
      <c r="F656" s="495">
        <v>3.42</v>
      </c>
      <c r="G656" s="496">
        <v>108.71</v>
      </c>
      <c r="H656" s="497">
        <v>0.2122</v>
      </c>
      <c r="I656" s="495">
        <v>131.78</v>
      </c>
      <c r="J656" s="496">
        <v>450.68</v>
      </c>
      <c r="K656" s="498">
        <v>1.5932888783181071E-5</v>
      </c>
    </row>
    <row r="657" spans="1:11" ht="37.5" x14ac:dyDescent="0.3">
      <c r="A657" s="493" t="s">
        <v>994</v>
      </c>
      <c r="B657" s="493" t="s">
        <v>334</v>
      </c>
      <c r="C657" s="493" t="s">
        <v>243</v>
      </c>
      <c r="D657" s="494" t="s">
        <v>335</v>
      </c>
      <c r="E657" s="493" t="s">
        <v>1332</v>
      </c>
      <c r="F657" s="495">
        <v>663.56</v>
      </c>
      <c r="G657" s="496">
        <v>23.05</v>
      </c>
      <c r="H657" s="497">
        <v>0.2122</v>
      </c>
      <c r="I657" s="495">
        <v>27.94</v>
      </c>
      <c r="J657" s="496">
        <v>18539.86</v>
      </c>
      <c r="K657" s="498">
        <v>6.5543961887757924E-4</v>
      </c>
    </row>
    <row r="658" spans="1:11" ht="50" x14ac:dyDescent="0.3">
      <c r="A658" s="493" t="s">
        <v>995</v>
      </c>
      <c r="B658" s="493" t="s">
        <v>337</v>
      </c>
      <c r="C658" s="493" t="s">
        <v>243</v>
      </c>
      <c r="D658" s="494" t="s">
        <v>338</v>
      </c>
      <c r="E658" s="493" t="s">
        <v>1332</v>
      </c>
      <c r="F658" s="495">
        <v>307.67</v>
      </c>
      <c r="G658" s="496">
        <v>30.02</v>
      </c>
      <c r="H658" s="497">
        <v>0.2122</v>
      </c>
      <c r="I658" s="495">
        <v>36.39</v>
      </c>
      <c r="J658" s="496">
        <v>11196.11</v>
      </c>
      <c r="K658" s="498">
        <v>3.9581604560721896E-4</v>
      </c>
    </row>
    <row r="659" spans="1:11" ht="50" x14ac:dyDescent="0.3">
      <c r="A659" s="493" t="s">
        <v>996</v>
      </c>
      <c r="B659" s="493" t="s">
        <v>478</v>
      </c>
      <c r="C659" s="493" t="s">
        <v>243</v>
      </c>
      <c r="D659" s="494" t="s">
        <v>4439</v>
      </c>
      <c r="E659" s="493" t="s">
        <v>1332</v>
      </c>
      <c r="F659" s="495">
        <v>0.43</v>
      </c>
      <c r="G659" s="496">
        <v>14.37</v>
      </c>
      <c r="H659" s="497">
        <v>0.2122</v>
      </c>
      <c r="I659" s="495">
        <v>17.420000000000002</v>
      </c>
      <c r="J659" s="496">
        <v>7.49</v>
      </c>
      <c r="K659" s="498">
        <v>2.647939491125105E-7</v>
      </c>
    </row>
    <row r="660" spans="1:11" ht="50" x14ac:dyDescent="0.3">
      <c r="A660" s="493" t="s">
        <v>997</v>
      </c>
      <c r="B660" s="493" t="s">
        <v>340</v>
      </c>
      <c r="C660" s="493" t="s">
        <v>243</v>
      </c>
      <c r="D660" s="494" t="s">
        <v>4423</v>
      </c>
      <c r="E660" s="493" t="s">
        <v>1332</v>
      </c>
      <c r="F660" s="495">
        <v>332.97</v>
      </c>
      <c r="G660" s="496">
        <v>32.4</v>
      </c>
      <c r="H660" s="497">
        <v>0.2122</v>
      </c>
      <c r="I660" s="495">
        <v>39.28</v>
      </c>
      <c r="J660" s="496">
        <v>13079.06</v>
      </c>
      <c r="K660" s="498">
        <v>4.6238397170620445E-4</v>
      </c>
    </row>
    <row r="661" spans="1:11" ht="37.5" x14ac:dyDescent="0.3">
      <c r="A661" s="493" t="s">
        <v>998</v>
      </c>
      <c r="B661" s="493" t="s">
        <v>342</v>
      </c>
      <c r="C661" s="493" t="s">
        <v>243</v>
      </c>
      <c r="D661" s="494" t="s">
        <v>4424</v>
      </c>
      <c r="E661" s="493" t="s">
        <v>1332</v>
      </c>
      <c r="F661" s="495">
        <v>102.03</v>
      </c>
      <c r="G661" s="496">
        <v>41.58</v>
      </c>
      <c r="H661" s="497">
        <v>0.2122</v>
      </c>
      <c r="I661" s="495">
        <v>50.4</v>
      </c>
      <c r="J661" s="496">
        <v>5142.3100000000004</v>
      </c>
      <c r="K661" s="498">
        <v>1.8179607108955326E-4</v>
      </c>
    </row>
    <row r="662" spans="1:11" ht="39" customHeight="1" x14ac:dyDescent="0.3">
      <c r="A662" s="493" t="s">
        <v>999</v>
      </c>
      <c r="B662" s="493" t="s">
        <v>328</v>
      </c>
      <c r="C662" s="493" t="s">
        <v>125</v>
      </c>
      <c r="D662" s="494" t="s">
        <v>329</v>
      </c>
      <c r="E662" s="493" t="s">
        <v>1901</v>
      </c>
      <c r="F662" s="495">
        <v>0.16</v>
      </c>
      <c r="G662" s="496">
        <v>13.66</v>
      </c>
      <c r="H662" s="497">
        <v>0.2122</v>
      </c>
      <c r="I662" s="495">
        <v>16.559999999999999</v>
      </c>
      <c r="J662" s="496">
        <v>2.64</v>
      </c>
      <c r="K662" s="498">
        <v>9.333191263778741E-8</v>
      </c>
    </row>
    <row r="663" spans="1:11" ht="39" customHeight="1" x14ac:dyDescent="0.3">
      <c r="A663" s="493" t="s">
        <v>1000</v>
      </c>
      <c r="B663" s="493" t="s">
        <v>357</v>
      </c>
      <c r="C663" s="493" t="s">
        <v>32</v>
      </c>
      <c r="D663" s="494" t="s">
        <v>358</v>
      </c>
      <c r="E663" s="493" t="s">
        <v>268</v>
      </c>
      <c r="F663" s="495">
        <v>9.39</v>
      </c>
      <c r="G663" s="496">
        <v>271.92</v>
      </c>
      <c r="H663" s="497">
        <v>0.2122</v>
      </c>
      <c r="I663" s="495">
        <v>329.62</v>
      </c>
      <c r="J663" s="496">
        <v>3095.13</v>
      </c>
      <c r="K663" s="498">
        <v>1.0942212225855869E-4</v>
      </c>
    </row>
    <row r="664" spans="1:11" ht="39" customHeight="1" x14ac:dyDescent="0.3">
      <c r="A664" s="493" t="s">
        <v>1001</v>
      </c>
      <c r="B664" s="493" t="s">
        <v>386</v>
      </c>
      <c r="C664" s="493" t="s">
        <v>4210</v>
      </c>
      <c r="D664" s="494" t="s">
        <v>387</v>
      </c>
      <c r="E664" s="493" t="s">
        <v>268</v>
      </c>
      <c r="F664" s="495">
        <v>1.42</v>
      </c>
      <c r="G664" s="496">
        <v>124.59</v>
      </c>
      <c r="H664" s="497">
        <v>0.2122</v>
      </c>
      <c r="I664" s="495">
        <v>151.03</v>
      </c>
      <c r="J664" s="496">
        <v>214.46</v>
      </c>
      <c r="K664" s="498">
        <v>7.5818037819317761E-6</v>
      </c>
    </row>
    <row r="665" spans="1:11" ht="39" customHeight="1" x14ac:dyDescent="0.3">
      <c r="A665" s="493" t="s">
        <v>1002</v>
      </c>
      <c r="B665" s="493" t="s">
        <v>369</v>
      </c>
      <c r="C665" s="493" t="s">
        <v>4210</v>
      </c>
      <c r="D665" s="494" t="s">
        <v>370</v>
      </c>
      <c r="E665" s="493" t="s">
        <v>1332</v>
      </c>
      <c r="F665" s="495">
        <v>187.85</v>
      </c>
      <c r="G665" s="496">
        <v>0.28000000000000003</v>
      </c>
      <c r="H665" s="497">
        <v>0.2122</v>
      </c>
      <c r="I665" s="495">
        <v>0.34</v>
      </c>
      <c r="J665" s="496">
        <v>63.86</v>
      </c>
      <c r="K665" s="498">
        <v>2.2576424019125393E-6</v>
      </c>
    </row>
    <row r="666" spans="1:11" ht="39" customHeight="1" x14ac:dyDescent="0.3">
      <c r="A666" s="493" t="s">
        <v>1003</v>
      </c>
      <c r="B666" s="493" t="s">
        <v>372</v>
      </c>
      <c r="C666" s="493" t="s">
        <v>4210</v>
      </c>
      <c r="D666" s="494" t="s">
        <v>373</v>
      </c>
      <c r="E666" s="493" t="s">
        <v>381</v>
      </c>
      <c r="F666" s="495">
        <v>0.08</v>
      </c>
      <c r="G666" s="496">
        <v>4033.08</v>
      </c>
      <c r="H666" s="497">
        <v>0.111</v>
      </c>
      <c r="I666" s="495">
        <v>4480.75</v>
      </c>
      <c r="J666" s="496">
        <v>358.46</v>
      </c>
      <c r="K666" s="498">
        <v>1.2672635380356542E-5</v>
      </c>
    </row>
    <row r="667" spans="1:11" ht="39" customHeight="1" x14ac:dyDescent="0.3">
      <c r="A667" s="493" t="s">
        <v>1004</v>
      </c>
      <c r="B667" s="493" t="s">
        <v>376</v>
      </c>
      <c r="C667" s="493" t="s">
        <v>4210</v>
      </c>
      <c r="D667" s="494" t="s">
        <v>377</v>
      </c>
      <c r="E667" s="493" t="s">
        <v>1332</v>
      </c>
      <c r="F667" s="495">
        <v>187.85</v>
      </c>
      <c r="G667" s="496">
        <v>0.4</v>
      </c>
      <c r="H667" s="497">
        <v>0.2122</v>
      </c>
      <c r="I667" s="495">
        <v>0.48</v>
      </c>
      <c r="J667" s="496">
        <v>90.16</v>
      </c>
      <c r="K667" s="498">
        <v>3.1874262285692849E-6</v>
      </c>
    </row>
    <row r="668" spans="1:11" ht="39" customHeight="1" x14ac:dyDescent="0.3">
      <c r="A668" s="493" t="s">
        <v>1005</v>
      </c>
      <c r="B668" s="493" t="s">
        <v>379</v>
      </c>
      <c r="C668" s="493" t="s">
        <v>4210</v>
      </c>
      <c r="D668" s="494" t="s">
        <v>380</v>
      </c>
      <c r="E668" s="493" t="s">
        <v>381</v>
      </c>
      <c r="F668" s="495">
        <v>0.24</v>
      </c>
      <c r="G668" s="496">
        <v>4291.21</v>
      </c>
      <c r="H668" s="497">
        <v>0.111</v>
      </c>
      <c r="I668" s="495">
        <v>4767.53</v>
      </c>
      <c r="J668" s="496">
        <v>1144.2</v>
      </c>
      <c r="K668" s="498">
        <v>4.0450899409150137E-5</v>
      </c>
    </row>
    <row r="669" spans="1:11" ht="39" customHeight="1" x14ac:dyDescent="0.3">
      <c r="A669" s="493" t="s">
        <v>1006</v>
      </c>
      <c r="B669" s="493" t="s">
        <v>389</v>
      </c>
      <c r="C669" s="493" t="s">
        <v>4210</v>
      </c>
      <c r="D669" s="494" t="s">
        <v>390</v>
      </c>
      <c r="E669" s="493" t="s">
        <v>381</v>
      </c>
      <c r="F669" s="495">
        <v>3.42</v>
      </c>
      <c r="G669" s="496">
        <v>188.17</v>
      </c>
      <c r="H669" s="497">
        <v>0.2122</v>
      </c>
      <c r="I669" s="495">
        <v>228.1</v>
      </c>
      <c r="J669" s="496">
        <v>780.1</v>
      </c>
      <c r="K669" s="498">
        <v>2.7578873124521955E-5</v>
      </c>
    </row>
    <row r="670" spans="1:11" ht="39" customHeight="1" x14ac:dyDescent="0.3">
      <c r="A670" s="493" t="s">
        <v>1007</v>
      </c>
      <c r="B670" s="493" t="s">
        <v>392</v>
      </c>
      <c r="C670" s="493" t="s">
        <v>4210</v>
      </c>
      <c r="D670" s="494" t="s">
        <v>393</v>
      </c>
      <c r="E670" s="493" t="s">
        <v>381</v>
      </c>
      <c r="F670" s="495">
        <v>0.22</v>
      </c>
      <c r="G670" s="496">
        <v>5274.22</v>
      </c>
      <c r="H670" s="497">
        <v>0.111</v>
      </c>
      <c r="I670" s="495">
        <v>5859.66</v>
      </c>
      <c r="J670" s="496">
        <v>1289.1199999999999</v>
      </c>
      <c r="K670" s="498">
        <v>4.5574255765009277E-5</v>
      </c>
    </row>
    <row r="671" spans="1:11" ht="39" customHeight="1" x14ac:dyDescent="0.3">
      <c r="A671" s="493" t="s">
        <v>1008</v>
      </c>
      <c r="B671" s="493" t="s">
        <v>363</v>
      </c>
      <c r="C671" s="493" t="s">
        <v>4210</v>
      </c>
      <c r="D671" s="494" t="s">
        <v>364</v>
      </c>
      <c r="E671" s="493" t="s">
        <v>268</v>
      </c>
      <c r="F671" s="495">
        <v>7.12</v>
      </c>
      <c r="G671" s="496">
        <v>15.45</v>
      </c>
      <c r="H671" s="497">
        <v>0.2122</v>
      </c>
      <c r="I671" s="495">
        <v>18.73</v>
      </c>
      <c r="J671" s="496">
        <v>133.35</v>
      </c>
      <c r="K671" s="498">
        <v>4.7143221781246025E-6</v>
      </c>
    </row>
    <row r="672" spans="1:11" ht="39" customHeight="1" x14ac:dyDescent="0.3">
      <c r="A672" s="493" t="s">
        <v>1009</v>
      </c>
      <c r="B672" s="493" t="s">
        <v>366</v>
      </c>
      <c r="C672" s="493" t="s">
        <v>125</v>
      </c>
      <c r="D672" s="494" t="s">
        <v>4232</v>
      </c>
      <c r="E672" s="493" t="s">
        <v>268</v>
      </c>
      <c r="F672" s="495">
        <v>7.12</v>
      </c>
      <c r="G672" s="496">
        <v>208.42</v>
      </c>
      <c r="H672" s="497">
        <v>0.2122</v>
      </c>
      <c r="I672" s="495">
        <v>252.65</v>
      </c>
      <c r="J672" s="496">
        <v>1798.86</v>
      </c>
      <c r="K672" s="498">
        <v>6.3595092563488724E-5</v>
      </c>
    </row>
    <row r="673" spans="1:11" ht="39" customHeight="1" x14ac:dyDescent="0.3">
      <c r="A673" s="493" t="s">
        <v>1010</v>
      </c>
      <c r="B673" s="493" t="s">
        <v>383</v>
      </c>
      <c r="C673" s="493" t="s">
        <v>125</v>
      </c>
      <c r="D673" s="494" t="s">
        <v>4233</v>
      </c>
      <c r="E673" s="493" t="s">
        <v>1369</v>
      </c>
      <c r="F673" s="495">
        <v>738.32</v>
      </c>
      <c r="G673" s="496">
        <v>0.54959999999999998</v>
      </c>
      <c r="H673" s="497">
        <v>0.111</v>
      </c>
      <c r="I673" s="495">
        <v>0.61</v>
      </c>
      <c r="J673" s="496">
        <v>450.37</v>
      </c>
      <c r="K673" s="498">
        <v>1.5921929354045572E-5</v>
      </c>
    </row>
    <row r="674" spans="1:11" ht="39" customHeight="1" x14ac:dyDescent="0.3">
      <c r="A674" s="493" t="s">
        <v>1011</v>
      </c>
      <c r="B674" s="493" t="s">
        <v>4234</v>
      </c>
      <c r="C674" s="493" t="s">
        <v>4235</v>
      </c>
      <c r="D674" s="494" t="s">
        <v>4430</v>
      </c>
      <c r="E674" s="493" t="s">
        <v>268</v>
      </c>
      <c r="F674" s="495">
        <v>107.89</v>
      </c>
      <c r="G674" s="496">
        <v>56.12</v>
      </c>
      <c r="H674" s="497">
        <v>0.2122</v>
      </c>
      <c r="I674" s="495">
        <v>68.03</v>
      </c>
      <c r="J674" s="496">
        <v>7339.75</v>
      </c>
      <c r="K674" s="498">
        <v>2.5948216128151522E-4</v>
      </c>
    </row>
    <row r="675" spans="1:11" ht="39" customHeight="1" x14ac:dyDescent="0.3">
      <c r="A675" s="493" t="s">
        <v>1012</v>
      </c>
      <c r="B675" s="493" t="s">
        <v>397</v>
      </c>
      <c r="C675" s="493" t="s">
        <v>197</v>
      </c>
      <c r="D675" s="494" t="s">
        <v>398</v>
      </c>
      <c r="E675" s="493" t="s">
        <v>268</v>
      </c>
      <c r="F675" s="495">
        <v>540.48</v>
      </c>
      <c r="G675" s="496">
        <v>11.09</v>
      </c>
      <c r="H675" s="497">
        <v>0.2122</v>
      </c>
      <c r="I675" s="495">
        <v>13.44</v>
      </c>
      <c r="J675" s="496">
        <v>7264.05</v>
      </c>
      <c r="K675" s="498">
        <v>2.5680593939262107E-4</v>
      </c>
    </row>
    <row r="676" spans="1:11" ht="50" x14ac:dyDescent="0.3">
      <c r="A676" s="493" t="s">
        <v>1013</v>
      </c>
      <c r="B676" s="493" t="s">
        <v>127</v>
      </c>
      <c r="C676" s="493" t="s">
        <v>32</v>
      </c>
      <c r="D676" s="494" t="s">
        <v>128</v>
      </c>
      <c r="E676" s="493" t="s">
        <v>268</v>
      </c>
      <c r="F676" s="495">
        <v>253.5</v>
      </c>
      <c r="G676" s="496">
        <v>6.53</v>
      </c>
      <c r="H676" s="497">
        <v>0.2122</v>
      </c>
      <c r="I676" s="495">
        <v>7.92</v>
      </c>
      <c r="J676" s="496">
        <v>2007.72</v>
      </c>
      <c r="K676" s="498">
        <v>7.0978919561037325E-5</v>
      </c>
    </row>
    <row r="677" spans="1:11" ht="39" customHeight="1" x14ac:dyDescent="0.3">
      <c r="A677" s="493" t="s">
        <v>1014</v>
      </c>
      <c r="B677" s="493" t="s">
        <v>119</v>
      </c>
      <c r="C677" s="493" t="s">
        <v>32</v>
      </c>
      <c r="D677" s="494" t="s">
        <v>120</v>
      </c>
      <c r="E677" s="493" t="s">
        <v>121</v>
      </c>
      <c r="F677" s="495">
        <v>7523.7646400441317</v>
      </c>
      <c r="G677" s="496">
        <v>2.1</v>
      </c>
      <c r="H677" s="497">
        <v>0.2122</v>
      </c>
      <c r="I677" s="495">
        <v>2.5499999999999998</v>
      </c>
      <c r="J677" s="496">
        <v>19185.59</v>
      </c>
      <c r="K677" s="498">
        <v>6.7826810976682106E-4</v>
      </c>
    </row>
    <row r="678" spans="1:11" ht="39" customHeight="1" x14ac:dyDescent="0.3">
      <c r="A678" s="493" t="s">
        <v>1015</v>
      </c>
      <c r="B678" s="493" t="s">
        <v>122</v>
      </c>
      <c r="C678" s="493" t="s">
        <v>32</v>
      </c>
      <c r="D678" s="494" t="s">
        <v>123</v>
      </c>
      <c r="E678" s="493" t="s">
        <v>121</v>
      </c>
      <c r="F678" s="495">
        <v>3551.8761886157304</v>
      </c>
      <c r="G678" s="496">
        <v>0.85</v>
      </c>
      <c r="H678" s="497">
        <v>0.2122</v>
      </c>
      <c r="I678" s="495">
        <v>1.03</v>
      </c>
      <c r="J678" s="496">
        <v>3658.43</v>
      </c>
      <c r="K678" s="498">
        <v>1.2933646558767445E-4</v>
      </c>
    </row>
    <row r="679" spans="1:11" ht="39" customHeight="1" x14ac:dyDescent="0.3">
      <c r="A679" s="493" t="s">
        <v>1016</v>
      </c>
      <c r="B679" s="493" t="s">
        <v>324</v>
      </c>
      <c r="C679" s="493" t="s">
        <v>32</v>
      </c>
      <c r="D679" s="494" t="s">
        <v>4422</v>
      </c>
      <c r="E679" s="493" t="s">
        <v>268</v>
      </c>
      <c r="F679" s="495">
        <v>242.76849024054289</v>
      </c>
      <c r="G679" s="496">
        <v>1.37</v>
      </c>
      <c r="H679" s="497">
        <v>0.2122</v>
      </c>
      <c r="I679" s="495">
        <v>1.66</v>
      </c>
      <c r="J679" s="496">
        <v>402.99</v>
      </c>
      <c r="K679" s="498">
        <v>1.4246904346174981E-5</v>
      </c>
    </row>
    <row r="680" spans="1:11" ht="39" customHeight="1" x14ac:dyDescent="0.3">
      <c r="A680" s="493" t="s">
        <v>1017</v>
      </c>
      <c r="B680" s="493" t="s">
        <v>500</v>
      </c>
      <c r="C680" s="493" t="s">
        <v>32</v>
      </c>
      <c r="D680" s="494" t="s">
        <v>4440</v>
      </c>
      <c r="E680" s="493" t="s">
        <v>194</v>
      </c>
      <c r="F680" s="495">
        <v>113.54</v>
      </c>
      <c r="G680" s="496">
        <v>77.209999999999994</v>
      </c>
      <c r="H680" s="497">
        <v>0.2122</v>
      </c>
      <c r="I680" s="495">
        <v>93.59</v>
      </c>
      <c r="J680" s="496">
        <v>10626.2</v>
      </c>
      <c r="K680" s="498">
        <v>3.7566801896653657E-4</v>
      </c>
    </row>
    <row r="681" spans="1:11" ht="39" customHeight="1" x14ac:dyDescent="0.3">
      <c r="A681" s="493" t="s">
        <v>1018</v>
      </c>
      <c r="B681" s="493" t="s">
        <v>174</v>
      </c>
      <c r="C681" s="493" t="s">
        <v>32</v>
      </c>
      <c r="D681" s="494" t="s">
        <v>175</v>
      </c>
      <c r="E681" s="493" t="s">
        <v>268</v>
      </c>
      <c r="F681" s="495">
        <v>10.52</v>
      </c>
      <c r="G681" s="496">
        <v>403.4</v>
      </c>
      <c r="H681" s="497">
        <v>0.2122</v>
      </c>
      <c r="I681" s="495">
        <v>489</v>
      </c>
      <c r="J681" s="496">
        <v>5144.28</v>
      </c>
      <c r="K681" s="498">
        <v>1.8186571649405947E-4</v>
      </c>
    </row>
    <row r="682" spans="1:11" ht="39" customHeight="1" x14ac:dyDescent="0.3">
      <c r="A682" s="493" t="s">
        <v>1019</v>
      </c>
      <c r="B682" s="493" t="s">
        <v>503</v>
      </c>
      <c r="C682" s="493" t="s">
        <v>125</v>
      </c>
      <c r="D682" s="494" t="s">
        <v>537</v>
      </c>
      <c r="E682" s="493" t="s">
        <v>1369</v>
      </c>
      <c r="F682" s="495">
        <v>768</v>
      </c>
      <c r="G682" s="496">
        <v>12.15</v>
      </c>
      <c r="H682" s="497">
        <v>0.2122</v>
      </c>
      <c r="I682" s="495">
        <v>14.73</v>
      </c>
      <c r="J682" s="496">
        <v>11312.64</v>
      </c>
      <c r="K682" s="498">
        <v>3.9993573037224974E-4</v>
      </c>
    </row>
    <row r="683" spans="1:11" ht="39" customHeight="1" x14ac:dyDescent="0.3">
      <c r="A683" s="493" t="s">
        <v>1020</v>
      </c>
      <c r="B683" s="493" t="s">
        <v>506</v>
      </c>
      <c r="C683" s="493" t="s">
        <v>32</v>
      </c>
      <c r="D683" s="494" t="s">
        <v>507</v>
      </c>
      <c r="E683" s="493" t="s">
        <v>1332</v>
      </c>
      <c r="F683" s="495">
        <v>316.33</v>
      </c>
      <c r="G683" s="496">
        <v>133.38</v>
      </c>
      <c r="H683" s="497">
        <v>0.2122</v>
      </c>
      <c r="I683" s="495">
        <v>161.68</v>
      </c>
      <c r="J683" s="496">
        <v>51144.23</v>
      </c>
      <c r="K683" s="498">
        <v>1.8081018205632221E-3</v>
      </c>
    </row>
    <row r="684" spans="1:11" ht="39" customHeight="1" x14ac:dyDescent="0.3">
      <c r="A684" s="493" t="s">
        <v>1021</v>
      </c>
      <c r="B684" s="493" t="s">
        <v>509</v>
      </c>
      <c r="C684" s="493" t="s">
        <v>125</v>
      </c>
      <c r="D684" s="494" t="s">
        <v>4236</v>
      </c>
      <c r="E684" s="493" t="s">
        <v>1332</v>
      </c>
      <c r="F684" s="495">
        <v>597.54</v>
      </c>
      <c r="G684" s="496">
        <v>93.65</v>
      </c>
      <c r="H684" s="497">
        <v>0.2122</v>
      </c>
      <c r="I684" s="495">
        <v>113.52</v>
      </c>
      <c r="J684" s="496">
        <v>67832.740000000005</v>
      </c>
      <c r="K684" s="498">
        <v>2.3980906680536925E-3</v>
      </c>
    </row>
    <row r="685" spans="1:11" ht="39" customHeight="1" x14ac:dyDescent="0.3">
      <c r="A685" s="493" t="s">
        <v>1022</v>
      </c>
      <c r="B685" s="493" t="s">
        <v>176</v>
      </c>
      <c r="C685" s="493" t="s">
        <v>32</v>
      </c>
      <c r="D685" s="494" t="s">
        <v>177</v>
      </c>
      <c r="E685" s="493" t="s">
        <v>268</v>
      </c>
      <c r="F685" s="495">
        <v>40.22</v>
      </c>
      <c r="G685" s="496">
        <v>470.06</v>
      </c>
      <c r="H685" s="497">
        <v>0.2122</v>
      </c>
      <c r="I685" s="495">
        <v>569.80999999999995</v>
      </c>
      <c r="J685" s="496">
        <v>22917.75</v>
      </c>
      <c r="K685" s="498">
        <v>8.1021115183888351E-4</v>
      </c>
    </row>
    <row r="686" spans="1:11" ht="39" customHeight="1" x14ac:dyDescent="0.3">
      <c r="A686" s="493" t="s">
        <v>1023</v>
      </c>
      <c r="B686" s="493" t="s">
        <v>180</v>
      </c>
      <c r="C686" s="493" t="s">
        <v>32</v>
      </c>
      <c r="D686" s="494" t="s">
        <v>181</v>
      </c>
      <c r="E686" s="493" t="s">
        <v>268</v>
      </c>
      <c r="F686" s="495">
        <v>50.74</v>
      </c>
      <c r="G686" s="496">
        <v>326.63</v>
      </c>
      <c r="H686" s="497">
        <v>0.2122</v>
      </c>
      <c r="I686" s="495">
        <v>395.94</v>
      </c>
      <c r="J686" s="496">
        <v>20089.990000000002</v>
      </c>
      <c r="K686" s="498">
        <v>7.1024136044470557E-4</v>
      </c>
    </row>
    <row r="687" spans="1:11" ht="39" customHeight="1" x14ac:dyDescent="0.3">
      <c r="A687" s="493" t="s">
        <v>1024</v>
      </c>
      <c r="B687" s="493" t="s">
        <v>514</v>
      </c>
      <c r="C687" s="493" t="s">
        <v>32</v>
      </c>
      <c r="D687" s="494" t="s">
        <v>515</v>
      </c>
      <c r="E687" s="493" t="s">
        <v>194</v>
      </c>
      <c r="F687" s="495">
        <v>38.340000000000003</v>
      </c>
      <c r="G687" s="496">
        <v>62.21</v>
      </c>
      <c r="H687" s="497">
        <v>0.111</v>
      </c>
      <c r="I687" s="495">
        <v>69.12</v>
      </c>
      <c r="J687" s="496">
        <v>2650.06</v>
      </c>
      <c r="K687" s="498">
        <v>9.3687563789732916E-5</v>
      </c>
    </row>
    <row r="688" spans="1:11" ht="39" customHeight="1" x14ac:dyDescent="0.3">
      <c r="A688" s="493" t="s">
        <v>1025</v>
      </c>
      <c r="B688" s="493" t="s">
        <v>517</v>
      </c>
      <c r="C688" s="493" t="s">
        <v>32</v>
      </c>
      <c r="D688" s="494" t="s">
        <v>518</v>
      </c>
      <c r="E688" s="493" t="s">
        <v>194</v>
      </c>
      <c r="F688" s="495">
        <v>126.49</v>
      </c>
      <c r="G688" s="496">
        <v>68.3</v>
      </c>
      <c r="H688" s="497">
        <v>0.111</v>
      </c>
      <c r="I688" s="495">
        <v>75.88</v>
      </c>
      <c r="J688" s="496">
        <v>9598.06</v>
      </c>
      <c r="K688" s="498">
        <v>3.3932018841372792E-4</v>
      </c>
    </row>
    <row r="689" spans="1:11" ht="50" x14ac:dyDescent="0.3">
      <c r="A689" s="493" t="s">
        <v>1026</v>
      </c>
      <c r="B689" s="493" t="s">
        <v>519</v>
      </c>
      <c r="C689" s="493" t="s">
        <v>32</v>
      </c>
      <c r="D689" s="494" t="s">
        <v>4441</v>
      </c>
      <c r="E689" s="493" t="s">
        <v>194</v>
      </c>
      <c r="F689" s="495">
        <v>164.83</v>
      </c>
      <c r="G689" s="496">
        <v>38.11</v>
      </c>
      <c r="H689" s="497">
        <v>0.2122</v>
      </c>
      <c r="I689" s="495">
        <v>46.2</v>
      </c>
      <c r="J689" s="496">
        <v>7615.14</v>
      </c>
      <c r="K689" s="498">
        <v>2.6921802318353045E-4</v>
      </c>
    </row>
    <row r="690" spans="1:11" ht="24" customHeight="1" x14ac:dyDescent="0.3">
      <c r="A690" s="489" t="s">
        <v>1027</v>
      </c>
      <c r="B690" s="489" t="s">
        <v>1328</v>
      </c>
      <c r="C690" s="489" t="s">
        <v>1328</v>
      </c>
      <c r="D690" s="490" t="s">
        <v>521</v>
      </c>
      <c r="E690" s="490" t="s">
        <v>1328</v>
      </c>
      <c r="F690" s="499"/>
      <c r="G690" s="490"/>
      <c r="H690" s="489"/>
      <c r="I690" s="500"/>
      <c r="J690" s="357">
        <v>63403.399999999994</v>
      </c>
      <c r="K690" s="492">
        <v>2.2415002233858671E-3</v>
      </c>
    </row>
    <row r="691" spans="1:11" ht="39" customHeight="1" x14ac:dyDescent="0.3">
      <c r="A691" s="493" t="s">
        <v>1028</v>
      </c>
      <c r="B691" s="493" t="s">
        <v>523</v>
      </c>
      <c r="C691" s="493" t="s">
        <v>243</v>
      </c>
      <c r="D691" s="494" t="s">
        <v>524</v>
      </c>
      <c r="E691" s="493" t="s">
        <v>268</v>
      </c>
      <c r="F691" s="495">
        <v>4.3099999999999996</v>
      </c>
      <c r="G691" s="496">
        <v>262.95</v>
      </c>
      <c r="H691" s="497">
        <v>0.2122</v>
      </c>
      <c r="I691" s="495">
        <v>318.75</v>
      </c>
      <c r="J691" s="496">
        <v>1373.81</v>
      </c>
      <c r="K691" s="498">
        <v>4.8568301098832844E-5</v>
      </c>
    </row>
    <row r="692" spans="1:11" ht="39" customHeight="1" x14ac:dyDescent="0.3">
      <c r="A692" s="493" t="s">
        <v>1029</v>
      </c>
      <c r="B692" s="493" t="s">
        <v>526</v>
      </c>
      <c r="C692" s="493" t="s">
        <v>32</v>
      </c>
      <c r="D692" s="494" t="s">
        <v>4442</v>
      </c>
      <c r="E692" s="493" t="s">
        <v>268</v>
      </c>
      <c r="F692" s="495">
        <v>1.8</v>
      </c>
      <c r="G692" s="496">
        <v>3512.27</v>
      </c>
      <c r="H692" s="497">
        <v>0.2122</v>
      </c>
      <c r="I692" s="495">
        <v>4257.57</v>
      </c>
      <c r="J692" s="496">
        <v>7663.62</v>
      </c>
      <c r="K692" s="498">
        <v>2.7093193648833347E-4</v>
      </c>
    </row>
    <row r="693" spans="1:11" ht="39" customHeight="1" x14ac:dyDescent="0.3">
      <c r="A693" s="493" t="s">
        <v>1030</v>
      </c>
      <c r="B693" s="493" t="s">
        <v>506</v>
      </c>
      <c r="C693" s="493" t="s">
        <v>32</v>
      </c>
      <c r="D693" s="494" t="s">
        <v>507</v>
      </c>
      <c r="E693" s="493" t="s">
        <v>1332</v>
      </c>
      <c r="F693" s="495">
        <v>60.98</v>
      </c>
      <c r="G693" s="496">
        <v>133.38</v>
      </c>
      <c r="H693" s="497">
        <v>0.2122</v>
      </c>
      <c r="I693" s="495">
        <v>161.68</v>
      </c>
      <c r="J693" s="496">
        <v>9859.24</v>
      </c>
      <c r="K693" s="498">
        <v>3.485536842253709E-4</v>
      </c>
    </row>
    <row r="694" spans="1:11" ht="39" customHeight="1" x14ac:dyDescent="0.3">
      <c r="A694" s="493" t="s">
        <v>1031</v>
      </c>
      <c r="B694" s="493" t="s">
        <v>529</v>
      </c>
      <c r="C694" s="493" t="s">
        <v>32</v>
      </c>
      <c r="D694" s="494" t="s">
        <v>530</v>
      </c>
      <c r="E694" s="493" t="s">
        <v>268</v>
      </c>
      <c r="F694" s="495">
        <v>5.13</v>
      </c>
      <c r="G694" s="496">
        <v>430.64</v>
      </c>
      <c r="H694" s="497">
        <v>0.2122</v>
      </c>
      <c r="I694" s="495">
        <v>522.02</v>
      </c>
      <c r="J694" s="496">
        <v>2677.96</v>
      </c>
      <c r="K694" s="498">
        <v>9.4673912411927716E-5</v>
      </c>
    </row>
    <row r="695" spans="1:11" ht="39" customHeight="1" x14ac:dyDescent="0.3">
      <c r="A695" s="493" t="s">
        <v>1032</v>
      </c>
      <c r="B695" s="493" t="s">
        <v>176</v>
      </c>
      <c r="C695" s="493" t="s">
        <v>32</v>
      </c>
      <c r="D695" s="494" t="s">
        <v>177</v>
      </c>
      <c r="E695" s="493" t="s">
        <v>268</v>
      </c>
      <c r="F695" s="495">
        <v>11.95</v>
      </c>
      <c r="G695" s="496">
        <v>470.06</v>
      </c>
      <c r="H695" s="497">
        <v>0.2122</v>
      </c>
      <c r="I695" s="495">
        <v>569.80999999999995</v>
      </c>
      <c r="J695" s="496">
        <v>6809.22</v>
      </c>
      <c r="K695" s="498">
        <v>2.4072633567101317E-4</v>
      </c>
    </row>
    <row r="696" spans="1:11" ht="39" customHeight="1" x14ac:dyDescent="0.3">
      <c r="A696" s="493" t="s">
        <v>1033</v>
      </c>
      <c r="B696" s="493" t="s">
        <v>533</v>
      </c>
      <c r="C696" s="493" t="s">
        <v>125</v>
      </c>
      <c r="D696" s="494" t="s">
        <v>1368</v>
      </c>
      <c r="E696" s="493" t="s">
        <v>1332</v>
      </c>
      <c r="F696" s="495">
        <v>157.24</v>
      </c>
      <c r="G696" s="496">
        <v>77.569999999999993</v>
      </c>
      <c r="H696" s="497">
        <v>0.2122</v>
      </c>
      <c r="I696" s="495">
        <v>94.03</v>
      </c>
      <c r="J696" s="496">
        <v>14785.27</v>
      </c>
      <c r="K696" s="498">
        <v>5.2270360907806783E-4</v>
      </c>
    </row>
    <row r="697" spans="1:11" ht="39" customHeight="1" x14ac:dyDescent="0.3">
      <c r="A697" s="493" t="s">
        <v>1034</v>
      </c>
      <c r="B697" s="493" t="s">
        <v>180</v>
      </c>
      <c r="C697" s="493" t="s">
        <v>32</v>
      </c>
      <c r="D697" s="494" t="s">
        <v>181</v>
      </c>
      <c r="E697" s="493" t="s">
        <v>268</v>
      </c>
      <c r="F697" s="495">
        <v>17.079999999999998</v>
      </c>
      <c r="G697" s="496">
        <v>326.63</v>
      </c>
      <c r="H697" s="497">
        <v>0.2122</v>
      </c>
      <c r="I697" s="495">
        <v>395.94</v>
      </c>
      <c r="J697" s="496">
        <v>6762.65</v>
      </c>
      <c r="K697" s="498">
        <v>2.390799465908837E-4</v>
      </c>
    </row>
    <row r="698" spans="1:11" ht="39" customHeight="1" x14ac:dyDescent="0.3">
      <c r="A698" s="493" t="s">
        <v>1035</v>
      </c>
      <c r="B698" s="493" t="s">
        <v>503</v>
      </c>
      <c r="C698" s="493" t="s">
        <v>125</v>
      </c>
      <c r="D698" s="494" t="s">
        <v>537</v>
      </c>
      <c r="E698" s="493" t="s">
        <v>1369</v>
      </c>
      <c r="F698" s="495">
        <v>697.85</v>
      </c>
      <c r="G698" s="496">
        <v>12.15</v>
      </c>
      <c r="H698" s="497">
        <v>0.2122</v>
      </c>
      <c r="I698" s="495">
        <v>14.73</v>
      </c>
      <c r="J698" s="496">
        <v>10279.33</v>
      </c>
      <c r="K698" s="498">
        <v>3.6340512482385879E-4</v>
      </c>
    </row>
    <row r="699" spans="1:11" ht="39" customHeight="1" x14ac:dyDescent="0.3">
      <c r="A699" s="493" t="s">
        <v>1036</v>
      </c>
      <c r="B699" s="493" t="s">
        <v>539</v>
      </c>
      <c r="C699" s="493" t="s">
        <v>32</v>
      </c>
      <c r="D699" s="494" t="s">
        <v>540</v>
      </c>
      <c r="E699" s="493" t="s">
        <v>194</v>
      </c>
      <c r="F699" s="495">
        <v>5.65</v>
      </c>
      <c r="G699" s="496">
        <v>300.54000000000002</v>
      </c>
      <c r="H699" s="497">
        <v>0.2122</v>
      </c>
      <c r="I699" s="495">
        <v>364.31</v>
      </c>
      <c r="J699" s="496">
        <v>2058.35</v>
      </c>
      <c r="K699" s="498">
        <v>7.2768841809844588E-5</v>
      </c>
    </row>
    <row r="700" spans="1:11" ht="39" customHeight="1" x14ac:dyDescent="0.3">
      <c r="A700" s="493" t="s">
        <v>1037</v>
      </c>
      <c r="B700" s="493" t="s">
        <v>542</v>
      </c>
      <c r="C700" s="493" t="s">
        <v>32</v>
      </c>
      <c r="D700" s="494" t="s">
        <v>543</v>
      </c>
      <c r="E700" s="493" t="s">
        <v>268</v>
      </c>
      <c r="F700" s="495">
        <v>54.86</v>
      </c>
      <c r="G700" s="496">
        <v>17.05</v>
      </c>
      <c r="H700" s="497">
        <v>0.2122</v>
      </c>
      <c r="I700" s="495">
        <v>20.67</v>
      </c>
      <c r="J700" s="496">
        <v>1133.95</v>
      </c>
      <c r="K700" s="498">
        <v>4.0088531187734484E-5</v>
      </c>
    </row>
    <row r="701" spans="1:11" ht="24" customHeight="1" x14ac:dyDescent="0.3">
      <c r="A701" s="489" t="s">
        <v>1038</v>
      </c>
      <c r="B701" s="489" t="s">
        <v>1328</v>
      </c>
      <c r="C701" s="489" t="s">
        <v>1328</v>
      </c>
      <c r="D701" s="490" t="s">
        <v>545</v>
      </c>
      <c r="E701" s="490" t="s">
        <v>1328</v>
      </c>
      <c r="F701" s="499"/>
      <c r="G701" s="490"/>
      <c r="H701" s="489"/>
      <c r="I701" s="500"/>
      <c r="J701" s="357">
        <v>4018.55</v>
      </c>
      <c r="K701" s="492">
        <v>1.4206778694340175E-4</v>
      </c>
    </row>
    <row r="702" spans="1:11" ht="39" customHeight="1" x14ac:dyDescent="0.3">
      <c r="A702" s="493" t="s">
        <v>1039</v>
      </c>
      <c r="B702" s="493" t="s">
        <v>547</v>
      </c>
      <c r="C702" s="493" t="s">
        <v>197</v>
      </c>
      <c r="D702" s="494" t="s">
        <v>548</v>
      </c>
      <c r="E702" s="493" t="s">
        <v>194</v>
      </c>
      <c r="F702" s="495">
        <v>638.88</v>
      </c>
      <c r="G702" s="496">
        <v>5.19</v>
      </c>
      <c r="H702" s="497">
        <v>0.2122</v>
      </c>
      <c r="I702" s="495">
        <v>6.29</v>
      </c>
      <c r="J702" s="496">
        <v>4018.55</v>
      </c>
      <c r="K702" s="498">
        <v>1.4206778694340175E-4</v>
      </c>
    </row>
    <row r="703" spans="1:11" ht="24" customHeight="1" x14ac:dyDescent="0.3">
      <c r="A703" s="489" t="s">
        <v>1040</v>
      </c>
      <c r="B703" s="489" t="s">
        <v>1328</v>
      </c>
      <c r="C703" s="489" t="s">
        <v>1328</v>
      </c>
      <c r="D703" s="490" t="s">
        <v>1041</v>
      </c>
      <c r="E703" s="490" t="s">
        <v>1328</v>
      </c>
      <c r="F703" s="499"/>
      <c r="G703" s="490"/>
      <c r="H703" s="489"/>
      <c r="I703" s="500"/>
      <c r="J703" s="357">
        <v>742992.57</v>
      </c>
      <c r="K703" s="492">
        <v>2.6267014255214067E-2</v>
      </c>
    </row>
    <row r="704" spans="1:11" ht="39" customHeight="1" x14ac:dyDescent="0.3">
      <c r="A704" s="493" t="s">
        <v>1042</v>
      </c>
      <c r="B704" s="493" t="s">
        <v>839</v>
      </c>
      <c r="C704" s="493" t="s">
        <v>32</v>
      </c>
      <c r="D704" s="494" t="s">
        <v>4445</v>
      </c>
      <c r="E704" s="493" t="s">
        <v>1332</v>
      </c>
      <c r="F704" s="495">
        <v>2961.07</v>
      </c>
      <c r="G704" s="496">
        <v>4.9800000000000004</v>
      </c>
      <c r="H704" s="497">
        <v>0.2122</v>
      </c>
      <c r="I704" s="495">
        <v>6.04</v>
      </c>
      <c r="J704" s="496">
        <v>17884.86</v>
      </c>
      <c r="K704" s="498">
        <v>6.3228340570418886E-4</v>
      </c>
    </row>
    <row r="705" spans="1:11" ht="39" customHeight="1" x14ac:dyDescent="0.3">
      <c r="A705" s="493" t="s">
        <v>1043</v>
      </c>
      <c r="B705" s="493" t="s">
        <v>841</v>
      </c>
      <c r="C705" s="493" t="s">
        <v>842</v>
      </c>
      <c r="D705" s="494" t="s">
        <v>843</v>
      </c>
      <c r="E705" s="493" t="s">
        <v>268</v>
      </c>
      <c r="F705" s="495">
        <v>2672.42</v>
      </c>
      <c r="G705" s="496">
        <v>223.83</v>
      </c>
      <c r="H705" s="497">
        <v>0.2122</v>
      </c>
      <c r="I705" s="495">
        <v>271.33</v>
      </c>
      <c r="J705" s="496">
        <v>725107.71</v>
      </c>
      <c r="K705" s="498">
        <v>2.5634730849509881E-2</v>
      </c>
    </row>
    <row r="706" spans="1:11" ht="24" customHeight="1" x14ac:dyDescent="0.3">
      <c r="A706" s="489" t="s">
        <v>1044</v>
      </c>
      <c r="B706" s="489" t="s">
        <v>1328</v>
      </c>
      <c r="C706" s="489" t="s">
        <v>1328</v>
      </c>
      <c r="D706" s="490" t="s">
        <v>605</v>
      </c>
      <c r="E706" s="490" t="s">
        <v>1328</v>
      </c>
      <c r="F706" s="499"/>
      <c r="G706" s="490"/>
      <c r="H706" s="489"/>
      <c r="I706" s="500"/>
      <c r="J706" s="357">
        <v>19285.11</v>
      </c>
      <c r="K706" s="492">
        <v>6.81786440049288E-4</v>
      </c>
    </row>
    <row r="707" spans="1:11" ht="39" customHeight="1" x14ac:dyDescent="0.3">
      <c r="A707" s="493" t="s">
        <v>1045</v>
      </c>
      <c r="B707" s="493" t="s">
        <v>609</v>
      </c>
      <c r="C707" s="493" t="s">
        <v>221</v>
      </c>
      <c r="D707" s="494" t="s">
        <v>610</v>
      </c>
      <c r="E707" s="493" t="s">
        <v>89</v>
      </c>
      <c r="F707" s="495">
        <v>81</v>
      </c>
      <c r="G707" s="496">
        <v>35.1</v>
      </c>
      <c r="H707" s="497">
        <v>0.2122</v>
      </c>
      <c r="I707" s="495">
        <v>42.55</v>
      </c>
      <c r="J707" s="496">
        <v>3446.55</v>
      </c>
      <c r="K707" s="498">
        <v>1.2184587253854781E-4</v>
      </c>
    </row>
    <row r="708" spans="1:11" ht="39" customHeight="1" x14ac:dyDescent="0.3">
      <c r="A708" s="493" t="s">
        <v>1046</v>
      </c>
      <c r="B708" s="493" t="s">
        <v>614</v>
      </c>
      <c r="C708" s="493" t="s">
        <v>243</v>
      </c>
      <c r="D708" s="494" t="s">
        <v>615</v>
      </c>
      <c r="E708" s="493" t="s">
        <v>89</v>
      </c>
      <c r="F708" s="495">
        <v>68</v>
      </c>
      <c r="G708" s="496">
        <v>165.13</v>
      </c>
      <c r="H708" s="497">
        <v>0.2122</v>
      </c>
      <c r="I708" s="495">
        <v>200.17</v>
      </c>
      <c r="J708" s="496">
        <v>13611.56</v>
      </c>
      <c r="K708" s="498">
        <v>4.8120944272121268E-4</v>
      </c>
    </row>
    <row r="709" spans="1:11" ht="39" customHeight="1" x14ac:dyDescent="0.3">
      <c r="A709" s="493" t="s">
        <v>1047</v>
      </c>
      <c r="B709" s="493" t="s">
        <v>617</v>
      </c>
      <c r="C709" s="493" t="s">
        <v>243</v>
      </c>
      <c r="D709" s="494" t="s">
        <v>618</v>
      </c>
      <c r="E709" s="493" t="s">
        <v>89</v>
      </c>
      <c r="F709" s="495">
        <v>68</v>
      </c>
      <c r="G709" s="496">
        <v>27.02</v>
      </c>
      <c r="H709" s="497">
        <v>0.2122</v>
      </c>
      <c r="I709" s="495">
        <v>32.75</v>
      </c>
      <c r="J709" s="496">
        <v>2227</v>
      </c>
      <c r="K709" s="498">
        <v>7.8731124789527482E-5</v>
      </c>
    </row>
    <row r="710" spans="1:11" ht="24" customHeight="1" x14ac:dyDescent="0.3">
      <c r="A710" s="489" t="s">
        <v>1048</v>
      </c>
      <c r="B710" s="489" t="s">
        <v>1328</v>
      </c>
      <c r="C710" s="489" t="s">
        <v>1328</v>
      </c>
      <c r="D710" s="490" t="s">
        <v>620</v>
      </c>
      <c r="E710" s="490" t="s">
        <v>1328</v>
      </c>
      <c r="F710" s="499"/>
      <c r="G710" s="490"/>
      <c r="H710" s="489"/>
      <c r="I710" s="500"/>
      <c r="J710" s="357">
        <v>11542.759999999998</v>
      </c>
      <c r="K710" s="492">
        <v>4.0807116209051015E-4</v>
      </c>
    </row>
    <row r="711" spans="1:11" ht="39" customHeight="1" x14ac:dyDescent="0.3">
      <c r="A711" s="493" t="s">
        <v>1049</v>
      </c>
      <c r="B711" s="493" t="s">
        <v>203</v>
      </c>
      <c r="C711" s="493" t="s">
        <v>197</v>
      </c>
      <c r="D711" s="494" t="s">
        <v>204</v>
      </c>
      <c r="E711" s="493" t="s">
        <v>194</v>
      </c>
      <c r="F711" s="495">
        <v>72</v>
      </c>
      <c r="G711" s="496">
        <v>3.25</v>
      </c>
      <c r="H711" s="497">
        <v>0.2122</v>
      </c>
      <c r="I711" s="495">
        <v>3.94</v>
      </c>
      <c r="J711" s="496">
        <v>283.68</v>
      </c>
      <c r="K711" s="498">
        <v>1.0028938248896793E-5</v>
      </c>
    </row>
    <row r="712" spans="1:11" ht="39" customHeight="1" x14ac:dyDescent="0.3">
      <c r="A712" s="493" t="s">
        <v>1050</v>
      </c>
      <c r="B712" s="493" t="s">
        <v>226</v>
      </c>
      <c r="C712" s="493" t="s">
        <v>32</v>
      </c>
      <c r="D712" s="494" t="s">
        <v>4227</v>
      </c>
      <c r="E712" s="493" t="s">
        <v>1332</v>
      </c>
      <c r="F712" s="495">
        <v>32.4</v>
      </c>
      <c r="G712" s="496">
        <v>22.73</v>
      </c>
      <c r="H712" s="497">
        <v>0.2122</v>
      </c>
      <c r="I712" s="495">
        <v>27.55</v>
      </c>
      <c r="J712" s="496">
        <v>892.62</v>
      </c>
      <c r="K712" s="498">
        <v>3.1556792370735527E-5</v>
      </c>
    </row>
    <row r="713" spans="1:11" ht="62.5" x14ac:dyDescent="0.3">
      <c r="A713" s="493" t="s">
        <v>1051</v>
      </c>
      <c r="B713" s="493" t="s">
        <v>303</v>
      </c>
      <c r="C713" s="493" t="s">
        <v>32</v>
      </c>
      <c r="D713" s="494" t="s">
        <v>4419</v>
      </c>
      <c r="E713" s="493" t="s">
        <v>268</v>
      </c>
      <c r="F713" s="495">
        <v>5.0220000000000002</v>
      </c>
      <c r="G713" s="496">
        <v>9.31</v>
      </c>
      <c r="H713" s="497">
        <v>0.2122</v>
      </c>
      <c r="I713" s="495">
        <v>11.29</v>
      </c>
      <c r="J713" s="496">
        <v>56.69</v>
      </c>
      <c r="K713" s="498">
        <v>2.0041614119076395E-6</v>
      </c>
    </row>
    <row r="714" spans="1:11" ht="39" customHeight="1" x14ac:dyDescent="0.3">
      <c r="A714" s="493" t="s">
        <v>1052</v>
      </c>
      <c r="B714" s="493" t="s">
        <v>539</v>
      </c>
      <c r="C714" s="493" t="s">
        <v>32</v>
      </c>
      <c r="D714" s="494" t="s">
        <v>540</v>
      </c>
      <c r="E714" s="493" t="s">
        <v>194</v>
      </c>
      <c r="F714" s="495">
        <v>1.55</v>
      </c>
      <c r="G714" s="496">
        <v>300.54000000000002</v>
      </c>
      <c r="H714" s="497">
        <v>0.2122</v>
      </c>
      <c r="I714" s="495">
        <v>364.31</v>
      </c>
      <c r="J714" s="496">
        <v>564.67999999999995</v>
      </c>
      <c r="K714" s="498">
        <v>1.9963130465267345E-5</v>
      </c>
    </row>
    <row r="715" spans="1:11" ht="39" customHeight="1" x14ac:dyDescent="0.3">
      <c r="A715" s="493" t="s">
        <v>1053</v>
      </c>
      <c r="B715" s="493" t="s">
        <v>627</v>
      </c>
      <c r="C715" s="493" t="s">
        <v>221</v>
      </c>
      <c r="D715" s="494" t="s">
        <v>628</v>
      </c>
      <c r="E715" s="493" t="s">
        <v>89</v>
      </c>
      <c r="F715" s="495">
        <v>10</v>
      </c>
      <c r="G715" s="496">
        <v>541.14</v>
      </c>
      <c r="H715" s="497">
        <v>0.2122</v>
      </c>
      <c r="I715" s="495">
        <v>655.97</v>
      </c>
      <c r="J715" s="496">
        <v>6559.7</v>
      </c>
      <c r="K715" s="498">
        <v>2.3190505580685382E-4</v>
      </c>
    </row>
    <row r="716" spans="1:11" ht="39" customHeight="1" x14ac:dyDescent="0.3">
      <c r="A716" s="493" t="s">
        <v>1054</v>
      </c>
      <c r="B716" s="493" t="s">
        <v>386</v>
      </c>
      <c r="C716" s="493" t="s">
        <v>4210</v>
      </c>
      <c r="D716" s="494" t="s">
        <v>387</v>
      </c>
      <c r="E716" s="493" t="s">
        <v>268</v>
      </c>
      <c r="F716" s="495">
        <v>0.88717699835307551</v>
      </c>
      <c r="G716" s="496">
        <v>124.59</v>
      </c>
      <c r="H716" s="497">
        <v>0.2122</v>
      </c>
      <c r="I716" s="495">
        <v>151.03</v>
      </c>
      <c r="J716" s="496">
        <v>133.99</v>
      </c>
      <c r="K716" s="498">
        <v>4.736948096339824E-6</v>
      </c>
    </row>
    <row r="717" spans="1:11" ht="39" customHeight="1" x14ac:dyDescent="0.3">
      <c r="A717" s="493" t="s">
        <v>1055</v>
      </c>
      <c r="B717" s="493" t="s">
        <v>369</v>
      </c>
      <c r="C717" s="493" t="s">
        <v>4210</v>
      </c>
      <c r="D717" s="494" t="s">
        <v>370</v>
      </c>
      <c r="E717" s="493" t="s">
        <v>1332</v>
      </c>
      <c r="F717" s="495">
        <v>29.57256661176919</v>
      </c>
      <c r="G717" s="496">
        <v>0.28000000000000003</v>
      </c>
      <c r="H717" s="497">
        <v>0.2122</v>
      </c>
      <c r="I717" s="495">
        <v>0.34</v>
      </c>
      <c r="J717" s="496">
        <v>10.050000000000001</v>
      </c>
      <c r="K717" s="498">
        <v>3.5529762197339529E-7</v>
      </c>
    </row>
    <row r="718" spans="1:11" ht="39" customHeight="1" x14ac:dyDescent="0.3">
      <c r="A718" s="493" t="s">
        <v>1056</v>
      </c>
      <c r="B718" s="493" t="s">
        <v>376</v>
      </c>
      <c r="C718" s="493" t="s">
        <v>4210</v>
      </c>
      <c r="D718" s="494" t="s">
        <v>377</v>
      </c>
      <c r="E718" s="493" t="s">
        <v>1332</v>
      </c>
      <c r="F718" s="495">
        <v>29.57256661176919</v>
      </c>
      <c r="G718" s="496">
        <v>0.4</v>
      </c>
      <c r="H718" s="497">
        <v>0.2122</v>
      </c>
      <c r="I718" s="495">
        <v>0.48</v>
      </c>
      <c r="J718" s="496">
        <v>14.19</v>
      </c>
      <c r="K718" s="498">
        <v>5.0165903042810732E-7</v>
      </c>
    </row>
    <row r="719" spans="1:11" ht="39" customHeight="1" x14ac:dyDescent="0.3">
      <c r="A719" s="493" t="s">
        <v>1057</v>
      </c>
      <c r="B719" s="493" t="s">
        <v>366</v>
      </c>
      <c r="C719" s="493" t="s">
        <v>125</v>
      </c>
      <c r="D719" s="494" t="s">
        <v>4232</v>
      </c>
      <c r="E719" s="493" t="s">
        <v>268</v>
      </c>
      <c r="F719" s="495">
        <v>3.7557159596946863</v>
      </c>
      <c r="G719" s="496">
        <v>208.42</v>
      </c>
      <c r="H719" s="497">
        <v>0.2122</v>
      </c>
      <c r="I719" s="495">
        <v>252.65</v>
      </c>
      <c r="J719" s="496">
        <v>948.88</v>
      </c>
      <c r="K719" s="498">
        <v>3.3545751993842316E-5</v>
      </c>
    </row>
    <row r="720" spans="1:11" ht="50" x14ac:dyDescent="0.3">
      <c r="A720" s="493" t="s">
        <v>1058</v>
      </c>
      <c r="B720" s="493" t="s">
        <v>363</v>
      </c>
      <c r="C720" s="493" t="s">
        <v>4210</v>
      </c>
      <c r="D720" s="494" t="s">
        <v>364</v>
      </c>
      <c r="E720" s="493" t="s">
        <v>268</v>
      </c>
      <c r="F720" s="495">
        <v>0.82803186512953841</v>
      </c>
      <c r="G720" s="496">
        <v>15.45</v>
      </c>
      <c r="H720" s="497">
        <v>0.2122</v>
      </c>
      <c r="I720" s="495">
        <v>18.73</v>
      </c>
      <c r="J720" s="496">
        <v>15.5</v>
      </c>
      <c r="K720" s="498">
        <v>5.4797145677488818E-7</v>
      </c>
    </row>
    <row r="721" spans="1:11" ht="50" x14ac:dyDescent="0.3">
      <c r="A721" s="493" t="s">
        <v>1059</v>
      </c>
      <c r="B721" s="493" t="s">
        <v>116</v>
      </c>
      <c r="C721" s="493" t="s">
        <v>32</v>
      </c>
      <c r="D721" s="494" t="s">
        <v>117</v>
      </c>
      <c r="E721" s="493" t="s">
        <v>268</v>
      </c>
      <c r="F721" s="495">
        <v>0.97199999999999998</v>
      </c>
      <c r="G721" s="496">
        <v>8.81</v>
      </c>
      <c r="H721" s="497">
        <v>0.2122</v>
      </c>
      <c r="I721" s="495">
        <v>10.68</v>
      </c>
      <c r="J721" s="496">
        <v>10.38</v>
      </c>
      <c r="K721" s="498">
        <v>3.6696411105311869E-7</v>
      </c>
    </row>
    <row r="722" spans="1:11" ht="50" x14ac:dyDescent="0.3">
      <c r="A722" s="493" t="s">
        <v>1060</v>
      </c>
      <c r="B722" s="493" t="s">
        <v>127</v>
      </c>
      <c r="C722" s="493" t="s">
        <v>32</v>
      </c>
      <c r="D722" s="494" t="s">
        <v>128</v>
      </c>
      <c r="E722" s="493" t="s">
        <v>268</v>
      </c>
      <c r="F722" s="495">
        <v>4.1939681348704614</v>
      </c>
      <c r="G722" s="496">
        <v>6.53</v>
      </c>
      <c r="H722" s="497">
        <v>0.2122</v>
      </c>
      <c r="I722" s="495">
        <v>7.92</v>
      </c>
      <c r="J722" s="496">
        <v>33.21</v>
      </c>
      <c r="K722" s="498">
        <v>1.1740730373867121E-6</v>
      </c>
    </row>
    <row r="723" spans="1:11" ht="39" customHeight="1" x14ac:dyDescent="0.3">
      <c r="A723" s="493" t="s">
        <v>1061</v>
      </c>
      <c r="B723" s="493" t="s">
        <v>119</v>
      </c>
      <c r="C723" s="493" t="s">
        <v>32</v>
      </c>
      <c r="D723" s="494" t="s">
        <v>120</v>
      </c>
      <c r="E723" s="493" t="s">
        <v>121</v>
      </c>
      <c r="F723" s="495">
        <v>154.97904404611384</v>
      </c>
      <c r="G723" s="496">
        <v>2.1</v>
      </c>
      <c r="H723" s="497">
        <v>0.2122</v>
      </c>
      <c r="I723" s="495">
        <v>2.5499999999999998</v>
      </c>
      <c r="J723" s="496">
        <v>395.19</v>
      </c>
      <c r="K723" s="498">
        <v>1.3971150967926972E-5</v>
      </c>
    </row>
    <row r="724" spans="1:11" ht="39" customHeight="1" x14ac:dyDescent="0.3">
      <c r="A724" s="493" t="s">
        <v>1062</v>
      </c>
      <c r="B724" s="493" t="s">
        <v>122</v>
      </c>
      <c r="C724" s="493" t="s">
        <v>32</v>
      </c>
      <c r="D724" s="494" t="s">
        <v>123</v>
      </c>
      <c r="E724" s="493" t="s">
        <v>121</v>
      </c>
      <c r="F724" s="495">
        <v>103.09994751516055</v>
      </c>
      <c r="G724" s="496">
        <v>0.85</v>
      </c>
      <c r="H724" s="497">
        <v>0.2122</v>
      </c>
      <c r="I724" s="495">
        <v>1.03</v>
      </c>
      <c r="J724" s="496">
        <v>106.19</v>
      </c>
      <c r="K724" s="498">
        <v>3.7541347738661535E-6</v>
      </c>
    </row>
    <row r="725" spans="1:11" ht="39" customHeight="1" x14ac:dyDescent="0.3">
      <c r="A725" s="493" t="s">
        <v>1063</v>
      </c>
      <c r="B725" s="493" t="s">
        <v>389</v>
      </c>
      <c r="C725" s="493" t="s">
        <v>4210</v>
      </c>
      <c r="D725" s="494" t="s">
        <v>390</v>
      </c>
      <c r="E725" s="493" t="s">
        <v>381</v>
      </c>
      <c r="F725" s="495">
        <v>2.1292247960473811</v>
      </c>
      <c r="G725" s="496">
        <v>188.17</v>
      </c>
      <c r="H725" s="497">
        <v>0.2122</v>
      </c>
      <c r="I725" s="495">
        <v>228.1</v>
      </c>
      <c r="J725" s="496">
        <v>485.67</v>
      </c>
      <c r="K725" s="498">
        <v>1.7169890155603868E-5</v>
      </c>
    </row>
    <row r="726" spans="1:11" ht="39" customHeight="1" x14ac:dyDescent="0.3">
      <c r="A726" s="493" t="s">
        <v>1064</v>
      </c>
      <c r="B726" s="493" t="s">
        <v>392</v>
      </c>
      <c r="C726" s="493" t="s">
        <v>4210</v>
      </c>
      <c r="D726" s="494" t="s">
        <v>393</v>
      </c>
      <c r="E726" s="493" t="s">
        <v>381</v>
      </c>
      <c r="F726" s="495">
        <v>0.1346308838540759</v>
      </c>
      <c r="G726" s="496">
        <v>5274.22</v>
      </c>
      <c r="H726" s="497">
        <v>0.111</v>
      </c>
      <c r="I726" s="495">
        <v>5859.66</v>
      </c>
      <c r="J726" s="496">
        <v>788.89</v>
      </c>
      <c r="K726" s="498">
        <v>2.7889625970009131E-5</v>
      </c>
    </row>
    <row r="727" spans="1:11" ht="39" customHeight="1" x14ac:dyDescent="0.3">
      <c r="A727" s="493" t="s">
        <v>1065</v>
      </c>
      <c r="B727" s="493" t="s">
        <v>372</v>
      </c>
      <c r="C727" s="493" t="s">
        <v>4210</v>
      </c>
      <c r="D727" s="494" t="s">
        <v>373</v>
      </c>
      <c r="E727" s="493" t="s">
        <v>381</v>
      </c>
      <c r="F727" s="495">
        <v>1.3307654975296138E-2</v>
      </c>
      <c r="G727" s="496">
        <v>4033.08</v>
      </c>
      <c r="H727" s="497">
        <v>0.111</v>
      </c>
      <c r="I727" s="495">
        <v>4480.75</v>
      </c>
      <c r="J727" s="496">
        <v>59.62</v>
      </c>
      <c r="K727" s="498">
        <v>2.1077456937366991E-6</v>
      </c>
    </row>
    <row r="728" spans="1:11" ht="39" customHeight="1" x14ac:dyDescent="0.3">
      <c r="A728" s="493" t="s">
        <v>1066</v>
      </c>
      <c r="B728" s="493" t="s">
        <v>379</v>
      </c>
      <c r="C728" s="493" t="s">
        <v>4210</v>
      </c>
      <c r="D728" s="494" t="s">
        <v>380</v>
      </c>
      <c r="E728" s="493" t="s">
        <v>381</v>
      </c>
      <c r="F728" s="495">
        <v>3.8444336595299937E-2</v>
      </c>
      <c r="G728" s="496">
        <v>4291.21</v>
      </c>
      <c r="H728" s="497">
        <v>0.111</v>
      </c>
      <c r="I728" s="495">
        <v>4767.53</v>
      </c>
      <c r="J728" s="496">
        <v>183.28</v>
      </c>
      <c r="K728" s="498">
        <v>6.4794973288839687E-6</v>
      </c>
    </row>
    <row r="729" spans="1:11" ht="39" customHeight="1" x14ac:dyDescent="0.3">
      <c r="A729" s="493" t="s">
        <v>1067</v>
      </c>
      <c r="B729" s="493" t="s">
        <v>383</v>
      </c>
      <c r="C729" s="493" t="s">
        <v>125</v>
      </c>
      <c r="D729" s="494" t="s">
        <v>4233</v>
      </c>
      <c r="E729" s="493" t="s">
        <v>1369</v>
      </c>
      <c r="F729" s="495">
        <v>0.57962230559067685</v>
      </c>
      <c r="G729" s="496">
        <v>0.54959999999999998</v>
      </c>
      <c r="H729" s="497">
        <v>0.111</v>
      </c>
      <c r="I729" s="495">
        <v>0.61</v>
      </c>
      <c r="J729" s="496">
        <v>0.35</v>
      </c>
      <c r="K729" s="498">
        <v>1.2373549023949088E-8</v>
      </c>
    </row>
    <row r="730" spans="1:11" ht="24" customHeight="1" x14ac:dyDescent="0.3">
      <c r="A730" s="489">
        <v>7</v>
      </c>
      <c r="B730" s="489" t="s">
        <v>1328</v>
      </c>
      <c r="C730" s="489" t="s">
        <v>1328</v>
      </c>
      <c r="D730" s="490" t="s">
        <v>1068</v>
      </c>
      <c r="E730" s="490" t="s">
        <v>1328</v>
      </c>
      <c r="F730" s="499"/>
      <c r="G730" s="490"/>
      <c r="H730" s="489"/>
      <c r="I730" s="500"/>
      <c r="J730" s="357">
        <v>8416180.5200000014</v>
      </c>
      <c r="K730" s="492">
        <v>0.2975372064532153</v>
      </c>
    </row>
    <row r="731" spans="1:11" ht="24" customHeight="1" x14ac:dyDescent="0.3">
      <c r="A731" s="489" t="s">
        <v>1069</v>
      </c>
      <c r="B731" s="489" t="s">
        <v>1328</v>
      </c>
      <c r="C731" s="489" t="s">
        <v>1328</v>
      </c>
      <c r="D731" s="490" t="s">
        <v>184</v>
      </c>
      <c r="E731" s="490" t="s">
        <v>1328</v>
      </c>
      <c r="F731" s="499"/>
      <c r="G731" s="490"/>
      <c r="H731" s="489"/>
      <c r="I731" s="500"/>
      <c r="J731" s="357">
        <v>6882609.5100000007</v>
      </c>
      <c r="K731" s="492">
        <v>0.24332087481338063</v>
      </c>
    </row>
    <row r="732" spans="1:11" ht="24" customHeight="1" x14ac:dyDescent="0.3">
      <c r="A732" s="489" t="s">
        <v>1070</v>
      </c>
      <c r="B732" s="489" t="s">
        <v>1328</v>
      </c>
      <c r="C732" s="489" t="s">
        <v>1328</v>
      </c>
      <c r="D732" s="490" t="s">
        <v>186</v>
      </c>
      <c r="E732" s="490" t="s">
        <v>1328</v>
      </c>
      <c r="F732" s="499"/>
      <c r="G732" s="490"/>
      <c r="H732" s="489"/>
      <c r="I732" s="500"/>
      <c r="J732" s="357">
        <v>616652.80000000005</v>
      </c>
      <c r="K732" s="492">
        <v>2.1800524718729921E-2</v>
      </c>
    </row>
    <row r="733" spans="1:11" ht="24" customHeight="1" x14ac:dyDescent="0.3">
      <c r="A733" s="489" t="s">
        <v>1071</v>
      </c>
      <c r="B733" s="489" t="s">
        <v>1328</v>
      </c>
      <c r="C733" s="489" t="s">
        <v>1328</v>
      </c>
      <c r="D733" s="490" t="s">
        <v>188</v>
      </c>
      <c r="E733" s="490" t="s">
        <v>1328</v>
      </c>
      <c r="F733" s="499"/>
      <c r="G733" s="490"/>
      <c r="H733" s="489"/>
      <c r="I733" s="500"/>
      <c r="J733" s="357">
        <v>62724.2</v>
      </c>
      <c r="K733" s="492">
        <v>2.2174884676799639E-3</v>
      </c>
    </row>
    <row r="734" spans="1:11" ht="39" customHeight="1" x14ac:dyDescent="0.3">
      <c r="A734" s="493" t="s">
        <v>1072</v>
      </c>
      <c r="B734" s="493" t="s">
        <v>190</v>
      </c>
      <c r="C734" s="493" t="s">
        <v>4210</v>
      </c>
      <c r="D734" s="494" t="s">
        <v>146</v>
      </c>
      <c r="E734" s="493" t="s">
        <v>1332</v>
      </c>
      <c r="F734" s="495">
        <v>12</v>
      </c>
      <c r="G734" s="496">
        <v>521.92999999999995</v>
      </c>
      <c r="H734" s="497">
        <v>0.2122</v>
      </c>
      <c r="I734" s="495">
        <v>632.67999999999995</v>
      </c>
      <c r="J734" s="496">
        <v>7592.16</v>
      </c>
      <c r="K734" s="498">
        <v>2.6840561130761514E-4</v>
      </c>
    </row>
    <row r="735" spans="1:11" ht="39" customHeight="1" x14ac:dyDescent="0.3">
      <c r="A735" s="493" t="s">
        <v>1073</v>
      </c>
      <c r="B735" s="493" t="s">
        <v>192</v>
      </c>
      <c r="C735" s="493" t="s">
        <v>32</v>
      </c>
      <c r="D735" s="494" t="s">
        <v>193</v>
      </c>
      <c r="E735" s="493" t="s">
        <v>194</v>
      </c>
      <c r="F735" s="495">
        <v>1848.2500000000005</v>
      </c>
      <c r="G735" s="496">
        <v>9.66</v>
      </c>
      <c r="H735" s="497">
        <v>0.2122</v>
      </c>
      <c r="I735" s="495">
        <v>11.71</v>
      </c>
      <c r="J735" s="496">
        <v>21643</v>
      </c>
      <c r="K735" s="498">
        <v>7.6514491864380029E-4</v>
      </c>
    </row>
    <row r="736" spans="1:11" ht="39" customHeight="1" x14ac:dyDescent="0.3">
      <c r="A736" s="493" t="s">
        <v>1074</v>
      </c>
      <c r="B736" s="493" t="s">
        <v>196</v>
      </c>
      <c r="C736" s="493" t="s">
        <v>197</v>
      </c>
      <c r="D736" s="494" t="s">
        <v>198</v>
      </c>
      <c r="E736" s="493" t="s">
        <v>1332</v>
      </c>
      <c r="F736" s="495">
        <v>16</v>
      </c>
      <c r="G736" s="496">
        <v>17.21</v>
      </c>
      <c r="H736" s="497">
        <v>0.2122</v>
      </c>
      <c r="I736" s="495">
        <v>20.86</v>
      </c>
      <c r="J736" s="496">
        <v>333.76</v>
      </c>
      <c r="K736" s="498">
        <v>1.179941634923785E-5</v>
      </c>
    </row>
    <row r="737" spans="1:11" ht="39" customHeight="1" x14ac:dyDescent="0.3">
      <c r="A737" s="493" t="s">
        <v>1075</v>
      </c>
      <c r="B737" s="493" t="s">
        <v>200</v>
      </c>
      <c r="C737" s="493" t="s">
        <v>197</v>
      </c>
      <c r="D737" s="494" t="s">
        <v>201</v>
      </c>
      <c r="E737" s="493" t="s">
        <v>1332</v>
      </c>
      <c r="F737" s="495">
        <v>20</v>
      </c>
      <c r="G737" s="496">
        <v>11.96</v>
      </c>
      <c r="H737" s="497">
        <v>0.2122</v>
      </c>
      <c r="I737" s="495">
        <v>14.5</v>
      </c>
      <c r="J737" s="496">
        <v>290</v>
      </c>
      <c r="K737" s="498">
        <v>1.0252369191272102E-5</v>
      </c>
    </row>
    <row r="738" spans="1:11" ht="39" customHeight="1" x14ac:dyDescent="0.3">
      <c r="A738" s="493" t="s">
        <v>1076</v>
      </c>
      <c r="B738" s="493" t="s">
        <v>203</v>
      </c>
      <c r="C738" s="493" t="s">
        <v>197</v>
      </c>
      <c r="D738" s="494" t="s">
        <v>204</v>
      </c>
      <c r="E738" s="493" t="s">
        <v>194</v>
      </c>
      <c r="F738" s="495">
        <v>3696.5000000000009</v>
      </c>
      <c r="G738" s="496">
        <v>3.25</v>
      </c>
      <c r="H738" s="497">
        <v>0.2122</v>
      </c>
      <c r="I738" s="495">
        <v>3.94</v>
      </c>
      <c r="J738" s="496">
        <v>14564.21</v>
      </c>
      <c r="K738" s="498">
        <v>5.148884755145415E-4</v>
      </c>
    </row>
    <row r="739" spans="1:11" ht="39" customHeight="1" x14ac:dyDescent="0.3">
      <c r="A739" s="493" t="s">
        <v>1077</v>
      </c>
      <c r="B739" s="493" t="s">
        <v>206</v>
      </c>
      <c r="C739" s="493" t="s">
        <v>197</v>
      </c>
      <c r="D739" s="494" t="s">
        <v>207</v>
      </c>
      <c r="E739" s="493" t="s">
        <v>89</v>
      </c>
      <c r="F739" s="495">
        <v>37</v>
      </c>
      <c r="G739" s="496">
        <v>2.76</v>
      </c>
      <c r="H739" s="497">
        <v>0.2122</v>
      </c>
      <c r="I739" s="495">
        <v>3.35</v>
      </c>
      <c r="J739" s="496">
        <v>123.95</v>
      </c>
      <c r="K739" s="498">
        <v>4.3820040043385415E-6</v>
      </c>
    </row>
    <row r="740" spans="1:11" ht="39" customHeight="1" x14ac:dyDescent="0.3">
      <c r="A740" s="493" t="s">
        <v>1078</v>
      </c>
      <c r="B740" s="493" t="s">
        <v>209</v>
      </c>
      <c r="C740" s="493" t="s">
        <v>125</v>
      </c>
      <c r="D740" s="494" t="s">
        <v>1383</v>
      </c>
      <c r="E740" s="493" t="s">
        <v>1384</v>
      </c>
      <c r="F740" s="495">
        <v>1404</v>
      </c>
      <c r="G740" s="496">
        <v>1.96</v>
      </c>
      <c r="H740" s="497">
        <v>0.2122</v>
      </c>
      <c r="I740" s="495">
        <v>2.38</v>
      </c>
      <c r="J740" s="496">
        <v>3341.52</v>
      </c>
      <c r="K740" s="498">
        <v>1.1813274724144674E-4</v>
      </c>
    </row>
    <row r="741" spans="1:11" ht="39" customHeight="1" x14ac:dyDescent="0.3">
      <c r="A741" s="493" t="s">
        <v>1079</v>
      </c>
      <c r="B741" s="493" t="s">
        <v>212</v>
      </c>
      <c r="C741" s="493" t="s">
        <v>125</v>
      </c>
      <c r="D741" s="494" t="s">
        <v>4447</v>
      </c>
      <c r="E741" s="493" t="s">
        <v>1384</v>
      </c>
      <c r="F741" s="495">
        <v>936</v>
      </c>
      <c r="G741" s="496">
        <v>3.95</v>
      </c>
      <c r="H741" s="497">
        <v>0.2122</v>
      </c>
      <c r="I741" s="495">
        <v>4.79</v>
      </c>
      <c r="J741" s="496">
        <v>4483.4399999999996</v>
      </c>
      <c r="K741" s="498">
        <v>1.5850304181695514E-4</v>
      </c>
    </row>
    <row r="742" spans="1:11" ht="39" customHeight="1" x14ac:dyDescent="0.3">
      <c r="A742" s="493" t="s">
        <v>1080</v>
      </c>
      <c r="B742" s="493" t="s">
        <v>214</v>
      </c>
      <c r="C742" s="493" t="s">
        <v>125</v>
      </c>
      <c r="D742" s="494" t="s">
        <v>4448</v>
      </c>
      <c r="E742" s="493" t="s">
        <v>1384</v>
      </c>
      <c r="F742" s="495">
        <v>468</v>
      </c>
      <c r="G742" s="496">
        <v>8.06</v>
      </c>
      <c r="H742" s="497">
        <v>0.2122</v>
      </c>
      <c r="I742" s="495">
        <v>9.77</v>
      </c>
      <c r="J742" s="496">
        <v>4572.3599999999997</v>
      </c>
      <c r="K742" s="498">
        <v>1.6164663032898241E-4</v>
      </c>
    </row>
    <row r="743" spans="1:11" ht="39" customHeight="1" x14ac:dyDescent="0.3">
      <c r="A743" s="493" t="s">
        <v>1081</v>
      </c>
      <c r="B743" s="493" t="s">
        <v>216</v>
      </c>
      <c r="C743" s="493" t="s">
        <v>125</v>
      </c>
      <c r="D743" s="494" t="s">
        <v>1385</v>
      </c>
      <c r="E743" s="493" t="s">
        <v>1384</v>
      </c>
      <c r="F743" s="495">
        <v>2340</v>
      </c>
      <c r="G743" s="496">
        <v>0.78</v>
      </c>
      <c r="H743" s="497">
        <v>0.2122</v>
      </c>
      <c r="I743" s="495">
        <v>0.95</v>
      </c>
      <c r="J743" s="496">
        <v>2223</v>
      </c>
      <c r="K743" s="498">
        <v>7.8589712800682346E-5</v>
      </c>
    </row>
    <row r="744" spans="1:11" ht="39" customHeight="1" x14ac:dyDescent="0.3">
      <c r="A744" s="493" t="s">
        <v>1082</v>
      </c>
      <c r="B744" s="493" t="s">
        <v>219</v>
      </c>
      <c r="C744" s="493" t="s">
        <v>125</v>
      </c>
      <c r="D744" s="494" t="s">
        <v>4449</v>
      </c>
      <c r="E744" s="493" t="s">
        <v>1384</v>
      </c>
      <c r="F744" s="495">
        <v>2340</v>
      </c>
      <c r="G744" s="496">
        <v>1.25</v>
      </c>
      <c r="H744" s="497">
        <v>0.2122</v>
      </c>
      <c r="I744" s="495">
        <v>1.52</v>
      </c>
      <c r="J744" s="496">
        <v>3556.8</v>
      </c>
      <c r="K744" s="498">
        <v>1.2574354048109176E-4</v>
      </c>
    </row>
    <row r="745" spans="1:11" ht="39" customHeight="1" x14ac:dyDescent="0.3">
      <c r="A745" s="493" t="s">
        <v>1083</v>
      </c>
      <c r="B745" s="493" t="s">
        <v>220</v>
      </c>
      <c r="C745" s="493" t="s">
        <v>221</v>
      </c>
      <c r="D745" s="494" t="s">
        <v>4226</v>
      </c>
      <c r="E745" s="493" t="s">
        <v>194</v>
      </c>
      <c r="F745" s="495">
        <v>0</v>
      </c>
      <c r="G745" s="496">
        <v>300.70999999999998</v>
      </c>
      <c r="H745" s="497">
        <v>0.2122</v>
      </c>
      <c r="I745" s="495">
        <v>364.52</v>
      </c>
      <c r="J745" s="496">
        <v>0</v>
      </c>
      <c r="K745" s="498">
        <v>0</v>
      </c>
    </row>
    <row r="746" spans="1:11" ht="24" customHeight="1" x14ac:dyDescent="0.3">
      <c r="A746" s="489" t="s">
        <v>1084</v>
      </c>
      <c r="B746" s="489" t="s">
        <v>1328</v>
      </c>
      <c r="C746" s="489" t="s">
        <v>1328</v>
      </c>
      <c r="D746" s="490" t="s">
        <v>224</v>
      </c>
      <c r="E746" s="490" t="s">
        <v>1328</v>
      </c>
      <c r="F746" s="499"/>
      <c r="G746" s="490"/>
      <c r="H746" s="489"/>
      <c r="I746" s="500"/>
      <c r="J746" s="357">
        <v>125991.99</v>
      </c>
      <c r="K746" s="492">
        <v>4.4541944711140096E-3</v>
      </c>
    </row>
    <row r="747" spans="1:11" ht="39" customHeight="1" x14ac:dyDescent="0.3">
      <c r="A747" s="493" t="s">
        <v>1085</v>
      </c>
      <c r="B747" s="493" t="s">
        <v>226</v>
      </c>
      <c r="C747" s="493" t="s">
        <v>32</v>
      </c>
      <c r="D747" s="494" t="s">
        <v>4227</v>
      </c>
      <c r="E747" s="493" t="s">
        <v>1332</v>
      </c>
      <c r="F747" s="495">
        <v>3993.4429999999993</v>
      </c>
      <c r="G747" s="496">
        <v>22.73</v>
      </c>
      <c r="H747" s="497">
        <v>0.2122</v>
      </c>
      <c r="I747" s="495">
        <v>27.55</v>
      </c>
      <c r="J747" s="496">
        <v>110019.35</v>
      </c>
      <c r="K747" s="498">
        <v>3.8895137737371805E-3</v>
      </c>
    </row>
    <row r="748" spans="1:11" ht="39" customHeight="1" x14ac:dyDescent="0.3">
      <c r="A748" s="493" t="s">
        <v>1086</v>
      </c>
      <c r="B748" s="493" t="s">
        <v>116</v>
      </c>
      <c r="C748" s="493" t="s">
        <v>32</v>
      </c>
      <c r="D748" s="494" t="s">
        <v>117</v>
      </c>
      <c r="E748" s="493" t="s">
        <v>268</v>
      </c>
      <c r="F748" s="495">
        <v>119.80328999999998</v>
      </c>
      <c r="G748" s="496">
        <v>8.81</v>
      </c>
      <c r="H748" s="497">
        <v>0.2122</v>
      </c>
      <c r="I748" s="495">
        <v>10.68</v>
      </c>
      <c r="J748" s="496">
        <v>1279.49</v>
      </c>
      <c r="K748" s="498">
        <v>4.5233806401864628E-5</v>
      </c>
    </row>
    <row r="749" spans="1:11" ht="39" customHeight="1" x14ac:dyDescent="0.3">
      <c r="A749" s="493" t="s">
        <v>1087</v>
      </c>
      <c r="B749" s="493" t="s">
        <v>119</v>
      </c>
      <c r="C749" s="493" t="s">
        <v>32</v>
      </c>
      <c r="D749" s="494" t="s">
        <v>120</v>
      </c>
      <c r="E749" s="493" t="s">
        <v>121</v>
      </c>
      <c r="F749" s="495">
        <v>3594.0986999999991</v>
      </c>
      <c r="G749" s="496">
        <v>2.1</v>
      </c>
      <c r="H749" s="497">
        <v>0.2122</v>
      </c>
      <c r="I749" s="495">
        <v>2.5499999999999998</v>
      </c>
      <c r="J749" s="496">
        <v>9164.9500000000007</v>
      </c>
      <c r="K749" s="498">
        <v>3.2400845179154914E-4</v>
      </c>
    </row>
    <row r="750" spans="1:11" ht="39" customHeight="1" x14ac:dyDescent="0.3">
      <c r="A750" s="493" t="s">
        <v>1088</v>
      </c>
      <c r="B750" s="493" t="s">
        <v>122</v>
      </c>
      <c r="C750" s="493" t="s">
        <v>32</v>
      </c>
      <c r="D750" s="494" t="s">
        <v>123</v>
      </c>
      <c r="E750" s="493" t="s">
        <v>121</v>
      </c>
      <c r="F750" s="495">
        <v>5367.1873919999989</v>
      </c>
      <c r="G750" s="496">
        <v>0.85</v>
      </c>
      <c r="H750" s="497">
        <v>0.2122</v>
      </c>
      <c r="I750" s="495">
        <v>1.03</v>
      </c>
      <c r="J750" s="496">
        <v>5528.2</v>
      </c>
      <c r="K750" s="498">
        <v>1.9543843918341528E-4</v>
      </c>
    </row>
    <row r="751" spans="1:11" ht="24" customHeight="1" x14ac:dyDescent="0.3">
      <c r="A751" s="489" t="s">
        <v>1089</v>
      </c>
      <c r="B751" s="489" t="s">
        <v>1328</v>
      </c>
      <c r="C751" s="489" t="s">
        <v>1328</v>
      </c>
      <c r="D751" s="490" t="s">
        <v>895</v>
      </c>
      <c r="E751" s="490" t="s">
        <v>1328</v>
      </c>
      <c r="F751" s="499"/>
      <c r="G751" s="490"/>
      <c r="H751" s="489"/>
      <c r="I751" s="500"/>
      <c r="J751" s="357">
        <v>65782.94</v>
      </c>
      <c r="K751" s="492">
        <v>2.3256240943700041E-3</v>
      </c>
    </row>
    <row r="752" spans="1:11" ht="39" customHeight="1" x14ac:dyDescent="0.3">
      <c r="A752" s="493" t="s">
        <v>1090</v>
      </c>
      <c r="B752" s="493" t="s">
        <v>233</v>
      </c>
      <c r="C752" s="493" t="s">
        <v>125</v>
      </c>
      <c r="D752" s="494" t="s">
        <v>4450</v>
      </c>
      <c r="E752" s="493" t="s">
        <v>268</v>
      </c>
      <c r="F752" s="495">
        <v>73.703590075546302</v>
      </c>
      <c r="G752" s="496">
        <v>626.30999999999995</v>
      </c>
      <c r="H752" s="497">
        <v>0.2122</v>
      </c>
      <c r="I752" s="495">
        <v>759.21</v>
      </c>
      <c r="J752" s="496">
        <v>55956.5</v>
      </c>
      <c r="K752" s="498">
        <v>1.9782299884531633E-3</v>
      </c>
    </row>
    <row r="753" spans="1:11" ht="39" customHeight="1" x14ac:dyDescent="0.3">
      <c r="A753" s="493" t="s">
        <v>1091</v>
      </c>
      <c r="B753" s="493" t="s">
        <v>116</v>
      </c>
      <c r="C753" s="493" t="s">
        <v>32</v>
      </c>
      <c r="D753" s="494" t="s">
        <v>117</v>
      </c>
      <c r="E753" s="493" t="s">
        <v>268</v>
      </c>
      <c r="F753" s="495">
        <v>73.703590075546302</v>
      </c>
      <c r="G753" s="496">
        <v>8.81</v>
      </c>
      <c r="H753" s="497">
        <v>0.2122</v>
      </c>
      <c r="I753" s="495">
        <v>10.68</v>
      </c>
      <c r="J753" s="496">
        <v>787.15</v>
      </c>
      <c r="K753" s="498">
        <v>2.7828111754861497E-5</v>
      </c>
    </row>
    <row r="754" spans="1:11" ht="39" customHeight="1" x14ac:dyDescent="0.3">
      <c r="A754" s="493" t="s">
        <v>1092</v>
      </c>
      <c r="B754" s="493" t="s">
        <v>119</v>
      </c>
      <c r="C754" s="493" t="s">
        <v>32</v>
      </c>
      <c r="D754" s="494" t="s">
        <v>120</v>
      </c>
      <c r="E754" s="493" t="s">
        <v>121</v>
      </c>
      <c r="F754" s="495">
        <v>2211.107702266389</v>
      </c>
      <c r="G754" s="496">
        <v>2.1</v>
      </c>
      <c r="H754" s="497">
        <v>0.2122</v>
      </c>
      <c r="I754" s="495">
        <v>2.5499999999999998</v>
      </c>
      <c r="J754" s="496">
        <v>5638.32</v>
      </c>
      <c r="K754" s="498">
        <v>1.9933151123632177E-4</v>
      </c>
    </row>
    <row r="755" spans="1:11" ht="39" customHeight="1" x14ac:dyDescent="0.3">
      <c r="A755" s="493" t="s">
        <v>1093</v>
      </c>
      <c r="B755" s="493" t="s">
        <v>122</v>
      </c>
      <c r="C755" s="493" t="s">
        <v>32</v>
      </c>
      <c r="D755" s="494" t="s">
        <v>123</v>
      </c>
      <c r="E755" s="493" t="s">
        <v>121</v>
      </c>
      <c r="F755" s="495">
        <v>3301.9208353844742</v>
      </c>
      <c r="G755" s="496">
        <v>0.85</v>
      </c>
      <c r="H755" s="497">
        <v>0.2122</v>
      </c>
      <c r="I755" s="495">
        <v>1.03</v>
      </c>
      <c r="J755" s="496">
        <v>3400.97</v>
      </c>
      <c r="K755" s="498">
        <v>1.2023448292565751E-4</v>
      </c>
    </row>
    <row r="756" spans="1:11" ht="24" customHeight="1" x14ac:dyDescent="0.3">
      <c r="A756" s="489" t="s">
        <v>1094</v>
      </c>
      <c r="B756" s="489" t="s">
        <v>1328</v>
      </c>
      <c r="C756" s="489" t="s">
        <v>1328</v>
      </c>
      <c r="D756" s="490" t="s">
        <v>240</v>
      </c>
      <c r="E756" s="490" t="s">
        <v>1328</v>
      </c>
      <c r="F756" s="499"/>
      <c r="G756" s="490"/>
      <c r="H756" s="489"/>
      <c r="I756" s="500"/>
      <c r="J756" s="357">
        <v>248253.29</v>
      </c>
      <c r="K756" s="492">
        <v>8.7764978690618566E-3</v>
      </c>
    </row>
    <row r="757" spans="1:11" ht="39" customHeight="1" x14ac:dyDescent="0.3">
      <c r="A757" s="493" t="s">
        <v>1095</v>
      </c>
      <c r="B757" s="493" t="s">
        <v>242</v>
      </c>
      <c r="C757" s="493" t="s">
        <v>243</v>
      </c>
      <c r="D757" s="494" t="s">
        <v>4409</v>
      </c>
      <c r="E757" s="493" t="s">
        <v>268</v>
      </c>
      <c r="F757" s="495">
        <v>487.26418415557913</v>
      </c>
      <c r="G757" s="496">
        <v>310.31</v>
      </c>
      <c r="H757" s="497">
        <v>0.2122</v>
      </c>
      <c r="I757" s="495">
        <v>376.16</v>
      </c>
      <c r="J757" s="496">
        <v>183289.29</v>
      </c>
      <c r="K757" s="498">
        <v>6.4798257582280618E-3</v>
      </c>
    </row>
    <row r="758" spans="1:11" ht="39" customHeight="1" x14ac:dyDescent="0.3">
      <c r="A758" s="493" t="s">
        <v>1096</v>
      </c>
      <c r="B758" s="493" t="s">
        <v>116</v>
      </c>
      <c r="C758" s="493" t="s">
        <v>32</v>
      </c>
      <c r="D758" s="494" t="s">
        <v>117</v>
      </c>
      <c r="E758" s="493" t="s">
        <v>268</v>
      </c>
      <c r="F758" s="495">
        <v>487.26418415557913</v>
      </c>
      <c r="G758" s="496">
        <v>8.81</v>
      </c>
      <c r="H758" s="497">
        <v>0.2122</v>
      </c>
      <c r="I758" s="495">
        <v>10.68</v>
      </c>
      <c r="J758" s="496">
        <v>5203.9799999999996</v>
      </c>
      <c r="K758" s="498">
        <v>1.8397629042757305E-4</v>
      </c>
    </row>
    <row r="759" spans="1:11" ht="39" customHeight="1" x14ac:dyDescent="0.3">
      <c r="A759" s="493" t="s">
        <v>1097</v>
      </c>
      <c r="B759" s="493" t="s">
        <v>119</v>
      </c>
      <c r="C759" s="493" t="s">
        <v>32</v>
      </c>
      <c r="D759" s="494" t="s">
        <v>120</v>
      </c>
      <c r="E759" s="493" t="s">
        <v>121</v>
      </c>
      <c r="F759" s="495">
        <v>14617.925524667375</v>
      </c>
      <c r="G759" s="496">
        <v>2.1</v>
      </c>
      <c r="H759" s="497">
        <v>0.2122</v>
      </c>
      <c r="I759" s="495">
        <v>2.5499999999999998</v>
      </c>
      <c r="J759" s="496">
        <v>37275.71</v>
      </c>
      <c r="K759" s="498">
        <v>1.3178080716785979E-3</v>
      </c>
    </row>
    <row r="760" spans="1:11" ht="39" customHeight="1" x14ac:dyDescent="0.3">
      <c r="A760" s="493" t="s">
        <v>1098</v>
      </c>
      <c r="B760" s="493" t="s">
        <v>122</v>
      </c>
      <c r="C760" s="493" t="s">
        <v>32</v>
      </c>
      <c r="D760" s="494" t="s">
        <v>123</v>
      </c>
      <c r="E760" s="493" t="s">
        <v>121</v>
      </c>
      <c r="F760" s="495">
        <v>21829.435450169945</v>
      </c>
      <c r="G760" s="496">
        <v>0.85</v>
      </c>
      <c r="H760" s="497">
        <v>0.2122</v>
      </c>
      <c r="I760" s="495">
        <v>1.03</v>
      </c>
      <c r="J760" s="496">
        <v>22484.31</v>
      </c>
      <c r="K760" s="498">
        <v>7.9488774872762502E-4</v>
      </c>
    </row>
    <row r="761" spans="1:11" ht="24" customHeight="1" x14ac:dyDescent="0.3">
      <c r="A761" s="489" t="s">
        <v>1099</v>
      </c>
      <c r="B761" s="489" t="s">
        <v>1328</v>
      </c>
      <c r="C761" s="489" t="s">
        <v>1328</v>
      </c>
      <c r="D761" s="490" t="s">
        <v>248</v>
      </c>
      <c r="E761" s="490" t="s">
        <v>1328</v>
      </c>
      <c r="F761" s="499"/>
      <c r="G761" s="490"/>
      <c r="H761" s="489"/>
      <c r="I761" s="500"/>
      <c r="J761" s="357">
        <v>37271.870000000003</v>
      </c>
      <c r="K761" s="492">
        <v>1.3176723161693066E-3</v>
      </c>
    </row>
    <row r="762" spans="1:11" ht="39" customHeight="1" x14ac:dyDescent="0.3">
      <c r="A762" s="493" t="s">
        <v>1100</v>
      </c>
      <c r="B762" s="493" t="s">
        <v>250</v>
      </c>
      <c r="C762" s="493" t="s">
        <v>251</v>
      </c>
      <c r="D762" s="494" t="s">
        <v>4410</v>
      </c>
      <c r="E762" s="493" t="s">
        <v>252</v>
      </c>
      <c r="F762" s="495">
        <v>286.05359999999996</v>
      </c>
      <c r="G762" s="496">
        <v>11.96</v>
      </c>
      <c r="H762" s="497">
        <v>0.2122</v>
      </c>
      <c r="I762" s="495">
        <v>14.5</v>
      </c>
      <c r="J762" s="496">
        <v>4147.7700000000004</v>
      </c>
      <c r="K762" s="498">
        <v>1.4663610124304374E-4</v>
      </c>
    </row>
    <row r="763" spans="1:11" ht="39" customHeight="1" x14ac:dyDescent="0.3">
      <c r="A763" s="493" t="s">
        <v>1101</v>
      </c>
      <c r="B763" s="493" t="s">
        <v>254</v>
      </c>
      <c r="C763" s="493" t="s">
        <v>32</v>
      </c>
      <c r="D763" s="494" t="s">
        <v>4229</v>
      </c>
      <c r="E763" s="493" t="s">
        <v>268</v>
      </c>
      <c r="F763" s="495">
        <v>9.8416500000000031</v>
      </c>
      <c r="G763" s="496">
        <v>767.76</v>
      </c>
      <c r="H763" s="497">
        <v>0.2122</v>
      </c>
      <c r="I763" s="495">
        <v>930.68</v>
      </c>
      <c r="J763" s="496">
        <v>9159.42</v>
      </c>
      <c r="K763" s="498">
        <v>3.2381294971697074E-4</v>
      </c>
    </row>
    <row r="764" spans="1:11" ht="39" customHeight="1" x14ac:dyDescent="0.3">
      <c r="A764" s="493" t="s">
        <v>1102</v>
      </c>
      <c r="B764" s="493" t="s">
        <v>256</v>
      </c>
      <c r="C764" s="493" t="s">
        <v>257</v>
      </c>
      <c r="D764" s="494" t="s">
        <v>258</v>
      </c>
      <c r="E764" s="493" t="s">
        <v>194</v>
      </c>
      <c r="F764" s="495">
        <v>170.27</v>
      </c>
      <c r="G764" s="496">
        <v>82.29</v>
      </c>
      <c r="H764" s="497">
        <v>0.2122</v>
      </c>
      <c r="I764" s="495">
        <v>99.75</v>
      </c>
      <c r="J764" s="496">
        <v>16984.43</v>
      </c>
      <c r="K764" s="498">
        <v>6.0045050642523322E-4</v>
      </c>
    </row>
    <row r="765" spans="1:11" ht="39" customHeight="1" x14ac:dyDescent="0.3">
      <c r="A765" s="493" t="s">
        <v>1103</v>
      </c>
      <c r="B765" s="493" t="s">
        <v>260</v>
      </c>
      <c r="C765" s="493" t="s">
        <v>257</v>
      </c>
      <c r="D765" s="494" t="s">
        <v>4230</v>
      </c>
      <c r="E765" s="493" t="s">
        <v>194</v>
      </c>
      <c r="F765" s="495">
        <v>47</v>
      </c>
      <c r="G765" s="496">
        <v>69.680000000000007</v>
      </c>
      <c r="H765" s="497">
        <v>0.2122</v>
      </c>
      <c r="I765" s="495">
        <v>84.47</v>
      </c>
      <c r="J765" s="496">
        <v>3970.09</v>
      </c>
      <c r="K765" s="498">
        <v>1.4035458069854297E-4</v>
      </c>
    </row>
    <row r="766" spans="1:11" ht="39" customHeight="1" x14ac:dyDescent="0.3">
      <c r="A766" s="493" t="s">
        <v>1104</v>
      </c>
      <c r="B766" s="493" t="s">
        <v>116</v>
      </c>
      <c r="C766" s="493" t="s">
        <v>32</v>
      </c>
      <c r="D766" s="494" t="s">
        <v>117</v>
      </c>
      <c r="E766" s="493" t="s">
        <v>268</v>
      </c>
      <c r="F766" s="495">
        <v>22.577802000000002</v>
      </c>
      <c r="G766" s="496">
        <v>8.81</v>
      </c>
      <c r="H766" s="497">
        <v>0.2122</v>
      </c>
      <c r="I766" s="495">
        <v>10.68</v>
      </c>
      <c r="J766" s="496">
        <v>241.13</v>
      </c>
      <c r="K766" s="498">
        <v>8.5246682175566964E-6</v>
      </c>
    </row>
    <row r="767" spans="1:11" ht="39" customHeight="1" x14ac:dyDescent="0.3">
      <c r="A767" s="493" t="s">
        <v>1105</v>
      </c>
      <c r="B767" s="493" t="s">
        <v>119</v>
      </c>
      <c r="C767" s="493" t="s">
        <v>32</v>
      </c>
      <c r="D767" s="494" t="s">
        <v>120</v>
      </c>
      <c r="E767" s="493" t="s">
        <v>121</v>
      </c>
      <c r="F767" s="495">
        <v>677.33406000000002</v>
      </c>
      <c r="G767" s="496">
        <v>2.1</v>
      </c>
      <c r="H767" s="497">
        <v>0.2122</v>
      </c>
      <c r="I767" s="495">
        <v>2.5499999999999998</v>
      </c>
      <c r="J767" s="496">
        <v>1727.2</v>
      </c>
      <c r="K767" s="498">
        <v>6.1061696783328183E-5</v>
      </c>
    </row>
    <row r="768" spans="1:11" ht="39" customHeight="1" x14ac:dyDescent="0.3">
      <c r="A768" s="493" t="s">
        <v>1106</v>
      </c>
      <c r="B768" s="493" t="s">
        <v>122</v>
      </c>
      <c r="C768" s="493" t="s">
        <v>32</v>
      </c>
      <c r="D768" s="494" t="s">
        <v>123</v>
      </c>
      <c r="E768" s="493" t="s">
        <v>121</v>
      </c>
      <c r="F768" s="495">
        <v>1011.4855296000001</v>
      </c>
      <c r="G768" s="496">
        <v>0.85</v>
      </c>
      <c r="H768" s="497">
        <v>0.2122</v>
      </c>
      <c r="I768" s="495">
        <v>1.03</v>
      </c>
      <c r="J768" s="496">
        <v>1041.83</v>
      </c>
      <c r="K768" s="498">
        <v>3.6831813084631078E-5</v>
      </c>
    </row>
    <row r="769" spans="1:11" ht="24" customHeight="1" x14ac:dyDescent="0.3">
      <c r="A769" s="489" t="s">
        <v>1107</v>
      </c>
      <c r="B769" s="489" t="s">
        <v>1328</v>
      </c>
      <c r="C769" s="489" t="s">
        <v>1328</v>
      </c>
      <c r="D769" s="490" t="s">
        <v>266</v>
      </c>
      <c r="E769" s="490" t="s">
        <v>1328</v>
      </c>
      <c r="F769" s="499"/>
      <c r="G769" s="490"/>
      <c r="H769" s="489"/>
      <c r="I769" s="500"/>
      <c r="J769" s="357">
        <v>5328.8099999999995</v>
      </c>
      <c r="K769" s="492">
        <v>1.8838940506945754E-4</v>
      </c>
    </row>
    <row r="770" spans="1:11" ht="39" customHeight="1" x14ac:dyDescent="0.3">
      <c r="A770" s="493" t="s">
        <v>1108</v>
      </c>
      <c r="B770" s="493" t="s">
        <v>233</v>
      </c>
      <c r="C770" s="493" t="s">
        <v>125</v>
      </c>
      <c r="D770" s="494" t="s">
        <v>4450</v>
      </c>
      <c r="E770" s="493" t="s">
        <v>268</v>
      </c>
      <c r="F770" s="495">
        <v>1.0278947999999999</v>
      </c>
      <c r="G770" s="496">
        <v>626.30999999999995</v>
      </c>
      <c r="H770" s="497">
        <v>0.2122</v>
      </c>
      <c r="I770" s="495">
        <v>759.21</v>
      </c>
      <c r="J770" s="496">
        <v>780.38</v>
      </c>
      <c r="K770" s="498">
        <v>2.7588771963741114E-5</v>
      </c>
    </row>
    <row r="771" spans="1:11" ht="39" customHeight="1" x14ac:dyDescent="0.3">
      <c r="A771" s="493" t="s">
        <v>1109</v>
      </c>
      <c r="B771" s="493" t="s">
        <v>235</v>
      </c>
      <c r="C771" s="493" t="s">
        <v>32</v>
      </c>
      <c r="D771" s="494" t="s">
        <v>4228</v>
      </c>
      <c r="E771" s="493" t="s">
        <v>268</v>
      </c>
      <c r="F771" s="495">
        <v>21.112850000000002</v>
      </c>
      <c r="G771" s="496">
        <v>62.38</v>
      </c>
      <c r="H771" s="497">
        <v>0.2122</v>
      </c>
      <c r="I771" s="495">
        <v>75.62</v>
      </c>
      <c r="J771" s="496">
        <v>1596.55</v>
      </c>
      <c r="K771" s="498">
        <v>5.6442827697674044E-5</v>
      </c>
    </row>
    <row r="772" spans="1:11" ht="39" customHeight="1" x14ac:dyDescent="0.3">
      <c r="A772" s="493" t="s">
        <v>1110</v>
      </c>
      <c r="B772" s="493" t="s">
        <v>116</v>
      </c>
      <c r="C772" s="493" t="s">
        <v>32</v>
      </c>
      <c r="D772" s="494" t="s">
        <v>117</v>
      </c>
      <c r="E772" s="493" t="s">
        <v>268</v>
      </c>
      <c r="F772" s="495">
        <v>22.1407448</v>
      </c>
      <c r="G772" s="496">
        <v>8.81</v>
      </c>
      <c r="H772" s="497">
        <v>0.2122</v>
      </c>
      <c r="I772" s="495">
        <v>10.68</v>
      </c>
      <c r="J772" s="496">
        <v>236.46</v>
      </c>
      <c r="K772" s="498">
        <v>8.3595697205800039E-6</v>
      </c>
    </row>
    <row r="773" spans="1:11" ht="39" customHeight="1" x14ac:dyDescent="0.3">
      <c r="A773" s="493" t="s">
        <v>1111</v>
      </c>
      <c r="B773" s="493" t="s">
        <v>119</v>
      </c>
      <c r="C773" s="493" t="s">
        <v>32</v>
      </c>
      <c r="D773" s="494" t="s">
        <v>120</v>
      </c>
      <c r="E773" s="493" t="s">
        <v>121</v>
      </c>
      <c r="F773" s="495">
        <v>664.22234400000002</v>
      </c>
      <c r="G773" s="496">
        <v>2.1</v>
      </c>
      <c r="H773" s="497">
        <v>0.2122</v>
      </c>
      <c r="I773" s="495">
        <v>2.5499999999999998</v>
      </c>
      <c r="J773" s="496">
        <v>1693.76</v>
      </c>
      <c r="K773" s="498">
        <v>5.9879492556582876E-5</v>
      </c>
    </row>
    <row r="774" spans="1:11" ht="39" customHeight="1" x14ac:dyDescent="0.3">
      <c r="A774" s="493" t="s">
        <v>1112</v>
      </c>
      <c r="B774" s="493" t="s">
        <v>122</v>
      </c>
      <c r="C774" s="493" t="s">
        <v>32</v>
      </c>
      <c r="D774" s="494" t="s">
        <v>123</v>
      </c>
      <c r="E774" s="493" t="s">
        <v>121</v>
      </c>
      <c r="F774" s="495">
        <v>991.90536703999999</v>
      </c>
      <c r="G774" s="496">
        <v>0.85</v>
      </c>
      <c r="H774" s="497">
        <v>0.2122</v>
      </c>
      <c r="I774" s="495">
        <v>1.03</v>
      </c>
      <c r="J774" s="496">
        <v>1021.66</v>
      </c>
      <c r="K774" s="498">
        <v>3.61187431308795E-5</v>
      </c>
    </row>
    <row r="775" spans="1:11" ht="24" customHeight="1" x14ac:dyDescent="0.3">
      <c r="A775" s="489" t="s">
        <v>1113</v>
      </c>
      <c r="B775" s="489" t="s">
        <v>1328</v>
      </c>
      <c r="C775" s="489" t="s">
        <v>1328</v>
      </c>
      <c r="D775" s="490" t="s">
        <v>920</v>
      </c>
      <c r="E775" s="490" t="s">
        <v>1328</v>
      </c>
      <c r="F775" s="499"/>
      <c r="G775" s="490"/>
      <c r="H775" s="489"/>
      <c r="I775" s="500"/>
      <c r="J775" s="357">
        <v>51.2</v>
      </c>
      <c r="K775" s="492">
        <v>1.8100734572176953E-6</v>
      </c>
    </row>
    <row r="776" spans="1:11" ht="39" customHeight="1" x14ac:dyDescent="0.3">
      <c r="A776" s="493" t="s">
        <v>1114</v>
      </c>
      <c r="B776" s="493" t="s">
        <v>235</v>
      </c>
      <c r="C776" s="493" t="s">
        <v>32</v>
      </c>
      <c r="D776" s="494" t="s">
        <v>4228</v>
      </c>
      <c r="E776" s="493" t="s">
        <v>268</v>
      </c>
      <c r="F776" s="495">
        <v>0.24513847475961159</v>
      </c>
      <c r="G776" s="496">
        <v>62.38</v>
      </c>
      <c r="H776" s="497">
        <v>0.2122</v>
      </c>
      <c r="I776" s="495">
        <v>75.62</v>
      </c>
      <c r="J776" s="496">
        <v>18.53</v>
      </c>
      <c r="K776" s="498">
        <v>6.5509103832507608E-7</v>
      </c>
    </row>
    <row r="777" spans="1:11" ht="39" customHeight="1" x14ac:dyDescent="0.3">
      <c r="A777" s="493" t="s">
        <v>1115</v>
      </c>
      <c r="B777" s="493" t="s">
        <v>116</v>
      </c>
      <c r="C777" s="493" t="s">
        <v>32</v>
      </c>
      <c r="D777" s="494" t="s">
        <v>117</v>
      </c>
      <c r="E777" s="493" t="s">
        <v>268</v>
      </c>
      <c r="F777" s="495">
        <v>0.24513847475961159</v>
      </c>
      <c r="G777" s="496">
        <v>8.81</v>
      </c>
      <c r="H777" s="497">
        <v>0.2122</v>
      </c>
      <c r="I777" s="495">
        <v>10.68</v>
      </c>
      <c r="J777" s="496">
        <v>2.61</v>
      </c>
      <c r="K777" s="498">
        <v>9.2271322721448914E-8</v>
      </c>
    </row>
    <row r="778" spans="1:11" ht="39" customHeight="1" x14ac:dyDescent="0.3">
      <c r="A778" s="493" t="s">
        <v>1116</v>
      </c>
      <c r="B778" s="493" t="s">
        <v>119</v>
      </c>
      <c r="C778" s="493" t="s">
        <v>32</v>
      </c>
      <c r="D778" s="494" t="s">
        <v>120</v>
      </c>
      <c r="E778" s="493" t="s">
        <v>121</v>
      </c>
      <c r="F778" s="495">
        <v>7.354154242788348</v>
      </c>
      <c r="G778" s="496">
        <v>2.1</v>
      </c>
      <c r="H778" s="497">
        <v>0.2122</v>
      </c>
      <c r="I778" s="495">
        <v>2.5499999999999998</v>
      </c>
      <c r="J778" s="496">
        <v>18.75</v>
      </c>
      <c r="K778" s="498">
        <v>6.6286869771155828E-7</v>
      </c>
    </row>
    <row r="779" spans="1:11" ht="39" customHeight="1" x14ac:dyDescent="0.3">
      <c r="A779" s="493" t="s">
        <v>1117</v>
      </c>
      <c r="B779" s="493" t="s">
        <v>122</v>
      </c>
      <c r="C779" s="493" t="s">
        <v>32</v>
      </c>
      <c r="D779" s="494" t="s">
        <v>123</v>
      </c>
      <c r="E779" s="493" t="s">
        <v>121</v>
      </c>
      <c r="F779" s="495">
        <v>10.982203669230598</v>
      </c>
      <c r="G779" s="496">
        <v>0.85</v>
      </c>
      <c r="H779" s="497">
        <v>0.2122</v>
      </c>
      <c r="I779" s="495">
        <v>1.03</v>
      </c>
      <c r="J779" s="496">
        <v>11.31</v>
      </c>
      <c r="K779" s="498">
        <v>3.9984239845961196E-7</v>
      </c>
    </row>
    <row r="780" spans="1:11" ht="24" customHeight="1" x14ac:dyDescent="0.3">
      <c r="A780" s="489" t="s">
        <v>1118</v>
      </c>
      <c r="B780" s="489" t="s">
        <v>1328</v>
      </c>
      <c r="C780" s="489" t="s">
        <v>1328</v>
      </c>
      <c r="D780" s="490" t="s">
        <v>274</v>
      </c>
      <c r="E780" s="490" t="s">
        <v>1328</v>
      </c>
      <c r="F780" s="499"/>
      <c r="G780" s="490"/>
      <c r="H780" s="489"/>
      <c r="I780" s="500"/>
      <c r="J780" s="357">
        <v>71248.5</v>
      </c>
      <c r="K780" s="492">
        <v>2.5188480218081045E-3</v>
      </c>
    </row>
    <row r="781" spans="1:11" ht="39" customHeight="1" x14ac:dyDescent="0.3">
      <c r="A781" s="493" t="s">
        <v>1119</v>
      </c>
      <c r="B781" s="493" t="s">
        <v>4231</v>
      </c>
      <c r="C781" s="493" t="s">
        <v>4210</v>
      </c>
      <c r="D781" s="494" t="s">
        <v>276</v>
      </c>
      <c r="E781" s="493" t="s">
        <v>89</v>
      </c>
      <c r="F781" s="495">
        <v>25</v>
      </c>
      <c r="G781" s="496">
        <v>119.76</v>
      </c>
      <c r="H781" s="497">
        <v>0.111</v>
      </c>
      <c r="I781" s="495">
        <v>133.05000000000001</v>
      </c>
      <c r="J781" s="496">
        <v>3326.25</v>
      </c>
      <c r="K781" s="498">
        <v>1.1759290697403045E-4</v>
      </c>
    </row>
    <row r="782" spans="1:11" ht="39" customHeight="1" x14ac:dyDescent="0.3">
      <c r="A782" s="493" t="s">
        <v>1120</v>
      </c>
      <c r="B782" s="493" t="s">
        <v>4392</v>
      </c>
      <c r="C782" s="493" t="s">
        <v>251</v>
      </c>
      <c r="D782" s="494" t="s">
        <v>278</v>
      </c>
      <c r="E782" s="493" t="s">
        <v>89</v>
      </c>
      <c r="F782" s="495">
        <v>25</v>
      </c>
      <c r="G782" s="496">
        <v>2241.29</v>
      </c>
      <c r="H782" s="497">
        <v>0.2122</v>
      </c>
      <c r="I782" s="495">
        <v>2716.89</v>
      </c>
      <c r="J782" s="496">
        <v>67922.25</v>
      </c>
      <c r="K782" s="498">
        <v>2.4012551148340743E-3</v>
      </c>
    </row>
    <row r="783" spans="1:11" ht="24" customHeight="1" x14ac:dyDescent="0.3">
      <c r="A783" s="489" t="s">
        <v>1121</v>
      </c>
      <c r="B783" s="489" t="s">
        <v>1328</v>
      </c>
      <c r="C783" s="489" t="s">
        <v>1328</v>
      </c>
      <c r="D783" s="490" t="s">
        <v>280</v>
      </c>
      <c r="E783" s="490" t="s">
        <v>1328</v>
      </c>
      <c r="F783" s="499"/>
      <c r="G783" s="490"/>
      <c r="H783" s="489"/>
      <c r="I783" s="500"/>
      <c r="J783" s="357">
        <v>6265956.7100000009</v>
      </c>
      <c r="K783" s="492">
        <v>0.22152035009465071</v>
      </c>
    </row>
    <row r="784" spans="1:11" ht="24" customHeight="1" x14ac:dyDescent="0.3">
      <c r="A784" s="489" t="s">
        <v>1122</v>
      </c>
      <c r="B784" s="489" t="s">
        <v>1328</v>
      </c>
      <c r="C784" s="489" t="s">
        <v>1328</v>
      </c>
      <c r="D784" s="490" t="s">
        <v>282</v>
      </c>
      <c r="E784" s="490" t="s">
        <v>1328</v>
      </c>
      <c r="F784" s="499"/>
      <c r="G784" s="490"/>
      <c r="H784" s="489"/>
      <c r="I784" s="500"/>
      <c r="J784" s="357">
        <v>524308.5</v>
      </c>
      <c r="K784" s="492">
        <v>1.8535876938352031E-2</v>
      </c>
    </row>
    <row r="785" spans="1:11" ht="50" x14ac:dyDescent="0.3">
      <c r="A785" s="493" t="s">
        <v>1123</v>
      </c>
      <c r="B785" s="493" t="s">
        <v>284</v>
      </c>
      <c r="C785" s="493" t="s">
        <v>32</v>
      </c>
      <c r="D785" s="494" t="s">
        <v>4411</v>
      </c>
      <c r="E785" s="493" t="s">
        <v>268</v>
      </c>
      <c r="F785" s="495">
        <v>39.9056</v>
      </c>
      <c r="G785" s="496">
        <v>11.8</v>
      </c>
      <c r="H785" s="497">
        <v>0.2122</v>
      </c>
      <c r="I785" s="495">
        <v>14.3</v>
      </c>
      <c r="J785" s="496">
        <v>570.65</v>
      </c>
      <c r="K785" s="498">
        <v>2.0174187858618706E-5</v>
      </c>
    </row>
    <row r="786" spans="1:11" ht="50" x14ac:dyDescent="0.3">
      <c r="A786" s="493" t="s">
        <v>1124</v>
      </c>
      <c r="B786" s="493" t="s">
        <v>289</v>
      </c>
      <c r="C786" s="493" t="s">
        <v>32</v>
      </c>
      <c r="D786" s="494" t="s">
        <v>4413</v>
      </c>
      <c r="E786" s="493" t="s">
        <v>268</v>
      </c>
      <c r="F786" s="495">
        <v>42.042000000000002</v>
      </c>
      <c r="G786" s="496">
        <v>12.18</v>
      </c>
      <c r="H786" s="497">
        <v>0.2122</v>
      </c>
      <c r="I786" s="495">
        <v>14.76</v>
      </c>
      <c r="J786" s="496">
        <v>620.53</v>
      </c>
      <c r="K786" s="498">
        <v>2.1937595359517508E-5</v>
      </c>
    </row>
    <row r="787" spans="1:11" ht="62.5" x14ac:dyDescent="0.3">
      <c r="A787" s="493" t="s">
        <v>1125</v>
      </c>
      <c r="B787" s="493" t="s">
        <v>292</v>
      </c>
      <c r="C787" s="493" t="s">
        <v>32</v>
      </c>
      <c r="D787" s="494" t="s">
        <v>4414</v>
      </c>
      <c r="E787" s="493" t="s">
        <v>268</v>
      </c>
      <c r="F787" s="495">
        <v>171.81100000000001</v>
      </c>
      <c r="G787" s="496">
        <v>11.39</v>
      </c>
      <c r="H787" s="497">
        <v>0.2122</v>
      </c>
      <c r="I787" s="495">
        <v>13.81</v>
      </c>
      <c r="J787" s="496">
        <v>2372.6999999999998</v>
      </c>
      <c r="K787" s="498">
        <v>8.3882056483211426E-5</v>
      </c>
    </row>
    <row r="788" spans="1:11" ht="50" x14ac:dyDescent="0.3">
      <c r="A788" s="493" t="s">
        <v>1126</v>
      </c>
      <c r="B788" s="493" t="s">
        <v>294</v>
      </c>
      <c r="C788" s="493" t="s">
        <v>32</v>
      </c>
      <c r="D788" s="494" t="s">
        <v>4415</v>
      </c>
      <c r="E788" s="493" t="s">
        <v>268</v>
      </c>
      <c r="F788" s="495">
        <v>230.05680000000001</v>
      </c>
      <c r="G788" s="496">
        <v>10.96</v>
      </c>
      <c r="H788" s="497">
        <v>0.2122</v>
      </c>
      <c r="I788" s="495">
        <v>13.29</v>
      </c>
      <c r="J788" s="496">
        <v>3057.45</v>
      </c>
      <c r="K788" s="498">
        <v>1.0809002132363753E-4</v>
      </c>
    </row>
    <row r="789" spans="1:11" ht="62.5" x14ac:dyDescent="0.3">
      <c r="A789" s="493" t="s">
        <v>16989</v>
      </c>
      <c r="B789" s="493" t="s">
        <v>299</v>
      </c>
      <c r="C789" s="493" t="s">
        <v>32</v>
      </c>
      <c r="D789" s="494" t="s">
        <v>4417</v>
      </c>
      <c r="E789" s="493" t="s">
        <v>268</v>
      </c>
      <c r="F789" s="495">
        <v>291.73199999999997</v>
      </c>
      <c r="G789" s="496">
        <v>10.49</v>
      </c>
      <c r="H789" s="497">
        <v>0.2122</v>
      </c>
      <c r="I789" s="495">
        <v>12.72</v>
      </c>
      <c r="J789" s="496">
        <v>3710.83</v>
      </c>
      <c r="K789" s="498">
        <v>1.3118896264154571E-4</v>
      </c>
    </row>
    <row r="790" spans="1:11" ht="62.5" x14ac:dyDescent="0.3">
      <c r="A790" s="493" t="s">
        <v>1127</v>
      </c>
      <c r="B790" s="493" t="s">
        <v>301</v>
      </c>
      <c r="C790" s="493" t="s">
        <v>32</v>
      </c>
      <c r="D790" s="494" t="s">
        <v>4418</v>
      </c>
      <c r="E790" s="493" t="s">
        <v>268</v>
      </c>
      <c r="F790" s="495">
        <v>219.67647430020764</v>
      </c>
      <c r="G790" s="496">
        <v>9.01</v>
      </c>
      <c r="H790" s="497">
        <v>0.2122</v>
      </c>
      <c r="I790" s="495">
        <v>10.92</v>
      </c>
      <c r="J790" s="496">
        <v>2398.86</v>
      </c>
      <c r="K790" s="498">
        <v>8.4806890890258606E-5</v>
      </c>
    </row>
    <row r="791" spans="1:11" ht="62.5" x14ac:dyDescent="0.3">
      <c r="A791" s="493" t="s">
        <v>1128</v>
      </c>
      <c r="B791" s="493" t="s">
        <v>303</v>
      </c>
      <c r="C791" s="493" t="s">
        <v>32</v>
      </c>
      <c r="D791" s="494" t="s">
        <v>4419</v>
      </c>
      <c r="E791" s="493" t="s">
        <v>268</v>
      </c>
      <c r="F791" s="495">
        <v>2765.7449999999999</v>
      </c>
      <c r="G791" s="496">
        <v>9.31</v>
      </c>
      <c r="H791" s="497">
        <v>0.2122</v>
      </c>
      <c r="I791" s="495">
        <v>11.29</v>
      </c>
      <c r="J791" s="496">
        <v>31225.26</v>
      </c>
      <c r="K791" s="498">
        <v>1.1039065297015899E-3</v>
      </c>
    </row>
    <row r="792" spans="1:11" ht="62.5" x14ac:dyDescent="0.3">
      <c r="A792" s="493" t="s">
        <v>1129</v>
      </c>
      <c r="B792" s="493" t="s">
        <v>305</v>
      </c>
      <c r="C792" s="493" t="s">
        <v>32</v>
      </c>
      <c r="D792" s="494" t="s">
        <v>4420</v>
      </c>
      <c r="E792" s="493" t="s">
        <v>268</v>
      </c>
      <c r="F792" s="495">
        <v>2240.4834881977054</v>
      </c>
      <c r="G792" s="496">
        <v>8.6999999999999993</v>
      </c>
      <c r="H792" s="497">
        <v>0.2122</v>
      </c>
      <c r="I792" s="495">
        <v>10.55</v>
      </c>
      <c r="J792" s="496">
        <v>23637.1</v>
      </c>
      <c r="K792" s="498">
        <v>8.3564233038281989E-4</v>
      </c>
    </row>
    <row r="793" spans="1:11" ht="62.5" x14ac:dyDescent="0.3">
      <c r="A793" s="493" t="s">
        <v>1130</v>
      </c>
      <c r="B793" s="493" t="s">
        <v>308</v>
      </c>
      <c r="C793" s="493" t="s">
        <v>32</v>
      </c>
      <c r="D793" s="494" t="s">
        <v>4421</v>
      </c>
      <c r="E793" s="493" t="s">
        <v>268</v>
      </c>
      <c r="F793" s="495">
        <v>525.52090244431474</v>
      </c>
      <c r="G793" s="496">
        <v>8.36</v>
      </c>
      <c r="H793" s="497">
        <v>0.2122</v>
      </c>
      <c r="I793" s="495">
        <v>10.130000000000001</v>
      </c>
      <c r="J793" s="496">
        <v>5323.52</v>
      </c>
      <c r="K793" s="498">
        <v>1.8820238771420988E-4</v>
      </c>
    </row>
    <row r="794" spans="1:11" ht="37.5" x14ac:dyDescent="0.3">
      <c r="A794" s="493" t="s">
        <v>1131</v>
      </c>
      <c r="B794" s="493" t="s">
        <v>310</v>
      </c>
      <c r="C794" s="493" t="s">
        <v>4210</v>
      </c>
      <c r="D794" s="494" t="s">
        <v>311</v>
      </c>
      <c r="E794" s="493" t="s">
        <v>268</v>
      </c>
      <c r="F794" s="495">
        <v>4208.420000000001</v>
      </c>
      <c r="G794" s="496">
        <v>13.06</v>
      </c>
      <c r="H794" s="497">
        <v>0.2122</v>
      </c>
      <c r="I794" s="495">
        <v>15.83</v>
      </c>
      <c r="J794" s="496">
        <v>66619.28</v>
      </c>
      <c r="K794" s="498">
        <v>2.3551912200576886E-3</v>
      </c>
    </row>
    <row r="795" spans="1:11" ht="37.5" x14ac:dyDescent="0.3">
      <c r="A795" s="493" t="s">
        <v>1132</v>
      </c>
      <c r="B795" s="493" t="s">
        <v>313</v>
      </c>
      <c r="C795" s="493" t="s">
        <v>4210</v>
      </c>
      <c r="D795" s="494" t="s">
        <v>314</v>
      </c>
      <c r="E795" s="493" t="s">
        <v>268</v>
      </c>
      <c r="F795" s="495">
        <v>3440.1770603340765</v>
      </c>
      <c r="G795" s="496">
        <v>17.96</v>
      </c>
      <c r="H795" s="497">
        <v>0.2122</v>
      </c>
      <c r="I795" s="495">
        <v>21.77</v>
      </c>
      <c r="J795" s="496">
        <v>74892.649999999994</v>
      </c>
      <c r="K795" s="498">
        <v>2.6476796465956017E-3</v>
      </c>
    </row>
    <row r="796" spans="1:11" ht="37.5" x14ac:dyDescent="0.3">
      <c r="A796" s="493" t="s">
        <v>1133</v>
      </c>
      <c r="B796" s="493" t="s">
        <v>316</v>
      </c>
      <c r="C796" s="493" t="s">
        <v>4210</v>
      </c>
      <c r="D796" s="494" t="s">
        <v>317</v>
      </c>
      <c r="E796" s="493" t="s">
        <v>268</v>
      </c>
      <c r="F796" s="495">
        <v>338.82929999540391</v>
      </c>
      <c r="G796" s="496">
        <v>26.13</v>
      </c>
      <c r="H796" s="497">
        <v>0.2122</v>
      </c>
      <c r="I796" s="495">
        <v>31.67</v>
      </c>
      <c r="J796" s="496">
        <v>10730.72</v>
      </c>
      <c r="K796" s="498">
        <v>3.7936311423505985E-4</v>
      </c>
    </row>
    <row r="797" spans="1:11" ht="25" x14ac:dyDescent="0.3">
      <c r="A797" s="493" t="s">
        <v>1134</v>
      </c>
      <c r="B797" s="493" t="s">
        <v>16937</v>
      </c>
      <c r="C797" s="493" t="s">
        <v>446</v>
      </c>
      <c r="D797" s="494" t="s">
        <v>16938</v>
      </c>
      <c r="E797" s="493" t="s">
        <v>268</v>
      </c>
      <c r="F797" s="495">
        <v>690.01</v>
      </c>
      <c r="G797" s="496">
        <v>108.71</v>
      </c>
      <c r="H797" s="497">
        <v>0.2122</v>
      </c>
      <c r="I797" s="495">
        <v>131.78</v>
      </c>
      <c r="J797" s="496">
        <v>90929.51</v>
      </c>
      <c r="K797" s="498">
        <v>3.2146307134533394E-3</v>
      </c>
    </row>
    <row r="798" spans="1:11" ht="50" x14ac:dyDescent="0.3">
      <c r="A798" s="493" t="s">
        <v>1135</v>
      </c>
      <c r="B798" s="493" t="s">
        <v>127</v>
      </c>
      <c r="C798" s="493" t="s">
        <v>32</v>
      </c>
      <c r="D798" s="494" t="s">
        <v>128</v>
      </c>
      <c r="E798" s="493" t="s">
        <v>268</v>
      </c>
      <c r="F798" s="495">
        <v>2307.9058658322156</v>
      </c>
      <c r="G798" s="496">
        <v>6.53</v>
      </c>
      <c r="H798" s="497">
        <v>0.2122</v>
      </c>
      <c r="I798" s="495">
        <v>7.92</v>
      </c>
      <c r="J798" s="496">
        <v>18278.61</v>
      </c>
      <c r="K798" s="498">
        <v>6.4620364835613162E-4</v>
      </c>
    </row>
    <row r="799" spans="1:11" ht="25" x14ac:dyDescent="0.3">
      <c r="A799" s="493" t="s">
        <v>1136</v>
      </c>
      <c r="B799" s="493" t="s">
        <v>119</v>
      </c>
      <c r="C799" s="493" t="s">
        <v>32</v>
      </c>
      <c r="D799" s="494" t="s">
        <v>120</v>
      </c>
      <c r="E799" s="493" t="s">
        <v>121</v>
      </c>
      <c r="F799" s="495">
        <v>60497.998585044552</v>
      </c>
      <c r="G799" s="496">
        <v>2.1</v>
      </c>
      <c r="H799" s="497">
        <v>0.2122</v>
      </c>
      <c r="I799" s="495">
        <v>2.5499999999999998</v>
      </c>
      <c r="J799" s="496">
        <v>154269.89000000001</v>
      </c>
      <c r="K799" s="498">
        <v>5.4539029909549527E-3</v>
      </c>
    </row>
    <row r="800" spans="1:11" ht="37.5" x14ac:dyDescent="0.3">
      <c r="A800" s="493" t="s">
        <v>1137</v>
      </c>
      <c r="B800" s="493" t="s">
        <v>122</v>
      </c>
      <c r="C800" s="493" t="s">
        <v>32</v>
      </c>
      <c r="D800" s="494" t="s">
        <v>123</v>
      </c>
      <c r="E800" s="493" t="s">
        <v>121</v>
      </c>
      <c r="F800" s="495">
        <v>30912.447999999997</v>
      </c>
      <c r="G800" s="496">
        <v>0.85</v>
      </c>
      <c r="H800" s="497">
        <v>0.2122</v>
      </c>
      <c r="I800" s="495">
        <v>1.03</v>
      </c>
      <c r="J800" s="496">
        <v>31839.82</v>
      </c>
      <c r="K800" s="498">
        <v>1.1256330676677562E-3</v>
      </c>
    </row>
    <row r="801" spans="1:11" x14ac:dyDescent="0.3">
      <c r="A801" s="493" t="s">
        <v>1138</v>
      </c>
      <c r="B801" s="493" t="s">
        <v>324</v>
      </c>
      <c r="C801" s="493" t="s">
        <v>32</v>
      </c>
      <c r="D801" s="494" t="s">
        <v>4422</v>
      </c>
      <c r="E801" s="493" t="s">
        <v>268</v>
      </c>
      <c r="F801" s="495">
        <v>2307.9058658322156</v>
      </c>
      <c r="G801" s="496">
        <v>1.37</v>
      </c>
      <c r="H801" s="497">
        <v>0.2122</v>
      </c>
      <c r="I801" s="495">
        <v>1.66</v>
      </c>
      <c r="J801" s="496">
        <v>3831.12</v>
      </c>
      <c r="K801" s="498">
        <v>1.3544157467609095E-4</v>
      </c>
    </row>
    <row r="802" spans="1:11" ht="24" customHeight="1" x14ac:dyDescent="0.3">
      <c r="A802" s="489" t="s">
        <v>1139</v>
      </c>
      <c r="B802" s="489" t="s">
        <v>1328</v>
      </c>
      <c r="C802" s="489" t="s">
        <v>1328</v>
      </c>
      <c r="D802" s="490" t="s">
        <v>326</v>
      </c>
      <c r="E802" s="490" t="s">
        <v>1328</v>
      </c>
      <c r="F802" s="499"/>
      <c r="G802" s="490"/>
      <c r="H802" s="489"/>
      <c r="I802" s="500"/>
      <c r="J802" s="357">
        <v>4.25</v>
      </c>
      <c r="K802" s="492">
        <v>1.5025023814795321E-7</v>
      </c>
    </row>
    <row r="803" spans="1:11" ht="39" customHeight="1" x14ac:dyDescent="0.3">
      <c r="A803" s="493" t="s">
        <v>1140</v>
      </c>
      <c r="B803" s="493" t="s">
        <v>328</v>
      </c>
      <c r="C803" s="493" t="s">
        <v>125</v>
      </c>
      <c r="D803" s="494" t="s">
        <v>329</v>
      </c>
      <c r="E803" s="493" t="s">
        <v>1901</v>
      </c>
      <c r="F803" s="495">
        <v>0.25721866666666809</v>
      </c>
      <c r="G803" s="496">
        <v>13.66</v>
      </c>
      <c r="H803" s="497">
        <v>0.2122</v>
      </c>
      <c r="I803" s="495">
        <v>16.559999999999999</v>
      </c>
      <c r="J803" s="496">
        <v>4.25</v>
      </c>
      <c r="K803" s="498">
        <v>1.5025023814795321E-7</v>
      </c>
    </row>
    <row r="804" spans="1:11" ht="24" customHeight="1" x14ac:dyDescent="0.3">
      <c r="A804" s="489" t="s">
        <v>1141</v>
      </c>
      <c r="B804" s="489" t="s">
        <v>1328</v>
      </c>
      <c r="C804" s="489" t="s">
        <v>1328</v>
      </c>
      <c r="D804" s="490" t="s">
        <v>332</v>
      </c>
      <c r="E804" s="490" t="s">
        <v>1328</v>
      </c>
      <c r="F804" s="499"/>
      <c r="G804" s="490"/>
      <c r="H804" s="489"/>
      <c r="I804" s="500"/>
      <c r="J804" s="357">
        <v>662370.67999999993</v>
      </c>
      <c r="K804" s="492">
        <v>2.3416788802875694E-2</v>
      </c>
    </row>
    <row r="805" spans="1:11" ht="37.5" x14ac:dyDescent="0.3">
      <c r="A805" s="493" t="s">
        <v>1142</v>
      </c>
      <c r="B805" s="493" t="s">
        <v>334</v>
      </c>
      <c r="C805" s="493" t="s">
        <v>243</v>
      </c>
      <c r="D805" s="494" t="s">
        <v>335</v>
      </c>
      <c r="E805" s="493" t="s">
        <v>1332</v>
      </c>
      <c r="F805" s="495">
        <v>416.76</v>
      </c>
      <c r="G805" s="496">
        <v>23.05</v>
      </c>
      <c r="H805" s="497">
        <v>0.2122</v>
      </c>
      <c r="I805" s="495">
        <v>27.94</v>
      </c>
      <c r="J805" s="496">
        <v>11644.27</v>
      </c>
      <c r="K805" s="498">
        <v>4.1165984483742759E-4</v>
      </c>
    </row>
    <row r="806" spans="1:11" ht="50" x14ac:dyDescent="0.3">
      <c r="A806" s="493" t="s">
        <v>1143</v>
      </c>
      <c r="B806" s="493" t="s">
        <v>337</v>
      </c>
      <c r="C806" s="493" t="s">
        <v>243</v>
      </c>
      <c r="D806" s="494" t="s">
        <v>338</v>
      </c>
      <c r="E806" s="493" t="s">
        <v>1332</v>
      </c>
      <c r="F806" s="495">
        <v>326.61610000000002</v>
      </c>
      <c r="G806" s="496">
        <v>30.02</v>
      </c>
      <c r="H806" s="497">
        <v>0.2122</v>
      </c>
      <c r="I806" s="495">
        <v>36.39</v>
      </c>
      <c r="J806" s="496">
        <v>11885.55</v>
      </c>
      <c r="K806" s="498">
        <v>4.2018981600456596E-4</v>
      </c>
    </row>
    <row r="807" spans="1:11" ht="50" x14ac:dyDescent="0.3">
      <c r="A807" s="493" t="s">
        <v>1144</v>
      </c>
      <c r="B807" s="493" t="s">
        <v>478</v>
      </c>
      <c r="C807" s="493" t="s">
        <v>243</v>
      </c>
      <c r="D807" s="494" t="s">
        <v>4439</v>
      </c>
      <c r="E807" s="493" t="s">
        <v>1332</v>
      </c>
      <c r="F807" s="495">
        <v>27.740600000000068</v>
      </c>
      <c r="G807" s="496">
        <v>14.37</v>
      </c>
      <c r="H807" s="497">
        <v>0.2122</v>
      </c>
      <c r="I807" s="495">
        <v>17.420000000000002</v>
      </c>
      <c r="J807" s="496">
        <v>483.24</v>
      </c>
      <c r="K807" s="498">
        <v>1.7083982372380449E-5</v>
      </c>
    </row>
    <row r="808" spans="1:11" ht="50" x14ac:dyDescent="0.3">
      <c r="A808" s="493" t="s">
        <v>1145</v>
      </c>
      <c r="B808" s="493" t="s">
        <v>340</v>
      </c>
      <c r="C808" s="493" t="s">
        <v>243</v>
      </c>
      <c r="D808" s="494" t="s">
        <v>4423</v>
      </c>
      <c r="E808" s="493" t="s">
        <v>1332</v>
      </c>
      <c r="F808" s="495">
        <v>2778.1199999999994</v>
      </c>
      <c r="G808" s="496">
        <v>32.4</v>
      </c>
      <c r="H808" s="497">
        <v>0.2122</v>
      </c>
      <c r="I808" s="495">
        <v>39.28</v>
      </c>
      <c r="J808" s="496">
        <v>109124.55</v>
      </c>
      <c r="K808" s="498">
        <v>3.8578799118325242E-3</v>
      </c>
    </row>
    <row r="809" spans="1:11" ht="37.5" x14ac:dyDescent="0.3">
      <c r="A809" s="493" t="s">
        <v>1146</v>
      </c>
      <c r="B809" s="493" t="s">
        <v>342</v>
      </c>
      <c r="C809" s="493" t="s">
        <v>243</v>
      </c>
      <c r="D809" s="494" t="s">
        <v>4424</v>
      </c>
      <c r="E809" s="493" t="s">
        <v>1332</v>
      </c>
      <c r="F809" s="495">
        <v>2432.9435999999996</v>
      </c>
      <c r="G809" s="496">
        <v>41.58</v>
      </c>
      <c r="H809" s="497">
        <v>0.2122</v>
      </c>
      <c r="I809" s="495">
        <v>50.4</v>
      </c>
      <c r="J809" s="496">
        <v>122620.35</v>
      </c>
      <c r="K809" s="498">
        <v>4.3349968915965594E-3</v>
      </c>
    </row>
    <row r="810" spans="1:11" ht="50" x14ac:dyDescent="0.3">
      <c r="A810" s="493" t="s">
        <v>1147</v>
      </c>
      <c r="B810" s="493" t="s">
        <v>345</v>
      </c>
      <c r="C810" s="493" t="s">
        <v>243</v>
      </c>
      <c r="D810" s="494" t="s">
        <v>4425</v>
      </c>
      <c r="E810" s="493" t="s">
        <v>1332</v>
      </c>
      <c r="F810" s="495">
        <v>714.64520000000039</v>
      </c>
      <c r="G810" s="496">
        <v>23.69</v>
      </c>
      <c r="H810" s="497">
        <v>0.2122</v>
      </c>
      <c r="I810" s="495">
        <v>28.72</v>
      </c>
      <c r="J810" s="496">
        <v>20524.61</v>
      </c>
      <c r="K810" s="498">
        <v>7.2560648009267347E-4</v>
      </c>
    </row>
    <row r="811" spans="1:11" ht="50" x14ac:dyDescent="0.3">
      <c r="A811" s="493" t="s">
        <v>1148</v>
      </c>
      <c r="B811" s="493" t="s">
        <v>347</v>
      </c>
      <c r="C811" s="493" t="s">
        <v>243</v>
      </c>
      <c r="D811" s="494" t="s">
        <v>4426</v>
      </c>
      <c r="E811" s="493" t="s">
        <v>1332</v>
      </c>
      <c r="F811" s="495">
        <v>2349.87</v>
      </c>
      <c r="G811" s="496">
        <v>47.36</v>
      </c>
      <c r="H811" s="497">
        <v>0.2122</v>
      </c>
      <c r="I811" s="495">
        <v>57.41</v>
      </c>
      <c r="J811" s="496">
        <v>134906.03</v>
      </c>
      <c r="K811" s="498">
        <v>4.7693325023752753E-3</v>
      </c>
    </row>
    <row r="812" spans="1:11" ht="37.5" x14ac:dyDescent="0.3">
      <c r="A812" s="493" t="s">
        <v>1149</v>
      </c>
      <c r="B812" s="493" t="s">
        <v>349</v>
      </c>
      <c r="C812" s="493" t="s">
        <v>243</v>
      </c>
      <c r="D812" s="494" t="s">
        <v>4427</v>
      </c>
      <c r="E812" s="493" t="s">
        <v>1332</v>
      </c>
      <c r="F812" s="495">
        <v>2316.5812000000005</v>
      </c>
      <c r="G812" s="496">
        <v>59.71</v>
      </c>
      <c r="H812" s="497">
        <v>0.2122</v>
      </c>
      <c r="I812" s="495">
        <v>72.38</v>
      </c>
      <c r="J812" s="496">
        <v>167674.14000000001</v>
      </c>
      <c r="K812" s="498">
        <v>5.9277834038242942E-3</v>
      </c>
    </row>
    <row r="813" spans="1:11" ht="50" x14ac:dyDescent="0.3">
      <c r="A813" s="493" t="s">
        <v>1150</v>
      </c>
      <c r="B813" s="493" t="s">
        <v>351</v>
      </c>
      <c r="C813" s="493" t="s">
        <v>243</v>
      </c>
      <c r="D813" s="494" t="s">
        <v>4428</v>
      </c>
      <c r="E813" s="493" t="s">
        <v>1332</v>
      </c>
      <c r="F813" s="495">
        <v>1666.5231000000001</v>
      </c>
      <c r="G813" s="496">
        <v>38.700000000000003</v>
      </c>
      <c r="H813" s="497">
        <v>0.2122</v>
      </c>
      <c r="I813" s="495">
        <v>46.91</v>
      </c>
      <c r="J813" s="496">
        <v>78176.59</v>
      </c>
      <c r="K813" s="498">
        <v>2.7637767682576228E-3</v>
      </c>
    </row>
    <row r="814" spans="1:11" ht="50" x14ac:dyDescent="0.3">
      <c r="A814" s="493" t="s">
        <v>1151</v>
      </c>
      <c r="B814" s="493" t="s">
        <v>353</v>
      </c>
      <c r="C814" s="493" t="s">
        <v>243</v>
      </c>
      <c r="D814" s="494" t="s">
        <v>4429</v>
      </c>
      <c r="E814" s="493" t="s">
        <v>1332</v>
      </c>
      <c r="F814" s="495">
        <v>125.00240000000031</v>
      </c>
      <c r="G814" s="496">
        <v>35.18</v>
      </c>
      <c r="H814" s="497">
        <v>0.2122</v>
      </c>
      <c r="I814" s="495">
        <v>42.65</v>
      </c>
      <c r="J814" s="496">
        <v>5331.35</v>
      </c>
      <c r="K814" s="498">
        <v>1.8847920168237422E-4</v>
      </c>
    </row>
    <row r="815" spans="1:11" ht="24" customHeight="1" x14ac:dyDescent="0.3">
      <c r="A815" s="489" t="s">
        <v>1152</v>
      </c>
      <c r="B815" s="489" t="s">
        <v>1328</v>
      </c>
      <c r="C815" s="489" t="s">
        <v>1328</v>
      </c>
      <c r="D815" s="490" t="s">
        <v>355</v>
      </c>
      <c r="E815" s="490" t="s">
        <v>1328</v>
      </c>
      <c r="F815" s="499"/>
      <c r="G815" s="490"/>
      <c r="H815" s="489"/>
      <c r="I815" s="500"/>
      <c r="J815" s="357">
        <v>1307150.6600000001</v>
      </c>
      <c r="K815" s="492">
        <v>4.6211693637706878E-2</v>
      </c>
    </row>
    <row r="816" spans="1:11" ht="39" customHeight="1" x14ac:dyDescent="0.3">
      <c r="A816" s="493" t="s">
        <v>1153</v>
      </c>
      <c r="B816" s="493" t="s">
        <v>357</v>
      </c>
      <c r="C816" s="493" t="s">
        <v>32</v>
      </c>
      <c r="D816" s="494" t="s">
        <v>358</v>
      </c>
      <c r="E816" s="493" t="s">
        <v>268</v>
      </c>
      <c r="F816" s="495">
        <v>19.448799999999999</v>
      </c>
      <c r="G816" s="496">
        <v>271.92</v>
      </c>
      <c r="H816" s="497">
        <v>0.2122</v>
      </c>
      <c r="I816" s="495">
        <v>329.62</v>
      </c>
      <c r="J816" s="496">
        <v>6410.71</v>
      </c>
      <c r="K816" s="498">
        <v>2.2663781275234475E-4</v>
      </c>
    </row>
    <row r="817" spans="1:11" ht="39" customHeight="1" x14ac:dyDescent="0.3">
      <c r="A817" s="493" t="s">
        <v>1154</v>
      </c>
      <c r="B817" s="493" t="s">
        <v>360</v>
      </c>
      <c r="C817" s="493" t="s">
        <v>32</v>
      </c>
      <c r="D817" s="494" t="s">
        <v>361</v>
      </c>
      <c r="E817" s="493" t="s">
        <v>268</v>
      </c>
      <c r="F817" s="495">
        <v>708.8128999999999</v>
      </c>
      <c r="G817" s="496">
        <v>224.67</v>
      </c>
      <c r="H817" s="497">
        <v>0.2122</v>
      </c>
      <c r="I817" s="495">
        <v>272.33999999999997</v>
      </c>
      <c r="J817" s="496">
        <v>193038.1</v>
      </c>
      <c r="K817" s="498">
        <v>6.8244754109713906E-3</v>
      </c>
    </row>
    <row r="818" spans="1:11" ht="39" customHeight="1" x14ac:dyDescent="0.3">
      <c r="A818" s="493" t="s">
        <v>1155</v>
      </c>
      <c r="B818" s="493" t="s">
        <v>363</v>
      </c>
      <c r="C818" s="493" t="s">
        <v>4210</v>
      </c>
      <c r="D818" s="494" t="s">
        <v>364</v>
      </c>
      <c r="E818" s="493" t="s">
        <v>268</v>
      </c>
      <c r="F818" s="495">
        <v>544.78920000000005</v>
      </c>
      <c r="G818" s="496">
        <v>15.45</v>
      </c>
      <c r="H818" s="497">
        <v>0.2122</v>
      </c>
      <c r="I818" s="495">
        <v>18.73</v>
      </c>
      <c r="J818" s="496">
        <v>10203.9</v>
      </c>
      <c r="K818" s="498">
        <v>3.607384482442117E-4</v>
      </c>
    </row>
    <row r="819" spans="1:11" ht="39" customHeight="1" x14ac:dyDescent="0.3">
      <c r="A819" s="493" t="s">
        <v>1156</v>
      </c>
      <c r="B819" s="493" t="s">
        <v>366</v>
      </c>
      <c r="C819" s="493" t="s">
        <v>125</v>
      </c>
      <c r="D819" s="494" t="s">
        <v>4232</v>
      </c>
      <c r="E819" s="493" t="s">
        <v>268</v>
      </c>
      <c r="F819" s="495">
        <v>544.78920000000005</v>
      </c>
      <c r="G819" s="496">
        <v>208.42</v>
      </c>
      <c r="H819" s="497">
        <v>0.2122</v>
      </c>
      <c r="I819" s="495">
        <v>252.65</v>
      </c>
      <c r="J819" s="496">
        <v>137640.99</v>
      </c>
      <c r="K819" s="498">
        <v>4.8660215356282456E-3</v>
      </c>
    </row>
    <row r="820" spans="1:11" ht="39" customHeight="1" x14ac:dyDescent="0.3">
      <c r="A820" s="493" t="s">
        <v>1157</v>
      </c>
      <c r="B820" s="493" t="s">
        <v>369</v>
      </c>
      <c r="C820" s="493" t="s">
        <v>4210</v>
      </c>
      <c r="D820" s="494" t="s">
        <v>370</v>
      </c>
      <c r="E820" s="493" t="s">
        <v>1332</v>
      </c>
      <c r="F820" s="495">
        <v>3631.9279999999994</v>
      </c>
      <c r="G820" s="496">
        <v>0.28000000000000003</v>
      </c>
      <c r="H820" s="497">
        <v>0.2122</v>
      </c>
      <c r="I820" s="495">
        <v>0.34</v>
      </c>
      <c r="J820" s="496">
        <v>1234.8499999999999</v>
      </c>
      <c r="K820" s="498">
        <v>4.3655648606352947E-5</v>
      </c>
    </row>
    <row r="821" spans="1:11" ht="39" customHeight="1" x14ac:dyDescent="0.3">
      <c r="A821" s="493" t="s">
        <v>1158</v>
      </c>
      <c r="B821" s="493" t="s">
        <v>372</v>
      </c>
      <c r="C821" s="493" t="s">
        <v>4210</v>
      </c>
      <c r="D821" s="494" t="s">
        <v>373</v>
      </c>
      <c r="E821" s="493" t="s">
        <v>381</v>
      </c>
      <c r="F821" s="495">
        <v>1.63</v>
      </c>
      <c r="G821" s="496">
        <v>4033.08</v>
      </c>
      <c r="H821" s="497">
        <v>0.111</v>
      </c>
      <c r="I821" s="495">
        <v>4480.75</v>
      </c>
      <c r="J821" s="496">
        <v>7303.62</v>
      </c>
      <c r="K821" s="498">
        <v>2.5820485749227152E-4</v>
      </c>
    </row>
    <row r="822" spans="1:11" ht="39" customHeight="1" x14ac:dyDescent="0.3">
      <c r="A822" s="493" t="s">
        <v>1159</v>
      </c>
      <c r="B822" s="493" t="s">
        <v>376</v>
      </c>
      <c r="C822" s="493" t="s">
        <v>4210</v>
      </c>
      <c r="D822" s="494" t="s">
        <v>377</v>
      </c>
      <c r="E822" s="493" t="s">
        <v>1332</v>
      </c>
      <c r="F822" s="495">
        <v>3631.9279999999994</v>
      </c>
      <c r="G822" s="496">
        <v>0.4</v>
      </c>
      <c r="H822" s="497">
        <v>0.2122</v>
      </c>
      <c r="I822" s="495">
        <v>0.48</v>
      </c>
      <c r="J822" s="496">
        <v>1743.32</v>
      </c>
      <c r="K822" s="498">
        <v>6.1631587098374073E-5</v>
      </c>
    </row>
    <row r="823" spans="1:11" ht="39" customHeight="1" x14ac:dyDescent="0.3">
      <c r="A823" s="493" t="s">
        <v>1160</v>
      </c>
      <c r="B823" s="493" t="s">
        <v>379</v>
      </c>
      <c r="C823" s="493" t="s">
        <v>4210</v>
      </c>
      <c r="D823" s="494" t="s">
        <v>380</v>
      </c>
      <c r="E823" s="493" t="s">
        <v>381</v>
      </c>
      <c r="F823" s="495">
        <v>4.72</v>
      </c>
      <c r="G823" s="496">
        <v>4291.21</v>
      </c>
      <c r="H823" s="497">
        <v>0.111</v>
      </c>
      <c r="I823" s="495">
        <v>4767.53</v>
      </c>
      <c r="J823" s="496">
        <v>22502.74</v>
      </c>
      <c r="K823" s="498">
        <v>7.9553930446622898E-4</v>
      </c>
    </row>
    <row r="824" spans="1:11" ht="39" customHeight="1" x14ac:dyDescent="0.3">
      <c r="A824" s="493" t="s">
        <v>1161</v>
      </c>
      <c r="B824" s="493" t="s">
        <v>383</v>
      </c>
      <c r="C824" s="493" t="s">
        <v>125</v>
      </c>
      <c r="D824" s="494" t="s">
        <v>4233</v>
      </c>
      <c r="E824" s="493" t="s">
        <v>1369</v>
      </c>
      <c r="F824" s="495">
        <v>105479.919192</v>
      </c>
      <c r="G824" s="496">
        <v>0.54959999999999998</v>
      </c>
      <c r="H824" s="497">
        <v>0.111</v>
      </c>
      <c r="I824" s="495">
        <v>0.61</v>
      </c>
      <c r="J824" s="496">
        <v>64342.75</v>
      </c>
      <c r="K824" s="498">
        <v>2.2747090613162864E-3</v>
      </c>
    </row>
    <row r="825" spans="1:11" ht="39" customHeight="1" x14ac:dyDescent="0.3">
      <c r="A825" s="493" t="s">
        <v>1162</v>
      </c>
      <c r="B825" s="493" t="s">
        <v>386</v>
      </c>
      <c r="C825" s="493" t="s">
        <v>4210</v>
      </c>
      <c r="D825" s="494" t="s">
        <v>387</v>
      </c>
      <c r="E825" s="493" t="s">
        <v>268</v>
      </c>
      <c r="F825" s="495">
        <v>108.95783999999998</v>
      </c>
      <c r="G825" s="496">
        <v>124.59</v>
      </c>
      <c r="H825" s="497">
        <v>0.2122</v>
      </c>
      <c r="I825" s="495">
        <v>151.03</v>
      </c>
      <c r="J825" s="496">
        <v>16455.900000000001</v>
      </c>
      <c r="K825" s="498">
        <v>5.8176538680915376E-4</v>
      </c>
    </row>
    <row r="826" spans="1:11" ht="39" customHeight="1" x14ac:dyDescent="0.3">
      <c r="A826" s="493" t="s">
        <v>1163</v>
      </c>
      <c r="B826" s="493" t="s">
        <v>389</v>
      </c>
      <c r="C826" s="493" t="s">
        <v>4210</v>
      </c>
      <c r="D826" s="494" t="s">
        <v>390</v>
      </c>
      <c r="E826" s="493" t="s">
        <v>381</v>
      </c>
      <c r="F826" s="495">
        <v>261.49881599999992</v>
      </c>
      <c r="G826" s="496">
        <v>188.17</v>
      </c>
      <c r="H826" s="497">
        <v>0.2122</v>
      </c>
      <c r="I826" s="495">
        <v>228.1</v>
      </c>
      <c r="J826" s="496">
        <v>59647.87</v>
      </c>
      <c r="K826" s="498">
        <v>2.1087309817689774E-3</v>
      </c>
    </row>
    <row r="827" spans="1:11" ht="39" customHeight="1" x14ac:dyDescent="0.3">
      <c r="A827" s="493" t="s">
        <v>1164</v>
      </c>
      <c r="B827" s="493" t="s">
        <v>392</v>
      </c>
      <c r="C827" s="493" t="s">
        <v>4210</v>
      </c>
      <c r="D827" s="494" t="s">
        <v>393</v>
      </c>
      <c r="E827" s="493" t="s">
        <v>381</v>
      </c>
      <c r="F827" s="495">
        <v>16.534570135679992</v>
      </c>
      <c r="G827" s="496">
        <v>5274.22</v>
      </c>
      <c r="H827" s="497">
        <v>0.111</v>
      </c>
      <c r="I827" s="495">
        <v>5859.66</v>
      </c>
      <c r="J827" s="496">
        <v>96886.95</v>
      </c>
      <c r="K827" s="498">
        <v>3.4252440731597261E-3</v>
      </c>
    </row>
    <row r="828" spans="1:11" ht="39" customHeight="1" x14ac:dyDescent="0.3">
      <c r="A828" s="493" t="s">
        <v>1165</v>
      </c>
      <c r="B828" s="493" t="s">
        <v>4234</v>
      </c>
      <c r="C828" s="493" t="s">
        <v>4235</v>
      </c>
      <c r="D828" s="494" t="s">
        <v>4430</v>
      </c>
      <c r="E828" s="493" t="s">
        <v>268</v>
      </c>
      <c r="F828" s="495">
        <v>4046.8619094394926</v>
      </c>
      <c r="G828" s="496">
        <v>56.12</v>
      </c>
      <c r="H828" s="497">
        <v>0.2122</v>
      </c>
      <c r="I828" s="495">
        <v>68.03</v>
      </c>
      <c r="J828" s="496">
        <v>275308.01</v>
      </c>
      <c r="K828" s="498">
        <v>9.7329633097739034E-3</v>
      </c>
    </row>
    <row r="829" spans="1:11" ht="39" customHeight="1" x14ac:dyDescent="0.3">
      <c r="A829" s="493" t="s">
        <v>1166</v>
      </c>
      <c r="B829" s="493" t="s">
        <v>397</v>
      </c>
      <c r="C829" s="493" t="s">
        <v>197</v>
      </c>
      <c r="D829" s="494" t="s">
        <v>398</v>
      </c>
      <c r="E829" s="493" t="s">
        <v>268</v>
      </c>
      <c r="F829" s="495">
        <v>8304.8526500000025</v>
      </c>
      <c r="G829" s="496">
        <v>11.09</v>
      </c>
      <c r="H829" s="497">
        <v>0.2122</v>
      </c>
      <c r="I829" s="495">
        <v>13.44</v>
      </c>
      <c r="J829" s="496">
        <v>111617.21</v>
      </c>
      <c r="K829" s="498">
        <v>3.9460029138612017E-3</v>
      </c>
    </row>
    <row r="830" spans="1:11" ht="50" x14ac:dyDescent="0.3">
      <c r="A830" s="493" t="s">
        <v>1167</v>
      </c>
      <c r="B830" s="493" t="s">
        <v>127</v>
      </c>
      <c r="C830" s="493" t="s">
        <v>32</v>
      </c>
      <c r="D830" s="494" t="s">
        <v>128</v>
      </c>
      <c r="E830" s="493" t="s">
        <v>268</v>
      </c>
      <c r="F830" s="495">
        <v>4785.7616482999583</v>
      </c>
      <c r="G830" s="496">
        <v>6.53</v>
      </c>
      <c r="H830" s="497">
        <v>0.2122</v>
      </c>
      <c r="I830" s="495">
        <v>7.92</v>
      </c>
      <c r="J830" s="496">
        <v>37903.230000000003</v>
      </c>
      <c r="K830" s="498">
        <v>1.3399927844886224E-3</v>
      </c>
    </row>
    <row r="831" spans="1:11" ht="25" x14ac:dyDescent="0.3">
      <c r="A831" s="493" t="s">
        <v>1168</v>
      </c>
      <c r="B831" s="493" t="s">
        <v>119</v>
      </c>
      <c r="C831" s="493" t="s">
        <v>32</v>
      </c>
      <c r="D831" s="494" t="s">
        <v>120</v>
      </c>
      <c r="E831" s="493" t="s">
        <v>121</v>
      </c>
      <c r="F831" s="495">
        <v>19454.999509659989</v>
      </c>
      <c r="G831" s="496">
        <v>2.1</v>
      </c>
      <c r="H831" s="497">
        <v>0.2122</v>
      </c>
      <c r="I831" s="495">
        <v>2.5499999999999998</v>
      </c>
      <c r="J831" s="496">
        <v>49610.239999999998</v>
      </c>
      <c r="K831" s="498">
        <v>1.7538706763710857E-3</v>
      </c>
    </row>
    <row r="832" spans="1:11" ht="50" x14ac:dyDescent="0.3">
      <c r="A832" s="493" t="s">
        <v>1169</v>
      </c>
      <c r="B832" s="493" t="s">
        <v>402</v>
      </c>
      <c r="C832" s="493" t="s">
        <v>32</v>
      </c>
      <c r="D832" s="494" t="s">
        <v>4431</v>
      </c>
      <c r="E832" s="493" t="s">
        <v>194</v>
      </c>
      <c r="F832" s="495">
        <v>138.92000000000002</v>
      </c>
      <c r="G832" s="496">
        <v>60.45</v>
      </c>
      <c r="H832" s="497">
        <v>0.2122</v>
      </c>
      <c r="I832" s="495">
        <v>73.28</v>
      </c>
      <c r="J832" s="496">
        <v>10180.049999999999</v>
      </c>
      <c r="K832" s="498">
        <v>3.5989527926072262E-4</v>
      </c>
    </row>
    <row r="833" spans="1:11" ht="50" x14ac:dyDescent="0.3">
      <c r="A833" s="493" t="s">
        <v>1170</v>
      </c>
      <c r="B833" s="493" t="s">
        <v>404</v>
      </c>
      <c r="C833" s="493" t="s">
        <v>32</v>
      </c>
      <c r="D833" s="494" t="s">
        <v>4432</v>
      </c>
      <c r="E833" s="493" t="s">
        <v>194</v>
      </c>
      <c r="F833" s="495">
        <v>140.28</v>
      </c>
      <c r="G833" s="496">
        <v>83.73</v>
      </c>
      <c r="H833" s="497">
        <v>0.2122</v>
      </c>
      <c r="I833" s="495">
        <v>101.5</v>
      </c>
      <c r="J833" s="496">
        <v>14238.42</v>
      </c>
      <c r="K833" s="498">
        <v>5.0337082255307768E-4</v>
      </c>
    </row>
    <row r="834" spans="1:11" ht="50" x14ac:dyDescent="0.3">
      <c r="A834" s="493" t="s">
        <v>1171</v>
      </c>
      <c r="B834" s="493" t="s">
        <v>406</v>
      </c>
      <c r="C834" s="493" t="s">
        <v>32</v>
      </c>
      <c r="D834" s="494" t="s">
        <v>4433</v>
      </c>
      <c r="E834" s="493" t="s">
        <v>194</v>
      </c>
      <c r="F834" s="495">
        <v>476.44999999999993</v>
      </c>
      <c r="G834" s="496">
        <v>108</v>
      </c>
      <c r="H834" s="497">
        <v>0.2122</v>
      </c>
      <c r="I834" s="495">
        <v>130.91999999999999</v>
      </c>
      <c r="J834" s="496">
        <v>62376.83</v>
      </c>
      <c r="K834" s="498">
        <v>2.2052078970386806E-3</v>
      </c>
    </row>
    <row r="835" spans="1:11" ht="50" x14ac:dyDescent="0.3">
      <c r="A835" s="493" t="s">
        <v>1172</v>
      </c>
      <c r="B835" s="493" t="s">
        <v>408</v>
      </c>
      <c r="C835" s="493" t="s">
        <v>32</v>
      </c>
      <c r="D835" s="494" t="s">
        <v>4434</v>
      </c>
      <c r="E835" s="493" t="s">
        <v>194</v>
      </c>
      <c r="F835" s="495">
        <v>309.30999999999995</v>
      </c>
      <c r="G835" s="496">
        <v>133.19</v>
      </c>
      <c r="H835" s="497">
        <v>0.2122</v>
      </c>
      <c r="I835" s="495">
        <v>161.44999999999999</v>
      </c>
      <c r="J835" s="496">
        <v>49938.09</v>
      </c>
      <c r="K835" s="498">
        <v>1.7654611565068048E-3</v>
      </c>
    </row>
    <row r="836" spans="1:11" ht="50" x14ac:dyDescent="0.3">
      <c r="A836" s="493" t="s">
        <v>1173</v>
      </c>
      <c r="B836" s="493" t="s">
        <v>410</v>
      </c>
      <c r="C836" s="493" t="s">
        <v>32</v>
      </c>
      <c r="D836" s="494" t="s">
        <v>4435</v>
      </c>
      <c r="E836" s="493" t="s">
        <v>194</v>
      </c>
      <c r="F836" s="495">
        <v>375.19999999999993</v>
      </c>
      <c r="G836" s="496">
        <v>172.74</v>
      </c>
      <c r="H836" s="497">
        <v>0.2122</v>
      </c>
      <c r="I836" s="495">
        <v>209.4</v>
      </c>
      <c r="J836" s="496">
        <v>78566.880000000005</v>
      </c>
      <c r="K836" s="498">
        <v>2.7775746895392149E-3</v>
      </c>
    </row>
    <row r="837" spans="1:11" ht="24" customHeight="1" x14ac:dyDescent="0.3">
      <c r="A837" s="489" t="s">
        <v>1174</v>
      </c>
      <c r="B837" s="489" t="s">
        <v>1328</v>
      </c>
      <c r="C837" s="489" t="s">
        <v>1328</v>
      </c>
      <c r="D837" s="490" t="s">
        <v>412</v>
      </c>
      <c r="E837" s="490" t="s">
        <v>1328</v>
      </c>
      <c r="F837" s="499"/>
      <c r="G837" s="490"/>
      <c r="H837" s="489"/>
      <c r="I837" s="500"/>
      <c r="J837" s="357">
        <v>1381397.8699999999</v>
      </c>
      <c r="K837" s="492">
        <v>4.8836555045782423E-2</v>
      </c>
    </row>
    <row r="838" spans="1:11" ht="39" customHeight="1" x14ac:dyDescent="0.3">
      <c r="A838" s="493" t="s">
        <v>1175</v>
      </c>
      <c r="B838" s="493" t="s">
        <v>414</v>
      </c>
      <c r="C838" s="493" t="s">
        <v>32</v>
      </c>
      <c r="D838" s="494" t="s">
        <v>415</v>
      </c>
      <c r="E838" s="493" t="s">
        <v>416</v>
      </c>
      <c r="F838" s="495">
        <v>66324.584599999987</v>
      </c>
      <c r="G838" s="496">
        <v>2.71</v>
      </c>
      <c r="H838" s="497">
        <v>0.2122</v>
      </c>
      <c r="I838" s="495">
        <v>3.29</v>
      </c>
      <c r="J838" s="496">
        <v>218207.88</v>
      </c>
      <c r="K838" s="498">
        <v>7.7143025731199995E-3</v>
      </c>
    </row>
    <row r="839" spans="1:11" ht="39" customHeight="1" x14ac:dyDescent="0.3">
      <c r="A839" s="493" t="s">
        <v>1176</v>
      </c>
      <c r="B839" s="493" t="s">
        <v>418</v>
      </c>
      <c r="C839" s="493" t="s">
        <v>32</v>
      </c>
      <c r="D839" s="494" t="s">
        <v>419</v>
      </c>
      <c r="E839" s="493" t="s">
        <v>381</v>
      </c>
      <c r="F839" s="495">
        <v>61.124800000000008</v>
      </c>
      <c r="G839" s="496">
        <v>44.31</v>
      </c>
      <c r="H839" s="497">
        <v>0.2122</v>
      </c>
      <c r="I839" s="495">
        <v>53.71</v>
      </c>
      <c r="J839" s="496">
        <v>3283.01</v>
      </c>
      <c r="K839" s="498">
        <v>1.1606424337461456E-4</v>
      </c>
    </row>
    <row r="840" spans="1:11" ht="39" customHeight="1" x14ac:dyDescent="0.3">
      <c r="A840" s="493" t="s">
        <v>1177</v>
      </c>
      <c r="B840" s="493" t="s">
        <v>421</v>
      </c>
      <c r="C840" s="493" t="s">
        <v>32</v>
      </c>
      <c r="D840" s="494" t="s">
        <v>422</v>
      </c>
      <c r="E840" s="493" t="s">
        <v>194</v>
      </c>
      <c r="F840" s="495">
        <v>71.260000000000005</v>
      </c>
      <c r="G840" s="496">
        <v>241.33</v>
      </c>
      <c r="H840" s="497">
        <v>0.111</v>
      </c>
      <c r="I840" s="495">
        <v>268.12</v>
      </c>
      <c r="J840" s="496">
        <v>19106.23</v>
      </c>
      <c r="K840" s="498">
        <v>6.7546249590813361E-4</v>
      </c>
    </row>
    <row r="841" spans="1:11" ht="39" customHeight="1" x14ac:dyDescent="0.3">
      <c r="A841" s="493" t="s">
        <v>1178</v>
      </c>
      <c r="B841" s="493" t="s">
        <v>753</v>
      </c>
      <c r="C841" s="493" t="s">
        <v>32</v>
      </c>
      <c r="D841" s="494" t="s">
        <v>754</v>
      </c>
      <c r="E841" s="493" t="s">
        <v>194</v>
      </c>
      <c r="F841" s="495">
        <v>67.66</v>
      </c>
      <c r="G841" s="496">
        <v>209.38</v>
      </c>
      <c r="H841" s="497">
        <v>0.111</v>
      </c>
      <c r="I841" s="495">
        <v>232.62</v>
      </c>
      <c r="J841" s="496">
        <v>15739.06</v>
      </c>
      <c r="K841" s="498">
        <v>5.5642294428821749E-4</v>
      </c>
    </row>
    <row r="842" spans="1:11" ht="39" customHeight="1" x14ac:dyDescent="0.3">
      <c r="A842" s="493" t="s">
        <v>1179</v>
      </c>
      <c r="B842" s="493" t="s">
        <v>424</v>
      </c>
      <c r="C842" s="493" t="s">
        <v>32</v>
      </c>
      <c r="D842" s="494" t="s">
        <v>425</v>
      </c>
      <c r="E842" s="493" t="s">
        <v>381</v>
      </c>
      <c r="F842" s="495">
        <v>98.195999999999998</v>
      </c>
      <c r="G842" s="496">
        <v>26.01</v>
      </c>
      <c r="H842" s="497">
        <v>0.2122</v>
      </c>
      <c r="I842" s="495">
        <v>31.53</v>
      </c>
      <c r="J842" s="496">
        <v>3096.11</v>
      </c>
      <c r="K842" s="498">
        <v>1.0945676819582575E-4</v>
      </c>
    </row>
    <row r="843" spans="1:11" ht="39" customHeight="1" x14ac:dyDescent="0.3">
      <c r="A843" s="493" t="s">
        <v>1180</v>
      </c>
      <c r="B843" s="493" t="s">
        <v>757</v>
      </c>
      <c r="C843" s="493" t="s">
        <v>32</v>
      </c>
      <c r="D843" s="494" t="s">
        <v>758</v>
      </c>
      <c r="E843" s="493" t="s">
        <v>194</v>
      </c>
      <c r="F843" s="495">
        <v>73.400000000000006</v>
      </c>
      <c r="G843" s="496">
        <v>401.54</v>
      </c>
      <c r="H843" s="497">
        <v>0.111</v>
      </c>
      <c r="I843" s="495">
        <v>446.11</v>
      </c>
      <c r="J843" s="496">
        <v>32744.47</v>
      </c>
      <c r="K843" s="498">
        <v>1.1576151565949435E-3</v>
      </c>
    </row>
    <row r="844" spans="1:11" ht="39" customHeight="1" x14ac:dyDescent="0.3">
      <c r="A844" s="493" t="s">
        <v>1181</v>
      </c>
      <c r="B844" s="493" t="s">
        <v>427</v>
      </c>
      <c r="C844" s="493" t="s">
        <v>32</v>
      </c>
      <c r="D844" s="494" t="s">
        <v>428</v>
      </c>
      <c r="E844" s="493" t="s">
        <v>194</v>
      </c>
      <c r="F844" s="495">
        <v>66.88</v>
      </c>
      <c r="G844" s="496">
        <v>390.38</v>
      </c>
      <c r="H844" s="497">
        <v>0.111</v>
      </c>
      <c r="I844" s="495">
        <v>433.71</v>
      </c>
      <c r="J844" s="496">
        <v>29006.52</v>
      </c>
      <c r="K844" s="498">
        <v>1.0254674206690278E-3</v>
      </c>
    </row>
    <row r="845" spans="1:11" ht="39" customHeight="1" x14ac:dyDescent="0.3">
      <c r="A845" s="493" t="s">
        <v>1182</v>
      </c>
      <c r="B845" s="493" t="s">
        <v>430</v>
      </c>
      <c r="C845" s="493" t="s">
        <v>32</v>
      </c>
      <c r="D845" s="494" t="s">
        <v>431</v>
      </c>
      <c r="E845" s="493" t="s">
        <v>381</v>
      </c>
      <c r="F845" s="495">
        <v>479.64221499999991</v>
      </c>
      <c r="G845" s="496">
        <v>17.7</v>
      </c>
      <c r="H845" s="497">
        <v>0.2122</v>
      </c>
      <c r="I845" s="495">
        <v>21.46</v>
      </c>
      <c r="J845" s="496">
        <v>10293.120000000001</v>
      </c>
      <c r="K845" s="498">
        <v>3.6389264265540241E-4</v>
      </c>
    </row>
    <row r="846" spans="1:11" ht="39" customHeight="1" x14ac:dyDescent="0.3">
      <c r="A846" s="493" t="s">
        <v>1183</v>
      </c>
      <c r="B846" s="493" t="s">
        <v>433</v>
      </c>
      <c r="C846" s="493" t="s">
        <v>32</v>
      </c>
      <c r="D846" s="494" t="s">
        <v>434</v>
      </c>
      <c r="E846" s="493" t="s">
        <v>194</v>
      </c>
      <c r="F846" s="495">
        <v>342.56999999999994</v>
      </c>
      <c r="G846" s="496">
        <v>470.49</v>
      </c>
      <c r="H846" s="497">
        <v>0.111</v>
      </c>
      <c r="I846" s="495">
        <v>522.71</v>
      </c>
      <c r="J846" s="496">
        <v>179064.76</v>
      </c>
      <c r="K846" s="498">
        <v>6.3304759609190799E-3</v>
      </c>
    </row>
    <row r="847" spans="1:11" ht="39" customHeight="1" x14ac:dyDescent="0.3">
      <c r="A847" s="493" t="s">
        <v>1184</v>
      </c>
      <c r="B847" s="493" t="s">
        <v>436</v>
      </c>
      <c r="C847" s="493" t="s">
        <v>32</v>
      </c>
      <c r="D847" s="494" t="s">
        <v>437</v>
      </c>
      <c r="E847" s="493" t="s">
        <v>194</v>
      </c>
      <c r="F847" s="495">
        <v>133.88</v>
      </c>
      <c r="G847" s="496">
        <v>517.13</v>
      </c>
      <c r="H847" s="497">
        <v>0.111</v>
      </c>
      <c r="I847" s="495">
        <v>574.53</v>
      </c>
      <c r="J847" s="496">
        <v>76918.070000000007</v>
      </c>
      <c r="K847" s="498">
        <v>2.7192843142072793E-3</v>
      </c>
    </row>
    <row r="848" spans="1:11" ht="39" customHeight="1" x14ac:dyDescent="0.3">
      <c r="A848" s="493" t="s">
        <v>1185</v>
      </c>
      <c r="B848" s="493" t="s">
        <v>439</v>
      </c>
      <c r="C848" s="493" t="s">
        <v>32</v>
      </c>
      <c r="D848" s="494" t="s">
        <v>440</v>
      </c>
      <c r="E848" s="493" t="s">
        <v>381</v>
      </c>
      <c r="F848" s="495">
        <v>358.79959999999988</v>
      </c>
      <c r="G848" s="496">
        <v>16.190000000000001</v>
      </c>
      <c r="H848" s="497">
        <v>0.2122</v>
      </c>
      <c r="I848" s="495">
        <v>19.63</v>
      </c>
      <c r="J848" s="496">
        <v>7043.23</v>
      </c>
      <c r="K848" s="498">
        <v>2.4899929054842551E-4</v>
      </c>
    </row>
    <row r="849" spans="1:11" ht="39" customHeight="1" x14ac:dyDescent="0.3">
      <c r="A849" s="493" t="s">
        <v>1186</v>
      </c>
      <c r="B849" s="493" t="s">
        <v>442</v>
      </c>
      <c r="C849" s="493" t="s">
        <v>32</v>
      </c>
      <c r="D849" s="494" t="s">
        <v>443</v>
      </c>
      <c r="E849" s="493" t="s">
        <v>194</v>
      </c>
      <c r="F849" s="495">
        <v>60.34</v>
      </c>
      <c r="G849" s="496">
        <v>702.69</v>
      </c>
      <c r="H849" s="497">
        <v>0.111</v>
      </c>
      <c r="I849" s="495">
        <v>780.69</v>
      </c>
      <c r="J849" s="496">
        <v>47106.83</v>
      </c>
      <c r="K849" s="498">
        <v>1.6653676296223875E-3</v>
      </c>
    </row>
    <row r="850" spans="1:11" ht="39" customHeight="1" x14ac:dyDescent="0.3">
      <c r="A850" s="493" t="s">
        <v>1187</v>
      </c>
      <c r="B850" s="493" t="s">
        <v>766</v>
      </c>
      <c r="C850" s="493" t="s">
        <v>32</v>
      </c>
      <c r="D850" s="494" t="s">
        <v>767</v>
      </c>
      <c r="E850" s="493" t="s">
        <v>194</v>
      </c>
      <c r="F850" s="495">
        <v>248.96999999999997</v>
      </c>
      <c r="G850" s="496">
        <v>758.46</v>
      </c>
      <c r="H850" s="497">
        <v>0.111</v>
      </c>
      <c r="I850" s="495">
        <v>842.65</v>
      </c>
      <c r="J850" s="496">
        <v>209794.57</v>
      </c>
      <c r="K850" s="498">
        <v>7.4168668481523394E-3</v>
      </c>
    </row>
    <row r="851" spans="1:11" ht="39" customHeight="1" x14ac:dyDescent="0.3">
      <c r="A851" s="493" t="s">
        <v>1188</v>
      </c>
      <c r="B851" s="493" t="s">
        <v>445</v>
      </c>
      <c r="C851" s="493" t="s">
        <v>446</v>
      </c>
      <c r="D851" s="494" t="s">
        <v>769</v>
      </c>
      <c r="E851" s="493" t="s">
        <v>381</v>
      </c>
      <c r="F851" s="495">
        <v>660.35199999999986</v>
      </c>
      <c r="G851" s="496">
        <v>94.99</v>
      </c>
      <c r="H851" s="497">
        <v>0.2122</v>
      </c>
      <c r="I851" s="495">
        <v>115.15</v>
      </c>
      <c r="J851" s="496">
        <v>76039.53</v>
      </c>
      <c r="K851" s="498">
        <v>2.6882252920372783E-3</v>
      </c>
    </row>
    <row r="852" spans="1:11" ht="39" customHeight="1" x14ac:dyDescent="0.3">
      <c r="A852" s="493" t="s">
        <v>1189</v>
      </c>
      <c r="B852" s="493" t="s">
        <v>448</v>
      </c>
      <c r="C852" s="493" t="s">
        <v>32</v>
      </c>
      <c r="D852" s="494" t="s">
        <v>449</v>
      </c>
      <c r="E852" s="493" t="s">
        <v>194</v>
      </c>
      <c r="F852" s="495">
        <v>375.19999999999993</v>
      </c>
      <c r="G852" s="496">
        <v>1089.02</v>
      </c>
      <c r="H852" s="497">
        <v>0.111</v>
      </c>
      <c r="I852" s="495">
        <v>1209.9000000000001</v>
      </c>
      <c r="J852" s="496">
        <v>453954.48</v>
      </c>
      <c r="K852" s="498">
        <v>1.6048651465489474E-2</v>
      </c>
    </row>
    <row r="853" spans="1:11" ht="24" customHeight="1" x14ac:dyDescent="0.3">
      <c r="A853" s="489" t="s">
        <v>1190</v>
      </c>
      <c r="B853" s="489" t="s">
        <v>1328</v>
      </c>
      <c r="C853" s="489" t="s">
        <v>1328</v>
      </c>
      <c r="D853" s="490" t="s">
        <v>451</v>
      </c>
      <c r="E853" s="490" t="s">
        <v>1328</v>
      </c>
      <c r="F853" s="499"/>
      <c r="G853" s="490"/>
      <c r="H853" s="489"/>
      <c r="I853" s="500"/>
      <c r="J853" s="357">
        <v>654753.65</v>
      </c>
      <c r="K853" s="492">
        <v>2.3147503962527436E-2</v>
      </c>
    </row>
    <row r="854" spans="1:11" ht="39" customHeight="1" x14ac:dyDescent="0.3">
      <c r="A854" s="493" t="s">
        <v>1191</v>
      </c>
      <c r="B854" s="493" t="s">
        <v>192</v>
      </c>
      <c r="C854" s="493" t="s">
        <v>32</v>
      </c>
      <c r="D854" s="494" t="s">
        <v>193</v>
      </c>
      <c r="E854" s="493" t="s">
        <v>194</v>
      </c>
      <c r="F854" s="495">
        <v>276.5</v>
      </c>
      <c r="G854" s="496">
        <v>9.66</v>
      </c>
      <c r="H854" s="497">
        <v>0.2122</v>
      </c>
      <c r="I854" s="495">
        <v>11.71</v>
      </c>
      <c r="J854" s="496">
        <v>3237.81</v>
      </c>
      <c r="K854" s="498">
        <v>1.1446628790066456E-4</v>
      </c>
    </row>
    <row r="855" spans="1:11" ht="39" customHeight="1" x14ac:dyDescent="0.3">
      <c r="A855" s="493" t="s">
        <v>1192</v>
      </c>
      <c r="B855" s="493" t="s">
        <v>200</v>
      </c>
      <c r="C855" s="493" t="s">
        <v>197</v>
      </c>
      <c r="D855" s="494" t="s">
        <v>201</v>
      </c>
      <c r="E855" s="493" t="s">
        <v>1332</v>
      </c>
      <c r="F855" s="495">
        <v>2</v>
      </c>
      <c r="G855" s="496">
        <v>11.96</v>
      </c>
      <c r="H855" s="497">
        <v>0.2122</v>
      </c>
      <c r="I855" s="495">
        <v>14.5</v>
      </c>
      <c r="J855" s="496">
        <v>29</v>
      </c>
      <c r="K855" s="498">
        <v>1.0252369191272101E-6</v>
      </c>
    </row>
    <row r="856" spans="1:11" ht="39" customHeight="1" x14ac:dyDescent="0.3">
      <c r="A856" s="493" t="s">
        <v>1193</v>
      </c>
      <c r="B856" s="493" t="s">
        <v>203</v>
      </c>
      <c r="C856" s="493" t="s">
        <v>197</v>
      </c>
      <c r="D856" s="494" t="s">
        <v>204</v>
      </c>
      <c r="E856" s="493" t="s">
        <v>194</v>
      </c>
      <c r="F856" s="495">
        <v>553</v>
      </c>
      <c r="G856" s="496">
        <v>3.25</v>
      </c>
      <c r="H856" s="497">
        <v>0.2122</v>
      </c>
      <c r="I856" s="495">
        <v>3.94</v>
      </c>
      <c r="J856" s="496">
        <v>2178.8200000000002</v>
      </c>
      <c r="K856" s="498">
        <v>7.7027817383887876E-5</v>
      </c>
    </row>
    <row r="857" spans="1:11" ht="39" customHeight="1" x14ac:dyDescent="0.3">
      <c r="A857" s="493" t="s">
        <v>1194</v>
      </c>
      <c r="B857" s="493" t="s">
        <v>456</v>
      </c>
      <c r="C857" s="493" t="s">
        <v>197</v>
      </c>
      <c r="D857" s="494" t="s">
        <v>457</v>
      </c>
      <c r="E857" s="493" t="s">
        <v>89</v>
      </c>
      <c r="F857" s="495">
        <v>6</v>
      </c>
      <c r="G857" s="496">
        <v>7.15</v>
      </c>
      <c r="H857" s="497">
        <v>0.2122</v>
      </c>
      <c r="I857" s="495">
        <v>8.67</v>
      </c>
      <c r="J857" s="496">
        <v>52.02</v>
      </c>
      <c r="K857" s="498">
        <v>1.8390629149309475E-6</v>
      </c>
    </row>
    <row r="858" spans="1:11" ht="38.5" customHeight="1" x14ac:dyDescent="0.3">
      <c r="A858" s="493" t="s">
        <v>1195</v>
      </c>
      <c r="B858" s="493" t="s">
        <v>206</v>
      </c>
      <c r="C858" s="493" t="s">
        <v>197</v>
      </c>
      <c r="D858" s="494" t="s">
        <v>207</v>
      </c>
      <c r="E858" s="493" t="s">
        <v>89</v>
      </c>
      <c r="F858" s="495">
        <v>6</v>
      </c>
      <c r="G858" s="496">
        <v>2.76</v>
      </c>
      <c r="H858" s="497">
        <v>0.2122</v>
      </c>
      <c r="I858" s="495">
        <v>3.35</v>
      </c>
      <c r="J858" s="496">
        <v>20.100000000000001</v>
      </c>
      <c r="K858" s="498">
        <v>7.1059524394679058E-7</v>
      </c>
    </row>
    <row r="859" spans="1:11" ht="39" customHeight="1" x14ac:dyDescent="0.3">
      <c r="A859" s="493" t="s">
        <v>1196</v>
      </c>
      <c r="B859" s="493" t="s">
        <v>220</v>
      </c>
      <c r="C859" s="493" t="s">
        <v>221</v>
      </c>
      <c r="D859" s="494" t="s">
        <v>4226</v>
      </c>
      <c r="E859" s="493" t="s">
        <v>194</v>
      </c>
      <c r="F859" s="495">
        <v>0</v>
      </c>
      <c r="G859" s="496">
        <v>300.70999999999998</v>
      </c>
      <c r="H859" s="497">
        <v>0.2122</v>
      </c>
      <c r="I859" s="495">
        <v>364.52</v>
      </c>
      <c r="J859" s="496">
        <v>0</v>
      </c>
      <c r="K859" s="498">
        <v>0</v>
      </c>
    </row>
    <row r="860" spans="1:11" ht="50" x14ac:dyDescent="0.3">
      <c r="A860" s="493" t="s">
        <v>1197</v>
      </c>
      <c r="B860" s="493" t="s">
        <v>460</v>
      </c>
      <c r="C860" s="493" t="s">
        <v>32</v>
      </c>
      <c r="D860" s="494" t="s">
        <v>4436</v>
      </c>
      <c r="E860" s="493" t="s">
        <v>268</v>
      </c>
      <c r="F860" s="495">
        <v>179.18</v>
      </c>
      <c r="G860" s="496">
        <v>13.71</v>
      </c>
      <c r="H860" s="497">
        <v>0.2122</v>
      </c>
      <c r="I860" s="495">
        <v>16.62</v>
      </c>
      <c r="J860" s="496">
        <v>2977.97</v>
      </c>
      <c r="K860" s="498">
        <v>1.0528016510528476E-4</v>
      </c>
    </row>
    <row r="861" spans="1:11" ht="50" x14ac:dyDescent="0.3">
      <c r="A861" s="493" t="s">
        <v>1198</v>
      </c>
      <c r="B861" s="493" t="s">
        <v>284</v>
      </c>
      <c r="C861" s="493" t="s">
        <v>32</v>
      </c>
      <c r="D861" s="494" t="s">
        <v>4411</v>
      </c>
      <c r="E861" s="493" t="s">
        <v>268</v>
      </c>
      <c r="F861" s="495">
        <v>139.91</v>
      </c>
      <c r="G861" s="496">
        <v>11.8</v>
      </c>
      <c r="H861" s="497">
        <v>0.2122</v>
      </c>
      <c r="I861" s="495">
        <v>14.3</v>
      </c>
      <c r="J861" s="496">
        <v>2000.71</v>
      </c>
      <c r="K861" s="498">
        <v>7.0731095050586228E-5</v>
      </c>
    </row>
    <row r="862" spans="1:11" ht="50" x14ac:dyDescent="0.3">
      <c r="A862" s="493" t="s">
        <v>1199</v>
      </c>
      <c r="B862" s="493" t="s">
        <v>464</v>
      </c>
      <c r="C862" s="493" t="s">
        <v>32</v>
      </c>
      <c r="D862" s="494" t="s">
        <v>4437</v>
      </c>
      <c r="E862" s="493" t="s">
        <v>268</v>
      </c>
      <c r="F862" s="495">
        <v>25.97</v>
      </c>
      <c r="G862" s="496">
        <v>11.17</v>
      </c>
      <c r="H862" s="497">
        <v>0.2122</v>
      </c>
      <c r="I862" s="495">
        <v>13.54</v>
      </c>
      <c r="J862" s="496">
        <v>351.63</v>
      </c>
      <c r="K862" s="498">
        <v>1.2431174409403479E-5</v>
      </c>
    </row>
    <row r="863" spans="1:11" ht="50" x14ac:dyDescent="0.3">
      <c r="A863" s="493" t="s">
        <v>1200</v>
      </c>
      <c r="B863" s="493" t="s">
        <v>289</v>
      </c>
      <c r="C863" s="493" t="s">
        <v>32</v>
      </c>
      <c r="D863" s="494" t="s">
        <v>4413</v>
      </c>
      <c r="E863" s="493" t="s">
        <v>268</v>
      </c>
      <c r="F863" s="495">
        <v>174.63</v>
      </c>
      <c r="G863" s="496">
        <v>12.18</v>
      </c>
      <c r="H863" s="497">
        <v>0.2122</v>
      </c>
      <c r="I863" s="495">
        <v>14.76</v>
      </c>
      <c r="J863" s="496">
        <v>2577.5300000000002</v>
      </c>
      <c r="K863" s="498">
        <v>9.1123410901998558E-5</v>
      </c>
    </row>
    <row r="864" spans="1:11" ht="62.5" x14ac:dyDescent="0.3">
      <c r="A864" s="493" t="s">
        <v>1201</v>
      </c>
      <c r="B864" s="493" t="s">
        <v>292</v>
      </c>
      <c r="C864" s="493" t="s">
        <v>32</v>
      </c>
      <c r="D864" s="494" t="s">
        <v>4414</v>
      </c>
      <c r="E864" s="493" t="s">
        <v>268</v>
      </c>
      <c r="F864" s="495">
        <v>128.35</v>
      </c>
      <c r="G864" s="496">
        <v>11.39</v>
      </c>
      <c r="H864" s="497">
        <v>0.2122</v>
      </c>
      <c r="I864" s="495">
        <v>13.81</v>
      </c>
      <c r="J864" s="496">
        <v>1772.51</v>
      </c>
      <c r="K864" s="498">
        <v>6.2663541086971418E-5</v>
      </c>
    </row>
    <row r="865" spans="1:11" ht="62.5" x14ac:dyDescent="0.3">
      <c r="A865" s="493" t="s">
        <v>1202</v>
      </c>
      <c r="B865" s="493" t="s">
        <v>299</v>
      </c>
      <c r="C865" s="493" t="s">
        <v>32</v>
      </c>
      <c r="D865" s="494" t="s">
        <v>4417</v>
      </c>
      <c r="E865" s="493" t="s">
        <v>268</v>
      </c>
      <c r="F865" s="495">
        <v>235.58</v>
      </c>
      <c r="G865" s="496">
        <v>10.49</v>
      </c>
      <c r="H865" s="497">
        <v>0.2122</v>
      </c>
      <c r="I865" s="495">
        <v>12.72</v>
      </c>
      <c r="J865" s="496">
        <v>2996.57</v>
      </c>
      <c r="K865" s="498">
        <v>1.0593773085341464E-4</v>
      </c>
    </row>
    <row r="866" spans="1:11" ht="62.5" x14ac:dyDescent="0.3">
      <c r="A866" s="493" t="s">
        <v>1203</v>
      </c>
      <c r="B866" s="493" t="s">
        <v>301</v>
      </c>
      <c r="C866" s="493" t="s">
        <v>32</v>
      </c>
      <c r="D866" s="494" t="s">
        <v>4418</v>
      </c>
      <c r="E866" s="493" t="s">
        <v>268</v>
      </c>
      <c r="F866" s="495">
        <v>169.4</v>
      </c>
      <c r="G866" s="496">
        <v>9.01</v>
      </c>
      <c r="H866" s="497">
        <v>0.2122</v>
      </c>
      <c r="I866" s="495">
        <v>10.92</v>
      </c>
      <c r="J866" s="496">
        <v>1849.84</v>
      </c>
      <c r="K866" s="498">
        <v>6.5397388361319948E-5</v>
      </c>
    </row>
    <row r="867" spans="1:11" ht="62.5" x14ac:dyDescent="0.3">
      <c r="A867" s="493" t="s">
        <v>1204</v>
      </c>
      <c r="B867" s="493" t="s">
        <v>471</v>
      </c>
      <c r="C867" s="493" t="s">
        <v>32</v>
      </c>
      <c r="D867" s="494" t="s">
        <v>4438</v>
      </c>
      <c r="E867" s="493" t="s">
        <v>268</v>
      </c>
      <c r="F867" s="495">
        <v>15.57</v>
      </c>
      <c r="G867" s="496">
        <v>8.5299999999999994</v>
      </c>
      <c r="H867" s="497">
        <v>0.2122</v>
      </c>
      <c r="I867" s="495">
        <v>10.34</v>
      </c>
      <c r="J867" s="496">
        <v>160.99</v>
      </c>
      <c r="K867" s="498">
        <v>5.691479021044468E-6</v>
      </c>
    </row>
    <row r="868" spans="1:11" ht="62.5" x14ac:dyDescent="0.3">
      <c r="A868" s="493" t="s">
        <v>1205</v>
      </c>
      <c r="B868" s="493" t="s">
        <v>303</v>
      </c>
      <c r="C868" s="493" t="s">
        <v>32</v>
      </c>
      <c r="D868" s="494" t="s">
        <v>4419</v>
      </c>
      <c r="E868" s="493" t="s">
        <v>268</v>
      </c>
      <c r="F868" s="495">
        <v>379.08</v>
      </c>
      <c r="G868" s="496">
        <v>9.31</v>
      </c>
      <c r="H868" s="497">
        <v>0.2122</v>
      </c>
      <c r="I868" s="495">
        <v>11.29</v>
      </c>
      <c r="J868" s="496">
        <v>4279.8100000000004</v>
      </c>
      <c r="K868" s="498">
        <v>1.5130411099482157E-4</v>
      </c>
    </row>
    <row r="869" spans="1:11" ht="62.5" x14ac:dyDescent="0.3">
      <c r="A869" s="493" t="s">
        <v>1206</v>
      </c>
      <c r="B869" s="493" t="s">
        <v>305</v>
      </c>
      <c r="C869" s="493" t="s">
        <v>32</v>
      </c>
      <c r="D869" s="494" t="s">
        <v>4420</v>
      </c>
      <c r="E869" s="493" t="s">
        <v>268</v>
      </c>
      <c r="F869" s="495">
        <v>175.97</v>
      </c>
      <c r="G869" s="496">
        <v>8.6999999999999993</v>
      </c>
      <c r="H869" s="497">
        <v>0.2122</v>
      </c>
      <c r="I869" s="495">
        <v>10.55</v>
      </c>
      <c r="J869" s="496">
        <v>1856.48</v>
      </c>
      <c r="K869" s="498">
        <v>6.5632132262802867E-5</v>
      </c>
    </row>
    <row r="870" spans="1:11" ht="25" x14ac:dyDescent="0.3">
      <c r="A870" s="493" t="s">
        <v>1207</v>
      </c>
      <c r="B870" s="493" t="s">
        <v>16937</v>
      </c>
      <c r="C870" s="493" t="s">
        <v>446</v>
      </c>
      <c r="D870" s="494" t="s">
        <v>16938</v>
      </c>
      <c r="E870" s="493" t="s">
        <v>268</v>
      </c>
      <c r="F870" s="495">
        <v>13.87</v>
      </c>
      <c r="G870" s="496">
        <v>108.71</v>
      </c>
      <c r="H870" s="497">
        <v>0.2122</v>
      </c>
      <c r="I870" s="495">
        <v>131.78</v>
      </c>
      <c r="J870" s="496">
        <v>1827.78</v>
      </c>
      <c r="K870" s="498">
        <v>6.4617501242839046E-5</v>
      </c>
    </row>
    <row r="871" spans="1:11" ht="37.5" x14ac:dyDescent="0.3">
      <c r="A871" s="493" t="s">
        <v>1208</v>
      </c>
      <c r="B871" s="493" t="s">
        <v>334</v>
      </c>
      <c r="C871" s="493" t="s">
        <v>243</v>
      </c>
      <c r="D871" s="494" t="s">
        <v>335</v>
      </c>
      <c r="E871" s="493" t="s">
        <v>1332</v>
      </c>
      <c r="F871" s="495">
        <v>1802.3</v>
      </c>
      <c r="G871" s="496">
        <v>23.05</v>
      </c>
      <c r="H871" s="497">
        <v>0.2122</v>
      </c>
      <c r="I871" s="495">
        <v>27.94</v>
      </c>
      <c r="J871" s="496">
        <v>50356.26</v>
      </c>
      <c r="K871" s="498">
        <v>1.7802447193506472E-3</v>
      </c>
    </row>
    <row r="872" spans="1:11" ht="50" x14ac:dyDescent="0.3">
      <c r="A872" s="493" t="s">
        <v>1209</v>
      </c>
      <c r="B872" s="493" t="s">
        <v>337</v>
      </c>
      <c r="C872" s="493" t="s">
        <v>243</v>
      </c>
      <c r="D872" s="494" t="s">
        <v>338</v>
      </c>
      <c r="E872" s="493" t="s">
        <v>1332</v>
      </c>
      <c r="F872" s="495">
        <v>1279.8699999999999</v>
      </c>
      <c r="G872" s="496">
        <v>30.02</v>
      </c>
      <c r="H872" s="497">
        <v>0.2122</v>
      </c>
      <c r="I872" s="495">
        <v>36.39</v>
      </c>
      <c r="J872" s="496">
        <v>46574.46</v>
      </c>
      <c r="K872" s="498">
        <v>1.6465467544970168E-3</v>
      </c>
    </row>
    <row r="873" spans="1:11" ht="50" x14ac:dyDescent="0.3">
      <c r="A873" s="493" t="s">
        <v>1210</v>
      </c>
      <c r="B873" s="493" t="s">
        <v>478</v>
      </c>
      <c r="C873" s="493" t="s">
        <v>243</v>
      </c>
      <c r="D873" s="494" t="s">
        <v>4439</v>
      </c>
      <c r="E873" s="493" t="s">
        <v>1332</v>
      </c>
      <c r="F873" s="495">
        <v>160.19999999999999</v>
      </c>
      <c r="G873" s="496">
        <v>14.37</v>
      </c>
      <c r="H873" s="497">
        <v>0.2122</v>
      </c>
      <c r="I873" s="495">
        <v>17.420000000000002</v>
      </c>
      <c r="J873" s="496">
        <v>2790.68</v>
      </c>
      <c r="K873" s="498">
        <v>9.8658902257583536E-5</v>
      </c>
    </row>
    <row r="874" spans="1:11" ht="50" x14ac:dyDescent="0.3">
      <c r="A874" s="493" t="s">
        <v>1211</v>
      </c>
      <c r="B874" s="493" t="s">
        <v>340</v>
      </c>
      <c r="C874" s="493" t="s">
        <v>243</v>
      </c>
      <c r="D874" s="494" t="s">
        <v>4423</v>
      </c>
      <c r="E874" s="493" t="s">
        <v>1332</v>
      </c>
      <c r="F874" s="495">
        <v>508.76</v>
      </c>
      <c r="G874" s="496">
        <v>32.4</v>
      </c>
      <c r="H874" s="497">
        <v>0.2122</v>
      </c>
      <c r="I874" s="495">
        <v>39.28</v>
      </c>
      <c r="J874" s="496">
        <v>19984.09</v>
      </c>
      <c r="K874" s="498">
        <v>7.0649747804003068E-4</v>
      </c>
    </row>
    <row r="875" spans="1:11" ht="37.5" x14ac:dyDescent="0.3">
      <c r="A875" s="493" t="s">
        <v>1212</v>
      </c>
      <c r="B875" s="493" t="s">
        <v>342</v>
      </c>
      <c r="C875" s="493" t="s">
        <v>243</v>
      </c>
      <c r="D875" s="494" t="s">
        <v>4424</v>
      </c>
      <c r="E875" s="493" t="s">
        <v>1332</v>
      </c>
      <c r="F875" s="495">
        <v>291.14999999999998</v>
      </c>
      <c r="G875" s="496">
        <v>41.58</v>
      </c>
      <c r="H875" s="497">
        <v>0.2122</v>
      </c>
      <c r="I875" s="495">
        <v>50.4</v>
      </c>
      <c r="J875" s="496">
        <v>14673.96</v>
      </c>
      <c r="K875" s="498">
        <v>5.1876846695847988E-4</v>
      </c>
    </row>
    <row r="876" spans="1:11" ht="25" x14ac:dyDescent="0.3">
      <c r="A876" s="493" t="s">
        <v>1213</v>
      </c>
      <c r="B876" s="493" t="s">
        <v>357</v>
      </c>
      <c r="C876" s="493" t="s">
        <v>32</v>
      </c>
      <c r="D876" s="494" t="s">
        <v>358</v>
      </c>
      <c r="E876" s="493" t="s">
        <v>268</v>
      </c>
      <c r="F876" s="495">
        <v>13.83</v>
      </c>
      <c r="G876" s="496">
        <v>271.92</v>
      </c>
      <c r="H876" s="497">
        <v>0.2122</v>
      </c>
      <c r="I876" s="495">
        <v>329.62</v>
      </c>
      <c r="J876" s="496">
        <v>4558.6400000000003</v>
      </c>
      <c r="K876" s="498">
        <v>1.6116158720724366E-4</v>
      </c>
    </row>
    <row r="877" spans="1:11" ht="37.5" x14ac:dyDescent="0.3">
      <c r="A877" s="493" t="s">
        <v>1214</v>
      </c>
      <c r="B877" s="493" t="s">
        <v>386</v>
      </c>
      <c r="C877" s="493" t="s">
        <v>4210</v>
      </c>
      <c r="D877" s="494" t="s">
        <v>387</v>
      </c>
      <c r="E877" s="493" t="s">
        <v>268</v>
      </c>
      <c r="F877" s="495">
        <v>8.3000000000000007</v>
      </c>
      <c r="G877" s="496">
        <v>124.59</v>
      </c>
      <c r="H877" s="497">
        <v>0.2122</v>
      </c>
      <c r="I877" s="495">
        <v>151.03</v>
      </c>
      <c r="J877" s="496">
        <v>1253.54</v>
      </c>
      <c r="K877" s="498">
        <v>4.4316396124231826E-5</v>
      </c>
    </row>
    <row r="878" spans="1:11" x14ac:dyDescent="0.3">
      <c r="A878" s="493" t="s">
        <v>1215</v>
      </c>
      <c r="B878" s="493" t="s">
        <v>369</v>
      </c>
      <c r="C878" s="493" t="s">
        <v>4210</v>
      </c>
      <c r="D878" s="494" t="s">
        <v>370</v>
      </c>
      <c r="E878" s="493" t="s">
        <v>1332</v>
      </c>
      <c r="F878" s="495">
        <v>276.5</v>
      </c>
      <c r="G878" s="496">
        <v>0.28000000000000003</v>
      </c>
      <c r="H878" s="497">
        <v>0.2122</v>
      </c>
      <c r="I878" s="495">
        <v>0.34</v>
      </c>
      <c r="J878" s="496">
        <v>94.01</v>
      </c>
      <c r="K878" s="498">
        <v>3.3235352678327255E-6</v>
      </c>
    </row>
    <row r="879" spans="1:11" x14ac:dyDescent="0.3">
      <c r="A879" s="493" t="s">
        <v>1216</v>
      </c>
      <c r="B879" s="493" t="s">
        <v>372</v>
      </c>
      <c r="C879" s="493" t="s">
        <v>4210</v>
      </c>
      <c r="D879" s="494" t="s">
        <v>373</v>
      </c>
      <c r="E879" s="493" t="s">
        <v>381</v>
      </c>
      <c r="F879" s="495">
        <v>0.12</v>
      </c>
      <c r="G879" s="496">
        <v>4033.08</v>
      </c>
      <c r="H879" s="497">
        <v>0.111</v>
      </c>
      <c r="I879" s="495">
        <v>4480.75</v>
      </c>
      <c r="J879" s="496">
        <v>537.69000000000005</v>
      </c>
      <c r="K879" s="498">
        <v>1.9008953070534817E-5</v>
      </c>
    </row>
    <row r="880" spans="1:11" x14ac:dyDescent="0.3">
      <c r="A880" s="493" t="s">
        <v>1217</v>
      </c>
      <c r="B880" s="493" t="s">
        <v>376</v>
      </c>
      <c r="C880" s="493" t="s">
        <v>4210</v>
      </c>
      <c r="D880" s="494" t="s">
        <v>377</v>
      </c>
      <c r="E880" s="493" t="s">
        <v>1332</v>
      </c>
      <c r="F880" s="495">
        <v>276.5</v>
      </c>
      <c r="G880" s="496">
        <v>0.4</v>
      </c>
      <c r="H880" s="497">
        <v>0.2122</v>
      </c>
      <c r="I880" s="495">
        <v>0.48</v>
      </c>
      <c r="J880" s="496">
        <v>132.72</v>
      </c>
      <c r="K880" s="498">
        <v>4.6920497898814939E-6</v>
      </c>
    </row>
    <row r="881" spans="1:11" ht="25" x14ac:dyDescent="0.3">
      <c r="A881" s="493" t="s">
        <v>1218</v>
      </c>
      <c r="B881" s="493" t="s">
        <v>379</v>
      </c>
      <c r="C881" s="493" t="s">
        <v>4210</v>
      </c>
      <c r="D881" s="494" t="s">
        <v>380</v>
      </c>
      <c r="E881" s="493" t="s">
        <v>381</v>
      </c>
      <c r="F881" s="495">
        <v>0.36</v>
      </c>
      <c r="G881" s="496">
        <v>4291.21</v>
      </c>
      <c r="H881" s="497">
        <v>0.111</v>
      </c>
      <c r="I881" s="495">
        <v>4767.53</v>
      </c>
      <c r="J881" s="496">
        <v>1716.31</v>
      </c>
      <c r="K881" s="498">
        <v>6.0676702643697308E-5</v>
      </c>
    </row>
    <row r="882" spans="1:11" ht="25" x14ac:dyDescent="0.3">
      <c r="A882" s="493" t="s">
        <v>1219</v>
      </c>
      <c r="B882" s="493" t="s">
        <v>389</v>
      </c>
      <c r="C882" s="493" t="s">
        <v>4210</v>
      </c>
      <c r="D882" s="494" t="s">
        <v>390</v>
      </c>
      <c r="E882" s="493" t="s">
        <v>381</v>
      </c>
      <c r="F882" s="495">
        <v>19.91</v>
      </c>
      <c r="G882" s="496">
        <v>188.17</v>
      </c>
      <c r="H882" s="497">
        <v>0.2122</v>
      </c>
      <c r="I882" s="495">
        <v>228.1</v>
      </c>
      <c r="J882" s="496">
        <v>4541.47</v>
      </c>
      <c r="K882" s="498">
        <v>1.605545762451259E-4</v>
      </c>
    </row>
    <row r="883" spans="1:11" ht="25" x14ac:dyDescent="0.3">
      <c r="A883" s="493" t="s">
        <v>1220</v>
      </c>
      <c r="B883" s="493" t="s">
        <v>392</v>
      </c>
      <c r="C883" s="493" t="s">
        <v>4210</v>
      </c>
      <c r="D883" s="494" t="s">
        <v>393</v>
      </c>
      <c r="E883" s="493" t="s">
        <v>381</v>
      </c>
      <c r="F883" s="495">
        <v>1.26</v>
      </c>
      <c r="G883" s="496">
        <v>5274.22</v>
      </c>
      <c r="H883" s="497">
        <v>0.111</v>
      </c>
      <c r="I883" s="495">
        <v>5859.66</v>
      </c>
      <c r="J883" s="496">
        <v>7383.17</v>
      </c>
      <c r="K883" s="498">
        <v>2.6101718842042911E-4</v>
      </c>
    </row>
    <row r="884" spans="1:11" ht="50" x14ac:dyDescent="0.3">
      <c r="A884" s="493" t="s">
        <v>1221</v>
      </c>
      <c r="B884" s="493" t="s">
        <v>363</v>
      </c>
      <c r="C884" s="493" t="s">
        <v>4210</v>
      </c>
      <c r="D884" s="494" t="s">
        <v>364</v>
      </c>
      <c r="E884" s="493" t="s">
        <v>268</v>
      </c>
      <c r="F884" s="495">
        <v>41.48</v>
      </c>
      <c r="G884" s="496">
        <v>15.45</v>
      </c>
      <c r="H884" s="497">
        <v>0.2122</v>
      </c>
      <c r="I884" s="495">
        <v>18.73</v>
      </c>
      <c r="J884" s="496">
        <v>776.92</v>
      </c>
      <c r="K884" s="498">
        <v>2.7466450593390072E-5</v>
      </c>
    </row>
    <row r="885" spans="1:11" x14ac:dyDescent="0.3">
      <c r="A885" s="493" t="s">
        <v>1222</v>
      </c>
      <c r="B885" s="493" t="s">
        <v>366</v>
      </c>
      <c r="C885" s="493" t="s">
        <v>125</v>
      </c>
      <c r="D885" s="494" t="s">
        <v>4232</v>
      </c>
      <c r="E885" s="493" t="s">
        <v>268</v>
      </c>
      <c r="F885" s="495">
        <v>41.48</v>
      </c>
      <c r="G885" s="496">
        <v>208.42</v>
      </c>
      <c r="H885" s="497">
        <v>0.2122</v>
      </c>
      <c r="I885" s="495">
        <v>252.65</v>
      </c>
      <c r="J885" s="496">
        <v>10479.92</v>
      </c>
      <c r="K885" s="498">
        <v>3.704965825344701E-4</v>
      </c>
    </row>
    <row r="886" spans="1:11" x14ac:dyDescent="0.3">
      <c r="A886" s="493" t="s">
        <v>1223</v>
      </c>
      <c r="B886" s="493" t="s">
        <v>383</v>
      </c>
      <c r="C886" s="493" t="s">
        <v>125</v>
      </c>
      <c r="D886" s="494" t="s">
        <v>4233</v>
      </c>
      <c r="E886" s="493" t="s">
        <v>1369</v>
      </c>
      <c r="F886" s="495">
        <v>11703.29</v>
      </c>
      <c r="G886" s="496">
        <v>0.54959999999999998</v>
      </c>
      <c r="H886" s="497">
        <v>0.111</v>
      </c>
      <c r="I886" s="495">
        <v>0.61</v>
      </c>
      <c r="J886" s="496">
        <v>7139</v>
      </c>
      <c r="K886" s="498">
        <v>2.5238504709135012E-4</v>
      </c>
    </row>
    <row r="887" spans="1:11" x14ac:dyDescent="0.3">
      <c r="A887" s="493" t="s">
        <v>1224</v>
      </c>
      <c r="B887" s="493" t="s">
        <v>4234</v>
      </c>
      <c r="C887" s="493" t="s">
        <v>4235</v>
      </c>
      <c r="D887" s="494" t="s">
        <v>4430</v>
      </c>
      <c r="E887" s="493" t="s">
        <v>268</v>
      </c>
      <c r="F887" s="495">
        <v>158.80000000000001</v>
      </c>
      <c r="G887" s="496">
        <v>56.12</v>
      </c>
      <c r="H887" s="497">
        <v>0.2122</v>
      </c>
      <c r="I887" s="495">
        <v>68.03</v>
      </c>
      <c r="J887" s="496">
        <v>10803.16</v>
      </c>
      <c r="K887" s="498">
        <v>3.8192408535304523E-4</v>
      </c>
    </row>
    <row r="888" spans="1:11" ht="25" x14ac:dyDescent="0.3">
      <c r="A888" s="493" t="s">
        <v>1225</v>
      </c>
      <c r="B888" s="493" t="s">
        <v>397</v>
      </c>
      <c r="C888" s="493" t="s">
        <v>197</v>
      </c>
      <c r="D888" s="494" t="s">
        <v>398</v>
      </c>
      <c r="E888" s="493" t="s">
        <v>268</v>
      </c>
      <c r="F888" s="495">
        <v>717.28</v>
      </c>
      <c r="G888" s="496">
        <v>11.09</v>
      </c>
      <c r="H888" s="497">
        <v>0.2122</v>
      </c>
      <c r="I888" s="495">
        <v>13.44</v>
      </c>
      <c r="J888" s="496">
        <v>9640.24</v>
      </c>
      <c r="K888" s="498">
        <v>3.4081137783609986E-4</v>
      </c>
    </row>
    <row r="889" spans="1:11" ht="50" x14ac:dyDescent="0.3">
      <c r="A889" s="493" t="s">
        <v>1226</v>
      </c>
      <c r="B889" s="493" t="s">
        <v>127</v>
      </c>
      <c r="C889" s="493" t="s">
        <v>32</v>
      </c>
      <c r="D889" s="494" t="s">
        <v>128</v>
      </c>
      <c r="E889" s="493" t="s">
        <v>268</v>
      </c>
      <c r="F889" s="495">
        <v>901.29</v>
      </c>
      <c r="G889" s="496">
        <v>6.53</v>
      </c>
      <c r="H889" s="497">
        <v>0.2122</v>
      </c>
      <c r="I889" s="495">
        <v>7.92</v>
      </c>
      <c r="J889" s="496">
        <v>7138.21</v>
      </c>
      <c r="K889" s="498">
        <v>2.5235711822355322E-4</v>
      </c>
    </row>
    <row r="890" spans="1:11" ht="25" x14ac:dyDescent="0.3">
      <c r="A890" s="493" t="s">
        <v>1227</v>
      </c>
      <c r="B890" s="493" t="s">
        <v>119</v>
      </c>
      <c r="C890" s="493" t="s">
        <v>32</v>
      </c>
      <c r="D890" s="494" t="s">
        <v>120</v>
      </c>
      <c r="E890" s="493" t="s">
        <v>121</v>
      </c>
      <c r="F890" s="495">
        <v>21985.457371870172</v>
      </c>
      <c r="G890" s="496">
        <v>2.1</v>
      </c>
      <c r="H890" s="497">
        <v>0.2122</v>
      </c>
      <c r="I890" s="495">
        <v>2.5499999999999998</v>
      </c>
      <c r="J890" s="496">
        <v>56062.91</v>
      </c>
      <c r="K890" s="498">
        <v>1.981991900886416E-3</v>
      </c>
    </row>
    <row r="891" spans="1:11" ht="37.5" x14ac:dyDescent="0.3">
      <c r="A891" s="493" t="s">
        <v>1228</v>
      </c>
      <c r="B891" s="493" t="s">
        <v>122</v>
      </c>
      <c r="C891" s="493" t="s">
        <v>32</v>
      </c>
      <c r="D891" s="494" t="s">
        <v>123</v>
      </c>
      <c r="E891" s="493" t="s">
        <v>121</v>
      </c>
      <c r="F891" s="495">
        <v>10647.53119091199</v>
      </c>
      <c r="G891" s="496">
        <v>0.85</v>
      </c>
      <c r="H891" s="497">
        <v>0.2122</v>
      </c>
      <c r="I891" s="495">
        <v>1.03</v>
      </c>
      <c r="J891" s="496">
        <v>10966.95</v>
      </c>
      <c r="K891" s="498">
        <v>3.8771455276628131E-4</v>
      </c>
    </row>
    <row r="892" spans="1:11" x14ac:dyDescent="0.3">
      <c r="A892" s="493" t="s">
        <v>1229</v>
      </c>
      <c r="B892" s="493" t="s">
        <v>324</v>
      </c>
      <c r="C892" s="493" t="s">
        <v>32</v>
      </c>
      <c r="D892" s="494" t="s">
        <v>4422</v>
      </c>
      <c r="E892" s="493" t="s">
        <v>268</v>
      </c>
      <c r="F892" s="495">
        <v>719.93437935999918</v>
      </c>
      <c r="G892" s="496">
        <v>1.37</v>
      </c>
      <c r="H892" s="497">
        <v>0.2122</v>
      </c>
      <c r="I892" s="495">
        <v>1.66</v>
      </c>
      <c r="J892" s="496">
        <v>1195.0899999999999</v>
      </c>
      <c r="K892" s="498">
        <v>4.2250013437232328E-5</v>
      </c>
    </row>
    <row r="893" spans="1:11" ht="25" x14ac:dyDescent="0.3">
      <c r="A893" s="493" t="s">
        <v>1230</v>
      </c>
      <c r="B893" s="493" t="s">
        <v>500</v>
      </c>
      <c r="C893" s="493" t="s">
        <v>32</v>
      </c>
      <c r="D893" s="494" t="s">
        <v>4440</v>
      </c>
      <c r="E893" s="493" t="s">
        <v>194</v>
      </c>
      <c r="F893" s="495">
        <v>170.03</v>
      </c>
      <c r="G893" s="496">
        <v>77.209999999999994</v>
      </c>
      <c r="H893" s="497">
        <v>0.2122</v>
      </c>
      <c r="I893" s="495">
        <v>93.59</v>
      </c>
      <c r="J893" s="496">
        <v>15913.1</v>
      </c>
      <c r="K893" s="498">
        <v>5.6257577992286929E-4</v>
      </c>
    </row>
    <row r="894" spans="1:11" ht="37.5" x14ac:dyDescent="0.3">
      <c r="A894" s="493" t="s">
        <v>1231</v>
      </c>
      <c r="B894" s="493" t="s">
        <v>174</v>
      </c>
      <c r="C894" s="493" t="s">
        <v>32</v>
      </c>
      <c r="D894" s="494" t="s">
        <v>175</v>
      </c>
      <c r="E894" s="493" t="s">
        <v>268</v>
      </c>
      <c r="F894" s="495">
        <v>15.77</v>
      </c>
      <c r="G894" s="496">
        <v>403.4</v>
      </c>
      <c r="H894" s="497">
        <v>0.2122</v>
      </c>
      <c r="I894" s="495">
        <v>489</v>
      </c>
      <c r="J894" s="496">
        <v>7711.53</v>
      </c>
      <c r="K894" s="498">
        <v>2.7262569858472601E-4</v>
      </c>
    </row>
    <row r="895" spans="1:11" x14ac:dyDescent="0.3">
      <c r="A895" s="493" t="s">
        <v>1232</v>
      </c>
      <c r="B895" s="493" t="s">
        <v>503</v>
      </c>
      <c r="C895" s="493" t="s">
        <v>125</v>
      </c>
      <c r="D895" s="494" t="s">
        <v>537</v>
      </c>
      <c r="E895" s="493" t="s">
        <v>1369</v>
      </c>
      <c r="F895" s="495">
        <v>1256</v>
      </c>
      <c r="G895" s="496">
        <v>12.15</v>
      </c>
      <c r="H895" s="497">
        <v>0.2122</v>
      </c>
      <c r="I895" s="495">
        <v>14.73</v>
      </c>
      <c r="J895" s="496">
        <v>18500.88</v>
      </c>
      <c r="K895" s="498">
        <v>6.5406155904628349E-4</v>
      </c>
    </row>
    <row r="896" spans="1:11" ht="37.5" x14ac:dyDescent="0.3">
      <c r="A896" s="493" t="s">
        <v>1233</v>
      </c>
      <c r="B896" s="493" t="s">
        <v>506</v>
      </c>
      <c r="C896" s="493" t="s">
        <v>32</v>
      </c>
      <c r="D896" s="494" t="s">
        <v>507</v>
      </c>
      <c r="E896" s="493" t="s">
        <v>1332</v>
      </c>
      <c r="F896" s="495">
        <v>545.64</v>
      </c>
      <c r="G896" s="496">
        <v>133.38</v>
      </c>
      <c r="H896" s="497">
        <v>0.2122</v>
      </c>
      <c r="I896" s="495">
        <v>161.68</v>
      </c>
      <c r="J896" s="496">
        <v>88219.07</v>
      </c>
      <c r="K896" s="498">
        <v>3.1188085356919897E-3</v>
      </c>
    </row>
    <row r="897" spans="1:11" ht="25" x14ac:dyDescent="0.3">
      <c r="A897" s="493" t="s">
        <v>1234</v>
      </c>
      <c r="B897" s="493" t="s">
        <v>509</v>
      </c>
      <c r="C897" s="493" t="s">
        <v>125</v>
      </c>
      <c r="D897" s="494" t="s">
        <v>4236</v>
      </c>
      <c r="E897" s="493" t="s">
        <v>1332</v>
      </c>
      <c r="F897" s="495">
        <v>1082.8699999999999</v>
      </c>
      <c r="G897" s="496">
        <v>93.65</v>
      </c>
      <c r="H897" s="497">
        <v>0.2122</v>
      </c>
      <c r="I897" s="495">
        <v>113.52</v>
      </c>
      <c r="J897" s="496">
        <v>122927.4</v>
      </c>
      <c r="K897" s="498">
        <v>4.3458520293902835E-3</v>
      </c>
    </row>
    <row r="898" spans="1:11" ht="37.5" x14ac:dyDescent="0.3">
      <c r="A898" s="493" t="s">
        <v>1235</v>
      </c>
      <c r="B898" s="493" t="s">
        <v>176</v>
      </c>
      <c r="C898" s="493" t="s">
        <v>32</v>
      </c>
      <c r="D898" s="494" t="s">
        <v>177</v>
      </c>
      <c r="E898" s="493" t="s">
        <v>268</v>
      </c>
      <c r="F898" s="495">
        <v>68.64</v>
      </c>
      <c r="G898" s="496">
        <v>470.06</v>
      </c>
      <c r="H898" s="497">
        <v>0.2122</v>
      </c>
      <c r="I898" s="495">
        <v>569.80999999999995</v>
      </c>
      <c r="J898" s="496">
        <v>39111.75</v>
      </c>
      <c r="K898" s="498">
        <v>1.3827175886784021E-3</v>
      </c>
    </row>
    <row r="899" spans="1:11" ht="25" x14ac:dyDescent="0.3">
      <c r="A899" s="493" t="s">
        <v>1236</v>
      </c>
      <c r="B899" s="493" t="s">
        <v>180</v>
      </c>
      <c r="C899" s="493" t="s">
        <v>32</v>
      </c>
      <c r="D899" s="494" t="s">
        <v>181</v>
      </c>
      <c r="E899" s="493" t="s">
        <v>268</v>
      </c>
      <c r="F899" s="495">
        <v>84.42</v>
      </c>
      <c r="G899" s="496">
        <v>326.63</v>
      </c>
      <c r="H899" s="497">
        <v>0.2122</v>
      </c>
      <c r="I899" s="495">
        <v>395.94</v>
      </c>
      <c r="J899" s="496">
        <v>33425.25</v>
      </c>
      <c r="K899" s="498">
        <v>1.1816827700364407E-3</v>
      </c>
    </row>
    <row r="900" spans="1:11" ht="25" x14ac:dyDescent="0.3">
      <c r="A900" s="493" t="s">
        <v>1237</v>
      </c>
      <c r="B900" s="493" t="s">
        <v>514</v>
      </c>
      <c r="C900" s="493" t="s">
        <v>32</v>
      </c>
      <c r="D900" s="494" t="s">
        <v>515</v>
      </c>
      <c r="E900" s="493" t="s">
        <v>194</v>
      </c>
      <c r="F900" s="495">
        <v>20.329999999999998</v>
      </c>
      <c r="G900" s="496">
        <v>62.21</v>
      </c>
      <c r="H900" s="497">
        <v>0.111</v>
      </c>
      <c r="I900" s="495">
        <v>69.12</v>
      </c>
      <c r="J900" s="496">
        <v>1405.2</v>
      </c>
      <c r="K900" s="498">
        <v>4.9678031681295026E-5</v>
      </c>
    </row>
    <row r="901" spans="1:11" ht="25" x14ac:dyDescent="0.3">
      <c r="A901" s="493" t="s">
        <v>1238</v>
      </c>
      <c r="B901" s="493" t="s">
        <v>517</v>
      </c>
      <c r="C901" s="493" t="s">
        <v>32</v>
      </c>
      <c r="D901" s="494" t="s">
        <v>518</v>
      </c>
      <c r="E901" s="493" t="s">
        <v>194</v>
      </c>
      <c r="F901" s="495">
        <v>242.72</v>
      </c>
      <c r="G901" s="496">
        <v>68.3</v>
      </c>
      <c r="H901" s="497">
        <v>0.111</v>
      </c>
      <c r="I901" s="495">
        <v>75.88</v>
      </c>
      <c r="J901" s="496">
        <v>18417.59</v>
      </c>
      <c r="K901" s="498">
        <v>6.5111700790855564E-4</v>
      </c>
    </row>
    <row r="902" spans="1:11" ht="50" x14ac:dyDescent="0.3">
      <c r="A902" s="493" t="s">
        <v>1239</v>
      </c>
      <c r="B902" s="493" t="s">
        <v>519</v>
      </c>
      <c r="C902" s="493" t="s">
        <v>32</v>
      </c>
      <c r="D902" s="494" t="s">
        <v>4441</v>
      </c>
      <c r="E902" s="493" t="s">
        <v>194</v>
      </c>
      <c r="F902" s="495">
        <v>263.05</v>
      </c>
      <c r="G902" s="496">
        <v>38.11</v>
      </c>
      <c r="H902" s="497">
        <v>0.2122</v>
      </c>
      <c r="I902" s="495">
        <v>46.2</v>
      </c>
      <c r="J902" s="496">
        <v>12152.91</v>
      </c>
      <c r="K902" s="498">
        <v>4.2964179333897462E-4</v>
      </c>
    </row>
    <row r="903" spans="1:11" ht="24" customHeight="1" x14ac:dyDescent="0.3">
      <c r="A903" s="489" t="s">
        <v>1240</v>
      </c>
      <c r="B903" s="489" t="s">
        <v>1328</v>
      </c>
      <c r="C903" s="489" t="s">
        <v>1328</v>
      </c>
      <c r="D903" s="490" t="s">
        <v>521</v>
      </c>
      <c r="E903" s="490" t="s">
        <v>1328</v>
      </c>
      <c r="F903" s="499"/>
      <c r="G903" s="490"/>
      <c r="H903" s="489"/>
      <c r="I903" s="500"/>
      <c r="J903" s="357">
        <v>380490.54</v>
      </c>
      <c r="K903" s="492">
        <v>1.3451480999539604E-2</v>
      </c>
    </row>
    <row r="904" spans="1:11" ht="39" customHeight="1" x14ac:dyDescent="0.3">
      <c r="A904" s="493" t="s">
        <v>1241</v>
      </c>
      <c r="B904" s="493" t="s">
        <v>523</v>
      </c>
      <c r="C904" s="493" t="s">
        <v>243</v>
      </c>
      <c r="D904" s="494" t="s">
        <v>524</v>
      </c>
      <c r="E904" s="493" t="s">
        <v>268</v>
      </c>
      <c r="F904" s="495">
        <v>19.8</v>
      </c>
      <c r="G904" s="496">
        <v>262.95</v>
      </c>
      <c r="H904" s="497">
        <v>0.2122</v>
      </c>
      <c r="I904" s="495">
        <v>318.75</v>
      </c>
      <c r="J904" s="496">
        <v>6311.25</v>
      </c>
      <c r="K904" s="498">
        <v>2.2312160364971052E-4</v>
      </c>
    </row>
    <row r="905" spans="1:11" ht="39" customHeight="1" x14ac:dyDescent="0.3">
      <c r="A905" s="493" t="s">
        <v>1242</v>
      </c>
      <c r="B905" s="493" t="s">
        <v>526</v>
      </c>
      <c r="C905" s="493" t="s">
        <v>32</v>
      </c>
      <c r="D905" s="494" t="s">
        <v>4442</v>
      </c>
      <c r="E905" s="493" t="s">
        <v>268</v>
      </c>
      <c r="F905" s="495">
        <v>1.56</v>
      </c>
      <c r="G905" s="496">
        <v>3512.27</v>
      </c>
      <c r="H905" s="497">
        <v>0.2122</v>
      </c>
      <c r="I905" s="495">
        <v>4257.57</v>
      </c>
      <c r="J905" s="496">
        <v>6641.8</v>
      </c>
      <c r="K905" s="498">
        <v>2.3480753687790017E-4</v>
      </c>
    </row>
    <row r="906" spans="1:11" ht="39" customHeight="1" x14ac:dyDescent="0.3">
      <c r="A906" s="493" t="s">
        <v>1243</v>
      </c>
      <c r="B906" s="493" t="s">
        <v>506</v>
      </c>
      <c r="C906" s="493" t="s">
        <v>32</v>
      </c>
      <c r="D906" s="494" t="s">
        <v>507</v>
      </c>
      <c r="E906" s="493" t="s">
        <v>1332</v>
      </c>
      <c r="F906" s="495">
        <v>51.3</v>
      </c>
      <c r="G906" s="496">
        <v>133.38</v>
      </c>
      <c r="H906" s="497">
        <v>0.2122</v>
      </c>
      <c r="I906" s="495">
        <v>161.68</v>
      </c>
      <c r="J906" s="496">
        <v>8294.18</v>
      </c>
      <c r="K906" s="498">
        <v>2.9322412240988016E-4</v>
      </c>
    </row>
    <row r="907" spans="1:11" ht="39" customHeight="1" x14ac:dyDescent="0.3">
      <c r="A907" s="493" t="s">
        <v>1244</v>
      </c>
      <c r="B907" s="493" t="s">
        <v>529</v>
      </c>
      <c r="C907" s="493" t="s">
        <v>32</v>
      </c>
      <c r="D907" s="494" t="s">
        <v>530</v>
      </c>
      <c r="E907" s="493" t="s">
        <v>268</v>
      </c>
      <c r="F907" s="495">
        <v>39.42</v>
      </c>
      <c r="G907" s="496">
        <v>430.64</v>
      </c>
      <c r="H907" s="497">
        <v>0.2122</v>
      </c>
      <c r="I907" s="495">
        <v>522.02</v>
      </c>
      <c r="J907" s="496">
        <v>20578.02</v>
      </c>
      <c r="K907" s="498">
        <v>7.2749468367372806E-4</v>
      </c>
    </row>
    <row r="908" spans="1:11" ht="39" customHeight="1" x14ac:dyDescent="0.3">
      <c r="A908" s="493" t="s">
        <v>1245</v>
      </c>
      <c r="B908" s="493" t="s">
        <v>176</v>
      </c>
      <c r="C908" s="493" t="s">
        <v>32</v>
      </c>
      <c r="D908" s="494" t="s">
        <v>177</v>
      </c>
      <c r="E908" s="493" t="s">
        <v>268</v>
      </c>
      <c r="F908" s="495">
        <v>102.3</v>
      </c>
      <c r="G908" s="496">
        <v>470.06</v>
      </c>
      <c r="H908" s="497">
        <v>0.2122</v>
      </c>
      <c r="I908" s="495">
        <v>569.80999999999995</v>
      </c>
      <c r="J908" s="496">
        <v>58291.56</v>
      </c>
      <c r="K908" s="498">
        <v>2.0607813581213419E-3</v>
      </c>
    </row>
    <row r="909" spans="1:11" ht="39" customHeight="1" x14ac:dyDescent="0.3">
      <c r="A909" s="493" t="s">
        <v>1246</v>
      </c>
      <c r="B909" s="493" t="s">
        <v>533</v>
      </c>
      <c r="C909" s="493" t="s">
        <v>125</v>
      </c>
      <c r="D909" s="494" t="s">
        <v>1368</v>
      </c>
      <c r="E909" s="493" t="s">
        <v>1332</v>
      </c>
      <c r="F909" s="495">
        <v>1270.72</v>
      </c>
      <c r="G909" s="496">
        <v>77.569999999999993</v>
      </c>
      <c r="H909" s="497">
        <v>0.2122</v>
      </c>
      <c r="I909" s="495">
        <v>94.03</v>
      </c>
      <c r="J909" s="496">
        <v>119485.8</v>
      </c>
      <c r="K909" s="498">
        <v>4.2241811541879311E-3</v>
      </c>
    </row>
    <row r="910" spans="1:11" ht="39" customHeight="1" x14ac:dyDescent="0.3">
      <c r="A910" s="493" t="s">
        <v>1247</v>
      </c>
      <c r="B910" s="493" t="s">
        <v>180</v>
      </c>
      <c r="C910" s="493" t="s">
        <v>32</v>
      </c>
      <c r="D910" s="494" t="s">
        <v>181</v>
      </c>
      <c r="E910" s="493" t="s">
        <v>268</v>
      </c>
      <c r="F910" s="495">
        <v>141.72</v>
      </c>
      <c r="G910" s="496">
        <v>326.63</v>
      </c>
      <c r="H910" s="497">
        <v>0.2122</v>
      </c>
      <c r="I910" s="495">
        <v>395.94</v>
      </c>
      <c r="J910" s="496">
        <v>56112.61</v>
      </c>
      <c r="K910" s="498">
        <v>1.9837489448478168E-3</v>
      </c>
    </row>
    <row r="911" spans="1:11" ht="39" customHeight="1" x14ac:dyDescent="0.3">
      <c r="A911" s="493" t="s">
        <v>1248</v>
      </c>
      <c r="B911" s="493" t="s">
        <v>503</v>
      </c>
      <c r="C911" s="493" t="s">
        <v>125</v>
      </c>
      <c r="D911" s="494" t="s">
        <v>537</v>
      </c>
      <c r="E911" s="493" t="s">
        <v>1369</v>
      </c>
      <c r="F911" s="495">
        <v>5166.92</v>
      </c>
      <c r="G911" s="496">
        <v>12.15</v>
      </c>
      <c r="H911" s="497">
        <v>0.2122</v>
      </c>
      <c r="I911" s="495">
        <v>14.73</v>
      </c>
      <c r="J911" s="496">
        <v>76108.73</v>
      </c>
      <c r="K911" s="498">
        <v>2.6906717194442988E-3</v>
      </c>
    </row>
    <row r="912" spans="1:11" ht="39" customHeight="1" x14ac:dyDescent="0.3">
      <c r="A912" s="493" t="s">
        <v>1249</v>
      </c>
      <c r="B912" s="493" t="s">
        <v>539</v>
      </c>
      <c r="C912" s="493" t="s">
        <v>32</v>
      </c>
      <c r="D912" s="494" t="s">
        <v>540</v>
      </c>
      <c r="E912" s="493" t="s">
        <v>194</v>
      </c>
      <c r="F912" s="495">
        <v>60.65</v>
      </c>
      <c r="G912" s="496">
        <v>300.54000000000002</v>
      </c>
      <c r="H912" s="497">
        <v>0.2122</v>
      </c>
      <c r="I912" s="495">
        <v>364.31</v>
      </c>
      <c r="J912" s="496">
        <v>22095.4</v>
      </c>
      <c r="K912" s="498">
        <v>7.8113861458218485E-4</v>
      </c>
    </row>
    <row r="913" spans="1:11" ht="39" customHeight="1" x14ac:dyDescent="0.3">
      <c r="A913" s="493" t="s">
        <v>1250</v>
      </c>
      <c r="B913" s="493" t="s">
        <v>542</v>
      </c>
      <c r="C913" s="493" t="s">
        <v>32</v>
      </c>
      <c r="D913" s="494" t="s">
        <v>543</v>
      </c>
      <c r="E913" s="493" t="s">
        <v>268</v>
      </c>
      <c r="F913" s="495">
        <v>317.91000000000003</v>
      </c>
      <c r="G913" s="496">
        <v>17.05</v>
      </c>
      <c r="H913" s="497">
        <v>0.2122</v>
      </c>
      <c r="I913" s="495">
        <v>20.67</v>
      </c>
      <c r="J913" s="496">
        <v>6571.19</v>
      </c>
      <c r="K913" s="498">
        <v>2.3231126174481145E-4</v>
      </c>
    </row>
    <row r="914" spans="1:11" ht="24" customHeight="1" x14ac:dyDescent="0.3">
      <c r="A914" s="489" t="s">
        <v>1251</v>
      </c>
      <c r="B914" s="489" t="s">
        <v>1328</v>
      </c>
      <c r="C914" s="489" t="s">
        <v>1328</v>
      </c>
      <c r="D914" s="490" t="s">
        <v>1252</v>
      </c>
      <c r="E914" s="490" t="s">
        <v>1328</v>
      </c>
      <c r="F914" s="499"/>
      <c r="G914" s="490"/>
      <c r="H914" s="489"/>
      <c r="I914" s="500"/>
      <c r="J914" s="357">
        <v>1343855.07</v>
      </c>
      <c r="K914" s="492">
        <v>4.7509304542078669E-2</v>
      </c>
    </row>
    <row r="915" spans="1:11" ht="39" customHeight="1" x14ac:dyDescent="0.3">
      <c r="A915" s="493" t="s">
        <v>1253</v>
      </c>
      <c r="B915" s="493" t="s">
        <v>523</v>
      </c>
      <c r="C915" s="493" t="s">
        <v>243</v>
      </c>
      <c r="D915" s="494" t="s">
        <v>524</v>
      </c>
      <c r="E915" s="493" t="s">
        <v>268</v>
      </c>
      <c r="F915" s="495">
        <v>159.16</v>
      </c>
      <c r="G915" s="496">
        <v>262.95</v>
      </c>
      <c r="H915" s="497">
        <v>0.2122</v>
      </c>
      <c r="I915" s="495">
        <v>318.75</v>
      </c>
      <c r="J915" s="496">
        <v>50732.25</v>
      </c>
      <c r="K915" s="498">
        <v>1.7935370927721175E-3</v>
      </c>
    </row>
    <row r="916" spans="1:11" ht="39" customHeight="1" x14ac:dyDescent="0.3">
      <c r="A916" s="493" t="s">
        <v>1254</v>
      </c>
      <c r="B916" s="493" t="s">
        <v>529</v>
      </c>
      <c r="C916" s="493" t="s">
        <v>32</v>
      </c>
      <c r="D916" s="494" t="s">
        <v>530</v>
      </c>
      <c r="E916" s="493" t="s">
        <v>268</v>
      </c>
      <c r="F916" s="495">
        <v>23.86</v>
      </c>
      <c r="G916" s="496">
        <v>430.64</v>
      </c>
      <c r="H916" s="497">
        <v>0.2122</v>
      </c>
      <c r="I916" s="495">
        <v>522.02</v>
      </c>
      <c r="J916" s="496">
        <v>12455.39</v>
      </c>
      <c r="K916" s="498">
        <v>4.4033536793544348E-4</v>
      </c>
    </row>
    <row r="917" spans="1:11" ht="39" customHeight="1" x14ac:dyDescent="0.3">
      <c r="A917" s="493" t="s">
        <v>1255</v>
      </c>
      <c r="B917" s="493" t="s">
        <v>176</v>
      </c>
      <c r="C917" s="493" t="s">
        <v>32</v>
      </c>
      <c r="D917" s="494" t="s">
        <v>177</v>
      </c>
      <c r="E917" s="493" t="s">
        <v>268</v>
      </c>
      <c r="F917" s="495">
        <v>456.61</v>
      </c>
      <c r="G917" s="496">
        <v>470.06</v>
      </c>
      <c r="H917" s="497">
        <v>0.2122</v>
      </c>
      <c r="I917" s="495">
        <v>569.80999999999995</v>
      </c>
      <c r="J917" s="496">
        <v>260180.94</v>
      </c>
      <c r="K917" s="498">
        <v>9.1981760462490174E-3</v>
      </c>
    </row>
    <row r="918" spans="1:11" ht="39" customHeight="1" x14ac:dyDescent="0.3">
      <c r="A918" s="493" t="s">
        <v>1256</v>
      </c>
      <c r="B918" s="493" t="s">
        <v>180</v>
      </c>
      <c r="C918" s="493" t="s">
        <v>32</v>
      </c>
      <c r="D918" s="494" t="s">
        <v>181</v>
      </c>
      <c r="E918" s="493" t="s">
        <v>268</v>
      </c>
      <c r="F918" s="495">
        <v>480.47</v>
      </c>
      <c r="G918" s="496">
        <v>326.63</v>
      </c>
      <c r="H918" s="497">
        <v>0.2122</v>
      </c>
      <c r="I918" s="495">
        <v>395.94</v>
      </c>
      <c r="J918" s="496">
        <v>190237.29</v>
      </c>
      <c r="K918" s="498">
        <v>6.7254583828520566E-3</v>
      </c>
    </row>
    <row r="919" spans="1:11" ht="39" customHeight="1" x14ac:dyDescent="0.3">
      <c r="A919" s="493" t="s">
        <v>1257</v>
      </c>
      <c r="B919" s="493" t="s">
        <v>503</v>
      </c>
      <c r="C919" s="493" t="s">
        <v>125</v>
      </c>
      <c r="D919" s="494" t="s">
        <v>537</v>
      </c>
      <c r="E919" s="493" t="s">
        <v>1369</v>
      </c>
      <c r="F919" s="495">
        <v>23646.02</v>
      </c>
      <c r="G919" s="496">
        <v>12.15</v>
      </c>
      <c r="H919" s="497">
        <v>0.2122</v>
      </c>
      <c r="I919" s="495">
        <v>14.73</v>
      </c>
      <c r="J919" s="496">
        <v>348305.87</v>
      </c>
      <c r="K919" s="498">
        <v>1.2313656450783536E-2</v>
      </c>
    </row>
    <row r="920" spans="1:11" ht="39" customHeight="1" x14ac:dyDescent="0.3">
      <c r="A920" s="493" t="s">
        <v>1258</v>
      </c>
      <c r="B920" s="493" t="s">
        <v>1259</v>
      </c>
      <c r="C920" s="493" t="s">
        <v>32</v>
      </c>
      <c r="D920" s="494" t="s">
        <v>1260</v>
      </c>
      <c r="E920" s="493" t="s">
        <v>1332</v>
      </c>
      <c r="F920" s="495">
        <v>4199.21</v>
      </c>
      <c r="G920" s="496">
        <v>94.68</v>
      </c>
      <c r="H920" s="497">
        <v>0.2122</v>
      </c>
      <c r="I920" s="495">
        <v>114.77</v>
      </c>
      <c r="J920" s="496">
        <v>481943.33</v>
      </c>
      <c r="K920" s="498">
        <v>1.7038141201486497E-2</v>
      </c>
    </row>
    <row r="921" spans="1:11" ht="24" customHeight="1" x14ac:dyDescent="0.3">
      <c r="A921" s="489" t="s">
        <v>1261</v>
      </c>
      <c r="B921" s="489" t="s">
        <v>1328</v>
      </c>
      <c r="C921" s="489" t="s">
        <v>1328</v>
      </c>
      <c r="D921" s="490" t="s">
        <v>545</v>
      </c>
      <c r="E921" s="490" t="s">
        <v>1328</v>
      </c>
      <c r="F921" s="499"/>
      <c r="G921" s="490"/>
      <c r="H921" s="489"/>
      <c r="I921" s="500"/>
      <c r="J921" s="357">
        <v>11625.49</v>
      </c>
      <c r="K921" s="492">
        <v>4.1099591554979965E-4</v>
      </c>
    </row>
    <row r="922" spans="1:11" ht="39" customHeight="1" x14ac:dyDescent="0.3">
      <c r="A922" s="493" t="s">
        <v>1262</v>
      </c>
      <c r="B922" s="493" t="s">
        <v>547</v>
      </c>
      <c r="C922" s="493" t="s">
        <v>197</v>
      </c>
      <c r="D922" s="494" t="s">
        <v>548</v>
      </c>
      <c r="E922" s="493" t="s">
        <v>194</v>
      </c>
      <c r="F922" s="495">
        <v>1848.25</v>
      </c>
      <c r="G922" s="496">
        <v>5.19</v>
      </c>
      <c r="H922" s="497">
        <v>0.2122</v>
      </c>
      <c r="I922" s="495">
        <v>6.29</v>
      </c>
      <c r="J922" s="496">
        <v>11625.49</v>
      </c>
      <c r="K922" s="498">
        <v>4.1099591554979965E-4</v>
      </c>
    </row>
    <row r="923" spans="1:11" ht="24" customHeight="1" x14ac:dyDescent="0.3">
      <c r="A923" s="489" t="s">
        <v>1263</v>
      </c>
      <c r="B923" s="489" t="s">
        <v>1328</v>
      </c>
      <c r="C923" s="489" t="s">
        <v>1328</v>
      </c>
      <c r="D923" s="490" t="s">
        <v>837</v>
      </c>
      <c r="E923" s="490" t="s">
        <v>1328</v>
      </c>
      <c r="F923" s="499"/>
      <c r="G923" s="490"/>
      <c r="H923" s="489"/>
      <c r="I923" s="500"/>
      <c r="J923" s="357">
        <v>17699.870000000003</v>
      </c>
      <c r="K923" s="492">
        <v>6.2574345475007365E-4</v>
      </c>
    </row>
    <row r="924" spans="1:11" ht="39" customHeight="1" x14ac:dyDescent="0.3">
      <c r="A924" s="493" t="s">
        <v>1264</v>
      </c>
      <c r="B924" s="493" t="s">
        <v>839</v>
      </c>
      <c r="C924" s="493" t="s">
        <v>32</v>
      </c>
      <c r="D924" s="494" t="s">
        <v>4445</v>
      </c>
      <c r="E924" s="493" t="s">
        <v>1332</v>
      </c>
      <c r="F924" s="495">
        <v>184.35</v>
      </c>
      <c r="G924" s="496">
        <v>4.9800000000000004</v>
      </c>
      <c r="H924" s="497">
        <v>0.2122</v>
      </c>
      <c r="I924" s="495">
        <v>6.04</v>
      </c>
      <c r="J924" s="496">
        <v>1113.47</v>
      </c>
      <c r="K924" s="498">
        <v>3.9364501804847401E-5</v>
      </c>
    </row>
    <row r="925" spans="1:11" ht="39" customHeight="1" x14ac:dyDescent="0.3">
      <c r="A925" s="493" t="s">
        <v>1265</v>
      </c>
      <c r="B925" s="493" t="s">
        <v>841</v>
      </c>
      <c r="C925" s="493" t="s">
        <v>842</v>
      </c>
      <c r="D925" s="494" t="s">
        <v>843</v>
      </c>
      <c r="E925" s="493" t="s">
        <v>268</v>
      </c>
      <c r="F925" s="495">
        <v>61.13</v>
      </c>
      <c r="G925" s="496">
        <v>223.83</v>
      </c>
      <c r="H925" s="497">
        <v>0.2122</v>
      </c>
      <c r="I925" s="495">
        <v>271.33</v>
      </c>
      <c r="J925" s="496">
        <v>16586.400000000001</v>
      </c>
      <c r="K925" s="498">
        <v>5.8637895294522623E-4</v>
      </c>
    </row>
    <row r="926" spans="1:11" ht="24" customHeight="1" x14ac:dyDescent="0.3">
      <c r="A926" s="489" t="s">
        <v>1266</v>
      </c>
      <c r="B926" s="489" t="s">
        <v>1328</v>
      </c>
      <c r="C926" s="489" t="s">
        <v>1328</v>
      </c>
      <c r="D926" s="490" t="s">
        <v>605</v>
      </c>
      <c r="E926" s="490" t="s">
        <v>1328</v>
      </c>
      <c r="F926" s="499"/>
      <c r="G926" s="490"/>
      <c r="H926" s="489"/>
      <c r="I926" s="500"/>
      <c r="J926" s="357">
        <v>14595.21</v>
      </c>
      <c r="K926" s="492">
        <v>5.1598441842809137E-4</v>
      </c>
    </row>
    <row r="927" spans="1:11" ht="24" customHeight="1" x14ac:dyDescent="0.3">
      <c r="A927" s="489" t="s">
        <v>1267</v>
      </c>
      <c r="B927" s="489" t="s">
        <v>1328</v>
      </c>
      <c r="C927" s="489" t="s">
        <v>1328</v>
      </c>
      <c r="D927" s="490" t="s">
        <v>607</v>
      </c>
      <c r="E927" s="490" t="s">
        <v>1328</v>
      </c>
      <c r="F927" s="499"/>
      <c r="G927" s="490"/>
      <c r="H927" s="489"/>
      <c r="I927" s="500"/>
      <c r="J927" s="357">
        <v>5744.25</v>
      </c>
      <c r="K927" s="492">
        <v>2.0307645423091301E-4</v>
      </c>
    </row>
    <row r="928" spans="1:11" ht="39" customHeight="1" x14ac:dyDescent="0.3">
      <c r="A928" s="493" t="s">
        <v>1268</v>
      </c>
      <c r="B928" s="493" t="s">
        <v>609</v>
      </c>
      <c r="C928" s="493" t="s">
        <v>221</v>
      </c>
      <c r="D928" s="494" t="s">
        <v>610</v>
      </c>
      <c r="E928" s="493" t="s">
        <v>89</v>
      </c>
      <c r="F928" s="495">
        <v>135</v>
      </c>
      <c r="G928" s="496">
        <v>35.1</v>
      </c>
      <c r="H928" s="497">
        <v>0.2122</v>
      </c>
      <c r="I928" s="495">
        <v>42.55</v>
      </c>
      <c r="J928" s="496">
        <v>5744.25</v>
      </c>
      <c r="K928" s="498">
        <v>2.0307645423091301E-4</v>
      </c>
    </row>
    <row r="929" spans="1:11" ht="24" customHeight="1" x14ac:dyDescent="0.3">
      <c r="A929" s="489" t="s">
        <v>1269</v>
      </c>
      <c r="B929" s="489" t="s">
        <v>1328</v>
      </c>
      <c r="C929" s="489" t="s">
        <v>1328</v>
      </c>
      <c r="D929" s="490" t="s">
        <v>612</v>
      </c>
      <c r="E929" s="490" t="s">
        <v>1328</v>
      </c>
      <c r="F929" s="499"/>
      <c r="G929" s="490"/>
      <c r="H929" s="489"/>
      <c r="I929" s="500"/>
      <c r="J929" s="357">
        <v>8850.9599999999991</v>
      </c>
      <c r="K929" s="492">
        <v>3.1290796419717833E-4</v>
      </c>
    </row>
    <row r="930" spans="1:11" ht="39" customHeight="1" x14ac:dyDescent="0.3">
      <c r="A930" s="493" t="s">
        <v>1270</v>
      </c>
      <c r="B930" s="493" t="s">
        <v>614</v>
      </c>
      <c r="C930" s="493" t="s">
        <v>243</v>
      </c>
      <c r="D930" s="494" t="s">
        <v>615</v>
      </c>
      <c r="E930" s="493" t="s">
        <v>89</v>
      </c>
      <c r="F930" s="495">
        <v>38</v>
      </c>
      <c r="G930" s="496">
        <v>165.13</v>
      </c>
      <c r="H930" s="497">
        <v>0.2122</v>
      </c>
      <c r="I930" s="495">
        <v>200.17</v>
      </c>
      <c r="J930" s="496">
        <v>7606.46</v>
      </c>
      <c r="K930" s="498">
        <v>2.6891115916773654E-4</v>
      </c>
    </row>
    <row r="931" spans="1:11" ht="39" customHeight="1" x14ac:dyDescent="0.3">
      <c r="A931" s="493" t="s">
        <v>1271</v>
      </c>
      <c r="B931" s="493" t="s">
        <v>617</v>
      </c>
      <c r="C931" s="493" t="s">
        <v>243</v>
      </c>
      <c r="D931" s="494" t="s">
        <v>618</v>
      </c>
      <c r="E931" s="493" t="s">
        <v>89</v>
      </c>
      <c r="F931" s="495">
        <v>38</v>
      </c>
      <c r="G931" s="496">
        <v>27.02</v>
      </c>
      <c r="H931" s="497">
        <v>0.2122</v>
      </c>
      <c r="I931" s="495">
        <v>32.75</v>
      </c>
      <c r="J931" s="496">
        <v>1244.5</v>
      </c>
      <c r="K931" s="498">
        <v>4.3996805029441827E-5</v>
      </c>
    </row>
    <row r="932" spans="1:11" ht="24" customHeight="1" x14ac:dyDescent="0.3">
      <c r="A932" s="489" t="s">
        <v>1272</v>
      </c>
      <c r="B932" s="489" t="s">
        <v>1328</v>
      </c>
      <c r="C932" s="489" t="s">
        <v>1328</v>
      </c>
      <c r="D932" s="490" t="s">
        <v>620</v>
      </c>
      <c r="E932" s="490" t="s">
        <v>1328</v>
      </c>
      <c r="F932" s="499"/>
      <c r="G932" s="490"/>
      <c r="H932" s="489"/>
      <c r="I932" s="500"/>
      <c r="J932" s="357">
        <v>10206.700000000004</v>
      </c>
      <c r="K932" s="492">
        <v>3.6083743663640344E-4</v>
      </c>
    </row>
    <row r="933" spans="1:11" ht="39" customHeight="1" x14ac:dyDescent="0.3">
      <c r="A933" s="493" t="s">
        <v>1273</v>
      </c>
      <c r="B933" s="493" t="s">
        <v>203</v>
      </c>
      <c r="C933" s="493" t="s">
        <v>197</v>
      </c>
      <c r="D933" s="494" t="s">
        <v>204</v>
      </c>
      <c r="E933" s="493" t="s">
        <v>194</v>
      </c>
      <c r="F933" s="495">
        <v>57.599999999999994</v>
      </c>
      <c r="G933" s="496">
        <v>3.25</v>
      </c>
      <c r="H933" s="497">
        <v>0.2122</v>
      </c>
      <c r="I933" s="495">
        <v>3.94</v>
      </c>
      <c r="J933" s="496">
        <v>226.94</v>
      </c>
      <c r="K933" s="498">
        <v>8.0230091871285894E-6</v>
      </c>
    </row>
    <row r="934" spans="1:11" ht="39" customHeight="1" x14ac:dyDescent="0.3">
      <c r="A934" s="493" t="s">
        <v>1274</v>
      </c>
      <c r="B934" s="493" t="s">
        <v>226</v>
      </c>
      <c r="C934" s="493" t="s">
        <v>32</v>
      </c>
      <c r="D934" s="494" t="s">
        <v>4227</v>
      </c>
      <c r="E934" s="493" t="s">
        <v>1332</v>
      </c>
      <c r="F934" s="495">
        <v>25.919999999999995</v>
      </c>
      <c r="G934" s="496">
        <v>22.73</v>
      </c>
      <c r="H934" s="497">
        <v>0.2122</v>
      </c>
      <c r="I934" s="495">
        <v>27.55</v>
      </c>
      <c r="J934" s="496">
        <v>714.09</v>
      </c>
      <c r="K934" s="498">
        <v>2.5245221778605158E-5</v>
      </c>
    </row>
    <row r="935" spans="1:11" ht="39" customHeight="1" x14ac:dyDescent="0.3">
      <c r="A935" s="493" t="s">
        <v>1275</v>
      </c>
      <c r="B935" s="493" t="s">
        <v>303</v>
      </c>
      <c r="C935" s="493" t="s">
        <v>32</v>
      </c>
      <c r="D935" s="494" t="s">
        <v>4419</v>
      </c>
      <c r="E935" s="493" t="s">
        <v>268</v>
      </c>
      <c r="F935" s="495">
        <v>8.8452000000001316</v>
      </c>
      <c r="G935" s="496">
        <v>9.31</v>
      </c>
      <c r="H935" s="497">
        <v>0.2122</v>
      </c>
      <c r="I935" s="495">
        <v>11.29</v>
      </c>
      <c r="J935" s="496">
        <v>99.86</v>
      </c>
      <c r="K935" s="498">
        <v>3.5303503015187312E-6</v>
      </c>
    </row>
    <row r="936" spans="1:11" ht="39" customHeight="1" x14ac:dyDescent="0.3">
      <c r="A936" s="493" t="s">
        <v>1276</v>
      </c>
      <c r="B936" s="493" t="s">
        <v>539</v>
      </c>
      <c r="C936" s="493" t="s">
        <v>32</v>
      </c>
      <c r="D936" s="494" t="s">
        <v>540</v>
      </c>
      <c r="E936" s="493" t="s">
        <v>194</v>
      </c>
      <c r="F936" s="495">
        <v>2.7300000000000404</v>
      </c>
      <c r="G936" s="496">
        <v>300.54000000000002</v>
      </c>
      <c r="H936" s="497">
        <v>0.2122</v>
      </c>
      <c r="I936" s="495">
        <v>364.31</v>
      </c>
      <c r="J936" s="496">
        <v>994.56</v>
      </c>
      <c r="K936" s="498">
        <v>3.5160676906453729E-5</v>
      </c>
    </row>
    <row r="937" spans="1:11" ht="39" customHeight="1" x14ac:dyDescent="0.3">
      <c r="A937" s="493" t="s">
        <v>1277</v>
      </c>
      <c r="B937" s="493" t="s">
        <v>627</v>
      </c>
      <c r="C937" s="493" t="s">
        <v>221</v>
      </c>
      <c r="D937" s="494" t="s">
        <v>628</v>
      </c>
      <c r="E937" s="493" t="s">
        <v>89</v>
      </c>
      <c r="F937" s="495">
        <v>8</v>
      </c>
      <c r="G937" s="496">
        <v>541.14</v>
      </c>
      <c r="H937" s="497">
        <v>0.2122</v>
      </c>
      <c r="I937" s="495">
        <v>655.97</v>
      </c>
      <c r="J937" s="496">
        <v>5247.76</v>
      </c>
      <c r="K937" s="498">
        <v>1.8552404464548306E-4</v>
      </c>
    </row>
    <row r="938" spans="1:11" ht="39" customHeight="1" x14ac:dyDescent="0.3">
      <c r="A938" s="493" t="s">
        <v>1278</v>
      </c>
      <c r="B938" s="493" t="s">
        <v>386</v>
      </c>
      <c r="C938" s="493" t="s">
        <v>4210</v>
      </c>
      <c r="D938" s="494" t="s">
        <v>387</v>
      </c>
      <c r="E938" s="493" t="s">
        <v>268</v>
      </c>
      <c r="F938" s="495">
        <v>0.70974159868246034</v>
      </c>
      <c r="G938" s="496">
        <v>124.59</v>
      </c>
      <c r="H938" s="497">
        <v>0.2122</v>
      </c>
      <c r="I938" s="495">
        <v>151.03</v>
      </c>
      <c r="J938" s="496">
        <v>107.19</v>
      </c>
      <c r="K938" s="498">
        <v>3.7894877710774363E-6</v>
      </c>
    </row>
    <row r="939" spans="1:11" ht="39" customHeight="1" x14ac:dyDescent="0.3">
      <c r="A939" s="493" t="s">
        <v>1279</v>
      </c>
      <c r="B939" s="493" t="s">
        <v>369</v>
      </c>
      <c r="C939" s="493" t="s">
        <v>4210</v>
      </c>
      <c r="D939" s="494" t="s">
        <v>370</v>
      </c>
      <c r="E939" s="493" t="s">
        <v>1332</v>
      </c>
      <c r="F939" s="495">
        <v>23.658053289415349</v>
      </c>
      <c r="G939" s="496">
        <v>0.28000000000000003</v>
      </c>
      <c r="H939" s="497">
        <v>0.2122</v>
      </c>
      <c r="I939" s="495">
        <v>0.34</v>
      </c>
      <c r="J939" s="496">
        <v>8.0399999999999991</v>
      </c>
      <c r="K939" s="498">
        <v>2.8423809757871619E-7</v>
      </c>
    </row>
    <row r="940" spans="1:11" ht="39" customHeight="1" x14ac:dyDescent="0.3">
      <c r="A940" s="493" t="s">
        <v>1280</v>
      </c>
      <c r="B940" s="493" t="s">
        <v>376</v>
      </c>
      <c r="C940" s="493" t="s">
        <v>4210</v>
      </c>
      <c r="D940" s="494" t="s">
        <v>377</v>
      </c>
      <c r="E940" s="493" t="s">
        <v>1332</v>
      </c>
      <c r="F940" s="495">
        <v>23.658053289415349</v>
      </c>
      <c r="G940" s="496">
        <v>0.4</v>
      </c>
      <c r="H940" s="497">
        <v>0.2122</v>
      </c>
      <c r="I940" s="495">
        <v>0.48</v>
      </c>
      <c r="J940" s="496">
        <v>11.35</v>
      </c>
      <c r="K940" s="498">
        <v>4.0125651834806326E-7</v>
      </c>
    </row>
    <row r="941" spans="1:11" ht="39" customHeight="1" x14ac:dyDescent="0.3">
      <c r="A941" s="493" t="s">
        <v>1281</v>
      </c>
      <c r="B941" s="493" t="s">
        <v>366</v>
      </c>
      <c r="C941" s="493" t="s">
        <v>125</v>
      </c>
      <c r="D941" s="494" t="s">
        <v>4232</v>
      </c>
      <c r="E941" s="493" t="s">
        <v>268</v>
      </c>
      <c r="F941" s="495">
        <v>3.1051194942357636</v>
      </c>
      <c r="G941" s="496">
        <v>208.42</v>
      </c>
      <c r="H941" s="497">
        <v>0.2122</v>
      </c>
      <c r="I941" s="495">
        <v>252.65</v>
      </c>
      <c r="J941" s="496">
        <v>784.5</v>
      </c>
      <c r="K941" s="498">
        <v>2.7734426312251599E-5</v>
      </c>
    </row>
    <row r="942" spans="1:11" ht="39" customHeight="1" x14ac:dyDescent="0.3">
      <c r="A942" s="493" t="s">
        <v>1282</v>
      </c>
      <c r="B942" s="493" t="s">
        <v>363</v>
      </c>
      <c r="C942" s="493" t="s">
        <v>4210</v>
      </c>
      <c r="D942" s="494" t="s">
        <v>364</v>
      </c>
      <c r="E942" s="493" t="s">
        <v>268</v>
      </c>
      <c r="F942" s="495">
        <v>1.3307654975296135</v>
      </c>
      <c r="G942" s="496">
        <v>15.45</v>
      </c>
      <c r="H942" s="497">
        <v>0.2122</v>
      </c>
      <c r="I942" s="495">
        <v>18.73</v>
      </c>
      <c r="J942" s="496">
        <v>24.92</v>
      </c>
      <c r="K942" s="498">
        <v>8.8099669050517519E-7</v>
      </c>
    </row>
    <row r="943" spans="1:11" ht="39" customHeight="1" x14ac:dyDescent="0.3">
      <c r="A943" s="493" t="s">
        <v>1283</v>
      </c>
      <c r="B943" s="493" t="s">
        <v>4234</v>
      </c>
      <c r="C943" s="493" t="s">
        <v>4235</v>
      </c>
      <c r="D943" s="494" t="s">
        <v>4430</v>
      </c>
      <c r="E943" s="493" t="s">
        <v>268</v>
      </c>
      <c r="F943" s="495">
        <v>3.6374256932477298</v>
      </c>
      <c r="G943" s="496">
        <v>56.12</v>
      </c>
      <c r="H943" s="497">
        <v>0.2122</v>
      </c>
      <c r="I943" s="495">
        <v>68.03</v>
      </c>
      <c r="J943" s="496">
        <v>247.45</v>
      </c>
      <c r="K943" s="498">
        <v>8.7480991599320049E-6</v>
      </c>
    </row>
    <row r="944" spans="1:11" ht="39" customHeight="1" x14ac:dyDescent="0.3">
      <c r="A944" s="493" t="s">
        <v>1284</v>
      </c>
      <c r="B944" s="493" t="s">
        <v>576</v>
      </c>
      <c r="C944" s="493" t="s">
        <v>125</v>
      </c>
      <c r="D944" s="494" t="s">
        <v>1898</v>
      </c>
      <c r="E944" s="493" t="s">
        <v>268</v>
      </c>
      <c r="F944" s="495">
        <v>3.6374256932477298</v>
      </c>
      <c r="G944" s="496">
        <v>8.59</v>
      </c>
      <c r="H944" s="497">
        <v>0.2122</v>
      </c>
      <c r="I944" s="495">
        <v>10.41</v>
      </c>
      <c r="J944" s="496">
        <v>37.86</v>
      </c>
      <c r="K944" s="498">
        <v>1.3384644744191785E-6</v>
      </c>
    </row>
    <row r="945" spans="1:11" ht="39" customHeight="1" x14ac:dyDescent="0.3">
      <c r="A945" s="493" t="s">
        <v>1285</v>
      </c>
      <c r="B945" s="493" t="s">
        <v>116</v>
      </c>
      <c r="C945" s="493" t="s">
        <v>32</v>
      </c>
      <c r="D945" s="494" t="s">
        <v>117</v>
      </c>
      <c r="E945" s="493" t="s">
        <v>268</v>
      </c>
      <c r="F945" s="495">
        <v>0.77759999999999985</v>
      </c>
      <c r="G945" s="496">
        <v>8.81</v>
      </c>
      <c r="H945" s="497">
        <v>0.2122</v>
      </c>
      <c r="I945" s="495">
        <v>10.68</v>
      </c>
      <c r="J945" s="496">
        <v>8.3000000000000007</v>
      </c>
      <c r="K945" s="498">
        <v>2.9342987685364984E-7</v>
      </c>
    </row>
    <row r="946" spans="1:11" ht="39" customHeight="1" x14ac:dyDescent="0.3">
      <c r="A946" s="493" t="s">
        <v>1286</v>
      </c>
      <c r="B946" s="493" t="s">
        <v>127</v>
      </c>
      <c r="C946" s="493" t="s">
        <v>32</v>
      </c>
      <c r="D946" s="494" t="s">
        <v>128</v>
      </c>
      <c r="E946" s="493" t="s">
        <v>268</v>
      </c>
      <c r="F946" s="495">
        <v>3.8770088092227883</v>
      </c>
      <c r="G946" s="496">
        <v>6.53</v>
      </c>
      <c r="H946" s="497">
        <v>0.2122</v>
      </c>
      <c r="I946" s="495">
        <v>7.92</v>
      </c>
      <c r="J946" s="496">
        <v>30.7</v>
      </c>
      <c r="K946" s="498">
        <v>1.0853370143863915E-6</v>
      </c>
    </row>
    <row r="947" spans="1:11" ht="39" customHeight="1" x14ac:dyDescent="0.3">
      <c r="A947" s="493" t="s">
        <v>1287</v>
      </c>
      <c r="B947" s="493" t="s">
        <v>119</v>
      </c>
      <c r="C947" s="493" t="s">
        <v>32</v>
      </c>
      <c r="D947" s="494" t="s">
        <v>120</v>
      </c>
      <c r="E947" s="493" t="s">
        <v>121</v>
      </c>
      <c r="F947" s="495">
        <v>139.63826427668366</v>
      </c>
      <c r="G947" s="496">
        <v>2.1</v>
      </c>
      <c r="H947" s="497">
        <v>0.2122</v>
      </c>
      <c r="I947" s="495">
        <v>2.5499999999999998</v>
      </c>
      <c r="J947" s="496">
        <v>356.07</v>
      </c>
      <c r="K947" s="498">
        <v>1.2588141717021577E-5</v>
      </c>
    </row>
    <row r="948" spans="1:11" ht="39" customHeight="1" x14ac:dyDescent="0.3">
      <c r="A948" s="493" t="s">
        <v>1288</v>
      </c>
      <c r="B948" s="493" t="s">
        <v>122</v>
      </c>
      <c r="C948" s="493" t="s">
        <v>32</v>
      </c>
      <c r="D948" s="494" t="s">
        <v>123</v>
      </c>
      <c r="E948" s="493" t="s">
        <v>121</v>
      </c>
      <c r="F948" s="495">
        <v>89.890005090963598</v>
      </c>
      <c r="G948" s="496">
        <v>0.85</v>
      </c>
      <c r="H948" s="497">
        <v>0.2122</v>
      </c>
      <c r="I948" s="495">
        <v>1.03</v>
      </c>
      <c r="J948" s="496">
        <v>92.58</v>
      </c>
      <c r="K948" s="498">
        <v>3.2729804818205903E-6</v>
      </c>
    </row>
    <row r="949" spans="1:11" ht="39" customHeight="1" x14ac:dyDescent="0.3">
      <c r="A949" s="493" t="s">
        <v>1289</v>
      </c>
      <c r="B949" s="493" t="s">
        <v>389</v>
      </c>
      <c r="C949" s="493" t="s">
        <v>4210</v>
      </c>
      <c r="D949" s="494" t="s">
        <v>390</v>
      </c>
      <c r="E949" s="493" t="s">
        <v>381</v>
      </c>
      <c r="F949" s="495">
        <v>1.7033798368379047</v>
      </c>
      <c r="G949" s="496">
        <v>188.17</v>
      </c>
      <c r="H949" s="497">
        <v>0.2122</v>
      </c>
      <c r="I949" s="495">
        <v>228.1</v>
      </c>
      <c r="J949" s="496">
        <v>388.54</v>
      </c>
      <c r="K949" s="498">
        <v>1.3736053536471939E-5</v>
      </c>
    </row>
    <row r="950" spans="1:11" ht="39" customHeight="1" x14ac:dyDescent="0.3">
      <c r="A950" s="493" t="s">
        <v>1290</v>
      </c>
      <c r="B950" s="493" t="s">
        <v>392</v>
      </c>
      <c r="C950" s="493" t="s">
        <v>4210</v>
      </c>
      <c r="D950" s="494" t="s">
        <v>393</v>
      </c>
      <c r="E950" s="493" t="s">
        <v>381</v>
      </c>
      <c r="F950" s="495">
        <v>0.1077047070832607</v>
      </c>
      <c r="G950" s="496">
        <v>5274.22</v>
      </c>
      <c r="H950" s="497">
        <v>0.111</v>
      </c>
      <c r="I950" s="495">
        <v>5859.66</v>
      </c>
      <c r="J950" s="496">
        <v>631.11</v>
      </c>
      <c r="K950" s="498">
        <v>2.2311630070012884E-5</v>
      </c>
    </row>
    <row r="951" spans="1:11" ht="39" customHeight="1" x14ac:dyDescent="0.3">
      <c r="A951" s="493" t="s">
        <v>1291</v>
      </c>
      <c r="B951" s="493" t="s">
        <v>372</v>
      </c>
      <c r="C951" s="493" t="s">
        <v>4210</v>
      </c>
      <c r="D951" s="494" t="s">
        <v>373</v>
      </c>
      <c r="E951" s="493" t="s">
        <v>381</v>
      </c>
      <c r="F951" s="495">
        <v>1.0646123980236909E-2</v>
      </c>
      <c r="G951" s="496">
        <v>4033.08</v>
      </c>
      <c r="H951" s="497">
        <v>0.111</v>
      </c>
      <c r="I951" s="495">
        <v>4480.75</v>
      </c>
      <c r="J951" s="496">
        <v>47.7</v>
      </c>
      <c r="K951" s="498">
        <v>1.6863379669782044E-6</v>
      </c>
    </row>
    <row r="952" spans="1:11" ht="39" customHeight="1" x14ac:dyDescent="0.3">
      <c r="A952" s="493" t="s">
        <v>1292</v>
      </c>
      <c r="B952" s="493" t="s">
        <v>379</v>
      </c>
      <c r="C952" s="493" t="s">
        <v>4210</v>
      </c>
      <c r="D952" s="494" t="s">
        <v>380</v>
      </c>
      <c r="E952" s="493" t="s">
        <v>381</v>
      </c>
      <c r="F952" s="495">
        <v>3.0755469276239952E-2</v>
      </c>
      <c r="G952" s="496">
        <v>4291.21</v>
      </c>
      <c r="H952" s="497">
        <v>0.111</v>
      </c>
      <c r="I952" s="495">
        <v>4767.53</v>
      </c>
      <c r="J952" s="496">
        <v>146.62</v>
      </c>
      <c r="K952" s="498">
        <v>5.1834564511183298E-6</v>
      </c>
    </row>
    <row r="953" spans="1:11" ht="39" customHeight="1" x14ac:dyDescent="0.3">
      <c r="A953" s="493" t="s">
        <v>1293</v>
      </c>
      <c r="B953" s="493" t="s">
        <v>383</v>
      </c>
      <c r="C953" s="493" t="s">
        <v>125</v>
      </c>
      <c r="D953" s="494" t="s">
        <v>4233</v>
      </c>
      <c r="E953" s="493" t="s">
        <v>1369</v>
      </c>
      <c r="F953" s="495">
        <v>0.93153584827072944</v>
      </c>
      <c r="G953" s="496">
        <v>0.54959999999999998</v>
      </c>
      <c r="H953" s="497">
        <v>0.111</v>
      </c>
      <c r="I953" s="495">
        <v>0.61</v>
      </c>
      <c r="J953" s="496">
        <v>0.56000000000000005</v>
      </c>
      <c r="K953" s="498">
        <v>1.9797678438318543E-8</v>
      </c>
    </row>
    <row r="954" spans="1:11" ht="24" customHeight="1" x14ac:dyDescent="0.3">
      <c r="A954" s="489" t="s">
        <v>1294</v>
      </c>
      <c r="B954" s="489" t="s">
        <v>1328</v>
      </c>
      <c r="C954" s="489" t="s">
        <v>1328</v>
      </c>
      <c r="D954" s="490" t="s">
        <v>550</v>
      </c>
      <c r="E954" s="490" t="s">
        <v>1328</v>
      </c>
      <c r="F954" s="499"/>
      <c r="G954" s="490"/>
      <c r="H954" s="489"/>
      <c r="I954" s="500"/>
      <c r="J954" s="357">
        <v>1491069.2300000002</v>
      </c>
      <c r="K954" s="492">
        <v>5.2713766330020062E-2</v>
      </c>
    </row>
    <row r="955" spans="1:11" ht="24" customHeight="1" x14ac:dyDescent="0.3">
      <c r="A955" s="489" t="s">
        <v>1295</v>
      </c>
      <c r="B955" s="489" t="s">
        <v>1328</v>
      </c>
      <c r="C955" s="489" t="s">
        <v>1328</v>
      </c>
      <c r="D955" s="490" t="s">
        <v>552</v>
      </c>
      <c r="E955" s="490" t="s">
        <v>1328</v>
      </c>
      <c r="F955" s="499"/>
      <c r="G955" s="490"/>
      <c r="H955" s="489"/>
      <c r="I955" s="500"/>
      <c r="J955" s="357">
        <v>233995.97999999998</v>
      </c>
      <c r="K955" s="492">
        <v>8.2724592283914579E-3</v>
      </c>
    </row>
    <row r="956" spans="1:11" ht="39" customHeight="1" x14ac:dyDescent="0.3">
      <c r="A956" s="493" t="s">
        <v>1296</v>
      </c>
      <c r="B956" s="493" t="s">
        <v>145</v>
      </c>
      <c r="C956" s="493" t="s">
        <v>32</v>
      </c>
      <c r="D956" s="494" t="s">
        <v>4405</v>
      </c>
      <c r="E956" s="493" t="s">
        <v>1332</v>
      </c>
      <c r="F956" s="495">
        <v>5667.79</v>
      </c>
      <c r="G956" s="496">
        <v>0.65</v>
      </c>
      <c r="H956" s="497">
        <v>0.2122</v>
      </c>
      <c r="I956" s="495">
        <v>0.79</v>
      </c>
      <c r="J956" s="496">
        <v>4477.55</v>
      </c>
      <c r="K956" s="498">
        <v>1.5829481266338069E-4</v>
      </c>
    </row>
    <row r="957" spans="1:11" ht="39" customHeight="1" x14ac:dyDescent="0.3">
      <c r="A957" s="493" t="s">
        <v>1297</v>
      </c>
      <c r="B957" s="493" t="s">
        <v>116</v>
      </c>
      <c r="C957" s="493" t="s">
        <v>32</v>
      </c>
      <c r="D957" s="494" t="s">
        <v>117</v>
      </c>
      <c r="E957" s="493" t="s">
        <v>268</v>
      </c>
      <c r="F957" s="495">
        <v>1700.34</v>
      </c>
      <c r="G957" s="496">
        <v>8.81</v>
      </c>
      <c r="H957" s="497">
        <v>0.2122</v>
      </c>
      <c r="I957" s="495">
        <v>10.68</v>
      </c>
      <c r="J957" s="496">
        <v>18159.63</v>
      </c>
      <c r="K957" s="498">
        <v>6.4199734874793315E-4</v>
      </c>
    </row>
    <row r="958" spans="1:11" ht="39" customHeight="1" x14ac:dyDescent="0.3">
      <c r="A958" s="493" t="s">
        <v>1298</v>
      </c>
      <c r="B958" s="493" t="s">
        <v>119</v>
      </c>
      <c r="C958" s="493" t="s">
        <v>32</v>
      </c>
      <c r="D958" s="494" t="s">
        <v>120</v>
      </c>
      <c r="E958" s="493" t="s">
        <v>121</v>
      </c>
      <c r="F958" s="495">
        <v>51010.14</v>
      </c>
      <c r="G958" s="496">
        <v>2.1</v>
      </c>
      <c r="H958" s="497">
        <v>0.2122</v>
      </c>
      <c r="I958" s="495">
        <v>2.5499999999999998</v>
      </c>
      <c r="J958" s="496">
        <v>130075.85</v>
      </c>
      <c r="K958" s="498">
        <v>4.5985711623052804E-3</v>
      </c>
    </row>
    <row r="959" spans="1:11" ht="39" customHeight="1" x14ac:dyDescent="0.3">
      <c r="A959" s="493" t="s">
        <v>1299</v>
      </c>
      <c r="B959" s="493" t="s">
        <v>122</v>
      </c>
      <c r="C959" s="493" t="s">
        <v>32</v>
      </c>
      <c r="D959" s="494" t="s">
        <v>123</v>
      </c>
      <c r="E959" s="493" t="s">
        <v>121</v>
      </c>
      <c r="F959" s="495">
        <v>76175.14</v>
      </c>
      <c r="G959" s="496">
        <v>0.85</v>
      </c>
      <c r="H959" s="497">
        <v>0.2122</v>
      </c>
      <c r="I959" s="495">
        <v>1.03</v>
      </c>
      <c r="J959" s="496">
        <v>78460.39</v>
      </c>
      <c r="K959" s="498">
        <v>2.7738099488661852E-3</v>
      </c>
    </row>
    <row r="960" spans="1:11" ht="39" customHeight="1" x14ac:dyDescent="0.3">
      <c r="A960" s="493" t="s">
        <v>1300</v>
      </c>
      <c r="B960" s="493" t="s">
        <v>324</v>
      </c>
      <c r="C960" s="493" t="s">
        <v>32</v>
      </c>
      <c r="D960" s="494" t="s">
        <v>4422</v>
      </c>
      <c r="E960" s="493" t="s">
        <v>268</v>
      </c>
      <c r="F960" s="495">
        <v>1700.34</v>
      </c>
      <c r="G960" s="496">
        <v>1.37</v>
      </c>
      <c r="H960" s="497">
        <v>0.2122</v>
      </c>
      <c r="I960" s="495">
        <v>1.66</v>
      </c>
      <c r="J960" s="496">
        <v>2822.56</v>
      </c>
      <c r="K960" s="498">
        <v>9.9785955808679255E-5</v>
      </c>
    </row>
    <row r="961" spans="1:11" ht="24" customHeight="1" x14ac:dyDescent="0.3">
      <c r="A961" s="489" t="s">
        <v>1301</v>
      </c>
      <c r="B961" s="489" t="s">
        <v>1328</v>
      </c>
      <c r="C961" s="489" t="s">
        <v>1328</v>
      </c>
      <c r="D961" s="490" t="s">
        <v>559</v>
      </c>
      <c r="E961" s="490" t="s">
        <v>1328</v>
      </c>
      <c r="F961" s="499"/>
      <c r="G961" s="490"/>
      <c r="H961" s="489"/>
      <c r="I961" s="500"/>
      <c r="J961" s="357">
        <v>442378.66</v>
      </c>
      <c r="K961" s="492">
        <v>1.5639411533311158E-2</v>
      </c>
    </row>
    <row r="962" spans="1:11" ht="39" customHeight="1" x14ac:dyDescent="0.3">
      <c r="A962" s="493" t="s">
        <v>1302</v>
      </c>
      <c r="B962" s="493" t="s">
        <v>561</v>
      </c>
      <c r="C962" s="493" t="s">
        <v>32</v>
      </c>
      <c r="D962" s="494" t="s">
        <v>562</v>
      </c>
      <c r="E962" s="493" t="s">
        <v>268</v>
      </c>
      <c r="F962" s="495">
        <v>3674.01</v>
      </c>
      <c r="G962" s="496">
        <v>13.23</v>
      </c>
      <c r="H962" s="497">
        <v>0.2122</v>
      </c>
      <c r="I962" s="495">
        <v>16.04</v>
      </c>
      <c r="J962" s="496">
        <v>58931.12</v>
      </c>
      <c r="K962" s="498">
        <v>2.0833917210177902E-3</v>
      </c>
    </row>
    <row r="963" spans="1:11" ht="39" customHeight="1" x14ac:dyDescent="0.3">
      <c r="A963" s="493" t="s">
        <v>1303</v>
      </c>
      <c r="B963" s="493" t="s">
        <v>119</v>
      </c>
      <c r="C963" s="493" t="s">
        <v>32</v>
      </c>
      <c r="D963" s="494" t="s">
        <v>120</v>
      </c>
      <c r="E963" s="493" t="s">
        <v>121</v>
      </c>
      <c r="F963" s="495">
        <v>123978.045</v>
      </c>
      <c r="G963" s="496">
        <v>2.1</v>
      </c>
      <c r="H963" s="497">
        <v>0.2122</v>
      </c>
      <c r="I963" s="495">
        <v>2.5499999999999998</v>
      </c>
      <c r="J963" s="496">
        <v>316144.01</v>
      </c>
      <c r="K963" s="498">
        <v>1.1176638303893859E-2</v>
      </c>
    </row>
    <row r="964" spans="1:11" ht="39" customHeight="1" x14ac:dyDescent="0.3">
      <c r="A964" s="493" t="s">
        <v>1304</v>
      </c>
      <c r="B964" s="493" t="s">
        <v>122</v>
      </c>
      <c r="C964" s="493" t="s">
        <v>32</v>
      </c>
      <c r="D964" s="494" t="s">
        <v>123</v>
      </c>
      <c r="E964" s="493" t="s">
        <v>121</v>
      </c>
      <c r="F964" s="495">
        <v>58682.941300000006</v>
      </c>
      <c r="G964" s="496">
        <v>0.85</v>
      </c>
      <c r="H964" s="497">
        <v>0.2122</v>
      </c>
      <c r="I964" s="495">
        <v>1.03</v>
      </c>
      <c r="J964" s="496">
        <v>60443.42</v>
      </c>
      <c r="K964" s="498">
        <v>2.1368560587004138E-3</v>
      </c>
    </row>
    <row r="965" spans="1:11" ht="39" customHeight="1" x14ac:dyDescent="0.3">
      <c r="A965" s="493" t="s">
        <v>1305</v>
      </c>
      <c r="B965" s="493" t="s">
        <v>324</v>
      </c>
      <c r="C965" s="493" t="s">
        <v>32</v>
      </c>
      <c r="D965" s="494" t="s">
        <v>4422</v>
      </c>
      <c r="E965" s="493" t="s">
        <v>268</v>
      </c>
      <c r="F965" s="495">
        <v>4132.6000000000004</v>
      </c>
      <c r="G965" s="496">
        <v>1.37</v>
      </c>
      <c r="H965" s="497">
        <v>0.2122</v>
      </c>
      <c r="I965" s="495">
        <v>1.66</v>
      </c>
      <c r="J965" s="496">
        <v>6860.11</v>
      </c>
      <c r="K965" s="498">
        <v>2.4252544969909537E-4</v>
      </c>
    </row>
    <row r="966" spans="1:11" ht="24" customHeight="1" x14ac:dyDescent="0.3">
      <c r="A966" s="489" t="s">
        <v>1306</v>
      </c>
      <c r="B966" s="489" t="s">
        <v>1328</v>
      </c>
      <c r="C966" s="489" t="s">
        <v>1328</v>
      </c>
      <c r="D966" s="490" t="s">
        <v>567</v>
      </c>
      <c r="E966" s="490" t="s">
        <v>1328</v>
      </c>
      <c r="F966" s="499"/>
      <c r="G966" s="490"/>
      <c r="H966" s="489"/>
      <c r="I966" s="500"/>
      <c r="J966" s="357">
        <v>1364.52</v>
      </c>
      <c r="K966" s="492">
        <v>4.8239871754740027E-5</v>
      </c>
    </row>
    <row r="967" spans="1:11" ht="39" customHeight="1" x14ac:dyDescent="0.3">
      <c r="A967" s="493" t="s">
        <v>1307</v>
      </c>
      <c r="B967" s="493" t="s">
        <v>569</v>
      </c>
      <c r="C967" s="493" t="s">
        <v>32</v>
      </c>
      <c r="D967" s="494" t="s">
        <v>4443</v>
      </c>
      <c r="E967" s="493" t="s">
        <v>268</v>
      </c>
      <c r="F967" s="495">
        <v>92.51</v>
      </c>
      <c r="G967" s="496">
        <v>12.17</v>
      </c>
      <c r="H967" s="497">
        <v>0.2122</v>
      </c>
      <c r="I967" s="495">
        <v>14.75</v>
      </c>
      <c r="J967" s="496">
        <v>1364.52</v>
      </c>
      <c r="K967" s="498">
        <v>4.8239871754740027E-5</v>
      </c>
    </row>
    <row r="968" spans="1:11" ht="24" customHeight="1" x14ac:dyDescent="0.3">
      <c r="A968" s="489" t="s">
        <v>1308</v>
      </c>
      <c r="B968" s="489" t="s">
        <v>1328</v>
      </c>
      <c r="C968" s="489" t="s">
        <v>1328</v>
      </c>
      <c r="D968" s="490" t="s">
        <v>571</v>
      </c>
      <c r="E968" s="490" t="s">
        <v>1328</v>
      </c>
      <c r="F968" s="499"/>
      <c r="G968" s="490"/>
      <c r="H968" s="489"/>
      <c r="I968" s="500"/>
      <c r="J968" s="357">
        <v>662886.9800000001</v>
      </c>
      <c r="K968" s="492">
        <v>2.3435041555335885E-2</v>
      </c>
    </row>
    <row r="969" spans="1:11" ht="39" customHeight="1" x14ac:dyDescent="0.3">
      <c r="A969" s="493" t="s">
        <v>1309</v>
      </c>
      <c r="B969" s="493" t="s">
        <v>573</v>
      </c>
      <c r="C969" s="493" t="s">
        <v>125</v>
      </c>
      <c r="D969" s="494" t="s">
        <v>4237</v>
      </c>
      <c r="E969" s="493" t="s">
        <v>1332</v>
      </c>
      <c r="F969" s="495">
        <v>5615.4599999999991</v>
      </c>
      <c r="G969" s="496">
        <v>1.1399999999999999</v>
      </c>
      <c r="H969" s="497">
        <v>0.2122</v>
      </c>
      <c r="I969" s="495">
        <v>1.38</v>
      </c>
      <c r="J969" s="496">
        <v>7749.33</v>
      </c>
      <c r="K969" s="498">
        <v>2.7396204187931251E-4</v>
      </c>
    </row>
    <row r="970" spans="1:11" ht="39" customHeight="1" x14ac:dyDescent="0.3">
      <c r="A970" s="493" t="s">
        <v>1310</v>
      </c>
      <c r="B970" s="493" t="s">
        <v>576</v>
      </c>
      <c r="C970" s="493" t="s">
        <v>125</v>
      </c>
      <c r="D970" s="494" t="s">
        <v>1898</v>
      </c>
      <c r="E970" s="493" t="s">
        <v>268</v>
      </c>
      <c r="F970" s="495">
        <v>2267.1299999999997</v>
      </c>
      <c r="G970" s="496">
        <v>8.59</v>
      </c>
      <c r="H970" s="497">
        <v>0.2122</v>
      </c>
      <c r="I970" s="495">
        <v>10.41</v>
      </c>
      <c r="J970" s="496">
        <v>23600.82</v>
      </c>
      <c r="K970" s="498">
        <v>8.3435972364399457E-4</v>
      </c>
    </row>
    <row r="971" spans="1:11" ht="39" customHeight="1" x14ac:dyDescent="0.3">
      <c r="A971" s="493" t="s">
        <v>1311</v>
      </c>
      <c r="B971" s="493" t="s">
        <v>363</v>
      </c>
      <c r="C971" s="493" t="s">
        <v>4210</v>
      </c>
      <c r="D971" s="494" t="s">
        <v>364</v>
      </c>
      <c r="E971" s="493" t="s">
        <v>268</v>
      </c>
      <c r="F971" s="495">
        <v>850.18000000000006</v>
      </c>
      <c r="G971" s="496">
        <v>15.45</v>
      </c>
      <c r="H971" s="497">
        <v>0.2122</v>
      </c>
      <c r="I971" s="495">
        <v>18.73</v>
      </c>
      <c r="J971" s="496">
        <v>15923.87</v>
      </c>
      <c r="K971" s="498">
        <v>5.6295653170283474E-4</v>
      </c>
    </row>
    <row r="972" spans="1:11" ht="39" customHeight="1" x14ac:dyDescent="0.3">
      <c r="A972" s="493" t="s">
        <v>1312</v>
      </c>
      <c r="B972" s="493" t="s">
        <v>366</v>
      </c>
      <c r="C972" s="493" t="s">
        <v>125</v>
      </c>
      <c r="D972" s="494" t="s">
        <v>4232</v>
      </c>
      <c r="E972" s="493" t="s">
        <v>268</v>
      </c>
      <c r="F972" s="495">
        <v>823.38000000000011</v>
      </c>
      <c r="G972" s="496">
        <v>208.42</v>
      </c>
      <c r="H972" s="497">
        <v>0.2122</v>
      </c>
      <c r="I972" s="495">
        <v>252.65</v>
      </c>
      <c r="J972" s="496">
        <v>208026.95</v>
      </c>
      <c r="K972" s="498">
        <v>7.3543761832217313E-3</v>
      </c>
    </row>
    <row r="973" spans="1:11" ht="39" customHeight="1" x14ac:dyDescent="0.3">
      <c r="A973" s="493" t="s">
        <v>1313</v>
      </c>
      <c r="B973" s="493" t="s">
        <v>369</v>
      </c>
      <c r="C973" s="493" t="s">
        <v>4210</v>
      </c>
      <c r="D973" s="494" t="s">
        <v>370</v>
      </c>
      <c r="E973" s="493" t="s">
        <v>1332</v>
      </c>
      <c r="F973" s="495">
        <v>5435</v>
      </c>
      <c r="G973" s="496">
        <v>0.28000000000000003</v>
      </c>
      <c r="H973" s="497">
        <v>0.2122</v>
      </c>
      <c r="I973" s="495">
        <v>0.34</v>
      </c>
      <c r="J973" s="496">
        <v>1847.9</v>
      </c>
      <c r="K973" s="498">
        <v>6.5328803546730059E-5</v>
      </c>
    </row>
    <row r="974" spans="1:11" ht="39" customHeight="1" x14ac:dyDescent="0.3">
      <c r="A974" s="493" t="s">
        <v>1314</v>
      </c>
      <c r="B974" s="493" t="s">
        <v>376</v>
      </c>
      <c r="C974" s="493" t="s">
        <v>4210</v>
      </c>
      <c r="D974" s="494" t="s">
        <v>377</v>
      </c>
      <c r="E974" s="493" t="s">
        <v>1332</v>
      </c>
      <c r="F974" s="495">
        <v>5435</v>
      </c>
      <c r="G974" s="496">
        <v>0.4</v>
      </c>
      <c r="H974" s="497">
        <v>0.2122</v>
      </c>
      <c r="I974" s="495">
        <v>0.48</v>
      </c>
      <c r="J974" s="496">
        <v>2608.8000000000002</v>
      </c>
      <c r="K974" s="498">
        <v>9.2228899124795381E-5</v>
      </c>
    </row>
    <row r="975" spans="1:11" ht="39" customHeight="1" x14ac:dyDescent="0.3">
      <c r="A975" s="493" t="s">
        <v>1315</v>
      </c>
      <c r="B975" s="493" t="s">
        <v>386</v>
      </c>
      <c r="C975" s="493" t="s">
        <v>4210</v>
      </c>
      <c r="D975" s="494" t="s">
        <v>387</v>
      </c>
      <c r="E975" s="493" t="s">
        <v>268</v>
      </c>
      <c r="F975" s="495">
        <v>163.04999999999998</v>
      </c>
      <c r="G975" s="496">
        <v>124.59</v>
      </c>
      <c r="H975" s="497">
        <v>0.2122</v>
      </c>
      <c r="I975" s="495">
        <v>151.03</v>
      </c>
      <c r="J975" s="496">
        <v>24625.439999999999</v>
      </c>
      <c r="K975" s="498">
        <v>8.7058311164661944E-4</v>
      </c>
    </row>
    <row r="976" spans="1:11" ht="39" customHeight="1" x14ac:dyDescent="0.3">
      <c r="A976" s="493" t="s">
        <v>1316</v>
      </c>
      <c r="B976" s="493" t="s">
        <v>584</v>
      </c>
      <c r="C976" s="493" t="s">
        <v>125</v>
      </c>
      <c r="D976" s="494" t="s">
        <v>1362</v>
      </c>
      <c r="E976" s="493" t="s">
        <v>1332</v>
      </c>
      <c r="F976" s="495">
        <v>653.75</v>
      </c>
      <c r="G976" s="496">
        <v>10.38</v>
      </c>
      <c r="H976" s="497">
        <v>0.2122</v>
      </c>
      <c r="I976" s="495">
        <v>12.58</v>
      </c>
      <c r="J976" s="496">
        <v>8224.17</v>
      </c>
      <c r="K976" s="498">
        <v>2.907490590751182E-4</v>
      </c>
    </row>
    <row r="977" spans="1:11" ht="39" customHeight="1" x14ac:dyDescent="0.3">
      <c r="A977" s="493" t="s">
        <v>1317</v>
      </c>
      <c r="B977" s="493" t="s">
        <v>389</v>
      </c>
      <c r="C977" s="493" t="s">
        <v>4210</v>
      </c>
      <c r="D977" s="494" t="s">
        <v>390</v>
      </c>
      <c r="E977" s="493" t="s">
        <v>381</v>
      </c>
      <c r="F977" s="495">
        <v>391.31999999999994</v>
      </c>
      <c r="G977" s="496">
        <v>188.17</v>
      </c>
      <c r="H977" s="497">
        <v>0.2122</v>
      </c>
      <c r="I977" s="495">
        <v>228.1</v>
      </c>
      <c r="J977" s="496">
        <v>89260.09</v>
      </c>
      <c r="K977" s="498">
        <v>3.1556117128488793E-3</v>
      </c>
    </row>
    <row r="978" spans="1:11" ht="39" customHeight="1" x14ac:dyDescent="0.3">
      <c r="A978" s="493" t="s">
        <v>1318</v>
      </c>
      <c r="B978" s="493" t="s">
        <v>392</v>
      </c>
      <c r="C978" s="493" t="s">
        <v>4210</v>
      </c>
      <c r="D978" s="494" t="s">
        <v>393</v>
      </c>
      <c r="E978" s="493" t="s">
        <v>381</v>
      </c>
      <c r="F978" s="495">
        <v>24.743163599999995</v>
      </c>
      <c r="G978" s="496">
        <v>5274.22</v>
      </c>
      <c r="H978" s="497">
        <v>0.111</v>
      </c>
      <c r="I978" s="495">
        <v>5859.66</v>
      </c>
      <c r="J978" s="496">
        <v>144986.51999999999</v>
      </c>
      <c r="K978" s="498">
        <v>5.125708037233642E-3</v>
      </c>
    </row>
    <row r="979" spans="1:11" ht="39" customHeight="1" x14ac:dyDescent="0.3">
      <c r="A979" s="493" t="s">
        <v>1319</v>
      </c>
      <c r="B979" s="493" t="s">
        <v>372</v>
      </c>
      <c r="C979" s="493" t="s">
        <v>4210</v>
      </c>
      <c r="D979" s="494" t="s">
        <v>373</v>
      </c>
      <c r="E979" s="493" t="s">
        <v>381</v>
      </c>
      <c r="F979" s="495">
        <v>2.4457499999999994</v>
      </c>
      <c r="G979" s="496">
        <v>4033.08</v>
      </c>
      <c r="H979" s="497">
        <v>0.111</v>
      </c>
      <c r="I979" s="495">
        <v>4480.75</v>
      </c>
      <c r="J979" s="496">
        <v>10958.79</v>
      </c>
      <c r="K979" s="498">
        <v>3.8742607230903724E-4</v>
      </c>
    </row>
    <row r="980" spans="1:11" ht="39" customHeight="1" x14ac:dyDescent="0.3">
      <c r="A980" s="493" t="s">
        <v>1320</v>
      </c>
      <c r="B980" s="493" t="s">
        <v>379</v>
      </c>
      <c r="C980" s="493" t="s">
        <v>4210</v>
      </c>
      <c r="D980" s="494" t="s">
        <v>380</v>
      </c>
      <c r="E980" s="493" t="s">
        <v>381</v>
      </c>
      <c r="F980" s="495">
        <v>7.0654999999999992</v>
      </c>
      <c r="G980" s="496">
        <v>4291.21</v>
      </c>
      <c r="H980" s="497">
        <v>0.111</v>
      </c>
      <c r="I980" s="495">
        <v>4767.53</v>
      </c>
      <c r="J980" s="496">
        <v>33684.980000000003</v>
      </c>
      <c r="K980" s="498">
        <v>1.1908650040021273E-3</v>
      </c>
    </row>
    <row r="981" spans="1:11" ht="39" customHeight="1" x14ac:dyDescent="0.3">
      <c r="A981" s="493" t="s">
        <v>1321</v>
      </c>
      <c r="B981" s="493" t="s">
        <v>383</v>
      </c>
      <c r="C981" s="493" t="s">
        <v>125</v>
      </c>
      <c r="D981" s="494" t="s">
        <v>4233</v>
      </c>
      <c r="E981" s="493" t="s">
        <v>1369</v>
      </c>
      <c r="F981" s="495">
        <v>595.12599999999998</v>
      </c>
      <c r="G981" s="496">
        <v>0.54959999999999998</v>
      </c>
      <c r="H981" s="497">
        <v>0.111</v>
      </c>
      <c r="I981" s="495">
        <v>0.61</v>
      </c>
      <c r="J981" s="496">
        <v>363.02</v>
      </c>
      <c r="K981" s="498">
        <v>1.2833845047639993E-5</v>
      </c>
    </row>
    <row r="982" spans="1:11" ht="39" customHeight="1" x14ac:dyDescent="0.3">
      <c r="A982" s="493" t="s">
        <v>1322</v>
      </c>
      <c r="B982" s="493" t="s">
        <v>592</v>
      </c>
      <c r="C982" s="493" t="s">
        <v>32</v>
      </c>
      <c r="D982" s="494" t="s">
        <v>4444</v>
      </c>
      <c r="E982" s="493" t="s">
        <v>194</v>
      </c>
      <c r="F982" s="495">
        <v>1552.82</v>
      </c>
      <c r="G982" s="496">
        <v>48.36</v>
      </c>
      <c r="H982" s="497">
        <v>0.2122</v>
      </c>
      <c r="I982" s="495">
        <v>58.62</v>
      </c>
      <c r="J982" s="496">
        <v>91026.3</v>
      </c>
      <c r="K982" s="498">
        <v>3.2180525300534199E-3</v>
      </c>
    </row>
    <row r="983" spans="1:11" ht="24" customHeight="1" x14ac:dyDescent="0.3">
      <c r="A983" s="489" t="s">
        <v>1323</v>
      </c>
      <c r="B983" s="489" t="s">
        <v>1328</v>
      </c>
      <c r="C983" s="489" t="s">
        <v>1328</v>
      </c>
      <c r="D983" s="490" t="s">
        <v>594</v>
      </c>
      <c r="E983" s="490" t="s">
        <v>1328</v>
      </c>
      <c r="F983" s="499"/>
      <c r="G983" s="490"/>
      <c r="H983" s="489"/>
      <c r="I983" s="500"/>
      <c r="J983" s="357">
        <v>150443.09</v>
      </c>
      <c r="K983" s="492">
        <v>5.3186141412268134E-3</v>
      </c>
    </row>
    <row r="984" spans="1:11" ht="39" customHeight="1" x14ac:dyDescent="0.3">
      <c r="A984" s="493" t="s">
        <v>1324</v>
      </c>
      <c r="B984" s="493" t="s">
        <v>596</v>
      </c>
      <c r="C984" s="493" t="s">
        <v>125</v>
      </c>
      <c r="D984" s="494" t="s">
        <v>4238</v>
      </c>
      <c r="E984" s="493" t="s">
        <v>1332</v>
      </c>
      <c r="F984" s="495">
        <v>1.77</v>
      </c>
      <c r="G984" s="496">
        <v>501.28</v>
      </c>
      <c r="H984" s="497">
        <v>0.2122</v>
      </c>
      <c r="I984" s="495">
        <v>607.65</v>
      </c>
      <c r="J984" s="496">
        <v>1075.54</v>
      </c>
      <c r="K984" s="498">
        <v>3.8023562620623435E-5</v>
      </c>
    </row>
    <row r="985" spans="1:11" ht="39" customHeight="1" x14ac:dyDescent="0.3">
      <c r="A985" s="493" t="s">
        <v>1325</v>
      </c>
      <c r="B985" s="493" t="s">
        <v>599</v>
      </c>
      <c r="C985" s="493" t="s">
        <v>125</v>
      </c>
      <c r="D985" s="494" t="s">
        <v>4451</v>
      </c>
      <c r="E985" s="493" t="s">
        <v>89</v>
      </c>
      <c r="F985" s="495">
        <v>8</v>
      </c>
      <c r="G985" s="496">
        <v>509.43</v>
      </c>
      <c r="H985" s="497">
        <v>0.2122</v>
      </c>
      <c r="I985" s="495">
        <v>617.53</v>
      </c>
      <c r="J985" s="496">
        <v>4940.24</v>
      </c>
      <c r="K985" s="498">
        <v>1.7465229094306927E-4</v>
      </c>
    </row>
    <row r="986" spans="1:11" ht="39" customHeight="1" x14ac:dyDescent="0.3">
      <c r="A986" s="493" t="s">
        <v>1326</v>
      </c>
      <c r="B986" s="493" t="s">
        <v>602</v>
      </c>
      <c r="C986" s="493" t="s">
        <v>125</v>
      </c>
      <c r="D986" s="494" t="s">
        <v>4239</v>
      </c>
      <c r="E986" s="493" t="s">
        <v>1332</v>
      </c>
      <c r="F986" s="495">
        <v>2500.04</v>
      </c>
      <c r="G986" s="496">
        <v>47.66</v>
      </c>
      <c r="H986" s="497">
        <v>0.2122</v>
      </c>
      <c r="I986" s="495">
        <v>57.77</v>
      </c>
      <c r="J986" s="496">
        <v>144427.31</v>
      </c>
      <c r="K986" s="498">
        <v>5.1059382876631207E-3</v>
      </c>
    </row>
    <row r="987" spans="1:11" ht="24" customHeight="1" x14ac:dyDescent="0.3">
      <c r="A987" s="489">
        <v>8</v>
      </c>
      <c r="B987" s="489" t="s">
        <v>1328</v>
      </c>
      <c r="C987" s="489" t="s">
        <v>1328</v>
      </c>
      <c r="D987" s="490" t="s">
        <v>1327</v>
      </c>
      <c r="E987" s="490" t="s">
        <v>1328</v>
      </c>
      <c r="F987" s="499"/>
      <c r="G987" s="490"/>
      <c r="H987" s="489"/>
      <c r="I987" s="500"/>
      <c r="J987" s="357">
        <v>5896577.919999999</v>
      </c>
      <c r="K987" s="492">
        <v>0.20846170276187351</v>
      </c>
    </row>
    <row r="988" spans="1:11" ht="24" customHeight="1" x14ac:dyDescent="0.3">
      <c r="A988" s="489" t="s">
        <v>1329</v>
      </c>
      <c r="B988" s="489" t="s">
        <v>1328</v>
      </c>
      <c r="C988" s="489" t="s">
        <v>1328</v>
      </c>
      <c r="D988" s="490" t="s">
        <v>1330</v>
      </c>
      <c r="E988" s="490" t="s">
        <v>1328</v>
      </c>
      <c r="F988" s="499"/>
      <c r="G988" s="490"/>
      <c r="H988" s="489"/>
      <c r="I988" s="500"/>
      <c r="J988" s="357">
        <v>246014.65</v>
      </c>
      <c r="K988" s="492">
        <v>8.6973552353847901E-3</v>
      </c>
    </row>
    <row r="989" spans="1:11" ht="39" customHeight="1" x14ac:dyDescent="0.3">
      <c r="A989" s="493" t="s">
        <v>1331</v>
      </c>
      <c r="B989" s="493" t="s">
        <v>145</v>
      </c>
      <c r="C989" s="493" t="s">
        <v>32</v>
      </c>
      <c r="D989" s="494" t="s">
        <v>4405</v>
      </c>
      <c r="E989" s="493" t="s">
        <v>1332</v>
      </c>
      <c r="F989" s="495">
        <v>5950</v>
      </c>
      <c r="G989" s="496">
        <v>0.65</v>
      </c>
      <c r="H989" s="497">
        <v>0.2122</v>
      </c>
      <c r="I989" s="495">
        <v>0.79</v>
      </c>
      <c r="J989" s="496">
        <v>4700.5</v>
      </c>
      <c r="K989" s="498">
        <v>1.6617676339163626E-4</v>
      </c>
    </row>
    <row r="990" spans="1:11" ht="39" customHeight="1" x14ac:dyDescent="0.3">
      <c r="A990" s="493" t="s">
        <v>16990</v>
      </c>
      <c r="B990" s="493" t="s">
        <v>116</v>
      </c>
      <c r="C990" s="493" t="s">
        <v>32</v>
      </c>
      <c r="D990" s="494" t="s">
        <v>117</v>
      </c>
      <c r="E990" s="493" t="s">
        <v>268</v>
      </c>
      <c r="F990" s="495">
        <v>1785</v>
      </c>
      <c r="G990" s="496">
        <v>8.81</v>
      </c>
      <c r="H990" s="497">
        <v>0.2122</v>
      </c>
      <c r="I990" s="495">
        <v>10.68</v>
      </c>
      <c r="J990" s="496">
        <v>19063.8</v>
      </c>
      <c r="K990" s="498">
        <v>6.7396246823645889E-4</v>
      </c>
    </row>
    <row r="991" spans="1:11" ht="39" customHeight="1" x14ac:dyDescent="0.3">
      <c r="A991" s="493" t="s">
        <v>16991</v>
      </c>
      <c r="B991" s="493" t="s">
        <v>119</v>
      </c>
      <c r="C991" s="493" t="s">
        <v>32</v>
      </c>
      <c r="D991" s="494" t="s">
        <v>120</v>
      </c>
      <c r="E991" s="493" t="s">
        <v>121</v>
      </c>
      <c r="F991" s="495">
        <v>53550</v>
      </c>
      <c r="G991" s="496">
        <v>2.1</v>
      </c>
      <c r="H991" s="497">
        <v>0.2122</v>
      </c>
      <c r="I991" s="495">
        <v>2.5499999999999998</v>
      </c>
      <c r="J991" s="496">
        <v>136552.5</v>
      </c>
      <c r="K991" s="498">
        <v>4.8275401516937365E-3</v>
      </c>
    </row>
    <row r="992" spans="1:11" ht="39" customHeight="1" x14ac:dyDescent="0.3">
      <c r="A992" s="493" t="s">
        <v>16992</v>
      </c>
      <c r="B992" s="493" t="s">
        <v>122</v>
      </c>
      <c r="C992" s="493" t="s">
        <v>32</v>
      </c>
      <c r="D992" s="494" t="s">
        <v>123</v>
      </c>
      <c r="E992" s="493" t="s">
        <v>121</v>
      </c>
      <c r="F992" s="495">
        <v>80325</v>
      </c>
      <c r="G992" s="496">
        <v>0.85</v>
      </c>
      <c r="H992" s="497">
        <v>0.2122</v>
      </c>
      <c r="I992" s="495">
        <v>1.03</v>
      </c>
      <c r="J992" s="496">
        <v>82734.75</v>
      </c>
      <c r="K992" s="498">
        <v>2.9249213860262054E-3</v>
      </c>
    </row>
    <row r="993" spans="1:11" ht="39" customHeight="1" x14ac:dyDescent="0.3">
      <c r="A993" s="493" t="s">
        <v>16993</v>
      </c>
      <c r="B993" s="493" t="s">
        <v>324</v>
      </c>
      <c r="C993" s="493" t="s">
        <v>32</v>
      </c>
      <c r="D993" s="494" t="s">
        <v>4422</v>
      </c>
      <c r="E993" s="493" t="s">
        <v>268</v>
      </c>
      <c r="F993" s="495">
        <v>1785</v>
      </c>
      <c r="G993" s="496">
        <v>1.37</v>
      </c>
      <c r="H993" s="497">
        <v>0.2122</v>
      </c>
      <c r="I993" s="495">
        <v>1.66</v>
      </c>
      <c r="J993" s="496">
        <v>2963.1</v>
      </c>
      <c r="K993" s="498">
        <v>1.0475446603675298E-4</v>
      </c>
    </row>
    <row r="994" spans="1:11" ht="24" customHeight="1" x14ac:dyDescent="0.3">
      <c r="A994" s="489" t="s">
        <v>1333</v>
      </c>
      <c r="B994" s="489" t="s">
        <v>1328</v>
      </c>
      <c r="C994" s="489" t="s">
        <v>1328</v>
      </c>
      <c r="D994" s="490" t="s">
        <v>1334</v>
      </c>
      <c r="E994" s="490" t="s">
        <v>1328</v>
      </c>
      <c r="F994" s="502"/>
      <c r="G994" s="490"/>
      <c r="H994" s="489"/>
      <c r="I994" s="504"/>
      <c r="J994" s="502">
        <v>2871138.76</v>
      </c>
      <c r="K994" s="492">
        <v>0.10150336057548684</v>
      </c>
    </row>
    <row r="995" spans="1:11" ht="39" customHeight="1" x14ac:dyDescent="0.3">
      <c r="A995" s="493" t="s">
        <v>1335</v>
      </c>
      <c r="B995" s="493" t="s">
        <v>1336</v>
      </c>
      <c r="C995" s="493" t="s">
        <v>125</v>
      </c>
      <c r="D995" s="494" t="s">
        <v>1337</v>
      </c>
      <c r="E995" s="493" t="s">
        <v>268</v>
      </c>
      <c r="F995" s="495">
        <v>24527.94</v>
      </c>
      <c r="G995" s="496">
        <v>17.829999999999998</v>
      </c>
      <c r="H995" s="497">
        <v>0.2122</v>
      </c>
      <c r="I995" s="495">
        <v>21.61</v>
      </c>
      <c r="J995" s="496">
        <v>530048.78</v>
      </c>
      <c r="K995" s="498">
        <v>1.8738813041184015E-2</v>
      </c>
    </row>
    <row r="996" spans="1:11" ht="39" customHeight="1" x14ac:dyDescent="0.3">
      <c r="A996" s="493" t="s">
        <v>16994</v>
      </c>
      <c r="B996" s="493" t="s">
        <v>119</v>
      </c>
      <c r="C996" s="493" t="s">
        <v>32</v>
      </c>
      <c r="D996" s="494" t="s">
        <v>120</v>
      </c>
      <c r="E996" s="493" t="s">
        <v>121</v>
      </c>
      <c r="F996" s="495">
        <v>758616.32999999984</v>
      </c>
      <c r="G996" s="496">
        <v>2.1</v>
      </c>
      <c r="H996" s="497">
        <v>0.2122</v>
      </c>
      <c r="I996" s="495">
        <v>2.5499999999999998</v>
      </c>
      <c r="J996" s="496">
        <v>1934471.64</v>
      </c>
      <c r="K996" s="498">
        <v>6.8389370494226262E-2</v>
      </c>
    </row>
    <row r="997" spans="1:11" ht="39" customHeight="1" x14ac:dyDescent="0.3">
      <c r="A997" s="493" t="s">
        <v>16995</v>
      </c>
      <c r="B997" s="493" t="s">
        <v>122</v>
      </c>
      <c r="C997" s="493" t="s">
        <v>32</v>
      </c>
      <c r="D997" s="494" t="s">
        <v>123</v>
      </c>
      <c r="E997" s="493" t="s">
        <v>121</v>
      </c>
      <c r="F997" s="495">
        <v>354020.95399999991</v>
      </c>
      <c r="G997" s="496">
        <v>0.85</v>
      </c>
      <c r="H997" s="497">
        <v>0.2122</v>
      </c>
      <c r="I997" s="495">
        <v>1.03</v>
      </c>
      <c r="J997" s="496">
        <v>364641.58</v>
      </c>
      <c r="K997" s="498">
        <v>1.2891172760857867E-2</v>
      </c>
    </row>
    <row r="998" spans="1:11" ht="39" customHeight="1" x14ac:dyDescent="0.3">
      <c r="A998" s="493" t="s">
        <v>16996</v>
      </c>
      <c r="B998" s="493" t="s">
        <v>324</v>
      </c>
      <c r="C998" s="493" t="s">
        <v>32</v>
      </c>
      <c r="D998" s="494" t="s">
        <v>4422</v>
      </c>
      <c r="E998" s="493" t="s">
        <v>268</v>
      </c>
      <c r="F998" s="495">
        <v>25287.21</v>
      </c>
      <c r="G998" s="496">
        <v>1.37</v>
      </c>
      <c r="H998" s="497">
        <v>0.2122</v>
      </c>
      <c r="I998" s="495">
        <v>1.66</v>
      </c>
      <c r="J998" s="496">
        <v>41976.76</v>
      </c>
      <c r="K998" s="498">
        <v>1.4840042792187004E-3</v>
      </c>
    </row>
    <row r="999" spans="1:11" ht="24" customHeight="1" x14ac:dyDescent="0.3">
      <c r="A999" s="489" t="s">
        <v>1338</v>
      </c>
      <c r="B999" s="489" t="s">
        <v>1328</v>
      </c>
      <c r="C999" s="489" t="s">
        <v>1328</v>
      </c>
      <c r="D999" s="490" t="s">
        <v>1339</v>
      </c>
      <c r="E999" s="490" t="s">
        <v>1328</v>
      </c>
      <c r="F999" s="502"/>
      <c r="G999" s="490"/>
      <c r="H999" s="489"/>
      <c r="I999" s="504"/>
      <c r="J999" s="502">
        <v>43068.82</v>
      </c>
      <c r="K999" s="492">
        <v>1.5226118733532542E-3</v>
      </c>
    </row>
    <row r="1000" spans="1:11" ht="39" customHeight="1" x14ac:dyDescent="0.3">
      <c r="A1000" s="493" t="s">
        <v>1340</v>
      </c>
      <c r="B1000" s="493" t="s">
        <v>569</v>
      </c>
      <c r="C1000" s="493" t="s">
        <v>32</v>
      </c>
      <c r="D1000" s="494" t="s">
        <v>4443</v>
      </c>
      <c r="E1000" s="493" t="s">
        <v>268</v>
      </c>
      <c r="F1000" s="495">
        <v>2919.92</v>
      </c>
      <c r="G1000" s="496">
        <v>12.17</v>
      </c>
      <c r="H1000" s="497">
        <v>0.2122</v>
      </c>
      <c r="I1000" s="495">
        <v>14.75</v>
      </c>
      <c r="J1000" s="496">
        <v>43068.82</v>
      </c>
      <c r="K1000" s="498">
        <v>1.5226118733532542E-3</v>
      </c>
    </row>
    <row r="1001" spans="1:11" ht="24" customHeight="1" x14ac:dyDescent="0.3">
      <c r="A1001" s="489" t="s">
        <v>1341</v>
      </c>
      <c r="B1001" s="489" t="s">
        <v>1328</v>
      </c>
      <c r="C1001" s="489" t="s">
        <v>1328</v>
      </c>
      <c r="D1001" s="490" t="s">
        <v>1342</v>
      </c>
      <c r="E1001" s="490" t="s">
        <v>1328</v>
      </c>
      <c r="F1001" s="502"/>
      <c r="G1001" s="490"/>
      <c r="H1001" s="489"/>
      <c r="I1001" s="504"/>
      <c r="J1001" s="502">
        <v>2462259.65</v>
      </c>
      <c r="K1001" s="492">
        <v>8.7048258539904916E-2</v>
      </c>
    </row>
    <row r="1002" spans="1:11" ht="39" customHeight="1" x14ac:dyDescent="0.3">
      <c r="A1002" s="493" t="s">
        <v>1343</v>
      </c>
      <c r="B1002" s="493" t="s">
        <v>1344</v>
      </c>
      <c r="C1002" s="493" t="s">
        <v>125</v>
      </c>
      <c r="D1002" s="494" t="s">
        <v>1345</v>
      </c>
      <c r="E1002" s="493" t="s">
        <v>268</v>
      </c>
      <c r="F1002" s="495">
        <v>16.5</v>
      </c>
      <c r="G1002" s="496">
        <v>1035.27</v>
      </c>
      <c r="H1002" s="497">
        <v>0.2122</v>
      </c>
      <c r="I1002" s="495">
        <v>1254.95</v>
      </c>
      <c r="J1002" s="496">
        <v>20706.669999999998</v>
      </c>
      <c r="K1002" s="498">
        <v>7.320428467649596E-4</v>
      </c>
    </row>
    <row r="1003" spans="1:11" ht="39" customHeight="1" x14ac:dyDescent="0.3">
      <c r="A1003" s="493" t="s">
        <v>16997</v>
      </c>
      <c r="B1003" s="493" t="s">
        <v>1346</v>
      </c>
      <c r="C1003" s="493" t="s">
        <v>125</v>
      </c>
      <c r="D1003" s="494" t="s">
        <v>1347</v>
      </c>
      <c r="E1003" s="493" t="s">
        <v>268</v>
      </c>
      <c r="F1003" s="495">
        <v>963.45</v>
      </c>
      <c r="G1003" s="496">
        <v>789.58</v>
      </c>
      <c r="H1003" s="497">
        <v>0.2122</v>
      </c>
      <c r="I1003" s="495">
        <v>957.13</v>
      </c>
      <c r="J1003" s="496">
        <v>922146.89</v>
      </c>
      <c r="K1003" s="498">
        <v>3.2600656430563389E-2</v>
      </c>
    </row>
    <row r="1004" spans="1:11" ht="39" customHeight="1" x14ac:dyDescent="0.3">
      <c r="A1004" s="493" t="s">
        <v>16998</v>
      </c>
      <c r="B1004" s="493" t="s">
        <v>1348</v>
      </c>
      <c r="C1004" s="493" t="s">
        <v>125</v>
      </c>
      <c r="D1004" s="494" t="s">
        <v>1349</v>
      </c>
      <c r="E1004" s="493" t="s">
        <v>1332</v>
      </c>
      <c r="F1004" s="495">
        <v>131.69799999999998</v>
      </c>
      <c r="G1004" s="496">
        <v>284.33999999999997</v>
      </c>
      <c r="H1004" s="497">
        <v>0.2122</v>
      </c>
      <c r="I1004" s="495">
        <v>344.68</v>
      </c>
      <c r="J1004" s="496">
        <v>45393.66</v>
      </c>
      <c r="K1004" s="498">
        <v>1.6048019353899338E-3</v>
      </c>
    </row>
    <row r="1005" spans="1:11" ht="39" customHeight="1" x14ac:dyDescent="0.3">
      <c r="A1005" s="493" t="s">
        <v>16999</v>
      </c>
      <c r="B1005" s="493" t="s">
        <v>1350</v>
      </c>
      <c r="C1005" s="493" t="s">
        <v>125</v>
      </c>
      <c r="D1005" s="494" t="s">
        <v>1351</v>
      </c>
      <c r="E1005" s="493" t="s">
        <v>268</v>
      </c>
      <c r="F1005" s="495">
        <v>2362.9850000000001</v>
      </c>
      <c r="G1005" s="496">
        <v>39.78</v>
      </c>
      <c r="H1005" s="497">
        <v>0.2122</v>
      </c>
      <c r="I1005" s="495">
        <v>48.22</v>
      </c>
      <c r="J1005" s="496">
        <v>113943.13</v>
      </c>
      <c r="K1005" s="498">
        <v>4.0282311571348687E-3</v>
      </c>
    </row>
    <row r="1006" spans="1:11" ht="39" customHeight="1" x14ac:dyDescent="0.3">
      <c r="A1006" s="493" t="s">
        <v>17000</v>
      </c>
      <c r="B1006" s="493" t="s">
        <v>1352</v>
      </c>
      <c r="C1006" s="493" t="s">
        <v>125</v>
      </c>
      <c r="D1006" s="494" t="s">
        <v>1353</v>
      </c>
      <c r="E1006" s="493" t="s">
        <v>268</v>
      </c>
      <c r="F1006" s="495">
        <v>4285.5358499999993</v>
      </c>
      <c r="G1006" s="496">
        <v>130.54</v>
      </c>
      <c r="H1006" s="497">
        <v>0.2122</v>
      </c>
      <c r="I1006" s="495">
        <v>158.24</v>
      </c>
      <c r="J1006" s="496">
        <v>678143.19</v>
      </c>
      <c r="K1006" s="498">
        <v>2.397439430492063E-2</v>
      </c>
    </row>
    <row r="1007" spans="1:11" ht="39" customHeight="1" x14ac:dyDescent="0.3">
      <c r="A1007" s="493" t="s">
        <v>17001</v>
      </c>
      <c r="B1007" s="493" t="s">
        <v>1354</v>
      </c>
      <c r="C1007" s="493" t="s">
        <v>125</v>
      </c>
      <c r="D1007" s="494" t="s">
        <v>1355</v>
      </c>
      <c r="E1007" s="493" t="s">
        <v>268</v>
      </c>
      <c r="F1007" s="495">
        <v>1.1959999999999993</v>
      </c>
      <c r="G1007" s="496">
        <v>436.27</v>
      </c>
      <c r="H1007" s="497">
        <v>0.2122</v>
      </c>
      <c r="I1007" s="495">
        <v>528.85</v>
      </c>
      <c r="J1007" s="496">
        <v>632.5</v>
      </c>
      <c r="K1007" s="498">
        <v>2.2360770736136567E-5</v>
      </c>
    </row>
    <row r="1008" spans="1:11" ht="39" customHeight="1" x14ac:dyDescent="0.3">
      <c r="A1008" s="493" t="s">
        <v>17002</v>
      </c>
      <c r="B1008" s="493" t="s">
        <v>1356</v>
      </c>
      <c r="C1008" s="493" t="s">
        <v>221</v>
      </c>
      <c r="D1008" s="494" t="s">
        <v>1357</v>
      </c>
      <c r="E1008" s="493" t="s">
        <v>1332</v>
      </c>
      <c r="F1008" s="495">
        <v>4807.18</v>
      </c>
      <c r="G1008" s="496">
        <v>16.190000000000001</v>
      </c>
      <c r="H1008" s="497">
        <v>0.2122</v>
      </c>
      <c r="I1008" s="495">
        <v>19.63</v>
      </c>
      <c r="J1008" s="496">
        <v>94364.94</v>
      </c>
      <c r="K1008" s="498">
        <v>3.3360834606628981E-3</v>
      </c>
    </row>
    <row r="1009" spans="1:11" ht="39" customHeight="1" x14ac:dyDescent="0.3">
      <c r="A1009" s="493" t="s">
        <v>17003</v>
      </c>
      <c r="B1009" s="493" t="s">
        <v>1358</v>
      </c>
      <c r="C1009" s="493" t="s">
        <v>221</v>
      </c>
      <c r="D1009" s="494" t="s">
        <v>1359</v>
      </c>
      <c r="E1009" s="493" t="s">
        <v>1332</v>
      </c>
      <c r="F1009" s="495">
        <v>8864.1</v>
      </c>
      <c r="G1009" s="496">
        <v>24.25</v>
      </c>
      <c r="H1009" s="497">
        <v>0.2122</v>
      </c>
      <c r="I1009" s="495">
        <v>29.4</v>
      </c>
      <c r="J1009" s="496">
        <v>260604.54</v>
      </c>
      <c r="K1009" s="498">
        <v>9.2131515758677174E-3</v>
      </c>
    </row>
    <row r="1010" spans="1:11" ht="39" customHeight="1" x14ac:dyDescent="0.3">
      <c r="A1010" s="493" t="s">
        <v>17004</v>
      </c>
      <c r="B1010" s="493" t="s">
        <v>1360</v>
      </c>
      <c r="C1010" s="493" t="s">
        <v>125</v>
      </c>
      <c r="D1010" s="494" t="s">
        <v>1361</v>
      </c>
      <c r="E1010" s="493" t="s">
        <v>1332</v>
      </c>
      <c r="F1010" s="495">
        <v>8025.59</v>
      </c>
      <c r="G1010" s="496">
        <v>30.77</v>
      </c>
      <c r="H1010" s="497">
        <v>0.2122</v>
      </c>
      <c r="I1010" s="495">
        <v>37.299999999999997</v>
      </c>
      <c r="J1010" s="496">
        <v>299354.5</v>
      </c>
      <c r="K1010" s="498">
        <v>1.058307880368505E-2</v>
      </c>
    </row>
    <row r="1011" spans="1:11" ht="39" customHeight="1" x14ac:dyDescent="0.3">
      <c r="A1011" s="493" t="s">
        <v>17005</v>
      </c>
      <c r="B1011" s="493" t="s">
        <v>584</v>
      </c>
      <c r="C1011" s="493" t="s">
        <v>125</v>
      </c>
      <c r="D1011" s="494" t="s">
        <v>1362</v>
      </c>
      <c r="E1011" s="493" t="s">
        <v>1332</v>
      </c>
      <c r="F1011" s="495">
        <v>2143.85</v>
      </c>
      <c r="G1011" s="496">
        <v>10.38</v>
      </c>
      <c r="H1011" s="497">
        <v>0.2122</v>
      </c>
      <c r="I1011" s="495">
        <v>12.58</v>
      </c>
      <c r="J1011" s="496">
        <v>26969.63</v>
      </c>
      <c r="K1011" s="498">
        <v>9.534572541793373E-4</v>
      </c>
    </row>
    <row r="1012" spans="1:11" ht="24" customHeight="1" x14ac:dyDescent="0.3">
      <c r="A1012" s="489" t="s">
        <v>1363</v>
      </c>
      <c r="B1012" s="489" t="s">
        <v>1328</v>
      </c>
      <c r="C1012" s="489" t="s">
        <v>1328</v>
      </c>
      <c r="D1012" s="490" t="s">
        <v>1364</v>
      </c>
      <c r="E1012" s="490" t="s">
        <v>1328</v>
      </c>
      <c r="F1012" s="502"/>
      <c r="G1012" s="490"/>
      <c r="H1012" s="489"/>
      <c r="I1012" s="504"/>
      <c r="J1012" s="502">
        <v>68295.510000000009</v>
      </c>
      <c r="K1012" s="492">
        <v>2.4144509745731581E-3</v>
      </c>
    </row>
    <row r="1013" spans="1:11" ht="39" customHeight="1" x14ac:dyDescent="0.3">
      <c r="A1013" s="493" t="s">
        <v>1365</v>
      </c>
      <c r="B1013" s="493" t="s">
        <v>1366</v>
      </c>
      <c r="C1013" s="493" t="s">
        <v>32</v>
      </c>
      <c r="D1013" s="494" t="s">
        <v>1367</v>
      </c>
      <c r="E1013" s="493" t="s">
        <v>268</v>
      </c>
      <c r="F1013" s="495">
        <v>19.05</v>
      </c>
      <c r="G1013" s="496">
        <v>542.6</v>
      </c>
      <c r="H1013" s="497">
        <v>0.2122</v>
      </c>
      <c r="I1013" s="495">
        <v>657.74</v>
      </c>
      <c r="J1013" s="496">
        <v>12529.94</v>
      </c>
      <c r="K1013" s="498">
        <v>4.4297093387754468E-4</v>
      </c>
    </row>
    <row r="1014" spans="1:11" ht="39" customHeight="1" x14ac:dyDescent="0.3">
      <c r="A1014" s="493" t="s">
        <v>17006</v>
      </c>
      <c r="B1014" s="493" t="s">
        <v>180</v>
      </c>
      <c r="C1014" s="493" t="s">
        <v>32</v>
      </c>
      <c r="D1014" s="494" t="s">
        <v>181</v>
      </c>
      <c r="E1014" s="493" t="s">
        <v>268</v>
      </c>
      <c r="F1014" s="495">
        <v>19.05</v>
      </c>
      <c r="G1014" s="496">
        <v>326.63</v>
      </c>
      <c r="H1014" s="497">
        <v>0.2122</v>
      </c>
      <c r="I1014" s="495">
        <v>395.94</v>
      </c>
      <c r="J1014" s="496">
        <v>7542.65</v>
      </c>
      <c r="K1014" s="498">
        <v>2.6665528441568455E-4</v>
      </c>
    </row>
    <row r="1015" spans="1:11" ht="39" customHeight="1" x14ac:dyDescent="0.3">
      <c r="A1015" s="493" t="s">
        <v>17007</v>
      </c>
      <c r="B1015" s="493" t="s">
        <v>533</v>
      </c>
      <c r="C1015" s="493" t="s">
        <v>125</v>
      </c>
      <c r="D1015" s="494" t="s">
        <v>1368</v>
      </c>
      <c r="E1015" s="493" t="s">
        <v>1332</v>
      </c>
      <c r="F1015" s="495">
        <v>190.5</v>
      </c>
      <c r="G1015" s="496">
        <v>77.569999999999993</v>
      </c>
      <c r="H1015" s="497">
        <v>0.2122</v>
      </c>
      <c r="I1015" s="495">
        <v>94.03</v>
      </c>
      <c r="J1015" s="496">
        <v>17912.71</v>
      </c>
      <c r="K1015" s="498">
        <v>6.33267986676523E-4</v>
      </c>
    </row>
    <row r="1016" spans="1:11" ht="39" customHeight="1" x14ac:dyDescent="0.3">
      <c r="A1016" s="493" t="s">
        <v>17008</v>
      </c>
      <c r="B1016" s="493" t="s">
        <v>503</v>
      </c>
      <c r="C1016" s="493" t="s">
        <v>125</v>
      </c>
      <c r="D1016" s="494" t="s">
        <v>537</v>
      </c>
      <c r="E1016" s="493" t="s">
        <v>1369</v>
      </c>
      <c r="F1016" s="495">
        <v>2057.7199999999998</v>
      </c>
      <c r="G1016" s="496">
        <v>12.15</v>
      </c>
      <c r="H1016" s="497">
        <v>0.2122</v>
      </c>
      <c r="I1016" s="495">
        <v>14.73</v>
      </c>
      <c r="J1016" s="496">
        <v>30310.21</v>
      </c>
      <c r="K1016" s="498">
        <v>1.0715567696034053E-3</v>
      </c>
    </row>
    <row r="1017" spans="1:11" ht="24" customHeight="1" x14ac:dyDescent="0.3">
      <c r="A1017" s="489" t="s">
        <v>1370</v>
      </c>
      <c r="B1017" s="489" t="s">
        <v>1328</v>
      </c>
      <c r="C1017" s="489" t="s">
        <v>1328</v>
      </c>
      <c r="D1017" s="490" t="s">
        <v>1371</v>
      </c>
      <c r="E1017" s="490" t="s">
        <v>1328</v>
      </c>
      <c r="F1017" s="502"/>
      <c r="G1017" s="490"/>
      <c r="H1017" s="489"/>
      <c r="I1017" s="504"/>
      <c r="J1017" s="502">
        <v>83114.799999999988</v>
      </c>
      <c r="K1017" s="492">
        <v>2.938357292616353E-3</v>
      </c>
    </row>
    <row r="1018" spans="1:11" ht="39" customHeight="1" x14ac:dyDescent="0.3">
      <c r="A1018" s="493" t="s">
        <v>1372</v>
      </c>
      <c r="B1018" s="493" t="s">
        <v>1354</v>
      </c>
      <c r="C1018" s="493" t="s">
        <v>125</v>
      </c>
      <c r="D1018" s="494" t="s">
        <v>1355</v>
      </c>
      <c r="E1018" s="493" t="s">
        <v>268</v>
      </c>
      <c r="F1018" s="495">
        <v>1.2740000000000002</v>
      </c>
      <c r="G1018" s="496">
        <v>436.27</v>
      </c>
      <c r="H1018" s="497">
        <v>0.2122</v>
      </c>
      <c r="I1018" s="495">
        <v>528.85</v>
      </c>
      <c r="J1018" s="496">
        <v>673.75</v>
      </c>
      <c r="K1018" s="498">
        <v>2.3819081871101993E-5</v>
      </c>
    </row>
    <row r="1019" spans="1:11" ht="39" customHeight="1" x14ac:dyDescent="0.3">
      <c r="A1019" s="493" t="s">
        <v>17009</v>
      </c>
      <c r="B1019" s="493" t="s">
        <v>1366</v>
      </c>
      <c r="C1019" s="493" t="s">
        <v>32</v>
      </c>
      <c r="D1019" s="494" t="s">
        <v>1367</v>
      </c>
      <c r="E1019" s="493" t="s">
        <v>268</v>
      </c>
      <c r="F1019" s="495">
        <v>18.078000000000003</v>
      </c>
      <c r="G1019" s="496">
        <v>542.6</v>
      </c>
      <c r="H1019" s="497">
        <v>0.2122</v>
      </c>
      <c r="I1019" s="495">
        <v>657.74</v>
      </c>
      <c r="J1019" s="496">
        <v>11890.62</v>
      </c>
      <c r="K1019" s="498">
        <v>4.2036905570042721E-4</v>
      </c>
    </row>
    <row r="1020" spans="1:11" ht="39" customHeight="1" x14ac:dyDescent="0.3">
      <c r="A1020" s="493" t="s">
        <v>17010</v>
      </c>
      <c r="B1020" s="493" t="s">
        <v>180</v>
      </c>
      <c r="C1020" s="493" t="s">
        <v>32</v>
      </c>
      <c r="D1020" s="494" t="s">
        <v>181</v>
      </c>
      <c r="E1020" s="493" t="s">
        <v>268</v>
      </c>
      <c r="F1020" s="495">
        <v>19.352000000000004</v>
      </c>
      <c r="G1020" s="496">
        <v>326.63</v>
      </c>
      <c r="H1020" s="497">
        <v>0.2122</v>
      </c>
      <c r="I1020" s="495">
        <v>395.94</v>
      </c>
      <c r="J1020" s="496">
        <v>7662.23</v>
      </c>
      <c r="K1020" s="498">
        <v>2.7088279582220974E-4</v>
      </c>
    </row>
    <row r="1021" spans="1:11" ht="39" customHeight="1" x14ac:dyDescent="0.3">
      <c r="A1021" s="493" t="s">
        <v>17011</v>
      </c>
      <c r="B1021" s="493" t="s">
        <v>533</v>
      </c>
      <c r="C1021" s="493" t="s">
        <v>125</v>
      </c>
      <c r="D1021" s="494" t="s">
        <v>1368</v>
      </c>
      <c r="E1021" s="493" t="s">
        <v>1332</v>
      </c>
      <c r="F1021" s="495">
        <v>90.594999999999999</v>
      </c>
      <c r="G1021" s="496">
        <v>77.569999999999993</v>
      </c>
      <c r="H1021" s="497">
        <v>0.2122</v>
      </c>
      <c r="I1021" s="495">
        <v>94.03</v>
      </c>
      <c r="J1021" s="496">
        <v>8518.64</v>
      </c>
      <c r="K1021" s="498">
        <v>3.0115945616392473E-4</v>
      </c>
    </row>
    <row r="1022" spans="1:11" ht="39" customHeight="1" x14ac:dyDescent="0.3">
      <c r="A1022" s="493" t="s">
        <v>17012</v>
      </c>
      <c r="B1022" s="493" t="s">
        <v>503</v>
      </c>
      <c r="C1022" s="493" t="s">
        <v>125</v>
      </c>
      <c r="D1022" s="494" t="s">
        <v>537</v>
      </c>
      <c r="E1022" s="493" t="s">
        <v>1369</v>
      </c>
      <c r="F1022" s="495">
        <v>1656</v>
      </c>
      <c r="G1022" s="496">
        <v>12.15</v>
      </c>
      <c r="H1022" s="497">
        <v>0.2122</v>
      </c>
      <c r="I1022" s="495">
        <v>14.73</v>
      </c>
      <c r="J1022" s="496">
        <v>24392.880000000001</v>
      </c>
      <c r="K1022" s="498">
        <v>8.6236141861516355E-4</v>
      </c>
    </row>
    <row r="1023" spans="1:11" ht="39" customHeight="1" x14ac:dyDescent="0.3">
      <c r="A1023" s="493" t="s">
        <v>17013</v>
      </c>
      <c r="B1023" s="493" t="s">
        <v>414</v>
      </c>
      <c r="C1023" s="493" t="s">
        <v>32</v>
      </c>
      <c r="D1023" s="494" t="s">
        <v>415</v>
      </c>
      <c r="E1023" s="493" t="s">
        <v>416</v>
      </c>
      <c r="F1023" s="495">
        <v>519.67999999999995</v>
      </c>
      <c r="G1023" s="496">
        <v>2.71</v>
      </c>
      <c r="H1023" s="497">
        <v>0.2122</v>
      </c>
      <c r="I1023" s="495">
        <v>3.29</v>
      </c>
      <c r="J1023" s="496">
        <v>1709.74</v>
      </c>
      <c r="K1023" s="498">
        <v>6.0444433452019184E-5</v>
      </c>
    </row>
    <row r="1024" spans="1:11" ht="39" customHeight="1" x14ac:dyDescent="0.3">
      <c r="A1024" s="493" t="s">
        <v>17014</v>
      </c>
      <c r="B1024" s="493" t="s">
        <v>439</v>
      </c>
      <c r="C1024" s="493" t="s">
        <v>32</v>
      </c>
      <c r="D1024" s="494" t="s">
        <v>440</v>
      </c>
      <c r="E1024" s="493" t="s">
        <v>381</v>
      </c>
      <c r="F1024" s="495">
        <v>12.991999999999999</v>
      </c>
      <c r="G1024" s="496">
        <v>16.190000000000001</v>
      </c>
      <c r="H1024" s="497">
        <v>0.2122</v>
      </c>
      <c r="I1024" s="495">
        <v>19.63</v>
      </c>
      <c r="J1024" s="496">
        <v>255.03</v>
      </c>
      <c r="K1024" s="498">
        <v>9.0160748787935306E-6</v>
      </c>
    </row>
    <row r="1025" spans="1:11" ht="39" customHeight="1" x14ac:dyDescent="0.3">
      <c r="A1025" s="493" t="s">
        <v>17015</v>
      </c>
      <c r="B1025" s="493" t="s">
        <v>442</v>
      </c>
      <c r="C1025" s="493" t="s">
        <v>32</v>
      </c>
      <c r="D1025" s="494" t="s">
        <v>443</v>
      </c>
      <c r="E1025" s="493" t="s">
        <v>194</v>
      </c>
      <c r="F1025" s="495">
        <v>11.2</v>
      </c>
      <c r="G1025" s="496">
        <v>702.69</v>
      </c>
      <c r="H1025" s="497">
        <v>0.111</v>
      </c>
      <c r="I1025" s="495">
        <v>780.69</v>
      </c>
      <c r="J1025" s="496">
        <v>8743.7199999999993</v>
      </c>
      <c r="K1025" s="498">
        <v>3.0911670877624035E-4</v>
      </c>
    </row>
    <row r="1026" spans="1:11" ht="39" customHeight="1" x14ac:dyDescent="0.3">
      <c r="A1026" s="493" t="s">
        <v>17016</v>
      </c>
      <c r="B1026" s="493" t="s">
        <v>1373</v>
      </c>
      <c r="C1026" s="493" t="s">
        <v>32</v>
      </c>
      <c r="D1026" s="494" t="s">
        <v>1374</v>
      </c>
      <c r="E1026" s="493" t="s">
        <v>194</v>
      </c>
      <c r="F1026" s="495">
        <v>11.2</v>
      </c>
      <c r="G1026" s="496">
        <v>121.12</v>
      </c>
      <c r="H1026" s="497">
        <v>0.2122</v>
      </c>
      <c r="I1026" s="495">
        <v>146.82</v>
      </c>
      <c r="J1026" s="496">
        <v>1644.38</v>
      </c>
      <c r="K1026" s="498">
        <v>5.8133761554289723E-5</v>
      </c>
    </row>
    <row r="1027" spans="1:11" ht="39" customHeight="1" x14ac:dyDescent="0.3">
      <c r="A1027" s="493" t="s">
        <v>17017</v>
      </c>
      <c r="B1027" s="493" t="s">
        <v>1375</v>
      </c>
      <c r="C1027" s="493" t="s">
        <v>197</v>
      </c>
      <c r="D1027" s="494" t="s">
        <v>1376</v>
      </c>
      <c r="E1027" s="493" t="s">
        <v>1332</v>
      </c>
      <c r="F1027" s="495">
        <v>10.3</v>
      </c>
      <c r="G1027" s="496">
        <v>578.89</v>
      </c>
      <c r="H1027" s="497">
        <v>0.2122</v>
      </c>
      <c r="I1027" s="495">
        <v>701.73</v>
      </c>
      <c r="J1027" s="496">
        <v>7227.81</v>
      </c>
      <c r="K1027" s="498">
        <v>2.5552474677368421E-4</v>
      </c>
    </row>
    <row r="1028" spans="1:11" ht="39" customHeight="1" x14ac:dyDescent="0.3">
      <c r="A1028" s="493" t="s">
        <v>17018</v>
      </c>
      <c r="B1028" s="493" t="s">
        <v>1377</v>
      </c>
      <c r="C1028" s="493" t="s">
        <v>257</v>
      </c>
      <c r="D1028" s="494" t="s">
        <v>1378</v>
      </c>
      <c r="E1028" s="493" t="s">
        <v>89</v>
      </c>
      <c r="F1028" s="495">
        <v>80</v>
      </c>
      <c r="G1028" s="496">
        <v>107.2</v>
      </c>
      <c r="H1028" s="497">
        <v>0.2122</v>
      </c>
      <c r="I1028" s="495">
        <v>129.94999999999999</v>
      </c>
      <c r="J1028" s="496">
        <v>10396</v>
      </c>
      <c r="K1028" s="498">
        <v>3.6752975900849918E-4</v>
      </c>
    </row>
    <row r="1029" spans="1:11" ht="24" customHeight="1" x14ac:dyDescent="0.3">
      <c r="A1029" s="489" t="s">
        <v>1379</v>
      </c>
      <c r="B1029" s="489" t="s">
        <v>1328</v>
      </c>
      <c r="C1029" s="489" t="s">
        <v>1328</v>
      </c>
      <c r="D1029" s="490" t="s">
        <v>521</v>
      </c>
      <c r="E1029" s="490" t="s">
        <v>1328</v>
      </c>
      <c r="F1029" s="502"/>
      <c r="G1029" s="490"/>
      <c r="H1029" s="489"/>
      <c r="I1029" s="504"/>
      <c r="J1029" s="502">
        <v>20021.25</v>
      </c>
      <c r="K1029" s="492">
        <v>7.0781119541640195E-4</v>
      </c>
    </row>
    <row r="1030" spans="1:11" ht="39" customHeight="1" x14ac:dyDescent="0.3">
      <c r="A1030" s="493" t="s">
        <v>1380</v>
      </c>
      <c r="B1030" s="493" t="s">
        <v>523</v>
      </c>
      <c r="C1030" s="493" t="s">
        <v>243</v>
      </c>
      <c r="D1030" s="494" t="s">
        <v>524</v>
      </c>
      <c r="E1030" s="493" t="s">
        <v>268</v>
      </c>
      <c r="F1030" s="495">
        <v>1</v>
      </c>
      <c r="G1030" s="496">
        <v>262.95</v>
      </c>
      <c r="H1030" s="497">
        <v>0.2122</v>
      </c>
      <c r="I1030" s="495">
        <v>318.75</v>
      </c>
      <c r="J1030" s="496">
        <v>318.75</v>
      </c>
      <c r="K1030" s="498">
        <v>1.126876786109649E-5</v>
      </c>
    </row>
    <row r="1031" spans="1:11" ht="39" customHeight="1" x14ac:dyDescent="0.3">
      <c r="A1031" s="493" t="s">
        <v>17019</v>
      </c>
      <c r="B1031" s="493" t="s">
        <v>529</v>
      </c>
      <c r="C1031" s="493" t="s">
        <v>32</v>
      </c>
      <c r="D1031" s="494" t="s">
        <v>530</v>
      </c>
      <c r="E1031" s="493" t="s">
        <v>268</v>
      </c>
      <c r="F1031" s="495">
        <v>2.2999999999999998</v>
      </c>
      <c r="G1031" s="496">
        <v>430.64</v>
      </c>
      <c r="H1031" s="497">
        <v>0.2122</v>
      </c>
      <c r="I1031" s="495">
        <v>522.02</v>
      </c>
      <c r="J1031" s="496">
        <v>1200.6400000000001</v>
      </c>
      <c r="K1031" s="498">
        <v>4.2446222571754958E-5</v>
      </c>
    </row>
    <row r="1032" spans="1:11" ht="39" customHeight="1" x14ac:dyDescent="0.3">
      <c r="A1032" s="493" t="s">
        <v>17020</v>
      </c>
      <c r="B1032" s="493" t="s">
        <v>176</v>
      </c>
      <c r="C1032" s="493" t="s">
        <v>32</v>
      </c>
      <c r="D1032" s="494" t="s">
        <v>177</v>
      </c>
      <c r="E1032" s="493" t="s">
        <v>268</v>
      </c>
      <c r="F1032" s="495">
        <v>6.33</v>
      </c>
      <c r="G1032" s="496">
        <v>470.06</v>
      </c>
      <c r="H1032" s="497">
        <v>0.2122</v>
      </c>
      <c r="I1032" s="495">
        <v>569.80999999999995</v>
      </c>
      <c r="J1032" s="496">
        <v>3606.89</v>
      </c>
      <c r="K1032" s="498">
        <v>1.2751437211140493E-4</v>
      </c>
    </row>
    <row r="1033" spans="1:11" ht="39" customHeight="1" x14ac:dyDescent="0.3">
      <c r="A1033" s="493" t="s">
        <v>17021</v>
      </c>
      <c r="B1033" s="493" t="s">
        <v>533</v>
      </c>
      <c r="C1033" s="493" t="s">
        <v>125</v>
      </c>
      <c r="D1033" s="494" t="s">
        <v>1368</v>
      </c>
      <c r="E1033" s="493" t="s">
        <v>1332</v>
      </c>
      <c r="F1033" s="495">
        <v>73.8</v>
      </c>
      <c r="G1033" s="496">
        <v>77.569999999999993</v>
      </c>
      <c r="H1033" s="497">
        <v>0.2122</v>
      </c>
      <c r="I1033" s="495">
        <v>94.03</v>
      </c>
      <c r="J1033" s="496">
        <v>6939.41</v>
      </c>
      <c r="K1033" s="498">
        <v>2.453289423779501E-4</v>
      </c>
    </row>
    <row r="1034" spans="1:11" ht="39" customHeight="1" x14ac:dyDescent="0.3">
      <c r="A1034" s="493" t="s">
        <v>17022</v>
      </c>
      <c r="B1034" s="493" t="s">
        <v>180</v>
      </c>
      <c r="C1034" s="493" t="s">
        <v>32</v>
      </c>
      <c r="D1034" s="494" t="s">
        <v>181</v>
      </c>
      <c r="E1034" s="493" t="s">
        <v>268</v>
      </c>
      <c r="F1034" s="495">
        <v>8.6300000000000008</v>
      </c>
      <c r="G1034" s="496">
        <v>326.63</v>
      </c>
      <c r="H1034" s="497">
        <v>0.2122</v>
      </c>
      <c r="I1034" s="495">
        <v>395.94</v>
      </c>
      <c r="J1034" s="496">
        <v>3416.96</v>
      </c>
      <c r="K1034" s="498">
        <v>1.2079977735106593E-4</v>
      </c>
    </row>
    <row r="1035" spans="1:11" ht="39" customHeight="1" x14ac:dyDescent="0.3">
      <c r="A1035" s="493" t="s">
        <v>17023</v>
      </c>
      <c r="B1035" s="493" t="s">
        <v>503</v>
      </c>
      <c r="C1035" s="493" t="s">
        <v>125</v>
      </c>
      <c r="D1035" s="494" t="s">
        <v>537</v>
      </c>
      <c r="E1035" s="493" t="s">
        <v>1369</v>
      </c>
      <c r="F1035" s="495">
        <v>308.12</v>
      </c>
      <c r="G1035" s="496">
        <v>12.15</v>
      </c>
      <c r="H1035" s="497">
        <v>0.2122</v>
      </c>
      <c r="I1035" s="495">
        <v>14.73</v>
      </c>
      <c r="J1035" s="496">
        <v>4538.6000000000004</v>
      </c>
      <c r="K1035" s="498">
        <v>1.6045311314312954E-4</v>
      </c>
    </row>
    <row r="1036" spans="1:11" ht="24" customHeight="1" x14ac:dyDescent="0.3">
      <c r="A1036" s="489" t="s">
        <v>1381</v>
      </c>
      <c r="B1036" s="489" t="s">
        <v>1328</v>
      </c>
      <c r="C1036" s="489" t="s">
        <v>1328</v>
      </c>
      <c r="D1036" s="490" t="s">
        <v>594</v>
      </c>
      <c r="E1036" s="490" t="s">
        <v>1328</v>
      </c>
      <c r="F1036" s="502"/>
      <c r="G1036" s="490"/>
      <c r="H1036" s="489"/>
      <c r="I1036" s="504"/>
      <c r="J1036" s="502">
        <v>102664.48000000001</v>
      </c>
      <c r="K1036" s="492">
        <v>3.629497075137831E-3</v>
      </c>
    </row>
    <row r="1037" spans="1:11" ht="39" customHeight="1" x14ac:dyDescent="0.3">
      <c r="A1037" s="493" t="s">
        <v>1382</v>
      </c>
      <c r="B1037" s="493" t="s">
        <v>190</v>
      </c>
      <c r="C1037" s="493" t="s">
        <v>4210</v>
      </c>
      <c r="D1037" s="494" t="s">
        <v>146</v>
      </c>
      <c r="E1037" s="493" t="s">
        <v>1332</v>
      </c>
      <c r="F1037" s="495">
        <v>6</v>
      </c>
      <c r="G1037" s="496">
        <v>521.92999999999995</v>
      </c>
      <c r="H1037" s="497">
        <v>0.2122</v>
      </c>
      <c r="I1037" s="495">
        <v>632.67999999999995</v>
      </c>
      <c r="J1037" s="496">
        <v>3796.08</v>
      </c>
      <c r="K1037" s="498">
        <v>1.3420280565380757E-4</v>
      </c>
    </row>
    <row r="1038" spans="1:11" ht="39" customHeight="1" x14ac:dyDescent="0.3">
      <c r="A1038" s="493" t="s">
        <v>17024</v>
      </c>
      <c r="B1038" s="493" t="s">
        <v>203</v>
      </c>
      <c r="C1038" s="493" t="s">
        <v>197</v>
      </c>
      <c r="D1038" s="494" t="s">
        <v>204</v>
      </c>
      <c r="E1038" s="493" t="s">
        <v>194</v>
      </c>
      <c r="F1038" s="495">
        <v>380</v>
      </c>
      <c r="G1038" s="496">
        <v>3.25</v>
      </c>
      <c r="H1038" s="497">
        <v>0.2122</v>
      </c>
      <c r="I1038" s="495">
        <v>3.94</v>
      </c>
      <c r="J1038" s="496">
        <v>1497.2</v>
      </c>
      <c r="K1038" s="498">
        <v>5.2930507424733074E-5</v>
      </c>
    </row>
    <row r="1039" spans="1:11" ht="39" customHeight="1" x14ac:dyDescent="0.3">
      <c r="A1039" s="493" t="s">
        <v>17025</v>
      </c>
      <c r="B1039" s="493" t="s">
        <v>206</v>
      </c>
      <c r="C1039" s="493" t="s">
        <v>197</v>
      </c>
      <c r="D1039" s="494" t="s">
        <v>207</v>
      </c>
      <c r="E1039" s="493" t="s">
        <v>89</v>
      </c>
      <c r="F1039" s="495">
        <v>8</v>
      </c>
      <c r="G1039" s="496">
        <v>2.76</v>
      </c>
      <c r="H1039" s="497">
        <v>0.2122</v>
      </c>
      <c r="I1039" s="495">
        <v>3.35</v>
      </c>
      <c r="J1039" s="496">
        <v>26.8</v>
      </c>
      <c r="K1039" s="498">
        <v>9.474603252623873E-7</v>
      </c>
    </row>
    <row r="1040" spans="1:11" ht="39" customHeight="1" x14ac:dyDescent="0.3">
      <c r="A1040" s="493" t="s">
        <v>17026</v>
      </c>
      <c r="B1040" s="493" t="s">
        <v>209</v>
      </c>
      <c r="C1040" s="493" t="s">
        <v>125</v>
      </c>
      <c r="D1040" s="494" t="s">
        <v>1383</v>
      </c>
      <c r="E1040" s="493" t="s">
        <v>1384</v>
      </c>
      <c r="F1040" s="495">
        <v>20</v>
      </c>
      <c r="G1040" s="496">
        <v>1.96</v>
      </c>
      <c r="H1040" s="497">
        <v>0.2122</v>
      </c>
      <c r="I1040" s="495">
        <v>2.38</v>
      </c>
      <c r="J1040" s="496">
        <v>47.6</v>
      </c>
      <c r="K1040" s="498">
        <v>1.682802667257076E-6</v>
      </c>
    </row>
    <row r="1041" spans="1:12" ht="39" customHeight="1" x14ac:dyDescent="0.3">
      <c r="A1041" s="493" t="s">
        <v>17027</v>
      </c>
      <c r="B1041" s="493" t="s">
        <v>212</v>
      </c>
      <c r="C1041" s="493" t="s">
        <v>125</v>
      </c>
      <c r="D1041" s="494" t="s">
        <v>4447</v>
      </c>
      <c r="E1041" s="493" t="s">
        <v>1384</v>
      </c>
      <c r="F1041" s="495">
        <v>20</v>
      </c>
      <c r="G1041" s="496">
        <v>3.95</v>
      </c>
      <c r="H1041" s="497">
        <v>0.2122</v>
      </c>
      <c r="I1041" s="495">
        <v>4.79</v>
      </c>
      <c r="J1041" s="496">
        <v>95.8</v>
      </c>
      <c r="K1041" s="498">
        <v>3.3868171328409218E-6</v>
      </c>
    </row>
    <row r="1042" spans="1:12" ht="39" customHeight="1" x14ac:dyDescent="0.3">
      <c r="A1042" s="493" t="s">
        <v>17028</v>
      </c>
      <c r="B1042" s="493" t="s">
        <v>214</v>
      </c>
      <c r="C1042" s="493" t="s">
        <v>125</v>
      </c>
      <c r="D1042" s="494" t="s">
        <v>4448</v>
      </c>
      <c r="E1042" s="493" t="s">
        <v>1384</v>
      </c>
      <c r="F1042" s="495">
        <v>5</v>
      </c>
      <c r="G1042" s="496">
        <v>8.06</v>
      </c>
      <c r="H1042" s="497">
        <v>0.2122</v>
      </c>
      <c r="I1042" s="495">
        <v>9.77</v>
      </c>
      <c r="J1042" s="496">
        <v>48.85</v>
      </c>
      <c r="K1042" s="498">
        <v>1.7269939137711799E-6</v>
      </c>
    </row>
    <row r="1043" spans="1:12" ht="39" customHeight="1" x14ac:dyDescent="0.3">
      <c r="A1043" s="493" t="s">
        <v>17029</v>
      </c>
      <c r="B1043" s="493" t="s">
        <v>216</v>
      </c>
      <c r="C1043" s="493" t="s">
        <v>125</v>
      </c>
      <c r="D1043" s="494" t="s">
        <v>1385</v>
      </c>
      <c r="E1043" s="493" t="s">
        <v>1384</v>
      </c>
      <c r="F1043" s="495">
        <v>25</v>
      </c>
      <c r="G1043" s="496">
        <v>0.78</v>
      </c>
      <c r="H1043" s="497">
        <v>0.2122</v>
      </c>
      <c r="I1043" s="495">
        <v>0.95</v>
      </c>
      <c r="J1043" s="496">
        <v>23.75</v>
      </c>
      <c r="K1043" s="498">
        <v>8.3963368376797383E-7</v>
      </c>
    </row>
    <row r="1044" spans="1:12" ht="39" customHeight="1" x14ac:dyDescent="0.3">
      <c r="A1044" s="493" t="s">
        <v>17030</v>
      </c>
      <c r="B1044" s="493" t="s">
        <v>219</v>
      </c>
      <c r="C1044" s="493" t="s">
        <v>125</v>
      </c>
      <c r="D1044" s="494" t="s">
        <v>4449</v>
      </c>
      <c r="E1044" s="493" t="s">
        <v>1384</v>
      </c>
      <c r="F1044" s="495">
        <v>25</v>
      </c>
      <c r="G1044" s="496">
        <v>1.25</v>
      </c>
      <c r="H1044" s="497">
        <v>0.2122</v>
      </c>
      <c r="I1044" s="495">
        <v>1.52</v>
      </c>
      <c r="J1044" s="496">
        <v>38</v>
      </c>
      <c r="K1044" s="498">
        <v>1.3434138940287582E-6</v>
      </c>
    </row>
    <row r="1045" spans="1:12" ht="39" customHeight="1" x14ac:dyDescent="0.3">
      <c r="A1045" s="493" t="s">
        <v>17031</v>
      </c>
      <c r="B1045" s="493" t="s">
        <v>1386</v>
      </c>
      <c r="C1045" s="493" t="s">
        <v>32</v>
      </c>
      <c r="D1045" s="494" t="s">
        <v>1387</v>
      </c>
      <c r="E1045" s="493" t="s">
        <v>194</v>
      </c>
      <c r="F1045" s="495">
        <v>411.3</v>
      </c>
      <c r="G1045" s="496">
        <v>160.28</v>
      </c>
      <c r="H1045" s="497">
        <v>0.2122</v>
      </c>
      <c r="I1045" s="495">
        <v>194.29</v>
      </c>
      <c r="J1045" s="496">
        <v>79911.47</v>
      </c>
      <c r="K1045" s="498">
        <v>2.8251099760595337E-3</v>
      </c>
    </row>
    <row r="1046" spans="1:12" ht="62.5" x14ac:dyDescent="0.3">
      <c r="A1046" s="493" t="s">
        <v>17032</v>
      </c>
      <c r="B1046" s="493" t="s">
        <v>1388</v>
      </c>
      <c r="C1046" s="493" t="s">
        <v>197</v>
      </c>
      <c r="D1046" s="494" t="s">
        <v>1389</v>
      </c>
      <c r="E1046" s="493" t="s">
        <v>1332</v>
      </c>
      <c r="F1046" s="495">
        <v>11.5</v>
      </c>
      <c r="G1046" s="496">
        <v>1232.32</v>
      </c>
      <c r="H1046" s="497">
        <v>0.2122</v>
      </c>
      <c r="I1046" s="495">
        <v>1493.82</v>
      </c>
      <c r="J1046" s="496">
        <v>17178.93</v>
      </c>
      <c r="K1046" s="498">
        <v>6.0732666438282777E-4</v>
      </c>
    </row>
    <row r="1047" spans="1:12" x14ac:dyDescent="0.3">
      <c r="A1047" s="505"/>
      <c r="B1047" s="505"/>
      <c r="C1047" s="505"/>
      <c r="D1047" s="505"/>
      <c r="E1047" s="505"/>
      <c r="F1047" s="505"/>
      <c r="G1047" s="505"/>
      <c r="H1047" s="506"/>
      <c r="I1047" s="505"/>
      <c r="J1047" s="505"/>
      <c r="K1047" s="505"/>
    </row>
    <row r="1048" spans="1:12" x14ac:dyDescent="0.3">
      <c r="A1048" s="507"/>
      <c r="B1048" s="507"/>
      <c r="C1048" s="507"/>
      <c r="D1048" s="508"/>
      <c r="E1048" s="509"/>
      <c r="F1048" s="507" t="s">
        <v>7</v>
      </c>
      <c r="G1048" s="507"/>
      <c r="H1048" s="510"/>
      <c r="I1048" s="511">
        <v>23648224.260373551</v>
      </c>
      <c r="J1048" s="507"/>
      <c r="K1048" s="507"/>
    </row>
    <row r="1049" spans="1:12" x14ac:dyDescent="0.3">
      <c r="A1049" s="507"/>
      <c r="B1049" s="507"/>
      <c r="C1049" s="507"/>
      <c r="D1049" s="508"/>
      <c r="E1049" s="509"/>
      <c r="F1049" s="507" t="s">
        <v>8</v>
      </c>
      <c r="G1049" s="507"/>
      <c r="H1049" s="510"/>
      <c r="I1049" s="511">
        <v>4637920.5896264464</v>
      </c>
      <c r="J1049" s="507"/>
      <c r="K1049" s="507"/>
    </row>
    <row r="1050" spans="1:12" x14ac:dyDescent="0.3">
      <c r="A1050" s="507"/>
      <c r="B1050" s="507"/>
      <c r="C1050" s="507"/>
      <c r="D1050" s="508"/>
      <c r="E1050" s="509"/>
      <c r="F1050" s="507" t="s">
        <v>9</v>
      </c>
      <c r="G1050" s="507"/>
      <c r="H1050" s="510"/>
      <c r="I1050" s="511">
        <v>28286144.849999998</v>
      </c>
      <c r="J1050" s="507"/>
      <c r="K1050" s="511"/>
      <c r="L1050" s="512"/>
    </row>
    <row r="1051" spans="1:12" customFormat="1" ht="70" customHeight="1" x14ac:dyDescent="0.3">
      <c r="A1051" s="873"/>
      <c r="B1051" s="873"/>
      <c r="C1051" s="873"/>
      <c r="D1051" s="873"/>
      <c r="E1051" s="873"/>
      <c r="F1051" s="873"/>
      <c r="G1051" s="873"/>
      <c r="H1051" s="873"/>
      <c r="I1051" s="873"/>
    </row>
    <row r="1052" spans="1:12" ht="60" customHeight="1" x14ac:dyDescent="0.3">
      <c r="A1052" s="513"/>
      <c r="B1052" s="513"/>
      <c r="C1052" s="513"/>
      <c r="D1052" s="513"/>
      <c r="E1052" s="513"/>
      <c r="F1052" s="513"/>
      <c r="G1052" s="513"/>
      <c r="H1052" s="510"/>
      <c r="I1052" s="513"/>
      <c r="J1052" s="513"/>
      <c r="K1052" s="514"/>
    </row>
    <row r="1053" spans="1:12" ht="70" customHeight="1" x14ac:dyDescent="0.3">
      <c r="H1053" s="485"/>
    </row>
  </sheetData>
  <autoFilter ref="A4:N1046" xr:uid="{424E3612-4CCD-46BB-A83A-C45DA85F4D73}"/>
  <mergeCells count="8">
    <mergeCell ref="A1051:I1051"/>
    <mergeCell ref="A3:K3"/>
    <mergeCell ref="J1:K1"/>
    <mergeCell ref="J2:K2"/>
    <mergeCell ref="H2:I2"/>
    <mergeCell ref="H1:I1"/>
    <mergeCell ref="E1:G1"/>
    <mergeCell ref="E2:G2"/>
  </mergeCells>
  <phoneticPr fontId="38" type="noConversion"/>
  <conditionalFormatting sqref="A994 A999 A1001 A1012 A1017 A1029 A1036">
    <cfRule type="duplicateValues" dxfId="16" priority="4"/>
    <cfRule type="duplicateValues" dxfId="15" priority="21"/>
  </conditionalFormatting>
  <pageMargins left="0.51181102362204722" right="0.51181102362204722" top="0.98425196850393704" bottom="0.98425196850393704" header="0.51181102362204722" footer="0.51181102362204722"/>
  <pageSetup paperSize="9" scale="69" firstPageNumber="18" fitToHeight="0" orientation="landscape" useFirstPageNumber="1" r:id="rId1"/>
  <headerFooter>
    <oddHeader>&amp;L &amp;CSECRETARIA DE ESTADO DE OBRAS E INFRAESTRUTURA DO DISTRITO FEDERAL - SODF
CNPJ: 00.394.742/0001-49 &amp;R</oddHeader>
    <oddFooter>&amp;L &amp;CSetor de Áreas Públicas Bloco A-15 - Zona Industrial (Guará) - Brasília / DF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2548F-CECC-4515-AED6-DBB75DA03EAA}">
  <sheetPr>
    <tabColor rgb="FF00B050"/>
  </sheetPr>
  <dimension ref="A1:J42"/>
  <sheetViews>
    <sheetView view="pageBreakPreview" zoomScale="60" zoomScaleNormal="78" workbookViewId="0">
      <selection sqref="A1:XFD1048576"/>
    </sheetView>
  </sheetViews>
  <sheetFormatPr defaultRowHeight="14" x14ac:dyDescent="0.3"/>
  <cols>
    <col min="1" max="1" width="11" customWidth="1"/>
    <col min="2" max="2" width="22.33203125" customWidth="1"/>
    <col min="3" max="3" width="25.25" bestFit="1" customWidth="1"/>
    <col min="4" max="4" width="81" style="388" customWidth="1"/>
    <col min="5" max="5" width="14.08203125" customWidth="1"/>
    <col min="6" max="6" width="31.1640625" customWidth="1"/>
    <col min="7" max="7" width="21.4140625" customWidth="1"/>
    <col min="8" max="8" width="31.1640625" customWidth="1"/>
    <col min="9" max="9" width="31.6640625" customWidth="1"/>
    <col min="10" max="10" width="31.5" style="718" customWidth="1"/>
    <col min="11" max="11" width="26.9140625" customWidth="1"/>
  </cols>
  <sheetData>
    <row r="1" spans="1:10" ht="18" x14ac:dyDescent="0.3">
      <c r="A1" s="878" t="s">
        <v>4615</v>
      </c>
      <c r="B1" s="878"/>
      <c r="C1" s="878"/>
      <c r="D1" s="878"/>
      <c r="E1" s="878"/>
      <c r="F1" s="879"/>
      <c r="G1" s="878"/>
      <c r="H1" s="878"/>
      <c r="I1" s="878"/>
      <c r="J1" s="878"/>
    </row>
    <row r="2" spans="1:10" ht="18" x14ac:dyDescent="0.3">
      <c r="A2" s="878" t="s">
        <v>4616</v>
      </c>
      <c r="B2" s="878"/>
      <c r="C2" s="878"/>
      <c r="D2" s="878"/>
      <c r="E2" s="878"/>
      <c r="F2" s="878"/>
      <c r="G2" s="878"/>
      <c r="H2" s="878"/>
      <c r="I2" s="878"/>
      <c r="J2" s="878"/>
    </row>
    <row r="3" spans="1:10" ht="18" x14ac:dyDescent="0.3">
      <c r="A3" s="878" t="s">
        <v>4617</v>
      </c>
      <c r="B3" s="878"/>
      <c r="C3" s="878"/>
      <c r="D3" s="878"/>
      <c r="E3" s="878"/>
      <c r="F3" s="878"/>
      <c r="G3" s="878"/>
      <c r="H3" s="878"/>
      <c r="I3" s="878"/>
      <c r="J3" s="878"/>
    </row>
    <row r="4" spans="1:10" ht="18" x14ac:dyDescent="0.3">
      <c r="A4" s="686"/>
      <c r="B4" s="686"/>
      <c r="C4" s="686"/>
      <c r="D4" s="686"/>
      <c r="E4" s="686"/>
      <c r="F4" s="686"/>
      <c r="G4" s="686"/>
      <c r="H4" s="686"/>
      <c r="I4" s="686"/>
      <c r="J4" s="820"/>
    </row>
    <row r="5" spans="1:10" ht="18" x14ac:dyDescent="0.3">
      <c r="A5" s="880" t="s">
        <v>4622</v>
      </c>
      <c r="B5" s="880"/>
      <c r="C5" s="880"/>
      <c r="D5" s="880"/>
      <c r="E5" s="880"/>
      <c r="F5" s="880"/>
      <c r="G5" s="880"/>
      <c r="H5" s="880"/>
      <c r="I5" s="880"/>
      <c r="J5" s="880"/>
    </row>
    <row r="6" spans="1:10" ht="18" x14ac:dyDescent="0.3">
      <c r="A6" s="880" t="s">
        <v>4712</v>
      </c>
      <c r="B6" s="880"/>
      <c r="C6" s="880"/>
      <c r="D6" s="880"/>
      <c r="E6" s="880"/>
      <c r="F6" s="880"/>
      <c r="G6" s="880"/>
      <c r="H6" s="880"/>
      <c r="I6" s="880"/>
      <c r="J6" s="880"/>
    </row>
    <row r="7" spans="1:10" ht="68.5" customHeight="1" x14ac:dyDescent="0.3">
      <c r="A7" s="878" t="s">
        <v>4754</v>
      </c>
      <c r="B7" s="878"/>
      <c r="C7" s="878"/>
      <c r="D7" s="878"/>
      <c r="E7" s="878"/>
      <c r="F7" s="878"/>
      <c r="G7" s="878"/>
      <c r="H7" s="878"/>
      <c r="I7" s="878"/>
      <c r="J7" s="878"/>
    </row>
    <row r="8" spans="1:10" ht="26" customHeight="1" x14ac:dyDescent="0.3">
      <c r="A8" s="719"/>
      <c r="B8" s="719"/>
      <c r="C8" s="719"/>
      <c r="D8" s="719"/>
      <c r="E8" s="719"/>
      <c r="F8" s="719"/>
      <c r="G8" s="720"/>
      <c r="H8" s="719"/>
      <c r="I8" s="719"/>
    </row>
    <row r="9" spans="1:10" ht="18" x14ac:dyDescent="0.3">
      <c r="A9" s="881" t="s">
        <v>4752</v>
      </c>
      <c r="B9" s="881"/>
      <c r="C9" s="881"/>
      <c r="D9" s="881"/>
      <c r="E9" s="881"/>
      <c r="F9" s="881"/>
      <c r="G9" s="881"/>
      <c r="H9" s="881"/>
      <c r="I9" s="881"/>
      <c r="J9" s="881"/>
    </row>
    <row r="10" spans="1:10" ht="20" x14ac:dyDescent="0.3">
      <c r="A10" s="706"/>
      <c r="B10" s="706"/>
      <c r="C10" s="706"/>
      <c r="D10" s="719"/>
      <c r="E10" s="706"/>
      <c r="F10" s="706"/>
      <c r="G10" s="706"/>
      <c r="H10" s="706"/>
      <c r="I10" s="706"/>
      <c r="J10" s="721"/>
    </row>
    <row r="11" spans="1:10" ht="20" x14ac:dyDescent="0.3">
      <c r="A11" s="722"/>
      <c r="B11" s="711"/>
      <c r="C11" s="711"/>
      <c r="D11" s="723"/>
      <c r="E11" s="690"/>
      <c r="F11" s="882" t="s">
        <v>4623</v>
      </c>
      <c r="G11" s="882"/>
      <c r="H11" s="702">
        <v>1.1069</v>
      </c>
      <c r="I11" s="724"/>
      <c r="J11" s="725"/>
    </row>
    <row r="12" spans="1:10" ht="20" x14ac:dyDescent="0.3">
      <c r="A12" s="726"/>
      <c r="B12" s="726"/>
      <c r="C12" s="726"/>
      <c r="D12" s="727"/>
      <c r="E12" s="690"/>
      <c r="F12" s="883" t="s">
        <v>4624</v>
      </c>
      <c r="G12" s="883"/>
      <c r="H12" s="702">
        <v>0.70399999999999996</v>
      </c>
      <c r="I12" s="724"/>
    </row>
    <row r="13" spans="1:10" ht="20" x14ac:dyDescent="0.3">
      <c r="A13" s="690"/>
      <c r="B13" s="690"/>
      <c r="C13" s="690"/>
      <c r="D13" s="723"/>
      <c r="E13" s="690"/>
      <c r="F13" s="883" t="s">
        <v>4711</v>
      </c>
      <c r="G13" s="883"/>
      <c r="H13" s="702">
        <v>0.2122</v>
      </c>
      <c r="I13" s="724"/>
    </row>
    <row r="14" spans="1:10" ht="20" x14ac:dyDescent="0.3">
      <c r="A14" s="711"/>
      <c r="B14" s="690"/>
      <c r="C14" s="690"/>
      <c r="D14" s="723"/>
      <c r="E14" s="690"/>
      <c r="F14" s="883" t="s">
        <v>4625</v>
      </c>
      <c r="G14" s="883"/>
      <c r="H14" s="702">
        <v>0.13450000000000001</v>
      </c>
      <c r="I14" s="724"/>
      <c r="J14" s="728"/>
    </row>
    <row r="15" spans="1:10" ht="20" x14ac:dyDescent="0.3">
      <c r="A15" s="711"/>
      <c r="B15" s="690"/>
      <c r="C15" s="690"/>
      <c r="D15" s="723"/>
      <c r="E15" s="690"/>
      <c r="F15" s="883" t="s">
        <v>4626</v>
      </c>
      <c r="G15" s="883"/>
      <c r="H15" s="702">
        <v>0.31459999999999999</v>
      </c>
      <c r="I15" s="724"/>
      <c r="J15" s="728"/>
    </row>
    <row r="16" spans="1:10" ht="18" x14ac:dyDescent="0.3">
      <c r="A16" s="881" t="s">
        <v>4630</v>
      </c>
      <c r="B16" s="881"/>
      <c r="C16" s="881"/>
      <c r="D16" s="881"/>
      <c r="E16" s="881"/>
      <c r="F16" s="881"/>
      <c r="G16" s="881"/>
      <c r="H16" s="881"/>
      <c r="I16" s="881"/>
      <c r="J16" s="881"/>
    </row>
    <row r="17" spans="1:10" ht="23" x14ac:dyDescent="0.3">
      <c r="A17" s="729"/>
      <c r="B17" s="729"/>
      <c r="C17" s="729"/>
      <c r="D17" s="730"/>
      <c r="E17" s="729"/>
      <c r="F17" s="729"/>
      <c r="G17" s="731"/>
      <c r="H17" s="729"/>
      <c r="I17" s="729"/>
      <c r="J17" s="728"/>
    </row>
    <row r="18" spans="1:10" ht="18" x14ac:dyDescent="0.3">
      <c r="A18" s="881" t="s">
        <v>4753</v>
      </c>
      <c r="B18" s="881"/>
      <c r="C18" s="881"/>
      <c r="D18" s="881"/>
      <c r="E18" s="881"/>
      <c r="F18" s="881"/>
      <c r="G18" s="881"/>
      <c r="H18" s="881"/>
      <c r="I18" s="881"/>
      <c r="J18" s="881"/>
    </row>
    <row r="19" spans="1:10" ht="18" x14ac:dyDescent="0.3">
      <c r="A19" s="884" t="s">
        <v>4619</v>
      </c>
      <c r="B19" s="884"/>
      <c r="C19" s="884"/>
      <c r="D19" s="884"/>
      <c r="E19" s="884"/>
      <c r="F19" s="884"/>
      <c r="G19" s="884"/>
      <c r="H19" s="884"/>
      <c r="I19" s="884"/>
      <c r="J19" s="884"/>
    </row>
    <row r="20" spans="1:10" s="700" customFormat="1" ht="18" x14ac:dyDescent="0.35">
      <c r="A20" s="732" t="s">
        <v>14</v>
      </c>
      <c r="B20" s="733" t="s">
        <v>4631</v>
      </c>
      <c r="C20" s="733" t="s">
        <v>15</v>
      </c>
      <c r="D20" s="733" t="s">
        <v>17</v>
      </c>
      <c r="E20" s="734" t="s">
        <v>2576</v>
      </c>
      <c r="F20" s="734" t="s">
        <v>2467</v>
      </c>
      <c r="G20" s="735" t="s">
        <v>2577</v>
      </c>
      <c r="H20" s="736" t="s">
        <v>4632</v>
      </c>
      <c r="I20" s="737" t="s">
        <v>4633</v>
      </c>
      <c r="J20" s="737" t="s">
        <v>4634</v>
      </c>
    </row>
    <row r="21" spans="1:10" s="700" customFormat="1" ht="18" x14ac:dyDescent="0.35">
      <c r="A21" s="738">
        <v>1</v>
      </c>
      <c r="B21" s="739" t="s">
        <v>16940</v>
      </c>
      <c r="C21" s="739"/>
      <c r="D21" s="740"/>
      <c r="E21" s="739"/>
      <c r="F21" s="739"/>
      <c r="G21" s="741"/>
      <c r="H21" s="739"/>
      <c r="I21" s="742"/>
      <c r="J21" s="743"/>
    </row>
    <row r="22" spans="1:10" ht="18" x14ac:dyDescent="0.3">
      <c r="A22" s="808" t="s">
        <v>4635</v>
      </c>
      <c r="B22" s="809" t="s">
        <v>4636</v>
      </c>
      <c r="C22" s="809" t="s">
        <v>4610</v>
      </c>
      <c r="D22" s="810" t="s">
        <v>17033</v>
      </c>
      <c r="E22" s="811" t="s">
        <v>4612</v>
      </c>
      <c r="F22" s="812">
        <v>138.38999999999999</v>
      </c>
      <c r="G22" s="813">
        <v>260.73318957067238</v>
      </c>
      <c r="H22" s="814">
        <v>36082.866104685345</v>
      </c>
      <c r="I22" s="815">
        <v>47434.53</v>
      </c>
      <c r="J22" s="396" t="s">
        <v>2254</v>
      </c>
    </row>
    <row r="23" spans="1:10" s="700" customFormat="1" ht="18" x14ac:dyDescent="0.35">
      <c r="A23" s="744"/>
      <c r="B23" s="745"/>
      <c r="C23" s="746"/>
      <c r="D23" s="747"/>
      <c r="E23" s="745"/>
      <c r="F23" s="748"/>
      <c r="G23" s="749" t="s">
        <v>3</v>
      </c>
      <c r="H23" s="750">
        <v>36082.866104685345</v>
      </c>
      <c r="I23" s="750">
        <v>47434.53</v>
      </c>
      <c r="J23" s="718"/>
    </row>
    <row r="24" spans="1:10" x14ac:dyDescent="0.3">
      <c r="A24" s="751"/>
      <c r="B24" s="751"/>
      <c r="C24" s="751"/>
      <c r="D24" s="752"/>
      <c r="E24" s="751"/>
      <c r="F24" s="753"/>
      <c r="G24" s="754"/>
      <c r="H24" s="755"/>
      <c r="I24" s="755"/>
    </row>
    <row r="25" spans="1:10" s="757" customFormat="1" ht="23" x14ac:dyDescent="0.45">
      <c r="A25" s="885" t="s">
        <v>4637</v>
      </c>
      <c r="B25" s="885"/>
      <c r="C25" s="885"/>
      <c r="D25" s="885"/>
      <c r="E25" s="885"/>
      <c r="F25" s="885"/>
      <c r="G25" s="885"/>
      <c r="H25" s="756"/>
      <c r="I25" s="756"/>
      <c r="J25" s="718"/>
    </row>
    <row r="26" spans="1:10" x14ac:dyDescent="0.3">
      <c r="A26" s="758"/>
      <c r="B26" s="758"/>
      <c r="C26" s="711"/>
      <c r="D26" s="759"/>
      <c r="E26" s="711"/>
      <c r="F26" s="711"/>
      <c r="G26" s="760"/>
      <c r="H26" s="711"/>
      <c r="I26" s="761"/>
    </row>
    <row r="27" spans="1:10" x14ac:dyDescent="0.3">
      <c r="A27" s="711"/>
      <c r="B27" s="711"/>
      <c r="C27" s="711"/>
      <c r="D27" s="759"/>
      <c r="E27" s="711"/>
      <c r="F27" s="711"/>
      <c r="G27" s="711"/>
      <c r="H27" s="711"/>
      <c r="I27" s="711"/>
    </row>
    <row r="28" spans="1:10" x14ac:dyDescent="0.3">
      <c r="A28" s="711"/>
      <c r="B28" s="711"/>
      <c r="C28" s="711"/>
      <c r="D28" s="759"/>
      <c r="E28" s="711"/>
      <c r="F28" s="711"/>
      <c r="G28" s="711"/>
      <c r="H28" s="711"/>
      <c r="I28" s="711"/>
    </row>
    <row r="29" spans="1:10" x14ac:dyDescent="0.3">
      <c r="A29" s="711"/>
      <c r="B29" s="711"/>
      <c r="C29" s="711"/>
      <c r="D29" s="759"/>
      <c r="E29" s="711"/>
      <c r="F29" s="711"/>
      <c r="G29" s="711"/>
      <c r="H29" s="711"/>
      <c r="I29" s="711"/>
    </row>
    <row r="30" spans="1:10" x14ac:dyDescent="0.3">
      <c r="A30" s="711"/>
      <c r="B30" s="711"/>
      <c r="C30" s="711"/>
      <c r="D30" s="759"/>
      <c r="E30" s="711"/>
      <c r="F30" s="711"/>
      <c r="G30" s="711"/>
      <c r="H30" s="711"/>
      <c r="I30" s="711"/>
    </row>
    <row r="31" spans="1:10" x14ac:dyDescent="0.3">
      <c r="A31" s="711"/>
      <c r="B31" s="711"/>
      <c r="C31" s="711"/>
      <c r="D31" s="759"/>
      <c r="E31" s="711"/>
      <c r="F31" s="711"/>
      <c r="G31" s="711"/>
      <c r="H31" s="711"/>
      <c r="I31" s="711"/>
    </row>
    <row r="32" spans="1:10" x14ac:dyDescent="0.3">
      <c r="A32" s="711"/>
      <c r="B32" s="711"/>
      <c r="C32" s="711"/>
      <c r="D32" s="759"/>
      <c r="E32" s="711"/>
      <c r="F32" s="711"/>
      <c r="G32" s="711"/>
      <c r="H32" s="711"/>
      <c r="I32" s="711"/>
    </row>
    <row r="33" spans="1:9" x14ac:dyDescent="0.3">
      <c r="A33" s="711"/>
      <c r="B33" s="711"/>
      <c r="C33" s="711"/>
      <c r="D33" s="759"/>
      <c r="E33" s="711"/>
      <c r="F33" s="711"/>
      <c r="G33" s="711"/>
      <c r="H33" s="711"/>
      <c r="I33" s="711"/>
    </row>
    <row r="34" spans="1:9" x14ac:dyDescent="0.3">
      <c r="A34" s="711"/>
      <c r="B34" s="711"/>
      <c r="C34" s="711"/>
      <c r="D34" s="759"/>
      <c r="E34" s="711"/>
      <c r="F34" s="711"/>
      <c r="G34" s="711"/>
      <c r="H34" s="711"/>
      <c r="I34" s="711"/>
    </row>
    <row r="35" spans="1:9" x14ac:dyDescent="0.3">
      <c r="A35" s="711"/>
      <c r="B35" s="711"/>
      <c r="C35" s="711"/>
      <c r="D35" s="759"/>
      <c r="E35" s="711"/>
      <c r="F35" s="711"/>
      <c r="G35" s="711"/>
      <c r="H35" s="711"/>
      <c r="I35" s="711"/>
    </row>
    <row r="36" spans="1:9" x14ac:dyDescent="0.3">
      <c r="A36" s="711"/>
      <c r="B36" s="711"/>
      <c r="C36" s="711"/>
      <c r="D36" s="759"/>
      <c r="E36" s="711"/>
      <c r="F36" s="711"/>
      <c r="G36" s="711"/>
      <c r="H36" s="711"/>
      <c r="I36" s="711"/>
    </row>
    <row r="37" spans="1:9" x14ac:dyDescent="0.3">
      <c r="A37" s="711"/>
      <c r="B37" s="711"/>
      <c r="C37" s="711"/>
      <c r="D37" s="759"/>
      <c r="E37" s="711"/>
      <c r="F37" s="711"/>
      <c r="G37" s="711"/>
      <c r="H37" s="711"/>
      <c r="I37" s="711"/>
    </row>
    <row r="38" spans="1:9" x14ac:dyDescent="0.3">
      <c r="A38" s="711"/>
      <c r="B38" s="711"/>
      <c r="C38" s="711"/>
      <c r="D38" s="759"/>
      <c r="E38" s="711"/>
      <c r="F38" s="711"/>
      <c r="G38" s="711"/>
      <c r="H38" s="711"/>
      <c r="I38" s="711"/>
    </row>
    <row r="39" spans="1:9" x14ac:dyDescent="0.3">
      <c r="A39" s="711"/>
      <c r="B39" s="711"/>
      <c r="C39" s="711"/>
      <c r="D39" s="759"/>
      <c r="E39" s="711"/>
      <c r="F39" s="711"/>
      <c r="G39" s="711"/>
      <c r="H39" s="711"/>
      <c r="I39" s="711"/>
    </row>
    <row r="40" spans="1:9" x14ac:dyDescent="0.3">
      <c r="A40" s="711"/>
      <c r="B40" s="711"/>
      <c r="C40" s="711"/>
      <c r="D40" s="759"/>
      <c r="E40" s="711"/>
      <c r="F40" s="711"/>
      <c r="G40" s="711"/>
      <c r="H40" s="711"/>
      <c r="I40" s="711"/>
    </row>
    <row r="41" spans="1:9" x14ac:dyDescent="0.3">
      <c r="A41" s="711"/>
      <c r="B41" s="711"/>
      <c r="C41" s="711"/>
      <c r="D41" s="759"/>
      <c r="E41" s="711"/>
      <c r="F41" s="711"/>
      <c r="G41" s="711"/>
      <c r="H41" s="711"/>
      <c r="I41" s="711"/>
    </row>
    <row r="42" spans="1:9" x14ac:dyDescent="0.3">
      <c r="A42" s="711"/>
      <c r="B42" s="711"/>
      <c r="C42" s="711"/>
      <c r="D42" s="759"/>
      <c r="E42" s="711"/>
      <c r="F42" s="711"/>
      <c r="G42" s="711"/>
      <c r="H42" s="711"/>
      <c r="I42" s="711"/>
    </row>
  </sheetData>
  <mergeCells count="16">
    <mergeCell ref="A18:J18"/>
    <mergeCell ref="A19:J19"/>
    <mergeCell ref="A25:G25"/>
    <mergeCell ref="F12:G12"/>
    <mergeCell ref="A9:J9"/>
    <mergeCell ref="F11:G11"/>
    <mergeCell ref="F13:G13"/>
    <mergeCell ref="F14:G14"/>
    <mergeCell ref="A16:J16"/>
    <mergeCell ref="F15:G15"/>
    <mergeCell ref="A7:J7"/>
    <mergeCell ref="A1:J1"/>
    <mergeCell ref="A2:J2"/>
    <mergeCell ref="A3:J3"/>
    <mergeCell ref="A5:J5"/>
    <mergeCell ref="A6:J6"/>
  </mergeCells>
  <conditionalFormatting sqref="G22">
    <cfRule type="expression" dxfId="14" priority="10">
      <formula>LEN(#REF!)=3</formula>
    </cfRule>
    <cfRule type="expression" dxfId="13" priority="11">
      <formula>AND(#REF!&lt;&gt;"",#REF!="")</formula>
    </cfRule>
  </conditionalFormatting>
  <conditionalFormatting sqref="H25">
    <cfRule type="containsText" dxfId="12" priority="9" operator="containsText" text="H$13">
      <formula>NOT(ISERROR(SEARCH("H$13",#REF!)))</formula>
    </cfRule>
  </conditionalFormatting>
  <conditionalFormatting sqref="H23:I23">
    <cfRule type="containsText" dxfId="11" priority="8" operator="containsText" text="H$13">
      <formula>NOT(ISERROR(SEARCH("H$13",#REF!)))</formula>
    </cfRule>
  </conditionalFormatting>
  <conditionalFormatting sqref="H25:I25">
    <cfRule type="expression" dxfId="10" priority="6">
      <formula>AND(#REF!&lt;&gt;"",LEN(#REF!)&lt;=3)</formula>
    </cfRule>
    <cfRule type="expression" dxfId="9" priority="7">
      <formula>AND(LEN(#REF!)&gt;3,#REF!="")</formula>
    </cfRule>
  </conditionalFormatting>
  <conditionalFormatting sqref="I1:I17">
    <cfRule type="containsText" dxfId="8" priority="5" operator="containsText" text="H$13">
      <formula>NOT(ISERROR(SEARCH("H$13",#REF!)))</formula>
    </cfRule>
  </conditionalFormatting>
  <conditionalFormatting sqref="I19:I22">
    <cfRule type="containsText" dxfId="7" priority="4" operator="containsText" text="H$13">
      <formula>NOT(ISERROR(SEARCH("H$13",#REF!)))</formula>
    </cfRule>
  </conditionalFormatting>
  <conditionalFormatting sqref="I24:I26">
    <cfRule type="containsText" dxfId="6" priority="3" operator="containsText" text="H$13">
      <formula>NOT(ISERROR(SEARCH("H$13",#REF!)))</formula>
    </cfRule>
  </conditionalFormatting>
  <conditionalFormatting sqref="J20">
    <cfRule type="containsText" dxfId="5" priority="1" operator="containsText" text="H$13">
      <formula>NOT(ISERROR(SEARCH("H$13",#REF!)))</formula>
    </cfRule>
  </conditionalFormatting>
  <pageMargins left="0.511811024" right="0.511811024" top="0.78740157499999996" bottom="0.78740157499999996" header="0.31496062000000002" footer="0.31496062000000002"/>
  <pageSetup paperSize="9" scale="4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1DA43-E6FB-4427-BE0E-FBDC3774522F}">
  <dimension ref="A1:D12668"/>
  <sheetViews>
    <sheetView workbookViewId="0">
      <selection sqref="A1:XFD1048576"/>
    </sheetView>
  </sheetViews>
  <sheetFormatPr defaultColWidth="8" defaultRowHeight="14" x14ac:dyDescent="0.3"/>
  <cols>
    <col min="1" max="1" width="16.25" style="4" customWidth="1"/>
    <col min="2" max="2" width="172.83203125" style="833" customWidth="1"/>
    <col min="3" max="3" width="7.25" style="4" bestFit="1" customWidth="1"/>
    <col min="4" max="4" width="19.25" style="834" customWidth="1"/>
    <col min="5" max="16384" width="8" style="5"/>
  </cols>
  <sheetData>
    <row r="1" spans="1:4" x14ac:dyDescent="0.3">
      <c r="A1" s="830">
        <v>97141</v>
      </c>
      <c r="B1" s="831" t="s">
        <v>4756</v>
      </c>
      <c r="C1" s="830" t="s">
        <v>194</v>
      </c>
      <c r="D1" s="832">
        <v>4.8600000000000003</v>
      </c>
    </row>
    <row r="2" spans="1:4" x14ac:dyDescent="0.3">
      <c r="A2" s="830">
        <v>97142</v>
      </c>
      <c r="B2" s="831" t="s">
        <v>4757</v>
      </c>
      <c r="C2" s="830" t="s">
        <v>194</v>
      </c>
      <c r="D2" s="832">
        <v>5.64</v>
      </c>
    </row>
    <row r="3" spans="1:4" x14ac:dyDescent="0.3">
      <c r="A3" s="830">
        <v>97143</v>
      </c>
      <c r="B3" s="831" t="s">
        <v>4758</v>
      </c>
      <c r="C3" s="830" t="s">
        <v>194</v>
      </c>
      <c r="D3" s="832">
        <v>7.55</v>
      </c>
    </row>
    <row r="4" spans="1:4" x14ac:dyDescent="0.3">
      <c r="A4" s="830">
        <v>97144</v>
      </c>
      <c r="B4" s="831" t="s">
        <v>4759</v>
      </c>
      <c r="C4" s="830" t="s">
        <v>194</v>
      </c>
      <c r="D4" s="832">
        <v>9.4600000000000009</v>
      </c>
    </row>
    <row r="5" spans="1:4" x14ac:dyDescent="0.3">
      <c r="A5" s="830">
        <v>97145</v>
      </c>
      <c r="B5" s="831" t="s">
        <v>4760</v>
      </c>
      <c r="C5" s="830" t="s">
        <v>194</v>
      </c>
      <c r="D5" s="832">
        <v>11.39</v>
      </c>
    </row>
    <row r="6" spans="1:4" x14ac:dyDescent="0.3">
      <c r="A6" s="830">
        <v>97146</v>
      </c>
      <c r="B6" s="831" t="s">
        <v>4761</v>
      </c>
      <c r="C6" s="830" t="s">
        <v>194</v>
      </c>
      <c r="D6" s="832">
        <v>13.32</v>
      </c>
    </row>
    <row r="7" spans="1:4" x14ac:dyDescent="0.3">
      <c r="A7" s="830">
        <v>97147</v>
      </c>
      <c r="B7" s="831" t="s">
        <v>4762</v>
      </c>
      <c r="C7" s="830" t="s">
        <v>194</v>
      </c>
      <c r="D7" s="832">
        <v>15.26</v>
      </c>
    </row>
    <row r="8" spans="1:4" x14ac:dyDescent="0.3">
      <c r="A8" s="830">
        <v>97148</v>
      </c>
      <c r="B8" s="831" t="s">
        <v>4763</v>
      </c>
      <c r="C8" s="830" t="s">
        <v>194</v>
      </c>
      <c r="D8" s="832">
        <v>17.18</v>
      </c>
    </row>
    <row r="9" spans="1:4" x14ac:dyDescent="0.3">
      <c r="A9" s="830">
        <v>97149</v>
      </c>
      <c r="B9" s="831" t="s">
        <v>4764</v>
      </c>
      <c r="C9" s="830" t="s">
        <v>194</v>
      </c>
      <c r="D9" s="832">
        <v>19.149999999999999</v>
      </c>
    </row>
    <row r="10" spans="1:4" x14ac:dyDescent="0.3">
      <c r="A10" s="830">
        <v>97150</v>
      </c>
      <c r="B10" s="831" t="s">
        <v>4765</v>
      </c>
      <c r="C10" s="830" t="s">
        <v>194</v>
      </c>
      <c r="D10" s="832">
        <v>24.39</v>
      </c>
    </row>
    <row r="11" spans="1:4" x14ac:dyDescent="0.3">
      <c r="A11" s="830">
        <v>97151</v>
      </c>
      <c r="B11" s="831" t="s">
        <v>4766</v>
      </c>
      <c r="C11" s="830" t="s">
        <v>194</v>
      </c>
      <c r="D11" s="832">
        <v>28.82</v>
      </c>
    </row>
    <row r="12" spans="1:4" x14ac:dyDescent="0.3">
      <c r="A12" s="830">
        <v>97152</v>
      </c>
      <c r="B12" s="831" t="s">
        <v>4767</v>
      </c>
      <c r="C12" s="830" t="s">
        <v>194</v>
      </c>
      <c r="D12" s="832">
        <v>32.92</v>
      </c>
    </row>
    <row r="13" spans="1:4" x14ac:dyDescent="0.3">
      <c r="A13" s="830">
        <v>97153</v>
      </c>
      <c r="B13" s="831" t="s">
        <v>4768</v>
      </c>
      <c r="C13" s="830" t="s">
        <v>194</v>
      </c>
      <c r="D13" s="832">
        <v>37.229999999999997</v>
      </c>
    </row>
    <row r="14" spans="1:4" x14ac:dyDescent="0.3">
      <c r="A14" s="830">
        <v>97154</v>
      </c>
      <c r="B14" s="831" t="s">
        <v>4769</v>
      </c>
      <c r="C14" s="830" t="s">
        <v>194</v>
      </c>
      <c r="D14" s="832">
        <v>41.57</v>
      </c>
    </row>
    <row r="15" spans="1:4" x14ac:dyDescent="0.3">
      <c r="A15" s="830">
        <v>97155</v>
      </c>
      <c r="B15" s="831" t="s">
        <v>4770</v>
      </c>
      <c r="C15" s="830" t="s">
        <v>194</v>
      </c>
      <c r="D15" s="832">
        <v>45.92</v>
      </c>
    </row>
    <row r="16" spans="1:4" x14ac:dyDescent="0.3">
      <c r="A16" s="830">
        <v>97156</v>
      </c>
      <c r="B16" s="831" t="s">
        <v>4771</v>
      </c>
      <c r="C16" s="830" t="s">
        <v>194</v>
      </c>
      <c r="D16" s="832">
        <v>55.09</v>
      </c>
    </row>
    <row r="17" spans="1:4" x14ac:dyDescent="0.3">
      <c r="A17" s="830">
        <v>97157</v>
      </c>
      <c r="B17" s="831" t="s">
        <v>4772</v>
      </c>
      <c r="C17" s="830" t="s">
        <v>194</v>
      </c>
      <c r="D17" s="832">
        <v>3.74</v>
      </c>
    </row>
    <row r="18" spans="1:4" x14ac:dyDescent="0.3">
      <c r="A18" s="830">
        <v>97158</v>
      </c>
      <c r="B18" s="831" t="s">
        <v>4773</v>
      </c>
      <c r="C18" s="830" t="s">
        <v>194</v>
      </c>
      <c r="D18" s="832">
        <v>4.3899999999999997</v>
      </c>
    </row>
    <row r="19" spans="1:4" x14ac:dyDescent="0.3">
      <c r="A19" s="830">
        <v>97159</v>
      </c>
      <c r="B19" s="831" t="s">
        <v>4774</v>
      </c>
      <c r="C19" s="830" t="s">
        <v>194</v>
      </c>
      <c r="D19" s="832">
        <v>5.99</v>
      </c>
    </row>
    <row r="20" spans="1:4" x14ac:dyDescent="0.3">
      <c r="A20" s="830">
        <v>97160</v>
      </c>
      <c r="B20" s="831" t="s">
        <v>4775</v>
      </c>
      <c r="C20" s="830" t="s">
        <v>194</v>
      </c>
      <c r="D20" s="832">
        <v>7.58</v>
      </c>
    </row>
    <row r="21" spans="1:4" x14ac:dyDescent="0.3">
      <c r="A21" s="830">
        <v>97161</v>
      </c>
      <c r="B21" s="831" t="s">
        <v>4776</v>
      </c>
      <c r="C21" s="830" t="s">
        <v>194</v>
      </c>
      <c r="D21" s="832">
        <v>9.1999999999999993</v>
      </c>
    </row>
    <row r="22" spans="1:4" x14ac:dyDescent="0.3">
      <c r="A22" s="830">
        <v>97162</v>
      </c>
      <c r="B22" s="831" t="s">
        <v>4777</v>
      </c>
      <c r="C22" s="830" t="s">
        <v>194</v>
      </c>
      <c r="D22" s="832">
        <v>10.81</v>
      </c>
    </row>
    <row r="23" spans="1:4" x14ac:dyDescent="0.3">
      <c r="A23" s="830">
        <v>97163</v>
      </c>
      <c r="B23" s="831" t="s">
        <v>4778</v>
      </c>
      <c r="C23" s="830" t="s">
        <v>194</v>
      </c>
      <c r="D23" s="832">
        <v>12.43</v>
      </c>
    </row>
    <row r="24" spans="1:4" x14ac:dyDescent="0.3">
      <c r="A24" s="830">
        <v>97164</v>
      </c>
      <c r="B24" s="831" t="s">
        <v>4779</v>
      </c>
      <c r="C24" s="830" t="s">
        <v>194</v>
      </c>
      <c r="D24" s="832">
        <v>14.04</v>
      </c>
    </row>
    <row r="25" spans="1:4" x14ac:dyDescent="0.3">
      <c r="A25" s="830">
        <v>97165</v>
      </c>
      <c r="B25" s="831" t="s">
        <v>4780</v>
      </c>
      <c r="C25" s="830" t="s">
        <v>194</v>
      </c>
      <c r="D25" s="832">
        <v>15.69</v>
      </c>
    </row>
    <row r="26" spans="1:4" x14ac:dyDescent="0.3">
      <c r="A26" s="830">
        <v>97166</v>
      </c>
      <c r="B26" s="831" t="s">
        <v>4781</v>
      </c>
      <c r="C26" s="830" t="s">
        <v>194</v>
      </c>
      <c r="D26" s="832">
        <v>19.54</v>
      </c>
    </row>
    <row r="27" spans="1:4" x14ac:dyDescent="0.3">
      <c r="A27" s="830">
        <v>97167</v>
      </c>
      <c r="B27" s="831" t="s">
        <v>4782</v>
      </c>
      <c r="C27" s="830" t="s">
        <v>194</v>
      </c>
      <c r="D27" s="832">
        <v>23.15</v>
      </c>
    </row>
    <row r="28" spans="1:4" x14ac:dyDescent="0.3">
      <c r="A28" s="830">
        <v>97168</v>
      </c>
      <c r="B28" s="831" t="s">
        <v>4783</v>
      </c>
      <c r="C28" s="830" t="s">
        <v>194</v>
      </c>
      <c r="D28" s="832">
        <v>26.49</v>
      </c>
    </row>
    <row r="29" spans="1:4" x14ac:dyDescent="0.3">
      <c r="A29" s="830">
        <v>97169</v>
      </c>
      <c r="B29" s="831" t="s">
        <v>4784</v>
      </c>
      <c r="C29" s="830" t="s">
        <v>194</v>
      </c>
      <c r="D29" s="832">
        <v>30</v>
      </c>
    </row>
    <row r="30" spans="1:4" x14ac:dyDescent="0.3">
      <c r="A30" s="830">
        <v>97170</v>
      </c>
      <c r="B30" s="831" t="s">
        <v>4785</v>
      </c>
      <c r="C30" s="830" t="s">
        <v>194</v>
      </c>
      <c r="D30" s="832">
        <v>33.54</v>
      </c>
    </row>
    <row r="31" spans="1:4" x14ac:dyDescent="0.3">
      <c r="A31" s="830">
        <v>97171</v>
      </c>
      <c r="B31" s="831" t="s">
        <v>4786</v>
      </c>
      <c r="C31" s="830" t="s">
        <v>194</v>
      </c>
      <c r="D31" s="832">
        <v>37.1</v>
      </c>
    </row>
    <row r="32" spans="1:4" x14ac:dyDescent="0.3">
      <c r="A32" s="830">
        <v>97172</v>
      </c>
      <c r="B32" s="831" t="s">
        <v>4787</v>
      </c>
      <c r="C32" s="830" t="s">
        <v>194</v>
      </c>
      <c r="D32" s="832">
        <v>44.68</v>
      </c>
    </row>
    <row r="33" spans="1:4" x14ac:dyDescent="0.3">
      <c r="A33" s="830">
        <v>105249</v>
      </c>
      <c r="B33" s="831" t="s">
        <v>4788</v>
      </c>
      <c r="C33" s="830" t="s">
        <v>89</v>
      </c>
      <c r="D33" s="832">
        <v>122.55</v>
      </c>
    </row>
    <row r="34" spans="1:4" x14ac:dyDescent="0.3">
      <c r="A34" s="830">
        <v>105250</v>
      </c>
      <c r="B34" s="831" t="s">
        <v>4789</v>
      </c>
      <c r="C34" s="830" t="s">
        <v>89</v>
      </c>
      <c r="D34" s="832">
        <v>15.43</v>
      </c>
    </row>
    <row r="35" spans="1:4" x14ac:dyDescent="0.3">
      <c r="A35" s="830">
        <v>105251</v>
      </c>
      <c r="B35" s="831" t="s">
        <v>4790</v>
      </c>
      <c r="C35" s="830" t="s">
        <v>89</v>
      </c>
      <c r="D35" s="832">
        <v>17.86</v>
      </c>
    </row>
    <row r="36" spans="1:4" x14ac:dyDescent="0.3">
      <c r="A36" s="830">
        <v>105252</v>
      </c>
      <c r="B36" s="831" t="s">
        <v>4791</v>
      </c>
      <c r="C36" s="830" t="s">
        <v>89</v>
      </c>
      <c r="D36" s="832">
        <v>23.89</v>
      </c>
    </row>
    <row r="37" spans="1:4" x14ac:dyDescent="0.3">
      <c r="A37" s="830">
        <v>105253</v>
      </c>
      <c r="B37" s="831" t="s">
        <v>4792</v>
      </c>
      <c r="C37" s="830" t="s">
        <v>89</v>
      </c>
      <c r="D37" s="832">
        <v>29.89</v>
      </c>
    </row>
    <row r="38" spans="1:4" x14ac:dyDescent="0.3">
      <c r="A38" s="830">
        <v>105254</v>
      </c>
      <c r="B38" s="831" t="s">
        <v>4793</v>
      </c>
      <c r="C38" s="830" t="s">
        <v>89</v>
      </c>
      <c r="D38" s="832">
        <v>36.08</v>
      </c>
    </row>
    <row r="39" spans="1:4" x14ac:dyDescent="0.3">
      <c r="A39" s="830">
        <v>105255</v>
      </c>
      <c r="B39" s="831" t="s">
        <v>4794</v>
      </c>
      <c r="C39" s="830" t="s">
        <v>89</v>
      </c>
      <c r="D39" s="832">
        <v>42.25</v>
      </c>
    </row>
    <row r="40" spans="1:4" x14ac:dyDescent="0.3">
      <c r="A40" s="830">
        <v>105256</v>
      </c>
      <c r="B40" s="831" t="s">
        <v>4795</v>
      </c>
      <c r="C40" s="830" t="s">
        <v>89</v>
      </c>
      <c r="D40" s="832">
        <v>48.41</v>
      </c>
    </row>
    <row r="41" spans="1:4" x14ac:dyDescent="0.3">
      <c r="A41" s="830">
        <v>105257</v>
      </c>
      <c r="B41" s="831" t="s">
        <v>4796</v>
      </c>
      <c r="C41" s="830" t="s">
        <v>89</v>
      </c>
      <c r="D41" s="832">
        <v>54.55</v>
      </c>
    </row>
    <row r="42" spans="1:4" x14ac:dyDescent="0.3">
      <c r="A42" s="830">
        <v>105258</v>
      </c>
      <c r="B42" s="831" t="s">
        <v>4797</v>
      </c>
      <c r="C42" s="830" t="s">
        <v>89</v>
      </c>
      <c r="D42" s="832">
        <v>31.04</v>
      </c>
    </row>
    <row r="43" spans="1:4" x14ac:dyDescent="0.3">
      <c r="A43" s="830">
        <v>105259</v>
      </c>
      <c r="B43" s="831" t="s">
        <v>4798</v>
      </c>
      <c r="C43" s="830" t="s">
        <v>89</v>
      </c>
      <c r="D43" s="832">
        <v>19.36</v>
      </c>
    </row>
    <row r="44" spans="1:4" x14ac:dyDescent="0.3">
      <c r="A44" s="830">
        <v>105261</v>
      </c>
      <c r="B44" s="831" t="s">
        <v>4799</v>
      </c>
      <c r="C44" s="830" t="s">
        <v>89</v>
      </c>
      <c r="D44" s="832">
        <v>34.770000000000003</v>
      </c>
    </row>
    <row r="45" spans="1:4" x14ac:dyDescent="0.3">
      <c r="A45" s="830">
        <v>105262</v>
      </c>
      <c r="B45" s="831" t="s">
        <v>4800</v>
      </c>
      <c r="C45" s="830" t="s">
        <v>89</v>
      </c>
      <c r="D45" s="832">
        <v>43.03</v>
      </c>
    </row>
    <row r="46" spans="1:4" x14ac:dyDescent="0.3">
      <c r="A46" s="830">
        <v>105263</v>
      </c>
      <c r="B46" s="831" t="s">
        <v>4801</v>
      </c>
      <c r="C46" s="830" t="s">
        <v>89</v>
      </c>
      <c r="D46" s="832">
        <v>51.18</v>
      </c>
    </row>
    <row r="47" spans="1:4" x14ac:dyDescent="0.3">
      <c r="A47" s="830">
        <v>105264</v>
      </c>
      <c r="B47" s="831" t="s">
        <v>4802</v>
      </c>
      <c r="C47" s="830" t="s">
        <v>89</v>
      </c>
      <c r="D47" s="832">
        <v>58.53</v>
      </c>
    </row>
    <row r="48" spans="1:4" x14ac:dyDescent="0.3">
      <c r="A48" s="830">
        <v>105265</v>
      </c>
      <c r="B48" s="831" t="s">
        <v>4803</v>
      </c>
      <c r="C48" s="830" t="s">
        <v>89</v>
      </c>
      <c r="D48" s="832">
        <v>66.180000000000007</v>
      </c>
    </row>
    <row r="49" spans="1:4" x14ac:dyDescent="0.3">
      <c r="A49" s="830">
        <v>105266</v>
      </c>
      <c r="B49" s="831" t="s">
        <v>4804</v>
      </c>
      <c r="C49" s="830" t="s">
        <v>89</v>
      </c>
      <c r="D49" s="832">
        <v>74.069999999999993</v>
      </c>
    </row>
    <row r="50" spans="1:4" x14ac:dyDescent="0.3">
      <c r="A50" s="830">
        <v>105267</v>
      </c>
      <c r="B50" s="831" t="s">
        <v>4805</v>
      </c>
      <c r="C50" s="830" t="s">
        <v>89</v>
      </c>
      <c r="D50" s="832">
        <v>82.07</v>
      </c>
    </row>
    <row r="51" spans="1:4" x14ac:dyDescent="0.3">
      <c r="A51" s="830">
        <v>105268</v>
      </c>
      <c r="B51" s="831" t="s">
        <v>4806</v>
      </c>
      <c r="C51" s="830" t="s">
        <v>89</v>
      </c>
      <c r="D51" s="832">
        <v>101.2</v>
      </c>
    </row>
    <row r="52" spans="1:4" x14ac:dyDescent="0.3">
      <c r="A52" s="830">
        <v>105269</v>
      </c>
      <c r="B52" s="831" t="s">
        <v>4807</v>
      </c>
      <c r="C52" s="830" t="s">
        <v>89</v>
      </c>
      <c r="D52" s="832">
        <v>11.98</v>
      </c>
    </row>
    <row r="53" spans="1:4" x14ac:dyDescent="0.3">
      <c r="A53" s="830">
        <v>105270</v>
      </c>
      <c r="B53" s="831" t="s">
        <v>4808</v>
      </c>
      <c r="C53" s="830" t="s">
        <v>89</v>
      </c>
      <c r="D53" s="832">
        <v>60.86</v>
      </c>
    </row>
    <row r="54" spans="1:4" x14ac:dyDescent="0.3">
      <c r="A54" s="830">
        <v>105271</v>
      </c>
      <c r="B54" s="831" t="s">
        <v>4809</v>
      </c>
      <c r="C54" s="830" t="s">
        <v>89</v>
      </c>
      <c r="D54" s="832">
        <v>77.260000000000005</v>
      </c>
    </row>
    <row r="55" spans="1:4" x14ac:dyDescent="0.3">
      <c r="A55" s="830">
        <v>105272</v>
      </c>
      <c r="B55" s="831" t="s">
        <v>4810</v>
      </c>
      <c r="C55" s="830" t="s">
        <v>89</v>
      </c>
      <c r="D55" s="832">
        <v>91.37</v>
      </c>
    </row>
    <row r="56" spans="1:4" x14ac:dyDescent="0.3">
      <c r="A56" s="830">
        <v>105273</v>
      </c>
      <c r="B56" s="831" t="s">
        <v>4811</v>
      </c>
      <c r="C56" s="830" t="s">
        <v>89</v>
      </c>
      <c r="D56" s="832">
        <v>104.67</v>
      </c>
    </row>
    <row r="57" spans="1:4" x14ac:dyDescent="0.3">
      <c r="A57" s="830">
        <v>105274</v>
      </c>
      <c r="B57" s="831" t="s">
        <v>4812</v>
      </c>
      <c r="C57" s="830" t="s">
        <v>89</v>
      </c>
      <c r="D57" s="832">
        <v>118.28</v>
      </c>
    </row>
    <row r="58" spans="1:4" x14ac:dyDescent="0.3">
      <c r="A58" s="830">
        <v>105275</v>
      </c>
      <c r="B58" s="831" t="s">
        <v>4813</v>
      </c>
      <c r="C58" s="830" t="s">
        <v>89</v>
      </c>
      <c r="D58" s="832">
        <v>132.11000000000001</v>
      </c>
    </row>
    <row r="59" spans="1:4" x14ac:dyDescent="0.3">
      <c r="A59" s="830">
        <v>105276</v>
      </c>
      <c r="B59" s="831" t="s">
        <v>4814</v>
      </c>
      <c r="C59" s="830" t="s">
        <v>89</v>
      </c>
      <c r="D59" s="832">
        <v>146.06</v>
      </c>
    </row>
    <row r="60" spans="1:4" x14ac:dyDescent="0.3">
      <c r="A60" s="830">
        <v>105277</v>
      </c>
      <c r="B60" s="831" t="s">
        <v>4815</v>
      </c>
      <c r="C60" s="830" t="s">
        <v>89</v>
      </c>
      <c r="D60" s="832">
        <v>177.08</v>
      </c>
    </row>
    <row r="61" spans="1:4" x14ac:dyDescent="0.3">
      <c r="A61" s="830">
        <v>105278</v>
      </c>
      <c r="B61" s="831" t="s">
        <v>4816</v>
      </c>
      <c r="C61" s="830" t="s">
        <v>89</v>
      </c>
      <c r="D61" s="832">
        <v>21.14</v>
      </c>
    </row>
    <row r="62" spans="1:4" x14ac:dyDescent="0.3">
      <c r="A62" s="830">
        <v>105279</v>
      </c>
      <c r="B62" s="831" t="s">
        <v>4817</v>
      </c>
      <c r="C62" s="830" t="s">
        <v>89</v>
      </c>
      <c r="D62" s="832">
        <v>24.49</v>
      </c>
    </row>
    <row r="63" spans="1:4" x14ac:dyDescent="0.3">
      <c r="A63" s="830">
        <v>105280</v>
      </c>
      <c r="B63" s="831" t="s">
        <v>4818</v>
      </c>
      <c r="C63" s="830" t="s">
        <v>89</v>
      </c>
      <c r="D63" s="832">
        <v>32.700000000000003</v>
      </c>
    </row>
    <row r="64" spans="1:4" x14ac:dyDescent="0.3">
      <c r="A64" s="830">
        <v>105281</v>
      </c>
      <c r="B64" s="831" t="s">
        <v>4819</v>
      </c>
      <c r="C64" s="830" t="s">
        <v>89</v>
      </c>
      <c r="D64" s="832">
        <v>40.9</v>
      </c>
    </row>
    <row r="65" spans="1:4" x14ac:dyDescent="0.3">
      <c r="A65" s="830">
        <v>105282</v>
      </c>
      <c r="B65" s="831" t="s">
        <v>4820</v>
      </c>
      <c r="C65" s="830" t="s">
        <v>89</v>
      </c>
      <c r="D65" s="832">
        <v>14.02</v>
      </c>
    </row>
    <row r="66" spans="1:4" x14ac:dyDescent="0.3">
      <c r="A66" s="830">
        <v>105283</v>
      </c>
      <c r="B66" s="831" t="s">
        <v>4821</v>
      </c>
      <c r="C66" s="830" t="s">
        <v>89</v>
      </c>
      <c r="D66" s="832">
        <v>26.28</v>
      </c>
    </row>
    <row r="67" spans="1:4" x14ac:dyDescent="0.3">
      <c r="A67" s="830">
        <v>105284</v>
      </c>
      <c r="B67" s="831" t="s">
        <v>4822</v>
      </c>
      <c r="C67" s="830" t="s">
        <v>89</v>
      </c>
      <c r="D67" s="832">
        <v>49.46</v>
      </c>
    </row>
    <row r="68" spans="1:4" x14ac:dyDescent="0.3">
      <c r="A68" s="830">
        <v>105297</v>
      </c>
      <c r="B68" s="831" t="s">
        <v>4823</v>
      </c>
      <c r="C68" s="830" t="s">
        <v>89</v>
      </c>
      <c r="D68" s="832">
        <v>10.55</v>
      </c>
    </row>
    <row r="69" spans="1:4" x14ac:dyDescent="0.3">
      <c r="A69" s="830">
        <v>105298</v>
      </c>
      <c r="B69" s="831" t="s">
        <v>4824</v>
      </c>
      <c r="C69" s="830" t="s">
        <v>89</v>
      </c>
      <c r="D69" s="832">
        <v>19.07</v>
      </c>
    </row>
    <row r="70" spans="1:4" x14ac:dyDescent="0.3">
      <c r="A70" s="830">
        <v>105299</v>
      </c>
      <c r="B70" s="831" t="s">
        <v>4825</v>
      </c>
      <c r="C70" s="830" t="s">
        <v>89</v>
      </c>
      <c r="D70" s="832">
        <v>24.11</v>
      </c>
    </row>
    <row r="71" spans="1:4" x14ac:dyDescent="0.3">
      <c r="A71" s="830">
        <v>105300</v>
      </c>
      <c r="B71" s="831" t="s">
        <v>4826</v>
      </c>
      <c r="C71" s="830" t="s">
        <v>89</v>
      </c>
      <c r="D71" s="832">
        <v>29.32</v>
      </c>
    </row>
    <row r="72" spans="1:4" x14ac:dyDescent="0.3">
      <c r="A72" s="830">
        <v>105301</v>
      </c>
      <c r="B72" s="831" t="s">
        <v>4827</v>
      </c>
      <c r="C72" s="830" t="s">
        <v>89</v>
      </c>
      <c r="D72" s="832">
        <v>34.51</v>
      </c>
    </row>
    <row r="73" spans="1:4" x14ac:dyDescent="0.3">
      <c r="A73" s="830">
        <v>105302</v>
      </c>
      <c r="B73" s="831" t="s">
        <v>4828</v>
      </c>
      <c r="C73" s="830" t="s">
        <v>89</v>
      </c>
      <c r="D73" s="832">
        <v>39.71</v>
      </c>
    </row>
    <row r="74" spans="1:4" x14ac:dyDescent="0.3">
      <c r="A74" s="830">
        <v>105303</v>
      </c>
      <c r="B74" s="831" t="s">
        <v>4829</v>
      </c>
      <c r="C74" s="830" t="s">
        <v>89</v>
      </c>
      <c r="D74" s="832">
        <v>44.87</v>
      </c>
    </row>
    <row r="75" spans="1:4" x14ac:dyDescent="0.3">
      <c r="A75" s="830">
        <v>105304</v>
      </c>
      <c r="B75" s="831" t="s">
        <v>4830</v>
      </c>
      <c r="C75" s="830" t="s">
        <v>89</v>
      </c>
      <c r="D75" s="832">
        <v>50.21</v>
      </c>
    </row>
    <row r="76" spans="1:4" x14ac:dyDescent="0.3">
      <c r="A76" s="830">
        <v>105305</v>
      </c>
      <c r="B76" s="831" t="s">
        <v>4831</v>
      </c>
      <c r="C76" s="830" t="s">
        <v>89</v>
      </c>
      <c r="D76" s="832">
        <v>62.33</v>
      </c>
    </row>
    <row r="77" spans="1:4" x14ac:dyDescent="0.3">
      <c r="A77" s="830">
        <v>105306</v>
      </c>
      <c r="B77" s="831" t="s">
        <v>4832</v>
      </c>
      <c r="C77" s="830" t="s">
        <v>89</v>
      </c>
      <c r="D77" s="832">
        <v>74</v>
      </c>
    </row>
    <row r="78" spans="1:4" x14ac:dyDescent="0.3">
      <c r="A78" s="830">
        <v>105307</v>
      </c>
      <c r="B78" s="831" t="s">
        <v>4833</v>
      </c>
      <c r="C78" s="830" t="s">
        <v>89</v>
      </c>
      <c r="D78" s="832">
        <v>84.85</v>
      </c>
    </row>
    <row r="79" spans="1:4" x14ac:dyDescent="0.3">
      <c r="A79" s="830">
        <v>105317</v>
      </c>
      <c r="B79" s="831" t="s">
        <v>4834</v>
      </c>
      <c r="C79" s="830" t="s">
        <v>89</v>
      </c>
      <c r="D79" s="832">
        <v>23.82</v>
      </c>
    </row>
    <row r="80" spans="1:4" x14ac:dyDescent="0.3">
      <c r="A80" s="830">
        <v>105318</v>
      </c>
      <c r="B80" s="831" t="s">
        <v>4835</v>
      </c>
      <c r="C80" s="830" t="s">
        <v>89</v>
      </c>
      <c r="D80" s="832">
        <v>27.43</v>
      </c>
    </row>
    <row r="81" spans="1:4" x14ac:dyDescent="0.3">
      <c r="A81" s="830">
        <v>105319</v>
      </c>
      <c r="B81" s="831" t="s">
        <v>4836</v>
      </c>
      <c r="C81" s="830" t="s">
        <v>89</v>
      </c>
      <c r="D81" s="832">
        <v>33.19</v>
      </c>
    </row>
    <row r="82" spans="1:4" x14ac:dyDescent="0.3">
      <c r="A82" s="830">
        <v>105320</v>
      </c>
      <c r="B82" s="831" t="s">
        <v>4837</v>
      </c>
      <c r="C82" s="830" t="s">
        <v>89</v>
      </c>
      <c r="D82" s="832">
        <v>40.450000000000003</v>
      </c>
    </row>
    <row r="83" spans="1:4" x14ac:dyDescent="0.3">
      <c r="A83" s="830">
        <v>105321</v>
      </c>
      <c r="B83" s="831" t="s">
        <v>4838</v>
      </c>
      <c r="C83" s="830" t="s">
        <v>89</v>
      </c>
      <c r="D83" s="832">
        <v>47.68</v>
      </c>
    </row>
    <row r="84" spans="1:4" x14ac:dyDescent="0.3">
      <c r="A84" s="830">
        <v>105322</v>
      </c>
      <c r="B84" s="831" t="s">
        <v>4839</v>
      </c>
      <c r="C84" s="830" t="s">
        <v>89</v>
      </c>
      <c r="D84" s="832">
        <v>54.89</v>
      </c>
    </row>
    <row r="85" spans="1:4" x14ac:dyDescent="0.3">
      <c r="A85" s="830">
        <v>105323</v>
      </c>
      <c r="B85" s="831" t="s">
        <v>4840</v>
      </c>
      <c r="C85" s="830" t="s">
        <v>89</v>
      </c>
      <c r="D85" s="832">
        <v>62.1</v>
      </c>
    </row>
    <row r="86" spans="1:4" x14ac:dyDescent="0.3">
      <c r="A86" s="830">
        <v>105324</v>
      </c>
      <c r="B86" s="831" t="s">
        <v>4841</v>
      </c>
      <c r="C86" s="830" t="s">
        <v>89</v>
      </c>
      <c r="D86" s="832">
        <v>69.599999999999994</v>
      </c>
    </row>
    <row r="87" spans="1:4" x14ac:dyDescent="0.3">
      <c r="A87" s="830">
        <v>105325</v>
      </c>
      <c r="B87" s="831" t="s">
        <v>4842</v>
      </c>
      <c r="C87" s="830" t="s">
        <v>89</v>
      </c>
      <c r="D87" s="832">
        <v>86.06</v>
      </c>
    </row>
    <row r="88" spans="1:4" x14ac:dyDescent="0.3">
      <c r="A88" s="830">
        <v>105326</v>
      </c>
      <c r="B88" s="831" t="s">
        <v>4843</v>
      </c>
      <c r="C88" s="830" t="s">
        <v>89</v>
      </c>
      <c r="D88" s="832">
        <v>102.39</v>
      </c>
    </row>
    <row r="89" spans="1:4" x14ac:dyDescent="0.3">
      <c r="A89" s="830">
        <v>105340</v>
      </c>
      <c r="B89" s="831" t="s">
        <v>4844</v>
      </c>
      <c r="C89" s="830" t="s">
        <v>89</v>
      </c>
      <c r="D89" s="832">
        <v>96.02</v>
      </c>
    </row>
    <row r="90" spans="1:4" x14ac:dyDescent="0.3">
      <c r="A90" s="830">
        <v>105341</v>
      </c>
      <c r="B90" s="831" t="s">
        <v>4845</v>
      </c>
      <c r="C90" s="830" t="s">
        <v>89</v>
      </c>
      <c r="D90" s="832">
        <v>118.92</v>
      </c>
    </row>
    <row r="91" spans="1:4" x14ac:dyDescent="0.3">
      <c r="A91" s="830">
        <v>105342</v>
      </c>
      <c r="B91" s="831" t="s">
        <v>4846</v>
      </c>
      <c r="C91" s="830" t="s">
        <v>89</v>
      </c>
      <c r="D91" s="832">
        <v>145.05000000000001</v>
      </c>
    </row>
    <row r="92" spans="1:4" x14ac:dyDescent="0.3">
      <c r="A92" s="830">
        <v>105343</v>
      </c>
      <c r="B92" s="831" t="s">
        <v>4847</v>
      </c>
      <c r="C92" s="830" t="s">
        <v>89</v>
      </c>
      <c r="D92" s="832">
        <v>16.52</v>
      </c>
    </row>
    <row r="93" spans="1:4" x14ac:dyDescent="0.3">
      <c r="A93" s="830">
        <v>105344</v>
      </c>
      <c r="B93" s="831" t="s">
        <v>4848</v>
      </c>
      <c r="C93" s="830" t="s">
        <v>89</v>
      </c>
      <c r="D93" s="832">
        <v>117.09</v>
      </c>
    </row>
    <row r="94" spans="1:4" x14ac:dyDescent="0.3">
      <c r="A94" s="830">
        <v>105345</v>
      </c>
      <c r="B94" s="831" t="s">
        <v>4849</v>
      </c>
      <c r="C94" s="830" t="s">
        <v>89</v>
      </c>
      <c r="D94" s="832">
        <v>148.15</v>
      </c>
    </row>
    <row r="95" spans="1:4" x14ac:dyDescent="0.3">
      <c r="A95" s="830">
        <v>105346</v>
      </c>
      <c r="B95" s="831" t="s">
        <v>4850</v>
      </c>
      <c r="C95" s="830" t="s">
        <v>89</v>
      </c>
      <c r="D95" s="832">
        <v>164.17</v>
      </c>
    </row>
    <row r="96" spans="1:4" x14ac:dyDescent="0.3">
      <c r="A96" s="830">
        <v>105347</v>
      </c>
      <c r="B96" s="831" t="s">
        <v>4851</v>
      </c>
      <c r="C96" s="830" t="s">
        <v>89</v>
      </c>
      <c r="D96" s="832">
        <v>202.38</v>
      </c>
    </row>
    <row r="97" spans="1:4" x14ac:dyDescent="0.3">
      <c r="A97" s="830">
        <v>105348</v>
      </c>
      <c r="B97" s="831" t="s">
        <v>4852</v>
      </c>
      <c r="C97" s="830" t="s">
        <v>89</v>
      </c>
      <c r="D97" s="832">
        <v>57.98</v>
      </c>
    </row>
    <row r="98" spans="1:4" x14ac:dyDescent="0.3">
      <c r="A98" s="830">
        <v>105349</v>
      </c>
      <c r="B98" s="831" t="s">
        <v>4853</v>
      </c>
      <c r="C98" s="830" t="s">
        <v>89</v>
      </c>
      <c r="D98" s="832">
        <v>66.489999999999995</v>
      </c>
    </row>
    <row r="99" spans="1:4" x14ac:dyDescent="0.3">
      <c r="A99" s="830">
        <v>105350</v>
      </c>
      <c r="B99" s="831" t="s">
        <v>4854</v>
      </c>
      <c r="C99" s="830" t="s">
        <v>89</v>
      </c>
      <c r="D99" s="832">
        <v>74.989999999999995</v>
      </c>
    </row>
    <row r="100" spans="1:4" x14ac:dyDescent="0.3">
      <c r="A100" s="830">
        <v>105351</v>
      </c>
      <c r="B100" s="831" t="s">
        <v>4855</v>
      </c>
      <c r="C100" s="830" t="s">
        <v>89</v>
      </c>
      <c r="D100" s="832">
        <v>83.78</v>
      </c>
    </row>
    <row r="101" spans="1:4" x14ac:dyDescent="0.3">
      <c r="A101" s="830">
        <v>105352</v>
      </c>
      <c r="B101" s="831" t="s">
        <v>4856</v>
      </c>
      <c r="C101" s="830" t="s">
        <v>89</v>
      </c>
      <c r="D101" s="832">
        <v>105.99</v>
      </c>
    </row>
    <row r="102" spans="1:4" x14ac:dyDescent="0.3">
      <c r="A102" s="830">
        <v>105353</v>
      </c>
      <c r="B102" s="831" t="s">
        <v>4857</v>
      </c>
      <c r="C102" s="830" t="s">
        <v>89</v>
      </c>
      <c r="D102" s="832">
        <v>125.57</v>
      </c>
    </row>
    <row r="103" spans="1:4" x14ac:dyDescent="0.3">
      <c r="A103" s="830">
        <v>105354</v>
      </c>
      <c r="B103" s="831" t="s">
        <v>4858</v>
      </c>
      <c r="C103" s="830" t="s">
        <v>89</v>
      </c>
      <c r="D103" s="832">
        <v>143.51</v>
      </c>
    </row>
    <row r="104" spans="1:4" x14ac:dyDescent="0.3">
      <c r="A104" s="830">
        <v>105355</v>
      </c>
      <c r="B104" s="831" t="s">
        <v>4859</v>
      </c>
      <c r="C104" s="830" t="s">
        <v>89</v>
      </c>
      <c r="D104" s="832">
        <v>162.08000000000001</v>
      </c>
    </row>
    <row r="105" spans="1:4" x14ac:dyDescent="0.3">
      <c r="A105" s="830">
        <v>105356</v>
      </c>
      <c r="B105" s="831" t="s">
        <v>4860</v>
      </c>
      <c r="C105" s="830" t="s">
        <v>89</v>
      </c>
      <c r="D105" s="832">
        <v>181.09</v>
      </c>
    </row>
    <row r="106" spans="1:4" x14ac:dyDescent="0.3">
      <c r="A106" s="830">
        <v>105357</v>
      </c>
      <c r="B106" s="831" t="s">
        <v>4861</v>
      </c>
      <c r="C106" s="830" t="s">
        <v>89</v>
      </c>
      <c r="D106" s="832">
        <v>200.37</v>
      </c>
    </row>
    <row r="107" spans="1:4" x14ac:dyDescent="0.3">
      <c r="A107" s="830">
        <v>105358</v>
      </c>
      <c r="B107" s="831" t="s">
        <v>4862</v>
      </c>
      <c r="C107" s="830" t="s">
        <v>89</v>
      </c>
      <c r="D107" s="832">
        <v>245.09</v>
      </c>
    </row>
    <row r="108" spans="1:4" x14ac:dyDescent="0.3">
      <c r="A108" s="830">
        <v>105369</v>
      </c>
      <c r="B108" s="831" t="s">
        <v>4863</v>
      </c>
      <c r="C108" s="830" t="s">
        <v>89</v>
      </c>
      <c r="D108" s="832">
        <v>75.02</v>
      </c>
    </row>
    <row r="109" spans="1:4" x14ac:dyDescent="0.3">
      <c r="A109" s="830">
        <v>105377</v>
      </c>
      <c r="B109" s="831" t="s">
        <v>4864</v>
      </c>
      <c r="C109" s="830" t="s">
        <v>89</v>
      </c>
      <c r="D109" s="832">
        <v>47.57</v>
      </c>
    </row>
    <row r="110" spans="1:4" x14ac:dyDescent="0.3">
      <c r="A110" s="830">
        <v>105378</v>
      </c>
      <c r="B110" s="831" t="s">
        <v>4865</v>
      </c>
      <c r="C110" s="830" t="s">
        <v>89</v>
      </c>
      <c r="D110" s="832">
        <v>12.23</v>
      </c>
    </row>
    <row r="111" spans="1:4" x14ac:dyDescent="0.3">
      <c r="A111" s="830">
        <v>105379</v>
      </c>
      <c r="B111" s="831" t="s">
        <v>4866</v>
      </c>
      <c r="C111" s="830" t="s">
        <v>89</v>
      </c>
      <c r="D111" s="832">
        <v>16.329999999999998</v>
      </c>
    </row>
    <row r="112" spans="1:4" x14ac:dyDescent="0.3">
      <c r="A112" s="830">
        <v>105380</v>
      </c>
      <c r="B112" s="831" t="s">
        <v>4867</v>
      </c>
      <c r="C112" s="830" t="s">
        <v>89</v>
      </c>
      <c r="D112" s="832">
        <v>100.17</v>
      </c>
    </row>
    <row r="113" spans="1:4" x14ac:dyDescent="0.3">
      <c r="A113" s="830">
        <v>105388</v>
      </c>
      <c r="B113" s="831" t="s">
        <v>4868</v>
      </c>
      <c r="C113" s="830" t="s">
        <v>89</v>
      </c>
      <c r="D113" s="832">
        <v>13.12</v>
      </c>
    </row>
    <row r="114" spans="1:4" x14ac:dyDescent="0.3">
      <c r="A114" s="830">
        <v>105389</v>
      </c>
      <c r="B114" s="831" t="s">
        <v>4869</v>
      </c>
      <c r="C114" s="830" t="s">
        <v>89</v>
      </c>
      <c r="D114" s="832">
        <v>16.579999999999998</v>
      </c>
    </row>
    <row r="115" spans="1:4" x14ac:dyDescent="0.3">
      <c r="A115" s="830">
        <v>105390</v>
      </c>
      <c r="B115" s="831" t="s">
        <v>4870</v>
      </c>
      <c r="C115" s="830" t="s">
        <v>89</v>
      </c>
      <c r="D115" s="832">
        <v>107.41</v>
      </c>
    </row>
    <row r="116" spans="1:4" x14ac:dyDescent="0.3">
      <c r="A116" s="830">
        <v>105391</v>
      </c>
      <c r="B116" s="831" t="s">
        <v>4871</v>
      </c>
      <c r="C116" s="830" t="s">
        <v>89</v>
      </c>
      <c r="D116" s="832">
        <v>132.4</v>
      </c>
    </row>
    <row r="117" spans="1:4" x14ac:dyDescent="0.3">
      <c r="A117" s="830">
        <v>105392</v>
      </c>
      <c r="B117" s="831" t="s">
        <v>4872</v>
      </c>
      <c r="C117" s="830" t="s">
        <v>89</v>
      </c>
      <c r="D117" s="832">
        <v>20.440000000000001</v>
      </c>
    </row>
    <row r="118" spans="1:4" x14ac:dyDescent="0.3">
      <c r="A118" s="830">
        <v>105393</v>
      </c>
      <c r="B118" s="831" t="s">
        <v>4873</v>
      </c>
      <c r="C118" s="830" t="s">
        <v>89</v>
      </c>
      <c r="D118" s="832">
        <v>24.73</v>
      </c>
    </row>
    <row r="119" spans="1:4" x14ac:dyDescent="0.3">
      <c r="A119" s="830">
        <v>105394</v>
      </c>
      <c r="B119" s="831" t="s">
        <v>4874</v>
      </c>
      <c r="C119" s="830" t="s">
        <v>89</v>
      </c>
      <c r="D119" s="832">
        <v>28.96</v>
      </c>
    </row>
    <row r="120" spans="1:4" x14ac:dyDescent="0.3">
      <c r="A120" s="830">
        <v>105395</v>
      </c>
      <c r="B120" s="831" t="s">
        <v>4875</v>
      </c>
      <c r="C120" s="830" t="s">
        <v>89</v>
      </c>
      <c r="D120" s="832">
        <v>33.229999999999997</v>
      </c>
    </row>
    <row r="121" spans="1:4" x14ac:dyDescent="0.3">
      <c r="A121" s="830">
        <v>105396</v>
      </c>
      <c r="B121" s="831" t="s">
        <v>4876</v>
      </c>
      <c r="C121" s="830" t="s">
        <v>89</v>
      </c>
      <c r="D121" s="832">
        <v>37.479999999999997</v>
      </c>
    </row>
    <row r="122" spans="1:4" x14ac:dyDescent="0.3">
      <c r="A122" s="830">
        <v>105397</v>
      </c>
      <c r="B122" s="831" t="s">
        <v>4877</v>
      </c>
      <c r="C122" s="830" t="s">
        <v>89</v>
      </c>
      <c r="D122" s="832">
        <v>41.87</v>
      </c>
    </row>
    <row r="123" spans="1:4" x14ac:dyDescent="0.3">
      <c r="A123" s="830">
        <v>105398</v>
      </c>
      <c r="B123" s="831" t="s">
        <v>4878</v>
      </c>
      <c r="C123" s="830" t="s">
        <v>89</v>
      </c>
      <c r="D123" s="832">
        <v>52.97</v>
      </c>
    </row>
    <row r="124" spans="1:4" x14ac:dyDescent="0.3">
      <c r="A124" s="830">
        <v>105399</v>
      </c>
      <c r="B124" s="831" t="s">
        <v>4879</v>
      </c>
      <c r="C124" s="830" t="s">
        <v>89</v>
      </c>
      <c r="D124" s="832">
        <v>62.76</v>
      </c>
    </row>
    <row r="125" spans="1:4" x14ac:dyDescent="0.3">
      <c r="A125" s="830">
        <v>105400</v>
      </c>
      <c r="B125" s="831" t="s">
        <v>4880</v>
      </c>
      <c r="C125" s="830" t="s">
        <v>89</v>
      </c>
      <c r="D125" s="832">
        <v>71.75</v>
      </c>
    </row>
    <row r="126" spans="1:4" x14ac:dyDescent="0.3">
      <c r="A126" s="830">
        <v>105401</v>
      </c>
      <c r="B126" s="831" t="s">
        <v>4881</v>
      </c>
      <c r="C126" s="830" t="s">
        <v>89</v>
      </c>
      <c r="D126" s="832">
        <v>81.03</v>
      </c>
    </row>
    <row r="127" spans="1:4" x14ac:dyDescent="0.3">
      <c r="A127" s="830">
        <v>105402</v>
      </c>
      <c r="B127" s="831" t="s">
        <v>4882</v>
      </c>
      <c r="C127" s="830" t="s">
        <v>89</v>
      </c>
      <c r="D127" s="832">
        <v>90.55</v>
      </c>
    </row>
    <row r="128" spans="1:4" x14ac:dyDescent="0.3">
      <c r="A128" s="830">
        <v>97173</v>
      </c>
      <c r="B128" s="831" t="s">
        <v>4883</v>
      </c>
      <c r="C128" s="830" t="s">
        <v>194</v>
      </c>
      <c r="D128" s="832">
        <v>44.37</v>
      </c>
    </row>
    <row r="129" spans="1:4" x14ac:dyDescent="0.3">
      <c r="A129" s="830">
        <v>97174</v>
      </c>
      <c r="B129" s="831" t="s">
        <v>4884</v>
      </c>
      <c r="C129" s="830" t="s">
        <v>194</v>
      </c>
      <c r="D129" s="832">
        <v>52.93</v>
      </c>
    </row>
    <row r="130" spans="1:4" x14ac:dyDescent="0.3">
      <c r="A130" s="830">
        <v>97175</v>
      </c>
      <c r="B130" s="831" t="s">
        <v>4885</v>
      </c>
      <c r="C130" s="830" t="s">
        <v>194</v>
      </c>
      <c r="D130" s="832">
        <v>61.51</v>
      </c>
    </row>
    <row r="131" spans="1:4" x14ac:dyDescent="0.3">
      <c r="A131" s="830">
        <v>97176</v>
      </c>
      <c r="B131" s="831" t="s">
        <v>4886</v>
      </c>
      <c r="C131" s="830" t="s">
        <v>194</v>
      </c>
      <c r="D131" s="832">
        <v>70.09</v>
      </c>
    </row>
    <row r="132" spans="1:4" x14ac:dyDescent="0.3">
      <c r="A132" s="830">
        <v>97177</v>
      </c>
      <c r="B132" s="831" t="s">
        <v>4887</v>
      </c>
      <c r="C132" s="830" t="s">
        <v>194</v>
      </c>
      <c r="D132" s="832">
        <v>78.67</v>
      </c>
    </row>
    <row r="133" spans="1:4" x14ac:dyDescent="0.3">
      <c r="A133" s="830">
        <v>97178</v>
      </c>
      <c r="B133" s="831" t="s">
        <v>4888</v>
      </c>
      <c r="C133" s="830" t="s">
        <v>194</v>
      </c>
      <c r="D133" s="832">
        <v>95.82</v>
      </c>
    </row>
    <row r="134" spans="1:4" x14ac:dyDescent="0.3">
      <c r="A134" s="830">
        <v>97179</v>
      </c>
      <c r="B134" s="831" t="s">
        <v>4889</v>
      </c>
      <c r="C134" s="830" t="s">
        <v>194</v>
      </c>
      <c r="D134" s="832">
        <v>112.99</v>
      </c>
    </row>
    <row r="135" spans="1:4" x14ac:dyDescent="0.3">
      <c r="A135" s="830">
        <v>97180</v>
      </c>
      <c r="B135" s="831" t="s">
        <v>4890</v>
      </c>
      <c r="C135" s="830" t="s">
        <v>194</v>
      </c>
      <c r="D135" s="832">
        <v>130.15</v>
      </c>
    </row>
    <row r="136" spans="1:4" x14ac:dyDescent="0.3">
      <c r="A136" s="830">
        <v>97181</v>
      </c>
      <c r="B136" s="831" t="s">
        <v>4891</v>
      </c>
      <c r="C136" s="830" t="s">
        <v>194</v>
      </c>
      <c r="D136" s="832">
        <v>147.30000000000001</v>
      </c>
    </row>
    <row r="137" spans="1:4" x14ac:dyDescent="0.3">
      <c r="A137" s="830">
        <v>97182</v>
      </c>
      <c r="B137" s="831" t="s">
        <v>4892</v>
      </c>
      <c r="C137" s="830" t="s">
        <v>194</v>
      </c>
      <c r="D137" s="832">
        <v>168.71</v>
      </c>
    </row>
    <row r="138" spans="1:4" x14ac:dyDescent="0.3">
      <c r="A138" s="830">
        <v>97183</v>
      </c>
      <c r="B138" s="831" t="s">
        <v>4893</v>
      </c>
      <c r="C138" s="830" t="s">
        <v>194</v>
      </c>
      <c r="D138" s="832">
        <v>39.880000000000003</v>
      </c>
    </row>
    <row r="139" spans="1:4" x14ac:dyDescent="0.3">
      <c r="A139" s="830">
        <v>97184</v>
      </c>
      <c r="B139" s="831" t="s">
        <v>4894</v>
      </c>
      <c r="C139" s="830" t="s">
        <v>194</v>
      </c>
      <c r="D139" s="832">
        <v>47.65</v>
      </c>
    </row>
    <row r="140" spans="1:4" x14ac:dyDescent="0.3">
      <c r="A140" s="830">
        <v>97185</v>
      </c>
      <c r="B140" s="831" t="s">
        <v>4895</v>
      </c>
      <c r="C140" s="830" t="s">
        <v>194</v>
      </c>
      <c r="D140" s="832">
        <v>55.44</v>
      </c>
    </row>
    <row r="141" spans="1:4" x14ac:dyDescent="0.3">
      <c r="A141" s="830">
        <v>97186</v>
      </c>
      <c r="B141" s="831" t="s">
        <v>4896</v>
      </c>
      <c r="C141" s="830" t="s">
        <v>194</v>
      </c>
      <c r="D141" s="832">
        <v>63.22</v>
      </c>
    </row>
    <row r="142" spans="1:4" x14ac:dyDescent="0.3">
      <c r="A142" s="830">
        <v>97187</v>
      </c>
      <c r="B142" s="831" t="s">
        <v>4897</v>
      </c>
      <c r="C142" s="830" t="s">
        <v>194</v>
      </c>
      <c r="D142" s="832">
        <v>71</v>
      </c>
    </row>
    <row r="143" spans="1:4" x14ac:dyDescent="0.3">
      <c r="A143" s="830">
        <v>97188</v>
      </c>
      <c r="B143" s="831" t="s">
        <v>4898</v>
      </c>
      <c r="C143" s="830" t="s">
        <v>194</v>
      </c>
      <c r="D143" s="832">
        <v>86.58</v>
      </c>
    </row>
    <row r="144" spans="1:4" x14ac:dyDescent="0.3">
      <c r="A144" s="830">
        <v>97189</v>
      </c>
      <c r="B144" s="831" t="s">
        <v>4899</v>
      </c>
      <c r="C144" s="830" t="s">
        <v>194</v>
      </c>
      <c r="D144" s="832">
        <v>102.14</v>
      </c>
    </row>
    <row r="145" spans="1:4" x14ac:dyDescent="0.3">
      <c r="A145" s="830">
        <v>97190</v>
      </c>
      <c r="B145" s="831" t="s">
        <v>4900</v>
      </c>
      <c r="C145" s="830" t="s">
        <v>194</v>
      </c>
      <c r="D145" s="832">
        <v>117.72</v>
      </c>
    </row>
    <row r="146" spans="1:4" x14ac:dyDescent="0.3">
      <c r="A146" s="830">
        <v>97191</v>
      </c>
      <c r="B146" s="831" t="s">
        <v>4901</v>
      </c>
      <c r="C146" s="830" t="s">
        <v>194</v>
      </c>
      <c r="D146" s="832">
        <v>133.29</v>
      </c>
    </row>
    <row r="147" spans="1:4" x14ac:dyDescent="0.3">
      <c r="A147" s="830">
        <v>97192</v>
      </c>
      <c r="B147" s="831" t="s">
        <v>4902</v>
      </c>
      <c r="C147" s="830" t="s">
        <v>194</v>
      </c>
      <c r="D147" s="832">
        <v>152.09</v>
      </c>
    </row>
    <row r="148" spans="1:4" x14ac:dyDescent="0.3">
      <c r="A148" s="830">
        <v>90694</v>
      </c>
      <c r="B148" s="831" t="s">
        <v>4903</v>
      </c>
      <c r="C148" s="830" t="s">
        <v>194</v>
      </c>
      <c r="D148" s="832">
        <v>47.44</v>
      </c>
    </row>
    <row r="149" spans="1:4" x14ac:dyDescent="0.3">
      <c r="A149" s="830">
        <v>90695</v>
      </c>
      <c r="B149" s="831" t="s">
        <v>4904</v>
      </c>
      <c r="C149" s="830" t="s">
        <v>194</v>
      </c>
      <c r="D149" s="832">
        <v>90.05</v>
      </c>
    </row>
    <row r="150" spans="1:4" x14ac:dyDescent="0.3">
      <c r="A150" s="830">
        <v>90696</v>
      </c>
      <c r="B150" s="831" t="s">
        <v>4905</v>
      </c>
      <c r="C150" s="830" t="s">
        <v>194</v>
      </c>
      <c r="D150" s="832">
        <v>150.34</v>
      </c>
    </row>
    <row r="151" spans="1:4" x14ac:dyDescent="0.3">
      <c r="A151" s="830">
        <v>90697</v>
      </c>
      <c r="B151" s="831" t="s">
        <v>4906</v>
      </c>
      <c r="C151" s="830" t="s">
        <v>194</v>
      </c>
      <c r="D151" s="832">
        <v>233.16</v>
      </c>
    </row>
    <row r="152" spans="1:4" x14ac:dyDescent="0.3">
      <c r="A152" s="830">
        <v>90698</v>
      </c>
      <c r="B152" s="831" t="s">
        <v>4907</v>
      </c>
      <c r="C152" s="830" t="s">
        <v>194</v>
      </c>
      <c r="D152" s="832">
        <v>356.29</v>
      </c>
    </row>
    <row r="153" spans="1:4" x14ac:dyDescent="0.3">
      <c r="A153" s="830">
        <v>90699</v>
      </c>
      <c r="B153" s="831" t="s">
        <v>4908</v>
      </c>
      <c r="C153" s="830" t="s">
        <v>194</v>
      </c>
      <c r="D153" s="832">
        <v>501.4</v>
      </c>
    </row>
    <row r="154" spans="1:4" x14ac:dyDescent="0.3">
      <c r="A154" s="830">
        <v>90700</v>
      </c>
      <c r="B154" s="831" t="s">
        <v>4909</v>
      </c>
      <c r="C154" s="830" t="s">
        <v>194</v>
      </c>
      <c r="D154" s="832">
        <v>585.16999999999996</v>
      </c>
    </row>
    <row r="155" spans="1:4" x14ac:dyDescent="0.3">
      <c r="A155" s="830">
        <v>90701</v>
      </c>
      <c r="B155" s="831" t="s">
        <v>4910</v>
      </c>
      <c r="C155" s="830" t="s">
        <v>194</v>
      </c>
      <c r="D155" s="832">
        <v>70.77</v>
      </c>
    </row>
    <row r="156" spans="1:4" x14ac:dyDescent="0.3">
      <c r="A156" s="830">
        <v>90702</v>
      </c>
      <c r="B156" s="831" t="s">
        <v>4911</v>
      </c>
      <c r="C156" s="830" t="s">
        <v>194</v>
      </c>
      <c r="D156" s="832">
        <v>117.05</v>
      </c>
    </row>
    <row r="157" spans="1:4" x14ac:dyDescent="0.3">
      <c r="A157" s="830">
        <v>90703</v>
      </c>
      <c r="B157" s="831" t="s">
        <v>4912</v>
      </c>
      <c r="C157" s="830" t="s">
        <v>194</v>
      </c>
      <c r="D157" s="832">
        <v>183.25</v>
      </c>
    </row>
    <row r="158" spans="1:4" x14ac:dyDescent="0.3">
      <c r="A158" s="830">
        <v>90704</v>
      </c>
      <c r="B158" s="831" t="s">
        <v>4913</v>
      </c>
      <c r="C158" s="830" t="s">
        <v>194</v>
      </c>
      <c r="D158" s="832">
        <v>272.17</v>
      </c>
    </row>
    <row r="159" spans="1:4" x14ac:dyDescent="0.3">
      <c r="A159" s="830">
        <v>90705</v>
      </c>
      <c r="B159" s="831" t="s">
        <v>4914</v>
      </c>
      <c r="C159" s="830" t="s">
        <v>194</v>
      </c>
      <c r="D159" s="832">
        <v>355.76</v>
      </c>
    </row>
    <row r="160" spans="1:4" x14ac:dyDescent="0.3">
      <c r="A160" s="830">
        <v>90706</v>
      </c>
      <c r="B160" s="831" t="s">
        <v>4915</v>
      </c>
      <c r="C160" s="830" t="s">
        <v>194</v>
      </c>
      <c r="D160" s="832">
        <v>471.04</v>
      </c>
    </row>
    <row r="161" spans="1:4" x14ac:dyDescent="0.3">
      <c r="A161" s="830">
        <v>90708</v>
      </c>
      <c r="B161" s="831" t="s">
        <v>4916</v>
      </c>
      <c r="C161" s="830" t="s">
        <v>194</v>
      </c>
      <c r="D161" s="832">
        <v>783.98</v>
      </c>
    </row>
    <row r="162" spans="1:4" x14ac:dyDescent="0.3">
      <c r="A162" s="830">
        <v>90724</v>
      </c>
      <c r="B162" s="831" t="s">
        <v>4917</v>
      </c>
      <c r="C162" s="830" t="s">
        <v>89</v>
      </c>
      <c r="D162" s="832">
        <v>26.01</v>
      </c>
    </row>
    <row r="163" spans="1:4" x14ac:dyDescent="0.3">
      <c r="A163" s="830">
        <v>90725</v>
      </c>
      <c r="B163" s="831" t="s">
        <v>4918</v>
      </c>
      <c r="C163" s="830" t="s">
        <v>89</v>
      </c>
      <c r="D163" s="832">
        <v>32</v>
      </c>
    </row>
    <row r="164" spans="1:4" x14ac:dyDescent="0.3">
      <c r="A164" s="830">
        <v>90726</v>
      </c>
      <c r="B164" s="831" t="s">
        <v>4919</v>
      </c>
      <c r="C164" s="830" t="s">
        <v>89</v>
      </c>
      <c r="D164" s="832">
        <v>38.07</v>
      </c>
    </row>
    <row r="165" spans="1:4" x14ac:dyDescent="0.3">
      <c r="A165" s="830">
        <v>90727</v>
      </c>
      <c r="B165" s="831" t="s">
        <v>4920</v>
      </c>
      <c r="C165" s="830" t="s">
        <v>89</v>
      </c>
      <c r="D165" s="832">
        <v>44.08</v>
      </c>
    </row>
    <row r="166" spans="1:4" x14ac:dyDescent="0.3">
      <c r="A166" s="830">
        <v>90728</v>
      </c>
      <c r="B166" s="831" t="s">
        <v>4921</v>
      </c>
      <c r="C166" s="830" t="s">
        <v>89</v>
      </c>
      <c r="D166" s="832">
        <v>50.08</v>
      </c>
    </row>
    <row r="167" spans="1:4" x14ac:dyDescent="0.3">
      <c r="A167" s="830">
        <v>90729</v>
      </c>
      <c r="B167" s="831" t="s">
        <v>4922</v>
      </c>
      <c r="C167" s="830" t="s">
        <v>89</v>
      </c>
      <c r="D167" s="832">
        <v>56.08</v>
      </c>
    </row>
    <row r="168" spans="1:4" x14ac:dyDescent="0.3">
      <c r="A168" s="830">
        <v>90730</v>
      </c>
      <c r="B168" s="831" t="s">
        <v>4923</v>
      </c>
      <c r="C168" s="830" t="s">
        <v>89</v>
      </c>
      <c r="D168" s="832">
        <v>62.09</v>
      </c>
    </row>
    <row r="169" spans="1:4" x14ac:dyDescent="0.3">
      <c r="A169" s="830">
        <v>90731</v>
      </c>
      <c r="B169" s="831" t="s">
        <v>4924</v>
      </c>
      <c r="C169" s="830" t="s">
        <v>89</v>
      </c>
      <c r="D169" s="832">
        <v>68.09</v>
      </c>
    </row>
    <row r="170" spans="1:4" x14ac:dyDescent="0.3">
      <c r="A170" s="830">
        <v>90732</v>
      </c>
      <c r="B170" s="831" t="s">
        <v>4925</v>
      </c>
      <c r="C170" s="830" t="s">
        <v>89</v>
      </c>
      <c r="D170" s="832">
        <v>86.1</v>
      </c>
    </row>
    <row r="171" spans="1:4" x14ac:dyDescent="0.3">
      <c r="A171" s="830">
        <v>90733</v>
      </c>
      <c r="B171" s="831" t="s">
        <v>4926</v>
      </c>
      <c r="C171" s="830" t="s">
        <v>194</v>
      </c>
      <c r="D171" s="832">
        <v>3.65</v>
      </c>
    </row>
    <row r="172" spans="1:4" x14ac:dyDescent="0.3">
      <c r="A172" s="830">
        <v>90734</v>
      </c>
      <c r="B172" s="831" t="s">
        <v>4927</v>
      </c>
      <c r="C172" s="830" t="s">
        <v>194</v>
      </c>
      <c r="D172" s="832">
        <v>4.32</v>
      </c>
    </row>
    <row r="173" spans="1:4" x14ac:dyDescent="0.3">
      <c r="A173" s="830">
        <v>90735</v>
      </c>
      <c r="B173" s="831" t="s">
        <v>4928</v>
      </c>
      <c r="C173" s="830" t="s">
        <v>194</v>
      </c>
      <c r="D173" s="832">
        <v>5</v>
      </c>
    </row>
    <row r="174" spans="1:4" x14ac:dyDescent="0.3">
      <c r="A174" s="830">
        <v>90736</v>
      </c>
      <c r="B174" s="831" t="s">
        <v>4929</v>
      </c>
      <c r="C174" s="830" t="s">
        <v>194</v>
      </c>
      <c r="D174" s="832">
        <v>5.67</v>
      </c>
    </row>
    <row r="175" spans="1:4" x14ac:dyDescent="0.3">
      <c r="A175" s="830">
        <v>90737</v>
      </c>
      <c r="B175" s="831" t="s">
        <v>4930</v>
      </c>
      <c r="C175" s="830" t="s">
        <v>194</v>
      </c>
      <c r="D175" s="832">
        <v>6.35</v>
      </c>
    </row>
    <row r="176" spans="1:4" x14ac:dyDescent="0.3">
      <c r="A176" s="830">
        <v>90738</v>
      </c>
      <c r="B176" s="831" t="s">
        <v>4931</v>
      </c>
      <c r="C176" s="830" t="s">
        <v>194</v>
      </c>
      <c r="D176" s="832">
        <v>7.02</v>
      </c>
    </row>
    <row r="177" spans="1:4" x14ac:dyDescent="0.3">
      <c r="A177" s="830">
        <v>90739</v>
      </c>
      <c r="B177" s="831" t="s">
        <v>4932</v>
      </c>
      <c r="C177" s="830" t="s">
        <v>194</v>
      </c>
      <c r="D177" s="832">
        <v>9.41</v>
      </c>
    </row>
    <row r="178" spans="1:4" x14ac:dyDescent="0.3">
      <c r="A178" s="830">
        <v>90740</v>
      </c>
      <c r="B178" s="831" t="s">
        <v>4933</v>
      </c>
      <c r="C178" s="830" t="s">
        <v>194</v>
      </c>
      <c r="D178" s="832">
        <v>4.82</v>
      </c>
    </row>
    <row r="179" spans="1:4" x14ac:dyDescent="0.3">
      <c r="A179" s="830">
        <v>90741</v>
      </c>
      <c r="B179" s="831" t="s">
        <v>4934</v>
      </c>
      <c r="C179" s="830" t="s">
        <v>194</v>
      </c>
      <c r="D179" s="832">
        <v>5.49</v>
      </c>
    </row>
    <row r="180" spans="1:4" x14ac:dyDescent="0.3">
      <c r="A180" s="830">
        <v>90742</v>
      </c>
      <c r="B180" s="831" t="s">
        <v>4935</v>
      </c>
      <c r="C180" s="830" t="s">
        <v>194</v>
      </c>
      <c r="D180" s="832">
        <v>6.17</v>
      </c>
    </row>
    <row r="181" spans="1:4" x14ac:dyDescent="0.3">
      <c r="A181" s="830">
        <v>90743</v>
      </c>
      <c r="B181" s="831" t="s">
        <v>4936</v>
      </c>
      <c r="C181" s="830" t="s">
        <v>194</v>
      </c>
      <c r="D181" s="832">
        <v>6.84</v>
      </c>
    </row>
    <row r="182" spans="1:4" x14ac:dyDescent="0.3">
      <c r="A182" s="830">
        <v>90744</v>
      </c>
      <c r="B182" s="831" t="s">
        <v>4937</v>
      </c>
      <c r="C182" s="830" t="s">
        <v>194</v>
      </c>
      <c r="D182" s="832">
        <v>7.52</v>
      </c>
    </row>
    <row r="183" spans="1:4" x14ac:dyDescent="0.3">
      <c r="A183" s="830">
        <v>90745</v>
      </c>
      <c r="B183" s="831" t="s">
        <v>4938</v>
      </c>
      <c r="C183" s="830" t="s">
        <v>194</v>
      </c>
      <c r="D183" s="832">
        <v>10.5</v>
      </c>
    </row>
    <row r="184" spans="1:4" x14ac:dyDescent="0.3">
      <c r="A184" s="830">
        <v>90746</v>
      </c>
      <c r="B184" s="831" t="s">
        <v>4939</v>
      </c>
      <c r="C184" s="830" t="s">
        <v>194</v>
      </c>
      <c r="D184" s="832">
        <v>3.95</v>
      </c>
    </row>
    <row r="185" spans="1:4" x14ac:dyDescent="0.3">
      <c r="A185" s="830">
        <v>90747</v>
      </c>
      <c r="B185" s="831" t="s">
        <v>4940</v>
      </c>
      <c r="C185" s="830" t="s">
        <v>194</v>
      </c>
      <c r="D185" s="832">
        <v>17.48</v>
      </c>
    </row>
    <row r="186" spans="1:4" x14ac:dyDescent="0.3">
      <c r="A186" s="830">
        <v>94869</v>
      </c>
      <c r="B186" s="831" t="s">
        <v>4941</v>
      </c>
      <c r="C186" s="830" t="s">
        <v>194</v>
      </c>
      <c r="D186" s="832">
        <v>138.28</v>
      </c>
    </row>
    <row r="187" spans="1:4" x14ac:dyDescent="0.3">
      <c r="A187" s="830">
        <v>94870</v>
      </c>
      <c r="B187" s="831" t="s">
        <v>4942</v>
      </c>
      <c r="C187" s="830" t="s">
        <v>194</v>
      </c>
      <c r="D187" s="832">
        <v>2.08</v>
      </c>
    </row>
    <row r="188" spans="1:4" x14ac:dyDescent="0.3">
      <c r="A188" s="830">
        <v>94871</v>
      </c>
      <c r="B188" s="831" t="s">
        <v>4943</v>
      </c>
      <c r="C188" s="830" t="s">
        <v>194</v>
      </c>
      <c r="D188" s="832">
        <v>216.32</v>
      </c>
    </row>
    <row r="189" spans="1:4" x14ac:dyDescent="0.3">
      <c r="A189" s="830">
        <v>94872</v>
      </c>
      <c r="B189" s="831" t="s">
        <v>4944</v>
      </c>
      <c r="C189" s="830" t="s">
        <v>194</v>
      </c>
      <c r="D189" s="832">
        <v>2.92</v>
      </c>
    </row>
    <row r="190" spans="1:4" x14ac:dyDescent="0.3">
      <c r="A190" s="830">
        <v>94875</v>
      </c>
      <c r="B190" s="831" t="s">
        <v>4945</v>
      </c>
      <c r="C190" s="830" t="s">
        <v>194</v>
      </c>
      <c r="D190" s="832">
        <v>1272.94</v>
      </c>
    </row>
    <row r="191" spans="1:4" x14ac:dyDescent="0.3">
      <c r="A191" s="830">
        <v>94876</v>
      </c>
      <c r="B191" s="831" t="s">
        <v>4946</v>
      </c>
      <c r="C191" s="830" t="s">
        <v>194</v>
      </c>
      <c r="D191" s="832">
        <v>29.55</v>
      </c>
    </row>
    <row r="192" spans="1:4" x14ac:dyDescent="0.3">
      <c r="A192" s="830">
        <v>94878</v>
      </c>
      <c r="B192" s="831" t="s">
        <v>4947</v>
      </c>
      <c r="C192" s="830" t="s">
        <v>194</v>
      </c>
      <c r="D192" s="832">
        <v>34.159999999999997</v>
      </c>
    </row>
    <row r="193" spans="1:4" x14ac:dyDescent="0.3">
      <c r="A193" s="830">
        <v>94879</v>
      </c>
      <c r="B193" s="831" t="s">
        <v>4948</v>
      </c>
      <c r="C193" s="830" t="s">
        <v>194</v>
      </c>
      <c r="D193" s="832">
        <v>1959.66</v>
      </c>
    </row>
    <row r="194" spans="1:4" x14ac:dyDescent="0.3">
      <c r="A194" s="830">
        <v>94880</v>
      </c>
      <c r="B194" s="831" t="s">
        <v>4949</v>
      </c>
      <c r="C194" s="830" t="s">
        <v>194</v>
      </c>
      <c r="D194" s="832">
        <v>44.23</v>
      </c>
    </row>
    <row r="195" spans="1:4" x14ac:dyDescent="0.3">
      <c r="A195" s="830">
        <v>94881</v>
      </c>
      <c r="B195" s="831" t="s">
        <v>4950</v>
      </c>
      <c r="C195" s="830" t="s">
        <v>194</v>
      </c>
      <c r="D195" s="832">
        <v>2698.54</v>
      </c>
    </row>
    <row r="196" spans="1:4" x14ac:dyDescent="0.3">
      <c r="A196" s="830">
        <v>94882</v>
      </c>
      <c r="B196" s="831" t="s">
        <v>4951</v>
      </c>
      <c r="C196" s="830" t="s">
        <v>194</v>
      </c>
      <c r="D196" s="832">
        <v>51.31</v>
      </c>
    </row>
    <row r="197" spans="1:4" x14ac:dyDescent="0.3">
      <c r="A197" s="830">
        <v>94884</v>
      </c>
      <c r="B197" s="831" t="s">
        <v>4952</v>
      </c>
      <c r="C197" s="830" t="s">
        <v>194</v>
      </c>
      <c r="D197" s="832">
        <v>65.67</v>
      </c>
    </row>
    <row r="198" spans="1:4" x14ac:dyDescent="0.3">
      <c r="A198" s="830">
        <v>97121</v>
      </c>
      <c r="B198" s="831" t="s">
        <v>4953</v>
      </c>
      <c r="C198" s="830" t="s">
        <v>194</v>
      </c>
      <c r="D198" s="832">
        <v>3.22</v>
      </c>
    </row>
    <row r="199" spans="1:4" x14ac:dyDescent="0.3">
      <c r="A199" s="830">
        <v>97122</v>
      </c>
      <c r="B199" s="831" t="s">
        <v>4954</v>
      </c>
      <c r="C199" s="830" t="s">
        <v>194</v>
      </c>
      <c r="D199" s="832">
        <v>3.87</v>
      </c>
    </row>
    <row r="200" spans="1:4" x14ac:dyDescent="0.3">
      <c r="A200" s="830">
        <v>97123</v>
      </c>
      <c r="B200" s="831" t="s">
        <v>4955</v>
      </c>
      <c r="C200" s="830" t="s">
        <v>194</v>
      </c>
      <c r="D200" s="832">
        <v>4.5</v>
      </c>
    </row>
    <row r="201" spans="1:4" x14ac:dyDescent="0.3">
      <c r="A201" s="830">
        <v>97124</v>
      </c>
      <c r="B201" s="831" t="s">
        <v>4956</v>
      </c>
      <c r="C201" s="830" t="s">
        <v>194</v>
      </c>
      <c r="D201" s="832">
        <v>2.63</v>
      </c>
    </row>
    <row r="202" spans="1:4" x14ac:dyDescent="0.3">
      <c r="A202" s="830">
        <v>97125</v>
      </c>
      <c r="B202" s="831" t="s">
        <v>4957</v>
      </c>
      <c r="C202" s="830" t="s">
        <v>194</v>
      </c>
      <c r="D202" s="832">
        <v>3.18</v>
      </c>
    </row>
    <row r="203" spans="1:4" x14ac:dyDescent="0.3">
      <c r="A203" s="830">
        <v>97126</v>
      </c>
      <c r="B203" s="831" t="s">
        <v>4958</v>
      </c>
      <c r="C203" s="830" t="s">
        <v>194</v>
      </c>
      <c r="D203" s="832">
        <v>3.7</v>
      </c>
    </row>
    <row r="204" spans="1:4" x14ac:dyDescent="0.3">
      <c r="A204" s="830">
        <v>102264</v>
      </c>
      <c r="B204" s="831" t="s">
        <v>4959</v>
      </c>
      <c r="C204" s="830" t="s">
        <v>194</v>
      </c>
      <c r="D204" s="832">
        <v>20.63</v>
      </c>
    </row>
    <row r="205" spans="1:4" x14ac:dyDescent="0.3">
      <c r="A205" s="830">
        <v>102265</v>
      </c>
      <c r="B205" s="831" t="s">
        <v>4960</v>
      </c>
      <c r="C205" s="830" t="s">
        <v>89</v>
      </c>
      <c r="D205" s="832">
        <v>110.1</v>
      </c>
    </row>
    <row r="206" spans="1:4" x14ac:dyDescent="0.3">
      <c r="A206" s="830">
        <v>102266</v>
      </c>
      <c r="B206" s="831" t="s">
        <v>4961</v>
      </c>
      <c r="C206" s="830" t="s">
        <v>89</v>
      </c>
      <c r="D206" s="832">
        <v>122.1</v>
      </c>
    </row>
    <row r="207" spans="1:4" x14ac:dyDescent="0.3">
      <c r="A207" s="830">
        <v>102267</v>
      </c>
      <c r="B207" s="831" t="s">
        <v>4962</v>
      </c>
      <c r="C207" s="830" t="s">
        <v>89</v>
      </c>
      <c r="D207" s="832">
        <v>140.19</v>
      </c>
    </row>
    <row r="208" spans="1:4" x14ac:dyDescent="0.3">
      <c r="A208" s="830">
        <v>102268</v>
      </c>
      <c r="B208" s="831" t="s">
        <v>4963</v>
      </c>
      <c r="C208" s="830" t="s">
        <v>89</v>
      </c>
      <c r="D208" s="832">
        <v>158.19</v>
      </c>
    </row>
    <row r="209" spans="1:4" x14ac:dyDescent="0.3">
      <c r="A209" s="830">
        <v>102269</v>
      </c>
      <c r="B209" s="831" t="s">
        <v>4964</v>
      </c>
      <c r="C209" s="830" t="s">
        <v>89</v>
      </c>
      <c r="D209" s="832">
        <v>194.21</v>
      </c>
    </row>
    <row r="210" spans="1:4" x14ac:dyDescent="0.3">
      <c r="A210" s="830">
        <v>105260</v>
      </c>
      <c r="B210" s="831" t="s">
        <v>4965</v>
      </c>
      <c r="C210" s="830" t="s">
        <v>89</v>
      </c>
      <c r="D210" s="832">
        <v>24.48</v>
      </c>
    </row>
    <row r="211" spans="1:4" x14ac:dyDescent="0.3">
      <c r="A211" s="830">
        <v>105285</v>
      </c>
      <c r="B211" s="831" t="s">
        <v>4966</v>
      </c>
      <c r="C211" s="830" t="s">
        <v>89</v>
      </c>
      <c r="D211" s="832">
        <v>23.89</v>
      </c>
    </row>
    <row r="212" spans="1:4" x14ac:dyDescent="0.3">
      <c r="A212" s="830">
        <v>105286</v>
      </c>
      <c r="B212" s="831" t="s">
        <v>4967</v>
      </c>
      <c r="C212" s="830" t="s">
        <v>89</v>
      </c>
      <c r="D212" s="832">
        <v>29.98</v>
      </c>
    </row>
    <row r="213" spans="1:4" x14ac:dyDescent="0.3">
      <c r="A213" s="830">
        <v>105287</v>
      </c>
      <c r="B213" s="831" t="s">
        <v>4968</v>
      </c>
      <c r="C213" s="830" t="s">
        <v>89</v>
      </c>
      <c r="D213" s="832">
        <v>27.61</v>
      </c>
    </row>
    <row r="214" spans="1:4" x14ac:dyDescent="0.3">
      <c r="A214" s="830">
        <v>105288</v>
      </c>
      <c r="B214" s="831" t="s">
        <v>4969</v>
      </c>
      <c r="C214" s="830" t="s">
        <v>89</v>
      </c>
      <c r="D214" s="832">
        <v>48.32</v>
      </c>
    </row>
    <row r="215" spans="1:4" x14ac:dyDescent="0.3">
      <c r="A215" s="830">
        <v>105289</v>
      </c>
      <c r="B215" s="831" t="s">
        <v>4970</v>
      </c>
      <c r="C215" s="830" t="s">
        <v>89</v>
      </c>
      <c r="D215" s="832">
        <v>45.52</v>
      </c>
    </row>
    <row r="216" spans="1:4" x14ac:dyDescent="0.3">
      <c r="A216" s="830">
        <v>105290</v>
      </c>
      <c r="B216" s="831" t="s">
        <v>4971</v>
      </c>
      <c r="C216" s="830" t="s">
        <v>89</v>
      </c>
      <c r="D216" s="832">
        <v>64.47</v>
      </c>
    </row>
    <row r="217" spans="1:4" x14ac:dyDescent="0.3">
      <c r="A217" s="830">
        <v>105291</v>
      </c>
      <c r="B217" s="831" t="s">
        <v>4972</v>
      </c>
      <c r="C217" s="830" t="s">
        <v>89</v>
      </c>
      <c r="D217" s="832">
        <v>61.23</v>
      </c>
    </row>
    <row r="218" spans="1:4" x14ac:dyDescent="0.3">
      <c r="A218" s="830">
        <v>105292</v>
      </c>
      <c r="B218" s="831" t="s">
        <v>4973</v>
      </c>
      <c r="C218" s="830" t="s">
        <v>89</v>
      </c>
      <c r="D218" s="832">
        <v>49.52</v>
      </c>
    </row>
    <row r="219" spans="1:4" x14ac:dyDescent="0.3">
      <c r="A219" s="830">
        <v>105293</v>
      </c>
      <c r="B219" s="831" t="s">
        <v>4974</v>
      </c>
      <c r="C219" s="830" t="s">
        <v>89</v>
      </c>
      <c r="D219" s="832">
        <v>45.97</v>
      </c>
    </row>
    <row r="220" spans="1:4" x14ac:dyDescent="0.3">
      <c r="A220" s="830">
        <v>105294</v>
      </c>
      <c r="B220" s="831" t="s">
        <v>4975</v>
      </c>
      <c r="C220" s="830" t="s">
        <v>89</v>
      </c>
      <c r="D220" s="832">
        <v>97.45</v>
      </c>
    </row>
    <row r="221" spans="1:4" x14ac:dyDescent="0.3">
      <c r="A221" s="830">
        <v>105295</v>
      </c>
      <c r="B221" s="831" t="s">
        <v>4976</v>
      </c>
      <c r="C221" s="830" t="s">
        <v>89</v>
      </c>
      <c r="D221" s="832">
        <v>93.26</v>
      </c>
    </row>
    <row r="222" spans="1:4" x14ac:dyDescent="0.3">
      <c r="A222" s="830">
        <v>105296</v>
      </c>
      <c r="B222" s="831" t="s">
        <v>4977</v>
      </c>
      <c r="C222" s="830" t="s">
        <v>89</v>
      </c>
      <c r="D222" s="832">
        <v>164.53</v>
      </c>
    </row>
    <row r="223" spans="1:4" x14ac:dyDescent="0.3">
      <c r="A223" s="830">
        <v>105308</v>
      </c>
      <c r="B223" s="831" t="s">
        <v>4978</v>
      </c>
      <c r="C223" s="830" t="s">
        <v>194</v>
      </c>
      <c r="D223" s="832">
        <v>5.19</v>
      </c>
    </row>
    <row r="224" spans="1:4" x14ac:dyDescent="0.3">
      <c r="A224" s="830">
        <v>105309</v>
      </c>
      <c r="B224" s="831" t="s">
        <v>4979</v>
      </c>
      <c r="C224" s="830" t="s">
        <v>194</v>
      </c>
      <c r="D224" s="832">
        <v>5.59</v>
      </c>
    </row>
    <row r="225" spans="1:4" x14ac:dyDescent="0.3">
      <c r="A225" s="830">
        <v>105310</v>
      </c>
      <c r="B225" s="831" t="s">
        <v>4980</v>
      </c>
      <c r="C225" s="830" t="s">
        <v>194</v>
      </c>
      <c r="D225" s="832">
        <v>6.58</v>
      </c>
    </row>
    <row r="226" spans="1:4" x14ac:dyDescent="0.3">
      <c r="A226" s="830">
        <v>105311</v>
      </c>
      <c r="B226" s="831" t="s">
        <v>4981</v>
      </c>
      <c r="C226" s="830" t="s">
        <v>194</v>
      </c>
      <c r="D226" s="832">
        <v>4.18</v>
      </c>
    </row>
    <row r="227" spans="1:4" x14ac:dyDescent="0.3">
      <c r="A227" s="830">
        <v>105312</v>
      </c>
      <c r="B227" s="831" t="s">
        <v>4982</v>
      </c>
      <c r="C227" s="830" t="s">
        <v>194</v>
      </c>
      <c r="D227" s="832">
        <v>4.29</v>
      </c>
    </row>
    <row r="228" spans="1:4" x14ac:dyDescent="0.3">
      <c r="A228" s="830">
        <v>105313</v>
      </c>
      <c r="B228" s="831" t="s">
        <v>4983</v>
      </c>
      <c r="C228" s="830" t="s">
        <v>194</v>
      </c>
      <c r="D228" s="832">
        <v>4.62</v>
      </c>
    </row>
    <row r="229" spans="1:4" x14ac:dyDescent="0.3">
      <c r="A229" s="830">
        <v>105314</v>
      </c>
      <c r="B229" s="831" t="s">
        <v>4984</v>
      </c>
      <c r="C229" s="830" t="s">
        <v>194</v>
      </c>
      <c r="D229" s="832">
        <v>5.45</v>
      </c>
    </row>
    <row r="230" spans="1:4" x14ac:dyDescent="0.3">
      <c r="A230" s="830">
        <v>105315</v>
      </c>
      <c r="B230" s="831" t="s">
        <v>4985</v>
      </c>
      <c r="C230" s="830" t="s">
        <v>89</v>
      </c>
      <c r="D230" s="832">
        <v>10.92</v>
      </c>
    </row>
    <row r="231" spans="1:4" x14ac:dyDescent="0.3">
      <c r="A231" s="830">
        <v>105316</v>
      </c>
      <c r="B231" s="831" t="s">
        <v>4986</v>
      </c>
      <c r="C231" s="830" t="s">
        <v>89</v>
      </c>
      <c r="D231" s="832">
        <v>20.21</v>
      </c>
    </row>
    <row r="232" spans="1:4" x14ac:dyDescent="0.3">
      <c r="A232" s="830">
        <v>105327</v>
      </c>
      <c r="B232" s="831" t="s">
        <v>4987</v>
      </c>
      <c r="C232" s="830" t="s">
        <v>89</v>
      </c>
      <c r="D232" s="832">
        <v>45.64</v>
      </c>
    </row>
    <row r="233" spans="1:4" x14ac:dyDescent="0.3">
      <c r="A233" s="830">
        <v>105328</v>
      </c>
      <c r="B233" s="831" t="s">
        <v>4988</v>
      </c>
      <c r="C233" s="830" t="s">
        <v>89</v>
      </c>
      <c r="D233" s="832">
        <v>44.95</v>
      </c>
    </row>
    <row r="234" spans="1:4" x14ac:dyDescent="0.3">
      <c r="A234" s="830">
        <v>105329</v>
      </c>
      <c r="B234" s="831" t="s">
        <v>4989</v>
      </c>
      <c r="C234" s="830" t="s">
        <v>89</v>
      </c>
      <c r="D234" s="832">
        <v>74.3</v>
      </c>
    </row>
    <row r="235" spans="1:4" x14ac:dyDescent="0.3">
      <c r="A235" s="830">
        <v>105330</v>
      </c>
      <c r="B235" s="831" t="s">
        <v>4990</v>
      </c>
      <c r="C235" s="830" t="s">
        <v>89</v>
      </c>
      <c r="D235" s="832">
        <v>73.5</v>
      </c>
    </row>
    <row r="236" spans="1:4" x14ac:dyDescent="0.3">
      <c r="A236" s="830">
        <v>105331</v>
      </c>
      <c r="B236" s="831" t="s">
        <v>4991</v>
      </c>
      <c r="C236" s="830" t="s">
        <v>194</v>
      </c>
      <c r="D236" s="832">
        <v>52.73</v>
      </c>
    </row>
    <row r="237" spans="1:4" x14ac:dyDescent="0.3">
      <c r="A237" s="830">
        <v>105332</v>
      </c>
      <c r="B237" s="831" t="s">
        <v>4992</v>
      </c>
      <c r="C237" s="830" t="s">
        <v>194</v>
      </c>
      <c r="D237" s="832">
        <v>51.99</v>
      </c>
    </row>
    <row r="238" spans="1:4" x14ac:dyDescent="0.3">
      <c r="A238" s="830">
        <v>105333</v>
      </c>
      <c r="B238" s="831" t="s">
        <v>4993</v>
      </c>
      <c r="C238" s="830" t="s">
        <v>194</v>
      </c>
      <c r="D238" s="832">
        <v>231.72</v>
      </c>
    </row>
    <row r="239" spans="1:4" x14ac:dyDescent="0.3">
      <c r="A239" s="830">
        <v>105334</v>
      </c>
      <c r="B239" s="831" t="s">
        <v>4994</v>
      </c>
      <c r="C239" s="830" t="s">
        <v>194</v>
      </c>
      <c r="D239" s="832">
        <v>229.37</v>
      </c>
    </row>
    <row r="240" spans="1:4" x14ac:dyDescent="0.3">
      <c r="A240" s="830">
        <v>105335</v>
      </c>
      <c r="B240" s="831" t="s">
        <v>4995</v>
      </c>
      <c r="C240" s="830" t="s">
        <v>194</v>
      </c>
      <c r="D240" s="832">
        <v>349.3</v>
      </c>
    </row>
    <row r="241" spans="1:4" x14ac:dyDescent="0.3">
      <c r="A241" s="830">
        <v>105336</v>
      </c>
      <c r="B241" s="831" t="s">
        <v>4996</v>
      </c>
      <c r="C241" s="830" t="s">
        <v>194</v>
      </c>
      <c r="D241" s="832">
        <v>346.53</v>
      </c>
    </row>
    <row r="242" spans="1:4" x14ac:dyDescent="0.3">
      <c r="A242" s="830">
        <v>105337</v>
      </c>
      <c r="B242" s="831" t="s">
        <v>4997</v>
      </c>
      <c r="C242" s="830" t="s">
        <v>194</v>
      </c>
      <c r="D242" s="832">
        <v>492.78</v>
      </c>
    </row>
    <row r="243" spans="1:4" x14ac:dyDescent="0.3">
      <c r="A243" s="830">
        <v>105338</v>
      </c>
      <c r="B243" s="831" t="s">
        <v>4998</v>
      </c>
      <c r="C243" s="830" t="s">
        <v>194</v>
      </c>
      <c r="D243" s="832">
        <v>489.58</v>
      </c>
    </row>
    <row r="244" spans="1:4" x14ac:dyDescent="0.3">
      <c r="A244" s="830">
        <v>105339</v>
      </c>
      <c r="B244" s="831" t="s">
        <v>4999</v>
      </c>
      <c r="C244" s="830" t="s">
        <v>194</v>
      </c>
      <c r="D244" s="832">
        <v>3.44</v>
      </c>
    </row>
    <row r="245" spans="1:4" x14ac:dyDescent="0.3">
      <c r="A245" s="830">
        <v>105359</v>
      </c>
      <c r="B245" s="831" t="s">
        <v>5000</v>
      </c>
      <c r="C245" s="830" t="s">
        <v>89</v>
      </c>
      <c r="D245" s="832">
        <v>13.29</v>
      </c>
    </row>
    <row r="246" spans="1:4" x14ac:dyDescent="0.3">
      <c r="A246" s="830">
        <v>105360</v>
      </c>
      <c r="B246" s="831" t="s">
        <v>5001</v>
      </c>
      <c r="C246" s="830" t="s">
        <v>89</v>
      </c>
      <c r="D246" s="832">
        <v>16.13</v>
      </c>
    </row>
    <row r="247" spans="1:4" x14ac:dyDescent="0.3">
      <c r="A247" s="830">
        <v>105361</v>
      </c>
      <c r="B247" s="831" t="s">
        <v>5002</v>
      </c>
      <c r="C247" s="830" t="s">
        <v>89</v>
      </c>
      <c r="D247" s="832">
        <v>18.78</v>
      </c>
    </row>
    <row r="248" spans="1:4" x14ac:dyDescent="0.3">
      <c r="A248" s="830">
        <v>105362</v>
      </c>
      <c r="B248" s="831" t="s">
        <v>5003</v>
      </c>
      <c r="C248" s="830" t="s">
        <v>89</v>
      </c>
      <c r="D248" s="832">
        <v>19.57</v>
      </c>
    </row>
    <row r="249" spans="1:4" x14ac:dyDescent="0.3">
      <c r="A249" s="830">
        <v>105363</v>
      </c>
      <c r="B249" s="831" t="s">
        <v>5004</v>
      </c>
      <c r="C249" s="830" t="s">
        <v>89</v>
      </c>
      <c r="D249" s="832">
        <v>23.54</v>
      </c>
    </row>
    <row r="250" spans="1:4" x14ac:dyDescent="0.3">
      <c r="A250" s="830">
        <v>105364</v>
      </c>
      <c r="B250" s="831" t="s">
        <v>5005</v>
      </c>
      <c r="C250" s="830" t="s">
        <v>89</v>
      </c>
      <c r="D250" s="832">
        <v>27.34</v>
      </c>
    </row>
    <row r="251" spans="1:4" x14ac:dyDescent="0.3">
      <c r="A251" s="830">
        <v>105365</v>
      </c>
      <c r="B251" s="831" t="s">
        <v>5006</v>
      </c>
      <c r="C251" s="830" t="s">
        <v>89</v>
      </c>
      <c r="D251" s="832">
        <v>26.59</v>
      </c>
    </row>
    <row r="252" spans="1:4" x14ac:dyDescent="0.3">
      <c r="A252" s="830">
        <v>105366</v>
      </c>
      <c r="B252" s="831" t="s">
        <v>5007</v>
      </c>
      <c r="C252" s="830" t="s">
        <v>89</v>
      </c>
      <c r="D252" s="832">
        <v>32.270000000000003</v>
      </c>
    </row>
    <row r="253" spans="1:4" x14ac:dyDescent="0.3">
      <c r="A253" s="830">
        <v>105367</v>
      </c>
      <c r="B253" s="831" t="s">
        <v>5008</v>
      </c>
      <c r="C253" s="830" t="s">
        <v>89</v>
      </c>
      <c r="D253" s="832">
        <v>37.56</v>
      </c>
    </row>
    <row r="254" spans="1:4" x14ac:dyDescent="0.3">
      <c r="A254" s="830">
        <v>105368</v>
      </c>
      <c r="B254" s="831" t="s">
        <v>5009</v>
      </c>
      <c r="C254" s="830" t="s">
        <v>89</v>
      </c>
      <c r="D254" s="832">
        <v>44.12</v>
      </c>
    </row>
    <row r="255" spans="1:4" x14ac:dyDescent="0.3">
      <c r="A255" s="830">
        <v>105370</v>
      </c>
      <c r="B255" s="831" t="s">
        <v>5010</v>
      </c>
      <c r="C255" s="830" t="s">
        <v>89</v>
      </c>
      <c r="D255" s="832">
        <v>70.400000000000006</v>
      </c>
    </row>
    <row r="256" spans="1:4" x14ac:dyDescent="0.3">
      <c r="A256" s="830">
        <v>105371</v>
      </c>
      <c r="B256" s="831" t="s">
        <v>5011</v>
      </c>
      <c r="C256" s="830" t="s">
        <v>89</v>
      </c>
      <c r="D256" s="832">
        <v>31.1</v>
      </c>
    </row>
    <row r="257" spans="1:4" x14ac:dyDescent="0.3">
      <c r="A257" s="830">
        <v>105372</v>
      </c>
      <c r="B257" s="831" t="s">
        <v>5012</v>
      </c>
      <c r="C257" s="830" t="s">
        <v>89</v>
      </c>
      <c r="D257" s="832">
        <v>8.25</v>
      </c>
    </row>
    <row r="258" spans="1:4" x14ac:dyDescent="0.3">
      <c r="A258" s="830">
        <v>105373</v>
      </c>
      <c r="B258" s="831" t="s">
        <v>5013</v>
      </c>
      <c r="C258" s="830" t="s">
        <v>89</v>
      </c>
      <c r="D258" s="832">
        <v>9.66</v>
      </c>
    </row>
    <row r="259" spans="1:4" x14ac:dyDescent="0.3">
      <c r="A259" s="830">
        <v>105374</v>
      </c>
      <c r="B259" s="831" t="s">
        <v>5014</v>
      </c>
      <c r="C259" s="830" t="s">
        <v>89</v>
      </c>
      <c r="D259" s="832">
        <v>159.68</v>
      </c>
    </row>
    <row r="260" spans="1:4" x14ac:dyDescent="0.3">
      <c r="A260" s="830">
        <v>105375</v>
      </c>
      <c r="B260" s="831" t="s">
        <v>5015</v>
      </c>
      <c r="C260" s="830" t="s">
        <v>89</v>
      </c>
      <c r="D260" s="832">
        <v>130.44999999999999</v>
      </c>
    </row>
    <row r="261" spans="1:4" x14ac:dyDescent="0.3">
      <c r="A261" s="830">
        <v>105376</v>
      </c>
      <c r="B261" s="831" t="s">
        <v>5016</v>
      </c>
      <c r="C261" s="830" t="s">
        <v>89</v>
      </c>
      <c r="D261" s="832">
        <v>123.99</v>
      </c>
    </row>
    <row r="262" spans="1:4" x14ac:dyDescent="0.3">
      <c r="A262" s="830">
        <v>105381</v>
      </c>
      <c r="B262" s="831" t="s">
        <v>5017</v>
      </c>
      <c r="C262" s="830" t="s">
        <v>89</v>
      </c>
      <c r="D262" s="832">
        <v>13.33</v>
      </c>
    </row>
    <row r="263" spans="1:4" x14ac:dyDescent="0.3">
      <c r="A263" s="830">
        <v>105382</v>
      </c>
      <c r="B263" s="831" t="s">
        <v>5018</v>
      </c>
      <c r="C263" s="830" t="s">
        <v>89</v>
      </c>
      <c r="D263" s="832">
        <v>15.54</v>
      </c>
    </row>
    <row r="264" spans="1:4" x14ac:dyDescent="0.3">
      <c r="A264" s="830">
        <v>105383</v>
      </c>
      <c r="B264" s="831" t="s">
        <v>5019</v>
      </c>
      <c r="C264" s="830" t="s">
        <v>89</v>
      </c>
      <c r="D264" s="832">
        <v>16.02</v>
      </c>
    </row>
    <row r="265" spans="1:4" x14ac:dyDescent="0.3">
      <c r="A265" s="830">
        <v>105384</v>
      </c>
      <c r="B265" s="831" t="s">
        <v>5020</v>
      </c>
      <c r="C265" s="830" t="s">
        <v>89</v>
      </c>
      <c r="D265" s="832">
        <v>19.350000000000001</v>
      </c>
    </row>
    <row r="266" spans="1:4" x14ac:dyDescent="0.3">
      <c r="A266" s="830">
        <v>105385</v>
      </c>
      <c r="B266" s="831" t="s">
        <v>5021</v>
      </c>
      <c r="C266" s="830" t="s">
        <v>89</v>
      </c>
      <c r="D266" s="832">
        <v>22.49</v>
      </c>
    </row>
    <row r="267" spans="1:4" x14ac:dyDescent="0.3">
      <c r="A267" s="830">
        <v>105386</v>
      </c>
      <c r="B267" s="831" t="s">
        <v>5022</v>
      </c>
      <c r="C267" s="830" t="s">
        <v>89</v>
      </c>
      <c r="D267" s="832">
        <v>21.85</v>
      </c>
    </row>
    <row r="268" spans="1:4" x14ac:dyDescent="0.3">
      <c r="A268" s="830">
        <v>105387</v>
      </c>
      <c r="B268" s="831" t="s">
        <v>5023</v>
      </c>
      <c r="C268" s="830" t="s">
        <v>89</v>
      </c>
      <c r="D268" s="832">
        <v>26.67</v>
      </c>
    </row>
    <row r="269" spans="1:4" x14ac:dyDescent="0.3">
      <c r="A269" s="830">
        <v>92833</v>
      </c>
      <c r="B269" s="831" t="s">
        <v>5024</v>
      </c>
      <c r="C269" s="830" t="s">
        <v>194</v>
      </c>
      <c r="D269" s="832">
        <v>223.63</v>
      </c>
    </row>
    <row r="270" spans="1:4" x14ac:dyDescent="0.3">
      <c r="A270" s="830">
        <v>92834</v>
      </c>
      <c r="B270" s="831" t="s">
        <v>5025</v>
      </c>
      <c r="C270" s="830" t="s">
        <v>194</v>
      </c>
      <c r="D270" s="832">
        <v>19.98</v>
      </c>
    </row>
    <row r="271" spans="1:4" x14ac:dyDescent="0.3">
      <c r="A271" s="830">
        <v>92835</v>
      </c>
      <c r="B271" s="831" t="s">
        <v>5026</v>
      </c>
      <c r="C271" s="830" t="s">
        <v>194</v>
      </c>
      <c r="D271" s="832">
        <v>235.32</v>
      </c>
    </row>
    <row r="272" spans="1:4" x14ac:dyDescent="0.3">
      <c r="A272" s="830">
        <v>92836</v>
      </c>
      <c r="B272" s="831" t="s">
        <v>5027</v>
      </c>
      <c r="C272" s="830" t="s">
        <v>194</v>
      </c>
      <c r="D272" s="832">
        <v>26.45</v>
      </c>
    </row>
    <row r="273" spans="1:4" x14ac:dyDescent="0.3">
      <c r="A273" s="830">
        <v>92837</v>
      </c>
      <c r="B273" s="831" t="s">
        <v>5028</v>
      </c>
      <c r="C273" s="830" t="s">
        <v>194</v>
      </c>
      <c r="D273" s="832">
        <v>419.72</v>
      </c>
    </row>
    <row r="274" spans="1:4" x14ac:dyDescent="0.3">
      <c r="A274" s="830">
        <v>92838</v>
      </c>
      <c r="B274" s="831" t="s">
        <v>5029</v>
      </c>
      <c r="C274" s="830" t="s">
        <v>194</v>
      </c>
      <c r="D274" s="832">
        <v>33.299999999999997</v>
      </c>
    </row>
    <row r="275" spans="1:4" x14ac:dyDescent="0.3">
      <c r="A275" s="830">
        <v>92839</v>
      </c>
      <c r="B275" s="831" t="s">
        <v>5030</v>
      </c>
      <c r="C275" s="830" t="s">
        <v>194</v>
      </c>
      <c r="D275" s="832">
        <v>514.54999999999995</v>
      </c>
    </row>
    <row r="276" spans="1:4" x14ac:dyDescent="0.3">
      <c r="A276" s="830">
        <v>92840</v>
      </c>
      <c r="B276" s="831" t="s">
        <v>5031</v>
      </c>
      <c r="C276" s="830" t="s">
        <v>194</v>
      </c>
      <c r="D276" s="832">
        <v>40.39</v>
      </c>
    </row>
    <row r="277" spans="1:4" x14ac:dyDescent="0.3">
      <c r="A277" s="830">
        <v>92841</v>
      </c>
      <c r="B277" s="831" t="s">
        <v>5032</v>
      </c>
      <c r="C277" s="830" t="s">
        <v>194</v>
      </c>
      <c r="D277" s="832">
        <v>669.88</v>
      </c>
    </row>
    <row r="278" spans="1:4" x14ac:dyDescent="0.3">
      <c r="A278" s="830">
        <v>92842</v>
      </c>
      <c r="B278" s="831" t="s">
        <v>5033</v>
      </c>
      <c r="C278" s="830" t="s">
        <v>194</v>
      </c>
      <c r="D278" s="832">
        <v>50.56</v>
      </c>
    </row>
    <row r="279" spans="1:4" x14ac:dyDescent="0.3">
      <c r="A279" s="830">
        <v>92843</v>
      </c>
      <c r="B279" s="831" t="s">
        <v>5034</v>
      </c>
      <c r="C279" s="830" t="s">
        <v>194</v>
      </c>
      <c r="D279" s="832">
        <v>693.01</v>
      </c>
    </row>
    <row r="280" spans="1:4" x14ac:dyDescent="0.3">
      <c r="A280" s="830">
        <v>92844</v>
      </c>
      <c r="B280" s="831" t="s">
        <v>5035</v>
      </c>
      <c r="C280" s="830" t="s">
        <v>194</v>
      </c>
      <c r="D280" s="832">
        <v>60</v>
      </c>
    </row>
    <row r="281" spans="1:4" x14ac:dyDescent="0.3">
      <c r="A281" s="830">
        <v>92845</v>
      </c>
      <c r="B281" s="831" t="s">
        <v>5036</v>
      </c>
      <c r="C281" s="830" t="s">
        <v>194</v>
      </c>
      <c r="D281" s="832">
        <v>1028.5899999999999</v>
      </c>
    </row>
    <row r="282" spans="1:4" x14ac:dyDescent="0.3">
      <c r="A282" s="830">
        <v>92846</v>
      </c>
      <c r="B282" s="831" t="s">
        <v>5037</v>
      </c>
      <c r="C282" s="830" t="s">
        <v>194</v>
      </c>
      <c r="D282" s="832">
        <v>68.790000000000006</v>
      </c>
    </row>
    <row r="283" spans="1:4" x14ac:dyDescent="0.3">
      <c r="A283" s="830">
        <v>92847</v>
      </c>
      <c r="B283" s="831" t="s">
        <v>5038</v>
      </c>
      <c r="C283" s="830" t="s">
        <v>194</v>
      </c>
      <c r="D283" s="832">
        <v>1054.3499999999999</v>
      </c>
    </row>
    <row r="284" spans="1:4" x14ac:dyDescent="0.3">
      <c r="A284" s="830">
        <v>92848</v>
      </c>
      <c r="B284" s="831" t="s">
        <v>5039</v>
      </c>
      <c r="C284" s="830" t="s">
        <v>194</v>
      </c>
      <c r="D284" s="832">
        <v>80.959999999999994</v>
      </c>
    </row>
    <row r="285" spans="1:4" x14ac:dyDescent="0.3">
      <c r="A285" s="830">
        <v>92849</v>
      </c>
      <c r="B285" s="831" t="s">
        <v>5040</v>
      </c>
      <c r="C285" s="830" t="s">
        <v>194</v>
      </c>
      <c r="D285" s="832">
        <v>226.14</v>
      </c>
    </row>
    <row r="286" spans="1:4" x14ac:dyDescent="0.3">
      <c r="A286" s="830">
        <v>92850</v>
      </c>
      <c r="B286" s="831" t="s">
        <v>5041</v>
      </c>
      <c r="C286" s="830" t="s">
        <v>194</v>
      </c>
      <c r="D286" s="832">
        <v>22.49</v>
      </c>
    </row>
    <row r="287" spans="1:4" x14ac:dyDescent="0.3">
      <c r="A287" s="830">
        <v>92851</v>
      </c>
      <c r="B287" s="831" t="s">
        <v>5042</v>
      </c>
      <c r="C287" s="830" t="s">
        <v>194</v>
      </c>
      <c r="D287" s="832">
        <v>238.91</v>
      </c>
    </row>
    <row r="288" spans="1:4" x14ac:dyDescent="0.3">
      <c r="A288" s="830">
        <v>92852</v>
      </c>
      <c r="B288" s="831" t="s">
        <v>5043</v>
      </c>
      <c r="C288" s="830" t="s">
        <v>194</v>
      </c>
      <c r="D288" s="832">
        <v>30.04</v>
      </c>
    </row>
    <row r="289" spans="1:4" x14ac:dyDescent="0.3">
      <c r="A289" s="830">
        <v>92853</v>
      </c>
      <c r="B289" s="831" t="s">
        <v>5044</v>
      </c>
      <c r="C289" s="830" t="s">
        <v>194</v>
      </c>
      <c r="D289" s="832">
        <v>424.35</v>
      </c>
    </row>
    <row r="290" spans="1:4" x14ac:dyDescent="0.3">
      <c r="A290" s="830">
        <v>92854</v>
      </c>
      <c r="B290" s="831" t="s">
        <v>5045</v>
      </c>
      <c r="C290" s="830" t="s">
        <v>194</v>
      </c>
      <c r="D290" s="832">
        <v>37.93</v>
      </c>
    </row>
    <row r="291" spans="1:4" x14ac:dyDescent="0.3">
      <c r="A291" s="830">
        <v>92855</v>
      </c>
      <c r="B291" s="831" t="s">
        <v>5046</v>
      </c>
      <c r="C291" s="830" t="s">
        <v>194</v>
      </c>
      <c r="D291" s="832">
        <v>520.27</v>
      </c>
    </row>
    <row r="292" spans="1:4" x14ac:dyDescent="0.3">
      <c r="A292" s="830">
        <v>92856</v>
      </c>
      <c r="B292" s="831" t="s">
        <v>5047</v>
      </c>
      <c r="C292" s="830" t="s">
        <v>194</v>
      </c>
      <c r="D292" s="832">
        <v>46.11</v>
      </c>
    </row>
    <row r="293" spans="1:4" x14ac:dyDescent="0.3">
      <c r="A293" s="830">
        <v>92857</v>
      </c>
      <c r="B293" s="831" t="s">
        <v>5048</v>
      </c>
      <c r="C293" s="830" t="s">
        <v>194</v>
      </c>
      <c r="D293" s="832">
        <v>676.68</v>
      </c>
    </row>
    <row r="294" spans="1:4" x14ac:dyDescent="0.3">
      <c r="A294" s="830">
        <v>92858</v>
      </c>
      <c r="B294" s="831" t="s">
        <v>5049</v>
      </c>
      <c r="C294" s="830" t="s">
        <v>194</v>
      </c>
      <c r="D294" s="832">
        <v>57.36</v>
      </c>
    </row>
    <row r="295" spans="1:4" x14ac:dyDescent="0.3">
      <c r="A295" s="830">
        <v>92859</v>
      </c>
      <c r="B295" s="831" t="s">
        <v>5050</v>
      </c>
      <c r="C295" s="830" t="s">
        <v>194</v>
      </c>
      <c r="D295" s="832">
        <v>700.91</v>
      </c>
    </row>
    <row r="296" spans="1:4" x14ac:dyDescent="0.3">
      <c r="A296" s="830">
        <v>92860</v>
      </c>
      <c r="B296" s="831" t="s">
        <v>5051</v>
      </c>
      <c r="C296" s="830" t="s">
        <v>194</v>
      </c>
      <c r="D296" s="832">
        <v>67.900000000000006</v>
      </c>
    </row>
    <row r="297" spans="1:4" x14ac:dyDescent="0.3">
      <c r="A297" s="830">
        <v>92861</v>
      </c>
      <c r="B297" s="831" t="s">
        <v>5052</v>
      </c>
      <c r="C297" s="830" t="s">
        <v>194</v>
      </c>
      <c r="D297" s="832">
        <v>1037.53</v>
      </c>
    </row>
    <row r="298" spans="1:4" x14ac:dyDescent="0.3">
      <c r="A298" s="830">
        <v>92862</v>
      </c>
      <c r="B298" s="831" t="s">
        <v>5053</v>
      </c>
      <c r="C298" s="830" t="s">
        <v>194</v>
      </c>
      <c r="D298" s="832">
        <v>77.73</v>
      </c>
    </row>
    <row r="299" spans="1:4" x14ac:dyDescent="0.3">
      <c r="A299" s="830">
        <v>92863</v>
      </c>
      <c r="B299" s="831" t="s">
        <v>5054</v>
      </c>
      <c r="C299" s="830" t="s">
        <v>194</v>
      </c>
      <c r="D299" s="832">
        <v>1064.3699999999999</v>
      </c>
    </row>
    <row r="300" spans="1:4" x14ac:dyDescent="0.3">
      <c r="A300" s="830">
        <v>92864</v>
      </c>
      <c r="B300" s="831" t="s">
        <v>5055</v>
      </c>
      <c r="C300" s="830" t="s">
        <v>194</v>
      </c>
      <c r="D300" s="832">
        <v>90.98</v>
      </c>
    </row>
    <row r="301" spans="1:4" x14ac:dyDescent="0.3">
      <c r="A301" s="830">
        <v>92210</v>
      </c>
      <c r="B301" s="831" t="s">
        <v>5056</v>
      </c>
      <c r="C301" s="830" t="s">
        <v>194</v>
      </c>
      <c r="D301" s="832">
        <v>163.41999999999999</v>
      </c>
    </row>
    <row r="302" spans="1:4" x14ac:dyDescent="0.3">
      <c r="A302" s="830">
        <v>92211</v>
      </c>
      <c r="B302" s="831" t="s">
        <v>5057</v>
      </c>
      <c r="C302" s="830" t="s">
        <v>194</v>
      </c>
      <c r="D302" s="832">
        <v>198.71</v>
      </c>
    </row>
    <row r="303" spans="1:4" x14ac:dyDescent="0.3">
      <c r="A303" s="830">
        <v>92212</v>
      </c>
      <c r="B303" s="831" t="s">
        <v>5058</v>
      </c>
      <c r="C303" s="830" t="s">
        <v>194</v>
      </c>
      <c r="D303" s="832">
        <v>304.18</v>
      </c>
    </row>
    <row r="304" spans="1:4" x14ac:dyDescent="0.3">
      <c r="A304" s="830">
        <v>92213</v>
      </c>
      <c r="B304" s="831" t="s">
        <v>5059</v>
      </c>
      <c r="C304" s="830" t="s">
        <v>194</v>
      </c>
      <c r="D304" s="832">
        <v>405.13</v>
      </c>
    </row>
    <row r="305" spans="1:4" x14ac:dyDescent="0.3">
      <c r="A305" s="830">
        <v>92214</v>
      </c>
      <c r="B305" s="831" t="s">
        <v>5060</v>
      </c>
      <c r="C305" s="830" t="s">
        <v>194</v>
      </c>
      <c r="D305" s="832">
        <v>490.94</v>
      </c>
    </row>
    <row r="306" spans="1:4" x14ac:dyDescent="0.3">
      <c r="A306" s="830">
        <v>92215</v>
      </c>
      <c r="B306" s="831" t="s">
        <v>5061</v>
      </c>
      <c r="C306" s="830" t="s">
        <v>194</v>
      </c>
      <c r="D306" s="832">
        <v>563.84</v>
      </c>
    </row>
    <row r="307" spans="1:4" x14ac:dyDescent="0.3">
      <c r="A307" s="830">
        <v>92216</v>
      </c>
      <c r="B307" s="831" t="s">
        <v>5062</v>
      </c>
      <c r="C307" s="830" t="s">
        <v>194</v>
      </c>
      <c r="D307" s="832">
        <v>584.76</v>
      </c>
    </row>
    <row r="308" spans="1:4" x14ac:dyDescent="0.3">
      <c r="A308" s="830">
        <v>92219</v>
      </c>
      <c r="B308" s="831" t="s">
        <v>5063</v>
      </c>
      <c r="C308" s="830" t="s">
        <v>194</v>
      </c>
      <c r="D308" s="832">
        <v>167.02</v>
      </c>
    </row>
    <row r="309" spans="1:4" x14ac:dyDescent="0.3">
      <c r="A309" s="830">
        <v>92220</v>
      </c>
      <c r="B309" s="831" t="s">
        <v>5064</v>
      </c>
      <c r="C309" s="830" t="s">
        <v>194</v>
      </c>
      <c r="D309" s="832">
        <v>203.36</v>
      </c>
    </row>
    <row r="310" spans="1:4" x14ac:dyDescent="0.3">
      <c r="A310" s="830">
        <v>92221</v>
      </c>
      <c r="B310" s="831" t="s">
        <v>5065</v>
      </c>
      <c r="C310" s="830" t="s">
        <v>194</v>
      </c>
      <c r="D310" s="832">
        <v>309.89999999999998</v>
      </c>
    </row>
    <row r="311" spans="1:4" x14ac:dyDescent="0.3">
      <c r="A311" s="830">
        <v>92222</v>
      </c>
      <c r="B311" s="831" t="s">
        <v>5066</v>
      </c>
      <c r="C311" s="830" t="s">
        <v>194</v>
      </c>
      <c r="D311" s="832">
        <v>411.92</v>
      </c>
    </row>
    <row r="312" spans="1:4" x14ac:dyDescent="0.3">
      <c r="A312" s="830">
        <v>92223</v>
      </c>
      <c r="B312" s="831" t="s">
        <v>5067</v>
      </c>
      <c r="C312" s="830" t="s">
        <v>194</v>
      </c>
      <c r="D312" s="832">
        <v>498.78</v>
      </c>
    </row>
    <row r="313" spans="1:4" x14ac:dyDescent="0.3">
      <c r="A313" s="830">
        <v>92224</v>
      </c>
      <c r="B313" s="831" t="s">
        <v>5068</v>
      </c>
      <c r="C313" s="830" t="s">
        <v>194</v>
      </c>
      <c r="D313" s="832">
        <v>572.79999999999995</v>
      </c>
    </row>
    <row r="314" spans="1:4" x14ac:dyDescent="0.3">
      <c r="A314" s="830">
        <v>92226</v>
      </c>
      <c r="B314" s="831" t="s">
        <v>5069</v>
      </c>
      <c r="C314" s="830" t="s">
        <v>194</v>
      </c>
      <c r="D314" s="832">
        <v>594.79</v>
      </c>
    </row>
    <row r="315" spans="1:4" x14ac:dyDescent="0.3">
      <c r="A315" s="830">
        <v>92808</v>
      </c>
      <c r="B315" s="831" t="s">
        <v>5070</v>
      </c>
      <c r="C315" s="830" t="s">
        <v>194</v>
      </c>
      <c r="D315" s="832">
        <v>25.11</v>
      </c>
    </row>
    <row r="316" spans="1:4" x14ac:dyDescent="0.3">
      <c r="A316" s="830">
        <v>92809</v>
      </c>
      <c r="B316" s="831" t="s">
        <v>5071</v>
      </c>
      <c r="C316" s="830" t="s">
        <v>194</v>
      </c>
      <c r="D316" s="832">
        <v>34.96</v>
      </c>
    </row>
    <row r="317" spans="1:4" x14ac:dyDescent="0.3">
      <c r="A317" s="830">
        <v>92810</v>
      </c>
      <c r="B317" s="831" t="s">
        <v>5072</v>
      </c>
      <c r="C317" s="830" t="s">
        <v>194</v>
      </c>
      <c r="D317" s="832">
        <v>45.19</v>
      </c>
    </row>
    <row r="318" spans="1:4" x14ac:dyDescent="0.3">
      <c r="A318" s="830">
        <v>92811</v>
      </c>
      <c r="B318" s="831" t="s">
        <v>5073</v>
      </c>
      <c r="C318" s="830" t="s">
        <v>194</v>
      </c>
      <c r="D318" s="832">
        <v>55.62</v>
      </c>
    </row>
    <row r="319" spans="1:4" x14ac:dyDescent="0.3">
      <c r="A319" s="830">
        <v>92812</v>
      </c>
      <c r="B319" s="831" t="s">
        <v>5074</v>
      </c>
      <c r="C319" s="830" t="s">
        <v>194</v>
      </c>
      <c r="D319" s="832">
        <v>66.34</v>
      </c>
    </row>
    <row r="320" spans="1:4" x14ac:dyDescent="0.3">
      <c r="A320" s="830">
        <v>92813</v>
      </c>
      <c r="B320" s="831" t="s">
        <v>5075</v>
      </c>
      <c r="C320" s="830" t="s">
        <v>194</v>
      </c>
      <c r="D320" s="832">
        <v>77.36</v>
      </c>
    </row>
    <row r="321" spans="1:4" x14ac:dyDescent="0.3">
      <c r="A321" s="830">
        <v>92814</v>
      </c>
      <c r="B321" s="831" t="s">
        <v>5076</v>
      </c>
      <c r="C321" s="830" t="s">
        <v>194</v>
      </c>
      <c r="D321" s="832">
        <v>88.64</v>
      </c>
    </row>
    <row r="322" spans="1:4" x14ac:dyDescent="0.3">
      <c r="A322" s="830">
        <v>92815</v>
      </c>
      <c r="B322" s="831" t="s">
        <v>5077</v>
      </c>
      <c r="C322" s="830" t="s">
        <v>194</v>
      </c>
      <c r="D322" s="832">
        <v>100.16</v>
      </c>
    </row>
    <row r="323" spans="1:4" x14ac:dyDescent="0.3">
      <c r="A323" s="830">
        <v>92816</v>
      </c>
      <c r="B323" s="831" t="s">
        <v>5078</v>
      </c>
      <c r="C323" s="830" t="s">
        <v>194</v>
      </c>
      <c r="D323" s="832">
        <v>847.83</v>
      </c>
    </row>
    <row r="324" spans="1:4" x14ac:dyDescent="0.3">
      <c r="A324" s="830">
        <v>92817</v>
      </c>
      <c r="B324" s="831" t="s">
        <v>4520</v>
      </c>
      <c r="C324" s="830" t="s">
        <v>194</v>
      </c>
      <c r="D324" s="832">
        <v>124.06</v>
      </c>
    </row>
    <row r="325" spans="1:4" x14ac:dyDescent="0.3">
      <c r="A325" s="830">
        <v>92818</v>
      </c>
      <c r="B325" s="831" t="s">
        <v>5079</v>
      </c>
      <c r="C325" s="830" t="s">
        <v>194</v>
      </c>
      <c r="D325" s="832">
        <v>1210.51</v>
      </c>
    </row>
    <row r="326" spans="1:4" x14ac:dyDescent="0.3">
      <c r="A326" s="830">
        <v>92819</v>
      </c>
      <c r="B326" s="831" t="s">
        <v>5080</v>
      </c>
      <c r="C326" s="830" t="s">
        <v>194</v>
      </c>
      <c r="D326" s="832">
        <v>161.93</v>
      </c>
    </row>
    <row r="327" spans="1:4" x14ac:dyDescent="0.3">
      <c r="A327" s="830">
        <v>92820</v>
      </c>
      <c r="B327" s="831" t="s">
        <v>5081</v>
      </c>
      <c r="C327" s="830" t="s">
        <v>194</v>
      </c>
      <c r="D327" s="832">
        <v>27.63</v>
      </c>
    </row>
    <row r="328" spans="1:4" x14ac:dyDescent="0.3">
      <c r="A328" s="830">
        <v>92821</v>
      </c>
      <c r="B328" s="831" t="s">
        <v>4441</v>
      </c>
      <c r="C328" s="830" t="s">
        <v>194</v>
      </c>
      <c r="D328" s="832">
        <v>38.56</v>
      </c>
    </row>
    <row r="329" spans="1:4" x14ac:dyDescent="0.3">
      <c r="A329" s="830">
        <v>92822</v>
      </c>
      <c r="B329" s="831" t="s">
        <v>5082</v>
      </c>
      <c r="C329" s="830" t="s">
        <v>194</v>
      </c>
      <c r="D329" s="832">
        <v>49.84</v>
      </c>
    </row>
    <row r="330" spans="1:4" x14ac:dyDescent="0.3">
      <c r="A330" s="830">
        <v>92824</v>
      </c>
      <c r="B330" s="831" t="s">
        <v>4431</v>
      </c>
      <c r="C330" s="830" t="s">
        <v>194</v>
      </c>
      <c r="D330" s="832">
        <v>61.34</v>
      </c>
    </row>
    <row r="331" spans="1:4" x14ac:dyDescent="0.3">
      <c r="A331" s="830">
        <v>92825</v>
      </c>
      <c r="B331" s="831" t="s">
        <v>5083</v>
      </c>
      <c r="C331" s="830" t="s">
        <v>194</v>
      </c>
      <c r="D331" s="832">
        <v>73.13</v>
      </c>
    </row>
    <row r="332" spans="1:4" x14ac:dyDescent="0.3">
      <c r="A332" s="830">
        <v>92826</v>
      </c>
      <c r="B332" s="831" t="s">
        <v>4432</v>
      </c>
      <c r="C332" s="830" t="s">
        <v>194</v>
      </c>
      <c r="D332" s="832">
        <v>85.2</v>
      </c>
    </row>
    <row r="333" spans="1:4" x14ac:dyDescent="0.3">
      <c r="A333" s="830">
        <v>92827</v>
      </c>
      <c r="B333" s="831" t="s">
        <v>5084</v>
      </c>
      <c r="C333" s="830" t="s">
        <v>194</v>
      </c>
      <c r="D333" s="832">
        <v>97.6</v>
      </c>
    </row>
    <row r="334" spans="1:4" x14ac:dyDescent="0.3">
      <c r="A334" s="830">
        <v>92828</v>
      </c>
      <c r="B334" s="831" t="s">
        <v>4433</v>
      </c>
      <c r="C334" s="830" t="s">
        <v>194</v>
      </c>
      <c r="D334" s="832">
        <v>110.19</v>
      </c>
    </row>
    <row r="335" spans="1:4" x14ac:dyDescent="0.3">
      <c r="A335" s="830">
        <v>92829</v>
      </c>
      <c r="B335" s="831" t="s">
        <v>5085</v>
      </c>
      <c r="C335" s="830" t="s">
        <v>194</v>
      </c>
      <c r="D335" s="832">
        <v>859.99</v>
      </c>
    </row>
    <row r="336" spans="1:4" x14ac:dyDescent="0.3">
      <c r="A336" s="830">
        <v>92830</v>
      </c>
      <c r="B336" s="831" t="s">
        <v>4434</v>
      </c>
      <c r="C336" s="830" t="s">
        <v>194</v>
      </c>
      <c r="D336" s="832">
        <v>136.22</v>
      </c>
    </row>
    <row r="337" spans="1:4" x14ac:dyDescent="0.3">
      <c r="A337" s="830">
        <v>92831</v>
      </c>
      <c r="B337" s="831" t="s">
        <v>5086</v>
      </c>
      <c r="C337" s="830" t="s">
        <v>194</v>
      </c>
      <c r="D337" s="832">
        <v>1225.8800000000001</v>
      </c>
    </row>
    <row r="338" spans="1:4" x14ac:dyDescent="0.3">
      <c r="A338" s="830">
        <v>92832</v>
      </c>
      <c r="B338" s="831" t="s">
        <v>4435</v>
      </c>
      <c r="C338" s="830" t="s">
        <v>194</v>
      </c>
      <c r="D338" s="832">
        <v>177.3</v>
      </c>
    </row>
    <row r="339" spans="1:4" x14ac:dyDescent="0.3">
      <c r="A339" s="830">
        <v>95565</v>
      </c>
      <c r="B339" s="831" t="s">
        <v>5087</v>
      </c>
      <c r="C339" s="830" t="s">
        <v>194</v>
      </c>
      <c r="D339" s="832">
        <v>138.94</v>
      </c>
    </row>
    <row r="340" spans="1:4" x14ac:dyDescent="0.3">
      <c r="A340" s="830">
        <v>95566</v>
      </c>
      <c r="B340" s="831" t="s">
        <v>5088</v>
      </c>
      <c r="C340" s="830" t="s">
        <v>194</v>
      </c>
      <c r="D340" s="832">
        <v>141.46</v>
      </c>
    </row>
    <row r="341" spans="1:4" x14ac:dyDescent="0.3">
      <c r="A341" s="830">
        <v>95567</v>
      </c>
      <c r="B341" s="831" t="s">
        <v>5089</v>
      </c>
      <c r="C341" s="830" t="s">
        <v>194</v>
      </c>
      <c r="D341" s="832">
        <v>79.33</v>
      </c>
    </row>
    <row r="342" spans="1:4" x14ac:dyDescent="0.3">
      <c r="A342" s="830">
        <v>95568</v>
      </c>
      <c r="B342" s="831" t="s">
        <v>5090</v>
      </c>
      <c r="C342" s="830" t="s">
        <v>194</v>
      </c>
      <c r="D342" s="832">
        <v>99.03</v>
      </c>
    </row>
    <row r="343" spans="1:4" x14ac:dyDescent="0.3">
      <c r="A343" s="830">
        <v>95569</v>
      </c>
      <c r="B343" s="831" t="s">
        <v>5091</v>
      </c>
      <c r="C343" s="830" t="s">
        <v>194</v>
      </c>
      <c r="D343" s="832">
        <v>140.55000000000001</v>
      </c>
    </row>
    <row r="344" spans="1:4" x14ac:dyDescent="0.3">
      <c r="A344" s="830">
        <v>95570</v>
      </c>
      <c r="B344" s="831" t="s">
        <v>5092</v>
      </c>
      <c r="C344" s="830" t="s">
        <v>194</v>
      </c>
      <c r="D344" s="832">
        <v>81.849999999999994</v>
      </c>
    </row>
    <row r="345" spans="1:4" x14ac:dyDescent="0.3">
      <c r="A345" s="830">
        <v>95571</v>
      </c>
      <c r="B345" s="831" t="s">
        <v>5093</v>
      </c>
      <c r="C345" s="830" t="s">
        <v>194</v>
      </c>
      <c r="D345" s="832">
        <v>102.63</v>
      </c>
    </row>
    <row r="346" spans="1:4" x14ac:dyDescent="0.3">
      <c r="A346" s="830">
        <v>95572</v>
      </c>
      <c r="B346" s="831" t="s">
        <v>5094</v>
      </c>
      <c r="C346" s="830" t="s">
        <v>194</v>
      </c>
      <c r="D346" s="832">
        <v>145.19999999999999</v>
      </c>
    </row>
    <row r="347" spans="1:4" x14ac:dyDescent="0.3">
      <c r="A347" s="830">
        <v>97127</v>
      </c>
      <c r="B347" s="831" t="s">
        <v>5095</v>
      </c>
      <c r="C347" s="830" t="s">
        <v>194</v>
      </c>
      <c r="D347" s="832">
        <v>5.46</v>
      </c>
    </row>
    <row r="348" spans="1:4" x14ac:dyDescent="0.3">
      <c r="A348" s="830">
        <v>97128</v>
      </c>
      <c r="B348" s="831" t="s">
        <v>5096</v>
      </c>
      <c r="C348" s="830" t="s">
        <v>194</v>
      </c>
      <c r="D348" s="832">
        <v>10.27</v>
      </c>
    </row>
    <row r="349" spans="1:4" x14ac:dyDescent="0.3">
      <c r="A349" s="830">
        <v>97129</v>
      </c>
      <c r="B349" s="831" t="s">
        <v>5097</v>
      </c>
      <c r="C349" s="830" t="s">
        <v>194</v>
      </c>
      <c r="D349" s="832">
        <v>12.17</v>
      </c>
    </row>
    <row r="350" spans="1:4" x14ac:dyDescent="0.3">
      <c r="A350" s="830">
        <v>97130</v>
      </c>
      <c r="B350" s="831" t="s">
        <v>5098</v>
      </c>
      <c r="C350" s="830" t="s">
        <v>194</v>
      </c>
      <c r="D350" s="832">
        <v>14.06</v>
      </c>
    </row>
    <row r="351" spans="1:4" x14ac:dyDescent="0.3">
      <c r="A351" s="830">
        <v>97131</v>
      </c>
      <c r="B351" s="831" t="s">
        <v>5099</v>
      </c>
      <c r="C351" s="830" t="s">
        <v>194</v>
      </c>
      <c r="D351" s="832">
        <v>15.99</v>
      </c>
    </row>
    <row r="352" spans="1:4" x14ac:dyDescent="0.3">
      <c r="A352" s="830">
        <v>97132</v>
      </c>
      <c r="B352" s="831" t="s">
        <v>5100</v>
      </c>
      <c r="C352" s="830" t="s">
        <v>194</v>
      </c>
      <c r="D352" s="832">
        <v>17.89</v>
      </c>
    </row>
    <row r="353" spans="1:4" x14ac:dyDescent="0.3">
      <c r="A353" s="830">
        <v>97133</v>
      </c>
      <c r="B353" s="831" t="s">
        <v>5101</v>
      </c>
      <c r="C353" s="830" t="s">
        <v>194</v>
      </c>
      <c r="D353" s="832">
        <v>21.7</v>
      </c>
    </row>
    <row r="354" spans="1:4" x14ac:dyDescent="0.3">
      <c r="A354" s="830">
        <v>97134</v>
      </c>
      <c r="B354" s="831" t="s">
        <v>5102</v>
      </c>
      <c r="C354" s="830" t="s">
        <v>194</v>
      </c>
      <c r="D354" s="832">
        <v>4.5199999999999996</v>
      </c>
    </row>
    <row r="355" spans="1:4" x14ac:dyDescent="0.3">
      <c r="A355" s="830">
        <v>97135</v>
      </c>
      <c r="B355" s="831" t="s">
        <v>5103</v>
      </c>
      <c r="C355" s="830" t="s">
        <v>194</v>
      </c>
      <c r="D355" s="832">
        <v>7.92</v>
      </c>
    </row>
    <row r="356" spans="1:4" x14ac:dyDescent="0.3">
      <c r="A356" s="830">
        <v>97136</v>
      </c>
      <c r="B356" s="831" t="s">
        <v>5104</v>
      </c>
      <c r="C356" s="830" t="s">
        <v>194</v>
      </c>
      <c r="D356" s="832">
        <v>9.4</v>
      </c>
    </row>
    <row r="357" spans="1:4" x14ac:dyDescent="0.3">
      <c r="A357" s="830">
        <v>97137</v>
      </c>
      <c r="B357" s="831" t="s">
        <v>5105</v>
      </c>
      <c r="C357" s="830" t="s">
        <v>194</v>
      </c>
      <c r="D357" s="832">
        <v>10.86</v>
      </c>
    </row>
    <row r="358" spans="1:4" x14ac:dyDescent="0.3">
      <c r="A358" s="830">
        <v>97138</v>
      </c>
      <c r="B358" s="831" t="s">
        <v>5106</v>
      </c>
      <c r="C358" s="830" t="s">
        <v>194</v>
      </c>
      <c r="D358" s="832">
        <v>12.34</v>
      </c>
    </row>
    <row r="359" spans="1:4" x14ac:dyDescent="0.3">
      <c r="A359" s="830">
        <v>97139</v>
      </c>
      <c r="B359" s="831" t="s">
        <v>5107</v>
      </c>
      <c r="C359" s="830" t="s">
        <v>194</v>
      </c>
      <c r="D359" s="832">
        <v>13.82</v>
      </c>
    </row>
    <row r="360" spans="1:4" x14ac:dyDescent="0.3">
      <c r="A360" s="830">
        <v>97140</v>
      </c>
      <c r="B360" s="831" t="s">
        <v>5108</v>
      </c>
      <c r="C360" s="830" t="s">
        <v>194</v>
      </c>
      <c r="D360" s="832">
        <v>16.760000000000002</v>
      </c>
    </row>
    <row r="361" spans="1:4" x14ac:dyDescent="0.3">
      <c r="A361" s="830">
        <v>103089</v>
      </c>
      <c r="B361" s="831" t="s">
        <v>5109</v>
      </c>
      <c r="C361" s="830" t="s">
        <v>194</v>
      </c>
      <c r="D361" s="832">
        <v>12.01</v>
      </c>
    </row>
    <row r="362" spans="1:4" x14ac:dyDescent="0.3">
      <c r="A362" s="830">
        <v>103090</v>
      </c>
      <c r="B362" s="831" t="s">
        <v>5110</v>
      </c>
      <c r="C362" s="830" t="s">
        <v>194</v>
      </c>
      <c r="D362" s="832">
        <v>14.37</v>
      </c>
    </row>
    <row r="363" spans="1:4" x14ac:dyDescent="0.3">
      <c r="A363" s="830">
        <v>103091</v>
      </c>
      <c r="B363" s="831" t="s">
        <v>5111</v>
      </c>
      <c r="C363" s="830" t="s">
        <v>194</v>
      </c>
      <c r="D363" s="832">
        <v>20.23</v>
      </c>
    </row>
    <row r="364" spans="1:4" x14ac:dyDescent="0.3">
      <c r="A364" s="830">
        <v>103092</v>
      </c>
      <c r="B364" s="831" t="s">
        <v>5112</v>
      </c>
      <c r="C364" s="830" t="s">
        <v>194</v>
      </c>
      <c r="D364" s="832">
        <v>26.12</v>
      </c>
    </row>
    <row r="365" spans="1:4" x14ac:dyDescent="0.3">
      <c r="A365" s="830">
        <v>103093</v>
      </c>
      <c r="B365" s="831" t="s">
        <v>5113</v>
      </c>
      <c r="C365" s="830" t="s">
        <v>194</v>
      </c>
      <c r="D365" s="832">
        <v>39.92</v>
      </c>
    </row>
    <row r="366" spans="1:4" x14ac:dyDescent="0.3">
      <c r="A366" s="830">
        <v>103094</v>
      </c>
      <c r="B366" s="831" t="s">
        <v>5114</v>
      </c>
      <c r="C366" s="830" t="s">
        <v>194</v>
      </c>
      <c r="D366" s="832">
        <v>45.84</v>
      </c>
    </row>
    <row r="367" spans="1:4" x14ac:dyDescent="0.3">
      <c r="A367" s="830">
        <v>103095</v>
      </c>
      <c r="B367" s="831" t="s">
        <v>5115</v>
      </c>
      <c r="C367" s="830" t="s">
        <v>194</v>
      </c>
      <c r="D367" s="832">
        <v>59.63</v>
      </c>
    </row>
    <row r="368" spans="1:4" x14ac:dyDescent="0.3">
      <c r="A368" s="830">
        <v>103096</v>
      </c>
      <c r="B368" s="831" t="s">
        <v>5116</v>
      </c>
      <c r="C368" s="830" t="s">
        <v>194</v>
      </c>
      <c r="D368" s="832">
        <v>65.540000000000006</v>
      </c>
    </row>
    <row r="369" spans="1:4" x14ac:dyDescent="0.3">
      <c r="A369" s="830">
        <v>103097</v>
      </c>
      <c r="B369" s="831" t="s">
        <v>5117</v>
      </c>
      <c r="C369" s="830" t="s">
        <v>194</v>
      </c>
      <c r="D369" s="832">
        <v>79.33</v>
      </c>
    </row>
    <row r="370" spans="1:4" x14ac:dyDescent="0.3">
      <c r="A370" s="830">
        <v>103098</v>
      </c>
      <c r="B370" s="831" t="s">
        <v>5118</v>
      </c>
      <c r="C370" s="830" t="s">
        <v>194</v>
      </c>
      <c r="D370" s="832">
        <v>85.22</v>
      </c>
    </row>
    <row r="371" spans="1:4" x14ac:dyDescent="0.3">
      <c r="A371" s="830">
        <v>103099</v>
      </c>
      <c r="B371" s="831" t="s">
        <v>5119</v>
      </c>
      <c r="C371" s="830" t="s">
        <v>194</v>
      </c>
      <c r="D371" s="832">
        <v>96.98</v>
      </c>
    </row>
    <row r="372" spans="1:4" x14ac:dyDescent="0.3">
      <c r="A372" s="830">
        <v>103100</v>
      </c>
      <c r="B372" s="831" t="s">
        <v>5120</v>
      </c>
      <c r="C372" s="830" t="s">
        <v>194</v>
      </c>
      <c r="D372" s="832">
        <v>103.52</v>
      </c>
    </row>
    <row r="373" spans="1:4" x14ac:dyDescent="0.3">
      <c r="A373" s="830">
        <v>103101</v>
      </c>
      <c r="B373" s="831" t="s">
        <v>5121</v>
      </c>
      <c r="C373" s="830" t="s">
        <v>194</v>
      </c>
      <c r="D373" s="832">
        <v>114.04</v>
      </c>
    </row>
    <row r="374" spans="1:4" x14ac:dyDescent="0.3">
      <c r="A374" s="830">
        <v>103102</v>
      </c>
      <c r="B374" s="831" t="s">
        <v>5122</v>
      </c>
      <c r="C374" s="830" t="s">
        <v>194</v>
      </c>
      <c r="D374" s="832">
        <v>131.34</v>
      </c>
    </row>
    <row r="375" spans="1:4" x14ac:dyDescent="0.3">
      <c r="A375" s="830">
        <v>103103</v>
      </c>
      <c r="B375" s="831" t="s">
        <v>5123</v>
      </c>
      <c r="C375" s="830" t="s">
        <v>194</v>
      </c>
      <c r="D375" s="832">
        <v>141.85</v>
      </c>
    </row>
    <row r="376" spans="1:4" x14ac:dyDescent="0.3">
      <c r="A376" s="830">
        <v>103104</v>
      </c>
      <c r="B376" s="831" t="s">
        <v>5124</v>
      </c>
      <c r="C376" s="830" t="s">
        <v>194</v>
      </c>
      <c r="D376" s="832">
        <v>169.67</v>
      </c>
    </row>
    <row r="377" spans="1:4" x14ac:dyDescent="0.3">
      <c r="A377" s="830">
        <v>103105</v>
      </c>
      <c r="B377" s="831" t="s">
        <v>5125</v>
      </c>
      <c r="C377" s="830" t="s">
        <v>89</v>
      </c>
      <c r="D377" s="832">
        <v>49.9</v>
      </c>
    </row>
    <row r="378" spans="1:4" x14ac:dyDescent="0.3">
      <c r="A378" s="830">
        <v>103106</v>
      </c>
      <c r="B378" s="831" t="s">
        <v>5126</v>
      </c>
      <c r="C378" s="830" t="s">
        <v>89</v>
      </c>
      <c r="D378" s="832">
        <v>59.7</v>
      </c>
    </row>
    <row r="379" spans="1:4" x14ac:dyDescent="0.3">
      <c r="A379" s="830">
        <v>103107</v>
      </c>
      <c r="B379" s="831" t="s">
        <v>5127</v>
      </c>
      <c r="C379" s="830" t="s">
        <v>89</v>
      </c>
      <c r="D379" s="832">
        <v>84.21</v>
      </c>
    </row>
    <row r="380" spans="1:4" x14ac:dyDescent="0.3">
      <c r="A380" s="830">
        <v>103108</v>
      </c>
      <c r="B380" s="831" t="s">
        <v>5128</v>
      </c>
      <c r="C380" s="830" t="s">
        <v>89</v>
      </c>
      <c r="D380" s="832">
        <v>108.69</v>
      </c>
    </row>
    <row r="381" spans="1:4" x14ac:dyDescent="0.3">
      <c r="A381" s="830">
        <v>103109</v>
      </c>
      <c r="B381" s="831" t="s">
        <v>5129</v>
      </c>
      <c r="C381" s="830" t="s">
        <v>89</v>
      </c>
      <c r="D381" s="832">
        <v>179.21</v>
      </c>
    </row>
    <row r="382" spans="1:4" x14ac:dyDescent="0.3">
      <c r="A382" s="830">
        <v>103110</v>
      </c>
      <c r="B382" s="831" t="s">
        <v>5130</v>
      </c>
      <c r="C382" s="830" t="s">
        <v>89</v>
      </c>
      <c r="D382" s="832">
        <v>203.71</v>
      </c>
    </row>
    <row r="383" spans="1:4" x14ac:dyDescent="0.3">
      <c r="A383" s="830">
        <v>103111</v>
      </c>
      <c r="B383" s="831" t="s">
        <v>5131</v>
      </c>
      <c r="C383" s="830" t="s">
        <v>89</v>
      </c>
      <c r="D383" s="832">
        <v>274.23</v>
      </c>
    </row>
    <row r="384" spans="1:4" x14ac:dyDescent="0.3">
      <c r="A384" s="830">
        <v>103112</v>
      </c>
      <c r="B384" s="831" t="s">
        <v>5132</v>
      </c>
      <c r="C384" s="830" t="s">
        <v>89</v>
      </c>
      <c r="D384" s="832">
        <v>298.72000000000003</v>
      </c>
    </row>
    <row r="385" spans="1:4" x14ac:dyDescent="0.3">
      <c r="A385" s="830">
        <v>103113</v>
      </c>
      <c r="B385" s="831" t="s">
        <v>5133</v>
      </c>
      <c r="C385" s="830" t="s">
        <v>89</v>
      </c>
      <c r="D385" s="832">
        <v>369.26</v>
      </c>
    </row>
    <row r="386" spans="1:4" x14ac:dyDescent="0.3">
      <c r="A386" s="830">
        <v>103114</v>
      </c>
      <c r="B386" s="831" t="s">
        <v>5134</v>
      </c>
      <c r="C386" s="830" t="s">
        <v>89</v>
      </c>
      <c r="D386" s="832">
        <v>393.74</v>
      </c>
    </row>
    <row r="387" spans="1:4" x14ac:dyDescent="0.3">
      <c r="A387" s="830">
        <v>103115</v>
      </c>
      <c r="B387" s="831" t="s">
        <v>5135</v>
      </c>
      <c r="C387" s="830" t="s">
        <v>89</v>
      </c>
      <c r="D387" s="832">
        <v>442.74</v>
      </c>
    </row>
    <row r="388" spans="1:4" x14ac:dyDescent="0.3">
      <c r="A388" s="830">
        <v>103116</v>
      </c>
      <c r="B388" s="831" t="s">
        <v>5136</v>
      </c>
      <c r="C388" s="830" t="s">
        <v>89</v>
      </c>
      <c r="D388" s="832">
        <v>537.76</v>
      </c>
    </row>
    <row r="389" spans="1:4" x14ac:dyDescent="0.3">
      <c r="A389" s="830">
        <v>103117</v>
      </c>
      <c r="B389" s="831" t="s">
        <v>5137</v>
      </c>
      <c r="C389" s="830" t="s">
        <v>89</v>
      </c>
      <c r="D389" s="832">
        <v>586.74</v>
      </c>
    </row>
    <row r="390" spans="1:4" x14ac:dyDescent="0.3">
      <c r="A390" s="830">
        <v>103118</v>
      </c>
      <c r="B390" s="831" t="s">
        <v>5138</v>
      </c>
      <c r="C390" s="830" t="s">
        <v>89</v>
      </c>
      <c r="D390" s="832">
        <v>681.76</v>
      </c>
    </row>
    <row r="391" spans="1:4" x14ac:dyDescent="0.3">
      <c r="A391" s="830">
        <v>103119</v>
      </c>
      <c r="B391" s="831" t="s">
        <v>5139</v>
      </c>
      <c r="C391" s="830" t="s">
        <v>89</v>
      </c>
      <c r="D391" s="832">
        <v>730.75</v>
      </c>
    </row>
    <row r="392" spans="1:4" x14ac:dyDescent="0.3">
      <c r="A392" s="830">
        <v>103120</v>
      </c>
      <c r="B392" s="831" t="s">
        <v>5140</v>
      </c>
      <c r="C392" s="830" t="s">
        <v>89</v>
      </c>
      <c r="D392" s="832">
        <v>874.76</v>
      </c>
    </row>
    <row r="393" spans="1:4" x14ac:dyDescent="0.3">
      <c r="A393" s="830">
        <v>103121</v>
      </c>
      <c r="B393" s="831" t="s">
        <v>5141</v>
      </c>
      <c r="C393" s="830" t="s">
        <v>89</v>
      </c>
      <c r="D393" s="832">
        <v>65.760000000000005</v>
      </c>
    </row>
    <row r="394" spans="1:4" x14ac:dyDescent="0.3">
      <c r="A394" s="830">
        <v>103122</v>
      </c>
      <c r="B394" s="831" t="s">
        <v>5142</v>
      </c>
      <c r="C394" s="830" t="s">
        <v>89</v>
      </c>
      <c r="D394" s="832">
        <v>80.459999999999994</v>
      </c>
    </row>
    <row r="395" spans="1:4" x14ac:dyDescent="0.3">
      <c r="A395" s="830">
        <v>103123</v>
      </c>
      <c r="B395" s="831" t="s">
        <v>5143</v>
      </c>
      <c r="C395" s="830" t="s">
        <v>89</v>
      </c>
      <c r="D395" s="832">
        <v>117.21</v>
      </c>
    </row>
    <row r="396" spans="1:4" x14ac:dyDescent="0.3">
      <c r="A396" s="830">
        <v>103124</v>
      </c>
      <c r="B396" s="831" t="s">
        <v>5144</v>
      </c>
      <c r="C396" s="830" t="s">
        <v>89</v>
      </c>
      <c r="D396" s="832">
        <v>153.94</v>
      </c>
    </row>
    <row r="397" spans="1:4" x14ac:dyDescent="0.3">
      <c r="A397" s="830">
        <v>103125</v>
      </c>
      <c r="B397" s="831" t="s">
        <v>5145</v>
      </c>
      <c r="C397" s="830" t="s">
        <v>89</v>
      </c>
      <c r="D397" s="832">
        <v>259.74</v>
      </c>
    </row>
    <row r="398" spans="1:4" x14ac:dyDescent="0.3">
      <c r="A398" s="830">
        <v>103126</v>
      </c>
      <c r="B398" s="831" t="s">
        <v>5146</v>
      </c>
      <c r="C398" s="830" t="s">
        <v>89</v>
      </c>
      <c r="D398" s="832">
        <v>296.47000000000003</v>
      </c>
    </row>
    <row r="399" spans="1:4" x14ac:dyDescent="0.3">
      <c r="A399" s="830">
        <v>103127</v>
      </c>
      <c r="B399" s="831" t="s">
        <v>5147</v>
      </c>
      <c r="C399" s="830" t="s">
        <v>89</v>
      </c>
      <c r="D399" s="832">
        <v>402.26</v>
      </c>
    </row>
    <row r="400" spans="1:4" x14ac:dyDescent="0.3">
      <c r="A400" s="830">
        <v>103128</v>
      </c>
      <c r="B400" s="831" t="s">
        <v>5148</v>
      </c>
      <c r="C400" s="830" t="s">
        <v>89</v>
      </c>
      <c r="D400" s="832">
        <v>438.98</v>
      </c>
    </row>
    <row r="401" spans="1:4" x14ac:dyDescent="0.3">
      <c r="A401" s="830">
        <v>103129</v>
      </c>
      <c r="B401" s="831" t="s">
        <v>5149</v>
      </c>
      <c r="C401" s="830" t="s">
        <v>89</v>
      </c>
      <c r="D401" s="832">
        <v>544.79999999999995</v>
      </c>
    </row>
    <row r="402" spans="1:4" x14ac:dyDescent="0.3">
      <c r="A402" s="830">
        <v>103130</v>
      </c>
      <c r="B402" s="831" t="s">
        <v>5150</v>
      </c>
      <c r="C402" s="830" t="s">
        <v>89</v>
      </c>
      <c r="D402" s="832">
        <v>581.51</v>
      </c>
    </row>
    <row r="403" spans="1:4" x14ac:dyDescent="0.3">
      <c r="A403" s="830">
        <v>103131</v>
      </c>
      <c r="B403" s="831" t="s">
        <v>5151</v>
      </c>
      <c r="C403" s="830" t="s">
        <v>89</v>
      </c>
      <c r="D403" s="832">
        <v>655</v>
      </c>
    </row>
    <row r="404" spans="1:4" x14ac:dyDescent="0.3">
      <c r="A404" s="830">
        <v>103132</v>
      </c>
      <c r="B404" s="831" t="s">
        <v>5152</v>
      </c>
      <c r="C404" s="830" t="s">
        <v>89</v>
      </c>
      <c r="D404" s="832">
        <v>797.53</v>
      </c>
    </row>
    <row r="405" spans="1:4" x14ac:dyDescent="0.3">
      <c r="A405" s="830">
        <v>103133</v>
      </c>
      <c r="B405" s="831" t="s">
        <v>5153</v>
      </c>
      <c r="C405" s="830" t="s">
        <v>89</v>
      </c>
      <c r="D405" s="832">
        <v>871.01</v>
      </c>
    </row>
    <row r="406" spans="1:4" x14ac:dyDescent="0.3">
      <c r="A406" s="830">
        <v>103134</v>
      </c>
      <c r="B406" s="831" t="s">
        <v>5154</v>
      </c>
      <c r="C406" s="830" t="s">
        <v>89</v>
      </c>
      <c r="D406" s="832">
        <v>1013.55</v>
      </c>
    </row>
    <row r="407" spans="1:4" x14ac:dyDescent="0.3">
      <c r="A407" s="830">
        <v>103135</v>
      </c>
      <c r="B407" s="831" t="s">
        <v>5155</v>
      </c>
      <c r="C407" s="830" t="s">
        <v>89</v>
      </c>
      <c r="D407" s="832">
        <v>1087.04</v>
      </c>
    </row>
    <row r="408" spans="1:4" x14ac:dyDescent="0.3">
      <c r="A408" s="830">
        <v>103136</v>
      </c>
      <c r="B408" s="831" t="s">
        <v>5156</v>
      </c>
      <c r="C408" s="830" t="s">
        <v>89</v>
      </c>
      <c r="D408" s="832">
        <v>1303.05</v>
      </c>
    </row>
    <row r="409" spans="1:4" x14ac:dyDescent="0.3">
      <c r="A409" s="830">
        <v>103137</v>
      </c>
      <c r="B409" s="831" t="s">
        <v>5157</v>
      </c>
      <c r="C409" s="830" t="s">
        <v>89</v>
      </c>
      <c r="D409" s="832">
        <v>34.049999999999997</v>
      </c>
    </row>
    <row r="410" spans="1:4" x14ac:dyDescent="0.3">
      <c r="A410" s="830">
        <v>103138</v>
      </c>
      <c r="B410" s="831" t="s">
        <v>5158</v>
      </c>
      <c r="C410" s="830" t="s">
        <v>89</v>
      </c>
      <c r="D410" s="832">
        <v>38.950000000000003</v>
      </c>
    </row>
    <row r="411" spans="1:4" x14ac:dyDescent="0.3">
      <c r="A411" s="830">
        <v>103139</v>
      </c>
      <c r="B411" s="831" t="s">
        <v>5159</v>
      </c>
      <c r="C411" s="830" t="s">
        <v>89</v>
      </c>
      <c r="D411" s="832">
        <v>51.2</v>
      </c>
    </row>
    <row r="412" spans="1:4" x14ac:dyDescent="0.3">
      <c r="A412" s="830">
        <v>103140</v>
      </c>
      <c r="B412" s="831" t="s">
        <v>5160</v>
      </c>
      <c r="C412" s="830" t="s">
        <v>89</v>
      </c>
      <c r="D412" s="832">
        <v>63.44</v>
      </c>
    </row>
    <row r="413" spans="1:4" x14ac:dyDescent="0.3">
      <c r="A413" s="830">
        <v>103141</v>
      </c>
      <c r="B413" s="831" t="s">
        <v>5161</v>
      </c>
      <c r="C413" s="830" t="s">
        <v>89</v>
      </c>
      <c r="D413" s="832">
        <v>98.72</v>
      </c>
    </row>
    <row r="414" spans="1:4" x14ac:dyDescent="0.3">
      <c r="A414" s="830">
        <v>103142</v>
      </c>
      <c r="B414" s="831" t="s">
        <v>5162</v>
      </c>
      <c r="C414" s="830" t="s">
        <v>89</v>
      </c>
      <c r="D414" s="832">
        <v>110.95</v>
      </c>
    </row>
    <row r="415" spans="1:4" x14ac:dyDescent="0.3">
      <c r="A415" s="830">
        <v>103143</v>
      </c>
      <c r="B415" s="831" t="s">
        <v>5163</v>
      </c>
      <c r="C415" s="830" t="s">
        <v>89</v>
      </c>
      <c r="D415" s="832">
        <v>146.22</v>
      </c>
    </row>
    <row r="416" spans="1:4" x14ac:dyDescent="0.3">
      <c r="A416" s="830">
        <v>103144</v>
      </c>
      <c r="B416" s="831" t="s">
        <v>5164</v>
      </c>
      <c r="C416" s="830" t="s">
        <v>89</v>
      </c>
      <c r="D416" s="832">
        <v>158.46</v>
      </c>
    </row>
    <row r="417" spans="1:4" x14ac:dyDescent="0.3">
      <c r="A417" s="830">
        <v>103145</v>
      </c>
      <c r="B417" s="831" t="s">
        <v>5165</v>
      </c>
      <c r="C417" s="830" t="s">
        <v>89</v>
      </c>
      <c r="D417" s="832">
        <v>193.74</v>
      </c>
    </row>
    <row r="418" spans="1:4" x14ac:dyDescent="0.3">
      <c r="A418" s="830">
        <v>103146</v>
      </c>
      <c r="B418" s="831" t="s">
        <v>5166</v>
      </c>
      <c r="C418" s="830" t="s">
        <v>89</v>
      </c>
      <c r="D418" s="832">
        <v>205.96</v>
      </c>
    </row>
    <row r="419" spans="1:4" x14ac:dyDescent="0.3">
      <c r="A419" s="830">
        <v>103147</v>
      </c>
      <c r="B419" s="831" t="s">
        <v>5167</v>
      </c>
      <c r="C419" s="830" t="s">
        <v>89</v>
      </c>
      <c r="D419" s="832">
        <v>230.46</v>
      </c>
    </row>
    <row r="420" spans="1:4" x14ac:dyDescent="0.3">
      <c r="A420" s="830">
        <v>103148</v>
      </c>
      <c r="B420" s="831" t="s">
        <v>5168</v>
      </c>
      <c r="C420" s="830" t="s">
        <v>89</v>
      </c>
      <c r="D420" s="832">
        <v>277.95999999999998</v>
      </c>
    </row>
    <row r="421" spans="1:4" x14ac:dyDescent="0.3">
      <c r="A421" s="830">
        <v>103149</v>
      </c>
      <c r="B421" s="831" t="s">
        <v>5169</v>
      </c>
      <c r="C421" s="830" t="s">
        <v>89</v>
      </c>
      <c r="D421" s="832">
        <v>302.47000000000003</v>
      </c>
    </row>
    <row r="422" spans="1:4" x14ac:dyDescent="0.3">
      <c r="A422" s="830">
        <v>103150</v>
      </c>
      <c r="B422" s="831" t="s">
        <v>5170</v>
      </c>
      <c r="C422" s="830" t="s">
        <v>89</v>
      </c>
      <c r="D422" s="832">
        <v>349.93</v>
      </c>
    </row>
    <row r="423" spans="1:4" x14ac:dyDescent="0.3">
      <c r="A423" s="830">
        <v>103151</v>
      </c>
      <c r="B423" s="831" t="s">
        <v>5171</v>
      </c>
      <c r="C423" s="830" t="s">
        <v>89</v>
      </c>
      <c r="D423" s="832">
        <v>374.48</v>
      </c>
    </row>
    <row r="424" spans="1:4" x14ac:dyDescent="0.3">
      <c r="A424" s="830">
        <v>103152</v>
      </c>
      <c r="B424" s="831" t="s">
        <v>5172</v>
      </c>
      <c r="C424" s="830" t="s">
        <v>89</v>
      </c>
      <c r="D424" s="832">
        <v>446.48</v>
      </c>
    </row>
    <row r="425" spans="1:4" x14ac:dyDescent="0.3">
      <c r="A425" s="830">
        <v>103372</v>
      </c>
      <c r="B425" s="831" t="s">
        <v>5173</v>
      </c>
      <c r="C425" s="830" t="s">
        <v>194</v>
      </c>
      <c r="D425" s="832">
        <v>5.29</v>
      </c>
    </row>
    <row r="426" spans="1:4" x14ac:dyDescent="0.3">
      <c r="A426" s="830">
        <v>103373</v>
      </c>
      <c r="B426" s="831" t="s">
        <v>5174</v>
      </c>
      <c r="C426" s="830" t="s">
        <v>194</v>
      </c>
      <c r="D426" s="832">
        <v>10.37</v>
      </c>
    </row>
    <row r="427" spans="1:4" x14ac:dyDescent="0.3">
      <c r="A427" s="830">
        <v>103376</v>
      </c>
      <c r="B427" s="831" t="s">
        <v>5175</v>
      </c>
      <c r="C427" s="830" t="s">
        <v>194</v>
      </c>
      <c r="D427" s="832">
        <v>123.18</v>
      </c>
    </row>
    <row r="428" spans="1:4" x14ac:dyDescent="0.3">
      <c r="A428" s="830">
        <v>103377</v>
      </c>
      <c r="B428" s="831" t="s">
        <v>5176</v>
      </c>
      <c r="C428" s="830" t="s">
        <v>194</v>
      </c>
      <c r="D428" s="832">
        <v>263.52</v>
      </c>
    </row>
    <row r="429" spans="1:4" x14ac:dyDescent="0.3">
      <c r="A429" s="830">
        <v>103379</v>
      </c>
      <c r="B429" s="831" t="s">
        <v>5177</v>
      </c>
      <c r="C429" s="830" t="s">
        <v>194</v>
      </c>
      <c r="D429" s="832">
        <v>410.19</v>
      </c>
    </row>
    <row r="430" spans="1:4" x14ac:dyDescent="0.3">
      <c r="A430" s="830">
        <v>103383</v>
      </c>
      <c r="B430" s="831" t="s">
        <v>5178</v>
      </c>
      <c r="C430" s="830" t="s">
        <v>194</v>
      </c>
      <c r="D430" s="832">
        <v>1005.34</v>
      </c>
    </row>
    <row r="431" spans="1:4" x14ac:dyDescent="0.3">
      <c r="A431" s="830">
        <v>103385</v>
      </c>
      <c r="B431" s="831" t="s">
        <v>5179</v>
      </c>
      <c r="C431" s="830" t="s">
        <v>194</v>
      </c>
      <c r="D431" s="832">
        <v>1621.13</v>
      </c>
    </row>
    <row r="432" spans="1:4" x14ac:dyDescent="0.3">
      <c r="A432" s="830">
        <v>103387</v>
      </c>
      <c r="B432" s="831" t="s">
        <v>5180</v>
      </c>
      <c r="C432" s="830" t="s">
        <v>194</v>
      </c>
      <c r="D432" s="832">
        <v>2843.83</v>
      </c>
    </row>
    <row r="433" spans="1:4" x14ac:dyDescent="0.3">
      <c r="A433" s="830">
        <v>103389</v>
      </c>
      <c r="B433" s="831" t="s">
        <v>5181</v>
      </c>
      <c r="C433" s="830" t="s">
        <v>194</v>
      </c>
      <c r="D433" s="832">
        <v>4229.1899999999996</v>
      </c>
    </row>
    <row r="434" spans="1:4" x14ac:dyDescent="0.3">
      <c r="A434" s="830">
        <v>103391</v>
      </c>
      <c r="B434" s="831" t="s">
        <v>5182</v>
      </c>
      <c r="C434" s="830" t="s">
        <v>194</v>
      </c>
      <c r="D434" s="832">
        <v>2787.73</v>
      </c>
    </row>
    <row r="435" spans="1:4" x14ac:dyDescent="0.3">
      <c r="A435" s="830">
        <v>103392</v>
      </c>
      <c r="B435" s="831" t="s">
        <v>5183</v>
      </c>
      <c r="C435" s="830" t="s">
        <v>194</v>
      </c>
      <c r="D435" s="832">
        <v>4555.0600000000004</v>
      </c>
    </row>
    <row r="436" spans="1:4" x14ac:dyDescent="0.3">
      <c r="A436" s="830">
        <v>103393</v>
      </c>
      <c r="B436" s="831" t="s">
        <v>5184</v>
      </c>
      <c r="C436" s="830" t="s">
        <v>194</v>
      </c>
      <c r="D436" s="832">
        <v>5024.17</v>
      </c>
    </row>
    <row r="437" spans="1:4" x14ac:dyDescent="0.3">
      <c r="A437" s="830">
        <v>103397</v>
      </c>
      <c r="B437" s="831" t="s">
        <v>5185</v>
      </c>
      <c r="C437" s="830" t="s">
        <v>89</v>
      </c>
      <c r="D437" s="832">
        <v>4.1500000000000004</v>
      </c>
    </row>
    <row r="438" spans="1:4" x14ac:dyDescent="0.3">
      <c r="A438" s="830">
        <v>103398</v>
      </c>
      <c r="B438" s="831" t="s">
        <v>5186</v>
      </c>
      <c r="C438" s="830" t="s">
        <v>89</v>
      </c>
      <c r="D438" s="832">
        <v>6.64</v>
      </c>
    </row>
    <row r="439" spans="1:4" x14ac:dyDescent="0.3">
      <c r="A439" s="830">
        <v>103399</v>
      </c>
      <c r="B439" s="831" t="s">
        <v>5187</v>
      </c>
      <c r="C439" s="830" t="s">
        <v>89</v>
      </c>
      <c r="D439" s="832">
        <v>13.09</v>
      </c>
    </row>
    <row r="440" spans="1:4" x14ac:dyDescent="0.3">
      <c r="A440" s="830">
        <v>103400</v>
      </c>
      <c r="B440" s="831" t="s">
        <v>5188</v>
      </c>
      <c r="C440" s="830" t="s">
        <v>89</v>
      </c>
      <c r="D440" s="832">
        <v>18.690000000000001</v>
      </c>
    </row>
    <row r="441" spans="1:4" x14ac:dyDescent="0.3">
      <c r="A441" s="830">
        <v>103401</v>
      </c>
      <c r="B441" s="831" t="s">
        <v>5189</v>
      </c>
      <c r="C441" s="830" t="s">
        <v>89</v>
      </c>
      <c r="D441" s="832">
        <v>22.86</v>
      </c>
    </row>
    <row r="442" spans="1:4" x14ac:dyDescent="0.3">
      <c r="A442" s="830">
        <v>103402</v>
      </c>
      <c r="B442" s="831" t="s">
        <v>5190</v>
      </c>
      <c r="C442" s="830" t="s">
        <v>89</v>
      </c>
      <c r="D442" s="832">
        <v>33.24</v>
      </c>
    </row>
    <row r="443" spans="1:4" x14ac:dyDescent="0.3">
      <c r="A443" s="830">
        <v>103403</v>
      </c>
      <c r="B443" s="831" t="s">
        <v>5191</v>
      </c>
      <c r="C443" s="830" t="s">
        <v>89</v>
      </c>
      <c r="D443" s="832">
        <v>37.39</v>
      </c>
    </row>
    <row r="444" spans="1:4" x14ac:dyDescent="0.3">
      <c r="A444" s="830">
        <v>103404</v>
      </c>
      <c r="B444" s="831" t="s">
        <v>5192</v>
      </c>
      <c r="C444" s="830" t="s">
        <v>89</v>
      </c>
      <c r="D444" s="832">
        <v>41.55</v>
      </c>
    </row>
    <row r="445" spans="1:4" x14ac:dyDescent="0.3">
      <c r="A445" s="830">
        <v>103405</v>
      </c>
      <c r="B445" s="831" t="s">
        <v>5193</v>
      </c>
      <c r="C445" s="830" t="s">
        <v>89</v>
      </c>
      <c r="D445" s="832">
        <v>46.75</v>
      </c>
    </row>
    <row r="446" spans="1:4" x14ac:dyDescent="0.3">
      <c r="A446" s="830">
        <v>103406</v>
      </c>
      <c r="B446" s="831" t="s">
        <v>5194</v>
      </c>
      <c r="C446" s="830" t="s">
        <v>89</v>
      </c>
      <c r="D446" s="832">
        <v>51.94</v>
      </c>
    </row>
    <row r="447" spans="1:4" x14ac:dyDescent="0.3">
      <c r="A447" s="830">
        <v>103407</v>
      </c>
      <c r="B447" s="831" t="s">
        <v>5195</v>
      </c>
      <c r="C447" s="830" t="s">
        <v>89</v>
      </c>
      <c r="D447" s="832">
        <v>58.18</v>
      </c>
    </row>
    <row r="448" spans="1:4" x14ac:dyDescent="0.3">
      <c r="A448" s="830">
        <v>103408</v>
      </c>
      <c r="B448" s="831" t="s">
        <v>5196</v>
      </c>
      <c r="C448" s="830" t="s">
        <v>89</v>
      </c>
      <c r="D448" s="832">
        <v>65.45</v>
      </c>
    </row>
    <row r="449" spans="1:4" x14ac:dyDescent="0.3">
      <c r="A449" s="830">
        <v>103409</v>
      </c>
      <c r="B449" s="831" t="s">
        <v>5197</v>
      </c>
      <c r="C449" s="830" t="s">
        <v>89</v>
      </c>
      <c r="D449" s="832">
        <v>73.77</v>
      </c>
    </row>
    <row r="450" spans="1:4" x14ac:dyDescent="0.3">
      <c r="A450" s="830">
        <v>103410</v>
      </c>
      <c r="B450" s="831" t="s">
        <v>5198</v>
      </c>
      <c r="C450" s="830" t="s">
        <v>89</v>
      </c>
      <c r="D450" s="832">
        <v>83.12</v>
      </c>
    </row>
    <row r="451" spans="1:4" x14ac:dyDescent="0.3">
      <c r="A451" s="830">
        <v>103411</v>
      </c>
      <c r="B451" s="831" t="s">
        <v>5199</v>
      </c>
      <c r="C451" s="830" t="s">
        <v>89</v>
      </c>
      <c r="D451" s="832">
        <v>8.3000000000000007</v>
      </c>
    </row>
    <row r="452" spans="1:4" x14ac:dyDescent="0.3">
      <c r="A452" s="830">
        <v>103412</v>
      </c>
      <c r="B452" s="831" t="s">
        <v>5200</v>
      </c>
      <c r="C452" s="830" t="s">
        <v>89</v>
      </c>
      <c r="D452" s="832">
        <v>13.29</v>
      </c>
    </row>
    <row r="453" spans="1:4" x14ac:dyDescent="0.3">
      <c r="A453" s="830">
        <v>103413</v>
      </c>
      <c r="B453" s="831" t="s">
        <v>5201</v>
      </c>
      <c r="C453" s="830" t="s">
        <v>89</v>
      </c>
      <c r="D453" s="832">
        <v>26.18</v>
      </c>
    </row>
    <row r="454" spans="1:4" x14ac:dyDescent="0.3">
      <c r="A454" s="830">
        <v>103414</v>
      </c>
      <c r="B454" s="831" t="s">
        <v>5202</v>
      </c>
      <c r="C454" s="830" t="s">
        <v>89</v>
      </c>
      <c r="D454" s="832">
        <v>37.39</v>
      </c>
    </row>
    <row r="455" spans="1:4" x14ac:dyDescent="0.3">
      <c r="A455" s="830">
        <v>103415</v>
      </c>
      <c r="B455" s="831" t="s">
        <v>5203</v>
      </c>
      <c r="C455" s="830" t="s">
        <v>89</v>
      </c>
      <c r="D455" s="832">
        <v>45.71</v>
      </c>
    </row>
    <row r="456" spans="1:4" x14ac:dyDescent="0.3">
      <c r="A456" s="830">
        <v>103416</v>
      </c>
      <c r="B456" s="831" t="s">
        <v>5204</v>
      </c>
      <c r="C456" s="830" t="s">
        <v>89</v>
      </c>
      <c r="D456" s="832">
        <v>66.5</v>
      </c>
    </row>
    <row r="457" spans="1:4" x14ac:dyDescent="0.3">
      <c r="A457" s="830">
        <v>103417</v>
      </c>
      <c r="B457" s="831" t="s">
        <v>5205</v>
      </c>
      <c r="C457" s="830" t="s">
        <v>89</v>
      </c>
      <c r="D457" s="832">
        <v>74.8</v>
      </c>
    </row>
    <row r="458" spans="1:4" x14ac:dyDescent="0.3">
      <c r="A458" s="830">
        <v>103418</v>
      </c>
      <c r="B458" s="831" t="s">
        <v>5206</v>
      </c>
      <c r="C458" s="830" t="s">
        <v>89</v>
      </c>
      <c r="D458" s="832">
        <v>83.12</v>
      </c>
    </row>
    <row r="459" spans="1:4" x14ac:dyDescent="0.3">
      <c r="A459" s="830">
        <v>103419</v>
      </c>
      <c r="B459" s="831" t="s">
        <v>5207</v>
      </c>
      <c r="C459" s="830" t="s">
        <v>89</v>
      </c>
      <c r="D459" s="832">
        <v>93.51</v>
      </c>
    </row>
    <row r="460" spans="1:4" x14ac:dyDescent="0.3">
      <c r="A460" s="830">
        <v>103420</v>
      </c>
      <c r="B460" s="831" t="s">
        <v>5208</v>
      </c>
      <c r="C460" s="830" t="s">
        <v>89</v>
      </c>
      <c r="D460" s="832">
        <v>103.9</v>
      </c>
    </row>
    <row r="461" spans="1:4" x14ac:dyDescent="0.3">
      <c r="A461" s="830">
        <v>103421</v>
      </c>
      <c r="B461" s="831" t="s">
        <v>5209</v>
      </c>
      <c r="C461" s="830" t="s">
        <v>89</v>
      </c>
      <c r="D461" s="832">
        <v>116.37</v>
      </c>
    </row>
    <row r="462" spans="1:4" x14ac:dyDescent="0.3">
      <c r="A462" s="830">
        <v>103422</v>
      </c>
      <c r="B462" s="831" t="s">
        <v>5210</v>
      </c>
      <c r="C462" s="830" t="s">
        <v>89</v>
      </c>
      <c r="D462" s="832">
        <v>130.91999999999999</v>
      </c>
    </row>
    <row r="463" spans="1:4" x14ac:dyDescent="0.3">
      <c r="A463" s="830">
        <v>103423</v>
      </c>
      <c r="B463" s="831" t="s">
        <v>5211</v>
      </c>
      <c r="C463" s="830" t="s">
        <v>89</v>
      </c>
      <c r="D463" s="832">
        <v>147.55000000000001</v>
      </c>
    </row>
    <row r="464" spans="1:4" x14ac:dyDescent="0.3">
      <c r="A464" s="830">
        <v>103424</v>
      </c>
      <c r="B464" s="831" t="s">
        <v>5212</v>
      </c>
      <c r="C464" s="830" t="s">
        <v>89</v>
      </c>
      <c r="D464" s="832">
        <v>166.25</v>
      </c>
    </row>
    <row r="465" spans="1:4" x14ac:dyDescent="0.3">
      <c r="A465" s="830">
        <v>103425</v>
      </c>
      <c r="B465" s="831" t="s">
        <v>5213</v>
      </c>
      <c r="C465" s="830" t="s">
        <v>89</v>
      </c>
      <c r="D465" s="832">
        <v>15.62</v>
      </c>
    </row>
    <row r="466" spans="1:4" x14ac:dyDescent="0.3">
      <c r="A466" s="830">
        <v>103426</v>
      </c>
      <c r="B466" s="831" t="s">
        <v>5214</v>
      </c>
      <c r="C466" s="830" t="s">
        <v>89</v>
      </c>
      <c r="D466" s="832">
        <v>19</v>
      </c>
    </row>
    <row r="467" spans="1:4" x14ac:dyDescent="0.3">
      <c r="A467" s="830">
        <v>103427</v>
      </c>
      <c r="B467" s="831" t="s">
        <v>5215</v>
      </c>
      <c r="C467" s="830" t="s">
        <v>89</v>
      </c>
      <c r="D467" s="832">
        <v>38.04</v>
      </c>
    </row>
    <row r="468" spans="1:4" x14ac:dyDescent="0.3">
      <c r="A468" s="830">
        <v>103428</v>
      </c>
      <c r="B468" s="831" t="s">
        <v>5216</v>
      </c>
      <c r="C468" s="830" t="s">
        <v>89</v>
      </c>
      <c r="D468" s="832">
        <v>246.69</v>
      </c>
    </row>
    <row r="469" spans="1:4" x14ac:dyDescent="0.3">
      <c r="A469" s="830">
        <v>103429</v>
      </c>
      <c r="B469" s="831" t="s">
        <v>5217</v>
      </c>
      <c r="C469" s="830" t="s">
        <v>89</v>
      </c>
      <c r="D469" s="832">
        <v>2677.3</v>
      </c>
    </row>
    <row r="470" spans="1:4" x14ac:dyDescent="0.3">
      <c r="A470" s="830">
        <v>103430</v>
      </c>
      <c r="B470" s="831" t="s">
        <v>5218</v>
      </c>
      <c r="C470" s="830" t="s">
        <v>89</v>
      </c>
      <c r="D470" s="832">
        <v>33.19</v>
      </c>
    </row>
    <row r="471" spans="1:4" x14ac:dyDescent="0.3">
      <c r="A471" s="830">
        <v>103431</v>
      </c>
      <c r="B471" s="831" t="s">
        <v>5219</v>
      </c>
      <c r="C471" s="830" t="s">
        <v>89</v>
      </c>
      <c r="D471" s="832">
        <v>58.42</v>
      </c>
    </row>
    <row r="472" spans="1:4" x14ac:dyDescent="0.3">
      <c r="A472" s="830">
        <v>103432</v>
      </c>
      <c r="B472" s="831" t="s">
        <v>5220</v>
      </c>
      <c r="C472" s="830" t="s">
        <v>89</v>
      </c>
      <c r="D472" s="832">
        <v>1519</v>
      </c>
    </row>
    <row r="473" spans="1:4" x14ac:dyDescent="0.3">
      <c r="A473" s="830">
        <v>103433</v>
      </c>
      <c r="B473" s="831" t="s">
        <v>5221</v>
      </c>
      <c r="C473" s="830" t="s">
        <v>89</v>
      </c>
      <c r="D473" s="832">
        <v>32.47</v>
      </c>
    </row>
    <row r="474" spans="1:4" x14ac:dyDescent="0.3">
      <c r="A474" s="830">
        <v>103434</v>
      </c>
      <c r="B474" s="831" t="s">
        <v>5222</v>
      </c>
      <c r="C474" s="830" t="s">
        <v>89</v>
      </c>
      <c r="D474" s="832">
        <v>45.05</v>
      </c>
    </row>
    <row r="475" spans="1:4" x14ac:dyDescent="0.3">
      <c r="A475" s="830">
        <v>103435</v>
      </c>
      <c r="B475" s="831" t="s">
        <v>5223</v>
      </c>
      <c r="C475" s="830" t="s">
        <v>89</v>
      </c>
      <c r="D475" s="832">
        <v>83.95</v>
      </c>
    </row>
    <row r="476" spans="1:4" x14ac:dyDescent="0.3">
      <c r="A476" s="830">
        <v>103436</v>
      </c>
      <c r="B476" s="831" t="s">
        <v>5224</v>
      </c>
      <c r="C476" s="830" t="s">
        <v>89</v>
      </c>
      <c r="D476" s="832">
        <v>2148.59</v>
      </c>
    </row>
    <row r="477" spans="1:4" x14ac:dyDescent="0.3">
      <c r="A477" s="830">
        <v>103437</v>
      </c>
      <c r="B477" s="831" t="s">
        <v>5225</v>
      </c>
      <c r="C477" s="830" t="s">
        <v>89</v>
      </c>
      <c r="D477" s="832">
        <v>174.01</v>
      </c>
    </row>
    <row r="478" spans="1:4" x14ac:dyDescent="0.3">
      <c r="A478" s="830">
        <v>103438</v>
      </c>
      <c r="B478" s="831" t="s">
        <v>5226</v>
      </c>
      <c r="C478" s="830" t="s">
        <v>89</v>
      </c>
      <c r="D478" s="832">
        <v>174.01</v>
      </c>
    </row>
    <row r="479" spans="1:4" x14ac:dyDescent="0.3">
      <c r="A479" s="830">
        <v>103439</v>
      </c>
      <c r="B479" s="831" t="s">
        <v>5227</v>
      </c>
      <c r="C479" s="830" t="s">
        <v>89</v>
      </c>
      <c r="D479" s="832">
        <v>204.24</v>
      </c>
    </row>
    <row r="480" spans="1:4" x14ac:dyDescent="0.3">
      <c r="A480" s="830">
        <v>103440</v>
      </c>
      <c r="B480" s="831" t="s">
        <v>5228</v>
      </c>
      <c r="C480" s="830" t="s">
        <v>89</v>
      </c>
      <c r="D480" s="832">
        <v>396.1</v>
      </c>
    </row>
    <row r="481" spans="1:4" x14ac:dyDescent="0.3">
      <c r="A481" s="830">
        <v>103441</v>
      </c>
      <c r="B481" s="831" t="s">
        <v>5229</v>
      </c>
      <c r="C481" s="830" t="s">
        <v>89</v>
      </c>
      <c r="D481" s="832">
        <v>401</v>
      </c>
    </row>
    <row r="482" spans="1:4" x14ac:dyDescent="0.3">
      <c r="A482" s="830">
        <v>103442</v>
      </c>
      <c r="B482" s="831" t="s">
        <v>5230</v>
      </c>
      <c r="C482" s="830" t="s">
        <v>89</v>
      </c>
      <c r="D482" s="832">
        <v>519.15</v>
      </c>
    </row>
    <row r="483" spans="1:4" x14ac:dyDescent="0.3">
      <c r="A483" s="830">
        <v>98441</v>
      </c>
      <c r="B483" s="831" t="s">
        <v>5231</v>
      </c>
      <c r="C483" s="830" t="s">
        <v>252</v>
      </c>
      <c r="D483" s="832">
        <v>86.34</v>
      </c>
    </row>
    <row r="484" spans="1:4" x14ac:dyDescent="0.3">
      <c r="A484" s="830">
        <v>98443</v>
      </c>
      <c r="B484" s="831" t="s">
        <v>5232</v>
      </c>
      <c r="C484" s="830" t="s">
        <v>252</v>
      </c>
      <c r="D484" s="832">
        <v>64.44</v>
      </c>
    </row>
    <row r="485" spans="1:4" x14ac:dyDescent="0.3">
      <c r="A485" s="830">
        <v>98445</v>
      </c>
      <c r="B485" s="831" t="s">
        <v>5233</v>
      </c>
      <c r="C485" s="830" t="s">
        <v>252</v>
      </c>
      <c r="D485" s="832">
        <v>102.96</v>
      </c>
    </row>
    <row r="486" spans="1:4" x14ac:dyDescent="0.3">
      <c r="A486" s="830">
        <v>98446</v>
      </c>
      <c r="B486" s="831" t="s">
        <v>5234</v>
      </c>
      <c r="C486" s="830" t="s">
        <v>252</v>
      </c>
      <c r="D486" s="832">
        <v>134.12</v>
      </c>
    </row>
    <row r="487" spans="1:4" x14ac:dyDescent="0.3">
      <c r="A487" s="830">
        <v>98447</v>
      </c>
      <c r="B487" s="831" t="s">
        <v>5235</v>
      </c>
      <c r="C487" s="830" t="s">
        <v>252</v>
      </c>
      <c r="D487" s="832">
        <v>77.319999999999993</v>
      </c>
    </row>
    <row r="488" spans="1:4" x14ac:dyDescent="0.3">
      <c r="A488" s="830">
        <v>98448</v>
      </c>
      <c r="B488" s="831" t="s">
        <v>5236</v>
      </c>
      <c r="C488" s="830" t="s">
        <v>252</v>
      </c>
      <c r="D488" s="832">
        <v>101.76</v>
      </c>
    </row>
    <row r="489" spans="1:4" x14ac:dyDescent="0.3">
      <c r="A489" s="830">
        <v>98449</v>
      </c>
      <c r="B489" s="831" t="s">
        <v>5237</v>
      </c>
      <c r="C489" s="830" t="s">
        <v>252</v>
      </c>
      <c r="D489" s="832">
        <v>116.21</v>
      </c>
    </row>
    <row r="490" spans="1:4" x14ac:dyDescent="0.3">
      <c r="A490" s="830">
        <v>98451</v>
      </c>
      <c r="B490" s="831" t="s">
        <v>5238</v>
      </c>
      <c r="C490" s="830" t="s">
        <v>252</v>
      </c>
      <c r="D490" s="832">
        <v>91.31</v>
      </c>
    </row>
    <row r="491" spans="1:4" x14ac:dyDescent="0.3">
      <c r="A491" s="830">
        <v>98453</v>
      </c>
      <c r="B491" s="831" t="s">
        <v>5239</v>
      </c>
      <c r="C491" s="830" t="s">
        <v>252</v>
      </c>
      <c r="D491" s="832">
        <v>137.13999999999999</v>
      </c>
    </row>
    <row r="492" spans="1:4" x14ac:dyDescent="0.3">
      <c r="A492" s="830">
        <v>98454</v>
      </c>
      <c r="B492" s="831" t="s">
        <v>5240</v>
      </c>
      <c r="C492" s="830" t="s">
        <v>252</v>
      </c>
      <c r="D492" s="832">
        <v>176.54</v>
      </c>
    </row>
    <row r="493" spans="1:4" x14ac:dyDescent="0.3">
      <c r="A493" s="830">
        <v>98455</v>
      </c>
      <c r="B493" s="831" t="s">
        <v>5241</v>
      </c>
      <c r="C493" s="830" t="s">
        <v>252</v>
      </c>
      <c r="D493" s="832">
        <v>107.64</v>
      </c>
    </row>
    <row r="494" spans="1:4" x14ac:dyDescent="0.3">
      <c r="A494" s="830">
        <v>98456</v>
      </c>
      <c r="B494" s="831" t="s">
        <v>5242</v>
      </c>
      <c r="C494" s="830" t="s">
        <v>252</v>
      </c>
      <c r="D494" s="832">
        <v>140.76</v>
      </c>
    </row>
    <row r="495" spans="1:4" x14ac:dyDescent="0.3">
      <c r="A495" s="830">
        <v>98458</v>
      </c>
      <c r="B495" s="831" t="s">
        <v>5243</v>
      </c>
      <c r="C495" s="830" t="s">
        <v>252</v>
      </c>
      <c r="D495" s="832">
        <v>87.19</v>
      </c>
    </row>
    <row r="496" spans="1:4" x14ac:dyDescent="0.3">
      <c r="A496" s="830">
        <v>98459</v>
      </c>
      <c r="B496" s="831" t="s">
        <v>4406</v>
      </c>
      <c r="C496" s="830" t="s">
        <v>252</v>
      </c>
      <c r="D496" s="832">
        <v>90.06</v>
      </c>
    </row>
    <row r="497" spans="1:4" x14ac:dyDescent="0.3">
      <c r="A497" s="830">
        <v>98460</v>
      </c>
      <c r="B497" s="831" t="s">
        <v>5244</v>
      </c>
      <c r="C497" s="830" t="s">
        <v>252</v>
      </c>
      <c r="D497" s="832">
        <v>63.91</v>
      </c>
    </row>
    <row r="498" spans="1:4" x14ac:dyDescent="0.3">
      <c r="A498" s="830">
        <v>98461</v>
      </c>
      <c r="B498" s="831" t="s">
        <v>4407</v>
      </c>
      <c r="C498" s="830" t="s">
        <v>89</v>
      </c>
      <c r="D498" s="832">
        <v>5847.66</v>
      </c>
    </row>
    <row r="499" spans="1:4" x14ac:dyDescent="0.3">
      <c r="A499" s="830">
        <v>98462</v>
      </c>
      <c r="B499" s="831" t="s">
        <v>4408</v>
      </c>
      <c r="C499" s="830" t="s">
        <v>89</v>
      </c>
      <c r="D499" s="832">
        <v>9951.9599999999991</v>
      </c>
    </row>
    <row r="500" spans="1:4" x14ac:dyDescent="0.3">
      <c r="A500" s="830">
        <v>105113</v>
      </c>
      <c r="B500" s="831" t="s">
        <v>5245</v>
      </c>
      <c r="C500" s="830" t="s">
        <v>89</v>
      </c>
      <c r="D500" s="832">
        <v>7711.95</v>
      </c>
    </row>
    <row r="501" spans="1:4" x14ac:dyDescent="0.3">
      <c r="A501" s="830">
        <v>105114</v>
      </c>
      <c r="B501" s="831" t="s">
        <v>5246</v>
      </c>
      <c r="C501" s="830" t="s">
        <v>5247</v>
      </c>
      <c r="D501" s="832">
        <v>1922.24</v>
      </c>
    </row>
    <row r="502" spans="1:4" x14ac:dyDescent="0.3">
      <c r="A502" s="830">
        <v>105115</v>
      </c>
      <c r="B502" s="831" t="s">
        <v>5248</v>
      </c>
      <c r="C502" s="830" t="s">
        <v>89</v>
      </c>
      <c r="D502" s="832">
        <v>130.22999999999999</v>
      </c>
    </row>
    <row r="503" spans="1:4" x14ac:dyDescent="0.3">
      <c r="A503" s="830">
        <v>105116</v>
      </c>
      <c r="B503" s="831" t="s">
        <v>5249</v>
      </c>
      <c r="C503" s="830" t="s">
        <v>89</v>
      </c>
      <c r="D503" s="832">
        <v>12.6</v>
      </c>
    </row>
    <row r="504" spans="1:4" x14ac:dyDescent="0.3">
      <c r="A504" s="830">
        <v>105126</v>
      </c>
      <c r="B504" s="831" t="s">
        <v>5250</v>
      </c>
      <c r="C504" s="830" t="s">
        <v>194</v>
      </c>
      <c r="D504" s="832">
        <v>28.79</v>
      </c>
    </row>
    <row r="505" spans="1:4" x14ac:dyDescent="0.3">
      <c r="A505" s="830">
        <v>105127</v>
      </c>
      <c r="B505" s="831" t="s">
        <v>5251</v>
      </c>
      <c r="C505" s="830" t="s">
        <v>194</v>
      </c>
      <c r="D505" s="832">
        <v>26.84</v>
      </c>
    </row>
    <row r="506" spans="1:4" x14ac:dyDescent="0.3">
      <c r="A506" s="830">
        <v>105128</v>
      </c>
      <c r="B506" s="831" t="s">
        <v>5252</v>
      </c>
      <c r="C506" s="830" t="s">
        <v>194</v>
      </c>
      <c r="D506" s="832">
        <v>86.94</v>
      </c>
    </row>
    <row r="507" spans="1:4" x14ac:dyDescent="0.3">
      <c r="A507" s="830">
        <v>105130</v>
      </c>
      <c r="B507" s="831" t="s">
        <v>5253</v>
      </c>
      <c r="C507" s="830" t="s">
        <v>194</v>
      </c>
      <c r="D507" s="832">
        <v>29.28</v>
      </c>
    </row>
    <row r="508" spans="1:4" x14ac:dyDescent="0.3">
      <c r="A508" s="830">
        <v>5631</v>
      </c>
      <c r="B508" s="831" t="s">
        <v>2565</v>
      </c>
      <c r="C508" s="830" t="s">
        <v>103</v>
      </c>
      <c r="D508" s="832">
        <v>210.17</v>
      </c>
    </row>
    <row r="509" spans="1:4" x14ac:dyDescent="0.3">
      <c r="A509" s="830">
        <v>5678</v>
      </c>
      <c r="B509" s="831" t="s">
        <v>2754</v>
      </c>
      <c r="C509" s="830" t="s">
        <v>103</v>
      </c>
      <c r="D509" s="832">
        <v>144.53</v>
      </c>
    </row>
    <row r="510" spans="1:4" x14ac:dyDescent="0.3">
      <c r="A510" s="830">
        <v>5680</v>
      </c>
      <c r="B510" s="831" t="s">
        <v>5254</v>
      </c>
      <c r="C510" s="830" t="s">
        <v>103</v>
      </c>
      <c r="D510" s="832">
        <v>132.26</v>
      </c>
    </row>
    <row r="511" spans="1:4" x14ac:dyDescent="0.3">
      <c r="A511" s="830">
        <v>5684</v>
      </c>
      <c r="B511" s="831" t="s">
        <v>2947</v>
      </c>
      <c r="C511" s="830" t="s">
        <v>103</v>
      </c>
      <c r="D511" s="832">
        <v>163.19999999999999</v>
      </c>
    </row>
    <row r="512" spans="1:4" x14ac:dyDescent="0.3">
      <c r="A512" s="830">
        <v>5689</v>
      </c>
      <c r="B512" s="831" t="s">
        <v>5255</v>
      </c>
      <c r="C512" s="830" t="s">
        <v>103</v>
      </c>
      <c r="D512" s="832">
        <v>6.32</v>
      </c>
    </row>
    <row r="513" spans="1:4" x14ac:dyDescent="0.3">
      <c r="A513" s="830">
        <v>5795</v>
      </c>
      <c r="B513" s="831" t="s">
        <v>2899</v>
      </c>
      <c r="C513" s="830" t="s">
        <v>103</v>
      </c>
      <c r="D513" s="832">
        <v>30.06</v>
      </c>
    </row>
    <row r="514" spans="1:4" x14ac:dyDescent="0.3">
      <c r="A514" s="830">
        <v>5811</v>
      </c>
      <c r="B514" s="831" t="s">
        <v>4297</v>
      </c>
      <c r="C514" s="830" t="s">
        <v>103</v>
      </c>
      <c r="D514" s="832">
        <v>205.1</v>
      </c>
    </row>
    <row r="515" spans="1:4" x14ac:dyDescent="0.3">
      <c r="A515" s="830">
        <v>5823</v>
      </c>
      <c r="B515" s="831" t="s">
        <v>5256</v>
      </c>
      <c r="C515" s="830" t="s">
        <v>103</v>
      </c>
      <c r="D515" s="832">
        <v>228.85</v>
      </c>
    </row>
    <row r="516" spans="1:4" x14ac:dyDescent="0.3">
      <c r="A516" s="830">
        <v>5824</v>
      </c>
      <c r="B516" s="831" t="s">
        <v>5257</v>
      </c>
      <c r="C516" s="830" t="s">
        <v>103</v>
      </c>
      <c r="D516" s="832">
        <v>216.54</v>
      </c>
    </row>
    <row r="517" spans="1:4" x14ac:dyDescent="0.3">
      <c r="A517" s="830">
        <v>5835</v>
      </c>
      <c r="B517" s="831" t="s">
        <v>3663</v>
      </c>
      <c r="C517" s="830" t="s">
        <v>103</v>
      </c>
      <c r="D517" s="832">
        <v>368.98</v>
      </c>
    </row>
    <row r="518" spans="1:4" x14ac:dyDescent="0.3">
      <c r="A518" s="830">
        <v>5839</v>
      </c>
      <c r="B518" s="831" t="s">
        <v>5258</v>
      </c>
      <c r="C518" s="830" t="s">
        <v>103</v>
      </c>
      <c r="D518" s="832">
        <v>9.33</v>
      </c>
    </row>
    <row r="519" spans="1:4" x14ac:dyDescent="0.3">
      <c r="A519" s="830">
        <v>5843</v>
      </c>
      <c r="B519" s="831" t="s">
        <v>5259</v>
      </c>
      <c r="C519" s="830" t="s">
        <v>103</v>
      </c>
      <c r="D519" s="832">
        <v>168.95</v>
      </c>
    </row>
    <row r="520" spans="1:4" x14ac:dyDescent="0.3">
      <c r="A520" s="830">
        <v>5847</v>
      </c>
      <c r="B520" s="831" t="s">
        <v>3076</v>
      </c>
      <c r="C520" s="830" t="s">
        <v>103</v>
      </c>
      <c r="D520" s="832">
        <v>270.95999999999998</v>
      </c>
    </row>
    <row r="521" spans="1:4" x14ac:dyDescent="0.3">
      <c r="A521" s="830">
        <v>5851</v>
      </c>
      <c r="B521" s="831" t="s">
        <v>2927</v>
      </c>
      <c r="C521" s="830" t="s">
        <v>103</v>
      </c>
      <c r="D521" s="832">
        <v>259.41000000000003</v>
      </c>
    </row>
    <row r="522" spans="1:4" x14ac:dyDescent="0.3">
      <c r="A522" s="830">
        <v>5855</v>
      </c>
      <c r="B522" s="831" t="s">
        <v>5260</v>
      </c>
      <c r="C522" s="830" t="s">
        <v>103</v>
      </c>
      <c r="D522" s="832">
        <v>701.43</v>
      </c>
    </row>
    <row r="523" spans="1:4" x14ac:dyDescent="0.3">
      <c r="A523" s="830">
        <v>5863</v>
      </c>
      <c r="B523" s="831" t="s">
        <v>3050</v>
      </c>
      <c r="C523" s="830" t="s">
        <v>103</v>
      </c>
      <c r="D523" s="832">
        <v>24.36</v>
      </c>
    </row>
    <row r="524" spans="1:4" x14ac:dyDescent="0.3">
      <c r="A524" s="830">
        <v>5867</v>
      </c>
      <c r="B524" s="831" t="s">
        <v>5261</v>
      </c>
      <c r="C524" s="830" t="s">
        <v>103</v>
      </c>
      <c r="D524" s="832">
        <v>165.47</v>
      </c>
    </row>
    <row r="525" spans="1:4" x14ac:dyDescent="0.3">
      <c r="A525" s="830">
        <v>5875</v>
      </c>
      <c r="B525" s="831" t="s">
        <v>5262</v>
      </c>
      <c r="C525" s="830" t="s">
        <v>103</v>
      </c>
      <c r="D525" s="832">
        <v>133.07</v>
      </c>
    </row>
    <row r="526" spans="1:4" x14ac:dyDescent="0.3">
      <c r="A526" s="830">
        <v>5879</v>
      </c>
      <c r="B526" s="831" t="s">
        <v>5263</v>
      </c>
      <c r="C526" s="830" t="s">
        <v>103</v>
      </c>
      <c r="D526" s="832">
        <v>147.96</v>
      </c>
    </row>
    <row r="527" spans="1:4" x14ac:dyDescent="0.3">
      <c r="A527" s="830">
        <v>5882</v>
      </c>
      <c r="B527" s="831" t="s">
        <v>5264</v>
      </c>
      <c r="C527" s="830" t="s">
        <v>103</v>
      </c>
      <c r="D527" s="832">
        <v>125.76</v>
      </c>
    </row>
    <row r="528" spans="1:4" x14ac:dyDescent="0.3">
      <c r="A528" s="830">
        <v>5890</v>
      </c>
      <c r="B528" s="831" t="s">
        <v>5265</v>
      </c>
      <c r="C528" s="830" t="s">
        <v>103</v>
      </c>
      <c r="D528" s="832">
        <v>203.5</v>
      </c>
    </row>
    <row r="529" spans="1:4" x14ac:dyDescent="0.3">
      <c r="A529" s="830">
        <v>5894</v>
      </c>
      <c r="B529" s="831" t="s">
        <v>5266</v>
      </c>
      <c r="C529" s="830" t="s">
        <v>103</v>
      </c>
      <c r="D529" s="832">
        <v>211.91</v>
      </c>
    </row>
    <row r="530" spans="1:4" x14ac:dyDescent="0.3">
      <c r="A530" s="830">
        <v>5901</v>
      </c>
      <c r="B530" s="831" t="s">
        <v>2951</v>
      </c>
      <c r="C530" s="830" t="s">
        <v>103</v>
      </c>
      <c r="D530" s="832">
        <v>317.05</v>
      </c>
    </row>
    <row r="531" spans="1:4" x14ac:dyDescent="0.3">
      <c r="A531" s="830">
        <v>5909</v>
      </c>
      <c r="B531" s="831" t="s">
        <v>5267</v>
      </c>
      <c r="C531" s="830" t="s">
        <v>103</v>
      </c>
      <c r="D531" s="832">
        <v>35.950000000000003</v>
      </c>
    </row>
    <row r="532" spans="1:4" x14ac:dyDescent="0.3">
      <c r="A532" s="830">
        <v>5921</v>
      </c>
      <c r="B532" s="831" t="s">
        <v>2955</v>
      </c>
      <c r="C532" s="830" t="s">
        <v>103</v>
      </c>
      <c r="D532" s="832">
        <v>4.96</v>
      </c>
    </row>
    <row r="533" spans="1:4" x14ac:dyDescent="0.3">
      <c r="A533" s="830">
        <v>5928</v>
      </c>
      <c r="B533" s="831" t="s">
        <v>3012</v>
      </c>
      <c r="C533" s="830" t="s">
        <v>103</v>
      </c>
      <c r="D533" s="832">
        <v>275.68</v>
      </c>
    </row>
    <row r="534" spans="1:4" x14ac:dyDescent="0.3">
      <c r="A534" s="830">
        <v>5932</v>
      </c>
      <c r="B534" s="831" t="s">
        <v>2959</v>
      </c>
      <c r="C534" s="830" t="s">
        <v>103</v>
      </c>
      <c r="D534" s="832">
        <v>261.52999999999997</v>
      </c>
    </row>
    <row r="535" spans="1:4" x14ac:dyDescent="0.3">
      <c r="A535" s="830">
        <v>5940</v>
      </c>
      <c r="B535" s="831" t="s">
        <v>2990</v>
      </c>
      <c r="C535" s="830" t="s">
        <v>103</v>
      </c>
      <c r="D535" s="832">
        <v>164.73</v>
      </c>
    </row>
    <row r="536" spans="1:4" x14ac:dyDescent="0.3">
      <c r="A536" s="830">
        <v>5944</v>
      </c>
      <c r="B536" s="831" t="s">
        <v>5268</v>
      </c>
      <c r="C536" s="830" t="s">
        <v>103</v>
      </c>
      <c r="D536" s="832">
        <v>225.38</v>
      </c>
    </row>
    <row r="537" spans="1:4" x14ac:dyDescent="0.3">
      <c r="A537" s="830">
        <v>5953</v>
      </c>
      <c r="B537" s="831" t="s">
        <v>2922</v>
      </c>
      <c r="C537" s="830" t="s">
        <v>103</v>
      </c>
      <c r="D537" s="832">
        <v>60.19</v>
      </c>
    </row>
    <row r="538" spans="1:4" x14ac:dyDescent="0.3">
      <c r="A538" s="830">
        <v>6259</v>
      </c>
      <c r="B538" s="831" t="s">
        <v>102</v>
      </c>
      <c r="C538" s="830" t="s">
        <v>103</v>
      </c>
      <c r="D538" s="832">
        <v>255.63</v>
      </c>
    </row>
    <row r="539" spans="1:4" x14ac:dyDescent="0.3">
      <c r="A539" s="830">
        <v>6879</v>
      </c>
      <c r="B539" s="831" t="s">
        <v>5269</v>
      </c>
      <c r="C539" s="830" t="s">
        <v>103</v>
      </c>
      <c r="D539" s="832">
        <v>215.92</v>
      </c>
    </row>
    <row r="540" spans="1:4" x14ac:dyDescent="0.3">
      <c r="A540" s="830">
        <v>7030</v>
      </c>
      <c r="B540" s="831" t="s">
        <v>4291</v>
      </c>
      <c r="C540" s="830" t="s">
        <v>103</v>
      </c>
      <c r="D540" s="832">
        <v>266.81</v>
      </c>
    </row>
    <row r="541" spans="1:4" x14ac:dyDescent="0.3">
      <c r="A541" s="830">
        <v>7042</v>
      </c>
      <c r="B541" s="831" t="s">
        <v>5270</v>
      </c>
      <c r="C541" s="830" t="s">
        <v>103</v>
      </c>
      <c r="D541" s="832">
        <v>25.6</v>
      </c>
    </row>
    <row r="542" spans="1:4" x14ac:dyDescent="0.3">
      <c r="A542" s="830">
        <v>7049</v>
      </c>
      <c r="B542" s="831" t="s">
        <v>5271</v>
      </c>
      <c r="C542" s="830" t="s">
        <v>103</v>
      </c>
      <c r="D542" s="832">
        <v>226.38</v>
      </c>
    </row>
    <row r="543" spans="1:4" x14ac:dyDescent="0.3">
      <c r="A543" s="830">
        <v>67826</v>
      </c>
      <c r="B543" s="831" t="s">
        <v>5272</v>
      </c>
      <c r="C543" s="830" t="s">
        <v>103</v>
      </c>
      <c r="D543" s="832">
        <v>188.03</v>
      </c>
    </row>
    <row r="544" spans="1:4" x14ac:dyDescent="0.3">
      <c r="A544" s="830">
        <v>73417</v>
      </c>
      <c r="B544" s="831" t="s">
        <v>106</v>
      </c>
      <c r="C544" s="830" t="s">
        <v>103</v>
      </c>
      <c r="D544" s="832">
        <v>190.36</v>
      </c>
    </row>
    <row r="545" spans="1:4" x14ac:dyDescent="0.3">
      <c r="A545" s="830">
        <v>73436</v>
      </c>
      <c r="B545" s="831" t="s">
        <v>3082</v>
      </c>
      <c r="C545" s="830" t="s">
        <v>103</v>
      </c>
      <c r="D545" s="832">
        <v>166.48</v>
      </c>
    </row>
    <row r="546" spans="1:4" x14ac:dyDescent="0.3">
      <c r="A546" s="830">
        <v>73467</v>
      </c>
      <c r="B546" s="831" t="s">
        <v>5273</v>
      </c>
      <c r="C546" s="830" t="s">
        <v>103</v>
      </c>
      <c r="D546" s="832">
        <v>248.27</v>
      </c>
    </row>
    <row r="547" spans="1:4" x14ac:dyDescent="0.3">
      <c r="A547" s="830">
        <v>73536</v>
      </c>
      <c r="B547" s="831" t="s">
        <v>5274</v>
      </c>
      <c r="C547" s="830" t="s">
        <v>103</v>
      </c>
      <c r="D547" s="832">
        <v>21.65</v>
      </c>
    </row>
    <row r="548" spans="1:4" x14ac:dyDescent="0.3">
      <c r="A548" s="830">
        <v>83362</v>
      </c>
      <c r="B548" s="831" t="s">
        <v>5275</v>
      </c>
      <c r="C548" s="830" t="s">
        <v>103</v>
      </c>
      <c r="D548" s="832">
        <v>265.44</v>
      </c>
    </row>
    <row r="549" spans="1:4" x14ac:dyDescent="0.3">
      <c r="A549" s="830">
        <v>83765</v>
      </c>
      <c r="B549" s="831" t="s">
        <v>3203</v>
      </c>
      <c r="C549" s="830" t="s">
        <v>103</v>
      </c>
      <c r="D549" s="832">
        <v>103.01</v>
      </c>
    </row>
    <row r="550" spans="1:4" x14ac:dyDescent="0.3">
      <c r="A550" s="830">
        <v>87445</v>
      </c>
      <c r="B550" s="831" t="s">
        <v>5276</v>
      </c>
      <c r="C550" s="830" t="s">
        <v>103</v>
      </c>
      <c r="D550" s="832">
        <v>5.26</v>
      </c>
    </row>
    <row r="551" spans="1:4" x14ac:dyDescent="0.3">
      <c r="A551" s="830">
        <v>88386</v>
      </c>
      <c r="B551" s="831" t="s">
        <v>5277</v>
      </c>
      <c r="C551" s="830" t="s">
        <v>103</v>
      </c>
      <c r="D551" s="832">
        <v>4.29</v>
      </c>
    </row>
    <row r="552" spans="1:4" x14ac:dyDescent="0.3">
      <c r="A552" s="830">
        <v>88393</v>
      </c>
      <c r="B552" s="831" t="s">
        <v>5278</v>
      </c>
      <c r="C552" s="830" t="s">
        <v>103</v>
      </c>
      <c r="D552" s="832">
        <v>5.79</v>
      </c>
    </row>
    <row r="553" spans="1:4" x14ac:dyDescent="0.3">
      <c r="A553" s="830">
        <v>88399</v>
      </c>
      <c r="B553" s="831" t="s">
        <v>5279</v>
      </c>
      <c r="C553" s="830" t="s">
        <v>103</v>
      </c>
      <c r="D553" s="832">
        <v>3.28</v>
      </c>
    </row>
    <row r="554" spans="1:4" x14ac:dyDescent="0.3">
      <c r="A554" s="830">
        <v>88418</v>
      </c>
      <c r="B554" s="831" t="s">
        <v>5280</v>
      </c>
      <c r="C554" s="830" t="s">
        <v>103</v>
      </c>
      <c r="D554" s="832">
        <v>14.21</v>
      </c>
    </row>
    <row r="555" spans="1:4" x14ac:dyDescent="0.3">
      <c r="A555" s="830">
        <v>88433</v>
      </c>
      <c r="B555" s="831" t="s">
        <v>5281</v>
      </c>
      <c r="C555" s="830" t="s">
        <v>103</v>
      </c>
      <c r="D555" s="832">
        <v>18.600000000000001</v>
      </c>
    </row>
    <row r="556" spans="1:4" x14ac:dyDescent="0.3">
      <c r="A556" s="830">
        <v>88830</v>
      </c>
      <c r="B556" s="831" t="s">
        <v>4301</v>
      </c>
      <c r="C556" s="830" t="s">
        <v>103</v>
      </c>
      <c r="D556" s="832">
        <v>1.66</v>
      </c>
    </row>
    <row r="557" spans="1:4" x14ac:dyDescent="0.3">
      <c r="A557" s="830">
        <v>88843</v>
      </c>
      <c r="B557" s="831" t="s">
        <v>5282</v>
      </c>
      <c r="C557" s="830" t="s">
        <v>103</v>
      </c>
      <c r="D557" s="832">
        <v>216.82</v>
      </c>
    </row>
    <row r="558" spans="1:4" x14ac:dyDescent="0.3">
      <c r="A558" s="830">
        <v>88907</v>
      </c>
      <c r="B558" s="831" t="s">
        <v>2595</v>
      </c>
      <c r="C558" s="830" t="s">
        <v>103</v>
      </c>
      <c r="D558" s="832">
        <v>250.8</v>
      </c>
    </row>
    <row r="559" spans="1:4" x14ac:dyDescent="0.3">
      <c r="A559" s="830">
        <v>89021</v>
      </c>
      <c r="B559" s="831" t="s">
        <v>5283</v>
      </c>
      <c r="C559" s="830" t="s">
        <v>103</v>
      </c>
      <c r="D559" s="832">
        <v>2.2799999999999998</v>
      </c>
    </row>
    <row r="560" spans="1:4" x14ac:dyDescent="0.3">
      <c r="A560" s="830">
        <v>89028</v>
      </c>
      <c r="B560" s="831" t="s">
        <v>5284</v>
      </c>
      <c r="C560" s="830" t="s">
        <v>103</v>
      </c>
      <c r="D560" s="832">
        <v>179.65</v>
      </c>
    </row>
    <row r="561" spans="1:4" x14ac:dyDescent="0.3">
      <c r="A561" s="830">
        <v>89032</v>
      </c>
      <c r="B561" s="831" t="s">
        <v>2614</v>
      </c>
      <c r="C561" s="830" t="s">
        <v>103</v>
      </c>
      <c r="D561" s="832">
        <v>196.2</v>
      </c>
    </row>
    <row r="562" spans="1:4" x14ac:dyDescent="0.3">
      <c r="A562" s="830">
        <v>89035</v>
      </c>
      <c r="B562" s="831" t="s">
        <v>2963</v>
      </c>
      <c r="C562" s="830" t="s">
        <v>103</v>
      </c>
      <c r="D562" s="832">
        <v>127.21</v>
      </c>
    </row>
    <row r="563" spans="1:4" x14ac:dyDescent="0.3">
      <c r="A563" s="830">
        <v>89225</v>
      </c>
      <c r="B563" s="831" t="s">
        <v>4282</v>
      </c>
      <c r="C563" s="830" t="s">
        <v>103</v>
      </c>
      <c r="D563" s="832">
        <v>4.9400000000000004</v>
      </c>
    </row>
    <row r="564" spans="1:4" x14ac:dyDescent="0.3">
      <c r="A564" s="830">
        <v>89234</v>
      </c>
      <c r="B564" s="831" t="s">
        <v>5285</v>
      </c>
      <c r="C564" s="830" t="s">
        <v>103</v>
      </c>
      <c r="D564" s="832">
        <v>562.76</v>
      </c>
    </row>
    <row r="565" spans="1:4" x14ac:dyDescent="0.3">
      <c r="A565" s="830">
        <v>89242</v>
      </c>
      <c r="B565" s="831" t="s">
        <v>5286</v>
      </c>
      <c r="C565" s="830" t="s">
        <v>103</v>
      </c>
      <c r="D565" s="832">
        <v>1331.41</v>
      </c>
    </row>
    <row r="566" spans="1:4" x14ac:dyDescent="0.3">
      <c r="A566" s="830">
        <v>89250</v>
      </c>
      <c r="B566" s="831" t="s">
        <v>5287</v>
      </c>
      <c r="C566" s="830" t="s">
        <v>103</v>
      </c>
      <c r="D566" s="832">
        <v>1153.05</v>
      </c>
    </row>
    <row r="567" spans="1:4" x14ac:dyDescent="0.3">
      <c r="A567" s="830">
        <v>89257</v>
      </c>
      <c r="B567" s="831" t="s">
        <v>5288</v>
      </c>
      <c r="C567" s="830" t="s">
        <v>103</v>
      </c>
      <c r="D567" s="832">
        <v>318.74</v>
      </c>
    </row>
    <row r="568" spans="1:4" x14ac:dyDescent="0.3">
      <c r="A568" s="830">
        <v>89272</v>
      </c>
      <c r="B568" s="831" t="s">
        <v>3017</v>
      </c>
      <c r="C568" s="830" t="s">
        <v>103</v>
      </c>
      <c r="D568" s="832">
        <v>216.67</v>
      </c>
    </row>
    <row r="569" spans="1:4" x14ac:dyDescent="0.3">
      <c r="A569" s="830">
        <v>89278</v>
      </c>
      <c r="B569" s="831" t="s">
        <v>5289</v>
      </c>
      <c r="C569" s="830" t="s">
        <v>103</v>
      </c>
      <c r="D569" s="832">
        <v>12.38</v>
      </c>
    </row>
    <row r="570" spans="1:4" x14ac:dyDescent="0.3">
      <c r="A570" s="830">
        <v>89843</v>
      </c>
      <c r="B570" s="831" t="s">
        <v>5290</v>
      </c>
      <c r="C570" s="830" t="s">
        <v>103</v>
      </c>
      <c r="D570" s="832">
        <v>214.05</v>
      </c>
    </row>
    <row r="571" spans="1:4" x14ac:dyDescent="0.3">
      <c r="A571" s="830">
        <v>89876</v>
      </c>
      <c r="B571" s="831" t="s">
        <v>2569</v>
      </c>
      <c r="C571" s="830" t="s">
        <v>103</v>
      </c>
      <c r="D571" s="832">
        <v>334.6</v>
      </c>
    </row>
    <row r="572" spans="1:4" x14ac:dyDescent="0.3">
      <c r="A572" s="830">
        <v>89883</v>
      </c>
      <c r="B572" s="831" t="s">
        <v>5291</v>
      </c>
      <c r="C572" s="830" t="s">
        <v>103</v>
      </c>
      <c r="D572" s="832">
        <v>369.52</v>
      </c>
    </row>
    <row r="573" spans="1:4" x14ac:dyDescent="0.3">
      <c r="A573" s="830">
        <v>90586</v>
      </c>
      <c r="B573" s="831" t="s">
        <v>2847</v>
      </c>
      <c r="C573" s="830" t="s">
        <v>103</v>
      </c>
      <c r="D573" s="832">
        <v>1.23</v>
      </c>
    </row>
    <row r="574" spans="1:4" x14ac:dyDescent="0.3">
      <c r="A574" s="830">
        <v>90625</v>
      </c>
      <c r="B574" s="831" t="s">
        <v>5292</v>
      </c>
      <c r="C574" s="830" t="s">
        <v>103</v>
      </c>
      <c r="D574" s="832">
        <v>8.0500000000000007</v>
      </c>
    </row>
    <row r="575" spans="1:4" x14ac:dyDescent="0.3">
      <c r="A575" s="830">
        <v>90631</v>
      </c>
      <c r="B575" s="831" t="s">
        <v>5293</v>
      </c>
      <c r="C575" s="830" t="s">
        <v>103</v>
      </c>
      <c r="D575" s="832">
        <v>160.04</v>
      </c>
    </row>
    <row r="576" spans="1:4" x14ac:dyDescent="0.3">
      <c r="A576" s="830">
        <v>90637</v>
      </c>
      <c r="B576" s="831" t="s">
        <v>5294</v>
      </c>
      <c r="C576" s="830" t="s">
        <v>103</v>
      </c>
      <c r="D576" s="832">
        <v>14.19</v>
      </c>
    </row>
    <row r="577" spans="1:4" x14ac:dyDescent="0.3">
      <c r="A577" s="830">
        <v>90643</v>
      </c>
      <c r="B577" s="831" t="s">
        <v>5295</v>
      </c>
      <c r="C577" s="830" t="s">
        <v>103</v>
      </c>
      <c r="D577" s="832">
        <v>26.95</v>
      </c>
    </row>
    <row r="578" spans="1:4" x14ac:dyDescent="0.3">
      <c r="A578" s="830">
        <v>90650</v>
      </c>
      <c r="B578" s="831" t="s">
        <v>5296</v>
      </c>
      <c r="C578" s="830" t="s">
        <v>103</v>
      </c>
      <c r="D578" s="832">
        <v>9.4499999999999993</v>
      </c>
    </row>
    <row r="579" spans="1:4" x14ac:dyDescent="0.3">
      <c r="A579" s="830">
        <v>90656</v>
      </c>
      <c r="B579" s="831" t="s">
        <v>5297</v>
      </c>
      <c r="C579" s="830" t="s">
        <v>103</v>
      </c>
      <c r="D579" s="832">
        <v>14.04</v>
      </c>
    </row>
    <row r="580" spans="1:4" x14ac:dyDescent="0.3">
      <c r="A580" s="830">
        <v>90662</v>
      </c>
      <c r="B580" s="831" t="s">
        <v>5298</v>
      </c>
      <c r="C580" s="830" t="s">
        <v>103</v>
      </c>
      <c r="D580" s="832">
        <v>14.72</v>
      </c>
    </row>
    <row r="581" spans="1:4" x14ac:dyDescent="0.3">
      <c r="A581" s="830">
        <v>90668</v>
      </c>
      <c r="B581" s="831" t="s">
        <v>5299</v>
      </c>
      <c r="C581" s="830" t="s">
        <v>103</v>
      </c>
      <c r="D581" s="832">
        <v>32.83</v>
      </c>
    </row>
    <row r="582" spans="1:4" x14ac:dyDescent="0.3">
      <c r="A582" s="830">
        <v>90674</v>
      </c>
      <c r="B582" s="831" t="s">
        <v>5300</v>
      </c>
      <c r="C582" s="830" t="s">
        <v>103</v>
      </c>
      <c r="D582" s="832">
        <v>745.44</v>
      </c>
    </row>
    <row r="583" spans="1:4" x14ac:dyDescent="0.3">
      <c r="A583" s="830">
        <v>90680</v>
      </c>
      <c r="B583" s="831" t="s">
        <v>5301</v>
      </c>
      <c r="C583" s="830" t="s">
        <v>103</v>
      </c>
      <c r="D583" s="832">
        <v>392.21</v>
      </c>
    </row>
    <row r="584" spans="1:4" x14ac:dyDescent="0.3">
      <c r="A584" s="830">
        <v>90686</v>
      </c>
      <c r="B584" s="831" t="s">
        <v>5302</v>
      </c>
      <c r="C584" s="830" t="s">
        <v>103</v>
      </c>
      <c r="D584" s="832">
        <v>173.94</v>
      </c>
    </row>
    <row r="585" spans="1:4" x14ac:dyDescent="0.3">
      <c r="A585" s="830">
        <v>90692</v>
      </c>
      <c r="B585" s="831" t="s">
        <v>5303</v>
      </c>
      <c r="C585" s="830" t="s">
        <v>103</v>
      </c>
      <c r="D585" s="832">
        <v>135.76</v>
      </c>
    </row>
    <row r="586" spans="1:4" x14ac:dyDescent="0.3">
      <c r="A586" s="830">
        <v>90964</v>
      </c>
      <c r="B586" s="831" t="s">
        <v>5304</v>
      </c>
      <c r="C586" s="830" t="s">
        <v>103</v>
      </c>
      <c r="D586" s="832">
        <v>32.74</v>
      </c>
    </row>
    <row r="587" spans="1:4" x14ac:dyDescent="0.3">
      <c r="A587" s="830">
        <v>90972</v>
      </c>
      <c r="B587" s="831" t="s">
        <v>2897</v>
      </c>
      <c r="C587" s="830" t="s">
        <v>103</v>
      </c>
      <c r="D587" s="832">
        <v>78.11</v>
      </c>
    </row>
    <row r="588" spans="1:4" x14ac:dyDescent="0.3">
      <c r="A588" s="830">
        <v>90979</v>
      </c>
      <c r="B588" s="831" t="s">
        <v>5305</v>
      </c>
      <c r="C588" s="830" t="s">
        <v>103</v>
      </c>
      <c r="D588" s="832">
        <v>201.67</v>
      </c>
    </row>
    <row r="589" spans="1:4" x14ac:dyDescent="0.3">
      <c r="A589" s="830">
        <v>90999</v>
      </c>
      <c r="B589" s="831" t="s">
        <v>5306</v>
      </c>
      <c r="C589" s="830" t="s">
        <v>103</v>
      </c>
      <c r="D589" s="832">
        <v>103.01</v>
      </c>
    </row>
    <row r="590" spans="1:4" x14ac:dyDescent="0.3">
      <c r="A590" s="830">
        <v>91031</v>
      </c>
      <c r="B590" s="831" t="s">
        <v>5307</v>
      </c>
      <c r="C590" s="830" t="s">
        <v>103</v>
      </c>
      <c r="D590" s="832">
        <v>259.26</v>
      </c>
    </row>
    <row r="591" spans="1:4" x14ac:dyDescent="0.3">
      <c r="A591" s="830">
        <v>91277</v>
      </c>
      <c r="B591" s="831" t="s">
        <v>3005</v>
      </c>
      <c r="C591" s="830" t="s">
        <v>103</v>
      </c>
      <c r="D591" s="832">
        <v>10.29</v>
      </c>
    </row>
    <row r="592" spans="1:4" x14ac:dyDescent="0.3">
      <c r="A592" s="830">
        <v>91283</v>
      </c>
      <c r="B592" s="831" t="s">
        <v>2884</v>
      </c>
      <c r="C592" s="830" t="s">
        <v>103</v>
      </c>
      <c r="D592" s="832">
        <v>11.07</v>
      </c>
    </row>
    <row r="593" spans="1:4" x14ac:dyDescent="0.3">
      <c r="A593" s="830">
        <v>91386</v>
      </c>
      <c r="B593" s="831" t="s">
        <v>3378</v>
      </c>
      <c r="C593" s="830" t="s">
        <v>103</v>
      </c>
      <c r="D593" s="832">
        <v>268.64</v>
      </c>
    </row>
    <row r="594" spans="1:4" x14ac:dyDescent="0.3">
      <c r="A594" s="830">
        <v>91533</v>
      </c>
      <c r="B594" s="831" t="s">
        <v>2941</v>
      </c>
      <c r="C594" s="830" t="s">
        <v>103</v>
      </c>
      <c r="D594" s="832">
        <v>34.28</v>
      </c>
    </row>
    <row r="595" spans="1:4" x14ac:dyDescent="0.3">
      <c r="A595" s="830">
        <v>91634</v>
      </c>
      <c r="B595" s="831" t="s">
        <v>5308</v>
      </c>
      <c r="C595" s="830" t="s">
        <v>103</v>
      </c>
      <c r="D595" s="832">
        <v>233.85</v>
      </c>
    </row>
    <row r="596" spans="1:4" x14ac:dyDescent="0.3">
      <c r="A596" s="830">
        <v>91645</v>
      </c>
      <c r="B596" s="831" t="s">
        <v>5309</v>
      </c>
      <c r="C596" s="830" t="s">
        <v>103</v>
      </c>
      <c r="D596" s="832">
        <v>473.65</v>
      </c>
    </row>
    <row r="597" spans="1:4" x14ac:dyDescent="0.3">
      <c r="A597" s="830">
        <v>91692</v>
      </c>
      <c r="B597" s="831" t="s">
        <v>2630</v>
      </c>
      <c r="C597" s="830" t="s">
        <v>103</v>
      </c>
      <c r="D597" s="832">
        <v>26.94</v>
      </c>
    </row>
    <row r="598" spans="1:4" x14ac:dyDescent="0.3">
      <c r="A598" s="830">
        <v>92043</v>
      </c>
      <c r="B598" s="831" t="s">
        <v>5310</v>
      </c>
      <c r="C598" s="830" t="s">
        <v>103</v>
      </c>
      <c r="D598" s="832">
        <v>13.19</v>
      </c>
    </row>
    <row r="599" spans="1:4" x14ac:dyDescent="0.3">
      <c r="A599" s="830">
        <v>92106</v>
      </c>
      <c r="B599" s="831" t="s">
        <v>4294</v>
      </c>
      <c r="C599" s="830" t="s">
        <v>103</v>
      </c>
      <c r="D599" s="832">
        <v>355.83</v>
      </c>
    </row>
    <row r="600" spans="1:4" x14ac:dyDescent="0.3">
      <c r="A600" s="830">
        <v>92112</v>
      </c>
      <c r="B600" s="831" t="s">
        <v>5311</v>
      </c>
      <c r="C600" s="830" t="s">
        <v>103</v>
      </c>
      <c r="D600" s="832">
        <v>3.31</v>
      </c>
    </row>
    <row r="601" spans="1:4" x14ac:dyDescent="0.3">
      <c r="A601" s="830">
        <v>92118</v>
      </c>
      <c r="B601" s="831" t="s">
        <v>5312</v>
      </c>
      <c r="C601" s="830" t="s">
        <v>103</v>
      </c>
      <c r="D601" s="832">
        <v>0.46</v>
      </c>
    </row>
    <row r="602" spans="1:4" x14ac:dyDescent="0.3">
      <c r="A602" s="830">
        <v>92138</v>
      </c>
      <c r="B602" s="831" t="s">
        <v>5313</v>
      </c>
      <c r="C602" s="830" t="s">
        <v>103</v>
      </c>
      <c r="D602" s="832">
        <v>96.37</v>
      </c>
    </row>
    <row r="603" spans="1:4" x14ac:dyDescent="0.3">
      <c r="A603" s="830">
        <v>92145</v>
      </c>
      <c r="B603" s="831" t="s">
        <v>5314</v>
      </c>
      <c r="C603" s="830" t="s">
        <v>103</v>
      </c>
      <c r="D603" s="832">
        <v>80.52</v>
      </c>
    </row>
    <row r="604" spans="1:4" x14ac:dyDescent="0.3">
      <c r="A604" s="830">
        <v>92242</v>
      </c>
      <c r="B604" s="831" t="s">
        <v>5315</v>
      </c>
      <c r="C604" s="830" t="s">
        <v>103</v>
      </c>
      <c r="D604" s="832">
        <v>410.47</v>
      </c>
    </row>
    <row r="605" spans="1:4" x14ac:dyDescent="0.3">
      <c r="A605" s="830">
        <v>92716</v>
      </c>
      <c r="B605" s="831" t="s">
        <v>5316</v>
      </c>
      <c r="C605" s="830" t="s">
        <v>103</v>
      </c>
      <c r="D605" s="832">
        <v>99.43</v>
      </c>
    </row>
    <row r="606" spans="1:4" x14ac:dyDescent="0.3">
      <c r="A606" s="830">
        <v>92960</v>
      </c>
      <c r="B606" s="831" t="s">
        <v>5317</v>
      </c>
      <c r="C606" s="830" t="s">
        <v>103</v>
      </c>
      <c r="D606" s="832">
        <v>19.190000000000001</v>
      </c>
    </row>
    <row r="607" spans="1:4" x14ac:dyDescent="0.3">
      <c r="A607" s="830">
        <v>92966</v>
      </c>
      <c r="B607" s="831" t="s">
        <v>5318</v>
      </c>
      <c r="C607" s="830" t="s">
        <v>103</v>
      </c>
      <c r="D607" s="832">
        <v>30.19</v>
      </c>
    </row>
    <row r="608" spans="1:4" x14ac:dyDescent="0.3">
      <c r="A608" s="830">
        <v>93224</v>
      </c>
      <c r="B608" s="831" t="s">
        <v>5319</v>
      </c>
      <c r="C608" s="830" t="s">
        <v>103</v>
      </c>
      <c r="D608" s="832">
        <v>1102.29</v>
      </c>
    </row>
    <row r="609" spans="1:4" x14ac:dyDescent="0.3">
      <c r="A609" s="830">
        <v>93233</v>
      </c>
      <c r="B609" s="831" t="s">
        <v>5320</v>
      </c>
      <c r="C609" s="830" t="s">
        <v>103</v>
      </c>
      <c r="D609" s="832">
        <v>5.71</v>
      </c>
    </row>
    <row r="610" spans="1:4" x14ac:dyDescent="0.3">
      <c r="A610" s="830">
        <v>93272</v>
      </c>
      <c r="B610" s="831" t="s">
        <v>5321</v>
      </c>
      <c r="C610" s="830" t="s">
        <v>103</v>
      </c>
      <c r="D610" s="832">
        <v>95.67</v>
      </c>
    </row>
    <row r="611" spans="1:4" x14ac:dyDescent="0.3">
      <c r="A611" s="830">
        <v>93281</v>
      </c>
      <c r="B611" s="831" t="s">
        <v>3736</v>
      </c>
      <c r="C611" s="830" t="s">
        <v>103</v>
      </c>
      <c r="D611" s="832">
        <v>27.04</v>
      </c>
    </row>
    <row r="612" spans="1:4" x14ac:dyDescent="0.3">
      <c r="A612" s="830">
        <v>93287</v>
      </c>
      <c r="B612" s="831" t="s">
        <v>5322</v>
      </c>
      <c r="C612" s="830" t="s">
        <v>103</v>
      </c>
      <c r="D612" s="832">
        <v>346.77</v>
      </c>
    </row>
    <row r="613" spans="1:4" x14ac:dyDescent="0.3">
      <c r="A613" s="830">
        <v>93402</v>
      </c>
      <c r="B613" s="831" t="s">
        <v>5323</v>
      </c>
      <c r="C613" s="830" t="s">
        <v>103</v>
      </c>
      <c r="D613" s="832">
        <v>269.63</v>
      </c>
    </row>
    <row r="614" spans="1:4" x14ac:dyDescent="0.3">
      <c r="A614" s="830">
        <v>93408</v>
      </c>
      <c r="B614" s="831" t="s">
        <v>5324</v>
      </c>
      <c r="C614" s="830" t="s">
        <v>103</v>
      </c>
      <c r="D614" s="832">
        <v>89.71</v>
      </c>
    </row>
    <row r="615" spans="1:4" x14ac:dyDescent="0.3">
      <c r="A615" s="830">
        <v>93415</v>
      </c>
      <c r="B615" s="831" t="s">
        <v>5325</v>
      </c>
      <c r="C615" s="830" t="s">
        <v>103</v>
      </c>
      <c r="D615" s="832">
        <v>11.86</v>
      </c>
    </row>
    <row r="616" spans="1:4" x14ac:dyDescent="0.3">
      <c r="A616" s="830">
        <v>93421</v>
      </c>
      <c r="B616" s="831" t="s">
        <v>5326</v>
      </c>
      <c r="C616" s="830" t="s">
        <v>103</v>
      </c>
      <c r="D616" s="832">
        <v>76.66</v>
      </c>
    </row>
    <row r="617" spans="1:4" x14ac:dyDescent="0.3">
      <c r="A617" s="830">
        <v>93427</v>
      </c>
      <c r="B617" s="831" t="s">
        <v>5327</v>
      </c>
      <c r="C617" s="830" t="s">
        <v>103</v>
      </c>
      <c r="D617" s="832">
        <v>173.41</v>
      </c>
    </row>
    <row r="618" spans="1:4" x14ac:dyDescent="0.3">
      <c r="A618" s="830">
        <v>93433</v>
      </c>
      <c r="B618" s="831" t="s">
        <v>5328</v>
      </c>
      <c r="C618" s="830" t="s">
        <v>103</v>
      </c>
      <c r="D618" s="832">
        <v>2674.39</v>
      </c>
    </row>
    <row r="619" spans="1:4" x14ac:dyDescent="0.3">
      <c r="A619" s="830">
        <v>93439</v>
      </c>
      <c r="B619" s="831" t="s">
        <v>5329</v>
      </c>
      <c r="C619" s="830" t="s">
        <v>103</v>
      </c>
      <c r="D619" s="832">
        <v>266.20999999999998</v>
      </c>
    </row>
    <row r="620" spans="1:4" x14ac:dyDescent="0.3">
      <c r="A620" s="830">
        <v>95121</v>
      </c>
      <c r="B620" s="831" t="s">
        <v>5330</v>
      </c>
      <c r="C620" s="830" t="s">
        <v>103</v>
      </c>
      <c r="D620" s="832">
        <v>352.76</v>
      </c>
    </row>
    <row r="621" spans="1:4" x14ac:dyDescent="0.3">
      <c r="A621" s="830">
        <v>95127</v>
      </c>
      <c r="B621" s="831" t="s">
        <v>5331</v>
      </c>
      <c r="C621" s="830" t="s">
        <v>103</v>
      </c>
      <c r="D621" s="832">
        <v>214.9</v>
      </c>
    </row>
    <row r="622" spans="1:4" x14ac:dyDescent="0.3">
      <c r="A622" s="830">
        <v>95133</v>
      </c>
      <c r="B622" s="831" t="s">
        <v>5332</v>
      </c>
      <c r="C622" s="830" t="s">
        <v>103</v>
      </c>
      <c r="D622" s="832">
        <v>179.37</v>
      </c>
    </row>
    <row r="623" spans="1:4" x14ac:dyDescent="0.3">
      <c r="A623" s="830">
        <v>95139</v>
      </c>
      <c r="B623" s="831" t="s">
        <v>5333</v>
      </c>
      <c r="C623" s="830" t="s">
        <v>103</v>
      </c>
      <c r="D623" s="832">
        <v>0.06</v>
      </c>
    </row>
    <row r="624" spans="1:4" x14ac:dyDescent="0.3">
      <c r="A624" s="830">
        <v>95212</v>
      </c>
      <c r="B624" s="831" t="s">
        <v>5334</v>
      </c>
      <c r="C624" s="830" t="s">
        <v>103</v>
      </c>
      <c r="D624" s="832">
        <v>158.44999999999999</v>
      </c>
    </row>
    <row r="625" spans="1:4" x14ac:dyDescent="0.3">
      <c r="A625" s="830">
        <v>95258</v>
      </c>
      <c r="B625" s="831" t="s">
        <v>5335</v>
      </c>
      <c r="C625" s="830" t="s">
        <v>103</v>
      </c>
      <c r="D625" s="832">
        <v>29.59</v>
      </c>
    </row>
    <row r="626" spans="1:4" x14ac:dyDescent="0.3">
      <c r="A626" s="830">
        <v>95264</v>
      </c>
      <c r="B626" s="831" t="s">
        <v>5336</v>
      </c>
      <c r="C626" s="830" t="s">
        <v>103</v>
      </c>
      <c r="D626" s="832">
        <v>6.54</v>
      </c>
    </row>
    <row r="627" spans="1:4" x14ac:dyDescent="0.3">
      <c r="A627" s="830">
        <v>95270</v>
      </c>
      <c r="B627" s="831" t="s">
        <v>5337</v>
      </c>
      <c r="C627" s="830" t="s">
        <v>103</v>
      </c>
      <c r="D627" s="832">
        <v>9.86</v>
      </c>
    </row>
    <row r="628" spans="1:4" x14ac:dyDescent="0.3">
      <c r="A628" s="830">
        <v>95276</v>
      </c>
      <c r="B628" s="831" t="s">
        <v>5338</v>
      </c>
      <c r="C628" s="830" t="s">
        <v>103</v>
      </c>
      <c r="D628" s="832">
        <v>2.8</v>
      </c>
    </row>
    <row r="629" spans="1:4" x14ac:dyDescent="0.3">
      <c r="A629" s="830">
        <v>95282</v>
      </c>
      <c r="B629" s="831" t="s">
        <v>5339</v>
      </c>
      <c r="C629" s="830" t="s">
        <v>103</v>
      </c>
      <c r="D629" s="832">
        <v>10.08</v>
      </c>
    </row>
    <row r="630" spans="1:4" x14ac:dyDescent="0.3">
      <c r="A630" s="830">
        <v>95620</v>
      </c>
      <c r="B630" s="831" t="s">
        <v>5340</v>
      </c>
      <c r="C630" s="830" t="s">
        <v>103</v>
      </c>
      <c r="D630" s="832">
        <v>28.89</v>
      </c>
    </row>
    <row r="631" spans="1:4" x14ac:dyDescent="0.3">
      <c r="A631" s="830">
        <v>95631</v>
      </c>
      <c r="B631" s="831" t="s">
        <v>3669</v>
      </c>
      <c r="C631" s="830" t="s">
        <v>103</v>
      </c>
      <c r="D631" s="832">
        <v>235.16</v>
      </c>
    </row>
    <row r="632" spans="1:4" x14ac:dyDescent="0.3">
      <c r="A632" s="830">
        <v>95702</v>
      </c>
      <c r="B632" s="831" t="s">
        <v>5341</v>
      </c>
      <c r="C632" s="830" t="s">
        <v>103</v>
      </c>
      <c r="D632" s="832">
        <v>40.909999999999997</v>
      </c>
    </row>
    <row r="633" spans="1:4" x14ac:dyDescent="0.3">
      <c r="A633" s="830">
        <v>95708</v>
      </c>
      <c r="B633" s="831" t="s">
        <v>5342</v>
      </c>
      <c r="C633" s="830" t="s">
        <v>103</v>
      </c>
      <c r="D633" s="832">
        <v>163.22999999999999</v>
      </c>
    </row>
    <row r="634" spans="1:4" x14ac:dyDescent="0.3">
      <c r="A634" s="830">
        <v>95720</v>
      </c>
      <c r="B634" s="831" t="s">
        <v>5343</v>
      </c>
      <c r="C634" s="830" t="s">
        <v>103</v>
      </c>
      <c r="D634" s="832">
        <v>280.32</v>
      </c>
    </row>
    <row r="635" spans="1:4" x14ac:dyDescent="0.3">
      <c r="A635" s="830">
        <v>95872</v>
      </c>
      <c r="B635" s="831" t="s">
        <v>2997</v>
      </c>
      <c r="C635" s="830" t="s">
        <v>103</v>
      </c>
      <c r="D635" s="832">
        <v>293.93</v>
      </c>
    </row>
    <row r="636" spans="1:4" x14ac:dyDescent="0.3">
      <c r="A636" s="830">
        <v>96013</v>
      </c>
      <c r="B636" s="831" t="s">
        <v>5344</v>
      </c>
      <c r="C636" s="830" t="s">
        <v>103</v>
      </c>
      <c r="D636" s="832">
        <v>177.25</v>
      </c>
    </row>
    <row r="637" spans="1:4" x14ac:dyDescent="0.3">
      <c r="A637" s="830">
        <v>96020</v>
      </c>
      <c r="B637" s="831" t="s">
        <v>5345</v>
      </c>
      <c r="C637" s="830" t="s">
        <v>103</v>
      </c>
      <c r="D637" s="832">
        <v>176.78</v>
      </c>
    </row>
    <row r="638" spans="1:4" x14ac:dyDescent="0.3">
      <c r="A638" s="830">
        <v>96028</v>
      </c>
      <c r="B638" s="831" t="s">
        <v>5346</v>
      </c>
      <c r="C638" s="830" t="s">
        <v>103</v>
      </c>
      <c r="D638" s="832">
        <v>135.08000000000001</v>
      </c>
    </row>
    <row r="639" spans="1:4" x14ac:dyDescent="0.3">
      <c r="A639" s="830">
        <v>96035</v>
      </c>
      <c r="B639" s="831" t="s">
        <v>5347</v>
      </c>
      <c r="C639" s="830" t="s">
        <v>103</v>
      </c>
      <c r="D639" s="832">
        <v>282.33999999999997</v>
      </c>
    </row>
    <row r="640" spans="1:4" x14ac:dyDescent="0.3">
      <c r="A640" s="830">
        <v>96157</v>
      </c>
      <c r="B640" s="831" t="s">
        <v>3675</v>
      </c>
      <c r="C640" s="830" t="s">
        <v>103</v>
      </c>
      <c r="D640" s="832">
        <v>135.55000000000001</v>
      </c>
    </row>
    <row r="641" spans="1:4" x14ac:dyDescent="0.3">
      <c r="A641" s="830">
        <v>96158</v>
      </c>
      <c r="B641" s="831" t="s">
        <v>5348</v>
      </c>
      <c r="C641" s="830" t="s">
        <v>103</v>
      </c>
      <c r="D641" s="832">
        <v>145.09</v>
      </c>
    </row>
    <row r="642" spans="1:4" x14ac:dyDescent="0.3">
      <c r="A642" s="830">
        <v>96245</v>
      </c>
      <c r="B642" s="831" t="s">
        <v>5349</v>
      </c>
      <c r="C642" s="830" t="s">
        <v>103</v>
      </c>
      <c r="D642" s="832">
        <v>123.87</v>
      </c>
    </row>
    <row r="643" spans="1:4" x14ac:dyDescent="0.3">
      <c r="A643" s="830">
        <v>96463</v>
      </c>
      <c r="B643" s="831" t="s">
        <v>5350</v>
      </c>
      <c r="C643" s="830" t="s">
        <v>103</v>
      </c>
      <c r="D643" s="832">
        <v>223.08</v>
      </c>
    </row>
    <row r="644" spans="1:4" x14ac:dyDescent="0.3">
      <c r="A644" s="830">
        <v>98764</v>
      </c>
      <c r="B644" s="831" t="s">
        <v>5351</v>
      </c>
      <c r="C644" s="830" t="s">
        <v>103</v>
      </c>
      <c r="D644" s="832">
        <v>3.42</v>
      </c>
    </row>
    <row r="645" spans="1:4" x14ac:dyDescent="0.3">
      <c r="A645" s="830">
        <v>99833</v>
      </c>
      <c r="B645" s="831" t="s">
        <v>5352</v>
      </c>
      <c r="C645" s="830" t="s">
        <v>103</v>
      </c>
      <c r="D645" s="832">
        <v>3.61</v>
      </c>
    </row>
    <row r="646" spans="1:4" x14ac:dyDescent="0.3">
      <c r="A646" s="830">
        <v>100641</v>
      </c>
      <c r="B646" s="831" t="s">
        <v>3001</v>
      </c>
      <c r="C646" s="830" t="s">
        <v>103</v>
      </c>
      <c r="D646" s="832">
        <v>4811.09</v>
      </c>
    </row>
    <row r="647" spans="1:4" x14ac:dyDescent="0.3">
      <c r="A647" s="830">
        <v>100647</v>
      </c>
      <c r="B647" s="831" t="s">
        <v>5353</v>
      </c>
      <c r="C647" s="830" t="s">
        <v>103</v>
      </c>
      <c r="D647" s="832">
        <v>6557.95</v>
      </c>
    </row>
    <row r="648" spans="1:4" x14ac:dyDescent="0.3">
      <c r="A648" s="830">
        <v>102275</v>
      </c>
      <c r="B648" s="831" t="s">
        <v>5354</v>
      </c>
      <c r="C648" s="830" t="s">
        <v>103</v>
      </c>
      <c r="D648" s="832">
        <v>28.84</v>
      </c>
    </row>
    <row r="649" spans="1:4" x14ac:dyDescent="0.3">
      <c r="A649" s="830">
        <v>102874</v>
      </c>
      <c r="B649" s="831" t="s">
        <v>5355</v>
      </c>
      <c r="C649" s="830" t="s">
        <v>103</v>
      </c>
      <c r="D649" s="832">
        <v>1021.54</v>
      </c>
    </row>
    <row r="650" spans="1:4" x14ac:dyDescent="0.3">
      <c r="A650" s="830">
        <v>102880</v>
      </c>
      <c r="B650" s="831" t="s">
        <v>5356</v>
      </c>
      <c r="C650" s="830" t="s">
        <v>103</v>
      </c>
      <c r="D650" s="832">
        <v>1422.76</v>
      </c>
    </row>
    <row r="651" spans="1:4" x14ac:dyDescent="0.3">
      <c r="A651" s="830">
        <v>102964</v>
      </c>
      <c r="B651" s="831" t="s">
        <v>5357</v>
      </c>
      <c r="C651" s="830" t="s">
        <v>103</v>
      </c>
      <c r="D651" s="832">
        <v>482.69</v>
      </c>
    </row>
    <row r="652" spans="1:4" x14ac:dyDescent="0.3">
      <c r="A652" s="830">
        <v>102976</v>
      </c>
      <c r="B652" s="831" t="s">
        <v>5358</v>
      </c>
      <c r="C652" s="830" t="s">
        <v>103</v>
      </c>
      <c r="D652" s="832">
        <v>274.14999999999998</v>
      </c>
    </row>
    <row r="653" spans="1:4" x14ac:dyDescent="0.3">
      <c r="A653" s="830">
        <v>103224</v>
      </c>
      <c r="B653" s="831" t="s">
        <v>5359</v>
      </c>
      <c r="C653" s="830" t="s">
        <v>103</v>
      </c>
      <c r="D653" s="832">
        <v>433.3</v>
      </c>
    </row>
    <row r="654" spans="1:4" x14ac:dyDescent="0.3">
      <c r="A654" s="830">
        <v>103230</v>
      </c>
      <c r="B654" s="831" t="s">
        <v>5360</v>
      </c>
      <c r="C654" s="830" t="s">
        <v>103</v>
      </c>
      <c r="D654" s="832">
        <v>967.32</v>
      </c>
    </row>
    <row r="655" spans="1:4" x14ac:dyDescent="0.3">
      <c r="A655" s="830">
        <v>103236</v>
      </c>
      <c r="B655" s="831" t="s">
        <v>5361</v>
      </c>
      <c r="C655" s="830" t="s">
        <v>103</v>
      </c>
      <c r="D655" s="832">
        <v>1325.81</v>
      </c>
    </row>
    <row r="656" spans="1:4" x14ac:dyDescent="0.3">
      <c r="A656" s="830">
        <v>104091</v>
      </c>
      <c r="B656" s="831" t="s">
        <v>5362</v>
      </c>
      <c r="C656" s="830" t="s">
        <v>103</v>
      </c>
      <c r="D656" s="832">
        <v>0.64</v>
      </c>
    </row>
    <row r="657" spans="1:4" x14ac:dyDescent="0.3">
      <c r="A657" s="830">
        <v>104097</v>
      </c>
      <c r="B657" s="831" t="s">
        <v>5363</v>
      </c>
      <c r="C657" s="830" t="s">
        <v>103</v>
      </c>
      <c r="D657" s="832">
        <v>0.91</v>
      </c>
    </row>
    <row r="658" spans="1:4" x14ac:dyDescent="0.3">
      <c r="A658" s="830">
        <v>104695</v>
      </c>
      <c r="B658" s="831" t="s">
        <v>5364</v>
      </c>
      <c r="C658" s="830" t="s">
        <v>103</v>
      </c>
      <c r="D658" s="832">
        <v>29.65</v>
      </c>
    </row>
    <row r="659" spans="1:4" x14ac:dyDescent="0.3">
      <c r="A659" s="830">
        <v>104716</v>
      </c>
      <c r="B659" s="831" t="s">
        <v>5365</v>
      </c>
      <c r="C659" s="830" t="s">
        <v>103</v>
      </c>
      <c r="D659" s="832">
        <v>270.61</v>
      </c>
    </row>
    <row r="660" spans="1:4" x14ac:dyDescent="0.3">
      <c r="A660" s="830">
        <v>5632</v>
      </c>
      <c r="B660" s="831" t="s">
        <v>2567</v>
      </c>
      <c r="C660" s="830" t="s">
        <v>110</v>
      </c>
      <c r="D660" s="832">
        <v>88.26</v>
      </c>
    </row>
    <row r="661" spans="1:4" x14ac:dyDescent="0.3">
      <c r="A661" s="830">
        <v>5679</v>
      </c>
      <c r="B661" s="831" t="s">
        <v>2756</v>
      </c>
      <c r="C661" s="830" t="s">
        <v>110</v>
      </c>
      <c r="D661" s="832">
        <v>61.95</v>
      </c>
    </row>
    <row r="662" spans="1:4" x14ac:dyDescent="0.3">
      <c r="A662" s="830">
        <v>5681</v>
      </c>
      <c r="B662" s="831" t="s">
        <v>5366</v>
      </c>
      <c r="C662" s="830" t="s">
        <v>110</v>
      </c>
      <c r="D662" s="832">
        <v>58.37</v>
      </c>
    </row>
    <row r="663" spans="1:4" x14ac:dyDescent="0.3">
      <c r="A663" s="830">
        <v>5685</v>
      </c>
      <c r="B663" s="831" t="s">
        <v>2949</v>
      </c>
      <c r="C663" s="830" t="s">
        <v>110</v>
      </c>
      <c r="D663" s="832">
        <v>66.37</v>
      </c>
    </row>
    <row r="664" spans="1:4" x14ac:dyDescent="0.3">
      <c r="A664" s="830">
        <v>5690</v>
      </c>
      <c r="B664" s="831" t="s">
        <v>5367</v>
      </c>
      <c r="C664" s="830" t="s">
        <v>110</v>
      </c>
      <c r="D664" s="832">
        <v>4.09</v>
      </c>
    </row>
    <row r="665" spans="1:4" x14ac:dyDescent="0.3">
      <c r="A665" s="830">
        <v>5806</v>
      </c>
      <c r="B665" s="831" t="s">
        <v>5368</v>
      </c>
      <c r="C665" s="830" t="s">
        <v>110</v>
      </c>
      <c r="D665" s="832">
        <v>0.35</v>
      </c>
    </row>
    <row r="666" spans="1:4" x14ac:dyDescent="0.3">
      <c r="A666" s="830">
        <v>5826</v>
      </c>
      <c r="B666" s="831" t="s">
        <v>5369</v>
      </c>
      <c r="C666" s="830" t="s">
        <v>110</v>
      </c>
      <c r="D666" s="832">
        <v>62.41</v>
      </c>
    </row>
    <row r="667" spans="1:4" x14ac:dyDescent="0.3">
      <c r="A667" s="830">
        <v>5829</v>
      </c>
      <c r="B667" s="831" t="s">
        <v>5370</v>
      </c>
      <c r="C667" s="830" t="s">
        <v>110</v>
      </c>
      <c r="D667" s="832">
        <v>176.1</v>
      </c>
    </row>
    <row r="668" spans="1:4" x14ac:dyDescent="0.3">
      <c r="A668" s="830">
        <v>5837</v>
      </c>
      <c r="B668" s="831" t="s">
        <v>3665</v>
      </c>
      <c r="C668" s="830" t="s">
        <v>110</v>
      </c>
      <c r="D668" s="832">
        <v>142.18</v>
      </c>
    </row>
    <row r="669" spans="1:4" x14ac:dyDescent="0.3">
      <c r="A669" s="830">
        <v>5841</v>
      </c>
      <c r="B669" s="831" t="s">
        <v>5371</v>
      </c>
      <c r="C669" s="830" t="s">
        <v>110</v>
      </c>
      <c r="D669" s="832">
        <v>4.6900000000000004</v>
      </c>
    </row>
    <row r="670" spans="1:4" x14ac:dyDescent="0.3">
      <c r="A670" s="830">
        <v>5845</v>
      </c>
      <c r="B670" s="831" t="s">
        <v>5372</v>
      </c>
      <c r="C670" s="830" t="s">
        <v>110</v>
      </c>
      <c r="D670" s="832">
        <v>51.13</v>
      </c>
    </row>
    <row r="671" spans="1:4" x14ac:dyDescent="0.3">
      <c r="A671" s="830">
        <v>5849</v>
      </c>
      <c r="B671" s="831" t="s">
        <v>3078</v>
      </c>
      <c r="C671" s="830" t="s">
        <v>110</v>
      </c>
      <c r="D671" s="832">
        <v>88.11</v>
      </c>
    </row>
    <row r="672" spans="1:4" x14ac:dyDescent="0.3">
      <c r="A672" s="830">
        <v>5853</v>
      </c>
      <c r="B672" s="831" t="s">
        <v>2929</v>
      </c>
      <c r="C672" s="830" t="s">
        <v>110</v>
      </c>
      <c r="D672" s="832">
        <v>88.5</v>
      </c>
    </row>
    <row r="673" spans="1:4" x14ac:dyDescent="0.3">
      <c r="A673" s="830">
        <v>5857</v>
      </c>
      <c r="B673" s="831" t="s">
        <v>5373</v>
      </c>
      <c r="C673" s="830" t="s">
        <v>110</v>
      </c>
      <c r="D673" s="832">
        <v>231.21</v>
      </c>
    </row>
    <row r="674" spans="1:4" x14ac:dyDescent="0.3">
      <c r="A674" s="830">
        <v>5865</v>
      </c>
      <c r="B674" s="831" t="s">
        <v>5374</v>
      </c>
      <c r="C674" s="830" t="s">
        <v>110</v>
      </c>
      <c r="D674" s="832">
        <v>12.26</v>
      </c>
    </row>
    <row r="675" spans="1:4" x14ac:dyDescent="0.3">
      <c r="A675" s="830">
        <v>5869</v>
      </c>
      <c r="B675" s="831" t="s">
        <v>5375</v>
      </c>
      <c r="C675" s="830" t="s">
        <v>110</v>
      </c>
      <c r="D675" s="832">
        <v>75.64</v>
      </c>
    </row>
    <row r="676" spans="1:4" x14ac:dyDescent="0.3">
      <c r="A676" s="830">
        <v>5877</v>
      </c>
      <c r="B676" s="831" t="s">
        <v>5376</v>
      </c>
      <c r="C676" s="830" t="s">
        <v>110</v>
      </c>
      <c r="D676" s="832">
        <v>60.81</v>
      </c>
    </row>
    <row r="677" spans="1:4" x14ac:dyDescent="0.3">
      <c r="A677" s="830">
        <v>5881</v>
      </c>
      <c r="B677" s="831" t="s">
        <v>5377</v>
      </c>
      <c r="C677" s="830" t="s">
        <v>110</v>
      </c>
      <c r="D677" s="832">
        <v>81.27</v>
      </c>
    </row>
    <row r="678" spans="1:4" x14ac:dyDescent="0.3">
      <c r="A678" s="830">
        <v>5884</v>
      </c>
      <c r="B678" s="831" t="s">
        <v>5378</v>
      </c>
      <c r="C678" s="830" t="s">
        <v>110</v>
      </c>
      <c r="D678" s="832">
        <v>55.6</v>
      </c>
    </row>
    <row r="679" spans="1:4" x14ac:dyDescent="0.3">
      <c r="A679" s="830">
        <v>5892</v>
      </c>
      <c r="B679" s="831" t="s">
        <v>5379</v>
      </c>
      <c r="C679" s="830" t="s">
        <v>110</v>
      </c>
      <c r="D679" s="832">
        <v>57.27</v>
      </c>
    </row>
    <row r="680" spans="1:4" x14ac:dyDescent="0.3">
      <c r="A680" s="830">
        <v>5896</v>
      </c>
      <c r="B680" s="831" t="s">
        <v>5380</v>
      </c>
      <c r="C680" s="830" t="s">
        <v>110</v>
      </c>
      <c r="D680" s="832">
        <v>60</v>
      </c>
    </row>
    <row r="681" spans="1:4" x14ac:dyDescent="0.3">
      <c r="A681" s="830">
        <v>5903</v>
      </c>
      <c r="B681" s="831" t="s">
        <v>2953</v>
      </c>
      <c r="C681" s="830" t="s">
        <v>110</v>
      </c>
      <c r="D681" s="832">
        <v>74.400000000000006</v>
      </c>
    </row>
    <row r="682" spans="1:4" x14ac:dyDescent="0.3">
      <c r="A682" s="830">
        <v>5911</v>
      </c>
      <c r="B682" s="831" t="s">
        <v>5381</v>
      </c>
      <c r="C682" s="830" t="s">
        <v>110</v>
      </c>
      <c r="D682" s="832">
        <v>28.39</v>
      </c>
    </row>
    <row r="683" spans="1:4" x14ac:dyDescent="0.3">
      <c r="A683" s="830">
        <v>5923</v>
      </c>
      <c r="B683" s="831" t="s">
        <v>2957</v>
      </c>
      <c r="C683" s="830" t="s">
        <v>110</v>
      </c>
      <c r="D683" s="832">
        <v>3.21</v>
      </c>
    </row>
    <row r="684" spans="1:4" x14ac:dyDescent="0.3">
      <c r="A684" s="830">
        <v>5930</v>
      </c>
      <c r="B684" s="831" t="s">
        <v>3014</v>
      </c>
      <c r="C684" s="830" t="s">
        <v>110</v>
      </c>
      <c r="D684" s="832">
        <v>72.45</v>
      </c>
    </row>
    <row r="685" spans="1:4" x14ac:dyDescent="0.3">
      <c r="A685" s="830">
        <v>5934</v>
      </c>
      <c r="B685" s="831" t="s">
        <v>2961</v>
      </c>
      <c r="C685" s="830" t="s">
        <v>110</v>
      </c>
      <c r="D685" s="832">
        <v>103.2</v>
      </c>
    </row>
    <row r="686" spans="1:4" x14ac:dyDescent="0.3">
      <c r="A686" s="830">
        <v>5942</v>
      </c>
      <c r="B686" s="831" t="s">
        <v>2992</v>
      </c>
      <c r="C686" s="830" t="s">
        <v>110</v>
      </c>
      <c r="D686" s="832">
        <v>72.8</v>
      </c>
    </row>
    <row r="687" spans="1:4" x14ac:dyDescent="0.3">
      <c r="A687" s="830">
        <v>5946</v>
      </c>
      <c r="B687" s="831" t="s">
        <v>5382</v>
      </c>
      <c r="C687" s="830" t="s">
        <v>110</v>
      </c>
      <c r="D687" s="832">
        <v>90.99</v>
      </c>
    </row>
    <row r="688" spans="1:4" x14ac:dyDescent="0.3">
      <c r="A688" s="830">
        <v>5952</v>
      </c>
      <c r="B688" s="831" t="s">
        <v>2920</v>
      </c>
      <c r="C688" s="830" t="s">
        <v>110</v>
      </c>
      <c r="D688" s="832">
        <v>27.87</v>
      </c>
    </row>
    <row r="689" spans="1:4" x14ac:dyDescent="0.3">
      <c r="A689" s="830">
        <v>5954</v>
      </c>
      <c r="B689" s="831" t="s">
        <v>2924</v>
      </c>
      <c r="C689" s="830" t="s">
        <v>110</v>
      </c>
      <c r="D689" s="832">
        <v>6.74</v>
      </c>
    </row>
    <row r="690" spans="1:4" x14ac:dyDescent="0.3">
      <c r="A690" s="830">
        <v>5961</v>
      </c>
      <c r="B690" s="831" t="s">
        <v>5383</v>
      </c>
      <c r="C690" s="830" t="s">
        <v>110</v>
      </c>
      <c r="D690" s="832">
        <v>64.52</v>
      </c>
    </row>
    <row r="691" spans="1:4" x14ac:dyDescent="0.3">
      <c r="A691" s="830">
        <v>6260</v>
      </c>
      <c r="B691" s="831" t="s">
        <v>5384</v>
      </c>
      <c r="C691" s="830" t="s">
        <v>110</v>
      </c>
      <c r="D691" s="832">
        <v>61.76</v>
      </c>
    </row>
    <row r="692" spans="1:4" x14ac:dyDescent="0.3">
      <c r="A692" s="830">
        <v>6880</v>
      </c>
      <c r="B692" s="831" t="s">
        <v>5385</v>
      </c>
      <c r="C692" s="830" t="s">
        <v>110</v>
      </c>
      <c r="D692" s="832">
        <v>89.26</v>
      </c>
    </row>
    <row r="693" spans="1:4" x14ac:dyDescent="0.3">
      <c r="A693" s="830">
        <v>7031</v>
      </c>
      <c r="B693" s="831" t="s">
        <v>5386</v>
      </c>
      <c r="C693" s="830" t="s">
        <v>110</v>
      </c>
      <c r="D693" s="832">
        <v>6.33</v>
      </c>
    </row>
    <row r="694" spans="1:4" x14ac:dyDescent="0.3">
      <c r="A694" s="830">
        <v>7043</v>
      </c>
      <c r="B694" s="831" t="s">
        <v>5387</v>
      </c>
      <c r="C694" s="830" t="s">
        <v>110</v>
      </c>
      <c r="D694" s="832">
        <v>0.44</v>
      </c>
    </row>
    <row r="695" spans="1:4" x14ac:dyDescent="0.3">
      <c r="A695" s="830">
        <v>7050</v>
      </c>
      <c r="B695" s="831" t="s">
        <v>5388</v>
      </c>
      <c r="C695" s="830" t="s">
        <v>110</v>
      </c>
      <c r="D695" s="832">
        <v>82.15</v>
      </c>
    </row>
    <row r="696" spans="1:4" x14ac:dyDescent="0.3">
      <c r="A696" s="830">
        <v>67827</v>
      </c>
      <c r="B696" s="831" t="s">
        <v>5389</v>
      </c>
      <c r="C696" s="830" t="s">
        <v>110</v>
      </c>
      <c r="D696" s="832">
        <v>65.73</v>
      </c>
    </row>
    <row r="697" spans="1:4" x14ac:dyDescent="0.3">
      <c r="A697" s="830">
        <v>73395</v>
      </c>
      <c r="B697" s="831" t="s">
        <v>5390</v>
      </c>
      <c r="C697" s="830" t="s">
        <v>110</v>
      </c>
      <c r="D697" s="832">
        <v>9.67</v>
      </c>
    </row>
    <row r="698" spans="1:4" x14ac:dyDescent="0.3">
      <c r="A698" s="830">
        <v>83766</v>
      </c>
      <c r="B698" s="831" t="s">
        <v>5391</v>
      </c>
      <c r="C698" s="830" t="s">
        <v>110</v>
      </c>
      <c r="D698" s="832">
        <v>44.68</v>
      </c>
    </row>
    <row r="699" spans="1:4" x14ac:dyDescent="0.3">
      <c r="A699" s="830">
        <v>87446</v>
      </c>
      <c r="B699" s="831" t="s">
        <v>5392</v>
      </c>
      <c r="C699" s="830" t="s">
        <v>110</v>
      </c>
      <c r="D699" s="832">
        <v>0.55000000000000004</v>
      </c>
    </row>
    <row r="700" spans="1:4" x14ac:dyDescent="0.3">
      <c r="A700" s="830">
        <v>88392</v>
      </c>
      <c r="B700" s="831" t="s">
        <v>5393</v>
      </c>
      <c r="C700" s="830" t="s">
        <v>110</v>
      </c>
      <c r="D700" s="832">
        <v>1.08</v>
      </c>
    </row>
    <row r="701" spans="1:4" x14ac:dyDescent="0.3">
      <c r="A701" s="830">
        <v>88398</v>
      </c>
      <c r="B701" s="831" t="s">
        <v>5394</v>
      </c>
      <c r="C701" s="830" t="s">
        <v>110</v>
      </c>
      <c r="D701" s="832">
        <v>1.28</v>
      </c>
    </row>
    <row r="702" spans="1:4" x14ac:dyDescent="0.3">
      <c r="A702" s="830">
        <v>88404</v>
      </c>
      <c r="B702" s="831" t="s">
        <v>5395</v>
      </c>
      <c r="C702" s="830" t="s">
        <v>110</v>
      </c>
      <c r="D702" s="832">
        <v>1.02</v>
      </c>
    </row>
    <row r="703" spans="1:4" x14ac:dyDescent="0.3">
      <c r="A703" s="830">
        <v>88430</v>
      </c>
      <c r="B703" s="831" t="s">
        <v>5396</v>
      </c>
      <c r="C703" s="830" t="s">
        <v>110</v>
      </c>
      <c r="D703" s="832">
        <v>6.67</v>
      </c>
    </row>
    <row r="704" spans="1:4" x14ac:dyDescent="0.3">
      <c r="A704" s="830">
        <v>88438</v>
      </c>
      <c r="B704" s="831" t="s">
        <v>5397</v>
      </c>
      <c r="C704" s="830" t="s">
        <v>110</v>
      </c>
      <c r="D704" s="832">
        <v>8.85</v>
      </c>
    </row>
    <row r="705" spans="1:4" x14ac:dyDescent="0.3">
      <c r="A705" s="830">
        <v>88831</v>
      </c>
      <c r="B705" s="831" t="s">
        <v>4302</v>
      </c>
      <c r="C705" s="830" t="s">
        <v>110</v>
      </c>
      <c r="D705" s="832">
        <v>0.4</v>
      </c>
    </row>
    <row r="706" spans="1:4" x14ac:dyDescent="0.3">
      <c r="A706" s="830">
        <v>88844</v>
      </c>
      <c r="B706" s="831" t="s">
        <v>5398</v>
      </c>
      <c r="C706" s="830" t="s">
        <v>110</v>
      </c>
      <c r="D706" s="832">
        <v>76.41</v>
      </c>
    </row>
    <row r="707" spans="1:4" x14ac:dyDescent="0.3">
      <c r="A707" s="830">
        <v>88908</v>
      </c>
      <c r="B707" s="831" t="s">
        <v>2597</v>
      </c>
      <c r="C707" s="830" t="s">
        <v>110</v>
      </c>
      <c r="D707" s="832">
        <v>95.97</v>
      </c>
    </row>
    <row r="708" spans="1:4" x14ac:dyDescent="0.3">
      <c r="A708" s="830">
        <v>89022</v>
      </c>
      <c r="B708" s="831" t="s">
        <v>5399</v>
      </c>
      <c r="C708" s="830" t="s">
        <v>110</v>
      </c>
      <c r="D708" s="832">
        <v>0.47</v>
      </c>
    </row>
    <row r="709" spans="1:4" x14ac:dyDescent="0.3">
      <c r="A709" s="830">
        <v>89027</v>
      </c>
      <c r="B709" s="831" t="s">
        <v>5400</v>
      </c>
      <c r="C709" s="830" t="s">
        <v>110</v>
      </c>
      <c r="D709" s="832">
        <v>5.14</v>
      </c>
    </row>
    <row r="710" spans="1:4" x14ac:dyDescent="0.3">
      <c r="A710" s="830">
        <v>89031</v>
      </c>
      <c r="B710" s="831" t="s">
        <v>2612</v>
      </c>
      <c r="C710" s="830" t="s">
        <v>110</v>
      </c>
      <c r="D710" s="832">
        <v>74.150000000000006</v>
      </c>
    </row>
    <row r="711" spans="1:4" x14ac:dyDescent="0.3">
      <c r="A711" s="830">
        <v>89036</v>
      </c>
      <c r="B711" s="831" t="s">
        <v>2965</v>
      </c>
      <c r="C711" s="830" t="s">
        <v>110</v>
      </c>
      <c r="D711" s="832">
        <v>44.33</v>
      </c>
    </row>
    <row r="712" spans="1:4" x14ac:dyDescent="0.3">
      <c r="A712" s="830">
        <v>89218</v>
      </c>
      <c r="B712" s="831" t="s">
        <v>5401</v>
      </c>
      <c r="C712" s="830" t="s">
        <v>110</v>
      </c>
      <c r="D712" s="832">
        <v>93.71</v>
      </c>
    </row>
    <row r="713" spans="1:4" x14ac:dyDescent="0.3">
      <c r="A713" s="830">
        <v>89226</v>
      </c>
      <c r="B713" s="831" t="s">
        <v>4283</v>
      </c>
      <c r="C713" s="830" t="s">
        <v>110</v>
      </c>
      <c r="D713" s="832">
        <v>1.66</v>
      </c>
    </row>
    <row r="714" spans="1:4" x14ac:dyDescent="0.3">
      <c r="A714" s="830">
        <v>89235</v>
      </c>
      <c r="B714" s="831" t="s">
        <v>5402</v>
      </c>
      <c r="C714" s="830" t="s">
        <v>110</v>
      </c>
      <c r="D714" s="832">
        <v>182.61</v>
      </c>
    </row>
    <row r="715" spans="1:4" x14ac:dyDescent="0.3">
      <c r="A715" s="830">
        <v>89243</v>
      </c>
      <c r="B715" s="831" t="s">
        <v>5403</v>
      </c>
      <c r="C715" s="830" t="s">
        <v>110</v>
      </c>
      <c r="D715" s="832">
        <v>392.21</v>
      </c>
    </row>
    <row r="716" spans="1:4" x14ac:dyDescent="0.3">
      <c r="A716" s="830">
        <v>89251</v>
      </c>
      <c r="B716" s="831" t="s">
        <v>5404</v>
      </c>
      <c r="C716" s="830" t="s">
        <v>110</v>
      </c>
      <c r="D716" s="832">
        <v>344.18</v>
      </c>
    </row>
    <row r="717" spans="1:4" x14ac:dyDescent="0.3">
      <c r="A717" s="830">
        <v>89258</v>
      </c>
      <c r="B717" s="831" t="s">
        <v>5405</v>
      </c>
      <c r="C717" s="830" t="s">
        <v>110</v>
      </c>
      <c r="D717" s="832">
        <v>121.15</v>
      </c>
    </row>
    <row r="718" spans="1:4" x14ac:dyDescent="0.3">
      <c r="A718" s="830">
        <v>89273</v>
      </c>
      <c r="B718" s="831" t="s">
        <v>5406</v>
      </c>
      <c r="C718" s="830" t="s">
        <v>110</v>
      </c>
      <c r="D718" s="832">
        <v>103.93</v>
      </c>
    </row>
    <row r="719" spans="1:4" x14ac:dyDescent="0.3">
      <c r="A719" s="830">
        <v>89279</v>
      </c>
      <c r="B719" s="831" t="s">
        <v>5407</v>
      </c>
      <c r="C719" s="830" t="s">
        <v>110</v>
      </c>
      <c r="D719" s="832">
        <v>2.02</v>
      </c>
    </row>
    <row r="720" spans="1:4" x14ac:dyDescent="0.3">
      <c r="A720" s="830">
        <v>89877</v>
      </c>
      <c r="B720" s="831" t="s">
        <v>2571</v>
      </c>
      <c r="C720" s="830" t="s">
        <v>110</v>
      </c>
      <c r="D720" s="832">
        <v>90.58</v>
      </c>
    </row>
    <row r="721" spans="1:4" x14ac:dyDescent="0.3">
      <c r="A721" s="830">
        <v>89884</v>
      </c>
      <c r="B721" s="831" t="s">
        <v>5408</v>
      </c>
      <c r="C721" s="830" t="s">
        <v>110</v>
      </c>
      <c r="D721" s="832">
        <v>94.45</v>
      </c>
    </row>
    <row r="722" spans="1:4" x14ac:dyDescent="0.3">
      <c r="A722" s="830">
        <v>90587</v>
      </c>
      <c r="B722" s="831" t="s">
        <v>2849</v>
      </c>
      <c r="C722" s="830" t="s">
        <v>110</v>
      </c>
      <c r="D722" s="832">
        <v>0.53</v>
      </c>
    </row>
    <row r="723" spans="1:4" x14ac:dyDescent="0.3">
      <c r="A723" s="830">
        <v>90626</v>
      </c>
      <c r="B723" s="831" t="s">
        <v>5409</v>
      </c>
      <c r="C723" s="830" t="s">
        <v>110</v>
      </c>
      <c r="D723" s="832">
        <v>2.88</v>
      </c>
    </row>
    <row r="724" spans="1:4" x14ac:dyDescent="0.3">
      <c r="A724" s="830">
        <v>90632</v>
      </c>
      <c r="B724" s="831" t="s">
        <v>5410</v>
      </c>
      <c r="C724" s="830" t="s">
        <v>110</v>
      </c>
      <c r="D724" s="832">
        <v>92.82</v>
      </c>
    </row>
    <row r="725" spans="1:4" x14ac:dyDescent="0.3">
      <c r="A725" s="830">
        <v>90638</v>
      </c>
      <c r="B725" s="831" t="s">
        <v>5411</v>
      </c>
      <c r="C725" s="830" t="s">
        <v>110</v>
      </c>
      <c r="D725" s="832">
        <v>5.13</v>
      </c>
    </row>
    <row r="726" spans="1:4" x14ac:dyDescent="0.3">
      <c r="A726" s="830">
        <v>90644</v>
      </c>
      <c r="B726" s="831" t="s">
        <v>5412</v>
      </c>
      <c r="C726" s="830" t="s">
        <v>110</v>
      </c>
      <c r="D726" s="832">
        <v>7.67</v>
      </c>
    </row>
    <row r="727" spans="1:4" x14ac:dyDescent="0.3">
      <c r="A727" s="830">
        <v>90651</v>
      </c>
      <c r="B727" s="831" t="s">
        <v>5413</v>
      </c>
      <c r="C727" s="830" t="s">
        <v>110</v>
      </c>
      <c r="D727" s="832">
        <v>1.28</v>
      </c>
    </row>
    <row r="728" spans="1:4" x14ac:dyDescent="0.3">
      <c r="A728" s="830">
        <v>90657</v>
      </c>
      <c r="B728" s="831" t="s">
        <v>5414</v>
      </c>
      <c r="C728" s="830" t="s">
        <v>110</v>
      </c>
      <c r="D728" s="832">
        <v>4.9800000000000004</v>
      </c>
    </row>
    <row r="729" spans="1:4" x14ac:dyDescent="0.3">
      <c r="A729" s="830">
        <v>90663</v>
      </c>
      <c r="B729" s="831" t="s">
        <v>5415</v>
      </c>
      <c r="C729" s="830" t="s">
        <v>110</v>
      </c>
      <c r="D729" s="832">
        <v>5.34</v>
      </c>
    </row>
    <row r="730" spans="1:4" x14ac:dyDescent="0.3">
      <c r="A730" s="830">
        <v>90669</v>
      </c>
      <c r="B730" s="831" t="s">
        <v>5416</v>
      </c>
      <c r="C730" s="830" t="s">
        <v>110</v>
      </c>
      <c r="D730" s="832">
        <v>9.0399999999999991</v>
      </c>
    </row>
    <row r="731" spans="1:4" x14ac:dyDescent="0.3">
      <c r="A731" s="830">
        <v>90675</v>
      </c>
      <c r="B731" s="831" t="s">
        <v>5417</v>
      </c>
      <c r="C731" s="830" t="s">
        <v>110</v>
      </c>
      <c r="D731" s="832">
        <v>328.25</v>
      </c>
    </row>
    <row r="732" spans="1:4" x14ac:dyDescent="0.3">
      <c r="A732" s="830">
        <v>90681</v>
      </c>
      <c r="B732" s="831" t="s">
        <v>5418</v>
      </c>
      <c r="C732" s="830" t="s">
        <v>110</v>
      </c>
      <c r="D732" s="832">
        <v>164.7</v>
      </c>
    </row>
    <row r="733" spans="1:4" x14ac:dyDescent="0.3">
      <c r="A733" s="830">
        <v>90687</v>
      </c>
      <c r="B733" s="831" t="s">
        <v>5419</v>
      </c>
      <c r="C733" s="830" t="s">
        <v>110</v>
      </c>
      <c r="D733" s="832">
        <v>74.3</v>
      </c>
    </row>
    <row r="734" spans="1:4" x14ac:dyDescent="0.3">
      <c r="A734" s="830">
        <v>90693</v>
      </c>
      <c r="B734" s="831" t="s">
        <v>5420</v>
      </c>
      <c r="C734" s="830" t="s">
        <v>110</v>
      </c>
      <c r="D734" s="832">
        <v>60.2</v>
      </c>
    </row>
    <row r="735" spans="1:4" x14ac:dyDescent="0.3">
      <c r="A735" s="830">
        <v>90965</v>
      </c>
      <c r="B735" s="831" t="s">
        <v>5421</v>
      </c>
      <c r="C735" s="830" t="s">
        <v>110</v>
      </c>
      <c r="D735" s="832">
        <v>9</v>
      </c>
    </row>
    <row r="736" spans="1:4" x14ac:dyDescent="0.3">
      <c r="A736" s="830">
        <v>90973</v>
      </c>
      <c r="B736" s="831" t="s">
        <v>4488</v>
      </c>
      <c r="C736" s="830" t="s">
        <v>110</v>
      </c>
      <c r="D736" s="832">
        <v>9.0299999999999994</v>
      </c>
    </row>
    <row r="737" spans="1:4" x14ac:dyDescent="0.3">
      <c r="A737" s="830">
        <v>90982</v>
      </c>
      <c r="B737" s="831" t="s">
        <v>5422</v>
      </c>
      <c r="C737" s="830" t="s">
        <v>110</v>
      </c>
      <c r="D737" s="832">
        <v>22.94</v>
      </c>
    </row>
    <row r="738" spans="1:4" x14ac:dyDescent="0.3">
      <c r="A738" s="830">
        <v>91001</v>
      </c>
      <c r="B738" s="831" t="s">
        <v>5423</v>
      </c>
      <c r="C738" s="830" t="s">
        <v>110</v>
      </c>
      <c r="D738" s="832">
        <v>10.71</v>
      </c>
    </row>
    <row r="739" spans="1:4" x14ac:dyDescent="0.3">
      <c r="A739" s="830">
        <v>91032</v>
      </c>
      <c r="B739" s="831" t="s">
        <v>5424</v>
      </c>
      <c r="C739" s="830" t="s">
        <v>110</v>
      </c>
      <c r="D739" s="832">
        <v>68.209999999999994</v>
      </c>
    </row>
    <row r="740" spans="1:4" x14ac:dyDescent="0.3">
      <c r="A740" s="830">
        <v>91278</v>
      </c>
      <c r="B740" s="831" t="s">
        <v>5425</v>
      </c>
      <c r="C740" s="830" t="s">
        <v>110</v>
      </c>
      <c r="D740" s="832">
        <v>0.76</v>
      </c>
    </row>
    <row r="741" spans="1:4" x14ac:dyDescent="0.3">
      <c r="A741" s="830">
        <v>91285</v>
      </c>
      <c r="B741" s="831" t="s">
        <v>2886</v>
      </c>
      <c r="C741" s="830" t="s">
        <v>110</v>
      </c>
      <c r="D741" s="832">
        <v>1.1000000000000001</v>
      </c>
    </row>
    <row r="742" spans="1:4" x14ac:dyDescent="0.3">
      <c r="A742" s="830">
        <v>91387</v>
      </c>
      <c r="B742" s="831" t="s">
        <v>5426</v>
      </c>
      <c r="C742" s="830" t="s">
        <v>110</v>
      </c>
      <c r="D742" s="832">
        <v>75.31</v>
      </c>
    </row>
    <row r="743" spans="1:4" x14ac:dyDescent="0.3">
      <c r="A743" s="830">
        <v>91395</v>
      </c>
      <c r="B743" s="831" t="s">
        <v>5427</v>
      </c>
      <c r="C743" s="830" t="s">
        <v>110</v>
      </c>
      <c r="D743" s="832">
        <v>59.52</v>
      </c>
    </row>
    <row r="744" spans="1:4" x14ac:dyDescent="0.3">
      <c r="A744" s="830">
        <v>91486</v>
      </c>
      <c r="B744" s="831" t="s">
        <v>5428</v>
      </c>
      <c r="C744" s="830" t="s">
        <v>110</v>
      </c>
      <c r="D744" s="832">
        <v>68.97</v>
      </c>
    </row>
    <row r="745" spans="1:4" x14ac:dyDescent="0.3">
      <c r="A745" s="830">
        <v>91534</v>
      </c>
      <c r="B745" s="831" t="s">
        <v>2943</v>
      </c>
      <c r="C745" s="830" t="s">
        <v>110</v>
      </c>
      <c r="D745" s="832">
        <v>26.89</v>
      </c>
    </row>
    <row r="746" spans="1:4" x14ac:dyDescent="0.3">
      <c r="A746" s="830">
        <v>91635</v>
      </c>
      <c r="B746" s="831" t="s">
        <v>5429</v>
      </c>
      <c r="C746" s="830" t="s">
        <v>110</v>
      </c>
      <c r="D746" s="832">
        <v>63.96</v>
      </c>
    </row>
    <row r="747" spans="1:4" x14ac:dyDescent="0.3">
      <c r="A747" s="830">
        <v>91646</v>
      </c>
      <c r="B747" s="831" t="s">
        <v>5430</v>
      </c>
      <c r="C747" s="830" t="s">
        <v>110</v>
      </c>
      <c r="D747" s="832">
        <v>99.83</v>
      </c>
    </row>
    <row r="748" spans="1:4" x14ac:dyDescent="0.3">
      <c r="A748" s="830">
        <v>91693</v>
      </c>
      <c r="B748" s="831" t="s">
        <v>2632</v>
      </c>
      <c r="C748" s="830" t="s">
        <v>110</v>
      </c>
      <c r="D748" s="832">
        <v>25.9</v>
      </c>
    </row>
    <row r="749" spans="1:4" x14ac:dyDescent="0.3">
      <c r="A749" s="830">
        <v>92044</v>
      </c>
      <c r="B749" s="831" t="s">
        <v>5431</v>
      </c>
      <c r="C749" s="830" t="s">
        <v>110</v>
      </c>
      <c r="D749" s="832">
        <v>7.8</v>
      </c>
    </row>
    <row r="750" spans="1:4" x14ac:dyDescent="0.3">
      <c r="A750" s="830">
        <v>92107</v>
      </c>
      <c r="B750" s="831" t="s">
        <v>5432</v>
      </c>
      <c r="C750" s="830" t="s">
        <v>110</v>
      </c>
      <c r="D750" s="832">
        <v>94.05</v>
      </c>
    </row>
    <row r="751" spans="1:4" x14ac:dyDescent="0.3">
      <c r="A751" s="830">
        <v>92113</v>
      </c>
      <c r="B751" s="831" t="s">
        <v>5433</v>
      </c>
      <c r="C751" s="830" t="s">
        <v>110</v>
      </c>
      <c r="D751" s="832">
        <v>1.19</v>
      </c>
    </row>
    <row r="752" spans="1:4" x14ac:dyDescent="0.3">
      <c r="A752" s="830">
        <v>92119</v>
      </c>
      <c r="B752" s="831" t="s">
        <v>5434</v>
      </c>
      <c r="C752" s="830" t="s">
        <v>110</v>
      </c>
      <c r="D752" s="832">
        <v>0.28999999999999998</v>
      </c>
    </row>
    <row r="753" spans="1:4" x14ac:dyDescent="0.3">
      <c r="A753" s="830">
        <v>92139</v>
      </c>
      <c r="B753" s="831" t="s">
        <v>5435</v>
      </c>
      <c r="C753" s="830" t="s">
        <v>110</v>
      </c>
      <c r="D753" s="832">
        <v>45.46</v>
      </c>
    </row>
    <row r="754" spans="1:4" x14ac:dyDescent="0.3">
      <c r="A754" s="830">
        <v>92146</v>
      </c>
      <c r="B754" s="831" t="s">
        <v>5436</v>
      </c>
      <c r="C754" s="830" t="s">
        <v>110</v>
      </c>
      <c r="D754" s="832">
        <v>33.89</v>
      </c>
    </row>
    <row r="755" spans="1:4" x14ac:dyDescent="0.3">
      <c r="A755" s="830">
        <v>92243</v>
      </c>
      <c r="B755" s="831" t="s">
        <v>5437</v>
      </c>
      <c r="C755" s="830" t="s">
        <v>110</v>
      </c>
      <c r="D755" s="832">
        <v>82.11</v>
      </c>
    </row>
    <row r="756" spans="1:4" x14ac:dyDescent="0.3">
      <c r="A756" s="830">
        <v>92717</v>
      </c>
      <c r="B756" s="831" t="s">
        <v>5438</v>
      </c>
      <c r="C756" s="830" t="s">
        <v>110</v>
      </c>
      <c r="D756" s="832">
        <v>0.17</v>
      </c>
    </row>
    <row r="757" spans="1:4" x14ac:dyDescent="0.3">
      <c r="A757" s="830">
        <v>92961</v>
      </c>
      <c r="B757" s="831" t="s">
        <v>5439</v>
      </c>
      <c r="C757" s="830" t="s">
        <v>110</v>
      </c>
      <c r="D757" s="832">
        <v>5.29</v>
      </c>
    </row>
    <row r="758" spans="1:4" x14ac:dyDescent="0.3">
      <c r="A758" s="830">
        <v>92967</v>
      </c>
      <c r="B758" s="831" t="s">
        <v>5440</v>
      </c>
      <c r="C758" s="830" t="s">
        <v>110</v>
      </c>
      <c r="D758" s="832">
        <v>27.93</v>
      </c>
    </row>
    <row r="759" spans="1:4" x14ac:dyDescent="0.3">
      <c r="A759" s="830">
        <v>93225</v>
      </c>
      <c r="B759" s="831" t="s">
        <v>5441</v>
      </c>
      <c r="C759" s="830" t="s">
        <v>110</v>
      </c>
      <c r="D759" s="832">
        <v>489.58</v>
      </c>
    </row>
    <row r="760" spans="1:4" x14ac:dyDescent="0.3">
      <c r="A760" s="830">
        <v>93234</v>
      </c>
      <c r="B760" s="831" t="s">
        <v>5442</v>
      </c>
      <c r="C760" s="830" t="s">
        <v>110</v>
      </c>
      <c r="D760" s="832">
        <v>0.5</v>
      </c>
    </row>
    <row r="761" spans="1:4" x14ac:dyDescent="0.3">
      <c r="A761" s="830">
        <v>93244</v>
      </c>
      <c r="B761" s="831" t="s">
        <v>3084</v>
      </c>
      <c r="C761" s="830" t="s">
        <v>110</v>
      </c>
      <c r="D761" s="832">
        <v>68.05</v>
      </c>
    </row>
    <row r="762" spans="1:4" x14ac:dyDescent="0.3">
      <c r="A762" s="830">
        <v>93274</v>
      </c>
      <c r="B762" s="831" t="s">
        <v>5443</v>
      </c>
      <c r="C762" s="830" t="s">
        <v>110</v>
      </c>
      <c r="D762" s="832">
        <v>62.82</v>
      </c>
    </row>
    <row r="763" spans="1:4" x14ac:dyDescent="0.3">
      <c r="A763" s="830">
        <v>93282</v>
      </c>
      <c r="B763" s="831" t="s">
        <v>3728</v>
      </c>
      <c r="C763" s="830" t="s">
        <v>110</v>
      </c>
      <c r="D763" s="832">
        <v>26.22</v>
      </c>
    </row>
    <row r="764" spans="1:4" x14ac:dyDescent="0.3">
      <c r="A764" s="830">
        <v>93288</v>
      </c>
      <c r="B764" s="831" t="s">
        <v>5444</v>
      </c>
      <c r="C764" s="830" t="s">
        <v>110</v>
      </c>
      <c r="D764" s="832">
        <v>175.99</v>
      </c>
    </row>
    <row r="765" spans="1:4" x14ac:dyDescent="0.3">
      <c r="A765" s="830">
        <v>93403</v>
      </c>
      <c r="B765" s="831" t="s">
        <v>5445</v>
      </c>
      <c r="C765" s="830" t="s">
        <v>110</v>
      </c>
      <c r="D765" s="832">
        <v>69.290000000000006</v>
      </c>
    </row>
    <row r="766" spans="1:4" x14ac:dyDescent="0.3">
      <c r="A766" s="830">
        <v>93409</v>
      </c>
      <c r="B766" s="831" t="s">
        <v>5446</v>
      </c>
      <c r="C766" s="830" t="s">
        <v>110</v>
      </c>
      <c r="D766" s="832">
        <v>33.5</v>
      </c>
    </row>
    <row r="767" spans="1:4" x14ac:dyDescent="0.3">
      <c r="A767" s="830">
        <v>93416</v>
      </c>
      <c r="B767" s="831" t="s">
        <v>5447</v>
      </c>
      <c r="C767" s="830" t="s">
        <v>110</v>
      </c>
      <c r="D767" s="832">
        <v>0.46</v>
      </c>
    </row>
    <row r="768" spans="1:4" x14ac:dyDescent="0.3">
      <c r="A768" s="830">
        <v>93422</v>
      </c>
      <c r="B768" s="831" t="s">
        <v>5448</v>
      </c>
      <c r="C768" s="830" t="s">
        <v>110</v>
      </c>
      <c r="D768" s="832">
        <v>6.07</v>
      </c>
    </row>
    <row r="769" spans="1:4" x14ac:dyDescent="0.3">
      <c r="A769" s="830">
        <v>93428</v>
      </c>
      <c r="B769" s="831" t="s">
        <v>109</v>
      </c>
      <c r="C769" s="830" t="s">
        <v>110</v>
      </c>
      <c r="D769" s="832">
        <v>8.6</v>
      </c>
    </row>
    <row r="770" spans="1:4" x14ac:dyDescent="0.3">
      <c r="A770" s="830">
        <v>93434</v>
      </c>
      <c r="B770" s="831" t="s">
        <v>5449</v>
      </c>
      <c r="C770" s="830" t="s">
        <v>110</v>
      </c>
      <c r="D770" s="832">
        <v>339.19</v>
      </c>
    </row>
    <row r="771" spans="1:4" x14ac:dyDescent="0.3">
      <c r="A771" s="830">
        <v>93440</v>
      </c>
      <c r="B771" s="831" t="s">
        <v>5450</v>
      </c>
      <c r="C771" s="830" t="s">
        <v>110</v>
      </c>
      <c r="D771" s="832">
        <v>145.06</v>
      </c>
    </row>
    <row r="772" spans="1:4" x14ac:dyDescent="0.3">
      <c r="A772" s="830">
        <v>95122</v>
      </c>
      <c r="B772" s="831" t="s">
        <v>5451</v>
      </c>
      <c r="C772" s="830" t="s">
        <v>110</v>
      </c>
      <c r="D772" s="832">
        <v>227.92</v>
      </c>
    </row>
    <row r="773" spans="1:4" x14ac:dyDescent="0.3">
      <c r="A773" s="830">
        <v>95128</v>
      </c>
      <c r="B773" s="831" t="s">
        <v>5452</v>
      </c>
      <c r="C773" s="830" t="s">
        <v>110</v>
      </c>
      <c r="D773" s="832">
        <v>49.16</v>
      </c>
    </row>
    <row r="774" spans="1:4" x14ac:dyDescent="0.3">
      <c r="A774" s="830">
        <v>95140</v>
      </c>
      <c r="B774" s="831" t="s">
        <v>5453</v>
      </c>
      <c r="C774" s="830" t="s">
        <v>110</v>
      </c>
      <c r="D774" s="832">
        <v>0.04</v>
      </c>
    </row>
    <row r="775" spans="1:4" x14ac:dyDescent="0.3">
      <c r="A775" s="830">
        <v>95213</v>
      </c>
      <c r="B775" s="831" t="s">
        <v>5454</v>
      </c>
      <c r="C775" s="830" t="s">
        <v>110</v>
      </c>
      <c r="D775" s="832">
        <v>92.52</v>
      </c>
    </row>
    <row r="776" spans="1:4" x14ac:dyDescent="0.3">
      <c r="A776" s="830">
        <v>95259</v>
      </c>
      <c r="B776" s="831" t="s">
        <v>5455</v>
      </c>
      <c r="C776" s="830" t="s">
        <v>110</v>
      </c>
      <c r="D776" s="832">
        <v>27.64</v>
      </c>
    </row>
    <row r="777" spans="1:4" x14ac:dyDescent="0.3">
      <c r="A777" s="830">
        <v>95265</v>
      </c>
      <c r="B777" s="831" t="s">
        <v>5456</v>
      </c>
      <c r="C777" s="830" t="s">
        <v>110</v>
      </c>
      <c r="D777" s="832">
        <v>0.9</v>
      </c>
    </row>
    <row r="778" spans="1:4" x14ac:dyDescent="0.3">
      <c r="A778" s="830">
        <v>95271</v>
      </c>
      <c r="B778" s="831" t="s">
        <v>5457</v>
      </c>
      <c r="C778" s="830" t="s">
        <v>110</v>
      </c>
      <c r="D778" s="832">
        <v>0.6</v>
      </c>
    </row>
    <row r="779" spans="1:4" x14ac:dyDescent="0.3">
      <c r="A779" s="830">
        <v>95277</v>
      </c>
      <c r="B779" s="831" t="s">
        <v>5458</v>
      </c>
      <c r="C779" s="830" t="s">
        <v>110</v>
      </c>
      <c r="D779" s="832">
        <v>0.6</v>
      </c>
    </row>
    <row r="780" spans="1:4" x14ac:dyDescent="0.3">
      <c r="A780" s="830">
        <v>95283</v>
      </c>
      <c r="B780" s="831" t="s">
        <v>5459</v>
      </c>
      <c r="C780" s="830" t="s">
        <v>110</v>
      </c>
      <c r="D780" s="832">
        <v>0.72</v>
      </c>
    </row>
    <row r="781" spans="1:4" x14ac:dyDescent="0.3">
      <c r="A781" s="830">
        <v>95621</v>
      </c>
      <c r="B781" s="831" t="s">
        <v>5460</v>
      </c>
      <c r="C781" s="830" t="s">
        <v>110</v>
      </c>
      <c r="D781" s="832">
        <v>27.29</v>
      </c>
    </row>
    <row r="782" spans="1:4" x14ac:dyDescent="0.3">
      <c r="A782" s="830">
        <v>95632</v>
      </c>
      <c r="B782" s="831" t="s">
        <v>3671</v>
      </c>
      <c r="C782" s="830" t="s">
        <v>110</v>
      </c>
      <c r="D782" s="832">
        <v>86.53</v>
      </c>
    </row>
    <row r="783" spans="1:4" x14ac:dyDescent="0.3">
      <c r="A783" s="830">
        <v>95703</v>
      </c>
      <c r="B783" s="831" t="s">
        <v>5461</v>
      </c>
      <c r="C783" s="830" t="s">
        <v>110</v>
      </c>
      <c r="D783" s="832">
        <v>32.17</v>
      </c>
    </row>
    <row r="784" spans="1:4" x14ac:dyDescent="0.3">
      <c r="A784" s="830">
        <v>95709</v>
      </c>
      <c r="B784" s="831" t="s">
        <v>5462</v>
      </c>
      <c r="C784" s="830" t="s">
        <v>110</v>
      </c>
      <c r="D784" s="832">
        <v>93.48</v>
      </c>
    </row>
    <row r="785" spans="1:4" x14ac:dyDescent="0.3">
      <c r="A785" s="830">
        <v>95721</v>
      </c>
      <c r="B785" s="831" t="s">
        <v>5463</v>
      </c>
      <c r="C785" s="830" t="s">
        <v>110</v>
      </c>
      <c r="D785" s="832">
        <v>110.81</v>
      </c>
    </row>
    <row r="786" spans="1:4" x14ac:dyDescent="0.3">
      <c r="A786" s="830">
        <v>95873</v>
      </c>
      <c r="B786" s="831" t="s">
        <v>2999</v>
      </c>
      <c r="C786" s="830" t="s">
        <v>110</v>
      </c>
      <c r="D786" s="832">
        <v>13.75</v>
      </c>
    </row>
    <row r="787" spans="1:4" x14ac:dyDescent="0.3">
      <c r="A787" s="830">
        <v>96014</v>
      </c>
      <c r="B787" s="831" t="s">
        <v>5464</v>
      </c>
      <c r="C787" s="830" t="s">
        <v>110</v>
      </c>
      <c r="D787" s="832">
        <v>55.56</v>
      </c>
    </row>
    <row r="788" spans="1:4" x14ac:dyDescent="0.3">
      <c r="A788" s="830">
        <v>96021</v>
      </c>
      <c r="B788" s="831" t="s">
        <v>5465</v>
      </c>
      <c r="C788" s="830" t="s">
        <v>110</v>
      </c>
      <c r="D788" s="832">
        <v>55.31</v>
      </c>
    </row>
    <row r="789" spans="1:4" x14ac:dyDescent="0.3">
      <c r="A789" s="830">
        <v>96029</v>
      </c>
      <c r="B789" s="831" t="s">
        <v>5466</v>
      </c>
      <c r="C789" s="830" t="s">
        <v>110</v>
      </c>
      <c r="D789" s="832">
        <v>48.55</v>
      </c>
    </row>
    <row r="790" spans="1:4" x14ac:dyDescent="0.3">
      <c r="A790" s="830">
        <v>96036</v>
      </c>
      <c r="B790" s="831" t="s">
        <v>5467</v>
      </c>
      <c r="C790" s="830" t="s">
        <v>110</v>
      </c>
      <c r="D790" s="832">
        <v>83.62</v>
      </c>
    </row>
    <row r="791" spans="1:4" x14ac:dyDescent="0.3">
      <c r="A791" s="830">
        <v>96155</v>
      </c>
      <c r="B791" s="831" t="s">
        <v>3673</v>
      </c>
      <c r="C791" s="830" t="s">
        <v>110</v>
      </c>
      <c r="D791" s="832">
        <v>48.8</v>
      </c>
    </row>
    <row r="792" spans="1:4" x14ac:dyDescent="0.3">
      <c r="A792" s="830">
        <v>96156</v>
      </c>
      <c r="B792" s="831" t="s">
        <v>5468</v>
      </c>
      <c r="C792" s="830" t="s">
        <v>110</v>
      </c>
      <c r="D792" s="832">
        <v>64.89</v>
      </c>
    </row>
    <row r="793" spans="1:4" x14ac:dyDescent="0.3">
      <c r="A793" s="830">
        <v>96159</v>
      </c>
      <c r="B793" s="831" t="s">
        <v>5469</v>
      </c>
      <c r="C793" s="830" t="s">
        <v>110</v>
      </c>
      <c r="D793" s="832">
        <v>90.98</v>
      </c>
    </row>
    <row r="794" spans="1:4" x14ac:dyDescent="0.3">
      <c r="A794" s="830">
        <v>96246</v>
      </c>
      <c r="B794" s="831" t="s">
        <v>5470</v>
      </c>
      <c r="C794" s="830" t="s">
        <v>110</v>
      </c>
      <c r="D794" s="832">
        <v>68.34</v>
      </c>
    </row>
    <row r="795" spans="1:4" x14ac:dyDescent="0.3">
      <c r="A795" s="830">
        <v>96464</v>
      </c>
      <c r="B795" s="831" t="s">
        <v>5471</v>
      </c>
      <c r="C795" s="830" t="s">
        <v>110</v>
      </c>
      <c r="D795" s="832">
        <v>93.16</v>
      </c>
    </row>
    <row r="796" spans="1:4" x14ac:dyDescent="0.3">
      <c r="A796" s="830">
        <v>98765</v>
      </c>
      <c r="B796" s="831" t="s">
        <v>5472</v>
      </c>
      <c r="C796" s="830" t="s">
        <v>110</v>
      </c>
      <c r="D796" s="832">
        <v>0.06</v>
      </c>
    </row>
    <row r="797" spans="1:4" x14ac:dyDescent="0.3">
      <c r="A797" s="830">
        <v>99834</v>
      </c>
      <c r="B797" s="831" t="s">
        <v>5473</v>
      </c>
      <c r="C797" s="830" t="s">
        <v>110</v>
      </c>
      <c r="D797" s="832">
        <v>0.27</v>
      </c>
    </row>
    <row r="798" spans="1:4" x14ac:dyDescent="0.3">
      <c r="A798" s="830">
        <v>100642</v>
      </c>
      <c r="B798" s="831" t="s">
        <v>3003</v>
      </c>
      <c r="C798" s="830" t="s">
        <v>110</v>
      </c>
      <c r="D798" s="832">
        <v>292.55</v>
      </c>
    </row>
    <row r="799" spans="1:4" x14ac:dyDescent="0.3">
      <c r="A799" s="830">
        <v>100648</v>
      </c>
      <c r="B799" s="831" t="s">
        <v>5474</v>
      </c>
      <c r="C799" s="830" t="s">
        <v>110</v>
      </c>
      <c r="D799" s="832">
        <v>575.44000000000005</v>
      </c>
    </row>
    <row r="800" spans="1:4" x14ac:dyDescent="0.3">
      <c r="A800" s="830">
        <v>102274</v>
      </c>
      <c r="B800" s="831" t="s">
        <v>5475</v>
      </c>
      <c r="C800" s="830" t="s">
        <v>110</v>
      </c>
      <c r="D800" s="832">
        <v>26.66</v>
      </c>
    </row>
    <row r="801" spans="1:4" x14ac:dyDescent="0.3">
      <c r="A801" s="830">
        <v>102875</v>
      </c>
      <c r="B801" s="831" t="s">
        <v>5476</v>
      </c>
      <c r="C801" s="830" t="s">
        <v>110</v>
      </c>
      <c r="D801" s="832">
        <v>467.55</v>
      </c>
    </row>
    <row r="802" spans="1:4" x14ac:dyDescent="0.3">
      <c r="A802" s="830">
        <v>102881</v>
      </c>
      <c r="B802" s="831" t="s">
        <v>5477</v>
      </c>
      <c r="C802" s="830" t="s">
        <v>110</v>
      </c>
      <c r="D802" s="832">
        <v>639.70000000000005</v>
      </c>
    </row>
    <row r="803" spans="1:4" x14ac:dyDescent="0.3">
      <c r="A803" s="830">
        <v>102965</v>
      </c>
      <c r="B803" s="831" t="s">
        <v>5478</v>
      </c>
      <c r="C803" s="830" t="s">
        <v>110</v>
      </c>
      <c r="D803" s="832">
        <v>240.18</v>
      </c>
    </row>
    <row r="804" spans="1:4" x14ac:dyDescent="0.3">
      <c r="A804" s="830">
        <v>102975</v>
      </c>
      <c r="B804" s="831" t="s">
        <v>5479</v>
      </c>
      <c r="C804" s="830" t="s">
        <v>110</v>
      </c>
      <c r="D804" s="832">
        <v>140.88</v>
      </c>
    </row>
    <row r="805" spans="1:4" x14ac:dyDescent="0.3">
      <c r="A805" s="830">
        <v>103225</v>
      </c>
      <c r="B805" s="831" t="s">
        <v>5480</v>
      </c>
      <c r="C805" s="830" t="s">
        <v>110</v>
      </c>
      <c r="D805" s="832">
        <v>213.52</v>
      </c>
    </row>
    <row r="806" spans="1:4" x14ac:dyDescent="0.3">
      <c r="A806" s="830">
        <v>103231</v>
      </c>
      <c r="B806" s="831" t="s">
        <v>5481</v>
      </c>
      <c r="C806" s="830" t="s">
        <v>110</v>
      </c>
      <c r="D806" s="832">
        <v>456.52</v>
      </c>
    </row>
    <row r="807" spans="1:4" x14ac:dyDescent="0.3">
      <c r="A807" s="830">
        <v>103237</v>
      </c>
      <c r="B807" s="831" t="s">
        <v>5482</v>
      </c>
      <c r="C807" s="830" t="s">
        <v>110</v>
      </c>
      <c r="D807" s="832">
        <v>614.83000000000004</v>
      </c>
    </row>
    <row r="808" spans="1:4" x14ac:dyDescent="0.3">
      <c r="A808" s="830">
        <v>104092</v>
      </c>
      <c r="B808" s="831" t="s">
        <v>5483</v>
      </c>
      <c r="C808" s="830" t="s">
        <v>110</v>
      </c>
      <c r="D808" s="832">
        <v>0.08</v>
      </c>
    </row>
    <row r="809" spans="1:4" x14ac:dyDescent="0.3">
      <c r="A809" s="830">
        <v>104098</v>
      </c>
      <c r="B809" s="831" t="s">
        <v>5484</v>
      </c>
      <c r="C809" s="830" t="s">
        <v>110</v>
      </c>
      <c r="D809" s="832">
        <v>0.12</v>
      </c>
    </row>
    <row r="810" spans="1:4" x14ac:dyDescent="0.3">
      <c r="A810" s="830">
        <v>104696</v>
      </c>
      <c r="B810" s="831" t="s">
        <v>5485</v>
      </c>
      <c r="C810" s="830" t="s">
        <v>110</v>
      </c>
      <c r="D810" s="832">
        <v>26.94</v>
      </c>
    </row>
    <row r="811" spans="1:4" x14ac:dyDescent="0.3">
      <c r="A811" s="830">
        <v>104717</v>
      </c>
      <c r="B811" s="831" t="s">
        <v>5486</v>
      </c>
      <c r="C811" s="830" t="s">
        <v>110</v>
      </c>
      <c r="D811" s="832">
        <v>105.93</v>
      </c>
    </row>
    <row r="812" spans="1:4" x14ac:dyDescent="0.3">
      <c r="A812" s="830">
        <v>5089</v>
      </c>
      <c r="B812" s="831" t="s">
        <v>3973</v>
      </c>
      <c r="C812" s="830" t="s">
        <v>1901</v>
      </c>
      <c r="D812" s="832">
        <v>41.71</v>
      </c>
    </row>
    <row r="813" spans="1:4" x14ac:dyDescent="0.3">
      <c r="A813" s="830">
        <v>5627</v>
      </c>
      <c r="B813" s="831" t="s">
        <v>3641</v>
      </c>
      <c r="C813" s="830" t="s">
        <v>1901</v>
      </c>
      <c r="D813" s="832">
        <v>46.35</v>
      </c>
    </row>
    <row r="814" spans="1:4" x14ac:dyDescent="0.3">
      <c r="A814" s="830">
        <v>5628</v>
      </c>
      <c r="B814" s="831" t="s">
        <v>3643</v>
      </c>
      <c r="C814" s="830" t="s">
        <v>1901</v>
      </c>
      <c r="D814" s="832">
        <v>12.25</v>
      </c>
    </row>
    <row r="815" spans="1:4" x14ac:dyDescent="0.3">
      <c r="A815" s="830">
        <v>5629</v>
      </c>
      <c r="B815" s="831" t="s">
        <v>3647</v>
      </c>
      <c r="C815" s="830" t="s">
        <v>1901</v>
      </c>
      <c r="D815" s="832">
        <v>57.94</v>
      </c>
    </row>
    <row r="816" spans="1:4" x14ac:dyDescent="0.3">
      <c r="A816" s="830">
        <v>5630</v>
      </c>
      <c r="B816" s="831" t="s">
        <v>3649</v>
      </c>
      <c r="C816" s="830" t="s">
        <v>1901</v>
      </c>
      <c r="D816" s="832">
        <v>63.97</v>
      </c>
    </row>
    <row r="817" spans="1:4" x14ac:dyDescent="0.3">
      <c r="A817" s="830">
        <v>5658</v>
      </c>
      <c r="B817" s="831" t="s">
        <v>5487</v>
      </c>
      <c r="C817" s="830" t="s">
        <v>1901</v>
      </c>
      <c r="D817" s="832">
        <v>2.23</v>
      </c>
    </row>
    <row r="818" spans="1:4" x14ac:dyDescent="0.3">
      <c r="A818" s="830">
        <v>5664</v>
      </c>
      <c r="B818" s="831" t="s">
        <v>3935</v>
      </c>
      <c r="C818" s="830" t="s">
        <v>1901</v>
      </c>
      <c r="D818" s="832">
        <v>31.92</v>
      </c>
    </row>
    <row r="819" spans="1:4" x14ac:dyDescent="0.3">
      <c r="A819" s="830">
        <v>5667</v>
      </c>
      <c r="B819" s="831" t="s">
        <v>5488</v>
      </c>
      <c r="C819" s="830" t="s">
        <v>1901</v>
      </c>
      <c r="D819" s="832">
        <v>28.39</v>
      </c>
    </row>
    <row r="820" spans="1:4" x14ac:dyDescent="0.3">
      <c r="A820" s="830">
        <v>5668</v>
      </c>
      <c r="B820" s="831" t="s">
        <v>5489</v>
      </c>
      <c r="C820" s="830" t="s">
        <v>1901</v>
      </c>
      <c r="D820" s="832">
        <v>45.5</v>
      </c>
    </row>
    <row r="821" spans="1:4" x14ac:dyDescent="0.3">
      <c r="A821" s="830">
        <v>5674</v>
      </c>
      <c r="B821" s="831" t="s">
        <v>3965</v>
      </c>
      <c r="C821" s="830" t="s">
        <v>1901</v>
      </c>
      <c r="D821" s="832">
        <v>40.11</v>
      </c>
    </row>
    <row r="822" spans="1:4" x14ac:dyDescent="0.3">
      <c r="A822" s="830">
        <v>5692</v>
      </c>
      <c r="B822" s="831" t="s">
        <v>5490</v>
      </c>
      <c r="C822" s="830" t="s">
        <v>1901</v>
      </c>
      <c r="D822" s="832">
        <v>0.32</v>
      </c>
    </row>
    <row r="823" spans="1:4" x14ac:dyDescent="0.3">
      <c r="A823" s="830">
        <v>5693</v>
      </c>
      <c r="B823" s="831" t="s">
        <v>5491</v>
      </c>
      <c r="C823" s="830" t="s">
        <v>1901</v>
      </c>
      <c r="D823" s="832">
        <v>20.98</v>
      </c>
    </row>
    <row r="824" spans="1:4" x14ac:dyDescent="0.3">
      <c r="A824" s="830">
        <v>5695</v>
      </c>
      <c r="B824" s="831" t="s">
        <v>4324</v>
      </c>
      <c r="C824" s="830" t="s">
        <v>1901</v>
      </c>
      <c r="D824" s="832">
        <v>40.020000000000003</v>
      </c>
    </row>
    <row r="825" spans="1:4" x14ac:dyDescent="0.3">
      <c r="A825" s="830">
        <v>5703</v>
      </c>
      <c r="B825" s="831" t="s">
        <v>5492</v>
      </c>
      <c r="C825" s="830" t="s">
        <v>1901</v>
      </c>
      <c r="D825" s="832">
        <v>17.13</v>
      </c>
    </row>
    <row r="826" spans="1:4" x14ac:dyDescent="0.3">
      <c r="A826" s="830">
        <v>5705</v>
      </c>
      <c r="B826" s="831" t="s">
        <v>5493</v>
      </c>
      <c r="C826" s="830" t="s">
        <v>1901</v>
      </c>
      <c r="D826" s="832">
        <v>38.479999999999997</v>
      </c>
    </row>
    <row r="827" spans="1:4" x14ac:dyDescent="0.3">
      <c r="A827" s="830">
        <v>5707</v>
      </c>
      <c r="B827" s="831" t="s">
        <v>5494</v>
      </c>
      <c r="C827" s="830" t="s">
        <v>1901</v>
      </c>
      <c r="D827" s="832">
        <v>78.94</v>
      </c>
    </row>
    <row r="828" spans="1:4" x14ac:dyDescent="0.3">
      <c r="A828" s="830">
        <v>5710</v>
      </c>
      <c r="B828" s="831" t="s">
        <v>4151</v>
      </c>
      <c r="C828" s="830" t="s">
        <v>1901</v>
      </c>
      <c r="D828" s="832">
        <v>138.41999999999999</v>
      </c>
    </row>
    <row r="829" spans="1:4" x14ac:dyDescent="0.3">
      <c r="A829" s="830">
        <v>5711</v>
      </c>
      <c r="B829" s="831" t="s">
        <v>4153</v>
      </c>
      <c r="C829" s="830" t="s">
        <v>1901</v>
      </c>
      <c r="D829" s="832">
        <v>88.38</v>
      </c>
    </row>
    <row r="830" spans="1:4" x14ac:dyDescent="0.3">
      <c r="A830" s="830">
        <v>5714</v>
      </c>
      <c r="B830" s="831" t="s">
        <v>4086</v>
      </c>
      <c r="C830" s="830" t="s">
        <v>1901</v>
      </c>
      <c r="D830" s="832">
        <v>16</v>
      </c>
    </row>
    <row r="831" spans="1:4" x14ac:dyDescent="0.3">
      <c r="A831" s="830">
        <v>5715</v>
      </c>
      <c r="B831" s="831" t="s">
        <v>4088</v>
      </c>
      <c r="C831" s="830" t="s">
        <v>1901</v>
      </c>
      <c r="D831" s="832">
        <v>66.88</v>
      </c>
    </row>
    <row r="832" spans="1:4" x14ac:dyDescent="0.3">
      <c r="A832" s="830">
        <v>5718</v>
      </c>
      <c r="B832" s="831" t="s">
        <v>4066</v>
      </c>
      <c r="C832" s="830" t="s">
        <v>1901</v>
      </c>
      <c r="D832" s="832">
        <v>105.49</v>
      </c>
    </row>
    <row r="833" spans="1:4" x14ac:dyDescent="0.3">
      <c r="A833" s="830">
        <v>5721</v>
      </c>
      <c r="B833" s="831" t="s">
        <v>4056</v>
      </c>
      <c r="C833" s="830" t="s">
        <v>1901</v>
      </c>
      <c r="D833" s="832">
        <v>93.07</v>
      </c>
    </row>
    <row r="834" spans="1:4" x14ac:dyDescent="0.3">
      <c r="A834" s="830">
        <v>5722</v>
      </c>
      <c r="B834" s="831" t="s">
        <v>5495</v>
      </c>
      <c r="C834" s="830" t="s">
        <v>1901</v>
      </c>
      <c r="D834" s="832">
        <v>215.26</v>
      </c>
    </row>
    <row r="835" spans="1:4" x14ac:dyDescent="0.3">
      <c r="A835" s="830">
        <v>5724</v>
      </c>
      <c r="B835" s="831" t="s">
        <v>4046</v>
      </c>
      <c r="C835" s="830" t="s">
        <v>1901</v>
      </c>
      <c r="D835" s="832">
        <v>60.04</v>
      </c>
    </row>
    <row r="836" spans="1:4" x14ac:dyDescent="0.3">
      <c r="A836" s="830">
        <v>5727</v>
      </c>
      <c r="B836" s="831" t="s">
        <v>3981</v>
      </c>
      <c r="C836" s="830" t="s">
        <v>1901</v>
      </c>
      <c r="D836" s="832">
        <v>12.1</v>
      </c>
    </row>
    <row r="837" spans="1:4" x14ac:dyDescent="0.3">
      <c r="A837" s="830">
        <v>5729</v>
      </c>
      <c r="B837" s="831" t="s">
        <v>5496</v>
      </c>
      <c r="C837" s="830" t="s">
        <v>1901</v>
      </c>
      <c r="D837" s="832">
        <v>49.26</v>
      </c>
    </row>
    <row r="838" spans="1:4" x14ac:dyDescent="0.3">
      <c r="A838" s="830">
        <v>5730</v>
      </c>
      <c r="B838" s="831" t="s">
        <v>5497</v>
      </c>
      <c r="C838" s="830" t="s">
        <v>1901</v>
      </c>
      <c r="D838" s="832">
        <v>40.57</v>
      </c>
    </row>
    <row r="839" spans="1:4" x14ac:dyDescent="0.3">
      <c r="A839" s="830">
        <v>5735</v>
      </c>
      <c r="B839" s="831" t="s">
        <v>5498</v>
      </c>
      <c r="C839" s="830" t="s">
        <v>1901</v>
      </c>
      <c r="D839" s="832">
        <v>30.8</v>
      </c>
    </row>
    <row r="840" spans="1:4" x14ac:dyDescent="0.3">
      <c r="A840" s="830">
        <v>5736</v>
      </c>
      <c r="B840" s="831" t="s">
        <v>5499</v>
      </c>
      <c r="C840" s="830" t="s">
        <v>1901</v>
      </c>
      <c r="D840" s="832">
        <v>41.46</v>
      </c>
    </row>
    <row r="841" spans="1:4" x14ac:dyDescent="0.3">
      <c r="A841" s="830">
        <v>5738</v>
      </c>
      <c r="B841" s="831" t="s">
        <v>5500</v>
      </c>
      <c r="C841" s="830" t="s">
        <v>1901</v>
      </c>
      <c r="D841" s="832">
        <v>43.8</v>
      </c>
    </row>
    <row r="842" spans="1:4" x14ac:dyDescent="0.3">
      <c r="A842" s="830">
        <v>5739</v>
      </c>
      <c r="B842" s="831" t="s">
        <v>5501</v>
      </c>
      <c r="C842" s="830" t="s">
        <v>1901</v>
      </c>
      <c r="D842" s="832">
        <v>54.81</v>
      </c>
    </row>
    <row r="843" spans="1:4" x14ac:dyDescent="0.3">
      <c r="A843" s="830">
        <v>5741</v>
      </c>
      <c r="B843" s="831" t="s">
        <v>5502</v>
      </c>
      <c r="C843" s="830" t="s">
        <v>1901</v>
      </c>
      <c r="D843" s="832">
        <v>42.78</v>
      </c>
    </row>
    <row r="844" spans="1:4" x14ac:dyDescent="0.3">
      <c r="A844" s="830">
        <v>5742</v>
      </c>
      <c r="B844" s="831" t="s">
        <v>5503</v>
      </c>
      <c r="C844" s="830" t="s">
        <v>1901</v>
      </c>
      <c r="D844" s="832">
        <v>27.38</v>
      </c>
    </row>
    <row r="845" spans="1:4" x14ac:dyDescent="0.3">
      <c r="A845" s="830">
        <v>5747</v>
      </c>
      <c r="B845" s="831" t="s">
        <v>2539</v>
      </c>
      <c r="C845" s="830" t="s">
        <v>1901</v>
      </c>
      <c r="D845" s="832">
        <v>156.99</v>
      </c>
    </row>
    <row r="846" spans="1:4" x14ac:dyDescent="0.3">
      <c r="A846" s="830">
        <v>5751</v>
      </c>
      <c r="B846" s="831" t="s">
        <v>5504</v>
      </c>
      <c r="C846" s="830" t="s">
        <v>1901</v>
      </c>
      <c r="D846" s="832">
        <v>33.020000000000003</v>
      </c>
    </row>
    <row r="847" spans="1:4" x14ac:dyDescent="0.3">
      <c r="A847" s="830">
        <v>5754</v>
      </c>
      <c r="B847" s="831" t="s">
        <v>5505</v>
      </c>
      <c r="C847" s="830" t="s">
        <v>1901</v>
      </c>
      <c r="D847" s="832">
        <v>36.26</v>
      </c>
    </row>
    <row r="848" spans="1:4" x14ac:dyDescent="0.3">
      <c r="A848" s="830">
        <v>5763</v>
      </c>
      <c r="B848" s="831" t="s">
        <v>3427</v>
      </c>
      <c r="C848" s="830" t="s">
        <v>1901</v>
      </c>
      <c r="D848" s="832">
        <v>51.62</v>
      </c>
    </row>
    <row r="849" spans="1:4" x14ac:dyDescent="0.3">
      <c r="A849" s="830">
        <v>5765</v>
      </c>
      <c r="B849" s="831" t="s">
        <v>5506</v>
      </c>
      <c r="C849" s="830" t="s">
        <v>1901</v>
      </c>
      <c r="D849" s="832">
        <v>4.6399999999999997</v>
      </c>
    </row>
    <row r="850" spans="1:4" x14ac:dyDescent="0.3">
      <c r="A850" s="830">
        <v>5766</v>
      </c>
      <c r="B850" s="831" t="s">
        <v>5507</v>
      </c>
      <c r="C850" s="830" t="s">
        <v>1901</v>
      </c>
      <c r="D850" s="832">
        <v>2.92</v>
      </c>
    </row>
    <row r="851" spans="1:4" x14ac:dyDescent="0.3">
      <c r="A851" s="830">
        <v>5779</v>
      </c>
      <c r="B851" s="831" t="s">
        <v>3816</v>
      </c>
      <c r="C851" s="830" t="s">
        <v>1901</v>
      </c>
      <c r="D851" s="832">
        <v>75.23</v>
      </c>
    </row>
    <row r="852" spans="1:4" x14ac:dyDescent="0.3">
      <c r="A852" s="830">
        <v>5787</v>
      </c>
      <c r="B852" s="831" t="s">
        <v>5508</v>
      </c>
      <c r="C852" s="830" t="s">
        <v>1901</v>
      </c>
      <c r="D852" s="832">
        <v>69.849999999999994</v>
      </c>
    </row>
    <row r="853" spans="1:4" x14ac:dyDescent="0.3">
      <c r="A853" s="830">
        <v>5797</v>
      </c>
      <c r="B853" s="831" t="s">
        <v>3471</v>
      </c>
      <c r="C853" s="830" t="s">
        <v>1901</v>
      </c>
      <c r="D853" s="832">
        <v>6.65</v>
      </c>
    </row>
    <row r="854" spans="1:4" x14ac:dyDescent="0.3">
      <c r="A854" s="830">
        <v>5800</v>
      </c>
      <c r="B854" s="831" t="s">
        <v>5509</v>
      </c>
      <c r="C854" s="830" t="s">
        <v>1901</v>
      </c>
      <c r="D854" s="832">
        <v>0.42</v>
      </c>
    </row>
    <row r="855" spans="1:4" x14ac:dyDescent="0.3">
      <c r="A855" s="830">
        <v>7032</v>
      </c>
      <c r="B855" s="831" t="s">
        <v>4368</v>
      </c>
      <c r="C855" s="830" t="s">
        <v>1901</v>
      </c>
      <c r="D855" s="832">
        <v>4.7</v>
      </c>
    </row>
    <row r="856" spans="1:4" x14ac:dyDescent="0.3">
      <c r="A856" s="830">
        <v>7033</v>
      </c>
      <c r="B856" s="831" t="s">
        <v>4369</v>
      </c>
      <c r="C856" s="830" t="s">
        <v>1901</v>
      </c>
      <c r="D856" s="832">
        <v>1.63</v>
      </c>
    </row>
    <row r="857" spans="1:4" x14ac:dyDescent="0.3">
      <c r="A857" s="830">
        <v>7034</v>
      </c>
      <c r="B857" s="831" t="s">
        <v>4370</v>
      </c>
      <c r="C857" s="830" t="s">
        <v>1901</v>
      </c>
      <c r="D857" s="832">
        <v>5.88</v>
      </c>
    </row>
    <row r="858" spans="1:4" x14ac:dyDescent="0.3">
      <c r="A858" s="830">
        <v>7035</v>
      </c>
      <c r="B858" s="831" t="s">
        <v>4371</v>
      </c>
      <c r="C858" s="830" t="s">
        <v>1901</v>
      </c>
      <c r="D858" s="832">
        <v>254.6</v>
      </c>
    </row>
    <row r="859" spans="1:4" x14ac:dyDescent="0.3">
      <c r="A859" s="830">
        <v>7038</v>
      </c>
      <c r="B859" s="831" t="s">
        <v>5510</v>
      </c>
      <c r="C859" s="830" t="s">
        <v>1901</v>
      </c>
      <c r="D859" s="832">
        <v>50.1</v>
      </c>
    </row>
    <row r="860" spans="1:4" x14ac:dyDescent="0.3">
      <c r="A860" s="830">
        <v>7039</v>
      </c>
      <c r="B860" s="831" t="s">
        <v>5511</v>
      </c>
      <c r="C860" s="830" t="s">
        <v>1901</v>
      </c>
      <c r="D860" s="832">
        <v>13.44</v>
      </c>
    </row>
    <row r="861" spans="1:4" x14ac:dyDescent="0.3">
      <c r="A861" s="830">
        <v>7040</v>
      </c>
      <c r="B861" s="831" t="s">
        <v>5512</v>
      </c>
      <c r="C861" s="830" t="s">
        <v>1901</v>
      </c>
      <c r="D861" s="832">
        <v>62.69</v>
      </c>
    </row>
    <row r="862" spans="1:4" x14ac:dyDescent="0.3">
      <c r="A862" s="830">
        <v>7044</v>
      </c>
      <c r="B862" s="831" t="s">
        <v>5513</v>
      </c>
      <c r="C862" s="830" t="s">
        <v>1901</v>
      </c>
      <c r="D862" s="832">
        <v>0.36</v>
      </c>
    </row>
    <row r="863" spans="1:4" x14ac:dyDescent="0.3">
      <c r="A863" s="830">
        <v>7045</v>
      </c>
      <c r="B863" s="831" t="s">
        <v>5514</v>
      </c>
      <c r="C863" s="830" t="s">
        <v>1901</v>
      </c>
      <c r="D863" s="832">
        <v>0.08</v>
      </c>
    </row>
    <row r="864" spans="1:4" x14ac:dyDescent="0.3">
      <c r="A864" s="830">
        <v>7046</v>
      </c>
      <c r="B864" s="831" t="s">
        <v>5515</v>
      </c>
      <c r="C864" s="830" t="s">
        <v>1901</v>
      </c>
      <c r="D864" s="832">
        <v>0.4</v>
      </c>
    </row>
    <row r="865" spans="1:4" x14ac:dyDescent="0.3">
      <c r="A865" s="830">
        <v>7047</v>
      </c>
      <c r="B865" s="831" t="s">
        <v>5516</v>
      </c>
      <c r="C865" s="830" t="s">
        <v>1901</v>
      </c>
      <c r="D865" s="832">
        <v>24.76</v>
      </c>
    </row>
    <row r="866" spans="1:4" x14ac:dyDescent="0.3">
      <c r="A866" s="830">
        <v>7051</v>
      </c>
      <c r="B866" s="831" t="s">
        <v>5517</v>
      </c>
      <c r="C866" s="830" t="s">
        <v>1901</v>
      </c>
      <c r="D866" s="832">
        <v>44.43</v>
      </c>
    </row>
    <row r="867" spans="1:4" x14ac:dyDescent="0.3">
      <c r="A867" s="830">
        <v>7052</v>
      </c>
      <c r="B867" s="831" t="s">
        <v>5518</v>
      </c>
      <c r="C867" s="830" t="s">
        <v>1901</v>
      </c>
      <c r="D867" s="832">
        <v>12</v>
      </c>
    </row>
    <row r="868" spans="1:4" x14ac:dyDescent="0.3">
      <c r="A868" s="830">
        <v>7053</v>
      </c>
      <c r="B868" s="831" t="s">
        <v>5519</v>
      </c>
      <c r="C868" s="830" t="s">
        <v>1901</v>
      </c>
      <c r="D868" s="832">
        <v>55.61</v>
      </c>
    </row>
    <row r="869" spans="1:4" x14ac:dyDescent="0.3">
      <c r="A869" s="830">
        <v>7054</v>
      </c>
      <c r="B869" s="831" t="s">
        <v>5520</v>
      </c>
      <c r="C869" s="830" t="s">
        <v>1901</v>
      </c>
      <c r="D869" s="832">
        <v>88.62</v>
      </c>
    </row>
    <row r="870" spans="1:4" x14ac:dyDescent="0.3">
      <c r="A870" s="830">
        <v>7058</v>
      </c>
      <c r="B870" s="831" t="s">
        <v>5521</v>
      </c>
      <c r="C870" s="830" t="s">
        <v>1901</v>
      </c>
      <c r="D870" s="832">
        <v>22.97</v>
      </c>
    </row>
    <row r="871" spans="1:4" x14ac:dyDescent="0.3">
      <c r="A871" s="830">
        <v>7059</v>
      </c>
      <c r="B871" s="831" t="s">
        <v>5522</v>
      </c>
      <c r="C871" s="830" t="s">
        <v>1901</v>
      </c>
      <c r="D871" s="832">
        <v>8.84</v>
      </c>
    </row>
    <row r="872" spans="1:4" x14ac:dyDescent="0.3">
      <c r="A872" s="830">
        <v>7060</v>
      </c>
      <c r="B872" s="831" t="s">
        <v>5523</v>
      </c>
      <c r="C872" s="830" t="s">
        <v>1901</v>
      </c>
      <c r="D872" s="832">
        <v>41.4</v>
      </c>
    </row>
    <row r="873" spans="1:4" x14ac:dyDescent="0.3">
      <c r="A873" s="830">
        <v>7061</v>
      </c>
      <c r="B873" s="831" t="s">
        <v>5524</v>
      </c>
      <c r="C873" s="830" t="s">
        <v>1901</v>
      </c>
      <c r="D873" s="832">
        <v>80.900000000000006</v>
      </c>
    </row>
    <row r="874" spans="1:4" x14ac:dyDescent="0.3">
      <c r="A874" s="830">
        <v>7063</v>
      </c>
      <c r="B874" s="831" t="s">
        <v>5525</v>
      </c>
      <c r="C874" s="830" t="s">
        <v>1901</v>
      </c>
      <c r="D874" s="832">
        <v>19.96</v>
      </c>
    </row>
    <row r="875" spans="1:4" x14ac:dyDescent="0.3">
      <c r="A875" s="830">
        <v>7064</v>
      </c>
      <c r="B875" s="831" t="s">
        <v>5526</v>
      </c>
      <c r="C875" s="830" t="s">
        <v>1901</v>
      </c>
      <c r="D875" s="832">
        <v>5.39</v>
      </c>
    </row>
    <row r="876" spans="1:4" x14ac:dyDescent="0.3">
      <c r="A876" s="830">
        <v>7065</v>
      </c>
      <c r="B876" s="831" t="s">
        <v>5527</v>
      </c>
      <c r="C876" s="830" t="s">
        <v>1901</v>
      </c>
      <c r="D876" s="832">
        <v>21.83</v>
      </c>
    </row>
    <row r="877" spans="1:4" x14ac:dyDescent="0.3">
      <c r="A877" s="830">
        <v>7066</v>
      </c>
      <c r="B877" s="831" t="s">
        <v>5528</v>
      </c>
      <c r="C877" s="830" t="s">
        <v>1901</v>
      </c>
      <c r="D877" s="832">
        <v>95.99</v>
      </c>
    </row>
    <row r="878" spans="1:4" x14ac:dyDescent="0.3">
      <c r="A878" s="830">
        <v>53786</v>
      </c>
      <c r="B878" s="831" t="s">
        <v>3933</v>
      </c>
      <c r="C878" s="830" t="s">
        <v>1901</v>
      </c>
      <c r="D878" s="832">
        <v>50.66</v>
      </c>
    </row>
    <row r="879" spans="1:4" x14ac:dyDescent="0.3">
      <c r="A879" s="830">
        <v>53788</v>
      </c>
      <c r="B879" s="831" t="s">
        <v>3963</v>
      </c>
      <c r="C879" s="830" t="s">
        <v>1901</v>
      </c>
      <c r="D879" s="832">
        <v>56.72</v>
      </c>
    </row>
    <row r="880" spans="1:4" x14ac:dyDescent="0.3">
      <c r="A880" s="830">
        <v>53792</v>
      </c>
      <c r="B880" s="831" t="s">
        <v>4322</v>
      </c>
      <c r="C880" s="830" t="s">
        <v>1901</v>
      </c>
      <c r="D880" s="832">
        <v>100.56</v>
      </c>
    </row>
    <row r="881" spans="1:4" x14ac:dyDescent="0.3">
      <c r="A881" s="830">
        <v>53794</v>
      </c>
      <c r="B881" s="831" t="s">
        <v>5529</v>
      </c>
      <c r="C881" s="830" t="s">
        <v>1901</v>
      </c>
      <c r="D881" s="832">
        <v>35.619999999999997</v>
      </c>
    </row>
    <row r="882" spans="1:4" x14ac:dyDescent="0.3">
      <c r="A882" s="830">
        <v>53797</v>
      </c>
      <c r="B882" s="831" t="s">
        <v>5530</v>
      </c>
      <c r="C882" s="830" t="s">
        <v>1901</v>
      </c>
      <c r="D882" s="832">
        <v>115.65</v>
      </c>
    </row>
    <row r="883" spans="1:4" x14ac:dyDescent="0.3">
      <c r="A883" s="830">
        <v>53804</v>
      </c>
      <c r="B883" s="831" t="s">
        <v>5531</v>
      </c>
      <c r="C883" s="830" t="s">
        <v>1901</v>
      </c>
      <c r="D883" s="832">
        <v>4.6399999999999997</v>
      </c>
    </row>
    <row r="884" spans="1:4" x14ac:dyDescent="0.3">
      <c r="A884" s="830">
        <v>53806</v>
      </c>
      <c r="B884" s="831" t="s">
        <v>4064</v>
      </c>
      <c r="C884" s="830" t="s">
        <v>1901</v>
      </c>
      <c r="D884" s="832">
        <v>77.36</v>
      </c>
    </row>
    <row r="885" spans="1:4" x14ac:dyDescent="0.3">
      <c r="A885" s="830">
        <v>53810</v>
      </c>
      <c r="B885" s="831" t="s">
        <v>4054</v>
      </c>
      <c r="C885" s="830" t="s">
        <v>1901</v>
      </c>
      <c r="D885" s="832">
        <v>77.84</v>
      </c>
    </row>
    <row r="886" spans="1:4" x14ac:dyDescent="0.3">
      <c r="A886" s="830">
        <v>53814</v>
      </c>
      <c r="B886" s="831" t="s">
        <v>5532</v>
      </c>
      <c r="C886" s="830" t="s">
        <v>1901</v>
      </c>
      <c r="D886" s="832">
        <v>254.96</v>
      </c>
    </row>
    <row r="887" spans="1:4" x14ac:dyDescent="0.3">
      <c r="A887" s="830">
        <v>53817</v>
      </c>
      <c r="B887" s="831" t="s">
        <v>4044</v>
      </c>
      <c r="C887" s="830" t="s">
        <v>1901</v>
      </c>
      <c r="D887" s="832">
        <v>62.01</v>
      </c>
    </row>
    <row r="888" spans="1:4" x14ac:dyDescent="0.3">
      <c r="A888" s="830">
        <v>53818</v>
      </c>
      <c r="B888" s="831" t="s">
        <v>3979</v>
      </c>
      <c r="C888" s="830" t="s">
        <v>1901</v>
      </c>
      <c r="D888" s="832">
        <v>9.67</v>
      </c>
    </row>
    <row r="889" spans="1:4" x14ac:dyDescent="0.3">
      <c r="A889" s="830">
        <v>53827</v>
      </c>
      <c r="B889" s="831" t="s">
        <v>5533</v>
      </c>
      <c r="C889" s="830" t="s">
        <v>1901</v>
      </c>
      <c r="D889" s="832">
        <v>113.21</v>
      </c>
    </row>
    <row r="890" spans="1:4" x14ac:dyDescent="0.3">
      <c r="A890" s="830">
        <v>53829</v>
      </c>
      <c r="B890" s="831" t="s">
        <v>5534</v>
      </c>
      <c r="C890" s="830" t="s">
        <v>1901</v>
      </c>
      <c r="D890" s="832">
        <v>115.65</v>
      </c>
    </row>
    <row r="891" spans="1:4" x14ac:dyDescent="0.3">
      <c r="A891" s="830">
        <v>53831</v>
      </c>
      <c r="B891" s="831" t="s">
        <v>3425</v>
      </c>
      <c r="C891" s="830" t="s">
        <v>1901</v>
      </c>
      <c r="D891" s="832">
        <v>191.03</v>
      </c>
    </row>
    <row r="892" spans="1:4" x14ac:dyDescent="0.3">
      <c r="A892" s="830">
        <v>53840</v>
      </c>
      <c r="B892" s="831" t="s">
        <v>3696</v>
      </c>
      <c r="C892" s="830" t="s">
        <v>1901</v>
      </c>
      <c r="D892" s="832">
        <v>2.52</v>
      </c>
    </row>
    <row r="893" spans="1:4" x14ac:dyDescent="0.3">
      <c r="A893" s="830">
        <v>53841</v>
      </c>
      <c r="B893" s="831" t="s">
        <v>3700</v>
      </c>
      <c r="C893" s="830" t="s">
        <v>1901</v>
      </c>
      <c r="D893" s="832">
        <v>1.75</v>
      </c>
    </row>
    <row r="894" spans="1:4" x14ac:dyDescent="0.3">
      <c r="A894" s="830">
        <v>53849</v>
      </c>
      <c r="B894" s="831" t="s">
        <v>3814</v>
      </c>
      <c r="C894" s="830" t="s">
        <v>1901</v>
      </c>
      <c r="D894" s="832">
        <v>83.1</v>
      </c>
    </row>
    <row r="895" spans="1:4" x14ac:dyDescent="0.3">
      <c r="A895" s="830">
        <v>53857</v>
      </c>
      <c r="B895" s="831" t="s">
        <v>3917</v>
      </c>
      <c r="C895" s="830" t="s">
        <v>1901</v>
      </c>
      <c r="D895" s="832">
        <v>46.55</v>
      </c>
    </row>
    <row r="896" spans="1:4" x14ac:dyDescent="0.3">
      <c r="A896" s="830">
        <v>53858</v>
      </c>
      <c r="B896" s="831" t="s">
        <v>3919</v>
      </c>
      <c r="C896" s="830" t="s">
        <v>1901</v>
      </c>
      <c r="D896" s="832">
        <v>45.38</v>
      </c>
    </row>
    <row r="897" spans="1:4" x14ac:dyDescent="0.3">
      <c r="A897" s="830">
        <v>53861</v>
      </c>
      <c r="B897" s="831" t="s">
        <v>5535</v>
      </c>
      <c r="C897" s="830" t="s">
        <v>1901</v>
      </c>
      <c r="D897" s="832">
        <v>64.540000000000006</v>
      </c>
    </row>
    <row r="898" spans="1:4" x14ac:dyDescent="0.3">
      <c r="A898" s="830">
        <v>53863</v>
      </c>
      <c r="B898" s="831" t="s">
        <v>3804</v>
      </c>
      <c r="C898" s="830" t="s">
        <v>1901</v>
      </c>
      <c r="D898" s="832">
        <v>2.19</v>
      </c>
    </row>
    <row r="899" spans="1:4" x14ac:dyDescent="0.3">
      <c r="A899" s="830">
        <v>53865</v>
      </c>
      <c r="B899" s="831" t="s">
        <v>3469</v>
      </c>
      <c r="C899" s="830" t="s">
        <v>1901</v>
      </c>
      <c r="D899" s="832">
        <v>46.8</v>
      </c>
    </row>
    <row r="900" spans="1:4" x14ac:dyDescent="0.3">
      <c r="A900" s="830">
        <v>53866</v>
      </c>
      <c r="B900" s="831" t="s">
        <v>5536</v>
      </c>
      <c r="C900" s="830" t="s">
        <v>1901</v>
      </c>
      <c r="D900" s="832">
        <v>1.39</v>
      </c>
    </row>
    <row r="901" spans="1:4" x14ac:dyDescent="0.3">
      <c r="A901" s="830">
        <v>53882</v>
      </c>
      <c r="B901" s="831" t="s">
        <v>2537</v>
      </c>
      <c r="C901" s="830" t="s">
        <v>1901</v>
      </c>
      <c r="D901" s="832">
        <v>36.880000000000003</v>
      </c>
    </row>
    <row r="902" spans="1:4" x14ac:dyDescent="0.3">
      <c r="A902" s="830">
        <v>55263</v>
      </c>
      <c r="B902" s="831" t="s">
        <v>5537</v>
      </c>
      <c r="C902" s="830" t="s">
        <v>1901</v>
      </c>
      <c r="D902" s="832">
        <v>63.97</v>
      </c>
    </row>
    <row r="903" spans="1:4" x14ac:dyDescent="0.3">
      <c r="A903" s="830">
        <v>73303</v>
      </c>
      <c r="B903" s="831" t="s">
        <v>2549</v>
      </c>
      <c r="C903" s="830" t="s">
        <v>1901</v>
      </c>
      <c r="D903" s="832">
        <v>7.15</v>
      </c>
    </row>
    <row r="904" spans="1:4" x14ac:dyDescent="0.3">
      <c r="A904" s="830">
        <v>73307</v>
      </c>
      <c r="B904" s="831" t="s">
        <v>2551</v>
      </c>
      <c r="C904" s="830" t="s">
        <v>1901</v>
      </c>
      <c r="D904" s="832">
        <v>6.38</v>
      </c>
    </row>
    <row r="905" spans="1:4" x14ac:dyDescent="0.3">
      <c r="A905" s="830">
        <v>73309</v>
      </c>
      <c r="B905" s="831" t="s">
        <v>3969</v>
      </c>
      <c r="C905" s="830" t="s">
        <v>1901</v>
      </c>
      <c r="D905" s="832">
        <v>33.33</v>
      </c>
    </row>
    <row r="906" spans="1:4" x14ac:dyDescent="0.3">
      <c r="A906" s="830">
        <v>73311</v>
      </c>
      <c r="B906" s="831" t="s">
        <v>2553</v>
      </c>
      <c r="C906" s="830" t="s">
        <v>1901</v>
      </c>
      <c r="D906" s="832">
        <v>176.83</v>
      </c>
    </row>
    <row r="907" spans="1:4" x14ac:dyDescent="0.3">
      <c r="A907" s="830">
        <v>73313</v>
      </c>
      <c r="B907" s="831" t="s">
        <v>3971</v>
      </c>
      <c r="C907" s="830" t="s">
        <v>1901</v>
      </c>
      <c r="D907" s="832">
        <v>9</v>
      </c>
    </row>
    <row r="908" spans="1:4" x14ac:dyDescent="0.3">
      <c r="A908" s="830">
        <v>73315</v>
      </c>
      <c r="B908" s="831" t="s">
        <v>3975</v>
      </c>
      <c r="C908" s="830" t="s">
        <v>1901</v>
      </c>
      <c r="D908" s="832">
        <v>56.72</v>
      </c>
    </row>
    <row r="909" spans="1:4" x14ac:dyDescent="0.3">
      <c r="A909" s="830">
        <v>73335</v>
      </c>
      <c r="B909" s="831" t="s">
        <v>5538</v>
      </c>
      <c r="C909" s="830" t="s">
        <v>1901</v>
      </c>
      <c r="D909" s="832">
        <v>35.090000000000003</v>
      </c>
    </row>
    <row r="910" spans="1:4" x14ac:dyDescent="0.3">
      <c r="A910" s="830">
        <v>73340</v>
      </c>
      <c r="B910" s="831" t="s">
        <v>5539</v>
      </c>
      <c r="C910" s="830" t="s">
        <v>1901</v>
      </c>
      <c r="D910" s="832">
        <v>153.66</v>
      </c>
    </row>
    <row r="911" spans="1:4" x14ac:dyDescent="0.3">
      <c r="A911" s="830">
        <v>83361</v>
      </c>
      <c r="B911" s="831" t="s">
        <v>5540</v>
      </c>
      <c r="C911" s="830" t="s">
        <v>1901</v>
      </c>
      <c r="D911" s="832">
        <v>42.81</v>
      </c>
    </row>
    <row r="912" spans="1:4" x14ac:dyDescent="0.3">
      <c r="A912" s="830">
        <v>83761</v>
      </c>
      <c r="B912" s="831" t="s">
        <v>3704</v>
      </c>
      <c r="C912" s="830" t="s">
        <v>1901</v>
      </c>
      <c r="D912" s="832">
        <v>9.52</v>
      </c>
    </row>
    <row r="913" spans="1:4" x14ac:dyDescent="0.3">
      <c r="A913" s="830">
        <v>83762</v>
      </c>
      <c r="B913" s="831" t="s">
        <v>3706</v>
      </c>
      <c r="C913" s="830" t="s">
        <v>1901</v>
      </c>
      <c r="D913" s="832">
        <v>8.5</v>
      </c>
    </row>
    <row r="914" spans="1:4" x14ac:dyDescent="0.3">
      <c r="A914" s="830">
        <v>83763</v>
      </c>
      <c r="B914" s="831" t="s">
        <v>3708</v>
      </c>
      <c r="C914" s="830" t="s">
        <v>1901</v>
      </c>
      <c r="D914" s="832">
        <v>49.83</v>
      </c>
    </row>
    <row r="915" spans="1:4" x14ac:dyDescent="0.3">
      <c r="A915" s="830">
        <v>83764</v>
      </c>
      <c r="B915" s="831" t="s">
        <v>3710</v>
      </c>
      <c r="C915" s="830" t="s">
        <v>1901</v>
      </c>
      <c r="D915" s="832">
        <v>3.35</v>
      </c>
    </row>
    <row r="916" spans="1:4" x14ac:dyDescent="0.3">
      <c r="A916" s="830">
        <v>87026</v>
      </c>
      <c r="B916" s="831" t="s">
        <v>3698</v>
      </c>
      <c r="C916" s="830" t="s">
        <v>1901</v>
      </c>
      <c r="D916" s="832">
        <v>0.69</v>
      </c>
    </row>
    <row r="917" spans="1:4" x14ac:dyDescent="0.3">
      <c r="A917" s="830">
        <v>87441</v>
      </c>
      <c r="B917" s="831" t="s">
        <v>5541</v>
      </c>
      <c r="C917" s="830" t="s">
        <v>1901</v>
      </c>
      <c r="D917" s="832">
        <v>0.45</v>
      </c>
    </row>
    <row r="918" spans="1:4" x14ac:dyDescent="0.3">
      <c r="A918" s="830">
        <v>87442</v>
      </c>
      <c r="B918" s="831" t="s">
        <v>5542</v>
      </c>
      <c r="C918" s="830" t="s">
        <v>1901</v>
      </c>
      <c r="D918" s="832">
        <v>0.1</v>
      </c>
    </row>
    <row r="919" spans="1:4" x14ac:dyDescent="0.3">
      <c r="A919" s="830">
        <v>87443</v>
      </c>
      <c r="B919" s="831" t="s">
        <v>5543</v>
      </c>
      <c r="C919" s="830" t="s">
        <v>1901</v>
      </c>
      <c r="D919" s="832">
        <v>0.56000000000000005</v>
      </c>
    </row>
    <row r="920" spans="1:4" x14ac:dyDescent="0.3">
      <c r="A920" s="830">
        <v>87444</v>
      </c>
      <c r="B920" s="831" t="s">
        <v>5544</v>
      </c>
      <c r="C920" s="830" t="s">
        <v>1901</v>
      </c>
      <c r="D920" s="832">
        <v>4.1500000000000004</v>
      </c>
    </row>
    <row r="921" spans="1:4" x14ac:dyDescent="0.3">
      <c r="A921" s="830">
        <v>88387</v>
      </c>
      <c r="B921" s="831" t="s">
        <v>5545</v>
      </c>
      <c r="C921" s="830" t="s">
        <v>1901</v>
      </c>
      <c r="D921" s="832">
        <v>0.88</v>
      </c>
    </row>
    <row r="922" spans="1:4" x14ac:dyDescent="0.3">
      <c r="A922" s="830">
        <v>88389</v>
      </c>
      <c r="B922" s="831" t="s">
        <v>5546</v>
      </c>
      <c r="C922" s="830" t="s">
        <v>1901</v>
      </c>
      <c r="D922" s="832">
        <v>0.2</v>
      </c>
    </row>
    <row r="923" spans="1:4" x14ac:dyDescent="0.3">
      <c r="A923" s="830">
        <v>88390</v>
      </c>
      <c r="B923" s="831" t="s">
        <v>5547</v>
      </c>
      <c r="C923" s="830" t="s">
        <v>1901</v>
      </c>
      <c r="D923" s="832">
        <v>0.96</v>
      </c>
    </row>
    <row r="924" spans="1:4" x14ac:dyDescent="0.3">
      <c r="A924" s="830">
        <v>88391</v>
      </c>
      <c r="B924" s="831" t="s">
        <v>5548</v>
      </c>
      <c r="C924" s="830" t="s">
        <v>1901</v>
      </c>
      <c r="D924" s="832">
        <v>2.25</v>
      </c>
    </row>
    <row r="925" spans="1:4" x14ac:dyDescent="0.3">
      <c r="A925" s="830">
        <v>88394</v>
      </c>
      <c r="B925" s="831" t="s">
        <v>5549</v>
      </c>
      <c r="C925" s="830" t="s">
        <v>1901</v>
      </c>
      <c r="D925" s="832">
        <v>1.04</v>
      </c>
    </row>
    <row r="926" spans="1:4" x14ac:dyDescent="0.3">
      <c r="A926" s="830">
        <v>88395</v>
      </c>
      <c r="B926" s="831" t="s">
        <v>5550</v>
      </c>
      <c r="C926" s="830" t="s">
        <v>1901</v>
      </c>
      <c r="D926" s="832">
        <v>0.24</v>
      </c>
    </row>
    <row r="927" spans="1:4" x14ac:dyDescent="0.3">
      <c r="A927" s="830">
        <v>88396</v>
      </c>
      <c r="B927" s="831" t="s">
        <v>5551</v>
      </c>
      <c r="C927" s="830" t="s">
        <v>1901</v>
      </c>
      <c r="D927" s="832">
        <v>1.1399999999999999</v>
      </c>
    </row>
    <row r="928" spans="1:4" x14ac:dyDescent="0.3">
      <c r="A928" s="830">
        <v>88397</v>
      </c>
      <c r="B928" s="831" t="s">
        <v>5552</v>
      </c>
      <c r="C928" s="830" t="s">
        <v>1901</v>
      </c>
      <c r="D928" s="832">
        <v>3.37</v>
      </c>
    </row>
    <row r="929" spans="1:4" x14ac:dyDescent="0.3">
      <c r="A929" s="830">
        <v>88400</v>
      </c>
      <c r="B929" s="831" t="s">
        <v>5553</v>
      </c>
      <c r="C929" s="830" t="s">
        <v>1901</v>
      </c>
      <c r="D929" s="832">
        <v>0.83</v>
      </c>
    </row>
    <row r="930" spans="1:4" x14ac:dyDescent="0.3">
      <c r="A930" s="830">
        <v>88401</v>
      </c>
      <c r="B930" s="831" t="s">
        <v>5554</v>
      </c>
      <c r="C930" s="830" t="s">
        <v>1901</v>
      </c>
      <c r="D930" s="832">
        <v>0.19</v>
      </c>
    </row>
    <row r="931" spans="1:4" x14ac:dyDescent="0.3">
      <c r="A931" s="830">
        <v>88402</v>
      </c>
      <c r="B931" s="831" t="s">
        <v>5555</v>
      </c>
      <c r="C931" s="830" t="s">
        <v>1901</v>
      </c>
      <c r="D931" s="832">
        <v>0.91</v>
      </c>
    </row>
    <row r="932" spans="1:4" x14ac:dyDescent="0.3">
      <c r="A932" s="830">
        <v>88403</v>
      </c>
      <c r="B932" s="831" t="s">
        <v>5556</v>
      </c>
      <c r="C932" s="830" t="s">
        <v>1901</v>
      </c>
      <c r="D932" s="832">
        <v>1.35</v>
      </c>
    </row>
    <row r="933" spans="1:4" x14ac:dyDescent="0.3">
      <c r="A933" s="830">
        <v>88419</v>
      </c>
      <c r="B933" s="831" t="s">
        <v>5557</v>
      </c>
      <c r="C933" s="830" t="s">
        <v>1901</v>
      </c>
      <c r="D933" s="832">
        <v>5.42</v>
      </c>
    </row>
    <row r="934" spans="1:4" x14ac:dyDescent="0.3">
      <c r="A934" s="830">
        <v>88422</v>
      </c>
      <c r="B934" s="831" t="s">
        <v>5558</v>
      </c>
      <c r="C934" s="830" t="s">
        <v>1901</v>
      </c>
      <c r="D934" s="832">
        <v>1.25</v>
      </c>
    </row>
    <row r="935" spans="1:4" x14ac:dyDescent="0.3">
      <c r="A935" s="830">
        <v>88425</v>
      </c>
      <c r="B935" s="831" t="s">
        <v>5559</v>
      </c>
      <c r="C935" s="830" t="s">
        <v>1901</v>
      </c>
      <c r="D935" s="832">
        <v>6.78</v>
      </c>
    </row>
    <row r="936" spans="1:4" x14ac:dyDescent="0.3">
      <c r="A936" s="830">
        <v>88427</v>
      </c>
      <c r="B936" s="831" t="s">
        <v>5560</v>
      </c>
      <c r="C936" s="830" t="s">
        <v>1901</v>
      </c>
      <c r="D936" s="832">
        <v>0.76</v>
      </c>
    </row>
    <row r="937" spans="1:4" x14ac:dyDescent="0.3">
      <c r="A937" s="830">
        <v>88434</v>
      </c>
      <c r="B937" s="831" t="s">
        <v>5561</v>
      </c>
      <c r="C937" s="830" t="s">
        <v>1901</v>
      </c>
      <c r="D937" s="832">
        <v>7.19</v>
      </c>
    </row>
    <row r="938" spans="1:4" x14ac:dyDescent="0.3">
      <c r="A938" s="830">
        <v>88435</v>
      </c>
      <c r="B938" s="831" t="s">
        <v>5562</v>
      </c>
      <c r="C938" s="830" t="s">
        <v>1901</v>
      </c>
      <c r="D938" s="832">
        <v>1.66</v>
      </c>
    </row>
    <row r="939" spans="1:4" x14ac:dyDescent="0.3">
      <c r="A939" s="830">
        <v>88436</v>
      </c>
      <c r="B939" s="831" t="s">
        <v>5563</v>
      </c>
      <c r="C939" s="830" t="s">
        <v>1901</v>
      </c>
      <c r="D939" s="832">
        <v>8.99</v>
      </c>
    </row>
    <row r="940" spans="1:4" x14ac:dyDescent="0.3">
      <c r="A940" s="830">
        <v>88437</v>
      </c>
      <c r="B940" s="831" t="s">
        <v>5564</v>
      </c>
      <c r="C940" s="830" t="s">
        <v>1901</v>
      </c>
      <c r="D940" s="832">
        <v>0.76</v>
      </c>
    </row>
    <row r="941" spans="1:4" x14ac:dyDescent="0.3">
      <c r="A941" s="830">
        <v>88569</v>
      </c>
      <c r="B941" s="831" t="s">
        <v>5565</v>
      </c>
      <c r="C941" s="830" t="s">
        <v>1901</v>
      </c>
      <c r="D941" s="832">
        <v>3.71</v>
      </c>
    </row>
    <row r="942" spans="1:4" x14ac:dyDescent="0.3">
      <c r="A942" s="830">
        <v>88570</v>
      </c>
      <c r="B942" s="831" t="s">
        <v>5566</v>
      </c>
      <c r="C942" s="830" t="s">
        <v>1901</v>
      </c>
      <c r="D942" s="832">
        <v>1.28</v>
      </c>
    </row>
    <row r="943" spans="1:4" x14ac:dyDescent="0.3">
      <c r="A943" s="830">
        <v>88826</v>
      </c>
      <c r="B943" s="831" t="s">
        <v>4313</v>
      </c>
      <c r="C943" s="830" t="s">
        <v>1901</v>
      </c>
      <c r="D943" s="832">
        <v>0.33</v>
      </c>
    </row>
    <row r="944" spans="1:4" x14ac:dyDescent="0.3">
      <c r="A944" s="830">
        <v>88827</v>
      </c>
      <c r="B944" s="831" t="s">
        <v>4314</v>
      </c>
      <c r="C944" s="830" t="s">
        <v>1901</v>
      </c>
      <c r="D944" s="832">
        <v>7.0000000000000007E-2</v>
      </c>
    </row>
    <row r="945" spans="1:4" x14ac:dyDescent="0.3">
      <c r="A945" s="830">
        <v>88828</v>
      </c>
      <c r="B945" s="831" t="s">
        <v>4315</v>
      </c>
      <c r="C945" s="830" t="s">
        <v>1901</v>
      </c>
      <c r="D945" s="832">
        <v>0.36</v>
      </c>
    </row>
    <row r="946" spans="1:4" x14ac:dyDescent="0.3">
      <c r="A946" s="830">
        <v>88829</v>
      </c>
      <c r="B946" s="831" t="s">
        <v>4316</v>
      </c>
      <c r="C946" s="830" t="s">
        <v>1901</v>
      </c>
      <c r="D946" s="832">
        <v>0.9</v>
      </c>
    </row>
    <row r="947" spans="1:4" x14ac:dyDescent="0.3">
      <c r="A947" s="830">
        <v>88839</v>
      </c>
      <c r="B947" s="831" t="s">
        <v>5567</v>
      </c>
      <c r="C947" s="830" t="s">
        <v>1901</v>
      </c>
      <c r="D947" s="832">
        <v>35.15</v>
      </c>
    </row>
    <row r="948" spans="1:4" x14ac:dyDescent="0.3">
      <c r="A948" s="830">
        <v>88840</v>
      </c>
      <c r="B948" s="831" t="s">
        <v>5568</v>
      </c>
      <c r="C948" s="830" t="s">
        <v>1901</v>
      </c>
      <c r="D948" s="832">
        <v>15.48</v>
      </c>
    </row>
    <row r="949" spans="1:4" x14ac:dyDescent="0.3">
      <c r="A949" s="830">
        <v>88841</v>
      </c>
      <c r="B949" s="831" t="s">
        <v>5569</v>
      </c>
      <c r="C949" s="830" t="s">
        <v>1901</v>
      </c>
      <c r="D949" s="832">
        <v>62.84</v>
      </c>
    </row>
    <row r="950" spans="1:4" x14ac:dyDescent="0.3">
      <c r="A950" s="830">
        <v>88842</v>
      </c>
      <c r="B950" s="831" t="s">
        <v>5570</v>
      </c>
      <c r="C950" s="830" t="s">
        <v>1901</v>
      </c>
      <c r="D950" s="832">
        <v>77.569999999999993</v>
      </c>
    </row>
    <row r="951" spans="1:4" x14ac:dyDescent="0.3">
      <c r="A951" s="830">
        <v>88847</v>
      </c>
      <c r="B951" s="831" t="s">
        <v>5571</v>
      </c>
      <c r="C951" s="830" t="s">
        <v>1901</v>
      </c>
      <c r="D951" s="832">
        <v>22.82</v>
      </c>
    </row>
    <row r="952" spans="1:4" x14ac:dyDescent="0.3">
      <c r="A952" s="830">
        <v>88848</v>
      </c>
      <c r="B952" s="831" t="s">
        <v>5572</v>
      </c>
      <c r="C952" s="830" t="s">
        <v>1901</v>
      </c>
      <c r="D952" s="832">
        <v>9.3800000000000008</v>
      </c>
    </row>
    <row r="953" spans="1:4" x14ac:dyDescent="0.3">
      <c r="A953" s="830">
        <v>88853</v>
      </c>
      <c r="B953" s="831" t="s">
        <v>5573</v>
      </c>
      <c r="C953" s="830" t="s">
        <v>1901</v>
      </c>
      <c r="D953" s="832">
        <v>0.28999999999999998</v>
      </c>
    </row>
    <row r="954" spans="1:4" x14ac:dyDescent="0.3">
      <c r="A954" s="830">
        <v>88854</v>
      </c>
      <c r="B954" s="831" t="s">
        <v>5574</v>
      </c>
      <c r="C954" s="830" t="s">
        <v>1901</v>
      </c>
      <c r="D954" s="832">
        <v>0.06</v>
      </c>
    </row>
    <row r="955" spans="1:4" x14ac:dyDescent="0.3">
      <c r="A955" s="830">
        <v>88855</v>
      </c>
      <c r="B955" s="831" t="s">
        <v>5575</v>
      </c>
      <c r="C955" s="830" t="s">
        <v>1901</v>
      </c>
      <c r="D955" s="832">
        <v>3.21</v>
      </c>
    </row>
    <row r="956" spans="1:4" x14ac:dyDescent="0.3">
      <c r="A956" s="830">
        <v>88856</v>
      </c>
      <c r="B956" s="831" t="s">
        <v>5576</v>
      </c>
      <c r="C956" s="830" t="s">
        <v>1901</v>
      </c>
      <c r="D956" s="832">
        <v>0.88</v>
      </c>
    </row>
    <row r="957" spans="1:4" x14ac:dyDescent="0.3">
      <c r="A957" s="830">
        <v>88857</v>
      </c>
      <c r="B957" s="831" t="s">
        <v>3929</v>
      </c>
      <c r="C957" s="830" t="s">
        <v>1901</v>
      </c>
      <c r="D957" s="832">
        <v>25.54</v>
      </c>
    </row>
    <row r="958" spans="1:4" x14ac:dyDescent="0.3">
      <c r="A958" s="830">
        <v>88858</v>
      </c>
      <c r="B958" s="831" t="s">
        <v>3931</v>
      </c>
      <c r="C958" s="830" t="s">
        <v>1901</v>
      </c>
      <c r="D958" s="832">
        <v>6.75</v>
      </c>
    </row>
    <row r="959" spans="1:4" x14ac:dyDescent="0.3">
      <c r="A959" s="830">
        <v>88859</v>
      </c>
      <c r="B959" s="831" t="s">
        <v>5577</v>
      </c>
      <c r="C959" s="830" t="s">
        <v>1901</v>
      </c>
      <c r="D959" s="832">
        <v>22.71</v>
      </c>
    </row>
    <row r="960" spans="1:4" x14ac:dyDescent="0.3">
      <c r="A960" s="830">
        <v>88860</v>
      </c>
      <c r="B960" s="831" t="s">
        <v>5578</v>
      </c>
      <c r="C960" s="830" t="s">
        <v>1901</v>
      </c>
      <c r="D960" s="832">
        <v>6</v>
      </c>
    </row>
    <row r="961" spans="1:4" x14ac:dyDescent="0.3">
      <c r="A961" s="830">
        <v>88900</v>
      </c>
      <c r="B961" s="831" t="s">
        <v>3653</v>
      </c>
      <c r="C961" s="830" t="s">
        <v>1901</v>
      </c>
      <c r="D961" s="832">
        <v>52.45</v>
      </c>
    </row>
    <row r="962" spans="1:4" x14ac:dyDescent="0.3">
      <c r="A962" s="830">
        <v>88902</v>
      </c>
      <c r="B962" s="831" t="s">
        <v>3655</v>
      </c>
      <c r="C962" s="830" t="s">
        <v>1901</v>
      </c>
      <c r="D962" s="832">
        <v>13.86</v>
      </c>
    </row>
    <row r="963" spans="1:4" x14ac:dyDescent="0.3">
      <c r="A963" s="830">
        <v>88903</v>
      </c>
      <c r="B963" s="831" t="s">
        <v>3657</v>
      </c>
      <c r="C963" s="830" t="s">
        <v>1901</v>
      </c>
      <c r="D963" s="832">
        <v>65.56</v>
      </c>
    </row>
    <row r="964" spans="1:4" x14ac:dyDescent="0.3">
      <c r="A964" s="830">
        <v>88904</v>
      </c>
      <c r="B964" s="831" t="s">
        <v>3659</v>
      </c>
      <c r="C964" s="830" t="s">
        <v>1901</v>
      </c>
      <c r="D964" s="832">
        <v>89.27</v>
      </c>
    </row>
    <row r="965" spans="1:4" x14ac:dyDescent="0.3">
      <c r="A965" s="830">
        <v>89009</v>
      </c>
      <c r="B965" s="831" t="s">
        <v>4050</v>
      </c>
      <c r="C965" s="830" t="s">
        <v>1901</v>
      </c>
      <c r="D965" s="832">
        <v>43.54</v>
      </c>
    </row>
    <row r="966" spans="1:4" x14ac:dyDescent="0.3">
      <c r="A966" s="830">
        <v>89010</v>
      </c>
      <c r="B966" s="831" t="s">
        <v>4052</v>
      </c>
      <c r="C966" s="830" t="s">
        <v>1901</v>
      </c>
      <c r="D966" s="832">
        <v>19.18</v>
      </c>
    </row>
    <row r="967" spans="1:4" x14ac:dyDescent="0.3">
      <c r="A967" s="830">
        <v>89011</v>
      </c>
      <c r="B967" s="831" t="s">
        <v>5579</v>
      </c>
      <c r="C967" s="830" t="s">
        <v>1901</v>
      </c>
      <c r="D967" s="832">
        <v>24.64</v>
      </c>
    </row>
    <row r="968" spans="1:4" x14ac:dyDescent="0.3">
      <c r="A968" s="830">
        <v>89012</v>
      </c>
      <c r="B968" s="831" t="s">
        <v>5580</v>
      </c>
      <c r="C968" s="830" t="s">
        <v>1901</v>
      </c>
      <c r="D968" s="832">
        <v>6.51</v>
      </c>
    </row>
    <row r="969" spans="1:4" x14ac:dyDescent="0.3">
      <c r="A969" s="830">
        <v>89013</v>
      </c>
      <c r="B969" s="831" t="s">
        <v>5581</v>
      </c>
      <c r="C969" s="830" t="s">
        <v>1901</v>
      </c>
      <c r="D969" s="832">
        <v>142.61000000000001</v>
      </c>
    </row>
    <row r="970" spans="1:4" x14ac:dyDescent="0.3">
      <c r="A970" s="830">
        <v>89014</v>
      </c>
      <c r="B970" s="831" t="s">
        <v>5582</v>
      </c>
      <c r="C970" s="830" t="s">
        <v>1901</v>
      </c>
      <c r="D970" s="832">
        <v>62.82</v>
      </c>
    </row>
    <row r="971" spans="1:4" x14ac:dyDescent="0.3">
      <c r="A971" s="830">
        <v>89015</v>
      </c>
      <c r="B971" s="831" t="s">
        <v>5583</v>
      </c>
      <c r="C971" s="830" t="s">
        <v>1901</v>
      </c>
      <c r="D971" s="832">
        <v>3.71</v>
      </c>
    </row>
    <row r="972" spans="1:4" x14ac:dyDescent="0.3">
      <c r="A972" s="830">
        <v>89016</v>
      </c>
      <c r="B972" s="831" t="s">
        <v>5584</v>
      </c>
      <c r="C972" s="830" t="s">
        <v>1901</v>
      </c>
      <c r="D972" s="832">
        <v>0.98</v>
      </c>
    </row>
    <row r="973" spans="1:4" x14ac:dyDescent="0.3">
      <c r="A973" s="830">
        <v>89017</v>
      </c>
      <c r="B973" s="831" t="s">
        <v>4060</v>
      </c>
      <c r="C973" s="830" t="s">
        <v>1901</v>
      </c>
      <c r="D973" s="832">
        <v>43.27</v>
      </c>
    </row>
    <row r="974" spans="1:4" x14ac:dyDescent="0.3">
      <c r="A974" s="830">
        <v>89018</v>
      </c>
      <c r="B974" s="831" t="s">
        <v>4062</v>
      </c>
      <c r="C974" s="830" t="s">
        <v>1901</v>
      </c>
      <c r="D974" s="832">
        <v>19.059999999999999</v>
      </c>
    </row>
    <row r="975" spans="1:4" x14ac:dyDescent="0.3">
      <c r="A975" s="830">
        <v>89019</v>
      </c>
      <c r="B975" s="831" t="s">
        <v>5585</v>
      </c>
      <c r="C975" s="830" t="s">
        <v>1901</v>
      </c>
      <c r="D975" s="832">
        <v>0.38</v>
      </c>
    </row>
    <row r="976" spans="1:4" x14ac:dyDescent="0.3">
      <c r="A976" s="830">
        <v>89020</v>
      </c>
      <c r="B976" s="831" t="s">
        <v>5586</v>
      </c>
      <c r="C976" s="830" t="s">
        <v>1901</v>
      </c>
      <c r="D976" s="832">
        <v>0.09</v>
      </c>
    </row>
    <row r="977" spans="1:4" x14ac:dyDescent="0.3">
      <c r="A977" s="830">
        <v>89023</v>
      </c>
      <c r="B977" s="831" t="s">
        <v>5587</v>
      </c>
      <c r="C977" s="830" t="s">
        <v>1901</v>
      </c>
      <c r="D977" s="832">
        <v>3.82</v>
      </c>
    </row>
    <row r="978" spans="1:4" x14ac:dyDescent="0.3">
      <c r="A978" s="830">
        <v>89024</v>
      </c>
      <c r="B978" s="831" t="s">
        <v>5588</v>
      </c>
      <c r="C978" s="830" t="s">
        <v>1901</v>
      </c>
      <c r="D978" s="832">
        <v>1.32</v>
      </c>
    </row>
    <row r="979" spans="1:4" x14ac:dyDescent="0.3">
      <c r="A979" s="830">
        <v>89025</v>
      </c>
      <c r="B979" s="831" t="s">
        <v>5589</v>
      </c>
      <c r="C979" s="830" t="s">
        <v>1901</v>
      </c>
      <c r="D979" s="832">
        <v>4.78</v>
      </c>
    </row>
    <row r="980" spans="1:4" x14ac:dyDescent="0.3">
      <c r="A980" s="830">
        <v>89026</v>
      </c>
      <c r="B980" s="831" t="s">
        <v>5590</v>
      </c>
      <c r="C980" s="830" t="s">
        <v>1901</v>
      </c>
      <c r="D980" s="832">
        <v>169.73</v>
      </c>
    </row>
    <row r="981" spans="1:4" x14ac:dyDescent="0.3">
      <c r="A981" s="830">
        <v>89029</v>
      </c>
      <c r="B981" s="831" t="s">
        <v>4040</v>
      </c>
      <c r="C981" s="830" t="s">
        <v>1901</v>
      </c>
      <c r="D981" s="832">
        <v>33.58</v>
      </c>
    </row>
    <row r="982" spans="1:4" x14ac:dyDescent="0.3">
      <c r="A982" s="830">
        <v>89030</v>
      </c>
      <c r="B982" s="831" t="s">
        <v>4042</v>
      </c>
      <c r="C982" s="830" t="s">
        <v>1901</v>
      </c>
      <c r="D982" s="832">
        <v>14.79</v>
      </c>
    </row>
    <row r="983" spans="1:4" x14ac:dyDescent="0.3">
      <c r="A983" s="830">
        <v>89033</v>
      </c>
      <c r="B983" s="831" t="s">
        <v>4082</v>
      </c>
      <c r="C983" s="830" t="s">
        <v>1901</v>
      </c>
      <c r="D983" s="832">
        <v>14.63</v>
      </c>
    </row>
    <row r="984" spans="1:4" x14ac:dyDescent="0.3">
      <c r="A984" s="830">
        <v>89034</v>
      </c>
      <c r="B984" s="831" t="s">
        <v>4084</v>
      </c>
      <c r="C984" s="830" t="s">
        <v>1901</v>
      </c>
      <c r="D984" s="832">
        <v>3.92</v>
      </c>
    </row>
    <row r="985" spans="1:4" x14ac:dyDescent="0.3">
      <c r="A985" s="830">
        <v>89128</v>
      </c>
      <c r="B985" s="831" t="s">
        <v>3913</v>
      </c>
      <c r="C985" s="830" t="s">
        <v>1901</v>
      </c>
      <c r="D985" s="832">
        <v>37.24</v>
      </c>
    </row>
    <row r="986" spans="1:4" x14ac:dyDescent="0.3">
      <c r="A986" s="830">
        <v>89129</v>
      </c>
      <c r="B986" s="831" t="s">
        <v>3915</v>
      </c>
      <c r="C986" s="830" t="s">
        <v>1901</v>
      </c>
      <c r="D986" s="832">
        <v>9.84</v>
      </c>
    </row>
    <row r="987" spans="1:4" x14ac:dyDescent="0.3">
      <c r="A987" s="830">
        <v>89130</v>
      </c>
      <c r="B987" s="831" t="s">
        <v>5591</v>
      </c>
      <c r="C987" s="830" t="s">
        <v>1901</v>
      </c>
      <c r="D987" s="832">
        <v>51.63</v>
      </c>
    </row>
    <row r="988" spans="1:4" x14ac:dyDescent="0.3">
      <c r="A988" s="830">
        <v>89131</v>
      </c>
      <c r="B988" s="831" t="s">
        <v>5592</v>
      </c>
      <c r="C988" s="830" t="s">
        <v>1901</v>
      </c>
      <c r="D988" s="832">
        <v>13.64</v>
      </c>
    </row>
    <row r="989" spans="1:4" x14ac:dyDescent="0.3">
      <c r="A989" s="830">
        <v>89210</v>
      </c>
      <c r="B989" s="831" t="s">
        <v>3959</v>
      </c>
      <c r="C989" s="830" t="s">
        <v>1901</v>
      </c>
      <c r="D989" s="832">
        <v>32.049999999999997</v>
      </c>
    </row>
    <row r="990" spans="1:4" x14ac:dyDescent="0.3">
      <c r="A990" s="830">
        <v>89211</v>
      </c>
      <c r="B990" s="831" t="s">
        <v>3961</v>
      </c>
      <c r="C990" s="830" t="s">
        <v>1901</v>
      </c>
      <c r="D990" s="832">
        <v>8.6</v>
      </c>
    </row>
    <row r="991" spans="1:4" x14ac:dyDescent="0.3">
      <c r="A991" s="830">
        <v>89212</v>
      </c>
      <c r="B991" s="831" t="s">
        <v>5593</v>
      </c>
      <c r="C991" s="830" t="s">
        <v>1901</v>
      </c>
      <c r="D991" s="832">
        <v>30</v>
      </c>
    </row>
    <row r="992" spans="1:4" x14ac:dyDescent="0.3">
      <c r="A992" s="830">
        <v>89213</v>
      </c>
      <c r="B992" s="831" t="s">
        <v>5594</v>
      </c>
      <c r="C992" s="830" t="s">
        <v>1901</v>
      </c>
      <c r="D992" s="832">
        <v>9.25</v>
      </c>
    </row>
    <row r="993" spans="1:4" x14ac:dyDescent="0.3">
      <c r="A993" s="830">
        <v>89214</v>
      </c>
      <c r="B993" s="831" t="s">
        <v>5595</v>
      </c>
      <c r="C993" s="830" t="s">
        <v>1901</v>
      </c>
      <c r="D993" s="832">
        <v>28.16</v>
      </c>
    </row>
    <row r="994" spans="1:4" x14ac:dyDescent="0.3">
      <c r="A994" s="830">
        <v>89215</v>
      </c>
      <c r="B994" s="831" t="s">
        <v>5596</v>
      </c>
      <c r="C994" s="830" t="s">
        <v>1901</v>
      </c>
      <c r="D994" s="832">
        <v>92.18</v>
      </c>
    </row>
    <row r="995" spans="1:4" x14ac:dyDescent="0.3">
      <c r="A995" s="830">
        <v>89221</v>
      </c>
      <c r="B995" s="831" t="s">
        <v>4317</v>
      </c>
      <c r="C995" s="830" t="s">
        <v>1901</v>
      </c>
      <c r="D995" s="832">
        <v>1.35</v>
      </c>
    </row>
    <row r="996" spans="1:4" x14ac:dyDescent="0.3">
      <c r="A996" s="830">
        <v>89222</v>
      </c>
      <c r="B996" s="831" t="s">
        <v>4318</v>
      </c>
      <c r="C996" s="830" t="s">
        <v>1901</v>
      </c>
      <c r="D996" s="832">
        <v>0.31</v>
      </c>
    </row>
    <row r="997" spans="1:4" x14ac:dyDescent="0.3">
      <c r="A997" s="830">
        <v>89223</v>
      </c>
      <c r="B997" s="831" t="s">
        <v>4319</v>
      </c>
      <c r="C997" s="830" t="s">
        <v>1901</v>
      </c>
      <c r="D997" s="832">
        <v>1.48</v>
      </c>
    </row>
    <row r="998" spans="1:4" x14ac:dyDescent="0.3">
      <c r="A998" s="830">
        <v>89224</v>
      </c>
      <c r="B998" s="831" t="s">
        <v>4320</v>
      </c>
      <c r="C998" s="830" t="s">
        <v>1901</v>
      </c>
      <c r="D998" s="832">
        <v>1.8</v>
      </c>
    </row>
    <row r="999" spans="1:4" x14ac:dyDescent="0.3">
      <c r="A999" s="830">
        <v>89228</v>
      </c>
      <c r="B999" s="831" t="s">
        <v>3810</v>
      </c>
      <c r="C999" s="830" t="s">
        <v>1901</v>
      </c>
      <c r="D999" s="832">
        <v>46.8</v>
      </c>
    </row>
    <row r="1000" spans="1:4" x14ac:dyDescent="0.3">
      <c r="A1000" s="830">
        <v>89229</v>
      </c>
      <c r="B1000" s="831" t="s">
        <v>3812</v>
      </c>
      <c r="C1000" s="830" t="s">
        <v>1901</v>
      </c>
      <c r="D1000" s="832">
        <v>16.489999999999998</v>
      </c>
    </row>
    <row r="1001" spans="1:4" x14ac:dyDescent="0.3">
      <c r="A1001" s="830">
        <v>89230</v>
      </c>
      <c r="B1001" s="831" t="s">
        <v>5597</v>
      </c>
      <c r="C1001" s="830" t="s">
        <v>1901</v>
      </c>
      <c r="D1001" s="832">
        <v>120.11</v>
      </c>
    </row>
    <row r="1002" spans="1:4" x14ac:dyDescent="0.3">
      <c r="A1002" s="830">
        <v>89231</v>
      </c>
      <c r="B1002" s="831" t="s">
        <v>5598</v>
      </c>
      <c r="C1002" s="830" t="s">
        <v>1901</v>
      </c>
      <c r="D1002" s="832">
        <v>36.78</v>
      </c>
    </row>
    <row r="1003" spans="1:4" x14ac:dyDescent="0.3">
      <c r="A1003" s="830">
        <v>89232</v>
      </c>
      <c r="B1003" s="831" t="s">
        <v>5599</v>
      </c>
      <c r="C1003" s="830" t="s">
        <v>1901</v>
      </c>
      <c r="D1003" s="832">
        <v>214.25</v>
      </c>
    </row>
    <row r="1004" spans="1:4" x14ac:dyDescent="0.3">
      <c r="A1004" s="830">
        <v>89233</v>
      </c>
      <c r="B1004" s="831" t="s">
        <v>5600</v>
      </c>
      <c r="C1004" s="830" t="s">
        <v>1901</v>
      </c>
      <c r="D1004" s="832">
        <v>165.9</v>
      </c>
    </row>
    <row r="1005" spans="1:4" x14ac:dyDescent="0.3">
      <c r="A1005" s="830">
        <v>89236</v>
      </c>
      <c r="B1005" s="831" t="s">
        <v>5601</v>
      </c>
      <c r="C1005" s="830" t="s">
        <v>1901</v>
      </c>
      <c r="D1005" s="832">
        <v>280.58</v>
      </c>
    </row>
    <row r="1006" spans="1:4" x14ac:dyDescent="0.3">
      <c r="A1006" s="830">
        <v>89237</v>
      </c>
      <c r="B1006" s="831" t="s">
        <v>5602</v>
      </c>
      <c r="C1006" s="830" t="s">
        <v>1901</v>
      </c>
      <c r="D1006" s="832">
        <v>85.91</v>
      </c>
    </row>
    <row r="1007" spans="1:4" x14ac:dyDescent="0.3">
      <c r="A1007" s="830">
        <v>89238</v>
      </c>
      <c r="B1007" s="831" t="s">
        <v>5603</v>
      </c>
      <c r="C1007" s="830" t="s">
        <v>1901</v>
      </c>
      <c r="D1007" s="832">
        <v>500.48</v>
      </c>
    </row>
    <row r="1008" spans="1:4" x14ac:dyDescent="0.3">
      <c r="A1008" s="830">
        <v>89239</v>
      </c>
      <c r="B1008" s="831" t="s">
        <v>5604</v>
      </c>
      <c r="C1008" s="830" t="s">
        <v>1901</v>
      </c>
      <c r="D1008" s="832">
        <v>438.72</v>
      </c>
    </row>
    <row r="1009" spans="1:4" x14ac:dyDescent="0.3">
      <c r="A1009" s="830">
        <v>89240</v>
      </c>
      <c r="B1009" s="831" t="s">
        <v>4147</v>
      </c>
      <c r="C1009" s="830" t="s">
        <v>1901</v>
      </c>
      <c r="D1009" s="832">
        <v>86.11</v>
      </c>
    </row>
    <row r="1010" spans="1:4" x14ac:dyDescent="0.3">
      <c r="A1010" s="830">
        <v>89241</v>
      </c>
      <c r="B1010" s="831" t="s">
        <v>4149</v>
      </c>
      <c r="C1010" s="830" t="s">
        <v>1901</v>
      </c>
      <c r="D1010" s="832">
        <v>30.35</v>
      </c>
    </row>
    <row r="1011" spans="1:4" x14ac:dyDescent="0.3">
      <c r="A1011" s="830">
        <v>89246</v>
      </c>
      <c r="B1011" s="831" t="s">
        <v>5605</v>
      </c>
      <c r="C1011" s="830" t="s">
        <v>1901</v>
      </c>
      <c r="D1011" s="832">
        <v>243.81</v>
      </c>
    </row>
    <row r="1012" spans="1:4" x14ac:dyDescent="0.3">
      <c r="A1012" s="830">
        <v>89247</v>
      </c>
      <c r="B1012" s="831" t="s">
        <v>5606</v>
      </c>
      <c r="C1012" s="830" t="s">
        <v>1901</v>
      </c>
      <c r="D1012" s="832">
        <v>74.650000000000006</v>
      </c>
    </row>
    <row r="1013" spans="1:4" x14ac:dyDescent="0.3">
      <c r="A1013" s="830">
        <v>89248</v>
      </c>
      <c r="B1013" s="831" t="s">
        <v>5607</v>
      </c>
      <c r="C1013" s="830" t="s">
        <v>1901</v>
      </c>
      <c r="D1013" s="832">
        <v>434.89</v>
      </c>
    </row>
    <row r="1014" spans="1:4" x14ac:dyDescent="0.3">
      <c r="A1014" s="830">
        <v>89249</v>
      </c>
      <c r="B1014" s="831" t="s">
        <v>5608</v>
      </c>
      <c r="C1014" s="830" t="s">
        <v>1901</v>
      </c>
      <c r="D1014" s="832">
        <v>373.98</v>
      </c>
    </row>
    <row r="1015" spans="1:4" x14ac:dyDescent="0.3">
      <c r="A1015" s="830">
        <v>89253</v>
      </c>
      <c r="B1015" s="831" t="s">
        <v>5609</v>
      </c>
      <c r="C1015" s="830" t="s">
        <v>1901</v>
      </c>
      <c r="D1015" s="832">
        <v>70.56</v>
      </c>
    </row>
    <row r="1016" spans="1:4" x14ac:dyDescent="0.3">
      <c r="A1016" s="830">
        <v>89254</v>
      </c>
      <c r="B1016" s="831" t="s">
        <v>5610</v>
      </c>
      <c r="C1016" s="830" t="s">
        <v>1901</v>
      </c>
      <c r="D1016" s="832">
        <v>24.87</v>
      </c>
    </row>
    <row r="1017" spans="1:4" x14ac:dyDescent="0.3">
      <c r="A1017" s="830">
        <v>89255</v>
      </c>
      <c r="B1017" s="831" t="s">
        <v>5611</v>
      </c>
      <c r="C1017" s="830" t="s">
        <v>1901</v>
      </c>
      <c r="D1017" s="832">
        <v>113.43</v>
      </c>
    </row>
    <row r="1018" spans="1:4" x14ac:dyDescent="0.3">
      <c r="A1018" s="830">
        <v>89256</v>
      </c>
      <c r="B1018" s="831" t="s">
        <v>5612</v>
      </c>
      <c r="C1018" s="830" t="s">
        <v>1901</v>
      </c>
      <c r="D1018" s="832">
        <v>84.16</v>
      </c>
    </row>
    <row r="1019" spans="1:4" x14ac:dyDescent="0.3">
      <c r="A1019" s="830">
        <v>89259</v>
      </c>
      <c r="B1019" s="831" t="s">
        <v>3760</v>
      </c>
      <c r="C1019" s="830" t="s">
        <v>1901</v>
      </c>
      <c r="D1019" s="832">
        <v>27.32</v>
      </c>
    </row>
    <row r="1020" spans="1:4" x14ac:dyDescent="0.3">
      <c r="A1020" s="830">
        <v>89260</v>
      </c>
      <c r="B1020" s="831" t="s">
        <v>3762</v>
      </c>
      <c r="C1020" s="830" t="s">
        <v>1901</v>
      </c>
      <c r="D1020" s="832">
        <v>10.029999999999999</v>
      </c>
    </row>
    <row r="1021" spans="1:4" x14ac:dyDescent="0.3">
      <c r="A1021" s="830">
        <v>89262</v>
      </c>
      <c r="B1021" s="831" t="s">
        <v>3766</v>
      </c>
      <c r="C1021" s="830" t="s">
        <v>1901</v>
      </c>
      <c r="D1021" s="832">
        <v>46.24</v>
      </c>
    </row>
    <row r="1022" spans="1:4" x14ac:dyDescent="0.3">
      <c r="A1022" s="830">
        <v>89264</v>
      </c>
      <c r="B1022" s="831" t="s">
        <v>5613</v>
      </c>
      <c r="C1022" s="830" t="s">
        <v>1901</v>
      </c>
      <c r="D1022" s="832">
        <v>21.11</v>
      </c>
    </row>
    <row r="1023" spans="1:4" x14ac:dyDescent="0.3">
      <c r="A1023" s="830">
        <v>89265</v>
      </c>
      <c r="B1023" s="831" t="s">
        <v>5614</v>
      </c>
      <c r="C1023" s="830" t="s">
        <v>1901</v>
      </c>
      <c r="D1023" s="832">
        <v>8.41</v>
      </c>
    </row>
    <row r="1024" spans="1:4" x14ac:dyDescent="0.3">
      <c r="A1024" s="830">
        <v>89266</v>
      </c>
      <c r="B1024" s="831" t="s">
        <v>5615</v>
      </c>
      <c r="C1024" s="830" t="s">
        <v>1901</v>
      </c>
      <c r="D1024" s="832">
        <v>3.39</v>
      </c>
    </row>
    <row r="1025" spans="1:4" x14ac:dyDescent="0.3">
      <c r="A1025" s="830">
        <v>89267</v>
      </c>
      <c r="B1025" s="831" t="s">
        <v>3746</v>
      </c>
      <c r="C1025" s="830" t="s">
        <v>1901</v>
      </c>
      <c r="D1025" s="832">
        <v>52.21</v>
      </c>
    </row>
    <row r="1026" spans="1:4" x14ac:dyDescent="0.3">
      <c r="A1026" s="830">
        <v>89268</v>
      </c>
      <c r="B1026" s="831" t="s">
        <v>3748</v>
      </c>
      <c r="C1026" s="830" t="s">
        <v>1901</v>
      </c>
      <c r="D1026" s="832">
        <v>18.399999999999999</v>
      </c>
    </row>
    <row r="1027" spans="1:4" x14ac:dyDescent="0.3">
      <c r="A1027" s="830">
        <v>89269</v>
      </c>
      <c r="B1027" s="831" t="s">
        <v>3750</v>
      </c>
      <c r="C1027" s="830" t="s">
        <v>1901</v>
      </c>
      <c r="D1027" s="832">
        <v>7.44</v>
      </c>
    </row>
    <row r="1028" spans="1:4" x14ac:dyDescent="0.3">
      <c r="A1028" s="830">
        <v>89270</v>
      </c>
      <c r="B1028" s="831" t="s">
        <v>3752</v>
      </c>
      <c r="C1028" s="830" t="s">
        <v>1901</v>
      </c>
      <c r="D1028" s="832">
        <v>83.94</v>
      </c>
    </row>
    <row r="1029" spans="1:4" x14ac:dyDescent="0.3">
      <c r="A1029" s="830">
        <v>89271</v>
      </c>
      <c r="B1029" s="831" t="s">
        <v>3754</v>
      </c>
      <c r="C1029" s="830" t="s">
        <v>1901</v>
      </c>
      <c r="D1029" s="832">
        <v>28.8</v>
      </c>
    </row>
    <row r="1030" spans="1:4" x14ac:dyDescent="0.3">
      <c r="A1030" s="830">
        <v>89274</v>
      </c>
      <c r="B1030" s="831" t="s">
        <v>5616</v>
      </c>
      <c r="C1030" s="830" t="s">
        <v>1901</v>
      </c>
      <c r="D1030" s="832">
        <v>1.64</v>
      </c>
    </row>
    <row r="1031" spans="1:4" x14ac:dyDescent="0.3">
      <c r="A1031" s="830">
        <v>89275</v>
      </c>
      <c r="B1031" s="831" t="s">
        <v>5617</v>
      </c>
      <c r="C1031" s="830" t="s">
        <v>1901</v>
      </c>
      <c r="D1031" s="832">
        <v>0.38</v>
      </c>
    </row>
    <row r="1032" spans="1:4" x14ac:dyDescent="0.3">
      <c r="A1032" s="830">
        <v>89276</v>
      </c>
      <c r="B1032" s="831" t="s">
        <v>5618</v>
      </c>
      <c r="C1032" s="830" t="s">
        <v>1901</v>
      </c>
      <c r="D1032" s="832">
        <v>2.0499999999999998</v>
      </c>
    </row>
    <row r="1033" spans="1:4" x14ac:dyDescent="0.3">
      <c r="A1033" s="830">
        <v>89277</v>
      </c>
      <c r="B1033" s="831" t="s">
        <v>5619</v>
      </c>
      <c r="C1033" s="830" t="s">
        <v>1901</v>
      </c>
      <c r="D1033" s="832">
        <v>8.31</v>
      </c>
    </row>
    <row r="1034" spans="1:4" x14ac:dyDescent="0.3">
      <c r="A1034" s="830">
        <v>89280</v>
      </c>
      <c r="B1034" s="831" t="s">
        <v>5620</v>
      </c>
      <c r="C1034" s="830" t="s">
        <v>1901</v>
      </c>
      <c r="D1034" s="832">
        <v>39.36</v>
      </c>
    </row>
    <row r="1035" spans="1:4" x14ac:dyDescent="0.3">
      <c r="A1035" s="830">
        <v>89281</v>
      </c>
      <c r="B1035" s="831" t="s">
        <v>5621</v>
      </c>
      <c r="C1035" s="830" t="s">
        <v>1901</v>
      </c>
      <c r="D1035" s="832">
        <v>10.56</v>
      </c>
    </row>
    <row r="1036" spans="1:4" x14ac:dyDescent="0.3">
      <c r="A1036" s="830">
        <v>89870</v>
      </c>
      <c r="B1036" s="831" t="s">
        <v>3396</v>
      </c>
      <c r="C1036" s="830" t="s">
        <v>1901</v>
      </c>
      <c r="D1036" s="832">
        <v>40.32</v>
      </c>
    </row>
    <row r="1037" spans="1:4" x14ac:dyDescent="0.3">
      <c r="A1037" s="830">
        <v>89871</v>
      </c>
      <c r="B1037" s="831" t="s">
        <v>3398</v>
      </c>
      <c r="C1037" s="830" t="s">
        <v>1901</v>
      </c>
      <c r="D1037" s="832">
        <v>14.18</v>
      </c>
    </row>
    <row r="1038" spans="1:4" x14ac:dyDescent="0.3">
      <c r="A1038" s="830">
        <v>89872</v>
      </c>
      <c r="B1038" s="831" t="s">
        <v>3400</v>
      </c>
      <c r="C1038" s="830" t="s">
        <v>1901</v>
      </c>
      <c r="D1038" s="832">
        <v>5.73</v>
      </c>
    </row>
    <row r="1039" spans="1:4" x14ac:dyDescent="0.3">
      <c r="A1039" s="830">
        <v>89873</v>
      </c>
      <c r="B1039" s="831" t="s">
        <v>3402</v>
      </c>
      <c r="C1039" s="830" t="s">
        <v>1901</v>
      </c>
      <c r="D1039" s="832">
        <v>68.97</v>
      </c>
    </row>
    <row r="1040" spans="1:4" x14ac:dyDescent="0.3">
      <c r="A1040" s="830">
        <v>89874</v>
      </c>
      <c r="B1040" s="831" t="s">
        <v>3404</v>
      </c>
      <c r="C1040" s="830" t="s">
        <v>1901</v>
      </c>
      <c r="D1040" s="832">
        <v>175.05</v>
      </c>
    </row>
    <row r="1041" spans="1:4" x14ac:dyDescent="0.3">
      <c r="A1041" s="830">
        <v>89878</v>
      </c>
      <c r="B1041" s="831" t="s">
        <v>5622</v>
      </c>
      <c r="C1041" s="830" t="s">
        <v>1901</v>
      </c>
      <c r="D1041" s="832">
        <v>43.16</v>
      </c>
    </row>
    <row r="1042" spans="1:4" x14ac:dyDescent="0.3">
      <c r="A1042" s="830">
        <v>89879</v>
      </c>
      <c r="B1042" s="831" t="s">
        <v>5623</v>
      </c>
      <c r="C1042" s="830" t="s">
        <v>1901</v>
      </c>
      <c r="D1042" s="832">
        <v>14.92</v>
      </c>
    </row>
    <row r="1043" spans="1:4" x14ac:dyDescent="0.3">
      <c r="A1043" s="830">
        <v>89880</v>
      </c>
      <c r="B1043" s="831" t="s">
        <v>5624</v>
      </c>
      <c r="C1043" s="830" t="s">
        <v>1901</v>
      </c>
      <c r="D1043" s="832">
        <v>6.02</v>
      </c>
    </row>
    <row r="1044" spans="1:4" x14ac:dyDescent="0.3">
      <c r="A1044" s="830">
        <v>89881</v>
      </c>
      <c r="B1044" s="831" t="s">
        <v>5625</v>
      </c>
      <c r="C1044" s="830" t="s">
        <v>1901</v>
      </c>
      <c r="D1044" s="832">
        <v>73.11</v>
      </c>
    </row>
    <row r="1045" spans="1:4" x14ac:dyDescent="0.3">
      <c r="A1045" s="830">
        <v>89882</v>
      </c>
      <c r="B1045" s="831" t="s">
        <v>5626</v>
      </c>
      <c r="C1045" s="830" t="s">
        <v>1901</v>
      </c>
      <c r="D1045" s="832">
        <v>201.96</v>
      </c>
    </row>
    <row r="1046" spans="1:4" x14ac:dyDescent="0.3">
      <c r="A1046" s="830">
        <v>90582</v>
      </c>
      <c r="B1046" s="831" t="s">
        <v>4137</v>
      </c>
      <c r="C1046" s="830" t="s">
        <v>1901</v>
      </c>
      <c r="D1046" s="832">
        <v>0.43</v>
      </c>
    </row>
    <row r="1047" spans="1:4" x14ac:dyDescent="0.3">
      <c r="A1047" s="830">
        <v>90583</v>
      </c>
      <c r="B1047" s="831" t="s">
        <v>4139</v>
      </c>
      <c r="C1047" s="830" t="s">
        <v>1901</v>
      </c>
      <c r="D1047" s="832">
        <v>0.1</v>
      </c>
    </row>
    <row r="1048" spans="1:4" x14ac:dyDescent="0.3">
      <c r="A1048" s="830">
        <v>90584</v>
      </c>
      <c r="B1048" s="831" t="s">
        <v>4141</v>
      </c>
      <c r="C1048" s="830" t="s">
        <v>1901</v>
      </c>
      <c r="D1048" s="832">
        <v>0.33</v>
      </c>
    </row>
    <row r="1049" spans="1:4" x14ac:dyDescent="0.3">
      <c r="A1049" s="830">
        <v>90585</v>
      </c>
      <c r="B1049" s="831" t="s">
        <v>4143</v>
      </c>
      <c r="C1049" s="830" t="s">
        <v>1901</v>
      </c>
      <c r="D1049" s="832">
        <v>0.37</v>
      </c>
    </row>
    <row r="1050" spans="1:4" x14ac:dyDescent="0.3">
      <c r="A1050" s="830">
        <v>90621</v>
      </c>
      <c r="B1050" s="831" t="s">
        <v>5627</v>
      </c>
      <c r="C1050" s="830" t="s">
        <v>1901</v>
      </c>
      <c r="D1050" s="832">
        <v>2.34</v>
      </c>
    </row>
    <row r="1051" spans="1:4" x14ac:dyDescent="0.3">
      <c r="A1051" s="830">
        <v>90622</v>
      </c>
      <c r="B1051" s="831" t="s">
        <v>5628</v>
      </c>
      <c r="C1051" s="830" t="s">
        <v>1901</v>
      </c>
      <c r="D1051" s="832">
        <v>0.54</v>
      </c>
    </row>
    <row r="1052" spans="1:4" x14ac:dyDescent="0.3">
      <c r="A1052" s="830">
        <v>90623</v>
      </c>
      <c r="B1052" s="831" t="s">
        <v>5629</v>
      </c>
      <c r="C1052" s="830" t="s">
        <v>1901</v>
      </c>
      <c r="D1052" s="832">
        <v>2.92</v>
      </c>
    </row>
    <row r="1053" spans="1:4" x14ac:dyDescent="0.3">
      <c r="A1053" s="830">
        <v>90624</v>
      </c>
      <c r="B1053" s="831" t="s">
        <v>5630</v>
      </c>
      <c r="C1053" s="830" t="s">
        <v>1901</v>
      </c>
      <c r="D1053" s="832">
        <v>2.25</v>
      </c>
    </row>
    <row r="1054" spans="1:4" x14ac:dyDescent="0.3">
      <c r="A1054" s="830">
        <v>90627</v>
      </c>
      <c r="B1054" s="831" t="s">
        <v>5631</v>
      </c>
      <c r="C1054" s="830" t="s">
        <v>1901</v>
      </c>
      <c r="D1054" s="832">
        <v>52.86</v>
      </c>
    </row>
    <row r="1055" spans="1:4" x14ac:dyDescent="0.3">
      <c r="A1055" s="830">
        <v>90628</v>
      </c>
      <c r="B1055" s="831" t="s">
        <v>5632</v>
      </c>
      <c r="C1055" s="830" t="s">
        <v>1901</v>
      </c>
      <c r="D1055" s="832">
        <v>14.18</v>
      </c>
    </row>
    <row r="1056" spans="1:4" x14ac:dyDescent="0.3">
      <c r="A1056" s="830">
        <v>90629</v>
      </c>
      <c r="B1056" s="831" t="s">
        <v>5633</v>
      </c>
      <c r="C1056" s="830" t="s">
        <v>1901</v>
      </c>
      <c r="D1056" s="832">
        <v>66.150000000000006</v>
      </c>
    </row>
    <row r="1057" spans="1:4" x14ac:dyDescent="0.3">
      <c r="A1057" s="830">
        <v>90630</v>
      </c>
      <c r="B1057" s="831" t="s">
        <v>5634</v>
      </c>
      <c r="C1057" s="830" t="s">
        <v>1901</v>
      </c>
      <c r="D1057" s="832">
        <v>1.07</v>
      </c>
    </row>
    <row r="1058" spans="1:4" x14ac:dyDescent="0.3">
      <c r="A1058" s="830">
        <v>90633</v>
      </c>
      <c r="B1058" s="831" t="s">
        <v>5635</v>
      </c>
      <c r="C1058" s="830" t="s">
        <v>1901</v>
      </c>
      <c r="D1058" s="832">
        <v>4.17</v>
      </c>
    </row>
    <row r="1059" spans="1:4" x14ac:dyDescent="0.3">
      <c r="A1059" s="830">
        <v>90634</v>
      </c>
      <c r="B1059" s="831" t="s">
        <v>5636</v>
      </c>
      <c r="C1059" s="830" t="s">
        <v>1901</v>
      </c>
      <c r="D1059" s="832">
        <v>0.96</v>
      </c>
    </row>
    <row r="1060" spans="1:4" x14ac:dyDescent="0.3">
      <c r="A1060" s="830">
        <v>90635</v>
      </c>
      <c r="B1060" s="831" t="s">
        <v>5637</v>
      </c>
      <c r="C1060" s="830" t="s">
        <v>1901</v>
      </c>
      <c r="D1060" s="832">
        <v>4.5599999999999996</v>
      </c>
    </row>
    <row r="1061" spans="1:4" x14ac:dyDescent="0.3">
      <c r="A1061" s="830">
        <v>90636</v>
      </c>
      <c r="B1061" s="831" t="s">
        <v>5638</v>
      </c>
      <c r="C1061" s="830" t="s">
        <v>1901</v>
      </c>
      <c r="D1061" s="832">
        <v>4.5</v>
      </c>
    </row>
    <row r="1062" spans="1:4" x14ac:dyDescent="0.3">
      <c r="A1062" s="830">
        <v>90639</v>
      </c>
      <c r="B1062" s="831" t="s">
        <v>5639</v>
      </c>
      <c r="C1062" s="830" t="s">
        <v>1901</v>
      </c>
      <c r="D1062" s="832">
        <v>6.23</v>
      </c>
    </row>
    <row r="1063" spans="1:4" x14ac:dyDescent="0.3">
      <c r="A1063" s="830">
        <v>90640</v>
      </c>
      <c r="B1063" s="831" t="s">
        <v>5640</v>
      </c>
      <c r="C1063" s="830" t="s">
        <v>1901</v>
      </c>
      <c r="D1063" s="832">
        <v>1.44</v>
      </c>
    </row>
    <row r="1064" spans="1:4" x14ac:dyDescent="0.3">
      <c r="A1064" s="830">
        <v>90641</v>
      </c>
      <c r="B1064" s="831" t="s">
        <v>5641</v>
      </c>
      <c r="C1064" s="830" t="s">
        <v>1901</v>
      </c>
      <c r="D1064" s="832">
        <v>6.81</v>
      </c>
    </row>
    <row r="1065" spans="1:4" x14ac:dyDescent="0.3">
      <c r="A1065" s="830">
        <v>90642</v>
      </c>
      <c r="B1065" s="831" t="s">
        <v>5642</v>
      </c>
      <c r="C1065" s="830" t="s">
        <v>1901</v>
      </c>
      <c r="D1065" s="832">
        <v>12.47</v>
      </c>
    </row>
    <row r="1066" spans="1:4" x14ac:dyDescent="0.3">
      <c r="A1066" s="830">
        <v>90646</v>
      </c>
      <c r="B1066" s="831" t="s">
        <v>5643</v>
      </c>
      <c r="C1066" s="830" t="s">
        <v>1901</v>
      </c>
      <c r="D1066" s="832">
        <v>1.04</v>
      </c>
    </row>
    <row r="1067" spans="1:4" x14ac:dyDescent="0.3">
      <c r="A1067" s="830">
        <v>90647</v>
      </c>
      <c r="B1067" s="831" t="s">
        <v>5644</v>
      </c>
      <c r="C1067" s="830" t="s">
        <v>1901</v>
      </c>
      <c r="D1067" s="832">
        <v>0.24</v>
      </c>
    </row>
    <row r="1068" spans="1:4" x14ac:dyDescent="0.3">
      <c r="A1068" s="830">
        <v>90648</v>
      </c>
      <c r="B1068" s="831" t="s">
        <v>5645</v>
      </c>
      <c r="C1068" s="830" t="s">
        <v>1901</v>
      </c>
      <c r="D1068" s="832">
        <v>1.1399999999999999</v>
      </c>
    </row>
    <row r="1069" spans="1:4" x14ac:dyDescent="0.3">
      <c r="A1069" s="830">
        <v>90649</v>
      </c>
      <c r="B1069" s="831" t="s">
        <v>5646</v>
      </c>
      <c r="C1069" s="830" t="s">
        <v>1901</v>
      </c>
      <c r="D1069" s="832">
        <v>7.03</v>
      </c>
    </row>
    <row r="1070" spans="1:4" x14ac:dyDescent="0.3">
      <c r="A1070" s="830">
        <v>90652</v>
      </c>
      <c r="B1070" s="831" t="s">
        <v>5647</v>
      </c>
      <c r="C1070" s="830" t="s">
        <v>1901</v>
      </c>
      <c r="D1070" s="832">
        <v>4.05</v>
      </c>
    </row>
    <row r="1071" spans="1:4" x14ac:dyDescent="0.3">
      <c r="A1071" s="830">
        <v>90653</v>
      </c>
      <c r="B1071" s="831" t="s">
        <v>5648</v>
      </c>
      <c r="C1071" s="830" t="s">
        <v>1901</v>
      </c>
      <c r="D1071" s="832">
        <v>0.93</v>
      </c>
    </row>
    <row r="1072" spans="1:4" x14ac:dyDescent="0.3">
      <c r="A1072" s="830">
        <v>90654</v>
      </c>
      <c r="B1072" s="831" t="s">
        <v>5649</v>
      </c>
      <c r="C1072" s="830" t="s">
        <v>1901</v>
      </c>
      <c r="D1072" s="832">
        <v>4.43</v>
      </c>
    </row>
    <row r="1073" spans="1:4" x14ac:dyDescent="0.3">
      <c r="A1073" s="830">
        <v>90655</v>
      </c>
      <c r="B1073" s="831" t="s">
        <v>5650</v>
      </c>
      <c r="C1073" s="830" t="s">
        <v>1901</v>
      </c>
      <c r="D1073" s="832">
        <v>4.63</v>
      </c>
    </row>
    <row r="1074" spans="1:4" x14ac:dyDescent="0.3">
      <c r="A1074" s="830">
        <v>90658</v>
      </c>
      <c r="B1074" s="831" t="s">
        <v>5651</v>
      </c>
      <c r="C1074" s="830" t="s">
        <v>1901</v>
      </c>
      <c r="D1074" s="832">
        <v>4.34</v>
      </c>
    </row>
    <row r="1075" spans="1:4" x14ac:dyDescent="0.3">
      <c r="A1075" s="830">
        <v>90659</v>
      </c>
      <c r="B1075" s="831" t="s">
        <v>5652</v>
      </c>
      <c r="C1075" s="830" t="s">
        <v>1901</v>
      </c>
      <c r="D1075" s="832">
        <v>1</v>
      </c>
    </row>
    <row r="1076" spans="1:4" x14ac:dyDescent="0.3">
      <c r="A1076" s="830">
        <v>90660</v>
      </c>
      <c r="B1076" s="831" t="s">
        <v>5653</v>
      </c>
      <c r="C1076" s="830" t="s">
        <v>1901</v>
      </c>
      <c r="D1076" s="832">
        <v>4.75</v>
      </c>
    </row>
    <row r="1077" spans="1:4" x14ac:dyDescent="0.3">
      <c r="A1077" s="830">
        <v>90661</v>
      </c>
      <c r="B1077" s="831" t="s">
        <v>5654</v>
      </c>
      <c r="C1077" s="830" t="s">
        <v>1901</v>
      </c>
      <c r="D1077" s="832">
        <v>4.63</v>
      </c>
    </row>
    <row r="1078" spans="1:4" x14ac:dyDescent="0.3">
      <c r="A1078" s="830">
        <v>90664</v>
      </c>
      <c r="B1078" s="831" t="s">
        <v>5655</v>
      </c>
      <c r="C1078" s="830" t="s">
        <v>1901</v>
      </c>
      <c r="D1078" s="832">
        <v>7.14</v>
      </c>
    </row>
    <row r="1079" spans="1:4" x14ac:dyDescent="0.3">
      <c r="A1079" s="830">
        <v>90665</v>
      </c>
      <c r="B1079" s="831" t="s">
        <v>5656</v>
      </c>
      <c r="C1079" s="830" t="s">
        <v>1901</v>
      </c>
      <c r="D1079" s="832">
        <v>1.9</v>
      </c>
    </row>
    <row r="1080" spans="1:4" x14ac:dyDescent="0.3">
      <c r="A1080" s="830">
        <v>90666</v>
      </c>
      <c r="B1080" s="831" t="s">
        <v>5657</v>
      </c>
      <c r="C1080" s="830" t="s">
        <v>1901</v>
      </c>
      <c r="D1080" s="832">
        <v>8.94</v>
      </c>
    </row>
    <row r="1081" spans="1:4" x14ac:dyDescent="0.3">
      <c r="A1081" s="830">
        <v>90667</v>
      </c>
      <c r="B1081" s="831" t="s">
        <v>5658</v>
      </c>
      <c r="C1081" s="830" t="s">
        <v>1901</v>
      </c>
      <c r="D1081" s="832">
        <v>14.85</v>
      </c>
    </row>
    <row r="1082" spans="1:4" x14ac:dyDescent="0.3">
      <c r="A1082" s="830">
        <v>90670</v>
      </c>
      <c r="B1082" s="831" t="s">
        <v>5659</v>
      </c>
      <c r="C1082" s="830" t="s">
        <v>1901</v>
      </c>
      <c r="D1082" s="832">
        <v>238.49</v>
      </c>
    </row>
    <row r="1083" spans="1:4" x14ac:dyDescent="0.3">
      <c r="A1083" s="830">
        <v>90671</v>
      </c>
      <c r="B1083" s="831" t="s">
        <v>5660</v>
      </c>
      <c r="C1083" s="830" t="s">
        <v>1901</v>
      </c>
      <c r="D1083" s="832">
        <v>63.98</v>
      </c>
    </row>
    <row r="1084" spans="1:4" x14ac:dyDescent="0.3">
      <c r="A1084" s="830">
        <v>90672</v>
      </c>
      <c r="B1084" s="831" t="s">
        <v>5661</v>
      </c>
      <c r="C1084" s="830" t="s">
        <v>1901</v>
      </c>
      <c r="D1084" s="832">
        <v>298.45</v>
      </c>
    </row>
    <row r="1085" spans="1:4" x14ac:dyDescent="0.3">
      <c r="A1085" s="830">
        <v>90673</v>
      </c>
      <c r="B1085" s="831" t="s">
        <v>5662</v>
      </c>
      <c r="C1085" s="830" t="s">
        <v>1901</v>
      </c>
      <c r="D1085" s="832">
        <v>118.74</v>
      </c>
    </row>
    <row r="1086" spans="1:4" x14ac:dyDescent="0.3">
      <c r="A1086" s="830">
        <v>90676</v>
      </c>
      <c r="B1086" s="831" t="s">
        <v>5663</v>
      </c>
      <c r="C1086" s="830" t="s">
        <v>1901</v>
      </c>
      <c r="D1086" s="832">
        <v>97.51</v>
      </c>
    </row>
    <row r="1087" spans="1:4" x14ac:dyDescent="0.3">
      <c r="A1087" s="830">
        <v>90677</v>
      </c>
      <c r="B1087" s="831" t="s">
        <v>5664</v>
      </c>
      <c r="C1087" s="830" t="s">
        <v>1901</v>
      </c>
      <c r="D1087" s="832">
        <v>29.47</v>
      </c>
    </row>
    <row r="1088" spans="1:4" x14ac:dyDescent="0.3">
      <c r="A1088" s="830">
        <v>90678</v>
      </c>
      <c r="B1088" s="831" t="s">
        <v>5665</v>
      </c>
      <c r="C1088" s="830" t="s">
        <v>1901</v>
      </c>
      <c r="D1088" s="832">
        <v>136.44999999999999</v>
      </c>
    </row>
    <row r="1089" spans="1:4" x14ac:dyDescent="0.3">
      <c r="A1089" s="830">
        <v>90679</v>
      </c>
      <c r="B1089" s="831" t="s">
        <v>5666</v>
      </c>
      <c r="C1089" s="830" t="s">
        <v>1901</v>
      </c>
      <c r="D1089" s="832">
        <v>91.06</v>
      </c>
    </row>
    <row r="1090" spans="1:4" x14ac:dyDescent="0.3">
      <c r="A1090" s="830">
        <v>90682</v>
      </c>
      <c r="B1090" s="831" t="s">
        <v>5667</v>
      </c>
      <c r="C1090" s="830" t="s">
        <v>1901</v>
      </c>
      <c r="D1090" s="832">
        <v>39.46</v>
      </c>
    </row>
    <row r="1091" spans="1:4" x14ac:dyDescent="0.3">
      <c r="A1091" s="830">
        <v>90683</v>
      </c>
      <c r="B1091" s="831" t="s">
        <v>5668</v>
      </c>
      <c r="C1091" s="830" t="s">
        <v>1901</v>
      </c>
      <c r="D1091" s="832">
        <v>9.1199999999999992</v>
      </c>
    </row>
    <row r="1092" spans="1:4" x14ac:dyDescent="0.3">
      <c r="A1092" s="830">
        <v>90684</v>
      </c>
      <c r="B1092" s="831" t="s">
        <v>5669</v>
      </c>
      <c r="C1092" s="830" t="s">
        <v>1901</v>
      </c>
      <c r="D1092" s="832">
        <v>43.16</v>
      </c>
    </row>
    <row r="1093" spans="1:4" x14ac:dyDescent="0.3">
      <c r="A1093" s="830">
        <v>90685</v>
      </c>
      <c r="B1093" s="831" t="s">
        <v>5670</v>
      </c>
      <c r="C1093" s="830" t="s">
        <v>1901</v>
      </c>
      <c r="D1093" s="832">
        <v>56.48</v>
      </c>
    </row>
    <row r="1094" spans="1:4" x14ac:dyDescent="0.3">
      <c r="A1094" s="830">
        <v>90688</v>
      </c>
      <c r="B1094" s="831" t="s">
        <v>5671</v>
      </c>
      <c r="C1094" s="830" t="s">
        <v>1901</v>
      </c>
      <c r="D1094" s="832">
        <v>28.8</v>
      </c>
    </row>
    <row r="1095" spans="1:4" x14ac:dyDescent="0.3">
      <c r="A1095" s="830">
        <v>90689</v>
      </c>
      <c r="B1095" s="831" t="s">
        <v>5672</v>
      </c>
      <c r="C1095" s="830" t="s">
        <v>1901</v>
      </c>
      <c r="D1095" s="832">
        <v>5.68</v>
      </c>
    </row>
    <row r="1096" spans="1:4" x14ac:dyDescent="0.3">
      <c r="A1096" s="830">
        <v>90690</v>
      </c>
      <c r="B1096" s="831" t="s">
        <v>5673</v>
      </c>
      <c r="C1096" s="830" t="s">
        <v>1901</v>
      </c>
      <c r="D1096" s="832">
        <v>36</v>
      </c>
    </row>
    <row r="1097" spans="1:4" x14ac:dyDescent="0.3">
      <c r="A1097" s="830">
        <v>90691</v>
      </c>
      <c r="B1097" s="831" t="s">
        <v>5674</v>
      </c>
      <c r="C1097" s="830" t="s">
        <v>1901</v>
      </c>
      <c r="D1097" s="832">
        <v>39.56</v>
      </c>
    </row>
    <row r="1098" spans="1:4" x14ac:dyDescent="0.3">
      <c r="A1098" s="830">
        <v>90957</v>
      </c>
      <c r="B1098" s="831" t="s">
        <v>3465</v>
      </c>
      <c r="C1098" s="830" t="s">
        <v>1901</v>
      </c>
      <c r="D1098" s="832">
        <v>5.32</v>
      </c>
    </row>
    <row r="1099" spans="1:4" x14ac:dyDescent="0.3">
      <c r="A1099" s="830">
        <v>90958</v>
      </c>
      <c r="B1099" s="831" t="s">
        <v>3467</v>
      </c>
      <c r="C1099" s="830" t="s">
        <v>1901</v>
      </c>
      <c r="D1099" s="832">
        <v>1.42</v>
      </c>
    </row>
    <row r="1100" spans="1:4" x14ac:dyDescent="0.3">
      <c r="A1100" s="830">
        <v>90960</v>
      </c>
      <c r="B1100" s="831" t="s">
        <v>5675</v>
      </c>
      <c r="C1100" s="830" t="s">
        <v>1901</v>
      </c>
      <c r="D1100" s="832">
        <v>7.1</v>
      </c>
    </row>
    <row r="1101" spans="1:4" x14ac:dyDescent="0.3">
      <c r="A1101" s="830">
        <v>90961</v>
      </c>
      <c r="B1101" s="831" t="s">
        <v>5676</v>
      </c>
      <c r="C1101" s="830" t="s">
        <v>1901</v>
      </c>
      <c r="D1101" s="832">
        <v>1.9</v>
      </c>
    </row>
    <row r="1102" spans="1:4" x14ac:dyDescent="0.3">
      <c r="A1102" s="830">
        <v>90962</v>
      </c>
      <c r="B1102" s="831" t="s">
        <v>5677</v>
      </c>
      <c r="C1102" s="830" t="s">
        <v>1901</v>
      </c>
      <c r="D1102" s="832">
        <v>8.89</v>
      </c>
    </row>
    <row r="1103" spans="1:4" x14ac:dyDescent="0.3">
      <c r="A1103" s="830">
        <v>90963</v>
      </c>
      <c r="B1103" s="831" t="s">
        <v>5678</v>
      </c>
      <c r="C1103" s="830" t="s">
        <v>1901</v>
      </c>
      <c r="D1103" s="832">
        <v>14.85</v>
      </c>
    </row>
    <row r="1104" spans="1:4" x14ac:dyDescent="0.3">
      <c r="A1104" s="830">
        <v>90968</v>
      </c>
      <c r="B1104" s="831" t="s">
        <v>3455</v>
      </c>
      <c r="C1104" s="830" t="s">
        <v>1901</v>
      </c>
      <c r="D1104" s="832">
        <v>7.12</v>
      </c>
    </row>
    <row r="1105" spans="1:4" x14ac:dyDescent="0.3">
      <c r="A1105" s="830">
        <v>90969</v>
      </c>
      <c r="B1105" s="831" t="s">
        <v>3457</v>
      </c>
      <c r="C1105" s="830" t="s">
        <v>1901</v>
      </c>
      <c r="D1105" s="832">
        <v>1.91</v>
      </c>
    </row>
    <row r="1106" spans="1:4" x14ac:dyDescent="0.3">
      <c r="A1106" s="830">
        <v>90970</v>
      </c>
      <c r="B1106" s="831" t="s">
        <v>3459</v>
      </c>
      <c r="C1106" s="830" t="s">
        <v>1901</v>
      </c>
      <c r="D1106" s="832">
        <v>8.91</v>
      </c>
    </row>
    <row r="1107" spans="1:4" x14ac:dyDescent="0.3">
      <c r="A1107" s="830">
        <v>90971</v>
      </c>
      <c r="B1107" s="831" t="s">
        <v>3461</v>
      </c>
      <c r="C1107" s="830" t="s">
        <v>1901</v>
      </c>
      <c r="D1107" s="832">
        <v>60.17</v>
      </c>
    </row>
    <row r="1108" spans="1:4" x14ac:dyDescent="0.3">
      <c r="A1108" s="830">
        <v>90975</v>
      </c>
      <c r="B1108" s="831" t="s">
        <v>5679</v>
      </c>
      <c r="C1108" s="830" t="s">
        <v>1901</v>
      </c>
      <c r="D1108" s="832">
        <v>18.09</v>
      </c>
    </row>
    <row r="1109" spans="1:4" x14ac:dyDescent="0.3">
      <c r="A1109" s="830">
        <v>90976</v>
      </c>
      <c r="B1109" s="831" t="s">
        <v>5680</v>
      </c>
      <c r="C1109" s="830" t="s">
        <v>1901</v>
      </c>
      <c r="D1109" s="832">
        <v>4.8499999999999996</v>
      </c>
    </row>
    <row r="1110" spans="1:4" x14ac:dyDescent="0.3">
      <c r="A1110" s="830">
        <v>90977</v>
      </c>
      <c r="B1110" s="831" t="s">
        <v>5681</v>
      </c>
      <c r="C1110" s="830" t="s">
        <v>1901</v>
      </c>
      <c r="D1110" s="832">
        <v>22.63</v>
      </c>
    </row>
    <row r="1111" spans="1:4" x14ac:dyDescent="0.3">
      <c r="A1111" s="830">
        <v>90978</v>
      </c>
      <c r="B1111" s="831" t="s">
        <v>5682</v>
      </c>
      <c r="C1111" s="830" t="s">
        <v>1901</v>
      </c>
      <c r="D1111" s="832">
        <v>156.1</v>
      </c>
    </row>
    <row r="1112" spans="1:4" x14ac:dyDescent="0.3">
      <c r="A1112" s="830">
        <v>90992</v>
      </c>
      <c r="B1112" s="831" t="s">
        <v>5683</v>
      </c>
      <c r="C1112" s="830" t="s">
        <v>1901</v>
      </c>
      <c r="D1112" s="832">
        <v>8.4499999999999993</v>
      </c>
    </row>
    <row r="1113" spans="1:4" x14ac:dyDescent="0.3">
      <c r="A1113" s="830">
        <v>90993</v>
      </c>
      <c r="B1113" s="831" t="s">
        <v>5684</v>
      </c>
      <c r="C1113" s="830" t="s">
        <v>1901</v>
      </c>
      <c r="D1113" s="832">
        <v>2.2599999999999998</v>
      </c>
    </row>
    <row r="1114" spans="1:4" x14ac:dyDescent="0.3">
      <c r="A1114" s="830">
        <v>90994</v>
      </c>
      <c r="B1114" s="831" t="s">
        <v>5685</v>
      </c>
      <c r="C1114" s="830" t="s">
        <v>1901</v>
      </c>
      <c r="D1114" s="832">
        <v>10.57</v>
      </c>
    </row>
    <row r="1115" spans="1:4" x14ac:dyDescent="0.3">
      <c r="A1115" s="830">
        <v>90995</v>
      </c>
      <c r="B1115" s="831" t="s">
        <v>5686</v>
      </c>
      <c r="C1115" s="830" t="s">
        <v>1901</v>
      </c>
      <c r="D1115" s="832">
        <v>81.73</v>
      </c>
    </row>
    <row r="1116" spans="1:4" x14ac:dyDescent="0.3">
      <c r="A1116" s="830">
        <v>91021</v>
      </c>
      <c r="B1116" s="831" t="s">
        <v>5687</v>
      </c>
      <c r="C1116" s="830" t="s">
        <v>1901</v>
      </c>
      <c r="D1116" s="832">
        <v>11.94</v>
      </c>
    </row>
    <row r="1117" spans="1:4" x14ac:dyDescent="0.3">
      <c r="A1117" s="830">
        <v>91026</v>
      </c>
      <c r="B1117" s="831" t="s">
        <v>5688</v>
      </c>
      <c r="C1117" s="830" t="s">
        <v>1901</v>
      </c>
      <c r="D1117" s="832">
        <v>24.77</v>
      </c>
    </row>
    <row r="1118" spans="1:4" x14ac:dyDescent="0.3">
      <c r="A1118" s="830">
        <v>91027</v>
      </c>
      <c r="B1118" s="831" t="s">
        <v>5689</v>
      </c>
      <c r="C1118" s="830" t="s">
        <v>1901</v>
      </c>
      <c r="D1118" s="832">
        <v>9.93</v>
      </c>
    </row>
    <row r="1119" spans="1:4" x14ac:dyDescent="0.3">
      <c r="A1119" s="830">
        <v>91028</v>
      </c>
      <c r="B1119" s="831" t="s">
        <v>5690</v>
      </c>
      <c r="C1119" s="830" t="s">
        <v>1901</v>
      </c>
      <c r="D1119" s="832">
        <v>4.01</v>
      </c>
    </row>
    <row r="1120" spans="1:4" x14ac:dyDescent="0.3">
      <c r="A1120" s="830">
        <v>91029</v>
      </c>
      <c r="B1120" s="831" t="s">
        <v>5691</v>
      </c>
      <c r="C1120" s="830" t="s">
        <v>1901</v>
      </c>
      <c r="D1120" s="832">
        <v>45.41</v>
      </c>
    </row>
    <row r="1121" spans="1:4" x14ac:dyDescent="0.3">
      <c r="A1121" s="830">
        <v>91030</v>
      </c>
      <c r="B1121" s="831" t="s">
        <v>5692</v>
      </c>
      <c r="C1121" s="830" t="s">
        <v>1901</v>
      </c>
      <c r="D1121" s="832">
        <v>145.63999999999999</v>
      </c>
    </row>
    <row r="1122" spans="1:4" x14ac:dyDescent="0.3">
      <c r="A1122" s="830">
        <v>91273</v>
      </c>
      <c r="B1122" s="831" t="s">
        <v>3853</v>
      </c>
      <c r="C1122" s="830" t="s">
        <v>1901</v>
      </c>
      <c r="D1122" s="832">
        <v>0.6</v>
      </c>
    </row>
    <row r="1123" spans="1:4" x14ac:dyDescent="0.3">
      <c r="A1123" s="830">
        <v>91274</v>
      </c>
      <c r="B1123" s="831" t="s">
        <v>3855</v>
      </c>
      <c r="C1123" s="830" t="s">
        <v>1901</v>
      </c>
      <c r="D1123" s="832">
        <v>0.16</v>
      </c>
    </row>
    <row r="1124" spans="1:4" x14ac:dyDescent="0.3">
      <c r="A1124" s="830">
        <v>91275</v>
      </c>
      <c r="B1124" s="831" t="s">
        <v>3857</v>
      </c>
      <c r="C1124" s="830" t="s">
        <v>1901</v>
      </c>
      <c r="D1124" s="832">
        <v>0.75</v>
      </c>
    </row>
    <row r="1125" spans="1:4" x14ac:dyDescent="0.3">
      <c r="A1125" s="830">
        <v>91276</v>
      </c>
      <c r="B1125" s="831" t="s">
        <v>3859</v>
      </c>
      <c r="C1125" s="830" t="s">
        <v>1901</v>
      </c>
      <c r="D1125" s="832">
        <v>8.7799999999999994</v>
      </c>
    </row>
    <row r="1126" spans="1:4" x14ac:dyDescent="0.3">
      <c r="A1126" s="830">
        <v>91279</v>
      </c>
      <c r="B1126" s="831" t="s">
        <v>3485</v>
      </c>
      <c r="C1126" s="830" t="s">
        <v>1901</v>
      </c>
      <c r="D1126" s="832">
        <v>0.9</v>
      </c>
    </row>
    <row r="1127" spans="1:4" x14ac:dyDescent="0.3">
      <c r="A1127" s="830">
        <v>91280</v>
      </c>
      <c r="B1127" s="831" t="s">
        <v>3487</v>
      </c>
      <c r="C1127" s="830" t="s">
        <v>1901</v>
      </c>
      <c r="D1127" s="832">
        <v>0.2</v>
      </c>
    </row>
    <row r="1128" spans="1:4" x14ac:dyDescent="0.3">
      <c r="A1128" s="830">
        <v>91281</v>
      </c>
      <c r="B1128" s="831" t="s">
        <v>3489</v>
      </c>
      <c r="C1128" s="830" t="s">
        <v>1901</v>
      </c>
      <c r="D1128" s="832">
        <v>1.1299999999999999</v>
      </c>
    </row>
    <row r="1129" spans="1:4" x14ac:dyDescent="0.3">
      <c r="A1129" s="830">
        <v>91282</v>
      </c>
      <c r="B1129" s="831" t="s">
        <v>3491</v>
      </c>
      <c r="C1129" s="830" t="s">
        <v>1901</v>
      </c>
      <c r="D1129" s="832">
        <v>8.84</v>
      </c>
    </row>
    <row r="1130" spans="1:4" x14ac:dyDescent="0.3">
      <c r="A1130" s="830">
        <v>91354</v>
      </c>
      <c r="B1130" s="831" t="s">
        <v>5693</v>
      </c>
      <c r="C1130" s="830" t="s">
        <v>1901</v>
      </c>
      <c r="D1130" s="832">
        <v>17.61</v>
      </c>
    </row>
    <row r="1131" spans="1:4" x14ac:dyDescent="0.3">
      <c r="A1131" s="830">
        <v>91355</v>
      </c>
      <c r="B1131" s="831" t="s">
        <v>5694</v>
      </c>
      <c r="C1131" s="830" t="s">
        <v>1901</v>
      </c>
      <c r="D1131" s="832">
        <v>7.24</v>
      </c>
    </row>
    <row r="1132" spans="1:4" x14ac:dyDescent="0.3">
      <c r="A1132" s="830">
        <v>91356</v>
      </c>
      <c r="B1132" s="831" t="s">
        <v>5695</v>
      </c>
      <c r="C1132" s="830" t="s">
        <v>1901</v>
      </c>
      <c r="D1132" s="832">
        <v>2.92</v>
      </c>
    </row>
    <row r="1133" spans="1:4" x14ac:dyDescent="0.3">
      <c r="A1133" s="830">
        <v>91359</v>
      </c>
      <c r="B1133" s="831" t="s">
        <v>2543</v>
      </c>
      <c r="C1133" s="830" t="s">
        <v>1901</v>
      </c>
      <c r="D1133" s="832">
        <v>20.99</v>
      </c>
    </row>
    <row r="1134" spans="1:4" x14ac:dyDescent="0.3">
      <c r="A1134" s="830">
        <v>91360</v>
      </c>
      <c r="B1134" s="831" t="s">
        <v>2545</v>
      </c>
      <c r="C1134" s="830" t="s">
        <v>1901</v>
      </c>
      <c r="D1134" s="832">
        <v>8.0299999999999994</v>
      </c>
    </row>
    <row r="1135" spans="1:4" x14ac:dyDescent="0.3">
      <c r="A1135" s="830">
        <v>91361</v>
      </c>
      <c r="B1135" s="831" t="s">
        <v>2547</v>
      </c>
      <c r="C1135" s="830" t="s">
        <v>1901</v>
      </c>
      <c r="D1135" s="832">
        <v>3.24</v>
      </c>
    </row>
    <row r="1136" spans="1:4" x14ac:dyDescent="0.3">
      <c r="A1136" s="830">
        <v>91367</v>
      </c>
      <c r="B1136" s="831" t="s">
        <v>4326</v>
      </c>
      <c r="C1136" s="830" t="s">
        <v>1901</v>
      </c>
      <c r="D1136" s="832">
        <v>22.21</v>
      </c>
    </row>
    <row r="1137" spans="1:4" x14ac:dyDescent="0.3">
      <c r="A1137" s="830">
        <v>91368</v>
      </c>
      <c r="B1137" s="831" t="s">
        <v>4328</v>
      </c>
      <c r="C1137" s="830" t="s">
        <v>1901</v>
      </c>
      <c r="D1137" s="832">
        <v>8.52</v>
      </c>
    </row>
    <row r="1138" spans="1:4" x14ac:dyDescent="0.3">
      <c r="A1138" s="830">
        <v>91369</v>
      </c>
      <c r="B1138" s="831" t="s">
        <v>4330</v>
      </c>
      <c r="C1138" s="830" t="s">
        <v>1901</v>
      </c>
      <c r="D1138" s="832">
        <v>3.44</v>
      </c>
    </row>
    <row r="1139" spans="1:4" x14ac:dyDescent="0.3">
      <c r="A1139" s="830">
        <v>91375</v>
      </c>
      <c r="B1139" s="831" t="s">
        <v>5696</v>
      </c>
      <c r="C1139" s="830" t="s">
        <v>1901</v>
      </c>
      <c r="D1139" s="832">
        <v>19.34</v>
      </c>
    </row>
    <row r="1140" spans="1:4" x14ac:dyDescent="0.3">
      <c r="A1140" s="830">
        <v>91376</v>
      </c>
      <c r="B1140" s="831" t="s">
        <v>5697</v>
      </c>
      <c r="C1140" s="830" t="s">
        <v>1901</v>
      </c>
      <c r="D1140" s="832">
        <v>7.95</v>
      </c>
    </row>
    <row r="1141" spans="1:4" x14ac:dyDescent="0.3">
      <c r="A1141" s="830">
        <v>91377</v>
      </c>
      <c r="B1141" s="831" t="s">
        <v>5698</v>
      </c>
      <c r="C1141" s="830" t="s">
        <v>1901</v>
      </c>
      <c r="D1141" s="832">
        <v>3.21</v>
      </c>
    </row>
    <row r="1142" spans="1:4" x14ac:dyDescent="0.3">
      <c r="A1142" s="830">
        <v>91380</v>
      </c>
      <c r="B1142" s="831" t="s">
        <v>3382</v>
      </c>
      <c r="C1142" s="830" t="s">
        <v>1901</v>
      </c>
      <c r="D1142" s="832">
        <v>29.22</v>
      </c>
    </row>
    <row r="1143" spans="1:4" x14ac:dyDescent="0.3">
      <c r="A1143" s="830">
        <v>91381</v>
      </c>
      <c r="B1143" s="831" t="s">
        <v>3384</v>
      </c>
      <c r="C1143" s="830" t="s">
        <v>1901</v>
      </c>
      <c r="D1143" s="832">
        <v>11.21</v>
      </c>
    </row>
    <row r="1144" spans="1:4" x14ac:dyDescent="0.3">
      <c r="A1144" s="830">
        <v>91382</v>
      </c>
      <c r="B1144" s="831" t="s">
        <v>3386</v>
      </c>
      <c r="C1144" s="830" t="s">
        <v>1901</v>
      </c>
      <c r="D1144" s="832">
        <v>4.53</v>
      </c>
    </row>
    <row r="1145" spans="1:4" x14ac:dyDescent="0.3">
      <c r="A1145" s="830">
        <v>91383</v>
      </c>
      <c r="B1145" s="831" t="s">
        <v>3388</v>
      </c>
      <c r="C1145" s="830" t="s">
        <v>1901</v>
      </c>
      <c r="D1145" s="832">
        <v>52.56</v>
      </c>
    </row>
    <row r="1146" spans="1:4" x14ac:dyDescent="0.3">
      <c r="A1146" s="830">
        <v>91384</v>
      </c>
      <c r="B1146" s="831" t="s">
        <v>3390</v>
      </c>
      <c r="C1146" s="830" t="s">
        <v>1901</v>
      </c>
      <c r="D1146" s="832">
        <v>140.77000000000001</v>
      </c>
    </row>
    <row r="1147" spans="1:4" x14ac:dyDescent="0.3">
      <c r="A1147" s="830">
        <v>91390</v>
      </c>
      <c r="B1147" s="831" t="s">
        <v>5699</v>
      </c>
      <c r="C1147" s="830" t="s">
        <v>1901</v>
      </c>
      <c r="D1147" s="832">
        <v>19.260000000000002</v>
      </c>
    </row>
    <row r="1148" spans="1:4" x14ac:dyDescent="0.3">
      <c r="A1148" s="830">
        <v>91391</v>
      </c>
      <c r="B1148" s="831" t="s">
        <v>5700</v>
      </c>
      <c r="C1148" s="830" t="s">
        <v>1901</v>
      </c>
      <c r="D1148" s="832">
        <v>7.67</v>
      </c>
    </row>
    <row r="1149" spans="1:4" x14ac:dyDescent="0.3">
      <c r="A1149" s="830">
        <v>91392</v>
      </c>
      <c r="B1149" s="831" t="s">
        <v>5701</v>
      </c>
      <c r="C1149" s="830" t="s">
        <v>1901</v>
      </c>
      <c r="D1149" s="832">
        <v>3.09</v>
      </c>
    </row>
    <row r="1150" spans="1:4" x14ac:dyDescent="0.3">
      <c r="A1150" s="830">
        <v>91396</v>
      </c>
      <c r="B1150" s="831" t="s">
        <v>3419</v>
      </c>
      <c r="C1150" s="830" t="s">
        <v>1901</v>
      </c>
      <c r="D1150" s="832">
        <v>29.11</v>
      </c>
    </row>
    <row r="1151" spans="1:4" x14ac:dyDescent="0.3">
      <c r="A1151" s="830">
        <v>91397</v>
      </c>
      <c r="B1151" s="831" t="s">
        <v>3421</v>
      </c>
      <c r="C1151" s="830" t="s">
        <v>1901</v>
      </c>
      <c r="D1151" s="832">
        <v>11.25</v>
      </c>
    </row>
    <row r="1152" spans="1:4" x14ac:dyDescent="0.3">
      <c r="A1152" s="830">
        <v>91398</v>
      </c>
      <c r="B1152" s="831" t="s">
        <v>3423</v>
      </c>
      <c r="C1152" s="830" t="s">
        <v>1901</v>
      </c>
      <c r="D1152" s="832">
        <v>4.54</v>
      </c>
    </row>
    <row r="1153" spans="1:4" x14ac:dyDescent="0.3">
      <c r="A1153" s="830">
        <v>91402</v>
      </c>
      <c r="B1153" s="831" t="s">
        <v>5702</v>
      </c>
      <c r="C1153" s="830" t="s">
        <v>1901</v>
      </c>
      <c r="D1153" s="832">
        <v>3.57</v>
      </c>
    </row>
    <row r="1154" spans="1:4" x14ac:dyDescent="0.3">
      <c r="A1154" s="830">
        <v>91466</v>
      </c>
      <c r="B1154" s="831" t="s">
        <v>3764</v>
      </c>
      <c r="C1154" s="830" t="s">
        <v>1901</v>
      </c>
      <c r="D1154" s="832">
        <v>4.05</v>
      </c>
    </row>
    <row r="1155" spans="1:4" x14ac:dyDescent="0.3">
      <c r="A1155" s="830">
        <v>91467</v>
      </c>
      <c r="B1155" s="831" t="s">
        <v>3768</v>
      </c>
      <c r="C1155" s="830" t="s">
        <v>1901</v>
      </c>
      <c r="D1155" s="832">
        <v>156.99</v>
      </c>
    </row>
    <row r="1156" spans="1:4" x14ac:dyDescent="0.3">
      <c r="A1156" s="830">
        <v>91468</v>
      </c>
      <c r="B1156" s="831" t="s">
        <v>5703</v>
      </c>
      <c r="C1156" s="830" t="s">
        <v>1901</v>
      </c>
      <c r="D1156" s="832">
        <v>25.48</v>
      </c>
    </row>
    <row r="1157" spans="1:4" x14ac:dyDescent="0.3">
      <c r="A1157" s="830">
        <v>91469</v>
      </c>
      <c r="B1157" s="831" t="s">
        <v>5704</v>
      </c>
      <c r="C1157" s="830" t="s">
        <v>1901</v>
      </c>
      <c r="D1157" s="832">
        <v>9.9700000000000006</v>
      </c>
    </row>
    <row r="1158" spans="1:4" x14ac:dyDescent="0.3">
      <c r="A1158" s="830">
        <v>91484</v>
      </c>
      <c r="B1158" s="831" t="s">
        <v>5705</v>
      </c>
      <c r="C1158" s="830" t="s">
        <v>1901</v>
      </c>
      <c r="D1158" s="832">
        <v>4.0199999999999996</v>
      </c>
    </row>
    <row r="1159" spans="1:4" x14ac:dyDescent="0.3">
      <c r="A1159" s="830">
        <v>91485</v>
      </c>
      <c r="B1159" s="831" t="s">
        <v>5706</v>
      </c>
      <c r="C1159" s="830" t="s">
        <v>1901</v>
      </c>
      <c r="D1159" s="832">
        <v>153.66</v>
      </c>
    </row>
    <row r="1160" spans="1:4" x14ac:dyDescent="0.3">
      <c r="A1160" s="830">
        <v>91529</v>
      </c>
      <c r="B1160" s="831" t="s">
        <v>3443</v>
      </c>
      <c r="C1160" s="830" t="s">
        <v>1901</v>
      </c>
      <c r="D1160" s="832">
        <v>0.88</v>
      </c>
    </row>
    <row r="1161" spans="1:4" x14ac:dyDescent="0.3">
      <c r="A1161" s="830">
        <v>91530</v>
      </c>
      <c r="B1161" s="831" t="s">
        <v>3445</v>
      </c>
      <c r="C1161" s="830" t="s">
        <v>1901</v>
      </c>
      <c r="D1161" s="832">
        <v>0.23</v>
      </c>
    </row>
    <row r="1162" spans="1:4" x14ac:dyDescent="0.3">
      <c r="A1162" s="830">
        <v>91531</v>
      </c>
      <c r="B1162" s="831" t="s">
        <v>3447</v>
      </c>
      <c r="C1162" s="830" t="s">
        <v>1901</v>
      </c>
      <c r="D1162" s="832">
        <v>1.1100000000000001</v>
      </c>
    </row>
    <row r="1163" spans="1:4" x14ac:dyDescent="0.3">
      <c r="A1163" s="830">
        <v>91532</v>
      </c>
      <c r="B1163" s="831" t="s">
        <v>3449</v>
      </c>
      <c r="C1163" s="830" t="s">
        <v>1901</v>
      </c>
      <c r="D1163" s="832">
        <v>6.28</v>
      </c>
    </row>
    <row r="1164" spans="1:4" x14ac:dyDescent="0.3">
      <c r="A1164" s="830">
        <v>91629</v>
      </c>
      <c r="B1164" s="831" t="s">
        <v>5707</v>
      </c>
      <c r="C1164" s="830" t="s">
        <v>1901</v>
      </c>
      <c r="D1164" s="832">
        <v>21.63</v>
      </c>
    </row>
    <row r="1165" spans="1:4" x14ac:dyDescent="0.3">
      <c r="A1165" s="830">
        <v>91630</v>
      </c>
      <c r="B1165" s="831" t="s">
        <v>5708</v>
      </c>
      <c r="C1165" s="830" t="s">
        <v>1901</v>
      </c>
      <c r="D1165" s="832">
        <v>8.0399999999999991</v>
      </c>
    </row>
    <row r="1166" spans="1:4" x14ac:dyDescent="0.3">
      <c r="A1166" s="830">
        <v>91631</v>
      </c>
      <c r="B1166" s="831" t="s">
        <v>5709</v>
      </c>
      <c r="C1166" s="830" t="s">
        <v>1901</v>
      </c>
      <c r="D1166" s="832">
        <v>3.24</v>
      </c>
    </row>
    <row r="1167" spans="1:4" x14ac:dyDescent="0.3">
      <c r="A1167" s="830">
        <v>91632</v>
      </c>
      <c r="B1167" s="831" t="s">
        <v>5710</v>
      </c>
      <c r="C1167" s="830" t="s">
        <v>1901</v>
      </c>
      <c r="D1167" s="832">
        <v>37.020000000000003</v>
      </c>
    </row>
    <row r="1168" spans="1:4" x14ac:dyDescent="0.3">
      <c r="A1168" s="830">
        <v>91633</v>
      </c>
      <c r="B1168" s="831" t="s">
        <v>5711</v>
      </c>
      <c r="C1168" s="830" t="s">
        <v>1901</v>
      </c>
      <c r="D1168" s="832">
        <v>132.87</v>
      </c>
    </row>
    <row r="1169" spans="1:4" x14ac:dyDescent="0.3">
      <c r="A1169" s="830">
        <v>91640</v>
      </c>
      <c r="B1169" s="831" t="s">
        <v>5712</v>
      </c>
      <c r="C1169" s="830" t="s">
        <v>1901</v>
      </c>
      <c r="D1169" s="832">
        <v>41.47</v>
      </c>
    </row>
    <row r="1170" spans="1:4" x14ac:dyDescent="0.3">
      <c r="A1170" s="830">
        <v>91641</v>
      </c>
      <c r="B1170" s="831" t="s">
        <v>5713</v>
      </c>
      <c r="C1170" s="830" t="s">
        <v>1901</v>
      </c>
      <c r="D1170" s="832">
        <v>16.739999999999998</v>
      </c>
    </row>
    <row r="1171" spans="1:4" x14ac:dyDescent="0.3">
      <c r="A1171" s="830">
        <v>91642</v>
      </c>
      <c r="B1171" s="831" t="s">
        <v>5714</v>
      </c>
      <c r="C1171" s="830" t="s">
        <v>1901</v>
      </c>
      <c r="D1171" s="832">
        <v>6.77</v>
      </c>
    </row>
    <row r="1172" spans="1:4" x14ac:dyDescent="0.3">
      <c r="A1172" s="830">
        <v>91643</v>
      </c>
      <c r="B1172" s="831" t="s">
        <v>5715</v>
      </c>
      <c r="C1172" s="830" t="s">
        <v>1901</v>
      </c>
      <c r="D1172" s="832">
        <v>74.81</v>
      </c>
    </row>
    <row r="1173" spans="1:4" x14ac:dyDescent="0.3">
      <c r="A1173" s="830">
        <v>91644</v>
      </c>
      <c r="B1173" s="831" t="s">
        <v>5716</v>
      </c>
      <c r="C1173" s="830" t="s">
        <v>1901</v>
      </c>
      <c r="D1173" s="832">
        <v>299.01</v>
      </c>
    </row>
    <row r="1174" spans="1:4" x14ac:dyDescent="0.3">
      <c r="A1174" s="830">
        <v>91688</v>
      </c>
      <c r="B1174" s="831" t="s">
        <v>3987</v>
      </c>
      <c r="C1174" s="830" t="s">
        <v>1901</v>
      </c>
      <c r="D1174" s="832">
        <v>0.1</v>
      </c>
    </row>
    <row r="1175" spans="1:4" x14ac:dyDescent="0.3">
      <c r="A1175" s="830">
        <v>91689</v>
      </c>
      <c r="B1175" s="831" t="s">
        <v>3989</v>
      </c>
      <c r="C1175" s="830" t="s">
        <v>1901</v>
      </c>
      <c r="D1175" s="832">
        <v>0.02</v>
      </c>
    </row>
    <row r="1176" spans="1:4" x14ac:dyDescent="0.3">
      <c r="A1176" s="830">
        <v>91690</v>
      </c>
      <c r="B1176" s="831" t="s">
        <v>3991</v>
      </c>
      <c r="C1176" s="830" t="s">
        <v>1901</v>
      </c>
      <c r="D1176" s="832">
        <v>7.0000000000000007E-2</v>
      </c>
    </row>
    <row r="1177" spans="1:4" x14ac:dyDescent="0.3">
      <c r="A1177" s="830">
        <v>91691</v>
      </c>
      <c r="B1177" s="831" t="s">
        <v>3993</v>
      </c>
      <c r="C1177" s="830" t="s">
        <v>1901</v>
      </c>
      <c r="D1177" s="832">
        <v>0.97</v>
      </c>
    </row>
    <row r="1178" spans="1:4" x14ac:dyDescent="0.3">
      <c r="A1178" s="830">
        <v>92040</v>
      </c>
      <c r="B1178" s="831" t="s">
        <v>5717</v>
      </c>
      <c r="C1178" s="830" t="s">
        <v>1901</v>
      </c>
      <c r="D1178" s="832">
        <v>6.47</v>
      </c>
    </row>
    <row r="1179" spans="1:4" x14ac:dyDescent="0.3">
      <c r="A1179" s="830">
        <v>92041</v>
      </c>
      <c r="B1179" s="831" t="s">
        <v>5718</v>
      </c>
      <c r="C1179" s="830" t="s">
        <v>1901</v>
      </c>
      <c r="D1179" s="832">
        <v>1.33</v>
      </c>
    </row>
    <row r="1180" spans="1:4" x14ac:dyDescent="0.3">
      <c r="A1180" s="830">
        <v>92042</v>
      </c>
      <c r="B1180" s="831" t="s">
        <v>5719</v>
      </c>
      <c r="C1180" s="830" t="s">
        <v>1901</v>
      </c>
      <c r="D1180" s="832">
        <v>5.39</v>
      </c>
    </row>
    <row r="1181" spans="1:4" x14ac:dyDescent="0.3">
      <c r="A1181" s="830">
        <v>92101</v>
      </c>
      <c r="B1181" s="831" t="s">
        <v>4336</v>
      </c>
      <c r="C1181" s="830" t="s">
        <v>1901</v>
      </c>
      <c r="D1181" s="832">
        <v>44.82</v>
      </c>
    </row>
    <row r="1182" spans="1:4" x14ac:dyDescent="0.3">
      <c r="A1182" s="830">
        <v>92102</v>
      </c>
      <c r="B1182" s="831" t="s">
        <v>4338</v>
      </c>
      <c r="C1182" s="830" t="s">
        <v>1901</v>
      </c>
      <c r="D1182" s="832">
        <v>14.05</v>
      </c>
    </row>
    <row r="1183" spans="1:4" x14ac:dyDescent="0.3">
      <c r="A1183" s="830">
        <v>92103</v>
      </c>
      <c r="B1183" s="831" t="s">
        <v>4337</v>
      </c>
      <c r="C1183" s="830" t="s">
        <v>1901</v>
      </c>
      <c r="D1183" s="832">
        <v>5.68</v>
      </c>
    </row>
    <row r="1184" spans="1:4" x14ac:dyDescent="0.3">
      <c r="A1184" s="830">
        <v>92104</v>
      </c>
      <c r="B1184" s="831" t="s">
        <v>4339</v>
      </c>
      <c r="C1184" s="830" t="s">
        <v>1901</v>
      </c>
      <c r="D1184" s="832">
        <v>70.75</v>
      </c>
    </row>
    <row r="1185" spans="1:4" x14ac:dyDescent="0.3">
      <c r="A1185" s="830">
        <v>92105</v>
      </c>
      <c r="B1185" s="831" t="s">
        <v>4335</v>
      </c>
      <c r="C1185" s="830" t="s">
        <v>1901</v>
      </c>
      <c r="D1185" s="832">
        <v>191.03</v>
      </c>
    </row>
    <row r="1186" spans="1:4" x14ac:dyDescent="0.3">
      <c r="A1186" s="830">
        <v>92108</v>
      </c>
      <c r="B1186" s="831" t="s">
        <v>5720</v>
      </c>
      <c r="C1186" s="830" t="s">
        <v>1901</v>
      </c>
      <c r="D1186" s="832">
        <v>0.97</v>
      </c>
    </row>
    <row r="1187" spans="1:4" x14ac:dyDescent="0.3">
      <c r="A1187" s="830">
        <v>92109</v>
      </c>
      <c r="B1187" s="831" t="s">
        <v>5721</v>
      </c>
      <c r="C1187" s="830" t="s">
        <v>1901</v>
      </c>
      <c r="D1187" s="832">
        <v>0.22</v>
      </c>
    </row>
    <row r="1188" spans="1:4" x14ac:dyDescent="0.3">
      <c r="A1188" s="830">
        <v>92110</v>
      </c>
      <c r="B1188" s="831" t="s">
        <v>5722</v>
      </c>
      <c r="C1188" s="830" t="s">
        <v>1901</v>
      </c>
      <c r="D1188" s="832">
        <v>1.22</v>
      </c>
    </row>
    <row r="1189" spans="1:4" x14ac:dyDescent="0.3">
      <c r="A1189" s="830">
        <v>92111</v>
      </c>
      <c r="B1189" s="831" t="s">
        <v>5723</v>
      </c>
      <c r="C1189" s="830" t="s">
        <v>1901</v>
      </c>
      <c r="D1189" s="832">
        <v>0.9</v>
      </c>
    </row>
    <row r="1190" spans="1:4" x14ac:dyDescent="0.3">
      <c r="A1190" s="830">
        <v>92114</v>
      </c>
      <c r="B1190" s="831" t="s">
        <v>5724</v>
      </c>
      <c r="C1190" s="830" t="s">
        <v>1901</v>
      </c>
      <c r="D1190" s="832">
        <v>0.24</v>
      </c>
    </row>
    <row r="1191" spans="1:4" x14ac:dyDescent="0.3">
      <c r="A1191" s="830">
        <v>92115</v>
      </c>
      <c r="B1191" s="831" t="s">
        <v>5725</v>
      </c>
      <c r="C1191" s="830" t="s">
        <v>1901</v>
      </c>
      <c r="D1191" s="832">
        <v>0.05</v>
      </c>
    </row>
    <row r="1192" spans="1:4" x14ac:dyDescent="0.3">
      <c r="A1192" s="830">
        <v>92116</v>
      </c>
      <c r="B1192" s="831" t="s">
        <v>5726</v>
      </c>
      <c r="C1192" s="830" t="s">
        <v>1901</v>
      </c>
      <c r="D1192" s="832">
        <v>0.17</v>
      </c>
    </row>
    <row r="1193" spans="1:4" x14ac:dyDescent="0.3">
      <c r="A1193" s="830">
        <v>92133</v>
      </c>
      <c r="B1193" s="831" t="s">
        <v>5727</v>
      </c>
      <c r="C1193" s="830" t="s">
        <v>1901</v>
      </c>
      <c r="D1193" s="832">
        <v>12.74</v>
      </c>
    </row>
    <row r="1194" spans="1:4" x14ac:dyDescent="0.3">
      <c r="A1194" s="830">
        <v>92134</v>
      </c>
      <c r="B1194" s="831" t="s">
        <v>5728</v>
      </c>
      <c r="C1194" s="830" t="s">
        <v>1901</v>
      </c>
      <c r="D1194" s="832">
        <v>3.93</v>
      </c>
    </row>
    <row r="1195" spans="1:4" x14ac:dyDescent="0.3">
      <c r="A1195" s="830">
        <v>92135</v>
      </c>
      <c r="B1195" s="831" t="s">
        <v>5729</v>
      </c>
      <c r="C1195" s="830" t="s">
        <v>1901</v>
      </c>
      <c r="D1195" s="832">
        <v>1.59</v>
      </c>
    </row>
    <row r="1196" spans="1:4" x14ac:dyDescent="0.3">
      <c r="A1196" s="830">
        <v>92136</v>
      </c>
      <c r="B1196" s="831" t="s">
        <v>5730</v>
      </c>
      <c r="C1196" s="830" t="s">
        <v>1901</v>
      </c>
      <c r="D1196" s="832">
        <v>15.93</v>
      </c>
    </row>
    <row r="1197" spans="1:4" x14ac:dyDescent="0.3">
      <c r="A1197" s="830">
        <v>92137</v>
      </c>
      <c r="B1197" s="831" t="s">
        <v>5731</v>
      </c>
      <c r="C1197" s="830" t="s">
        <v>1901</v>
      </c>
      <c r="D1197" s="832">
        <v>34.979999999999997</v>
      </c>
    </row>
    <row r="1198" spans="1:4" x14ac:dyDescent="0.3">
      <c r="A1198" s="830">
        <v>92140</v>
      </c>
      <c r="B1198" s="831" t="s">
        <v>5732</v>
      </c>
      <c r="C1198" s="830" t="s">
        <v>1901</v>
      </c>
      <c r="D1198" s="832">
        <v>4.67</v>
      </c>
    </row>
    <row r="1199" spans="1:4" x14ac:dyDescent="0.3">
      <c r="A1199" s="830">
        <v>92141</v>
      </c>
      <c r="B1199" s="831" t="s">
        <v>5733</v>
      </c>
      <c r="C1199" s="830" t="s">
        <v>1901</v>
      </c>
      <c r="D1199" s="832">
        <v>1.44</v>
      </c>
    </row>
    <row r="1200" spans="1:4" x14ac:dyDescent="0.3">
      <c r="A1200" s="830">
        <v>92142</v>
      </c>
      <c r="B1200" s="831" t="s">
        <v>5734</v>
      </c>
      <c r="C1200" s="830" t="s">
        <v>1901</v>
      </c>
      <c r="D1200" s="832">
        <v>0.57999999999999996</v>
      </c>
    </row>
    <row r="1201" spans="1:4" x14ac:dyDescent="0.3">
      <c r="A1201" s="830">
        <v>92143</v>
      </c>
      <c r="B1201" s="831" t="s">
        <v>5735</v>
      </c>
      <c r="C1201" s="830" t="s">
        <v>1901</v>
      </c>
      <c r="D1201" s="832">
        <v>5.83</v>
      </c>
    </row>
    <row r="1202" spans="1:4" x14ac:dyDescent="0.3">
      <c r="A1202" s="830">
        <v>92144</v>
      </c>
      <c r="B1202" s="831" t="s">
        <v>5736</v>
      </c>
      <c r="C1202" s="830" t="s">
        <v>1901</v>
      </c>
      <c r="D1202" s="832">
        <v>40.799999999999997</v>
      </c>
    </row>
    <row r="1203" spans="1:4" x14ac:dyDescent="0.3">
      <c r="A1203" s="830">
        <v>92237</v>
      </c>
      <c r="B1203" s="831" t="s">
        <v>5737</v>
      </c>
      <c r="C1203" s="830" t="s">
        <v>1901</v>
      </c>
      <c r="D1203" s="832">
        <v>30.19</v>
      </c>
    </row>
    <row r="1204" spans="1:4" x14ac:dyDescent="0.3">
      <c r="A1204" s="830">
        <v>92238</v>
      </c>
      <c r="B1204" s="831" t="s">
        <v>5738</v>
      </c>
      <c r="C1204" s="830" t="s">
        <v>1901</v>
      </c>
      <c r="D1204" s="832">
        <v>12.16</v>
      </c>
    </row>
    <row r="1205" spans="1:4" x14ac:dyDescent="0.3">
      <c r="A1205" s="830">
        <v>92239</v>
      </c>
      <c r="B1205" s="831" t="s">
        <v>5739</v>
      </c>
      <c r="C1205" s="830" t="s">
        <v>1901</v>
      </c>
      <c r="D1205" s="832">
        <v>4.91</v>
      </c>
    </row>
    <row r="1206" spans="1:4" x14ac:dyDescent="0.3">
      <c r="A1206" s="830">
        <v>92240</v>
      </c>
      <c r="B1206" s="831" t="s">
        <v>5740</v>
      </c>
      <c r="C1206" s="830" t="s">
        <v>1901</v>
      </c>
      <c r="D1206" s="832">
        <v>54.23</v>
      </c>
    </row>
    <row r="1207" spans="1:4" x14ac:dyDescent="0.3">
      <c r="A1207" s="830">
        <v>92241</v>
      </c>
      <c r="B1207" s="831" t="s">
        <v>5741</v>
      </c>
      <c r="C1207" s="830" t="s">
        <v>1901</v>
      </c>
      <c r="D1207" s="832">
        <v>274.13</v>
      </c>
    </row>
    <row r="1208" spans="1:4" x14ac:dyDescent="0.3">
      <c r="A1208" s="830">
        <v>92712</v>
      </c>
      <c r="B1208" s="831" t="s">
        <v>5742</v>
      </c>
      <c r="C1208" s="830" t="s">
        <v>1901</v>
      </c>
      <c r="D1208" s="832">
        <v>0.14000000000000001</v>
      </c>
    </row>
    <row r="1209" spans="1:4" x14ac:dyDescent="0.3">
      <c r="A1209" s="830">
        <v>92713</v>
      </c>
      <c r="B1209" s="831" t="s">
        <v>5743</v>
      </c>
      <c r="C1209" s="830" t="s">
        <v>1901</v>
      </c>
      <c r="D1209" s="832">
        <v>0.03</v>
      </c>
    </row>
    <row r="1210" spans="1:4" x14ac:dyDescent="0.3">
      <c r="A1210" s="830">
        <v>92714</v>
      </c>
      <c r="B1210" s="831" t="s">
        <v>5744</v>
      </c>
      <c r="C1210" s="830" t="s">
        <v>1901</v>
      </c>
      <c r="D1210" s="832">
        <v>0.17</v>
      </c>
    </row>
    <row r="1211" spans="1:4" x14ac:dyDescent="0.3">
      <c r="A1211" s="830">
        <v>92715</v>
      </c>
      <c r="B1211" s="831" t="s">
        <v>5745</v>
      </c>
      <c r="C1211" s="830" t="s">
        <v>1901</v>
      </c>
      <c r="D1211" s="832">
        <v>99.09</v>
      </c>
    </row>
    <row r="1212" spans="1:4" x14ac:dyDescent="0.3">
      <c r="A1212" s="830">
        <v>92956</v>
      </c>
      <c r="B1212" s="831" t="s">
        <v>5746</v>
      </c>
      <c r="C1212" s="830" t="s">
        <v>1901</v>
      </c>
      <c r="D1212" s="832">
        <v>4.3</v>
      </c>
    </row>
    <row r="1213" spans="1:4" x14ac:dyDescent="0.3">
      <c r="A1213" s="830">
        <v>92957</v>
      </c>
      <c r="B1213" s="831" t="s">
        <v>5747</v>
      </c>
      <c r="C1213" s="830" t="s">
        <v>1901</v>
      </c>
      <c r="D1213" s="832">
        <v>0.99</v>
      </c>
    </row>
    <row r="1214" spans="1:4" x14ac:dyDescent="0.3">
      <c r="A1214" s="830">
        <v>92958</v>
      </c>
      <c r="B1214" s="831" t="s">
        <v>5748</v>
      </c>
      <c r="C1214" s="830" t="s">
        <v>1901</v>
      </c>
      <c r="D1214" s="832">
        <v>4.7</v>
      </c>
    </row>
    <row r="1215" spans="1:4" x14ac:dyDescent="0.3">
      <c r="A1215" s="830">
        <v>92959</v>
      </c>
      <c r="B1215" s="831" t="s">
        <v>5749</v>
      </c>
      <c r="C1215" s="830" t="s">
        <v>1901</v>
      </c>
      <c r="D1215" s="832">
        <v>9.1999999999999993</v>
      </c>
    </row>
    <row r="1216" spans="1:4" x14ac:dyDescent="0.3">
      <c r="A1216" s="830">
        <v>92963</v>
      </c>
      <c r="B1216" s="831" t="s">
        <v>5750</v>
      </c>
      <c r="C1216" s="830" t="s">
        <v>1901</v>
      </c>
      <c r="D1216" s="832">
        <v>1.8</v>
      </c>
    </row>
    <row r="1217" spans="1:4" x14ac:dyDescent="0.3">
      <c r="A1217" s="830">
        <v>92964</v>
      </c>
      <c r="B1217" s="831" t="s">
        <v>5751</v>
      </c>
      <c r="C1217" s="830" t="s">
        <v>1901</v>
      </c>
      <c r="D1217" s="832">
        <v>0.41</v>
      </c>
    </row>
    <row r="1218" spans="1:4" x14ac:dyDescent="0.3">
      <c r="A1218" s="830">
        <v>92965</v>
      </c>
      <c r="B1218" s="831" t="s">
        <v>5752</v>
      </c>
      <c r="C1218" s="830" t="s">
        <v>1901</v>
      </c>
      <c r="D1218" s="832">
        <v>2.2599999999999998</v>
      </c>
    </row>
    <row r="1219" spans="1:4" x14ac:dyDescent="0.3">
      <c r="A1219" s="830">
        <v>93220</v>
      </c>
      <c r="B1219" s="831" t="s">
        <v>5753</v>
      </c>
      <c r="C1219" s="830" t="s">
        <v>1901</v>
      </c>
      <c r="D1219" s="832">
        <v>365.69</v>
      </c>
    </row>
    <row r="1220" spans="1:4" x14ac:dyDescent="0.3">
      <c r="A1220" s="830">
        <v>93221</v>
      </c>
      <c r="B1220" s="831" t="s">
        <v>5754</v>
      </c>
      <c r="C1220" s="830" t="s">
        <v>1901</v>
      </c>
      <c r="D1220" s="832">
        <v>98.11</v>
      </c>
    </row>
    <row r="1221" spans="1:4" x14ac:dyDescent="0.3">
      <c r="A1221" s="830">
        <v>93222</v>
      </c>
      <c r="B1221" s="831" t="s">
        <v>5755</v>
      </c>
      <c r="C1221" s="830" t="s">
        <v>1901</v>
      </c>
      <c r="D1221" s="832">
        <v>457.62</v>
      </c>
    </row>
    <row r="1222" spans="1:4" x14ac:dyDescent="0.3">
      <c r="A1222" s="830">
        <v>93223</v>
      </c>
      <c r="B1222" s="831" t="s">
        <v>5756</v>
      </c>
      <c r="C1222" s="830" t="s">
        <v>1901</v>
      </c>
      <c r="D1222" s="832">
        <v>155.09</v>
      </c>
    </row>
    <row r="1223" spans="1:4" x14ac:dyDescent="0.3">
      <c r="A1223" s="830">
        <v>93229</v>
      </c>
      <c r="B1223" s="831" t="s">
        <v>5757</v>
      </c>
      <c r="C1223" s="830" t="s">
        <v>1901</v>
      </c>
      <c r="D1223" s="832">
        <v>0.41</v>
      </c>
    </row>
    <row r="1224" spans="1:4" x14ac:dyDescent="0.3">
      <c r="A1224" s="830">
        <v>93230</v>
      </c>
      <c r="B1224" s="831" t="s">
        <v>5758</v>
      </c>
      <c r="C1224" s="830" t="s">
        <v>1901</v>
      </c>
      <c r="D1224" s="832">
        <v>0.09</v>
      </c>
    </row>
    <row r="1225" spans="1:4" x14ac:dyDescent="0.3">
      <c r="A1225" s="830">
        <v>93231</v>
      </c>
      <c r="B1225" s="831" t="s">
        <v>5759</v>
      </c>
      <c r="C1225" s="830" t="s">
        <v>1901</v>
      </c>
      <c r="D1225" s="832">
        <v>0.52</v>
      </c>
    </row>
    <row r="1226" spans="1:4" x14ac:dyDescent="0.3">
      <c r="A1226" s="830">
        <v>93232</v>
      </c>
      <c r="B1226" s="831" t="s">
        <v>5760</v>
      </c>
      <c r="C1226" s="830" t="s">
        <v>1901</v>
      </c>
      <c r="D1226" s="832">
        <v>4.6900000000000004</v>
      </c>
    </row>
    <row r="1227" spans="1:4" x14ac:dyDescent="0.3">
      <c r="A1227" s="830">
        <v>93235</v>
      </c>
      <c r="B1227" s="831" t="s">
        <v>5761</v>
      </c>
      <c r="C1227" s="830" t="s">
        <v>1901</v>
      </c>
      <c r="D1227" s="832">
        <v>2.52</v>
      </c>
    </row>
    <row r="1228" spans="1:4" x14ac:dyDescent="0.3">
      <c r="A1228" s="830">
        <v>93238</v>
      </c>
      <c r="B1228" s="831" t="s">
        <v>3983</v>
      </c>
      <c r="C1228" s="830" t="s">
        <v>1901</v>
      </c>
      <c r="D1228" s="832">
        <v>2.59</v>
      </c>
    </row>
    <row r="1229" spans="1:4" x14ac:dyDescent="0.3">
      <c r="A1229" s="830">
        <v>93239</v>
      </c>
      <c r="B1229" s="831" t="s">
        <v>5762</v>
      </c>
      <c r="C1229" s="830" t="s">
        <v>1901</v>
      </c>
      <c r="D1229" s="832">
        <v>11.75</v>
      </c>
    </row>
    <row r="1230" spans="1:4" x14ac:dyDescent="0.3">
      <c r="A1230" s="830">
        <v>93240</v>
      </c>
      <c r="B1230" s="831" t="s">
        <v>5763</v>
      </c>
      <c r="C1230" s="830" t="s">
        <v>1901</v>
      </c>
      <c r="D1230" s="832">
        <v>11.88</v>
      </c>
    </row>
    <row r="1231" spans="1:4" x14ac:dyDescent="0.3">
      <c r="A1231" s="830">
        <v>93267</v>
      </c>
      <c r="B1231" s="831" t="s">
        <v>5764</v>
      </c>
      <c r="C1231" s="830" t="s">
        <v>1901</v>
      </c>
      <c r="D1231" s="832">
        <v>26.87</v>
      </c>
    </row>
    <row r="1232" spans="1:4" x14ac:dyDescent="0.3">
      <c r="A1232" s="830">
        <v>93269</v>
      </c>
      <c r="B1232" s="831" t="s">
        <v>5765</v>
      </c>
      <c r="C1232" s="830" t="s">
        <v>1901</v>
      </c>
      <c r="D1232" s="832">
        <v>10.07</v>
      </c>
    </row>
    <row r="1233" spans="1:4" x14ac:dyDescent="0.3">
      <c r="A1233" s="830">
        <v>93270</v>
      </c>
      <c r="B1233" s="831" t="s">
        <v>5766</v>
      </c>
      <c r="C1233" s="830" t="s">
        <v>1901</v>
      </c>
      <c r="D1233" s="832">
        <v>26.12</v>
      </c>
    </row>
    <row r="1234" spans="1:4" x14ac:dyDescent="0.3">
      <c r="A1234" s="830">
        <v>93271</v>
      </c>
      <c r="B1234" s="831" t="s">
        <v>5767</v>
      </c>
      <c r="C1234" s="830" t="s">
        <v>1901</v>
      </c>
      <c r="D1234" s="832">
        <v>6.73</v>
      </c>
    </row>
    <row r="1235" spans="1:4" x14ac:dyDescent="0.3">
      <c r="A1235" s="830">
        <v>93277</v>
      </c>
      <c r="B1235" s="831" t="s">
        <v>3732</v>
      </c>
      <c r="C1235" s="830" t="s">
        <v>1901</v>
      </c>
      <c r="D1235" s="832">
        <v>0.28000000000000003</v>
      </c>
    </row>
    <row r="1236" spans="1:4" x14ac:dyDescent="0.3">
      <c r="A1236" s="830">
        <v>93278</v>
      </c>
      <c r="B1236" s="831" t="s">
        <v>3734</v>
      </c>
      <c r="C1236" s="830" t="s">
        <v>1901</v>
      </c>
      <c r="D1236" s="832">
        <v>0.06</v>
      </c>
    </row>
    <row r="1237" spans="1:4" x14ac:dyDescent="0.3">
      <c r="A1237" s="830">
        <v>93279</v>
      </c>
      <c r="B1237" s="831" t="s">
        <v>3738</v>
      </c>
      <c r="C1237" s="830" t="s">
        <v>1901</v>
      </c>
      <c r="D1237" s="832">
        <v>0.26</v>
      </c>
    </row>
    <row r="1238" spans="1:4" x14ac:dyDescent="0.3">
      <c r="A1238" s="830">
        <v>93280</v>
      </c>
      <c r="B1238" s="831" t="s">
        <v>3740</v>
      </c>
      <c r="C1238" s="830" t="s">
        <v>1901</v>
      </c>
      <c r="D1238" s="832">
        <v>0.56000000000000005</v>
      </c>
    </row>
    <row r="1239" spans="1:4" x14ac:dyDescent="0.3">
      <c r="A1239" s="830">
        <v>93283</v>
      </c>
      <c r="B1239" s="831" t="s">
        <v>5768</v>
      </c>
      <c r="C1239" s="830" t="s">
        <v>1901</v>
      </c>
      <c r="D1239" s="832">
        <v>100.42</v>
      </c>
    </row>
    <row r="1240" spans="1:4" x14ac:dyDescent="0.3">
      <c r="A1240" s="830">
        <v>93284</v>
      </c>
      <c r="B1240" s="831" t="s">
        <v>5769</v>
      </c>
      <c r="C1240" s="830" t="s">
        <v>1901</v>
      </c>
      <c r="D1240" s="832">
        <v>35.39</v>
      </c>
    </row>
    <row r="1241" spans="1:4" x14ac:dyDescent="0.3">
      <c r="A1241" s="830">
        <v>93285</v>
      </c>
      <c r="B1241" s="831" t="s">
        <v>5770</v>
      </c>
      <c r="C1241" s="830" t="s">
        <v>1901</v>
      </c>
      <c r="D1241" s="832">
        <v>161.41999999999999</v>
      </c>
    </row>
    <row r="1242" spans="1:4" x14ac:dyDescent="0.3">
      <c r="A1242" s="830">
        <v>93286</v>
      </c>
      <c r="B1242" s="831" t="s">
        <v>5771</v>
      </c>
      <c r="C1242" s="830" t="s">
        <v>1901</v>
      </c>
      <c r="D1242" s="832">
        <v>9.36</v>
      </c>
    </row>
    <row r="1243" spans="1:4" x14ac:dyDescent="0.3">
      <c r="A1243" s="830">
        <v>93296</v>
      </c>
      <c r="B1243" s="831" t="s">
        <v>5772</v>
      </c>
      <c r="C1243" s="830" t="s">
        <v>1901</v>
      </c>
      <c r="D1243" s="832">
        <v>14.3</v>
      </c>
    </row>
    <row r="1244" spans="1:4" x14ac:dyDescent="0.3">
      <c r="A1244" s="830">
        <v>93397</v>
      </c>
      <c r="B1244" s="831" t="s">
        <v>5773</v>
      </c>
      <c r="C1244" s="830" t="s">
        <v>1901</v>
      </c>
      <c r="D1244" s="832">
        <v>25.01</v>
      </c>
    </row>
    <row r="1245" spans="1:4" x14ac:dyDescent="0.3">
      <c r="A1245" s="830">
        <v>93398</v>
      </c>
      <c r="B1245" s="831" t="s">
        <v>5774</v>
      </c>
      <c r="C1245" s="830" t="s">
        <v>1901</v>
      </c>
      <c r="D1245" s="832">
        <v>9.43</v>
      </c>
    </row>
    <row r="1246" spans="1:4" x14ac:dyDescent="0.3">
      <c r="A1246" s="830">
        <v>93399</v>
      </c>
      <c r="B1246" s="831" t="s">
        <v>5775</v>
      </c>
      <c r="C1246" s="830" t="s">
        <v>1901</v>
      </c>
      <c r="D1246" s="832">
        <v>3.8</v>
      </c>
    </row>
    <row r="1247" spans="1:4" x14ac:dyDescent="0.3">
      <c r="A1247" s="830">
        <v>93400</v>
      </c>
      <c r="B1247" s="831" t="s">
        <v>5776</v>
      </c>
      <c r="C1247" s="830" t="s">
        <v>1901</v>
      </c>
      <c r="D1247" s="832">
        <v>43.35</v>
      </c>
    </row>
    <row r="1248" spans="1:4" x14ac:dyDescent="0.3">
      <c r="A1248" s="830">
        <v>93401</v>
      </c>
      <c r="B1248" s="831" t="s">
        <v>5777</v>
      </c>
      <c r="C1248" s="830" t="s">
        <v>1901</v>
      </c>
      <c r="D1248" s="832">
        <v>156.99</v>
      </c>
    </row>
    <row r="1249" spans="1:4" x14ac:dyDescent="0.3">
      <c r="A1249" s="830">
        <v>93404</v>
      </c>
      <c r="B1249" s="831" t="s">
        <v>5778</v>
      </c>
      <c r="C1249" s="830" t="s">
        <v>1901</v>
      </c>
      <c r="D1249" s="832">
        <v>7.84</v>
      </c>
    </row>
    <row r="1250" spans="1:4" x14ac:dyDescent="0.3">
      <c r="A1250" s="830">
        <v>93405</v>
      </c>
      <c r="B1250" s="831" t="s">
        <v>5779</v>
      </c>
      <c r="C1250" s="830" t="s">
        <v>1901</v>
      </c>
      <c r="D1250" s="832">
        <v>2</v>
      </c>
    </row>
    <row r="1251" spans="1:4" x14ac:dyDescent="0.3">
      <c r="A1251" s="830">
        <v>93406</v>
      </c>
      <c r="B1251" s="831" t="s">
        <v>5780</v>
      </c>
      <c r="C1251" s="830" t="s">
        <v>1901</v>
      </c>
      <c r="D1251" s="832">
        <v>9.41</v>
      </c>
    </row>
    <row r="1252" spans="1:4" x14ac:dyDescent="0.3">
      <c r="A1252" s="830">
        <v>93407</v>
      </c>
      <c r="B1252" s="831" t="s">
        <v>5781</v>
      </c>
      <c r="C1252" s="830" t="s">
        <v>1901</v>
      </c>
      <c r="D1252" s="832">
        <v>46.8</v>
      </c>
    </row>
    <row r="1253" spans="1:4" x14ac:dyDescent="0.3">
      <c r="A1253" s="830">
        <v>93411</v>
      </c>
      <c r="B1253" s="831" t="s">
        <v>5782</v>
      </c>
      <c r="C1253" s="830" t="s">
        <v>1901</v>
      </c>
      <c r="D1253" s="832">
        <v>0.34</v>
      </c>
    </row>
    <row r="1254" spans="1:4" x14ac:dyDescent="0.3">
      <c r="A1254" s="830">
        <v>93412</v>
      </c>
      <c r="B1254" s="831" t="s">
        <v>5783</v>
      </c>
      <c r="C1254" s="830" t="s">
        <v>1901</v>
      </c>
      <c r="D1254" s="832">
        <v>0.12</v>
      </c>
    </row>
    <row r="1255" spans="1:4" x14ac:dyDescent="0.3">
      <c r="A1255" s="830">
        <v>93413</v>
      </c>
      <c r="B1255" s="831" t="s">
        <v>5784</v>
      </c>
      <c r="C1255" s="830" t="s">
        <v>1901</v>
      </c>
      <c r="D1255" s="832">
        <v>0.3</v>
      </c>
    </row>
    <row r="1256" spans="1:4" x14ac:dyDescent="0.3">
      <c r="A1256" s="830">
        <v>93414</v>
      </c>
      <c r="B1256" s="831" t="s">
        <v>5785</v>
      </c>
      <c r="C1256" s="830" t="s">
        <v>1901</v>
      </c>
      <c r="D1256" s="832">
        <v>11.1</v>
      </c>
    </row>
    <row r="1257" spans="1:4" x14ac:dyDescent="0.3">
      <c r="A1257" s="830">
        <v>93417</v>
      </c>
      <c r="B1257" s="831" t="s">
        <v>5786</v>
      </c>
      <c r="C1257" s="830" t="s">
        <v>1901</v>
      </c>
      <c r="D1257" s="832">
        <v>4.49</v>
      </c>
    </row>
    <row r="1258" spans="1:4" x14ac:dyDescent="0.3">
      <c r="A1258" s="830">
        <v>93418</v>
      </c>
      <c r="B1258" s="831" t="s">
        <v>5787</v>
      </c>
      <c r="C1258" s="830" t="s">
        <v>1901</v>
      </c>
      <c r="D1258" s="832">
        <v>1.58</v>
      </c>
    </row>
    <row r="1259" spans="1:4" x14ac:dyDescent="0.3">
      <c r="A1259" s="830">
        <v>93419</v>
      </c>
      <c r="B1259" s="831" t="s">
        <v>5788</v>
      </c>
      <c r="C1259" s="830" t="s">
        <v>1901</v>
      </c>
      <c r="D1259" s="832">
        <v>4.01</v>
      </c>
    </row>
    <row r="1260" spans="1:4" x14ac:dyDescent="0.3">
      <c r="A1260" s="830">
        <v>93420</v>
      </c>
      <c r="B1260" s="831" t="s">
        <v>5789</v>
      </c>
      <c r="C1260" s="830" t="s">
        <v>1901</v>
      </c>
      <c r="D1260" s="832">
        <v>66.58</v>
      </c>
    </row>
    <row r="1261" spans="1:4" x14ac:dyDescent="0.3">
      <c r="A1261" s="830">
        <v>93423</v>
      </c>
      <c r="B1261" s="831" t="s">
        <v>2555</v>
      </c>
      <c r="C1261" s="830" t="s">
        <v>1901</v>
      </c>
      <c r="D1261" s="832">
        <v>6.36</v>
      </c>
    </row>
    <row r="1262" spans="1:4" x14ac:dyDescent="0.3">
      <c r="A1262" s="830">
        <v>93424</v>
      </c>
      <c r="B1262" s="831" t="s">
        <v>2557</v>
      </c>
      <c r="C1262" s="830" t="s">
        <v>1901</v>
      </c>
      <c r="D1262" s="832">
        <v>2.2400000000000002</v>
      </c>
    </row>
    <row r="1263" spans="1:4" x14ac:dyDescent="0.3">
      <c r="A1263" s="830">
        <v>93425</v>
      </c>
      <c r="B1263" s="831" t="s">
        <v>5790</v>
      </c>
      <c r="C1263" s="830" t="s">
        <v>1901</v>
      </c>
      <c r="D1263" s="832">
        <v>5.68</v>
      </c>
    </row>
    <row r="1264" spans="1:4" x14ac:dyDescent="0.3">
      <c r="A1264" s="830">
        <v>93426</v>
      </c>
      <c r="B1264" s="831" t="s">
        <v>5791</v>
      </c>
      <c r="C1264" s="830" t="s">
        <v>1901</v>
      </c>
      <c r="D1264" s="832">
        <v>159.13</v>
      </c>
    </row>
    <row r="1265" spans="1:4" x14ac:dyDescent="0.3">
      <c r="A1265" s="830">
        <v>93429</v>
      </c>
      <c r="B1265" s="831" t="s">
        <v>5792</v>
      </c>
      <c r="C1265" s="830" t="s">
        <v>1901</v>
      </c>
      <c r="D1265" s="832">
        <v>157.32</v>
      </c>
    </row>
    <row r="1266" spans="1:4" x14ac:dyDescent="0.3">
      <c r="A1266" s="830">
        <v>93430</v>
      </c>
      <c r="B1266" s="831" t="s">
        <v>5793</v>
      </c>
      <c r="C1266" s="830" t="s">
        <v>1901</v>
      </c>
      <c r="D1266" s="832">
        <v>48.36</v>
      </c>
    </row>
    <row r="1267" spans="1:4" x14ac:dyDescent="0.3">
      <c r="A1267" s="830">
        <v>93431</v>
      </c>
      <c r="B1267" s="831" t="s">
        <v>5794</v>
      </c>
      <c r="C1267" s="830" t="s">
        <v>1901</v>
      </c>
      <c r="D1267" s="832">
        <v>196.8</v>
      </c>
    </row>
    <row r="1268" spans="1:4" x14ac:dyDescent="0.3">
      <c r="A1268" s="830">
        <v>93432</v>
      </c>
      <c r="B1268" s="831" t="s">
        <v>5795</v>
      </c>
      <c r="C1268" s="830" t="s">
        <v>1901</v>
      </c>
      <c r="D1268" s="832">
        <v>2138.4</v>
      </c>
    </row>
    <row r="1269" spans="1:4" x14ac:dyDescent="0.3">
      <c r="A1269" s="830">
        <v>93435</v>
      </c>
      <c r="B1269" s="831" t="s">
        <v>5796</v>
      </c>
      <c r="C1269" s="830" t="s">
        <v>1901</v>
      </c>
      <c r="D1269" s="832">
        <v>8.83</v>
      </c>
    </row>
    <row r="1270" spans="1:4" x14ac:dyDescent="0.3">
      <c r="A1270" s="830">
        <v>93436</v>
      </c>
      <c r="B1270" s="831" t="s">
        <v>5797</v>
      </c>
      <c r="C1270" s="830" t="s">
        <v>1901</v>
      </c>
      <c r="D1270" s="832">
        <v>2.72</v>
      </c>
    </row>
    <row r="1271" spans="1:4" x14ac:dyDescent="0.3">
      <c r="A1271" s="830">
        <v>93437</v>
      </c>
      <c r="B1271" s="831" t="s">
        <v>5798</v>
      </c>
      <c r="C1271" s="830" t="s">
        <v>1901</v>
      </c>
      <c r="D1271" s="832">
        <v>9.66</v>
      </c>
    </row>
    <row r="1272" spans="1:4" x14ac:dyDescent="0.3">
      <c r="A1272" s="830">
        <v>93438</v>
      </c>
      <c r="B1272" s="831" t="s">
        <v>5799</v>
      </c>
      <c r="C1272" s="830" t="s">
        <v>1901</v>
      </c>
      <c r="D1272" s="832">
        <v>111.49</v>
      </c>
    </row>
    <row r="1273" spans="1:4" x14ac:dyDescent="0.3">
      <c r="A1273" s="830">
        <v>95114</v>
      </c>
      <c r="B1273" s="831" t="s">
        <v>3800</v>
      </c>
      <c r="C1273" s="830" t="s">
        <v>1901</v>
      </c>
      <c r="D1273" s="832">
        <v>1.75</v>
      </c>
    </row>
    <row r="1274" spans="1:4" x14ac:dyDescent="0.3">
      <c r="A1274" s="830">
        <v>95115</v>
      </c>
      <c r="B1274" s="831" t="s">
        <v>3802</v>
      </c>
      <c r="C1274" s="830" t="s">
        <v>1901</v>
      </c>
      <c r="D1274" s="832">
        <v>0.4</v>
      </c>
    </row>
    <row r="1275" spans="1:4" x14ac:dyDescent="0.3">
      <c r="A1275" s="830">
        <v>95116</v>
      </c>
      <c r="B1275" s="831" t="s">
        <v>5800</v>
      </c>
      <c r="C1275" s="830" t="s">
        <v>1901</v>
      </c>
      <c r="D1275" s="832">
        <v>32.549999999999997</v>
      </c>
    </row>
    <row r="1276" spans="1:4" x14ac:dyDescent="0.3">
      <c r="A1276" s="830">
        <v>95117</v>
      </c>
      <c r="B1276" s="831" t="s">
        <v>5801</v>
      </c>
      <c r="C1276" s="830" t="s">
        <v>1901</v>
      </c>
      <c r="D1276" s="832">
        <v>10.039999999999999</v>
      </c>
    </row>
    <row r="1277" spans="1:4" x14ac:dyDescent="0.3">
      <c r="A1277" s="830">
        <v>95118</v>
      </c>
      <c r="B1277" s="831" t="s">
        <v>5802</v>
      </c>
      <c r="C1277" s="830" t="s">
        <v>1901</v>
      </c>
      <c r="D1277" s="832">
        <v>72.150000000000006</v>
      </c>
    </row>
    <row r="1278" spans="1:4" x14ac:dyDescent="0.3">
      <c r="A1278" s="830">
        <v>95119</v>
      </c>
      <c r="B1278" s="831" t="s">
        <v>5803</v>
      </c>
      <c r="C1278" s="830" t="s">
        <v>1901</v>
      </c>
      <c r="D1278" s="832">
        <v>22.26</v>
      </c>
    </row>
    <row r="1279" spans="1:4" x14ac:dyDescent="0.3">
      <c r="A1279" s="830">
        <v>95120</v>
      </c>
      <c r="B1279" s="831" t="s">
        <v>5804</v>
      </c>
      <c r="C1279" s="830" t="s">
        <v>1901</v>
      </c>
      <c r="D1279" s="832">
        <v>45.9</v>
      </c>
    </row>
    <row r="1280" spans="1:4" x14ac:dyDescent="0.3">
      <c r="A1280" s="830">
        <v>95123</v>
      </c>
      <c r="B1280" s="831" t="s">
        <v>5805</v>
      </c>
      <c r="C1280" s="830" t="s">
        <v>1901</v>
      </c>
      <c r="D1280" s="832">
        <v>17.87</v>
      </c>
    </row>
    <row r="1281" spans="1:4" x14ac:dyDescent="0.3">
      <c r="A1281" s="830">
        <v>95124</v>
      </c>
      <c r="B1281" s="831" t="s">
        <v>5806</v>
      </c>
      <c r="C1281" s="830" t="s">
        <v>1901</v>
      </c>
      <c r="D1281" s="832">
        <v>5.51</v>
      </c>
    </row>
    <row r="1282" spans="1:4" x14ac:dyDescent="0.3">
      <c r="A1282" s="830">
        <v>95125</v>
      </c>
      <c r="B1282" s="831" t="s">
        <v>5807</v>
      </c>
      <c r="C1282" s="830" t="s">
        <v>1901</v>
      </c>
      <c r="D1282" s="832">
        <v>19.559999999999999</v>
      </c>
    </row>
    <row r="1283" spans="1:4" x14ac:dyDescent="0.3">
      <c r="A1283" s="830">
        <v>95126</v>
      </c>
      <c r="B1283" s="831" t="s">
        <v>5808</v>
      </c>
      <c r="C1283" s="830" t="s">
        <v>1901</v>
      </c>
      <c r="D1283" s="832">
        <v>146.18</v>
      </c>
    </row>
    <row r="1284" spans="1:4" x14ac:dyDescent="0.3">
      <c r="A1284" s="830">
        <v>95129</v>
      </c>
      <c r="B1284" s="831" t="s">
        <v>5809</v>
      </c>
      <c r="C1284" s="830" t="s">
        <v>1901</v>
      </c>
      <c r="D1284" s="832">
        <v>47.9</v>
      </c>
    </row>
    <row r="1285" spans="1:4" x14ac:dyDescent="0.3">
      <c r="A1285" s="830">
        <v>95130</v>
      </c>
      <c r="B1285" s="831" t="s">
        <v>5810</v>
      </c>
      <c r="C1285" s="830" t="s">
        <v>1901</v>
      </c>
      <c r="D1285" s="832">
        <v>17.36</v>
      </c>
    </row>
    <row r="1286" spans="1:4" x14ac:dyDescent="0.3">
      <c r="A1286" s="830">
        <v>95131</v>
      </c>
      <c r="B1286" s="831" t="s">
        <v>5811</v>
      </c>
      <c r="C1286" s="830" t="s">
        <v>1901</v>
      </c>
      <c r="D1286" s="832">
        <v>56.38</v>
      </c>
    </row>
    <row r="1287" spans="1:4" x14ac:dyDescent="0.3">
      <c r="A1287" s="830">
        <v>95132</v>
      </c>
      <c r="B1287" s="831" t="s">
        <v>5812</v>
      </c>
      <c r="C1287" s="830" t="s">
        <v>1901</v>
      </c>
      <c r="D1287" s="832">
        <v>32.01</v>
      </c>
    </row>
    <row r="1288" spans="1:4" x14ac:dyDescent="0.3">
      <c r="A1288" s="830">
        <v>95136</v>
      </c>
      <c r="B1288" s="831" t="s">
        <v>5813</v>
      </c>
      <c r="C1288" s="830" t="s">
        <v>1901</v>
      </c>
      <c r="D1288" s="832">
        <v>0.03</v>
      </c>
    </row>
    <row r="1289" spans="1:4" x14ac:dyDescent="0.3">
      <c r="A1289" s="830">
        <v>95137</v>
      </c>
      <c r="B1289" s="831" t="s">
        <v>5814</v>
      </c>
      <c r="C1289" s="830" t="s">
        <v>1901</v>
      </c>
      <c r="D1289" s="832">
        <v>0.01</v>
      </c>
    </row>
    <row r="1290" spans="1:4" x14ac:dyDescent="0.3">
      <c r="A1290" s="830">
        <v>95138</v>
      </c>
      <c r="B1290" s="831" t="s">
        <v>5815</v>
      </c>
      <c r="C1290" s="830" t="s">
        <v>1901</v>
      </c>
      <c r="D1290" s="832">
        <v>0.02</v>
      </c>
    </row>
    <row r="1291" spans="1:4" x14ac:dyDescent="0.3">
      <c r="A1291" s="830">
        <v>95208</v>
      </c>
      <c r="B1291" s="831" t="s">
        <v>5816</v>
      </c>
      <c r="C1291" s="830" t="s">
        <v>1901</v>
      </c>
      <c r="D1291" s="832">
        <v>54.13</v>
      </c>
    </row>
    <row r="1292" spans="1:4" x14ac:dyDescent="0.3">
      <c r="A1292" s="830">
        <v>95209</v>
      </c>
      <c r="B1292" s="831" t="s">
        <v>5817</v>
      </c>
      <c r="C1292" s="830" t="s">
        <v>1901</v>
      </c>
      <c r="D1292" s="832">
        <v>12.51</v>
      </c>
    </row>
    <row r="1293" spans="1:4" x14ac:dyDescent="0.3">
      <c r="A1293" s="830">
        <v>95210</v>
      </c>
      <c r="B1293" s="831" t="s">
        <v>5818</v>
      </c>
      <c r="C1293" s="830" t="s">
        <v>1901</v>
      </c>
      <c r="D1293" s="832">
        <v>59.2</v>
      </c>
    </row>
    <row r="1294" spans="1:4" x14ac:dyDescent="0.3">
      <c r="A1294" s="830">
        <v>95211</v>
      </c>
      <c r="B1294" s="831" t="s">
        <v>5819</v>
      </c>
      <c r="C1294" s="830" t="s">
        <v>1901</v>
      </c>
      <c r="D1294" s="832">
        <v>6.73</v>
      </c>
    </row>
    <row r="1295" spans="1:4" x14ac:dyDescent="0.3">
      <c r="A1295" s="830">
        <v>95217</v>
      </c>
      <c r="B1295" s="831" t="s">
        <v>5820</v>
      </c>
      <c r="C1295" s="830" t="s">
        <v>1901</v>
      </c>
      <c r="D1295" s="832">
        <v>0.45</v>
      </c>
    </row>
    <row r="1296" spans="1:4" x14ac:dyDescent="0.3">
      <c r="A1296" s="830">
        <v>95255</v>
      </c>
      <c r="B1296" s="831" t="s">
        <v>5821</v>
      </c>
      <c r="C1296" s="830" t="s">
        <v>1901</v>
      </c>
      <c r="D1296" s="832">
        <v>1.56</v>
      </c>
    </row>
    <row r="1297" spans="1:4" x14ac:dyDescent="0.3">
      <c r="A1297" s="830">
        <v>95256</v>
      </c>
      <c r="B1297" s="831" t="s">
        <v>5822</v>
      </c>
      <c r="C1297" s="830" t="s">
        <v>1901</v>
      </c>
      <c r="D1297" s="832">
        <v>0.36</v>
      </c>
    </row>
    <row r="1298" spans="1:4" x14ac:dyDescent="0.3">
      <c r="A1298" s="830">
        <v>95257</v>
      </c>
      <c r="B1298" s="831" t="s">
        <v>5823</v>
      </c>
      <c r="C1298" s="830" t="s">
        <v>1901</v>
      </c>
      <c r="D1298" s="832">
        <v>1.95</v>
      </c>
    </row>
    <row r="1299" spans="1:4" x14ac:dyDescent="0.3">
      <c r="A1299" s="830">
        <v>95260</v>
      </c>
      <c r="B1299" s="831" t="s">
        <v>5824</v>
      </c>
      <c r="C1299" s="830" t="s">
        <v>1901</v>
      </c>
      <c r="D1299" s="832">
        <v>0.71</v>
      </c>
    </row>
    <row r="1300" spans="1:4" x14ac:dyDescent="0.3">
      <c r="A1300" s="830">
        <v>95261</v>
      </c>
      <c r="B1300" s="831" t="s">
        <v>5825</v>
      </c>
      <c r="C1300" s="830" t="s">
        <v>1901</v>
      </c>
      <c r="D1300" s="832">
        <v>0.19</v>
      </c>
    </row>
    <row r="1301" spans="1:4" x14ac:dyDescent="0.3">
      <c r="A1301" s="830">
        <v>95262</v>
      </c>
      <c r="B1301" s="831" t="s">
        <v>5826</v>
      </c>
      <c r="C1301" s="830" t="s">
        <v>1901</v>
      </c>
      <c r="D1301" s="832">
        <v>0.89</v>
      </c>
    </row>
    <row r="1302" spans="1:4" x14ac:dyDescent="0.3">
      <c r="A1302" s="830">
        <v>95263</v>
      </c>
      <c r="B1302" s="831" t="s">
        <v>5827</v>
      </c>
      <c r="C1302" s="830" t="s">
        <v>1901</v>
      </c>
      <c r="D1302" s="832">
        <v>4.75</v>
      </c>
    </row>
    <row r="1303" spans="1:4" x14ac:dyDescent="0.3">
      <c r="A1303" s="830">
        <v>95266</v>
      </c>
      <c r="B1303" s="831" t="s">
        <v>5828</v>
      </c>
      <c r="C1303" s="830" t="s">
        <v>1901</v>
      </c>
      <c r="D1303" s="832">
        <v>0.5</v>
      </c>
    </row>
    <row r="1304" spans="1:4" x14ac:dyDescent="0.3">
      <c r="A1304" s="830">
        <v>95267</v>
      </c>
      <c r="B1304" s="831" t="s">
        <v>5829</v>
      </c>
      <c r="C1304" s="830" t="s">
        <v>1901</v>
      </c>
      <c r="D1304" s="832">
        <v>0.1</v>
      </c>
    </row>
    <row r="1305" spans="1:4" x14ac:dyDescent="0.3">
      <c r="A1305" s="830">
        <v>95268</v>
      </c>
      <c r="B1305" s="831" t="s">
        <v>5830</v>
      </c>
      <c r="C1305" s="830" t="s">
        <v>1901</v>
      </c>
      <c r="D1305" s="832">
        <v>0.48</v>
      </c>
    </row>
    <row r="1306" spans="1:4" x14ac:dyDescent="0.3">
      <c r="A1306" s="830">
        <v>95269</v>
      </c>
      <c r="B1306" s="831" t="s">
        <v>5831</v>
      </c>
      <c r="C1306" s="830" t="s">
        <v>1901</v>
      </c>
      <c r="D1306" s="832">
        <v>8.7799999999999994</v>
      </c>
    </row>
    <row r="1307" spans="1:4" x14ac:dyDescent="0.3">
      <c r="A1307" s="830">
        <v>95272</v>
      </c>
      <c r="B1307" s="831" t="s">
        <v>5832</v>
      </c>
      <c r="C1307" s="830" t="s">
        <v>1901</v>
      </c>
      <c r="D1307" s="832">
        <v>0.49</v>
      </c>
    </row>
    <row r="1308" spans="1:4" x14ac:dyDescent="0.3">
      <c r="A1308" s="830">
        <v>95273</v>
      </c>
      <c r="B1308" s="831" t="s">
        <v>5833</v>
      </c>
      <c r="C1308" s="830" t="s">
        <v>1901</v>
      </c>
      <c r="D1308" s="832">
        <v>0.11</v>
      </c>
    </row>
    <row r="1309" spans="1:4" x14ac:dyDescent="0.3">
      <c r="A1309" s="830">
        <v>95274</v>
      </c>
      <c r="B1309" s="831" t="s">
        <v>5834</v>
      </c>
      <c r="C1309" s="830" t="s">
        <v>1901</v>
      </c>
      <c r="D1309" s="832">
        <v>0.38</v>
      </c>
    </row>
    <row r="1310" spans="1:4" x14ac:dyDescent="0.3">
      <c r="A1310" s="830">
        <v>95275</v>
      </c>
      <c r="B1310" s="831" t="s">
        <v>5835</v>
      </c>
      <c r="C1310" s="830" t="s">
        <v>1901</v>
      </c>
      <c r="D1310" s="832">
        <v>1.82</v>
      </c>
    </row>
    <row r="1311" spans="1:4" x14ac:dyDescent="0.3">
      <c r="A1311" s="830">
        <v>95278</v>
      </c>
      <c r="B1311" s="831" t="s">
        <v>5836</v>
      </c>
      <c r="C1311" s="830" t="s">
        <v>1901</v>
      </c>
      <c r="D1311" s="832">
        <v>0.6</v>
      </c>
    </row>
    <row r="1312" spans="1:4" x14ac:dyDescent="0.3">
      <c r="A1312" s="830">
        <v>95279</v>
      </c>
      <c r="B1312" s="831" t="s">
        <v>5837</v>
      </c>
      <c r="C1312" s="830" t="s">
        <v>1901</v>
      </c>
      <c r="D1312" s="832">
        <v>0.12</v>
      </c>
    </row>
    <row r="1313" spans="1:4" x14ac:dyDescent="0.3">
      <c r="A1313" s="830">
        <v>95280</v>
      </c>
      <c r="B1313" s="831" t="s">
        <v>5838</v>
      </c>
      <c r="C1313" s="830" t="s">
        <v>1901</v>
      </c>
      <c r="D1313" s="832">
        <v>0.57999999999999996</v>
      </c>
    </row>
    <row r="1314" spans="1:4" x14ac:dyDescent="0.3">
      <c r="A1314" s="830">
        <v>95281</v>
      </c>
      <c r="B1314" s="831" t="s">
        <v>5839</v>
      </c>
      <c r="C1314" s="830" t="s">
        <v>1901</v>
      </c>
      <c r="D1314" s="832">
        <v>8.7799999999999994</v>
      </c>
    </row>
    <row r="1315" spans="1:4" x14ac:dyDescent="0.3">
      <c r="A1315" s="830">
        <v>95617</v>
      </c>
      <c r="B1315" s="831" t="s">
        <v>5840</v>
      </c>
      <c r="C1315" s="830" t="s">
        <v>1901</v>
      </c>
      <c r="D1315" s="832">
        <v>1.28</v>
      </c>
    </row>
    <row r="1316" spans="1:4" x14ac:dyDescent="0.3">
      <c r="A1316" s="830">
        <v>95618</v>
      </c>
      <c r="B1316" s="831" t="s">
        <v>5841</v>
      </c>
      <c r="C1316" s="830" t="s">
        <v>1901</v>
      </c>
      <c r="D1316" s="832">
        <v>0.28999999999999998</v>
      </c>
    </row>
    <row r="1317" spans="1:4" x14ac:dyDescent="0.3">
      <c r="A1317" s="830">
        <v>95619</v>
      </c>
      <c r="B1317" s="831" t="s">
        <v>5842</v>
      </c>
      <c r="C1317" s="830" t="s">
        <v>1901</v>
      </c>
      <c r="D1317" s="832">
        <v>1.6</v>
      </c>
    </row>
    <row r="1318" spans="1:4" x14ac:dyDescent="0.3">
      <c r="A1318" s="830">
        <v>95627</v>
      </c>
      <c r="B1318" s="831" t="s">
        <v>3949</v>
      </c>
      <c r="C1318" s="830" t="s">
        <v>1901</v>
      </c>
      <c r="D1318" s="832">
        <v>47.95</v>
      </c>
    </row>
    <row r="1319" spans="1:4" x14ac:dyDescent="0.3">
      <c r="A1319" s="830">
        <v>95628</v>
      </c>
      <c r="B1319" s="831" t="s">
        <v>3951</v>
      </c>
      <c r="C1319" s="830" t="s">
        <v>1901</v>
      </c>
      <c r="D1319" s="832">
        <v>12.86</v>
      </c>
    </row>
    <row r="1320" spans="1:4" x14ac:dyDescent="0.3">
      <c r="A1320" s="830">
        <v>95629</v>
      </c>
      <c r="B1320" s="831" t="s">
        <v>3953</v>
      </c>
      <c r="C1320" s="830" t="s">
        <v>1901</v>
      </c>
      <c r="D1320" s="832">
        <v>60.01</v>
      </c>
    </row>
    <row r="1321" spans="1:4" x14ac:dyDescent="0.3">
      <c r="A1321" s="830">
        <v>95630</v>
      </c>
      <c r="B1321" s="831" t="s">
        <v>3955</v>
      </c>
      <c r="C1321" s="830" t="s">
        <v>1901</v>
      </c>
      <c r="D1321" s="832">
        <v>88.62</v>
      </c>
    </row>
    <row r="1322" spans="1:4" x14ac:dyDescent="0.3">
      <c r="A1322" s="830">
        <v>95698</v>
      </c>
      <c r="B1322" s="831" t="s">
        <v>5843</v>
      </c>
      <c r="C1322" s="830" t="s">
        <v>1901</v>
      </c>
      <c r="D1322" s="832">
        <v>5.19</v>
      </c>
    </row>
    <row r="1323" spans="1:4" x14ac:dyDescent="0.3">
      <c r="A1323" s="830">
        <v>95699</v>
      </c>
      <c r="B1323" s="831" t="s">
        <v>5844</v>
      </c>
      <c r="C1323" s="830" t="s">
        <v>1901</v>
      </c>
      <c r="D1323" s="832">
        <v>1.2</v>
      </c>
    </row>
    <row r="1324" spans="1:4" x14ac:dyDescent="0.3">
      <c r="A1324" s="830">
        <v>95700</v>
      </c>
      <c r="B1324" s="831" t="s">
        <v>5845</v>
      </c>
      <c r="C1324" s="830" t="s">
        <v>1901</v>
      </c>
      <c r="D1324" s="832">
        <v>6.49</v>
      </c>
    </row>
    <row r="1325" spans="1:4" x14ac:dyDescent="0.3">
      <c r="A1325" s="830">
        <v>95701</v>
      </c>
      <c r="B1325" s="831" t="s">
        <v>5846</v>
      </c>
      <c r="C1325" s="830" t="s">
        <v>1901</v>
      </c>
      <c r="D1325" s="832">
        <v>2.25</v>
      </c>
    </row>
    <row r="1326" spans="1:4" x14ac:dyDescent="0.3">
      <c r="A1326" s="830">
        <v>95704</v>
      </c>
      <c r="B1326" s="831" t="s">
        <v>5847</v>
      </c>
      <c r="C1326" s="830" t="s">
        <v>1901</v>
      </c>
      <c r="D1326" s="832">
        <v>53.38</v>
      </c>
    </row>
    <row r="1327" spans="1:4" x14ac:dyDescent="0.3">
      <c r="A1327" s="830">
        <v>95705</v>
      </c>
      <c r="B1327" s="831" t="s">
        <v>5848</v>
      </c>
      <c r="C1327" s="830" t="s">
        <v>1901</v>
      </c>
      <c r="D1327" s="832">
        <v>14.32</v>
      </c>
    </row>
    <row r="1328" spans="1:4" x14ac:dyDescent="0.3">
      <c r="A1328" s="830">
        <v>95706</v>
      </c>
      <c r="B1328" s="831" t="s">
        <v>5849</v>
      </c>
      <c r="C1328" s="830" t="s">
        <v>1901</v>
      </c>
      <c r="D1328" s="832">
        <v>66.8</v>
      </c>
    </row>
    <row r="1329" spans="1:4" x14ac:dyDescent="0.3">
      <c r="A1329" s="830">
        <v>95707</v>
      </c>
      <c r="B1329" s="831" t="s">
        <v>5850</v>
      </c>
      <c r="C1329" s="830" t="s">
        <v>1901</v>
      </c>
      <c r="D1329" s="832">
        <v>2.95</v>
      </c>
    </row>
    <row r="1330" spans="1:4" x14ac:dyDescent="0.3">
      <c r="A1330" s="830">
        <v>95716</v>
      </c>
      <c r="B1330" s="831" t="s">
        <v>5851</v>
      </c>
      <c r="C1330" s="830" t="s">
        <v>1901</v>
      </c>
      <c r="D1330" s="832">
        <v>64.19</v>
      </c>
    </row>
    <row r="1331" spans="1:4" x14ac:dyDescent="0.3">
      <c r="A1331" s="830">
        <v>95717</v>
      </c>
      <c r="B1331" s="831" t="s">
        <v>5852</v>
      </c>
      <c r="C1331" s="830" t="s">
        <v>1901</v>
      </c>
      <c r="D1331" s="832">
        <v>16.96</v>
      </c>
    </row>
    <row r="1332" spans="1:4" x14ac:dyDescent="0.3">
      <c r="A1332" s="830">
        <v>95718</v>
      </c>
      <c r="B1332" s="831" t="s">
        <v>5853</v>
      </c>
      <c r="C1332" s="830" t="s">
        <v>1901</v>
      </c>
      <c r="D1332" s="832">
        <v>80.239999999999995</v>
      </c>
    </row>
    <row r="1333" spans="1:4" x14ac:dyDescent="0.3">
      <c r="A1333" s="830">
        <v>95719</v>
      </c>
      <c r="B1333" s="831" t="s">
        <v>5854</v>
      </c>
      <c r="C1333" s="830" t="s">
        <v>1901</v>
      </c>
      <c r="D1333" s="832">
        <v>89.27</v>
      </c>
    </row>
    <row r="1334" spans="1:4" x14ac:dyDescent="0.3">
      <c r="A1334" s="830">
        <v>95869</v>
      </c>
      <c r="B1334" s="831" t="s">
        <v>3714</v>
      </c>
      <c r="C1334" s="830" t="s">
        <v>1901</v>
      </c>
      <c r="D1334" s="832">
        <v>3.58</v>
      </c>
    </row>
    <row r="1335" spans="1:4" x14ac:dyDescent="0.3">
      <c r="A1335" s="830">
        <v>95870</v>
      </c>
      <c r="B1335" s="831" t="s">
        <v>3718</v>
      </c>
      <c r="C1335" s="830" t="s">
        <v>1901</v>
      </c>
      <c r="D1335" s="832">
        <v>9.08</v>
      </c>
    </row>
    <row r="1336" spans="1:4" x14ac:dyDescent="0.3">
      <c r="A1336" s="830">
        <v>95871</v>
      </c>
      <c r="B1336" s="831" t="s">
        <v>3720</v>
      </c>
      <c r="C1336" s="830" t="s">
        <v>1901</v>
      </c>
      <c r="D1336" s="832">
        <v>271.10000000000002</v>
      </c>
    </row>
    <row r="1337" spans="1:4" x14ac:dyDescent="0.3">
      <c r="A1337" s="830">
        <v>95874</v>
      </c>
      <c r="B1337" s="831" t="s">
        <v>3716</v>
      </c>
      <c r="C1337" s="830" t="s">
        <v>1901</v>
      </c>
      <c r="D1337" s="832">
        <v>10.17</v>
      </c>
    </row>
    <row r="1338" spans="1:4" x14ac:dyDescent="0.3">
      <c r="A1338" s="830">
        <v>96008</v>
      </c>
      <c r="B1338" s="831" t="s">
        <v>5855</v>
      </c>
      <c r="C1338" s="830" t="s">
        <v>1901</v>
      </c>
      <c r="D1338" s="832">
        <v>23.49</v>
      </c>
    </row>
    <row r="1339" spans="1:4" x14ac:dyDescent="0.3">
      <c r="A1339" s="830">
        <v>96009</v>
      </c>
      <c r="B1339" s="831" t="s">
        <v>5856</v>
      </c>
      <c r="C1339" s="830" t="s">
        <v>1901</v>
      </c>
      <c r="D1339" s="832">
        <v>6.29</v>
      </c>
    </row>
    <row r="1340" spans="1:4" x14ac:dyDescent="0.3">
      <c r="A1340" s="830">
        <v>96011</v>
      </c>
      <c r="B1340" s="831" t="s">
        <v>5857</v>
      </c>
      <c r="C1340" s="830" t="s">
        <v>1901</v>
      </c>
      <c r="D1340" s="832">
        <v>25.7</v>
      </c>
    </row>
    <row r="1341" spans="1:4" x14ac:dyDescent="0.3">
      <c r="A1341" s="830">
        <v>96012</v>
      </c>
      <c r="B1341" s="831" t="s">
        <v>5858</v>
      </c>
      <c r="C1341" s="830" t="s">
        <v>1901</v>
      </c>
      <c r="D1341" s="832">
        <v>95.99</v>
      </c>
    </row>
    <row r="1342" spans="1:4" x14ac:dyDescent="0.3">
      <c r="A1342" s="830">
        <v>96015</v>
      </c>
      <c r="B1342" s="831" t="s">
        <v>5859</v>
      </c>
      <c r="C1342" s="830" t="s">
        <v>1901</v>
      </c>
      <c r="D1342" s="832">
        <v>23.29</v>
      </c>
    </row>
    <row r="1343" spans="1:4" x14ac:dyDescent="0.3">
      <c r="A1343" s="830">
        <v>96016</v>
      </c>
      <c r="B1343" s="831" t="s">
        <v>5860</v>
      </c>
      <c r="C1343" s="830" t="s">
        <v>1901</v>
      </c>
      <c r="D1343" s="832">
        <v>6.24</v>
      </c>
    </row>
    <row r="1344" spans="1:4" x14ac:dyDescent="0.3">
      <c r="A1344" s="830">
        <v>96018</v>
      </c>
      <c r="B1344" s="831" t="s">
        <v>5861</v>
      </c>
      <c r="C1344" s="830" t="s">
        <v>1901</v>
      </c>
      <c r="D1344" s="832">
        <v>25.48</v>
      </c>
    </row>
    <row r="1345" spans="1:4" x14ac:dyDescent="0.3">
      <c r="A1345" s="830">
        <v>96019</v>
      </c>
      <c r="B1345" s="831" t="s">
        <v>5862</v>
      </c>
      <c r="C1345" s="830" t="s">
        <v>1901</v>
      </c>
      <c r="D1345" s="832">
        <v>95.99</v>
      </c>
    </row>
    <row r="1346" spans="1:4" x14ac:dyDescent="0.3">
      <c r="A1346" s="830">
        <v>96023</v>
      </c>
      <c r="B1346" s="831" t="s">
        <v>5863</v>
      </c>
      <c r="C1346" s="830" t="s">
        <v>1901</v>
      </c>
      <c r="D1346" s="832">
        <v>17.96</v>
      </c>
    </row>
    <row r="1347" spans="1:4" x14ac:dyDescent="0.3">
      <c r="A1347" s="830">
        <v>96024</v>
      </c>
      <c r="B1347" s="831" t="s">
        <v>5864</v>
      </c>
      <c r="C1347" s="830" t="s">
        <v>1901</v>
      </c>
      <c r="D1347" s="832">
        <v>4.8099999999999996</v>
      </c>
    </row>
    <row r="1348" spans="1:4" x14ac:dyDescent="0.3">
      <c r="A1348" s="830">
        <v>96026</v>
      </c>
      <c r="B1348" s="831" t="s">
        <v>5865</v>
      </c>
      <c r="C1348" s="830" t="s">
        <v>1901</v>
      </c>
      <c r="D1348" s="832">
        <v>19.649999999999999</v>
      </c>
    </row>
    <row r="1349" spans="1:4" x14ac:dyDescent="0.3">
      <c r="A1349" s="830">
        <v>96027</v>
      </c>
      <c r="B1349" s="831" t="s">
        <v>5866</v>
      </c>
      <c r="C1349" s="830" t="s">
        <v>1901</v>
      </c>
      <c r="D1349" s="832">
        <v>66.88</v>
      </c>
    </row>
    <row r="1350" spans="1:4" x14ac:dyDescent="0.3">
      <c r="A1350" s="830">
        <v>96030</v>
      </c>
      <c r="B1350" s="831" t="s">
        <v>5867</v>
      </c>
      <c r="C1350" s="830" t="s">
        <v>1901</v>
      </c>
      <c r="D1350" s="832">
        <v>35.69</v>
      </c>
    </row>
    <row r="1351" spans="1:4" x14ac:dyDescent="0.3">
      <c r="A1351" s="830">
        <v>96031</v>
      </c>
      <c r="B1351" s="831" t="s">
        <v>5868</v>
      </c>
      <c r="C1351" s="830" t="s">
        <v>1901</v>
      </c>
      <c r="D1351" s="832">
        <v>12.54</v>
      </c>
    </row>
    <row r="1352" spans="1:4" x14ac:dyDescent="0.3">
      <c r="A1352" s="830">
        <v>96032</v>
      </c>
      <c r="B1352" s="831" t="s">
        <v>5869</v>
      </c>
      <c r="C1352" s="830" t="s">
        <v>1901</v>
      </c>
      <c r="D1352" s="832">
        <v>5.04</v>
      </c>
    </row>
    <row r="1353" spans="1:4" x14ac:dyDescent="0.3">
      <c r="A1353" s="830">
        <v>96033</v>
      </c>
      <c r="B1353" s="831" t="s">
        <v>5870</v>
      </c>
      <c r="C1353" s="830" t="s">
        <v>1901</v>
      </c>
      <c r="D1353" s="832">
        <v>57.95</v>
      </c>
    </row>
    <row r="1354" spans="1:4" x14ac:dyDescent="0.3">
      <c r="A1354" s="830">
        <v>96034</v>
      </c>
      <c r="B1354" s="831" t="s">
        <v>5871</v>
      </c>
      <c r="C1354" s="830" t="s">
        <v>1901</v>
      </c>
      <c r="D1354" s="832">
        <v>140.77000000000001</v>
      </c>
    </row>
    <row r="1355" spans="1:4" x14ac:dyDescent="0.3">
      <c r="A1355" s="830">
        <v>96053</v>
      </c>
      <c r="B1355" s="831" t="s">
        <v>4070</v>
      </c>
      <c r="C1355" s="830" t="s">
        <v>1901</v>
      </c>
      <c r="D1355" s="832">
        <v>18.16</v>
      </c>
    </row>
    <row r="1356" spans="1:4" x14ac:dyDescent="0.3">
      <c r="A1356" s="830">
        <v>96054</v>
      </c>
      <c r="B1356" s="831" t="s">
        <v>5872</v>
      </c>
      <c r="C1356" s="830" t="s">
        <v>1901</v>
      </c>
      <c r="D1356" s="832">
        <v>32.51</v>
      </c>
    </row>
    <row r="1357" spans="1:4" x14ac:dyDescent="0.3">
      <c r="A1357" s="830">
        <v>96055</v>
      </c>
      <c r="B1357" s="831" t="s">
        <v>4072</v>
      </c>
      <c r="C1357" s="830" t="s">
        <v>1901</v>
      </c>
      <c r="D1357" s="832">
        <v>4.8600000000000003</v>
      </c>
    </row>
    <row r="1358" spans="1:4" x14ac:dyDescent="0.3">
      <c r="A1358" s="830">
        <v>96056</v>
      </c>
      <c r="B1358" s="831" t="s">
        <v>4074</v>
      </c>
      <c r="C1358" s="830" t="s">
        <v>1901</v>
      </c>
      <c r="D1358" s="832">
        <v>19.87</v>
      </c>
    </row>
    <row r="1359" spans="1:4" x14ac:dyDescent="0.3">
      <c r="A1359" s="830">
        <v>96057</v>
      </c>
      <c r="B1359" s="831" t="s">
        <v>4076</v>
      </c>
      <c r="C1359" s="830" t="s">
        <v>1901</v>
      </c>
      <c r="D1359" s="832">
        <v>66.88</v>
      </c>
    </row>
    <row r="1360" spans="1:4" x14ac:dyDescent="0.3">
      <c r="A1360" s="830">
        <v>96060</v>
      </c>
      <c r="B1360" s="831" t="s">
        <v>5873</v>
      </c>
      <c r="C1360" s="830" t="s">
        <v>1901</v>
      </c>
      <c r="D1360" s="832">
        <v>6.66</v>
      </c>
    </row>
    <row r="1361" spans="1:4" x14ac:dyDescent="0.3">
      <c r="A1361" s="830">
        <v>96061</v>
      </c>
      <c r="B1361" s="831" t="s">
        <v>5874</v>
      </c>
      <c r="C1361" s="830" t="s">
        <v>1901</v>
      </c>
      <c r="D1361" s="832">
        <v>40.64</v>
      </c>
    </row>
    <row r="1362" spans="1:4" x14ac:dyDescent="0.3">
      <c r="A1362" s="830">
        <v>96062</v>
      </c>
      <c r="B1362" s="831" t="s">
        <v>5875</v>
      </c>
      <c r="C1362" s="830" t="s">
        <v>1901</v>
      </c>
      <c r="D1362" s="832">
        <v>39.56</v>
      </c>
    </row>
    <row r="1363" spans="1:4" x14ac:dyDescent="0.3">
      <c r="A1363" s="830">
        <v>96241</v>
      </c>
      <c r="B1363" s="831" t="s">
        <v>5876</v>
      </c>
      <c r="C1363" s="830" t="s">
        <v>1901</v>
      </c>
      <c r="D1363" s="832">
        <v>30.6</v>
      </c>
    </row>
    <row r="1364" spans="1:4" x14ac:dyDescent="0.3">
      <c r="A1364" s="830">
        <v>96242</v>
      </c>
      <c r="B1364" s="831" t="s">
        <v>5877</v>
      </c>
      <c r="C1364" s="830" t="s">
        <v>1901</v>
      </c>
      <c r="D1364" s="832">
        <v>8.08</v>
      </c>
    </row>
    <row r="1365" spans="1:4" x14ac:dyDescent="0.3">
      <c r="A1365" s="830">
        <v>96243</v>
      </c>
      <c r="B1365" s="831" t="s">
        <v>5878</v>
      </c>
      <c r="C1365" s="830" t="s">
        <v>1901</v>
      </c>
      <c r="D1365" s="832">
        <v>38.25</v>
      </c>
    </row>
    <row r="1366" spans="1:4" x14ac:dyDescent="0.3">
      <c r="A1366" s="830">
        <v>96244</v>
      </c>
      <c r="B1366" s="831" t="s">
        <v>5879</v>
      </c>
      <c r="C1366" s="830" t="s">
        <v>1901</v>
      </c>
      <c r="D1366" s="832">
        <v>17.28</v>
      </c>
    </row>
    <row r="1367" spans="1:4" x14ac:dyDescent="0.3">
      <c r="A1367" s="830">
        <v>96301</v>
      </c>
      <c r="B1367" s="831" t="s">
        <v>5880</v>
      </c>
      <c r="C1367" s="830" t="s">
        <v>1901</v>
      </c>
      <c r="D1367" s="832">
        <v>48.76</v>
      </c>
    </row>
    <row r="1368" spans="1:4" x14ac:dyDescent="0.3">
      <c r="A1368" s="830">
        <v>96457</v>
      </c>
      <c r="B1368" s="831" t="s">
        <v>5881</v>
      </c>
      <c r="C1368" s="830" t="s">
        <v>1901</v>
      </c>
      <c r="D1368" s="832">
        <v>63.37</v>
      </c>
    </row>
    <row r="1369" spans="1:4" x14ac:dyDescent="0.3">
      <c r="A1369" s="830">
        <v>96458</v>
      </c>
      <c r="B1369" s="831" t="s">
        <v>5882</v>
      </c>
      <c r="C1369" s="830" t="s">
        <v>1901</v>
      </c>
      <c r="D1369" s="832">
        <v>66.55</v>
      </c>
    </row>
    <row r="1370" spans="1:4" x14ac:dyDescent="0.3">
      <c r="A1370" s="830">
        <v>96459</v>
      </c>
      <c r="B1370" s="831" t="s">
        <v>5883</v>
      </c>
      <c r="C1370" s="830" t="s">
        <v>1901</v>
      </c>
      <c r="D1370" s="832">
        <v>14.26</v>
      </c>
    </row>
    <row r="1371" spans="1:4" x14ac:dyDescent="0.3">
      <c r="A1371" s="830">
        <v>96460</v>
      </c>
      <c r="B1371" s="831" t="s">
        <v>5884</v>
      </c>
      <c r="C1371" s="830" t="s">
        <v>1901</v>
      </c>
      <c r="D1371" s="832">
        <v>53.18</v>
      </c>
    </row>
    <row r="1372" spans="1:4" x14ac:dyDescent="0.3">
      <c r="A1372" s="830">
        <v>98760</v>
      </c>
      <c r="B1372" s="831" t="s">
        <v>5885</v>
      </c>
      <c r="C1372" s="830" t="s">
        <v>1901</v>
      </c>
      <c r="D1372" s="832">
        <v>0.05</v>
      </c>
    </row>
    <row r="1373" spans="1:4" x14ac:dyDescent="0.3">
      <c r="A1373" s="830">
        <v>98761</v>
      </c>
      <c r="B1373" s="831" t="s">
        <v>5886</v>
      </c>
      <c r="C1373" s="830" t="s">
        <v>1901</v>
      </c>
      <c r="D1373" s="832">
        <v>0.01</v>
      </c>
    </row>
    <row r="1374" spans="1:4" x14ac:dyDescent="0.3">
      <c r="A1374" s="830">
        <v>98762</v>
      </c>
      <c r="B1374" s="831" t="s">
        <v>5887</v>
      </c>
      <c r="C1374" s="830" t="s">
        <v>1901</v>
      </c>
      <c r="D1374" s="832">
        <v>0.06</v>
      </c>
    </row>
    <row r="1375" spans="1:4" x14ac:dyDescent="0.3">
      <c r="A1375" s="830">
        <v>98763</v>
      </c>
      <c r="B1375" s="831" t="s">
        <v>5888</v>
      </c>
      <c r="C1375" s="830" t="s">
        <v>1901</v>
      </c>
      <c r="D1375" s="832">
        <v>3.3</v>
      </c>
    </row>
    <row r="1376" spans="1:4" x14ac:dyDescent="0.3">
      <c r="A1376" s="830">
        <v>99829</v>
      </c>
      <c r="B1376" s="831" t="s">
        <v>5889</v>
      </c>
      <c r="C1376" s="830" t="s">
        <v>1901</v>
      </c>
      <c r="D1376" s="832">
        <v>0.23</v>
      </c>
    </row>
    <row r="1377" spans="1:4" x14ac:dyDescent="0.3">
      <c r="A1377" s="830">
        <v>99830</v>
      </c>
      <c r="B1377" s="831" t="s">
        <v>5890</v>
      </c>
      <c r="C1377" s="830" t="s">
        <v>1901</v>
      </c>
      <c r="D1377" s="832">
        <v>0.04</v>
      </c>
    </row>
    <row r="1378" spans="1:4" x14ac:dyDescent="0.3">
      <c r="A1378" s="830">
        <v>99831</v>
      </c>
      <c r="B1378" s="831" t="s">
        <v>5891</v>
      </c>
      <c r="C1378" s="830" t="s">
        <v>1901</v>
      </c>
      <c r="D1378" s="832">
        <v>0.16</v>
      </c>
    </row>
    <row r="1379" spans="1:4" x14ac:dyDescent="0.3">
      <c r="A1379" s="830">
        <v>99832</v>
      </c>
      <c r="B1379" s="831" t="s">
        <v>5892</v>
      </c>
      <c r="C1379" s="830" t="s">
        <v>1901</v>
      </c>
      <c r="D1379" s="832">
        <v>3.18</v>
      </c>
    </row>
    <row r="1380" spans="1:4" x14ac:dyDescent="0.3">
      <c r="A1380" s="830">
        <v>100637</v>
      </c>
      <c r="B1380" s="831" t="s">
        <v>4115</v>
      </c>
      <c r="C1380" s="830" t="s">
        <v>1901</v>
      </c>
      <c r="D1380" s="832">
        <v>193.24</v>
      </c>
    </row>
    <row r="1381" spans="1:4" x14ac:dyDescent="0.3">
      <c r="A1381" s="830">
        <v>100638</v>
      </c>
      <c r="B1381" s="831" t="s">
        <v>4117</v>
      </c>
      <c r="C1381" s="830" t="s">
        <v>1901</v>
      </c>
      <c r="D1381" s="832">
        <v>59.4</v>
      </c>
    </row>
    <row r="1382" spans="1:4" x14ac:dyDescent="0.3">
      <c r="A1382" s="830">
        <v>100639</v>
      </c>
      <c r="B1382" s="831" t="s">
        <v>4119</v>
      </c>
      <c r="C1382" s="830" t="s">
        <v>1901</v>
      </c>
      <c r="D1382" s="832">
        <v>241.74</v>
      </c>
    </row>
    <row r="1383" spans="1:4" x14ac:dyDescent="0.3">
      <c r="A1383" s="830">
        <v>100640</v>
      </c>
      <c r="B1383" s="831" t="s">
        <v>4121</v>
      </c>
      <c r="C1383" s="830" t="s">
        <v>1901</v>
      </c>
      <c r="D1383" s="832">
        <v>4276.8</v>
      </c>
    </row>
    <row r="1384" spans="1:4" x14ac:dyDescent="0.3">
      <c r="A1384" s="830">
        <v>100643</v>
      </c>
      <c r="B1384" s="831" t="s">
        <v>5893</v>
      </c>
      <c r="C1384" s="830" t="s">
        <v>1901</v>
      </c>
      <c r="D1384" s="832">
        <v>395.96</v>
      </c>
    </row>
    <row r="1385" spans="1:4" x14ac:dyDescent="0.3">
      <c r="A1385" s="830">
        <v>100644</v>
      </c>
      <c r="B1385" s="831" t="s">
        <v>5894</v>
      </c>
      <c r="C1385" s="830" t="s">
        <v>1901</v>
      </c>
      <c r="D1385" s="832">
        <v>139.57</v>
      </c>
    </row>
    <row r="1386" spans="1:4" x14ac:dyDescent="0.3">
      <c r="A1386" s="830">
        <v>100645</v>
      </c>
      <c r="B1386" s="831" t="s">
        <v>5895</v>
      </c>
      <c r="C1386" s="830" t="s">
        <v>1901</v>
      </c>
      <c r="D1386" s="832">
        <v>636.51</v>
      </c>
    </row>
    <row r="1387" spans="1:4" x14ac:dyDescent="0.3">
      <c r="A1387" s="830">
        <v>100646</v>
      </c>
      <c r="B1387" s="831" t="s">
        <v>5896</v>
      </c>
      <c r="C1387" s="830" t="s">
        <v>1901</v>
      </c>
      <c r="D1387" s="832">
        <v>5346</v>
      </c>
    </row>
    <row r="1388" spans="1:4" x14ac:dyDescent="0.3">
      <c r="A1388" s="830">
        <v>102270</v>
      </c>
      <c r="B1388" s="831" t="s">
        <v>5897</v>
      </c>
      <c r="C1388" s="830" t="s">
        <v>1901</v>
      </c>
      <c r="D1388" s="832">
        <v>0.77</v>
      </c>
    </row>
    <row r="1389" spans="1:4" x14ac:dyDescent="0.3">
      <c r="A1389" s="830">
        <v>102271</v>
      </c>
      <c r="B1389" s="831" t="s">
        <v>5898</v>
      </c>
      <c r="C1389" s="830" t="s">
        <v>1901</v>
      </c>
      <c r="D1389" s="832">
        <v>0.17</v>
      </c>
    </row>
    <row r="1390" spans="1:4" x14ac:dyDescent="0.3">
      <c r="A1390" s="830">
        <v>102272</v>
      </c>
      <c r="B1390" s="831" t="s">
        <v>5899</v>
      </c>
      <c r="C1390" s="830" t="s">
        <v>1901</v>
      </c>
      <c r="D1390" s="832">
        <v>0.96</v>
      </c>
    </row>
    <row r="1391" spans="1:4" x14ac:dyDescent="0.3">
      <c r="A1391" s="830">
        <v>102273</v>
      </c>
      <c r="B1391" s="831" t="s">
        <v>5900</v>
      </c>
      <c r="C1391" s="830" t="s">
        <v>1901</v>
      </c>
      <c r="D1391" s="832">
        <v>1.22</v>
      </c>
    </row>
    <row r="1392" spans="1:4" x14ac:dyDescent="0.3">
      <c r="A1392" s="830">
        <v>102809</v>
      </c>
      <c r="B1392" s="831" t="s">
        <v>5901</v>
      </c>
      <c r="C1392" s="830" t="s">
        <v>1901</v>
      </c>
      <c r="D1392" s="832">
        <v>16.399999999999999</v>
      </c>
    </row>
    <row r="1393" spans="1:4" x14ac:dyDescent="0.3">
      <c r="A1393" s="830">
        <v>102815</v>
      </c>
      <c r="B1393" s="831" t="s">
        <v>5902</v>
      </c>
      <c r="C1393" s="830" t="s">
        <v>1901</v>
      </c>
      <c r="D1393" s="832">
        <v>2.44</v>
      </c>
    </row>
    <row r="1394" spans="1:4" x14ac:dyDescent="0.3">
      <c r="A1394" s="830">
        <v>102826</v>
      </c>
      <c r="B1394" s="831" t="s">
        <v>5903</v>
      </c>
      <c r="C1394" s="830" t="s">
        <v>1901</v>
      </c>
      <c r="D1394" s="832">
        <v>4.59</v>
      </c>
    </row>
    <row r="1395" spans="1:4" x14ac:dyDescent="0.3">
      <c r="A1395" s="830">
        <v>102832</v>
      </c>
      <c r="B1395" s="831" t="s">
        <v>5904</v>
      </c>
      <c r="C1395" s="830" t="s">
        <v>1901</v>
      </c>
      <c r="D1395" s="832">
        <v>6.12</v>
      </c>
    </row>
    <row r="1396" spans="1:4" x14ac:dyDescent="0.3">
      <c r="A1396" s="830">
        <v>102843</v>
      </c>
      <c r="B1396" s="831" t="s">
        <v>5905</v>
      </c>
      <c r="C1396" s="830" t="s">
        <v>1901</v>
      </c>
      <c r="D1396" s="832">
        <v>133.65</v>
      </c>
    </row>
    <row r="1397" spans="1:4" x14ac:dyDescent="0.3">
      <c r="A1397" s="830">
        <v>102849</v>
      </c>
      <c r="B1397" s="831" t="s">
        <v>5906</v>
      </c>
      <c r="C1397" s="830" t="s">
        <v>1901</v>
      </c>
      <c r="D1397" s="832">
        <v>65.34</v>
      </c>
    </row>
    <row r="1398" spans="1:4" x14ac:dyDescent="0.3">
      <c r="A1398" s="830">
        <v>102855</v>
      </c>
      <c r="B1398" s="831" t="s">
        <v>5907</v>
      </c>
      <c r="C1398" s="830" t="s">
        <v>1901</v>
      </c>
      <c r="D1398" s="832">
        <v>65.34</v>
      </c>
    </row>
    <row r="1399" spans="1:4" x14ac:dyDescent="0.3">
      <c r="A1399" s="830">
        <v>102861</v>
      </c>
      <c r="B1399" s="831" t="s">
        <v>5908</v>
      </c>
      <c r="C1399" s="830" t="s">
        <v>1901</v>
      </c>
      <c r="D1399" s="832">
        <v>0.9</v>
      </c>
    </row>
    <row r="1400" spans="1:4" x14ac:dyDescent="0.3">
      <c r="A1400" s="830">
        <v>102867</v>
      </c>
      <c r="B1400" s="831" t="s">
        <v>5909</v>
      </c>
      <c r="C1400" s="830" t="s">
        <v>1901</v>
      </c>
      <c r="D1400" s="832">
        <v>0.48</v>
      </c>
    </row>
    <row r="1401" spans="1:4" x14ac:dyDescent="0.3">
      <c r="A1401" s="830">
        <v>102870</v>
      </c>
      <c r="B1401" s="831" t="s">
        <v>5910</v>
      </c>
      <c r="C1401" s="830" t="s">
        <v>1901</v>
      </c>
      <c r="D1401" s="832">
        <v>347.81</v>
      </c>
    </row>
    <row r="1402" spans="1:4" x14ac:dyDescent="0.3">
      <c r="A1402" s="830">
        <v>102871</v>
      </c>
      <c r="B1402" s="831" t="s">
        <v>5911</v>
      </c>
      <c r="C1402" s="830" t="s">
        <v>1901</v>
      </c>
      <c r="D1402" s="832">
        <v>93.96</v>
      </c>
    </row>
    <row r="1403" spans="1:4" x14ac:dyDescent="0.3">
      <c r="A1403" s="830">
        <v>102872</v>
      </c>
      <c r="B1403" s="831" t="s">
        <v>5912</v>
      </c>
      <c r="C1403" s="830" t="s">
        <v>1901</v>
      </c>
      <c r="D1403" s="832">
        <v>435.25</v>
      </c>
    </row>
    <row r="1404" spans="1:4" x14ac:dyDescent="0.3">
      <c r="A1404" s="830">
        <v>102873</v>
      </c>
      <c r="B1404" s="831" t="s">
        <v>5913</v>
      </c>
      <c r="C1404" s="830" t="s">
        <v>1901</v>
      </c>
      <c r="D1404" s="832">
        <v>118.74</v>
      </c>
    </row>
    <row r="1405" spans="1:4" x14ac:dyDescent="0.3">
      <c r="A1405" s="830">
        <v>102876</v>
      </c>
      <c r="B1405" s="831" t="s">
        <v>5914</v>
      </c>
      <c r="C1405" s="830" t="s">
        <v>1901</v>
      </c>
      <c r="D1405" s="832">
        <v>483.34</v>
      </c>
    </row>
    <row r="1406" spans="1:4" x14ac:dyDescent="0.3">
      <c r="A1406" s="830">
        <v>102877</v>
      </c>
      <c r="B1406" s="831" t="s">
        <v>5915</v>
      </c>
      <c r="C1406" s="830" t="s">
        <v>1901</v>
      </c>
      <c r="D1406" s="832">
        <v>130.58000000000001</v>
      </c>
    </row>
    <row r="1407" spans="1:4" x14ac:dyDescent="0.3">
      <c r="A1407" s="830">
        <v>102878</v>
      </c>
      <c r="B1407" s="831" t="s">
        <v>5916</v>
      </c>
      <c r="C1407" s="830" t="s">
        <v>1901</v>
      </c>
      <c r="D1407" s="832">
        <v>604.86</v>
      </c>
    </row>
    <row r="1408" spans="1:4" x14ac:dyDescent="0.3">
      <c r="A1408" s="830">
        <v>102879</v>
      </c>
      <c r="B1408" s="831" t="s">
        <v>5917</v>
      </c>
      <c r="C1408" s="830" t="s">
        <v>1901</v>
      </c>
      <c r="D1408" s="832">
        <v>178.2</v>
      </c>
    </row>
    <row r="1409" spans="1:4" x14ac:dyDescent="0.3">
      <c r="A1409" s="830">
        <v>102885</v>
      </c>
      <c r="B1409" s="831" t="s">
        <v>5918</v>
      </c>
      <c r="C1409" s="830" t="s">
        <v>1901</v>
      </c>
      <c r="D1409" s="832">
        <v>0.92</v>
      </c>
    </row>
    <row r="1410" spans="1:4" x14ac:dyDescent="0.3">
      <c r="A1410" s="830">
        <v>102891</v>
      </c>
      <c r="B1410" s="831" t="s">
        <v>3678</v>
      </c>
      <c r="C1410" s="830" t="s">
        <v>1901</v>
      </c>
      <c r="D1410" s="832">
        <v>0.92</v>
      </c>
    </row>
    <row r="1411" spans="1:4" x14ac:dyDescent="0.3">
      <c r="A1411" s="830">
        <v>102897</v>
      </c>
      <c r="B1411" s="831" t="s">
        <v>5919</v>
      </c>
      <c r="C1411" s="830" t="s">
        <v>1901</v>
      </c>
      <c r="D1411" s="832">
        <v>89.27</v>
      </c>
    </row>
    <row r="1412" spans="1:4" x14ac:dyDescent="0.3">
      <c r="A1412" s="830">
        <v>102903</v>
      </c>
      <c r="B1412" s="831" t="s">
        <v>5920</v>
      </c>
      <c r="C1412" s="830" t="s">
        <v>1901</v>
      </c>
      <c r="D1412" s="832">
        <v>11.58</v>
      </c>
    </row>
    <row r="1413" spans="1:4" x14ac:dyDescent="0.3">
      <c r="A1413" s="830">
        <v>102909</v>
      </c>
      <c r="B1413" s="831" t="s">
        <v>5921</v>
      </c>
      <c r="C1413" s="830" t="s">
        <v>1901</v>
      </c>
      <c r="D1413" s="832">
        <v>2.93</v>
      </c>
    </row>
    <row r="1414" spans="1:4" x14ac:dyDescent="0.3">
      <c r="A1414" s="830">
        <v>102915</v>
      </c>
      <c r="B1414" s="831" t="s">
        <v>5922</v>
      </c>
      <c r="C1414" s="830" t="s">
        <v>1901</v>
      </c>
      <c r="D1414" s="832">
        <v>0.45</v>
      </c>
    </row>
    <row r="1415" spans="1:4" x14ac:dyDescent="0.3">
      <c r="A1415" s="830">
        <v>102927</v>
      </c>
      <c r="B1415" s="831" t="s">
        <v>5923</v>
      </c>
      <c r="C1415" s="830" t="s">
        <v>1901</v>
      </c>
      <c r="D1415" s="832">
        <v>0.67</v>
      </c>
    </row>
    <row r="1416" spans="1:4" x14ac:dyDescent="0.3">
      <c r="A1416" s="830">
        <v>102933</v>
      </c>
      <c r="B1416" s="831" t="s">
        <v>3680</v>
      </c>
      <c r="C1416" s="830" t="s">
        <v>1901</v>
      </c>
      <c r="D1416" s="832">
        <v>0.67</v>
      </c>
    </row>
    <row r="1417" spans="1:4" x14ac:dyDescent="0.3">
      <c r="A1417" s="830">
        <v>102939</v>
      </c>
      <c r="B1417" s="831" t="s">
        <v>5924</v>
      </c>
      <c r="C1417" s="830" t="s">
        <v>1901</v>
      </c>
      <c r="D1417" s="832">
        <v>6.73</v>
      </c>
    </row>
    <row r="1418" spans="1:4" x14ac:dyDescent="0.3">
      <c r="A1418" s="830">
        <v>102945</v>
      </c>
      <c r="B1418" s="831" t="s">
        <v>3682</v>
      </c>
      <c r="C1418" s="830" t="s">
        <v>1901</v>
      </c>
      <c r="D1418" s="832">
        <v>0.01</v>
      </c>
    </row>
    <row r="1419" spans="1:4" x14ac:dyDescent="0.3">
      <c r="A1419" s="830">
        <v>102951</v>
      </c>
      <c r="B1419" s="831" t="s">
        <v>5925</v>
      </c>
      <c r="C1419" s="830" t="s">
        <v>1901</v>
      </c>
      <c r="D1419" s="832">
        <v>0.45</v>
      </c>
    </row>
    <row r="1420" spans="1:4" x14ac:dyDescent="0.3">
      <c r="A1420" s="830">
        <v>102957</v>
      </c>
      <c r="B1420" s="831" t="s">
        <v>5926</v>
      </c>
      <c r="C1420" s="830" t="s">
        <v>1901</v>
      </c>
      <c r="D1420" s="832">
        <v>39.020000000000003</v>
      </c>
    </row>
    <row r="1421" spans="1:4" x14ac:dyDescent="0.3">
      <c r="A1421" s="830">
        <v>102960</v>
      </c>
      <c r="B1421" s="831" t="s">
        <v>5927</v>
      </c>
      <c r="C1421" s="830" t="s">
        <v>1901</v>
      </c>
      <c r="D1421" s="832">
        <v>168.8</v>
      </c>
    </row>
    <row r="1422" spans="1:4" x14ac:dyDescent="0.3">
      <c r="A1422" s="830">
        <v>102961</v>
      </c>
      <c r="B1422" s="831" t="s">
        <v>5928</v>
      </c>
      <c r="C1422" s="830" t="s">
        <v>1901</v>
      </c>
      <c r="D1422" s="832">
        <v>45.6</v>
      </c>
    </row>
    <row r="1423" spans="1:4" x14ac:dyDescent="0.3">
      <c r="A1423" s="830">
        <v>102962</v>
      </c>
      <c r="B1423" s="831" t="s">
        <v>5929</v>
      </c>
      <c r="C1423" s="830" t="s">
        <v>1901</v>
      </c>
      <c r="D1423" s="832">
        <v>158.35</v>
      </c>
    </row>
    <row r="1424" spans="1:4" x14ac:dyDescent="0.3">
      <c r="A1424" s="830">
        <v>102963</v>
      </c>
      <c r="B1424" s="831" t="s">
        <v>5930</v>
      </c>
      <c r="C1424" s="830" t="s">
        <v>1901</v>
      </c>
      <c r="D1424" s="832">
        <v>84.16</v>
      </c>
    </row>
    <row r="1425" spans="1:4" x14ac:dyDescent="0.3">
      <c r="A1425" s="830">
        <v>102969</v>
      </c>
      <c r="B1425" s="831" t="s">
        <v>5931</v>
      </c>
      <c r="C1425" s="830" t="s">
        <v>1901</v>
      </c>
      <c r="D1425" s="832">
        <v>0.1</v>
      </c>
    </row>
    <row r="1426" spans="1:4" x14ac:dyDescent="0.3">
      <c r="A1426" s="830">
        <v>102972</v>
      </c>
      <c r="B1426" s="831" t="s">
        <v>5932</v>
      </c>
      <c r="C1426" s="830" t="s">
        <v>1901</v>
      </c>
      <c r="D1426" s="832">
        <v>90.09</v>
      </c>
    </row>
    <row r="1427" spans="1:4" x14ac:dyDescent="0.3">
      <c r="A1427" s="830">
        <v>102973</v>
      </c>
      <c r="B1427" s="831" t="s">
        <v>5933</v>
      </c>
      <c r="C1427" s="830" t="s">
        <v>1901</v>
      </c>
      <c r="D1427" s="832">
        <v>25.01</v>
      </c>
    </row>
    <row r="1428" spans="1:4" x14ac:dyDescent="0.3">
      <c r="A1428" s="830">
        <v>102974</v>
      </c>
      <c r="B1428" s="831" t="s">
        <v>5934</v>
      </c>
      <c r="C1428" s="830" t="s">
        <v>1901</v>
      </c>
      <c r="D1428" s="832">
        <v>84.51</v>
      </c>
    </row>
    <row r="1429" spans="1:4" x14ac:dyDescent="0.3">
      <c r="A1429" s="830">
        <v>102985</v>
      </c>
      <c r="B1429" s="831" t="s">
        <v>5935</v>
      </c>
      <c r="C1429" s="830" t="s">
        <v>1901</v>
      </c>
      <c r="D1429" s="832">
        <v>14.85</v>
      </c>
    </row>
    <row r="1430" spans="1:4" x14ac:dyDescent="0.3">
      <c r="A1430" s="830">
        <v>103156</v>
      </c>
      <c r="B1430" s="831" t="s">
        <v>5936</v>
      </c>
      <c r="C1430" s="830" t="s">
        <v>1901</v>
      </c>
      <c r="D1430" s="832">
        <v>1.71</v>
      </c>
    </row>
    <row r="1431" spans="1:4" x14ac:dyDescent="0.3">
      <c r="A1431" s="830">
        <v>103162</v>
      </c>
      <c r="B1431" s="831" t="s">
        <v>5937</v>
      </c>
      <c r="C1431" s="830" t="s">
        <v>1901</v>
      </c>
      <c r="D1431" s="832">
        <v>0.48</v>
      </c>
    </row>
    <row r="1432" spans="1:4" x14ac:dyDescent="0.3">
      <c r="A1432" s="830">
        <v>103168</v>
      </c>
      <c r="B1432" s="831" t="s">
        <v>5938</v>
      </c>
      <c r="C1432" s="830" t="s">
        <v>1901</v>
      </c>
      <c r="D1432" s="832">
        <v>0.54</v>
      </c>
    </row>
    <row r="1433" spans="1:4" x14ac:dyDescent="0.3">
      <c r="A1433" s="830">
        <v>103174</v>
      </c>
      <c r="B1433" s="831" t="s">
        <v>5939</v>
      </c>
      <c r="C1433" s="830" t="s">
        <v>1901</v>
      </c>
      <c r="D1433" s="832">
        <v>1.36</v>
      </c>
    </row>
    <row r="1434" spans="1:4" x14ac:dyDescent="0.3">
      <c r="A1434" s="830">
        <v>103180</v>
      </c>
      <c r="B1434" s="831" t="s">
        <v>5940</v>
      </c>
      <c r="C1434" s="830" t="s">
        <v>1901</v>
      </c>
      <c r="D1434" s="832">
        <v>3.14</v>
      </c>
    </row>
    <row r="1435" spans="1:4" x14ac:dyDescent="0.3">
      <c r="A1435" s="830">
        <v>103220</v>
      </c>
      <c r="B1435" s="831" t="s">
        <v>5941</v>
      </c>
      <c r="C1435" s="830" t="s">
        <v>1901</v>
      </c>
      <c r="D1435" s="832">
        <v>147.81</v>
      </c>
    </row>
    <row r="1436" spans="1:4" x14ac:dyDescent="0.3">
      <c r="A1436" s="830">
        <v>103221</v>
      </c>
      <c r="B1436" s="831" t="s">
        <v>5942</v>
      </c>
      <c r="C1436" s="830" t="s">
        <v>1901</v>
      </c>
      <c r="D1436" s="832">
        <v>39.93</v>
      </c>
    </row>
    <row r="1437" spans="1:4" x14ac:dyDescent="0.3">
      <c r="A1437" s="830">
        <v>103222</v>
      </c>
      <c r="B1437" s="831" t="s">
        <v>5943</v>
      </c>
      <c r="C1437" s="830" t="s">
        <v>1901</v>
      </c>
      <c r="D1437" s="832">
        <v>184.98</v>
      </c>
    </row>
    <row r="1438" spans="1:4" x14ac:dyDescent="0.3">
      <c r="A1438" s="830">
        <v>103223</v>
      </c>
      <c r="B1438" s="831" t="s">
        <v>5944</v>
      </c>
      <c r="C1438" s="830" t="s">
        <v>1901</v>
      </c>
      <c r="D1438" s="832">
        <v>34.799999999999997</v>
      </c>
    </row>
    <row r="1439" spans="1:4" x14ac:dyDescent="0.3">
      <c r="A1439" s="830">
        <v>103226</v>
      </c>
      <c r="B1439" s="831" t="s">
        <v>5945</v>
      </c>
      <c r="C1439" s="830" t="s">
        <v>1901</v>
      </c>
      <c r="D1439" s="832">
        <v>339.12</v>
      </c>
    </row>
    <row r="1440" spans="1:4" x14ac:dyDescent="0.3">
      <c r="A1440" s="830">
        <v>103227</v>
      </c>
      <c r="B1440" s="831" t="s">
        <v>5946</v>
      </c>
      <c r="C1440" s="830" t="s">
        <v>1901</v>
      </c>
      <c r="D1440" s="832">
        <v>91.62</v>
      </c>
    </row>
    <row r="1441" spans="1:4" x14ac:dyDescent="0.3">
      <c r="A1441" s="830">
        <v>103228</v>
      </c>
      <c r="B1441" s="831" t="s">
        <v>5947</v>
      </c>
      <c r="C1441" s="830" t="s">
        <v>1901</v>
      </c>
      <c r="D1441" s="832">
        <v>424.38</v>
      </c>
    </row>
    <row r="1442" spans="1:4" x14ac:dyDescent="0.3">
      <c r="A1442" s="830">
        <v>103229</v>
      </c>
      <c r="B1442" s="831" t="s">
        <v>5948</v>
      </c>
      <c r="C1442" s="830" t="s">
        <v>1901</v>
      </c>
      <c r="D1442" s="832">
        <v>86.42</v>
      </c>
    </row>
    <row r="1443" spans="1:4" x14ac:dyDescent="0.3">
      <c r="A1443" s="830">
        <v>103232</v>
      </c>
      <c r="B1443" s="831" t="s">
        <v>5949</v>
      </c>
      <c r="C1443" s="830" t="s">
        <v>1901</v>
      </c>
      <c r="D1443" s="832">
        <v>463.76</v>
      </c>
    </row>
    <row r="1444" spans="1:4" x14ac:dyDescent="0.3">
      <c r="A1444" s="830">
        <v>103233</v>
      </c>
      <c r="B1444" s="831" t="s">
        <v>5950</v>
      </c>
      <c r="C1444" s="830" t="s">
        <v>1901</v>
      </c>
      <c r="D1444" s="832">
        <v>125.29</v>
      </c>
    </row>
    <row r="1445" spans="1:4" x14ac:dyDescent="0.3">
      <c r="A1445" s="830">
        <v>103234</v>
      </c>
      <c r="B1445" s="831" t="s">
        <v>5951</v>
      </c>
      <c r="C1445" s="830" t="s">
        <v>1901</v>
      </c>
      <c r="D1445" s="832">
        <v>609.05999999999995</v>
      </c>
    </row>
    <row r="1446" spans="1:4" x14ac:dyDescent="0.3">
      <c r="A1446" s="830">
        <v>103235</v>
      </c>
      <c r="B1446" s="831" t="s">
        <v>5952</v>
      </c>
      <c r="C1446" s="830" t="s">
        <v>1901</v>
      </c>
      <c r="D1446" s="832">
        <v>101.92</v>
      </c>
    </row>
    <row r="1447" spans="1:4" x14ac:dyDescent="0.3">
      <c r="A1447" s="830">
        <v>103241</v>
      </c>
      <c r="B1447" s="831" t="s">
        <v>5953</v>
      </c>
      <c r="C1447" s="830" t="s">
        <v>1901</v>
      </c>
      <c r="D1447" s="832">
        <v>8.44</v>
      </c>
    </row>
    <row r="1448" spans="1:4" x14ac:dyDescent="0.3">
      <c r="A1448" s="830">
        <v>103660</v>
      </c>
      <c r="B1448" s="831" t="s">
        <v>5954</v>
      </c>
      <c r="C1448" s="830" t="s">
        <v>1901</v>
      </c>
      <c r="D1448" s="832">
        <v>11.83</v>
      </c>
    </row>
    <row r="1449" spans="1:4" x14ac:dyDescent="0.3">
      <c r="A1449" s="830">
        <v>103666</v>
      </c>
      <c r="B1449" s="831" t="s">
        <v>5955</v>
      </c>
      <c r="C1449" s="830" t="s">
        <v>1901</v>
      </c>
      <c r="D1449" s="832">
        <v>134.71</v>
      </c>
    </row>
    <row r="1450" spans="1:4" x14ac:dyDescent="0.3">
      <c r="A1450" s="830">
        <v>103792</v>
      </c>
      <c r="B1450" s="831" t="s">
        <v>5956</v>
      </c>
      <c r="C1450" s="830" t="s">
        <v>1901</v>
      </c>
      <c r="D1450" s="832">
        <v>3.36</v>
      </c>
    </row>
    <row r="1451" spans="1:4" x14ac:dyDescent="0.3">
      <c r="A1451" s="830">
        <v>103937</v>
      </c>
      <c r="B1451" s="831" t="s">
        <v>5957</v>
      </c>
      <c r="C1451" s="830" t="s">
        <v>1901</v>
      </c>
      <c r="D1451" s="832">
        <v>1.1000000000000001</v>
      </c>
    </row>
    <row r="1452" spans="1:4" x14ac:dyDescent="0.3">
      <c r="A1452" s="830">
        <v>103943</v>
      </c>
      <c r="B1452" s="831" t="s">
        <v>5958</v>
      </c>
      <c r="C1452" s="830" t="s">
        <v>1901</v>
      </c>
      <c r="D1452" s="832">
        <v>1.1000000000000001</v>
      </c>
    </row>
    <row r="1453" spans="1:4" x14ac:dyDescent="0.3">
      <c r="A1453" s="830">
        <v>104087</v>
      </c>
      <c r="B1453" s="831" t="s">
        <v>5959</v>
      </c>
      <c r="C1453" s="830" t="s">
        <v>1901</v>
      </c>
      <c r="D1453" s="832">
        <v>7.0000000000000007E-2</v>
      </c>
    </row>
    <row r="1454" spans="1:4" x14ac:dyDescent="0.3">
      <c r="A1454" s="830">
        <v>104088</v>
      </c>
      <c r="B1454" s="831" t="s">
        <v>5960</v>
      </c>
      <c r="C1454" s="830" t="s">
        <v>1901</v>
      </c>
      <c r="D1454" s="832">
        <v>0.01</v>
      </c>
    </row>
    <row r="1455" spans="1:4" x14ac:dyDescent="0.3">
      <c r="A1455" s="830">
        <v>104089</v>
      </c>
      <c r="B1455" s="831" t="s">
        <v>5961</v>
      </c>
      <c r="C1455" s="830" t="s">
        <v>1901</v>
      </c>
      <c r="D1455" s="832">
        <v>0.08</v>
      </c>
    </row>
    <row r="1456" spans="1:4" x14ac:dyDescent="0.3">
      <c r="A1456" s="830">
        <v>104090</v>
      </c>
      <c r="B1456" s="831" t="s">
        <v>5962</v>
      </c>
      <c r="C1456" s="830" t="s">
        <v>1901</v>
      </c>
      <c r="D1456" s="832">
        <v>0.48</v>
      </c>
    </row>
    <row r="1457" spans="1:4" x14ac:dyDescent="0.3">
      <c r="A1457" s="830">
        <v>104093</v>
      </c>
      <c r="B1457" s="831" t="s">
        <v>5963</v>
      </c>
      <c r="C1457" s="830" t="s">
        <v>1901</v>
      </c>
      <c r="D1457" s="832">
        <v>0.1</v>
      </c>
    </row>
    <row r="1458" spans="1:4" x14ac:dyDescent="0.3">
      <c r="A1458" s="830">
        <v>104094</v>
      </c>
      <c r="B1458" s="831" t="s">
        <v>5964</v>
      </c>
      <c r="C1458" s="830" t="s">
        <v>1901</v>
      </c>
      <c r="D1458" s="832">
        <v>0.02</v>
      </c>
    </row>
    <row r="1459" spans="1:4" x14ac:dyDescent="0.3">
      <c r="A1459" s="830">
        <v>104095</v>
      </c>
      <c r="B1459" s="831" t="s">
        <v>5965</v>
      </c>
      <c r="C1459" s="830" t="s">
        <v>1901</v>
      </c>
      <c r="D1459" s="832">
        <v>0.12</v>
      </c>
    </row>
    <row r="1460" spans="1:4" x14ac:dyDescent="0.3">
      <c r="A1460" s="830">
        <v>104096</v>
      </c>
      <c r="B1460" s="831" t="s">
        <v>5966</v>
      </c>
      <c r="C1460" s="830" t="s">
        <v>1901</v>
      </c>
      <c r="D1460" s="832">
        <v>0.67</v>
      </c>
    </row>
    <row r="1461" spans="1:4" x14ac:dyDescent="0.3">
      <c r="A1461" s="830">
        <v>104519</v>
      </c>
      <c r="B1461" s="831" t="s">
        <v>5967</v>
      </c>
      <c r="C1461" s="830" t="s">
        <v>1901</v>
      </c>
      <c r="D1461" s="832">
        <v>0.46</v>
      </c>
    </row>
    <row r="1462" spans="1:4" x14ac:dyDescent="0.3">
      <c r="A1462" s="830">
        <v>104655</v>
      </c>
      <c r="B1462" s="831" t="s">
        <v>5968</v>
      </c>
      <c r="C1462" s="830" t="s">
        <v>1901</v>
      </c>
      <c r="D1462" s="832">
        <v>0.48</v>
      </c>
    </row>
    <row r="1463" spans="1:4" x14ac:dyDescent="0.3">
      <c r="A1463" s="830">
        <v>104687</v>
      </c>
      <c r="B1463" s="831" t="s">
        <v>5969</v>
      </c>
      <c r="C1463" s="830" t="s">
        <v>1901</v>
      </c>
      <c r="D1463" s="832">
        <v>446.21</v>
      </c>
    </row>
    <row r="1464" spans="1:4" x14ac:dyDescent="0.3">
      <c r="A1464" s="830">
        <v>104691</v>
      </c>
      <c r="B1464" s="831" t="s">
        <v>5970</v>
      </c>
      <c r="C1464" s="830" t="s">
        <v>1901</v>
      </c>
      <c r="D1464" s="832">
        <v>0.95</v>
      </c>
    </row>
    <row r="1465" spans="1:4" x14ac:dyDescent="0.3">
      <c r="A1465" s="830">
        <v>104692</v>
      </c>
      <c r="B1465" s="831" t="s">
        <v>5971</v>
      </c>
      <c r="C1465" s="830" t="s">
        <v>1901</v>
      </c>
      <c r="D1465" s="832">
        <v>0.21</v>
      </c>
    </row>
    <row r="1466" spans="1:4" x14ac:dyDescent="0.3">
      <c r="A1466" s="830">
        <v>104693</v>
      </c>
      <c r="B1466" s="831" t="s">
        <v>5972</v>
      </c>
      <c r="C1466" s="830" t="s">
        <v>1901</v>
      </c>
      <c r="D1466" s="832">
        <v>1.18</v>
      </c>
    </row>
    <row r="1467" spans="1:4" x14ac:dyDescent="0.3">
      <c r="A1467" s="830">
        <v>104694</v>
      </c>
      <c r="B1467" s="831" t="s">
        <v>5973</v>
      </c>
      <c r="C1467" s="830" t="s">
        <v>1901</v>
      </c>
      <c r="D1467" s="832">
        <v>1.53</v>
      </c>
    </row>
    <row r="1468" spans="1:4" x14ac:dyDescent="0.3">
      <c r="A1468" s="830">
        <v>104703</v>
      </c>
      <c r="B1468" s="831" t="s">
        <v>5974</v>
      </c>
      <c r="C1468" s="830" t="s">
        <v>1901</v>
      </c>
      <c r="D1468" s="832">
        <v>91.83</v>
      </c>
    </row>
    <row r="1469" spans="1:4" x14ac:dyDescent="0.3">
      <c r="A1469" s="830">
        <v>104709</v>
      </c>
      <c r="B1469" s="831" t="s">
        <v>5975</v>
      </c>
      <c r="C1469" s="830" t="s">
        <v>1901</v>
      </c>
      <c r="D1469" s="832">
        <v>1161.27</v>
      </c>
    </row>
    <row r="1470" spans="1:4" x14ac:dyDescent="0.3">
      <c r="A1470" s="830">
        <v>104712</v>
      </c>
      <c r="B1470" s="831" t="s">
        <v>5976</v>
      </c>
      <c r="C1470" s="830" t="s">
        <v>1901</v>
      </c>
      <c r="D1470" s="832">
        <v>60.33</v>
      </c>
    </row>
    <row r="1471" spans="1:4" x14ac:dyDescent="0.3">
      <c r="A1471" s="830">
        <v>104713</v>
      </c>
      <c r="B1471" s="831" t="s">
        <v>5977</v>
      </c>
      <c r="C1471" s="830" t="s">
        <v>1901</v>
      </c>
      <c r="D1471" s="832">
        <v>15.94</v>
      </c>
    </row>
    <row r="1472" spans="1:4" x14ac:dyDescent="0.3">
      <c r="A1472" s="830">
        <v>104714</v>
      </c>
      <c r="B1472" s="831" t="s">
        <v>5978</v>
      </c>
      <c r="C1472" s="830" t="s">
        <v>1901</v>
      </c>
      <c r="D1472" s="832">
        <v>75.41</v>
      </c>
    </row>
    <row r="1473" spans="1:4" x14ac:dyDescent="0.3">
      <c r="A1473" s="830">
        <v>104715</v>
      </c>
      <c r="B1473" s="831" t="s">
        <v>5979</v>
      </c>
      <c r="C1473" s="830" t="s">
        <v>1901</v>
      </c>
      <c r="D1473" s="832">
        <v>89.27</v>
      </c>
    </row>
    <row r="1474" spans="1:4" x14ac:dyDescent="0.3">
      <c r="A1474" s="830">
        <v>104906</v>
      </c>
      <c r="B1474" s="831" t="s">
        <v>5980</v>
      </c>
      <c r="C1474" s="830" t="s">
        <v>1901</v>
      </c>
      <c r="D1474" s="832">
        <v>98.01</v>
      </c>
    </row>
    <row r="1475" spans="1:4" x14ac:dyDescent="0.3">
      <c r="A1475" s="830">
        <v>104912</v>
      </c>
      <c r="B1475" s="831" t="s">
        <v>5981</v>
      </c>
      <c r="C1475" s="830" t="s">
        <v>1901</v>
      </c>
      <c r="D1475" s="832">
        <v>27.54</v>
      </c>
    </row>
    <row r="1476" spans="1:4" x14ac:dyDescent="0.3">
      <c r="A1476" s="830">
        <v>92259</v>
      </c>
      <c r="B1476" s="831" t="s">
        <v>5982</v>
      </c>
      <c r="C1476" s="830" t="s">
        <v>89</v>
      </c>
      <c r="D1476" s="832">
        <v>479</v>
      </c>
    </row>
    <row r="1477" spans="1:4" x14ac:dyDescent="0.3">
      <c r="A1477" s="830">
        <v>92260</v>
      </c>
      <c r="B1477" s="831" t="s">
        <v>5983</v>
      </c>
      <c r="C1477" s="830" t="s">
        <v>89</v>
      </c>
      <c r="D1477" s="832">
        <v>551.51</v>
      </c>
    </row>
    <row r="1478" spans="1:4" x14ac:dyDescent="0.3">
      <c r="A1478" s="830">
        <v>92261</v>
      </c>
      <c r="B1478" s="831" t="s">
        <v>5984</v>
      </c>
      <c r="C1478" s="830" t="s">
        <v>89</v>
      </c>
      <c r="D1478" s="832">
        <v>621.79999999999995</v>
      </c>
    </row>
    <row r="1479" spans="1:4" x14ac:dyDescent="0.3">
      <c r="A1479" s="830">
        <v>92262</v>
      </c>
      <c r="B1479" s="831" t="s">
        <v>5985</v>
      </c>
      <c r="C1479" s="830" t="s">
        <v>89</v>
      </c>
      <c r="D1479" s="832">
        <v>734.98</v>
      </c>
    </row>
    <row r="1480" spans="1:4" x14ac:dyDescent="0.3">
      <c r="A1480" s="830">
        <v>92539</v>
      </c>
      <c r="B1480" s="831" t="s">
        <v>5986</v>
      </c>
      <c r="C1480" s="830" t="s">
        <v>252</v>
      </c>
      <c r="D1480" s="832">
        <v>78.44</v>
      </c>
    </row>
    <row r="1481" spans="1:4" x14ac:dyDescent="0.3">
      <c r="A1481" s="830">
        <v>92540</v>
      </c>
      <c r="B1481" s="831" t="s">
        <v>5987</v>
      </c>
      <c r="C1481" s="830" t="s">
        <v>252</v>
      </c>
      <c r="D1481" s="832">
        <v>89.18</v>
      </c>
    </row>
    <row r="1482" spans="1:4" x14ac:dyDescent="0.3">
      <c r="A1482" s="830">
        <v>92541</v>
      </c>
      <c r="B1482" s="831" t="s">
        <v>5988</v>
      </c>
      <c r="C1482" s="830" t="s">
        <v>252</v>
      </c>
      <c r="D1482" s="832">
        <v>84.48</v>
      </c>
    </row>
    <row r="1483" spans="1:4" x14ac:dyDescent="0.3">
      <c r="A1483" s="830">
        <v>92542</v>
      </c>
      <c r="B1483" s="831" t="s">
        <v>5989</v>
      </c>
      <c r="C1483" s="830" t="s">
        <v>252</v>
      </c>
      <c r="D1483" s="832">
        <v>103.4</v>
      </c>
    </row>
    <row r="1484" spans="1:4" x14ac:dyDescent="0.3">
      <c r="A1484" s="830">
        <v>92543</v>
      </c>
      <c r="B1484" s="831" t="s">
        <v>2675</v>
      </c>
      <c r="C1484" s="830" t="s">
        <v>252</v>
      </c>
      <c r="D1484" s="832">
        <v>23.44</v>
      </c>
    </row>
    <row r="1485" spans="1:4" x14ac:dyDescent="0.3">
      <c r="A1485" s="830">
        <v>92544</v>
      </c>
      <c r="B1485" s="831" t="s">
        <v>5990</v>
      </c>
      <c r="C1485" s="830" t="s">
        <v>252</v>
      </c>
      <c r="D1485" s="832">
        <v>18.670000000000002</v>
      </c>
    </row>
    <row r="1486" spans="1:4" x14ac:dyDescent="0.3">
      <c r="A1486" s="830">
        <v>92545</v>
      </c>
      <c r="B1486" s="831" t="s">
        <v>5991</v>
      </c>
      <c r="C1486" s="830" t="s">
        <v>89</v>
      </c>
      <c r="D1486" s="832">
        <v>1061.1300000000001</v>
      </c>
    </row>
    <row r="1487" spans="1:4" x14ac:dyDescent="0.3">
      <c r="A1487" s="830">
        <v>92546</v>
      </c>
      <c r="B1487" s="831" t="s">
        <v>5992</v>
      </c>
      <c r="C1487" s="830" t="s">
        <v>89</v>
      </c>
      <c r="D1487" s="832">
        <v>1308.97</v>
      </c>
    </row>
    <row r="1488" spans="1:4" x14ac:dyDescent="0.3">
      <c r="A1488" s="830">
        <v>92547</v>
      </c>
      <c r="B1488" s="831" t="s">
        <v>5993</v>
      </c>
      <c r="C1488" s="830" t="s">
        <v>89</v>
      </c>
      <c r="D1488" s="832">
        <v>1379.6</v>
      </c>
    </row>
    <row r="1489" spans="1:4" x14ac:dyDescent="0.3">
      <c r="A1489" s="830">
        <v>92548</v>
      </c>
      <c r="B1489" s="831" t="s">
        <v>5994</v>
      </c>
      <c r="C1489" s="830" t="s">
        <v>89</v>
      </c>
      <c r="D1489" s="832">
        <v>1536.46</v>
      </c>
    </row>
    <row r="1490" spans="1:4" x14ac:dyDescent="0.3">
      <c r="A1490" s="830">
        <v>92549</v>
      </c>
      <c r="B1490" s="831" t="s">
        <v>5995</v>
      </c>
      <c r="C1490" s="830" t="s">
        <v>89</v>
      </c>
      <c r="D1490" s="832">
        <v>1937.37</v>
      </c>
    </row>
    <row r="1491" spans="1:4" x14ac:dyDescent="0.3">
      <c r="A1491" s="830">
        <v>92550</v>
      </c>
      <c r="B1491" s="831" t="s">
        <v>5996</v>
      </c>
      <c r="C1491" s="830" t="s">
        <v>89</v>
      </c>
      <c r="D1491" s="832">
        <v>2341</v>
      </c>
    </row>
    <row r="1492" spans="1:4" x14ac:dyDescent="0.3">
      <c r="A1492" s="830">
        <v>92551</v>
      </c>
      <c r="B1492" s="831" t="s">
        <v>5997</v>
      </c>
      <c r="C1492" s="830" t="s">
        <v>89</v>
      </c>
      <c r="D1492" s="832">
        <v>2431.7399999999998</v>
      </c>
    </row>
    <row r="1493" spans="1:4" x14ac:dyDescent="0.3">
      <c r="A1493" s="830">
        <v>92552</v>
      </c>
      <c r="B1493" s="831" t="s">
        <v>5998</v>
      </c>
      <c r="C1493" s="830" t="s">
        <v>89</v>
      </c>
      <c r="D1493" s="832">
        <v>2649.37</v>
      </c>
    </row>
    <row r="1494" spans="1:4" x14ac:dyDescent="0.3">
      <c r="A1494" s="830">
        <v>92553</v>
      </c>
      <c r="B1494" s="831" t="s">
        <v>5999</v>
      </c>
      <c r="C1494" s="830" t="s">
        <v>89</v>
      </c>
      <c r="D1494" s="832">
        <v>3060.1</v>
      </c>
    </row>
    <row r="1495" spans="1:4" x14ac:dyDescent="0.3">
      <c r="A1495" s="830">
        <v>92554</v>
      </c>
      <c r="B1495" s="831" t="s">
        <v>6000</v>
      </c>
      <c r="C1495" s="830" t="s">
        <v>89</v>
      </c>
      <c r="D1495" s="832">
        <v>3164.1</v>
      </c>
    </row>
    <row r="1496" spans="1:4" x14ac:dyDescent="0.3">
      <c r="A1496" s="830">
        <v>92555</v>
      </c>
      <c r="B1496" s="831" t="s">
        <v>6001</v>
      </c>
      <c r="C1496" s="830" t="s">
        <v>89</v>
      </c>
      <c r="D1496" s="832">
        <v>1047.42</v>
      </c>
    </row>
    <row r="1497" spans="1:4" x14ac:dyDescent="0.3">
      <c r="A1497" s="830">
        <v>92556</v>
      </c>
      <c r="B1497" s="831" t="s">
        <v>6002</v>
      </c>
      <c r="C1497" s="830" t="s">
        <v>89</v>
      </c>
      <c r="D1497" s="832">
        <v>1284.94</v>
      </c>
    </row>
    <row r="1498" spans="1:4" x14ac:dyDescent="0.3">
      <c r="A1498" s="830">
        <v>92557</v>
      </c>
      <c r="B1498" s="831" t="s">
        <v>6003</v>
      </c>
      <c r="C1498" s="830" t="s">
        <v>89</v>
      </c>
      <c r="D1498" s="832">
        <v>1355.57</v>
      </c>
    </row>
    <row r="1499" spans="1:4" x14ac:dyDescent="0.3">
      <c r="A1499" s="830">
        <v>92558</v>
      </c>
      <c r="B1499" s="831" t="s">
        <v>6004</v>
      </c>
      <c r="C1499" s="830" t="s">
        <v>89</v>
      </c>
      <c r="D1499" s="832">
        <v>1522.74</v>
      </c>
    </row>
    <row r="1500" spans="1:4" x14ac:dyDescent="0.3">
      <c r="A1500" s="830">
        <v>92559</v>
      </c>
      <c r="B1500" s="831" t="s">
        <v>6005</v>
      </c>
      <c r="C1500" s="830" t="s">
        <v>89</v>
      </c>
      <c r="D1500" s="832">
        <v>1911.83</v>
      </c>
    </row>
    <row r="1501" spans="1:4" x14ac:dyDescent="0.3">
      <c r="A1501" s="830">
        <v>92560</v>
      </c>
      <c r="B1501" s="831" t="s">
        <v>6006</v>
      </c>
      <c r="C1501" s="830" t="s">
        <v>89</v>
      </c>
      <c r="D1501" s="832">
        <v>2306.2199999999998</v>
      </c>
    </row>
    <row r="1502" spans="1:4" x14ac:dyDescent="0.3">
      <c r="A1502" s="830">
        <v>92561</v>
      </c>
      <c r="B1502" s="831" t="s">
        <v>6007</v>
      </c>
      <c r="C1502" s="830" t="s">
        <v>89</v>
      </c>
      <c r="D1502" s="832">
        <v>2397.9</v>
      </c>
    </row>
    <row r="1503" spans="1:4" x14ac:dyDescent="0.3">
      <c r="A1503" s="830">
        <v>92562</v>
      </c>
      <c r="B1503" s="831" t="s">
        <v>6008</v>
      </c>
      <c r="C1503" s="830" t="s">
        <v>89</v>
      </c>
      <c r="D1503" s="832">
        <v>2591.5</v>
      </c>
    </row>
    <row r="1504" spans="1:4" x14ac:dyDescent="0.3">
      <c r="A1504" s="830">
        <v>92563</v>
      </c>
      <c r="B1504" s="831" t="s">
        <v>6009</v>
      </c>
      <c r="C1504" s="830" t="s">
        <v>89</v>
      </c>
      <c r="D1504" s="832">
        <v>2992.43</v>
      </c>
    </row>
    <row r="1505" spans="1:4" x14ac:dyDescent="0.3">
      <c r="A1505" s="830">
        <v>92564</v>
      </c>
      <c r="B1505" s="831" t="s">
        <v>6010</v>
      </c>
      <c r="C1505" s="830" t="s">
        <v>89</v>
      </c>
      <c r="D1505" s="832">
        <v>3081.21</v>
      </c>
    </row>
    <row r="1506" spans="1:4" x14ac:dyDescent="0.3">
      <c r="A1506" s="830">
        <v>100379</v>
      </c>
      <c r="B1506" s="831" t="s">
        <v>6011</v>
      </c>
      <c r="C1506" s="830" t="s">
        <v>252</v>
      </c>
      <c r="D1506" s="832">
        <v>39.6</v>
      </c>
    </row>
    <row r="1507" spans="1:4" x14ac:dyDescent="0.3">
      <c r="A1507" s="830">
        <v>100380</v>
      </c>
      <c r="B1507" s="831" t="s">
        <v>6012</v>
      </c>
      <c r="C1507" s="830" t="s">
        <v>252</v>
      </c>
      <c r="D1507" s="832">
        <v>52.78</v>
      </c>
    </row>
    <row r="1508" spans="1:4" x14ac:dyDescent="0.3">
      <c r="A1508" s="830">
        <v>100381</v>
      </c>
      <c r="B1508" s="831" t="s">
        <v>6013</v>
      </c>
      <c r="C1508" s="830" t="s">
        <v>252</v>
      </c>
      <c r="D1508" s="832">
        <v>59.67</v>
      </c>
    </row>
    <row r="1509" spans="1:4" x14ac:dyDescent="0.3">
      <c r="A1509" s="830">
        <v>100383</v>
      </c>
      <c r="B1509" s="831" t="s">
        <v>6014</v>
      </c>
      <c r="C1509" s="830" t="s">
        <v>252</v>
      </c>
      <c r="D1509" s="832">
        <v>25.94</v>
      </c>
    </row>
    <row r="1510" spans="1:4" x14ac:dyDescent="0.3">
      <c r="A1510" s="830">
        <v>100384</v>
      </c>
      <c r="B1510" s="831" t="s">
        <v>6015</v>
      </c>
      <c r="C1510" s="830" t="s">
        <v>252</v>
      </c>
      <c r="D1510" s="832">
        <v>27.52</v>
      </c>
    </row>
    <row r="1511" spans="1:4" x14ac:dyDescent="0.3">
      <c r="A1511" s="830">
        <v>100385</v>
      </c>
      <c r="B1511" s="831" t="s">
        <v>6016</v>
      </c>
      <c r="C1511" s="830" t="s">
        <v>252</v>
      </c>
      <c r="D1511" s="832">
        <v>35.21</v>
      </c>
    </row>
    <row r="1512" spans="1:4" x14ac:dyDescent="0.3">
      <c r="A1512" s="830">
        <v>100386</v>
      </c>
      <c r="B1512" s="831" t="s">
        <v>6017</v>
      </c>
      <c r="C1512" s="830" t="s">
        <v>252</v>
      </c>
      <c r="D1512" s="832">
        <v>45.42</v>
      </c>
    </row>
    <row r="1513" spans="1:4" x14ac:dyDescent="0.3">
      <c r="A1513" s="830">
        <v>100387</v>
      </c>
      <c r="B1513" s="831" t="s">
        <v>6018</v>
      </c>
      <c r="C1513" s="830" t="s">
        <v>252</v>
      </c>
      <c r="D1513" s="832">
        <v>55.69</v>
      </c>
    </row>
    <row r="1514" spans="1:4" x14ac:dyDescent="0.3">
      <c r="A1514" s="830">
        <v>100388</v>
      </c>
      <c r="B1514" s="831" t="s">
        <v>6019</v>
      </c>
      <c r="C1514" s="830" t="s">
        <v>252</v>
      </c>
      <c r="D1514" s="832">
        <v>20.3</v>
      </c>
    </row>
    <row r="1515" spans="1:4" x14ac:dyDescent="0.3">
      <c r="A1515" s="830">
        <v>100389</v>
      </c>
      <c r="B1515" s="831" t="s">
        <v>6020</v>
      </c>
      <c r="C1515" s="830" t="s">
        <v>252</v>
      </c>
      <c r="D1515" s="832">
        <v>18.57</v>
      </c>
    </row>
    <row r="1516" spans="1:4" x14ac:dyDescent="0.3">
      <c r="A1516" s="830">
        <v>100390</v>
      </c>
      <c r="B1516" s="831" t="s">
        <v>6021</v>
      </c>
      <c r="C1516" s="830" t="s">
        <v>252</v>
      </c>
      <c r="D1516" s="832">
        <v>24.57</v>
      </c>
    </row>
    <row r="1517" spans="1:4" x14ac:dyDescent="0.3">
      <c r="A1517" s="830">
        <v>100391</v>
      </c>
      <c r="B1517" s="831" t="s">
        <v>6022</v>
      </c>
      <c r="C1517" s="830" t="s">
        <v>252</v>
      </c>
      <c r="D1517" s="832">
        <v>21.44</v>
      </c>
    </row>
    <row r="1518" spans="1:4" x14ac:dyDescent="0.3">
      <c r="A1518" s="830">
        <v>100392</v>
      </c>
      <c r="B1518" s="831" t="s">
        <v>6023</v>
      </c>
      <c r="C1518" s="830" t="s">
        <v>252</v>
      </c>
      <c r="D1518" s="832">
        <v>15.99</v>
      </c>
    </row>
    <row r="1519" spans="1:4" x14ac:dyDescent="0.3">
      <c r="A1519" s="830">
        <v>100393</v>
      </c>
      <c r="B1519" s="831" t="s">
        <v>6024</v>
      </c>
      <c r="C1519" s="830" t="s">
        <v>252</v>
      </c>
      <c r="D1519" s="832">
        <v>21.29</v>
      </c>
    </row>
    <row r="1520" spans="1:4" x14ac:dyDescent="0.3">
      <c r="A1520" s="830">
        <v>100394</v>
      </c>
      <c r="B1520" s="831" t="s">
        <v>6025</v>
      </c>
      <c r="C1520" s="830" t="s">
        <v>252</v>
      </c>
      <c r="D1520" s="832">
        <v>19.34</v>
      </c>
    </row>
    <row r="1521" spans="1:4" x14ac:dyDescent="0.3">
      <c r="A1521" s="830">
        <v>100395</v>
      </c>
      <c r="B1521" s="831" t="s">
        <v>6026</v>
      </c>
      <c r="C1521" s="830" t="s">
        <v>252</v>
      </c>
      <c r="D1521" s="832">
        <v>25.57</v>
      </c>
    </row>
    <row r="1522" spans="1:4" x14ac:dyDescent="0.3">
      <c r="A1522" s="830">
        <v>94189</v>
      </c>
      <c r="B1522" s="831" t="s">
        <v>6027</v>
      </c>
      <c r="C1522" s="830" t="s">
        <v>252</v>
      </c>
      <c r="D1522" s="832">
        <v>48.54</v>
      </c>
    </row>
    <row r="1523" spans="1:4" x14ac:dyDescent="0.3">
      <c r="A1523" s="830">
        <v>94192</v>
      </c>
      <c r="B1523" s="831" t="s">
        <v>6028</v>
      </c>
      <c r="C1523" s="830" t="s">
        <v>252</v>
      </c>
      <c r="D1523" s="832">
        <v>51.45</v>
      </c>
    </row>
    <row r="1524" spans="1:4" x14ac:dyDescent="0.3">
      <c r="A1524" s="830">
        <v>94195</v>
      </c>
      <c r="B1524" s="831" t="s">
        <v>6029</v>
      </c>
      <c r="C1524" s="830" t="s">
        <v>252</v>
      </c>
      <c r="D1524" s="832">
        <v>40.44</v>
      </c>
    </row>
    <row r="1525" spans="1:4" x14ac:dyDescent="0.3">
      <c r="A1525" s="830">
        <v>94198</v>
      </c>
      <c r="B1525" s="831" t="s">
        <v>6030</v>
      </c>
      <c r="C1525" s="830" t="s">
        <v>252</v>
      </c>
      <c r="D1525" s="832">
        <v>44.28</v>
      </c>
    </row>
    <row r="1526" spans="1:4" x14ac:dyDescent="0.3">
      <c r="A1526" s="830">
        <v>94201</v>
      </c>
      <c r="B1526" s="831" t="s">
        <v>6031</v>
      </c>
      <c r="C1526" s="830" t="s">
        <v>252</v>
      </c>
      <c r="D1526" s="832">
        <v>57.71</v>
      </c>
    </row>
    <row r="1527" spans="1:4" x14ac:dyDescent="0.3">
      <c r="A1527" s="830">
        <v>94204</v>
      </c>
      <c r="B1527" s="831" t="s">
        <v>6032</v>
      </c>
      <c r="C1527" s="830" t="s">
        <v>252</v>
      </c>
      <c r="D1527" s="832">
        <v>64.260000000000005</v>
      </c>
    </row>
    <row r="1528" spans="1:4" x14ac:dyDescent="0.3">
      <c r="A1528" s="830">
        <v>94224</v>
      </c>
      <c r="B1528" s="831" t="s">
        <v>6033</v>
      </c>
      <c r="C1528" s="830" t="s">
        <v>194</v>
      </c>
      <c r="D1528" s="832">
        <v>30.04</v>
      </c>
    </row>
    <row r="1529" spans="1:4" x14ac:dyDescent="0.3">
      <c r="A1529" s="830">
        <v>94226</v>
      </c>
      <c r="B1529" s="831" t="s">
        <v>6034</v>
      </c>
      <c r="C1529" s="830" t="s">
        <v>252</v>
      </c>
      <c r="D1529" s="832">
        <v>22.06</v>
      </c>
    </row>
    <row r="1530" spans="1:4" x14ac:dyDescent="0.3">
      <c r="A1530" s="830">
        <v>94232</v>
      </c>
      <c r="B1530" s="831" t="s">
        <v>6035</v>
      </c>
      <c r="C1530" s="830" t="s">
        <v>89</v>
      </c>
      <c r="D1530" s="832">
        <v>3.24</v>
      </c>
    </row>
    <row r="1531" spans="1:4" x14ac:dyDescent="0.3">
      <c r="A1531" s="830">
        <v>94440</v>
      </c>
      <c r="B1531" s="831" t="s">
        <v>6036</v>
      </c>
      <c r="C1531" s="830" t="s">
        <v>252</v>
      </c>
      <c r="D1531" s="832">
        <v>40.44</v>
      </c>
    </row>
    <row r="1532" spans="1:4" x14ac:dyDescent="0.3">
      <c r="A1532" s="830">
        <v>94441</v>
      </c>
      <c r="B1532" s="831" t="s">
        <v>6037</v>
      </c>
      <c r="C1532" s="830" t="s">
        <v>252</v>
      </c>
      <c r="D1532" s="832">
        <v>44.28</v>
      </c>
    </row>
    <row r="1533" spans="1:4" x14ac:dyDescent="0.3">
      <c r="A1533" s="830">
        <v>94442</v>
      </c>
      <c r="B1533" s="831" t="s">
        <v>6038</v>
      </c>
      <c r="C1533" s="830" t="s">
        <v>252</v>
      </c>
      <c r="D1533" s="832">
        <v>40.44</v>
      </c>
    </row>
    <row r="1534" spans="1:4" x14ac:dyDescent="0.3">
      <c r="A1534" s="830">
        <v>94443</v>
      </c>
      <c r="B1534" s="831" t="s">
        <v>6039</v>
      </c>
      <c r="C1534" s="830" t="s">
        <v>252</v>
      </c>
      <c r="D1534" s="832">
        <v>44.28</v>
      </c>
    </row>
    <row r="1535" spans="1:4" x14ac:dyDescent="0.3">
      <c r="A1535" s="830">
        <v>94445</v>
      </c>
      <c r="B1535" s="831" t="s">
        <v>6040</v>
      </c>
      <c r="C1535" s="830" t="s">
        <v>252</v>
      </c>
      <c r="D1535" s="832">
        <v>57.71</v>
      </c>
    </row>
    <row r="1536" spans="1:4" x14ac:dyDescent="0.3">
      <c r="A1536" s="830">
        <v>94446</v>
      </c>
      <c r="B1536" s="831" t="s">
        <v>6041</v>
      </c>
      <c r="C1536" s="830" t="s">
        <v>252</v>
      </c>
      <c r="D1536" s="832">
        <v>64.260000000000005</v>
      </c>
    </row>
    <row r="1537" spans="1:4" x14ac:dyDescent="0.3">
      <c r="A1537" s="830">
        <v>94447</v>
      </c>
      <c r="B1537" s="831" t="s">
        <v>6042</v>
      </c>
      <c r="C1537" s="830" t="s">
        <v>252</v>
      </c>
      <c r="D1537" s="832">
        <v>57.71</v>
      </c>
    </row>
    <row r="1538" spans="1:4" x14ac:dyDescent="0.3">
      <c r="A1538" s="830">
        <v>94448</v>
      </c>
      <c r="B1538" s="831" t="s">
        <v>6043</v>
      </c>
      <c r="C1538" s="830" t="s">
        <v>252</v>
      </c>
      <c r="D1538" s="832">
        <v>64.260000000000005</v>
      </c>
    </row>
    <row r="1539" spans="1:4" x14ac:dyDescent="0.3">
      <c r="A1539" s="830">
        <v>94207</v>
      </c>
      <c r="B1539" s="831" t="s">
        <v>6044</v>
      </c>
      <c r="C1539" s="830" t="s">
        <v>252</v>
      </c>
      <c r="D1539" s="832">
        <v>42.08</v>
      </c>
    </row>
    <row r="1540" spans="1:4" x14ac:dyDescent="0.3">
      <c r="A1540" s="830">
        <v>94210</v>
      </c>
      <c r="B1540" s="831" t="s">
        <v>2678</v>
      </c>
      <c r="C1540" s="830" t="s">
        <v>252</v>
      </c>
      <c r="D1540" s="832">
        <v>44.7</v>
      </c>
    </row>
    <row r="1541" spans="1:4" x14ac:dyDescent="0.3">
      <c r="A1541" s="830">
        <v>94218</v>
      </c>
      <c r="B1541" s="831" t="s">
        <v>6045</v>
      </c>
      <c r="C1541" s="830" t="s">
        <v>252</v>
      </c>
      <c r="D1541" s="832">
        <v>103.83</v>
      </c>
    </row>
    <row r="1542" spans="1:4" x14ac:dyDescent="0.3">
      <c r="A1542" s="830">
        <v>94213</v>
      </c>
      <c r="B1542" s="831" t="s">
        <v>6046</v>
      </c>
      <c r="C1542" s="830" t="s">
        <v>252</v>
      </c>
      <c r="D1542" s="832">
        <v>71.73</v>
      </c>
    </row>
    <row r="1543" spans="1:4" x14ac:dyDescent="0.3">
      <c r="A1543" s="830">
        <v>94216</v>
      </c>
      <c r="B1543" s="831" t="s">
        <v>6047</v>
      </c>
      <c r="C1543" s="830" t="s">
        <v>252</v>
      </c>
      <c r="D1543" s="832">
        <v>203.43</v>
      </c>
    </row>
    <row r="1544" spans="1:4" x14ac:dyDescent="0.3">
      <c r="A1544" s="830">
        <v>94219</v>
      </c>
      <c r="B1544" s="831" t="s">
        <v>6048</v>
      </c>
      <c r="C1544" s="830" t="s">
        <v>194</v>
      </c>
      <c r="D1544" s="832">
        <v>38</v>
      </c>
    </row>
    <row r="1545" spans="1:4" x14ac:dyDescent="0.3">
      <c r="A1545" s="830">
        <v>94220</v>
      </c>
      <c r="B1545" s="831" t="s">
        <v>6049</v>
      </c>
      <c r="C1545" s="830" t="s">
        <v>194</v>
      </c>
      <c r="D1545" s="832">
        <v>66.44</v>
      </c>
    </row>
    <row r="1546" spans="1:4" x14ac:dyDescent="0.3">
      <c r="A1546" s="830">
        <v>94221</v>
      </c>
      <c r="B1546" s="831" t="s">
        <v>6050</v>
      </c>
      <c r="C1546" s="830" t="s">
        <v>194</v>
      </c>
      <c r="D1546" s="832">
        <v>30.41</v>
      </c>
    </row>
    <row r="1547" spans="1:4" x14ac:dyDescent="0.3">
      <c r="A1547" s="830">
        <v>94222</v>
      </c>
      <c r="B1547" s="831" t="s">
        <v>6051</v>
      </c>
      <c r="C1547" s="830" t="s">
        <v>194</v>
      </c>
      <c r="D1547" s="832">
        <v>58.85</v>
      </c>
    </row>
    <row r="1548" spans="1:4" x14ac:dyDescent="0.3">
      <c r="A1548" s="830">
        <v>94223</v>
      </c>
      <c r="B1548" s="831" t="s">
        <v>6052</v>
      </c>
      <c r="C1548" s="830" t="s">
        <v>194</v>
      </c>
      <c r="D1548" s="832">
        <v>71.66</v>
      </c>
    </row>
    <row r="1549" spans="1:4" x14ac:dyDescent="0.3">
      <c r="A1549" s="830">
        <v>94451</v>
      </c>
      <c r="B1549" s="831" t="s">
        <v>6053</v>
      </c>
      <c r="C1549" s="830" t="s">
        <v>194</v>
      </c>
      <c r="D1549" s="832">
        <v>79.47</v>
      </c>
    </row>
    <row r="1550" spans="1:4" x14ac:dyDescent="0.3">
      <c r="A1550" s="830">
        <v>100325</v>
      </c>
      <c r="B1550" s="831" t="s">
        <v>6054</v>
      </c>
      <c r="C1550" s="830" t="s">
        <v>194</v>
      </c>
      <c r="D1550" s="832">
        <v>77.040000000000006</v>
      </c>
    </row>
    <row r="1551" spans="1:4" x14ac:dyDescent="0.3">
      <c r="A1551" s="830">
        <v>100327</v>
      </c>
      <c r="B1551" s="831" t="s">
        <v>6055</v>
      </c>
      <c r="C1551" s="830" t="s">
        <v>194</v>
      </c>
      <c r="D1551" s="832">
        <v>57.72</v>
      </c>
    </row>
    <row r="1552" spans="1:4" x14ac:dyDescent="0.3">
      <c r="A1552" s="830">
        <v>100328</v>
      </c>
      <c r="B1552" s="831" t="s">
        <v>6056</v>
      </c>
      <c r="C1552" s="830" t="s">
        <v>252</v>
      </c>
      <c r="D1552" s="832">
        <v>15.53</v>
      </c>
    </row>
    <row r="1553" spans="1:4" x14ac:dyDescent="0.3">
      <c r="A1553" s="830">
        <v>100329</v>
      </c>
      <c r="B1553" s="831" t="s">
        <v>6057</v>
      </c>
      <c r="C1553" s="830" t="s">
        <v>252</v>
      </c>
      <c r="D1553" s="832">
        <v>19.39</v>
      </c>
    </row>
    <row r="1554" spans="1:4" x14ac:dyDescent="0.3">
      <c r="A1554" s="830">
        <v>100330</v>
      </c>
      <c r="B1554" s="831" t="s">
        <v>6058</v>
      </c>
      <c r="C1554" s="830" t="s">
        <v>252</v>
      </c>
      <c r="D1554" s="832">
        <v>21.09</v>
      </c>
    </row>
    <row r="1555" spans="1:4" x14ac:dyDescent="0.3">
      <c r="A1555" s="830">
        <v>100331</v>
      </c>
      <c r="B1555" s="831" t="s">
        <v>6059</v>
      </c>
      <c r="C1555" s="830" t="s">
        <v>252</v>
      </c>
      <c r="D1555" s="832">
        <v>27.66</v>
      </c>
    </row>
    <row r="1556" spans="1:4" x14ac:dyDescent="0.3">
      <c r="A1556" s="830">
        <v>100434</v>
      </c>
      <c r="B1556" s="831" t="s">
        <v>6060</v>
      </c>
      <c r="C1556" s="830" t="s">
        <v>194</v>
      </c>
      <c r="D1556" s="832">
        <v>167.1</v>
      </c>
    </row>
    <row r="1557" spans="1:4" x14ac:dyDescent="0.3">
      <c r="A1557" s="830">
        <v>100435</v>
      </c>
      <c r="B1557" s="831" t="s">
        <v>6061</v>
      </c>
      <c r="C1557" s="830" t="s">
        <v>194</v>
      </c>
      <c r="D1557" s="832">
        <v>53.43</v>
      </c>
    </row>
    <row r="1558" spans="1:4" x14ac:dyDescent="0.3">
      <c r="A1558" s="830">
        <v>94227</v>
      </c>
      <c r="B1558" s="831" t="s">
        <v>6062</v>
      </c>
      <c r="C1558" s="830" t="s">
        <v>194</v>
      </c>
      <c r="D1558" s="832">
        <v>61.16</v>
      </c>
    </row>
    <row r="1559" spans="1:4" x14ac:dyDescent="0.3">
      <c r="A1559" s="830">
        <v>94228</v>
      </c>
      <c r="B1559" s="831" t="s">
        <v>6063</v>
      </c>
      <c r="C1559" s="830" t="s">
        <v>194</v>
      </c>
      <c r="D1559" s="832">
        <v>83.89</v>
      </c>
    </row>
    <row r="1560" spans="1:4" x14ac:dyDescent="0.3">
      <c r="A1560" s="830">
        <v>94229</v>
      </c>
      <c r="B1560" s="831" t="s">
        <v>6064</v>
      </c>
      <c r="C1560" s="830" t="s">
        <v>194</v>
      </c>
      <c r="D1560" s="832">
        <v>162.02000000000001</v>
      </c>
    </row>
    <row r="1561" spans="1:4" x14ac:dyDescent="0.3">
      <c r="A1561" s="830">
        <v>94231</v>
      </c>
      <c r="B1561" s="831" t="s">
        <v>6065</v>
      </c>
      <c r="C1561" s="830" t="s">
        <v>194</v>
      </c>
      <c r="D1561" s="832">
        <v>50.63</v>
      </c>
    </row>
    <row r="1562" spans="1:4" x14ac:dyDescent="0.3">
      <c r="A1562" s="830">
        <v>94449</v>
      </c>
      <c r="B1562" s="831" t="s">
        <v>6066</v>
      </c>
      <c r="C1562" s="830" t="s">
        <v>252</v>
      </c>
      <c r="D1562" s="832">
        <v>64.989999999999995</v>
      </c>
    </row>
    <row r="1563" spans="1:4" x14ac:dyDescent="0.3">
      <c r="A1563" s="830">
        <v>92255</v>
      </c>
      <c r="B1563" s="831" t="s">
        <v>6067</v>
      </c>
      <c r="C1563" s="830" t="s">
        <v>89</v>
      </c>
      <c r="D1563" s="832">
        <v>196.42</v>
      </c>
    </row>
    <row r="1564" spans="1:4" x14ac:dyDescent="0.3">
      <c r="A1564" s="830">
        <v>92256</v>
      </c>
      <c r="B1564" s="831" t="s">
        <v>6068</v>
      </c>
      <c r="C1564" s="830" t="s">
        <v>89</v>
      </c>
      <c r="D1564" s="832">
        <v>242.42</v>
      </c>
    </row>
    <row r="1565" spans="1:4" x14ac:dyDescent="0.3">
      <c r="A1565" s="830">
        <v>92257</v>
      </c>
      <c r="B1565" s="831" t="s">
        <v>6069</v>
      </c>
      <c r="C1565" s="830" t="s">
        <v>89</v>
      </c>
      <c r="D1565" s="832">
        <v>287.95</v>
      </c>
    </row>
    <row r="1566" spans="1:4" x14ac:dyDescent="0.3">
      <c r="A1566" s="830">
        <v>92258</v>
      </c>
      <c r="B1566" s="831" t="s">
        <v>6070</v>
      </c>
      <c r="C1566" s="830" t="s">
        <v>89</v>
      </c>
      <c r="D1566" s="832">
        <v>361.18</v>
      </c>
    </row>
    <row r="1567" spans="1:4" x14ac:dyDescent="0.3">
      <c r="A1567" s="830">
        <v>92568</v>
      </c>
      <c r="B1567" s="831" t="s">
        <v>6071</v>
      </c>
      <c r="C1567" s="830" t="s">
        <v>252</v>
      </c>
      <c r="D1567" s="832">
        <v>123.71</v>
      </c>
    </row>
    <row r="1568" spans="1:4" x14ac:dyDescent="0.3">
      <c r="A1568" s="830">
        <v>92569</v>
      </c>
      <c r="B1568" s="831" t="s">
        <v>6072</v>
      </c>
      <c r="C1568" s="830" t="s">
        <v>252</v>
      </c>
      <c r="D1568" s="832">
        <v>68.97</v>
      </c>
    </row>
    <row r="1569" spans="1:4" x14ac:dyDescent="0.3">
      <c r="A1569" s="830">
        <v>92570</v>
      </c>
      <c r="B1569" s="831" t="s">
        <v>6073</v>
      </c>
      <c r="C1569" s="830" t="s">
        <v>252</v>
      </c>
      <c r="D1569" s="832">
        <v>43.8</v>
      </c>
    </row>
    <row r="1570" spans="1:4" x14ac:dyDescent="0.3">
      <c r="A1570" s="830">
        <v>92571</v>
      </c>
      <c r="B1570" s="831" t="s">
        <v>6074</v>
      </c>
      <c r="C1570" s="830" t="s">
        <v>252</v>
      </c>
      <c r="D1570" s="832">
        <v>132.56</v>
      </c>
    </row>
    <row r="1571" spans="1:4" x14ac:dyDescent="0.3">
      <c r="A1571" s="830">
        <v>92572</v>
      </c>
      <c r="B1571" s="831" t="s">
        <v>6075</v>
      </c>
      <c r="C1571" s="830" t="s">
        <v>252</v>
      </c>
      <c r="D1571" s="832">
        <v>79.540000000000006</v>
      </c>
    </row>
    <row r="1572" spans="1:4" x14ac:dyDescent="0.3">
      <c r="A1572" s="830">
        <v>92573</v>
      </c>
      <c r="B1572" s="831" t="s">
        <v>6076</v>
      </c>
      <c r="C1572" s="830" t="s">
        <v>252</v>
      </c>
      <c r="D1572" s="832">
        <v>47.58</v>
      </c>
    </row>
    <row r="1573" spans="1:4" x14ac:dyDescent="0.3">
      <c r="A1573" s="830">
        <v>92574</v>
      </c>
      <c r="B1573" s="831" t="s">
        <v>6077</v>
      </c>
      <c r="C1573" s="830" t="s">
        <v>252</v>
      </c>
      <c r="D1573" s="832">
        <v>125.89</v>
      </c>
    </row>
    <row r="1574" spans="1:4" x14ac:dyDescent="0.3">
      <c r="A1574" s="830">
        <v>92575</v>
      </c>
      <c r="B1574" s="831" t="s">
        <v>6078</v>
      </c>
      <c r="C1574" s="830" t="s">
        <v>252</v>
      </c>
      <c r="D1574" s="832">
        <v>63.19</v>
      </c>
    </row>
    <row r="1575" spans="1:4" x14ac:dyDescent="0.3">
      <c r="A1575" s="830">
        <v>92576</v>
      </c>
      <c r="B1575" s="831" t="s">
        <v>6079</v>
      </c>
      <c r="C1575" s="830" t="s">
        <v>252</v>
      </c>
      <c r="D1575" s="832">
        <v>34.65</v>
      </c>
    </row>
    <row r="1576" spans="1:4" x14ac:dyDescent="0.3">
      <c r="A1576" s="830">
        <v>92577</v>
      </c>
      <c r="B1576" s="831" t="s">
        <v>6080</v>
      </c>
      <c r="C1576" s="830" t="s">
        <v>252</v>
      </c>
      <c r="D1576" s="832">
        <v>135.13</v>
      </c>
    </row>
    <row r="1577" spans="1:4" x14ac:dyDescent="0.3">
      <c r="A1577" s="830">
        <v>92578</v>
      </c>
      <c r="B1577" s="831" t="s">
        <v>6081</v>
      </c>
      <c r="C1577" s="830" t="s">
        <v>252</v>
      </c>
      <c r="D1577" s="832">
        <v>68.34</v>
      </c>
    </row>
    <row r="1578" spans="1:4" x14ac:dyDescent="0.3">
      <c r="A1578" s="830">
        <v>92579</v>
      </c>
      <c r="B1578" s="831" t="s">
        <v>6082</v>
      </c>
      <c r="C1578" s="830" t="s">
        <v>252</v>
      </c>
      <c r="D1578" s="832">
        <v>37.659999999999997</v>
      </c>
    </row>
    <row r="1579" spans="1:4" x14ac:dyDescent="0.3">
      <c r="A1579" s="830">
        <v>92580</v>
      </c>
      <c r="B1579" s="831" t="s">
        <v>6083</v>
      </c>
      <c r="C1579" s="830" t="s">
        <v>252</v>
      </c>
      <c r="D1579" s="832">
        <v>47.22</v>
      </c>
    </row>
    <row r="1580" spans="1:4" x14ac:dyDescent="0.3">
      <c r="A1580" s="830">
        <v>92581</v>
      </c>
      <c r="B1580" s="831" t="s">
        <v>6084</v>
      </c>
      <c r="C1580" s="830" t="s">
        <v>252</v>
      </c>
      <c r="D1580" s="832">
        <v>49.1</v>
      </c>
    </row>
    <row r="1581" spans="1:4" x14ac:dyDescent="0.3">
      <c r="A1581" s="830">
        <v>92582</v>
      </c>
      <c r="B1581" s="831" t="s">
        <v>6085</v>
      </c>
      <c r="C1581" s="830" t="s">
        <v>89</v>
      </c>
      <c r="D1581" s="832">
        <v>701.31</v>
      </c>
    </row>
    <row r="1582" spans="1:4" x14ac:dyDescent="0.3">
      <c r="A1582" s="830">
        <v>92584</v>
      </c>
      <c r="B1582" s="831" t="s">
        <v>6086</v>
      </c>
      <c r="C1582" s="830" t="s">
        <v>89</v>
      </c>
      <c r="D1582" s="832">
        <v>817.37</v>
      </c>
    </row>
    <row r="1583" spans="1:4" x14ac:dyDescent="0.3">
      <c r="A1583" s="830">
        <v>92586</v>
      </c>
      <c r="B1583" s="831" t="s">
        <v>6087</v>
      </c>
      <c r="C1583" s="830" t="s">
        <v>89</v>
      </c>
      <c r="D1583" s="832">
        <v>933.42</v>
      </c>
    </row>
    <row r="1584" spans="1:4" x14ac:dyDescent="0.3">
      <c r="A1584" s="830">
        <v>92588</v>
      </c>
      <c r="B1584" s="831" t="s">
        <v>6088</v>
      </c>
      <c r="C1584" s="830" t="s">
        <v>89</v>
      </c>
      <c r="D1584" s="832">
        <v>1182.3800000000001</v>
      </c>
    </row>
    <row r="1585" spans="1:4" x14ac:dyDescent="0.3">
      <c r="A1585" s="830">
        <v>92590</v>
      </c>
      <c r="B1585" s="831" t="s">
        <v>6089</v>
      </c>
      <c r="C1585" s="830" t="s">
        <v>89</v>
      </c>
      <c r="D1585" s="832">
        <v>1298.43</v>
      </c>
    </row>
    <row r="1586" spans="1:4" x14ac:dyDescent="0.3">
      <c r="A1586" s="830">
        <v>92592</v>
      </c>
      <c r="B1586" s="831" t="s">
        <v>6090</v>
      </c>
      <c r="C1586" s="830" t="s">
        <v>89</v>
      </c>
      <c r="D1586" s="832">
        <v>1460.02</v>
      </c>
    </row>
    <row r="1587" spans="1:4" x14ac:dyDescent="0.3">
      <c r="A1587" s="830">
        <v>92594</v>
      </c>
      <c r="B1587" s="831" t="s">
        <v>6091</v>
      </c>
      <c r="C1587" s="830" t="s">
        <v>89</v>
      </c>
      <c r="D1587" s="832">
        <v>1692.33</v>
      </c>
    </row>
    <row r="1588" spans="1:4" x14ac:dyDescent="0.3">
      <c r="A1588" s="830">
        <v>92596</v>
      </c>
      <c r="B1588" s="831" t="s">
        <v>6092</v>
      </c>
      <c r="C1588" s="830" t="s">
        <v>89</v>
      </c>
      <c r="D1588" s="832">
        <v>1886.58</v>
      </c>
    </row>
    <row r="1589" spans="1:4" x14ac:dyDescent="0.3">
      <c r="A1589" s="830">
        <v>92598</v>
      </c>
      <c r="B1589" s="831" t="s">
        <v>6093</v>
      </c>
      <c r="C1589" s="830" t="s">
        <v>89</v>
      </c>
      <c r="D1589" s="832">
        <v>2002.63</v>
      </c>
    </row>
    <row r="1590" spans="1:4" x14ac:dyDescent="0.3">
      <c r="A1590" s="830">
        <v>92600</v>
      </c>
      <c r="B1590" s="831" t="s">
        <v>6094</v>
      </c>
      <c r="C1590" s="830" t="s">
        <v>89</v>
      </c>
      <c r="D1590" s="832">
        <v>2148.04</v>
      </c>
    </row>
    <row r="1591" spans="1:4" x14ac:dyDescent="0.3">
      <c r="A1591" s="830">
        <v>92602</v>
      </c>
      <c r="B1591" s="831" t="s">
        <v>6095</v>
      </c>
      <c r="C1591" s="830" t="s">
        <v>89</v>
      </c>
      <c r="D1591" s="832">
        <v>701.31</v>
      </c>
    </row>
    <row r="1592" spans="1:4" x14ac:dyDescent="0.3">
      <c r="A1592" s="830">
        <v>92604</v>
      </c>
      <c r="B1592" s="831" t="s">
        <v>6096</v>
      </c>
      <c r="C1592" s="830" t="s">
        <v>89</v>
      </c>
      <c r="D1592" s="832">
        <v>788.01</v>
      </c>
    </row>
    <row r="1593" spans="1:4" x14ac:dyDescent="0.3">
      <c r="A1593" s="830">
        <v>92606</v>
      </c>
      <c r="B1593" s="831" t="s">
        <v>6097</v>
      </c>
      <c r="C1593" s="830" t="s">
        <v>89</v>
      </c>
      <c r="D1593" s="832">
        <v>904.07</v>
      </c>
    </row>
    <row r="1594" spans="1:4" x14ac:dyDescent="0.3">
      <c r="A1594" s="830">
        <v>92608</v>
      </c>
      <c r="B1594" s="831" t="s">
        <v>6098</v>
      </c>
      <c r="C1594" s="830" t="s">
        <v>89</v>
      </c>
      <c r="D1594" s="832">
        <v>1123.67</v>
      </c>
    </row>
    <row r="1595" spans="1:4" x14ac:dyDescent="0.3">
      <c r="A1595" s="830">
        <v>92610</v>
      </c>
      <c r="B1595" s="831" t="s">
        <v>6099</v>
      </c>
      <c r="C1595" s="830" t="s">
        <v>89</v>
      </c>
      <c r="D1595" s="832">
        <v>1239.73</v>
      </c>
    </row>
    <row r="1596" spans="1:4" x14ac:dyDescent="0.3">
      <c r="A1596" s="830">
        <v>92612</v>
      </c>
      <c r="B1596" s="831" t="s">
        <v>6100</v>
      </c>
      <c r="C1596" s="830" t="s">
        <v>89</v>
      </c>
      <c r="D1596" s="832">
        <v>1401.31</v>
      </c>
    </row>
    <row r="1597" spans="1:4" x14ac:dyDescent="0.3">
      <c r="A1597" s="830">
        <v>92614</v>
      </c>
      <c r="B1597" s="831" t="s">
        <v>6101</v>
      </c>
      <c r="C1597" s="830" t="s">
        <v>89</v>
      </c>
      <c r="D1597" s="832">
        <v>1574.92</v>
      </c>
    </row>
    <row r="1598" spans="1:4" x14ac:dyDescent="0.3">
      <c r="A1598" s="830">
        <v>92616</v>
      </c>
      <c r="B1598" s="831" t="s">
        <v>6102</v>
      </c>
      <c r="C1598" s="830" t="s">
        <v>89</v>
      </c>
      <c r="D1598" s="832">
        <v>1798.52</v>
      </c>
    </row>
    <row r="1599" spans="1:4" x14ac:dyDescent="0.3">
      <c r="A1599" s="830">
        <v>92618</v>
      </c>
      <c r="B1599" s="831" t="s">
        <v>6103</v>
      </c>
      <c r="C1599" s="830" t="s">
        <v>89</v>
      </c>
      <c r="D1599" s="832">
        <v>1914.57</v>
      </c>
    </row>
    <row r="1600" spans="1:4" x14ac:dyDescent="0.3">
      <c r="A1600" s="830">
        <v>92620</v>
      </c>
      <c r="B1600" s="831" t="s">
        <v>6104</v>
      </c>
      <c r="C1600" s="830" t="s">
        <v>89</v>
      </c>
      <c r="D1600" s="832">
        <v>2030.62</v>
      </c>
    </row>
    <row r="1601" spans="1:4" x14ac:dyDescent="0.3">
      <c r="A1601" s="830">
        <v>100357</v>
      </c>
      <c r="B1601" s="831" t="s">
        <v>6105</v>
      </c>
      <c r="C1601" s="830" t="s">
        <v>89</v>
      </c>
      <c r="D1601" s="832">
        <v>1099.43</v>
      </c>
    </row>
    <row r="1602" spans="1:4" x14ac:dyDescent="0.3">
      <c r="A1602" s="830">
        <v>100358</v>
      </c>
      <c r="B1602" s="831" t="s">
        <v>6106</v>
      </c>
      <c r="C1602" s="830" t="s">
        <v>89</v>
      </c>
      <c r="D1602" s="832">
        <v>1505.22</v>
      </c>
    </row>
    <row r="1603" spans="1:4" x14ac:dyDescent="0.3">
      <c r="A1603" s="830">
        <v>100359</v>
      </c>
      <c r="B1603" s="831" t="s">
        <v>6107</v>
      </c>
      <c r="C1603" s="830" t="s">
        <v>89</v>
      </c>
      <c r="D1603" s="832">
        <v>1577.31</v>
      </c>
    </row>
    <row r="1604" spans="1:4" x14ac:dyDescent="0.3">
      <c r="A1604" s="830">
        <v>100360</v>
      </c>
      <c r="B1604" s="831" t="s">
        <v>6108</v>
      </c>
      <c r="C1604" s="830" t="s">
        <v>89</v>
      </c>
      <c r="D1604" s="832">
        <v>1748.39</v>
      </c>
    </row>
    <row r="1605" spans="1:4" x14ac:dyDescent="0.3">
      <c r="A1605" s="830">
        <v>100361</v>
      </c>
      <c r="B1605" s="831" t="s">
        <v>6109</v>
      </c>
      <c r="C1605" s="830" t="s">
        <v>89</v>
      </c>
      <c r="D1605" s="832">
        <v>2184.59</v>
      </c>
    </row>
    <row r="1606" spans="1:4" x14ac:dyDescent="0.3">
      <c r="A1606" s="830">
        <v>100362</v>
      </c>
      <c r="B1606" s="831" t="s">
        <v>6110</v>
      </c>
      <c r="C1606" s="830" t="s">
        <v>89</v>
      </c>
      <c r="D1606" s="832">
        <v>2824.87</v>
      </c>
    </row>
    <row r="1607" spans="1:4" x14ac:dyDescent="0.3">
      <c r="A1607" s="830">
        <v>100363</v>
      </c>
      <c r="B1607" s="831" t="s">
        <v>6111</v>
      </c>
      <c r="C1607" s="830" t="s">
        <v>89</v>
      </c>
      <c r="D1607" s="832">
        <v>2913.52</v>
      </c>
    </row>
    <row r="1608" spans="1:4" x14ac:dyDescent="0.3">
      <c r="A1608" s="830">
        <v>100364</v>
      </c>
      <c r="B1608" s="831" t="s">
        <v>6112</v>
      </c>
      <c r="C1608" s="830" t="s">
        <v>89</v>
      </c>
      <c r="D1608" s="832">
        <v>3168.86</v>
      </c>
    </row>
    <row r="1609" spans="1:4" x14ac:dyDescent="0.3">
      <c r="A1609" s="830">
        <v>100365</v>
      </c>
      <c r="B1609" s="831" t="s">
        <v>6113</v>
      </c>
      <c r="C1609" s="830" t="s">
        <v>89</v>
      </c>
      <c r="D1609" s="832">
        <v>3658.83</v>
      </c>
    </row>
    <row r="1610" spans="1:4" x14ac:dyDescent="0.3">
      <c r="A1610" s="830">
        <v>100366</v>
      </c>
      <c r="B1610" s="831" t="s">
        <v>6114</v>
      </c>
      <c r="C1610" s="830" t="s">
        <v>89</v>
      </c>
      <c r="D1610" s="832">
        <v>3895.09</v>
      </c>
    </row>
    <row r="1611" spans="1:4" x14ac:dyDescent="0.3">
      <c r="A1611" s="830">
        <v>100367</v>
      </c>
      <c r="B1611" s="831" t="s">
        <v>6115</v>
      </c>
      <c r="C1611" s="830" t="s">
        <v>89</v>
      </c>
      <c r="D1611" s="832">
        <v>1072</v>
      </c>
    </row>
    <row r="1612" spans="1:4" x14ac:dyDescent="0.3">
      <c r="A1612" s="830">
        <v>100368</v>
      </c>
      <c r="B1612" s="831" t="s">
        <v>6116</v>
      </c>
      <c r="C1612" s="830" t="s">
        <v>89</v>
      </c>
      <c r="D1612" s="832">
        <v>1471.38</v>
      </c>
    </row>
    <row r="1613" spans="1:4" x14ac:dyDescent="0.3">
      <c r="A1613" s="830">
        <v>100369</v>
      </c>
      <c r="B1613" s="831" t="s">
        <v>6117</v>
      </c>
      <c r="C1613" s="830" t="s">
        <v>89</v>
      </c>
      <c r="D1613" s="832">
        <v>1543.47</v>
      </c>
    </row>
    <row r="1614" spans="1:4" x14ac:dyDescent="0.3">
      <c r="A1614" s="830">
        <v>100370</v>
      </c>
      <c r="B1614" s="831" t="s">
        <v>6118</v>
      </c>
      <c r="C1614" s="830" t="s">
        <v>89</v>
      </c>
      <c r="D1614" s="832">
        <v>1819.38</v>
      </c>
    </row>
    <row r="1615" spans="1:4" x14ac:dyDescent="0.3">
      <c r="A1615" s="830">
        <v>100371</v>
      </c>
      <c r="B1615" s="831" t="s">
        <v>6119</v>
      </c>
      <c r="C1615" s="830" t="s">
        <v>89</v>
      </c>
      <c r="D1615" s="832">
        <v>2094.35</v>
      </c>
    </row>
    <row r="1616" spans="1:4" x14ac:dyDescent="0.3">
      <c r="A1616" s="830">
        <v>100372</v>
      </c>
      <c r="B1616" s="831" t="s">
        <v>6120</v>
      </c>
      <c r="C1616" s="830" t="s">
        <v>89</v>
      </c>
      <c r="D1616" s="832">
        <v>2670.26</v>
      </c>
    </row>
    <row r="1617" spans="1:4" x14ac:dyDescent="0.3">
      <c r="A1617" s="830">
        <v>100373</v>
      </c>
      <c r="B1617" s="831" t="s">
        <v>6121</v>
      </c>
      <c r="C1617" s="830" t="s">
        <v>89</v>
      </c>
      <c r="D1617" s="832">
        <v>2757.55</v>
      </c>
    </row>
    <row r="1618" spans="1:4" x14ac:dyDescent="0.3">
      <c r="A1618" s="830">
        <v>100374</v>
      </c>
      <c r="B1618" s="831" t="s">
        <v>6122</v>
      </c>
      <c r="C1618" s="830" t="s">
        <v>89</v>
      </c>
      <c r="D1618" s="832">
        <v>2962.93</v>
      </c>
    </row>
    <row r="1619" spans="1:4" x14ac:dyDescent="0.3">
      <c r="A1619" s="830">
        <v>100375</v>
      </c>
      <c r="B1619" s="831" t="s">
        <v>6123</v>
      </c>
      <c r="C1619" s="830" t="s">
        <v>89</v>
      </c>
      <c r="D1619" s="832">
        <v>3352.56</v>
      </c>
    </row>
    <row r="1620" spans="1:4" x14ac:dyDescent="0.3">
      <c r="A1620" s="830">
        <v>100376</v>
      </c>
      <c r="B1620" s="831" t="s">
        <v>6124</v>
      </c>
      <c r="C1620" s="830" t="s">
        <v>89</v>
      </c>
      <c r="D1620" s="832">
        <v>3286.77</v>
      </c>
    </row>
    <row r="1621" spans="1:4" x14ac:dyDescent="0.3">
      <c r="A1621" s="830">
        <v>100377</v>
      </c>
      <c r="B1621" s="831" t="s">
        <v>6125</v>
      </c>
      <c r="C1621" s="830" t="s">
        <v>1369</v>
      </c>
      <c r="D1621" s="832">
        <v>11.57</v>
      </c>
    </row>
    <row r="1622" spans="1:4" x14ac:dyDescent="0.3">
      <c r="A1622" s="830">
        <v>100378</v>
      </c>
      <c r="B1622" s="831" t="s">
        <v>6126</v>
      </c>
      <c r="C1622" s="830" t="s">
        <v>1369</v>
      </c>
      <c r="D1622" s="832">
        <v>10.71</v>
      </c>
    </row>
    <row r="1623" spans="1:4" x14ac:dyDescent="0.3">
      <c r="A1623" s="830">
        <v>100382</v>
      </c>
      <c r="B1623" s="831" t="s">
        <v>6127</v>
      </c>
      <c r="C1623" s="830" t="s">
        <v>252</v>
      </c>
      <c r="D1623" s="832">
        <v>23.91</v>
      </c>
    </row>
    <row r="1624" spans="1:4" x14ac:dyDescent="0.3">
      <c r="A1624" s="830">
        <v>104314</v>
      </c>
      <c r="B1624" s="831" t="s">
        <v>6128</v>
      </c>
      <c r="C1624" s="830" t="s">
        <v>1369</v>
      </c>
      <c r="D1624" s="832">
        <v>10.88</v>
      </c>
    </row>
    <row r="1625" spans="1:4" x14ac:dyDescent="0.3">
      <c r="A1625" s="830">
        <v>94444</v>
      </c>
      <c r="B1625" s="831" t="s">
        <v>6129</v>
      </c>
      <c r="C1625" s="830" t="s">
        <v>252</v>
      </c>
      <c r="D1625" s="832">
        <v>648.35</v>
      </c>
    </row>
    <row r="1626" spans="1:4" x14ac:dyDescent="0.3">
      <c r="A1626" s="830">
        <v>104482</v>
      </c>
      <c r="B1626" s="831" t="s">
        <v>6130</v>
      </c>
      <c r="C1626" s="830" t="s">
        <v>1901</v>
      </c>
      <c r="D1626" s="832">
        <v>32.409999999999997</v>
      </c>
    </row>
    <row r="1627" spans="1:4" x14ac:dyDescent="0.3">
      <c r="A1627" s="830">
        <v>104184</v>
      </c>
      <c r="B1627" s="831" t="s">
        <v>6131</v>
      </c>
      <c r="C1627" s="830" t="s">
        <v>89</v>
      </c>
      <c r="D1627" s="832">
        <v>34.9</v>
      </c>
    </row>
    <row r="1628" spans="1:4" x14ac:dyDescent="0.3">
      <c r="A1628" s="830">
        <v>104185</v>
      </c>
      <c r="B1628" s="831" t="s">
        <v>6132</v>
      </c>
      <c r="C1628" s="830" t="s">
        <v>89</v>
      </c>
      <c r="D1628" s="832">
        <v>27.32</v>
      </c>
    </row>
    <row r="1629" spans="1:4" x14ac:dyDescent="0.3">
      <c r="A1629" s="830">
        <v>104186</v>
      </c>
      <c r="B1629" s="831" t="s">
        <v>6133</v>
      </c>
      <c r="C1629" s="830" t="s">
        <v>194</v>
      </c>
      <c r="D1629" s="832">
        <v>270.77999999999997</v>
      </c>
    </row>
    <row r="1630" spans="1:4" x14ac:dyDescent="0.3">
      <c r="A1630" s="830">
        <v>104187</v>
      </c>
      <c r="B1630" s="831" t="s">
        <v>6134</v>
      </c>
      <c r="C1630" s="830" t="s">
        <v>194</v>
      </c>
      <c r="D1630" s="832">
        <v>1463.52</v>
      </c>
    </row>
    <row r="1631" spans="1:4" x14ac:dyDescent="0.3">
      <c r="A1631" s="830">
        <v>104189</v>
      </c>
      <c r="B1631" s="831" t="s">
        <v>6135</v>
      </c>
      <c r="C1631" s="830" t="s">
        <v>5247</v>
      </c>
      <c r="D1631" s="832">
        <v>264.43</v>
      </c>
    </row>
    <row r="1632" spans="1:4" x14ac:dyDescent="0.3">
      <c r="A1632" s="830">
        <v>104190</v>
      </c>
      <c r="B1632" s="831" t="s">
        <v>6136</v>
      </c>
      <c r="C1632" s="830" t="s">
        <v>89</v>
      </c>
      <c r="D1632" s="832">
        <v>719.24</v>
      </c>
    </row>
    <row r="1633" spans="1:4" x14ac:dyDescent="0.3">
      <c r="A1633" s="830">
        <v>102661</v>
      </c>
      <c r="B1633" s="831" t="s">
        <v>6137</v>
      </c>
      <c r="C1633" s="830" t="s">
        <v>194</v>
      </c>
      <c r="D1633" s="832">
        <v>53.54</v>
      </c>
    </row>
    <row r="1634" spans="1:4" x14ac:dyDescent="0.3">
      <c r="A1634" s="830">
        <v>102662</v>
      </c>
      <c r="B1634" s="831" t="s">
        <v>6138</v>
      </c>
      <c r="C1634" s="830" t="s">
        <v>194</v>
      </c>
      <c r="D1634" s="832">
        <v>108.98</v>
      </c>
    </row>
    <row r="1635" spans="1:4" x14ac:dyDescent="0.3">
      <c r="A1635" s="830">
        <v>102663</v>
      </c>
      <c r="B1635" s="831" t="s">
        <v>6139</v>
      </c>
      <c r="C1635" s="830" t="s">
        <v>194</v>
      </c>
      <c r="D1635" s="832">
        <v>74.510000000000005</v>
      </c>
    </row>
    <row r="1636" spans="1:4" x14ac:dyDescent="0.3">
      <c r="A1636" s="830">
        <v>102664</v>
      </c>
      <c r="B1636" s="831" t="s">
        <v>6140</v>
      </c>
      <c r="C1636" s="830" t="s">
        <v>194</v>
      </c>
      <c r="D1636" s="832">
        <v>63.59</v>
      </c>
    </row>
    <row r="1637" spans="1:4" x14ac:dyDescent="0.3">
      <c r="A1637" s="830">
        <v>102665</v>
      </c>
      <c r="B1637" s="831" t="s">
        <v>6141</v>
      </c>
      <c r="C1637" s="830" t="s">
        <v>194</v>
      </c>
      <c r="D1637" s="832">
        <v>42.21</v>
      </c>
    </row>
    <row r="1638" spans="1:4" x14ac:dyDescent="0.3">
      <c r="A1638" s="830">
        <v>102666</v>
      </c>
      <c r="B1638" s="831" t="s">
        <v>6142</v>
      </c>
      <c r="C1638" s="830" t="s">
        <v>194</v>
      </c>
      <c r="D1638" s="832">
        <v>74.23</v>
      </c>
    </row>
    <row r="1639" spans="1:4" x14ac:dyDescent="0.3">
      <c r="A1639" s="830">
        <v>102668</v>
      </c>
      <c r="B1639" s="831" t="s">
        <v>6143</v>
      </c>
      <c r="C1639" s="830" t="s">
        <v>194</v>
      </c>
      <c r="D1639" s="832">
        <v>129.66</v>
      </c>
    </row>
    <row r="1640" spans="1:4" x14ac:dyDescent="0.3">
      <c r="A1640" s="830">
        <v>102669</v>
      </c>
      <c r="B1640" s="831" t="s">
        <v>6144</v>
      </c>
      <c r="C1640" s="830" t="s">
        <v>194</v>
      </c>
      <c r="D1640" s="832">
        <v>95.3</v>
      </c>
    </row>
    <row r="1641" spans="1:4" x14ac:dyDescent="0.3">
      <c r="A1641" s="830">
        <v>102670</v>
      </c>
      <c r="B1641" s="831" t="s">
        <v>6145</v>
      </c>
      <c r="C1641" s="830" t="s">
        <v>194</v>
      </c>
      <c r="D1641" s="832">
        <v>177.81</v>
      </c>
    </row>
    <row r="1642" spans="1:4" x14ac:dyDescent="0.3">
      <c r="A1642" s="830">
        <v>102672</v>
      </c>
      <c r="B1642" s="831" t="s">
        <v>6146</v>
      </c>
      <c r="C1642" s="830" t="s">
        <v>194</v>
      </c>
      <c r="D1642" s="832">
        <v>247.35</v>
      </c>
    </row>
    <row r="1643" spans="1:4" x14ac:dyDescent="0.3">
      <c r="A1643" s="830">
        <v>102673</v>
      </c>
      <c r="B1643" s="831" t="s">
        <v>6147</v>
      </c>
      <c r="C1643" s="830" t="s">
        <v>194</v>
      </c>
      <c r="D1643" s="832">
        <v>226.09</v>
      </c>
    </row>
    <row r="1644" spans="1:4" x14ac:dyDescent="0.3">
      <c r="A1644" s="830">
        <v>102674</v>
      </c>
      <c r="B1644" s="831" t="s">
        <v>6148</v>
      </c>
      <c r="C1644" s="830" t="s">
        <v>194</v>
      </c>
      <c r="D1644" s="832">
        <v>199.33</v>
      </c>
    </row>
    <row r="1645" spans="1:4" x14ac:dyDescent="0.3">
      <c r="A1645" s="830">
        <v>102676</v>
      </c>
      <c r="B1645" s="831" t="s">
        <v>6149</v>
      </c>
      <c r="C1645" s="830" t="s">
        <v>194</v>
      </c>
      <c r="D1645" s="832">
        <v>258.22000000000003</v>
      </c>
    </row>
    <row r="1646" spans="1:4" x14ac:dyDescent="0.3">
      <c r="A1646" s="830">
        <v>102677</v>
      </c>
      <c r="B1646" s="831" t="s">
        <v>6150</v>
      </c>
      <c r="C1646" s="830" t="s">
        <v>194</v>
      </c>
      <c r="D1646" s="832">
        <v>226.34</v>
      </c>
    </row>
    <row r="1647" spans="1:4" x14ac:dyDescent="0.3">
      <c r="A1647" s="830">
        <v>102678</v>
      </c>
      <c r="B1647" s="831" t="s">
        <v>6151</v>
      </c>
      <c r="C1647" s="830" t="s">
        <v>194</v>
      </c>
      <c r="D1647" s="832">
        <v>200.59</v>
      </c>
    </row>
    <row r="1648" spans="1:4" x14ac:dyDescent="0.3">
      <c r="A1648" s="830">
        <v>102679</v>
      </c>
      <c r="B1648" s="831" t="s">
        <v>6152</v>
      </c>
      <c r="C1648" s="830" t="s">
        <v>194</v>
      </c>
      <c r="D1648" s="832">
        <v>226.92</v>
      </c>
    </row>
    <row r="1649" spans="1:4" x14ac:dyDescent="0.3">
      <c r="A1649" s="830">
        <v>102680</v>
      </c>
      <c r="B1649" s="831" t="s">
        <v>6153</v>
      </c>
      <c r="C1649" s="830" t="s">
        <v>194</v>
      </c>
      <c r="D1649" s="832">
        <v>212.47</v>
      </c>
    </row>
    <row r="1650" spans="1:4" x14ac:dyDescent="0.3">
      <c r="A1650" s="830">
        <v>102681</v>
      </c>
      <c r="B1650" s="831" t="s">
        <v>6154</v>
      </c>
      <c r="C1650" s="830" t="s">
        <v>194</v>
      </c>
      <c r="D1650" s="832">
        <v>271.37</v>
      </c>
    </row>
    <row r="1651" spans="1:4" x14ac:dyDescent="0.3">
      <c r="A1651" s="830">
        <v>102683</v>
      </c>
      <c r="B1651" s="831" t="s">
        <v>6155</v>
      </c>
      <c r="C1651" s="830" t="s">
        <v>194</v>
      </c>
      <c r="D1651" s="832">
        <v>244.81</v>
      </c>
    </row>
    <row r="1652" spans="1:4" x14ac:dyDescent="0.3">
      <c r="A1652" s="830">
        <v>102684</v>
      </c>
      <c r="B1652" s="831" t="s">
        <v>6156</v>
      </c>
      <c r="C1652" s="830" t="s">
        <v>194</v>
      </c>
      <c r="D1652" s="832">
        <v>238.77</v>
      </c>
    </row>
    <row r="1653" spans="1:4" x14ac:dyDescent="0.3">
      <c r="A1653" s="830">
        <v>102685</v>
      </c>
      <c r="B1653" s="831" t="s">
        <v>6157</v>
      </c>
      <c r="C1653" s="830" t="s">
        <v>194</v>
      </c>
      <c r="D1653" s="832">
        <v>297.69</v>
      </c>
    </row>
    <row r="1654" spans="1:4" x14ac:dyDescent="0.3">
      <c r="A1654" s="830">
        <v>102687</v>
      </c>
      <c r="B1654" s="831" t="s">
        <v>6158</v>
      </c>
      <c r="C1654" s="830" t="s">
        <v>194</v>
      </c>
      <c r="D1654" s="832">
        <v>265.91000000000003</v>
      </c>
    </row>
    <row r="1655" spans="1:4" x14ac:dyDescent="0.3">
      <c r="A1655" s="830">
        <v>102688</v>
      </c>
      <c r="B1655" s="831" t="s">
        <v>6159</v>
      </c>
      <c r="C1655" s="830" t="s">
        <v>194</v>
      </c>
      <c r="D1655" s="832">
        <v>59.96</v>
      </c>
    </row>
    <row r="1656" spans="1:4" x14ac:dyDescent="0.3">
      <c r="A1656" s="830">
        <v>102689</v>
      </c>
      <c r="B1656" s="831" t="s">
        <v>6160</v>
      </c>
      <c r="C1656" s="830" t="s">
        <v>194</v>
      </c>
      <c r="D1656" s="832">
        <v>112.67</v>
      </c>
    </row>
    <row r="1657" spans="1:4" x14ac:dyDescent="0.3">
      <c r="A1657" s="830">
        <v>102690</v>
      </c>
      <c r="B1657" s="831" t="s">
        <v>6161</v>
      </c>
      <c r="C1657" s="830" t="s">
        <v>194</v>
      </c>
      <c r="D1657" s="832">
        <v>80.64</v>
      </c>
    </row>
    <row r="1658" spans="1:4" x14ac:dyDescent="0.3">
      <c r="A1658" s="830">
        <v>102693</v>
      </c>
      <c r="B1658" s="831" t="s">
        <v>6162</v>
      </c>
      <c r="C1658" s="830" t="s">
        <v>194</v>
      </c>
      <c r="D1658" s="832">
        <v>133.36000000000001</v>
      </c>
    </row>
    <row r="1659" spans="1:4" x14ac:dyDescent="0.3">
      <c r="A1659" s="830">
        <v>102694</v>
      </c>
      <c r="B1659" s="831" t="s">
        <v>6163</v>
      </c>
      <c r="C1659" s="830" t="s">
        <v>194</v>
      </c>
      <c r="D1659" s="832">
        <v>122.84</v>
      </c>
    </row>
    <row r="1660" spans="1:4" x14ac:dyDescent="0.3">
      <c r="A1660" s="830">
        <v>102696</v>
      </c>
      <c r="B1660" s="831" t="s">
        <v>6164</v>
      </c>
      <c r="C1660" s="830" t="s">
        <v>194</v>
      </c>
      <c r="D1660" s="832">
        <v>175.45</v>
      </c>
    </row>
    <row r="1661" spans="1:4" x14ac:dyDescent="0.3">
      <c r="A1661" s="830">
        <v>102697</v>
      </c>
      <c r="B1661" s="831" t="s">
        <v>6165</v>
      </c>
      <c r="C1661" s="830" t="s">
        <v>194</v>
      </c>
      <c r="D1661" s="832">
        <v>150.37</v>
      </c>
    </row>
    <row r="1662" spans="1:4" x14ac:dyDescent="0.3">
      <c r="A1662" s="830">
        <v>102703</v>
      </c>
      <c r="B1662" s="831" t="s">
        <v>6166</v>
      </c>
      <c r="C1662" s="830" t="s">
        <v>194</v>
      </c>
      <c r="D1662" s="832">
        <v>203</v>
      </c>
    </row>
    <row r="1663" spans="1:4" x14ac:dyDescent="0.3">
      <c r="A1663" s="830">
        <v>102704</v>
      </c>
      <c r="B1663" s="831" t="s">
        <v>6167</v>
      </c>
      <c r="C1663" s="830" t="s">
        <v>194</v>
      </c>
      <c r="D1663" s="832">
        <v>12.24</v>
      </c>
    </row>
    <row r="1664" spans="1:4" x14ac:dyDescent="0.3">
      <c r="A1664" s="830">
        <v>102705</v>
      </c>
      <c r="B1664" s="831" t="s">
        <v>6168</v>
      </c>
      <c r="C1664" s="830" t="s">
        <v>194</v>
      </c>
      <c r="D1664" s="832">
        <v>63.71</v>
      </c>
    </row>
    <row r="1665" spans="1:4" x14ac:dyDescent="0.3">
      <c r="A1665" s="830">
        <v>102707</v>
      </c>
      <c r="B1665" s="831" t="s">
        <v>6169</v>
      </c>
      <c r="C1665" s="830" t="s">
        <v>194</v>
      </c>
      <c r="D1665" s="832">
        <v>39.75</v>
      </c>
    </row>
    <row r="1666" spans="1:4" x14ac:dyDescent="0.3">
      <c r="A1666" s="830">
        <v>102708</v>
      </c>
      <c r="B1666" s="831" t="s">
        <v>6170</v>
      </c>
      <c r="C1666" s="830" t="s">
        <v>89</v>
      </c>
      <c r="D1666" s="832">
        <v>26.12</v>
      </c>
    </row>
    <row r="1667" spans="1:4" x14ac:dyDescent="0.3">
      <c r="A1667" s="830">
        <v>102710</v>
      </c>
      <c r="B1667" s="831" t="s">
        <v>6171</v>
      </c>
      <c r="C1667" s="830" t="s">
        <v>89</v>
      </c>
      <c r="D1667" s="832">
        <v>63.5</v>
      </c>
    </row>
    <row r="1668" spans="1:4" x14ac:dyDescent="0.3">
      <c r="A1668" s="830">
        <v>102711</v>
      </c>
      <c r="B1668" s="831" t="s">
        <v>6172</v>
      </c>
      <c r="C1668" s="830" t="s">
        <v>89</v>
      </c>
      <c r="D1668" s="832">
        <v>81.93</v>
      </c>
    </row>
    <row r="1669" spans="1:4" x14ac:dyDescent="0.3">
      <c r="A1669" s="830">
        <v>102712</v>
      </c>
      <c r="B1669" s="831" t="s">
        <v>6173</v>
      </c>
      <c r="C1669" s="830" t="s">
        <v>252</v>
      </c>
      <c r="D1669" s="832">
        <v>8.3800000000000008</v>
      </c>
    </row>
    <row r="1670" spans="1:4" x14ac:dyDescent="0.3">
      <c r="A1670" s="830">
        <v>102713</v>
      </c>
      <c r="B1670" s="831" t="s">
        <v>6174</v>
      </c>
      <c r="C1670" s="830" t="s">
        <v>252</v>
      </c>
      <c r="D1670" s="832">
        <v>11.48</v>
      </c>
    </row>
    <row r="1671" spans="1:4" x14ac:dyDescent="0.3">
      <c r="A1671" s="830">
        <v>102715</v>
      </c>
      <c r="B1671" s="831" t="s">
        <v>6175</v>
      </c>
      <c r="C1671" s="830" t="s">
        <v>252</v>
      </c>
      <c r="D1671" s="832">
        <v>22.63</v>
      </c>
    </row>
    <row r="1672" spans="1:4" x14ac:dyDescent="0.3">
      <c r="A1672" s="830">
        <v>102716</v>
      </c>
      <c r="B1672" s="831" t="s">
        <v>6176</v>
      </c>
      <c r="C1672" s="830" t="s">
        <v>5247</v>
      </c>
      <c r="D1672" s="832">
        <v>247.9</v>
      </c>
    </row>
    <row r="1673" spans="1:4" x14ac:dyDescent="0.3">
      <c r="A1673" s="830">
        <v>102717</v>
      </c>
      <c r="B1673" s="831" t="s">
        <v>6177</v>
      </c>
      <c r="C1673" s="830" t="s">
        <v>5247</v>
      </c>
      <c r="D1673" s="832">
        <v>243.3</v>
      </c>
    </row>
    <row r="1674" spans="1:4" x14ac:dyDescent="0.3">
      <c r="A1674" s="830">
        <v>102718</v>
      </c>
      <c r="B1674" s="831" t="s">
        <v>6178</v>
      </c>
      <c r="C1674" s="830" t="s">
        <v>5247</v>
      </c>
      <c r="D1674" s="832">
        <v>260.45999999999998</v>
      </c>
    </row>
    <row r="1675" spans="1:4" x14ac:dyDescent="0.3">
      <c r="A1675" s="830">
        <v>102719</v>
      </c>
      <c r="B1675" s="831" t="s">
        <v>6179</v>
      </c>
      <c r="C1675" s="830" t="s">
        <v>5247</v>
      </c>
      <c r="D1675" s="832">
        <v>255.86</v>
      </c>
    </row>
    <row r="1676" spans="1:4" x14ac:dyDescent="0.3">
      <c r="A1676" s="830">
        <v>102722</v>
      </c>
      <c r="B1676" s="831" t="s">
        <v>6180</v>
      </c>
      <c r="C1676" s="830" t="s">
        <v>194</v>
      </c>
      <c r="D1676" s="832">
        <v>61.33</v>
      </c>
    </row>
    <row r="1677" spans="1:4" x14ac:dyDescent="0.3">
      <c r="A1677" s="830">
        <v>102723</v>
      </c>
      <c r="B1677" s="831" t="s">
        <v>6181</v>
      </c>
      <c r="C1677" s="830" t="s">
        <v>194</v>
      </c>
      <c r="D1677" s="832">
        <v>112.8</v>
      </c>
    </row>
    <row r="1678" spans="1:4" x14ac:dyDescent="0.3">
      <c r="A1678" s="830">
        <v>102724</v>
      </c>
      <c r="B1678" s="831" t="s">
        <v>6182</v>
      </c>
      <c r="C1678" s="830" t="s">
        <v>89</v>
      </c>
      <c r="D1678" s="832">
        <v>32.799999999999997</v>
      </c>
    </row>
    <row r="1679" spans="1:4" x14ac:dyDescent="0.3">
      <c r="A1679" s="830">
        <v>102725</v>
      </c>
      <c r="B1679" s="831" t="s">
        <v>6183</v>
      </c>
      <c r="C1679" s="830" t="s">
        <v>89</v>
      </c>
      <c r="D1679" s="832">
        <v>32.28</v>
      </c>
    </row>
    <row r="1680" spans="1:4" x14ac:dyDescent="0.3">
      <c r="A1680" s="830">
        <v>102726</v>
      </c>
      <c r="B1680" s="831" t="s">
        <v>6184</v>
      </c>
      <c r="C1680" s="830" t="s">
        <v>89</v>
      </c>
      <c r="D1680" s="832">
        <v>30.4</v>
      </c>
    </row>
    <row r="1681" spans="1:4" x14ac:dyDescent="0.3">
      <c r="A1681" s="830">
        <v>103653</v>
      </c>
      <c r="B1681" s="831" t="s">
        <v>6185</v>
      </c>
      <c r="C1681" s="830" t="s">
        <v>252</v>
      </c>
      <c r="D1681" s="832">
        <v>27.01</v>
      </c>
    </row>
    <row r="1682" spans="1:4" x14ac:dyDescent="0.3">
      <c r="A1682" s="830">
        <v>92743</v>
      </c>
      <c r="B1682" s="831" t="s">
        <v>6186</v>
      </c>
      <c r="C1682" s="830" t="s">
        <v>5247</v>
      </c>
      <c r="D1682" s="832">
        <v>754.62</v>
      </c>
    </row>
    <row r="1683" spans="1:4" x14ac:dyDescent="0.3">
      <c r="A1683" s="830">
        <v>92744</v>
      </c>
      <c r="B1683" s="831" t="s">
        <v>6187</v>
      </c>
      <c r="C1683" s="830" t="s">
        <v>5247</v>
      </c>
      <c r="D1683" s="832">
        <v>697.91</v>
      </c>
    </row>
    <row r="1684" spans="1:4" x14ac:dyDescent="0.3">
      <c r="A1684" s="830">
        <v>92745</v>
      </c>
      <c r="B1684" s="831" t="s">
        <v>6188</v>
      </c>
      <c r="C1684" s="830" t="s">
        <v>5247</v>
      </c>
      <c r="D1684" s="832">
        <v>885.27</v>
      </c>
    </row>
    <row r="1685" spans="1:4" x14ac:dyDescent="0.3">
      <c r="A1685" s="830">
        <v>92746</v>
      </c>
      <c r="B1685" s="831" t="s">
        <v>6189</v>
      </c>
      <c r="C1685" s="830" t="s">
        <v>5247</v>
      </c>
      <c r="D1685" s="832">
        <v>805.92</v>
      </c>
    </row>
    <row r="1686" spans="1:4" x14ac:dyDescent="0.3">
      <c r="A1686" s="830">
        <v>92747</v>
      </c>
      <c r="B1686" s="831" t="s">
        <v>6190</v>
      </c>
      <c r="C1686" s="830" t="s">
        <v>5247</v>
      </c>
      <c r="D1686" s="832">
        <v>967.56</v>
      </c>
    </row>
    <row r="1687" spans="1:4" x14ac:dyDescent="0.3">
      <c r="A1687" s="830">
        <v>92748</v>
      </c>
      <c r="B1687" s="831" t="s">
        <v>6191</v>
      </c>
      <c r="C1687" s="830" t="s">
        <v>5247</v>
      </c>
      <c r="D1687" s="832">
        <v>871.61</v>
      </c>
    </row>
    <row r="1688" spans="1:4" x14ac:dyDescent="0.3">
      <c r="A1688" s="830">
        <v>92749</v>
      </c>
      <c r="B1688" s="831" t="s">
        <v>6192</v>
      </c>
      <c r="C1688" s="830" t="s">
        <v>5247</v>
      </c>
      <c r="D1688" s="832">
        <v>1008.88</v>
      </c>
    </row>
    <row r="1689" spans="1:4" x14ac:dyDescent="0.3">
      <c r="A1689" s="830">
        <v>92750</v>
      </c>
      <c r="B1689" s="831" t="s">
        <v>6193</v>
      </c>
      <c r="C1689" s="830" t="s">
        <v>5247</v>
      </c>
      <c r="D1689" s="832">
        <v>1579.33</v>
      </c>
    </row>
    <row r="1690" spans="1:4" x14ac:dyDescent="0.3">
      <c r="A1690" s="830">
        <v>92751</v>
      </c>
      <c r="B1690" s="831" t="s">
        <v>6194</v>
      </c>
      <c r="C1690" s="830" t="s">
        <v>5247</v>
      </c>
      <c r="D1690" s="832">
        <v>1913.06</v>
      </c>
    </row>
    <row r="1691" spans="1:4" x14ac:dyDescent="0.3">
      <c r="A1691" s="830">
        <v>92752</v>
      </c>
      <c r="B1691" s="831" t="s">
        <v>6195</v>
      </c>
      <c r="C1691" s="830" t="s">
        <v>5247</v>
      </c>
      <c r="D1691" s="832">
        <v>2244.2399999999998</v>
      </c>
    </row>
    <row r="1692" spans="1:4" x14ac:dyDescent="0.3">
      <c r="A1692" s="830">
        <v>92753</v>
      </c>
      <c r="B1692" s="831" t="s">
        <v>6196</v>
      </c>
      <c r="C1692" s="830" t="s">
        <v>5247</v>
      </c>
      <c r="D1692" s="832">
        <v>596.49</v>
      </c>
    </row>
    <row r="1693" spans="1:4" x14ac:dyDescent="0.3">
      <c r="A1693" s="830">
        <v>92754</v>
      </c>
      <c r="B1693" s="831" t="s">
        <v>6197</v>
      </c>
      <c r="C1693" s="830" t="s">
        <v>5247</v>
      </c>
      <c r="D1693" s="832">
        <v>586.77</v>
      </c>
    </row>
    <row r="1694" spans="1:4" x14ac:dyDescent="0.3">
      <c r="A1694" s="830">
        <v>92755</v>
      </c>
      <c r="B1694" s="831" t="s">
        <v>6198</v>
      </c>
      <c r="C1694" s="830" t="s">
        <v>252</v>
      </c>
      <c r="D1694" s="832">
        <v>250.19</v>
      </c>
    </row>
    <row r="1695" spans="1:4" x14ac:dyDescent="0.3">
      <c r="A1695" s="830">
        <v>92756</v>
      </c>
      <c r="B1695" s="831" t="s">
        <v>6199</v>
      </c>
      <c r="C1695" s="830" t="s">
        <v>252</v>
      </c>
      <c r="D1695" s="832">
        <v>292.39999999999998</v>
      </c>
    </row>
    <row r="1696" spans="1:4" x14ac:dyDescent="0.3">
      <c r="A1696" s="830">
        <v>92757</v>
      </c>
      <c r="B1696" s="831" t="s">
        <v>6200</v>
      </c>
      <c r="C1696" s="830" t="s">
        <v>252</v>
      </c>
      <c r="D1696" s="832">
        <v>342.67</v>
      </c>
    </row>
    <row r="1697" spans="1:4" x14ac:dyDescent="0.3">
      <c r="A1697" s="830">
        <v>92758</v>
      </c>
      <c r="B1697" s="831" t="s">
        <v>6201</v>
      </c>
      <c r="C1697" s="830" t="s">
        <v>5247</v>
      </c>
      <c r="D1697" s="832">
        <v>749.41</v>
      </c>
    </row>
    <row r="1698" spans="1:4" x14ac:dyDescent="0.3">
      <c r="A1698" s="830">
        <v>91069</v>
      </c>
      <c r="B1698" s="831" t="s">
        <v>6202</v>
      </c>
      <c r="C1698" s="830" t="s">
        <v>252</v>
      </c>
      <c r="D1698" s="832">
        <v>209.56</v>
      </c>
    </row>
    <row r="1699" spans="1:4" x14ac:dyDescent="0.3">
      <c r="A1699" s="830">
        <v>91070</v>
      </c>
      <c r="B1699" s="831" t="s">
        <v>6203</v>
      </c>
      <c r="C1699" s="830" t="s">
        <v>252</v>
      </c>
      <c r="D1699" s="832">
        <v>222.47</v>
      </c>
    </row>
    <row r="1700" spans="1:4" x14ac:dyDescent="0.3">
      <c r="A1700" s="830">
        <v>91071</v>
      </c>
      <c r="B1700" s="831" t="s">
        <v>6204</v>
      </c>
      <c r="C1700" s="830" t="s">
        <v>252</v>
      </c>
      <c r="D1700" s="832">
        <v>334.61</v>
      </c>
    </row>
    <row r="1701" spans="1:4" x14ac:dyDescent="0.3">
      <c r="A1701" s="830">
        <v>91072</v>
      </c>
      <c r="B1701" s="831" t="s">
        <v>6205</v>
      </c>
      <c r="C1701" s="830" t="s">
        <v>252</v>
      </c>
      <c r="D1701" s="832">
        <v>345.17</v>
      </c>
    </row>
    <row r="1702" spans="1:4" x14ac:dyDescent="0.3">
      <c r="A1702" s="830">
        <v>91073</v>
      </c>
      <c r="B1702" s="831" t="s">
        <v>6206</v>
      </c>
      <c r="C1702" s="830" t="s">
        <v>252</v>
      </c>
      <c r="D1702" s="832">
        <v>270</v>
      </c>
    </row>
    <row r="1703" spans="1:4" x14ac:dyDescent="0.3">
      <c r="A1703" s="830">
        <v>91074</v>
      </c>
      <c r="B1703" s="831" t="s">
        <v>6207</v>
      </c>
      <c r="C1703" s="830" t="s">
        <v>252</v>
      </c>
      <c r="D1703" s="832">
        <v>258.14</v>
      </c>
    </row>
    <row r="1704" spans="1:4" x14ac:dyDescent="0.3">
      <c r="A1704" s="830">
        <v>91075</v>
      </c>
      <c r="B1704" s="831" t="s">
        <v>6208</v>
      </c>
      <c r="C1704" s="830" t="s">
        <v>252</v>
      </c>
      <c r="D1704" s="832">
        <v>424.63</v>
      </c>
    </row>
    <row r="1705" spans="1:4" x14ac:dyDescent="0.3">
      <c r="A1705" s="830">
        <v>91076</v>
      </c>
      <c r="B1705" s="831" t="s">
        <v>6209</v>
      </c>
      <c r="C1705" s="830" t="s">
        <v>252</v>
      </c>
      <c r="D1705" s="832">
        <v>391.81</v>
      </c>
    </row>
    <row r="1706" spans="1:4" x14ac:dyDescent="0.3">
      <c r="A1706" s="830">
        <v>91077</v>
      </c>
      <c r="B1706" s="831" t="s">
        <v>6210</v>
      </c>
      <c r="C1706" s="830" t="s">
        <v>252</v>
      </c>
      <c r="D1706" s="832">
        <v>190.44</v>
      </c>
    </row>
    <row r="1707" spans="1:4" x14ac:dyDescent="0.3">
      <c r="A1707" s="830">
        <v>91078</v>
      </c>
      <c r="B1707" s="831" t="s">
        <v>6211</v>
      </c>
      <c r="C1707" s="830" t="s">
        <v>252</v>
      </c>
      <c r="D1707" s="832">
        <v>208.42</v>
      </c>
    </row>
    <row r="1708" spans="1:4" x14ac:dyDescent="0.3">
      <c r="A1708" s="830">
        <v>91079</v>
      </c>
      <c r="B1708" s="831" t="s">
        <v>6212</v>
      </c>
      <c r="C1708" s="830" t="s">
        <v>252</v>
      </c>
      <c r="D1708" s="832">
        <v>207.18</v>
      </c>
    </row>
    <row r="1709" spans="1:4" x14ac:dyDescent="0.3">
      <c r="A1709" s="830">
        <v>91080</v>
      </c>
      <c r="B1709" s="831" t="s">
        <v>6213</v>
      </c>
      <c r="C1709" s="830" t="s">
        <v>252</v>
      </c>
      <c r="D1709" s="832">
        <v>221.32</v>
      </c>
    </row>
    <row r="1710" spans="1:4" x14ac:dyDescent="0.3">
      <c r="A1710" s="830">
        <v>91081</v>
      </c>
      <c r="B1710" s="831" t="s">
        <v>6214</v>
      </c>
      <c r="C1710" s="830" t="s">
        <v>252</v>
      </c>
      <c r="D1710" s="832">
        <v>276.14999999999998</v>
      </c>
    </row>
    <row r="1711" spans="1:4" x14ac:dyDescent="0.3">
      <c r="A1711" s="830">
        <v>91082</v>
      </c>
      <c r="B1711" s="831" t="s">
        <v>6215</v>
      </c>
      <c r="C1711" s="830" t="s">
        <v>252</v>
      </c>
      <c r="D1711" s="832">
        <v>252.42</v>
      </c>
    </row>
    <row r="1712" spans="1:4" x14ac:dyDescent="0.3">
      <c r="A1712" s="830">
        <v>91083</v>
      </c>
      <c r="B1712" s="831" t="s">
        <v>6216</v>
      </c>
      <c r="C1712" s="830" t="s">
        <v>252</v>
      </c>
      <c r="D1712" s="832">
        <v>345.64</v>
      </c>
    </row>
    <row r="1713" spans="1:4" x14ac:dyDescent="0.3">
      <c r="A1713" s="830">
        <v>91084</v>
      </c>
      <c r="B1713" s="831" t="s">
        <v>6217</v>
      </c>
      <c r="C1713" s="830" t="s">
        <v>252</v>
      </c>
      <c r="D1713" s="832">
        <v>280.29000000000002</v>
      </c>
    </row>
    <row r="1714" spans="1:4" x14ac:dyDescent="0.3">
      <c r="A1714" s="830">
        <v>91086</v>
      </c>
      <c r="B1714" s="831" t="s">
        <v>6218</v>
      </c>
      <c r="C1714" s="830" t="s">
        <v>252</v>
      </c>
      <c r="D1714" s="832">
        <v>229.88</v>
      </c>
    </row>
    <row r="1715" spans="1:4" x14ac:dyDescent="0.3">
      <c r="A1715" s="830">
        <v>91087</v>
      </c>
      <c r="B1715" s="831" t="s">
        <v>6219</v>
      </c>
      <c r="C1715" s="830" t="s">
        <v>252</v>
      </c>
      <c r="D1715" s="832">
        <v>244.41</v>
      </c>
    </row>
    <row r="1716" spans="1:4" x14ac:dyDescent="0.3">
      <c r="A1716" s="830">
        <v>91088</v>
      </c>
      <c r="B1716" s="831" t="s">
        <v>6220</v>
      </c>
      <c r="C1716" s="830" t="s">
        <v>252</v>
      </c>
      <c r="D1716" s="832">
        <v>355.41</v>
      </c>
    </row>
    <row r="1717" spans="1:4" x14ac:dyDescent="0.3">
      <c r="A1717" s="830">
        <v>91089</v>
      </c>
      <c r="B1717" s="831" t="s">
        <v>6221</v>
      </c>
      <c r="C1717" s="830" t="s">
        <v>252</v>
      </c>
      <c r="D1717" s="832">
        <v>368.47</v>
      </c>
    </row>
    <row r="1718" spans="1:4" x14ac:dyDescent="0.3">
      <c r="A1718" s="830">
        <v>91090</v>
      </c>
      <c r="B1718" s="831" t="s">
        <v>6222</v>
      </c>
      <c r="C1718" s="830" t="s">
        <v>252</v>
      </c>
      <c r="D1718" s="832">
        <v>275.48</v>
      </c>
    </row>
    <row r="1719" spans="1:4" x14ac:dyDescent="0.3">
      <c r="A1719" s="830">
        <v>91091</v>
      </c>
      <c r="B1719" s="831" t="s">
        <v>6223</v>
      </c>
      <c r="C1719" s="830" t="s">
        <v>252</v>
      </c>
      <c r="D1719" s="832">
        <v>274.14</v>
      </c>
    </row>
    <row r="1720" spans="1:4" x14ac:dyDescent="0.3">
      <c r="A1720" s="830">
        <v>91092</v>
      </c>
      <c r="B1720" s="831" t="s">
        <v>6224</v>
      </c>
      <c r="C1720" s="830" t="s">
        <v>252</v>
      </c>
      <c r="D1720" s="832">
        <v>419.99</v>
      </c>
    </row>
    <row r="1721" spans="1:4" x14ac:dyDescent="0.3">
      <c r="A1721" s="830">
        <v>91093</v>
      </c>
      <c r="B1721" s="831" t="s">
        <v>6225</v>
      </c>
      <c r="C1721" s="830" t="s">
        <v>252</v>
      </c>
      <c r="D1721" s="832">
        <v>406.61</v>
      </c>
    </row>
    <row r="1722" spans="1:4" x14ac:dyDescent="0.3">
      <c r="A1722" s="830">
        <v>91094</v>
      </c>
      <c r="B1722" s="831" t="s">
        <v>6226</v>
      </c>
      <c r="C1722" s="830" t="s">
        <v>252</v>
      </c>
      <c r="D1722" s="832">
        <v>182.11</v>
      </c>
    </row>
    <row r="1723" spans="1:4" x14ac:dyDescent="0.3">
      <c r="A1723" s="830">
        <v>91095</v>
      </c>
      <c r="B1723" s="831" t="s">
        <v>6227</v>
      </c>
      <c r="C1723" s="830" t="s">
        <v>252</v>
      </c>
      <c r="D1723" s="832">
        <v>202.52</v>
      </c>
    </row>
    <row r="1724" spans="1:4" x14ac:dyDescent="0.3">
      <c r="A1724" s="830">
        <v>91096</v>
      </c>
      <c r="B1724" s="831" t="s">
        <v>6228</v>
      </c>
      <c r="C1724" s="830" t="s">
        <v>252</v>
      </c>
      <c r="D1724" s="832">
        <v>195.91</v>
      </c>
    </row>
    <row r="1725" spans="1:4" x14ac:dyDescent="0.3">
      <c r="A1725" s="830">
        <v>91097</v>
      </c>
      <c r="B1725" s="831" t="s">
        <v>6229</v>
      </c>
      <c r="C1725" s="830" t="s">
        <v>252</v>
      </c>
      <c r="D1725" s="832">
        <v>213.86</v>
      </c>
    </row>
    <row r="1726" spans="1:4" x14ac:dyDescent="0.3">
      <c r="A1726" s="830">
        <v>91098</v>
      </c>
      <c r="B1726" s="831" t="s">
        <v>6230</v>
      </c>
      <c r="C1726" s="830" t="s">
        <v>252</v>
      </c>
      <c r="D1726" s="832">
        <v>243.43</v>
      </c>
    </row>
    <row r="1727" spans="1:4" x14ac:dyDescent="0.3">
      <c r="A1727" s="830">
        <v>91099</v>
      </c>
      <c r="B1727" s="831" t="s">
        <v>6231</v>
      </c>
      <c r="C1727" s="830" t="s">
        <v>252</v>
      </c>
      <c r="D1727" s="832">
        <v>238.49</v>
      </c>
    </row>
    <row r="1728" spans="1:4" x14ac:dyDescent="0.3">
      <c r="A1728" s="830">
        <v>91100</v>
      </c>
      <c r="B1728" s="831" t="s">
        <v>6232</v>
      </c>
      <c r="C1728" s="830" t="s">
        <v>252</v>
      </c>
      <c r="D1728" s="832">
        <v>287.54000000000002</v>
      </c>
    </row>
    <row r="1729" spans="1:4" x14ac:dyDescent="0.3">
      <c r="A1729" s="830">
        <v>91101</v>
      </c>
      <c r="B1729" s="831" t="s">
        <v>6233</v>
      </c>
      <c r="C1729" s="830" t="s">
        <v>252</v>
      </c>
      <c r="D1729" s="832">
        <v>260.49</v>
      </c>
    </row>
    <row r="1730" spans="1:4" x14ac:dyDescent="0.3">
      <c r="A1730" s="830">
        <v>93957</v>
      </c>
      <c r="B1730" s="831" t="s">
        <v>6234</v>
      </c>
      <c r="C1730" s="830" t="s">
        <v>194</v>
      </c>
      <c r="D1730" s="832">
        <v>342.34</v>
      </c>
    </row>
    <row r="1731" spans="1:4" x14ac:dyDescent="0.3">
      <c r="A1731" s="830">
        <v>93959</v>
      </c>
      <c r="B1731" s="831" t="s">
        <v>6235</v>
      </c>
      <c r="C1731" s="830" t="s">
        <v>194</v>
      </c>
      <c r="D1731" s="832">
        <v>275.41000000000003</v>
      </c>
    </row>
    <row r="1732" spans="1:4" x14ac:dyDescent="0.3">
      <c r="A1732" s="830">
        <v>93961</v>
      </c>
      <c r="B1732" s="831" t="s">
        <v>6236</v>
      </c>
      <c r="C1732" s="830" t="s">
        <v>194</v>
      </c>
      <c r="D1732" s="832">
        <v>247.26</v>
      </c>
    </row>
    <row r="1733" spans="1:4" x14ac:dyDescent="0.3">
      <c r="A1733" s="830">
        <v>93967</v>
      </c>
      <c r="B1733" s="831" t="s">
        <v>6237</v>
      </c>
      <c r="C1733" s="830" t="s">
        <v>194</v>
      </c>
      <c r="D1733" s="832">
        <v>284.58</v>
      </c>
    </row>
    <row r="1734" spans="1:4" x14ac:dyDescent="0.3">
      <c r="A1734" s="830">
        <v>93969</v>
      </c>
      <c r="B1734" s="831" t="s">
        <v>6238</v>
      </c>
      <c r="C1734" s="830" t="s">
        <v>194</v>
      </c>
      <c r="D1734" s="832">
        <v>228.82</v>
      </c>
    </row>
    <row r="1735" spans="1:4" x14ac:dyDescent="0.3">
      <c r="A1735" s="830">
        <v>93971</v>
      </c>
      <c r="B1735" s="831" t="s">
        <v>6239</v>
      </c>
      <c r="C1735" s="830" t="s">
        <v>194</v>
      </c>
      <c r="D1735" s="832">
        <v>206.14</v>
      </c>
    </row>
    <row r="1736" spans="1:4" x14ac:dyDescent="0.3">
      <c r="A1736" s="830">
        <v>95108</v>
      </c>
      <c r="B1736" s="831" t="s">
        <v>6240</v>
      </c>
      <c r="C1736" s="830" t="s">
        <v>89</v>
      </c>
      <c r="D1736" s="832">
        <v>41.36</v>
      </c>
    </row>
    <row r="1737" spans="1:4" x14ac:dyDescent="0.3">
      <c r="A1737" s="830">
        <v>100341</v>
      </c>
      <c r="B1737" s="831" t="s">
        <v>6241</v>
      </c>
      <c r="C1737" s="830" t="s">
        <v>252</v>
      </c>
      <c r="D1737" s="832">
        <v>40.93</v>
      </c>
    </row>
    <row r="1738" spans="1:4" x14ac:dyDescent="0.3">
      <c r="A1738" s="830">
        <v>100342</v>
      </c>
      <c r="B1738" s="831" t="s">
        <v>6242</v>
      </c>
      <c r="C1738" s="830" t="s">
        <v>1369</v>
      </c>
      <c r="D1738" s="832">
        <v>18.559999999999999</v>
      </c>
    </row>
    <row r="1739" spans="1:4" x14ac:dyDescent="0.3">
      <c r="A1739" s="830">
        <v>100343</v>
      </c>
      <c r="B1739" s="831" t="s">
        <v>6243</v>
      </c>
      <c r="C1739" s="830" t="s">
        <v>1369</v>
      </c>
      <c r="D1739" s="832">
        <v>16.43</v>
      </c>
    </row>
    <row r="1740" spans="1:4" x14ac:dyDescent="0.3">
      <c r="A1740" s="830">
        <v>100344</v>
      </c>
      <c r="B1740" s="831" t="s">
        <v>6244</v>
      </c>
      <c r="C1740" s="830" t="s">
        <v>1369</v>
      </c>
      <c r="D1740" s="832">
        <v>13.54</v>
      </c>
    </row>
    <row r="1741" spans="1:4" x14ac:dyDescent="0.3">
      <c r="A1741" s="830">
        <v>100345</v>
      </c>
      <c r="B1741" s="831" t="s">
        <v>6245</v>
      </c>
      <c r="C1741" s="830" t="s">
        <v>1369</v>
      </c>
      <c r="D1741" s="832">
        <v>10.56</v>
      </c>
    </row>
    <row r="1742" spans="1:4" x14ac:dyDescent="0.3">
      <c r="A1742" s="830">
        <v>100346</v>
      </c>
      <c r="B1742" s="831" t="s">
        <v>6246</v>
      </c>
      <c r="C1742" s="830" t="s">
        <v>1369</v>
      </c>
      <c r="D1742" s="832">
        <v>10.1</v>
      </c>
    </row>
    <row r="1743" spans="1:4" x14ac:dyDescent="0.3">
      <c r="A1743" s="830">
        <v>100347</v>
      </c>
      <c r="B1743" s="831" t="s">
        <v>6247</v>
      </c>
      <c r="C1743" s="830" t="s">
        <v>1369</v>
      </c>
      <c r="D1743" s="832">
        <v>11.39</v>
      </c>
    </row>
    <row r="1744" spans="1:4" x14ac:dyDescent="0.3">
      <c r="A1744" s="830">
        <v>100348</v>
      </c>
      <c r="B1744" s="831" t="s">
        <v>6248</v>
      </c>
      <c r="C1744" s="830" t="s">
        <v>1369</v>
      </c>
      <c r="D1744" s="832">
        <v>11.2</v>
      </c>
    </row>
    <row r="1745" spans="1:4" x14ac:dyDescent="0.3">
      <c r="A1745" s="830">
        <v>100349</v>
      </c>
      <c r="B1745" s="831" t="s">
        <v>6249</v>
      </c>
      <c r="C1745" s="830" t="s">
        <v>5247</v>
      </c>
      <c r="D1745" s="832">
        <v>628.44000000000005</v>
      </c>
    </row>
    <row r="1746" spans="1:4" x14ac:dyDescent="0.3">
      <c r="A1746" s="830">
        <v>104841</v>
      </c>
      <c r="B1746" s="831" t="s">
        <v>6250</v>
      </c>
      <c r="C1746" s="830" t="s">
        <v>194</v>
      </c>
      <c r="D1746" s="832">
        <v>79.069999999999993</v>
      </c>
    </row>
    <row r="1747" spans="1:4" x14ac:dyDescent="0.3">
      <c r="A1747" s="830">
        <v>104842</v>
      </c>
      <c r="B1747" s="831" t="s">
        <v>6251</v>
      </c>
      <c r="C1747" s="830" t="s">
        <v>194</v>
      </c>
      <c r="D1747" s="832">
        <v>66.959999999999994</v>
      </c>
    </row>
    <row r="1748" spans="1:4" x14ac:dyDescent="0.3">
      <c r="A1748" s="830">
        <v>104843</v>
      </c>
      <c r="B1748" s="831" t="s">
        <v>6252</v>
      </c>
      <c r="C1748" s="830" t="s">
        <v>194</v>
      </c>
      <c r="D1748" s="832">
        <v>110.05</v>
      </c>
    </row>
    <row r="1749" spans="1:4" x14ac:dyDescent="0.3">
      <c r="A1749" s="830">
        <v>104844</v>
      </c>
      <c r="B1749" s="831" t="s">
        <v>6253</v>
      </c>
      <c r="C1749" s="830" t="s">
        <v>194</v>
      </c>
      <c r="D1749" s="832">
        <v>87.72</v>
      </c>
    </row>
    <row r="1750" spans="1:4" x14ac:dyDescent="0.3">
      <c r="A1750" s="830">
        <v>104845</v>
      </c>
      <c r="B1750" s="831" t="s">
        <v>6254</v>
      </c>
      <c r="C1750" s="830" t="s">
        <v>194</v>
      </c>
      <c r="D1750" s="832">
        <v>126.05</v>
      </c>
    </row>
    <row r="1751" spans="1:4" x14ac:dyDescent="0.3">
      <c r="A1751" s="830">
        <v>104846</v>
      </c>
      <c r="B1751" s="831" t="s">
        <v>6255</v>
      </c>
      <c r="C1751" s="830" t="s">
        <v>194</v>
      </c>
      <c r="D1751" s="832">
        <v>100.56</v>
      </c>
    </row>
    <row r="1752" spans="1:4" x14ac:dyDescent="0.3">
      <c r="A1752" s="830">
        <v>104847</v>
      </c>
      <c r="B1752" s="831" t="s">
        <v>6256</v>
      </c>
      <c r="C1752" s="830" t="s">
        <v>194</v>
      </c>
      <c r="D1752" s="832">
        <v>84.87</v>
      </c>
    </row>
    <row r="1753" spans="1:4" x14ac:dyDescent="0.3">
      <c r="A1753" s="830">
        <v>104848</v>
      </c>
      <c r="B1753" s="831" t="s">
        <v>6257</v>
      </c>
      <c r="C1753" s="830" t="s">
        <v>194</v>
      </c>
      <c r="D1753" s="832">
        <v>62.29</v>
      </c>
    </row>
    <row r="1754" spans="1:4" x14ac:dyDescent="0.3">
      <c r="A1754" s="830">
        <v>104849</v>
      </c>
      <c r="B1754" s="831" t="s">
        <v>6258</v>
      </c>
      <c r="C1754" s="830" t="s">
        <v>194</v>
      </c>
      <c r="D1754" s="832">
        <v>52.97</v>
      </c>
    </row>
    <row r="1755" spans="1:4" x14ac:dyDescent="0.3">
      <c r="A1755" s="830">
        <v>104850</v>
      </c>
      <c r="B1755" s="831" t="s">
        <v>6259</v>
      </c>
      <c r="C1755" s="830" t="s">
        <v>194</v>
      </c>
      <c r="D1755" s="832">
        <v>46.71</v>
      </c>
    </row>
    <row r="1756" spans="1:4" x14ac:dyDescent="0.3">
      <c r="A1756" s="830">
        <v>104851</v>
      </c>
      <c r="B1756" s="831" t="s">
        <v>6260</v>
      </c>
      <c r="C1756" s="830" t="s">
        <v>194</v>
      </c>
      <c r="D1756" s="832">
        <v>69.5</v>
      </c>
    </row>
    <row r="1757" spans="1:4" x14ac:dyDescent="0.3">
      <c r="A1757" s="830">
        <v>104852</v>
      </c>
      <c r="B1757" s="831" t="s">
        <v>6261</v>
      </c>
      <c r="C1757" s="830" t="s">
        <v>194</v>
      </c>
      <c r="D1757" s="832">
        <v>58.73</v>
      </c>
    </row>
    <row r="1758" spans="1:4" x14ac:dyDescent="0.3">
      <c r="A1758" s="830">
        <v>104853</v>
      </c>
      <c r="B1758" s="831" t="s">
        <v>6262</v>
      </c>
      <c r="C1758" s="830" t="s">
        <v>194</v>
      </c>
      <c r="D1758" s="832">
        <v>51.55</v>
      </c>
    </row>
    <row r="1759" spans="1:4" x14ac:dyDescent="0.3">
      <c r="A1759" s="830">
        <v>104854</v>
      </c>
      <c r="B1759" s="831" t="s">
        <v>6263</v>
      </c>
      <c r="C1759" s="830" t="s">
        <v>194</v>
      </c>
      <c r="D1759" s="832">
        <v>67.34</v>
      </c>
    </row>
    <row r="1760" spans="1:4" x14ac:dyDescent="0.3">
      <c r="A1760" s="830">
        <v>104855</v>
      </c>
      <c r="B1760" s="831" t="s">
        <v>6264</v>
      </c>
      <c r="C1760" s="830" t="s">
        <v>194</v>
      </c>
      <c r="D1760" s="832">
        <v>58.69</v>
      </c>
    </row>
    <row r="1761" spans="1:4" x14ac:dyDescent="0.3">
      <c r="A1761" s="830">
        <v>104875</v>
      </c>
      <c r="B1761" s="831" t="s">
        <v>6265</v>
      </c>
      <c r="C1761" s="830" t="s">
        <v>194</v>
      </c>
      <c r="D1761" s="832">
        <v>126.75</v>
      </c>
    </row>
    <row r="1762" spans="1:4" x14ac:dyDescent="0.3">
      <c r="A1762" s="830">
        <v>104876</v>
      </c>
      <c r="B1762" s="831" t="s">
        <v>6266</v>
      </c>
      <c r="C1762" s="830" t="s">
        <v>89</v>
      </c>
      <c r="D1762" s="832">
        <v>26.17</v>
      </c>
    </row>
    <row r="1763" spans="1:4" x14ac:dyDescent="0.3">
      <c r="A1763" s="830">
        <v>104877</v>
      </c>
      <c r="B1763" s="831" t="s">
        <v>6267</v>
      </c>
      <c r="C1763" s="830" t="s">
        <v>89</v>
      </c>
      <c r="D1763" s="832">
        <v>627.84</v>
      </c>
    </row>
    <row r="1764" spans="1:4" x14ac:dyDescent="0.3">
      <c r="A1764" s="830">
        <v>104878</v>
      </c>
      <c r="B1764" s="831" t="s">
        <v>6268</v>
      </c>
      <c r="C1764" s="830" t="s">
        <v>89</v>
      </c>
      <c r="D1764" s="832">
        <v>2330.2399999999998</v>
      </c>
    </row>
    <row r="1765" spans="1:4" x14ac:dyDescent="0.3">
      <c r="A1765" s="830">
        <v>104879</v>
      </c>
      <c r="B1765" s="831" t="s">
        <v>6269</v>
      </c>
      <c r="C1765" s="830" t="s">
        <v>194</v>
      </c>
      <c r="D1765" s="832">
        <v>74.180000000000007</v>
      </c>
    </row>
    <row r="1766" spans="1:4" x14ac:dyDescent="0.3">
      <c r="A1766" s="830">
        <v>104880</v>
      </c>
      <c r="B1766" s="831" t="s">
        <v>6270</v>
      </c>
      <c r="C1766" s="830" t="s">
        <v>194</v>
      </c>
      <c r="D1766" s="832">
        <v>80.17</v>
      </c>
    </row>
    <row r="1767" spans="1:4" x14ac:dyDescent="0.3">
      <c r="A1767" s="830">
        <v>104886</v>
      </c>
      <c r="B1767" s="831" t="s">
        <v>6271</v>
      </c>
      <c r="C1767" s="830" t="s">
        <v>194</v>
      </c>
      <c r="D1767" s="832">
        <v>46.14</v>
      </c>
    </row>
    <row r="1768" spans="1:4" x14ac:dyDescent="0.3">
      <c r="A1768" s="830">
        <v>104887</v>
      </c>
      <c r="B1768" s="831" t="s">
        <v>6272</v>
      </c>
      <c r="C1768" s="830" t="s">
        <v>194</v>
      </c>
      <c r="D1768" s="832">
        <v>40.090000000000003</v>
      </c>
    </row>
    <row r="1769" spans="1:4" x14ac:dyDescent="0.3">
      <c r="A1769" s="830">
        <v>104888</v>
      </c>
      <c r="B1769" s="831" t="s">
        <v>6273</v>
      </c>
      <c r="C1769" s="830" t="s">
        <v>194</v>
      </c>
      <c r="D1769" s="832">
        <v>36.01</v>
      </c>
    </row>
    <row r="1770" spans="1:4" x14ac:dyDescent="0.3">
      <c r="A1770" s="830">
        <v>104889</v>
      </c>
      <c r="B1770" s="831" t="s">
        <v>6274</v>
      </c>
      <c r="C1770" s="830" t="s">
        <v>194</v>
      </c>
      <c r="D1770" s="832">
        <v>54.2</v>
      </c>
    </row>
    <row r="1771" spans="1:4" x14ac:dyDescent="0.3">
      <c r="A1771" s="830">
        <v>104890</v>
      </c>
      <c r="B1771" s="831" t="s">
        <v>6275</v>
      </c>
      <c r="C1771" s="830" t="s">
        <v>194</v>
      </c>
      <c r="D1771" s="832">
        <v>46.6</v>
      </c>
    </row>
    <row r="1772" spans="1:4" x14ac:dyDescent="0.3">
      <c r="A1772" s="830">
        <v>104891</v>
      </c>
      <c r="B1772" s="831" t="s">
        <v>6276</v>
      </c>
      <c r="C1772" s="830" t="s">
        <v>194</v>
      </c>
      <c r="D1772" s="832">
        <v>41.49</v>
      </c>
    </row>
    <row r="1773" spans="1:4" x14ac:dyDescent="0.3">
      <c r="A1773" s="830">
        <v>104892</v>
      </c>
      <c r="B1773" s="831" t="s">
        <v>6277</v>
      </c>
      <c r="C1773" s="830" t="s">
        <v>194</v>
      </c>
      <c r="D1773" s="832">
        <v>99.3</v>
      </c>
    </row>
    <row r="1774" spans="1:4" x14ac:dyDescent="0.3">
      <c r="A1774" s="830">
        <v>102989</v>
      </c>
      <c r="B1774" s="831" t="s">
        <v>6278</v>
      </c>
      <c r="C1774" s="830" t="s">
        <v>194</v>
      </c>
      <c r="D1774" s="832">
        <v>35.950000000000003</v>
      </c>
    </row>
    <row r="1775" spans="1:4" x14ac:dyDescent="0.3">
      <c r="A1775" s="830">
        <v>102990</v>
      </c>
      <c r="B1775" s="831" t="s">
        <v>6279</v>
      </c>
      <c r="C1775" s="830" t="s">
        <v>194</v>
      </c>
      <c r="D1775" s="832">
        <v>43.62</v>
      </c>
    </row>
    <row r="1776" spans="1:4" x14ac:dyDescent="0.3">
      <c r="A1776" s="830">
        <v>102991</v>
      </c>
      <c r="B1776" s="831" t="s">
        <v>6280</v>
      </c>
      <c r="C1776" s="830" t="s">
        <v>194</v>
      </c>
      <c r="D1776" s="832">
        <v>56.38</v>
      </c>
    </row>
    <row r="1777" spans="1:4" x14ac:dyDescent="0.3">
      <c r="A1777" s="830">
        <v>102992</v>
      </c>
      <c r="B1777" s="831" t="s">
        <v>6281</v>
      </c>
      <c r="C1777" s="830" t="s">
        <v>194</v>
      </c>
      <c r="D1777" s="832">
        <v>81.22</v>
      </c>
    </row>
    <row r="1778" spans="1:4" x14ac:dyDescent="0.3">
      <c r="A1778" s="830">
        <v>102993</v>
      </c>
      <c r="B1778" s="831" t="s">
        <v>6282</v>
      </c>
      <c r="C1778" s="830" t="s">
        <v>194</v>
      </c>
      <c r="D1778" s="832">
        <v>105.94</v>
      </c>
    </row>
    <row r="1779" spans="1:4" x14ac:dyDescent="0.3">
      <c r="A1779" s="830">
        <v>102994</v>
      </c>
      <c r="B1779" s="831" t="s">
        <v>6283</v>
      </c>
      <c r="C1779" s="830" t="s">
        <v>194</v>
      </c>
      <c r="D1779" s="832">
        <v>176.75</v>
      </c>
    </row>
    <row r="1780" spans="1:4" x14ac:dyDescent="0.3">
      <c r="A1780" s="830">
        <v>102995</v>
      </c>
      <c r="B1780" s="831" t="s">
        <v>6284</v>
      </c>
      <c r="C1780" s="830" t="s">
        <v>194</v>
      </c>
      <c r="D1780" s="832">
        <v>61.77</v>
      </c>
    </row>
    <row r="1781" spans="1:4" x14ac:dyDescent="0.3">
      <c r="A1781" s="830">
        <v>102996</v>
      </c>
      <c r="B1781" s="831" t="s">
        <v>6285</v>
      </c>
      <c r="C1781" s="830" t="s">
        <v>194</v>
      </c>
      <c r="D1781" s="832">
        <v>87.44</v>
      </c>
    </row>
    <row r="1782" spans="1:4" x14ac:dyDescent="0.3">
      <c r="A1782" s="830">
        <v>102997</v>
      </c>
      <c r="B1782" s="831" t="s">
        <v>6286</v>
      </c>
      <c r="C1782" s="830" t="s">
        <v>194</v>
      </c>
      <c r="D1782" s="832">
        <v>116.86</v>
      </c>
    </row>
    <row r="1783" spans="1:4" x14ac:dyDescent="0.3">
      <c r="A1783" s="830">
        <v>102998</v>
      </c>
      <c r="B1783" s="831" t="s">
        <v>6287</v>
      </c>
      <c r="C1783" s="830" t="s">
        <v>194</v>
      </c>
      <c r="D1783" s="832">
        <v>111.49</v>
      </c>
    </row>
    <row r="1784" spans="1:4" x14ac:dyDescent="0.3">
      <c r="A1784" s="830">
        <v>102999</v>
      </c>
      <c r="B1784" s="831" t="s">
        <v>6288</v>
      </c>
      <c r="C1784" s="830" t="s">
        <v>194</v>
      </c>
      <c r="D1784" s="832">
        <v>141.12</v>
      </c>
    </row>
    <row r="1785" spans="1:4" x14ac:dyDescent="0.3">
      <c r="A1785" s="830">
        <v>103000</v>
      </c>
      <c r="B1785" s="831" t="s">
        <v>6289</v>
      </c>
      <c r="C1785" s="830" t="s">
        <v>194</v>
      </c>
      <c r="D1785" s="832">
        <v>141.72</v>
      </c>
    </row>
    <row r="1786" spans="1:4" x14ac:dyDescent="0.3">
      <c r="A1786" s="830">
        <v>103001</v>
      </c>
      <c r="B1786" s="831" t="s">
        <v>6290</v>
      </c>
      <c r="C1786" s="830" t="s">
        <v>89</v>
      </c>
      <c r="D1786" s="832">
        <v>166.25</v>
      </c>
    </row>
    <row r="1787" spans="1:4" x14ac:dyDescent="0.3">
      <c r="A1787" s="830">
        <v>103002</v>
      </c>
      <c r="B1787" s="831" t="s">
        <v>6291</v>
      </c>
      <c r="C1787" s="830" t="s">
        <v>89</v>
      </c>
      <c r="D1787" s="832">
        <v>204.74</v>
      </c>
    </row>
    <row r="1788" spans="1:4" x14ac:dyDescent="0.3">
      <c r="A1788" s="830">
        <v>103003</v>
      </c>
      <c r="B1788" s="831" t="s">
        <v>6292</v>
      </c>
      <c r="C1788" s="830" t="s">
        <v>89</v>
      </c>
      <c r="D1788" s="832">
        <v>281.77</v>
      </c>
    </row>
    <row r="1789" spans="1:4" x14ac:dyDescent="0.3">
      <c r="A1789" s="830">
        <v>103005</v>
      </c>
      <c r="B1789" s="831" t="s">
        <v>6293</v>
      </c>
      <c r="C1789" s="830" t="s">
        <v>89</v>
      </c>
      <c r="D1789" s="832">
        <v>550.4</v>
      </c>
    </row>
    <row r="1790" spans="1:4" x14ac:dyDescent="0.3">
      <c r="A1790" s="830">
        <v>103006</v>
      </c>
      <c r="B1790" s="831" t="s">
        <v>6294</v>
      </c>
      <c r="C1790" s="830" t="s">
        <v>89</v>
      </c>
      <c r="D1790" s="832">
        <v>763.38</v>
      </c>
    </row>
    <row r="1791" spans="1:4" x14ac:dyDescent="0.3">
      <c r="A1791" s="830">
        <v>103007</v>
      </c>
      <c r="B1791" s="831" t="s">
        <v>6295</v>
      </c>
      <c r="C1791" s="830" t="s">
        <v>89</v>
      </c>
      <c r="D1791" s="832">
        <v>998.36</v>
      </c>
    </row>
    <row r="1792" spans="1:4" x14ac:dyDescent="0.3">
      <c r="A1792" s="830">
        <v>97933</v>
      </c>
      <c r="B1792" s="831" t="s">
        <v>6296</v>
      </c>
      <c r="C1792" s="830" t="s">
        <v>89</v>
      </c>
      <c r="D1792" s="832">
        <v>1141.97</v>
      </c>
    </row>
    <row r="1793" spans="1:4" x14ac:dyDescent="0.3">
      <c r="A1793" s="830">
        <v>97934</v>
      </c>
      <c r="B1793" s="831" t="s">
        <v>6297</v>
      </c>
      <c r="C1793" s="830" t="s">
        <v>89</v>
      </c>
      <c r="D1793" s="832">
        <v>2533.6799999999998</v>
      </c>
    </row>
    <row r="1794" spans="1:4" x14ac:dyDescent="0.3">
      <c r="A1794" s="830">
        <v>97935</v>
      </c>
      <c r="B1794" s="831" t="s">
        <v>6298</v>
      </c>
      <c r="C1794" s="830" t="s">
        <v>89</v>
      </c>
      <c r="D1794" s="832">
        <v>931.32</v>
      </c>
    </row>
    <row r="1795" spans="1:4" x14ac:dyDescent="0.3">
      <c r="A1795" s="830">
        <v>97936</v>
      </c>
      <c r="B1795" s="831" t="s">
        <v>6299</v>
      </c>
      <c r="C1795" s="830" t="s">
        <v>89</v>
      </c>
      <c r="D1795" s="832">
        <v>2144.8200000000002</v>
      </c>
    </row>
    <row r="1796" spans="1:4" x14ac:dyDescent="0.3">
      <c r="A1796" s="830">
        <v>97947</v>
      </c>
      <c r="B1796" s="831" t="s">
        <v>6300</v>
      </c>
      <c r="C1796" s="830" t="s">
        <v>89</v>
      </c>
      <c r="D1796" s="832">
        <v>1903.67</v>
      </c>
    </row>
    <row r="1797" spans="1:4" x14ac:dyDescent="0.3">
      <c r="A1797" s="830">
        <v>97948</v>
      </c>
      <c r="B1797" s="831" t="s">
        <v>6301</v>
      </c>
      <c r="C1797" s="830" t="s">
        <v>89</v>
      </c>
      <c r="D1797" s="832">
        <v>3510.51</v>
      </c>
    </row>
    <row r="1798" spans="1:4" x14ac:dyDescent="0.3">
      <c r="A1798" s="830">
        <v>97949</v>
      </c>
      <c r="B1798" s="831" t="s">
        <v>6302</v>
      </c>
      <c r="C1798" s="830" t="s">
        <v>89</v>
      </c>
      <c r="D1798" s="832">
        <v>1906.91</v>
      </c>
    </row>
    <row r="1799" spans="1:4" x14ac:dyDescent="0.3">
      <c r="A1799" s="830">
        <v>97950</v>
      </c>
      <c r="B1799" s="831" t="s">
        <v>6303</v>
      </c>
      <c r="C1799" s="830" t="s">
        <v>89</v>
      </c>
      <c r="D1799" s="832">
        <v>3357.49</v>
      </c>
    </row>
    <row r="1800" spans="1:4" x14ac:dyDescent="0.3">
      <c r="A1800" s="830">
        <v>97951</v>
      </c>
      <c r="B1800" s="831" t="s">
        <v>6304</v>
      </c>
      <c r="C1800" s="830" t="s">
        <v>89</v>
      </c>
      <c r="D1800" s="832">
        <v>3066.76</v>
      </c>
    </row>
    <row r="1801" spans="1:4" x14ac:dyDescent="0.3">
      <c r="A1801" s="830">
        <v>97952</v>
      </c>
      <c r="B1801" s="831" t="s">
        <v>6305</v>
      </c>
      <c r="C1801" s="830" t="s">
        <v>89</v>
      </c>
      <c r="D1801" s="832">
        <v>5310.62</v>
      </c>
    </row>
    <row r="1802" spans="1:4" x14ac:dyDescent="0.3">
      <c r="A1802" s="830">
        <v>97953</v>
      </c>
      <c r="B1802" s="831" t="s">
        <v>6306</v>
      </c>
      <c r="C1802" s="830" t="s">
        <v>89</v>
      </c>
      <c r="D1802" s="832">
        <v>1530.82</v>
      </c>
    </row>
    <row r="1803" spans="1:4" x14ac:dyDescent="0.3">
      <c r="A1803" s="830">
        <v>97955</v>
      </c>
      <c r="B1803" s="831" t="s">
        <v>6307</v>
      </c>
      <c r="C1803" s="830" t="s">
        <v>89</v>
      </c>
      <c r="D1803" s="832">
        <v>3293.61</v>
      </c>
    </row>
    <row r="1804" spans="1:4" x14ac:dyDescent="0.3">
      <c r="A1804" s="830">
        <v>97956</v>
      </c>
      <c r="B1804" s="831" t="s">
        <v>6308</v>
      </c>
      <c r="C1804" s="830" t="s">
        <v>89</v>
      </c>
      <c r="D1804" s="832">
        <v>1650.67</v>
      </c>
    </row>
    <row r="1805" spans="1:4" x14ac:dyDescent="0.3">
      <c r="A1805" s="830">
        <v>97957</v>
      </c>
      <c r="B1805" s="831" t="s">
        <v>6309</v>
      </c>
      <c r="C1805" s="830" t="s">
        <v>89</v>
      </c>
      <c r="D1805" s="832">
        <v>2938.26</v>
      </c>
    </row>
    <row r="1806" spans="1:4" x14ac:dyDescent="0.3">
      <c r="A1806" s="830">
        <v>97961</v>
      </c>
      <c r="B1806" s="831" t="s">
        <v>6310</v>
      </c>
      <c r="C1806" s="830" t="s">
        <v>89</v>
      </c>
      <c r="D1806" s="832">
        <v>2668.02</v>
      </c>
    </row>
    <row r="1807" spans="1:4" x14ac:dyDescent="0.3">
      <c r="A1807" s="830">
        <v>97973</v>
      </c>
      <c r="B1807" s="831" t="s">
        <v>6311</v>
      </c>
      <c r="C1807" s="830" t="s">
        <v>89</v>
      </c>
      <c r="D1807" s="832">
        <v>4956.76</v>
      </c>
    </row>
    <row r="1808" spans="1:4" x14ac:dyDescent="0.3">
      <c r="A1808" s="830">
        <v>97974</v>
      </c>
      <c r="B1808" s="831" t="s">
        <v>6312</v>
      </c>
      <c r="C1808" s="830" t="s">
        <v>89</v>
      </c>
      <c r="D1808" s="832">
        <v>526.51</v>
      </c>
    </row>
    <row r="1809" spans="1:4" x14ac:dyDescent="0.3">
      <c r="A1809" s="830">
        <v>97975</v>
      </c>
      <c r="B1809" s="831" t="s">
        <v>6313</v>
      </c>
      <c r="C1809" s="830" t="s">
        <v>89</v>
      </c>
      <c r="D1809" s="832">
        <v>681.66</v>
      </c>
    </row>
    <row r="1810" spans="1:4" x14ac:dyDescent="0.3">
      <c r="A1810" s="830">
        <v>97976</v>
      </c>
      <c r="B1810" s="831" t="s">
        <v>6314</v>
      </c>
      <c r="C1810" s="830" t="s">
        <v>89</v>
      </c>
      <c r="D1810" s="832">
        <v>1244.1099999999999</v>
      </c>
    </row>
    <row r="1811" spans="1:4" x14ac:dyDescent="0.3">
      <c r="A1811" s="830">
        <v>97977</v>
      </c>
      <c r="B1811" s="831" t="s">
        <v>6315</v>
      </c>
      <c r="C1811" s="830" t="s">
        <v>89</v>
      </c>
      <c r="D1811" s="832">
        <v>1767.83</v>
      </c>
    </row>
    <row r="1812" spans="1:4" x14ac:dyDescent="0.3">
      <c r="A1812" s="830">
        <v>97978</v>
      </c>
      <c r="B1812" s="831" t="s">
        <v>6316</v>
      </c>
      <c r="C1812" s="830" t="s">
        <v>89</v>
      </c>
      <c r="D1812" s="832">
        <v>1041.42</v>
      </c>
    </row>
    <row r="1813" spans="1:4" x14ac:dyDescent="0.3">
      <c r="A1813" s="830">
        <v>97980</v>
      </c>
      <c r="B1813" s="831" t="s">
        <v>6317</v>
      </c>
      <c r="C1813" s="830" t="s">
        <v>89</v>
      </c>
      <c r="D1813" s="832">
        <v>2259.52</v>
      </c>
    </row>
    <row r="1814" spans="1:4" x14ac:dyDescent="0.3">
      <c r="A1814" s="830">
        <v>97981</v>
      </c>
      <c r="B1814" s="831" t="s">
        <v>6318</v>
      </c>
      <c r="C1814" s="830" t="s">
        <v>194</v>
      </c>
      <c r="D1814" s="832">
        <v>1289.76</v>
      </c>
    </row>
    <row r="1815" spans="1:4" x14ac:dyDescent="0.3">
      <c r="A1815" s="830">
        <v>97983</v>
      </c>
      <c r="B1815" s="831" t="s">
        <v>6319</v>
      </c>
      <c r="C1815" s="830" t="s">
        <v>194</v>
      </c>
      <c r="D1815" s="832">
        <v>546.64</v>
      </c>
    </row>
    <row r="1816" spans="1:4" x14ac:dyDescent="0.3">
      <c r="A1816" s="830">
        <v>97985</v>
      </c>
      <c r="B1816" s="831" t="s">
        <v>6320</v>
      </c>
      <c r="C1816" s="830" t="s">
        <v>194</v>
      </c>
      <c r="D1816" s="832">
        <v>1552.46</v>
      </c>
    </row>
    <row r="1817" spans="1:4" x14ac:dyDescent="0.3">
      <c r="A1817" s="830">
        <v>97987</v>
      </c>
      <c r="B1817" s="831" t="s">
        <v>6321</v>
      </c>
      <c r="C1817" s="830" t="s">
        <v>194</v>
      </c>
      <c r="D1817" s="832">
        <v>727.6</v>
      </c>
    </row>
    <row r="1818" spans="1:4" x14ac:dyDescent="0.3">
      <c r="A1818" s="830">
        <v>97988</v>
      </c>
      <c r="B1818" s="831" t="s">
        <v>6322</v>
      </c>
      <c r="C1818" s="830" t="s">
        <v>89</v>
      </c>
      <c r="D1818" s="832">
        <v>3303.21</v>
      </c>
    </row>
    <row r="1819" spans="1:4" x14ac:dyDescent="0.3">
      <c r="A1819" s="830">
        <v>97989</v>
      </c>
      <c r="B1819" s="831" t="s">
        <v>6323</v>
      </c>
      <c r="C1819" s="830" t="s">
        <v>194</v>
      </c>
      <c r="D1819" s="832">
        <v>1815.1</v>
      </c>
    </row>
    <row r="1820" spans="1:4" x14ac:dyDescent="0.3">
      <c r="A1820" s="830">
        <v>97991</v>
      </c>
      <c r="B1820" s="831" t="s">
        <v>6324</v>
      </c>
      <c r="C1820" s="830" t="s">
        <v>194</v>
      </c>
      <c r="D1820" s="832">
        <v>997.39</v>
      </c>
    </row>
    <row r="1821" spans="1:4" x14ac:dyDescent="0.3">
      <c r="A1821" s="830">
        <v>97992</v>
      </c>
      <c r="B1821" s="831" t="s">
        <v>6325</v>
      </c>
      <c r="C1821" s="830" t="s">
        <v>89</v>
      </c>
      <c r="D1821" s="832">
        <v>4224.68</v>
      </c>
    </row>
    <row r="1822" spans="1:4" x14ac:dyDescent="0.3">
      <c r="A1822" s="830">
        <v>97993</v>
      </c>
      <c r="B1822" s="831" t="s">
        <v>6326</v>
      </c>
      <c r="C1822" s="830" t="s">
        <v>194</v>
      </c>
      <c r="D1822" s="832">
        <v>2209.1799999999998</v>
      </c>
    </row>
    <row r="1823" spans="1:4" x14ac:dyDescent="0.3">
      <c r="A1823" s="830">
        <v>97994</v>
      </c>
      <c r="B1823" s="831" t="s">
        <v>6327</v>
      </c>
      <c r="C1823" s="830" t="s">
        <v>89</v>
      </c>
      <c r="D1823" s="832">
        <v>2973.25</v>
      </c>
    </row>
    <row r="1824" spans="1:4" x14ac:dyDescent="0.3">
      <c r="A1824" s="830">
        <v>97995</v>
      </c>
      <c r="B1824" s="831" t="s">
        <v>6328</v>
      </c>
      <c r="C1824" s="830" t="s">
        <v>194</v>
      </c>
      <c r="D1824" s="832">
        <v>1504.8</v>
      </c>
    </row>
    <row r="1825" spans="1:4" x14ac:dyDescent="0.3">
      <c r="A1825" s="830">
        <v>97996</v>
      </c>
      <c r="B1825" s="831" t="s">
        <v>6329</v>
      </c>
      <c r="C1825" s="830" t="s">
        <v>89</v>
      </c>
      <c r="D1825" s="832">
        <v>3764.87</v>
      </c>
    </row>
    <row r="1826" spans="1:4" x14ac:dyDescent="0.3">
      <c r="A1826" s="830">
        <v>97997</v>
      </c>
      <c r="B1826" s="831" t="s">
        <v>6330</v>
      </c>
      <c r="C1826" s="830" t="s">
        <v>194</v>
      </c>
      <c r="D1826" s="832">
        <v>1798.8</v>
      </c>
    </row>
    <row r="1827" spans="1:4" x14ac:dyDescent="0.3">
      <c r="A1827" s="830">
        <v>97999</v>
      </c>
      <c r="B1827" s="831" t="s">
        <v>6331</v>
      </c>
      <c r="C1827" s="830" t="s">
        <v>194</v>
      </c>
      <c r="D1827" s="832">
        <v>2092.89</v>
      </c>
    </row>
    <row r="1828" spans="1:4" x14ac:dyDescent="0.3">
      <c r="A1828" s="830">
        <v>98001</v>
      </c>
      <c r="B1828" s="831" t="s">
        <v>6332</v>
      </c>
      <c r="C1828" s="830" t="s">
        <v>194</v>
      </c>
      <c r="D1828" s="832">
        <v>2386.88</v>
      </c>
    </row>
    <row r="1829" spans="1:4" x14ac:dyDescent="0.3">
      <c r="A1829" s="830">
        <v>98002</v>
      </c>
      <c r="B1829" s="831" t="s">
        <v>6333</v>
      </c>
      <c r="C1829" s="830" t="s">
        <v>89</v>
      </c>
      <c r="D1829" s="832">
        <v>6175.08</v>
      </c>
    </row>
    <row r="1830" spans="1:4" x14ac:dyDescent="0.3">
      <c r="A1830" s="830">
        <v>98003</v>
      </c>
      <c r="B1830" s="831" t="s">
        <v>6334</v>
      </c>
      <c r="C1830" s="830" t="s">
        <v>194</v>
      </c>
      <c r="D1830" s="832">
        <v>2680.94</v>
      </c>
    </row>
    <row r="1831" spans="1:4" x14ac:dyDescent="0.3">
      <c r="A1831" s="830">
        <v>98005</v>
      </c>
      <c r="B1831" s="831" t="s">
        <v>6335</v>
      </c>
      <c r="C1831" s="830" t="s">
        <v>194</v>
      </c>
      <c r="D1831" s="832">
        <v>2975.02</v>
      </c>
    </row>
    <row r="1832" spans="1:4" x14ac:dyDescent="0.3">
      <c r="A1832" s="830">
        <v>98006</v>
      </c>
      <c r="B1832" s="831" t="s">
        <v>6336</v>
      </c>
      <c r="C1832" s="830" t="s">
        <v>89</v>
      </c>
      <c r="D1832" s="832">
        <v>7767.23</v>
      </c>
    </row>
    <row r="1833" spans="1:4" x14ac:dyDescent="0.3">
      <c r="A1833" s="830">
        <v>98007</v>
      </c>
      <c r="B1833" s="831" t="s">
        <v>6337</v>
      </c>
      <c r="C1833" s="830" t="s">
        <v>194</v>
      </c>
      <c r="D1833" s="832">
        <v>3269.03</v>
      </c>
    </row>
    <row r="1834" spans="1:4" x14ac:dyDescent="0.3">
      <c r="A1834" s="830">
        <v>98008</v>
      </c>
      <c r="B1834" s="831" t="s">
        <v>6338</v>
      </c>
      <c r="C1834" s="830" t="s">
        <v>89</v>
      </c>
      <c r="D1834" s="832">
        <v>4667.95</v>
      </c>
    </row>
    <row r="1835" spans="1:4" x14ac:dyDescent="0.3">
      <c r="A1835" s="830">
        <v>98009</v>
      </c>
      <c r="B1835" s="831" t="s">
        <v>6339</v>
      </c>
      <c r="C1835" s="830" t="s">
        <v>194</v>
      </c>
      <c r="D1835" s="832">
        <v>2092.89</v>
      </c>
    </row>
    <row r="1836" spans="1:4" x14ac:dyDescent="0.3">
      <c r="A1836" s="830">
        <v>98010</v>
      </c>
      <c r="B1836" s="831" t="s">
        <v>6340</v>
      </c>
      <c r="C1836" s="830" t="s">
        <v>89</v>
      </c>
      <c r="D1836" s="832">
        <v>5697.02</v>
      </c>
    </row>
    <row r="1837" spans="1:4" x14ac:dyDescent="0.3">
      <c r="A1837" s="830">
        <v>98011</v>
      </c>
      <c r="B1837" s="831" t="s">
        <v>6341</v>
      </c>
      <c r="C1837" s="830" t="s">
        <v>194</v>
      </c>
      <c r="D1837" s="832">
        <v>2386.88</v>
      </c>
    </row>
    <row r="1838" spans="1:4" x14ac:dyDescent="0.3">
      <c r="A1838" s="830">
        <v>98012</v>
      </c>
      <c r="B1838" s="831" t="s">
        <v>6342</v>
      </c>
      <c r="C1838" s="830" t="s">
        <v>89</v>
      </c>
      <c r="D1838" s="832">
        <v>6697.9</v>
      </c>
    </row>
    <row r="1839" spans="1:4" x14ac:dyDescent="0.3">
      <c r="A1839" s="830">
        <v>98013</v>
      </c>
      <c r="B1839" s="831" t="s">
        <v>6343</v>
      </c>
      <c r="C1839" s="830" t="s">
        <v>194</v>
      </c>
      <c r="D1839" s="832">
        <v>2680.94</v>
      </c>
    </row>
    <row r="1840" spans="1:4" x14ac:dyDescent="0.3">
      <c r="A1840" s="830">
        <v>98014</v>
      </c>
      <c r="B1840" s="831" t="s">
        <v>6344</v>
      </c>
      <c r="C1840" s="830" t="s">
        <v>89</v>
      </c>
      <c r="D1840" s="832">
        <v>7698.76</v>
      </c>
    </row>
    <row r="1841" spans="1:4" x14ac:dyDescent="0.3">
      <c r="A1841" s="830">
        <v>98015</v>
      </c>
      <c r="B1841" s="831" t="s">
        <v>6345</v>
      </c>
      <c r="C1841" s="830" t="s">
        <v>194</v>
      </c>
      <c r="D1841" s="832">
        <v>2975.02</v>
      </c>
    </row>
    <row r="1842" spans="1:4" x14ac:dyDescent="0.3">
      <c r="A1842" s="830">
        <v>98016</v>
      </c>
      <c r="B1842" s="831" t="s">
        <v>6346</v>
      </c>
      <c r="C1842" s="830" t="s">
        <v>89</v>
      </c>
      <c r="D1842" s="832">
        <v>8699.7800000000007</v>
      </c>
    </row>
    <row r="1843" spans="1:4" x14ac:dyDescent="0.3">
      <c r="A1843" s="830">
        <v>98017</v>
      </c>
      <c r="B1843" s="831" t="s">
        <v>6347</v>
      </c>
      <c r="C1843" s="830" t="s">
        <v>194</v>
      </c>
      <c r="D1843" s="832">
        <v>3269.03</v>
      </c>
    </row>
    <row r="1844" spans="1:4" x14ac:dyDescent="0.3">
      <c r="A1844" s="830">
        <v>98018</v>
      </c>
      <c r="B1844" s="831" t="s">
        <v>6348</v>
      </c>
      <c r="C1844" s="830" t="s">
        <v>89</v>
      </c>
      <c r="D1844" s="832">
        <v>9700.64</v>
      </c>
    </row>
    <row r="1845" spans="1:4" x14ac:dyDescent="0.3">
      <c r="A1845" s="830">
        <v>98019</v>
      </c>
      <c r="B1845" s="831" t="s">
        <v>6349</v>
      </c>
      <c r="C1845" s="830" t="s">
        <v>194</v>
      </c>
      <c r="D1845" s="832">
        <v>3589.33</v>
      </c>
    </row>
    <row r="1846" spans="1:4" x14ac:dyDescent="0.3">
      <c r="A1846" s="830">
        <v>98020</v>
      </c>
      <c r="B1846" s="831" t="s">
        <v>6350</v>
      </c>
      <c r="C1846" s="830" t="s">
        <v>89</v>
      </c>
      <c r="D1846" s="832">
        <v>6893.16</v>
      </c>
    </row>
    <row r="1847" spans="1:4" x14ac:dyDescent="0.3">
      <c r="A1847" s="830">
        <v>98021</v>
      </c>
      <c r="B1847" s="831" t="s">
        <v>6351</v>
      </c>
      <c r="C1847" s="830" t="s">
        <v>194</v>
      </c>
      <c r="D1847" s="832">
        <v>2707.24</v>
      </c>
    </row>
    <row r="1848" spans="1:4" x14ac:dyDescent="0.3">
      <c r="A1848" s="830">
        <v>98022</v>
      </c>
      <c r="B1848" s="831" t="s">
        <v>6352</v>
      </c>
      <c r="C1848" s="830" t="s">
        <v>89</v>
      </c>
      <c r="D1848" s="832">
        <v>8084.71</v>
      </c>
    </row>
    <row r="1849" spans="1:4" x14ac:dyDescent="0.3">
      <c r="A1849" s="830">
        <v>98023</v>
      </c>
      <c r="B1849" s="831" t="s">
        <v>6353</v>
      </c>
      <c r="C1849" s="830" t="s">
        <v>194</v>
      </c>
      <c r="D1849" s="832">
        <v>3001.24</v>
      </c>
    </row>
    <row r="1850" spans="1:4" x14ac:dyDescent="0.3">
      <c r="A1850" s="830">
        <v>98024</v>
      </c>
      <c r="B1850" s="831" t="s">
        <v>6354</v>
      </c>
      <c r="C1850" s="830" t="s">
        <v>89</v>
      </c>
      <c r="D1850" s="832">
        <v>9338.57</v>
      </c>
    </row>
    <row r="1851" spans="1:4" x14ac:dyDescent="0.3">
      <c r="A1851" s="830">
        <v>98025</v>
      </c>
      <c r="B1851" s="831" t="s">
        <v>6355</v>
      </c>
      <c r="C1851" s="830" t="s">
        <v>194</v>
      </c>
      <c r="D1851" s="832">
        <v>3295.33</v>
      </c>
    </row>
    <row r="1852" spans="1:4" x14ac:dyDescent="0.3">
      <c r="A1852" s="830">
        <v>98026</v>
      </c>
      <c r="B1852" s="831" t="s">
        <v>6356</v>
      </c>
      <c r="C1852" s="830" t="s">
        <v>89</v>
      </c>
      <c r="D1852" s="832">
        <v>10538.01</v>
      </c>
    </row>
    <row r="1853" spans="1:4" x14ac:dyDescent="0.3">
      <c r="A1853" s="830">
        <v>98027</v>
      </c>
      <c r="B1853" s="831" t="s">
        <v>6357</v>
      </c>
      <c r="C1853" s="830" t="s">
        <v>194</v>
      </c>
      <c r="D1853" s="832">
        <v>3589.33</v>
      </c>
    </row>
    <row r="1854" spans="1:4" x14ac:dyDescent="0.3">
      <c r="A1854" s="830">
        <v>98028</v>
      </c>
      <c r="B1854" s="831" t="s">
        <v>6358</v>
      </c>
      <c r="C1854" s="830" t="s">
        <v>89</v>
      </c>
      <c r="D1854" s="832">
        <v>11737.48</v>
      </c>
    </row>
    <row r="1855" spans="1:4" x14ac:dyDescent="0.3">
      <c r="A1855" s="830">
        <v>98029</v>
      </c>
      <c r="B1855" s="831" t="s">
        <v>6359</v>
      </c>
      <c r="C1855" s="830" t="s">
        <v>194</v>
      </c>
      <c r="D1855" s="832">
        <v>3888.79</v>
      </c>
    </row>
    <row r="1856" spans="1:4" x14ac:dyDescent="0.3">
      <c r="A1856" s="830">
        <v>98030</v>
      </c>
      <c r="B1856" s="831" t="s">
        <v>6360</v>
      </c>
      <c r="C1856" s="830" t="s">
        <v>89</v>
      </c>
      <c r="D1856" s="832">
        <v>9573.43</v>
      </c>
    </row>
    <row r="1857" spans="1:4" x14ac:dyDescent="0.3">
      <c r="A1857" s="830">
        <v>98031</v>
      </c>
      <c r="B1857" s="831" t="s">
        <v>6361</v>
      </c>
      <c r="C1857" s="830" t="s">
        <v>194</v>
      </c>
      <c r="D1857" s="832">
        <v>3300.81</v>
      </c>
    </row>
    <row r="1858" spans="1:4" x14ac:dyDescent="0.3">
      <c r="A1858" s="830">
        <v>98032</v>
      </c>
      <c r="B1858" s="831" t="s">
        <v>6362</v>
      </c>
      <c r="C1858" s="830" t="s">
        <v>89</v>
      </c>
      <c r="D1858" s="832">
        <v>11023.19</v>
      </c>
    </row>
    <row r="1859" spans="1:4" x14ac:dyDescent="0.3">
      <c r="A1859" s="830">
        <v>98033</v>
      </c>
      <c r="B1859" s="831" t="s">
        <v>6363</v>
      </c>
      <c r="C1859" s="830" t="s">
        <v>194</v>
      </c>
      <c r="D1859" s="832">
        <v>3594.81</v>
      </c>
    </row>
    <row r="1860" spans="1:4" x14ac:dyDescent="0.3">
      <c r="A1860" s="830">
        <v>98034</v>
      </c>
      <c r="B1860" s="831" t="s">
        <v>6364</v>
      </c>
      <c r="C1860" s="830" t="s">
        <v>89</v>
      </c>
      <c r="D1860" s="832">
        <v>12472.93</v>
      </c>
    </row>
    <row r="1861" spans="1:4" x14ac:dyDescent="0.3">
      <c r="A1861" s="830">
        <v>98035</v>
      </c>
      <c r="B1861" s="831" t="s">
        <v>6365</v>
      </c>
      <c r="C1861" s="830" t="s">
        <v>194</v>
      </c>
      <c r="D1861" s="832">
        <v>3888.79</v>
      </c>
    </row>
    <row r="1862" spans="1:4" x14ac:dyDescent="0.3">
      <c r="A1862" s="830">
        <v>98036</v>
      </c>
      <c r="B1862" s="831" t="s">
        <v>6366</v>
      </c>
      <c r="C1862" s="830" t="s">
        <v>89</v>
      </c>
      <c r="D1862" s="832">
        <v>13922.7</v>
      </c>
    </row>
    <row r="1863" spans="1:4" x14ac:dyDescent="0.3">
      <c r="A1863" s="830">
        <v>98037</v>
      </c>
      <c r="B1863" s="831" t="s">
        <v>6367</v>
      </c>
      <c r="C1863" s="830" t="s">
        <v>194</v>
      </c>
      <c r="D1863" s="832">
        <v>4188.25</v>
      </c>
    </row>
    <row r="1864" spans="1:4" x14ac:dyDescent="0.3">
      <c r="A1864" s="830">
        <v>98038</v>
      </c>
      <c r="B1864" s="831" t="s">
        <v>6368</v>
      </c>
      <c r="C1864" s="830" t="s">
        <v>89</v>
      </c>
      <c r="D1864" s="832">
        <v>12743.53</v>
      </c>
    </row>
    <row r="1865" spans="1:4" x14ac:dyDescent="0.3">
      <c r="A1865" s="830">
        <v>98039</v>
      </c>
      <c r="B1865" s="831" t="s">
        <v>6369</v>
      </c>
      <c r="C1865" s="830" t="s">
        <v>194</v>
      </c>
      <c r="D1865" s="832">
        <v>3894.27</v>
      </c>
    </row>
    <row r="1866" spans="1:4" x14ac:dyDescent="0.3">
      <c r="A1866" s="830">
        <v>98040</v>
      </c>
      <c r="B1866" s="831" t="s">
        <v>6370</v>
      </c>
      <c r="C1866" s="830" t="s">
        <v>89</v>
      </c>
      <c r="D1866" s="832">
        <v>14411.42</v>
      </c>
    </row>
    <row r="1867" spans="1:4" x14ac:dyDescent="0.3">
      <c r="A1867" s="830">
        <v>98041</v>
      </c>
      <c r="B1867" s="831" t="s">
        <v>6371</v>
      </c>
      <c r="C1867" s="830" t="s">
        <v>194</v>
      </c>
      <c r="D1867" s="832">
        <v>4188.25</v>
      </c>
    </row>
    <row r="1868" spans="1:4" x14ac:dyDescent="0.3">
      <c r="A1868" s="830">
        <v>98042</v>
      </c>
      <c r="B1868" s="831" t="s">
        <v>6372</v>
      </c>
      <c r="C1868" s="830" t="s">
        <v>89</v>
      </c>
      <c r="D1868" s="832">
        <v>16079.4</v>
      </c>
    </row>
    <row r="1869" spans="1:4" x14ac:dyDescent="0.3">
      <c r="A1869" s="830">
        <v>98043</v>
      </c>
      <c r="B1869" s="831" t="s">
        <v>6373</v>
      </c>
      <c r="C1869" s="830" t="s">
        <v>194</v>
      </c>
      <c r="D1869" s="832">
        <v>4487.82</v>
      </c>
    </row>
    <row r="1870" spans="1:4" x14ac:dyDescent="0.3">
      <c r="A1870" s="830">
        <v>98044</v>
      </c>
      <c r="B1870" s="831" t="s">
        <v>6374</v>
      </c>
      <c r="C1870" s="830" t="s">
        <v>89</v>
      </c>
      <c r="D1870" s="832">
        <v>16350.06</v>
      </c>
    </row>
    <row r="1871" spans="1:4" x14ac:dyDescent="0.3">
      <c r="A1871" s="830">
        <v>98045</v>
      </c>
      <c r="B1871" s="831" t="s">
        <v>6375</v>
      </c>
      <c r="C1871" s="830" t="s">
        <v>194</v>
      </c>
      <c r="D1871" s="832">
        <v>4487.82</v>
      </c>
    </row>
    <row r="1872" spans="1:4" x14ac:dyDescent="0.3">
      <c r="A1872" s="830">
        <v>98046</v>
      </c>
      <c r="B1872" s="831" t="s">
        <v>6376</v>
      </c>
      <c r="C1872" s="830" t="s">
        <v>89</v>
      </c>
      <c r="D1872" s="832">
        <v>18235.939999999999</v>
      </c>
    </row>
    <row r="1873" spans="1:4" x14ac:dyDescent="0.3">
      <c r="A1873" s="830">
        <v>98047</v>
      </c>
      <c r="B1873" s="831" t="s">
        <v>6377</v>
      </c>
      <c r="C1873" s="830" t="s">
        <v>194</v>
      </c>
      <c r="D1873" s="832">
        <v>4787.3</v>
      </c>
    </row>
    <row r="1874" spans="1:4" x14ac:dyDescent="0.3">
      <c r="A1874" s="830">
        <v>98048</v>
      </c>
      <c r="B1874" s="831" t="s">
        <v>6378</v>
      </c>
      <c r="C1874" s="830" t="s">
        <v>89</v>
      </c>
      <c r="D1874" s="832">
        <v>20392.61</v>
      </c>
    </row>
    <row r="1875" spans="1:4" x14ac:dyDescent="0.3">
      <c r="A1875" s="830">
        <v>98049</v>
      </c>
      <c r="B1875" s="831" t="s">
        <v>6379</v>
      </c>
      <c r="C1875" s="830" t="s">
        <v>194</v>
      </c>
      <c r="D1875" s="832">
        <v>5033.22</v>
      </c>
    </row>
    <row r="1876" spans="1:4" x14ac:dyDescent="0.3">
      <c r="A1876" s="830">
        <v>98050</v>
      </c>
      <c r="B1876" s="831" t="s">
        <v>6380</v>
      </c>
      <c r="C1876" s="830" t="s">
        <v>194</v>
      </c>
      <c r="D1876" s="832">
        <v>302.51</v>
      </c>
    </row>
    <row r="1877" spans="1:4" x14ac:dyDescent="0.3">
      <c r="A1877" s="830">
        <v>98051</v>
      </c>
      <c r="B1877" s="831" t="s">
        <v>6381</v>
      </c>
      <c r="C1877" s="830" t="s">
        <v>194</v>
      </c>
      <c r="D1877" s="832">
        <v>1033.0999999999999</v>
      </c>
    </row>
    <row r="1878" spans="1:4" x14ac:dyDescent="0.3">
      <c r="A1878" s="830">
        <v>98405</v>
      </c>
      <c r="B1878" s="831" t="s">
        <v>6382</v>
      </c>
      <c r="C1878" s="830" t="s">
        <v>89</v>
      </c>
      <c r="D1878" s="832">
        <v>2781.35</v>
      </c>
    </row>
    <row r="1879" spans="1:4" x14ac:dyDescent="0.3">
      <c r="A1879" s="830">
        <v>98406</v>
      </c>
      <c r="B1879" s="831" t="s">
        <v>6383</v>
      </c>
      <c r="C1879" s="830" t="s">
        <v>89</v>
      </c>
      <c r="D1879" s="832">
        <v>6971.12</v>
      </c>
    </row>
    <row r="1880" spans="1:4" x14ac:dyDescent="0.3">
      <c r="A1880" s="830">
        <v>98407</v>
      </c>
      <c r="B1880" s="831" t="s">
        <v>6384</v>
      </c>
      <c r="C1880" s="830" t="s">
        <v>89</v>
      </c>
      <c r="D1880" s="832">
        <v>4556.38</v>
      </c>
    </row>
    <row r="1881" spans="1:4" x14ac:dyDescent="0.3">
      <c r="A1881" s="830">
        <v>98408</v>
      </c>
      <c r="B1881" s="831" t="s">
        <v>6385</v>
      </c>
      <c r="C1881" s="830" t="s">
        <v>89</v>
      </c>
      <c r="D1881" s="832">
        <v>5348.02</v>
      </c>
    </row>
    <row r="1882" spans="1:4" x14ac:dyDescent="0.3">
      <c r="A1882" s="830">
        <v>98409</v>
      </c>
      <c r="B1882" s="831" t="s">
        <v>6386</v>
      </c>
      <c r="C1882" s="830" t="s">
        <v>194</v>
      </c>
      <c r="D1882" s="832">
        <v>413.93</v>
      </c>
    </row>
    <row r="1883" spans="1:4" x14ac:dyDescent="0.3">
      <c r="A1883" s="830">
        <v>98410</v>
      </c>
      <c r="B1883" s="831" t="s">
        <v>6387</v>
      </c>
      <c r="C1883" s="830" t="s">
        <v>89</v>
      </c>
      <c r="D1883" s="832">
        <v>1327.42</v>
      </c>
    </row>
    <row r="1884" spans="1:4" x14ac:dyDescent="0.3">
      <c r="A1884" s="830">
        <v>99240</v>
      </c>
      <c r="B1884" s="831" t="s">
        <v>6388</v>
      </c>
      <c r="C1884" s="830" t="s">
        <v>194</v>
      </c>
      <c r="D1884" s="832">
        <v>723.66</v>
      </c>
    </row>
    <row r="1885" spans="1:4" x14ac:dyDescent="0.3">
      <c r="A1885" s="830">
        <v>99241</v>
      </c>
      <c r="B1885" s="831" t="s">
        <v>6389</v>
      </c>
      <c r="C1885" s="830" t="s">
        <v>194</v>
      </c>
      <c r="D1885" s="832">
        <v>2010.31</v>
      </c>
    </row>
    <row r="1886" spans="1:4" x14ac:dyDescent="0.3">
      <c r="A1886" s="830">
        <v>99242</v>
      </c>
      <c r="B1886" s="831" t="s">
        <v>6390</v>
      </c>
      <c r="C1886" s="830" t="s">
        <v>89</v>
      </c>
      <c r="D1886" s="832">
        <v>3190.92</v>
      </c>
    </row>
    <row r="1887" spans="1:4" x14ac:dyDescent="0.3">
      <c r="A1887" s="830">
        <v>99243</v>
      </c>
      <c r="B1887" s="831" t="s">
        <v>6391</v>
      </c>
      <c r="C1887" s="830" t="s">
        <v>194</v>
      </c>
      <c r="D1887" s="832">
        <v>1708.75</v>
      </c>
    </row>
    <row r="1888" spans="1:4" x14ac:dyDescent="0.3">
      <c r="A1888" s="830">
        <v>99244</v>
      </c>
      <c r="B1888" s="831" t="s">
        <v>6392</v>
      </c>
      <c r="C1888" s="830" t="s">
        <v>89</v>
      </c>
      <c r="D1888" s="832">
        <v>5562.1</v>
      </c>
    </row>
    <row r="1889" spans="1:4" x14ac:dyDescent="0.3">
      <c r="A1889" s="830">
        <v>99246</v>
      </c>
      <c r="B1889" s="831" t="s">
        <v>6393</v>
      </c>
      <c r="C1889" s="830" t="s">
        <v>194</v>
      </c>
      <c r="D1889" s="832">
        <v>992.02</v>
      </c>
    </row>
    <row r="1890" spans="1:4" x14ac:dyDescent="0.3">
      <c r="A1890" s="830">
        <v>99247</v>
      </c>
      <c r="B1890" s="831" t="s">
        <v>6394</v>
      </c>
      <c r="C1890" s="830" t="s">
        <v>194</v>
      </c>
      <c r="D1890" s="832">
        <v>2292.16</v>
      </c>
    </row>
    <row r="1891" spans="1:4" x14ac:dyDescent="0.3">
      <c r="A1891" s="830">
        <v>99248</v>
      </c>
      <c r="B1891" s="831" t="s">
        <v>6395</v>
      </c>
      <c r="C1891" s="830" t="s">
        <v>89</v>
      </c>
      <c r="D1891" s="832">
        <v>4089.16</v>
      </c>
    </row>
    <row r="1892" spans="1:4" x14ac:dyDescent="0.3">
      <c r="A1892" s="830">
        <v>99249</v>
      </c>
      <c r="B1892" s="831" t="s">
        <v>6396</v>
      </c>
      <c r="C1892" s="830" t="s">
        <v>194</v>
      </c>
      <c r="D1892" s="832">
        <v>2086.2800000000002</v>
      </c>
    </row>
    <row r="1893" spans="1:4" x14ac:dyDescent="0.3">
      <c r="A1893" s="830">
        <v>99252</v>
      </c>
      <c r="B1893" s="831" t="s">
        <v>6397</v>
      </c>
      <c r="C1893" s="830" t="s">
        <v>89</v>
      </c>
      <c r="D1893" s="832">
        <v>2902.93</v>
      </c>
    </row>
    <row r="1894" spans="1:4" x14ac:dyDescent="0.3">
      <c r="A1894" s="830">
        <v>99254</v>
      </c>
      <c r="B1894" s="831" t="s">
        <v>6398</v>
      </c>
      <c r="C1894" s="830" t="s">
        <v>194</v>
      </c>
      <c r="D1894" s="832">
        <v>1446.5</v>
      </c>
    </row>
    <row r="1895" spans="1:4" x14ac:dyDescent="0.3">
      <c r="A1895" s="830">
        <v>99256</v>
      </c>
      <c r="B1895" s="831" t="s">
        <v>6399</v>
      </c>
      <c r="C1895" s="830" t="s">
        <v>89</v>
      </c>
      <c r="D1895" s="832">
        <v>6538.67</v>
      </c>
    </row>
    <row r="1896" spans="1:4" x14ac:dyDescent="0.3">
      <c r="A1896" s="830">
        <v>99259</v>
      </c>
      <c r="B1896" s="831" t="s">
        <v>6400</v>
      </c>
      <c r="C1896" s="830" t="s">
        <v>89</v>
      </c>
      <c r="D1896" s="832">
        <v>3675.13</v>
      </c>
    </row>
    <row r="1897" spans="1:4" x14ac:dyDescent="0.3">
      <c r="A1897" s="830">
        <v>99261</v>
      </c>
      <c r="B1897" s="831" t="s">
        <v>6401</v>
      </c>
      <c r="C1897" s="830" t="s">
        <v>194</v>
      </c>
      <c r="D1897" s="832">
        <v>1728.36</v>
      </c>
    </row>
    <row r="1898" spans="1:4" x14ac:dyDescent="0.3">
      <c r="A1898" s="830">
        <v>99263</v>
      </c>
      <c r="B1898" s="831" t="s">
        <v>6402</v>
      </c>
      <c r="C1898" s="830" t="s">
        <v>194</v>
      </c>
      <c r="D1898" s="832">
        <v>2574.0700000000002</v>
      </c>
    </row>
    <row r="1899" spans="1:4" x14ac:dyDescent="0.3">
      <c r="A1899" s="830">
        <v>99265</v>
      </c>
      <c r="B1899" s="831" t="s">
        <v>6403</v>
      </c>
      <c r="C1899" s="830" t="s">
        <v>89</v>
      </c>
      <c r="D1899" s="832">
        <v>4447.2299999999996</v>
      </c>
    </row>
    <row r="1900" spans="1:4" x14ac:dyDescent="0.3">
      <c r="A1900" s="830">
        <v>99266</v>
      </c>
      <c r="B1900" s="831" t="s">
        <v>6404</v>
      </c>
      <c r="C1900" s="830" t="s">
        <v>194</v>
      </c>
      <c r="D1900" s="832">
        <v>2010.31</v>
      </c>
    </row>
    <row r="1901" spans="1:4" x14ac:dyDescent="0.3">
      <c r="A1901" s="830">
        <v>99267</v>
      </c>
      <c r="B1901" s="831" t="s">
        <v>6405</v>
      </c>
      <c r="C1901" s="830" t="s">
        <v>89</v>
      </c>
      <c r="D1901" s="832">
        <v>5219.47</v>
      </c>
    </row>
    <row r="1902" spans="1:4" x14ac:dyDescent="0.3">
      <c r="A1902" s="830">
        <v>99268</v>
      </c>
      <c r="B1902" s="831" t="s">
        <v>6406</v>
      </c>
      <c r="C1902" s="830" t="s">
        <v>89</v>
      </c>
      <c r="D1902" s="832">
        <v>521.49</v>
      </c>
    </row>
    <row r="1903" spans="1:4" x14ac:dyDescent="0.3">
      <c r="A1903" s="830">
        <v>99269</v>
      </c>
      <c r="B1903" s="831" t="s">
        <v>6407</v>
      </c>
      <c r="C1903" s="830" t="s">
        <v>194</v>
      </c>
      <c r="D1903" s="832">
        <v>2292.16</v>
      </c>
    </row>
    <row r="1904" spans="1:4" x14ac:dyDescent="0.3">
      <c r="A1904" s="830">
        <v>99270</v>
      </c>
      <c r="B1904" s="831" t="s">
        <v>6408</v>
      </c>
      <c r="C1904" s="830" t="s">
        <v>89</v>
      </c>
      <c r="D1904" s="832">
        <v>675.79</v>
      </c>
    </row>
    <row r="1905" spans="1:4" x14ac:dyDescent="0.3">
      <c r="A1905" s="830">
        <v>99271</v>
      </c>
      <c r="B1905" s="831" t="s">
        <v>6409</v>
      </c>
      <c r="C1905" s="830" t="s">
        <v>89</v>
      </c>
      <c r="D1905" s="832">
        <v>7515.18</v>
      </c>
    </row>
    <row r="1906" spans="1:4" x14ac:dyDescent="0.3">
      <c r="A1906" s="830">
        <v>99272</v>
      </c>
      <c r="B1906" s="831" t="s">
        <v>6410</v>
      </c>
      <c r="C1906" s="830" t="s">
        <v>89</v>
      </c>
      <c r="D1906" s="832">
        <v>1193.56</v>
      </c>
    </row>
    <row r="1907" spans="1:4" x14ac:dyDescent="0.3">
      <c r="A1907" s="830">
        <v>99273</v>
      </c>
      <c r="B1907" s="831" t="s">
        <v>6411</v>
      </c>
      <c r="C1907" s="830" t="s">
        <v>89</v>
      </c>
      <c r="D1907" s="832">
        <v>1678.23</v>
      </c>
    </row>
    <row r="1908" spans="1:4" x14ac:dyDescent="0.3">
      <c r="A1908" s="830">
        <v>99274</v>
      </c>
      <c r="B1908" s="831" t="s">
        <v>6412</v>
      </c>
      <c r="C1908" s="830" t="s">
        <v>89</v>
      </c>
      <c r="D1908" s="832">
        <v>6027.12</v>
      </c>
    </row>
    <row r="1909" spans="1:4" x14ac:dyDescent="0.3">
      <c r="A1909" s="830">
        <v>99275</v>
      </c>
      <c r="B1909" s="831" t="s">
        <v>6413</v>
      </c>
      <c r="C1909" s="830" t="s">
        <v>89</v>
      </c>
      <c r="D1909" s="832">
        <v>1031.55</v>
      </c>
    </row>
    <row r="1910" spans="1:4" x14ac:dyDescent="0.3">
      <c r="A1910" s="830">
        <v>99276</v>
      </c>
      <c r="B1910" s="831" t="s">
        <v>6414</v>
      </c>
      <c r="C1910" s="830" t="s">
        <v>194</v>
      </c>
      <c r="D1910" s="832">
        <v>2856</v>
      </c>
    </row>
    <row r="1911" spans="1:4" x14ac:dyDescent="0.3">
      <c r="A1911" s="830">
        <v>99277</v>
      </c>
      <c r="B1911" s="831" t="s">
        <v>6415</v>
      </c>
      <c r="C1911" s="830" t="s">
        <v>194</v>
      </c>
      <c r="D1911" s="832">
        <v>2574.0700000000002</v>
      </c>
    </row>
    <row r="1912" spans="1:4" x14ac:dyDescent="0.3">
      <c r="A1912" s="830">
        <v>99278</v>
      </c>
      <c r="B1912" s="831" t="s">
        <v>6416</v>
      </c>
      <c r="C1912" s="830" t="s">
        <v>194</v>
      </c>
      <c r="D1912" s="832">
        <v>411.54</v>
      </c>
    </row>
    <row r="1913" spans="1:4" x14ac:dyDescent="0.3">
      <c r="A1913" s="830">
        <v>99279</v>
      </c>
      <c r="B1913" s="831" t="s">
        <v>6417</v>
      </c>
      <c r="C1913" s="830" t="s">
        <v>89</v>
      </c>
      <c r="D1913" s="832">
        <v>6803.75</v>
      </c>
    </row>
    <row r="1914" spans="1:4" x14ac:dyDescent="0.3">
      <c r="A1914" s="830">
        <v>99280</v>
      </c>
      <c r="B1914" s="831" t="s">
        <v>6418</v>
      </c>
      <c r="C1914" s="830" t="s">
        <v>89</v>
      </c>
      <c r="D1914" s="832">
        <v>2170.96</v>
      </c>
    </row>
    <row r="1915" spans="1:4" x14ac:dyDescent="0.3">
      <c r="A1915" s="830">
        <v>99281</v>
      </c>
      <c r="B1915" s="831" t="s">
        <v>6419</v>
      </c>
      <c r="C1915" s="830" t="s">
        <v>194</v>
      </c>
      <c r="D1915" s="832">
        <v>2856</v>
      </c>
    </row>
    <row r="1916" spans="1:4" x14ac:dyDescent="0.3">
      <c r="A1916" s="830">
        <v>99282</v>
      </c>
      <c r="B1916" s="831" t="s">
        <v>6420</v>
      </c>
      <c r="C1916" s="830" t="s">
        <v>194</v>
      </c>
      <c r="D1916" s="832">
        <v>3165.23</v>
      </c>
    </row>
    <row r="1917" spans="1:4" x14ac:dyDescent="0.3">
      <c r="A1917" s="830">
        <v>99283</v>
      </c>
      <c r="B1917" s="831" t="s">
        <v>6421</v>
      </c>
      <c r="C1917" s="830" t="s">
        <v>194</v>
      </c>
      <c r="D1917" s="832">
        <v>1205.46</v>
      </c>
    </row>
    <row r="1918" spans="1:4" x14ac:dyDescent="0.3">
      <c r="A1918" s="830">
        <v>99284</v>
      </c>
      <c r="B1918" s="831" t="s">
        <v>6422</v>
      </c>
      <c r="C1918" s="830" t="s">
        <v>89</v>
      </c>
      <c r="D1918" s="832">
        <v>8491.86</v>
      </c>
    </row>
    <row r="1919" spans="1:4" x14ac:dyDescent="0.3">
      <c r="A1919" s="830">
        <v>99285</v>
      </c>
      <c r="B1919" s="831" t="s">
        <v>6423</v>
      </c>
      <c r="C1919" s="830" t="s">
        <v>89</v>
      </c>
      <c r="D1919" s="832">
        <v>1389.57</v>
      </c>
    </row>
    <row r="1920" spans="1:4" x14ac:dyDescent="0.3">
      <c r="A1920" s="830">
        <v>99286</v>
      </c>
      <c r="B1920" s="831" t="s">
        <v>6424</v>
      </c>
      <c r="C1920" s="830" t="s">
        <v>89</v>
      </c>
      <c r="D1920" s="832">
        <v>7580.46</v>
      </c>
    </row>
    <row r="1921" spans="1:4" x14ac:dyDescent="0.3">
      <c r="A1921" s="830">
        <v>99287</v>
      </c>
      <c r="B1921" s="831" t="s">
        <v>6425</v>
      </c>
      <c r="C1921" s="830" t="s">
        <v>89</v>
      </c>
      <c r="D1921" s="832">
        <v>10758.57</v>
      </c>
    </row>
    <row r="1922" spans="1:4" x14ac:dyDescent="0.3">
      <c r="A1922" s="830">
        <v>99288</v>
      </c>
      <c r="B1922" s="831" t="s">
        <v>6426</v>
      </c>
      <c r="C1922" s="830" t="s">
        <v>194</v>
      </c>
      <c r="D1922" s="832">
        <v>543.51</v>
      </c>
    </row>
    <row r="1923" spans="1:4" x14ac:dyDescent="0.3">
      <c r="A1923" s="830">
        <v>99289</v>
      </c>
      <c r="B1923" s="831" t="s">
        <v>6427</v>
      </c>
      <c r="C1923" s="830" t="s">
        <v>194</v>
      </c>
      <c r="D1923" s="832">
        <v>3137.88</v>
      </c>
    </row>
    <row r="1924" spans="1:4" x14ac:dyDescent="0.3">
      <c r="A1924" s="830">
        <v>99290</v>
      </c>
      <c r="B1924" s="831" t="s">
        <v>6428</v>
      </c>
      <c r="C1924" s="830" t="s">
        <v>89</v>
      </c>
      <c r="D1924" s="832">
        <v>4557.37</v>
      </c>
    </row>
    <row r="1925" spans="1:4" x14ac:dyDescent="0.3">
      <c r="A1925" s="830">
        <v>99291</v>
      </c>
      <c r="B1925" s="831" t="s">
        <v>6429</v>
      </c>
      <c r="C1925" s="830" t="s">
        <v>194</v>
      </c>
      <c r="D1925" s="832">
        <v>3137.88</v>
      </c>
    </row>
    <row r="1926" spans="1:4" x14ac:dyDescent="0.3">
      <c r="A1926" s="830">
        <v>99292</v>
      </c>
      <c r="B1926" s="831" t="s">
        <v>6430</v>
      </c>
      <c r="C1926" s="830" t="s">
        <v>89</v>
      </c>
      <c r="D1926" s="832">
        <v>2680.37</v>
      </c>
    </row>
    <row r="1927" spans="1:4" x14ac:dyDescent="0.3">
      <c r="A1927" s="830">
        <v>99293</v>
      </c>
      <c r="B1927" s="831" t="s">
        <v>6431</v>
      </c>
      <c r="C1927" s="830" t="s">
        <v>194</v>
      </c>
      <c r="D1927" s="832">
        <v>1457.14</v>
      </c>
    </row>
    <row r="1928" spans="1:4" x14ac:dyDescent="0.3">
      <c r="A1928" s="830">
        <v>99294</v>
      </c>
      <c r="B1928" s="831" t="s">
        <v>6432</v>
      </c>
      <c r="C1928" s="830" t="s">
        <v>89</v>
      </c>
      <c r="D1928" s="832">
        <v>9468.4</v>
      </c>
    </row>
    <row r="1929" spans="1:4" x14ac:dyDescent="0.3">
      <c r="A1929" s="830">
        <v>99296</v>
      </c>
      <c r="B1929" s="831" t="s">
        <v>6433</v>
      </c>
      <c r="C1929" s="830" t="s">
        <v>194</v>
      </c>
      <c r="D1929" s="832">
        <v>3447.1</v>
      </c>
    </row>
    <row r="1930" spans="1:4" x14ac:dyDescent="0.3">
      <c r="A1930" s="830">
        <v>99297</v>
      </c>
      <c r="B1930" s="831" t="s">
        <v>6434</v>
      </c>
      <c r="C1930" s="830" t="s">
        <v>194</v>
      </c>
      <c r="D1930" s="832">
        <v>3442.38</v>
      </c>
    </row>
    <row r="1931" spans="1:4" x14ac:dyDescent="0.3">
      <c r="A1931" s="830">
        <v>99298</v>
      </c>
      <c r="B1931" s="831" t="s">
        <v>6435</v>
      </c>
      <c r="C1931" s="830" t="s">
        <v>89</v>
      </c>
      <c r="D1931" s="832">
        <v>12172.76</v>
      </c>
    </row>
    <row r="1932" spans="1:4" x14ac:dyDescent="0.3">
      <c r="A1932" s="830">
        <v>99299</v>
      </c>
      <c r="B1932" s="831" t="s">
        <v>6436</v>
      </c>
      <c r="C1932" s="830" t="s">
        <v>194</v>
      </c>
      <c r="D1932" s="832">
        <v>3728.93</v>
      </c>
    </row>
    <row r="1933" spans="1:4" x14ac:dyDescent="0.3">
      <c r="A1933" s="830">
        <v>99300</v>
      </c>
      <c r="B1933" s="831" t="s">
        <v>6437</v>
      </c>
      <c r="C1933" s="830" t="s">
        <v>89</v>
      </c>
      <c r="D1933" s="832">
        <v>13586.98</v>
      </c>
    </row>
    <row r="1934" spans="1:4" x14ac:dyDescent="0.3">
      <c r="A1934" s="830">
        <v>99301</v>
      </c>
      <c r="B1934" s="831" t="s">
        <v>6438</v>
      </c>
      <c r="C1934" s="830" t="s">
        <v>89</v>
      </c>
      <c r="D1934" s="832">
        <v>6728.8</v>
      </c>
    </row>
    <row r="1935" spans="1:4" x14ac:dyDescent="0.3">
      <c r="A1935" s="830">
        <v>99302</v>
      </c>
      <c r="B1935" s="831" t="s">
        <v>6439</v>
      </c>
      <c r="C1935" s="830" t="s">
        <v>194</v>
      </c>
      <c r="D1935" s="832">
        <v>4015.49</v>
      </c>
    </row>
    <row r="1936" spans="1:4" x14ac:dyDescent="0.3">
      <c r="A1936" s="830">
        <v>99303</v>
      </c>
      <c r="B1936" s="831" t="s">
        <v>6440</v>
      </c>
      <c r="C1936" s="830" t="s">
        <v>89</v>
      </c>
      <c r="D1936" s="832">
        <v>12436.56</v>
      </c>
    </row>
    <row r="1937" spans="1:4" x14ac:dyDescent="0.3">
      <c r="A1937" s="830">
        <v>99304</v>
      </c>
      <c r="B1937" s="831" t="s">
        <v>6441</v>
      </c>
      <c r="C1937" s="830" t="s">
        <v>194</v>
      </c>
      <c r="D1937" s="832">
        <v>3733.65</v>
      </c>
    </row>
    <row r="1938" spans="1:4" x14ac:dyDescent="0.3">
      <c r="A1938" s="830">
        <v>99305</v>
      </c>
      <c r="B1938" s="831" t="s">
        <v>6442</v>
      </c>
      <c r="C1938" s="830" t="s">
        <v>89</v>
      </c>
      <c r="D1938" s="832">
        <v>14063.72</v>
      </c>
    </row>
    <row r="1939" spans="1:4" x14ac:dyDescent="0.3">
      <c r="A1939" s="830">
        <v>99306</v>
      </c>
      <c r="B1939" s="831" t="s">
        <v>6443</v>
      </c>
      <c r="C1939" s="830" t="s">
        <v>194</v>
      </c>
      <c r="D1939" s="832">
        <v>4015.49</v>
      </c>
    </row>
    <row r="1940" spans="1:4" x14ac:dyDescent="0.3">
      <c r="A1940" s="830">
        <v>99307</v>
      </c>
      <c r="B1940" s="831" t="s">
        <v>6444</v>
      </c>
      <c r="C1940" s="830" t="s">
        <v>194</v>
      </c>
      <c r="D1940" s="832">
        <v>2596.71</v>
      </c>
    </row>
    <row r="1941" spans="1:4" x14ac:dyDescent="0.3">
      <c r="A1941" s="830">
        <v>99308</v>
      </c>
      <c r="B1941" s="831" t="s">
        <v>6445</v>
      </c>
      <c r="C1941" s="830" t="s">
        <v>89</v>
      </c>
      <c r="D1941" s="832">
        <v>15690.96</v>
      </c>
    </row>
    <row r="1942" spans="1:4" x14ac:dyDescent="0.3">
      <c r="A1942" s="830">
        <v>99309</v>
      </c>
      <c r="B1942" s="831" t="s">
        <v>6446</v>
      </c>
      <c r="C1942" s="830" t="s">
        <v>194</v>
      </c>
      <c r="D1942" s="832">
        <v>4302.1400000000003</v>
      </c>
    </row>
    <row r="1943" spans="1:4" x14ac:dyDescent="0.3">
      <c r="A1943" s="830">
        <v>99310</v>
      </c>
      <c r="B1943" s="831" t="s">
        <v>6447</v>
      </c>
      <c r="C1943" s="830" t="s">
        <v>89</v>
      </c>
      <c r="D1943" s="832">
        <v>15954.8</v>
      </c>
    </row>
    <row r="1944" spans="1:4" x14ac:dyDescent="0.3">
      <c r="A1944" s="830">
        <v>99311</v>
      </c>
      <c r="B1944" s="831" t="s">
        <v>6448</v>
      </c>
      <c r="C1944" s="830" t="s">
        <v>194</v>
      </c>
      <c r="D1944" s="832">
        <v>4302.1400000000003</v>
      </c>
    </row>
    <row r="1945" spans="1:4" x14ac:dyDescent="0.3">
      <c r="A1945" s="830">
        <v>99312</v>
      </c>
      <c r="B1945" s="831" t="s">
        <v>6449</v>
      </c>
      <c r="C1945" s="830" t="s">
        <v>89</v>
      </c>
      <c r="D1945" s="832">
        <v>7891.7</v>
      </c>
    </row>
    <row r="1946" spans="1:4" x14ac:dyDescent="0.3">
      <c r="A1946" s="830">
        <v>99313</v>
      </c>
      <c r="B1946" s="831" t="s">
        <v>6450</v>
      </c>
      <c r="C1946" s="830" t="s">
        <v>89</v>
      </c>
      <c r="D1946" s="832">
        <v>17794.78</v>
      </c>
    </row>
    <row r="1947" spans="1:4" x14ac:dyDescent="0.3">
      <c r="A1947" s="830">
        <v>99314</v>
      </c>
      <c r="B1947" s="831" t="s">
        <v>6451</v>
      </c>
      <c r="C1947" s="830" t="s">
        <v>194</v>
      </c>
      <c r="D1947" s="832">
        <v>4588.72</v>
      </c>
    </row>
    <row r="1948" spans="1:4" x14ac:dyDescent="0.3">
      <c r="A1948" s="830">
        <v>99315</v>
      </c>
      <c r="B1948" s="831" t="s">
        <v>6452</v>
      </c>
      <c r="C1948" s="830" t="s">
        <v>89</v>
      </c>
      <c r="D1948" s="832">
        <v>19898.740000000002</v>
      </c>
    </row>
    <row r="1949" spans="1:4" x14ac:dyDescent="0.3">
      <c r="A1949" s="830">
        <v>99317</v>
      </c>
      <c r="B1949" s="831" t="s">
        <v>6453</v>
      </c>
      <c r="C1949" s="830" t="s">
        <v>194</v>
      </c>
      <c r="D1949" s="832">
        <v>2878.58</v>
      </c>
    </row>
    <row r="1950" spans="1:4" x14ac:dyDescent="0.3">
      <c r="A1950" s="830">
        <v>99318</v>
      </c>
      <c r="B1950" s="831" t="s">
        <v>540</v>
      </c>
      <c r="C1950" s="830" t="s">
        <v>194</v>
      </c>
      <c r="D1950" s="832">
        <v>301.43</v>
      </c>
    </row>
    <row r="1951" spans="1:4" x14ac:dyDescent="0.3">
      <c r="A1951" s="830">
        <v>99319</v>
      </c>
      <c r="B1951" s="831" t="s">
        <v>6454</v>
      </c>
      <c r="C1951" s="830" t="s">
        <v>194</v>
      </c>
      <c r="D1951" s="832">
        <v>962.58</v>
      </c>
    </row>
    <row r="1952" spans="1:4" x14ac:dyDescent="0.3">
      <c r="A1952" s="830">
        <v>99320</v>
      </c>
      <c r="B1952" s="831" t="s">
        <v>6455</v>
      </c>
      <c r="C1952" s="830" t="s">
        <v>89</v>
      </c>
      <c r="D1952" s="832">
        <v>9116.89</v>
      </c>
    </row>
    <row r="1953" spans="1:4" x14ac:dyDescent="0.3">
      <c r="A1953" s="830">
        <v>99321</v>
      </c>
      <c r="B1953" s="831" t="s">
        <v>6456</v>
      </c>
      <c r="C1953" s="830" t="s">
        <v>194</v>
      </c>
      <c r="D1953" s="832">
        <v>3160.52</v>
      </c>
    </row>
    <row r="1954" spans="1:4" x14ac:dyDescent="0.3">
      <c r="A1954" s="830">
        <v>99322</v>
      </c>
      <c r="B1954" s="831" t="s">
        <v>6457</v>
      </c>
      <c r="C1954" s="830" t="s">
        <v>89</v>
      </c>
      <c r="D1954" s="832">
        <v>10287.68</v>
      </c>
    </row>
    <row r="1955" spans="1:4" x14ac:dyDescent="0.3">
      <c r="A1955" s="830">
        <v>99323</v>
      </c>
      <c r="B1955" s="831" t="s">
        <v>6458</v>
      </c>
      <c r="C1955" s="830" t="s">
        <v>194</v>
      </c>
      <c r="D1955" s="832">
        <v>3442.38</v>
      </c>
    </row>
    <row r="1956" spans="1:4" x14ac:dyDescent="0.3">
      <c r="A1956" s="830">
        <v>99324</v>
      </c>
      <c r="B1956" s="831" t="s">
        <v>6459</v>
      </c>
      <c r="C1956" s="830" t="s">
        <v>89</v>
      </c>
      <c r="D1956" s="832">
        <v>11458.47</v>
      </c>
    </row>
    <row r="1957" spans="1:4" x14ac:dyDescent="0.3">
      <c r="A1957" s="830">
        <v>99325</v>
      </c>
      <c r="B1957" s="831" t="s">
        <v>6460</v>
      </c>
      <c r="C1957" s="830" t="s">
        <v>194</v>
      </c>
      <c r="D1957" s="832">
        <v>3728.93</v>
      </c>
    </row>
    <row r="1958" spans="1:4" x14ac:dyDescent="0.3">
      <c r="A1958" s="830">
        <v>99326</v>
      </c>
      <c r="B1958" s="831" t="s">
        <v>6461</v>
      </c>
      <c r="C1958" s="830" t="s">
        <v>89</v>
      </c>
      <c r="D1958" s="832">
        <v>9344.3700000000008</v>
      </c>
    </row>
    <row r="1959" spans="1:4" x14ac:dyDescent="0.3">
      <c r="A1959" s="830">
        <v>99327</v>
      </c>
      <c r="B1959" s="831" t="s">
        <v>6462</v>
      </c>
      <c r="C1959" s="830" t="s">
        <v>194</v>
      </c>
      <c r="D1959" s="832">
        <v>4829.1899999999996</v>
      </c>
    </row>
    <row r="1960" spans="1:4" x14ac:dyDescent="0.3">
      <c r="A1960" s="830">
        <v>101800</v>
      </c>
      <c r="B1960" s="831" t="s">
        <v>6463</v>
      </c>
      <c r="C1960" s="830" t="s">
        <v>89</v>
      </c>
      <c r="D1960" s="832">
        <v>1436.47</v>
      </c>
    </row>
    <row r="1961" spans="1:4" x14ac:dyDescent="0.3">
      <c r="A1961" s="830">
        <v>101801</v>
      </c>
      <c r="B1961" s="831" t="s">
        <v>6464</v>
      </c>
      <c r="C1961" s="830" t="s">
        <v>89</v>
      </c>
      <c r="D1961" s="832">
        <v>1040.94</v>
      </c>
    </row>
    <row r="1962" spans="1:4" x14ac:dyDescent="0.3">
      <c r="A1962" s="830">
        <v>101806</v>
      </c>
      <c r="B1962" s="831" t="s">
        <v>6465</v>
      </c>
      <c r="C1962" s="830" t="s">
        <v>89</v>
      </c>
      <c r="D1962" s="832">
        <v>588.95000000000005</v>
      </c>
    </row>
    <row r="1963" spans="1:4" x14ac:dyDescent="0.3">
      <c r="A1963" s="830">
        <v>101807</v>
      </c>
      <c r="B1963" s="831" t="s">
        <v>6466</v>
      </c>
      <c r="C1963" s="830" t="s">
        <v>89</v>
      </c>
      <c r="D1963" s="832">
        <v>554.04</v>
      </c>
    </row>
    <row r="1964" spans="1:4" x14ac:dyDescent="0.3">
      <c r="A1964" s="830">
        <v>101808</v>
      </c>
      <c r="B1964" s="831" t="s">
        <v>6467</v>
      </c>
      <c r="C1964" s="830" t="s">
        <v>89</v>
      </c>
      <c r="D1964" s="832">
        <v>573.73</v>
      </c>
    </row>
    <row r="1965" spans="1:4" x14ac:dyDescent="0.3">
      <c r="A1965" s="830">
        <v>101809</v>
      </c>
      <c r="B1965" s="831" t="s">
        <v>6468</v>
      </c>
      <c r="C1965" s="830" t="s">
        <v>89</v>
      </c>
      <c r="D1965" s="832">
        <v>3194.18</v>
      </c>
    </row>
    <row r="1966" spans="1:4" x14ac:dyDescent="0.3">
      <c r="A1966" s="830">
        <v>102139</v>
      </c>
      <c r="B1966" s="831" t="s">
        <v>6469</v>
      </c>
      <c r="C1966" s="830" t="s">
        <v>89</v>
      </c>
      <c r="D1966" s="832">
        <v>1822.86</v>
      </c>
    </row>
    <row r="1967" spans="1:4" x14ac:dyDescent="0.3">
      <c r="A1967" s="830">
        <v>102141</v>
      </c>
      <c r="B1967" s="831" t="s">
        <v>6470</v>
      </c>
      <c r="C1967" s="830" t="s">
        <v>89</v>
      </c>
      <c r="D1967" s="832">
        <v>2807.1</v>
      </c>
    </row>
    <row r="1968" spans="1:4" x14ac:dyDescent="0.3">
      <c r="A1968" s="830">
        <v>102142</v>
      </c>
      <c r="B1968" s="831" t="s">
        <v>6471</v>
      </c>
      <c r="C1968" s="830" t="s">
        <v>89</v>
      </c>
      <c r="D1968" s="832">
        <v>2762.55</v>
      </c>
    </row>
    <row r="1969" spans="1:4" x14ac:dyDescent="0.3">
      <c r="A1969" s="830">
        <v>102457</v>
      </c>
      <c r="B1969" s="831" t="s">
        <v>6472</v>
      </c>
      <c r="C1969" s="830" t="s">
        <v>89</v>
      </c>
      <c r="D1969" s="832">
        <v>1749.21</v>
      </c>
    </row>
    <row r="1970" spans="1:4" x14ac:dyDescent="0.3">
      <c r="A1970" s="830">
        <v>94263</v>
      </c>
      <c r="B1970" s="831" t="s">
        <v>6473</v>
      </c>
      <c r="C1970" s="830" t="s">
        <v>194</v>
      </c>
      <c r="D1970" s="832">
        <v>35.75</v>
      </c>
    </row>
    <row r="1971" spans="1:4" x14ac:dyDescent="0.3">
      <c r="A1971" s="830">
        <v>94264</v>
      </c>
      <c r="B1971" s="831" t="s">
        <v>6474</v>
      </c>
      <c r="C1971" s="830" t="s">
        <v>194</v>
      </c>
      <c r="D1971" s="832">
        <v>40.68</v>
      </c>
    </row>
    <row r="1972" spans="1:4" x14ac:dyDescent="0.3">
      <c r="A1972" s="830">
        <v>94265</v>
      </c>
      <c r="B1972" s="831" t="s">
        <v>6475</v>
      </c>
      <c r="C1972" s="830" t="s">
        <v>194</v>
      </c>
      <c r="D1972" s="832">
        <v>47.82</v>
      </c>
    </row>
    <row r="1973" spans="1:4" x14ac:dyDescent="0.3">
      <c r="A1973" s="830">
        <v>94266</v>
      </c>
      <c r="B1973" s="831" t="s">
        <v>6476</v>
      </c>
      <c r="C1973" s="830" t="s">
        <v>194</v>
      </c>
      <c r="D1973" s="832">
        <v>53.47</v>
      </c>
    </row>
    <row r="1974" spans="1:4" x14ac:dyDescent="0.3">
      <c r="A1974" s="830">
        <v>94267</v>
      </c>
      <c r="B1974" s="831" t="s">
        <v>6477</v>
      </c>
      <c r="C1974" s="830" t="s">
        <v>194</v>
      </c>
      <c r="D1974" s="832">
        <v>57.91</v>
      </c>
    </row>
    <row r="1975" spans="1:4" x14ac:dyDescent="0.3">
      <c r="A1975" s="830">
        <v>94268</v>
      </c>
      <c r="B1975" s="831" t="s">
        <v>6478</v>
      </c>
      <c r="C1975" s="830" t="s">
        <v>194</v>
      </c>
      <c r="D1975" s="832">
        <v>64.12</v>
      </c>
    </row>
    <row r="1976" spans="1:4" x14ac:dyDescent="0.3">
      <c r="A1976" s="830">
        <v>94269</v>
      </c>
      <c r="B1976" s="831" t="s">
        <v>6479</v>
      </c>
      <c r="C1976" s="830" t="s">
        <v>194</v>
      </c>
      <c r="D1976" s="832">
        <v>82.46</v>
      </c>
    </row>
    <row r="1977" spans="1:4" x14ac:dyDescent="0.3">
      <c r="A1977" s="830">
        <v>94270</v>
      </c>
      <c r="B1977" s="831" t="s">
        <v>6480</v>
      </c>
      <c r="C1977" s="830" t="s">
        <v>194</v>
      </c>
      <c r="D1977" s="832">
        <v>91.09</v>
      </c>
    </row>
    <row r="1978" spans="1:4" x14ac:dyDescent="0.3">
      <c r="A1978" s="830">
        <v>94271</v>
      </c>
      <c r="B1978" s="831" t="s">
        <v>6481</v>
      </c>
      <c r="C1978" s="830" t="s">
        <v>194</v>
      </c>
      <c r="D1978" s="832">
        <v>100.34</v>
      </c>
    </row>
    <row r="1979" spans="1:4" x14ac:dyDescent="0.3">
      <c r="A1979" s="830">
        <v>94272</v>
      </c>
      <c r="B1979" s="831" t="s">
        <v>6482</v>
      </c>
      <c r="C1979" s="830" t="s">
        <v>194</v>
      </c>
      <c r="D1979" s="832">
        <v>111.88</v>
      </c>
    </row>
    <row r="1980" spans="1:4" x14ac:dyDescent="0.3">
      <c r="A1980" s="830">
        <v>94273</v>
      </c>
      <c r="B1980" s="831" t="s">
        <v>4444</v>
      </c>
      <c r="C1980" s="830" t="s">
        <v>194</v>
      </c>
      <c r="D1980" s="832">
        <v>48.86</v>
      </c>
    </row>
    <row r="1981" spans="1:4" x14ac:dyDescent="0.3">
      <c r="A1981" s="830">
        <v>94274</v>
      </c>
      <c r="B1981" s="831" t="s">
        <v>6483</v>
      </c>
      <c r="C1981" s="830" t="s">
        <v>194</v>
      </c>
      <c r="D1981" s="832">
        <v>51.93</v>
      </c>
    </row>
    <row r="1982" spans="1:4" x14ac:dyDescent="0.3">
      <c r="A1982" s="830">
        <v>94275</v>
      </c>
      <c r="B1982" s="831" t="s">
        <v>6484</v>
      </c>
      <c r="C1982" s="830" t="s">
        <v>194</v>
      </c>
      <c r="D1982" s="832">
        <v>44.44</v>
      </c>
    </row>
    <row r="1983" spans="1:4" x14ac:dyDescent="0.3">
      <c r="A1983" s="830">
        <v>94276</v>
      </c>
      <c r="B1983" s="831" t="s">
        <v>6485</v>
      </c>
      <c r="C1983" s="830" t="s">
        <v>194</v>
      </c>
      <c r="D1983" s="832">
        <v>47.52</v>
      </c>
    </row>
    <row r="1984" spans="1:4" x14ac:dyDescent="0.3">
      <c r="A1984" s="830">
        <v>94277</v>
      </c>
      <c r="B1984" s="831" t="s">
        <v>6486</v>
      </c>
      <c r="C1984" s="830" t="s">
        <v>194</v>
      </c>
      <c r="D1984" s="832">
        <v>39.28</v>
      </c>
    </row>
    <row r="1985" spans="1:4" x14ac:dyDescent="0.3">
      <c r="A1985" s="830">
        <v>94278</v>
      </c>
      <c r="B1985" s="831" t="s">
        <v>6487</v>
      </c>
      <c r="C1985" s="830" t="s">
        <v>194</v>
      </c>
      <c r="D1985" s="832">
        <v>42.35</v>
      </c>
    </row>
    <row r="1986" spans="1:4" x14ac:dyDescent="0.3">
      <c r="A1986" s="830">
        <v>94279</v>
      </c>
      <c r="B1986" s="831" t="s">
        <v>6488</v>
      </c>
      <c r="C1986" s="830" t="s">
        <v>194</v>
      </c>
      <c r="D1986" s="832">
        <v>47.02</v>
      </c>
    </row>
    <row r="1987" spans="1:4" x14ac:dyDescent="0.3">
      <c r="A1987" s="830">
        <v>94280</v>
      </c>
      <c r="B1987" s="831" t="s">
        <v>6489</v>
      </c>
      <c r="C1987" s="830" t="s">
        <v>194</v>
      </c>
      <c r="D1987" s="832">
        <v>50.09</v>
      </c>
    </row>
    <row r="1988" spans="1:4" x14ac:dyDescent="0.3">
      <c r="A1988" s="830">
        <v>94281</v>
      </c>
      <c r="B1988" s="831" t="s">
        <v>6490</v>
      </c>
      <c r="C1988" s="830" t="s">
        <v>194</v>
      </c>
      <c r="D1988" s="832">
        <v>44.22</v>
      </c>
    </row>
    <row r="1989" spans="1:4" x14ac:dyDescent="0.3">
      <c r="A1989" s="830">
        <v>94282</v>
      </c>
      <c r="B1989" s="831" t="s">
        <v>6491</v>
      </c>
      <c r="C1989" s="830" t="s">
        <v>194</v>
      </c>
      <c r="D1989" s="832">
        <v>52.33</v>
      </c>
    </row>
    <row r="1990" spans="1:4" x14ac:dyDescent="0.3">
      <c r="A1990" s="830">
        <v>94283</v>
      </c>
      <c r="B1990" s="831" t="s">
        <v>6492</v>
      </c>
      <c r="C1990" s="830" t="s">
        <v>194</v>
      </c>
      <c r="D1990" s="832">
        <v>59.96</v>
      </c>
    </row>
    <row r="1991" spans="1:4" x14ac:dyDescent="0.3">
      <c r="A1991" s="830">
        <v>94284</v>
      </c>
      <c r="B1991" s="831" t="s">
        <v>6493</v>
      </c>
      <c r="C1991" s="830" t="s">
        <v>194</v>
      </c>
      <c r="D1991" s="832">
        <v>68.08</v>
      </c>
    </row>
    <row r="1992" spans="1:4" x14ac:dyDescent="0.3">
      <c r="A1992" s="830">
        <v>94285</v>
      </c>
      <c r="B1992" s="831" t="s">
        <v>4440</v>
      </c>
      <c r="C1992" s="830" t="s">
        <v>194</v>
      </c>
      <c r="D1992" s="832">
        <v>78.22</v>
      </c>
    </row>
    <row r="1993" spans="1:4" x14ac:dyDescent="0.3">
      <c r="A1993" s="830">
        <v>94286</v>
      </c>
      <c r="B1993" s="831" t="s">
        <v>6494</v>
      </c>
      <c r="C1993" s="830" t="s">
        <v>194</v>
      </c>
      <c r="D1993" s="832">
        <v>86.34</v>
      </c>
    </row>
    <row r="1994" spans="1:4" x14ac:dyDescent="0.3">
      <c r="A1994" s="830">
        <v>94287</v>
      </c>
      <c r="B1994" s="831" t="s">
        <v>6495</v>
      </c>
      <c r="C1994" s="830" t="s">
        <v>194</v>
      </c>
      <c r="D1994" s="832">
        <v>33.93</v>
      </c>
    </row>
    <row r="1995" spans="1:4" x14ac:dyDescent="0.3">
      <c r="A1995" s="830">
        <v>94288</v>
      </c>
      <c r="B1995" s="831" t="s">
        <v>6496</v>
      </c>
      <c r="C1995" s="830" t="s">
        <v>194</v>
      </c>
      <c r="D1995" s="832">
        <v>41.15</v>
      </c>
    </row>
    <row r="1996" spans="1:4" x14ac:dyDescent="0.3">
      <c r="A1996" s="830">
        <v>94289</v>
      </c>
      <c r="B1996" s="831" t="s">
        <v>6497</v>
      </c>
      <c r="C1996" s="830" t="s">
        <v>194</v>
      </c>
      <c r="D1996" s="832">
        <v>44.01</v>
      </c>
    </row>
    <row r="1997" spans="1:4" x14ac:dyDescent="0.3">
      <c r="A1997" s="830">
        <v>94290</v>
      </c>
      <c r="B1997" s="831" t="s">
        <v>6498</v>
      </c>
      <c r="C1997" s="830" t="s">
        <v>194</v>
      </c>
      <c r="D1997" s="832">
        <v>51.23</v>
      </c>
    </row>
    <row r="1998" spans="1:4" x14ac:dyDescent="0.3">
      <c r="A1998" s="830">
        <v>94291</v>
      </c>
      <c r="B1998" s="831" t="s">
        <v>6499</v>
      </c>
      <c r="C1998" s="830" t="s">
        <v>194</v>
      </c>
      <c r="D1998" s="832">
        <v>54.62</v>
      </c>
    </row>
    <row r="1999" spans="1:4" x14ac:dyDescent="0.3">
      <c r="A1999" s="830">
        <v>94292</v>
      </c>
      <c r="B1999" s="831" t="s">
        <v>6500</v>
      </c>
      <c r="C1999" s="830" t="s">
        <v>194</v>
      </c>
      <c r="D1999" s="832">
        <v>61.84</v>
      </c>
    </row>
    <row r="2000" spans="1:4" x14ac:dyDescent="0.3">
      <c r="A2000" s="830">
        <v>94293</v>
      </c>
      <c r="B2000" s="831" t="s">
        <v>6501</v>
      </c>
      <c r="C2000" s="830" t="s">
        <v>194</v>
      </c>
      <c r="D2000" s="832">
        <v>173.97</v>
      </c>
    </row>
    <row r="2001" spans="1:4" x14ac:dyDescent="0.3">
      <c r="A2001" s="830">
        <v>94294</v>
      </c>
      <c r="B2001" s="831" t="s">
        <v>6502</v>
      </c>
      <c r="C2001" s="830" t="s">
        <v>194</v>
      </c>
      <c r="D2001" s="832">
        <v>9.74</v>
      </c>
    </row>
    <row r="2002" spans="1:4" x14ac:dyDescent="0.3">
      <c r="A2002" s="830">
        <v>104491</v>
      </c>
      <c r="B2002" s="831" t="s">
        <v>6503</v>
      </c>
      <c r="C2002" s="830" t="s">
        <v>194</v>
      </c>
      <c r="D2002" s="832">
        <v>4143.2700000000004</v>
      </c>
    </row>
    <row r="2003" spans="1:4" x14ac:dyDescent="0.3">
      <c r="A2003" s="830">
        <v>104492</v>
      </c>
      <c r="B2003" s="831" t="s">
        <v>6504</v>
      </c>
      <c r="C2003" s="830" t="s">
        <v>194</v>
      </c>
      <c r="D2003" s="832">
        <v>5181.32</v>
      </c>
    </row>
    <row r="2004" spans="1:4" x14ac:dyDescent="0.3">
      <c r="A2004" s="830">
        <v>104494</v>
      </c>
      <c r="B2004" s="831" t="s">
        <v>6505</v>
      </c>
      <c r="C2004" s="830" t="s">
        <v>194</v>
      </c>
      <c r="D2004" s="832">
        <v>6999.16</v>
      </c>
    </row>
    <row r="2005" spans="1:4" x14ac:dyDescent="0.3">
      <c r="A2005" s="830">
        <v>104497</v>
      </c>
      <c r="B2005" s="831" t="s">
        <v>6506</v>
      </c>
      <c r="C2005" s="830" t="s">
        <v>194</v>
      </c>
      <c r="D2005" s="832">
        <v>8387.06</v>
      </c>
    </row>
    <row r="2006" spans="1:4" x14ac:dyDescent="0.3">
      <c r="A2006" s="830">
        <v>104515</v>
      </c>
      <c r="B2006" s="831" t="s">
        <v>6507</v>
      </c>
      <c r="C2006" s="830" t="s">
        <v>252</v>
      </c>
      <c r="D2006" s="832">
        <v>23.34</v>
      </c>
    </row>
    <row r="2007" spans="1:4" x14ac:dyDescent="0.3">
      <c r="A2007" s="830">
        <v>102727</v>
      </c>
      <c r="B2007" s="831" t="s">
        <v>1260</v>
      </c>
      <c r="C2007" s="830" t="s">
        <v>252</v>
      </c>
      <c r="D2007" s="832">
        <v>94.68</v>
      </c>
    </row>
    <row r="2008" spans="1:4" x14ac:dyDescent="0.3">
      <c r="A2008" s="830">
        <v>102728</v>
      </c>
      <c r="B2008" s="831" t="s">
        <v>6508</v>
      </c>
      <c r="C2008" s="830" t="s">
        <v>1369</v>
      </c>
      <c r="D2008" s="832">
        <v>15.9</v>
      </c>
    </row>
    <row r="2009" spans="1:4" x14ac:dyDescent="0.3">
      <c r="A2009" s="830">
        <v>102729</v>
      </c>
      <c r="B2009" s="831" t="s">
        <v>6509</v>
      </c>
      <c r="C2009" s="830" t="s">
        <v>1369</v>
      </c>
      <c r="D2009" s="832">
        <v>14.69</v>
      </c>
    </row>
    <row r="2010" spans="1:4" x14ac:dyDescent="0.3">
      <c r="A2010" s="830">
        <v>102730</v>
      </c>
      <c r="B2010" s="831" t="s">
        <v>6510</v>
      </c>
      <c r="C2010" s="830" t="s">
        <v>1369</v>
      </c>
      <c r="D2010" s="832">
        <v>13.01</v>
      </c>
    </row>
    <row r="2011" spans="1:4" x14ac:dyDescent="0.3">
      <c r="A2011" s="830">
        <v>102731</v>
      </c>
      <c r="B2011" s="831" t="s">
        <v>6511</v>
      </c>
      <c r="C2011" s="830" t="s">
        <v>1369</v>
      </c>
      <c r="D2011" s="832">
        <v>10.89</v>
      </c>
    </row>
    <row r="2012" spans="1:4" x14ac:dyDescent="0.3">
      <c r="A2012" s="830">
        <v>102732</v>
      </c>
      <c r="B2012" s="831" t="s">
        <v>6512</v>
      </c>
      <c r="C2012" s="830" t="s">
        <v>1369</v>
      </c>
      <c r="D2012" s="832">
        <v>10.220000000000001</v>
      </c>
    </row>
    <row r="2013" spans="1:4" x14ac:dyDescent="0.3">
      <c r="A2013" s="830">
        <v>102733</v>
      </c>
      <c r="B2013" s="831" t="s">
        <v>6513</v>
      </c>
      <c r="C2013" s="830" t="s">
        <v>1369</v>
      </c>
      <c r="D2013" s="832">
        <v>11.33</v>
      </c>
    </row>
    <row r="2014" spans="1:4" x14ac:dyDescent="0.3">
      <c r="A2014" s="830">
        <v>102734</v>
      </c>
      <c r="B2014" s="831" t="s">
        <v>6514</v>
      </c>
      <c r="C2014" s="830" t="s">
        <v>1369</v>
      </c>
      <c r="D2014" s="832">
        <v>14.82</v>
      </c>
    </row>
    <row r="2015" spans="1:4" x14ac:dyDescent="0.3">
      <c r="A2015" s="830">
        <v>102735</v>
      </c>
      <c r="B2015" s="831" t="s">
        <v>6515</v>
      </c>
      <c r="C2015" s="830" t="s">
        <v>1369</v>
      </c>
      <c r="D2015" s="832">
        <v>13.76</v>
      </c>
    </row>
    <row r="2016" spans="1:4" x14ac:dyDescent="0.3">
      <c r="A2016" s="830">
        <v>102736</v>
      </c>
      <c r="B2016" s="831" t="s">
        <v>6516</v>
      </c>
      <c r="C2016" s="830" t="s">
        <v>5247</v>
      </c>
      <c r="D2016" s="832">
        <v>610.70000000000005</v>
      </c>
    </row>
    <row r="2017" spans="1:4" x14ac:dyDescent="0.3">
      <c r="A2017" s="830">
        <v>102737</v>
      </c>
      <c r="B2017" s="831" t="s">
        <v>6517</v>
      </c>
      <c r="C2017" s="830" t="s">
        <v>89</v>
      </c>
      <c r="D2017" s="832">
        <v>1111.79</v>
      </c>
    </row>
    <row r="2018" spans="1:4" x14ac:dyDescent="0.3">
      <c r="A2018" s="830">
        <v>102738</v>
      </c>
      <c r="B2018" s="831" t="s">
        <v>6518</v>
      </c>
      <c r="C2018" s="830" t="s">
        <v>89</v>
      </c>
      <c r="D2018" s="832">
        <v>2280.19</v>
      </c>
    </row>
    <row r="2019" spans="1:4" x14ac:dyDescent="0.3">
      <c r="A2019" s="830">
        <v>102739</v>
      </c>
      <c r="B2019" s="831" t="s">
        <v>6519</v>
      </c>
      <c r="C2019" s="830" t="s">
        <v>89</v>
      </c>
      <c r="D2019" s="832">
        <v>3811.42</v>
      </c>
    </row>
    <row r="2020" spans="1:4" x14ac:dyDescent="0.3">
      <c r="A2020" s="830">
        <v>102740</v>
      </c>
      <c r="B2020" s="831" t="s">
        <v>6520</v>
      </c>
      <c r="C2020" s="830" t="s">
        <v>89</v>
      </c>
      <c r="D2020" s="832">
        <v>5709.78</v>
      </c>
    </row>
    <row r="2021" spans="1:4" x14ac:dyDescent="0.3">
      <c r="A2021" s="830">
        <v>102741</v>
      </c>
      <c r="B2021" s="831" t="s">
        <v>6521</v>
      </c>
      <c r="C2021" s="830" t="s">
        <v>89</v>
      </c>
      <c r="D2021" s="832">
        <v>8013.69</v>
      </c>
    </row>
    <row r="2022" spans="1:4" x14ac:dyDescent="0.3">
      <c r="A2022" s="830">
        <v>102742</v>
      </c>
      <c r="B2022" s="831" t="s">
        <v>6522</v>
      </c>
      <c r="C2022" s="830" t="s">
        <v>89</v>
      </c>
      <c r="D2022" s="832">
        <v>13882.46</v>
      </c>
    </row>
    <row r="2023" spans="1:4" x14ac:dyDescent="0.3">
      <c r="A2023" s="830">
        <v>102743</v>
      </c>
      <c r="B2023" s="831" t="s">
        <v>6523</v>
      </c>
      <c r="C2023" s="830" t="s">
        <v>89</v>
      </c>
      <c r="D2023" s="832">
        <v>4647.53</v>
      </c>
    </row>
    <row r="2024" spans="1:4" x14ac:dyDescent="0.3">
      <c r="A2024" s="830">
        <v>102744</v>
      </c>
      <c r="B2024" s="831" t="s">
        <v>6524</v>
      </c>
      <c r="C2024" s="830" t="s">
        <v>89</v>
      </c>
      <c r="D2024" s="832">
        <v>6954.95</v>
      </c>
    </row>
    <row r="2025" spans="1:4" x14ac:dyDescent="0.3">
      <c r="A2025" s="830">
        <v>102745</v>
      </c>
      <c r="B2025" s="831" t="s">
        <v>6525</v>
      </c>
      <c r="C2025" s="830" t="s">
        <v>89</v>
      </c>
      <c r="D2025" s="832">
        <v>9770.9699999999993</v>
      </c>
    </row>
    <row r="2026" spans="1:4" x14ac:dyDescent="0.3">
      <c r="A2026" s="830">
        <v>102746</v>
      </c>
      <c r="B2026" s="831" t="s">
        <v>6526</v>
      </c>
      <c r="C2026" s="830" t="s">
        <v>89</v>
      </c>
      <c r="D2026" s="832">
        <v>16946.18</v>
      </c>
    </row>
    <row r="2027" spans="1:4" x14ac:dyDescent="0.3">
      <c r="A2027" s="830">
        <v>102747</v>
      </c>
      <c r="B2027" s="831" t="s">
        <v>6527</v>
      </c>
      <c r="C2027" s="830" t="s">
        <v>89</v>
      </c>
      <c r="D2027" s="832">
        <v>8662.0300000000007</v>
      </c>
    </row>
    <row r="2028" spans="1:4" x14ac:dyDescent="0.3">
      <c r="A2028" s="830">
        <v>102748</v>
      </c>
      <c r="B2028" s="831" t="s">
        <v>6528</v>
      </c>
      <c r="C2028" s="830" t="s">
        <v>89</v>
      </c>
      <c r="D2028" s="832">
        <v>12114.86</v>
      </c>
    </row>
    <row r="2029" spans="1:4" x14ac:dyDescent="0.3">
      <c r="A2029" s="830">
        <v>102749</v>
      </c>
      <c r="B2029" s="831" t="s">
        <v>6529</v>
      </c>
      <c r="C2029" s="830" t="s">
        <v>89</v>
      </c>
      <c r="D2029" s="832">
        <v>20813.27</v>
      </c>
    </row>
    <row r="2030" spans="1:4" x14ac:dyDescent="0.3">
      <c r="A2030" s="830">
        <v>102750</v>
      </c>
      <c r="B2030" s="831" t="s">
        <v>6530</v>
      </c>
      <c r="C2030" s="830" t="s">
        <v>89</v>
      </c>
      <c r="D2030" s="832">
        <v>2780.87</v>
      </c>
    </row>
    <row r="2031" spans="1:4" x14ac:dyDescent="0.3">
      <c r="A2031" s="830">
        <v>102751</v>
      </c>
      <c r="B2031" s="831" t="s">
        <v>6531</v>
      </c>
      <c r="C2031" s="830" t="s">
        <v>89</v>
      </c>
      <c r="D2031" s="832">
        <v>4824.72</v>
      </c>
    </row>
    <row r="2032" spans="1:4" x14ac:dyDescent="0.3">
      <c r="A2032" s="830">
        <v>102752</v>
      </c>
      <c r="B2032" s="831" t="s">
        <v>6532</v>
      </c>
      <c r="C2032" s="830" t="s">
        <v>89</v>
      </c>
      <c r="D2032" s="832">
        <v>7680.43</v>
      </c>
    </row>
    <row r="2033" spans="1:4" x14ac:dyDescent="0.3">
      <c r="A2033" s="830">
        <v>102753</v>
      </c>
      <c r="B2033" s="831" t="s">
        <v>6533</v>
      </c>
      <c r="C2033" s="830" t="s">
        <v>89</v>
      </c>
      <c r="D2033" s="832">
        <v>11360.99</v>
      </c>
    </row>
    <row r="2034" spans="1:4" x14ac:dyDescent="0.3">
      <c r="A2034" s="830">
        <v>102754</v>
      </c>
      <c r="B2034" s="831" t="s">
        <v>6534</v>
      </c>
      <c r="C2034" s="830" t="s">
        <v>89</v>
      </c>
      <c r="D2034" s="832">
        <v>21629.14</v>
      </c>
    </row>
    <row r="2035" spans="1:4" x14ac:dyDescent="0.3">
      <c r="A2035" s="830">
        <v>102755</v>
      </c>
      <c r="B2035" s="831" t="s">
        <v>6535</v>
      </c>
      <c r="C2035" s="830" t="s">
        <v>89</v>
      </c>
      <c r="D2035" s="832">
        <v>10755.88</v>
      </c>
    </row>
    <row r="2036" spans="1:4" x14ac:dyDescent="0.3">
      <c r="A2036" s="830">
        <v>102756</v>
      </c>
      <c r="B2036" s="831" t="s">
        <v>6536</v>
      </c>
      <c r="C2036" s="830" t="s">
        <v>89</v>
      </c>
      <c r="D2036" s="832">
        <v>15956.74</v>
      </c>
    </row>
    <row r="2037" spans="1:4" x14ac:dyDescent="0.3">
      <c r="A2037" s="830">
        <v>102757</v>
      </c>
      <c r="B2037" s="831" t="s">
        <v>6537</v>
      </c>
      <c r="C2037" s="830" t="s">
        <v>89</v>
      </c>
      <c r="D2037" s="832">
        <v>29723.48</v>
      </c>
    </row>
    <row r="2038" spans="1:4" x14ac:dyDescent="0.3">
      <c r="A2038" s="830">
        <v>102758</v>
      </c>
      <c r="B2038" s="831" t="s">
        <v>6538</v>
      </c>
      <c r="C2038" s="830" t="s">
        <v>89</v>
      </c>
      <c r="D2038" s="832">
        <v>13846.28</v>
      </c>
    </row>
    <row r="2039" spans="1:4" x14ac:dyDescent="0.3">
      <c r="A2039" s="830">
        <v>102759</v>
      </c>
      <c r="B2039" s="831" t="s">
        <v>6539</v>
      </c>
      <c r="C2039" s="830" t="s">
        <v>89</v>
      </c>
      <c r="D2039" s="832">
        <v>20575.23</v>
      </c>
    </row>
    <row r="2040" spans="1:4" x14ac:dyDescent="0.3">
      <c r="A2040" s="830">
        <v>102760</v>
      </c>
      <c r="B2040" s="831" t="s">
        <v>6540</v>
      </c>
      <c r="C2040" s="830" t="s">
        <v>89</v>
      </c>
      <c r="D2040" s="832">
        <v>37970.089999999997</v>
      </c>
    </row>
    <row r="2041" spans="1:4" x14ac:dyDescent="0.3">
      <c r="A2041" s="830">
        <v>102761</v>
      </c>
      <c r="B2041" s="831" t="s">
        <v>6541</v>
      </c>
      <c r="C2041" s="830" t="s">
        <v>89</v>
      </c>
      <c r="D2041" s="832">
        <v>13167.09</v>
      </c>
    </row>
    <row r="2042" spans="1:4" x14ac:dyDescent="0.3">
      <c r="A2042" s="830">
        <v>102762</v>
      </c>
      <c r="B2042" s="831" t="s">
        <v>6542</v>
      </c>
      <c r="C2042" s="830" t="s">
        <v>89</v>
      </c>
      <c r="D2042" s="832">
        <v>20375.11</v>
      </c>
    </row>
    <row r="2043" spans="1:4" x14ac:dyDescent="0.3">
      <c r="A2043" s="830">
        <v>102763</v>
      </c>
      <c r="B2043" s="831" t="s">
        <v>6543</v>
      </c>
      <c r="C2043" s="830" t="s">
        <v>89</v>
      </c>
      <c r="D2043" s="832">
        <v>28389.53</v>
      </c>
    </row>
    <row r="2044" spans="1:4" x14ac:dyDescent="0.3">
      <c r="A2044" s="830">
        <v>102764</v>
      </c>
      <c r="B2044" s="831" t="s">
        <v>6544</v>
      </c>
      <c r="C2044" s="830" t="s">
        <v>89</v>
      </c>
      <c r="D2044" s="832">
        <v>40061.480000000003</v>
      </c>
    </row>
    <row r="2045" spans="1:4" x14ac:dyDescent="0.3">
      <c r="A2045" s="830">
        <v>102765</v>
      </c>
      <c r="B2045" s="831" t="s">
        <v>6545</v>
      </c>
      <c r="C2045" s="830" t="s">
        <v>89</v>
      </c>
      <c r="D2045" s="832">
        <v>16448.32</v>
      </c>
    </row>
    <row r="2046" spans="1:4" x14ac:dyDescent="0.3">
      <c r="A2046" s="830">
        <v>102766</v>
      </c>
      <c r="B2046" s="831" t="s">
        <v>6546</v>
      </c>
      <c r="C2046" s="830" t="s">
        <v>89</v>
      </c>
      <c r="D2046" s="832">
        <v>24863.47</v>
      </c>
    </row>
    <row r="2047" spans="1:4" x14ac:dyDescent="0.3">
      <c r="A2047" s="830">
        <v>102767</v>
      </c>
      <c r="B2047" s="831" t="s">
        <v>6547</v>
      </c>
      <c r="C2047" s="830" t="s">
        <v>89</v>
      </c>
      <c r="D2047" s="832">
        <v>34881.519999999997</v>
      </c>
    </row>
    <row r="2048" spans="1:4" x14ac:dyDescent="0.3">
      <c r="A2048" s="830">
        <v>102768</v>
      </c>
      <c r="B2048" s="831" t="s">
        <v>6548</v>
      </c>
      <c r="C2048" s="830" t="s">
        <v>89</v>
      </c>
      <c r="D2048" s="832">
        <v>48784.28</v>
      </c>
    </row>
    <row r="2049" spans="1:4" x14ac:dyDescent="0.3">
      <c r="A2049" s="830">
        <v>102769</v>
      </c>
      <c r="B2049" s="831" t="s">
        <v>6549</v>
      </c>
      <c r="C2049" s="830" t="s">
        <v>89</v>
      </c>
      <c r="D2049" s="832">
        <v>19107.95</v>
      </c>
    </row>
    <row r="2050" spans="1:4" x14ac:dyDescent="0.3">
      <c r="A2050" s="830">
        <v>102770</v>
      </c>
      <c r="B2050" s="831" t="s">
        <v>6550</v>
      </c>
      <c r="C2050" s="830" t="s">
        <v>89</v>
      </c>
      <c r="D2050" s="832">
        <v>29407.74</v>
      </c>
    </row>
    <row r="2051" spans="1:4" x14ac:dyDescent="0.3">
      <c r="A2051" s="830">
        <v>102771</v>
      </c>
      <c r="B2051" s="831" t="s">
        <v>6551</v>
      </c>
      <c r="C2051" s="830" t="s">
        <v>89</v>
      </c>
      <c r="D2051" s="832">
        <v>41242.29</v>
      </c>
    </row>
    <row r="2052" spans="1:4" x14ac:dyDescent="0.3">
      <c r="A2052" s="830">
        <v>102772</v>
      </c>
      <c r="B2052" s="831" t="s">
        <v>6552</v>
      </c>
      <c r="C2052" s="830" t="s">
        <v>89</v>
      </c>
      <c r="D2052" s="832">
        <v>58092.05</v>
      </c>
    </row>
    <row r="2053" spans="1:4" x14ac:dyDescent="0.3">
      <c r="A2053" s="830">
        <v>102773</v>
      </c>
      <c r="B2053" s="831" t="s">
        <v>6553</v>
      </c>
      <c r="C2053" s="830" t="s">
        <v>89</v>
      </c>
      <c r="D2053" s="832">
        <v>8960.9599999999991</v>
      </c>
    </row>
    <row r="2054" spans="1:4" x14ac:dyDescent="0.3">
      <c r="A2054" s="830">
        <v>102774</v>
      </c>
      <c r="B2054" s="831" t="s">
        <v>6554</v>
      </c>
      <c r="C2054" s="830" t="s">
        <v>89</v>
      </c>
      <c r="D2054" s="832">
        <v>8960.9599999999991</v>
      </c>
    </row>
    <row r="2055" spans="1:4" x14ac:dyDescent="0.3">
      <c r="A2055" s="830">
        <v>102775</v>
      </c>
      <c r="B2055" s="831" t="s">
        <v>6555</v>
      </c>
      <c r="C2055" s="830" t="s">
        <v>89</v>
      </c>
      <c r="D2055" s="832">
        <v>13488.68</v>
      </c>
    </row>
    <row r="2056" spans="1:4" x14ac:dyDescent="0.3">
      <c r="A2056" s="830">
        <v>102776</v>
      </c>
      <c r="B2056" s="831" t="s">
        <v>6556</v>
      </c>
      <c r="C2056" s="830" t="s">
        <v>89</v>
      </c>
      <c r="D2056" s="832">
        <v>13488.68</v>
      </c>
    </row>
    <row r="2057" spans="1:4" x14ac:dyDescent="0.3">
      <c r="A2057" s="830">
        <v>102777</v>
      </c>
      <c r="B2057" s="831" t="s">
        <v>6557</v>
      </c>
      <c r="C2057" s="830" t="s">
        <v>89</v>
      </c>
      <c r="D2057" s="832">
        <v>20487.75</v>
      </c>
    </row>
    <row r="2058" spans="1:4" x14ac:dyDescent="0.3">
      <c r="A2058" s="830">
        <v>102778</v>
      </c>
      <c r="B2058" s="831" t="s">
        <v>6558</v>
      </c>
      <c r="C2058" s="830" t="s">
        <v>89</v>
      </c>
      <c r="D2058" s="832">
        <v>30125</v>
      </c>
    </row>
    <row r="2059" spans="1:4" x14ac:dyDescent="0.3">
      <c r="A2059" s="830">
        <v>102779</v>
      </c>
      <c r="B2059" s="831" t="s">
        <v>6559</v>
      </c>
      <c r="C2059" s="830" t="s">
        <v>89</v>
      </c>
      <c r="D2059" s="832">
        <v>8960.9599999999991</v>
      </c>
    </row>
    <row r="2060" spans="1:4" x14ac:dyDescent="0.3">
      <c r="A2060" s="830">
        <v>102780</v>
      </c>
      <c r="B2060" s="831" t="s">
        <v>6560</v>
      </c>
      <c r="C2060" s="830" t="s">
        <v>89</v>
      </c>
      <c r="D2060" s="832">
        <v>10300.379999999999</v>
      </c>
    </row>
    <row r="2061" spans="1:4" x14ac:dyDescent="0.3">
      <c r="A2061" s="830">
        <v>102781</v>
      </c>
      <c r="B2061" s="831" t="s">
        <v>6561</v>
      </c>
      <c r="C2061" s="830" t="s">
        <v>89</v>
      </c>
      <c r="D2061" s="832">
        <v>15394.06</v>
      </c>
    </row>
    <row r="2062" spans="1:4" x14ac:dyDescent="0.3">
      <c r="A2062" s="830">
        <v>102782</v>
      </c>
      <c r="B2062" s="831" t="s">
        <v>6562</v>
      </c>
      <c r="C2062" s="830" t="s">
        <v>89</v>
      </c>
      <c r="D2062" s="832">
        <v>17072.61</v>
      </c>
    </row>
    <row r="2063" spans="1:4" x14ac:dyDescent="0.3">
      <c r="A2063" s="830">
        <v>102783</v>
      </c>
      <c r="B2063" s="831" t="s">
        <v>6563</v>
      </c>
      <c r="C2063" s="830" t="s">
        <v>89</v>
      </c>
      <c r="D2063" s="832">
        <v>22732.26</v>
      </c>
    </row>
    <row r="2064" spans="1:4" x14ac:dyDescent="0.3">
      <c r="A2064" s="830">
        <v>102784</v>
      </c>
      <c r="B2064" s="831" t="s">
        <v>6564</v>
      </c>
      <c r="C2064" s="830" t="s">
        <v>89</v>
      </c>
      <c r="D2064" s="832">
        <v>34943.620000000003</v>
      </c>
    </row>
    <row r="2065" spans="1:4" x14ac:dyDescent="0.3">
      <c r="A2065" s="830">
        <v>102785</v>
      </c>
      <c r="B2065" s="831" t="s">
        <v>6565</v>
      </c>
      <c r="C2065" s="830" t="s">
        <v>89</v>
      </c>
      <c r="D2065" s="832">
        <v>10300.379999999999</v>
      </c>
    </row>
    <row r="2066" spans="1:4" x14ac:dyDescent="0.3">
      <c r="A2066" s="830">
        <v>102786</v>
      </c>
      <c r="B2066" s="831" t="s">
        <v>6566</v>
      </c>
      <c r="C2066" s="830" t="s">
        <v>89</v>
      </c>
      <c r="D2066" s="832">
        <v>11412.96</v>
      </c>
    </row>
    <row r="2067" spans="1:4" x14ac:dyDescent="0.3">
      <c r="A2067" s="830">
        <v>102787</v>
      </c>
      <c r="B2067" s="831" t="s">
        <v>6567</v>
      </c>
      <c r="C2067" s="830" t="s">
        <v>89</v>
      </c>
      <c r="D2067" s="832">
        <v>17072.61</v>
      </c>
    </row>
    <row r="2068" spans="1:4" x14ac:dyDescent="0.3">
      <c r="A2068" s="830">
        <v>102788</v>
      </c>
      <c r="B2068" s="831" t="s">
        <v>6568</v>
      </c>
      <c r="C2068" s="830" t="s">
        <v>89</v>
      </c>
      <c r="D2068" s="832">
        <v>18708.62</v>
      </c>
    </row>
    <row r="2069" spans="1:4" x14ac:dyDescent="0.3">
      <c r="A2069" s="830">
        <v>102789</v>
      </c>
      <c r="B2069" s="831" t="s">
        <v>6569</v>
      </c>
      <c r="C2069" s="830" t="s">
        <v>89</v>
      </c>
      <c r="D2069" s="832">
        <v>24721.57</v>
      </c>
    </row>
    <row r="2070" spans="1:4" x14ac:dyDescent="0.3">
      <c r="A2070" s="830">
        <v>102790</v>
      </c>
      <c r="B2070" s="831" t="s">
        <v>6570</v>
      </c>
      <c r="C2070" s="830" t="s">
        <v>89</v>
      </c>
      <c r="D2070" s="832">
        <v>40471.120000000003</v>
      </c>
    </row>
    <row r="2071" spans="1:4" x14ac:dyDescent="0.3">
      <c r="A2071" s="830">
        <v>102791</v>
      </c>
      <c r="B2071" s="831" t="s">
        <v>6571</v>
      </c>
      <c r="C2071" s="830" t="s">
        <v>89</v>
      </c>
      <c r="D2071" s="832">
        <v>32862.199999999997</v>
      </c>
    </row>
    <row r="2072" spans="1:4" x14ac:dyDescent="0.3">
      <c r="A2072" s="830">
        <v>102792</v>
      </c>
      <c r="B2072" s="831" t="s">
        <v>6572</v>
      </c>
      <c r="C2072" s="830" t="s">
        <v>89</v>
      </c>
      <c r="D2072" s="832">
        <v>53442.57</v>
      </c>
    </row>
    <row r="2073" spans="1:4" x14ac:dyDescent="0.3">
      <c r="A2073" s="830">
        <v>102793</v>
      </c>
      <c r="B2073" s="831" t="s">
        <v>6573</v>
      </c>
      <c r="C2073" s="830" t="s">
        <v>89</v>
      </c>
      <c r="D2073" s="832">
        <v>71748.740000000005</v>
      </c>
    </row>
    <row r="2074" spans="1:4" x14ac:dyDescent="0.3">
      <c r="A2074" s="830">
        <v>102794</v>
      </c>
      <c r="B2074" s="831" t="s">
        <v>6574</v>
      </c>
      <c r="C2074" s="830" t="s">
        <v>89</v>
      </c>
      <c r="D2074" s="832">
        <v>103100.04</v>
      </c>
    </row>
    <row r="2075" spans="1:4" x14ac:dyDescent="0.3">
      <c r="A2075" s="830">
        <v>102795</v>
      </c>
      <c r="B2075" s="831" t="s">
        <v>6575</v>
      </c>
      <c r="C2075" s="830" t="s">
        <v>89</v>
      </c>
      <c r="D2075" s="832">
        <v>34965.550000000003</v>
      </c>
    </row>
    <row r="2076" spans="1:4" x14ac:dyDescent="0.3">
      <c r="A2076" s="830">
        <v>102796</v>
      </c>
      <c r="B2076" s="831" t="s">
        <v>6576</v>
      </c>
      <c r="C2076" s="830" t="s">
        <v>89</v>
      </c>
      <c r="D2076" s="832">
        <v>56394.61</v>
      </c>
    </row>
    <row r="2077" spans="1:4" x14ac:dyDescent="0.3">
      <c r="A2077" s="830">
        <v>102797</v>
      </c>
      <c r="B2077" s="831" t="s">
        <v>6577</v>
      </c>
      <c r="C2077" s="830" t="s">
        <v>89</v>
      </c>
      <c r="D2077" s="832">
        <v>79776.05</v>
      </c>
    </row>
    <row r="2078" spans="1:4" x14ac:dyDescent="0.3">
      <c r="A2078" s="830">
        <v>102798</v>
      </c>
      <c r="B2078" s="831" t="s">
        <v>6578</v>
      </c>
      <c r="C2078" s="830" t="s">
        <v>89</v>
      </c>
      <c r="D2078" s="832">
        <v>97856.92</v>
      </c>
    </row>
    <row r="2079" spans="1:4" x14ac:dyDescent="0.3">
      <c r="A2079" s="830">
        <v>102799</v>
      </c>
      <c r="B2079" s="831" t="s">
        <v>6579</v>
      </c>
      <c r="C2079" s="830" t="s">
        <v>89</v>
      </c>
      <c r="D2079" s="832">
        <v>35720.17</v>
      </c>
    </row>
    <row r="2080" spans="1:4" x14ac:dyDescent="0.3">
      <c r="A2080" s="830">
        <v>102800</v>
      </c>
      <c r="B2080" s="831" t="s">
        <v>6580</v>
      </c>
      <c r="C2080" s="830" t="s">
        <v>89</v>
      </c>
      <c r="D2080" s="832">
        <v>61827.53</v>
      </c>
    </row>
    <row r="2081" spans="1:4" x14ac:dyDescent="0.3">
      <c r="A2081" s="830">
        <v>102801</v>
      </c>
      <c r="B2081" s="831" t="s">
        <v>6581</v>
      </c>
      <c r="C2081" s="830" t="s">
        <v>89</v>
      </c>
      <c r="D2081" s="832">
        <v>86378.26</v>
      </c>
    </row>
    <row r="2082" spans="1:4" x14ac:dyDescent="0.3">
      <c r="A2082" s="830">
        <v>102802</v>
      </c>
      <c r="B2082" s="831" t="s">
        <v>6582</v>
      </c>
      <c r="C2082" s="830" t="s">
        <v>89</v>
      </c>
      <c r="D2082" s="832">
        <v>103685.78</v>
      </c>
    </row>
    <row r="2083" spans="1:4" x14ac:dyDescent="0.3">
      <c r="A2083" s="830">
        <v>101570</v>
      </c>
      <c r="B2083" s="831" t="s">
        <v>6583</v>
      </c>
      <c r="C2083" s="830" t="s">
        <v>252</v>
      </c>
      <c r="D2083" s="832">
        <v>25.28</v>
      </c>
    </row>
    <row r="2084" spans="1:4" x14ac:dyDescent="0.3">
      <c r="A2084" s="830">
        <v>101571</v>
      </c>
      <c r="B2084" s="831" t="s">
        <v>6584</v>
      </c>
      <c r="C2084" s="830" t="s">
        <v>252</v>
      </c>
      <c r="D2084" s="832">
        <v>34.86</v>
      </c>
    </row>
    <row r="2085" spans="1:4" x14ac:dyDescent="0.3">
      <c r="A2085" s="830">
        <v>101572</v>
      </c>
      <c r="B2085" s="831" t="s">
        <v>6585</v>
      </c>
      <c r="C2085" s="830" t="s">
        <v>252</v>
      </c>
      <c r="D2085" s="832">
        <v>19.739999999999998</v>
      </c>
    </row>
    <row r="2086" spans="1:4" x14ac:dyDescent="0.3">
      <c r="A2086" s="830">
        <v>101573</v>
      </c>
      <c r="B2086" s="831" t="s">
        <v>6586</v>
      </c>
      <c r="C2086" s="830" t="s">
        <v>252</v>
      </c>
      <c r="D2086" s="832">
        <v>29.32</v>
      </c>
    </row>
    <row r="2087" spans="1:4" x14ac:dyDescent="0.3">
      <c r="A2087" s="830">
        <v>101574</v>
      </c>
      <c r="B2087" s="831" t="s">
        <v>6587</v>
      </c>
      <c r="C2087" s="830" t="s">
        <v>252</v>
      </c>
      <c r="D2087" s="832">
        <v>14.95</v>
      </c>
    </row>
    <row r="2088" spans="1:4" x14ac:dyDescent="0.3">
      <c r="A2088" s="830">
        <v>101575</v>
      </c>
      <c r="B2088" s="831" t="s">
        <v>6588</v>
      </c>
      <c r="C2088" s="830" t="s">
        <v>252</v>
      </c>
      <c r="D2088" s="832">
        <v>24.73</v>
      </c>
    </row>
    <row r="2089" spans="1:4" x14ac:dyDescent="0.3">
      <c r="A2089" s="830">
        <v>101576</v>
      </c>
      <c r="B2089" s="831" t="s">
        <v>6589</v>
      </c>
      <c r="C2089" s="830" t="s">
        <v>252</v>
      </c>
      <c r="D2089" s="832">
        <v>43.44</v>
      </c>
    </row>
    <row r="2090" spans="1:4" x14ac:dyDescent="0.3">
      <c r="A2090" s="830">
        <v>101577</v>
      </c>
      <c r="B2090" s="831" t="s">
        <v>6590</v>
      </c>
      <c r="C2090" s="830" t="s">
        <v>252</v>
      </c>
      <c r="D2090" s="832">
        <v>55.68</v>
      </c>
    </row>
    <row r="2091" spans="1:4" x14ac:dyDescent="0.3">
      <c r="A2091" s="830">
        <v>101578</v>
      </c>
      <c r="B2091" s="831" t="s">
        <v>6591</v>
      </c>
      <c r="C2091" s="830" t="s">
        <v>252</v>
      </c>
      <c r="D2091" s="832">
        <v>35.57</v>
      </c>
    </row>
    <row r="2092" spans="1:4" x14ac:dyDescent="0.3">
      <c r="A2092" s="830">
        <v>101579</v>
      </c>
      <c r="B2092" s="831" t="s">
        <v>6592</v>
      </c>
      <c r="C2092" s="830" t="s">
        <v>252</v>
      </c>
      <c r="D2092" s="832">
        <v>47.81</v>
      </c>
    </row>
    <row r="2093" spans="1:4" x14ac:dyDescent="0.3">
      <c r="A2093" s="830">
        <v>101580</v>
      </c>
      <c r="B2093" s="831" t="s">
        <v>6593</v>
      </c>
      <c r="C2093" s="830" t="s">
        <v>252</v>
      </c>
      <c r="D2093" s="832">
        <v>30.82</v>
      </c>
    </row>
    <row r="2094" spans="1:4" x14ac:dyDescent="0.3">
      <c r="A2094" s="830">
        <v>101581</v>
      </c>
      <c r="B2094" s="831" t="s">
        <v>6594</v>
      </c>
      <c r="C2094" s="830" t="s">
        <v>252</v>
      </c>
      <c r="D2094" s="832">
        <v>43.27</v>
      </c>
    </row>
    <row r="2095" spans="1:4" x14ac:dyDescent="0.3">
      <c r="A2095" s="830">
        <v>101582</v>
      </c>
      <c r="B2095" s="831" t="s">
        <v>6595</v>
      </c>
      <c r="C2095" s="830" t="s">
        <v>252</v>
      </c>
      <c r="D2095" s="832">
        <v>70.98</v>
      </c>
    </row>
    <row r="2096" spans="1:4" x14ac:dyDescent="0.3">
      <c r="A2096" s="830">
        <v>101583</v>
      </c>
      <c r="B2096" s="831" t="s">
        <v>6596</v>
      </c>
      <c r="C2096" s="830" t="s">
        <v>252</v>
      </c>
      <c r="D2096" s="832">
        <v>90.01</v>
      </c>
    </row>
    <row r="2097" spans="1:4" x14ac:dyDescent="0.3">
      <c r="A2097" s="830">
        <v>101584</v>
      </c>
      <c r="B2097" s="831" t="s">
        <v>6597</v>
      </c>
      <c r="C2097" s="830" t="s">
        <v>252</v>
      </c>
      <c r="D2097" s="832">
        <v>57.83</v>
      </c>
    </row>
    <row r="2098" spans="1:4" x14ac:dyDescent="0.3">
      <c r="A2098" s="830">
        <v>101585</v>
      </c>
      <c r="B2098" s="831" t="s">
        <v>6598</v>
      </c>
      <c r="C2098" s="830" t="s">
        <v>252</v>
      </c>
      <c r="D2098" s="832">
        <v>76.849999999999994</v>
      </c>
    </row>
    <row r="2099" spans="1:4" x14ac:dyDescent="0.3">
      <c r="A2099" s="830">
        <v>101586</v>
      </c>
      <c r="B2099" s="831" t="s">
        <v>6599</v>
      </c>
      <c r="C2099" s="830" t="s">
        <v>252</v>
      </c>
      <c r="D2099" s="832">
        <v>49.01</v>
      </c>
    </row>
    <row r="2100" spans="1:4" x14ac:dyDescent="0.3">
      <c r="A2100" s="830">
        <v>101587</v>
      </c>
      <c r="B2100" s="831" t="s">
        <v>6600</v>
      </c>
      <c r="C2100" s="830" t="s">
        <v>252</v>
      </c>
      <c r="D2100" s="832">
        <v>68.25</v>
      </c>
    </row>
    <row r="2101" spans="1:4" x14ac:dyDescent="0.3">
      <c r="A2101" s="830">
        <v>101588</v>
      </c>
      <c r="B2101" s="831" t="s">
        <v>6601</v>
      </c>
      <c r="C2101" s="830" t="s">
        <v>252</v>
      </c>
      <c r="D2101" s="832">
        <v>95.16</v>
      </c>
    </row>
    <row r="2102" spans="1:4" x14ac:dyDescent="0.3">
      <c r="A2102" s="830">
        <v>101589</v>
      </c>
      <c r="B2102" s="831" t="s">
        <v>6602</v>
      </c>
      <c r="C2102" s="830" t="s">
        <v>252</v>
      </c>
      <c r="D2102" s="832">
        <v>138.91999999999999</v>
      </c>
    </row>
    <row r="2103" spans="1:4" x14ac:dyDescent="0.3">
      <c r="A2103" s="830">
        <v>101590</v>
      </c>
      <c r="B2103" s="831" t="s">
        <v>6603</v>
      </c>
      <c r="C2103" s="830" t="s">
        <v>252</v>
      </c>
      <c r="D2103" s="832">
        <v>71.97</v>
      </c>
    </row>
    <row r="2104" spans="1:4" x14ac:dyDescent="0.3">
      <c r="A2104" s="830">
        <v>101591</v>
      </c>
      <c r="B2104" s="831" t="s">
        <v>6604</v>
      </c>
      <c r="C2104" s="830" t="s">
        <v>252</v>
      </c>
      <c r="D2104" s="832">
        <v>115.73</v>
      </c>
    </row>
    <row r="2105" spans="1:4" x14ac:dyDescent="0.3">
      <c r="A2105" s="830">
        <v>101592</v>
      </c>
      <c r="B2105" s="831" t="s">
        <v>6605</v>
      </c>
      <c r="C2105" s="830" t="s">
        <v>252</v>
      </c>
      <c r="D2105" s="832">
        <v>50.41</v>
      </c>
    </row>
    <row r="2106" spans="1:4" x14ac:dyDescent="0.3">
      <c r="A2106" s="830">
        <v>101593</v>
      </c>
      <c r="B2106" s="831" t="s">
        <v>6606</v>
      </c>
      <c r="C2106" s="830" t="s">
        <v>252</v>
      </c>
      <c r="D2106" s="832">
        <v>94.34</v>
      </c>
    </row>
    <row r="2107" spans="1:4" x14ac:dyDescent="0.3">
      <c r="A2107" s="830">
        <v>101600</v>
      </c>
      <c r="B2107" s="831" t="s">
        <v>6607</v>
      </c>
      <c r="C2107" s="830" t="s">
        <v>252</v>
      </c>
      <c r="D2107" s="832">
        <v>17.89</v>
      </c>
    </row>
    <row r="2108" spans="1:4" x14ac:dyDescent="0.3">
      <c r="A2108" s="830">
        <v>101601</v>
      </c>
      <c r="B2108" s="831" t="s">
        <v>6608</v>
      </c>
      <c r="C2108" s="830" t="s">
        <v>252</v>
      </c>
      <c r="D2108" s="832">
        <v>26.48</v>
      </c>
    </row>
    <row r="2109" spans="1:4" x14ac:dyDescent="0.3">
      <c r="A2109" s="830">
        <v>101602</v>
      </c>
      <c r="B2109" s="831" t="s">
        <v>6609</v>
      </c>
      <c r="C2109" s="830" t="s">
        <v>252</v>
      </c>
      <c r="D2109" s="832">
        <v>13.26</v>
      </c>
    </row>
    <row r="2110" spans="1:4" x14ac:dyDescent="0.3">
      <c r="A2110" s="830">
        <v>101603</v>
      </c>
      <c r="B2110" s="831" t="s">
        <v>6610</v>
      </c>
      <c r="C2110" s="830" t="s">
        <v>252</v>
      </c>
      <c r="D2110" s="832">
        <v>21.86</v>
      </c>
    </row>
    <row r="2111" spans="1:4" x14ac:dyDescent="0.3">
      <c r="A2111" s="830">
        <v>101604</v>
      </c>
      <c r="B2111" s="831" t="s">
        <v>6611</v>
      </c>
      <c r="C2111" s="830" t="s">
        <v>252</v>
      </c>
      <c r="D2111" s="832">
        <v>8.68</v>
      </c>
    </row>
    <row r="2112" spans="1:4" x14ac:dyDescent="0.3">
      <c r="A2112" s="830">
        <v>101605</v>
      </c>
      <c r="B2112" s="831" t="s">
        <v>6612</v>
      </c>
      <c r="C2112" s="830" t="s">
        <v>252</v>
      </c>
      <c r="D2112" s="832">
        <v>17.27</v>
      </c>
    </row>
    <row r="2113" spans="1:4" x14ac:dyDescent="0.3">
      <c r="A2113" s="830">
        <v>90788</v>
      </c>
      <c r="B2113" s="831" t="s">
        <v>6613</v>
      </c>
      <c r="C2113" s="830" t="s">
        <v>89</v>
      </c>
      <c r="D2113" s="832">
        <v>930.47</v>
      </c>
    </row>
    <row r="2114" spans="1:4" x14ac:dyDescent="0.3">
      <c r="A2114" s="830">
        <v>90789</v>
      </c>
      <c r="B2114" s="831" t="s">
        <v>6614</v>
      </c>
      <c r="C2114" s="830" t="s">
        <v>89</v>
      </c>
      <c r="D2114" s="832">
        <v>932.45</v>
      </c>
    </row>
    <row r="2115" spans="1:4" x14ac:dyDescent="0.3">
      <c r="A2115" s="830">
        <v>90790</v>
      </c>
      <c r="B2115" s="831" t="s">
        <v>6615</v>
      </c>
      <c r="C2115" s="830" t="s">
        <v>89</v>
      </c>
      <c r="D2115" s="832">
        <v>961.87</v>
      </c>
    </row>
    <row r="2116" spans="1:4" x14ac:dyDescent="0.3">
      <c r="A2116" s="830">
        <v>90791</v>
      </c>
      <c r="B2116" s="831" t="s">
        <v>6616</v>
      </c>
      <c r="C2116" s="830" t="s">
        <v>89</v>
      </c>
      <c r="D2116" s="832">
        <v>1128.06</v>
      </c>
    </row>
    <row r="2117" spans="1:4" x14ac:dyDescent="0.3">
      <c r="A2117" s="830">
        <v>90793</v>
      </c>
      <c r="B2117" s="831" t="s">
        <v>6617</v>
      </c>
      <c r="C2117" s="830" t="s">
        <v>89</v>
      </c>
      <c r="D2117" s="832">
        <v>1185.73</v>
      </c>
    </row>
    <row r="2118" spans="1:4" x14ac:dyDescent="0.3">
      <c r="A2118" s="830">
        <v>90794</v>
      </c>
      <c r="B2118" s="831" t="s">
        <v>6618</v>
      </c>
      <c r="C2118" s="830" t="s">
        <v>89</v>
      </c>
      <c r="D2118" s="832">
        <v>808.32</v>
      </c>
    </row>
    <row r="2119" spans="1:4" x14ac:dyDescent="0.3">
      <c r="A2119" s="830">
        <v>90795</v>
      </c>
      <c r="B2119" s="831" t="s">
        <v>6619</v>
      </c>
      <c r="C2119" s="830" t="s">
        <v>89</v>
      </c>
      <c r="D2119" s="832">
        <v>816.73</v>
      </c>
    </row>
    <row r="2120" spans="1:4" x14ac:dyDescent="0.3">
      <c r="A2120" s="830">
        <v>90796</v>
      </c>
      <c r="B2120" s="831" t="s">
        <v>6620</v>
      </c>
      <c r="C2120" s="830" t="s">
        <v>89</v>
      </c>
      <c r="D2120" s="832">
        <v>825.15</v>
      </c>
    </row>
    <row r="2121" spans="1:4" x14ac:dyDescent="0.3">
      <c r="A2121" s="830">
        <v>90797</v>
      </c>
      <c r="B2121" s="831" t="s">
        <v>6621</v>
      </c>
      <c r="C2121" s="830" t="s">
        <v>89</v>
      </c>
      <c r="D2121" s="832">
        <v>833.55</v>
      </c>
    </row>
    <row r="2122" spans="1:4" x14ac:dyDescent="0.3">
      <c r="A2122" s="830">
        <v>90798</v>
      </c>
      <c r="B2122" s="831" t="s">
        <v>6622</v>
      </c>
      <c r="C2122" s="830" t="s">
        <v>89</v>
      </c>
      <c r="D2122" s="832">
        <v>1207.1300000000001</v>
      </c>
    </row>
    <row r="2123" spans="1:4" x14ac:dyDescent="0.3">
      <c r="A2123" s="830">
        <v>90799</v>
      </c>
      <c r="B2123" s="831" t="s">
        <v>6623</v>
      </c>
      <c r="C2123" s="830" t="s">
        <v>89</v>
      </c>
      <c r="D2123" s="832">
        <v>1246</v>
      </c>
    </row>
    <row r="2124" spans="1:4" x14ac:dyDescent="0.3">
      <c r="A2124" s="830">
        <v>90801</v>
      </c>
      <c r="B2124" s="831" t="s">
        <v>6624</v>
      </c>
      <c r="C2124" s="830" t="s">
        <v>89</v>
      </c>
      <c r="D2124" s="832">
        <v>387.83</v>
      </c>
    </row>
    <row r="2125" spans="1:4" x14ac:dyDescent="0.3">
      <c r="A2125" s="830">
        <v>90806</v>
      </c>
      <c r="B2125" s="831" t="s">
        <v>6625</v>
      </c>
      <c r="C2125" s="830" t="s">
        <v>89</v>
      </c>
      <c r="D2125" s="832">
        <v>490.89</v>
      </c>
    </row>
    <row r="2126" spans="1:4" x14ac:dyDescent="0.3">
      <c r="A2126" s="830">
        <v>90820</v>
      </c>
      <c r="B2126" s="831" t="s">
        <v>6626</v>
      </c>
      <c r="C2126" s="830" t="s">
        <v>89</v>
      </c>
      <c r="D2126" s="832">
        <v>363.69</v>
      </c>
    </row>
    <row r="2127" spans="1:4" x14ac:dyDescent="0.3">
      <c r="A2127" s="830">
        <v>90821</v>
      </c>
      <c r="B2127" s="831" t="s">
        <v>6627</v>
      </c>
      <c r="C2127" s="830" t="s">
        <v>89</v>
      </c>
      <c r="D2127" s="832">
        <v>371.2</v>
      </c>
    </row>
    <row r="2128" spans="1:4" x14ac:dyDescent="0.3">
      <c r="A2128" s="830">
        <v>90822</v>
      </c>
      <c r="B2128" s="831" t="s">
        <v>2665</v>
      </c>
      <c r="C2128" s="830" t="s">
        <v>89</v>
      </c>
      <c r="D2128" s="832">
        <v>398.03</v>
      </c>
    </row>
    <row r="2129" spans="1:4" x14ac:dyDescent="0.3">
      <c r="A2129" s="830">
        <v>90823</v>
      </c>
      <c r="B2129" s="831" t="s">
        <v>6628</v>
      </c>
      <c r="C2129" s="830" t="s">
        <v>89</v>
      </c>
      <c r="D2129" s="832">
        <v>488.36</v>
      </c>
    </row>
    <row r="2130" spans="1:4" x14ac:dyDescent="0.3">
      <c r="A2130" s="830">
        <v>90824</v>
      </c>
      <c r="B2130" s="831" t="s">
        <v>6629</v>
      </c>
      <c r="C2130" s="830" t="s">
        <v>89</v>
      </c>
      <c r="D2130" s="832">
        <v>696.92</v>
      </c>
    </row>
    <row r="2131" spans="1:4" x14ac:dyDescent="0.3">
      <c r="A2131" s="830">
        <v>90825</v>
      </c>
      <c r="B2131" s="831" t="s">
        <v>6630</v>
      </c>
      <c r="C2131" s="830" t="s">
        <v>89</v>
      </c>
      <c r="D2131" s="832">
        <v>775.8</v>
      </c>
    </row>
    <row r="2132" spans="1:4" x14ac:dyDescent="0.3">
      <c r="A2132" s="830">
        <v>90830</v>
      </c>
      <c r="B2132" s="831" t="s">
        <v>6631</v>
      </c>
      <c r="C2132" s="830" t="s">
        <v>89</v>
      </c>
      <c r="D2132" s="832">
        <v>186.32</v>
      </c>
    </row>
    <row r="2133" spans="1:4" x14ac:dyDescent="0.3">
      <c r="A2133" s="830">
        <v>90831</v>
      </c>
      <c r="B2133" s="831" t="s">
        <v>6632</v>
      </c>
      <c r="C2133" s="830" t="s">
        <v>89</v>
      </c>
      <c r="D2133" s="832">
        <v>163.04</v>
      </c>
    </row>
    <row r="2134" spans="1:4" x14ac:dyDescent="0.3">
      <c r="A2134" s="830">
        <v>90841</v>
      </c>
      <c r="B2134" s="831" t="s">
        <v>6633</v>
      </c>
      <c r="C2134" s="830" t="s">
        <v>89</v>
      </c>
      <c r="D2134" s="832">
        <v>1157.01</v>
      </c>
    </row>
    <row r="2135" spans="1:4" x14ac:dyDescent="0.3">
      <c r="A2135" s="830">
        <v>90842</v>
      </c>
      <c r="B2135" s="831" t="s">
        <v>6634</v>
      </c>
      <c r="C2135" s="830" t="s">
        <v>89</v>
      </c>
      <c r="D2135" s="832">
        <v>1167.42</v>
      </c>
    </row>
    <row r="2136" spans="1:4" x14ac:dyDescent="0.3">
      <c r="A2136" s="830">
        <v>90843</v>
      </c>
      <c r="B2136" s="831" t="s">
        <v>6635</v>
      </c>
      <c r="C2136" s="830" t="s">
        <v>89</v>
      </c>
      <c r="D2136" s="832">
        <v>1220.44</v>
      </c>
    </row>
    <row r="2137" spans="1:4" x14ac:dyDescent="0.3">
      <c r="A2137" s="830">
        <v>90844</v>
      </c>
      <c r="B2137" s="831" t="s">
        <v>6636</v>
      </c>
      <c r="C2137" s="830" t="s">
        <v>89</v>
      </c>
      <c r="D2137" s="832">
        <v>1313.67</v>
      </c>
    </row>
    <row r="2138" spans="1:4" x14ac:dyDescent="0.3">
      <c r="A2138" s="830">
        <v>90845</v>
      </c>
      <c r="B2138" s="831" t="s">
        <v>6637</v>
      </c>
      <c r="C2138" s="830" t="s">
        <v>89</v>
      </c>
      <c r="D2138" s="832">
        <v>1519.33</v>
      </c>
    </row>
    <row r="2139" spans="1:4" x14ac:dyDescent="0.3">
      <c r="A2139" s="830">
        <v>90846</v>
      </c>
      <c r="B2139" s="831" t="s">
        <v>6638</v>
      </c>
      <c r="C2139" s="830" t="s">
        <v>89</v>
      </c>
      <c r="D2139" s="832">
        <v>1601.11</v>
      </c>
    </row>
    <row r="2140" spans="1:4" x14ac:dyDescent="0.3">
      <c r="A2140" s="830">
        <v>90847</v>
      </c>
      <c r="B2140" s="831" t="s">
        <v>6639</v>
      </c>
      <c r="C2140" s="830" t="s">
        <v>89</v>
      </c>
      <c r="D2140" s="832">
        <v>993.97</v>
      </c>
    </row>
    <row r="2141" spans="1:4" x14ac:dyDescent="0.3">
      <c r="A2141" s="830">
        <v>90848</v>
      </c>
      <c r="B2141" s="831" t="s">
        <v>6640</v>
      </c>
      <c r="C2141" s="830" t="s">
        <v>89</v>
      </c>
      <c r="D2141" s="832">
        <v>1004.38</v>
      </c>
    </row>
    <row r="2142" spans="1:4" x14ac:dyDescent="0.3">
      <c r="A2142" s="830">
        <v>90849</v>
      </c>
      <c r="B2142" s="831" t="s">
        <v>6641</v>
      </c>
      <c r="C2142" s="830" t="s">
        <v>89</v>
      </c>
      <c r="D2142" s="832">
        <v>1034.1199999999999</v>
      </c>
    </row>
    <row r="2143" spans="1:4" x14ac:dyDescent="0.3">
      <c r="A2143" s="830">
        <v>90850</v>
      </c>
      <c r="B2143" s="831" t="s">
        <v>6642</v>
      </c>
      <c r="C2143" s="830" t="s">
        <v>89</v>
      </c>
      <c r="D2143" s="832">
        <v>1127.3499999999999</v>
      </c>
    </row>
    <row r="2144" spans="1:4" x14ac:dyDescent="0.3">
      <c r="A2144" s="830">
        <v>90851</v>
      </c>
      <c r="B2144" s="831" t="s">
        <v>6643</v>
      </c>
      <c r="C2144" s="830" t="s">
        <v>89</v>
      </c>
      <c r="D2144" s="832">
        <v>1333.01</v>
      </c>
    </row>
    <row r="2145" spans="1:4" x14ac:dyDescent="0.3">
      <c r="A2145" s="830">
        <v>90852</v>
      </c>
      <c r="B2145" s="831" t="s">
        <v>6644</v>
      </c>
      <c r="C2145" s="830" t="s">
        <v>89</v>
      </c>
      <c r="D2145" s="832">
        <v>1414.79</v>
      </c>
    </row>
    <row r="2146" spans="1:4" x14ac:dyDescent="0.3">
      <c r="A2146" s="830">
        <v>91009</v>
      </c>
      <c r="B2146" s="831" t="s">
        <v>6645</v>
      </c>
      <c r="C2146" s="830" t="s">
        <v>89</v>
      </c>
      <c r="D2146" s="832">
        <v>376.4</v>
      </c>
    </row>
    <row r="2147" spans="1:4" x14ac:dyDescent="0.3">
      <c r="A2147" s="830">
        <v>91010</v>
      </c>
      <c r="B2147" s="831" t="s">
        <v>6646</v>
      </c>
      <c r="C2147" s="830" t="s">
        <v>89</v>
      </c>
      <c r="D2147" s="832">
        <v>384.52</v>
      </c>
    </row>
    <row r="2148" spans="1:4" x14ac:dyDescent="0.3">
      <c r="A2148" s="830">
        <v>91011</v>
      </c>
      <c r="B2148" s="831" t="s">
        <v>6647</v>
      </c>
      <c r="C2148" s="830" t="s">
        <v>89</v>
      </c>
      <c r="D2148" s="832">
        <v>449.64</v>
      </c>
    </row>
    <row r="2149" spans="1:4" x14ac:dyDescent="0.3">
      <c r="A2149" s="830">
        <v>91012</v>
      </c>
      <c r="B2149" s="831" t="s">
        <v>6648</v>
      </c>
      <c r="C2149" s="830" t="s">
        <v>89</v>
      </c>
      <c r="D2149" s="832">
        <v>499.63</v>
      </c>
    </row>
    <row r="2150" spans="1:4" x14ac:dyDescent="0.3">
      <c r="A2150" s="830">
        <v>91013</v>
      </c>
      <c r="B2150" s="831" t="s">
        <v>6649</v>
      </c>
      <c r="C2150" s="830" t="s">
        <v>89</v>
      </c>
      <c r="D2150" s="832">
        <v>1006.68</v>
      </c>
    </row>
    <row r="2151" spans="1:4" x14ac:dyDescent="0.3">
      <c r="A2151" s="830">
        <v>91014</v>
      </c>
      <c r="B2151" s="831" t="s">
        <v>6650</v>
      </c>
      <c r="C2151" s="830" t="s">
        <v>89</v>
      </c>
      <c r="D2151" s="832">
        <v>1017.7</v>
      </c>
    </row>
    <row r="2152" spans="1:4" x14ac:dyDescent="0.3">
      <c r="A2152" s="830">
        <v>91015</v>
      </c>
      <c r="B2152" s="831" t="s">
        <v>6651</v>
      </c>
      <c r="C2152" s="830" t="s">
        <v>89</v>
      </c>
      <c r="D2152" s="832">
        <v>1085.73</v>
      </c>
    </row>
    <row r="2153" spans="1:4" x14ac:dyDescent="0.3">
      <c r="A2153" s="830">
        <v>91016</v>
      </c>
      <c r="B2153" s="831" t="s">
        <v>6652</v>
      </c>
      <c r="C2153" s="830" t="s">
        <v>89</v>
      </c>
      <c r="D2153" s="832">
        <v>1138.6199999999999</v>
      </c>
    </row>
    <row r="2154" spans="1:4" x14ac:dyDescent="0.3">
      <c r="A2154" s="830">
        <v>91287</v>
      </c>
      <c r="B2154" s="831" t="s">
        <v>6653</v>
      </c>
      <c r="C2154" s="830" t="s">
        <v>89</v>
      </c>
      <c r="D2154" s="832">
        <v>283.76</v>
      </c>
    </row>
    <row r="2155" spans="1:4" x14ac:dyDescent="0.3">
      <c r="A2155" s="830">
        <v>91292</v>
      </c>
      <c r="B2155" s="831" t="s">
        <v>6654</v>
      </c>
      <c r="C2155" s="830" t="s">
        <v>89</v>
      </c>
      <c r="D2155" s="832">
        <v>386.82</v>
      </c>
    </row>
    <row r="2156" spans="1:4" x14ac:dyDescent="0.3">
      <c r="A2156" s="830">
        <v>91295</v>
      </c>
      <c r="B2156" s="831" t="s">
        <v>6655</v>
      </c>
      <c r="C2156" s="830" t="s">
        <v>89</v>
      </c>
      <c r="D2156" s="832">
        <v>387.41</v>
      </c>
    </row>
    <row r="2157" spans="1:4" x14ac:dyDescent="0.3">
      <c r="A2157" s="830">
        <v>91296</v>
      </c>
      <c r="B2157" s="831" t="s">
        <v>6656</v>
      </c>
      <c r="C2157" s="830" t="s">
        <v>89</v>
      </c>
      <c r="D2157" s="832">
        <v>415.28</v>
      </c>
    </row>
    <row r="2158" spans="1:4" x14ac:dyDescent="0.3">
      <c r="A2158" s="830">
        <v>91297</v>
      </c>
      <c r="B2158" s="831" t="s">
        <v>6657</v>
      </c>
      <c r="C2158" s="830" t="s">
        <v>89</v>
      </c>
      <c r="D2158" s="832">
        <v>456.98</v>
      </c>
    </row>
    <row r="2159" spans="1:4" x14ac:dyDescent="0.3">
      <c r="A2159" s="830">
        <v>91298</v>
      </c>
      <c r="B2159" s="831" t="s">
        <v>6658</v>
      </c>
      <c r="C2159" s="830" t="s">
        <v>89</v>
      </c>
      <c r="D2159" s="832">
        <v>906.2</v>
      </c>
    </row>
    <row r="2160" spans="1:4" x14ac:dyDescent="0.3">
      <c r="A2160" s="830">
        <v>91299</v>
      </c>
      <c r="B2160" s="831" t="s">
        <v>6659</v>
      </c>
      <c r="C2160" s="830" t="s">
        <v>89</v>
      </c>
      <c r="D2160" s="832">
        <v>1265.4000000000001</v>
      </c>
    </row>
    <row r="2161" spans="1:4" x14ac:dyDescent="0.3">
      <c r="A2161" s="830">
        <v>91304</v>
      </c>
      <c r="B2161" s="831" t="s">
        <v>6660</v>
      </c>
      <c r="C2161" s="830" t="s">
        <v>89</v>
      </c>
      <c r="D2161" s="832">
        <v>114.58</v>
      </c>
    </row>
    <row r="2162" spans="1:4" x14ac:dyDescent="0.3">
      <c r="A2162" s="830">
        <v>91305</v>
      </c>
      <c r="B2162" s="831" t="s">
        <v>6661</v>
      </c>
      <c r="C2162" s="830" t="s">
        <v>89</v>
      </c>
      <c r="D2162" s="832">
        <v>113.68</v>
      </c>
    </row>
    <row r="2163" spans="1:4" x14ac:dyDescent="0.3">
      <c r="A2163" s="830">
        <v>91306</v>
      </c>
      <c r="B2163" s="831" t="s">
        <v>6662</v>
      </c>
      <c r="C2163" s="830" t="s">
        <v>89</v>
      </c>
      <c r="D2163" s="832">
        <v>163.04</v>
      </c>
    </row>
    <row r="2164" spans="1:4" x14ac:dyDescent="0.3">
      <c r="A2164" s="830">
        <v>91307</v>
      </c>
      <c r="B2164" s="831" t="s">
        <v>6663</v>
      </c>
      <c r="C2164" s="830" t="s">
        <v>89</v>
      </c>
      <c r="D2164" s="832">
        <v>97.03</v>
      </c>
    </row>
    <row r="2165" spans="1:4" x14ac:dyDescent="0.3">
      <c r="A2165" s="830">
        <v>91312</v>
      </c>
      <c r="B2165" s="831" t="s">
        <v>6664</v>
      </c>
      <c r="C2165" s="830" t="s">
        <v>89</v>
      </c>
      <c r="D2165" s="832">
        <v>958.75</v>
      </c>
    </row>
    <row r="2166" spans="1:4" x14ac:dyDescent="0.3">
      <c r="A2166" s="830">
        <v>91313</v>
      </c>
      <c r="B2166" s="831" t="s">
        <v>6665</v>
      </c>
      <c r="C2166" s="830" t="s">
        <v>89</v>
      </c>
      <c r="D2166" s="832">
        <v>951.58</v>
      </c>
    </row>
    <row r="2167" spans="1:4" x14ac:dyDescent="0.3">
      <c r="A2167" s="830">
        <v>91314</v>
      </c>
      <c r="B2167" s="831" t="s">
        <v>6666</v>
      </c>
      <c r="C2167" s="830" t="s">
        <v>89</v>
      </c>
      <c r="D2167" s="832">
        <v>997.93</v>
      </c>
    </row>
    <row r="2168" spans="1:4" x14ac:dyDescent="0.3">
      <c r="A2168" s="830">
        <v>91315</v>
      </c>
      <c r="B2168" s="831" t="s">
        <v>6667</v>
      </c>
      <c r="C2168" s="830" t="s">
        <v>89</v>
      </c>
      <c r="D2168" s="832">
        <v>1090.23</v>
      </c>
    </row>
    <row r="2169" spans="1:4" x14ac:dyDescent="0.3">
      <c r="A2169" s="830">
        <v>91316</v>
      </c>
      <c r="B2169" s="831" t="s">
        <v>6668</v>
      </c>
      <c r="C2169" s="830" t="s">
        <v>89</v>
      </c>
      <c r="D2169" s="832">
        <v>1296.82</v>
      </c>
    </row>
    <row r="2170" spans="1:4" x14ac:dyDescent="0.3">
      <c r="A2170" s="830">
        <v>91317</v>
      </c>
      <c r="B2170" s="831" t="s">
        <v>6669</v>
      </c>
      <c r="C2170" s="830" t="s">
        <v>89</v>
      </c>
      <c r="D2170" s="832">
        <v>1377.67</v>
      </c>
    </row>
    <row r="2171" spans="1:4" x14ac:dyDescent="0.3">
      <c r="A2171" s="830">
        <v>91318</v>
      </c>
      <c r="B2171" s="831" t="s">
        <v>6670</v>
      </c>
      <c r="C2171" s="830" t="s">
        <v>89</v>
      </c>
      <c r="D2171" s="832">
        <v>845.07</v>
      </c>
    </row>
    <row r="2172" spans="1:4" x14ac:dyDescent="0.3">
      <c r="A2172" s="830">
        <v>91319</v>
      </c>
      <c r="B2172" s="831" t="s">
        <v>6671</v>
      </c>
      <c r="C2172" s="830" t="s">
        <v>89</v>
      </c>
      <c r="D2172" s="832">
        <v>854.55</v>
      </c>
    </row>
    <row r="2173" spans="1:4" x14ac:dyDescent="0.3">
      <c r="A2173" s="830">
        <v>91320</v>
      </c>
      <c r="B2173" s="831" t="s">
        <v>6672</v>
      </c>
      <c r="C2173" s="830" t="s">
        <v>89</v>
      </c>
      <c r="D2173" s="832">
        <v>883.35</v>
      </c>
    </row>
    <row r="2174" spans="1:4" x14ac:dyDescent="0.3">
      <c r="A2174" s="830">
        <v>91321</v>
      </c>
      <c r="B2174" s="831" t="s">
        <v>6673</v>
      </c>
      <c r="C2174" s="830" t="s">
        <v>89</v>
      </c>
      <c r="D2174" s="832">
        <v>975.65</v>
      </c>
    </row>
    <row r="2175" spans="1:4" x14ac:dyDescent="0.3">
      <c r="A2175" s="830">
        <v>91322</v>
      </c>
      <c r="B2175" s="831" t="s">
        <v>6674</v>
      </c>
      <c r="C2175" s="830" t="s">
        <v>89</v>
      </c>
      <c r="D2175" s="832">
        <v>1182.24</v>
      </c>
    </row>
    <row r="2176" spans="1:4" x14ac:dyDescent="0.3">
      <c r="A2176" s="830">
        <v>91323</v>
      </c>
      <c r="B2176" s="831" t="s">
        <v>6675</v>
      </c>
      <c r="C2176" s="830" t="s">
        <v>89</v>
      </c>
      <c r="D2176" s="832">
        <v>1263.0899999999999</v>
      </c>
    </row>
    <row r="2177" spans="1:4" x14ac:dyDescent="0.3">
      <c r="A2177" s="830">
        <v>91324</v>
      </c>
      <c r="B2177" s="831" t="s">
        <v>6676</v>
      </c>
      <c r="C2177" s="830" t="s">
        <v>89</v>
      </c>
      <c r="D2177" s="832">
        <v>857.78</v>
      </c>
    </row>
    <row r="2178" spans="1:4" x14ac:dyDescent="0.3">
      <c r="A2178" s="830">
        <v>91325</v>
      </c>
      <c r="B2178" s="831" t="s">
        <v>6677</v>
      </c>
      <c r="C2178" s="830" t="s">
        <v>89</v>
      </c>
      <c r="D2178" s="832">
        <v>867.87</v>
      </c>
    </row>
    <row r="2179" spans="1:4" x14ac:dyDescent="0.3">
      <c r="A2179" s="830">
        <v>91326</v>
      </c>
      <c r="B2179" s="831" t="s">
        <v>6678</v>
      </c>
      <c r="C2179" s="830" t="s">
        <v>89</v>
      </c>
      <c r="D2179" s="832">
        <v>934.96</v>
      </c>
    </row>
    <row r="2180" spans="1:4" x14ac:dyDescent="0.3">
      <c r="A2180" s="830">
        <v>91327</v>
      </c>
      <c r="B2180" s="831" t="s">
        <v>6679</v>
      </c>
      <c r="C2180" s="830" t="s">
        <v>89</v>
      </c>
      <c r="D2180" s="832">
        <v>986.92</v>
      </c>
    </row>
    <row r="2181" spans="1:4" x14ac:dyDescent="0.3">
      <c r="A2181" s="830">
        <v>91328</v>
      </c>
      <c r="B2181" s="831" t="s">
        <v>6680</v>
      </c>
      <c r="C2181" s="830" t="s">
        <v>89</v>
      </c>
      <c r="D2181" s="832">
        <v>1017.69</v>
      </c>
    </row>
    <row r="2182" spans="1:4" x14ac:dyDescent="0.3">
      <c r="A2182" s="830">
        <v>91329</v>
      </c>
      <c r="B2182" s="831" t="s">
        <v>6681</v>
      </c>
      <c r="C2182" s="830" t="s">
        <v>89</v>
      </c>
      <c r="D2182" s="832">
        <v>868.79</v>
      </c>
    </row>
    <row r="2183" spans="1:4" x14ac:dyDescent="0.3">
      <c r="A2183" s="830">
        <v>91330</v>
      </c>
      <c r="B2183" s="831" t="s">
        <v>6682</v>
      </c>
      <c r="C2183" s="830" t="s">
        <v>89</v>
      </c>
      <c r="D2183" s="832">
        <v>1048.46</v>
      </c>
    </row>
    <row r="2184" spans="1:4" x14ac:dyDescent="0.3">
      <c r="A2184" s="830">
        <v>91331</v>
      </c>
      <c r="B2184" s="831" t="s">
        <v>6683</v>
      </c>
      <c r="C2184" s="830" t="s">
        <v>89</v>
      </c>
      <c r="D2184" s="832">
        <v>898.63</v>
      </c>
    </row>
    <row r="2185" spans="1:4" x14ac:dyDescent="0.3">
      <c r="A2185" s="830">
        <v>91332</v>
      </c>
      <c r="B2185" s="831" t="s">
        <v>6684</v>
      </c>
      <c r="C2185" s="830" t="s">
        <v>89</v>
      </c>
      <c r="D2185" s="832">
        <v>1093.07</v>
      </c>
    </row>
    <row r="2186" spans="1:4" x14ac:dyDescent="0.3">
      <c r="A2186" s="830">
        <v>91333</v>
      </c>
      <c r="B2186" s="831" t="s">
        <v>6685</v>
      </c>
      <c r="C2186" s="830" t="s">
        <v>89</v>
      </c>
      <c r="D2186" s="832">
        <v>942.3</v>
      </c>
    </row>
    <row r="2187" spans="1:4" x14ac:dyDescent="0.3">
      <c r="A2187" s="830">
        <v>91334</v>
      </c>
      <c r="B2187" s="831" t="s">
        <v>6686</v>
      </c>
      <c r="C2187" s="830" t="s">
        <v>89</v>
      </c>
      <c r="D2187" s="832">
        <v>1542.29</v>
      </c>
    </row>
    <row r="2188" spans="1:4" x14ac:dyDescent="0.3">
      <c r="A2188" s="830">
        <v>91335</v>
      </c>
      <c r="B2188" s="831" t="s">
        <v>6687</v>
      </c>
      <c r="C2188" s="830" t="s">
        <v>89</v>
      </c>
      <c r="D2188" s="832">
        <v>1391.52</v>
      </c>
    </row>
    <row r="2189" spans="1:4" x14ac:dyDescent="0.3">
      <c r="A2189" s="830">
        <v>91336</v>
      </c>
      <c r="B2189" s="831" t="s">
        <v>6688</v>
      </c>
      <c r="C2189" s="830" t="s">
        <v>89</v>
      </c>
      <c r="D2189" s="832">
        <v>1901.49</v>
      </c>
    </row>
    <row r="2190" spans="1:4" x14ac:dyDescent="0.3">
      <c r="A2190" s="830">
        <v>91337</v>
      </c>
      <c r="B2190" s="831" t="s">
        <v>6689</v>
      </c>
      <c r="C2190" s="830" t="s">
        <v>89</v>
      </c>
      <c r="D2190" s="832">
        <v>1750.72</v>
      </c>
    </row>
    <row r="2191" spans="1:4" x14ac:dyDescent="0.3">
      <c r="A2191" s="830">
        <v>100659</v>
      </c>
      <c r="B2191" s="831" t="s">
        <v>6690</v>
      </c>
      <c r="C2191" s="830" t="s">
        <v>194</v>
      </c>
      <c r="D2191" s="832">
        <v>14.52</v>
      </c>
    </row>
    <row r="2192" spans="1:4" x14ac:dyDescent="0.3">
      <c r="A2192" s="830">
        <v>100660</v>
      </c>
      <c r="B2192" s="831" t="s">
        <v>6691</v>
      </c>
      <c r="C2192" s="830" t="s">
        <v>194</v>
      </c>
      <c r="D2192" s="832">
        <v>9.85</v>
      </c>
    </row>
    <row r="2193" spans="1:4" x14ac:dyDescent="0.3">
      <c r="A2193" s="830">
        <v>100675</v>
      </c>
      <c r="B2193" s="831" t="s">
        <v>6692</v>
      </c>
      <c r="C2193" s="830" t="s">
        <v>89</v>
      </c>
      <c r="D2193" s="832">
        <v>1055.3699999999999</v>
      </c>
    </row>
    <row r="2194" spans="1:4" x14ac:dyDescent="0.3">
      <c r="A2194" s="830">
        <v>100676</v>
      </c>
      <c r="B2194" s="831" t="s">
        <v>6693</v>
      </c>
      <c r="C2194" s="830" t="s">
        <v>89</v>
      </c>
      <c r="D2194" s="832">
        <v>239.95</v>
      </c>
    </row>
    <row r="2195" spans="1:4" x14ac:dyDescent="0.3">
      <c r="A2195" s="830">
        <v>100678</v>
      </c>
      <c r="B2195" s="831" t="s">
        <v>6694</v>
      </c>
      <c r="C2195" s="830" t="s">
        <v>89</v>
      </c>
      <c r="D2195" s="832">
        <v>1169.72</v>
      </c>
    </row>
    <row r="2196" spans="1:4" x14ac:dyDescent="0.3">
      <c r="A2196" s="830">
        <v>100679</v>
      </c>
      <c r="B2196" s="831" t="s">
        <v>6695</v>
      </c>
      <c r="C2196" s="830" t="s">
        <v>89</v>
      </c>
      <c r="D2196" s="832">
        <v>971.46</v>
      </c>
    </row>
    <row r="2197" spans="1:4" x14ac:dyDescent="0.3">
      <c r="A2197" s="830">
        <v>100680</v>
      </c>
      <c r="B2197" s="831" t="s">
        <v>6696</v>
      </c>
      <c r="C2197" s="830" t="s">
        <v>89</v>
      </c>
      <c r="D2197" s="832">
        <v>1180.74</v>
      </c>
    </row>
    <row r="2198" spans="1:4" x14ac:dyDescent="0.3">
      <c r="A2198" s="830">
        <v>100681</v>
      </c>
      <c r="B2198" s="831" t="s">
        <v>6697</v>
      </c>
      <c r="C2198" s="830" t="s">
        <v>89</v>
      </c>
      <c r="D2198" s="832">
        <v>1211.5</v>
      </c>
    </row>
    <row r="2199" spans="1:4" x14ac:dyDescent="0.3">
      <c r="A2199" s="830">
        <v>100682</v>
      </c>
      <c r="B2199" s="831" t="s">
        <v>6698</v>
      </c>
      <c r="C2199" s="830" t="s">
        <v>89</v>
      </c>
      <c r="D2199" s="832">
        <v>995.66</v>
      </c>
    </row>
    <row r="2200" spans="1:4" x14ac:dyDescent="0.3">
      <c r="A2200" s="830">
        <v>100683</v>
      </c>
      <c r="B2200" s="831" t="s">
        <v>6699</v>
      </c>
      <c r="C2200" s="830" t="s">
        <v>89</v>
      </c>
      <c r="D2200" s="832">
        <v>1272.05</v>
      </c>
    </row>
    <row r="2201" spans="1:4" x14ac:dyDescent="0.3">
      <c r="A2201" s="830">
        <v>100684</v>
      </c>
      <c r="B2201" s="831" t="s">
        <v>6700</v>
      </c>
      <c r="C2201" s="830" t="s">
        <v>89</v>
      </c>
      <c r="D2201" s="832">
        <v>1049.54</v>
      </c>
    </row>
    <row r="2202" spans="1:4" x14ac:dyDescent="0.3">
      <c r="A2202" s="830">
        <v>100685</v>
      </c>
      <c r="B2202" s="831" t="s">
        <v>6701</v>
      </c>
      <c r="C2202" s="830" t="s">
        <v>89</v>
      </c>
      <c r="D2202" s="832">
        <v>1324.94</v>
      </c>
    </row>
    <row r="2203" spans="1:4" x14ac:dyDescent="0.3">
      <c r="A2203" s="830">
        <v>100686</v>
      </c>
      <c r="B2203" s="831" t="s">
        <v>6702</v>
      </c>
      <c r="C2203" s="830" t="s">
        <v>89</v>
      </c>
      <c r="D2203" s="832">
        <v>1101.5</v>
      </c>
    </row>
    <row r="2204" spans="1:4" x14ac:dyDescent="0.3">
      <c r="A2204" s="830">
        <v>100687</v>
      </c>
      <c r="B2204" s="831" t="s">
        <v>6703</v>
      </c>
      <c r="C2204" s="830" t="s">
        <v>89</v>
      </c>
      <c r="D2204" s="832">
        <v>1180.73</v>
      </c>
    </row>
    <row r="2205" spans="1:4" x14ac:dyDescent="0.3">
      <c r="A2205" s="830">
        <v>100688</v>
      </c>
      <c r="B2205" s="831" t="s">
        <v>6704</v>
      </c>
      <c r="C2205" s="830" t="s">
        <v>89</v>
      </c>
      <c r="D2205" s="832">
        <v>982.47</v>
      </c>
    </row>
    <row r="2206" spans="1:4" x14ac:dyDescent="0.3">
      <c r="A2206" s="830">
        <v>100689</v>
      </c>
      <c r="B2206" s="831" t="s">
        <v>6705</v>
      </c>
      <c r="C2206" s="830" t="s">
        <v>89</v>
      </c>
      <c r="D2206" s="832">
        <v>1279.3900000000001</v>
      </c>
    </row>
    <row r="2207" spans="1:4" x14ac:dyDescent="0.3">
      <c r="A2207" s="830">
        <v>100690</v>
      </c>
      <c r="B2207" s="831" t="s">
        <v>6706</v>
      </c>
      <c r="C2207" s="830" t="s">
        <v>89</v>
      </c>
      <c r="D2207" s="832">
        <v>1056.8800000000001</v>
      </c>
    </row>
    <row r="2208" spans="1:4" x14ac:dyDescent="0.3">
      <c r="A2208" s="830">
        <v>100691</v>
      </c>
      <c r="B2208" s="831" t="s">
        <v>6707</v>
      </c>
      <c r="C2208" s="830" t="s">
        <v>89</v>
      </c>
      <c r="D2208" s="832">
        <v>1728.61</v>
      </c>
    </row>
    <row r="2209" spans="1:4" x14ac:dyDescent="0.3">
      <c r="A2209" s="830">
        <v>100692</v>
      </c>
      <c r="B2209" s="831" t="s">
        <v>6708</v>
      </c>
      <c r="C2209" s="830" t="s">
        <v>89</v>
      </c>
      <c r="D2209" s="832">
        <v>1506.1</v>
      </c>
    </row>
    <row r="2210" spans="1:4" x14ac:dyDescent="0.3">
      <c r="A2210" s="830">
        <v>100693</v>
      </c>
      <c r="B2210" s="831" t="s">
        <v>6709</v>
      </c>
      <c r="C2210" s="830" t="s">
        <v>89</v>
      </c>
      <c r="D2210" s="832">
        <v>2087.81</v>
      </c>
    </row>
    <row r="2211" spans="1:4" x14ac:dyDescent="0.3">
      <c r="A2211" s="830">
        <v>100694</v>
      </c>
      <c r="B2211" s="831" t="s">
        <v>6710</v>
      </c>
      <c r="C2211" s="830" t="s">
        <v>89</v>
      </c>
      <c r="D2211" s="832">
        <v>1865.3</v>
      </c>
    </row>
    <row r="2212" spans="1:4" x14ac:dyDescent="0.3">
      <c r="A2212" s="830">
        <v>100695</v>
      </c>
      <c r="B2212" s="831" t="s">
        <v>6711</v>
      </c>
      <c r="C2212" s="830" t="s">
        <v>89</v>
      </c>
      <c r="D2212" s="832">
        <v>67.14</v>
      </c>
    </row>
    <row r="2213" spans="1:4" x14ac:dyDescent="0.3">
      <c r="A2213" s="830">
        <v>100696</v>
      </c>
      <c r="B2213" s="831" t="s">
        <v>6712</v>
      </c>
      <c r="C2213" s="830" t="s">
        <v>89</v>
      </c>
      <c r="D2213" s="832">
        <v>74.680000000000007</v>
      </c>
    </row>
    <row r="2214" spans="1:4" x14ac:dyDescent="0.3">
      <c r="A2214" s="830">
        <v>100697</v>
      </c>
      <c r="B2214" s="831" t="s">
        <v>6713</v>
      </c>
      <c r="C2214" s="830" t="s">
        <v>89</v>
      </c>
      <c r="D2214" s="832">
        <v>82.28</v>
      </c>
    </row>
    <row r="2215" spans="1:4" x14ac:dyDescent="0.3">
      <c r="A2215" s="830">
        <v>100698</v>
      </c>
      <c r="B2215" s="831" t="s">
        <v>6714</v>
      </c>
      <c r="C2215" s="830" t="s">
        <v>89</v>
      </c>
      <c r="D2215" s="832">
        <v>89.85</v>
      </c>
    </row>
    <row r="2216" spans="1:4" x14ac:dyDescent="0.3">
      <c r="A2216" s="830">
        <v>100699</v>
      </c>
      <c r="B2216" s="831" t="s">
        <v>6715</v>
      </c>
      <c r="C2216" s="830" t="s">
        <v>89</v>
      </c>
      <c r="D2216" s="832">
        <v>106.94</v>
      </c>
    </row>
    <row r="2217" spans="1:4" x14ac:dyDescent="0.3">
      <c r="A2217" s="830">
        <v>100700</v>
      </c>
      <c r="B2217" s="831" t="s">
        <v>6716</v>
      </c>
      <c r="C2217" s="830" t="s">
        <v>89</v>
      </c>
      <c r="D2217" s="832">
        <v>981.27</v>
      </c>
    </row>
    <row r="2218" spans="1:4" x14ac:dyDescent="0.3">
      <c r="A2218" s="830">
        <v>100712</v>
      </c>
      <c r="B2218" s="831" t="s">
        <v>6717</v>
      </c>
      <c r="C2218" s="830" t="s">
        <v>89</v>
      </c>
      <c r="D2218" s="832">
        <v>964.9</v>
      </c>
    </row>
    <row r="2219" spans="1:4" x14ac:dyDescent="0.3">
      <c r="A2219" s="830">
        <v>100665</v>
      </c>
      <c r="B2219" s="831" t="s">
        <v>6718</v>
      </c>
      <c r="C2219" s="830" t="s">
        <v>252</v>
      </c>
      <c r="D2219" s="832">
        <v>793.12</v>
      </c>
    </row>
    <row r="2220" spans="1:4" x14ac:dyDescent="0.3">
      <c r="A2220" s="830">
        <v>100666</v>
      </c>
      <c r="B2220" s="831" t="s">
        <v>6719</v>
      </c>
      <c r="C2220" s="830" t="s">
        <v>252</v>
      </c>
      <c r="D2220" s="832">
        <v>634.77</v>
      </c>
    </row>
    <row r="2221" spans="1:4" x14ac:dyDescent="0.3">
      <c r="A2221" s="830">
        <v>100667</v>
      </c>
      <c r="B2221" s="831" t="s">
        <v>6720</v>
      </c>
      <c r="C2221" s="830" t="s">
        <v>252</v>
      </c>
      <c r="D2221" s="832">
        <v>1016.99</v>
      </c>
    </row>
    <row r="2222" spans="1:4" x14ac:dyDescent="0.3">
      <c r="A2222" s="830">
        <v>100668</v>
      </c>
      <c r="B2222" s="831" t="s">
        <v>6721</v>
      </c>
      <c r="C2222" s="830" t="s">
        <v>252</v>
      </c>
      <c r="D2222" s="832">
        <v>1193.8</v>
      </c>
    </row>
    <row r="2223" spans="1:4" x14ac:dyDescent="0.3">
      <c r="A2223" s="830">
        <v>100669</v>
      </c>
      <c r="B2223" s="831" t="s">
        <v>6722</v>
      </c>
      <c r="C2223" s="830" t="s">
        <v>252</v>
      </c>
      <c r="D2223" s="832">
        <v>838.1</v>
      </c>
    </row>
    <row r="2224" spans="1:4" x14ac:dyDescent="0.3">
      <c r="A2224" s="830">
        <v>100670</v>
      </c>
      <c r="B2224" s="831" t="s">
        <v>6723</v>
      </c>
      <c r="C2224" s="830" t="s">
        <v>252</v>
      </c>
      <c r="D2224" s="832">
        <v>984.72</v>
      </c>
    </row>
    <row r="2225" spans="1:4" x14ac:dyDescent="0.3">
      <c r="A2225" s="830">
        <v>100671</v>
      </c>
      <c r="B2225" s="831" t="s">
        <v>6724</v>
      </c>
      <c r="C2225" s="830" t="s">
        <v>252</v>
      </c>
      <c r="D2225" s="832">
        <v>1212.49</v>
      </c>
    </row>
    <row r="2226" spans="1:4" x14ac:dyDescent="0.3">
      <c r="A2226" s="830">
        <v>100672</v>
      </c>
      <c r="B2226" s="831" t="s">
        <v>6725</v>
      </c>
      <c r="C2226" s="830" t="s">
        <v>252</v>
      </c>
      <c r="D2226" s="832">
        <v>797.3</v>
      </c>
    </row>
    <row r="2227" spans="1:4" x14ac:dyDescent="0.3">
      <c r="A2227" s="830">
        <v>100701</v>
      </c>
      <c r="B2227" s="831" t="s">
        <v>6726</v>
      </c>
      <c r="C2227" s="830" t="s">
        <v>252</v>
      </c>
      <c r="D2227" s="832">
        <v>590.57000000000005</v>
      </c>
    </row>
    <row r="2228" spans="1:4" x14ac:dyDescent="0.3">
      <c r="A2228" s="830">
        <v>94559</v>
      </c>
      <c r="B2228" s="831" t="s">
        <v>6727</v>
      </c>
      <c r="C2228" s="830" t="s">
        <v>252</v>
      </c>
      <c r="D2228" s="832">
        <v>719.32</v>
      </c>
    </row>
    <row r="2229" spans="1:4" x14ac:dyDescent="0.3">
      <c r="A2229" s="830">
        <v>94562</v>
      </c>
      <c r="B2229" s="831" t="s">
        <v>6728</v>
      </c>
      <c r="C2229" s="830" t="s">
        <v>252</v>
      </c>
      <c r="D2229" s="832">
        <v>601.52</v>
      </c>
    </row>
    <row r="2230" spans="1:4" x14ac:dyDescent="0.3">
      <c r="A2230" s="830">
        <v>94587</v>
      </c>
      <c r="B2230" s="831" t="s">
        <v>6729</v>
      </c>
      <c r="C2230" s="830" t="s">
        <v>194</v>
      </c>
      <c r="D2230" s="832">
        <v>67.59</v>
      </c>
    </row>
    <row r="2231" spans="1:4" x14ac:dyDescent="0.3">
      <c r="A2231" s="830">
        <v>94588</v>
      </c>
      <c r="B2231" s="831" t="s">
        <v>6730</v>
      </c>
      <c r="C2231" s="830" t="s">
        <v>194</v>
      </c>
      <c r="D2231" s="832">
        <v>80.760000000000005</v>
      </c>
    </row>
    <row r="2232" spans="1:4" x14ac:dyDescent="0.3">
      <c r="A2232" s="830">
        <v>105813</v>
      </c>
      <c r="B2232" s="831" t="s">
        <v>6731</v>
      </c>
      <c r="C2232" s="830" t="s">
        <v>252</v>
      </c>
      <c r="D2232" s="832">
        <v>1025.06</v>
      </c>
    </row>
    <row r="2233" spans="1:4" x14ac:dyDescent="0.3">
      <c r="A2233" s="830">
        <v>99837</v>
      </c>
      <c r="B2233" s="831" t="s">
        <v>6732</v>
      </c>
      <c r="C2233" s="830" t="s">
        <v>194</v>
      </c>
      <c r="D2233" s="832">
        <v>611.42999999999995</v>
      </c>
    </row>
    <row r="2234" spans="1:4" x14ac:dyDescent="0.3">
      <c r="A2234" s="830">
        <v>99839</v>
      </c>
      <c r="B2234" s="831" t="s">
        <v>6733</v>
      </c>
      <c r="C2234" s="830" t="s">
        <v>194</v>
      </c>
      <c r="D2234" s="832">
        <v>531.25</v>
      </c>
    </row>
    <row r="2235" spans="1:4" x14ac:dyDescent="0.3">
      <c r="A2235" s="830">
        <v>99841</v>
      </c>
      <c r="B2235" s="831" t="s">
        <v>6734</v>
      </c>
      <c r="C2235" s="830" t="s">
        <v>194</v>
      </c>
      <c r="D2235" s="832">
        <v>1118.92</v>
      </c>
    </row>
    <row r="2236" spans="1:4" x14ac:dyDescent="0.3">
      <c r="A2236" s="830">
        <v>99855</v>
      </c>
      <c r="B2236" s="831" t="s">
        <v>6735</v>
      </c>
      <c r="C2236" s="830" t="s">
        <v>194</v>
      </c>
      <c r="D2236" s="832">
        <v>113.68</v>
      </c>
    </row>
    <row r="2237" spans="1:4" x14ac:dyDescent="0.3">
      <c r="A2237" s="830">
        <v>99857</v>
      </c>
      <c r="B2237" s="831" t="s">
        <v>6736</v>
      </c>
      <c r="C2237" s="830" t="s">
        <v>194</v>
      </c>
      <c r="D2237" s="832">
        <v>99.24</v>
      </c>
    </row>
    <row r="2238" spans="1:4" x14ac:dyDescent="0.3">
      <c r="A2238" s="830">
        <v>99861</v>
      </c>
      <c r="B2238" s="831" t="s">
        <v>6737</v>
      </c>
      <c r="C2238" s="830" t="s">
        <v>252</v>
      </c>
      <c r="D2238" s="832">
        <v>677.2</v>
      </c>
    </row>
    <row r="2239" spans="1:4" x14ac:dyDescent="0.3">
      <c r="A2239" s="830">
        <v>99862</v>
      </c>
      <c r="B2239" s="831" t="s">
        <v>6738</v>
      </c>
      <c r="C2239" s="830" t="s">
        <v>252</v>
      </c>
      <c r="D2239" s="832">
        <v>650.16</v>
      </c>
    </row>
    <row r="2240" spans="1:4" x14ac:dyDescent="0.3">
      <c r="A2240" s="830">
        <v>90838</v>
      </c>
      <c r="B2240" s="831" t="s">
        <v>6739</v>
      </c>
      <c r="C2240" s="830" t="s">
        <v>89</v>
      </c>
      <c r="D2240" s="832">
        <v>1505.32</v>
      </c>
    </row>
    <row r="2241" spans="1:4" x14ac:dyDescent="0.3">
      <c r="A2241" s="830">
        <v>91338</v>
      </c>
      <c r="B2241" s="831" t="s">
        <v>6740</v>
      </c>
      <c r="C2241" s="830" t="s">
        <v>252</v>
      </c>
      <c r="D2241" s="832">
        <v>770.78</v>
      </c>
    </row>
    <row r="2242" spans="1:4" x14ac:dyDescent="0.3">
      <c r="A2242" s="830">
        <v>91341</v>
      </c>
      <c r="B2242" s="831" t="s">
        <v>2701</v>
      </c>
      <c r="C2242" s="830" t="s">
        <v>252</v>
      </c>
      <c r="D2242" s="832">
        <v>619.99</v>
      </c>
    </row>
    <row r="2243" spans="1:4" x14ac:dyDescent="0.3">
      <c r="A2243" s="830">
        <v>94805</v>
      </c>
      <c r="B2243" s="831" t="s">
        <v>6741</v>
      </c>
      <c r="C2243" s="830" t="s">
        <v>89</v>
      </c>
      <c r="D2243" s="832">
        <v>710.67</v>
      </c>
    </row>
    <row r="2244" spans="1:4" x14ac:dyDescent="0.3">
      <c r="A2244" s="830">
        <v>94806</v>
      </c>
      <c r="B2244" s="831" t="s">
        <v>6742</v>
      </c>
      <c r="C2244" s="830" t="s">
        <v>89</v>
      </c>
      <c r="D2244" s="832">
        <v>711.08</v>
      </c>
    </row>
    <row r="2245" spans="1:4" x14ac:dyDescent="0.3">
      <c r="A2245" s="830">
        <v>94807</v>
      </c>
      <c r="B2245" s="831" t="s">
        <v>6743</v>
      </c>
      <c r="C2245" s="830" t="s">
        <v>89</v>
      </c>
      <c r="D2245" s="832">
        <v>650.87</v>
      </c>
    </row>
    <row r="2246" spans="1:4" x14ac:dyDescent="0.3">
      <c r="A2246" s="830">
        <v>100702</v>
      </c>
      <c r="B2246" s="831" t="s">
        <v>6744</v>
      </c>
      <c r="C2246" s="830" t="s">
        <v>252</v>
      </c>
      <c r="D2246" s="832">
        <v>407.31</v>
      </c>
    </row>
    <row r="2247" spans="1:4" x14ac:dyDescent="0.3">
      <c r="A2247" s="830">
        <v>102188</v>
      </c>
      <c r="B2247" s="831" t="s">
        <v>6745</v>
      </c>
      <c r="C2247" s="830" t="s">
        <v>89</v>
      </c>
      <c r="D2247" s="832">
        <v>1004.2</v>
      </c>
    </row>
    <row r="2248" spans="1:4" x14ac:dyDescent="0.3">
      <c r="A2248" s="830">
        <v>102189</v>
      </c>
      <c r="B2248" s="831" t="s">
        <v>6746</v>
      </c>
      <c r="C2248" s="830" t="s">
        <v>89</v>
      </c>
      <c r="D2248" s="832">
        <v>272.87</v>
      </c>
    </row>
    <row r="2249" spans="1:4" x14ac:dyDescent="0.3">
      <c r="A2249" s="830">
        <v>100703</v>
      </c>
      <c r="B2249" s="831" t="s">
        <v>6747</v>
      </c>
      <c r="C2249" s="830" t="s">
        <v>89</v>
      </c>
      <c r="D2249" s="832">
        <v>33.950000000000003</v>
      </c>
    </row>
    <row r="2250" spans="1:4" x14ac:dyDescent="0.3">
      <c r="A2250" s="830">
        <v>100704</v>
      </c>
      <c r="B2250" s="831" t="s">
        <v>6748</v>
      </c>
      <c r="C2250" s="830" t="s">
        <v>89</v>
      </c>
      <c r="D2250" s="832">
        <v>71.08</v>
      </c>
    </row>
    <row r="2251" spans="1:4" x14ac:dyDescent="0.3">
      <c r="A2251" s="830">
        <v>100705</v>
      </c>
      <c r="B2251" s="831" t="s">
        <v>6749</v>
      </c>
      <c r="C2251" s="830" t="s">
        <v>89</v>
      </c>
      <c r="D2251" s="832">
        <v>83.43</v>
      </c>
    </row>
    <row r="2252" spans="1:4" x14ac:dyDescent="0.3">
      <c r="A2252" s="830">
        <v>100706</v>
      </c>
      <c r="B2252" s="831" t="s">
        <v>6750</v>
      </c>
      <c r="C2252" s="830" t="s">
        <v>89</v>
      </c>
      <c r="D2252" s="832">
        <v>76.33</v>
      </c>
    </row>
    <row r="2253" spans="1:4" x14ac:dyDescent="0.3">
      <c r="A2253" s="830">
        <v>100707</v>
      </c>
      <c r="B2253" s="831" t="s">
        <v>6751</v>
      </c>
      <c r="C2253" s="830" t="s">
        <v>89</v>
      </c>
      <c r="D2253" s="832">
        <v>150.38</v>
      </c>
    </row>
    <row r="2254" spans="1:4" x14ac:dyDescent="0.3">
      <c r="A2254" s="830">
        <v>100708</v>
      </c>
      <c r="B2254" s="831" t="s">
        <v>6752</v>
      </c>
      <c r="C2254" s="830" t="s">
        <v>89</v>
      </c>
      <c r="D2254" s="832">
        <v>187.47</v>
      </c>
    </row>
    <row r="2255" spans="1:4" x14ac:dyDescent="0.3">
      <c r="A2255" s="830">
        <v>100709</v>
      </c>
      <c r="B2255" s="831" t="s">
        <v>6753</v>
      </c>
      <c r="C2255" s="830" t="s">
        <v>89</v>
      </c>
      <c r="D2255" s="832">
        <v>52.3</v>
      </c>
    </row>
    <row r="2256" spans="1:4" x14ac:dyDescent="0.3">
      <c r="A2256" s="830">
        <v>100710</v>
      </c>
      <c r="B2256" s="831" t="s">
        <v>6754</v>
      </c>
      <c r="C2256" s="830" t="s">
        <v>89</v>
      </c>
      <c r="D2256" s="832">
        <v>127.6</v>
      </c>
    </row>
    <row r="2257" spans="1:4" x14ac:dyDescent="0.3">
      <c r="A2257" s="830">
        <v>102151</v>
      </c>
      <c r="B2257" s="831" t="s">
        <v>6755</v>
      </c>
      <c r="C2257" s="830" t="s">
        <v>252</v>
      </c>
      <c r="D2257" s="832">
        <v>177.85</v>
      </c>
    </row>
    <row r="2258" spans="1:4" x14ac:dyDescent="0.3">
      <c r="A2258" s="830">
        <v>102152</v>
      </c>
      <c r="B2258" s="831" t="s">
        <v>6756</v>
      </c>
      <c r="C2258" s="830" t="s">
        <v>252</v>
      </c>
      <c r="D2258" s="832">
        <v>196.29</v>
      </c>
    </row>
    <row r="2259" spans="1:4" x14ac:dyDescent="0.3">
      <c r="A2259" s="830">
        <v>102153</v>
      </c>
      <c r="B2259" s="831" t="s">
        <v>6757</v>
      </c>
      <c r="C2259" s="830" t="s">
        <v>252</v>
      </c>
      <c r="D2259" s="832">
        <v>245.45</v>
      </c>
    </row>
    <row r="2260" spans="1:4" x14ac:dyDescent="0.3">
      <c r="A2260" s="830">
        <v>102154</v>
      </c>
      <c r="B2260" s="831" t="s">
        <v>6758</v>
      </c>
      <c r="C2260" s="830" t="s">
        <v>252</v>
      </c>
      <c r="D2260" s="832">
        <v>211.33</v>
      </c>
    </row>
    <row r="2261" spans="1:4" x14ac:dyDescent="0.3">
      <c r="A2261" s="830">
        <v>102155</v>
      </c>
      <c r="B2261" s="831" t="s">
        <v>6759</v>
      </c>
      <c r="C2261" s="830" t="s">
        <v>252</v>
      </c>
      <c r="D2261" s="832">
        <v>251.55</v>
      </c>
    </row>
    <row r="2262" spans="1:4" x14ac:dyDescent="0.3">
      <c r="A2262" s="830">
        <v>102156</v>
      </c>
      <c r="B2262" s="831" t="s">
        <v>6760</v>
      </c>
      <c r="C2262" s="830" t="s">
        <v>252</v>
      </c>
      <c r="D2262" s="832">
        <v>239.04</v>
      </c>
    </row>
    <row r="2263" spans="1:4" x14ac:dyDescent="0.3">
      <c r="A2263" s="830">
        <v>102157</v>
      </c>
      <c r="B2263" s="831" t="s">
        <v>6761</v>
      </c>
      <c r="C2263" s="830" t="s">
        <v>252</v>
      </c>
      <c r="D2263" s="832">
        <v>325.08999999999997</v>
      </c>
    </row>
    <row r="2264" spans="1:4" x14ac:dyDescent="0.3">
      <c r="A2264" s="830">
        <v>102158</v>
      </c>
      <c r="B2264" s="831" t="s">
        <v>6762</v>
      </c>
      <c r="C2264" s="830" t="s">
        <v>252</v>
      </c>
      <c r="D2264" s="832">
        <v>327.18</v>
      </c>
    </row>
    <row r="2265" spans="1:4" x14ac:dyDescent="0.3">
      <c r="A2265" s="830">
        <v>102159</v>
      </c>
      <c r="B2265" s="831" t="s">
        <v>6763</v>
      </c>
      <c r="C2265" s="830" t="s">
        <v>252</v>
      </c>
      <c r="D2265" s="832">
        <v>388.31</v>
      </c>
    </row>
    <row r="2266" spans="1:4" x14ac:dyDescent="0.3">
      <c r="A2266" s="830">
        <v>102160</v>
      </c>
      <c r="B2266" s="831" t="s">
        <v>6764</v>
      </c>
      <c r="C2266" s="830" t="s">
        <v>252</v>
      </c>
      <c r="D2266" s="832">
        <v>171.7</v>
      </c>
    </row>
    <row r="2267" spans="1:4" x14ac:dyDescent="0.3">
      <c r="A2267" s="830">
        <v>102161</v>
      </c>
      <c r="B2267" s="831" t="s">
        <v>6765</v>
      </c>
      <c r="C2267" s="830" t="s">
        <v>252</v>
      </c>
      <c r="D2267" s="832">
        <v>297.7</v>
      </c>
    </row>
    <row r="2268" spans="1:4" x14ac:dyDescent="0.3">
      <c r="A2268" s="830">
        <v>102162</v>
      </c>
      <c r="B2268" s="831" t="s">
        <v>6766</v>
      </c>
      <c r="C2268" s="830" t="s">
        <v>252</v>
      </c>
      <c r="D2268" s="832">
        <v>316.14</v>
      </c>
    </row>
    <row r="2269" spans="1:4" x14ac:dyDescent="0.3">
      <c r="A2269" s="830">
        <v>102163</v>
      </c>
      <c r="B2269" s="831" t="s">
        <v>6767</v>
      </c>
      <c r="C2269" s="830" t="s">
        <v>252</v>
      </c>
      <c r="D2269" s="832">
        <v>365.3</v>
      </c>
    </row>
    <row r="2270" spans="1:4" x14ac:dyDescent="0.3">
      <c r="A2270" s="830">
        <v>102164</v>
      </c>
      <c r="B2270" s="831" t="s">
        <v>6768</v>
      </c>
      <c r="C2270" s="830" t="s">
        <v>252</v>
      </c>
      <c r="D2270" s="832">
        <v>309.13</v>
      </c>
    </row>
    <row r="2271" spans="1:4" x14ac:dyDescent="0.3">
      <c r="A2271" s="830">
        <v>102165</v>
      </c>
      <c r="B2271" s="831" t="s">
        <v>6769</v>
      </c>
      <c r="C2271" s="830" t="s">
        <v>252</v>
      </c>
      <c r="D2271" s="832">
        <v>349.35</v>
      </c>
    </row>
    <row r="2272" spans="1:4" x14ac:dyDescent="0.3">
      <c r="A2272" s="830">
        <v>102166</v>
      </c>
      <c r="B2272" s="831" t="s">
        <v>6770</v>
      </c>
      <c r="C2272" s="830" t="s">
        <v>252</v>
      </c>
      <c r="D2272" s="832">
        <v>314.77999999999997</v>
      </c>
    </row>
    <row r="2273" spans="1:4" x14ac:dyDescent="0.3">
      <c r="A2273" s="830">
        <v>102167</v>
      </c>
      <c r="B2273" s="831" t="s">
        <v>6771</v>
      </c>
      <c r="C2273" s="830" t="s">
        <v>252</v>
      </c>
      <c r="D2273" s="832">
        <v>400.83</v>
      </c>
    </row>
    <row r="2274" spans="1:4" x14ac:dyDescent="0.3">
      <c r="A2274" s="830">
        <v>102168</v>
      </c>
      <c r="B2274" s="831" t="s">
        <v>6772</v>
      </c>
      <c r="C2274" s="830" t="s">
        <v>252</v>
      </c>
      <c r="D2274" s="832">
        <v>383.31</v>
      </c>
    </row>
    <row r="2275" spans="1:4" x14ac:dyDescent="0.3">
      <c r="A2275" s="830">
        <v>102169</v>
      </c>
      <c r="B2275" s="831" t="s">
        <v>6773</v>
      </c>
      <c r="C2275" s="830" t="s">
        <v>252</v>
      </c>
      <c r="D2275" s="832">
        <v>437.2</v>
      </c>
    </row>
    <row r="2276" spans="1:4" x14ac:dyDescent="0.3">
      <c r="A2276" s="830">
        <v>102170</v>
      </c>
      <c r="B2276" s="831" t="s">
        <v>6774</v>
      </c>
      <c r="C2276" s="830" t="s">
        <v>252</v>
      </c>
      <c r="D2276" s="832">
        <v>291.55</v>
      </c>
    </row>
    <row r="2277" spans="1:4" x14ac:dyDescent="0.3">
      <c r="A2277" s="830">
        <v>102171</v>
      </c>
      <c r="B2277" s="831" t="s">
        <v>6775</v>
      </c>
      <c r="C2277" s="830" t="s">
        <v>252</v>
      </c>
      <c r="D2277" s="832">
        <v>505.8</v>
      </c>
    </row>
    <row r="2278" spans="1:4" x14ac:dyDescent="0.3">
      <c r="A2278" s="830">
        <v>102172</v>
      </c>
      <c r="B2278" s="831" t="s">
        <v>6776</v>
      </c>
      <c r="C2278" s="830" t="s">
        <v>252</v>
      </c>
      <c r="D2278" s="832">
        <v>486.87</v>
      </c>
    </row>
    <row r="2279" spans="1:4" x14ac:dyDescent="0.3">
      <c r="A2279" s="830">
        <v>102176</v>
      </c>
      <c r="B2279" s="831" t="s">
        <v>6777</v>
      </c>
      <c r="C2279" s="830" t="s">
        <v>252</v>
      </c>
      <c r="D2279" s="832">
        <v>895.35</v>
      </c>
    </row>
    <row r="2280" spans="1:4" x14ac:dyDescent="0.3">
      <c r="A2280" s="830">
        <v>102177</v>
      </c>
      <c r="B2280" s="831" t="s">
        <v>6778</v>
      </c>
      <c r="C2280" s="830" t="s">
        <v>252</v>
      </c>
      <c r="D2280" s="832">
        <v>1765.97</v>
      </c>
    </row>
    <row r="2281" spans="1:4" x14ac:dyDescent="0.3">
      <c r="A2281" s="830">
        <v>102178</v>
      </c>
      <c r="B2281" s="831" t="s">
        <v>6779</v>
      </c>
      <c r="C2281" s="830" t="s">
        <v>252</v>
      </c>
      <c r="D2281" s="832">
        <v>2020.05</v>
      </c>
    </row>
    <row r="2282" spans="1:4" x14ac:dyDescent="0.3">
      <c r="A2282" s="830">
        <v>102179</v>
      </c>
      <c r="B2282" s="831" t="s">
        <v>6780</v>
      </c>
      <c r="C2282" s="830" t="s">
        <v>252</v>
      </c>
      <c r="D2282" s="832">
        <v>312.8</v>
      </c>
    </row>
    <row r="2283" spans="1:4" x14ac:dyDescent="0.3">
      <c r="A2283" s="830">
        <v>102180</v>
      </c>
      <c r="B2283" s="831" t="s">
        <v>6781</v>
      </c>
      <c r="C2283" s="830" t="s">
        <v>252</v>
      </c>
      <c r="D2283" s="832">
        <v>353.02</v>
      </c>
    </row>
    <row r="2284" spans="1:4" x14ac:dyDescent="0.3">
      <c r="A2284" s="830">
        <v>102181</v>
      </c>
      <c r="B2284" s="831" t="s">
        <v>6782</v>
      </c>
      <c r="C2284" s="830" t="s">
        <v>252</v>
      </c>
      <c r="D2284" s="832">
        <v>408.73</v>
      </c>
    </row>
    <row r="2285" spans="1:4" x14ac:dyDescent="0.3">
      <c r="A2285" s="830">
        <v>102182</v>
      </c>
      <c r="B2285" s="831" t="s">
        <v>6783</v>
      </c>
      <c r="C2285" s="830" t="s">
        <v>89</v>
      </c>
      <c r="D2285" s="832">
        <v>857.43</v>
      </c>
    </row>
    <row r="2286" spans="1:4" x14ac:dyDescent="0.3">
      <c r="A2286" s="830">
        <v>102183</v>
      </c>
      <c r="B2286" s="831" t="s">
        <v>6784</v>
      </c>
      <c r="C2286" s="830" t="s">
        <v>89</v>
      </c>
      <c r="D2286" s="832">
        <v>1728.27</v>
      </c>
    </row>
    <row r="2287" spans="1:4" x14ac:dyDescent="0.3">
      <c r="A2287" s="830">
        <v>102184</v>
      </c>
      <c r="B2287" s="831" t="s">
        <v>6785</v>
      </c>
      <c r="C2287" s="830" t="s">
        <v>89</v>
      </c>
      <c r="D2287" s="832">
        <v>1836.69</v>
      </c>
    </row>
    <row r="2288" spans="1:4" x14ac:dyDescent="0.3">
      <c r="A2288" s="830">
        <v>102185</v>
      </c>
      <c r="B2288" s="831" t="s">
        <v>6786</v>
      </c>
      <c r="C2288" s="830" t="s">
        <v>89</v>
      </c>
      <c r="D2288" s="832">
        <v>3686.43</v>
      </c>
    </row>
    <row r="2289" spans="1:4" x14ac:dyDescent="0.3">
      <c r="A2289" s="830">
        <v>102190</v>
      </c>
      <c r="B2289" s="831" t="s">
        <v>6787</v>
      </c>
      <c r="C2289" s="830" t="s">
        <v>252</v>
      </c>
      <c r="D2289" s="832">
        <v>20.62</v>
      </c>
    </row>
    <row r="2290" spans="1:4" x14ac:dyDescent="0.3">
      <c r="A2290" s="830">
        <v>102191</v>
      </c>
      <c r="B2290" s="831" t="s">
        <v>6788</v>
      </c>
      <c r="C2290" s="830" t="s">
        <v>252</v>
      </c>
      <c r="D2290" s="832">
        <v>25.06</v>
      </c>
    </row>
    <row r="2291" spans="1:4" x14ac:dyDescent="0.3">
      <c r="A2291" s="830">
        <v>102192</v>
      </c>
      <c r="B2291" s="831" t="s">
        <v>6789</v>
      </c>
      <c r="C2291" s="830" t="s">
        <v>252</v>
      </c>
      <c r="D2291" s="832">
        <v>17.88</v>
      </c>
    </row>
    <row r="2292" spans="1:4" x14ac:dyDescent="0.3">
      <c r="A2292" s="830">
        <v>94569</v>
      </c>
      <c r="B2292" s="831" t="s">
        <v>6790</v>
      </c>
      <c r="C2292" s="830" t="s">
        <v>252</v>
      </c>
      <c r="D2292" s="832">
        <v>755.22</v>
      </c>
    </row>
    <row r="2293" spans="1:4" x14ac:dyDescent="0.3">
      <c r="A2293" s="830">
        <v>94570</v>
      </c>
      <c r="B2293" s="831" t="s">
        <v>6791</v>
      </c>
      <c r="C2293" s="830" t="s">
        <v>252</v>
      </c>
      <c r="D2293" s="832">
        <v>400.17</v>
      </c>
    </row>
    <row r="2294" spans="1:4" x14ac:dyDescent="0.3">
      <c r="A2294" s="830">
        <v>94572</v>
      </c>
      <c r="B2294" s="831" t="s">
        <v>6792</v>
      </c>
      <c r="C2294" s="830" t="s">
        <v>252</v>
      </c>
      <c r="D2294" s="832">
        <v>572.46</v>
      </c>
    </row>
    <row r="2295" spans="1:4" x14ac:dyDescent="0.3">
      <c r="A2295" s="830">
        <v>94573</v>
      </c>
      <c r="B2295" s="831" t="s">
        <v>6793</v>
      </c>
      <c r="C2295" s="830" t="s">
        <v>252</v>
      </c>
      <c r="D2295" s="832">
        <v>445.88</v>
      </c>
    </row>
    <row r="2296" spans="1:4" x14ac:dyDescent="0.3">
      <c r="A2296" s="830">
        <v>94589</v>
      </c>
      <c r="B2296" s="831" t="s">
        <v>6794</v>
      </c>
      <c r="C2296" s="830" t="s">
        <v>194</v>
      </c>
      <c r="D2296" s="832">
        <v>22.73</v>
      </c>
    </row>
    <row r="2297" spans="1:4" x14ac:dyDescent="0.3">
      <c r="A2297" s="830">
        <v>94590</v>
      </c>
      <c r="B2297" s="831" t="s">
        <v>6795</v>
      </c>
      <c r="C2297" s="830" t="s">
        <v>194</v>
      </c>
      <c r="D2297" s="832">
        <v>31.2</v>
      </c>
    </row>
    <row r="2298" spans="1:4" x14ac:dyDescent="0.3">
      <c r="A2298" s="830">
        <v>100674</v>
      </c>
      <c r="B2298" s="831" t="s">
        <v>6796</v>
      </c>
      <c r="C2298" s="830" t="s">
        <v>252</v>
      </c>
      <c r="D2298" s="832">
        <v>870.04</v>
      </c>
    </row>
    <row r="2299" spans="1:4" x14ac:dyDescent="0.3">
      <c r="A2299" s="830">
        <v>105812</v>
      </c>
      <c r="B2299" s="831" t="s">
        <v>6797</v>
      </c>
      <c r="C2299" s="830" t="s">
        <v>194</v>
      </c>
      <c r="D2299" s="832">
        <v>35.08</v>
      </c>
    </row>
    <row r="2300" spans="1:4" x14ac:dyDescent="0.3">
      <c r="A2300" s="830">
        <v>101096</v>
      </c>
      <c r="B2300" s="831" t="s">
        <v>6798</v>
      </c>
      <c r="C2300" s="830" t="s">
        <v>5247</v>
      </c>
      <c r="D2300" s="832">
        <v>1410.67</v>
      </c>
    </row>
    <row r="2301" spans="1:4" x14ac:dyDescent="0.3">
      <c r="A2301" s="830">
        <v>101097</v>
      </c>
      <c r="B2301" s="831" t="s">
        <v>6799</v>
      </c>
      <c r="C2301" s="830" t="s">
        <v>5247</v>
      </c>
      <c r="D2301" s="832">
        <v>1338.93</v>
      </c>
    </row>
    <row r="2302" spans="1:4" x14ac:dyDescent="0.3">
      <c r="A2302" s="830">
        <v>101098</v>
      </c>
      <c r="B2302" s="831" t="s">
        <v>6800</v>
      </c>
      <c r="C2302" s="830" t="s">
        <v>5247</v>
      </c>
      <c r="D2302" s="832">
        <v>1247.33</v>
      </c>
    </row>
    <row r="2303" spans="1:4" x14ac:dyDescent="0.3">
      <c r="A2303" s="830">
        <v>101099</v>
      </c>
      <c r="B2303" s="831" t="s">
        <v>6801</v>
      </c>
      <c r="C2303" s="830" t="s">
        <v>5247</v>
      </c>
      <c r="D2303" s="832">
        <v>1147.98</v>
      </c>
    </row>
    <row r="2304" spans="1:4" x14ac:dyDescent="0.3">
      <c r="A2304" s="830">
        <v>101100</v>
      </c>
      <c r="B2304" s="831" t="s">
        <v>6802</v>
      </c>
      <c r="C2304" s="830" t="s">
        <v>5247</v>
      </c>
      <c r="D2304" s="832">
        <v>1056.57</v>
      </c>
    </row>
    <row r="2305" spans="1:4" x14ac:dyDescent="0.3">
      <c r="A2305" s="830">
        <v>101101</v>
      </c>
      <c r="B2305" s="831" t="s">
        <v>6803</v>
      </c>
      <c r="C2305" s="830" t="s">
        <v>5247</v>
      </c>
      <c r="D2305" s="832">
        <v>1032.76</v>
      </c>
    </row>
    <row r="2306" spans="1:4" x14ac:dyDescent="0.3">
      <c r="A2306" s="830">
        <v>101102</v>
      </c>
      <c r="B2306" s="831" t="s">
        <v>6804</v>
      </c>
      <c r="C2306" s="830" t="s">
        <v>5247</v>
      </c>
      <c r="D2306" s="832">
        <v>1007.28</v>
      </c>
    </row>
    <row r="2307" spans="1:4" x14ac:dyDescent="0.3">
      <c r="A2307" s="830">
        <v>101103</v>
      </c>
      <c r="B2307" s="831" t="s">
        <v>6805</v>
      </c>
      <c r="C2307" s="830" t="s">
        <v>5247</v>
      </c>
      <c r="D2307" s="832">
        <v>950.83</v>
      </c>
    </row>
    <row r="2308" spans="1:4" x14ac:dyDescent="0.3">
      <c r="A2308" s="830">
        <v>101104</v>
      </c>
      <c r="B2308" s="831" t="s">
        <v>6806</v>
      </c>
      <c r="C2308" s="830" t="s">
        <v>5247</v>
      </c>
      <c r="D2308" s="832">
        <v>1281.03</v>
      </c>
    </row>
    <row r="2309" spans="1:4" x14ac:dyDescent="0.3">
      <c r="A2309" s="830">
        <v>101105</v>
      </c>
      <c r="B2309" s="831" t="s">
        <v>6807</v>
      </c>
      <c r="C2309" s="830" t="s">
        <v>5247</v>
      </c>
      <c r="D2309" s="832">
        <v>1211.6199999999999</v>
      </c>
    </row>
    <row r="2310" spans="1:4" x14ac:dyDescent="0.3">
      <c r="A2310" s="830">
        <v>101106</v>
      </c>
      <c r="B2310" s="831" t="s">
        <v>6808</v>
      </c>
      <c r="C2310" s="830" t="s">
        <v>5247</v>
      </c>
      <c r="D2310" s="832">
        <v>1124.03</v>
      </c>
    </row>
    <row r="2311" spans="1:4" x14ac:dyDescent="0.3">
      <c r="A2311" s="830">
        <v>101107</v>
      </c>
      <c r="B2311" s="831" t="s">
        <v>6809</v>
      </c>
      <c r="C2311" s="830" t="s">
        <v>5247</v>
      </c>
      <c r="D2311" s="832">
        <v>1029.3399999999999</v>
      </c>
    </row>
    <row r="2312" spans="1:4" x14ac:dyDescent="0.3">
      <c r="A2312" s="830">
        <v>101108</v>
      </c>
      <c r="B2312" s="831" t="s">
        <v>6810</v>
      </c>
      <c r="C2312" s="830" t="s">
        <v>5247</v>
      </c>
      <c r="D2312" s="832">
        <v>921.53</v>
      </c>
    </row>
    <row r="2313" spans="1:4" x14ac:dyDescent="0.3">
      <c r="A2313" s="830">
        <v>101109</v>
      </c>
      <c r="B2313" s="831" t="s">
        <v>6811</v>
      </c>
      <c r="C2313" s="830" t="s">
        <v>5247</v>
      </c>
      <c r="D2313" s="832">
        <v>900.34</v>
      </c>
    </row>
    <row r="2314" spans="1:4" x14ac:dyDescent="0.3">
      <c r="A2314" s="830">
        <v>101110</v>
      </c>
      <c r="B2314" s="831" t="s">
        <v>6812</v>
      </c>
      <c r="C2314" s="830" t="s">
        <v>5247</v>
      </c>
      <c r="D2314" s="832">
        <v>879.49</v>
      </c>
    </row>
    <row r="2315" spans="1:4" x14ac:dyDescent="0.3">
      <c r="A2315" s="830">
        <v>101111</v>
      </c>
      <c r="B2315" s="831" t="s">
        <v>6813</v>
      </c>
      <c r="C2315" s="830" t="s">
        <v>5247</v>
      </c>
      <c r="D2315" s="832">
        <v>828.31</v>
      </c>
    </row>
    <row r="2316" spans="1:4" x14ac:dyDescent="0.3">
      <c r="A2316" s="830">
        <v>101112</v>
      </c>
      <c r="B2316" s="831" t="s">
        <v>6814</v>
      </c>
      <c r="C2316" s="830" t="s">
        <v>5247</v>
      </c>
      <c r="D2316" s="832">
        <v>1038.2</v>
      </c>
    </row>
    <row r="2317" spans="1:4" x14ac:dyDescent="0.3">
      <c r="A2317" s="830">
        <v>101113</v>
      </c>
      <c r="B2317" s="831" t="s">
        <v>6815</v>
      </c>
      <c r="C2317" s="830" t="s">
        <v>5247</v>
      </c>
      <c r="D2317" s="832">
        <v>911.5</v>
      </c>
    </row>
    <row r="2318" spans="1:4" x14ac:dyDescent="0.3">
      <c r="A2318" s="830">
        <v>95601</v>
      </c>
      <c r="B2318" s="831" t="s">
        <v>6816</v>
      </c>
      <c r="C2318" s="830" t="s">
        <v>89</v>
      </c>
      <c r="D2318" s="832">
        <v>18.510000000000002</v>
      </c>
    </row>
    <row r="2319" spans="1:4" x14ac:dyDescent="0.3">
      <c r="A2319" s="830">
        <v>95602</v>
      </c>
      <c r="B2319" s="831" t="s">
        <v>6817</v>
      </c>
      <c r="C2319" s="830" t="s">
        <v>89</v>
      </c>
      <c r="D2319" s="832">
        <v>29.63</v>
      </c>
    </row>
    <row r="2320" spans="1:4" x14ac:dyDescent="0.3">
      <c r="A2320" s="830">
        <v>95603</v>
      </c>
      <c r="B2320" s="831" t="s">
        <v>6818</v>
      </c>
      <c r="C2320" s="830" t="s">
        <v>89</v>
      </c>
      <c r="D2320" s="832">
        <v>50.55</v>
      </c>
    </row>
    <row r="2321" spans="1:4" x14ac:dyDescent="0.3">
      <c r="A2321" s="830">
        <v>95604</v>
      </c>
      <c r="B2321" s="831" t="s">
        <v>6819</v>
      </c>
      <c r="C2321" s="830" t="s">
        <v>89</v>
      </c>
      <c r="D2321" s="832">
        <v>78.45</v>
      </c>
    </row>
    <row r="2322" spans="1:4" x14ac:dyDescent="0.3">
      <c r="A2322" s="830">
        <v>95605</v>
      </c>
      <c r="B2322" s="831" t="s">
        <v>6820</v>
      </c>
      <c r="C2322" s="830" t="s">
        <v>89</v>
      </c>
      <c r="D2322" s="832">
        <v>144.06</v>
      </c>
    </row>
    <row r="2323" spans="1:4" x14ac:dyDescent="0.3">
      <c r="A2323" s="830">
        <v>95607</v>
      </c>
      <c r="B2323" s="831" t="s">
        <v>6821</v>
      </c>
      <c r="C2323" s="830" t="s">
        <v>89</v>
      </c>
      <c r="D2323" s="832">
        <v>24.23</v>
      </c>
    </row>
    <row r="2324" spans="1:4" x14ac:dyDescent="0.3">
      <c r="A2324" s="830">
        <v>95608</v>
      </c>
      <c r="B2324" s="831" t="s">
        <v>6822</v>
      </c>
      <c r="C2324" s="830" t="s">
        <v>89</v>
      </c>
      <c r="D2324" s="832">
        <v>35.15</v>
      </c>
    </row>
    <row r="2325" spans="1:4" x14ac:dyDescent="0.3">
      <c r="A2325" s="830">
        <v>95609</v>
      </c>
      <c r="B2325" s="831" t="s">
        <v>6823</v>
      </c>
      <c r="C2325" s="830" t="s">
        <v>89</v>
      </c>
      <c r="D2325" s="832">
        <v>44.57</v>
      </c>
    </row>
    <row r="2326" spans="1:4" x14ac:dyDescent="0.3">
      <c r="A2326" s="830">
        <v>100651</v>
      </c>
      <c r="B2326" s="831" t="s">
        <v>6824</v>
      </c>
      <c r="C2326" s="830" t="s">
        <v>194</v>
      </c>
      <c r="D2326" s="832">
        <v>138.96</v>
      </c>
    </row>
    <row r="2327" spans="1:4" x14ac:dyDescent="0.3">
      <c r="A2327" s="830">
        <v>100652</v>
      </c>
      <c r="B2327" s="831" t="s">
        <v>6825</v>
      </c>
      <c r="C2327" s="830" t="s">
        <v>194</v>
      </c>
      <c r="D2327" s="832">
        <v>261.67</v>
      </c>
    </row>
    <row r="2328" spans="1:4" x14ac:dyDescent="0.3">
      <c r="A2328" s="830">
        <v>100653</v>
      </c>
      <c r="B2328" s="831" t="s">
        <v>6826</v>
      </c>
      <c r="C2328" s="830" t="s">
        <v>194</v>
      </c>
      <c r="D2328" s="832">
        <v>432.13</v>
      </c>
    </row>
    <row r="2329" spans="1:4" x14ac:dyDescent="0.3">
      <c r="A2329" s="830">
        <v>100654</v>
      </c>
      <c r="B2329" s="831" t="s">
        <v>6827</v>
      </c>
      <c r="C2329" s="830" t="s">
        <v>194</v>
      </c>
      <c r="D2329" s="832">
        <v>581.29999999999995</v>
      </c>
    </row>
    <row r="2330" spans="1:4" x14ac:dyDescent="0.3">
      <c r="A2330" s="830">
        <v>100655</v>
      </c>
      <c r="B2330" s="831" t="s">
        <v>6828</v>
      </c>
      <c r="C2330" s="830" t="s">
        <v>194</v>
      </c>
      <c r="D2330" s="832">
        <v>672.84</v>
      </c>
    </row>
    <row r="2331" spans="1:4" x14ac:dyDescent="0.3">
      <c r="A2331" s="830">
        <v>100656</v>
      </c>
      <c r="B2331" s="831" t="s">
        <v>6829</v>
      </c>
      <c r="C2331" s="830" t="s">
        <v>194</v>
      </c>
      <c r="D2331" s="832">
        <v>115.29</v>
      </c>
    </row>
    <row r="2332" spans="1:4" x14ac:dyDescent="0.3">
      <c r="A2332" s="830">
        <v>100657</v>
      </c>
      <c r="B2332" s="831" t="s">
        <v>6830</v>
      </c>
      <c r="C2332" s="830" t="s">
        <v>194</v>
      </c>
      <c r="D2332" s="832">
        <v>148.75</v>
      </c>
    </row>
    <row r="2333" spans="1:4" x14ac:dyDescent="0.3">
      <c r="A2333" s="830">
        <v>100658</v>
      </c>
      <c r="B2333" s="831" t="s">
        <v>6831</v>
      </c>
      <c r="C2333" s="830" t="s">
        <v>194</v>
      </c>
      <c r="D2333" s="832">
        <v>342.56</v>
      </c>
    </row>
    <row r="2334" spans="1:4" x14ac:dyDescent="0.3">
      <c r="A2334" s="830">
        <v>100889</v>
      </c>
      <c r="B2334" s="831" t="s">
        <v>6832</v>
      </c>
      <c r="C2334" s="830" t="s">
        <v>1369</v>
      </c>
      <c r="D2334" s="832">
        <v>12.02</v>
      </c>
    </row>
    <row r="2335" spans="1:4" x14ac:dyDescent="0.3">
      <c r="A2335" s="830">
        <v>100890</v>
      </c>
      <c r="B2335" s="831" t="s">
        <v>6833</v>
      </c>
      <c r="C2335" s="830" t="s">
        <v>1369</v>
      </c>
      <c r="D2335" s="832">
        <v>11.83</v>
      </c>
    </row>
    <row r="2336" spans="1:4" x14ac:dyDescent="0.3">
      <c r="A2336" s="830">
        <v>100892</v>
      </c>
      <c r="B2336" s="831" t="s">
        <v>6834</v>
      </c>
      <c r="C2336" s="830" t="s">
        <v>1369</v>
      </c>
      <c r="D2336" s="832">
        <v>12.49</v>
      </c>
    </row>
    <row r="2337" spans="1:4" x14ac:dyDescent="0.3">
      <c r="A2337" s="830">
        <v>100893</v>
      </c>
      <c r="B2337" s="831" t="s">
        <v>6835</v>
      </c>
      <c r="C2337" s="830" t="s">
        <v>1369</v>
      </c>
      <c r="D2337" s="832">
        <v>12.3</v>
      </c>
    </row>
    <row r="2338" spans="1:4" x14ac:dyDescent="0.3">
      <c r="A2338" s="830">
        <v>100894</v>
      </c>
      <c r="B2338" s="831" t="s">
        <v>6836</v>
      </c>
      <c r="C2338" s="830" t="s">
        <v>1369</v>
      </c>
      <c r="D2338" s="832">
        <v>12.17</v>
      </c>
    </row>
    <row r="2339" spans="1:4" x14ac:dyDescent="0.3">
      <c r="A2339" s="830">
        <v>100896</v>
      </c>
      <c r="B2339" s="831" t="s">
        <v>6837</v>
      </c>
      <c r="C2339" s="830" t="s">
        <v>194</v>
      </c>
      <c r="D2339" s="832">
        <v>60.51</v>
      </c>
    </row>
    <row r="2340" spans="1:4" x14ac:dyDescent="0.3">
      <c r="A2340" s="830">
        <v>100897</v>
      </c>
      <c r="B2340" s="831" t="s">
        <v>6838</v>
      </c>
      <c r="C2340" s="830" t="s">
        <v>194</v>
      </c>
      <c r="D2340" s="832">
        <v>117.01</v>
      </c>
    </row>
    <row r="2341" spans="1:4" x14ac:dyDescent="0.3">
      <c r="A2341" s="830">
        <v>100898</v>
      </c>
      <c r="B2341" s="831" t="s">
        <v>6839</v>
      </c>
      <c r="C2341" s="830" t="s">
        <v>194</v>
      </c>
      <c r="D2341" s="832">
        <v>224.64</v>
      </c>
    </row>
    <row r="2342" spans="1:4" x14ac:dyDescent="0.3">
      <c r="A2342" s="830">
        <v>100899</v>
      </c>
      <c r="B2342" s="831" t="s">
        <v>6840</v>
      </c>
      <c r="C2342" s="830" t="s">
        <v>194</v>
      </c>
      <c r="D2342" s="832">
        <v>87.13</v>
      </c>
    </row>
    <row r="2343" spans="1:4" x14ac:dyDescent="0.3">
      <c r="A2343" s="830">
        <v>100900</v>
      </c>
      <c r="B2343" s="831" t="s">
        <v>6841</v>
      </c>
      <c r="C2343" s="830" t="s">
        <v>194</v>
      </c>
      <c r="D2343" s="832">
        <v>258.20999999999998</v>
      </c>
    </row>
    <row r="2344" spans="1:4" x14ac:dyDescent="0.3">
      <c r="A2344" s="830">
        <v>101173</v>
      </c>
      <c r="B2344" s="831" t="s">
        <v>6842</v>
      </c>
      <c r="C2344" s="830" t="s">
        <v>194</v>
      </c>
      <c r="D2344" s="832">
        <v>68.53</v>
      </c>
    </row>
    <row r="2345" spans="1:4" x14ac:dyDescent="0.3">
      <c r="A2345" s="830">
        <v>101174</v>
      </c>
      <c r="B2345" s="831" t="s">
        <v>6843</v>
      </c>
      <c r="C2345" s="830" t="s">
        <v>194</v>
      </c>
      <c r="D2345" s="832">
        <v>96.6</v>
      </c>
    </row>
    <row r="2346" spans="1:4" x14ac:dyDescent="0.3">
      <c r="A2346" s="830">
        <v>101175</v>
      </c>
      <c r="B2346" s="831" t="s">
        <v>6844</v>
      </c>
      <c r="C2346" s="830" t="s">
        <v>194</v>
      </c>
      <c r="D2346" s="832">
        <v>132.02000000000001</v>
      </c>
    </row>
    <row r="2347" spans="1:4" x14ac:dyDescent="0.3">
      <c r="A2347" s="830">
        <v>101176</v>
      </c>
      <c r="B2347" s="831" t="s">
        <v>6845</v>
      </c>
      <c r="C2347" s="830" t="s">
        <v>194</v>
      </c>
      <c r="D2347" s="832">
        <v>161.99</v>
      </c>
    </row>
    <row r="2348" spans="1:4" x14ac:dyDescent="0.3">
      <c r="A2348" s="830">
        <v>102521</v>
      </c>
      <c r="B2348" s="831" t="s">
        <v>6846</v>
      </c>
      <c r="C2348" s="830" t="s">
        <v>89</v>
      </c>
      <c r="D2348" s="832">
        <v>118.84</v>
      </c>
    </row>
    <row r="2349" spans="1:4" x14ac:dyDescent="0.3">
      <c r="A2349" s="830">
        <v>102522</v>
      </c>
      <c r="B2349" s="831" t="s">
        <v>6847</v>
      </c>
      <c r="C2349" s="830" t="s">
        <v>89</v>
      </c>
      <c r="D2349" s="832">
        <v>174.34</v>
      </c>
    </row>
    <row r="2350" spans="1:4" x14ac:dyDescent="0.3">
      <c r="A2350" s="830">
        <v>102523</v>
      </c>
      <c r="B2350" s="831" t="s">
        <v>6848</v>
      </c>
      <c r="C2350" s="830" t="s">
        <v>89</v>
      </c>
      <c r="D2350" s="832">
        <v>229.84</v>
      </c>
    </row>
    <row r="2351" spans="1:4" x14ac:dyDescent="0.3">
      <c r="A2351" s="830">
        <v>95240</v>
      </c>
      <c r="B2351" s="831" t="s">
        <v>6849</v>
      </c>
      <c r="C2351" s="830" t="s">
        <v>252</v>
      </c>
      <c r="D2351" s="832">
        <v>23.25</v>
      </c>
    </row>
    <row r="2352" spans="1:4" x14ac:dyDescent="0.3">
      <c r="A2352" s="830">
        <v>95241</v>
      </c>
      <c r="B2352" s="831" t="s">
        <v>6850</v>
      </c>
      <c r="C2352" s="830" t="s">
        <v>252</v>
      </c>
      <c r="D2352" s="832">
        <v>44.96</v>
      </c>
    </row>
    <row r="2353" spans="1:4" x14ac:dyDescent="0.3">
      <c r="A2353" s="830">
        <v>96616</v>
      </c>
      <c r="B2353" s="831" t="s">
        <v>6851</v>
      </c>
      <c r="C2353" s="830" t="s">
        <v>5247</v>
      </c>
      <c r="D2353" s="832">
        <v>966.5</v>
      </c>
    </row>
    <row r="2354" spans="1:4" x14ac:dyDescent="0.3">
      <c r="A2354" s="830">
        <v>96617</v>
      </c>
      <c r="B2354" s="831" t="s">
        <v>6852</v>
      </c>
      <c r="C2354" s="830" t="s">
        <v>252</v>
      </c>
      <c r="D2354" s="832">
        <v>24.12</v>
      </c>
    </row>
    <row r="2355" spans="1:4" x14ac:dyDescent="0.3">
      <c r="A2355" s="830">
        <v>96619</v>
      </c>
      <c r="B2355" s="831" t="s">
        <v>6853</v>
      </c>
      <c r="C2355" s="830" t="s">
        <v>252</v>
      </c>
      <c r="D2355" s="832">
        <v>48.32</v>
      </c>
    </row>
    <row r="2356" spans="1:4" x14ac:dyDescent="0.3">
      <c r="A2356" s="830">
        <v>96620</v>
      </c>
      <c r="B2356" s="831" t="s">
        <v>6854</v>
      </c>
      <c r="C2356" s="830" t="s">
        <v>5247</v>
      </c>
      <c r="D2356" s="832">
        <v>899.3</v>
      </c>
    </row>
    <row r="2357" spans="1:4" x14ac:dyDescent="0.3">
      <c r="A2357" s="830">
        <v>96621</v>
      </c>
      <c r="B2357" s="831" t="s">
        <v>6855</v>
      </c>
      <c r="C2357" s="830" t="s">
        <v>5247</v>
      </c>
      <c r="D2357" s="832">
        <v>368.52</v>
      </c>
    </row>
    <row r="2358" spans="1:4" x14ac:dyDescent="0.3">
      <c r="A2358" s="830">
        <v>96622</v>
      </c>
      <c r="B2358" s="831" t="s">
        <v>6856</v>
      </c>
      <c r="C2358" s="830" t="s">
        <v>5247</v>
      </c>
      <c r="D2358" s="832">
        <v>352.46</v>
      </c>
    </row>
    <row r="2359" spans="1:4" x14ac:dyDescent="0.3">
      <c r="A2359" s="830">
        <v>96623</v>
      </c>
      <c r="B2359" s="831" t="s">
        <v>6857</v>
      </c>
      <c r="C2359" s="830" t="s">
        <v>5247</v>
      </c>
      <c r="D2359" s="832">
        <v>316.47000000000003</v>
      </c>
    </row>
    <row r="2360" spans="1:4" x14ac:dyDescent="0.3">
      <c r="A2360" s="830">
        <v>96624</v>
      </c>
      <c r="B2360" s="831" t="s">
        <v>6858</v>
      </c>
      <c r="C2360" s="830" t="s">
        <v>5247</v>
      </c>
      <c r="D2360" s="832">
        <v>300.39999999999998</v>
      </c>
    </row>
    <row r="2361" spans="1:4" x14ac:dyDescent="0.3">
      <c r="A2361" s="830">
        <v>97082</v>
      </c>
      <c r="B2361" s="831" t="s">
        <v>6859</v>
      </c>
      <c r="C2361" s="830" t="s">
        <v>5247</v>
      </c>
      <c r="D2361" s="832">
        <v>67.95</v>
      </c>
    </row>
    <row r="2362" spans="1:4" x14ac:dyDescent="0.3">
      <c r="A2362" s="830">
        <v>97083</v>
      </c>
      <c r="B2362" s="831" t="s">
        <v>6860</v>
      </c>
      <c r="C2362" s="830" t="s">
        <v>252</v>
      </c>
      <c r="D2362" s="832">
        <v>3.66</v>
      </c>
    </row>
    <row r="2363" spans="1:4" x14ac:dyDescent="0.3">
      <c r="A2363" s="830">
        <v>97084</v>
      </c>
      <c r="B2363" s="831" t="s">
        <v>6861</v>
      </c>
      <c r="C2363" s="830" t="s">
        <v>252</v>
      </c>
      <c r="D2363" s="832">
        <v>0.76</v>
      </c>
    </row>
    <row r="2364" spans="1:4" x14ac:dyDescent="0.3">
      <c r="A2364" s="830">
        <v>97086</v>
      </c>
      <c r="B2364" s="831" t="s">
        <v>6862</v>
      </c>
      <c r="C2364" s="830" t="s">
        <v>252</v>
      </c>
      <c r="D2364" s="832">
        <v>138.56</v>
      </c>
    </row>
    <row r="2365" spans="1:4" x14ac:dyDescent="0.3">
      <c r="A2365" s="830">
        <v>97087</v>
      </c>
      <c r="B2365" s="831" t="s">
        <v>6863</v>
      </c>
      <c r="C2365" s="830" t="s">
        <v>252</v>
      </c>
      <c r="D2365" s="832">
        <v>3.42</v>
      </c>
    </row>
    <row r="2366" spans="1:4" x14ac:dyDescent="0.3">
      <c r="A2366" s="830">
        <v>97088</v>
      </c>
      <c r="B2366" s="831" t="s">
        <v>6864</v>
      </c>
      <c r="C2366" s="830" t="s">
        <v>1369</v>
      </c>
      <c r="D2366" s="832">
        <v>16.37</v>
      </c>
    </row>
    <row r="2367" spans="1:4" x14ac:dyDescent="0.3">
      <c r="A2367" s="830">
        <v>97089</v>
      </c>
      <c r="B2367" s="831" t="s">
        <v>6865</v>
      </c>
      <c r="C2367" s="830" t="s">
        <v>1369</v>
      </c>
      <c r="D2367" s="832">
        <v>14.93</v>
      </c>
    </row>
    <row r="2368" spans="1:4" x14ac:dyDescent="0.3">
      <c r="A2368" s="830">
        <v>97090</v>
      </c>
      <c r="B2368" s="831" t="s">
        <v>6866</v>
      </c>
      <c r="C2368" s="830" t="s">
        <v>1369</v>
      </c>
      <c r="D2368" s="832">
        <v>14.61</v>
      </c>
    </row>
    <row r="2369" spans="1:4" x14ac:dyDescent="0.3">
      <c r="A2369" s="830">
        <v>97091</v>
      </c>
      <c r="B2369" s="831" t="s">
        <v>6867</v>
      </c>
      <c r="C2369" s="830" t="s">
        <v>1369</v>
      </c>
      <c r="D2369" s="832">
        <v>14.14</v>
      </c>
    </row>
    <row r="2370" spans="1:4" x14ac:dyDescent="0.3">
      <c r="A2370" s="830">
        <v>97092</v>
      </c>
      <c r="B2370" s="831" t="s">
        <v>6868</v>
      </c>
      <c r="C2370" s="830" t="s">
        <v>1369</v>
      </c>
      <c r="D2370" s="832">
        <v>13.65</v>
      </c>
    </row>
    <row r="2371" spans="1:4" x14ac:dyDescent="0.3">
      <c r="A2371" s="830">
        <v>97093</v>
      </c>
      <c r="B2371" s="831" t="s">
        <v>6869</v>
      </c>
      <c r="C2371" s="830" t="s">
        <v>1369</v>
      </c>
      <c r="D2371" s="832">
        <v>12.75</v>
      </c>
    </row>
    <row r="2372" spans="1:4" x14ac:dyDescent="0.3">
      <c r="A2372" s="830">
        <v>97096</v>
      </c>
      <c r="B2372" s="831" t="s">
        <v>6870</v>
      </c>
      <c r="C2372" s="830" t="s">
        <v>5247</v>
      </c>
      <c r="D2372" s="832">
        <v>594.46</v>
      </c>
    </row>
    <row r="2373" spans="1:4" x14ac:dyDescent="0.3">
      <c r="A2373" s="830">
        <v>97097</v>
      </c>
      <c r="B2373" s="831" t="s">
        <v>6871</v>
      </c>
      <c r="C2373" s="830" t="s">
        <v>252</v>
      </c>
      <c r="D2373" s="832">
        <v>43.6</v>
      </c>
    </row>
    <row r="2374" spans="1:4" x14ac:dyDescent="0.3">
      <c r="A2374" s="830">
        <v>97101</v>
      </c>
      <c r="B2374" s="831" t="s">
        <v>6872</v>
      </c>
      <c r="C2374" s="830" t="s">
        <v>252</v>
      </c>
      <c r="D2374" s="832">
        <v>185.38</v>
      </c>
    </row>
    <row r="2375" spans="1:4" x14ac:dyDescent="0.3">
      <c r="A2375" s="830">
        <v>97102</v>
      </c>
      <c r="B2375" s="831" t="s">
        <v>6873</v>
      </c>
      <c r="C2375" s="830" t="s">
        <v>252</v>
      </c>
      <c r="D2375" s="832">
        <v>228.41</v>
      </c>
    </row>
    <row r="2376" spans="1:4" x14ac:dyDescent="0.3">
      <c r="A2376" s="830">
        <v>97103</v>
      </c>
      <c r="B2376" s="831" t="s">
        <v>6874</v>
      </c>
      <c r="C2376" s="830" t="s">
        <v>252</v>
      </c>
      <c r="D2376" s="832">
        <v>267.88</v>
      </c>
    </row>
    <row r="2377" spans="1:4" x14ac:dyDescent="0.3">
      <c r="A2377" s="830">
        <v>100322</v>
      </c>
      <c r="B2377" s="831" t="s">
        <v>6875</v>
      </c>
      <c r="C2377" s="830" t="s">
        <v>5247</v>
      </c>
      <c r="D2377" s="832">
        <v>286.14</v>
      </c>
    </row>
    <row r="2378" spans="1:4" x14ac:dyDescent="0.3">
      <c r="A2378" s="830">
        <v>100323</v>
      </c>
      <c r="B2378" s="831" t="s">
        <v>6876</v>
      </c>
      <c r="C2378" s="830" t="s">
        <v>5247</v>
      </c>
      <c r="D2378" s="832">
        <v>302.27</v>
      </c>
    </row>
    <row r="2379" spans="1:4" x14ac:dyDescent="0.3">
      <c r="A2379" s="830">
        <v>100324</v>
      </c>
      <c r="B2379" s="831" t="s">
        <v>6877</v>
      </c>
      <c r="C2379" s="830" t="s">
        <v>5247</v>
      </c>
      <c r="D2379" s="832">
        <v>299.77</v>
      </c>
    </row>
    <row r="2380" spans="1:4" x14ac:dyDescent="0.3">
      <c r="A2380" s="830">
        <v>103072</v>
      </c>
      <c r="B2380" s="831" t="s">
        <v>6878</v>
      </c>
      <c r="C2380" s="830" t="s">
        <v>252</v>
      </c>
      <c r="D2380" s="832">
        <v>314.02</v>
      </c>
    </row>
    <row r="2381" spans="1:4" x14ac:dyDescent="0.3">
      <c r="A2381" s="830">
        <v>103073</v>
      </c>
      <c r="B2381" s="831" t="s">
        <v>6879</v>
      </c>
      <c r="C2381" s="830" t="s">
        <v>252</v>
      </c>
      <c r="D2381" s="832">
        <v>375.85</v>
      </c>
    </row>
    <row r="2382" spans="1:4" x14ac:dyDescent="0.3">
      <c r="A2382" s="830">
        <v>103074</v>
      </c>
      <c r="B2382" s="831" t="s">
        <v>6880</v>
      </c>
      <c r="C2382" s="830" t="s">
        <v>252</v>
      </c>
      <c r="D2382" s="832">
        <v>182.58</v>
      </c>
    </row>
    <row r="2383" spans="1:4" x14ac:dyDescent="0.3">
      <c r="A2383" s="830">
        <v>103075</v>
      </c>
      <c r="B2383" s="831" t="s">
        <v>6881</v>
      </c>
      <c r="C2383" s="830" t="s">
        <v>252</v>
      </c>
      <c r="D2383" s="832">
        <v>226.18</v>
      </c>
    </row>
    <row r="2384" spans="1:4" x14ac:dyDescent="0.3">
      <c r="A2384" s="830">
        <v>103076</v>
      </c>
      <c r="B2384" s="831" t="s">
        <v>6882</v>
      </c>
      <c r="C2384" s="830" t="s">
        <v>252</v>
      </c>
      <c r="D2384" s="832">
        <v>161.38</v>
      </c>
    </row>
    <row r="2385" spans="1:4" x14ac:dyDescent="0.3">
      <c r="A2385" s="830">
        <v>103077</v>
      </c>
      <c r="B2385" s="831" t="s">
        <v>6883</v>
      </c>
      <c r="C2385" s="830" t="s">
        <v>252</v>
      </c>
      <c r="D2385" s="832">
        <v>204.41</v>
      </c>
    </row>
    <row r="2386" spans="1:4" x14ac:dyDescent="0.3">
      <c r="A2386" s="830">
        <v>103078</v>
      </c>
      <c r="B2386" s="831" t="s">
        <v>6884</v>
      </c>
      <c r="C2386" s="830" t="s">
        <v>252</v>
      </c>
      <c r="D2386" s="832">
        <v>243.89</v>
      </c>
    </row>
    <row r="2387" spans="1:4" x14ac:dyDescent="0.3">
      <c r="A2387" s="830">
        <v>103079</v>
      </c>
      <c r="B2387" s="831" t="s">
        <v>6885</v>
      </c>
      <c r="C2387" s="830" t="s">
        <v>252</v>
      </c>
      <c r="D2387" s="832">
        <v>290.02</v>
      </c>
    </row>
    <row r="2388" spans="1:4" x14ac:dyDescent="0.3">
      <c r="A2388" s="830">
        <v>103080</v>
      </c>
      <c r="B2388" s="831" t="s">
        <v>6886</v>
      </c>
      <c r="C2388" s="830" t="s">
        <v>252</v>
      </c>
      <c r="D2388" s="832">
        <v>351.85</v>
      </c>
    </row>
    <row r="2389" spans="1:4" x14ac:dyDescent="0.3">
      <c r="A2389" s="830">
        <v>92263</v>
      </c>
      <c r="B2389" s="831" t="s">
        <v>6887</v>
      </c>
      <c r="C2389" s="830" t="s">
        <v>252</v>
      </c>
      <c r="D2389" s="832">
        <v>145.91999999999999</v>
      </c>
    </row>
    <row r="2390" spans="1:4" x14ac:dyDescent="0.3">
      <c r="A2390" s="830">
        <v>92264</v>
      </c>
      <c r="B2390" s="831" t="s">
        <v>6888</v>
      </c>
      <c r="C2390" s="830" t="s">
        <v>252</v>
      </c>
      <c r="D2390" s="832">
        <v>179.35</v>
      </c>
    </row>
    <row r="2391" spans="1:4" x14ac:dyDescent="0.3">
      <c r="A2391" s="830">
        <v>92265</v>
      </c>
      <c r="B2391" s="831" t="s">
        <v>6889</v>
      </c>
      <c r="C2391" s="830" t="s">
        <v>252</v>
      </c>
      <c r="D2391" s="832">
        <v>104.98</v>
      </c>
    </row>
    <row r="2392" spans="1:4" x14ac:dyDescent="0.3">
      <c r="A2392" s="830">
        <v>92266</v>
      </c>
      <c r="B2392" s="831" t="s">
        <v>6890</v>
      </c>
      <c r="C2392" s="830" t="s">
        <v>252</v>
      </c>
      <c r="D2392" s="832">
        <v>133.65</v>
      </c>
    </row>
    <row r="2393" spans="1:4" x14ac:dyDescent="0.3">
      <c r="A2393" s="830">
        <v>92267</v>
      </c>
      <c r="B2393" s="831" t="s">
        <v>6891</v>
      </c>
      <c r="C2393" s="830" t="s">
        <v>252</v>
      </c>
      <c r="D2393" s="832">
        <v>38.83</v>
      </c>
    </row>
    <row r="2394" spans="1:4" x14ac:dyDescent="0.3">
      <c r="A2394" s="830">
        <v>92268</v>
      </c>
      <c r="B2394" s="831" t="s">
        <v>6892</v>
      </c>
      <c r="C2394" s="830" t="s">
        <v>252</v>
      </c>
      <c r="D2394" s="832">
        <v>65.099999999999994</v>
      </c>
    </row>
    <row r="2395" spans="1:4" x14ac:dyDescent="0.3">
      <c r="A2395" s="830">
        <v>92269</v>
      </c>
      <c r="B2395" s="831" t="s">
        <v>6893</v>
      </c>
      <c r="C2395" s="830" t="s">
        <v>252</v>
      </c>
      <c r="D2395" s="832">
        <v>126.6</v>
      </c>
    </row>
    <row r="2396" spans="1:4" x14ac:dyDescent="0.3">
      <c r="A2396" s="830">
        <v>92270</v>
      </c>
      <c r="B2396" s="831" t="s">
        <v>6894</v>
      </c>
      <c r="C2396" s="830" t="s">
        <v>252</v>
      </c>
      <c r="D2396" s="832">
        <v>168.94</v>
      </c>
    </row>
    <row r="2397" spans="1:4" x14ac:dyDescent="0.3">
      <c r="A2397" s="830">
        <v>92271</v>
      </c>
      <c r="B2397" s="831" t="s">
        <v>6895</v>
      </c>
      <c r="C2397" s="830" t="s">
        <v>252</v>
      </c>
      <c r="D2397" s="832">
        <v>103.62</v>
      </c>
    </row>
    <row r="2398" spans="1:4" x14ac:dyDescent="0.3">
      <c r="A2398" s="830">
        <v>92272</v>
      </c>
      <c r="B2398" s="831" t="s">
        <v>6896</v>
      </c>
      <c r="C2398" s="830" t="s">
        <v>194</v>
      </c>
      <c r="D2398" s="832">
        <v>32.92</v>
      </c>
    </row>
    <row r="2399" spans="1:4" x14ac:dyDescent="0.3">
      <c r="A2399" s="830">
        <v>92273</v>
      </c>
      <c r="B2399" s="831" t="s">
        <v>3069</v>
      </c>
      <c r="C2399" s="830" t="s">
        <v>194</v>
      </c>
      <c r="D2399" s="832">
        <v>14.88</v>
      </c>
    </row>
    <row r="2400" spans="1:4" x14ac:dyDescent="0.3">
      <c r="A2400" s="830">
        <v>92409</v>
      </c>
      <c r="B2400" s="831" t="s">
        <v>6897</v>
      </c>
      <c r="C2400" s="830" t="s">
        <v>252</v>
      </c>
      <c r="D2400" s="832">
        <v>236.11</v>
      </c>
    </row>
    <row r="2401" spans="1:4" x14ac:dyDescent="0.3">
      <c r="A2401" s="830">
        <v>92411</v>
      </c>
      <c r="B2401" s="831" t="s">
        <v>6898</v>
      </c>
      <c r="C2401" s="830" t="s">
        <v>252</v>
      </c>
      <c r="D2401" s="832">
        <v>161.6</v>
      </c>
    </row>
    <row r="2402" spans="1:4" x14ac:dyDescent="0.3">
      <c r="A2402" s="830">
        <v>92413</v>
      </c>
      <c r="B2402" s="831" t="s">
        <v>6899</v>
      </c>
      <c r="C2402" s="830" t="s">
        <v>252</v>
      </c>
      <c r="D2402" s="832">
        <v>107.67</v>
      </c>
    </row>
    <row r="2403" spans="1:4" x14ac:dyDescent="0.3">
      <c r="A2403" s="830">
        <v>92415</v>
      </c>
      <c r="B2403" s="831" t="s">
        <v>6900</v>
      </c>
      <c r="C2403" s="830" t="s">
        <v>252</v>
      </c>
      <c r="D2403" s="832">
        <v>137.58000000000001</v>
      </c>
    </row>
    <row r="2404" spans="1:4" x14ac:dyDescent="0.3">
      <c r="A2404" s="830">
        <v>92417</v>
      </c>
      <c r="B2404" s="831" t="s">
        <v>6901</v>
      </c>
      <c r="C2404" s="830" t="s">
        <v>252</v>
      </c>
      <c r="D2404" s="832">
        <v>163.15</v>
      </c>
    </row>
    <row r="2405" spans="1:4" x14ac:dyDescent="0.3">
      <c r="A2405" s="830">
        <v>92419</v>
      </c>
      <c r="B2405" s="831" t="s">
        <v>6902</v>
      </c>
      <c r="C2405" s="830" t="s">
        <v>252</v>
      </c>
      <c r="D2405" s="832">
        <v>90.27</v>
      </c>
    </row>
    <row r="2406" spans="1:4" x14ac:dyDescent="0.3">
      <c r="A2406" s="830">
        <v>92421</v>
      </c>
      <c r="B2406" s="831" t="s">
        <v>6903</v>
      </c>
      <c r="C2406" s="830" t="s">
        <v>252</v>
      </c>
      <c r="D2406" s="832">
        <v>109.87</v>
      </c>
    </row>
    <row r="2407" spans="1:4" x14ac:dyDescent="0.3">
      <c r="A2407" s="830">
        <v>92423</v>
      </c>
      <c r="B2407" s="831" t="s">
        <v>6904</v>
      </c>
      <c r="C2407" s="830" t="s">
        <v>252</v>
      </c>
      <c r="D2407" s="832">
        <v>75.319999999999993</v>
      </c>
    </row>
    <row r="2408" spans="1:4" x14ac:dyDescent="0.3">
      <c r="A2408" s="830">
        <v>92425</v>
      </c>
      <c r="B2408" s="831" t="s">
        <v>6905</v>
      </c>
      <c r="C2408" s="830" t="s">
        <v>252</v>
      </c>
      <c r="D2408" s="832">
        <v>92.36</v>
      </c>
    </row>
    <row r="2409" spans="1:4" x14ac:dyDescent="0.3">
      <c r="A2409" s="830">
        <v>92427</v>
      </c>
      <c r="B2409" s="831" t="s">
        <v>6906</v>
      </c>
      <c r="C2409" s="830" t="s">
        <v>252</v>
      </c>
      <c r="D2409" s="832">
        <v>67.760000000000005</v>
      </c>
    </row>
    <row r="2410" spans="1:4" x14ac:dyDescent="0.3">
      <c r="A2410" s="830">
        <v>92429</v>
      </c>
      <c r="B2410" s="831" t="s">
        <v>6907</v>
      </c>
      <c r="C2410" s="830" t="s">
        <v>252</v>
      </c>
      <c r="D2410" s="832">
        <v>83.55</v>
      </c>
    </row>
    <row r="2411" spans="1:4" x14ac:dyDescent="0.3">
      <c r="A2411" s="830">
        <v>92431</v>
      </c>
      <c r="B2411" s="831" t="s">
        <v>6908</v>
      </c>
      <c r="C2411" s="830" t="s">
        <v>252</v>
      </c>
      <c r="D2411" s="832">
        <v>63.47</v>
      </c>
    </row>
    <row r="2412" spans="1:4" x14ac:dyDescent="0.3">
      <c r="A2412" s="830">
        <v>92433</v>
      </c>
      <c r="B2412" s="831" t="s">
        <v>6909</v>
      </c>
      <c r="C2412" s="830" t="s">
        <v>252</v>
      </c>
      <c r="D2412" s="832">
        <v>78.47</v>
      </c>
    </row>
    <row r="2413" spans="1:4" x14ac:dyDescent="0.3">
      <c r="A2413" s="830">
        <v>92435</v>
      </c>
      <c r="B2413" s="831" t="s">
        <v>6910</v>
      </c>
      <c r="C2413" s="830" t="s">
        <v>252</v>
      </c>
      <c r="D2413" s="832">
        <v>60.7</v>
      </c>
    </row>
    <row r="2414" spans="1:4" x14ac:dyDescent="0.3">
      <c r="A2414" s="830">
        <v>92437</v>
      </c>
      <c r="B2414" s="831" t="s">
        <v>6911</v>
      </c>
      <c r="C2414" s="830" t="s">
        <v>252</v>
      </c>
      <c r="D2414" s="832">
        <v>75.180000000000007</v>
      </c>
    </row>
    <row r="2415" spans="1:4" x14ac:dyDescent="0.3">
      <c r="A2415" s="830">
        <v>92439</v>
      </c>
      <c r="B2415" s="831" t="s">
        <v>6912</v>
      </c>
      <c r="C2415" s="830" t="s">
        <v>252</v>
      </c>
      <c r="D2415" s="832">
        <v>58.7</v>
      </c>
    </row>
    <row r="2416" spans="1:4" x14ac:dyDescent="0.3">
      <c r="A2416" s="830">
        <v>92441</v>
      </c>
      <c r="B2416" s="831" t="s">
        <v>6913</v>
      </c>
      <c r="C2416" s="830" t="s">
        <v>252</v>
      </c>
      <c r="D2416" s="832">
        <v>72.83</v>
      </c>
    </row>
    <row r="2417" spans="1:4" x14ac:dyDescent="0.3">
      <c r="A2417" s="830">
        <v>92443</v>
      </c>
      <c r="B2417" s="831" t="s">
        <v>6914</v>
      </c>
      <c r="C2417" s="830" t="s">
        <v>252</v>
      </c>
      <c r="D2417" s="832">
        <v>54.52</v>
      </c>
    </row>
    <row r="2418" spans="1:4" x14ac:dyDescent="0.3">
      <c r="A2418" s="830">
        <v>92445</v>
      </c>
      <c r="B2418" s="831" t="s">
        <v>6915</v>
      </c>
      <c r="C2418" s="830" t="s">
        <v>252</v>
      </c>
      <c r="D2418" s="832">
        <v>68.150000000000006</v>
      </c>
    </row>
    <row r="2419" spans="1:4" x14ac:dyDescent="0.3">
      <c r="A2419" s="830">
        <v>92446</v>
      </c>
      <c r="B2419" s="831" t="s">
        <v>6916</v>
      </c>
      <c r="C2419" s="830" t="s">
        <v>252</v>
      </c>
      <c r="D2419" s="832">
        <v>302.95999999999998</v>
      </c>
    </row>
    <row r="2420" spans="1:4" x14ac:dyDescent="0.3">
      <c r="A2420" s="830">
        <v>92447</v>
      </c>
      <c r="B2420" s="831" t="s">
        <v>6917</v>
      </c>
      <c r="C2420" s="830" t="s">
        <v>252</v>
      </c>
      <c r="D2420" s="832">
        <v>211.79</v>
      </c>
    </row>
    <row r="2421" spans="1:4" x14ac:dyDescent="0.3">
      <c r="A2421" s="830">
        <v>92448</v>
      </c>
      <c r="B2421" s="831" t="s">
        <v>6918</v>
      </c>
      <c r="C2421" s="830" t="s">
        <v>252</v>
      </c>
      <c r="D2421" s="832">
        <v>165.7</v>
      </c>
    </row>
    <row r="2422" spans="1:4" x14ac:dyDescent="0.3">
      <c r="A2422" s="830">
        <v>92449</v>
      </c>
      <c r="B2422" s="831" t="s">
        <v>6919</v>
      </c>
      <c r="C2422" s="830" t="s">
        <v>252</v>
      </c>
      <c r="D2422" s="832">
        <v>257.52</v>
      </c>
    </row>
    <row r="2423" spans="1:4" x14ac:dyDescent="0.3">
      <c r="A2423" s="830">
        <v>92450</v>
      </c>
      <c r="B2423" s="831" t="s">
        <v>6920</v>
      </c>
      <c r="C2423" s="830" t="s">
        <v>252</v>
      </c>
      <c r="D2423" s="832">
        <v>344.61</v>
      </c>
    </row>
    <row r="2424" spans="1:4" x14ac:dyDescent="0.3">
      <c r="A2424" s="830">
        <v>92451</v>
      </c>
      <c r="B2424" s="831" t="s">
        <v>6921</v>
      </c>
      <c r="C2424" s="830" t="s">
        <v>252</v>
      </c>
      <c r="D2424" s="832">
        <v>174.76</v>
      </c>
    </row>
    <row r="2425" spans="1:4" x14ac:dyDescent="0.3">
      <c r="A2425" s="830">
        <v>92452</v>
      </c>
      <c r="B2425" s="831" t="s">
        <v>6922</v>
      </c>
      <c r="C2425" s="830" t="s">
        <v>252</v>
      </c>
      <c r="D2425" s="832">
        <v>188.41</v>
      </c>
    </row>
    <row r="2426" spans="1:4" x14ac:dyDescent="0.3">
      <c r="A2426" s="830">
        <v>92453</v>
      </c>
      <c r="B2426" s="831" t="s">
        <v>6923</v>
      </c>
      <c r="C2426" s="830" t="s">
        <v>252</v>
      </c>
      <c r="D2426" s="832">
        <v>221.22</v>
      </c>
    </row>
    <row r="2427" spans="1:4" x14ac:dyDescent="0.3">
      <c r="A2427" s="830">
        <v>92454</v>
      </c>
      <c r="B2427" s="831" t="s">
        <v>6924</v>
      </c>
      <c r="C2427" s="830" t="s">
        <v>252</v>
      </c>
      <c r="D2427" s="832">
        <v>316.12</v>
      </c>
    </row>
    <row r="2428" spans="1:4" x14ac:dyDescent="0.3">
      <c r="A2428" s="830">
        <v>92455</v>
      </c>
      <c r="B2428" s="831" t="s">
        <v>6925</v>
      </c>
      <c r="C2428" s="830" t="s">
        <v>252</v>
      </c>
      <c r="D2428" s="832">
        <v>144</v>
      </c>
    </row>
    <row r="2429" spans="1:4" x14ac:dyDescent="0.3">
      <c r="A2429" s="830">
        <v>92456</v>
      </c>
      <c r="B2429" s="831" t="s">
        <v>6926</v>
      </c>
      <c r="C2429" s="830" t="s">
        <v>252</v>
      </c>
      <c r="D2429" s="832">
        <v>159.86000000000001</v>
      </c>
    </row>
    <row r="2430" spans="1:4" x14ac:dyDescent="0.3">
      <c r="A2430" s="830">
        <v>92457</v>
      </c>
      <c r="B2430" s="831" t="s">
        <v>6927</v>
      </c>
      <c r="C2430" s="830" t="s">
        <v>252</v>
      </c>
      <c r="D2430" s="832">
        <v>193.12</v>
      </c>
    </row>
    <row r="2431" spans="1:4" x14ac:dyDescent="0.3">
      <c r="A2431" s="830">
        <v>92458</v>
      </c>
      <c r="B2431" s="831" t="s">
        <v>6928</v>
      </c>
      <c r="C2431" s="830" t="s">
        <v>252</v>
      </c>
      <c r="D2431" s="832">
        <v>298.02</v>
      </c>
    </row>
    <row r="2432" spans="1:4" x14ac:dyDescent="0.3">
      <c r="A2432" s="830">
        <v>92459</v>
      </c>
      <c r="B2432" s="831" t="s">
        <v>6929</v>
      </c>
      <c r="C2432" s="830" t="s">
        <v>252</v>
      </c>
      <c r="D2432" s="832">
        <v>123.09</v>
      </c>
    </row>
    <row r="2433" spans="1:4" x14ac:dyDescent="0.3">
      <c r="A2433" s="830">
        <v>92460</v>
      </c>
      <c r="B2433" s="831" t="s">
        <v>6930</v>
      </c>
      <c r="C2433" s="830" t="s">
        <v>252</v>
      </c>
      <c r="D2433" s="832">
        <v>135.68</v>
      </c>
    </row>
    <row r="2434" spans="1:4" x14ac:dyDescent="0.3">
      <c r="A2434" s="830">
        <v>92461</v>
      </c>
      <c r="B2434" s="831" t="s">
        <v>6931</v>
      </c>
      <c r="C2434" s="830" t="s">
        <v>252</v>
      </c>
      <c r="D2434" s="832">
        <v>178.43</v>
      </c>
    </row>
    <row r="2435" spans="1:4" x14ac:dyDescent="0.3">
      <c r="A2435" s="830">
        <v>92462</v>
      </c>
      <c r="B2435" s="831" t="s">
        <v>6932</v>
      </c>
      <c r="C2435" s="830" t="s">
        <v>252</v>
      </c>
      <c r="D2435" s="832">
        <v>286.25</v>
      </c>
    </row>
    <row r="2436" spans="1:4" x14ac:dyDescent="0.3">
      <c r="A2436" s="830">
        <v>92463</v>
      </c>
      <c r="B2436" s="831" t="s">
        <v>6933</v>
      </c>
      <c r="C2436" s="830" t="s">
        <v>252</v>
      </c>
      <c r="D2436" s="832">
        <v>111.86</v>
      </c>
    </row>
    <row r="2437" spans="1:4" x14ac:dyDescent="0.3">
      <c r="A2437" s="830">
        <v>92464</v>
      </c>
      <c r="B2437" s="831" t="s">
        <v>6934</v>
      </c>
      <c r="C2437" s="830" t="s">
        <v>252</v>
      </c>
      <c r="D2437" s="832">
        <v>131.07</v>
      </c>
    </row>
    <row r="2438" spans="1:4" x14ac:dyDescent="0.3">
      <c r="A2438" s="830">
        <v>92465</v>
      </c>
      <c r="B2438" s="831" t="s">
        <v>6935</v>
      </c>
      <c r="C2438" s="830" t="s">
        <v>252</v>
      </c>
      <c r="D2438" s="832">
        <v>142.93</v>
      </c>
    </row>
    <row r="2439" spans="1:4" x14ac:dyDescent="0.3">
      <c r="A2439" s="830">
        <v>92466</v>
      </c>
      <c r="B2439" s="831" t="s">
        <v>6936</v>
      </c>
      <c r="C2439" s="830" t="s">
        <v>252</v>
      </c>
      <c r="D2439" s="832">
        <v>278.56</v>
      </c>
    </row>
    <row r="2440" spans="1:4" x14ac:dyDescent="0.3">
      <c r="A2440" s="830">
        <v>92467</v>
      </c>
      <c r="B2440" s="831" t="s">
        <v>6937</v>
      </c>
      <c r="C2440" s="830" t="s">
        <v>252</v>
      </c>
      <c r="D2440" s="832">
        <v>92.15</v>
      </c>
    </row>
    <row r="2441" spans="1:4" x14ac:dyDescent="0.3">
      <c r="A2441" s="830">
        <v>92468</v>
      </c>
      <c r="B2441" s="831" t="s">
        <v>6938</v>
      </c>
      <c r="C2441" s="830" t="s">
        <v>252</v>
      </c>
      <c r="D2441" s="832">
        <v>123.9</v>
      </c>
    </row>
    <row r="2442" spans="1:4" x14ac:dyDescent="0.3">
      <c r="A2442" s="830">
        <v>92469</v>
      </c>
      <c r="B2442" s="831" t="s">
        <v>6939</v>
      </c>
      <c r="C2442" s="830" t="s">
        <v>252</v>
      </c>
      <c r="D2442" s="832">
        <v>130.38999999999999</v>
      </c>
    </row>
    <row r="2443" spans="1:4" x14ac:dyDescent="0.3">
      <c r="A2443" s="830">
        <v>92470</v>
      </c>
      <c r="B2443" s="831" t="s">
        <v>6940</v>
      </c>
      <c r="C2443" s="830" t="s">
        <v>252</v>
      </c>
      <c r="D2443" s="832">
        <v>271.70999999999998</v>
      </c>
    </row>
    <row r="2444" spans="1:4" x14ac:dyDescent="0.3">
      <c r="A2444" s="830">
        <v>92471</v>
      </c>
      <c r="B2444" s="831" t="s">
        <v>6941</v>
      </c>
      <c r="C2444" s="830" t="s">
        <v>252</v>
      </c>
      <c r="D2444" s="832">
        <v>84.18</v>
      </c>
    </row>
    <row r="2445" spans="1:4" x14ac:dyDescent="0.3">
      <c r="A2445" s="830">
        <v>92472</v>
      </c>
      <c r="B2445" s="831" t="s">
        <v>6942</v>
      </c>
      <c r="C2445" s="830" t="s">
        <v>252</v>
      </c>
      <c r="D2445" s="832">
        <v>118.02</v>
      </c>
    </row>
    <row r="2446" spans="1:4" x14ac:dyDescent="0.3">
      <c r="A2446" s="830">
        <v>92473</v>
      </c>
      <c r="B2446" s="831" t="s">
        <v>6943</v>
      </c>
      <c r="C2446" s="830" t="s">
        <v>252</v>
      </c>
      <c r="D2446" s="832">
        <v>120.15</v>
      </c>
    </row>
    <row r="2447" spans="1:4" x14ac:dyDescent="0.3">
      <c r="A2447" s="830">
        <v>92474</v>
      </c>
      <c r="B2447" s="831" t="s">
        <v>6944</v>
      </c>
      <c r="C2447" s="830" t="s">
        <v>252</v>
      </c>
      <c r="D2447" s="832">
        <v>265.76</v>
      </c>
    </row>
    <row r="2448" spans="1:4" x14ac:dyDescent="0.3">
      <c r="A2448" s="830">
        <v>92475</v>
      </c>
      <c r="B2448" s="831" t="s">
        <v>6945</v>
      </c>
      <c r="C2448" s="830" t="s">
        <v>252</v>
      </c>
      <c r="D2448" s="832">
        <v>77.66</v>
      </c>
    </row>
    <row r="2449" spans="1:4" x14ac:dyDescent="0.3">
      <c r="A2449" s="830">
        <v>92476</v>
      </c>
      <c r="B2449" s="831" t="s">
        <v>6946</v>
      </c>
      <c r="C2449" s="830" t="s">
        <v>252</v>
      </c>
      <c r="D2449" s="832">
        <v>112.98</v>
      </c>
    </row>
    <row r="2450" spans="1:4" x14ac:dyDescent="0.3">
      <c r="A2450" s="830">
        <v>92477</v>
      </c>
      <c r="B2450" s="831" t="s">
        <v>6947</v>
      </c>
      <c r="C2450" s="830" t="s">
        <v>252</v>
      </c>
      <c r="D2450" s="832">
        <v>98.5</v>
      </c>
    </row>
    <row r="2451" spans="1:4" x14ac:dyDescent="0.3">
      <c r="A2451" s="830">
        <v>92478</v>
      </c>
      <c r="B2451" s="831" t="s">
        <v>6948</v>
      </c>
      <c r="C2451" s="830" t="s">
        <v>252</v>
      </c>
      <c r="D2451" s="832">
        <v>254.18</v>
      </c>
    </row>
    <row r="2452" spans="1:4" x14ac:dyDescent="0.3">
      <c r="A2452" s="830">
        <v>92479</v>
      </c>
      <c r="B2452" s="831" t="s">
        <v>6949</v>
      </c>
      <c r="C2452" s="830" t="s">
        <v>252</v>
      </c>
      <c r="D2452" s="832">
        <v>63.87</v>
      </c>
    </row>
    <row r="2453" spans="1:4" x14ac:dyDescent="0.3">
      <c r="A2453" s="830">
        <v>92480</v>
      </c>
      <c r="B2453" s="831" t="s">
        <v>6950</v>
      </c>
      <c r="C2453" s="830" t="s">
        <v>252</v>
      </c>
      <c r="D2453" s="832">
        <v>103.03</v>
      </c>
    </row>
    <row r="2454" spans="1:4" x14ac:dyDescent="0.3">
      <c r="A2454" s="830">
        <v>92482</v>
      </c>
      <c r="B2454" s="831" t="s">
        <v>6951</v>
      </c>
      <c r="C2454" s="830" t="s">
        <v>252</v>
      </c>
      <c r="D2454" s="832">
        <v>337.77</v>
      </c>
    </row>
    <row r="2455" spans="1:4" x14ac:dyDescent="0.3">
      <c r="A2455" s="830">
        <v>92484</v>
      </c>
      <c r="B2455" s="831" t="s">
        <v>6952</v>
      </c>
      <c r="C2455" s="830" t="s">
        <v>252</v>
      </c>
      <c r="D2455" s="832">
        <v>236</v>
      </c>
    </row>
    <row r="2456" spans="1:4" x14ac:dyDescent="0.3">
      <c r="A2456" s="830">
        <v>92486</v>
      </c>
      <c r="B2456" s="831" t="s">
        <v>6953</v>
      </c>
      <c r="C2456" s="830" t="s">
        <v>252</v>
      </c>
      <c r="D2456" s="832">
        <v>170.39</v>
      </c>
    </row>
    <row r="2457" spans="1:4" x14ac:dyDescent="0.3">
      <c r="A2457" s="830">
        <v>92488</v>
      </c>
      <c r="B2457" s="831" t="s">
        <v>6954</v>
      </c>
      <c r="C2457" s="830" t="s">
        <v>252</v>
      </c>
      <c r="D2457" s="832">
        <v>118.36</v>
      </c>
    </row>
    <row r="2458" spans="1:4" x14ac:dyDescent="0.3">
      <c r="A2458" s="830">
        <v>92490</v>
      </c>
      <c r="B2458" s="831" t="s">
        <v>6955</v>
      </c>
      <c r="C2458" s="830" t="s">
        <v>252</v>
      </c>
      <c r="D2458" s="832">
        <v>75.819999999999993</v>
      </c>
    </row>
    <row r="2459" spans="1:4" x14ac:dyDescent="0.3">
      <c r="A2459" s="830">
        <v>92492</v>
      </c>
      <c r="B2459" s="831" t="s">
        <v>6956</v>
      </c>
      <c r="C2459" s="830" t="s">
        <v>252</v>
      </c>
      <c r="D2459" s="832">
        <v>112.84</v>
      </c>
    </row>
    <row r="2460" spans="1:4" x14ac:dyDescent="0.3">
      <c r="A2460" s="830">
        <v>92494</v>
      </c>
      <c r="B2460" s="831" t="s">
        <v>6957</v>
      </c>
      <c r="C2460" s="830" t="s">
        <v>252</v>
      </c>
      <c r="D2460" s="832">
        <v>71.510000000000005</v>
      </c>
    </row>
    <row r="2461" spans="1:4" x14ac:dyDescent="0.3">
      <c r="A2461" s="830">
        <v>92496</v>
      </c>
      <c r="B2461" s="831" t="s">
        <v>6958</v>
      </c>
      <c r="C2461" s="830" t="s">
        <v>252</v>
      </c>
      <c r="D2461" s="832">
        <v>108.12</v>
      </c>
    </row>
    <row r="2462" spans="1:4" x14ac:dyDescent="0.3">
      <c r="A2462" s="830">
        <v>92498</v>
      </c>
      <c r="B2462" s="831" t="s">
        <v>6959</v>
      </c>
      <c r="C2462" s="830" t="s">
        <v>252</v>
      </c>
      <c r="D2462" s="832">
        <v>67.83</v>
      </c>
    </row>
    <row r="2463" spans="1:4" x14ac:dyDescent="0.3">
      <c r="A2463" s="830">
        <v>92500</v>
      </c>
      <c r="B2463" s="831" t="s">
        <v>6960</v>
      </c>
      <c r="C2463" s="830" t="s">
        <v>252</v>
      </c>
      <c r="D2463" s="832">
        <v>104.17</v>
      </c>
    </row>
    <row r="2464" spans="1:4" x14ac:dyDescent="0.3">
      <c r="A2464" s="830">
        <v>92502</v>
      </c>
      <c r="B2464" s="831" t="s">
        <v>6961</v>
      </c>
      <c r="C2464" s="830" t="s">
        <v>252</v>
      </c>
      <c r="D2464" s="832">
        <v>64.89</v>
      </c>
    </row>
    <row r="2465" spans="1:4" x14ac:dyDescent="0.3">
      <c r="A2465" s="830">
        <v>92504</v>
      </c>
      <c r="B2465" s="831" t="s">
        <v>6962</v>
      </c>
      <c r="C2465" s="830" t="s">
        <v>252</v>
      </c>
      <c r="D2465" s="832">
        <v>97.02</v>
      </c>
    </row>
    <row r="2466" spans="1:4" x14ac:dyDescent="0.3">
      <c r="A2466" s="830">
        <v>92506</v>
      </c>
      <c r="B2466" s="831" t="s">
        <v>6963</v>
      </c>
      <c r="C2466" s="830" t="s">
        <v>252</v>
      </c>
      <c r="D2466" s="832">
        <v>59.5</v>
      </c>
    </row>
    <row r="2467" spans="1:4" x14ac:dyDescent="0.3">
      <c r="A2467" s="830">
        <v>92508</v>
      </c>
      <c r="B2467" s="831" t="s">
        <v>6964</v>
      </c>
      <c r="C2467" s="830" t="s">
        <v>252</v>
      </c>
      <c r="D2467" s="832">
        <v>106.34</v>
      </c>
    </row>
    <row r="2468" spans="1:4" x14ac:dyDescent="0.3">
      <c r="A2468" s="830">
        <v>92510</v>
      </c>
      <c r="B2468" s="831" t="s">
        <v>6965</v>
      </c>
      <c r="C2468" s="830" t="s">
        <v>252</v>
      </c>
      <c r="D2468" s="832">
        <v>61.68</v>
      </c>
    </row>
    <row r="2469" spans="1:4" x14ac:dyDescent="0.3">
      <c r="A2469" s="830">
        <v>92512</v>
      </c>
      <c r="B2469" s="831" t="s">
        <v>6966</v>
      </c>
      <c r="C2469" s="830" t="s">
        <v>252</v>
      </c>
      <c r="D2469" s="832">
        <v>94.04</v>
      </c>
    </row>
    <row r="2470" spans="1:4" x14ac:dyDescent="0.3">
      <c r="A2470" s="830">
        <v>92514</v>
      </c>
      <c r="B2470" s="831" t="s">
        <v>6967</v>
      </c>
      <c r="C2470" s="830" t="s">
        <v>252</v>
      </c>
      <c r="D2470" s="832">
        <v>50.69</v>
      </c>
    </row>
    <row r="2471" spans="1:4" x14ac:dyDescent="0.3">
      <c r="A2471" s="830">
        <v>92515</v>
      </c>
      <c r="B2471" s="831" t="s">
        <v>6968</v>
      </c>
      <c r="C2471" s="830" t="s">
        <v>252</v>
      </c>
      <c r="D2471" s="832">
        <v>87.4</v>
      </c>
    </row>
    <row r="2472" spans="1:4" x14ac:dyDescent="0.3">
      <c r="A2472" s="830">
        <v>92518</v>
      </c>
      <c r="B2472" s="831" t="s">
        <v>6969</v>
      </c>
      <c r="C2472" s="830" t="s">
        <v>252</v>
      </c>
      <c r="D2472" s="832">
        <v>45.29</v>
      </c>
    </row>
    <row r="2473" spans="1:4" x14ac:dyDescent="0.3">
      <c r="A2473" s="830">
        <v>92520</v>
      </c>
      <c r="B2473" s="831" t="s">
        <v>6970</v>
      </c>
      <c r="C2473" s="830" t="s">
        <v>252</v>
      </c>
      <c r="D2473" s="832">
        <v>82.75</v>
      </c>
    </row>
    <row r="2474" spans="1:4" x14ac:dyDescent="0.3">
      <c r="A2474" s="830">
        <v>92522</v>
      </c>
      <c r="B2474" s="831" t="s">
        <v>6971</v>
      </c>
      <c r="C2474" s="830" t="s">
        <v>252</v>
      </c>
      <c r="D2474" s="832">
        <v>41.78</v>
      </c>
    </row>
    <row r="2475" spans="1:4" x14ac:dyDescent="0.3">
      <c r="A2475" s="830">
        <v>92524</v>
      </c>
      <c r="B2475" s="831" t="s">
        <v>6972</v>
      </c>
      <c r="C2475" s="830" t="s">
        <v>252</v>
      </c>
      <c r="D2475" s="832">
        <v>81.5</v>
      </c>
    </row>
    <row r="2476" spans="1:4" x14ac:dyDescent="0.3">
      <c r="A2476" s="830">
        <v>92526</v>
      </c>
      <c r="B2476" s="831" t="s">
        <v>6973</v>
      </c>
      <c r="C2476" s="830" t="s">
        <v>252</v>
      </c>
      <c r="D2476" s="832">
        <v>41.59</v>
      </c>
    </row>
    <row r="2477" spans="1:4" x14ac:dyDescent="0.3">
      <c r="A2477" s="830">
        <v>92528</v>
      </c>
      <c r="B2477" s="831" t="s">
        <v>6974</v>
      </c>
      <c r="C2477" s="830" t="s">
        <v>252</v>
      </c>
      <c r="D2477" s="832">
        <v>78.27</v>
      </c>
    </row>
    <row r="2478" spans="1:4" x14ac:dyDescent="0.3">
      <c r="A2478" s="830">
        <v>92530</v>
      </c>
      <c r="B2478" s="831" t="s">
        <v>6975</v>
      </c>
      <c r="C2478" s="830" t="s">
        <v>252</v>
      </c>
      <c r="D2478" s="832">
        <v>39.35</v>
      </c>
    </row>
    <row r="2479" spans="1:4" x14ac:dyDescent="0.3">
      <c r="A2479" s="830">
        <v>92532</v>
      </c>
      <c r="B2479" s="831" t="s">
        <v>6976</v>
      </c>
      <c r="C2479" s="830" t="s">
        <v>252</v>
      </c>
      <c r="D2479" s="832">
        <v>75.45</v>
      </c>
    </row>
    <row r="2480" spans="1:4" x14ac:dyDescent="0.3">
      <c r="A2480" s="830">
        <v>92534</v>
      </c>
      <c r="B2480" s="831" t="s">
        <v>6977</v>
      </c>
      <c r="C2480" s="830" t="s">
        <v>252</v>
      </c>
      <c r="D2480" s="832">
        <v>37.409999999999997</v>
      </c>
    </row>
    <row r="2481" spans="1:4" x14ac:dyDescent="0.3">
      <c r="A2481" s="830">
        <v>92536</v>
      </c>
      <c r="B2481" s="831" t="s">
        <v>6978</v>
      </c>
      <c r="C2481" s="830" t="s">
        <v>252</v>
      </c>
      <c r="D2481" s="832">
        <v>70.09</v>
      </c>
    </row>
    <row r="2482" spans="1:4" x14ac:dyDescent="0.3">
      <c r="A2482" s="830">
        <v>92538</v>
      </c>
      <c r="B2482" s="831" t="s">
        <v>6979</v>
      </c>
      <c r="C2482" s="830" t="s">
        <v>252</v>
      </c>
      <c r="D2482" s="832">
        <v>33.619999999999997</v>
      </c>
    </row>
    <row r="2483" spans="1:4" x14ac:dyDescent="0.3">
      <c r="A2483" s="830">
        <v>96252</v>
      </c>
      <c r="B2483" s="831" t="s">
        <v>6980</v>
      </c>
      <c r="C2483" s="830" t="s">
        <v>252</v>
      </c>
      <c r="D2483" s="832">
        <v>133.27000000000001</v>
      </c>
    </row>
    <row r="2484" spans="1:4" x14ac:dyDescent="0.3">
      <c r="A2484" s="830">
        <v>96258</v>
      </c>
      <c r="B2484" s="831" t="s">
        <v>6981</v>
      </c>
      <c r="C2484" s="830" t="s">
        <v>252</v>
      </c>
      <c r="D2484" s="832">
        <v>137.58000000000001</v>
      </c>
    </row>
    <row r="2485" spans="1:4" x14ac:dyDescent="0.3">
      <c r="A2485" s="830">
        <v>96529</v>
      </c>
      <c r="B2485" s="831" t="s">
        <v>6982</v>
      </c>
      <c r="C2485" s="830" t="s">
        <v>252</v>
      </c>
      <c r="D2485" s="832">
        <v>258.08</v>
      </c>
    </row>
    <row r="2486" spans="1:4" x14ac:dyDescent="0.3">
      <c r="A2486" s="830">
        <v>96530</v>
      </c>
      <c r="B2486" s="831" t="s">
        <v>6983</v>
      </c>
      <c r="C2486" s="830" t="s">
        <v>252</v>
      </c>
      <c r="D2486" s="832">
        <v>141.94</v>
      </c>
    </row>
    <row r="2487" spans="1:4" x14ac:dyDescent="0.3">
      <c r="A2487" s="830">
        <v>96531</v>
      </c>
      <c r="B2487" s="831" t="s">
        <v>6984</v>
      </c>
      <c r="C2487" s="830" t="s">
        <v>252</v>
      </c>
      <c r="D2487" s="832">
        <v>106.2</v>
      </c>
    </row>
    <row r="2488" spans="1:4" x14ac:dyDescent="0.3">
      <c r="A2488" s="830">
        <v>96532</v>
      </c>
      <c r="B2488" s="831" t="s">
        <v>6985</v>
      </c>
      <c r="C2488" s="830" t="s">
        <v>252</v>
      </c>
      <c r="D2488" s="832">
        <v>178.09</v>
      </c>
    </row>
    <row r="2489" spans="1:4" x14ac:dyDescent="0.3">
      <c r="A2489" s="830">
        <v>96533</v>
      </c>
      <c r="B2489" s="831" t="s">
        <v>6986</v>
      </c>
      <c r="C2489" s="830" t="s">
        <v>252</v>
      </c>
      <c r="D2489" s="832">
        <v>94.22</v>
      </c>
    </row>
    <row r="2490" spans="1:4" x14ac:dyDescent="0.3">
      <c r="A2490" s="830">
        <v>96534</v>
      </c>
      <c r="B2490" s="831" t="s">
        <v>6987</v>
      </c>
      <c r="C2490" s="830" t="s">
        <v>252</v>
      </c>
      <c r="D2490" s="832">
        <v>80.28</v>
      </c>
    </row>
    <row r="2491" spans="1:4" x14ac:dyDescent="0.3">
      <c r="A2491" s="830">
        <v>96535</v>
      </c>
      <c r="B2491" s="831" t="s">
        <v>6988</v>
      </c>
      <c r="C2491" s="830" t="s">
        <v>252</v>
      </c>
      <c r="D2491" s="832">
        <v>136.47999999999999</v>
      </c>
    </row>
    <row r="2492" spans="1:4" x14ac:dyDescent="0.3">
      <c r="A2492" s="830">
        <v>96536</v>
      </c>
      <c r="B2492" s="831" t="s">
        <v>6989</v>
      </c>
      <c r="C2492" s="830" t="s">
        <v>252</v>
      </c>
      <c r="D2492" s="832">
        <v>69.37</v>
      </c>
    </row>
    <row r="2493" spans="1:4" x14ac:dyDescent="0.3">
      <c r="A2493" s="830">
        <v>96537</v>
      </c>
      <c r="B2493" s="831" t="s">
        <v>6990</v>
      </c>
      <c r="C2493" s="830" t="s">
        <v>252</v>
      </c>
      <c r="D2493" s="832">
        <v>177.36</v>
      </c>
    </row>
    <row r="2494" spans="1:4" x14ac:dyDescent="0.3">
      <c r="A2494" s="830">
        <v>96538</v>
      </c>
      <c r="B2494" s="831" t="s">
        <v>6991</v>
      </c>
      <c r="C2494" s="830" t="s">
        <v>252</v>
      </c>
      <c r="D2494" s="832">
        <v>242.75</v>
      </c>
    </row>
    <row r="2495" spans="1:4" x14ac:dyDescent="0.3">
      <c r="A2495" s="830">
        <v>96539</v>
      </c>
      <c r="B2495" s="831" t="s">
        <v>6992</v>
      </c>
      <c r="C2495" s="830" t="s">
        <v>252</v>
      </c>
      <c r="D2495" s="832">
        <v>124.71</v>
      </c>
    </row>
    <row r="2496" spans="1:4" x14ac:dyDescent="0.3">
      <c r="A2496" s="830">
        <v>96540</v>
      </c>
      <c r="B2496" s="831" t="s">
        <v>6993</v>
      </c>
      <c r="C2496" s="830" t="s">
        <v>252</v>
      </c>
      <c r="D2496" s="832">
        <v>128.78</v>
      </c>
    </row>
    <row r="2497" spans="1:4" x14ac:dyDescent="0.3">
      <c r="A2497" s="830">
        <v>96541</v>
      </c>
      <c r="B2497" s="831" t="s">
        <v>6994</v>
      </c>
      <c r="C2497" s="830" t="s">
        <v>252</v>
      </c>
      <c r="D2497" s="832">
        <v>182.69</v>
      </c>
    </row>
    <row r="2498" spans="1:4" x14ac:dyDescent="0.3">
      <c r="A2498" s="830">
        <v>96542</v>
      </c>
      <c r="B2498" s="831" t="s">
        <v>6995</v>
      </c>
      <c r="C2498" s="830" t="s">
        <v>252</v>
      </c>
      <c r="D2498" s="832">
        <v>95.77</v>
      </c>
    </row>
    <row r="2499" spans="1:4" x14ac:dyDescent="0.3">
      <c r="A2499" s="830">
        <v>96543</v>
      </c>
      <c r="B2499" s="831" t="s">
        <v>6996</v>
      </c>
      <c r="C2499" s="830" t="s">
        <v>1369</v>
      </c>
      <c r="D2499" s="832">
        <v>21.78</v>
      </c>
    </row>
    <row r="2500" spans="1:4" x14ac:dyDescent="0.3">
      <c r="A2500" s="830">
        <v>101791</v>
      </c>
      <c r="B2500" s="831" t="s">
        <v>6997</v>
      </c>
      <c r="C2500" s="830" t="s">
        <v>194</v>
      </c>
      <c r="D2500" s="832">
        <v>24.86</v>
      </c>
    </row>
    <row r="2501" spans="1:4" x14ac:dyDescent="0.3">
      <c r="A2501" s="830">
        <v>101792</v>
      </c>
      <c r="B2501" s="831" t="s">
        <v>543</v>
      </c>
      <c r="C2501" s="830" t="s">
        <v>5247</v>
      </c>
      <c r="D2501" s="832">
        <v>17.05</v>
      </c>
    </row>
    <row r="2502" spans="1:4" x14ac:dyDescent="0.3">
      <c r="A2502" s="830">
        <v>101793</v>
      </c>
      <c r="B2502" s="831" t="s">
        <v>6998</v>
      </c>
      <c r="C2502" s="830" t="s">
        <v>5247</v>
      </c>
      <c r="D2502" s="832">
        <v>25.84</v>
      </c>
    </row>
    <row r="2503" spans="1:4" x14ac:dyDescent="0.3">
      <c r="A2503" s="830">
        <v>101969</v>
      </c>
      <c r="B2503" s="831" t="s">
        <v>6999</v>
      </c>
      <c r="C2503" s="830" t="s">
        <v>252</v>
      </c>
      <c r="D2503" s="832">
        <v>161.75</v>
      </c>
    </row>
    <row r="2504" spans="1:4" x14ac:dyDescent="0.3">
      <c r="A2504" s="830">
        <v>101971</v>
      </c>
      <c r="B2504" s="831" t="s">
        <v>7000</v>
      </c>
      <c r="C2504" s="830" t="s">
        <v>252</v>
      </c>
      <c r="D2504" s="832">
        <v>131.78</v>
      </c>
    </row>
    <row r="2505" spans="1:4" x14ac:dyDescent="0.3">
      <c r="A2505" s="830">
        <v>101973</v>
      </c>
      <c r="B2505" s="831" t="s">
        <v>7001</v>
      </c>
      <c r="C2505" s="830" t="s">
        <v>252</v>
      </c>
      <c r="D2505" s="832">
        <v>205.21</v>
      </c>
    </row>
    <row r="2506" spans="1:4" x14ac:dyDescent="0.3">
      <c r="A2506" s="830">
        <v>101974</v>
      </c>
      <c r="B2506" s="831" t="s">
        <v>7002</v>
      </c>
      <c r="C2506" s="830" t="s">
        <v>252</v>
      </c>
      <c r="D2506" s="832">
        <v>501.1</v>
      </c>
    </row>
    <row r="2507" spans="1:4" x14ac:dyDescent="0.3">
      <c r="A2507" s="830">
        <v>101975</v>
      </c>
      <c r="B2507" s="831" t="s">
        <v>7003</v>
      </c>
      <c r="C2507" s="830" t="s">
        <v>252</v>
      </c>
      <c r="D2507" s="832">
        <v>423.59</v>
      </c>
    </row>
    <row r="2508" spans="1:4" x14ac:dyDescent="0.3">
      <c r="A2508" s="830">
        <v>101977</v>
      </c>
      <c r="B2508" s="831" t="s">
        <v>7004</v>
      </c>
      <c r="C2508" s="830" t="s">
        <v>252</v>
      </c>
      <c r="D2508" s="832">
        <v>314.31</v>
      </c>
    </row>
    <row r="2509" spans="1:4" x14ac:dyDescent="0.3">
      <c r="A2509" s="830">
        <v>101980</v>
      </c>
      <c r="B2509" s="831" t="s">
        <v>7005</v>
      </c>
      <c r="C2509" s="830" t="s">
        <v>252</v>
      </c>
      <c r="D2509" s="832">
        <v>291.33999999999997</v>
      </c>
    </row>
    <row r="2510" spans="1:4" x14ac:dyDescent="0.3">
      <c r="A2510" s="830">
        <v>101981</v>
      </c>
      <c r="B2510" s="831" t="s">
        <v>7006</v>
      </c>
      <c r="C2510" s="830" t="s">
        <v>252</v>
      </c>
      <c r="D2510" s="832">
        <v>251.07</v>
      </c>
    </row>
    <row r="2511" spans="1:4" x14ac:dyDescent="0.3">
      <c r="A2511" s="830">
        <v>101982</v>
      </c>
      <c r="B2511" s="831" t="s">
        <v>7007</v>
      </c>
      <c r="C2511" s="830" t="s">
        <v>252</v>
      </c>
      <c r="D2511" s="832">
        <v>227.18</v>
      </c>
    </row>
    <row r="2512" spans="1:4" x14ac:dyDescent="0.3">
      <c r="A2512" s="830">
        <v>101983</v>
      </c>
      <c r="B2512" s="831" t="s">
        <v>7008</v>
      </c>
      <c r="C2512" s="830" t="s">
        <v>252</v>
      </c>
      <c r="D2512" s="832">
        <v>212.19</v>
      </c>
    </row>
    <row r="2513" spans="1:4" x14ac:dyDescent="0.3">
      <c r="A2513" s="830">
        <v>101985</v>
      </c>
      <c r="B2513" s="831" t="s">
        <v>7009</v>
      </c>
      <c r="C2513" s="830" t="s">
        <v>252</v>
      </c>
      <c r="D2513" s="832">
        <v>164.26</v>
      </c>
    </row>
    <row r="2514" spans="1:4" x14ac:dyDescent="0.3">
      <c r="A2514" s="830">
        <v>101986</v>
      </c>
      <c r="B2514" s="831" t="s">
        <v>7010</v>
      </c>
      <c r="C2514" s="830" t="s">
        <v>252</v>
      </c>
      <c r="D2514" s="832">
        <v>126.15</v>
      </c>
    </row>
    <row r="2515" spans="1:4" x14ac:dyDescent="0.3">
      <c r="A2515" s="830">
        <v>101987</v>
      </c>
      <c r="B2515" s="831" t="s">
        <v>7011</v>
      </c>
      <c r="C2515" s="830" t="s">
        <v>252</v>
      </c>
      <c r="D2515" s="832">
        <v>240.59</v>
      </c>
    </row>
    <row r="2516" spans="1:4" x14ac:dyDescent="0.3">
      <c r="A2516" s="830">
        <v>101988</v>
      </c>
      <c r="B2516" s="831" t="s">
        <v>7012</v>
      </c>
      <c r="C2516" s="830" t="s">
        <v>252</v>
      </c>
      <c r="D2516" s="832">
        <v>169.98</v>
      </c>
    </row>
    <row r="2517" spans="1:4" x14ac:dyDescent="0.3">
      <c r="A2517" s="830">
        <v>101989</v>
      </c>
      <c r="B2517" s="831" t="s">
        <v>7013</v>
      </c>
      <c r="C2517" s="830" t="s">
        <v>252</v>
      </c>
      <c r="D2517" s="832">
        <v>140.38999999999999</v>
      </c>
    </row>
    <row r="2518" spans="1:4" x14ac:dyDescent="0.3">
      <c r="A2518" s="830">
        <v>101990</v>
      </c>
      <c r="B2518" s="831" t="s">
        <v>7014</v>
      </c>
      <c r="C2518" s="830" t="s">
        <v>252</v>
      </c>
      <c r="D2518" s="832">
        <v>220.89</v>
      </c>
    </row>
    <row r="2519" spans="1:4" x14ac:dyDescent="0.3">
      <c r="A2519" s="830">
        <v>101991</v>
      </c>
      <c r="B2519" s="831" t="s">
        <v>7015</v>
      </c>
      <c r="C2519" s="830" t="s">
        <v>252</v>
      </c>
      <c r="D2519" s="832">
        <v>166.63</v>
      </c>
    </row>
    <row r="2520" spans="1:4" x14ac:dyDescent="0.3">
      <c r="A2520" s="830">
        <v>101992</v>
      </c>
      <c r="B2520" s="831" t="s">
        <v>7016</v>
      </c>
      <c r="C2520" s="830" t="s">
        <v>252</v>
      </c>
      <c r="D2520" s="832">
        <v>130.19999999999999</v>
      </c>
    </row>
    <row r="2521" spans="1:4" x14ac:dyDescent="0.3">
      <c r="A2521" s="830">
        <v>101993</v>
      </c>
      <c r="B2521" s="831" t="s">
        <v>7017</v>
      </c>
      <c r="C2521" s="830" t="s">
        <v>252</v>
      </c>
      <c r="D2521" s="832">
        <v>281.83</v>
      </c>
    </row>
    <row r="2522" spans="1:4" x14ac:dyDescent="0.3">
      <c r="A2522" s="830">
        <v>101994</v>
      </c>
      <c r="B2522" s="831" t="s">
        <v>7018</v>
      </c>
      <c r="C2522" s="830" t="s">
        <v>252</v>
      </c>
      <c r="D2522" s="832">
        <v>178.22</v>
      </c>
    </row>
    <row r="2523" spans="1:4" x14ac:dyDescent="0.3">
      <c r="A2523" s="830">
        <v>101995</v>
      </c>
      <c r="B2523" s="831" t="s">
        <v>7019</v>
      </c>
      <c r="C2523" s="830" t="s">
        <v>252</v>
      </c>
      <c r="D2523" s="832">
        <v>145</v>
      </c>
    </row>
    <row r="2524" spans="1:4" x14ac:dyDescent="0.3">
      <c r="A2524" s="830">
        <v>101996</v>
      </c>
      <c r="B2524" s="831" t="s">
        <v>7020</v>
      </c>
      <c r="C2524" s="830" t="s">
        <v>252</v>
      </c>
      <c r="D2524" s="832">
        <v>236.95</v>
      </c>
    </row>
    <row r="2525" spans="1:4" x14ac:dyDescent="0.3">
      <c r="A2525" s="830">
        <v>101997</v>
      </c>
      <c r="B2525" s="831" t="s">
        <v>7021</v>
      </c>
      <c r="C2525" s="830" t="s">
        <v>252</v>
      </c>
      <c r="D2525" s="832">
        <v>165.68</v>
      </c>
    </row>
    <row r="2526" spans="1:4" x14ac:dyDescent="0.3">
      <c r="A2526" s="830">
        <v>101998</v>
      </c>
      <c r="B2526" s="831" t="s">
        <v>7022</v>
      </c>
      <c r="C2526" s="830" t="s">
        <v>252</v>
      </c>
      <c r="D2526" s="832">
        <v>128.41999999999999</v>
      </c>
    </row>
    <row r="2527" spans="1:4" x14ac:dyDescent="0.3">
      <c r="A2527" s="830">
        <v>101999</v>
      </c>
      <c r="B2527" s="831" t="s">
        <v>7023</v>
      </c>
      <c r="C2527" s="830" t="s">
        <v>252</v>
      </c>
      <c r="D2527" s="832">
        <v>301.64999999999998</v>
      </c>
    </row>
    <row r="2528" spans="1:4" x14ac:dyDescent="0.3">
      <c r="A2528" s="830">
        <v>102000</v>
      </c>
      <c r="B2528" s="831" t="s">
        <v>7024</v>
      </c>
      <c r="C2528" s="830" t="s">
        <v>252</v>
      </c>
      <c r="D2528" s="832">
        <v>510.88</v>
      </c>
    </row>
    <row r="2529" spans="1:4" x14ac:dyDescent="0.3">
      <c r="A2529" s="830">
        <v>102001</v>
      </c>
      <c r="B2529" s="831" t="s">
        <v>7025</v>
      </c>
      <c r="C2529" s="830" t="s">
        <v>252</v>
      </c>
      <c r="D2529" s="832">
        <v>437.05</v>
      </c>
    </row>
    <row r="2530" spans="1:4" x14ac:dyDescent="0.3">
      <c r="A2530" s="830">
        <v>102002</v>
      </c>
      <c r="B2530" s="831" t="s">
        <v>7026</v>
      </c>
      <c r="C2530" s="830" t="s">
        <v>252</v>
      </c>
      <c r="D2530" s="832">
        <v>300.14999999999998</v>
      </c>
    </row>
    <row r="2531" spans="1:4" x14ac:dyDescent="0.3">
      <c r="A2531" s="830">
        <v>102003</v>
      </c>
      <c r="B2531" s="831" t="s">
        <v>7027</v>
      </c>
      <c r="C2531" s="830" t="s">
        <v>252</v>
      </c>
      <c r="D2531" s="832">
        <v>274.68</v>
      </c>
    </row>
    <row r="2532" spans="1:4" x14ac:dyDescent="0.3">
      <c r="A2532" s="830">
        <v>102004</v>
      </c>
      <c r="B2532" s="831" t="s">
        <v>7028</v>
      </c>
      <c r="C2532" s="830" t="s">
        <v>252</v>
      </c>
      <c r="D2532" s="832">
        <v>239.12</v>
      </c>
    </row>
    <row r="2533" spans="1:4" x14ac:dyDescent="0.3">
      <c r="A2533" s="830">
        <v>102005</v>
      </c>
      <c r="B2533" s="831" t="s">
        <v>7029</v>
      </c>
      <c r="C2533" s="830" t="s">
        <v>252</v>
      </c>
      <c r="D2533" s="832">
        <v>214.96</v>
      </c>
    </row>
    <row r="2534" spans="1:4" x14ac:dyDescent="0.3">
      <c r="A2534" s="830">
        <v>102006</v>
      </c>
      <c r="B2534" s="831" t="s">
        <v>7030</v>
      </c>
      <c r="C2534" s="830" t="s">
        <v>252</v>
      </c>
      <c r="D2534" s="832">
        <v>199.79</v>
      </c>
    </row>
    <row r="2535" spans="1:4" x14ac:dyDescent="0.3">
      <c r="A2535" s="830">
        <v>102007</v>
      </c>
      <c r="B2535" s="831" t="s">
        <v>7031</v>
      </c>
      <c r="C2535" s="830" t="s">
        <v>252</v>
      </c>
      <c r="D2535" s="832">
        <v>495.86</v>
      </c>
    </row>
    <row r="2536" spans="1:4" x14ac:dyDescent="0.3">
      <c r="A2536" s="830">
        <v>102008</v>
      </c>
      <c r="B2536" s="831" t="s">
        <v>7032</v>
      </c>
      <c r="C2536" s="830" t="s">
        <v>252</v>
      </c>
      <c r="D2536" s="832">
        <v>412.12</v>
      </c>
    </row>
    <row r="2537" spans="1:4" x14ac:dyDescent="0.3">
      <c r="A2537" s="830">
        <v>102009</v>
      </c>
      <c r="B2537" s="831" t="s">
        <v>7033</v>
      </c>
      <c r="C2537" s="830" t="s">
        <v>252</v>
      </c>
      <c r="D2537" s="832">
        <v>315.95</v>
      </c>
    </row>
    <row r="2538" spans="1:4" x14ac:dyDescent="0.3">
      <c r="A2538" s="830">
        <v>102010</v>
      </c>
      <c r="B2538" s="831" t="s">
        <v>7034</v>
      </c>
      <c r="C2538" s="830" t="s">
        <v>252</v>
      </c>
      <c r="D2538" s="832">
        <v>289.92</v>
      </c>
    </row>
    <row r="2539" spans="1:4" x14ac:dyDescent="0.3">
      <c r="A2539" s="830">
        <v>102011</v>
      </c>
      <c r="B2539" s="831" t="s">
        <v>7035</v>
      </c>
      <c r="C2539" s="830" t="s">
        <v>252</v>
      </c>
      <c r="D2539" s="832">
        <v>247.32</v>
      </c>
    </row>
    <row r="2540" spans="1:4" x14ac:dyDescent="0.3">
      <c r="A2540" s="830">
        <v>102012</v>
      </c>
      <c r="B2540" s="831" t="s">
        <v>7036</v>
      </c>
      <c r="C2540" s="830" t="s">
        <v>252</v>
      </c>
      <c r="D2540" s="832">
        <v>222.54</v>
      </c>
    </row>
    <row r="2541" spans="1:4" x14ac:dyDescent="0.3">
      <c r="A2541" s="830">
        <v>102013</v>
      </c>
      <c r="B2541" s="831" t="s">
        <v>7037</v>
      </c>
      <c r="C2541" s="830" t="s">
        <v>252</v>
      </c>
      <c r="D2541" s="832">
        <v>208.67</v>
      </c>
    </row>
    <row r="2542" spans="1:4" x14ac:dyDescent="0.3">
      <c r="A2542" s="830">
        <v>102014</v>
      </c>
      <c r="B2542" s="831" t="s">
        <v>7038</v>
      </c>
      <c r="C2542" s="830" t="s">
        <v>252</v>
      </c>
      <c r="D2542" s="832">
        <v>552.1</v>
      </c>
    </row>
    <row r="2543" spans="1:4" x14ac:dyDescent="0.3">
      <c r="A2543" s="830">
        <v>102015</v>
      </c>
      <c r="B2543" s="831" t="s">
        <v>7039</v>
      </c>
      <c r="C2543" s="830" t="s">
        <v>252</v>
      </c>
      <c r="D2543" s="832">
        <v>460.55</v>
      </c>
    </row>
    <row r="2544" spans="1:4" x14ac:dyDescent="0.3">
      <c r="A2544" s="830">
        <v>102016</v>
      </c>
      <c r="B2544" s="831" t="s">
        <v>7040</v>
      </c>
      <c r="C2544" s="830" t="s">
        <v>252</v>
      </c>
      <c r="D2544" s="832">
        <v>299.51</v>
      </c>
    </row>
    <row r="2545" spans="1:4" x14ac:dyDescent="0.3">
      <c r="A2545" s="830">
        <v>102017</v>
      </c>
      <c r="B2545" s="831" t="s">
        <v>7041</v>
      </c>
      <c r="C2545" s="830" t="s">
        <v>252</v>
      </c>
      <c r="D2545" s="832">
        <v>271.91000000000003</v>
      </c>
    </row>
    <row r="2546" spans="1:4" x14ac:dyDescent="0.3">
      <c r="A2546" s="830">
        <v>102036</v>
      </c>
      <c r="B2546" s="831" t="s">
        <v>7042</v>
      </c>
      <c r="C2546" s="830" t="s">
        <v>252</v>
      </c>
      <c r="D2546" s="832">
        <v>234.49</v>
      </c>
    </row>
    <row r="2547" spans="1:4" x14ac:dyDescent="0.3">
      <c r="A2547" s="830">
        <v>102037</v>
      </c>
      <c r="B2547" s="831" t="s">
        <v>7043</v>
      </c>
      <c r="C2547" s="830" t="s">
        <v>252</v>
      </c>
      <c r="D2547" s="832">
        <v>210.07</v>
      </c>
    </row>
    <row r="2548" spans="1:4" x14ac:dyDescent="0.3">
      <c r="A2548" s="830">
        <v>102038</v>
      </c>
      <c r="B2548" s="831" t="s">
        <v>7044</v>
      </c>
      <c r="C2548" s="830" t="s">
        <v>252</v>
      </c>
      <c r="D2548" s="832">
        <v>196.4</v>
      </c>
    </row>
    <row r="2549" spans="1:4" x14ac:dyDescent="0.3">
      <c r="A2549" s="830">
        <v>102039</v>
      </c>
      <c r="B2549" s="831" t="s">
        <v>7045</v>
      </c>
      <c r="C2549" s="830" t="s">
        <v>252</v>
      </c>
      <c r="D2549" s="832">
        <v>517.08000000000004</v>
      </c>
    </row>
    <row r="2550" spans="1:4" x14ac:dyDescent="0.3">
      <c r="A2550" s="830">
        <v>102040</v>
      </c>
      <c r="B2550" s="831" t="s">
        <v>7046</v>
      </c>
      <c r="C2550" s="830" t="s">
        <v>252</v>
      </c>
      <c r="D2550" s="832">
        <v>428.65</v>
      </c>
    </row>
    <row r="2551" spans="1:4" x14ac:dyDescent="0.3">
      <c r="A2551" s="830">
        <v>102041</v>
      </c>
      <c r="B2551" s="831" t="s">
        <v>7047</v>
      </c>
      <c r="C2551" s="830" t="s">
        <v>252</v>
      </c>
      <c r="D2551" s="832">
        <v>313.95</v>
      </c>
    </row>
    <row r="2552" spans="1:4" x14ac:dyDescent="0.3">
      <c r="A2552" s="830">
        <v>102042</v>
      </c>
      <c r="B2552" s="831" t="s">
        <v>7048</v>
      </c>
      <c r="C2552" s="830" t="s">
        <v>252</v>
      </c>
      <c r="D2552" s="832">
        <v>284.89</v>
      </c>
    </row>
    <row r="2553" spans="1:4" x14ac:dyDescent="0.3">
      <c r="A2553" s="830">
        <v>102043</v>
      </c>
      <c r="B2553" s="831" t="s">
        <v>7049</v>
      </c>
      <c r="C2553" s="830" t="s">
        <v>252</v>
      </c>
      <c r="D2553" s="832">
        <v>243.51</v>
      </c>
    </row>
    <row r="2554" spans="1:4" x14ac:dyDescent="0.3">
      <c r="A2554" s="830">
        <v>102044</v>
      </c>
      <c r="B2554" s="831" t="s">
        <v>7050</v>
      </c>
      <c r="C2554" s="830" t="s">
        <v>252</v>
      </c>
      <c r="D2554" s="832">
        <v>219.6</v>
      </c>
    </row>
    <row r="2555" spans="1:4" x14ac:dyDescent="0.3">
      <c r="A2555" s="830">
        <v>102045</v>
      </c>
      <c r="B2555" s="831" t="s">
        <v>7051</v>
      </c>
      <c r="C2555" s="830" t="s">
        <v>252</v>
      </c>
      <c r="D2555" s="832">
        <v>205.23</v>
      </c>
    </row>
    <row r="2556" spans="1:4" x14ac:dyDescent="0.3">
      <c r="A2556" s="830">
        <v>102046</v>
      </c>
      <c r="B2556" s="831" t="s">
        <v>7052</v>
      </c>
      <c r="C2556" s="830" t="s">
        <v>252</v>
      </c>
      <c r="D2556" s="832">
        <v>561.85</v>
      </c>
    </row>
    <row r="2557" spans="1:4" x14ac:dyDescent="0.3">
      <c r="A2557" s="830">
        <v>102047</v>
      </c>
      <c r="B2557" s="831" t="s">
        <v>7053</v>
      </c>
      <c r="C2557" s="830" t="s">
        <v>252</v>
      </c>
      <c r="D2557" s="832">
        <v>476.62</v>
      </c>
    </row>
    <row r="2558" spans="1:4" x14ac:dyDescent="0.3">
      <c r="A2558" s="830">
        <v>102048</v>
      </c>
      <c r="B2558" s="831" t="s">
        <v>7054</v>
      </c>
      <c r="C2558" s="830" t="s">
        <v>252</v>
      </c>
      <c r="D2558" s="832">
        <v>290.19</v>
      </c>
    </row>
    <row r="2559" spans="1:4" x14ac:dyDescent="0.3">
      <c r="A2559" s="830">
        <v>102049</v>
      </c>
      <c r="B2559" s="831" t="s">
        <v>7055</v>
      </c>
      <c r="C2559" s="830" t="s">
        <v>252</v>
      </c>
      <c r="D2559" s="832">
        <v>258.42</v>
      </c>
    </row>
    <row r="2560" spans="1:4" x14ac:dyDescent="0.3">
      <c r="A2560" s="830">
        <v>102050</v>
      </c>
      <c r="B2560" s="831" t="s">
        <v>7056</v>
      </c>
      <c r="C2560" s="830" t="s">
        <v>252</v>
      </c>
      <c r="D2560" s="832">
        <v>223</v>
      </c>
    </row>
    <row r="2561" spans="1:4" x14ac:dyDescent="0.3">
      <c r="A2561" s="830">
        <v>102051</v>
      </c>
      <c r="B2561" s="831" t="s">
        <v>7057</v>
      </c>
      <c r="C2561" s="830" t="s">
        <v>252</v>
      </c>
      <c r="D2561" s="832">
        <v>198.68</v>
      </c>
    </row>
    <row r="2562" spans="1:4" x14ac:dyDescent="0.3">
      <c r="A2562" s="830">
        <v>102052</v>
      </c>
      <c r="B2562" s="831" t="s">
        <v>7058</v>
      </c>
      <c r="C2562" s="830" t="s">
        <v>252</v>
      </c>
      <c r="D2562" s="832">
        <v>185.07</v>
      </c>
    </row>
    <row r="2563" spans="1:4" x14ac:dyDescent="0.3">
      <c r="A2563" s="830">
        <v>102059</v>
      </c>
      <c r="B2563" s="831" t="s">
        <v>7059</v>
      </c>
      <c r="C2563" s="830" t="s">
        <v>252</v>
      </c>
      <c r="D2563" s="832">
        <v>480.05</v>
      </c>
    </row>
    <row r="2564" spans="1:4" x14ac:dyDescent="0.3">
      <c r="A2564" s="830">
        <v>102060</v>
      </c>
      <c r="B2564" s="831" t="s">
        <v>7060</v>
      </c>
      <c r="C2564" s="830" t="s">
        <v>252</v>
      </c>
      <c r="D2564" s="832">
        <v>401.31</v>
      </c>
    </row>
    <row r="2565" spans="1:4" x14ac:dyDescent="0.3">
      <c r="A2565" s="830">
        <v>102061</v>
      </c>
      <c r="B2565" s="831" t="s">
        <v>7061</v>
      </c>
      <c r="C2565" s="830" t="s">
        <v>252</v>
      </c>
      <c r="D2565" s="832">
        <v>290.64999999999998</v>
      </c>
    </row>
    <row r="2566" spans="1:4" x14ac:dyDescent="0.3">
      <c r="A2566" s="830">
        <v>102062</v>
      </c>
      <c r="B2566" s="831" t="s">
        <v>7062</v>
      </c>
      <c r="C2566" s="830" t="s">
        <v>252</v>
      </c>
      <c r="D2566" s="832">
        <v>270.56</v>
      </c>
    </row>
    <row r="2567" spans="1:4" x14ac:dyDescent="0.3">
      <c r="A2567" s="830">
        <v>102063</v>
      </c>
      <c r="B2567" s="831" t="s">
        <v>7063</v>
      </c>
      <c r="C2567" s="830" t="s">
        <v>252</v>
      </c>
      <c r="D2567" s="832">
        <v>230.67</v>
      </c>
    </row>
    <row r="2568" spans="1:4" x14ac:dyDescent="0.3">
      <c r="A2568" s="830">
        <v>102064</v>
      </c>
      <c r="B2568" s="831" t="s">
        <v>7064</v>
      </c>
      <c r="C2568" s="830" t="s">
        <v>252</v>
      </c>
      <c r="D2568" s="832">
        <v>206.67</v>
      </c>
    </row>
    <row r="2569" spans="1:4" x14ac:dyDescent="0.3">
      <c r="A2569" s="830">
        <v>102065</v>
      </c>
      <c r="B2569" s="831" t="s">
        <v>7065</v>
      </c>
      <c r="C2569" s="830" t="s">
        <v>252</v>
      </c>
      <c r="D2569" s="832">
        <v>193.29</v>
      </c>
    </row>
    <row r="2570" spans="1:4" x14ac:dyDescent="0.3">
      <c r="A2570" s="830">
        <v>102066</v>
      </c>
      <c r="B2570" s="831" t="s">
        <v>7066</v>
      </c>
      <c r="C2570" s="830" t="s">
        <v>252</v>
      </c>
      <c r="D2570" s="832">
        <v>500.14</v>
      </c>
    </row>
    <row r="2571" spans="1:4" x14ac:dyDescent="0.3">
      <c r="A2571" s="830">
        <v>102067</v>
      </c>
      <c r="B2571" s="831" t="s">
        <v>7067</v>
      </c>
      <c r="C2571" s="830" t="s">
        <v>252</v>
      </c>
      <c r="D2571" s="832">
        <v>425.97</v>
      </c>
    </row>
    <row r="2572" spans="1:4" x14ac:dyDescent="0.3">
      <c r="A2572" s="830">
        <v>102068</v>
      </c>
      <c r="B2572" s="831" t="s">
        <v>7068</v>
      </c>
      <c r="C2572" s="830" t="s">
        <v>252</v>
      </c>
      <c r="D2572" s="832">
        <v>266.39999999999998</v>
      </c>
    </row>
    <row r="2573" spans="1:4" x14ac:dyDescent="0.3">
      <c r="A2573" s="830">
        <v>102069</v>
      </c>
      <c r="B2573" s="831" t="s">
        <v>7069</v>
      </c>
      <c r="C2573" s="830" t="s">
        <v>252</v>
      </c>
      <c r="D2573" s="832">
        <v>244.74</v>
      </c>
    </row>
    <row r="2574" spans="1:4" x14ac:dyDescent="0.3">
      <c r="A2574" s="830">
        <v>102070</v>
      </c>
      <c r="B2574" s="831" t="s">
        <v>7070</v>
      </c>
      <c r="C2574" s="830" t="s">
        <v>252</v>
      </c>
      <c r="D2574" s="832">
        <v>211.56</v>
      </c>
    </row>
    <row r="2575" spans="1:4" x14ac:dyDescent="0.3">
      <c r="A2575" s="830">
        <v>102071</v>
      </c>
      <c r="B2575" s="831" t="s">
        <v>7071</v>
      </c>
      <c r="C2575" s="830" t="s">
        <v>252</v>
      </c>
      <c r="D2575" s="832">
        <v>189.16</v>
      </c>
    </row>
    <row r="2576" spans="1:4" x14ac:dyDescent="0.3">
      <c r="A2576" s="830">
        <v>102072</v>
      </c>
      <c r="B2576" s="831" t="s">
        <v>7072</v>
      </c>
      <c r="C2576" s="830" t="s">
        <v>252</v>
      </c>
      <c r="D2576" s="832">
        <v>182.06</v>
      </c>
    </row>
    <row r="2577" spans="1:4" x14ac:dyDescent="0.3">
      <c r="A2577" s="830">
        <v>102073</v>
      </c>
      <c r="B2577" s="831" t="s">
        <v>7073</v>
      </c>
      <c r="C2577" s="830" t="s">
        <v>5247</v>
      </c>
      <c r="D2577" s="832">
        <v>3759.71</v>
      </c>
    </row>
    <row r="2578" spans="1:4" x14ac:dyDescent="0.3">
      <c r="A2578" s="830">
        <v>102074</v>
      </c>
      <c r="B2578" s="831" t="s">
        <v>7074</v>
      </c>
      <c r="C2578" s="830" t="s">
        <v>5247</v>
      </c>
      <c r="D2578" s="832">
        <v>4550.8100000000004</v>
      </c>
    </row>
    <row r="2579" spans="1:4" x14ac:dyDescent="0.3">
      <c r="A2579" s="830">
        <v>102075</v>
      </c>
      <c r="B2579" s="831" t="s">
        <v>7075</v>
      </c>
      <c r="C2579" s="830" t="s">
        <v>5247</v>
      </c>
      <c r="D2579" s="832">
        <v>4737.53</v>
      </c>
    </row>
    <row r="2580" spans="1:4" x14ac:dyDescent="0.3">
      <c r="A2580" s="830">
        <v>102076</v>
      </c>
      <c r="B2580" s="831" t="s">
        <v>7076</v>
      </c>
      <c r="C2580" s="830" t="s">
        <v>5247</v>
      </c>
      <c r="D2580" s="832">
        <v>4842.6000000000004</v>
      </c>
    </row>
    <row r="2581" spans="1:4" x14ac:dyDescent="0.3">
      <c r="A2581" s="830">
        <v>102077</v>
      </c>
      <c r="B2581" s="831" t="s">
        <v>7077</v>
      </c>
      <c r="C2581" s="830" t="s">
        <v>5247</v>
      </c>
      <c r="D2581" s="832">
        <v>5207.66</v>
      </c>
    </row>
    <row r="2582" spans="1:4" x14ac:dyDescent="0.3">
      <c r="A2582" s="830">
        <v>102078</v>
      </c>
      <c r="B2582" s="831" t="s">
        <v>7078</v>
      </c>
      <c r="C2582" s="830" t="s">
        <v>5247</v>
      </c>
      <c r="D2582" s="832">
        <v>5325.77</v>
      </c>
    </row>
    <row r="2583" spans="1:4" x14ac:dyDescent="0.3">
      <c r="A2583" s="830">
        <v>102079</v>
      </c>
      <c r="B2583" s="831" t="s">
        <v>7079</v>
      </c>
      <c r="C2583" s="830" t="s">
        <v>5247</v>
      </c>
      <c r="D2583" s="832">
        <v>5134.7700000000004</v>
      </c>
    </row>
    <row r="2584" spans="1:4" x14ac:dyDescent="0.3">
      <c r="A2584" s="830">
        <v>102080</v>
      </c>
      <c r="B2584" s="831" t="s">
        <v>7080</v>
      </c>
      <c r="C2584" s="830" t="s">
        <v>5247</v>
      </c>
      <c r="D2584" s="832">
        <v>4501.92</v>
      </c>
    </row>
    <row r="2585" spans="1:4" x14ac:dyDescent="0.3">
      <c r="A2585" s="830">
        <v>102086</v>
      </c>
      <c r="B2585" s="831" t="s">
        <v>7081</v>
      </c>
      <c r="C2585" s="830" t="s">
        <v>252</v>
      </c>
      <c r="D2585" s="832">
        <v>171.74</v>
      </c>
    </row>
    <row r="2586" spans="1:4" x14ac:dyDescent="0.3">
      <c r="A2586" s="830">
        <v>102087</v>
      </c>
      <c r="B2586" s="831" t="s">
        <v>7082</v>
      </c>
      <c r="C2586" s="830" t="s">
        <v>252</v>
      </c>
      <c r="D2586" s="832">
        <v>140.66</v>
      </c>
    </row>
    <row r="2587" spans="1:4" x14ac:dyDescent="0.3">
      <c r="A2587" s="830">
        <v>102088</v>
      </c>
      <c r="B2587" s="831" t="s">
        <v>7083</v>
      </c>
      <c r="C2587" s="830" t="s">
        <v>252</v>
      </c>
      <c r="D2587" s="832">
        <v>221</v>
      </c>
    </row>
    <row r="2588" spans="1:4" x14ac:dyDescent="0.3">
      <c r="A2588" s="830">
        <v>102089</v>
      </c>
      <c r="B2588" s="831" t="s">
        <v>7084</v>
      </c>
      <c r="C2588" s="830" t="s">
        <v>252</v>
      </c>
      <c r="D2588" s="832">
        <v>157.16999999999999</v>
      </c>
    </row>
    <row r="2589" spans="1:4" x14ac:dyDescent="0.3">
      <c r="A2589" s="830">
        <v>102090</v>
      </c>
      <c r="B2589" s="831" t="s">
        <v>7085</v>
      </c>
      <c r="C2589" s="830" t="s">
        <v>252</v>
      </c>
      <c r="D2589" s="832">
        <v>121.92</v>
      </c>
    </row>
    <row r="2590" spans="1:4" x14ac:dyDescent="0.3">
      <c r="A2590" s="830">
        <v>102091</v>
      </c>
      <c r="B2590" s="831" t="s">
        <v>7086</v>
      </c>
      <c r="C2590" s="830" t="s">
        <v>252</v>
      </c>
      <c r="D2590" s="832">
        <v>256.06</v>
      </c>
    </row>
    <row r="2591" spans="1:4" x14ac:dyDescent="0.3">
      <c r="A2591" s="830">
        <v>103760</v>
      </c>
      <c r="B2591" s="831" t="s">
        <v>7087</v>
      </c>
      <c r="C2591" s="830" t="s">
        <v>252</v>
      </c>
      <c r="D2591" s="832">
        <v>110.3</v>
      </c>
    </row>
    <row r="2592" spans="1:4" x14ac:dyDescent="0.3">
      <c r="A2592" s="830">
        <v>103761</v>
      </c>
      <c r="B2592" s="831" t="s">
        <v>7088</v>
      </c>
      <c r="C2592" s="830" t="s">
        <v>252</v>
      </c>
      <c r="D2592" s="832">
        <v>76.92</v>
      </c>
    </row>
    <row r="2593" spans="1:4" x14ac:dyDescent="0.3">
      <c r="A2593" s="830">
        <v>103762</v>
      </c>
      <c r="B2593" s="831" t="s">
        <v>7089</v>
      </c>
      <c r="C2593" s="830" t="s">
        <v>252</v>
      </c>
      <c r="D2593" s="832">
        <v>66.61</v>
      </c>
    </row>
    <row r="2594" spans="1:4" x14ac:dyDescent="0.3">
      <c r="A2594" s="830">
        <v>103763</v>
      </c>
      <c r="B2594" s="831" t="s">
        <v>7090</v>
      </c>
      <c r="C2594" s="830" t="s">
        <v>252</v>
      </c>
      <c r="D2594" s="832">
        <v>59.19</v>
      </c>
    </row>
    <row r="2595" spans="1:4" x14ac:dyDescent="0.3">
      <c r="A2595" s="830">
        <v>104925</v>
      </c>
      <c r="B2595" s="831" t="s">
        <v>7091</v>
      </c>
      <c r="C2595" s="830" t="s">
        <v>252</v>
      </c>
      <c r="D2595" s="832">
        <v>158.25</v>
      </c>
    </row>
    <row r="2596" spans="1:4" x14ac:dyDescent="0.3">
      <c r="A2596" s="830">
        <v>104926</v>
      </c>
      <c r="B2596" s="831" t="s">
        <v>7092</v>
      </c>
      <c r="C2596" s="830" t="s">
        <v>252</v>
      </c>
      <c r="D2596" s="832">
        <v>103.05</v>
      </c>
    </row>
    <row r="2597" spans="1:4" x14ac:dyDescent="0.3">
      <c r="A2597" s="830">
        <v>104927</v>
      </c>
      <c r="B2597" s="831" t="s">
        <v>7093</v>
      </c>
      <c r="C2597" s="830" t="s">
        <v>252</v>
      </c>
      <c r="D2597" s="832">
        <v>74.33</v>
      </c>
    </row>
    <row r="2598" spans="1:4" x14ac:dyDescent="0.3">
      <c r="A2598" s="830">
        <v>104928</v>
      </c>
      <c r="B2598" s="831" t="s">
        <v>7094</v>
      </c>
      <c r="C2598" s="830" t="s">
        <v>252</v>
      </c>
      <c r="D2598" s="832">
        <v>143.72999999999999</v>
      </c>
    </row>
    <row r="2599" spans="1:4" x14ac:dyDescent="0.3">
      <c r="A2599" s="830">
        <v>104929</v>
      </c>
      <c r="B2599" s="831" t="s">
        <v>7095</v>
      </c>
      <c r="C2599" s="830" t="s">
        <v>252</v>
      </c>
      <c r="D2599" s="832">
        <v>89.98</v>
      </c>
    </row>
    <row r="2600" spans="1:4" x14ac:dyDescent="0.3">
      <c r="A2600" s="830">
        <v>105403</v>
      </c>
      <c r="B2600" s="831" t="s">
        <v>7096</v>
      </c>
      <c r="C2600" s="830" t="s">
        <v>252</v>
      </c>
      <c r="D2600" s="832">
        <v>159.91</v>
      </c>
    </row>
    <row r="2601" spans="1:4" x14ac:dyDescent="0.3">
      <c r="A2601" s="830">
        <v>105406</v>
      </c>
      <c r="B2601" s="831" t="s">
        <v>7097</v>
      </c>
      <c r="C2601" s="830" t="s">
        <v>252</v>
      </c>
      <c r="D2601" s="832">
        <v>192.15</v>
      </c>
    </row>
    <row r="2602" spans="1:4" x14ac:dyDescent="0.3">
      <c r="A2602" s="830">
        <v>89996</v>
      </c>
      <c r="B2602" s="831" t="s">
        <v>7098</v>
      </c>
      <c r="C2602" s="830" t="s">
        <v>1369</v>
      </c>
      <c r="D2602" s="832">
        <v>11.7</v>
      </c>
    </row>
    <row r="2603" spans="1:4" x14ac:dyDescent="0.3">
      <c r="A2603" s="830">
        <v>89997</v>
      </c>
      <c r="B2603" s="831" t="s">
        <v>7099</v>
      </c>
      <c r="C2603" s="830" t="s">
        <v>1369</v>
      </c>
      <c r="D2603" s="832">
        <v>9.48</v>
      </c>
    </row>
    <row r="2604" spans="1:4" x14ac:dyDescent="0.3">
      <c r="A2604" s="830">
        <v>89998</v>
      </c>
      <c r="B2604" s="831" t="s">
        <v>7100</v>
      </c>
      <c r="C2604" s="830" t="s">
        <v>1369</v>
      </c>
      <c r="D2604" s="832">
        <v>11.1</v>
      </c>
    </row>
    <row r="2605" spans="1:4" x14ac:dyDescent="0.3">
      <c r="A2605" s="830">
        <v>89999</v>
      </c>
      <c r="B2605" s="831" t="s">
        <v>7101</v>
      </c>
      <c r="C2605" s="830" t="s">
        <v>1369</v>
      </c>
      <c r="D2605" s="832">
        <v>17.77</v>
      </c>
    </row>
    <row r="2606" spans="1:4" x14ac:dyDescent="0.3">
      <c r="A2606" s="830">
        <v>90000</v>
      </c>
      <c r="B2606" s="831" t="s">
        <v>7102</v>
      </c>
      <c r="C2606" s="830" t="s">
        <v>1369</v>
      </c>
      <c r="D2606" s="832">
        <v>14.2</v>
      </c>
    </row>
    <row r="2607" spans="1:4" x14ac:dyDescent="0.3">
      <c r="A2607" s="830">
        <v>91593</v>
      </c>
      <c r="B2607" s="831" t="s">
        <v>7103</v>
      </c>
      <c r="C2607" s="830" t="s">
        <v>1369</v>
      </c>
      <c r="D2607" s="832">
        <v>10.71</v>
      </c>
    </row>
    <row r="2608" spans="1:4" x14ac:dyDescent="0.3">
      <c r="A2608" s="830">
        <v>91594</v>
      </c>
      <c r="B2608" s="831" t="s">
        <v>7104</v>
      </c>
      <c r="C2608" s="830" t="s">
        <v>1369</v>
      </c>
      <c r="D2608" s="832">
        <v>10.72</v>
      </c>
    </row>
    <row r="2609" spans="1:4" x14ac:dyDescent="0.3">
      <c r="A2609" s="830">
        <v>91595</v>
      </c>
      <c r="B2609" s="831" t="s">
        <v>7105</v>
      </c>
      <c r="C2609" s="830" t="s">
        <v>1369</v>
      </c>
      <c r="D2609" s="832">
        <v>11</v>
      </c>
    </row>
    <row r="2610" spans="1:4" x14ac:dyDescent="0.3">
      <c r="A2610" s="830">
        <v>91596</v>
      </c>
      <c r="B2610" s="831" t="s">
        <v>7106</v>
      </c>
      <c r="C2610" s="830" t="s">
        <v>1369</v>
      </c>
      <c r="D2610" s="832">
        <v>10.65</v>
      </c>
    </row>
    <row r="2611" spans="1:4" x14ac:dyDescent="0.3">
      <c r="A2611" s="830">
        <v>91597</v>
      </c>
      <c r="B2611" s="831" t="s">
        <v>7107</v>
      </c>
      <c r="C2611" s="830" t="s">
        <v>1369</v>
      </c>
      <c r="D2611" s="832">
        <v>7.95</v>
      </c>
    </row>
    <row r="2612" spans="1:4" x14ac:dyDescent="0.3">
      <c r="A2612" s="830">
        <v>91598</v>
      </c>
      <c r="B2612" s="831" t="s">
        <v>7108</v>
      </c>
      <c r="C2612" s="830" t="s">
        <v>1369</v>
      </c>
      <c r="D2612" s="832">
        <v>10.33</v>
      </c>
    </row>
    <row r="2613" spans="1:4" x14ac:dyDescent="0.3">
      <c r="A2613" s="830">
        <v>91599</v>
      </c>
      <c r="B2613" s="831" t="s">
        <v>7109</v>
      </c>
      <c r="C2613" s="830" t="s">
        <v>1369</v>
      </c>
      <c r="D2613" s="832">
        <v>8.32</v>
      </c>
    </row>
    <row r="2614" spans="1:4" x14ac:dyDescent="0.3">
      <c r="A2614" s="830">
        <v>91600</v>
      </c>
      <c r="B2614" s="831" t="s">
        <v>7110</v>
      </c>
      <c r="C2614" s="830" t="s">
        <v>1369</v>
      </c>
      <c r="D2614" s="832">
        <v>11.99</v>
      </c>
    </row>
    <row r="2615" spans="1:4" x14ac:dyDescent="0.3">
      <c r="A2615" s="830">
        <v>91601</v>
      </c>
      <c r="B2615" s="831" t="s">
        <v>7111</v>
      </c>
      <c r="C2615" s="830" t="s">
        <v>1369</v>
      </c>
      <c r="D2615" s="832">
        <v>13.38</v>
      </c>
    </row>
    <row r="2616" spans="1:4" x14ac:dyDescent="0.3">
      <c r="A2616" s="830">
        <v>91602</v>
      </c>
      <c r="B2616" s="831" t="s">
        <v>7112</v>
      </c>
      <c r="C2616" s="830" t="s">
        <v>1369</v>
      </c>
      <c r="D2616" s="832">
        <v>12.41</v>
      </c>
    </row>
    <row r="2617" spans="1:4" x14ac:dyDescent="0.3">
      <c r="A2617" s="830">
        <v>91603</v>
      </c>
      <c r="B2617" s="831" t="s">
        <v>7113</v>
      </c>
      <c r="C2617" s="830" t="s">
        <v>1369</v>
      </c>
      <c r="D2617" s="832">
        <v>11.07</v>
      </c>
    </row>
    <row r="2618" spans="1:4" x14ac:dyDescent="0.3">
      <c r="A2618" s="830">
        <v>92759</v>
      </c>
      <c r="B2618" s="831" t="s">
        <v>7114</v>
      </c>
      <c r="C2618" s="830" t="s">
        <v>1369</v>
      </c>
      <c r="D2618" s="832">
        <v>15.39</v>
      </c>
    </row>
    <row r="2619" spans="1:4" x14ac:dyDescent="0.3">
      <c r="A2619" s="830">
        <v>92760</v>
      </c>
      <c r="B2619" s="831" t="s">
        <v>7115</v>
      </c>
      <c r="C2619" s="830" t="s">
        <v>1369</v>
      </c>
      <c r="D2619" s="832">
        <v>14.45</v>
      </c>
    </row>
    <row r="2620" spans="1:4" x14ac:dyDescent="0.3">
      <c r="A2620" s="830">
        <v>92761</v>
      </c>
      <c r="B2620" s="831" t="s">
        <v>7116</v>
      </c>
      <c r="C2620" s="830" t="s">
        <v>1369</v>
      </c>
      <c r="D2620" s="832">
        <v>13.52</v>
      </c>
    </row>
    <row r="2621" spans="1:4" x14ac:dyDescent="0.3">
      <c r="A2621" s="830">
        <v>92762</v>
      </c>
      <c r="B2621" s="831" t="s">
        <v>7117</v>
      </c>
      <c r="C2621" s="830" t="s">
        <v>1369</v>
      </c>
      <c r="D2621" s="832">
        <v>12.03</v>
      </c>
    </row>
    <row r="2622" spans="1:4" x14ac:dyDescent="0.3">
      <c r="A2622" s="830">
        <v>92763</v>
      </c>
      <c r="B2622" s="831" t="s">
        <v>7118</v>
      </c>
      <c r="C2622" s="830" t="s">
        <v>1369</v>
      </c>
      <c r="D2622" s="832">
        <v>10.08</v>
      </c>
    </row>
    <row r="2623" spans="1:4" x14ac:dyDescent="0.3">
      <c r="A2623" s="830">
        <v>92764</v>
      </c>
      <c r="B2623" s="831" t="s">
        <v>7119</v>
      </c>
      <c r="C2623" s="830" t="s">
        <v>1369</v>
      </c>
      <c r="D2623" s="832">
        <v>9.73</v>
      </c>
    </row>
    <row r="2624" spans="1:4" x14ac:dyDescent="0.3">
      <c r="A2624" s="830">
        <v>92765</v>
      </c>
      <c r="B2624" s="831" t="s">
        <v>7120</v>
      </c>
      <c r="C2624" s="830" t="s">
        <v>1369</v>
      </c>
      <c r="D2624" s="832">
        <v>11.1</v>
      </c>
    </row>
    <row r="2625" spans="1:4" x14ac:dyDescent="0.3">
      <c r="A2625" s="830">
        <v>92766</v>
      </c>
      <c r="B2625" s="831" t="s">
        <v>7121</v>
      </c>
      <c r="C2625" s="830" t="s">
        <v>1369</v>
      </c>
      <c r="D2625" s="832">
        <v>10.97</v>
      </c>
    </row>
    <row r="2626" spans="1:4" x14ac:dyDescent="0.3">
      <c r="A2626" s="830">
        <v>92767</v>
      </c>
      <c r="B2626" s="831" t="s">
        <v>3060</v>
      </c>
      <c r="C2626" s="830" t="s">
        <v>1369</v>
      </c>
      <c r="D2626" s="832">
        <v>16.91</v>
      </c>
    </row>
    <row r="2627" spans="1:4" x14ac:dyDescent="0.3">
      <c r="A2627" s="830">
        <v>92768</v>
      </c>
      <c r="B2627" s="831" t="s">
        <v>3304</v>
      </c>
      <c r="C2627" s="830" t="s">
        <v>1369</v>
      </c>
      <c r="D2627" s="832">
        <v>14.77</v>
      </c>
    </row>
    <row r="2628" spans="1:4" x14ac:dyDescent="0.3">
      <c r="A2628" s="830">
        <v>92769</v>
      </c>
      <c r="B2628" s="831" t="s">
        <v>7122</v>
      </c>
      <c r="C2628" s="830" t="s">
        <v>1369</v>
      </c>
      <c r="D2628" s="832">
        <v>13.86</v>
      </c>
    </row>
    <row r="2629" spans="1:4" x14ac:dyDescent="0.3">
      <c r="A2629" s="830">
        <v>92770</v>
      </c>
      <c r="B2629" s="831" t="s">
        <v>7123</v>
      </c>
      <c r="C2629" s="830" t="s">
        <v>1369</v>
      </c>
      <c r="D2629" s="832">
        <v>12.96</v>
      </c>
    </row>
    <row r="2630" spans="1:4" x14ac:dyDescent="0.3">
      <c r="A2630" s="830">
        <v>92771</v>
      </c>
      <c r="B2630" s="831" t="s">
        <v>7124</v>
      </c>
      <c r="C2630" s="830" t="s">
        <v>1369</v>
      </c>
      <c r="D2630" s="832">
        <v>11.53</v>
      </c>
    </row>
    <row r="2631" spans="1:4" x14ac:dyDescent="0.3">
      <c r="A2631" s="830">
        <v>92772</v>
      </c>
      <c r="B2631" s="831" t="s">
        <v>7125</v>
      </c>
      <c r="C2631" s="830" t="s">
        <v>1369</v>
      </c>
      <c r="D2631" s="832">
        <v>9.6300000000000008</v>
      </c>
    </row>
    <row r="2632" spans="1:4" x14ac:dyDescent="0.3">
      <c r="A2632" s="830">
        <v>92773</v>
      </c>
      <c r="B2632" s="831" t="s">
        <v>7126</v>
      </c>
      <c r="C2632" s="830" t="s">
        <v>1369</v>
      </c>
      <c r="D2632" s="832">
        <v>9.44</v>
      </c>
    </row>
    <row r="2633" spans="1:4" x14ac:dyDescent="0.3">
      <c r="A2633" s="830">
        <v>92774</v>
      </c>
      <c r="B2633" s="831" t="s">
        <v>7127</v>
      </c>
      <c r="C2633" s="830" t="s">
        <v>1369</v>
      </c>
      <c r="D2633" s="832">
        <v>10.93</v>
      </c>
    </row>
    <row r="2634" spans="1:4" x14ac:dyDescent="0.3">
      <c r="A2634" s="830">
        <v>92798</v>
      </c>
      <c r="B2634" s="831" t="s">
        <v>7128</v>
      </c>
      <c r="C2634" s="830" t="s">
        <v>1369</v>
      </c>
      <c r="D2634" s="832">
        <v>10.07</v>
      </c>
    </row>
    <row r="2635" spans="1:4" x14ac:dyDescent="0.3">
      <c r="A2635" s="830">
        <v>92799</v>
      </c>
      <c r="B2635" s="831" t="s">
        <v>4310</v>
      </c>
      <c r="C2635" s="830" t="s">
        <v>1369</v>
      </c>
      <c r="D2635" s="832">
        <v>12.16</v>
      </c>
    </row>
    <row r="2636" spans="1:4" x14ac:dyDescent="0.3">
      <c r="A2636" s="830">
        <v>92800</v>
      </c>
      <c r="B2636" s="831" t="s">
        <v>3306</v>
      </c>
      <c r="C2636" s="830" t="s">
        <v>1369</v>
      </c>
      <c r="D2636" s="832">
        <v>10.94</v>
      </c>
    </row>
    <row r="2637" spans="1:4" x14ac:dyDescent="0.3">
      <c r="A2637" s="830">
        <v>92801</v>
      </c>
      <c r="B2637" s="831" t="s">
        <v>7129</v>
      </c>
      <c r="C2637" s="830" t="s">
        <v>1369</v>
      </c>
      <c r="D2637" s="832">
        <v>11.02</v>
      </c>
    </row>
    <row r="2638" spans="1:4" x14ac:dyDescent="0.3">
      <c r="A2638" s="830">
        <v>92802</v>
      </c>
      <c r="B2638" s="831" t="s">
        <v>7130</v>
      </c>
      <c r="C2638" s="830" t="s">
        <v>1369</v>
      </c>
      <c r="D2638" s="832">
        <v>10.93</v>
      </c>
    </row>
    <row r="2639" spans="1:4" x14ac:dyDescent="0.3">
      <c r="A2639" s="830">
        <v>92803</v>
      </c>
      <c r="B2639" s="831" t="s">
        <v>7131</v>
      </c>
      <c r="C2639" s="830" t="s">
        <v>1369</v>
      </c>
      <c r="D2639" s="832">
        <v>10.09</v>
      </c>
    </row>
    <row r="2640" spans="1:4" x14ac:dyDescent="0.3">
      <c r="A2640" s="830">
        <v>92804</v>
      </c>
      <c r="B2640" s="831" t="s">
        <v>7132</v>
      </c>
      <c r="C2640" s="830" t="s">
        <v>1369</v>
      </c>
      <c r="D2640" s="832">
        <v>8.6300000000000008</v>
      </c>
    </row>
    <row r="2641" spans="1:4" x14ac:dyDescent="0.3">
      <c r="A2641" s="830">
        <v>92805</v>
      </c>
      <c r="B2641" s="831" t="s">
        <v>7133</v>
      </c>
      <c r="C2641" s="830" t="s">
        <v>1369</v>
      </c>
      <c r="D2641" s="832">
        <v>8.5500000000000007</v>
      </c>
    </row>
    <row r="2642" spans="1:4" x14ac:dyDescent="0.3">
      <c r="A2642" s="830">
        <v>92806</v>
      </c>
      <c r="B2642" s="831" t="s">
        <v>7134</v>
      </c>
      <c r="C2642" s="830" t="s">
        <v>1369</v>
      </c>
      <c r="D2642" s="832">
        <v>10.08</v>
      </c>
    </row>
    <row r="2643" spans="1:4" x14ac:dyDescent="0.3">
      <c r="A2643" s="830">
        <v>92875</v>
      </c>
      <c r="B2643" s="831" t="s">
        <v>7135</v>
      </c>
      <c r="C2643" s="830" t="s">
        <v>1369</v>
      </c>
      <c r="D2643" s="832">
        <v>10.48</v>
      </c>
    </row>
    <row r="2644" spans="1:4" x14ac:dyDescent="0.3">
      <c r="A2644" s="830">
        <v>92876</v>
      </c>
      <c r="B2644" s="831" t="s">
        <v>7136</v>
      </c>
      <c r="C2644" s="830" t="s">
        <v>1369</v>
      </c>
      <c r="D2644" s="832">
        <v>10.15</v>
      </c>
    </row>
    <row r="2645" spans="1:4" x14ac:dyDescent="0.3">
      <c r="A2645" s="830">
        <v>92877</v>
      </c>
      <c r="B2645" s="831" t="s">
        <v>7137</v>
      </c>
      <c r="C2645" s="830" t="s">
        <v>1369</v>
      </c>
      <c r="D2645" s="832">
        <v>10.94</v>
      </c>
    </row>
    <row r="2646" spans="1:4" x14ac:dyDescent="0.3">
      <c r="A2646" s="830">
        <v>92878</v>
      </c>
      <c r="B2646" s="831" t="s">
        <v>7138</v>
      </c>
      <c r="C2646" s="830" t="s">
        <v>1369</v>
      </c>
      <c r="D2646" s="832">
        <v>10.75</v>
      </c>
    </row>
    <row r="2647" spans="1:4" x14ac:dyDescent="0.3">
      <c r="A2647" s="830">
        <v>92879</v>
      </c>
      <c r="B2647" s="831" t="s">
        <v>7139</v>
      </c>
      <c r="C2647" s="830" t="s">
        <v>1369</v>
      </c>
      <c r="D2647" s="832">
        <v>10.63</v>
      </c>
    </row>
    <row r="2648" spans="1:4" x14ac:dyDescent="0.3">
      <c r="A2648" s="830">
        <v>92880</v>
      </c>
      <c r="B2648" s="831" t="s">
        <v>7140</v>
      </c>
      <c r="C2648" s="830" t="s">
        <v>1369</v>
      </c>
      <c r="D2648" s="832">
        <v>10.86</v>
      </c>
    </row>
    <row r="2649" spans="1:4" x14ac:dyDescent="0.3">
      <c r="A2649" s="830">
        <v>92881</v>
      </c>
      <c r="B2649" s="831" t="s">
        <v>7141</v>
      </c>
      <c r="C2649" s="830" t="s">
        <v>1369</v>
      </c>
      <c r="D2649" s="832">
        <v>10.83</v>
      </c>
    </row>
    <row r="2650" spans="1:4" x14ac:dyDescent="0.3">
      <c r="A2650" s="830">
        <v>92882</v>
      </c>
      <c r="B2650" s="831" t="s">
        <v>7142</v>
      </c>
      <c r="C2650" s="830" t="s">
        <v>1369</v>
      </c>
      <c r="D2650" s="832">
        <v>14.46</v>
      </c>
    </row>
    <row r="2651" spans="1:4" x14ac:dyDescent="0.3">
      <c r="A2651" s="830">
        <v>92883</v>
      </c>
      <c r="B2651" s="831" t="s">
        <v>7143</v>
      </c>
      <c r="C2651" s="830" t="s">
        <v>1369</v>
      </c>
      <c r="D2651" s="832">
        <v>13.24</v>
      </c>
    </row>
    <row r="2652" spans="1:4" x14ac:dyDescent="0.3">
      <c r="A2652" s="830">
        <v>92884</v>
      </c>
      <c r="B2652" s="831" t="s">
        <v>7144</v>
      </c>
      <c r="C2652" s="830" t="s">
        <v>1369</v>
      </c>
      <c r="D2652" s="832">
        <v>13.36</v>
      </c>
    </row>
    <row r="2653" spans="1:4" x14ac:dyDescent="0.3">
      <c r="A2653" s="830">
        <v>92885</v>
      </c>
      <c r="B2653" s="831" t="s">
        <v>7145</v>
      </c>
      <c r="C2653" s="830" t="s">
        <v>1369</v>
      </c>
      <c r="D2653" s="832">
        <v>12.65</v>
      </c>
    </row>
    <row r="2654" spans="1:4" x14ac:dyDescent="0.3">
      <c r="A2654" s="830">
        <v>92886</v>
      </c>
      <c r="B2654" s="831" t="s">
        <v>7146</v>
      </c>
      <c r="C2654" s="830" t="s">
        <v>1369</v>
      </c>
      <c r="D2654" s="832">
        <v>12.05</v>
      </c>
    </row>
    <row r="2655" spans="1:4" x14ac:dyDescent="0.3">
      <c r="A2655" s="830">
        <v>92887</v>
      </c>
      <c r="B2655" s="831" t="s">
        <v>7147</v>
      </c>
      <c r="C2655" s="830" t="s">
        <v>1369</v>
      </c>
      <c r="D2655" s="832">
        <v>11.95</v>
      </c>
    </row>
    <row r="2656" spans="1:4" x14ac:dyDescent="0.3">
      <c r="A2656" s="830">
        <v>92888</v>
      </c>
      <c r="B2656" s="831" t="s">
        <v>7148</v>
      </c>
      <c r="C2656" s="830" t="s">
        <v>1369</v>
      </c>
      <c r="D2656" s="832">
        <v>11.65</v>
      </c>
    </row>
    <row r="2657" spans="1:4" x14ac:dyDescent="0.3">
      <c r="A2657" s="830">
        <v>92915</v>
      </c>
      <c r="B2657" s="831" t="s">
        <v>7149</v>
      </c>
      <c r="C2657" s="830" t="s">
        <v>1369</v>
      </c>
      <c r="D2657" s="832">
        <v>18.399999999999999</v>
      </c>
    </row>
    <row r="2658" spans="1:4" x14ac:dyDescent="0.3">
      <c r="A2658" s="830">
        <v>92916</v>
      </c>
      <c r="B2658" s="831" t="s">
        <v>7150</v>
      </c>
      <c r="C2658" s="830" t="s">
        <v>1369</v>
      </c>
      <c r="D2658" s="832">
        <v>16.670000000000002</v>
      </c>
    </row>
    <row r="2659" spans="1:4" x14ac:dyDescent="0.3">
      <c r="A2659" s="830">
        <v>92917</v>
      </c>
      <c r="B2659" s="831" t="s">
        <v>7151</v>
      </c>
      <c r="C2659" s="830" t="s">
        <v>1369</v>
      </c>
      <c r="D2659" s="832">
        <v>15.1</v>
      </c>
    </row>
    <row r="2660" spans="1:4" x14ac:dyDescent="0.3">
      <c r="A2660" s="830">
        <v>92919</v>
      </c>
      <c r="B2660" s="831" t="s">
        <v>7152</v>
      </c>
      <c r="C2660" s="830" t="s">
        <v>1369</v>
      </c>
      <c r="D2660" s="832">
        <v>13.14</v>
      </c>
    </row>
    <row r="2661" spans="1:4" x14ac:dyDescent="0.3">
      <c r="A2661" s="830">
        <v>92921</v>
      </c>
      <c r="B2661" s="831" t="s">
        <v>7153</v>
      </c>
      <c r="C2661" s="830" t="s">
        <v>1369</v>
      </c>
      <c r="D2661" s="832">
        <v>10.8</v>
      </c>
    </row>
    <row r="2662" spans="1:4" x14ac:dyDescent="0.3">
      <c r="A2662" s="830">
        <v>92922</v>
      </c>
      <c r="B2662" s="831" t="s">
        <v>7154</v>
      </c>
      <c r="C2662" s="830" t="s">
        <v>1369</v>
      </c>
      <c r="D2662" s="832">
        <v>10.28</v>
      </c>
    </row>
    <row r="2663" spans="1:4" x14ac:dyDescent="0.3">
      <c r="A2663" s="830">
        <v>92923</v>
      </c>
      <c r="B2663" s="831" t="s">
        <v>7155</v>
      </c>
      <c r="C2663" s="830" t="s">
        <v>1369</v>
      </c>
      <c r="D2663" s="832">
        <v>11.52</v>
      </c>
    </row>
    <row r="2664" spans="1:4" x14ac:dyDescent="0.3">
      <c r="A2664" s="830">
        <v>92924</v>
      </c>
      <c r="B2664" s="831" t="s">
        <v>7156</v>
      </c>
      <c r="C2664" s="830" t="s">
        <v>1369</v>
      </c>
      <c r="D2664" s="832">
        <v>11.3</v>
      </c>
    </row>
    <row r="2665" spans="1:4" x14ac:dyDescent="0.3">
      <c r="A2665" s="830">
        <v>95448</v>
      </c>
      <c r="B2665" s="831" t="s">
        <v>7157</v>
      </c>
      <c r="C2665" s="830" t="s">
        <v>1369</v>
      </c>
      <c r="D2665" s="832">
        <v>11.04</v>
      </c>
    </row>
    <row r="2666" spans="1:4" x14ac:dyDescent="0.3">
      <c r="A2666" s="830">
        <v>95576</v>
      </c>
      <c r="B2666" s="831" t="s">
        <v>7158</v>
      </c>
      <c r="C2666" s="830" t="s">
        <v>1369</v>
      </c>
      <c r="D2666" s="832">
        <v>13.76</v>
      </c>
    </row>
    <row r="2667" spans="1:4" x14ac:dyDescent="0.3">
      <c r="A2667" s="830">
        <v>95577</v>
      </c>
      <c r="B2667" s="831" t="s">
        <v>7159</v>
      </c>
      <c r="C2667" s="830" t="s">
        <v>1369</v>
      </c>
      <c r="D2667" s="832">
        <v>11.66</v>
      </c>
    </row>
    <row r="2668" spans="1:4" x14ac:dyDescent="0.3">
      <c r="A2668" s="830">
        <v>95578</v>
      </c>
      <c r="B2668" s="831" t="s">
        <v>7160</v>
      </c>
      <c r="C2668" s="830" t="s">
        <v>1369</v>
      </c>
      <c r="D2668" s="832">
        <v>9.67</v>
      </c>
    </row>
    <row r="2669" spans="1:4" x14ac:dyDescent="0.3">
      <c r="A2669" s="830">
        <v>95579</v>
      </c>
      <c r="B2669" s="831" t="s">
        <v>7161</v>
      </c>
      <c r="C2669" s="830" t="s">
        <v>1369</v>
      </c>
      <c r="D2669" s="832">
        <v>9.34</v>
      </c>
    </row>
    <row r="2670" spans="1:4" x14ac:dyDescent="0.3">
      <c r="A2670" s="830">
        <v>95580</v>
      </c>
      <c r="B2670" s="831" t="s">
        <v>7162</v>
      </c>
      <c r="C2670" s="830" t="s">
        <v>1369</v>
      </c>
      <c r="D2670" s="832">
        <v>10.78</v>
      </c>
    </row>
    <row r="2671" spans="1:4" x14ac:dyDescent="0.3">
      <c r="A2671" s="830">
        <v>95581</v>
      </c>
      <c r="B2671" s="831" t="s">
        <v>7163</v>
      </c>
      <c r="C2671" s="830" t="s">
        <v>1369</v>
      </c>
      <c r="D2671" s="832">
        <v>10.72</v>
      </c>
    </row>
    <row r="2672" spans="1:4" x14ac:dyDescent="0.3">
      <c r="A2672" s="830">
        <v>95582</v>
      </c>
      <c r="B2672" s="831" t="s">
        <v>7164</v>
      </c>
      <c r="C2672" s="830" t="s">
        <v>1369</v>
      </c>
      <c r="D2672" s="832">
        <v>11.67</v>
      </c>
    </row>
    <row r="2673" spans="1:4" x14ac:dyDescent="0.3">
      <c r="A2673" s="830">
        <v>95583</v>
      </c>
      <c r="B2673" s="831" t="s">
        <v>7165</v>
      </c>
      <c r="C2673" s="830" t="s">
        <v>1369</v>
      </c>
      <c r="D2673" s="832">
        <v>17.46</v>
      </c>
    </row>
    <row r="2674" spans="1:4" x14ac:dyDescent="0.3">
      <c r="A2674" s="830">
        <v>95584</v>
      </c>
      <c r="B2674" s="831" t="s">
        <v>7166</v>
      </c>
      <c r="C2674" s="830" t="s">
        <v>1369</v>
      </c>
      <c r="D2674" s="832">
        <v>15.31</v>
      </c>
    </row>
    <row r="2675" spans="1:4" x14ac:dyDescent="0.3">
      <c r="A2675" s="830">
        <v>95592</v>
      </c>
      <c r="B2675" s="831" t="s">
        <v>7167</v>
      </c>
      <c r="C2675" s="830" t="s">
        <v>1369</v>
      </c>
      <c r="D2675" s="832">
        <v>17.46</v>
      </c>
    </row>
    <row r="2676" spans="1:4" x14ac:dyDescent="0.3">
      <c r="A2676" s="830">
        <v>95593</v>
      </c>
      <c r="B2676" s="831" t="s">
        <v>7168</v>
      </c>
      <c r="C2676" s="830" t="s">
        <v>1369</v>
      </c>
      <c r="D2676" s="832">
        <v>15.31</v>
      </c>
    </row>
    <row r="2677" spans="1:4" x14ac:dyDescent="0.3">
      <c r="A2677" s="830">
        <v>95943</v>
      </c>
      <c r="B2677" s="831" t="s">
        <v>7169</v>
      </c>
      <c r="C2677" s="830" t="s">
        <v>1369</v>
      </c>
      <c r="D2677" s="832">
        <v>24.33</v>
      </c>
    </row>
    <row r="2678" spans="1:4" x14ac:dyDescent="0.3">
      <c r="A2678" s="830">
        <v>95944</v>
      </c>
      <c r="B2678" s="831" t="s">
        <v>7170</v>
      </c>
      <c r="C2678" s="830" t="s">
        <v>1369</v>
      </c>
      <c r="D2678" s="832">
        <v>21.97</v>
      </c>
    </row>
    <row r="2679" spans="1:4" x14ac:dyDescent="0.3">
      <c r="A2679" s="830">
        <v>95945</v>
      </c>
      <c r="B2679" s="831" t="s">
        <v>7171</v>
      </c>
      <c r="C2679" s="830" t="s">
        <v>1369</v>
      </c>
      <c r="D2679" s="832">
        <v>17.600000000000001</v>
      </c>
    </row>
    <row r="2680" spans="1:4" x14ac:dyDescent="0.3">
      <c r="A2680" s="830">
        <v>95946</v>
      </c>
      <c r="B2680" s="831" t="s">
        <v>7172</v>
      </c>
      <c r="C2680" s="830" t="s">
        <v>1369</v>
      </c>
      <c r="D2680" s="832">
        <v>13.91</v>
      </c>
    </row>
    <row r="2681" spans="1:4" x14ac:dyDescent="0.3">
      <c r="A2681" s="830">
        <v>95947</v>
      </c>
      <c r="B2681" s="831" t="s">
        <v>7173</v>
      </c>
      <c r="C2681" s="830" t="s">
        <v>1369</v>
      </c>
      <c r="D2681" s="832">
        <v>10.62</v>
      </c>
    </row>
    <row r="2682" spans="1:4" x14ac:dyDescent="0.3">
      <c r="A2682" s="830">
        <v>95948</v>
      </c>
      <c r="B2682" s="831" t="s">
        <v>7174</v>
      </c>
      <c r="C2682" s="830" t="s">
        <v>1369</v>
      </c>
      <c r="D2682" s="832">
        <v>9.2899999999999991</v>
      </c>
    </row>
    <row r="2683" spans="1:4" x14ac:dyDescent="0.3">
      <c r="A2683" s="830">
        <v>96544</v>
      </c>
      <c r="B2683" s="831" t="s">
        <v>7175</v>
      </c>
      <c r="C2683" s="830" t="s">
        <v>1369</v>
      </c>
      <c r="D2683" s="832">
        <v>19.53</v>
      </c>
    </row>
    <row r="2684" spans="1:4" x14ac:dyDescent="0.3">
      <c r="A2684" s="830">
        <v>96545</v>
      </c>
      <c r="B2684" s="831" t="s">
        <v>7176</v>
      </c>
      <c r="C2684" s="830" t="s">
        <v>1369</v>
      </c>
      <c r="D2684" s="832">
        <v>17.53</v>
      </c>
    </row>
    <row r="2685" spans="1:4" x14ac:dyDescent="0.3">
      <c r="A2685" s="830">
        <v>96546</v>
      </c>
      <c r="B2685" s="831" t="s">
        <v>7177</v>
      </c>
      <c r="C2685" s="830" t="s">
        <v>1369</v>
      </c>
      <c r="D2685" s="832">
        <v>15.3</v>
      </c>
    </row>
    <row r="2686" spans="1:4" x14ac:dyDescent="0.3">
      <c r="A2686" s="830">
        <v>100064</v>
      </c>
      <c r="B2686" s="831" t="s">
        <v>7178</v>
      </c>
      <c r="C2686" s="830" t="s">
        <v>1369</v>
      </c>
      <c r="D2686" s="832">
        <v>10.57</v>
      </c>
    </row>
    <row r="2687" spans="1:4" x14ac:dyDescent="0.3">
      <c r="A2687" s="830">
        <v>100066</v>
      </c>
      <c r="B2687" s="831" t="s">
        <v>7179</v>
      </c>
      <c r="C2687" s="830" t="s">
        <v>1369</v>
      </c>
      <c r="D2687" s="832">
        <v>10.58</v>
      </c>
    </row>
    <row r="2688" spans="1:4" x14ac:dyDescent="0.3">
      <c r="A2688" s="830">
        <v>100067</v>
      </c>
      <c r="B2688" s="831" t="s">
        <v>7180</v>
      </c>
      <c r="C2688" s="830" t="s">
        <v>1369</v>
      </c>
      <c r="D2688" s="832">
        <v>13.02</v>
      </c>
    </row>
    <row r="2689" spans="1:4" x14ac:dyDescent="0.3">
      <c r="A2689" s="830">
        <v>100068</v>
      </c>
      <c r="B2689" s="831" t="s">
        <v>7181</v>
      </c>
      <c r="C2689" s="830" t="s">
        <v>1369</v>
      </c>
      <c r="D2689" s="832">
        <v>9.51</v>
      </c>
    </row>
    <row r="2690" spans="1:4" x14ac:dyDescent="0.3">
      <c r="A2690" s="830">
        <v>102920</v>
      </c>
      <c r="B2690" s="831" t="s">
        <v>7182</v>
      </c>
      <c r="C2690" s="830" t="s">
        <v>1369</v>
      </c>
      <c r="D2690" s="832">
        <v>9.1</v>
      </c>
    </row>
    <row r="2691" spans="1:4" x14ac:dyDescent="0.3">
      <c r="A2691" s="830">
        <v>102921</v>
      </c>
      <c r="B2691" s="831" t="s">
        <v>7183</v>
      </c>
      <c r="C2691" s="830" t="s">
        <v>1369</v>
      </c>
      <c r="D2691" s="832">
        <v>8.76</v>
      </c>
    </row>
    <row r="2692" spans="1:4" x14ac:dyDescent="0.3">
      <c r="A2692" s="830">
        <v>102922</v>
      </c>
      <c r="B2692" s="831" t="s">
        <v>7184</v>
      </c>
      <c r="C2692" s="830" t="s">
        <v>1369</v>
      </c>
      <c r="D2692" s="832">
        <v>9.74</v>
      </c>
    </row>
    <row r="2693" spans="1:4" x14ac:dyDescent="0.3">
      <c r="A2693" s="830">
        <v>102923</v>
      </c>
      <c r="B2693" s="831" t="s">
        <v>7185</v>
      </c>
      <c r="C2693" s="830" t="s">
        <v>1369</v>
      </c>
      <c r="D2693" s="832">
        <v>8.52</v>
      </c>
    </row>
    <row r="2694" spans="1:4" x14ac:dyDescent="0.3">
      <c r="A2694" s="830">
        <v>103088</v>
      </c>
      <c r="B2694" s="831" t="s">
        <v>7186</v>
      </c>
      <c r="C2694" s="830" t="s">
        <v>1369</v>
      </c>
      <c r="D2694" s="832">
        <v>11.08</v>
      </c>
    </row>
    <row r="2695" spans="1:4" x14ac:dyDescent="0.3">
      <c r="A2695" s="830">
        <v>104104</v>
      </c>
      <c r="B2695" s="831" t="s">
        <v>7187</v>
      </c>
      <c r="C2695" s="830" t="s">
        <v>1369</v>
      </c>
      <c r="D2695" s="832">
        <v>11.82</v>
      </c>
    </row>
    <row r="2696" spans="1:4" x14ac:dyDescent="0.3">
      <c r="A2696" s="830">
        <v>104105</v>
      </c>
      <c r="B2696" s="831" t="s">
        <v>7188</v>
      </c>
      <c r="C2696" s="830" t="s">
        <v>1369</v>
      </c>
      <c r="D2696" s="832">
        <v>11.83</v>
      </c>
    </row>
    <row r="2697" spans="1:4" x14ac:dyDescent="0.3">
      <c r="A2697" s="830">
        <v>104106</v>
      </c>
      <c r="B2697" s="831" t="s">
        <v>7189</v>
      </c>
      <c r="C2697" s="830" t="s">
        <v>1369</v>
      </c>
      <c r="D2697" s="832">
        <v>11.02</v>
      </c>
    </row>
    <row r="2698" spans="1:4" x14ac:dyDescent="0.3">
      <c r="A2698" s="830">
        <v>104107</v>
      </c>
      <c r="B2698" s="831" t="s">
        <v>7190</v>
      </c>
      <c r="C2698" s="830" t="s">
        <v>1369</v>
      </c>
      <c r="D2698" s="832">
        <v>11.77</v>
      </c>
    </row>
    <row r="2699" spans="1:4" x14ac:dyDescent="0.3">
      <c r="A2699" s="830">
        <v>104108</v>
      </c>
      <c r="B2699" s="831" t="s">
        <v>7191</v>
      </c>
      <c r="C2699" s="830" t="s">
        <v>1369</v>
      </c>
      <c r="D2699" s="832">
        <v>13.99</v>
      </c>
    </row>
    <row r="2700" spans="1:4" x14ac:dyDescent="0.3">
      <c r="A2700" s="830">
        <v>104109</v>
      </c>
      <c r="B2700" s="831" t="s">
        <v>7192</v>
      </c>
      <c r="C2700" s="830" t="s">
        <v>1369</v>
      </c>
      <c r="D2700" s="832">
        <v>17.22</v>
      </c>
    </row>
    <row r="2701" spans="1:4" x14ac:dyDescent="0.3">
      <c r="A2701" s="830">
        <v>104110</v>
      </c>
      <c r="B2701" s="831" t="s">
        <v>7193</v>
      </c>
      <c r="C2701" s="830" t="s">
        <v>1369</v>
      </c>
      <c r="D2701" s="832">
        <v>19.66</v>
      </c>
    </row>
    <row r="2702" spans="1:4" x14ac:dyDescent="0.3">
      <c r="A2702" s="830">
        <v>104111</v>
      </c>
      <c r="B2702" s="831" t="s">
        <v>7194</v>
      </c>
      <c r="C2702" s="830" t="s">
        <v>1369</v>
      </c>
      <c r="D2702" s="832">
        <v>22.44</v>
      </c>
    </row>
    <row r="2703" spans="1:4" x14ac:dyDescent="0.3">
      <c r="A2703" s="830">
        <v>104915</v>
      </c>
      <c r="B2703" s="831" t="s">
        <v>7195</v>
      </c>
      <c r="C2703" s="830" t="s">
        <v>1369</v>
      </c>
      <c r="D2703" s="832">
        <v>11.05</v>
      </c>
    </row>
    <row r="2704" spans="1:4" x14ac:dyDescent="0.3">
      <c r="A2704" s="830">
        <v>104917</v>
      </c>
      <c r="B2704" s="831" t="s">
        <v>7196</v>
      </c>
      <c r="C2704" s="830" t="s">
        <v>1369</v>
      </c>
      <c r="D2704" s="832">
        <v>16.89</v>
      </c>
    </row>
    <row r="2705" spans="1:4" x14ac:dyDescent="0.3">
      <c r="A2705" s="830">
        <v>104918</v>
      </c>
      <c r="B2705" s="831" t="s">
        <v>7197</v>
      </c>
      <c r="C2705" s="830" t="s">
        <v>1369</v>
      </c>
      <c r="D2705" s="832">
        <v>15.6</v>
      </c>
    </row>
    <row r="2706" spans="1:4" x14ac:dyDescent="0.3">
      <c r="A2706" s="830">
        <v>104919</v>
      </c>
      <c r="B2706" s="831" t="s">
        <v>7198</v>
      </c>
      <c r="C2706" s="830" t="s">
        <v>1369</v>
      </c>
      <c r="D2706" s="832">
        <v>13.89</v>
      </c>
    </row>
    <row r="2707" spans="1:4" x14ac:dyDescent="0.3">
      <c r="A2707" s="830">
        <v>104920</v>
      </c>
      <c r="B2707" s="831" t="s">
        <v>7199</v>
      </c>
      <c r="C2707" s="830" t="s">
        <v>1369</v>
      </c>
      <c r="D2707" s="832">
        <v>11.74</v>
      </c>
    </row>
    <row r="2708" spans="1:4" x14ac:dyDescent="0.3">
      <c r="A2708" s="830">
        <v>104921</v>
      </c>
      <c r="B2708" s="831" t="s">
        <v>7200</v>
      </c>
      <c r="C2708" s="830" t="s">
        <v>1369</v>
      </c>
      <c r="D2708" s="832">
        <v>11.04</v>
      </c>
    </row>
    <row r="2709" spans="1:4" x14ac:dyDescent="0.3">
      <c r="A2709" s="830">
        <v>104922</v>
      </c>
      <c r="B2709" s="831" t="s">
        <v>7201</v>
      </c>
      <c r="C2709" s="830" t="s">
        <v>1369</v>
      </c>
      <c r="D2709" s="832">
        <v>12.16</v>
      </c>
    </row>
    <row r="2710" spans="1:4" x14ac:dyDescent="0.3">
      <c r="A2710" s="830">
        <v>105814</v>
      </c>
      <c r="B2710" s="831" t="s">
        <v>7202</v>
      </c>
      <c r="C2710" s="830" t="s">
        <v>1369</v>
      </c>
      <c r="D2710" s="832">
        <v>10.4</v>
      </c>
    </row>
    <row r="2711" spans="1:4" x14ac:dyDescent="0.3">
      <c r="A2711" s="830">
        <v>89993</v>
      </c>
      <c r="B2711" s="831" t="s">
        <v>7203</v>
      </c>
      <c r="C2711" s="830" t="s">
        <v>5247</v>
      </c>
      <c r="D2711" s="832">
        <v>1176.98</v>
      </c>
    </row>
    <row r="2712" spans="1:4" x14ac:dyDescent="0.3">
      <c r="A2712" s="830">
        <v>89994</v>
      </c>
      <c r="B2712" s="831" t="s">
        <v>7204</v>
      </c>
      <c r="C2712" s="830" t="s">
        <v>5247</v>
      </c>
      <c r="D2712" s="832">
        <v>1015.85</v>
      </c>
    </row>
    <row r="2713" spans="1:4" x14ac:dyDescent="0.3">
      <c r="A2713" s="830">
        <v>89995</v>
      </c>
      <c r="B2713" s="831" t="s">
        <v>7205</v>
      </c>
      <c r="C2713" s="830" t="s">
        <v>5247</v>
      </c>
      <c r="D2713" s="832">
        <v>1135.78</v>
      </c>
    </row>
    <row r="2714" spans="1:4" x14ac:dyDescent="0.3">
      <c r="A2714" s="830">
        <v>90278</v>
      </c>
      <c r="B2714" s="831" t="s">
        <v>7206</v>
      </c>
      <c r="C2714" s="830" t="s">
        <v>5247</v>
      </c>
      <c r="D2714" s="832">
        <v>614.08000000000004</v>
      </c>
    </row>
    <row r="2715" spans="1:4" x14ac:dyDescent="0.3">
      <c r="A2715" s="830">
        <v>90279</v>
      </c>
      <c r="B2715" s="831" t="s">
        <v>7207</v>
      </c>
      <c r="C2715" s="830" t="s">
        <v>5247</v>
      </c>
      <c r="D2715" s="832">
        <v>656.29</v>
      </c>
    </row>
    <row r="2716" spans="1:4" x14ac:dyDescent="0.3">
      <c r="A2716" s="830">
        <v>90280</v>
      </c>
      <c r="B2716" s="831" t="s">
        <v>7208</v>
      </c>
      <c r="C2716" s="830" t="s">
        <v>5247</v>
      </c>
      <c r="D2716" s="832">
        <v>698.11</v>
      </c>
    </row>
    <row r="2717" spans="1:4" x14ac:dyDescent="0.3">
      <c r="A2717" s="830">
        <v>90281</v>
      </c>
      <c r="B2717" s="831" t="s">
        <v>7209</v>
      </c>
      <c r="C2717" s="830" t="s">
        <v>5247</v>
      </c>
      <c r="D2717" s="832">
        <v>772.14</v>
      </c>
    </row>
    <row r="2718" spans="1:4" x14ac:dyDescent="0.3">
      <c r="A2718" s="830">
        <v>90282</v>
      </c>
      <c r="B2718" s="831" t="s">
        <v>7210</v>
      </c>
      <c r="C2718" s="830" t="s">
        <v>5247</v>
      </c>
      <c r="D2718" s="832">
        <v>598.47</v>
      </c>
    </row>
    <row r="2719" spans="1:4" x14ac:dyDescent="0.3">
      <c r="A2719" s="830">
        <v>90283</v>
      </c>
      <c r="B2719" s="831" t="s">
        <v>7211</v>
      </c>
      <c r="C2719" s="830" t="s">
        <v>5247</v>
      </c>
      <c r="D2719" s="832">
        <v>640.1</v>
      </c>
    </row>
    <row r="2720" spans="1:4" x14ac:dyDescent="0.3">
      <c r="A2720" s="830">
        <v>90284</v>
      </c>
      <c r="B2720" s="831" t="s">
        <v>7212</v>
      </c>
      <c r="C2720" s="830" t="s">
        <v>5247</v>
      </c>
      <c r="D2720" s="832">
        <v>687.34</v>
      </c>
    </row>
    <row r="2721" spans="1:4" x14ac:dyDescent="0.3">
      <c r="A2721" s="830">
        <v>90285</v>
      </c>
      <c r="B2721" s="831" t="s">
        <v>7213</v>
      </c>
      <c r="C2721" s="830" t="s">
        <v>5247</v>
      </c>
      <c r="D2721" s="832">
        <v>766.93</v>
      </c>
    </row>
    <row r="2722" spans="1:4" x14ac:dyDescent="0.3">
      <c r="A2722" s="830">
        <v>94962</v>
      </c>
      <c r="B2722" s="831" t="s">
        <v>2616</v>
      </c>
      <c r="C2722" s="830" t="s">
        <v>5247</v>
      </c>
      <c r="D2722" s="832">
        <v>509.66</v>
      </c>
    </row>
    <row r="2723" spans="1:4" x14ac:dyDescent="0.3">
      <c r="A2723" s="830">
        <v>94963</v>
      </c>
      <c r="B2723" s="831" t="s">
        <v>7214</v>
      </c>
      <c r="C2723" s="830" t="s">
        <v>5247</v>
      </c>
      <c r="D2723" s="832">
        <v>543.78</v>
      </c>
    </row>
    <row r="2724" spans="1:4" x14ac:dyDescent="0.3">
      <c r="A2724" s="830">
        <v>94964</v>
      </c>
      <c r="B2724" s="831" t="s">
        <v>2905</v>
      </c>
      <c r="C2724" s="830" t="s">
        <v>5247</v>
      </c>
      <c r="D2724" s="832">
        <v>575.98</v>
      </c>
    </row>
    <row r="2725" spans="1:4" x14ac:dyDescent="0.3">
      <c r="A2725" s="830">
        <v>94965</v>
      </c>
      <c r="B2725" s="831" t="s">
        <v>7215</v>
      </c>
      <c r="C2725" s="830" t="s">
        <v>5247</v>
      </c>
      <c r="D2725" s="832">
        <v>587.07000000000005</v>
      </c>
    </row>
    <row r="2726" spans="1:4" x14ac:dyDescent="0.3">
      <c r="A2726" s="830">
        <v>94966</v>
      </c>
      <c r="B2726" s="831" t="s">
        <v>7216</v>
      </c>
      <c r="C2726" s="830" t="s">
        <v>5247</v>
      </c>
      <c r="D2726" s="832">
        <v>599.23</v>
      </c>
    </row>
    <row r="2727" spans="1:4" x14ac:dyDescent="0.3">
      <c r="A2727" s="830">
        <v>94967</v>
      </c>
      <c r="B2727" s="831" t="s">
        <v>1367</v>
      </c>
      <c r="C2727" s="830" t="s">
        <v>5247</v>
      </c>
      <c r="D2727" s="832">
        <v>655.55</v>
      </c>
    </row>
    <row r="2728" spans="1:4" x14ac:dyDescent="0.3">
      <c r="A2728" s="830">
        <v>94968</v>
      </c>
      <c r="B2728" s="831" t="s">
        <v>175</v>
      </c>
      <c r="C2728" s="830" t="s">
        <v>5247</v>
      </c>
      <c r="D2728" s="832">
        <v>505.96</v>
      </c>
    </row>
    <row r="2729" spans="1:4" x14ac:dyDescent="0.3">
      <c r="A2729" s="830">
        <v>94969</v>
      </c>
      <c r="B2729" s="831" t="s">
        <v>530</v>
      </c>
      <c r="C2729" s="830" t="s">
        <v>5247</v>
      </c>
      <c r="D2729" s="832">
        <v>536.33000000000004</v>
      </c>
    </row>
    <row r="2730" spans="1:4" x14ac:dyDescent="0.3">
      <c r="A2730" s="830">
        <v>94970</v>
      </c>
      <c r="B2730" s="831" t="s">
        <v>7217</v>
      </c>
      <c r="C2730" s="830" t="s">
        <v>5247</v>
      </c>
      <c r="D2730" s="832">
        <v>561.48</v>
      </c>
    </row>
    <row r="2731" spans="1:4" x14ac:dyDescent="0.3">
      <c r="A2731" s="830">
        <v>94971</v>
      </c>
      <c r="B2731" s="831" t="s">
        <v>177</v>
      </c>
      <c r="C2731" s="830" t="s">
        <v>5247</v>
      </c>
      <c r="D2731" s="832">
        <v>579.57000000000005</v>
      </c>
    </row>
    <row r="2732" spans="1:4" x14ac:dyDescent="0.3">
      <c r="A2732" s="830">
        <v>94972</v>
      </c>
      <c r="B2732" s="831" t="s">
        <v>3477</v>
      </c>
      <c r="C2732" s="830" t="s">
        <v>5247</v>
      </c>
      <c r="D2732" s="832">
        <v>591.67999999999995</v>
      </c>
    </row>
    <row r="2733" spans="1:4" x14ac:dyDescent="0.3">
      <c r="A2733" s="830">
        <v>94973</v>
      </c>
      <c r="B2733" s="831" t="s">
        <v>7218</v>
      </c>
      <c r="C2733" s="830" t="s">
        <v>5247</v>
      </c>
      <c r="D2733" s="832">
        <v>645.80999999999995</v>
      </c>
    </row>
    <row r="2734" spans="1:4" x14ac:dyDescent="0.3">
      <c r="A2734" s="830">
        <v>94974</v>
      </c>
      <c r="B2734" s="831" t="s">
        <v>2634</v>
      </c>
      <c r="C2734" s="830" t="s">
        <v>5247</v>
      </c>
      <c r="D2734" s="832">
        <v>575.80999999999995</v>
      </c>
    </row>
    <row r="2735" spans="1:4" x14ac:dyDescent="0.3">
      <c r="A2735" s="830">
        <v>94975</v>
      </c>
      <c r="B2735" s="831" t="s">
        <v>7219</v>
      </c>
      <c r="C2735" s="830" t="s">
        <v>5247</v>
      </c>
      <c r="D2735" s="832">
        <v>603.12</v>
      </c>
    </row>
    <row r="2736" spans="1:4" x14ac:dyDescent="0.3">
      <c r="A2736" s="830">
        <v>96555</v>
      </c>
      <c r="B2736" s="831" t="s">
        <v>7220</v>
      </c>
      <c r="C2736" s="830" t="s">
        <v>5247</v>
      </c>
      <c r="D2736" s="832">
        <v>830.17</v>
      </c>
    </row>
    <row r="2737" spans="1:4" x14ac:dyDescent="0.3">
      <c r="A2737" s="830">
        <v>96556</v>
      </c>
      <c r="B2737" s="831" t="s">
        <v>7221</v>
      </c>
      <c r="C2737" s="830" t="s">
        <v>5247</v>
      </c>
      <c r="D2737" s="832">
        <v>998.59</v>
      </c>
    </row>
    <row r="2738" spans="1:4" x14ac:dyDescent="0.3">
      <c r="A2738" s="830">
        <v>96557</v>
      </c>
      <c r="B2738" s="831" t="s">
        <v>7222</v>
      </c>
      <c r="C2738" s="830" t="s">
        <v>5247</v>
      </c>
      <c r="D2738" s="832">
        <v>685.97</v>
      </c>
    </row>
    <row r="2739" spans="1:4" x14ac:dyDescent="0.3">
      <c r="A2739" s="830">
        <v>96558</v>
      </c>
      <c r="B2739" s="831" t="s">
        <v>7223</v>
      </c>
      <c r="C2739" s="830" t="s">
        <v>5247</v>
      </c>
      <c r="D2739" s="832">
        <v>719.04</v>
      </c>
    </row>
    <row r="2740" spans="1:4" x14ac:dyDescent="0.3">
      <c r="A2740" s="830">
        <v>99235</v>
      </c>
      <c r="B2740" s="831" t="s">
        <v>7224</v>
      </c>
      <c r="C2740" s="830" t="s">
        <v>5247</v>
      </c>
      <c r="D2740" s="832">
        <v>625.89</v>
      </c>
    </row>
    <row r="2741" spans="1:4" x14ac:dyDescent="0.3">
      <c r="A2741" s="830">
        <v>99431</v>
      </c>
      <c r="B2741" s="831" t="s">
        <v>7225</v>
      </c>
      <c r="C2741" s="830" t="s">
        <v>5247</v>
      </c>
      <c r="D2741" s="832">
        <v>699.04</v>
      </c>
    </row>
    <row r="2742" spans="1:4" x14ac:dyDescent="0.3">
      <c r="A2742" s="830">
        <v>99432</v>
      </c>
      <c r="B2742" s="831" t="s">
        <v>7226</v>
      </c>
      <c r="C2742" s="830" t="s">
        <v>5247</v>
      </c>
      <c r="D2742" s="832">
        <v>683.1</v>
      </c>
    </row>
    <row r="2743" spans="1:4" x14ac:dyDescent="0.3">
      <c r="A2743" s="830">
        <v>99433</v>
      </c>
      <c r="B2743" s="831" t="s">
        <v>7227</v>
      </c>
      <c r="C2743" s="830" t="s">
        <v>5247</v>
      </c>
      <c r="D2743" s="832">
        <v>742.94</v>
      </c>
    </row>
    <row r="2744" spans="1:4" x14ac:dyDescent="0.3">
      <c r="A2744" s="830">
        <v>99434</v>
      </c>
      <c r="B2744" s="831" t="s">
        <v>7228</v>
      </c>
      <c r="C2744" s="830" t="s">
        <v>5247</v>
      </c>
      <c r="D2744" s="832">
        <v>703.03</v>
      </c>
    </row>
    <row r="2745" spans="1:4" x14ac:dyDescent="0.3">
      <c r="A2745" s="830">
        <v>99435</v>
      </c>
      <c r="B2745" s="831" t="s">
        <v>7229</v>
      </c>
      <c r="C2745" s="830" t="s">
        <v>5247</v>
      </c>
      <c r="D2745" s="832">
        <v>685.97</v>
      </c>
    </row>
    <row r="2746" spans="1:4" x14ac:dyDescent="0.3">
      <c r="A2746" s="830">
        <v>99436</v>
      </c>
      <c r="B2746" s="831" t="s">
        <v>7230</v>
      </c>
      <c r="C2746" s="830" t="s">
        <v>5247</v>
      </c>
      <c r="D2746" s="832">
        <v>765.71</v>
      </c>
    </row>
    <row r="2747" spans="1:4" x14ac:dyDescent="0.3">
      <c r="A2747" s="830">
        <v>99437</v>
      </c>
      <c r="B2747" s="831" t="s">
        <v>7231</v>
      </c>
      <c r="C2747" s="830" t="s">
        <v>5247</v>
      </c>
      <c r="D2747" s="832">
        <v>666.28</v>
      </c>
    </row>
    <row r="2748" spans="1:4" x14ac:dyDescent="0.3">
      <c r="A2748" s="830">
        <v>99438</v>
      </c>
      <c r="B2748" s="831" t="s">
        <v>7232</v>
      </c>
      <c r="C2748" s="830" t="s">
        <v>5247</v>
      </c>
      <c r="D2748" s="832">
        <v>673.85</v>
      </c>
    </row>
    <row r="2749" spans="1:4" x14ac:dyDescent="0.3">
      <c r="A2749" s="830">
        <v>99439</v>
      </c>
      <c r="B2749" s="831" t="s">
        <v>7233</v>
      </c>
      <c r="C2749" s="830" t="s">
        <v>5247</v>
      </c>
      <c r="D2749" s="832">
        <v>690.63</v>
      </c>
    </row>
    <row r="2750" spans="1:4" x14ac:dyDescent="0.3">
      <c r="A2750" s="830">
        <v>102473</v>
      </c>
      <c r="B2750" s="831" t="s">
        <v>7234</v>
      </c>
      <c r="C2750" s="830" t="s">
        <v>5247</v>
      </c>
      <c r="D2750" s="832">
        <v>791.37</v>
      </c>
    </row>
    <row r="2751" spans="1:4" x14ac:dyDescent="0.3">
      <c r="A2751" s="830">
        <v>102474</v>
      </c>
      <c r="B2751" s="831" t="s">
        <v>7235</v>
      </c>
      <c r="C2751" s="830" t="s">
        <v>5247</v>
      </c>
      <c r="D2751" s="832">
        <v>817.59</v>
      </c>
    </row>
    <row r="2752" spans="1:4" x14ac:dyDescent="0.3">
      <c r="A2752" s="830">
        <v>102475</v>
      </c>
      <c r="B2752" s="831" t="s">
        <v>7236</v>
      </c>
      <c r="C2752" s="830" t="s">
        <v>5247</v>
      </c>
      <c r="D2752" s="832">
        <v>855.27</v>
      </c>
    </row>
    <row r="2753" spans="1:4" x14ac:dyDescent="0.3">
      <c r="A2753" s="830">
        <v>102476</v>
      </c>
      <c r="B2753" s="831" t="s">
        <v>7237</v>
      </c>
      <c r="C2753" s="830" t="s">
        <v>5247</v>
      </c>
      <c r="D2753" s="832">
        <v>862.65</v>
      </c>
    </row>
    <row r="2754" spans="1:4" x14ac:dyDescent="0.3">
      <c r="A2754" s="830">
        <v>102477</v>
      </c>
      <c r="B2754" s="831" t="s">
        <v>7238</v>
      </c>
      <c r="C2754" s="830" t="s">
        <v>5247</v>
      </c>
      <c r="D2754" s="832">
        <v>894.19</v>
      </c>
    </row>
    <row r="2755" spans="1:4" x14ac:dyDescent="0.3">
      <c r="A2755" s="830">
        <v>102478</v>
      </c>
      <c r="B2755" s="831" t="s">
        <v>7239</v>
      </c>
      <c r="C2755" s="830" t="s">
        <v>5247</v>
      </c>
      <c r="D2755" s="832">
        <v>922.82</v>
      </c>
    </row>
    <row r="2756" spans="1:4" x14ac:dyDescent="0.3">
      <c r="A2756" s="830">
        <v>102479</v>
      </c>
      <c r="B2756" s="831" t="s">
        <v>7240</v>
      </c>
      <c r="C2756" s="830" t="s">
        <v>5247</v>
      </c>
      <c r="D2756" s="832">
        <v>789.13</v>
      </c>
    </row>
    <row r="2757" spans="1:4" x14ac:dyDescent="0.3">
      <c r="A2757" s="830">
        <v>102480</v>
      </c>
      <c r="B2757" s="831" t="s">
        <v>7241</v>
      </c>
      <c r="C2757" s="830" t="s">
        <v>5247</v>
      </c>
      <c r="D2757" s="832">
        <v>811.12</v>
      </c>
    </row>
    <row r="2758" spans="1:4" x14ac:dyDescent="0.3">
      <c r="A2758" s="830">
        <v>102481</v>
      </c>
      <c r="B2758" s="831" t="s">
        <v>7242</v>
      </c>
      <c r="C2758" s="830" t="s">
        <v>5247</v>
      </c>
      <c r="D2758" s="832">
        <v>842.12</v>
      </c>
    </row>
    <row r="2759" spans="1:4" x14ac:dyDescent="0.3">
      <c r="A2759" s="830">
        <v>102482</v>
      </c>
      <c r="B2759" s="831" t="s">
        <v>7243</v>
      </c>
      <c r="C2759" s="830" t="s">
        <v>5247</v>
      </c>
      <c r="D2759" s="832">
        <v>860.45</v>
      </c>
    </row>
    <row r="2760" spans="1:4" x14ac:dyDescent="0.3">
      <c r="A2760" s="830">
        <v>102483</v>
      </c>
      <c r="B2760" s="831" t="s">
        <v>7244</v>
      </c>
      <c r="C2760" s="830" t="s">
        <v>5247</v>
      </c>
      <c r="D2760" s="832">
        <v>887.55</v>
      </c>
    </row>
    <row r="2761" spans="1:4" x14ac:dyDescent="0.3">
      <c r="A2761" s="830">
        <v>102484</v>
      </c>
      <c r="B2761" s="831" t="s">
        <v>7245</v>
      </c>
      <c r="C2761" s="830" t="s">
        <v>5247</v>
      </c>
      <c r="D2761" s="832">
        <v>922.16</v>
      </c>
    </row>
    <row r="2762" spans="1:4" x14ac:dyDescent="0.3">
      <c r="A2762" s="830">
        <v>102485</v>
      </c>
      <c r="B2762" s="831" t="s">
        <v>7246</v>
      </c>
      <c r="C2762" s="830" t="s">
        <v>5247</v>
      </c>
      <c r="D2762" s="832">
        <v>864.71</v>
      </c>
    </row>
    <row r="2763" spans="1:4" x14ac:dyDescent="0.3">
      <c r="A2763" s="830">
        <v>102486</v>
      </c>
      <c r="B2763" s="831" t="s">
        <v>3023</v>
      </c>
      <c r="C2763" s="830" t="s">
        <v>5247</v>
      </c>
      <c r="D2763" s="832">
        <v>880.05</v>
      </c>
    </row>
    <row r="2764" spans="1:4" x14ac:dyDescent="0.3">
      <c r="A2764" s="830">
        <v>102487</v>
      </c>
      <c r="B2764" s="831" t="s">
        <v>7247</v>
      </c>
      <c r="C2764" s="830" t="s">
        <v>5247</v>
      </c>
      <c r="D2764" s="832">
        <v>725.92</v>
      </c>
    </row>
    <row r="2765" spans="1:4" x14ac:dyDescent="0.3">
      <c r="A2765" s="830">
        <v>103183</v>
      </c>
      <c r="B2765" s="831" t="s">
        <v>7248</v>
      </c>
      <c r="C2765" s="830" t="s">
        <v>5247</v>
      </c>
      <c r="D2765" s="832">
        <v>769.97</v>
      </c>
    </row>
    <row r="2766" spans="1:4" x14ac:dyDescent="0.3">
      <c r="A2766" s="830">
        <v>103184</v>
      </c>
      <c r="B2766" s="831" t="s">
        <v>7249</v>
      </c>
      <c r="C2766" s="830" t="s">
        <v>5247</v>
      </c>
      <c r="D2766" s="832">
        <v>648.86</v>
      </c>
    </row>
    <row r="2767" spans="1:4" x14ac:dyDescent="0.3">
      <c r="A2767" s="830">
        <v>103669</v>
      </c>
      <c r="B2767" s="831" t="s">
        <v>7250</v>
      </c>
      <c r="C2767" s="830" t="s">
        <v>5247</v>
      </c>
      <c r="D2767" s="832">
        <v>939.33</v>
      </c>
    </row>
    <row r="2768" spans="1:4" x14ac:dyDescent="0.3">
      <c r="A2768" s="830">
        <v>103670</v>
      </c>
      <c r="B2768" s="831" t="s">
        <v>181</v>
      </c>
      <c r="C2768" s="830" t="s">
        <v>5247</v>
      </c>
      <c r="D2768" s="832">
        <v>326.63</v>
      </c>
    </row>
    <row r="2769" spans="1:4" x14ac:dyDescent="0.3">
      <c r="A2769" s="830">
        <v>103671</v>
      </c>
      <c r="B2769" s="831" t="s">
        <v>7251</v>
      </c>
      <c r="C2769" s="830" t="s">
        <v>5247</v>
      </c>
      <c r="D2769" s="832">
        <v>665.65</v>
      </c>
    </row>
    <row r="2770" spans="1:4" x14ac:dyDescent="0.3">
      <c r="A2770" s="830">
        <v>103672</v>
      </c>
      <c r="B2770" s="831" t="s">
        <v>7252</v>
      </c>
      <c r="C2770" s="830" t="s">
        <v>5247</v>
      </c>
      <c r="D2770" s="832">
        <v>622.91</v>
      </c>
    </row>
    <row r="2771" spans="1:4" x14ac:dyDescent="0.3">
      <c r="A2771" s="830">
        <v>103673</v>
      </c>
      <c r="B2771" s="831" t="s">
        <v>7253</v>
      </c>
      <c r="C2771" s="830" t="s">
        <v>5247</v>
      </c>
      <c r="D2771" s="832">
        <v>45.47</v>
      </c>
    </row>
    <row r="2772" spans="1:4" x14ac:dyDescent="0.3">
      <c r="A2772" s="830">
        <v>103674</v>
      </c>
      <c r="B2772" s="831" t="s">
        <v>7254</v>
      </c>
      <c r="C2772" s="830" t="s">
        <v>5247</v>
      </c>
      <c r="D2772" s="832">
        <v>646.16</v>
      </c>
    </row>
    <row r="2773" spans="1:4" x14ac:dyDescent="0.3">
      <c r="A2773" s="830">
        <v>103675</v>
      </c>
      <c r="B2773" s="831" t="s">
        <v>7255</v>
      </c>
      <c r="C2773" s="830" t="s">
        <v>5247</v>
      </c>
      <c r="D2773" s="832">
        <v>624.20000000000005</v>
      </c>
    </row>
    <row r="2774" spans="1:4" x14ac:dyDescent="0.3">
      <c r="A2774" s="830">
        <v>103676</v>
      </c>
      <c r="B2774" s="831" t="s">
        <v>7256</v>
      </c>
      <c r="C2774" s="830" t="s">
        <v>5247</v>
      </c>
      <c r="D2774" s="832">
        <v>999.39</v>
      </c>
    </row>
    <row r="2775" spans="1:4" x14ac:dyDescent="0.3">
      <c r="A2775" s="830">
        <v>103677</v>
      </c>
      <c r="B2775" s="831" t="s">
        <v>7257</v>
      </c>
      <c r="C2775" s="830" t="s">
        <v>5247</v>
      </c>
      <c r="D2775" s="832">
        <v>813.14</v>
      </c>
    </row>
    <row r="2776" spans="1:4" x14ac:dyDescent="0.3">
      <c r="A2776" s="830">
        <v>103678</v>
      </c>
      <c r="B2776" s="831" t="s">
        <v>7258</v>
      </c>
      <c r="C2776" s="830" t="s">
        <v>5247</v>
      </c>
      <c r="D2776" s="832">
        <v>894.65</v>
      </c>
    </row>
    <row r="2777" spans="1:4" x14ac:dyDescent="0.3">
      <c r="A2777" s="830">
        <v>103679</v>
      </c>
      <c r="B2777" s="831" t="s">
        <v>7259</v>
      </c>
      <c r="C2777" s="830" t="s">
        <v>5247</v>
      </c>
      <c r="D2777" s="832">
        <v>766.59</v>
      </c>
    </row>
    <row r="2778" spans="1:4" x14ac:dyDescent="0.3">
      <c r="A2778" s="830">
        <v>103680</v>
      </c>
      <c r="B2778" s="831" t="s">
        <v>7260</v>
      </c>
      <c r="C2778" s="830" t="s">
        <v>5247</v>
      </c>
      <c r="D2778" s="832">
        <v>822.28</v>
      </c>
    </row>
    <row r="2779" spans="1:4" x14ac:dyDescent="0.3">
      <c r="A2779" s="830">
        <v>103681</v>
      </c>
      <c r="B2779" s="831" t="s">
        <v>7261</v>
      </c>
      <c r="C2779" s="830" t="s">
        <v>5247</v>
      </c>
      <c r="D2779" s="832">
        <v>695.18</v>
      </c>
    </row>
    <row r="2780" spans="1:4" x14ac:dyDescent="0.3">
      <c r="A2780" s="830">
        <v>103682</v>
      </c>
      <c r="B2780" s="831" t="s">
        <v>7262</v>
      </c>
      <c r="C2780" s="830" t="s">
        <v>5247</v>
      </c>
      <c r="D2780" s="832">
        <v>958.29</v>
      </c>
    </row>
    <row r="2781" spans="1:4" x14ac:dyDescent="0.3">
      <c r="A2781" s="830">
        <v>103683</v>
      </c>
      <c r="B2781" s="831" t="s">
        <v>7263</v>
      </c>
      <c r="C2781" s="830" t="s">
        <v>5247</v>
      </c>
      <c r="D2781" s="832">
        <v>1274.75</v>
      </c>
    </row>
    <row r="2782" spans="1:4" x14ac:dyDescent="0.3">
      <c r="A2782" s="830">
        <v>103684</v>
      </c>
      <c r="B2782" s="831" t="s">
        <v>7264</v>
      </c>
      <c r="C2782" s="830" t="s">
        <v>5247</v>
      </c>
      <c r="D2782" s="832">
        <v>643.13</v>
      </c>
    </row>
    <row r="2783" spans="1:4" x14ac:dyDescent="0.3">
      <c r="A2783" s="830">
        <v>103685</v>
      </c>
      <c r="B2783" s="831" t="s">
        <v>7265</v>
      </c>
      <c r="C2783" s="830" t="s">
        <v>5247</v>
      </c>
      <c r="D2783" s="832">
        <v>629.33000000000004</v>
      </c>
    </row>
    <row r="2784" spans="1:4" x14ac:dyDescent="0.3">
      <c r="A2784" s="830">
        <v>103686</v>
      </c>
      <c r="B2784" s="831" t="s">
        <v>7266</v>
      </c>
      <c r="C2784" s="830" t="s">
        <v>5247</v>
      </c>
      <c r="D2784" s="832">
        <v>697.58</v>
      </c>
    </row>
    <row r="2785" spans="1:4" x14ac:dyDescent="0.3">
      <c r="A2785" s="830">
        <v>103687</v>
      </c>
      <c r="B2785" s="831" t="s">
        <v>7267</v>
      </c>
      <c r="C2785" s="830" t="s">
        <v>5247</v>
      </c>
      <c r="D2785" s="832">
        <v>1074.3399999999999</v>
      </c>
    </row>
    <row r="2786" spans="1:4" x14ac:dyDescent="0.3">
      <c r="A2786" s="830">
        <v>103688</v>
      </c>
      <c r="B2786" s="831" t="s">
        <v>7268</v>
      </c>
      <c r="C2786" s="830" t="s">
        <v>5247</v>
      </c>
      <c r="D2786" s="832">
        <v>806.32</v>
      </c>
    </row>
    <row r="2787" spans="1:4" x14ac:dyDescent="0.3">
      <c r="A2787" s="830">
        <v>104916</v>
      </c>
      <c r="B2787" s="831" t="s">
        <v>7269</v>
      </c>
      <c r="C2787" s="830" t="s">
        <v>1369</v>
      </c>
      <c r="D2787" s="832">
        <v>18.260000000000002</v>
      </c>
    </row>
    <row r="2788" spans="1:4" x14ac:dyDescent="0.3">
      <c r="A2788" s="830">
        <v>104923</v>
      </c>
      <c r="B2788" s="831" t="s">
        <v>7270</v>
      </c>
      <c r="C2788" s="830" t="s">
        <v>5247</v>
      </c>
      <c r="D2788" s="832">
        <v>891.55</v>
      </c>
    </row>
    <row r="2789" spans="1:4" x14ac:dyDescent="0.3">
      <c r="A2789" s="830">
        <v>104924</v>
      </c>
      <c r="B2789" s="831" t="s">
        <v>7271</v>
      </c>
      <c r="C2789" s="830" t="s">
        <v>5247</v>
      </c>
      <c r="D2789" s="832">
        <v>709.23</v>
      </c>
    </row>
    <row r="2790" spans="1:4" x14ac:dyDescent="0.3">
      <c r="A2790" s="830">
        <v>101963</v>
      </c>
      <c r="B2790" s="831" t="s">
        <v>7272</v>
      </c>
      <c r="C2790" s="830" t="s">
        <v>252</v>
      </c>
      <c r="D2790" s="832">
        <v>181.87</v>
      </c>
    </row>
    <row r="2791" spans="1:4" x14ac:dyDescent="0.3">
      <c r="A2791" s="830">
        <v>101964</v>
      </c>
      <c r="B2791" s="831" t="s">
        <v>7273</v>
      </c>
      <c r="C2791" s="830" t="s">
        <v>252</v>
      </c>
      <c r="D2791" s="832">
        <v>169.71</v>
      </c>
    </row>
    <row r="2792" spans="1:4" x14ac:dyDescent="0.3">
      <c r="A2792" s="830">
        <v>101165</v>
      </c>
      <c r="B2792" s="831" t="s">
        <v>2699</v>
      </c>
      <c r="C2792" s="830" t="s">
        <v>5247</v>
      </c>
      <c r="D2792" s="832">
        <v>1130.55</v>
      </c>
    </row>
    <row r="2793" spans="1:4" x14ac:dyDescent="0.3">
      <c r="A2793" s="830">
        <v>101166</v>
      </c>
      <c r="B2793" s="831" t="s">
        <v>7274</v>
      </c>
      <c r="C2793" s="830" t="s">
        <v>5247</v>
      </c>
      <c r="D2793" s="832">
        <v>724.39</v>
      </c>
    </row>
    <row r="2794" spans="1:4" x14ac:dyDescent="0.3">
      <c r="A2794" s="830">
        <v>98575</v>
      </c>
      <c r="B2794" s="831" t="s">
        <v>7275</v>
      </c>
      <c r="C2794" s="830" t="s">
        <v>194</v>
      </c>
      <c r="D2794" s="832">
        <v>77.760000000000005</v>
      </c>
    </row>
    <row r="2795" spans="1:4" x14ac:dyDescent="0.3">
      <c r="A2795" s="830">
        <v>98576</v>
      </c>
      <c r="B2795" s="831" t="s">
        <v>7276</v>
      </c>
      <c r="C2795" s="830" t="s">
        <v>194</v>
      </c>
      <c r="D2795" s="832">
        <v>22</v>
      </c>
    </row>
    <row r="2796" spans="1:4" x14ac:dyDescent="0.3">
      <c r="A2796" s="830">
        <v>98577</v>
      </c>
      <c r="B2796" s="831" t="s">
        <v>7277</v>
      </c>
      <c r="C2796" s="830" t="s">
        <v>194</v>
      </c>
      <c r="D2796" s="832">
        <v>52.2</v>
      </c>
    </row>
    <row r="2797" spans="1:4" x14ac:dyDescent="0.3">
      <c r="A2797" s="830">
        <v>93184</v>
      </c>
      <c r="B2797" s="831" t="s">
        <v>7278</v>
      </c>
      <c r="C2797" s="830" t="s">
        <v>194</v>
      </c>
      <c r="D2797" s="832">
        <v>31.09</v>
      </c>
    </row>
    <row r="2798" spans="1:4" x14ac:dyDescent="0.3">
      <c r="A2798" s="830">
        <v>93187</v>
      </c>
      <c r="B2798" s="831" t="s">
        <v>7279</v>
      </c>
      <c r="C2798" s="830" t="s">
        <v>194</v>
      </c>
      <c r="D2798" s="832">
        <v>81.790000000000006</v>
      </c>
    </row>
    <row r="2799" spans="1:4" x14ac:dyDescent="0.3">
      <c r="A2799" s="830">
        <v>93191</v>
      </c>
      <c r="B2799" s="831" t="s">
        <v>7280</v>
      </c>
      <c r="C2799" s="830" t="s">
        <v>194</v>
      </c>
      <c r="D2799" s="832">
        <v>78.3</v>
      </c>
    </row>
    <row r="2800" spans="1:4" x14ac:dyDescent="0.3">
      <c r="A2800" s="830">
        <v>93194</v>
      </c>
      <c r="B2800" s="831" t="s">
        <v>7281</v>
      </c>
      <c r="C2800" s="830" t="s">
        <v>194</v>
      </c>
      <c r="D2800" s="832">
        <v>30.35</v>
      </c>
    </row>
    <row r="2801" spans="1:4" x14ac:dyDescent="0.3">
      <c r="A2801" s="830">
        <v>93197</v>
      </c>
      <c r="B2801" s="831" t="s">
        <v>7282</v>
      </c>
      <c r="C2801" s="830" t="s">
        <v>194</v>
      </c>
      <c r="D2801" s="832">
        <v>61.95</v>
      </c>
    </row>
    <row r="2802" spans="1:4" x14ac:dyDescent="0.3">
      <c r="A2802" s="830">
        <v>93199</v>
      </c>
      <c r="B2802" s="831" t="s">
        <v>7283</v>
      </c>
      <c r="C2802" s="830" t="s">
        <v>194</v>
      </c>
      <c r="D2802" s="832">
        <v>56.18</v>
      </c>
    </row>
    <row r="2803" spans="1:4" x14ac:dyDescent="0.3">
      <c r="A2803" s="830">
        <v>93200</v>
      </c>
      <c r="B2803" s="831" t="s">
        <v>7284</v>
      </c>
      <c r="C2803" s="830" t="s">
        <v>194</v>
      </c>
      <c r="D2803" s="832">
        <v>13.15</v>
      </c>
    </row>
    <row r="2804" spans="1:4" x14ac:dyDescent="0.3">
      <c r="A2804" s="830">
        <v>93202</v>
      </c>
      <c r="B2804" s="831" t="s">
        <v>7285</v>
      </c>
      <c r="C2804" s="830" t="s">
        <v>194</v>
      </c>
      <c r="D2804" s="832">
        <v>30.64</v>
      </c>
    </row>
    <row r="2805" spans="1:4" x14ac:dyDescent="0.3">
      <c r="A2805" s="830">
        <v>93203</v>
      </c>
      <c r="B2805" s="831" t="s">
        <v>7286</v>
      </c>
      <c r="C2805" s="830" t="s">
        <v>194</v>
      </c>
      <c r="D2805" s="832">
        <v>12.83</v>
      </c>
    </row>
    <row r="2806" spans="1:4" x14ac:dyDescent="0.3">
      <c r="A2806" s="830">
        <v>93205</v>
      </c>
      <c r="B2806" s="831" t="s">
        <v>7287</v>
      </c>
      <c r="C2806" s="830" t="s">
        <v>194</v>
      </c>
      <c r="D2806" s="832">
        <v>77.349999999999994</v>
      </c>
    </row>
    <row r="2807" spans="1:4" x14ac:dyDescent="0.3">
      <c r="A2807" s="830">
        <v>105021</v>
      </c>
      <c r="B2807" s="831" t="s">
        <v>7288</v>
      </c>
      <c r="C2807" s="830" t="s">
        <v>194</v>
      </c>
      <c r="D2807" s="832">
        <v>26.68</v>
      </c>
    </row>
    <row r="2808" spans="1:4" x14ac:dyDescent="0.3">
      <c r="A2808" s="830">
        <v>105022</v>
      </c>
      <c r="B2808" s="831" t="s">
        <v>7289</v>
      </c>
      <c r="C2808" s="830" t="s">
        <v>194</v>
      </c>
      <c r="D2808" s="832">
        <v>23.14</v>
      </c>
    </row>
    <row r="2809" spans="1:4" x14ac:dyDescent="0.3">
      <c r="A2809" s="830">
        <v>105023</v>
      </c>
      <c r="B2809" s="831" t="s">
        <v>7290</v>
      </c>
      <c r="C2809" s="830" t="s">
        <v>194</v>
      </c>
      <c r="D2809" s="832">
        <v>69.03</v>
      </c>
    </row>
    <row r="2810" spans="1:4" x14ac:dyDescent="0.3">
      <c r="A2810" s="830">
        <v>105024</v>
      </c>
      <c r="B2810" s="831" t="s">
        <v>7291</v>
      </c>
      <c r="C2810" s="830" t="s">
        <v>194</v>
      </c>
      <c r="D2810" s="832">
        <v>56.23</v>
      </c>
    </row>
    <row r="2811" spans="1:4" x14ac:dyDescent="0.3">
      <c r="A2811" s="830">
        <v>105025</v>
      </c>
      <c r="B2811" s="831" t="s">
        <v>7292</v>
      </c>
      <c r="C2811" s="830" t="s">
        <v>194</v>
      </c>
      <c r="D2811" s="832">
        <v>64.62</v>
      </c>
    </row>
    <row r="2812" spans="1:4" x14ac:dyDescent="0.3">
      <c r="A2812" s="830">
        <v>105026</v>
      </c>
      <c r="B2812" s="831" t="s">
        <v>7293</v>
      </c>
      <c r="C2812" s="830" t="s">
        <v>194</v>
      </c>
      <c r="D2812" s="832">
        <v>45.41</v>
      </c>
    </row>
    <row r="2813" spans="1:4" x14ac:dyDescent="0.3">
      <c r="A2813" s="830">
        <v>105027</v>
      </c>
      <c r="B2813" s="831" t="s">
        <v>7294</v>
      </c>
      <c r="C2813" s="830" t="s">
        <v>194</v>
      </c>
      <c r="D2813" s="832">
        <v>26.31</v>
      </c>
    </row>
    <row r="2814" spans="1:4" x14ac:dyDescent="0.3">
      <c r="A2814" s="830">
        <v>105028</v>
      </c>
      <c r="B2814" s="831" t="s">
        <v>7295</v>
      </c>
      <c r="C2814" s="830" t="s">
        <v>194</v>
      </c>
      <c r="D2814" s="832">
        <v>22.8</v>
      </c>
    </row>
    <row r="2815" spans="1:4" x14ac:dyDescent="0.3">
      <c r="A2815" s="830">
        <v>105029</v>
      </c>
      <c r="B2815" s="831" t="s">
        <v>7296</v>
      </c>
      <c r="C2815" s="830" t="s">
        <v>194</v>
      </c>
      <c r="D2815" s="832">
        <v>53</v>
      </c>
    </row>
    <row r="2816" spans="1:4" x14ac:dyDescent="0.3">
      <c r="A2816" s="830">
        <v>105030</v>
      </c>
      <c r="B2816" s="831" t="s">
        <v>7297</v>
      </c>
      <c r="C2816" s="830" t="s">
        <v>194</v>
      </c>
      <c r="D2816" s="832">
        <v>44.05</v>
      </c>
    </row>
    <row r="2817" spans="1:4" x14ac:dyDescent="0.3">
      <c r="A2817" s="830">
        <v>105031</v>
      </c>
      <c r="B2817" s="831" t="s">
        <v>7298</v>
      </c>
      <c r="C2817" s="830" t="s">
        <v>194</v>
      </c>
      <c r="D2817" s="832">
        <v>53.5</v>
      </c>
    </row>
    <row r="2818" spans="1:4" x14ac:dyDescent="0.3">
      <c r="A2818" s="830">
        <v>105032</v>
      </c>
      <c r="B2818" s="831" t="s">
        <v>7299</v>
      </c>
      <c r="C2818" s="830" t="s">
        <v>194</v>
      </c>
      <c r="D2818" s="832">
        <v>36.39</v>
      </c>
    </row>
    <row r="2819" spans="1:4" x14ac:dyDescent="0.3">
      <c r="A2819" s="830">
        <v>105033</v>
      </c>
      <c r="B2819" s="831" t="s">
        <v>7300</v>
      </c>
      <c r="C2819" s="830" t="s">
        <v>194</v>
      </c>
      <c r="D2819" s="832">
        <v>64.12</v>
      </c>
    </row>
    <row r="2820" spans="1:4" x14ac:dyDescent="0.3">
      <c r="A2820" s="830">
        <v>105034</v>
      </c>
      <c r="B2820" s="831" t="s">
        <v>7301</v>
      </c>
      <c r="C2820" s="830" t="s">
        <v>194</v>
      </c>
      <c r="D2820" s="832">
        <v>45.76</v>
      </c>
    </row>
    <row r="2821" spans="1:4" x14ac:dyDescent="0.3">
      <c r="A2821" s="830">
        <v>105035</v>
      </c>
      <c r="B2821" s="831" t="s">
        <v>7302</v>
      </c>
      <c r="C2821" s="830" t="s">
        <v>194</v>
      </c>
      <c r="D2821" s="832">
        <v>71.45</v>
      </c>
    </row>
    <row r="2822" spans="1:4" x14ac:dyDescent="0.3">
      <c r="A2822" s="830">
        <v>105036</v>
      </c>
      <c r="B2822" s="831" t="s">
        <v>7303</v>
      </c>
      <c r="C2822" s="830" t="s">
        <v>194</v>
      </c>
      <c r="D2822" s="832">
        <v>51.53</v>
      </c>
    </row>
    <row r="2823" spans="1:4" x14ac:dyDescent="0.3">
      <c r="A2823" s="830">
        <v>105037</v>
      </c>
      <c r="B2823" s="831" t="s">
        <v>7304</v>
      </c>
      <c r="C2823" s="830" t="s">
        <v>194</v>
      </c>
      <c r="D2823" s="832">
        <v>34.909999999999997</v>
      </c>
    </row>
    <row r="2824" spans="1:4" x14ac:dyDescent="0.3">
      <c r="A2824" s="830">
        <v>105038</v>
      </c>
      <c r="B2824" s="831" t="s">
        <v>7305</v>
      </c>
      <c r="C2824" s="830" t="s">
        <v>194</v>
      </c>
      <c r="D2824" s="832">
        <v>71.239999999999995</v>
      </c>
    </row>
    <row r="2825" spans="1:4" x14ac:dyDescent="0.3">
      <c r="A2825" s="830">
        <v>105039</v>
      </c>
      <c r="B2825" s="831" t="s">
        <v>7306</v>
      </c>
      <c r="C2825" s="830" t="s">
        <v>194</v>
      </c>
      <c r="D2825" s="832">
        <v>51.3</v>
      </c>
    </row>
    <row r="2826" spans="1:4" x14ac:dyDescent="0.3">
      <c r="A2826" s="830">
        <v>105040</v>
      </c>
      <c r="B2826" s="831" t="s">
        <v>7307</v>
      </c>
      <c r="C2826" s="830" t="s">
        <v>194</v>
      </c>
      <c r="D2826" s="832">
        <v>34.74</v>
      </c>
    </row>
    <row r="2827" spans="1:4" x14ac:dyDescent="0.3">
      <c r="A2827" s="830">
        <v>97733</v>
      </c>
      <c r="B2827" s="831" t="s">
        <v>4442</v>
      </c>
      <c r="C2827" s="830" t="s">
        <v>5247</v>
      </c>
      <c r="D2827" s="832">
        <v>3659.46</v>
      </c>
    </row>
    <row r="2828" spans="1:4" x14ac:dyDescent="0.3">
      <c r="A2828" s="830">
        <v>97734</v>
      </c>
      <c r="B2828" s="831" t="s">
        <v>7308</v>
      </c>
      <c r="C2828" s="830" t="s">
        <v>5247</v>
      </c>
      <c r="D2828" s="832">
        <v>3224.95</v>
      </c>
    </row>
    <row r="2829" spans="1:4" x14ac:dyDescent="0.3">
      <c r="A2829" s="830">
        <v>97735</v>
      </c>
      <c r="B2829" s="831" t="s">
        <v>7309</v>
      </c>
      <c r="C2829" s="830" t="s">
        <v>5247</v>
      </c>
      <c r="D2829" s="832">
        <v>2649.18</v>
      </c>
    </row>
    <row r="2830" spans="1:4" x14ac:dyDescent="0.3">
      <c r="A2830" s="830">
        <v>97736</v>
      </c>
      <c r="B2830" s="831" t="s">
        <v>7310</v>
      </c>
      <c r="C2830" s="830" t="s">
        <v>5247</v>
      </c>
      <c r="D2830" s="832">
        <v>1621.59</v>
      </c>
    </row>
    <row r="2831" spans="1:4" x14ac:dyDescent="0.3">
      <c r="A2831" s="830">
        <v>97737</v>
      </c>
      <c r="B2831" s="831" t="s">
        <v>7311</v>
      </c>
      <c r="C2831" s="830" t="s">
        <v>5247</v>
      </c>
      <c r="D2831" s="832">
        <v>3448.29</v>
      </c>
    </row>
    <row r="2832" spans="1:4" x14ac:dyDescent="0.3">
      <c r="A2832" s="830">
        <v>97738</v>
      </c>
      <c r="B2832" s="831" t="s">
        <v>7312</v>
      </c>
      <c r="C2832" s="830" t="s">
        <v>5247</v>
      </c>
      <c r="D2832" s="832">
        <v>3985.3</v>
      </c>
    </row>
    <row r="2833" spans="1:4" x14ac:dyDescent="0.3">
      <c r="A2833" s="830">
        <v>97739</v>
      </c>
      <c r="B2833" s="831" t="s">
        <v>7313</v>
      </c>
      <c r="C2833" s="830" t="s">
        <v>5247</v>
      </c>
      <c r="D2833" s="832">
        <v>2978.33</v>
      </c>
    </row>
    <row r="2834" spans="1:4" x14ac:dyDescent="0.3">
      <c r="A2834" s="830">
        <v>97740</v>
      </c>
      <c r="B2834" s="831" t="s">
        <v>7314</v>
      </c>
      <c r="C2834" s="830" t="s">
        <v>5247</v>
      </c>
      <c r="D2834" s="832">
        <v>2104.79</v>
      </c>
    </row>
    <row r="2835" spans="1:4" x14ac:dyDescent="0.3">
      <c r="A2835" s="830">
        <v>98615</v>
      </c>
      <c r="B2835" s="831" t="s">
        <v>7315</v>
      </c>
      <c r="C2835" s="830" t="s">
        <v>252</v>
      </c>
      <c r="D2835" s="832">
        <v>145.74</v>
      </c>
    </row>
    <row r="2836" spans="1:4" x14ac:dyDescent="0.3">
      <c r="A2836" s="830">
        <v>98616</v>
      </c>
      <c r="B2836" s="831" t="s">
        <v>7316</v>
      </c>
      <c r="C2836" s="830" t="s">
        <v>252</v>
      </c>
      <c r="D2836" s="832">
        <v>113.14</v>
      </c>
    </row>
    <row r="2837" spans="1:4" x14ac:dyDescent="0.3">
      <c r="A2837" s="830">
        <v>98617</v>
      </c>
      <c r="B2837" s="831" t="s">
        <v>7317</v>
      </c>
      <c r="C2837" s="830" t="s">
        <v>252</v>
      </c>
      <c r="D2837" s="832">
        <v>104.24</v>
      </c>
    </row>
    <row r="2838" spans="1:4" x14ac:dyDescent="0.3">
      <c r="A2838" s="830">
        <v>98618</v>
      </c>
      <c r="B2838" s="831" t="s">
        <v>7318</v>
      </c>
      <c r="C2838" s="830" t="s">
        <v>252</v>
      </c>
      <c r="D2838" s="832">
        <v>143.31</v>
      </c>
    </row>
    <row r="2839" spans="1:4" x14ac:dyDescent="0.3">
      <c r="A2839" s="830">
        <v>98619</v>
      </c>
      <c r="B2839" s="831" t="s">
        <v>7319</v>
      </c>
      <c r="C2839" s="830" t="s">
        <v>252</v>
      </c>
      <c r="D2839" s="832">
        <v>129.83000000000001</v>
      </c>
    </row>
    <row r="2840" spans="1:4" x14ac:dyDescent="0.3">
      <c r="A2840" s="830">
        <v>98620</v>
      </c>
      <c r="B2840" s="831" t="s">
        <v>7320</v>
      </c>
      <c r="C2840" s="830" t="s">
        <v>252</v>
      </c>
      <c r="D2840" s="832">
        <v>123.05</v>
      </c>
    </row>
    <row r="2841" spans="1:4" x14ac:dyDescent="0.3">
      <c r="A2841" s="830">
        <v>98621</v>
      </c>
      <c r="B2841" s="831" t="s">
        <v>7321</v>
      </c>
      <c r="C2841" s="830" t="s">
        <v>252</v>
      </c>
      <c r="D2841" s="832">
        <v>161.66</v>
      </c>
    </row>
    <row r="2842" spans="1:4" x14ac:dyDescent="0.3">
      <c r="A2842" s="830">
        <v>98622</v>
      </c>
      <c r="B2842" s="831" t="s">
        <v>7322</v>
      </c>
      <c r="C2842" s="830" t="s">
        <v>252</v>
      </c>
      <c r="D2842" s="832">
        <v>150.84</v>
      </c>
    </row>
    <row r="2843" spans="1:4" x14ac:dyDescent="0.3">
      <c r="A2843" s="830">
        <v>98623</v>
      </c>
      <c r="B2843" s="831" t="s">
        <v>7323</v>
      </c>
      <c r="C2843" s="830" t="s">
        <v>252</v>
      </c>
      <c r="D2843" s="832">
        <v>145.34</v>
      </c>
    </row>
    <row r="2844" spans="1:4" x14ac:dyDescent="0.3">
      <c r="A2844" s="830">
        <v>98624</v>
      </c>
      <c r="B2844" s="831" t="s">
        <v>7324</v>
      </c>
      <c r="C2844" s="830" t="s">
        <v>252</v>
      </c>
      <c r="D2844" s="832">
        <v>181.89</v>
      </c>
    </row>
    <row r="2845" spans="1:4" x14ac:dyDescent="0.3">
      <c r="A2845" s="830">
        <v>98625</v>
      </c>
      <c r="B2845" s="831" t="s">
        <v>7325</v>
      </c>
      <c r="C2845" s="830" t="s">
        <v>252</v>
      </c>
      <c r="D2845" s="832">
        <v>172.76</v>
      </c>
    </row>
    <row r="2846" spans="1:4" x14ac:dyDescent="0.3">
      <c r="A2846" s="830">
        <v>98626</v>
      </c>
      <c r="B2846" s="831" t="s">
        <v>7326</v>
      </c>
      <c r="C2846" s="830" t="s">
        <v>252</v>
      </c>
      <c r="D2846" s="832">
        <v>168.05</v>
      </c>
    </row>
    <row r="2847" spans="1:4" x14ac:dyDescent="0.3">
      <c r="A2847" s="830">
        <v>98627</v>
      </c>
      <c r="B2847" s="831" t="s">
        <v>7327</v>
      </c>
      <c r="C2847" s="830" t="s">
        <v>252</v>
      </c>
      <c r="D2847" s="832">
        <v>662.54</v>
      </c>
    </row>
    <row r="2848" spans="1:4" x14ac:dyDescent="0.3">
      <c r="A2848" s="830">
        <v>98628</v>
      </c>
      <c r="B2848" s="831" t="s">
        <v>7328</v>
      </c>
      <c r="C2848" s="830" t="s">
        <v>252</v>
      </c>
      <c r="D2848" s="832">
        <v>573.73</v>
      </c>
    </row>
    <row r="2849" spans="1:4" x14ac:dyDescent="0.3">
      <c r="A2849" s="830">
        <v>98629</v>
      </c>
      <c r="B2849" s="831" t="s">
        <v>7329</v>
      </c>
      <c r="C2849" s="830" t="s">
        <v>252</v>
      </c>
      <c r="D2849" s="832">
        <v>529.13</v>
      </c>
    </row>
    <row r="2850" spans="1:4" x14ac:dyDescent="0.3">
      <c r="A2850" s="830">
        <v>98630</v>
      </c>
      <c r="B2850" s="831" t="s">
        <v>7330</v>
      </c>
      <c r="C2850" s="830" t="s">
        <v>252</v>
      </c>
      <c r="D2850" s="832">
        <v>701.08</v>
      </c>
    </row>
    <row r="2851" spans="1:4" x14ac:dyDescent="0.3">
      <c r="A2851" s="830">
        <v>98632</v>
      </c>
      <c r="B2851" s="831" t="s">
        <v>7331</v>
      </c>
      <c r="C2851" s="830" t="s">
        <v>252</v>
      </c>
      <c r="D2851" s="832">
        <v>594.75</v>
      </c>
    </row>
    <row r="2852" spans="1:4" x14ac:dyDescent="0.3">
      <c r="A2852" s="830">
        <v>98655</v>
      </c>
      <c r="B2852" s="831" t="s">
        <v>7332</v>
      </c>
      <c r="C2852" s="830" t="s">
        <v>194</v>
      </c>
      <c r="D2852" s="832">
        <v>730.54</v>
      </c>
    </row>
    <row r="2853" spans="1:4" x14ac:dyDescent="0.3">
      <c r="A2853" s="830">
        <v>98656</v>
      </c>
      <c r="B2853" s="831" t="s">
        <v>7333</v>
      </c>
      <c r="C2853" s="830" t="s">
        <v>194</v>
      </c>
      <c r="D2853" s="832">
        <v>740.72</v>
      </c>
    </row>
    <row r="2854" spans="1:4" x14ac:dyDescent="0.3">
      <c r="A2854" s="830">
        <v>98657</v>
      </c>
      <c r="B2854" s="831" t="s">
        <v>7334</v>
      </c>
      <c r="C2854" s="830" t="s">
        <v>194</v>
      </c>
      <c r="D2854" s="832">
        <v>750.9</v>
      </c>
    </row>
    <row r="2855" spans="1:4" x14ac:dyDescent="0.3">
      <c r="A2855" s="830">
        <v>98658</v>
      </c>
      <c r="B2855" s="831" t="s">
        <v>7335</v>
      </c>
      <c r="C2855" s="830" t="s">
        <v>194</v>
      </c>
      <c r="D2855" s="832">
        <v>761.08</v>
      </c>
    </row>
    <row r="2856" spans="1:4" x14ac:dyDescent="0.3">
      <c r="A2856" s="830">
        <v>98659</v>
      </c>
      <c r="B2856" s="831" t="s">
        <v>7336</v>
      </c>
      <c r="C2856" s="830" t="s">
        <v>194</v>
      </c>
      <c r="D2856" s="832">
        <v>781.42</v>
      </c>
    </row>
    <row r="2857" spans="1:4" x14ac:dyDescent="0.3">
      <c r="A2857" s="830">
        <v>98746</v>
      </c>
      <c r="B2857" s="831" t="s">
        <v>7337</v>
      </c>
      <c r="C2857" s="830" t="s">
        <v>194</v>
      </c>
      <c r="D2857" s="832">
        <v>76.83</v>
      </c>
    </row>
    <row r="2858" spans="1:4" x14ac:dyDescent="0.3">
      <c r="A2858" s="830">
        <v>98749</v>
      </c>
      <c r="B2858" s="831" t="s">
        <v>7338</v>
      </c>
      <c r="C2858" s="830" t="s">
        <v>194</v>
      </c>
      <c r="D2858" s="832">
        <v>92.57</v>
      </c>
    </row>
    <row r="2859" spans="1:4" x14ac:dyDescent="0.3">
      <c r="A2859" s="830">
        <v>98750</v>
      </c>
      <c r="B2859" s="831" t="s">
        <v>7339</v>
      </c>
      <c r="C2859" s="830" t="s">
        <v>194</v>
      </c>
      <c r="D2859" s="832">
        <v>111.69</v>
      </c>
    </row>
    <row r="2860" spans="1:4" x14ac:dyDescent="0.3">
      <c r="A2860" s="830">
        <v>98751</v>
      </c>
      <c r="B2860" s="831" t="s">
        <v>7340</v>
      </c>
      <c r="C2860" s="830" t="s">
        <v>194</v>
      </c>
      <c r="D2860" s="832">
        <v>161.62</v>
      </c>
    </row>
    <row r="2861" spans="1:4" x14ac:dyDescent="0.3">
      <c r="A2861" s="830">
        <v>98752</v>
      </c>
      <c r="B2861" s="831" t="s">
        <v>7341</v>
      </c>
      <c r="C2861" s="830" t="s">
        <v>194</v>
      </c>
      <c r="D2861" s="832">
        <v>221.85</v>
      </c>
    </row>
    <row r="2862" spans="1:4" x14ac:dyDescent="0.3">
      <c r="A2862" s="830">
        <v>98753</v>
      </c>
      <c r="B2862" s="831" t="s">
        <v>7342</v>
      </c>
      <c r="C2862" s="830" t="s">
        <v>194</v>
      </c>
      <c r="D2862" s="832">
        <v>296.83</v>
      </c>
    </row>
    <row r="2863" spans="1:4" x14ac:dyDescent="0.3">
      <c r="A2863" s="830">
        <v>100763</v>
      </c>
      <c r="B2863" s="831" t="s">
        <v>7343</v>
      </c>
      <c r="C2863" s="830" t="s">
        <v>1369</v>
      </c>
      <c r="D2863" s="832">
        <v>15.82</v>
      </c>
    </row>
    <row r="2864" spans="1:4" x14ac:dyDescent="0.3">
      <c r="A2864" s="830">
        <v>100764</v>
      </c>
      <c r="B2864" s="831" t="s">
        <v>7344</v>
      </c>
      <c r="C2864" s="830" t="s">
        <v>1369</v>
      </c>
      <c r="D2864" s="832">
        <v>15.63</v>
      </c>
    </row>
    <row r="2865" spans="1:4" x14ac:dyDescent="0.3">
      <c r="A2865" s="830">
        <v>100765</v>
      </c>
      <c r="B2865" s="831" t="s">
        <v>7345</v>
      </c>
      <c r="C2865" s="830" t="s">
        <v>1369</v>
      </c>
      <c r="D2865" s="832">
        <v>13.84</v>
      </c>
    </row>
    <row r="2866" spans="1:4" x14ac:dyDescent="0.3">
      <c r="A2866" s="830">
        <v>100766</v>
      </c>
      <c r="B2866" s="831" t="s">
        <v>7346</v>
      </c>
      <c r="C2866" s="830" t="s">
        <v>1369</v>
      </c>
      <c r="D2866" s="832">
        <v>14.12</v>
      </c>
    </row>
    <row r="2867" spans="1:4" x14ac:dyDescent="0.3">
      <c r="A2867" s="830">
        <v>100767</v>
      </c>
      <c r="B2867" s="831" t="s">
        <v>7347</v>
      </c>
      <c r="C2867" s="830" t="s">
        <v>1369</v>
      </c>
      <c r="D2867" s="832">
        <v>16.190000000000001</v>
      </c>
    </row>
    <row r="2868" spans="1:4" x14ac:dyDescent="0.3">
      <c r="A2868" s="830">
        <v>100768</v>
      </c>
      <c r="B2868" s="831" t="s">
        <v>7348</v>
      </c>
      <c r="C2868" s="830" t="s">
        <v>1369</v>
      </c>
      <c r="D2868" s="832">
        <v>15.61</v>
      </c>
    </row>
    <row r="2869" spans="1:4" x14ac:dyDescent="0.3">
      <c r="A2869" s="830">
        <v>100769</v>
      </c>
      <c r="B2869" s="831" t="s">
        <v>7349</v>
      </c>
      <c r="C2869" s="830" t="s">
        <v>1369</v>
      </c>
      <c r="D2869" s="832">
        <v>22.07</v>
      </c>
    </row>
    <row r="2870" spans="1:4" x14ac:dyDescent="0.3">
      <c r="A2870" s="830">
        <v>100770</v>
      </c>
      <c r="B2870" s="831" t="s">
        <v>7350</v>
      </c>
      <c r="C2870" s="830" t="s">
        <v>1369</v>
      </c>
      <c r="D2870" s="832">
        <v>21.2</v>
      </c>
    </row>
    <row r="2871" spans="1:4" x14ac:dyDescent="0.3">
      <c r="A2871" s="830">
        <v>100771</v>
      </c>
      <c r="B2871" s="831" t="s">
        <v>7351</v>
      </c>
      <c r="C2871" s="830" t="s">
        <v>1369</v>
      </c>
      <c r="D2871" s="832">
        <v>16.920000000000002</v>
      </c>
    </row>
    <row r="2872" spans="1:4" x14ac:dyDescent="0.3">
      <c r="A2872" s="830">
        <v>100772</v>
      </c>
      <c r="B2872" s="831" t="s">
        <v>7352</v>
      </c>
      <c r="C2872" s="830" t="s">
        <v>1369</v>
      </c>
      <c r="D2872" s="832">
        <v>16.13</v>
      </c>
    </row>
    <row r="2873" spans="1:4" x14ac:dyDescent="0.3">
      <c r="A2873" s="830">
        <v>100773</v>
      </c>
      <c r="B2873" s="831" t="s">
        <v>7353</v>
      </c>
      <c r="C2873" s="830" t="s">
        <v>1369</v>
      </c>
      <c r="D2873" s="832">
        <v>19.43</v>
      </c>
    </row>
    <row r="2874" spans="1:4" x14ac:dyDescent="0.3">
      <c r="A2874" s="830">
        <v>100774</v>
      </c>
      <c r="B2874" s="831" t="s">
        <v>7354</v>
      </c>
      <c r="C2874" s="830" t="s">
        <v>1369</v>
      </c>
      <c r="D2874" s="832">
        <v>11.45</v>
      </c>
    </row>
    <row r="2875" spans="1:4" x14ac:dyDescent="0.3">
      <c r="A2875" s="830">
        <v>100775</v>
      </c>
      <c r="B2875" s="831" t="s">
        <v>7355</v>
      </c>
      <c r="C2875" s="830" t="s">
        <v>1369</v>
      </c>
      <c r="D2875" s="832">
        <v>12.96</v>
      </c>
    </row>
    <row r="2876" spans="1:4" x14ac:dyDescent="0.3">
      <c r="A2876" s="830">
        <v>100776</v>
      </c>
      <c r="B2876" s="831" t="s">
        <v>7356</v>
      </c>
      <c r="C2876" s="830" t="s">
        <v>1369</v>
      </c>
      <c r="D2876" s="832">
        <v>19.55</v>
      </c>
    </row>
    <row r="2877" spans="1:4" x14ac:dyDescent="0.3">
      <c r="A2877" s="830">
        <v>100777</v>
      </c>
      <c r="B2877" s="831" t="s">
        <v>7357</v>
      </c>
      <c r="C2877" s="830" t="s">
        <v>1369</v>
      </c>
      <c r="D2877" s="832">
        <v>11.39</v>
      </c>
    </row>
    <row r="2878" spans="1:4" x14ac:dyDescent="0.3">
      <c r="A2878" s="830">
        <v>100778</v>
      </c>
      <c r="B2878" s="831" t="s">
        <v>7358</v>
      </c>
      <c r="C2878" s="830" t="s">
        <v>1369</v>
      </c>
      <c r="D2878" s="832">
        <v>12.92</v>
      </c>
    </row>
    <row r="2879" spans="1:4" x14ac:dyDescent="0.3">
      <c r="A2879" s="830">
        <v>103795</v>
      </c>
      <c r="B2879" s="831" t="s">
        <v>7359</v>
      </c>
      <c r="C2879" s="830" t="s">
        <v>252</v>
      </c>
      <c r="D2879" s="832">
        <v>80.81</v>
      </c>
    </row>
    <row r="2880" spans="1:4" x14ac:dyDescent="0.3">
      <c r="A2880" s="830">
        <v>103796</v>
      </c>
      <c r="B2880" s="831" t="s">
        <v>7360</v>
      </c>
      <c r="C2880" s="830" t="s">
        <v>252</v>
      </c>
      <c r="D2880" s="832">
        <v>56.23</v>
      </c>
    </row>
    <row r="2881" spans="1:4" x14ac:dyDescent="0.3">
      <c r="A2881" s="830">
        <v>103797</v>
      </c>
      <c r="B2881" s="831" t="s">
        <v>7361</v>
      </c>
      <c r="C2881" s="830" t="s">
        <v>1369</v>
      </c>
      <c r="D2881" s="832">
        <v>17.68</v>
      </c>
    </row>
    <row r="2882" spans="1:4" x14ac:dyDescent="0.3">
      <c r="A2882" s="830">
        <v>103798</v>
      </c>
      <c r="B2882" s="831" t="s">
        <v>7362</v>
      </c>
      <c r="C2882" s="830" t="s">
        <v>5247</v>
      </c>
      <c r="D2882" s="832">
        <v>629.42999999999995</v>
      </c>
    </row>
    <row r="2883" spans="1:4" x14ac:dyDescent="0.3">
      <c r="A2883" s="830">
        <v>103799</v>
      </c>
      <c r="B2883" s="831" t="s">
        <v>7363</v>
      </c>
      <c r="C2883" s="830" t="s">
        <v>5247</v>
      </c>
      <c r="D2883" s="832">
        <v>557.78</v>
      </c>
    </row>
    <row r="2884" spans="1:4" x14ac:dyDescent="0.3">
      <c r="A2884" s="830">
        <v>103800</v>
      </c>
      <c r="B2884" s="831" t="s">
        <v>7364</v>
      </c>
      <c r="C2884" s="830" t="s">
        <v>5247</v>
      </c>
      <c r="D2884" s="832">
        <v>629.32000000000005</v>
      </c>
    </row>
    <row r="2885" spans="1:4" x14ac:dyDescent="0.3">
      <c r="A2885" s="830">
        <v>103801</v>
      </c>
      <c r="B2885" s="831" t="s">
        <v>7365</v>
      </c>
      <c r="C2885" s="830" t="s">
        <v>5247</v>
      </c>
      <c r="D2885" s="832">
        <v>763.77</v>
      </c>
    </row>
    <row r="2886" spans="1:4" x14ac:dyDescent="0.3">
      <c r="A2886" s="830">
        <v>103925</v>
      </c>
      <c r="B2886" s="831" t="s">
        <v>7366</v>
      </c>
      <c r="C2886" s="830" t="s">
        <v>5247</v>
      </c>
      <c r="D2886" s="832">
        <v>1675.71</v>
      </c>
    </row>
    <row r="2887" spans="1:4" x14ac:dyDescent="0.3">
      <c r="A2887" s="830">
        <v>103926</v>
      </c>
      <c r="B2887" s="831" t="s">
        <v>7367</v>
      </c>
      <c r="C2887" s="830" t="s">
        <v>5247</v>
      </c>
      <c r="D2887" s="832">
        <v>1350.42</v>
      </c>
    </row>
    <row r="2888" spans="1:4" x14ac:dyDescent="0.3">
      <c r="A2888" s="830">
        <v>103928</v>
      </c>
      <c r="B2888" s="831" t="s">
        <v>7368</v>
      </c>
      <c r="C2888" s="830" t="s">
        <v>5247</v>
      </c>
      <c r="D2888" s="832">
        <v>629.32000000000005</v>
      </c>
    </row>
    <row r="2889" spans="1:4" x14ac:dyDescent="0.3">
      <c r="A2889" s="830">
        <v>103929</v>
      </c>
      <c r="B2889" s="831" t="s">
        <v>7369</v>
      </c>
      <c r="C2889" s="830" t="s">
        <v>5247</v>
      </c>
      <c r="D2889" s="832">
        <v>1326.13</v>
      </c>
    </row>
    <row r="2890" spans="1:4" x14ac:dyDescent="0.3">
      <c r="A2890" s="830">
        <v>103930</v>
      </c>
      <c r="B2890" s="831" t="s">
        <v>7370</v>
      </c>
      <c r="C2890" s="830" t="s">
        <v>5247</v>
      </c>
      <c r="D2890" s="832">
        <v>884.65</v>
      </c>
    </row>
    <row r="2891" spans="1:4" x14ac:dyDescent="0.3">
      <c r="A2891" s="830">
        <v>103931</v>
      </c>
      <c r="B2891" s="831" t="s">
        <v>7371</v>
      </c>
      <c r="C2891" s="830" t="s">
        <v>5247</v>
      </c>
      <c r="D2891" s="832">
        <v>694.05</v>
      </c>
    </row>
    <row r="2892" spans="1:4" x14ac:dyDescent="0.3">
      <c r="A2892" s="830">
        <v>103932</v>
      </c>
      <c r="B2892" s="831" t="s">
        <v>7372</v>
      </c>
      <c r="C2892" s="830" t="s">
        <v>5247</v>
      </c>
      <c r="D2892" s="832">
        <v>666.13</v>
      </c>
    </row>
    <row r="2893" spans="1:4" x14ac:dyDescent="0.3">
      <c r="A2893" s="830">
        <v>103933</v>
      </c>
      <c r="B2893" s="831" t="s">
        <v>7373</v>
      </c>
      <c r="C2893" s="830" t="s">
        <v>5247</v>
      </c>
      <c r="D2893" s="832">
        <v>1529.03</v>
      </c>
    </row>
    <row r="2894" spans="1:4" x14ac:dyDescent="0.3">
      <c r="A2894" s="830">
        <v>105041</v>
      </c>
      <c r="B2894" s="831" t="s">
        <v>7374</v>
      </c>
      <c r="C2894" s="830" t="s">
        <v>194</v>
      </c>
      <c r="D2894" s="832">
        <v>53.32</v>
      </c>
    </row>
    <row r="2895" spans="1:4" x14ac:dyDescent="0.3">
      <c r="A2895" s="830">
        <v>105042</v>
      </c>
      <c r="B2895" s="831" t="s">
        <v>7375</v>
      </c>
      <c r="C2895" s="830" t="s">
        <v>194</v>
      </c>
      <c r="D2895" s="832">
        <v>69.73</v>
      </c>
    </row>
    <row r="2896" spans="1:4" x14ac:dyDescent="0.3">
      <c r="A2896" s="830">
        <v>105045</v>
      </c>
      <c r="B2896" s="831" t="s">
        <v>7376</v>
      </c>
      <c r="C2896" s="830" t="s">
        <v>194</v>
      </c>
      <c r="D2896" s="832">
        <v>60.66</v>
      </c>
    </row>
    <row r="2897" spans="1:4" x14ac:dyDescent="0.3">
      <c r="A2897" s="830">
        <v>105046</v>
      </c>
      <c r="B2897" s="831" t="s">
        <v>7377</v>
      </c>
      <c r="C2897" s="830" t="s">
        <v>194</v>
      </c>
      <c r="D2897" s="832">
        <v>58.61</v>
      </c>
    </row>
    <row r="2898" spans="1:4" x14ac:dyDescent="0.3">
      <c r="A2898" s="830">
        <v>105050</v>
      </c>
      <c r="B2898" s="831" t="s">
        <v>7378</v>
      </c>
      <c r="C2898" s="830" t="s">
        <v>194</v>
      </c>
      <c r="D2898" s="832">
        <v>217.19</v>
      </c>
    </row>
    <row r="2899" spans="1:4" x14ac:dyDescent="0.3">
      <c r="A2899" s="830">
        <v>105053</v>
      </c>
      <c r="B2899" s="831" t="s">
        <v>7379</v>
      </c>
      <c r="C2899" s="830" t="s">
        <v>194</v>
      </c>
      <c r="D2899" s="832">
        <v>206.22</v>
      </c>
    </row>
    <row r="2900" spans="1:4" x14ac:dyDescent="0.3">
      <c r="A2900" s="830">
        <v>105056</v>
      </c>
      <c r="B2900" s="831" t="s">
        <v>7380</v>
      </c>
      <c r="C2900" s="830" t="s">
        <v>194</v>
      </c>
      <c r="D2900" s="832">
        <v>300.25</v>
      </c>
    </row>
    <row r="2901" spans="1:4" x14ac:dyDescent="0.3">
      <c r="A2901" s="830">
        <v>105058</v>
      </c>
      <c r="B2901" s="831" t="s">
        <v>7381</v>
      </c>
      <c r="C2901" s="830" t="s">
        <v>194</v>
      </c>
      <c r="D2901" s="832">
        <v>290.05</v>
      </c>
    </row>
    <row r="2902" spans="1:4" x14ac:dyDescent="0.3">
      <c r="A2902" s="830">
        <v>105061</v>
      </c>
      <c r="B2902" s="831" t="s">
        <v>7382</v>
      </c>
      <c r="C2902" s="830" t="s">
        <v>194</v>
      </c>
      <c r="D2902" s="832">
        <v>95.94</v>
      </c>
    </row>
    <row r="2903" spans="1:4" x14ac:dyDescent="0.3">
      <c r="A2903" s="830">
        <v>105064</v>
      </c>
      <c r="B2903" s="831" t="s">
        <v>7383</v>
      </c>
      <c r="C2903" s="830" t="s">
        <v>194</v>
      </c>
      <c r="D2903" s="832">
        <v>81.760000000000005</v>
      </c>
    </row>
    <row r="2904" spans="1:4" x14ac:dyDescent="0.3">
      <c r="A2904" s="830">
        <v>105068</v>
      </c>
      <c r="B2904" s="831" t="s">
        <v>7384</v>
      </c>
      <c r="C2904" s="830" t="s">
        <v>194</v>
      </c>
      <c r="D2904" s="832">
        <v>156.55000000000001</v>
      </c>
    </row>
    <row r="2905" spans="1:4" x14ac:dyDescent="0.3">
      <c r="A2905" s="830">
        <v>105071</v>
      </c>
      <c r="B2905" s="831" t="s">
        <v>7385</v>
      </c>
      <c r="C2905" s="830" t="s">
        <v>194</v>
      </c>
      <c r="D2905" s="832">
        <v>142.37</v>
      </c>
    </row>
    <row r="2906" spans="1:4" x14ac:dyDescent="0.3">
      <c r="A2906" s="830">
        <v>105074</v>
      </c>
      <c r="B2906" s="831" t="s">
        <v>7386</v>
      </c>
      <c r="C2906" s="830" t="s">
        <v>194</v>
      </c>
      <c r="D2906" s="832">
        <v>241.36</v>
      </c>
    </row>
    <row r="2907" spans="1:4" x14ac:dyDescent="0.3">
      <c r="A2907" s="830">
        <v>105077</v>
      </c>
      <c r="B2907" s="831" t="s">
        <v>7387</v>
      </c>
      <c r="C2907" s="830" t="s">
        <v>194</v>
      </c>
      <c r="D2907" s="832">
        <v>227.25</v>
      </c>
    </row>
    <row r="2908" spans="1:4" x14ac:dyDescent="0.3">
      <c r="A2908" s="830">
        <v>105080</v>
      </c>
      <c r="B2908" s="831" t="s">
        <v>7388</v>
      </c>
      <c r="C2908" s="830" t="s">
        <v>194</v>
      </c>
      <c r="D2908" s="832">
        <v>64.2</v>
      </c>
    </row>
    <row r="2909" spans="1:4" x14ac:dyDescent="0.3">
      <c r="A2909" s="830">
        <v>105081</v>
      </c>
      <c r="B2909" s="831" t="s">
        <v>7389</v>
      </c>
      <c r="C2909" s="830" t="s">
        <v>194</v>
      </c>
      <c r="D2909" s="832">
        <v>73.88</v>
      </c>
    </row>
    <row r="2910" spans="1:4" x14ac:dyDescent="0.3">
      <c r="A2910" s="830">
        <v>105082</v>
      </c>
      <c r="B2910" s="831" t="s">
        <v>7390</v>
      </c>
      <c r="C2910" s="830" t="s">
        <v>194</v>
      </c>
      <c r="D2910" s="832">
        <v>66.790000000000006</v>
      </c>
    </row>
    <row r="2911" spans="1:4" x14ac:dyDescent="0.3">
      <c r="A2911" s="830">
        <v>105083</v>
      </c>
      <c r="B2911" s="831" t="s">
        <v>7391</v>
      </c>
      <c r="C2911" s="830" t="s">
        <v>194</v>
      </c>
      <c r="D2911" s="832">
        <v>75.05</v>
      </c>
    </row>
    <row r="2912" spans="1:4" x14ac:dyDescent="0.3">
      <c r="A2912" s="830">
        <v>105084</v>
      </c>
      <c r="B2912" s="831" t="s">
        <v>7392</v>
      </c>
      <c r="C2912" s="830" t="s">
        <v>194</v>
      </c>
      <c r="D2912" s="832">
        <v>92.5</v>
      </c>
    </row>
    <row r="2913" spans="1:4" x14ac:dyDescent="0.3">
      <c r="A2913" s="830">
        <v>105085</v>
      </c>
      <c r="B2913" s="831" t="s">
        <v>7393</v>
      </c>
      <c r="C2913" s="830" t="s">
        <v>194</v>
      </c>
      <c r="D2913" s="832">
        <v>96.55</v>
      </c>
    </row>
    <row r="2914" spans="1:4" x14ac:dyDescent="0.3">
      <c r="A2914" s="830">
        <v>105086</v>
      </c>
      <c r="B2914" s="831" t="s">
        <v>7394</v>
      </c>
      <c r="C2914" s="830" t="s">
        <v>194</v>
      </c>
      <c r="D2914" s="832">
        <v>86.29</v>
      </c>
    </row>
    <row r="2915" spans="1:4" x14ac:dyDescent="0.3">
      <c r="A2915" s="830">
        <v>105087</v>
      </c>
      <c r="B2915" s="831" t="s">
        <v>7395</v>
      </c>
      <c r="C2915" s="830" t="s">
        <v>194</v>
      </c>
      <c r="D2915" s="832">
        <v>96.58</v>
      </c>
    </row>
    <row r="2916" spans="1:4" x14ac:dyDescent="0.3">
      <c r="A2916" s="830">
        <v>105088</v>
      </c>
      <c r="B2916" s="831" t="s">
        <v>7396</v>
      </c>
      <c r="C2916" s="830" t="s">
        <v>194</v>
      </c>
      <c r="D2916" s="832">
        <v>172.03</v>
      </c>
    </row>
    <row r="2917" spans="1:4" x14ac:dyDescent="0.3">
      <c r="A2917" s="830">
        <v>105089</v>
      </c>
      <c r="B2917" s="831" t="s">
        <v>7397</v>
      </c>
      <c r="C2917" s="830" t="s">
        <v>194</v>
      </c>
      <c r="D2917" s="832">
        <v>159.06</v>
      </c>
    </row>
    <row r="2918" spans="1:4" x14ac:dyDescent="0.3">
      <c r="A2918" s="830">
        <v>105090</v>
      </c>
      <c r="B2918" s="831" t="s">
        <v>7398</v>
      </c>
      <c r="C2918" s="830" t="s">
        <v>252</v>
      </c>
      <c r="D2918" s="832">
        <v>466.02</v>
      </c>
    </row>
    <row r="2919" spans="1:4" x14ac:dyDescent="0.3">
      <c r="A2919" s="830">
        <v>105091</v>
      </c>
      <c r="B2919" s="831" t="s">
        <v>7399</v>
      </c>
      <c r="C2919" s="830" t="s">
        <v>194</v>
      </c>
      <c r="D2919" s="832">
        <v>126.63</v>
      </c>
    </row>
    <row r="2920" spans="1:4" x14ac:dyDescent="0.3">
      <c r="A2920" s="830">
        <v>105092</v>
      </c>
      <c r="B2920" s="831" t="s">
        <v>7400</v>
      </c>
      <c r="C2920" s="830" t="s">
        <v>194</v>
      </c>
      <c r="D2920" s="832">
        <v>137.44999999999999</v>
      </c>
    </row>
    <row r="2921" spans="1:4" x14ac:dyDescent="0.3">
      <c r="A2921" s="830">
        <v>105093</v>
      </c>
      <c r="B2921" s="831" t="s">
        <v>7401</v>
      </c>
      <c r="C2921" s="830" t="s">
        <v>194</v>
      </c>
      <c r="D2921" s="832">
        <v>139.59</v>
      </c>
    </row>
    <row r="2922" spans="1:4" x14ac:dyDescent="0.3">
      <c r="A2922" s="830">
        <v>105095</v>
      </c>
      <c r="B2922" s="831" t="s">
        <v>7402</v>
      </c>
      <c r="C2922" s="830" t="s">
        <v>194</v>
      </c>
      <c r="D2922" s="832">
        <v>104.25</v>
      </c>
    </row>
    <row r="2923" spans="1:4" x14ac:dyDescent="0.3">
      <c r="A2923" s="830">
        <v>105098</v>
      </c>
      <c r="B2923" s="831" t="s">
        <v>7403</v>
      </c>
      <c r="C2923" s="830" t="s">
        <v>194</v>
      </c>
      <c r="D2923" s="832">
        <v>93.15</v>
      </c>
    </row>
    <row r="2924" spans="1:4" x14ac:dyDescent="0.3">
      <c r="A2924" s="830">
        <v>105099</v>
      </c>
      <c r="B2924" s="831" t="s">
        <v>7404</v>
      </c>
      <c r="C2924" s="830" t="s">
        <v>194</v>
      </c>
      <c r="D2924" s="832">
        <v>84.87</v>
      </c>
    </row>
    <row r="2925" spans="1:4" x14ac:dyDescent="0.3">
      <c r="A2925" s="830">
        <v>105100</v>
      </c>
      <c r="B2925" s="831" t="s">
        <v>7405</v>
      </c>
      <c r="C2925" s="830" t="s">
        <v>194</v>
      </c>
      <c r="D2925" s="832">
        <v>122.34</v>
      </c>
    </row>
    <row r="2926" spans="1:4" x14ac:dyDescent="0.3">
      <c r="A2926" s="830">
        <v>105101</v>
      </c>
      <c r="B2926" s="831" t="s">
        <v>7406</v>
      </c>
      <c r="C2926" s="830" t="s">
        <v>194</v>
      </c>
      <c r="D2926" s="832">
        <v>241.48</v>
      </c>
    </row>
    <row r="2927" spans="1:4" x14ac:dyDescent="0.3">
      <c r="A2927" s="830">
        <v>105102</v>
      </c>
      <c r="B2927" s="831" t="s">
        <v>7407</v>
      </c>
      <c r="C2927" s="830" t="s">
        <v>194</v>
      </c>
      <c r="D2927" s="832">
        <v>332.6</v>
      </c>
    </row>
    <row r="2928" spans="1:4" x14ac:dyDescent="0.3">
      <c r="A2928" s="830">
        <v>98562</v>
      </c>
      <c r="B2928" s="831" t="s">
        <v>7408</v>
      </c>
      <c r="C2928" s="830" t="s">
        <v>252</v>
      </c>
      <c r="D2928" s="832">
        <v>54.39</v>
      </c>
    </row>
    <row r="2929" spans="1:4" x14ac:dyDescent="0.3">
      <c r="A2929" s="830">
        <v>98555</v>
      </c>
      <c r="B2929" s="831" t="s">
        <v>7409</v>
      </c>
      <c r="C2929" s="830" t="s">
        <v>252</v>
      </c>
      <c r="D2929" s="832">
        <v>35.200000000000003</v>
      </c>
    </row>
    <row r="2930" spans="1:4" x14ac:dyDescent="0.3">
      <c r="A2930" s="830">
        <v>98556</v>
      </c>
      <c r="B2930" s="831" t="s">
        <v>7410</v>
      </c>
      <c r="C2930" s="830" t="s">
        <v>252</v>
      </c>
      <c r="D2930" s="832">
        <v>62.72</v>
      </c>
    </row>
    <row r="2931" spans="1:4" x14ac:dyDescent="0.3">
      <c r="A2931" s="830">
        <v>98558</v>
      </c>
      <c r="B2931" s="831" t="s">
        <v>7411</v>
      </c>
      <c r="C2931" s="830" t="s">
        <v>89</v>
      </c>
      <c r="D2931" s="832">
        <v>10.17</v>
      </c>
    </row>
    <row r="2932" spans="1:4" x14ac:dyDescent="0.3">
      <c r="A2932" s="830">
        <v>98559</v>
      </c>
      <c r="B2932" s="831" t="s">
        <v>7412</v>
      </c>
      <c r="C2932" s="830" t="s">
        <v>194</v>
      </c>
      <c r="D2932" s="832">
        <v>4.92</v>
      </c>
    </row>
    <row r="2933" spans="1:4" x14ac:dyDescent="0.3">
      <c r="A2933" s="830">
        <v>98546</v>
      </c>
      <c r="B2933" s="831" t="s">
        <v>7413</v>
      </c>
      <c r="C2933" s="830" t="s">
        <v>252</v>
      </c>
      <c r="D2933" s="832">
        <v>119.19</v>
      </c>
    </row>
    <row r="2934" spans="1:4" x14ac:dyDescent="0.3">
      <c r="A2934" s="830">
        <v>98547</v>
      </c>
      <c r="B2934" s="831" t="s">
        <v>7414</v>
      </c>
      <c r="C2934" s="830" t="s">
        <v>252</v>
      </c>
      <c r="D2934" s="832">
        <v>199.72</v>
      </c>
    </row>
    <row r="2935" spans="1:4" x14ac:dyDescent="0.3">
      <c r="A2935" s="830">
        <v>98553</v>
      </c>
      <c r="B2935" s="831" t="s">
        <v>7415</v>
      </c>
      <c r="C2935" s="830" t="s">
        <v>252</v>
      </c>
      <c r="D2935" s="832">
        <v>197.48</v>
      </c>
    </row>
    <row r="2936" spans="1:4" x14ac:dyDescent="0.3">
      <c r="A2936" s="830">
        <v>98554</v>
      </c>
      <c r="B2936" s="831" t="s">
        <v>7416</v>
      </c>
      <c r="C2936" s="830" t="s">
        <v>252</v>
      </c>
      <c r="D2936" s="832">
        <v>52.87</v>
      </c>
    </row>
    <row r="2937" spans="1:4" x14ac:dyDescent="0.3">
      <c r="A2937" s="830">
        <v>98557</v>
      </c>
      <c r="B2937" s="831" t="s">
        <v>7417</v>
      </c>
      <c r="C2937" s="830" t="s">
        <v>252</v>
      </c>
      <c r="D2937" s="832">
        <v>43.41</v>
      </c>
    </row>
    <row r="2938" spans="1:4" x14ac:dyDescent="0.3">
      <c r="A2938" s="830">
        <v>98563</v>
      </c>
      <c r="B2938" s="831" t="s">
        <v>7418</v>
      </c>
      <c r="C2938" s="830" t="s">
        <v>252</v>
      </c>
      <c r="D2938" s="832">
        <v>40.65</v>
      </c>
    </row>
    <row r="2939" spans="1:4" x14ac:dyDescent="0.3">
      <c r="A2939" s="830">
        <v>98564</v>
      </c>
      <c r="B2939" s="831" t="s">
        <v>7419</v>
      </c>
      <c r="C2939" s="830" t="s">
        <v>252</v>
      </c>
      <c r="D2939" s="832">
        <v>52.94</v>
      </c>
    </row>
    <row r="2940" spans="1:4" x14ac:dyDescent="0.3">
      <c r="A2940" s="830">
        <v>98565</v>
      </c>
      <c r="B2940" s="831" t="s">
        <v>7420</v>
      </c>
      <c r="C2940" s="830" t="s">
        <v>252</v>
      </c>
      <c r="D2940" s="832">
        <v>58.1</v>
      </c>
    </row>
    <row r="2941" spans="1:4" x14ac:dyDescent="0.3">
      <c r="A2941" s="830">
        <v>98566</v>
      </c>
      <c r="B2941" s="831" t="s">
        <v>7421</v>
      </c>
      <c r="C2941" s="830" t="s">
        <v>252</v>
      </c>
      <c r="D2941" s="832">
        <v>70.41</v>
      </c>
    </row>
    <row r="2942" spans="1:4" x14ac:dyDescent="0.3">
      <c r="A2942" s="830">
        <v>98567</v>
      </c>
      <c r="B2942" s="831" t="s">
        <v>7422</v>
      </c>
      <c r="C2942" s="830" t="s">
        <v>252</v>
      </c>
      <c r="D2942" s="832">
        <v>74.67</v>
      </c>
    </row>
    <row r="2943" spans="1:4" x14ac:dyDescent="0.3">
      <c r="A2943" s="830">
        <v>98568</v>
      </c>
      <c r="B2943" s="831" t="s">
        <v>7423</v>
      </c>
      <c r="C2943" s="830" t="s">
        <v>252</v>
      </c>
      <c r="D2943" s="832">
        <v>86.98</v>
      </c>
    </row>
    <row r="2944" spans="1:4" x14ac:dyDescent="0.3">
      <c r="A2944" s="830">
        <v>98569</v>
      </c>
      <c r="B2944" s="831" t="s">
        <v>7424</v>
      </c>
      <c r="C2944" s="830" t="s">
        <v>252</v>
      </c>
      <c r="D2944" s="832">
        <v>92.13</v>
      </c>
    </row>
    <row r="2945" spans="1:4" x14ac:dyDescent="0.3">
      <c r="A2945" s="830">
        <v>98570</v>
      </c>
      <c r="B2945" s="831" t="s">
        <v>7425</v>
      </c>
      <c r="C2945" s="830" t="s">
        <v>252</v>
      </c>
      <c r="D2945" s="832">
        <v>104.44</v>
      </c>
    </row>
    <row r="2946" spans="1:4" x14ac:dyDescent="0.3">
      <c r="A2946" s="830">
        <v>98571</v>
      </c>
      <c r="B2946" s="831" t="s">
        <v>7426</v>
      </c>
      <c r="C2946" s="830" t="s">
        <v>252</v>
      </c>
      <c r="D2946" s="832">
        <v>46.12</v>
      </c>
    </row>
    <row r="2947" spans="1:4" x14ac:dyDescent="0.3">
      <c r="A2947" s="830">
        <v>98572</v>
      </c>
      <c r="B2947" s="831" t="s">
        <v>7427</v>
      </c>
      <c r="C2947" s="830" t="s">
        <v>252</v>
      </c>
      <c r="D2947" s="832">
        <v>56.68</v>
      </c>
    </row>
    <row r="2948" spans="1:4" x14ac:dyDescent="0.3">
      <c r="A2948" s="830">
        <v>98573</v>
      </c>
      <c r="B2948" s="831" t="s">
        <v>7428</v>
      </c>
      <c r="C2948" s="830" t="s">
        <v>252</v>
      </c>
      <c r="D2948" s="832">
        <v>68.34</v>
      </c>
    </row>
    <row r="2949" spans="1:4" x14ac:dyDescent="0.3">
      <c r="A2949" s="830">
        <v>91831</v>
      </c>
      <c r="B2949" s="831" t="s">
        <v>7429</v>
      </c>
      <c r="C2949" s="830" t="s">
        <v>194</v>
      </c>
      <c r="D2949" s="832">
        <v>18.45</v>
      </c>
    </row>
    <row r="2950" spans="1:4" x14ac:dyDescent="0.3">
      <c r="A2950" s="830">
        <v>91833</v>
      </c>
      <c r="B2950" s="831" t="s">
        <v>7430</v>
      </c>
      <c r="C2950" s="830" t="s">
        <v>194</v>
      </c>
      <c r="D2950" s="832">
        <v>19.18</v>
      </c>
    </row>
    <row r="2951" spans="1:4" x14ac:dyDescent="0.3">
      <c r="A2951" s="830">
        <v>91834</v>
      </c>
      <c r="B2951" s="831" t="s">
        <v>7431</v>
      </c>
      <c r="C2951" s="830" t="s">
        <v>194</v>
      </c>
      <c r="D2951" s="832">
        <v>19.350000000000001</v>
      </c>
    </row>
    <row r="2952" spans="1:4" x14ac:dyDescent="0.3">
      <c r="A2952" s="830">
        <v>91835</v>
      </c>
      <c r="B2952" s="831" t="s">
        <v>7432</v>
      </c>
      <c r="C2952" s="830" t="s">
        <v>194</v>
      </c>
      <c r="D2952" s="832">
        <v>21.19</v>
      </c>
    </row>
    <row r="2953" spans="1:4" x14ac:dyDescent="0.3">
      <c r="A2953" s="830">
        <v>91836</v>
      </c>
      <c r="B2953" s="831" t="s">
        <v>7433</v>
      </c>
      <c r="C2953" s="830" t="s">
        <v>194</v>
      </c>
      <c r="D2953" s="832">
        <v>22.63</v>
      </c>
    </row>
    <row r="2954" spans="1:4" x14ac:dyDescent="0.3">
      <c r="A2954" s="830">
        <v>91837</v>
      </c>
      <c r="B2954" s="831" t="s">
        <v>7434</v>
      </c>
      <c r="C2954" s="830" t="s">
        <v>194</v>
      </c>
      <c r="D2954" s="832">
        <v>26.93</v>
      </c>
    </row>
    <row r="2955" spans="1:4" x14ac:dyDescent="0.3">
      <c r="A2955" s="830">
        <v>91839</v>
      </c>
      <c r="B2955" s="831" t="s">
        <v>7435</v>
      </c>
      <c r="C2955" s="830" t="s">
        <v>194</v>
      </c>
      <c r="D2955" s="832">
        <v>19.72</v>
      </c>
    </row>
    <row r="2956" spans="1:4" x14ac:dyDescent="0.3">
      <c r="A2956" s="830">
        <v>91840</v>
      </c>
      <c r="B2956" s="831" t="s">
        <v>7436</v>
      </c>
      <c r="C2956" s="830" t="s">
        <v>194</v>
      </c>
      <c r="D2956" s="832">
        <v>22.33</v>
      </c>
    </row>
    <row r="2957" spans="1:4" x14ac:dyDescent="0.3">
      <c r="A2957" s="830">
        <v>91841</v>
      </c>
      <c r="B2957" s="831" t="s">
        <v>7437</v>
      </c>
      <c r="C2957" s="830" t="s">
        <v>194</v>
      </c>
      <c r="D2957" s="832">
        <v>21.62</v>
      </c>
    </row>
    <row r="2958" spans="1:4" x14ac:dyDescent="0.3">
      <c r="A2958" s="830">
        <v>91843</v>
      </c>
      <c r="B2958" s="831" t="s">
        <v>7438</v>
      </c>
      <c r="C2958" s="830" t="s">
        <v>194</v>
      </c>
      <c r="D2958" s="832">
        <v>7.42</v>
      </c>
    </row>
    <row r="2959" spans="1:4" x14ac:dyDescent="0.3">
      <c r="A2959" s="830">
        <v>91845</v>
      </c>
      <c r="B2959" s="831" t="s">
        <v>7439</v>
      </c>
      <c r="C2959" s="830" t="s">
        <v>194</v>
      </c>
      <c r="D2959" s="832">
        <v>9.3699999999999992</v>
      </c>
    </row>
    <row r="2960" spans="1:4" x14ac:dyDescent="0.3">
      <c r="A2960" s="830">
        <v>91847</v>
      </c>
      <c r="B2960" s="831" t="s">
        <v>7440</v>
      </c>
      <c r="C2960" s="830" t="s">
        <v>194</v>
      </c>
      <c r="D2960" s="832">
        <v>15.16</v>
      </c>
    </row>
    <row r="2961" spans="1:4" x14ac:dyDescent="0.3">
      <c r="A2961" s="830">
        <v>91849</v>
      </c>
      <c r="B2961" s="831" t="s">
        <v>7441</v>
      </c>
      <c r="C2961" s="830" t="s">
        <v>194</v>
      </c>
      <c r="D2961" s="832">
        <v>7.95</v>
      </c>
    </row>
    <row r="2962" spans="1:4" x14ac:dyDescent="0.3">
      <c r="A2962" s="830">
        <v>91850</v>
      </c>
      <c r="B2962" s="831" t="s">
        <v>7442</v>
      </c>
      <c r="C2962" s="830" t="s">
        <v>194</v>
      </c>
      <c r="D2962" s="832">
        <v>10.51</v>
      </c>
    </row>
    <row r="2963" spans="1:4" x14ac:dyDescent="0.3">
      <c r="A2963" s="830">
        <v>91851</v>
      </c>
      <c r="B2963" s="831" t="s">
        <v>7443</v>
      </c>
      <c r="C2963" s="830" t="s">
        <v>194</v>
      </c>
      <c r="D2963" s="832">
        <v>9.8000000000000007</v>
      </c>
    </row>
    <row r="2964" spans="1:4" x14ac:dyDescent="0.3">
      <c r="A2964" s="830">
        <v>91852</v>
      </c>
      <c r="B2964" s="831" t="s">
        <v>4259</v>
      </c>
      <c r="C2964" s="830" t="s">
        <v>194</v>
      </c>
      <c r="D2964" s="832">
        <v>9.9499999999999993</v>
      </c>
    </row>
    <row r="2965" spans="1:4" x14ac:dyDescent="0.3">
      <c r="A2965" s="830">
        <v>91853</v>
      </c>
      <c r="B2965" s="831" t="s">
        <v>7444</v>
      </c>
      <c r="C2965" s="830" t="s">
        <v>194</v>
      </c>
      <c r="D2965" s="832">
        <v>10.62</v>
      </c>
    </row>
    <row r="2966" spans="1:4" x14ac:dyDescent="0.3">
      <c r="A2966" s="830">
        <v>91854</v>
      </c>
      <c r="B2966" s="831" t="s">
        <v>7445</v>
      </c>
      <c r="C2966" s="830" t="s">
        <v>194</v>
      </c>
      <c r="D2966" s="832">
        <v>10.76</v>
      </c>
    </row>
    <row r="2967" spans="1:4" x14ac:dyDescent="0.3">
      <c r="A2967" s="830">
        <v>91855</v>
      </c>
      <c r="B2967" s="831" t="s">
        <v>7446</v>
      </c>
      <c r="C2967" s="830" t="s">
        <v>194</v>
      </c>
      <c r="D2967" s="832">
        <v>12.47</v>
      </c>
    </row>
    <row r="2968" spans="1:4" x14ac:dyDescent="0.3">
      <c r="A2968" s="830">
        <v>91856</v>
      </c>
      <c r="B2968" s="831" t="s">
        <v>7447</v>
      </c>
      <c r="C2968" s="830" t="s">
        <v>194</v>
      </c>
      <c r="D2968" s="832">
        <v>13.93</v>
      </c>
    </row>
    <row r="2969" spans="1:4" x14ac:dyDescent="0.3">
      <c r="A2969" s="830">
        <v>91857</v>
      </c>
      <c r="B2969" s="831" t="s">
        <v>7448</v>
      </c>
      <c r="C2969" s="830" t="s">
        <v>194</v>
      </c>
      <c r="D2969" s="832">
        <v>17.899999999999999</v>
      </c>
    </row>
    <row r="2970" spans="1:4" x14ac:dyDescent="0.3">
      <c r="A2970" s="830">
        <v>91859</v>
      </c>
      <c r="B2970" s="831" t="s">
        <v>7449</v>
      </c>
      <c r="C2970" s="830" t="s">
        <v>194</v>
      </c>
      <c r="D2970" s="832">
        <v>11.23</v>
      </c>
    </row>
    <row r="2971" spans="1:4" x14ac:dyDescent="0.3">
      <c r="A2971" s="830">
        <v>91860</v>
      </c>
      <c r="B2971" s="831" t="s">
        <v>7450</v>
      </c>
      <c r="C2971" s="830" t="s">
        <v>194</v>
      </c>
      <c r="D2971" s="832">
        <v>13.66</v>
      </c>
    </row>
    <row r="2972" spans="1:4" x14ac:dyDescent="0.3">
      <c r="A2972" s="830">
        <v>91861</v>
      </c>
      <c r="B2972" s="831" t="s">
        <v>7451</v>
      </c>
      <c r="C2972" s="830" t="s">
        <v>194</v>
      </c>
      <c r="D2972" s="832">
        <v>13</v>
      </c>
    </row>
    <row r="2973" spans="1:4" x14ac:dyDescent="0.3">
      <c r="A2973" s="830">
        <v>91862</v>
      </c>
      <c r="B2973" s="831" t="s">
        <v>4260</v>
      </c>
      <c r="C2973" s="830" t="s">
        <v>194</v>
      </c>
      <c r="D2973" s="832">
        <v>10.85</v>
      </c>
    </row>
    <row r="2974" spans="1:4" x14ac:dyDescent="0.3">
      <c r="A2974" s="830">
        <v>91863</v>
      </c>
      <c r="B2974" s="831" t="s">
        <v>7452</v>
      </c>
      <c r="C2974" s="830" t="s">
        <v>194</v>
      </c>
      <c r="D2974" s="832">
        <v>12.86</v>
      </c>
    </row>
    <row r="2975" spans="1:4" x14ac:dyDescent="0.3">
      <c r="A2975" s="830">
        <v>91864</v>
      </c>
      <c r="B2975" s="831" t="s">
        <v>7453</v>
      </c>
      <c r="C2975" s="830" t="s">
        <v>194</v>
      </c>
      <c r="D2975" s="832">
        <v>17.46</v>
      </c>
    </row>
    <row r="2976" spans="1:4" x14ac:dyDescent="0.3">
      <c r="A2976" s="830">
        <v>91865</v>
      </c>
      <c r="B2976" s="831" t="s">
        <v>7454</v>
      </c>
      <c r="C2976" s="830" t="s">
        <v>194</v>
      </c>
      <c r="D2976" s="832">
        <v>21.97</v>
      </c>
    </row>
    <row r="2977" spans="1:4" x14ac:dyDescent="0.3">
      <c r="A2977" s="830">
        <v>91866</v>
      </c>
      <c r="B2977" s="831" t="s">
        <v>7455</v>
      </c>
      <c r="C2977" s="830" t="s">
        <v>194</v>
      </c>
      <c r="D2977" s="832">
        <v>9.48</v>
      </c>
    </row>
    <row r="2978" spans="1:4" x14ac:dyDescent="0.3">
      <c r="A2978" s="830">
        <v>91867</v>
      </c>
      <c r="B2978" s="831" t="s">
        <v>7456</v>
      </c>
      <c r="C2978" s="830" t="s">
        <v>194</v>
      </c>
      <c r="D2978" s="832">
        <v>11.49</v>
      </c>
    </row>
    <row r="2979" spans="1:4" x14ac:dyDescent="0.3">
      <c r="A2979" s="830">
        <v>91868</v>
      </c>
      <c r="B2979" s="831" t="s">
        <v>7457</v>
      </c>
      <c r="C2979" s="830" t="s">
        <v>194</v>
      </c>
      <c r="D2979" s="832">
        <v>16.09</v>
      </c>
    </row>
    <row r="2980" spans="1:4" x14ac:dyDescent="0.3">
      <c r="A2980" s="830">
        <v>91869</v>
      </c>
      <c r="B2980" s="831" t="s">
        <v>7458</v>
      </c>
      <c r="C2980" s="830" t="s">
        <v>194</v>
      </c>
      <c r="D2980" s="832">
        <v>20.55</v>
      </c>
    </row>
    <row r="2981" spans="1:4" x14ac:dyDescent="0.3">
      <c r="A2981" s="830">
        <v>91870</v>
      </c>
      <c r="B2981" s="831" t="s">
        <v>4261</v>
      </c>
      <c r="C2981" s="830" t="s">
        <v>194</v>
      </c>
      <c r="D2981" s="832">
        <v>14.11</v>
      </c>
    </row>
    <row r="2982" spans="1:4" x14ac:dyDescent="0.3">
      <c r="A2982" s="830">
        <v>91871</v>
      </c>
      <c r="B2982" s="831" t="s">
        <v>7459</v>
      </c>
      <c r="C2982" s="830" t="s">
        <v>194</v>
      </c>
      <c r="D2982" s="832">
        <v>16.12</v>
      </c>
    </row>
    <row r="2983" spans="1:4" x14ac:dyDescent="0.3">
      <c r="A2983" s="830">
        <v>91872</v>
      </c>
      <c r="B2983" s="831" t="s">
        <v>7460</v>
      </c>
      <c r="C2983" s="830" t="s">
        <v>194</v>
      </c>
      <c r="D2983" s="832">
        <v>20.72</v>
      </c>
    </row>
    <row r="2984" spans="1:4" x14ac:dyDescent="0.3">
      <c r="A2984" s="830">
        <v>91873</v>
      </c>
      <c r="B2984" s="831" t="s">
        <v>7461</v>
      </c>
      <c r="C2984" s="830" t="s">
        <v>194</v>
      </c>
      <c r="D2984" s="832">
        <v>25.16</v>
      </c>
    </row>
    <row r="2985" spans="1:4" x14ac:dyDescent="0.3">
      <c r="A2985" s="830">
        <v>93008</v>
      </c>
      <c r="B2985" s="831" t="s">
        <v>7462</v>
      </c>
      <c r="C2985" s="830" t="s">
        <v>194</v>
      </c>
      <c r="D2985" s="832">
        <v>21.6</v>
      </c>
    </row>
    <row r="2986" spans="1:4" x14ac:dyDescent="0.3">
      <c r="A2986" s="830">
        <v>93009</v>
      </c>
      <c r="B2986" s="831" t="s">
        <v>7463</v>
      </c>
      <c r="C2986" s="830" t="s">
        <v>194</v>
      </c>
      <c r="D2986" s="832">
        <v>32.25</v>
      </c>
    </row>
    <row r="2987" spans="1:4" x14ac:dyDescent="0.3">
      <c r="A2987" s="830">
        <v>93010</v>
      </c>
      <c r="B2987" s="831" t="s">
        <v>7464</v>
      </c>
      <c r="C2987" s="830" t="s">
        <v>194</v>
      </c>
      <c r="D2987" s="832">
        <v>45.17</v>
      </c>
    </row>
    <row r="2988" spans="1:4" x14ac:dyDescent="0.3">
      <c r="A2988" s="830">
        <v>93011</v>
      </c>
      <c r="B2988" s="831" t="s">
        <v>7465</v>
      </c>
      <c r="C2988" s="830" t="s">
        <v>194</v>
      </c>
      <c r="D2988" s="832">
        <v>55.38</v>
      </c>
    </row>
    <row r="2989" spans="1:4" x14ac:dyDescent="0.3">
      <c r="A2989" s="830">
        <v>93012</v>
      </c>
      <c r="B2989" s="831" t="s">
        <v>7466</v>
      </c>
      <c r="C2989" s="830" t="s">
        <v>194</v>
      </c>
      <c r="D2989" s="832">
        <v>84.11</v>
      </c>
    </row>
    <row r="2990" spans="1:4" x14ac:dyDescent="0.3">
      <c r="A2990" s="830">
        <v>95726</v>
      </c>
      <c r="B2990" s="831" t="s">
        <v>7467</v>
      </c>
      <c r="C2990" s="830" t="s">
        <v>194</v>
      </c>
      <c r="D2990" s="832">
        <v>17.3</v>
      </c>
    </row>
    <row r="2991" spans="1:4" x14ac:dyDescent="0.3">
      <c r="A2991" s="830">
        <v>95727</v>
      </c>
      <c r="B2991" s="831" t="s">
        <v>7468</v>
      </c>
      <c r="C2991" s="830" t="s">
        <v>194</v>
      </c>
      <c r="D2991" s="832">
        <v>21.32</v>
      </c>
    </row>
    <row r="2992" spans="1:4" x14ac:dyDescent="0.3">
      <c r="A2992" s="830">
        <v>95728</v>
      </c>
      <c r="B2992" s="831" t="s">
        <v>7469</v>
      </c>
      <c r="C2992" s="830" t="s">
        <v>194</v>
      </c>
      <c r="D2992" s="832">
        <v>27.9</v>
      </c>
    </row>
    <row r="2993" spans="1:4" x14ac:dyDescent="0.3">
      <c r="A2993" s="830">
        <v>97667</v>
      </c>
      <c r="B2993" s="831" t="s">
        <v>7470</v>
      </c>
      <c r="C2993" s="830" t="s">
        <v>194</v>
      </c>
      <c r="D2993" s="832">
        <v>9.17</v>
      </c>
    </row>
    <row r="2994" spans="1:4" x14ac:dyDescent="0.3">
      <c r="A2994" s="830">
        <v>97668</v>
      </c>
      <c r="B2994" s="831" t="s">
        <v>7471</v>
      </c>
      <c r="C2994" s="830" t="s">
        <v>194</v>
      </c>
      <c r="D2994" s="832">
        <v>13.05</v>
      </c>
    </row>
    <row r="2995" spans="1:4" x14ac:dyDescent="0.3">
      <c r="A2995" s="830">
        <v>97669</v>
      </c>
      <c r="B2995" s="831" t="s">
        <v>7472</v>
      </c>
      <c r="C2995" s="830" t="s">
        <v>194</v>
      </c>
      <c r="D2995" s="832">
        <v>19.34</v>
      </c>
    </row>
    <row r="2996" spans="1:4" x14ac:dyDescent="0.3">
      <c r="A2996" s="830">
        <v>97670</v>
      </c>
      <c r="B2996" s="831" t="s">
        <v>7473</v>
      </c>
      <c r="C2996" s="830" t="s">
        <v>194</v>
      </c>
      <c r="D2996" s="832">
        <v>24.8</v>
      </c>
    </row>
    <row r="2997" spans="1:4" x14ac:dyDescent="0.3">
      <c r="A2997" s="830">
        <v>91874</v>
      </c>
      <c r="B2997" s="831" t="s">
        <v>7474</v>
      </c>
      <c r="C2997" s="830" t="s">
        <v>89</v>
      </c>
      <c r="D2997" s="832">
        <v>7.68</v>
      </c>
    </row>
    <row r="2998" spans="1:4" x14ac:dyDescent="0.3">
      <c r="A2998" s="830">
        <v>91875</v>
      </c>
      <c r="B2998" s="831" t="s">
        <v>7475</v>
      </c>
      <c r="C2998" s="830" t="s">
        <v>89</v>
      </c>
      <c r="D2998" s="832">
        <v>9</v>
      </c>
    </row>
    <row r="2999" spans="1:4" x14ac:dyDescent="0.3">
      <c r="A2999" s="830">
        <v>91876</v>
      </c>
      <c r="B2999" s="831" t="s">
        <v>7476</v>
      </c>
      <c r="C2999" s="830" t="s">
        <v>89</v>
      </c>
      <c r="D2999" s="832">
        <v>10.81</v>
      </c>
    </row>
    <row r="3000" spans="1:4" x14ac:dyDescent="0.3">
      <c r="A3000" s="830">
        <v>91877</v>
      </c>
      <c r="B3000" s="831" t="s">
        <v>7477</v>
      </c>
      <c r="C3000" s="830" t="s">
        <v>89</v>
      </c>
      <c r="D3000" s="832">
        <v>13.29</v>
      </c>
    </row>
    <row r="3001" spans="1:4" x14ac:dyDescent="0.3">
      <c r="A3001" s="830">
        <v>91878</v>
      </c>
      <c r="B3001" s="831" t="s">
        <v>7478</v>
      </c>
      <c r="C3001" s="830" t="s">
        <v>89</v>
      </c>
      <c r="D3001" s="832">
        <v>6.04</v>
      </c>
    </row>
    <row r="3002" spans="1:4" x14ac:dyDescent="0.3">
      <c r="A3002" s="830">
        <v>91879</v>
      </c>
      <c r="B3002" s="831" t="s">
        <v>7479</v>
      </c>
      <c r="C3002" s="830" t="s">
        <v>89</v>
      </c>
      <c r="D3002" s="832">
        <v>7.38</v>
      </c>
    </row>
    <row r="3003" spans="1:4" x14ac:dyDescent="0.3">
      <c r="A3003" s="830">
        <v>91880</v>
      </c>
      <c r="B3003" s="831" t="s">
        <v>7480</v>
      </c>
      <c r="C3003" s="830" t="s">
        <v>89</v>
      </c>
      <c r="D3003" s="832">
        <v>9.18</v>
      </c>
    </row>
    <row r="3004" spans="1:4" x14ac:dyDescent="0.3">
      <c r="A3004" s="830">
        <v>91881</v>
      </c>
      <c r="B3004" s="831" t="s">
        <v>7481</v>
      </c>
      <c r="C3004" s="830" t="s">
        <v>89</v>
      </c>
      <c r="D3004" s="832">
        <v>11.67</v>
      </c>
    </row>
    <row r="3005" spans="1:4" x14ac:dyDescent="0.3">
      <c r="A3005" s="830">
        <v>91882</v>
      </c>
      <c r="B3005" s="831" t="s">
        <v>7482</v>
      </c>
      <c r="C3005" s="830" t="s">
        <v>89</v>
      </c>
      <c r="D3005" s="832">
        <v>11.04</v>
      </c>
    </row>
    <row r="3006" spans="1:4" x14ac:dyDescent="0.3">
      <c r="A3006" s="830">
        <v>91884</v>
      </c>
      <c r="B3006" s="831" t="s">
        <v>7483</v>
      </c>
      <c r="C3006" s="830" t="s">
        <v>89</v>
      </c>
      <c r="D3006" s="832">
        <v>12.37</v>
      </c>
    </row>
    <row r="3007" spans="1:4" x14ac:dyDescent="0.3">
      <c r="A3007" s="830">
        <v>91885</v>
      </c>
      <c r="B3007" s="831" t="s">
        <v>7484</v>
      </c>
      <c r="C3007" s="830" t="s">
        <v>89</v>
      </c>
      <c r="D3007" s="832">
        <v>14.12</v>
      </c>
    </row>
    <row r="3008" spans="1:4" x14ac:dyDescent="0.3">
      <c r="A3008" s="830">
        <v>91886</v>
      </c>
      <c r="B3008" s="831" t="s">
        <v>7485</v>
      </c>
      <c r="C3008" s="830" t="s">
        <v>89</v>
      </c>
      <c r="D3008" s="832">
        <v>16.55</v>
      </c>
    </row>
    <row r="3009" spans="1:4" x14ac:dyDescent="0.3">
      <c r="A3009" s="830">
        <v>91887</v>
      </c>
      <c r="B3009" s="831" t="s">
        <v>7486</v>
      </c>
      <c r="C3009" s="830" t="s">
        <v>89</v>
      </c>
      <c r="D3009" s="832">
        <v>13.21</v>
      </c>
    </row>
    <row r="3010" spans="1:4" x14ac:dyDescent="0.3">
      <c r="A3010" s="830">
        <v>91889</v>
      </c>
      <c r="B3010" s="831" t="s">
        <v>7487</v>
      </c>
      <c r="C3010" s="830" t="s">
        <v>89</v>
      </c>
      <c r="D3010" s="832">
        <v>12.88</v>
      </c>
    </row>
    <row r="3011" spans="1:4" x14ac:dyDescent="0.3">
      <c r="A3011" s="830">
        <v>91890</v>
      </c>
      <c r="B3011" s="831" t="s">
        <v>7488</v>
      </c>
      <c r="C3011" s="830" t="s">
        <v>89</v>
      </c>
      <c r="D3011" s="832">
        <v>14.59</v>
      </c>
    </row>
    <row r="3012" spans="1:4" x14ac:dyDescent="0.3">
      <c r="A3012" s="830">
        <v>91892</v>
      </c>
      <c r="B3012" s="831" t="s">
        <v>7489</v>
      </c>
      <c r="C3012" s="830" t="s">
        <v>89</v>
      </c>
      <c r="D3012" s="832">
        <v>16.760000000000002</v>
      </c>
    </row>
    <row r="3013" spans="1:4" x14ac:dyDescent="0.3">
      <c r="A3013" s="830">
        <v>91893</v>
      </c>
      <c r="B3013" s="831" t="s">
        <v>7490</v>
      </c>
      <c r="C3013" s="830" t="s">
        <v>89</v>
      </c>
      <c r="D3013" s="832">
        <v>18.059999999999999</v>
      </c>
    </row>
    <row r="3014" spans="1:4" x14ac:dyDescent="0.3">
      <c r="A3014" s="830">
        <v>91895</v>
      </c>
      <c r="B3014" s="831" t="s">
        <v>7491</v>
      </c>
      <c r="C3014" s="830" t="s">
        <v>89</v>
      </c>
      <c r="D3014" s="832">
        <v>20.27</v>
      </c>
    </row>
    <row r="3015" spans="1:4" x14ac:dyDescent="0.3">
      <c r="A3015" s="830">
        <v>91896</v>
      </c>
      <c r="B3015" s="831" t="s">
        <v>7492</v>
      </c>
      <c r="C3015" s="830" t="s">
        <v>89</v>
      </c>
      <c r="D3015" s="832">
        <v>20.79</v>
      </c>
    </row>
    <row r="3016" spans="1:4" x14ac:dyDescent="0.3">
      <c r="A3016" s="830">
        <v>91898</v>
      </c>
      <c r="B3016" s="831" t="s">
        <v>7493</v>
      </c>
      <c r="C3016" s="830" t="s">
        <v>89</v>
      </c>
      <c r="D3016" s="832">
        <v>23.16</v>
      </c>
    </row>
    <row r="3017" spans="1:4" x14ac:dyDescent="0.3">
      <c r="A3017" s="830">
        <v>91899</v>
      </c>
      <c r="B3017" s="831" t="s">
        <v>7494</v>
      </c>
      <c r="C3017" s="830" t="s">
        <v>89</v>
      </c>
      <c r="D3017" s="832">
        <v>10.74</v>
      </c>
    </row>
    <row r="3018" spans="1:4" x14ac:dyDescent="0.3">
      <c r="A3018" s="830">
        <v>91901</v>
      </c>
      <c r="B3018" s="831" t="s">
        <v>7495</v>
      </c>
      <c r="C3018" s="830" t="s">
        <v>89</v>
      </c>
      <c r="D3018" s="832">
        <v>10.41</v>
      </c>
    </row>
    <row r="3019" spans="1:4" x14ac:dyDescent="0.3">
      <c r="A3019" s="830">
        <v>91902</v>
      </c>
      <c r="B3019" s="831" t="s">
        <v>7496</v>
      </c>
      <c r="C3019" s="830" t="s">
        <v>89</v>
      </c>
      <c r="D3019" s="832">
        <v>12.13</v>
      </c>
    </row>
    <row r="3020" spans="1:4" x14ac:dyDescent="0.3">
      <c r="A3020" s="830">
        <v>91904</v>
      </c>
      <c r="B3020" s="831" t="s">
        <v>7497</v>
      </c>
      <c r="C3020" s="830" t="s">
        <v>89</v>
      </c>
      <c r="D3020" s="832">
        <v>14.3</v>
      </c>
    </row>
    <row r="3021" spans="1:4" x14ac:dyDescent="0.3">
      <c r="A3021" s="830">
        <v>91905</v>
      </c>
      <c r="B3021" s="831" t="s">
        <v>7498</v>
      </c>
      <c r="C3021" s="830" t="s">
        <v>89</v>
      </c>
      <c r="D3021" s="832">
        <v>15.6</v>
      </c>
    </row>
    <row r="3022" spans="1:4" x14ac:dyDescent="0.3">
      <c r="A3022" s="830">
        <v>91907</v>
      </c>
      <c r="B3022" s="831" t="s">
        <v>7499</v>
      </c>
      <c r="C3022" s="830" t="s">
        <v>89</v>
      </c>
      <c r="D3022" s="832">
        <v>17.809999999999999</v>
      </c>
    </row>
    <row r="3023" spans="1:4" x14ac:dyDescent="0.3">
      <c r="A3023" s="830">
        <v>91908</v>
      </c>
      <c r="B3023" s="831" t="s">
        <v>7500</v>
      </c>
      <c r="C3023" s="830" t="s">
        <v>89</v>
      </c>
      <c r="D3023" s="832">
        <v>18.38</v>
      </c>
    </row>
    <row r="3024" spans="1:4" x14ac:dyDescent="0.3">
      <c r="A3024" s="830">
        <v>91910</v>
      </c>
      <c r="B3024" s="831" t="s">
        <v>7501</v>
      </c>
      <c r="C3024" s="830" t="s">
        <v>89</v>
      </c>
      <c r="D3024" s="832">
        <v>20.75</v>
      </c>
    </row>
    <row r="3025" spans="1:4" x14ac:dyDescent="0.3">
      <c r="A3025" s="830">
        <v>91911</v>
      </c>
      <c r="B3025" s="831" t="s">
        <v>7502</v>
      </c>
      <c r="C3025" s="830" t="s">
        <v>89</v>
      </c>
      <c r="D3025" s="832">
        <v>18.260000000000002</v>
      </c>
    </row>
    <row r="3026" spans="1:4" x14ac:dyDescent="0.3">
      <c r="A3026" s="830">
        <v>91913</v>
      </c>
      <c r="B3026" s="831" t="s">
        <v>7503</v>
      </c>
      <c r="C3026" s="830" t="s">
        <v>89</v>
      </c>
      <c r="D3026" s="832">
        <v>17.93</v>
      </c>
    </row>
    <row r="3027" spans="1:4" x14ac:dyDescent="0.3">
      <c r="A3027" s="830">
        <v>91914</v>
      </c>
      <c r="B3027" s="831" t="s">
        <v>7504</v>
      </c>
      <c r="C3027" s="830" t="s">
        <v>89</v>
      </c>
      <c r="D3027" s="832">
        <v>19.59</v>
      </c>
    </row>
    <row r="3028" spans="1:4" x14ac:dyDescent="0.3">
      <c r="A3028" s="830">
        <v>91916</v>
      </c>
      <c r="B3028" s="831" t="s">
        <v>7505</v>
      </c>
      <c r="C3028" s="830" t="s">
        <v>89</v>
      </c>
      <c r="D3028" s="832">
        <v>21.76</v>
      </c>
    </row>
    <row r="3029" spans="1:4" x14ac:dyDescent="0.3">
      <c r="A3029" s="830">
        <v>91917</v>
      </c>
      <c r="B3029" s="831" t="s">
        <v>7506</v>
      </c>
      <c r="C3029" s="830" t="s">
        <v>89</v>
      </c>
      <c r="D3029" s="832">
        <v>23</v>
      </c>
    </row>
    <row r="3030" spans="1:4" x14ac:dyDescent="0.3">
      <c r="A3030" s="830">
        <v>91919</v>
      </c>
      <c r="B3030" s="831" t="s">
        <v>7507</v>
      </c>
      <c r="C3030" s="830" t="s">
        <v>89</v>
      </c>
      <c r="D3030" s="832">
        <v>25.21</v>
      </c>
    </row>
    <row r="3031" spans="1:4" x14ac:dyDescent="0.3">
      <c r="A3031" s="830">
        <v>91920</v>
      </c>
      <c r="B3031" s="831" t="s">
        <v>7508</v>
      </c>
      <c r="C3031" s="830" t="s">
        <v>89</v>
      </c>
      <c r="D3031" s="832">
        <v>25.67</v>
      </c>
    </row>
    <row r="3032" spans="1:4" x14ac:dyDescent="0.3">
      <c r="A3032" s="830">
        <v>91922</v>
      </c>
      <c r="B3032" s="831" t="s">
        <v>7509</v>
      </c>
      <c r="C3032" s="830" t="s">
        <v>89</v>
      </c>
      <c r="D3032" s="832">
        <v>28.04</v>
      </c>
    </row>
    <row r="3033" spans="1:4" x14ac:dyDescent="0.3">
      <c r="A3033" s="830">
        <v>93013</v>
      </c>
      <c r="B3033" s="831" t="s">
        <v>7510</v>
      </c>
      <c r="C3033" s="830" t="s">
        <v>89</v>
      </c>
      <c r="D3033" s="832">
        <v>16.510000000000002</v>
      </c>
    </row>
    <row r="3034" spans="1:4" x14ac:dyDescent="0.3">
      <c r="A3034" s="830">
        <v>93014</v>
      </c>
      <c r="B3034" s="831" t="s">
        <v>7511</v>
      </c>
      <c r="C3034" s="830" t="s">
        <v>89</v>
      </c>
      <c r="D3034" s="832">
        <v>20.149999999999999</v>
      </c>
    </row>
    <row r="3035" spans="1:4" x14ac:dyDescent="0.3">
      <c r="A3035" s="830">
        <v>93015</v>
      </c>
      <c r="B3035" s="831" t="s">
        <v>7512</v>
      </c>
      <c r="C3035" s="830" t="s">
        <v>89</v>
      </c>
      <c r="D3035" s="832">
        <v>29.95</v>
      </c>
    </row>
    <row r="3036" spans="1:4" x14ac:dyDescent="0.3">
      <c r="A3036" s="830">
        <v>93016</v>
      </c>
      <c r="B3036" s="831" t="s">
        <v>7513</v>
      </c>
      <c r="C3036" s="830" t="s">
        <v>89</v>
      </c>
      <c r="D3036" s="832">
        <v>36.159999999999997</v>
      </c>
    </row>
    <row r="3037" spans="1:4" x14ac:dyDescent="0.3">
      <c r="A3037" s="830">
        <v>93017</v>
      </c>
      <c r="B3037" s="831" t="s">
        <v>7514</v>
      </c>
      <c r="C3037" s="830" t="s">
        <v>89</v>
      </c>
      <c r="D3037" s="832">
        <v>53.73</v>
      </c>
    </row>
    <row r="3038" spans="1:4" x14ac:dyDescent="0.3">
      <c r="A3038" s="830">
        <v>93018</v>
      </c>
      <c r="B3038" s="831" t="s">
        <v>7515</v>
      </c>
      <c r="C3038" s="830" t="s">
        <v>89</v>
      </c>
      <c r="D3038" s="832">
        <v>25.17</v>
      </c>
    </row>
    <row r="3039" spans="1:4" x14ac:dyDescent="0.3">
      <c r="A3039" s="830">
        <v>93020</v>
      </c>
      <c r="B3039" s="831" t="s">
        <v>7516</v>
      </c>
      <c r="C3039" s="830" t="s">
        <v>89</v>
      </c>
      <c r="D3039" s="832">
        <v>31.93</v>
      </c>
    </row>
    <row r="3040" spans="1:4" x14ac:dyDescent="0.3">
      <c r="A3040" s="830">
        <v>93022</v>
      </c>
      <c r="B3040" s="831" t="s">
        <v>7517</v>
      </c>
      <c r="C3040" s="830" t="s">
        <v>89</v>
      </c>
      <c r="D3040" s="832">
        <v>52.04</v>
      </c>
    </row>
    <row r="3041" spans="1:4" x14ac:dyDescent="0.3">
      <c r="A3041" s="830">
        <v>93024</v>
      </c>
      <c r="B3041" s="831" t="s">
        <v>7518</v>
      </c>
      <c r="C3041" s="830" t="s">
        <v>89</v>
      </c>
      <c r="D3041" s="832">
        <v>54.91</v>
      </c>
    </row>
    <row r="3042" spans="1:4" x14ac:dyDescent="0.3">
      <c r="A3042" s="830">
        <v>93026</v>
      </c>
      <c r="B3042" s="831" t="s">
        <v>7519</v>
      </c>
      <c r="C3042" s="830" t="s">
        <v>89</v>
      </c>
      <c r="D3042" s="832">
        <v>88.34</v>
      </c>
    </row>
    <row r="3043" spans="1:4" x14ac:dyDescent="0.3">
      <c r="A3043" s="830">
        <v>97559</v>
      </c>
      <c r="B3043" s="831" t="s">
        <v>7520</v>
      </c>
      <c r="C3043" s="830" t="s">
        <v>89</v>
      </c>
      <c r="D3043" s="832">
        <v>14.34</v>
      </c>
    </row>
    <row r="3044" spans="1:4" x14ac:dyDescent="0.3">
      <c r="A3044" s="830">
        <v>97562</v>
      </c>
      <c r="B3044" s="831" t="s">
        <v>7521</v>
      </c>
      <c r="C3044" s="830" t="s">
        <v>89</v>
      </c>
      <c r="D3044" s="832">
        <v>11.88</v>
      </c>
    </row>
    <row r="3045" spans="1:4" x14ac:dyDescent="0.3">
      <c r="A3045" s="830">
        <v>97564</v>
      </c>
      <c r="B3045" s="831" t="s">
        <v>7522</v>
      </c>
      <c r="C3045" s="830" t="s">
        <v>89</v>
      </c>
      <c r="D3045" s="832">
        <v>19.34</v>
      </c>
    </row>
    <row r="3046" spans="1:4" x14ac:dyDescent="0.3">
      <c r="A3046" s="830">
        <v>104395</v>
      </c>
      <c r="B3046" s="831" t="s">
        <v>7523</v>
      </c>
      <c r="C3046" s="830" t="s">
        <v>89</v>
      </c>
      <c r="D3046" s="832">
        <v>23.35</v>
      </c>
    </row>
    <row r="3047" spans="1:4" x14ac:dyDescent="0.3">
      <c r="A3047" s="830">
        <v>91924</v>
      </c>
      <c r="B3047" s="831" t="s">
        <v>4265</v>
      </c>
      <c r="C3047" s="830" t="s">
        <v>194</v>
      </c>
      <c r="D3047" s="832">
        <v>3.49</v>
      </c>
    </row>
    <row r="3048" spans="1:4" x14ac:dyDescent="0.3">
      <c r="A3048" s="830">
        <v>91925</v>
      </c>
      <c r="B3048" s="831" t="s">
        <v>7524</v>
      </c>
      <c r="C3048" s="830" t="s">
        <v>194</v>
      </c>
      <c r="D3048" s="832">
        <v>4.25</v>
      </c>
    </row>
    <row r="3049" spans="1:4" x14ac:dyDescent="0.3">
      <c r="A3049" s="830">
        <v>91926</v>
      </c>
      <c r="B3049" s="831" t="s">
        <v>4262</v>
      </c>
      <c r="C3049" s="830" t="s">
        <v>194</v>
      </c>
      <c r="D3049" s="832">
        <v>5.0999999999999996</v>
      </c>
    </row>
    <row r="3050" spans="1:4" x14ac:dyDescent="0.3">
      <c r="A3050" s="830">
        <v>91927</v>
      </c>
      <c r="B3050" s="831" t="s">
        <v>7525</v>
      </c>
      <c r="C3050" s="830" t="s">
        <v>194</v>
      </c>
      <c r="D3050" s="832">
        <v>5.75</v>
      </c>
    </row>
    <row r="3051" spans="1:4" x14ac:dyDescent="0.3">
      <c r="A3051" s="830">
        <v>91928</v>
      </c>
      <c r="B3051" s="831" t="s">
        <v>7526</v>
      </c>
      <c r="C3051" s="830" t="s">
        <v>194</v>
      </c>
      <c r="D3051" s="832">
        <v>7.93</v>
      </c>
    </row>
    <row r="3052" spans="1:4" x14ac:dyDescent="0.3">
      <c r="A3052" s="830">
        <v>91929</v>
      </c>
      <c r="B3052" s="831" t="s">
        <v>7527</v>
      </c>
      <c r="C3052" s="830" t="s">
        <v>194</v>
      </c>
      <c r="D3052" s="832">
        <v>8.49</v>
      </c>
    </row>
    <row r="3053" spans="1:4" x14ac:dyDescent="0.3">
      <c r="A3053" s="830">
        <v>91930</v>
      </c>
      <c r="B3053" s="831" t="s">
        <v>7528</v>
      </c>
      <c r="C3053" s="830" t="s">
        <v>194</v>
      </c>
      <c r="D3053" s="832">
        <v>11.1</v>
      </c>
    </row>
    <row r="3054" spans="1:4" x14ac:dyDescent="0.3">
      <c r="A3054" s="830">
        <v>91931</v>
      </c>
      <c r="B3054" s="831" t="s">
        <v>7529</v>
      </c>
      <c r="C3054" s="830" t="s">
        <v>194</v>
      </c>
      <c r="D3054" s="832">
        <v>12.02</v>
      </c>
    </row>
    <row r="3055" spans="1:4" x14ac:dyDescent="0.3">
      <c r="A3055" s="830">
        <v>91932</v>
      </c>
      <c r="B3055" s="831" t="s">
        <v>7530</v>
      </c>
      <c r="C3055" s="830" t="s">
        <v>194</v>
      </c>
      <c r="D3055" s="832">
        <v>20.010000000000002</v>
      </c>
    </row>
    <row r="3056" spans="1:4" x14ac:dyDescent="0.3">
      <c r="A3056" s="830">
        <v>91933</v>
      </c>
      <c r="B3056" s="831" t="s">
        <v>7531</v>
      </c>
      <c r="C3056" s="830" t="s">
        <v>194</v>
      </c>
      <c r="D3056" s="832">
        <v>19.28</v>
      </c>
    </row>
    <row r="3057" spans="1:4" x14ac:dyDescent="0.3">
      <c r="A3057" s="830">
        <v>91934</v>
      </c>
      <c r="B3057" s="831" t="s">
        <v>7532</v>
      </c>
      <c r="C3057" s="830" t="s">
        <v>194</v>
      </c>
      <c r="D3057" s="832">
        <v>28.88</v>
      </c>
    </row>
    <row r="3058" spans="1:4" x14ac:dyDescent="0.3">
      <c r="A3058" s="830">
        <v>91935</v>
      </c>
      <c r="B3058" s="831" t="s">
        <v>7533</v>
      </c>
      <c r="C3058" s="830" t="s">
        <v>194</v>
      </c>
      <c r="D3058" s="832">
        <v>30.29</v>
      </c>
    </row>
    <row r="3059" spans="1:4" x14ac:dyDescent="0.3">
      <c r="A3059" s="830">
        <v>92979</v>
      </c>
      <c r="B3059" s="831" t="s">
        <v>7534</v>
      </c>
      <c r="C3059" s="830" t="s">
        <v>194</v>
      </c>
      <c r="D3059" s="832">
        <v>13.52</v>
      </c>
    </row>
    <row r="3060" spans="1:4" x14ac:dyDescent="0.3">
      <c r="A3060" s="830">
        <v>92980</v>
      </c>
      <c r="B3060" s="831" t="s">
        <v>7535</v>
      </c>
      <c r="C3060" s="830" t="s">
        <v>194</v>
      </c>
      <c r="D3060" s="832">
        <v>12.91</v>
      </c>
    </row>
    <row r="3061" spans="1:4" x14ac:dyDescent="0.3">
      <c r="A3061" s="830">
        <v>92981</v>
      </c>
      <c r="B3061" s="831" t="s">
        <v>7536</v>
      </c>
      <c r="C3061" s="830" t="s">
        <v>194</v>
      </c>
      <c r="D3061" s="832">
        <v>19.3</v>
      </c>
    </row>
    <row r="3062" spans="1:4" x14ac:dyDescent="0.3">
      <c r="A3062" s="830">
        <v>92982</v>
      </c>
      <c r="B3062" s="831" t="s">
        <v>7537</v>
      </c>
      <c r="C3062" s="830" t="s">
        <v>194</v>
      </c>
      <c r="D3062" s="832">
        <v>20.46</v>
      </c>
    </row>
    <row r="3063" spans="1:4" x14ac:dyDescent="0.3">
      <c r="A3063" s="830">
        <v>92984</v>
      </c>
      <c r="B3063" s="831" t="s">
        <v>7538</v>
      </c>
      <c r="C3063" s="830" t="s">
        <v>194</v>
      </c>
      <c r="D3063" s="832">
        <v>33.630000000000003</v>
      </c>
    </row>
    <row r="3064" spans="1:4" x14ac:dyDescent="0.3">
      <c r="A3064" s="830">
        <v>92986</v>
      </c>
      <c r="B3064" s="831" t="s">
        <v>7539</v>
      </c>
      <c r="C3064" s="830" t="s">
        <v>194</v>
      </c>
      <c r="D3064" s="832">
        <v>46.61</v>
      </c>
    </row>
    <row r="3065" spans="1:4" x14ac:dyDescent="0.3">
      <c r="A3065" s="830">
        <v>92988</v>
      </c>
      <c r="B3065" s="831" t="s">
        <v>7540</v>
      </c>
      <c r="C3065" s="830" t="s">
        <v>194</v>
      </c>
      <c r="D3065" s="832">
        <v>67.790000000000006</v>
      </c>
    </row>
    <row r="3066" spans="1:4" x14ac:dyDescent="0.3">
      <c r="A3066" s="830">
        <v>92990</v>
      </c>
      <c r="B3066" s="831" t="s">
        <v>7541</v>
      </c>
      <c r="C3066" s="830" t="s">
        <v>194</v>
      </c>
      <c r="D3066" s="832">
        <v>93.97</v>
      </c>
    </row>
    <row r="3067" spans="1:4" x14ac:dyDescent="0.3">
      <c r="A3067" s="830">
        <v>92992</v>
      </c>
      <c r="B3067" s="831" t="s">
        <v>7542</v>
      </c>
      <c r="C3067" s="830" t="s">
        <v>194</v>
      </c>
      <c r="D3067" s="832">
        <v>121.54</v>
      </c>
    </row>
    <row r="3068" spans="1:4" x14ac:dyDescent="0.3">
      <c r="A3068" s="830">
        <v>92994</v>
      </c>
      <c r="B3068" s="831" t="s">
        <v>7543</v>
      </c>
      <c r="C3068" s="830" t="s">
        <v>194</v>
      </c>
      <c r="D3068" s="832">
        <v>158.06</v>
      </c>
    </row>
    <row r="3069" spans="1:4" x14ac:dyDescent="0.3">
      <c r="A3069" s="830">
        <v>92996</v>
      </c>
      <c r="B3069" s="831" t="s">
        <v>7544</v>
      </c>
      <c r="C3069" s="830" t="s">
        <v>194</v>
      </c>
      <c r="D3069" s="832">
        <v>191.25</v>
      </c>
    </row>
    <row r="3070" spans="1:4" x14ac:dyDescent="0.3">
      <c r="A3070" s="830">
        <v>92998</v>
      </c>
      <c r="B3070" s="831" t="s">
        <v>7545</v>
      </c>
      <c r="C3070" s="830" t="s">
        <v>194</v>
      </c>
      <c r="D3070" s="832">
        <v>234.45</v>
      </c>
    </row>
    <row r="3071" spans="1:4" x14ac:dyDescent="0.3">
      <c r="A3071" s="830">
        <v>93000</v>
      </c>
      <c r="B3071" s="831" t="s">
        <v>7546</v>
      </c>
      <c r="C3071" s="830" t="s">
        <v>194</v>
      </c>
      <c r="D3071" s="832">
        <v>310.55</v>
      </c>
    </row>
    <row r="3072" spans="1:4" x14ac:dyDescent="0.3">
      <c r="A3072" s="830">
        <v>93002</v>
      </c>
      <c r="B3072" s="831" t="s">
        <v>7547</v>
      </c>
      <c r="C3072" s="830" t="s">
        <v>194</v>
      </c>
      <c r="D3072" s="832">
        <v>401.7</v>
      </c>
    </row>
    <row r="3073" spans="1:4" x14ac:dyDescent="0.3">
      <c r="A3073" s="830">
        <v>101884</v>
      </c>
      <c r="B3073" s="831" t="s">
        <v>7548</v>
      </c>
      <c r="C3073" s="830" t="s">
        <v>194</v>
      </c>
      <c r="D3073" s="832">
        <v>13.22</v>
      </c>
    </row>
    <row r="3074" spans="1:4" x14ac:dyDescent="0.3">
      <c r="A3074" s="830">
        <v>101885</v>
      </c>
      <c r="B3074" s="831" t="s">
        <v>7549</v>
      </c>
      <c r="C3074" s="830" t="s">
        <v>194</v>
      </c>
      <c r="D3074" s="832">
        <v>12.61</v>
      </c>
    </row>
    <row r="3075" spans="1:4" x14ac:dyDescent="0.3">
      <c r="A3075" s="830">
        <v>101886</v>
      </c>
      <c r="B3075" s="831" t="s">
        <v>7550</v>
      </c>
      <c r="C3075" s="830" t="s">
        <v>194</v>
      </c>
      <c r="D3075" s="832">
        <v>18.97</v>
      </c>
    </row>
    <row r="3076" spans="1:4" x14ac:dyDescent="0.3">
      <c r="A3076" s="830">
        <v>101887</v>
      </c>
      <c r="B3076" s="831" t="s">
        <v>7551</v>
      </c>
      <c r="C3076" s="830" t="s">
        <v>194</v>
      </c>
      <c r="D3076" s="832">
        <v>20.13</v>
      </c>
    </row>
    <row r="3077" spans="1:4" x14ac:dyDescent="0.3">
      <c r="A3077" s="830">
        <v>101888</v>
      </c>
      <c r="B3077" s="831" t="s">
        <v>7552</v>
      </c>
      <c r="C3077" s="830" t="s">
        <v>194</v>
      </c>
      <c r="D3077" s="832">
        <v>29.73</v>
      </c>
    </row>
    <row r="3078" spans="1:4" x14ac:dyDescent="0.3">
      <c r="A3078" s="830">
        <v>101889</v>
      </c>
      <c r="B3078" s="831" t="s">
        <v>7553</v>
      </c>
      <c r="C3078" s="830" t="s">
        <v>194</v>
      </c>
      <c r="D3078" s="832">
        <v>31.25</v>
      </c>
    </row>
    <row r="3079" spans="1:4" x14ac:dyDescent="0.3">
      <c r="A3079" s="830">
        <v>91936</v>
      </c>
      <c r="B3079" s="831" t="s">
        <v>7554</v>
      </c>
      <c r="C3079" s="830" t="s">
        <v>89</v>
      </c>
      <c r="D3079" s="832">
        <v>19.239999999999998</v>
      </c>
    </row>
    <row r="3080" spans="1:4" x14ac:dyDescent="0.3">
      <c r="A3080" s="830">
        <v>91937</v>
      </c>
      <c r="B3080" s="831" t="s">
        <v>7555</v>
      </c>
      <c r="C3080" s="830" t="s">
        <v>89</v>
      </c>
      <c r="D3080" s="832">
        <v>17.149999999999999</v>
      </c>
    </row>
    <row r="3081" spans="1:4" x14ac:dyDescent="0.3">
      <c r="A3081" s="830">
        <v>91939</v>
      </c>
      <c r="B3081" s="831" t="s">
        <v>7556</v>
      </c>
      <c r="C3081" s="830" t="s">
        <v>89</v>
      </c>
      <c r="D3081" s="832">
        <v>34.130000000000003</v>
      </c>
    </row>
    <row r="3082" spans="1:4" x14ac:dyDescent="0.3">
      <c r="A3082" s="830">
        <v>91940</v>
      </c>
      <c r="B3082" s="831" t="s">
        <v>7557</v>
      </c>
      <c r="C3082" s="830" t="s">
        <v>89</v>
      </c>
      <c r="D3082" s="832">
        <v>19.600000000000001</v>
      </c>
    </row>
    <row r="3083" spans="1:4" x14ac:dyDescent="0.3">
      <c r="A3083" s="830">
        <v>91941</v>
      </c>
      <c r="B3083" s="831" t="s">
        <v>7558</v>
      </c>
      <c r="C3083" s="830" t="s">
        <v>89</v>
      </c>
      <c r="D3083" s="832">
        <v>12.47</v>
      </c>
    </row>
    <row r="3084" spans="1:4" x14ac:dyDescent="0.3">
      <c r="A3084" s="830">
        <v>91942</v>
      </c>
      <c r="B3084" s="831" t="s">
        <v>7559</v>
      </c>
      <c r="C3084" s="830" t="s">
        <v>89</v>
      </c>
      <c r="D3084" s="832">
        <v>38</v>
      </c>
    </row>
    <row r="3085" spans="1:4" x14ac:dyDescent="0.3">
      <c r="A3085" s="830">
        <v>91943</v>
      </c>
      <c r="B3085" s="831" t="s">
        <v>7560</v>
      </c>
      <c r="C3085" s="830" t="s">
        <v>89</v>
      </c>
      <c r="D3085" s="832">
        <v>22.95</v>
      </c>
    </row>
    <row r="3086" spans="1:4" x14ac:dyDescent="0.3">
      <c r="A3086" s="830">
        <v>91944</v>
      </c>
      <c r="B3086" s="831" t="s">
        <v>7561</v>
      </c>
      <c r="C3086" s="830" t="s">
        <v>89</v>
      </c>
      <c r="D3086" s="832">
        <v>15.55</v>
      </c>
    </row>
    <row r="3087" spans="1:4" x14ac:dyDescent="0.3">
      <c r="A3087" s="830">
        <v>92865</v>
      </c>
      <c r="B3087" s="831" t="s">
        <v>7562</v>
      </c>
      <c r="C3087" s="830" t="s">
        <v>89</v>
      </c>
      <c r="D3087" s="832">
        <v>15.29</v>
      </c>
    </row>
    <row r="3088" spans="1:4" x14ac:dyDescent="0.3">
      <c r="A3088" s="830">
        <v>92866</v>
      </c>
      <c r="B3088" s="831" t="s">
        <v>7563</v>
      </c>
      <c r="C3088" s="830" t="s">
        <v>89</v>
      </c>
      <c r="D3088" s="832">
        <v>13.75</v>
      </c>
    </row>
    <row r="3089" spans="1:4" x14ac:dyDescent="0.3">
      <c r="A3089" s="830">
        <v>92867</v>
      </c>
      <c r="B3089" s="831" t="s">
        <v>7564</v>
      </c>
      <c r="C3089" s="830" t="s">
        <v>89</v>
      </c>
      <c r="D3089" s="832">
        <v>32.85</v>
      </c>
    </row>
    <row r="3090" spans="1:4" x14ac:dyDescent="0.3">
      <c r="A3090" s="830">
        <v>92868</v>
      </c>
      <c r="B3090" s="831" t="s">
        <v>7565</v>
      </c>
      <c r="C3090" s="830" t="s">
        <v>89</v>
      </c>
      <c r="D3090" s="832">
        <v>18.32</v>
      </c>
    </row>
    <row r="3091" spans="1:4" x14ac:dyDescent="0.3">
      <c r="A3091" s="830">
        <v>92869</v>
      </c>
      <c r="B3091" s="831" t="s">
        <v>7566</v>
      </c>
      <c r="C3091" s="830" t="s">
        <v>89</v>
      </c>
      <c r="D3091" s="832">
        <v>11.19</v>
      </c>
    </row>
    <row r="3092" spans="1:4" x14ac:dyDescent="0.3">
      <c r="A3092" s="830">
        <v>92870</v>
      </c>
      <c r="B3092" s="831" t="s">
        <v>7567</v>
      </c>
      <c r="C3092" s="830" t="s">
        <v>89</v>
      </c>
      <c r="D3092" s="832">
        <v>35.619999999999997</v>
      </c>
    </row>
    <row r="3093" spans="1:4" x14ac:dyDescent="0.3">
      <c r="A3093" s="830">
        <v>92871</v>
      </c>
      <c r="B3093" s="831" t="s">
        <v>7568</v>
      </c>
      <c r="C3093" s="830" t="s">
        <v>89</v>
      </c>
      <c r="D3093" s="832">
        <v>20.57</v>
      </c>
    </row>
    <row r="3094" spans="1:4" x14ac:dyDescent="0.3">
      <c r="A3094" s="830">
        <v>92872</v>
      </c>
      <c r="B3094" s="831" t="s">
        <v>7569</v>
      </c>
      <c r="C3094" s="830" t="s">
        <v>89</v>
      </c>
      <c r="D3094" s="832">
        <v>13.17</v>
      </c>
    </row>
    <row r="3095" spans="1:4" x14ac:dyDescent="0.3">
      <c r="A3095" s="830">
        <v>95777</v>
      </c>
      <c r="B3095" s="831" t="s">
        <v>7570</v>
      </c>
      <c r="C3095" s="830" t="s">
        <v>89</v>
      </c>
      <c r="D3095" s="832">
        <v>25.6</v>
      </c>
    </row>
    <row r="3096" spans="1:4" x14ac:dyDescent="0.3">
      <c r="A3096" s="830">
        <v>95778</v>
      </c>
      <c r="B3096" s="831" t="s">
        <v>7571</v>
      </c>
      <c r="C3096" s="830" t="s">
        <v>89</v>
      </c>
      <c r="D3096" s="832">
        <v>28.7</v>
      </c>
    </row>
    <row r="3097" spans="1:4" x14ac:dyDescent="0.3">
      <c r="A3097" s="830">
        <v>95779</v>
      </c>
      <c r="B3097" s="831" t="s">
        <v>7572</v>
      </c>
      <c r="C3097" s="830" t="s">
        <v>89</v>
      </c>
      <c r="D3097" s="832">
        <v>23.91</v>
      </c>
    </row>
    <row r="3098" spans="1:4" x14ac:dyDescent="0.3">
      <c r="A3098" s="830">
        <v>95780</v>
      </c>
      <c r="B3098" s="831" t="s">
        <v>7573</v>
      </c>
      <c r="C3098" s="830" t="s">
        <v>89</v>
      </c>
      <c r="D3098" s="832">
        <v>30.33</v>
      </c>
    </row>
    <row r="3099" spans="1:4" x14ac:dyDescent="0.3">
      <c r="A3099" s="830">
        <v>95781</v>
      </c>
      <c r="B3099" s="831" t="s">
        <v>7574</v>
      </c>
      <c r="C3099" s="830" t="s">
        <v>89</v>
      </c>
      <c r="D3099" s="832">
        <v>34.659999999999997</v>
      </c>
    </row>
    <row r="3100" spans="1:4" x14ac:dyDescent="0.3">
      <c r="A3100" s="830">
        <v>95782</v>
      </c>
      <c r="B3100" s="831" t="s">
        <v>7575</v>
      </c>
      <c r="C3100" s="830" t="s">
        <v>89</v>
      </c>
      <c r="D3100" s="832">
        <v>32.25</v>
      </c>
    </row>
    <row r="3101" spans="1:4" x14ac:dyDescent="0.3">
      <c r="A3101" s="830">
        <v>95785</v>
      </c>
      <c r="B3101" s="831" t="s">
        <v>7576</v>
      </c>
      <c r="C3101" s="830" t="s">
        <v>89</v>
      </c>
      <c r="D3101" s="832">
        <v>38.090000000000003</v>
      </c>
    </row>
    <row r="3102" spans="1:4" x14ac:dyDescent="0.3">
      <c r="A3102" s="830">
        <v>95787</v>
      </c>
      <c r="B3102" s="831" t="s">
        <v>7577</v>
      </c>
      <c r="C3102" s="830" t="s">
        <v>89</v>
      </c>
      <c r="D3102" s="832">
        <v>29.04</v>
      </c>
    </row>
    <row r="3103" spans="1:4" x14ac:dyDescent="0.3">
      <c r="A3103" s="830">
        <v>95789</v>
      </c>
      <c r="B3103" s="831" t="s">
        <v>7578</v>
      </c>
      <c r="C3103" s="830" t="s">
        <v>89</v>
      </c>
      <c r="D3103" s="832">
        <v>39.270000000000003</v>
      </c>
    </row>
    <row r="3104" spans="1:4" x14ac:dyDescent="0.3">
      <c r="A3104" s="830">
        <v>95791</v>
      </c>
      <c r="B3104" s="831" t="s">
        <v>7579</v>
      </c>
      <c r="C3104" s="830" t="s">
        <v>89</v>
      </c>
      <c r="D3104" s="832">
        <v>54.25</v>
      </c>
    </row>
    <row r="3105" spans="1:4" x14ac:dyDescent="0.3">
      <c r="A3105" s="830">
        <v>95795</v>
      </c>
      <c r="B3105" s="831" t="s">
        <v>7580</v>
      </c>
      <c r="C3105" s="830" t="s">
        <v>89</v>
      </c>
      <c r="D3105" s="832">
        <v>33.049999999999997</v>
      </c>
    </row>
    <row r="3106" spans="1:4" x14ac:dyDescent="0.3">
      <c r="A3106" s="830">
        <v>95796</v>
      </c>
      <c r="B3106" s="831" t="s">
        <v>7581</v>
      </c>
      <c r="C3106" s="830" t="s">
        <v>89</v>
      </c>
      <c r="D3106" s="832">
        <v>46.09</v>
      </c>
    </row>
    <row r="3107" spans="1:4" x14ac:dyDescent="0.3">
      <c r="A3107" s="830">
        <v>95797</v>
      </c>
      <c r="B3107" s="831" t="s">
        <v>7582</v>
      </c>
      <c r="C3107" s="830" t="s">
        <v>89</v>
      </c>
      <c r="D3107" s="832">
        <v>63.44</v>
      </c>
    </row>
    <row r="3108" spans="1:4" x14ac:dyDescent="0.3">
      <c r="A3108" s="830">
        <v>95801</v>
      </c>
      <c r="B3108" s="831" t="s">
        <v>7583</v>
      </c>
      <c r="C3108" s="830" t="s">
        <v>89</v>
      </c>
      <c r="D3108" s="832">
        <v>39.35</v>
      </c>
    </row>
    <row r="3109" spans="1:4" x14ac:dyDescent="0.3">
      <c r="A3109" s="830">
        <v>95802</v>
      </c>
      <c r="B3109" s="831" t="s">
        <v>7584</v>
      </c>
      <c r="C3109" s="830" t="s">
        <v>89</v>
      </c>
      <c r="D3109" s="832">
        <v>49.04</v>
      </c>
    </row>
    <row r="3110" spans="1:4" x14ac:dyDescent="0.3">
      <c r="A3110" s="830">
        <v>95803</v>
      </c>
      <c r="B3110" s="831" t="s">
        <v>7585</v>
      </c>
      <c r="C3110" s="830" t="s">
        <v>89</v>
      </c>
      <c r="D3110" s="832">
        <v>70.88</v>
      </c>
    </row>
    <row r="3111" spans="1:4" x14ac:dyDescent="0.3">
      <c r="A3111" s="830">
        <v>95804</v>
      </c>
      <c r="B3111" s="831" t="s">
        <v>7586</v>
      </c>
      <c r="C3111" s="830" t="s">
        <v>89</v>
      </c>
      <c r="D3111" s="832">
        <v>23.85</v>
      </c>
    </row>
    <row r="3112" spans="1:4" x14ac:dyDescent="0.3">
      <c r="A3112" s="830">
        <v>95805</v>
      </c>
      <c r="B3112" s="831" t="s">
        <v>4267</v>
      </c>
      <c r="C3112" s="830" t="s">
        <v>89</v>
      </c>
      <c r="D3112" s="832">
        <v>25.24</v>
      </c>
    </row>
    <row r="3113" spans="1:4" x14ac:dyDescent="0.3">
      <c r="A3113" s="830">
        <v>95806</v>
      </c>
      <c r="B3113" s="831" t="s">
        <v>7587</v>
      </c>
      <c r="C3113" s="830" t="s">
        <v>89</v>
      </c>
      <c r="D3113" s="832">
        <v>27.71</v>
      </c>
    </row>
    <row r="3114" spans="1:4" x14ac:dyDescent="0.3">
      <c r="A3114" s="830">
        <v>95807</v>
      </c>
      <c r="B3114" s="831" t="s">
        <v>7588</v>
      </c>
      <c r="C3114" s="830" t="s">
        <v>89</v>
      </c>
      <c r="D3114" s="832">
        <v>28.04</v>
      </c>
    </row>
    <row r="3115" spans="1:4" x14ac:dyDescent="0.3">
      <c r="A3115" s="830">
        <v>95808</v>
      </c>
      <c r="B3115" s="831" t="s">
        <v>7589</v>
      </c>
      <c r="C3115" s="830" t="s">
        <v>89</v>
      </c>
      <c r="D3115" s="832">
        <v>32.24</v>
      </c>
    </row>
    <row r="3116" spans="1:4" x14ac:dyDescent="0.3">
      <c r="A3116" s="830">
        <v>95809</v>
      </c>
      <c r="B3116" s="831" t="s">
        <v>7590</v>
      </c>
      <c r="C3116" s="830" t="s">
        <v>89</v>
      </c>
      <c r="D3116" s="832">
        <v>40.1</v>
      </c>
    </row>
    <row r="3117" spans="1:4" x14ac:dyDescent="0.3">
      <c r="A3117" s="830">
        <v>95810</v>
      </c>
      <c r="B3117" s="831" t="s">
        <v>7591</v>
      </c>
      <c r="C3117" s="830" t="s">
        <v>89</v>
      </c>
      <c r="D3117" s="832">
        <v>16.739999999999998</v>
      </c>
    </row>
    <row r="3118" spans="1:4" x14ac:dyDescent="0.3">
      <c r="A3118" s="830">
        <v>95811</v>
      </c>
      <c r="B3118" s="831" t="s">
        <v>4264</v>
      </c>
      <c r="C3118" s="830" t="s">
        <v>89</v>
      </c>
      <c r="D3118" s="832">
        <v>20.95</v>
      </c>
    </row>
    <row r="3119" spans="1:4" x14ac:dyDescent="0.3">
      <c r="A3119" s="830">
        <v>95812</v>
      </c>
      <c r="B3119" s="831" t="s">
        <v>7592</v>
      </c>
      <c r="C3119" s="830" t="s">
        <v>89</v>
      </c>
      <c r="D3119" s="832">
        <v>28.8</v>
      </c>
    </row>
    <row r="3120" spans="1:4" x14ac:dyDescent="0.3">
      <c r="A3120" s="830">
        <v>95813</v>
      </c>
      <c r="B3120" s="831" t="s">
        <v>7593</v>
      </c>
      <c r="C3120" s="830" t="s">
        <v>89</v>
      </c>
      <c r="D3120" s="832">
        <v>19.55</v>
      </c>
    </row>
    <row r="3121" spans="1:4" x14ac:dyDescent="0.3">
      <c r="A3121" s="830">
        <v>95814</v>
      </c>
      <c r="B3121" s="831" t="s">
        <v>7594</v>
      </c>
      <c r="C3121" s="830" t="s">
        <v>89</v>
      </c>
      <c r="D3121" s="832">
        <v>25.14</v>
      </c>
    </row>
    <row r="3122" spans="1:4" x14ac:dyDescent="0.3">
      <c r="A3122" s="830">
        <v>95815</v>
      </c>
      <c r="B3122" s="831" t="s">
        <v>7595</v>
      </c>
      <c r="C3122" s="830" t="s">
        <v>89</v>
      </c>
      <c r="D3122" s="832">
        <v>37.229999999999997</v>
      </c>
    </row>
    <row r="3123" spans="1:4" x14ac:dyDescent="0.3">
      <c r="A3123" s="830">
        <v>95816</v>
      </c>
      <c r="B3123" s="831" t="s">
        <v>7596</v>
      </c>
      <c r="C3123" s="830" t="s">
        <v>89</v>
      </c>
      <c r="D3123" s="832">
        <v>33.9</v>
      </c>
    </row>
    <row r="3124" spans="1:4" x14ac:dyDescent="0.3">
      <c r="A3124" s="830">
        <v>95817</v>
      </c>
      <c r="B3124" s="831" t="s">
        <v>7597</v>
      </c>
      <c r="C3124" s="830" t="s">
        <v>89</v>
      </c>
      <c r="D3124" s="832">
        <v>40.39</v>
      </c>
    </row>
    <row r="3125" spans="1:4" x14ac:dyDescent="0.3">
      <c r="A3125" s="830">
        <v>95818</v>
      </c>
      <c r="B3125" s="831" t="s">
        <v>7598</v>
      </c>
      <c r="C3125" s="830" t="s">
        <v>89</v>
      </c>
      <c r="D3125" s="832">
        <v>55.96</v>
      </c>
    </row>
    <row r="3126" spans="1:4" x14ac:dyDescent="0.3">
      <c r="A3126" s="830">
        <v>97881</v>
      </c>
      <c r="B3126" s="831" t="s">
        <v>7599</v>
      </c>
      <c r="C3126" s="830" t="s">
        <v>89</v>
      </c>
      <c r="D3126" s="832">
        <v>146.66</v>
      </c>
    </row>
    <row r="3127" spans="1:4" x14ac:dyDescent="0.3">
      <c r="A3127" s="830">
        <v>97882</v>
      </c>
      <c r="B3127" s="831" t="s">
        <v>7600</v>
      </c>
      <c r="C3127" s="830" t="s">
        <v>89</v>
      </c>
      <c r="D3127" s="832">
        <v>231.01</v>
      </c>
    </row>
    <row r="3128" spans="1:4" x14ac:dyDescent="0.3">
      <c r="A3128" s="830">
        <v>97883</v>
      </c>
      <c r="B3128" s="831" t="s">
        <v>7601</v>
      </c>
      <c r="C3128" s="830" t="s">
        <v>89</v>
      </c>
      <c r="D3128" s="832">
        <v>444.22</v>
      </c>
    </row>
    <row r="3129" spans="1:4" x14ac:dyDescent="0.3">
      <c r="A3129" s="830">
        <v>97884</v>
      </c>
      <c r="B3129" s="831" t="s">
        <v>7602</v>
      </c>
      <c r="C3129" s="830" t="s">
        <v>89</v>
      </c>
      <c r="D3129" s="832">
        <v>867.29</v>
      </c>
    </row>
    <row r="3130" spans="1:4" x14ac:dyDescent="0.3">
      <c r="A3130" s="830">
        <v>97885</v>
      </c>
      <c r="B3130" s="831" t="s">
        <v>7603</v>
      </c>
      <c r="C3130" s="830" t="s">
        <v>89</v>
      </c>
      <c r="D3130" s="832">
        <v>1332.36</v>
      </c>
    </row>
    <row r="3131" spans="1:4" x14ac:dyDescent="0.3">
      <c r="A3131" s="830">
        <v>97886</v>
      </c>
      <c r="B3131" s="831" t="s">
        <v>2727</v>
      </c>
      <c r="C3131" s="830" t="s">
        <v>89</v>
      </c>
      <c r="D3131" s="832">
        <v>181.94</v>
      </c>
    </row>
    <row r="3132" spans="1:4" x14ac:dyDescent="0.3">
      <c r="A3132" s="830">
        <v>97887</v>
      </c>
      <c r="B3132" s="831" t="s">
        <v>7604</v>
      </c>
      <c r="C3132" s="830" t="s">
        <v>89</v>
      </c>
      <c r="D3132" s="832">
        <v>285.66000000000003</v>
      </c>
    </row>
    <row r="3133" spans="1:4" x14ac:dyDescent="0.3">
      <c r="A3133" s="830">
        <v>97888</v>
      </c>
      <c r="B3133" s="831" t="s">
        <v>7605</v>
      </c>
      <c r="C3133" s="830" t="s">
        <v>89</v>
      </c>
      <c r="D3133" s="832">
        <v>549.04</v>
      </c>
    </row>
    <row r="3134" spans="1:4" x14ac:dyDescent="0.3">
      <c r="A3134" s="830">
        <v>97889</v>
      </c>
      <c r="B3134" s="831" t="s">
        <v>7606</v>
      </c>
      <c r="C3134" s="830" t="s">
        <v>89</v>
      </c>
      <c r="D3134" s="832">
        <v>746.31</v>
      </c>
    </row>
    <row r="3135" spans="1:4" x14ac:dyDescent="0.3">
      <c r="A3135" s="830">
        <v>97890</v>
      </c>
      <c r="B3135" s="831" t="s">
        <v>7607</v>
      </c>
      <c r="C3135" s="830" t="s">
        <v>89</v>
      </c>
      <c r="D3135" s="832">
        <v>848.97</v>
      </c>
    </row>
    <row r="3136" spans="1:4" x14ac:dyDescent="0.3">
      <c r="A3136" s="830">
        <v>97891</v>
      </c>
      <c r="B3136" s="831" t="s">
        <v>7608</v>
      </c>
      <c r="C3136" s="830" t="s">
        <v>89</v>
      </c>
      <c r="D3136" s="832">
        <v>230.01</v>
      </c>
    </row>
    <row r="3137" spans="1:4" x14ac:dyDescent="0.3">
      <c r="A3137" s="830">
        <v>97892</v>
      </c>
      <c r="B3137" s="831" t="s">
        <v>7609</v>
      </c>
      <c r="C3137" s="830" t="s">
        <v>89</v>
      </c>
      <c r="D3137" s="832">
        <v>431.43</v>
      </c>
    </row>
    <row r="3138" spans="1:4" x14ac:dyDescent="0.3">
      <c r="A3138" s="830">
        <v>97893</v>
      </c>
      <c r="B3138" s="831" t="s">
        <v>7610</v>
      </c>
      <c r="C3138" s="830" t="s">
        <v>89</v>
      </c>
      <c r="D3138" s="832">
        <v>596.29</v>
      </c>
    </row>
    <row r="3139" spans="1:4" x14ac:dyDescent="0.3">
      <c r="A3139" s="830">
        <v>97894</v>
      </c>
      <c r="B3139" s="831" t="s">
        <v>7611</v>
      </c>
      <c r="C3139" s="830" t="s">
        <v>89</v>
      </c>
      <c r="D3139" s="832">
        <v>667.19</v>
      </c>
    </row>
    <row r="3140" spans="1:4" x14ac:dyDescent="0.3">
      <c r="A3140" s="830">
        <v>104396</v>
      </c>
      <c r="B3140" s="831" t="s">
        <v>7612</v>
      </c>
      <c r="C3140" s="830" t="s">
        <v>89</v>
      </c>
      <c r="D3140" s="832">
        <v>23.89</v>
      </c>
    </row>
    <row r="3141" spans="1:4" x14ac:dyDescent="0.3">
      <c r="A3141" s="830">
        <v>104397</v>
      </c>
      <c r="B3141" s="831" t="s">
        <v>7613</v>
      </c>
      <c r="C3141" s="830" t="s">
        <v>89</v>
      </c>
      <c r="D3141" s="832">
        <v>28.35</v>
      </c>
    </row>
    <row r="3142" spans="1:4" x14ac:dyDescent="0.3">
      <c r="A3142" s="830">
        <v>104398</v>
      </c>
      <c r="B3142" s="831" t="s">
        <v>7614</v>
      </c>
      <c r="C3142" s="830" t="s">
        <v>89</v>
      </c>
      <c r="D3142" s="832">
        <v>28.03</v>
      </c>
    </row>
    <row r="3143" spans="1:4" x14ac:dyDescent="0.3">
      <c r="A3143" s="830">
        <v>104399</v>
      </c>
      <c r="B3143" s="831" t="s">
        <v>7615</v>
      </c>
      <c r="C3143" s="830" t="s">
        <v>89</v>
      </c>
      <c r="D3143" s="832">
        <v>30.89</v>
      </c>
    </row>
    <row r="3144" spans="1:4" x14ac:dyDescent="0.3">
      <c r="A3144" s="830">
        <v>104400</v>
      </c>
      <c r="B3144" s="831" t="s">
        <v>7616</v>
      </c>
      <c r="C3144" s="830" t="s">
        <v>89</v>
      </c>
      <c r="D3144" s="832">
        <v>39.520000000000003</v>
      </c>
    </row>
    <row r="3145" spans="1:4" x14ac:dyDescent="0.3">
      <c r="A3145" s="830">
        <v>104401</v>
      </c>
      <c r="B3145" s="831" t="s">
        <v>7617</v>
      </c>
      <c r="C3145" s="830" t="s">
        <v>89</v>
      </c>
      <c r="D3145" s="832">
        <v>26.5</v>
      </c>
    </row>
    <row r="3146" spans="1:4" x14ac:dyDescent="0.3">
      <c r="A3146" s="830">
        <v>104402</v>
      </c>
      <c r="B3146" s="831" t="s">
        <v>7618</v>
      </c>
      <c r="C3146" s="830" t="s">
        <v>89</v>
      </c>
      <c r="D3146" s="832">
        <v>27.95</v>
      </c>
    </row>
    <row r="3147" spans="1:4" x14ac:dyDescent="0.3">
      <c r="A3147" s="830">
        <v>104403</v>
      </c>
      <c r="B3147" s="831" t="s">
        <v>7619</v>
      </c>
      <c r="C3147" s="830" t="s">
        <v>89</v>
      </c>
      <c r="D3147" s="832">
        <v>34.630000000000003</v>
      </c>
    </row>
    <row r="3148" spans="1:4" x14ac:dyDescent="0.3">
      <c r="A3148" s="830">
        <v>104404</v>
      </c>
      <c r="B3148" s="831" t="s">
        <v>7620</v>
      </c>
      <c r="C3148" s="830" t="s">
        <v>89</v>
      </c>
      <c r="D3148" s="832">
        <v>36.01</v>
      </c>
    </row>
    <row r="3149" spans="1:4" x14ac:dyDescent="0.3">
      <c r="A3149" s="830">
        <v>104405</v>
      </c>
      <c r="B3149" s="831" t="s">
        <v>7621</v>
      </c>
      <c r="C3149" s="830" t="s">
        <v>89</v>
      </c>
      <c r="D3149" s="832">
        <v>48.53</v>
      </c>
    </row>
    <row r="3150" spans="1:4" x14ac:dyDescent="0.3">
      <c r="A3150" s="830">
        <v>93653</v>
      </c>
      <c r="B3150" s="831" t="s">
        <v>7622</v>
      </c>
      <c r="C3150" s="830" t="s">
        <v>89</v>
      </c>
      <c r="D3150" s="832">
        <v>16.12</v>
      </c>
    </row>
    <row r="3151" spans="1:4" x14ac:dyDescent="0.3">
      <c r="A3151" s="830">
        <v>93654</v>
      </c>
      <c r="B3151" s="831" t="s">
        <v>7623</v>
      </c>
      <c r="C3151" s="830" t="s">
        <v>89</v>
      </c>
      <c r="D3151" s="832">
        <v>16.82</v>
      </c>
    </row>
    <row r="3152" spans="1:4" x14ac:dyDescent="0.3">
      <c r="A3152" s="830">
        <v>93655</v>
      </c>
      <c r="B3152" s="831" t="s">
        <v>7624</v>
      </c>
      <c r="C3152" s="830" t="s">
        <v>89</v>
      </c>
      <c r="D3152" s="832">
        <v>18.190000000000001</v>
      </c>
    </row>
    <row r="3153" spans="1:4" x14ac:dyDescent="0.3">
      <c r="A3153" s="830">
        <v>93656</v>
      </c>
      <c r="B3153" s="831" t="s">
        <v>7625</v>
      </c>
      <c r="C3153" s="830" t="s">
        <v>89</v>
      </c>
      <c r="D3153" s="832">
        <v>18.190000000000001</v>
      </c>
    </row>
    <row r="3154" spans="1:4" x14ac:dyDescent="0.3">
      <c r="A3154" s="830">
        <v>93657</v>
      </c>
      <c r="B3154" s="831" t="s">
        <v>7626</v>
      </c>
      <c r="C3154" s="830" t="s">
        <v>89</v>
      </c>
      <c r="D3154" s="832">
        <v>19.84</v>
      </c>
    </row>
    <row r="3155" spans="1:4" x14ac:dyDescent="0.3">
      <c r="A3155" s="830">
        <v>93658</v>
      </c>
      <c r="B3155" s="831" t="s">
        <v>7627</v>
      </c>
      <c r="C3155" s="830" t="s">
        <v>89</v>
      </c>
      <c r="D3155" s="832">
        <v>28.79</v>
      </c>
    </row>
    <row r="3156" spans="1:4" x14ac:dyDescent="0.3">
      <c r="A3156" s="830">
        <v>93659</v>
      </c>
      <c r="B3156" s="831" t="s">
        <v>7628</v>
      </c>
      <c r="C3156" s="830" t="s">
        <v>89</v>
      </c>
      <c r="D3156" s="832">
        <v>32.15</v>
      </c>
    </row>
    <row r="3157" spans="1:4" x14ac:dyDescent="0.3">
      <c r="A3157" s="830">
        <v>93660</v>
      </c>
      <c r="B3157" s="831" t="s">
        <v>7629</v>
      </c>
      <c r="C3157" s="830" t="s">
        <v>89</v>
      </c>
      <c r="D3157" s="832">
        <v>81.260000000000005</v>
      </c>
    </row>
    <row r="3158" spans="1:4" x14ac:dyDescent="0.3">
      <c r="A3158" s="830">
        <v>93661</v>
      </c>
      <c r="B3158" s="831" t="s">
        <v>7630</v>
      </c>
      <c r="C3158" s="830" t="s">
        <v>89</v>
      </c>
      <c r="D3158" s="832">
        <v>82.65</v>
      </c>
    </row>
    <row r="3159" spans="1:4" x14ac:dyDescent="0.3">
      <c r="A3159" s="830">
        <v>93662</v>
      </c>
      <c r="B3159" s="831" t="s">
        <v>7631</v>
      </c>
      <c r="C3159" s="830" t="s">
        <v>89</v>
      </c>
      <c r="D3159" s="832">
        <v>85.39</v>
      </c>
    </row>
    <row r="3160" spans="1:4" x14ac:dyDescent="0.3">
      <c r="A3160" s="830">
        <v>93663</v>
      </c>
      <c r="B3160" s="831" t="s">
        <v>7632</v>
      </c>
      <c r="C3160" s="830" t="s">
        <v>89</v>
      </c>
      <c r="D3160" s="832">
        <v>85.39</v>
      </c>
    </row>
    <row r="3161" spans="1:4" x14ac:dyDescent="0.3">
      <c r="A3161" s="830">
        <v>93664</v>
      </c>
      <c r="B3161" s="831" t="s">
        <v>7633</v>
      </c>
      <c r="C3161" s="830" t="s">
        <v>89</v>
      </c>
      <c r="D3161" s="832">
        <v>88.71</v>
      </c>
    </row>
    <row r="3162" spans="1:4" x14ac:dyDescent="0.3">
      <c r="A3162" s="830">
        <v>93665</v>
      </c>
      <c r="B3162" s="831" t="s">
        <v>7634</v>
      </c>
      <c r="C3162" s="830" t="s">
        <v>89</v>
      </c>
      <c r="D3162" s="832">
        <v>92.75</v>
      </c>
    </row>
    <row r="3163" spans="1:4" x14ac:dyDescent="0.3">
      <c r="A3163" s="830">
        <v>93666</v>
      </c>
      <c r="B3163" s="831" t="s">
        <v>7635</v>
      </c>
      <c r="C3163" s="830" t="s">
        <v>89</v>
      </c>
      <c r="D3163" s="832">
        <v>99.47</v>
      </c>
    </row>
    <row r="3164" spans="1:4" x14ac:dyDescent="0.3">
      <c r="A3164" s="830">
        <v>93667</v>
      </c>
      <c r="B3164" s="831" t="s">
        <v>7636</v>
      </c>
      <c r="C3164" s="830" t="s">
        <v>89</v>
      </c>
      <c r="D3164" s="832">
        <v>101.22</v>
      </c>
    </row>
    <row r="3165" spans="1:4" x14ac:dyDescent="0.3">
      <c r="A3165" s="830">
        <v>93668</v>
      </c>
      <c r="B3165" s="831" t="s">
        <v>7637</v>
      </c>
      <c r="C3165" s="830" t="s">
        <v>89</v>
      </c>
      <c r="D3165" s="832">
        <v>103.31</v>
      </c>
    </row>
    <row r="3166" spans="1:4" x14ac:dyDescent="0.3">
      <c r="A3166" s="830">
        <v>93669</v>
      </c>
      <c r="B3166" s="831" t="s">
        <v>7638</v>
      </c>
      <c r="C3166" s="830" t="s">
        <v>89</v>
      </c>
      <c r="D3166" s="832">
        <v>107.42</v>
      </c>
    </row>
    <row r="3167" spans="1:4" x14ac:dyDescent="0.3">
      <c r="A3167" s="830">
        <v>93670</v>
      </c>
      <c r="B3167" s="831" t="s">
        <v>7639</v>
      </c>
      <c r="C3167" s="830" t="s">
        <v>89</v>
      </c>
      <c r="D3167" s="832">
        <v>107.42</v>
      </c>
    </row>
    <row r="3168" spans="1:4" x14ac:dyDescent="0.3">
      <c r="A3168" s="830">
        <v>93671</v>
      </c>
      <c r="B3168" s="831" t="s">
        <v>7640</v>
      </c>
      <c r="C3168" s="830" t="s">
        <v>89</v>
      </c>
      <c r="D3168" s="832">
        <v>112.37</v>
      </c>
    </row>
    <row r="3169" spans="1:4" x14ac:dyDescent="0.3">
      <c r="A3169" s="830">
        <v>93672</v>
      </c>
      <c r="B3169" s="831" t="s">
        <v>7641</v>
      </c>
      <c r="C3169" s="830" t="s">
        <v>89</v>
      </c>
      <c r="D3169" s="832">
        <v>120.2</v>
      </c>
    </row>
    <row r="3170" spans="1:4" x14ac:dyDescent="0.3">
      <c r="A3170" s="830">
        <v>93673</v>
      </c>
      <c r="B3170" s="831" t="s">
        <v>7642</v>
      </c>
      <c r="C3170" s="830" t="s">
        <v>89</v>
      </c>
      <c r="D3170" s="832">
        <v>130.28</v>
      </c>
    </row>
    <row r="3171" spans="1:4" x14ac:dyDescent="0.3">
      <c r="A3171" s="830">
        <v>97359</v>
      </c>
      <c r="B3171" s="831" t="s">
        <v>7643</v>
      </c>
      <c r="C3171" s="830" t="s">
        <v>89</v>
      </c>
      <c r="D3171" s="832">
        <v>6520.7</v>
      </c>
    </row>
    <row r="3172" spans="1:4" x14ac:dyDescent="0.3">
      <c r="A3172" s="830">
        <v>97360</v>
      </c>
      <c r="B3172" s="831" t="s">
        <v>7644</v>
      </c>
      <c r="C3172" s="830" t="s">
        <v>89</v>
      </c>
      <c r="D3172" s="832">
        <v>12622.93</v>
      </c>
    </row>
    <row r="3173" spans="1:4" x14ac:dyDescent="0.3">
      <c r="A3173" s="830">
        <v>97361</v>
      </c>
      <c r="B3173" s="831" t="s">
        <v>7645</v>
      </c>
      <c r="C3173" s="830" t="s">
        <v>89</v>
      </c>
      <c r="D3173" s="832">
        <v>16830.580000000002</v>
      </c>
    </row>
    <row r="3174" spans="1:4" x14ac:dyDescent="0.3">
      <c r="A3174" s="830">
        <v>97362</v>
      </c>
      <c r="B3174" s="831" t="s">
        <v>7646</v>
      </c>
      <c r="C3174" s="830" t="s">
        <v>89</v>
      </c>
      <c r="D3174" s="832">
        <v>1544.67</v>
      </c>
    </row>
    <row r="3175" spans="1:4" x14ac:dyDescent="0.3">
      <c r="A3175" s="830">
        <v>101875</v>
      </c>
      <c r="B3175" s="831" t="s">
        <v>7647</v>
      </c>
      <c r="C3175" s="830" t="s">
        <v>89</v>
      </c>
      <c r="D3175" s="832">
        <v>340.09</v>
      </c>
    </row>
    <row r="3176" spans="1:4" x14ac:dyDescent="0.3">
      <c r="A3176" s="830">
        <v>101876</v>
      </c>
      <c r="B3176" s="831" t="s">
        <v>2719</v>
      </c>
      <c r="C3176" s="830" t="s">
        <v>89</v>
      </c>
      <c r="D3176" s="832">
        <v>136.22999999999999</v>
      </c>
    </row>
    <row r="3177" spans="1:4" x14ac:dyDescent="0.3">
      <c r="A3177" s="830">
        <v>101877</v>
      </c>
      <c r="B3177" s="831" t="s">
        <v>7648</v>
      </c>
      <c r="C3177" s="830" t="s">
        <v>89</v>
      </c>
      <c r="D3177" s="832">
        <v>91.51</v>
      </c>
    </row>
    <row r="3178" spans="1:4" x14ac:dyDescent="0.3">
      <c r="A3178" s="830">
        <v>101878</v>
      </c>
      <c r="B3178" s="831" t="s">
        <v>7649</v>
      </c>
      <c r="C3178" s="830" t="s">
        <v>89</v>
      </c>
      <c r="D3178" s="832">
        <v>478.9</v>
      </c>
    </row>
    <row r="3179" spans="1:4" x14ac:dyDescent="0.3">
      <c r="A3179" s="830">
        <v>101879</v>
      </c>
      <c r="B3179" s="831" t="s">
        <v>7650</v>
      </c>
      <c r="C3179" s="830" t="s">
        <v>89</v>
      </c>
      <c r="D3179" s="832">
        <v>488.74</v>
      </c>
    </row>
    <row r="3180" spans="1:4" x14ac:dyDescent="0.3">
      <c r="A3180" s="830">
        <v>101880</v>
      </c>
      <c r="B3180" s="831" t="s">
        <v>7651</v>
      </c>
      <c r="C3180" s="830" t="s">
        <v>89</v>
      </c>
      <c r="D3180" s="832">
        <v>563.9</v>
      </c>
    </row>
    <row r="3181" spans="1:4" x14ac:dyDescent="0.3">
      <c r="A3181" s="830">
        <v>101881</v>
      </c>
      <c r="B3181" s="831" t="s">
        <v>7652</v>
      </c>
      <c r="C3181" s="830" t="s">
        <v>89</v>
      </c>
      <c r="D3181" s="832">
        <v>803.31</v>
      </c>
    </row>
    <row r="3182" spans="1:4" x14ac:dyDescent="0.3">
      <c r="A3182" s="830">
        <v>101882</v>
      </c>
      <c r="B3182" s="831" t="s">
        <v>7653</v>
      </c>
      <c r="C3182" s="830" t="s">
        <v>89</v>
      </c>
      <c r="D3182" s="832">
        <v>1133.3900000000001</v>
      </c>
    </row>
    <row r="3183" spans="1:4" x14ac:dyDescent="0.3">
      <c r="A3183" s="830">
        <v>101883</v>
      </c>
      <c r="B3183" s="831" t="s">
        <v>7654</v>
      </c>
      <c r="C3183" s="830" t="s">
        <v>89</v>
      </c>
      <c r="D3183" s="832">
        <v>466.2</v>
      </c>
    </row>
    <row r="3184" spans="1:4" x14ac:dyDescent="0.3">
      <c r="A3184" s="830">
        <v>101890</v>
      </c>
      <c r="B3184" s="831" t="s">
        <v>7655</v>
      </c>
      <c r="C3184" s="830" t="s">
        <v>89</v>
      </c>
      <c r="D3184" s="832">
        <v>22.07</v>
      </c>
    </row>
    <row r="3185" spans="1:4" x14ac:dyDescent="0.3">
      <c r="A3185" s="830">
        <v>101891</v>
      </c>
      <c r="B3185" s="831" t="s">
        <v>2721</v>
      </c>
      <c r="C3185" s="830" t="s">
        <v>89</v>
      </c>
      <c r="D3185" s="832">
        <v>37.85</v>
      </c>
    </row>
    <row r="3186" spans="1:4" x14ac:dyDescent="0.3">
      <c r="A3186" s="830">
        <v>101892</v>
      </c>
      <c r="B3186" s="831" t="s">
        <v>7656</v>
      </c>
      <c r="C3186" s="830" t="s">
        <v>89</v>
      </c>
      <c r="D3186" s="832">
        <v>101.64</v>
      </c>
    </row>
    <row r="3187" spans="1:4" x14ac:dyDescent="0.3">
      <c r="A3187" s="830">
        <v>101893</v>
      </c>
      <c r="B3187" s="831" t="s">
        <v>7657</v>
      </c>
      <c r="C3187" s="830" t="s">
        <v>89</v>
      </c>
      <c r="D3187" s="832">
        <v>129.36000000000001</v>
      </c>
    </row>
    <row r="3188" spans="1:4" x14ac:dyDescent="0.3">
      <c r="A3188" s="830">
        <v>101894</v>
      </c>
      <c r="B3188" s="831" t="s">
        <v>7658</v>
      </c>
      <c r="C3188" s="830" t="s">
        <v>89</v>
      </c>
      <c r="D3188" s="832">
        <v>213.37</v>
      </c>
    </row>
    <row r="3189" spans="1:4" x14ac:dyDescent="0.3">
      <c r="A3189" s="830">
        <v>101895</v>
      </c>
      <c r="B3189" s="831" t="s">
        <v>7659</v>
      </c>
      <c r="C3189" s="830" t="s">
        <v>89</v>
      </c>
      <c r="D3189" s="832">
        <v>593.95000000000005</v>
      </c>
    </row>
    <row r="3190" spans="1:4" x14ac:dyDescent="0.3">
      <c r="A3190" s="830">
        <v>101896</v>
      </c>
      <c r="B3190" s="831" t="s">
        <v>7660</v>
      </c>
      <c r="C3190" s="830" t="s">
        <v>89</v>
      </c>
      <c r="D3190" s="832">
        <v>900.74</v>
      </c>
    </row>
    <row r="3191" spans="1:4" x14ac:dyDescent="0.3">
      <c r="A3191" s="830">
        <v>101897</v>
      </c>
      <c r="B3191" s="831" t="s">
        <v>7661</v>
      </c>
      <c r="C3191" s="830" t="s">
        <v>89</v>
      </c>
      <c r="D3191" s="832">
        <v>1451.31</v>
      </c>
    </row>
    <row r="3192" spans="1:4" x14ac:dyDescent="0.3">
      <c r="A3192" s="830">
        <v>101898</v>
      </c>
      <c r="B3192" s="831" t="s">
        <v>7662</v>
      </c>
      <c r="C3192" s="830" t="s">
        <v>89</v>
      </c>
      <c r="D3192" s="832">
        <v>1952.21</v>
      </c>
    </row>
    <row r="3193" spans="1:4" x14ac:dyDescent="0.3">
      <c r="A3193" s="830">
        <v>101899</v>
      </c>
      <c r="B3193" s="831" t="s">
        <v>7663</v>
      </c>
      <c r="C3193" s="830" t="s">
        <v>89</v>
      </c>
      <c r="D3193" s="832">
        <v>3143.66</v>
      </c>
    </row>
    <row r="3194" spans="1:4" x14ac:dyDescent="0.3">
      <c r="A3194" s="830">
        <v>101900</v>
      </c>
      <c r="B3194" s="831" t="s">
        <v>7664</v>
      </c>
      <c r="C3194" s="830" t="s">
        <v>89</v>
      </c>
      <c r="D3194" s="832">
        <v>6594.62</v>
      </c>
    </row>
    <row r="3195" spans="1:4" x14ac:dyDescent="0.3">
      <c r="A3195" s="830">
        <v>101901</v>
      </c>
      <c r="B3195" s="831" t="s">
        <v>7665</v>
      </c>
      <c r="C3195" s="830" t="s">
        <v>89</v>
      </c>
      <c r="D3195" s="832">
        <v>159.79</v>
      </c>
    </row>
    <row r="3196" spans="1:4" x14ac:dyDescent="0.3">
      <c r="A3196" s="830">
        <v>101902</v>
      </c>
      <c r="B3196" s="831" t="s">
        <v>7666</v>
      </c>
      <c r="C3196" s="830" t="s">
        <v>89</v>
      </c>
      <c r="D3196" s="832">
        <v>197.53</v>
      </c>
    </row>
    <row r="3197" spans="1:4" x14ac:dyDescent="0.3">
      <c r="A3197" s="830">
        <v>101903</v>
      </c>
      <c r="B3197" s="831" t="s">
        <v>7667</v>
      </c>
      <c r="C3197" s="830" t="s">
        <v>89</v>
      </c>
      <c r="D3197" s="832">
        <v>412.01</v>
      </c>
    </row>
    <row r="3198" spans="1:4" x14ac:dyDescent="0.3">
      <c r="A3198" s="830">
        <v>101904</v>
      </c>
      <c r="B3198" s="831" t="s">
        <v>7668</v>
      </c>
      <c r="C3198" s="830" t="s">
        <v>89</v>
      </c>
      <c r="D3198" s="832">
        <v>1513.23</v>
      </c>
    </row>
    <row r="3199" spans="1:4" x14ac:dyDescent="0.3">
      <c r="A3199" s="830">
        <v>101938</v>
      </c>
      <c r="B3199" s="831" t="s">
        <v>7669</v>
      </c>
      <c r="C3199" s="830" t="s">
        <v>89</v>
      </c>
      <c r="D3199" s="832">
        <v>183.26</v>
      </c>
    </row>
    <row r="3200" spans="1:4" x14ac:dyDescent="0.3">
      <c r="A3200" s="830">
        <v>101946</v>
      </c>
      <c r="B3200" s="831" t="s">
        <v>7670</v>
      </c>
      <c r="C3200" s="830" t="s">
        <v>89</v>
      </c>
      <c r="D3200" s="832">
        <v>240.99</v>
      </c>
    </row>
    <row r="3201" spans="1:4" x14ac:dyDescent="0.3">
      <c r="A3201" s="830">
        <v>91945</v>
      </c>
      <c r="B3201" s="831" t="s">
        <v>7671</v>
      </c>
      <c r="C3201" s="830" t="s">
        <v>89</v>
      </c>
      <c r="D3201" s="832">
        <v>15.99</v>
      </c>
    </row>
    <row r="3202" spans="1:4" x14ac:dyDescent="0.3">
      <c r="A3202" s="830">
        <v>91946</v>
      </c>
      <c r="B3202" s="831" t="s">
        <v>4360</v>
      </c>
      <c r="C3202" s="830" t="s">
        <v>89</v>
      </c>
      <c r="D3202" s="832">
        <v>12.69</v>
      </c>
    </row>
    <row r="3203" spans="1:4" x14ac:dyDescent="0.3">
      <c r="A3203" s="830">
        <v>91947</v>
      </c>
      <c r="B3203" s="831" t="s">
        <v>7672</v>
      </c>
      <c r="C3203" s="830" t="s">
        <v>89</v>
      </c>
      <c r="D3203" s="832">
        <v>10.61</v>
      </c>
    </row>
    <row r="3204" spans="1:4" x14ac:dyDescent="0.3">
      <c r="A3204" s="830">
        <v>91949</v>
      </c>
      <c r="B3204" s="831" t="s">
        <v>7673</v>
      </c>
      <c r="C3204" s="830" t="s">
        <v>89</v>
      </c>
      <c r="D3204" s="832">
        <v>22.91</v>
      </c>
    </row>
    <row r="3205" spans="1:4" x14ac:dyDescent="0.3">
      <c r="A3205" s="830">
        <v>91950</v>
      </c>
      <c r="B3205" s="831" t="s">
        <v>7674</v>
      </c>
      <c r="C3205" s="830" t="s">
        <v>89</v>
      </c>
      <c r="D3205" s="832">
        <v>18.86</v>
      </c>
    </row>
    <row r="3206" spans="1:4" x14ac:dyDescent="0.3">
      <c r="A3206" s="830">
        <v>91951</v>
      </c>
      <c r="B3206" s="831" t="s">
        <v>7675</v>
      </c>
      <c r="C3206" s="830" t="s">
        <v>89</v>
      </c>
      <c r="D3206" s="832">
        <v>16.440000000000001</v>
      </c>
    </row>
    <row r="3207" spans="1:4" x14ac:dyDescent="0.3">
      <c r="A3207" s="830">
        <v>91952</v>
      </c>
      <c r="B3207" s="831" t="s">
        <v>7676</v>
      </c>
      <c r="C3207" s="830" t="s">
        <v>89</v>
      </c>
      <c r="D3207" s="832">
        <v>21.57</v>
      </c>
    </row>
    <row r="3208" spans="1:4" x14ac:dyDescent="0.3">
      <c r="A3208" s="830">
        <v>91953</v>
      </c>
      <c r="B3208" s="831" t="s">
        <v>7677</v>
      </c>
      <c r="C3208" s="830" t="s">
        <v>89</v>
      </c>
      <c r="D3208" s="832">
        <v>34.26</v>
      </c>
    </row>
    <row r="3209" spans="1:4" x14ac:dyDescent="0.3">
      <c r="A3209" s="830">
        <v>91954</v>
      </c>
      <c r="B3209" s="831" t="s">
        <v>7678</v>
      </c>
      <c r="C3209" s="830" t="s">
        <v>89</v>
      </c>
      <c r="D3209" s="832">
        <v>28.94</v>
      </c>
    </row>
    <row r="3210" spans="1:4" x14ac:dyDescent="0.3">
      <c r="A3210" s="830">
        <v>91955</v>
      </c>
      <c r="B3210" s="831" t="s">
        <v>7679</v>
      </c>
      <c r="C3210" s="830" t="s">
        <v>89</v>
      </c>
      <c r="D3210" s="832">
        <v>41.63</v>
      </c>
    </row>
    <row r="3211" spans="1:4" x14ac:dyDescent="0.3">
      <c r="A3211" s="830">
        <v>91956</v>
      </c>
      <c r="B3211" s="831" t="s">
        <v>7680</v>
      </c>
      <c r="C3211" s="830" t="s">
        <v>89</v>
      </c>
      <c r="D3211" s="832">
        <v>46.98</v>
      </c>
    </row>
    <row r="3212" spans="1:4" x14ac:dyDescent="0.3">
      <c r="A3212" s="830">
        <v>91957</v>
      </c>
      <c r="B3212" s="831" t="s">
        <v>7681</v>
      </c>
      <c r="C3212" s="830" t="s">
        <v>89</v>
      </c>
      <c r="D3212" s="832">
        <v>59.67</v>
      </c>
    </row>
    <row r="3213" spans="1:4" x14ac:dyDescent="0.3">
      <c r="A3213" s="830">
        <v>91958</v>
      </c>
      <c r="B3213" s="831" t="s">
        <v>4363</v>
      </c>
      <c r="C3213" s="830" t="s">
        <v>89</v>
      </c>
      <c r="D3213" s="832">
        <v>39.67</v>
      </c>
    </row>
    <row r="3214" spans="1:4" x14ac:dyDescent="0.3">
      <c r="A3214" s="830">
        <v>91959</v>
      </c>
      <c r="B3214" s="831" t="s">
        <v>4270</v>
      </c>
      <c r="C3214" s="830" t="s">
        <v>89</v>
      </c>
      <c r="D3214" s="832">
        <v>52.36</v>
      </c>
    </row>
    <row r="3215" spans="1:4" x14ac:dyDescent="0.3">
      <c r="A3215" s="830">
        <v>91960</v>
      </c>
      <c r="B3215" s="831" t="s">
        <v>7682</v>
      </c>
      <c r="C3215" s="830" t="s">
        <v>89</v>
      </c>
      <c r="D3215" s="832">
        <v>54.4</v>
      </c>
    </row>
    <row r="3216" spans="1:4" x14ac:dyDescent="0.3">
      <c r="A3216" s="830">
        <v>91961</v>
      </c>
      <c r="B3216" s="831" t="s">
        <v>7683</v>
      </c>
      <c r="C3216" s="830" t="s">
        <v>89</v>
      </c>
      <c r="D3216" s="832">
        <v>67.09</v>
      </c>
    </row>
    <row r="3217" spans="1:4" x14ac:dyDescent="0.3">
      <c r="A3217" s="830">
        <v>91962</v>
      </c>
      <c r="B3217" s="831" t="s">
        <v>7684</v>
      </c>
      <c r="C3217" s="830" t="s">
        <v>89</v>
      </c>
      <c r="D3217" s="832">
        <v>72.45</v>
      </c>
    </row>
    <row r="3218" spans="1:4" x14ac:dyDescent="0.3">
      <c r="A3218" s="830">
        <v>91963</v>
      </c>
      <c r="B3218" s="831" t="s">
        <v>7685</v>
      </c>
      <c r="C3218" s="830" t="s">
        <v>89</v>
      </c>
      <c r="D3218" s="832">
        <v>85.14</v>
      </c>
    </row>
    <row r="3219" spans="1:4" x14ac:dyDescent="0.3">
      <c r="A3219" s="830">
        <v>91964</v>
      </c>
      <c r="B3219" s="831" t="s">
        <v>7686</v>
      </c>
      <c r="C3219" s="830" t="s">
        <v>89</v>
      </c>
      <c r="D3219" s="832">
        <v>65.09</v>
      </c>
    </row>
    <row r="3220" spans="1:4" x14ac:dyDescent="0.3">
      <c r="A3220" s="830">
        <v>91965</v>
      </c>
      <c r="B3220" s="831" t="s">
        <v>7687</v>
      </c>
      <c r="C3220" s="830" t="s">
        <v>89</v>
      </c>
      <c r="D3220" s="832">
        <v>77.78</v>
      </c>
    </row>
    <row r="3221" spans="1:4" x14ac:dyDescent="0.3">
      <c r="A3221" s="830">
        <v>91966</v>
      </c>
      <c r="B3221" s="831" t="s">
        <v>7688</v>
      </c>
      <c r="C3221" s="830" t="s">
        <v>89</v>
      </c>
      <c r="D3221" s="832">
        <v>57.78</v>
      </c>
    </row>
    <row r="3222" spans="1:4" x14ac:dyDescent="0.3">
      <c r="A3222" s="830">
        <v>91967</v>
      </c>
      <c r="B3222" s="831" t="s">
        <v>7689</v>
      </c>
      <c r="C3222" s="830" t="s">
        <v>89</v>
      </c>
      <c r="D3222" s="832">
        <v>70.47</v>
      </c>
    </row>
    <row r="3223" spans="1:4" x14ac:dyDescent="0.3">
      <c r="A3223" s="830">
        <v>91968</v>
      </c>
      <c r="B3223" s="831" t="s">
        <v>7690</v>
      </c>
      <c r="C3223" s="830" t="s">
        <v>89</v>
      </c>
      <c r="D3223" s="832">
        <v>79.819999999999993</v>
      </c>
    </row>
    <row r="3224" spans="1:4" x14ac:dyDescent="0.3">
      <c r="A3224" s="830">
        <v>91969</v>
      </c>
      <c r="B3224" s="831" t="s">
        <v>7691</v>
      </c>
      <c r="C3224" s="830" t="s">
        <v>89</v>
      </c>
      <c r="D3224" s="832">
        <v>92.51</v>
      </c>
    </row>
    <row r="3225" spans="1:4" x14ac:dyDescent="0.3">
      <c r="A3225" s="830">
        <v>91970</v>
      </c>
      <c r="B3225" s="831" t="s">
        <v>7692</v>
      </c>
      <c r="C3225" s="830" t="s">
        <v>89</v>
      </c>
      <c r="D3225" s="832">
        <v>83.59</v>
      </c>
    </row>
    <row r="3226" spans="1:4" x14ac:dyDescent="0.3">
      <c r="A3226" s="830">
        <v>91971</v>
      </c>
      <c r="B3226" s="831" t="s">
        <v>7693</v>
      </c>
      <c r="C3226" s="830" t="s">
        <v>89</v>
      </c>
      <c r="D3226" s="832">
        <v>102.45</v>
      </c>
    </row>
    <row r="3227" spans="1:4" x14ac:dyDescent="0.3">
      <c r="A3227" s="830">
        <v>91972</v>
      </c>
      <c r="B3227" s="831" t="s">
        <v>7694</v>
      </c>
      <c r="C3227" s="830" t="s">
        <v>89</v>
      </c>
      <c r="D3227" s="832">
        <v>91</v>
      </c>
    </row>
    <row r="3228" spans="1:4" x14ac:dyDescent="0.3">
      <c r="A3228" s="830">
        <v>91973</v>
      </c>
      <c r="B3228" s="831" t="s">
        <v>7695</v>
      </c>
      <c r="C3228" s="830" t="s">
        <v>89</v>
      </c>
      <c r="D3228" s="832">
        <v>109.86</v>
      </c>
    </row>
    <row r="3229" spans="1:4" x14ac:dyDescent="0.3">
      <c r="A3229" s="830">
        <v>91974</v>
      </c>
      <c r="B3229" s="831" t="s">
        <v>7696</v>
      </c>
      <c r="C3229" s="830" t="s">
        <v>89</v>
      </c>
      <c r="D3229" s="832">
        <v>76.22</v>
      </c>
    </row>
    <row r="3230" spans="1:4" x14ac:dyDescent="0.3">
      <c r="A3230" s="830">
        <v>91975</v>
      </c>
      <c r="B3230" s="831" t="s">
        <v>7697</v>
      </c>
      <c r="C3230" s="830" t="s">
        <v>89</v>
      </c>
      <c r="D3230" s="832">
        <v>95.08</v>
      </c>
    </row>
    <row r="3231" spans="1:4" x14ac:dyDescent="0.3">
      <c r="A3231" s="830">
        <v>91976</v>
      </c>
      <c r="B3231" s="831" t="s">
        <v>7698</v>
      </c>
      <c r="C3231" s="830" t="s">
        <v>89</v>
      </c>
      <c r="D3231" s="832">
        <v>112.49</v>
      </c>
    </row>
    <row r="3232" spans="1:4" x14ac:dyDescent="0.3">
      <c r="A3232" s="830">
        <v>91977</v>
      </c>
      <c r="B3232" s="831" t="s">
        <v>7699</v>
      </c>
      <c r="C3232" s="830" t="s">
        <v>89</v>
      </c>
      <c r="D3232" s="832">
        <v>131.35</v>
      </c>
    </row>
    <row r="3233" spans="1:4" x14ac:dyDescent="0.3">
      <c r="A3233" s="830">
        <v>91978</v>
      </c>
      <c r="B3233" s="831" t="s">
        <v>7700</v>
      </c>
      <c r="C3233" s="830" t="s">
        <v>89</v>
      </c>
      <c r="D3233" s="832">
        <v>46.24</v>
      </c>
    </row>
    <row r="3234" spans="1:4" x14ac:dyDescent="0.3">
      <c r="A3234" s="830">
        <v>91979</v>
      </c>
      <c r="B3234" s="831" t="s">
        <v>7701</v>
      </c>
      <c r="C3234" s="830" t="s">
        <v>89</v>
      </c>
      <c r="D3234" s="832">
        <v>58.93</v>
      </c>
    </row>
    <row r="3235" spans="1:4" x14ac:dyDescent="0.3">
      <c r="A3235" s="830">
        <v>91980</v>
      </c>
      <c r="B3235" s="831" t="s">
        <v>7702</v>
      </c>
      <c r="C3235" s="830" t="s">
        <v>89</v>
      </c>
      <c r="D3235" s="832">
        <v>44.73</v>
      </c>
    </row>
    <row r="3236" spans="1:4" x14ac:dyDescent="0.3">
      <c r="A3236" s="830">
        <v>91981</v>
      </c>
      <c r="B3236" s="831" t="s">
        <v>7703</v>
      </c>
      <c r="C3236" s="830" t="s">
        <v>89</v>
      </c>
      <c r="D3236" s="832">
        <v>57.42</v>
      </c>
    </row>
    <row r="3237" spans="1:4" x14ac:dyDescent="0.3">
      <c r="A3237" s="830">
        <v>91982</v>
      </c>
      <c r="B3237" s="831" t="s">
        <v>7704</v>
      </c>
      <c r="C3237" s="830" t="s">
        <v>89</v>
      </c>
      <c r="D3237" s="832">
        <v>108.31</v>
      </c>
    </row>
    <row r="3238" spans="1:4" x14ac:dyDescent="0.3">
      <c r="A3238" s="830">
        <v>91983</v>
      </c>
      <c r="B3238" s="831" t="s">
        <v>7705</v>
      </c>
      <c r="C3238" s="830" t="s">
        <v>89</v>
      </c>
      <c r="D3238" s="832">
        <v>121</v>
      </c>
    </row>
    <row r="3239" spans="1:4" x14ac:dyDescent="0.3">
      <c r="A3239" s="830">
        <v>91984</v>
      </c>
      <c r="B3239" s="831" t="s">
        <v>7706</v>
      </c>
      <c r="C3239" s="830" t="s">
        <v>89</v>
      </c>
      <c r="D3239" s="832">
        <v>20.18</v>
      </c>
    </row>
    <row r="3240" spans="1:4" x14ac:dyDescent="0.3">
      <c r="A3240" s="830">
        <v>91985</v>
      </c>
      <c r="B3240" s="831" t="s">
        <v>7707</v>
      </c>
      <c r="C3240" s="830" t="s">
        <v>89</v>
      </c>
      <c r="D3240" s="832">
        <v>32.869999999999997</v>
      </c>
    </row>
    <row r="3241" spans="1:4" x14ac:dyDescent="0.3">
      <c r="A3241" s="830">
        <v>91986</v>
      </c>
      <c r="B3241" s="831" t="s">
        <v>7708</v>
      </c>
      <c r="C3241" s="830" t="s">
        <v>89</v>
      </c>
      <c r="D3241" s="832">
        <v>43.19</v>
      </c>
    </row>
    <row r="3242" spans="1:4" x14ac:dyDescent="0.3">
      <c r="A3242" s="830">
        <v>91987</v>
      </c>
      <c r="B3242" s="831" t="s">
        <v>7709</v>
      </c>
      <c r="C3242" s="830" t="s">
        <v>89</v>
      </c>
      <c r="D3242" s="832">
        <v>55.88</v>
      </c>
    </row>
    <row r="3243" spans="1:4" x14ac:dyDescent="0.3">
      <c r="A3243" s="830">
        <v>91988</v>
      </c>
      <c r="B3243" s="831" t="s">
        <v>7710</v>
      </c>
      <c r="C3243" s="830" t="s">
        <v>89</v>
      </c>
      <c r="D3243" s="832">
        <v>25.22</v>
      </c>
    </row>
    <row r="3244" spans="1:4" x14ac:dyDescent="0.3">
      <c r="A3244" s="830">
        <v>91989</v>
      </c>
      <c r="B3244" s="831" t="s">
        <v>7711</v>
      </c>
      <c r="C3244" s="830" t="s">
        <v>89</v>
      </c>
      <c r="D3244" s="832">
        <v>37.909999999999997</v>
      </c>
    </row>
    <row r="3245" spans="1:4" x14ac:dyDescent="0.3">
      <c r="A3245" s="830">
        <v>91990</v>
      </c>
      <c r="B3245" s="831" t="s">
        <v>7712</v>
      </c>
      <c r="C3245" s="830" t="s">
        <v>89</v>
      </c>
      <c r="D3245" s="832">
        <v>38.42</v>
      </c>
    </row>
    <row r="3246" spans="1:4" x14ac:dyDescent="0.3">
      <c r="A3246" s="830">
        <v>91991</v>
      </c>
      <c r="B3246" s="831" t="s">
        <v>7713</v>
      </c>
      <c r="C3246" s="830" t="s">
        <v>89</v>
      </c>
      <c r="D3246" s="832">
        <v>41.14</v>
      </c>
    </row>
    <row r="3247" spans="1:4" x14ac:dyDescent="0.3">
      <c r="A3247" s="830">
        <v>91992</v>
      </c>
      <c r="B3247" s="831" t="s">
        <v>7714</v>
      </c>
      <c r="C3247" s="830" t="s">
        <v>89</v>
      </c>
      <c r="D3247" s="832">
        <v>51.11</v>
      </c>
    </row>
    <row r="3248" spans="1:4" x14ac:dyDescent="0.3">
      <c r="A3248" s="830">
        <v>91993</v>
      </c>
      <c r="B3248" s="831" t="s">
        <v>7715</v>
      </c>
      <c r="C3248" s="830" t="s">
        <v>89</v>
      </c>
      <c r="D3248" s="832">
        <v>53.83</v>
      </c>
    </row>
    <row r="3249" spans="1:4" x14ac:dyDescent="0.3">
      <c r="A3249" s="830">
        <v>91994</v>
      </c>
      <c r="B3249" s="831" t="s">
        <v>7716</v>
      </c>
      <c r="C3249" s="830" t="s">
        <v>89</v>
      </c>
      <c r="D3249" s="832">
        <v>27.53</v>
      </c>
    </row>
    <row r="3250" spans="1:4" x14ac:dyDescent="0.3">
      <c r="A3250" s="830">
        <v>91995</v>
      </c>
      <c r="B3250" s="831" t="s">
        <v>7717</v>
      </c>
      <c r="C3250" s="830" t="s">
        <v>89</v>
      </c>
      <c r="D3250" s="832">
        <v>30.25</v>
      </c>
    </row>
    <row r="3251" spans="1:4" x14ac:dyDescent="0.3">
      <c r="A3251" s="830">
        <v>91996</v>
      </c>
      <c r="B3251" s="831" t="s">
        <v>7718</v>
      </c>
      <c r="C3251" s="830" t="s">
        <v>89</v>
      </c>
      <c r="D3251" s="832">
        <v>40.22</v>
      </c>
    </row>
    <row r="3252" spans="1:4" x14ac:dyDescent="0.3">
      <c r="A3252" s="830">
        <v>91997</v>
      </c>
      <c r="B3252" s="831" t="s">
        <v>7719</v>
      </c>
      <c r="C3252" s="830" t="s">
        <v>89</v>
      </c>
      <c r="D3252" s="832">
        <v>42.94</v>
      </c>
    </row>
    <row r="3253" spans="1:4" x14ac:dyDescent="0.3">
      <c r="A3253" s="830">
        <v>91998</v>
      </c>
      <c r="B3253" s="831" t="s">
        <v>4372</v>
      </c>
      <c r="C3253" s="830" t="s">
        <v>89</v>
      </c>
      <c r="D3253" s="832">
        <v>23.32</v>
      </c>
    </row>
    <row r="3254" spans="1:4" x14ac:dyDescent="0.3">
      <c r="A3254" s="830">
        <v>91999</v>
      </c>
      <c r="B3254" s="831" t="s">
        <v>4373</v>
      </c>
      <c r="C3254" s="830" t="s">
        <v>89</v>
      </c>
      <c r="D3254" s="832">
        <v>26.04</v>
      </c>
    </row>
    <row r="3255" spans="1:4" x14ac:dyDescent="0.3">
      <c r="A3255" s="830">
        <v>92000</v>
      </c>
      <c r="B3255" s="831" t="s">
        <v>4271</v>
      </c>
      <c r="C3255" s="830" t="s">
        <v>89</v>
      </c>
      <c r="D3255" s="832">
        <v>36.01</v>
      </c>
    </row>
    <row r="3256" spans="1:4" x14ac:dyDescent="0.3">
      <c r="A3256" s="830">
        <v>92001</v>
      </c>
      <c r="B3256" s="831" t="s">
        <v>4272</v>
      </c>
      <c r="C3256" s="830" t="s">
        <v>89</v>
      </c>
      <c r="D3256" s="832">
        <v>38.729999999999997</v>
      </c>
    </row>
    <row r="3257" spans="1:4" x14ac:dyDescent="0.3">
      <c r="A3257" s="830">
        <v>92002</v>
      </c>
      <c r="B3257" s="831" t="s">
        <v>7720</v>
      </c>
      <c r="C3257" s="830" t="s">
        <v>89</v>
      </c>
      <c r="D3257" s="832">
        <v>51.58</v>
      </c>
    </row>
    <row r="3258" spans="1:4" x14ac:dyDescent="0.3">
      <c r="A3258" s="830">
        <v>92003</v>
      </c>
      <c r="B3258" s="831" t="s">
        <v>7721</v>
      </c>
      <c r="C3258" s="830" t="s">
        <v>89</v>
      </c>
      <c r="D3258" s="832">
        <v>57.02</v>
      </c>
    </row>
    <row r="3259" spans="1:4" x14ac:dyDescent="0.3">
      <c r="A3259" s="830">
        <v>92004</v>
      </c>
      <c r="B3259" s="831" t="s">
        <v>7722</v>
      </c>
      <c r="C3259" s="830" t="s">
        <v>89</v>
      </c>
      <c r="D3259" s="832">
        <v>64.27</v>
      </c>
    </row>
    <row r="3260" spans="1:4" x14ac:dyDescent="0.3">
      <c r="A3260" s="830">
        <v>92005</v>
      </c>
      <c r="B3260" s="831" t="s">
        <v>7723</v>
      </c>
      <c r="C3260" s="830" t="s">
        <v>89</v>
      </c>
      <c r="D3260" s="832">
        <v>69.709999999999994</v>
      </c>
    </row>
    <row r="3261" spans="1:4" x14ac:dyDescent="0.3">
      <c r="A3261" s="830">
        <v>92006</v>
      </c>
      <c r="B3261" s="831" t="s">
        <v>4374</v>
      </c>
      <c r="C3261" s="830" t="s">
        <v>89</v>
      </c>
      <c r="D3261" s="832">
        <v>43.1</v>
      </c>
    </row>
    <row r="3262" spans="1:4" x14ac:dyDescent="0.3">
      <c r="A3262" s="830">
        <v>92007</v>
      </c>
      <c r="B3262" s="831" t="s">
        <v>7724</v>
      </c>
      <c r="C3262" s="830" t="s">
        <v>89</v>
      </c>
      <c r="D3262" s="832">
        <v>48.54</v>
      </c>
    </row>
    <row r="3263" spans="1:4" x14ac:dyDescent="0.3">
      <c r="A3263" s="830">
        <v>92008</v>
      </c>
      <c r="B3263" s="831" t="s">
        <v>4268</v>
      </c>
      <c r="C3263" s="830" t="s">
        <v>89</v>
      </c>
      <c r="D3263" s="832">
        <v>55.79</v>
      </c>
    </row>
    <row r="3264" spans="1:4" x14ac:dyDescent="0.3">
      <c r="A3264" s="830">
        <v>92009</v>
      </c>
      <c r="B3264" s="831" t="s">
        <v>7725</v>
      </c>
      <c r="C3264" s="830" t="s">
        <v>89</v>
      </c>
      <c r="D3264" s="832">
        <v>61.23</v>
      </c>
    </row>
    <row r="3265" spans="1:4" x14ac:dyDescent="0.3">
      <c r="A3265" s="830">
        <v>92010</v>
      </c>
      <c r="B3265" s="831" t="s">
        <v>7726</v>
      </c>
      <c r="C3265" s="830" t="s">
        <v>89</v>
      </c>
      <c r="D3265" s="832">
        <v>75.59</v>
      </c>
    </row>
    <row r="3266" spans="1:4" x14ac:dyDescent="0.3">
      <c r="A3266" s="830">
        <v>92011</v>
      </c>
      <c r="B3266" s="831" t="s">
        <v>7727</v>
      </c>
      <c r="C3266" s="830" t="s">
        <v>89</v>
      </c>
      <c r="D3266" s="832">
        <v>83.75</v>
      </c>
    </row>
    <row r="3267" spans="1:4" x14ac:dyDescent="0.3">
      <c r="A3267" s="830">
        <v>92012</v>
      </c>
      <c r="B3267" s="831" t="s">
        <v>7728</v>
      </c>
      <c r="C3267" s="830" t="s">
        <v>89</v>
      </c>
      <c r="D3267" s="832">
        <v>88.28</v>
      </c>
    </row>
    <row r="3268" spans="1:4" x14ac:dyDescent="0.3">
      <c r="A3268" s="830">
        <v>92013</v>
      </c>
      <c r="B3268" s="831" t="s">
        <v>7729</v>
      </c>
      <c r="C3268" s="830" t="s">
        <v>89</v>
      </c>
      <c r="D3268" s="832">
        <v>96.44</v>
      </c>
    </row>
    <row r="3269" spans="1:4" x14ac:dyDescent="0.3">
      <c r="A3269" s="830">
        <v>92014</v>
      </c>
      <c r="B3269" s="831" t="s">
        <v>7730</v>
      </c>
      <c r="C3269" s="830" t="s">
        <v>89</v>
      </c>
      <c r="D3269" s="832">
        <v>62.9</v>
      </c>
    </row>
    <row r="3270" spans="1:4" x14ac:dyDescent="0.3">
      <c r="A3270" s="830">
        <v>92015</v>
      </c>
      <c r="B3270" s="831" t="s">
        <v>7731</v>
      </c>
      <c r="C3270" s="830" t="s">
        <v>89</v>
      </c>
      <c r="D3270" s="832">
        <v>71.06</v>
      </c>
    </row>
    <row r="3271" spans="1:4" x14ac:dyDescent="0.3">
      <c r="A3271" s="830">
        <v>92016</v>
      </c>
      <c r="B3271" s="831" t="s">
        <v>7732</v>
      </c>
      <c r="C3271" s="830" t="s">
        <v>89</v>
      </c>
      <c r="D3271" s="832">
        <v>75.59</v>
      </c>
    </row>
    <row r="3272" spans="1:4" x14ac:dyDescent="0.3">
      <c r="A3272" s="830">
        <v>92017</v>
      </c>
      <c r="B3272" s="831" t="s">
        <v>7733</v>
      </c>
      <c r="C3272" s="830" t="s">
        <v>89</v>
      </c>
      <c r="D3272" s="832">
        <v>83.75</v>
      </c>
    </row>
    <row r="3273" spans="1:4" x14ac:dyDescent="0.3">
      <c r="A3273" s="830">
        <v>92018</v>
      </c>
      <c r="B3273" s="831" t="s">
        <v>7734</v>
      </c>
      <c r="C3273" s="830" t="s">
        <v>89</v>
      </c>
      <c r="D3273" s="832">
        <v>83.3</v>
      </c>
    </row>
    <row r="3274" spans="1:4" x14ac:dyDescent="0.3">
      <c r="A3274" s="830">
        <v>92019</v>
      </c>
      <c r="B3274" s="831" t="s">
        <v>7735</v>
      </c>
      <c r="C3274" s="830" t="s">
        <v>89</v>
      </c>
      <c r="D3274" s="832">
        <v>102.16</v>
      </c>
    </row>
    <row r="3275" spans="1:4" x14ac:dyDescent="0.3">
      <c r="A3275" s="830">
        <v>92020</v>
      </c>
      <c r="B3275" s="831" t="s">
        <v>7736</v>
      </c>
      <c r="C3275" s="830" t="s">
        <v>89</v>
      </c>
      <c r="D3275" s="832">
        <v>123.16</v>
      </c>
    </row>
    <row r="3276" spans="1:4" x14ac:dyDescent="0.3">
      <c r="A3276" s="830">
        <v>92021</v>
      </c>
      <c r="B3276" s="831" t="s">
        <v>7737</v>
      </c>
      <c r="C3276" s="830" t="s">
        <v>89</v>
      </c>
      <c r="D3276" s="832">
        <v>142.02000000000001</v>
      </c>
    </row>
    <row r="3277" spans="1:4" x14ac:dyDescent="0.3">
      <c r="A3277" s="830">
        <v>92022</v>
      </c>
      <c r="B3277" s="831" t="s">
        <v>4361</v>
      </c>
      <c r="C3277" s="830" t="s">
        <v>89</v>
      </c>
      <c r="D3277" s="832">
        <v>45.57</v>
      </c>
    </row>
    <row r="3278" spans="1:4" x14ac:dyDescent="0.3">
      <c r="A3278" s="830">
        <v>92023</v>
      </c>
      <c r="B3278" s="831" t="s">
        <v>4266</v>
      </c>
      <c r="C3278" s="830" t="s">
        <v>89</v>
      </c>
      <c r="D3278" s="832">
        <v>58.26</v>
      </c>
    </row>
    <row r="3279" spans="1:4" x14ac:dyDescent="0.3">
      <c r="A3279" s="830">
        <v>92024</v>
      </c>
      <c r="B3279" s="831" t="s">
        <v>7738</v>
      </c>
      <c r="C3279" s="830" t="s">
        <v>89</v>
      </c>
      <c r="D3279" s="832">
        <v>69.63</v>
      </c>
    </row>
    <row r="3280" spans="1:4" x14ac:dyDescent="0.3">
      <c r="A3280" s="830">
        <v>92025</v>
      </c>
      <c r="B3280" s="831" t="s">
        <v>7739</v>
      </c>
      <c r="C3280" s="830" t="s">
        <v>89</v>
      </c>
      <c r="D3280" s="832">
        <v>82.32</v>
      </c>
    </row>
    <row r="3281" spans="1:4" x14ac:dyDescent="0.3">
      <c r="A3281" s="830">
        <v>92026</v>
      </c>
      <c r="B3281" s="831" t="s">
        <v>4362</v>
      </c>
      <c r="C3281" s="830" t="s">
        <v>89</v>
      </c>
      <c r="D3281" s="832">
        <v>63.68</v>
      </c>
    </row>
    <row r="3282" spans="1:4" x14ac:dyDescent="0.3">
      <c r="A3282" s="830">
        <v>92027</v>
      </c>
      <c r="B3282" s="831" t="s">
        <v>4263</v>
      </c>
      <c r="C3282" s="830" t="s">
        <v>89</v>
      </c>
      <c r="D3282" s="832">
        <v>76.37</v>
      </c>
    </row>
    <row r="3283" spans="1:4" x14ac:dyDescent="0.3">
      <c r="A3283" s="830">
        <v>92028</v>
      </c>
      <c r="B3283" s="831" t="s">
        <v>7740</v>
      </c>
      <c r="C3283" s="830" t="s">
        <v>89</v>
      </c>
      <c r="D3283" s="832">
        <v>52.99</v>
      </c>
    </row>
    <row r="3284" spans="1:4" x14ac:dyDescent="0.3">
      <c r="A3284" s="830">
        <v>92029</v>
      </c>
      <c r="B3284" s="831" t="s">
        <v>7741</v>
      </c>
      <c r="C3284" s="830" t="s">
        <v>89</v>
      </c>
      <c r="D3284" s="832">
        <v>65.680000000000007</v>
      </c>
    </row>
    <row r="3285" spans="1:4" x14ac:dyDescent="0.3">
      <c r="A3285" s="830">
        <v>92030</v>
      </c>
      <c r="B3285" s="831" t="s">
        <v>7742</v>
      </c>
      <c r="C3285" s="830" t="s">
        <v>89</v>
      </c>
      <c r="D3285" s="832">
        <v>77</v>
      </c>
    </row>
    <row r="3286" spans="1:4" x14ac:dyDescent="0.3">
      <c r="A3286" s="830">
        <v>92031</v>
      </c>
      <c r="B3286" s="831" t="s">
        <v>7743</v>
      </c>
      <c r="C3286" s="830" t="s">
        <v>89</v>
      </c>
      <c r="D3286" s="832">
        <v>89.69</v>
      </c>
    </row>
    <row r="3287" spans="1:4" x14ac:dyDescent="0.3">
      <c r="A3287" s="830">
        <v>92032</v>
      </c>
      <c r="B3287" s="831" t="s">
        <v>7744</v>
      </c>
      <c r="C3287" s="830" t="s">
        <v>89</v>
      </c>
      <c r="D3287" s="832">
        <v>78.41</v>
      </c>
    </row>
    <row r="3288" spans="1:4" x14ac:dyDescent="0.3">
      <c r="A3288" s="830">
        <v>92033</v>
      </c>
      <c r="B3288" s="831" t="s">
        <v>7745</v>
      </c>
      <c r="C3288" s="830" t="s">
        <v>89</v>
      </c>
      <c r="D3288" s="832">
        <v>91.1</v>
      </c>
    </row>
    <row r="3289" spans="1:4" x14ac:dyDescent="0.3">
      <c r="A3289" s="830">
        <v>92034</v>
      </c>
      <c r="B3289" s="831" t="s">
        <v>7746</v>
      </c>
      <c r="C3289" s="830" t="s">
        <v>89</v>
      </c>
      <c r="D3289" s="832">
        <v>71.040000000000006</v>
      </c>
    </row>
    <row r="3290" spans="1:4" x14ac:dyDescent="0.3">
      <c r="A3290" s="830">
        <v>92035</v>
      </c>
      <c r="B3290" s="831" t="s">
        <v>7747</v>
      </c>
      <c r="C3290" s="830" t="s">
        <v>89</v>
      </c>
      <c r="D3290" s="832">
        <v>83.73</v>
      </c>
    </row>
    <row r="3291" spans="1:4" x14ac:dyDescent="0.3">
      <c r="A3291" s="830">
        <v>97595</v>
      </c>
      <c r="B3291" s="831" t="s">
        <v>7748</v>
      </c>
      <c r="C3291" s="830" t="s">
        <v>89</v>
      </c>
      <c r="D3291" s="832">
        <v>102.93</v>
      </c>
    </row>
    <row r="3292" spans="1:4" x14ac:dyDescent="0.3">
      <c r="A3292" s="830">
        <v>97596</v>
      </c>
      <c r="B3292" s="831" t="s">
        <v>7749</v>
      </c>
      <c r="C3292" s="830" t="s">
        <v>89</v>
      </c>
      <c r="D3292" s="832">
        <v>73.040000000000006</v>
      </c>
    </row>
    <row r="3293" spans="1:4" x14ac:dyDescent="0.3">
      <c r="A3293" s="830">
        <v>97597</v>
      </c>
      <c r="B3293" s="831" t="s">
        <v>7750</v>
      </c>
      <c r="C3293" s="830" t="s">
        <v>89</v>
      </c>
      <c r="D3293" s="832">
        <v>72.58</v>
      </c>
    </row>
    <row r="3294" spans="1:4" x14ac:dyDescent="0.3">
      <c r="A3294" s="830">
        <v>97598</v>
      </c>
      <c r="B3294" s="831" t="s">
        <v>7751</v>
      </c>
      <c r="C3294" s="830" t="s">
        <v>89</v>
      </c>
      <c r="D3294" s="832">
        <v>68.760000000000005</v>
      </c>
    </row>
    <row r="3295" spans="1:4" x14ac:dyDescent="0.3">
      <c r="A3295" s="830">
        <v>97599</v>
      </c>
      <c r="B3295" s="831" t="s">
        <v>7752</v>
      </c>
      <c r="C3295" s="830" t="s">
        <v>89</v>
      </c>
      <c r="D3295" s="832">
        <v>19.43</v>
      </c>
    </row>
    <row r="3296" spans="1:4" x14ac:dyDescent="0.3">
      <c r="A3296" s="830">
        <v>97609</v>
      </c>
      <c r="B3296" s="831" t="s">
        <v>7753</v>
      </c>
      <c r="C3296" s="830" t="s">
        <v>89</v>
      </c>
      <c r="D3296" s="832">
        <v>13.22</v>
      </c>
    </row>
    <row r="3297" spans="1:4" x14ac:dyDescent="0.3">
      <c r="A3297" s="830">
        <v>97610</v>
      </c>
      <c r="B3297" s="831" t="s">
        <v>7754</v>
      </c>
      <c r="C3297" s="830" t="s">
        <v>89</v>
      </c>
      <c r="D3297" s="832">
        <v>13.88</v>
      </c>
    </row>
    <row r="3298" spans="1:4" x14ac:dyDescent="0.3">
      <c r="A3298" s="830">
        <v>100902</v>
      </c>
      <c r="B3298" s="831" t="s">
        <v>7755</v>
      </c>
      <c r="C3298" s="830" t="s">
        <v>89</v>
      </c>
      <c r="D3298" s="832">
        <v>27.38</v>
      </c>
    </row>
    <row r="3299" spans="1:4" x14ac:dyDescent="0.3">
      <c r="A3299" s="830">
        <v>100903</v>
      </c>
      <c r="B3299" s="831" t="s">
        <v>7756</v>
      </c>
      <c r="C3299" s="830" t="s">
        <v>89</v>
      </c>
      <c r="D3299" s="832">
        <v>30.27</v>
      </c>
    </row>
    <row r="3300" spans="1:4" x14ac:dyDescent="0.3">
      <c r="A3300" s="830">
        <v>103782</v>
      </c>
      <c r="B3300" s="831" t="s">
        <v>7757</v>
      </c>
      <c r="C3300" s="830" t="s">
        <v>89</v>
      </c>
      <c r="D3300" s="832">
        <v>30.38</v>
      </c>
    </row>
    <row r="3301" spans="1:4" x14ac:dyDescent="0.3">
      <c r="A3301" s="830">
        <v>105554</v>
      </c>
      <c r="B3301" s="831" t="s">
        <v>7758</v>
      </c>
      <c r="C3301" s="830" t="s">
        <v>89</v>
      </c>
      <c r="D3301" s="832">
        <v>16.04</v>
      </c>
    </row>
    <row r="3302" spans="1:4" x14ac:dyDescent="0.3">
      <c r="A3302" s="830">
        <v>101489</v>
      </c>
      <c r="B3302" s="831" t="s">
        <v>7759</v>
      </c>
      <c r="C3302" s="830" t="s">
        <v>89</v>
      </c>
      <c r="D3302" s="832">
        <v>1704.51</v>
      </c>
    </row>
    <row r="3303" spans="1:4" x14ac:dyDescent="0.3">
      <c r="A3303" s="830">
        <v>101490</v>
      </c>
      <c r="B3303" s="831" t="s">
        <v>7760</v>
      </c>
      <c r="C3303" s="830" t="s">
        <v>89</v>
      </c>
      <c r="D3303" s="832">
        <v>1825.62</v>
      </c>
    </row>
    <row r="3304" spans="1:4" x14ac:dyDescent="0.3">
      <c r="A3304" s="830">
        <v>101491</v>
      </c>
      <c r="B3304" s="831" t="s">
        <v>7761</v>
      </c>
      <c r="C3304" s="830" t="s">
        <v>89</v>
      </c>
      <c r="D3304" s="832">
        <v>1862.36</v>
      </c>
    </row>
    <row r="3305" spans="1:4" x14ac:dyDescent="0.3">
      <c r="A3305" s="830">
        <v>101492</v>
      </c>
      <c r="B3305" s="831" t="s">
        <v>7762</v>
      </c>
      <c r="C3305" s="830" t="s">
        <v>89</v>
      </c>
      <c r="D3305" s="832">
        <v>2039.93</v>
      </c>
    </row>
    <row r="3306" spans="1:4" x14ac:dyDescent="0.3">
      <c r="A3306" s="830">
        <v>101493</v>
      </c>
      <c r="B3306" s="831" t="s">
        <v>7763</v>
      </c>
      <c r="C3306" s="830" t="s">
        <v>89</v>
      </c>
      <c r="D3306" s="832">
        <v>1686.99</v>
      </c>
    </row>
    <row r="3307" spans="1:4" x14ac:dyDescent="0.3">
      <c r="A3307" s="830">
        <v>101494</v>
      </c>
      <c r="B3307" s="831" t="s">
        <v>7764</v>
      </c>
      <c r="C3307" s="830" t="s">
        <v>89</v>
      </c>
      <c r="D3307" s="832">
        <v>1808.1</v>
      </c>
    </row>
    <row r="3308" spans="1:4" x14ac:dyDescent="0.3">
      <c r="A3308" s="830">
        <v>101495</v>
      </c>
      <c r="B3308" s="831" t="s">
        <v>7765</v>
      </c>
      <c r="C3308" s="830" t="s">
        <v>89</v>
      </c>
      <c r="D3308" s="832">
        <v>1844.84</v>
      </c>
    </row>
    <row r="3309" spans="1:4" x14ac:dyDescent="0.3">
      <c r="A3309" s="830">
        <v>101496</v>
      </c>
      <c r="B3309" s="831" t="s">
        <v>7766</v>
      </c>
      <c r="C3309" s="830" t="s">
        <v>89</v>
      </c>
      <c r="D3309" s="832">
        <v>2022.41</v>
      </c>
    </row>
    <row r="3310" spans="1:4" x14ac:dyDescent="0.3">
      <c r="A3310" s="830">
        <v>101497</v>
      </c>
      <c r="B3310" s="831" t="s">
        <v>7767</v>
      </c>
      <c r="C3310" s="830" t="s">
        <v>89</v>
      </c>
      <c r="D3310" s="832">
        <v>2091.92</v>
      </c>
    </row>
    <row r="3311" spans="1:4" x14ac:dyDescent="0.3">
      <c r="A3311" s="830">
        <v>101498</v>
      </c>
      <c r="B3311" s="831" t="s">
        <v>7768</v>
      </c>
      <c r="C3311" s="830" t="s">
        <v>89</v>
      </c>
      <c r="D3311" s="832">
        <v>2275.23</v>
      </c>
    </row>
    <row r="3312" spans="1:4" x14ac:dyDescent="0.3">
      <c r="A3312" s="830">
        <v>101499</v>
      </c>
      <c r="B3312" s="831" t="s">
        <v>7769</v>
      </c>
      <c r="C3312" s="830" t="s">
        <v>89</v>
      </c>
      <c r="D3312" s="832">
        <v>2330.84</v>
      </c>
    </row>
    <row r="3313" spans="1:4" x14ac:dyDescent="0.3">
      <c r="A3313" s="830">
        <v>101500</v>
      </c>
      <c r="B3313" s="831" t="s">
        <v>7770</v>
      </c>
      <c r="C3313" s="830" t="s">
        <v>89</v>
      </c>
      <c r="D3313" s="832">
        <v>2581.75</v>
      </c>
    </row>
    <row r="3314" spans="1:4" x14ac:dyDescent="0.3">
      <c r="A3314" s="830">
        <v>101501</v>
      </c>
      <c r="B3314" s="831" t="s">
        <v>7771</v>
      </c>
      <c r="C3314" s="830" t="s">
        <v>89</v>
      </c>
      <c r="D3314" s="832">
        <v>2083.79</v>
      </c>
    </row>
    <row r="3315" spans="1:4" x14ac:dyDescent="0.3">
      <c r="A3315" s="830">
        <v>101502</v>
      </c>
      <c r="B3315" s="831" t="s">
        <v>7772</v>
      </c>
      <c r="C3315" s="830" t="s">
        <v>89</v>
      </c>
      <c r="D3315" s="832">
        <v>2267.1</v>
      </c>
    </row>
    <row r="3316" spans="1:4" x14ac:dyDescent="0.3">
      <c r="A3316" s="830">
        <v>101503</v>
      </c>
      <c r="B3316" s="831" t="s">
        <v>7773</v>
      </c>
      <c r="C3316" s="830" t="s">
        <v>89</v>
      </c>
      <c r="D3316" s="832">
        <v>2322.71</v>
      </c>
    </row>
    <row r="3317" spans="1:4" x14ac:dyDescent="0.3">
      <c r="A3317" s="830">
        <v>101504</v>
      </c>
      <c r="B3317" s="831" t="s">
        <v>7774</v>
      </c>
      <c r="C3317" s="830" t="s">
        <v>89</v>
      </c>
      <c r="D3317" s="832">
        <v>2573.62</v>
      </c>
    </row>
    <row r="3318" spans="1:4" x14ac:dyDescent="0.3">
      <c r="A3318" s="830">
        <v>101505</v>
      </c>
      <c r="B3318" s="831" t="s">
        <v>7775</v>
      </c>
      <c r="C3318" s="830" t="s">
        <v>89</v>
      </c>
      <c r="D3318" s="832">
        <v>2229.73</v>
      </c>
    </row>
    <row r="3319" spans="1:4" x14ac:dyDescent="0.3">
      <c r="A3319" s="830">
        <v>101506</v>
      </c>
      <c r="B3319" s="831" t="s">
        <v>7776</v>
      </c>
      <c r="C3319" s="830" t="s">
        <v>89</v>
      </c>
      <c r="D3319" s="832">
        <v>2474.15</v>
      </c>
    </row>
    <row r="3320" spans="1:4" x14ac:dyDescent="0.3">
      <c r="A3320" s="830">
        <v>101507</v>
      </c>
      <c r="B3320" s="831" t="s">
        <v>7777</v>
      </c>
      <c r="C3320" s="830" t="s">
        <v>89</v>
      </c>
      <c r="D3320" s="832">
        <v>2548.3000000000002</v>
      </c>
    </row>
    <row r="3321" spans="1:4" x14ac:dyDescent="0.3">
      <c r="A3321" s="830">
        <v>101508</v>
      </c>
      <c r="B3321" s="831" t="s">
        <v>7778</v>
      </c>
      <c r="C3321" s="830" t="s">
        <v>89</v>
      </c>
      <c r="D3321" s="832">
        <v>2871.25</v>
      </c>
    </row>
    <row r="3322" spans="1:4" x14ac:dyDescent="0.3">
      <c r="A3322" s="830">
        <v>101509</v>
      </c>
      <c r="B3322" s="831" t="s">
        <v>7779</v>
      </c>
      <c r="C3322" s="830" t="s">
        <v>89</v>
      </c>
      <c r="D3322" s="832">
        <v>2085.81</v>
      </c>
    </row>
    <row r="3323" spans="1:4" x14ac:dyDescent="0.3">
      <c r="A3323" s="830">
        <v>101510</v>
      </c>
      <c r="B3323" s="831" t="s">
        <v>7780</v>
      </c>
      <c r="C3323" s="830" t="s">
        <v>89</v>
      </c>
      <c r="D3323" s="832">
        <v>2330.23</v>
      </c>
    </row>
    <row r="3324" spans="1:4" x14ac:dyDescent="0.3">
      <c r="A3324" s="830">
        <v>101511</v>
      </c>
      <c r="B3324" s="831" t="s">
        <v>7781</v>
      </c>
      <c r="C3324" s="830" t="s">
        <v>89</v>
      </c>
      <c r="D3324" s="832">
        <v>2404.38</v>
      </c>
    </row>
    <row r="3325" spans="1:4" x14ac:dyDescent="0.3">
      <c r="A3325" s="830">
        <v>101512</v>
      </c>
      <c r="B3325" s="831" t="s">
        <v>7782</v>
      </c>
      <c r="C3325" s="830" t="s">
        <v>89</v>
      </c>
      <c r="D3325" s="832">
        <v>2727.33</v>
      </c>
    </row>
    <row r="3326" spans="1:4" x14ac:dyDescent="0.3">
      <c r="A3326" s="830">
        <v>101513</v>
      </c>
      <c r="B3326" s="831" t="s">
        <v>7783</v>
      </c>
      <c r="C3326" s="830" t="s">
        <v>89</v>
      </c>
      <c r="D3326" s="832">
        <v>944.25</v>
      </c>
    </row>
    <row r="3327" spans="1:4" x14ac:dyDescent="0.3">
      <c r="A3327" s="830">
        <v>101514</v>
      </c>
      <c r="B3327" s="831" t="s">
        <v>7784</v>
      </c>
      <c r="C3327" s="830" t="s">
        <v>89</v>
      </c>
      <c r="D3327" s="832">
        <v>1089.58</v>
      </c>
    </row>
    <row r="3328" spans="1:4" x14ac:dyDescent="0.3">
      <c r="A3328" s="830">
        <v>101515</v>
      </c>
      <c r="B3328" s="831" t="s">
        <v>7785</v>
      </c>
      <c r="C3328" s="830" t="s">
        <v>89</v>
      </c>
      <c r="D3328" s="832">
        <v>1133.67</v>
      </c>
    </row>
    <row r="3329" spans="1:4" x14ac:dyDescent="0.3">
      <c r="A3329" s="830">
        <v>101516</v>
      </c>
      <c r="B3329" s="831" t="s">
        <v>7786</v>
      </c>
      <c r="C3329" s="830" t="s">
        <v>89</v>
      </c>
      <c r="D3329" s="832">
        <v>1305.01</v>
      </c>
    </row>
    <row r="3330" spans="1:4" x14ac:dyDescent="0.3">
      <c r="A3330" s="830">
        <v>101517</v>
      </c>
      <c r="B3330" s="831" t="s">
        <v>7787</v>
      </c>
      <c r="C3330" s="830" t="s">
        <v>89</v>
      </c>
      <c r="D3330" s="832">
        <v>926.74</v>
      </c>
    </row>
    <row r="3331" spans="1:4" x14ac:dyDescent="0.3">
      <c r="A3331" s="830">
        <v>101518</v>
      </c>
      <c r="B3331" s="831" t="s">
        <v>7788</v>
      </c>
      <c r="C3331" s="830" t="s">
        <v>89</v>
      </c>
      <c r="D3331" s="832">
        <v>1072.07</v>
      </c>
    </row>
    <row r="3332" spans="1:4" x14ac:dyDescent="0.3">
      <c r="A3332" s="830">
        <v>101519</v>
      </c>
      <c r="B3332" s="831" t="s">
        <v>7789</v>
      </c>
      <c r="C3332" s="830" t="s">
        <v>89</v>
      </c>
      <c r="D3332" s="832">
        <v>1116.1600000000001</v>
      </c>
    </row>
    <row r="3333" spans="1:4" x14ac:dyDescent="0.3">
      <c r="A3333" s="830">
        <v>101520</v>
      </c>
      <c r="B3333" s="831" t="s">
        <v>7790</v>
      </c>
      <c r="C3333" s="830" t="s">
        <v>89</v>
      </c>
      <c r="D3333" s="832">
        <v>1287.5</v>
      </c>
    </row>
    <row r="3334" spans="1:4" x14ac:dyDescent="0.3">
      <c r="A3334" s="830">
        <v>101521</v>
      </c>
      <c r="B3334" s="831" t="s">
        <v>7791</v>
      </c>
      <c r="C3334" s="830" t="s">
        <v>89</v>
      </c>
      <c r="D3334" s="832">
        <v>1349.98</v>
      </c>
    </row>
    <row r="3335" spans="1:4" x14ac:dyDescent="0.3">
      <c r="A3335" s="830">
        <v>101522</v>
      </c>
      <c r="B3335" s="831" t="s">
        <v>7792</v>
      </c>
      <c r="C3335" s="830" t="s">
        <v>89</v>
      </c>
      <c r="D3335" s="832">
        <v>1567.98</v>
      </c>
    </row>
    <row r="3336" spans="1:4" x14ac:dyDescent="0.3">
      <c r="A3336" s="830">
        <v>101523</v>
      </c>
      <c r="B3336" s="831" t="s">
        <v>7793</v>
      </c>
      <c r="C3336" s="830" t="s">
        <v>89</v>
      </c>
      <c r="D3336" s="832">
        <v>1634.11</v>
      </c>
    </row>
    <row r="3337" spans="1:4" x14ac:dyDescent="0.3">
      <c r="A3337" s="830">
        <v>101524</v>
      </c>
      <c r="B3337" s="831" t="s">
        <v>7794</v>
      </c>
      <c r="C3337" s="830" t="s">
        <v>89</v>
      </c>
      <c r="D3337" s="832">
        <v>1891.11</v>
      </c>
    </row>
    <row r="3338" spans="1:4" x14ac:dyDescent="0.3">
      <c r="A3338" s="830">
        <v>101525</v>
      </c>
      <c r="B3338" s="831" t="s">
        <v>7795</v>
      </c>
      <c r="C3338" s="830" t="s">
        <v>89</v>
      </c>
      <c r="D3338" s="832">
        <v>1341.87</v>
      </c>
    </row>
    <row r="3339" spans="1:4" x14ac:dyDescent="0.3">
      <c r="A3339" s="830">
        <v>101526</v>
      </c>
      <c r="B3339" s="831" t="s">
        <v>7796</v>
      </c>
      <c r="C3339" s="830" t="s">
        <v>89</v>
      </c>
      <c r="D3339" s="832">
        <v>1559.87</v>
      </c>
    </row>
    <row r="3340" spans="1:4" x14ac:dyDescent="0.3">
      <c r="A3340" s="830">
        <v>101527</v>
      </c>
      <c r="B3340" s="831" t="s">
        <v>7797</v>
      </c>
      <c r="C3340" s="830" t="s">
        <v>89</v>
      </c>
      <c r="D3340" s="832">
        <v>1626</v>
      </c>
    </row>
    <row r="3341" spans="1:4" x14ac:dyDescent="0.3">
      <c r="A3341" s="830">
        <v>101528</v>
      </c>
      <c r="B3341" s="831" t="s">
        <v>7798</v>
      </c>
      <c r="C3341" s="830" t="s">
        <v>89</v>
      </c>
      <c r="D3341" s="832">
        <v>1883</v>
      </c>
    </row>
    <row r="3342" spans="1:4" x14ac:dyDescent="0.3">
      <c r="A3342" s="830">
        <v>101529</v>
      </c>
      <c r="B3342" s="831" t="s">
        <v>7799</v>
      </c>
      <c r="C3342" s="830" t="s">
        <v>89</v>
      </c>
      <c r="D3342" s="832">
        <v>1508.04</v>
      </c>
    </row>
    <row r="3343" spans="1:4" x14ac:dyDescent="0.3">
      <c r="A3343" s="830">
        <v>101530</v>
      </c>
      <c r="B3343" s="831" t="s">
        <v>7800</v>
      </c>
      <c r="C3343" s="830" t="s">
        <v>89</v>
      </c>
      <c r="D3343" s="832">
        <v>1798.7</v>
      </c>
    </row>
    <row r="3344" spans="1:4" x14ac:dyDescent="0.3">
      <c r="A3344" s="830">
        <v>101531</v>
      </c>
      <c r="B3344" s="831" t="s">
        <v>7801</v>
      </c>
      <c r="C3344" s="830" t="s">
        <v>89</v>
      </c>
      <c r="D3344" s="832">
        <v>1886.88</v>
      </c>
    </row>
    <row r="3345" spans="1:4" x14ac:dyDescent="0.3">
      <c r="A3345" s="830">
        <v>101532</v>
      </c>
      <c r="B3345" s="831" t="s">
        <v>7802</v>
      </c>
      <c r="C3345" s="830" t="s">
        <v>89</v>
      </c>
      <c r="D3345" s="832">
        <v>2229.5500000000002</v>
      </c>
    </row>
    <row r="3346" spans="1:4" x14ac:dyDescent="0.3">
      <c r="A3346" s="830">
        <v>101533</v>
      </c>
      <c r="B3346" s="831" t="s">
        <v>7803</v>
      </c>
      <c r="C3346" s="830" t="s">
        <v>89</v>
      </c>
      <c r="D3346" s="832">
        <v>1364.14</v>
      </c>
    </row>
    <row r="3347" spans="1:4" x14ac:dyDescent="0.3">
      <c r="A3347" s="830">
        <v>101534</v>
      </c>
      <c r="B3347" s="831" t="s">
        <v>7804</v>
      </c>
      <c r="C3347" s="830" t="s">
        <v>89</v>
      </c>
      <c r="D3347" s="832">
        <v>1654.8</v>
      </c>
    </row>
    <row r="3348" spans="1:4" x14ac:dyDescent="0.3">
      <c r="A3348" s="830">
        <v>101535</v>
      </c>
      <c r="B3348" s="831" t="s">
        <v>7805</v>
      </c>
      <c r="C3348" s="830" t="s">
        <v>89</v>
      </c>
      <c r="D3348" s="832">
        <v>1742.98</v>
      </c>
    </row>
    <row r="3349" spans="1:4" x14ac:dyDescent="0.3">
      <c r="A3349" s="830">
        <v>101536</v>
      </c>
      <c r="B3349" s="831" t="s">
        <v>7806</v>
      </c>
      <c r="C3349" s="830" t="s">
        <v>89</v>
      </c>
      <c r="D3349" s="832">
        <v>2085.65</v>
      </c>
    </row>
    <row r="3350" spans="1:4" x14ac:dyDescent="0.3">
      <c r="A3350" s="830">
        <v>101537</v>
      </c>
      <c r="B3350" s="831" t="s">
        <v>7807</v>
      </c>
      <c r="C3350" s="830" t="s">
        <v>89</v>
      </c>
      <c r="D3350" s="832">
        <v>100.74</v>
      </c>
    </row>
    <row r="3351" spans="1:4" x14ac:dyDescent="0.3">
      <c r="A3351" s="830">
        <v>101538</v>
      </c>
      <c r="B3351" s="831" t="s">
        <v>7808</v>
      </c>
      <c r="C3351" s="830" t="s">
        <v>89</v>
      </c>
      <c r="D3351" s="832">
        <v>65.36</v>
      </c>
    </row>
    <row r="3352" spans="1:4" x14ac:dyDescent="0.3">
      <c r="A3352" s="830">
        <v>101539</v>
      </c>
      <c r="B3352" s="831" t="s">
        <v>7809</v>
      </c>
      <c r="C3352" s="830" t="s">
        <v>89</v>
      </c>
      <c r="D3352" s="832">
        <v>105.81</v>
      </c>
    </row>
    <row r="3353" spans="1:4" x14ac:dyDescent="0.3">
      <c r="A3353" s="830">
        <v>101540</v>
      </c>
      <c r="B3353" s="831" t="s">
        <v>7810</v>
      </c>
      <c r="C3353" s="830" t="s">
        <v>89</v>
      </c>
      <c r="D3353" s="832">
        <v>180.88</v>
      </c>
    </row>
    <row r="3354" spans="1:4" x14ac:dyDescent="0.3">
      <c r="A3354" s="830">
        <v>101541</v>
      </c>
      <c r="B3354" s="831" t="s">
        <v>7811</v>
      </c>
      <c r="C3354" s="830" t="s">
        <v>89</v>
      </c>
      <c r="D3354" s="832">
        <v>235.35</v>
      </c>
    </row>
    <row r="3355" spans="1:4" x14ac:dyDescent="0.3">
      <c r="A3355" s="830">
        <v>101542</v>
      </c>
      <c r="B3355" s="831" t="s">
        <v>7812</v>
      </c>
      <c r="C3355" s="830" t="s">
        <v>89</v>
      </c>
      <c r="D3355" s="832">
        <v>48.65</v>
      </c>
    </row>
    <row r="3356" spans="1:4" x14ac:dyDescent="0.3">
      <c r="A3356" s="830">
        <v>101543</v>
      </c>
      <c r="B3356" s="831" t="s">
        <v>7813</v>
      </c>
      <c r="C3356" s="830" t="s">
        <v>89</v>
      </c>
      <c r="D3356" s="832">
        <v>85.25</v>
      </c>
    </row>
    <row r="3357" spans="1:4" x14ac:dyDescent="0.3">
      <c r="A3357" s="830">
        <v>101544</v>
      </c>
      <c r="B3357" s="831" t="s">
        <v>7814</v>
      </c>
      <c r="C3357" s="830" t="s">
        <v>89</v>
      </c>
      <c r="D3357" s="832">
        <v>137.49</v>
      </c>
    </row>
    <row r="3358" spans="1:4" x14ac:dyDescent="0.3">
      <c r="A3358" s="830">
        <v>101545</v>
      </c>
      <c r="B3358" s="831" t="s">
        <v>7815</v>
      </c>
      <c r="C3358" s="830" t="s">
        <v>89</v>
      </c>
      <c r="D3358" s="832">
        <v>201.48</v>
      </c>
    </row>
    <row r="3359" spans="1:4" x14ac:dyDescent="0.3">
      <c r="A3359" s="830">
        <v>101546</v>
      </c>
      <c r="B3359" s="831" t="s">
        <v>7816</v>
      </c>
      <c r="C3359" s="830" t="s">
        <v>89</v>
      </c>
      <c r="D3359" s="832">
        <v>26.01</v>
      </c>
    </row>
    <row r="3360" spans="1:4" x14ac:dyDescent="0.3">
      <c r="A3360" s="830">
        <v>101547</v>
      </c>
      <c r="B3360" s="831" t="s">
        <v>7817</v>
      </c>
      <c r="C3360" s="830" t="s">
        <v>89</v>
      </c>
      <c r="D3360" s="832">
        <v>80.209999999999994</v>
      </c>
    </row>
    <row r="3361" spans="1:4" x14ac:dyDescent="0.3">
      <c r="A3361" s="830">
        <v>101548</v>
      </c>
      <c r="B3361" s="831" t="s">
        <v>7818</v>
      </c>
      <c r="C3361" s="830" t="s">
        <v>89</v>
      </c>
      <c r="D3361" s="832">
        <v>6.89</v>
      </c>
    </row>
    <row r="3362" spans="1:4" x14ac:dyDescent="0.3">
      <c r="A3362" s="830">
        <v>101549</v>
      </c>
      <c r="B3362" s="831" t="s">
        <v>7819</v>
      </c>
      <c r="C3362" s="830" t="s">
        <v>89</v>
      </c>
      <c r="D3362" s="832">
        <v>18.510000000000002</v>
      </c>
    </row>
    <row r="3363" spans="1:4" x14ac:dyDescent="0.3">
      <c r="A3363" s="830">
        <v>101553</v>
      </c>
      <c r="B3363" s="831" t="s">
        <v>7820</v>
      </c>
      <c r="C3363" s="830" t="s">
        <v>89</v>
      </c>
      <c r="D3363" s="832">
        <v>23.18</v>
      </c>
    </row>
    <row r="3364" spans="1:4" x14ac:dyDescent="0.3">
      <c r="A3364" s="830">
        <v>101554</v>
      </c>
      <c r="B3364" s="831" t="s">
        <v>7821</v>
      </c>
      <c r="C3364" s="830" t="s">
        <v>89</v>
      </c>
      <c r="D3364" s="832">
        <v>16.12</v>
      </c>
    </row>
    <row r="3365" spans="1:4" x14ac:dyDescent="0.3">
      <c r="A3365" s="830">
        <v>101555</v>
      </c>
      <c r="B3365" s="831" t="s">
        <v>7822</v>
      </c>
      <c r="C3365" s="830" t="s">
        <v>89</v>
      </c>
      <c r="D3365" s="832">
        <v>9.67</v>
      </c>
    </row>
    <row r="3366" spans="1:4" x14ac:dyDescent="0.3">
      <c r="A3366" s="830">
        <v>101556</v>
      </c>
      <c r="B3366" s="831" t="s">
        <v>7823</v>
      </c>
      <c r="C3366" s="830" t="s">
        <v>89</v>
      </c>
      <c r="D3366" s="832">
        <v>8.65</v>
      </c>
    </row>
    <row r="3367" spans="1:4" x14ac:dyDescent="0.3">
      <c r="A3367" s="830">
        <v>101560</v>
      </c>
      <c r="B3367" s="831" t="s">
        <v>7824</v>
      </c>
      <c r="C3367" s="830" t="s">
        <v>194</v>
      </c>
      <c r="D3367" s="832">
        <v>12.62</v>
      </c>
    </row>
    <row r="3368" spans="1:4" x14ac:dyDescent="0.3">
      <c r="A3368" s="830">
        <v>101561</v>
      </c>
      <c r="B3368" s="831" t="s">
        <v>7825</v>
      </c>
      <c r="C3368" s="830" t="s">
        <v>194</v>
      </c>
      <c r="D3368" s="832">
        <v>20.04</v>
      </c>
    </row>
    <row r="3369" spans="1:4" x14ac:dyDescent="0.3">
      <c r="A3369" s="830">
        <v>101562</v>
      </c>
      <c r="B3369" s="831" t="s">
        <v>7826</v>
      </c>
      <c r="C3369" s="830" t="s">
        <v>194</v>
      </c>
      <c r="D3369" s="832">
        <v>31.03</v>
      </c>
    </row>
    <row r="3370" spans="1:4" x14ac:dyDescent="0.3">
      <c r="A3370" s="830">
        <v>101563</v>
      </c>
      <c r="B3370" s="831" t="s">
        <v>7827</v>
      </c>
      <c r="C3370" s="830" t="s">
        <v>194</v>
      </c>
      <c r="D3370" s="832">
        <v>43.81</v>
      </c>
    </row>
    <row r="3371" spans="1:4" x14ac:dyDescent="0.3">
      <c r="A3371" s="830">
        <v>101564</v>
      </c>
      <c r="B3371" s="831" t="s">
        <v>7828</v>
      </c>
      <c r="C3371" s="830" t="s">
        <v>194</v>
      </c>
      <c r="D3371" s="832">
        <v>64.75</v>
      </c>
    </row>
    <row r="3372" spans="1:4" x14ac:dyDescent="0.3">
      <c r="A3372" s="830">
        <v>101565</v>
      </c>
      <c r="B3372" s="831" t="s">
        <v>7829</v>
      </c>
      <c r="C3372" s="830" t="s">
        <v>194</v>
      </c>
      <c r="D3372" s="832">
        <v>90.55</v>
      </c>
    </row>
    <row r="3373" spans="1:4" x14ac:dyDescent="0.3">
      <c r="A3373" s="830">
        <v>101567</v>
      </c>
      <c r="B3373" s="831" t="s">
        <v>7830</v>
      </c>
      <c r="C3373" s="830" t="s">
        <v>194</v>
      </c>
      <c r="D3373" s="832">
        <v>117.55</v>
      </c>
    </row>
    <row r="3374" spans="1:4" x14ac:dyDescent="0.3">
      <c r="A3374" s="830">
        <v>101568</v>
      </c>
      <c r="B3374" s="831" t="s">
        <v>7831</v>
      </c>
      <c r="C3374" s="830" t="s">
        <v>194</v>
      </c>
      <c r="D3374" s="832">
        <v>153.69999999999999</v>
      </c>
    </row>
    <row r="3375" spans="1:4" x14ac:dyDescent="0.3">
      <c r="A3375" s="830">
        <v>101630</v>
      </c>
      <c r="B3375" s="831" t="s">
        <v>7832</v>
      </c>
      <c r="C3375" s="830" t="s">
        <v>89</v>
      </c>
      <c r="D3375" s="832">
        <v>81.41</v>
      </c>
    </row>
    <row r="3376" spans="1:4" x14ac:dyDescent="0.3">
      <c r="A3376" s="830">
        <v>101632</v>
      </c>
      <c r="B3376" s="831" t="s">
        <v>7833</v>
      </c>
      <c r="C3376" s="830" t="s">
        <v>89</v>
      </c>
      <c r="D3376" s="832">
        <v>36.479999999999997</v>
      </c>
    </row>
    <row r="3377" spans="1:4" x14ac:dyDescent="0.3">
      <c r="A3377" s="830">
        <v>101633</v>
      </c>
      <c r="B3377" s="831" t="s">
        <v>7834</v>
      </c>
      <c r="C3377" s="830" t="s">
        <v>89</v>
      </c>
      <c r="D3377" s="832">
        <v>103.25</v>
      </c>
    </row>
    <row r="3378" spans="1:4" x14ac:dyDescent="0.3">
      <c r="A3378" s="830">
        <v>101636</v>
      </c>
      <c r="B3378" s="831" t="s">
        <v>7835</v>
      </c>
      <c r="C3378" s="830" t="s">
        <v>89</v>
      </c>
      <c r="D3378" s="832">
        <v>159.05000000000001</v>
      </c>
    </row>
    <row r="3379" spans="1:4" x14ac:dyDescent="0.3">
      <c r="A3379" s="830">
        <v>101637</v>
      </c>
      <c r="B3379" s="831" t="s">
        <v>7836</v>
      </c>
      <c r="C3379" s="830" t="s">
        <v>89</v>
      </c>
      <c r="D3379" s="832">
        <v>152.47</v>
      </c>
    </row>
    <row r="3380" spans="1:4" x14ac:dyDescent="0.3">
      <c r="A3380" s="830">
        <v>101651</v>
      </c>
      <c r="B3380" s="831" t="s">
        <v>7837</v>
      </c>
      <c r="C3380" s="830" t="s">
        <v>89</v>
      </c>
      <c r="D3380" s="832">
        <v>69.09</v>
      </c>
    </row>
    <row r="3381" spans="1:4" x14ac:dyDescent="0.3">
      <c r="A3381" s="830">
        <v>101653</v>
      </c>
      <c r="B3381" s="831" t="s">
        <v>7838</v>
      </c>
      <c r="C3381" s="830" t="s">
        <v>89</v>
      </c>
      <c r="D3381" s="832">
        <v>288.2</v>
      </c>
    </row>
    <row r="3382" spans="1:4" x14ac:dyDescent="0.3">
      <c r="A3382" s="830">
        <v>101654</v>
      </c>
      <c r="B3382" s="831" t="s">
        <v>7839</v>
      </c>
      <c r="C3382" s="830" t="s">
        <v>89</v>
      </c>
      <c r="D3382" s="832">
        <v>207.83</v>
      </c>
    </row>
    <row r="3383" spans="1:4" x14ac:dyDescent="0.3">
      <c r="A3383" s="830">
        <v>101655</v>
      </c>
      <c r="B3383" s="831" t="s">
        <v>7840</v>
      </c>
      <c r="C3383" s="830" t="s">
        <v>89</v>
      </c>
      <c r="D3383" s="832">
        <v>316.52</v>
      </c>
    </row>
    <row r="3384" spans="1:4" x14ac:dyDescent="0.3">
      <c r="A3384" s="830">
        <v>101656</v>
      </c>
      <c r="B3384" s="831" t="s">
        <v>7841</v>
      </c>
      <c r="C3384" s="830" t="s">
        <v>89</v>
      </c>
      <c r="D3384" s="832">
        <v>341.9</v>
      </c>
    </row>
    <row r="3385" spans="1:4" x14ac:dyDescent="0.3">
      <c r="A3385" s="830">
        <v>101657</v>
      </c>
      <c r="B3385" s="831" t="s">
        <v>7842</v>
      </c>
      <c r="C3385" s="830" t="s">
        <v>89</v>
      </c>
      <c r="D3385" s="832">
        <v>395.96</v>
      </c>
    </row>
    <row r="3386" spans="1:4" x14ac:dyDescent="0.3">
      <c r="A3386" s="830">
        <v>101658</v>
      </c>
      <c r="B3386" s="831" t="s">
        <v>7843</v>
      </c>
      <c r="C3386" s="830" t="s">
        <v>89</v>
      </c>
      <c r="D3386" s="832">
        <v>507.12</v>
      </c>
    </row>
    <row r="3387" spans="1:4" x14ac:dyDescent="0.3">
      <c r="A3387" s="830">
        <v>101659</v>
      </c>
      <c r="B3387" s="831" t="s">
        <v>7844</v>
      </c>
      <c r="C3387" s="830" t="s">
        <v>89</v>
      </c>
      <c r="D3387" s="832">
        <v>576.26</v>
      </c>
    </row>
    <row r="3388" spans="1:4" x14ac:dyDescent="0.3">
      <c r="A3388" s="830">
        <v>101660</v>
      </c>
      <c r="B3388" s="831" t="s">
        <v>7845</v>
      </c>
      <c r="C3388" s="830" t="s">
        <v>89</v>
      </c>
      <c r="D3388" s="832">
        <v>902.63</v>
      </c>
    </row>
    <row r="3389" spans="1:4" x14ac:dyDescent="0.3">
      <c r="A3389" s="830">
        <v>101661</v>
      </c>
      <c r="B3389" s="831" t="s">
        <v>7846</v>
      </c>
      <c r="C3389" s="830" t="s">
        <v>89</v>
      </c>
      <c r="D3389" s="832">
        <v>124.7</v>
      </c>
    </row>
    <row r="3390" spans="1:4" x14ac:dyDescent="0.3">
      <c r="A3390" s="830">
        <v>101663</v>
      </c>
      <c r="B3390" s="831" t="s">
        <v>7847</v>
      </c>
      <c r="C3390" s="830" t="s">
        <v>89</v>
      </c>
      <c r="D3390" s="832">
        <v>29.03</v>
      </c>
    </row>
    <row r="3391" spans="1:4" x14ac:dyDescent="0.3">
      <c r="A3391" s="830">
        <v>101664</v>
      </c>
      <c r="B3391" s="831" t="s">
        <v>7848</v>
      </c>
      <c r="C3391" s="830" t="s">
        <v>89</v>
      </c>
      <c r="D3391" s="832">
        <v>30.26</v>
      </c>
    </row>
    <row r="3392" spans="1:4" x14ac:dyDescent="0.3">
      <c r="A3392" s="830">
        <v>101665</v>
      </c>
      <c r="B3392" s="831" t="s">
        <v>7849</v>
      </c>
      <c r="C3392" s="830" t="s">
        <v>89</v>
      </c>
      <c r="D3392" s="832">
        <v>35.53</v>
      </c>
    </row>
    <row r="3393" spans="1:4" x14ac:dyDescent="0.3">
      <c r="A3393" s="830">
        <v>100578</v>
      </c>
      <c r="B3393" s="831" t="s">
        <v>7850</v>
      </c>
      <c r="C3393" s="830" t="s">
        <v>89</v>
      </c>
      <c r="D3393" s="832">
        <v>590.83000000000004</v>
      </c>
    </row>
    <row r="3394" spans="1:4" x14ac:dyDescent="0.3">
      <c r="A3394" s="830">
        <v>100579</v>
      </c>
      <c r="B3394" s="831" t="s">
        <v>7851</v>
      </c>
      <c r="C3394" s="830" t="s">
        <v>89</v>
      </c>
      <c r="D3394" s="832">
        <v>648.89</v>
      </c>
    </row>
    <row r="3395" spans="1:4" x14ac:dyDescent="0.3">
      <c r="A3395" s="830">
        <v>100580</v>
      </c>
      <c r="B3395" s="831" t="s">
        <v>7852</v>
      </c>
      <c r="C3395" s="830" t="s">
        <v>89</v>
      </c>
      <c r="D3395" s="832">
        <v>703.18</v>
      </c>
    </row>
    <row r="3396" spans="1:4" x14ac:dyDescent="0.3">
      <c r="A3396" s="830">
        <v>100581</v>
      </c>
      <c r="B3396" s="831" t="s">
        <v>7853</v>
      </c>
      <c r="C3396" s="830" t="s">
        <v>89</v>
      </c>
      <c r="D3396" s="832">
        <v>677.68</v>
      </c>
    </row>
    <row r="3397" spans="1:4" x14ac:dyDescent="0.3">
      <c r="A3397" s="830">
        <v>100582</v>
      </c>
      <c r="B3397" s="831" t="s">
        <v>7854</v>
      </c>
      <c r="C3397" s="830" t="s">
        <v>89</v>
      </c>
      <c r="D3397" s="832">
        <v>775.56</v>
      </c>
    </row>
    <row r="3398" spans="1:4" x14ac:dyDescent="0.3">
      <c r="A3398" s="830">
        <v>100583</v>
      </c>
      <c r="B3398" s="831" t="s">
        <v>7855</v>
      </c>
      <c r="C3398" s="830" t="s">
        <v>89</v>
      </c>
      <c r="D3398" s="832">
        <v>708.25</v>
      </c>
    </row>
    <row r="3399" spans="1:4" x14ac:dyDescent="0.3">
      <c r="A3399" s="830">
        <v>100584</v>
      </c>
      <c r="B3399" s="831" t="s">
        <v>7856</v>
      </c>
      <c r="C3399" s="830" t="s">
        <v>89</v>
      </c>
      <c r="D3399" s="832">
        <v>767.11</v>
      </c>
    </row>
    <row r="3400" spans="1:4" x14ac:dyDescent="0.3">
      <c r="A3400" s="830">
        <v>100585</v>
      </c>
      <c r="B3400" s="831" t="s">
        <v>7857</v>
      </c>
      <c r="C3400" s="830" t="s">
        <v>89</v>
      </c>
      <c r="D3400" s="832">
        <v>767.9</v>
      </c>
    </row>
    <row r="3401" spans="1:4" x14ac:dyDescent="0.3">
      <c r="A3401" s="830">
        <v>100586</v>
      </c>
      <c r="B3401" s="831" t="s">
        <v>7858</v>
      </c>
      <c r="C3401" s="830" t="s">
        <v>89</v>
      </c>
      <c r="D3401" s="832">
        <v>861.67</v>
      </c>
    </row>
    <row r="3402" spans="1:4" x14ac:dyDescent="0.3">
      <c r="A3402" s="830">
        <v>100587</v>
      </c>
      <c r="B3402" s="831" t="s">
        <v>7859</v>
      </c>
      <c r="C3402" s="830" t="s">
        <v>89</v>
      </c>
      <c r="D3402" s="832">
        <v>829.39</v>
      </c>
    </row>
    <row r="3403" spans="1:4" x14ac:dyDescent="0.3">
      <c r="A3403" s="830">
        <v>100588</v>
      </c>
      <c r="B3403" s="831" t="s">
        <v>7860</v>
      </c>
      <c r="C3403" s="830" t="s">
        <v>89</v>
      </c>
      <c r="D3403" s="832">
        <v>902.28</v>
      </c>
    </row>
    <row r="3404" spans="1:4" x14ac:dyDescent="0.3">
      <c r="A3404" s="830">
        <v>100589</v>
      </c>
      <c r="B3404" s="831" t="s">
        <v>7861</v>
      </c>
      <c r="C3404" s="830" t="s">
        <v>89</v>
      </c>
      <c r="D3404" s="832">
        <v>910.71</v>
      </c>
    </row>
    <row r="3405" spans="1:4" x14ac:dyDescent="0.3">
      <c r="A3405" s="830">
        <v>100590</v>
      </c>
      <c r="B3405" s="831" t="s">
        <v>7862</v>
      </c>
      <c r="C3405" s="830" t="s">
        <v>89</v>
      </c>
      <c r="D3405" s="832">
        <v>982.76</v>
      </c>
    </row>
    <row r="3406" spans="1:4" x14ac:dyDescent="0.3">
      <c r="A3406" s="830">
        <v>100591</v>
      </c>
      <c r="B3406" s="831" t="s">
        <v>7863</v>
      </c>
      <c r="C3406" s="830" t="s">
        <v>89</v>
      </c>
      <c r="D3406" s="832">
        <v>909.98</v>
      </c>
    </row>
    <row r="3407" spans="1:4" x14ac:dyDescent="0.3">
      <c r="A3407" s="830">
        <v>100592</v>
      </c>
      <c r="B3407" s="831" t="s">
        <v>7864</v>
      </c>
      <c r="C3407" s="830" t="s">
        <v>89</v>
      </c>
      <c r="D3407" s="832">
        <v>969.7</v>
      </c>
    </row>
    <row r="3408" spans="1:4" x14ac:dyDescent="0.3">
      <c r="A3408" s="830">
        <v>100593</v>
      </c>
      <c r="B3408" s="831" t="s">
        <v>7865</v>
      </c>
      <c r="C3408" s="830" t="s">
        <v>89</v>
      </c>
      <c r="D3408" s="832">
        <v>974.75</v>
      </c>
    </row>
    <row r="3409" spans="1:4" x14ac:dyDescent="0.3">
      <c r="A3409" s="830">
        <v>100594</v>
      </c>
      <c r="B3409" s="831" t="s">
        <v>7866</v>
      </c>
      <c r="C3409" s="830" t="s">
        <v>89</v>
      </c>
      <c r="D3409" s="832">
        <v>1075.97</v>
      </c>
    </row>
    <row r="3410" spans="1:4" x14ac:dyDescent="0.3">
      <c r="A3410" s="830">
        <v>100595</v>
      </c>
      <c r="B3410" s="831" t="s">
        <v>7867</v>
      </c>
      <c r="C3410" s="830" t="s">
        <v>89</v>
      </c>
      <c r="D3410" s="832">
        <v>1169.05</v>
      </c>
    </row>
    <row r="3411" spans="1:4" x14ac:dyDescent="0.3">
      <c r="A3411" s="830">
        <v>100596</v>
      </c>
      <c r="B3411" s="831" t="s">
        <v>7868</v>
      </c>
      <c r="C3411" s="830" t="s">
        <v>89</v>
      </c>
      <c r="D3411" s="832">
        <v>1305.5899999999999</v>
      </c>
    </row>
    <row r="3412" spans="1:4" x14ac:dyDescent="0.3">
      <c r="A3412" s="830">
        <v>100597</v>
      </c>
      <c r="B3412" s="831" t="s">
        <v>7869</v>
      </c>
      <c r="C3412" s="830" t="s">
        <v>89</v>
      </c>
      <c r="D3412" s="832">
        <v>1345.02</v>
      </c>
    </row>
    <row r="3413" spans="1:4" x14ac:dyDescent="0.3">
      <c r="A3413" s="830">
        <v>100598</v>
      </c>
      <c r="B3413" s="831" t="s">
        <v>7870</v>
      </c>
      <c r="C3413" s="830" t="s">
        <v>89</v>
      </c>
      <c r="D3413" s="832">
        <v>1457.6</v>
      </c>
    </row>
    <row r="3414" spans="1:4" x14ac:dyDescent="0.3">
      <c r="A3414" s="830">
        <v>100599</v>
      </c>
      <c r="B3414" s="831" t="s">
        <v>7871</v>
      </c>
      <c r="C3414" s="830" t="s">
        <v>89</v>
      </c>
      <c r="D3414" s="832">
        <v>624.87</v>
      </c>
    </row>
    <row r="3415" spans="1:4" x14ac:dyDescent="0.3">
      <c r="A3415" s="830">
        <v>100600</v>
      </c>
      <c r="B3415" s="831" t="s">
        <v>7872</v>
      </c>
      <c r="C3415" s="830" t="s">
        <v>89</v>
      </c>
      <c r="D3415" s="832">
        <v>738.94</v>
      </c>
    </row>
    <row r="3416" spans="1:4" x14ac:dyDescent="0.3">
      <c r="A3416" s="830">
        <v>100601</v>
      </c>
      <c r="B3416" s="831" t="s">
        <v>7873</v>
      </c>
      <c r="C3416" s="830" t="s">
        <v>89</v>
      </c>
      <c r="D3416" s="832">
        <v>936.35</v>
      </c>
    </row>
    <row r="3417" spans="1:4" x14ac:dyDescent="0.3">
      <c r="A3417" s="830">
        <v>100602</v>
      </c>
      <c r="B3417" s="831" t="s">
        <v>7874</v>
      </c>
      <c r="C3417" s="830" t="s">
        <v>89</v>
      </c>
      <c r="D3417" s="832">
        <v>1182.55</v>
      </c>
    </row>
    <row r="3418" spans="1:4" x14ac:dyDescent="0.3">
      <c r="A3418" s="830">
        <v>100603</v>
      </c>
      <c r="B3418" s="831" t="s">
        <v>7875</v>
      </c>
      <c r="C3418" s="830" t="s">
        <v>89</v>
      </c>
      <c r="D3418" s="832">
        <v>1814.14</v>
      </c>
    </row>
    <row r="3419" spans="1:4" x14ac:dyDescent="0.3">
      <c r="A3419" s="830">
        <v>100604</v>
      </c>
      <c r="B3419" s="831" t="s">
        <v>7876</v>
      </c>
      <c r="C3419" s="830" t="s">
        <v>89</v>
      </c>
      <c r="D3419" s="832">
        <v>785.12</v>
      </c>
    </row>
    <row r="3420" spans="1:4" x14ac:dyDescent="0.3">
      <c r="A3420" s="830">
        <v>100605</v>
      </c>
      <c r="B3420" s="831" t="s">
        <v>7877</v>
      </c>
      <c r="C3420" s="830" t="s">
        <v>89</v>
      </c>
      <c r="D3420" s="832">
        <v>1238.53</v>
      </c>
    </row>
    <row r="3421" spans="1:4" x14ac:dyDescent="0.3">
      <c r="A3421" s="830">
        <v>100606</v>
      </c>
      <c r="B3421" s="831" t="s">
        <v>7878</v>
      </c>
      <c r="C3421" s="830" t="s">
        <v>89</v>
      </c>
      <c r="D3421" s="832">
        <v>1882.73</v>
      </c>
    </row>
    <row r="3422" spans="1:4" x14ac:dyDescent="0.3">
      <c r="A3422" s="830">
        <v>100607</v>
      </c>
      <c r="B3422" s="831" t="s">
        <v>7879</v>
      </c>
      <c r="C3422" s="830" t="s">
        <v>89</v>
      </c>
      <c r="D3422" s="832">
        <v>807.09</v>
      </c>
    </row>
    <row r="3423" spans="1:4" x14ac:dyDescent="0.3">
      <c r="A3423" s="830">
        <v>100608</v>
      </c>
      <c r="B3423" s="831" t="s">
        <v>7880</v>
      </c>
      <c r="C3423" s="830" t="s">
        <v>89</v>
      </c>
      <c r="D3423" s="832">
        <v>1266.17</v>
      </c>
    </row>
    <row r="3424" spans="1:4" x14ac:dyDescent="0.3">
      <c r="A3424" s="830">
        <v>100609</v>
      </c>
      <c r="B3424" s="831" t="s">
        <v>7881</v>
      </c>
      <c r="C3424" s="830" t="s">
        <v>89</v>
      </c>
      <c r="D3424" s="832">
        <v>1919.17</v>
      </c>
    </row>
    <row r="3425" spans="1:4" x14ac:dyDescent="0.3">
      <c r="A3425" s="830">
        <v>100610</v>
      </c>
      <c r="B3425" s="831" t="s">
        <v>7882</v>
      </c>
      <c r="C3425" s="830" t="s">
        <v>89</v>
      </c>
      <c r="D3425" s="832">
        <v>828.97</v>
      </c>
    </row>
    <row r="3426" spans="1:4" x14ac:dyDescent="0.3">
      <c r="A3426" s="830">
        <v>100611</v>
      </c>
      <c r="B3426" s="831" t="s">
        <v>7883</v>
      </c>
      <c r="C3426" s="830" t="s">
        <v>89</v>
      </c>
      <c r="D3426" s="832">
        <v>1035.04</v>
      </c>
    </row>
    <row r="3427" spans="1:4" x14ac:dyDescent="0.3">
      <c r="A3427" s="830">
        <v>100612</v>
      </c>
      <c r="B3427" s="831" t="s">
        <v>7884</v>
      </c>
      <c r="C3427" s="830" t="s">
        <v>89</v>
      </c>
      <c r="D3427" s="832">
        <v>1293.26</v>
      </c>
    </row>
    <row r="3428" spans="1:4" x14ac:dyDescent="0.3">
      <c r="A3428" s="830">
        <v>100613</v>
      </c>
      <c r="B3428" s="831" t="s">
        <v>7885</v>
      </c>
      <c r="C3428" s="830" t="s">
        <v>89</v>
      </c>
      <c r="D3428" s="832">
        <v>1954.75</v>
      </c>
    </row>
    <row r="3429" spans="1:4" x14ac:dyDescent="0.3">
      <c r="A3429" s="830">
        <v>100614</v>
      </c>
      <c r="B3429" s="831" t="s">
        <v>7886</v>
      </c>
      <c r="C3429" s="830" t="s">
        <v>89</v>
      </c>
      <c r="D3429" s="832">
        <v>1083.53</v>
      </c>
    </row>
    <row r="3430" spans="1:4" x14ac:dyDescent="0.3">
      <c r="A3430" s="830">
        <v>100615</v>
      </c>
      <c r="B3430" s="831" t="s">
        <v>7887</v>
      </c>
      <c r="C3430" s="830" t="s">
        <v>89</v>
      </c>
      <c r="D3430" s="832">
        <v>1346.97</v>
      </c>
    </row>
    <row r="3431" spans="1:4" x14ac:dyDescent="0.3">
      <c r="A3431" s="830">
        <v>100616</v>
      </c>
      <c r="B3431" s="831" t="s">
        <v>7888</v>
      </c>
      <c r="C3431" s="830" t="s">
        <v>89</v>
      </c>
      <c r="D3431" s="832">
        <v>2029.1</v>
      </c>
    </row>
    <row r="3432" spans="1:4" x14ac:dyDescent="0.3">
      <c r="A3432" s="830">
        <v>100617</v>
      </c>
      <c r="B3432" s="831" t="s">
        <v>7889</v>
      </c>
      <c r="C3432" s="830" t="s">
        <v>89</v>
      </c>
      <c r="D3432" s="832">
        <v>1400.38</v>
      </c>
    </row>
    <row r="3433" spans="1:4" x14ac:dyDescent="0.3">
      <c r="A3433" s="830">
        <v>100618</v>
      </c>
      <c r="B3433" s="831" t="s">
        <v>7890</v>
      </c>
      <c r="C3433" s="830" t="s">
        <v>89</v>
      </c>
      <c r="D3433" s="832">
        <v>2112.0300000000002</v>
      </c>
    </row>
    <row r="3434" spans="1:4" x14ac:dyDescent="0.3">
      <c r="A3434" s="830">
        <v>100619</v>
      </c>
      <c r="B3434" s="831" t="s">
        <v>7891</v>
      </c>
      <c r="C3434" s="830" t="s">
        <v>89</v>
      </c>
      <c r="D3434" s="832">
        <v>598.47</v>
      </c>
    </row>
    <row r="3435" spans="1:4" x14ac:dyDescent="0.3">
      <c r="A3435" s="830">
        <v>100620</v>
      </c>
      <c r="B3435" s="831" t="s">
        <v>7892</v>
      </c>
      <c r="C3435" s="830" t="s">
        <v>89</v>
      </c>
      <c r="D3435" s="832">
        <v>2755.21</v>
      </c>
    </row>
    <row r="3436" spans="1:4" x14ac:dyDescent="0.3">
      <c r="A3436" s="830">
        <v>100621</v>
      </c>
      <c r="B3436" s="831" t="s">
        <v>7893</v>
      </c>
      <c r="C3436" s="830" t="s">
        <v>89</v>
      </c>
      <c r="D3436" s="832">
        <v>3190.18</v>
      </c>
    </row>
    <row r="3437" spans="1:4" x14ac:dyDescent="0.3">
      <c r="A3437" s="830">
        <v>100622</v>
      </c>
      <c r="B3437" s="831" t="s">
        <v>7894</v>
      </c>
      <c r="C3437" s="830" t="s">
        <v>89</v>
      </c>
      <c r="D3437" s="832">
        <v>2444.9899999999998</v>
      </c>
    </row>
    <row r="3438" spans="1:4" x14ac:dyDescent="0.3">
      <c r="A3438" s="830">
        <v>100623</v>
      </c>
      <c r="B3438" s="831" t="s">
        <v>7895</v>
      </c>
      <c r="C3438" s="830" t="s">
        <v>89</v>
      </c>
      <c r="D3438" s="832">
        <v>2626.57</v>
      </c>
    </row>
    <row r="3439" spans="1:4" x14ac:dyDescent="0.3">
      <c r="A3439" s="830">
        <v>97605</v>
      </c>
      <c r="B3439" s="831" t="s">
        <v>7896</v>
      </c>
      <c r="C3439" s="830" t="s">
        <v>89</v>
      </c>
      <c r="D3439" s="832">
        <v>84.62</v>
      </c>
    </row>
    <row r="3440" spans="1:4" x14ac:dyDescent="0.3">
      <c r="A3440" s="830">
        <v>97607</v>
      </c>
      <c r="B3440" s="831" t="s">
        <v>7897</v>
      </c>
      <c r="C3440" s="830" t="s">
        <v>89</v>
      </c>
      <c r="D3440" s="832">
        <v>107.71</v>
      </c>
    </row>
    <row r="3441" spans="1:4" x14ac:dyDescent="0.3">
      <c r="A3441" s="830">
        <v>102102</v>
      </c>
      <c r="B3441" s="831" t="s">
        <v>7898</v>
      </c>
      <c r="C3441" s="830" t="s">
        <v>89</v>
      </c>
      <c r="D3441" s="832">
        <v>11359.62</v>
      </c>
    </row>
    <row r="3442" spans="1:4" x14ac:dyDescent="0.3">
      <c r="A3442" s="830">
        <v>102103</v>
      </c>
      <c r="B3442" s="831" t="s">
        <v>7899</v>
      </c>
      <c r="C3442" s="830" t="s">
        <v>89</v>
      </c>
      <c r="D3442" s="832">
        <v>12639.99</v>
      </c>
    </row>
    <row r="3443" spans="1:4" x14ac:dyDescent="0.3">
      <c r="A3443" s="830">
        <v>102104</v>
      </c>
      <c r="B3443" s="831" t="s">
        <v>7900</v>
      </c>
      <c r="C3443" s="830" t="s">
        <v>89</v>
      </c>
      <c r="D3443" s="832">
        <v>16209.84</v>
      </c>
    </row>
    <row r="3444" spans="1:4" x14ac:dyDescent="0.3">
      <c r="A3444" s="830">
        <v>102105</v>
      </c>
      <c r="B3444" s="831" t="s">
        <v>7901</v>
      </c>
      <c r="C3444" s="830" t="s">
        <v>89</v>
      </c>
      <c r="D3444" s="832">
        <v>19919.02</v>
      </c>
    </row>
    <row r="3445" spans="1:4" x14ac:dyDescent="0.3">
      <c r="A3445" s="830">
        <v>102106</v>
      </c>
      <c r="B3445" s="831" t="s">
        <v>7902</v>
      </c>
      <c r="C3445" s="830" t="s">
        <v>89</v>
      </c>
      <c r="D3445" s="832">
        <v>24981.47</v>
      </c>
    </row>
    <row r="3446" spans="1:4" x14ac:dyDescent="0.3">
      <c r="A3446" s="830">
        <v>102107</v>
      </c>
      <c r="B3446" s="831" t="s">
        <v>7903</v>
      </c>
      <c r="C3446" s="830" t="s">
        <v>89</v>
      </c>
      <c r="D3446" s="832">
        <v>34852.379999999997</v>
      </c>
    </row>
    <row r="3447" spans="1:4" x14ac:dyDescent="0.3">
      <c r="A3447" s="830">
        <v>102108</v>
      </c>
      <c r="B3447" s="831" t="s">
        <v>7904</v>
      </c>
      <c r="C3447" s="830" t="s">
        <v>89</v>
      </c>
      <c r="D3447" s="832">
        <v>40583.1</v>
      </c>
    </row>
    <row r="3448" spans="1:4" x14ac:dyDescent="0.3">
      <c r="A3448" s="830">
        <v>102109</v>
      </c>
      <c r="B3448" s="831" t="s">
        <v>7905</v>
      </c>
      <c r="C3448" s="830" t="s">
        <v>89</v>
      </c>
      <c r="D3448" s="832">
        <v>85.2</v>
      </c>
    </row>
    <row r="3449" spans="1:4" x14ac:dyDescent="0.3">
      <c r="A3449" s="830">
        <v>102110</v>
      </c>
      <c r="B3449" s="831" t="s">
        <v>7906</v>
      </c>
      <c r="C3449" s="830" t="s">
        <v>89</v>
      </c>
      <c r="D3449" s="832">
        <v>287.85000000000002</v>
      </c>
    </row>
    <row r="3450" spans="1:4" x14ac:dyDescent="0.3">
      <c r="A3450" s="830">
        <v>103654</v>
      </c>
      <c r="B3450" s="831" t="s">
        <v>7907</v>
      </c>
      <c r="C3450" s="830" t="s">
        <v>89</v>
      </c>
      <c r="D3450" s="832">
        <v>65729.289999999994</v>
      </c>
    </row>
    <row r="3451" spans="1:4" x14ac:dyDescent="0.3">
      <c r="A3451" s="830">
        <v>103655</v>
      </c>
      <c r="B3451" s="831" t="s">
        <v>7908</v>
      </c>
      <c r="C3451" s="830" t="s">
        <v>89</v>
      </c>
      <c r="D3451" s="832">
        <v>90034.559999999998</v>
      </c>
    </row>
    <row r="3452" spans="1:4" x14ac:dyDescent="0.3">
      <c r="A3452" s="830">
        <v>103656</v>
      </c>
      <c r="B3452" s="831" t="s">
        <v>7909</v>
      </c>
      <c r="C3452" s="830" t="s">
        <v>89</v>
      </c>
      <c r="D3452" s="832">
        <v>125872.19</v>
      </c>
    </row>
    <row r="3453" spans="1:4" x14ac:dyDescent="0.3">
      <c r="A3453" s="830">
        <v>96973</v>
      </c>
      <c r="B3453" s="831" t="s">
        <v>7910</v>
      </c>
      <c r="C3453" s="830" t="s">
        <v>194</v>
      </c>
      <c r="D3453" s="832">
        <v>79.569999999999993</v>
      </c>
    </row>
    <row r="3454" spans="1:4" x14ac:dyDescent="0.3">
      <c r="A3454" s="830">
        <v>96974</v>
      </c>
      <c r="B3454" s="831" t="s">
        <v>7911</v>
      </c>
      <c r="C3454" s="830" t="s">
        <v>194</v>
      </c>
      <c r="D3454" s="832">
        <v>103.98</v>
      </c>
    </row>
    <row r="3455" spans="1:4" x14ac:dyDescent="0.3">
      <c r="A3455" s="830">
        <v>96975</v>
      </c>
      <c r="B3455" s="831" t="s">
        <v>7912</v>
      </c>
      <c r="C3455" s="830" t="s">
        <v>194</v>
      </c>
      <c r="D3455" s="832">
        <v>129.72999999999999</v>
      </c>
    </row>
    <row r="3456" spans="1:4" x14ac:dyDescent="0.3">
      <c r="A3456" s="830">
        <v>96976</v>
      </c>
      <c r="B3456" s="831" t="s">
        <v>7913</v>
      </c>
      <c r="C3456" s="830" t="s">
        <v>194</v>
      </c>
      <c r="D3456" s="832">
        <v>172.87</v>
      </c>
    </row>
    <row r="3457" spans="1:4" x14ac:dyDescent="0.3">
      <c r="A3457" s="830">
        <v>96977</v>
      </c>
      <c r="B3457" s="831" t="s">
        <v>7914</v>
      </c>
      <c r="C3457" s="830" t="s">
        <v>194</v>
      </c>
      <c r="D3457" s="832">
        <v>70.48</v>
      </c>
    </row>
    <row r="3458" spans="1:4" x14ac:dyDescent="0.3">
      <c r="A3458" s="830">
        <v>96978</v>
      </c>
      <c r="B3458" s="831" t="s">
        <v>7915</v>
      </c>
      <c r="C3458" s="830" t="s">
        <v>194</v>
      </c>
      <c r="D3458" s="832">
        <v>92.89</v>
      </c>
    </row>
    <row r="3459" spans="1:4" x14ac:dyDescent="0.3">
      <c r="A3459" s="830">
        <v>96979</v>
      </c>
      <c r="B3459" s="831" t="s">
        <v>7916</v>
      </c>
      <c r="C3459" s="830" t="s">
        <v>194</v>
      </c>
      <c r="D3459" s="832">
        <v>132.99</v>
      </c>
    </row>
    <row r="3460" spans="1:4" x14ac:dyDescent="0.3">
      <c r="A3460" s="830">
        <v>96984</v>
      </c>
      <c r="B3460" s="831" t="s">
        <v>7917</v>
      </c>
      <c r="C3460" s="830" t="s">
        <v>89</v>
      </c>
      <c r="D3460" s="832">
        <v>64.75</v>
      </c>
    </row>
    <row r="3461" spans="1:4" x14ac:dyDescent="0.3">
      <c r="A3461" s="830">
        <v>96985</v>
      </c>
      <c r="B3461" s="831" t="s">
        <v>4269</v>
      </c>
      <c r="C3461" s="830" t="s">
        <v>89</v>
      </c>
      <c r="D3461" s="832">
        <v>73.819999999999993</v>
      </c>
    </row>
    <row r="3462" spans="1:4" x14ac:dyDescent="0.3">
      <c r="A3462" s="830">
        <v>96986</v>
      </c>
      <c r="B3462" s="831" t="s">
        <v>7918</v>
      </c>
      <c r="C3462" s="830" t="s">
        <v>89</v>
      </c>
      <c r="D3462" s="832">
        <v>110.37</v>
      </c>
    </row>
    <row r="3463" spans="1:4" x14ac:dyDescent="0.3">
      <c r="A3463" s="830">
        <v>96987</v>
      </c>
      <c r="B3463" s="831" t="s">
        <v>7919</v>
      </c>
      <c r="C3463" s="830" t="s">
        <v>89</v>
      </c>
      <c r="D3463" s="832">
        <v>119.31</v>
      </c>
    </row>
    <row r="3464" spans="1:4" x14ac:dyDescent="0.3">
      <c r="A3464" s="830">
        <v>96988</v>
      </c>
      <c r="B3464" s="831" t="s">
        <v>7920</v>
      </c>
      <c r="C3464" s="830" t="s">
        <v>89</v>
      </c>
      <c r="D3464" s="832">
        <v>135.34</v>
      </c>
    </row>
    <row r="3465" spans="1:4" x14ac:dyDescent="0.3">
      <c r="A3465" s="830">
        <v>96989</v>
      </c>
      <c r="B3465" s="831" t="s">
        <v>7921</v>
      </c>
      <c r="C3465" s="830" t="s">
        <v>89</v>
      </c>
      <c r="D3465" s="832">
        <v>113.23</v>
      </c>
    </row>
    <row r="3466" spans="1:4" x14ac:dyDescent="0.3">
      <c r="A3466" s="830">
        <v>98463</v>
      </c>
      <c r="B3466" s="831" t="s">
        <v>7922</v>
      </c>
      <c r="C3466" s="830" t="s">
        <v>89</v>
      </c>
      <c r="D3466" s="832">
        <v>26.18</v>
      </c>
    </row>
    <row r="3467" spans="1:4" x14ac:dyDescent="0.3">
      <c r="A3467" s="830">
        <v>104746</v>
      </c>
      <c r="B3467" s="831" t="s">
        <v>7923</v>
      </c>
      <c r="C3467" s="830" t="s">
        <v>89</v>
      </c>
      <c r="D3467" s="832">
        <v>25.89</v>
      </c>
    </row>
    <row r="3468" spans="1:4" x14ac:dyDescent="0.3">
      <c r="A3468" s="830">
        <v>104749</v>
      </c>
      <c r="B3468" s="831" t="s">
        <v>7924</v>
      </c>
      <c r="C3468" s="830" t="s">
        <v>89</v>
      </c>
      <c r="D3468" s="832">
        <v>19.61</v>
      </c>
    </row>
    <row r="3469" spans="1:4" x14ac:dyDescent="0.3">
      <c r="A3469" s="830">
        <v>104750</v>
      </c>
      <c r="B3469" s="831" t="s">
        <v>7925</v>
      </c>
      <c r="C3469" s="830" t="s">
        <v>89</v>
      </c>
      <c r="D3469" s="832">
        <v>16.13</v>
      </c>
    </row>
    <row r="3470" spans="1:4" x14ac:dyDescent="0.3">
      <c r="A3470" s="830">
        <v>104751</v>
      </c>
      <c r="B3470" s="831" t="s">
        <v>7926</v>
      </c>
      <c r="C3470" s="830" t="s">
        <v>89</v>
      </c>
      <c r="D3470" s="832">
        <v>22.11</v>
      </c>
    </row>
    <row r="3471" spans="1:4" x14ac:dyDescent="0.3">
      <c r="A3471" s="830">
        <v>104752</v>
      </c>
      <c r="B3471" s="831" t="s">
        <v>7927</v>
      </c>
      <c r="C3471" s="830" t="s">
        <v>89</v>
      </c>
      <c r="D3471" s="832">
        <v>21.08</v>
      </c>
    </row>
    <row r="3472" spans="1:4" x14ac:dyDescent="0.3">
      <c r="A3472" s="830">
        <v>104753</v>
      </c>
      <c r="B3472" s="831" t="s">
        <v>7928</v>
      </c>
      <c r="C3472" s="830" t="s">
        <v>89</v>
      </c>
      <c r="D3472" s="832">
        <v>25.36</v>
      </c>
    </row>
    <row r="3473" spans="1:4" x14ac:dyDescent="0.3">
      <c r="A3473" s="830">
        <v>104754</v>
      </c>
      <c r="B3473" s="831" t="s">
        <v>7929</v>
      </c>
      <c r="C3473" s="830" t="s">
        <v>89</v>
      </c>
      <c r="D3473" s="832">
        <v>32.700000000000003</v>
      </c>
    </row>
    <row r="3474" spans="1:4" x14ac:dyDescent="0.3">
      <c r="A3474" s="830">
        <v>104755</v>
      </c>
      <c r="B3474" s="831" t="s">
        <v>7930</v>
      </c>
      <c r="C3474" s="830" t="s">
        <v>89</v>
      </c>
      <c r="D3474" s="832">
        <v>44.09</v>
      </c>
    </row>
    <row r="3475" spans="1:4" x14ac:dyDescent="0.3">
      <c r="A3475" s="830">
        <v>103490</v>
      </c>
      <c r="B3475" s="831" t="s">
        <v>7931</v>
      </c>
      <c r="C3475" s="830" t="s">
        <v>5247</v>
      </c>
      <c r="D3475" s="832">
        <v>3396.47</v>
      </c>
    </row>
    <row r="3476" spans="1:4" x14ac:dyDescent="0.3">
      <c r="A3476" s="830">
        <v>103491</v>
      </c>
      <c r="B3476" s="831" t="s">
        <v>7932</v>
      </c>
      <c r="C3476" s="830" t="s">
        <v>5247</v>
      </c>
      <c r="D3476" s="832">
        <v>715.88</v>
      </c>
    </row>
    <row r="3477" spans="1:4" x14ac:dyDescent="0.3">
      <c r="A3477" s="830">
        <v>104758</v>
      </c>
      <c r="B3477" s="831" t="s">
        <v>7933</v>
      </c>
      <c r="C3477" s="830" t="s">
        <v>89</v>
      </c>
      <c r="D3477" s="832">
        <v>16.78</v>
      </c>
    </row>
    <row r="3478" spans="1:4" x14ac:dyDescent="0.3">
      <c r="A3478" s="830">
        <v>104759</v>
      </c>
      <c r="B3478" s="831" t="s">
        <v>7934</v>
      </c>
      <c r="C3478" s="830" t="s">
        <v>89</v>
      </c>
      <c r="D3478" s="832">
        <v>44.74</v>
      </c>
    </row>
    <row r="3479" spans="1:4" x14ac:dyDescent="0.3">
      <c r="A3479" s="830">
        <v>104760</v>
      </c>
      <c r="B3479" s="831" t="s">
        <v>7935</v>
      </c>
      <c r="C3479" s="830" t="s">
        <v>89</v>
      </c>
      <c r="D3479" s="832">
        <v>65.34</v>
      </c>
    </row>
    <row r="3480" spans="1:4" x14ac:dyDescent="0.3">
      <c r="A3480" s="830">
        <v>104761</v>
      </c>
      <c r="B3480" s="831" t="s">
        <v>7936</v>
      </c>
      <c r="C3480" s="830" t="s">
        <v>89</v>
      </c>
      <c r="D3480" s="832">
        <v>10.039999999999999</v>
      </c>
    </row>
    <row r="3481" spans="1:4" x14ac:dyDescent="0.3">
      <c r="A3481" s="830">
        <v>104762</v>
      </c>
      <c r="B3481" s="831" t="s">
        <v>7937</v>
      </c>
      <c r="C3481" s="830" t="s">
        <v>89</v>
      </c>
      <c r="D3481" s="832">
        <v>26.77</v>
      </c>
    </row>
    <row r="3482" spans="1:4" x14ac:dyDescent="0.3">
      <c r="A3482" s="830">
        <v>104763</v>
      </c>
      <c r="B3482" s="831" t="s">
        <v>7938</v>
      </c>
      <c r="C3482" s="830" t="s">
        <v>89</v>
      </c>
      <c r="D3482" s="832">
        <v>39.1</v>
      </c>
    </row>
    <row r="3483" spans="1:4" x14ac:dyDescent="0.3">
      <c r="A3483" s="830">
        <v>104764</v>
      </c>
      <c r="B3483" s="831" t="s">
        <v>7939</v>
      </c>
      <c r="C3483" s="830" t="s">
        <v>194</v>
      </c>
      <c r="D3483" s="832">
        <v>21.55</v>
      </c>
    </row>
    <row r="3484" spans="1:4" x14ac:dyDescent="0.3">
      <c r="A3484" s="830">
        <v>104765</v>
      </c>
      <c r="B3484" s="831" t="s">
        <v>7940</v>
      </c>
      <c r="C3484" s="830" t="s">
        <v>194</v>
      </c>
      <c r="D3484" s="832">
        <v>17.579999999999998</v>
      </c>
    </row>
    <row r="3485" spans="1:4" x14ac:dyDescent="0.3">
      <c r="A3485" s="830">
        <v>104766</v>
      </c>
      <c r="B3485" s="831" t="s">
        <v>7941</v>
      </c>
      <c r="C3485" s="830" t="s">
        <v>194</v>
      </c>
      <c r="D3485" s="832">
        <v>17.22</v>
      </c>
    </row>
    <row r="3486" spans="1:4" x14ac:dyDescent="0.3">
      <c r="A3486" s="830">
        <v>104768</v>
      </c>
      <c r="B3486" s="831" t="s">
        <v>7942</v>
      </c>
      <c r="C3486" s="830" t="s">
        <v>89</v>
      </c>
      <c r="D3486" s="832">
        <v>0.7</v>
      </c>
    </row>
    <row r="3487" spans="1:4" x14ac:dyDescent="0.3">
      <c r="A3487" s="830">
        <v>104770</v>
      </c>
      <c r="B3487" s="831" t="s">
        <v>7943</v>
      </c>
      <c r="C3487" s="830" t="s">
        <v>89</v>
      </c>
      <c r="D3487" s="832">
        <v>1.89</v>
      </c>
    </row>
    <row r="3488" spans="1:4" x14ac:dyDescent="0.3">
      <c r="A3488" s="830">
        <v>104772</v>
      </c>
      <c r="B3488" s="831" t="s">
        <v>7944</v>
      </c>
      <c r="C3488" s="830" t="s">
        <v>89</v>
      </c>
      <c r="D3488" s="832">
        <v>2.77</v>
      </c>
    </row>
    <row r="3489" spans="1:4" x14ac:dyDescent="0.3">
      <c r="A3489" s="830">
        <v>104774</v>
      </c>
      <c r="B3489" s="831" t="s">
        <v>7945</v>
      </c>
      <c r="C3489" s="830" t="s">
        <v>89</v>
      </c>
      <c r="D3489" s="832">
        <v>2.44</v>
      </c>
    </row>
    <row r="3490" spans="1:4" x14ac:dyDescent="0.3">
      <c r="A3490" s="830">
        <v>104776</v>
      </c>
      <c r="B3490" s="831" t="s">
        <v>7946</v>
      </c>
      <c r="C3490" s="830" t="s">
        <v>89</v>
      </c>
      <c r="D3490" s="832">
        <v>6.54</v>
      </c>
    </row>
    <row r="3491" spans="1:4" x14ac:dyDescent="0.3">
      <c r="A3491" s="830">
        <v>104778</v>
      </c>
      <c r="B3491" s="831" t="s">
        <v>7947</v>
      </c>
      <c r="C3491" s="830" t="s">
        <v>89</v>
      </c>
      <c r="D3491" s="832">
        <v>9.56</v>
      </c>
    </row>
    <row r="3492" spans="1:4" x14ac:dyDescent="0.3">
      <c r="A3492" s="830">
        <v>104780</v>
      </c>
      <c r="B3492" s="831" t="s">
        <v>7948</v>
      </c>
      <c r="C3492" s="830" t="s">
        <v>194</v>
      </c>
      <c r="D3492" s="832">
        <v>5.59</v>
      </c>
    </row>
    <row r="3493" spans="1:4" x14ac:dyDescent="0.3">
      <c r="A3493" s="830">
        <v>104785</v>
      </c>
      <c r="B3493" s="831" t="s">
        <v>7949</v>
      </c>
      <c r="C3493" s="830" t="s">
        <v>194</v>
      </c>
      <c r="D3493" s="832">
        <v>12.53</v>
      </c>
    </row>
    <row r="3494" spans="1:4" x14ac:dyDescent="0.3">
      <c r="A3494" s="830">
        <v>96765</v>
      </c>
      <c r="B3494" s="831" t="s">
        <v>7950</v>
      </c>
      <c r="C3494" s="830" t="s">
        <v>89</v>
      </c>
      <c r="D3494" s="832">
        <v>1458</v>
      </c>
    </row>
    <row r="3495" spans="1:4" x14ac:dyDescent="0.3">
      <c r="A3495" s="830">
        <v>101905</v>
      </c>
      <c r="B3495" s="831" t="s">
        <v>7951</v>
      </c>
      <c r="C3495" s="830" t="s">
        <v>89</v>
      </c>
      <c r="D3495" s="832">
        <v>227.3</v>
      </c>
    </row>
    <row r="3496" spans="1:4" x14ac:dyDescent="0.3">
      <c r="A3496" s="830">
        <v>101906</v>
      </c>
      <c r="B3496" s="831" t="s">
        <v>7952</v>
      </c>
      <c r="C3496" s="830" t="s">
        <v>89</v>
      </c>
      <c r="D3496" s="832">
        <v>662.97</v>
      </c>
    </row>
    <row r="3497" spans="1:4" x14ac:dyDescent="0.3">
      <c r="A3497" s="830">
        <v>101907</v>
      </c>
      <c r="B3497" s="831" t="s">
        <v>7953</v>
      </c>
      <c r="C3497" s="830" t="s">
        <v>89</v>
      </c>
      <c r="D3497" s="832">
        <v>716.05</v>
      </c>
    </row>
    <row r="3498" spans="1:4" x14ac:dyDescent="0.3">
      <c r="A3498" s="830">
        <v>101908</v>
      </c>
      <c r="B3498" s="831" t="s">
        <v>7954</v>
      </c>
      <c r="C3498" s="830" t="s">
        <v>89</v>
      </c>
      <c r="D3498" s="832">
        <v>220.66</v>
      </c>
    </row>
    <row r="3499" spans="1:4" x14ac:dyDescent="0.3">
      <c r="A3499" s="830">
        <v>101909</v>
      </c>
      <c r="B3499" s="831" t="s">
        <v>7955</v>
      </c>
      <c r="C3499" s="830" t="s">
        <v>89</v>
      </c>
      <c r="D3499" s="832">
        <v>256.05</v>
      </c>
    </row>
    <row r="3500" spans="1:4" x14ac:dyDescent="0.3">
      <c r="A3500" s="830">
        <v>101910</v>
      </c>
      <c r="B3500" s="831" t="s">
        <v>7956</v>
      </c>
      <c r="C3500" s="830" t="s">
        <v>89</v>
      </c>
      <c r="D3500" s="832">
        <v>300.27999999999997</v>
      </c>
    </row>
    <row r="3501" spans="1:4" x14ac:dyDescent="0.3">
      <c r="A3501" s="830">
        <v>101911</v>
      </c>
      <c r="B3501" s="831" t="s">
        <v>7957</v>
      </c>
      <c r="C3501" s="830" t="s">
        <v>89</v>
      </c>
      <c r="D3501" s="832">
        <v>344.51</v>
      </c>
    </row>
    <row r="3502" spans="1:4" x14ac:dyDescent="0.3">
      <c r="A3502" s="830">
        <v>101912</v>
      </c>
      <c r="B3502" s="831" t="s">
        <v>7958</v>
      </c>
      <c r="C3502" s="830" t="s">
        <v>89</v>
      </c>
      <c r="D3502" s="832">
        <v>1864.41</v>
      </c>
    </row>
    <row r="3503" spans="1:4" x14ac:dyDescent="0.3">
      <c r="A3503" s="830">
        <v>101913</v>
      </c>
      <c r="B3503" s="831" t="s">
        <v>7959</v>
      </c>
      <c r="C3503" s="830" t="s">
        <v>89</v>
      </c>
      <c r="D3503" s="832">
        <v>352.61</v>
      </c>
    </row>
    <row r="3504" spans="1:4" x14ac:dyDescent="0.3">
      <c r="A3504" s="830">
        <v>101914</v>
      </c>
      <c r="B3504" s="831" t="s">
        <v>7960</v>
      </c>
      <c r="C3504" s="830" t="s">
        <v>89</v>
      </c>
      <c r="D3504" s="832">
        <v>449.76</v>
      </c>
    </row>
    <row r="3505" spans="1:4" x14ac:dyDescent="0.3">
      <c r="A3505" s="830">
        <v>101915</v>
      </c>
      <c r="B3505" s="831" t="s">
        <v>7961</v>
      </c>
      <c r="C3505" s="830" t="s">
        <v>89</v>
      </c>
      <c r="D3505" s="832">
        <v>307.63</v>
      </c>
    </row>
    <row r="3506" spans="1:4" x14ac:dyDescent="0.3">
      <c r="A3506" s="830">
        <v>101916</v>
      </c>
      <c r="B3506" s="831" t="s">
        <v>7962</v>
      </c>
      <c r="C3506" s="830" t="s">
        <v>89</v>
      </c>
      <c r="D3506" s="832">
        <v>3405.7</v>
      </c>
    </row>
    <row r="3507" spans="1:4" x14ac:dyDescent="0.3">
      <c r="A3507" s="830">
        <v>101917</v>
      </c>
      <c r="B3507" s="831" t="s">
        <v>7963</v>
      </c>
      <c r="C3507" s="830" t="s">
        <v>89</v>
      </c>
      <c r="D3507" s="832">
        <v>168.17</v>
      </c>
    </row>
    <row r="3508" spans="1:4" x14ac:dyDescent="0.3">
      <c r="A3508" s="830">
        <v>98261</v>
      </c>
      <c r="B3508" s="831" t="s">
        <v>7964</v>
      </c>
      <c r="C3508" s="830" t="s">
        <v>194</v>
      </c>
      <c r="D3508" s="832">
        <v>4.32</v>
      </c>
    </row>
    <row r="3509" spans="1:4" x14ac:dyDescent="0.3">
      <c r="A3509" s="830">
        <v>98262</v>
      </c>
      <c r="B3509" s="831" t="s">
        <v>7965</v>
      </c>
      <c r="C3509" s="830" t="s">
        <v>194</v>
      </c>
      <c r="D3509" s="832">
        <v>5.28</v>
      </c>
    </row>
    <row r="3510" spans="1:4" x14ac:dyDescent="0.3">
      <c r="A3510" s="830">
        <v>98263</v>
      </c>
      <c r="B3510" s="831" t="s">
        <v>7966</v>
      </c>
      <c r="C3510" s="830" t="s">
        <v>194</v>
      </c>
      <c r="D3510" s="832">
        <v>5.51</v>
      </c>
    </row>
    <row r="3511" spans="1:4" x14ac:dyDescent="0.3">
      <c r="A3511" s="830">
        <v>98264</v>
      </c>
      <c r="B3511" s="831" t="s">
        <v>7967</v>
      </c>
      <c r="C3511" s="830" t="s">
        <v>194</v>
      </c>
      <c r="D3511" s="832">
        <v>6.55</v>
      </c>
    </row>
    <row r="3512" spans="1:4" x14ac:dyDescent="0.3">
      <c r="A3512" s="830">
        <v>98265</v>
      </c>
      <c r="B3512" s="831" t="s">
        <v>7968</v>
      </c>
      <c r="C3512" s="830" t="s">
        <v>194</v>
      </c>
      <c r="D3512" s="832">
        <v>7.24</v>
      </c>
    </row>
    <row r="3513" spans="1:4" x14ac:dyDescent="0.3">
      <c r="A3513" s="830">
        <v>98266</v>
      </c>
      <c r="B3513" s="831" t="s">
        <v>7969</v>
      </c>
      <c r="C3513" s="830" t="s">
        <v>194</v>
      </c>
      <c r="D3513" s="832">
        <v>8.19</v>
      </c>
    </row>
    <row r="3514" spans="1:4" x14ac:dyDescent="0.3">
      <c r="A3514" s="830">
        <v>98267</v>
      </c>
      <c r="B3514" s="831" t="s">
        <v>7970</v>
      </c>
      <c r="C3514" s="830" t="s">
        <v>194</v>
      </c>
      <c r="D3514" s="832">
        <v>12.85</v>
      </c>
    </row>
    <row r="3515" spans="1:4" x14ac:dyDescent="0.3">
      <c r="A3515" s="830">
        <v>98268</v>
      </c>
      <c r="B3515" s="831" t="s">
        <v>7971</v>
      </c>
      <c r="C3515" s="830" t="s">
        <v>194</v>
      </c>
      <c r="D3515" s="832">
        <v>20.47</v>
      </c>
    </row>
    <row r="3516" spans="1:4" x14ac:dyDescent="0.3">
      <c r="A3516" s="830">
        <v>98269</v>
      </c>
      <c r="B3516" s="831" t="s">
        <v>7972</v>
      </c>
      <c r="C3516" s="830" t="s">
        <v>194</v>
      </c>
      <c r="D3516" s="832">
        <v>27.83</v>
      </c>
    </row>
    <row r="3517" spans="1:4" x14ac:dyDescent="0.3">
      <c r="A3517" s="830">
        <v>98270</v>
      </c>
      <c r="B3517" s="831" t="s">
        <v>7973</v>
      </c>
      <c r="C3517" s="830" t="s">
        <v>194</v>
      </c>
      <c r="D3517" s="832">
        <v>41.75</v>
      </c>
    </row>
    <row r="3518" spans="1:4" x14ac:dyDescent="0.3">
      <c r="A3518" s="830">
        <v>98271</v>
      </c>
      <c r="B3518" s="831" t="s">
        <v>7974</v>
      </c>
      <c r="C3518" s="830" t="s">
        <v>194</v>
      </c>
      <c r="D3518" s="832">
        <v>58.51</v>
      </c>
    </row>
    <row r="3519" spans="1:4" x14ac:dyDescent="0.3">
      <c r="A3519" s="830">
        <v>98272</v>
      </c>
      <c r="B3519" s="831" t="s">
        <v>7975</v>
      </c>
      <c r="C3519" s="830" t="s">
        <v>194</v>
      </c>
      <c r="D3519" s="832">
        <v>133.58000000000001</v>
      </c>
    </row>
    <row r="3520" spans="1:4" x14ac:dyDescent="0.3">
      <c r="A3520" s="830">
        <v>98273</v>
      </c>
      <c r="B3520" s="831" t="s">
        <v>7976</v>
      </c>
      <c r="C3520" s="830" t="s">
        <v>194</v>
      </c>
      <c r="D3520" s="832">
        <v>3.16</v>
      </c>
    </row>
    <row r="3521" spans="1:4" x14ac:dyDescent="0.3">
      <c r="A3521" s="830">
        <v>98274</v>
      </c>
      <c r="B3521" s="831" t="s">
        <v>7977</v>
      </c>
      <c r="C3521" s="830" t="s">
        <v>194</v>
      </c>
      <c r="D3521" s="832">
        <v>3.85</v>
      </c>
    </row>
    <row r="3522" spans="1:4" x14ac:dyDescent="0.3">
      <c r="A3522" s="830">
        <v>98275</v>
      </c>
      <c r="B3522" s="831" t="s">
        <v>7978</v>
      </c>
      <c r="C3522" s="830" t="s">
        <v>194</v>
      </c>
      <c r="D3522" s="832">
        <v>4.8099999999999996</v>
      </c>
    </row>
    <row r="3523" spans="1:4" x14ac:dyDescent="0.3">
      <c r="A3523" s="830">
        <v>98276</v>
      </c>
      <c r="B3523" s="831" t="s">
        <v>7979</v>
      </c>
      <c r="C3523" s="830" t="s">
        <v>194</v>
      </c>
      <c r="D3523" s="832">
        <v>9.4600000000000009</v>
      </c>
    </row>
    <row r="3524" spans="1:4" x14ac:dyDescent="0.3">
      <c r="A3524" s="830">
        <v>98277</v>
      </c>
      <c r="B3524" s="831" t="s">
        <v>7980</v>
      </c>
      <c r="C3524" s="830" t="s">
        <v>194</v>
      </c>
      <c r="D3524" s="832">
        <v>17.100000000000001</v>
      </c>
    </row>
    <row r="3525" spans="1:4" x14ac:dyDescent="0.3">
      <c r="A3525" s="830">
        <v>98278</v>
      </c>
      <c r="B3525" s="831" t="s">
        <v>7981</v>
      </c>
      <c r="C3525" s="830" t="s">
        <v>194</v>
      </c>
      <c r="D3525" s="832">
        <v>24.46</v>
      </c>
    </row>
    <row r="3526" spans="1:4" x14ac:dyDescent="0.3">
      <c r="A3526" s="830">
        <v>98279</v>
      </c>
      <c r="B3526" s="831" t="s">
        <v>7982</v>
      </c>
      <c r="C3526" s="830" t="s">
        <v>194</v>
      </c>
      <c r="D3526" s="832">
        <v>38.36</v>
      </c>
    </row>
    <row r="3527" spans="1:4" x14ac:dyDescent="0.3">
      <c r="A3527" s="830">
        <v>98280</v>
      </c>
      <c r="B3527" s="831" t="s">
        <v>7983</v>
      </c>
      <c r="C3527" s="830" t="s">
        <v>194</v>
      </c>
      <c r="D3527" s="832">
        <v>8.67</v>
      </c>
    </row>
    <row r="3528" spans="1:4" x14ac:dyDescent="0.3">
      <c r="A3528" s="830">
        <v>98281</v>
      </c>
      <c r="B3528" s="831" t="s">
        <v>7984</v>
      </c>
      <c r="C3528" s="830" t="s">
        <v>194</v>
      </c>
      <c r="D3528" s="832">
        <v>9.6300000000000008</v>
      </c>
    </row>
    <row r="3529" spans="1:4" x14ac:dyDescent="0.3">
      <c r="A3529" s="830">
        <v>98282</v>
      </c>
      <c r="B3529" s="831" t="s">
        <v>7985</v>
      </c>
      <c r="C3529" s="830" t="s">
        <v>194</v>
      </c>
      <c r="D3529" s="832">
        <v>9.86</v>
      </c>
    </row>
    <row r="3530" spans="1:4" x14ac:dyDescent="0.3">
      <c r="A3530" s="830">
        <v>98283</v>
      </c>
      <c r="B3530" s="831" t="s">
        <v>7986</v>
      </c>
      <c r="C3530" s="830" t="s">
        <v>194</v>
      </c>
      <c r="D3530" s="832">
        <v>10.9</v>
      </c>
    </row>
    <row r="3531" spans="1:4" x14ac:dyDescent="0.3">
      <c r="A3531" s="830">
        <v>98284</v>
      </c>
      <c r="B3531" s="831" t="s">
        <v>7987</v>
      </c>
      <c r="C3531" s="830" t="s">
        <v>194</v>
      </c>
      <c r="D3531" s="832">
        <v>11.59</v>
      </c>
    </row>
    <row r="3532" spans="1:4" x14ac:dyDescent="0.3">
      <c r="A3532" s="830">
        <v>98285</v>
      </c>
      <c r="B3532" s="831" t="s">
        <v>7988</v>
      </c>
      <c r="C3532" s="830" t="s">
        <v>194</v>
      </c>
      <c r="D3532" s="832">
        <v>12.54</v>
      </c>
    </row>
    <row r="3533" spans="1:4" x14ac:dyDescent="0.3">
      <c r="A3533" s="830">
        <v>98286</v>
      </c>
      <c r="B3533" s="831" t="s">
        <v>7989</v>
      </c>
      <c r="C3533" s="830" t="s">
        <v>194</v>
      </c>
      <c r="D3533" s="832">
        <v>17.2</v>
      </c>
    </row>
    <row r="3534" spans="1:4" x14ac:dyDescent="0.3">
      <c r="A3534" s="830">
        <v>98287</v>
      </c>
      <c r="B3534" s="831" t="s">
        <v>7990</v>
      </c>
      <c r="C3534" s="830" t="s">
        <v>194</v>
      </c>
      <c r="D3534" s="832">
        <v>1.7</v>
      </c>
    </row>
    <row r="3535" spans="1:4" x14ac:dyDescent="0.3">
      <c r="A3535" s="830">
        <v>98288</v>
      </c>
      <c r="B3535" s="831" t="s">
        <v>7991</v>
      </c>
      <c r="C3535" s="830" t="s">
        <v>194</v>
      </c>
      <c r="D3535" s="832">
        <v>2.67</v>
      </c>
    </row>
    <row r="3536" spans="1:4" x14ac:dyDescent="0.3">
      <c r="A3536" s="830">
        <v>98289</v>
      </c>
      <c r="B3536" s="831" t="s">
        <v>7992</v>
      </c>
      <c r="C3536" s="830" t="s">
        <v>194</v>
      </c>
      <c r="D3536" s="832">
        <v>2.9</v>
      </c>
    </row>
    <row r="3537" spans="1:4" x14ac:dyDescent="0.3">
      <c r="A3537" s="830">
        <v>98290</v>
      </c>
      <c r="B3537" s="831" t="s">
        <v>7993</v>
      </c>
      <c r="C3537" s="830" t="s">
        <v>194</v>
      </c>
      <c r="D3537" s="832">
        <v>3.93</v>
      </c>
    </row>
    <row r="3538" spans="1:4" x14ac:dyDescent="0.3">
      <c r="A3538" s="830">
        <v>98291</v>
      </c>
      <c r="B3538" s="831" t="s">
        <v>7994</v>
      </c>
      <c r="C3538" s="830" t="s">
        <v>194</v>
      </c>
      <c r="D3538" s="832">
        <v>4.62</v>
      </c>
    </row>
    <row r="3539" spans="1:4" x14ac:dyDescent="0.3">
      <c r="A3539" s="830">
        <v>98292</v>
      </c>
      <c r="B3539" s="831" t="s">
        <v>7995</v>
      </c>
      <c r="C3539" s="830" t="s">
        <v>194</v>
      </c>
      <c r="D3539" s="832">
        <v>5.58</v>
      </c>
    </row>
    <row r="3540" spans="1:4" x14ac:dyDescent="0.3">
      <c r="A3540" s="830">
        <v>98293</v>
      </c>
      <c r="B3540" s="831" t="s">
        <v>7996</v>
      </c>
      <c r="C3540" s="830" t="s">
        <v>194</v>
      </c>
      <c r="D3540" s="832">
        <v>10.23</v>
      </c>
    </row>
    <row r="3541" spans="1:4" x14ac:dyDescent="0.3">
      <c r="A3541" s="830">
        <v>98400</v>
      </c>
      <c r="B3541" s="831" t="s">
        <v>7997</v>
      </c>
      <c r="C3541" s="830" t="s">
        <v>194</v>
      </c>
      <c r="D3541" s="832">
        <v>15.69</v>
      </c>
    </row>
    <row r="3542" spans="1:4" x14ac:dyDescent="0.3">
      <c r="A3542" s="830">
        <v>98401</v>
      </c>
      <c r="B3542" s="831" t="s">
        <v>7998</v>
      </c>
      <c r="C3542" s="830" t="s">
        <v>194</v>
      </c>
      <c r="D3542" s="832">
        <v>24.4</v>
      </c>
    </row>
    <row r="3543" spans="1:4" x14ac:dyDescent="0.3">
      <c r="A3543" s="830">
        <v>98402</v>
      </c>
      <c r="B3543" s="831" t="s">
        <v>7999</v>
      </c>
      <c r="C3543" s="830" t="s">
        <v>194</v>
      </c>
      <c r="D3543" s="832">
        <v>28.43</v>
      </c>
    </row>
    <row r="3544" spans="1:4" x14ac:dyDescent="0.3">
      <c r="A3544" s="830">
        <v>100556</v>
      </c>
      <c r="B3544" s="831" t="s">
        <v>8000</v>
      </c>
      <c r="C3544" s="830" t="s">
        <v>89</v>
      </c>
      <c r="D3544" s="832">
        <v>38.479999999999997</v>
      </c>
    </row>
    <row r="3545" spans="1:4" x14ac:dyDescent="0.3">
      <c r="A3545" s="830">
        <v>100557</v>
      </c>
      <c r="B3545" s="831" t="s">
        <v>8001</v>
      </c>
      <c r="C3545" s="830" t="s">
        <v>89</v>
      </c>
      <c r="D3545" s="832">
        <v>414.4</v>
      </c>
    </row>
    <row r="3546" spans="1:4" x14ac:dyDescent="0.3">
      <c r="A3546" s="830">
        <v>100560</v>
      </c>
      <c r="B3546" s="831" t="s">
        <v>8002</v>
      </c>
      <c r="C3546" s="830" t="s">
        <v>89</v>
      </c>
      <c r="D3546" s="832">
        <v>104.83</v>
      </c>
    </row>
    <row r="3547" spans="1:4" x14ac:dyDescent="0.3">
      <c r="A3547" s="830">
        <v>100561</v>
      </c>
      <c r="B3547" s="831" t="s">
        <v>8003</v>
      </c>
      <c r="C3547" s="830" t="s">
        <v>89</v>
      </c>
      <c r="D3547" s="832">
        <v>180.71</v>
      </c>
    </row>
    <row r="3548" spans="1:4" x14ac:dyDescent="0.3">
      <c r="A3548" s="830">
        <v>100562</v>
      </c>
      <c r="B3548" s="831" t="s">
        <v>8004</v>
      </c>
      <c r="C3548" s="830" t="s">
        <v>89</v>
      </c>
      <c r="D3548" s="832">
        <v>273.19</v>
      </c>
    </row>
    <row r="3549" spans="1:4" x14ac:dyDescent="0.3">
      <c r="A3549" s="830">
        <v>100563</v>
      </c>
      <c r="B3549" s="831" t="s">
        <v>8005</v>
      </c>
      <c r="C3549" s="830" t="s">
        <v>89</v>
      </c>
      <c r="D3549" s="832">
        <v>388.57</v>
      </c>
    </row>
    <row r="3550" spans="1:4" x14ac:dyDescent="0.3">
      <c r="A3550" s="830">
        <v>101795</v>
      </c>
      <c r="B3550" s="831" t="s">
        <v>8006</v>
      </c>
      <c r="C3550" s="830" t="s">
        <v>89</v>
      </c>
      <c r="D3550" s="832">
        <v>650.76</v>
      </c>
    </row>
    <row r="3551" spans="1:4" x14ac:dyDescent="0.3">
      <c r="A3551" s="830">
        <v>101798</v>
      </c>
      <c r="B3551" s="831" t="s">
        <v>8007</v>
      </c>
      <c r="C3551" s="830" t="s">
        <v>89</v>
      </c>
      <c r="D3551" s="832">
        <v>260.83999999999997</v>
      </c>
    </row>
    <row r="3552" spans="1:4" x14ac:dyDescent="0.3">
      <c r="A3552" s="830">
        <v>101799</v>
      </c>
      <c r="B3552" s="831" t="s">
        <v>8008</v>
      </c>
      <c r="C3552" s="830" t="s">
        <v>89</v>
      </c>
      <c r="D3552" s="832">
        <v>615.1</v>
      </c>
    </row>
    <row r="3553" spans="1:4" x14ac:dyDescent="0.3">
      <c r="A3553" s="830">
        <v>98397</v>
      </c>
      <c r="B3553" s="831" t="s">
        <v>8009</v>
      </c>
      <c r="C3553" s="830" t="s">
        <v>252</v>
      </c>
      <c r="D3553" s="832">
        <v>12.4</v>
      </c>
    </row>
    <row r="3554" spans="1:4" x14ac:dyDescent="0.3">
      <c r="A3554" s="830">
        <v>103244</v>
      </c>
      <c r="B3554" s="831" t="s">
        <v>8010</v>
      </c>
      <c r="C3554" s="830" t="s">
        <v>89</v>
      </c>
      <c r="D3554" s="832">
        <v>2908.53</v>
      </c>
    </row>
    <row r="3555" spans="1:4" x14ac:dyDescent="0.3">
      <c r="A3555" s="830">
        <v>103245</v>
      </c>
      <c r="B3555" s="831" t="s">
        <v>8011</v>
      </c>
      <c r="C3555" s="830" t="s">
        <v>89</v>
      </c>
      <c r="D3555" s="832">
        <v>2285.9899999999998</v>
      </c>
    </row>
    <row r="3556" spans="1:4" x14ac:dyDescent="0.3">
      <c r="A3556" s="830">
        <v>103246</v>
      </c>
      <c r="B3556" s="831" t="s">
        <v>8012</v>
      </c>
      <c r="C3556" s="830" t="s">
        <v>89</v>
      </c>
      <c r="D3556" s="832">
        <v>2496.52</v>
      </c>
    </row>
    <row r="3557" spans="1:4" x14ac:dyDescent="0.3">
      <c r="A3557" s="830">
        <v>103247</v>
      </c>
      <c r="B3557" s="831" t="s">
        <v>8013</v>
      </c>
      <c r="C3557" s="830" t="s">
        <v>89</v>
      </c>
      <c r="D3557" s="832">
        <v>3232.33</v>
      </c>
    </row>
    <row r="3558" spans="1:4" x14ac:dyDescent="0.3">
      <c r="A3558" s="830">
        <v>103248</v>
      </c>
      <c r="B3558" s="831" t="s">
        <v>8014</v>
      </c>
      <c r="C3558" s="830" t="s">
        <v>89</v>
      </c>
      <c r="D3558" s="832">
        <v>2634.38</v>
      </c>
    </row>
    <row r="3559" spans="1:4" x14ac:dyDescent="0.3">
      <c r="A3559" s="830">
        <v>103249</v>
      </c>
      <c r="B3559" s="831" t="s">
        <v>8015</v>
      </c>
      <c r="C3559" s="830" t="s">
        <v>89</v>
      </c>
      <c r="D3559" s="832">
        <v>2833.06</v>
      </c>
    </row>
    <row r="3560" spans="1:4" x14ac:dyDescent="0.3">
      <c r="A3560" s="830">
        <v>103250</v>
      </c>
      <c r="B3560" s="831" t="s">
        <v>8016</v>
      </c>
      <c r="C3560" s="830" t="s">
        <v>89</v>
      </c>
      <c r="D3560" s="832">
        <v>4710.55</v>
      </c>
    </row>
    <row r="3561" spans="1:4" x14ac:dyDescent="0.3">
      <c r="A3561" s="830">
        <v>103251</v>
      </c>
      <c r="B3561" s="831" t="s">
        <v>8017</v>
      </c>
      <c r="C3561" s="830" t="s">
        <v>89</v>
      </c>
      <c r="D3561" s="832">
        <v>3711.87</v>
      </c>
    </row>
    <row r="3562" spans="1:4" x14ac:dyDescent="0.3">
      <c r="A3562" s="830">
        <v>103252</v>
      </c>
      <c r="B3562" s="831" t="s">
        <v>8018</v>
      </c>
      <c r="C3562" s="830" t="s">
        <v>89</v>
      </c>
      <c r="D3562" s="832">
        <v>4114.6099999999997</v>
      </c>
    </row>
    <row r="3563" spans="1:4" x14ac:dyDescent="0.3">
      <c r="A3563" s="830">
        <v>103253</v>
      </c>
      <c r="B3563" s="831" t="s">
        <v>8019</v>
      </c>
      <c r="C3563" s="830" t="s">
        <v>89</v>
      </c>
      <c r="D3563" s="832">
        <v>6434.77</v>
      </c>
    </row>
    <row r="3564" spans="1:4" x14ac:dyDescent="0.3">
      <c r="A3564" s="830">
        <v>103254</v>
      </c>
      <c r="B3564" s="831" t="s">
        <v>8020</v>
      </c>
      <c r="C3564" s="830" t="s">
        <v>89</v>
      </c>
      <c r="D3564" s="832">
        <v>4802.04</v>
      </c>
    </row>
    <row r="3565" spans="1:4" x14ac:dyDescent="0.3">
      <c r="A3565" s="830">
        <v>103255</v>
      </c>
      <c r="B3565" s="831" t="s">
        <v>8021</v>
      </c>
      <c r="C3565" s="830" t="s">
        <v>89</v>
      </c>
      <c r="D3565" s="832">
        <v>5378.11</v>
      </c>
    </row>
    <row r="3566" spans="1:4" x14ac:dyDescent="0.3">
      <c r="A3566" s="830">
        <v>103256</v>
      </c>
      <c r="B3566" s="831" t="s">
        <v>8022</v>
      </c>
      <c r="C3566" s="830" t="s">
        <v>89</v>
      </c>
      <c r="D3566" s="832">
        <v>11966.43</v>
      </c>
    </row>
    <row r="3567" spans="1:4" x14ac:dyDescent="0.3">
      <c r="A3567" s="830">
        <v>103257</v>
      </c>
      <c r="B3567" s="831" t="s">
        <v>8023</v>
      </c>
      <c r="C3567" s="830" t="s">
        <v>89</v>
      </c>
      <c r="D3567" s="832">
        <v>6813.89</v>
      </c>
    </row>
    <row r="3568" spans="1:4" x14ac:dyDescent="0.3">
      <c r="A3568" s="830">
        <v>103258</v>
      </c>
      <c r="B3568" s="831" t="s">
        <v>8024</v>
      </c>
      <c r="C3568" s="830" t="s">
        <v>89</v>
      </c>
      <c r="D3568" s="832">
        <v>13384.1</v>
      </c>
    </row>
    <row r="3569" spans="1:4" x14ac:dyDescent="0.3">
      <c r="A3569" s="830">
        <v>103259</v>
      </c>
      <c r="B3569" s="831" t="s">
        <v>8025</v>
      </c>
      <c r="C3569" s="830" t="s">
        <v>89</v>
      </c>
      <c r="D3569" s="832">
        <v>7184.93</v>
      </c>
    </row>
    <row r="3570" spans="1:4" x14ac:dyDescent="0.3">
      <c r="A3570" s="830">
        <v>103260</v>
      </c>
      <c r="B3570" s="831" t="s">
        <v>8026</v>
      </c>
      <c r="C3570" s="830" t="s">
        <v>89</v>
      </c>
      <c r="D3570" s="832">
        <v>7382.2</v>
      </c>
    </row>
    <row r="3571" spans="1:4" x14ac:dyDescent="0.3">
      <c r="A3571" s="830">
        <v>103261</v>
      </c>
      <c r="B3571" s="831" t="s">
        <v>8027</v>
      </c>
      <c r="C3571" s="830" t="s">
        <v>89</v>
      </c>
      <c r="D3571" s="832">
        <v>15102.79</v>
      </c>
    </row>
    <row r="3572" spans="1:4" x14ac:dyDescent="0.3">
      <c r="A3572" s="830">
        <v>103262</v>
      </c>
      <c r="B3572" s="831" t="s">
        <v>8028</v>
      </c>
      <c r="C3572" s="830" t="s">
        <v>89</v>
      </c>
      <c r="D3572" s="832">
        <v>9454.51</v>
      </c>
    </row>
    <row r="3573" spans="1:4" x14ac:dyDescent="0.3">
      <c r="A3573" s="830">
        <v>103263</v>
      </c>
      <c r="B3573" s="831" t="s">
        <v>8029</v>
      </c>
      <c r="C3573" s="830" t="s">
        <v>89</v>
      </c>
      <c r="D3573" s="832">
        <v>20932.61</v>
      </c>
    </row>
    <row r="3574" spans="1:4" x14ac:dyDescent="0.3">
      <c r="A3574" s="830">
        <v>103264</v>
      </c>
      <c r="B3574" s="831" t="s">
        <v>8030</v>
      </c>
      <c r="C3574" s="830" t="s">
        <v>89</v>
      </c>
      <c r="D3574" s="832">
        <v>11684.75</v>
      </c>
    </row>
    <row r="3575" spans="1:4" x14ac:dyDescent="0.3">
      <c r="A3575" s="830">
        <v>103265</v>
      </c>
      <c r="B3575" s="831" t="s">
        <v>8031</v>
      </c>
      <c r="C3575" s="830" t="s">
        <v>89</v>
      </c>
      <c r="D3575" s="832">
        <v>25261.35</v>
      </c>
    </row>
    <row r="3576" spans="1:4" x14ac:dyDescent="0.3">
      <c r="A3576" s="830">
        <v>103266</v>
      </c>
      <c r="B3576" s="831" t="s">
        <v>8032</v>
      </c>
      <c r="C3576" s="830" t="s">
        <v>89</v>
      </c>
      <c r="D3576" s="832">
        <v>13064.21</v>
      </c>
    </row>
    <row r="3577" spans="1:4" x14ac:dyDescent="0.3">
      <c r="A3577" s="830">
        <v>103267</v>
      </c>
      <c r="B3577" s="831" t="s">
        <v>8033</v>
      </c>
      <c r="C3577" s="830" t="s">
        <v>89</v>
      </c>
      <c r="D3577" s="832">
        <v>7452.14</v>
      </c>
    </row>
    <row r="3578" spans="1:4" x14ac:dyDescent="0.3">
      <c r="A3578" s="830">
        <v>103268</v>
      </c>
      <c r="B3578" s="831" t="s">
        <v>8034</v>
      </c>
      <c r="C3578" s="830" t="s">
        <v>89</v>
      </c>
      <c r="D3578" s="832">
        <v>8857.24</v>
      </c>
    </row>
    <row r="3579" spans="1:4" x14ac:dyDescent="0.3">
      <c r="A3579" s="830">
        <v>103269</v>
      </c>
      <c r="B3579" s="831" t="s">
        <v>8035</v>
      </c>
      <c r="C3579" s="830" t="s">
        <v>89</v>
      </c>
      <c r="D3579" s="832">
        <v>9171.84</v>
      </c>
    </row>
    <row r="3580" spans="1:4" x14ac:dyDescent="0.3">
      <c r="A3580" s="830">
        <v>103270</v>
      </c>
      <c r="B3580" s="831" t="s">
        <v>8036</v>
      </c>
      <c r="C3580" s="830" t="s">
        <v>89</v>
      </c>
      <c r="D3580" s="832">
        <v>9522.86</v>
      </c>
    </row>
    <row r="3581" spans="1:4" x14ac:dyDescent="0.3">
      <c r="A3581" s="830">
        <v>103271</v>
      </c>
      <c r="B3581" s="831" t="s">
        <v>8037</v>
      </c>
      <c r="C3581" s="830" t="s">
        <v>89</v>
      </c>
      <c r="D3581" s="832">
        <v>13512.1</v>
      </c>
    </row>
    <row r="3582" spans="1:4" x14ac:dyDescent="0.3">
      <c r="A3582" s="830">
        <v>103272</v>
      </c>
      <c r="B3582" s="831" t="s">
        <v>8038</v>
      </c>
      <c r="C3582" s="830" t="s">
        <v>89</v>
      </c>
      <c r="D3582" s="832">
        <v>13958.48</v>
      </c>
    </row>
    <row r="3583" spans="1:4" x14ac:dyDescent="0.3">
      <c r="A3583" s="830">
        <v>103273</v>
      </c>
      <c r="B3583" s="831" t="s">
        <v>8039</v>
      </c>
      <c r="C3583" s="830" t="s">
        <v>89</v>
      </c>
      <c r="D3583" s="832">
        <v>14296.99</v>
      </c>
    </row>
    <row r="3584" spans="1:4" x14ac:dyDescent="0.3">
      <c r="A3584" s="830">
        <v>103274</v>
      </c>
      <c r="B3584" s="831" t="s">
        <v>8040</v>
      </c>
      <c r="C3584" s="830" t="s">
        <v>89</v>
      </c>
      <c r="D3584" s="832">
        <v>16396.349999999999</v>
      </c>
    </row>
    <row r="3585" spans="1:4" x14ac:dyDescent="0.3">
      <c r="A3585" s="830">
        <v>103275</v>
      </c>
      <c r="B3585" s="831" t="s">
        <v>8041</v>
      </c>
      <c r="C3585" s="830" t="s">
        <v>89</v>
      </c>
      <c r="D3585" s="832">
        <v>16310.65</v>
      </c>
    </row>
    <row r="3586" spans="1:4" x14ac:dyDescent="0.3">
      <c r="A3586" s="830">
        <v>103276</v>
      </c>
      <c r="B3586" s="831" t="s">
        <v>8042</v>
      </c>
      <c r="C3586" s="830" t="s">
        <v>89</v>
      </c>
      <c r="D3586" s="832">
        <v>17122.61</v>
      </c>
    </row>
    <row r="3587" spans="1:4" x14ac:dyDescent="0.3">
      <c r="A3587" s="830">
        <v>103277</v>
      </c>
      <c r="B3587" s="831" t="s">
        <v>8043</v>
      </c>
      <c r="C3587" s="830" t="s">
        <v>89</v>
      </c>
      <c r="D3587" s="832">
        <v>31650.41</v>
      </c>
    </row>
    <row r="3588" spans="1:4" x14ac:dyDescent="0.3">
      <c r="A3588" s="830">
        <v>103278</v>
      </c>
      <c r="B3588" s="831" t="s">
        <v>8044</v>
      </c>
      <c r="C3588" s="830" t="s">
        <v>89</v>
      </c>
      <c r="D3588" s="832">
        <v>40569.11</v>
      </c>
    </row>
    <row r="3589" spans="1:4" x14ac:dyDescent="0.3">
      <c r="A3589" s="830">
        <v>103288</v>
      </c>
      <c r="B3589" s="831" t="s">
        <v>8045</v>
      </c>
      <c r="C3589" s="830" t="s">
        <v>89</v>
      </c>
      <c r="D3589" s="832">
        <v>16.489999999999998</v>
      </c>
    </row>
    <row r="3590" spans="1:4" x14ac:dyDescent="0.3">
      <c r="A3590" s="830">
        <v>103289</v>
      </c>
      <c r="B3590" s="831" t="s">
        <v>8046</v>
      </c>
      <c r="C3590" s="830" t="s">
        <v>194</v>
      </c>
      <c r="D3590" s="832">
        <v>44.73</v>
      </c>
    </row>
    <row r="3591" spans="1:4" x14ac:dyDescent="0.3">
      <c r="A3591" s="830">
        <v>103290</v>
      </c>
      <c r="B3591" s="831" t="s">
        <v>8047</v>
      </c>
      <c r="C3591" s="830" t="s">
        <v>194</v>
      </c>
      <c r="D3591" s="832">
        <v>68.760000000000005</v>
      </c>
    </row>
    <row r="3592" spans="1:4" x14ac:dyDescent="0.3">
      <c r="A3592" s="830">
        <v>103291</v>
      </c>
      <c r="B3592" s="831" t="s">
        <v>8048</v>
      </c>
      <c r="C3592" s="830" t="s">
        <v>194</v>
      </c>
      <c r="D3592" s="832">
        <v>88.4</v>
      </c>
    </row>
    <row r="3593" spans="1:4" x14ac:dyDescent="0.3">
      <c r="A3593" s="830">
        <v>103292</v>
      </c>
      <c r="B3593" s="831" t="s">
        <v>8049</v>
      </c>
      <c r="C3593" s="830" t="s">
        <v>194</v>
      </c>
      <c r="D3593" s="832">
        <v>107.7</v>
      </c>
    </row>
    <row r="3594" spans="1:4" x14ac:dyDescent="0.3">
      <c r="A3594" s="830">
        <v>101936</v>
      </c>
      <c r="B3594" s="831" t="s">
        <v>8050</v>
      </c>
      <c r="C3594" s="830" t="s">
        <v>89</v>
      </c>
      <c r="D3594" s="832">
        <v>8875.6</v>
      </c>
    </row>
    <row r="3595" spans="1:4" x14ac:dyDescent="0.3">
      <c r="A3595" s="830">
        <v>101937</v>
      </c>
      <c r="B3595" s="831" t="s">
        <v>8051</v>
      </c>
      <c r="C3595" s="830" t="s">
        <v>89</v>
      </c>
      <c r="D3595" s="832">
        <v>16105.83</v>
      </c>
    </row>
    <row r="3596" spans="1:4" x14ac:dyDescent="0.3">
      <c r="A3596" s="830">
        <v>98294</v>
      </c>
      <c r="B3596" s="831" t="s">
        <v>8052</v>
      </c>
      <c r="C3596" s="830" t="s">
        <v>194</v>
      </c>
      <c r="D3596" s="832">
        <v>7.75</v>
      </c>
    </row>
    <row r="3597" spans="1:4" x14ac:dyDescent="0.3">
      <c r="A3597" s="830">
        <v>98295</v>
      </c>
      <c r="B3597" s="831" t="s">
        <v>8053</v>
      </c>
      <c r="C3597" s="830" t="s">
        <v>194</v>
      </c>
      <c r="D3597" s="832">
        <v>6.95</v>
      </c>
    </row>
    <row r="3598" spans="1:4" x14ac:dyDescent="0.3">
      <c r="A3598" s="830">
        <v>98296</v>
      </c>
      <c r="B3598" s="831" t="s">
        <v>8054</v>
      </c>
      <c r="C3598" s="830" t="s">
        <v>194</v>
      </c>
      <c r="D3598" s="832">
        <v>11.3</v>
      </c>
    </row>
    <row r="3599" spans="1:4" x14ac:dyDescent="0.3">
      <c r="A3599" s="830">
        <v>98297</v>
      </c>
      <c r="B3599" s="831" t="s">
        <v>8055</v>
      </c>
      <c r="C3599" s="830" t="s">
        <v>194</v>
      </c>
      <c r="D3599" s="832">
        <v>10.050000000000001</v>
      </c>
    </row>
    <row r="3600" spans="1:4" x14ac:dyDescent="0.3">
      <c r="A3600" s="830">
        <v>98298</v>
      </c>
      <c r="B3600" s="831" t="s">
        <v>8056</v>
      </c>
      <c r="C3600" s="830" t="s">
        <v>194</v>
      </c>
      <c r="D3600" s="832">
        <v>27.66</v>
      </c>
    </row>
    <row r="3601" spans="1:4" x14ac:dyDescent="0.3">
      <c r="A3601" s="830">
        <v>98299</v>
      </c>
      <c r="B3601" s="831" t="s">
        <v>8057</v>
      </c>
      <c r="C3601" s="830" t="s">
        <v>194</v>
      </c>
      <c r="D3601" s="832">
        <v>26.11</v>
      </c>
    </row>
    <row r="3602" spans="1:4" x14ac:dyDescent="0.3">
      <c r="A3602" s="830">
        <v>98300</v>
      </c>
      <c r="B3602" s="831" t="s">
        <v>8058</v>
      </c>
      <c r="C3602" s="830" t="s">
        <v>194</v>
      </c>
      <c r="D3602" s="832">
        <v>6.53</v>
      </c>
    </row>
    <row r="3603" spans="1:4" x14ac:dyDescent="0.3">
      <c r="A3603" s="830">
        <v>98301</v>
      </c>
      <c r="B3603" s="831" t="s">
        <v>8059</v>
      </c>
      <c r="C3603" s="830" t="s">
        <v>89</v>
      </c>
      <c r="D3603" s="832">
        <v>671.78</v>
      </c>
    </row>
    <row r="3604" spans="1:4" x14ac:dyDescent="0.3">
      <c r="A3604" s="830">
        <v>98302</v>
      </c>
      <c r="B3604" s="831" t="s">
        <v>8060</v>
      </c>
      <c r="C3604" s="830" t="s">
        <v>89</v>
      </c>
      <c r="D3604" s="832">
        <v>1214.94</v>
      </c>
    </row>
    <row r="3605" spans="1:4" x14ac:dyDescent="0.3">
      <c r="A3605" s="830">
        <v>98304</v>
      </c>
      <c r="B3605" s="831" t="s">
        <v>8061</v>
      </c>
      <c r="C3605" s="830" t="s">
        <v>89</v>
      </c>
      <c r="D3605" s="832">
        <v>3747.03</v>
      </c>
    </row>
    <row r="3606" spans="1:4" x14ac:dyDescent="0.3">
      <c r="A3606" s="830">
        <v>98305</v>
      </c>
      <c r="B3606" s="831" t="s">
        <v>8062</v>
      </c>
      <c r="C3606" s="830" t="s">
        <v>89</v>
      </c>
      <c r="D3606" s="832">
        <v>2691.63</v>
      </c>
    </row>
    <row r="3607" spans="1:4" x14ac:dyDescent="0.3">
      <c r="A3607" s="830">
        <v>98306</v>
      </c>
      <c r="B3607" s="831" t="s">
        <v>8063</v>
      </c>
      <c r="C3607" s="830" t="s">
        <v>89</v>
      </c>
      <c r="D3607" s="832">
        <v>66.92</v>
      </c>
    </row>
    <row r="3608" spans="1:4" x14ac:dyDescent="0.3">
      <c r="A3608" s="830">
        <v>98307</v>
      </c>
      <c r="B3608" s="831" t="s">
        <v>8064</v>
      </c>
      <c r="C3608" s="830" t="s">
        <v>89</v>
      </c>
      <c r="D3608" s="832">
        <v>56.11</v>
      </c>
    </row>
    <row r="3609" spans="1:4" x14ac:dyDescent="0.3">
      <c r="A3609" s="830">
        <v>98308</v>
      </c>
      <c r="B3609" s="831" t="s">
        <v>2685</v>
      </c>
      <c r="C3609" s="830" t="s">
        <v>89</v>
      </c>
      <c r="D3609" s="832">
        <v>36.81</v>
      </c>
    </row>
    <row r="3610" spans="1:4" x14ac:dyDescent="0.3">
      <c r="A3610" s="830">
        <v>98593</v>
      </c>
      <c r="B3610" s="831" t="s">
        <v>8065</v>
      </c>
      <c r="C3610" s="830" t="s">
        <v>89</v>
      </c>
      <c r="D3610" s="832">
        <v>2639.51</v>
      </c>
    </row>
    <row r="3611" spans="1:4" x14ac:dyDescent="0.3">
      <c r="A3611" s="830">
        <v>100553</v>
      </c>
      <c r="B3611" s="831" t="s">
        <v>8066</v>
      </c>
      <c r="C3611" s="830" t="s">
        <v>194</v>
      </c>
      <c r="D3611" s="832">
        <v>29.46</v>
      </c>
    </row>
    <row r="3612" spans="1:4" x14ac:dyDescent="0.3">
      <c r="A3612" s="830">
        <v>100554</v>
      </c>
      <c r="B3612" s="831" t="s">
        <v>8067</v>
      </c>
      <c r="C3612" s="830" t="s">
        <v>194</v>
      </c>
      <c r="D3612" s="832">
        <v>6.23</v>
      </c>
    </row>
    <row r="3613" spans="1:4" x14ac:dyDescent="0.3">
      <c r="A3613" s="830">
        <v>100555</v>
      </c>
      <c r="B3613" s="831" t="s">
        <v>8068</v>
      </c>
      <c r="C3613" s="830" t="s">
        <v>89</v>
      </c>
      <c r="D3613" s="832">
        <v>1352.07</v>
      </c>
    </row>
    <row r="3614" spans="1:4" x14ac:dyDescent="0.3">
      <c r="A3614" s="830">
        <v>89355</v>
      </c>
      <c r="B3614" s="831" t="s">
        <v>8069</v>
      </c>
      <c r="C3614" s="830" t="s">
        <v>194</v>
      </c>
      <c r="D3614" s="832">
        <v>21.88</v>
      </c>
    </row>
    <row r="3615" spans="1:4" x14ac:dyDescent="0.3">
      <c r="A3615" s="830">
        <v>89356</v>
      </c>
      <c r="B3615" s="831" t="s">
        <v>8070</v>
      </c>
      <c r="C3615" s="830" t="s">
        <v>194</v>
      </c>
      <c r="D3615" s="832">
        <v>25.24</v>
      </c>
    </row>
    <row r="3616" spans="1:4" x14ac:dyDescent="0.3">
      <c r="A3616" s="830">
        <v>89357</v>
      </c>
      <c r="B3616" s="831" t="s">
        <v>8071</v>
      </c>
      <c r="C3616" s="830" t="s">
        <v>194</v>
      </c>
      <c r="D3616" s="832">
        <v>34.479999999999997</v>
      </c>
    </row>
    <row r="3617" spans="1:4" x14ac:dyDescent="0.3">
      <c r="A3617" s="830">
        <v>89401</v>
      </c>
      <c r="B3617" s="831" t="s">
        <v>8072</v>
      </c>
      <c r="C3617" s="830" t="s">
        <v>194</v>
      </c>
      <c r="D3617" s="832">
        <v>11.46</v>
      </c>
    </row>
    <row r="3618" spans="1:4" x14ac:dyDescent="0.3">
      <c r="A3618" s="830">
        <v>89402</v>
      </c>
      <c r="B3618" s="831" t="s">
        <v>8073</v>
      </c>
      <c r="C3618" s="830" t="s">
        <v>194</v>
      </c>
      <c r="D3618" s="832">
        <v>13.17</v>
      </c>
    </row>
    <row r="3619" spans="1:4" x14ac:dyDescent="0.3">
      <c r="A3619" s="830">
        <v>89403</v>
      </c>
      <c r="B3619" s="831" t="s">
        <v>8074</v>
      </c>
      <c r="C3619" s="830" t="s">
        <v>194</v>
      </c>
      <c r="D3619" s="832">
        <v>20.09</v>
      </c>
    </row>
    <row r="3620" spans="1:4" x14ac:dyDescent="0.3">
      <c r="A3620" s="830">
        <v>89446</v>
      </c>
      <c r="B3620" s="831" t="s">
        <v>8075</v>
      </c>
      <c r="C3620" s="830" t="s">
        <v>194</v>
      </c>
      <c r="D3620" s="832">
        <v>5.6</v>
      </c>
    </row>
    <row r="3621" spans="1:4" x14ac:dyDescent="0.3">
      <c r="A3621" s="830">
        <v>89447</v>
      </c>
      <c r="B3621" s="831" t="s">
        <v>8076</v>
      </c>
      <c r="C3621" s="830" t="s">
        <v>194</v>
      </c>
      <c r="D3621" s="832">
        <v>11.07</v>
      </c>
    </row>
    <row r="3622" spans="1:4" x14ac:dyDescent="0.3">
      <c r="A3622" s="830">
        <v>89448</v>
      </c>
      <c r="B3622" s="831" t="s">
        <v>8077</v>
      </c>
      <c r="C3622" s="830" t="s">
        <v>194</v>
      </c>
      <c r="D3622" s="832">
        <v>16.91</v>
      </c>
    </row>
    <row r="3623" spans="1:4" x14ac:dyDescent="0.3">
      <c r="A3623" s="830">
        <v>89449</v>
      </c>
      <c r="B3623" s="831" t="s">
        <v>8078</v>
      </c>
      <c r="C3623" s="830" t="s">
        <v>194</v>
      </c>
      <c r="D3623" s="832">
        <v>18.72</v>
      </c>
    </row>
    <row r="3624" spans="1:4" x14ac:dyDescent="0.3">
      <c r="A3624" s="830">
        <v>89450</v>
      </c>
      <c r="B3624" s="831" t="s">
        <v>8079</v>
      </c>
      <c r="C3624" s="830" t="s">
        <v>194</v>
      </c>
      <c r="D3624" s="832">
        <v>29.95</v>
      </c>
    </row>
    <row r="3625" spans="1:4" x14ac:dyDescent="0.3">
      <c r="A3625" s="830">
        <v>89451</v>
      </c>
      <c r="B3625" s="831" t="s">
        <v>8080</v>
      </c>
      <c r="C3625" s="830" t="s">
        <v>194</v>
      </c>
      <c r="D3625" s="832">
        <v>48.71</v>
      </c>
    </row>
    <row r="3626" spans="1:4" x14ac:dyDescent="0.3">
      <c r="A3626" s="830">
        <v>89452</v>
      </c>
      <c r="B3626" s="831" t="s">
        <v>8081</v>
      </c>
      <c r="C3626" s="830" t="s">
        <v>194</v>
      </c>
      <c r="D3626" s="832">
        <v>67.040000000000006</v>
      </c>
    </row>
    <row r="3627" spans="1:4" x14ac:dyDescent="0.3">
      <c r="A3627" s="830">
        <v>89508</v>
      </c>
      <c r="B3627" s="831" t="s">
        <v>8082</v>
      </c>
      <c r="C3627" s="830" t="s">
        <v>194</v>
      </c>
      <c r="D3627" s="832">
        <v>17.72</v>
      </c>
    </row>
    <row r="3628" spans="1:4" x14ac:dyDescent="0.3">
      <c r="A3628" s="830">
        <v>89509</v>
      </c>
      <c r="B3628" s="831" t="s">
        <v>8083</v>
      </c>
      <c r="C3628" s="830" t="s">
        <v>194</v>
      </c>
      <c r="D3628" s="832">
        <v>23.94</v>
      </c>
    </row>
    <row r="3629" spans="1:4" x14ac:dyDescent="0.3">
      <c r="A3629" s="830">
        <v>89511</v>
      </c>
      <c r="B3629" s="831" t="s">
        <v>8084</v>
      </c>
      <c r="C3629" s="830" t="s">
        <v>194</v>
      </c>
      <c r="D3629" s="832">
        <v>40.71</v>
      </c>
    </row>
    <row r="3630" spans="1:4" x14ac:dyDescent="0.3">
      <c r="A3630" s="830">
        <v>89512</v>
      </c>
      <c r="B3630" s="831" t="s">
        <v>8085</v>
      </c>
      <c r="C3630" s="830" t="s">
        <v>194</v>
      </c>
      <c r="D3630" s="832">
        <v>51.73</v>
      </c>
    </row>
    <row r="3631" spans="1:4" x14ac:dyDescent="0.3">
      <c r="A3631" s="830">
        <v>89576</v>
      </c>
      <c r="B3631" s="831" t="s">
        <v>8086</v>
      </c>
      <c r="C3631" s="830" t="s">
        <v>194</v>
      </c>
      <c r="D3631" s="832">
        <v>27.48</v>
      </c>
    </row>
    <row r="3632" spans="1:4" x14ac:dyDescent="0.3">
      <c r="A3632" s="830">
        <v>89578</v>
      </c>
      <c r="B3632" s="831" t="s">
        <v>8087</v>
      </c>
      <c r="C3632" s="830" t="s">
        <v>194</v>
      </c>
      <c r="D3632" s="832">
        <v>34.15</v>
      </c>
    </row>
    <row r="3633" spans="1:4" x14ac:dyDescent="0.3">
      <c r="A3633" s="830">
        <v>89580</v>
      </c>
      <c r="B3633" s="831" t="s">
        <v>8088</v>
      </c>
      <c r="C3633" s="830" t="s">
        <v>194</v>
      </c>
      <c r="D3633" s="832">
        <v>70.56</v>
      </c>
    </row>
    <row r="3634" spans="1:4" x14ac:dyDescent="0.3">
      <c r="A3634" s="830">
        <v>89633</v>
      </c>
      <c r="B3634" s="831" t="s">
        <v>8089</v>
      </c>
      <c r="C3634" s="830" t="s">
        <v>194</v>
      </c>
      <c r="D3634" s="832">
        <v>27.51</v>
      </c>
    </row>
    <row r="3635" spans="1:4" x14ac:dyDescent="0.3">
      <c r="A3635" s="830">
        <v>89634</v>
      </c>
      <c r="B3635" s="831" t="s">
        <v>8090</v>
      </c>
      <c r="C3635" s="830" t="s">
        <v>194</v>
      </c>
      <c r="D3635" s="832">
        <v>38.99</v>
      </c>
    </row>
    <row r="3636" spans="1:4" x14ac:dyDescent="0.3">
      <c r="A3636" s="830">
        <v>89635</v>
      </c>
      <c r="B3636" s="831" t="s">
        <v>8091</v>
      </c>
      <c r="C3636" s="830" t="s">
        <v>194</v>
      </c>
      <c r="D3636" s="832">
        <v>56.96</v>
      </c>
    </row>
    <row r="3637" spans="1:4" x14ac:dyDescent="0.3">
      <c r="A3637" s="830">
        <v>89636</v>
      </c>
      <c r="B3637" s="831" t="s">
        <v>8092</v>
      </c>
      <c r="C3637" s="830" t="s">
        <v>194</v>
      </c>
      <c r="D3637" s="832">
        <v>71.55</v>
      </c>
    </row>
    <row r="3638" spans="1:4" x14ac:dyDescent="0.3">
      <c r="A3638" s="830">
        <v>89711</v>
      </c>
      <c r="B3638" s="831" t="s">
        <v>8093</v>
      </c>
      <c r="C3638" s="830" t="s">
        <v>194</v>
      </c>
      <c r="D3638" s="832">
        <v>22.91</v>
      </c>
    </row>
    <row r="3639" spans="1:4" x14ac:dyDescent="0.3">
      <c r="A3639" s="830">
        <v>89712</v>
      </c>
      <c r="B3639" s="831" t="s">
        <v>8094</v>
      </c>
      <c r="C3639" s="830" t="s">
        <v>194</v>
      </c>
      <c r="D3639" s="832">
        <v>28.9</v>
      </c>
    </row>
    <row r="3640" spans="1:4" x14ac:dyDescent="0.3">
      <c r="A3640" s="830">
        <v>89713</v>
      </c>
      <c r="B3640" s="831" t="s">
        <v>8095</v>
      </c>
      <c r="C3640" s="830" t="s">
        <v>194</v>
      </c>
      <c r="D3640" s="832">
        <v>35.97</v>
      </c>
    </row>
    <row r="3641" spans="1:4" x14ac:dyDescent="0.3">
      <c r="A3641" s="830">
        <v>89714</v>
      </c>
      <c r="B3641" s="831" t="s">
        <v>8096</v>
      </c>
      <c r="C3641" s="830" t="s">
        <v>194</v>
      </c>
      <c r="D3641" s="832">
        <v>40.24</v>
      </c>
    </row>
    <row r="3642" spans="1:4" x14ac:dyDescent="0.3">
      <c r="A3642" s="830">
        <v>89716</v>
      </c>
      <c r="B3642" s="831" t="s">
        <v>8097</v>
      </c>
      <c r="C3642" s="830" t="s">
        <v>194</v>
      </c>
      <c r="D3642" s="832">
        <v>28.03</v>
      </c>
    </row>
    <row r="3643" spans="1:4" x14ac:dyDescent="0.3">
      <c r="A3643" s="830">
        <v>89717</v>
      </c>
      <c r="B3643" s="831" t="s">
        <v>8098</v>
      </c>
      <c r="C3643" s="830" t="s">
        <v>194</v>
      </c>
      <c r="D3643" s="832">
        <v>44.03</v>
      </c>
    </row>
    <row r="3644" spans="1:4" x14ac:dyDescent="0.3">
      <c r="A3644" s="830">
        <v>89770</v>
      </c>
      <c r="B3644" s="831" t="s">
        <v>8099</v>
      </c>
      <c r="C3644" s="830" t="s">
        <v>194</v>
      </c>
      <c r="D3644" s="832">
        <v>46.75</v>
      </c>
    </row>
    <row r="3645" spans="1:4" x14ac:dyDescent="0.3">
      <c r="A3645" s="830">
        <v>89771</v>
      </c>
      <c r="B3645" s="831" t="s">
        <v>8100</v>
      </c>
      <c r="C3645" s="830" t="s">
        <v>194</v>
      </c>
      <c r="D3645" s="832">
        <v>62.4</v>
      </c>
    </row>
    <row r="3646" spans="1:4" x14ac:dyDescent="0.3">
      <c r="A3646" s="830">
        <v>89773</v>
      </c>
      <c r="B3646" s="831" t="s">
        <v>8101</v>
      </c>
      <c r="C3646" s="830" t="s">
        <v>194</v>
      </c>
      <c r="D3646" s="832">
        <v>146.55000000000001</v>
      </c>
    </row>
    <row r="3647" spans="1:4" x14ac:dyDescent="0.3">
      <c r="A3647" s="830">
        <v>89775</v>
      </c>
      <c r="B3647" s="831" t="s">
        <v>8102</v>
      </c>
      <c r="C3647" s="830" t="s">
        <v>194</v>
      </c>
      <c r="D3647" s="832">
        <v>229.06</v>
      </c>
    </row>
    <row r="3648" spans="1:4" x14ac:dyDescent="0.3">
      <c r="A3648" s="830">
        <v>89798</v>
      </c>
      <c r="B3648" s="831" t="s">
        <v>8103</v>
      </c>
      <c r="C3648" s="830" t="s">
        <v>194</v>
      </c>
      <c r="D3648" s="832">
        <v>13.98</v>
      </c>
    </row>
    <row r="3649" spans="1:4" x14ac:dyDescent="0.3">
      <c r="A3649" s="830">
        <v>89799</v>
      </c>
      <c r="B3649" s="831" t="s">
        <v>8104</v>
      </c>
      <c r="C3649" s="830" t="s">
        <v>194</v>
      </c>
      <c r="D3649" s="832">
        <v>23.59</v>
      </c>
    </row>
    <row r="3650" spans="1:4" x14ac:dyDescent="0.3">
      <c r="A3650" s="830">
        <v>89800</v>
      </c>
      <c r="B3650" s="831" t="s">
        <v>8105</v>
      </c>
      <c r="C3650" s="830" t="s">
        <v>194</v>
      </c>
      <c r="D3650" s="832">
        <v>30.44</v>
      </c>
    </row>
    <row r="3651" spans="1:4" x14ac:dyDescent="0.3">
      <c r="A3651" s="830">
        <v>89848</v>
      </c>
      <c r="B3651" s="831" t="s">
        <v>8106</v>
      </c>
      <c r="C3651" s="830" t="s">
        <v>194</v>
      </c>
      <c r="D3651" s="832">
        <v>29.17</v>
      </c>
    </row>
    <row r="3652" spans="1:4" x14ac:dyDescent="0.3">
      <c r="A3652" s="830">
        <v>89849</v>
      </c>
      <c r="B3652" s="831" t="s">
        <v>8107</v>
      </c>
      <c r="C3652" s="830" t="s">
        <v>194</v>
      </c>
      <c r="D3652" s="832">
        <v>59.23</v>
      </c>
    </row>
    <row r="3653" spans="1:4" x14ac:dyDescent="0.3">
      <c r="A3653" s="830">
        <v>89865</v>
      </c>
      <c r="B3653" s="831" t="s">
        <v>8108</v>
      </c>
      <c r="C3653" s="830" t="s">
        <v>194</v>
      </c>
      <c r="D3653" s="832">
        <v>18.36</v>
      </c>
    </row>
    <row r="3654" spans="1:4" x14ac:dyDescent="0.3">
      <c r="A3654" s="830">
        <v>92275</v>
      </c>
      <c r="B3654" s="831" t="s">
        <v>8109</v>
      </c>
      <c r="C3654" s="830" t="s">
        <v>194</v>
      </c>
      <c r="D3654" s="832">
        <v>93.87</v>
      </c>
    </row>
    <row r="3655" spans="1:4" x14ac:dyDescent="0.3">
      <c r="A3655" s="830">
        <v>92276</v>
      </c>
      <c r="B3655" s="831" t="s">
        <v>8110</v>
      </c>
      <c r="C3655" s="830" t="s">
        <v>194</v>
      </c>
      <c r="D3655" s="832">
        <v>119.18</v>
      </c>
    </row>
    <row r="3656" spans="1:4" x14ac:dyDescent="0.3">
      <c r="A3656" s="830">
        <v>92277</v>
      </c>
      <c r="B3656" s="831" t="s">
        <v>8111</v>
      </c>
      <c r="C3656" s="830" t="s">
        <v>194</v>
      </c>
      <c r="D3656" s="832">
        <v>172.51</v>
      </c>
    </row>
    <row r="3657" spans="1:4" x14ac:dyDescent="0.3">
      <c r="A3657" s="830">
        <v>92278</v>
      </c>
      <c r="B3657" s="831" t="s">
        <v>8112</v>
      </c>
      <c r="C3657" s="830" t="s">
        <v>194</v>
      </c>
      <c r="D3657" s="832">
        <v>232.43</v>
      </c>
    </row>
    <row r="3658" spans="1:4" x14ac:dyDescent="0.3">
      <c r="A3658" s="830">
        <v>92279</v>
      </c>
      <c r="B3658" s="831" t="s">
        <v>8113</v>
      </c>
      <c r="C3658" s="830" t="s">
        <v>194</v>
      </c>
      <c r="D3658" s="832">
        <v>336.34</v>
      </c>
    </row>
    <row r="3659" spans="1:4" x14ac:dyDescent="0.3">
      <c r="A3659" s="830">
        <v>92280</v>
      </c>
      <c r="B3659" s="831" t="s">
        <v>8114</v>
      </c>
      <c r="C3659" s="830" t="s">
        <v>194</v>
      </c>
      <c r="D3659" s="832">
        <v>472.74</v>
      </c>
    </row>
    <row r="3660" spans="1:4" x14ac:dyDescent="0.3">
      <c r="A3660" s="830">
        <v>92281</v>
      </c>
      <c r="B3660" s="831" t="s">
        <v>8115</v>
      </c>
      <c r="C3660" s="830" t="s">
        <v>194</v>
      </c>
      <c r="D3660" s="832">
        <v>145.94999999999999</v>
      </c>
    </row>
    <row r="3661" spans="1:4" x14ac:dyDescent="0.3">
      <c r="A3661" s="830">
        <v>92282</v>
      </c>
      <c r="B3661" s="831" t="s">
        <v>8116</v>
      </c>
      <c r="C3661" s="830" t="s">
        <v>194</v>
      </c>
      <c r="D3661" s="832">
        <v>173.36</v>
      </c>
    </row>
    <row r="3662" spans="1:4" x14ac:dyDescent="0.3">
      <c r="A3662" s="830">
        <v>92283</v>
      </c>
      <c r="B3662" s="831" t="s">
        <v>8117</v>
      </c>
      <c r="C3662" s="830" t="s">
        <v>194</v>
      </c>
      <c r="D3662" s="832">
        <v>240.86</v>
      </c>
    </row>
    <row r="3663" spans="1:4" x14ac:dyDescent="0.3">
      <c r="A3663" s="830">
        <v>92284</v>
      </c>
      <c r="B3663" s="831" t="s">
        <v>8118</v>
      </c>
      <c r="C3663" s="830" t="s">
        <v>194</v>
      </c>
      <c r="D3663" s="832">
        <v>310.27</v>
      </c>
    </row>
    <row r="3664" spans="1:4" x14ac:dyDescent="0.3">
      <c r="A3664" s="830">
        <v>92285</v>
      </c>
      <c r="B3664" s="831" t="s">
        <v>8119</v>
      </c>
      <c r="C3664" s="830" t="s">
        <v>194</v>
      </c>
      <c r="D3664" s="832">
        <v>429.3</v>
      </c>
    </row>
    <row r="3665" spans="1:4" x14ac:dyDescent="0.3">
      <c r="A3665" s="830">
        <v>92286</v>
      </c>
      <c r="B3665" s="831" t="s">
        <v>8120</v>
      </c>
      <c r="C3665" s="830" t="s">
        <v>194</v>
      </c>
      <c r="D3665" s="832">
        <v>566.99</v>
      </c>
    </row>
    <row r="3666" spans="1:4" x14ac:dyDescent="0.3">
      <c r="A3666" s="830">
        <v>92305</v>
      </c>
      <c r="B3666" s="831" t="s">
        <v>8121</v>
      </c>
      <c r="C3666" s="830" t="s">
        <v>194</v>
      </c>
      <c r="D3666" s="832">
        <v>60.53</v>
      </c>
    </row>
    <row r="3667" spans="1:4" x14ac:dyDescent="0.3">
      <c r="A3667" s="830">
        <v>92306</v>
      </c>
      <c r="B3667" s="831" t="s">
        <v>8122</v>
      </c>
      <c r="C3667" s="830" t="s">
        <v>194</v>
      </c>
      <c r="D3667" s="832">
        <v>99.96</v>
      </c>
    </row>
    <row r="3668" spans="1:4" x14ac:dyDescent="0.3">
      <c r="A3668" s="830">
        <v>92307</v>
      </c>
      <c r="B3668" s="831" t="s">
        <v>8123</v>
      </c>
      <c r="C3668" s="830" t="s">
        <v>194</v>
      </c>
      <c r="D3668" s="832">
        <v>125.55</v>
      </c>
    </row>
    <row r="3669" spans="1:4" x14ac:dyDescent="0.3">
      <c r="A3669" s="830">
        <v>92308</v>
      </c>
      <c r="B3669" s="831" t="s">
        <v>8124</v>
      </c>
      <c r="C3669" s="830" t="s">
        <v>194</v>
      </c>
      <c r="D3669" s="832">
        <v>74.98</v>
      </c>
    </row>
    <row r="3670" spans="1:4" x14ac:dyDescent="0.3">
      <c r="A3670" s="830">
        <v>92309</v>
      </c>
      <c r="B3670" s="831" t="s">
        <v>8125</v>
      </c>
      <c r="C3670" s="830" t="s">
        <v>194</v>
      </c>
      <c r="D3670" s="832">
        <v>155.07</v>
      </c>
    </row>
    <row r="3671" spans="1:4" x14ac:dyDescent="0.3">
      <c r="A3671" s="830">
        <v>92310</v>
      </c>
      <c r="B3671" s="831" t="s">
        <v>8126</v>
      </c>
      <c r="C3671" s="830" t="s">
        <v>194</v>
      </c>
      <c r="D3671" s="832">
        <v>182.77</v>
      </c>
    </row>
    <row r="3672" spans="1:4" x14ac:dyDescent="0.3">
      <c r="A3672" s="830">
        <v>92320</v>
      </c>
      <c r="B3672" s="831" t="s">
        <v>8127</v>
      </c>
      <c r="C3672" s="830" t="s">
        <v>194</v>
      </c>
      <c r="D3672" s="832">
        <v>73.02</v>
      </c>
    </row>
    <row r="3673" spans="1:4" x14ac:dyDescent="0.3">
      <c r="A3673" s="830">
        <v>92321</v>
      </c>
      <c r="B3673" s="831" t="s">
        <v>8128</v>
      </c>
      <c r="C3673" s="830" t="s">
        <v>194</v>
      </c>
      <c r="D3673" s="832">
        <v>121.5</v>
      </c>
    </row>
    <row r="3674" spans="1:4" x14ac:dyDescent="0.3">
      <c r="A3674" s="830">
        <v>92322</v>
      </c>
      <c r="B3674" s="831" t="s">
        <v>8129</v>
      </c>
      <c r="C3674" s="830" t="s">
        <v>194</v>
      </c>
      <c r="D3674" s="832">
        <v>154.83000000000001</v>
      </c>
    </row>
    <row r="3675" spans="1:4" x14ac:dyDescent="0.3">
      <c r="A3675" s="830">
        <v>92323</v>
      </c>
      <c r="B3675" s="831" t="s">
        <v>8130</v>
      </c>
      <c r="C3675" s="830" t="s">
        <v>194</v>
      </c>
      <c r="D3675" s="832">
        <v>84.48</v>
      </c>
    </row>
    <row r="3676" spans="1:4" x14ac:dyDescent="0.3">
      <c r="A3676" s="830">
        <v>92324</v>
      </c>
      <c r="B3676" s="831" t="s">
        <v>8131</v>
      </c>
      <c r="C3676" s="830" t="s">
        <v>194</v>
      </c>
      <c r="D3676" s="832">
        <v>173.6</v>
      </c>
    </row>
    <row r="3677" spans="1:4" x14ac:dyDescent="0.3">
      <c r="A3677" s="830">
        <v>92325</v>
      </c>
      <c r="B3677" s="831" t="s">
        <v>8132</v>
      </c>
      <c r="C3677" s="830" t="s">
        <v>194</v>
      </c>
      <c r="D3677" s="832">
        <v>209.05</v>
      </c>
    </row>
    <row r="3678" spans="1:4" x14ac:dyDescent="0.3">
      <c r="A3678" s="830">
        <v>92335</v>
      </c>
      <c r="B3678" s="831" t="s">
        <v>8133</v>
      </c>
      <c r="C3678" s="830" t="s">
        <v>194</v>
      </c>
      <c r="D3678" s="832">
        <v>92.45</v>
      </c>
    </row>
    <row r="3679" spans="1:4" x14ac:dyDescent="0.3">
      <c r="A3679" s="830">
        <v>92336</v>
      </c>
      <c r="B3679" s="831" t="s">
        <v>8134</v>
      </c>
      <c r="C3679" s="830" t="s">
        <v>194</v>
      </c>
      <c r="D3679" s="832">
        <v>113.47</v>
      </c>
    </row>
    <row r="3680" spans="1:4" x14ac:dyDescent="0.3">
      <c r="A3680" s="830">
        <v>92337</v>
      </c>
      <c r="B3680" s="831" t="s">
        <v>8135</v>
      </c>
      <c r="C3680" s="830" t="s">
        <v>194</v>
      </c>
      <c r="D3680" s="832">
        <v>149.15</v>
      </c>
    </row>
    <row r="3681" spans="1:4" x14ac:dyDescent="0.3">
      <c r="A3681" s="830">
        <v>92338</v>
      </c>
      <c r="B3681" s="831" t="s">
        <v>8136</v>
      </c>
      <c r="C3681" s="830" t="s">
        <v>194</v>
      </c>
      <c r="D3681" s="832">
        <v>141.18</v>
      </c>
    </row>
    <row r="3682" spans="1:4" x14ac:dyDescent="0.3">
      <c r="A3682" s="830">
        <v>92339</v>
      </c>
      <c r="B3682" s="831" t="s">
        <v>8137</v>
      </c>
      <c r="C3682" s="830" t="s">
        <v>194</v>
      </c>
      <c r="D3682" s="832">
        <v>212.15</v>
      </c>
    </row>
    <row r="3683" spans="1:4" x14ac:dyDescent="0.3">
      <c r="A3683" s="830">
        <v>92341</v>
      </c>
      <c r="B3683" s="831" t="s">
        <v>8138</v>
      </c>
      <c r="C3683" s="830" t="s">
        <v>194</v>
      </c>
      <c r="D3683" s="832">
        <v>103.92</v>
      </c>
    </row>
    <row r="3684" spans="1:4" x14ac:dyDescent="0.3">
      <c r="A3684" s="830">
        <v>92342</v>
      </c>
      <c r="B3684" s="831" t="s">
        <v>8139</v>
      </c>
      <c r="C3684" s="830" t="s">
        <v>194</v>
      </c>
      <c r="D3684" s="832">
        <v>125.01</v>
      </c>
    </row>
    <row r="3685" spans="1:4" x14ac:dyDescent="0.3">
      <c r="A3685" s="830">
        <v>92343</v>
      </c>
      <c r="B3685" s="831" t="s">
        <v>8140</v>
      </c>
      <c r="C3685" s="830" t="s">
        <v>194</v>
      </c>
      <c r="D3685" s="832">
        <v>160.81</v>
      </c>
    </row>
    <row r="3686" spans="1:4" x14ac:dyDescent="0.3">
      <c r="A3686" s="830">
        <v>92359</v>
      </c>
      <c r="B3686" s="831" t="s">
        <v>8141</v>
      </c>
      <c r="C3686" s="830" t="s">
        <v>194</v>
      </c>
      <c r="D3686" s="832">
        <v>64.97</v>
      </c>
    </row>
    <row r="3687" spans="1:4" x14ac:dyDescent="0.3">
      <c r="A3687" s="830">
        <v>92360</v>
      </c>
      <c r="B3687" s="831" t="s">
        <v>8142</v>
      </c>
      <c r="C3687" s="830" t="s">
        <v>194</v>
      </c>
      <c r="D3687" s="832">
        <v>86.82</v>
      </c>
    </row>
    <row r="3688" spans="1:4" x14ac:dyDescent="0.3">
      <c r="A3688" s="830">
        <v>92361</v>
      </c>
      <c r="B3688" s="831" t="s">
        <v>8143</v>
      </c>
      <c r="C3688" s="830" t="s">
        <v>194</v>
      </c>
      <c r="D3688" s="832">
        <v>117.34</v>
      </c>
    </row>
    <row r="3689" spans="1:4" x14ac:dyDescent="0.3">
      <c r="A3689" s="830">
        <v>92362</v>
      </c>
      <c r="B3689" s="831" t="s">
        <v>8144</v>
      </c>
      <c r="C3689" s="830" t="s">
        <v>194</v>
      </c>
      <c r="D3689" s="832">
        <v>187.37</v>
      </c>
    </row>
    <row r="3690" spans="1:4" x14ac:dyDescent="0.3">
      <c r="A3690" s="830">
        <v>92364</v>
      </c>
      <c r="B3690" s="831" t="s">
        <v>8145</v>
      </c>
      <c r="C3690" s="830" t="s">
        <v>194</v>
      </c>
      <c r="D3690" s="832">
        <v>56.23</v>
      </c>
    </row>
    <row r="3691" spans="1:4" x14ac:dyDescent="0.3">
      <c r="A3691" s="830">
        <v>92365</v>
      </c>
      <c r="B3691" s="831" t="s">
        <v>8146</v>
      </c>
      <c r="C3691" s="830" t="s">
        <v>194</v>
      </c>
      <c r="D3691" s="832">
        <v>64.64</v>
      </c>
    </row>
    <row r="3692" spans="1:4" x14ac:dyDescent="0.3">
      <c r="A3692" s="830">
        <v>92366</v>
      </c>
      <c r="B3692" s="831" t="s">
        <v>8147</v>
      </c>
      <c r="C3692" s="830" t="s">
        <v>194</v>
      </c>
      <c r="D3692" s="832">
        <v>89.74</v>
      </c>
    </row>
    <row r="3693" spans="1:4" x14ac:dyDescent="0.3">
      <c r="A3693" s="830">
        <v>92367</v>
      </c>
      <c r="B3693" s="831" t="s">
        <v>8148</v>
      </c>
      <c r="C3693" s="830" t="s">
        <v>194</v>
      </c>
      <c r="D3693" s="832">
        <v>110.17</v>
      </c>
    </row>
    <row r="3694" spans="1:4" x14ac:dyDescent="0.3">
      <c r="A3694" s="830">
        <v>92368</v>
      </c>
      <c r="B3694" s="831" t="s">
        <v>8149</v>
      </c>
      <c r="C3694" s="830" t="s">
        <v>194</v>
      </c>
      <c r="D3694" s="832">
        <v>145.38</v>
      </c>
    </row>
    <row r="3695" spans="1:4" x14ac:dyDescent="0.3">
      <c r="A3695" s="830">
        <v>92645</v>
      </c>
      <c r="B3695" s="831" t="s">
        <v>8150</v>
      </c>
      <c r="C3695" s="830" t="s">
        <v>194</v>
      </c>
      <c r="D3695" s="832">
        <v>69.260000000000005</v>
      </c>
    </row>
    <row r="3696" spans="1:4" x14ac:dyDescent="0.3">
      <c r="A3696" s="830">
        <v>92646</v>
      </c>
      <c r="B3696" s="831" t="s">
        <v>8151</v>
      </c>
      <c r="C3696" s="830" t="s">
        <v>194</v>
      </c>
      <c r="D3696" s="832">
        <v>91.1</v>
      </c>
    </row>
    <row r="3697" spans="1:4" x14ac:dyDescent="0.3">
      <c r="A3697" s="830">
        <v>92648</v>
      </c>
      <c r="B3697" s="831" t="s">
        <v>8152</v>
      </c>
      <c r="C3697" s="830" t="s">
        <v>194</v>
      </c>
      <c r="D3697" s="832">
        <v>99.77</v>
      </c>
    </row>
    <row r="3698" spans="1:4" x14ac:dyDescent="0.3">
      <c r="A3698" s="830">
        <v>92649</v>
      </c>
      <c r="B3698" s="831" t="s">
        <v>8153</v>
      </c>
      <c r="C3698" s="830" t="s">
        <v>194</v>
      </c>
      <c r="D3698" s="832">
        <v>121.62</v>
      </c>
    </row>
    <row r="3699" spans="1:4" x14ac:dyDescent="0.3">
      <c r="A3699" s="830">
        <v>92650</v>
      </c>
      <c r="B3699" s="831" t="s">
        <v>8154</v>
      </c>
      <c r="C3699" s="830" t="s">
        <v>194</v>
      </c>
      <c r="D3699" s="832">
        <v>191.65</v>
      </c>
    </row>
    <row r="3700" spans="1:4" x14ac:dyDescent="0.3">
      <c r="A3700" s="830">
        <v>92652</v>
      </c>
      <c r="B3700" s="831" t="s">
        <v>8155</v>
      </c>
      <c r="C3700" s="830" t="s">
        <v>194</v>
      </c>
      <c r="D3700" s="832">
        <v>61.47</v>
      </c>
    </row>
    <row r="3701" spans="1:4" x14ac:dyDescent="0.3">
      <c r="A3701" s="830">
        <v>92653</v>
      </c>
      <c r="B3701" s="831" t="s">
        <v>8156</v>
      </c>
      <c r="C3701" s="830" t="s">
        <v>194</v>
      </c>
      <c r="D3701" s="832">
        <v>69.92</v>
      </c>
    </row>
    <row r="3702" spans="1:4" x14ac:dyDescent="0.3">
      <c r="A3702" s="830">
        <v>92654</v>
      </c>
      <c r="B3702" s="831" t="s">
        <v>8157</v>
      </c>
      <c r="C3702" s="830" t="s">
        <v>194</v>
      </c>
      <c r="D3702" s="832">
        <v>95.02</v>
      </c>
    </row>
    <row r="3703" spans="1:4" x14ac:dyDescent="0.3">
      <c r="A3703" s="830">
        <v>92655</v>
      </c>
      <c r="B3703" s="831" t="s">
        <v>8158</v>
      </c>
      <c r="C3703" s="830" t="s">
        <v>194</v>
      </c>
      <c r="D3703" s="832">
        <v>115.57</v>
      </c>
    </row>
    <row r="3704" spans="1:4" x14ac:dyDescent="0.3">
      <c r="A3704" s="830">
        <v>92656</v>
      </c>
      <c r="B3704" s="831" t="s">
        <v>8159</v>
      </c>
      <c r="C3704" s="830" t="s">
        <v>194</v>
      </c>
      <c r="D3704" s="832">
        <v>150.77000000000001</v>
      </c>
    </row>
    <row r="3705" spans="1:4" x14ac:dyDescent="0.3">
      <c r="A3705" s="830">
        <v>92687</v>
      </c>
      <c r="B3705" s="831" t="s">
        <v>8160</v>
      </c>
      <c r="C3705" s="830" t="s">
        <v>194</v>
      </c>
      <c r="D3705" s="832">
        <v>29.02</v>
      </c>
    </row>
    <row r="3706" spans="1:4" x14ac:dyDescent="0.3">
      <c r="A3706" s="830">
        <v>92688</v>
      </c>
      <c r="B3706" s="831" t="s">
        <v>8161</v>
      </c>
      <c r="C3706" s="830" t="s">
        <v>194</v>
      </c>
      <c r="D3706" s="832">
        <v>40.93</v>
      </c>
    </row>
    <row r="3707" spans="1:4" x14ac:dyDescent="0.3">
      <c r="A3707" s="830">
        <v>92689</v>
      </c>
      <c r="B3707" s="831" t="s">
        <v>8162</v>
      </c>
      <c r="C3707" s="830" t="s">
        <v>194</v>
      </c>
      <c r="D3707" s="832">
        <v>49.29</v>
      </c>
    </row>
    <row r="3708" spans="1:4" x14ac:dyDescent="0.3">
      <c r="A3708" s="830">
        <v>92690</v>
      </c>
      <c r="B3708" s="831" t="s">
        <v>8163</v>
      </c>
      <c r="C3708" s="830" t="s">
        <v>194</v>
      </c>
      <c r="D3708" s="832">
        <v>70.73</v>
      </c>
    </row>
    <row r="3709" spans="1:4" x14ac:dyDescent="0.3">
      <c r="A3709" s="830">
        <v>92691</v>
      </c>
      <c r="B3709" s="831" t="s">
        <v>8164</v>
      </c>
      <c r="C3709" s="830" t="s">
        <v>194</v>
      </c>
      <c r="D3709" s="832">
        <v>93.44</v>
      </c>
    </row>
    <row r="3710" spans="1:4" x14ac:dyDescent="0.3">
      <c r="A3710" s="830">
        <v>94462</v>
      </c>
      <c r="B3710" s="831" t="s">
        <v>8165</v>
      </c>
      <c r="C3710" s="830" t="s">
        <v>194</v>
      </c>
      <c r="D3710" s="832">
        <v>98.55</v>
      </c>
    </row>
    <row r="3711" spans="1:4" x14ac:dyDescent="0.3">
      <c r="A3711" s="830">
        <v>94463</v>
      </c>
      <c r="B3711" s="831" t="s">
        <v>8166</v>
      </c>
      <c r="C3711" s="830" t="s">
        <v>194</v>
      </c>
      <c r="D3711" s="832">
        <v>120.81</v>
      </c>
    </row>
    <row r="3712" spans="1:4" x14ac:dyDescent="0.3">
      <c r="A3712" s="830">
        <v>94464</v>
      </c>
      <c r="B3712" s="831" t="s">
        <v>8167</v>
      </c>
      <c r="C3712" s="830" t="s">
        <v>194</v>
      </c>
      <c r="D3712" s="832">
        <v>158.63999999999999</v>
      </c>
    </row>
    <row r="3713" spans="1:4" x14ac:dyDescent="0.3">
      <c r="A3713" s="830">
        <v>94602</v>
      </c>
      <c r="B3713" s="831" t="s">
        <v>8168</v>
      </c>
      <c r="C3713" s="830" t="s">
        <v>194</v>
      </c>
      <c r="D3713" s="832">
        <v>357.04</v>
      </c>
    </row>
    <row r="3714" spans="1:4" x14ac:dyDescent="0.3">
      <c r="A3714" s="830">
        <v>94603</v>
      </c>
      <c r="B3714" s="831" t="s">
        <v>8169</v>
      </c>
      <c r="C3714" s="830" t="s">
        <v>194</v>
      </c>
      <c r="D3714" s="832">
        <v>493.22</v>
      </c>
    </row>
    <row r="3715" spans="1:4" x14ac:dyDescent="0.3">
      <c r="A3715" s="830">
        <v>94604</v>
      </c>
      <c r="B3715" s="831" t="s">
        <v>8170</v>
      </c>
      <c r="C3715" s="830" t="s">
        <v>194</v>
      </c>
      <c r="D3715" s="832">
        <v>709.41</v>
      </c>
    </row>
    <row r="3716" spans="1:4" x14ac:dyDescent="0.3">
      <c r="A3716" s="830">
        <v>94605</v>
      </c>
      <c r="B3716" s="831" t="s">
        <v>8171</v>
      </c>
      <c r="C3716" s="830" t="s">
        <v>194</v>
      </c>
      <c r="D3716" s="832">
        <v>1034.6400000000001</v>
      </c>
    </row>
    <row r="3717" spans="1:4" x14ac:dyDescent="0.3">
      <c r="A3717" s="830">
        <v>94648</v>
      </c>
      <c r="B3717" s="831" t="s">
        <v>8172</v>
      </c>
      <c r="C3717" s="830" t="s">
        <v>194</v>
      </c>
      <c r="D3717" s="832">
        <v>7.04</v>
      </c>
    </row>
    <row r="3718" spans="1:4" x14ac:dyDescent="0.3">
      <c r="A3718" s="830">
        <v>94649</v>
      </c>
      <c r="B3718" s="831" t="s">
        <v>8173</v>
      </c>
      <c r="C3718" s="830" t="s">
        <v>194</v>
      </c>
      <c r="D3718" s="832">
        <v>13.06</v>
      </c>
    </row>
    <row r="3719" spans="1:4" x14ac:dyDescent="0.3">
      <c r="A3719" s="830">
        <v>94650</v>
      </c>
      <c r="B3719" s="831" t="s">
        <v>8174</v>
      </c>
      <c r="C3719" s="830" t="s">
        <v>194</v>
      </c>
      <c r="D3719" s="832">
        <v>19.77</v>
      </c>
    </row>
    <row r="3720" spans="1:4" x14ac:dyDescent="0.3">
      <c r="A3720" s="830">
        <v>94651</v>
      </c>
      <c r="B3720" s="831" t="s">
        <v>8175</v>
      </c>
      <c r="C3720" s="830" t="s">
        <v>194</v>
      </c>
      <c r="D3720" s="832">
        <v>22.98</v>
      </c>
    </row>
    <row r="3721" spans="1:4" x14ac:dyDescent="0.3">
      <c r="A3721" s="830">
        <v>94652</v>
      </c>
      <c r="B3721" s="831" t="s">
        <v>8176</v>
      </c>
      <c r="C3721" s="830" t="s">
        <v>194</v>
      </c>
      <c r="D3721" s="832">
        <v>36</v>
      </c>
    </row>
    <row r="3722" spans="1:4" x14ac:dyDescent="0.3">
      <c r="A3722" s="830">
        <v>94653</v>
      </c>
      <c r="B3722" s="831" t="s">
        <v>8177</v>
      </c>
      <c r="C3722" s="830" t="s">
        <v>194</v>
      </c>
      <c r="D3722" s="832">
        <v>58.14</v>
      </c>
    </row>
    <row r="3723" spans="1:4" x14ac:dyDescent="0.3">
      <c r="A3723" s="830">
        <v>94654</v>
      </c>
      <c r="B3723" s="831" t="s">
        <v>8178</v>
      </c>
      <c r="C3723" s="830" t="s">
        <v>194</v>
      </c>
      <c r="D3723" s="832">
        <v>79.209999999999994</v>
      </c>
    </row>
    <row r="3724" spans="1:4" x14ac:dyDescent="0.3">
      <c r="A3724" s="830">
        <v>94655</v>
      </c>
      <c r="B3724" s="831" t="s">
        <v>8179</v>
      </c>
      <c r="C3724" s="830" t="s">
        <v>194</v>
      </c>
      <c r="D3724" s="832">
        <v>124.75</v>
      </c>
    </row>
    <row r="3725" spans="1:4" x14ac:dyDescent="0.3">
      <c r="A3725" s="830">
        <v>94716</v>
      </c>
      <c r="B3725" s="831" t="s">
        <v>8180</v>
      </c>
      <c r="C3725" s="830" t="s">
        <v>194</v>
      </c>
      <c r="D3725" s="832">
        <v>22.41</v>
      </c>
    </row>
    <row r="3726" spans="1:4" x14ac:dyDescent="0.3">
      <c r="A3726" s="830">
        <v>94717</v>
      </c>
      <c r="B3726" s="831" t="s">
        <v>8181</v>
      </c>
      <c r="C3726" s="830" t="s">
        <v>194</v>
      </c>
      <c r="D3726" s="832">
        <v>37.57</v>
      </c>
    </row>
    <row r="3727" spans="1:4" x14ac:dyDescent="0.3">
      <c r="A3727" s="830">
        <v>94718</v>
      </c>
      <c r="B3727" s="831" t="s">
        <v>8182</v>
      </c>
      <c r="C3727" s="830" t="s">
        <v>194</v>
      </c>
      <c r="D3727" s="832">
        <v>49.07</v>
      </c>
    </row>
    <row r="3728" spans="1:4" x14ac:dyDescent="0.3">
      <c r="A3728" s="830">
        <v>94719</v>
      </c>
      <c r="B3728" s="831" t="s">
        <v>8183</v>
      </c>
      <c r="C3728" s="830" t="s">
        <v>194</v>
      </c>
      <c r="D3728" s="832">
        <v>65.48</v>
      </c>
    </row>
    <row r="3729" spans="1:4" x14ac:dyDescent="0.3">
      <c r="A3729" s="830">
        <v>94720</v>
      </c>
      <c r="B3729" s="831" t="s">
        <v>8184</v>
      </c>
      <c r="C3729" s="830" t="s">
        <v>194</v>
      </c>
      <c r="D3729" s="832">
        <v>95.89</v>
      </c>
    </row>
    <row r="3730" spans="1:4" x14ac:dyDescent="0.3">
      <c r="A3730" s="830">
        <v>94721</v>
      </c>
      <c r="B3730" s="831" t="s">
        <v>8185</v>
      </c>
      <c r="C3730" s="830" t="s">
        <v>194</v>
      </c>
      <c r="D3730" s="832">
        <v>155.44999999999999</v>
      </c>
    </row>
    <row r="3731" spans="1:4" x14ac:dyDescent="0.3">
      <c r="A3731" s="830">
        <v>94722</v>
      </c>
      <c r="B3731" s="831" t="s">
        <v>8186</v>
      </c>
      <c r="C3731" s="830" t="s">
        <v>194</v>
      </c>
      <c r="D3731" s="832">
        <v>242.39</v>
      </c>
    </row>
    <row r="3732" spans="1:4" x14ac:dyDescent="0.3">
      <c r="A3732" s="830">
        <v>94723</v>
      </c>
      <c r="B3732" s="831" t="s">
        <v>8187</v>
      </c>
      <c r="C3732" s="830" t="s">
        <v>194</v>
      </c>
      <c r="D3732" s="832">
        <v>456.17</v>
      </c>
    </row>
    <row r="3733" spans="1:4" x14ac:dyDescent="0.3">
      <c r="A3733" s="830">
        <v>95697</v>
      </c>
      <c r="B3733" s="831" t="s">
        <v>8188</v>
      </c>
      <c r="C3733" s="830" t="s">
        <v>194</v>
      </c>
      <c r="D3733" s="832">
        <v>95.48</v>
      </c>
    </row>
    <row r="3734" spans="1:4" x14ac:dyDescent="0.3">
      <c r="A3734" s="830">
        <v>96635</v>
      </c>
      <c r="B3734" s="831" t="s">
        <v>8189</v>
      </c>
      <c r="C3734" s="830" t="s">
        <v>194</v>
      </c>
      <c r="D3734" s="832">
        <v>44.82</v>
      </c>
    </row>
    <row r="3735" spans="1:4" x14ac:dyDescent="0.3">
      <c r="A3735" s="830">
        <v>96636</v>
      </c>
      <c r="B3735" s="831" t="s">
        <v>8190</v>
      </c>
      <c r="C3735" s="830" t="s">
        <v>194</v>
      </c>
      <c r="D3735" s="832">
        <v>47.54</v>
      </c>
    </row>
    <row r="3736" spans="1:4" x14ac:dyDescent="0.3">
      <c r="A3736" s="830">
        <v>96644</v>
      </c>
      <c r="B3736" s="831" t="s">
        <v>8191</v>
      </c>
      <c r="C3736" s="830" t="s">
        <v>194</v>
      </c>
      <c r="D3736" s="832">
        <v>24.84</v>
      </c>
    </row>
    <row r="3737" spans="1:4" x14ac:dyDescent="0.3">
      <c r="A3737" s="830">
        <v>96645</v>
      </c>
      <c r="B3737" s="831" t="s">
        <v>8192</v>
      </c>
      <c r="C3737" s="830" t="s">
        <v>194</v>
      </c>
      <c r="D3737" s="832">
        <v>21.96</v>
      </c>
    </row>
    <row r="3738" spans="1:4" x14ac:dyDescent="0.3">
      <c r="A3738" s="830">
        <v>96646</v>
      </c>
      <c r="B3738" s="831" t="s">
        <v>8193</v>
      </c>
      <c r="C3738" s="830" t="s">
        <v>194</v>
      </c>
      <c r="D3738" s="832">
        <v>26.92</v>
      </c>
    </row>
    <row r="3739" spans="1:4" x14ac:dyDescent="0.3">
      <c r="A3739" s="830">
        <v>96647</v>
      </c>
      <c r="B3739" s="831" t="s">
        <v>8194</v>
      </c>
      <c r="C3739" s="830" t="s">
        <v>194</v>
      </c>
      <c r="D3739" s="832">
        <v>26.99</v>
      </c>
    </row>
    <row r="3740" spans="1:4" x14ac:dyDescent="0.3">
      <c r="A3740" s="830">
        <v>96648</v>
      </c>
      <c r="B3740" s="831" t="s">
        <v>8195</v>
      </c>
      <c r="C3740" s="830" t="s">
        <v>194</v>
      </c>
      <c r="D3740" s="832">
        <v>33.380000000000003</v>
      </c>
    </row>
    <row r="3741" spans="1:4" x14ac:dyDescent="0.3">
      <c r="A3741" s="830">
        <v>96649</v>
      </c>
      <c r="B3741" s="831" t="s">
        <v>8196</v>
      </c>
      <c r="C3741" s="830" t="s">
        <v>194</v>
      </c>
      <c r="D3741" s="832">
        <v>44.29</v>
      </c>
    </row>
    <row r="3742" spans="1:4" x14ac:dyDescent="0.3">
      <c r="A3742" s="830">
        <v>96668</v>
      </c>
      <c r="B3742" s="831" t="s">
        <v>8197</v>
      </c>
      <c r="C3742" s="830" t="s">
        <v>194</v>
      </c>
      <c r="D3742" s="832">
        <v>19.53</v>
      </c>
    </row>
    <row r="3743" spans="1:4" x14ac:dyDescent="0.3">
      <c r="A3743" s="830">
        <v>96669</v>
      </c>
      <c r="B3743" s="831" t="s">
        <v>8198</v>
      </c>
      <c r="C3743" s="830" t="s">
        <v>194</v>
      </c>
      <c r="D3743" s="832">
        <v>19.13</v>
      </c>
    </row>
    <row r="3744" spans="1:4" x14ac:dyDescent="0.3">
      <c r="A3744" s="830">
        <v>96670</v>
      </c>
      <c r="B3744" s="831" t="s">
        <v>8199</v>
      </c>
      <c r="C3744" s="830" t="s">
        <v>194</v>
      </c>
      <c r="D3744" s="832">
        <v>24.89</v>
      </c>
    </row>
    <row r="3745" spans="1:4" x14ac:dyDescent="0.3">
      <c r="A3745" s="830">
        <v>96671</v>
      </c>
      <c r="B3745" s="831" t="s">
        <v>8200</v>
      </c>
      <c r="C3745" s="830" t="s">
        <v>194</v>
      </c>
      <c r="D3745" s="832">
        <v>37.75</v>
      </c>
    </row>
    <row r="3746" spans="1:4" x14ac:dyDescent="0.3">
      <c r="A3746" s="830">
        <v>96672</v>
      </c>
      <c r="B3746" s="831" t="s">
        <v>8201</v>
      </c>
      <c r="C3746" s="830" t="s">
        <v>194</v>
      </c>
      <c r="D3746" s="832">
        <v>57.63</v>
      </c>
    </row>
    <row r="3747" spans="1:4" x14ac:dyDescent="0.3">
      <c r="A3747" s="830">
        <v>96673</v>
      </c>
      <c r="B3747" s="831" t="s">
        <v>8202</v>
      </c>
      <c r="C3747" s="830" t="s">
        <v>194</v>
      </c>
      <c r="D3747" s="832">
        <v>72.680000000000007</v>
      </c>
    </row>
    <row r="3748" spans="1:4" x14ac:dyDescent="0.3">
      <c r="A3748" s="830">
        <v>96674</v>
      </c>
      <c r="B3748" s="831" t="s">
        <v>8203</v>
      </c>
      <c r="C3748" s="830" t="s">
        <v>194</v>
      </c>
      <c r="D3748" s="832">
        <v>117.75</v>
      </c>
    </row>
    <row r="3749" spans="1:4" x14ac:dyDescent="0.3">
      <c r="A3749" s="830">
        <v>96675</v>
      </c>
      <c r="B3749" s="831" t="s">
        <v>8204</v>
      </c>
      <c r="C3749" s="830" t="s">
        <v>194</v>
      </c>
      <c r="D3749" s="832">
        <v>171.34</v>
      </c>
    </row>
    <row r="3750" spans="1:4" x14ac:dyDescent="0.3">
      <c r="A3750" s="830">
        <v>96676</v>
      </c>
      <c r="B3750" s="831" t="s">
        <v>8205</v>
      </c>
      <c r="C3750" s="830" t="s">
        <v>194</v>
      </c>
      <c r="D3750" s="832">
        <v>24.55</v>
      </c>
    </row>
    <row r="3751" spans="1:4" x14ac:dyDescent="0.3">
      <c r="A3751" s="830">
        <v>96677</v>
      </c>
      <c r="B3751" s="831" t="s">
        <v>8206</v>
      </c>
      <c r="C3751" s="830" t="s">
        <v>194</v>
      </c>
      <c r="D3751" s="832">
        <v>32.020000000000003</v>
      </c>
    </row>
    <row r="3752" spans="1:4" x14ac:dyDescent="0.3">
      <c r="A3752" s="830">
        <v>96678</v>
      </c>
      <c r="B3752" s="831" t="s">
        <v>8207</v>
      </c>
      <c r="C3752" s="830" t="s">
        <v>194</v>
      </c>
      <c r="D3752" s="832">
        <v>44.15</v>
      </c>
    </row>
    <row r="3753" spans="1:4" x14ac:dyDescent="0.3">
      <c r="A3753" s="830">
        <v>96679</v>
      </c>
      <c r="B3753" s="831" t="s">
        <v>8208</v>
      </c>
      <c r="C3753" s="830" t="s">
        <v>194</v>
      </c>
      <c r="D3753" s="832">
        <v>65.91</v>
      </c>
    </row>
    <row r="3754" spans="1:4" x14ac:dyDescent="0.3">
      <c r="A3754" s="830">
        <v>96680</v>
      </c>
      <c r="B3754" s="831" t="s">
        <v>8209</v>
      </c>
      <c r="C3754" s="830" t="s">
        <v>194</v>
      </c>
      <c r="D3754" s="832">
        <v>109.21</v>
      </c>
    </row>
    <row r="3755" spans="1:4" x14ac:dyDescent="0.3">
      <c r="A3755" s="830">
        <v>96681</v>
      </c>
      <c r="B3755" s="831" t="s">
        <v>8210</v>
      </c>
      <c r="C3755" s="830" t="s">
        <v>194</v>
      </c>
      <c r="D3755" s="832">
        <v>147.02000000000001</v>
      </c>
    </row>
    <row r="3756" spans="1:4" x14ac:dyDescent="0.3">
      <c r="A3756" s="830">
        <v>96682</v>
      </c>
      <c r="B3756" s="831" t="s">
        <v>8211</v>
      </c>
      <c r="C3756" s="830" t="s">
        <v>194</v>
      </c>
      <c r="D3756" s="832">
        <v>242.92</v>
      </c>
    </row>
    <row r="3757" spans="1:4" x14ac:dyDescent="0.3">
      <c r="A3757" s="830">
        <v>96683</v>
      </c>
      <c r="B3757" s="831" t="s">
        <v>8212</v>
      </c>
      <c r="C3757" s="830" t="s">
        <v>194</v>
      </c>
      <c r="D3757" s="832">
        <v>333.58</v>
      </c>
    </row>
    <row r="3758" spans="1:4" x14ac:dyDescent="0.3">
      <c r="A3758" s="830">
        <v>96718</v>
      </c>
      <c r="B3758" s="831" t="s">
        <v>8213</v>
      </c>
      <c r="C3758" s="830" t="s">
        <v>194</v>
      </c>
      <c r="D3758" s="832">
        <v>15.86</v>
      </c>
    </row>
    <row r="3759" spans="1:4" x14ac:dyDescent="0.3">
      <c r="A3759" s="830">
        <v>96719</v>
      </c>
      <c r="B3759" s="831" t="s">
        <v>8214</v>
      </c>
      <c r="C3759" s="830" t="s">
        <v>194</v>
      </c>
      <c r="D3759" s="832">
        <v>20.38</v>
      </c>
    </row>
    <row r="3760" spans="1:4" x14ac:dyDescent="0.3">
      <c r="A3760" s="830">
        <v>96720</v>
      </c>
      <c r="B3760" s="831" t="s">
        <v>8215</v>
      </c>
      <c r="C3760" s="830" t="s">
        <v>194</v>
      </c>
      <c r="D3760" s="832">
        <v>18.37</v>
      </c>
    </row>
    <row r="3761" spans="1:4" x14ac:dyDescent="0.3">
      <c r="A3761" s="830">
        <v>96721</v>
      </c>
      <c r="B3761" s="831" t="s">
        <v>8216</v>
      </c>
      <c r="C3761" s="830" t="s">
        <v>194</v>
      </c>
      <c r="D3761" s="832">
        <v>23.93</v>
      </c>
    </row>
    <row r="3762" spans="1:4" x14ac:dyDescent="0.3">
      <c r="A3762" s="830">
        <v>96722</v>
      </c>
      <c r="B3762" s="831" t="s">
        <v>8217</v>
      </c>
      <c r="C3762" s="830" t="s">
        <v>194</v>
      </c>
      <c r="D3762" s="832">
        <v>36.869999999999997</v>
      </c>
    </row>
    <row r="3763" spans="1:4" x14ac:dyDescent="0.3">
      <c r="A3763" s="830">
        <v>96723</v>
      </c>
      <c r="B3763" s="831" t="s">
        <v>8218</v>
      </c>
      <c r="C3763" s="830" t="s">
        <v>194</v>
      </c>
      <c r="D3763" s="832">
        <v>57.46</v>
      </c>
    </row>
    <row r="3764" spans="1:4" x14ac:dyDescent="0.3">
      <c r="A3764" s="830">
        <v>96724</v>
      </c>
      <c r="B3764" s="831" t="s">
        <v>8219</v>
      </c>
      <c r="C3764" s="830" t="s">
        <v>194</v>
      </c>
      <c r="D3764" s="832">
        <v>73.75</v>
      </c>
    </row>
    <row r="3765" spans="1:4" x14ac:dyDescent="0.3">
      <c r="A3765" s="830">
        <v>96725</v>
      </c>
      <c r="B3765" s="831" t="s">
        <v>8220</v>
      </c>
      <c r="C3765" s="830" t="s">
        <v>194</v>
      </c>
      <c r="D3765" s="832">
        <v>121.13</v>
      </c>
    </row>
    <row r="3766" spans="1:4" x14ac:dyDescent="0.3">
      <c r="A3766" s="830">
        <v>96726</v>
      </c>
      <c r="B3766" s="831" t="s">
        <v>8221</v>
      </c>
      <c r="C3766" s="830" t="s">
        <v>194</v>
      </c>
      <c r="D3766" s="832">
        <v>179.17</v>
      </c>
    </row>
    <row r="3767" spans="1:4" x14ac:dyDescent="0.3">
      <c r="A3767" s="830">
        <v>96727</v>
      </c>
      <c r="B3767" s="831" t="s">
        <v>8222</v>
      </c>
      <c r="C3767" s="830" t="s">
        <v>194</v>
      </c>
      <c r="D3767" s="832">
        <v>18.010000000000002</v>
      </c>
    </row>
    <row r="3768" spans="1:4" x14ac:dyDescent="0.3">
      <c r="A3768" s="830">
        <v>96728</v>
      </c>
      <c r="B3768" s="831" t="s">
        <v>8223</v>
      </c>
      <c r="C3768" s="830" t="s">
        <v>194</v>
      </c>
      <c r="D3768" s="832">
        <v>23.36</v>
      </c>
    </row>
    <row r="3769" spans="1:4" x14ac:dyDescent="0.3">
      <c r="A3769" s="830">
        <v>96729</v>
      </c>
      <c r="B3769" s="831" t="s">
        <v>8224</v>
      </c>
      <c r="C3769" s="830" t="s">
        <v>194</v>
      </c>
      <c r="D3769" s="832">
        <v>30.22</v>
      </c>
    </row>
    <row r="3770" spans="1:4" x14ac:dyDescent="0.3">
      <c r="A3770" s="830">
        <v>96730</v>
      </c>
      <c r="B3770" s="831" t="s">
        <v>8225</v>
      </c>
      <c r="C3770" s="830" t="s">
        <v>194</v>
      </c>
      <c r="D3770" s="832">
        <v>41.92</v>
      </c>
    </row>
    <row r="3771" spans="1:4" x14ac:dyDescent="0.3">
      <c r="A3771" s="830">
        <v>96731</v>
      </c>
      <c r="B3771" s="831" t="s">
        <v>8226</v>
      </c>
      <c r="C3771" s="830" t="s">
        <v>194</v>
      </c>
      <c r="D3771" s="832">
        <v>63.56</v>
      </c>
    </row>
    <row r="3772" spans="1:4" x14ac:dyDescent="0.3">
      <c r="A3772" s="830">
        <v>96732</v>
      </c>
      <c r="B3772" s="831" t="s">
        <v>8227</v>
      </c>
      <c r="C3772" s="830" t="s">
        <v>194</v>
      </c>
      <c r="D3772" s="832">
        <v>107.46</v>
      </c>
    </row>
    <row r="3773" spans="1:4" x14ac:dyDescent="0.3">
      <c r="A3773" s="830">
        <v>96733</v>
      </c>
      <c r="B3773" s="831" t="s">
        <v>8228</v>
      </c>
      <c r="C3773" s="830" t="s">
        <v>194</v>
      </c>
      <c r="D3773" s="832">
        <v>146.5</v>
      </c>
    </row>
    <row r="3774" spans="1:4" x14ac:dyDescent="0.3">
      <c r="A3774" s="830">
        <v>96734</v>
      </c>
      <c r="B3774" s="831" t="s">
        <v>8229</v>
      </c>
      <c r="C3774" s="830" t="s">
        <v>194</v>
      </c>
      <c r="D3774" s="832">
        <v>244.93</v>
      </c>
    </row>
    <row r="3775" spans="1:4" x14ac:dyDescent="0.3">
      <c r="A3775" s="830">
        <v>96735</v>
      </c>
      <c r="B3775" s="831" t="s">
        <v>8230</v>
      </c>
      <c r="C3775" s="830" t="s">
        <v>194</v>
      </c>
      <c r="D3775" s="832">
        <v>340.59</v>
      </c>
    </row>
    <row r="3776" spans="1:4" x14ac:dyDescent="0.3">
      <c r="A3776" s="830">
        <v>96798</v>
      </c>
      <c r="B3776" s="831" t="s">
        <v>8231</v>
      </c>
      <c r="C3776" s="830" t="s">
        <v>194</v>
      </c>
      <c r="D3776" s="832">
        <v>7.97</v>
      </c>
    </row>
    <row r="3777" spans="1:4" x14ac:dyDescent="0.3">
      <c r="A3777" s="830">
        <v>96799</v>
      </c>
      <c r="B3777" s="831" t="s">
        <v>8232</v>
      </c>
      <c r="C3777" s="830" t="s">
        <v>194</v>
      </c>
      <c r="D3777" s="832">
        <v>10.199999999999999</v>
      </c>
    </row>
    <row r="3778" spans="1:4" x14ac:dyDescent="0.3">
      <c r="A3778" s="830">
        <v>96800</v>
      </c>
      <c r="B3778" s="831" t="s">
        <v>8233</v>
      </c>
      <c r="C3778" s="830" t="s">
        <v>194</v>
      </c>
      <c r="D3778" s="832">
        <v>13.86</v>
      </c>
    </row>
    <row r="3779" spans="1:4" x14ac:dyDescent="0.3">
      <c r="A3779" s="830">
        <v>96801</v>
      </c>
      <c r="B3779" s="831" t="s">
        <v>8234</v>
      </c>
      <c r="C3779" s="830" t="s">
        <v>194</v>
      </c>
      <c r="D3779" s="832">
        <v>20.9</v>
      </c>
    </row>
    <row r="3780" spans="1:4" x14ac:dyDescent="0.3">
      <c r="A3780" s="830">
        <v>97327</v>
      </c>
      <c r="B3780" s="831" t="s">
        <v>8235</v>
      </c>
      <c r="C3780" s="830" t="s">
        <v>194</v>
      </c>
      <c r="D3780" s="832">
        <v>40.06</v>
      </c>
    </row>
    <row r="3781" spans="1:4" x14ac:dyDescent="0.3">
      <c r="A3781" s="830">
        <v>97328</v>
      </c>
      <c r="B3781" s="831" t="s">
        <v>8236</v>
      </c>
      <c r="C3781" s="830" t="s">
        <v>194</v>
      </c>
      <c r="D3781" s="832">
        <v>64.03</v>
      </c>
    </row>
    <row r="3782" spans="1:4" x14ac:dyDescent="0.3">
      <c r="A3782" s="830">
        <v>97329</v>
      </c>
      <c r="B3782" s="831" t="s">
        <v>8237</v>
      </c>
      <c r="C3782" s="830" t="s">
        <v>194</v>
      </c>
      <c r="D3782" s="832">
        <v>83.58</v>
      </c>
    </row>
    <row r="3783" spans="1:4" x14ac:dyDescent="0.3">
      <c r="A3783" s="830">
        <v>97330</v>
      </c>
      <c r="B3783" s="831" t="s">
        <v>8238</v>
      </c>
      <c r="C3783" s="830" t="s">
        <v>194</v>
      </c>
      <c r="D3783" s="832">
        <v>102.82</v>
      </c>
    </row>
    <row r="3784" spans="1:4" x14ac:dyDescent="0.3">
      <c r="A3784" s="830">
        <v>97331</v>
      </c>
      <c r="B3784" s="831" t="s">
        <v>8239</v>
      </c>
      <c r="C3784" s="830" t="s">
        <v>194</v>
      </c>
      <c r="D3784" s="832">
        <v>40.44</v>
      </c>
    </row>
    <row r="3785" spans="1:4" x14ac:dyDescent="0.3">
      <c r="A3785" s="830">
        <v>97332</v>
      </c>
      <c r="B3785" s="831" t="s">
        <v>8240</v>
      </c>
      <c r="C3785" s="830" t="s">
        <v>194</v>
      </c>
      <c r="D3785" s="832">
        <v>64.47</v>
      </c>
    </row>
    <row r="3786" spans="1:4" x14ac:dyDescent="0.3">
      <c r="A3786" s="830">
        <v>97333</v>
      </c>
      <c r="B3786" s="831" t="s">
        <v>8241</v>
      </c>
      <c r="C3786" s="830" t="s">
        <v>194</v>
      </c>
      <c r="D3786" s="832">
        <v>84.11</v>
      </c>
    </row>
    <row r="3787" spans="1:4" x14ac:dyDescent="0.3">
      <c r="A3787" s="830">
        <v>97334</v>
      </c>
      <c r="B3787" s="831" t="s">
        <v>8242</v>
      </c>
      <c r="C3787" s="830" t="s">
        <v>194</v>
      </c>
      <c r="D3787" s="832">
        <v>103.41</v>
      </c>
    </row>
    <row r="3788" spans="1:4" x14ac:dyDescent="0.3">
      <c r="A3788" s="830">
        <v>97335</v>
      </c>
      <c r="B3788" s="831" t="s">
        <v>8243</v>
      </c>
      <c r="C3788" s="830" t="s">
        <v>194</v>
      </c>
      <c r="D3788" s="832">
        <v>135.63999999999999</v>
      </c>
    </row>
    <row r="3789" spans="1:4" x14ac:dyDescent="0.3">
      <c r="A3789" s="830">
        <v>97336</v>
      </c>
      <c r="B3789" s="831" t="s">
        <v>8244</v>
      </c>
      <c r="C3789" s="830" t="s">
        <v>194</v>
      </c>
      <c r="D3789" s="832">
        <v>172.58</v>
      </c>
    </row>
    <row r="3790" spans="1:4" x14ac:dyDescent="0.3">
      <c r="A3790" s="830">
        <v>97337</v>
      </c>
      <c r="B3790" s="831" t="s">
        <v>8245</v>
      </c>
      <c r="C3790" s="830" t="s">
        <v>194</v>
      </c>
      <c r="D3790" s="832">
        <v>259.91000000000003</v>
      </c>
    </row>
    <row r="3791" spans="1:4" x14ac:dyDescent="0.3">
      <c r="A3791" s="830">
        <v>97338</v>
      </c>
      <c r="B3791" s="831" t="s">
        <v>8246</v>
      </c>
      <c r="C3791" s="830" t="s">
        <v>194</v>
      </c>
      <c r="D3791" s="832">
        <v>312.74</v>
      </c>
    </row>
    <row r="3792" spans="1:4" x14ac:dyDescent="0.3">
      <c r="A3792" s="830">
        <v>97339</v>
      </c>
      <c r="B3792" s="831" t="s">
        <v>8247</v>
      </c>
      <c r="C3792" s="830" t="s">
        <v>194</v>
      </c>
      <c r="D3792" s="832">
        <v>336.34</v>
      </c>
    </row>
    <row r="3793" spans="1:4" x14ac:dyDescent="0.3">
      <c r="A3793" s="830">
        <v>97340</v>
      </c>
      <c r="B3793" s="831" t="s">
        <v>8248</v>
      </c>
      <c r="C3793" s="830" t="s">
        <v>194</v>
      </c>
      <c r="D3793" s="832">
        <v>337.71</v>
      </c>
    </row>
    <row r="3794" spans="1:4" x14ac:dyDescent="0.3">
      <c r="A3794" s="830">
        <v>97498</v>
      </c>
      <c r="B3794" s="831" t="s">
        <v>8249</v>
      </c>
      <c r="C3794" s="830" t="s">
        <v>194</v>
      </c>
      <c r="D3794" s="832">
        <v>45.77</v>
      </c>
    </row>
    <row r="3795" spans="1:4" x14ac:dyDescent="0.3">
      <c r="A3795" s="830">
        <v>97535</v>
      </c>
      <c r="B3795" s="831" t="s">
        <v>8250</v>
      </c>
      <c r="C3795" s="830" t="s">
        <v>194</v>
      </c>
      <c r="D3795" s="832">
        <v>51</v>
      </c>
    </row>
    <row r="3796" spans="1:4" x14ac:dyDescent="0.3">
      <c r="A3796" s="830">
        <v>97536</v>
      </c>
      <c r="B3796" s="831" t="s">
        <v>8251</v>
      </c>
      <c r="C3796" s="830" t="s">
        <v>194</v>
      </c>
      <c r="D3796" s="832">
        <v>63.03</v>
      </c>
    </row>
    <row r="3797" spans="1:4" x14ac:dyDescent="0.3">
      <c r="A3797" s="830">
        <v>100788</v>
      </c>
      <c r="B3797" s="831" t="s">
        <v>8252</v>
      </c>
      <c r="C3797" s="830" t="s">
        <v>89</v>
      </c>
      <c r="D3797" s="832">
        <v>776.78</v>
      </c>
    </row>
    <row r="3798" spans="1:4" x14ac:dyDescent="0.3">
      <c r="A3798" s="830">
        <v>100791</v>
      </c>
      <c r="B3798" s="831" t="s">
        <v>8253</v>
      </c>
      <c r="C3798" s="830" t="s">
        <v>194</v>
      </c>
      <c r="D3798" s="832">
        <v>17.54</v>
      </c>
    </row>
    <row r="3799" spans="1:4" x14ac:dyDescent="0.3">
      <c r="A3799" s="830">
        <v>100792</v>
      </c>
      <c r="B3799" s="831" t="s">
        <v>8254</v>
      </c>
      <c r="C3799" s="830" t="s">
        <v>194</v>
      </c>
      <c r="D3799" s="832">
        <v>24.87</v>
      </c>
    </row>
    <row r="3800" spans="1:4" x14ac:dyDescent="0.3">
      <c r="A3800" s="830">
        <v>100793</v>
      </c>
      <c r="B3800" s="831" t="s">
        <v>8255</v>
      </c>
      <c r="C3800" s="830" t="s">
        <v>194</v>
      </c>
      <c r="D3800" s="832">
        <v>32.53</v>
      </c>
    </row>
    <row r="3801" spans="1:4" x14ac:dyDescent="0.3">
      <c r="A3801" s="830">
        <v>100794</v>
      </c>
      <c r="B3801" s="831" t="s">
        <v>8256</v>
      </c>
      <c r="C3801" s="830" t="s">
        <v>194</v>
      </c>
      <c r="D3801" s="832">
        <v>43.38</v>
      </c>
    </row>
    <row r="3802" spans="1:4" x14ac:dyDescent="0.3">
      <c r="A3802" s="830">
        <v>100799</v>
      </c>
      <c r="B3802" s="831" t="s">
        <v>8257</v>
      </c>
      <c r="C3802" s="830" t="s">
        <v>194</v>
      </c>
      <c r="D3802" s="832">
        <v>18.07</v>
      </c>
    </row>
    <row r="3803" spans="1:4" x14ac:dyDescent="0.3">
      <c r="A3803" s="830">
        <v>100800</v>
      </c>
      <c r="B3803" s="831" t="s">
        <v>8258</v>
      </c>
      <c r="C3803" s="830" t="s">
        <v>194</v>
      </c>
      <c r="D3803" s="832">
        <v>25.41</v>
      </c>
    </row>
    <row r="3804" spans="1:4" x14ac:dyDescent="0.3">
      <c r="A3804" s="830">
        <v>100801</v>
      </c>
      <c r="B3804" s="831" t="s">
        <v>8259</v>
      </c>
      <c r="C3804" s="830" t="s">
        <v>194</v>
      </c>
      <c r="D3804" s="832">
        <v>33.07</v>
      </c>
    </row>
    <row r="3805" spans="1:4" x14ac:dyDescent="0.3">
      <c r="A3805" s="830">
        <v>100802</v>
      </c>
      <c r="B3805" s="831" t="s">
        <v>8260</v>
      </c>
      <c r="C3805" s="830" t="s">
        <v>194</v>
      </c>
      <c r="D3805" s="832">
        <v>43.92</v>
      </c>
    </row>
    <row r="3806" spans="1:4" x14ac:dyDescent="0.3">
      <c r="A3806" s="830">
        <v>100803</v>
      </c>
      <c r="B3806" s="831" t="s">
        <v>8261</v>
      </c>
      <c r="C3806" s="830" t="s">
        <v>194</v>
      </c>
      <c r="D3806" s="832">
        <v>16.420000000000002</v>
      </c>
    </row>
    <row r="3807" spans="1:4" x14ac:dyDescent="0.3">
      <c r="A3807" s="830">
        <v>100804</v>
      </c>
      <c r="B3807" s="831" t="s">
        <v>8262</v>
      </c>
      <c r="C3807" s="830" t="s">
        <v>194</v>
      </c>
      <c r="D3807" s="832">
        <v>23.56</v>
      </c>
    </row>
    <row r="3808" spans="1:4" x14ac:dyDescent="0.3">
      <c r="A3808" s="830">
        <v>100805</v>
      </c>
      <c r="B3808" s="831" t="s">
        <v>8263</v>
      </c>
      <c r="C3808" s="830" t="s">
        <v>194</v>
      </c>
      <c r="D3808" s="832">
        <v>30.96</v>
      </c>
    </row>
    <row r="3809" spans="1:4" x14ac:dyDescent="0.3">
      <c r="A3809" s="830">
        <v>100806</v>
      </c>
      <c r="B3809" s="831" t="s">
        <v>8264</v>
      </c>
      <c r="C3809" s="830" t="s">
        <v>194</v>
      </c>
      <c r="D3809" s="832">
        <v>41.44</v>
      </c>
    </row>
    <row r="3810" spans="1:4" x14ac:dyDescent="0.3">
      <c r="A3810" s="830">
        <v>100807</v>
      </c>
      <c r="B3810" s="831" t="s">
        <v>8265</v>
      </c>
      <c r="C3810" s="830" t="s">
        <v>194</v>
      </c>
      <c r="D3810" s="832">
        <v>24.38</v>
      </c>
    </row>
    <row r="3811" spans="1:4" x14ac:dyDescent="0.3">
      <c r="A3811" s="830">
        <v>100808</v>
      </c>
      <c r="B3811" s="831" t="s">
        <v>8266</v>
      </c>
      <c r="C3811" s="830" t="s">
        <v>194</v>
      </c>
      <c r="D3811" s="832">
        <v>32.9</v>
      </c>
    </row>
    <row r="3812" spans="1:4" x14ac:dyDescent="0.3">
      <c r="A3812" s="830">
        <v>100809</v>
      </c>
      <c r="B3812" s="831" t="s">
        <v>8267</v>
      </c>
      <c r="C3812" s="830" t="s">
        <v>194</v>
      </c>
      <c r="D3812" s="832">
        <v>42.04</v>
      </c>
    </row>
    <row r="3813" spans="1:4" x14ac:dyDescent="0.3">
      <c r="A3813" s="830">
        <v>100810</v>
      </c>
      <c r="B3813" s="831" t="s">
        <v>8268</v>
      </c>
      <c r="C3813" s="830" t="s">
        <v>194</v>
      </c>
      <c r="D3813" s="832">
        <v>54.94</v>
      </c>
    </row>
    <row r="3814" spans="1:4" x14ac:dyDescent="0.3">
      <c r="A3814" s="830">
        <v>101918</v>
      </c>
      <c r="B3814" s="831" t="s">
        <v>8269</v>
      </c>
      <c r="C3814" s="830" t="s">
        <v>194</v>
      </c>
      <c r="D3814" s="832">
        <v>213.26</v>
      </c>
    </row>
    <row r="3815" spans="1:4" x14ac:dyDescent="0.3">
      <c r="A3815" s="830">
        <v>101919</v>
      </c>
      <c r="B3815" s="831" t="s">
        <v>8270</v>
      </c>
      <c r="C3815" s="830" t="s">
        <v>89</v>
      </c>
      <c r="D3815" s="832">
        <v>455.52</v>
      </c>
    </row>
    <row r="3816" spans="1:4" x14ac:dyDescent="0.3">
      <c r="A3816" s="830">
        <v>101920</v>
      </c>
      <c r="B3816" s="831" t="s">
        <v>8271</v>
      </c>
      <c r="C3816" s="830" t="s">
        <v>89</v>
      </c>
      <c r="D3816" s="832">
        <v>216.55</v>
      </c>
    </row>
    <row r="3817" spans="1:4" x14ac:dyDescent="0.3">
      <c r="A3817" s="830">
        <v>101921</v>
      </c>
      <c r="B3817" s="831" t="s">
        <v>8272</v>
      </c>
      <c r="C3817" s="830" t="s">
        <v>89</v>
      </c>
      <c r="D3817" s="832">
        <v>247.32</v>
      </c>
    </row>
    <row r="3818" spans="1:4" x14ac:dyDescent="0.3">
      <c r="A3818" s="830">
        <v>101922</v>
      </c>
      <c r="B3818" s="831" t="s">
        <v>8273</v>
      </c>
      <c r="C3818" s="830" t="s">
        <v>89</v>
      </c>
      <c r="D3818" s="832">
        <v>247.32</v>
      </c>
    </row>
    <row r="3819" spans="1:4" x14ac:dyDescent="0.3">
      <c r="A3819" s="830">
        <v>101923</v>
      </c>
      <c r="B3819" s="831" t="s">
        <v>8274</v>
      </c>
      <c r="C3819" s="830" t="s">
        <v>89</v>
      </c>
      <c r="D3819" s="832">
        <v>247.32</v>
      </c>
    </row>
    <row r="3820" spans="1:4" x14ac:dyDescent="0.3">
      <c r="A3820" s="830">
        <v>101924</v>
      </c>
      <c r="B3820" s="831" t="s">
        <v>8275</v>
      </c>
      <c r="C3820" s="830" t="s">
        <v>89</v>
      </c>
      <c r="D3820" s="832">
        <v>203.67</v>
      </c>
    </row>
    <row r="3821" spans="1:4" x14ac:dyDescent="0.3">
      <c r="A3821" s="830">
        <v>101925</v>
      </c>
      <c r="B3821" s="831" t="s">
        <v>8276</v>
      </c>
      <c r="C3821" s="830" t="s">
        <v>89</v>
      </c>
      <c r="D3821" s="832">
        <v>340.93</v>
      </c>
    </row>
    <row r="3822" spans="1:4" x14ac:dyDescent="0.3">
      <c r="A3822" s="830">
        <v>101926</v>
      </c>
      <c r="B3822" s="831" t="s">
        <v>8277</v>
      </c>
      <c r="C3822" s="830" t="s">
        <v>89</v>
      </c>
      <c r="D3822" s="832">
        <v>439.45</v>
      </c>
    </row>
    <row r="3823" spans="1:4" x14ac:dyDescent="0.3">
      <c r="A3823" s="830">
        <v>101927</v>
      </c>
      <c r="B3823" s="831" t="s">
        <v>8278</v>
      </c>
      <c r="C3823" s="830" t="s">
        <v>194</v>
      </c>
      <c r="D3823" s="832">
        <v>196.93</v>
      </c>
    </row>
    <row r="3824" spans="1:4" x14ac:dyDescent="0.3">
      <c r="A3824" s="830">
        <v>101928</v>
      </c>
      <c r="B3824" s="831" t="s">
        <v>8279</v>
      </c>
      <c r="C3824" s="830" t="s">
        <v>89</v>
      </c>
      <c r="D3824" s="832">
        <v>461.77</v>
      </c>
    </row>
    <row r="3825" spans="1:4" x14ac:dyDescent="0.3">
      <c r="A3825" s="830">
        <v>101929</v>
      </c>
      <c r="B3825" s="831" t="s">
        <v>8280</v>
      </c>
      <c r="C3825" s="830" t="s">
        <v>89</v>
      </c>
      <c r="D3825" s="832">
        <v>222.8</v>
      </c>
    </row>
    <row r="3826" spans="1:4" x14ac:dyDescent="0.3">
      <c r="A3826" s="830">
        <v>101930</v>
      </c>
      <c r="B3826" s="831" t="s">
        <v>8281</v>
      </c>
      <c r="C3826" s="830" t="s">
        <v>89</v>
      </c>
      <c r="D3826" s="832">
        <v>253.57</v>
      </c>
    </row>
    <row r="3827" spans="1:4" x14ac:dyDescent="0.3">
      <c r="A3827" s="830">
        <v>101931</v>
      </c>
      <c r="B3827" s="831" t="s">
        <v>8282</v>
      </c>
      <c r="C3827" s="830" t="s">
        <v>89</v>
      </c>
      <c r="D3827" s="832">
        <v>253.57</v>
      </c>
    </row>
    <row r="3828" spans="1:4" x14ac:dyDescent="0.3">
      <c r="A3828" s="830">
        <v>101932</v>
      </c>
      <c r="B3828" s="831" t="s">
        <v>8283</v>
      </c>
      <c r="C3828" s="830" t="s">
        <v>89</v>
      </c>
      <c r="D3828" s="832">
        <v>253.57</v>
      </c>
    </row>
    <row r="3829" spans="1:4" x14ac:dyDescent="0.3">
      <c r="A3829" s="830">
        <v>101933</v>
      </c>
      <c r="B3829" s="831" t="s">
        <v>8284</v>
      </c>
      <c r="C3829" s="830" t="s">
        <v>89</v>
      </c>
      <c r="D3829" s="832">
        <v>209.92</v>
      </c>
    </row>
    <row r="3830" spans="1:4" x14ac:dyDescent="0.3">
      <c r="A3830" s="830">
        <v>101934</v>
      </c>
      <c r="B3830" s="831" t="s">
        <v>8285</v>
      </c>
      <c r="C3830" s="830" t="s">
        <v>89</v>
      </c>
      <c r="D3830" s="832">
        <v>350.31</v>
      </c>
    </row>
    <row r="3831" spans="1:4" x14ac:dyDescent="0.3">
      <c r="A3831" s="830">
        <v>101935</v>
      </c>
      <c r="B3831" s="831" t="s">
        <v>8286</v>
      </c>
      <c r="C3831" s="830" t="s">
        <v>89</v>
      </c>
      <c r="D3831" s="832">
        <v>451.94</v>
      </c>
    </row>
    <row r="3832" spans="1:4" x14ac:dyDescent="0.3">
      <c r="A3832" s="830">
        <v>103802</v>
      </c>
      <c r="B3832" s="831" t="s">
        <v>8287</v>
      </c>
      <c r="C3832" s="830" t="s">
        <v>194</v>
      </c>
      <c r="D3832" s="832">
        <v>62.92</v>
      </c>
    </row>
    <row r="3833" spans="1:4" x14ac:dyDescent="0.3">
      <c r="A3833" s="830">
        <v>103803</v>
      </c>
      <c r="B3833" s="831" t="s">
        <v>8288</v>
      </c>
      <c r="C3833" s="830" t="s">
        <v>194</v>
      </c>
      <c r="D3833" s="832">
        <v>108.18</v>
      </c>
    </row>
    <row r="3834" spans="1:4" x14ac:dyDescent="0.3">
      <c r="A3834" s="830">
        <v>103804</v>
      </c>
      <c r="B3834" s="831" t="s">
        <v>8289</v>
      </c>
      <c r="C3834" s="830" t="s">
        <v>194</v>
      </c>
      <c r="D3834" s="832">
        <v>132.81</v>
      </c>
    </row>
    <row r="3835" spans="1:4" x14ac:dyDescent="0.3">
      <c r="A3835" s="830">
        <v>103835</v>
      </c>
      <c r="B3835" s="831" t="s">
        <v>8290</v>
      </c>
      <c r="C3835" s="830" t="s">
        <v>194</v>
      </c>
      <c r="D3835" s="832">
        <v>98.06</v>
      </c>
    </row>
    <row r="3836" spans="1:4" x14ac:dyDescent="0.3">
      <c r="A3836" s="830">
        <v>103836</v>
      </c>
      <c r="B3836" s="831" t="s">
        <v>8291</v>
      </c>
      <c r="C3836" s="830" t="s">
        <v>194</v>
      </c>
      <c r="D3836" s="832">
        <v>154.18</v>
      </c>
    </row>
    <row r="3837" spans="1:4" x14ac:dyDescent="0.3">
      <c r="A3837" s="830">
        <v>103837</v>
      </c>
      <c r="B3837" s="831" t="s">
        <v>8292</v>
      </c>
      <c r="C3837" s="830" t="s">
        <v>194</v>
      </c>
      <c r="D3837" s="832">
        <v>194.93</v>
      </c>
    </row>
    <row r="3838" spans="1:4" x14ac:dyDescent="0.3">
      <c r="A3838" s="830">
        <v>103868</v>
      </c>
      <c r="B3838" s="831" t="s">
        <v>8293</v>
      </c>
      <c r="C3838" s="830" t="s">
        <v>194</v>
      </c>
      <c r="D3838" s="832">
        <v>73.709999999999994</v>
      </c>
    </row>
    <row r="3839" spans="1:4" x14ac:dyDescent="0.3">
      <c r="A3839" s="830">
        <v>103869</v>
      </c>
      <c r="B3839" s="831" t="s">
        <v>8294</v>
      </c>
      <c r="C3839" s="830" t="s">
        <v>194</v>
      </c>
      <c r="D3839" s="832">
        <v>115.72</v>
      </c>
    </row>
    <row r="3840" spans="1:4" x14ac:dyDescent="0.3">
      <c r="A3840" s="830">
        <v>103870</v>
      </c>
      <c r="B3840" s="831" t="s">
        <v>8295</v>
      </c>
      <c r="C3840" s="830" t="s">
        <v>194</v>
      </c>
      <c r="D3840" s="832">
        <v>143.54</v>
      </c>
    </row>
    <row r="3841" spans="1:4" x14ac:dyDescent="0.3">
      <c r="A3841" s="830">
        <v>103871</v>
      </c>
      <c r="B3841" s="831" t="s">
        <v>8296</v>
      </c>
      <c r="C3841" s="830" t="s">
        <v>194</v>
      </c>
      <c r="D3841" s="832">
        <v>85.04</v>
      </c>
    </row>
    <row r="3842" spans="1:4" x14ac:dyDescent="0.3">
      <c r="A3842" s="830">
        <v>103872</v>
      </c>
      <c r="B3842" s="831" t="s">
        <v>8297</v>
      </c>
      <c r="C3842" s="830" t="s">
        <v>194</v>
      </c>
      <c r="D3842" s="832">
        <v>167.71</v>
      </c>
    </row>
    <row r="3843" spans="1:4" x14ac:dyDescent="0.3">
      <c r="A3843" s="830">
        <v>103873</v>
      </c>
      <c r="B3843" s="831" t="s">
        <v>8298</v>
      </c>
      <c r="C3843" s="830" t="s">
        <v>194</v>
      </c>
      <c r="D3843" s="832">
        <v>197.63</v>
      </c>
    </row>
    <row r="3844" spans="1:4" x14ac:dyDescent="0.3">
      <c r="A3844" s="830">
        <v>103978</v>
      </c>
      <c r="B3844" s="831" t="s">
        <v>8299</v>
      </c>
      <c r="C3844" s="830" t="s">
        <v>194</v>
      </c>
      <c r="D3844" s="832">
        <v>27.53</v>
      </c>
    </row>
    <row r="3845" spans="1:4" x14ac:dyDescent="0.3">
      <c r="A3845" s="830">
        <v>103979</v>
      </c>
      <c r="B3845" s="831" t="s">
        <v>8300</v>
      </c>
      <c r="C3845" s="830" t="s">
        <v>194</v>
      </c>
      <c r="D3845" s="832">
        <v>31.38</v>
      </c>
    </row>
    <row r="3846" spans="1:4" x14ac:dyDescent="0.3">
      <c r="A3846" s="830">
        <v>104021</v>
      </c>
      <c r="B3846" s="831" t="s">
        <v>8301</v>
      </c>
      <c r="C3846" s="830" t="s">
        <v>194</v>
      </c>
      <c r="D3846" s="832">
        <v>73.38</v>
      </c>
    </row>
    <row r="3847" spans="1:4" x14ac:dyDescent="0.3">
      <c r="A3847" s="830">
        <v>104166</v>
      </c>
      <c r="B3847" s="831" t="s">
        <v>8302</v>
      </c>
      <c r="C3847" s="830" t="s">
        <v>194</v>
      </c>
      <c r="D3847" s="832">
        <v>77.02</v>
      </c>
    </row>
    <row r="3848" spans="1:4" x14ac:dyDescent="0.3">
      <c r="A3848" s="830">
        <v>104194</v>
      </c>
      <c r="B3848" s="831" t="s">
        <v>8303</v>
      </c>
      <c r="C3848" s="830" t="s">
        <v>194</v>
      </c>
      <c r="D3848" s="832">
        <v>23.74</v>
      </c>
    </row>
    <row r="3849" spans="1:4" x14ac:dyDescent="0.3">
      <c r="A3849" s="830">
        <v>104195</v>
      </c>
      <c r="B3849" s="831" t="s">
        <v>8304</v>
      </c>
      <c r="C3849" s="830" t="s">
        <v>194</v>
      </c>
      <c r="D3849" s="832">
        <v>25.24</v>
      </c>
    </row>
    <row r="3850" spans="1:4" x14ac:dyDescent="0.3">
      <c r="A3850" s="830">
        <v>104315</v>
      </c>
      <c r="B3850" s="831" t="s">
        <v>8305</v>
      </c>
      <c r="C3850" s="830" t="s">
        <v>194</v>
      </c>
      <c r="D3850" s="832">
        <v>17.16</v>
      </c>
    </row>
    <row r="3851" spans="1:4" x14ac:dyDescent="0.3">
      <c r="A3851" s="830">
        <v>104316</v>
      </c>
      <c r="B3851" s="831" t="s">
        <v>8306</v>
      </c>
      <c r="C3851" s="830" t="s">
        <v>194</v>
      </c>
      <c r="D3851" s="832">
        <v>24.59</v>
      </c>
    </row>
    <row r="3852" spans="1:4" x14ac:dyDescent="0.3">
      <c r="A3852" s="830">
        <v>105138</v>
      </c>
      <c r="B3852" s="831" t="s">
        <v>8307</v>
      </c>
      <c r="C3852" s="830" t="s">
        <v>89</v>
      </c>
      <c r="D3852" s="832">
        <v>17.62</v>
      </c>
    </row>
    <row r="3853" spans="1:4" x14ac:dyDescent="0.3">
      <c r="A3853" s="830">
        <v>105139</v>
      </c>
      <c r="B3853" s="831" t="s">
        <v>8308</v>
      </c>
      <c r="C3853" s="830" t="s">
        <v>89</v>
      </c>
      <c r="D3853" s="832">
        <v>20.71</v>
      </c>
    </row>
    <row r="3854" spans="1:4" x14ac:dyDescent="0.3">
      <c r="A3854" s="830">
        <v>105140</v>
      </c>
      <c r="B3854" s="831" t="s">
        <v>8309</v>
      </c>
      <c r="C3854" s="830" t="s">
        <v>89</v>
      </c>
      <c r="D3854" s="832">
        <v>26.62</v>
      </c>
    </row>
    <row r="3855" spans="1:4" x14ac:dyDescent="0.3">
      <c r="A3855" s="830">
        <v>105141</v>
      </c>
      <c r="B3855" s="831" t="s">
        <v>8310</v>
      </c>
      <c r="C3855" s="830" t="s">
        <v>89</v>
      </c>
      <c r="D3855" s="832">
        <v>31.69</v>
      </c>
    </row>
    <row r="3856" spans="1:4" x14ac:dyDescent="0.3">
      <c r="A3856" s="830">
        <v>105142</v>
      </c>
      <c r="B3856" s="831" t="s">
        <v>8311</v>
      </c>
      <c r="C3856" s="830" t="s">
        <v>89</v>
      </c>
      <c r="D3856" s="832">
        <v>6.99</v>
      </c>
    </row>
    <row r="3857" spans="1:4" x14ac:dyDescent="0.3">
      <c r="A3857" s="830">
        <v>105143</v>
      </c>
      <c r="B3857" s="831" t="s">
        <v>8312</v>
      </c>
      <c r="C3857" s="830" t="s">
        <v>89</v>
      </c>
      <c r="D3857" s="832">
        <v>10.47</v>
      </c>
    </row>
    <row r="3858" spans="1:4" x14ac:dyDescent="0.3">
      <c r="A3858" s="830">
        <v>105144</v>
      </c>
      <c r="B3858" s="831" t="s">
        <v>8313</v>
      </c>
      <c r="C3858" s="830" t="s">
        <v>89</v>
      </c>
      <c r="D3858" s="832">
        <v>22.17</v>
      </c>
    </row>
    <row r="3859" spans="1:4" x14ac:dyDescent="0.3">
      <c r="A3859" s="830">
        <v>105145</v>
      </c>
      <c r="B3859" s="831" t="s">
        <v>8314</v>
      </c>
      <c r="C3859" s="830" t="s">
        <v>89</v>
      </c>
      <c r="D3859" s="832">
        <v>12.12</v>
      </c>
    </row>
    <row r="3860" spans="1:4" x14ac:dyDescent="0.3">
      <c r="A3860" s="830">
        <v>105153</v>
      </c>
      <c r="B3860" s="831" t="s">
        <v>8315</v>
      </c>
      <c r="C3860" s="830" t="s">
        <v>89</v>
      </c>
      <c r="D3860" s="832">
        <v>56.81</v>
      </c>
    </row>
    <row r="3861" spans="1:4" x14ac:dyDescent="0.3">
      <c r="A3861" s="830">
        <v>89358</v>
      </c>
      <c r="B3861" s="831" t="s">
        <v>8316</v>
      </c>
      <c r="C3861" s="830" t="s">
        <v>89</v>
      </c>
      <c r="D3861" s="832">
        <v>8.56</v>
      </c>
    </row>
    <row r="3862" spans="1:4" x14ac:dyDescent="0.3">
      <c r="A3862" s="830">
        <v>89359</v>
      </c>
      <c r="B3862" s="831" t="s">
        <v>8317</v>
      </c>
      <c r="C3862" s="830" t="s">
        <v>89</v>
      </c>
      <c r="D3862" s="832">
        <v>9.1199999999999992</v>
      </c>
    </row>
    <row r="3863" spans="1:4" x14ac:dyDescent="0.3">
      <c r="A3863" s="830">
        <v>89360</v>
      </c>
      <c r="B3863" s="831" t="s">
        <v>8318</v>
      </c>
      <c r="C3863" s="830" t="s">
        <v>89</v>
      </c>
      <c r="D3863" s="832">
        <v>10.14</v>
      </c>
    </row>
    <row r="3864" spans="1:4" x14ac:dyDescent="0.3">
      <c r="A3864" s="830">
        <v>89361</v>
      </c>
      <c r="B3864" s="831" t="s">
        <v>8319</v>
      </c>
      <c r="C3864" s="830" t="s">
        <v>89</v>
      </c>
      <c r="D3864" s="832">
        <v>10.220000000000001</v>
      </c>
    </row>
    <row r="3865" spans="1:4" x14ac:dyDescent="0.3">
      <c r="A3865" s="830">
        <v>89362</v>
      </c>
      <c r="B3865" s="831" t="s">
        <v>8320</v>
      </c>
      <c r="C3865" s="830" t="s">
        <v>89</v>
      </c>
      <c r="D3865" s="832">
        <v>10.199999999999999</v>
      </c>
    </row>
    <row r="3866" spans="1:4" x14ac:dyDescent="0.3">
      <c r="A3866" s="830">
        <v>89363</v>
      </c>
      <c r="B3866" s="831" t="s">
        <v>8321</v>
      </c>
      <c r="C3866" s="830" t="s">
        <v>89</v>
      </c>
      <c r="D3866" s="832">
        <v>11</v>
      </c>
    </row>
    <row r="3867" spans="1:4" x14ac:dyDescent="0.3">
      <c r="A3867" s="830">
        <v>89364</v>
      </c>
      <c r="B3867" s="831" t="s">
        <v>8322</v>
      </c>
      <c r="C3867" s="830" t="s">
        <v>89</v>
      </c>
      <c r="D3867" s="832">
        <v>12.55</v>
      </c>
    </row>
    <row r="3868" spans="1:4" x14ac:dyDescent="0.3">
      <c r="A3868" s="830">
        <v>89365</v>
      </c>
      <c r="B3868" s="831" t="s">
        <v>8323</v>
      </c>
      <c r="C3868" s="830" t="s">
        <v>89</v>
      </c>
      <c r="D3868" s="832">
        <v>12</v>
      </c>
    </row>
    <row r="3869" spans="1:4" x14ac:dyDescent="0.3">
      <c r="A3869" s="830">
        <v>89366</v>
      </c>
      <c r="B3869" s="831" t="s">
        <v>8324</v>
      </c>
      <c r="C3869" s="830" t="s">
        <v>89</v>
      </c>
      <c r="D3869" s="832">
        <v>17.100000000000001</v>
      </c>
    </row>
    <row r="3870" spans="1:4" x14ac:dyDescent="0.3">
      <c r="A3870" s="830">
        <v>89367</v>
      </c>
      <c r="B3870" s="831" t="s">
        <v>8325</v>
      </c>
      <c r="C3870" s="830" t="s">
        <v>89</v>
      </c>
      <c r="D3870" s="832">
        <v>13.95</v>
      </c>
    </row>
    <row r="3871" spans="1:4" x14ac:dyDescent="0.3">
      <c r="A3871" s="830">
        <v>89368</v>
      </c>
      <c r="B3871" s="831" t="s">
        <v>8326</v>
      </c>
      <c r="C3871" s="830" t="s">
        <v>89</v>
      </c>
      <c r="D3871" s="832">
        <v>15.74</v>
      </c>
    </row>
    <row r="3872" spans="1:4" x14ac:dyDescent="0.3">
      <c r="A3872" s="830">
        <v>89369</v>
      </c>
      <c r="B3872" s="831" t="s">
        <v>8327</v>
      </c>
      <c r="C3872" s="830" t="s">
        <v>89</v>
      </c>
      <c r="D3872" s="832">
        <v>18.149999999999999</v>
      </c>
    </row>
    <row r="3873" spans="1:4" x14ac:dyDescent="0.3">
      <c r="A3873" s="830">
        <v>89370</v>
      </c>
      <c r="B3873" s="831" t="s">
        <v>8328</v>
      </c>
      <c r="C3873" s="830" t="s">
        <v>89</v>
      </c>
      <c r="D3873" s="832">
        <v>16.079999999999998</v>
      </c>
    </row>
    <row r="3874" spans="1:4" x14ac:dyDescent="0.3">
      <c r="A3874" s="830">
        <v>89371</v>
      </c>
      <c r="B3874" s="831" t="s">
        <v>8329</v>
      </c>
      <c r="C3874" s="830" t="s">
        <v>89</v>
      </c>
      <c r="D3874" s="832">
        <v>6.39</v>
      </c>
    </row>
    <row r="3875" spans="1:4" x14ac:dyDescent="0.3">
      <c r="A3875" s="830">
        <v>89372</v>
      </c>
      <c r="B3875" s="831" t="s">
        <v>8330</v>
      </c>
      <c r="C3875" s="830" t="s">
        <v>89</v>
      </c>
      <c r="D3875" s="832">
        <v>16.64</v>
      </c>
    </row>
    <row r="3876" spans="1:4" x14ac:dyDescent="0.3">
      <c r="A3876" s="830">
        <v>89373</v>
      </c>
      <c r="B3876" s="831" t="s">
        <v>8331</v>
      </c>
      <c r="C3876" s="830" t="s">
        <v>89</v>
      </c>
      <c r="D3876" s="832">
        <v>7.61</v>
      </c>
    </row>
    <row r="3877" spans="1:4" x14ac:dyDescent="0.3">
      <c r="A3877" s="830">
        <v>89374</v>
      </c>
      <c r="B3877" s="831" t="s">
        <v>8332</v>
      </c>
      <c r="C3877" s="830" t="s">
        <v>89</v>
      </c>
      <c r="D3877" s="832">
        <v>10.6</v>
      </c>
    </row>
    <row r="3878" spans="1:4" x14ac:dyDescent="0.3">
      <c r="A3878" s="830">
        <v>89375</v>
      </c>
      <c r="B3878" s="831" t="s">
        <v>8333</v>
      </c>
      <c r="C3878" s="830" t="s">
        <v>89</v>
      </c>
      <c r="D3878" s="832">
        <v>12.5</v>
      </c>
    </row>
    <row r="3879" spans="1:4" x14ac:dyDescent="0.3">
      <c r="A3879" s="830">
        <v>89376</v>
      </c>
      <c r="B3879" s="831" t="s">
        <v>8334</v>
      </c>
      <c r="C3879" s="830" t="s">
        <v>89</v>
      </c>
      <c r="D3879" s="832">
        <v>6.07</v>
      </c>
    </row>
    <row r="3880" spans="1:4" x14ac:dyDescent="0.3">
      <c r="A3880" s="830">
        <v>89377</v>
      </c>
      <c r="B3880" s="831" t="s">
        <v>8335</v>
      </c>
      <c r="C3880" s="830" t="s">
        <v>89</v>
      </c>
      <c r="D3880" s="832">
        <v>10.72</v>
      </c>
    </row>
    <row r="3881" spans="1:4" x14ac:dyDescent="0.3">
      <c r="A3881" s="830">
        <v>89378</v>
      </c>
      <c r="B3881" s="831" t="s">
        <v>8336</v>
      </c>
      <c r="C3881" s="830" t="s">
        <v>89</v>
      </c>
      <c r="D3881" s="832">
        <v>7.55</v>
      </c>
    </row>
    <row r="3882" spans="1:4" x14ac:dyDescent="0.3">
      <c r="A3882" s="830">
        <v>89379</v>
      </c>
      <c r="B3882" s="831" t="s">
        <v>8337</v>
      </c>
      <c r="C3882" s="830" t="s">
        <v>89</v>
      </c>
      <c r="D3882" s="832">
        <v>19.57</v>
      </c>
    </row>
    <row r="3883" spans="1:4" x14ac:dyDescent="0.3">
      <c r="A3883" s="830">
        <v>89380</v>
      </c>
      <c r="B3883" s="831" t="s">
        <v>8338</v>
      </c>
      <c r="C3883" s="830" t="s">
        <v>89</v>
      </c>
      <c r="D3883" s="832">
        <v>10.66</v>
      </c>
    </row>
    <row r="3884" spans="1:4" x14ac:dyDescent="0.3">
      <c r="A3884" s="830">
        <v>89381</v>
      </c>
      <c r="B3884" s="831" t="s">
        <v>8339</v>
      </c>
      <c r="C3884" s="830" t="s">
        <v>89</v>
      </c>
      <c r="D3884" s="832">
        <v>13</v>
      </c>
    </row>
    <row r="3885" spans="1:4" x14ac:dyDescent="0.3">
      <c r="A3885" s="830">
        <v>89382</v>
      </c>
      <c r="B3885" s="831" t="s">
        <v>8340</v>
      </c>
      <c r="C3885" s="830" t="s">
        <v>89</v>
      </c>
      <c r="D3885" s="832">
        <v>15.03</v>
      </c>
    </row>
    <row r="3886" spans="1:4" x14ac:dyDescent="0.3">
      <c r="A3886" s="830">
        <v>89383</v>
      </c>
      <c r="B3886" s="831" t="s">
        <v>3248</v>
      </c>
      <c r="C3886" s="830" t="s">
        <v>89</v>
      </c>
      <c r="D3886" s="832">
        <v>7.08</v>
      </c>
    </row>
    <row r="3887" spans="1:4" x14ac:dyDescent="0.3">
      <c r="A3887" s="830">
        <v>89384</v>
      </c>
      <c r="B3887" s="831" t="s">
        <v>8341</v>
      </c>
      <c r="C3887" s="830" t="s">
        <v>89</v>
      </c>
      <c r="D3887" s="832">
        <v>13.67</v>
      </c>
    </row>
    <row r="3888" spans="1:4" x14ac:dyDescent="0.3">
      <c r="A3888" s="830">
        <v>89385</v>
      </c>
      <c r="B3888" s="831" t="s">
        <v>8342</v>
      </c>
      <c r="C3888" s="830" t="s">
        <v>89</v>
      </c>
      <c r="D3888" s="832">
        <v>7.73</v>
      </c>
    </row>
    <row r="3889" spans="1:4" x14ac:dyDescent="0.3">
      <c r="A3889" s="830">
        <v>89386</v>
      </c>
      <c r="B3889" s="831" t="s">
        <v>8343</v>
      </c>
      <c r="C3889" s="830" t="s">
        <v>89</v>
      </c>
      <c r="D3889" s="832">
        <v>10.24</v>
      </c>
    </row>
    <row r="3890" spans="1:4" x14ac:dyDescent="0.3">
      <c r="A3890" s="830">
        <v>89387</v>
      </c>
      <c r="B3890" s="831" t="s">
        <v>8344</v>
      </c>
      <c r="C3890" s="830" t="s">
        <v>89</v>
      </c>
      <c r="D3890" s="832">
        <v>31</v>
      </c>
    </row>
    <row r="3891" spans="1:4" x14ac:dyDescent="0.3">
      <c r="A3891" s="830">
        <v>89389</v>
      </c>
      <c r="B3891" s="831" t="s">
        <v>8345</v>
      </c>
      <c r="C3891" s="830" t="s">
        <v>89</v>
      </c>
      <c r="D3891" s="832">
        <v>12.12</v>
      </c>
    </row>
    <row r="3892" spans="1:4" x14ac:dyDescent="0.3">
      <c r="A3892" s="830">
        <v>89390</v>
      </c>
      <c r="B3892" s="831" t="s">
        <v>8346</v>
      </c>
      <c r="C3892" s="830" t="s">
        <v>89</v>
      </c>
      <c r="D3892" s="832">
        <v>22.19</v>
      </c>
    </row>
    <row r="3893" spans="1:4" x14ac:dyDescent="0.3">
      <c r="A3893" s="830">
        <v>89391</v>
      </c>
      <c r="B3893" s="831" t="s">
        <v>8347</v>
      </c>
      <c r="C3893" s="830" t="s">
        <v>89</v>
      </c>
      <c r="D3893" s="832">
        <v>9.2899999999999991</v>
      </c>
    </row>
    <row r="3894" spans="1:4" x14ac:dyDescent="0.3">
      <c r="A3894" s="830">
        <v>89392</v>
      </c>
      <c r="B3894" s="831" t="s">
        <v>8348</v>
      </c>
      <c r="C3894" s="830" t="s">
        <v>89</v>
      </c>
      <c r="D3894" s="832">
        <v>25.36</v>
      </c>
    </row>
    <row r="3895" spans="1:4" x14ac:dyDescent="0.3">
      <c r="A3895" s="830">
        <v>89393</v>
      </c>
      <c r="B3895" s="831" t="s">
        <v>8349</v>
      </c>
      <c r="C3895" s="830" t="s">
        <v>89</v>
      </c>
      <c r="D3895" s="832">
        <v>11.88</v>
      </c>
    </row>
    <row r="3896" spans="1:4" x14ac:dyDescent="0.3">
      <c r="A3896" s="830">
        <v>89394</v>
      </c>
      <c r="B3896" s="831" t="s">
        <v>8350</v>
      </c>
      <c r="C3896" s="830" t="s">
        <v>89</v>
      </c>
      <c r="D3896" s="832">
        <v>19.57</v>
      </c>
    </row>
    <row r="3897" spans="1:4" x14ac:dyDescent="0.3">
      <c r="A3897" s="830">
        <v>89395</v>
      </c>
      <c r="B3897" s="831" t="s">
        <v>8351</v>
      </c>
      <c r="C3897" s="830" t="s">
        <v>89</v>
      </c>
      <c r="D3897" s="832">
        <v>14.03</v>
      </c>
    </row>
    <row r="3898" spans="1:4" x14ac:dyDescent="0.3">
      <c r="A3898" s="830">
        <v>89396</v>
      </c>
      <c r="B3898" s="831" t="s">
        <v>8352</v>
      </c>
      <c r="C3898" s="830" t="s">
        <v>89</v>
      </c>
      <c r="D3898" s="832">
        <v>21.45</v>
      </c>
    </row>
    <row r="3899" spans="1:4" x14ac:dyDescent="0.3">
      <c r="A3899" s="830">
        <v>89397</v>
      </c>
      <c r="B3899" s="831" t="s">
        <v>8353</v>
      </c>
      <c r="C3899" s="830" t="s">
        <v>89</v>
      </c>
      <c r="D3899" s="832">
        <v>15.76</v>
      </c>
    </row>
    <row r="3900" spans="1:4" x14ac:dyDescent="0.3">
      <c r="A3900" s="830">
        <v>89398</v>
      </c>
      <c r="B3900" s="831" t="s">
        <v>8354</v>
      </c>
      <c r="C3900" s="830" t="s">
        <v>89</v>
      </c>
      <c r="D3900" s="832">
        <v>19.440000000000001</v>
      </c>
    </row>
    <row r="3901" spans="1:4" x14ac:dyDescent="0.3">
      <c r="A3901" s="830">
        <v>89399</v>
      </c>
      <c r="B3901" s="831" t="s">
        <v>8355</v>
      </c>
      <c r="C3901" s="830" t="s">
        <v>89</v>
      </c>
      <c r="D3901" s="832">
        <v>26</v>
      </c>
    </row>
    <row r="3902" spans="1:4" x14ac:dyDescent="0.3">
      <c r="A3902" s="830">
        <v>89400</v>
      </c>
      <c r="B3902" s="831" t="s">
        <v>8356</v>
      </c>
      <c r="C3902" s="830" t="s">
        <v>89</v>
      </c>
      <c r="D3902" s="832">
        <v>21.12</v>
      </c>
    </row>
    <row r="3903" spans="1:4" x14ac:dyDescent="0.3">
      <c r="A3903" s="830">
        <v>89404</v>
      </c>
      <c r="B3903" s="831" t="s">
        <v>8357</v>
      </c>
      <c r="C3903" s="830" t="s">
        <v>89</v>
      </c>
      <c r="D3903" s="832">
        <v>7.81</v>
      </c>
    </row>
    <row r="3904" spans="1:4" x14ac:dyDescent="0.3">
      <c r="A3904" s="830">
        <v>89405</v>
      </c>
      <c r="B3904" s="831" t="s">
        <v>8358</v>
      </c>
      <c r="C3904" s="830" t="s">
        <v>89</v>
      </c>
      <c r="D3904" s="832">
        <v>8.3699999999999992</v>
      </c>
    </row>
    <row r="3905" spans="1:4" x14ac:dyDescent="0.3">
      <c r="A3905" s="830">
        <v>89406</v>
      </c>
      <c r="B3905" s="831" t="s">
        <v>8359</v>
      </c>
      <c r="C3905" s="830" t="s">
        <v>89</v>
      </c>
      <c r="D3905" s="832">
        <v>9.39</v>
      </c>
    </row>
    <row r="3906" spans="1:4" x14ac:dyDescent="0.3">
      <c r="A3906" s="830">
        <v>89407</v>
      </c>
      <c r="B3906" s="831" t="s">
        <v>8360</v>
      </c>
      <c r="C3906" s="830" t="s">
        <v>89</v>
      </c>
      <c r="D3906" s="832">
        <v>9.4700000000000006</v>
      </c>
    </row>
    <row r="3907" spans="1:4" x14ac:dyDescent="0.3">
      <c r="A3907" s="830">
        <v>89408</v>
      </c>
      <c r="B3907" s="831" t="s">
        <v>2736</v>
      </c>
      <c r="C3907" s="830" t="s">
        <v>89</v>
      </c>
      <c r="D3907" s="832">
        <v>9.32</v>
      </c>
    </row>
    <row r="3908" spans="1:4" x14ac:dyDescent="0.3">
      <c r="A3908" s="830">
        <v>89409</v>
      </c>
      <c r="B3908" s="831" t="s">
        <v>8361</v>
      </c>
      <c r="C3908" s="830" t="s">
        <v>89</v>
      </c>
      <c r="D3908" s="832">
        <v>10.119999999999999</v>
      </c>
    </row>
    <row r="3909" spans="1:4" x14ac:dyDescent="0.3">
      <c r="A3909" s="830">
        <v>89410</v>
      </c>
      <c r="B3909" s="831" t="s">
        <v>8362</v>
      </c>
      <c r="C3909" s="830" t="s">
        <v>89</v>
      </c>
      <c r="D3909" s="832">
        <v>11.67</v>
      </c>
    </row>
    <row r="3910" spans="1:4" x14ac:dyDescent="0.3">
      <c r="A3910" s="830">
        <v>89411</v>
      </c>
      <c r="B3910" s="831" t="s">
        <v>8363</v>
      </c>
      <c r="C3910" s="830" t="s">
        <v>89</v>
      </c>
      <c r="D3910" s="832">
        <v>11.12</v>
      </c>
    </row>
    <row r="3911" spans="1:4" x14ac:dyDescent="0.3">
      <c r="A3911" s="830">
        <v>89412</v>
      </c>
      <c r="B3911" s="831" t="s">
        <v>8364</v>
      </c>
      <c r="C3911" s="830" t="s">
        <v>89</v>
      </c>
      <c r="D3911" s="832">
        <v>10.4</v>
      </c>
    </row>
    <row r="3912" spans="1:4" x14ac:dyDescent="0.3">
      <c r="A3912" s="830">
        <v>89413</v>
      </c>
      <c r="B3912" s="831" t="s">
        <v>8365</v>
      </c>
      <c r="C3912" s="830" t="s">
        <v>89</v>
      </c>
      <c r="D3912" s="832">
        <v>12.91</v>
      </c>
    </row>
    <row r="3913" spans="1:4" x14ac:dyDescent="0.3">
      <c r="A3913" s="830">
        <v>89414</v>
      </c>
      <c r="B3913" s="831" t="s">
        <v>8366</v>
      </c>
      <c r="C3913" s="830" t="s">
        <v>89</v>
      </c>
      <c r="D3913" s="832">
        <v>14.7</v>
      </c>
    </row>
    <row r="3914" spans="1:4" x14ac:dyDescent="0.3">
      <c r="A3914" s="830">
        <v>89415</v>
      </c>
      <c r="B3914" s="831" t="s">
        <v>8367</v>
      </c>
      <c r="C3914" s="830" t="s">
        <v>89</v>
      </c>
      <c r="D3914" s="832">
        <v>17.11</v>
      </c>
    </row>
    <row r="3915" spans="1:4" x14ac:dyDescent="0.3">
      <c r="A3915" s="830">
        <v>89416</v>
      </c>
      <c r="B3915" s="831" t="s">
        <v>8368</v>
      </c>
      <c r="C3915" s="830" t="s">
        <v>89</v>
      </c>
      <c r="D3915" s="832">
        <v>15.04</v>
      </c>
    </row>
    <row r="3916" spans="1:4" x14ac:dyDescent="0.3">
      <c r="A3916" s="830">
        <v>89417</v>
      </c>
      <c r="B3916" s="831" t="s">
        <v>8369</v>
      </c>
      <c r="C3916" s="830" t="s">
        <v>89</v>
      </c>
      <c r="D3916" s="832">
        <v>5.88</v>
      </c>
    </row>
    <row r="3917" spans="1:4" x14ac:dyDescent="0.3">
      <c r="A3917" s="830">
        <v>89418</v>
      </c>
      <c r="B3917" s="831" t="s">
        <v>8370</v>
      </c>
      <c r="C3917" s="830" t="s">
        <v>89</v>
      </c>
      <c r="D3917" s="832">
        <v>16.13</v>
      </c>
    </row>
    <row r="3918" spans="1:4" x14ac:dyDescent="0.3">
      <c r="A3918" s="830">
        <v>89419</v>
      </c>
      <c r="B3918" s="831" t="s">
        <v>8371</v>
      </c>
      <c r="C3918" s="830" t="s">
        <v>89</v>
      </c>
      <c r="D3918" s="832">
        <v>7.05</v>
      </c>
    </row>
    <row r="3919" spans="1:4" x14ac:dyDescent="0.3">
      <c r="A3919" s="830">
        <v>89421</v>
      </c>
      <c r="B3919" s="831" t="s">
        <v>8372</v>
      </c>
      <c r="C3919" s="830" t="s">
        <v>89</v>
      </c>
      <c r="D3919" s="832">
        <v>11.99</v>
      </c>
    </row>
    <row r="3920" spans="1:4" x14ac:dyDescent="0.3">
      <c r="A3920" s="830">
        <v>89423</v>
      </c>
      <c r="B3920" s="831" t="s">
        <v>8373</v>
      </c>
      <c r="C3920" s="830" t="s">
        <v>89</v>
      </c>
      <c r="D3920" s="832">
        <v>10.210000000000001</v>
      </c>
    </row>
    <row r="3921" spans="1:4" x14ac:dyDescent="0.3">
      <c r="A3921" s="830">
        <v>89424</v>
      </c>
      <c r="B3921" s="831" t="s">
        <v>8374</v>
      </c>
      <c r="C3921" s="830" t="s">
        <v>89</v>
      </c>
      <c r="D3921" s="832">
        <v>6.96</v>
      </c>
    </row>
    <row r="3922" spans="1:4" x14ac:dyDescent="0.3">
      <c r="A3922" s="830">
        <v>89425</v>
      </c>
      <c r="B3922" s="831" t="s">
        <v>8375</v>
      </c>
      <c r="C3922" s="830" t="s">
        <v>89</v>
      </c>
      <c r="D3922" s="832">
        <v>18.98</v>
      </c>
    </row>
    <row r="3923" spans="1:4" x14ac:dyDescent="0.3">
      <c r="A3923" s="830">
        <v>89426</v>
      </c>
      <c r="B3923" s="831" t="s">
        <v>8376</v>
      </c>
      <c r="C3923" s="830" t="s">
        <v>89</v>
      </c>
      <c r="D3923" s="832">
        <v>10.02</v>
      </c>
    </row>
    <row r="3924" spans="1:4" x14ac:dyDescent="0.3">
      <c r="A3924" s="830">
        <v>89427</v>
      </c>
      <c r="B3924" s="831" t="s">
        <v>8377</v>
      </c>
      <c r="C3924" s="830" t="s">
        <v>89</v>
      </c>
      <c r="D3924" s="832">
        <v>12.44</v>
      </c>
    </row>
    <row r="3925" spans="1:4" x14ac:dyDescent="0.3">
      <c r="A3925" s="830">
        <v>89428</v>
      </c>
      <c r="B3925" s="831" t="s">
        <v>8378</v>
      </c>
      <c r="C3925" s="830" t="s">
        <v>89</v>
      </c>
      <c r="D3925" s="832">
        <v>14.44</v>
      </c>
    </row>
    <row r="3926" spans="1:4" x14ac:dyDescent="0.3">
      <c r="A3926" s="830">
        <v>89429</v>
      </c>
      <c r="B3926" s="831" t="s">
        <v>8379</v>
      </c>
      <c r="C3926" s="830" t="s">
        <v>89</v>
      </c>
      <c r="D3926" s="832">
        <v>6.52</v>
      </c>
    </row>
    <row r="3927" spans="1:4" x14ac:dyDescent="0.3">
      <c r="A3927" s="830">
        <v>89430</v>
      </c>
      <c r="B3927" s="831" t="s">
        <v>8380</v>
      </c>
      <c r="C3927" s="830" t="s">
        <v>89</v>
      </c>
      <c r="D3927" s="832">
        <v>13.08</v>
      </c>
    </row>
    <row r="3928" spans="1:4" x14ac:dyDescent="0.3">
      <c r="A3928" s="830">
        <v>89431</v>
      </c>
      <c r="B3928" s="831" t="s">
        <v>8381</v>
      </c>
      <c r="C3928" s="830" t="s">
        <v>89</v>
      </c>
      <c r="D3928" s="832">
        <v>9.5399999999999991</v>
      </c>
    </row>
    <row r="3929" spans="1:4" x14ac:dyDescent="0.3">
      <c r="A3929" s="830">
        <v>89432</v>
      </c>
      <c r="B3929" s="831" t="s">
        <v>8382</v>
      </c>
      <c r="C3929" s="830" t="s">
        <v>89</v>
      </c>
      <c r="D3929" s="832">
        <v>30.3</v>
      </c>
    </row>
    <row r="3930" spans="1:4" x14ac:dyDescent="0.3">
      <c r="A3930" s="830">
        <v>89433</v>
      </c>
      <c r="B3930" s="831" t="s">
        <v>8383</v>
      </c>
      <c r="C3930" s="830" t="s">
        <v>89</v>
      </c>
      <c r="D3930" s="832">
        <v>13.76</v>
      </c>
    </row>
    <row r="3931" spans="1:4" x14ac:dyDescent="0.3">
      <c r="A3931" s="830">
        <v>89434</v>
      </c>
      <c r="B3931" s="831" t="s">
        <v>8384</v>
      </c>
      <c r="C3931" s="830" t="s">
        <v>89</v>
      </c>
      <c r="D3931" s="832">
        <v>11.48</v>
      </c>
    </row>
    <row r="3932" spans="1:4" x14ac:dyDescent="0.3">
      <c r="A3932" s="830">
        <v>89435</v>
      </c>
      <c r="B3932" s="831" t="s">
        <v>8385</v>
      </c>
      <c r="C3932" s="830" t="s">
        <v>89</v>
      </c>
      <c r="D3932" s="832">
        <v>21.49</v>
      </c>
    </row>
    <row r="3933" spans="1:4" x14ac:dyDescent="0.3">
      <c r="A3933" s="830">
        <v>89436</v>
      </c>
      <c r="B3933" s="831" t="s">
        <v>8386</v>
      </c>
      <c r="C3933" s="830" t="s">
        <v>89</v>
      </c>
      <c r="D3933" s="832">
        <v>8.65</v>
      </c>
    </row>
    <row r="3934" spans="1:4" x14ac:dyDescent="0.3">
      <c r="A3934" s="830">
        <v>89437</v>
      </c>
      <c r="B3934" s="831" t="s">
        <v>8387</v>
      </c>
      <c r="C3934" s="830" t="s">
        <v>89</v>
      </c>
      <c r="D3934" s="832">
        <v>24.66</v>
      </c>
    </row>
    <row r="3935" spans="1:4" x14ac:dyDescent="0.3">
      <c r="A3935" s="830">
        <v>89438</v>
      </c>
      <c r="B3935" s="831" t="s">
        <v>8388</v>
      </c>
      <c r="C3935" s="830" t="s">
        <v>89</v>
      </c>
      <c r="D3935" s="832">
        <v>10.87</v>
      </c>
    </row>
    <row r="3936" spans="1:4" x14ac:dyDescent="0.3">
      <c r="A3936" s="830">
        <v>89439</v>
      </c>
      <c r="B3936" s="831" t="s">
        <v>8389</v>
      </c>
      <c r="C3936" s="830" t="s">
        <v>89</v>
      </c>
      <c r="D3936" s="832">
        <v>12.4</v>
      </c>
    </row>
    <row r="3937" spans="1:4" x14ac:dyDescent="0.3">
      <c r="A3937" s="830">
        <v>89440</v>
      </c>
      <c r="B3937" s="831" t="s">
        <v>8390</v>
      </c>
      <c r="C3937" s="830" t="s">
        <v>89</v>
      </c>
      <c r="D3937" s="832">
        <v>12.86</v>
      </c>
    </row>
    <row r="3938" spans="1:4" x14ac:dyDescent="0.3">
      <c r="A3938" s="830">
        <v>89442</v>
      </c>
      <c r="B3938" s="831" t="s">
        <v>8391</v>
      </c>
      <c r="C3938" s="830" t="s">
        <v>89</v>
      </c>
      <c r="D3938" s="832">
        <v>14.67</v>
      </c>
    </row>
    <row r="3939" spans="1:4" x14ac:dyDescent="0.3">
      <c r="A3939" s="830">
        <v>89443</v>
      </c>
      <c r="B3939" s="831" t="s">
        <v>8392</v>
      </c>
      <c r="C3939" s="830" t="s">
        <v>89</v>
      </c>
      <c r="D3939" s="832">
        <v>18.05</v>
      </c>
    </row>
    <row r="3940" spans="1:4" x14ac:dyDescent="0.3">
      <c r="A3940" s="830">
        <v>89444</v>
      </c>
      <c r="B3940" s="831" t="s">
        <v>8393</v>
      </c>
      <c r="C3940" s="830" t="s">
        <v>89</v>
      </c>
      <c r="D3940" s="832">
        <v>25.3</v>
      </c>
    </row>
    <row r="3941" spans="1:4" x14ac:dyDescent="0.3">
      <c r="A3941" s="830">
        <v>89445</v>
      </c>
      <c r="B3941" s="831" t="s">
        <v>8394</v>
      </c>
      <c r="C3941" s="830" t="s">
        <v>89</v>
      </c>
      <c r="D3941" s="832">
        <v>19.850000000000001</v>
      </c>
    </row>
    <row r="3942" spans="1:4" x14ac:dyDescent="0.3">
      <c r="A3942" s="830">
        <v>89481</v>
      </c>
      <c r="B3942" s="831" t="s">
        <v>8395</v>
      </c>
      <c r="C3942" s="830" t="s">
        <v>89</v>
      </c>
      <c r="D3942" s="832">
        <v>5.74</v>
      </c>
    </row>
    <row r="3943" spans="1:4" x14ac:dyDescent="0.3">
      <c r="A3943" s="830">
        <v>89485</v>
      </c>
      <c r="B3943" s="831" t="s">
        <v>8396</v>
      </c>
      <c r="C3943" s="830" t="s">
        <v>89</v>
      </c>
      <c r="D3943" s="832">
        <v>6.54</v>
      </c>
    </row>
    <row r="3944" spans="1:4" x14ac:dyDescent="0.3">
      <c r="A3944" s="830">
        <v>89489</v>
      </c>
      <c r="B3944" s="831" t="s">
        <v>8397</v>
      </c>
      <c r="C3944" s="830" t="s">
        <v>89</v>
      </c>
      <c r="D3944" s="832">
        <v>8.09</v>
      </c>
    </row>
    <row r="3945" spans="1:4" x14ac:dyDescent="0.3">
      <c r="A3945" s="830">
        <v>89490</v>
      </c>
      <c r="B3945" s="831" t="s">
        <v>8398</v>
      </c>
      <c r="C3945" s="830" t="s">
        <v>89</v>
      </c>
      <c r="D3945" s="832">
        <v>7.54</v>
      </c>
    </row>
    <row r="3946" spans="1:4" x14ac:dyDescent="0.3">
      <c r="A3946" s="830">
        <v>89492</v>
      </c>
      <c r="B3946" s="831" t="s">
        <v>8399</v>
      </c>
      <c r="C3946" s="830" t="s">
        <v>89</v>
      </c>
      <c r="D3946" s="832">
        <v>8.74</v>
      </c>
    </row>
    <row r="3947" spans="1:4" x14ac:dyDescent="0.3">
      <c r="A3947" s="830">
        <v>89493</v>
      </c>
      <c r="B3947" s="831" t="s">
        <v>8400</v>
      </c>
      <c r="C3947" s="830" t="s">
        <v>89</v>
      </c>
      <c r="D3947" s="832">
        <v>10.53</v>
      </c>
    </row>
    <row r="3948" spans="1:4" x14ac:dyDescent="0.3">
      <c r="A3948" s="830">
        <v>89494</v>
      </c>
      <c r="B3948" s="831" t="s">
        <v>8401</v>
      </c>
      <c r="C3948" s="830" t="s">
        <v>89</v>
      </c>
      <c r="D3948" s="832">
        <v>12.94</v>
      </c>
    </row>
    <row r="3949" spans="1:4" x14ac:dyDescent="0.3">
      <c r="A3949" s="830">
        <v>89496</v>
      </c>
      <c r="B3949" s="831" t="s">
        <v>8402</v>
      </c>
      <c r="C3949" s="830" t="s">
        <v>89</v>
      </c>
      <c r="D3949" s="832">
        <v>10.87</v>
      </c>
    </row>
    <row r="3950" spans="1:4" x14ac:dyDescent="0.3">
      <c r="A3950" s="830">
        <v>89497</v>
      </c>
      <c r="B3950" s="831" t="s">
        <v>8403</v>
      </c>
      <c r="C3950" s="830" t="s">
        <v>89</v>
      </c>
      <c r="D3950" s="832">
        <v>13.81</v>
      </c>
    </row>
    <row r="3951" spans="1:4" x14ac:dyDescent="0.3">
      <c r="A3951" s="830">
        <v>89498</v>
      </c>
      <c r="B3951" s="831" t="s">
        <v>8404</v>
      </c>
      <c r="C3951" s="830" t="s">
        <v>89</v>
      </c>
      <c r="D3951" s="832">
        <v>13.87</v>
      </c>
    </row>
    <row r="3952" spans="1:4" x14ac:dyDescent="0.3">
      <c r="A3952" s="830">
        <v>89499</v>
      </c>
      <c r="B3952" s="831" t="s">
        <v>8405</v>
      </c>
      <c r="C3952" s="830" t="s">
        <v>89</v>
      </c>
      <c r="D3952" s="832">
        <v>20.190000000000001</v>
      </c>
    </row>
    <row r="3953" spans="1:4" x14ac:dyDescent="0.3">
      <c r="A3953" s="830">
        <v>89500</v>
      </c>
      <c r="B3953" s="831" t="s">
        <v>8406</v>
      </c>
      <c r="C3953" s="830" t="s">
        <v>89</v>
      </c>
      <c r="D3953" s="832">
        <v>13.31</v>
      </c>
    </row>
    <row r="3954" spans="1:4" x14ac:dyDescent="0.3">
      <c r="A3954" s="830">
        <v>89501</v>
      </c>
      <c r="B3954" s="831" t="s">
        <v>8407</v>
      </c>
      <c r="C3954" s="830" t="s">
        <v>89</v>
      </c>
      <c r="D3954" s="832">
        <v>15.07</v>
      </c>
    </row>
    <row r="3955" spans="1:4" x14ac:dyDescent="0.3">
      <c r="A3955" s="830">
        <v>89502</v>
      </c>
      <c r="B3955" s="831" t="s">
        <v>8408</v>
      </c>
      <c r="C3955" s="830" t="s">
        <v>89</v>
      </c>
      <c r="D3955" s="832">
        <v>17.66</v>
      </c>
    </row>
    <row r="3956" spans="1:4" x14ac:dyDescent="0.3">
      <c r="A3956" s="830">
        <v>89503</v>
      </c>
      <c r="B3956" s="831" t="s">
        <v>8409</v>
      </c>
      <c r="C3956" s="830" t="s">
        <v>89</v>
      </c>
      <c r="D3956" s="832">
        <v>23.46</v>
      </c>
    </row>
    <row r="3957" spans="1:4" x14ac:dyDescent="0.3">
      <c r="A3957" s="830">
        <v>89504</v>
      </c>
      <c r="B3957" s="831" t="s">
        <v>8410</v>
      </c>
      <c r="C3957" s="830" t="s">
        <v>89</v>
      </c>
      <c r="D3957" s="832">
        <v>19.53</v>
      </c>
    </row>
    <row r="3958" spans="1:4" x14ac:dyDescent="0.3">
      <c r="A3958" s="830">
        <v>89505</v>
      </c>
      <c r="B3958" s="831" t="s">
        <v>8411</v>
      </c>
      <c r="C3958" s="830" t="s">
        <v>89</v>
      </c>
      <c r="D3958" s="832">
        <v>42.31</v>
      </c>
    </row>
    <row r="3959" spans="1:4" x14ac:dyDescent="0.3">
      <c r="A3959" s="830">
        <v>89506</v>
      </c>
      <c r="B3959" s="831" t="s">
        <v>8412</v>
      </c>
      <c r="C3959" s="830" t="s">
        <v>89</v>
      </c>
      <c r="D3959" s="832">
        <v>40.49</v>
      </c>
    </row>
    <row r="3960" spans="1:4" x14ac:dyDescent="0.3">
      <c r="A3960" s="830">
        <v>89507</v>
      </c>
      <c r="B3960" s="831" t="s">
        <v>8413</v>
      </c>
      <c r="C3960" s="830" t="s">
        <v>89</v>
      </c>
      <c r="D3960" s="832">
        <v>47.68</v>
      </c>
    </row>
    <row r="3961" spans="1:4" x14ac:dyDescent="0.3">
      <c r="A3961" s="830">
        <v>89510</v>
      </c>
      <c r="B3961" s="831" t="s">
        <v>8414</v>
      </c>
      <c r="C3961" s="830" t="s">
        <v>89</v>
      </c>
      <c r="D3961" s="832">
        <v>27.74</v>
      </c>
    </row>
    <row r="3962" spans="1:4" x14ac:dyDescent="0.3">
      <c r="A3962" s="830">
        <v>89513</v>
      </c>
      <c r="B3962" s="831" t="s">
        <v>8415</v>
      </c>
      <c r="C3962" s="830" t="s">
        <v>89</v>
      </c>
      <c r="D3962" s="832">
        <v>104.97</v>
      </c>
    </row>
    <row r="3963" spans="1:4" x14ac:dyDescent="0.3">
      <c r="A3963" s="830">
        <v>89514</v>
      </c>
      <c r="B3963" s="831" t="s">
        <v>8416</v>
      </c>
      <c r="C3963" s="830" t="s">
        <v>89</v>
      </c>
      <c r="D3963" s="832">
        <v>8.61</v>
      </c>
    </row>
    <row r="3964" spans="1:4" x14ac:dyDescent="0.3">
      <c r="A3964" s="830">
        <v>89515</v>
      </c>
      <c r="B3964" s="831" t="s">
        <v>8417</v>
      </c>
      <c r="C3964" s="830" t="s">
        <v>89</v>
      </c>
      <c r="D3964" s="832">
        <v>83.95</v>
      </c>
    </row>
    <row r="3965" spans="1:4" x14ac:dyDescent="0.3">
      <c r="A3965" s="830">
        <v>89516</v>
      </c>
      <c r="B3965" s="831" t="s">
        <v>8418</v>
      </c>
      <c r="C3965" s="830" t="s">
        <v>89</v>
      </c>
      <c r="D3965" s="832">
        <v>8.69</v>
      </c>
    </row>
    <row r="3966" spans="1:4" x14ac:dyDescent="0.3">
      <c r="A3966" s="830">
        <v>89517</v>
      </c>
      <c r="B3966" s="831" t="s">
        <v>8419</v>
      </c>
      <c r="C3966" s="830" t="s">
        <v>89</v>
      </c>
      <c r="D3966" s="832">
        <v>70.540000000000006</v>
      </c>
    </row>
    <row r="3967" spans="1:4" x14ac:dyDescent="0.3">
      <c r="A3967" s="830">
        <v>89518</v>
      </c>
      <c r="B3967" s="831" t="s">
        <v>8420</v>
      </c>
      <c r="C3967" s="830" t="s">
        <v>89</v>
      </c>
      <c r="D3967" s="832">
        <v>15.33</v>
      </c>
    </row>
    <row r="3968" spans="1:4" x14ac:dyDescent="0.3">
      <c r="A3968" s="830">
        <v>89519</v>
      </c>
      <c r="B3968" s="831" t="s">
        <v>8421</v>
      </c>
      <c r="C3968" s="830" t="s">
        <v>89</v>
      </c>
      <c r="D3968" s="832">
        <v>48.23</v>
      </c>
    </row>
    <row r="3969" spans="1:4" x14ac:dyDescent="0.3">
      <c r="A3969" s="830">
        <v>89520</v>
      </c>
      <c r="B3969" s="831" t="s">
        <v>8422</v>
      </c>
      <c r="C3969" s="830" t="s">
        <v>89</v>
      </c>
      <c r="D3969" s="832">
        <v>16.07</v>
      </c>
    </row>
    <row r="3970" spans="1:4" x14ac:dyDescent="0.3">
      <c r="A3970" s="830">
        <v>89521</v>
      </c>
      <c r="B3970" s="831" t="s">
        <v>8423</v>
      </c>
      <c r="C3970" s="830" t="s">
        <v>89</v>
      </c>
      <c r="D3970" s="832">
        <v>125.1</v>
      </c>
    </row>
    <row r="3971" spans="1:4" x14ac:dyDescent="0.3">
      <c r="A3971" s="830">
        <v>89522</v>
      </c>
      <c r="B3971" s="831" t="s">
        <v>8424</v>
      </c>
      <c r="C3971" s="830" t="s">
        <v>89</v>
      </c>
      <c r="D3971" s="832">
        <v>30.03</v>
      </c>
    </row>
    <row r="3972" spans="1:4" x14ac:dyDescent="0.3">
      <c r="A3972" s="830">
        <v>89523</v>
      </c>
      <c r="B3972" s="831" t="s">
        <v>8425</v>
      </c>
      <c r="C3972" s="830" t="s">
        <v>89</v>
      </c>
      <c r="D3972" s="832">
        <v>102.6</v>
      </c>
    </row>
    <row r="3973" spans="1:4" x14ac:dyDescent="0.3">
      <c r="A3973" s="830">
        <v>89524</v>
      </c>
      <c r="B3973" s="831" t="s">
        <v>8426</v>
      </c>
      <c r="C3973" s="830" t="s">
        <v>89</v>
      </c>
      <c r="D3973" s="832">
        <v>30.5</v>
      </c>
    </row>
    <row r="3974" spans="1:4" x14ac:dyDescent="0.3">
      <c r="A3974" s="830">
        <v>89525</v>
      </c>
      <c r="B3974" s="831" t="s">
        <v>8427</v>
      </c>
      <c r="C3974" s="830" t="s">
        <v>89</v>
      </c>
      <c r="D3974" s="832">
        <v>88.61</v>
      </c>
    </row>
    <row r="3975" spans="1:4" x14ac:dyDescent="0.3">
      <c r="A3975" s="830">
        <v>89526</v>
      </c>
      <c r="B3975" s="831" t="s">
        <v>8428</v>
      </c>
      <c r="C3975" s="830" t="s">
        <v>89</v>
      </c>
      <c r="D3975" s="832">
        <v>39.19</v>
      </c>
    </row>
    <row r="3976" spans="1:4" x14ac:dyDescent="0.3">
      <c r="A3976" s="830">
        <v>89527</v>
      </c>
      <c r="B3976" s="831" t="s">
        <v>8429</v>
      </c>
      <c r="C3976" s="830" t="s">
        <v>89</v>
      </c>
      <c r="D3976" s="832">
        <v>58.08</v>
      </c>
    </row>
    <row r="3977" spans="1:4" x14ac:dyDescent="0.3">
      <c r="A3977" s="830">
        <v>89528</v>
      </c>
      <c r="B3977" s="831" t="s">
        <v>8430</v>
      </c>
      <c r="C3977" s="830" t="s">
        <v>89</v>
      </c>
      <c r="D3977" s="832">
        <v>4.5599999999999996</v>
      </c>
    </row>
    <row r="3978" spans="1:4" x14ac:dyDescent="0.3">
      <c r="A3978" s="830">
        <v>89529</v>
      </c>
      <c r="B3978" s="831" t="s">
        <v>8431</v>
      </c>
      <c r="C3978" s="830" t="s">
        <v>89</v>
      </c>
      <c r="D3978" s="832">
        <v>37.35</v>
      </c>
    </row>
    <row r="3979" spans="1:4" x14ac:dyDescent="0.3">
      <c r="A3979" s="830">
        <v>89530</v>
      </c>
      <c r="B3979" s="831" t="s">
        <v>8432</v>
      </c>
      <c r="C3979" s="830" t="s">
        <v>89</v>
      </c>
      <c r="D3979" s="832">
        <v>16.579999999999998</v>
      </c>
    </row>
    <row r="3980" spans="1:4" x14ac:dyDescent="0.3">
      <c r="A3980" s="830">
        <v>89531</v>
      </c>
      <c r="B3980" s="831" t="s">
        <v>8433</v>
      </c>
      <c r="C3980" s="830" t="s">
        <v>89</v>
      </c>
      <c r="D3980" s="832">
        <v>38.4</v>
      </c>
    </row>
    <row r="3981" spans="1:4" x14ac:dyDescent="0.3">
      <c r="A3981" s="830">
        <v>89532</v>
      </c>
      <c r="B3981" s="831" t="s">
        <v>8434</v>
      </c>
      <c r="C3981" s="830" t="s">
        <v>89</v>
      </c>
      <c r="D3981" s="832">
        <v>7.43</v>
      </c>
    </row>
    <row r="3982" spans="1:4" x14ac:dyDescent="0.3">
      <c r="A3982" s="830">
        <v>89535</v>
      </c>
      <c r="B3982" s="831" t="s">
        <v>8435</v>
      </c>
      <c r="C3982" s="830" t="s">
        <v>89</v>
      </c>
      <c r="D3982" s="832">
        <v>42.95</v>
      </c>
    </row>
    <row r="3983" spans="1:4" x14ac:dyDescent="0.3">
      <c r="A3983" s="830">
        <v>89536</v>
      </c>
      <c r="B3983" s="831" t="s">
        <v>8436</v>
      </c>
      <c r="C3983" s="830" t="s">
        <v>89</v>
      </c>
      <c r="D3983" s="832">
        <v>12.04</v>
      </c>
    </row>
    <row r="3984" spans="1:4" x14ac:dyDescent="0.3">
      <c r="A3984" s="830">
        <v>89540</v>
      </c>
      <c r="B3984" s="831" t="s">
        <v>8437</v>
      </c>
      <c r="C3984" s="830" t="s">
        <v>89</v>
      </c>
      <c r="D3984" s="832">
        <v>10.68</v>
      </c>
    </row>
    <row r="3985" spans="1:4" x14ac:dyDescent="0.3">
      <c r="A3985" s="830">
        <v>89541</v>
      </c>
      <c r="B3985" s="831" t="s">
        <v>8438</v>
      </c>
      <c r="C3985" s="830" t="s">
        <v>89</v>
      </c>
      <c r="D3985" s="832">
        <v>6.78</v>
      </c>
    </row>
    <row r="3986" spans="1:4" x14ac:dyDescent="0.3">
      <c r="A3986" s="830">
        <v>89542</v>
      </c>
      <c r="B3986" s="831" t="s">
        <v>8439</v>
      </c>
      <c r="C3986" s="830" t="s">
        <v>89</v>
      </c>
      <c r="D3986" s="832">
        <v>27.54</v>
      </c>
    </row>
    <row r="3987" spans="1:4" x14ac:dyDescent="0.3">
      <c r="A3987" s="830">
        <v>89544</v>
      </c>
      <c r="B3987" s="831" t="s">
        <v>8440</v>
      </c>
      <c r="C3987" s="830" t="s">
        <v>89</v>
      </c>
      <c r="D3987" s="832">
        <v>8.76</v>
      </c>
    </row>
    <row r="3988" spans="1:4" x14ac:dyDescent="0.3">
      <c r="A3988" s="830">
        <v>89545</v>
      </c>
      <c r="B3988" s="831" t="s">
        <v>8441</v>
      </c>
      <c r="C3988" s="830" t="s">
        <v>89</v>
      </c>
      <c r="D3988" s="832">
        <v>17.010000000000002</v>
      </c>
    </row>
    <row r="3989" spans="1:4" x14ac:dyDescent="0.3">
      <c r="A3989" s="830">
        <v>89546</v>
      </c>
      <c r="B3989" s="831" t="s">
        <v>8442</v>
      </c>
      <c r="C3989" s="830" t="s">
        <v>89</v>
      </c>
      <c r="D3989" s="832">
        <v>11.34</v>
      </c>
    </row>
    <row r="3990" spans="1:4" x14ac:dyDescent="0.3">
      <c r="A3990" s="830">
        <v>89547</v>
      </c>
      <c r="B3990" s="831" t="s">
        <v>8443</v>
      </c>
      <c r="C3990" s="830" t="s">
        <v>89</v>
      </c>
      <c r="D3990" s="832">
        <v>22.75</v>
      </c>
    </row>
    <row r="3991" spans="1:4" x14ac:dyDescent="0.3">
      <c r="A3991" s="830">
        <v>89548</v>
      </c>
      <c r="B3991" s="831" t="s">
        <v>8444</v>
      </c>
      <c r="C3991" s="830" t="s">
        <v>89</v>
      </c>
      <c r="D3991" s="832">
        <v>23.12</v>
      </c>
    </row>
    <row r="3992" spans="1:4" x14ac:dyDescent="0.3">
      <c r="A3992" s="830">
        <v>89549</v>
      </c>
      <c r="B3992" s="831" t="s">
        <v>8445</v>
      </c>
      <c r="C3992" s="830" t="s">
        <v>89</v>
      </c>
      <c r="D3992" s="832">
        <v>19.12</v>
      </c>
    </row>
    <row r="3993" spans="1:4" x14ac:dyDescent="0.3">
      <c r="A3993" s="830">
        <v>89550</v>
      </c>
      <c r="B3993" s="831" t="s">
        <v>8446</v>
      </c>
      <c r="C3993" s="830" t="s">
        <v>89</v>
      </c>
      <c r="D3993" s="832">
        <v>41.31</v>
      </c>
    </row>
    <row r="3994" spans="1:4" x14ac:dyDescent="0.3">
      <c r="A3994" s="830">
        <v>89551</v>
      </c>
      <c r="B3994" s="831" t="s">
        <v>8447</v>
      </c>
      <c r="C3994" s="830" t="s">
        <v>89</v>
      </c>
      <c r="D3994" s="832">
        <v>8.89</v>
      </c>
    </row>
    <row r="3995" spans="1:4" x14ac:dyDescent="0.3">
      <c r="A3995" s="830">
        <v>89552</v>
      </c>
      <c r="B3995" s="831" t="s">
        <v>8448</v>
      </c>
      <c r="C3995" s="830" t="s">
        <v>89</v>
      </c>
      <c r="D3995" s="832">
        <v>18.73</v>
      </c>
    </row>
    <row r="3996" spans="1:4" x14ac:dyDescent="0.3">
      <c r="A3996" s="830">
        <v>89553</v>
      </c>
      <c r="B3996" s="831" t="s">
        <v>8449</v>
      </c>
      <c r="C3996" s="830" t="s">
        <v>89</v>
      </c>
      <c r="D3996" s="832">
        <v>6.06</v>
      </c>
    </row>
    <row r="3997" spans="1:4" x14ac:dyDescent="0.3">
      <c r="A3997" s="830">
        <v>89554</v>
      </c>
      <c r="B3997" s="831" t="s">
        <v>8450</v>
      </c>
      <c r="C3997" s="830" t="s">
        <v>89</v>
      </c>
      <c r="D3997" s="832">
        <v>28.92</v>
      </c>
    </row>
    <row r="3998" spans="1:4" x14ac:dyDescent="0.3">
      <c r="A3998" s="830">
        <v>89555</v>
      </c>
      <c r="B3998" s="831" t="s">
        <v>8451</v>
      </c>
      <c r="C3998" s="830" t="s">
        <v>89</v>
      </c>
      <c r="D3998" s="832">
        <v>21.9</v>
      </c>
    </row>
    <row r="3999" spans="1:4" x14ac:dyDescent="0.3">
      <c r="A3999" s="830">
        <v>89556</v>
      </c>
      <c r="B3999" s="831" t="s">
        <v>8452</v>
      </c>
      <c r="C3999" s="830" t="s">
        <v>89</v>
      </c>
      <c r="D3999" s="832">
        <v>40.29</v>
      </c>
    </row>
    <row r="4000" spans="1:4" x14ac:dyDescent="0.3">
      <c r="A4000" s="830">
        <v>89557</v>
      </c>
      <c r="B4000" s="831" t="s">
        <v>8453</v>
      </c>
      <c r="C4000" s="830" t="s">
        <v>89</v>
      </c>
      <c r="D4000" s="832">
        <v>31.99</v>
      </c>
    </row>
    <row r="4001" spans="1:4" x14ac:dyDescent="0.3">
      <c r="A4001" s="830">
        <v>89558</v>
      </c>
      <c r="B4001" s="831" t="s">
        <v>8454</v>
      </c>
      <c r="C4001" s="830" t="s">
        <v>89</v>
      </c>
      <c r="D4001" s="832">
        <v>10.19</v>
      </c>
    </row>
    <row r="4002" spans="1:4" x14ac:dyDescent="0.3">
      <c r="A4002" s="830">
        <v>89559</v>
      </c>
      <c r="B4002" s="831" t="s">
        <v>8455</v>
      </c>
      <c r="C4002" s="830" t="s">
        <v>89</v>
      </c>
      <c r="D4002" s="832">
        <v>67.180000000000007</v>
      </c>
    </row>
    <row r="4003" spans="1:4" x14ac:dyDescent="0.3">
      <c r="A4003" s="830">
        <v>89560</v>
      </c>
      <c r="B4003" s="831" t="s">
        <v>8456</v>
      </c>
      <c r="C4003" s="830" t="s">
        <v>89</v>
      </c>
      <c r="D4003" s="832">
        <v>35.28</v>
      </c>
    </row>
    <row r="4004" spans="1:4" x14ac:dyDescent="0.3">
      <c r="A4004" s="830">
        <v>89561</v>
      </c>
      <c r="B4004" s="831" t="s">
        <v>8457</v>
      </c>
      <c r="C4004" s="830" t="s">
        <v>89</v>
      </c>
      <c r="D4004" s="832">
        <v>15.22</v>
      </c>
    </row>
    <row r="4005" spans="1:4" x14ac:dyDescent="0.3">
      <c r="A4005" s="830">
        <v>89562</v>
      </c>
      <c r="B4005" s="831" t="s">
        <v>8458</v>
      </c>
      <c r="C4005" s="830" t="s">
        <v>89</v>
      </c>
      <c r="D4005" s="832">
        <v>10.75</v>
      </c>
    </row>
    <row r="4006" spans="1:4" x14ac:dyDescent="0.3">
      <c r="A4006" s="830">
        <v>89563</v>
      </c>
      <c r="B4006" s="831" t="s">
        <v>8459</v>
      </c>
      <c r="C4006" s="830" t="s">
        <v>89</v>
      </c>
      <c r="D4006" s="832">
        <v>34.86</v>
      </c>
    </row>
    <row r="4007" spans="1:4" x14ac:dyDescent="0.3">
      <c r="A4007" s="830">
        <v>89564</v>
      </c>
      <c r="B4007" s="831" t="s">
        <v>8460</v>
      </c>
      <c r="C4007" s="830" t="s">
        <v>89</v>
      </c>
      <c r="D4007" s="832">
        <v>15.99</v>
      </c>
    </row>
    <row r="4008" spans="1:4" x14ac:dyDescent="0.3">
      <c r="A4008" s="830">
        <v>89565</v>
      </c>
      <c r="B4008" s="831" t="s">
        <v>8461</v>
      </c>
      <c r="C4008" s="830" t="s">
        <v>89</v>
      </c>
      <c r="D4008" s="832">
        <v>56.26</v>
      </c>
    </row>
    <row r="4009" spans="1:4" x14ac:dyDescent="0.3">
      <c r="A4009" s="830">
        <v>89566</v>
      </c>
      <c r="B4009" s="831" t="s">
        <v>8462</v>
      </c>
      <c r="C4009" s="830" t="s">
        <v>89</v>
      </c>
      <c r="D4009" s="832">
        <v>47.73</v>
      </c>
    </row>
    <row r="4010" spans="1:4" x14ac:dyDescent="0.3">
      <c r="A4010" s="830">
        <v>89567</v>
      </c>
      <c r="B4010" s="831" t="s">
        <v>8463</v>
      </c>
      <c r="C4010" s="830" t="s">
        <v>89</v>
      </c>
      <c r="D4010" s="832">
        <v>80.73</v>
      </c>
    </row>
    <row r="4011" spans="1:4" x14ac:dyDescent="0.3">
      <c r="A4011" s="830">
        <v>89568</v>
      </c>
      <c r="B4011" s="831" t="s">
        <v>8464</v>
      </c>
      <c r="C4011" s="830" t="s">
        <v>89</v>
      </c>
      <c r="D4011" s="832">
        <v>32.729999999999997</v>
      </c>
    </row>
    <row r="4012" spans="1:4" x14ac:dyDescent="0.3">
      <c r="A4012" s="830">
        <v>89569</v>
      </c>
      <c r="B4012" s="831" t="s">
        <v>8465</v>
      </c>
      <c r="C4012" s="830" t="s">
        <v>89</v>
      </c>
      <c r="D4012" s="832">
        <v>94.13</v>
      </c>
    </row>
    <row r="4013" spans="1:4" x14ac:dyDescent="0.3">
      <c r="A4013" s="830">
        <v>89570</v>
      </c>
      <c r="B4013" s="831" t="s">
        <v>8466</v>
      </c>
      <c r="C4013" s="830" t="s">
        <v>89</v>
      </c>
      <c r="D4013" s="832">
        <v>11.84</v>
      </c>
    </row>
    <row r="4014" spans="1:4" x14ac:dyDescent="0.3">
      <c r="A4014" s="830">
        <v>89571</v>
      </c>
      <c r="B4014" s="831" t="s">
        <v>8467</v>
      </c>
      <c r="C4014" s="830" t="s">
        <v>89</v>
      </c>
      <c r="D4014" s="832">
        <v>69.989999999999995</v>
      </c>
    </row>
    <row r="4015" spans="1:4" x14ac:dyDescent="0.3">
      <c r="A4015" s="830">
        <v>89572</v>
      </c>
      <c r="B4015" s="831" t="s">
        <v>8468</v>
      </c>
      <c r="C4015" s="830" t="s">
        <v>89</v>
      </c>
      <c r="D4015" s="832">
        <v>9.09</v>
      </c>
    </row>
    <row r="4016" spans="1:4" x14ac:dyDescent="0.3">
      <c r="A4016" s="830">
        <v>89573</v>
      </c>
      <c r="B4016" s="831" t="s">
        <v>8469</v>
      </c>
      <c r="C4016" s="830" t="s">
        <v>89</v>
      </c>
      <c r="D4016" s="832">
        <v>76.739999999999995</v>
      </c>
    </row>
    <row r="4017" spans="1:4" x14ac:dyDescent="0.3">
      <c r="A4017" s="830">
        <v>89574</v>
      </c>
      <c r="B4017" s="831" t="s">
        <v>8470</v>
      </c>
      <c r="C4017" s="830" t="s">
        <v>89</v>
      </c>
      <c r="D4017" s="832">
        <v>155.63999999999999</v>
      </c>
    </row>
    <row r="4018" spans="1:4" x14ac:dyDescent="0.3">
      <c r="A4018" s="830">
        <v>89575</v>
      </c>
      <c r="B4018" s="831" t="s">
        <v>8471</v>
      </c>
      <c r="C4018" s="830" t="s">
        <v>89</v>
      </c>
      <c r="D4018" s="832">
        <v>12.12</v>
      </c>
    </row>
    <row r="4019" spans="1:4" x14ac:dyDescent="0.3">
      <c r="A4019" s="830">
        <v>89577</v>
      </c>
      <c r="B4019" s="831" t="s">
        <v>8472</v>
      </c>
      <c r="C4019" s="830" t="s">
        <v>89</v>
      </c>
      <c r="D4019" s="832">
        <v>37.35</v>
      </c>
    </row>
    <row r="4020" spans="1:4" x14ac:dyDescent="0.3">
      <c r="A4020" s="830">
        <v>89579</v>
      </c>
      <c r="B4020" s="831" t="s">
        <v>8473</v>
      </c>
      <c r="C4020" s="830" t="s">
        <v>89</v>
      </c>
      <c r="D4020" s="832">
        <v>12.13</v>
      </c>
    </row>
    <row r="4021" spans="1:4" x14ac:dyDescent="0.3">
      <c r="A4021" s="830">
        <v>89581</v>
      </c>
      <c r="B4021" s="831" t="s">
        <v>8474</v>
      </c>
      <c r="C4021" s="830" t="s">
        <v>89</v>
      </c>
      <c r="D4021" s="832">
        <v>34.32</v>
      </c>
    </row>
    <row r="4022" spans="1:4" x14ac:dyDescent="0.3">
      <c r="A4022" s="830">
        <v>89582</v>
      </c>
      <c r="B4022" s="831" t="s">
        <v>8475</v>
      </c>
      <c r="C4022" s="830" t="s">
        <v>89</v>
      </c>
      <c r="D4022" s="832">
        <v>34.79</v>
      </c>
    </row>
    <row r="4023" spans="1:4" x14ac:dyDescent="0.3">
      <c r="A4023" s="830">
        <v>89583</v>
      </c>
      <c r="B4023" s="831" t="s">
        <v>8476</v>
      </c>
      <c r="C4023" s="830" t="s">
        <v>89</v>
      </c>
      <c r="D4023" s="832">
        <v>43.48</v>
      </c>
    </row>
    <row r="4024" spans="1:4" x14ac:dyDescent="0.3">
      <c r="A4024" s="830">
        <v>89584</v>
      </c>
      <c r="B4024" s="831" t="s">
        <v>8477</v>
      </c>
      <c r="C4024" s="830" t="s">
        <v>89</v>
      </c>
      <c r="D4024" s="832">
        <v>45.12</v>
      </c>
    </row>
    <row r="4025" spans="1:4" x14ac:dyDescent="0.3">
      <c r="A4025" s="830">
        <v>89585</v>
      </c>
      <c r="B4025" s="831" t="s">
        <v>8478</v>
      </c>
      <c r="C4025" s="830" t="s">
        <v>89</v>
      </c>
      <c r="D4025" s="832">
        <v>46.17</v>
      </c>
    </row>
    <row r="4026" spans="1:4" x14ac:dyDescent="0.3">
      <c r="A4026" s="830">
        <v>89587</v>
      </c>
      <c r="B4026" s="831" t="s">
        <v>8479</v>
      </c>
      <c r="C4026" s="830" t="s">
        <v>89</v>
      </c>
      <c r="D4026" s="832">
        <v>50.72</v>
      </c>
    </row>
    <row r="4027" spans="1:4" x14ac:dyDescent="0.3">
      <c r="A4027" s="830">
        <v>89590</v>
      </c>
      <c r="B4027" s="831" t="s">
        <v>8480</v>
      </c>
      <c r="C4027" s="830" t="s">
        <v>89</v>
      </c>
      <c r="D4027" s="832">
        <v>134.25</v>
      </c>
    </row>
    <row r="4028" spans="1:4" x14ac:dyDescent="0.3">
      <c r="A4028" s="830">
        <v>89591</v>
      </c>
      <c r="B4028" s="831" t="s">
        <v>8481</v>
      </c>
      <c r="C4028" s="830" t="s">
        <v>89</v>
      </c>
      <c r="D4028" s="832">
        <v>131.02000000000001</v>
      </c>
    </row>
    <row r="4029" spans="1:4" x14ac:dyDescent="0.3">
      <c r="A4029" s="830">
        <v>89592</v>
      </c>
      <c r="B4029" s="831" t="s">
        <v>8482</v>
      </c>
      <c r="C4029" s="830" t="s">
        <v>89</v>
      </c>
      <c r="D4029" s="832">
        <v>159.46</v>
      </c>
    </row>
    <row r="4030" spans="1:4" x14ac:dyDescent="0.3">
      <c r="A4030" s="830">
        <v>89593</v>
      </c>
      <c r="B4030" s="831" t="s">
        <v>8483</v>
      </c>
      <c r="C4030" s="830" t="s">
        <v>89</v>
      </c>
      <c r="D4030" s="832">
        <v>25.29</v>
      </c>
    </row>
    <row r="4031" spans="1:4" x14ac:dyDescent="0.3">
      <c r="A4031" s="830">
        <v>89594</v>
      </c>
      <c r="B4031" s="831" t="s">
        <v>8484</v>
      </c>
      <c r="C4031" s="830" t="s">
        <v>89</v>
      </c>
      <c r="D4031" s="832">
        <v>36.380000000000003</v>
      </c>
    </row>
    <row r="4032" spans="1:4" x14ac:dyDescent="0.3">
      <c r="A4032" s="830">
        <v>89595</v>
      </c>
      <c r="B4032" s="831" t="s">
        <v>8485</v>
      </c>
      <c r="C4032" s="830" t="s">
        <v>89</v>
      </c>
      <c r="D4032" s="832">
        <v>14.9</v>
      </c>
    </row>
    <row r="4033" spans="1:4" x14ac:dyDescent="0.3">
      <c r="A4033" s="830">
        <v>89596</v>
      </c>
      <c r="B4033" s="831" t="s">
        <v>8486</v>
      </c>
      <c r="C4033" s="830" t="s">
        <v>89</v>
      </c>
      <c r="D4033" s="832">
        <v>10.89</v>
      </c>
    </row>
    <row r="4034" spans="1:4" x14ac:dyDescent="0.3">
      <c r="A4034" s="830">
        <v>89597</v>
      </c>
      <c r="B4034" s="831" t="s">
        <v>8487</v>
      </c>
      <c r="C4034" s="830" t="s">
        <v>89</v>
      </c>
      <c r="D4034" s="832">
        <v>23.34</v>
      </c>
    </row>
    <row r="4035" spans="1:4" x14ac:dyDescent="0.3">
      <c r="A4035" s="830">
        <v>89598</v>
      </c>
      <c r="B4035" s="831" t="s">
        <v>8488</v>
      </c>
      <c r="C4035" s="830" t="s">
        <v>89</v>
      </c>
      <c r="D4035" s="832">
        <v>50.34</v>
      </c>
    </row>
    <row r="4036" spans="1:4" x14ac:dyDescent="0.3">
      <c r="A4036" s="830">
        <v>89599</v>
      </c>
      <c r="B4036" s="831" t="s">
        <v>8489</v>
      </c>
      <c r="C4036" s="830" t="s">
        <v>89</v>
      </c>
      <c r="D4036" s="832">
        <v>25.62</v>
      </c>
    </row>
    <row r="4037" spans="1:4" x14ac:dyDescent="0.3">
      <c r="A4037" s="830">
        <v>89600</v>
      </c>
      <c r="B4037" s="831" t="s">
        <v>8490</v>
      </c>
      <c r="C4037" s="830" t="s">
        <v>89</v>
      </c>
      <c r="D4037" s="832">
        <v>25.98</v>
      </c>
    </row>
    <row r="4038" spans="1:4" x14ac:dyDescent="0.3">
      <c r="A4038" s="830">
        <v>89605</v>
      </c>
      <c r="B4038" s="831" t="s">
        <v>8491</v>
      </c>
      <c r="C4038" s="830" t="s">
        <v>89</v>
      </c>
      <c r="D4038" s="832">
        <v>21.24</v>
      </c>
    </row>
    <row r="4039" spans="1:4" x14ac:dyDescent="0.3">
      <c r="A4039" s="830">
        <v>89609</v>
      </c>
      <c r="B4039" s="831" t="s">
        <v>8492</v>
      </c>
      <c r="C4039" s="830" t="s">
        <v>89</v>
      </c>
      <c r="D4039" s="832">
        <v>84.37</v>
      </c>
    </row>
    <row r="4040" spans="1:4" x14ac:dyDescent="0.3">
      <c r="A4040" s="830">
        <v>89610</v>
      </c>
      <c r="B4040" s="831" t="s">
        <v>8493</v>
      </c>
      <c r="C4040" s="830" t="s">
        <v>89</v>
      </c>
      <c r="D4040" s="832">
        <v>20.14</v>
      </c>
    </row>
    <row r="4041" spans="1:4" x14ac:dyDescent="0.3">
      <c r="A4041" s="830">
        <v>89611</v>
      </c>
      <c r="B4041" s="831" t="s">
        <v>8494</v>
      </c>
      <c r="C4041" s="830" t="s">
        <v>89</v>
      </c>
      <c r="D4041" s="832">
        <v>32.96</v>
      </c>
    </row>
    <row r="4042" spans="1:4" x14ac:dyDescent="0.3">
      <c r="A4042" s="830">
        <v>89612</v>
      </c>
      <c r="B4042" s="831" t="s">
        <v>8495</v>
      </c>
      <c r="C4042" s="830" t="s">
        <v>89</v>
      </c>
      <c r="D4042" s="832">
        <v>165.26</v>
      </c>
    </row>
    <row r="4043" spans="1:4" x14ac:dyDescent="0.3">
      <c r="A4043" s="830">
        <v>89613</v>
      </c>
      <c r="B4043" s="831" t="s">
        <v>8496</v>
      </c>
      <c r="C4043" s="830" t="s">
        <v>89</v>
      </c>
      <c r="D4043" s="832">
        <v>31.26</v>
      </c>
    </row>
    <row r="4044" spans="1:4" x14ac:dyDescent="0.3">
      <c r="A4044" s="830">
        <v>89614</v>
      </c>
      <c r="B4044" s="831" t="s">
        <v>8497</v>
      </c>
      <c r="C4044" s="830" t="s">
        <v>89</v>
      </c>
      <c r="D4044" s="832">
        <v>60.65</v>
      </c>
    </row>
    <row r="4045" spans="1:4" x14ac:dyDescent="0.3">
      <c r="A4045" s="830">
        <v>89615</v>
      </c>
      <c r="B4045" s="831" t="s">
        <v>8498</v>
      </c>
      <c r="C4045" s="830" t="s">
        <v>89</v>
      </c>
      <c r="D4045" s="832">
        <v>195.18</v>
      </c>
    </row>
    <row r="4046" spans="1:4" x14ac:dyDescent="0.3">
      <c r="A4046" s="830">
        <v>89616</v>
      </c>
      <c r="B4046" s="831" t="s">
        <v>8499</v>
      </c>
      <c r="C4046" s="830" t="s">
        <v>89</v>
      </c>
      <c r="D4046" s="832">
        <v>41.7</v>
      </c>
    </row>
    <row r="4047" spans="1:4" x14ac:dyDescent="0.3">
      <c r="A4047" s="830">
        <v>89617</v>
      </c>
      <c r="B4047" s="831" t="s">
        <v>8500</v>
      </c>
      <c r="C4047" s="830" t="s">
        <v>89</v>
      </c>
      <c r="D4047" s="832">
        <v>8.09</v>
      </c>
    </row>
    <row r="4048" spans="1:4" x14ac:dyDescent="0.3">
      <c r="A4048" s="830">
        <v>89620</v>
      </c>
      <c r="B4048" s="831" t="s">
        <v>8501</v>
      </c>
      <c r="C4048" s="830" t="s">
        <v>89</v>
      </c>
      <c r="D4048" s="832">
        <v>12.53</v>
      </c>
    </row>
    <row r="4049" spans="1:4" x14ac:dyDescent="0.3">
      <c r="A4049" s="830">
        <v>89622</v>
      </c>
      <c r="B4049" s="831" t="s">
        <v>8502</v>
      </c>
      <c r="C4049" s="830" t="s">
        <v>89</v>
      </c>
      <c r="D4049" s="832">
        <v>14.7</v>
      </c>
    </row>
    <row r="4050" spans="1:4" x14ac:dyDescent="0.3">
      <c r="A4050" s="830">
        <v>89623</v>
      </c>
      <c r="B4050" s="831" t="s">
        <v>8503</v>
      </c>
      <c r="C4050" s="830" t="s">
        <v>89</v>
      </c>
      <c r="D4050" s="832">
        <v>20.18</v>
      </c>
    </row>
    <row r="4051" spans="1:4" x14ac:dyDescent="0.3">
      <c r="A4051" s="830">
        <v>89624</v>
      </c>
      <c r="B4051" s="831" t="s">
        <v>8504</v>
      </c>
      <c r="C4051" s="830" t="s">
        <v>89</v>
      </c>
      <c r="D4051" s="832">
        <v>18.64</v>
      </c>
    </row>
    <row r="4052" spans="1:4" x14ac:dyDescent="0.3">
      <c r="A4052" s="830">
        <v>89625</v>
      </c>
      <c r="B4052" s="831" t="s">
        <v>8505</v>
      </c>
      <c r="C4052" s="830" t="s">
        <v>89</v>
      </c>
      <c r="D4052" s="832">
        <v>23.71</v>
      </c>
    </row>
    <row r="4053" spans="1:4" x14ac:dyDescent="0.3">
      <c r="A4053" s="830">
        <v>89626</v>
      </c>
      <c r="B4053" s="831" t="s">
        <v>8506</v>
      </c>
      <c r="C4053" s="830" t="s">
        <v>89</v>
      </c>
      <c r="D4053" s="832">
        <v>30.98</v>
      </c>
    </row>
    <row r="4054" spans="1:4" x14ac:dyDescent="0.3">
      <c r="A4054" s="830">
        <v>89627</v>
      </c>
      <c r="B4054" s="831" t="s">
        <v>8507</v>
      </c>
      <c r="C4054" s="830" t="s">
        <v>89</v>
      </c>
      <c r="D4054" s="832">
        <v>20.85</v>
      </c>
    </row>
    <row r="4055" spans="1:4" x14ac:dyDescent="0.3">
      <c r="A4055" s="830">
        <v>89628</v>
      </c>
      <c r="B4055" s="831" t="s">
        <v>8508</v>
      </c>
      <c r="C4055" s="830" t="s">
        <v>89</v>
      </c>
      <c r="D4055" s="832">
        <v>49.08</v>
      </c>
    </row>
    <row r="4056" spans="1:4" x14ac:dyDescent="0.3">
      <c r="A4056" s="830">
        <v>89629</v>
      </c>
      <c r="B4056" s="831" t="s">
        <v>8509</v>
      </c>
      <c r="C4056" s="830" t="s">
        <v>89</v>
      </c>
      <c r="D4056" s="832">
        <v>82.13</v>
      </c>
    </row>
    <row r="4057" spans="1:4" x14ac:dyDescent="0.3">
      <c r="A4057" s="830">
        <v>89630</v>
      </c>
      <c r="B4057" s="831" t="s">
        <v>8510</v>
      </c>
      <c r="C4057" s="830" t="s">
        <v>89</v>
      </c>
      <c r="D4057" s="832">
        <v>62.38</v>
      </c>
    </row>
    <row r="4058" spans="1:4" x14ac:dyDescent="0.3">
      <c r="A4058" s="830">
        <v>89631</v>
      </c>
      <c r="B4058" s="831" t="s">
        <v>8511</v>
      </c>
      <c r="C4058" s="830" t="s">
        <v>89</v>
      </c>
      <c r="D4058" s="832">
        <v>107.58</v>
      </c>
    </row>
    <row r="4059" spans="1:4" x14ac:dyDescent="0.3">
      <c r="A4059" s="830">
        <v>89632</v>
      </c>
      <c r="B4059" s="831" t="s">
        <v>8512</v>
      </c>
      <c r="C4059" s="830" t="s">
        <v>89</v>
      </c>
      <c r="D4059" s="832">
        <v>124.11</v>
      </c>
    </row>
    <row r="4060" spans="1:4" x14ac:dyDescent="0.3">
      <c r="A4060" s="830">
        <v>89637</v>
      </c>
      <c r="B4060" s="831" t="s">
        <v>8513</v>
      </c>
      <c r="C4060" s="830" t="s">
        <v>89</v>
      </c>
      <c r="D4060" s="832">
        <v>11.5</v>
      </c>
    </row>
    <row r="4061" spans="1:4" x14ac:dyDescent="0.3">
      <c r="A4061" s="830">
        <v>89638</v>
      </c>
      <c r="B4061" s="831" t="s">
        <v>8514</v>
      </c>
      <c r="C4061" s="830" t="s">
        <v>89</v>
      </c>
      <c r="D4061" s="832">
        <v>12.42</v>
      </c>
    </row>
    <row r="4062" spans="1:4" x14ac:dyDescent="0.3">
      <c r="A4062" s="830">
        <v>89639</v>
      </c>
      <c r="B4062" s="831" t="s">
        <v>8515</v>
      </c>
      <c r="C4062" s="830" t="s">
        <v>89</v>
      </c>
      <c r="D4062" s="832">
        <v>13.08</v>
      </c>
    </row>
    <row r="4063" spans="1:4" x14ac:dyDescent="0.3">
      <c r="A4063" s="830">
        <v>89640</v>
      </c>
      <c r="B4063" s="831" t="s">
        <v>8516</v>
      </c>
      <c r="C4063" s="830" t="s">
        <v>89</v>
      </c>
      <c r="D4063" s="832">
        <v>20.11</v>
      </c>
    </row>
    <row r="4064" spans="1:4" x14ac:dyDescent="0.3">
      <c r="A4064" s="830">
        <v>89641</v>
      </c>
      <c r="B4064" s="831" t="s">
        <v>8517</v>
      </c>
      <c r="C4064" s="830" t="s">
        <v>89</v>
      </c>
      <c r="D4064" s="832">
        <v>14.88</v>
      </c>
    </row>
    <row r="4065" spans="1:4" x14ac:dyDescent="0.3">
      <c r="A4065" s="830">
        <v>89642</v>
      </c>
      <c r="B4065" s="831" t="s">
        <v>8518</v>
      </c>
      <c r="C4065" s="830" t="s">
        <v>89</v>
      </c>
      <c r="D4065" s="832">
        <v>16.5</v>
      </c>
    </row>
    <row r="4066" spans="1:4" x14ac:dyDescent="0.3">
      <c r="A4066" s="830">
        <v>89643</v>
      </c>
      <c r="B4066" s="831" t="s">
        <v>8519</v>
      </c>
      <c r="C4066" s="830" t="s">
        <v>89</v>
      </c>
      <c r="D4066" s="832">
        <v>17.8</v>
      </c>
    </row>
    <row r="4067" spans="1:4" x14ac:dyDescent="0.3">
      <c r="A4067" s="830">
        <v>89644</v>
      </c>
      <c r="B4067" s="831" t="s">
        <v>8520</v>
      </c>
      <c r="C4067" s="830" t="s">
        <v>89</v>
      </c>
      <c r="D4067" s="832">
        <v>24.49</v>
      </c>
    </row>
    <row r="4068" spans="1:4" x14ac:dyDescent="0.3">
      <c r="A4068" s="830">
        <v>89645</v>
      </c>
      <c r="B4068" s="831" t="s">
        <v>8521</v>
      </c>
      <c r="C4068" s="830" t="s">
        <v>89</v>
      </c>
      <c r="D4068" s="832">
        <v>33.96</v>
      </c>
    </row>
    <row r="4069" spans="1:4" x14ac:dyDescent="0.3">
      <c r="A4069" s="830">
        <v>89646</v>
      </c>
      <c r="B4069" s="831" t="s">
        <v>8522</v>
      </c>
      <c r="C4069" s="830" t="s">
        <v>89</v>
      </c>
      <c r="D4069" s="832">
        <v>22.17</v>
      </c>
    </row>
    <row r="4070" spans="1:4" x14ac:dyDescent="0.3">
      <c r="A4070" s="830">
        <v>89647</v>
      </c>
      <c r="B4070" s="831" t="s">
        <v>8523</v>
      </c>
      <c r="C4070" s="830" t="s">
        <v>89</v>
      </c>
      <c r="D4070" s="832">
        <v>21.5</v>
      </c>
    </row>
    <row r="4071" spans="1:4" x14ac:dyDescent="0.3">
      <c r="A4071" s="830">
        <v>89648</v>
      </c>
      <c r="B4071" s="831" t="s">
        <v>8524</v>
      </c>
      <c r="C4071" s="830" t="s">
        <v>89</v>
      </c>
      <c r="D4071" s="832">
        <v>26.57</v>
      </c>
    </row>
    <row r="4072" spans="1:4" x14ac:dyDescent="0.3">
      <c r="A4072" s="830">
        <v>89649</v>
      </c>
      <c r="B4072" s="831" t="s">
        <v>8525</v>
      </c>
      <c r="C4072" s="830" t="s">
        <v>89</v>
      </c>
      <c r="D4072" s="832">
        <v>32.31</v>
      </c>
    </row>
    <row r="4073" spans="1:4" x14ac:dyDescent="0.3">
      <c r="A4073" s="830">
        <v>89650</v>
      </c>
      <c r="B4073" s="831" t="s">
        <v>8526</v>
      </c>
      <c r="C4073" s="830" t="s">
        <v>89</v>
      </c>
      <c r="D4073" s="832">
        <v>30.64</v>
      </c>
    </row>
    <row r="4074" spans="1:4" x14ac:dyDescent="0.3">
      <c r="A4074" s="830">
        <v>89651</v>
      </c>
      <c r="B4074" s="831" t="s">
        <v>8527</v>
      </c>
      <c r="C4074" s="830" t="s">
        <v>89</v>
      </c>
      <c r="D4074" s="832">
        <v>7.81</v>
      </c>
    </row>
    <row r="4075" spans="1:4" x14ac:dyDescent="0.3">
      <c r="A4075" s="830">
        <v>89652</v>
      </c>
      <c r="B4075" s="831" t="s">
        <v>8528</v>
      </c>
      <c r="C4075" s="830" t="s">
        <v>89</v>
      </c>
      <c r="D4075" s="832">
        <v>12.98</v>
      </c>
    </row>
    <row r="4076" spans="1:4" x14ac:dyDescent="0.3">
      <c r="A4076" s="830">
        <v>89653</v>
      </c>
      <c r="B4076" s="831" t="s">
        <v>8529</v>
      </c>
      <c r="C4076" s="830" t="s">
        <v>89</v>
      </c>
      <c r="D4076" s="832">
        <v>18.21</v>
      </c>
    </row>
    <row r="4077" spans="1:4" x14ac:dyDescent="0.3">
      <c r="A4077" s="830">
        <v>89654</v>
      </c>
      <c r="B4077" s="831" t="s">
        <v>8530</v>
      </c>
      <c r="C4077" s="830" t="s">
        <v>89</v>
      </c>
      <c r="D4077" s="832">
        <v>21.01</v>
      </c>
    </row>
    <row r="4078" spans="1:4" x14ac:dyDescent="0.3">
      <c r="A4078" s="830">
        <v>89655</v>
      </c>
      <c r="B4078" s="831" t="s">
        <v>8531</v>
      </c>
      <c r="C4078" s="830" t="s">
        <v>89</v>
      </c>
      <c r="D4078" s="832">
        <v>24.94</v>
      </c>
    </row>
    <row r="4079" spans="1:4" x14ac:dyDescent="0.3">
      <c r="A4079" s="830">
        <v>89656</v>
      </c>
      <c r="B4079" s="831" t="s">
        <v>8532</v>
      </c>
      <c r="C4079" s="830" t="s">
        <v>89</v>
      </c>
      <c r="D4079" s="832">
        <v>23.27</v>
      </c>
    </row>
    <row r="4080" spans="1:4" x14ac:dyDescent="0.3">
      <c r="A4080" s="830">
        <v>89657</v>
      </c>
      <c r="B4080" s="831" t="s">
        <v>8533</v>
      </c>
      <c r="C4080" s="830" t="s">
        <v>89</v>
      </c>
      <c r="D4080" s="832">
        <v>14.63</v>
      </c>
    </row>
    <row r="4081" spans="1:4" x14ac:dyDescent="0.3">
      <c r="A4081" s="830">
        <v>89658</v>
      </c>
      <c r="B4081" s="831" t="s">
        <v>8534</v>
      </c>
      <c r="C4081" s="830" t="s">
        <v>89</v>
      </c>
      <c r="D4081" s="832">
        <v>10.4</v>
      </c>
    </row>
    <row r="4082" spans="1:4" x14ac:dyDescent="0.3">
      <c r="A4082" s="830">
        <v>89659</v>
      </c>
      <c r="B4082" s="831" t="s">
        <v>8535</v>
      </c>
      <c r="C4082" s="830" t="s">
        <v>89</v>
      </c>
      <c r="D4082" s="832">
        <v>18.2</v>
      </c>
    </row>
    <row r="4083" spans="1:4" x14ac:dyDescent="0.3">
      <c r="A4083" s="830">
        <v>89660</v>
      </c>
      <c r="B4083" s="831" t="s">
        <v>8536</v>
      </c>
      <c r="C4083" s="830" t="s">
        <v>89</v>
      </c>
      <c r="D4083" s="832">
        <v>10.59</v>
      </c>
    </row>
    <row r="4084" spans="1:4" x14ac:dyDescent="0.3">
      <c r="A4084" s="830">
        <v>89661</v>
      </c>
      <c r="B4084" s="831" t="s">
        <v>8537</v>
      </c>
      <c r="C4084" s="830" t="s">
        <v>89</v>
      </c>
      <c r="D4084" s="832">
        <v>24.6</v>
      </c>
    </row>
    <row r="4085" spans="1:4" x14ac:dyDescent="0.3">
      <c r="A4085" s="830">
        <v>89662</v>
      </c>
      <c r="B4085" s="831" t="s">
        <v>8538</v>
      </c>
      <c r="C4085" s="830" t="s">
        <v>89</v>
      </c>
      <c r="D4085" s="832">
        <v>32.21</v>
      </c>
    </row>
    <row r="4086" spans="1:4" x14ac:dyDescent="0.3">
      <c r="A4086" s="830">
        <v>89663</v>
      </c>
      <c r="B4086" s="831" t="s">
        <v>8539</v>
      </c>
      <c r="C4086" s="830" t="s">
        <v>89</v>
      </c>
      <c r="D4086" s="832">
        <v>31.18</v>
      </c>
    </row>
    <row r="4087" spans="1:4" x14ac:dyDescent="0.3">
      <c r="A4087" s="830">
        <v>89664</v>
      </c>
      <c r="B4087" s="831" t="s">
        <v>8540</v>
      </c>
      <c r="C4087" s="830" t="s">
        <v>89</v>
      </c>
      <c r="D4087" s="832">
        <v>18.13</v>
      </c>
    </row>
    <row r="4088" spans="1:4" x14ac:dyDescent="0.3">
      <c r="A4088" s="830">
        <v>89666</v>
      </c>
      <c r="B4088" s="831" t="s">
        <v>8541</v>
      </c>
      <c r="C4088" s="830" t="s">
        <v>89</v>
      </c>
      <c r="D4088" s="832">
        <v>8.1300000000000008</v>
      </c>
    </row>
    <row r="4089" spans="1:4" x14ac:dyDescent="0.3">
      <c r="A4089" s="830">
        <v>89667</v>
      </c>
      <c r="B4089" s="831" t="s">
        <v>8542</v>
      </c>
      <c r="C4089" s="830" t="s">
        <v>89</v>
      </c>
      <c r="D4089" s="832">
        <v>44.17</v>
      </c>
    </row>
    <row r="4090" spans="1:4" x14ac:dyDescent="0.3">
      <c r="A4090" s="830">
        <v>89668</v>
      </c>
      <c r="B4090" s="831" t="s">
        <v>8543</v>
      </c>
      <c r="C4090" s="830" t="s">
        <v>89</v>
      </c>
      <c r="D4090" s="832">
        <v>30.44</v>
      </c>
    </row>
    <row r="4091" spans="1:4" x14ac:dyDescent="0.3">
      <c r="A4091" s="830">
        <v>89669</v>
      </c>
      <c r="B4091" s="831" t="s">
        <v>8544</v>
      </c>
      <c r="C4091" s="830" t="s">
        <v>89</v>
      </c>
      <c r="D4091" s="832">
        <v>34.14</v>
      </c>
    </row>
    <row r="4092" spans="1:4" x14ac:dyDescent="0.3">
      <c r="A4092" s="830">
        <v>89670</v>
      </c>
      <c r="B4092" s="831" t="s">
        <v>8545</v>
      </c>
      <c r="C4092" s="830" t="s">
        <v>89</v>
      </c>
      <c r="D4092" s="832">
        <v>15.29</v>
      </c>
    </row>
    <row r="4093" spans="1:4" x14ac:dyDescent="0.3">
      <c r="A4093" s="830">
        <v>89671</v>
      </c>
      <c r="B4093" s="831" t="s">
        <v>8546</v>
      </c>
      <c r="C4093" s="830" t="s">
        <v>89</v>
      </c>
      <c r="D4093" s="832">
        <v>45.47</v>
      </c>
    </row>
    <row r="4094" spans="1:4" x14ac:dyDescent="0.3">
      <c r="A4094" s="830">
        <v>89672</v>
      </c>
      <c r="B4094" s="831" t="s">
        <v>8547</v>
      </c>
      <c r="C4094" s="830" t="s">
        <v>89</v>
      </c>
      <c r="D4094" s="832">
        <v>24.99</v>
      </c>
    </row>
    <row r="4095" spans="1:4" x14ac:dyDescent="0.3">
      <c r="A4095" s="830">
        <v>89673</v>
      </c>
      <c r="B4095" s="831" t="s">
        <v>8548</v>
      </c>
      <c r="C4095" s="830" t="s">
        <v>89</v>
      </c>
      <c r="D4095" s="832">
        <v>36.01</v>
      </c>
    </row>
    <row r="4096" spans="1:4" x14ac:dyDescent="0.3">
      <c r="A4096" s="830">
        <v>89674</v>
      </c>
      <c r="B4096" s="831" t="s">
        <v>8549</v>
      </c>
      <c r="C4096" s="830" t="s">
        <v>89</v>
      </c>
      <c r="D4096" s="832">
        <v>32</v>
      </c>
    </row>
    <row r="4097" spans="1:4" x14ac:dyDescent="0.3">
      <c r="A4097" s="830">
        <v>89675</v>
      </c>
      <c r="B4097" s="831" t="s">
        <v>8550</v>
      </c>
      <c r="C4097" s="830" t="s">
        <v>89</v>
      </c>
      <c r="D4097" s="832">
        <v>72.36</v>
      </c>
    </row>
    <row r="4098" spans="1:4" x14ac:dyDescent="0.3">
      <c r="A4098" s="830">
        <v>89676</v>
      </c>
      <c r="B4098" s="831" t="s">
        <v>8551</v>
      </c>
      <c r="C4098" s="830" t="s">
        <v>89</v>
      </c>
      <c r="D4098" s="832">
        <v>38.28</v>
      </c>
    </row>
    <row r="4099" spans="1:4" x14ac:dyDescent="0.3">
      <c r="A4099" s="830">
        <v>89677</v>
      </c>
      <c r="B4099" s="831" t="s">
        <v>8552</v>
      </c>
      <c r="C4099" s="830" t="s">
        <v>89</v>
      </c>
      <c r="D4099" s="832">
        <v>78.459999999999994</v>
      </c>
    </row>
    <row r="4100" spans="1:4" x14ac:dyDescent="0.3">
      <c r="A4100" s="830">
        <v>89678</v>
      </c>
      <c r="B4100" s="831" t="s">
        <v>8553</v>
      </c>
      <c r="C4100" s="830" t="s">
        <v>89</v>
      </c>
      <c r="D4100" s="832">
        <v>13.05</v>
      </c>
    </row>
    <row r="4101" spans="1:4" x14ac:dyDescent="0.3">
      <c r="A4101" s="830">
        <v>89679</v>
      </c>
      <c r="B4101" s="831" t="s">
        <v>8554</v>
      </c>
      <c r="C4101" s="830" t="s">
        <v>89</v>
      </c>
      <c r="D4101" s="832">
        <v>123.47</v>
      </c>
    </row>
    <row r="4102" spans="1:4" x14ac:dyDescent="0.3">
      <c r="A4102" s="830">
        <v>89680</v>
      </c>
      <c r="B4102" s="831" t="s">
        <v>8555</v>
      </c>
      <c r="C4102" s="830" t="s">
        <v>89</v>
      </c>
      <c r="D4102" s="832">
        <v>23.99</v>
      </c>
    </row>
    <row r="4103" spans="1:4" x14ac:dyDescent="0.3">
      <c r="A4103" s="830">
        <v>89681</v>
      </c>
      <c r="B4103" s="831" t="s">
        <v>8556</v>
      </c>
      <c r="C4103" s="830" t="s">
        <v>89</v>
      </c>
      <c r="D4103" s="832">
        <v>90.24</v>
      </c>
    </row>
    <row r="4104" spans="1:4" x14ac:dyDescent="0.3">
      <c r="A4104" s="830">
        <v>89682</v>
      </c>
      <c r="B4104" s="831" t="s">
        <v>8557</v>
      </c>
      <c r="C4104" s="830" t="s">
        <v>89</v>
      </c>
      <c r="D4104" s="832">
        <v>33.15</v>
      </c>
    </row>
    <row r="4105" spans="1:4" x14ac:dyDescent="0.3">
      <c r="A4105" s="830">
        <v>89683</v>
      </c>
      <c r="B4105" s="831" t="s">
        <v>8558</v>
      </c>
      <c r="C4105" s="830" t="s">
        <v>89</v>
      </c>
      <c r="D4105" s="832">
        <v>283.01</v>
      </c>
    </row>
    <row r="4106" spans="1:4" x14ac:dyDescent="0.3">
      <c r="A4106" s="830">
        <v>89684</v>
      </c>
      <c r="B4106" s="831" t="s">
        <v>8559</v>
      </c>
      <c r="C4106" s="830" t="s">
        <v>89</v>
      </c>
      <c r="D4106" s="832">
        <v>46.25</v>
      </c>
    </row>
    <row r="4107" spans="1:4" x14ac:dyDescent="0.3">
      <c r="A4107" s="830">
        <v>89685</v>
      </c>
      <c r="B4107" s="831" t="s">
        <v>8560</v>
      </c>
      <c r="C4107" s="830" t="s">
        <v>89</v>
      </c>
      <c r="D4107" s="832">
        <v>61.99</v>
      </c>
    </row>
    <row r="4108" spans="1:4" x14ac:dyDescent="0.3">
      <c r="A4108" s="830">
        <v>89686</v>
      </c>
      <c r="B4108" s="831" t="s">
        <v>8561</v>
      </c>
      <c r="C4108" s="830" t="s">
        <v>89</v>
      </c>
      <c r="D4108" s="832">
        <v>58.31</v>
      </c>
    </row>
    <row r="4109" spans="1:4" x14ac:dyDescent="0.3">
      <c r="A4109" s="830">
        <v>89687</v>
      </c>
      <c r="B4109" s="831" t="s">
        <v>8562</v>
      </c>
      <c r="C4109" s="830" t="s">
        <v>89</v>
      </c>
      <c r="D4109" s="832">
        <v>53.46</v>
      </c>
    </row>
    <row r="4110" spans="1:4" x14ac:dyDescent="0.3">
      <c r="A4110" s="830">
        <v>89689</v>
      </c>
      <c r="B4110" s="831" t="s">
        <v>8563</v>
      </c>
      <c r="C4110" s="830" t="s">
        <v>89</v>
      </c>
      <c r="D4110" s="832">
        <v>39.22</v>
      </c>
    </row>
    <row r="4111" spans="1:4" x14ac:dyDescent="0.3">
      <c r="A4111" s="830">
        <v>89690</v>
      </c>
      <c r="B4111" s="831" t="s">
        <v>8564</v>
      </c>
      <c r="C4111" s="830" t="s">
        <v>89</v>
      </c>
      <c r="D4111" s="832">
        <v>91.1</v>
      </c>
    </row>
    <row r="4112" spans="1:4" x14ac:dyDescent="0.3">
      <c r="A4112" s="830">
        <v>89691</v>
      </c>
      <c r="B4112" s="831" t="s">
        <v>8565</v>
      </c>
      <c r="C4112" s="830" t="s">
        <v>89</v>
      </c>
      <c r="D4112" s="832">
        <v>14.86</v>
      </c>
    </row>
    <row r="4113" spans="1:4" x14ac:dyDescent="0.3">
      <c r="A4113" s="830">
        <v>89692</v>
      </c>
      <c r="B4113" s="831" t="s">
        <v>8566</v>
      </c>
      <c r="C4113" s="830" t="s">
        <v>89</v>
      </c>
      <c r="D4113" s="832">
        <v>102.94</v>
      </c>
    </row>
    <row r="4114" spans="1:4" x14ac:dyDescent="0.3">
      <c r="A4114" s="830">
        <v>89693</v>
      </c>
      <c r="B4114" s="831" t="s">
        <v>8567</v>
      </c>
      <c r="C4114" s="830" t="s">
        <v>89</v>
      </c>
      <c r="D4114" s="832">
        <v>80.36</v>
      </c>
    </row>
    <row r="4115" spans="1:4" x14ac:dyDescent="0.3">
      <c r="A4115" s="830">
        <v>89694</v>
      </c>
      <c r="B4115" s="831" t="s">
        <v>8568</v>
      </c>
      <c r="C4115" s="830" t="s">
        <v>89</v>
      </c>
      <c r="D4115" s="832">
        <v>21.49</v>
      </c>
    </row>
    <row r="4116" spans="1:4" x14ac:dyDescent="0.3">
      <c r="A4116" s="830">
        <v>89695</v>
      </c>
      <c r="B4116" s="831" t="s">
        <v>8569</v>
      </c>
      <c r="C4116" s="830" t="s">
        <v>89</v>
      </c>
      <c r="D4116" s="832">
        <v>18.43</v>
      </c>
    </row>
    <row r="4117" spans="1:4" x14ac:dyDescent="0.3">
      <c r="A4117" s="830">
        <v>89696</v>
      </c>
      <c r="B4117" s="831" t="s">
        <v>8570</v>
      </c>
      <c r="C4117" s="830" t="s">
        <v>89</v>
      </c>
      <c r="D4117" s="832">
        <v>85.55</v>
      </c>
    </row>
    <row r="4118" spans="1:4" x14ac:dyDescent="0.3">
      <c r="A4118" s="830">
        <v>89697</v>
      </c>
      <c r="B4118" s="831" t="s">
        <v>8571</v>
      </c>
      <c r="C4118" s="830" t="s">
        <v>89</v>
      </c>
      <c r="D4118" s="832">
        <v>19.43</v>
      </c>
    </row>
    <row r="4119" spans="1:4" x14ac:dyDescent="0.3">
      <c r="A4119" s="830">
        <v>89698</v>
      </c>
      <c r="B4119" s="831" t="s">
        <v>8572</v>
      </c>
      <c r="C4119" s="830" t="s">
        <v>89</v>
      </c>
      <c r="D4119" s="832">
        <v>266.45</v>
      </c>
    </row>
    <row r="4120" spans="1:4" x14ac:dyDescent="0.3">
      <c r="A4120" s="830">
        <v>89699</v>
      </c>
      <c r="B4120" s="831" t="s">
        <v>8573</v>
      </c>
      <c r="C4120" s="830" t="s">
        <v>89</v>
      </c>
      <c r="D4120" s="832">
        <v>201.6</v>
      </c>
    </row>
    <row r="4121" spans="1:4" x14ac:dyDescent="0.3">
      <c r="A4121" s="830">
        <v>89700</v>
      </c>
      <c r="B4121" s="831" t="s">
        <v>8574</v>
      </c>
      <c r="C4121" s="830" t="s">
        <v>89</v>
      </c>
      <c r="D4121" s="832">
        <v>24.6</v>
      </c>
    </row>
    <row r="4122" spans="1:4" x14ac:dyDescent="0.3">
      <c r="A4122" s="830">
        <v>89701</v>
      </c>
      <c r="B4122" s="831" t="s">
        <v>8575</v>
      </c>
      <c r="C4122" s="830" t="s">
        <v>89</v>
      </c>
      <c r="D4122" s="832">
        <v>197.49</v>
      </c>
    </row>
    <row r="4123" spans="1:4" x14ac:dyDescent="0.3">
      <c r="A4123" s="830">
        <v>89702</v>
      </c>
      <c r="B4123" s="831" t="s">
        <v>8576</v>
      </c>
      <c r="C4123" s="830" t="s">
        <v>89</v>
      </c>
      <c r="D4123" s="832">
        <v>23.77</v>
      </c>
    </row>
    <row r="4124" spans="1:4" x14ac:dyDescent="0.3">
      <c r="A4124" s="830">
        <v>89703</v>
      </c>
      <c r="B4124" s="831" t="s">
        <v>8577</v>
      </c>
      <c r="C4124" s="830" t="s">
        <v>89</v>
      </c>
      <c r="D4124" s="832">
        <v>49.91</v>
      </c>
    </row>
    <row r="4125" spans="1:4" x14ac:dyDescent="0.3">
      <c r="A4125" s="830">
        <v>89704</v>
      </c>
      <c r="B4125" s="831" t="s">
        <v>8578</v>
      </c>
      <c r="C4125" s="830" t="s">
        <v>89</v>
      </c>
      <c r="D4125" s="832">
        <v>152.99</v>
      </c>
    </row>
    <row r="4126" spans="1:4" x14ac:dyDescent="0.3">
      <c r="A4126" s="830">
        <v>89705</v>
      </c>
      <c r="B4126" s="831" t="s">
        <v>8579</v>
      </c>
      <c r="C4126" s="830" t="s">
        <v>89</v>
      </c>
      <c r="D4126" s="832">
        <v>27.7</v>
      </c>
    </row>
    <row r="4127" spans="1:4" x14ac:dyDescent="0.3">
      <c r="A4127" s="830">
        <v>89706</v>
      </c>
      <c r="B4127" s="831" t="s">
        <v>8580</v>
      </c>
      <c r="C4127" s="830" t="s">
        <v>89</v>
      </c>
      <c r="D4127" s="832">
        <v>59.31</v>
      </c>
    </row>
    <row r="4128" spans="1:4" x14ac:dyDescent="0.3">
      <c r="A4128" s="830">
        <v>89718</v>
      </c>
      <c r="B4128" s="831" t="s">
        <v>8581</v>
      </c>
      <c r="C4128" s="830" t="s">
        <v>194</v>
      </c>
      <c r="D4128" s="832">
        <v>56.33</v>
      </c>
    </row>
    <row r="4129" spans="1:4" x14ac:dyDescent="0.3">
      <c r="A4129" s="830">
        <v>89719</v>
      </c>
      <c r="B4129" s="831" t="s">
        <v>8582</v>
      </c>
      <c r="C4129" s="830" t="s">
        <v>89</v>
      </c>
      <c r="D4129" s="832">
        <v>14.08</v>
      </c>
    </row>
    <row r="4130" spans="1:4" x14ac:dyDescent="0.3">
      <c r="A4130" s="830">
        <v>89720</v>
      </c>
      <c r="B4130" s="831" t="s">
        <v>8583</v>
      </c>
      <c r="C4130" s="830" t="s">
        <v>89</v>
      </c>
      <c r="D4130" s="832">
        <v>15.7</v>
      </c>
    </row>
    <row r="4131" spans="1:4" x14ac:dyDescent="0.3">
      <c r="A4131" s="830">
        <v>89721</v>
      </c>
      <c r="B4131" s="831" t="s">
        <v>8584</v>
      </c>
      <c r="C4131" s="830" t="s">
        <v>89</v>
      </c>
      <c r="D4131" s="832">
        <v>17</v>
      </c>
    </row>
    <row r="4132" spans="1:4" x14ac:dyDescent="0.3">
      <c r="A4132" s="830">
        <v>89723</v>
      </c>
      <c r="B4132" s="831" t="s">
        <v>8585</v>
      </c>
      <c r="C4132" s="830" t="s">
        <v>89</v>
      </c>
      <c r="D4132" s="832">
        <v>21.24</v>
      </c>
    </row>
    <row r="4133" spans="1:4" x14ac:dyDescent="0.3">
      <c r="A4133" s="830">
        <v>89724</v>
      </c>
      <c r="B4133" s="831" t="s">
        <v>8586</v>
      </c>
      <c r="C4133" s="830" t="s">
        <v>89</v>
      </c>
      <c r="D4133" s="832">
        <v>10.97</v>
      </c>
    </row>
    <row r="4134" spans="1:4" x14ac:dyDescent="0.3">
      <c r="A4134" s="830">
        <v>89725</v>
      </c>
      <c r="B4134" s="831" t="s">
        <v>8587</v>
      </c>
      <c r="C4134" s="830" t="s">
        <v>89</v>
      </c>
      <c r="D4134" s="832">
        <v>20.57</v>
      </c>
    </row>
    <row r="4135" spans="1:4" x14ac:dyDescent="0.3">
      <c r="A4135" s="830">
        <v>89726</v>
      </c>
      <c r="B4135" s="831" t="s">
        <v>8588</v>
      </c>
      <c r="C4135" s="830" t="s">
        <v>89</v>
      </c>
      <c r="D4135" s="832">
        <v>11.2</v>
      </c>
    </row>
    <row r="4136" spans="1:4" x14ac:dyDescent="0.3">
      <c r="A4136" s="830">
        <v>89727</v>
      </c>
      <c r="B4136" s="831" t="s">
        <v>8589</v>
      </c>
      <c r="C4136" s="830" t="s">
        <v>89</v>
      </c>
      <c r="D4136" s="832">
        <v>25.64</v>
      </c>
    </row>
    <row r="4137" spans="1:4" x14ac:dyDescent="0.3">
      <c r="A4137" s="830">
        <v>89728</v>
      </c>
      <c r="B4137" s="831" t="s">
        <v>8590</v>
      </c>
      <c r="C4137" s="830" t="s">
        <v>89</v>
      </c>
      <c r="D4137" s="832">
        <v>13.97</v>
      </c>
    </row>
    <row r="4138" spans="1:4" x14ac:dyDescent="0.3">
      <c r="A4138" s="830">
        <v>89729</v>
      </c>
      <c r="B4138" s="831" t="s">
        <v>8591</v>
      </c>
      <c r="C4138" s="830" t="s">
        <v>89</v>
      </c>
      <c r="D4138" s="832">
        <v>31.21</v>
      </c>
    </row>
    <row r="4139" spans="1:4" x14ac:dyDescent="0.3">
      <c r="A4139" s="830">
        <v>89730</v>
      </c>
      <c r="B4139" s="831" t="s">
        <v>8592</v>
      </c>
      <c r="C4139" s="830" t="s">
        <v>89</v>
      </c>
      <c r="D4139" s="832">
        <v>15.93</v>
      </c>
    </row>
    <row r="4140" spans="1:4" x14ac:dyDescent="0.3">
      <c r="A4140" s="830">
        <v>89731</v>
      </c>
      <c r="B4140" s="831" t="s">
        <v>8593</v>
      </c>
      <c r="C4140" s="830" t="s">
        <v>89</v>
      </c>
      <c r="D4140" s="832">
        <v>15.43</v>
      </c>
    </row>
    <row r="4141" spans="1:4" x14ac:dyDescent="0.3">
      <c r="A4141" s="830">
        <v>89732</v>
      </c>
      <c r="B4141" s="831" t="s">
        <v>8594</v>
      </c>
      <c r="C4141" s="830" t="s">
        <v>89</v>
      </c>
      <c r="D4141" s="832">
        <v>16.18</v>
      </c>
    </row>
    <row r="4142" spans="1:4" x14ac:dyDescent="0.3">
      <c r="A4142" s="830">
        <v>89733</v>
      </c>
      <c r="B4142" s="831" t="s">
        <v>8595</v>
      </c>
      <c r="C4142" s="830" t="s">
        <v>89</v>
      </c>
      <c r="D4142" s="832">
        <v>24.14</v>
      </c>
    </row>
    <row r="4143" spans="1:4" x14ac:dyDescent="0.3">
      <c r="A4143" s="830">
        <v>89734</v>
      </c>
      <c r="B4143" s="831" t="s">
        <v>8596</v>
      </c>
      <c r="C4143" s="830" t="s">
        <v>89</v>
      </c>
      <c r="D4143" s="832">
        <v>29.54</v>
      </c>
    </row>
    <row r="4144" spans="1:4" x14ac:dyDescent="0.3">
      <c r="A4144" s="830">
        <v>89735</v>
      </c>
      <c r="B4144" s="831" t="s">
        <v>8597</v>
      </c>
      <c r="C4144" s="830" t="s">
        <v>89</v>
      </c>
      <c r="D4144" s="832">
        <v>26.39</v>
      </c>
    </row>
    <row r="4145" spans="1:4" x14ac:dyDescent="0.3">
      <c r="A4145" s="830">
        <v>89736</v>
      </c>
      <c r="B4145" s="831" t="s">
        <v>8598</v>
      </c>
      <c r="C4145" s="830" t="s">
        <v>89</v>
      </c>
      <c r="D4145" s="832">
        <v>9.8699999999999992</v>
      </c>
    </row>
    <row r="4146" spans="1:4" x14ac:dyDescent="0.3">
      <c r="A4146" s="830">
        <v>89737</v>
      </c>
      <c r="B4146" s="831" t="s">
        <v>8599</v>
      </c>
      <c r="C4146" s="830" t="s">
        <v>89</v>
      </c>
      <c r="D4146" s="832">
        <v>23.24</v>
      </c>
    </row>
    <row r="4147" spans="1:4" x14ac:dyDescent="0.3">
      <c r="A4147" s="830">
        <v>89738</v>
      </c>
      <c r="B4147" s="831" t="s">
        <v>8600</v>
      </c>
      <c r="C4147" s="830" t="s">
        <v>89</v>
      </c>
      <c r="D4147" s="832">
        <v>17.670000000000002</v>
      </c>
    </row>
    <row r="4148" spans="1:4" x14ac:dyDescent="0.3">
      <c r="A4148" s="830">
        <v>89739</v>
      </c>
      <c r="B4148" s="831" t="s">
        <v>8601</v>
      </c>
      <c r="C4148" s="830" t="s">
        <v>89</v>
      </c>
      <c r="D4148" s="832">
        <v>24.24</v>
      </c>
    </row>
    <row r="4149" spans="1:4" x14ac:dyDescent="0.3">
      <c r="A4149" s="830">
        <v>89740</v>
      </c>
      <c r="B4149" s="831" t="s">
        <v>8602</v>
      </c>
      <c r="C4149" s="830" t="s">
        <v>89</v>
      </c>
      <c r="D4149" s="832">
        <v>10.039999999999999</v>
      </c>
    </row>
    <row r="4150" spans="1:4" x14ac:dyDescent="0.3">
      <c r="A4150" s="830">
        <v>89741</v>
      </c>
      <c r="B4150" s="831" t="s">
        <v>8603</v>
      </c>
      <c r="C4150" s="830" t="s">
        <v>89</v>
      </c>
      <c r="D4150" s="832">
        <v>24.07</v>
      </c>
    </row>
    <row r="4151" spans="1:4" x14ac:dyDescent="0.3">
      <c r="A4151" s="830">
        <v>89742</v>
      </c>
      <c r="B4151" s="831" t="s">
        <v>8604</v>
      </c>
      <c r="C4151" s="830" t="s">
        <v>89</v>
      </c>
      <c r="D4151" s="832">
        <v>40.82</v>
      </c>
    </row>
    <row r="4152" spans="1:4" x14ac:dyDescent="0.3">
      <c r="A4152" s="830">
        <v>89743</v>
      </c>
      <c r="B4152" s="831" t="s">
        <v>8605</v>
      </c>
      <c r="C4152" s="830" t="s">
        <v>89</v>
      </c>
      <c r="D4152" s="832">
        <v>62.02</v>
      </c>
    </row>
    <row r="4153" spans="1:4" x14ac:dyDescent="0.3">
      <c r="A4153" s="830">
        <v>89744</v>
      </c>
      <c r="B4153" s="831" t="s">
        <v>8606</v>
      </c>
      <c r="C4153" s="830" t="s">
        <v>89</v>
      </c>
      <c r="D4153" s="832">
        <v>28.32</v>
      </c>
    </row>
    <row r="4154" spans="1:4" x14ac:dyDescent="0.3">
      <c r="A4154" s="830">
        <v>89746</v>
      </c>
      <c r="B4154" s="831" t="s">
        <v>8607</v>
      </c>
      <c r="C4154" s="830" t="s">
        <v>89</v>
      </c>
      <c r="D4154" s="832">
        <v>29.18</v>
      </c>
    </row>
    <row r="4155" spans="1:4" x14ac:dyDescent="0.3">
      <c r="A4155" s="830">
        <v>89747</v>
      </c>
      <c r="B4155" s="831" t="s">
        <v>8608</v>
      </c>
      <c r="C4155" s="830" t="s">
        <v>89</v>
      </c>
      <c r="D4155" s="832">
        <v>30.65</v>
      </c>
    </row>
    <row r="4156" spans="1:4" x14ac:dyDescent="0.3">
      <c r="A4156" s="830">
        <v>89748</v>
      </c>
      <c r="B4156" s="831" t="s">
        <v>8609</v>
      </c>
      <c r="C4156" s="830" t="s">
        <v>89</v>
      </c>
      <c r="D4156" s="832">
        <v>43.81</v>
      </c>
    </row>
    <row r="4157" spans="1:4" x14ac:dyDescent="0.3">
      <c r="A4157" s="830">
        <v>89749</v>
      </c>
      <c r="B4157" s="831" t="s">
        <v>8610</v>
      </c>
      <c r="C4157" s="830" t="s">
        <v>89</v>
      </c>
      <c r="D4157" s="832">
        <v>17.600000000000001</v>
      </c>
    </row>
    <row r="4158" spans="1:4" x14ac:dyDescent="0.3">
      <c r="A4158" s="830">
        <v>89750</v>
      </c>
      <c r="B4158" s="831" t="s">
        <v>8611</v>
      </c>
      <c r="C4158" s="830" t="s">
        <v>89</v>
      </c>
      <c r="D4158" s="832">
        <v>79.900000000000006</v>
      </c>
    </row>
    <row r="4159" spans="1:4" x14ac:dyDescent="0.3">
      <c r="A4159" s="830">
        <v>89752</v>
      </c>
      <c r="B4159" s="831" t="s">
        <v>8612</v>
      </c>
      <c r="C4159" s="830" t="s">
        <v>89</v>
      </c>
      <c r="D4159" s="832">
        <v>8.14</v>
      </c>
    </row>
    <row r="4160" spans="1:4" x14ac:dyDescent="0.3">
      <c r="A4160" s="830">
        <v>89753</v>
      </c>
      <c r="B4160" s="831" t="s">
        <v>8613</v>
      </c>
      <c r="C4160" s="830" t="s">
        <v>89</v>
      </c>
      <c r="D4160" s="832">
        <v>9.86</v>
      </c>
    </row>
    <row r="4161" spans="1:4" x14ac:dyDescent="0.3">
      <c r="A4161" s="830">
        <v>89754</v>
      </c>
      <c r="B4161" s="831" t="s">
        <v>8614</v>
      </c>
      <c r="C4161" s="830" t="s">
        <v>89</v>
      </c>
      <c r="D4161" s="832">
        <v>21.4</v>
      </c>
    </row>
    <row r="4162" spans="1:4" x14ac:dyDescent="0.3">
      <c r="A4162" s="830">
        <v>89755</v>
      </c>
      <c r="B4162" s="831" t="s">
        <v>8615</v>
      </c>
      <c r="C4162" s="830" t="s">
        <v>89</v>
      </c>
      <c r="D4162" s="832">
        <v>14.66</v>
      </c>
    </row>
    <row r="4163" spans="1:4" x14ac:dyDescent="0.3">
      <c r="A4163" s="830">
        <v>89756</v>
      </c>
      <c r="B4163" s="831" t="s">
        <v>8616</v>
      </c>
      <c r="C4163" s="830" t="s">
        <v>89</v>
      </c>
      <c r="D4163" s="832">
        <v>24.36</v>
      </c>
    </row>
    <row r="4164" spans="1:4" x14ac:dyDescent="0.3">
      <c r="A4164" s="830">
        <v>89757</v>
      </c>
      <c r="B4164" s="831" t="s">
        <v>8617</v>
      </c>
      <c r="C4164" s="830" t="s">
        <v>89</v>
      </c>
      <c r="D4164" s="832">
        <v>31.37</v>
      </c>
    </row>
    <row r="4165" spans="1:4" x14ac:dyDescent="0.3">
      <c r="A4165" s="830">
        <v>89758</v>
      </c>
      <c r="B4165" s="831" t="s">
        <v>8618</v>
      </c>
      <c r="C4165" s="830" t="s">
        <v>89</v>
      </c>
      <c r="D4165" s="832">
        <v>38.19</v>
      </c>
    </row>
    <row r="4166" spans="1:4" x14ac:dyDescent="0.3">
      <c r="A4166" s="830">
        <v>89759</v>
      </c>
      <c r="B4166" s="831" t="s">
        <v>8619</v>
      </c>
      <c r="C4166" s="830" t="s">
        <v>89</v>
      </c>
      <c r="D4166" s="832">
        <v>12.47</v>
      </c>
    </row>
    <row r="4167" spans="1:4" x14ac:dyDescent="0.3">
      <c r="A4167" s="830">
        <v>89760</v>
      </c>
      <c r="B4167" s="831" t="s">
        <v>8620</v>
      </c>
      <c r="C4167" s="830" t="s">
        <v>89</v>
      </c>
      <c r="D4167" s="832">
        <v>23.25</v>
      </c>
    </row>
    <row r="4168" spans="1:4" x14ac:dyDescent="0.3">
      <c r="A4168" s="830">
        <v>89761</v>
      </c>
      <c r="B4168" s="831" t="s">
        <v>8621</v>
      </c>
      <c r="C4168" s="830" t="s">
        <v>89</v>
      </c>
      <c r="D4168" s="832">
        <v>32.409999999999997</v>
      </c>
    </row>
    <row r="4169" spans="1:4" x14ac:dyDescent="0.3">
      <c r="A4169" s="830">
        <v>89762</v>
      </c>
      <c r="B4169" s="831" t="s">
        <v>8622</v>
      </c>
      <c r="C4169" s="830" t="s">
        <v>89</v>
      </c>
      <c r="D4169" s="832">
        <v>45.51</v>
      </c>
    </row>
    <row r="4170" spans="1:4" x14ac:dyDescent="0.3">
      <c r="A4170" s="830">
        <v>89763</v>
      </c>
      <c r="B4170" s="831" t="s">
        <v>8623</v>
      </c>
      <c r="C4170" s="830" t="s">
        <v>89</v>
      </c>
      <c r="D4170" s="832">
        <v>57.6</v>
      </c>
    </row>
    <row r="4171" spans="1:4" x14ac:dyDescent="0.3">
      <c r="A4171" s="830">
        <v>89764</v>
      </c>
      <c r="B4171" s="831" t="s">
        <v>8624</v>
      </c>
      <c r="C4171" s="830" t="s">
        <v>89</v>
      </c>
      <c r="D4171" s="832">
        <v>38.53</v>
      </c>
    </row>
    <row r="4172" spans="1:4" x14ac:dyDescent="0.3">
      <c r="A4172" s="830">
        <v>89765</v>
      </c>
      <c r="B4172" s="831" t="s">
        <v>8625</v>
      </c>
      <c r="C4172" s="830" t="s">
        <v>89</v>
      </c>
      <c r="D4172" s="832">
        <v>18.36</v>
      </c>
    </row>
    <row r="4173" spans="1:4" x14ac:dyDescent="0.3">
      <c r="A4173" s="830">
        <v>89767</v>
      </c>
      <c r="B4173" s="831" t="s">
        <v>8626</v>
      </c>
      <c r="C4173" s="830" t="s">
        <v>89</v>
      </c>
      <c r="D4173" s="832">
        <v>22.7</v>
      </c>
    </row>
    <row r="4174" spans="1:4" x14ac:dyDescent="0.3">
      <c r="A4174" s="830">
        <v>89768</v>
      </c>
      <c r="B4174" s="831" t="s">
        <v>8627</v>
      </c>
      <c r="C4174" s="830" t="s">
        <v>89</v>
      </c>
      <c r="D4174" s="832">
        <v>26.45</v>
      </c>
    </row>
    <row r="4175" spans="1:4" x14ac:dyDescent="0.3">
      <c r="A4175" s="830">
        <v>89769</v>
      </c>
      <c r="B4175" s="831" t="s">
        <v>8628</v>
      </c>
      <c r="C4175" s="830" t="s">
        <v>89</v>
      </c>
      <c r="D4175" s="832">
        <v>57.84</v>
      </c>
    </row>
    <row r="4176" spans="1:4" x14ac:dyDescent="0.3">
      <c r="A4176" s="830">
        <v>89772</v>
      </c>
      <c r="B4176" s="831" t="s">
        <v>8629</v>
      </c>
      <c r="C4176" s="830" t="s">
        <v>194</v>
      </c>
      <c r="D4176" s="832">
        <v>90.98</v>
      </c>
    </row>
    <row r="4177" spans="1:4" x14ac:dyDescent="0.3">
      <c r="A4177" s="830">
        <v>89774</v>
      </c>
      <c r="B4177" s="831" t="s">
        <v>8630</v>
      </c>
      <c r="C4177" s="830" t="s">
        <v>89</v>
      </c>
      <c r="D4177" s="832">
        <v>16.28</v>
      </c>
    </row>
    <row r="4178" spans="1:4" x14ac:dyDescent="0.3">
      <c r="A4178" s="830">
        <v>89776</v>
      </c>
      <c r="B4178" s="831" t="s">
        <v>8631</v>
      </c>
      <c r="C4178" s="830" t="s">
        <v>89</v>
      </c>
      <c r="D4178" s="832">
        <v>25.98</v>
      </c>
    </row>
    <row r="4179" spans="1:4" x14ac:dyDescent="0.3">
      <c r="A4179" s="830">
        <v>89777</v>
      </c>
      <c r="B4179" s="831" t="s">
        <v>8632</v>
      </c>
      <c r="C4179" s="830" t="s">
        <v>89</v>
      </c>
      <c r="D4179" s="832">
        <v>26.87</v>
      </c>
    </row>
    <row r="4180" spans="1:4" x14ac:dyDescent="0.3">
      <c r="A4180" s="830">
        <v>89778</v>
      </c>
      <c r="B4180" s="831" t="s">
        <v>8633</v>
      </c>
      <c r="C4180" s="830" t="s">
        <v>89</v>
      </c>
      <c r="D4180" s="832">
        <v>18.72</v>
      </c>
    </row>
    <row r="4181" spans="1:4" x14ac:dyDescent="0.3">
      <c r="A4181" s="830">
        <v>89779</v>
      </c>
      <c r="B4181" s="831" t="s">
        <v>8634</v>
      </c>
      <c r="C4181" s="830" t="s">
        <v>89</v>
      </c>
      <c r="D4181" s="832">
        <v>35.32</v>
      </c>
    </row>
    <row r="4182" spans="1:4" x14ac:dyDescent="0.3">
      <c r="A4182" s="830">
        <v>89780</v>
      </c>
      <c r="B4182" s="831" t="s">
        <v>8635</v>
      </c>
      <c r="C4182" s="830" t="s">
        <v>89</v>
      </c>
      <c r="D4182" s="832">
        <v>25.2</v>
      </c>
    </row>
    <row r="4183" spans="1:4" x14ac:dyDescent="0.3">
      <c r="A4183" s="830">
        <v>89781</v>
      </c>
      <c r="B4183" s="831" t="s">
        <v>8636</v>
      </c>
      <c r="C4183" s="830" t="s">
        <v>89</v>
      </c>
      <c r="D4183" s="832">
        <v>37.89</v>
      </c>
    </row>
    <row r="4184" spans="1:4" x14ac:dyDescent="0.3">
      <c r="A4184" s="830">
        <v>89782</v>
      </c>
      <c r="B4184" s="831" t="s">
        <v>8637</v>
      </c>
      <c r="C4184" s="830" t="s">
        <v>89</v>
      </c>
      <c r="D4184" s="832">
        <v>15.84</v>
      </c>
    </row>
    <row r="4185" spans="1:4" x14ac:dyDescent="0.3">
      <c r="A4185" s="830">
        <v>89783</v>
      </c>
      <c r="B4185" s="831" t="s">
        <v>8638</v>
      </c>
      <c r="C4185" s="830" t="s">
        <v>89</v>
      </c>
      <c r="D4185" s="832">
        <v>15.94</v>
      </c>
    </row>
    <row r="4186" spans="1:4" x14ac:dyDescent="0.3">
      <c r="A4186" s="830">
        <v>89784</v>
      </c>
      <c r="B4186" s="831" t="s">
        <v>8639</v>
      </c>
      <c r="C4186" s="830" t="s">
        <v>89</v>
      </c>
      <c r="D4186" s="832">
        <v>24.93</v>
      </c>
    </row>
    <row r="4187" spans="1:4" x14ac:dyDescent="0.3">
      <c r="A4187" s="830">
        <v>89785</v>
      </c>
      <c r="B4187" s="831" t="s">
        <v>8640</v>
      </c>
      <c r="C4187" s="830" t="s">
        <v>89</v>
      </c>
      <c r="D4187" s="832">
        <v>27.35</v>
      </c>
    </row>
    <row r="4188" spans="1:4" x14ac:dyDescent="0.3">
      <c r="A4188" s="830">
        <v>89786</v>
      </c>
      <c r="B4188" s="831" t="s">
        <v>8641</v>
      </c>
      <c r="C4188" s="830" t="s">
        <v>89</v>
      </c>
      <c r="D4188" s="832">
        <v>39.74</v>
      </c>
    </row>
    <row r="4189" spans="1:4" x14ac:dyDescent="0.3">
      <c r="A4189" s="830">
        <v>89787</v>
      </c>
      <c r="B4189" s="831" t="s">
        <v>8642</v>
      </c>
      <c r="C4189" s="830" t="s">
        <v>89</v>
      </c>
      <c r="D4189" s="832">
        <v>37.479999999999997</v>
      </c>
    </row>
    <row r="4190" spans="1:4" x14ac:dyDescent="0.3">
      <c r="A4190" s="830">
        <v>89788</v>
      </c>
      <c r="B4190" s="831" t="s">
        <v>8643</v>
      </c>
      <c r="C4190" s="830" t="s">
        <v>89</v>
      </c>
      <c r="D4190" s="832">
        <v>81.41</v>
      </c>
    </row>
    <row r="4191" spans="1:4" x14ac:dyDescent="0.3">
      <c r="A4191" s="830">
        <v>89789</v>
      </c>
      <c r="B4191" s="831" t="s">
        <v>8644</v>
      </c>
      <c r="C4191" s="830" t="s">
        <v>89</v>
      </c>
      <c r="D4191" s="832">
        <v>69.27</v>
      </c>
    </row>
    <row r="4192" spans="1:4" x14ac:dyDescent="0.3">
      <c r="A4192" s="830">
        <v>89790</v>
      </c>
      <c r="B4192" s="831" t="s">
        <v>8645</v>
      </c>
      <c r="C4192" s="830" t="s">
        <v>89</v>
      </c>
      <c r="D4192" s="832">
        <v>161.84</v>
      </c>
    </row>
    <row r="4193" spans="1:4" x14ac:dyDescent="0.3">
      <c r="A4193" s="830">
        <v>89791</v>
      </c>
      <c r="B4193" s="831" t="s">
        <v>8646</v>
      </c>
      <c r="C4193" s="830" t="s">
        <v>89</v>
      </c>
      <c r="D4193" s="832">
        <v>156.34</v>
      </c>
    </row>
    <row r="4194" spans="1:4" x14ac:dyDescent="0.3">
      <c r="A4194" s="830">
        <v>89792</v>
      </c>
      <c r="B4194" s="831" t="s">
        <v>8647</v>
      </c>
      <c r="C4194" s="830" t="s">
        <v>89</v>
      </c>
      <c r="D4194" s="832">
        <v>191.61</v>
      </c>
    </row>
    <row r="4195" spans="1:4" x14ac:dyDescent="0.3">
      <c r="A4195" s="830">
        <v>89793</v>
      </c>
      <c r="B4195" s="831" t="s">
        <v>8648</v>
      </c>
      <c r="C4195" s="830" t="s">
        <v>89</v>
      </c>
      <c r="D4195" s="832">
        <v>225.78</v>
      </c>
    </row>
    <row r="4196" spans="1:4" x14ac:dyDescent="0.3">
      <c r="A4196" s="830">
        <v>89794</v>
      </c>
      <c r="B4196" s="831" t="s">
        <v>8649</v>
      </c>
      <c r="C4196" s="830" t="s">
        <v>89</v>
      </c>
      <c r="D4196" s="832">
        <v>20.39</v>
      </c>
    </row>
    <row r="4197" spans="1:4" x14ac:dyDescent="0.3">
      <c r="A4197" s="830">
        <v>89795</v>
      </c>
      <c r="B4197" s="831" t="s">
        <v>8650</v>
      </c>
      <c r="C4197" s="830" t="s">
        <v>89</v>
      </c>
      <c r="D4197" s="832">
        <v>41.87</v>
      </c>
    </row>
    <row r="4198" spans="1:4" x14ac:dyDescent="0.3">
      <c r="A4198" s="830">
        <v>89796</v>
      </c>
      <c r="B4198" s="831" t="s">
        <v>8651</v>
      </c>
      <c r="C4198" s="830" t="s">
        <v>89</v>
      </c>
      <c r="D4198" s="832">
        <v>44.39</v>
      </c>
    </row>
    <row r="4199" spans="1:4" x14ac:dyDescent="0.3">
      <c r="A4199" s="830">
        <v>89797</v>
      </c>
      <c r="B4199" s="831" t="s">
        <v>8652</v>
      </c>
      <c r="C4199" s="830" t="s">
        <v>89</v>
      </c>
      <c r="D4199" s="832">
        <v>52.67</v>
      </c>
    </row>
    <row r="4200" spans="1:4" x14ac:dyDescent="0.3">
      <c r="A4200" s="830">
        <v>89801</v>
      </c>
      <c r="B4200" s="831" t="s">
        <v>8653</v>
      </c>
      <c r="C4200" s="830" t="s">
        <v>89</v>
      </c>
      <c r="D4200" s="832">
        <v>9.85</v>
      </c>
    </row>
    <row r="4201" spans="1:4" x14ac:dyDescent="0.3">
      <c r="A4201" s="830">
        <v>89802</v>
      </c>
      <c r="B4201" s="831" t="s">
        <v>8654</v>
      </c>
      <c r="C4201" s="830" t="s">
        <v>89</v>
      </c>
      <c r="D4201" s="832">
        <v>10.6</v>
      </c>
    </row>
    <row r="4202" spans="1:4" x14ac:dyDescent="0.3">
      <c r="A4202" s="830">
        <v>89803</v>
      </c>
      <c r="B4202" s="831" t="s">
        <v>8655</v>
      </c>
      <c r="C4202" s="830" t="s">
        <v>89</v>
      </c>
      <c r="D4202" s="832">
        <v>18.559999999999999</v>
      </c>
    </row>
    <row r="4203" spans="1:4" x14ac:dyDescent="0.3">
      <c r="A4203" s="830">
        <v>89804</v>
      </c>
      <c r="B4203" s="831" t="s">
        <v>8656</v>
      </c>
      <c r="C4203" s="830" t="s">
        <v>89</v>
      </c>
      <c r="D4203" s="832">
        <v>20.81</v>
      </c>
    </row>
    <row r="4204" spans="1:4" x14ac:dyDescent="0.3">
      <c r="A4204" s="830">
        <v>89805</v>
      </c>
      <c r="B4204" s="831" t="s">
        <v>8657</v>
      </c>
      <c r="C4204" s="830" t="s">
        <v>89</v>
      </c>
      <c r="D4204" s="832">
        <v>21.11</v>
      </c>
    </row>
    <row r="4205" spans="1:4" x14ac:dyDescent="0.3">
      <c r="A4205" s="830">
        <v>89806</v>
      </c>
      <c r="B4205" s="831" t="s">
        <v>8658</v>
      </c>
      <c r="C4205" s="830" t="s">
        <v>89</v>
      </c>
      <c r="D4205" s="832">
        <v>22.11</v>
      </c>
    </row>
    <row r="4206" spans="1:4" x14ac:dyDescent="0.3">
      <c r="A4206" s="830">
        <v>89807</v>
      </c>
      <c r="B4206" s="831" t="s">
        <v>8659</v>
      </c>
      <c r="C4206" s="830" t="s">
        <v>89</v>
      </c>
      <c r="D4206" s="832">
        <v>38.69</v>
      </c>
    </row>
    <row r="4207" spans="1:4" x14ac:dyDescent="0.3">
      <c r="A4207" s="830">
        <v>89808</v>
      </c>
      <c r="B4207" s="831" t="s">
        <v>8660</v>
      </c>
      <c r="C4207" s="830" t="s">
        <v>89</v>
      </c>
      <c r="D4207" s="832">
        <v>59.89</v>
      </c>
    </row>
    <row r="4208" spans="1:4" x14ac:dyDescent="0.3">
      <c r="A4208" s="830">
        <v>89809</v>
      </c>
      <c r="B4208" s="831" t="s">
        <v>8661</v>
      </c>
      <c r="C4208" s="830" t="s">
        <v>89</v>
      </c>
      <c r="D4208" s="832">
        <v>29.64</v>
      </c>
    </row>
    <row r="4209" spans="1:4" x14ac:dyDescent="0.3">
      <c r="A4209" s="830">
        <v>89810</v>
      </c>
      <c r="B4209" s="831" t="s">
        <v>8662</v>
      </c>
      <c r="C4209" s="830" t="s">
        <v>89</v>
      </c>
      <c r="D4209" s="832">
        <v>30.5</v>
      </c>
    </row>
    <row r="4210" spans="1:4" x14ac:dyDescent="0.3">
      <c r="A4210" s="830">
        <v>89811</v>
      </c>
      <c r="B4210" s="831" t="s">
        <v>8663</v>
      </c>
      <c r="C4210" s="830" t="s">
        <v>89</v>
      </c>
      <c r="D4210" s="832">
        <v>45.13</v>
      </c>
    </row>
    <row r="4211" spans="1:4" x14ac:dyDescent="0.3">
      <c r="A4211" s="830">
        <v>89812</v>
      </c>
      <c r="B4211" s="831" t="s">
        <v>8664</v>
      </c>
      <c r="C4211" s="830" t="s">
        <v>89</v>
      </c>
      <c r="D4211" s="832">
        <v>81.22</v>
      </c>
    </row>
    <row r="4212" spans="1:4" x14ac:dyDescent="0.3">
      <c r="A4212" s="830">
        <v>89813</v>
      </c>
      <c r="B4212" s="831" t="s">
        <v>8665</v>
      </c>
      <c r="C4212" s="830" t="s">
        <v>89</v>
      </c>
      <c r="D4212" s="832">
        <v>6.05</v>
      </c>
    </row>
    <row r="4213" spans="1:4" x14ac:dyDescent="0.3">
      <c r="A4213" s="830">
        <v>89814</v>
      </c>
      <c r="B4213" s="831" t="s">
        <v>8666</v>
      </c>
      <c r="C4213" s="830" t="s">
        <v>89</v>
      </c>
      <c r="D4213" s="832">
        <v>17.670000000000002</v>
      </c>
    </row>
    <row r="4214" spans="1:4" x14ac:dyDescent="0.3">
      <c r="A4214" s="830">
        <v>89815</v>
      </c>
      <c r="B4214" s="831" t="s">
        <v>8667</v>
      </c>
      <c r="C4214" s="830" t="s">
        <v>89</v>
      </c>
      <c r="D4214" s="832">
        <v>29.55</v>
      </c>
    </row>
    <row r="4215" spans="1:4" x14ac:dyDescent="0.3">
      <c r="A4215" s="830">
        <v>89816</v>
      </c>
      <c r="B4215" s="831" t="s">
        <v>8668</v>
      </c>
      <c r="C4215" s="830" t="s">
        <v>89</v>
      </c>
      <c r="D4215" s="832">
        <v>42.65</v>
      </c>
    </row>
    <row r="4216" spans="1:4" x14ac:dyDescent="0.3">
      <c r="A4216" s="830">
        <v>89817</v>
      </c>
      <c r="B4216" s="831" t="s">
        <v>8669</v>
      </c>
      <c r="C4216" s="830" t="s">
        <v>89</v>
      </c>
      <c r="D4216" s="832">
        <v>14.83</v>
      </c>
    </row>
    <row r="4217" spans="1:4" x14ac:dyDescent="0.3">
      <c r="A4217" s="830">
        <v>89818</v>
      </c>
      <c r="B4217" s="831" t="s">
        <v>8670</v>
      </c>
      <c r="C4217" s="830" t="s">
        <v>89</v>
      </c>
      <c r="D4217" s="832">
        <v>54.79</v>
      </c>
    </row>
    <row r="4218" spans="1:4" x14ac:dyDescent="0.3">
      <c r="A4218" s="830">
        <v>89819</v>
      </c>
      <c r="B4218" s="831" t="s">
        <v>8671</v>
      </c>
      <c r="C4218" s="830" t="s">
        <v>89</v>
      </c>
      <c r="D4218" s="832">
        <v>24.56</v>
      </c>
    </row>
    <row r="4219" spans="1:4" x14ac:dyDescent="0.3">
      <c r="A4219" s="830">
        <v>89821</v>
      </c>
      <c r="B4219" s="831" t="s">
        <v>8672</v>
      </c>
      <c r="C4219" s="830" t="s">
        <v>89</v>
      </c>
      <c r="D4219" s="832">
        <v>19.61</v>
      </c>
    </row>
    <row r="4220" spans="1:4" x14ac:dyDescent="0.3">
      <c r="A4220" s="830">
        <v>89822</v>
      </c>
      <c r="B4220" s="831" t="s">
        <v>8673</v>
      </c>
      <c r="C4220" s="830" t="s">
        <v>89</v>
      </c>
      <c r="D4220" s="832">
        <v>26.6</v>
      </c>
    </row>
    <row r="4221" spans="1:4" x14ac:dyDescent="0.3">
      <c r="A4221" s="830">
        <v>89823</v>
      </c>
      <c r="B4221" s="831" t="s">
        <v>8674</v>
      </c>
      <c r="C4221" s="830" t="s">
        <v>89</v>
      </c>
      <c r="D4221" s="832">
        <v>36.21</v>
      </c>
    </row>
    <row r="4222" spans="1:4" x14ac:dyDescent="0.3">
      <c r="A4222" s="830">
        <v>89824</v>
      </c>
      <c r="B4222" s="831" t="s">
        <v>8675</v>
      </c>
      <c r="C4222" s="830" t="s">
        <v>89</v>
      </c>
      <c r="D4222" s="832">
        <v>40.06</v>
      </c>
    </row>
    <row r="4223" spans="1:4" x14ac:dyDescent="0.3">
      <c r="A4223" s="830">
        <v>89825</v>
      </c>
      <c r="B4223" s="831" t="s">
        <v>8676</v>
      </c>
      <c r="C4223" s="830" t="s">
        <v>89</v>
      </c>
      <c r="D4223" s="832">
        <v>17.47</v>
      </c>
    </row>
    <row r="4224" spans="1:4" x14ac:dyDescent="0.3">
      <c r="A4224" s="830">
        <v>89826</v>
      </c>
      <c r="B4224" s="831" t="s">
        <v>8677</v>
      </c>
      <c r="C4224" s="830" t="s">
        <v>89</v>
      </c>
      <c r="D4224" s="832">
        <v>129.26</v>
      </c>
    </row>
    <row r="4225" spans="1:4" x14ac:dyDescent="0.3">
      <c r="A4225" s="830">
        <v>89827</v>
      </c>
      <c r="B4225" s="831" t="s">
        <v>8678</v>
      </c>
      <c r="C4225" s="830" t="s">
        <v>89</v>
      </c>
      <c r="D4225" s="832">
        <v>19.89</v>
      </c>
    </row>
    <row r="4226" spans="1:4" x14ac:dyDescent="0.3">
      <c r="A4226" s="830">
        <v>89828</v>
      </c>
      <c r="B4226" s="831" t="s">
        <v>8679</v>
      </c>
      <c r="C4226" s="830" t="s">
        <v>89</v>
      </c>
      <c r="D4226" s="832">
        <v>62</v>
      </c>
    </row>
    <row r="4227" spans="1:4" x14ac:dyDescent="0.3">
      <c r="A4227" s="830">
        <v>89829</v>
      </c>
      <c r="B4227" s="831" t="s">
        <v>8680</v>
      </c>
      <c r="C4227" s="830" t="s">
        <v>89</v>
      </c>
      <c r="D4227" s="832">
        <v>36.9</v>
      </c>
    </row>
    <row r="4228" spans="1:4" x14ac:dyDescent="0.3">
      <c r="A4228" s="830">
        <v>89830</v>
      </c>
      <c r="B4228" s="831" t="s">
        <v>8681</v>
      </c>
      <c r="C4228" s="830" t="s">
        <v>89</v>
      </c>
      <c r="D4228" s="832">
        <v>39.03</v>
      </c>
    </row>
    <row r="4229" spans="1:4" x14ac:dyDescent="0.3">
      <c r="A4229" s="830">
        <v>89831</v>
      </c>
      <c r="B4229" s="831" t="s">
        <v>8682</v>
      </c>
      <c r="C4229" s="830" t="s">
        <v>89</v>
      </c>
      <c r="D4229" s="832">
        <v>66.180000000000007</v>
      </c>
    </row>
    <row r="4230" spans="1:4" x14ac:dyDescent="0.3">
      <c r="A4230" s="830">
        <v>89832</v>
      </c>
      <c r="B4230" s="831" t="s">
        <v>8683</v>
      </c>
      <c r="C4230" s="830" t="s">
        <v>89</v>
      </c>
      <c r="D4230" s="832">
        <v>42.86</v>
      </c>
    </row>
    <row r="4231" spans="1:4" x14ac:dyDescent="0.3">
      <c r="A4231" s="830">
        <v>89833</v>
      </c>
      <c r="B4231" s="831" t="s">
        <v>8684</v>
      </c>
      <c r="C4231" s="830" t="s">
        <v>89</v>
      </c>
      <c r="D4231" s="832">
        <v>46.17</v>
      </c>
    </row>
    <row r="4232" spans="1:4" x14ac:dyDescent="0.3">
      <c r="A4232" s="830">
        <v>89834</v>
      </c>
      <c r="B4232" s="831" t="s">
        <v>8685</v>
      </c>
      <c r="C4232" s="830" t="s">
        <v>89</v>
      </c>
      <c r="D4232" s="832">
        <v>54.45</v>
      </c>
    </row>
    <row r="4233" spans="1:4" x14ac:dyDescent="0.3">
      <c r="A4233" s="830">
        <v>89835</v>
      </c>
      <c r="B4233" s="831" t="s">
        <v>8686</v>
      </c>
      <c r="C4233" s="830" t="s">
        <v>89</v>
      </c>
      <c r="D4233" s="832">
        <v>45.51</v>
      </c>
    </row>
    <row r="4234" spans="1:4" x14ac:dyDescent="0.3">
      <c r="A4234" s="830">
        <v>89836</v>
      </c>
      <c r="B4234" s="831" t="s">
        <v>8687</v>
      </c>
      <c r="C4234" s="830" t="s">
        <v>89</v>
      </c>
      <c r="D4234" s="832">
        <v>203.12</v>
      </c>
    </row>
    <row r="4235" spans="1:4" x14ac:dyDescent="0.3">
      <c r="A4235" s="830">
        <v>89837</v>
      </c>
      <c r="B4235" s="831" t="s">
        <v>8688</v>
      </c>
      <c r="C4235" s="830" t="s">
        <v>89</v>
      </c>
      <c r="D4235" s="832">
        <v>136.47</v>
      </c>
    </row>
    <row r="4236" spans="1:4" x14ac:dyDescent="0.3">
      <c r="A4236" s="830">
        <v>89838</v>
      </c>
      <c r="B4236" s="831" t="s">
        <v>8689</v>
      </c>
      <c r="C4236" s="830" t="s">
        <v>89</v>
      </c>
      <c r="D4236" s="832">
        <v>156.4</v>
      </c>
    </row>
    <row r="4237" spans="1:4" x14ac:dyDescent="0.3">
      <c r="A4237" s="830">
        <v>89839</v>
      </c>
      <c r="B4237" s="831" t="s">
        <v>8690</v>
      </c>
      <c r="C4237" s="830" t="s">
        <v>89</v>
      </c>
      <c r="D4237" s="832">
        <v>177.22</v>
      </c>
    </row>
    <row r="4238" spans="1:4" x14ac:dyDescent="0.3">
      <c r="A4238" s="830">
        <v>89840</v>
      </c>
      <c r="B4238" s="831" t="s">
        <v>8691</v>
      </c>
      <c r="C4238" s="830" t="s">
        <v>89</v>
      </c>
      <c r="D4238" s="832">
        <v>184.61</v>
      </c>
    </row>
    <row r="4239" spans="1:4" x14ac:dyDescent="0.3">
      <c r="A4239" s="830">
        <v>89841</v>
      </c>
      <c r="B4239" s="831" t="s">
        <v>8692</v>
      </c>
      <c r="C4239" s="830" t="s">
        <v>89</v>
      </c>
      <c r="D4239" s="832">
        <v>269.08</v>
      </c>
    </row>
    <row r="4240" spans="1:4" x14ac:dyDescent="0.3">
      <c r="A4240" s="830">
        <v>89842</v>
      </c>
      <c r="B4240" s="831" t="s">
        <v>8693</v>
      </c>
      <c r="C4240" s="830" t="s">
        <v>89</v>
      </c>
      <c r="D4240" s="832">
        <v>52.1</v>
      </c>
    </row>
    <row r="4241" spans="1:4" x14ac:dyDescent="0.3">
      <c r="A4241" s="830">
        <v>89844</v>
      </c>
      <c r="B4241" s="831" t="s">
        <v>8694</v>
      </c>
      <c r="C4241" s="830" t="s">
        <v>89</v>
      </c>
      <c r="D4241" s="832">
        <v>65.540000000000006</v>
      </c>
    </row>
    <row r="4242" spans="1:4" x14ac:dyDescent="0.3">
      <c r="A4242" s="830">
        <v>89845</v>
      </c>
      <c r="B4242" s="831" t="s">
        <v>8695</v>
      </c>
      <c r="C4242" s="830" t="s">
        <v>89</v>
      </c>
      <c r="D4242" s="832">
        <v>102.44</v>
      </c>
    </row>
    <row r="4243" spans="1:4" x14ac:dyDescent="0.3">
      <c r="A4243" s="830">
        <v>89846</v>
      </c>
      <c r="B4243" s="831" t="s">
        <v>8696</v>
      </c>
      <c r="C4243" s="830" t="s">
        <v>89</v>
      </c>
      <c r="D4243" s="832">
        <v>217.88</v>
      </c>
    </row>
    <row r="4244" spans="1:4" x14ac:dyDescent="0.3">
      <c r="A4244" s="830">
        <v>89847</v>
      </c>
      <c r="B4244" s="831" t="s">
        <v>8697</v>
      </c>
      <c r="C4244" s="830" t="s">
        <v>89</v>
      </c>
      <c r="D4244" s="832">
        <v>260.58</v>
      </c>
    </row>
    <row r="4245" spans="1:4" x14ac:dyDescent="0.3">
      <c r="A4245" s="830">
        <v>89850</v>
      </c>
      <c r="B4245" s="831" t="s">
        <v>8698</v>
      </c>
      <c r="C4245" s="830" t="s">
        <v>89</v>
      </c>
      <c r="D4245" s="832">
        <v>32.89</v>
      </c>
    </row>
    <row r="4246" spans="1:4" x14ac:dyDescent="0.3">
      <c r="A4246" s="830">
        <v>89851</v>
      </c>
      <c r="B4246" s="831" t="s">
        <v>8699</v>
      </c>
      <c r="C4246" s="830" t="s">
        <v>89</v>
      </c>
      <c r="D4246" s="832">
        <v>33.75</v>
      </c>
    </row>
    <row r="4247" spans="1:4" x14ac:dyDescent="0.3">
      <c r="A4247" s="830">
        <v>89852</v>
      </c>
      <c r="B4247" s="831" t="s">
        <v>8700</v>
      </c>
      <c r="C4247" s="830" t="s">
        <v>89</v>
      </c>
      <c r="D4247" s="832">
        <v>48.38</v>
      </c>
    </row>
    <row r="4248" spans="1:4" x14ac:dyDescent="0.3">
      <c r="A4248" s="830">
        <v>89853</v>
      </c>
      <c r="B4248" s="831" t="s">
        <v>8701</v>
      </c>
      <c r="C4248" s="830" t="s">
        <v>89</v>
      </c>
      <c r="D4248" s="832">
        <v>84.47</v>
      </c>
    </row>
    <row r="4249" spans="1:4" x14ac:dyDescent="0.3">
      <c r="A4249" s="830">
        <v>89854</v>
      </c>
      <c r="B4249" s="831" t="s">
        <v>8702</v>
      </c>
      <c r="C4249" s="830" t="s">
        <v>89</v>
      </c>
      <c r="D4249" s="832">
        <v>107.58</v>
      </c>
    </row>
    <row r="4250" spans="1:4" x14ac:dyDescent="0.3">
      <c r="A4250" s="830">
        <v>89855</v>
      </c>
      <c r="B4250" s="831" t="s">
        <v>8703</v>
      </c>
      <c r="C4250" s="830" t="s">
        <v>89</v>
      </c>
      <c r="D4250" s="832">
        <v>112.95</v>
      </c>
    </row>
    <row r="4251" spans="1:4" x14ac:dyDescent="0.3">
      <c r="A4251" s="830">
        <v>89856</v>
      </c>
      <c r="B4251" s="831" t="s">
        <v>8704</v>
      </c>
      <c r="C4251" s="830" t="s">
        <v>89</v>
      </c>
      <c r="D4251" s="832">
        <v>21.76</v>
      </c>
    </row>
    <row r="4252" spans="1:4" x14ac:dyDescent="0.3">
      <c r="A4252" s="830">
        <v>89857</v>
      </c>
      <c r="B4252" s="831" t="s">
        <v>8705</v>
      </c>
      <c r="C4252" s="830" t="s">
        <v>89</v>
      </c>
      <c r="D4252" s="832">
        <v>38.36</v>
      </c>
    </row>
    <row r="4253" spans="1:4" x14ac:dyDescent="0.3">
      <c r="A4253" s="830">
        <v>89860</v>
      </c>
      <c r="B4253" s="831" t="s">
        <v>8706</v>
      </c>
      <c r="C4253" s="830" t="s">
        <v>89</v>
      </c>
      <c r="D4253" s="832">
        <v>50.49</v>
      </c>
    </row>
    <row r="4254" spans="1:4" x14ac:dyDescent="0.3">
      <c r="A4254" s="830">
        <v>89861</v>
      </c>
      <c r="B4254" s="831" t="s">
        <v>8707</v>
      </c>
      <c r="C4254" s="830" t="s">
        <v>89</v>
      </c>
      <c r="D4254" s="832">
        <v>58.77</v>
      </c>
    </row>
    <row r="4255" spans="1:4" x14ac:dyDescent="0.3">
      <c r="A4255" s="830">
        <v>89866</v>
      </c>
      <c r="B4255" s="831" t="s">
        <v>8708</v>
      </c>
      <c r="C4255" s="830" t="s">
        <v>89</v>
      </c>
      <c r="D4255" s="832">
        <v>7.89</v>
      </c>
    </row>
    <row r="4256" spans="1:4" x14ac:dyDescent="0.3">
      <c r="A4256" s="830">
        <v>89867</v>
      </c>
      <c r="B4256" s="831" t="s">
        <v>8709</v>
      </c>
      <c r="C4256" s="830" t="s">
        <v>89</v>
      </c>
      <c r="D4256" s="832">
        <v>8.69</v>
      </c>
    </row>
    <row r="4257" spans="1:4" x14ac:dyDescent="0.3">
      <c r="A4257" s="830">
        <v>89868</v>
      </c>
      <c r="B4257" s="831" t="s">
        <v>8710</v>
      </c>
      <c r="C4257" s="830" t="s">
        <v>89</v>
      </c>
      <c r="D4257" s="832">
        <v>5.99</v>
      </c>
    </row>
    <row r="4258" spans="1:4" x14ac:dyDescent="0.3">
      <c r="A4258" s="830">
        <v>89869</v>
      </c>
      <c r="B4258" s="831" t="s">
        <v>8711</v>
      </c>
      <c r="C4258" s="830" t="s">
        <v>89</v>
      </c>
      <c r="D4258" s="832">
        <v>10.96</v>
      </c>
    </row>
    <row r="4259" spans="1:4" x14ac:dyDescent="0.3">
      <c r="A4259" s="830">
        <v>89979</v>
      </c>
      <c r="B4259" s="831" t="s">
        <v>8712</v>
      </c>
      <c r="C4259" s="830" t="s">
        <v>89</v>
      </c>
      <c r="D4259" s="832">
        <v>25.53</v>
      </c>
    </row>
    <row r="4260" spans="1:4" x14ac:dyDescent="0.3">
      <c r="A4260" s="830">
        <v>89981</v>
      </c>
      <c r="B4260" s="831" t="s">
        <v>8713</v>
      </c>
      <c r="C4260" s="830" t="s">
        <v>89</v>
      </c>
      <c r="D4260" s="832">
        <v>22.3</v>
      </c>
    </row>
    <row r="4261" spans="1:4" x14ac:dyDescent="0.3">
      <c r="A4261" s="830">
        <v>90373</v>
      </c>
      <c r="B4261" s="831" t="s">
        <v>8714</v>
      </c>
      <c r="C4261" s="830" t="s">
        <v>89</v>
      </c>
      <c r="D4261" s="832">
        <v>13.71</v>
      </c>
    </row>
    <row r="4262" spans="1:4" x14ac:dyDescent="0.3">
      <c r="A4262" s="830">
        <v>90374</v>
      </c>
      <c r="B4262" s="831" t="s">
        <v>8715</v>
      </c>
      <c r="C4262" s="830" t="s">
        <v>89</v>
      </c>
      <c r="D4262" s="832">
        <v>23.24</v>
      </c>
    </row>
    <row r="4263" spans="1:4" x14ac:dyDescent="0.3">
      <c r="A4263" s="830">
        <v>92287</v>
      </c>
      <c r="B4263" s="831" t="s">
        <v>8716</v>
      </c>
      <c r="C4263" s="830" t="s">
        <v>89</v>
      </c>
      <c r="D4263" s="832">
        <v>27.07</v>
      </c>
    </row>
    <row r="4264" spans="1:4" x14ac:dyDescent="0.3">
      <c r="A4264" s="830">
        <v>92288</v>
      </c>
      <c r="B4264" s="831" t="s">
        <v>8717</v>
      </c>
      <c r="C4264" s="830" t="s">
        <v>89</v>
      </c>
      <c r="D4264" s="832">
        <v>43.47</v>
      </c>
    </row>
    <row r="4265" spans="1:4" x14ac:dyDescent="0.3">
      <c r="A4265" s="830">
        <v>92289</v>
      </c>
      <c r="B4265" s="831" t="s">
        <v>8718</v>
      </c>
      <c r="C4265" s="830" t="s">
        <v>89</v>
      </c>
      <c r="D4265" s="832">
        <v>78.87</v>
      </c>
    </row>
    <row r="4266" spans="1:4" x14ac:dyDescent="0.3">
      <c r="A4266" s="830">
        <v>92290</v>
      </c>
      <c r="B4266" s="831" t="s">
        <v>8719</v>
      </c>
      <c r="C4266" s="830" t="s">
        <v>89</v>
      </c>
      <c r="D4266" s="832">
        <v>120.86</v>
      </c>
    </row>
    <row r="4267" spans="1:4" x14ac:dyDescent="0.3">
      <c r="A4267" s="830">
        <v>92291</v>
      </c>
      <c r="B4267" s="831" t="s">
        <v>8720</v>
      </c>
      <c r="C4267" s="830" t="s">
        <v>89</v>
      </c>
      <c r="D4267" s="832">
        <v>188.65</v>
      </c>
    </row>
    <row r="4268" spans="1:4" x14ac:dyDescent="0.3">
      <c r="A4268" s="830">
        <v>92292</v>
      </c>
      <c r="B4268" s="831" t="s">
        <v>8721</v>
      </c>
      <c r="C4268" s="830" t="s">
        <v>89</v>
      </c>
      <c r="D4268" s="832">
        <v>597.69000000000005</v>
      </c>
    </row>
    <row r="4269" spans="1:4" x14ac:dyDescent="0.3">
      <c r="A4269" s="830">
        <v>92293</v>
      </c>
      <c r="B4269" s="831" t="s">
        <v>8722</v>
      </c>
      <c r="C4269" s="830" t="s">
        <v>89</v>
      </c>
      <c r="D4269" s="832">
        <v>15.08</v>
      </c>
    </row>
    <row r="4270" spans="1:4" x14ac:dyDescent="0.3">
      <c r="A4270" s="830">
        <v>92294</v>
      </c>
      <c r="B4270" s="831" t="s">
        <v>8723</v>
      </c>
      <c r="C4270" s="830" t="s">
        <v>89</v>
      </c>
      <c r="D4270" s="832">
        <v>26.26</v>
      </c>
    </row>
    <row r="4271" spans="1:4" x14ac:dyDescent="0.3">
      <c r="A4271" s="830">
        <v>92295</v>
      </c>
      <c r="B4271" s="831" t="s">
        <v>8724</v>
      </c>
      <c r="C4271" s="830" t="s">
        <v>89</v>
      </c>
      <c r="D4271" s="832">
        <v>51.03</v>
      </c>
    </row>
    <row r="4272" spans="1:4" x14ac:dyDescent="0.3">
      <c r="A4272" s="830">
        <v>92296</v>
      </c>
      <c r="B4272" s="831" t="s">
        <v>8725</v>
      </c>
      <c r="C4272" s="830" t="s">
        <v>89</v>
      </c>
      <c r="D4272" s="832">
        <v>67.97</v>
      </c>
    </row>
    <row r="4273" spans="1:4" x14ac:dyDescent="0.3">
      <c r="A4273" s="830">
        <v>92297</v>
      </c>
      <c r="B4273" s="831" t="s">
        <v>8726</v>
      </c>
      <c r="C4273" s="830" t="s">
        <v>89</v>
      </c>
      <c r="D4273" s="832">
        <v>106.4</v>
      </c>
    </row>
    <row r="4274" spans="1:4" x14ac:dyDescent="0.3">
      <c r="A4274" s="830">
        <v>92298</v>
      </c>
      <c r="B4274" s="831" t="s">
        <v>8727</v>
      </c>
      <c r="C4274" s="830" t="s">
        <v>89</v>
      </c>
      <c r="D4274" s="832">
        <v>306.54000000000002</v>
      </c>
    </row>
    <row r="4275" spans="1:4" x14ac:dyDescent="0.3">
      <c r="A4275" s="830">
        <v>92299</v>
      </c>
      <c r="B4275" s="831" t="s">
        <v>8728</v>
      </c>
      <c r="C4275" s="830" t="s">
        <v>89</v>
      </c>
      <c r="D4275" s="832">
        <v>35.56</v>
      </c>
    </row>
    <row r="4276" spans="1:4" x14ac:dyDescent="0.3">
      <c r="A4276" s="830">
        <v>92300</v>
      </c>
      <c r="B4276" s="831" t="s">
        <v>8729</v>
      </c>
      <c r="C4276" s="830" t="s">
        <v>89</v>
      </c>
      <c r="D4276" s="832">
        <v>55.03</v>
      </c>
    </row>
    <row r="4277" spans="1:4" x14ac:dyDescent="0.3">
      <c r="A4277" s="830">
        <v>92301</v>
      </c>
      <c r="B4277" s="831" t="s">
        <v>8730</v>
      </c>
      <c r="C4277" s="830" t="s">
        <v>89</v>
      </c>
      <c r="D4277" s="832">
        <v>112.36</v>
      </c>
    </row>
    <row r="4278" spans="1:4" x14ac:dyDescent="0.3">
      <c r="A4278" s="830">
        <v>92302</v>
      </c>
      <c r="B4278" s="831" t="s">
        <v>8731</v>
      </c>
      <c r="C4278" s="830" t="s">
        <v>89</v>
      </c>
      <c r="D4278" s="832">
        <v>149.15</v>
      </c>
    </row>
    <row r="4279" spans="1:4" x14ac:dyDescent="0.3">
      <c r="A4279" s="830">
        <v>92303</v>
      </c>
      <c r="B4279" s="831" t="s">
        <v>8732</v>
      </c>
      <c r="C4279" s="830" t="s">
        <v>89</v>
      </c>
      <c r="D4279" s="832">
        <v>277.70999999999998</v>
      </c>
    </row>
    <row r="4280" spans="1:4" x14ac:dyDescent="0.3">
      <c r="A4280" s="830">
        <v>92304</v>
      </c>
      <c r="B4280" s="831" t="s">
        <v>8733</v>
      </c>
      <c r="C4280" s="830" t="s">
        <v>89</v>
      </c>
      <c r="D4280" s="832">
        <v>733.98</v>
      </c>
    </row>
    <row r="4281" spans="1:4" x14ac:dyDescent="0.3">
      <c r="A4281" s="830">
        <v>92311</v>
      </c>
      <c r="B4281" s="831" t="s">
        <v>8734</v>
      </c>
      <c r="C4281" s="830" t="s">
        <v>89</v>
      </c>
      <c r="D4281" s="832">
        <v>17.93</v>
      </c>
    </row>
    <row r="4282" spans="1:4" x14ac:dyDescent="0.3">
      <c r="A4282" s="830">
        <v>92312</v>
      </c>
      <c r="B4282" s="831" t="s">
        <v>8735</v>
      </c>
      <c r="C4282" s="830" t="s">
        <v>89</v>
      </c>
      <c r="D4282" s="832">
        <v>31.61</v>
      </c>
    </row>
    <row r="4283" spans="1:4" x14ac:dyDescent="0.3">
      <c r="A4283" s="830">
        <v>92313</v>
      </c>
      <c r="B4283" s="831" t="s">
        <v>8736</v>
      </c>
      <c r="C4283" s="830" t="s">
        <v>89</v>
      </c>
      <c r="D4283" s="832">
        <v>47.66</v>
      </c>
    </row>
    <row r="4284" spans="1:4" x14ac:dyDescent="0.3">
      <c r="A4284" s="830">
        <v>92314</v>
      </c>
      <c r="B4284" s="831" t="s">
        <v>8737</v>
      </c>
      <c r="C4284" s="830" t="s">
        <v>89</v>
      </c>
      <c r="D4284" s="832">
        <v>11.77</v>
      </c>
    </row>
    <row r="4285" spans="1:4" x14ac:dyDescent="0.3">
      <c r="A4285" s="830">
        <v>92315</v>
      </c>
      <c r="B4285" s="831" t="s">
        <v>8738</v>
      </c>
      <c r="C4285" s="830" t="s">
        <v>89</v>
      </c>
      <c r="D4285" s="832">
        <v>18.12</v>
      </c>
    </row>
    <row r="4286" spans="1:4" x14ac:dyDescent="0.3">
      <c r="A4286" s="830">
        <v>92316</v>
      </c>
      <c r="B4286" s="831" t="s">
        <v>8739</v>
      </c>
      <c r="C4286" s="830" t="s">
        <v>89</v>
      </c>
      <c r="D4286" s="832">
        <v>29.07</v>
      </c>
    </row>
    <row r="4287" spans="1:4" x14ac:dyDescent="0.3">
      <c r="A4287" s="830">
        <v>92317</v>
      </c>
      <c r="B4287" s="831" t="s">
        <v>8740</v>
      </c>
      <c r="C4287" s="830" t="s">
        <v>89</v>
      </c>
      <c r="D4287" s="832">
        <v>24.94</v>
      </c>
    </row>
    <row r="4288" spans="1:4" x14ac:dyDescent="0.3">
      <c r="A4288" s="830">
        <v>92318</v>
      </c>
      <c r="B4288" s="831" t="s">
        <v>8741</v>
      </c>
      <c r="C4288" s="830" t="s">
        <v>89</v>
      </c>
      <c r="D4288" s="832">
        <v>41.63</v>
      </c>
    </row>
    <row r="4289" spans="1:4" x14ac:dyDescent="0.3">
      <c r="A4289" s="830">
        <v>92319</v>
      </c>
      <c r="B4289" s="831" t="s">
        <v>8742</v>
      </c>
      <c r="C4289" s="830" t="s">
        <v>89</v>
      </c>
      <c r="D4289" s="832">
        <v>60.63</v>
      </c>
    </row>
    <row r="4290" spans="1:4" x14ac:dyDescent="0.3">
      <c r="A4290" s="830">
        <v>92326</v>
      </c>
      <c r="B4290" s="831" t="s">
        <v>8743</v>
      </c>
      <c r="C4290" s="830" t="s">
        <v>89</v>
      </c>
      <c r="D4290" s="832">
        <v>18.59</v>
      </c>
    </row>
    <row r="4291" spans="1:4" x14ac:dyDescent="0.3">
      <c r="A4291" s="830">
        <v>92327</v>
      </c>
      <c r="B4291" s="831" t="s">
        <v>8744</v>
      </c>
      <c r="C4291" s="830" t="s">
        <v>89</v>
      </c>
      <c r="D4291" s="832">
        <v>34.979999999999997</v>
      </c>
    </row>
    <row r="4292" spans="1:4" x14ac:dyDescent="0.3">
      <c r="A4292" s="830">
        <v>92328</v>
      </c>
      <c r="B4292" s="831" t="s">
        <v>8745</v>
      </c>
      <c r="C4292" s="830" t="s">
        <v>89</v>
      </c>
      <c r="D4292" s="832">
        <v>53.67</v>
      </c>
    </row>
    <row r="4293" spans="1:4" x14ac:dyDescent="0.3">
      <c r="A4293" s="830">
        <v>92329</v>
      </c>
      <c r="B4293" s="831" t="s">
        <v>8746</v>
      </c>
      <c r="C4293" s="830" t="s">
        <v>89</v>
      </c>
      <c r="D4293" s="832">
        <v>11.96</v>
      </c>
    </row>
    <row r="4294" spans="1:4" x14ac:dyDescent="0.3">
      <c r="A4294" s="830">
        <v>92330</v>
      </c>
      <c r="B4294" s="831" t="s">
        <v>8747</v>
      </c>
      <c r="C4294" s="830" t="s">
        <v>89</v>
      </c>
      <c r="D4294" s="832">
        <v>20.38</v>
      </c>
    </row>
    <row r="4295" spans="1:4" x14ac:dyDescent="0.3">
      <c r="A4295" s="830">
        <v>92331</v>
      </c>
      <c r="B4295" s="831" t="s">
        <v>8748</v>
      </c>
      <c r="C4295" s="830" t="s">
        <v>89</v>
      </c>
      <c r="D4295" s="832">
        <v>33.1</v>
      </c>
    </row>
    <row r="4296" spans="1:4" x14ac:dyDescent="0.3">
      <c r="A4296" s="830">
        <v>92332</v>
      </c>
      <c r="B4296" s="831" t="s">
        <v>8749</v>
      </c>
      <c r="C4296" s="830" t="s">
        <v>89</v>
      </c>
      <c r="D4296" s="832">
        <v>25.33</v>
      </c>
    </row>
    <row r="4297" spans="1:4" x14ac:dyDescent="0.3">
      <c r="A4297" s="830">
        <v>92333</v>
      </c>
      <c r="B4297" s="831" t="s">
        <v>8750</v>
      </c>
      <c r="C4297" s="830" t="s">
        <v>89</v>
      </c>
      <c r="D4297" s="832">
        <v>46.11</v>
      </c>
    </row>
    <row r="4298" spans="1:4" x14ac:dyDescent="0.3">
      <c r="A4298" s="830">
        <v>92334</v>
      </c>
      <c r="B4298" s="831" t="s">
        <v>8751</v>
      </c>
      <c r="C4298" s="830" t="s">
        <v>89</v>
      </c>
      <c r="D4298" s="832">
        <v>68.650000000000006</v>
      </c>
    </row>
    <row r="4299" spans="1:4" x14ac:dyDescent="0.3">
      <c r="A4299" s="830">
        <v>92344</v>
      </c>
      <c r="B4299" s="831" t="s">
        <v>8752</v>
      </c>
      <c r="C4299" s="830" t="s">
        <v>89</v>
      </c>
      <c r="D4299" s="832">
        <v>74.66</v>
      </c>
    </row>
    <row r="4300" spans="1:4" x14ac:dyDescent="0.3">
      <c r="A4300" s="830">
        <v>92345</v>
      </c>
      <c r="B4300" s="831" t="s">
        <v>8753</v>
      </c>
      <c r="C4300" s="830" t="s">
        <v>89</v>
      </c>
      <c r="D4300" s="832">
        <v>74.63</v>
      </c>
    </row>
    <row r="4301" spans="1:4" x14ac:dyDescent="0.3">
      <c r="A4301" s="830">
        <v>92346</v>
      </c>
      <c r="B4301" s="831" t="s">
        <v>8754</v>
      </c>
      <c r="C4301" s="830" t="s">
        <v>89</v>
      </c>
      <c r="D4301" s="832">
        <v>98.69</v>
      </c>
    </row>
    <row r="4302" spans="1:4" x14ac:dyDescent="0.3">
      <c r="A4302" s="830">
        <v>92347</v>
      </c>
      <c r="B4302" s="831" t="s">
        <v>8755</v>
      </c>
      <c r="C4302" s="830" t="s">
        <v>89</v>
      </c>
      <c r="D4302" s="832">
        <v>110.16</v>
      </c>
    </row>
    <row r="4303" spans="1:4" x14ac:dyDescent="0.3">
      <c r="A4303" s="830">
        <v>92348</v>
      </c>
      <c r="B4303" s="831" t="s">
        <v>8756</v>
      </c>
      <c r="C4303" s="830" t="s">
        <v>89</v>
      </c>
      <c r="D4303" s="832">
        <v>139.47999999999999</v>
      </c>
    </row>
    <row r="4304" spans="1:4" x14ac:dyDescent="0.3">
      <c r="A4304" s="830">
        <v>92349</v>
      </c>
      <c r="B4304" s="831" t="s">
        <v>8757</v>
      </c>
      <c r="C4304" s="830" t="s">
        <v>89</v>
      </c>
      <c r="D4304" s="832">
        <v>149.69</v>
      </c>
    </row>
    <row r="4305" spans="1:4" x14ac:dyDescent="0.3">
      <c r="A4305" s="830">
        <v>92350</v>
      </c>
      <c r="B4305" s="831" t="s">
        <v>8758</v>
      </c>
      <c r="C4305" s="830" t="s">
        <v>89</v>
      </c>
      <c r="D4305" s="832">
        <v>111.04</v>
      </c>
    </row>
    <row r="4306" spans="1:4" x14ac:dyDescent="0.3">
      <c r="A4306" s="830">
        <v>92351</v>
      </c>
      <c r="B4306" s="831" t="s">
        <v>8759</v>
      </c>
      <c r="C4306" s="830" t="s">
        <v>89</v>
      </c>
      <c r="D4306" s="832">
        <v>108.49</v>
      </c>
    </row>
    <row r="4307" spans="1:4" x14ac:dyDescent="0.3">
      <c r="A4307" s="830">
        <v>92352</v>
      </c>
      <c r="B4307" s="831" t="s">
        <v>8760</v>
      </c>
      <c r="C4307" s="830" t="s">
        <v>89</v>
      </c>
      <c r="D4307" s="832">
        <v>170.11</v>
      </c>
    </row>
    <row r="4308" spans="1:4" x14ac:dyDescent="0.3">
      <c r="A4308" s="830">
        <v>92353</v>
      </c>
      <c r="B4308" s="831" t="s">
        <v>8761</v>
      </c>
      <c r="C4308" s="830" t="s">
        <v>89</v>
      </c>
      <c r="D4308" s="832">
        <v>158.88</v>
      </c>
    </row>
    <row r="4309" spans="1:4" x14ac:dyDescent="0.3">
      <c r="A4309" s="830">
        <v>92354</v>
      </c>
      <c r="B4309" s="831" t="s">
        <v>8762</v>
      </c>
      <c r="C4309" s="830" t="s">
        <v>89</v>
      </c>
      <c r="D4309" s="832">
        <v>226.84</v>
      </c>
    </row>
    <row r="4310" spans="1:4" x14ac:dyDescent="0.3">
      <c r="A4310" s="830">
        <v>92355</v>
      </c>
      <c r="B4310" s="831" t="s">
        <v>8763</v>
      </c>
      <c r="C4310" s="830" t="s">
        <v>89</v>
      </c>
      <c r="D4310" s="832">
        <v>205.2</v>
      </c>
    </row>
    <row r="4311" spans="1:4" x14ac:dyDescent="0.3">
      <c r="A4311" s="830">
        <v>92356</v>
      </c>
      <c r="B4311" s="831" t="s">
        <v>8764</v>
      </c>
      <c r="C4311" s="830" t="s">
        <v>89</v>
      </c>
      <c r="D4311" s="832">
        <v>144.6</v>
      </c>
    </row>
    <row r="4312" spans="1:4" x14ac:dyDescent="0.3">
      <c r="A4312" s="830">
        <v>92357</v>
      </c>
      <c r="B4312" s="831" t="s">
        <v>8765</v>
      </c>
      <c r="C4312" s="830" t="s">
        <v>89</v>
      </c>
      <c r="D4312" s="832">
        <v>217.48</v>
      </c>
    </row>
    <row r="4313" spans="1:4" x14ac:dyDescent="0.3">
      <c r="A4313" s="830">
        <v>92358</v>
      </c>
      <c r="B4313" s="831" t="s">
        <v>8766</v>
      </c>
      <c r="C4313" s="830" t="s">
        <v>89</v>
      </c>
      <c r="D4313" s="832">
        <v>271.52</v>
      </c>
    </row>
    <row r="4314" spans="1:4" x14ac:dyDescent="0.3">
      <c r="A4314" s="830">
        <v>92369</v>
      </c>
      <c r="B4314" s="831" t="s">
        <v>8767</v>
      </c>
      <c r="C4314" s="830" t="s">
        <v>89</v>
      </c>
      <c r="D4314" s="832">
        <v>39.65</v>
      </c>
    </row>
    <row r="4315" spans="1:4" x14ac:dyDescent="0.3">
      <c r="A4315" s="830">
        <v>92370</v>
      </c>
      <c r="B4315" s="831" t="s">
        <v>8768</v>
      </c>
      <c r="C4315" s="830" t="s">
        <v>89</v>
      </c>
      <c r="D4315" s="832">
        <v>41.71</v>
      </c>
    </row>
    <row r="4316" spans="1:4" x14ac:dyDescent="0.3">
      <c r="A4316" s="830">
        <v>92371</v>
      </c>
      <c r="B4316" s="831" t="s">
        <v>8769</v>
      </c>
      <c r="C4316" s="830" t="s">
        <v>89</v>
      </c>
      <c r="D4316" s="832">
        <v>48.17</v>
      </c>
    </row>
    <row r="4317" spans="1:4" x14ac:dyDescent="0.3">
      <c r="A4317" s="830">
        <v>92372</v>
      </c>
      <c r="B4317" s="831" t="s">
        <v>8770</v>
      </c>
      <c r="C4317" s="830" t="s">
        <v>89</v>
      </c>
      <c r="D4317" s="832">
        <v>50.1</v>
      </c>
    </row>
    <row r="4318" spans="1:4" x14ac:dyDescent="0.3">
      <c r="A4318" s="830">
        <v>92373</v>
      </c>
      <c r="B4318" s="831" t="s">
        <v>8771</v>
      </c>
      <c r="C4318" s="830" t="s">
        <v>89</v>
      </c>
      <c r="D4318" s="832">
        <v>57.13</v>
      </c>
    </row>
    <row r="4319" spans="1:4" x14ac:dyDescent="0.3">
      <c r="A4319" s="830">
        <v>92374</v>
      </c>
      <c r="B4319" s="831" t="s">
        <v>8772</v>
      </c>
      <c r="C4319" s="830" t="s">
        <v>89</v>
      </c>
      <c r="D4319" s="832">
        <v>57.5</v>
      </c>
    </row>
    <row r="4320" spans="1:4" x14ac:dyDescent="0.3">
      <c r="A4320" s="830">
        <v>92375</v>
      </c>
      <c r="B4320" s="831" t="s">
        <v>8773</v>
      </c>
      <c r="C4320" s="830" t="s">
        <v>89</v>
      </c>
      <c r="D4320" s="832">
        <v>74.599999999999994</v>
      </c>
    </row>
    <row r="4321" spans="1:4" x14ac:dyDescent="0.3">
      <c r="A4321" s="830">
        <v>92376</v>
      </c>
      <c r="B4321" s="831" t="s">
        <v>8774</v>
      </c>
      <c r="C4321" s="830" t="s">
        <v>89</v>
      </c>
      <c r="D4321" s="832">
        <v>74.569999999999993</v>
      </c>
    </row>
    <row r="4322" spans="1:4" x14ac:dyDescent="0.3">
      <c r="A4322" s="830">
        <v>92377</v>
      </c>
      <c r="B4322" s="831" t="s">
        <v>8775</v>
      </c>
      <c r="C4322" s="830" t="s">
        <v>89</v>
      </c>
      <c r="D4322" s="832">
        <v>100.53</v>
      </c>
    </row>
    <row r="4323" spans="1:4" x14ac:dyDescent="0.3">
      <c r="A4323" s="830">
        <v>92378</v>
      </c>
      <c r="B4323" s="831" t="s">
        <v>8776</v>
      </c>
      <c r="C4323" s="830" t="s">
        <v>89</v>
      </c>
      <c r="D4323" s="832">
        <v>112</v>
      </c>
    </row>
    <row r="4324" spans="1:4" x14ac:dyDescent="0.3">
      <c r="A4324" s="830">
        <v>92379</v>
      </c>
      <c r="B4324" s="831" t="s">
        <v>8777</v>
      </c>
      <c r="C4324" s="830" t="s">
        <v>89</v>
      </c>
      <c r="D4324" s="832">
        <v>143.25</v>
      </c>
    </row>
    <row r="4325" spans="1:4" x14ac:dyDescent="0.3">
      <c r="A4325" s="830">
        <v>92380</v>
      </c>
      <c r="B4325" s="831" t="s">
        <v>8778</v>
      </c>
      <c r="C4325" s="830" t="s">
        <v>89</v>
      </c>
      <c r="D4325" s="832">
        <v>153.46</v>
      </c>
    </row>
    <row r="4326" spans="1:4" x14ac:dyDescent="0.3">
      <c r="A4326" s="830">
        <v>92381</v>
      </c>
      <c r="B4326" s="831" t="s">
        <v>8779</v>
      </c>
      <c r="C4326" s="830" t="s">
        <v>89</v>
      </c>
      <c r="D4326" s="832">
        <v>60.1</v>
      </c>
    </row>
    <row r="4327" spans="1:4" x14ac:dyDescent="0.3">
      <c r="A4327" s="830">
        <v>92382</v>
      </c>
      <c r="B4327" s="831" t="s">
        <v>8780</v>
      </c>
      <c r="C4327" s="830" t="s">
        <v>89</v>
      </c>
      <c r="D4327" s="832">
        <v>57.36</v>
      </c>
    </row>
    <row r="4328" spans="1:4" x14ac:dyDescent="0.3">
      <c r="A4328" s="830">
        <v>92383</v>
      </c>
      <c r="B4328" s="831" t="s">
        <v>8781</v>
      </c>
      <c r="C4328" s="830" t="s">
        <v>89</v>
      </c>
      <c r="D4328" s="832">
        <v>76.239999999999995</v>
      </c>
    </row>
    <row r="4329" spans="1:4" x14ac:dyDescent="0.3">
      <c r="A4329" s="830">
        <v>92384</v>
      </c>
      <c r="B4329" s="831" t="s">
        <v>8782</v>
      </c>
      <c r="C4329" s="830" t="s">
        <v>89</v>
      </c>
      <c r="D4329" s="832">
        <v>70.790000000000006</v>
      </c>
    </row>
    <row r="4330" spans="1:4" x14ac:dyDescent="0.3">
      <c r="A4330" s="830">
        <v>92385</v>
      </c>
      <c r="B4330" s="831" t="s">
        <v>8783</v>
      </c>
      <c r="C4330" s="830" t="s">
        <v>89</v>
      </c>
      <c r="D4330" s="832">
        <v>87.58</v>
      </c>
    </row>
    <row r="4331" spans="1:4" x14ac:dyDescent="0.3">
      <c r="A4331" s="830">
        <v>92386</v>
      </c>
      <c r="B4331" s="831" t="s">
        <v>8784</v>
      </c>
      <c r="C4331" s="830" t="s">
        <v>89</v>
      </c>
      <c r="D4331" s="832">
        <v>83.82</v>
      </c>
    </row>
    <row r="4332" spans="1:4" x14ac:dyDescent="0.3">
      <c r="A4332" s="830">
        <v>92387</v>
      </c>
      <c r="B4332" s="831" t="s">
        <v>8785</v>
      </c>
      <c r="C4332" s="830" t="s">
        <v>89</v>
      </c>
      <c r="D4332" s="832">
        <v>110.93</v>
      </c>
    </row>
    <row r="4333" spans="1:4" x14ac:dyDescent="0.3">
      <c r="A4333" s="830">
        <v>92388</v>
      </c>
      <c r="B4333" s="831" t="s">
        <v>8786</v>
      </c>
      <c r="C4333" s="830" t="s">
        <v>89</v>
      </c>
      <c r="D4333" s="832">
        <v>108.38</v>
      </c>
    </row>
    <row r="4334" spans="1:4" x14ac:dyDescent="0.3">
      <c r="A4334" s="830">
        <v>92389</v>
      </c>
      <c r="B4334" s="831" t="s">
        <v>8787</v>
      </c>
      <c r="C4334" s="830" t="s">
        <v>89</v>
      </c>
      <c r="D4334" s="832">
        <v>172.92</v>
      </c>
    </row>
    <row r="4335" spans="1:4" x14ac:dyDescent="0.3">
      <c r="A4335" s="830">
        <v>92390</v>
      </c>
      <c r="B4335" s="831" t="s">
        <v>8788</v>
      </c>
      <c r="C4335" s="830" t="s">
        <v>89</v>
      </c>
      <c r="D4335" s="832">
        <v>161.69</v>
      </c>
    </row>
    <row r="4336" spans="1:4" x14ac:dyDescent="0.3">
      <c r="A4336" s="830">
        <v>92635</v>
      </c>
      <c r="B4336" s="831" t="s">
        <v>8789</v>
      </c>
      <c r="C4336" s="830" t="s">
        <v>89</v>
      </c>
      <c r="D4336" s="832">
        <v>232.5</v>
      </c>
    </row>
    <row r="4337" spans="1:4" x14ac:dyDescent="0.3">
      <c r="A4337" s="830">
        <v>92636</v>
      </c>
      <c r="B4337" s="831" t="s">
        <v>8790</v>
      </c>
      <c r="C4337" s="830" t="s">
        <v>89</v>
      </c>
      <c r="D4337" s="832">
        <v>210.86</v>
      </c>
    </row>
    <row r="4338" spans="1:4" x14ac:dyDescent="0.3">
      <c r="A4338" s="830">
        <v>92637</v>
      </c>
      <c r="B4338" s="831" t="s">
        <v>8791</v>
      </c>
      <c r="C4338" s="830" t="s">
        <v>89</v>
      </c>
      <c r="D4338" s="832">
        <v>77.489999999999995</v>
      </c>
    </row>
    <row r="4339" spans="1:4" x14ac:dyDescent="0.3">
      <c r="A4339" s="830">
        <v>92638</v>
      </c>
      <c r="B4339" s="831" t="s">
        <v>8792</v>
      </c>
      <c r="C4339" s="830" t="s">
        <v>89</v>
      </c>
      <c r="D4339" s="832">
        <v>95.04</v>
      </c>
    </row>
    <row r="4340" spans="1:4" x14ac:dyDescent="0.3">
      <c r="A4340" s="830">
        <v>92639</v>
      </c>
      <c r="B4340" s="831" t="s">
        <v>8793</v>
      </c>
      <c r="C4340" s="830" t="s">
        <v>89</v>
      </c>
      <c r="D4340" s="832">
        <v>110.29</v>
      </c>
    </row>
    <row r="4341" spans="1:4" x14ac:dyDescent="0.3">
      <c r="A4341" s="830">
        <v>92640</v>
      </c>
      <c r="B4341" s="831" t="s">
        <v>8794</v>
      </c>
      <c r="C4341" s="830" t="s">
        <v>89</v>
      </c>
      <c r="D4341" s="832">
        <v>144.44</v>
      </c>
    </row>
    <row r="4342" spans="1:4" x14ac:dyDescent="0.3">
      <c r="A4342" s="830">
        <v>92642</v>
      </c>
      <c r="B4342" s="831" t="s">
        <v>8795</v>
      </c>
      <c r="C4342" s="830" t="s">
        <v>89</v>
      </c>
      <c r="D4342" s="832">
        <v>221.14</v>
      </c>
    </row>
    <row r="4343" spans="1:4" x14ac:dyDescent="0.3">
      <c r="A4343" s="830">
        <v>92644</v>
      </c>
      <c r="B4343" s="831" t="s">
        <v>8796</v>
      </c>
      <c r="C4343" s="830" t="s">
        <v>89</v>
      </c>
      <c r="D4343" s="832">
        <v>279.07</v>
      </c>
    </row>
    <row r="4344" spans="1:4" x14ac:dyDescent="0.3">
      <c r="A4344" s="830">
        <v>92657</v>
      </c>
      <c r="B4344" s="831" t="s">
        <v>8797</v>
      </c>
      <c r="C4344" s="830" t="s">
        <v>89</v>
      </c>
      <c r="D4344" s="832">
        <v>29.45</v>
      </c>
    </row>
    <row r="4345" spans="1:4" x14ac:dyDescent="0.3">
      <c r="A4345" s="830">
        <v>92658</v>
      </c>
      <c r="B4345" s="831" t="s">
        <v>8798</v>
      </c>
      <c r="C4345" s="830" t="s">
        <v>89</v>
      </c>
      <c r="D4345" s="832">
        <v>31.51</v>
      </c>
    </row>
    <row r="4346" spans="1:4" x14ac:dyDescent="0.3">
      <c r="A4346" s="830">
        <v>92659</v>
      </c>
      <c r="B4346" s="831" t="s">
        <v>8799</v>
      </c>
      <c r="C4346" s="830" t="s">
        <v>89</v>
      </c>
      <c r="D4346" s="832">
        <v>36.57</v>
      </c>
    </row>
    <row r="4347" spans="1:4" x14ac:dyDescent="0.3">
      <c r="A4347" s="830">
        <v>92660</v>
      </c>
      <c r="B4347" s="831" t="s">
        <v>8800</v>
      </c>
      <c r="C4347" s="830" t="s">
        <v>89</v>
      </c>
      <c r="D4347" s="832">
        <v>38.5</v>
      </c>
    </row>
    <row r="4348" spans="1:4" x14ac:dyDescent="0.3">
      <c r="A4348" s="830">
        <v>92661</v>
      </c>
      <c r="B4348" s="831" t="s">
        <v>8801</v>
      </c>
      <c r="C4348" s="830" t="s">
        <v>89</v>
      </c>
      <c r="D4348" s="832">
        <v>43.91</v>
      </c>
    </row>
    <row r="4349" spans="1:4" x14ac:dyDescent="0.3">
      <c r="A4349" s="830">
        <v>92662</v>
      </c>
      <c r="B4349" s="831" t="s">
        <v>8802</v>
      </c>
      <c r="C4349" s="830" t="s">
        <v>89</v>
      </c>
      <c r="D4349" s="832">
        <v>44.28</v>
      </c>
    </row>
    <row r="4350" spans="1:4" x14ac:dyDescent="0.3">
      <c r="A4350" s="830">
        <v>92663</v>
      </c>
      <c r="B4350" s="831" t="s">
        <v>8803</v>
      </c>
      <c r="C4350" s="830" t="s">
        <v>89</v>
      </c>
      <c r="D4350" s="832">
        <v>59.38</v>
      </c>
    </row>
    <row r="4351" spans="1:4" x14ac:dyDescent="0.3">
      <c r="A4351" s="830">
        <v>92664</v>
      </c>
      <c r="B4351" s="831" t="s">
        <v>8804</v>
      </c>
      <c r="C4351" s="830" t="s">
        <v>89</v>
      </c>
      <c r="D4351" s="832">
        <v>59.35</v>
      </c>
    </row>
    <row r="4352" spans="1:4" x14ac:dyDescent="0.3">
      <c r="A4352" s="830">
        <v>92665</v>
      </c>
      <c r="B4352" s="831" t="s">
        <v>8805</v>
      </c>
      <c r="C4352" s="830" t="s">
        <v>89</v>
      </c>
      <c r="D4352" s="832">
        <v>82.29</v>
      </c>
    </row>
    <row r="4353" spans="1:4" x14ac:dyDescent="0.3">
      <c r="A4353" s="830">
        <v>92666</v>
      </c>
      <c r="B4353" s="831" t="s">
        <v>8806</v>
      </c>
      <c r="C4353" s="830" t="s">
        <v>89</v>
      </c>
      <c r="D4353" s="832">
        <v>93.76</v>
      </c>
    </row>
    <row r="4354" spans="1:4" x14ac:dyDescent="0.3">
      <c r="A4354" s="830">
        <v>92667</v>
      </c>
      <c r="B4354" s="831" t="s">
        <v>8807</v>
      </c>
      <c r="C4354" s="830" t="s">
        <v>89</v>
      </c>
      <c r="D4354" s="832">
        <v>122.04</v>
      </c>
    </row>
    <row r="4355" spans="1:4" x14ac:dyDescent="0.3">
      <c r="A4355" s="830">
        <v>92668</v>
      </c>
      <c r="B4355" s="831" t="s">
        <v>8808</v>
      </c>
      <c r="C4355" s="830" t="s">
        <v>89</v>
      </c>
      <c r="D4355" s="832">
        <v>132.25</v>
      </c>
    </row>
    <row r="4356" spans="1:4" x14ac:dyDescent="0.3">
      <c r="A4356" s="830">
        <v>92669</v>
      </c>
      <c r="B4356" s="831" t="s">
        <v>8809</v>
      </c>
      <c r="C4356" s="830" t="s">
        <v>89</v>
      </c>
      <c r="D4356" s="832">
        <v>44.77</v>
      </c>
    </row>
    <row r="4357" spans="1:4" x14ac:dyDescent="0.3">
      <c r="A4357" s="830">
        <v>92670</v>
      </c>
      <c r="B4357" s="831" t="s">
        <v>8810</v>
      </c>
      <c r="C4357" s="830" t="s">
        <v>89</v>
      </c>
      <c r="D4357" s="832">
        <v>42.03</v>
      </c>
    </row>
    <row r="4358" spans="1:4" x14ac:dyDescent="0.3">
      <c r="A4358" s="830">
        <v>92671</v>
      </c>
      <c r="B4358" s="831" t="s">
        <v>8811</v>
      </c>
      <c r="C4358" s="830" t="s">
        <v>89</v>
      </c>
      <c r="D4358" s="832">
        <v>58.86</v>
      </c>
    </row>
    <row r="4359" spans="1:4" x14ac:dyDescent="0.3">
      <c r="A4359" s="830">
        <v>92672</v>
      </c>
      <c r="B4359" s="831" t="s">
        <v>8812</v>
      </c>
      <c r="C4359" s="830" t="s">
        <v>89</v>
      </c>
      <c r="D4359" s="832">
        <v>53.41</v>
      </c>
    </row>
    <row r="4360" spans="1:4" x14ac:dyDescent="0.3">
      <c r="A4360" s="830">
        <v>92673</v>
      </c>
      <c r="B4360" s="831" t="s">
        <v>8813</v>
      </c>
      <c r="C4360" s="830" t="s">
        <v>89</v>
      </c>
      <c r="D4360" s="832">
        <v>67.78</v>
      </c>
    </row>
    <row r="4361" spans="1:4" x14ac:dyDescent="0.3">
      <c r="A4361" s="830">
        <v>92674</v>
      </c>
      <c r="B4361" s="831" t="s">
        <v>8814</v>
      </c>
      <c r="C4361" s="830" t="s">
        <v>89</v>
      </c>
      <c r="D4361" s="832">
        <v>64.02</v>
      </c>
    </row>
    <row r="4362" spans="1:4" x14ac:dyDescent="0.3">
      <c r="A4362" s="830">
        <v>92675</v>
      </c>
      <c r="B4362" s="831" t="s">
        <v>8815</v>
      </c>
      <c r="C4362" s="830" t="s">
        <v>89</v>
      </c>
      <c r="D4362" s="832">
        <v>88.16</v>
      </c>
    </row>
    <row r="4363" spans="1:4" x14ac:dyDescent="0.3">
      <c r="A4363" s="830">
        <v>92676</v>
      </c>
      <c r="B4363" s="831" t="s">
        <v>8816</v>
      </c>
      <c r="C4363" s="830" t="s">
        <v>89</v>
      </c>
      <c r="D4363" s="832">
        <v>85.61</v>
      </c>
    </row>
    <row r="4364" spans="1:4" x14ac:dyDescent="0.3">
      <c r="A4364" s="830">
        <v>92677</v>
      </c>
      <c r="B4364" s="831" t="s">
        <v>8817</v>
      </c>
      <c r="C4364" s="830" t="s">
        <v>89</v>
      </c>
      <c r="D4364" s="832">
        <v>145.62</v>
      </c>
    </row>
    <row r="4365" spans="1:4" x14ac:dyDescent="0.3">
      <c r="A4365" s="830">
        <v>92678</v>
      </c>
      <c r="B4365" s="831" t="s">
        <v>8818</v>
      </c>
      <c r="C4365" s="830" t="s">
        <v>89</v>
      </c>
      <c r="D4365" s="832">
        <v>134.38999999999999</v>
      </c>
    </row>
    <row r="4366" spans="1:4" x14ac:dyDescent="0.3">
      <c r="A4366" s="830">
        <v>92679</v>
      </c>
      <c r="B4366" s="831" t="s">
        <v>8819</v>
      </c>
      <c r="C4366" s="830" t="s">
        <v>89</v>
      </c>
      <c r="D4366" s="832">
        <v>200.73</v>
      </c>
    </row>
    <row r="4367" spans="1:4" x14ac:dyDescent="0.3">
      <c r="A4367" s="830">
        <v>92680</v>
      </c>
      <c r="B4367" s="831" t="s">
        <v>8820</v>
      </c>
      <c r="C4367" s="830" t="s">
        <v>89</v>
      </c>
      <c r="D4367" s="832">
        <v>179.09</v>
      </c>
    </row>
    <row r="4368" spans="1:4" x14ac:dyDescent="0.3">
      <c r="A4368" s="830">
        <v>92681</v>
      </c>
      <c r="B4368" s="831" t="s">
        <v>8821</v>
      </c>
      <c r="C4368" s="830" t="s">
        <v>89</v>
      </c>
      <c r="D4368" s="832">
        <v>57.04</v>
      </c>
    </row>
    <row r="4369" spans="1:4" x14ac:dyDescent="0.3">
      <c r="A4369" s="830">
        <v>92682</v>
      </c>
      <c r="B4369" s="831" t="s">
        <v>8822</v>
      </c>
      <c r="C4369" s="830" t="s">
        <v>89</v>
      </c>
      <c r="D4369" s="832">
        <v>71.78</v>
      </c>
    </row>
    <row r="4370" spans="1:4" x14ac:dyDescent="0.3">
      <c r="A4370" s="830">
        <v>92683</v>
      </c>
      <c r="B4370" s="831" t="s">
        <v>8823</v>
      </c>
      <c r="C4370" s="830" t="s">
        <v>89</v>
      </c>
      <c r="D4370" s="832">
        <v>83.91</v>
      </c>
    </row>
    <row r="4371" spans="1:4" x14ac:dyDescent="0.3">
      <c r="A4371" s="830">
        <v>92684</v>
      </c>
      <c r="B4371" s="831" t="s">
        <v>8824</v>
      </c>
      <c r="C4371" s="830" t="s">
        <v>89</v>
      </c>
      <c r="D4371" s="832">
        <v>114.05</v>
      </c>
    </row>
    <row r="4372" spans="1:4" x14ac:dyDescent="0.3">
      <c r="A4372" s="830">
        <v>92685</v>
      </c>
      <c r="B4372" s="831" t="s">
        <v>8825</v>
      </c>
      <c r="C4372" s="830" t="s">
        <v>89</v>
      </c>
      <c r="D4372" s="832">
        <v>184.78</v>
      </c>
    </row>
    <row r="4373" spans="1:4" x14ac:dyDescent="0.3">
      <c r="A4373" s="830">
        <v>92686</v>
      </c>
      <c r="B4373" s="831" t="s">
        <v>8826</v>
      </c>
      <c r="C4373" s="830" t="s">
        <v>89</v>
      </c>
      <c r="D4373" s="832">
        <v>236.65</v>
      </c>
    </row>
    <row r="4374" spans="1:4" x14ac:dyDescent="0.3">
      <c r="A4374" s="830">
        <v>92692</v>
      </c>
      <c r="B4374" s="831" t="s">
        <v>8827</v>
      </c>
      <c r="C4374" s="830" t="s">
        <v>89</v>
      </c>
      <c r="D4374" s="832">
        <v>15.82</v>
      </c>
    </row>
    <row r="4375" spans="1:4" x14ac:dyDescent="0.3">
      <c r="A4375" s="830">
        <v>92693</v>
      </c>
      <c r="B4375" s="831" t="s">
        <v>8828</v>
      </c>
      <c r="C4375" s="830" t="s">
        <v>89</v>
      </c>
      <c r="D4375" s="832">
        <v>16.28</v>
      </c>
    </row>
    <row r="4376" spans="1:4" x14ac:dyDescent="0.3">
      <c r="A4376" s="830">
        <v>92694</v>
      </c>
      <c r="B4376" s="831" t="s">
        <v>8829</v>
      </c>
      <c r="C4376" s="830" t="s">
        <v>89</v>
      </c>
      <c r="D4376" s="832">
        <v>25.04</v>
      </c>
    </row>
    <row r="4377" spans="1:4" x14ac:dyDescent="0.3">
      <c r="A4377" s="830">
        <v>92695</v>
      </c>
      <c r="B4377" s="831" t="s">
        <v>8830</v>
      </c>
      <c r="C4377" s="830" t="s">
        <v>89</v>
      </c>
      <c r="D4377" s="832">
        <v>25.5</v>
      </c>
    </row>
    <row r="4378" spans="1:4" x14ac:dyDescent="0.3">
      <c r="A4378" s="830">
        <v>92696</v>
      </c>
      <c r="B4378" s="831" t="s">
        <v>8831</v>
      </c>
      <c r="C4378" s="830" t="s">
        <v>89</v>
      </c>
      <c r="D4378" s="832">
        <v>39.21</v>
      </c>
    </row>
    <row r="4379" spans="1:4" x14ac:dyDescent="0.3">
      <c r="A4379" s="830">
        <v>92697</v>
      </c>
      <c r="B4379" s="831" t="s">
        <v>8832</v>
      </c>
      <c r="C4379" s="830" t="s">
        <v>89</v>
      </c>
      <c r="D4379" s="832">
        <v>41.27</v>
      </c>
    </row>
    <row r="4380" spans="1:4" x14ac:dyDescent="0.3">
      <c r="A4380" s="830">
        <v>92698</v>
      </c>
      <c r="B4380" s="831" t="s">
        <v>8833</v>
      </c>
      <c r="C4380" s="830" t="s">
        <v>89</v>
      </c>
      <c r="D4380" s="832">
        <v>23.4</v>
      </c>
    </row>
    <row r="4381" spans="1:4" x14ac:dyDescent="0.3">
      <c r="A4381" s="830">
        <v>92699</v>
      </c>
      <c r="B4381" s="831" t="s">
        <v>8834</v>
      </c>
      <c r="C4381" s="830" t="s">
        <v>89</v>
      </c>
      <c r="D4381" s="832">
        <v>21.91</v>
      </c>
    </row>
    <row r="4382" spans="1:4" x14ac:dyDescent="0.3">
      <c r="A4382" s="830">
        <v>92700</v>
      </c>
      <c r="B4382" s="831" t="s">
        <v>8835</v>
      </c>
      <c r="C4382" s="830" t="s">
        <v>89</v>
      </c>
      <c r="D4382" s="832">
        <v>38.090000000000003</v>
      </c>
    </row>
    <row r="4383" spans="1:4" x14ac:dyDescent="0.3">
      <c r="A4383" s="830">
        <v>92701</v>
      </c>
      <c r="B4383" s="831" t="s">
        <v>8836</v>
      </c>
      <c r="C4383" s="830" t="s">
        <v>89</v>
      </c>
      <c r="D4383" s="832">
        <v>35.869999999999997</v>
      </c>
    </row>
    <row r="4384" spans="1:4" x14ac:dyDescent="0.3">
      <c r="A4384" s="830">
        <v>92702</v>
      </c>
      <c r="B4384" s="831" t="s">
        <v>8837</v>
      </c>
      <c r="C4384" s="830" t="s">
        <v>89</v>
      </c>
      <c r="D4384" s="832">
        <v>59.5</v>
      </c>
    </row>
    <row r="4385" spans="1:4" x14ac:dyDescent="0.3">
      <c r="A4385" s="830">
        <v>92703</v>
      </c>
      <c r="B4385" s="831" t="s">
        <v>8838</v>
      </c>
      <c r="C4385" s="830" t="s">
        <v>89</v>
      </c>
      <c r="D4385" s="832">
        <v>56.76</v>
      </c>
    </row>
    <row r="4386" spans="1:4" x14ac:dyDescent="0.3">
      <c r="A4386" s="830">
        <v>92704</v>
      </c>
      <c r="B4386" s="831" t="s">
        <v>8839</v>
      </c>
      <c r="C4386" s="830" t="s">
        <v>89</v>
      </c>
      <c r="D4386" s="832">
        <v>29.5</v>
      </c>
    </row>
    <row r="4387" spans="1:4" x14ac:dyDescent="0.3">
      <c r="A4387" s="830">
        <v>92705</v>
      </c>
      <c r="B4387" s="831" t="s">
        <v>8840</v>
      </c>
      <c r="C4387" s="830" t="s">
        <v>89</v>
      </c>
      <c r="D4387" s="832">
        <v>47.39</v>
      </c>
    </row>
    <row r="4388" spans="1:4" x14ac:dyDescent="0.3">
      <c r="A4388" s="830">
        <v>92706</v>
      </c>
      <c r="B4388" s="831" t="s">
        <v>8841</v>
      </c>
      <c r="C4388" s="830" t="s">
        <v>89</v>
      </c>
      <c r="D4388" s="832">
        <v>76.680000000000007</v>
      </c>
    </row>
    <row r="4389" spans="1:4" x14ac:dyDescent="0.3">
      <c r="A4389" s="830">
        <v>92889</v>
      </c>
      <c r="B4389" s="831" t="s">
        <v>8842</v>
      </c>
      <c r="C4389" s="830" t="s">
        <v>89</v>
      </c>
      <c r="D4389" s="832">
        <v>149.12</v>
      </c>
    </row>
    <row r="4390" spans="1:4" x14ac:dyDescent="0.3">
      <c r="A4390" s="830">
        <v>92890</v>
      </c>
      <c r="B4390" s="831" t="s">
        <v>8843</v>
      </c>
      <c r="C4390" s="830" t="s">
        <v>89</v>
      </c>
      <c r="D4390" s="832">
        <v>226.75</v>
      </c>
    </row>
    <row r="4391" spans="1:4" x14ac:dyDescent="0.3">
      <c r="A4391" s="830">
        <v>92891</v>
      </c>
      <c r="B4391" s="831" t="s">
        <v>8844</v>
      </c>
      <c r="C4391" s="830" t="s">
        <v>89</v>
      </c>
      <c r="D4391" s="832">
        <v>333.23</v>
      </c>
    </row>
    <row r="4392" spans="1:4" x14ac:dyDescent="0.3">
      <c r="A4392" s="830">
        <v>92892</v>
      </c>
      <c r="B4392" s="831" t="s">
        <v>8845</v>
      </c>
      <c r="C4392" s="830" t="s">
        <v>89</v>
      </c>
      <c r="D4392" s="832">
        <v>63.88</v>
      </c>
    </row>
    <row r="4393" spans="1:4" x14ac:dyDescent="0.3">
      <c r="A4393" s="830">
        <v>92893</v>
      </c>
      <c r="B4393" s="831" t="s">
        <v>8846</v>
      </c>
      <c r="C4393" s="830" t="s">
        <v>89</v>
      </c>
      <c r="D4393" s="832">
        <v>91.31</v>
      </c>
    </row>
    <row r="4394" spans="1:4" x14ac:dyDescent="0.3">
      <c r="A4394" s="830">
        <v>92894</v>
      </c>
      <c r="B4394" s="831" t="s">
        <v>8847</v>
      </c>
      <c r="C4394" s="830" t="s">
        <v>89</v>
      </c>
      <c r="D4394" s="832">
        <v>109.22</v>
      </c>
    </row>
    <row r="4395" spans="1:4" x14ac:dyDescent="0.3">
      <c r="A4395" s="830">
        <v>92895</v>
      </c>
      <c r="B4395" s="831" t="s">
        <v>8848</v>
      </c>
      <c r="C4395" s="830" t="s">
        <v>89</v>
      </c>
      <c r="D4395" s="832">
        <v>149.06</v>
      </c>
    </row>
    <row r="4396" spans="1:4" x14ac:dyDescent="0.3">
      <c r="A4396" s="830">
        <v>92896</v>
      </c>
      <c r="B4396" s="831" t="s">
        <v>8849</v>
      </c>
      <c r="C4396" s="830" t="s">
        <v>89</v>
      </c>
      <c r="D4396" s="832">
        <v>228.59</v>
      </c>
    </row>
    <row r="4397" spans="1:4" x14ac:dyDescent="0.3">
      <c r="A4397" s="830">
        <v>92897</v>
      </c>
      <c r="B4397" s="831" t="s">
        <v>8850</v>
      </c>
      <c r="C4397" s="830" t="s">
        <v>89</v>
      </c>
      <c r="D4397" s="832">
        <v>337</v>
      </c>
    </row>
    <row r="4398" spans="1:4" x14ac:dyDescent="0.3">
      <c r="A4398" s="830">
        <v>92898</v>
      </c>
      <c r="B4398" s="831" t="s">
        <v>8851</v>
      </c>
      <c r="C4398" s="830" t="s">
        <v>89</v>
      </c>
      <c r="D4398" s="832">
        <v>53.68</v>
      </c>
    </row>
    <row r="4399" spans="1:4" x14ac:dyDescent="0.3">
      <c r="A4399" s="830">
        <v>92899</v>
      </c>
      <c r="B4399" s="831" t="s">
        <v>8852</v>
      </c>
      <c r="C4399" s="830" t="s">
        <v>89</v>
      </c>
      <c r="D4399" s="832">
        <v>79.709999999999994</v>
      </c>
    </row>
    <row r="4400" spans="1:4" x14ac:dyDescent="0.3">
      <c r="A4400" s="830">
        <v>92900</v>
      </c>
      <c r="B4400" s="831" t="s">
        <v>8853</v>
      </c>
      <c r="C4400" s="830" t="s">
        <v>89</v>
      </c>
      <c r="D4400" s="832">
        <v>96</v>
      </c>
    </row>
    <row r="4401" spans="1:4" x14ac:dyDescent="0.3">
      <c r="A4401" s="830">
        <v>92901</v>
      </c>
      <c r="B4401" s="831" t="s">
        <v>8854</v>
      </c>
      <c r="C4401" s="830" t="s">
        <v>89</v>
      </c>
      <c r="D4401" s="832">
        <v>133.84</v>
      </c>
    </row>
    <row r="4402" spans="1:4" x14ac:dyDescent="0.3">
      <c r="A4402" s="830">
        <v>92902</v>
      </c>
      <c r="B4402" s="831" t="s">
        <v>8855</v>
      </c>
      <c r="C4402" s="830" t="s">
        <v>89</v>
      </c>
      <c r="D4402" s="832">
        <v>210.35</v>
      </c>
    </row>
    <row r="4403" spans="1:4" x14ac:dyDescent="0.3">
      <c r="A4403" s="830">
        <v>92903</v>
      </c>
      <c r="B4403" s="831" t="s">
        <v>8856</v>
      </c>
      <c r="C4403" s="830" t="s">
        <v>89</v>
      </c>
      <c r="D4403" s="832">
        <v>315.79000000000002</v>
      </c>
    </row>
    <row r="4404" spans="1:4" x14ac:dyDescent="0.3">
      <c r="A4404" s="830">
        <v>92904</v>
      </c>
      <c r="B4404" s="831" t="s">
        <v>8857</v>
      </c>
      <c r="C4404" s="830" t="s">
        <v>89</v>
      </c>
      <c r="D4404" s="832">
        <v>36.630000000000003</v>
      </c>
    </row>
    <row r="4405" spans="1:4" x14ac:dyDescent="0.3">
      <c r="A4405" s="830">
        <v>92905</v>
      </c>
      <c r="B4405" s="831" t="s">
        <v>8858</v>
      </c>
      <c r="C4405" s="830" t="s">
        <v>89</v>
      </c>
      <c r="D4405" s="832">
        <v>52.2</v>
      </c>
    </row>
    <row r="4406" spans="1:4" x14ac:dyDescent="0.3">
      <c r="A4406" s="830">
        <v>92906</v>
      </c>
      <c r="B4406" s="831" t="s">
        <v>8859</v>
      </c>
      <c r="C4406" s="830" t="s">
        <v>89</v>
      </c>
      <c r="D4406" s="832">
        <v>63.44</v>
      </c>
    </row>
    <row r="4407" spans="1:4" x14ac:dyDescent="0.3">
      <c r="A4407" s="830">
        <v>92907</v>
      </c>
      <c r="B4407" s="831" t="s">
        <v>8860</v>
      </c>
      <c r="C4407" s="830" t="s">
        <v>89</v>
      </c>
      <c r="D4407" s="832">
        <v>78.959999999999994</v>
      </c>
    </row>
    <row r="4408" spans="1:4" x14ac:dyDescent="0.3">
      <c r="A4408" s="830">
        <v>92908</v>
      </c>
      <c r="B4408" s="831" t="s">
        <v>8861</v>
      </c>
      <c r="C4408" s="830" t="s">
        <v>89</v>
      </c>
      <c r="D4408" s="832">
        <v>78.959999999999994</v>
      </c>
    </row>
    <row r="4409" spans="1:4" x14ac:dyDescent="0.3">
      <c r="A4409" s="830">
        <v>92909</v>
      </c>
      <c r="B4409" s="831" t="s">
        <v>8862</v>
      </c>
      <c r="C4409" s="830" t="s">
        <v>89</v>
      </c>
      <c r="D4409" s="832">
        <v>78.959999999999994</v>
      </c>
    </row>
    <row r="4410" spans="1:4" x14ac:dyDescent="0.3">
      <c r="A4410" s="830">
        <v>92910</v>
      </c>
      <c r="B4410" s="831" t="s">
        <v>8863</v>
      </c>
      <c r="C4410" s="830" t="s">
        <v>89</v>
      </c>
      <c r="D4410" s="832">
        <v>115.01</v>
      </c>
    </row>
    <row r="4411" spans="1:4" x14ac:dyDescent="0.3">
      <c r="A4411" s="830">
        <v>92911</v>
      </c>
      <c r="B4411" s="831" t="s">
        <v>8864</v>
      </c>
      <c r="C4411" s="830" t="s">
        <v>89</v>
      </c>
      <c r="D4411" s="832">
        <v>115.01</v>
      </c>
    </row>
    <row r="4412" spans="1:4" x14ac:dyDescent="0.3">
      <c r="A4412" s="830">
        <v>92912</v>
      </c>
      <c r="B4412" s="831" t="s">
        <v>8865</v>
      </c>
      <c r="C4412" s="830" t="s">
        <v>89</v>
      </c>
      <c r="D4412" s="832">
        <v>155</v>
      </c>
    </row>
    <row r="4413" spans="1:4" x14ac:dyDescent="0.3">
      <c r="A4413" s="830">
        <v>92913</v>
      </c>
      <c r="B4413" s="831" t="s">
        <v>8866</v>
      </c>
      <c r="C4413" s="830" t="s">
        <v>89</v>
      </c>
      <c r="D4413" s="832">
        <v>158.15</v>
      </c>
    </row>
    <row r="4414" spans="1:4" x14ac:dyDescent="0.3">
      <c r="A4414" s="830">
        <v>92914</v>
      </c>
      <c r="B4414" s="831" t="s">
        <v>8867</v>
      </c>
      <c r="C4414" s="830" t="s">
        <v>89</v>
      </c>
      <c r="D4414" s="832">
        <v>158.15</v>
      </c>
    </row>
    <row r="4415" spans="1:4" x14ac:dyDescent="0.3">
      <c r="A4415" s="830">
        <v>92918</v>
      </c>
      <c r="B4415" s="831" t="s">
        <v>8868</v>
      </c>
      <c r="C4415" s="830" t="s">
        <v>89</v>
      </c>
      <c r="D4415" s="832">
        <v>41.54</v>
      </c>
    </row>
    <row r="4416" spans="1:4" x14ac:dyDescent="0.3">
      <c r="A4416" s="830">
        <v>92920</v>
      </c>
      <c r="B4416" s="831" t="s">
        <v>8869</v>
      </c>
      <c r="C4416" s="830" t="s">
        <v>89</v>
      </c>
      <c r="D4416" s="832">
        <v>41.83</v>
      </c>
    </row>
    <row r="4417" spans="1:4" x14ac:dyDescent="0.3">
      <c r="A4417" s="830">
        <v>92925</v>
      </c>
      <c r="B4417" s="831" t="s">
        <v>8870</v>
      </c>
      <c r="C4417" s="830" t="s">
        <v>89</v>
      </c>
      <c r="D4417" s="832">
        <v>51.63</v>
      </c>
    </row>
    <row r="4418" spans="1:4" x14ac:dyDescent="0.3">
      <c r="A4418" s="830">
        <v>92926</v>
      </c>
      <c r="B4418" s="831" t="s">
        <v>8871</v>
      </c>
      <c r="C4418" s="830" t="s">
        <v>89</v>
      </c>
      <c r="D4418" s="832">
        <v>51.62</v>
      </c>
    </row>
    <row r="4419" spans="1:4" x14ac:dyDescent="0.3">
      <c r="A4419" s="830">
        <v>92927</v>
      </c>
      <c r="B4419" s="831" t="s">
        <v>8872</v>
      </c>
      <c r="C4419" s="830" t="s">
        <v>89</v>
      </c>
      <c r="D4419" s="832">
        <v>51.62</v>
      </c>
    </row>
    <row r="4420" spans="1:4" x14ac:dyDescent="0.3">
      <c r="A4420" s="830">
        <v>92928</v>
      </c>
      <c r="B4420" s="831" t="s">
        <v>8873</v>
      </c>
      <c r="C4420" s="830" t="s">
        <v>89</v>
      </c>
      <c r="D4420" s="832">
        <v>59.1</v>
      </c>
    </row>
    <row r="4421" spans="1:4" x14ac:dyDescent="0.3">
      <c r="A4421" s="830">
        <v>92929</v>
      </c>
      <c r="B4421" s="831" t="s">
        <v>8874</v>
      </c>
      <c r="C4421" s="830" t="s">
        <v>89</v>
      </c>
      <c r="D4421" s="832">
        <v>59.1</v>
      </c>
    </row>
    <row r="4422" spans="1:4" x14ac:dyDescent="0.3">
      <c r="A4422" s="830">
        <v>92930</v>
      </c>
      <c r="B4422" s="831" t="s">
        <v>8875</v>
      </c>
      <c r="C4422" s="830" t="s">
        <v>89</v>
      </c>
      <c r="D4422" s="832">
        <v>59.1</v>
      </c>
    </row>
    <row r="4423" spans="1:4" x14ac:dyDescent="0.3">
      <c r="A4423" s="830">
        <v>92931</v>
      </c>
      <c r="B4423" s="831" t="s">
        <v>8876</v>
      </c>
      <c r="C4423" s="830" t="s">
        <v>89</v>
      </c>
      <c r="D4423" s="832">
        <v>78.900000000000006</v>
      </c>
    </row>
    <row r="4424" spans="1:4" x14ac:dyDescent="0.3">
      <c r="A4424" s="830">
        <v>92932</v>
      </c>
      <c r="B4424" s="831" t="s">
        <v>8877</v>
      </c>
      <c r="C4424" s="830" t="s">
        <v>89</v>
      </c>
      <c r="D4424" s="832">
        <v>78.900000000000006</v>
      </c>
    </row>
    <row r="4425" spans="1:4" x14ac:dyDescent="0.3">
      <c r="A4425" s="830">
        <v>92933</v>
      </c>
      <c r="B4425" s="831" t="s">
        <v>8878</v>
      </c>
      <c r="C4425" s="830" t="s">
        <v>89</v>
      </c>
      <c r="D4425" s="832">
        <v>78.900000000000006</v>
      </c>
    </row>
    <row r="4426" spans="1:4" x14ac:dyDescent="0.3">
      <c r="A4426" s="830">
        <v>92934</v>
      </c>
      <c r="B4426" s="831" t="s">
        <v>8879</v>
      </c>
      <c r="C4426" s="830" t="s">
        <v>89</v>
      </c>
      <c r="D4426" s="832">
        <v>116.85</v>
      </c>
    </row>
    <row r="4427" spans="1:4" x14ac:dyDescent="0.3">
      <c r="A4427" s="830">
        <v>92935</v>
      </c>
      <c r="B4427" s="831" t="s">
        <v>8880</v>
      </c>
      <c r="C4427" s="830" t="s">
        <v>89</v>
      </c>
      <c r="D4427" s="832">
        <v>116.85</v>
      </c>
    </row>
    <row r="4428" spans="1:4" x14ac:dyDescent="0.3">
      <c r="A4428" s="830">
        <v>92936</v>
      </c>
      <c r="B4428" s="831" t="s">
        <v>8881</v>
      </c>
      <c r="C4428" s="830" t="s">
        <v>89</v>
      </c>
      <c r="D4428" s="832">
        <v>161.91999999999999</v>
      </c>
    </row>
    <row r="4429" spans="1:4" x14ac:dyDescent="0.3">
      <c r="A4429" s="830">
        <v>92937</v>
      </c>
      <c r="B4429" s="831" t="s">
        <v>8882</v>
      </c>
      <c r="C4429" s="830" t="s">
        <v>89</v>
      </c>
      <c r="D4429" s="832">
        <v>161.91999999999999</v>
      </c>
    </row>
    <row r="4430" spans="1:4" x14ac:dyDescent="0.3">
      <c r="A4430" s="830">
        <v>92938</v>
      </c>
      <c r="B4430" s="831" t="s">
        <v>8883</v>
      </c>
      <c r="C4430" s="830" t="s">
        <v>89</v>
      </c>
      <c r="D4430" s="832">
        <v>31.34</v>
      </c>
    </row>
    <row r="4431" spans="1:4" x14ac:dyDescent="0.3">
      <c r="A4431" s="830">
        <v>92939</v>
      </c>
      <c r="B4431" s="831" t="s">
        <v>8884</v>
      </c>
      <c r="C4431" s="830" t="s">
        <v>89</v>
      </c>
      <c r="D4431" s="832">
        <v>31.63</v>
      </c>
    </row>
    <row r="4432" spans="1:4" x14ac:dyDescent="0.3">
      <c r="A4432" s="830">
        <v>92940</v>
      </c>
      <c r="B4432" s="831" t="s">
        <v>8885</v>
      </c>
      <c r="C4432" s="830" t="s">
        <v>89</v>
      </c>
      <c r="D4432" s="832">
        <v>40.03</v>
      </c>
    </row>
    <row r="4433" spans="1:4" x14ac:dyDescent="0.3">
      <c r="A4433" s="830">
        <v>92941</v>
      </c>
      <c r="B4433" s="831" t="s">
        <v>8886</v>
      </c>
      <c r="C4433" s="830" t="s">
        <v>89</v>
      </c>
      <c r="D4433" s="832">
        <v>40.020000000000003</v>
      </c>
    </row>
    <row r="4434" spans="1:4" x14ac:dyDescent="0.3">
      <c r="A4434" s="830">
        <v>92942</v>
      </c>
      <c r="B4434" s="831" t="s">
        <v>8887</v>
      </c>
      <c r="C4434" s="830" t="s">
        <v>89</v>
      </c>
      <c r="D4434" s="832">
        <v>40.020000000000003</v>
      </c>
    </row>
    <row r="4435" spans="1:4" x14ac:dyDescent="0.3">
      <c r="A4435" s="830">
        <v>92943</v>
      </c>
      <c r="B4435" s="831" t="s">
        <v>8888</v>
      </c>
      <c r="C4435" s="830" t="s">
        <v>89</v>
      </c>
      <c r="D4435" s="832">
        <v>45.88</v>
      </c>
    </row>
    <row r="4436" spans="1:4" x14ac:dyDescent="0.3">
      <c r="A4436" s="830">
        <v>92944</v>
      </c>
      <c r="B4436" s="831" t="s">
        <v>8889</v>
      </c>
      <c r="C4436" s="830" t="s">
        <v>89</v>
      </c>
      <c r="D4436" s="832">
        <v>45.88</v>
      </c>
    </row>
    <row r="4437" spans="1:4" x14ac:dyDescent="0.3">
      <c r="A4437" s="830">
        <v>92945</v>
      </c>
      <c r="B4437" s="831" t="s">
        <v>8890</v>
      </c>
      <c r="C4437" s="830" t="s">
        <v>89</v>
      </c>
      <c r="D4437" s="832">
        <v>45.88</v>
      </c>
    </row>
    <row r="4438" spans="1:4" x14ac:dyDescent="0.3">
      <c r="A4438" s="830">
        <v>92946</v>
      </c>
      <c r="B4438" s="831" t="s">
        <v>8891</v>
      </c>
      <c r="C4438" s="830" t="s">
        <v>89</v>
      </c>
      <c r="D4438" s="832">
        <v>63.68</v>
      </c>
    </row>
    <row r="4439" spans="1:4" x14ac:dyDescent="0.3">
      <c r="A4439" s="830">
        <v>92947</v>
      </c>
      <c r="B4439" s="831" t="s">
        <v>8892</v>
      </c>
      <c r="C4439" s="830" t="s">
        <v>89</v>
      </c>
      <c r="D4439" s="832">
        <v>63.68</v>
      </c>
    </row>
    <row r="4440" spans="1:4" x14ac:dyDescent="0.3">
      <c r="A4440" s="830">
        <v>92948</v>
      </c>
      <c r="B4440" s="831" t="s">
        <v>8893</v>
      </c>
      <c r="C4440" s="830" t="s">
        <v>89</v>
      </c>
      <c r="D4440" s="832">
        <v>63.68</v>
      </c>
    </row>
    <row r="4441" spans="1:4" x14ac:dyDescent="0.3">
      <c r="A4441" s="830">
        <v>92949</v>
      </c>
      <c r="B4441" s="831" t="s">
        <v>8894</v>
      </c>
      <c r="C4441" s="830" t="s">
        <v>89</v>
      </c>
      <c r="D4441" s="832">
        <v>98.61</v>
      </c>
    </row>
    <row r="4442" spans="1:4" x14ac:dyDescent="0.3">
      <c r="A4442" s="830">
        <v>92950</v>
      </c>
      <c r="B4442" s="831" t="s">
        <v>8895</v>
      </c>
      <c r="C4442" s="830" t="s">
        <v>89</v>
      </c>
      <c r="D4442" s="832">
        <v>98.61</v>
      </c>
    </row>
    <row r="4443" spans="1:4" x14ac:dyDescent="0.3">
      <c r="A4443" s="830">
        <v>92951</v>
      </c>
      <c r="B4443" s="831" t="s">
        <v>8896</v>
      </c>
      <c r="C4443" s="830" t="s">
        <v>89</v>
      </c>
      <c r="D4443" s="832">
        <v>140.71</v>
      </c>
    </row>
    <row r="4444" spans="1:4" x14ac:dyDescent="0.3">
      <c r="A4444" s="830">
        <v>92952</v>
      </c>
      <c r="B4444" s="831" t="s">
        <v>8897</v>
      </c>
      <c r="C4444" s="830" t="s">
        <v>89</v>
      </c>
      <c r="D4444" s="832">
        <v>140.71</v>
      </c>
    </row>
    <row r="4445" spans="1:4" x14ac:dyDescent="0.3">
      <c r="A4445" s="830">
        <v>92953</v>
      </c>
      <c r="B4445" s="831" t="s">
        <v>8898</v>
      </c>
      <c r="C4445" s="830" t="s">
        <v>89</v>
      </c>
      <c r="D4445" s="832">
        <v>26.99</v>
      </c>
    </row>
    <row r="4446" spans="1:4" x14ac:dyDescent="0.3">
      <c r="A4446" s="830">
        <v>93050</v>
      </c>
      <c r="B4446" s="831" t="s">
        <v>8899</v>
      </c>
      <c r="C4446" s="830" t="s">
        <v>89</v>
      </c>
      <c r="D4446" s="832">
        <v>17.32</v>
      </c>
    </row>
    <row r="4447" spans="1:4" x14ac:dyDescent="0.3">
      <c r="A4447" s="830">
        <v>93052</v>
      </c>
      <c r="B4447" s="831" t="s">
        <v>8900</v>
      </c>
      <c r="C4447" s="830" t="s">
        <v>89</v>
      </c>
      <c r="D4447" s="832">
        <v>879.82</v>
      </c>
    </row>
    <row r="4448" spans="1:4" x14ac:dyDescent="0.3">
      <c r="A4448" s="830">
        <v>93054</v>
      </c>
      <c r="B4448" s="831" t="s">
        <v>8901</v>
      </c>
      <c r="C4448" s="830" t="s">
        <v>89</v>
      </c>
      <c r="D4448" s="832">
        <v>35.479999999999997</v>
      </c>
    </row>
    <row r="4449" spans="1:4" x14ac:dyDescent="0.3">
      <c r="A4449" s="830">
        <v>93055</v>
      </c>
      <c r="B4449" s="831" t="s">
        <v>8902</v>
      </c>
      <c r="C4449" s="830" t="s">
        <v>89</v>
      </c>
      <c r="D4449" s="832">
        <v>74.44</v>
      </c>
    </row>
    <row r="4450" spans="1:4" x14ac:dyDescent="0.3">
      <c r="A4450" s="830">
        <v>93056</v>
      </c>
      <c r="B4450" s="831" t="s">
        <v>8903</v>
      </c>
      <c r="C4450" s="830" t="s">
        <v>89</v>
      </c>
      <c r="D4450" s="832">
        <v>26.26</v>
      </c>
    </row>
    <row r="4451" spans="1:4" x14ac:dyDescent="0.3">
      <c r="A4451" s="830">
        <v>93057</v>
      </c>
      <c r="B4451" s="831" t="s">
        <v>8904</v>
      </c>
      <c r="C4451" s="830" t="s">
        <v>89</v>
      </c>
      <c r="D4451" s="832">
        <v>21.7</v>
      </c>
    </row>
    <row r="4452" spans="1:4" x14ac:dyDescent="0.3">
      <c r="A4452" s="830">
        <v>93058</v>
      </c>
      <c r="B4452" s="831" t="s">
        <v>8905</v>
      </c>
      <c r="C4452" s="830" t="s">
        <v>89</v>
      </c>
      <c r="D4452" s="832">
        <v>967.57</v>
      </c>
    </row>
    <row r="4453" spans="1:4" x14ac:dyDescent="0.3">
      <c r="A4453" s="830">
        <v>93059</v>
      </c>
      <c r="B4453" s="831" t="s">
        <v>8906</v>
      </c>
      <c r="C4453" s="830" t="s">
        <v>89</v>
      </c>
      <c r="D4453" s="832">
        <v>47.43</v>
      </c>
    </row>
    <row r="4454" spans="1:4" x14ac:dyDescent="0.3">
      <c r="A4454" s="830">
        <v>93060</v>
      </c>
      <c r="B4454" s="831" t="s">
        <v>8907</v>
      </c>
      <c r="C4454" s="830" t="s">
        <v>89</v>
      </c>
      <c r="D4454" s="832">
        <v>131.29</v>
      </c>
    </row>
    <row r="4455" spans="1:4" x14ac:dyDescent="0.3">
      <c r="A4455" s="830">
        <v>93061</v>
      </c>
      <c r="B4455" s="831" t="s">
        <v>8908</v>
      </c>
      <c r="C4455" s="830" t="s">
        <v>89</v>
      </c>
      <c r="D4455" s="832">
        <v>51.25</v>
      </c>
    </row>
    <row r="4456" spans="1:4" x14ac:dyDescent="0.3">
      <c r="A4456" s="830">
        <v>93062</v>
      </c>
      <c r="B4456" s="831" t="s">
        <v>8909</v>
      </c>
      <c r="C4456" s="830" t="s">
        <v>89</v>
      </c>
      <c r="D4456" s="832">
        <v>43.07</v>
      </c>
    </row>
    <row r="4457" spans="1:4" x14ac:dyDescent="0.3">
      <c r="A4457" s="830">
        <v>93063</v>
      </c>
      <c r="B4457" s="831" t="s">
        <v>8910</v>
      </c>
      <c r="C4457" s="830" t="s">
        <v>89</v>
      </c>
      <c r="D4457" s="832">
        <v>1108.49</v>
      </c>
    </row>
    <row r="4458" spans="1:4" x14ac:dyDescent="0.3">
      <c r="A4458" s="830">
        <v>93064</v>
      </c>
      <c r="B4458" s="831" t="s">
        <v>8911</v>
      </c>
      <c r="C4458" s="830" t="s">
        <v>89</v>
      </c>
      <c r="D4458" s="832">
        <v>79.61</v>
      </c>
    </row>
    <row r="4459" spans="1:4" x14ac:dyDescent="0.3">
      <c r="A4459" s="830">
        <v>93065</v>
      </c>
      <c r="B4459" s="831" t="s">
        <v>8912</v>
      </c>
      <c r="C4459" s="830" t="s">
        <v>89</v>
      </c>
      <c r="D4459" s="832">
        <v>71.44</v>
      </c>
    </row>
    <row r="4460" spans="1:4" x14ac:dyDescent="0.3">
      <c r="A4460" s="830">
        <v>93066</v>
      </c>
      <c r="B4460" s="831" t="s">
        <v>8913</v>
      </c>
      <c r="C4460" s="830" t="s">
        <v>89</v>
      </c>
      <c r="D4460" s="832">
        <v>1391.24</v>
      </c>
    </row>
    <row r="4461" spans="1:4" x14ac:dyDescent="0.3">
      <c r="A4461" s="830">
        <v>93067</v>
      </c>
      <c r="B4461" s="831" t="s">
        <v>8914</v>
      </c>
      <c r="C4461" s="830" t="s">
        <v>89</v>
      </c>
      <c r="D4461" s="832">
        <v>119.08</v>
      </c>
    </row>
    <row r="4462" spans="1:4" x14ac:dyDescent="0.3">
      <c r="A4462" s="830">
        <v>93068</v>
      </c>
      <c r="B4462" s="831" t="s">
        <v>8915</v>
      </c>
      <c r="C4462" s="830" t="s">
        <v>89</v>
      </c>
      <c r="D4462" s="832">
        <v>101.1</v>
      </c>
    </row>
    <row r="4463" spans="1:4" x14ac:dyDescent="0.3">
      <c r="A4463" s="830">
        <v>93069</v>
      </c>
      <c r="B4463" s="831" t="s">
        <v>8916</v>
      </c>
      <c r="C4463" s="830" t="s">
        <v>89</v>
      </c>
      <c r="D4463" s="832">
        <v>1928.79</v>
      </c>
    </row>
    <row r="4464" spans="1:4" x14ac:dyDescent="0.3">
      <c r="A4464" s="830">
        <v>93070</v>
      </c>
      <c r="B4464" s="831" t="s">
        <v>8917</v>
      </c>
      <c r="C4464" s="830" t="s">
        <v>89</v>
      </c>
      <c r="D4464" s="832">
        <v>306.54000000000002</v>
      </c>
    </row>
    <row r="4465" spans="1:4" x14ac:dyDescent="0.3">
      <c r="A4465" s="830">
        <v>93071</v>
      </c>
      <c r="B4465" s="831" t="s">
        <v>8918</v>
      </c>
      <c r="C4465" s="830" t="s">
        <v>89</v>
      </c>
      <c r="D4465" s="832">
        <v>281.88</v>
      </c>
    </row>
    <row r="4466" spans="1:4" x14ac:dyDescent="0.3">
      <c r="A4466" s="830">
        <v>93072</v>
      </c>
      <c r="B4466" s="831" t="s">
        <v>8919</v>
      </c>
      <c r="C4466" s="830" t="s">
        <v>89</v>
      </c>
      <c r="D4466" s="832">
        <v>2545.92</v>
      </c>
    </row>
    <row r="4467" spans="1:4" x14ac:dyDescent="0.3">
      <c r="A4467" s="830">
        <v>93074</v>
      </c>
      <c r="B4467" s="831" t="s">
        <v>8920</v>
      </c>
      <c r="C4467" s="830" t="s">
        <v>89</v>
      </c>
      <c r="D4467" s="832">
        <v>18.29</v>
      </c>
    </row>
    <row r="4468" spans="1:4" x14ac:dyDescent="0.3">
      <c r="A4468" s="830">
        <v>93075</v>
      </c>
      <c r="B4468" s="831" t="s">
        <v>8921</v>
      </c>
      <c r="C4468" s="830" t="s">
        <v>89</v>
      </c>
      <c r="D4468" s="832">
        <v>30.11</v>
      </c>
    </row>
    <row r="4469" spans="1:4" x14ac:dyDescent="0.3">
      <c r="A4469" s="830">
        <v>93076</v>
      </c>
      <c r="B4469" s="831" t="s">
        <v>8922</v>
      </c>
      <c r="C4469" s="830" t="s">
        <v>89</v>
      </c>
      <c r="D4469" s="832">
        <v>31.12</v>
      </c>
    </row>
    <row r="4470" spans="1:4" x14ac:dyDescent="0.3">
      <c r="A4470" s="830">
        <v>93077</v>
      </c>
      <c r="B4470" s="831" t="s">
        <v>8923</v>
      </c>
      <c r="C4470" s="830" t="s">
        <v>89</v>
      </c>
      <c r="D4470" s="832">
        <v>43.62</v>
      </c>
    </row>
    <row r="4471" spans="1:4" x14ac:dyDescent="0.3">
      <c r="A4471" s="830">
        <v>93078</v>
      </c>
      <c r="B4471" s="831" t="s">
        <v>8924</v>
      </c>
      <c r="C4471" s="830" t="s">
        <v>89</v>
      </c>
      <c r="D4471" s="832">
        <v>48.98</v>
      </c>
    </row>
    <row r="4472" spans="1:4" x14ac:dyDescent="0.3">
      <c r="A4472" s="830">
        <v>93079</v>
      </c>
      <c r="B4472" s="831" t="s">
        <v>8925</v>
      </c>
      <c r="C4472" s="830" t="s">
        <v>89</v>
      </c>
      <c r="D4472" s="832">
        <v>44.66</v>
      </c>
    </row>
    <row r="4473" spans="1:4" x14ac:dyDescent="0.3">
      <c r="A4473" s="830">
        <v>93080</v>
      </c>
      <c r="B4473" s="831" t="s">
        <v>8926</v>
      </c>
      <c r="C4473" s="830" t="s">
        <v>89</v>
      </c>
      <c r="D4473" s="832">
        <v>11.82</v>
      </c>
    </row>
    <row r="4474" spans="1:4" x14ac:dyDescent="0.3">
      <c r="A4474" s="830">
        <v>93081</v>
      </c>
      <c r="B4474" s="831" t="s">
        <v>8927</v>
      </c>
      <c r="C4474" s="830" t="s">
        <v>89</v>
      </c>
      <c r="D4474" s="832">
        <v>28.94</v>
      </c>
    </row>
    <row r="4475" spans="1:4" x14ac:dyDescent="0.3">
      <c r="A4475" s="830">
        <v>93082</v>
      </c>
      <c r="B4475" s="831" t="s">
        <v>8928</v>
      </c>
      <c r="C4475" s="830" t="s">
        <v>89</v>
      </c>
      <c r="D4475" s="832">
        <v>37.81</v>
      </c>
    </row>
    <row r="4476" spans="1:4" x14ac:dyDescent="0.3">
      <c r="A4476" s="830">
        <v>93083</v>
      </c>
      <c r="B4476" s="831" t="s">
        <v>8929</v>
      </c>
      <c r="C4476" s="830" t="s">
        <v>89</v>
      </c>
      <c r="D4476" s="832">
        <v>760.46</v>
      </c>
    </row>
    <row r="4477" spans="1:4" x14ac:dyDescent="0.3">
      <c r="A4477" s="830">
        <v>93084</v>
      </c>
      <c r="B4477" s="831" t="s">
        <v>8930</v>
      </c>
      <c r="C4477" s="830" t="s">
        <v>89</v>
      </c>
      <c r="D4477" s="832">
        <v>20.36</v>
      </c>
    </row>
    <row r="4478" spans="1:4" x14ac:dyDescent="0.3">
      <c r="A4478" s="830">
        <v>93085</v>
      </c>
      <c r="B4478" s="831" t="s">
        <v>8931</v>
      </c>
      <c r="C4478" s="830" t="s">
        <v>89</v>
      </c>
      <c r="D4478" s="832">
        <v>20.79</v>
      </c>
    </row>
    <row r="4479" spans="1:4" x14ac:dyDescent="0.3">
      <c r="A4479" s="830">
        <v>93086</v>
      </c>
      <c r="B4479" s="831" t="s">
        <v>8932</v>
      </c>
      <c r="C4479" s="830" t="s">
        <v>89</v>
      </c>
      <c r="D4479" s="832">
        <v>882.86</v>
      </c>
    </row>
    <row r="4480" spans="1:4" x14ac:dyDescent="0.3">
      <c r="A4480" s="830">
        <v>93087</v>
      </c>
      <c r="B4480" s="831" t="s">
        <v>8933</v>
      </c>
      <c r="C4480" s="830" t="s">
        <v>89</v>
      </c>
      <c r="D4480" s="832">
        <v>30.21</v>
      </c>
    </row>
    <row r="4481" spans="1:4" x14ac:dyDescent="0.3">
      <c r="A4481" s="830">
        <v>93088</v>
      </c>
      <c r="B4481" s="831" t="s">
        <v>8934</v>
      </c>
      <c r="C4481" s="830" t="s">
        <v>89</v>
      </c>
      <c r="D4481" s="832">
        <v>37.520000000000003</v>
      </c>
    </row>
    <row r="4482" spans="1:4" x14ac:dyDescent="0.3">
      <c r="A4482" s="830">
        <v>93089</v>
      </c>
      <c r="B4482" s="831" t="s">
        <v>8935</v>
      </c>
      <c r="C4482" s="830" t="s">
        <v>89</v>
      </c>
      <c r="D4482" s="832">
        <v>77.48</v>
      </c>
    </row>
    <row r="4483" spans="1:4" x14ac:dyDescent="0.3">
      <c r="A4483" s="830">
        <v>93090</v>
      </c>
      <c r="B4483" s="831" t="s">
        <v>8936</v>
      </c>
      <c r="C4483" s="830" t="s">
        <v>89</v>
      </c>
      <c r="D4483" s="832">
        <v>29.07</v>
      </c>
    </row>
    <row r="4484" spans="1:4" x14ac:dyDescent="0.3">
      <c r="A4484" s="830">
        <v>93091</v>
      </c>
      <c r="B4484" s="831" t="s">
        <v>8937</v>
      </c>
      <c r="C4484" s="830" t="s">
        <v>89</v>
      </c>
      <c r="D4484" s="832">
        <v>24.64</v>
      </c>
    </row>
    <row r="4485" spans="1:4" x14ac:dyDescent="0.3">
      <c r="A4485" s="830">
        <v>93092</v>
      </c>
      <c r="B4485" s="831" t="s">
        <v>8938</v>
      </c>
      <c r="C4485" s="830" t="s">
        <v>89</v>
      </c>
      <c r="D4485" s="832">
        <v>970.38</v>
      </c>
    </row>
    <row r="4486" spans="1:4" x14ac:dyDescent="0.3">
      <c r="A4486" s="830">
        <v>93093</v>
      </c>
      <c r="B4486" s="831" t="s">
        <v>8939</v>
      </c>
      <c r="C4486" s="830" t="s">
        <v>89</v>
      </c>
      <c r="D4486" s="832">
        <v>48.83</v>
      </c>
    </row>
    <row r="4487" spans="1:4" x14ac:dyDescent="0.3">
      <c r="A4487" s="830">
        <v>93094</v>
      </c>
      <c r="B4487" s="831" t="s">
        <v>8940</v>
      </c>
      <c r="C4487" s="830" t="s">
        <v>89</v>
      </c>
      <c r="D4487" s="832">
        <v>134.1</v>
      </c>
    </row>
    <row r="4488" spans="1:4" x14ac:dyDescent="0.3">
      <c r="A4488" s="830">
        <v>93097</v>
      </c>
      <c r="B4488" s="831" t="s">
        <v>8941</v>
      </c>
      <c r="C4488" s="830" t="s">
        <v>89</v>
      </c>
      <c r="D4488" s="832">
        <v>18.579999999999998</v>
      </c>
    </row>
    <row r="4489" spans="1:4" x14ac:dyDescent="0.3">
      <c r="A4489" s="830">
        <v>93098</v>
      </c>
      <c r="B4489" s="831" t="s">
        <v>8942</v>
      </c>
      <c r="C4489" s="830" t="s">
        <v>89</v>
      </c>
      <c r="D4489" s="832">
        <v>30.26</v>
      </c>
    </row>
    <row r="4490" spans="1:4" x14ac:dyDescent="0.3">
      <c r="A4490" s="830">
        <v>93099</v>
      </c>
      <c r="B4490" s="831" t="s">
        <v>8943</v>
      </c>
      <c r="C4490" s="830" t="s">
        <v>89</v>
      </c>
      <c r="D4490" s="832">
        <v>34.49</v>
      </c>
    </row>
    <row r="4491" spans="1:4" x14ac:dyDescent="0.3">
      <c r="A4491" s="830">
        <v>93100</v>
      </c>
      <c r="B4491" s="831" t="s">
        <v>8944</v>
      </c>
      <c r="C4491" s="830" t="s">
        <v>89</v>
      </c>
      <c r="D4491" s="832">
        <v>45.31</v>
      </c>
    </row>
    <row r="4492" spans="1:4" x14ac:dyDescent="0.3">
      <c r="A4492" s="830">
        <v>93101</v>
      </c>
      <c r="B4492" s="831" t="s">
        <v>8945</v>
      </c>
      <c r="C4492" s="830" t="s">
        <v>89</v>
      </c>
      <c r="D4492" s="832">
        <v>50.67</v>
      </c>
    </row>
    <row r="4493" spans="1:4" x14ac:dyDescent="0.3">
      <c r="A4493" s="830">
        <v>93102</v>
      </c>
      <c r="B4493" s="831" t="s">
        <v>8946</v>
      </c>
      <c r="C4493" s="830" t="s">
        <v>89</v>
      </c>
      <c r="D4493" s="832">
        <v>50.67</v>
      </c>
    </row>
    <row r="4494" spans="1:4" x14ac:dyDescent="0.3">
      <c r="A4494" s="830">
        <v>93103</v>
      </c>
      <c r="B4494" s="831" t="s">
        <v>8947</v>
      </c>
      <c r="C4494" s="830" t="s">
        <v>89</v>
      </c>
      <c r="D4494" s="832">
        <v>12.01</v>
      </c>
    </row>
    <row r="4495" spans="1:4" x14ac:dyDescent="0.3">
      <c r="A4495" s="830">
        <v>93104</v>
      </c>
      <c r="B4495" s="831" t="s">
        <v>8948</v>
      </c>
      <c r="C4495" s="830" t="s">
        <v>89</v>
      </c>
      <c r="D4495" s="832">
        <v>29.04</v>
      </c>
    </row>
    <row r="4496" spans="1:4" x14ac:dyDescent="0.3">
      <c r="A4496" s="830">
        <v>93105</v>
      </c>
      <c r="B4496" s="831" t="s">
        <v>8949</v>
      </c>
      <c r="C4496" s="830" t="s">
        <v>89</v>
      </c>
      <c r="D4496" s="832">
        <v>38</v>
      </c>
    </row>
    <row r="4497" spans="1:4" x14ac:dyDescent="0.3">
      <c r="A4497" s="830">
        <v>93106</v>
      </c>
      <c r="B4497" s="831" t="s">
        <v>8950</v>
      </c>
      <c r="C4497" s="830" t="s">
        <v>89</v>
      </c>
      <c r="D4497" s="832">
        <v>760.65</v>
      </c>
    </row>
    <row r="4498" spans="1:4" x14ac:dyDescent="0.3">
      <c r="A4498" s="830">
        <v>93107</v>
      </c>
      <c r="B4498" s="831" t="s">
        <v>8951</v>
      </c>
      <c r="C4498" s="830" t="s">
        <v>89</v>
      </c>
      <c r="D4498" s="832">
        <v>22.62</v>
      </c>
    </row>
    <row r="4499" spans="1:4" x14ac:dyDescent="0.3">
      <c r="A4499" s="830">
        <v>93108</v>
      </c>
      <c r="B4499" s="831" t="s">
        <v>8952</v>
      </c>
      <c r="C4499" s="830" t="s">
        <v>89</v>
      </c>
      <c r="D4499" s="832">
        <v>19.12</v>
      </c>
    </row>
    <row r="4500" spans="1:4" x14ac:dyDescent="0.3">
      <c r="A4500" s="830">
        <v>93109</v>
      </c>
      <c r="B4500" s="831" t="s">
        <v>8953</v>
      </c>
      <c r="C4500" s="830" t="s">
        <v>89</v>
      </c>
      <c r="D4500" s="832">
        <v>885.12</v>
      </c>
    </row>
    <row r="4501" spans="1:4" x14ac:dyDescent="0.3">
      <c r="A4501" s="830">
        <v>93110</v>
      </c>
      <c r="B4501" s="831" t="s">
        <v>8954</v>
      </c>
      <c r="C4501" s="830" t="s">
        <v>89</v>
      </c>
      <c r="D4501" s="832">
        <v>31.35</v>
      </c>
    </row>
    <row r="4502" spans="1:4" x14ac:dyDescent="0.3">
      <c r="A4502" s="830">
        <v>93111</v>
      </c>
      <c r="B4502" s="831" t="s">
        <v>8955</v>
      </c>
      <c r="C4502" s="830" t="s">
        <v>89</v>
      </c>
      <c r="D4502" s="832">
        <v>38.130000000000003</v>
      </c>
    </row>
    <row r="4503" spans="1:4" x14ac:dyDescent="0.3">
      <c r="A4503" s="830">
        <v>93112</v>
      </c>
      <c r="B4503" s="831" t="s">
        <v>8956</v>
      </c>
      <c r="C4503" s="830" t="s">
        <v>89</v>
      </c>
      <c r="D4503" s="832">
        <v>79.739999999999995</v>
      </c>
    </row>
    <row r="4504" spans="1:4" x14ac:dyDescent="0.3">
      <c r="A4504" s="830">
        <v>93113</v>
      </c>
      <c r="B4504" s="831" t="s">
        <v>8957</v>
      </c>
      <c r="C4504" s="830" t="s">
        <v>89</v>
      </c>
      <c r="D4504" s="832">
        <v>33.1</v>
      </c>
    </row>
    <row r="4505" spans="1:4" x14ac:dyDescent="0.3">
      <c r="A4505" s="830">
        <v>93114</v>
      </c>
      <c r="B4505" s="831" t="s">
        <v>8958</v>
      </c>
      <c r="C4505" s="830" t="s">
        <v>89</v>
      </c>
      <c r="D4505" s="832">
        <v>50.84</v>
      </c>
    </row>
    <row r="4506" spans="1:4" x14ac:dyDescent="0.3">
      <c r="A4506" s="830">
        <v>93115</v>
      </c>
      <c r="B4506" s="831" t="s">
        <v>8959</v>
      </c>
      <c r="C4506" s="830" t="s">
        <v>89</v>
      </c>
      <c r="D4506" s="832">
        <v>138.13</v>
      </c>
    </row>
    <row r="4507" spans="1:4" x14ac:dyDescent="0.3">
      <c r="A4507" s="830">
        <v>93116</v>
      </c>
      <c r="B4507" s="831" t="s">
        <v>8960</v>
      </c>
      <c r="C4507" s="830" t="s">
        <v>89</v>
      </c>
      <c r="D4507" s="832">
        <v>974.41</v>
      </c>
    </row>
    <row r="4508" spans="1:4" x14ac:dyDescent="0.3">
      <c r="A4508" s="830">
        <v>93117</v>
      </c>
      <c r="B4508" s="831" t="s">
        <v>8961</v>
      </c>
      <c r="C4508" s="830" t="s">
        <v>89</v>
      </c>
      <c r="D4508" s="832">
        <v>94.28</v>
      </c>
    </row>
    <row r="4509" spans="1:4" x14ac:dyDescent="0.3">
      <c r="A4509" s="830">
        <v>93118</v>
      </c>
      <c r="B4509" s="831" t="s">
        <v>8962</v>
      </c>
      <c r="C4509" s="830" t="s">
        <v>89</v>
      </c>
      <c r="D4509" s="832">
        <v>138.78</v>
      </c>
    </row>
    <row r="4510" spans="1:4" x14ac:dyDescent="0.3">
      <c r="A4510" s="830">
        <v>93119</v>
      </c>
      <c r="B4510" s="831" t="s">
        <v>8963</v>
      </c>
      <c r="C4510" s="830" t="s">
        <v>89</v>
      </c>
      <c r="D4510" s="832">
        <v>26.58</v>
      </c>
    </row>
    <row r="4511" spans="1:4" x14ac:dyDescent="0.3">
      <c r="A4511" s="830">
        <v>93120</v>
      </c>
      <c r="B4511" s="831" t="s">
        <v>8964</v>
      </c>
      <c r="C4511" s="830" t="s">
        <v>89</v>
      </c>
      <c r="D4511" s="832">
        <v>41.36</v>
      </c>
    </row>
    <row r="4512" spans="1:4" x14ac:dyDescent="0.3">
      <c r="A4512" s="830">
        <v>93121</v>
      </c>
      <c r="B4512" s="831" t="s">
        <v>8965</v>
      </c>
      <c r="C4512" s="830" t="s">
        <v>89</v>
      </c>
      <c r="D4512" s="832">
        <v>46.72</v>
      </c>
    </row>
    <row r="4513" spans="1:4" x14ac:dyDescent="0.3">
      <c r="A4513" s="830">
        <v>93122</v>
      </c>
      <c r="B4513" s="831" t="s">
        <v>8966</v>
      </c>
      <c r="C4513" s="830" t="s">
        <v>89</v>
      </c>
      <c r="D4513" s="832">
        <v>40.47</v>
      </c>
    </row>
    <row r="4514" spans="1:4" x14ac:dyDescent="0.3">
      <c r="A4514" s="830">
        <v>93123</v>
      </c>
      <c r="B4514" s="831" t="s">
        <v>8967</v>
      </c>
      <c r="C4514" s="830" t="s">
        <v>89</v>
      </c>
      <c r="D4514" s="832">
        <v>93.6</v>
      </c>
    </row>
    <row r="4515" spans="1:4" x14ac:dyDescent="0.3">
      <c r="A4515" s="830">
        <v>93124</v>
      </c>
      <c r="B4515" s="831" t="s">
        <v>8968</v>
      </c>
      <c r="C4515" s="830" t="s">
        <v>89</v>
      </c>
      <c r="D4515" s="832">
        <v>148.52000000000001</v>
      </c>
    </row>
    <row r="4516" spans="1:4" x14ac:dyDescent="0.3">
      <c r="A4516" s="830">
        <v>93125</v>
      </c>
      <c r="B4516" s="831" t="s">
        <v>8969</v>
      </c>
      <c r="C4516" s="830" t="s">
        <v>89</v>
      </c>
      <c r="D4516" s="832">
        <v>219.29</v>
      </c>
    </row>
    <row r="4517" spans="1:4" x14ac:dyDescent="0.3">
      <c r="A4517" s="830">
        <v>93126</v>
      </c>
      <c r="B4517" s="831" t="s">
        <v>8970</v>
      </c>
      <c r="C4517" s="830" t="s">
        <v>89</v>
      </c>
      <c r="D4517" s="832">
        <v>491.16</v>
      </c>
    </row>
    <row r="4518" spans="1:4" x14ac:dyDescent="0.3">
      <c r="A4518" s="830">
        <v>93133</v>
      </c>
      <c r="B4518" s="831" t="s">
        <v>8971</v>
      </c>
      <c r="C4518" s="830" t="s">
        <v>89</v>
      </c>
      <c r="D4518" s="832">
        <v>27.78</v>
      </c>
    </row>
    <row r="4519" spans="1:4" x14ac:dyDescent="0.3">
      <c r="A4519" s="830">
        <v>94465</v>
      </c>
      <c r="B4519" s="831" t="s">
        <v>8972</v>
      </c>
      <c r="C4519" s="830" t="s">
        <v>89</v>
      </c>
      <c r="D4519" s="832">
        <v>56.7</v>
      </c>
    </row>
    <row r="4520" spans="1:4" x14ac:dyDescent="0.3">
      <c r="A4520" s="830">
        <v>94466</v>
      </c>
      <c r="B4520" s="831" t="s">
        <v>8973</v>
      </c>
      <c r="C4520" s="830" t="s">
        <v>89</v>
      </c>
      <c r="D4520" s="832">
        <v>56.73</v>
      </c>
    </row>
    <row r="4521" spans="1:4" x14ac:dyDescent="0.3">
      <c r="A4521" s="830">
        <v>94467</v>
      </c>
      <c r="B4521" s="831" t="s">
        <v>8974</v>
      </c>
      <c r="C4521" s="830" t="s">
        <v>89</v>
      </c>
      <c r="D4521" s="832">
        <v>92.03</v>
      </c>
    </row>
    <row r="4522" spans="1:4" x14ac:dyDescent="0.3">
      <c r="A4522" s="830">
        <v>94468</v>
      </c>
      <c r="B4522" s="831" t="s">
        <v>8975</v>
      </c>
      <c r="C4522" s="830" t="s">
        <v>89</v>
      </c>
      <c r="D4522" s="832">
        <v>80.56</v>
      </c>
    </row>
    <row r="4523" spans="1:4" x14ac:dyDescent="0.3">
      <c r="A4523" s="830">
        <v>94469</v>
      </c>
      <c r="B4523" s="831" t="s">
        <v>8976</v>
      </c>
      <c r="C4523" s="830" t="s">
        <v>89</v>
      </c>
      <c r="D4523" s="832">
        <v>132.1</v>
      </c>
    </row>
    <row r="4524" spans="1:4" x14ac:dyDescent="0.3">
      <c r="A4524" s="830">
        <v>94470</v>
      </c>
      <c r="B4524" s="831" t="s">
        <v>8977</v>
      </c>
      <c r="C4524" s="830" t="s">
        <v>89</v>
      </c>
      <c r="D4524" s="832">
        <v>121.89</v>
      </c>
    </row>
    <row r="4525" spans="1:4" x14ac:dyDescent="0.3">
      <c r="A4525" s="830">
        <v>94471</v>
      </c>
      <c r="B4525" s="831" t="s">
        <v>8978</v>
      </c>
      <c r="C4525" s="830" t="s">
        <v>89</v>
      </c>
      <c r="D4525" s="832">
        <v>81.64</v>
      </c>
    </row>
    <row r="4526" spans="1:4" x14ac:dyDescent="0.3">
      <c r="A4526" s="830">
        <v>94472</v>
      </c>
      <c r="B4526" s="831" t="s">
        <v>8979</v>
      </c>
      <c r="C4526" s="830" t="s">
        <v>89</v>
      </c>
      <c r="D4526" s="832">
        <v>84.19</v>
      </c>
    </row>
    <row r="4527" spans="1:4" x14ac:dyDescent="0.3">
      <c r="A4527" s="830">
        <v>94473</v>
      </c>
      <c r="B4527" s="831" t="s">
        <v>8980</v>
      </c>
      <c r="C4527" s="830" t="s">
        <v>89</v>
      </c>
      <c r="D4527" s="832">
        <v>131.75</v>
      </c>
    </row>
    <row r="4528" spans="1:4" x14ac:dyDescent="0.3">
      <c r="A4528" s="830">
        <v>94474</v>
      </c>
      <c r="B4528" s="831" t="s">
        <v>8981</v>
      </c>
      <c r="C4528" s="830" t="s">
        <v>89</v>
      </c>
      <c r="D4528" s="832">
        <v>142.97999999999999</v>
      </c>
    </row>
    <row r="4529" spans="1:4" x14ac:dyDescent="0.3">
      <c r="A4529" s="830">
        <v>94475</v>
      </c>
      <c r="B4529" s="831" t="s">
        <v>8982</v>
      </c>
      <c r="C4529" s="830" t="s">
        <v>89</v>
      </c>
      <c r="D4529" s="832">
        <v>178.82</v>
      </c>
    </row>
    <row r="4530" spans="1:4" x14ac:dyDescent="0.3">
      <c r="A4530" s="830">
        <v>94476</v>
      </c>
      <c r="B4530" s="831" t="s">
        <v>8983</v>
      </c>
      <c r="C4530" s="830" t="s">
        <v>89</v>
      </c>
      <c r="D4530" s="832">
        <v>200.46</v>
      </c>
    </row>
    <row r="4531" spans="1:4" x14ac:dyDescent="0.3">
      <c r="A4531" s="830">
        <v>94477</v>
      </c>
      <c r="B4531" s="831" t="s">
        <v>8984</v>
      </c>
      <c r="C4531" s="830" t="s">
        <v>89</v>
      </c>
      <c r="D4531" s="832">
        <v>108.76</v>
      </c>
    </row>
    <row r="4532" spans="1:4" x14ac:dyDescent="0.3">
      <c r="A4532" s="830">
        <v>94478</v>
      </c>
      <c r="B4532" s="831" t="s">
        <v>8985</v>
      </c>
      <c r="C4532" s="830" t="s">
        <v>89</v>
      </c>
      <c r="D4532" s="832">
        <v>181.26</v>
      </c>
    </row>
    <row r="4533" spans="1:4" x14ac:dyDescent="0.3">
      <c r="A4533" s="830">
        <v>94479</v>
      </c>
      <c r="B4533" s="831" t="s">
        <v>8986</v>
      </c>
      <c r="C4533" s="830" t="s">
        <v>89</v>
      </c>
      <c r="D4533" s="832">
        <v>236.29</v>
      </c>
    </row>
    <row r="4534" spans="1:4" x14ac:dyDescent="0.3">
      <c r="A4534" s="830">
        <v>94606</v>
      </c>
      <c r="B4534" s="831" t="s">
        <v>8987</v>
      </c>
      <c r="C4534" s="830" t="s">
        <v>89</v>
      </c>
      <c r="D4534" s="832">
        <v>120.25</v>
      </c>
    </row>
    <row r="4535" spans="1:4" x14ac:dyDescent="0.3">
      <c r="A4535" s="830">
        <v>94608</v>
      </c>
      <c r="B4535" s="831" t="s">
        <v>8988</v>
      </c>
      <c r="C4535" s="830" t="s">
        <v>89</v>
      </c>
      <c r="D4535" s="832">
        <v>319.43</v>
      </c>
    </row>
    <row r="4536" spans="1:4" x14ac:dyDescent="0.3">
      <c r="A4536" s="830">
        <v>94610</v>
      </c>
      <c r="B4536" s="831" t="s">
        <v>8989</v>
      </c>
      <c r="C4536" s="830" t="s">
        <v>89</v>
      </c>
      <c r="D4536" s="832">
        <v>472.64</v>
      </c>
    </row>
    <row r="4537" spans="1:4" x14ac:dyDescent="0.3">
      <c r="A4537" s="830">
        <v>94612</v>
      </c>
      <c r="B4537" s="831" t="s">
        <v>8990</v>
      </c>
      <c r="C4537" s="830" t="s">
        <v>89</v>
      </c>
      <c r="D4537" s="832">
        <v>676.3</v>
      </c>
    </row>
    <row r="4538" spans="1:4" x14ac:dyDescent="0.3">
      <c r="A4538" s="830">
        <v>94614</v>
      </c>
      <c r="B4538" s="831" t="s">
        <v>8991</v>
      </c>
      <c r="C4538" s="830" t="s">
        <v>89</v>
      </c>
      <c r="D4538" s="832">
        <v>207.8</v>
      </c>
    </row>
    <row r="4539" spans="1:4" x14ac:dyDescent="0.3">
      <c r="A4539" s="830">
        <v>94615</v>
      </c>
      <c r="B4539" s="831" t="s">
        <v>8992</v>
      </c>
      <c r="C4539" s="830" t="s">
        <v>89</v>
      </c>
      <c r="D4539" s="832">
        <v>238.44</v>
      </c>
    </row>
    <row r="4540" spans="1:4" x14ac:dyDescent="0.3">
      <c r="A4540" s="830">
        <v>94616</v>
      </c>
      <c r="B4540" s="831" t="s">
        <v>8993</v>
      </c>
      <c r="C4540" s="830" t="s">
        <v>89</v>
      </c>
      <c r="D4540" s="832">
        <v>614.95000000000005</v>
      </c>
    </row>
    <row r="4541" spans="1:4" x14ac:dyDescent="0.3">
      <c r="A4541" s="830">
        <v>94617</v>
      </c>
      <c r="B4541" s="831" t="s">
        <v>8994</v>
      </c>
      <c r="C4541" s="830" t="s">
        <v>89</v>
      </c>
      <c r="D4541" s="832">
        <v>508.42</v>
      </c>
    </row>
    <row r="4542" spans="1:4" x14ac:dyDescent="0.3">
      <c r="A4542" s="830">
        <v>94618</v>
      </c>
      <c r="B4542" s="831" t="s">
        <v>8995</v>
      </c>
      <c r="C4542" s="830" t="s">
        <v>89</v>
      </c>
      <c r="D4542" s="832">
        <v>596.33000000000004</v>
      </c>
    </row>
    <row r="4543" spans="1:4" x14ac:dyDescent="0.3">
      <c r="A4543" s="830">
        <v>94620</v>
      </c>
      <c r="B4543" s="831" t="s">
        <v>8996</v>
      </c>
      <c r="C4543" s="830" t="s">
        <v>89</v>
      </c>
      <c r="D4543" s="832">
        <v>1400.82</v>
      </c>
    </row>
    <row r="4544" spans="1:4" x14ac:dyDescent="0.3">
      <c r="A4544" s="830">
        <v>94622</v>
      </c>
      <c r="B4544" s="831" t="s">
        <v>8997</v>
      </c>
      <c r="C4544" s="830" t="s">
        <v>89</v>
      </c>
      <c r="D4544" s="832">
        <v>305.39999999999998</v>
      </c>
    </row>
    <row r="4545" spans="1:4" x14ac:dyDescent="0.3">
      <c r="A4545" s="830">
        <v>94623</v>
      </c>
      <c r="B4545" s="831" t="s">
        <v>8998</v>
      </c>
      <c r="C4545" s="830" t="s">
        <v>89</v>
      </c>
      <c r="D4545" s="832">
        <v>759.77</v>
      </c>
    </row>
    <row r="4546" spans="1:4" x14ac:dyDescent="0.3">
      <c r="A4546" s="830">
        <v>94624</v>
      </c>
      <c r="B4546" s="831" t="s">
        <v>8999</v>
      </c>
      <c r="C4546" s="830" t="s">
        <v>89</v>
      </c>
      <c r="D4546" s="832">
        <v>1156.23</v>
      </c>
    </row>
    <row r="4547" spans="1:4" x14ac:dyDescent="0.3">
      <c r="A4547" s="830">
        <v>94625</v>
      </c>
      <c r="B4547" s="831" t="s">
        <v>9000</v>
      </c>
      <c r="C4547" s="830" t="s">
        <v>89</v>
      </c>
      <c r="D4547" s="832">
        <v>2448.87</v>
      </c>
    </row>
    <row r="4548" spans="1:4" x14ac:dyDescent="0.3">
      <c r="A4548" s="830">
        <v>94656</v>
      </c>
      <c r="B4548" s="831" t="s">
        <v>9001</v>
      </c>
      <c r="C4548" s="830" t="s">
        <v>89</v>
      </c>
      <c r="D4548" s="832">
        <v>3.63</v>
      </c>
    </row>
    <row r="4549" spans="1:4" x14ac:dyDescent="0.3">
      <c r="A4549" s="830">
        <v>94657</v>
      </c>
      <c r="B4549" s="831" t="s">
        <v>9002</v>
      </c>
      <c r="C4549" s="830" t="s">
        <v>89</v>
      </c>
      <c r="D4549" s="832">
        <v>4.08</v>
      </c>
    </row>
    <row r="4550" spans="1:4" x14ac:dyDescent="0.3">
      <c r="A4550" s="830">
        <v>94658</v>
      </c>
      <c r="B4550" s="831" t="s">
        <v>9003</v>
      </c>
      <c r="C4550" s="830" t="s">
        <v>89</v>
      </c>
      <c r="D4550" s="832">
        <v>5.42</v>
      </c>
    </row>
    <row r="4551" spans="1:4" x14ac:dyDescent="0.3">
      <c r="A4551" s="830">
        <v>94659</v>
      </c>
      <c r="B4551" s="831" t="s">
        <v>9004</v>
      </c>
      <c r="C4551" s="830" t="s">
        <v>89</v>
      </c>
      <c r="D4551" s="832">
        <v>6.34</v>
      </c>
    </row>
    <row r="4552" spans="1:4" x14ac:dyDescent="0.3">
      <c r="A4552" s="830">
        <v>94660</v>
      </c>
      <c r="B4552" s="831" t="s">
        <v>9005</v>
      </c>
      <c r="C4552" s="830" t="s">
        <v>89</v>
      </c>
      <c r="D4552" s="832">
        <v>8.59</v>
      </c>
    </row>
    <row r="4553" spans="1:4" x14ac:dyDescent="0.3">
      <c r="A4553" s="830">
        <v>94661</v>
      </c>
      <c r="B4553" s="831" t="s">
        <v>9006</v>
      </c>
      <c r="C4553" s="830" t="s">
        <v>89</v>
      </c>
      <c r="D4553" s="832">
        <v>10.06</v>
      </c>
    </row>
    <row r="4554" spans="1:4" x14ac:dyDescent="0.3">
      <c r="A4554" s="830">
        <v>94662</v>
      </c>
      <c r="B4554" s="831" t="s">
        <v>9007</v>
      </c>
      <c r="C4554" s="830" t="s">
        <v>89</v>
      </c>
      <c r="D4554" s="832">
        <v>11.3</v>
      </c>
    </row>
    <row r="4555" spans="1:4" x14ac:dyDescent="0.3">
      <c r="A4555" s="830">
        <v>94663</v>
      </c>
      <c r="B4555" s="831" t="s">
        <v>9008</v>
      </c>
      <c r="C4555" s="830" t="s">
        <v>89</v>
      </c>
      <c r="D4555" s="832">
        <v>12.58</v>
      </c>
    </row>
    <row r="4556" spans="1:4" x14ac:dyDescent="0.3">
      <c r="A4556" s="830">
        <v>94664</v>
      </c>
      <c r="B4556" s="831" t="s">
        <v>9009</v>
      </c>
      <c r="C4556" s="830" t="s">
        <v>89</v>
      </c>
      <c r="D4556" s="832">
        <v>20.58</v>
      </c>
    </row>
    <row r="4557" spans="1:4" x14ac:dyDescent="0.3">
      <c r="A4557" s="830">
        <v>94665</v>
      </c>
      <c r="B4557" s="831" t="s">
        <v>9010</v>
      </c>
      <c r="C4557" s="830" t="s">
        <v>89</v>
      </c>
      <c r="D4557" s="832">
        <v>24.7</v>
      </c>
    </row>
    <row r="4558" spans="1:4" x14ac:dyDescent="0.3">
      <c r="A4558" s="830">
        <v>94666</v>
      </c>
      <c r="B4558" s="831" t="s">
        <v>9011</v>
      </c>
      <c r="C4558" s="830" t="s">
        <v>89</v>
      </c>
      <c r="D4558" s="832">
        <v>33.450000000000003</v>
      </c>
    </row>
    <row r="4559" spans="1:4" x14ac:dyDescent="0.3">
      <c r="A4559" s="830">
        <v>94667</v>
      </c>
      <c r="B4559" s="831" t="s">
        <v>9012</v>
      </c>
      <c r="C4559" s="830" t="s">
        <v>89</v>
      </c>
      <c r="D4559" s="832">
        <v>36.35</v>
      </c>
    </row>
    <row r="4560" spans="1:4" x14ac:dyDescent="0.3">
      <c r="A4560" s="830">
        <v>94668</v>
      </c>
      <c r="B4560" s="831" t="s">
        <v>9013</v>
      </c>
      <c r="C4560" s="830" t="s">
        <v>89</v>
      </c>
      <c r="D4560" s="832">
        <v>44.45</v>
      </c>
    </row>
    <row r="4561" spans="1:4" x14ac:dyDescent="0.3">
      <c r="A4561" s="830">
        <v>94669</v>
      </c>
      <c r="B4561" s="831" t="s">
        <v>9014</v>
      </c>
      <c r="C4561" s="830" t="s">
        <v>89</v>
      </c>
      <c r="D4561" s="832">
        <v>65.760000000000005</v>
      </c>
    </row>
    <row r="4562" spans="1:4" x14ac:dyDescent="0.3">
      <c r="A4562" s="830">
        <v>94670</v>
      </c>
      <c r="B4562" s="831" t="s">
        <v>9015</v>
      </c>
      <c r="C4562" s="830" t="s">
        <v>89</v>
      </c>
      <c r="D4562" s="832">
        <v>70.67</v>
      </c>
    </row>
    <row r="4563" spans="1:4" x14ac:dyDescent="0.3">
      <c r="A4563" s="830">
        <v>94671</v>
      </c>
      <c r="B4563" s="831" t="s">
        <v>9016</v>
      </c>
      <c r="C4563" s="830" t="s">
        <v>89</v>
      </c>
      <c r="D4563" s="832">
        <v>107.93</v>
      </c>
    </row>
    <row r="4564" spans="1:4" x14ac:dyDescent="0.3">
      <c r="A4564" s="830">
        <v>94672</v>
      </c>
      <c r="B4564" s="831" t="s">
        <v>9017</v>
      </c>
      <c r="C4564" s="830" t="s">
        <v>89</v>
      </c>
      <c r="D4564" s="832">
        <v>6.27</v>
      </c>
    </row>
    <row r="4565" spans="1:4" x14ac:dyDescent="0.3">
      <c r="A4565" s="830">
        <v>94673</v>
      </c>
      <c r="B4565" s="831" t="s">
        <v>9018</v>
      </c>
      <c r="C4565" s="830" t="s">
        <v>89</v>
      </c>
      <c r="D4565" s="832">
        <v>7.38</v>
      </c>
    </row>
    <row r="4566" spans="1:4" x14ac:dyDescent="0.3">
      <c r="A4566" s="830">
        <v>94674</v>
      </c>
      <c r="B4566" s="831" t="s">
        <v>9019</v>
      </c>
      <c r="C4566" s="830" t="s">
        <v>89</v>
      </c>
      <c r="D4566" s="832">
        <v>8.14</v>
      </c>
    </row>
    <row r="4567" spans="1:4" x14ac:dyDescent="0.3">
      <c r="A4567" s="830">
        <v>94675</v>
      </c>
      <c r="B4567" s="831" t="s">
        <v>9020</v>
      </c>
      <c r="C4567" s="830" t="s">
        <v>89</v>
      </c>
      <c r="D4567" s="832">
        <v>12.34</v>
      </c>
    </row>
    <row r="4568" spans="1:4" x14ac:dyDescent="0.3">
      <c r="A4568" s="830">
        <v>94676</v>
      </c>
      <c r="B4568" s="831" t="s">
        <v>9021</v>
      </c>
      <c r="C4568" s="830" t="s">
        <v>89</v>
      </c>
      <c r="D4568" s="832">
        <v>13.57</v>
      </c>
    </row>
    <row r="4569" spans="1:4" x14ac:dyDescent="0.3">
      <c r="A4569" s="830">
        <v>94677</v>
      </c>
      <c r="B4569" s="831" t="s">
        <v>9022</v>
      </c>
      <c r="C4569" s="830" t="s">
        <v>89</v>
      </c>
      <c r="D4569" s="832">
        <v>19.95</v>
      </c>
    </row>
    <row r="4570" spans="1:4" x14ac:dyDescent="0.3">
      <c r="A4570" s="830">
        <v>94678</v>
      </c>
      <c r="B4570" s="831" t="s">
        <v>9023</v>
      </c>
      <c r="C4570" s="830" t="s">
        <v>89</v>
      </c>
      <c r="D4570" s="832">
        <v>15.76</v>
      </c>
    </row>
    <row r="4571" spans="1:4" x14ac:dyDescent="0.3">
      <c r="A4571" s="830">
        <v>94679</v>
      </c>
      <c r="B4571" s="831" t="s">
        <v>9024</v>
      </c>
      <c r="C4571" s="830" t="s">
        <v>89</v>
      </c>
      <c r="D4571" s="832">
        <v>24.15</v>
      </c>
    </row>
    <row r="4572" spans="1:4" x14ac:dyDescent="0.3">
      <c r="A4572" s="830">
        <v>94680</v>
      </c>
      <c r="B4572" s="831" t="s">
        <v>9025</v>
      </c>
      <c r="C4572" s="830" t="s">
        <v>89</v>
      </c>
      <c r="D4572" s="832">
        <v>44.35</v>
      </c>
    </row>
    <row r="4573" spans="1:4" x14ac:dyDescent="0.3">
      <c r="A4573" s="830">
        <v>94681</v>
      </c>
      <c r="B4573" s="831" t="s">
        <v>9026</v>
      </c>
      <c r="C4573" s="830" t="s">
        <v>89</v>
      </c>
      <c r="D4573" s="832">
        <v>49.72</v>
      </c>
    </row>
    <row r="4574" spans="1:4" x14ac:dyDescent="0.3">
      <c r="A4574" s="830">
        <v>94682</v>
      </c>
      <c r="B4574" s="831" t="s">
        <v>9027</v>
      </c>
      <c r="C4574" s="830" t="s">
        <v>89</v>
      </c>
      <c r="D4574" s="832">
        <v>109.98</v>
      </c>
    </row>
    <row r="4575" spans="1:4" x14ac:dyDescent="0.3">
      <c r="A4575" s="830">
        <v>94683</v>
      </c>
      <c r="B4575" s="831" t="s">
        <v>9028</v>
      </c>
      <c r="C4575" s="830" t="s">
        <v>89</v>
      </c>
      <c r="D4575" s="832">
        <v>75.55</v>
      </c>
    </row>
    <row r="4576" spans="1:4" x14ac:dyDescent="0.3">
      <c r="A4576" s="830">
        <v>94684</v>
      </c>
      <c r="B4576" s="831" t="s">
        <v>9029</v>
      </c>
      <c r="C4576" s="830" t="s">
        <v>89</v>
      </c>
      <c r="D4576" s="832">
        <v>132.72</v>
      </c>
    </row>
    <row r="4577" spans="1:4" x14ac:dyDescent="0.3">
      <c r="A4577" s="830">
        <v>94685</v>
      </c>
      <c r="B4577" s="831" t="s">
        <v>9030</v>
      </c>
      <c r="C4577" s="830" t="s">
        <v>89</v>
      </c>
      <c r="D4577" s="832">
        <v>96.23</v>
      </c>
    </row>
    <row r="4578" spans="1:4" x14ac:dyDescent="0.3">
      <c r="A4578" s="830">
        <v>94686</v>
      </c>
      <c r="B4578" s="831" t="s">
        <v>9031</v>
      </c>
      <c r="C4578" s="830" t="s">
        <v>89</v>
      </c>
      <c r="D4578" s="832">
        <v>256.04000000000002</v>
      </c>
    </row>
    <row r="4579" spans="1:4" x14ac:dyDescent="0.3">
      <c r="A4579" s="830">
        <v>94687</v>
      </c>
      <c r="B4579" s="831" t="s">
        <v>9032</v>
      </c>
      <c r="C4579" s="830" t="s">
        <v>89</v>
      </c>
      <c r="D4579" s="832">
        <v>231.82</v>
      </c>
    </row>
    <row r="4580" spans="1:4" x14ac:dyDescent="0.3">
      <c r="A4580" s="830">
        <v>94688</v>
      </c>
      <c r="B4580" s="831" t="s">
        <v>9033</v>
      </c>
      <c r="C4580" s="830" t="s">
        <v>89</v>
      </c>
      <c r="D4580" s="832">
        <v>7.14</v>
      </c>
    </row>
    <row r="4581" spans="1:4" x14ac:dyDescent="0.3">
      <c r="A4581" s="830">
        <v>94689</v>
      </c>
      <c r="B4581" s="831" t="s">
        <v>9034</v>
      </c>
      <c r="C4581" s="830" t="s">
        <v>89</v>
      </c>
      <c r="D4581" s="832">
        <v>9.7799999999999994</v>
      </c>
    </row>
    <row r="4582" spans="1:4" x14ac:dyDescent="0.3">
      <c r="A4582" s="830">
        <v>94690</v>
      </c>
      <c r="B4582" s="831" t="s">
        <v>9035</v>
      </c>
      <c r="C4582" s="830" t="s">
        <v>89</v>
      </c>
      <c r="D4582" s="832">
        <v>11.69</v>
      </c>
    </row>
    <row r="4583" spans="1:4" x14ac:dyDescent="0.3">
      <c r="A4583" s="830">
        <v>94691</v>
      </c>
      <c r="B4583" s="831" t="s">
        <v>9036</v>
      </c>
      <c r="C4583" s="830" t="s">
        <v>89</v>
      </c>
      <c r="D4583" s="832">
        <v>14.02</v>
      </c>
    </row>
    <row r="4584" spans="1:4" x14ac:dyDescent="0.3">
      <c r="A4584" s="830">
        <v>94692</v>
      </c>
      <c r="B4584" s="831" t="s">
        <v>9037</v>
      </c>
      <c r="C4584" s="830" t="s">
        <v>89</v>
      </c>
      <c r="D4584" s="832">
        <v>19.84</v>
      </c>
    </row>
    <row r="4585" spans="1:4" x14ac:dyDescent="0.3">
      <c r="A4585" s="830">
        <v>94693</v>
      </c>
      <c r="B4585" s="831" t="s">
        <v>9038</v>
      </c>
      <c r="C4585" s="830" t="s">
        <v>89</v>
      </c>
      <c r="D4585" s="832">
        <v>18.350000000000001</v>
      </c>
    </row>
    <row r="4586" spans="1:4" x14ac:dyDescent="0.3">
      <c r="A4586" s="830">
        <v>94694</v>
      </c>
      <c r="B4586" s="831" t="s">
        <v>9039</v>
      </c>
      <c r="C4586" s="830" t="s">
        <v>89</v>
      </c>
      <c r="D4586" s="832">
        <v>24.64</v>
      </c>
    </row>
    <row r="4587" spans="1:4" x14ac:dyDescent="0.3">
      <c r="A4587" s="830">
        <v>94695</v>
      </c>
      <c r="B4587" s="831" t="s">
        <v>9040</v>
      </c>
      <c r="C4587" s="830" t="s">
        <v>89</v>
      </c>
      <c r="D4587" s="832">
        <v>31.98</v>
      </c>
    </row>
    <row r="4588" spans="1:4" x14ac:dyDescent="0.3">
      <c r="A4588" s="830">
        <v>94696</v>
      </c>
      <c r="B4588" s="831" t="s">
        <v>9041</v>
      </c>
      <c r="C4588" s="830" t="s">
        <v>89</v>
      </c>
      <c r="D4588" s="832">
        <v>51.85</v>
      </c>
    </row>
    <row r="4589" spans="1:4" x14ac:dyDescent="0.3">
      <c r="A4589" s="830">
        <v>94697</v>
      </c>
      <c r="B4589" s="831" t="s">
        <v>9042</v>
      </c>
      <c r="C4589" s="830" t="s">
        <v>89</v>
      </c>
      <c r="D4589" s="832">
        <v>88.84</v>
      </c>
    </row>
    <row r="4590" spans="1:4" x14ac:dyDescent="0.3">
      <c r="A4590" s="830">
        <v>94698</v>
      </c>
      <c r="B4590" s="831" t="s">
        <v>9043</v>
      </c>
      <c r="C4590" s="830" t="s">
        <v>89</v>
      </c>
      <c r="D4590" s="832">
        <v>68.599999999999994</v>
      </c>
    </row>
    <row r="4591" spans="1:4" x14ac:dyDescent="0.3">
      <c r="A4591" s="830">
        <v>94699</v>
      </c>
      <c r="B4591" s="831" t="s">
        <v>9044</v>
      </c>
      <c r="C4591" s="830" t="s">
        <v>89</v>
      </c>
      <c r="D4591" s="832">
        <v>117.73</v>
      </c>
    </row>
    <row r="4592" spans="1:4" x14ac:dyDescent="0.3">
      <c r="A4592" s="830">
        <v>94700</v>
      </c>
      <c r="B4592" s="831" t="s">
        <v>9045</v>
      </c>
      <c r="C4592" s="830" t="s">
        <v>89</v>
      </c>
      <c r="D4592" s="832">
        <v>133.34</v>
      </c>
    </row>
    <row r="4593" spans="1:4" x14ac:dyDescent="0.3">
      <c r="A4593" s="830">
        <v>94701</v>
      </c>
      <c r="B4593" s="831" t="s">
        <v>9046</v>
      </c>
      <c r="C4593" s="830" t="s">
        <v>89</v>
      </c>
      <c r="D4593" s="832">
        <v>230.38</v>
      </c>
    </row>
    <row r="4594" spans="1:4" x14ac:dyDescent="0.3">
      <c r="A4594" s="830">
        <v>94702</v>
      </c>
      <c r="B4594" s="831" t="s">
        <v>9047</v>
      </c>
      <c r="C4594" s="830" t="s">
        <v>89</v>
      </c>
      <c r="D4594" s="832">
        <v>192.01</v>
      </c>
    </row>
    <row r="4595" spans="1:4" x14ac:dyDescent="0.3">
      <c r="A4595" s="830">
        <v>94703</v>
      </c>
      <c r="B4595" s="831" t="s">
        <v>9048</v>
      </c>
      <c r="C4595" s="830" t="s">
        <v>89</v>
      </c>
      <c r="D4595" s="832">
        <v>20.62</v>
      </c>
    </row>
    <row r="4596" spans="1:4" x14ac:dyDescent="0.3">
      <c r="A4596" s="830">
        <v>94704</v>
      </c>
      <c r="B4596" s="831" t="s">
        <v>9049</v>
      </c>
      <c r="C4596" s="830" t="s">
        <v>89</v>
      </c>
      <c r="D4596" s="832">
        <v>27.5</v>
      </c>
    </row>
    <row r="4597" spans="1:4" x14ac:dyDescent="0.3">
      <c r="A4597" s="830">
        <v>94705</v>
      </c>
      <c r="B4597" s="831" t="s">
        <v>9050</v>
      </c>
      <c r="C4597" s="830" t="s">
        <v>89</v>
      </c>
      <c r="D4597" s="832">
        <v>37.58</v>
      </c>
    </row>
    <row r="4598" spans="1:4" x14ac:dyDescent="0.3">
      <c r="A4598" s="830">
        <v>94706</v>
      </c>
      <c r="B4598" s="831" t="s">
        <v>9051</v>
      </c>
      <c r="C4598" s="830" t="s">
        <v>89</v>
      </c>
      <c r="D4598" s="832">
        <v>36.76</v>
      </c>
    </row>
    <row r="4599" spans="1:4" x14ac:dyDescent="0.3">
      <c r="A4599" s="830">
        <v>94707</v>
      </c>
      <c r="B4599" s="831" t="s">
        <v>9052</v>
      </c>
      <c r="C4599" s="830" t="s">
        <v>89</v>
      </c>
      <c r="D4599" s="832">
        <v>57.99</v>
      </c>
    </row>
    <row r="4600" spans="1:4" x14ac:dyDescent="0.3">
      <c r="A4600" s="830">
        <v>94713</v>
      </c>
      <c r="B4600" s="831" t="s">
        <v>9053</v>
      </c>
      <c r="C4600" s="830" t="s">
        <v>89</v>
      </c>
      <c r="D4600" s="832">
        <v>240.35</v>
      </c>
    </row>
    <row r="4601" spans="1:4" x14ac:dyDescent="0.3">
      <c r="A4601" s="830">
        <v>94714</v>
      </c>
      <c r="B4601" s="831" t="s">
        <v>9054</v>
      </c>
      <c r="C4601" s="830" t="s">
        <v>89</v>
      </c>
      <c r="D4601" s="832">
        <v>337.28</v>
      </c>
    </row>
    <row r="4602" spans="1:4" x14ac:dyDescent="0.3">
      <c r="A4602" s="830">
        <v>94715</v>
      </c>
      <c r="B4602" s="831" t="s">
        <v>9055</v>
      </c>
      <c r="C4602" s="830" t="s">
        <v>89</v>
      </c>
      <c r="D4602" s="832">
        <v>299.95</v>
      </c>
    </row>
    <row r="4603" spans="1:4" x14ac:dyDescent="0.3">
      <c r="A4603" s="830">
        <v>94724</v>
      </c>
      <c r="B4603" s="831" t="s">
        <v>9056</v>
      </c>
      <c r="C4603" s="830" t="s">
        <v>89</v>
      </c>
      <c r="D4603" s="832">
        <v>26</v>
      </c>
    </row>
    <row r="4604" spans="1:4" x14ac:dyDescent="0.3">
      <c r="A4604" s="830">
        <v>94725</v>
      </c>
      <c r="B4604" s="831" t="s">
        <v>9057</v>
      </c>
      <c r="C4604" s="830" t="s">
        <v>89</v>
      </c>
      <c r="D4604" s="832">
        <v>7.22</v>
      </c>
    </row>
    <row r="4605" spans="1:4" x14ac:dyDescent="0.3">
      <c r="A4605" s="830">
        <v>94726</v>
      </c>
      <c r="B4605" s="831" t="s">
        <v>9058</v>
      </c>
      <c r="C4605" s="830" t="s">
        <v>89</v>
      </c>
      <c r="D4605" s="832">
        <v>33.53</v>
      </c>
    </row>
    <row r="4606" spans="1:4" x14ac:dyDescent="0.3">
      <c r="A4606" s="830">
        <v>94727</v>
      </c>
      <c r="B4606" s="831" t="s">
        <v>9059</v>
      </c>
      <c r="C4606" s="830" t="s">
        <v>89</v>
      </c>
      <c r="D4606" s="832">
        <v>11.69</v>
      </c>
    </row>
    <row r="4607" spans="1:4" x14ac:dyDescent="0.3">
      <c r="A4607" s="830">
        <v>94728</v>
      </c>
      <c r="B4607" s="831" t="s">
        <v>9060</v>
      </c>
      <c r="C4607" s="830" t="s">
        <v>89</v>
      </c>
      <c r="D4607" s="832">
        <v>52.24</v>
      </c>
    </row>
    <row r="4608" spans="1:4" x14ac:dyDescent="0.3">
      <c r="A4608" s="830">
        <v>94729</v>
      </c>
      <c r="B4608" s="831" t="s">
        <v>9061</v>
      </c>
      <c r="C4608" s="830" t="s">
        <v>89</v>
      </c>
      <c r="D4608" s="832">
        <v>20.04</v>
      </c>
    </row>
    <row r="4609" spans="1:4" x14ac:dyDescent="0.3">
      <c r="A4609" s="830">
        <v>94730</v>
      </c>
      <c r="B4609" s="831" t="s">
        <v>9062</v>
      </c>
      <c r="C4609" s="830" t="s">
        <v>89</v>
      </c>
      <c r="D4609" s="832">
        <v>64.06</v>
      </c>
    </row>
    <row r="4610" spans="1:4" x14ac:dyDescent="0.3">
      <c r="A4610" s="830">
        <v>94731</v>
      </c>
      <c r="B4610" s="831" t="s">
        <v>9063</v>
      </c>
      <c r="C4610" s="830" t="s">
        <v>89</v>
      </c>
      <c r="D4610" s="832">
        <v>26.53</v>
      </c>
    </row>
    <row r="4611" spans="1:4" x14ac:dyDescent="0.3">
      <c r="A4611" s="830">
        <v>94732</v>
      </c>
      <c r="B4611" s="831" t="s">
        <v>9064</v>
      </c>
      <c r="C4611" s="830" t="s">
        <v>89</v>
      </c>
      <c r="D4611" s="832">
        <v>102.65</v>
      </c>
    </row>
    <row r="4612" spans="1:4" x14ac:dyDescent="0.3">
      <c r="A4612" s="830">
        <v>94733</v>
      </c>
      <c r="B4612" s="831" t="s">
        <v>9065</v>
      </c>
      <c r="C4612" s="830" t="s">
        <v>89</v>
      </c>
      <c r="D4612" s="832">
        <v>46.32</v>
      </c>
    </row>
    <row r="4613" spans="1:4" x14ac:dyDescent="0.3">
      <c r="A4613" s="830">
        <v>94734</v>
      </c>
      <c r="B4613" s="831" t="s">
        <v>9066</v>
      </c>
      <c r="C4613" s="830" t="s">
        <v>89</v>
      </c>
      <c r="D4613" s="832">
        <v>373.34</v>
      </c>
    </row>
    <row r="4614" spans="1:4" x14ac:dyDescent="0.3">
      <c r="A4614" s="830">
        <v>94736</v>
      </c>
      <c r="B4614" s="831" t="s">
        <v>9067</v>
      </c>
      <c r="C4614" s="830" t="s">
        <v>89</v>
      </c>
      <c r="D4614" s="832">
        <v>542.88</v>
      </c>
    </row>
    <row r="4615" spans="1:4" x14ac:dyDescent="0.3">
      <c r="A4615" s="830">
        <v>94737</v>
      </c>
      <c r="B4615" s="831" t="s">
        <v>9068</v>
      </c>
      <c r="C4615" s="830" t="s">
        <v>89</v>
      </c>
      <c r="D4615" s="832">
        <v>190.43</v>
      </c>
    </row>
    <row r="4616" spans="1:4" x14ac:dyDescent="0.3">
      <c r="A4616" s="830">
        <v>94738</v>
      </c>
      <c r="B4616" s="831" t="s">
        <v>9069</v>
      </c>
      <c r="C4616" s="830" t="s">
        <v>89</v>
      </c>
      <c r="D4616" s="832">
        <v>1633.64</v>
      </c>
    </row>
    <row r="4617" spans="1:4" x14ac:dyDescent="0.3">
      <c r="A4617" s="830">
        <v>94739</v>
      </c>
      <c r="B4617" s="831" t="s">
        <v>9070</v>
      </c>
      <c r="C4617" s="830" t="s">
        <v>89</v>
      </c>
      <c r="D4617" s="832">
        <v>234.72</v>
      </c>
    </row>
    <row r="4618" spans="1:4" x14ac:dyDescent="0.3">
      <c r="A4618" s="830">
        <v>94740</v>
      </c>
      <c r="B4618" s="831" t="s">
        <v>9071</v>
      </c>
      <c r="C4618" s="830" t="s">
        <v>89</v>
      </c>
      <c r="D4618" s="832">
        <v>10.119999999999999</v>
      </c>
    </row>
    <row r="4619" spans="1:4" x14ac:dyDescent="0.3">
      <c r="A4619" s="830">
        <v>94741</v>
      </c>
      <c r="B4619" s="831" t="s">
        <v>9072</v>
      </c>
      <c r="C4619" s="830" t="s">
        <v>89</v>
      </c>
      <c r="D4619" s="832">
        <v>13.04</v>
      </c>
    </row>
    <row r="4620" spans="1:4" x14ac:dyDescent="0.3">
      <c r="A4620" s="830">
        <v>94742</v>
      </c>
      <c r="B4620" s="831" t="s">
        <v>9073</v>
      </c>
      <c r="C4620" s="830" t="s">
        <v>89</v>
      </c>
      <c r="D4620" s="832">
        <v>16.78</v>
      </c>
    </row>
    <row r="4621" spans="1:4" x14ac:dyDescent="0.3">
      <c r="A4621" s="830">
        <v>94743</v>
      </c>
      <c r="B4621" s="831" t="s">
        <v>9074</v>
      </c>
      <c r="C4621" s="830" t="s">
        <v>89</v>
      </c>
      <c r="D4621" s="832">
        <v>21.18</v>
      </c>
    </row>
    <row r="4622" spans="1:4" x14ac:dyDescent="0.3">
      <c r="A4622" s="830">
        <v>94744</v>
      </c>
      <c r="B4622" s="831" t="s">
        <v>9075</v>
      </c>
      <c r="C4622" s="830" t="s">
        <v>89</v>
      </c>
      <c r="D4622" s="832">
        <v>26.39</v>
      </c>
    </row>
    <row r="4623" spans="1:4" x14ac:dyDescent="0.3">
      <c r="A4623" s="830">
        <v>94746</v>
      </c>
      <c r="B4623" s="831" t="s">
        <v>9076</v>
      </c>
      <c r="C4623" s="830" t="s">
        <v>89</v>
      </c>
      <c r="D4623" s="832">
        <v>37.799999999999997</v>
      </c>
    </row>
    <row r="4624" spans="1:4" x14ac:dyDescent="0.3">
      <c r="A4624" s="830">
        <v>94748</v>
      </c>
      <c r="B4624" s="831" t="s">
        <v>9077</v>
      </c>
      <c r="C4624" s="830" t="s">
        <v>89</v>
      </c>
      <c r="D4624" s="832">
        <v>82.59</v>
      </c>
    </row>
    <row r="4625" spans="1:4" x14ac:dyDescent="0.3">
      <c r="A4625" s="830">
        <v>94750</v>
      </c>
      <c r="B4625" s="831" t="s">
        <v>9078</v>
      </c>
      <c r="C4625" s="830" t="s">
        <v>89</v>
      </c>
      <c r="D4625" s="832">
        <v>166.41</v>
      </c>
    </row>
    <row r="4626" spans="1:4" x14ac:dyDescent="0.3">
      <c r="A4626" s="830">
        <v>94752</v>
      </c>
      <c r="B4626" s="831" t="s">
        <v>9079</v>
      </c>
      <c r="C4626" s="830" t="s">
        <v>89</v>
      </c>
      <c r="D4626" s="832">
        <v>200.36</v>
      </c>
    </row>
    <row r="4627" spans="1:4" x14ac:dyDescent="0.3">
      <c r="A4627" s="830">
        <v>94754</v>
      </c>
      <c r="B4627" s="831" t="s">
        <v>9080</v>
      </c>
      <c r="C4627" s="830" t="s">
        <v>89</v>
      </c>
      <c r="D4627" s="832">
        <v>287.35000000000002</v>
      </c>
    </row>
    <row r="4628" spans="1:4" x14ac:dyDescent="0.3">
      <c r="A4628" s="830">
        <v>94756</v>
      </c>
      <c r="B4628" s="831" t="s">
        <v>9081</v>
      </c>
      <c r="C4628" s="830" t="s">
        <v>89</v>
      </c>
      <c r="D4628" s="832">
        <v>13.08</v>
      </c>
    </row>
    <row r="4629" spans="1:4" x14ac:dyDescent="0.3">
      <c r="A4629" s="830">
        <v>94757</v>
      </c>
      <c r="B4629" s="831" t="s">
        <v>9082</v>
      </c>
      <c r="C4629" s="830" t="s">
        <v>89</v>
      </c>
      <c r="D4629" s="832">
        <v>20.51</v>
      </c>
    </row>
    <row r="4630" spans="1:4" x14ac:dyDescent="0.3">
      <c r="A4630" s="830">
        <v>94758</v>
      </c>
      <c r="B4630" s="831" t="s">
        <v>9083</v>
      </c>
      <c r="C4630" s="830" t="s">
        <v>89</v>
      </c>
      <c r="D4630" s="832">
        <v>51.41</v>
      </c>
    </row>
    <row r="4631" spans="1:4" x14ac:dyDescent="0.3">
      <c r="A4631" s="830">
        <v>94759</v>
      </c>
      <c r="B4631" s="831" t="s">
        <v>9084</v>
      </c>
      <c r="C4631" s="830" t="s">
        <v>89</v>
      </c>
      <c r="D4631" s="832">
        <v>65.42</v>
      </c>
    </row>
    <row r="4632" spans="1:4" x14ac:dyDescent="0.3">
      <c r="A4632" s="830">
        <v>94760</v>
      </c>
      <c r="B4632" s="831" t="s">
        <v>9085</v>
      </c>
      <c r="C4632" s="830" t="s">
        <v>89</v>
      </c>
      <c r="D4632" s="832">
        <v>103.99</v>
      </c>
    </row>
    <row r="4633" spans="1:4" x14ac:dyDescent="0.3">
      <c r="A4633" s="830">
        <v>94761</v>
      </c>
      <c r="B4633" s="831" t="s">
        <v>9086</v>
      </c>
      <c r="C4633" s="830" t="s">
        <v>89</v>
      </c>
      <c r="D4633" s="832">
        <v>223.96</v>
      </c>
    </row>
    <row r="4634" spans="1:4" x14ac:dyDescent="0.3">
      <c r="A4634" s="830">
        <v>94762</v>
      </c>
      <c r="B4634" s="831" t="s">
        <v>9087</v>
      </c>
      <c r="C4634" s="830" t="s">
        <v>89</v>
      </c>
      <c r="D4634" s="832">
        <v>272.26</v>
      </c>
    </row>
    <row r="4635" spans="1:4" x14ac:dyDescent="0.3">
      <c r="A4635" s="830">
        <v>94763</v>
      </c>
      <c r="B4635" s="831" t="s">
        <v>9088</v>
      </c>
      <c r="C4635" s="830" t="s">
        <v>89</v>
      </c>
      <c r="D4635" s="832">
        <v>358.6</v>
      </c>
    </row>
    <row r="4636" spans="1:4" x14ac:dyDescent="0.3">
      <c r="A4636" s="830">
        <v>94764</v>
      </c>
      <c r="B4636" s="831" t="s">
        <v>9089</v>
      </c>
      <c r="C4636" s="830" t="s">
        <v>89</v>
      </c>
      <c r="D4636" s="832">
        <v>37.020000000000003</v>
      </c>
    </row>
    <row r="4637" spans="1:4" x14ac:dyDescent="0.3">
      <c r="A4637" s="830">
        <v>94765</v>
      </c>
      <c r="B4637" s="831" t="s">
        <v>9090</v>
      </c>
      <c r="C4637" s="830" t="s">
        <v>89</v>
      </c>
      <c r="D4637" s="832">
        <v>40.81</v>
      </c>
    </row>
    <row r="4638" spans="1:4" x14ac:dyDescent="0.3">
      <c r="A4638" s="830">
        <v>94766</v>
      </c>
      <c r="B4638" s="831" t="s">
        <v>9091</v>
      </c>
      <c r="C4638" s="830" t="s">
        <v>89</v>
      </c>
      <c r="D4638" s="832">
        <v>45.63</v>
      </c>
    </row>
    <row r="4639" spans="1:4" x14ac:dyDescent="0.3">
      <c r="A4639" s="830">
        <v>94767</v>
      </c>
      <c r="B4639" s="831" t="s">
        <v>9092</v>
      </c>
      <c r="C4639" s="830" t="s">
        <v>89</v>
      </c>
      <c r="D4639" s="832">
        <v>67.540000000000006</v>
      </c>
    </row>
    <row r="4640" spans="1:4" x14ac:dyDescent="0.3">
      <c r="A4640" s="830">
        <v>94768</v>
      </c>
      <c r="B4640" s="831" t="s">
        <v>9093</v>
      </c>
      <c r="C4640" s="830" t="s">
        <v>89</v>
      </c>
      <c r="D4640" s="832">
        <v>76.510000000000005</v>
      </c>
    </row>
    <row r="4641" spans="1:4" x14ac:dyDescent="0.3">
      <c r="A4641" s="830">
        <v>94769</v>
      </c>
      <c r="B4641" s="831" t="s">
        <v>9094</v>
      </c>
      <c r="C4641" s="830" t="s">
        <v>89</v>
      </c>
      <c r="D4641" s="832">
        <v>102.09</v>
      </c>
    </row>
    <row r="4642" spans="1:4" x14ac:dyDescent="0.3">
      <c r="A4642" s="830">
        <v>94783</v>
      </c>
      <c r="B4642" s="831" t="s">
        <v>9095</v>
      </c>
      <c r="C4642" s="830" t="s">
        <v>89</v>
      </c>
      <c r="D4642" s="832">
        <v>19.28</v>
      </c>
    </row>
    <row r="4643" spans="1:4" x14ac:dyDescent="0.3">
      <c r="A4643" s="830">
        <v>94863</v>
      </c>
      <c r="B4643" s="831" t="s">
        <v>9096</v>
      </c>
      <c r="C4643" s="830" t="s">
        <v>89</v>
      </c>
      <c r="D4643" s="832">
        <v>159.44999999999999</v>
      </c>
    </row>
    <row r="4644" spans="1:4" x14ac:dyDescent="0.3">
      <c r="A4644" s="830">
        <v>95237</v>
      </c>
      <c r="B4644" s="831" t="s">
        <v>9097</v>
      </c>
      <c r="C4644" s="830" t="s">
        <v>89</v>
      </c>
      <c r="D4644" s="832">
        <v>24.89</v>
      </c>
    </row>
    <row r="4645" spans="1:4" x14ac:dyDescent="0.3">
      <c r="A4645" s="830">
        <v>95693</v>
      </c>
      <c r="B4645" s="831" t="s">
        <v>9098</v>
      </c>
      <c r="C4645" s="830" t="s">
        <v>89</v>
      </c>
      <c r="D4645" s="832">
        <v>53.1</v>
      </c>
    </row>
    <row r="4646" spans="1:4" x14ac:dyDescent="0.3">
      <c r="A4646" s="830">
        <v>95694</v>
      </c>
      <c r="B4646" s="831" t="s">
        <v>9099</v>
      </c>
      <c r="C4646" s="830" t="s">
        <v>89</v>
      </c>
      <c r="D4646" s="832">
        <v>53.92</v>
      </c>
    </row>
    <row r="4647" spans="1:4" x14ac:dyDescent="0.3">
      <c r="A4647" s="830">
        <v>95695</v>
      </c>
      <c r="B4647" s="831" t="s">
        <v>9100</v>
      </c>
      <c r="C4647" s="830" t="s">
        <v>89</v>
      </c>
      <c r="D4647" s="832">
        <v>61.69</v>
      </c>
    </row>
    <row r="4648" spans="1:4" x14ac:dyDescent="0.3">
      <c r="A4648" s="830">
        <v>95696</v>
      </c>
      <c r="B4648" s="831" t="s">
        <v>9101</v>
      </c>
      <c r="C4648" s="830" t="s">
        <v>89</v>
      </c>
      <c r="D4648" s="832">
        <v>44.54</v>
      </c>
    </row>
    <row r="4649" spans="1:4" x14ac:dyDescent="0.3">
      <c r="A4649" s="830">
        <v>96637</v>
      </c>
      <c r="B4649" s="831" t="s">
        <v>9102</v>
      </c>
      <c r="C4649" s="830" t="s">
        <v>89</v>
      </c>
      <c r="D4649" s="832">
        <v>16.96</v>
      </c>
    </row>
    <row r="4650" spans="1:4" x14ac:dyDescent="0.3">
      <c r="A4650" s="830">
        <v>96638</v>
      </c>
      <c r="B4650" s="831" t="s">
        <v>9103</v>
      </c>
      <c r="C4650" s="830" t="s">
        <v>89</v>
      </c>
      <c r="D4650" s="832">
        <v>17.399999999999999</v>
      </c>
    </row>
    <row r="4651" spans="1:4" x14ac:dyDescent="0.3">
      <c r="A4651" s="830">
        <v>96639</v>
      </c>
      <c r="B4651" s="831" t="s">
        <v>9104</v>
      </c>
      <c r="C4651" s="830" t="s">
        <v>89</v>
      </c>
      <c r="D4651" s="832">
        <v>11.83</v>
      </c>
    </row>
    <row r="4652" spans="1:4" x14ac:dyDescent="0.3">
      <c r="A4652" s="830">
        <v>96640</v>
      </c>
      <c r="B4652" s="831" t="s">
        <v>9105</v>
      </c>
      <c r="C4652" s="830" t="s">
        <v>89</v>
      </c>
      <c r="D4652" s="832">
        <v>28.11</v>
      </c>
    </row>
    <row r="4653" spans="1:4" x14ac:dyDescent="0.3">
      <c r="A4653" s="830">
        <v>96641</v>
      </c>
      <c r="B4653" s="831" t="s">
        <v>9106</v>
      </c>
      <c r="C4653" s="830" t="s">
        <v>89</v>
      </c>
      <c r="D4653" s="832">
        <v>18.68</v>
      </c>
    </row>
    <row r="4654" spans="1:4" x14ac:dyDescent="0.3">
      <c r="A4654" s="830">
        <v>96642</v>
      </c>
      <c r="B4654" s="831" t="s">
        <v>9107</v>
      </c>
      <c r="C4654" s="830" t="s">
        <v>89</v>
      </c>
      <c r="D4654" s="832">
        <v>22.31</v>
      </c>
    </row>
    <row r="4655" spans="1:4" x14ac:dyDescent="0.3">
      <c r="A4655" s="830">
        <v>96643</v>
      </c>
      <c r="B4655" s="831" t="s">
        <v>9108</v>
      </c>
      <c r="C4655" s="830" t="s">
        <v>89</v>
      </c>
      <c r="D4655" s="832">
        <v>49.21</v>
      </c>
    </row>
    <row r="4656" spans="1:4" x14ac:dyDescent="0.3">
      <c r="A4656" s="830">
        <v>96650</v>
      </c>
      <c r="B4656" s="831" t="s">
        <v>9109</v>
      </c>
      <c r="C4656" s="830" t="s">
        <v>89</v>
      </c>
      <c r="D4656" s="832">
        <v>9.5500000000000007</v>
      </c>
    </row>
    <row r="4657" spans="1:4" x14ac:dyDescent="0.3">
      <c r="A4657" s="830">
        <v>96651</v>
      </c>
      <c r="B4657" s="831" t="s">
        <v>9110</v>
      </c>
      <c r="C4657" s="830" t="s">
        <v>89</v>
      </c>
      <c r="D4657" s="832">
        <v>9.99</v>
      </c>
    </row>
    <row r="4658" spans="1:4" x14ac:dyDescent="0.3">
      <c r="A4658" s="830">
        <v>96652</v>
      </c>
      <c r="B4658" s="831" t="s">
        <v>9111</v>
      </c>
      <c r="C4658" s="830" t="s">
        <v>89</v>
      </c>
      <c r="D4658" s="832">
        <v>11.37</v>
      </c>
    </row>
    <row r="4659" spans="1:4" x14ac:dyDescent="0.3">
      <c r="A4659" s="830">
        <v>96653</v>
      </c>
      <c r="B4659" s="831" t="s">
        <v>9112</v>
      </c>
      <c r="C4659" s="830" t="s">
        <v>89</v>
      </c>
      <c r="D4659" s="832">
        <v>15.03</v>
      </c>
    </row>
    <row r="4660" spans="1:4" x14ac:dyDescent="0.3">
      <c r="A4660" s="830">
        <v>96654</v>
      </c>
      <c r="B4660" s="831" t="s">
        <v>9113</v>
      </c>
      <c r="C4660" s="830" t="s">
        <v>89</v>
      </c>
      <c r="D4660" s="832">
        <v>17.13</v>
      </c>
    </row>
    <row r="4661" spans="1:4" x14ac:dyDescent="0.3">
      <c r="A4661" s="830">
        <v>96655</v>
      </c>
      <c r="B4661" s="831" t="s">
        <v>9114</v>
      </c>
      <c r="C4661" s="830" t="s">
        <v>89</v>
      </c>
      <c r="D4661" s="832">
        <v>23.1</v>
      </c>
    </row>
    <row r="4662" spans="1:4" x14ac:dyDescent="0.3">
      <c r="A4662" s="830">
        <v>96656</v>
      </c>
      <c r="B4662" s="831" t="s">
        <v>9115</v>
      </c>
      <c r="C4662" s="830" t="s">
        <v>89</v>
      </c>
      <c r="D4662" s="832">
        <v>6.89</v>
      </c>
    </row>
    <row r="4663" spans="1:4" x14ac:dyDescent="0.3">
      <c r="A4663" s="830">
        <v>96657</v>
      </c>
      <c r="B4663" s="831" t="s">
        <v>9116</v>
      </c>
      <c r="C4663" s="830" t="s">
        <v>89</v>
      </c>
      <c r="D4663" s="832">
        <v>25.9</v>
      </c>
    </row>
    <row r="4664" spans="1:4" x14ac:dyDescent="0.3">
      <c r="A4664" s="830">
        <v>96658</v>
      </c>
      <c r="B4664" s="831" t="s">
        <v>9117</v>
      </c>
      <c r="C4664" s="830" t="s">
        <v>89</v>
      </c>
      <c r="D4664" s="832">
        <v>16.47</v>
      </c>
    </row>
    <row r="4665" spans="1:4" x14ac:dyDescent="0.3">
      <c r="A4665" s="830">
        <v>96659</v>
      </c>
      <c r="B4665" s="831" t="s">
        <v>9118</v>
      </c>
      <c r="C4665" s="830" t="s">
        <v>89</v>
      </c>
      <c r="D4665" s="832">
        <v>9.02</v>
      </c>
    </row>
    <row r="4666" spans="1:4" x14ac:dyDescent="0.3">
      <c r="A4666" s="830">
        <v>96660</v>
      </c>
      <c r="B4666" s="831" t="s">
        <v>9119</v>
      </c>
      <c r="C4666" s="830" t="s">
        <v>89</v>
      </c>
      <c r="D4666" s="832">
        <v>35.24</v>
      </c>
    </row>
    <row r="4667" spans="1:4" x14ac:dyDescent="0.3">
      <c r="A4667" s="830">
        <v>96661</v>
      </c>
      <c r="B4667" s="831" t="s">
        <v>9120</v>
      </c>
      <c r="C4667" s="830" t="s">
        <v>89</v>
      </c>
      <c r="D4667" s="832">
        <v>34.909999999999997</v>
      </c>
    </row>
    <row r="4668" spans="1:4" x14ac:dyDescent="0.3">
      <c r="A4668" s="830">
        <v>96662</v>
      </c>
      <c r="B4668" s="831" t="s">
        <v>9121</v>
      </c>
      <c r="C4668" s="830" t="s">
        <v>89</v>
      </c>
      <c r="D4668" s="832">
        <v>10.08</v>
      </c>
    </row>
    <row r="4669" spans="1:4" x14ac:dyDescent="0.3">
      <c r="A4669" s="830">
        <v>96663</v>
      </c>
      <c r="B4669" s="831" t="s">
        <v>9122</v>
      </c>
      <c r="C4669" s="830" t="s">
        <v>89</v>
      </c>
      <c r="D4669" s="832">
        <v>17.260000000000002</v>
      </c>
    </row>
    <row r="4670" spans="1:4" x14ac:dyDescent="0.3">
      <c r="A4670" s="830">
        <v>96664</v>
      </c>
      <c r="B4670" s="831" t="s">
        <v>9123</v>
      </c>
      <c r="C4670" s="830" t="s">
        <v>89</v>
      </c>
      <c r="D4670" s="832">
        <v>18.98</v>
      </c>
    </row>
    <row r="4671" spans="1:4" x14ac:dyDescent="0.3">
      <c r="A4671" s="830">
        <v>96665</v>
      </c>
      <c r="B4671" s="831" t="s">
        <v>9124</v>
      </c>
      <c r="C4671" s="830" t="s">
        <v>89</v>
      </c>
      <c r="D4671" s="832">
        <v>12.42</v>
      </c>
    </row>
    <row r="4672" spans="1:4" x14ac:dyDescent="0.3">
      <c r="A4672" s="830">
        <v>96666</v>
      </c>
      <c r="B4672" s="831" t="s">
        <v>9125</v>
      </c>
      <c r="C4672" s="830" t="s">
        <v>89</v>
      </c>
      <c r="D4672" s="832">
        <v>18.02</v>
      </c>
    </row>
    <row r="4673" spans="1:4" x14ac:dyDescent="0.3">
      <c r="A4673" s="830">
        <v>96667</v>
      </c>
      <c r="B4673" s="831" t="s">
        <v>9126</v>
      </c>
      <c r="C4673" s="830" t="s">
        <v>89</v>
      </c>
      <c r="D4673" s="832">
        <v>25.61</v>
      </c>
    </row>
    <row r="4674" spans="1:4" x14ac:dyDescent="0.3">
      <c r="A4674" s="830">
        <v>96684</v>
      </c>
      <c r="B4674" s="831" t="s">
        <v>9127</v>
      </c>
      <c r="C4674" s="830" t="s">
        <v>89</v>
      </c>
      <c r="D4674" s="832">
        <v>12.22</v>
      </c>
    </row>
    <row r="4675" spans="1:4" x14ac:dyDescent="0.3">
      <c r="A4675" s="830">
        <v>96685</v>
      </c>
      <c r="B4675" s="831" t="s">
        <v>9128</v>
      </c>
      <c r="C4675" s="830" t="s">
        <v>89</v>
      </c>
      <c r="D4675" s="832">
        <v>12.66</v>
      </c>
    </row>
    <row r="4676" spans="1:4" x14ac:dyDescent="0.3">
      <c r="A4676" s="830">
        <v>96686</v>
      </c>
      <c r="B4676" s="831" t="s">
        <v>9129</v>
      </c>
      <c r="C4676" s="830" t="s">
        <v>89</v>
      </c>
      <c r="D4676" s="832">
        <v>15.77</v>
      </c>
    </row>
    <row r="4677" spans="1:4" x14ac:dyDescent="0.3">
      <c r="A4677" s="830">
        <v>96687</v>
      </c>
      <c r="B4677" s="831" t="s">
        <v>9130</v>
      </c>
      <c r="C4677" s="830" t="s">
        <v>89</v>
      </c>
      <c r="D4677" s="832">
        <v>19.43</v>
      </c>
    </row>
    <row r="4678" spans="1:4" x14ac:dyDescent="0.3">
      <c r="A4678" s="830">
        <v>96688</v>
      </c>
      <c r="B4678" s="831" t="s">
        <v>9131</v>
      </c>
      <c r="C4678" s="830" t="s">
        <v>89</v>
      </c>
      <c r="D4678" s="832">
        <v>23.48</v>
      </c>
    </row>
    <row r="4679" spans="1:4" x14ac:dyDescent="0.3">
      <c r="A4679" s="830">
        <v>96689</v>
      </c>
      <c r="B4679" s="831" t="s">
        <v>9132</v>
      </c>
      <c r="C4679" s="830" t="s">
        <v>89</v>
      </c>
      <c r="D4679" s="832">
        <v>29.45</v>
      </c>
    </row>
    <row r="4680" spans="1:4" x14ac:dyDescent="0.3">
      <c r="A4680" s="830">
        <v>96690</v>
      </c>
      <c r="B4680" s="831" t="s">
        <v>9133</v>
      </c>
      <c r="C4680" s="830" t="s">
        <v>89</v>
      </c>
      <c r="D4680" s="832">
        <v>32.770000000000003</v>
      </c>
    </row>
    <row r="4681" spans="1:4" x14ac:dyDescent="0.3">
      <c r="A4681" s="830">
        <v>96691</v>
      </c>
      <c r="B4681" s="831" t="s">
        <v>9134</v>
      </c>
      <c r="C4681" s="830" t="s">
        <v>89</v>
      </c>
      <c r="D4681" s="832">
        <v>42.21</v>
      </c>
    </row>
    <row r="4682" spans="1:4" x14ac:dyDescent="0.3">
      <c r="A4682" s="830">
        <v>96692</v>
      </c>
      <c r="B4682" s="831" t="s">
        <v>9135</v>
      </c>
      <c r="C4682" s="830" t="s">
        <v>89</v>
      </c>
      <c r="D4682" s="832">
        <v>46.56</v>
      </c>
    </row>
    <row r="4683" spans="1:4" x14ac:dyDescent="0.3">
      <c r="A4683" s="830">
        <v>96693</v>
      </c>
      <c r="B4683" s="831" t="s">
        <v>9136</v>
      </c>
      <c r="C4683" s="830" t="s">
        <v>89</v>
      </c>
      <c r="D4683" s="832">
        <v>63.41</v>
      </c>
    </row>
    <row r="4684" spans="1:4" x14ac:dyDescent="0.3">
      <c r="A4684" s="830">
        <v>96694</v>
      </c>
      <c r="B4684" s="831" t="s">
        <v>9137</v>
      </c>
      <c r="C4684" s="830" t="s">
        <v>89</v>
      </c>
      <c r="D4684" s="832">
        <v>99.49</v>
      </c>
    </row>
    <row r="4685" spans="1:4" x14ac:dyDescent="0.3">
      <c r="A4685" s="830">
        <v>96695</v>
      </c>
      <c r="B4685" s="831" t="s">
        <v>9138</v>
      </c>
      <c r="C4685" s="830" t="s">
        <v>89</v>
      </c>
      <c r="D4685" s="832">
        <v>109.78</v>
      </c>
    </row>
    <row r="4686" spans="1:4" x14ac:dyDescent="0.3">
      <c r="A4686" s="830">
        <v>96696</v>
      </c>
      <c r="B4686" s="831" t="s">
        <v>9139</v>
      </c>
      <c r="C4686" s="830" t="s">
        <v>89</v>
      </c>
      <c r="D4686" s="832">
        <v>124.3</v>
      </c>
    </row>
    <row r="4687" spans="1:4" x14ac:dyDescent="0.3">
      <c r="A4687" s="830">
        <v>96697</v>
      </c>
      <c r="B4687" s="831" t="s">
        <v>9140</v>
      </c>
      <c r="C4687" s="830" t="s">
        <v>89</v>
      </c>
      <c r="D4687" s="832">
        <v>370.01</v>
      </c>
    </row>
    <row r="4688" spans="1:4" x14ac:dyDescent="0.3">
      <c r="A4688" s="830">
        <v>96698</v>
      </c>
      <c r="B4688" s="831" t="s">
        <v>9141</v>
      </c>
      <c r="C4688" s="830" t="s">
        <v>89</v>
      </c>
      <c r="D4688" s="832">
        <v>8.68</v>
      </c>
    </row>
    <row r="4689" spans="1:4" x14ac:dyDescent="0.3">
      <c r="A4689" s="830">
        <v>96699</v>
      </c>
      <c r="B4689" s="831" t="s">
        <v>9142</v>
      </c>
      <c r="C4689" s="830" t="s">
        <v>89</v>
      </c>
      <c r="D4689" s="832">
        <v>27.69</v>
      </c>
    </row>
    <row r="4690" spans="1:4" x14ac:dyDescent="0.3">
      <c r="A4690" s="830">
        <v>96700</v>
      </c>
      <c r="B4690" s="831" t="s">
        <v>9143</v>
      </c>
      <c r="C4690" s="830" t="s">
        <v>89</v>
      </c>
      <c r="D4690" s="832">
        <v>18.260000000000002</v>
      </c>
    </row>
    <row r="4691" spans="1:4" x14ac:dyDescent="0.3">
      <c r="A4691" s="830">
        <v>96701</v>
      </c>
      <c r="B4691" s="831" t="s">
        <v>9144</v>
      </c>
      <c r="C4691" s="830" t="s">
        <v>89</v>
      </c>
      <c r="D4691" s="832">
        <v>11.96</v>
      </c>
    </row>
    <row r="4692" spans="1:4" x14ac:dyDescent="0.3">
      <c r="A4692" s="830">
        <v>96702</v>
      </c>
      <c r="B4692" s="831" t="s">
        <v>9145</v>
      </c>
      <c r="C4692" s="830" t="s">
        <v>89</v>
      </c>
      <c r="D4692" s="832">
        <v>12.43</v>
      </c>
    </row>
    <row r="4693" spans="1:4" x14ac:dyDescent="0.3">
      <c r="A4693" s="830">
        <v>96703</v>
      </c>
      <c r="B4693" s="831" t="s">
        <v>9146</v>
      </c>
      <c r="C4693" s="830" t="s">
        <v>89</v>
      </c>
      <c r="D4693" s="832">
        <v>21.49</v>
      </c>
    </row>
    <row r="4694" spans="1:4" x14ac:dyDescent="0.3">
      <c r="A4694" s="830">
        <v>96704</v>
      </c>
      <c r="B4694" s="831" t="s">
        <v>9147</v>
      </c>
      <c r="C4694" s="830" t="s">
        <v>89</v>
      </c>
      <c r="D4694" s="832">
        <v>21.99</v>
      </c>
    </row>
    <row r="4695" spans="1:4" x14ac:dyDescent="0.3">
      <c r="A4695" s="830">
        <v>96705</v>
      </c>
      <c r="B4695" s="831" t="s">
        <v>9148</v>
      </c>
      <c r="C4695" s="830" t="s">
        <v>89</v>
      </c>
      <c r="D4695" s="832">
        <v>26.07</v>
      </c>
    </row>
    <row r="4696" spans="1:4" x14ac:dyDescent="0.3">
      <c r="A4696" s="830">
        <v>96706</v>
      </c>
      <c r="B4696" s="831" t="s">
        <v>9149</v>
      </c>
      <c r="C4696" s="830" t="s">
        <v>89</v>
      </c>
      <c r="D4696" s="832">
        <v>38.75</v>
      </c>
    </row>
    <row r="4697" spans="1:4" x14ac:dyDescent="0.3">
      <c r="A4697" s="830">
        <v>96707</v>
      </c>
      <c r="B4697" s="831" t="s">
        <v>9150</v>
      </c>
      <c r="C4697" s="830" t="s">
        <v>89</v>
      </c>
      <c r="D4697" s="832">
        <v>62.52</v>
      </c>
    </row>
    <row r="4698" spans="1:4" x14ac:dyDescent="0.3">
      <c r="A4698" s="830">
        <v>96708</v>
      </c>
      <c r="B4698" s="831" t="s">
        <v>9151</v>
      </c>
      <c r="C4698" s="830" t="s">
        <v>89</v>
      </c>
      <c r="D4698" s="832">
        <v>94.99</v>
      </c>
    </row>
    <row r="4699" spans="1:4" x14ac:dyDescent="0.3">
      <c r="A4699" s="830">
        <v>96709</v>
      </c>
      <c r="B4699" s="831" t="s">
        <v>9152</v>
      </c>
      <c r="C4699" s="830" t="s">
        <v>89</v>
      </c>
      <c r="D4699" s="832">
        <v>121.26</v>
      </c>
    </row>
    <row r="4700" spans="1:4" x14ac:dyDescent="0.3">
      <c r="A4700" s="830">
        <v>96710</v>
      </c>
      <c r="B4700" s="831" t="s">
        <v>9153</v>
      </c>
      <c r="C4700" s="830" t="s">
        <v>89</v>
      </c>
      <c r="D4700" s="832">
        <v>15.99</v>
      </c>
    </row>
    <row r="4701" spans="1:4" x14ac:dyDescent="0.3">
      <c r="A4701" s="830">
        <v>96711</v>
      </c>
      <c r="B4701" s="831" t="s">
        <v>9154</v>
      </c>
      <c r="C4701" s="830" t="s">
        <v>89</v>
      </c>
      <c r="D4701" s="832">
        <v>23.88</v>
      </c>
    </row>
    <row r="4702" spans="1:4" x14ac:dyDescent="0.3">
      <c r="A4702" s="830">
        <v>96712</v>
      </c>
      <c r="B4702" s="831" t="s">
        <v>9155</v>
      </c>
      <c r="C4702" s="830" t="s">
        <v>89</v>
      </c>
      <c r="D4702" s="832">
        <v>34.07</v>
      </c>
    </row>
    <row r="4703" spans="1:4" x14ac:dyDescent="0.3">
      <c r="A4703" s="830">
        <v>96713</v>
      </c>
      <c r="B4703" s="831" t="s">
        <v>9156</v>
      </c>
      <c r="C4703" s="830" t="s">
        <v>89</v>
      </c>
      <c r="D4703" s="832">
        <v>52.49</v>
      </c>
    </row>
    <row r="4704" spans="1:4" x14ac:dyDescent="0.3">
      <c r="A4704" s="830">
        <v>96714</v>
      </c>
      <c r="B4704" s="831" t="s">
        <v>9157</v>
      </c>
      <c r="C4704" s="830" t="s">
        <v>89</v>
      </c>
      <c r="D4704" s="832">
        <v>74.819999999999993</v>
      </c>
    </row>
    <row r="4705" spans="1:4" x14ac:dyDescent="0.3">
      <c r="A4705" s="830">
        <v>96715</v>
      </c>
      <c r="B4705" s="831" t="s">
        <v>9158</v>
      </c>
      <c r="C4705" s="830" t="s">
        <v>89</v>
      </c>
      <c r="D4705" s="832">
        <v>133.83000000000001</v>
      </c>
    </row>
    <row r="4706" spans="1:4" x14ac:dyDescent="0.3">
      <c r="A4706" s="830">
        <v>96716</v>
      </c>
      <c r="B4706" s="831" t="s">
        <v>9159</v>
      </c>
      <c r="C4706" s="830" t="s">
        <v>89</v>
      </c>
      <c r="D4706" s="832">
        <v>174.45</v>
      </c>
    </row>
    <row r="4707" spans="1:4" x14ac:dyDescent="0.3">
      <c r="A4707" s="830">
        <v>96717</v>
      </c>
      <c r="B4707" s="831" t="s">
        <v>9160</v>
      </c>
      <c r="C4707" s="830" t="s">
        <v>89</v>
      </c>
      <c r="D4707" s="832">
        <v>336.07</v>
      </c>
    </row>
    <row r="4708" spans="1:4" x14ac:dyDescent="0.3">
      <c r="A4708" s="830">
        <v>96736</v>
      </c>
      <c r="B4708" s="831" t="s">
        <v>9161</v>
      </c>
      <c r="C4708" s="830" t="s">
        <v>89</v>
      </c>
      <c r="D4708" s="832">
        <v>6.27</v>
      </c>
    </row>
    <row r="4709" spans="1:4" x14ac:dyDescent="0.3">
      <c r="A4709" s="830">
        <v>96737</v>
      </c>
      <c r="B4709" s="831" t="s">
        <v>9162</v>
      </c>
      <c r="C4709" s="830" t="s">
        <v>89</v>
      </c>
      <c r="D4709" s="832">
        <v>6.41</v>
      </c>
    </row>
    <row r="4710" spans="1:4" x14ac:dyDescent="0.3">
      <c r="A4710" s="830">
        <v>96738</v>
      </c>
      <c r="B4710" s="831" t="s">
        <v>9163</v>
      </c>
      <c r="C4710" s="830" t="s">
        <v>89</v>
      </c>
      <c r="D4710" s="832">
        <v>25.46</v>
      </c>
    </row>
    <row r="4711" spans="1:4" x14ac:dyDescent="0.3">
      <c r="A4711" s="830">
        <v>96739</v>
      </c>
      <c r="B4711" s="831" t="s">
        <v>9164</v>
      </c>
      <c r="C4711" s="830" t="s">
        <v>89</v>
      </c>
      <c r="D4711" s="832">
        <v>8.9499999999999993</v>
      </c>
    </row>
    <row r="4712" spans="1:4" x14ac:dyDescent="0.3">
      <c r="A4712" s="830">
        <v>96740</v>
      </c>
      <c r="B4712" s="831" t="s">
        <v>9165</v>
      </c>
      <c r="C4712" s="830" t="s">
        <v>89</v>
      </c>
      <c r="D4712" s="832">
        <v>35.33</v>
      </c>
    </row>
    <row r="4713" spans="1:4" x14ac:dyDescent="0.3">
      <c r="A4713" s="830">
        <v>96741</v>
      </c>
      <c r="B4713" s="831" t="s">
        <v>9166</v>
      </c>
      <c r="C4713" s="830" t="s">
        <v>89</v>
      </c>
      <c r="D4713" s="832">
        <v>17.82</v>
      </c>
    </row>
    <row r="4714" spans="1:4" x14ac:dyDescent="0.3">
      <c r="A4714" s="830">
        <v>96742</v>
      </c>
      <c r="B4714" s="831" t="s">
        <v>9167</v>
      </c>
      <c r="C4714" s="830" t="s">
        <v>89</v>
      </c>
      <c r="D4714" s="832">
        <v>21.87</v>
      </c>
    </row>
    <row r="4715" spans="1:4" x14ac:dyDescent="0.3">
      <c r="A4715" s="830">
        <v>96743</v>
      </c>
      <c r="B4715" s="831" t="s">
        <v>9168</v>
      </c>
      <c r="C4715" s="830" t="s">
        <v>89</v>
      </c>
      <c r="D4715" s="832">
        <v>34.340000000000003</v>
      </c>
    </row>
    <row r="4716" spans="1:4" x14ac:dyDescent="0.3">
      <c r="A4716" s="830">
        <v>96744</v>
      </c>
      <c r="B4716" s="831" t="s">
        <v>9169</v>
      </c>
      <c r="C4716" s="830" t="s">
        <v>89</v>
      </c>
      <c r="D4716" s="832">
        <v>58.37</v>
      </c>
    </row>
    <row r="4717" spans="1:4" x14ac:dyDescent="0.3">
      <c r="A4717" s="830">
        <v>96745</v>
      </c>
      <c r="B4717" s="831" t="s">
        <v>9170</v>
      </c>
      <c r="C4717" s="830" t="s">
        <v>89</v>
      </c>
      <c r="D4717" s="832">
        <v>91.85</v>
      </c>
    </row>
    <row r="4718" spans="1:4" x14ac:dyDescent="0.3">
      <c r="A4718" s="830">
        <v>96746</v>
      </c>
      <c r="B4718" s="831" t="s">
        <v>9171</v>
      </c>
      <c r="C4718" s="830" t="s">
        <v>89</v>
      </c>
      <c r="D4718" s="832">
        <v>120.59</v>
      </c>
    </row>
    <row r="4719" spans="1:4" x14ac:dyDescent="0.3">
      <c r="A4719" s="830">
        <v>96747</v>
      </c>
      <c r="B4719" s="831" t="s">
        <v>9172</v>
      </c>
      <c r="C4719" s="830" t="s">
        <v>89</v>
      </c>
      <c r="D4719" s="832">
        <v>7.57</v>
      </c>
    </row>
    <row r="4720" spans="1:4" x14ac:dyDescent="0.3">
      <c r="A4720" s="830">
        <v>96748</v>
      </c>
      <c r="B4720" s="831" t="s">
        <v>9173</v>
      </c>
      <c r="C4720" s="830" t="s">
        <v>89</v>
      </c>
      <c r="D4720" s="832">
        <v>8.82</v>
      </c>
    </row>
    <row r="4721" spans="1:4" x14ac:dyDescent="0.3">
      <c r="A4721" s="830">
        <v>96749</v>
      </c>
      <c r="B4721" s="831" t="s">
        <v>9174</v>
      </c>
      <c r="C4721" s="830" t="s">
        <v>89</v>
      </c>
      <c r="D4721" s="832">
        <v>11.26</v>
      </c>
    </row>
    <row r="4722" spans="1:4" x14ac:dyDescent="0.3">
      <c r="A4722" s="830">
        <v>96750</v>
      </c>
      <c r="B4722" s="831" t="s">
        <v>9175</v>
      </c>
      <c r="C4722" s="830" t="s">
        <v>89</v>
      </c>
      <c r="D4722" s="832">
        <v>17.989999999999998</v>
      </c>
    </row>
    <row r="4723" spans="1:4" x14ac:dyDescent="0.3">
      <c r="A4723" s="830">
        <v>96751</v>
      </c>
      <c r="B4723" s="831" t="s">
        <v>9176</v>
      </c>
      <c r="C4723" s="830" t="s">
        <v>89</v>
      </c>
      <c r="D4723" s="832">
        <v>26.49</v>
      </c>
    </row>
    <row r="4724" spans="1:4" x14ac:dyDescent="0.3">
      <c r="A4724" s="830">
        <v>96752</v>
      </c>
      <c r="B4724" s="831" t="s">
        <v>9177</v>
      </c>
      <c r="C4724" s="830" t="s">
        <v>89</v>
      </c>
      <c r="D4724" s="832">
        <v>39.96</v>
      </c>
    </row>
    <row r="4725" spans="1:4" x14ac:dyDescent="0.3">
      <c r="A4725" s="830">
        <v>96753</v>
      </c>
      <c r="B4725" s="831" t="s">
        <v>9178</v>
      </c>
      <c r="C4725" s="830" t="s">
        <v>89</v>
      </c>
      <c r="D4725" s="832">
        <v>93.28</v>
      </c>
    </row>
    <row r="4726" spans="1:4" x14ac:dyDescent="0.3">
      <c r="A4726" s="830">
        <v>96754</v>
      </c>
      <c r="B4726" s="831" t="s">
        <v>9179</v>
      </c>
      <c r="C4726" s="830" t="s">
        <v>89</v>
      </c>
      <c r="D4726" s="832">
        <v>119.6</v>
      </c>
    </row>
    <row r="4727" spans="1:4" x14ac:dyDescent="0.3">
      <c r="A4727" s="830">
        <v>96755</v>
      </c>
      <c r="B4727" s="831" t="s">
        <v>9180</v>
      </c>
      <c r="C4727" s="830" t="s">
        <v>89</v>
      </c>
      <c r="D4727" s="832">
        <v>368.98</v>
      </c>
    </row>
    <row r="4728" spans="1:4" x14ac:dyDescent="0.3">
      <c r="A4728" s="830">
        <v>96758</v>
      </c>
      <c r="B4728" s="831" t="s">
        <v>9181</v>
      </c>
      <c r="C4728" s="830" t="s">
        <v>89</v>
      </c>
      <c r="D4728" s="832">
        <v>17.86</v>
      </c>
    </row>
    <row r="4729" spans="1:4" x14ac:dyDescent="0.3">
      <c r="A4729" s="830">
        <v>96759</v>
      </c>
      <c r="B4729" s="831" t="s">
        <v>9182</v>
      </c>
      <c r="C4729" s="830" t="s">
        <v>89</v>
      </c>
      <c r="D4729" s="832">
        <v>26.75</v>
      </c>
    </row>
    <row r="4730" spans="1:4" x14ac:dyDescent="0.3">
      <c r="A4730" s="830">
        <v>96760</v>
      </c>
      <c r="B4730" s="831" t="s">
        <v>9183</v>
      </c>
      <c r="C4730" s="830" t="s">
        <v>89</v>
      </c>
      <c r="D4730" s="832">
        <v>44.09</v>
      </c>
    </row>
    <row r="4731" spans="1:4" x14ac:dyDescent="0.3">
      <c r="A4731" s="830">
        <v>96761</v>
      </c>
      <c r="B4731" s="831" t="s">
        <v>9184</v>
      </c>
      <c r="C4731" s="830" t="s">
        <v>89</v>
      </c>
      <c r="D4731" s="832">
        <v>66</v>
      </c>
    </row>
    <row r="4732" spans="1:4" x14ac:dyDescent="0.3">
      <c r="A4732" s="830">
        <v>96762</v>
      </c>
      <c r="B4732" s="831" t="s">
        <v>9185</v>
      </c>
      <c r="C4732" s="830" t="s">
        <v>89</v>
      </c>
      <c r="D4732" s="832">
        <v>125.55</v>
      </c>
    </row>
    <row r="4733" spans="1:4" x14ac:dyDescent="0.3">
      <c r="A4733" s="830">
        <v>96763</v>
      </c>
      <c r="B4733" s="831" t="s">
        <v>9186</v>
      </c>
      <c r="C4733" s="830" t="s">
        <v>89</v>
      </c>
      <c r="D4733" s="832">
        <v>168.18</v>
      </c>
    </row>
    <row r="4734" spans="1:4" x14ac:dyDescent="0.3">
      <c r="A4734" s="830">
        <v>96764</v>
      </c>
      <c r="B4734" s="831" t="s">
        <v>9187</v>
      </c>
      <c r="C4734" s="830" t="s">
        <v>89</v>
      </c>
      <c r="D4734" s="832">
        <v>334.71</v>
      </c>
    </row>
    <row r="4735" spans="1:4" x14ac:dyDescent="0.3">
      <c r="A4735" s="830">
        <v>96802</v>
      </c>
      <c r="B4735" s="831" t="s">
        <v>9188</v>
      </c>
      <c r="C4735" s="830" t="s">
        <v>89</v>
      </c>
      <c r="D4735" s="832">
        <v>423.39</v>
      </c>
    </row>
    <row r="4736" spans="1:4" x14ac:dyDescent="0.3">
      <c r="A4736" s="830">
        <v>96803</v>
      </c>
      <c r="B4736" s="831" t="s">
        <v>9189</v>
      </c>
      <c r="C4736" s="830" t="s">
        <v>89</v>
      </c>
      <c r="D4736" s="832">
        <v>77.22</v>
      </c>
    </row>
    <row r="4737" spans="1:4" x14ac:dyDescent="0.3">
      <c r="A4737" s="830">
        <v>96804</v>
      </c>
      <c r="B4737" s="831" t="s">
        <v>9190</v>
      </c>
      <c r="C4737" s="830" t="s">
        <v>89</v>
      </c>
      <c r="D4737" s="832">
        <v>124.43</v>
      </c>
    </row>
    <row r="4738" spans="1:4" x14ac:dyDescent="0.3">
      <c r="A4738" s="830">
        <v>96805</v>
      </c>
      <c r="B4738" s="831" t="s">
        <v>9191</v>
      </c>
      <c r="C4738" s="830" t="s">
        <v>89</v>
      </c>
      <c r="D4738" s="832">
        <v>218.96</v>
      </c>
    </row>
    <row r="4739" spans="1:4" x14ac:dyDescent="0.3">
      <c r="A4739" s="830">
        <v>96806</v>
      </c>
      <c r="B4739" s="831" t="s">
        <v>9192</v>
      </c>
      <c r="C4739" s="830" t="s">
        <v>89</v>
      </c>
      <c r="D4739" s="832">
        <v>84.37</v>
      </c>
    </row>
    <row r="4740" spans="1:4" x14ac:dyDescent="0.3">
      <c r="A4740" s="830">
        <v>96807</v>
      </c>
      <c r="B4740" s="831" t="s">
        <v>9193</v>
      </c>
      <c r="C4740" s="830" t="s">
        <v>89</v>
      </c>
      <c r="D4740" s="832">
        <v>135.56</v>
      </c>
    </row>
    <row r="4741" spans="1:4" x14ac:dyDescent="0.3">
      <c r="A4741" s="830">
        <v>96808</v>
      </c>
      <c r="B4741" s="831" t="s">
        <v>9194</v>
      </c>
      <c r="C4741" s="830" t="s">
        <v>89</v>
      </c>
      <c r="D4741" s="832">
        <v>17.329999999999998</v>
      </c>
    </row>
    <row r="4742" spans="1:4" x14ac:dyDescent="0.3">
      <c r="A4742" s="830">
        <v>96809</v>
      </c>
      <c r="B4742" s="831" t="s">
        <v>9195</v>
      </c>
      <c r="C4742" s="830" t="s">
        <v>89</v>
      </c>
      <c r="D4742" s="832">
        <v>19.11</v>
      </c>
    </row>
    <row r="4743" spans="1:4" x14ac:dyDescent="0.3">
      <c r="A4743" s="830">
        <v>96810</v>
      </c>
      <c r="B4743" s="831" t="s">
        <v>9196</v>
      </c>
      <c r="C4743" s="830" t="s">
        <v>89</v>
      </c>
      <c r="D4743" s="832">
        <v>20.74</v>
      </c>
    </row>
    <row r="4744" spans="1:4" x14ac:dyDescent="0.3">
      <c r="A4744" s="830">
        <v>96811</v>
      </c>
      <c r="B4744" s="831" t="s">
        <v>9197</v>
      </c>
      <c r="C4744" s="830" t="s">
        <v>89</v>
      </c>
      <c r="D4744" s="832">
        <v>21.87</v>
      </c>
    </row>
    <row r="4745" spans="1:4" x14ac:dyDescent="0.3">
      <c r="A4745" s="830">
        <v>96812</v>
      </c>
      <c r="B4745" s="831" t="s">
        <v>9198</v>
      </c>
      <c r="C4745" s="830" t="s">
        <v>89</v>
      </c>
      <c r="D4745" s="832">
        <v>19.920000000000002</v>
      </c>
    </row>
    <row r="4746" spans="1:4" x14ac:dyDescent="0.3">
      <c r="A4746" s="830">
        <v>96813</v>
      </c>
      <c r="B4746" s="831" t="s">
        <v>9199</v>
      </c>
      <c r="C4746" s="830" t="s">
        <v>89</v>
      </c>
      <c r="D4746" s="832">
        <v>22.7</v>
      </c>
    </row>
    <row r="4747" spans="1:4" x14ac:dyDescent="0.3">
      <c r="A4747" s="830">
        <v>96814</v>
      </c>
      <c r="B4747" s="831" t="s">
        <v>9200</v>
      </c>
      <c r="C4747" s="830" t="s">
        <v>89</v>
      </c>
      <c r="D4747" s="832">
        <v>16.329999999999998</v>
      </c>
    </row>
    <row r="4748" spans="1:4" x14ac:dyDescent="0.3">
      <c r="A4748" s="830">
        <v>96815</v>
      </c>
      <c r="B4748" s="831" t="s">
        <v>9201</v>
      </c>
      <c r="C4748" s="830" t="s">
        <v>89</v>
      </c>
      <c r="D4748" s="832">
        <v>33.92</v>
      </c>
    </row>
    <row r="4749" spans="1:4" x14ac:dyDescent="0.3">
      <c r="A4749" s="830">
        <v>96816</v>
      </c>
      <c r="B4749" s="831" t="s">
        <v>9202</v>
      </c>
      <c r="C4749" s="830" t="s">
        <v>89</v>
      </c>
      <c r="D4749" s="832">
        <v>25.63</v>
      </c>
    </row>
    <row r="4750" spans="1:4" x14ac:dyDescent="0.3">
      <c r="A4750" s="830">
        <v>96817</v>
      </c>
      <c r="B4750" s="831" t="s">
        <v>9203</v>
      </c>
      <c r="C4750" s="830" t="s">
        <v>89</v>
      </c>
      <c r="D4750" s="832">
        <v>34.19</v>
      </c>
    </row>
    <row r="4751" spans="1:4" x14ac:dyDescent="0.3">
      <c r="A4751" s="830">
        <v>96818</v>
      </c>
      <c r="B4751" s="831" t="s">
        <v>9204</v>
      </c>
      <c r="C4751" s="830" t="s">
        <v>89</v>
      </c>
      <c r="D4751" s="832">
        <v>21.94</v>
      </c>
    </row>
    <row r="4752" spans="1:4" x14ac:dyDescent="0.3">
      <c r="A4752" s="830">
        <v>96819</v>
      </c>
      <c r="B4752" s="831" t="s">
        <v>9205</v>
      </c>
      <c r="C4752" s="830" t="s">
        <v>89</v>
      </c>
      <c r="D4752" s="832">
        <v>23.52</v>
      </c>
    </row>
    <row r="4753" spans="1:4" x14ac:dyDescent="0.3">
      <c r="A4753" s="830">
        <v>96820</v>
      </c>
      <c r="B4753" s="831" t="s">
        <v>9206</v>
      </c>
      <c r="C4753" s="830" t="s">
        <v>89</v>
      </c>
      <c r="D4753" s="832">
        <v>40.799999999999997</v>
      </c>
    </row>
    <row r="4754" spans="1:4" x14ac:dyDescent="0.3">
      <c r="A4754" s="830">
        <v>96821</v>
      </c>
      <c r="B4754" s="831" t="s">
        <v>9207</v>
      </c>
      <c r="C4754" s="830" t="s">
        <v>89</v>
      </c>
      <c r="D4754" s="832">
        <v>38.049999999999997</v>
      </c>
    </row>
    <row r="4755" spans="1:4" x14ac:dyDescent="0.3">
      <c r="A4755" s="830">
        <v>96822</v>
      </c>
      <c r="B4755" s="831" t="s">
        <v>9208</v>
      </c>
      <c r="C4755" s="830" t="s">
        <v>89</v>
      </c>
      <c r="D4755" s="832">
        <v>30.87</v>
      </c>
    </row>
    <row r="4756" spans="1:4" x14ac:dyDescent="0.3">
      <c r="A4756" s="830">
        <v>96823</v>
      </c>
      <c r="B4756" s="831" t="s">
        <v>9209</v>
      </c>
      <c r="C4756" s="830" t="s">
        <v>89</v>
      </c>
      <c r="D4756" s="832">
        <v>11.49</v>
      </c>
    </row>
    <row r="4757" spans="1:4" x14ac:dyDescent="0.3">
      <c r="A4757" s="830">
        <v>96824</v>
      </c>
      <c r="B4757" s="831" t="s">
        <v>9210</v>
      </c>
      <c r="C4757" s="830" t="s">
        <v>89</v>
      </c>
      <c r="D4757" s="832">
        <v>17.91</v>
      </c>
    </row>
    <row r="4758" spans="1:4" x14ac:dyDescent="0.3">
      <c r="A4758" s="830">
        <v>96826</v>
      </c>
      <c r="B4758" s="831" t="s">
        <v>9211</v>
      </c>
      <c r="C4758" s="830" t="s">
        <v>89</v>
      </c>
      <c r="D4758" s="832">
        <v>13.31</v>
      </c>
    </row>
    <row r="4759" spans="1:4" x14ac:dyDescent="0.3">
      <c r="A4759" s="830">
        <v>96827</v>
      </c>
      <c r="B4759" s="831" t="s">
        <v>9212</v>
      </c>
      <c r="C4759" s="830" t="s">
        <v>89</v>
      </c>
      <c r="D4759" s="832">
        <v>19.510000000000002</v>
      </c>
    </row>
    <row r="4760" spans="1:4" x14ac:dyDescent="0.3">
      <c r="A4760" s="830">
        <v>96828</v>
      </c>
      <c r="B4760" s="831" t="s">
        <v>9213</v>
      </c>
      <c r="C4760" s="830" t="s">
        <v>89</v>
      </c>
      <c r="D4760" s="832">
        <v>24.04</v>
      </c>
    </row>
    <row r="4761" spans="1:4" x14ac:dyDescent="0.3">
      <c r="A4761" s="830">
        <v>96829</v>
      </c>
      <c r="B4761" s="831" t="s">
        <v>9214</v>
      </c>
      <c r="C4761" s="830" t="s">
        <v>89</v>
      </c>
      <c r="D4761" s="832">
        <v>18.64</v>
      </c>
    </row>
    <row r="4762" spans="1:4" x14ac:dyDescent="0.3">
      <c r="A4762" s="830">
        <v>96830</v>
      </c>
      <c r="B4762" s="831" t="s">
        <v>9215</v>
      </c>
      <c r="C4762" s="830" t="s">
        <v>89</v>
      </c>
      <c r="D4762" s="832">
        <v>20.97</v>
      </c>
    </row>
    <row r="4763" spans="1:4" x14ac:dyDescent="0.3">
      <c r="A4763" s="830">
        <v>96832</v>
      </c>
      <c r="B4763" s="831" t="s">
        <v>9216</v>
      </c>
      <c r="C4763" s="830" t="s">
        <v>89</v>
      </c>
      <c r="D4763" s="832">
        <v>30.22</v>
      </c>
    </row>
    <row r="4764" spans="1:4" x14ac:dyDescent="0.3">
      <c r="A4764" s="830">
        <v>96833</v>
      </c>
      <c r="B4764" s="831" t="s">
        <v>9217</v>
      </c>
      <c r="C4764" s="830" t="s">
        <v>89</v>
      </c>
      <c r="D4764" s="832">
        <v>23.77</v>
      </c>
    </row>
    <row r="4765" spans="1:4" x14ac:dyDescent="0.3">
      <c r="A4765" s="830">
        <v>96834</v>
      </c>
      <c r="B4765" s="831" t="s">
        <v>9218</v>
      </c>
      <c r="C4765" s="830" t="s">
        <v>89</v>
      </c>
      <c r="D4765" s="832">
        <v>28.4</v>
      </c>
    </row>
    <row r="4766" spans="1:4" x14ac:dyDescent="0.3">
      <c r="A4766" s="830">
        <v>96836</v>
      </c>
      <c r="B4766" s="831" t="s">
        <v>9219</v>
      </c>
      <c r="C4766" s="830" t="s">
        <v>89</v>
      </c>
      <c r="D4766" s="832">
        <v>34</v>
      </c>
    </row>
    <row r="4767" spans="1:4" x14ac:dyDescent="0.3">
      <c r="A4767" s="830">
        <v>96837</v>
      </c>
      <c r="B4767" s="831" t="s">
        <v>9220</v>
      </c>
      <c r="C4767" s="830" t="s">
        <v>89</v>
      </c>
      <c r="D4767" s="832">
        <v>21.29</v>
      </c>
    </row>
    <row r="4768" spans="1:4" x14ac:dyDescent="0.3">
      <c r="A4768" s="830">
        <v>96838</v>
      </c>
      <c r="B4768" s="831" t="s">
        <v>9221</v>
      </c>
      <c r="C4768" s="830" t="s">
        <v>89</v>
      </c>
      <c r="D4768" s="832">
        <v>25.64</v>
      </c>
    </row>
    <row r="4769" spans="1:4" x14ac:dyDescent="0.3">
      <c r="A4769" s="830">
        <v>96839</v>
      </c>
      <c r="B4769" s="831" t="s">
        <v>9222</v>
      </c>
      <c r="C4769" s="830" t="s">
        <v>89</v>
      </c>
      <c r="D4769" s="832">
        <v>26.51</v>
      </c>
    </row>
    <row r="4770" spans="1:4" x14ac:dyDescent="0.3">
      <c r="A4770" s="830">
        <v>96840</v>
      </c>
      <c r="B4770" s="831" t="s">
        <v>9223</v>
      </c>
      <c r="C4770" s="830" t="s">
        <v>89</v>
      </c>
      <c r="D4770" s="832">
        <v>25.69</v>
      </c>
    </row>
    <row r="4771" spans="1:4" x14ac:dyDescent="0.3">
      <c r="A4771" s="830">
        <v>96841</v>
      </c>
      <c r="B4771" s="831" t="s">
        <v>9224</v>
      </c>
      <c r="C4771" s="830" t="s">
        <v>89</v>
      </c>
      <c r="D4771" s="832">
        <v>28.46</v>
      </c>
    </row>
    <row r="4772" spans="1:4" x14ac:dyDescent="0.3">
      <c r="A4772" s="830">
        <v>96842</v>
      </c>
      <c r="B4772" s="831" t="s">
        <v>9225</v>
      </c>
      <c r="C4772" s="830" t="s">
        <v>89</v>
      </c>
      <c r="D4772" s="832">
        <v>32.58</v>
      </c>
    </row>
    <row r="4773" spans="1:4" x14ac:dyDescent="0.3">
      <c r="A4773" s="830">
        <v>96843</v>
      </c>
      <c r="B4773" s="831" t="s">
        <v>9226</v>
      </c>
      <c r="C4773" s="830" t="s">
        <v>89</v>
      </c>
      <c r="D4773" s="832">
        <v>29.64</v>
      </c>
    </row>
    <row r="4774" spans="1:4" x14ac:dyDescent="0.3">
      <c r="A4774" s="830">
        <v>96844</v>
      </c>
      <c r="B4774" s="831" t="s">
        <v>9227</v>
      </c>
      <c r="C4774" s="830" t="s">
        <v>89</v>
      </c>
      <c r="D4774" s="832">
        <v>34.1</v>
      </c>
    </row>
    <row r="4775" spans="1:4" x14ac:dyDescent="0.3">
      <c r="A4775" s="830">
        <v>96845</v>
      </c>
      <c r="B4775" s="831" t="s">
        <v>9228</v>
      </c>
      <c r="C4775" s="830" t="s">
        <v>89</v>
      </c>
      <c r="D4775" s="832">
        <v>40.39</v>
      </c>
    </row>
    <row r="4776" spans="1:4" x14ac:dyDescent="0.3">
      <c r="A4776" s="830">
        <v>96846</v>
      </c>
      <c r="B4776" s="831" t="s">
        <v>9229</v>
      </c>
      <c r="C4776" s="830" t="s">
        <v>89</v>
      </c>
      <c r="D4776" s="832">
        <v>37.979999999999997</v>
      </c>
    </row>
    <row r="4777" spans="1:4" x14ac:dyDescent="0.3">
      <c r="A4777" s="830">
        <v>96847</v>
      </c>
      <c r="B4777" s="831" t="s">
        <v>9230</v>
      </c>
      <c r="C4777" s="830" t="s">
        <v>89</v>
      </c>
      <c r="D4777" s="832">
        <v>37.46</v>
      </c>
    </row>
    <row r="4778" spans="1:4" x14ac:dyDescent="0.3">
      <c r="A4778" s="830">
        <v>96848</v>
      </c>
      <c r="B4778" s="831" t="s">
        <v>9231</v>
      </c>
      <c r="C4778" s="830" t="s">
        <v>89</v>
      </c>
      <c r="D4778" s="832">
        <v>53.61</v>
      </c>
    </row>
    <row r="4779" spans="1:4" x14ac:dyDescent="0.3">
      <c r="A4779" s="830">
        <v>96849</v>
      </c>
      <c r="B4779" s="831" t="s">
        <v>9232</v>
      </c>
      <c r="C4779" s="830" t="s">
        <v>89</v>
      </c>
      <c r="D4779" s="832">
        <v>16.96</v>
      </c>
    </row>
    <row r="4780" spans="1:4" x14ac:dyDescent="0.3">
      <c r="A4780" s="830">
        <v>96850</v>
      </c>
      <c r="B4780" s="831" t="s">
        <v>9233</v>
      </c>
      <c r="C4780" s="830" t="s">
        <v>89</v>
      </c>
      <c r="D4780" s="832">
        <v>23.91</v>
      </c>
    </row>
    <row r="4781" spans="1:4" x14ac:dyDescent="0.3">
      <c r="A4781" s="830">
        <v>96852</v>
      </c>
      <c r="B4781" s="831" t="s">
        <v>9234</v>
      </c>
      <c r="C4781" s="830" t="s">
        <v>89</v>
      </c>
      <c r="D4781" s="832">
        <v>21.58</v>
      </c>
    </row>
    <row r="4782" spans="1:4" x14ac:dyDescent="0.3">
      <c r="A4782" s="830">
        <v>96853</v>
      </c>
      <c r="B4782" s="831" t="s">
        <v>9235</v>
      </c>
      <c r="C4782" s="830" t="s">
        <v>89</v>
      </c>
      <c r="D4782" s="832">
        <v>25.69</v>
      </c>
    </row>
    <row r="4783" spans="1:4" x14ac:dyDescent="0.3">
      <c r="A4783" s="830">
        <v>96854</v>
      </c>
      <c r="B4783" s="831" t="s">
        <v>9236</v>
      </c>
      <c r="C4783" s="830" t="s">
        <v>89</v>
      </c>
      <c r="D4783" s="832">
        <v>31.62</v>
      </c>
    </row>
    <row r="4784" spans="1:4" x14ac:dyDescent="0.3">
      <c r="A4784" s="830">
        <v>96855</v>
      </c>
      <c r="B4784" s="831" t="s">
        <v>9237</v>
      </c>
      <c r="C4784" s="830" t="s">
        <v>89</v>
      </c>
      <c r="D4784" s="832">
        <v>33.81</v>
      </c>
    </row>
    <row r="4785" spans="1:4" x14ac:dyDescent="0.3">
      <c r="A4785" s="830">
        <v>96856</v>
      </c>
      <c r="B4785" s="831" t="s">
        <v>9238</v>
      </c>
      <c r="C4785" s="830" t="s">
        <v>89</v>
      </c>
      <c r="D4785" s="832">
        <v>36.24</v>
      </c>
    </row>
    <row r="4786" spans="1:4" x14ac:dyDescent="0.3">
      <c r="A4786" s="830">
        <v>96860</v>
      </c>
      <c r="B4786" s="831" t="s">
        <v>9239</v>
      </c>
      <c r="C4786" s="830" t="s">
        <v>89</v>
      </c>
      <c r="D4786" s="832">
        <v>30.43</v>
      </c>
    </row>
    <row r="4787" spans="1:4" x14ac:dyDescent="0.3">
      <c r="A4787" s="830">
        <v>96861</v>
      </c>
      <c r="B4787" s="831" t="s">
        <v>9240</v>
      </c>
      <c r="C4787" s="830" t="s">
        <v>89</v>
      </c>
      <c r="D4787" s="832">
        <v>38.450000000000003</v>
      </c>
    </row>
    <row r="4788" spans="1:4" x14ac:dyDescent="0.3">
      <c r="A4788" s="830">
        <v>96862</v>
      </c>
      <c r="B4788" s="831" t="s">
        <v>9241</v>
      </c>
      <c r="C4788" s="830" t="s">
        <v>89</v>
      </c>
      <c r="D4788" s="832">
        <v>37.409999999999997</v>
      </c>
    </row>
    <row r="4789" spans="1:4" x14ac:dyDescent="0.3">
      <c r="A4789" s="830">
        <v>96863</v>
      </c>
      <c r="B4789" s="831" t="s">
        <v>9242</v>
      </c>
      <c r="C4789" s="830" t="s">
        <v>89</v>
      </c>
      <c r="D4789" s="832">
        <v>39.42</v>
      </c>
    </row>
    <row r="4790" spans="1:4" x14ac:dyDescent="0.3">
      <c r="A4790" s="830">
        <v>96864</v>
      </c>
      <c r="B4790" s="831" t="s">
        <v>9243</v>
      </c>
      <c r="C4790" s="830" t="s">
        <v>89</v>
      </c>
      <c r="D4790" s="832">
        <v>52.8</v>
      </c>
    </row>
    <row r="4791" spans="1:4" x14ac:dyDescent="0.3">
      <c r="A4791" s="830">
        <v>96865</v>
      </c>
      <c r="B4791" s="831" t="s">
        <v>9244</v>
      </c>
      <c r="C4791" s="830" t="s">
        <v>89</v>
      </c>
      <c r="D4791" s="832">
        <v>46.51</v>
      </c>
    </row>
    <row r="4792" spans="1:4" x14ac:dyDescent="0.3">
      <c r="A4792" s="830">
        <v>96866</v>
      </c>
      <c r="B4792" s="831" t="s">
        <v>9245</v>
      </c>
      <c r="C4792" s="830" t="s">
        <v>89</v>
      </c>
      <c r="D4792" s="832">
        <v>68.680000000000007</v>
      </c>
    </row>
    <row r="4793" spans="1:4" x14ac:dyDescent="0.3">
      <c r="A4793" s="830">
        <v>96868</v>
      </c>
      <c r="B4793" s="831" t="s">
        <v>9246</v>
      </c>
      <c r="C4793" s="830" t="s">
        <v>89</v>
      </c>
      <c r="D4793" s="832">
        <v>19.88</v>
      </c>
    </row>
    <row r="4794" spans="1:4" x14ac:dyDescent="0.3">
      <c r="A4794" s="830">
        <v>96869</v>
      </c>
      <c r="B4794" s="831" t="s">
        <v>9247</v>
      </c>
      <c r="C4794" s="830" t="s">
        <v>89</v>
      </c>
      <c r="D4794" s="832">
        <v>30.44</v>
      </c>
    </row>
    <row r="4795" spans="1:4" x14ac:dyDescent="0.3">
      <c r="A4795" s="830">
        <v>96870</v>
      </c>
      <c r="B4795" s="831" t="s">
        <v>9248</v>
      </c>
      <c r="C4795" s="830" t="s">
        <v>89</v>
      </c>
      <c r="D4795" s="832">
        <v>45.66</v>
      </c>
    </row>
    <row r="4796" spans="1:4" x14ac:dyDescent="0.3">
      <c r="A4796" s="830">
        <v>96871</v>
      </c>
      <c r="B4796" s="831" t="s">
        <v>9249</v>
      </c>
      <c r="C4796" s="830" t="s">
        <v>89</v>
      </c>
      <c r="D4796" s="832">
        <v>52.21</v>
      </c>
    </row>
    <row r="4797" spans="1:4" x14ac:dyDescent="0.3">
      <c r="A4797" s="830">
        <v>96872</v>
      </c>
      <c r="B4797" s="831" t="s">
        <v>9250</v>
      </c>
      <c r="C4797" s="830" t="s">
        <v>89</v>
      </c>
      <c r="D4797" s="832">
        <v>48.42</v>
      </c>
    </row>
    <row r="4798" spans="1:4" x14ac:dyDescent="0.3">
      <c r="A4798" s="830">
        <v>96873</v>
      </c>
      <c r="B4798" s="831" t="s">
        <v>9251</v>
      </c>
      <c r="C4798" s="830" t="s">
        <v>89</v>
      </c>
      <c r="D4798" s="832">
        <v>64.459999999999994</v>
      </c>
    </row>
    <row r="4799" spans="1:4" x14ac:dyDescent="0.3">
      <c r="A4799" s="830">
        <v>96874</v>
      </c>
      <c r="B4799" s="831" t="s">
        <v>9252</v>
      </c>
      <c r="C4799" s="830" t="s">
        <v>89</v>
      </c>
      <c r="D4799" s="832">
        <v>58.88</v>
      </c>
    </row>
    <row r="4800" spans="1:4" x14ac:dyDescent="0.3">
      <c r="A4800" s="830">
        <v>96875</v>
      </c>
      <c r="B4800" s="831" t="s">
        <v>9253</v>
      </c>
      <c r="C4800" s="830" t="s">
        <v>89</v>
      </c>
      <c r="D4800" s="832">
        <v>77.22</v>
      </c>
    </row>
    <row r="4801" spans="1:4" x14ac:dyDescent="0.3">
      <c r="A4801" s="830">
        <v>96876</v>
      </c>
      <c r="B4801" s="831" t="s">
        <v>9254</v>
      </c>
      <c r="C4801" s="830" t="s">
        <v>89</v>
      </c>
      <c r="D4801" s="832">
        <v>180.09</v>
      </c>
    </row>
    <row r="4802" spans="1:4" x14ac:dyDescent="0.3">
      <c r="A4802" s="830">
        <v>96878</v>
      </c>
      <c r="B4802" s="831" t="s">
        <v>9255</v>
      </c>
      <c r="C4802" s="830" t="s">
        <v>89</v>
      </c>
      <c r="D4802" s="832">
        <v>202.03</v>
      </c>
    </row>
    <row r="4803" spans="1:4" x14ac:dyDescent="0.3">
      <c r="A4803" s="830">
        <v>96879</v>
      </c>
      <c r="B4803" s="831" t="s">
        <v>9256</v>
      </c>
      <c r="C4803" s="830" t="s">
        <v>89</v>
      </c>
      <c r="D4803" s="832">
        <v>195.81</v>
      </c>
    </row>
    <row r="4804" spans="1:4" x14ac:dyDescent="0.3">
      <c r="A4804" s="830">
        <v>96881</v>
      </c>
      <c r="B4804" s="831" t="s">
        <v>9257</v>
      </c>
      <c r="C4804" s="830" t="s">
        <v>89</v>
      </c>
      <c r="D4804" s="832">
        <v>232.02</v>
      </c>
    </row>
    <row r="4805" spans="1:4" x14ac:dyDescent="0.3">
      <c r="A4805" s="830">
        <v>97430</v>
      </c>
      <c r="B4805" s="831" t="s">
        <v>9258</v>
      </c>
      <c r="C4805" s="830" t="s">
        <v>89</v>
      </c>
      <c r="D4805" s="832">
        <v>41.77</v>
      </c>
    </row>
    <row r="4806" spans="1:4" x14ac:dyDescent="0.3">
      <c r="A4806" s="830">
        <v>97431</v>
      </c>
      <c r="B4806" s="831" t="s">
        <v>9259</v>
      </c>
      <c r="C4806" s="830" t="s">
        <v>89</v>
      </c>
      <c r="D4806" s="832">
        <v>46.7</v>
      </c>
    </row>
    <row r="4807" spans="1:4" x14ac:dyDescent="0.3">
      <c r="A4807" s="830">
        <v>97432</v>
      </c>
      <c r="B4807" s="831" t="s">
        <v>9260</v>
      </c>
      <c r="C4807" s="830" t="s">
        <v>89</v>
      </c>
      <c r="D4807" s="832">
        <v>52.71</v>
      </c>
    </row>
    <row r="4808" spans="1:4" x14ac:dyDescent="0.3">
      <c r="A4808" s="830">
        <v>97433</v>
      </c>
      <c r="B4808" s="831" t="s">
        <v>9261</v>
      </c>
      <c r="C4808" s="830" t="s">
        <v>89</v>
      </c>
      <c r="D4808" s="832">
        <v>93.39</v>
      </c>
    </row>
    <row r="4809" spans="1:4" x14ac:dyDescent="0.3">
      <c r="A4809" s="830">
        <v>97434</v>
      </c>
      <c r="B4809" s="831" t="s">
        <v>9262</v>
      </c>
      <c r="C4809" s="830" t="s">
        <v>89</v>
      </c>
      <c r="D4809" s="832">
        <v>95.08</v>
      </c>
    </row>
    <row r="4810" spans="1:4" x14ac:dyDescent="0.3">
      <c r="A4810" s="830">
        <v>97435</v>
      </c>
      <c r="B4810" s="831" t="s">
        <v>9263</v>
      </c>
      <c r="C4810" s="830" t="s">
        <v>89</v>
      </c>
      <c r="D4810" s="832">
        <v>109.21</v>
      </c>
    </row>
    <row r="4811" spans="1:4" x14ac:dyDescent="0.3">
      <c r="A4811" s="830">
        <v>97436</v>
      </c>
      <c r="B4811" s="831" t="s">
        <v>9264</v>
      </c>
      <c r="C4811" s="830" t="s">
        <v>89</v>
      </c>
      <c r="D4811" s="832">
        <v>112.44</v>
      </c>
    </row>
    <row r="4812" spans="1:4" x14ac:dyDescent="0.3">
      <c r="A4812" s="830">
        <v>97437</v>
      </c>
      <c r="B4812" s="831" t="s">
        <v>9265</v>
      </c>
      <c r="C4812" s="830" t="s">
        <v>89</v>
      </c>
      <c r="D4812" s="832">
        <v>124.93</v>
      </c>
    </row>
    <row r="4813" spans="1:4" x14ac:dyDescent="0.3">
      <c r="A4813" s="830">
        <v>97438</v>
      </c>
      <c r="B4813" s="831" t="s">
        <v>9266</v>
      </c>
      <c r="C4813" s="830" t="s">
        <v>89</v>
      </c>
      <c r="D4813" s="832">
        <v>128.38999999999999</v>
      </c>
    </row>
    <row r="4814" spans="1:4" x14ac:dyDescent="0.3">
      <c r="A4814" s="830">
        <v>97439</v>
      </c>
      <c r="B4814" s="831" t="s">
        <v>9267</v>
      </c>
      <c r="C4814" s="830" t="s">
        <v>89</v>
      </c>
      <c r="D4814" s="832">
        <v>140.65</v>
      </c>
    </row>
    <row r="4815" spans="1:4" x14ac:dyDescent="0.3">
      <c r="A4815" s="830">
        <v>97440</v>
      </c>
      <c r="B4815" s="831" t="s">
        <v>9268</v>
      </c>
      <c r="C4815" s="830" t="s">
        <v>89</v>
      </c>
      <c r="D4815" s="832">
        <v>168.43</v>
      </c>
    </row>
    <row r="4816" spans="1:4" x14ac:dyDescent="0.3">
      <c r="A4816" s="830">
        <v>97442</v>
      </c>
      <c r="B4816" s="831" t="s">
        <v>9269</v>
      </c>
      <c r="C4816" s="830" t="s">
        <v>89</v>
      </c>
      <c r="D4816" s="832">
        <v>186.13</v>
      </c>
    </row>
    <row r="4817" spans="1:4" x14ac:dyDescent="0.3">
      <c r="A4817" s="830">
        <v>97443</v>
      </c>
      <c r="B4817" s="831" t="s">
        <v>9270</v>
      </c>
      <c r="C4817" s="830" t="s">
        <v>89</v>
      </c>
      <c r="D4817" s="832">
        <v>117.51</v>
      </c>
    </row>
    <row r="4818" spans="1:4" x14ac:dyDescent="0.3">
      <c r="A4818" s="830">
        <v>97444</v>
      </c>
      <c r="B4818" s="831" t="s">
        <v>9271</v>
      </c>
      <c r="C4818" s="830" t="s">
        <v>89</v>
      </c>
      <c r="D4818" s="832">
        <v>137.9</v>
      </c>
    </row>
    <row r="4819" spans="1:4" x14ac:dyDescent="0.3">
      <c r="A4819" s="830">
        <v>97446</v>
      </c>
      <c r="B4819" s="831" t="s">
        <v>9272</v>
      </c>
      <c r="C4819" s="830" t="s">
        <v>89</v>
      </c>
      <c r="D4819" s="832">
        <v>237.28</v>
      </c>
    </row>
    <row r="4820" spans="1:4" x14ac:dyDescent="0.3">
      <c r="A4820" s="830">
        <v>97447</v>
      </c>
      <c r="B4820" s="831" t="s">
        <v>9273</v>
      </c>
      <c r="C4820" s="830" t="s">
        <v>89</v>
      </c>
      <c r="D4820" s="832">
        <v>237.28</v>
      </c>
    </row>
    <row r="4821" spans="1:4" x14ac:dyDescent="0.3">
      <c r="A4821" s="830">
        <v>97449</v>
      </c>
      <c r="B4821" s="831" t="s">
        <v>9274</v>
      </c>
      <c r="C4821" s="830" t="s">
        <v>89</v>
      </c>
      <c r="D4821" s="832">
        <v>252.93</v>
      </c>
    </row>
    <row r="4822" spans="1:4" x14ac:dyDescent="0.3">
      <c r="A4822" s="830">
        <v>97450</v>
      </c>
      <c r="B4822" s="831" t="s">
        <v>9275</v>
      </c>
      <c r="C4822" s="830" t="s">
        <v>89</v>
      </c>
      <c r="D4822" s="832">
        <v>308.45</v>
      </c>
    </row>
    <row r="4823" spans="1:4" x14ac:dyDescent="0.3">
      <c r="A4823" s="830">
        <v>97452</v>
      </c>
      <c r="B4823" s="831" t="s">
        <v>9276</v>
      </c>
      <c r="C4823" s="830" t="s">
        <v>89</v>
      </c>
      <c r="D4823" s="832">
        <v>192.81</v>
      </c>
    </row>
    <row r="4824" spans="1:4" x14ac:dyDescent="0.3">
      <c r="A4824" s="830">
        <v>97453</v>
      </c>
      <c r="B4824" s="831" t="s">
        <v>9277</v>
      </c>
      <c r="C4824" s="830" t="s">
        <v>89</v>
      </c>
      <c r="D4824" s="832">
        <v>204.45</v>
      </c>
    </row>
    <row r="4825" spans="1:4" x14ac:dyDescent="0.3">
      <c r="A4825" s="830">
        <v>97454</v>
      </c>
      <c r="B4825" s="831" t="s">
        <v>9278</v>
      </c>
      <c r="C4825" s="830" t="s">
        <v>89</v>
      </c>
      <c r="D4825" s="832">
        <v>326.23</v>
      </c>
    </row>
    <row r="4826" spans="1:4" x14ac:dyDescent="0.3">
      <c r="A4826" s="830">
        <v>97455</v>
      </c>
      <c r="B4826" s="831" t="s">
        <v>9279</v>
      </c>
      <c r="C4826" s="830" t="s">
        <v>89</v>
      </c>
      <c r="D4826" s="832">
        <v>344.84</v>
      </c>
    </row>
    <row r="4827" spans="1:4" x14ac:dyDescent="0.3">
      <c r="A4827" s="830">
        <v>97456</v>
      </c>
      <c r="B4827" s="831" t="s">
        <v>9280</v>
      </c>
      <c r="C4827" s="830" t="s">
        <v>89</v>
      </c>
      <c r="D4827" s="832">
        <v>734.18</v>
      </c>
    </row>
    <row r="4828" spans="1:4" x14ac:dyDescent="0.3">
      <c r="A4828" s="830">
        <v>97457</v>
      </c>
      <c r="B4828" s="831" t="s">
        <v>9281</v>
      </c>
      <c r="C4828" s="830" t="s">
        <v>89</v>
      </c>
      <c r="D4828" s="832">
        <v>650.69000000000005</v>
      </c>
    </row>
    <row r="4829" spans="1:4" x14ac:dyDescent="0.3">
      <c r="A4829" s="830">
        <v>97458</v>
      </c>
      <c r="B4829" s="831" t="s">
        <v>9282</v>
      </c>
      <c r="C4829" s="830" t="s">
        <v>89</v>
      </c>
      <c r="D4829" s="832">
        <v>303.89</v>
      </c>
    </row>
    <row r="4830" spans="1:4" x14ac:dyDescent="0.3">
      <c r="A4830" s="830">
        <v>97459</v>
      </c>
      <c r="B4830" s="831" t="s">
        <v>9283</v>
      </c>
      <c r="C4830" s="830" t="s">
        <v>89</v>
      </c>
      <c r="D4830" s="832">
        <v>518.66999999999996</v>
      </c>
    </row>
    <row r="4831" spans="1:4" x14ac:dyDescent="0.3">
      <c r="A4831" s="830">
        <v>97460</v>
      </c>
      <c r="B4831" s="831" t="s">
        <v>9284</v>
      </c>
      <c r="C4831" s="830" t="s">
        <v>89</v>
      </c>
      <c r="D4831" s="832">
        <v>794.84</v>
      </c>
    </row>
    <row r="4832" spans="1:4" x14ac:dyDescent="0.3">
      <c r="A4832" s="830">
        <v>97461</v>
      </c>
      <c r="B4832" s="831" t="s">
        <v>9285</v>
      </c>
      <c r="C4832" s="830" t="s">
        <v>89</v>
      </c>
      <c r="D4832" s="832">
        <v>37.049999999999997</v>
      </c>
    </row>
    <row r="4833" spans="1:4" x14ac:dyDescent="0.3">
      <c r="A4833" s="830">
        <v>97462</v>
      </c>
      <c r="B4833" s="831" t="s">
        <v>9286</v>
      </c>
      <c r="C4833" s="830" t="s">
        <v>89</v>
      </c>
      <c r="D4833" s="832">
        <v>31.08</v>
      </c>
    </row>
    <row r="4834" spans="1:4" x14ac:dyDescent="0.3">
      <c r="A4834" s="830">
        <v>97464</v>
      </c>
      <c r="B4834" s="831" t="s">
        <v>9287</v>
      </c>
      <c r="C4834" s="830" t="s">
        <v>89</v>
      </c>
      <c r="D4834" s="832">
        <v>53.22</v>
      </c>
    </row>
    <row r="4835" spans="1:4" x14ac:dyDescent="0.3">
      <c r="A4835" s="830">
        <v>97465</v>
      </c>
      <c r="B4835" s="831" t="s">
        <v>9288</v>
      </c>
      <c r="C4835" s="830" t="s">
        <v>89</v>
      </c>
      <c r="D4835" s="832">
        <v>63.29</v>
      </c>
    </row>
    <row r="4836" spans="1:4" x14ac:dyDescent="0.3">
      <c r="A4836" s="830">
        <v>97467</v>
      </c>
      <c r="B4836" s="831" t="s">
        <v>9289</v>
      </c>
      <c r="C4836" s="830" t="s">
        <v>89</v>
      </c>
      <c r="D4836" s="832">
        <v>67.510000000000005</v>
      </c>
    </row>
    <row r="4837" spans="1:4" x14ac:dyDescent="0.3">
      <c r="A4837" s="830">
        <v>97468</v>
      </c>
      <c r="B4837" s="831" t="s">
        <v>9290</v>
      </c>
      <c r="C4837" s="830" t="s">
        <v>89</v>
      </c>
      <c r="D4837" s="832">
        <v>80.41</v>
      </c>
    </row>
    <row r="4838" spans="1:4" x14ac:dyDescent="0.3">
      <c r="A4838" s="830">
        <v>97470</v>
      </c>
      <c r="B4838" s="831" t="s">
        <v>9291</v>
      </c>
      <c r="C4838" s="830" t="s">
        <v>89</v>
      </c>
      <c r="D4838" s="832">
        <v>99.41</v>
      </c>
    </row>
    <row r="4839" spans="1:4" x14ac:dyDescent="0.3">
      <c r="A4839" s="830">
        <v>97471</v>
      </c>
      <c r="B4839" s="831" t="s">
        <v>9292</v>
      </c>
      <c r="C4839" s="830" t="s">
        <v>89</v>
      </c>
      <c r="D4839" s="832">
        <v>119.8</v>
      </c>
    </row>
    <row r="4840" spans="1:4" x14ac:dyDescent="0.3">
      <c r="A4840" s="830">
        <v>97474</v>
      </c>
      <c r="B4840" s="831" t="s">
        <v>9293</v>
      </c>
      <c r="C4840" s="830" t="s">
        <v>89</v>
      </c>
      <c r="D4840" s="832">
        <v>181.05</v>
      </c>
    </row>
    <row r="4841" spans="1:4" x14ac:dyDescent="0.3">
      <c r="A4841" s="830">
        <v>97475</v>
      </c>
      <c r="B4841" s="831" t="s">
        <v>9294</v>
      </c>
      <c r="C4841" s="830" t="s">
        <v>89</v>
      </c>
      <c r="D4841" s="832">
        <v>222.26</v>
      </c>
    </row>
    <row r="4842" spans="1:4" x14ac:dyDescent="0.3">
      <c r="A4842" s="830">
        <v>97477</v>
      </c>
      <c r="B4842" s="831" t="s">
        <v>9295</v>
      </c>
      <c r="C4842" s="830" t="s">
        <v>89</v>
      </c>
      <c r="D4842" s="832">
        <v>241</v>
      </c>
    </row>
    <row r="4843" spans="1:4" x14ac:dyDescent="0.3">
      <c r="A4843" s="830">
        <v>97478</v>
      </c>
      <c r="B4843" s="831" t="s">
        <v>9296</v>
      </c>
      <c r="C4843" s="830" t="s">
        <v>89</v>
      </c>
      <c r="D4843" s="832">
        <v>296.52</v>
      </c>
    </row>
    <row r="4844" spans="1:4" x14ac:dyDescent="0.3">
      <c r="A4844" s="830">
        <v>97479</v>
      </c>
      <c r="B4844" s="831" t="s">
        <v>9297</v>
      </c>
      <c r="C4844" s="830" t="s">
        <v>89</v>
      </c>
      <c r="D4844" s="832">
        <v>59.57</v>
      </c>
    </row>
    <row r="4845" spans="1:4" x14ac:dyDescent="0.3">
      <c r="A4845" s="830">
        <v>97480</v>
      </c>
      <c r="B4845" s="831" t="s">
        <v>9298</v>
      </c>
      <c r="C4845" s="830" t="s">
        <v>89</v>
      </c>
      <c r="D4845" s="832">
        <v>59.57</v>
      </c>
    </row>
    <row r="4846" spans="1:4" x14ac:dyDescent="0.3">
      <c r="A4846" s="830">
        <v>97481</v>
      </c>
      <c r="B4846" s="831" t="s">
        <v>9299</v>
      </c>
      <c r="C4846" s="830" t="s">
        <v>89</v>
      </c>
      <c r="D4846" s="832">
        <v>86.12</v>
      </c>
    </row>
    <row r="4847" spans="1:4" x14ac:dyDescent="0.3">
      <c r="A4847" s="830">
        <v>97482</v>
      </c>
      <c r="B4847" s="831" t="s">
        <v>9300</v>
      </c>
      <c r="C4847" s="830" t="s">
        <v>89</v>
      </c>
      <c r="D4847" s="832">
        <v>86.12</v>
      </c>
    </row>
    <row r="4848" spans="1:4" x14ac:dyDescent="0.3">
      <c r="A4848" s="830">
        <v>97483</v>
      </c>
      <c r="B4848" s="831" t="s">
        <v>9301</v>
      </c>
      <c r="C4848" s="830" t="s">
        <v>89</v>
      </c>
      <c r="D4848" s="832">
        <v>120.34</v>
      </c>
    </row>
    <row r="4849" spans="1:4" x14ac:dyDescent="0.3">
      <c r="A4849" s="830">
        <v>97484</v>
      </c>
      <c r="B4849" s="831" t="s">
        <v>9302</v>
      </c>
      <c r="C4849" s="830" t="s">
        <v>89</v>
      </c>
      <c r="D4849" s="832">
        <v>120.34</v>
      </c>
    </row>
    <row r="4850" spans="1:4" x14ac:dyDescent="0.3">
      <c r="A4850" s="830">
        <v>97485</v>
      </c>
      <c r="B4850" s="831" t="s">
        <v>9303</v>
      </c>
      <c r="C4850" s="830" t="s">
        <v>89</v>
      </c>
      <c r="D4850" s="832">
        <v>165.7</v>
      </c>
    </row>
    <row r="4851" spans="1:4" x14ac:dyDescent="0.3">
      <c r="A4851" s="830">
        <v>97486</v>
      </c>
      <c r="B4851" s="831" t="s">
        <v>9304</v>
      </c>
      <c r="C4851" s="830" t="s">
        <v>89</v>
      </c>
      <c r="D4851" s="832">
        <v>177.34</v>
      </c>
    </row>
    <row r="4852" spans="1:4" x14ac:dyDescent="0.3">
      <c r="A4852" s="830">
        <v>97487</v>
      </c>
      <c r="B4852" s="831" t="s">
        <v>9305</v>
      </c>
      <c r="C4852" s="830" t="s">
        <v>89</v>
      </c>
      <c r="D4852" s="832">
        <v>303.77</v>
      </c>
    </row>
    <row r="4853" spans="1:4" x14ac:dyDescent="0.3">
      <c r="A4853" s="830">
        <v>97488</v>
      </c>
      <c r="B4853" s="831" t="s">
        <v>9306</v>
      </c>
      <c r="C4853" s="830" t="s">
        <v>89</v>
      </c>
      <c r="D4853" s="832">
        <v>322.38</v>
      </c>
    </row>
    <row r="4854" spans="1:4" x14ac:dyDescent="0.3">
      <c r="A4854" s="830">
        <v>97489</v>
      </c>
      <c r="B4854" s="831" t="s">
        <v>9307</v>
      </c>
      <c r="C4854" s="830" t="s">
        <v>89</v>
      </c>
      <c r="D4854" s="832">
        <v>716.25</v>
      </c>
    </row>
    <row r="4855" spans="1:4" x14ac:dyDescent="0.3">
      <c r="A4855" s="830">
        <v>97490</v>
      </c>
      <c r="B4855" s="831" t="s">
        <v>9308</v>
      </c>
      <c r="C4855" s="830" t="s">
        <v>89</v>
      </c>
      <c r="D4855" s="832">
        <v>632.76</v>
      </c>
    </row>
    <row r="4856" spans="1:4" x14ac:dyDescent="0.3">
      <c r="A4856" s="830">
        <v>97491</v>
      </c>
      <c r="B4856" s="831" t="s">
        <v>9309</v>
      </c>
      <c r="C4856" s="830" t="s">
        <v>89</v>
      </c>
      <c r="D4856" s="832">
        <v>91.78</v>
      </c>
    </row>
    <row r="4857" spans="1:4" x14ac:dyDescent="0.3">
      <c r="A4857" s="830">
        <v>97492</v>
      </c>
      <c r="B4857" s="831" t="s">
        <v>9310</v>
      </c>
      <c r="C4857" s="830" t="s">
        <v>89</v>
      </c>
      <c r="D4857" s="832">
        <v>134.33000000000001</v>
      </c>
    </row>
    <row r="4858" spans="1:4" x14ac:dyDescent="0.3">
      <c r="A4858" s="830">
        <v>97493</v>
      </c>
      <c r="B4858" s="831" t="s">
        <v>9311</v>
      </c>
      <c r="C4858" s="830" t="s">
        <v>89</v>
      </c>
      <c r="D4858" s="832">
        <v>173.11</v>
      </c>
    </row>
    <row r="4859" spans="1:4" x14ac:dyDescent="0.3">
      <c r="A4859" s="830">
        <v>97494</v>
      </c>
      <c r="B4859" s="831" t="s">
        <v>9312</v>
      </c>
      <c r="C4859" s="830" t="s">
        <v>89</v>
      </c>
      <c r="D4859" s="832">
        <v>267.7</v>
      </c>
    </row>
    <row r="4860" spans="1:4" x14ac:dyDescent="0.3">
      <c r="A4860" s="830">
        <v>97495</v>
      </c>
      <c r="B4860" s="831" t="s">
        <v>9313</v>
      </c>
      <c r="C4860" s="830" t="s">
        <v>89</v>
      </c>
      <c r="D4860" s="832">
        <v>488.65</v>
      </c>
    </row>
    <row r="4861" spans="1:4" x14ac:dyDescent="0.3">
      <c r="A4861" s="830">
        <v>97496</v>
      </c>
      <c r="B4861" s="831" t="s">
        <v>9314</v>
      </c>
      <c r="C4861" s="830" t="s">
        <v>89</v>
      </c>
      <c r="D4861" s="832">
        <v>771</v>
      </c>
    </row>
    <row r="4862" spans="1:4" x14ac:dyDescent="0.3">
      <c r="A4862" s="830">
        <v>97499</v>
      </c>
      <c r="B4862" s="831" t="s">
        <v>9315</v>
      </c>
      <c r="C4862" s="830" t="s">
        <v>89</v>
      </c>
      <c r="D4862" s="832">
        <v>34.130000000000003</v>
      </c>
    </row>
    <row r="4863" spans="1:4" x14ac:dyDescent="0.3">
      <c r="A4863" s="830">
        <v>97500</v>
      </c>
      <c r="B4863" s="831" t="s">
        <v>9316</v>
      </c>
      <c r="C4863" s="830" t="s">
        <v>89</v>
      </c>
      <c r="D4863" s="832">
        <v>28.16</v>
      </c>
    </row>
    <row r="4864" spans="1:4" x14ac:dyDescent="0.3">
      <c r="A4864" s="830">
        <v>97502</v>
      </c>
      <c r="B4864" s="831" t="s">
        <v>9317</v>
      </c>
      <c r="C4864" s="830" t="s">
        <v>89</v>
      </c>
      <c r="D4864" s="832">
        <v>47.8</v>
      </c>
    </row>
    <row r="4865" spans="1:4" x14ac:dyDescent="0.3">
      <c r="A4865" s="830">
        <v>97503</v>
      </c>
      <c r="B4865" s="831" t="s">
        <v>9318</v>
      </c>
      <c r="C4865" s="830" t="s">
        <v>89</v>
      </c>
      <c r="D4865" s="832">
        <v>58.14</v>
      </c>
    </row>
    <row r="4866" spans="1:4" x14ac:dyDescent="0.3">
      <c r="A4866" s="830">
        <v>97505</v>
      </c>
      <c r="B4866" s="831" t="s">
        <v>9319</v>
      </c>
      <c r="C4866" s="830" t="s">
        <v>89</v>
      </c>
      <c r="D4866" s="832">
        <v>59.87</v>
      </c>
    </row>
    <row r="4867" spans="1:4" x14ac:dyDescent="0.3">
      <c r="A4867" s="830">
        <v>97506</v>
      </c>
      <c r="B4867" s="831" t="s">
        <v>9320</v>
      </c>
      <c r="C4867" s="830" t="s">
        <v>89</v>
      </c>
      <c r="D4867" s="832">
        <v>72.77</v>
      </c>
    </row>
    <row r="4868" spans="1:4" x14ac:dyDescent="0.3">
      <c r="A4868" s="830">
        <v>97508</v>
      </c>
      <c r="B4868" s="831" t="s">
        <v>9321</v>
      </c>
      <c r="C4868" s="830" t="s">
        <v>89</v>
      </c>
      <c r="D4868" s="832">
        <v>88.61</v>
      </c>
    </row>
    <row r="4869" spans="1:4" x14ac:dyDescent="0.3">
      <c r="A4869" s="830">
        <v>97509</v>
      </c>
      <c r="B4869" s="831" t="s">
        <v>9322</v>
      </c>
      <c r="C4869" s="830" t="s">
        <v>89</v>
      </c>
      <c r="D4869" s="832">
        <v>109</v>
      </c>
    </row>
    <row r="4870" spans="1:4" x14ac:dyDescent="0.3">
      <c r="A4870" s="830">
        <v>97511</v>
      </c>
      <c r="B4870" s="831" t="s">
        <v>9323</v>
      </c>
      <c r="C4870" s="830" t="s">
        <v>89</v>
      </c>
      <c r="D4870" s="832">
        <v>165.52</v>
      </c>
    </row>
    <row r="4871" spans="1:4" x14ac:dyDescent="0.3">
      <c r="A4871" s="830">
        <v>97512</v>
      </c>
      <c r="B4871" s="831" t="s">
        <v>9324</v>
      </c>
      <c r="C4871" s="830" t="s">
        <v>89</v>
      </c>
      <c r="D4871" s="832">
        <v>206.73</v>
      </c>
    </row>
    <row r="4872" spans="1:4" x14ac:dyDescent="0.3">
      <c r="A4872" s="830">
        <v>97514</v>
      </c>
      <c r="B4872" s="831" t="s">
        <v>9325</v>
      </c>
      <c r="C4872" s="830" t="s">
        <v>89</v>
      </c>
      <c r="D4872" s="832">
        <v>220.59</v>
      </c>
    </row>
    <row r="4873" spans="1:4" x14ac:dyDescent="0.3">
      <c r="A4873" s="830">
        <v>97515</v>
      </c>
      <c r="B4873" s="831" t="s">
        <v>9326</v>
      </c>
      <c r="C4873" s="830" t="s">
        <v>89</v>
      </c>
      <c r="D4873" s="832">
        <v>276.11</v>
      </c>
    </row>
    <row r="4874" spans="1:4" x14ac:dyDescent="0.3">
      <c r="A4874" s="830">
        <v>97517</v>
      </c>
      <c r="B4874" s="831" t="s">
        <v>9327</v>
      </c>
      <c r="C4874" s="830" t="s">
        <v>89</v>
      </c>
      <c r="D4874" s="832">
        <v>55.2</v>
      </c>
    </row>
    <row r="4875" spans="1:4" x14ac:dyDescent="0.3">
      <c r="A4875" s="830">
        <v>97518</v>
      </c>
      <c r="B4875" s="831" t="s">
        <v>9328</v>
      </c>
      <c r="C4875" s="830" t="s">
        <v>89</v>
      </c>
      <c r="D4875" s="832">
        <v>55.2</v>
      </c>
    </row>
    <row r="4876" spans="1:4" x14ac:dyDescent="0.3">
      <c r="A4876" s="830">
        <v>97519</v>
      </c>
      <c r="B4876" s="831" t="s">
        <v>9329</v>
      </c>
      <c r="C4876" s="830" t="s">
        <v>89</v>
      </c>
      <c r="D4876" s="832">
        <v>78.39</v>
      </c>
    </row>
    <row r="4877" spans="1:4" x14ac:dyDescent="0.3">
      <c r="A4877" s="830">
        <v>97520</v>
      </c>
      <c r="B4877" s="831" t="s">
        <v>9330</v>
      </c>
      <c r="C4877" s="830" t="s">
        <v>89</v>
      </c>
      <c r="D4877" s="832">
        <v>78.39</v>
      </c>
    </row>
    <row r="4878" spans="1:4" x14ac:dyDescent="0.3">
      <c r="A4878" s="830">
        <v>97521</v>
      </c>
      <c r="B4878" s="831" t="s">
        <v>9331</v>
      </c>
      <c r="C4878" s="830" t="s">
        <v>89</v>
      </c>
      <c r="D4878" s="832">
        <v>108.85</v>
      </c>
    </row>
    <row r="4879" spans="1:4" x14ac:dyDescent="0.3">
      <c r="A4879" s="830">
        <v>97522</v>
      </c>
      <c r="B4879" s="831" t="s">
        <v>9332</v>
      </c>
      <c r="C4879" s="830" t="s">
        <v>89</v>
      </c>
      <c r="D4879" s="832">
        <v>108.85</v>
      </c>
    </row>
    <row r="4880" spans="1:4" x14ac:dyDescent="0.3">
      <c r="A4880" s="830">
        <v>97523</v>
      </c>
      <c r="B4880" s="831" t="s">
        <v>9333</v>
      </c>
      <c r="C4880" s="830" t="s">
        <v>89</v>
      </c>
      <c r="D4880" s="832">
        <v>149.49</v>
      </c>
    </row>
    <row r="4881" spans="1:4" x14ac:dyDescent="0.3">
      <c r="A4881" s="830">
        <v>97524</v>
      </c>
      <c r="B4881" s="831" t="s">
        <v>9334</v>
      </c>
      <c r="C4881" s="830" t="s">
        <v>89</v>
      </c>
      <c r="D4881" s="832">
        <v>161.13</v>
      </c>
    </row>
    <row r="4882" spans="1:4" x14ac:dyDescent="0.3">
      <c r="A4882" s="830">
        <v>97525</v>
      </c>
      <c r="B4882" s="831" t="s">
        <v>9335</v>
      </c>
      <c r="C4882" s="830" t="s">
        <v>89</v>
      </c>
      <c r="D4882" s="832">
        <v>280.35000000000002</v>
      </c>
    </row>
    <row r="4883" spans="1:4" x14ac:dyDescent="0.3">
      <c r="A4883" s="830">
        <v>97526</v>
      </c>
      <c r="B4883" s="831" t="s">
        <v>9336</v>
      </c>
      <c r="C4883" s="830" t="s">
        <v>89</v>
      </c>
      <c r="D4883" s="832">
        <v>298.95999999999998</v>
      </c>
    </row>
    <row r="4884" spans="1:4" x14ac:dyDescent="0.3">
      <c r="A4884" s="830">
        <v>97527</v>
      </c>
      <c r="B4884" s="831" t="s">
        <v>9337</v>
      </c>
      <c r="C4884" s="830" t="s">
        <v>89</v>
      </c>
      <c r="D4884" s="832">
        <v>685.73</v>
      </c>
    </row>
    <row r="4885" spans="1:4" x14ac:dyDescent="0.3">
      <c r="A4885" s="830">
        <v>97528</v>
      </c>
      <c r="B4885" s="831" t="s">
        <v>9338</v>
      </c>
      <c r="C4885" s="830" t="s">
        <v>89</v>
      </c>
      <c r="D4885" s="832">
        <v>602.24</v>
      </c>
    </row>
    <row r="4886" spans="1:4" x14ac:dyDescent="0.3">
      <c r="A4886" s="830">
        <v>97529</v>
      </c>
      <c r="B4886" s="831" t="s">
        <v>9339</v>
      </c>
      <c r="C4886" s="830" t="s">
        <v>89</v>
      </c>
      <c r="D4886" s="832">
        <v>86.03</v>
      </c>
    </row>
    <row r="4887" spans="1:4" x14ac:dyDescent="0.3">
      <c r="A4887" s="830">
        <v>97530</v>
      </c>
      <c r="B4887" s="831" t="s">
        <v>9340</v>
      </c>
      <c r="C4887" s="830" t="s">
        <v>89</v>
      </c>
      <c r="D4887" s="832">
        <v>124.03</v>
      </c>
    </row>
    <row r="4888" spans="1:4" x14ac:dyDescent="0.3">
      <c r="A4888" s="830">
        <v>97531</v>
      </c>
      <c r="B4888" s="831" t="s">
        <v>9341</v>
      </c>
      <c r="C4888" s="830" t="s">
        <v>89</v>
      </c>
      <c r="D4888" s="832">
        <v>157.76</v>
      </c>
    </row>
    <row r="4889" spans="1:4" x14ac:dyDescent="0.3">
      <c r="A4889" s="830">
        <v>97532</v>
      </c>
      <c r="B4889" s="831" t="s">
        <v>9342</v>
      </c>
      <c r="C4889" s="830" t="s">
        <v>89</v>
      </c>
      <c r="D4889" s="832">
        <v>246.09</v>
      </c>
    </row>
    <row r="4890" spans="1:4" x14ac:dyDescent="0.3">
      <c r="A4890" s="830">
        <v>97533</v>
      </c>
      <c r="B4890" s="831" t="s">
        <v>9343</v>
      </c>
      <c r="C4890" s="830" t="s">
        <v>89</v>
      </c>
      <c r="D4890" s="832">
        <v>462.06</v>
      </c>
    </row>
    <row r="4891" spans="1:4" x14ac:dyDescent="0.3">
      <c r="A4891" s="830">
        <v>97534</v>
      </c>
      <c r="B4891" s="831" t="s">
        <v>9344</v>
      </c>
      <c r="C4891" s="830" t="s">
        <v>89</v>
      </c>
      <c r="D4891" s="832">
        <v>730.26</v>
      </c>
    </row>
    <row r="4892" spans="1:4" x14ac:dyDescent="0.3">
      <c r="A4892" s="830">
        <v>97537</v>
      </c>
      <c r="B4892" s="831" t="s">
        <v>9345</v>
      </c>
      <c r="C4892" s="830" t="s">
        <v>89</v>
      </c>
      <c r="D4892" s="832">
        <v>25.71</v>
      </c>
    </row>
    <row r="4893" spans="1:4" x14ac:dyDescent="0.3">
      <c r="A4893" s="830">
        <v>97540</v>
      </c>
      <c r="B4893" s="831" t="s">
        <v>9346</v>
      </c>
      <c r="C4893" s="830" t="s">
        <v>89</v>
      </c>
      <c r="D4893" s="832">
        <v>34.770000000000003</v>
      </c>
    </row>
    <row r="4894" spans="1:4" x14ac:dyDescent="0.3">
      <c r="A4894" s="830">
        <v>97541</v>
      </c>
      <c r="B4894" s="831" t="s">
        <v>9347</v>
      </c>
      <c r="C4894" s="830" t="s">
        <v>89</v>
      </c>
      <c r="D4894" s="832">
        <v>29.81</v>
      </c>
    </row>
    <row r="4895" spans="1:4" x14ac:dyDescent="0.3">
      <c r="A4895" s="830">
        <v>97543</v>
      </c>
      <c r="B4895" s="831" t="s">
        <v>9348</v>
      </c>
      <c r="C4895" s="830" t="s">
        <v>89</v>
      </c>
      <c r="D4895" s="832">
        <v>56.86</v>
      </c>
    </row>
    <row r="4896" spans="1:4" x14ac:dyDescent="0.3">
      <c r="A4896" s="830">
        <v>97544</v>
      </c>
      <c r="B4896" s="831" t="s">
        <v>9349</v>
      </c>
      <c r="C4896" s="830" t="s">
        <v>89</v>
      </c>
      <c r="D4896" s="832">
        <v>50.89</v>
      </c>
    </row>
    <row r="4897" spans="1:4" x14ac:dyDescent="0.3">
      <c r="A4897" s="830">
        <v>97546</v>
      </c>
      <c r="B4897" s="831" t="s">
        <v>9350</v>
      </c>
      <c r="C4897" s="830" t="s">
        <v>89</v>
      </c>
      <c r="D4897" s="832">
        <v>36.01</v>
      </c>
    </row>
    <row r="4898" spans="1:4" x14ac:dyDescent="0.3">
      <c r="A4898" s="830">
        <v>97547</v>
      </c>
      <c r="B4898" s="831" t="s">
        <v>9351</v>
      </c>
      <c r="C4898" s="830" t="s">
        <v>89</v>
      </c>
      <c r="D4898" s="832">
        <v>36.01</v>
      </c>
    </row>
    <row r="4899" spans="1:4" x14ac:dyDescent="0.3">
      <c r="A4899" s="830">
        <v>97548</v>
      </c>
      <c r="B4899" s="831" t="s">
        <v>9352</v>
      </c>
      <c r="C4899" s="830" t="s">
        <v>89</v>
      </c>
      <c r="D4899" s="832">
        <v>53.55</v>
      </c>
    </row>
    <row r="4900" spans="1:4" x14ac:dyDescent="0.3">
      <c r="A4900" s="830">
        <v>97549</v>
      </c>
      <c r="B4900" s="831" t="s">
        <v>9353</v>
      </c>
      <c r="C4900" s="830" t="s">
        <v>89</v>
      </c>
      <c r="D4900" s="832">
        <v>53.55</v>
      </c>
    </row>
    <row r="4901" spans="1:4" x14ac:dyDescent="0.3">
      <c r="A4901" s="830">
        <v>97550</v>
      </c>
      <c r="B4901" s="831" t="s">
        <v>9354</v>
      </c>
      <c r="C4901" s="830" t="s">
        <v>89</v>
      </c>
      <c r="D4901" s="832">
        <v>89.33</v>
      </c>
    </row>
    <row r="4902" spans="1:4" x14ac:dyDescent="0.3">
      <c r="A4902" s="830">
        <v>97551</v>
      </c>
      <c r="B4902" s="831" t="s">
        <v>9355</v>
      </c>
      <c r="C4902" s="830" t="s">
        <v>89</v>
      </c>
      <c r="D4902" s="832">
        <v>89.33</v>
      </c>
    </row>
    <row r="4903" spans="1:4" x14ac:dyDescent="0.3">
      <c r="A4903" s="830">
        <v>97552</v>
      </c>
      <c r="B4903" s="831" t="s">
        <v>9356</v>
      </c>
      <c r="C4903" s="830" t="s">
        <v>89</v>
      </c>
      <c r="D4903" s="832">
        <v>52.35</v>
      </c>
    </row>
    <row r="4904" spans="1:4" x14ac:dyDescent="0.3">
      <c r="A4904" s="830">
        <v>97553</v>
      </c>
      <c r="B4904" s="831" t="s">
        <v>9357</v>
      </c>
      <c r="C4904" s="830" t="s">
        <v>89</v>
      </c>
      <c r="D4904" s="832">
        <v>75.739999999999995</v>
      </c>
    </row>
    <row r="4905" spans="1:4" x14ac:dyDescent="0.3">
      <c r="A4905" s="830">
        <v>97554</v>
      </c>
      <c r="B4905" s="831" t="s">
        <v>9358</v>
      </c>
      <c r="C4905" s="830" t="s">
        <v>89</v>
      </c>
      <c r="D4905" s="832">
        <v>131.58000000000001</v>
      </c>
    </row>
    <row r="4906" spans="1:4" x14ac:dyDescent="0.3">
      <c r="A4906" s="830">
        <v>98602</v>
      </c>
      <c r="B4906" s="831" t="s">
        <v>9359</v>
      </c>
      <c r="C4906" s="830" t="s">
        <v>89</v>
      </c>
      <c r="D4906" s="832">
        <v>28.69</v>
      </c>
    </row>
    <row r="4907" spans="1:4" x14ac:dyDescent="0.3">
      <c r="A4907" s="830">
        <v>103805</v>
      </c>
      <c r="B4907" s="831" t="s">
        <v>9360</v>
      </c>
      <c r="C4907" s="830" t="s">
        <v>89</v>
      </c>
      <c r="D4907" s="832">
        <v>23.45</v>
      </c>
    </row>
    <row r="4908" spans="1:4" x14ac:dyDescent="0.3">
      <c r="A4908" s="830">
        <v>103806</v>
      </c>
      <c r="B4908" s="831" t="s">
        <v>9361</v>
      </c>
      <c r="C4908" s="830" t="s">
        <v>89</v>
      </c>
      <c r="D4908" s="832">
        <v>23.4</v>
      </c>
    </row>
    <row r="4909" spans="1:4" x14ac:dyDescent="0.3">
      <c r="A4909" s="830">
        <v>103807</v>
      </c>
      <c r="B4909" s="831" t="s">
        <v>9362</v>
      </c>
      <c r="C4909" s="830" t="s">
        <v>89</v>
      </c>
      <c r="D4909" s="832">
        <v>32.67</v>
      </c>
    </row>
    <row r="4910" spans="1:4" x14ac:dyDescent="0.3">
      <c r="A4910" s="830">
        <v>103808</v>
      </c>
      <c r="B4910" s="831" t="s">
        <v>9363</v>
      </c>
      <c r="C4910" s="830" t="s">
        <v>89</v>
      </c>
      <c r="D4910" s="832">
        <v>44.97</v>
      </c>
    </row>
    <row r="4911" spans="1:4" x14ac:dyDescent="0.3">
      <c r="A4911" s="830">
        <v>103809</v>
      </c>
      <c r="B4911" s="831" t="s">
        <v>9364</v>
      </c>
      <c r="C4911" s="830" t="s">
        <v>89</v>
      </c>
      <c r="D4911" s="832">
        <v>44.48</v>
      </c>
    </row>
    <row r="4912" spans="1:4" x14ac:dyDescent="0.3">
      <c r="A4912" s="830">
        <v>103810</v>
      </c>
      <c r="B4912" s="831" t="s">
        <v>9365</v>
      </c>
      <c r="C4912" s="830" t="s">
        <v>89</v>
      </c>
      <c r="D4912" s="832">
        <v>50.3</v>
      </c>
    </row>
    <row r="4913" spans="1:4" x14ac:dyDescent="0.3">
      <c r="A4913" s="830">
        <v>103811</v>
      </c>
      <c r="B4913" s="831" t="s">
        <v>9366</v>
      </c>
      <c r="C4913" s="830" t="s">
        <v>89</v>
      </c>
      <c r="D4913" s="832">
        <v>55.67</v>
      </c>
    </row>
    <row r="4914" spans="1:4" x14ac:dyDescent="0.3">
      <c r="A4914" s="830">
        <v>103812</v>
      </c>
      <c r="B4914" s="831" t="s">
        <v>9367</v>
      </c>
      <c r="C4914" s="830" t="s">
        <v>89</v>
      </c>
      <c r="D4914" s="832">
        <v>68.069999999999993</v>
      </c>
    </row>
    <row r="4915" spans="1:4" x14ac:dyDescent="0.3">
      <c r="A4915" s="830">
        <v>103813</v>
      </c>
      <c r="B4915" s="831" t="s">
        <v>9368</v>
      </c>
      <c r="C4915" s="830" t="s">
        <v>89</v>
      </c>
      <c r="D4915" s="832">
        <v>65.069999999999993</v>
      </c>
    </row>
    <row r="4916" spans="1:4" x14ac:dyDescent="0.3">
      <c r="A4916" s="830">
        <v>103814</v>
      </c>
      <c r="B4916" s="831" t="s">
        <v>9369</v>
      </c>
      <c r="C4916" s="830" t="s">
        <v>89</v>
      </c>
      <c r="D4916" s="832">
        <v>15.21</v>
      </c>
    </row>
    <row r="4917" spans="1:4" x14ac:dyDescent="0.3">
      <c r="A4917" s="830">
        <v>103815</v>
      </c>
      <c r="B4917" s="831" t="s">
        <v>9370</v>
      </c>
      <c r="C4917" s="830" t="s">
        <v>89</v>
      </c>
      <c r="D4917" s="832">
        <v>15.26</v>
      </c>
    </row>
    <row r="4918" spans="1:4" x14ac:dyDescent="0.3">
      <c r="A4918" s="830">
        <v>103816</v>
      </c>
      <c r="B4918" s="831" t="s">
        <v>9371</v>
      </c>
      <c r="C4918" s="830" t="s">
        <v>89</v>
      </c>
      <c r="D4918" s="832">
        <v>41.25</v>
      </c>
    </row>
    <row r="4919" spans="1:4" x14ac:dyDescent="0.3">
      <c r="A4919" s="830">
        <v>103817</v>
      </c>
      <c r="B4919" s="831" t="s">
        <v>9372</v>
      </c>
      <c r="C4919" s="830" t="s">
        <v>89</v>
      </c>
      <c r="D4919" s="832">
        <v>763.9</v>
      </c>
    </row>
    <row r="4920" spans="1:4" x14ac:dyDescent="0.3">
      <c r="A4920" s="830">
        <v>103818</v>
      </c>
      <c r="B4920" s="831" t="s">
        <v>9373</v>
      </c>
      <c r="C4920" s="830" t="s">
        <v>89</v>
      </c>
      <c r="D4920" s="832">
        <v>30.66</v>
      </c>
    </row>
    <row r="4921" spans="1:4" x14ac:dyDescent="0.3">
      <c r="A4921" s="830">
        <v>103819</v>
      </c>
      <c r="B4921" s="831" t="s">
        <v>9374</v>
      </c>
      <c r="C4921" s="830" t="s">
        <v>89</v>
      </c>
      <c r="D4921" s="832">
        <v>27.09</v>
      </c>
    </row>
    <row r="4922" spans="1:4" x14ac:dyDescent="0.3">
      <c r="A4922" s="830">
        <v>103820</v>
      </c>
      <c r="B4922" s="831" t="s">
        <v>9375</v>
      </c>
      <c r="C4922" s="830" t="s">
        <v>89</v>
      </c>
      <c r="D4922" s="832">
        <v>29.33</v>
      </c>
    </row>
    <row r="4923" spans="1:4" x14ac:dyDescent="0.3">
      <c r="A4923" s="830">
        <v>103821</v>
      </c>
      <c r="B4923" s="831" t="s">
        <v>9376</v>
      </c>
      <c r="C4923" s="830" t="s">
        <v>89</v>
      </c>
      <c r="D4923" s="832">
        <v>891.83</v>
      </c>
    </row>
    <row r="4924" spans="1:4" x14ac:dyDescent="0.3">
      <c r="A4924" s="830">
        <v>103822</v>
      </c>
      <c r="B4924" s="831" t="s">
        <v>9377</v>
      </c>
      <c r="C4924" s="830" t="s">
        <v>89</v>
      </c>
      <c r="D4924" s="832">
        <v>86.45</v>
      </c>
    </row>
    <row r="4925" spans="1:4" x14ac:dyDescent="0.3">
      <c r="A4925" s="830">
        <v>103823</v>
      </c>
      <c r="B4925" s="831" t="s">
        <v>9378</v>
      </c>
      <c r="C4925" s="830" t="s">
        <v>89</v>
      </c>
      <c r="D4925" s="832">
        <v>24.1</v>
      </c>
    </row>
    <row r="4926" spans="1:4" x14ac:dyDescent="0.3">
      <c r="A4926" s="830">
        <v>103824</v>
      </c>
      <c r="B4926" s="831" t="s">
        <v>9379</v>
      </c>
      <c r="C4926" s="830" t="s">
        <v>89</v>
      </c>
      <c r="D4926" s="832">
        <v>34.69</v>
      </c>
    </row>
    <row r="4927" spans="1:4" x14ac:dyDescent="0.3">
      <c r="A4927" s="830">
        <v>103825</v>
      </c>
      <c r="B4927" s="831" t="s">
        <v>9380</v>
      </c>
      <c r="C4927" s="830" t="s">
        <v>89</v>
      </c>
      <c r="D4927" s="832">
        <v>41.49</v>
      </c>
    </row>
    <row r="4928" spans="1:4" x14ac:dyDescent="0.3">
      <c r="A4928" s="830">
        <v>103826</v>
      </c>
      <c r="B4928" s="831" t="s">
        <v>9381</v>
      </c>
      <c r="C4928" s="830" t="s">
        <v>89</v>
      </c>
      <c r="D4928" s="832">
        <v>41.95</v>
      </c>
    </row>
    <row r="4929" spans="1:4" x14ac:dyDescent="0.3">
      <c r="A4929" s="830">
        <v>103827</v>
      </c>
      <c r="B4929" s="831" t="s">
        <v>9382</v>
      </c>
      <c r="C4929" s="830" t="s">
        <v>89</v>
      </c>
      <c r="D4929" s="832">
        <v>41.95</v>
      </c>
    </row>
    <row r="4930" spans="1:4" x14ac:dyDescent="0.3">
      <c r="A4930" s="830">
        <v>103828</v>
      </c>
      <c r="B4930" s="831" t="s">
        <v>9383</v>
      </c>
      <c r="C4930" s="830" t="s">
        <v>89</v>
      </c>
      <c r="D4930" s="832">
        <v>146.97999999999999</v>
      </c>
    </row>
    <row r="4931" spans="1:4" x14ac:dyDescent="0.3">
      <c r="A4931" s="830">
        <v>103829</v>
      </c>
      <c r="B4931" s="831" t="s">
        <v>9384</v>
      </c>
      <c r="C4931" s="830" t="s">
        <v>89</v>
      </c>
      <c r="D4931" s="832">
        <v>983.26</v>
      </c>
    </row>
    <row r="4932" spans="1:4" x14ac:dyDescent="0.3">
      <c r="A4932" s="830">
        <v>103830</v>
      </c>
      <c r="B4932" s="831" t="s">
        <v>9385</v>
      </c>
      <c r="C4932" s="830" t="s">
        <v>89</v>
      </c>
      <c r="D4932" s="832">
        <v>55.28</v>
      </c>
    </row>
    <row r="4933" spans="1:4" x14ac:dyDescent="0.3">
      <c r="A4933" s="830">
        <v>103831</v>
      </c>
      <c r="B4933" s="831" t="s">
        <v>9386</v>
      </c>
      <c r="C4933" s="830" t="s">
        <v>89</v>
      </c>
      <c r="D4933" s="832">
        <v>35.96</v>
      </c>
    </row>
    <row r="4934" spans="1:4" x14ac:dyDescent="0.3">
      <c r="A4934" s="830">
        <v>103832</v>
      </c>
      <c r="B4934" s="831" t="s">
        <v>9387</v>
      </c>
      <c r="C4934" s="830" t="s">
        <v>89</v>
      </c>
      <c r="D4934" s="832">
        <v>31.78</v>
      </c>
    </row>
    <row r="4935" spans="1:4" x14ac:dyDescent="0.3">
      <c r="A4935" s="830">
        <v>103833</v>
      </c>
      <c r="B4935" s="831" t="s">
        <v>9388</v>
      </c>
      <c r="C4935" s="830" t="s">
        <v>89</v>
      </c>
      <c r="D4935" s="832">
        <v>59.46</v>
      </c>
    </row>
    <row r="4936" spans="1:4" x14ac:dyDescent="0.3">
      <c r="A4936" s="830">
        <v>103834</v>
      </c>
      <c r="B4936" s="831" t="s">
        <v>9389</v>
      </c>
      <c r="C4936" s="830" t="s">
        <v>89</v>
      </c>
      <c r="D4936" s="832">
        <v>87.9</v>
      </c>
    </row>
    <row r="4937" spans="1:4" x14ac:dyDescent="0.3">
      <c r="A4937" s="830">
        <v>103838</v>
      </c>
      <c r="B4937" s="831" t="s">
        <v>9390</v>
      </c>
      <c r="C4937" s="830" t="s">
        <v>89</v>
      </c>
      <c r="D4937" s="832">
        <v>22.68</v>
      </c>
    </row>
    <row r="4938" spans="1:4" x14ac:dyDescent="0.3">
      <c r="A4938" s="830">
        <v>103839</v>
      </c>
      <c r="B4938" s="831" t="s">
        <v>9391</v>
      </c>
      <c r="C4938" s="830" t="s">
        <v>89</v>
      </c>
      <c r="D4938" s="832">
        <v>22.63</v>
      </c>
    </row>
    <row r="4939" spans="1:4" x14ac:dyDescent="0.3">
      <c r="A4939" s="830">
        <v>103840</v>
      </c>
      <c r="B4939" s="831" t="s">
        <v>9392</v>
      </c>
      <c r="C4939" s="830" t="s">
        <v>89</v>
      </c>
      <c r="D4939" s="832">
        <v>32.29</v>
      </c>
    </row>
    <row r="4940" spans="1:4" x14ac:dyDescent="0.3">
      <c r="A4940" s="830">
        <v>103841</v>
      </c>
      <c r="B4940" s="831" t="s">
        <v>9393</v>
      </c>
      <c r="C4940" s="830" t="s">
        <v>89</v>
      </c>
      <c r="D4940" s="832">
        <v>38.85</v>
      </c>
    </row>
    <row r="4941" spans="1:4" x14ac:dyDescent="0.3">
      <c r="A4941" s="830">
        <v>103842</v>
      </c>
      <c r="B4941" s="831" t="s">
        <v>9394</v>
      </c>
      <c r="C4941" s="830" t="s">
        <v>89</v>
      </c>
      <c r="D4941" s="832">
        <v>38.36</v>
      </c>
    </row>
    <row r="4942" spans="1:4" x14ac:dyDescent="0.3">
      <c r="A4942" s="830">
        <v>103843</v>
      </c>
      <c r="B4942" s="831" t="s">
        <v>9395</v>
      </c>
      <c r="C4942" s="830" t="s">
        <v>89</v>
      </c>
      <c r="D4942" s="832">
        <v>47.25</v>
      </c>
    </row>
    <row r="4943" spans="1:4" x14ac:dyDescent="0.3">
      <c r="A4943" s="830">
        <v>103844</v>
      </c>
      <c r="B4943" s="831" t="s">
        <v>9396</v>
      </c>
      <c r="C4943" s="830" t="s">
        <v>89</v>
      </c>
      <c r="D4943" s="832">
        <v>52.62</v>
      </c>
    </row>
    <row r="4944" spans="1:4" x14ac:dyDescent="0.3">
      <c r="A4944" s="830">
        <v>103845</v>
      </c>
      <c r="B4944" s="831" t="s">
        <v>9397</v>
      </c>
      <c r="C4944" s="830" t="s">
        <v>89</v>
      </c>
      <c r="D4944" s="832">
        <v>57.39</v>
      </c>
    </row>
    <row r="4945" spans="1:4" x14ac:dyDescent="0.3">
      <c r="A4945" s="830">
        <v>103846</v>
      </c>
      <c r="B4945" s="831" t="s">
        <v>9398</v>
      </c>
      <c r="C4945" s="830" t="s">
        <v>89</v>
      </c>
      <c r="D4945" s="832">
        <v>54.39</v>
      </c>
    </row>
    <row r="4946" spans="1:4" x14ac:dyDescent="0.3">
      <c r="A4946" s="830">
        <v>103847</v>
      </c>
      <c r="B4946" s="831" t="s">
        <v>9399</v>
      </c>
      <c r="C4946" s="830" t="s">
        <v>89</v>
      </c>
      <c r="D4946" s="832">
        <v>14.69</v>
      </c>
    </row>
    <row r="4947" spans="1:4" x14ac:dyDescent="0.3">
      <c r="A4947" s="830">
        <v>103848</v>
      </c>
      <c r="B4947" s="831" t="s">
        <v>9400</v>
      </c>
      <c r="C4947" s="830" t="s">
        <v>89</v>
      </c>
      <c r="D4947" s="832">
        <v>14.74</v>
      </c>
    </row>
    <row r="4948" spans="1:4" x14ac:dyDescent="0.3">
      <c r="A4948" s="830">
        <v>103849</v>
      </c>
      <c r="B4948" s="831" t="s">
        <v>9401</v>
      </c>
      <c r="C4948" s="830" t="s">
        <v>89</v>
      </c>
      <c r="D4948" s="832">
        <v>40.729999999999997</v>
      </c>
    </row>
    <row r="4949" spans="1:4" x14ac:dyDescent="0.3">
      <c r="A4949" s="830">
        <v>103850</v>
      </c>
      <c r="B4949" s="831" t="s">
        <v>9402</v>
      </c>
      <c r="C4949" s="830" t="s">
        <v>89</v>
      </c>
      <c r="D4949" s="832">
        <v>763.38</v>
      </c>
    </row>
    <row r="4950" spans="1:4" x14ac:dyDescent="0.3">
      <c r="A4950" s="830">
        <v>103851</v>
      </c>
      <c r="B4950" s="831" t="s">
        <v>9403</v>
      </c>
      <c r="C4950" s="830" t="s">
        <v>89</v>
      </c>
      <c r="D4950" s="832">
        <v>30.41</v>
      </c>
    </row>
    <row r="4951" spans="1:4" x14ac:dyDescent="0.3">
      <c r="A4951" s="830">
        <v>103852</v>
      </c>
      <c r="B4951" s="831" t="s">
        <v>9404</v>
      </c>
      <c r="C4951" s="830" t="s">
        <v>89</v>
      </c>
      <c r="D4951" s="832">
        <v>22.99</v>
      </c>
    </row>
    <row r="4952" spans="1:4" x14ac:dyDescent="0.3">
      <c r="A4952" s="830">
        <v>103853</v>
      </c>
      <c r="B4952" s="831" t="s">
        <v>9405</v>
      </c>
      <c r="C4952" s="830" t="s">
        <v>89</v>
      </c>
      <c r="D4952" s="832">
        <v>25.23</v>
      </c>
    </row>
    <row r="4953" spans="1:4" x14ac:dyDescent="0.3">
      <c r="A4953" s="830">
        <v>103854</v>
      </c>
      <c r="B4953" s="831" t="s">
        <v>9406</v>
      </c>
      <c r="C4953" s="830" t="s">
        <v>89</v>
      </c>
      <c r="D4953" s="832">
        <v>887.73</v>
      </c>
    </row>
    <row r="4954" spans="1:4" x14ac:dyDescent="0.3">
      <c r="A4954" s="830">
        <v>103855</v>
      </c>
      <c r="B4954" s="831" t="s">
        <v>9407</v>
      </c>
      <c r="C4954" s="830" t="s">
        <v>89</v>
      </c>
      <c r="D4954" s="832">
        <v>82.35</v>
      </c>
    </row>
    <row r="4955" spans="1:4" x14ac:dyDescent="0.3">
      <c r="A4955" s="830">
        <v>103856</v>
      </c>
      <c r="B4955" s="831" t="s">
        <v>9408</v>
      </c>
      <c r="C4955" s="830" t="s">
        <v>89</v>
      </c>
      <c r="D4955" s="832">
        <v>21.89</v>
      </c>
    </row>
    <row r="4956" spans="1:4" x14ac:dyDescent="0.3">
      <c r="A4956" s="830">
        <v>103857</v>
      </c>
      <c r="B4956" s="831" t="s">
        <v>9409</v>
      </c>
      <c r="C4956" s="830" t="s">
        <v>89</v>
      </c>
      <c r="D4956" s="832">
        <v>32.65</v>
      </c>
    </row>
    <row r="4957" spans="1:4" x14ac:dyDescent="0.3">
      <c r="A4957" s="830">
        <v>103858</v>
      </c>
      <c r="B4957" s="831" t="s">
        <v>9410</v>
      </c>
      <c r="C4957" s="830" t="s">
        <v>89</v>
      </c>
      <c r="D4957" s="832">
        <v>39.44</v>
      </c>
    </row>
    <row r="4958" spans="1:4" x14ac:dyDescent="0.3">
      <c r="A4958" s="830">
        <v>103859</v>
      </c>
      <c r="B4958" s="831" t="s">
        <v>9411</v>
      </c>
      <c r="C4958" s="830" t="s">
        <v>89</v>
      </c>
      <c r="D4958" s="832">
        <v>35.6</v>
      </c>
    </row>
    <row r="4959" spans="1:4" x14ac:dyDescent="0.3">
      <c r="A4959" s="830">
        <v>103860</v>
      </c>
      <c r="B4959" s="831" t="s">
        <v>9412</v>
      </c>
      <c r="C4959" s="830" t="s">
        <v>89</v>
      </c>
      <c r="D4959" s="832">
        <v>35.6</v>
      </c>
    </row>
    <row r="4960" spans="1:4" x14ac:dyDescent="0.3">
      <c r="A4960" s="830">
        <v>103861</v>
      </c>
      <c r="B4960" s="831" t="s">
        <v>9413</v>
      </c>
      <c r="C4960" s="830" t="s">
        <v>89</v>
      </c>
      <c r="D4960" s="832">
        <v>140.63</v>
      </c>
    </row>
    <row r="4961" spans="1:4" x14ac:dyDescent="0.3">
      <c r="A4961" s="830">
        <v>103862</v>
      </c>
      <c r="B4961" s="831" t="s">
        <v>9414</v>
      </c>
      <c r="C4961" s="830" t="s">
        <v>89</v>
      </c>
      <c r="D4961" s="832">
        <v>976.91</v>
      </c>
    </row>
    <row r="4962" spans="1:4" x14ac:dyDescent="0.3">
      <c r="A4962" s="830">
        <v>103863</v>
      </c>
      <c r="B4962" s="831" t="s">
        <v>9415</v>
      </c>
      <c r="C4962" s="830" t="s">
        <v>89</v>
      </c>
      <c r="D4962" s="832">
        <v>52.09</v>
      </c>
    </row>
    <row r="4963" spans="1:4" x14ac:dyDescent="0.3">
      <c r="A4963" s="830">
        <v>103864</v>
      </c>
      <c r="B4963" s="831" t="s">
        <v>9416</v>
      </c>
      <c r="C4963" s="830" t="s">
        <v>89</v>
      </c>
      <c r="D4963" s="832">
        <v>30.47</v>
      </c>
    </row>
    <row r="4964" spans="1:4" x14ac:dyDescent="0.3">
      <c r="A4964" s="830">
        <v>103865</v>
      </c>
      <c r="B4964" s="831" t="s">
        <v>9417</v>
      </c>
      <c r="C4964" s="830" t="s">
        <v>89</v>
      </c>
      <c r="D4964" s="832">
        <v>30.74</v>
      </c>
    </row>
    <row r="4965" spans="1:4" x14ac:dyDescent="0.3">
      <c r="A4965" s="830">
        <v>103866</v>
      </c>
      <c r="B4965" s="831" t="s">
        <v>9418</v>
      </c>
      <c r="C4965" s="830" t="s">
        <v>89</v>
      </c>
      <c r="D4965" s="832">
        <v>51.29</v>
      </c>
    </row>
    <row r="4966" spans="1:4" x14ac:dyDescent="0.3">
      <c r="A4966" s="830">
        <v>103867</v>
      </c>
      <c r="B4966" s="831" t="s">
        <v>9419</v>
      </c>
      <c r="C4966" s="830" t="s">
        <v>89</v>
      </c>
      <c r="D4966" s="832">
        <v>73.63</v>
      </c>
    </row>
    <row r="4967" spans="1:4" x14ac:dyDescent="0.3">
      <c r="A4967" s="830">
        <v>103874</v>
      </c>
      <c r="B4967" s="831" t="s">
        <v>9420</v>
      </c>
      <c r="C4967" s="830" t="s">
        <v>89</v>
      </c>
      <c r="D4967" s="832">
        <v>23.51</v>
      </c>
    </row>
    <row r="4968" spans="1:4" x14ac:dyDescent="0.3">
      <c r="A4968" s="830">
        <v>103875</v>
      </c>
      <c r="B4968" s="831" t="s">
        <v>9421</v>
      </c>
      <c r="C4968" s="830" t="s">
        <v>89</v>
      </c>
      <c r="D4968" s="832">
        <v>23.46</v>
      </c>
    </row>
    <row r="4969" spans="1:4" x14ac:dyDescent="0.3">
      <c r="A4969" s="830">
        <v>103876</v>
      </c>
      <c r="B4969" s="831" t="s">
        <v>9422</v>
      </c>
      <c r="C4969" s="830" t="s">
        <v>89</v>
      </c>
      <c r="D4969" s="832">
        <v>32.71</v>
      </c>
    </row>
    <row r="4970" spans="1:4" x14ac:dyDescent="0.3">
      <c r="A4970" s="830">
        <v>103877</v>
      </c>
      <c r="B4970" s="831" t="s">
        <v>9423</v>
      </c>
      <c r="C4970" s="830" t="s">
        <v>89</v>
      </c>
      <c r="D4970" s="832">
        <v>37.96</v>
      </c>
    </row>
    <row r="4971" spans="1:4" x14ac:dyDescent="0.3">
      <c r="A4971" s="830">
        <v>103878</v>
      </c>
      <c r="B4971" s="831" t="s">
        <v>9424</v>
      </c>
      <c r="C4971" s="830" t="s">
        <v>89</v>
      </c>
      <c r="D4971" s="832">
        <v>37.47</v>
      </c>
    </row>
    <row r="4972" spans="1:4" x14ac:dyDescent="0.3">
      <c r="A4972" s="830">
        <v>103879</v>
      </c>
      <c r="B4972" s="831" t="s">
        <v>9425</v>
      </c>
      <c r="C4972" s="830" t="s">
        <v>89</v>
      </c>
      <c r="D4972" s="832">
        <v>46.8</v>
      </c>
    </row>
    <row r="4973" spans="1:4" x14ac:dyDescent="0.3">
      <c r="A4973" s="830">
        <v>103880</v>
      </c>
      <c r="B4973" s="831" t="s">
        <v>9426</v>
      </c>
      <c r="C4973" s="830" t="s">
        <v>89</v>
      </c>
      <c r="D4973" s="832">
        <v>52.16</v>
      </c>
    </row>
    <row r="4974" spans="1:4" x14ac:dyDescent="0.3">
      <c r="A4974" s="830">
        <v>103881</v>
      </c>
      <c r="B4974" s="831" t="s">
        <v>9427</v>
      </c>
      <c r="C4974" s="830" t="s">
        <v>89</v>
      </c>
      <c r="D4974" s="832">
        <v>55</v>
      </c>
    </row>
    <row r="4975" spans="1:4" x14ac:dyDescent="0.3">
      <c r="A4975" s="830">
        <v>103882</v>
      </c>
      <c r="B4975" s="831" t="s">
        <v>9428</v>
      </c>
      <c r="C4975" s="830" t="s">
        <v>89</v>
      </c>
      <c r="D4975" s="832">
        <v>52</v>
      </c>
    </row>
    <row r="4976" spans="1:4" x14ac:dyDescent="0.3">
      <c r="A4976" s="830">
        <v>103883</v>
      </c>
      <c r="B4976" s="831" t="s">
        <v>9429</v>
      </c>
      <c r="C4976" s="830" t="s">
        <v>89</v>
      </c>
      <c r="D4976" s="832">
        <v>15.22</v>
      </c>
    </row>
    <row r="4977" spans="1:4" x14ac:dyDescent="0.3">
      <c r="A4977" s="830">
        <v>103884</v>
      </c>
      <c r="B4977" s="831" t="s">
        <v>9430</v>
      </c>
      <c r="C4977" s="830" t="s">
        <v>89</v>
      </c>
      <c r="D4977" s="832">
        <v>15.27</v>
      </c>
    </row>
    <row r="4978" spans="1:4" x14ac:dyDescent="0.3">
      <c r="A4978" s="830">
        <v>103885</v>
      </c>
      <c r="B4978" s="831" t="s">
        <v>9431</v>
      </c>
      <c r="C4978" s="830" t="s">
        <v>89</v>
      </c>
      <c r="D4978" s="832">
        <v>41.26</v>
      </c>
    </row>
    <row r="4979" spans="1:4" x14ac:dyDescent="0.3">
      <c r="A4979" s="830">
        <v>103886</v>
      </c>
      <c r="B4979" s="831" t="s">
        <v>9432</v>
      </c>
      <c r="C4979" s="830" t="s">
        <v>89</v>
      </c>
      <c r="D4979" s="832">
        <v>763.91</v>
      </c>
    </row>
    <row r="4980" spans="1:4" x14ac:dyDescent="0.3">
      <c r="A4980" s="830">
        <v>103887</v>
      </c>
      <c r="B4980" s="831" t="s">
        <v>9433</v>
      </c>
      <c r="C4980" s="830" t="s">
        <v>89</v>
      </c>
      <c r="D4980" s="832">
        <v>30.67</v>
      </c>
    </row>
    <row r="4981" spans="1:4" x14ac:dyDescent="0.3">
      <c r="A4981" s="830">
        <v>103888</v>
      </c>
      <c r="B4981" s="831" t="s">
        <v>9434</v>
      </c>
      <c r="C4981" s="830" t="s">
        <v>89</v>
      </c>
      <c r="D4981" s="832">
        <v>22.36</v>
      </c>
    </row>
    <row r="4982" spans="1:4" x14ac:dyDescent="0.3">
      <c r="A4982" s="830">
        <v>103889</v>
      </c>
      <c r="B4982" s="831" t="s">
        <v>9435</v>
      </c>
      <c r="C4982" s="830" t="s">
        <v>89</v>
      </c>
      <c r="D4982" s="832">
        <v>24.6</v>
      </c>
    </row>
    <row r="4983" spans="1:4" x14ac:dyDescent="0.3">
      <c r="A4983" s="830">
        <v>103890</v>
      </c>
      <c r="B4983" s="831" t="s">
        <v>9436</v>
      </c>
      <c r="C4983" s="830" t="s">
        <v>89</v>
      </c>
      <c r="D4983" s="832">
        <v>887.1</v>
      </c>
    </row>
    <row r="4984" spans="1:4" x14ac:dyDescent="0.3">
      <c r="A4984" s="830">
        <v>103891</v>
      </c>
      <c r="B4984" s="831" t="s">
        <v>9437</v>
      </c>
      <c r="C4984" s="830" t="s">
        <v>89</v>
      </c>
      <c r="D4984" s="832">
        <v>81.72</v>
      </c>
    </row>
    <row r="4985" spans="1:4" x14ac:dyDescent="0.3">
      <c r="A4985" s="830">
        <v>103892</v>
      </c>
      <c r="B4985" s="831" t="s">
        <v>9438</v>
      </c>
      <c r="C4985" s="830" t="s">
        <v>89</v>
      </c>
      <c r="D4985" s="832">
        <v>22</v>
      </c>
    </row>
    <row r="4986" spans="1:4" x14ac:dyDescent="0.3">
      <c r="A4986" s="830">
        <v>103893</v>
      </c>
      <c r="B4986" s="831" t="s">
        <v>9439</v>
      </c>
      <c r="C4986" s="830" t="s">
        <v>89</v>
      </c>
      <c r="D4986" s="832">
        <v>32.33</v>
      </c>
    </row>
    <row r="4987" spans="1:4" x14ac:dyDescent="0.3">
      <c r="A4987" s="830">
        <v>103894</v>
      </c>
      <c r="B4987" s="831" t="s">
        <v>9440</v>
      </c>
      <c r="C4987" s="830" t="s">
        <v>89</v>
      </c>
      <c r="D4987" s="832">
        <v>39.119999999999997</v>
      </c>
    </row>
    <row r="4988" spans="1:4" x14ac:dyDescent="0.3">
      <c r="A4988" s="830">
        <v>103895</v>
      </c>
      <c r="B4988" s="831" t="s">
        <v>9441</v>
      </c>
      <c r="C4988" s="830" t="s">
        <v>89</v>
      </c>
      <c r="D4988" s="832">
        <v>33.97</v>
      </c>
    </row>
    <row r="4989" spans="1:4" x14ac:dyDescent="0.3">
      <c r="A4989" s="830">
        <v>103896</v>
      </c>
      <c r="B4989" s="831" t="s">
        <v>9442</v>
      </c>
      <c r="C4989" s="830" t="s">
        <v>89</v>
      </c>
      <c r="D4989" s="832">
        <v>33.97</v>
      </c>
    </row>
    <row r="4990" spans="1:4" x14ac:dyDescent="0.3">
      <c r="A4990" s="830">
        <v>103897</v>
      </c>
      <c r="B4990" s="831" t="s">
        <v>9443</v>
      </c>
      <c r="C4990" s="830" t="s">
        <v>89</v>
      </c>
      <c r="D4990" s="832">
        <v>139</v>
      </c>
    </row>
    <row r="4991" spans="1:4" x14ac:dyDescent="0.3">
      <c r="A4991" s="830">
        <v>103898</v>
      </c>
      <c r="B4991" s="831" t="s">
        <v>9444</v>
      </c>
      <c r="C4991" s="830" t="s">
        <v>89</v>
      </c>
      <c r="D4991" s="832">
        <v>975.28</v>
      </c>
    </row>
    <row r="4992" spans="1:4" x14ac:dyDescent="0.3">
      <c r="A4992" s="830">
        <v>103899</v>
      </c>
      <c r="B4992" s="831" t="s">
        <v>9445</v>
      </c>
      <c r="C4992" s="830" t="s">
        <v>89</v>
      </c>
      <c r="D4992" s="832">
        <v>51.28</v>
      </c>
    </row>
    <row r="4993" spans="1:4" x14ac:dyDescent="0.3">
      <c r="A4993" s="830">
        <v>103900</v>
      </c>
      <c r="B4993" s="831" t="s">
        <v>9446</v>
      </c>
      <c r="C4993" s="830" t="s">
        <v>89</v>
      </c>
      <c r="D4993" s="832">
        <v>29.21</v>
      </c>
    </row>
    <row r="4994" spans="1:4" x14ac:dyDescent="0.3">
      <c r="A4994" s="830">
        <v>103901</v>
      </c>
      <c r="B4994" s="831" t="s">
        <v>9447</v>
      </c>
      <c r="C4994" s="830" t="s">
        <v>89</v>
      </c>
      <c r="D4994" s="832">
        <v>31.85</v>
      </c>
    </row>
    <row r="4995" spans="1:4" x14ac:dyDescent="0.3">
      <c r="A4995" s="830">
        <v>103902</v>
      </c>
      <c r="B4995" s="831" t="s">
        <v>9448</v>
      </c>
      <c r="C4995" s="830" t="s">
        <v>89</v>
      </c>
      <c r="D4995" s="832">
        <v>50.08</v>
      </c>
    </row>
    <row r="4996" spans="1:4" x14ac:dyDescent="0.3">
      <c r="A4996" s="830">
        <v>103903</v>
      </c>
      <c r="B4996" s="831" t="s">
        <v>9449</v>
      </c>
      <c r="C4996" s="830" t="s">
        <v>89</v>
      </c>
      <c r="D4996" s="832">
        <v>70.42</v>
      </c>
    </row>
    <row r="4997" spans="1:4" x14ac:dyDescent="0.3">
      <c r="A4997" s="830">
        <v>103947</v>
      </c>
      <c r="B4997" s="831" t="s">
        <v>9450</v>
      </c>
      <c r="C4997" s="830" t="s">
        <v>89</v>
      </c>
      <c r="D4997" s="832">
        <v>6.77</v>
      </c>
    </row>
    <row r="4998" spans="1:4" x14ac:dyDescent="0.3">
      <c r="A4998" s="830">
        <v>103948</v>
      </c>
      <c r="B4998" s="831" t="s">
        <v>9451</v>
      </c>
      <c r="C4998" s="830" t="s">
        <v>89</v>
      </c>
      <c r="D4998" s="832">
        <v>8.41</v>
      </c>
    </row>
    <row r="4999" spans="1:4" x14ac:dyDescent="0.3">
      <c r="A4999" s="830">
        <v>103949</v>
      </c>
      <c r="B4999" s="831" t="s">
        <v>9452</v>
      </c>
      <c r="C4999" s="830" t="s">
        <v>89</v>
      </c>
      <c r="D4999" s="832">
        <v>9.81</v>
      </c>
    </row>
    <row r="5000" spans="1:4" x14ac:dyDescent="0.3">
      <c r="A5000" s="830">
        <v>103950</v>
      </c>
      <c r="B5000" s="831" t="s">
        <v>9453</v>
      </c>
      <c r="C5000" s="830" t="s">
        <v>89</v>
      </c>
      <c r="D5000" s="832">
        <v>11.54</v>
      </c>
    </row>
    <row r="5001" spans="1:4" x14ac:dyDescent="0.3">
      <c r="A5001" s="830">
        <v>103951</v>
      </c>
      <c r="B5001" s="831" t="s">
        <v>9454</v>
      </c>
      <c r="C5001" s="830" t="s">
        <v>89</v>
      </c>
      <c r="D5001" s="832">
        <v>15.82</v>
      </c>
    </row>
    <row r="5002" spans="1:4" x14ac:dyDescent="0.3">
      <c r="A5002" s="830">
        <v>103952</v>
      </c>
      <c r="B5002" s="831" t="s">
        <v>9455</v>
      </c>
      <c r="C5002" s="830" t="s">
        <v>89</v>
      </c>
      <c r="D5002" s="832">
        <v>6.21</v>
      </c>
    </row>
    <row r="5003" spans="1:4" x14ac:dyDescent="0.3">
      <c r="A5003" s="830">
        <v>103953</v>
      </c>
      <c r="B5003" s="831" t="s">
        <v>9456</v>
      </c>
      <c r="C5003" s="830" t="s">
        <v>89</v>
      </c>
      <c r="D5003" s="832">
        <v>7.77</v>
      </c>
    </row>
    <row r="5004" spans="1:4" x14ac:dyDescent="0.3">
      <c r="A5004" s="830">
        <v>103954</v>
      </c>
      <c r="B5004" s="831" t="s">
        <v>9457</v>
      </c>
      <c r="C5004" s="830" t="s">
        <v>89</v>
      </c>
      <c r="D5004" s="832">
        <v>9.1999999999999993</v>
      </c>
    </row>
    <row r="5005" spans="1:4" x14ac:dyDescent="0.3">
      <c r="A5005" s="830">
        <v>103955</v>
      </c>
      <c r="B5005" s="831" t="s">
        <v>9458</v>
      </c>
      <c r="C5005" s="830" t="s">
        <v>89</v>
      </c>
      <c r="D5005" s="832">
        <v>10.72</v>
      </c>
    </row>
    <row r="5006" spans="1:4" x14ac:dyDescent="0.3">
      <c r="A5006" s="830">
        <v>103956</v>
      </c>
      <c r="B5006" s="831" t="s">
        <v>9459</v>
      </c>
      <c r="C5006" s="830" t="s">
        <v>89</v>
      </c>
      <c r="D5006" s="832">
        <v>14.86</v>
      </c>
    </row>
    <row r="5007" spans="1:4" x14ac:dyDescent="0.3">
      <c r="A5007" s="830">
        <v>103957</v>
      </c>
      <c r="B5007" s="831" t="s">
        <v>9460</v>
      </c>
      <c r="C5007" s="830" t="s">
        <v>89</v>
      </c>
      <c r="D5007" s="832">
        <v>5.18</v>
      </c>
    </row>
    <row r="5008" spans="1:4" x14ac:dyDescent="0.3">
      <c r="A5008" s="830">
        <v>103958</v>
      </c>
      <c r="B5008" s="831" t="s">
        <v>9461</v>
      </c>
      <c r="C5008" s="830" t="s">
        <v>89</v>
      </c>
      <c r="D5008" s="832">
        <v>10.48</v>
      </c>
    </row>
    <row r="5009" spans="1:4" x14ac:dyDescent="0.3">
      <c r="A5009" s="830">
        <v>103959</v>
      </c>
      <c r="B5009" s="831" t="s">
        <v>9462</v>
      </c>
      <c r="C5009" s="830" t="s">
        <v>89</v>
      </c>
      <c r="D5009" s="832">
        <v>15.6</v>
      </c>
    </row>
    <row r="5010" spans="1:4" x14ac:dyDescent="0.3">
      <c r="A5010" s="830">
        <v>103962</v>
      </c>
      <c r="B5010" s="831" t="s">
        <v>9463</v>
      </c>
      <c r="C5010" s="830" t="s">
        <v>89</v>
      </c>
      <c r="D5010" s="832">
        <v>6.72</v>
      </c>
    </row>
    <row r="5011" spans="1:4" x14ac:dyDescent="0.3">
      <c r="A5011" s="830">
        <v>103964</v>
      </c>
      <c r="B5011" s="831" t="s">
        <v>9464</v>
      </c>
      <c r="C5011" s="830" t="s">
        <v>89</v>
      </c>
      <c r="D5011" s="832">
        <v>8.52</v>
      </c>
    </row>
    <row r="5012" spans="1:4" x14ac:dyDescent="0.3">
      <c r="A5012" s="830">
        <v>103966</v>
      </c>
      <c r="B5012" s="831" t="s">
        <v>9465</v>
      </c>
      <c r="C5012" s="830" t="s">
        <v>89</v>
      </c>
      <c r="D5012" s="832">
        <v>10.06</v>
      </c>
    </row>
    <row r="5013" spans="1:4" x14ac:dyDescent="0.3">
      <c r="A5013" s="830">
        <v>103967</v>
      </c>
      <c r="B5013" s="831" t="s">
        <v>9466</v>
      </c>
      <c r="C5013" s="830" t="s">
        <v>89</v>
      </c>
      <c r="D5013" s="832">
        <v>12.07</v>
      </c>
    </row>
    <row r="5014" spans="1:4" x14ac:dyDescent="0.3">
      <c r="A5014" s="830">
        <v>103968</v>
      </c>
      <c r="B5014" s="831" t="s">
        <v>9467</v>
      </c>
      <c r="C5014" s="830" t="s">
        <v>89</v>
      </c>
      <c r="D5014" s="832">
        <v>17.149999999999999</v>
      </c>
    </row>
    <row r="5015" spans="1:4" x14ac:dyDescent="0.3">
      <c r="A5015" s="830">
        <v>103969</v>
      </c>
      <c r="B5015" s="831" t="s">
        <v>9468</v>
      </c>
      <c r="C5015" s="830" t="s">
        <v>89</v>
      </c>
      <c r="D5015" s="832">
        <v>20.239999999999998</v>
      </c>
    </row>
    <row r="5016" spans="1:4" x14ac:dyDescent="0.3">
      <c r="A5016" s="830">
        <v>103971</v>
      </c>
      <c r="B5016" s="831" t="s">
        <v>9469</v>
      </c>
      <c r="C5016" s="830" t="s">
        <v>89</v>
      </c>
      <c r="D5016" s="832">
        <v>25.69</v>
      </c>
    </row>
    <row r="5017" spans="1:4" x14ac:dyDescent="0.3">
      <c r="A5017" s="830">
        <v>103972</v>
      </c>
      <c r="B5017" s="831" t="s">
        <v>9470</v>
      </c>
      <c r="C5017" s="830" t="s">
        <v>89</v>
      </c>
      <c r="D5017" s="832">
        <v>29.76</v>
      </c>
    </row>
    <row r="5018" spans="1:4" x14ac:dyDescent="0.3">
      <c r="A5018" s="830">
        <v>103974</v>
      </c>
      <c r="B5018" s="831" t="s">
        <v>9471</v>
      </c>
      <c r="C5018" s="830" t="s">
        <v>89</v>
      </c>
      <c r="D5018" s="832">
        <v>10.99</v>
      </c>
    </row>
    <row r="5019" spans="1:4" x14ac:dyDescent="0.3">
      <c r="A5019" s="830">
        <v>103975</v>
      </c>
      <c r="B5019" s="831" t="s">
        <v>9472</v>
      </c>
      <c r="C5019" s="830" t="s">
        <v>89</v>
      </c>
      <c r="D5019" s="832">
        <v>18.5</v>
      </c>
    </row>
    <row r="5020" spans="1:4" x14ac:dyDescent="0.3">
      <c r="A5020" s="830">
        <v>103976</v>
      </c>
      <c r="B5020" s="831" t="s">
        <v>9473</v>
      </c>
      <c r="C5020" s="830" t="s">
        <v>89</v>
      </c>
      <c r="D5020" s="832">
        <v>26.56</v>
      </c>
    </row>
    <row r="5021" spans="1:4" x14ac:dyDescent="0.3">
      <c r="A5021" s="830">
        <v>103980</v>
      </c>
      <c r="B5021" s="831" t="s">
        <v>9474</v>
      </c>
      <c r="C5021" s="830" t="s">
        <v>89</v>
      </c>
      <c r="D5021" s="832">
        <v>18.59</v>
      </c>
    </row>
    <row r="5022" spans="1:4" x14ac:dyDescent="0.3">
      <c r="A5022" s="830">
        <v>103981</v>
      </c>
      <c r="B5022" s="831" t="s">
        <v>9475</v>
      </c>
      <c r="C5022" s="830" t="s">
        <v>89</v>
      </c>
      <c r="D5022" s="832">
        <v>18.649999999999999</v>
      </c>
    </row>
    <row r="5023" spans="1:4" x14ac:dyDescent="0.3">
      <c r="A5023" s="830">
        <v>103982</v>
      </c>
      <c r="B5023" s="831" t="s">
        <v>9476</v>
      </c>
      <c r="C5023" s="830" t="s">
        <v>89</v>
      </c>
      <c r="D5023" s="832">
        <v>24.97</v>
      </c>
    </row>
    <row r="5024" spans="1:4" x14ac:dyDescent="0.3">
      <c r="A5024" s="830">
        <v>103983</v>
      </c>
      <c r="B5024" s="831" t="s">
        <v>9477</v>
      </c>
      <c r="C5024" s="830" t="s">
        <v>89</v>
      </c>
      <c r="D5024" s="832">
        <v>18.09</v>
      </c>
    </row>
    <row r="5025" spans="1:4" x14ac:dyDescent="0.3">
      <c r="A5025" s="830">
        <v>103984</v>
      </c>
      <c r="B5025" s="831" t="s">
        <v>9478</v>
      </c>
      <c r="C5025" s="830" t="s">
        <v>89</v>
      </c>
      <c r="D5025" s="832">
        <v>20.67</v>
      </c>
    </row>
    <row r="5026" spans="1:4" x14ac:dyDescent="0.3">
      <c r="A5026" s="830">
        <v>103985</v>
      </c>
      <c r="B5026" s="831" t="s">
        <v>9479</v>
      </c>
      <c r="C5026" s="830" t="s">
        <v>89</v>
      </c>
      <c r="D5026" s="832">
        <v>23.26</v>
      </c>
    </row>
    <row r="5027" spans="1:4" x14ac:dyDescent="0.3">
      <c r="A5027" s="830">
        <v>103986</v>
      </c>
      <c r="B5027" s="831" t="s">
        <v>9480</v>
      </c>
      <c r="C5027" s="830" t="s">
        <v>89</v>
      </c>
      <c r="D5027" s="832">
        <v>29.06</v>
      </c>
    </row>
    <row r="5028" spans="1:4" x14ac:dyDescent="0.3">
      <c r="A5028" s="830">
        <v>103987</v>
      </c>
      <c r="B5028" s="831" t="s">
        <v>9481</v>
      </c>
      <c r="C5028" s="830" t="s">
        <v>89</v>
      </c>
      <c r="D5028" s="832">
        <v>25.13</v>
      </c>
    </row>
    <row r="5029" spans="1:4" x14ac:dyDescent="0.3">
      <c r="A5029" s="830">
        <v>103988</v>
      </c>
      <c r="B5029" s="831" t="s">
        <v>9482</v>
      </c>
      <c r="C5029" s="830" t="s">
        <v>89</v>
      </c>
      <c r="D5029" s="832">
        <v>13.43</v>
      </c>
    </row>
    <row r="5030" spans="1:4" x14ac:dyDescent="0.3">
      <c r="A5030" s="830">
        <v>103990</v>
      </c>
      <c r="B5030" s="831" t="s">
        <v>9483</v>
      </c>
      <c r="C5030" s="830" t="s">
        <v>89</v>
      </c>
      <c r="D5030" s="832">
        <v>35.97</v>
      </c>
    </row>
    <row r="5031" spans="1:4" x14ac:dyDescent="0.3">
      <c r="A5031" s="830">
        <v>103991</v>
      </c>
      <c r="B5031" s="831" t="s">
        <v>9484</v>
      </c>
      <c r="C5031" s="830" t="s">
        <v>89</v>
      </c>
      <c r="D5031" s="832">
        <v>19</v>
      </c>
    </row>
    <row r="5032" spans="1:4" x14ac:dyDescent="0.3">
      <c r="A5032" s="830">
        <v>103992</v>
      </c>
      <c r="B5032" s="831" t="s">
        <v>9485</v>
      </c>
      <c r="C5032" s="830" t="s">
        <v>89</v>
      </c>
      <c r="D5032" s="832">
        <v>12.1</v>
      </c>
    </row>
    <row r="5033" spans="1:4" x14ac:dyDescent="0.3">
      <c r="A5033" s="830">
        <v>103993</v>
      </c>
      <c r="B5033" s="831" t="s">
        <v>9486</v>
      </c>
      <c r="C5033" s="830" t="s">
        <v>89</v>
      </c>
      <c r="D5033" s="832">
        <v>10.43</v>
      </c>
    </row>
    <row r="5034" spans="1:4" x14ac:dyDescent="0.3">
      <c r="A5034" s="830">
        <v>103994</v>
      </c>
      <c r="B5034" s="831" t="s">
        <v>9487</v>
      </c>
      <c r="C5034" s="830" t="s">
        <v>89</v>
      </c>
      <c r="D5034" s="832">
        <v>14.8</v>
      </c>
    </row>
    <row r="5035" spans="1:4" x14ac:dyDescent="0.3">
      <c r="A5035" s="830">
        <v>103995</v>
      </c>
      <c r="B5035" s="831" t="s">
        <v>9488</v>
      </c>
      <c r="C5035" s="830" t="s">
        <v>89</v>
      </c>
      <c r="D5035" s="832">
        <v>15.89</v>
      </c>
    </row>
    <row r="5036" spans="1:4" x14ac:dyDescent="0.3">
      <c r="A5036" s="830">
        <v>103996</v>
      </c>
      <c r="B5036" s="831" t="s">
        <v>9489</v>
      </c>
      <c r="C5036" s="830" t="s">
        <v>89</v>
      </c>
      <c r="D5036" s="832">
        <v>41.12</v>
      </c>
    </row>
    <row r="5037" spans="1:4" x14ac:dyDescent="0.3">
      <c r="A5037" s="830">
        <v>103997</v>
      </c>
      <c r="B5037" s="831" t="s">
        <v>9490</v>
      </c>
      <c r="C5037" s="830" t="s">
        <v>89</v>
      </c>
      <c r="D5037" s="832">
        <v>40.15</v>
      </c>
    </row>
    <row r="5038" spans="1:4" x14ac:dyDescent="0.3">
      <c r="A5038" s="830">
        <v>103998</v>
      </c>
      <c r="B5038" s="831" t="s">
        <v>9491</v>
      </c>
      <c r="C5038" s="830" t="s">
        <v>89</v>
      </c>
      <c r="D5038" s="832">
        <v>15.21</v>
      </c>
    </row>
    <row r="5039" spans="1:4" x14ac:dyDescent="0.3">
      <c r="A5039" s="830">
        <v>103999</v>
      </c>
      <c r="B5039" s="831" t="s">
        <v>9492</v>
      </c>
      <c r="C5039" s="830" t="s">
        <v>89</v>
      </c>
      <c r="D5039" s="832">
        <v>13.14</v>
      </c>
    </row>
    <row r="5040" spans="1:4" x14ac:dyDescent="0.3">
      <c r="A5040" s="830">
        <v>104000</v>
      </c>
      <c r="B5040" s="831" t="s">
        <v>9493</v>
      </c>
      <c r="C5040" s="830" t="s">
        <v>89</v>
      </c>
      <c r="D5040" s="832">
        <v>28.88</v>
      </c>
    </row>
    <row r="5041" spans="1:4" x14ac:dyDescent="0.3">
      <c r="A5041" s="830">
        <v>104001</v>
      </c>
      <c r="B5041" s="831" t="s">
        <v>9494</v>
      </c>
      <c r="C5041" s="830" t="s">
        <v>89</v>
      </c>
      <c r="D5041" s="832">
        <v>14.48</v>
      </c>
    </row>
    <row r="5042" spans="1:4" x14ac:dyDescent="0.3">
      <c r="A5042" s="830">
        <v>104002</v>
      </c>
      <c r="B5042" s="831" t="s">
        <v>9495</v>
      </c>
      <c r="C5042" s="830" t="s">
        <v>89</v>
      </c>
      <c r="D5042" s="832">
        <v>18.18</v>
      </c>
    </row>
    <row r="5043" spans="1:4" x14ac:dyDescent="0.3">
      <c r="A5043" s="830">
        <v>104003</v>
      </c>
      <c r="B5043" s="831" t="s">
        <v>9496</v>
      </c>
      <c r="C5043" s="830" t="s">
        <v>89</v>
      </c>
      <c r="D5043" s="832">
        <v>15.35</v>
      </c>
    </row>
    <row r="5044" spans="1:4" x14ac:dyDescent="0.3">
      <c r="A5044" s="830">
        <v>104004</v>
      </c>
      <c r="B5044" s="831" t="s">
        <v>9497</v>
      </c>
      <c r="C5044" s="830" t="s">
        <v>89</v>
      </c>
      <c r="D5044" s="832">
        <v>31.19</v>
      </c>
    </row>
    <row r="5045" spans="1:4" x14ac:dyDescent="0.3">
      <c r="A5045" s="830">
        <v>104005</v>
      </c>
      <c r="B5045" s="831" t="s">
        <v>9498</v>
      </c>
      <c r="C5045" s="830" t="s">
        <v>89</v>
      </c>
      <c r="D5045" s="832">
        <v>37.909999999999997</v>
      </c>
    </row>
    <row r="5046" spans="1:4" x14ac:dyDescent="0.3">
      <c r="A5046" s="830">
        <v>104006</v>
      </c>
      <c r="B5046" s="831" t="s">
        <v>9499</v>
      </c>
      <c r="C5046" s="830" t="s">
        <v>89</v>
      </c>
      <c r="D5046" s="832">
        <v>26.31</v>
      </c>
    </row>
    <row r="5047" spans="1:4" x14ac:dyDescent="0.3">
      <c r="A5047" s="830">
        <v>104007</v>
      </c>
      <c r="B5047" s="831" t="s">
        <v>9500</v>
      </c>
      <c r="C5047" s="830" t="s">
        <v>89</v>
      </c>
      <c r="D5047" s="832">
        <v>23.05</v>
      </c>
    </row>
    <row r="5048" spans="1:4" x14ac:dyDescent="0.3">
      <c r="A5048" s="830">
        <v>104008</v>
      </c>
      <c r="B5048" s="831" t="s">
        <v>9501</v>
      </c>
      <c r="C5048" s="830" t="s">
        <v>89</v>
      </c>
      <c r="D5048" s="832">
        <v>33.06</v>
      </c>
    </row>
    <row r="5049" spans="1:4" x14ac:dyDescent="0.3">
      <c r="A5049" s="830">
        <v>104009</v>
      </c>
      <c r="B5049" s="831" t="s">
        <v>9502</v>
      </c>
      <c r="C5049" s="830" t="s">
        <v>89</v>
      </c>
      <c r="D5049" s="832">
        <v>13.98</v>
      </c>
    </row>
    <row r="5050" spans="1:4" x14ac:dyDescent="0.3">
      <c r="A5050" s="830">
        <v>104011</v>
      </c>
      <c r="B5050" s="831" t="s">
        <v>9503</v>
      </c>
      <c r="C5050" s="830" t="s">
        <v>89</v>
      </c>
      <c r="D5050" s="832">
        <v>26.54</v>
      </c>
    </row>
    <row r="5051" spans="1:4" x14ac:dyDescent="0.3">
      <c r="A5051" s="830">
        <v>104012</v>
      </c>
      <c r="B5051" s="831" t="s">
        <v>9504</v>
      </c>
      <c r="C5051" s="830" t="s">
        <v>89</v>
      </c>
      <c r="D5051" s="832">
        <v>24.58</v>
      </c>
    </row>
    <row r="5052" spans="1:4" x14ac:dyDescent="0.3">
      <c r="A5052" s="830">
        <v>104014</v>
      </c>
      <c r="B5052" s="831" t="s">
        <v>9505</v>
      </c>
      <c r="C5052" s="830" t="s">
        <v>89</v>
      </c>
      <c r="D5052" s="832">
        <v>11.33</v>
      </c>
    </row>
    <row r="5053" spans="1:4" x14ac:dyDescent="0.3">
      <c r="A5053" s="830">
        <v>104015</v>
      </c>
      <c r="B5053" s="831" t="s">
        <v>9506</v>
      </c>
      <c r="C5053" s="830" t="s">
        <v>89</v>
      </c>
      <c r="D5053" s="832">
        <v>17.86</v>
      </c>
    </row>
    <row r="5054" spans="1:4" x14ac:dyDescent="0.3">
      <c r="A5054" s="830">
        <v>104016</v>
      </c>
      <c r="B5054" s="831" t="s">
        <v>9507</v>
      </c>
      <c r="C5054" s="830" t="s">
        <v>89</v>
      </c>
      <c r="D5054" s="832">
        <v>23.92</v>
      </c>
    </row>
    <row r="5055" spans="1:4" x14ac:dyDescent="0.3">
      <c r="A5055" s="830">
        <v>104017</v>
      </c>
      <c r="B5055" s="831" t="s">
        <v>9508</v>
      </c>
      <c r="C5055" s="830" t="s">
        <v>89</v>
      </c>
      <c r="D5055" s="832">
        <v>47.63</v>
      </c>
    </row>
    <row r="5056" spans="1:4" x14ac:dyDescent="0.3">
      <c r="A5056" s="830">
        <v>104018</v>
      </c>
      <c r="B5056" s="831" t="s">
        <v>9509</v>
      </c>
      <c r="C5056" s="830" t="s">
        <v>89</v>
      </c>
      <c r="D5056" s="832">
        <v>22.77</v>
      </c>
    </row>
    <row r="5057" spans="1:4" x14ac:dyDescent="0.3">
      <c r="A5057" s="830">
        <v>104019</v>
      </c>
      <c r="B5057" s="831" t="s">
        <v>9510</v>
      </c>
      <c r="C5057" s="830" t="s">
        <v>89</v>
      </c>
      <c r="D5057" s="832">
        <v>46.27</v>
      </c>
    </row>
    <row r="5058" spans="1:4" x14ac:dyDescent="0.3">
      <c r="A5058" s="830">
        <v>104020</v>
      </c>
      <c r="B5058" s="831" t="s">
        <v>9511</v>
      </c>
      <c r="C5058" s="830" t="s">
        <v>89</v>
      </c>
      <c r="D5058" s="832">
        <v>57.81</v>
      </c>
    </row>
    <row r="5059" spans="1:4" x14ac:dyDescent="0.3">
      <c r="A5059" s="830">
        <v>104022</v>
      </c>
      <c r="B5059" s="831" t="s">
        <v>9512</v>
      </c>
      <c r="C5059" s="830" t="s">
        <v>89</v>
      </c>
      <c r="D5059" s="832">
        <v>72.02</v>
      </c>
    </row>
    <row r="5060" spans="1:4" x14ac:dyDescent="0.3">
      <c r="A5060" s="830">
        <v>104023</v>
      </c>
      <c r="B5060" s="831" t="s">
        <v>9513</v>
      </c>
      <c r="C5060" s="830" t="s">
        <v>89</v>
      </c>
      <c r="D5060" s="832">
        <v>42.76</v>
      </c>
    </row>
    <row r="5061" spans="1:4" x14ac:dyDescent="0.3">
      <c r="A5061" s="830">
        <v>104024</v>
      </c>
      <c r="B5061" s="831" t="s">
        <v>9514</v>
      </c>
      <c r="C5061" s="830" t="s">
        <v>89</v>
      </c>
      <c r="D5061" s="832">
        <v>42.35</v>
      </c>
    </row>
    <row r="5062" spans="1:4" x14ac:dyDescent="0.3">
      <c r="A5062" s="830">
        <v>104025</v>
      </c>
      <c r="B5062" s="831" t="s">
        <v>9515</v>
      </c>
      <c r="C5062" s="830" t="s">
        <v>89</v>
      </c>
      <c r="D5062" s="832">
        <v>29.84</v>
      </c>
    </row>
    <row r="5063" spans="1:4" x14ac:dyDescent="0.3">
      <c r="A5063" s="830">
        <v>104026</v>
      </c>
      <c r="B5063" s="831" t="s">
        <v>9516</v>
      </c>
      <c r="C5063" s="830" t="s">
        <v>89</v>
      </c>
      <c r="D5063" s="832">
        <v>43.3</v>
      </c>
    </row>
    <row r="5064" spans="1:4" x14ac:dyDescent="0.3">
      <c r="A5064" s="830">
        <v>104027</v>
      </c>
      <c r="B5064" s="831" t="s">
        <v>9517</v>
      </c>
      <c r="C5064" s="830" t="s">
        <v>89</v>
      </c>
      <c r="D5064" s="832">
        <v>65.239999999999995</v>
      </c>
    </row>
    <row r="5065" spans="1:4" x14ac:dyDescent="0.3">
      <c r="A5065" s="830">
        <v>104028</v>
      </c>
      <c r="B5065" s="831" t="s">
        <v>9518</v>
      </c>
      <c r="C5065" s="830" t="s">
        <v>89</v>
      </c>
      <c r="D5065" s="832">
        <v>132.32</v>
      </c>
    </row>
    <row r="5066" spans="1:4" x14ac:dyDescent="0.3">
      <c r="A5066" s="830">
        <v>104029</v>
      </c>
      <c r="B5066" s="831" t="s">
        <v>9519</v>
      </c>
      <c r="C5066" s="830" t="s">
        <v>89</v>
      </c>
      <c r="D5066" s="832">
        <v>69.239999999999995</v>
      </c>
    </row>
    <row r="5067" spans="1:4" x14ac:dyDescent="0.3">
      <c r="A5067" s="830">
        <v>104030</v>
      </c>
      <c r="B5067" s="831" t="s">
        <v>9520</v>
      </c>
      <c r="C5067" s="830" t="s">
        <v>89</v>
      </c>
      <c r="D5067" s="832">
        <v>63.93</v>
      </c>
    </row>
    <row r="5068" spans="1:4" x14ac:dyDescent="0.3">
      <c r="A5068" s="830">
        <v>104159</v>
      </c>
      <c r="B5068" s="831" t="s">
        <v>9521</v>
      </c>
      <c r="C5068" s="830" t="s">
        <v>89</v>
      </c>
      <c r="D5068" s="832">
        <v>38.520000000000003</v>
      </c>
    </row>
    <row r="5069" spans="1:4" x14ac:dyDescent="0.3">
      <c r="A5069" s="830">
        <v>104167</v>
      </c>
      <c r="B5069" s="831" t="s">
        <v>9522</v>
      </c>
      <c r="C5069" s="830" t="s">
        <v>89</v>
      </c>
      <c r="D5069" s="832">
        <v>122.85</v>
      </c>
    </row>
    <row r="5070" spans="1:4" x14ac:dyDescent="0.3">
      <c r="A5070" s="830">
        <v>104168</v>
      </c>
      <c r="B5070" s="831" t="s">
        <v>9523</v>
      </c>
      <c r="C5070" s="830" t="s">
        <v>89</v>
      </c>
      <c r="D5070" s="832">
        <v>119.62</v>
      </c>
    </row>
    <row r="5071" spans="1:4" x14ac:dyDescent="0.3">
      <c r="A5071" s="830">
        <v>104169</v>
      </c>
      <c r="B5071" s="831" t="s">
        <v>9524</v>
      </c>
      <c r="C5071" s="830" t="s">
        <v>89</v>
      </c>
      <c r="D5071" s="832">
        <v>148.06</v>
      </c>
    </row>
    <row r="5072" spans="1:4" x14ac:dyDescent="0.3">
      <c r="A5072" s="830">
        <v>104170</v>
      </c>
      <c r="B5072" s="831" t="s">
        <v>9525</v>
      </c>
      <c r="C5072" s="830" t="s">
        <v>89</v>
      </c>
      <c r="D5072" s="832">
        <v>70.66</v>
      </c>
    </row>
    <row r="5073" spans="1:4" x14ac:dyDescent="0.3">
      <c r="A5073" s="830">
        <v>104171</v>
      </c>
      <c r="B5073" s="831" t="s">
        <v>9526</v>
      </c>
      <c r="C5073" s="830" t="s">
        <v>89</v>
      </c>
      <c r="D5073" s="832">
        <v>96.95</v>
      </c>
    </row>
    <row r="5074" spans="1:4" x14ac:dyDescent="0.3">
      <c r="A5074" s="830">
        <v>104172</v>
      </c>
      <c r="B5074" s="831" t="s">
        <v>9527</v>
      </c>
      <c r="C5074" s="830" t="s">
        <v>89</v>
      </c>
      <c r="D5074" s="832">
        <v>275.41000000000003</v>
      </c>
    </row>
    <row r="5075" spans="1:4" x14ac:dyDescent="0.3">
      <c r="A5075" s="830">
        <v>104173</v>
      </c>
      <c r="B5075" s="831" t="s">
        <v>9528</v>
      </c>
      <c r="C5075" s="830" t="s">
        <v>89</v>
      </c>
      <c r="D5075" s="832">
        <v>85.04</v>
      </c>
    </row>
    <row r="5076" spans="1:4" x14ac:dyDescent="0.3">
      <c r="A5076" s="830">
        <v>104174</v>
      </c>
      <c r="B5076" s="831" t="s">
        <v>9529</v>
      </c>
      <c r="C5076" s="830" t="s">
        <v>89</v>
      </c>
      <c r="D5076" s="832">
        <v>189.61</v>
      </c>
    </row>
    <row r="5077" spans="1:4" x14ac:dyDescent="0.3">
      <c r="A5077" s="830">
        <v>104175</v>
      </c>
      <c r="B5077" s="831" t="s">
        <v>9530</v>
      </c>
      <c r="C5077" s="830" t="s">
        <v>89</v>
      </c>
      <c r="D5077" s="832">
        <v>141</v>
      </c>
    </row>
    <row r="5078" spans="1:4" x14ac:dyDescent="0.3">
      <c r="A5078" s="830">
        <v>104176</v>
      </c>
      <c r="B5078" s="831" t="s">
        <v>9531</v>
      </c>
      <c r="C5078" s="830" t="s">
        <v>89</v>
      </c>
      <c r="D5078" s="832">
        <v>251.26</v>
      </c>
    </row>
    <row r="5079" spans="1:4" x14ac:dyDescent="0.3">
      <c r="A5079" s="830">
        <v>104177</v>
      </c>
      <c r="B5079" s="831" t="s">
        <v>9532</v>
      </c>
      <c r="C5079" s="830" t="s">
        <v>89</v>
      </c>
      <c r="D5079" s="832">
        <v>182.3</v>
      </c>
    </row>
    <row r="5080" spans="1:4" x14ac:dyDescent="0.3">
      <c r="A5080" s="830">
        <v>104178</v>
      </c>
      <c r="B5080" s="831" t="s">
        <v>9533</v>
      </c>
      <c r="C5080" s="830" t="s">
        <v>89</v>
      </c>
      <c r="D5080" s="832">
        <v>21.95</v>
      </c>
    </row>
    <row r="5081" spans="1:4" x14ac:dyDescent="0.3">
      <c r="A5081" s="830">
        <v>104179</v>
      </c>
      <c r="B5081" s="831" t="s">
        <v>9534</v>
      </c>
      <c r="C5081" s="830" t="s">
        <v>89</v>
      </c>
      <c r="D5081" s="832">
        <v>83.41</v>
      </c>
    </row>
    <row r="5082" spans="1:4" x14ac:dyDescent="0.3">
      <c r="A5082" s="830">
        <v>104191</v>
      </c>
      <c r="B5082" s="831" t="s">
        <v>9535</v>
      </c>
      <c r="C5082" s="830" t="s">
        <v>89</v>
      </c>
      <c r="D5082" s="832">
        <v>11.2</v>
      </c>
    </row>
    <row r="5083" spans="1:4" x14ac:dyDescent="0.3">
      <c r="A5083" s="830">
        <v>104192</v>
      </c>
      <c r="B5083" s="831" t="s">
        <v>9536</v>
      </c>
      <c r="C5083" s="830" t="s">
        <v>89</v>
      </c>
      <c r="D5083" s="832">
        <v>31.37</v>
      </c>
    </row>
    <row r="5084" spans="1:4" x14ac:dyDescent="0.3">
      <c r="A5084" s="830">
        <v>104193</v>
      </c>
      <c r="B5084" s="831" t="s">
        <v>9537</v>
      </c>
      <c r="C5084" s="830" t="s">
        <v>89</v>
      </c>
      <c r="D5084" s="832">
        <v>182.59</v>
      </c>
    </row>
    <row r="5085" spans="1:4" x14ac:dyDescent="0.3">
      <c r="A5085" s="830">
        <v>104196</v>
      </c>
      <c r="B5085" s="831" t="s">
        <v>9538</v>
      </c>
      <c r="C5085" s="830" t="s">
        <v>89</v>
      </c>
      <c r="D5085" s="832">
        <v>17.309999999999999</v>
      </c>
    </row>
    <row r="5086" spans="1:4" x14ac:dyDescent="0.3">
      <c r="A5086" s="830">
        <v>104197</v>
      </c>
      <c r="B5086" s="831" t="s">
        <v>9539</v>
      </c>
      <c r="C5086" s="830" t="s">
        <v>89</v>
      </c>
      <c r="D5086" s="832">
        <v>32.450000000000003</v>
      </c>
    </row>
    <row r="5087" spans="1:4" x14ac:dyDescent="0.3">
      <c r="A5087" s="830">
        <v>104198</v>
      </c>
      <c r="B5087" s="831" t="s">
        <v>9540</v>
      </c>
      <c r="C5087" s="830" t="s">
        <v>89</v>
      </c>
      <c r="D5087" s="832">
        <v>8.2799999999999994</v>
      </c>
    </row>
    <row r="5088" spans="1:4" x14ac:dyDescent="0.3">
      <c r="A5088" s="830">
        <v>104199</v>
      </c>
      <c r="B5088" s="831" t="s">
        <v>9541</v>
      </c>
      <c r="C5088" s="830" t="s">
        <v>89</v>
      </c>
      <c r="D5088" s="832">
        <v>8.02</v>
      </c>
    </row>
    <row r="5089" spans="1:4" x14ac:dyDescent="0.3">
      <c r="A5089" s="830">
        <v>104200</v>
      </c>
      <c r="B5089" s="831" t="s">
        <v>9542</v>
      </c>
      <c r="C5089" s="830" t="s">
        <v>89</v>
      </c>
      <c r="D5089" s="832">
        <v>6.6</v>
      </c>
    </row>
    <row r="5090" spans="1:4" x14ac:dyDescent="0.3">
      <c r="A5090" s="830">
        <v>104201</v>
      </c>
      <c r="B5090" s="831" t="s">
        <v>9543</v>
      </c>
      <c r="C5090" s="830" t="s">
        <v>89</v>
      </c>
      <c r="D5090" s="832">
        <v>21.35</v>
      </c>
    </row>
    <row r="5091" spans="1:4" x14ac:dyDescent="0.3">
      <c r="A5091" s="830">
        <v>104202</v>
      </c>
      <c r="B5091" s="831" t="s">
        <v>9544</v>
      </c>
      <c r="C5091" s="830" t="s">
        <v>89</v>
      </c>
      <c r="D5091" s="832">
        <v>11.92</v>
      </c>
    </row>
    <row r="5092" spans="1:4" x14ac:dyDescent="0.3">
      <c r="A5092" s="830">
        <v>104317</v>
      </c>
      <c r="B5092" s="831" t="s">
        <v>9545</v>
      </c>
      <c r="C5092" s="830" t="s">
        <v>89</v>
      </c>
      <c r="D5092" s="832">
        <v>7.2</v>
      </c>
    </row>
    <row r="5093" spans="1:4" x14ac:dyDescent="0.3">
      <c r="A5093" s="830">
        <v>104318</v>
      </c>
      <c r="B5093" s="831" t="s">
        <v>9546</v>
      </c>
      <c r="C5093" s="830" t="s">
        <v>89</v>
      </c>
      <c r="D5093" s="832">
        <v>7.76</v>
      </c>
    </row>
    <row r="5094" spans="1:4" x14ac:dyDescent="0.3">
      <c r="A5094" s="830">
        <v>104319</v>
      </c>
      <c r="B5094" s="831" t="s">
        <v>9547</v>
      </c>
      <c r="C5094" s="830" t="s">
        <v>89</v>
      </c>
      <c r="D5094" s="832">
        <v>10.47</v>
      </c>
    </row>
    <row r="5095" spans="1:4" x14ac:dyDescent="0.3">
      <c r="A5095" s="830">
        <v>104320</v>
      </c>
      <c r="B5095" s="831" t="s">
        <v>9548</v>
      </c>
      <c r="C5095" s="830" t="s">
        <v>89</v>
      </c>
      <c r="D5095" s="832">
        <v>12.26</v>
      </c>
    </row>
    <row r="5096" spans="1:4" x14ac:dyDescent="0.3">
      <c r="A5096" s="830">
        <v>104321</v>
      </c>
      <c r="B5096" s="831" t="s">
        <v>9549</v>
      </c>
      <c r="C5096" s="830" t="s">
        <v>89</v>
      </c>
      <c r="D5096" s="832">
        <v>5.49</v>
      </c>
    </row>
    <row r="5097" spans="1:4" x14ac:dyDescent="0.3">
      <c r="A5097" s="830">
        <v>104322</v>
      </c>
      <c r="B5097" s="831" t="s">
        <v>9550</v>
      </c>
      <c r="C5097" s="830" t="s">
        <v>89</v>
      </c>
      <c r="D5097" s="832">
        <v>7.9</v>
      </c>
    </row>
    <row r="5098" spans="1:4" x14ac:dyDescent="0.3">
      <c r="A5098" s="830">
        <v>104323</v>
      </c>
      <c r="B5098" s="831" t="s">
        <v>9551</v>
      </c>
      <c r="C5098" s="830" t="s">
        <v>89</v>
      </c>
      <c r="D5098" s="832">
        <v>10.039999999999999</v>
      </c>
    </row>
    <row r="5099" spans="1:4" x14ac:dyDescent="0.3">
      <c r="A5099" s="830">
        <v>104324</v>
      </c>
      <c r="B5099" s="831" t="s">
        <v>9552</v>
      </c>
      <c r="C5099" s="830" t="s">
        <v>89</v>
      </c>
      <c r="D5099" s="832">
        <v>14.8</v>
      </c>
    </row>
    <row r="5100" spans="1:4" x14ac:dyDescent="0.3">
      <c r="A5100" s="830">
        <v>104341</v>
      </c>
      <c r="B5100" s="831" t="s">
        <v>9553</v>
      </c>
      <c r="C5100" s="830" t="s">
        <v>89</v>
      </c>
      <c r="D5100" s="832">
        <v>11.32</v>
      </c>
    </row>
    <row r="5101" spans="1:4" x14ac:dyDescent="0.3">
      <c r="A5101" s="830">
        <v>104343</v>
      </c>
      <c r="B5101" s="831" t="s">
        <v>9554</v>
      </c>
      <c r="C5101" s="830" t="s">
        <v>89</v>
      </c>
      <c r="D5101" s="832">
        <v>34.86</v>
      </c>
    </row>
    <row r="5102" spans="1:4" x14ac:dyDescent="0.3">
      <c r="A5102" s="830">
        <v>104344</v>
      </c>
      <c r="B5102" s="831" t="s">
        <v>9555</v>
      </c>
      <c r="C5102" s="830" t="s">
        <v>89</v>
      </c>
      <c r="D5102" s="832">
        <v>41.87</v>
      </c>
    </row>
    <row r="5103" spans="1:4" x14ac:dyDescent="0.3">
      <c r="A5103" s="830">
        <v>104345</v>
      </c>
      <c r="B5103" s="831" t="s">
        <v>9556</v>
      </c>
      <c r="C5103" s="830" t="s">
        <v>89</v>
      </c>
      <c r="D5103" s="832">
        <v>44.01</v>
      </c>
    </row>
    <row r="5104" spans="1:4" x14ac:dyDescent="0.3">
      <c r="A5104" s="830">
        <v>104346</v>
      </c>
      <c r="B5104" s="831" t="s">
        <v>9557</v>
      </c>
      <c r="C5104" s="830" t="s">
        <v>89</v>
      </c>
      <c r="D5104" s="832">
        <v>46.26</v>
      </c>
    </row>
    <row r="5105" spans="1:4" x14ac:dyDescent="0.3">
      <c r="A5105" s="830">
        <v>104347</v>
      </c>
      <c r="B5105" s="831" t="s">
        <v>9558</v>
      </c>
      <c r="C5105" s="830" t="s">
        <v>89</v>
      </c>
      <c r="D5105" s="832">
        <v>49.01</v>
      </c>
    </row>
    <row r="5106" spans="1:4" x14ac:dyDescent="0.3">
      <c r="A5106" s="830">
        <v>104348</v>
      </c>
      <c r="B5106" s="831" t="s">
        <v>9559</v>
      </c>
      <c r="C5106" s="830" t="s">
        <v>89</v>
      </c>
      <c r="D5106" s="832">
        <v>11.44</v>
      </c>
    </row>
    <row r="5107" spans="1:4" x14ac:dyDescent="0.3">
      <c r="A5107" s="830">
        <v>104350</v>
      </c>
      <c r="B5107" s="831" t="s">
        <v>9560</v>
      </c>
      <c r="C5107" s="830" t="s">
        <v>89</v>
      </c>
      <c r="D5107" s="832">
        <v>30.49</v>
      </c>
    </row>
    <row r="5108" spans="1:4" x14ac:dyDescent="0.3">
      <c r="A5108" s="830">
        <v>104351</v>
      </c>
      <c r="B5108" s="831" t="s">
        <v>9561</v>
      </c>
      <c r="C5108" s="830" t="s">
        <v>89</v>
      </c>
      <c r="D5108" s="832">
        <v>23.76</v>
      </c>
    </row>
    <row r="5109" spans="1:4" x14ac:dyDescent="0.3">
      <c r="A5109" s="830">
        <v>104352</v>
      </c>
      <c r="B5109" s="831" t="s">
        <v>9562</v>
      </c>
      <c r="C5109" s="830" t="s">
        <v>89</v>
      </c>
      <c r="D5109" s="832">
        <v>40.56</v>
      </c>
    </row>
    <row r="5110" spans="1:4" x14ac:dyDescent="0.3">
      <c r="A5110" s="830">
        <v>104353</v>
      </c>
      <c r="B5110" s="831" t="s">
        <v>9563</v>
      </c>
      <c r="C5110" s="830" t="s">
        <v>89</v>
      </c>
      <c r="D5110" s="832">
        <v>42.7</v>
      </c>
    </row>
    <row r="5111" spans="1:4" x14ac:dyDescent="0.3">
      <c r="A5111" s="830">
        <v>104354</v>
      </c>
      <c r="B5111" s="831" t="s">
        <v>9564</v>
      </c>
      <c r="C5111" s="830" t="s">
        <v>89</v>
      </c>
      <c r="D5111" s="832">
        <v>46.5</v>
      </c>
    </row>
    <row r="5112" spans="1:4" x14ac:dyDescent="0.3">
      <c r="A5112" s="830">
        <v>104355</v>
      </c>
      <c r="B5112" s="831" t="s">
        <v>9565</v>
      </c>
      <c r="C5112" s="830" t="s">
        <v>89</v>
      </c>
      <c r="D5112" s="832">
        <v>49.25</v>
      </c>
    </row>
    <row r="5113" spans="1:4" x14ac:dyDescent="0.3">
      <c r="A5113" s="830">
        <v>104356</v>
      </c>
      <c r="B5113" s="831" t="s">
        <v>9566</v>
      </c>
      <c r="C5113" s="830" t="s">
        <v>89</v>
      </c>
      <c r="D5113" s="832">
        <v>31.56</v>
      </c>
    </row>
    <row r="5114" spans="1:4" x14ac:dyDescent="0.3">
      <c r="A5114" s="830">
        <v>104357</v>
      </c>
      <c r="B5114" s="831" t="s">
        <v>9567</v>
      </c>
      <c r="C5114" s="830" t="s">
        <v>89</v>
      </c>
      <c r="D5114" s="832">
        <v>19.62</v>
      </c>
    </row>
    <row r="5115" spans="1:4" x14ac:dyDescent="0.3">
      <c r="A5115" s="830">
        <v>104576</v>
      </c>
      <c r="B5115" s="831" t="s">
        <v>9568</v>
      </c>
      <c r="C5115" s="830" t="s">
        <v>89</v>
      </c>
      <c r="D5115" s="832">
        <v>16.329999999999998</v>
      </c>
    </row>
    <row r="5116" spans="1:4" x14ac:dyDescent="0.3">
      <c r="A5116" s="830">
        <v>104577</v>
      </c>
      <c r="B5116" s="831" t="s">
        <v>9569</v>
      </c>
      <c r="C5116" s="830" t="s">
        <v>89</v>
      </c>
      <c r="D5116" s="832">
        <v>21.94</v>
      </c>
    </row>
    <row r="5117" spans="1:4" x14ac:dyDescent="0.3">
      <c r="A5117" s="830">
        <v>104578</v>
      </c>
      <c r="B5117" s="831" t="s">
        <v>9570</v>
      </c>
      <c r="C5117" s="830" t="s">
        <v>89</v>
      </c>
      <c r="D5117" s="832">
        <v>23.52</v>
      </c>
    </row>
    <row r="5118" spans="1:4" x14ac:dyDescent="0.3">
      <c r="A5118" s="830">
        <v>104579</v>
      </c>
      <c r="B5118" s="831" t="s">
        <v>9571</v>
      </c>
      <c r="C5118" s="830" t="s">
        <v>89</v>
      </c>
      <c r="D5118" s="832">
        <v>30.87</v>
      </c>
    </row>
    <row r="5119" spans="1:4" x14ac:dyDescent="0.3">
      <c r="A5119" s="830">
        <v>104581</v>
      </c>
      <c r="B5119" s="831" t="s">
        <v>9572</v>
      </c>
      <c r="C5119" s="830" t="s">
        <v>89</v>
      </c>
      <c r="D5119" s="832">
        <v>14.91</v>
      </c>
    </row>
    <row r="5120" spans="1:4" x14ac:dyDescent="0.3">
      <c r="A5120" s="830">
        <v>104582</v>
      </c>
      <c r="B5120" s="831" t="s">
        <v>9573</v>
      </c>
      <c r="C5120" s="830" t="s">
        <v>89</v>
      </c>
      <c r="D5120" s="832">
        <v>19.03</v>
      </c>
    </row>
    <row r="5121" spans="1:4" x14ac:dyDescent="0.3">
      <c r="A5121" s="830">
        <v>104583</v>
      </c>
      <c r="B5121" s="831" t="s">
        <v>9574</v>
      </c>
      <c r="C5121" s="830" t="s">
        <v>89</v>
      </c>
      <c r="D5121" s="832">
        <v>30.51</v>
      </c>
    </row>
    <row r="5122" spans="1:4" x14ac:dyDescent="0.3">
      <c r="A5122" s="830">
        <v>104584</v>
      </c>
      <c r="B5122" s="831" t="s">
        <v>9575</v>
      </c>
      <c r="C5122" s="830" t="s">
        <v>89</v>
      </c>
      <c r="D5122" s="832">
        <v>36.6</v>
      </c>
    </row>
    <row r="5123" spans="1:4" x14ac:dyDescent="0.3">
      <c r="A5123" s="830">
        <v>105146</v>
      </c>
      <c r="B5123" s="831" t="s">
        <v>9576</v>
      </c>
      <c r="C5123" s="830" t="s">
        <v>89</v>
      </c>
      <c r="D5123" s="832">
        <v>24.4</v>
      </c>
    </row>
    <row r="5124" spans="1:4" x14ac:dyDescent="0.3">
      <c r="A5124" s="830">
        <v>105147</v>
      </c>
      <c r="B5124" s="831" t="s">
        <v>9577</v>
      </c>
      <c r="C5124" s="830" t="s">
        <v>89</v>
      </c>
      <c r="D5124" s="832">
        <v>16.86</v>
      </c>
    </row>
    <row r="5125" spans="1:4" x14ac:dyDescent="0.3">
      <c r="A5125" s="830">
        <v>105148</v>
      </c>
      <c r="B5125" s="831" t="s">
        <v>9578</v>
      </c>
      <c r="C5125" s="830" t="s">
        <v>89</v>
      </c>
      <c r="D5125" s="832">
        <v>24.31</v>
      </c>
    </row>
    <row r="5126" spans="1:4" x14ac:dyDescent="0.3">
      <c r="A5126" s="830">
        <v>105149</v>
      </c>
      <c r="B5126" s="831" t="s">
        <v>9579</v>
      </c>
      <c r="C5126" s="830" t="s">
        <v>89</v>
      </c>
      <c r="D5126" s="832">
        <v>7.83</v>
      </c>
    </row>
    <row r="5127" spans="1:4" x14ac:dyDescent="0.3">
      <c r="A5127" s="830">
        <v>105150</v>
      </c>
      <c r="B5127" s="831" t="s">
        <v>9580</v>
      </c>
      <c r="C5127" s="830" t="s">
        <v>89</v>
      </c>
      <c r="D5127" s="832">
        <v>9.26</v>
      </c>
    </row>
    <row r="5128" spans="1:4" x14ac:dyDescent="0.3">
      <c r="A5128" s="830">
        <v>105151</v>
      </c>
      <c r="B5128" s="831" t="s">
        <v>9581</v>
      </c>
      <c r="C5128" s="830" t="s">
        <v>89</v>
      </c>
      <c r="D5128" s="832">
        <v>23.96</v>
      </c>
    </row>
    <row r="5129" spans="1:4" x14ac:dyDescent="0.3">
      <c r="A5129" s="830">
        <v>105152</v>
      </c>
      <c r="B5129" s="831" t="s">
        <v>9582</v>
      </c>
      <c r="C5129" s="830" t="s">
        <v>89</v>
      </c>
      <c r="D5129" s="832">
        <v>35.93</v>
      </c>
    </row>
    <row r="5130" spans="1:4" x14ac:dyDescent="0.3">
      <c r="A5130" s="830">
        <v>105154</v>
      </c>
      <c r="B5130" s="831" t="s">
        <v>9583</v>
      </c>
      <c r="C5130" s="830" t="s">
        <v>89</v>
      </c>
      <c r="D5130" s="832">
        <v>6.83</v>
      </c>
    </row>
    <row r="5131" spans="1:4" x14ac:dyDescent="0.3">
      <c r="A5131" s="830">
        <v>105155</v>
      </c>
      <c r="B5131" s="831" t="s">
        <v>9584</v>
      </c>
      <c r="C5131" s="830" t="s">
        <v>89</v>
      </c>
      <c r="D5131" s="832">
        <v>10.27</v>
      </c>
    </row>
    <row r="5132" spans="1:4" x14ac:dyDescent="0.3">
      <c r="A5132" s="830">
        <v>105156</v>
      </c>
      <c r="B5132" s="831" t="s">
        <v>9585</v>
      </c>
      <c r="C5132" s="830" t="s">
        <v>89</v>
      </c>
      <c r="D5132" s="832">
        <v>13.07</v>
      </c>
    </row>
    <row r="5133" spans="1:4" x14ac:dyDescent="0.3">
      <c r="A5133" s="830">
        <v>105157</v>
      </c>
      <c r="B5133" s="831" t="s">
        <v>9586</v>
      </c>
      <c r="C5133" s="830" t="s">
        <v>89</v>
      </c>
      <c r="D5133" s="832">
        <v>20.22</v>
      </c>
    </row>
    <row r="5134" spans="1:4" x14ac:dyDescent="0.3">
      <c r="A5134" s="830">
        <v>105158</v>
      </c>
      <c r="B5134" s="831" t="s">
        <v>9587</v>
      </c>
      <c r="C5134" s="830" t="s">
        <v>89</v>
      </c>
      <c r="D5134" s="832">
        <v>29.78</v>
      </c>
    </row>
    <row r="5135" spans="1:4" x14ac:dyDescent="0.3">
      <c r="A5135" s="830">
        <v>105159</v>
      </c>
      <c r="B5135" s="831" t="s">
        <v>9588</v>
      </c>
      <c r="C5135" s="830" t="s">
        <v>89</v>
      </c>
      <c r="D5135" s="832">
        <v>53.24</v>
      </c>
    </row>
    <row r="5136" spans="1:4" x14ac:dyDescent="0.3">
      <c r="A5136" s="830">
        <v>105160</v>
      </c>
      <c r="B5136" s="831" t="s">
        <v>9589</v>
      </c>
      <c r="C5136" s="830" t="s">
        <v>89</v>
      </c>
      <c r="D5136" s="832">
        <v>65.7</v>
      </c>
    </row>
    <row r="5137" spans="1:4" x14ac:dyDescent="0.3">
      <c r="A5137" s="830">
        <v>105161</v>
      </c>
      <c r="B5137" s="831" t="s">
        <v>9590</v>
      </c>
      <c r="C5137" s="830" t="s">
        <v>89</v>
      </c>
      <c r="D5137" s="832">
        <v>103.57</v>
      </c>
    </row>
    <row r="5138" spans="1:4" x14ac:dyDescent="0.3">
      <c r="A5138" s="830">
        <v>105162</v>
      </c>
      <c r="B5138" s="831" t="s">
        <v>9591</v>
      </c>
      <c r="C5138" s="830" t="s">
        <v>89</v>
      </c>
      <c r="D5138" s="832">
        <v>177.89</v>
      </c>
    </row>
    <row r="5139" spans="1:4" x14ac:dyDescent="0.3">
      <c r="A5139" s="830">
        <v>105163</v>
      </c>
      <c r="B5139" s="831" t="s">
        <v>9592</v>
      </c>
      <c r="C5139" s="830" t="s">
        <v>89</v>
      </c>
      <c r="D5139" s="832">
        <v>14.92</v>
      </c>
    </row>
    <row r="5140" spans="1:4" x14ac:dyDescent="0.3">
      <c r="A5140" s="830">
        <v>105164</v>
      </c>
      <c r="B5140" s="831" t="s">
        <v>9593</v>
      </c>
      <c r="C5140" s="830" t="s">
        <v>89</v>
      </c>
      <c r="D5140" s="832">
        <v>11.29</v>
      </c>
    </row>
    <row r="5141" spans="1:4" x14ac:dyDescent="0.3">
      <c r="A5141" s="830">
        <v>105165</v>
      </c>
      <c r="B5141" s="831" t="s">
        <v>9594</v>
      </c>
      <c r="C5141" s="830" t="s">
        <v>89</v>
      </c>
      <c r="D5141" s="832">
        <v>11.46</v>
      </c>
    </row>
    <row r="5142" spans="1:4" x14ac:dyDescent="0.3">
      <c r="A5142" s="830">
        <v>105166</v>
      </c>
      <c r="B5142" s="831" t="s">
        <v>9595</v>
      </c>
      <c r="C5142" s="830" t="s">
        <v>89</v>
      </c>
      <c r="D5142" s="832">
        <v>37.39</v>
      </c>
    </row>
    <row r="5143" spans="1:4" x14ac:dyDescent="0.3">
      <c r="A5143" s="830">
        <v>105167</v>
      </c>
      <c r="B5143" s="831" t="s">
        <v>9596</v>
      </c>
      <c r="C5143" s="830" t="s">
        <v>89</v>
      </c>
      <c r="D5143" s="832">
        <v>232.06</v>
      </c>
    </row>
    <row r="5144" spans="1:4" x14ac:dyDescent="0.3">
      <c r="A5144" s="830">
        <v>105169</v>
      </c>
      <c r="B5144" s="831" t="s">
        <v>9597</v>
      </c>
      <c r="C5144" s="830" t="s">
        <v>89</v>
      </c>
      <c r="D5144" s="832">
        <v>94.21</v>
      </c>
    </row>
    <row r="5145" spans="1:4" x14ac:dyDescent="0.3">
      <c r="A5145" s="830">
        <v>105170</v>
      </c>
      <c r="B5145" s="831" t="s">
        <v>9598</v>
      </c>
      <c r="C5145" s="830" t="s">
        <v>89</v>
      </c>
      <c r="D5145" s="832">
        <v>5.83</v>
      </c>
    </row>
    <row r="5146" spans="1:4" x14ac:dyDescent="0.3">
      <c r="A5146" s="830">
        <v>105172</v>
      </c>
      <c r="B5146" s="831" t="s">
        <v>9599</v>
      </c>
      <c r="C5146" s="830" t="s">
        <v>89</v>
      </c>
      <c r="D5146" s="832">
        <v>94.4</v>
      </c>
    </row>
    <row r="5147" spans="1:4" x14ac:dyDescent="0.3">
      <c r="A5147" s="830">
        <v>105173</v>
      </c>
      <c r="B5147" s="831" t="s">
        <v>9600</v>
      </c>
      <c r="C5147" s="830" t="s">
        <v>89</v>
      </c>
      <c r="D5147" s="832">
        <v>95.38</v>
      </c>
    </row>
    <row r="5148" spans="1:4" x14ac:dyDescent="0.3">
      <c r="A5148" s="830">
        <v>105174</v>
      </c>
      <c r="B5148" s="831" t="s">
        <v>9601</v>
      </c>
      <c r="C5148" s="830" t="s">
        <v>89</v>
      </c>
      <c r="D5148" s="832">
        <v>138.72</v>
      </c>
    </row>
    <row r="5149" spans="1:4" x14ac:dyDescent="0.3">
      <c r="A5149" s="830">
        <v>105175</v>
      </c>
      <c r="B5149" s="831" t="s">
        <v>9602</v>
      </c>
      <c r="C5149" s="830" t="s">
        <v>89</v>
      </c>
      <c r="D5149" s="832">
        <v>137.22</v>
      </c>
    </row>
    <row r="5150" spans="1:4" x14ac:dyDescent="0.3">
      <c r="A5150" s="830">
        <v>105176</v>
      </c>
      <c r="B5150" s="831" t="s">
        <v>9603</v>
      </c>
      <c r="C5150" s="830" t="s">
        <v>89</v>
      </c>
      <c r="D5150" s="832">
        <v>174.28</v>
      </c>
    </row>
    <row r="5151" spans="1:4" x14ac:dyDescent="0.3">
      <c r="A5151" s="830">
        <v>105177</v>
      </c>
      <c r="B5151" s="831" t="s">
        <v>9604</v>
      </c>
      <c r="C5151" s="830" t="s">
        <v>89</v>
      </c>
      <c r="D5151" s="832">
        <v>155.03</v>
      </c>
    </row>
    <row r="5152" spans="1:4" x14ac:dyDescent="0.3">
      <c r="A5152" s="830">
        <v>105178</v>
      </c>
      <c r="B5152" s="831" t="s">
        <v>9605</v>
      </c>
      <c r="C5152" s="830" t="s">
        <v>89</v>
      </c>
      <c r="D5152" s="832">
        <v>148.47</v>
      </c>
    </row>
    <row r="5153" spans="1:4" x14ac:dyDescent="0.3">
      <c r="A5153" s="830">
        <v>105179</v>
      </c>
      <c r="B5153" s="831" t="s">
        <v>9606</v>
      </c>
      <c r="C5153" s="830" t="s">
        <v>89</v>
      </c>
      <c r="D5153" s="832">
        <v>9.93</v>
      </c>
    </row>
    <row r="5154" spans="1:4" x14ac:dyDescent="0.3">
      <c r="A5154" s="830">
        <v>105180</v>
      </c>
      <c r="B5154" s="831" t="s">
        <v>9607</v>
      </c>
      <c r="C5154" s="830" t="s">
        <v>89</v>
      </c>
      <c r="D5154" s="832">
        <v>13.63</v>
      </c>
    </row>
    <row r="5155" spans="1:4" x14ac:dyDescent="0.3">
      <c r="A5155" s="830">
        <v>105181</v>
      </c>
      <c r="B5155" s="831" t="s">
        <v>9608</v>
      </c>
      <c r="C5155" s="830" t="s">
        <v>89</v>
      </c>
      <c r="D5155" s="832">
        <v>18.350000000000001</v>
      </c>
    </row>
    <row r="5156" spans="1:4" x14ac:dyDescent="0.3">
      <c r="A5156" s="830">
        <v>105182</v>
      </c>
      <c r="B5156" s="831" t="s">
        <v>9609</v>
      </c>
      <c r="C5156" s="830" t="s">
        <v>89</v>
      </c>
      <c r="D5156" s="832">
        <v>42.53</v>
      </c>
    </row>
    <row r="5157" spans="1:4" x14ac:dyDescent="0.3">
      <c r="A5157" s="830">
        <v>105183</v>
      </c>
      <c r="B5157" s="831" t="s">
        <v>9610</v>
      </c>
      <c r="C5157" s="830" t="s">
        <v>89</v>
      </c>
      <c r="D5157" s="832">
        <v>88.96</v>
      </c>
    </row>
    <row r="5158" spans="1:4" x14ac:dyDescent="0.3">
      <c r="A5158" s="830">
        <v>105184</v>
      </c>
      <c r="B5158" s="831" t="s">
        <v>9611</v>
      </c>
      <c r="C5158" s="830" t="s">
        <v>89</v>
      </c>
      <c r="D5158" s="832">
        <v>110.22</v>
      </c>
    </row>
    <row r="5159" spans="1:4" x14ac:dyDescent="0.3">
      <c r="A5159" s="830">
        <v>105189</v>
      </c>
      <c r="B5159" s="831" t="s">
        <v>9612</v>
      </c>
      <c r="C5159" s="830" t="s">
        <v>89</v>
      </c>
      <c r="D5159" s="832">
        <v>22.29</v>
      </c>
    </row>
    <row r="5160" spans="1:4" x14ac:dyDescent="0.3">
      <c r="A5160" s="830">
        <v>105190</v>
      </c>
      <c r="B5160" s="831" t="s">
        <v>9613</v>
      </c>
      <c r="C5160" s="830" t="s">
        <v>89</v>
      </c>
      <c r="D5160" s="832">
        <v>27.73</v>
      </c>
    </row>
    <row r="5161" spans="1:4" x14ac:dyDescent="0.3">
      <c r="A5161" s="830">
        <v>105193</v>
      </c>
      <c r="B5161" s="831" t="s">
        <v>9614</v>
      </c>
      <c r="C5161" s="830" t="s">
        <v>89</v>
      </c>
      <c r="D5161" s="832">
        <v>162.58000000000001</v>
      </c>
    </row>
    <row r="5162" spans="1:4" x14ac:dyDescent="0.3">
      <c r="A5162" s="830">
        <v>105194</v>
      </c>
      <c r="B5162" s="831" t="s">
        <v>9615</v>
      </c>
      <c r="C5162" s="830" t="s">
        <v>89</v>
      </c>
      <c r="D5162" s="832">
        <v>91.19</v>
      </c>
    </row>
    <row r="5163" spans="1:4" x14ac:dyDescent="0.3">
      <c r="A5163" s="830">
        <v>105195</v>
      </c>
      <c r="B5163" s="831" t="s">
        <v>9616</v>
      </c>
      <c r="C5163" s="830" t="s">
        <v>89</v>
      </c>
      <c r="D5163" s="832">
        <v>236.91</v>
      </c>
    </row>
    <row r="5164" spans="1:4" x14ac:dyDescent="0.3">
      <c r="A5164" s="830">
        <v>105196</v>
      </c>
      <c r="B5164" s="831" t="s">
        <v>9617</v>
      </c>
      <c r="C5164" s="830" t="s">
        <v>89</v>
      </c>
      <c r="D5164" s="832">
        <v>253.82</v>
      </c>
    </row>
    <row r="5165" spans="1:4" x14ac:dyDescent="0.3">
      <c r="A5165" s="830">
        <v>105197</v>
      </c>
      <c r="B5165" s="831" t="s">
        <v>9618</v>
      </c>
      <c r="C5165" s="830" t="s">
        <v>89</v>
      </c>
      <c r="D5165" s="832">
        <v>174.26</v>
      </c>
    </row>
    <row r="5166" spans="1:4" x14ac:dyDescent="0.3">
      <c r="A5166" s="830">
        <v>105198</v>
      </c>
      <c r="B5166" s="831" t="s">
        <v>9619</v>
      </c>
      <c r="C5166" s="830" t="s">
        <v>89</v>
      </c>
      <c r="D5166" s="832">
        <v>360.8</v>
      </c>
    </row>
    <row r="5167" spans="1:4" x14ac:dyDescent="0.3">
      <c r="A5167" s="830">
        <v>105199</v>
      </c>
      <c r="B5167" s="831" t="s">
        <v>9620</v>
      </c>
      <c r="C5167" s="830" t="s">
        <v>89</v>
      </c>
      <c r="D5167" s="832">
        <v>230.39</v>
      </c>
    </row>
    <row r="5168" spans="1:4" x14ac:dyDescent="0.3">
      <c r="A5168" s="830">
        <v>105200</v>
      </c>
      <c r="B5168" s="831" t="s">
        <v>9621</v>
      </c>
      <c r="C5168" s="830" t="s">
        <v>89</v>
      </c>
      <c r="D5168" s="832">
        <v>136.88</v>
      </c>
    </row>
    <row r="5169" spans="1:4" x14ac:dyDescent="0.3">
      <c r="A5169" s="830">
        <v>105201</v>
      </c>
      <c r="B5169" s="831" t="s">
        <v>9622</v>
      </c>
      <c r="C5169" s="830" t="s">
        <v>89</v>
      </c>
      <c r="D5169" s="832">
        <v>315.89</v>
      </c>
    </row>
    <row r="5170" spans="1:4" x14ac:dyDescent="0.3">
      <c r="A5170" s="830">
        <v>105202</v>
      </c>
      <c r="B5170" s="831" t="s">
        <v>9623</v>
      </c>
      <c r="C5170" s="830" t="s">
        <v>89</v>
      </c>
      <c r="D5170" s="832">
        <v>286.42</v>
      </c>
    </row>
    <row r="5171" spans="1:4" x14ac:dyDescent="0.3">
      <c r="A5171" s="830">
        <v>105203</v>
      </c>
      <c r="B5171" s="831" t="s">
        <v>9624</v>
      </c>
      <c r="C5171" s="830" t="s">
        <v>89</v>
      </c>
      <c r="D5171" s="832">
        <v>173.48</v>
      </c>
    </row>
    <row r="5172" spans="1:4" x14ac:dyDescent="0.3">
      <c r="A5172" s="830">
        <v>105204</v>
      </c>
      <c r="B5172" s="831" t="s">
        <v>9625</v>
      </c>
      <c r="C5172" s="830" t="s">
        <v>89</v>
      </c>
      <c r="D5172" s="832">
        <v>381.46</v>
      </c>
    </row>
    <row r="5173" spans="1:4" x14ac:dyDescent="0.3">
      <c r="A5173" s="830">
        <v>105205</v>
      </c>
      <c r="B5173" s="831" t="s">
        <v>9626</v>
      </c>
      <c r="C5173" s="830" t="s">
        <v>89</v>
      </c>
      <c r="D5173" s="832">
        <v>264.31</v>
      </c>
    </row>
    <row r="5174" spans="1:4" x14ac:dyDescent="0.3">
      <c r="A5174" s="830">
        <v>105206</v>
      </c>
      <c r="B5174" s="831" t="s">
        <v>9627</v>
      </c>
      <c r="C5174" s="830" t="s">
        <v>89</v>
      </c>
      <c r="D5174" s="832">
        <v>165.18</v>
      </c>
    </row>
    <row r="5175" spans="1:4" x14ac:dyDescent="0.3">
      <c r="A5175" s="830">
        <v>105207</v>
      </c>
      <c r="B5175" s="831" t="s">
        <v>9628</v>
      </c>
      <c r="C5175" s="830" t="s">
        <v>89</v>
      </c>
      <c r="D5175" s="832">
        <v>370.4</v>
      </c>
    </row>
    <row r="5176" spans="1:4" x14ac:dyDescent="0.3">
      <c r="A5176" s="830">
        <v>105208</v>
      </c>
      <c r="B5176" s="831" t="s">
        <v>9629</v>
      </c>
      <c r="C5176" s="830" t="s">
        <v>89</v>
      </c>
      <c r="D5176" s="832">
        <v>349.34</v>
      </c>
    </row>
    <row r="5177" spans="1:4" x14ac:dyDescent="0.3">
      <c r="A5177" s="830">
        <v>105209</v>
      </c>
      <c r="B5177" s="831" t="s">
        <v>9630</v>
      </c>
      <c r="C5177" s="830" t="s">
        <v>89</v>
      </c>
      <c r="D5177" s="832">
        <v>168.66</v>
      </c>
    </row>
    <row r="5178" spans="1:4" x14ac:dyDescent="0.3">
      <c r="A5178" s="830">
        <v>105210</v>
      </c>
      <c r="B5178" s="831" t="s">
        <v>9631</v>
      </c>
      <c r="C5178" s="830" t="s">
        <v>89</v>
      </c>
      <c r="D5178" s="832">
        <v>451.26</v>
      </c>
    </row>
    <row r="5179" spans="1:4" x14ac:dyDescent="0.3">
      <c r="A5179" s="830">
        <v>105211</v>
      </c>
      <c r="B5179" s="831" t="s">
        <v>9632</v>
      </c>
      <c r="C5179" s="830" t="s">
        <v>89</v>
      </c>
      <c r="D5179" s="832">
        <v>264.14</v>
      </c>
    </row>
    <row r="5180" spans="1:4" x14ac:dyDescent="0.3">
      <c r="A5180" s="830">
        <v>105212</v>
      </c>
      <c r="B5180" s="831" t="s">
        <v>9633</v>
      </c>
      <c r="C5180" s="830" t="s">
        <v>89</v>
      </c>
      <c r="D5180" s="832">
        <v>262.16000000000003</v>
      </c>
    </row>
    <row r="5181" spans="1:4" x14ac:dyDescent="0.3">
      <c r="A5181" s="830">
        <v>105213</v>
      </c>
      <c r="B5181" s="831" t="s">
        <v>9634</v>
      </c>
      <c r="C5181" s="830" t="s">
        <v>89</v>
      </c>
      <c r="D5181" s="832">
        <v>295.24</v>
      </c>
    </row>
    <row r="5182" spans="1:4" x14ac:dyDescent="0.3">
      <c r="A5182" s="830">
        <v>105214</v>
      </c>
      <c r="B5182" s="831" t="s">
        <v>9635</v>
      </c>
      <c r="C5182" s="830" t="s">
        <v>89</v>
      </c>
      <c r="D5182" s="832">
        <v>41.83</v>
      </c>
    </row>
    <row r="5183" spans="1:4" x14ac:dyDescent="0.3">
      <c r="A5183" s="830">
        <v>105215</v>
      </c>
      <c r="B5183" s="831" t="s">
        <v>9636</v>
      </c>
      <c r="C5183" s="830" t="s">
        <v>89</v>
      </c>
      <c r="D5183" s="832">
        <v>9.68</v>
      </c>
    </row>
    <row r="5184" spans="1:4" x14ac:dyDescent="0.3">
      <c r="A5184" s="830">
        <v>105216</v>
      </c>
      <c r="B5184" s="831" t="s">
        <v>9637</v>
      </c>
      <c r="C5184" s="830" t="s">
        <v>89</v>
      </c>
      <c r="D5184" s="832">
        <v>35.44</v>
      </c>
    </row>
    <row r="5185" spans="1:4" x14ac:dyDescent="0.3">
      <c r="A5185" s="830">
        <v>105217</v>
      </c>
      <c r="B5185" s="831" t="s">
        <v>9638</v>
      </c>
      <c r="C5185" s="830" t="s">
        <v>89</v>
      </c>
      <c r="D5185" s="832">
        <v>39.89</v>
      </c>
    </row>
    <row r="5186" spans="1:4" x14ac:dyDescent="0.3">
      <c r="A5186" s="830">
        <v>105218</v>
      </c>
      <c r="B5186" s="831" t="s">
        <v>9639</v>
      </c>
      <c r="C5186" s="830" t="s">
        <v>89</v>
      </c>
      <c r="D5186" s="832">
        <v>69.05</v>
      </c>
    </row>
    <row r="5187" spans="1:4" x14ac:dyDescent="0.3">
      <c r="A5187" s="830">
        <v>105219</v>
      </c>
      <c r="B5187" s="831" t="s">
        <v>9640</v>
      </c>
      <c r="C5187" s="830" t="s">
        <v>89</v>
      </c>
      <c r="D5187" s="832">
        <v>11.74</v>
      </c>
    </row>
    <row r="5188" spans="1:4" x14ac:dyDescent="0.3">
      <c r="A5188" s="830">
        <v>105220</v>
      </c>
      <c r="B5188" s="831" t="s">
        <v>9641</v>
      </c>
      <c r="C5188" s="830" t="s">
        <v>89</v>
      </c>
      <c r="D5188" s="832">
        <v>16.11</v>
      </c>
    </row>
    <row r="5189" spans="1:4" x14ac:dyDescent="0.3">
      <c r="A5189" s="830">
        <v>105221</v>
      </c>
      <c r="B5189" s="831" t="s">
        <v>9642</v>
      </c>
      <c r="C5189" s="830" t="s">
        <v>89</v>
      </c>
      <c r="D5189" s="832">
        <v>24.72</v>
      </c>
    </row>
    <row r="5190" spans="1:4" x14ac:dyDescent="0.3">
      <c r="A5190" s="830">
        <v>105222</v>
      </c>
      <c r="B5190" s="831" t="s">
        <v>9643</v>
      </c>
      <c r="C5190" s="830" t="s">
        <v>89</v>
      </c>
      <c r="D5190" s="832">
        <v>70.45</v>
      </c>
    </row>
    <row r="5191" spans="1:4" x14ac:dyDescent="0.3">
      <c r="A5191" s="830">
        <v>105223</v>
      </c>
      <c r="B5191" s="831" t="s">
        <v>9644</v>
      </c>
      <c r="C5191" s="830" t="s">
        <v>89</v>
      </c>
      <c r="D5191" s="832">
        <v>160.91</v>
      </c>
    </row>
    <row r="5192" spans="1:4" x14ac:dyDescent="0.3">
      <c r="A5192" s="830">
        <v>105224</v>
      </c>
      <c r="B5192" s="831" t="s">
        <v>9645</v>
      </c>
      <c r="C5192" s="830" t="s">
        <v>89</v>
      </c>
      <c r="D5192" s="832">
        <v>234.53</v>
      </c>
    </row>
    <row r="5193" spans="1:4" x14ac:dyDescent="0.3">
      <c r="A5193" s="830">
        <v>105225</v>
      </c>
      <c r="B5193" s="831" t="s">
        <v>9646</v>
      </c>
      <c r="C5193" s="830" t="s">
        <v>89</v>
      </c>
      <c r="D5193" s="832">
        <v>17.57</v>
      </c>
    </row>
    <row r="5194" spans="1:4" x14ac:dyDescent="0.3">
      <c r="A5194" s="830">
        <v>105226</v>
      </c>
      <c r="B5194" s="831" t="s">
        <v>9647</v>
      </c>
      <c r="C5194" s="830" t="s">
        <v>89</v>
      </c>
      <c r="D5194" s="832">
        <v>40.57</v>
      </c>
    </row>
    <row r="5195" spans="1:4" x14ac:dyDescent="0.3">
      <c r="A5195" s="830">
        <v>105227</v>
      </c>
      <c r="B5195" s="831" t="s">
        <v>9648</v>
      </c>
      <c r="C5195" s="830" t="s">
        <v>89</v>
      </c>
      <c r="D5195" s="832">
        <v>57.94</v>
      </c>
    </row>
    <row r="5196" spans="1:4" x14ac:dyDescent="0.3">
      <c r="A5196" s="830">
        <v>105228</v>
      </c>
      <c r="B5196" s="831" t="s">
        <v>9649</v>
      </c>
      <c r="C5196" s="830" t="s">
        <v>89</v>
      </c>
      <c r="D5196" s="832">
        <v>12.1</v>
      </c>
    </row>
    <row r="5197" spans="1:4" x14ac:dyDescent="0.3">
      <c r="A5197" s="830">
        <v>105229</v>
      </c>
      <c r="B5197" s="831" t="s">
        <v>9650</v>
      </c>
      <c r="C5197" s="830" t="s">
        <v>89</v>
      </c>
      <c r="D5197" s="832">
        <v>30.36</v>
      </c>
    </row>
    <row r="5198" spans="1:4" x14ac:dyDescent="0.3">
      <c r="A5198" s="830">
        <v>105230</v>
      </c>
      <c r="B5198" s="831" t="s">
        <v>9651</v>
      </c>
      <c r="C5198" s="830" t="s">
        <v>89</v>
      </c>
      <c r="D5198" s="832">
        <v>8.33</v>
      </c>
    </row>
    <row r="5199" spans="1:4" x14ac:dyDescent="0.3">
      <c r="A5199" s="830">
        <v>105231</v>
      </c>
      <c r="B5199" s="831" t="s">
        <v>9652</v>
      </c>
      <c r="C5199" s="830" t="s">
        <v>89</v>
      </c>
      <c r="D5199" s="832">
        <v>9.8000000000000007</v>
      </c>
    </row>
    <row r="5200" spans="1:4" x14ac:dyDescent="0.3">
      <c r="A5200" s="830">
        <v>105232</v>
      </c>
      <c r="B5200" s="831" t="s">
        <v>9653</v>
      </c>
      <c r="C5200" s="830" t="s">
        <v>89</v>
      </c>
      <c r="D5200" s="832">
        <v>19.03</v>
      </c>
    </row>
    <row r="5201" spans="1:4" x14ac:dyDescent="0.3">
      <c r="A5201" s="830">
        <v>105233</v>
      </c>
      <c r="B5201" s="831" t="s">
        <v>9654</v>
      </c>
      <c r="C5201" s="830" t="s">
        <v>89</v>
      </c>
      <c r="D5201" s="832">
        <v>8.2200000000000006</v>
      </c>
    </row>
    <row r="5202" spans="1:4" x14ac:dyDescent="0.3">
      <c r="A5202" s="830">
        <v>105234</v>
      </c>
      <c r="B5202" s="831" t="s">
        <v>9655</v>
      </c>
      <c r="C5202" s="830" t="s">
        <v>89</v>
      </c>
      <c r="D5202" s="832">
        <v>10.050000000000001</v>
      </c>
    </row>
    <row r="5203" spans="1:4" x14ac:dyDescent="0.3">
      <c r="A5203" s="830">
        <v>97895</v>
      </c>
      <c r="B5203" s="831" t="s">
        <v>9656</v>
      </c>
      <c r="C5203" s="830" t="s">
        <v>89</v>
      </c>
      <c r="D5203" s="832">
        <v>195.29</v>
      </c>
    </row>
    <row r="5204" spans="1:4" x14ac:dyDescent="0.3">
      <c r="A5204" s="830">
        <v>97896</v>
      </c>
      <c r="B5204" s="831" t="s">
        <v>9657</v>
      </c>
      <c r="C5204" s="830" t="s">
        <v>89</v>
      </c>
      <c r="D5204" s="832">
        <v>360.81</v>
      </c>
    </row>
    <row r="5205" spans="1:4" x14ac:dyDescent="0.3">
      <c r="A5205" s="830">
        <v>97897</v>
      </c>
      <c r="B5205" s="831" t="s">
        <v>9658</v>
      </c>
      <c r="C5205" s="830" t="s">
        <v>89</v>
      </c>
      <c r="D5205" s="832">
        <v>468.57</v>
      </c>
    </row>
    <row r="5206" spans="1:4" x14ac:dyDescent="0.3">
      <c r="A5206" s="830">
        <v>97898</v>
      </c>
      <c r="B5206" s="831" t="s">
        <v>9659</v>
      </c>
      <c r="C5206" s="830" t="s">
        <v>89</v>
      </c>
      <c r="D5206" s="832">
        <v>906.77</v>
      </c>
    </row>
    <row r="5207" spans="1:4" x14ac:dyDescent="0.3">
      <c r="A5207" s="830">
        <v>97900</v>
      </c>
      <c r="B5207" s="831" t="s">
        <v>9660</v>
      </c>
      <c r="C5207" s="830" t="s">
        <v>89</v>
      </c>
      <c r="D5207" s="832">
        <v>200.21</v>
      </c>
    </row>
    <row r="5208" spans="1:4" x14ac:dyDescent="0.3">
      <c r="A5208" s="830">
        <v>97901</v>
      </c>
      <c r="B5208" s="831" t="s">
        <v>9661</v>
      </c>
      <c r="C5208" s="830" t="s">
        <v>89</v>
      </c>
      <c r="D5208" s="832">
        <v>314.35000000000002</v>
      </c>
    </row>
    <row r="5209" spans="1:4" x14ac:dyDescent="0.3">
      <c r="A5209" s="830">
        <v>97902</v>
      </c>
      <c r="B5209" s="831" t="s">
        <v>9662</v>
      </c>
      <c r="C5209" s="830" t="s">
        <v>89</v>
      </c>
      <c r="D5209" s="832">
        <v>609.72</v>
      </c>
    </row>
    <row r="5210" spans="1:4" x14ac:dyDescent="0.3">
      <c r="A5210" s="830">
        <v>97903</v>
      </c>
      <c r="B5210" s="831" t="s">
        <v>9663</v>
      </c>
      <c r="C5210" s="830" t="s">
        <v>89</v>
      </c>
      <c r="D5210" s="832">
        <v>850.23</v>
      </c>
    </row>
    <row r="5211" spans="1:4" x14ac:dyDescent="0.3">
      <c r="A5211" s="830">
        <v>97904</v>
      </c>
      <c r="B5211" s="831" t="s">
        <v>9664</v>
      </c>
      <c r="C5211" s="830" t="s">
        <v>89</v>
      </c>
      <c r="D5211" s="832">
        <v>1003.57</v>
      </c>
    </row>
    <row r="5212" spans="1:4" x14ac:dyDescent="0.3">
      <c r="A5212" s="830">
        <v>97905</v>
      </c>
      <c r="B5212" s="831" t="s">
        <v>9665</v>
      </c>
      <c r="C5212" s="830" t="s">
        <v>89</v>
      </c>
      <c r="D5212" s="832">
        <v>265.67</v>
      </c>
    </row>
    <row r="5213" spans="1:4" x14ac:dyDescent="0.3">
      <c r="A5213" s="830">
        <v>97906</v>
      </c>
      <c r="B5213" s="831" t="s">
        <v>9666</v>
      </c>
      <c r="C5213" s="830" t="s">
        <v>89</v>
      </c>
      <c r="D5213" s="832">
        <v>494.64</v>
      </c>
    </row>
    <row r="5214" spans="1:4" x14ac:dyDescent="0.3">
      <c r="A5214" s="830">
        <v>97907</v>
      </c>
      <c r="B5214" s="831" t="s">
        <v>9667</v>
      </c>
      <c r="C5214" s="830" t="s">
        <v>89</v>
      </c>
      <c r="D5214" s="832">
        <v>703.38</v>
      </c>
    </row>
    <row r="5215" spans="1:4" x14ac:dyDescent="0.3">
      <c r="A5215" s="830">
        <v>97908</v>
      </c>
      <c r="B5215" s="831" t="s">
        <v>9668</v>
      </c>
      <c r="C5215" s="830" t="s">
        <v>89</v>
      </c>
      <c r="D5215" s="832">
        <v>829.81</v>
      </c>
    </row>
    <row r="5216" spans="1:4" x14ac:dyDescent="0.3">
      <c r="A5216" s="830">
        <v>98102</v>
      </c>
      <c r="B5216" s="831" t="s">
        <v>9669</v>
      </c>
      <c r="C5216" s="830" t="s">
        <v>89</v>
      </c>
      <c r="D5216" s="832">
        <v>185.48</v>
      </c>
    </row>
    <row r="5217" spans="1:4" x14ac:dyDescent="0.3">
      <c r="A5217" s="830">
        <v>98104</v>
      </c>
      <c r="B5217" s="831" t="s">
        <v>9670</v>
      </c>
      <c r="C5217" s="830" t="s">
        <v>89</v>
      </c>
      <c r="D5217" s="832">
        <v>392.38</v>
      </c>
    </row>
    <row r="5218" spans="1:4" x14ac:dyDescent="0.3">
      <c r="A5218" s="830">
        <v>98105</v>
      </c>
      <c r="B5218" s="831" t="s">
        <v>9671</v>
      </c>
      <c r="C5218" s="830" t="s">
        <v>89</v>
      </c>
      <c r="D5218" s="832">
        <v>685.76</v>
      </c>
    </row>
    <row r="5219" spans="1:4" x14ac:dyDescent="0.3">
      <c r="A5219" s="830">
        <v>98106</v>
      </c>
      <c r="B5219" s="831" t="s">
        <v>9672</v>
      </c>
      <c r="C5219" s="830" t="s">
        <v>89</v>
      </c>
      <c r="D5219" s="832">
        <v>1130.77</v>
      </c>
    </row>
    <row r="5220" spans="1:4" x14ac:dyDescent="0.3">
      <c r="A5220" s="830">
        <v>98107</v>
      </c>
      <c r="B5220" s="831" t="s">
        <v>9673</v>
      </c>
      <c r="C5220" s="830" t="s">
        <v>89</v>
      </c>
      <c r="D5220" s="832">
        <v>303.45999999999998</v>
      </c>
    </row>
    <row r="5221" spans="1:4" x14ac:dyDescent="0.3">
      <c r="A5221" s="830">
        <v>98108</v>
      </c>
      <c r="B5221" s="831" t="s">
        <v>9674</v>
      </c>
      <c r="C5221" s="830" t="s">
        <v>89</v>
      </c>
      <c r="D5221" s="832">
        <v>542.08000000000004</v>
      </c>
    </row>
    <row r="5222" spans="1:4" x14ac:dyDescent="0.3">
      <c r="A5222" s="830">
        <v>99250</v>
      </c>
      <c r="B5222" s="831" t="s">
        <v>9675</v>
      </c>
      <c r="C5222" s="830" t="s">
        <v>89</v>
      </c>
      <c r="D5222" s="832">
        <v>195.01</v>
      </c>
    </row>
    <row r="5223" spans="1:4" x14ac:dyDescent="0.3">
      <c r="A5223" s="830">
        <v>99251</v>
      </c>
      <c r="B5223" s="831" t="s">
        <v>9676</v>
      </c>
      <c r="C5223" s="830" t="s">
        <v>89</v>
      </c>
      <c r="D5223" s="832">
        <v>305.42</v>
      </c>
    </row>
    <row r="5224" spans="1:4" x14ac:dyDescent="0.3">
      <c r="A5224" s="830">
        <v>99253</v>
      </c>
      <c r="B5224" s="831" t="s">
        <v>9677</v>
      </c>
      <c r="C5224" s="830" t="s">
        <v>89</v>
      </c>
      <c r="D5224" s="832">
        <v>589.67999999999995</v>
      </c>
    </row>
    <row r="5225" spans="1:4" x14ac:dyDescent="0.3">
      <c r="A5225" s="830">
        <v>99255</v>
      </c>
      <c r="B5225" s="831" t="s">
        <v>9678</v>
      </c>
      <c r="C5225" s="830" t="s">
        <v>89</v>
      </c>
      <c r="D5225" s="832">
        <v>822.75</v>
      </c>
    </row>
    <row r="5226" spans="1:4" x14ac:dyDescent="0.3">
      <c r="A5226" s="830">
        <v>99257</v>
      </c>
      <c r="B5226" s="831" t="s">
        <v>9679</v>
      </c>
      <c r="C5226" s="830" t="s">
        <v>89</v>
      </c>
      <c r="D5226" s="832">
        <v>968.03</v>
      </c>
    </row>
    <row r="5227" spans="1:4" x14ac:dyDescent="0.3">
      <c r="A5227" s="830">
        <v>99258</v>
      </c>
      <c r="B5227" s="831" t="s">
        <v>9680</v>
      </c>
      <c r="C5227" s="830" t="s">
        <v>89</v>
      </c>
      <c r="D5227" s="832">
        <v>260</v>
      </c>
    </row>
    <row r="5228" spans="1:4" x14ac:dyDescent="0.3">
      <c r="A5228" s="830">
        <v>99260</v>
      </c>
      <c r="B5228" s="831" t="s">
        <v>9681</v>
      </c>
      <c r="C5228" s="830" t="s">
        <v>89</v>
      </c>
      <c r="D5228" s="832">
        <v>482.02</v>
      </c>
    </row>
    <row r="5229" spans="1:4" x14ac:dyDescent="0.3">
      <c r="A5229" s="830">
        <v>99262</v>
      </c>
      <c r="B5229" s="831" t="s">
        <v>9682</v>
      </c>
      <c r="C5229" s="830" t="s">
        <v>89</v>
      </c>
      <c r="D5229" s="832">
        <v>685.37</v>
      </c>
    </row>
    <row r="5230" spans="1:4" x14ac:dyDescent="0.3">
      <c r="A5230" s="830">
        <v>99264</v>
      </c>
      <c r="B5230" s="831" t="s">
        <v>9683</v>
      </c>
      <c r="C5230" s="830" t="s">
        <v>89</v>
      </c>
      <c r="D5230" s="832">
        <v>805.47</v>
      </c>
    </row>
    <row r="5231" spans="1:4" x14ac:dyDescent="0.3">
      <c r="A5231" s="830">
        <v>102587</v>
      </c>
      <c r="B5231" s="831" t="s">
        <v>9684</v>
      </c>
      <c r="C5231" s="830" t="s">
        <v>89</v>
      </c>
      <c r="D5231" s="832">
        <v>3.77</v>
      </c>
    </row>
    <row r="5232" spans="1:4" x14ac:dyDescent="0.3">
      <c r="A5232" s="830">
        <v>102588</v>
      </c>
      <c r="B5232" s="831" t="s">
        <v>9685</v>
      </c>
      <c r="C5232" s="830" t="s">
        <v>89</v>
      </c>
      <c r="D5232" s="832">
        <v>5.45</v>
      </c>
    </row>
    <row r="5233" spans="1:4" x14ac:dyDescent="0.3">
      <c r="A5233" s="830">
        <v>102589</v>
      </c>
      <c r="B5233" s="831" t="s">
        <v>9686</v>
      </c>
      <c r="C5233" s="830" t="s">
        <v>89</v>
      </c>
      <c r="D5233" s="832">
        <v>4.18</v>
      </c>
    </row>
    <row r="5234" spans="1:4" x14ac:dyDescent="0.3">
      <c r="A5234" s="830">
        <v>102590</v>
      </c>
      <c r="B5234" s="831" t="s">
        <v>9687</v>
      </c>
      <c r="C5234" s="830" t="s">
        <v>89</v>
      </c>
      <c r="D5234" s="832">
        <v>5.87</v>
      </c>
    </row>
    <row r="5235" spans="1:4" x14ac:dyDescent="0.3">
      <c r="A5235" s="830">
        <v>102591</v>
      </c>
      <c r="B5235" s="831" t="s">
        <v>9688</v>
      </c>
      <c r="C5235" s="830" t="s">
        <v>89</v>
      </c>
      <c r="D5235" s="832">
        <v>4.6100000000000003</v>
      </c>
    </row>
    <row r="5236" spans="1:4" x14ac:dyDescent="0.3">
      <c r="A5236" s="830">
        <v>102592</v>
      </c>
      <c r="B5236" s="831" t="s">
        <v>9689</v>
      </c>
      <c r="C5236" s="830" t="s">
        <v>89</v>
      </c>
      <c r="D5236" s="832">
        <v>6.3</v>
      </c>
    </row>
    <row r="5237" spans="1:4" x14ac:dyDescent="0.3">
      <c r="A5237" s="830">
        <v>102593</v>
      </c>
      <c r="B5237" s="831" t="s">
        <v>9690</v>
      </c>
      <c r="C5237" s="830" t="s">
        <v>89</v>
      </c>
      <c r="D5237" s="832">
        <v>5.21</v>
      </c>
    </row>
    <row r="5238" spans="1:4" x14ac:dyDescent="0.3">
      <c r="A5238" s="830">
        <v>102594</v>
      </c>
      <c r="B5238" s="831" t="s">
        <v>9691</v>
      </c>
      <c r="C5238" s="830" t="s">
        <v>89</v>
      </c>
      <c r="D5238" s="832">
        <v>6.9</v>
      </c>
    </row>
    <row r="5239" spans="1:4" x14ac:dyDescent="0.3">
      <c r="A5239" s="830">
        <v>102595</v>
      </c>
      <c r="B5239" s="831" t="s">
        <v>9692</v>
      </c>
      <c r="C5239" s="830" t="s">
        <v>89</v>
      </c>
      <c r="D5239" s="832">
        <v>5.89</v>
      </c>
    </row>
    <row r="5240" spans="1:4" x14ac:dyDescent="0.3">
      <c r="A5240" s="830">
        <v>102596</v>
      </c>
      <c r="B5240" s="831" t="s">
        <v>9693</v>
      </c>
      <c r="C5240" s="830" t="s">
        <v>89</v>
      </c>
      <c r="D5240" s="832">
        <v>7.58</v>
      </c>
    </row>
    <row r="5241" spans="1:4" x14ac:dyDescent="0.3">
      <c r="A5241" s="830">
        <v>102597</v>
      </c>
      <c r="B5241" s="831" t="s">
        <v>9694</v>
      </c>
      <c r="C5241" s="830" t="s">
        <v>89</v>
      </c>
      <c r="D5241" s="832">
        <v>6.74</v>
      </c>
    </row>
    <row r="5242" spans="1:4" x14ac:dyDescent="0.3">
      <c r="A5242" s="830">
        <v>102598</v>
      </c>
      <c r="B5242" s="831" t="s">
        <v>9695</v>
      </c>
      <c r="C5242" s="830" t="s">
        <v>89</v>
      </c>
      <c r="D5242" s="832">
        <v>8.43</v>
      </c>
    </row>
    <row r="5243" spans="1:4" x14ac:dyDescent="0.3">
      <c r="A5243" s="830">
        <v>102599</v>
      </c>
      <c r="B5243" s="831" t="s">
        <v>9696</v>
      </c>
      <c r="C5243" s="830" t="s">
        <v>89</v>
      </c>
      <c r="D5243" s="832">
        <v>7.59</v>
      </c>
    </row>
    <row r="5244" spans="1:4" x14ac:dyDescent="0.3">
      <c r="A5244" s="830">
        <v>102600</v>
      </c>
      <c r="B5244" s="831" t="s">
        <v>9697</v>
      </c>
      <c r="C5244" s="830" t="s">
        <v>89</v>
      </c>
      <c r="D5244" s="832">
        <v>9.27</v>
      </c>
    </row>
    <row r="5245" spans="1:4" x14ac:dyDescent="0.3">
      <c r="A5245" s="830">
        <v>102601</v>
      </c>
      <c r="B5245" s="831" t="s">
        <v>9698</v>
      </c>
      <c r="C5245" s="830" t="s">
        <v>89</v>
      </c>
      <c r="D5245" s="832">
        <v>8.86</v>
      </c>
    </row>
    <row r="5246" spans="1:4" x14ac:dyDescent="0.3">
      <c r="A5246" s="830">
        <v>102602</v>
      </c>
      <c r="B5246" s="831" t="s">
        <v>9699</v>
      </c>
      <c r="C5246" s="830" t="s">
        <v>89</v>
      </c>
      <c r="D5246" s="832">
        <v>10.55</v>
      </c>
    </row>
    <row r="5247" spans="1:4" x14ac:dyDescent="0.3">
      <c r="A5247" s="830">
        <v>102603</v>
      </c>
      <c r="B5247" s="831" t="s">
        <v>9700</v>
      </c>
      <c r="C5247" s="830" t="s">
        <v>89</v>
      </c>
      <c r="D5247" s="832">
        <v>10.99</v>
      </c>
    </row>
    <row r="5248" spans="1:4" x14ac:dyDescent="0.3">
      <c r="A5248" s="830">
        <v>102604</v>
      </c>
      <c r="B5248" s="831" t="s">
        <v>9701</v>
      </c>
      <c r="C5248" s="830" t="s">
        <v>89</v>
      </c>
      <c r="D5248" s="832">
        <v>12.68</v>
      </c>
    </row>
    <row r="5249" spans="1:4" x14ac:dyDescent="0.3">
      <c r="A5249" s="830">
        <v>102605</v>
      </c>
      <c r="B5249" s="831" t="s">
        <v>9702</v>
      </c>
      <c r="C5249" s="830" t="s">
        <v>89</v>
      </c>
      <c r="D5249" s="832">
        <v>314.23</v>
      </c>
    </row>
    <row r="5250" spans="1:4" x14ac:dyDescent="0.3">
      <c r="A5250" s="830">
        <v>102606</v>
      </c>
      <c r="B5250" s="831" t="s">
        <v>9703</v>
      </c>
      <c r="C5250" s="830" t="s">
        <v>89</v>
      </c>
      <c r="D5250" s="832">
        <v>484.27</v>
      </c>
    </row>
    <row r="5251" spans="1:4" x14ac:dyDescent="0.3">
      <c r="A5251" s="830">
        <v>102607</v>
      </c>
      <c r="B5251" s="831" t="s">
        <v>9704</v>
      </c>
      <c r="C5251" s="830" t="s">
        <v>89</v>
      </c>
      <c r="D5251" s="832">
        <v>518.36</v>
      </c>
    </row>
    <row r="5252" spans="1:4" x14ac:dyDescent="0.3">
      <c r="A5252" s="830">
        <v>102608</v>
      </c>
      <c r="B5252" s="831" t="s">
        <v>9705</v>
      </c>
      <c r="C5252" s="830" t="s">
        <v>89</v>
      </c>
      <c r="D5252" s="832">
        <v>1188.53</v>
      </c>
    </row>
    <row r="5253" spans="1:4" x14ac:dyDescent="0.3">
      <c r="A5253" s="830">
        <v>102609</v>
      </c>
      <c r="B5253" s="831" t="s">
        <v>9706</v>
      </c>
      <c r="C5253" s="830" t="s">
        <v>89</v>
      </c>
      <c r="D5253" s="832">
        <v>1350.4</v>
      </c>
    </row>
    <row r="5254" spans="1:4" x14ac:dyDescent="0.3">
      <c r="A5254" s="830">
        <v>102610</v>
      </c>
      <c r="B5254" s="831" t="s">
        <v>9707</v>
      </c>
      <c r="C5254" s="830" t="s">
        <v>89</v>
      </c>
      <c r="D5254" s="832">
        <v>2321.2199999999998</v>
      </c>
    </row>
    <row r="5255" spans="1:4" x14ac:dyDescent="0.3">
      <c r="A5255" s="830">
        <v>102611</v>
      </c>
      <c r="B5255" s="831" t="s">
        <v>9708</v>
      </c>
      <c r="C5255" s="830" t="s">
        <v>89</v>
      </c>
      <c r="D5255" s="832">
        <v>522.21</v>
      </c>
    </row>
    <row r="5256" spans="1:4" x14ac:dyDescent="0.3">
      <c r="A5256" s="830">
        <v>102612</v>
      </c>
      <c r="B5256" s="831" t="s">
        <v>9709</v>
      </c>
      <c r="C5256" s="830" t="s">
        <v>89</v>
      </c>
      <c r="D5256" s="832">
        <v>749.82</v>
      </c>
    </row>
    <row r="5257" spans="1:4" x14ac:dyDescent="0.3">
      <c r="A5257" s="830">
        <v>102613</v>
      </c>
      <c r="B5257" s="831" t="s">
        <v>9710</v>
      </c>
      <c r="C5257" s="830" t="s">
        <v>89</v>
      </c>
      <c r="D5257" s="832">
        <v>726.79</v>
      </c>
    </row>
    <row r="5258" spans="1:4" x14ac:dyDescent="0.3">
      <c r="A5258" s="830">
        <v>102614</v>
      </c>
      <c r="B5258" s="831" t="s">
        <v>9711</v>
      </c>
      <c r="C5258" s="830" t="s">
        <v>89</v>
      </c>
      <c r="D5258" s="832">
        <v>1117.6199999999999</v>
      </c>
    </row>
    <row r="5259" spans="1:4" x14ac:dyDescent="0.3">
      <c r="A5259" s="830">
        <v>102615</v>
      </c>
      <c r="B5259" s="831" t="s">
        <v>9712</v>
      </c>
      <c r="C5259" s="830" t="s">
        <v>89</v>
      </c>
      <c r="D5259" s="832">
        <v>1402.61</v>
      </c>
    </row>
    <row r="5260" spans="1:4" x14ac:dyDescent="0.3">
      <c r="A5260" s="830">
        <v>102616</v>
      </c>
      <c r="B5260" s="831" t="s">
        <v>9713</v>
      </c>
      <c r="C5260" s="830" t="s">
        <v>89</v>
      </c>
      <c r="D5260" s="832">
        <v>2076.39</v>
      </c>
    </row>
    <row r="5261" spans="1:4" x14ac:dyDescent="0.3">
      <c r="A5261" s="830">
        <v>102617</v>
      </c>
      <c r="B5261" s="831" t="s">
        <v>9714</v>
      </c>
      <c r="C5261" s="830" t="s">
        <v>89</v>
      </c>
      <c r="D5261" s="832">
        <v>3761.83</v>
      </c>
    </row>
    <row r="5262" spans="1:4" x14ac:dyDescent="0.3">
      <c r="A5262" s="830">
        <v>102618</v>
      </c>
      <c r="B5262" s="831" t="s">
        <v>9715</v>
      </c>
      <c r="C5262" s="830" t="s">
        <v>89</v>
      </c>
      <c r="D5262" s="832">
        <v>4540.96</v>
      </c>
    </row>
    <row r="5263" spans="1:4" x14ac:dyDescent="0.3">
      <c r="A5263" s="830">
        <v>102619</v>
      </c>
      <c r="B5263" s="831" t="s">
        <v>9716</v>
      </c>
      <c r="C5263" s="830" t="s">
        <v>89</v>
      </c>
      <c r="D5263" s="832">
        <v>6121.68</v>
      </c>
    </row>
    <row r="5264" spans="1:4" x14ac:dyDescent="0.3">
      <c r="A5264" s="830">
        <v>102620</v>
      </c>
      <c r="B5264" s="831" t="s">
        <v>9717</v>
      </c>
      <c r="C5264" s="830" t="s">
        <v>89</v>
      </c>
      <c r="D5264" s="832">
        <v>8927.7999999999993</v>
      </c>
    </row>
    <row r="5265" spans="1:4" x14ac:dyDescent="0.3">
      <c r="A5265" s="830">
        <v>102621</v>
      </c>
      <c r="B5265" s="831" t="s">
        <v>9718</v>
      </c>
      <c r="C5265" s="830" t="s">
        <v>89</v>
      </c>
      <c r="D5265" s="832">
        <v>13763.46</v>
      </c>
    </row>
    <row r="5266" spans="1:4" x14ac:dyDescent="0.3">
      <c r="A5266" s="830">
        <v>102622</v>
      </c>
      <c r="B5266" s="831" t="s">
        <v>9719</v>
      </c>
      <c r="C5266" s="830" t="s">
        <v>89</v>
      </c>
      <c r="D5266" s="832">
        <v>660.4</v>
      </c>
    </row>
    <row r="5267" spans="1:4" x14ac:dyDescent="0.3">
      <c r="A5267" s="830">
        <v>102623</v>
      </c>
      <c r="B5267" s="831" t="s">
        <v>9720</v>
      </c>
      <c r="C5267" s="830" t="s">
        <v>89</v>
      </c>
      <c r="D5267" s="832">
        <v>916.33</v>
      </c>
    </row>
    <row r="5268" spans="1:4" x14ac:dyDescent="0.3">
      <c r="A5268" s="830">
        <v>89482</v>
      </c>
      <c r="B5268" s="831" t="s">
        <v>9721</v>
      </c>
      <c r="C5268" s="830" t="s">
        <v>89</v>
      </c>
      <c r="D5268" s="832">
        <v>50.04</v>
      </c>
    </row>
    <row r="5269" spans="1:4" x14ac:dyDescent="0.3">
      <c r="A5269" s="830">
        <v>89491</v>
      </c>
      <c r="B5269" s="831" t="s">
        <v>9722</v>
      </c>
      <c r="C5269" s="830" t="s">
        <v>89</v>
      </c>
      <c r="D5269" s="832">
        <v>128.53</v>
      </c>
    </row>
    <row r="5270" spans="1:4" x14ac:dyDescent="0.3">
      <c r="A5270" s="830">
        <v>89495</v>
      </c>
      <c r="B5270" s="831" t="s">
        <v>9723</v>
      </c>
      <c r="C5270" s="830" t="s">
        <v>89</v>
      </c>
      <c r="D5270" s="832">
        <v>23.38</v>
      </c>
    </row>
    <row r="5271" spans="1:4" x14ac:dyDescent="0.3">
      <c r="A5271" s="830">
        <v>89707</v>
      </c>
      <c r="B5271" s="831" t="s">
        <v>9724</v>
      </c>
      <c r="C5271" s="830" t="s">
        <v>89</v>
      </c>
      <c r="D5271" s="832">
        <v>59.85</v>
      </c>
    </row>
    <row r="5272" spans="1:4" x14ac:dyDescent="0.3">
      <c r="A5272" s="830">
        <v>89708</v>
      </c>
      <c r="B5272" s="831" t="s">
        <v>9725</v>
      </c>
      <c r="C5272" s="830" t="s">
        <v>89</v>
      </c>
      <c r="D5272" s="832">
        <v>132.56</v>
      </c>
    </row>
    <row r="5273" spans="1:4" x14ac:dyDescent="0.3">
      <c r="A5273" s="830">
        <v>89709</v>
      </c>
      <c r="B5273" s="831" t="s">
        <v>9726</v>
      </c>
      <c r="C5273" s="830" t="s">
        <v>89</v>
      </c>
      <c r="D5273" s="832">
        <v>26.31</v>
      </c>
    </row>
    <row r="5274" spans="1:4" x14ac:dyDescent="0.3">
      <c r="A5274" s="830">
        <v>89710</v>
      </c>
      <c r="B5274" s="831" t="s">
        <v>9727</v>
      </c>
      <c r="C5274" s="830" t="s">
        <v>89</v>
      </c>
      <c r="D5274" s="832">
        <v>22.8</v>
      </c>
    </row>
    <row r="5275" spans="1:4" x14ac:dyDescent="0.3">
      <c r="A5275" s="830">
        <v>104326</v>
      </c>
      <c r="B5275" s="831" t="s">
        <v>9728</v>
      </c>
      <c r="C5275" s="830" t="s">
        <v>89</v>
      </c>
      <c r="D5275" s="832">
        <v>24.97</v>
      </c>
    </row>
    <row r="5276" spans="1:4" x14ac:dyDescent="0.3">
      <c r="A5276" s="830">
        <v>104327</v>
      </c>
      <c r="B5276" s="831" t="s">
        <v>9729</v>
      </c>
      <c r="C5276" s="830" t="s">
        <v>89</v>
      </c>
      <c r="D5276" s="832">
        <v>23.69</v>
      </c>
    </row>
    <row r="5277" spans="1:4" x14ac:dyDescent="0.3">
      <c r="A5277" s="830">
        <v>104328</v>
      </c>
      <c r="B5277" s="831" t="s">
        <v>9730</v>
      </c>
      <c r="C5277" s="830" t="s">
        <v>89</v>
      </c>
      <c r="D5277" s="832">
        <v>89.57</v>
      </c>
    </row>
    <row r="5278" spans="1:4" x14ac:dyDescent="0.3">
      <c r="A5278" s="830">
        <v>104329</v>
      </c>
      <c r="B5278" s="831" t="s">
        <v>9731</v>
      </c>
      <c r="C5278" s="830" t="s">
        <v>89</v>
      </c>
      <c r="D5278" s="832">
        <v>102.11</v>
      </c>
    </row>
    <row r="5279" spans="1:4" x14ac:dyDescent="0.3">
      <c r="A5279" s="830">
        <v>86872</v>
      </c>
      <c r="B5279" s="831" t="s">
        <v>9732</v>
      </c>
      <c r="C5279" s="830" t="s">
        <v>89</v>
      </c>
      <c r="D5279" s="832">
        <v>712.7</v>
      </c>
    </row>
    <row r="5280" spans="1:4" x14ac:dyDescent="0.3">
      <c r="A5280" s="830">
        <v>86874</v>
      </c>
      <c r="B5280" s="831" t="s">
        <v>9733</v>
      </c>
      <c r="C5280" s="830" t="s">
        <v>89</v>
      </c>
      <c r="D5280" s="832">
        <v>496.26</v>
      </c>
    </row>
    <row r="5281" spans="1:4" x14ac:dyDescent="0.3">
      <c r="A5281" s="830">
        <v>86875</v>
      </c>
      <c r="B5281" s="831" t="s">
        <v>9734</v>
      </c>
      <c r="C5281" s="830" t="s">
        <v>89</v>
      </c>
      <c r="D5281" s="832">
        <v>577.70000000000005</v>
      </c>
    </row>
    <row r="5282" spans="1:4" x14ac:dyDescent="0.3">
      <c r="A5282" s="830">
        <v>86876</v>
      </c>
      <c r="B5282" s="831" t="s">
        <v>9735</v>
      </c>
      <c r="C5282" s="830" t="s">
        <v>89</v>
      </c>
      <c r="D5282" s="832">
        <v>329.87</v>
      </c>
    </row>
    <row r="5283" spans="1:4" x14ac:dyDescent="0.3">
      <c r="A5283" s="830">
        <v>86877</v>
      </c>
      <c r="B5283" s="831" t="s">
        <v>9736</v>
      </c>
      <c r="C5283" s="830" t="s">
        <v>89</v>
      </c>
      <c r="D5283" s="832">
        <v>51.54</v>
      </c>
    </row>
    <row r="5284" spans="1:4" x14ac:dyDescent="0.3">
      <c r="A5284" s="830">
        <v>86878</v>
      </c>
      <c r="B5284" s="831" t="s">
        <v>9737</v>
      </c>
      <c r="C5284" s="830" t="s">
        <v>89</v>
      </c>
      <c r="D5284" s="832">
        <v>55.38</v>
      </c>
    </row>
    <row r="5285" spans="1:4" x14ac:dyDescent="0.3">
      <c r="A5285" s="830">
        <v>86879</v>
      </c>
      <c r="B5285" s="831" t="s">
        <v>9738</v>
      </c>
      <c r="C5285" s="830" t="s">
        <v>89</v>
      </c>
      <c r="D5285" s="832">
        <v>9.7200000000000006</v>
      </c>
    </row>
    <row r="5286" spans="1:4" x14ac:dyDescent="0.3">
      <c r="A5286" s="830">
        <v>86880</v>
      </c>
      <c r="B5286" s="831" t="s">
        <v>9739</v>
      </c>
      <c r="C5286" s="830" t="s">
        <v>89</v>
      </c>
      <c r="D5286" s="832">
        <v>25.13</v>
      </c>
    </row>
    <row r="5287" spans="1:4" x14ac:dyDescent="0.3">
      <c r="A5287" s="830">
        <v>86881</v>
      </c>
      <c r="B5287" s="831" t="s">
        <v>9740</v>
      </c>
      <c r="C5287" s="830" t="s">
        <v>89</v>
      </c>
      <c r="D5287" s="832">
        <v>152.88</v>
      </c>
    </row>
    <row r="5288" spans="1:4" x14ac:dyDescent="0.3">
      <c r="A5288" s="830">
        <v>86882</v>
      </c>
      <c r="B5288" s="831" t="s">
        <v>9741</v>
      </c>
      <c r="C5288" s="830" t="s">
        <v>89</v>
      </c>
      <c r="D5288" s="832">
        <v>21.5</v>
      </c>
    </row>
    <row r="5289" spans="1:4" x14ac:dyDescent="0.3">
      <c r="A5289" s="830">
        <v>86883</v>
      </c>
      <c r="B5289" s="831" t="s">
        <v>9742</v>
      </c>
      <c r="C5289" s="830" t="s">
        <v>89</v>
      </c>
      <c r="D5289" s="832">
        <v>11.75</v>
      </c>
    </row>
    <row r="5290" spans="1:4" x14ac:dyDescent="0.3">
      <c r="A5290" s="830">
        <v>86884</v>
      </c>
      <c r="B5290" s="831" t="s">
        <v>9743</v>
      </c>
      <c r="C5290" s="830" t="s">
        <v>89</v>
      </c>
      <c r="D5290" s="832">
        <v>10.93</v>
      </c>
    </row>
    <row r="5291" spans="1:4" x14ac:dyDescent="0.3">
      <c r="A5291" s="830">
        <v>86885</v>
      </c>
      <c r="B5291" s="831" t="s">
        <v>9744</v>
      </c>
      <c r="C5291" s="830" t="s">
        <v>89</v>
      </c>
      <c r="D5291" s="832">
        <v>12.26</v>
      </c>
    </row>
    <row r="5292" spans="1:4" x14ac:dyDescent="0.3">
      <c r="A5292" s="830">
        <v>86886</v>
      </c>
      <c r="B5292" s="831" t="s">
        <v>9745</v>
      </c>
      <c r="C5292" s="830" t="s">
        <v>89</v>
      </c>
      <c r="D5292" s="832">
        <v>38.49</v>
      </c>
    </row>
    <row r="5293" spans="1:4" x14ac:dyDescent="0.3">
      <c r="A5293" s="830">
        <v>86887</v>
      </c>
      <c r="B5293" s="831" t="s">
        <v>9746</v>
      </c>
      <c r="C5293" s="830" t="s">
        <v>89</v>
      </c>
      <c r="D5293" s="832">
        <v>41.58</v>
      </c>
    </row>
    <row r="5294" spans="1:4" x14ac:dyDescent="0.3">
      <c r="A5294" s="830">
        <v>86888</v>
      </c>
      <c r="B5294" s="831" t="s">
        <v>9747</v>
      </c>
      <c r="C5294" s="830" t="s">
        <v>89</v>
      </c>
      <c r="D5294" s="832">
        <v>484.18</v>
      </c>
    </row>
    <row r="5295" spans="1:4" x14ac:dyDescent="0.3">
      <c r="A5295" s="830">
        <v>86889</v>
      </c>
      <c r="B5295" s="831" t="s">
        <v>9748</v>
      </c>
      <c r="C5295" s="830" t="s">
        <v>89</v>
      </c>
      <c r="D5295" s="832">
        <v>657.04</v>
      </c>
    </row>
    <row r="5296" spans="1:4" x14ac:dyDescent="0.3">
      <c r="A5296" s="830">
        <v>86893</v>
      </c>
      <c r="B5296" s="831" t="s">
        <v>9749</v>
      </c>
      <c r="C5296" s="830" t="s">
        <v>89</v>
      </c>
      <c r="D5296" s="832">
        <v>559.61</v>
      </c>
    </row>
    <row r="5297" spans="1:4" x14ac:dyDescent="0.3">
      <c r="A5297" s="830">
        <v>86894</v>
      </c>
      <c r="B5297" s="831" t="s">
        <v>9750</v>
      </c>
      <c r="C5297" s="830" t="s">
        <v>89</v>
      </c>
      <c r="D5297" s="832">
        <v>324.64</v>
      </c>
    </row>
    <row r="5298" spans="1:4" x14ac:dyDescent="0.3">
      <c r="A5298" s="830">
        <v>86895</v>
      </c>
      <c r="B5298" s="831" t="s">
        <v>9751</v>
      </c>
      <c r="C5298" s="830" t="s">
        <v>89</v>
      </c>
      <c r="D5298" s="832">
        <v>332.85</v>
      </c>
    </row>
    <row r="5299" spans="1:4" x14ac:dyDescent="0.3">
      <c r="A5299" s="830">
        <v>86899</v>
      </c>
      <c r="B5299" s="831" t="s">
        <v>9752</v>
      </c>
      <c r="C5299" s="830" t="s">
        <v>89</v>
      </c>
      <c r="D5299" s="832">
        <v>296.3</v>
      </c>
    </row>
    <row r="5300" spans="1:4" x14ac:dyDescent="0.3">
      <c r="A5300" s="830">
        <v>86900</v>
      </c>
      <c r="B5300" s="831" t="s">
        <v>9753</v>
      </c>
      <c r="C5300" s="830" t="s">
        <v>89</v>
      </c>
      <c r="D5300" s="832">
        <v>213.35</v>
      </c>
    </row>
    <row r="5301" spans="1:4" x14ac:dyDescent="0.3">
      <c r="A5301" s="830">
        <v>86901</v>
      </c>
      <c r="B5301" s="831" t="s">
        <v>9754</v>
      </c>
      <c r="C5301" s="830" t="s">
        <v>89</v>
      </c>
      <c r="D5301" s="832">
        <v>145.68</v>
      </c>
    </row>
    <row r="5302" spans="1:4" x14ac:dyDescent="0.3">
      <c r="A5302" s="830">
        <v>86902</v>
      </c>
      <c r="B5302" s="831" t="s">
        <v>9755</v>
      </c>
      <c r="C5302" s="830" t="s">
        <v>89</v>
      </c>
      <c r="D5302" s="832">
        <v>313.49</v>
      </c>
    </row>
    <row r="5303" spans="1:4" x14ac:dyDescent="0.3">
      <c r="A5303" s="830">
        <v>86903</v>
      </c>
      <c r="B5303" s="831" t="s">
        <v>9756</v>
      </c>
      <c r="C5303" s="830" t="s">
        <v>89</v>
      </c>
      <c r="D5303" s="832">
        <v>356.35</v>
      </c>
    </row>
    <row r="5304" spans="1:4" x14ac:dyDescent="0.3">
      <c r="A5304" s="830">
        <v>86904</v>
      </c>
      <c r="B5304" s="831" t="s">
        <v>9757</v>
      </c>
      <c r="C5304" s="830" t="s">
        <v>89</v>
      </c>
      <c r="D5304" s="832">
        <v>146.56</v>
      </c>
    </row>
    <row r="5305" spans="1:4" x14ac:dyDescent="0.3">
      <c r="A5305" s="830">
        <v>86905</v>
      </c>
      <c r="B5305" s="831" t="s">
        <v>9758</v>
      </c>
      <c r="C5305" s="830" t="s">
        <v>89</v>
      </c>
      <c r="D5305" s="832">
        <v>397.44</v>
      </c>
    </row>
    <row r="5306" spans="1:4" x14ac:dyDescent="0.3">
      <c r="A5306" s="830">
        <v>86906</v>
      </c>
      <c r="B5306" s="831" t="s">
        <v>9759</v>
      </c>
      <c r="C5306" s="830" t="s">
        <v>89</v>
      </c>
      <c r="D5306" s="832">
        <v>73.59</v>
      </c>
    </row>
    <row r="5307" spans="1:4" x14ac:dyDescent="0.3">
      <c r="A5307" s="830">
        <v>86908</v>
      </c>
      <c r="B5307" s="831" t="s">
        <v>9760</v>
      </c>
      <c r="C5307" s="830" t="s">
        <v>89</v>
      </c>
      <c r="D5307" s="832">
        <v>473.93</v>
      </c>
    </row>
    <row r="5308" spans="1:4" x14ac:dyDescent="0.3">
      <c r="A5308" s="830">
        <v>86909</v>
      </c>
      <c r="B5308" s="831" t="s">
        <v>9761</v>
      </c>
      <c r="C5308" s="830" t="s">
        <v>89</v>
      </c>
      <c r="D5308" s="832">
        <v>127.78</v>
      </c>
    </row>
    <row r="5309" spans="1:4" x14ac:dyDescent="0.3">
      <c r="A5309" s="830">
        <v>86910</v>
      </c>
      <c r="B5309" s="831" t="s">
        <v>9762</v>
      </c>
      <c r="C5309" s="830" t="s">
        <v>89</v>
      </c>
      <c r="D5309" s="832">
        <v>125.51</v>
      </c>
    </row>
    <row r="5310" spans="1:4" x14ac:dyDescent="0.3">
      <c r="A5310" s="830">
        <v>86911</v>
      </c>
      <c r="B5310" s="831" t="s">
        <v>9763</v>
      </c>
      <c r="C5310" s="830" t="s">
        <v>89</v>
      </c>
      <c r="D5310" s="832">
        <v>86.14</v>
      </c>
    </row>
    <row r="5311" spans="1:4" x14ac:dyDescent="0.3">
      <c r="A5311" s="830">
        <v>86913</v>
      </c>
      <c r="B5311" s="831" t="s">
        <v>9764</v>
      </c>
      <c r="C5311" s="830" t="s">
        <v>89</v>
      </c>
      <c r="D5311" s="832">
        <v>54.44</v>
      </c>
    </row>
    <row r="5312" spans="1:4" x14ac:dyDescent="0.3">
      <c r="A5312" s="830">
        <v>86914</v>
      </c>
      <c r="B5312" s="831" t="s">
        <v>9765</v>
      </c>
      <c r="C5312" s="830" t="s">
        <v>89</v>
      </c>
      <c r="D5312" s="832">
        <v>96.86</v>
      </c>
    </row>
    <row r="5313" spans="1:4" x14ac:dyDescent="0.3">
      <c r="A5313" s="830">
        <v>86915</v>
      </c>
      <c r="B5313" s="831" t="s">
        <v>9766</v>
      </c>
      <c r="C5313" s="830" t="s">
        <v>89</v>
      </c>
      <c r="D5313" s="832">
        <v>140.32</v>
      </c>
    </row>
    <row r="5314" spans="1:4" x14ac:dyDescent="0.3">
      <c r="A5314" s="830">
        <v>86916</v>
      </c>
      <c r="B5314" s="831" t="s">
        <v>9767</v>
      </c>
      <c r="C5314" s="830" t="s">
        <v>89</v>
      </c>
      <c r="D5314" s="832">
        <v>22.04</v>
      </c>
    </row>
    <row r="5315" spans="1:4" x14ac:dyDescent="0.3">
      <c r="A5315" s="830">
        <v>86919</v>
      </c>
      <c r="B5315" s="831" t="s">
        <v>9768</v>
      </c>
      <c r="C5315" s="830" t="s">
        <v>89</v>
      </c>
      <c r="D5315" s="832">
        <v>872.85</v>
      </c>
    </row>
    <row r="5316" spans="1:4" x14ac:dyDescent="0.3">
      <c r="A5316" s="830">
        <v>86920</v>
      </c>
      <c r="B5316" s="831" t="s">
        <v>9769</v>
      </c>
      <c r="C5316" s="830" t="s">
        <v>89</v>
      </c>
      <c r="D5316" s="832">
        <v>788.61</v>
      </c>
    </row>
    <row r="5317" spans="1:4" x14ac:dyDescent="0.3">
      <c r="A5317" s="830">
        <v>86921</v>
      </c>
      <c r="B5317" s="831" t="s">
        <v>9770</v>
      </c>
      <c r="C5317" s="830" t="s">
        <v>89</v>
      </c>
      <c r="D5317" s="832">
        <v>756.21</v>
      </c>
    </row>
    <row r="5318" spans="1:4" x14ac:dyDescent="0.3">
      <c r="A5318" s="830">
        <v>86922</v>
      </c>
      <c r="B5318" s="831" t="s">
        <v>9771</v>
      </c>
      <c r="C5318" s="830" t="s">
        <v>89</v>
      </c>
      <c r="D5318" s="832">
        <v>797.54</v>
      </c>
    </row>
    <row r="5319" spans="1:4" x14ac:dyDescent="0.3">
      <c r="A5319" s="830">
        <v>86923</v>
      </c>
      <c r="B5319" s="831" t="s">
        <v>9772</v>
      </c>
      <c r="C5319" s="830" t="s">
        <v>89</v>
      </c>
      <c r="D5319" s="832">
        <v>581.91999999999996</v>
      </c>
    </row>
    <row r="5320" spans="1:4" x14ac:dyDescent="0.3">
      <c r="A5320" s="830">
        <v>86924</v>
      </c>
      <c r="B5320" s="831" t="s">
        <v>9773</v>
      </c>
      <c r="C5320" s="830" t="s">
        <v>89</v>
      </c>
      <c r="D5320" s="832">
        <v>549.52</v>
      </c>
    </row>
    <row r="5321" spans="1:4" x14ac:dyDescent="0.3">
      <c r="A5321" s="830">
        <v>86925</v>
      </c>
      <c r="B5321" s="831" t="s">
        <v>9774</v>
      </c>
      <c r="C5321" s="830" t="s">
        <v>89</v>
      </c>
      <c r="D5321" s="832">
        <v>653.61</v>
      </c>
    </row>
    <row r="5322" spans="1:4" x14ac:dyDescent="0.3">
      <c r="A5322" s="830">
        <v>86926</v>
      </c>
      <c r="B5322" s="831" t="s">
        <v>9775</v>
      </c>
      <c r="C5322" s="830" t="s">
        <v>89</v>
      </c>
      <c r="D5322" s="832">
        <v>621.21</v>
      </c>
    </row>
    <row r="5323" spans="1:4" x14ac:dyDescent="0.3">
      <c r="A5323" s="830">
        <v>86927</v>
      </c>
      <c r="B5323" s="831" t="s">
        <v>9776</v>
      </c>
      <c r="C5323" s="830" t="s">
        <v>89</v>
      </c>
      <c r="D5323" s="832">
        <v>415.53</v>
      </c>
    </row>
    <row r="5324" spans="1:4" x14ac:dyDescent="0.3">
      <c r="A5324" s="830">
        <v>86928</v>
      </c>
      <c r="B5324" s="831" t="s">
        <v>9777</v>
      </c>
      <c r="C5324" s="830" t="s">
        <v>89</v>
      </c>
      <c r="D5324" s="832">
        <v>383.13</v>
      </c>
    </row>
    <row r="5325" spans="1:4" x14ac:dyDescent="0.3">
      <c r="A5325" s="830">
        <v>86929</v>
      </c>
      <c r="B5325" s="831" t="s">
        <v>9778</v>
      </c>
      <c r="C5325" s="830" t="s">
        <v>89</v>
      </c>
      <c r="D5325" s="832">
        <v>405.78</v>
      </c>
    </row>
    <row r="5326" spans="1:4" x14ac:dyDescent="0.3">
      <c r="A5326" s="830">
        <v>86930</v>
      </c>
      <c r="B5326" s="831" t="s">
        <v>9779</v>
      </c>
      <c r="C5326" s="830" t="s">
        <v>89</v>
      </c>
      <c r="D5326" s="832">
        <v>373.38</v>
      </c>
    </row>
    <row r="5327" spans="1:4" x14ac:dyDescent="0.3">
      <c r="A5327" s="830">
        <v>86931</v>
      </c>
      <c r="B5327" s="831" t="s">
        <v>9780</v>
      </c>
      <c r="C5327" s="830" t="s">
        <v>89</v>
      </c>
      <c r="D5327" s="832">
        <v>496.44</v>
      </c>
    </row>
    <row r="5328" spans="1:4" x14ac:dyDescent="0.3">
      <c r="A5328" s="830">
        <v>86932</v>
      </c>
      <c r="B5328" s="831" t="s">
        <v>9781</v>
      </c>
      <c r="C5328" s="830" t="s">
        <v>89</v>
      </c>
      <c r="D5328" s="832">
        <v>525.76</v>
      </c>
    </row>
    <row r="5329" spans="1:4" x14ac:dyDescent="0.3">
      <c r="A5329" s="830">
        <v>86933</v>
      </c>
      <c r="B5329" s="831" t="s">
        <v>9782</v>
      </c>
      <c r="C5329" s="830" t="s">
        <v>89</v>
      </c>
      <c r="D5329" s="832">
        <v>457.41</v>
      </c>
    </row>
    <row r="5330" spans="1:4" x14ac:dyDescent="0.3">
      <c r="A5330" s="830">
        <v>86934</v>
      </c>
      <c r="B5330" s="831" t="s">
        <v>9783</v>
      </c>
      <c r="C5330" s="830" t="s">
        <v>89</v>
      </c>
      <c r="D5330" s="832">
        <v>447.66</v>
      </c>
    </row>
    <row r="5331" spans="1:4" x14ac:dyDescent="0.3">
      <c r="A5331" s="830">
        <v>86935</v>
      </c>
      <c r="B5331" s="831" t="s">
        <v>9784</v>
      </c>
      <c r="C5331" s="830" t="s">
        <v>89</v>
      </c>
      <c r="D5331" s="832">
        <v>280.48</v>
      </c>
    </row>
    <row r="5332" spans="1:4" x14ac:dyDescent="0.3">
      <c r="A5332" s="830">
        <v>86936</v>
      </c>
      <c r="B5332" s="831" t="s">
        <v>9785</v>
      </c>
      <c r="C5332" s="830" t="s">
        <v>89</v>
      </c>
      <c r="D5332" s="832">
        <v>421.61</v>
      </c>
    </row>
    <row r="5333" spans="1:4" x14ac:dyDescent="0.3">
      <c r="A5333" s="830">
        <v>86937</v>
      </c>
      <c r="B5333" s="831" t="s">
        <v>9786</v>
      </c>
      <c r="C5333" s="830" t="s">
        <v>89</v>
      </c>
      <c r="D5333" s="832">
        <v>208.97</v>
      </c>
    </row>
    <row r="5334" spans="1:4" x14ac:dyDescent="0.3">
      <c r="A5334" s="830">
        <v>86938</v>
      </c>
      <c r="B5334" s="831" t="s">
        <v>9787</v>
      </c>
      <c r="C5334" s="830" t="s">
        <v>89</v>
      </c>
      <c r="D5334" s="832">
        <v>350.1</v>
      </c>
    </row>
    <row r="5335" spans="1:4" x14ac:dyDescent="0.3">
      <c r="A5335" s="830">
        <v>86939</v>
      </c>
      <c r="B5335" s="831" t="s">
        <v>9788</v>
      </c>
      <c r="C5335" s="830" t="s">
        <v>89</v>
      </c>
      <c r="D5335" s="832">
        <v>419.48</v>
      </c>
    </row>
    <row r="5336" spans="1:4" x14ac:dyDescent="0.3">
      <c r="A5336" s="830">
        <v>86940</v>
      </c>
      <c r="B5336" s="831" t="s">
        <v>9789</v>
      </c>
      <c r="C5336" s="830" t="s">
        <v>89</v>
      </c>
      <c r="D5336" s="832">
        <v>1041.3699999999999</v>
      </c>
    </row>
    <row r="5337" spans="1:4" x14ac:dyDescent="0.3">
      <c r="A5337" s="830">
        <v>86941</v>
      </c>
      <c r="B5337" s="831" t="s">
        <v>9790</v>
      </c>
      <c r="C5337" s="830" t="s">
        <v>89</v>
      </c>
      <c r="D5337" s="832">
        <v>742.67</v>
      </c>
    </row>
    <row r="5338" spans="1:4" x14ac:dyDescent="0.3">
      <c r="A5338" s="830">
        <v>86942</v>
      </c>
      <c r="B5338" s="831" t="s">
        <v>9791</v>
      </c>
      <c r="C5338" s="830" t="s">
        <v>89</v>
      </c>
      <c r="D5338" s="832">
        <v>262.3</v>
      </c>
    </row>
    <row r="5339" spans="1:4" x14ac:dyDescent="0.3">
      <c r="A5339" s="830">
        <v>86943</v>
      </c>
      <c r="B5339" s="831" t="s">
        <v>9792</v>
      </c>
      <c r="C5339" s="830" t="s">
        <v>89</v>
      </c>
      <c r="D5339" s="832">
        <v>252.55</v>
      </c>
    </row>
    <row r="5340" spans="1:4" x14ac:dyDescent="0.3">
      <c r="A5340" s="830">
        <v>86947</v>
      </c>
      <c r="B5340" s="831" t="s">
        <v>9793</v>
      </c>
      <c r="C5340" s="830" t="s">
        <v>89</v>
      </c>
      <c r="D5340" s="832">
        <v>1127</v>
      </c>
    </row>
    <row r="5341" spans="1:4" x14ac:dyDescent="0.3">
      <c r="A5341" s="830">
        <v>93396</v>
      </c>
      <c r="B5341" s="831" t="s">
        <v>9794</v>
      </c>
      <c r="C5341" s="830" t="s">
        <v>89</v>
      </c>
      <c r="D5341" s="832">
        <v>626.34</v>
      </c>
    </row>
    <row r="5342" spans="1:4" x14ac:dyDescent="0.3">
      <c r="A5342" s="830">
        <v>93441</v>
      </c>
      <c r="B5342" s="831" t="s">
        <v>9795</v>
      </c>
      <c r="C5342" s="830" t="s">
        <v>89</v>
      </c>
      <c r="D5342" s="832">
        <v>1034.5899999999999</v>
      </c>
    </row>
    <row r="5343" spans="1:4" x14ac:dyDescent="0.3">
      <c r="A5343" s="830">
        <v>93442</v>
      </c>
      <c r="B5343" s="831" t="s">
        <v>9796</v>
      </c>
      <c r="C5343" s="830" t="s">
        <v>89</v>
      </c>
      <c r="D5343" s="832">
        <v>1119.93</v>
      </c>
    </row>
    <row r="5344" spans="1:4" x14ac:dyDescent="0.3">
      <c r="A5344" s="830">
        <v>95469</v>
      </c>
      <c r="B5344" s="831" t="s">
        <v>9797</v>
      </c>
      <c r="C5344" s="830" t="s">
        <v>89</v>
      </c>
      <c r="D5344" s="832">
        <v>297.68</v>
      </c>
    </row>
    <row r="5345" spans="1:4" x14ac:dyDescent="0.3">
      <c r="A5345" s="830">
        <v>95470</v>
      </c>
      <c r="B5345" s="831" t="s">
        <v>9798</v>
      </c>
      <c r="C5345" s="830" t="s">
        <v>89</v>
      </c>
      <c r="D5345" s="832">
        <v>307.42</v>
      </c>
    </row>
    <row r="5346" spans="1:4" x14ac:dyDescent="0.3">
      <c r="A5346" s="830">
        <v>95471</v>
      </c>
      <c r="B5346" s="831" t="s">
        <v>9799</v>
      </c>
      <c r="C5346" s="830" t="s">
        <v>89</v>
      </c>
      <c r="D5346" s="832">
        <v>756.63</v>
      </c>
    </row>
    <row r="5347" spans="1:4" x14ac:dyDescent="0.3">
      <c r="A5347" s="830">
        <v>95472</v>
      </c>
      <c r="B5347" s="831" t="s">
        <v>9800</v>
      </c>
      <c r="C5347" s="830" t="s">
        <v>89</v>
      </c>
      <c r="D5347" s="832">
        <v>766.37</v>
      </c>
    </row>
    <row r="5348" spans="1:4" x14ac:dyDescent="0.3">
      <c r="A5348" s="830">
        <v>95542</v>
      </c>
      <c r="B5348" s="831" t="s">
        <v>9801</v>
      </c>
      <c r="C5348" s="830" t="s">
        <v>89</v>
      </c>
      <c r="D5348" s="832">
        <v>37.909999999999997</v>
      </c>
    </row>
    <row r="5349" spans="1:4" x14ac:dyDescent="0.3">
      <c r="A5349" s="830">
        <v>95543</v>
      </c>
      <c r="B5349" s="831" t="s">
        <v>9802</v>
      </c>
      <c r="C5349" s="830" t="s">
        <v>89</v>
      </c>
      <c r="D5349" s="832">
        <v>64.31</v>
      </c>
    </row>
    <row r="5350" spans="1:4" x14ac:dyDescent="0.3">
      <c r="A5350" s="830">
        <v>95544</v>
      </c>
      <c r="B5350" s="831" t="s">
        <v>9803</v>
      </c>
      <c r="C5350" s="830" t="s">
        <v>89</v>
      </c>
      <c r="D5350" s="832">
        <v>45.94</v>
      </c>
    </row>
    <row r="5351" spans="1:4" x14ac:dyDescent="0.3">
      <c r="A5351" s="830">
        <v>95545</v>
      </c>
      <c r="B5351" s="831" t="s">
        <v>9804</v>
      </c>
      <c r="C5351" s="830" t="s">
        <v>89</v>
      </c>
      <c r="D5351" s="832">
        <v>45.09</v>
      </c>
    </row>
    <row r="5352" spans="1:4" x14ac:dyDescent="0.3">
      <c r="A5352" s="830">
        <v>95546</v>
      </c>
      <c r="B5352" s="831" t="s">
        <v>9805</v>
      </c>
      <c r="C5352" s="830" t="s">
        <v>89</v>
      </c>
      <c r="D5352" s="832">
        <v>158.94999999999999</v>
      </c>
    </row>
    <row r="5353" spans="1:4" x14ac:dyDescent="0.3">
      <c r="A5353" s="830">
        <v>95547</v>
      </c>
      <c r="B5353" s="831" t="s">
        <v>9806</v>
      </c>
      <c r="C5353" s="830" t="s">
        <v>89</v>
      </c>
      <c r="D5353" s="832">
        <v>48.82</v>
      </c>
    </row>
    <row r="5354" spans="1:4" x14ac:dyDescent="0.3">
      <c r="A5354" s="830">
        <v>100848</v>
      </c>
      <c r="B5354" s="831" t="s">
        <v>9807</v>
      </c>
      <c r="C5354" s="830" t="s">
        <v>89</v>
      </c>
      <c r="D5354" s="832">
        <v>543.64</v>
      </c>
    </row>
    <row r="5355" spans="1:4" x14ac:dyDescent="0.3">
      <c r="A5355" s="830">
        <v>100849</v>
      </c>
      <c r="B5355" s="831" t="s">
        <v>9808</v>
      </c>
      <c r="C5355" s="830" t="s">
        <v>89</v>
      </c>
      <c r="D5355" s="832">
        <v>47.28</v>
      </c>
    </row>
    <row r="5356" spans="1:4" x14ac:dyDescent="0.3">
      <c r="A5356" s="830">
        <v>100851</v>
      </c>
      <c r="B5356" s="831" t="s">
        <v>9809</v>
      </c>
      <c r="C5356" s="830" t="s">
        <v>89</v>
      </c>
      <c r="D5356" s="832">
        <v>94.09</v>
      </c>
    </row>
    <row r="5357" spans="1:4" x14ac:dyDescent="0.3">
      <c r="A5357" s="830">
        <v>100852</v>
      </c>
      <c r="B5357" s="831" t="s">
        <v>9810</v>
      </c>
      <c r="C5357" s="830" t="s">
        <v>89</v>
      </c>
      <c r="D5357" s="832">
        <v>233.4</v>
      </c>
    </row>
    <row r="5358" spans="1:4" x14ac:dyDescent="0.3">
      <c r="A5358" s="830">
        <v>100853</v>
      </c>
      <c r="B5358" s="831" t="s">
        <v>9811</v>
      </c>
      <c r="C5358" s="830" t="s">
        <v>89</v>
      </c>
      <c r="D5358" s="832">
        <v>338.19</v>
      </c>
    </row>
    <row r="5359" spans="1:4" x14ac:dyDescent="0.3">
      <c r="A5359" s="830">
        <v>100854</v>
      </c>
      <c r="B5359" s="831" t="s">
        <v>9812</v>
      </c>
      <c r="C5359" s="830" t="s">
        <v>89</v>
      </c>
      <c r="D5359" s="832">
        <v>1751.97</v>
      </c>
    </row>
    <row r="5360" spans="1:4" x14ac:dyDescent="0.3">
      <c r="A5360" s="830">
        <v>100856</v>
      </c>
      <c r="B5360" s="831" t="s">
        <v>9813</v>
      </c>
      <c r="C5360" s="830" t="s">
        <v>89</v>
      </c>
      <c r="D5360" s="832">
        <v>37.619999999999997</v>
      </c>
    </row>
    <row r="5361" spans="1:4" x14ac:dyDescent="0.3">
      <c r="A5361" s="830">
        <v>100857</v>
      </c>
      <c r="B5361" s="831" t="s">
        <v>9814</v>
      </c>
      <c r="C5361" s="830" t="s">
        <v>89</v>
      </c>
      <c r="D5361" s="832">
        <v>514.4</v>
      </c>
    </row>
    <row r="5362" spans="1:4" x14ac:dyDescent="0.3">
      <c r="A5362" s="830">
        <v>100858</v>
      </c>
      <c r="B5362" s="831" t="s">
        <v>9815</v>
      </c>
      <c r="C5362" s="830" t="s">
        <v>89</v>
      </c>
      <c r="D5362" s="832">
        <v>742.8</v>
      </c>
    </row>
    <row r="5363" spans="1:4" x14ac:dyDescent="0.3">
      <c r="A5363" s="830">
        <v>100859</v>
      </c>
      <c r="B5363" s="831" t="s">
        <v>9816</v>
      </c>
      <c r="C5363" s="830" t="s">
        <v>89</v>
      </c>
      <c r="D5363" s="832">
        <v>994.69</v>
      </c>
    </row>
    <row r="5364" spans="1:4" x14ac:dyDescent="0.3">
      <c r="A5364" s="830">
        <v>100860</v>
      </c>
      <c r="B5364" s="831" t="s">
        <v>9817</v>
      </c>
      <c r="C5364" s="830" t="s">
        <v>89</v>
      </c>
      <c r="D5364" s="832">
        <v>91.47</v>
      </c>
    </row>
    <row r="5365" spans="1:4" x14ac:dyDescent="0.3">
      <c r="A5365" s="830">
        <v>100861</v>
      </c>
      <c r="B5365" s="831" t="s">
        <v>9818</v>
      </c>
      <c r="C5365" s="830" t="s">
        <v>89</v>
      </c>
      <c r="D5365" s="832">
        <v>38.21</v>
      </c>
    </row>
    <row r="5366" spans="1:4" x14ac:dyDescent="0.3">
      <c r="A5366" s="830">
        <v>100862</v>
      </c>
      <c r="B5366" s="831" t="s">
        <v>9819</v>
      </c>
      <c r="C5366" s="830" t="s">
        <v>89</v>
      </c>
      <c r="D5366" s="832">
        <v>41.62</v>
      </c>
    </row>
    <row r="5367" spans="1:4" x14ac:dyDescent="0.3">
      <c r="A5367" s="830">
        <v>100863</v>
      </c>
      <c r="B5367" s="831" t="s">
        <v>9820</v>
      </c>
      <c r="C5367" s="830" t="s">
        <v>89</v>
      </c>
      <c r="D5367" s="832">
        <v>567.01</v>
      </c>
    </row>
    <row r="5368" spans="1:4" x14ac:dyDescent="0.3">
      <c r="A5368" s="830">
        <v>100864</v>
      </c>
      <c r="B5368" s="831" t="s">
        <v>9821</v>
      </c>
      <c r="C5368" s="830" t="s">
        <v>89</v>
      </c>
      <c r="D5368" s="832">
        <v>618.76</v>
      </c>
    </row>
    <row r="5369" spans="1:4" x14ac:dyDescent="0.3">
      <c r="A5369" s="830">
        <v>100865</v>
      </c>
      <c r="B5369" s="831" t="s">
        <v>9822</v>
      </c>
      <c r="C5369" s="830" t="s">
        <v>89</v>
      </c>
      <c r="D5369" s="832">
        <v>531.41999999999996</v>
      </c>
    </row>
    <row r="5370" spans="1:4" x14ac:dyDescent="0.3">
      <c r="A5370" s="830">
        <v>100866</v>
      </c>
      <c r="B5370" s="831" t="s">
        <v>9823</v>
      </c>
      <c r="C5370" s="830" t="s">
        <v>89</v>
      </c>
      <c r="D5370" s="832">
        <v>298.64999999999998</v>
      </c>
    </row>
    <row r="5371" spans="1:4" x14ac:dyDescent="0.3">
      <c r="A5371" s="830">
        <v>100867</v>
      </c>
      <c r="B5371" s="831" t="s">
        <v>9824</v>
      </c>
      <c r="C5371" s="830" t="s">
        <v>89</v>
      </c>
      <c r="D5371" s="832">
        <v>315.70999999999998</v>
      </c>
    </row>
    <row r="5372" spans="1:4" x14ac:dyDescent="0.3">
      <c r="A5372" s="830">
        <v>100868</v>
      </c>
      <c r="B5372" s="831" t="s">
        <v>9825</v>
      </c>
      <c r="C5372" s="830" t="s">
        <v>89</v>
      </c>
      <c r="D5372" s="832">
        <v>327.07</v>
      </c>
    </row>
    <row r="5373" spans="1:4" x14ac:dyDescent="0.3">
      <c r="A5373" s="830">
        <v>100869</v>
      </c>
      <c r="B5373" s="831" t="s">
        <v>9826</v>
      </c>
      <c r="C5373" s="830" t="s">
        <v>89</v>
      </c>
      <c r="D5373" s="832">
        <v>335.78</v>
      </c>
    </row>
    <row r="5374" spans="1:4" x14ac:dyDescent="0.3">
      <c r="A5374" s="830">
        <v>100870</v>
      </c>
      <c r="B5374" s="831" t="s">
        <v>9827</v>
      </c>
      <c r="C5374" s="830" t="s">
        <v>89</v>
      </c>
      <c r="D5374" s="832">
        <v>306.77</v>
      </c>
    </row>
    <row r="5375" spans="1:4" x14ac:dyDescent="0.3">
      <c r="A5375" s="830">
        <v>100871</v>
      </c>
      <c r="B5375" s="831" t="s">
        <v>9828</v>
      </c>
      <c r="C5375" s="830" t="s">
        <v>89</v>
      </c>
      <c r="D5375" s="832">
        <v>330.59</v>
      </c>
    </row>
    <row r="5376" spans="1:4" x14ac:dyDescent="0.3">
      <c r="A5376" s="830">
        <v>100872</v>
      </c>
      <c r="B5376" s="831" t="s">
        <v>9829</v>
      </c>
      <c r="C5376" s="830" t="s">
        <v>89</v>
      </c>
      <c r="D5376" s="832">
        <v>345.8</v>
      </c>
    </row>
    <row r="5377" spans="1:4" x14ac:dyDescent="0.3">
      <c r="A5377" s="830">
        <v>100873</v>
      </c>
      <c r="B5377" s="831" t="s">
        <v>9830</v>
      </c>
      <c r="C5377" s="830" t="s">
        <v>89</v>
      </c>
      <c r="D5377" s="832">
        <v>355.3</v>
      </c>
    </row>
    <row r="5378" spans="1:4" x14ac:dyDescent="0.3">
      <c r="A5378" s="830">
        <v>100874</v>
      </c>
      <c r="B5378" s="831" t="s">
        <v>9831</v>
      </c>
      <c r="C5378" s="830" t="s">
        <v>89</v>
      </c>
      <c r="D5378" s="832">
        <v>298.64999999999998</v>
      </c>
    </row>
    <row r="5379" spans="1:4" x14ac:dyDescent="0.3">
      <c r="A5379" s="830">
        <v>100875</v>
      </c>
      <c r="B5379" s="831" t="s">
        <v>9832</v>
      </c>
      <c r="C5379" s="830" t="s">
        <v>89</v>
      </c>
      <c r="D5379" s="832">
        <v>983.73</v>
      </c>
    </row>
    <row r="5380" spans="1:4" x14ac:dyDescent="0.3">
      <c r="A5380" s="830">
        <v>100878</v>
      </c>
      <c r="B5380" s="831" t="s">
        <v>9833</v>
      </c>
      <c r="C5380" s="830" t="s">
        <v>89</v>
      </c>
      <c r="D5380" s="832">
        <v>649.57000000000005</v>
      </c>
    </row>
    <row r="5381" spans="1:4" x14ac:dyDescent="0.3">
      <c r="A5381" s="830">
        <v>98052</v>
      </c>
      <c r="B5381" s="831" t="s">
        <v>9834</v>
      </c>
      <c r="C5381" s="830" t="s">
        <v>89</v>
      </c>
      <c r="D5381" s="832">
        <v>2130.63</v>
      </c>
    </row>
    <row r="5382" spans="1:4" x14ac:dyDescent="0.3">
      <c r="A5382" s="830">
        <v>98053</v>
      </c>
      <c r="B5382" s="831" t="s">
        <v>9835</v>
      </c>
      <c r="C5382" s="830" t="s">
        <v>89</v>
      </c>
      <c r="D5382" s="832">
        <v>2936.38</v>
      </c>
    </row>
    <row r="5383" spans="1:4" x14ac:dyDescent="0.3">
      <c r="A5383" s="830">
        <v>98054</v>
      </c>
      <c r="B5383" s="831" t="s">
        <v>4222</v>
      </c>
      <c r="C5383" s="830" t="s">
        <v>89</v>
      </c>
      <c r="D5383" s="832">
        <v>4774.66</v>
      </c>
    </row>
    <row r="5384" spans="1:4" x14ac:dyDescent="0.3">
      <c r="A5384" s="830">
        <v>98055</v>
      </c>
      <c r="B5384" s="831" t="s">
        <v>9836</v>
      </c>
      <c r="C5384" s="830" t="s">
        <v>89</v>
      </c>
      <c r="D5384" s="832">
        <v>6497.04</v>
      </c>
    </row>
    <row r="5385" spans="1:4" x14ac:dyDescent="0.3">
      <c r="A5385" s="830">
        <v>98056</v>
      </c>
      <c r="B5385" s="831" t="s">
        <v>9837</v>
      </c>
      <c r="C5385" s="830" t="s">
        <v>89</v>
      </c>
      <c r="D5385" s="832">
        <v>7583.74</v>
      </c>
    </row>
    <row r="5386" spans="1:4" x14ac:dyDescent="0.3">
      <c r="A5386" s="830">
        <v>98057</v>
      </c>
      <c r="B5386" s="831" t="s">
        <v>9838</v>
      </c>
      <c r="C5386" s="830" t="s">
        <v>89</v>
      </c>
      <c r="D5386" s="832">
        <v>9033.77</v>
      </c>
    </row>
    <row r="5387" spans="1:4" x14ac:dyDescent="0.3">
      <c r="A5387" s="830">
        <v>98058</v>
      </c>
      <c r="B5387" s="831" t="s">
        <v>9839</v>
      </c>
      <c r="C5387" s="830" t="s">
        <v>89</v>
      </c>
      <c r="D5387" s="832">
        <v>1899.69</v>
      </c>
    </row>
    <row r="5388" spans="1:4" x14ac:dyDescent="0.3">
      <c r="A5388" s="830">
        <v>98059</v>
      </c>
      <c r="B5388" s="831" t="s">
        <v>9840</v>
      </c>
      <c r="C5388" s="830" t="s">
        <v>89</v>
      </c>
      <c r="D5388" s="832">
        <v>4153.5200000000004</v>
      </c>
    </row>
    <row r="5389" spans="1:4" x14ac:dyDescent="0.3">
      <c r="A5389" s="830">
        <v>98060</v>
      </c>
      <c r="B5389" s="831" t="s">
        <v>9841</v>
      </c>
      <c r="C5389" s="830" t="s">
        <v>89</v>
      </c>
      <c r="D5389" s="832">
        <v>5848.93</v>
      </c>
    </row>
    <row r="5390" spans="1:4" x14ac:dyDescent="0.3">
      <c r="A5390" s="830">
        <v>98061</v>
      </c>
      <c r="B5390" s="831" t="s">
        <v>9842</v>
      </c>
      <c r="C5390" s="830" t="s">
        <v>89</v>
      </c>
      <c r="D5390" s="832">
        <v>8185.5</v>
      </c>
    </row>
    <row r="5391" spans="1:4" x14ac:dyDescent="0.3">
      <c r="A5391" s="830">
        <v>98062</v>
      </c>
      <c r="B5391" s="831" t="s">
        <v>9843</v>
      </c>
      <c r="C5391" s="830" t="s">
        <v>89</v>
      </c>
      <c r="D5391" s="832">
        <v>3166.59</v>
      </c>
    </row>
    <row r="5392" spans="1:4" x14ac:dyDescent="0.3">
      <c r="A5392" s="830">
        <v>98063</v>
      </c>
      <c r="B5392" s="831" t="s">
        <v>9844</v>
      </c>
      <c r="C5392" s="830" t="s">
        <v>89</v>
      </c>
      <c r="D5392" s="832">
        <v>4839.37</v>
      </c>
    </row>
    <row r="5393" spans="1:4" x14ac:dyDescent="0.3">
      <c r="A5393" s="830">
        <v>98064</v>
      </c>
      <c r="B5393" s="831" t="s">
        <v>9845</v>
      </c>
      <c r="C5393" s="830" t="s">
        <v>89</v>
      </c>
      <c r="D5393" s="832">
        <v>5595.42</v>
      </c>
    </row>
    <row r="5394" spans="1:4" x14ac:dyDescent="0.3">
      <c r="A5394" s="830">
        <v>98065</v>
      </c>
      <c r="B5394" s="831" t="s">
        <v>9846</v>
      </c>
      <c r="C5394" s="830" t="s">
        <v>89</v>
      </c>
      <c r="D5394" s="832">
        <v>7781.21</v>
      </c>
    </row>
    <row r="5395" spans="1:4" x14ac:dyDescent="0.3">
      <c r="A5395" s="830">
        <v>98066</v>
      </c>
      <c r="B5395" s="831" t="s">
        <v>9847</v>
      </c>
      <c r="C5395" s="830" t="s">
        <v>89</v>
      </c>
      <c r="D5395" s="832">
        <v>4954.99</v>
      </c>
    </row>
    <row r="5396" spans="1:4" x14ac:dyDescent="0.3">
      <c r="A5396" s="830">
        <v>98067</v>
      </c>
      <c r="B5396" s="831" t="s">
        <v>9848</v>
      </c>
      <c r="C5396" s="830" t="s">
        <v>89</v>
      </c>
      <c r="D5396" s="832">
        <v>6601.07</v>
      </c>
    </row>
    <row r="5397" spans="1:4" x14ac:dyDescent="0.3">
      <c r="A5397" s="830">
        <v>98068</v>
      </c>
      <c r="B5397" s="831" t="s">
        <v>9849</v>
      </c>
      <c r="C5397" s="830" t="s">
        <v>89</v>
      </c>
      <c r="D5397" s="832">
        <v>9326.73</v>
      </c>
    </row>
    <row r="5398" spans="1:4" x14ac:dyDescent="0.3">
      <c r="A5398" s="830">
        <v>98069</v>
      </c>
      <c r="B5398" s="831" t="s">
        <v>9850</v>
      </c>
      <c r="C5398" s="830" t="s">
        <v>89</v>
      </c>
      <c r="D5398" s="832">
        <v>12578.7</v>
      </c>
    </row>
    <row r="5399" spans="1:4" x14ac:dyDescent="0.3">
      <c r="A5399" s="830">
        <v>98070</v>
      </c>
      <c r="B5399" s="831" t="s">
        <v>9851</v>
      </c>
      <c r="C5399" s="830" t="s">
        <v>89</v>
      </c>
      <c r="D5399" s="832">
        <v>14342.7</v>
      </c>
    </row>
    <row r="5400" spans="1:4" x14ac:dyDescent="0.3">
      <c r="A5400" s="830">
        <v>98071</v>
      </c>
      <c r="B5400" s="831" t="s">
        <v>9852</v>
      </c>
      <c r="C5400" s="830" t="s">
        <v>89</v>
      </c>
      <c r="D5400" s="832">
        <v>15582.37</v>
      </c>
    </row>
    <row r="5401" spans="1:4" x14ac:dyDescent="0.3">
      <c r="A5401" s="830">
        <v>98072</v>
      </c>
      <c r="B5401" s="831" t="s">
        <v>9853</v>
      </c>
      <c r="C5401" s="830" t="s">
        <v>89</v>
      </c>
      <c r="D5401" s="832">
        <v>4208.3500000000004</v>
      </c>
    </row>
    <row r="5402" spans="1:4" x14ac:dyDescent="0.3">
      <c r="A5402" s="830">
        <v>98073</v>
      </c>
      <c r="B5402" s="831" t="s">
        <v>9854</v>
      </c>
      <c r="C5402" s="830" t="s">
        <v>89</v>
      </c>
      <c r="D5402" s="832">
        <v>6685.43</v>
      </c>
    </row>
    <row r="5403" spans="1:4" x14ac:dyDescent="0.3">
      <c r="A5403" s="830">
        <v>98074</v>
      </c>
      <c r="B5403" s="831" t="s">
        <v>9855</v>
      </c>
      <c r="C5403" s="830" t="s">
        <v>89</v>
      </c>
      <c r="D5403" s="832">
        <v>10525.69</v>
      </c>
    </row>
    <row r="5404" spans="1:4" x14ac:dyDescent="0.3">
      <c r="A5404" s="830">
        <v>98075</v>
      </c>
      <c r="B5404" s="831" t="s">
        <v>9856</v>
      </c>
      <c r="C5404" s="830" t="s">
        <v>89</v>
      </c>
      <c r="D5404" s="832">
        <v>13765.6</v>
      </c>
    </row>
    <row r="5405" spans="1:4" x14ac:dyDescent="0.3">
      <c r="A5405" s="830">
        <v>98076</v>
      </c>
      <c r="B5405" s="831" t="s">
        <v>9857</v>
      </c>
      <c r="C5405" s="830" t="s">
        <v>89</v>
      </c>
      <c r="D5405" s="832">
        <v>15951.6</v>
      </c>
    </row>
    <row r="5406" spans="1:4" x14ac:dyDescent="0.3">
      <c r="A5406" s="830">
        <v>98077</v>
      </c>
      <c r="B5406" s="831" t="s">
        <v>9858</v>
      </c>
      <c r="C5406" s="830" t="s">
        <v>89</v>
      </c>
      <c r="D5406" s="832">
        <v>18834.59</v>
      </c>
    </row>
    <row r="5407" spans="1:4" x14ac:dyDescent="0.3">
      <c r="A5407" s="830">
        <v>98078</v>
      </c>
      <c r="B5407" s="831" t="s">
        <v>9859</v>
      </c>
      <c r="C5407" s="830" t="s">
        <v>89</v>
      </c>
      <c r="D5407" s="832">
        <v>4494.76</v>
      </c>
    </row>
    <row r="5408" spans="1:4" x14ac:dyDescent="0.3">
      <c r="A5408" s="830">
        <v>98079</v>
      </c>
      <c r="B5408" s="831" t="s">
        <v>9860</v>
      </c>
      <c r="C5408" s="830" t="s">
        <v>89</v>
      </c>
      <c r="D5408" s="832">
        <v>7930.67</v>
      </c>
    </row>
    <row r="5409" spans="1:4" x14ac:dyDescent="0.3">
      <c r="A5409" s="830">
        <v>98080</v>
      </c>
      <c r="B5409" s="831" t="s">
        <v>9861</v>
      </c>
      <c r="C5409" s="830" t="s">
        <v>89</v>
      </c>
      <c r="D5409" s="832">
        <v>10284.68</v>
      </c>
    </row>
    <row r="5410" spans="1:4" x14ac:dyDescent="0.3">
      <c r="A5410" s="830">
        <v>98081</v>
      </c>
      <c r="B5410" s="831" t="s">
        <v>9862</v>
      </c>
      <c r="C5410" s="830" t="s">
        <v>89</v>
      </c>
      <c r="D5410" s="832">
        <v>15303.49</v>
      </c>
    </row>
    <row r="5411" spans="1:4" x14ac:dyDescent="0.3">
      <c r="A5411" s="830">
        <v>98082</v>
      </c>
      <c r="B5411" s="831" t="s">
        <v>9863</v>
      </c>
      <c r="C5411" s="830" t="s">
        <v>89</v>
      </c>
      <c r="D5411" s="832">
        <v>4120.3500000000004</v>
      </c>
    </row>
    <row r="5412" spans="1:4" x14ac:dyDescent="0.3">
      <c r="A5412" s="830">
        <v>98083</v>
      </c>
      <c r="B5412" s="831" t="s">
        <v>9864</v>
      </c>
      <c r="C5412" s="830" t="s">
        <v>89</v>
      </c>
      <c r="D5412" s="832">
        <v>5432.73</v>
      </c>
    </row>
    <row r="5413" spans="1:4" x14ac:dyDescent="0.3">
      <c r="A5413" s="830">
        <v>98084</v>
      </c>
      <c r="B5413" s="831" t="s">
        <v>9865</v>
      </c>
      <c r="C5413" s="830" t="s">
        <v>89</v>
      </c>
      <c r="D5413" s="832">
        <v>7616.46</v>
      </c>
    </row>
    <row r="5414" spans="1:4" x14ac:dyDescent="0.3">
      <c r="A5414" s="830">
        <v>98085</v>
      </c>
      <c r="B5414" s="831" t="s">
        <v>9866</v>
      </c>
      <c r="C5414" s="830" t="s">
        <v>89</v>
      </c>
      <c r="D5414" s="832">
        <v>10330.31</v>
      </c>
    </row>
    <row r="5415" spans="1:4" x14ac:dyDescent="0.3">
      <c r="A5415" s="830">
        <v>98086</v>
      </c>
      <c r="B5415" s="831" t="s">
        <v>9867</v>
      </c>
      <c r="C5415" s="830" t="s">
        <v>89</v>
      </c>
      <c r="D5415" s="832">
        <v>11656.74</v>
      </c>
    </row>
    <row r="5416" spans="1:4" x14ac:dyDescent="0.3">
      <c r="A5416" s="830">
        <v>98087</v>
      </c>
      <c r="B5416" s="831" t="s">
        <v>9868</v>
      </c>
      <c r="C5416" s="830" t="s">
        <v>89</v>
      </c>
      <c r="D5416" s="832">
        <v>12432.63</v>
      </c>
    </row>
    <row r="5417" spans="1:4" x14ac:dyDescent="0.3">
      <c r="A5417" s="830">
        <v>98088</v>
      </c>
      <c r="B5417" s="831" t="s">
        <v>9869</v>
      </c>
      <c r="C5417" s="830" t="s">
        <v>89</v>
      </c>
      <c r="D5417" s="832">
        <v>3596.97</v>
      </c>
    </row>
    <row r="5418" spans="1:4" x14ac:dyDescent="0.3">
      <c r="A5418" s="830">
        <v>98089</v>
      </c>
      <c r="B5418" s="831" t="s">
        <v>9870</v>
      </c>
      <c r="C5418" s="830" t="s">
        <v>89</v>
      </c>
      <c r="D5418" s="832">
        <v>5737.76</v>
      </c>
    </row>
    <row r="5419" spans="1:4" x14ac:dyDescent="0.3">
      <c r="A5419" s="830">
        <v>98090</v>
      </c>
      <c r="B5419" s="831" t="s">
        <v>9871</v>
      </c>
      <c r="C5419" s="830" t="s">
        <v>89</v>
      </c>
      <c r="D5419" s="832">
        <v>9090.6</v>
      </c>
    </row>
    <row r="5420" spans="1:4" x14ac:dyDescent="0.3">
      <c r="A5420" s="830">
        <v>98091</v>
      </c>
      <c r="B5420" s="831" t="s">
        <v>9872</v>
      </c>
      <c r="C5420" s="830" t="s">
        <v>89</v>
      </c>
      <c r="D5420" s="832">
        <v>11918.4</v>
      </c>
    </row>
    <row r="5421" spans="1:4" x14ac:dyDescent="0.3">
      <c r="A5421" s="830">
        <v>98092</v>
      </c>
      <c r="B5421" s="831" t="s">
        <v>9873</v>
      </c>
      <c r="C5421" s="830" t="s">
        <v>89</v>
      </c>
      <c r="D5421" s="832">
        <v>13885.31</v>
      </c>
    </row>
    <row r="5422" spans="1:4" x14ac:dyDescent="0.3">
      <c r="A5422" s="830">
        <v>98093</v>
      </c>
      <c r="B5422" s="831" t="s">
        <v>9874</v>
      </c>
      <c r="C5422" s="830" t="s">
        <v>89</v>
      </c>
      <c r="D5422" s="832">
        <v>16420.490000000002</v>
      </c>
    </row>
    <row r="5423" spans="1:4" x14ac:dyDescent="0.3">
      <c r="A5423" s="830">
        <v>98094</v>
      </c>
      <c r="B5423" s="831" t="s">
        <v>9875</v>
      </c>
      <c r="C5423" s="830" t="s">
        <v>89</v>
      </c>
      <c r="D5423" s="832">
        <v>3015.97</v>
      </c>
    </row>
    <row r="5424" spans="1:4" x14ac:dyDescent="0.3">
      <c r="A5424" s="830">
        <v>98099</v>
      </c>
      <c r="B5424" s="831" t="s">
        <v>9876</v>
      </c>
      <c r="C5424" s="830" t="s">
        <v>89</v>
      </c>
      <c r="D5424" s="832">
        <v>5185.3999999999996</v>
      </c>
    </row>
    <row r="5425" spans="1:4" x14ac:dyDescent="0.3">
      <c r="A5425" s="830">
        <v>98100</v>
      </c>
      <c r="B5425" s="831" t="s">
        <v>9877</v>
      </c>
      <c r="C5425" s="830" t="s">
        <v>89</v>
      </c>
      <c r="D5425" s="832">
        <v>6835.72</v>
      </c>
    </row>
    <row r="5426" spans="1:4" x14ac:dyDescent="0.3">
      <c r="A5426" s="830">
        <v>98101</v>
      </c>
      <c r="B5426" s="831" t="s">
        <v>9878</v>
      </c>
      <c r="C5426" s="830" t="s">
        <v>89</v>
      </c>
      <c r="D5426" s="832">
        <v>10139.32</v>
      </c>
    </row>
    <row r="5427" spans="1:4" x14ac:dyDescent="0.3">
      <c r="A5427" s="830">
        <v>98109</v>
      </c>
      <c r="B5427" s="831" t="s">
        <v>9879</v>
      </c>
      <c r="C5427" s="830" t="s">
        <v>89</v>
      </c>
      <c r="D5427" s="832">
        <v>881.59</v>
      </c>
    </row>
    <row r="5428" spans="1:4" x14ac:dyDescent="0.3">
      <c r="A5428" s="830">
        <v>98110</v>
      </c>
      <c r="B5428" s="831" t="s">
        <v>9880</v>
      </c>
      <c r="C5428" s="830" t="s">
        <v>89</v>
      </c>
      <c r="D5428" s="832">
        <v>534.32000000000005</v>
      </c>
    </row>
    <row r="5429" spans="1:4" x14ac:dyDescent="0.3">
      <c r="A5429" s="830">
        <v>98111</v>
      </c>
      <c r="B5429" s="831" t="s">
        <v>9881</v>
      </c>
      <c r="C5429" s="830" t="s">
        <v>89</v>
      </c>
      <c r="D5429" s="832">
        <v>71.22</v>
      </c>
    </row>
    <row r="5430" spans="1:4" x14ac:dyDescent="0.3">
      <c r="A5430" s="830">
        <v>98112</v>
      </c>
      <c r="B5430" s="831" t="s">
        <v>9882</v>
      </c>
      <c r="C5430" s="830" t="s">
        <v>89</v>
      </c>
      <c r="D5430" s="832">
        <v>101.91</v>
      </c>
    </row>
    <row r="5431" spans="1:4" x14ac:dyDescent="0.3">
      <c r="A5431" s="830">
        <v>98114</v>
      </c>
      <c r="B5431" s="831" t="s">
        <v>9883</v>
      </c>
      <c r="C5431" s="830" t="s">
        <v>89</v>
      </c>
      <c r="D5431" s="832">
        <v>479.87</v>
      </c>
    </row>
    <row r="5432" spans="1:4" x14ac:dyDescent="0.3">
      <c r="A5432" s="830">
        <v>98115</v>
      </c>
      <c r="B5432" s="831" t="s">
        <v>9884</v>
      </c>
      <c r="C5432" s="830" t="s">
        <v>89</v>
      </c>
      <c r="D5432" s="832">
        <v>107</v>
      </c>
    </row>
    <row r="5433" spans="1:4" x14ac:dyDescent="0.3">
      <c r="A5433" s="830">
        <v>89349</v>
      </c>
      <c r="B5433" s="831" t="s">
        <v>9885</v>
      </c>
      <c r="C5433" s="830" t="s">
        <v>89</v>
      </c>
      <c r="D5433" s="832">
        <v>29.13</v>
      </c>
    </row>
    <row r="5434" spans="1:4" x14ac:dyDescent="0.3">
      <c r="A5434" s="830">
        <v>89351</v>
      </c>
      <c r="B5434" s="831" t="s">
        <v>9886</v>
      </c>
      <c r="C5434" s="830" t="s">
        <v>89</v>
      </c>
      <c r="D5434" s="832">
        <v>36.11</v>
      </c>
    </row>
    <row r="5435" spans="1:4" x14ac:dyDescent="0.3">
      <c r="A5435" s="830">
        <v>89352</v>
      </c>
      <c r="B5435" s="831" t="s">
        <v>9887</v>
      </c>
      <c r="C5435" s="830" t="s">
        <v>89</v>
      </c>
      <c r="D5435" s="832">
        <v>39.47</v>
      </c>
    </row>
    <row r="5436" spans="1:4" x14ac:dyDescent="0.3">
      <c r="A5436" s="830">
        <v>89353</v>
      </c>
      <c r="B5436" s="831" t="s">
        <v>3792</v>
      </c>
      <c r="C5436" s="830" t="s">
        <v>89</v>
      </c>
      <c r="D5436" s="832">
        <v>43.51</v>
      </c>
    </row>
    <row r="5437" spans="1:4" x14ac:dyDescent="0.3">
      <c r="A5437" s="830">
        <v>89354</v>
      </c>
      <c r="B5437" s="831" t="s">
        <v>9888</v>
      </c>
      <c r="C5437" s="830" t="s">
        <v>89</v>
      </c>
      <c r="D5437" s="832">
        <v>535.08000000000004</v>
      </c>
    </row>
    <row r="5438" spans="1:4" x14ac:dyDescent="0.3">
      <c r="A5438" s="830">
        <v>89984</v>
      </c>
      <c r="B5438" s="831" t="s">
        <v>9889</v>
      </c>
      <c r="C5438" s="830" t="s">
        <v>89</v>
      </c>
      <c r="D5438" s="832">
        <v>93.28</v>
      </c>
    </row>
    <row r="5439" spans="1:4" x14ac:dyDescent="0.3">
      <c r="A5439" s="830">
        <v>89985</v>
      </c>
      <c r="B5439" s="831" t="s">
        <v>9890</v>
      </c>
      <c r="C5439" s="830" t="s">
        <v>89</v>
      </c>
      <c r="D5439" s="832">
        <v>98.18</v>
      </c>
    </row>
    <row r="5440" spans="1:4" x14ac:dyDescent="0.3">
      <c r="A5440" s="830">
        <v>89986</v>
      </c>
      <c r="B5440" s="831" t="s">
        <v>9891</v>
      </c>
      <c r="C5440" s="830" t="s">
        <v>89</v>
      </c>
      <c r="D5440" s="832">
        <v>90.91</v>
      </c>
    </row>
    <row r="5441" spans="1:4" x14ac:dyDescent="0.3">
      <c r="A5441" s="830">
        <v>89987</v>
      </c>
      <c r="B5441" s="831" t="s">
        <v>9892</v>
      </c>
      <c r="C5441" s="830" t="s">
        <v>89</v>
      </c>
      <c r="D5441" s="832">
        <v>103.37</v>
      </c>
    </row>
    <row r="5442" spans="1:4" x14ac:dyDescent="0.3">
      <c r="A5442" s="830">
        <v>90371</v>
      </c>
      <c r="B5442" s="831" t="s">
        <v>9893</v>
      </c>
      <c r="C5442" s="830" t="s">
        <v>89</v>
      </c>
      <c r="D5442" s="832">
        <v>31.29</v>
      </c>
    </row>
    <row r="5443" spans="1:4" x14ac:dyDescent="0.3">
      <c r="A5443" s="830">
        <v>94489</v>
      </c>
      <c r="B5443" s="831" t="s">
        <v>9894</v>
      </c>
      <c r="C5443" s="830" t="s">
        <v>89</v>
      </c>
      <c r="D5443" s="832">
        <v>31.56</v>
      </c>
    </row>
    <row r="5444" spans="1:4" x14ac:dyDescent="0.3">
      <c r="A5444" s="830">
        <v>94490</v>
      </c>
      <c r="B5444" s="831" t="s">
        <v>9895</v>
      </c>
      <c r="C5444" s="830" t="s">
        <v>89</v>
      </c>
      <c r="D5444" s="832">
        <v>46.58</v>
      </c>
    </row>
    <row r="5445" spans="1:4" x14ac:dyDescent="0.3">
      <c r="A5445" s="830">
        <v>94491</v>
      </c>
      <c r="B5445" s="831" t="s">
        <v>9896</v>
      </c>
      <c r="C5445" s="830" t="s">
        <v>89</v>
      </c>
      <c r="D5445" s="832">
        <v>63.54</v>
      </c>
    </row>
    <row r="5446" spans="1:4" x14ac:dyDescent="0.3">
      <c r="A5446" s="830">
        <v>94492</v>
      </c>
      <c r="B5446" s="831" t="s">
        <v>9897</v>
      </c>
      <c r="C5446" s="830" t="s">
        <v>89</v>
      </c>
      <c r="D5446" s="832">
        <v>65.319999999999993</v>
      </c>
    </row>
    <row r="5447" spans="1:4" x14ac:dyDescent="0.3">
      <c r="A5447" s="830">
        <v>94493</v>
      </c>
      <c r="B5447" s="831" t="s">
        <v>9898</v>
      </c>
      <c r="C5447" s="830" t="s">
        <v>89</v>
      </c>
      <c r="D5447" s="832">
        <v>119.57</v>
      </c>
    </row>
    <row r="5448" spans="1:4" x14ac:dyDescent="0.3">
      <c r="A5448" s="830">
        <v>94495</v>
      </c>
      <c r="B5448" s="831" t="s">
        <v>9899</v>
      </c>
      <c r="C5448" s="830" t="s">
        <v>89</v>
      </c>
      <c r="D5448" s="832">
        <v>67.25</v>
      </c>
    </row>
    <row r="5449" spans="1:4" x14ac:dyDescent="0.3">
      <c r="A5449" s="830">
        <v>94496</v>
      </c>
      <c r="B5449" s="831" t="s">
        <v>9900</v>
      </c>
      <c r="C5449" s="830" t="s">
        <v>89</v>
      </c>
      <c r="D5449" s="832">
        <v>91.64</v>
      </c>
    </row>
    <row r="5450" spans="1:4" x14ac:dyDescent="0.3">
      <c r="A5450" s="830">
        <v>94497</v>
      </c>
      <c r="B5450" s="831" t="s">
        <v>9901</v>
      </c>
      <c r="C5450" s="830" t="s">
        <v>89</v>
      </c>
      <c r="D5450" s="832">
        <v>116.11</v>
      </c>
    </row>
    <row r="5451" spans="1:4" x14ac:dyDescent="0.3">
      <c r="A5451" s="830">
        <v>94498</v>
      </c>
      <c r="B5451" s="831" t="s">
        <v>9902</v>
      </c>
      <c r="C5451" s="830" t="s">
        <v>89</v>
      </c>
      <c r="D5451" s="832">
        <v>160.22999999999999</v>
      </c>
    </row>
    <row r="5452" spans="1:4" x14ac:dyDescent="0.3">
      <c r="A5452" s="830">
        <v>94499</v>
      </c>
      <c r="B5452" s="831" t="s">
        <v>9903</v>
      </c>
      <c r="C5452" s="830" t="s">
        <v>89</v>
      </c>
      <c r="D5452" s="832">
        <v>318.56</v>
      </c>
    </row>
    <row r="5453" spans="1:4" x14ac:dyDescent="0.3">
      <c r="A5453" s="830">
        <v>94500</v>
      </c>
      <c r="B5453" s="831" t="s">
        <v>9904</v>
      </c>
      <c r="C5453" s="830" t="s">
        <v>89</v>
      </c>
      <c r="D5453" s="832">
        <v>386.68</v>
      </c>
    </row>
    <row r="5454" spans="1:4" x14ac:dyDescent="0.3">
      <c r="A5454" s="830">
        <v>94501</v>
      </c>
      <c r="B5454" s="831" t="s">
        <v>9905</v>
      </c>
      <c r="C5454" s="830" t="s">
        <v>89</v>
      </c>
      <c r="D5454" s="832">
        <v>780.28</v>
      </c>
    </row>
    <row r="5455" spans="1:4" x14ac:dyDescent="0.3">
      <c r="A5455" s="830">
        <v>94792</v>
      </c>
      <c r="B5455" s="831" t="s">
        <v>9906</v>
      </c>
      <c r="C5455" s="830" t="s">
        <v>89</v>
      </c>
      <c r="D5455" s="832">
        <v>125.94</v>
      </c>
    </row>
    <row r="5456" spans="1:4" x14ac:dyDescent="0.3">
      <c r="A5456" s="830">
        <v>94793</v>
      </c>
      <c r="B5456" s="831" t="s">
        <v>9907</v>
      </c>
      <c r="C5456" s="830" t="s">
        <v>89</v>
      </c>
      <c r="D5456" s="832">
        <v>172.51</v>
      </c>
    </row>
    <row r="5457" spans="1:4" x14ac:dyDescent="0.3">
      <c r="A5457" s="830">
        <v>94794</v>
      </c>
      <c r="B5457" s="831" t="s">
        <v>9908</v>
      </c>
      <c r="C5457" s="830" t="s">
        <v>89</v>
      </c>
      <c r="D5457" s="832">
        <v>182.99</v>
      </c>
    </row>
    <row r="5458" spans="1:4" x14ac:dyDescent="0.3">
      <c r="A5458" s="830">
        <v>94795</v>
      </c>
      <c r="B5458" s="831" t="s">
        <v>9909</v>
      </c>
      <c r="C5458" s="830" t="s">
        <v>89</v>
      </c>
      <c r="D5458" s="832">
        <v>59.8</v>
      </c>
    </row>
    <row r="5459" spans="1:4" x14ac:dyDescent="0.3">
      <c r="A5459" s="830">
        <v>94796</v>
      </c>
      <c r="B5459" s="831" t="s">
        <v>2746</v>
      </c>
      <c r="C5459" s="830" t="s">
        <v>89</v>
      </c>
      <c r="D5459" s="832">
        <v>67.61</v>
      </c>
    </row>
    <row r="5460" spans="1:4" x14ac:dyDescent="0.3">
      <c r="A5460" s="830">
        <v>94797</v>
      </c>
      <c r="B5460" s="831" t="s">
        <v>9910</v>
      </c>
      <c r="C5460" s="830" t="s">
        <v>89</v>
      </c>
      <c r="D5460" s="832">
        <v>142.78</v>
      </c>
    </row>
    <row r="5461" spans="1:4" x14ac:dyDescent="0.3">
      <c r="A5461" s="830">
        <v>94798</v>
      </c>
      <c r="B5461" s="831" t="s">
        <v>9911</v>
      </c>
      <c r="C5461" s="830" t="s">
        <v>89</v>
      </c>
      <c r="D5461" s="832">
        <v>238.41</v>
      </c>
    </row>
    <row r="5462" spans="1:4" x14ac:dyDescent="0.3">
      <c r="A5462" s="830">
        <v>94799</v>
      </c>
      <c r="B5462" s="831" t="s">
        <v>9912</v>
      </c>
      <c r="C5462" s="830" t="s">
        <v>89</v>
      </c>
      <c r="D5462" s="832">
        <v>292.16000000000003</v>
      </c>
    </row>
    <row r="5463" spans="1:4" x14ac:dyDescent="0.3">
      <c r="A5463" s="830">
        <v>94800</v>
      </c>
      <c r="B5463" s="831" t="s">
        <v>9913</v>
      </c>
      <c r="C5463" s="830" t="s">
        <v>89</v>
      </c>
      <c r="D5463" s="832">
        <v>375.06</v>
      </c>
    </row>
    <row r="5464" spans="1:4" x14ac:dyDescent="0.3">
      <c r="A5464" s="830">
        <v>95248</v>
      </c>
      <c r="B5464" s="831" t="s">
        <v>9914</v>
      </c>
      <c r="C5464" s="830" t="s">
        <v>89</v>
      </c>
      <c r="D5464" s="832">
        <v>57.17</v>
      </c>
    </row>
    <row r="5465" spans="1:4" x14ac:dyDescent="0.3">
      <c r="A5465" s="830">
        <v>95249</v>
      </c>
      <c r="B5465" s="831" t="s">
        <v>9915</v>
      </c>
      <c r="C5465" s="830" t="s">
        <v>89</v>
      </c>
      <c r="D5465" s="832">
        <v>67.48</v>
      </c>
    </row>
    <row r="5466" spans="1:4" x14ac:dyDescent="0.3">
      <c r="A5466" s="830">
        <v>95250</v>
      </c>
      <c r="B5466" s="831" t="s">
        <v>9916</v>
      </c>
      <c r="C5466" s="830" t="s">
        <v>89</v>
      </c>
      <c r="D5466" s="832">
        <v>91.06</v>
      </c>
    </row>
    <row r="5467" spans="1:4" x14ac:dyDescent="0.3">
      <c r="A5467" s="830">
        <v>95251</v>
      </c>
      <c r="B5467" s="831" t="s">
        <v>9917</v>
      </c>
      <c r="C5467" s="830" t="s">
        <v>89</v>
      </c>
      <c r="D5467" s="832">
        <v>134.66</v>
      </c>
    </row>
    <row r="5468" spans="1:4" x14ac:dyDescent="0.3">
      <c r="A5468" s="830">
        <v>95252</v>
      </c>
      <c r="B5468" s="831" t="s">
        <v>9918</v>
      </c>
      <c r="C5468" s="830" t="s">
        <v>89</v>
      </c>
      <c r="D5468" s="832">
        <v>163.32</v>
      </c>
    </row>
    <row r="5469" spans="1:4" x14ac:dyDescent="0.3">
      <c r="A5469" s="830">
        <v>95253</v>
      </c>
      <c r="B5469" s="831" t="s">
        <v>9919</v>
      </c>
      <c r="C5469" s="830" t="s">
        <v>89</v>
      </c>
      <c r="D5469" s="832">
        <v>248.19</v>
      </c>
    </row>
    <row r="5470" spans="1:4" x14ac:dyDescent="0.3">
      <c r="A5470" s="830">
        <v>99619</v>
      </c>
      <c r="B5470" s="831" t="s">
        <v>9920</v>
      </c>
      <c r="C5470" s="830" t="s">
        <v>89</v>
      </c>
      <c r="D5470" s="832">
        <v>123.07</v>
      </c>
    </row>
    <row r="5471" spans="1:4" x14ac:dyDescent="0.3">
      <c r="A5471" s="830">
        <v>99620</v>
      </c>
      <c r="B5471" s="831" t="s">
        <v>9921</v>
      </c>
      <c r="C5471" s="830" t="s">
        <v>89</v>
      </c>
      <c r="D5471" s="832">
        <v>167.17</v>
      </c>
    </row>
    <row r="5472" spans="1:4" x14ac:dyDescent="0.3">
      <c r="A5472" s="830">
        <v>99621</v>
      </c>
      <c r="B5472" s="831" t="s">
        <v>9922</v>
      </c>
      <c r="C5472" s="830" t="s">
        <v>89</v>
      </c>
      <c r="D5472" s="832">
        <v>249.15</v>
      </c>
    </row>
    <row r="5473" spans="1:4" x14ac:dyDescent="0.3">
      <c r="A5473" s="830">
        <v>99622</v>
      </c>
      <c r="B5473" s="831" t="s">
        <v>9923</v>
      </c>
      <c r="C5473" s="830" t="s">
        <v>89</v>
      </c>
      <c r="D5473" s="832">
        <v>280.47000000000003</v>
      </c>
    </row>
    <row r="5474" spans="1:4" x14ac:dyDescent="0.3">
      <c r="A5474" s="830">
        <v>99623</v>
      </c>
      <c r="B5474" s="831" t="s">
        <v>9924</v>
      </c>
      <c r="C5474" s="830" t="s">
        <v>89</v>
      </c>
      <c r="D5474" s="832">
        <v>391.33</v>
      </c>
    </row>
    <row r="5475" spans="1:4" x14ac:dyDescent="0.3">
      <c r="A5475" s="830">
        <v>99624</v>
      </c>
      <c r="B5475" s="831" t="s">
        <v>9925</v>
      </c>
      <c r="C5475" s="830" t="s">
        <v>89</v>
      </c>
      <c r="D5475" s="832">
        <v>557.89</v>
      </c>
    </row>
    <row r="5476" spans="1:4" x14ac:dyDescent="0.3">
      <c r="A5476" s="830">
        <v>99625</v>
      </c>
      <c r="B5476" s="831" t="s">
        <v>9926</v>
      </c>
      <c r="C5476" s="830" t="s">
        <v>89</v>
      </c>
      <c r="D5476" s="832">
        <v>767.31</v>
      </c>
    </row>
    <row r="5477" spans="1:4" x14ac:dyDescent="0.3">
      <c r="A5477" s="830">
        <v>99626</v>
      </c>
      <c r="B5477" s="831" t="s">
        <v>9927</v>
      </c>
      <c r="C5477" s="830" t="s">
        <v>89</v>
      </c>
      <c r="D5477" s="832">
        <v>1181.31</v>
      </c>
    </row>
    <row r="5478" spans="1:4" x14ac:dyDescent="0.3">
      <c r="A5478" s="830">
        <v>99627</v>
      </c>
      <c r="B5478" s="831" t="s">
        <v>9928</v>
      </c>
      <c r="C5478" s="830" t="s">
        <v>89</v>
      </c>
      <c r="D5478" s="832">
        <v>74.260000000000005</v>
      </c>
    </row>
    <row r="5479" spans="1:4" x14ac:dyDescent="0.3">
      <c r="A5479" s="830">
        <v>99628</v>
      </c>
      <c r="B5479" s="831" t="s">
        <v>9929</v>
      </c>
      <c r="C5479" s="830" t="s">
        <v>89</v>
      </c>
      <c r="D5479" s="832">
        <v>81.08</v>
      </c>
    </row>
    <row r="5480" spans="1:4" x14ac:dyDescent="0.3">
      <c r="A5480" s="830">
        <v>99629</v>
      </c>
      <c r="B5480" s="831" t="s">
        <v>9930</v>
      </c>
      <c r="C5480" s="830" t="s">
        <v>89</v>
      </c>
      <c r="D5480" s="832">
        <v>90.11</v>
      </c>
    </row>
    <row r="5481" spans="1:4" x14ac:dyDescent="0.3">
      <c r="A5481" s="830">
        <v>99630</v>
      </c>
      <c r="B5481" s="831" t="s">
        <v>9931</v>
      </c>
      <c r="C5481" s="830" t="s">
        <v>89</v>
      </c>
      <c r="D5481" s="832">
        <v>134.05000000000001</v>
      </c>
    </row>
    <row r="5482" spans="1:4" x14ac:dyDescent="0.3">
      <c r="A5482" s="830">
        <v>99631</v>
      </c>
      <c r="B5482" s="831" t="s">
        <v>9932</v>
      </c>
      <c r="C5482" s="830" t="s">
        <v>89</v>
      </c>
      <c r="D5482" s="832">
        <v>156.08000000000001</v>
      </c>
    </row>
    <row r="5483" spans="1:4" x14ac:dyDescent="0.3">
      <c r="A5483" s="830">
        <v>99632</v>
      </c>
      <c r="B5483" s="831" t="s">
        <v>9933</v>
      </c>
      <c r="C5483" s="830" t="s">
        <v>89</v>
      </c>
      <c r="D5483" s="832">
        <v>225</v>
      </c>
    </row>
    <row r="5484" spans="1:4" x14ac:dyDescent="0.3">
      <c r="A5484" s="830">
        <v>99633</v>
      </c>
      <c r="B5484" s="831" t="s">
        <v>9934</v>
      </c>
      <c r="C5484" s="830" t="s">
        <v>89</v>
      </c>
      <c r="D5484" s="832">
        <v>482.73</v>
      </c>
    </row>
    <row r="5485" spans="1:4" x14ac:dyDescent="0.3">
      <c r="A5485" s="830">
        <v>99634</v>
      </c>
      <c r="B5485" s="831" t="s">
        <v>9935</v>
      </c>
      <c r="C5485" s="830" t="s">
        <v>89</v>
      </c>
      <c r="D5485" s="832">
        <v>823.24</v>
      </c>
    </row>
    <row r="5486" spans="1:4" x14ac:dyDescent="0.3">
      <c r="A5486" s="830">
        <v>99635</v>
      </c>
      <c r="B5486" s="831" t="s">
        <v>9936</v>
      </c>
      <c r="C5486" s="830" t="s">
        <v>89</v>
      </c>
      <c r="D5486" s="832">
        <v>406.17</v>
      </c>
    </row>
    <row r="5487" spans="1:4" x14ac:dyDescent="0.3">
      <c r="A5487" s="830">
        <v>103008</v>
      </c>
      <c r="B5487" s="831" t="s">
        <v>9937</v>
      </c>
      <c r="C5487" s="830" t="s">
        <v>89</v>
      </c>
      <c r="D5487" s="832">
        <v>100.52</v>
      </c>
    </row>
    <row r="5488" spans="1:4" x14ac:dyDescent="0.3">
      <c r="A5488" s="830">
        <v>103009</v>
      </c>
      <c r="B5488" s="831" t="s">
        <v>9938</v>
      </c>
      <c r="C5488" s="830" t="s">
        <v>89</v>
      </c>
      <c r="D5488" s="832">
        <v>355.59</v>
      </c>
    </row>
    <row r="5489" spans="1:4" x14ac:dyDescent="0.3">
      <c r="A5489" s="830">
        <v>103010</v>
      </c>
      <c r="B5489" s="831" t="s">
        <v>9939</v>
      </c>
      <c r="C5489" s="830" t="s">
        <v>89</v>
      </c>
      <c r="D5489" s="832">
        <v>76.23</v>
      </c>
    </row>
    <row r="5490" spans="1:4" x14ac:dyDescent="0.3">
      <c r="A5490" s="830">
        <v>103011</v>
      </c>
      <c r="B5490" s="831" t="s">
        <v>9940</v>
      </c>
      <c r="C5490" s="830" t="s">
        <v>89</v>
      </c>
      <c r="D5490" s="832">
        <v>85.02</v>
      </c>
    </row>
    <row r="5491" spans="1:4" x14ac:dyDescent="0.3">
      <c r="A5491" s="830">
        <v>103012</v>
      </c>
      <c r="B5491" s="831" t="s">
        <v>9941</v>
      </c>
      <c r="C5491" s="830" t="s">
        <v>89</v>
      </c>
      <c r="D5491" s="832">
        <v>134.03</v>
      </c>
    </row>
    <row r="5492" spans="1:4" x14ac:dyDescent="0.3">
      <c r="A5492" s="830">
        <v>103013</v>
      </c>
      <c r="B5492" s="831" t="s">
        <v>9942</v>
      </c>
      <c r="C5492" s="830" t="s">
        <v>89</v>
      </c>
      <c r="D5492" s="832">
        <v>144.32</v>
      </c>
    </row>
    <row r="5493" spans="1:4" x14ac:dyDescent="0.3">
      <c r="A5493" s="830">
        <v>103014</v>
      </c>
      <c r="B5493" s="831" t="s">
        <v>9943</v>
      </c>
      <c r="C5493" s="830" t="s">
        <v>89</v>
      </c>
      <c r="D5493" s="832">
        <v>217</v>
      </c>
    </row>
    <row r="5494" spans="1:4" x14ac:dyDescent="0.3">
      <c r="A5494" s="830">
        <v>103015</v>
      </c>
      <c r="B5494" s="831" t="s">
        <v>9944</v>
      </c>
      <c r="C5494" s="830" t="s">
        <v>89</v>
      </c>
      <c r="D5494" s="832">
        <v>383.58</v>
      </c>
    </row>
    <row r="5495" spans="1:4" x14ac:dyDescent="0.3">
      <c r="A5495" s="830">
        <v>103016</v>
      </c>
      <c r="B5495" s="831" t="s">
        <v>9945</v>
      </c>
      <c r="C5495" s="830" t="s">
        <v>89</v>
      </c>
      <c r="D5495" s="832">
        <v>524.36</v>
      </c>
    </row>
    <row r="5496" spans="1:4" x14ac:dyDescent="0.3">
      <c r="A5496" s="830">
        <v>103017</v>
      </c>
      <c r="B5496" s="831" t="s">
        <v>9946</v>
      </c>
      <c r="C5496" s="830" t="s">
        <v>89</v>
      </c>
      <c r="D5496" s="832">
        <v>915.16</v>
      </c>
    </row>
    <row r="5497" spans="1:4" x14ac:dyDescent="0.3">
      <c r="A5497" s="830">
        <v>103018</v>
      </c>
      <c r="B5497" s="831" t="s">
        <v>9947</v>
      </c>
      <c r="C5497" s="830" t="s">
        <v>89</v>
      </c>
      <c r="D5497" s="832">
        <v>331.93</v>
      </c>
    </row>
    <row r="5498" spans="1:4" x14ac:dyDescent="0.3">
      <c r="A5498" s="830">
        <v>103019</v>
      </c>
      <c r="B5498" s="831" t="s">
        <v>9948</v>
      </c>
      <c r="C5498" s="830" t="s">
        <v>89</v>
      </c>
      <c r="D5498" s="832">
        <v>242.11</v>
      </c>
    </row>
    <row r="5499" spans="1:4" x14ac:dyDescent="0.3">
      <c r="A5499" s="830">
        <v>103029</v>
      </c>
      <c r="B5499" s="831" t="s">
        <v>9949</v>
      </c>
      <c r="C5499" s="830" t="s">
        <v>89</v>
      </c>
      <c r="D5499" s="832">
        <v>49.69</v>
      </c>
    </row>
    <row r="5500" spans="1:4" x14ac:dyDescent="0.3">
      <c r="A5500" s="830">
        <v>103036</v>
      </c>
      <c r="B5500" s="831" t="s">
        <v>9950</v>
      </c>
      <c r="C5500" s="830" t="s">
        <v>89</v>
      </c>
      <c r="D5500" s="832">
        <v>25.02</v>
      </c>
    </row>
    <row r="5501" spans="1:4" x14ac:dyDescent="0.3">
      <c r="A5501" s="830">
        <v>103037</v>
      </c>
      <c r="B5501" s="831" t="s">
        <v>9951</v>
      </c>
      <c r="C5501" s="830" t="s">
        <v>89</v>
      </c>
      <c r="D5501" s="832">
        <v>49.3</v>
      </c>
    </row>
    <row r="5502" spans="1:4" x14ac:dyDescent="0.3">
      <c r="A5502" s="830">
        <v>103038</v>
      </c>
      <c r="B5502" s="831" t="s">
        <v>9952</v>
      </c>
      <c r="C5502" s="830" t="s">
        <v>89</v>
      </c>
      <c r="D5502" s="832">
        <v>66.040000000000006</v>
      </c>
    </row>
    <row r="5503" spans="1:4" x14ac:dyDescent="0.3">
      <c r="A5503" s="830">
        <v>103039</v>
      </c>
      <c r="B5503" s="831" t="s">
        <v>9953</v>
      </c>
      <c r="C5503" s="830" t="s">
        <v>89</v>
      </c>
      <c r="D5503" s="832">
        <v>72.13</v>
      </c>
    </row>
    <row r="5504" spans="1:4" x14ac:dyDescent="0.3">
      <c r="A5504" s="830">
        <v>103040</v>
      </c>
      <c r="B5504" s="831" t="s">
        <v>9954</v>
      </c>
      <c r="C5504" s="830" t="s">
        <v>89</v>
      </c>
      <c r="D5504" s="832">
        <v>106.9</v>
      </c>
    </row>
    <row r="5505" spans="1:4" x14ac:dyDescent="0.3">
      <c r="A5505" s="830">
        <v>103041</v>
      </c>
      <c r="B5505" s="831" t="s">
        <v>9955</v>
      </c>
      <c r="C5505" s="830" t="s">
        <v>89</v>
      </c>
      <c r="D5505" s="832">
        <v>20.92</v>
      </c>
    </row>
    <row r="5506" spans="1:4" x14ac:dyDescent="0.3">
      <c r="A5506" s="830">
        <v>103042</v>
      </c>
      <c r="B5506" s="831" t="s">
        <v>9956</v>
      </c>
      <c r="C5506" s="830" t="s">
        <v>89</v>
      </c>
      <c r="D5506" s="832">
        <v>25.99</v>
      </c>
    </row>
    <row r="5507" spans="1:4" x14ac:dyDescent="0.3">
      <c r="A5507" s="830">
        <v>103043</v>
      </c>
      <c r="B5507" s="831" t="s">
        <v>9957</v>
      </c>
      <c r="C5507" s="830" t="s">
        <v>89</v>
      </c>
      <c r="D5507" s="832">
        <v>24.1</v>
      </c>
    </row>
    <row r="5508" spans="1:4" x14ac:dyDescent="0.3">
      <c r="A5508" s="830">
        <v>103044</v>
      </c>
      <c r="B5508" s="831" t="s">
        <v>9958</v>
      </c>
      <c r="C5508" s="830" t="s">
        <v>89</v>
      </c>
      <c r="D5508" s="832">
        <v>32.590000000000003</v>
      </c>
    </row>
    <row r="5509" spans="1:4" x14ac:dyDescent="0.3">
      <c r="A5509" s="830">
        <v>103045</v>
      </c>
      <c r="B5509" s="831" t="s">
        <v>9959</v>
      </c>
      <c r="C5509" s="830" t="s">
        <v>89</v>
      </c>
      <c r="D5509" s="832">
        <v>10.5</v>
      </c>
    </row>
    <row r="5510" spans="1:4" x14ac:dyDescent="0.3">
      <c r="A5510" s="830">
        <v>103046</v>
      </c>
      <c r="B5510" s="831" t="s">
        <v>9960</v>
      </c>
      <c r="C5510" s="830" t="s">
        <v>89</v>
      </c>
      <c r="D5510" s="832">
        <v>24.66</v>
      </c>
    </row>
    <row r="5511" spans="1:4" x14ac:dyDescent="0.3">
      <c r="A5511" s="830">
        <v>103047</v>
      </c>
      <c r="B5511" s="831" t="s">
        <v>9961</v>
      </c>
      <c r="C5511" s="830" t="s">
        <v>89</v>
      </c>
      <c r="D5511" s="832">
        <v>25.74</v>
      </c>
    </row>
    <row r="5512" spans="1:4" x14ac:dyDescent="0.3">
      <c r="A5512" s="830">
        <v>103048</v>
      </c>
      <c r="B5512" s="831" t="s">
        <v>9962</v>
      </c>
      <c r="C5512" s="830" t="s">
        <v>89</v>
      </c>
      <c r="D5512" s="832">
        <v>19.440000000000001</v>
      </c>
    </row>
    <row r="5513" spans="1:4" x14ac:dyDescent="0.3">
      <c r="A5513" s="830">
        <v>103049</v>
      </c>
      <c r="B5513" s="831" t="s">
        <v>9963</v>
      </c>
      <c r="C5513" s="830" t="s">
        <v>89</v>
      </c>
      <c r="D5513" s="832">
        <v>21.06</v>
      </c>
    </row>
    <row r="5514" spans="1:4" x14ac:dyDescent="0.3">
      <c r="A5514" s="830">
        <v>103050</v>
      </c>
      <c r="B5514" s="831" t="s">
        <v>9964</v>
      </c>
      <c r="C5514" s="830" t="s">
        <v>89</v>
      </c>
      <c r="D5514" s="832">
        <v>26.8</v>
      </c>
    </row>
    <row r="5515" spans="1:4" x14ac:dyDescent="0.3">
      <c r="A5515" s="830">
        <v>103051</v>
      </c>
      <c r="B5515" s="831" t="s">
        <v>9965</v>
      </c>
      <c r="C5515" s="830" t="s">
        <v>89</v>
      </c>
      <c r="D5515" s="832">
        <v>32.409999999999997</v>
      </c>
    </row>
    <row r="5516" spans="1:4" x14ac:dyDescent="0.3">
      <c r="A5516" s="830">
        <v>103052</v>
      </c>
      <c r="B5516" s="831" t="s">
        <v>9966</v>
      </c>
      <c r="C5516" s="830" t="s">
        <v>89</v>
      </c>
      <c r="D5516" s="832">
        <v>43.39</v>
      </c>
    </row>
    <row r="5517" spans="1:4" x14ac:dyDescent="0.3">
      <c r="A5517" s="830">
        <v>95634</v>
      </c>
      <c r="B5517" s="831" t="s">
        <v>9967</v>
      </c>
      <c r="C5517" s="830" t="s">
        <v>89</v>
      </c>
      <c r="D5517" s="832">
        <v>215.34</v>
      </c>
    </row>
    <row r="5518" spans="1:4" x14ac:dyDescent="0.3">
      <c r="A5518" s="830">
        <v>95635</v>
      </c>
      <c r="B5518" s="831" t="s">
        <v>9968</v>
      </c>
      <c r="C5518" s="830" t="s">
        <v>89</v>
      </c>
      <c r="D5518" s="832">
        <v>226.7</v>
      </c>
    </row>
    <row r="5519" spans="1:4" x14ac:dyDescent="0.3">
      <c r="A5519" s="830">
        <v>95636</v>
      </c>
      <c r="B5519" s="831" t="s">
        <v>9969</v>
      </c>
      <c r="C5519" s="830" t="s">
        <v>89</v>
      </c>
      <c r="D5519" s="832">
        <v>422.53</v>
      </c>
    </row>
    <row r="5520" spans="1:4" x14ac:dyDescent="0.3">
      <c r="A5520" s="830">
        <v>95637</v>
      </c>
      <c r="B5520" s="831" t="s">
        <v>9970</v>
      </c>
      <c r="C5520" s="830" t="s">
        <v>89</v>
      </c>
      <c r="D5520" s="832">
        <v>561.48</v>
      </c>
    </row>
    <row r="5521" spans="1:4" x14ac:dyDescent="0.3">
      <c r="A5521" s="830">
        <v>95638</v>
      </c>
      <c r="B5521" s="831" t="s">
        <v>9971</v>
      </c>
      <c r="C5521" s="830" t="s">
        <v>89</v>
      </c>
      <c r="D5521" s="832">
        <v>694.36</v>
      </c>
    </row>
    <row r="5522" spans="1:4" x14ac:dyDescent="0.3">
      <c r="A5522" s="830">
        <v>95639</v>
      </c>
      <c r="B5522" s="831" t="s">
        <v>9972</v>
      </c>
      <c r="C5522" s="830" t="s">
        <v>89</v>
      </c>
      <c r="D5522" s="832">
        <v>954.74</v>
      </c>
    </row>
    <row r="5523" spans="1:4" x14ac:dyDescent="0.3">
      <c r="A5523" s="830">
        <v>95641</v>
      </c>
      <c r="B5523" s="831" t="s">
        <v>9973</v>
      </c>
      <c r="C5523" s="830" t="s">
        <v>89</v>
      </c>
      <c r="D5523" s="832">
        <v>320.3</v>
      </c>
    </row>
    <row r="5524" spans="1:4" x14ac:dyDescent="0.3">
      <c r="A5524" s="830">
        <v>95642</v>
      </c>
      <c r="B5524" s="831" t="s">
        <v>9974</v>
      </c>
      <c r="C5524" s="830" t="s">
        <v>89</v>
      </c>
      <c r="D5524" s="832">
        <v>473.97</v>
      </c>
    </row>
    <row r="5525" spans="1:4" x14ac:dyDescent="0.3">
      <c r="A5525" s="830">
        <v>95643</v>
      </c>
      <c r="B5525" s="831" t="s">
        <v>9975</v>
      </c>
      <c r="C5525" s="830" t="s">
        <v>89</v>
      </c>
      <c r="D5525" s="832">
        <v>620</v>
      </c>
    </row>
    <row r="5526" spans="1:4" x14ac:dyDescent="0.3">
      <c r="A5526" s="830">
        <v>95644</v>
      </c>
      <c r="B5526" s="831" t="s">
        <v>9976</v>
      </c>
      <c r="C5526" s="830" t="s">
        <v>89</v>
      </c>
      <c r="D5526" s="832">
        <v>234.51</v>
      </c>
    </row>
    <row r="5527" spans="1:4" x14ac:dyDescent="0.3">
      <c r="A5527" s="830">
        <v>95645</v>
      </c>
      <c r="B5527" s="831" t="s">
        <v>9977</v>
      </c>
      <c r="C5527" s="830" t="s">
        <v>89</v>
      </c>
      <c r="D5527" s="832">
        <v>429.5</v>
      </c>
    </row>
    <row r="5528" spans="1:4" x14ac:dyDescent="0.3">
      <c r="A5528" s="830">
        <v>95646</v>
      </c>
      <c r="B5528" s="831" t="s">
        <v>9978</v>
      </c>
      <c r="C5528" s="830" t="s">
        <v>89</v>
      </c>
      <c r="D5528" s="832">
        <v>640.36</v>
      </c>
    </row>
    <row r="5529" spans="1:4" x14ac:dyDescent="0.3">
      <c r="A5529" s="830">
        <v>95647</v>
      </c>
      <c r="B5529" s="831" t="s">
        <v>9979</v>
      </c>
      <c r="C5529" s="830" t="s">
        <v>89</v>
      </c>
      <c r="D5529" s="832">
        <v>839.76</v>
      </c>
    </row>
    <row r="5530" spans="1:4" x14ac:dyDescent="0.3">
      <c r="A5530" s="830">
        <v>95648</v>
      </c>
      <c r="B5530" s="831" t="s">
        <v>9980</v>
      </c>
      <c r="C5530" s="830" t="s">
        <v>89</v>
      </c>
      <c r="D5530" s="832">
        <v>605.87</v>
      </c>
    </row>
    <row r="5531" spans="1:4" x14ac:dyDescent="0.3">
      <c r="A5531" s="830">
        <v>95649</v>
      </c>
      <c r="B5531" s="831" t="s">
        <v>9981</v>
      </c>
      <c r="C5531" s="830" t="s">
        <v>89</v>
      </c>
      <c r="D5531" s="832">
        <v>1048.67</v>
      </c>
    </row>
    <row r="5532" spans="1:4" x14ac:dyDescent="0.3">
      <c r="A5532" s="830">
        <v>95650</v>
      </c>
      <c r="B5532" s="831" t="s">
        <v>9982</v>
      </c>
      <c r="C5532" s="830" t="s">
        <v>89</v>
      </c>
      <c r="D5532" s="832">
        <v>1532.73</v>
      </c>
    </row>
    <row r="5533" spans="1:4" x14ac:dyDescent="0.3">
      <c r="A5533" s="830">
        <v>95651</v>
      </c>
      <c r="B5533" s="831" t="s">
        <v>9983</v>
      </c>
      <c r="C5533" s="830" t="s">
        <v>89</v>
      </c>
      <c r="D5533" s="832">
        <v>1992.23</v>
      </c>
    </row>
    <row r="5534" spans="1:4" x14ac:dyDescent="0.3">
      <c r="A5534" s="830">
        <v>95652</v>
      </c>
      <c r="B5534" s="831" t="s">
        <v>9984</v>
      </c>
      <c r="C5534" s="830" t="s">
        <v>89</v>
      </c>
      <c r="D5534" s="832">
        <v>748.97</v>
      </c>
    </row>
    <row r="5535" spans="1:4" x14ac:dyDescent="0.3">
      <c r="A5535" s="830">
        <v>95653</v>
      </c>
      <c r="B5535" s="831" t="s">
        <v>9985</v>
      </c>
      <c r="C5535" s="830" t="s">
        <v>89</v>
      </c>
      <c r="D5535" s="832">
        <v>1332.99</v>
      </c>
    </row>
    <row r="5536" spans="1:4" x14ac:dyDescent="0.3">
      <c r="A5536" s="830">
        <v>95654</v>
      </c>
      <c r="B5536" s="831" t="s">
        <v>9986</v>
      </c>
      <c r="C5536" s="830" t="s">
        <v>89</v>
      </c>
      <c r="D5536" s="832">
        <v>1963.93</v>
      </c>
    </row>
    <row r="5537" spans="1:4" x14ac:dyDescent="0.3">
      <c r="A5537" s="830">
        <v>95655</v>
      </c>
      <c r="B5537" s="831" t="s">
        <v>9987</v>
      </c>
      <c r="C5537" s="830" t="s">
        <v>89</v>
      </c>
      <c r="D5537" s="832">
        <v>2563.38</v>
      </c>
    </row>
    <row r="5538" spans="1:4" x14ac:dyDescent="0.3">
      <c r="A5538" s="830">
        <v>95657</v>
      </c>
      <c r="B5538" s="831" t="s">
        <v>9988</v>
      </c>
      <c r="C5538" s="830" t="s">
        <v>89</v>
      </c>
      <c r="D5538" s="832">
        <v>338.7</v>
      </c>
    </row>
    <row r="5539" spans="1:4" x14ac:dyDescent="0.3">
      <c r="A5539" s="830">
        <v>95658</v>
      </c>
      <c r="B5539" s="831" t="s">
        <v>9989</v>
      </c>
      <c r="C5539" s="830" t="s">
        <v>89</v>
      </c>
      <c r="D5539" s="832">
        <v>616.9</v>
      </c>
    </row>
    <row r="5540" spans="1:4" x14ac:dyDescent="0.3">
      <c r="A5540" s="830">
        <v>95659</v>
      </c>
      <c r="B5540" s="831" t="s">
        <v>9990</v>
      </c>
      <c r="C5540" s="830" t="s">
        <v>89</v>
      </c>
      <c r="D5540" s="832">
        <v>918.17</v>
      </c>
    </row>
    <row r="5541" spans="1:4" x14ac:dyDescent="0.3">
      <c r="A5541" s="830">
        <v>95660</v>
      </c>
      <c r="B5541" s="831" t="s">
        <v>9991</v>
      </c>
      <c r="C5541" s="830" t="s">
        <v>89</v>
      </c>
      <c r="D5541" s="832">
        <v>1203.6300000000001</v>
      </c>
    </row>
    <row r="5542" spans="1:4" x14ac:dyDescent="0.3">
      <c r="A5542" s="830">
        <v>95661</v>
      </c>
      <c r="B5542" s="831" t="s">
        <v>9992</v>
      </c>
      <c r="C5542" s="830" t="s">
        <v>89</v>
      </c>
      <c r="D5542" s="832">
        <v>420.7</v>
      </c>
    </row>
    <row r="5543" spans="1:4" x14ac:dyDescent="0.3">
      <c r="A5543" s="830">
        <v>95662</v>
      </c>
      <c r="B5543" s="831" t="s">
        <v>9993</v>
      </c>
      <c r="C5543" s="830" t="s">
        <v>89</v>
      </c>
      <c r="D5543" s="832">
        <v>779.33</v>
      </c>
    </row>
    <row r="5544" spans="1:4" x14ac:dyDescent="0.3">
      <c r="A5544" s="830">
        <v>95663</v>
      </c>
      <c r="B5544" s="831" t="s">
        <v>9994</v>
      </c>
      <c r="C5544" s="830" t="s">
        <v>89</v>
      </c>
      <c r="D5544" s="832">
        <v>1165.7</v>
      </c>
    </row>
    <row r="5545" spans="1:4" x14ac:dyDescent="0.3">
      <c r="A5545" s="830">
        <v>95664</v>
      </c>
      <c r="B5545" s="831" t="s">
        <v>9995</v>
      </c>
      <c r="C5545" s="830" t="s">
        <v>89</v>
      </c>
      <c r="D5545" s="832">
        <v>1530.55</v>
      </c>
    </row>
    <row r="5546" spans="1:4" x14ac:dyDescent="0.3">
      <c r="A5546" s="830">
        <v>95665</v>
      </c>
      <c r="B5546" s="831" t="s">
        <v>9996</v>
      </c>
      <c r="C5546" s="830" t="s">
        <v>89</v>
      </c>
      <c r="D5546" s="832">
        <v>375.39</v>
      </c>
    </row>
    <row r="5547" spans="1:4" x14ac:dyDescent="0.3">
      <c r="A5547" s="830">
        <v>95666</v>
      </c>
      <c r="B5547" s="831" t="s">
        <v>9997</v>
      </c>
      <c r="C5547" s="830" t="s">
        <v>89</v>
      </c>
      <c r="D5547" s="832">
        <v>664.28</v>
      </c>
    </row>
    <row r="5548" spans="1:4" x14ac:dyDescent="0.3">
      <c r="A5548" s="830">
        <v>95667</v>
      </c>
      <c r="B5548" s="831" t="s">
        <v>9998</v>
      </c>
      <c r="C5548" s="830" t="s">
        <v>89</v>
      </c>
      <c r="D5548" s="832">
        <v>983.66</v>
      </c>
    </row>
    <row r="5549" spans="1:4" x14ac:dyDescent="0.3">
      <c r="A5549" s="830">
        <v>95668</v>
      </c>
      <c r="B5549" s="831" t="s">
        <v>9999</v>
      </c>
      <c r="C5549" s="830" t="s">
        <v>89</v>
      </c>
      <c r="D5549" s="832">
        <v>1285.05</v>
      </c>
    </row>
    <row r="5550" spans="1:4" x14ac:dyDescent="0.3">
      <c r="A5550" s="830">
        <v>95669</v>
      </c>
      <c r="B5550" s="831" t="s">
        <v>10000</v>
      </c>
      <c r="C5550" s="830" t="s">
        <v>89</v>
      </c>
      <c r="D5550" s="832">
        <v>452.97</v>
      </c>
    </row>
    <row r="5551" spans="1:4" x14ac:dyDescent="0.3">
      <c r="A5551" s="830">
        <v>95670</v>
      </c>
      <c r="B5551" s="831" t="s">
        <v>10001</v>
      </c>
      <c r="C5551" s="830" t="s">
        <v>89</v>
      </c>
      <c r="D5551" s="832">
        <v>818.08</v>
      </c>
    </row>
    <row r="5552" spans="1:4" x14ac:dyDescent="0.3">
      <c r="A5552" s="830">
        <v>95671</v>
      </c>
      <c r="B5552" s="831" t="s">
        <v>10002</v>
      </c>
      <c r="C5552" s="830" t="s">
        <v>89</v>
      </c>
      <c r="D5552" s="832">
        <v>1217.6600000000001</v>
      </c>
    </row>
    <row r="5553" spans="1:4" x14ac:dyDescent="0.3">
      <c r="A5553" s="830">
        <v>95672</v>
      </c>
      <c r="B5553" s="831" t="s">
        <v>10003</v>
      </c>
      <c r="C5553" s="830" t="s">
        <v>89</v>
      </c>
      <c r="D5553" s="832">
        <v>1594.41</v>
      </c>
    </row>
    <row r="5554" spans="1:4" x14ac:dyDescent="0.3">
      <c r="A5554" s="830">
        <v>95673</v>
      </c>
      <c r="B5554" s="831" t="s">
        <v>10004</v>
      </c>
      <c r="C5554" s="830" t="s">
        <v>89</v>
      </c>
      <c r="D5554" s="832">
        <v>115.58</v>
      </c>
    </row>
    <row r="5555" spans="1:4" x14ac:dyDescent="0.3">
      <c r="A5555" s="830">
        <v>95674</v>
      </c>
      <c r="B5555" s="831" t="s">
        <v>10005</v>
      </c>
      <c r="C5555" s="830" t="s">
        <v>89</v>
      </c>
      <c r="D5555" s="832">
        <v>122.35</v>
      </c>
    </row>
    <row r="5556" spans="1:4" x14ac:dyDescent="0.3">
      <c r="A5556" s="830">
        <v>95675</v>
      </c>
      <c r="B5556" s="831" t="s">
        <v>10006</v>
      </c>
      <c r="C5556" s="830" t="s">
        <v>89</v>
      </c>
      <c r="D5556" s="832">
        <v>150.97</v>
      </c>
    </row>
    <row r="5557" spans="1:4" x14ac:dyDescent="0.3">
      <c r="A5557" s="830">
        <v>95676</v>
      </c>
      <c r="B5557" s="831" t="s">
        <v>10007</v>
      </c>
      <c r="C5557" s="830" t="s">
        <v>89</v>
      </c>
      <c r="D5557" s="832">
        <v>137.88999999999999</v>
      </c>
    </row>
    <row r="5558" spans="1:4" x14ac:dyDescent="0.3">
      <c r="A5558" s="830">
        <v>97741</v>
      </c>
      <c r="B5558" s="831" t="s">
        <v>10008</v>
      </c>
      <c r="C5558" s="830" t="s">
        <v>89</v>
      </c>
      <c r="D5558" s="832">
        <v>179.39</v>
      </c>
    </row>
    <row r="5559" spans="1:4" x14ac:dyDescent="0.3">
      <c r="A5559" s="830">
        <v>104992</v>
      </c>
      <c r="B5559" s="831" t="s">
        <v>10009</v>
      </c>
      <c r="C5559" s="830" t="s">
        <v>89</v>
      </c>
      <c r="D5559" s="832">
        <v>1171.28</v>
      </c>
    </row>
    <row r="5560" spans="1:4" x14ac:dyDescent="0.3">
      <c r="A5560" s="830">
        <v>104997</v>
      </c>
      <c r="B5560" s="831" t="s">
        <v>10010</v>
      </c>
      <c r="C5560" s="830" t="s">
        <v>89</v>
      </c>
      <c r="D5560" s="832">
        <v>387.57</v>
      </c>
    </row>
    <row r="5561" spans="1:4" x14ac:dyDescent="0.3">
      <c r="A5561" s="830">
        <v>104998</v>
      </c>
      <c r="B5561" s="831" t="s">
        <v>10011</v>
      </c>
      <c r="C5561" s="830" t="s">
        <v>89</v>
      </c>
      <c r="D5561" s="832">
        <v>516.32000000000005</v>
      </c>
    </row>
    <row r="5562" spans="1:4" x14ac:dyDescent="0.3">
      <c r="A5562" s="830">
        <v>105135</v>
      </c>
      <c r="B5562" s="831" t="s">
        <v>10012</v>
      </c>
      <c r="C5562" s="830" t="s">
        <v>89</v>
      </c>
      <c r="D5562" s="832">
        <v>840.4</v>
      </c>
    </row>
    <row r="5563" spans="1:4" x14ac:dyDescent="0.3">
      <c r="A5563" s="830">
        <v>90436</v>
      </c>
      <c r="B5563" s="831" t="s">
        <v>10013</v>
      </c>
      <c r="C5563" s="830" t="s">
        <v>89</v>
      </c>
      <c r="D5563" s="832">
        <v>16.149999999999999</v>
      </c>
    </row>
    <row r="5564" spans="1:4" x14ac:dyDescent="0.3">
      <c r="A5564" s="830">
        <v>90437</v>
      </c>
      <c r="B5564" s="831" t="s">
        <v>10014</v>
      </c>
      <c r="C5564" s="830" t="s">
        <v>89</v>
      </c>
      <c r="D5564" s="832">
        <v>43.04</v>
      </c>
    </row>
    <row r="5565" spans="1:4" x14ac:dyDescent="0.3">
      <c r="A5565" s="830">
        <v>90438</v>
      </c>
      <c r="B5565" s="831" t="s">
        <v>10015</v>
      </c>
      <c r="C5565" s="830" t="s">
        <v>89</v>
      </c>
      <c r="D5565" s="832">
        <v>62.87</v>
      </c>
    </row>
    <row r="5566" spans="1:4" x14ac:dyDescent="0.3">
      <c r="A5566" s="830">
        <v>90439</v>
      </c>
      <c r="B5566" s="831" t="s">
        <v>10016</v>
      </c>
      <c r="C5566" s="830" t="s">
        <v>89</v>
      </c>
      <c r="D5566" s="832">
        <v>9.9600000000000009</v>
      </c>
    </row>
    <row r="5567" spans="1:4" x14ac:dyDescent="0.3">
      <c r="A5567" s="830">
        <v>90440</v>
      </c>
      <c r="B5567" s="831" t="s">
        <v>10017</v>
      </c>
      <c r="C5567" s="830" t="s">
        <v>89</v>
      </c>
      <c r="D5567" s="832">
        <v>26.55</v>
      </c>
    </row>
    <row r="5568" spans="1:4" x14ac:dyDescent="0.3">
      <c r="A5568" s="830">
        <v>90441</v>
      </c>
      <c r="B5568" s="831" t="s">
        <v>10018</v>
      </c>
      <c r="C5568" s="830" t="s">
        <v>89</v>
      </c>
      <c r="D5568" s="832">
        <v>38.770000000000003</v>
      </c>
    </row>
    <row r="5569" spans="1:4" x14ac:dyDescent="0.3">
      <c r="A5569" s="830">
        <v>90443</v>
      </c>
      <c r="B5569" s="831" t="s">
        <v>10019</v>
      </c>
      <c r="C5569" s="830" t="s">
        <v>194</v>
      </c>
      <c r="D5569" s="832">
        <v>8.67</v>
      </c>
    </row>
    <row r="5570" spans="1:4" x14ac:dyDescent="0.3">
      <c r="A5570" s="830">
        <v>90444</v>
      </c>
      <c r="B5570" s="831" t="s">
        <v>10020</v>
      </c>
      <c r="C5570" s="830" t="s">
        <v>194</v>
      </c>
      <c r="D5570" s="832">
        <v>13.7</v>
      </c>
    </row>
    <row r="5571" spans="1:4" x14ac:dyDescent="0.3">
      <c r="A5571" s="830">
        <v>90445</v>
      </c>
      <c r="B5571" s="831" t="s">
        <v>10021</v>
      </c>
      <c r="C5571" s="830" t="s">
        <v>194</v>
      </c>
      <c r="D5571" s="832">
        <v>18.16</v>
      </c>
    </row>
    <row r="5572" spans="1:4" x14ac:dyDescent="0.3">
      <c r="A5572" s="830">
        <v>90446</v>
      </c>
      <c r="B5572" s="831" t="s">
        <v>10022</v>
      </c>
      <c r="C5572" s="830" t="s">
        <v>194</v>
      </c>
      <c r="D5572" s="832">
        <v>24.11</v>
      </c>
    </row>
    <row r="5573" spans="1:4" x14ac:dyDescent="0.3">
      <c r="A5573" s="830">
        <v>90447</v>
      </c>
      <c r="B5573" s="831" t="s">
        <v>10023</v>
      </c>
      <c r="C5573" s="830" t="s">
        <v>194</v>
      </c>
      <c r="D5573" s="832">
        <v>9.01</v>
      </c>
    </row>
    <row r="5574" spans="1:4" x14ac:dyDescent="0.3">
      <c r="A5574" s="830">
        <v>90451</v>
      </c>
      <c r="B5574" s="831" t="s">
        <v>10024</v>
      </c>
      <c r="C5574" s="830" t="s">
        <v>89</v>
      </c>
      <c r="D5574" s="832">
        <v>6.7</v>
      </c>
    </row>
    <row r="5575" spans="1:4" x14ac:dyDescent="0.3">
      <c r="A5575" s="830">
        <v>90452</v>
      </c>
      <c r="B5575" s="831" t="s">
        <v>10025</v>
      </c>
      <c r="C5575" s="830" t="s">
        <v>89</v>
      </c>
      <c r="D5575" s="832">
        <v>23.73</v>
      </c>
    </row>
    <row r="5576" spans="1:4" x14ac:dyDescent="0.3">
      <c r="A5576" s="830">
        <v>90453</v>
      </c>
      <c r="B5576" s="831" t="s">
        <v>10026</v>
      </c>
      <c r="C5576" s="830" t="s">
        <v>89</v>
      </c>
      <c r="D5576" s="832">
        <v>4.22</v>
      </c>
    </row>
    <row r="5577" spans="1:4" x14ac:dyDescent="0.3">
      <c r="A5577" s="830">
        <v>90454</v>
      </c>
      <c r="B5577" s="831" t="s">
        <v>10027</v>
      </c>
      <c r="C5577" s="830" t="s">
        <v>89</v>
      </c>
      <c r="D5577" s="832">
        <v>6.74</v>
      </c>
    </row>
    <row r="5578" spans="1:4" x14ac:dyDescent="0.3">
      <c r="A5578" s="830">
        <v>90455</v>
      </c>
      <c r="B5578" s="831" t="s">
        <v>10028</v>
      </c>
      <c r="C5578" s="830" t="s">
        <v>89</v>
      </c>
      <c r="D5578" s="832">
        <v>8.6300000000000008</v>
      </c>
    </row>
    <row r="5579" spans="1:4" x14ac:dyDescent="0.3">
      <c r="A5579" s="830">
        <v>90456</v>
      </c>
      <c r="B5579" s="831" t="s">
        <v>10029</v>
      </c>
      <c r="C5579" s="830" t="s">
        <v>89</v>
      </c>
      <c r="D5579" s="832">
        <v>5.96</v>
      </c>
    </row>
    <row r="5580" spans="1:4" x14ac:dyDescent="0.3">
      <c r="A5580" s="830">
        <v>90457</v>
      </c>
      <c r="B5580" s="831" t="s">
        <v>10030</v>
      </c>
      <c r="C5580" s="830" t="s">
        <v>89</v>
      </c>
      <c r="D5580" s="832">
        <v>13.63</v>
      </c>
    </row>
    <row r="5581" spans="1:4" x14ac:dyDescent="0.3">
      <c r="A5581" s="830">
        <v>90458</v>
      </c>
      <c r="B5581" s="831" t="s">
        <v>10031</v>
      </c>
      <c r="C5581" s="830" t="s">
        <v>89</v>
      </c>
      <c r="D5581" s="832">
        <v>38.880000000000003</v>
      </c>
    </row>
    <row r="5582" spans="1:4" x14ac:dyDescent="0.3">
      <c r="A5582" s="830">
        <v>90459</v>
      </c>
      <c r="B5582" s="831" t="s">
        <v>10032</v>
      </c>
      <c r="C5582" s="830" t="s">
        <v>89</v>
      </c>
      <c r="D5582" s="832">
        <v>52.96</v>
      </c>
    </row>
    <row r="5583" spans="1:4" x14ac:dyDescent="0.3">
      <c r="A5583" s="830">
        <v>90460</v>
      </c>
      <c r="B5583" s="831" t="s">
        <v>10033</v>
      </c>
      <c r="C5583" s="830" t="s">
        <v>194</v>
      </c>
      <c r="D5583" s="832">
        <v>26.3</v>
      </c>
    </row>
    <row r="5584" spans="1:4" x14ac:dyDescent="0.3">
      <c r="A5584" s="830">
        <v>90461</v>
      </c>
      <c r="B5584" s="831" t="s">
        <v>10034</v>
      </c>
      <c r="C5584" s="830" t="s">
        <v>194</v>
      </c>
      <c r="D5584" s="832">
        <v>19.91</v>
      </c>
    </row>
    <row r="5585" spans="1:4" x14ac:dyDescent="0.3">
      <c r="A5585" s="830">
        <v>90462</v>
      </c>
      <c r="B5585" s="831" t="s">
        <v>10035</v>
      </c>
      <c r="C5585" s="830" t="s">
        <v>194</v>
      </c>
      <c r="D5585" s="832">
        <v>4.6900000000000004</v>
      </c>
    </row>
    <row r="5586" spans="1:4" x14ac:dyDescent="0.3">
      <c r="A5586" s="830">
        <v>90463</v>
      </c>
      <c r="B5586" s="831" t="s">
        <v>10036</v>
      </c>
      <c r="C5586" s="830" t="s">
        <v>194</v>
      </c>
      <c r="D5586" s="832">
        <v>4</v>
      </c>
    </row>
    <row r="5587" spans="1:4" x14ac:dyDescent="0.3">
      <c r="A5587" s="830">
        <v>90466</v>
      </c>
      <c r="B5587" s="831" t="s">
        <v>10037</v>
      </c>
      <c r="C5587" s="830" t="s">
        <v>194</v>
      </c>
      <c r="D5587" s="832">
        <v>16.72</v>
      </c>
    </row>
    <row r="5588" spans="1:4" x14ac:dyDescent="0.3">
      <c r="A5588" s="830">
        <v>90467</v>
      </c>
      <c r="B5588" s="831" t="s">
        <v>10038</v>
      </c>
      <c r="C5588" s="830" t="s">
        <v>194</v>
      </c>
      <c r="D5588" s="832">
        <v>25.12</v>
      </c>
    </row>
    <row r="5589" spans="1:4" x14ac:dyDescent="0.3">
      <c r="A5589" s="830">
        <v>90468</v>
      </c>
      <c r="B5589" s="831" t="s">
        <v>10039</v>
      </c>
      <c r="C5589" s="830" t="s">
        <v>194</v>
      </c>
      <c r="D5589" s="832">
        <v>8.24</v>
      </c>
    </row>
    <row r="5590" spans="1:4" x14ac:dyDescent="0.3">
      <c r="A5590" s="830">
        <v>90469</v>
      </c>
      <c r="B5590" s="831" t="s">
        <v>10040</v>
      </c>
      <c r="C5590" s="830" t="s">
        <v>194</v>
      </c>
      <c r="D5590" s="832">
        <v>12.5</v>
      </c>
    </row>
    <row r="5591" spans="1:4" x14ac:dyDescent="0.3">
      <c r="A5591" s="830">
        <v>90470</v>
      </c>
      <c r="B5591" s="831" t="s">
        <v>10041</v>
      </c>
      <c r="C5591" s="830" t="s">
        <v>194</v>
      </c>
      <c r="D5591" s="832">
        <v>16.61</v>
      </c>
    </row>
    <row r="5592" spans="1:4" x14ac:dyDescent="0.3">
      <c r="A5592" s="830">
        <v>91166</v>
      </c>
      <c r="B5592" s="831" t="s">
        <v>10042</v>
      </c>
      <c r="C5592" s="830" t="s">
        <v>194</v>
      </c>
      <c r="D5592" s="832">
        <v>4.29</v>
      </c>
    </row>
    <row r="5593" spans="1:4" x14ac:dyDescent="0.3">
      <c r="A5593" s="830">
        <v>91167</v>
      </c>
      <c r="B5593" s="831" t="s">
        <v>10043</v>
      </c>
      <c r="C5593" s="830" t="s">
        <v>194</v>
      </c>
      <c r="D5593" s="832">
        <v>10.73</v>
      </c>
    </row>
    <row r="5594" spans="1:4" x14ac:dyDescent="0.3">
      <c r="A5594" s="830">
        <v>91170</v>
      </c>
      <c r="B5594" s="831" t="s">
        <v>10044</v>
      </c>
      <c r="C5594" s="830" t="s">
        <v>194</v>
      </c>
      <c r="D5594" s="832">
        <v>10.73</v>
      </c>
    </row>
    <row r="5595" spans="1:4" x14ac:dyDescent="0.3">
      <c r="A5595" s="830">
        <v>91171</v>
      </c>
      <c r="B5595" s="831" t="s">
        <v>10045</v>
      </c>
      <c r="C5595" s="830" t="s">
        <v>194</v>
      </c>
      <c r="D5595" s="832">
        <v>17.329999999999998</v>
      </c>
    </row>
    <row r="5596" spans="1:4" x14ac:dyDescent="0.3">
      <c r="A5596" s="830">
        <v>91172</v>
      </c>
      <c r="B5596" s="831" t="s">
        <v>10046</v>
      </c>
      <c r="C5596" s="830" t="s">
        <v>194</v>
      </c>
      <c r="D5596" s="832">
        <v>19.95</v>
      </c>
    </row>
    <row r="5597" spans="1:4" x14ac:dyDescent="0.3">
      <c r="A5597" s="830">
        <v>91173</v>
      </c>
      <c r="B5597" s="831" t="s">
        <v>10047</v>
      </c>
      <c r="C5597" s="830" t="s">
        <v>194</v>
      </c>
      <c r="D5597" s="832">
        <v>4</v>
      </c>
    </row>
    <row r="5598" spans="1:4" x14ac:dyDescent="0.3">
      <c r="A5598" s="830">
        <v>91174</v>
      </c>
      <c r="B5598" s="831" t="s">
        <v>10048</v>
      </c>
      <c r="C5598" s="830" t="s">
        <v>194</v>
      </c>
      <c r="D5598" s="832">
        <v>6.92</v>
      </c>
    </row>
    <row r="5599" spans="1:4" x14ac:dyDescent="0.3">
      <c r="A5599" s="830">
        <v>91175</v>
      </c>
      <c r="B5599" s="831" t="s">
        <v>10049</v>
      </c>
      <c r="C5599" s="830" t="s">
        <v>194</v>
      </c>
      <c r="D5599" s="832">
        <v>10.77</v>
      </c>
    </row>
    <row r="5600" spans="1:4" x14ac:dyDescent="0.3">
      <c r="A5600" s="830">
        <v>91176</v>
      </c>
      <c r="B5600" s="831" t="s">
        <v>10050</v>
      </c>
      <c r="C5600" s="830" t="s">
        <v>194</v>
      </c>
      <c r="D5600" s="832">
        <v>17.54</v>
      </c>
    </row>
    <row r="5601" spans="1:4" x14ac:dyDescent="0.3">
      <c r="A5601" s="830">
        <v>91179</v>
      </c>
      <c r="B5601" s="831" t="s">
        <v>10051</v>
      </c>
      <c r="C5601" s="830" t="s">
        <v>194</v>
      </c>
      <c r="D5601" s="832">
        <v>17.54</v>
      </c>
    </row>
    <row r="5602" spans="1:4" x14ac:dyDescent="0.3">
      <c r="A5602" s="830">
        <v>91180</v>
      </c>
      <c r="B5602" s="831" t="s">
        <v>10052</v>
      </c>
      <c r="C5602" s="830" t="s">
        <v>194</v>
      </c>
      <c r="D5602" s="832">
        <v>23.43</v>
      </c>
    </row>
    <row r="5603" spans="1:4" x14ac:dyDescent="0.3">
      <c r="A5603" s="830">
        <v>91181</v>
      </c>
      <c r="B5603" s="831" t="s">
        <v>10053</v>
      </c>
      <c r="C5603" s="830" t="s">
        <v>194</v>
      </c>
      <c r="D5603" s="832">
        <v>24.6</v>
      </c>
    </row>
    <row r="5604" spans="1:4" x14ac:dyDescent="0.3">
      <c r="A5604" s="830">
        <v>91182</v>
      </c>
      <c r="B5604" s="831" t="s">
        <v>10054</v>
      </c>
      <c r="C5604" s="830" t="s">
        <v>194</v>
      </c>
      <c r="D5604" s="832">
        <v>26.81</v>
      </c>
    </row>
    <row r="5605" spans="1:4" x14ac:dyDescent="0.3">
      <c r="A5605" s="830">
        <v>91185</v>
      </c>
      <c r="B5605" s="831" t="s">
        <v>10055</v>
      </c>
      <c r="C5605" s="830" t="s">
        <v>194</v>
      </c>
      <c r="D5605" s="832">
        <v>26.81</v>
      </c>
    </row>
    <row r="5606" spans="1:4" x14ac:dyDescent="0.3">
      <c r="A5606" s="830">
        <v>91186</v>
      </c>
      <c r="B5606" s="831" t="s">
        <v>10056</v>
      </c>
      <c r="C5606" s="830" t="s">
        <v>194</v>
      </c>
      <c r="D5606" s="832">
        <v>29.53</v>
      </c>
    </row>
    <row r="5607" spans="1:4" x14ac:dyDescent="0.3">
      <c r="A5607" s="830">
        <v>91187</v>
      </c>
      <c r="B5607" s="831" t="s">
        <v>10057</v>
      </c>
      <c r="C5607" s="830" t="s">
        <v>194</v>
      </c>
      <c r="D5607" s="832">
        <v>26.53</v>
      </c>
    </row>
    <row r="5608" spans="1:4" x14ac:dyDescent="0.3">
      <c r="A5608" s="830">
        <v>91188</v>
      </c>
      <c r="B5608" s="831" t="s">
        <v>10058</v>
      </c>
      <c r="C5608" s="830" t="s">
        <v>89</v>
      </c>
      <c r="D5608" s="832">
        <v>14.09</v>
      </c>
    </row>
    <row r="5609" spans="1:4" x14ac:dyDescent="0.3">
      <c r="A5609" s="830">
        <v>91189</v>
      </c>
      <c r="B5609" s="831" t="s">
        <v>10059</v>
      </c>
      <c r="C5609" s="830" t="s">
        <v>89</v>
      </c>
      <c r="D5609" s="832">
        <v>77.48</v>
      </c>
    </row>
    <row r="5610" spans="1:4" x14ac:dyDescent="0.3">
      <c r="A5610" s="830">
        <v>91190</v>
      </c>
      <c r="B5610" s="831" t="s">
        <v>10060</v>
      </c>
      <c r="C5610" s="830" t="s">
        <v>89</v>
      </c>
      <c r="D5610" s="832">
        <v>11.48</v>
      </c>
    </row>
    <row r="5611" spans="1:4" x14ac:dyDescent="0.3">
      <c r="A5611" s="830">
        <v>91191</v>
      </c>
      <c r="B5611" s="831" t="s">
        <v>10061</v>
      </c>
      <c r="C5611" s="830" t="s">
        <v>89</v>
      </c>
      <c r="D5611" s="832">
        <v>15.88</v>
      </c>
    </row>
    <row r="5612" spans="1:4" x14ac:dyDescent="0.3">
      <c r="A5612" s="830">
        <v>91192</v>
      </c>
      <c r="B5612" s="831" t="s">
        <v>10062</v>
      </c>
      <c r="C5612" s="830" t="s">
        <v>89</v>
      </c>
      <c r="D5612" s="832">
        <v>23.75</v>
      </c>
    </row>
    <row r="5613" spans="1:4" x14ac:dyDescent="0.3">
      <c r="A5613" s="830">
        <v>91222</v>
      </c>
      <c r="B5613" s="831" t="s">
        <v>10063</v>
      </c>
      <c r="C5613" s="830" t="s">
        <v>194</v>
      </c>
      <c r="D5613" s="832">
        <v>9.64</v>
      </c>
    </row>
    <row r="5614" spans="1:4" x14ac:dyDescent="0.3">
      <c r="A5614" s="830">
        <v>94480</v>
      </c>
      <c r="B5614" s="831" t="s">
        <v>10064</v>
      </c>
      <c r="C5614" s="830" t="s">
        <v>89</v>
      </c>
      <c r="D5614" s="832">
        <v>2907.59</v>
      </c>
    </row>
    <row r="5615" spans="1:4" x14ac:dyDescent="0.3">
      <c r="A5615" s="830">
        <v>94481</v>
      </c>
      <c r="B5615" s="831" t="s">
        <v>10065</v>
      </c>
      <c r="C5615" s="830" t="s">
        <v>89</v>
      </c>
      <c r="D5615" s="832">
        <v>2036.6</v>
      </c>
    </row>
    <row r="5616" spans="1:4" x14ac:dyDescent="0.3">
      <c r="A5616" s="830">
        <v>94482</v>
      </c>
      <c r="B5616" s="831" t="s">
        <v>10066</v>
      </c>
      <c r="C5616" s="830" t="s">
        <v>89</v>
      </c>
      <c r="D5616" s="832">
        <v>1590.52</v>
      </c>
    </row>
    <row r="5617" spans="1:4" x14ac:dyDescent="0.3">
      <c r="A5617" s="830">
        <v>94483</v>
      </c>
      <c r="B5617" s="831" t="s">
        <v>10067</v>
      </c>
      <c r="C5617" s="830" t="s">
        <v>89</v>
      </c>
      <c r="D5617" s="832">
        <v>1327.15</v>
      </c>
    </row>
    <row r="5618" spans="1:4" x14ac:dyDescent="0.3">
      <c r="A5618" s="830">
        <v>95541</v>
      </c>
      <c r="B5618" s="831" t="s">
        <v>10068</v>
      </c>
      <c r="C5618" s="830" t="s">
        <v>89</v>
      </c>
      <c r="D5618" s="832">
        <v>26.38</v>
      </c>
    </row>
    <row r="5619" spans="1:4" x14ac:dyDescent="0.3">
      <c r="A5619" s="830">
        <v>96559</v>
      </c>
      <c r="B5619" s="831" t="s">
        <v>10069</v>
      </c>
      <c r="C5619" s="830" t="s">
        <v>252</v>
      </c>
      <c r="D5619" s="832">
        <v>36.85</v>
      </c>
    </row>
    <row r="5620" spans="1:4" x14ac:dyDescent="0.3">
      <c r="A5620" s="830">
        <v>96560</v>
      </c>
      <c r="B5620" s="831" t="s">
        <v>10070</v>
      </c>
      <c r="C5620" s="830" t="s">
        <v>252</v>
      </c>
      <c r="D5620" s="832">
        <v>35.229999999999997</v>
      </c>
    </row>
    <row r="5621" spans="1:4" x14ac:dyDescent="0.3">
      <c r="A5621" s="830">
        <v>96562</v>
      </c>
      <c r="B5621" s="831" t="s">
        <v>10071</v>
      </c>
      <c r="C5621" s="830" t="s">
        <v>194</v>
      </c>
      <c r="D5621" s="832">
        <v>53.94</v>
      </c>
    </row>
    <row r="5622" spans="1:4" x14ac:dyDescent="0.3">
      <c r="A5622" s="830">
        <v>96563</v>
      </c>
      <c r="B5622" s="831" t="s">
        <v>10072</v>
      </c>
      <c r="C5622" s="830" t="s">
        <v>194</v>
      </c>
      <c r="D5622" s="832">
        <v>60.37</v>
      </c>
    </row>
    <row r="5623" spans="1:4" x14ac:dyDescent="0.3">
      <c r="A5623" s="830">
        <v>100128</v>
      </c>
      <c r="B5623" s="831" t="s">
        <v>10073</v>
      </c>
      <c r="C5623" s="830" t="s">
        <v>89</v>
      </c>
      <c r="D5623" s="832">
        <v>1624.13</v>
      </c>
    </row>
    <row r="5624" spans="1:4" x14ac:dyDescent="0.3">
      <c r="A5624" s="830">
        <v>101802</v>
      </c>
      <c r="B5624" s="831" t="s">
        <v>10074</v>
      </c>
      <c r="C5624" s="830" t="s">
        <v>89</v>
      </c>
      <c r="D5624" s="832">
        <v>1913.89</v>
      </c>
    </row>
    <row r="5625" spans="1:4" x14ac:dyDescent="0.3">
      <c r="A5625" s="830">
        <v>101803</v>
      </c>
      <c r="B5625" s="831" t="s">
        <v>10075</v>
      </c>
      <c r="C5625" s="830" t="s">
        <v>89</v>
      </c>
      <c r="D5625" s="832">
        <v>1215.96</v>
      </c>
    </row>
    <row r="5626" spans="1:4" x14ac:dyDescent="0.3">
      <c r="A5626" s="830">
        <v>101804</v>
      </c>
      <c r="B5626" s="831" t="s">
        <v>10076</v>
      </c>
      <c r="C5626" s="830" t="s">
        <v>89</v>
      </c>
      <c r="D5626" s="832">
        <v>1529.71</v>
      </c>
    </row>
    <row r="5627" spans="1:4" x14ac:dyDescent="0.3">
      <c r="A5627" s="830">
        <v>101805</v>
      </c>
      <c r="B5627" s="831" t="s">
        <v>10077</v>
      </c>
      <c r="C5627" s="830" t="s">
        <v>89</v>
      </c>
      <c r="D5627" s="832">
        <v>1945.52</v>
      </c>
    </row>
    <row r="5628" spans="1:4" x14ac:dyDescent="0.3">
      <c r="A5628" s="830">
        <v>102111</v>
      </c>
      <c r="B5628" s="831" t="s">
        <v>10078</v>
      </c>
      <c r="C5628" s="830" t="s">
        <v>89</v>
      </c>
      <c r="D5628" s="832">
        <v>1256.58</v>
      </c>
    </row>
    <row r="5629" spans="1:4" x14ac:dyDescent="0.3">
      <c r="A5629" s="830">
        <v>102112</v>
      </c>
      <c r="B5629" s="831" t="s">
        <v>10079</v>
      </c>
      <c r="C5629" s="830" t="s">
        <v>89</v>
      </c>
      <c r="D5629" s="832">
        <v>153.41</v>
      </c>
    </row>
    <row r="5630" spans="1:4" x14ac:dyDescent="0.3">
      <c r="A5630" s="830">
        <v>102113</v>
      </c>
      <c r="B5630" s="831" t="s">
        <v>10080</v>
      </c>
      <c r="C5630" s="830" t="s">
        <v>89</v>
      </c>
      <c r="D5630" s="832">
        <v>2016.89</v>
      </c>
    </row>
    <row r="5631" spans="1:4" x14ac:dyDescent="0.3">
      <c r="A5631" s="830">
        <v>102114</v>
      </c>
      <c r="B5631" s="831" t="s">
        <v>10081</v>
      </c>
      <c r="C5631" s="830" t="s">
        <v>89</v>
      </c>
      <c r="D5631" s="832">
        <v>157.30000000000001</v>
      </c>
    </row>
    <row r="5632" spans="1:4" x14ac:dyDescent="0.3">
      <c r="A5632" s="830">
        <v>102115</v>
      </c>
      <c r="B5632" s="831" t="s">
        <v>10082</v>
      </c>
      <c r="C5632" s="830" t="s">
        <v>89</v>
      </c>
      <c r="D5632" s="832">
        <v>3528.78</v>
      </c>
    </row>
    <row r="5633" spans="1:4" x14ac:dyDescent="0.3">
      <c r="A5633" s="830">
        <v>102116</v>
      </c>
      <c r="B5633" s="831" t="s">
        <v>10083</v>
      </c>
      <c r="C5633" s="830" t="s">
        <v>89</v>
      </c>
      <c r="D5633" s="832">
        <v>2155.4899999999998</v>
      </c>
    </row>
    <row r="5634" spans="1:4" x14ac:dyDescent="0.3">
      <c r="A5634" s="830">
        <v>102117</v>
      </c>
      <c r="B5634" s="831" t="s">
        <v>10084</v>
      </c>
      <c r="C5634" s="830" t="s">
        <v>89</v>
      </c>
      <c r="D5634" s="832">
        <v>162.02000000000001</v>
      </c>
    </row>
    <row r="5635" spans="1:4" x14ac:dyDescent="0.3">
      <c r="A5635" s="830">
        <v>102118</v>
      </c>
      <c r="B5635" s="831" t="s">
        <v>10085</v>
      </c>
      <c r="C5635" s="830" t="s">
        <v>89</v>
      </c>
      <c r="D5635" s="832">
        <v>2947.61</v>
      </c>
    </row>
    <row r="5636" spans="1:4" x14ac:dyDescent="0.3">
      <c r="A5636" s="830">
        <v>102119</v>
      </c>
      <c r="B5636" s="831" t="s">
        <v>10086</v>
      </c>
      <c r="C5636" s="830" t="s">
        <v>89</v>
      </c>
      <c r="D5636" s="832">
        <v>166.09</v>
      </c>
    </row>
    <row r="5637" spans="1:4" x14ac:dyDescent="0.3">
      <c r="A5637" s="830">
        <v>102121</v>
      </c>
      <c r="B5637" s="831" t="s">
        <v>10087</v>
      </c>
      <c r="C5637" s="830" t="s">
        <v>89</v>
      </c>
      <c r="D5637" s="832">
        <v>208.57</v>
      </c>
    </row>
    <row r="5638" spans="1:4" x14ac:dyDescent="0.3">
      <c r="A5638" s="830">
        <v>102122</v>
      </c>
      <c r="B5638" s="831" t="s">
        <v>10088</v>
      </c>
      <c r="C5638" s="830" t="s">
        <v>89</v>
      </c>
      <c r="D5638" s="832">
        <v>10030.69</v>
      </c>
    </row>
    <row r="5639" spans="1:4" x14ac:dyDescent="0.3">
      <c r="A5639" s="830">
        <v>102123</v>
      </c>
      <c r="B5639" s="831" t="s">
        <v>10089</v>
      </c>
      <c r="C5639" s="830" t="s">
        <v>89</v>
      </c>
      <c r="D5639" s="832">
        <v>220.67</v>
      </c>
    </row>
    <row r="5640" spans="1:4" x14ac:dyDescent="0.3">
      <c r="A5640" s="830">
        <v>102136</v>
      </c>
      <c r="B5640" s="831" t="s">
        <v>10090</v>
      </c>
      <c r="C5640" s="830" t="s">
        <v>89</v>
      </c>
      <c r="D5640" s="832">
        <v>80.36</v>
      </c>
    </row>
    <row r="5641" spans="1:4" x14ac:dyDescent="0.3">
      <c r="A5641" s="830">
        <v>102137</v>
      </c>
      <c r="B5641" s="831" t="s">
        <v>10091</v>
      </c>
      <c r="C5641" s="830" t="s">
        <v>89</v>
      </c>
      <c r="D5641" s="832">
        <v>93.53</v>
      </c>
    </row>
    <row r="5642" spans="1:4" x14ac:dyDescent="0.3">
      <c r="A5642" s="830">
        <v>102138</v>
      </c>
      <c r="B5642" s="831" t="s">
        <v>10092</v>
      </c>
      <c r="C5642" s="830" t="s">
        <v>89</v>
      </c>
      <c r="D5642" s="832">
        <v>240.37</v>
      </c>
    </row>
    <row r="5643" spans="1:4" x14ac:dyDescent="0.3">
      <c r="A5643" s="830">
        <v>103517</v>
      </c>
      <c r="B5643" s="831" t="s">
        <v>10093</v>
      </c>
      <c r="C5643" s="830" t="s">
        <v>89</v>
      </c>
      <c r="D5643" s="832">
        <v>3601.81</v>
      </c>
    </row>
    <row r="5644" spans="1:4" x14ac:dyDescent="0.3">
      <c r="A5644" s="830">
        <v>103519</v>
      </c>
      <c r="B5644" s="831" t="s">
        <v>10094</v>
      </c>
      <c r="C5644" s="830" t="s">
        <v>89</v>
      </c>
      <c r="D5644" s="832">
        <v>12.01</v>
      </c>
    </row>
    <row r="5645" spans="1:4" x14ac:dyDescent="0.3">
      <c r="A5645" s="830">
        <v>103520</v>
      </c>
      <c r="B5645" s="831" t="s">
        <v>10095</v>
      </c>
      <c r="C5645" s="830" t="s">
        <v>89</v>
      </c>
      <c r="D5645" s="832">
        <v>5932.56</v>
      </c>
    </row>
    <row r="5646" spans="1:4" x14ac:dyDescent="0.3">
      <c r="A5646" s="830">
        <v>103521</v>
      </c>
      <c r="B5646" s="831" t="s">
        <v>10096</v>
      </c>
      <c r="C5646" s="830" t="s">
        <v>89</v>
      </c>
      <c r="D5646" s="832">
        <v>7877.36</v>
      </c>
    </row>
    <row r="5647" spans="1:4" x14ac:dyDescent="0.3">
      <c r="A5647" s="830">
        <v>103522</v>
      </c>
      <c r="B5647" s="831" t="s">
        <v>10097</v>
      </c>
      <c r="C5647" s="830" t="s">
        <v>89</v>
      </c>
      <c r="D5647" s="832">
        <v>7951.88</v>
      </c>
    </row>
    <row r="5648" spans="1:4" x14ac:dyDescent="0.3">
      <c r="A5648" s="830">
        <v>103523</v>
      </c>
      <c r="B5648" s="831" t="s">
        <v>10098</v>
      </c>
      <c r="C5648" s="830" t="s">
        <v>89</v>
      </c>
      <c r="D5648" s="832">
        <v>11959.95</v>
      </c>
    </row>
    <row r="5649" spans="1:4" x14ac:dyDescent="0.3">
      <c r="A5649" s="830">
        <v>104767</v>
      </c>
      <c r="B5649" s="831" t="s">
        <v>10099</v>
      </c>
      <c r="C5649" s="830" t="s">
        <v>89</v>
      </c>
      <c r="D5649" s="832">
        <v>0.68</v>
      </c>
    </row>
    <row r="5650" spans="1:4" x14ac:dyDescent="0.3">
      <c r="A5650" s="830">
        <v>104769</v>
      </c>
      <c r="B5650" s="831" t="s">
        <v>10100</v>
      </c>
      <c r="C5650" s="830" t="s">
        <v>89</v>
      </c>
      <c r="D5650" s="832">
        <v>1.82</v>
      </c>
    </row>
    <row r="5651" spans="1:4" x14ac:dyDescent="0.3">
      <c r="A5651" s="830">
        <v>104771</v>
      </c>
      <c r="B5651" s="831" t="s">
        <v>10101</v>
      </c>
      <c r="C5651" s="830" t="s">
        <v>89</v>
      </c>
      <c r="D5651" s="832">
        <v>2.66</v>
      </c>
    </row>
    <row r="5652" spans="1:4" x14ac:dyDescent="0.3">
      <c r="A5652" s="830">
        <v>104773</v>
      </c>
      <c r="B5652" s="831" t="s">
        <v>10102</v>
      </c>
      <c r="C5652" s="830" t="s">
        <v>89</v>
      </c>
      <c r="D5652" s="832">
        <v>2.36</v>
      </c>
    </row>
    <row r="5653" spans="1:4" x14ac:dyDescent="0.3">
      <c r="A5653" s="830">
        <v>104775</v>
      </c>
      <c r="B5653" s="831" t="s">
        <v>10103</v>
      </c>
      <c r="C5653" s="830" t="s">
        <v>89</v>
      </c>
      <c r="D5653" s="832">
        <v>6.31</v>
      </c>
    </row>
    <row r="5654" spans="1:4" x14ac:dyDescent="0.3">
      <c r="A5654" s="830">
        <v>104777</v>
      </c>
      <c r="B5654" s="831" t="s">
        <v>10104</v>
      </c>
      <c r="C5654" s="830" t="s">
        <v>89</v>
      </c>
      <c r="D5654" s="832">
        <v>9.23</v>
      </c>
    </row>
    <row r="5655" spans="1:4" x14ac:dyDescent="0.3">
      <c r="A5655" s="830">
        <v>104779</v>
      </c>
      <c r="B5655" s="831" t="s">
        <v>10105</v>
      </c>
      <c r="C5655" s="830" t="s">
        <v>194</v>
      </c>
      <c r="D5655" s="832">
        <v>5.54</v>
      </c>
    </row>
    <row r="5656" spans="1:4" x14ac:dyDescent="0.3">
      <c r="A5656" s="830">
        <v>104781</v>
      </c>
      <c r="B5656" s="831" t="s">
        <v>10106</v>
      </c>
      <c r="C5656" s="830" t="s">
        <v>194</v>
      </c>
      <c r="D5656" s="832">
        <v>6.39</v>
      </c>
    </row>
    <row r="5657" spans="1:4" x14ac:dyDescent="0.3">
      <c r="A5657" s="830">
        <v>104782</v>
      </c>
      <c r="B5657" s="831" t="s">
        <v>10107</v>
      </c>
      <c r="C5657" s="830" t="s">
        <v>89</v>
      </c>
      <c r="D5657" s="832">
        <v>48.78</v>
      </c>
    </row>
    <row r="5658" spans="1:4" x14ac:dyDescent="0.3">
      <c r="A5658" s="830">
        <v>104783</v>
      </c>
      <c r="B5658" s="831" t="s">
        <v>10108</v>
      </c>
      <c r="C5658" s="830" t="s">
        <v>89</v>
      </c>
      <c r="D5658" s="832">
        <v>5.32</v>
      </c>
    </row>
    <row r="5659" spans="1:4" x14ac:dyDescent="0.3">
      <c r="A5659" s="830">
        <v>104784</v>
      </c>
      <c r="B5659" s="831" t="s">
        <v>10109</v>
      </c>
      <c r="C5659" s="830" t="s">
        <v>89</v>
      </c>
      <c r="D5659" s="832">
        <v>14.6</v>
      </c>
    </row>
    <row r="5660" spans="1:4" x14ac:dyDescent="0.3">
      <c r="A5660" s="830">
        <v>104786</v>
      </c>
      <c r="B5660" s="831" t="s">
        <v>10110</v>
      </c>
      <c r="C5660" s="830" t="s">
        <v>194</v>
      </c>
      <c r="D5660" s="832">
        <v>6.61</v>
      </c>
    </row>
    <row r="5661" spans="1:4" x14ac:dyDescent="0.3">
      <c r="A5661" s="830">
        <v>104787</v>
      </c>
      <c r="B5661" s="831" t="s">
        <v>10111</v>
      </c>
      <c r="C5661" s="830" t="s">
        <v>194</v>
      </c>
      <c r="D5661" s="832">
        <v>8.7899999999999991</v>
      </c>
    </row>
    <row r="5662" spans="1:4" x14ac:dyDescent="0.3">
      <c r="A5662" s="830">
        <v>104788</v>
      </c>
      <c r="B5662" s="831" t="s">
        <v>10112</v>
      </c>
      <c r="C5662" s="830" t="s">
        <v>194</v>
      </c>
      <c r="D5662" s="832">
        <v>11.67</v>
      </c>
    </row>
    <row r="5663" spans="1:4" x14ac:dyDescent="0.3">
      <c r="A5663" s="830">
        <v>104031</v>
      </c>
      <c r="B5663" s="831" t="s">
        <v>10113</v>
      </c>
      <c r="C5663" s="830" t="s">
        <v>89</v>
      </c>
      <c r="D5663" s="832">
        <v>20.09</v>
      </c>
    </row>
    <row r="5664" spans="1:4" x14ac:dyDescent="0.3">
      <c r="A5664" s="830">
        <v>104032</v>
      </c>
      <c r="B5664" s="831" t="s">
        <v>10114</v>
      </c>
      <c r="C5664" s="830" t="s">
        <v>89</v>
      </c>
      <c r="D5664" s="832">
        <v>25.16</v>
      </c>
    </row>
    <row r="5665" spans="1:4" x14ac:dyDescent="0.3">
      <c r="A5665" s="830">
        <v>104033</v>
      </c>
      <c r="B5665" s="831" t="s">
        <v>10115</v>
      </c>
      <c r="C5665" s="830" t="s">
        <v>89</v>
      </c>
      <c r="D5665" s="832">
        <v>22.99</v>
      </c>
    </row>
    <row r="5666" spans="1:4" x14ac:dyDescent="0.3">
      <c r="A5666" s="830">
        <v>104034</v>
      </c>
      <c r="B5666" s="831" t="s">
        <v>10116</v>
      </c>
      <c r="C5666" s="830" t="s">
        <v>89</v>
      </c>
      <c r="D5666" s="832">
        <v>29.85</v>
      </c>
    </row>
    <row r="5667" spans="1:4" x14ac:dyDescent="0.3">
      <c r="A5667" s="830">
        <v>104035</v>
      </c>
      <c r="B5667" s="831" t="s">
        <v>10117</v>
      </c>
      <c r="C5667" s="830" t="s">
        <v>89</v>
      </c>
      <c r="D5667" s="832">
        <v>38.630000000000003</v>
      </c>
    </row>
    <row r="5668" spans="1:4" x14ac:dyDescent="0.3">
      <c r="A5668" s="830">
        <v>104036</v>
      </c>
      <c r="B5668" s="831" t="s">
        <v>10118</v>
      </c>
      <c r="C5668" s="830" t="s">
        <v>89</v>
      </c>
      <c r="D5668" s="832">
        <v>39.869999999999997</v>
      </c>
    </row>
    <row r="5669" spans="1:4" x14ac:dyDescent="0.3">
      <c r="A5669" s="830">
        <v>104039</v>
      </c>
      <c r="B5669" s="831" t="s">
        <v>10119</v>
      </c>
      <c r="C5669" s="830" t="s">
        <v>89</v>
      </c>
      <c r="D5669" s="832">
        <v>73.03</v>
      </c>
    </row>
    <row r="5670" spans="1:4" x14ac:dyDescent="0.3">
      <c r="A5670" s="830">
        <v>104043</v>
      </c>
      <c r="B5670" s="831" t="s">
        <v>10120</v>
      </c>
      <c r="C5670" s="830" t="s">
        <v>89</v>
      </c>
      <c r="D5670" s="832">
        <v>8.5399999999999991</v>
      </c>
    </row>
    <row r="5671" spans="1:4" x14ac:dyDescent="0.3">
      <c r="A5671" s="830">
        <v>104044</v>
      </c>
      <c r="B5671" s="831" t="s">
        <v>10121</v>
      </c>
      <c r="C5671" s="830" t="s">
        <v>89</v>
      </c>
      <c r="D5671" s="832">
        <v>9.1199999999999992</v>
      </c>
    </row>
    <row r="5672" spans="1:4" x14ac:dyDescent="0.3">
      <c r="A5672" s="830">
        <v>104045</v>
      </c>
      <c r="B5672" s="831" t="s">
        <v>10122</v>
      </c>
      <c r="C5672" s="830" t="s">
        <v>89</v>
      </c>
      <c r="D5672" s="832">
        <v>14.15</v>
      </c>
    </row>
    <row r="5673" spans="1:4" x14ac:dyDescent="0.3">
      <c r="A5673" s="830">
        <v>104046</v>
      </c>
      <c r="B5673" s="831" t="s">
        <v>10123</v>
      </c>
      <c r="C5673" s="830" t="s">
        <v>89</v>
      </c>
      <c r="D5673" s="832">
        <v>8.17</v>
      </c>
    </row>
    <row r="5674" spans="1:4" x14ac:dyDescent="0.3">
      <c r="A5674" s="830">
        <v>104047</v>
      </c>
      <c r="B5674" s="831" t="s">
        <v>10124</v>
      </c>
      <c r="C5674" s="830" t="s">
        <v>89</v>
      </c>
      <c r="D5674" s="832">
        <v>9.49</v>
      </c>
    </row>
    <row r="5675" spans="1:4" x14ac:dyDescent="0.3">
      <c r="A5675" s="830">
        <v>104048</v>
      </c>
      <c r="B5675" s="831" t="s">
        <v>10125</v>
      </c>
      <c r="C5675" s="830" t="s">
        <v>89</v>
      </c>
      <c r="D5675" s="832">
        <v>13.82</v>
      </c>
    </row>
    <row r="5676" spans="1:4" x14ac:dyDescent="0.3">
      <c r="A5676" s="830">
        <v>104049</v>
      </c>
      <c r="B5676" s="831" t="s">
        <v>10126</v>
      </c>
      <c r="C5676" s="830" t="s">
        <v>89</v>
      </c>
      <c r="D5676" s="832">
        <v>6.07</v>
      </c>
    </row>
    <row r="5677" spans="1:4" x14ac:dyDescent="0.3">
      <c r="A5677" s="830">
        <v>104050</v>
      </c>
      <c r="B5677" s="831" t="s">
        <v>10127</v>
      </c>
      <c r="C5677" s="830" t="s">
        <v>89</v>
      </c>
      <c r="D5677" s="832">
        <v>9.08</v>
      </c>
    </row>
    <row r="5678" spans="1:4" x14ac:dyDescent="0.3">
      <c r="A5678" s="830">
        <v>104051</v>
      </c>
      <c r="B5678" s="831" t="s">
        <v>10128</v>
      </c>
      <c r="C5678" s="830" t="s">
        <v>89</v>
      </c>
      <c r="D5678" s="832">
        <v>7.63</v>
      </c>
    </row>
    <row r="5679" spans="1:4" x14ac:dyDescent="0.3">
      <c r="A5679" s="830">
        <v>104052</v>
      </c>
      <c r="B5679" s="831" t="s">
        <v>10129</v>
      </c>
      <c r="C5679" s="830" t="s">
        <v>89</v>
      </c>
      <c r="D5679" s="832">
        <v>10.68</v>
      </c>
    </row>
    <row r="5680" spans="1:4" x14ac:dyDescent="0.3">
      <c r="A5680" s="830">
        <v>104053</v>
      </c>
      <c r="B5680" s="831" t="s">
        <v>10130</v>
      </c>
      <c r="C5680" s="830" t="s">
        <v>89</v>
      </c>
      <c r="D5680" s="832">
        <v>8.84</v>
      </c>
    </row>
    <row r="5681" spans="1:4" x14ac:dyDescent="0.3">
      <c r="A5681" s="830">
        <v>104054</v>
      </c>
      <c r="B5681" s="831" t="s">
        <v>10131</v>
      </c>
      <c r="C5681" s="830" t="s">
        <v>89</v>
      </c>
      <c r="D5681" s="832">
        <v>17.329999999999998</v>
      </c>
    </row>
    <row r="5682" spans="1:4" x14ac:dyDescent="0.3">
      <c r="A5682" s="830">
        <v>104055</v>
      </c>
      <c r="B5682" s="831" t="s">
        <v>10132</v>
      </c>
      <c r="C5682" s="830" t="s">
        <v>89</v>
      </c>
      <c r="D5682" s="832">
        <v>16.510000000000002</v>
      </c>
    </row>
    <row r="5683" spans="1:4" x14ac:dyDescent="0.3">
      <c r="A5683" s="830">
        <v>104056</v>
      </c>
      <c r="B5683" s="831" t="s">
        <v>10133</v>
      </c>
      <c r="C5683" s="830" t="s">
        <v>89</v>
      </c>
      <c r="D5683" s="832">
        <v>24.78</v>
      </c>
    </row>
    <row r="5684" spans="1:4" x14ac:dyDescent="0.3">
      <c r="A5684" s="830">
        <v>104058</v>
      </c>
      <c r="B5684" s="831" t="s">
        <v>10134</v>
      </c>
      <c r="C5684" s="830" t="s">
        <v>89</v>
      </c>
      <c r="D5684" s="832">
        <v>7.02</v>
      </c>
    </row>
    <row r="5685" spans="1:4" x14ac:dyDescent="0.3">
      <c r="A5685" s="830">
        <v>104059</v>
      </c>
      <c r="B5685" s="831" t="s">
        <v>10135</v>
      </c>
      <c r="C5685" s="830" t="s">
        <v>89</v>
      </c>
      <c r="D5685" s="832">
        <v>11.16</v>
      </c>
    </row>
    <row r="5686" spans="1:4" x14ac:dyDescent="0.3">
      <c r="A5686" s="830">
        <v>104060</v>
      </c>
      <c r="B5686" s="831" t="s">
        <v>10136</v>
      </c>
      <c r="C5686" s="830" t="s">
        <v>194</v>
      </c>
      <c r="D5686" s="832">
        <v>8.85</v>
      </c>
    </row>
    <row r="5687" spans="1:4" x14ac:dyDescent="0.3">
      <c r="A5687" s="830">
        <v>104061</v>
      </c>
      <c r="B5687" s="831" t="s">
        <v>10137</v>
      </c>
      <c r="C5687" s="830" t="s">
        <v>194</v>
      </c>
      <c r="D5687" s="832">
        <v>15.79</v>
      </c>
    </row>
    <row r="5688" spans="1:4" x14ac:dyDescent="0.3">
      <c r="A5688" s="830">
        <v>104062</v>
      </c>
      <c r="B5688" s="831" t="s">
        <v>10138</v>
      </c>
      <c r="C5688" s="830" t="s">
        <v>89</v>
      </c>
      <c r="D5688" s="832">
        <v>73.72</v>
      </c>
    </row>
    <row r="5689" spans="1:4" x14ac:dyDescent="0.3">
      <c r="A5689" s="830">
        <v>104063</v>
      </c>
      <c r="B5689" s="831" t="s">
        <v>10139</v>
      </c>
      <c r="C5689" s="830" t="s">
        <v>89</v>
      </c>
      <c r="D5689" s="832">
        <v>70.09</v>
      </c>
    </row>
    <row r="5690" spans="1:4" x14ac:dyDescent="0.3">
      <c r="A5690" s="830">
        <v>104064</v>
      </c>
      <c r="B5690" s="831" t="s">
        <v>10140</v>
      </c>
      <c r="C5690" s="830" t="s">
        <v>89</v>
      </c>
      <c r="D5690" s="832">
        <v>178.77</v>
      </c>
    </row>
    <row r="5691" spans="1:4" x14ac:dyDescent="0.3">
      <c r="A5691" s="830">
        <v>104065</v>
      </c>
      <c r="B5691" s="831" t="s">
        <v>10141</v>
      </c>
      <c r="C5691" s="830" t="s">
        <v>89</v>
      </c>
      <c r="D5691" s="832">
        <v>151.41</v>
      </c>
    </row>
    <row r="5692" spans="1:4" x14ac:dyDescent="0.3">
      <c r="A5692" s="830">
        <v>104072</v>
      </c>
      <c r="B5692" s="831" t="s">
        <v>10142</v>
      </c>
      <c r="C5692" s="830" t="s">
        <v>89</v>
      </c>
      <c r="D5692" s="832">
        <v>277.16000000000003</v>
      </c>
    </row>
    <row r="5693" spans="1:4" x14ac:dyDescent="0.3">
      <c r="A5693" s="830">
        <v>104076</v>
      </c>
      <c r="B5693" s="831" t="s">
        <v>10143</v>
      </c>
      <c r="C5693" s="830" t="s">
        <v>89</v>
      </c>
      <c r="D5693" s="832">
        <v>47.13</v>
      </c>
    </row>
    <row r="5694" spans="1:4" x14ac:dyDescent="0.3">
      <c r="A5694" s="830">
        <v>104082</v>
      </c>
      <c r="B5694" s="831" t="s">
        <v>10144</v>
      </c>
      <c r="C5694" s="830" t="s">
        <v>89</v>
      </c>
      <c r="D5694" s="832">
        <v>30.32</v>
      </c>
    </row>
    <row r="5695" spans="1:4" x14ac:dyDescent="0.3">
      <c r="A5695" s="830">
        <v>104083</v>
      </c>
      <c r="B5695" s="831" t="s">
        <v>10145</v>
      </c>
      <c r="C5695" s="830" t="s">
        <v>89</v>
      </c>
      <c r="D5695" s="832">
        <v>72.97</v>
      </c>
    </row>
    <row r="5696" spans="1:4" x14ac:dyDescent="0.3">
      <c r="A5696" s="830">
        <v>104084</v>
      </c>
      <c r="B5696" s="831" t="s">
        <v>10146</v>
      </c>
      <c r="C5696" s="830" t="s">
        <v>89</v>
      </c>
      <c r="D5696" s="832">
        <v>83.29</v>
      </c>
    </row>
    <row r="5697" spans="1:4" x14ac:dyDescent="0.3">
      <c r="A5697" s="830">
        <v>104085</v>
      </c>
      <c r="B5697" s="831" t="s">
        <v>10147</v>
      </c>
      <c r="C5697" s="830" t="s">
        <v>194</v>
      </c>
      <c r="D5697" s="832">
        <v>55.51</v>
      </c>
    </row>
    <row r="5698" spans="1:4" x14ac:dyDescent="0.3">
      <c r="A5698" s="830">
        <v>104086</v>
      </c>
      <c r="B5698" s="831" t="s">
        <v>10148</v>
      </c>
      <c r="C5698" s="830" t="s">
        <v>194</v>
      </c>
      <c r="D5698" s="832">
        <v>98.99</v>
      </c>
    </row>
    <row r="5699" spans="1:4" x14ac:dyDescent="0.3">
      <c r="A5699" s="830">
        <v>104947</v>
      </c>
      <c r="B5699" s="831" t="s">
        <v>10149</v>
      </c>
      <c r="C5699" s="830" t="s">
        <v>5247</v>
      </c>
      <c r="D5699" s="832">
        <v>11.72</v>
      </c>
    </row>
    <row r="5700" spans="1:4" x14ac:dyDescent="0.3">
      <c r="A5700" s="830">
        <v>104948</v>
      </c>
      <c r="B5700" s="831" t="s">
        <v>10150</v>
      </c>
      <c r="C5700" s="830" t="s">
        <v>5247</v>
      </c>
      <c r="D5700" s="832">
        <v>5.15</v>
      </c>
    </row>
    <row r="5701" spans="1:4" x14ac:dyDescent="0.3">
      <c r="A5701" s="830">
        <v>104949</v>
      </c>
      <c r="B5701" s="831" t="s">
        <v>10151</v>
      </c>
      <c r="C5701" s="830" t="s">
        <v>5247</v>
      </c>
      <c r="D5701" s="832">
        <v>9.66</v>
      </c>
    </row>
    <row r="5702" spans="1:4" x14ac:dyDescent="0.3">
      <c r="A5702" s="830">
        <v>96520</v>
      </c>
      <c r="B5702" s="831" t="s">
        <v>10152</v>
      </c>
      <c r="C5702" s="830" t="s">
        <v>5247</v>
      </c>
      <c r="D5702" s="832">
        <v>94.23</v>
      </c>
    </row>
    <row r="5703" spans="1:4" x14ac:dyDescent="0.3">
      <c r="A5703" s="830">
        <v>96521</v>
      </c>
      <c r="B5703" s="831" t="s">
        <v>10153</v>
      </c>
      <c r="C5703" s="830" t="s">
        <v>5247</v>
      </c>
      <c r="D5703" s="832">
        <v>40.82</v>
      </c>
    </row>
    <row r="5704" spans="1:4" x14ac:dyDescent="0.3">
      <c r="A5704" s="830">
        <v>96522</v>
      </c>
      <c r="B5704" s="831" t="s">
        <v>10154</v>
      </c>
      <c r="C5704" s="830" t="s">
        <v>5247</v>
      </c>
      <c r="D5704" s="832">
        <v>156.25</v>
      </c>
    </row>
    <row r="5705" spans="1:4" x14ac:dyDescent="0.3">
      <c r="A5705" s="830">
        <v>96523</v>
      </c>
      <c r="B5705" s="831" t="s">
        <v>10155</v>
      </c>
      <c r="C5705" s="830" t="s">
        <v>5247</v>
      </c>
      <c r="D5705" s="832">
        <v>103.18</v>
      </c>
    </row>
    <row r="5706" spans="1:4" x14ac:dyDescent="0.3">
      <c r="A5706" s="830">
        <v>96524</v>
      </c>
      <c r="B5706" s="831" t="s">
        <v>10156</v>
      </c>
      <c r="C5706" s="830" t="s">
        <v>5247</v>
      </c>
      <c r="D5706" s="832">
        <v>163.24</v>
      </c>
    </row>
    <row r="5707" spans="1:4" x14ac:dyDescent="0.3">
      <c r="A5707" s="830">
        <v>96525</v>
      </c>
      <c r="B5707" s="831" t="s">
        <v>10157</v>
      </c>
      <c r="C5707" s="830" t="s">
        <v>5247</v>
      </c>
      <c r="D5707" s="832">
        <v>57.67</v>
      </c>
    </row>
    <row r="5708" spans="1:4" x14ac:dyDescent="0.3">
      <c r="A5708" s="830">
        <v>96526</v>
      </c>
      <c r="B5708" s="831" t="s">
        <v>10158</v>
      </c>
      <c r="C5708" s="830" t="s">
        <v>5247</v>
      </c>
      <c r="D5708" s="832">
        <v>223.86</v>
      </c>
    </row>
    <row r="5709" spans="1:4" x14ac:dyDescent="0.3">
      <c r="A5709" s="830">
        <v>96527</v>
      </c>
      <c r="B5709" s="831" t="s">
        <v>10159</v>
      </c>
      <c r="C5709" s="830" t="s">
        <v>5247</v>
      </c>
      <c r="D5709" s="832">
        <v>113.47</v>
      </c>
    </row>
    <row r="5710" spans="1:4" x14ac:dyDescent="0.3">
      <c r="A5710" s="830">
        <v>96528</v>
      </c>
      <c r="B5710" s="831" t="s">
        <v>10160</v>
      </c>
      <c r="C5710" s="830" t="s">
        <v>252</v>
      </c>
      <c r="D5710" s="832">
        <v>155.96</v>
      </c>
    </row>
    <row r="5711" spans="1:4" x14ac:dyDescent="0.3">
      <c r="A5711" s="830">
        <v>101114</v>
      </c>
      <c r="B5711" s="831" t="s">
        <v>10161</v>
      </c>
      <c r="C5711" s="830" t="s">
        <v>5247</v>
      </c>
      <c r="D5711" s="832">
        <v>4.41</v>
      </c>
    </row>
    <row r="5712" spans="1:4" x14ac:dyDescent="0.3">
      <c r="A5712" s="830">
        <v>101115</v>
      </c>
      <c r="B5712" s="831" t="s">
        <v>10162</v>
      </c>
      <c r="C5712" s="830" t="s">
        <v>5247</v>
      </c>
      <c r="D5712" s="832">
        <v>3.71</v>
      </c>
    </row>
    <row r="5713" spans="1:4" x14ac:dyDescent="0.3">
      <c r="A5713" s="830">
        <v>101116</v>
      </c>
      <c r="B5713" s="831" t="s">
        <v>10163</v>
      </c>
      <c r="C5713" s="830" t="s">
        <v>5247</v>
      </c>
      <c r="D5713" s="832">
        <v>2.3199999999999998</v>
      </c>
    </row>
    <row r="5714" spans="1:4" x14ac:dyDescent="0.3">
      <c r="A5714" s="830">
        <v>101117</v>
      </c>
      <c r="B5714" s="831" t="s">
        <v>10164</v>
      </c>
      <c r="C5714" s="830" t="s">
        <v>5247</v>
      </c>
      <c r="D5714" s="832">
        <v>3.34</v>
      </c>
    </row>
    <row r="5715" spans="1:4" x14ac:dyDescent="0.3">
      <c r="A5715" s="830">
        <v>101118</v>
      </c>
      <c r="B5715" s="831" t="s">
        <v>10165</v>
      </c>
      <c r="C5715" s="830" t="s">
        <v>5247</v>
      </c>
      <c r="D5715" s="832">
        <v>3.79</v>
      </c>
    </row>
    <row r="5716" spans="1:4" x14ac:dyDescent="0.3">
      <c r="A5716" s="830">
        <v>101119</v>
      </c>
      <c r="B5716" s="831" t="s">
        <v>10166</v>
      </c>
      <c r="C5716" s="830" t="s">
        <v>5247</v>
      </c>
      <c r="D5716" s="832">
        <v>8.42</v>
      </c>
    </row>
    <row r="5717" spans="1:4" x14ac:dyDescent="0.3">
      <c r="A5717" s="830">
        <v>101120</v>
      </c>
      <c r="B5717" s="831" t="s">
        <v>10167</v>
      </c>
      <c r="C5717" s="830" t="s">
        <v>5247</v>
      </c>
      <c r="D5717" s="832">
        <v>7.12</v>
      </c>
    </row>
    <row r="5718" spans="1:4" x14ac:dyDescent="0.3">
      <c r="A5718" s="830">
        <v>101121</v>
      </c>
      <c r="B5718" s="831" t="s">
        <v>10168</v>
      </c>
      <c r="C5718" s="830" t="s">
        <v>5247</v>
      </c>
      <c r="D5718" s="832">
        <v>4.45</v>
      </c>
    </row>
    <row r="5719" spans="1:4" x14ac:dyDescent="0.3">
      <c r="A5719" s="830">
        <v>101122</v>
      </c>
      <c r="B5719" s="831" t="s">
        <v>10169</v>
      </c>
      <c r="C5719" s="830" t="s">
        <v>5247</v>
      </c>
      <c r="D5719" s="832">
        <v>6.36</v>
      </c>
    </row>
    <row r="5720" spans="1:4" x14ac:dyDescent="0.3">
      <c r="A5720" s="830">
        <v>101123</v>
      </c>
      <c r="B5720" s="831" t="s">
        <v>10170</v>
      </c>
      <c r="C5720" s="830" t="s">
        <v>5247</v>
      </c>
      <c r="D5720" s="832">
        <v>7.25</v>
      </c>
    </row>
    <row r="5721" spans="1:4" x14ac:dyDescent="0.3">
      <c r="A5721" s="830">
        <v>101124</v>
      </c>
      <c r="B5721" s="831" t="s">
        <v>10171</v>
      </c>
      <c r="C5721" s="830" t="s">
        <v>5247</v>
      </c>
      <c r="D5721" s="832">
        <v>14.98</v>
      </c>
    </row>
    <row r="5722" spans="1:4" x14ac:dyDescent="0.3">
      <c r="A5722" s="830">
        <v>101125</v>
      </c>
      <c r="B5722" s="831" t="s">
        <v>10172</v>
      </c>
      <c r="C5722" s="830" t="s">
        <v>5247</v>
      </c>
      <c r="D5722" s="832">
        <v>14.28</v>
      </c>
    </row>
    <row r="5723" spans="1:4" x14ac:dyDescent="0.3">
      <c r="A5723" s="830">
        <v>101126</v>
      </c>
      <c r="B5723" s="831" t="s">
        <v>10173</v>
      </c>
      <c r="C5723" s="830" t="s">
        <v>5247</v>
      </c>
      <c r="D5723" s="832">
        <v>12.89</v>
      </c>
    </row>
    <row r="5724" spans="1:4" x14ac:dyDescent="0.3">
      <c r="A5724" s="830">
        <v>101127</v>
      </c>
      <c r="B5724" s="831" t="s">
        <v>10174</v>
      </c>
      <c r="C5724" s="830" t="s">
        <v>5247</v>
      </c>
      <c r="D5724" s="832">
        <v>13.91</v>
      </c>
    </row>
    <row r="5725" spans="1:4" x14ac:dyDescent="0.3">
      <c r="A5725" s="830">
        <v>101128</v>
      </c>
      <c r="B5725" s="831" t="s">
        <v>10175</v>
      </c>
      <c r="C5725" s="830" t="s">
        <v>5247</v>
      </c>
      <c r="D5725" s="832">
        <v>14.36</v>
      </c>
    </row>
    <row r="5726" spans="1:4" x14ac:dyDescent="0.3">
      <c r="A5726" s="830">
        <v>101129</v>
      </c>
      <c r="B5726" s="831" t="s">
        <v>10176</v>
      </c>
      <c r="C5726" s="830" t="s">
        <v>5247</v>
      </c>
      <c r="D5726" s="832">
        <v>19.41</v>
      </c>
    </row>
    <row r="5727" spans="1:4" x14ac:dyDescent="0.3">
      <c r="A5727" s="830">
        <v>101130</v>
      </c>
      <c r="B5727" s="831" t="s">
        <v>10177</v>
      </c>
      <c r="C5727" s="830" t="s">
        <v>5247</v>
      </c>
      <c r="D5727" s="832">
        <v>18.11</v>
      </c>
    </row>
    <row r="5728" spans="1:4" x14ac:dyDescent="0.3">
      <c r="A5728" s="830">
        <v>101131</v>
      </c>
      <c r="B5728" s="831" t="s">
        <v>10178</v>
      </c>
      <c r="C5728" s="830" t="s">
        <v>5247</v>
      </c>
      <c r="D5728" s="832">
        <v>15.44</v>
      </c>
    </row>
    <row r="5729" spans="1:4" x14ac:dyDescent="0.3">
      <c r="A5729" s="830">
        <v>101132</v>
      </c>
      <c r="B5729" s="831" t="s">
        <v>10179</v>
      </c>
      <c r="C5729" s="830" t="s">
        <v>5247</v>
      </c>
      <c r="D5729" s="832">
        <v>17.350000000000001</v>
      </c>
    </row>
    <row r="5730" spans="1:4" x14ac:dyDescent="0.3">
      <c r="A5730" s="830">
        <v>101133</v>
      </c>
      <c r="B5730" s="831" t="s">
        <v>10180</v>
      </c>
      <c r="C5730" s="830" t="s">
        <v>5247</v>
      </c>
      <c r="D5730" s="832">
        <v>18.239999999999998</v>
      </c>
    </row>
    <row r="5731" spans="1:4" x14ac:dyDescent="0.3">
      <c r="A5731" s="830">
        <v>101134</v>
      </c>
      <c r="B5731" s="831" t="s">
        <v>10181</v>
      </c>
      <c r="C5731" s="830" t="s">
        <v>5247</v>
      </c>
      <c r="D5731" s="832">
        <v>15.65</v>
      </c>
    </row>
    <row r="5732" spans="1:4" x14ac:dyDescent="0.3">
      <c r="A5732" s="830">
        <v>101135</v>
      </c>
      <c r="B5732" s="831" t="s">
        <v>10182</v>
      </c>
      <c r="C5732" s="830" t="s">
        <v>5247</v>
      </c>
      <c r="D5732" s="832">
        <v>14.95</v>
      </c>
    </row>
    <row r="5733" spans="1:4" x14ac:dyDescent="0.3">
      <c r="A5733" s="830">
        <v>101136</v>
      </c>
      <c r="B5733" s="831" t="s">
        <v>10183</v>
      </c>
      <c r="C5733" s="830" t="s">
        <v>5247</v>
      </c>
      <c r="D5733" s="832">
        <v>13.56</v>
      </c>
    </row>
    <row r="5734" spans="1:4" x14ac:dyDescent="0.3">
      <c r="A5734" s="830">
        <v>101137</v>
      </c>
      <c r="B5734" s="831" t="s">
        <v>10184</v>
      </c>
      <c r="C5734" s="830" t="s">
        <v>5247</v>
      </c>
      <c r="D5734" s="832">
        <v>14.58</v>
      </c>
    </row>
    <row r="5735" spans="1:4" x14ac:dyDescent="0.3">
      <c r="A5735" s="830">
        <v>101138</v>
      </c>
      <c r="B5735" s="831" t="s">
        <v>10185</v>
      </c>
      <c r="C5735" s="830" t="s">
        <v>5247</v>
      </c>
      <c r="D5735" s="832">
        <v>15.03</v>
      </c>
    </row>
    <row r="5736" spans="1:4" x14ac:dyDescent="0.3">
      <c r="A5736" s="830">
        <v>101139</v>
      </c>
      <c r="B5736" s="831" t="s">
        <v>10186</v>
      </c>
      <c r="C5736" s="830" t="s">
        <v>5247</v>
      </c>
      <c r="D5736" s="832">
        <v>20.11</v>
      </c>
    </row>
    <row r="5737" spans="1:4" x14ac:dyDescent="0.3">
      <c r="A5737" s="830">
        <v>101140</v>
      </c>
      <c r="B5737" s="831" t="s">
        <v>10187</v>
      </c>
      <c r="C5737" s="830" t="s">
        <v>5247</v>
      </c>
      <c r="D5737" s="832">
        <v>18.809999999999999</v>
      </c>
    </row>
    <row r="5738" spans="1:4" x14ac:dyDescent="0.3">
      <c r="A5738" s="830">
        <v>101141</v>
      </c>
      <c r="B5738" s="831" t="s">
        <v>10188</v>
      </c>
      <c r="C5738" s="830" t="s">
        <v>5247</v>
      </c>
      <c r="D5738" s="832">
        <v>16.14</v>
      </c>
    </row>
    <row r="5739" spans="1:4" x14ac:dyDescent="0.3">
      <c r="A5739" s="830">
        <v>101142</v>
      </c>
      <c r="B5739" s="831" t="s">
        <v>10189</v>
      </c>
      <c r="C5739" s="830" t="s">
        <v>5247</v>
      </c>
      <c r="D5739" s="832">
        <v>18.05</v>
      </c>
    </row>
    <row r="5740" spans="1:4" x14ac:dyDescent="0.3">
      <c r="A5740" s="830">
        <v>101143</v>
      </c>
      <c r="B5740" s="831" t="s">
        <v>10190</v>
      </c>
      <c r="C5740" s="830" t="s">
        <v>5247</v>
      </c>
      <c r="D5740" s="832">
        <v>18.940000000000001</v>
      </c>
    </row>
    <row r="5741" spans="1:4" x14ac:dyDescent="0.3">
      <c r="A5741" s="830">
        <v>101144</v>
      </c>
      <c r="B5741" s="831" t="s">
        <v>10191</v>
      </c>
      <c r="C5741" s="830" t="s">
        <v>5247</v>
      </c>
      <c r="D5741" s="832">
        <v>15.77</v>
      </c>
    </row>
    <row r="5742" spans="1:4" x14ac:dyDescent="0.3">
      <c r="A5742" s="830">
        <v>101145</v>
      </c>
      <c r="B5742" s="831" t="s">
        <v>10192</v>
      </c>
      <c r="C5742" s="830" t="s">
        <v>5247</v>
      </c>
      <c r="D5742" s="832">
        <v>15.07</v>
      </c>
    </row>
    <row r="5743" spans="1:4" x14ac:dyDescent="0.3">
      <c r="A5743" s="830">
        <v>101146</v>
      </c>
      <c r="B5743" s="831" t="s">
        <v>562</v>
      </c>
      <c r="C5743" s="830" t="s">
        <v>5247</v>
      </c>
      <c r="D5743" s="832">
        <v>13.68</v>
      </c>
    </row>
    <row r="5744" spans="1:4" x14ac:dyDescent="0.3">
      <c r="A5744" s="830">
        <v>101147</v>
      </c>
      <c r="B5744" s="831" t="s">
        <v>10193</v>
      </c>
      <c r="C5744" s="830" t="s">
        <v>5247</v>
      </c>
      <c r="D5744" s="832">
        <v>14.7</v>
      </c>
    </row>
    <row r="5745" spans="1:4" x14ac:dyDescent="0.3">
      <c r="A5745" s="830">
        <v>101148</v>
      </c>
      <c r="B5745" s="831" t="s">
        <v>10194</v>
      </c>
      <c r="C5745" s="830" t="s">
        <v>5247</v>
      </c>
      <c r="D5745" s="832">
        <v>15.15</v>
      </c>
    </row>
    <row r="5746" spans="1:4" x14ac:dyDescent="0.3">
      <c r="A5746" s="830">
        <v>101149</v>
      </c>
      <c r="B5746" s="831" t="s">
        <v>10195</v>
      </c>
      <c r="C5746" s="830" t="s">
        <v>5247</v>
      </c>
      <c r="D5746" s="832">
        <v>20.23</v>
      </c>
    </row>
    <row r="5747" spans="1:4" x14ac:dyDescent="0.3">
      <c r="A5747" s="830">
        <v>101150</v>
      </c>
      <c r="B5747" s="831" t="s">
        <v>10196</v>
      </c>
      <c r="C5747" s="830" t="s">
        <v>5247</v>
      </c>
      <c r="D5747" s="832">
        <v>18.93</v>
      </c>
    </row>
    <row r="5748" spans="1:4" x14ac:dyDescent="0.3">
      <c r="A5748" s="830">
        <v>101151</v>
      </c>
      <c r="B5748" s="831" t="s">
        <v>10197</v>
      </c>
      <c r="C5748" s="830" t="s">
        <v>5247</v>
      </c>
      <c r="D5748" s="832">
        <v>16.260000000000002</v>
      </c>
    </row>
    <row r="5749" spans="1:4" x14ac:dyDescent="0.3">
      <c r="A5749" s="830">
        <v>101152</v>
      </c>
      <c r="B5749" s="831" t="s">
        <v>10198</v>
      </c>
      <c r="C5749" s="830" t="s">
        <v>5247</v>
      </c>
      <c r="D5749" s="832">
        <v>18.170000000000002</v>
      </c>
    </row>
    <row r="5750" spans="1:4" x14ac:dyDescent="0.3">
      <c r="A5750" s="830">
        <v>101153</v>
      </c>
      <c r="B5750" s="831" t="s">
        <v>10199</v>
      </c>
      <c r="C5750" s="830" t="s">
        <v>5247</v>
      </c>
      <c r="D5750" s="832">
        <v>19.059999999999999</v>
      </c>
    </row>
    <row r="5751" spans="1:4" x14ac:dyDescent="0.3">
      <c r="A5751" s="830">
        <v>101206</v>
      </c>
      <c r="B5751" s="831" t="s">
        <v>10200</v>
      </c>
      <c r="C5751" s="830" t="s">
        <v>5247</v>
      </c>
      <c r="D5751" s="832">
        <v>12.84</v>
      </c>
    </row>
    <row r="5752" spans="1:4" x14ac:dyDescent="0.3">
      <c r="A5752" s="830">
        <v>101207</v>
      </c>
      <c r="B5752" s="831" t="s">
        <v>10201</v>
      </c>
      <c r="C5752" s="830" t="s">
        <v>5247</v>
      </c>
      <c r="D5752" s="832">
        <v>11.04</v>
      </c>
    </row>
    <row r="5753" spans="1:4" x14ac:dyDescent="0.3">
      <c r="A5753" s="830">
        <v>101208</v>
      </c>
      <c r="B5753" s="831" t="s">
        <v>10202</v>
      </c>
      <c r="C5753" s="830" t="s">
        <v>5247</v>
      </c>
      <c r="D5753" s="832">
        <v>10.85</v>
      </c>
    </row>
    <row r="5754" spans="1:4" x14ac:dyDescent="0.3">
      <c r="A5754" s="830">
        <v>101209</v>
      </c>
      <c r="B5754" s="831" t="s">
        <v>10203</v>
      </c>
      <c r="C5754" s="830" t="s">
        <v>5247</v>
      </c>
      <c r="D5754" s="832">
        <v>10.06</v>
      </c>
    </row>
    <row r="5755" spans="1:4" x14ac:dyDescent="0.3">
      <c r="A5755" s="830">
        <v>101210</v>
      </c>
      <c r="B5755" s="831" t="s">
        <v>10204</v>
      </c>
      <c r="C5755" s="830" t="s">
        <v>5247</v>
      </c>
      <c r="D5755" s="832">
        <v>17.920000000000002</v>
      </c>
    </row>
    <row r="5756" spans="1:4" x14ac:dyDescent="0.3">
      <c r="A5756" s="830">
        <v>101211</v>
      </c>
      <c r="B5756" s="831" t="s">
        <v>10205</v>
      </c>
      <c r="C5756" s="830" t="s">
        <v>5247</v>
      </c>
      <c r="D5756" s="832">
        <v>19.239999999999998</v>
      </c>
    </row>
    <row r="5757" spans="1:4" x14ac:dyDescent="0.3">
      <c r="A5757" s="830">
        <v>101212</v>
      </c>
      <c r="B5757" s="831" t="s">
        <v>10206</v>
      </c>
      <c r="C5757" s="830" t="s">
        <v>5247</v>
      </c>
      <c r="D5757" s="832">
        <v>22.48</v>
      </c>
    </row>
    <row r="5758" spans="1:4" x14ac:dyDescent="0.3">
      <c r="A5758" s="830">
        <v>101213</v>
      </c>
      <c r="B5758" s="831" t="s">
        <v>10207</v>
      </c>
      <c r="C5758" s="830" t="s">
        <v>5247</v>
      </c>
      <c r="D5758" s="832">
        <v>25.16</v>
      </c>
    </row>
    <row r="5759" spans="1:4" x14ac:dyDescent="0.3">
      <c r="A5759" s="830">
        <v>101214</v>
      </c>
      <c r="B5759" s="831" t="s">
        <v>10208</v>
      </c>
      <c r="C5759" s="830" t="s">
        <v>5247</v>
      </c>
      <c r="D5759" s="832">
        <v>30.4</v>
      </c>
    </row>
    <row r="5760" spans="1:4" x14ac:dyDescent="0.3">
      <c r="A5760" s="830">
        <v>101215</v>
      </c>
      <c r="B5760" s="831" t="s">
        <v>10209</v>
      </c>
      <c r="C5760" s="830" t="s">
        <v>5247</v>
      </c>
      <c r="D5760" s="832">
        <v>17.23</v>
      </c>
    </row>
    <row r="5761" spans="1:4" x14ac:dyDescent="0.3">
      <c r="A5761" s="830">
        <v>101216</v>
      </c>
      <c r="B5761" s="831" t="s">
        <v>10210</v>
      </c>
      <c r="C5761" s="830" t="s">
        <v>5247</v>
      </c>
      <c r="D5761" s="832">
        <v>18.05</v>
      </c>
    </row>
    <row r="5762" spans="1:4" x14ac:dyDescent="0.3">
      <c r="A5762" s="830">
        <v>101217</v>
      </c>
      <c r="B5762" s="831" t="s">
        <v>10211</v>
      </c>
      <c r="C5762" s="830" t="s">
        <v>5247</v>
      </c>
      <c r="D5762" s="832">
        <v>21.06</v>
      </c>
    </row>
    <row r="5763" spans="1:4" x14ac:dyDescent="0.3">
      <c r="A5763" s="830">
        <v>101218</v>
      </c>
      <c r="B5763" s="831" t="s">
        <v>10212</v>
      </c>
      <c r="C5763" s="830" t="s">
        <v>5247</v>
      </c>
      <c r="D5763" s="832">
        <v>22.27</v>
      </c>
    </row>
    <row r="5764" spans="1:4" x14ac:dyDescent="0.3">
      <c r="A5764" s="830">
        <v>101219</v>
      </c>
      <c r="B5764" s="831" t="s">
        <v>10213</v>
      </c>
      <c r="C5764" s="830" t="s">
        <v>5247</v>
      </c>
      <c r="D5764" s="832">
        <v>27</v>
      </c>
    </row>
    <row r="5765" spans="1:4" x14ac:dyDescent="0.3">
      <c r="A5765" s="830">
        <v>101220</v>
      </c>
      <c r="B5765" s="831" t="s">
        <v>10214</v>
      </c>
      <c r="C5765" s="830" t="s">
        <v>5247</v>
      </c>
      <c r="D5765" s="832">
        <v>16.940000000000001</v>
      </c>
    </row>
    <row r="5766" spans="1:4" x14ac:dyDescent="0.3">
      <c r="A5766" s="830">
        <v>101221</v>
      </c>
      <c r="B5766" s="831" t="s">
        <v>10215</v>
      </c>
      <c r="C5766" s="830" t="s">
        <v>5247</v>
      </c>
      <c r="D5766" s="832">
        <v>17.89</v>
      </c>
    </row>
    <row r="5767" spans="1:4" x14ac:dyDescent="0.3">
      <c r="A5767" s="830">
        <v>101222</v>
      </c>
      <c r="B5767" s="831" t="s">
        <v>10216</v>
      </c>
      <c r="C5767" s="830" t="s">
        <v>5247</v>
      </c>
      <c r="D5767" s="832">
        <v>20.82</v>
      </c>
    </row>
    <row r="5768" spans="1:4" x14ac:dyDescent="0.3">
      <c r="A5768" s="830">
        <v>101223</v>
      </c>
      <c r="B5768" s="831" t="s">
        <v>10217</v>
      </c>
      <c r="C5768" s="830" t="s">
        <v>5247</v>
      </c>
      <c r="D5768" s="832">
        <v>23.19</v>
      </c>
    </row>
    <row r="5769" spans="1:4" x14ac:dyDescent="0.3">
      <c r="A5769" s="830">
        <v>101224</v>
      </c>
      <c r="B5769" s="831" t="s">
        <v>10218</v>
      </c>
      <c r="C5769" s="830" t="s">
        <v>5247</v>
      </c>
      <c r="D5769" s="832">
        <v>29.09</v>
      </c>
    </row>
    <row r="5770" spans="1:4" x14ac:dyDescent="0.3">
      <c r="A5770" s="830">
        <v>101225</v>
      </c>
      <c r="B5770" s="831" t="s">
        <v>10219</v>
      </c>
      <c r="C5770" s="830" t="s">
        <v>5247</v>
      </c>
      <c r="D5770" s="832">
        <v>15.55</v>
      </c>
    </row>
    <row r="5771" spans="1:4" x14ac:dyDescent="0.3">
      <c r="A5771" s="830">
        <v>101226</v>
      </c>
      <c r="B5771" s="831" t="s">
        <v>10220</v>
      </c>
      <c r="C5771" s="830" t="s">
        <v>5247</v>
      </c>
      <c r="D5771" s="832">
        <v>16.38</v>
      </c>
    </row>
    <row r="5772" spans="1:4" x14ac:dyDescent="0.3">
      <c r="A5772" s="830">
        <v>101227</v>
      </c>
      <c r="B5772" s="831" t="s">
        <v>10221</v>
      </c>
      <c r="C5772" s="830" t="s">
        <v>5247</v>
      </c>
      <c r="D5772" s="832">
        <v>19</v>
      </c>
    </row>
    <row r="5773" spans="1:4" x14ac:dyDescent="0.3">
      <c r="A5773" s="830">
        <v>101228</v>
      </c>
      <c r="B5773" s="831" t="s">
        <v>10222</v>
      </c>
      <c r="C5773" s="830" t="s">
        <v>5247</v>
      </c>
      <c r="D5773" s="832">
        <v>20.239999999999998</v>
      </c>
    </row>
    <row r="5774" spans="1:4" x14ac:dyDescent="0.3">
      <c r="A5774" s="830">
        <v>101229</v>
      </c>
      <c r="B5774" s="831" t="s">
        <v>10223</v>
      </c>
      <c r="C5774" s="830" t="s">
        <v>5247</v>
      </c>
      <c r="D5774" s="832">
        <v>25.55</v>
      </c>
    </row>
    <row r="5775" spans="1:4" x14ac:dyDescent="0.3">
      <c r="A5775" s="830">
        <v>101230</v>
      </c>
      <c r="B5775" s="831" t="s">
        <v>10224</v>
      </c>
      <c r="C5775" s="830" t="s">
        <v>5247</v>
      </c>
      <c r="D5775" s="832">
        <v>11.31</v>
      </c>
    </row>
    <row r="5776" spans="1:4" x14ac:dyDescent="0.3">
      <c r="A5776" s="830">
        <v>101231</v>
      </c>
      <c r="B5776" s="831" t="s">
        <v>10225</v>
      </c>
      <c r="C5776" s="830" t="s">
        <v>5247</v>
      </c>
      <c r="D5776" s="832">
        <v>10.77</v>
      </c>
    </row>
    <row r="5777" spans="1:4" x14ac:dyDescent="0.3">
      <c r="A5777" s="830">
        <v>101232</v>
      </c>
      <c r="B5777" s="831" t="s">
        <v>10226</v>
      </c>
      <c r="C5777" s="830" t="s">
        <v>5247</v>
      </c>
      <c r="D5777" s="832">
        <v>9.68</v>
      </c>
    </row>
    <row r="5778" spans="1:4" x14ac:dyDescent="0.3">
      <c r="A5778" s="830">
        <v>101233</v>
      </c>
      <c r="B5778" s="831" t="s">
        <v>10227</v>
      </c>
      <c r="C5778" s="830" t="s">
        <v>5247</v>
      </c>
      <c r="D5778" s="832">
        <v>8.92</v>
      </c>
    </row>
    <row r="5779" spans="1:4" x14ac:dyDescent="0.3">
      <c r="A5779" s="830">
        <v>101234</v>
      </c>
      <c r="B5779" s="831" t="s">
        <v>10228</v>
      </c>
      <c r="C5779" s="830" t="s">
        <v>5247</v>
      </c>
      <c r="D5779" s="832">
        <v>17.63</v>
      </c>
    </row>
    <row r="5780" spans="1:4" x14ac:dyDescent="0.3">
      <c r="A5780" s="830">
        <v>101235</v>
      </c>
      <c r="B5780" s="831" t="s">
        <v>10229</v>
      </c>
      <c r="C5780" s="830" t="s">
        <v>5247</v>
      </c>
      <c r="D5780" s="832">
        <v>18.55</v>
      </c>
    </row>
    <row r="5781" spans="1:4" x14ac:dyDescent="0.3">
      <c r="A5781" s="830">
        <v>101236</v>
      </c>
      <c r="B5781" s="831" t="s">
        <v>10230</v>
      </c>
      <c r="C5781" s="830" t="s">
        <v>5247</v>
      </c>
      <c r="D5781" s="832">
        <v>21.61</v>
      </c>
    </row>
    <row r="5782" spans="1:4" x14ac:dyDescent="0.3">
      <c r="A5782" s="830">
        <v>101237</v>
      </c>
      <c r="B5782" s="831" t="s">
        <v>10231</v>
      </c>
      <c r="C5782" s="830" t="s">
        <v>5247</v>
      </c>
      <c r="D5782" s="832">
        <v>23.01</v>
      </c>
    </row>
    <row r="5783" spans="1:4" x14ac:dyDescent="0.3">
      <c r="A5783" s="830">
        <v>101238</v>
      </c>
      <c r="B5783" s="831" t="s">
        <v>10232</v>
      </c>
      <c r="C5783" s="830" t="s">
        <v>5247</v>
      </c>
      <c r="D5783" s="832">
        <v>29.13</v>
      </c>
    </row>
    <row r="5784" spans="1:4" x14ac:dyDescent="0.3">
      <c r="A5784" s="830">
        <v>101239</v>
      </c>
      <c r="B5784" s="831" t="s">
        <v>10233</v>
      </c>
      <c r="C5784" s="830" t="s">
        <v>5247</v>
      </c>
      <c r="D5784" s="832">
        <v>15.45</v>
      </c>
    </row>
    <row r="5785" spans="1:4" x14ac:dyDescent="0.3">
      <c r="A5785" s="830">
        <v>101240</v>
      </c>
      <c r="B5785" s="831" t="s">
        <v>10234</v>
      </c>
      <c r="C5785" s="830" t="s">
        <v>5247</v>
      </c>
      <c r="D5785" s="832">
        <v>16.28</v>
      </c>
    </row>
    <row r="5786" spans="1:4" x14ac:dyDescent="0.3">
      <c r="A5786" s="830">
        <v>101241</v>
      </c>
      <c r="B5786" s="831" t="s">
        <v>10235</v>
      </c>
      <c r="C5786" s="830" t="s">
        <v>5247</v>
      </c>
      <c r="D5786" s="832">
        <v>19.059999999999999</v>
      </c>
    </row>
    <row r="5787" spans="1:4" x14ac:dyDescent="0.3">
      <c r="A5787" s="830">
        <v>101242</v>
      </c>
      <c r="B5787" s="831" t="s">
        <v>10236</v>
      </c>
      <c r="C5787" s="830" t="s">
        <v>5247</v>
      </c>
      <c r="D5787" s="832">
        <v>21.33</v>
      </c>
    </row>
    <row r="5788" spans="1:4" x14ac:dyDescent="0.3">
      <c r="A5788" s="830">
        <v>101243</v>
      </c>
      <c r="B5788" s="831" t="s">
        <v>10237</v>
      </c>
      <c r="C5788" s="830" t="s">
        <v>5247</v>
      </c>
      <c r="D5788" s="832">
        <v>25.85</v>
      </c>
    </row>
    <row r="5789" spans="1:4" x14ac:dyDescent="0.3">
      <c r="A5789" s="830">
        <v>101244</v>
      </c>
      <c r="B5789" s="831" t="s">
        <v>10238</v>
      </c>
      <c r="C5789" s="830" t="s">
        <v>5247</v>
      </c>
      <c r="D5789" s="832">
        <v>16.3</v>
      </c>
    </row>
    <row r="5790" spans="1:4" x14ac:dyDescent="0.3">
      <c r="A5790" s="830">
        <v>101245</v>
      </c>
      <c r="B5790" s="831" t="s">
        <v>10239</v>
      </c>
      <c r="C5790" s="830" t="s">
        <v>5247</v>
      </c>
      <c r="D5790" s="832">
        <v>17.239999999999998</v>
      </c>
    </row>
    <row r="5791" spans="1:4" x14ac:dyDescent="0.3">
      <c r="A5791" s="830">
        <v>101246</v>
      </c>
      <c r="B5791" s="831" t="s">
        <v>10240</v>
      </c>
      <c r="C5791" s="830" t="s">
        <v>5247</v>
      </c>
      <c r="D5791" s="832">
        <v>20.03</v>
      </c>
    </row>
    <row r="5792" spans="1:4" x14ac:dyDescent="0.3">
      <c r="A5792" s="830">
        <v>101247</v>
      </c>
      <c r="B5792" s="831" t="s">
        <v>10241</v>
      </c>
      <c r="C5792" s="830" t="s">
        <v>5247</v>
      </c>
      <c r="D5792" s="832">
        <v>22.25</v>
      </c>
    </row>
    <row r="5793" spans="1:4" x14ac:dyDescent="0.3">
      <c r="A5793" s="830">
        <v>101248</v>
      </c>
      <c r="B5793" s="831" t="s">
        <v>10242</v>
      </c>
      <c r="C5793" s="830" t="s">
        <v>5247</v>
      </c>
      <c r="D5793" s="832">
        <v>27.85</v>
      </c>
    </row>
    <row r="5794" spans="1:4" x14ac:dyDescent="0.3">
      <c r="A5794" s="830">
        <v>101249</v>
      </c>
      <c r="B5794" s="831" t="s">
        <v>10243</v>
      </c>
      <c r="C5794" s="830" t="s">
        <v>5247</v>
      </c>
      <c r="D5794" s="832">
        <v>14.14</v>
      </c>
    </row>
    <row r="5795" spans="1:4" x14ac:dyDescent="0.3">
      <c r="A5795" s="830">
        <v>101250</v>
      </c>
      <c r="B5795" s="831" t="s">
        <v>10244</v>
      </c>
      <c r="C5795" s="830" t="s">
        <v>5247</v>
      </c>
      <c r="D5795" s="832">
        <v>15.73</v>
      </c>
    </row>
    <row r="5796" spans="1:4" x14ac:dyDescent="0.3">
      <c r="A5796" s="830">
        <v>101251</v>
      </c>
      <c r="B5796" s="831" t="s">
        <v>10245</v>
      </c>
      <c r="C5796" s="830" t="s">
        <v>5247</v>
      </c>
      <c r="D5796" s="832">
        <v>17.86</v>
      </c>
    </row>
    <row r="5797" spans="1:4" x14ac:dyDescent="0.3">
      <c r="A5797" s="830">
        <v>101252</v>
      </c>
      <c r="B5797" s="831" t="s">
        <v>10246</v>
      </c>
      <c r="C5797" s="830" t="s">
        <v>5247</v>
      </c>
      <c r="D5797" s="832">
        <v>19.420000000000002</v>
      </c>
    </row>
    <row r="5798" spans="1:4" x14ac:dyDescent="0.3">
      <c r="A5798" s="830">
        <v>101253</v>
      </c>
      <c r="B5798" s="831" t="s">
        <v>10247</v>
      </c>
      <c r="C5798" s="830" t="s">
        <v>5247</v>
      </c>
      <c r="D5798" s="832">
        <v>24.48</v>
      </c>
    </row>
    <row r="5799" spans="1:4" x14ac:dyDescent="0.3">
      <c r="A5799" s="830">
        <v>101254</v>
      </c>
      <c r="B5799" s="831" t="s">
        <v>10248</v>
      </c>
      <c r="C5799" s="830" t="s">
        <v>5247</v>
      </c>
      <c r="D5799" s="832">
        <v>12.9</v>
      </c>
    </row>
    <row r="5800" spans="1:4" x14ac:dyDescent="0.3">
      <c r="A5800" s="830">
        <v>101255</v>
      </c>
      <c r="B5800" s="831" t="s">
        <v>10249</v>
      </c>
      <c r="C5800" s="830" t="s">
        <v>5247</v>
      </c>
      <c r="D5800" s="832">
        <v>11.4</v>
      </c>
    </row>
    <row r="5801" spans="1:4" x14ac:dyDescent="0.3">
      <c r="A5801" s="830">
        <v>101256</v>
      </c>
      <c r="B5801" s="831" t="s">
        <v>10250</v>
      </c>
      <c r="C5801" s="830" t="s">
        <v>5247</v>
      </c>
      <c r="D5801" s="832">
        <v>19.91</v>
      </c>
    </row>
    <row r="5802" spans="1:4" x14ac:dyDescent="0.3">
      <c r="A5802" s="830">
        <v>101257</v>
      </c>
      <c r="B5802" s="831" t="s">
        <v>10251</v>
      </c>
      <c r="C5802" s="830" t="s">
        <v>5247</v>
      </c>
      <c r="D5802" s="832">
        <v>20.98</v>
      </c>
    </row>
    <row r="5803" spans="1:4" x14ac:dyDescent="0.3">
      <c r="A5803" s="830">
        <v>101258</v>
      </c>
      <c r="B5803" s="831" t="s">
        <v>10252</v>
      </c>
      <c r="C5803" s="830" t="s">
        <v>5247</v>
      </c>
      <c r="D5803" s="832">
        <v>24.34</v>
      </c>
    </row>
    <row r="5804" spans="1:4" x14ac:dyDescent="0.3">
      <c r="A5804" s="830">
        <v>101259</v>
      </c>
      <c r="B5804" s="831" t="s">
        <v>10253</v>
      </c>
      <c r="C5804" s="830" t="s">
        <v>5247</v>
      </c>
      <c r="D5804" s="832">
        <v>27.06</v>
      </c>
    </row>
    <row r="5805" spans="1:4" x14ac:dyDescent="0.3">
      <c r="A5805" s="830">
        <v>101260</v>
      </c>
      <c r="B5805" s="831" t="s">
        <v>10254</v>
      </c>
      <c r="C5805" s="830" t="s">
        <v>5247</v>
      </c>
      <c r="D5805" s="832">
        <v>33.840000000000003</v>
      </c>
    </row>
    <row r="5806" spans="1:4" x14ac:dyDescent="0.3">
      <c r="A5806" s="830">
        <v>101261</v>
      </c>
      <c r="B5806" s="831" t="s">
        <v>10255</v>
      </c>
      <c r="C5806" s="830" t="s">
        <v>5247</v>
      </c>
      <c r="D5806" s="832">
        <v>18.86</v>
      </c>
    </row>
    <row r="5807" spans="1:4" x14ac:dyDescent="0.3">
      <c r="A5807" s="830">
        <v>101262</v>
      </c>
      <c r="B5807" s="831" t="s">
        <v>10256</v>
      </c>
      <c r="C5807" s="830" t="s">
        <v>5247</v>
      </c>
      <c r="D5807" s="832">
        <v>19.899999999999999</v>
      </c>
    </row>
    <row r="5808" spans="1:4" x14ac:dyDescent="0.3">
      <c r="A5808" s="830">
        <v>101263</v>
      </c>
      <c r="B5808" s="831" t="s">
        <v>10257</v>
      </c>
      <c r="C5808" s="830" t="s">
        <v>5247</v>
      </c>
      <c r="D5808" s="832">
        <v>23.01</v>
      </c>
    </row>
    <row r="5809" spans="1:4" x14ac:dyDescent="0.3">
      <c r="A5809" s="830">
        <v>101264</v>
      </c>
      <c r="B5809" s="831" t="s">
        <v>10258</v>
      </c>
      <c r="C5809" s="830" t="s">
        <v>5247</v>
      </c>
      <c r="D5809" s="832">
        <v>25.52</v>
      </c>
    </row>
    <row r="5810" spans="1:4" x14ac:dyDescent="0.3">
      <c r="A5810" s="830">
        <v>101265</v>
      </c>
      <c r="B5810" s="831" t="s">
        <v>10259</v>
      </c>
      <c r="C5810" s="830" t="s">
        <v>5247</v>
      </c>
      <c r="D5810" s="832">
        <v>31.8</v>
      </c>
    </row>
    <row r="5811" spans="1:4" x14ac:dyDescent="0.3">
      <c r="A5811" s="830">
        <v>101266</v>
      </c>
      <c r="B5811" s="831" t="s">
        <v>10260</v>
      </c>
      <c r="C5811" s="830" t="s">
        <v>5247</v>
      </c>
      <c r="D5811" s="832">
        <v>11.45</v>
      </c>
    </row>
    <row r="5812" spans="1:4" x14ac:dyDescent="0.3">
      <c r="A5812" s="830">
        <v>101267</v>
      </c>
      <c r="B5812" s="831" t="s">
        <v>10261</v>
      </c>
      <c r="C5812" s="830" t="s">
        <v>5247</v>
      </c>
      <c r="D5812" s="832">
        <v>11.05</v>
      </c>
    </row>
    <row r="5813" spans="1:4" x14ac:dyDescent="0.3">
      <c r="A5813" s="830">
        <v>101268</v>
      </c>
      <c r="B5813" s="831" t="s">
        <v>10262</v>
      </c>
      <c r="C5813" s="830" t="s">
        <v>5247</v>
      </c>
      <c r="D5813" s="832">
        <v>18.07</v>
      </c>
    </row>
    <row r="5814" spans="1:4" x14ac:dyDescent="0.3">
      <c r="A5814" s="830">
        <v>101269</v>
      </c>
      <c r="B5814" s="831" t="s">
        <v>10263</v>
      </c>
      <c r="C5814" s="830" t="s">
        <v>5247</v>
      </c>
      <c r="D5814" s="832">
        <v>20.13</v>
      </c>
    </row>
    <row r="5815" spans="1:4" x14ac:dyDescent="0.3">
      <c r="A5815" s="830">
        <v>101270</v>
      </c>
      <c r="B5815" s="831" t="s">
        <v>10264</v>
      </c>
      <c r="C5815" s="830" t="s">
        <v>5247</v>
      </c>
      <c r="D5815" s="832">
        <v>23.33</v>
      </c>
    </row>
    <row r="5816" spans="1:4" x14ac:dyDescent="0.3">
      <c r="A5816" s="830">
        <v>101271</v>
      </c>
      <c r="B5816" s="831" t="s">
        <v>10265</v>
      </c>
      <c r="C5816" s="830" t="s">
        <v>5247</v>
      </c>
      <c r="D5816" s="832">
        <v>25.88</v>
      </c>
    </row>
    <row r="5817" spans="1:4" x14ac:dyDescent="0.3">
      <c r="A5817" s="830">
        <v>101272</v>
      </c>
      <c r="B5817" s="831" t="s">
        <v>10266</v>
      </c>
      <c r="C5817" s="830" t="s">
        <v>5247</v>
      </c>
      <c r="D5817" s="832">
        <v>32.299999999999997</v>
      </c>
    </row>
    <row r="5818" spans="1:4" x14ac:dyDescent="0.3">
      <c r="A5818" s="830">
        <v>101273</v>
      </c>
      <c r="B5818" s="831" t="s">
        <v>10267</v>
      </c>
      <c r="C5818" s="830" t="s">
        <v>5247</v>
      </c>
      <c r="D5818" s="832">
        <v>17.3</v>
      </c>
    </row>
    <row r="5819" spans="1:4" x14ac:dyDescent="0.3">
      <c r="A5819" s="830">
        <v>101274</v>
      </c>
      <c r="B5819" s="831" t="s">
        <v>10268</v>
      </c>
      <c r="C5819" s="830" t="s">
        <v>5247</v>
      </c>
      <c r="D5819" s="832">
        <v>19.13</v>
      </c>
    </row>
    <row r="5820" spans="1:4" x14ac:dyDescent="0.3">
      <c r="A5820" s="830">
        <v>101275</v>
      </c>
      <c r="B5820" s="831" t="s">
        <v>10269</v>
      </c>
      <c r="C5820" s="830" t="s">
        <v>5247</v>
      </c>
      <c r="D5820" s="832">
        <v>22.15</v>
      </c>
    </row>
    <row r="5821" spans="1:4" x14ac:dyDescent="0.3">
      <c r="A5821" s="830">
        <v>101276</v>
      </c>
      <c r="B5821" s="831" t="s">
        <v>10270</v>
      </c>
      <c r="C5821" s="830" t="s">
        <v>5247</v>
      </c>
      <c r="D5821" s="832">
        <v>24.48</v>
      </c>
    </row>
    <row r="5822" spans="1:4" x14ac:dyDescent="0.3">
      <c r="A5822" s="830">
        <v>101277</v>
      </c>
      <c r="B5822" s="831" t="s">
        <v>10271</v>
      </c>
      <c r="C5822" s="830" t="s">
        <v>5247</v>
      </c>
      <c r="D5822" s="832">
        <v>31.3</v>
      </c>
    </row>
    <row r="5823" spans="1:4" x14ac:dyDescent="0.3">
      <c r="A5823" s="830">
        <v>102354</v>
      </c>
      <c r="B5823" s="831" t="s">
        <v>10272</v>
      </c>
      <c r="C5823" s="830" t="s">
        <v>5247</v>
      </c>
      <c r="D5823" s="832">
        <v>161.6</v>
      </c>
    </row>
    <row r="5824" spans="1:4" x14ac:dyDescent="0.3">
      <c r="A5824" s="830">
        <v>102355</v>
      </c>
      <c r="B5824" s="831" t="s">
        <v>4494</v>
      </c>
      <c r="C5824" s="830" t="s">
        <v>5247</v>
      </c>
      <c r="D5824" s="832">
        <v>190.71</v>
      </c>
    </row>
    <row r="5825" spans="1:4" x14ac:dyDescent="0.3">
      <c r="A5825" s="830">
        <v>102360</v>
      </c>
      <c r="B5825" s="831" t="s">
        <v>10273</v>
      </c>
      <c r="C5825" s="830" t="s">
        <v>5247</v>
      </c>
      <c r="D5825" s="832">
        <v>24.17</v>
      </c>
    </row>
    <row r="5826" spans="1:4" x14ac:dyDescent="0.3">
      <c r="A5826" s="830">
        <v>102361</v>
      </c>
      <c r="B5826" s="831" t="s">
        <v>10274</v>
      </c>
      <c r="C5826" s="830" t="s">
        <v>5247</v>
      </c>
      <c r="D5826" s="832">
        <v>35.99</v>
      </c>
    </row>
    <row r="5827" spans="1:4" x14ac:dyDescent="0.3">
      <c r="A5827" s="830">
        <v>90082</v>
      </c>
      <c r="B5827" s="831" t="s">
        <v>4419</v>
      </c>
      <c r="C5827" s="830" t="s">
        <v>5247</v>
      </c>
      <c r="D5827" s="832">
        <v>9.48</v>
      </c>
    </row>
    <row r="5828" spans="1:4" x14ac:dyDescent="0.3">
      <c r="A5828" s="830">
        <v>90084</v>
      </c>
      <c r="B5828" s="831" t="s">
        <v>4418</v>
      </c>
      <c r="C5828" s="830" t="s">
        <v>5247</v>
      </c>
      <c r="D5828" s="832">
        <v>9.18</v>
      </c>
    </row>
    <row r="5829" spans="1:4" x14ac:dyDescent="0.3">
      <c r="A5829" s="830">
        <v>90086</v>
      </c>
      <c r="B5829" s="831" t="s">
        <v>4438</v>
      </c>
      <c r="C5829" s="830" t="s">
        <v>5247</v>
      </c>
      <c r="D5829" s="832">
        <v>8.69</v>
      </c>
    </row>
    <row r="5830" spans="1:4" x14ac:dyDescent="0.3">
      <c r="A5830" s="830">
        <v>90087</v>
      </c>
      <c r="B5830" s="831" t="s">
        <v>4421</v>
      </c>
      <c r="C5830" s="830" t="s">
        <v>5247</v>
      </c>
      <c r="D5830" s="832">
        <v>8.5500000000000007</v>
      </c>
    </row>
    <row r="5831" spans="1:4" x14ac:dyDescent="0.3">
      <c r="A5831" s="830">
        <v>90090</v>
      </c>
      <c r="B5831" s="831" t="s">
        <v>10275</v>
      </c>
      <c r="C5831" s="830" t="s">
        <v>5247</v>
      </c>
      <c r="D5831" s="832">
        <v>8.3800000000000008</v>
      </c>
    </row>
    <row r="5832" spans="1:4" x14ac:dyDescent="0.3">
      <c r="A5832" s="830">
        <v>90091</v>
      </c>
      <c r="B5832" s="831" t="s">
        <v>10276</v>
      </c>
      <c r="C5832" s="830" t="s">
        <v>5247</v>
      </c>
      <c r="D5832" s="832">
        <v>5.97</v>
      </c>
    </row>
    <row r="5833" spans="1:4" x14ac:dyDescent="0.3">
      <c r="A5833" s="830">
        <v>90092</v>
      </c>
      <c r="B5833" s="831" t="s">
        <v>10277</v>
      </c>
      <c r="C5833" s="830" t="s">
        <v>5247</v>
      </c>
      <c r="D5833" s="832">
        <v>5.78</v>
      </c>
    </row>
    <row r="5834" spans="1:4" x14ac:dyDescent="0.3">
      <c r="A5834" s="830">
        <v>90094</v>
      </c>
      <c r="B5834" s="831" t="s">
        <v>10278</v>
      </c>
      <c r="C5834" s="830" t="s">
        <v>5247</v>
      </c>
      <c r="D5834" s="832">
        <v>5.47</v>
      </c>
    </row>
    <row r="5835" spans="1:4" x14ac:dyDescent="0.3">
      <c r="A5835" s="830">
        <v>90095</v>
      </c>
      <c r="B5835" s="831" t="s">
        <v>10279</v>
      </c>
      <c r="C5835" s="830" t="s">
        <v>5247</v>
      </c>
      <c r="D5835" s="832">
        <v>5.38</v>
      </c>
    </row>
    <row r="5836" spans="1:4" x14ac:dyDescent="0.3">
      <c r="A5836" s="830">
        <v>90098</v>
      </c>
      <c r="B5836" s="831" t="s">
        <v>10280</v>
      </c>
      <c r="C5836" s="830" t="s">
        <v>5247</v>
      </c>
      <c r="D5836" s="832">
        <v>5.28</v>
      </c>
    </row>
    <row r="5837" spans="1:4" x14ac:dyDescent="0.3">
      <c r="A5837" s="830">
        <v>90099</v>
      </c>
      <c r="B5837" s="831" t="s">
        <v>10281</v>
      </c>
      <c r="C5837" s="830" t="s">
        <v>5247</v>
      </c>
      <c r="D5837" s="832">
        <v>15</v>
      </c>
    </row>
    <row r="5838" spans="1:4" x14ac:dyDescent="0.3">
      <c r="A5838" s="830">
        <v>90100</v>
      </c>
      <c r="B5838" s="831" t="s">
        <v>10282</v>
      </c>
      <c r="C5838" s="830" t="s">
        <v>5247</v>
      </c>
      <c r="D5838" s="832">
        <v>12.85</v>
      </c>
    </row>
    <row r="5839" spans="1:4" x14ac:dyDescent="0.3">
      <c r="A5839" s="830">
        <v>90101</v>
      </c>
      <c r="B5839" s="831" t="s">
        <v>10283</v>
      </c>
      <c r="C5839" s="830" t="s">
        <v>5247</v>
      </c>
      <c r="D5839" s="832">
        <v>12.7</v>
      </c>
    </row>
    <row r="5840" spans="1:4" x14ac:dyDescent="0.3">
      <c r="A5840" s="830">
        <v>90102</v>
      </c>
      <c r="B5840" s="831" t="s">
        <v>10284</v>
      </c>
      <c r="C5840" s="830" t="s">
        <v>5247</v>
      </c>
      <c r="D5840" s="832">
        <v>11.62</v>
      </c>
    </row>
    <row r="5841" spans="1:4" x14ac:dyDescent="0.3">
      <c r="A5841" s="830">
        <v>90105</v>
      </c>
      <c r="B5841" s="831" t="s">
        <v>10285</v>
      </c>
      <c r="C5841" s="830" t="s">
        <v>5247</v>
      </c>
      <c r="D5841" s="832">
        <v>8.9</v>
      </c>
    </row>
    <row r="5842" spans="1:4" x14ac:dyDescent="0.3">
      <c r="A5842" s="830">
        <v>90106</v>
      </c>
      <c r="B5842" s="831" t="s">
        <v>10286</v>
      </c>
      <c r="C5842" s="830" t="s">
        <v>5247</v>
      </c>
      <c r="D5842" s="832">
        <v>8.09</v>
      </c>
    </row>
    <row r="5843" spans="1:4" x14ac:dyDescent="0.3">
      <c r="A5843" s="830">
        <v>90107</v>
      </c>
      <c r="B5843" s="831" t="s">
        <v>10287</v>
      </c>
      <c r="C5843" s="830" t="s">
        <v>5247</v>
      </c>
      <c r="D5843" s="832">
        <v>8</v>
      </c>
    </row>
    <row r="5844" spans="1:4" x14ac:dyDescent="0.3">
      <c r="A5844" s="830">
        <v>90108</v>
      </c>
      <c r="B5844" s="831" t="s">
        <v>10288</v>
      </c>
      <c r="C5844" s="830" t="s">
        <v>5247</v>
      </c>
      <c r="D5844" s="832">
        <v>7.33</v>
      </c>
    </row>
    <row r="5845" spans="1:4" x14ac:dyDescent="0.3">
      <c r="A5845" s="830">
        <v>93358</v>
      </c>
      <c r="B5845" s="831" t="s">
        <v>10289</v>
      </c>
      <c r="C5845" s="830" t="s">
        <v>5247</v>
      </c>
      <c r="D5845" s="832">
        <v>92.56</v>
      </c>
    </row>
    <row r="5846" spans="1:4" x14ac:dyDescent="0.3">
      <c r="A5846" s="830">
        <v>102276</v>
      </c>
      <c r="B5846" s="831" t="s">
        <v>4417</v>
      </c>
      <c r="C5846" s="830" t="s">
        <v>5247</v>
      </c>
      <c r="D5846" s="832">
        <v>10.68</v>
      </c>
    </row>
    <row r="5847" spans="1:4" x14ac:dyDescent="0.3">
      <c r="A5847" s="830">
        <v>102277</v>
      </c>
      <c r="B5847" s="831" t="s">
        <v>10290</v>
      </c>
      <c r="C5847" s="830" t="s">
        <v>5247</v>
      </c>
      <c r="D5847" s="832">
        <v>8.43</v>
      </c>
    </row>
    <row r="5848" spans="1:4" x14ac:dyDescent="0.3">
      <c r="A5848" s="830">
        <v>102278</v>
      </c>
      <c r="B5848" s="831" t="s">
        <v>4420</v>
      </c>
      <c r="C5848" s="830" t="s">
        <v>5247</v>
      </c>
      <c r="D5848" s="832">
        <v>8.89</v>
      </c>
    </row>
    <row r="5849" spans="1:4" x14ac:dyDescent="0.3">
      <c r="A5849" s="830">
        <v>102279</v>
      </c>
      <c r="B5849" s="831" t="s">
        <v>10291</v>
      </c>
      <c r="C5849" s="830" t="s">
        <v>5247</v>
      </c>
      <c r="D5849" s="832">
        <v>6.72</v>
      </c>
    </row>
    <row r="5850" spans="1:4" x14ac:dyDescent="0.3">
      <c r="A5850" s="830">
        <v>102280</v>
      </c>
      <c r="B5850" s="831" t="s">
        <v>10292</v>
      </c>
      <c r="C5850" s="830" t="s">
        <v>5247</v>
      </c>
      <c r="D5850" s="832">
        <v>5.32</v>
      </c>
    </row>
    <row r="5851" spans="1:4" x14ac:dyDescent="0.3">
      <c r="A5851" s="830">
        <v>102281</v>
      </c>
      <c r="B5851" s="831" t="s">
        <v>10293</v>
      </c>
      <c r="C5851" s="830" t="s">
        <v>5247</v>
      </c>
      <c r="D5851" s="832">
        <v>5.6</v>
      </c>
    </row>
    <row r="5852" spans="1:4" x14ac:dyDescent="0.3">
      <c r="A5852" s="830">
        <v>102282</v>
      </c>
      <c r="B5852" s="831" t="s">
        <v>4436</v>
      </c>
      <c r="C5852" s="830" t="s">
        <v>5247</v>
      </c>
      <c r="D5852" s="832">
        <v>13.96</v>
      </c>
    </row>
    <row r="5853" spans="1:4" x14ac:dyDescent="0.3">
      <c r="A5853" s="830">
        <v>102283</v>
      </c>
      <c r="B5853" s="831" t="s">
        <v>4413</v>
      </c>
      <c r="C5853" s="830" t="s">
        <v>5247</v>
      </c>
      <c r="D5853" s="832">
        <v>12.4</v>
      </c>
    </row>
    <row r="5854" spans="1:4" x14ac:dyDescent="0.3">
      <c r="A5854" s="830">
        <v>102284</v>
      </c>
      <c r="B5854" s="831" t="s">
        <v>4411</v>
      </c>
      <c r="C5854" s="830" t="s">
        <v>5247</v>
      </c>
      <c r="D5854" s="832">
        <v>12.02</v>
      </c>
    </row>
    <row r="5855" spans="1:4" x14ac:dyDescent="0.3">
      <c r="A5855" s="830">
        <v>102285</v>
      </c>
      <c r="B5855" s="831" t="s">
        <v>4437</v>
      </c>
      <c r="C5855" s="830" t="s">
        <v>5247</v>
      </c>
      <c r="D5855" s="832">
        <v>11.37</v>
      </c>
    </row>
    <row r="5856" spans="1:4" x14ac:dyDescent="0.3">
      <c r="A5856" s="830">
        <v>102286</v>
      </c>
      <c r="B5856" s="831" t="s">
        <v>10294</v>
      </c>
      <c r="C5856" s="830" t="s">
        <v>5247</v>
      </c>
      <c r="D5856" s="832">
        <v>11.03</v>
      </c>
    </row>
    <row r="5857" spans="1:4" x14ac:dyDescent="0.3">
      <c r="A5857" s="830">
        <v>102287</v>
      </c>
      <c r="B5857" s="831" t="s">
        <v>4414</v>
      </c>
      <c r="C5857" s="830" t="s">
        <v>5247</v>
      </c>
      <c r="D5857" s="832">
        <v>11.64</v>
      </c>
    </row>
    <row r="5858" spans="1:4" x14ac:dyDescent="0.3">
      <c r="A5858" s="830">
        <v>102288</v>
      </c>
      <c r="B5858" s="831" t="s">
        <v>4415</v>
      </c>
      <c r="C5858" s="830" t="s">
        <v>5247</v>
      </c>
      <c r="D5858" s="832">
        <v>11.2</v>
      </c>
    </row>
    <row r="5859" spans="1:4" x14ac:dyDescent="0.3">
      <c r="A5859" s="830">
        <v>102289</v>
      </c>
      <c r="B5859" s="831" t="s">
        <v>4416</v>
      </c>
      <c r="C5859" s="830" t="s">
        <v>5247</v>
      </c>
      <c r="D5859" s="832">
        <v>10.97</v>
      </c>
    </row>
    <row r="5860" spans="1:4" x14ac:dyDescent="0.3">
      <c r="A5860" s="830">
        <v>102290</v>
      </c>
      <c r="B5860" s="831" t="s">
        <v>10295</v>
      </c>
      <c r="C5860" s="830" t="s">
        <v>5247</v>
      </c>
      <c r="D5860" s="832">
        <v>8.8000000000000007</v>
      </c>
    </row>
    <row r="5861" spans="1:4" x14ac:dyDescent="0.3">
      <c r="A5861" s="830">
        <v>102291</v>
      </c>
      <c r="B5861" s="831" t="s">
        <v>10296</v>
      </c>
      <c r="C5861" s="830" t="s">
        <v>5247</v>
      </c>
      <c r="D5861" s="832">
        <v>7.81</v>
      </c>
    </row>
    <row r="5862" spans="1:4" x14ac:dyDescent="0.3">
      <c r="A5862" s="830">
        <v>102292</v>
      </c>
      <c r="B5862" s="831" t="s">
        <v>10297</v>
      </c>
      <c r="C5862" s="830" t="s">
        <v>5247</v>
      </c>
      <c r="D5862" s="832">
        <v>7.56</v>
      </c>
    </row>
    <row r="5863" spans="1:4" x14ac:dyDescent="0.3">
      <c r="A5863" s="830">
        <v>102293</v>
      </c>
      <c r="B5863" s="831" t="s">
        <v>10298</v>
      </c>
      <c r="C5863" s="830" t="s">
        <v>5247</v>
      </c>
      <c r="D5863" s="832">
        <v>7.16</v>
      </c>
    </row>
    <row r="5864" spans="1:4" x14ac:dyDescent="0.3">
      <c r="A5864" s="830">
        <v>102294</v>
      </c>
      <c r="B5864" s="831" t="s">
        <v>10299</v>
      </c>
      <c r="C5864" s="830" t="s">
        <v>5247</v>
      </c>
      <c r="D5864" s="832">
        <v>6.95</v>
      </c>
    </row>
    <row r="5865" spans="1:4" x14ac:dyDescent="0.3">
      <c r="A5865" s="830">
        <v>102295</v>
      </c>
      <c r="B5865" s="831" t="s">
        <v>10300</v>
      </c>
      <c r="C5865" s="830" t="s">
        <v>5247</v>
      </c>
      <c r="D5865" s="832">
        <v>7.33</v>
      </c>
    </row>
    <row r="5866" spans="1:4" x14ac:dyDescent="0.3">
      <c r="A5866" s="830">
        <v>102296</v>
      </c>
      <c r="B5866" s="831" t="s">
        <v>10301</v>
      </c>
      <c r="C5866" s="830" t="s">
        <v>5247</v>
      </c>
      <c r="D5866" s="832">
        <v>7.06</v>
      </c>
    </row>
    <row r="5867" spans="1:4" x14ac:dyDescent="0.3">
      <c r="A5867" s="830">
        <v>102297</v>
      </c>
      <c r="B5867" s="831" t="s">
        <v>10302</v>
      </c>
      <c r="C5867" s="830" t="s">
        <v>5247</v>
      </c>
      <c r="D5867" s="832">
        <v>6.91</v>
      </c>
    </row>
    <row r="5868" spans="1:4" x14ac:dyDescent="0.3">
      <c r="A5868" s="830">
        <v>102298</v>
      </c>
      <c r="B5868" s="831" t="s">
        <v>10303</v>
      </c>
      <c r="C5868" s="830" t="s">
        <v>5247</v>
      </c>
      <c r="D5868" s="832">
        <v>19.63</v>
      </c>
    </row>
    <row r="5869" spans="1:4" x14ac:dyDescent="0.3">
      <c r="A5869" s="830">
        <v>102299</v>
      </c>
      <c r="B5869" s="831" t="s">
        <v>10304</v>
      </c>
      <c r="C5869" s="830" t="s">
        <v>5247</v>
      </c>
      <c r="D5869" s="832">
        <v>16.82</v>
      </c>
    </row>
    <row r="5870" spans="1:4" x14ac:dyDescent="0.3">
      <c r="A5870" s="830">
        <v>102300</v>
      </c>
      <c r="B5870" s="831" t="s">
        <v>10305</v>
      </c>
      <c r="C5870" s="830" t="s">
        <v>5247</v>
      </c>
      <c r="D5870" s="832">
        <v>16.61</v>
      </c>
    </row>
    <row r="5871" spans="1:4" x14ac:dyDescent="0.3">
      <c r="A5871" s="830">
        <v>102301</v>
      </c>
      <c r="B5871" s="831" t="s">
        <v>4412</v>
      </c>
      <c r="C5871" s="830" t="s">
        <v>5247</v>
      </c>
      <c r="D5871" s="832">
        <v>15.2</v>
      </c>
    </row>
    <row r="5872" spans="1:4" x14ac:dyDescent="0.3">
      <c r="A5872" s="830">
        <v>102302</v>
      </c>
      <c r="B5872" s="831" t="s">
        <v>10306</v>
      </c>
      <c r="C5872" s="830" t="s">
        <v>5247</v>
      </c>
      <c r="D5872" s="832">
        <v>12.37</v>
      </c>
    </row>
    <row r="5873" spans="1:4" x14ac:dyDescent="0.3">
      <c r="A5873" s="830">
        <v>102303</v>
      </c>
      <c r="B5873" s="831" t="s">
        <v>10307</v>
      </c>
      <c r="C5873" s="830" t="s">
        <v>5247</v>
      </c>
      <c r="D5873" s="832">
        <v>10.59</v>
      </c>
    </row>
    <row r="5874" spans="1:4" x14ac:dyDescent="0.3">
      <c r="A5874" s="830">
        <v>102304</v>
      </c>
      <c r="B5874" s="831" t="s">
        <v>10308</v>
      </c>
      <c r="C5874" s="830" t="s">
        <v>5247</v>
      </c>
      <c r="D5874" s="832">
        <v>10.47</v>
      </c>
    </row>
    <row r="5875" spans="1:4" x14ac:dyDescent="0.3">
      <c r="A5875" s="830">
        <v>102305</v>
      </c>
      <c r="B5875" s="831" t="s">
        <v>10309</v>
      </c>
      <c r="C5875" s="830" t="s">
        <v>5247</v>
      </c>
      <c r="D5875" s="832">
        <v>9.57</v>
      </c>
    </row>
    <row r="5876" spans="1:4" x14ac:dyDescent="0.3">
      <c r="A5876" s="830">
        <v>102306</v>
      </c>
      <c r="B5876" s="831" t="s">
        <v>10310</v>
      </c>
      <c r="C5876" s="830" t="s">
        <v>5247</v>
      </c>
      <c r="D5876" s="832">
        <v>13.34</v>
      </c>
    </row>
    <row r="5877" spans="1:4" x14ac:dyDescent="0.3">
      <c r="A5877" s="830">
        <v>102307</v>
      </c>
      <c r="B5877" s="831" t="s">
        <v>10311</v>
      </c>
      <c r="C5877" s="830" t="s">
        <v>5247</v>
      </c>
      <c r="D5877" s="832">
        <v>11.85</v>
      </c>
    </row>
    <row r="5878" spans="1:4" x14ac:dyDescent="0.3">
      <c r="A5878" s="830">
        <v>102308</v>
      </c>
      <c r="B5878" s="831" t="s">
        <v>10312</v>
      </c>
      <c r="C5878" s="830" t="s">
        <v>5247</v>
      </c>
      <c r="D5878" s="832">
        <v>11.48</v>
      </c>
    </row>
    <row r="5879" spans="1:4" x14ac:dyDescent="0.3">
      <c r="A5879" s="830">
        <v>102309</v>
      </c>
      <c r="B5879" s="831" t="s">
        <v>10313</v>
      </c>
      <c r="C5879" s="830" t="s">
        <v>5247</v>
      </c>
      <c r="D5879" s="832">
        <v>10.86</v>
      </c>
    </row>
    <row r="5880" spans="1:4" x14ac:dyDescent="0.3">
      <c r="A5880" s="830">
        <v>102310</v>
      </c>
      <c r="B5880" s="831" t="s">
        <v>10314</v>
      </c>
      <c r="C5880" s="830" t="s">
        <v>5247</v>
      </c>
      <c r="D5880" s="832">
        <v>10.55</v>
      </c>
    </row>
    <row r="5881" spans="1:4" x14ac:dyDescent="0.3">
      <c r="A5881" s="830">
        <v>102311</v>
      </c>
      <c r="B5881" s="831" t="s">
        <v>10315</v>
      </c>
      <c r="C5881" s="830" t="s">
        <v>5247</v>
      </c>
      <c r="D5881" s="832">
        <v>11.12</v>
      </c>
    </row>
    <row r="5882" spans="1:4" x14ac:dyDescent="0.3">
      <c r="A5882" s="830">
        <v>102312</v>
      </c>
      <c r="B5882" s="831" t="s">
        <v>10316</v>
      </c>
      <c r="C5882" s="830" t="s">
        <v>5247</v>
      </c>
      <c r="D5882" s="832">
        <v>10.69</v>
      </c>
    </row>
    <row r="5883" spans="1:4" x14ac:dyDescent="0.3">
      <c r="A5883" s="830">
        <v>102313</v>
      </c>
      <c r="B5883" s="831" t="s">
        <v>10317</v>
      </c>
      <c r="C5883" s="830" t="s">
        <v>5247</v>
      </c>
      <c r="D5883" s="832">
        <v>10.48</v>
      </c>
    </row>
    <row r="5884" spans="1:4" x14ac:dyDescent="0.3">
      <c r="A5884" s="830">
        <v>102314</v>
      </c>
      <c r="B5884" s="831" t="s">
        <v>10318</v>
      </c>
      <c r="C5884" s="830" t="s">
        <v>5247</v>
      </c>
      <c r="D5884" s="832">
        <v>8.41</v>
      </c>
    </row>
    <row r="5885" spans="1:4" x14ac:dyDescent="0.3">
      <c r="A5885" s="830">
        <v>102315</v>
      </c>
      <c r="B5885" s="831" t="s">
        <v>10319</v>
      </c>
      <c r="C5885" s="830" t="s">
        <v>5247</v>
      </c>
      <c r="D5885" s="832">
        <v>7.46</v>
      </c>
    </row>
    <row r="5886" spans="1:4" x14ac:dyDescent="0.3">
      <c r="A5886" s="830">
        <v>102316</v>
      </c>
      <c r="B5886" s="831" t="s">
        <v>10320</v>
      </c>
      <c r="C5886" s="830" t="s">
        <v>5247</v>
      </c>
      <c r="D5886" s="832">
        <v>7.23</v>
      </c>
    </row>
    <row r="5887" spans="1:4" x14ac:dyDescent="0.3">
      <c r="A5887" s="830">
        <v>102317</v>
      </c>
      <c r="B5887" s="831" t="s">
        <v>10321</v>
      </c>
      <c r="C5887" s="830" t="s">
        <v>5247</v>
      </c>
      <c r="D5887" s="832">
        <v>6.84</v>
      </c>
    </row>
    <row r="5888" spans="1:4" x14ac:dyDescent="0.3">
      <c r="A5888" s="830">
        <v>102318</v>
      </c>
      <c r="B5888" s="831" t="s">
        <v>10322</v>
      </c>
      <c r="C5888" s="830" t="s">
        <v>5247</v>
      </c>
      <c r="D5888" s="832">
        <v>6.64</v>
      </c>
    </row>
    <row r="5889" spans="1:4" x14ac:dyDescent="0.3">
      <c r="A5889" s="830">
        <v>102319</v>
      </c>
      <c r="B5889" s="831" t="s">
        <v>10323</v>
      </c>
      <c r="C5889" s="830" t="s">
        <v>5247</v>
      </c>
      <c r="D5889" s="832">
        <v>7.01</v>
      </c>
    </row>
    <row r="5890" spans="1:4" x14ac:dyDescent="0.3">
      <c r="A5890" s="830">
        <v>102320</v>
      </c>
      <c r="B5890" s="831" t="s">
        <v>10324</v>
      </c>
      <c r="C5890" s="830" t="s">
        <v>5247</v>
      </c>
      <c r="D5890" s="832">
        <v>6.73</v>
      </c>
    </row>
    <row r="5891" spans="1:4" x14ac:dyDescent="0.3">
      <c r="A5891" s="830">
        <v>102321</v>
      </c>
      <c r="B5891" s="831" t="s">
        <v>10325</v>
      </c>
      <c r="C5891" s="830" t="s">
        <v>5247</v>
      </c>
      <c r="D5891" s="832">
        <v>6.6</v>
      </c>
    </row>
    <row r="5892" spans="1:4" x14ac:dyDescent="0.3">
      <c r="A5892" s="830">
        <v>102322</v>
      </c>
      <c r="B5892" s="831" t="s">
        <v>10326</v>
      </c>
      <c r="C5892" s="830" t="s">
        <v>5247</v>
      </c>
      <c r="D5892" s="832">
        <v>18.75</v>
      </c>
    </row>
    <row r="5893" spans="1:4" x14ac:dyDescent="0.3">
      <c r="A5893" s="830">
        <v>102323</v>
      </c>
      <c r="B5893" s="831" t="s">
        <v>10327</v>
      </c>
      <c r="C5893" s="830" t="s">
        <v>5247</v>
      </c>
      <c r="D5893" s="832">
        <v>16.07</v>
      </c>
    </row>
    <row r="5894" spans="1:4" x14ac:dyDescent="0.3">
      <c r="A5894" s="830">
        <v>102324</v>
      </c>
      <c r="B5894" s="831" t="s">
        <v>10328</v>
      </c>
      <c r="C5894" s="830" t="s">
        <v>5247</v>
      </c>
      <c r="D5894" s="832">
        <v>15.88</v>
      </c>
    </row>
    <row r="5895" spans="1:4" x14ac:dyDescent="0.3">
      <c r="A5895" s="830">
        <v>102325</v>
      </c>
      <c r="B5895" s="831" t="s">
        <v>10329</v>
      </c>
      <c r="C5895" s="830" t="s">
        <v>5247</v>
      </c>
      <c r="D5895" s="832">
        <v>14.53</v>
      </c>
    </row>
    <row r="5896" spans="1:4" x14ac:dyDescent="0.3">
      <c r="A5896" s="830">
        <v>102326</v>
      </c>
      <c r="B5896" s="831" t="s">
        <v>10330</v>
      </c>
      <c r="C5896" s="830" t="s">
        <v>5247</v>
      </c>
      <c r="D5896" s="832">
        <v>11.81</v>
      </c>
    </row>
    <row r="5897" spans="1:4" x14ac:dyDescent="0.3">
      <c r="A5897" s="830">
        <v>102327</v>
      </c>
      <c r="B5897" s="831" t="s">
        <v>10331</v>
      </c>
      <c r="C5897" s="830" t="s">
        <v>5247</v>
      </c>
      <c r="D5897" s="832">
        <v>10.130000000000001</v>
      </c>
    </row>
    <row r="5898" spans="1:4" x14ac:dyDescent="0.3">
      <c r="A5898" s="830">
        <v>102328</v>
      </c>
      <c r="B5898" s="831" t="s">
        <v>10332</v>
      </c>
      <c r="C5898" s="830" t="s">
        <v>5247</v>
      </c>
      <c r="D5898" s="832">
        <v>9.99</v>
      </c>
    </row>
    <row r="5899" spans="1:4" x14ac:dyDescent="0.3">
      <c r="A5899" s="830">
        <v>102329</v>
      </c>
      <c r="B5899" s="831" t="s">
        <v>10333</v>
      </c>
      <c r="C5899" s="830" t="s">
        <v>5247</v>
      </c>
      <c r="D5899" s="832">
        <v>9.15</v>
      </c>
    </row>
    <row r="5900" spans="1:4" x14ac:dyDescent="0.3">
      <c r="A5900" s="830">
        <v>94304</v>
      </c>
      <c r="B5900" s="831" t="s">
        <v>10334</v>
      </c>
      <c r="C5900" s="830" t="s">
        <v>5247</v>
      </c>
      <c r="D5900" s="832">
        <v>74.599999999999994</v>
      </c>
    </row>
    <row r="5901" spans="1:4" x14ac:dyDescent="0.3">
      <c r="A5901" s="830">
        <v>94306</v>
      </c>
      <c r="B5901" s="831" t="s">
        <v>10335</v>
      </c>
      <c r="C5901" s="830" t="s">
        <v>5247</v>
      </c>
      <c r="D5901" s="832">
        <v>68.17</v>
      </c>
    </row>
    <row r="5902" spans="1:4" x14ac:dyDescent="0.3">
      <c r="A5902" s="830">
        <v>94310</v>
      </c>
      <c r="B5902" s="831" t="s">
        <v>10336</v>
      </c>
      <c r="C5902" s="830" t="s">
        <v>5247</v>
      </c>
      <c r="D5902" s="832">
        <v>65.260000000000005</v>
      </c>
    </row>
    <row r="5903" spans="1:4" x14ac:dyDescent="0.3">
      <c r="A5903" s="830">
        <v>94316</v>
      </c>
      <c r="B5903" s="831" t="s">
        <v>10337</v>
      </c>
      <c r="C5903" s="830" t="s">
        <v>5247</v>
      </c>
      <c r="D5903" s="832">
        <v>69.36</v>
      </c>
    </row>
    <row r="5904" spans="1:4" x14ac:dyDescent="0.3">
      <c r="A5904" s="830">
        <v>94318</v>
      </c>
      <c r="B5904" s="831" t="s">
        <v>10338</v>
      </c>
      <c r="C5904" s="830" t="s">
        <v>5247</v>
      </c>
      <c r="D5904" s="832">
        <v>63.9</v>
      </c>
    </row>
    <row r="5905" spans="1:4" x14ac:dyDescent="0.3">
      <c r="A5905" s="830">
        <v>94319</v>
      </c>
      <c r="B5905" s="831" t="s">
        <v>10339</v>
      </c>
      <c r="C5905" s="830" t="s">
        <v>5247</v>
      </c>
      <c r="D5905" s="832">
        <v>78.739999999999995</v>
      </c>
    </row>
    <row r="5906" spans="1:4" x14ac:dyDescent="0.3">
      <c r="A5906" s="830">
        <v>94327</v>
      </c>
      <c r="B5906" s="831" t="s">
        <v>10340</v>
      </c>
      <c r="C5906" s="830" t="s">
        <v>5247</v>
      </c>
      <c r="D5906" s="832">
        <v>161.62</v>
      </c>
    </row>
    <row r="5907" spans="1:4" x14ac:dyDescent="0.3">
      <c r="A5907" s="830">
        <v>94329</v>
      </c>
      <c r="B5907" s="831" t="s">
        <v>10341</v>
      </c>
      <c r="C5907" s="830" t="s">
        <v>5247</v>
      </c>
      <c r="D5907" s="832">
        <v>155.19</v>
      </c>
    </row>
    <row r="5908" spans="1:4" x14ac:dyDescent="0.3">
      <c r="A5908" s="830">
        <v>94333</v>
      </c>
      <c r="B5908" s="831" t="s">
        <v>10342</v>
      </c>
      <c r="C5908" s="830" t="s">
        <v>5247</v>
      </c>
      <c r="D5908" s="832">
        <v>152.28</v>
      </c>
    </row>
    <row r="5909" spans="1:4" x14ac:dyDescent="0.3">
      <c r="A5909" s="830">
        <v>94339</v>
      </c>
      <c r="B5909" s="831" t="s">
        <v>10343</v>
      </c>
      <c r="C5909" s="830" t="s">
        <v>5247</v>
      </c>
      <c r="D5909" s="832">
        <v>156.38</v>
      </c>
    </row>
    <row r="5910" spans="1:4" x14ac:dyDescent="0.3">
      <c r="A5910" s="830">
        <v>94341</v>
      </c>
      <c r="B5910" s="831" t="s">
        <v>10344</v>
      </c>
      <c r="C5910" s="830" t="s">
        <v>5247</v>
      </c>
      <c r="D5910" s="832">
        <v>150.91999999999999</v>
      </c>
    </row>
    <row r="5911" spans="1:4" x14ac:dyDescent="0.3">
      <c r="A5911" s="830">
        <v>94342</v>
      </c>
      <c r="B5911" s="831" t="s">
        <v>10345</v>
      </c>
      <c r="C5911" s="830" t="s">
        <v>5247</v>
      </c>
      <c r="D5911" s="832">
        <v>165.76</v>
      </c>
    </row>
    <row r="5912" spans="1:4" x14ac:dyDescent="0.3">
      <c r="A5912" s="830">
        <v>96385</v>
      </c>
      <c r="B5912" s="831" t="s">
        <v>4443</v>
      </c>
      <c r="C5912" s="830" t="s">
        <v>5247</v>
      </c>
      <c r="D5912" s="832">
        <v>12.32</v>
      </c>
    </row>
    <row r="5913" spans="1:4" x14ac:dyDescent="0.3">
      <c r="A5913" s="830">
        <v>96386</v>
      </c>
      <c r="B5913" s="831" t="s">
        <v>10346</v>
      </c>
      <c r="C5913" s="830" t="s">
        <v>5247</v>
      </c>
      <c r="D5913" s="832">
        <v>6.66</v>
      </c>
    </row>
    <row r="5914" spans="1:4" x14ac:dyDescent="0.3">
      <c r="A5914" s="830">
        <v>105556</v>
      </c>
      <c r="B5914" s="831" t="s">
        <v>10347</v>
      </c>
      <c r="C5914" s="830" t="s">
        <v>5247</v>
      </c>
      <c r="D5914" s="832">
        <v>13.85</v>
      </c>
    </row>
    <row r="5915" spans="1:4" x14ac:dyDescent="0.3">
      <c r="A5915" s="830">
        <v>105557</v>
      </c>
      <c r="B5915" s="831" t="s">
        <v>10348</v>
      </c>
      <c r="C5915" s="830" t="s">
        <v>5247</v>
      </c>
      <c r="D5915" s="832">
        <v>15.84</v>
      </c>
    </row>
    <row r="5916" spans="1:4" x14ac:dyDescent="0.3">
      <c r="A5916" s="830">
        <v>105558</v>
      </c>
      <c r="B5916" s="831" t="s">
        <v>10349</v>
      </c>
      <c r="C5916" s="830" t="s">
        <v>5247</v>
      </c>
      <c r="D5916" s="832">
        <v>13.65</v>
      </c>
    </row>
    <row r="5917" spans="1:4" x14ac:dyDescent="0.3">
      <c r="A5917" s="830">
        <v>105559</v>
      </c>
      <c r="B5917" s="831" t="s">
        <v>10350</v>
      </c>
      <c r="C5917" s="830" t="s">
        <v>5247</v>
      </c>
      <c r="D5917" s="832">
        <v>10.47</v>
      </c>
    </row>
    <row r="5918" spans="1:4" x14ac:dyDescent="0.3">
      <c r="A5918" s="830">
        <v>105560</v>
      </c>
      <c r="B5918" s="831" t="s">
        <v>10351</v>
      </c>
      <c r="C5918" s="830" t="s">
        <v>5247</v>
      </c>
      <c r="D5918" s="832">
        <v>12.47</v>
      </c>
    </row>
    <row r="5919" spans="1:4" x14ac:dyDescent="0.3">
      <c r="A5919" s="830">
        <v>105561</v>
      </c>
      <c r="B5919" s="831" t="s">
        <v>10352</v>
      </c>
      <c r="C5919" s="830" t="s">
        <v>5247</v>
      </c>
      <c r="D5919" s="832">
        <v>8.15</v>
      </c>
    </row>
    <row r="5920" spans="1:4" x14ac:dyDescent="0.3">
      <c r="A5920" s="830">
        <v>105562</v>
      </c>
      <c r="B5920" s="831" t="s">
        <v>10353</v>
      </c>
      <c r="C5920" s="830" t="s">
        <v>5247</v>
      </c>
      <c r="D5920" s="832">
        <v>8.32</v>
      </c>
    </row>
    <row r="5921" spans="1:4" x14ac:dyDescent="0.3">
      <c r="A5921" s="830">
        <v>105563</v>
      </c>
      <c r="B5921" s="831" t="s">
        <v>10354</v>
      </c>
      <c r="C5921" s="830" t="s">
        <v>5247</v>
      </c>
      <c r="D5921" s="832">
        <v>6.72</v>
      </c>
    </row>
    <row r="5922" spans="1:4" x14ac:dyDescent="0.3">
      <c r="A5922" s="830">
        <v>105564</v>
      </c>
      <c r="B5922" s="831" t="s">
        <v>10355</v>
      </c>
      <c r="C5922" s="830" t="s">
        <v>5247</v>
      </c>
      <c r="D5922" s="832">
        <v>6.19</v>
      </c>
    </row>
    <row r="5923" spans="1:4" x14ac:dyDescent="0.3">
      <c r="A5923" s="830">
        <v>105565</v>
      </c>
      <c r="B5923" s="831" t="s">
        <v>10356</v>
      </c>
      <c r="C5923" s="830" t="s">
        <v>5247</v>
      </c>
      <c r="D5923" s="832">
        <v>6.24</v>
      </c>
    </row>
    <row r="5924" spans="1:4" x14ac:dyDescent="0.3">
      <c r="A5924" s="830">
        <v>93367</v>
      </c>
      <c r="B5924" s="831" t="s">
        <v>10357</v>
      </c>
      <c r="C5924" s="830" t="s">
        <v>5247</v>
      </c>
      <c r="D5924" s="832">
        <v>22.73</v>
      </c>
    </row>
    <row r="5925" spans="1:4" x14ac:dyDescent="0.3">
      <c r="A5925" s="830">
        <v>93368</v>
      </c>
      <c r="B5925" s="831" t="s">
        <v>10358</v>
      </c>
      <c r="C5925" s="830" t="s">
        <v>5247</v>
      </c>
      <c r="D5925" s="832">
        <v>19.87</v>
      </c>
    </row>
    <row r="5926" spans="1:4" x14ac:dyDescent="0.3">
      <c r="A5926" s="830">
        <v>93369</v>
      </c>
      <c r="B5926" s="831" t="s">
        <v>10359</v>
      </c>
      <c r="C5926" s="830" t="s">
        <v>5247</v>
      </c>
      <c r="D5926" s="832">
        <v>16.3</v>
      </c>
    </row>
    <row r="5927" spans="1:4" x14ac:dyDescent="0.3">
      <c r="A5927" s="830">
        <v>93372</v>
      </c>
      <c r="B5927" s="831" t="s">
        <v>10360</v>
      </c>
      <c r="C5927" s="830" t="s">
        <v>5247</v>
      </c>
      <c r="D5927" s="832">
        <v>15.66</v>
      </c>
    </row>
    <row r="5928" spans="1:4" x14ac:dyDescent="0.3">
      <c r="A5928" s="830">
        <v>93373</v>
      </c>
      <c r="B5928" s="831" t="s">
        <v>10361</v>
      </c>
      <c r="C5928" s="830" t="s">
        <v>5247</v>
      </c>
      <c r="D5928" s="832">
        <v>13.39</v>
      </c>
    </row>
    <row r="5929" spans="1:4" x14ac:dyDescent="0.3">
      <c r="A5929" s="830">
        <v>93378</v>
      </c>
      <c r="B5929" s="831" t="s">
        <v>10362</v>
      </c>
      <c r="C5929" s="830" t="s">
        <v>5247</v>
      </c>
      <c r="D5929" s="832">
        <v>22.76</v>
      </c>
    </row>
    <row r="5930" spans="1:4" x14ac:dyDescent="0.3">
      <c r="A5930" s="830">
        <v>93379</v>
      </c>
      <c r="B5930" s="831" t="s">
        <v>10363</v>
      </c>
      <c r="C5930" s="830" t="s">
        <v>5247</v>
      </c>
      <c r="D5930" s="832">
        <v>17.489999999999998</v>
      </c>
    </row>
    <row r="5931" spans="1:4" x14ac:dyDescent="0.3">
      <c r="A5931" s="830">
        <v>93380</v>
      </c>
      <c r="B5931" s="831" t="s">
        <v>10364</v>
      </c>
      <c r="C5931" s="830" t="s">
        <v>5247</v>
      </c>
      <c r="D5931" s="832">
        <v>14.88</v>
      </c>
    </row>
    <row r="5932" spans="1:4" x14ac:dyDescent="0.3">
      <c r="A5932" s="830">
        <v>93381</v>
      </c>
      <c r="B5932" s="831" t="s">
        <v>10365</v>
      </c>
      <c r="C5932" s="830" t="s">
        <v>5247</v>
      </c>
      <c r="D5932" s="832">
        <v>12.03</v>
      </c>
    </row>
    <row r="5933" spans="1:4" x14ac:dyDescent="0.3">
      <c r="A5933" s="830">
        <v>93382</v>
      </c>
      <c r="B5933" s="831" t="s">
        <v>2708</v>
      </c>
      <c r="C5933" s="830" t="s">
        <v>5247</v>
      </c>
      <c r="D5933" s="832">
        <v>26.87</v>
      </c>
    </row>
    <row r="5934" spans="1:4" x14ac:dyDescent="0.3">
      <c r="A5934" s="830">
        <v>104728</v>
      </c>
      <c r="B5934" s="831" t="s">
        <v>10366</v>
      </c>
      <c r="C5934" s="830" t="s">
        <v>5247</v>
      </c>
      <c r="D5934" s="832">
        <v>19.21</v>
      </c>
    </row>
    <row r="5935" spans="1:4" x14ac:dyDescent="0.3">
      <c r="A5935" s="830">
        <v>104729</v>
      </c>
      <c r="B5935" s="831" t="s">
        <v>10367</v>
      </c>
      <c r="C5935" s="830" t="s">
        <v>5247</v>
      </c>
      <c r="D5935" s="832">
        <v>16.36</v>
      </c>
    </row>
    <row r="5936" spans="1:4" x14ac:dyDescent="0.3">
      <c r="A5936" s="830">
        <v>104730</v>
      </c>
      <c r="B5936" s="831" t="s">
        <v>10368</v>
      </c>
      <c r="C5936" s="830" t="s">
        <v>5247</v>
      </c>
      <c r="D5936" s="832">
        <v>12.78</v>
      </c>
    </row>
    <row r="5937" spans="1:4" x14ac:dyDescent="0.3">
      <c r="A5937" s="830">
        <v>104731</v>
      </c>
      <c r="B5937" s="831" t="s">
        <v>10369</v>
      </c>
      <c r="C5937" s="830" t="s">
        <v>5247</v>
      </c>
      <c r="D5937" s="832">
        <v>12.14</v>
      </c>
    </row>
    <row r="5938" spans="1:4" x14ac:dyDescent="0.3">
      <c r="A5938" s="830">
        <v>104732</v>
      </c>
      <c r="B5938" s="831" t="s">
        <v>10370</v>
      </c>
      <c r="C5938" s="830" t="s">
        <v>5247</v>
      </c>
      <c r="D5938" s="832">
        <v>9.8800000000000008</v>
      </c>
    </row>
    <row r="5939" spans="1:4" x14ac:dyDescent="0.3">
      <c r="A5939" s="830">
        <v>104733</v>
      </c>
      <c r="B5939" s="831" t="s">
        <v>10371</v>
      </c>
      <c r="C5939" s="830" t="s">
        <v>5247</v>
      </c>
      <c r="D5939" s="832">
        <v>19.21</v>
      </c>
    </row>
    <row r="5940" spans="1:4" x14ac:dyDescent="0.3">
      <c r="A5940" s="830">
        <v>104734</v>
      </c>
      <c r="B5940" s="831" t="s">
        <v>10372</v>
      </c>
      <c r="C5940" s="830" t="s">
        <v>5247</v>
      </c>
      <c r="D5940" s="832">
        <v>13.96</v>
      </c>
    </row>
    <row r="5941" spans="1:4" x14ac:dyDescent="0.3">
      <c r="A5941" s="830">
        <v>104735</v>
      </c>
      <c r="B5941" s="831" t="s">
        <v>10373</v>
      </c>
      <c r="C5941" s="830" t="s">
        <v>5247</v>
      </c>
      <c r="D5941" s="832">
        <v>11.36</v>
      </c>
    </row>
    <row r="5942" spans="1:4" x14ac:dyDescent="0.3">
      <c r="A5942" s="830">
        <v>104736</v>
      </c>
      <c r="B5942" s="831" t="s">
        <v>10374</v>
      </c>
      <c r="C5942" s="830" t="s">
        <v>5247</v>
      </c>
      <c r="D5942" s="832">
        <v>8.52</v>
      </c>
    </row>
    <row r="5943" spans="1:4" x14ac:dyDescent="0.3">
      <c r="A5943" s="830">
        <v>104737</v>
      </c>
      <c r="B5943" s="831" t="s">
        <v>10375</v>
      </c>
      <c r="C5943" s="830" t="s">
        <v>5247</v>
      </c>
      <c r="D5943" s="832">
        <v>23.32</v>
      </c>
    </row>
    <row r="5944" spans="1:4" x14ac:dyDescent="0.3">
      <c r="A5944" s="830">
        <v>104738</v>
      </c>
      <c r="B5944" s="831" t="s">
        <v>10376</v>
      </c>
      <c r="C5944" s="830" t="s">
        <v>5247</v>
      </c>
      <c r="D5944" s="832">
        <v>79.22</v>
      </c>
    </row>
    <row r="5945" spans="1:4" x14ac:dyDescent="0.3">
      <c r="A5945" s="830">
        <v>104739</v>
      </c>
      <c r="B5945" s="831" t="s">
        <v>10377</v>
      </c>
      <c r="C5945" s="830" t="s">
        <v>5247</v>
      </c>
      <c r="D5945" s="832">
        <v>166.24</v>
      </c>
    </row>
    <row r="5946" spans="1:4" x14ac:dyDescent="0.3">
      <c r="A5946" s="830">
        <v>104740</v>
      </c>
      <c r="B5946" s="831" t="s">
        <v>10378</v>
      </c>
      <c r="C5946" s="830" t="s">
        <v>5247</v>
      </c>
      <c r="D5946" s="832">
        <v>27.35</v>
      </c>
    </row>
    <row r="5947" spans="1:4" x14ac:dyDescent="0.3">
      <c r="A5947" s="830">
        <v>104741</v>
      </c>
      <c r="B5947" s="831" t="s">
        <v>10379</v>
      </c>
      <c r="C5947" s="830" t="s">
        <v>5247</v>
      </c>
      <c r="D5947" s="832">
        <v>23.8</v>
      </c>
    </row>
    <row r="5948" spans="1:4" x14ac:dyDescent="0.3">
      <c r="A5948" s="830">
        <v>104742</v>
      </c>
      <c r="B5948" s="831" t="s">
        <v>10380</v>
      </c>
      <c r="C5948" s="830" t="s">
        <v>252</v>
      </c>
      <c r="D5948" s="832">
        <v>8.32</v>
      </c>
    </row>
    <row r="5949" spans="1:4" x14ac:dyDescent="0.3">
      <c r="A5949" s="830">
        <v>97916</v>
      </c>
      <c r="B5949" s="831" t="s">
        <v>10381</v>
      </c>
      <c r="C5949" s="830" t="s">
        <v>416</v>
      </c>
      <c r="D5949" s="832">
        <v>2.5099999999999998</v>
      </c>
    </row>
    <row r="5950" spans="1:4" x14ac:dyDescent="0.3">
      <c r="A5950" s="830">
        <v>97917</v>
      </c>
      <c r="B5950" s="831" t="s">
        <v>10382</v>
      </c>
      <c r="C5950" s="830" t="s">
        <v>416</v>
      </c>
      <c r="D5950" s="832">
        <v>2.17</v>
      </c>
    </row>
    <row r="5951" spans="1:4" x14ac:dyDescent="0.3">
      <c r="A5951" s="830">
        <v>97918</v>
      </c>
      <c r="B5951" s="831" t="s">
        <v>10383</v>
      </c>
      <c r="C5951" s="830" t="s">
        <v>416</v>
      </c>
      <c r="D5951" s="832">
        <v>2</v>
      </c>
    </row>
    <row r="5952" spans="1:4" x14ac:dyDescent="0.3">
      <c r="A5952" s="830">
        <v>97919</v>
      </c>
      <c r="B5952" s="831" t="s">
        <v>10384</v>
      </c>
      <c r="C5952" s="830" t="s">
        <v>416</v>
      </c>
      <c r="D5952" s="832">
        <v>0.79</v>
      </c>
    </row>
    <row r="5953" spans="1:4" x14ac:dyDescent="0.3">
      <c r="A5953" s="830">
        <v>101616</v>
      </c>
      <c r="B5953" s="831" t="s">
        <v>10385</v>
      </c>
      <c r="C5953" s="830" t="s">
        <v>252</v>
      </c>
      <c r="D5953" s="832">
        <v>6.96</v>
      </c>
    </row>
    <row r="5954" spans="1:4" x14ac:dyDescent="0.3">
      <c r="A5954" s="830">
        <v>101617</v>
      </c>
      <c r="B5954" s="831" t="s">
        <v>10386</v>
      </c>
      <c r="C5954" s="830" t="s">
        <v>252</v>
      </c>
      <c r="D5954" s="832">
        <v>3.43</v>
      </c>
    </row>
    <row r="5955" spans="1:4" x14ac:dyDescent="0.3">
      <c r="A5955" s="830">
        <v>101618</v>
      </c>
      <c r="B5955" s="831" t="s">
        <v>10387</v>
      </c>
      <c r="C5955" s="830" t="s">
        <v>5247</v>
      </c>
      <c r="D5955" s="832">
        <v>358.09</v>
      </c>
    </row>
    <row r="5956" spans="1:4" x14ac:dyDescent="0.3">
      <c r="A5956" s="830">
        <v>101619</v>
      </c>
      <c r="B5956" s="831" t="s">
        <v>3372</v>
      </c>
      <c r="C5956" s="830" t="s">
        <v>5247</v>
      </c>
      <c r="D5956" s="832">
        <v>420</v>
      </c>
    </row>
    <row r="5957" spans="1:4" x14ac:dyDescent="0.3">
      <c r="A5957" s="830">
        <v>101620</v>
      </c>
      <c r="B5957" s="831" t="s">
        <v>10388</v>
      </c>
      <c r="C5957" s="830" t="s">
        <v>5247</v>
      </c>
      <c r="D5957" s="832">
        <v>330.31</v>
      </c>
    </row>
    <row r="5958" spans="1:4" x14ac:dyDescent="0.3">
      <c r="A5958" s="830">
        <v>101621</v>
      </c>
      <c r="B5958" s="831" t="s">
        <v>10389</v>
      </c>
      <c r="C5958" s="830" t="s">
        <v>5247</v>
      </c>
      <c r="D5958" s="832">
        <v>392.21</v>
      </c>
    </row>
    <row r="5959" spans="1:4" x14ac:dyDescent="0.3">
      <c r="A5959" s="830">
        <v>101622</v>
      </c>
      <c r="B5959" s="831" t="s">
        <v>10390</v>
      </c>
      <c r="C5959" s="830" t="s">
        <v>5247</v>
      </c>
      <c r="D5959" s="832">
        <v>320.8</v>
      </c>
    </row>
    <row r="5960" spans="1:4" x14ac:dyDescent="0.3">
      <c r="A5960" s="830">
        <v>101623</v>
      </c>
      <c r="B5960" s="831" t="s">
        <v>358</v>
      </c>
      <c r="C5960" s="830" t="s">
        <v>5247</v>
      </c>
      <c r="D5960" s="832">
        <v>374.02</v>
      </c>
    </row>
    <row r="5961" spans="1:4" x14ac:dyDescent="0.3">
      <c r="A5961" s="830">
        <v>101624</v>
      </c>
      <c r="B5961" s="831" t="s">
        <v>361</v>
      </c>
      <c r="C5961" s="830" t="s">
        <v>5247</v>
      </c>
      <c r="D5961" s="832">
        <v>326.51</v>
      </c>
    </row>
    <row r="5962" spans="1:4" x14ac:dyDescent="0.3">
      <c r="A5962" s="830">
        <v>101625</v>
      </c>
      <c r="B5962" s="831" t="s">
        <v>10391</v>
      </c>
      <c r="C5962" s="830" t="s">
        <v>5247</v>
      </c>
      <c r="D5962" s="832">
        <v>279.3</v>
      </c>
    </row>
    <row r="5963" spans="1:4" x14ac:dyDescent="0.3">
      <c r="A5963" s="830">
        <v>101159</v>
      </c>
      <c r="B5963" s="831" t="s">
        <v>10392</v>
      </c>
      <c r="C5963" s="830" t="s">
        <v>252</v>
      </c>
      <c r="D5963" s="832">
        <v>148.44999999999999</v>
      </c>
    </row>
    <row r="5964" spans="1:4" x14ac:dyDescent="0.3">
      <c r="A5964" s="830">
        <v>103322</v>
      </c>
      <c r="B5964" s="831" t="s">
        <v>10393</v>
      </c>
      <c r="C5964" s="830" t="s">
        <v>252</v>
      </c>
      <c r="D5964" s="832">
        <v>64.3</v>
      </c>
    </row>
    <row r="5965" spans="1:4" x14ac:dyDescent="0.3">
      <c r="A5965" s="830">
        <v>103323</v>
      </c>
      <c r="B5965" s="831" t="s">
        <v>10394</v>
      </c>
      <c r="C5965" s="830" t="s">
        <v>252</v>
      </c>
      <c r="D5965" s="832">
        <v>65.66</v>
      </c>
    </row>
    <row r="5966" spans="1:4" x14ac:dyDescent="0.3">
      <c r="A5966" s="830">
        <v>103324</v>
      </c>
      <c r="B5966" s="831" t="s">
        <v>10395</v>
      </c>
      <c r="C5966" s="830" t="s">
        <v>252</v>
      </c>
      <c r="D5966" s="832">
        <v>85.72</v>
      </c>
    </row>
    <row r="5967" spans="1:4" x14ac:dyDescent="0.3">
      <c r="A5967" s="830">
        <v>103325</v>
      </c>
      <c r="B5967" s="831" t="s">
        <v>10396</v>
      </c>
      <c r="C5967" s="830" t="s">
        <v>252</v>
      </c>
      <c r="D5967" s="832">
        <v>87.25</v>
      </c>
    </row>
    <row r="5968" spans="1:4" x14ac:dyDescent="0.3">
      <c r="A5968" s="830">
        <v>103326</v>
      </c>
      <c r="B5968" s="831" t="s">
        <v>10397</v>
      </c>
      <c r="C5968" s="830" t="s">
        <v>252</v>
      </c>
      <c r="D5968" s="832">
        <v>100.84</v>
      </c>
    </row>
    <row r="5969" spans="1:4" x14ac:dyDescent="0.3">
      <c r="A5969" s="830">
        <v>103327</v>
      </c>
      <c r="B5969" s="831" t="s">
        <v>10398</v>
      </c>
      <c r="C5969" s="830" t="s">
        <v>252</v>
      </c>
      <c r="D5969" s="832">
        <v>102.64</v>
      </c>
    </row>
    <row r="5970" spans="1:4" x14ac:dyDescent="0.3">
      <c r="A5970" s="830">
        <v>103328</v>
      </c>
      <c r="B5970" s="831" t="s">
        <v>10399</v>
      </c>
      <c r="C5970" s="830" t="s">
        <v>252</v>
      </c>
      <c r="D5970" s="832">
        <v>102.28</v>
      </c>
    </row>
    <row r="5971" spans="1:4" x14ac:dyDescent="0.3">
      <c r="A5971" s="830">
        <v>103329</v>
      </c>
      <c r="B5971" s="831" t="s">
        <v>10400</v>
      </c>
      <c r="C5971" s="830" t="s">
        <v>252</v>
      </c>
      <c r="D5971" s="832">
        <v>103.47</v>
      </c>
    </row>
    <row r="5972" spans="1:4" x14ac:dyDescent="0.3">
      <c r="A5972" s="830">
        <v>103330</v>
      </c>
      <c r="B5972" s="831" t="s">
        <v>10401</v>
      </c>
      <c r="C5972" s="830" t="s">
        <v>252</v>
      </c>
      <c r="D5972" s="832">
        <v>89.45</v>
      </c>
    </row>
    <row r="5973" spans="1:4" x14ac:dyDescent="0.3">
      <c r="A5973" s="830">
        <v>103331</v>
      </c>
      <c r="B5973" s="831" t="s">
        <v>10402</v>
      </c>
      <c r="C5973" s="830" t="s">
        <v>252</v>
      </c>
      <c r="D5973" s="832">
        <v>90.73</v>
      </c>
    </row>
    <row r="5974" spans="1:4" x14ac:dyDescent="0.3">
      <c r="A5974" s="830">
        <v>103332</v>
      </c>
      <c r="B5974" s="831" t="s">
        <v>10403</v>
      </c>
      <c r="C5974" s="830" t="s">
        <v>252</v>
      </c>
      <c r="D5974" s="832">
        <v>130.37</v>
      </c>
    </row>
    <row r="5975" spans="1:4" x14ac:dyDescent="0.3">
      <c r="A5975" s="830">
        <v>103333</v>
      </c>
      <c r="B5975" s="831" t="s">
        <v>10404</v>
      </c>
      <c r="C5975" s="830" t="s">
        <v>252</v>
      </c>
      <c r="D5975" s="832">
        <v>131.74</v>
      </c>
    </row>
    <row r="5976" spans="1:4" x14ac:dyDescent="0.3">
      <c r="A5976" s="830">
        <v>103334</v>
      </c>
      <c r="B5976" s="831" t="s">
        <v>10405</v>
      </c>
      <c r="C5976" s="830" t="s">
        <v>252</v>
      </c>
      <c r="D5976" s="832">
        <v>156.85</v>
      </c>
    </row>
    <row r="5977" spans="1:4" x14ac:dyDescent="0.3">
      <c r="A5977" s="830">
        <v>103335</v>
      </c>
      <c r="B5977" s="831" t="s">
        <v>10406</v>
      </c>
      <c r="C5977" s="830" t="s">
        <v>252</v>
      </c>
      <c r="D5977" s="832">
        <v>159.22999999999999</v>
      </c>
    </row>
    <row r="5978" spans="1:4" x14ac:dyDescent="0.3">
      <c r="A5978" s="830">
        <v>103344</v>
      </c>
      <c r="B5978" s="831" t="s">
        <v>10407</v>
      </c>
      <c r="C5978" s="830" t="s">
        <v>252</v>
      </c>
      <c r="D5978" s="832">
        <v>89.7</v>
      </c>
    </row>
    <row r="5979" spans="1:4" x14ac:dyDescent="0.3">
      <c r="A5979" s="830">
        <v>103345</v>
      </c>
      <c r="B5979" s="831" t="s">
        <v>10408</v>
      </c>
      <c r="C5979" s="830" t="s">
        <v>252</v>
      </c>
      <c r="D5979" s="832">
        <v>91.29</v>
      </c>
    </row>
    <row r="5980" spans="1:4" x14ac:dyDescent="0.3">
      <c r="A5980" s="830">
        <v>103346</v>
      </c>
      <c r="B5980" s="831" t="s">
        <v>10409</v>
      </c>
      <c r="C5980" s="830" t="s">
        <v>252</v>
      </c>
      <c r="D5980" s="832">
        <v>99.49</v>
      </c>
    </row>
    <row r="5981" spans="1:4" x14ac:dyDescent="0.3">
      <c r="A5981" s="830">
        <v>103347</v>
      </c>
      <c r="B5981" s="831" t="s">
        <v>10410</v>
      </c>
      <c r="C5981" s="830" t="s">
        <v>252</v>
      </c>
      <c r="D5981" s="832">
        <v>101.18</v>
      </c>
    </row>
    <row r="5982" spans="1:4" x14ac:dyDescent="0.3">
      <c r="A5982" s="830">
        <v>103348</v>
      </c>
      <c r="B5982" s="831" t="s">
        <v>10411</v>
      </c>
      <c r="C5982" s="830" t="s">
        <v>252</v>
      </c>
      <c r="D5982" s="832">
        <v>75.69</v>
      </c>
    </row>
    <row r="5983" spans="1:4" x14ac:dyDescent="0.3">
      <c r="A5983" s="830">
        <v>103349</v>
      </c>
      <c r="B5983" s="831" t="s">
        <v>10412</v>
      </c>
      <c r="C5983" s="830" t="s">
        <v>252</v>
      </c>
      <c r="D5983" s="832">
        <v>77.14</v>
      </c>
    </row>
    <row r="5984" spans="1:4" x14ac:dyDescent="0.3">
      <c r="A5984" s="830">
        <v>103350</v>
      </c>
      <c r="B5984" s="831" t="s">
        <v>10413</v>
      </c>
      <c r="C5984" s="830" t="s">
        <v>252</v>
      </c>
      <c r="D5984" s="832">
        <v>189.45</v>
      </c>
    </row>
    <row r="5985" spans="1:4" x14ac:dyDescent="0.3">
      <c r="A5985" s="830">
        <v>103351</v>
      </c>
      <c r="B5985" s="831" t="s">
        <v>10414</v>
      </c>
      <c r="C5985" s="830" t="s">
        <v>252</v>
      </c>
      <c r="D5985" s="832">
        <v>191.19</v>
      </c>
    </row>
    <row r="5986" spans="1:4" x14ac:dyDescent="0.3">
      <c r="A5986" s="830">
        <v>103352</v>
      </c>
      <c r="B5986" s="831" t="s">
        <v>10415</v>
      </c>
      <c r="C5986" s="830" t="s">
        <v>252</v>
      </c>
      <c r="D5986" s="832">
        <v>111.83</v>
      </c>
    </row>
    <row r="5987" spans="1:4" x14ac:dyDescent="0.3">
      <c r="A5987" s="830">
        <v>103353</v>
      </c>
      <c r="B5987" s="831" t="s">
        <v>10416</v>
      </c>
      <c r="C5987" s="830" t="s">
        <v>252</v>
      </c>
      <c r="D5987" s="832">
        <v>113.09</v>
      </c>
    </row>
    <row r="5988" spans="1:4" x14ac:dyDescent="0.3">
      <c r="A5988" s="830">
        <v>103354</v>
      </c>
      <c r="B5988" s="831" t="s">
        <v>10417</v>
      </c>
      <c r="C5988" s="830" t="s">
        <v>252</v>
      </c>
      <c r="D5988" s="832">
        <v>96.56</v>
      </c>
    </row>
    <row r="5989" spans="1:4" x14ac:dyDescent="0.3">
      <c r="A5989" s="830">
        <v>103355</v>
      </c>
      <c r="B5989" s="831" t="s">
        <v>10418</v>
      </c>
      <c r="C5989" s="830" t="s">
        <v>252</v>
      </c>
      <c r="D5989" s="832">
        <v>97.92</v>
      </c>
    </row>
    <row r="5990" spans="1:4" x14ac:dyDescent="0.3">
      <c r="A5990" s="830">
        <v>103356</v>
      </c>
      <c r="B5990" s="831" t="s">
        <v>10419</v>
      </c>
      <c r="C5990" s="830" t="s">
        <v>252</v>
      </c>
      <c r="D5990" s="832">
        <v>66.23</v>
      </c>
    </row>
    <row r="5991" spans="1:4" x14ac:dyDescent="0.3">
      <c r="A5991" s="830">
        <v>103357</v>
      </c>
      <c r="B5991" s="831" t="s">
        <v>10420</v>
      </c>
      <c r="C5991" s="830" t="s">
        <v>252</v>
      </c>
      <c r="D5991" s="832">
        <v>67.239999999999995</v>
      </c>
    </row>
    <row r="5992" spans="1:4" x14ac:dyDescent="0.3">
      <c r="A5992" s="830">
        <v>103358</v>
      </c>
      <c r="B5992" s="831" t="s">
        <v>10421</v>
      </c>
      <c r="C5992" s="830" t="s">
        <v>252</v>
      </c>
      <c r="D5992" s="832">
        <v>75.52</v>
      </c>
    </row>
    <row r="5993" spans="1:4" x14ac:dyDescent="0.3">
      <c r="A5993" s="830">
        <v>103359</v>
      </c>
      <c r="B5993" s="831" t="s">
        <v>10422</v>
      </c>
      <c r="C5993" s="830" t="s">
        <v>252</v>
      </c>
      <c r="D5993" s="832">
        <v>76.599999999999994</v>
      </c>
    </row>
    <row r="5994" spans="1:4" x14ac:dyDescent="0.3">
      <c r="A5994" s="830">
        <v>103360</v>
      </c>
      <c r="B5994" s="831" t="s">
        <v>10423</v>
      </c>
      <c r="C5994" s="830" t="s">
        <v>252</v>
      </c>
      <c r="D5994" s="832">
        <v>88.3</v>
      </c>
    </row>
    <row r="5995" spans="1:4" x14ac:dyDescent="0.3">
      <c r="A5995" s="830">
        <v>103361</v>
      </c>
      <c r="B5995" s="831" t="s">
        <v>10424</v>
      </c>
      <c r="C5995" s="830" t="s">
        <v>252</v>
      </c>
      <c r="D5995" s="832">
        <v>89.67</v>
      </c>
    </row>
    <row r="5996" spans="1:4" x14ac:dyDescent="0.3">
      <c r="A5996" s="830">
        <v>103362</v>
      </c>
      <c r="B5996" s="831" t="s">
        <v>10425</v>
      </c>
      <c r="C5996" s="830" t="s">
        <v>252</v>
      </c>
      <c r="D5996" s="832">
        <v>107.31</v>
      </c>
    </row>
    <row r="5997" spans="1:4" x14ac:dyDescent="0.3">
      <c r="A5997" s="830">
        <v>103363</v>
      </c>
      <c r="B5997" s="831" t="s">
        <v>10426</v>
      </c>
      <c r="C5997" s="830" t="s">
        <v>252</v>
      </c>
      <c r="D5997" s="832">
        <v>108.84</v>
      </c>
    </row>
    <row r="5998" spans="1:4" x14ac:dyDescent="0.3">
      <c r="A5998" s="830">
        <v>103364</v>
      </c>
      <c r="B5998" s="831" t="s">
        <v>10427</v>
      </c>
      <c r="C5998" s="830" t="s">
        <v>252</v>
      </c>
      <c r="D5998" s="832">
        <v>55.23</v>
      </c>
    </row>
    <row r="5999" spans="1:4" x14ac:dyDescent="0.3">
      <c r="A5999" s="830">
        <v>103365</v>
      </c>
      <c r="B5999" s="831" t="s">
        <v>10428</v>
      </c>
      <c r="C5999" s="830" t="s">
        <v>252</v>
      </c>
      <c r="D5999" s="832">
        <v>55.91</v>
      </c>
    </row>
    <row r="6000" spans="1:4" x14ac:dyDescent="0.3">
      <c r="A6000" s="830">
        <v>103366</v>
      </c>
      <c r="B6000" s="831" t="s">
        <v>10429</v>
      </c>
      <c r="C6000" s="830" t="s">
        <v>252</v>
      </c>
      <c r="D6000" s="832">
        <v>66.209999999999994</v>
      </c>
    </row>
    <row r="6001" spans="1:4" x14ac:dyDescent="0.3">
      <c r="A6001" s="830">
        <v>103367</v>
      </c>
      <c r="B6001" s="831" t="s">
        <v>10430</v>
      </c>
      <c r="C6001" s="830" t="s">
        <v>252</v>
      </c>
      <c r="D6001" s="832">
        <v>67.180000000000007</v>
      </c>
    </row>
    <row r="6002" spans="1:4" x14ac:dyDescent="0.3">
      <c r="A6002" s="830">
        <v>103368</v>
      </c>
      <c r="B6002" s="831" t="s">
        <v>10431</v>
      </c>
      <c r="C6002" s="830" t="s">
        <v>252</v>
      </c>
      <c r="D6002" s="832">
        <v>75.099999999999994</v>
      </c>
    </row>
    <row r="6003" spans="1:4" x14ac:dyDescent="0.3">
      <c r="A6003" s="830">
        <v>103369</v>
      </c>
      <c r="B6003" s="831" t="s">
        <v>10432</v>
      </c>
      <c r="C6003" s="830" t="s">
        <v>252</v>
      </c>
      <c r="D6003" s="832">
        <v>76.34</v>
      </c>
    </row>
    <row r="6004" spans="1:4" x14ac:dyDescent="0.3">
      <c r="A6004" s="830">
        <v>103370</v>
      </c>
      <c r="B6004" s="831" t="s">
        <v>10433</v>
      </c>
      <c r="C6004" s="830" t="s">
        <v>252</v>
      </c>
      <c r="D6004" s="832">
        <v>94.87</v>
      </c>
    </row>
    <row r="6005" spans="1:4" x14ac:dyDescent="0.3">
      <c r="A6005" s="830">
        <v>103371</v>
      </c>
      <c r="B6005" s="831" t="s">
        <v>10434</v>
      </c>
      <c r="C6005" s="830" t="s">
        <v>252</v>
      </c>
      <c r="D6005" s="832">
        <v>96.27</v>
      </c>
    </row>
    <row r="6006" spans="1:4" x14ac:dyDescent="0.3">
      <c r="A6006" s="830">
        <v>89282</v>
      </c>
      <c r="B6006" s="831" t="s">
        <v>10435</v>
      </c>
      <c r="C6006" s="830" t="s">
        <v>252</v>
      </c>
      <c r="D6006" s="832">
        <v>77.98</v>
      </c>
    </row>
    <row r="6007" spans="1:4" x14ac:dyDescent="0.3">
      <c r="A6007" s="830">
        <v>89283</v>
      </c>
      <c r="B6007" s="831" t="s">
        <v>10436</v>
      </c>
      <c r="C6007" s="830" t="s">
        <v>252</v>
      </c>
      <c r="D6007" s="832">
        <v>79.55</v>
      </c>
    </row>
    <row r="6008" spans="1:4" x14ac:dyDescent="0.3">
      <c r="A6008" s="830">
        <v>89290</v>
      </c>
      <c r="B6008" s="831" t="s">
        <v>10437</v>
      </c>
      <c r="C6008" s="830" t="s">
        <v>252</v>
      </c>
      <c r="D6008" s="832">
        <v>86.8</v>
      </c>
    </row>
    <row r="6009" spans="1:4" x14ac:dyDescent="0.3">
      <c r="A6009" s="830">
        <v>89291</v>
      </c>
      <c r="B6009" s="831" t="s">
        <v>10438</v>
      </c>
      <c r="C6009" s="830" t="s">
        <v>252</v>
      </c>
      <c r="D6009" s="832">
        <v>88.54</v>
      </c>
    </row>
    <row r="6010" spans="1:4" x14ac:dyDescent="0.3">
      <c r="A6010" s="830">
        <v>89298</v>
      </c>
      <c r="B6010" s="831" t="s">
        <v>10439</v>
      </c>
      <c r="C6010" s="830" t="s">
        <v>252</v>
      </c>
      <c r="D6010" s="832">
        <v>90.77</v>
      </c>
    </row>
    <row r="6011" spans="1:4" x14ac:dyDescent="0.3">
      <c r="A6011" s="830">
        <v>89299</v>
      </c>
      <c r="B6011" s="831" t="s">
        <v>10440</v>
      </c>
      <c r="C6011" s="830" t="s">
        <v>252</v>
      </c>
      <c r="D6011" s="832">
        <v>92.87</v>
      </c>
    </row>
    <row r="6012" spans="1:4" x14ac:dyDescent="0.3">
      <c r="A6012" s="830">
        <v>89306</v>
      </c>
      <c r="B6012" s="831" t="s">
        <v>10441</v>
      </c>
      <c r="C6012" s="830" t="s">
        <v>252</v>
      </c>
      <c r="D6012" s="832">
        <v>104.86</v>
      </c>
    </row>
    <row r="6013" spans="1:4" x14ac:dyDescent="0.3">
      <c r="A6013" s="830">
        <v>89307</v>
      </c>
      <c r="B6013" s="831" t="s">
        <v>10442</v>
      </c>
      <c r="C6013" s="830" t="s">
        <v>252</v>
      </c>
      <c r="D6013" s="832">
        <v>107.21</v>
      </c>
    </row>
    <row r="6014" spans="1:4" x14ac:dyDescent="0.3">
      <c r="A6014" s="830">
        <v>101157</v>
      </c>
      <c r="B6014" s="831" t="s">
        <v>10443</v>
      </c>
      <c r="C6014" s="830" t="s">
        <v>252</v>
      </c>
      <c r="D6014" s="832">
        <v>58.32</v>
      </c>
    </row>
    <row r="6015" spans="1:4" x14ac:dyDescent="0.3">
      <c r="A6015" s="830">
        <v>101158</v>
      </c>
      <c r="B6015" s="831" t="s">
        <v>10444</v>
      </c>
      <c r="C6015" s="830" t="s">
        <v>252</v>
      </c>
      <c r="D6015" s="832">
        <v>75.55</v>
      </c>
    </row>
    <row r="6016" spans="1:4" x14ac:dyDescent="0.3">
      <c r="A6016" s="830">
        <v>101162</v>
      </c>
      <c r="B6016" s="831" t="s">
        <v>10445</v>
      </c>
      <c r="C6016" s="830" t="s">
        <v>252</v>
      </c>
      <c r="D6016" s="832">
        <v>167.25</v>
      </c>
    </row>
    <row r="6017" spans="1:4" x14ac:dyDescent="0.3">
      <c r="A6017" s="830">
        <v>103316</v>
      </c>
      <c r="B6017" s="831" t="s">
        <v>10446</v>
      </c>
      <c r="C6017" s="830" t="s">
        <v>252</v>
      </c>
      <c r="D6017" s="832">
        <v>87.68</v>
      </c>
    </row>
    <row r="6018" spans="1:4" x14ac:dyDescent="0.3">
      <c r="A6018" s="830">
        <v>103317</v>
      </c>
      <c r="B6018" s="831" t="s">
        <v>10447</v>
      </c>
      <c r="C6018" s="830" t="s">
        <v>252</v>
      </c>
      <c r="D6018" s="832">
        <v>88.81</v>
      </c>
    </row>
    <row r="6019" spans="1:4" x14ac:dyDescent="0.3">
      <c r="A6019" s="830">
        <v>103318</v>
      </c>
      <c r="B6019" s="831" t="s">
        <v>10448</v>
      </c>
      <c r="C6019" s="830" t="s">
        <v>252</v>
      </c>
      <c r="D6019" s="832">
        <v>113.39</v>
      </c>
    </row>
    <row r="6020" spans="1:4" x14ac:dyDescent="0.3">
      <c r="A6020" s="830">
        <v>103319</v>
      </c>
      <c r="B6020" s="831" t="s">
        <v>10449</v>
      </c>
      <c r="C6020" s="830" t="s">
        <v>252</v>
      </c>
      <c r="D6020" s="832">
        <v>114.71</v>
      </c>
    </row>
    <row r="6021" spans="1:4" x14ac:dyDescent="0.3">
      <c r="A6021" s="830">
        <v>103320</v>
      </c>
      <c r="B6021" s="831" t="s">
        <v>507</v>
      </c>
      <c r="C6021" s="830" t="s">
        <v>252</v>
      </c>
      <c r="D6021" s="832">
        <v>136.43</v>
      </c>
    </row>
    <row r="6022" spans="1:4" x14ac:dyDescent="0.3">
      <c r="A6022" s="830">
        <v>103321</v>
      </c>
      <c r="B6022" s="831" t="s">
        <v>10450</v>
      </c>
      <c r="C6022" s="830" t="s">
        <v>252</v>
      </c>
      <c r="D6022" s="832">
        <v>138.1</v>
      </c>
    </row>
    <row r="6023" spans="1:4" x14ac:dyDescent="0.3">
      <c r="A6023" s="830">
        <v>103336</v>
      </c>
      <c r="B6023" s="831" t="s">
        <v>10451</v>
      </c>
      <c r="C6023" s="830" t="s">
        <v>252</v>
      </c>
      <c r="D6023" s="832">
        <v>98.04</v>
      </c>
    </row>
    <row r="6024" spans="1:4" x14ac:dyDescent="0.3">
      <c r="A6024" s="830">
        <v>103337</v>
      </c>
      <c r="B6024" s="831" t="s">
        <v>10452</v>
      </c>
      <c r="C6024" s="830" t="s">
        <v>252</v>
      </c>
      <c r="D6024" s="832">
        <v>99.17</v>
      </c>
    </row>
    <row r="6025" spans="1:4" x14ac:dyDescent="0.3">
      <c r="A6025" s="830">
        <v>103338</v>
      </c>
      <c r="B6025" s="831" t="s">
        <v>10453</v>
      </c>
      <c r="C6025" s="830" t="s">
        <v>252</v>
      </c>
      <c r="D6025" s="832">
        <v>128.54</v>
      </c>
    </row>
    <row r="6026" spans="1:4" x14ac:dyDescent="0.3">
      <c r="A6026" s="830">
        <v>103339</v>
      </c>
      <c r="B6026" s="831" t="s">
        <v>10454</v>
      </c>
      <c r="C6026" s="830" t="s">
        <v>252</v>
      </c>
      <c r="D6026" s="832">
        <v>129.86000000000001</v>
      </c>
    </row>
    <row r="6027" spans="1:4" x14ac:dyDescent="0.3">
      <c r="A6027" s="830">
        <v>103340</v>
      </c>
      <c r="B6027" s="831" t="s">
        <v>10455</v>
      </c>
      <c r="C6027" s="830" t="s">
        <v>252</v>
      </c>
      <c r="D6027" s="832">
        <v>155.87</v>
      </c>
    </row>
    <row r="6028" spans="1:4" x14ac:dyDescent="0.3">
      <c r="A6028" s="830">
        <v>103341</v>
      </c>
      <c r="B6028" s="831" t="s">
        <v>10456</v>
      </c>
      <c r="C6028" s="830" t="s">
        <v>252</v>
      </c>
      <c r="D6028" s="832">
        <v>157.54</v>
      </c>
    </row>
    <row r="6029" spans="1:4" x14ac:dyDescent="0.3">
      <c r="A6029" s="830">
        <v>103342</v>
      </c>
      <c r="B6029" s="831" t="s">
        <v>10457</v>
      </c>
      <c r="C6029" s="830" t="s">
        <v>252</v>
      </c>
      <c r="D6029" s="832">
        <v>132.52000000000001</v>
      </c>
    </row>
    <row r="6030" spans="1:4" x14ac:dyDescent="0.3">
      <c r="A6030" s="830">
        <v>103343</v>
      </c>
      <c r="B6030" s="831" t="s">
        <v>10458</v>
      </c>
      <c r="C6030" s="830" t="s">
        <v>252</v>
      </c>
      <c r="D6030" s="832">
        <v>133.99</v>
      </c>
    </row>
    <row r="6031" spans="1:4" x14ac:dyDescent="0.3">
      <c r="A6031" s="830">
        <v>89453</v>
      </c>
      <c r="B6031" s="831" t="s">
        <v>10459</v>
      </c>
      <c r="C6031" s="830" t="s">
        <v>252</v>
      </c>
      <c r="D6031" s="832">
        <v>101.39</v>
      </c>
    </row>
    <row r="6032" spans="1:4" x14ac:dyDescent="0.3">
      <c r="A6032" s="830">
        <v>89455</v>
      </c>
      <c r="B6032" s="831" t="s">
        <v>10460</v>
      </c>
      <c r="C6032" s="830" t="s">
        <v>252</v>
      </c>
      <c r="D6032" s="832">
        <v>122.76</v>
      </c>
    </row>
    <row r="6033" spans="1:4" x14ac:dyDescent="0.3">
      <c r="A6033" s="830">
        <v>89462</v>
      </c>
      <c r="B6033" s="831" t="s">
        <v>10461</v>
      </c>
      <c r="C6033" s="830" t="s">
        <v>252</v>
      </c>
      <c r="D6033" s="832">
        <v>132.78</v>
      </c>
    </row>
    <row r="6034" spans="1:4" x14ac:dyDescent="0.3">
      <c r="A6034" s="830">
        <v>89464</v>
      </c>
      <c r="B6034" s="831" t="s">
        <v>10462</v>
      </c>
      <c r="C6034" s="830" t="s">
        <v>252</v>
      </c>
      <c r="D6034" s="832">
        <v>155.97</v>
      </c>
    </row>
    <row r="6035" spans="1:4" x14ac:dyDescent="0.3">
      <c r="A6035" s="830">
        <v>89470</v>
      </c>
      <c r="B6035" s="831" t="s">
        <v>10463</v>
      </c>
      <c r="C6035" s="830" t="s">
        <v>252</v>
      </c>
      <c r="D6035" s="832">
        <v>114.52</v>
      </c>
    </row>
    <row r="6036" spans="1:4" x14ac:dyDescent="0.3">
      <c r="A6036" s="830">
        <v>89472</v>
      </c>
      <c r="B6036" s="831" t="s">
        <v>10464</v>
      </c>
      <c r="C6036" s="830" t="s">
        <v>252</v>
      </c>
      <c r="D6036" s="832">
        <v>136.74</v>
      </c>
    </row>
    <row r="6037" spans="1:4" x14ac:dyDescent="0.3">
      <c r="A6037" s="830">
        <v>89478</v>
      </c>
      <c r="B6037" s="831" t="s">
        <v>10465</v>
      </c>
      <c r="C6037" s="830" t="s">
        <v>252</v>
      </c>
      <c r="D6037" s="832">
        <v>154.04</v>
      </c>
    </row>
    <row r="6038" spans="1:4" x14ac:dyDescent="0.3">
      <c r="A6038" s="830">
        <v>89480</v>
      </c>
      <c r="B6038" s="831" t="s">
        <v>10466</v>
      </c>
      <c r="C6038" s="830" t="s">
        <v>252</v>
      </c>
      <c r="D6038" s="832">
        <v>178.04</v>
      </c>
    </row>
    <row r="6039" spans="1:4" x14ac:dyDescent="0.3">
      <c r="A6039" s="830">
        <v>101161</v>
      </c>
      <c r="B6039" s="831" t="s">
        <v>10467</v>
      </c>
      <c r="C6039" s="830" t="s">
        <v>252</v>
      </c>
      <c r="D6039" s="832">
        <v>260.42</v>
      </c>
    </row>
    <row r="6040" spans="1:4" x14ac:dyDescent="0.3">
      <c r="A6040" s="830">
        <v>101163</v>
      </c>
      <c r="B6040" s="831" t="s">
        <v>10468</v>
      </c>
      <c r="C6040" s="830" t="s">
        <v>252</v>
      </c>
      <c r="D6040" s="832">
        <v>689.83</v>
      </c>
    </row>
    <row r="6041" spans="1:4" x14ac:dyDescent="0.3">
      <c r="A6041" s="830">
        <v>101164</v>
      </c>
      <c r="B6041" s="831" t="s">
        <v>10469</v>
      </c>
      <c r="C6041" s="830" t="s">
        <v>252</v>
      </c>
      <c r="D6041" s="832">
        <v>701.15</v>
      </c>
    </row>
    <row r="6042" spans="1:4" x14ac:dyDescent="0.3">
      <c r="A6042" s="830">
        <v>96358</v>
      </c>
      <c r="B6042" s="831" t="s">
        <v>10470</v>
      </c>
      <c r="C6042" s="830" t="s">
        <v>252</v>
      </c>
      <c r="D6042" s="832">
        <v>84.41</v>
      </c>
    </row>
    <row r="6043" spans="1:4" x14ac:dyDescent="0.3">
      <c r="A6043" s="830">
        <v>96359</v>
      </c>
      <c r="B6043" s="831" t="s">
        <v>10471</v>
      </c>
      <c r="C6043" s="830" t="s">
        <v>252</v>
      </c>
      <c r="D6043" s="832">
        <v>95.42</v>
      </c>
    </row>
    <row r="6044" spans="1:4" x14ac:dyDescent="0.3">
      <c r="A6044" s="830">
        <v>96360</v>
      </c>
      <c r="B6044" s="831" t="s">
        <v>10472</v>
      </c>
      <c r="C6044" s="830" t="s">
        <v>252</v>
      </c>
      <c r="D6044" s="832">
        <v>111.53</v>
      </c>
    </row>
    <row r="6045" spans="1:4" x14ac:dyDescent="0.3">
      <c r="A6045" s="830">
        <v>96361</v>
      </c>
      <c r="B6045" s="831" t="s">
        <v>10473</v>
      </c>
      <c r="C6045" s="830" t="s">
        <v>252</v>
      </c>
      <c r="D6045" s="832">
        <v>132.38999999999999</v>
      </c>
    </row>
    <row r="6046" spans="1:4" x14ac:dyDescent="0.3">
      <c r="A6046" s="830">
        <v>96362</v>
      </c>
      <c r="B6046" s="831" t="s">
        <v>10474</v>
      </c>
      <c r="C6046" s="830" t="s">
        <v>252</v>
      </c>
      <c r="D6046" s="832">
        <v>108.38</v>
      </c>
    </row>
    <row r="6047" spans="1:4" x14ac:dyDescent="0.3">
      <c r="A6047" s="830">
        <v>96363</v>
      </c>
      <c r="B6047" s="831" t="s">
        <v>10475</v>
      </c>
      <c r="C6047" s="830" t="s">
        <v>252</v>
      </c>
      <c r="D6047" s="832">
        <v>119.99</v>
      </c>
    </row>
    <row r="6048" spans="1:4" x14ac:dyDescent="0.3">
      <c r="A6048" s="830">
        <v>96364</v>
      </c>
      <c r="B6048" s="831" t="s">
        <v>10476</v>
      </c>
      <c r="C6048" s="830" t="s">
        <v>252</v>
      </c>
      <c r="D6048" s="832">
        <v>135.5</v>
      </c>
    </row>
    <row r="6049" spans="1:4" x14ac:dyDescent="0.3">
      <c r="A6049" s="830">
        <v>96365</v>
      </c>
      <c r="B6049" s="831" t="s">
        <v>10477</v>
      </c>
      <c r="C6049" s="830" t="s">
        <v>252</v>
      </c>
      <c r="D6049" s="832">
        <v>156.97999999999999</v>
      </c>
    </row>
    <row r="6050" spans="1:4" x14ac:dyDescent="0.3">
      <c r="A6050" s="830">
        <v>96366</v>
      </c>
      <c r="B6050" s="831" t="s">
        <v>10478</v>
      </c>
      <c r="C6050" s="830" t="s">
        <v>252</v>
      </c>
      <c r="D6050" s="832">
        <v>132.36000000000001</v>
      </c>
    </row>
    <row r="6051" spans="1:4" x14ac:dyDescent="0.3">
      <c r="A6051" s="830">
        <v>96367</v>
      </c>
      <c r="B6051" s="831" t="s">
        <v>10479</v>
      </c>
      <c r="C6051" s="830" t="s">
        <v>252</v>
      </c>
      <c r="D6051" s="832">
        <v>144.56</v>
      </c>
    </row>
    <row r="6052" spans="1:4" x14ac:dyDescent="0.3">
      <c r="A6052" s="830">
        <v>96368</v>
      </c>
      <c r="B6052" s="831" t="s">
        <v>10480</v>
      </c>
      <c r="C6052" s="830" t="s">
        <v>252</v>
      </c>
      <c r="D6052" s="832">
        <v>159.51</v>
      </c>
    </row>
    <row r="6053" spans="1:4" x14ac:dyDescent="0.3">
      <c r="A6053" s="830">
        <v>96369</v>
      </c>
      <c r="B6053" s="831" t="s">
        <v>10481</v>
      </c>
      <c r="C6053" s="830" t="s">
        <v>252</v>
      </c>
      <c r="D6053" s="832">
        <v>181.56</v>
      </c>
    </row>
    <row r="6054" spans="1:4" x14ac:dyDescent="0.3">
      <c r="A6054" s="830">
        <v>96370</v>
      </c>
      <c r="B6054" s="831" t="s">
        <v>10482</v>
      </c>
      <c r="C6054" s="830" t="s">
        <v>252</v>
      </c>
      <c r="D6054" s="832">
        <v>57.01</v>
      </c>
    </row>
    <row r="6055" spans="1:4" x14ac:dyDescent="0.3">
      <c r="A6055" s="830">
        <v>96371</v>
      </c>
      <c r="B6055" s="831" t="s">
        <v>10483</v>
      </c>
      <c r="C6055" s="830" t="s">
        <v>252</v>
      </c>
      <c r="D6055" s="832">
        <v>67.400000000000006</v>
      </c>
    </row>
    <row r="6056" spans="1:4" x14ac:dyDescent="0.3">
      <c r="A6056" s="830">
        <v>96373</v>
      </c>
      <c r="B6056" s="831" t="s">
        <v>10484</v>
      </c>
      <c r="C6056" s="830" t="s">
        <v>194</v>
      </c>
      <c r="D6056" s="832">
        <v>11.29</v>
      </c>
    </row>
    <row r="6057" spans="1:4" x14ac:dyDescent="0.3">
      <c r="A6057" s="830">
        <v>96374</v>
      </c>
      <c r="B6057" s="831" t="s">
        <v>10485</v>
      </c>
      <c r="C6057" s="830" t="s">
        <v>194</v>
      </c>
      <c r="D6057" s="832">
        <v>29.19</v>
      </c>
    </row>
    <row r="6058" spans="1:4" x14ac:dyDescent="0.3">
      <c r="A6058" s="830">
        <v>102235</v>
      </c>
      <c r="B6058" s="831" t="s">
        <v>10486</v>
      </c>
      <c r="C6058" s="830" t="s">
        <v>252</v>
      </c>
      <c r="D6058" s="832">
        <v>379.93</v>
      </c>
    </row>
    <row r="6059" spans="1:4" x14ac:dyDescent="0.3">
      <c r="A6059" s="830">
        <v>102253</v>
      </c>
      <c r="B6059" s="831" t="s">
        <v>10487</v>
      </c>
      <c r="C6059" s="830" t="s">
        <v>252</v>
      </c>
      <c r="D6059" s="832">
        <v>729.34</v>
      </c>
    </row>
    <row r="6060" spans="1:4" x14ac:dyDescent="0.3">
      <c r="A6060" s="830">
        <v>102254</v>
      </c>
      <c r="B6060" s="831" t="s">
        <v>10488</v>
      </c>
      <c r="C6060" s="830" t="s">
        <v>252</v>
      </c>
      <c r="D6060" s="832">
        <v>686.76</v>
      </c>
    </row>
    <row r="6061" spans="1:4" x14ac:dyDescent="0.3">
      <c r="A6061" s="830">
        <v>102255</v>
      </c>
      <c r="B6061" s="831" t="s">
        <v>10489</v>
      </c>
      <c r="C6061" s="830" t="s">
        <v>252</v>
      </c>
      <c r="D6061" s="832">
        <v>762.59</v>
      </c>
    </row>
    <row r="6062" spans="1:4" x14ac:dyDescent="0.3">
      <c r="A6062" s="830">
        <v>102256</v>
      </c>
      <c r="B6062" s="831" t="s">
        <v>10490</v>
      </c>
      <c r="C6062" s="830" t="s">
        <v>252</v>
      </c>
      <c r="D6062" s="832">
        <v>722.04</v>
      </c>
    </row>
    <row r="6063" spans="1:4" x14ac:dyDescent="0.3">
      <c r="A6063" s="830">
        <v>102257</v>
      </c>
      <c r="B6063" s="831" t="s">
        <v>10491</v>
      </c>
      <c r="C6063" s="830" t="s">
        <v>252</v>
      </c>
      <c r="D6063" s="832">
        <v>334.9</v>
      </c>
    </row>
    <row r="6064" spans="1:4" x14ac:dyDescent="0.3">
      <c r="A6064" s="830">
        <v>102258</v>
      </c>
      <c r="B6064" s="831" t="s">
        <v>10492</v>
      </c>
      <c r="C6064" s="830" t="s">
        <v>252</v>
      </c>
      <c r="D6064" s="832">
        <v>378.99</v>
      </c>
    </row>
    <row r="6065" spans="1:4" x14ac:dyDescent="0.3">
      <c r="A6065" s="830">
        <v>104718</v>
      </c>
      <c r="B6065" s="831" t="s">
        <v>10493</v>
      </c>
      <c r="C6065" s="830" t="s">
        <v>252</v>
      </c>
      <c r="D6065" s="832">
        <v>115.23</v>
      </c>
    </row>
    <row r="6066" spans="1:4" x14ac:dyDescent="0.3">
      <c r="A6066" s="830">
        <v>104719</v>
      </c>
      <c r="B6066" s="831" t="s">
        <v>10494</v>
      </c>
      <c r="C6066" s="830" t="s">
        <v>252</v>
      </c>
      <c r="D6066" s="832">
        <v>168.99</v>
      </c>
    </row>
    <row r="6067" spans="1:4" x14ac:dyDescent="0.3">
      <c r="A6067" s="830">
        <v>104720</v>
      </c>
      <c r="B6067" s="831" t="s">
        <v>10495</v>
      </c>
      <c r="C6067" s="830" t="s">
        <v>252</v>
      </c>
      <c r="D6067" s="832">
        <v>140.99</v>
      </c>
    </row>
    <row r="6068" spans="1:4" x14ac:dyDescent="0.3">
      <c r="A6068" s="830">
        <v>104721</v>
      </c>
      <c r="B6068" s="831" t="s">
        <v>10496</v>
      </c>
      <c r="C6068" s="830" t="s">
        <v>252</v>
      </c>
      <c r="D6068" s="832">
        <v>194.75</v>
      </c>
    </row>
    <row r="6069" spans="1:4" x14ac:dyDescent="0.3">
      <c r="A6069" s="830">
        <v>104722</v>
      </c>
      <c r="B6069" s="831" t="s">
        <v>10497</v>
      </c>
      <c r="C6069" s="830" t="s">
        <v>252</v>
      </c>
      <c r="D6069" s="832">
        <v>166.76</v>
      </c>
    </row>
    <row r="6070" spans="1:4" x14ac:dyDescent="0.3">
      <c r="A6070" s="830">
        <v>104723</v>
      </c>
      <c r="B6070" s="831" t="s">
        <v>10498</v>
      </c>
      <c r="C6070" s="830" t="s">
        <v>252</v>
      </c>
      <c r="D6070" s="832">
        <v>220.53</v>
      </c>
    </row>
    <row r="6071" spans="1:4" x14ac:dyDescent="0.3">
      <c r="A6071" s="830">
        <v>104724</v>
      </c>
      <c r="B6071" s="831" t="s">
        <v>10499</v>
      </c>
      <c r="C6071" s="830" t="s">
        <v>252</v>
      </c>
      <c r="D6071" s="832">
        <v>86.01</v>
      </c>
    </row>
    <row r="6072" spans="1:4" x14ac:dyDescent="0.3">
      <c r="A6072" s="830">
        <v>101154</v>
      </c>
      <c r="B6072" s="831" t="s">
        <v>10500</v>
      </c>
      <c r="C6072" s="830" t="s">
        <v>252</v>
      </c>
      <c r="D6072" s="832">
        <v>131.08000000000001</v>
      </c>
    </row>
    <row r="6073" spans="1:4" x14ac:dyDescent="0.3">
      <c r="A6073" s="830">
        <v>101155</v>
      </c>
      <c r="B6073" s="831" t="s">
        <v>10501</v>
      </c>
      <c r="C6073" s="830" t="s">
        <v>252</v>
      </c>
      <c r="D6073" s="832">
        <v>182.65</v>
      </c>
    </row>
    <row r="6074" spans="1:4" x14ac:dyDescent="0.3">
      <c r="A6074" s="830">
        <v>101156</v>
      </c>
      <c r="B6074" s="831" t="s">
        <v>10502</v>
      </c>
      <c r="C6074" s="830" t="s">
        <v>252</v>
      </c>
      <c r="D6074" s="832">
        <v>266.41000000000003</v>
      </c>
    </row>
    <row r="6075" spans="1:4" x14ac:dyDescent="0.3">
      <c r="A6075" s="830">
        <v>101814</v>
      </c>
      <c r="B6075" s="831" t="s">
        <v>10503</v>
      </c>
      <c r="C6075" s="830" t="s">
        <v>252</v>
      </c>
      <c r="D6075" s="832">
        <v>64.290000000000006</v>
      </c>
    </row>
    <row r="6076" spans="1:4" x14ac:dyDescent="0.3">
      <c r="A6076" s="830">
        <v>101816</v>
      </c>
      <c r="B6076" s="831" t="s">
        <v>10504</v>
      </c>
      <c r="C6076" s="830" t="s">
        <v>252</v>
      </c>
      <c r="D6076" s="832">
        <v>87.9</v>
      </c>
    </row>
    <row r="6077" spans="1:4" x14ac:dyDescent="0.3">
      <c r="A6077" s="830">
        <v>101817</v>
      </c>
      <c r="B6077" s="831" t="s">
        <v>10505</v>
      </c>
      <c r="C6077" s="830" t="s">
        <v>252</v>
      </c>
      <c r="D6077" s="832">
        <v>67.03</v>
      </c>
    </row>
    <row r="6078" spans="1:4" x14ac:dyDescent="0.3">
      <c r="A6078" s="830">
        <v>101819</v>
      </c>
      <c r="B6078" s="831" t="s">
        <v>10506</v>
      </c>
      <c r="C6078" s="830" t="s">
        <v>252</v>
      </c>
      <c r="D6078" s="832">
        <v>80.56</v>
      </c>
    </row>
    <row r="6079" spans="1:4" x14ac:dyDescent="0.3">
      <c r="A6079" s="830">
        <v>101820</v>
      </c>
      <c r="B6079" s="831" t="s">
        <v>10507</v>
      </c>
      <c r="C6079" s="830" t="s">
        <v>252</v>
      </c>
      <c r="D6079" s="832">
        <v>52.77</v>
      </c>
    </row>
    <row r="6080" spans="1:4" x14ac:dyDescent="0.3">
      <c r="A6080" s="830">
        <v>101822</v>
      </c>
      <c r="B6080" s="831" t="s">
        <v>10508</v>
      </c>
      <c r="C6080" s="830" t="s">
        <v>5247</v>
      </c>
      <c r="D6080" s="832">
        <v>128.02000000000001</v>
      </c>
    </row>
    <row r="6081" spans="1:4" x14ac:dyDescent="0.3">
      <c r="A6081" s="830">
        <v>101823</v>
      </c>
      <c r="B6081" s="831" t="s">
        <v>10509</v>
      </c>
      <c r="C6081" s="830" t="s">
        <v>5247</v>
      </c>
      <c r="D6081" s="832">
        <v>158.85</v>
      </c>
    </row>
    <row r="6082" spans="1:4" x14ac:dyDescent="0.3">
      <c r="A6082" s="830">
        <v>101824</v>
      </c>
      <c r="B6082" s="831" t="s">
        <v>10510</v>
      </c>
      <c r="C6082" s="830" t="s">
        <v>5247</v>
      </c>
      <c r="D6082" s="832">
        <v>187.55</v>
      </c>
    </row>
    <row r="6083" spans="1:4" x14ac:dyDescent="0.3">
      <c r="A6083" s="830">
        <v>101825</v>
      </c>
      <c r="B6083" s="831" t="s">
        <v>10511</v>
      </c>
      <c r="C6083" s="830" t="s">
        <v>5247</v>
      </c>
      <c r="D6083" s="832">
        <v>215.48</v>
      </c>
    </row>
    <row r="6084" spans="1:4" x14ac:dyDescent="0.3">
      <c r="A6084" s="830">
        <v>101826</v>
      </c>
      <c r="B6084" s="831" t="s">
        <v>10512</v>
      </c>
      <c r="C6084" s="830" t="s">
        <v>5247</v>
      </c>
      <c r="D6084" s="832">
        <v>243.04</v>
      </c>
    </row>
    <row r="6085" spans="1:4" x14ac:dyDescent="0.3">
      <c r="A6085" s="830">
        <v>101827</v>
      </c>
      <c r="B6085" s="831" t="s">
        <v>10513</v>
      </c>
      <c r="C6085" s="830" t="s">
        <v>5247</v>
      </c>
      <c r="D6085" s="832">
        <v>290.89999999999998</v>
      </c>
    </row>
    <row r="6086" spans="1:4" x14ac:dyDescent="0.3">
      <c r="A6086" s="830">
        <v>101828</v>
      </c>
      <c r="B6086" s="831" t="s">
        <v>10514</v>
      </c>
      <c r="C6086" s="830" t="s">
        <v>5247</v>
      </c>
      <c r="D6086" s="832">
        <v>263.76</v>
      </c>
    </row>
    <row r="6087" spans="1:4" x14ac:dyDescent="0.3">
      <c r="A6087" s="830">
        <v>101829</v>
      </c>
      <c r="B6087" s="831" t="s">
        <v>10515</v>
      </c>
      <c r="C6087" s="830" t="s">
        <v>5247</v>
      </c>
      <c r="D6087" s="832">
        <v>343.92</v>
      </c>
    </row>
    <row r="6088" spans="1:4" x14ac:dyDescent="0.3">
      <c r="A6088" s="830">
        <v>101830</v>
      </c>
      <c r="B6088" s="831" t="s">
        <v>10516</v>
      </c>
      <c r="C6088" s="830" t="s">
        <v>5247</v>
      </c>
      <c r="D6088" s="832">
        <v>368.59</v>
      </c>
    </row>
    <row r="6089" spans="1:4" x14ac:dyDescent="0.3">
      <c r="A6089" s="830">
        <v>101831</v>
      </c>
      <c r="B6089" s="831" t="s">
        <v>10517</v>
      </c>
      <c r="C6089" s="830" t="s">
        <v>5247</v>
      </c>
      <c r="D6089" s="832">
        <v>392.89</v>
      </c>
    </row>
    <row r="6090" spans="1:4" x14ac:dyDescent="0.3">
      <c r="A6090" s="830">
        <v>101832</v>
      </c>
      <c r="B6090" s="831" t="s">
        <v>10518</v>
      </c>
      <c r="C6090" s="830" t="s">
        <v>5247</v>
      </c>
      <c r="D6090" s="832">
        <v>317.86</v>
      </c>
    </row>
    <row r="6091" spans="1:4" x14ac:dyDescent="0.3">
      <c r="A6091" s="830">
        <v>101833</v>
      </c>
      <c r="B6091" s="831" t="s">
        <v>10519</v>
      </c>
      <c r="C6091" s="830" t="s">
        <v>5247</v>
      </c>
      <c r="D6091" s="832">
        <v>343.07</v>
      </c>
    </row>
    <row r="6092" spans="1:4" x14ac:dyDescent="0.3">
      <c r="A6092" s="830">
        <v>101834</v>
      </c>
      <c r="B6092" s="831" t="s">
        <v>10520</v>
      </c>
      <c r="C6092" s="830" t="s">
        <v>5247</v>
      </c>
      <c r="D6092" s="832">
        <v>367.92</v>
      </c>
    </row>
    <row r="6093" spans="1:4" x14ac:dyDescent="0.3">
      <c r="A6093" s="830">
        <v>101835</v>
      </c>
      <c r="B6093" s="831" t="s">
        <v>10521</v>
      </c>
      <c r="C6093" s="830" t="s">
        <v>5247</v>
      </c>
      <c r="D6093" s="832">
        <v>434.76</v>
      </c>
    </row>
    <row r="6094" spans="1:4" x14ac:dyDescent="0.3">
      <c r="A6094" s="830">
        <v>101836</v>
      </c>
      <c r="B6094" s="831" t="s">
        <v>10522</v>
      </c>
      <c r="C6094" s="830" t="s">
        <v>5247</v>
      </c>
      <c r="D6094" s="832">
        <v>26.77</v>
      </c>
    </row>
    <row r="6095" spans="1:4" x14ac:dyDescent="0.3">
      <c r="A6095" s="830">
        <v>101837</v>
      </c>
      <c r="B6095" s="831" t="s">
        <v>10523</v>
      </c>
      <c r="C6095" s="830" t="s">
        <v>5247</v>
      </c>
      <c r="D6095" s="832">
        <v>57.6</v>
      </c>
    </row>
    <row r="6096" spans="1:4" x14ac:dyDescent="0.3">
      <c r="A6096" s="830">
        <v>101838</v>
      </c>
      <c r="B6096" s="831" t="s">
        <v>10524</v>
      </c>
      <c r="C6096" s="830" t="s">
        <v>5247</v>
      </c>
      <c r="D6096" s="832">
        <v>86.3</v>
      </c>
    </row>
    <row r="6097" spans="1:4" x14ac:dyDescent="0.3">
      <c r="A6097" s="830">
        <v>101839</v>
      </c>
      <c r="B6097" s="831" t="s">
        <v>10525</v>
      </c>
      <c r="C6097" s="830" t="s">
        <v>5247</v>
      </c>
      <c r="D6097" s="832">
        <v>114.23</v>
      </c>
    </row>
    <row r="6098" spans="1:4" x14ac:dyDescent="0.3">
      <c r="A6098" s="830">
        <v>101840</v>
      </c>
      <c r="B6098" s="831" t="s">
        <v>10526</v>
      </c>
      <c r="C6098" s="830" t="s">
        <v>5247</v>
      </c>
      <c r="D6098" s="832">
        <v>189.35</v>
      </c>
    </row>
    <row r="6099" spans="1:4" x14ac:dyDescent="0.3">
      <c r="A6099" s="830">
        <v>101841</v>
      </c>
      <c r="B6099" s="831" t="s">
        <v>10527</v>
      </c>
      <c r="C6099" s="830" t="s">
        <v>5247</v>
      </c>
      <c r="D6099" s="832">
        <v>189.65</v>
      </c>
    </row>
    <row r="6100" spans="1:4" x14ac:dyDescent="0.3">
      <c r="A6100" s="830">
        <v>101842</v>
      </c>
      <c r="B6100" s="831" t="s">
        <v>10528</v>
      </c>
      <c r="C6100" s="830" t="s">
        <v>5247</v>
      </c>
      <c r="D6100" s="832">
        <v>162.51</v>
      </c>
    </row>
    <row r="6101" spans="1:4" x14ac:dyDescent="0.3">
      <c r="A6101" s="830">
        <v>101843</v>
      </c>
      <c r="B6101" s="831" t="s">
        <v>10529</v>
      </c>
      <c r="C6101" s="830" t="s">
        <v>5247</v>
      </c>
      <c r="D6101" s="832">
        <v>242.67</v>
      </c>
    </row>
    <row r="6102" spans="1:4" x14ac:dyDescent="0.3">
      <c r="A6102" s="830">
        <v>101844</v>
      </c>
      <c r="B6102" s="831" t="s">
        <v>10530</v>
      </c>
      <c r="C6102" s="830" t="s">
        <v>5247</v>
      </c>
      <c r="D6102" s="832">
        <v>267.33999999999997</v>
      </c>
    </row>
    <row r="6103" spans="1:4" x14ac:dyDescent="0.3">
      <c r="A6103" s="830">
        <v>101845</v>
      </c>
      <c r="B6103" s="831" t="s">
        <v>10531</v>
      </c>
      <c r="C6103" s="830" t="s">
        <v>5247</v>
      </c>
      <c r="D6103" s="832">
        <v>291.64</v>
      </c>
    </row>
    <row r="6104" spans="1:4" x14ac:dyDescent="0.3">
      <c r="A6104" s="830">
        <v>101846</v>
      </c>
      <c r="B6104" s="831" t="s">
        <v>10532</v>
      </c>
      <c r="C6104" s="830" t="s">
        <v>5247</v>
      </c>
      <c r="D6104" s="832">
        <v>216.61</v>
      </c>
    </row>
    <row r="6105" spans="1:4" x14ac:dyDescent="0.3">
      <c r="A6105" s="830">
        <v>101847</v>
      </c>
      <c r="B6105" s="831" t="s">
        <v>10533</v>
      </c>
      <c r="C6105" s="830" t="s">
        <v>5247</v>
      </c>
      <c r="D6105" s="832">
        <v>241.82</v>
      </c>
    </row>
    <row r="6106" spans="1:4" x14ac:dyDescent="0.3">
      <c r="A6106" s="830">
        <v>101848</v>
      </c>
      <c r="B6106" s="831" t="s">
        <v>10534</v>
      </c>
      <c r="C6106" s="830" t="s">
        <v>5247</v>
      </c>
      <c r="D6106" s="832">
        <v>266.67</v>
      </c>
    </row>
    <row r="6107" spans="1:4" x14ac:dyDescent="0.3">
      <c r="A6107" s="830">
        <v>101849</v>
      </c>
      <c r="B6107" s="831" t="s">
        <v>10535</v>
      </c>
      <c r="C6107" s="830" t="s">
        <v>5247</v>
      </c>
      <c r="D6107" s="832">
        <v>333.51</v>
      </c>
    </row>
    <row r="6108" spans="1:4" x14ac:dyDescent="0.3">
      <c r="A6108" s="830">
        <v>101850</v>
      </c>
      <c r="B6108" s="831" t="s">
        <v>10536</v>
      </c>
      <c r="C6108" s="830" t="s">
        <v>252</v>
      </c>
      <c r="D6108" s="832">
        <v>77.23</v>
      </c>
    </row>
    <row r="6109" spans="1:4" x14ac:dyDescent="0.3">
      <c r="A6109" s="830">
        <v>101852</v>
      </c>
      <c r="B6109" s="831" t="s">
        <v>10537</v>
      </c>
      <c r="C6109" s="830" t="s">
        <v>252</v>
      </c>
      <c r="D6109" s="832">
        <v>91.24</v>
      </c>
    </row>
    <row r="6110" spans="1:4" x14ac:dyDescent="0.3">
      <c r="A6110" s="830">
        <v>101853</v>
      </c>
      <c r="B6110" s="831" t="s">
        <v>10538</v>
      </c>
      <c r="C6110" s="830" t="s">
        <v>252</v>
      </c>
      <c r="D6110" s="832">
        <v>72.38</v>
      </c>
    </row>
    <row r="6111" spans="1:4" x14ac:dyDescent="0.3">
      <c r="A6111" s="830">
        <v>101855</v>
      </c>
      <c r="B6111" s="831" t="s">
        <v>10539</v>
      </c>
      <c r="C6111" s="830" t="s">
        <v>252</v>
      </c>
      <c r="D6111" s="832">
        <v>96.37</v>
      </c>
    </row>
    <row r="6112" spans="1:4" x14ac:dyDescent="0.3">
      <c r="A6112" s="830">
        <v>101856</v>
      </c>
      <c r="B6112" s="831" t="s">
        <v>10540</v>
      </c>
      <c r="C6112" s="830" t="s">
        <v>252</v>
      </c>
      <c r="D6112" s="832">
        <v>36.119999999999997</v>
      </c>
    </row>
    <row r="6113" spans="1:4" x14ac:dyDescent="0.3">
      <c r="A6113" s="830">
        <v>101857</v>
      </c>
      <c r="B6113" s="831" t="s">
        <v>10541</v>
      </c>
      <c r="C6113" s="830" t="s">
        <v>252</v>
      </c>
      <c r="D6113" s="832">
        <v>43.41</v>
      </c>
    </row>
    <row r="6114" spans="1:4" x14ac:dyDescent="0.3">
      <c r="A6114" s="830">
        <v>101858</v>
      </c>
      <c r="B6114" s="831" t="s">
        <v>10542</v>
      </c>
      <c r="C6114" s="830" t="s">
        <v>252</v>
      </c>
      <c r="D6114" s="832">
        <v>36.74</v>
      </c>
    </row>
    <row r="6115" spans="1:4" x14ac:dyDescent="0.3">
      <c r="A6115" s="830">
        <v>101859</v>
      </c>
      <c r="B6115" s="831" t="s">
        <v>10543</v>
      </c>
      <c r="C6115" s="830" t="s">
        <v>252</v>
      </c>
      <c r="D6115" s="832">
        <v>39.86</v>
      </c>
    </row>
    <row r="6116" spans="1:4" x14ac:dyDescent="0.3">
      <c r="A6116" s="830">
        <v>101860</v>
      </c>
      <c r="B6116" s="831" t="s">
        <v>10544</v>
      </c>
      <c r="C6116" s="830" t="s">
        <v>252</v>
      </c>
      <c r="D6116" s="832">
        <v>44.81</v>
      </c>
    </row>
    <row r="6117" spans="1:4" x14ac:dyDescent="0.3">
      <c r="A6117" s="830">
        <v>101861</v>
      </c>
      <c r="B6117" s="831" t="s">
        <v>10545</v>
      </c>
      <c r="C6117" s="830" t="s">
        <v>252</v>
      </c>
      <c r="D6117" s="832">
        <v>42.34</v>
      </c>
    </row>
    <row r="6118" spans="1:4" x14ac:dyDescent="0.3">
      <c r="A6118" s="830">
        <v>101862</v>
      </c>
      <c r="B6118" s="831" t="s">
        <v>10546</v>
      </c>
      <c r="C6118" s="830" t="s">
        <v>252</v>
      </c>
      <c r="D6118" s="832">
        <v>45.54</v>
      </c>
    </row>
    <row r="6119" spans="1:4" x14ac:dyDescent="0.3">
      <c r="A6119" s="830">
        <v>101863</v>
      </c>
      <c r="B6119" s="831" t="s">
        <v>10547</v>
      </c>
      <c r="C6119" s="830" t="s">
        <v>252</v>
      </c>
      <c r="D6119" s="832">
        <v>37.159999999999997</v>
      </c>
    </row>
    <row r="6120" spans="1:4" x14ac:dyDescent="0.3">
      <c r="A6120" s="830">
        <v>101864</v>
      </c>
      <c r="B6120" s="831" t="s">
        <v>10548</v>
      </c>
      <c r="C6120" s="830" t="s">
        <v>252</v>
      </c>
      <c r="D6120" s="832">
        <v>42.1</v>
      </c>
    </row>
    <row r="6121" spans="1:4" x14ac:dyDescent="0.3">
      <c r="A6121" s="830">
        <v>101865</v>
      </c>
      <c r="B6121" s="831" t="s">
        <v>10549</v>
      </c>
      <c r="C6121" s="830" t="s">
        <v>252</v>
      </c>
      <c r="D6121" s="832">
        <v>47.03</v>
      </c>
    </row>
    <row r="6122" spans="1:4" x14ac:dyDescent="0.3">
      <c r="A6122" s="830">
        <v>101866</v>
      </c>
      <c r="B6122" s="831" t="s">
        <v>10550</v>
      </c>
      <c r="C6122" s="830" t="s">
        <v>252</v>
      </c>
      <c r="D6122" s="832">
        <v>42.58</v>
      </c>
    </row>
    <row r="6123" spans="1:4" x14ac:dyDescent="0.3">
      <c r="A6123" s="830">
        <v>101867</v>
      </c>
      <c r="B6123" s="831" t="s">
        <v>10551</v>
      </c>
      <c r="C6123" s="830" t="s">
        <v>252</v>
      </c>
      <c r="D6123" s="832">
        <v>47.52</v>
      </c>
    </row>
    <row r="6124" spans="1:4" x14ac:dyDescent="0.3">
      <c r="A6124" s="830">
        <v>101868</v>
      </c>
      <c r="B6124" s="831" t="s">
        <v>10552</v>
      </c>
      <c r="C6124" s="830" t="s">
        <v>252</v>
      </c>
      <c r="D6124" s="832">
        <v>39.15</v>
      </c>
    </row>
    <row r="6125" spans="1:4" x14ac:dyDescent="0.3">
      <c r="A6125" s="830">
        <v>101869</v>
      </c>
      <c r="B6125" s="831" t="s">
        <v>10553</v>
      </c>
      <c r="C6125" s="830" t="s">
        <v>252</v>
      </c>
      <c r="D6125" s="832">
        <v>44.07</v>
      </c>
    </row>
    <row r="6126" spans="1:4" x14ac:dyDescent="0.3">
      <c r="A6126" s="830">
        <v>101870</v>
      </c>
      <c r="B6126" s="831" t="s">
        <v>10554</v>
      </c>
      <c r="C6126" s="830" t="s">
        <v>252</v>
      </c>
      <c r="D6126" s="832">
        <v>49.01</v>
      </c>
    </row>
    <row r="6127" spans="1:4" x14ac:dyDescent="0.3">
      <c r="A6127" s="830">
        <v>102098</v>
      </c>
      <c r="B6127" s="831" t="s">
        <v>10555</v>
      </c>
      <c r="C6127" s="830" t="s">
        <v>5247</v>
      </c>
      <c r="D6127" s="832">
        <v>2263.77</v>
      </c>
    </row>
    <row r="6128" spans="1:4" x14ac:dyDescent="0.3">
      <c r="A6128" s="830">
        <v>102988</v>
      </c>
      <c r="B6128" s="831" t="s">
        <v>10556</v>
      </c>
      <c r="C6128" s="830" t="s">
        <v>252</v>
      </c>
      <c r="D6128" s="832">
        <v>67.849999999999994</v>
      </c>
    </row>
    <row r="6129" spans="1:4" x14ac:dyDescent="0.3">
      <c r="A6129" s="830">
        <v>100576</v>
      </c>
      <c r="B6129" s="831" t="s">
        <v>10557</v>
      </c>
      <c r="C6129" s="830" t="s">
        <v>252</v>
      </c>
      <c r="D6129" s="832">
        <v>2.0699999999999998</v>
      </c>
    </row>
    <row r="6130" spans="1:4" x14ac:dyDescent="0.3">
      <c r="A6130" s="830">
        <v>100577</v>
      </c>
      <c r="B6130" s="831" t="s">
        <v>10558</v>
      </c>
      <c r="C6130" s="830" t="s">
        <v>252</v>
      </c>
      <c r="D6130" s="832">
        <v>0.49</v>
      </c>
    </row>
    <row r="6131" spans="1:4" x14ac:dyDescent="0.3">
      <c r="A6131" s="830">
        <v>105597</v>
      </c>
      <c r="B6131" s="831" t="s">
        <v>10559</v>
      </c>
      <c r="C6131" s="830" t="s">
        <v>252</v>
      </c>
      <c r="D6131" s="832">
        <v>3.86</v>
      </c>
    </row>
    <row r="6132" spans="1:4" x14ac:dyDescent="0.3">
      <c r="A6132" s="830">
        <v>105598</v>
      </c>
      <c r="B6132" s="831" t="s">
        <v>10560</v>
      </c>
      <c r="C6132" s="830" t="s">
        <v>252</v>
      </c>
      <c r="D6132" s="832">
        <v>1.92</v>
      </c>
    </row>
    <row r="6133" spans="1:4" x14ac:dyDescent="0.3">
      <c r="A6133" s="830">
        <v>96388</v>
      </c>
      <c r="B6133" s="831" t="s">
        <v>10561</v>
      </c>
      <c r="C6133" s="830" t="s">
        <v>5247</v>
      </c>
      <c r="D6133" s="832">
        <v>9.0299999999999994</v>
      </c>
    </row>
    <row r="6134" spans="1:4" x14ac:dyDescent="0.3">
      <c r="A6134" s="830">
        <v>96389</v>
      </c>
      <c r="B6134" s="831" t="s">
        <v>10562</v>
      </c>
      <c r="C6134" s="830" t="s">
        <v>5247</v>
      </c>
      <c r="D6134" s="832">
        <v>44.29</v>
      </c>
    </row>
    <row r="6135" spans="1:4" x14ac:dyDescent="0.3">
      <c r="A6135" s="830">
        <v>96390</v>
      </c>
      <c r="B6135" s="831" t="s">
        <v>10563</v>
      </c>
      <c r="C6135" s="830" t="s">
        <v>5247</v>
      </c>
      <c r="D6135" s="832">
        <v>72.989999999999995</v>
      </c>
    </row>
    <row r="6136" spans="1:4" x14ac:dyDescent="0.3">
      <c r="A6136" s="830">
        <v>96391</v>
      </c>
      <c r="B6136" s="831" t="s">
        <v>10564</v>
      </c>
      <c r="C6136" s="830" t="s">
        <v>5247</v>
      </c>
      <c r="D6136" s="832">
        <v>100.92</v>
      </c>
    </row>
    <row r="6137" spans="1:4" x14ac:dyDescent="0.3">
      <c r="A6137" s="830">
        <v>96392</v>
      </c>
      <c r="B6137" s="831" t="s">
        <v>10565</v>
      </c>
      <c r="C6137" s="830" t="s">
        <v>5247</v>
      </c>
      <c r="D6137" s="832">
        <v>128.47999999999999</v>
      </c>
    </row>
    <row r="6138" spans="1:4" x14ac:dyDescent="0.3">
      <c r="A6138" s="830">
        <v>96396</v>
      </c>
      <c r="B6138" s="831" t="s">
        <v>10566</v>
      </c>
      <c r="C6138" s="830" t="s">
        <v>5247</v>
      </c>
      <c r="D6138" s="832">
        <v>320.77999999999997</v>
      </c>
    </row>
    <row r="6139" spans="1:4" x14ac:dyDescent="0.3">
      <c r="A6139" s="830">
        <v>96397</v>
      </c>
      <c r="B6139" s="831" t="s">
        <v>10567</v>
      </c>
      <c r="C6139" s="830" t="s">
        <v>5247</v>
      </c>
      <c r="D6139" s="832">
        <v>372.75</v>
      </c>
    </row>
    <row r="6140" spans="1:4" x14ac:dyDescent="0.3">
      <c r="A6140" s="830">
        <v>96398</v>
      </c>
      <c r="B6140" s="831" t="s">
        <v>10568</v>
      </c>
      <c r="C6140" s="830" t="s">
        <v>5247</v>
      </c>
      <c r="D6140" s="832">
        <v>444.79</v>
      </c>
    </row>
    <row r="6141" spans="1:4" x14ac:dyDescent="0.3">
      <c r="A6141" s="830">
        <v>96399</v>
      </c>
      <c r="B6141" s="831" t="s">
        <v>10569</v>
      </c>
      <c r="C6141" s="830" t="s">
        <v>5247</v>
      </c>
      <c r="D6141" s="832">
        <v>220.77</v>
      </c>
    </row>
    <row r="6142" spans="1:4" x14ac:dyDescent="0.3">
      <c r="A6142" s="830">
        <v>96400</v>
      </c>
      <c r="B6142" s="831" t="s">
        <v>10570</v>
      </c>
      <c r="C6142" s="830" t="s">
        <v>5247</v>
      </c>
      <c r="D6142" s="832">
        <v>286.02</v>
      </c>
    </row>
    <row r="6143" spans="1:4" x14ac:dyDescent="0.3">
      <c r="A6143" s="830">
        <v>100564</v>
      </c>
      <c r="B6143" s="831" t="s">
        <v>10571</v>
      </c>
      <c r="C6143" s="830" t="s">
        <v>5247</v>
      </c>
      <c r="D6143" s="832">
        <v>186.95</v>
      </c>
    </row>
    <row r="6144" spans="1:4" x14ac:dyDescent="0.3">
      <c r="A6144" s="830">
        <v>100565</v>
      </c>
      <c r="B6144" s="831" t="s">
        <v>10572</v>
      </c>
      <c r="C6144" s="830" t="s">
        <v>5247</v>
      </c>
      <c r="D6144" s="832">
        <v>159.80000000000001</v>
      </c>
    </row>
    <row r="6145" spans="1:4" x14ac:dyDescent="0.3">
      <c r="A6145" s="830">
        <v>100566</v>
      </c>
      <c r="B6145" s="831" t="s">
        <v>10573</v>
      </c>
      <c r="C6145" s="830" t="s">
        <v>5247</v>
      </c>
      <c r="D6145" s="832">
        <v>239.87</v>
      </c>
    </row>
    <row r="6146" spans="1:4" x14ac:dyDescent="0.3">
      <c r="A6146" s="830">
        <v>100567</v>
      </c>
      <c r="B6146" s="831" t="s">
        <v>10574</v>
      </c>
      <c r="C6146" s="830" t="s">
        <v>5247</v>
      </c>
      <c r="D6146" s="832">
        <v>264.54000000000002</v>
      </c>
    </row>
    <row r="6147" spans="1:4" x14ac:dyDescent="0.3">
      <c r="A6147" s="830">
        <v>100568</v>
      </c>
      <c r="B6147" s="831" t="s">
        <v>10575</v>
      </c>
      <c r="C6147" s="830" t="s">
        <v>5247</v>
      </c>
      <c r="D6147" s="832">
        <v>288.83999999999997</v>
      </c>
    </row>
    <row r="6148" spans="1:4" x14ac:dyDescent="0.3">
      <c r="A6148" s="830">
        <v>100569</v>
      </c>
      <c r="B6148" s="831" t="s">
        <v>10576</v>
      </c>
      <c r="C6148" s="830" t="s">
        <v>5247</v>
      </c>
      <c r="D6148" s="832">
        <v>213.8</v>
      </c>
    </row>
    <row r="6149" spans="1:4" x14ac:dyDescent="0.3">
      <c r="A6149" s="830">
        <v>100570</v>
      </c>
      <c r="B6149" s="831" t="s">
        <v>10577</v>
      </c>
      <c r="C6149" s="830" t="s">
        <v>5247</v>
      </c>
      <c r="D6149" s="832">
        <v>239.02</v>
      </c>
    </row>
    <row r="6150" spans="1:4" x14ac:dyDescent="0.3">
      <c r="A6150" s="830">
        <v>100571</v>
      </c>
      <c r="B6150" s="831" t="s">
        <v>10578</v>
      </c>
      <c r="C6150" s="830" t="s">
        <v>5247</v>
      </c>
      <c r="D6150" s="832">
        <v>263.86</v>
      </c>
    </row>
    <row r="6151" spans="1:4" x14ac:dyDescent="0.3">
      <c r="A6151" s="830">
        <v>100572</v>
      </c>
      <c r="B6151" s="831" t="s">
        <v>10579</v>
      </c>
      <c r="C6151" s="830" t="s">
        <v>5247</v>
      </c>
      <c r="D6151" s="832">
        <v>192.23</v>
      </c>
    </row>
    <row r="6152" spans="1:4" x14ac:dyDescent="0.3">
      <c r="A6152" s="830">
        <v>100573</v>
      </c>
      <c r="B6152" s="831" t="s">
        <v>10580</v>
      </c>
      <c r="C6152" s="830" t="s">
        <v>5247</v>
      </c>
      <c r="D6152" s="832">
        <v>165.08</v>
      </c>
    </row>
    <row r="6153" spans="1:4" x14ac:dyDescent="0.3">
      <c r="A6153" s="830">
        <v>100574</v>
      </c>
      <c r="B6153" s="831" t="s">
        <v>4422</v>
      </c>
      <c r="C6153" s="830" t="s">
        <v>5247</v>
      </c>
      <c r="D6153" s="832">
        <v>1.39</v>
      </c>
    </row>
    <row r="6154" spans="1:4" x14ac:dyDescent="0.3">
      <c r="A6154" s="830">
        <v>100575</v>
      </c>
      <c r="B6154" s="831" t="s">
        <v>10581</v>
      </c>
      <c r="C6154" s="830" t="s">
        <v>252</v>
      </c>
      <c r="D6154" s="832">
        <v>1.87</v>
      </c>
    </row>
    <row r="6155" spans="1:4" x14ac:dyDescent="0.3">
      <c r="A6155" s="830">
        <v>101767</v>
      </c>
      <c r="B6155" s="831" t="s">
        <v>10582</v>
      </c>
      <c r="C6155" s="830" t="s">
        <v>5247</v>
      </c>
      <c r="D6155" s="832">
        <v>29.66</v>
      </c>
    </row>
    <row r="6156" spans="1:4" x14ac:dyDescent="0.3">
      <c r="A6156" s="830">
        <v>101768</v>
      </c>
      <c r="B6156" s="831" t="s">
        <v>10583</v>
      </c>
      <c r="C6156" s="830" t="s">
        <v>5247</v>
      </c>
      <c r="D6156" s="832">
        <v>25.54</v>
      </c>
    </row>
    <row r="6157" spans="1:4" x14ac:dyDescent="0.3">
      <c r="A6157" s="830">
        <v>105566</v>
      </c>
      <c r="B6157" s="831" t="s">
        <v>10584</v>
      </c>
      <c r="C6157" s="830" t="s">
        <v>5247</v>
      </c>
      <c r="D6157" s="832">
        <v>11.28</v>
      </c>
    </row>
    <row r="6158" spans="1:4" x14ac:dyDescent="0.3">
      <c r="A6158" s="830">
        <v>105567</v>
      </c>
      <c r="B6158" s="831" t="s">
        <v>10585</v>
      </c>
      <c r="C6158" s="830" t="s">
        <v>5247</v>
      </c>
      <c r="D6158" s="832">
        <v>14.94</v>
      </c>
    </row>
    <row r="6159" spans="1:4" x14ac:dyDescent="0.3">
      <c r="A6159" s="830">
        <v>105568</v>
      </c>
      <c r="B6159" s="831" t="s">
        <v>10586</v>
      </c>
      <c r="C6159" s="830" t="s">
        <v>5247</v>
      </c>
      <c r="D6159" s="832">
        <v>11.89</v>
      </c>
    </row>
    <row r="6160" spans="1:4" x14ac:dyDescent="0.3">
      <c r="A6160" s="830">
        <v>105569</v>
      </c>
      <c r="B6160" s="831" t="s">
        <v>10587</v>
      </c>
      <c r="C6160" s="830" t="s">
        <v>5247</v>
      </c>
      <c r="D6160" s="832">
        <v>7.51</v>
      </c>
    </row>
    <row r="6161" spans="1:4" x14ac:dyDescent="0.3">
      <c r="A6161" s="830">
        <v>105570</v>
      </c>
      <c r="B6161" s="831" t="s">
        <v>10588</v>
      </c>
      <c r="C6161" s="830" t="s">
        <v>5247</v>
      </c>
      <c r="D6161" s="832">
        <v>9.83</v>
      </c>
    </row>
    <row r="6162" spans="1:4" x14ac:dyDescent="0.3">
      <c r="A6162" s="830">
        <v>105571</v>
      </c>
      <c r="B6162" s="831" t="s">
        <v>10589</v>
      </c>
      <c r="C6162" s="830" t="s">
        <v>5247</v>
      </c>
      <c r="D6162" s="832">
        <v>49.98</v>
      </c>
    </row>
    <row r="6163" spans="1:4" x14ac:dyDescent="0.3">
      <c r="A6163" s="830">
        <v>105572</v>
      </c>
      <c r="B6163" s="831" t="s">
        <v>10590</v>
      </c>
      <c r="C6163" s="830" t="s">
        <v>5247</v>
      </c>
      <c r="D6163" s="832">
        <v>56.71</v>
      </c>
    </row>
    <row r="6164" spans="1:4" x14ac:dyDescent="0.3">
      <c r="A6164" s="830">
        <v>105573</v>
      </c>
      <c r="B6164" s="831" t="s">
        <v>10591</v>
      </c>
      <c r="C6164" s="830" t="s">
        <v>5247</v>
      </c>
      <c r="D6164" s="832">
        <v>85.41</v>
      </c>
    </row>
    <row r="6165" spans="1:4" x14ac:dyDescent="0.3">
      <c r="A6165" s="830">
        <v>105574</v>
      </c>
      <c r="B6165" s="831" t="s">
        <v>10592</v>
      </c>
      <c r="C6165" s="830" t="s">
        <v>5247</v>
      </c>
      <c r="D6165" s="832">
        <v>48.77</v>
      </c>
    </row>
    <row r="6166" spans="1:4" x14ac:dyDescent="0.3">
      <c r="A6166" s="830">
        <v>105575</v>
      </c>
      <c r="B6166" s="831" t="s">
        <v>10593</v>
      </c>
      <c r="C6166" s="830" t="s">
        <v>5247</v>
      </c>
      <c r="D6166" s="832">
        <v>43.37</v>
      </c>
    </row>
    <row r="6167" spans="1:4" x14ac:dyDescent="0.3">
      <c r="A6167" s="830">
        <v>105576</v>
      </c>
      <c r="B6167" s="831" t="s">
        <v>10594</v>
      </c>
      <c r="C6167" s="830" t="s">
        <v>5247</v>
      </c>
      <c r="D6167" s="832">
        <v>47.66</v>
      </c>
    </row>
    <row r="6168" spans="1:4" x14ac:dyDescent="0.3">
      <c r="A6168" s="830">
        <v>105577</v>
      </c>
      <c r="B6168" s="831" t="s">
        <v>10595</v>
      </c>
      <c r="C6168" s="830" t="s">
        <v>5247</v>
      </c>
      <c r="D6168" s="832">
        <v>205.83</v>
      </c>
    </row>
    <row r="6169" spans="1:4" x14ac:dyDescent="0.3">
      <c r="A6169" s="830">
        <v>105578</v>
      </c>
      <c r="B6169" s="831" t="s">
        <v>10596</v>
      </c>
      <c r="C6169" s="830" t="s">
        <v>5247</v>
      </c>
      <c r="D6169" s="832">
        <v>195.93</v>
      </c>
    </row>
    <row r="6170" spans="1:4" x14ac:dyDescent="0.3">
      <c r="A6170" s="830">
        <v>105579</v>
      </c>
      <c r="B6170" s="831" t="s">
        <v>10597</v>
      </c>
      <c r="C6170" s="830" t="s">
        <v>5247</v>
      </c>
      <c r="D6170" s="832">
        <v>178.68</v>
      </c>
    </row>
    <row r="6171" spans="1:4" x14ac:dyDescent="0.3">
      <c r="A6171" s="830">
        <v>105580</v>
      </c>
      <c r="B6171" s="831" t="s">
        <v>10598</v>
      </c>
      <c r="C6171" s="830" t="s">
        <v>5247</v>
      </c>
      <c r="D6171" s="832">
        <v>168.78</v>
      </c>
    </row>
    <row r="6172" spans="1:4" x14ac:dyDescent="0.3">
      <c r="A6172" s="830">
        <v>105581</v>
      </c>
      <c r="B6172" s="831" t="s">
        <v>10599</v>
      </c>
      <c r="C6172" s="830" t="s">
        <v>5247</v>
      </c>
      <c r="D6172" s="832">
        <v>156.25</v>
      </c>
    </row>
    <row r="6173" spans="1:4" x14ac:dyDescent="0.3">
      <c r="A6173" s="830">
        <v>105582</v>
      </c>
      <c r="B6173" s="831" t="s">
        <v>10600</v>
      </c>
      <c r="C6173" s="830" t="s">
        <v>5247</v>
      </c>
      <c r="D6173" s="832">
        <v>163.84</v>
      </c>
    </row>
    <row r="6174" spans="1:4" x14ac:dyDescent="0.3">
      <c r="A6174" s="830">
        <v>105585</v>
      </c>
      <c r="B6174" s="831" t="s">
        <v>10601</v>
      </c>
      <c r="C6174" s="830" t="s">
        <v>5247</v>
      </c>
      <c r="D6174" s="832">
        <v>201.92</v>
      </c>
    </row>
    <row r="6175" spans="1:4" x14ac:dyDescent="0.3">
      <c r="A6175" s="830">
        <v>105586</v>
      </c>
      <c r="B6175" s="831" t="s">
        <v>10602</v>
      </c>
      <c r="C6175" s="830" t="s">
        <v>5247</v>
      </c>
      <c r="D6175" s="832">
        <v>217.15</v>
      </c>
    </row>
    <row r="6176" spans="1:4" x14ac:dyDescent="0.3">
      <c r="A6176" s="830">
        <v>105587</v>
      </c>
      <c r="B6176" s="831" t="s">
        <v>10603</v>
      </c>
      <c r="C6176" s="830" t="s">
        <v>5247</v>
      </c>
      <c r="D6176" s="832">
        <v>203.52</v>
      </c>
    </row>
    <row r="6177" spans="1:4" x14ac:dyDescent="0.3">
      <c r="A6177" s="830">
        <v>105588</v>
      </c>
      <c r="B6177" s="831" t="s">
        <v>10604</v>
      </c>
      <c r="C6177" s="830" t="s">
        <v>5247</v>
      </c>
      <c r="D6177" s="832">
        <v>191.25</v>
      </c>
    </row>
    <row r="6178" spans="1:4" x14ac:dyDescent="0.3">
      <c r="A6178" s="830">
        <v>105589</v>
      </c>
      <c r="B6178" s="831" t="s">
        <v>10605</v>
      </c>
      <c r="C6178" s="830" t="s">
        <v>5247</v>
      </c>
      <c r="D6178" s="832">
        <v>202.26</v>
      </c>
    </row>
    <row r="6179" spans="1:4" x14ac:dyDescent="0.3">
      <c r="A6179" s="830">
        <v>105592</v>
      </c>
      <c r="B6179" s="831" t="s">
        <v>10606</v>
      </c>
      <c r="C6179" s="830" t="s">
        <v>5247</v>
      </c>
      <c r="D6179" s="832">
        <v>174.77</v>
      </c>
    </row>
    <row r="6180" spans="1:4" x14ac:dyDescent="0.3">
      <c r="A6180" s="830">
        <v>105593</v>
      </c>
      <c r="B6180" s="831" t="s">
        <v>10607</v>
      </c>
      <c r="C6180" s="830" t="s">
        <v>5247</v>
      </c>
      <c r="D6180" s="832">
        <v>190</v>
      </c>
    </row>
    <row r="6181" spans="1:4" x14ac:dyDescent="0.3">
      <c r="A6181" s="830">
        <v>105594</v>
      </c>
      <c r="B6181" s="831" t="s">
        <v>10608</v>
      </c>
      <c r="C6181" s="830" t="s">
        <v>5247</v>
      </c>
      <c r="D6181" s="832">
        <v>176.37</v>
      </c>
    </row>
    <row r="6182" spans="1:4" x14ac:dyDescent="0.3">
      <c r="A6182" s="830">
        <v>105595</v>
      </c>
      <c r="B6182" s="831" t="s">
        <v>10609</v>
      </c>
      <c r="C6182" s="830" t="s">
        <v>5247</v>
      </c>
      <c r="D6182" s="832">
        <v>164.1</v>
      </c>
    </row>
    <row r="6183" spans="1:4" x14ac:dyDescent="0.3">
      <c r="A6183" s="830">
        <v>105596</v>
      </c>
      <c r="B6183" s="831" t="s">
        <v>10610</v>
      </c>
      <c r="C6183" s="830" t="s">
        <v>5247</v>
      </c>
      <c r="D6183" s="832">
        <v>175.11</v>
      </c>
    </row>
    <row r="6184" spans="1:4" x14ac:dyDescent="0.3">
      <c r="A6184" s="830">
        <v>105623</v>
      </c>
      <c r="B6184" s="831" t="s">
        <v>10611</v>
      </c>
      <c r="C6184" s="830" t="s">
        <v>5247</v>
      </c>
      <c r="D6184" s="832">
        <v>78.680000000000007</v>
      </c>
    </row>
    <row r="6185" spans="1:4" x14ac:dyDescent="0.3">
      <c r="A6185" s="830">
        <v>105624</v>
      </c>
      <c r="B6185" s="831" t="s">
        <v>10612</v>
      </c>
      <c r="C6185" s="830" t="s">
        <v>5247</v>
      </c>
      <c r="D6185" s="832">
        <v>106.61</v>
      </c>
    </row>
    <row r="6186" spans="1:4" x14ac:dyDescent="0.3">
      <c r="A6186" s="830">
        <v>105625</v>
      </c>
      <c r="B6186" s="831" t="s">
        <v>10613</v>
      </c>
      <c r="C6186" s="830" t="s">
        <v>5247</v>
      </c>
      <c r="D6186" s="832">
        <v>134.16999999999999</v>
      </c>
    </row>
    <row r="6187" spans="1:4" x14ac:dyDescent="0.3">
      <c r="A6187" s="830">
        <v>105626</v>
      </c>
      <c r="B6187" s="831" t="s">
        <v>10614</v>
      </c>
      <c r="C6187" s="830" t="s">
        <v>5247</v>
      </c>
      <c r="D6187" s="832">
        <v>113.34</v>
      </c>
    </row>
    <row r="6188" spans="1:4" x14ac:dyDescent="0.3">
      <c r="A6188" s="830">
        <v>105627</v>
      </c>
      <c r="B6188" s="831" t="s">
        <v>10615</v>
      </c>
      <c r="C6188" s="830" t="s">
        <v>5247</v>
      </c>
      <c r="D6188" s="832">
        <v>140.9</v>
      </c>
    </row>
    <row r="6189" spans="1:4" x14ac:dyDescent="0.3">
      <c r="A6189" s="830">
        <v>105628</v>
      </c>
      <c r="B6189" s="831" t="s">
        <v>10616</v>
      </c>
      <c r="C6189" s="830" t="s">
        <v>5247</v>
      </c>
      <c r="D6189" s="832">
        <v>77.47</v>
      </c>
    </row>
    <row r="6190" spans="1:4" x14ac:dyDescent="0.3">
      <c r="A6190" s="830">
        <v>105629</v>
      </c>
      <c r="B6190" s="831" t="s">
        <v>10617</v>
      </c>
      <c r="C6190" s="830" t="s">
        <v>5247</v>
      </c>
      <c r="D6190" s="832">
        <v>105.4</v>
      </c>
    </row>
    <row r="6191" spans="1:4" x14ac:dyDescent="0.3">
      <c r="A6191" s="830">
        <v>105630</v>
      </c>
      <c r="B6191" s="831" t="s">
        <v>10618</v>
      </c>
      <c r="C6191" s="830" t="s">
        <v>5247</v>
      </c>
      <c r="D6191" s="832">
        <v>132.96</v>
      </c>
    </row>
    <row r="6192" spans="1:4" x14ac:dyDescent="0.3">
      <c r="A6192" s="830">
        <v>105631</v>
      </c>
      <c r="B6192" s="831" t="s">
        <v>10619</v>
      </c>
      <c r="C6192" s="830" t="s">
        <v>5247</v>
      </c>
      <c r="D6192" s="832">
        <v>72.069999999999993</v>
      </c>
    </row>
    <row r="6193" spans="1:4" x14ac:dyDescent="0.3">
      <c r="A6193" s="830">
        <v>105632</v>
      </c>
      <c r="B6193" s="831" t="s">
        <v>10620</v>
      </c>
      <c r="C6193" s="830" t="s">
        <v>5247</v>
      </c>
      <c r="D6193" s="832">
        <v>100</v>
      </c>
    </row>
    <row r="6194" spans="1:4" x14ac:dyDescent="0.3">
      <c r="A6194" s="830">
        <v>105633</v>
      </c>
      <c r="B6194" s="831" t="s">
        <v>10621</v>
      </c>
      <c r="C6194" s="830" t="s">
        <v>5247</v>
      </c>
      <c r="D6194" s="832">
        <v>127.56</v>
      </c>
    </row>
    <row r="6195" spans="1:4" x14ac:dyDescent="0.3">
      <c r="A6195" s="830">
        <v>105634</v>
      </c>
      <c r="B6195" s="831" t="s">
        <v>10622</v>
      </c>
      <c r="C6195" s="830" t="s">
        <v>5247</v>
      </c>
      <c r="D6195" s="832">
        <v>76.36</v>
      </c>
    </row>
    <row r="6196" spans="1:4" x14ac:dyDescent="0.3">
      <c r="A6196" s="830">
        <v>105635</v>
      </c>
      <c r="B6196" s="831" t="s">
        <v>10623</v>
      </c>
      <c r="C6196" s="830" t="s">
        <v>5247</v>
      </c>
      <c r="D6196" s="832">
        <v>104.29</v>
      </c>
    </row>
    <row r="6197" spans="1:4" x14ac:dyDescent="0.3">
      <c r="A6197" s="830">
        <v>105636</v>
      </c>
      <c r="B6197" s="831" t="s">
        <v>10624</v>
      </c>
      <c r="C6197" s="830" t="s">
        <v>5247</v>
      </c>
      <c r="D6197" s="832">
        <v>131.85</v>
      </c>
    </row>
    <row r="6198" spans="1:4" x14ac:dyDescent="0.3">
      <c r="A6198" s="830">
        <v>105657</v>
      </c>
      <c r="B6198" s="831" t="s">
        <v>10625</v>
      </c>
      <c r="C6198" s="830" t="s">
        <v>5247</v>
      </c>
      <c r="D6198" s="832">
        <v>246.94</v>
      </c>
    </row>
    <row r="6199" spans="1:4" x14ac:dyDescent="0.3">
      <c r="A6199" s="830">
        <v>105658</v>
      </c>
      <c r="B6199" s="831" t="s">
        <v>10626</v>
      </c>
      <c r="C6199" s="830" t="s">
        <v>5247</v>
      </c>
      <c r="D6199" s="832">
        <v>271.61</v>
      </c>
    </row>
    <row r="6200" spans="1:4" x14ac:dyDescent="0.3">
      <c r="A6200" s="830">
        <v>105659</v>
      </c>
      <c r="B6200" s="831" t="s">
        <v>10627</v>
      </c>
      <c r="C6200" s="830" t="s">
        <v>5247</v>
      </c>
      <c r="D6200" s="832">
        <v>295.91000000000003</v>
      </c>
    </row>
    <row r="6201" spans="1:4" x14ac:dyDescent="0.3">
      <c r="A6201" s="830">
        <v>105660</v>
      </c>
      <c r="B6201" s="831" t="s">
        <v>10628</v>
      </c>
      <c r="C6201" s="830" t="s">
        <v>5247</v>
      </c>
      <c r="D6201" s="832">
        <v>258.75</v>
      </c>
    </row>
    <row r="6202" spans="1:4" x14ac:dyDescent="0.3">
      <c r="A6202" s="830">
        <v>105661</v>
      </c>
      <c r="B6202" s="831" t="s">
        <v>10629</v>
      </c>
      <c r="C6202" s="830" t="s">
        <v>5247</v>
      </c>
      <c r="D6202" s="832">
        <v>283.42</v>
      </c>
    </row>
    <row r="6203" spans="1:4" x14ac:dyDescent="0.3">
      <c r="A6203" s="830">
        <v>105662</v>
      </c>
      <c r="B6203" s="831" t="s">
        <v>10630</v>
      </c>
      <c r="C6203" s="830" t="s">
        <v>5247</v>
      </c>
      <c r="D6203" s="832">
        <v>307.72000000000003</v>
      </c>
    </row>
    <row r="6204" spans="1:4" x14ac:dyDescent="0.3">
      <c r="A6204" s="830">
        <v>105663</v>
      </c>
      <c r="B6204" s="831" t="s">
        <v>10631</v>
      </c>
      <c r="C6204" s="830" t="s">
        <v>5247</v>
      </c>
      <c r="D6204" s="832">
        <v>248.85</v>
      </c>
    </row>
    <row r="6205" spans="1:4" x14ac:dyDescent="0.3">
      <c r="A6205" s="830">
        <v>105664</v>
      </c>
      <c r="B6205" s="831" t="s">
        <v>10632</v>
      </c>
      <c r="C6205" s="830" t="s">
        <v>5247</v>
      </c>
      <c r="D6205" s="832">
        <v>273.52</v>
      </c>
    </row>
    <row r="6206" spans="1:4" x14ac:dyDescent="0.3">
      <c r="A6206" s="830">
        <v>105665</v>
      </c>
      <c r="B6206" s="831" t="s">
        <v>10633</v>
      </c>
      <c r="C6206" s="830" t="s">
        <v>5247</v>
      </c>
      <c r="D6206" s="832">
        <v>297.82</v>
      </c>
    </row>
    <row r="6207" spans="1:4" x14ac:dyDescent="0.3">
      <c r="A6207" s="830">
        <v>105666</v>
      </c>
      <c r="B6207" s="831" t="s">
        <v>10634</v>
      </c>
      <c r="C6207" s="830" t="s">
        <v>5247</v>
      </c>
      <c r="D6207" s="832">
        <v>236.32</v>
      </c>
    </row>
    <row r="6208" spans="1:4" x14ac:dyDescent="0.3">
      <c r="A6208" s="830">
        <v>105667</v>
      </c>
      <c r="B6208" s="831" t="s">
        <v>10635</v>
      </c>
      <c r="C6208" s="830" t="s">
        <v>5247</v>
      </c>
      <c r="D6208" s="832">
        <v>260.99</v>
      </c>
    </row>
    <row r="6209" spans="1:4" x14ac:dyDescent="0.3">
      <c r="A6209" s="830">
        <v>105668</v>
      </c>
      <c r="B6209" s="831" t="s">
        <v>10636</v>
      </c>
      <c r="C6209" s="830" t="s">
        <v>5247</v>
      </c>
      <c r="D6209" s="832">
        <v>285.29000000000002</v>
      </c>
    </row>
    <row r="6210" spans="1:4" x14ac:dyDescent="0.3">
      <c r="A6210" s="830">
        <v>105669</v>
      </c>
      <c r="B6210" s="831" t="s">
        <v>10637</v>
      </c>
      <c r="C6210" s="830" t="s">
        <v>5247</v>
      </c>
      <c r="D6210" s="832">
        <v>243.9</v>
      </c>
    </row>
    <row r="6211" spans="1:4" x14ac:dyDescent="0.3">
      <c r="A6211" s="830">
        <v>105670</v>
      </c>
      <c r="B6211" s="831" t="s">
        <v>10638</v>
      </c>
      <c r="C6211" s="830" t="s">
        <v>5247</v>
      </c>
      <c r="D6211" s="832">
        <v>268.57</v>
      </c>
    </row>
    <row r="6212" spans="1:4" x14ac:dyDescent="0.3">
      <c r="A6212" s="830">
        <v>105671</v>
      </c>
      <c r="B6212" s="831" t="s">
        <v>10639</v>
      </c>
      <c r="C6212" s="830" t="s">
        <v>5247</v>
      </c>
      <c r="D6212" s="832">
        <v>292.87</v>
      </c>
    </row>
    <row r="6213" spans="1:4" x14ac:dyDescent="0.3">
      <c r="A6213" s="830">
        <v>105690</v>
      </c>
      <c r="B6213" s="831" t="s">
        <v>10640</v>
      </c>
      <c r="C6213" s="830" t="s">
        <v>5247</v>
      </c>
      <c r="D6213" s="832">
        <v>220.87</v>
      </c>
    </row>
    <row r="6214" spans="1:4" x14ac:dyDescent="0.3">
      <c r="A6214" s="830">
        <v>105691</v>
      </c>
      <c r="B6214" s="831" t="s">
        <v>10641</v>
      </c>
      <c r="C6214" s="830" t="s">
        <v>5247</v>
      </c>
      <c r="D6214" s="832">
        <v>246.09</v>
      </c>
    </row>
    <row r="6215" spans="1:4" x14ac:dyDescent="0.3">
      <c r="A6215" s="830">
        <v>105692</v>
      </c>
      <c r="B6215" s="831" t="s">
        <v>10642</v>
      </c>
      <c r="C6215" s="830" t="s">
        <v>5247</v>
      </c>
      <c r="D6215" s="832">
        <v>270.93</v>
      </c>
    </row>
    <row r="6216" spans="1:4" x14ac:dyDescent="0.3">
      <c r="A6216" s="830">
        <v>105693</v>
      </c>
      <c r="B6216" s="831" t="s">
        <v>10643</v>
      </c>
      <c r="C6216" s="830" t="s">
        <v>5247</v>
      </c>
      <c r="D6216" s="832">
        <v>232.68</v>
      </c>
    </row>
    <row r="6217" spans="1:4" x14ac:dyDescent="0.3">
      <c r="A6217" s="830">
        <v>105694</v>
      </c>
      <c r="B6217" s="831" t="s">
        <v>10644</v>
      </c>
      <c r="C6217" s="830" t="s">
        <v>5247</v>
      </c>
      <c r="D6217" s="832">
        <v>257.89999999999998</v>
      </c>
    </row>
    <row r="6218" spans="1:4" x14ac:dyDescent="0.3">
      <c r="A6218" s="830">
        <v>105695</v>
      </c>
      <c r="B6218" s="831" t="s">
        <v>10645</v>
      </c>
      <c r="C6218" s="830" t="s">
        <v>5247</v>
      </c>
      <c r="D6218" s="832">
        <v>282.74</v>
      </c>
    </row>
    <row r="6219" spans="1:4" x14ac:dyDescent="0.3">
      <c r="A6219" s="830">
        <v>105696</v>
      </c>
      <c r="B6219" s="831" t="s">
        <v>10646</v>
      </c>
      <c r="C6219" s="830" t="s">
        <v>5247</v>
      </c>
      <c r="D6219" s="832">
        <v>222.78</v>
      </c>
    </row>
    <row r="6220" spans="1:4" x14ac:dyDescent="0.3">
      <c r="A6220" s="830">
        <v>105697</v>
      </c>
      <c r="B6220" s="831" t="s">
        <v>10647</v>
      </c>
      <c r="C6220" s="830" t="s">
        <v>5247</v>
      </c>
      <c r="D6220" s="832">
        <v>248</v>
      </c>
    </row>
    <row r="6221" spans="1:4" x14ac:dyDescent="0.3">
      <c r="A6221" s="830">
        <v>105698</v>
      </c>
      <c r="B6221" s="831" t="s">
        <v>10648</v>
      </c>
      <c r="C6221" s="830" t="s">
        <v>5247</v>
      </c>
      <c r="D6221" s="832">
        <v>272.83999999999997</v>
      </c>
    </row>
    <row r="6222" spans="1:4" x14ac:dyDescent="0.3">
      <c r="A6222" s="830">
        <v>105699</v>
      </c>
      <c r="B6222" s="831" t="s">
        <v>10649</v>
      </c>
      <c r="C6222" s="830" t="s">
        <v>5247</v>
      </c>
      <c r="D6222" s="832">
        <v>210.25</v>
      </c>
    </row>
    <row r="6223" spans="1:4" x14ac:dyDescent="0.3">
      <c r="A6223" s="830">
        <v>105700</v>
      </c>
      <c r="B6223" s="831" t="s">
        <v>10650</v>
      </c>
      <c r="C6223" s="830" t="s">
        <v>5247</v>
      </c>
      <c r="D6223" s="832">
        <v>235.47</v>
      </c>
    </row>
    <row r="6224" spans="1:4" x14ac:dyDescent="0.3">
      <c r="A6224" s="830">
        <v>105701</v>
      </c>
      <c r="B6224" s="831" t="s">
        <v>10651</v>
      </c>
      <c r="C6224" s="830" t="s">
        <v>5247</v>
      </c>
      <c r="D6224" s="832">
        <v>260.31</v>
      </c>
    </row>
    <row r="6225" spans="1:4" x14ac:dyDescent="0.3">
      <c r="A6225" s="830">
        <v>105702</v>
      </c>
      <c r="B6225" s="831" t="s">
        <v>10652</v>
      </c>
      <c r="C6225" s="830" t="s">
        <v>5247</v>
      </c>
      <c r="D6225" s="832">
        <v>217.83</v>
      </c>
    </row>
    <row r="6226" spans="1:4" x14ac:dyDescent="0.3">
      <c r="A6226" s="830">
        <v>105703</v>
      </c>
      <c r="B6226" s="831" t="s">
        <v>10653</v>
      </c>
      <c r="C6226" s="830" t="s">
        <v>5247</v>
      </c>
      <c r="D6226" s="832">
        <v>243.05</v>
      </c>
    </row>
    <row r="6227" spans="1:4" x14ac:dyDescent="0.3">
      <c r="A6227" s="830">
        <v>105704</v>
      </c>
      <c r="B6227" s="831" t="s">
        <v>10654</v>
      </c>
      <c r="C6227" s="830" t="s">
        <v>5247</v>
      </c>
      <c r="D6227" s="832">
        <v>267.89</v>
      </c>
    </row>
    <row r="6228" spans="1:4" x14ac:dyDescent="0.3">
      <c r="A6228" s="830">
        <v>105710</v>
      </c>
      <c r="B6228" s="831" t="s">
        <v>10655</v>
      </c>
      <c r="C6228" s="830" t="s">
        <v>5247</v>
      </c>
      <c r="D6228" s="832">
        <v>194.02</v>
      </c>
    </row>
    <row r="6229" spans="1:4" x14ac:dyDescent="0.3">
      <c r="A6229" s="830">
        <v>105711</v>
      </c>
      <c r="B6229" s="831" t="s">
        <v>10656</v>
      </c>
      <c r="C6229" s="830" t="s">
        <v>5247</v>
      </c>
      <c r="D6229" s="832">
        <v>183.4</v>
      </c>
    </row>
    <row r="6230" spans="1:4" x14ac:dyDescent="0.3">
      <c r="A6230" s="830">
        <v>105712</v>
      </c>
      <c r="B6230" s="831" t="s">
        <v>10657</v>
      </c>
      <c r="C6230" s="830" t="s">
        <v>5247</v>
      </c>
      <c r="D6230" s="832">
        <v>190.99</v>
      </c>
    </row>
    <row r="6231" spans="1:4" x14ac:dyDescent="0.3">
      <c r="A6231" s="830">
        <v>105718</v>
      </c>
      <c r="B6231" s="831" t="s">
        <v>10658</v>
      </c>
      <c r="C6231" s="830" t="s">
        <v>5247</v>
      </c>
      <c r="D6231" s="832">
        <v>166.87</v>
      </c>
    </row>
    <row r="6232" spans="1:4" x14ac:dyDescent="0.3">
      <c r="A6232" s="830">
        <v>105727</v>
      </c>
      <c r="B6232" s="831" t="s">
        <v>10659</v>
      </c>
      <c r="C6232" s="830" t="s">
        <v>5247</v>
      </c>
      <c r="D6232" s="832">
        <v>324.2</v>
      </c>
    </row>
    <row r="6233" spans="1:4" x14ac:dyDescent="0.3">
      <c r="A6233" s="830">
        <v>105728</v>
      </c>
      <c r="B6233" s="831" t="s">
        <v>10660</v>
      </c>
      <c r="C6233" s="830" t="s">
        <v>5247</v>
      </c>
      <c r="D6233" s="832">
        <v>330.55</v>
      </c>
    </row>
    <row r="6234" spans="1:4" x14ac:dyDescent="0.3">
      <c r="A6234" s="830">
        <v>105729</v>
      </c>
      <c r="B6234" s="831" t="s">
        <v>10661</v>
      </c>
      <c r="C6234" s="830" t="s">
        <v>5247</v>
      </c>
      <c r="D6234" s="832">
        <v>325.83999999999997</v>
      </c>
    </row>
    <row r="6235" spans="1:4" x14ac:dyDescent="0.3">
      <c r="A6235" s="830">
        <v>105730</v>
      </c>
      <c r="B6235" s="831" t="s">
        <v>10662</v>
      </c>
      <c r="C6235" s="830" t="s">
        <v>5247</v>
      </c>
      <c r="D6235" s="832">
        <v>319.02999999999997</v>
      </c>
    </row>
    <row r="6236" spans="1:4" x14ac:dyDescent="0.3">
      <c r="A6236" s="830">
        <v>105731</v>
      </c>
      <c r="B6236" s="831" t="s">
        <v>10663</v>
      </c>
      <c r="C6236" s="830" t="s">
        <v>5247</v>
      </c>
      <c r="D6236" s="832">
        <v>323.48</v>
      </c>
    </row>
    <row r="6237" spans="1:4" x14ac:dyDescent="0.3">
      <c r="A6237" s="830">
        <v>105732</v>
      </c>
      <c r="B6237" s="831" t="s">
        <v>10664</v>
      </c>
      <c r="C6237" s="830" t="s">
        <v>5247</v>
      </c>
      <c r="D6237" s="832">
        <v>377.2</v>
      </c>
    </row>
    <row r="6238" spans="1:4" x14ac:dyDescent="0.3">
      <c r="A6238" s="830">
        <v>105733</v>
      </c>
      <c r="B6238" s="831" t="s">
        <v>10665</v>
      </c>
      <c r="C6238" s="830" t="s">
        <v>5247</v>
      </c>
      <c r="D6238" s="832">
        <v>384.84</v>
      </c>
    </row>
    <row r="6239" spans="1:4" x14ac:dyDescent="0.3">
      <c r="A6239" s="830">
        <v>105734</v>
      </c>
      <c r="B6239" s="831" t="s">
        <v>10666</v>
      </c>
      <c r="C6239" s="830" t="s">
        <v>5247</v>
      </c>
      <c r="D6239" s="832">
        <v>378.69</v>
      </c>
    </row>
    <row r="6240" spans="1:4" x14ac:dyDescent="0.3">
      <c r="A6240" s="830">
        <v>105735</v>
      </c>
      <c r="B6240" s="831" t="s">
        <v>10667</v>
      </c>
      <c r="C6240" s="830" t="s">
        <v>5247</v>
      </c>
      <c r="D6240" s="832">
        <v>370.53</v>
      </c>
    </row>
    <row r="6241" spans="1:4" x14ac:dyDescent="0.3">
      <c r="A6241" s="830">
        <v>105736</v>
      </c>
      <c r="B6241" s="831" t="s">
        <v>10668</v>
      </c>
      <c r="C6241" s="830" t="s">
        <v>5247</v>
      </c>
      <c r="D6241" s="832">
        <v>375.6</v>
      </c>
    </row>
    <row r="6242" spans="1:4" x14ac:dyDescent="0.3">
      <c r="A6242" s="830">
        <v>105737</v>
      </c>
      <c r="B6242" s="831" t="s">
        <v>10669</v>
      </c>
      <c r="C6242" s="830" t="s">
        <v>5247</v>
      </c>
      <c r="D6242" s="832">
        <v>448.11</v>
      </c>
    </row>
    <row r="6243" spans="1:4" x14ac:dyDescent="0.3">
      <c r="A6243" s="830">
        <v>105738</v>
      </c>
      <c r="B6243" s="831" t="s">
        <v>10670</v>
      </c>
      <c r="C6243" s="830" t="s">
        <v>5247</v>
      </c>
      <c r="D6243" s="832">
        <v>454.46</v>
      </c>
    </row>
    <row r="6244" spans="1:4" x14ac:dyDescent="0.3">
      <c r="A6244" s="830">
        <v>105739</v>
      </c>
      <c r="B6244" s="831" t="s">
        <v>10671</v>
      </c>
      <c r="C6244" s="830" t="s">
        <v>5247</v>
      </c>
      <c r="D6244" s="832">
        <v>449.85</v>
      </c>
    </row>
    <row r="6245" spans="1:4" x14ac:dyDescent="0.3">
      <c r="A6245" s="830">
        <v>105740</v>
      </c>
      <c r="B6245" s="831" t="s">
        <v>10672</v>
      </c>
      <c r="C6245" s="830" t="s">
        <v>5247</v>
      </c>
      <c r="D6245" s="832">
        <v>442.99</v>
      </c>
    </row>
    <row r="6246" spans="1:4" x14ac:dyDescent="0.3">
      <c r="A6246" s="830">
        <v>105741</v>
      </c>
      <c r="B6246" s="831" t="s">
        <v>10673</v>
      </c>
      <c r="C6246" s="830" t="s">
        <v>5247</v>
      </c>
      <c r="D6246" s="832">
        <v>447.44</v>
      </c>
    </row>
    <row r="6247" spans="1:4" x14ac:dyDescent="0.3">
      <c r="A6247" s="830">
        <v>105742</v>
      </c>
      <c r="B6247" s="831" t="s">
        <v>10674</v>
      </c>
      <c r="C6247" s="830" t="s">
        <v>5247</v>
      </c>
      <c r="D6247" s="832">
        <v>222.36</v>
      </c>
    </row>
    <row r="6248" spans="1:4" x14ac:dyDescent="0.3">
      <c r="A6248" s="830">
        <v>105743</v>
      </c>
      <c r="B6248" s="831" t="s">
        <v>10675</v>
      </c>
      <c r="C6248" s="830" t="s">
        <v>5247</v>
      </c>
      <c r="D6248" s="832">
        <v>229.27</v>
      </c>
    </row>
    <row r="6249" spans="1:4" x14ac:dyDescent="0.3">
      <c r="A6249" s="830">
        <v>105744</v>
      </c>
      <c r="B6249" s="831" t="s">
        <v>10676</v>
      </c>
      <c r="C6249" s="830" t="s">
        <v>5247</v>
      </c>
      <c r="D6249" s="832">
        <v>227.05</v>
      </c>
    </row>
    <row r="6250" spans="1:4" x14ac:dyDescent="0.3">
      <c r="A6250" s="830">
        <v>105745</v>
      </c>
      <c r="B6250" s="831" t="s">
        <v>10677</v>
      </c>
      <c r="C6250" s="830" t="s">
        <v>5247</v>
      </c>
      <c r="D6250" s="832">
        <v>219.16</v>
      </c>
    </row>
    <row r="6251" spans="1:4" x14ac:dyDescent="0.3">
      <c r="A6251" s="830">
        <v>105746</v>
      </c>
      <c r="B6251" s="831" t="s">
        <v>10678</v>
      </c>
      <c r="C6251" s="830" t="s">
        <v>5247</v>
      </c>
      <c r="D6251" s="832">
        <v>224.8</v>
      </c>
    </row>
    <row r="6252" spans="1:4" x14ac:dyDescent="0.3">
      <c r="A6252" s="830">
        <v>105747</v>
      </c>
      <c r="B6252" s="831" t="s">
        <v>10679</v>
      </c>
      <c r="C6252" s="830" t="s">
        <v>5247</v>
      </c>
      <c r="D6252" s="832">
        <v>217.56</v>
      </c>
    </row>
    <row r="6253" spans="1:4" x14ac:dyDescent="0.3">
      <c r="A6253" s="830">
        <v>105748</v>
      </c>
      <c r="B6253" s="831" t="s">
        <v>10680</v>
      </c>
      <c r="C6253" s="830" t="s">
        <v>5247</v>
      </c>
      <c r="D6253" s="832">
        <v>222.55</v>
      </c>
    </row>
    <row r="6254" spans="1:4" x14ac:dyDescent="0.3">
      <c r="A6254" s="830">
        <v>105749</v>
      </c>
      <c r="B6254" s="831" t="s">
        <v>10681</v>
      </c>
      <c r="C6254" s="830" t="s">
        <v>5247</v>
      </c>
      <c r="D6254" s="832">
        <v>287.83</v>
      </c>
    </row>
    <row r="6255" spans="1:4" x14ac:dyDescent="0.3">
      <c r="A6255" s="830">
        <v>105750</v>
      </c>
      <c r="B6255" s="831" t="s">
        <v>10682</v>
      </c>
      <c r="C6255" s="830" t="s">
        <v>5247</v>
      </c>
      <c r="D6255" s="832">
        <v>297.92</v>
      </c>
    </row>
    <row r="6256" spans="1:4" x14ac:dyDescent="0.3">
      <c r="A6256" s="830">
        <v>105751</v>
      </c>
      <c r="B6256" s="831" t="s">
        <v>10683</v>
      </c>
      <c r="C6256" s="830" t="s">
        <v>5247</v>
      </c>
      <c r="D6256" s="832">
        <v>295.57</v>
      </c>
    </row>
    <row r="6257" spans="1:4" x14ac:dyDescent="0.3">
      <c r="A6257" s="830">
        <v>105752</v>
      </c>
      <c r="B6257" s="831" t="s">
        <v>10684</v>
      </c>
      <c r="C6257" s="830" t="s">
        <v>5247</v>
      </c>
      <c r="D6257" s="832">
        <v>284.43</v>
      </c>
    </row>
    <row r="6258" spans="1:4" x14ac:dyDescent="0.3">
      <c r="A6258" s="830">
        <v>105753</v>
      </c>
      <c r="B6258" s="831" t="s">
        <v>10685</v>
      </c>
      <c r="C6258" s="830" t="s">
        <v>5247</v>
      </c>
      <c r="D6258" s="832">
        <v>293.43</v>
      </c>
    </row>
    <row r="6259" spans="1:4" x14ac:dyDescent="0.3">
      <c r="A6259" s="830">
        <v>105754</v>
      </c>
      <c r="B6259" s="831" t="s">
        <v>10686</v>
      </c>
      <c r="C6259" s="830" t="s">
        <v>5247</v>
      </c>
      <c r="D6259" s="832">
        <v>282.92</v>
      </c>
    </row>
    <row r="6260" spans="1:4" x14ac:dyDescent="0.3">
      <c r="A6260" s="830">
        <v>105755</v>
      </c>
      <c r="B6260" s="831" t="s">
        <v>10687</v>
      </c>
      <c r="C6260" s="830" t="s">
        <v>5247</v>
      </c>
      <c r="D6260" s="832">
        <v>291.36</v>
      </c>
    </row>
    <row r="6261" spans="1:4" x14ac:dyDescent="0.3">
      <c r="A6261" s="830">
        <v>92391</v>
      </c>
      <c r="B6261" s="831" t="s">
        <v>10688</v>
      </c>
      <c r="C6261" s="830" t="s">
        <v>252</v>
      </c>
      <c r="D6261" s="832">
        <v>90.16</v>
      </c>
    </row>
    <row r="6262" spans="1:4" x14ac:dyDescent="0.3">
      <c r="A6262" s="830">
        <v>92392</v>
      </c>
      <c r="B6262" s="831" t="s">
        <v>10689</v>
      </c>
      <c r="C6262" s="830" t="s">
        <v>252</v>
      </c>
      <c r="D6262" s="832">
        <v>182.6</v>
      </c>
    </row>
    <row r="6263" spans="1:4" x14ac:dyDescent="0.3">
      <c r="A6263" s="830">
        <v>92393</v>
      </c>
      <c r="B6263" s="831" t="s">
        <v>10690</v>
      </c>
      <c r="C6263" s="830" t="s">
        <v>252</v>
      </c>
      <c r="D6263" s="832">
        <v>89</v>
      </c>
    </row>
    <row r="6264" spans="1:4" x14ac:dyDescent="0.3">
      <c r="A6264" s="830">
        <v>92394</v>
      </c>
      <c r="B6264" s="831" t="s">
        <v>10691</v>
      </c>
      <c r="C6264" s="830" t="s">
        <v>252</v>
      </c>
      <c r="D6264" s="832">
        <v>109.48</v>
      </c>
    </row>
    <row r="6265" spans="1:4" x14ac:dyDescent="0.3">
      <c r="A6265" s="830">
        <v>92395</v>
      </c>
      <c r="B6265" s="831" t="s">
        <v>10692</v>
      </c>
      <c r="C6265" s="830" t="s">
        <v>252</v>
      </c>
      <c r="D6265" s="832">
        <v>130.38</v>
      </c>
    </row>
    <row r="6266" spans="1:4" x14ac:dyDescent="0.3">
      <c r="A6266" s="830">
        <v>92396</v>
      </c>
      <c r="B6266" s="831" t="s">
        <v>10693</v>
      </c>
      <c r="C6266" s="830" t="s">
        <v>252</v>
      </c>
      <c r="D6266" s="832">
        <v>104.56</v>
      </c>
    </row>
    <row r="6267" spans="1:4" x14ac:dyDescent="0.3">
      <c r="A6267" s="830">
        <v>92397</v>
      </c>
      <c r="B6267" s="831" t="s">
        <v>10694</v>
      </c>
      <c r="C6267" s="830" t="s">
        <v>252</v>
      </c>
      <c r="D6267" s="832">
        <v>93.24</v>
      </c>
    </row>
    <row r="6268" spans="1:4" x14ac:dyDescent="0.3">
      <c r="A6268" s="830">
        <v>92398</v>
      </c>
      <c r="B6268" s="831" t="s">
        <v>10695</v>
      </c>
      <c r="C6268" s="830" t="s">
        <v>252</v>
      </c>
      <c r="D6268" s="832">
        <v>114.77</v>
      </c>
    </row>
    <row r="6269" spans="1:4" x14ac:dyDescent="0.3">
      <c r="A6269" s="830">
        <v>92400</v>
      </c>
      <c r="B6269" s="831" t="s">
        <v>10696</v>
      </c>
      <c r="C6269" s="830" t="s">
        <v>252</v>
      </c>
      <c r="D6269" s="832">
        <v>133.74</v>
      </c>
    </row>
    <row r="6270" spans="1:4" x14ac:dyDescent="0.3">
      <c r="A6270" s="830">
        <v>92402</v>
      </c>
      <c r="B6270" s="831" t="s">
        <v>10697</v>
      </c>
      <c r="C6270" s="830" t="s">
        <v>252</v>
      </c>
      <c r="D6270" s="832">
        <v>102.28</v>
      </c>
    </row>
    <row r="6271" spans="1:4" x14ac:dyDescent="0.3">
      <c r="A6271" s="830">
        <v>92403</v>
      </c>
      <c r="B6271" s="831" t="s">
        <v>10698</v>
      </c>
      <c r="C6271" s="830" t="s">
        <v>252</v>
      </c>
      <c r="D6271" s="832">
        <v>90.56</v>
      </c>
    </row>
    <row r="6272" spans="1:4" x14ac:dyDescent="0.3">
      <c r="A6272" s="830">
        <v>92404</v>
      </c>
      <c r="B6272" s="831" t="s">
        <v>10699</v>
      </c>
      <c r="C6272" s="830" t="s">
        <v>252</v>
      </c>
      <c r="D6272" s="832">
        <v>112.09</v>
      </c>
    </row>
    <row r="6273" spans="1:4" x14ac:dyDescent="0.3">
      <c r="A6273" s="830">
        <v>92406</v>
      </c>
      <c r="B6273" s="831" t="s">
        <v>10700</v>
      </c>
      <c r="C6273" s="830" t="s">
        <v>252</v>
      </c>
      <c r="D6273" s="832">
        <v>133.36000000000001</v>
      </c>
    </row>
    <row r="6274" spans="1:4" x14ac:dyDescent="0.3">
      <c r="A6274" s="830">
        <v>93679</v>
      </c>
      <c r="B6274" s="831" t="s">
        <v>10701</v>
      </c>
      <c r="C6274" s="830" t="s">
        <v>252</v>
      </c>
      <c r="D6274" s="832">
        <v>115.81</v>
      </c>
    </row>
    <row r="6275" spans="1:4" x14ac:dyDescent="0.3">
      <c r="A6275" s="830">
        <v>93680</v>
      </c>
      <c r="B6275" s="831" t="s">
        <v>10702</v>
      </c>
      <c r="C6275" s="830" t="s">
        <v>252</v>
      </c>
      <c r="D6275" s="832">
        <v>104.21</v>
      </c>
    </row>
    <row r="6276" spans="1:4" x14ac:dyDescent="0.3">
      <c r="A6276" s="830">
        <v>93681</v>
      </c>
      <c r="B6276" s="831" t="s">
        <v>10703</v>
      </c>
      <c r="C6276" s="830" t="s">
        <v>252</v>
      </c>
      <c r="D6276" s="832">
        <v>123.57</v>
      </c>
    </row>
    <row r="6277" spans="1:4" x14ac:dyDescent="0.3">
      <c r="A6277" s="830">
        <v>97104</v>
      </c>
      <c r="B6277" s="831" t="s">
        <v>10704</v>
      </c>
      <c r="C6277" s="830" t="s">
        <v>252</v>
      </c>
      <c r="D6277" s="832">
        <v>131.84</v>
      </c>
    </row>
    <row r="6278" spans="1:4" x14ac:dyDescent="0.3">
      <c r="A6278" s="830">
        <v>97105</v>
      </c>
      <c r="B6278" s="831" t="s">
        <v>10705</v>
      </c>
      <c r="C6278" s="830" t="s">
        <v>252</v>
      </c>
      <c r="D6278" s="832">
        <v>148.62</v>
      </c>
    </row>
    <row r="6279" spans="1:4" x14ac:dyDescent="0.3">
      <c r="A6279" s="830">
        <v>97106</v>
      </c>
      <c r="B6279" s="831" t="s">
        <v>10706</v>
      </c>
      <c r="C6279" s="830" t="s">
        <v>252</v>
      </c>
      <c r="D6279" s="832">
        <v>164.54</v>
      </c>
    </row>
    <row r="6280" spans="1:4" x14ac:dyDescent="0.3">
      <c r="A6280" s="830">
        <v>97107</v>
      </c>
      <c r="B6280" s="831" t="s">
        <v>10707</v>
      </c>
      <c r="C6280" s="830" t="s">
        <v>252</v>
      </c>
      <c r="D6280" s="832">
        <v>187.4</v>
      </c>
    </row>
    <row r="6281" spans="1:4" x14ac:dyDescent="0.3">
      <c r="A6281" s="830">
        <v>97108</v>
      </c>
      <c r="B6281" s="831" t="s">
        <v>10708</v>
      </c>
      <c r="C6281" s="830" t="s">
        <v>252</v>
      </c>
      <c r="D6281" s="832">
        <v>214.14</v>
      </c>
    </row>
    <row r="6282" spans="1:4" x14ac:dyDescent="0.3">
      <c r="A6282" s="830">
        <v>97109</v>
      </c>
      <c r="B6282" s="831" t="s">
        <v>10709</v>
      </c>
      <c r="C6282" s="830" t="s">
        <v>252</v>
      </c>
      <c r="D6282" s="832">
        <v>236.66</v>
      </c>
    </row>
    <row r="6283" spans="1:4" x14ac:dyDescent="0.3">
      <c r="A6283" s="830">
        <v>97111</v>
      </c>
      <c r="B6283" s="831" t="s">
        <v>10710</v>
      </c>
      <c r="C6283" s="830" t="s">
        <v>252</v>
      </c>
      <c r="D6283" s="832">
        <v>246.84</v>
      </c>
    </row>
    <row r="6284" spans="1:4" x14ac:dyDescent="0.3">
      <c r="A6284" s="830">
        <v>97112</v>
      </c>
      <c r="B6284" s="831" t="s">
        <v>10711</v>
      </c>
      <c r="C6284" s="830" t="s">
        <v>252</v>
      </c>
      <c r="D6284" s="832">
        <v>217.45</v>
      </c>
    </row>
    <row r="6285" spans="1:4" x14ac:dyDescent="0.3">
      <c r="A6285" s="830">
        <v>97113</v>
      </c>
      <c r="B6285" s="831" t="s">
        <v>10712</v>
      </c>
      <c r="C6285" s="830" t="s">
        <v>252</v>
      </c>
      <c r="D6285" s="832">
        <v>3.4</v>
      </c>
    </row>
    <row r="6286" spans="1:4" x14ac:dyDescent="0.3">
      <c r="A6286" s="830">
        <v>97114</v>
      </c>
      <c r="B6286" s="831" t="s">
        <v>10713</v>
      </c>
      <c r="C6286" s="830" t="s">
        <v>194</v>
      </c>
      <c r="D6286" s="832">
        <v>0.42</v>
      </c>
    </row>
    <row r="6287" spans="1:4" x14ac:dyDescent="0.3">
      <c r="A6287" s="830">
        <v>97115</v>
      </c>
      <c r="B6287" s="831" t="s">
        <v>10714</v>
      </c>
      <c r="C6287" s="830" t="s">
        <v>1369</v>
      </c>
      <c r="D6287" s="832">
        <v>59.35</v>
      </c>
    </row>
    <row r="6288" spans="1:4" x14ac:dyDescent="0.3">
      <c r="A6288" s="830">
        <v>97116</v>
      </c>
      <c r="B6288" s="831" t="s">
        <v>10715</v>
      </c>
      <c r="C6288" s="830" t="s">
        <v>1369</v>
      </c>
      <c r="D6288" s="832">
        <v>24.51</v>
      </c>
    </row>
    <row r="6289" spans="1:4" x14ac:dyDescent="0.3">
      <c r="A6289" s="830">
        <v>97117</v>
      </c>
      <c r="B6289" s="831" t="s">
        <v>10716</v>
      </c>
      <c r="C6289" s="830" t="s">
        <v>1369</v>
      </c>
      <c r="D6289" s="832">
        <v>21.51</v>
      </c>
    </row>
    <row r="6290" spans="1:4" x14ac:dyDescent="0.3">
      <c r="A6290" s="830">
        <v>97118</v>
      </c>
      <c r="B6290" s="831" t="s">
        <v>10717</v>
      </c>
      <c r="C6290" s="830" t="s">
        <v>1369</v>
      </c>
      <c r="D6290" s="832">
        <v>17.87</v>
      </c>
    </row>
    <row r="6291" spans="1:4" x14ac:dyDescent="0.3">
      <c r="A6291" s="830">
        <v>97119</v>
      </c>
      <c r="B6291" s="831" t="s">
        <v>10718</v>
      </c>
      <c r="C6291" s="830" t="s">
        <v>1369</v>
      </c>
      <c r="D6291" s="832">
        <v>16.16</v>
      </c>
    </row>
    <row r="6292" spans="1:4" x14ac:dyDescent="0.3">
      <c r="A6292" s="830">
        <v>97120</v>
      </c>
      <c r="B6292" s="831" t="s">
        <v>10719</v>
      </c>
      <c r="C6292" s="830" t="s">
        <v>1369</v>
      </c>
      <c r="D6292" s="832">
        <v>10.59</v>
      </c>
    </row>
    <row r="6293" spans="1:4" x14ac:dyDescent="0.3">
      <c r="A6293" s="830">
        <v>101167</v>
      </c>
      <c r="B6293" s="831" t="s">
        <v>10720</v>
      </c>
      <c r="C6293" s="830" t="s">
        <v>252</v>
      </c>
      <c r="D6293" s="832">
        <v>370.94</v>
      </c>
    </row>
    <row r="6294" spans="1:4" x14ac:dyDescent="0.3">
      <c r="A6294" s="830">
        <v>101169</v>
      </c>
      <c r="B6294" s="831" t="s">
        <v>10721</v>
      </c>
      <c r="C6294" s="830" t="s">
        <v>252</v>
      </c>
      <c r="D6294" s="832">
        <v>384.97</v>
      </c>
    </row>
    <row r="6295" spans="1:4" x14ac:dyDescent="0.3">
      <c r="A6295" s="830">
        <v>101170</v>
      </c>
      <c r="B6295" s="831" t="s">
        <v>10722</v>
      </c>
      <c r="C6295" s="830" t="s">
        <v>252</v>
      </c>
      <c r="D6295" s="832">
        <v>76.42</v>
      </c>
    </row>
    <row r="6296" spans="1:4" x14ac:dyDescent="0.3">
      <c r="A6296" s="830">
        <v>101172</v>
      </c>
      <c r="B6296" s="831" t="s">
        <v>10723</v>
      </c>
      <c r="C6296" s="830" t="s">
        <v>252</v>
      </c>
      <c r="D6296" s="832">
        <v>100.55</v>
      </c>
    </row>
    <row r="6297" spans="1:4" x14ac:dyDescent="0.3">
      <c r="A6297" s="830">
        <v>103904</v>
      </c>
      <c r="B6297" s="831" t="s">
        <v>10724</v>
      </c>
      <c r="C6297" s="830" t="s">
        <v>252</v>
      </c>
      <c r="D6297" s="832">
        <v>128.32</v>
      </c>
    </row>
    <row r="6298" spans="1:4" x14ac:dyDescent="0.3">
      <c r="A6298" s="830">
        <v>103905</v>
      </c>
      <c r="B6298" s="831" t="s">
        <v>10725</v>
      </c>
      <c r="C6298" s="830" t="s">
        <v>252</v>
      </c>
      <c r="D6298" s="832">
        <v>135.22999999999999</v>
      </c>
    </row>
    <row r="6299" spans="1:4" x14ac:dyDescent="0.3">
      <c r="A6299" s="830">
        <v>103906</v>
      </c>
      <c r="B6299" s="831" t="s">
        <v>10726</v>
      </c>
      <c r="C6299" s="830" t="s">
        <v>252</v>
      </c>
      <c r="D6299" s="832">
        <v>164.42</v>
      </c>
    </row>
    <row r="6300" spans="1:4" x14ac:dyDescent="0.3">
      <c r="A6300" s="830">
        <v>103907</v>
      </c>
      <c r="B6300" s="831" t="s">
        <v>10727</v>
      </c>
      <c r="C6300" s="830" t="s">
        <v>252</v>
      </c>
      <c r="D6300" s="832">
        <v>141.25</v>
      </c>
    </row>
    <row r="6301" spans="1:4" x14ac:dyDescent="0.3">
      <c r="A6301" s="830">
        <v>103908</v>
      </c>
      <c r="B6301" s="831" t="s">
        <v>10728</v>
      </c>
      <c r="C6301" s="830" t="s">
        <v>252</v>
      </c>
      <c r="D6301" s="832">
        <v>159.84</v>
      </c>
    </row>
    <row r="6302" spans="1:4" x14ac:dyDescent="0.3">
      <c r="A6302" s="830">
        <v>103909</v>
      </c>
      <c r="B6302" s="831" t="s">
        <v>10729</v>
      </c>
      <c r="C6302" s="830" t="s">
        <v>252</v>
      </c>
      <c r="D6302" s="832">
        <v>182.09</v>
      </c>
    </row>
    <row r="6303" spans="1:4" x14ac:dyDescent="0.3">
      <c r="A6303" s="830">
        <v>103911</v>
      </c>
      <c r="B6303" s="831" t="s">
        <v>10730</v>
      </c>
      <c r="C6303" s="830" t="s">
        <v>252</v>
      </c>
      <c r="D6303" s="832">
        <v>208.25</v>
      </c>
    </row>
    <row r="6304" spans="1:4" x14ac:dyDescent="0.3">
      <c r="A6304" s="830">
        <v>103912</v>
      </c>
      <c r="B6304" s="831" t="s">
        <v>10731</v>
      </c>
      <c r="C6304" s="830" t="s">
        <v>252</v>
      </c>
      <c r="D6304" s="832">
        <v>230.18</v>
      </c>
    </row>
    <row r="6305" spans="1:4" x14ac:dyDescent="0.3">
      <c r="A6305" s="830">
        <v>103913</v>
      </c>
      <c r="B6305" s="831" t="s">
        <v>10732</v>
      </c>
      <c r="C6305" s="830" t="s">
        <v>252</v>
      </c>
      <c r="D6305" s="832">
        <v>121.35</v>
      </c>
    </row>
    <row r="6306" spans="1:4" x14ac:dyDescent="0.3">
      <c r="A6306" s="830">
        <v>103914</v>
      </c>
      <c r="B6306" s="831" t="s">
        <v>10733</v>
      </c>
      <c r="C6306" s="830" t="s">
        <v>252</v>
      </c>
      <c r="D6306" s="832">
        <v>141.49</v>
      </c>
    </row>
    <row r="6307" spans="1:4" x14ac:dyDescent="0.3">
      <c r="A6307" s="830">
        <v>103915</v>
      </c>
      <c r="B6307" s="831" t="s">
        <v>10734</v>
      </c>
      <c r="C6307" s="830" t="s">
        <v>252</v>
      </c>
      <c r="D6307" s="832">
        <v>154</v>
      </c>
    </row>
    <row r="6308" spans="1:4" x14ac:dyDescent="0.3">
      <c r="A6308" s="830">
        <v>103916</v>
      </c>
      <c r="B6308" s="831" t="s">
        <v>10735</v>
      </c>
      <c r="C6308" s="830" t="s">
        <v>252</v>
      </c>
      <c r="D6308" s="832">
        <v>176.71</v>
      </c>
    </row>
    <row r="6309" spans="1:4" x14ac:dyDescent="0.3">
      <c r="A6309" s="830">
        <v>103917</v>
      </c>
      <c r="B6309" s="831" t="s">
        <v>10736</v>
      </c>
      <c r="C6309" s="830" t="s">
        <v>252</v>
      </c>
      <c r="D6309" s="832">
        <v>202.41</v>
      </c>
    </row>
    <row r="6310" spans="1:4" x14ac:dyDescent="0.3">
      <c r="A6310" s="830">
        <v>103918</v>
      </c>
      <c r="B6310" s="831" t="s">
        <v>10737</v>
      </c>
      <c r="C6310" s="830" t="s">
        <v>252</v>
      </c>
      <c r="D6310" s="832">
        <v>213.9</v>
      </c>
    </row>
    <row r="6311" spans="1:4" x14ac:dyDescent="0.3">
      <c r="A6311" s="830">
        <v>104432</v>
      </c>
      <c r="B6311" s="831" t="s">
        <v>10738</v>
      </c>
      <c r="C6311" s="830" t="s">
        <v>252</v>
      </c>
      <c r="D6311" s="832">
        <v>109.58</v>
      </c>
    </row>
    <row r="6312" spans="1:4" x14ac:dyDescent="0.3">
      <c r="A6312" s="830">
        <v>104433</v>
      </c>
      <c r="B6312" s="831" t="s">
        <v>10739</v>
      </c>
      <c r="C6312" s="830" t="s">
        <v>252</v>
      </c>
      <c r="D6312" s="832">
        <v>96.89</v>
      </c>
    </row>
    <row r="6313" spans="1:4" x14ac:dyDescent="0.3">
      <c r="A6313" s="830">
        <v>103689</v>
      </c>
      <c r="B6313" s="831" t="s">
        <v>10740</v>
      </c>
      <c r="C6313" s="830" t="s">
        <v>252</v>
      </c>
      <c r="D6313" s="832">
        <v>462.86</v>
      </c>
    </row>
    <row r="6314" spans="1:4" x14ac:dyDescent="0.3">
      <c r="A6314" s="830">
        <v>103694</v>
      </c>
      <c r="B6314" s="831" t="s">
        <v>10741</v>
      </c>
      <c r="C6314" s="830" t="s">
        <v>89</v>
      </c>
      <c r="D6314" s="832">
        <v>117.04</v>
      </c>
    </row>
    <row r="6315" spans="1:4" x14ac:dyDescent="0.3">
      <c r="A6315" s="830">
        <v>103695</v>
      </c>
      <c r="B6315" s="831" t="s">
        <v>10742</v>
      </c>
      <c r="C6315" s="830" t="s">
        <v>89</v>
      </c>
      <c r="D6315" s="832">
        <v>105.56</v>
      </c>
    </row>
    <row r="6316" spans="1:4" x14ac:dyDescent="0.3">
      <c r="A6316" s="830">
        <v>103696</v>
      </c>
      <c r="B6316" s="831" t="s">
        <v>10743</v>
      </c>
      <c r="C6316" s="830" t="s">
        <v>89</v>
      </c>
      <c r="D6316" s="832">
        <v>147.46</v>
      </c>
    </row>
    <row r="6317" spans="1:4" x14ac:dyDescent="0.3">
      <c r="A6317" s="830">
        <v>103697</v>
      </c>
      <c r="B6317" s="831" t="s">
        <v>10744</v>
      </c>
      <c r="C6317" s="830" t="s">
        <v>89</v>
      </c>
      <c r="D6317" s="832">
        <v>135.97999999999999</v>
      </c>
    </row>
    <row r="6318" spans="1:4" x14ac:dyDescent="0.3">
      <c r="A6318" s="830">
        <v>95995</v>
      </c>
      <c r="B6318" s="831" t="s">
        <v>2986</v>
      </c>
      <c r="C6318" s="830" t="s">
        <v>5247</v>
      </c>
      <c r="D6318" s="832">
        <v>1787.26</v>
      </c>
    </row>
    <row r="6319" spans="1:4" x14ac:dyDescent="0.3">
      <c r="A6319" s="830">
        <v>95996</v>
      </c>
      <c r="B6319" s="831" t="s">
        <v>10745</v>
      </c>
      <c r="C6319" s="830" t="s">
        <v>5247</v>
      </c>
      <c r="D6319" s="832">
        <v>1547.37</v>
      </c>
    </row>
    <row r="6320" spans="1:4" x14ac:dyDescent="0.3">
      <c r="A6320" s="830">
        <v>96001</v>
      </c>
      <c r="B6320" s="831" t="s">
        <v>10746</v>
      </c>
      <c r="C6320" s="830" t="s">
        <v>252</v>
      </c>
      <c r="D6320" s="832">
        <v>7.41</v>
      </c>
    </row>
    <row r="6321" spans="1:4" x14ac:dyDescent="0.3">
      <c r="A6321" s="830">
        <v>96393</v>
      </c>
      <c r="B6321" s="831" t="s">
        <v>10747</v>
      </c>
      <c r="C6321" s="830" t="s">
        <v>5247</v>
      </c>
      <c r="D6321" s="832">
        <v>306.74</v>
      </c>
    </row>
    <row r="6322" spans="1:4" x14ac:dyDescent="0.3">
      <c r="A6322" s="830">
        <v>96394</v>
      </c>
      <c r="B6322" s="831" t="s">
        <v>10748</v>
      </c>
      <c r="C6322" s="830" t="s">
        <v>5247</v>
      </c>
      <c r="D6322" s="832">
        <v>356.7</v>
      </c>
    </row>
    <row r="6323" spans="1:4" x14ac:dyDescent="0.3">
      <c r="A6323" s="830">
        <v>96395</v>
      </c>
      <c r="B6323" s="831" t="s">
        <v>10749</v>
      </c>
      <c r="C6323" s="830" t="s">
        <v>5247</v>
      </c>
      <c r="D6323" s="832">
        <v>430.75</v>
      </c>
    </row>
    <row r="6324" spans="1:4" x14ac:dyDescent="0.3">
      <c r="A6324" s="830">
        <v>88411</v>
      </c>
      <c r="B6324" s="831" t="s">
        <v>10750</v>
      </c>
      <c r="C6324" s="830" t="s">
        <v>252</v>
      </c>
      <c r="D6324" s="832">
        <v>5.58</v>
      </c>
    </row>
    <row r="6325" spans="1:4" x14ac:dyDescent="0.3">
      <c r="A6325" s="830">
        <v>88412</v>
      </c>
      <c r="B6325" s="831" t="s">
        <v>10751</v>
      </c>
      <c r="C6325" s="830" t="s">
        <v>252</v>
      </c>
      <c r="D6325" s="832">
        <v>4.5999999999999996</v>
      </c>
    </row>
    <row r="6326" spans="1:4" x14ac:dyDescent="0.3">
      <c r="A6326" s="830">
        <v>88413</v>
      </c>
      <c r="B6326" s="831" t="s">
        <v>10752</v>
      </c>
      <c r="C6326" s="830" t="s">
        <v>252</v>
      </c>
      <c r="D6326" s="832">
        <v>6.76</v>
      </c>
    </row>
    <row r="6327" spans="1:4" x14ac:dyDescent="0.3">
      <c r="A6327" s="830">
        <v>88414</v>
      </c>
      <c r="B6327" s="831" t="s">
        <v>10753</v>
      </c>
      <c r="C6327" s="830" t="s">
        <v>252</v>
      </c>
      <c r="D6327" s="832">
        <v>8.06</v>
      </c>
    </row>
    <row r="6328" spans="1:4" x14ac:dyDescent="0.3">
      <c r="A6328" s="830">
        <v>88415</v>
      </c>
      <c r="B6328" s="831" t="s">
        <v>10754</v>
      </c>
      <c r="C6328" s="830" t="s">
        <v>252</v>
      </c>
      <c r="D6328" s="832">
        <v>5.65</v>
      </c>
    </row>
    <row r="6329" spans="1:4" x14ac:dyDescent="0.3">
      <c r="A6329" s="830">
        <v>88416</v>
      </c>
      <c r="B6329" s="831" t="s">
        <v>10755</v>
      </c>
      <c r="C6329" s="830" t="s">
        <v>252</v>
      </c>
      <c r="D6329" s="832">
        <v>22.66</v>
      </c>
    </row>
    <row r="6330" spans="1:4" x14ac:dyDescent="0.3">
      <c r="A6330" s="830">
        <v>88417</v>
      </c>
      <c r="B6330" s="831" t="s">
        <v>10756</v>
      </c>
      <c r="C6330" s="830" t="s">
        <v>252</v>
      </c>
      <c r="D6330" s="832">
        <v>19.190000000000001</v>
      </c>
    </row>
    <row r="6331" spans="1:4" x14ac:dyDescent="0.3">
      <c r="A6331" s="830">
        <v>88420</v>
      </c>
      <c r="B6331" s="831" t="s">
        <v>10757</v>
      </c>
      <c r="C6331" s="830" t="s">
        <v>252</v>
      </c>
      <c r="D6331" s="832">
        <v>26.01</v>
      </c>
    </row>
    <row r="6332" spans="1:4" x14ac:dyDescent="0.3">
      <c r="A6332" s="830">
        <v>88421</v>
      </c>
      <c r="B6332" s="831" t="s">
        <v>10758</v>
      </c>
      <c r="C6332" s="830" t="s">
        <v>252</v>
      </c>
      <c r="D6332" s="832">
        <v>31.37</v>
      </c>
    </row>
    <row r="6333" spans="1:4" x14ac:dyDescent="0.3">
      <c r="A6333" s="830">
        <v>88423</v>
      </c>
      <c r="B6333" s="831" t="s">
        <v>10759</v>
      </c>
      <c r="C6333" s="830" t="s">
        <v>252</v>
      </c>
      <c r="D6333" s="832">
        <v>22.67</v>
      </c>
    </row>
    <row r="6334" spans="1:4" x14ac:dyDescent="0.3">
      <c r="A6334" s="830">
        <v>88424</v>
      </c>
      <c r="B6334" s="831" t="s">
        <v>10760</v>
      </c>
      <c r="C6334" s="830" t="s">
        <v>252</v>
      </c>
      <c r="D6334" s="832">
        <v>26.52</v>
      </c>
    </row>
    <row r="6335" spans="1:4" x14ac:dyDescent="0.3">
      <c r="A6335" s="830">
        <v>88426</v>
      </c>
      <c r="B6335" s="831" t="s">
        <v>10761</v>
      </c>
      <c r="C6335" s="830" t="s">
        <v>252</v>
      </c>
      <c r="D6335" s="832">
        <v>21.27</v>
      </c>
    </row>
    <row r="6336" spans="1:4" x14ac:dyDescent="0.3">
      <c r="A6336" s="830">
        <v>88428</v>
      </c>
      <c r="B6336" s="831" t="s">
        <v>10762</v>
      </c>
      <c r="C6336" s="830" t="s">
        <v>252</v>
      </c>
      <c r="D6336" s="832">
        <v>33.409999999999997</v>
      </c>
    </row>
    <row r="6337" spans="1:4" x14ac:dyDescent="0.3">
      <c r="A6337" s="830">
        <v>88429</v>
      </c>
      <c r="B6337" s="831" t="s">
        <v>10763</v>
      </c>
      <c r="C6337" s="830" t="s">
        <v>252</v>
      </c>
      <c r="D6337" s="832">
        <v>39.99</v>
      </c>
    </row>
    <row r="6338" spans="1:4" x14ac:dyDescent="0.3">
      <c r="A6338" s="830">
        <v>88431</v>
      </c>
      <c r="B6338" s="831" t="s">
        <v>10764</v>
      </c>
      <c r="C6338" s="830" t="s">
        <v>252</v>
      </c>
      <c r="D6338" s="832">
        <v>27.01</v>
      </c>
    </row>
    <row r="6339" spans="1:4" x14ac:dyDescent="0.3">
      <c r="A6339" s="830">
        <v>88432</v>
      </c>
      <c r="B6339" s="831" t="s">
        <v>10765</v>
      </c>
      <c r="C6339" s="830" t="s">
        <v>252</v>
      </c>
      <c r="D6339" s="832">
        <v>34.03</v>
      </c>
    </row>
    <row r="6340" spans="1:4" x14ac:dyDescent="0.3">
      <c r="A6340" s="830">
        <v>88484</v>
      </c>
      <c r="B6340" s="831" t="s">
        <v>10766</v>
      </c>
      <c r="C6340" s="830" t="s">
        <v>252</v>
      </c>
      <c r="D6340" s="832">
        <v>5.77</v>
      </c>
    </row>
    <row r="6341" spans="1:4" x14ac:dyDescent="0.3">
      <c r="A6341" s="830">
        <v>88485</v>
      </c>
      <c r="B6341" s="831" t="s">
        <v>10767</v>
      </c>
      <c r="C6341" s="830" t="s">
        <v>252</v>
      </c>
      <c r="D6341" s="832">
        <v>4.7</v>
      </c>
    </row>
    <row r="6342" spans="1:4" x14ac:dyDescent="0.3">
      <c r="A6342" s="830">
        <v>88488</v>
      </c>
      <c r="B6342" s="831" t="s">
        <v>10768</v>
      </c>
      <c r="C6342" s="830" t="s">
        <v>252</v>
      </c>
      <c r="D6342" s="832">
        <v>16.41</v>
      </c>
    </row>
    <row r="6343" spans="1:4" x14ac:dyDescent="0.3">
      <c r="A6343" s="830">
        <v>88489</v>
      </c>
      <c r="B6343" s="831" t="s">
        <v>4256</v>
      </c>
      <c r="C6343" s="830" t="s">
        <v>252</v>
      </c>
      <c r="D6343" s="832">
        <v>13.83</v>
      </c>
    </row>
    <row r="6344" spans="1:4" x14ac:dyDescent="0.3">
      <c r="A6344" s="830">
        <v>88494</v>
      </c>
      <c r="B6344" s="831" t="s">
        <v>10769</v>
      </c>
      <c r="C6344" s="830" t="s">
        <v>252</v>
      </c>
      <c r="D6344" s="832">
        <v>23.33</v>
      </c>
    </row>
    <row r="6345" spans="1:4" x14ac:dyDescent="0.3">
      <c r="A6345" s="830">
        <v>88495</v>
      </c>
      <c r="B6345" s="831" t="s">
        <v>10770</v>
      </c>
      <c r="C6345" s="830" t="s">
        <v>252</v>
      </c>
      <c r="D6345" s="832">
        <v>12.85</v>
      </c>
    </row>
    <row r="6346" spans="1:4" x14ac:dyDescent="0.3">
      <c r="A6346" s="830">
        <v>88496</v>
      </c>
      <c r="B6346" s="831" t="s">
        <v>10771</v>
      </c>
      <c r="C6346" s="830" t="s">
        <v>252</v>
      </c>
      <c r="D6346" s="832">
        <v>35.35</v>
      </c>
    </row>
    <row r="6347" spans="1:4" x14ac:dyDescent="0.3">
      <c r="A6347" s="830">
        <v>88497</v>
      </c>
      <c r="B6347" s="831" t="s">
        <v>10772</v>
      </c>
      <c r="C6347" s="830" t="s">
        <v>252</v>
      </c>
      <c r="D6347" s="832">
        <v>19.97</v>
      </c>
    </row>
    <row r="6348" spans="1:4" x14ac:dyDescent="0.3">
      <c r="A6348" s="830">
        <v>95305</v>
      </c>
      <c r="B6348" s="831" t="s">
        <v>10773</v>
      </c>
      <c r="C6348" s="830" t="s">
        <v>252</v>
      </c>
      <c r="D6348" s="832">
        <v>14.61</v>
      </c>
    </row>
    <row r="6349" spans="1:4" x14ac:dyDescent="0.3">
      <c r="A6349" s="830">
        <v>95306</v>
      </c>
      <c r="B6349" s="831" t="s">
        <v>10774</v>
      </c>
      <c r="C6349" s="830" t="s">
        <v>252</v>
      </c>
      <c r="D6349" s="832">
        <v>17.04</v>
      </c>
    </row>
    <row r="6350" spans="1:4" x14ac:dyDescent="0.3">
      <c r="A6350" s="830">
        <v>95622</v>
      </c>
      <c r="B6350" s="831" t="s">
        <v>10775</v>
      </c>
      <c r="C6350" s="830" t="s">
        <v>252</v>
      </c>
      <c r="D6350" s="832">
        <v>16.03</v>
      </c>
    </row>
    <row r="6351" spans="1:4" x14ac:dyDescent="0.3">
      <c r="A6351" s="830">
        <v>95623</v>
      </c>
      <c r="B6351" s="831" t="s">
        <v>10776</v>
      </c>
      <c r="C6351" s="830" t="s">
        <v>252</v>
      </c>
      <c r="D6351" s="832">
        <v>11.22</v>
      </c>
    </row>
    <row r="6352" spans="1:4" x14ac:dyDescent="0.3">
      <c r="A6352" s="830">
        <v>95624</v>
      </c>
      <c r="B6352" s="831" t="s">
        <v>10777</v>
      </c>
      <c r="C6352" s="830" t="s">
        <v>252</v>
      </c>
      <c r="D6352" s="832">
        <v>24.25</v>
      </c>
    </row>
    <row r="6353" spans="1:4" x14ac:dyDescent="0.3">
      <c r="A6353" s="830">
        <v>95625</v>
      </c>
      <c r="B6353" s="831" t="s">
        <v>10778</v>
      </c>
      <c r="C6353" s="830" t="s">
        <v>252</v>
      </c>
      <c r="D6353" s="832">
        <v>28.66</v>
      </c>
    </row>
    <row r="6354" spans="1:4" x14ac:dyDescent="0.3">
      <c r="A6354" s="830">
        <v>95626</v>
      </c>
      <c r="B6354" s="831" t="s">
        <v>10779</v>
      </c>
      <c r="C6354" s="830" t="s">
        <v>252</v>
      </c>
      <c r="D6354" s="832">
        <v>16.96</v>
      </c>
    </row>
    <row r="6355" spans="1:4" x14ac:dyDescent="0.3">
      <c r="A6355" s="830">
        <v>96126</v>
      </c>
      <c r="B6355" s="831" t="s">
        <v>10780</v>
      </c>
      <c r="C6355" s="830" t="s">
        <v>252</v>
      </c>
      <c r="D6355" s="832">
        <v>19.559999999999999</v>
      </c>
    </row>
    <row r="6356" spans="1:4" x14ac:dyDescent="0.3">
      <c r="A6356" s="830">
        <v>96127</v>
      </c>
      <c r="B6356" s="831" t="s">
        <v>10781</v>
      </c>
      <c r="C6356" s="830" t="s">
        <v>252</v>
      </c>
      <c r="D6356" s="832">
        <v>12.62</v>
      </c>
    </row>
    <row r="6357" spans="1:4" x14ac:dyDescent="0.3">
      <c r="A6357" s="830">
        <v>96128</v>
      </c>
      <c r="B6357" s="831" t="s">
        <v>10782</v>
      </c>
      <c r="C6357" s="830" t="s">
        <v>252</v>
      </c>
      <c r="D6357" s="832">
        <v>32.26</v>
      </c>
    </row>
    <row r="6358" spans="1:4" x14ac:dyDescent="0.3">
      <c r="A6358" s="830">
        <v>96129</v>
      </c>
      <c r="B6358" s="831" t="s">
        <v>10783</v>
      </c>
      <c r="C6358" s="830" t="s">
        <v>252</v>
      </c>
      <c r="D6358" s="832">
        <v>37.92</v>
      </c>
    </row>
    <row r="6359" spans="1:4" x14ac:dyDescent="0.3">
      <c r="A6359" s="830">
        <v>96130</v>
      </c>
      <c r="B6359" s="831" t="s">
        <v>10784</v>
      </c>
      <c r="C6359" s="830" t="s">
        <v>252</v>
      </c>
      <c r="D6359" s="832">
        <v>21.15</v>
      </c>
    </row>
    <row r="6360" spans="1:4" x14ac:dyDescent="0.3">
      <c r="A6360" s="830">
        <v>96131</v>
      </c>
      <c r="B6360" s="831" t="s">
        <v>10785</v>
      </c>
      <c r="C6360" s="830" t="s">
        <v>252</v>
      </c>
      <c r="D6360" s="832">
        <v>30.81</v>
      </c>
    </row>
    <row r="6361" spans="1:4" x14ac:dyDescent="0.3">
      <c r="A6361" s="830">
        <v>96132</v>
      </c>
      <c r="B6361" s="831" t="s">
        <v>10786</v>
      </c>
      <c r="C6361" s="830" t="s">
        <v>252</v>
      </c>
      <c r="D6361" s="832">
        <v>20.48</v>
      </c>
    </row>
    <row r="6362" spans="1:4" x14ac:dyDescent="0.3">
      <c r="A6362" s="830">
        <v>96133</v>
      </c>
      <c r="B6362" s="831" t="s">
        <v>10787</v>
      </c>
      <c r="C6362" s="830" t="s">
        <v>252</v>
      </c>
      <c r="D6362" s="832">
        <v>49.31</v>
      </c>
    </row>
    <row r="6363" spans="1:4" x14ac:dyDescent="0.3">
      <c r="A6363" s="830">
        <v>96134</v>
      </c>
      <c r="B6363" s="831" t="s">
        <v>10788</v>
      </c>
      <c r="C6363" s="830" t="s">
        <v>252</v>
      </c>
      <c r="D6363" s="832">
        <v>58.08</v>
      </c>
    </row>
    <row r="6364" spans="1:4" x14ac:dyDescent="0.3">
      <c r="A6364" s="830">
        <v>96135</v>
      </c>
      <c r="B6364" s="831" t="s">
        <v>10789</v>
      </c>
      <c r="C6364" s="830" t="s">
        <v>252</v>
      </c>
      <c r="D6364" s="832">
        <v>33.06</v>
      </c>
    </row>
    <row r="6365" spans="1:4" x14ac:dyDescent="0.3">
      <c r="A6365" s="830">
        <v>104639</v>
      </c>
      <c r="B6365" s="831" t="s">
        <v>10790</v>
      </c>
      <c r="C6365" s="830" t="s">
        <v>252</v>
      </c>
      <c r="D6365" s="832">
        <v>12.7</v>
      </c>
    </row>
    <row r="6366" spans="1:4" x14ac:dyDescent="0.3">
      <c r="A6366" s="830">
        <v>104640</v>
      </c>
      <c r="B6366" s="831" t="s">
        <v>10791</v>
      </c>
      <c r="C6366" s="830" t="s">
        <v>252</v>
      </c>
      <c r="D6366" s="832">
        <v>14.08</v>
      </c>
    </row>
    <row r="6367" spans="1:4" x14ac:dyDescent="0.3">
      <c r="A6367" s="830">
        <v>104641</v>
      </c>
      <c r="B6367" s="831" t="s">
        <v>10792</v>
      </c>
      <c r="C6367" s="830" t="s">
        <v>252</v>
      </c>
      <c r="D6367" s="832">
        <v>10.119999999999999</v>
      </c>
    </row>
    <row r="6368" spans="1:4" x14ac:dyDescent="0.3">
      <c r="A6368" s="830">
        <v>104642</v>
      </c>
      <c r="B6368" s="831" t="s">
        <v>10793</v>
      </c>
      <c r="C6368" s="830" t="s">
        <v>252</v>
      </c>
      <c r="D6368" s="832">
        <v>11.5</v>
      </c>
    </row>
    <row r="6369" spans="1:4" x14ac:dyDescent="0.3">
      <c r="A6369" s="830">
        <v>102193</v>
      </c>
      <c r="B6369" s="831" t="s">
        <v>10794</v>
      </c>
      <c r="C6369" s="830" t="s">
        <v>252</v>
      </c>
      <c r="D6369" s="832">
        <v>2.29</v>
      </c>
    </row>
    <row r="6370" spans="1:4" x14ac:dyDescent="0.3">
      <c r="A6370" s="830">
        <v>102194</v>
      </c>
      <c r="B6370" s="831" t="s">
        <v>10795</v>
      </c>
      <c r="C6370" s="830" t="s">
        <v>252</v>
      </c>
      <c r="D6370" s="832">
        <v>9.16</v>
      </c>
    </row>
    <row r="6371" spans="1:4" x14ac:dyDescent="0.3">
      <c r="A6371" s="830">
        <v>102197</v>
      </c>
      <c r="B6371" s="831" t="s">
        <v>10796</v>
      </c>
      <c r="C6371" s="830" t="s">
        <v>252</v>
      </c>
      <c r="D6371" s="832">
        <v>29.53</v>
      </c>
    </row>
    <row r="6372" spans="1:4" x14ac:dyDescent="0.3">
      <c r="A6372" s="830">
        <v>102200</v>
      </c>
      <c r="B6372" s="831" t="s">
        <v>10797</v>
      </c>
      <c r="C6372" s="830" t="s">
        <v>252</v>
      </c>
      <c r="D6372" s="832">
        <v>23.22</v>
      </c>
    </row>
    <row r="6373" spans="1:4" x14ac:dyDescent="0.3">
      <c r="A6373" s="830">
        <v>102201</v>
      </c>
      <c r="B6373" s="831" t="s">
        <v>10798</v>
      </c>
      <c r="C6373" s="830" t="s">
        <v>252</v>
      </c>
      <c r="D6373" s="832">
        <v>21.38</v>
      </c>
    </row>
    <row r="6374" spans="1:4" x14ac:dyDescent="0.3">
      <c r="A6374" s="830">
        <v>102202</v>
      </c>
      <c r="B6374" s="831" t="s">
        <v>10799</v>
      </c>
      <c r="C6374" s="830" t="s">
        <v>252</v>
      </c>
      <c r="D6374" s="832">
        <v>56.43</v>
      </c>
    </row>
    <row r="6375" spans="1:4" x14ac:dyDescent="0.3">
      <c r="A6375" s="830">
        <v>102203</v>
      </c>
      <c r="B6375" s="831" t="s">
        <v>10800</v>
      </c>
      <c r="C6375" s="830" t="s">
        <v>252</v>
      </c>
      <c r="D6375" s="832">
        <v>10.72</v>
      </c>
    </row>
    <row r="6376" spans="1:4" x14ac:dyDescent="0.3">
      <c r="A6376" s="830">
        <v>102204</v>
      </c>
      <c r="B6376" s="831" t="s">
        <v>10801</v>
      </c>
      <c r="C6376" s="830" t="s">
        <v>252</v>
      </c>
      <c r="D6376" s="832">
        <v>11.01</v>
      </c>
    </row>
    <row r="6377" spans="1:4" x14ac:dyDescent="0.3">
      <c r="A6377" s="830">
        <v>102205</v>
      </c>
      <c r="B6377" s="831" t="s">
        <v>10802</v>
      </c>
      <c r="C6377" s="830" t="s">
        <v>252</v>
      </c>
      <c r="D6377" s="832">
        <v>10.11</v>
      </c>
    </row>
    <row r="6378" spans="1:4" x14ac:dyDescent="0.3">
      <c r="A6378" s="830">
        <v>102207</v>
      </c>
      <c r="B6378" s="831" t="s">
        <v>10803</v>
      </c>
      <c r="C6378" s="830" t="s">
        <v>252</v>
      </c>
      <c r="D6378" s="832">
        <v>9.68</v>
      </c>
    </row>
    <row r="6379" spans="1:4" x14ac:dyDescent="0.3">
      <c r="A6379" s="830">
        <v>102208</v>
      </c>
      <c r="B6379" s="831" t="s">
        <v>10804</v>
      </c>
      <c r="C6379" s="830" t="s">
        <v>252</v>
      </c>
      <c r="D6379" s="832">
        <v>9.24</v>
      </c>
    </row>
    <row r="6380" spans="1:4" x14ac:dyDescent="0.3">
      <c r="A6380" s="830">
        <v>102209</v>
      </c>
      <c r="B6380" s="831" t="s">
        <v>10805</v>
      </c>
      <c r="C6380" s="830" t="s">
        <v>252</v>
      </c>
      <c r="D6380" s="832">
        <v>9.5399999999999991</v>
      </c>
    </row>
    <row r="6381" spans="1:4" x14ac:dyDescent="0.3">
      <c r="A6381" s="830">
        <v>102210</v>
      </c>
      <c r="B6381" s="831" t="s">
        <v>10806</v>
      </c>
      <c r="C6381" s="830" t="s">
        <v>252</v>
      </c>
      <c r="D6381" s="832">
        <v>9.09</v>
      </c>
    </row>
    <row r="6382" spans="1:4" x14ac:dyDescent="0.3">
      <c r="A6382" s="830">
        <v>102213</v>
      </c>
      <c r="B6382" s="831" t="s">
        <v>10807</v>
      </c>
      <c r="C6382" s="830" t="s">
        <v>252</v>
      </c>
      <c r="D6382" s="832">
        <v>21.47</v>
      </c>
    </row>
    <row r="6383" spans="1:4" x14ac:dyDescent="0.3">
      <c r="A6383" s="830">
        <v>102214</v>
      </c>
      <c r="B6383" s="831" t="s">
        <v>10808</v>
      </c>
      <c r="C6383" s="830" t="s">
        <v>252</v>
      </c>
      <c r="D6383" s="832">
        <v>22.04</v>
      </c>
    </row>
    <row r="6384" spans="1:4" x14ac:dyDescent="0.3">
      <c r="A6384" s="830">
        <v>102215</v>
      </c>
      <c r="B6384" s="831" t="s">
        <v>10809</v>
      </c>
      <c r="C6384" s="830" t="s">
        <v>252</v>
      </c>
      <c r="D6384" s="832">
        <v>20.239999999999998</v>
      </c>
    </row>
    <row r="6385" spans="1:4" x14ac:dyDescent="0.3">
      <c r="A6385" s="830">
        <v>102217</v>
      </c>
      <c r="B6385" s="831" t="s">
        <v>10810</v>
      </c>
      <c r="C6385" s="830" t="s">
        <v>252</v>
      </c>
      <c r="D6385" s="832">
        <v>19.39</v>
      </c>
    </row>
    <row r="6386" spans="1:4" x14ac:dyDescent="0.3">
      <c r="A6386" s="830">
        <v>102218</v>
      </c>
      <c r="B6386" s="831" t="s">
        <v>10811</v>
      </c>
      <c r="C6386" s="830" t="s">
        <v>252</v>
      </c>
      <c r="D6386" s="832">
        <v>18.489999999999998</v>
      </c>
    </row>
    <row r="6387" spans="1:4" x14ac:dyDescent="0.3">
      <c r="A6387" s="830">
        <v>102219</v>
      </c>
      <c r="B6387" s="831" t="s">
        <v>10812</v>
      </c>
      <c r="C6387" s="830" t="s">
        <v>252</v>
      </c>
      <c r="D6387" s="832">
        <v>19.09</v>
      </c>
    </row>
    <row r="6388" spans="1:4" x14ac:dyDescent="0.3">
      <c r="A6388" s="830">
        <v>102220</v>
      </c>
      <c r="B6388" s="831" t="s">
        <v>10813</v>
      </c>
      <c r="C6388" s="830" t="s">
        <v>252</v>
      </c>
      <c r="D6388" s="832">
        <v>18.190000000000001</v>
      </c>
    </row>
    <row r="6389" spans="1:4" x14ac:dyDescent="0.3">
      <c r="A6389" s="830">
        <v>102223</v>
      </c>
      <c r="B6389" s="831" t="s">
        <v>10814</v>
      </c>
      <c r="C6389" s="830" t="s">
        <v>252</v>
      </c>
      <c r="D6389" s="832">
        <v>32.21</v>
      </c>
    </row>
    <row r="6390" spans="1:4" x14ac:dyDescent="0.3">
      <c r="A6390" s="830">
        <v>102224</v>
      </c>
      <c r="B6390" s="831" t="s">
        <v>10815</v>
      </c>
      <c r="C6390" s="830" t="s">
        <v>252</v>
      </c>
      <c r="D6390" s="832">
        <v>33.06</v>
      </c>
    </row>
    <row r="6391" spans="1:4" x14ac:dyDescent="0.3">
      <c r="A6391" s="830">
        <v>102225</v>
      </c>
      <c r="B6391" s="831" t="s">
        <v>10816</v>
      </c>
      <c r="C6391" s="830" t="s">
        <v>252</v>
      </c>
      <c r="D6391" s="832">
        <v>30.36</v>
      </c>
    </row>
    <row r="6392" spans="1:4" x14ac:dyDescent="0.3">
      <c r="A6392" s="830">
        <v>102227</v>
      </c>
      <c r="B6392" s="831" t="s">
        <v>10817</v>
      </c>
      <c r="C6392" s="830" t="s">
        <v>252</v>
      </c>
      <c r="D6392" s="832">
        <v>29.09</v>
      </c>
    </row>
    <row r="6393" spans="1:4" x14ac:dyDescent="0.3">
      <c r="A6393" s="830">
        <v>102228</v>
      </c>
      <c r="B6393" s="831" t="s">
        <v>10818</v>
      </c>
      <c r="C6393" s="830" t="s">
        <v>252</v>
      </c>
      <c r="D6393" s="832">
        <v>27.76</v>
      </c>
    </row>
    <row r="6394" spans="1:4" x14ac:dyDescent="0.3">
      <c r="A6394" s="830">
        <v>102229</v>
      </c>
      <c r="B6394" s="831" t="s">
        <v>10819</v>
      </c>
      <c r="C6394" s="830" t="s">
        <v>252</v>
      </c>
      <c r="D6394" s="832">
        <v>28.65</v>
      </c>
    </row>
    <row r="6395" spans="1:4" x14ac:dyDescent="0.3">
      <c r="A6395" s="830">
        <v>102230</v>
      </c>
      <c r="B6395" s="831" t="s">
        <v>10820</v>
      </c>
      <c r="C6395" s="830" t="s">
        <v>252</v>
      </c>
      <c r="D6395" s="832">
        <v>27.3</v>
      </c>
    </row>
    <row r="6396" spans="1:4" x14ac:dyDescent="0.3">
      <c r="A6396" s="830">
        <v>102233</v>
      </c>
      <c r="B6396" s="831" t="s">
        <v>10821</v>
      </c>
      <c r="C6396" s="830" t="s">
        <v>252</v>
      </c>
      <c r="D6396" s="832">
        <v>11.92</v>
      </c>
    </row>
    <row r="6397" spans="1:4" x14ac:dyDescent="0.3">
      <c r="A6397" s="830">
        <v>102234</v>
      </c>
      <c r="B6397" s="831" t="s">
        <v>10822</v>
      </c>
      <c r="C6397" s="830" t="s">
        <v>252</v>
      </c>
      <c r="D6397" s="832">
        <v>23.85</v>
      </c>
    </row>
    <row r="6398" spans="1:4" x14ac:dyDescent="0.3">
      <c r="A6398" s="830">
        <v>100716</v>
      </c>
      <c r="B6398" s="831" t="s">
        <v>10823</v>
      </c>
      <c r="C6398" s="830" t="s">
        <v>252</v>
      </c>
      <c r="D6398" s="832">
        <v>26.69</v>
      </c>
    </row>
    <row r="6399" spans="1:4" x14ac:dyDescent="0.3">
      <c r="A6399" s="830">
        <v>100717</v>
      </c>
      <c r="B6399" s="831" t="s">
        <v>3209</v>
      </c>
      <c r="C6399" s="830" t="s">
        <v>252</v>
      </c>
      <c r="D6399" s="832">
        <v>10.92</v>
      </c>
    </row>
    <row r="6400" spans="1:4" x14ac:dyDescent="0.3">
      <c r="A6400" s="830">
        <v>100718</v>
      </c>
      <c r="B6400" s="831" t="s">
        <v>10824</v>
      </c>
      <c r="C6400" s="830" t="s">
        <v>194</v>
      </c>
      <c r="D6400" s="832">
        <v>1.53</v>
      </c>
    </row>
    <row r="6401" spans="1:4" x14ac:dyDescent="0.3">
      <c r="A6401" s="830">
        <v>100719</v>
      </c>
      <c r="B6401" s="831" t="s">
        <v>10825</v>
      </c>
      <c r="C6401" s="830" t="s">
        <v>252</v>
      </c>
      <c r="D6401" s="832">
        <v>12.33</v>
      </c>
    </row>
    <row r="6402" spans="1:4" x14ac:dyDescent="0.3">
      <c r="A6402" s="830">
        <v>100720</v>
      </c>
      <c r="B6402" s="831" t="s">
        <v>10826</v>
      </c>
      <c r="C6402" s="830" t="s">
        <v>252</v>
      </c>
      <c r="D6402" s="832">
        <v>12.28</v>
      </c>
    </row>
    <row r="6403" spans="1:4" x14ac:dyDescent="0.3">
      <c r="A6403" s="830">
        <v>100721</v>
      </c>
      <c r="B6403" s="831" t="s">
        <v>10827</v>
      </c>
      <c r="C6403" s="830" t="s">
        <v>252</v>
      </c>
      <c r="D6403" s="832">
        <v>28.28</v>
      </c>
    </row>
    <row r="6404" spans="1:4" x14ac:dyDescent="0.3">
      <c r="A6404" s="830">
        <v>100722</v>
      </c>
      <c r="B6404" s="831" t="s">
        <v>3207</v>
      </c>
      <c r="C6404" s="830" t="s">
        <v>252</v>
      </c>
      <c r="D6404" s="832">
        <v>27.55</v>
      </c>
    </row>
    <row r="6405" spans="1:4" x14ac:dyDescent="0.3">
      <c r="A6405" s="830">
        <v>100723</v>
      </c>
      <c r="B6405" s="831" t="s">
        <v>10828</v>
      </c>
      <c r="C6405" s="830" t="s">
        <v>252</v>
      </c>
      <c r="D6405" s="832">
        <v>13.24</v>
      </c>
    </row>
    <row r="6406" spans="1:4" x14ac:dyDescent="0.3">
      <c r="A6406" s="830">
        <v>100724</v>
      </c>
      <c r="B6406" s="831" t="s">
        <v>10829</v>
      </c>
      <c r="C6406" s="830" t="s">
        <v>252</v>
      </c>
      <c r="D6406" s="832">
        <v>16</v>
      </c>
    </row>
    <row r="6407" spans="1:4" x14ac:dyDescent="0.3">
      <c r="A6407" s="830">
        <v>100725</v>
      </c>
      <c r="B6407" s="831" t="s">
        <v>10830</v>
      </c>
      <c r="C6407" s="830" t="s">
        <v>252</v>
      </c>
      <c r="D6407" s="832">
        <v>28.59</v>
      </c>
    </row>
    <row r="6408" spans="1:4" x14ac:dyDescent="0.3">
      <c r="A6408" s="830">
        <v>100726</v>
      </c>
      <c r="B6408" s="831" t="s">
        <v>3205</v>
      </c>
      <c r="C6408" s="830" t="s">
        <v>252</v>
      </c>
      <c r="D6408" s="832">
        <v>31.15</v>
      </c>
    </row>
    <row r="6409" spans="1:4" x14ac:dyDescent="0.3">
      <c r="A6409" s="830">
        <v>100727</v>
      </c>
      <c r="B6409" s="831" t="s">
        <v>10831</v>
      </c>
      <c r="C6409" s="830" t="s">
        <v>252</v>
      </c>
      <c r="D6409" s="832">
        <v>30.61</v>
      </c>
    </row>
    <row r="6410" spans="1:4" x14ac:dyDescent="0.3">
      <c r="A6410" s="830">
        <v>100728</v>
      </c>
      <c r="B6410" s="831" t="s">
        <v>10832</v>
      </c>
      <c r="C6410" s="830" t="s">
        <v>252</v>
      </c>
      <c r="D6410" s="832">
        <v>27.42</v>
      </c>
    </row>
    <row r="6411" spans="1:4" x14ac:dyDescent="0.3">
      <c r="A6411" s="830">
        <v>100729</v>
      </c>
      <c r="B6411" s="831" t="s">
        <v>10833</v>
      </c>
      <c r="C6411" s="830" t="s">
        <v>252</v>
      </c>
      <c r="D6411" s="832">
        <v>22.94</v>
      </c>
    </row>
    <row r="6412" spans="1:4" x14ac:dyDescent="0.3">
      <c r="A6412" s="830">
        <v>100730</v>
      </c>
      <c r="B6412" s="831" t="s">
        <v>10834</v>
      </c>
      <c r="C6412" s="830" t="s">
        <v>252</v>
      </c>
      <c r="D6412" s="832">
        <v>26.87</v>
      </c>
    </row>
    <row r="6413" spans="1:4" x14ac:dyDescent="0.3">
      <c r="A6413" s="830">
        <v>100733</v>
      </c>
      <c r="B6413" s="831" t="s">
        <v>10835</v>
      </c>
      <c r="C6413" s="830" t="s">
        <v>252</v>
      </c>
      <c r="D6413" s="832">
        <v>14.41</v>
      </c>
    </row>
    <row r="6414" spans="1:4" x14ac:dyDescent="0.3">
      <c r="A6414" s="830">
        <v>100734</v>
      </c>
      <c r="B6414" s="831" t="s">
        <v>10836</v>
      </c>
      <c r="C6414" s="830" t="s">
        <v>252</v>
      </c>
      <c r="D6414" s="832">
        <v>18.190000000000001</v>
      </c>
    </row>
    <row r="6415" spans="1:4" x14ac:dyDescent="0.3">
      <c r="A6415" s="830">
        <v>100735</v>
      </c>
      <c r="B6415" s="831" t="s">
        <v>10837</v>
      </c>
      <c r="C6415" s="830" t="s">
        <v>252</v>
      </c>
      <c r="D6415" s="832">
        <v>12.6</v>
      </c>
    </row>
    <row r="6416" spans="1:4" x14ac:dyDescent="0.3">
      <c r="A6416" s="830">
        <v>100736</v>
      </c>
      <c r="B6416" s="831" t="s">
        <v>10838</v>
      </c>
      <c r="C6416" s="830" t="s">
        <v>252</v>
      </c>
      <c r="D6416" s="832">
        <v>16.68</v>
      </c>
    </row>
    <row r="6417" spans="1:4" x14ac:dyDescent="0.3">
      <c r="A6417" s="830">
        <v>100739</v>
      </c>
      <c r="B6417" s="831" t="s">
        <v>10839</v>
      </c>
      <c r="C6417" s="830" t="s">
        <v>252</v>
      </c>
      <c r="D6417" s="832">
        <v>12.13</v>
      </c>
    </row>
    <row r="6418" spans="1:4" x14ac:dyDescent="0.3">
      <c r="A6418" s="830">
        <v>100740</v>
      </c>
      <c r="B6418" s="831" t="s">
        <v>10840</v>
      </c>
      <c r="C6418" s="830" t="s">
        <v>252</v>
      </c>
      <c r="D6418" s="832">
        <v>12.93</v>
      </c>
    </row>
    <row r="6419" spans="1:4" x14ac:dyDescent="0.3">
      <c r="A6419" s="830">
        <v>100741</v>
      </c>
      <c r="B6419" s="831" t="s">
        <v>10841</v>
      </c>
      <c r="C6419" s="830" t="s">
        <v>252</v>
      </c>
      <c r="D6419" s="832">
        <v>27.85</v>
      </c>
    </row>
    <row r="6420" spans="1:4" x14ac:dyDescent="0.3">
      <c r="A6420" s="830">
        <v>100742</v>
      </c>
      <c r="B6420" s="831" t="s">
        <v>10842</v>
      </c>
      <c r="C6420" s="830" t="s">
        <v>252</v>
      </c>
      <c r="D6420" s="832">
        <v>28.17</v>
      </c>
    </row>
    <row r="6421" spans="1:4" x14ac:dyDescent="0.3">
      <c r="A6421" s="830">
        <v>100743</v>
      </c>
      <c r="B6421" s="831" t="s">
        <v>10843</v>
      </c>
      <c r="C6421" s="830" t="s">
        <v>252</v>
      </c>
      <c r="D6421" s="832">
        <v>11.84</v>
      </c>
    </row>
    <row r="6422" spans="1:4" x14ac:dyDescent="0.3">
      <c r="A6422" s="830">
        <v>100744</v>
      </c>
      <c r="B6422" s="831" t="s">
        <v>10844</v>
      </c>
      <c r="C6422" s="830" t="s">
        <v>252</v>
      </c>
      <c r="D6422" s="832">
        <v>12.75</v>
      </c>
    </row>
    <row r="6423" spans="1:4" x14ac:dyDescent="0.3">
      <c r="A6423" s="830">
        <v>100745</v>
      </c>
      <c r="B6423" s="831" t="s">
        <v>10845</v>
      </c>
      <c r="C6423" s="830" t="s">
        <v>252</v>
      </c>
      <c r="D6423" s="832">
        <v>27.55</v>
      </c>
    </row>
    <row r="6424" spans="1:4" x14ac:dyDescent="0.3">
      <c r="A6424" s="830">
        <v>100746</v>
      </c>
      <c r="B6424" s="831" t="s">
        <v>10846</v>
      </c>
      <c r="C6424" s="830" t="s">
        <v>252</v>
      </c>
      <c r="D6424" s="832">
        <v>27.98</v>
      </c>
    </row>
    <row r="6425" spans="1:4" x14ac:dyDescent="0.3">
      <c r="A6425" s="830">
        <v>100747</v>
      </c>
      <c r="B6425" s="831" t="s">
        <v>10847</v>
      </c>
      <c r="C6425" s="830" t="s">
        <v>252</v>
      </c>
      <c r="D6425" s="832">
        <v>11.96</v>
      </c>
    </row>
    <row r="6426" spans="1:4" x14ac:dyDescent="0.3">
      <c r="A6426" s="830">
        <v>100748</v>
      </c>
      <c r="B6426" s="831" t="s">
        <v>10848</v>
      </c>
      <c r="C6426" s="830" t="s">
        <v>252</v>
      </c>
      <c r="D6426" s="832">
        <v>12.83</v>
      </c>
    </row>
    <row r="6427" spans="1:4" x14ac:dyDescent="0.3">
      <c r="A6427" s="830">
        <v>100749</v>
      </c>
      <c r="B6427" s="831" t="s">
        <v>10849</v>
      </c>
      <c r="C6427" s="830" t="s">
        <v>252</v>
      </c>
      <c r="D6427" s="832">
        <v>27.67</v>
      </c>
    </row>
    <row r="6428" spans="1:4" x14ac:dyDescent="0.3">
      <c r="A6428" s="830">
        <v>100750</v>
      </c>
      <c r="B6428" s="831" t="s">
        <v>10850</v>
      </c>
      <c r="C6428" s="830" t="s">
        <v>252</v>
      </c>
      <c r="D6428" s="832">
        <v>28.06</v>
      </c>
    </row>
    <row r="6429" spans="1:4" x14ac:dyDescent="0.3">
      <c r="A6429" s="830">
        <v>100751</v>
      </c>
      <c r="B6429" s="831" t="s">
        <v>10851</v>
      </c>
      <c r="C6429" s="830" t="s">
        <v>252</v>
      </c>
      <c r="D6429" s="832">
        <v>45.89</v>
      </c>
    </row>
    <row r="6430" spans="1:4" x14ac:dyDescent="0.3">
      <c r="A6430" s="830">
        <v>100752</v>
      </c>
      <c r="B6430" s="831" t="s">
        <v>10852</v>
      </c>
      <c r="C6430" s="830" t="s">
        <v>252</v>
      </c>
      <c r="D6430" s="832">
        <v>53.74</v>
      </c>
    </row>
    <row r="6431" spans="1:4" x14ac:dyDescent="0.3">
      <c r="A6431" s="830">
        <v>100753</v>
      </c>
      <c r="B6431" s="831" t="s">
        <v>10853</v>
      </c>
      <c r="C6431" s="830" t="s">
        <v>252</v>
      </c>
      <c r="D6431" s="832">
        <v>25.21</v>
      </c>
    </row>
    <row r="6432" spans="1:4" x14ac:dyDescent="0.3">
      <c r="A6432" s="830">
        <v>100754</v>
      </c>
      <c r="B6432" s="831" t="s">
        <v>10854</v>
      </c>
      <c r="C6432" s="830" t="s">
        <v>252</v>
      </c>
      <c r="D6432" s="832">
        <v>33.380000000000003</v>
      </c>
    </row>
    <row r="6433" spans="1:4" x14ac:dyDescent="0.3">
      <c r="A6433" s="830">
        <v>100757</v>
      </c>
      <c r="B6433" s="831" t="s">
        <v>10855</v>
      </c>
      <c r="C6433" s="830" t="s">
        <v>252</v>
      </c>
      <c r="D6433" s="832">
        <v>55.71</v>
      </c>
    </row>
    <row r="6434" spans="1:4" x14ac:dyDescent="0.3">
      <c r="A6434" s="830">
        <v>100758</v>
      </c>
      <c r="B6434" s="831" t="s">
        <v>10856</v>
      </c>
      <c r="C6434" s="830" t="s">
        <v>252</v>
      </c>
      <c r="D6434" s="832">
        <v>56.36</v>
      </c>
    </row>
    <row r="6435" spans="1:4" x14ac:dyDescent="0.3">
      <c r="A6435" s="830">
        <v>100759</v>
      </c>
      <c r="B6435" s="831" t="s">
        <v>10857</v>
      </c>
      <c r="C6435" s="830" t="s">
        <v>252</v>
      </c>
      <c r="D6435" s="832">
        <v>55.11</v>
      </c>
    </row>
    <row r="6436" spans="1:4" x14ac:dyDescent="0.3">
      <c r="A6436" s="830">
        <v>100760</v>
      </c>
      <c r="B6436" s="831" t="s">
        <v>10858</v>
      </c>
      <c r="C6436" s="830" t="s">
        <v>252</v>
      </c>
      <c r="D6436" s="832">
        <v>55.99</v>
      </c>
    </row>
    <row r="6437" spans="1:4" x14ac:dyDescent="0.3">
      <c r="A6437" s="830">
        <v>100761</v>
      </c>
      <c r="B6437" s="831" t="s">
        <v>10859</v>
      </c>
      <c r="C6437" s="830" t="s">
        <v>252</v>
      </c>
      <c r="D6437" s="832">
        <v>55.36</v>
      </c>
    </row>
    <row r="6438" spans="1:4" x14ac:dyDescent="0.3">
      <c r="A6438" s="830">
        <v>100762</v>
      </c>
      <c r="B6438" s="831" t="s">
        <v>10860</v>
      </c>
      <c r="C6438" s="830" t="s">
        <v>252</v>
      </c>
      <c r="D6438" s="832">
        <v>56.14</v>
      </c>
    </row>
    <row r="6439" spans="1:4" x14ac:dyDescent="0.3">
      <c r="A6439" s="830">
        <v>102488</v>
      </c>
      <c r="B6439" s="831" t="s">
        <v>10861</v>
      </c>
      <c r="C6439" s="830" t="s">
        <v>252</v>
      </c>
      <c r="D6439" s="832">
        <v>3.99</v>
      </c>
    </row>
    <row r="6440" spans="1:4" x14ac:dyDescent="0.3">
      <c r="A6440" s="830">
        <v>102489</v>
      </c>
      <c r="B6440" s="831" t="s">
        <v>10862</v>
      </c>
      <c r="C6440" s="830" t="s">
        <v>252</v>
      </c>
      <c r="D6440" s="832">
        <v>31.44</v>
      </c>
    </row>
    <row r="6441" spans="1:4" x14ac:dyDescent="0.3">
      <c r="A6441" s="830">
        <v>102491</v>
      </c>
      <c r="B6441" s="831" t="s">
        <v>10863</v>
      </c>
      <c r="C6441" s="830" t="s">
        <v>252</v>
      </c>
      <c r="D6441" s="832">
        <v>22.77</v>
      </c>
    </row>
    <row r="6442" spans="1:4" x14ac:dyDescent="0.3">
      <c r="A6442" s="830">
        <v>102492</v>
      </c>
      <c r="B6442" s="831" t="s">
        <v>10864</v>
      </c>
      <c r="C6442" s="830" t="s">
        <v>252</v>
      </c>
      <c r="D6442" s="832">
        <v>28.85</v>
      </c>
    </row>
    <row r="6443" spans="1:4" x14ac:dyDescent="0.3">
      <c r="A6443" s="830">
        <v>102494</v>
      </c>
      <c r="B6443" s="831" t="s">
        <v>10865</v>
      </c>
      <c r="C6443" s="830" t="s">
        <v>252</v>
      </c>
      <c r="D6443" s="832">
        <v>71.92</v>
      </c>
    </row>
    <row r="6444" spans="1:4" x14ac:dyDescent="0.3">
      <c r="A6444" s="830">
        <v>102496</v>
      </c>
      <c r="B6444" s="831" t="s">
        <v>10866</v>
      </c>
      <c r="C6444" s="830" t="s">
        <v>194</v>
      </c>
      <c r="D6444" s="832">
        <v>14.99</v>
      </c>
    </row>
    <row r="6445" spans="1:4" x14ac:dyDescent="0.3">
      <c r="A6445" s="830">
        <v>102497</v>
      </c>
      <c r="B6445" s="831" t="s">
        <v>10867</v>
      </c>
      <c r="C6445" s="830" t="s">
        <v>194</v>
      </c>
      <c r="D6445" s="832">
        <v>5.15</v>
      </c>
    </row>
    <row r="6446" spans="1:4" x14ac:dyDescent="0.3">
      <c r="A6446" s="830">
        <v>102498</v>
      </c>
      <c r="B6446" s="831" t="s">
        <v>10868</v>
      </c>
      <c r="C6446" s="830" t="s">
        <v>194</v>
      </c>
      <c r="D6446" s="832">
        <v>1.83</v>
      </c>
    </row>
    <row r="6447" spans="1:4" x14ac:dyDescent="0.3">
      <c r="A6447" s="830">
        <v>102499</v>
      </c>
      <c r="B6447" s="831" t="s">
        <v>10869</v>
      </c>
      <c r="C6447" s="830" t="s">
        <v>252</v>
      </c>
      <c r="D6447" s="832">
        <v>3.28</v>
      </c>
    </row>
    <row r="6448" spans="1:4" x14ac:dyDescent="0.3">
      <c r="A6448" s="830">
        <v>102500</v>
      </c>
      <c r="B6448" s="831" t="s">
        <v>10870</v>
      </c>
      <c r="C6448" s="830" t="s">
        <v>194</v>
      </c>
      <c r="D6448" s="832">
        <v>4.8099999999999996</v>
      </c>
    </row>
    <row r="6449" spans="1:4" x14ac:dyDescent="0.3">
      <c r="A6449" s="830">
        <v>102501</v>
      </c>
      <c r="B6449" s="831" t="s">
        <v>10871</v>
      </c>
      <c r="C6449" s="830" t="s">
        <v>252</v>
      </c>
      <c r="D6449" s="832">
        <v>27.48</v>
      </c>
    </row>
    <row r="6450" spans="1:4" x14ac:dyDescent="0.3">
      <c r="A6450" s="830">
        <v>102504</v>
      </c>
      <c r="B6450" s="831" t="s">
        <v>10872</v>
      </c>
      <c r="C6450" s="830" t="s">
        <v>194</v>
      </c>
      <c r="D6450" s="832">
        <v>10.95</v>
      </c>
    </row>
    <row r="6451" spans="1:4" x14ac:dyDescent="0.3">
      <c r="A6451" s="830">
        <v>102505</v>
      </c>
      <c r="B6451" s="831" t="s">
        <v>10873</v>
      </c>
      <c r="C6451" s="830" t="s">
        <v>194</v>
      </c>
      <c r="D6451" s="832">
        <v>11.58</v>
      </c>
    </row>
    <row r="6452" spans="1:4" x14ac:dyDescent="0.3">
      <c r="A6452" s="830">
        <v>102506</v>
      </c>
      <c r="B6452" s="831" t="s">
        <v>10874</v>
      </c>
      <c r="C6452" s="830" t="s">
        <v>194</v>
      </c>
      <c r="D6452" s="832">
        <v>12.1</v>
      </c>
    </row>
    <row r="6453" spans="1:4" x14ac:dyDescent="0.3">
      <c r="A6453" s="830">
        <v>102507</v>
      </c>
      <c r="B6453" s="831" t="s">
        <v>10875</v>
      </c>
      <c r="C6453" s="830" t="s">
        <v>194</v>
      </c>
      <c r="D6453" s="832">
        <v>7.1</v>
      </c>
    </row>
    <row r="6454" spans="1:4" x14ac:dyDescent="0.3">
      <c r="A6454" s="830">
        <v>102508</v>
      </c>
      <c r="B6454" s="831" t="s">
        <v>10876</v>
      </c>
      <c r="C6454" s="830" t="s">
        <v>252</v>
      </c>
      <c r="D6454" s="832">
        <v>50.77</v>
      </c>
    </row>
    <row r="6455" spans="1:4" x14ac:dyDescent="0.3">
      <c r="A6455" s="830">
        <v>102509</v>
      </c>
      <c r="B6455" s="831" t="s">
        <v>10877</v>
      </c>
      <c r="C6455" s="830" t="s">
        <v>252</v>
      </c>
      <c r="D6455" s="832">
        <v>36.380000000000003</v>
      </c>
    </row>
    <row r="6456" spans="1:4" x14ac:dyDescent="0.3">
      <c r="A6456" s="830">
        <v>102512</v>
      </c>
      <c r="B6456" s="831" t="s">
        <v>10878</v>
      </c>
      <c r="C6456" s="830" t="s">
        <v>194</v>
      </c>
      <c r="D6456" s="832">
        <v>6.57</v>
      </c>
    </row>
    <row r="6457" spans="1:4" x14ac:dyDescent="0.3">
      <c r="A6457" s="830">
        <v>102513</v>
      </c>
      <c r="B6457" s="831" t="s">
        <v>10879</v>
      </c>
      <c r="C6457" s="830" t="s">
        <v>252</v>
      </c>
      <c r="D6457" s="832">
        <v>51.96</v>
      </c>
    </row>
    <row r="6458" spans="1:4" x14ac:dyDescent="0.3">
      <c r="A6458" s="830">
        <v>102520</v>
      </c>
      <c r="B6458" s="831" t="s">
        <v>10880</v>
      </c>
      <c r="C6458" s="830" t="s">
        <v>252</v>
      </c>
      <c r="D6458" s="832">
        <v>90.4</v>
      </c>
    </row>
    <row r="6459" spans="1:4" x14ac:dyDescent="0.3">
      <c r="A6459" s="830">
        <v>101749</v>
      </c>
      <c r="B6459" s="831" t="s">
        <v>10881</v>
      </c>
      <c r="C6459" s="830" t="s">
        <v>252</v>
      </c>
      <c r="D6459" s="832">
        <v>59.88</v>
      </c>
    </row>
    <row r="6460" spans="1:4" x14ac:dyDescent="0.3">
      <c r="A6460" s="830">
        <v>101750</v>
      </c>
      <c r="B6460" s="831" t="s">
        <v>10882</v>
      </c>
      <c r="C6460" s="830" t="s">
        <v>252</v>
      </c>
      <c r="D6460" s="832">
        <v>57.16</v>
      </c>
    </row>
    <row r="6461" spans="1:4" x14ac:dyDescent="0.3">
      <c r="A6461" s="830">
        <v>101729</v>
      </c>
      <c r="B6461" s="831" t="s">
        <v>10883</v>
      </c>
      <c r="C6461" s="830" t="s">
        <v>252</v>
      </c>
      <c r="D6461" s="832">
        <v>276.76</v>
      </c>
    </row>
    <row r="6462" spans="1:4" x14ac:dyDescent="0.3">
      <c r="A6462" s="830">
        <v>101746</v>
      </c>
      <c r="B6462" s="831" t="s">
        <v>10884</v>
      </c>
      <c r="C6462" s="830" t="s">
        <v>252</v>
      </c>
      <c r="D6462" s="832">
        <v>427.75</v>
      </c>
    </row>
    <row r="6463" spans="1:4" x14ac:dyDescent="0.3">
      <c r="A6463" s="830">
        <v>101751</v>
      </c>
      <c r="B6463" s="831" t="s">
        <v>10885</v>
      </c>
      <c r="C6463" s="830" t="s">
        <v>252</v>
      </c>
      <c r="D6463" s="832">
        <v>284.01</v>
      </c>
    </row>
    <row r="6464" spans="1:4" x14ac:dyDescent="0.3">
      <c r="A6464" s="830">
        <v>87246</v>
      </c>
      <c r="B6464" s="831" t="s">
        <v>10886</v>
      </c>
      <c r="C6464" s="830" t="s">
        <v>252</v>
      </c>
      <c r="D6464" s="832">
        <v>66.83</v>
      </c>
    </row>
    <row r="6465" spans="1:4" x14ac:dyDescent="0.3">
      <c r="A6465" s="830">
        <v>87247</v>
      </c>
      <c r="B6465" s="831" t="s">
        <v>10887</v>
      </c>
      <c r="C6465" s="830" t="s">
        <v>252</v>
      </c>
      <c r="D6465" s="832">
        <v>59.2</v>
      </c>
    </row>
    <row r="6466" spans="1:4" x14ac:dyDescent="0.3">
      <c r="A6466" s="830">
        <v>87248</v>
      </c>
      <c r="B6466" s="831" t="s">
        <v>10888</v>
      </c>
      <c r="C6466" s="830" t="s">
        <v>252</v>
      </c>
      <c r="D6466" s="832">
        <v>51.1</v>
      </c>
    </row>
    <row r="6467" spans="1:4" x14ac:dyDescent="0.3">
      <c r="A6467" s="830">
        <v>87249</v>
      </c>
      <c r="B6467" s="831" t="s">
        <v>10889</v>
      </c>
      <c r="C6467" s="830" t="s">
        <v>252</v>
      </c>
      <c r="D6467" s="832">
        <v>71.98</v>
      </c>
    </row>
    <row r="6468" spans="1:4" x14ac:dyDescent="0.3">
      <c r="A6468" s="830">
        <v>87250</v>
      </c>
      <c r="B6468" s="831" t="s">
        <v>10890</v>
      </c>
      <c r="C6468" s="830" t="s">
        <v>252</v>
      </c>
      <c r="D6468" s="832">
        <v>60.66</v>
      </c>
    </row>
    <row r="6469" spans="1:4" x14ac:dyDescent="0.3">
      <c r="A6469" s="830">
        <v>87251</v>
      </c>
      <c r="B6469" s="831" t="s">
        <v>10891</v>
      </c>
      <c r="C6469" s="830" t="s">
        <v>252</v>
      </c>
      <c r="D6469" s="832">
        <v>51.41</v>
      </c>
    </row>
    <row r="6470" spans="1:4" x14ac:dyDescent="0.3">
      <c r="A6470" s="830">
        <v>87255</v>
      </c>
      <c r="B6470" s="831" t="s">
        <v>10892</v>
      </c>
      <c r="C6470" s="830" t="s">
        <v>252</v>
      </c>
      <c r="D6470" s="832">
        <v>83.85</v>
      </c>
    </row>
    <row r="6471" spans="1:4" x14ac:dyDescent="0.3">
      <c r="A6471" s="830">
        <v>87256</v>
      </c>
      <c r="B6471" s="831" t="s">
        <v>10893</v>
      </c>
      <c r="C6471" s="830" t="s">
        <v>252</v>
      </c>
      <c r="D6471" s="832">
        <v>71.44</v>
      </c>
    </row>
    <row r="6472" spans="1:4" x14ac:dyDescent="0.3">
      <c r="A6472" s="830">
        <v>87257</v>
      </c>
      <c r="B6472" s="831" t="s">
        <v>10894</v>
      </c>
      <c r="C6472" s="830" t="s">
        <v>252</v>
      </c>
      <c r="D6472" s="832">
        <v>61.08</v>
      </c>
    </row>
    <row r="6473" spans="1:4" x14ac:dyDescent="0.3">
      <c r="A6473" s="830">
        <v>87261</v>
      </c>
      <c r="B6473" s="831" t="s">
        <v>10895</v>
      </c>
      <c r="C6473" s="830" t="s">
        <v>252</v>
      </c>
      <c r="D6473" s="832">
        <v>133.96</v>
      </c>
    </row>
    <row r="6474" spans="1:4" x14ac:dyDescent="0.3">
      <c r="A6474" s="830">
        <v>87262</v>
      </c>
      <c r="B6474" s="831" t="s">
        <v>10896</v>
      </c>
      <c r="C6474" s="830" t="s">
        <v>252</v>
      </c>
      <c r="D6474" s="832">
        <v>120.37</v>
      </c>
    </row>
    <row r="6475" spans="1:4" x14ac:dyDescent="0.3">
      <c r="A6475" s="830">
        <v>87263</v>
      </c>
      <c r="B6475" s="831" t="s">
        <v>10897</v>
      </c>
      <c r="C6475" s="830" t="s">
        <v>252</v>
      </c>
      <c r="D6475" s="832">
        <v>109.56</v>
      </c>
    </row>
    <row r="6476" spans="1:4" x14ac:dyDescent="0.3">
      <c r="A6476" s="830">
        <v>104593</v>
      </c>
      <c r="B6476" s="831" t="s">
        <v>10898</v>
      </c>
      <c r="C6476" s="830" t="s">
        <v>252</v>
      </c>
      <c r="D6476" s="832">
        <v>87.53</v>
      </c>
    </row>
    <row r="6477" spans="1:4" x14ac:dyDescent="0.3">
      <c r="A6477" s="830">
        <v>104594</v>
      </c>
      <c r="B6477" s="831" t="s">
        <v>10899</v>
      </c>
      <c r="C6477" s="830" t="s">
        <v>252</v>
      </c>
      <c r="D6477" s="832">
        <v>73.7</v>
      </c>
    </row>
    <row r="6478" spans="1:4" x14ac:dyDescent="0.3">
      <c r="A6478" s="830">
        <v>104595</v>
      </c>
      <c r="B6478" s="831" t="s">
        <v>10900</v>
      </c>
      <c r="C6478" s="830" t="s">
        <v>252</v>
      </c>
      <c r="D6478" s="832">
        <v>61.58</v>
      </c>
    </row>
    <row r="6479" spans="1:4" x14ac:dyDescent="0.3">
      <c r="A6479" s="830">
        <v>104596</v>
      </c>
      <c r="B6479" s="831" t="s">
        <v>10901</v>
      </c>
      <c r="C6479" s="830" t="s">
        <v>252</v>
      </c>
      <c r="D6479" s="832">
        <v>138.21</v>
      </c>
    </row>
    <row r="6480" spans="1:4" x14ac:dyDescent="0.3">
      <c r="A6480" s="830">
        <v>104597</v>
      </c>
      <c r="B6480" s="831" t="s">
        <v>10902</v>
      </c>
      <c r="C6480" s="830" t="s">
        <v>252</v>
      </c>
      <c r="D6480" s="832">
        <v>122.98</v>
      </c>
    </row>
    <row r="6481" spans="1:4" x14ac:dyDescent="0.3">
      <c r="A6481" s="830">
        <v>104598</v>
      </c>
      <c r="B6481" s="831" t="s">
        <v>10903</v>
      </c>
      <c r="C6481" s="830" t="s">
        <v>252</v>
      </c>
      <c r="D6481" s="832">
        <v>110.17</v>
      </c>
    </row>
    <row r="6482" spans="1:4" x14ac:dyDescent="0.3">
      <c r="A6482" s="830">
        <v>104599</v>
      </c>
      <c r="B6482" s="831" t="s">
        <v>10904</v>
      </c>
      <c r="C6482" s="830" t="s">
        <v>252</v>
      </c>
      <c r="D6482" s="832">
        <v>80.88</v>
      </c>
    </row>
    <row r="6483" spans="1:4" x14ac:dyDescent="0.3">
      <c r="A6483" s="830">
        <v>104601</v>
      </c>
      <c r="B6483" s="831" t="s">
        <v>10905</v>
      </c>
      <c r="C6483" s="830" t="s">
        <v>252</v>
      </c>
      <c r="D6483" s="832">
        <v>64.5</v>
      </c>
    </row>
    <row r="6484" spans="1:4" x14ac:dyDescent="0.3">
      <c r="A6484" s="830">
        <v>104603</v>
      </c>
      <c r="B6484" s="831" t="s">
        <v>10906</v>
      </c>
      <c r="C6484" s="830" t="s">
        <v>252</v>
      </c>
      <c r="D6484" s="832">
        <v>53.74</v>
      </c>
    </row>
    <row r="6485" spans="1:4" x14ac:dyDescent="0.3">
      <c r="A6485" s="830">
        <v>104605</v>
      </c>
      <c r="B6485" s="831" t="s">
        <v>10907</v>
      </c>
      <c r="C6485" s="830" t="s">
        <v>252</v>
      </c>
      <c r="D6485" s="832">
        <v>101.66</v>
      </c>
    </row>
    <row r="6486" spans="1:4" x14ac:dyDescent="0.3">
      <c r="A6486" s="830">
        <v>104606</v>
      </c>
      <c r="B6486" s="831" t="s">
        <v>10908</v>
      </c>
      <c r="C6486" s="830" t="s">
        <v>252</v>
      </c>
      <c r="D6486" s="832">
        <v>69.069999999999993</v>
      </c>
    </row>
    <row r="6487" spans="1:4" x14ac:dyDescent="0.3">
      <c r="A6487" s="830">
        <v>104607</v>
      </c>
      <c r="B6487" s="831" t="s">
        <v>10909</v>
      </c>
      <c r="C6487" s="830" t="s">
        <v>252</v>
      </c>
      <c r="D6487" s="832">
        <v>55.16</v>
      </c>
    </row>
    <row r="6488" spans="1:4" x14ac:dyDescent="0.3">
      <c r="A6488" s="830">
        <v>98671</v>
      </c>
      <c r="B6488" s="831" t="s">
        <v>10910</v>
      </c>
      <c r="C6488" s="830" t="s">
        <v>252</v>
      </c>
      <c r="D6488" s="832">
        <v>370.14</v>
      </c>
    </row>
    <row r="6489" spans="1:4" x14ac:dyDescent="0.3">
      <c r="A6489" s="830">
        <v>98672</v>
      </c>
      <c r="B6489" s="831" t="s">
        <v>10911</v>
      </c>
      <c r="C6489" s="830" t="s">
        <v>252</v>
      </c>
      <c r="D6489" s="832">
        <v>475.74</v>
      </c>
    </row>
    <row r="6490" spans="1:4" x14ac:dyDescent="0.3">
      <c r="A6490" s="830">
        <v>98678</v>
      </c>
      <c r="B6490" s="831" t="s">
        <v>10912</v>
      </c>
      <c r="C6490" s="830" t="s">
        <v>252</v>
      </c>
      <c r="D6490" s="832">
        <v>300.2</v>
      </c>
    </row>
    <row r="6491" spans="1:4" x14ac:dyDescent="0.3">
      <c r="A6491" s="830">
        <v>98679</v>
      </c>
      <c r="B6491" s="831" t="s">
        <v>10913</v>
      </c>
      <c r="C6491" s="830" t="s">
        <v>252</v>
      </c>
      <c r="D6491" s="832">
        <v>40.909999999999997</v>
      </c>
    </row>
    <row r="6492" spans="1:4" x14ac:dyDescent="0.3">
      <c r="A6492" s="830">
        <v>98680</v>
      </c>
      <c r="B6492" s="831" t="s">
        <v>10914</v>
      </c>
      <c r="C6492" s="830" t="s">
        <v>252</v>
      </c>
      <c r="D6492" s="832">
        <v>51.35</v>
      </c>
    </row>
    <row r="6493" spans="1:4" x14ac:dyDescent="0.3">
      <c r="A6493" s="830">
        <v>98681</v>
      </c>
      <c r="B6493" s="831" t="s">
        <v>10915</v>
      </c>
      <c r="C6493" s="830" t="s">
        <v>252</v>
      </c>
      <c r="D6493" s="832">
        <v>38.19</v>
      </c>
    </row>
    <row r="6494" spans="1:4" x14ac:dyDescent="0.3">
      <c r="A6494" s="830">
        <v>98682</v>
      </c>
      <c r="B6494" s="831" t="s">
        <v>10916</v>
      </c>
      <c r="C6494" s="830" t="s">
        <v>252</v>
      </c>
      <c r="D6494" s="832">
        <v>48.63</v>
      </c>
    </row>
    <row r="6495" spans="1:4" x14ac:dyDescent="0.3">
      <c r="A6495" s="830">
        <v>98685</v>
      </c>
      <c r="B6495" s="831" t="s">
        <v>10917</v>
      </c>
      <c r="C6495" s="830" t="s">
        <v>194</v>
      </c>
      <c r="D6495" s="832">
        <v>68.209999999999994</v>
      </c>
    </row>
    <row r="6496" spans="1:4" x14ac:dyDescent="0.3">
      <c r="A6496" s="830">
        <v>98686</v>
      </c>
      <c r="B6496" s="831" t="s">
        <v>10918</v>
      </c>
      <c r="C6496" s="830" t="s">
        <v>194</v>
      </c>
      <c r="D6496" s="832">
        <v>48.17</v>
      </c>
    </row>
    <row r="6497" spans="1:4" x14ac:dyDescent="0.3">
      <c r="A6497" s="830">
        <v>98688</v>
      </c>
      <c r="B6497" s="831" t="s">
        <v>10919</v>
      </c>
      <c r="C6497" s="830" t="s">
        <v>194</v>
      </c>
      <c r="D6497" s="832">
        <v>67.349999999999994</v>
      </c>
    </row>
    <row r="6498" spans="1:4" x14ac:dyDescent="0.3">
      <c r="A6498" s="830">
        <v>98689</v>
      </c>
      <c r="B6498" s="831" t="s">
        <v>10920</v>
      </c>
      <c r="C6498" s="830" t="s">
        <v>194</v>
      </c>
      <c r="D6498" s="832">
        <v>98.36</v>
      </c>
    </row>
    <row r="6499" spans="1:4" x14ac:dyDescent="0.3">
      <c r="A6499" s="830">
        <v>101090</v>
      </c>
      <c r="B6499" s="831" t="s">
        <v>10921</v>
      </c>
      <c r="C6499" s="830" t="s">
        <v>252</v>
      </c>
      <c r="D6499" s="832">
        <v>239.18</v>
      </c>
    </row>
    <row r="6500" spans="1:4" x14ac:dyDescent="0.3">
      <c r="A6500" s="830">
        <v>101091</v>
      </c>
      <c r="B6500" s="831" t="s">
        <v>10922</v>
      </c>
      <c r="C6500" s="830" t="s">
        <v>252</v>
      </c>
      <c r="D6500" s="832">
        <v>165.69</v>
      </c>
    </row>
    <row r="6501" spans="1:4" x14ac:dyDescent="0.3">
      <c r="A6501" s="830">
        <v>101725</v>
      </c>
      <c r="B6501" s="831" t="s">
        <v>10923</v>
      </c>
      <c r="C6501" s="830" t="s">
        <v>252</v>
      </c>
      <c r="D6501" s="832">
        <v>313.91000000000003</v>
      </c>
    </row>
    <row r="6502" spans="1:4" x14ac:dyDescent="0.3">
      <c r="A6502" s="830">
        <v>101726</v>
      </c>
      <c r="B6502" s="831" t="s">
        <v>10924</v>
      </c>
      <c r="C6502" s="830" t="s">
        <v>252</v>
      </c>
      <c r="D6502" s="832">
        <v>211.81</v>
      </c>
    </row>
    <row r="6503" spans="1:4" x14ac:dyDescent="0.3">
      <c r="A6503" s="830">
        <v>101731</v>
      </c>
      <c r="B6503" s="831" t="s">
        <v>10925</v>
      </c>
      <c r="C6503" s="830" t="s">
        <v>252</v>
      </c>
      <c r="D6503" s="832">
        <v>352.15</v>
      </c>
    </row>
    <row r="6504" spans="1:4" x14ac:dyDescent="0.3">
      <c r="A6504" s="830">
        <v>101732</v>
      </c>
      <c r="B6504" s="831" t="s">
        <v>10926</v>
      </c>
      <c r="C6504" s="830" t="s">
        <v>252</v>
      </c>
      <c r="D6504" s="832">
        <v>107.66</v>
      </c>
    </row>
    <row r="6505" spans="1:4" x14ac:dyDescent="0.3">
      <c r="A6505" s="830">
        <v>101094</v>
      </c>
      <c r="B6505" s="831" t="s">
        <v>10927</v>
      </c>
      <c r="C6505" s="830" t="s">
        <v>194</v>
      </c>
      <c r="D6505" s="832">
        <v>167.86</v>
      </c>
    </row>
    <row r="6506" spans="1:4" x14ac:dyDescent="0.3">
      <c r="A6506" s="830">
        <v>101727</v>
      </c>
      <c r="B6506" s="831" t="s">
        <v>10928</v>
      </c>
      <c r="C6506" s="830" t="s">
        <v>252</v>
      </c>
      <c r="D6506" s="832">
        <v>196.9</v>
      </c>
    </row>
    <row r="6507" spans="1:4" x14ac:dyDescent="0.3">
      <c r="A6507" s="830">
        <v>101733</v>
      </c>
      <c r="B6507" s="831" t="s">
        <v>10929</v>
      </c>
      <c r="C6507" s="830" t="s">
        <v>252</v>
      </c>
      <c r="D6507" s="832">
        <v>271.32</v>
      </c>
    </row>
    <row r="6508" spans="1:4" x14ac:dyDescent="0.3">
      <c r="A6508" s="830">
        <v>101734</v>
      </c>
      <c r="B6508" s="831" t="s">
        <v>10930</v>
      </c>
      <c r="C6508" s="830" t="s">
        <v>252</v>
      </c>
      <c r="D6508" s="832">
        <v>408.79</v>
      </c>
    </row>
    <row r="6509" spans="1:4" x14ac:dyDescent="0.3">
      <c r="A6509" s="830">
        <v>101735</v>
      </c>
      <c r="B6509" s="831" t="s">
        <v>10931</v>
      </c>
      <c r="C6509" s="830" t="s">
        <v>252</v>
      </c>
      <c r="D6509" s="832">
        <v>418.76</v>
      </c>
    </row>
    <row r="6510" spans="1:4" x14ac:dyDescent="0.3">
      <c r="A6510" s="830">
        <v>101736</v>
      </c>
      <c r="B6510" s="831" t="s">
        <v>10932</v>
      </c>
      <c r="C6510" s="830" t="s">
        <v>252</v>
      </c>
      <c r="D6510" s="832">
        <v>112.17</v>
      </c>
    </row>
    <row r="6511" spans="1:4" x14ac:dyDescent="0.3">
      <c r="A6511" s="830">
        <v>101737</v>
      </c>
      <c r="B6511" s="831" t="s">
        <v>10933</v>
      </c>
      <c r="C6511" s="830" t="s">
        <v>252</v>
      </c>
      <c r="D6511" s="832">
        <v>131.88999999999999</v>
      </c>
    </row>
    <row r="6512" spans="1:4" x14ac:dyDescent="0.3">
      <c r="A6512" s="830">
        <v>101748</v>
      </c>
      <c r="B6512" s="831" t="s">
        <v>10934</v>
      </c>
      <c r="C6512" s="830" t="s">
        <v>252</v>
      </c>
      <c r="D6512" s="832">
        <v>3.97</v>
      </c>
    </row>
    <row r="6513" spans="1:4" x14ac:dyDescent="0.3">
      <c r="A6513" s="830">
        <v>104162</v>
      </c>
      <c r="B6513" s="831" t="s">
        <v>10935</v>
      </c>
      <c r="C6513" s="830" t="s">
        <v>252</v>
      </c>
      <c r="D6513" s="832">
        <v>93.34</v>
      </c>
    </row>
    <row r="6514" spans="1:4" x14ac:dyDescent="0.3">
      <c r="A6514" s="830">
        <v>101092</v>
      </c>
      <c r="B6514" s="831" t="s">
        <v>10936</v>
      </c>
      <c r="C6514" s="830" t="s">
        <v>252</v>
      </c>
      <c r="D6514" s="832">
        <v>382.39</v>
      </c>
    </row>
    <row r="6515" spans="1:4" x14ac:dyDescent="0.3">
      <c r="A6515" s="830">
        <v>101093</v>
      </c>
      <c r="B6515" s="831" t="s">
        <v>10937</v>
      </c>
      <c r="C6515" s="830" t="s">
        <v>252</v>
      </c>
      <c r="D6515" s="832">
        <v>487.99</v>
      </c>
    </row>
    <row r="6516" spans="1:4" x14ac:dyDescent="0.3">
      <c r="A6516" s="830">
        <v>98695</v>
      </c>
      <c r="B6516" s="831" t="s">
        <v>10938</v>
      </c>
      <c r="C6516" s="830" t="s">
        <v>194</v>
      </c>
      <c r="D6516" s="832">
        <v>88.26</v>
      </c>
    </row>
    <row r="6517" spans="1:4" x14ac:dyDescent="0.3">
      <c r="A6517" s="830">
        <v>98697</v>
      </c>
      <c r="B6517" s="831" t="s">
        <v>10939</v>
      </c>
      <c r="C6517" s="830" t="s">
        <v>194</v>
      </c>
      <c r="D6517" s="832">
        <v>57.72</v>
      </c>
    </row>
    <row r="6518" spans="1:4" x14ac:dyDescent="0.3">
      <c r="A6518" s="830">
        <v>101738</v>
      </c>
      <c r="B6518" s="831" t="s">
        <v>10940</v>
      </c>
      <c r="C6518" s="830" t="s">
        <v>194</v>
      </c>
      <c r="D6518" s="832">
        <v>38.619999999999997</v>
      </c>
    </row>
    <row r="6519" spans="1:4" x14ac:dyDescent="0.3">
      <c r="A6519" s="830">
        <v>101739</v>
      </c>
      <c r="B6519" s="831" t="s">
        <v>10941</v>
      </c>
      <c r="C6519" s="830" t="s">
        <v>194</v>
      </c>
      <c r="D6519" s="832">
        <v>42.39</v>
      </c>
    </row>
    <row r="6520" spans="1:4" x14ac:dyDescent="0.3">
      <c r="A6520" s="830">
        <v>88648</v>
      </c>
      <c r="B6520" s="831" t="s">
        <v>10942</v>
      </c>
      <c r="C6520" s="830" t="s">
        <v>194</v>
      </c>
      <c r="D6520" s="832">
        <v>7.56</v>
      </c>
    </row>
    <row r="6521" spans="1:4" x14ac:dyDescent="0.3">
      <c r="A6521" s="830">
        <v>88649</v>
      </c>
      <c r="B6521" s="831" t="s">
        <v>10943</v>
      </c>
      <c r="C6521" s="830" t="s">
        <v>194</v>
      </c>
      <c r="D6521" s="832">
        <v>8.57</v>
      </c>
    </row>
    <row r="6522" spans="1:4" x14ac:dyDescent="0.3">
      <c r="A6522" s="830">
        <v>88650</v>
      </c>
      <c r="B6522" s="831" t="s">
        <v>10944</v>
      </c>
      <c r="C6522" s="830" t="s">
        <v>194</v>
      </c>
      <c r="D6522" s="832">
        <v>11.61</v>
      </c>
    </row>
    <row r="6523" spans="1:4" x14ac:dyDescent="0.3">
      <c r="A6523" s="830">
        <v>101740</v>
      </c>
      <c r="B6523" s="831" t="s">
        <v>10945</v>
      </c>
      <c r="C6523" s="830" t="s">
        <v>194</v>
      </c>
      <c r="D6523" s="832">
        <v>54.38</v>
      </c>
    </row>
    <row r="6524" spans="1:4" x14ac:dyDescent="0.3">
      <c r="A6524" s="830">
        <v>101741</v>
      </c>
      <c r="B6524" s="831" t="s">
        <v>10946</v>
      </c>
      <c r="C6524" s="830" t="s">
        <v>194</v>
      </c>
      <c r="D6524" s="832">
        <v>26.2</v>
      </c>
    </row>
    <row r="6525" spans="1:4" x14ac:dyDescent="0.3">
      <c r="A6525" s="830">
        <v>94990</v>
      </c>
      <c r="B6525" s="831" t="s">
        <v>4229</v>
      </c>
      <c r="C6525" s="830" t="s">
        <v>5247</v>
      </c>
      <c r="D6525" s="832">
        <v>899.64</v>
      </c>
    </row>
    <row r="6526" spans="1:4" x14ac:dyDescent="0.3">
      <c r="A6526" s="830">
        <v>94991</v>
      </c>
      <c r="B6526" s="831" t="s">
        <v>10947</v>
      </c>
      <c r="C6526" s="830" t="s">
        <v>5247</v>
      </c>
      <c r="D6526" s="832">
        <v>700.52</v>
      </c>
    </row>
    <row r="6527" spans="1:4" x14ac:dyDescent="0.3">
      <c r="A6527" s="830">
        <v>94992</v>
      </c>
      <c r="B6527" s="831" t="s">
        <v>10948</v>
      </c>
      <c r="C6527" s="830" t="s">
        <v>252</v>
      </c>
      <c r="D6527" s="832">
        <v>86.69</v>
      </c>
    </row>
    <row r="6528" spans="1:4" x14ac:dyDescent="0.3">
      <c r="A6528" s="830">
        <v>94993</v>
      </c>
      <c r="B6528" s="831" t="s">
        <v>10949</v>
      </c>
      <c r="C6528" s="830" t="s">
        <v>252</v>
      </c>
      <c r="D6528" s="832">
        <v>74.739999999999995</v>
      </c>
    </row>
    <row r="6529" spans="1:4" x14ac:dyDescent="0.3">
      <c r="A6529" s="830">
        <v>94994</v>
      </c>
      <c r="B6529" s="831" t="s">
        <v>10950</v>
      </c>
      <c r="C6529" s="830" t="s">
        <v>252</v>
      </c>
      <c r="D6529" s="832">
        <v>105.1</v>
      </c>
    </row>
    <row r="6530" spans="1:4" x14ac:dyDescent="0.3">
      <c r="A6530" s="830">
        <v>94995</v>
      </c>
      <c r="B6530" s="831" t="s">
        <v>10951</v>
      </c>
      <c r="C6530" s="830" t="s">
        <v>252</v>
      </c>
      <c r="D6530" s="832">
        <v>89.17</v>
      </c>
    </row>
    <row r="6531" spans="1:4" x14ac:dyDescent="0.3">
      <c r="A6531" s="830">
        <v>101747</v>
      </c>
      <c r="B6531" s="831" t="s">
        <v>10952</v>
      </c>
      <c r="C6531" s="830" t="s">
        <v>252</v>
      </c>
      <c r="D6531" s="832">
        <v>83.69</v>
      </c>
    </row>
    <row r="6532" spans="1:4" x14ac:dyDescent="0.3">
      <c r="A6532" s="830">
        <v>104626</v>
      </c>
      <c r="B6532" s="831" t="s">
        <v>10953</v>
      </c>
      <c r="C6532" s="830" t="s">
        <v>5247</v>
      </c>
      <c r="D6532" s="832">
        <v>716.83</v>
      </c>
    </row>
    <row r="6533" spans="1:4" x14ac:dyDescent="0.3">
      <c r="A6533" s="830">
        <v>104658</v>
      </c>
      <c r="B6533" s="831" t="s">
        <v>10954</v>
      </c>
      <c r="C6533" s="830" t="s">
        <v>252</v>
      </c>
      <c r="D6533" s="832">
        <v>179.58</v>
      </c>
    </row>
    <row r="6534" spans="1:4" x14ac:dyDescent="0.3">
      <c r="A6534" s="830">
        <v>87620</v>
      </c>
      <c r="B6534" s="831" t="s">
        <v>10955</v>
      </c>
      <c r="C6534" s="830" t="s">
        <v>252</v>
      </c>
      <c r="D6534" s="832">
        <v>34.130000000000003</v>
      </c>
    </row>
    <row r="6535" spans="1:4" x14ac:dyDescent="0.3">
      <c r="A6535" s="830">
        <v>87622</v>
      </c>
      <c r="B6535" s="831" t="s">
        <v>10956</v>
      </c>
      <c r="C6535" s="830" t="s">
        <v>252</v>
      </c>
      <c r="D6535" s="832">
        <v>37.99</v>
      </c>
    </row>
    <row r="6536" spans="1:4" x14ac:dyDescent="0.3">
      <c r="A6536" s="830">
        <v>87623</v>
      </c>
      <c r="B6536" s="831" t="s">
        <v>10957</v>
      </c>
      <c r="C6536" s="830" t="s">
        <v>252</v>
      </c>
      <c r="D6536" s="832">
        <v>66.84</v>
      </c>
    </row>
    <row r="6537" spans="1:4" x14ac:dyDescent="0.3">
      <c r="A6537" s="830">
        <v>87624</v>
      </c>
      <c r="B6537" s="831" t="s">
        <v>10958</v>
      </c>
      <c r="C6537" s="830" t="s">
        <v>252</v>
      </c>
      <c r="D6537" s="832">
        <v>73.98</v>
      </c>
    </row>
    <row r="6538" spans="1:4" x14ac:dyDescent="0.3">
      <c r="A6538" s="830">
        <v>87630</v>
      </c>
      <c r="B6538" s="831" t="s">
        <v>10959</v>
      </c>
      <c r="C6538" s="830" t="s">
        <v>252</v>
      </c>
      <c r="D6538" s="832">
        <v>43.86</v>
      </c>
    </row>
    <row r="6539" spans="1:4" x14ac:dyDescent="0.3">
      <c r="A6539" s="830">
        <v>87632</v>
      </c>
      <c r="B6539" s="831" t="s">
        <v>10960</v>
      </c>
      <c r="C6539" s="830" t="s">
        <v>252</v>
      </c>
      <c r="D6539" s="832">
        <v>49.22</v>
      </c>
    </row>
    <row r="6540" spans="1:4" x14ac:dyDescent="0.3">
      <c r="A6540" s="830">
        <v>87633</v>
      </c>
      <c r="B6540" s="831" t="s">
        <v>10961</v>
      </c>
      <c r="C6540" s="830" t="s">
        <v>252</v>
      </c>
      <c r="D6540" s="832">
        <v>89.34</v>
      </c>
    </row>
    <row r="6541" spans="1:4" x14ac:dyDescent="0.3">
      <c r="A6541" s="830">
        <v>87634</v>
      </c>
      <c r="B6541" s="831" t="s">
        <v>10962</v>
      </c>
      <c r="C6541" s="830" t="s">
        <v>252</v>
      </c>
      <c r="D6541" s="832">
        <v>99.26</v>
      </c>
    </row>
    <row r="6542" spans="1:4" x14ac:dyDescent="0.3">
      <c r="A6542" s="830">
        <v>87640</v>
      </c>
      <c r="B6542" s="831" t="s">
        <v>10963</v>
      </c>
      <c r="C6542" s="830" t="s">
        <v>252</v>
      </c>
      <c r="D6542" s="832">
        <v>51.86</v>
      </c>
    </row>
    <row r="6543" spans="1:4" x14ac:dyDescent="0.3">
      <c r="A6543" s="830">
        <v>87642</v>
      </c>
      <c r="B6543" s="831" t="s">
        <v>10964</v>
      </c>
      <c r="C6543" s="830" t="s">
        <v>252</v>
      </c>
      <c r="D6543" s="832">
        <v>58.45</v>
      </c>
    </row>
    <row r="6544" spans="1:4" x14ac:dyDescent="0.3">
      <c r="A6544" s="830">
        <v>87643</v>
      </c>
      <c r="B6544" s="831" t="s">
        <v>10965</v>
      </c>
      <c r="C6544" s="830" t="s">
        <v>252</v>
      </c>
      <c r="D6544" s="832">
        <v>107.78</v>
      </c>
    </row>
    <row r="6545" spans="1:4" x14ac:dyDescent="0.3">
      <c r="A6545" s="830">
        <v>87644</v>
      </c>
      <c r="B6545" s="831" t="s">
        <v>10966</v>
      </c>
      <c r="C6545" s="830" t="s">
        <v>252</v>
      </c>
      <c r="D6545" s="832">
        <v>119.98</v>
      </c>
    </row>
    <row r="6546" spans="1:4" x14ac:dyDescent="0.3">
      <c r="A6546" s="830">
        <v>87680</v>
      </c>
      <c r="B6546" s="831" t="s">
        <v>10967</v>
      </c>
      <c r="C6546" s="830" t="s">
        <v>252</v>
      </c>
      <c r="D6546" s="832">
        <v>47.41</v>
      </c>
    </row>
    <row r="6547" spans="1:4" x14ac:dyDescent="0.3">
      <c r="A6547" s="830">
        <v>87682</v>
      </c>
      <c r="B6547" s="831" t="s">
        <v>10968</v>
      </c>
      <c r="C6547" s="830" t="s">
        <v>252</v>
      </c>
      <c r="D6547" s="832">
        <v>54</v>
      </c>
    </row>
    <row r="6548" spans="1:4" x14ac:dyDescent="0.3">
      <c r="A6548" s="830">
        <v>87683</v>
      </c>
      <c r="B6548" s="831" t="s">
        <v>10969</v>
      </c>
      <c r="C6548" s="830" t="s">
        <v>252</v>
      </c>
      <c r="D6548" s="832">
        <v>103.33</v>
      </c>
    </row>
    <row r="6549" spans="1:4" x14ac:dyDescent="0.3">
      <c r="A6549" s="830">
        <v>87684</v>
      </c>
      <c r="B6549" s="831" t="s">
        <v>10970</v>
      </c>
      <c r="C6549" s="830" t="s">
        <v>252</v>
      </c>
      <c r="D6549" s="832">
        <v>115.53</v>
      </c>
    </row>
    <row r="6550" spans="1:4" x14ac:dyDescent="0.3">
      <c r="A6550" s="830">
        <v>87690</v>
      </c>
      <c r="B6550" s="831" t="s">
        <v>10971</v>
      </c>
      <c r="C6550" s="830" t="s">
        <v>252</v>
      </c>
      <c r="D6550" s="832">
        <v>54.32</v>
      </c>
    </row>
    <row r="6551" spans="1:4" x14ac:dyDescent="0.3">
      <c r="A6551" s="830">
        <v>87692</v>
      </c>
      <c r="B6551" s="831" t="s">
        <v>10972</v>
      </c>
      <c r="C6551" s="830" t="s">
        <v>252</v>
      </c>
      <c r="D6551" s="832">
        <v>61.88</v>
      </c>
    </row>
    <row r="6552" spans="1:4" x14ac:dyDescent="0.3">
      <c r="A6552" s="830">
        <v>87693</v>
      </c>
      <c r="B6552" s="831" t="s">
        <v>10973</v>
      </c>
      <c r="C6552" s="830" t="s">
        <v>252</v>
      </c>
      <c r="D6552" s="832">
        <v>118.37</v>
      </c>
    </row>
    <row r="6553" spans="1:4" x14ac:dyDescent="0.3">
      <c r="A6553" s="830">
        <v>87694</v>
      </c>
      <c r="B6553" s="831" t="s">
        <v>10974</v>
      </c>
      <c r="C6553" s="830" t="s">
        <v>252</v>
      </c>
      <c r="D6553" s="832">
        <v>132.35</v>
      </c>
    </row>
    <row r="6554" spans="1:4" x14ac:dyDescent="0.3">
      <c r="A6554" s="830">
        <v>87700</v>
      </c>
      <c r="B6554" s="831" t="s">
        <v>10975</v>
      </c>
      <c r="C6554" s="830" t="s">
        <v>252</v>
      </c>
      <c r="D6554" s="832">
        <v>58.66</v>
      </c>
    </row>
    <row r="6555" spans="1:4" x14ac:dyDescent="0.3">
      <c r="A6555" s="830">
        <v>87702</v>
      </c>
      <c r="B6555" s="831" t="s">
        <v>10976</v>
      </c>
      <c r="C6555" s="830" t="s">
        <v>252</v>
      </c>
      <c r="D6555" s="832">
        <v>66.89</v>
      </c>
    </row>
    <row r="6556" spans="1:4" x14ac:dyDescent="0.3">
      <c r="A6556" s="830">
        <v>87703</v>
      </c>
      <c r="B6556" s="831" t="s">
        <v>10977</v>
      </c>
      <c r="C6556" s="830" t="s">
        <v>252</v>
      </c>
      <c r="D6556" s="832">
        <v>128.4</v>
      </c>
    </row>
    <row r="6557" spans="1:4" x14ac:dyDescent="0.3">
      <c r="A6557" s="830">
        <v>87704</v>
      </c>
      <c r="B6557" s="831" t="s">
        <v>10978</v>
      </c>
      <c r="C6557" s="830" t="s">
        <v>252</v>
      </c>
      <c r="D6557" s="832">
        <v>143.63</v>
      </c>
    </row>
    <row r="6558" spans="1:4" x14ac:dyDescent="0.3">
      <c r="A6558" s="830">
        <v>87735</v>
      </c>
      <c r="B6558" s="831" t="s">
        <v>10979</v>
      </c>
      <c r="C6558" s="830" t="s">
        <v>252</v>
      </c>
      <c r="D6558" s="832">
        <v>47.63</v>
      </c>
    </row>
    <row r="6559" spans="1:4" x14ac:dyDescent="0.3">
      <c r="A6559" s="830">
        <v>87737</v>
      </c>
      <c r="B6559" s="831" t="s">
        <v>10980</v>
      </c>
      <c r="C6559" s="830" t="s">
        <v>252</v>
      </c>
      <c r="D6559" s="832">
        <v>51.49</v>
      </c>
    </row>
    <row r="6560" spans="1:4" x14ac:dyDescent="0.3">
      <c r="A6560" s="830">
        <v>87738</v>
      </c>
      <c r="B6560" s="831" t="s">
        <v>10981</v>
      </c>
      <c r="C6560" s="830" t="s">
        <v>252</v>
      </c>
      <c r="D6560" s="832">
        <v>80.34</v>
      </c>
    </row>
    <row r="6561" spans="1:4" x14ac:dyDescent="0.3">
      <c r="A6561" s="830">
        <v>87739</v>
      </c>
      <c r="B6561" s="831" t="s">
        <v>10982</v>
      </c>
      <c r="C6561" s="830" t="s">
        <v>252</v>
      </c>
      <c r="D6561" s="832">
        <v>87.48</v>
      </c>
    </row>
    <row r="6562" spans="1:4" x14ac:dyDescent="0.3">
      <c r="A6562" s="830">
        <v>87745</v>
      </c>
      <c r="B6562" s="831" t="s">
        <v>10983</v>
      </c>
      <c r="C6562" s="830" t="s">
        <v>252</v>
      </c>
      <c r="D6562" s="832">
        <v>57.37</v>
      </c>
    </row>
    <row r="6563" spans="1:4" x14ac:dyDescent="0.3">
      <c r="A6563" s="830">
        <v>87747</v>
      </c>
      <c r="B6563" s="831" t="s">
        <v>10984</v>
      </c>
      <c r="C6563" s="830" t="s">
        <v>252</v>
      </c>
      <c r="D6563" s="832">
        <v>62.73</v>
      </c>
    </row>
    <row r="6564" spans="1:4" x14ac:dyDescent="0.3">
      <c r="A6564" s="830">
        <v>87748</v>
      </c>
      <c r="B6564" s="831" t="s">
        <v>10985</v>
      </c>
      <c r="C6564" s="830" t="s">
        <v>252</v>
      </c>
      <c r="D6564" s="832">
        <v>102.85</v>
      </c>
    </row>
    <row r="6565" spans="1:4" x14ac:dyDescent="0.3">
      <c r="A6565" s="830">
        <v>87749</v>
      </c>
      <c r="B6565" s="831" t="s">
        <v>10986</v>
      </c>
      <c r="C6565" s="830" t="s">
        <v>252</v>
      </c>
      <c r="D6565" s="832">
        <v>112.77</v>
      </c>
    </row>
    <row r="6566" spans="1:4" x14ac:dyDescent="0.3">
      <c r="A6566" s="830">
        <v>87755</v>
      </c>
      <c r="B6566" s="831" t="s">
        <v>10987</v>
      </c>
      <c r="C6566" s="830" t="s">
        <v>252</v>
      </c>
      <c r="D6566" s="832">
        <v>55.42</v>
      </c>
    </row>
    <row r="6567" spans="1:4" x14ac:dyDescent="0.3">
      <c r="A6567" s="830">
        <v>87757</v>
      </c>
      <c r="B6567" s="831" t="s">
        <v>10988</v>
      </c>
      <c r="C6567" s="830" t="s">
        <v>252</v>
      </c>
      <c r="D6567" s="832">
        <v>60.78</v>
      </c>
    </row>
    <row r="6568" spans="1:4" x14ac:dyDescent="0.3">
      <c r="A6568" s="830">
        <v>87758</v>
      </c>
      <c r="B6568" s="831" t="s">
        <v>10989</v>
      </c>
      <c r="C6568" s="830" t="s">
        <v>252</v>
      </c>
      <c r="D6568" s="832">
        <v>100.9</v>
      </c>
    </row>
    <row r="6569" spans="1:4" x14ac:dyDescent="0.3">
      <c r="A6569" s="830">
        <v>87759</v>
      </c>
      <c r="B6569" s="831" t="s">
        <v>10990</v>
      </c>
      <c r="C6569" s="830" t="s">
        <v>252</v>
      </c>
      <c r="D6569" s="832">
        <v>110.82</v>
      </c>
    </row>
    <row r="6570" spans="1:4" x14ac:dyDescent="0.3">
      <c r="A6570" s="830">
        <v>87765</v>
      </c>
      <c r="B6570" s="831" t="s">
        <v>10991</v>
      </c>
      <c r="C6570" s="830" t="s">
        <v>252</v>
      </c>
      <c r="D6570" s="832">
        <v>63.47</v>
      </c>
    </row>
    <row r="6571" spans="1:4" x14ac:dyDescent="0.3">
      <c r="A6571" s="830">
        <v>87767</v>
      </c>
      <c r="B6571" s="831" t="s">
        <v>10992</v>
      </c>
      <c r="C6571" s="830" t="s">
        <v>252</v>
      </c>
      <c r="D6571" s="832">
        <v>70.06</v>
      </c>
    </row>
    <row r="6572" spans="1:4" x14ac:dyDescent="0.3">
      <c r="A6572" s="830">
        <v>87768</v>
      </c>
      <c r="B6572" s="831" t="s">
        <v>10993</v>
      </c>
      <c r="C6572" s="830" t="s">
        <v>252</v>
      </c>
      <c r="D6572" s="832">
        <v>119.39</v>
      </c>
    </row>
    <row r="6573" spans="1:4" x14ac:dyDescent="0.3">
      <c r="A6573" s="830">
        <v>87769</v>
      </c>
      <c r="B6573" s="831" t="s">
        <v>10994</v>
      </c>
      <c r="C6573" s="830" t="s">
        <v>252</v>
      </c>
      <c r="D6573" s="832">
        <v>131.59</v>
      </c>
    </row>
    <row r="6574" spans="1:4" x14ac:dyDescent="0.3">
      <c r="A6574" s="830">
        <v>88470</v>
      </c>
      <c r="B6574" s="831" t="s">
        <v>10995</v>
      </c>
      <c r="C6574" s="830" t="s">
        <v>252</v>
      </c>
      <c r="D6574" s="832">
        <v>25.61</v>
      </c>
    </row>
    <row r="6575" spans="1:4" x14ac:dyDescent="0.3">
      <c r="A6575" s="830">
        <v>88471</v>
      </c>
      <c r="B6575" s="831" t="s">
        <v>10996</v>
      </c>
      <c r="C6575" s="830" t="s">
        <v>252</v>
      </c>
      <c r="D6575" s="832">
        <v>32.1</v>
      </c>
    </row>
    <row r="6576" spans="1:4" x14ac:dyDescent="0.3">
      <c r="A6576" s="830">
        <v>88472</v>
      </c>
      <c r="B6576" s="831" t="s">
        <v>10997</v>
      </c>
      <c r="C6576" s="830" t="s">
        <v>252</v>
      </c>
      <c r="D6576" s="832">
        <v>37.26</v>
      </c>
    </row>
    <row r="6577" spans="1:4" x14ac:dyDescent="0.3">
      <c r="A6577" s="830">
        <v>88476</v>
      </c>
      <c r="B6577" s="831" t="s">
        <v>10998</v>
      </c>
      <c r="C6577" s="830" t="s">
        <v>252</v>
      </c>
      <c r="D6577" s="832">
        <v>21.27</v>
      </c>
    </row>
    <row r="6578" spans="1:4" x14ac:dyDescent="0.3">
      <c r="A6578" s="830">
        <v>88477</v>
      </c>
      <c r="B6578" s="831" t="s">
        <v>10999</v>
      </c>
      <c r="C6578" s="830" t="s">
        <v>252</v>
      </c>
      <c r="D6578" s="832">
        <v>29.47</v>
      </c>
    </row>
    <row r="6579" spans="1:4" x14ac:dyDescent="0.3">
      <c r="A6579" s="830">
        <v>88478</v>
      </c>
      <c r="B6579" s="831" t="s">
        <v>11000</v>
      </c>
      <c r="C6579" s="830" t="s">
        <v>252</v>
      </c>
      <c r="D6579" s="832">
        <v>36.22</v>
      </c>
    </row>
    <row r="6580" spans="1:4" x14ac:dyDescent="0.3">
      <c r="A6580" s="830">
        <v>90930</v>
      </c>
      <c r="B6580" s="831" t="s">
        <v>11001</v>
      </c>
      <c r="C6580" s="830" t="s">
        <v>252</v>
      </c>
      <c r="D6580" s="832">
        <v>83.38</v>
      </c>
    </row>
    <row r="6581" spans="1:4" x14ac:dyDescent="0.3">
      <c r="A6581" s="830">
        <v>90932</v>
      </c>
      <c r="B6581" s="831" t="s">
        <v>11002</v>
      </c>
      <c r="C6581" s="830" t="s">
        <v>252</v>
      </c>
      <c r="D6581" s="832">
        <v>90.94</v>
      </c>
    </row>
    <row r="6582" spans="1:4" x14ac:dyDescent="0.3">
      <c r="A6582" s="830">
        <v>90933</v>
      </c>
      <c r="B6582" s="831" t="s">
        <v>11003</v>
      </c>
      <c r="C6582" s="830" t="s">
        <v>252</v>
      </c>
      <c r="D6582" s="832">
        <v>147.43</v>
      </c>
    </row>
    <row r="6583" spans="1:4" x14ac:dyDescent="0.3">
      <c r="A6583" s="830">
        <v>90934</v>
      </c>
      <c r="B6583" s="831" t="s">
        <v>11004</v>
      </c>
      <c r="C6583" s="830" t="s">
        <v>252</v>
      </c>
      <c r="D6583" s="832">
        <v>161.41</v>
      </c>
    </row>
    <row r="6584" spans="1:4" x14ac:dyDescent="0.3">
      <c r="A6584" s="830">
        <v>90940</v>
      </c>
      <c r="B6584" s="831" t="s">
        <v>11005</v>
      </c>
      <c r="C6584" s="830" t="s">
        <v>252</v>
      </c>
      <c r="D6584" s="832">
        <v>89.19</v>
      </c>
    </row>
    <row r="6585" spans="1:4" x14ac:dyDescent="0.3">
      <c r="A6585" s="830">
        <v>90942</v>
      </c>
      <c r="B6585" s="831" t="s">
        <v>11006</v>
      </c>
      <c r="C6585" s="830" t="s">
        <v>252</v>
      </c>
      <c r="D6585" s="832">
        <v>97.42</v>
      </c>
    </row>
    <row r="6586" spans="1:4" x14ac:dyDescent="0.3">
      <c r="A6586" s="830">
        <v>90943</v>
      </c>
      <c r="B6586" s="831" t="s">
        <v>11007</v>
      </c>
      <c r="C6586" s="830" t="s">
        <v>252</v>
      </c>
      <c r="D6586" s="832">
        <v>158.93</v>
      </c>
    </row>
    <row r="6587" spans="1:4" x14ac:dyDescent="0.3">
      <c r="A6587" s="830">
        <v>90944</v>
      </c>
      <c r="B6587" s="831" t="s">
        <v>11008</v>
      </c>
      <c r="C6587" s="830" t="s">
        <v>252</v>
      </c>
      <c r="D6587" s="832">
        <v>174.16</v>
      </c>
    </row>
    <row r="6588" spans="1:4" x14ac:dyDescent="0.3">
      <c r="A6588" s="830">
        <v>90950</v>
      </c>
      <c r="B6588" s="831" t="s">
        <v>11009</v>
      </c>
      <c r="C6588" s="830" t="s">
        <v>252</v>
      </c>
      <c r="D6588" s="832">
        <v>99.8</v>
      </c>
    </row>
    <row r="6589" spans="1:4" x14ac:dyDescent="0.3">
      <c r="A6589" s="830">
        <v>90952</v>
      </c>
      <c r="B6589" s="831" t="s">
        <v>11010</v>
      </c>
      <c r="C6589" s="830" t="s">
        <v>252</v>
      </c>
      <c r="D6589" s="832">
        <v>109.25</v>
      </c>
    </row>
    <row r="6590" spans="1:4" x14ac:dyDescent="0.3">
      <c r="A6590" s="830">
        <v>90953</v>
      </c>
      <c r="B6590" s="831" t="s">
        <v>11011</v>
      </c>
      <c r="C6590" s="830" t="s">
        <v>252</v>
      </c>
      <c r="D6590" s="832">
        <v>179.98</v>
      </c>
    </row>
    <row r="6591" spans="1:4" x14ac:dyDescent="0.3">
      <c r="A6591" s="830">
        <v>90954</v>
      </c>
      <c r="B6591" s="831" t="s">
        <v>11012</v>
      </c>
      <c r="C6591" s="830" t="s">
        <v>252</v>
      </c>
      <c r="D6591" s="832">
        <v>197.49</v>
      </c>
    </row>
    <row r="6592" spans="1:4" x14ac:dyDescent="0.3">
      <c r="A6592" s="830">
        <v>102803</v>
      </c>
      <c r="B6592" s="831" t="s">
        <v>11013</v>
      </c>
      <c r="C6592" s="830" t="s">
        <v>252</v>
      </c>
      <c r="D6592" s="832">
        <v>2.5299999999999998</v>
      </c>
    </row>
    <row r="6593" spans="1:4" x14ac:dyDescent="0.3">
      <c r="A6593" s="830">
        <v>101742</v>
      </c>
      <c r="B6593" s="831" t="s">
        <v>11014</v>
      </c>
      <c r="C6593" s="830" t="s">
        <v>194</v>
      </c>
      <c r="D6593" s="832">
        <v>62.2</v>
      </c>
    </row>
    <row r="6594" spans="1:4" x14ac:dyDescent="0.3">
      <c r="A6594" s="830">
        <v>87878</v>
      </c>
      <c r="B6594" s="831" t="s">
        <v>11015</v>
      </c>
      <c r="C6594" s="830" t="s">
        <v>252</v>
      </c>
      <c r="D6594" s="832">
        <v>5.35</v>
      </c>
    </row>
    <row r="6595" spans="1:4" x14ac:dyDescent="0.3">
      <c r="A6595" s="830">
        <v>87879</v>
      </c>
      <c r="B6595" s="831" t="s">
        <v>11016</v>
      </c>
      <c r="C6595" s="830" t="s">
        <v>252</v>
      </c>
      <c r="D6595" s="832">
        <v>4.84</v>
      </c>
    </row>
    <row r="6596" spans="1:4" x14ac:dyDescent="0.3">
      <c r="A6596" s="830">
        <v>87881</v>
      </c>
      <c r="B6596" s="831" t="s">
        <v>11017</v>
      </c>
      <c r="C6596" s="830" t="s">
        <v>252</v>
      </c>
      <c r="D6596" s="832">
        <v>6.64</v>
      </c>
    </row>
    <row r="6597" spans="1:4" x14ac:dyDescent="0.3">
      <c r="A6597" s="830">
        <v>87882</v>
      </c>
      <c r="B6597" s="831" t="s">
        <v>11018</v>
      </c>
      <c r="C6597" s="830" t="s">
        <v>252</v>
      </c>
      <c r="D6597" s="832">
        <v>6.46</v>
      </c>
    </row>
    <row r="6598" spans="1:4" x14ac:dyDescent="0.3">
      <c r="A6598" s="830">
        <v>87884</v>
      </c>
      <c r="B6598" s="831" t="s">
        <v>11019</v>
      </c>
      <c r="C6598" s="830" t="s">
        <v>252</v>
      </c>
      <c r="D6598" s="832">
        <v>8.9700000000000006</v>
      </c>
    </row>
    <row r="6599" spans="1:4" x14ac:dyDescent="0.3">
      <c r="A6599" s="830">
        <v>87885</v>
      </c>
      <c r="B6599" s="831" t="s">
        <v>11020</v>
      </c>
      <c r="C6599" s="830" t="s">
        <v>252</v>
      </c>
      <c r="D6599" s="832">
        <v>8.57</v>
      </c>
    </row>
    <row r="6600" spans="1:4" x14ac:dyDescent="0.3">
      <c r="A6600" s="830">
        <v>87886</v>
      </c>
      <c r="B6600" s="831" t="s">
        <v>11021</v>
      </c>
      <c r="C6600" s="830" t="s">
        <v>252</v>
      </c>
      <c r="D6600" s="832">
        <v>16.100000000000001</v>
      </c>
    </row>
    <row r="6601" spans="1:4" x14ac:dyDescent="0.3">
      <c r="A6601" s="830">
        <v>87887</v>
      </c>
      <c r="B6601" s="831" t="s">
        <v>11022</v>
      </c>
      <c r="C6601" s="830" t="s">
        <v>252</v>
      </c>
      <c r="D6601" s="832">
        <v>15.22</v>
      </c>
    </row>
    <row r="6602" spans="1:4" x14ac:dyDescent="0.3">
      <c r="A6602" s="830">
        <v>87888</v>
      </c>
      <c r="B6602" s="831" t="s">
        <v>11023</v>
      </c>
      <c r="C6602" s="830" t="s">
        <v>252</v>
      </c>
      <c r="D6602" s="832">
        <v>8.4600000000000009</v>
      </c>
    </row>
    <row r="6603" spans="1:4" x14ac:dyDescent="0.3">
      <c r="A6603" s="830">
        <v>87889</v>
      </c>
      <c r="B6603" s="831" t="s">
        <v>11024</v>
      </c>
      <c r="C6603" s="830" t="s">
        <v>252</v>
      </c>
      <c r="D6603" s="832">
        <v>8.2799999999999994</v>
      </c>
    </row>
    <row r="6604" spans="1:4" x14ac:dyDescent="0.3">
      <c r="A6604" s="830">
        <v>87891</v>
      </c>
      <c r="B6604" s="831" t="s">
        <v>11025</v>
      </c>
      <c r="C6604" s="830" t="s">
        <v>252</v>
      </c>
      <c r="D6604" s="832">
        <v>10.79</v>
      </c>
    </row>
    <row r="6605" spans="1:4" x14ac:dyDescent="0.3">
      <c r="A6605" s="830">
        <v>87892</v>
      </c>
      <c r="B6605" s="831" t="s">
        <v>11026</v>
      </c>
      <c r="C6605" s="830" t="s">
        <v>252</v>
      </c>
      <c r="D6605" s="832">
        <v>10.39</v>
      </c>
    </row>
    <row r="6606" spans="1:4" x14ac:dyDescent="0.3">
      <c r="A6606" s="830">
        <v>87893</v>
      </c>
      <c r="B6606" s="831" t="s">
        <v>11027</v>
      </c>
      <c r="C6606" s="830" t="s">
        <v>252</v>
      </c>
      <c r="D6606" s="832">
        <v>8.06</v>
      </c>
    </row>
    <row r="6607" spans="1:4" x14ac:dyDescent="0.3">
      <c r="A6607" s="830">
        <v>87894</v>
      </c>
      <c r="B6607" s="831" t="s">
        <v>11028</v>
      </c>
      <c r="C6607" s="830" t="s">
        <v>252</v>
      </c>
      <c r="D6607" s="832">
        <v>7.55</v>
      </c>
    </row>
    <row r="6608" spans="1:4" x14ac:dyDescent="0.3">
      <c r="A6608" s="830">
        <v>87896</v>
      </c>
      <c r="B6608" s="831" t="s">
        <v>11029</v>
      </c>
      <c r="C6608" s="830" t="s">
        <v>252</v>
      </c>
      <c r="D6608" s="832">
        <v>6.05</v>
      </c>
    </row>
    <row r="6609" spans="1:4" x14ac:dyDescent="0.3">
      <c r="A6609" s="830">
        <v>87897</v>
      </c>
      <c r="B6609" s="831" t="s">
        <v>11030</v>
      </c>
      <c r="C6609" s="830" t="s">
        <v>252</v>
      </c>
      <c r="D6609" s="832">
        <v>5.54</v>
      </c>
    </row>
    <row r="6610" spans="1:4" x14ac:dyDescent="0.3">
      <c r="A6610" s="830">
        <v>87899</v>
      </c>
      <c r="B6610" s="831" t="s">
        <v>11031</v>
      </c>
      <c r="C6610" s="830" t="s">
        <v>252</v>
      </c>
      <c r="D6610" s="832">
        <v>9.27</v>
      </c>
    </row>
    <row r="6611" spans="1:4" x14ac:dyDescent="0.3">
      <c r="A6611" s="830">
        <v>87900</v>
      </c>
      <c r="B6611" s="831" t="s">
        <v>11032</v>
      </c>
      <c r="C6611" s="830" t="s">
        <v>252</v>
      </c>
      <c r="D6611" s="832">
        <v>9.09</v>
      </c>
    </row>
    <row r="6612" spans="1:4" x14ac:dyDescent="0.3">
      <c r="A6612" s="830">
        <v>87902</v>
      </c>
      <c r="B6612" s="831" t="s">
        <v>11033</v>
      </c>
      <c r="C6612" s="830" t="s">
        <v>252</v>
      </c>
      <c r="D6612" s="832">
        <v>11.6</v>
      </c>
    </row>
    <row r="6613" spans="1:4" x14ac:dyDescent="0.3">
      <c r="A6613" s="830">
        <v>87903</v>
      </c>
      <c r="B6613" s="831" t="s">
        <v>11034</v>
      </c>
      <c r="C6613" s="830" t="s">
        <v>252</v>
      </c>
      <c r="D6613" s="832">
        <v>11.2</v>
      </c>
    </row>
    <row r="6614" spans="1:4" x14ac:dyDescent="0.3">
      <c r="A6614" s="830">
        <v>87904</v>
      </c>
      <c r="B6614" s="831" t="s">
        <v>11035</v>
      </c>
      <c r="C6614" s="830" t="s">
        <v>252</v>
      </c>
      <c r="D6614" s="832">
        <v>9.35</v>
      </c>
    </row>
    <row r="6615" spans="1:4" x14ac:dyDescent="0.3">
      <c r="A6615" s="830">
        <v>87905</v>
      </c>
      <c r="B6615" s="831" t="s">
        <v>11036</v>
      </c>
      <c r="C6615" s="830" t="s">
        <v>252</v>
      </c>
      <c r="D6615" s="832">
        <v>8.84</v>
      </c>
    </row>
    <row r="6616" spans="1:4" x14ac:dyDescent="0.3">
      <c r="A6616" s="830">
        <v>87907</v>
      </c>
      <c r="B6616" s="831" t="s">
        <v>11037</v>
      </c>
      <c r="C6616" s="830" t="s">
        <v>252</v>
      </c>
      <c r="D6616" s="832">
        <v>7.27</v>
      </c>
    </row>
    <row r="6617" spans="1:4" x14ac:dyDescent="0.3">
      <c r="A6617" s="830">
        <v>87908</v>
      </c>
      <c r="B6617" s="831" t="s">
        <v>11038</v>
      </c>
      <c r="C6617" s="830" t="s">
        <v>252</v>
      </c>
      <c r="D6617" s="832">
        <v>6.76</v>
      </c>
    </row>
    <row r="6618" spans="1:4" x14ac:dyDescent="0.3">
      <c r="A6618" s="830">
        <v>87910</v>
      </c>
      <c r="B6618" s="831" t="s">
        <v>11039</v>
      </c>
      <c r="C6618" s="830" t="s">
        <v>252</v>
      </c>
      <c r="D6618" s="832">
        <v>22.19</v>
      </c>
    </row>
    <row r="6619" spans="1:4" x14ac:dyDescent="0.3">
      <c r="A6619" s="830">
        <v>87911</v>
      </c>
      <c r="B6619" s="831" t="s">
        <v>11040</v>
      </c>
      <c r="C6619" s="830" t="s">
        <v>252</v>
      </c>
      <c r="D6619" s="832">
        <v>21.31</v>
      </c>
    </row>
    <row r="6620" spans="1:4" x14ac:dyDescent="0.3">
      <c r="A6620" s="830">
        <v>104410</v>
      </c>
      <c r="B6620" s="831" t="s">
        <v>11041</v>
      </c>
      <c r="C6620" s="830" t="s">
        <v>252</v>
      </c>
      <c r="D6620" s="832">
        <v>5.55</v>
      </c>
    </row>
    <row r="6621" spans="1:4" x14ac:dyDescent="0.3">
      <c r="A6621" s="830">
        <v>104411</v>
      </c>
      <c r="B6621" s="831" t="s">
        <v>11042</v>
      </c>
      <c r="C6621" s="830" t="s">
        <v>252</v>
      </c>
      <c r="D6621" s="832">
        <v>5.55</v>
      </c>
    </row>
    <row r="6622" spans="1:4" x14ac:dyDescent="0.3">
      <c r="A6622" s="830">
        <v>87411</v>
      </c>
      <c r="B6622" s="831" t="s">
        <v>11043</v>
      </c>
      <c r="C6622" s="830" t="s">
        <v>252</v>
      </c>
      <c r="D6622" s="832">
        <v>16.37</v>
      </c>
    </row>
    <row r="6623" spans="1:4" x14ac:dyDescent="0.3">
      <c r="A6623" s="830">
        <v>87412</v>
      </c>
      <c r="B6623" s="831" t="s">
        <v>11044</v>
      </c>
      <c r="C6623" s="830" t="s">
        <v>252</v>
      </c>
      <c r="D6623" s="832">
        <v>25.53</v>
      </c>
    </row>
    <row r="6624" spans="1:4" x14ac:dyDescent="0.3">
      <c r="A6624" s="830">
        <v>87413</v>
      </c>
      <c r="B6624" s="831" t="s">
        <v>11045</v>
      </c>
      <c r="C6624" s="830" t="s">
        <v>252</v>
      </c>
      <c r="D6624" s="832">
        <v>30.8</v>
      </c>
    </row>
    <row r="6625" spans="1:4" x14ac:dyDescent="0.3">
      <c r="A6625" s="830">
        <v>87414</v>
      </c>
      <c r="B6625" s="831" t="s">
        <v>11046</v>
      </c>
      <c r="C6625" s="830" t="s">
        <v>252</v>
      </c>
      <c r="D6625" s="832">
        <v>25.7</v>
      </c>
    </row>
    <row r="6626" spans="1:4" x14ac:dyDescent="0.3">
      <c r="A6626" s="830">
        <v>87415</v>
      </c>
      <c r="B6626" s="831" t="s">
        <v>11047</v>
      </c>
      <c r="C6626" s="830" t="s">
        <v>252</v>
      </c>
      <c r="D6626" s="832">
        <v>34.869999999999997</v>
      </c>
    </row>
    <row r="6627" spans="1:4" x14ac:dyDescent="0.3">
      <c r="A6627" s="830">
        <v>87416</v>
      </c>
      <c r="B6627" s="831" t="s">
        <v>11048</v>
      </c>
      <c r="C6627" s="830" t="s">
        <v>252</v>
      </c>
      <c r="D6627" s="832">
        <v>40.14</v>
      </c>
    </row>
    <row r="6628" spans="1:4" x14ac:dyDescent="0.3">
      <c r="A6628" s="830">
        <v>87418</v>
      </c>
      <c r="B6628" s="831" t="s">
        <v>11049</v>
      </c>
      <c r="C6628" s="830" t="s">
        <v>252</v>
      </c>
      <c r="D6628" s="832">
        <v>19.27</v>
      </c>
    </row>
    <row r="6629" spans="1:4" x14ac:dyDescent="0.3">
      <c r="A6629" s="830">
        <v>87421</v>
      </c>
      <c r="B6629" s="831" t="s">
        <v>11050</v>
      </c>
      <c r="C6629" s="830" t="s">
        <v>252</v>
      </c>
      <c r="D6629" s="832">
        <v>29.03</v>
      </c>
    </row>
    <row r="6630" spans="1:4" x14ac:dyDescent="0.3">
      <c r="A6630" s="830">
        <v>87424</v>
      </c>
      <c r="B6630" s="831" t="s">
        <v>11051</v>
      </c>
      <c r="C6630" s="830" t="s">
        <v>252</v>
      </c>
      <c r="D6630" s="832">
        <v>39.270000000000003</v>
      </c>
    </row>
    <row r="6631" spans="1:4" x14ac:dyDescent="0.3">
      <c r="A6631" s="830">
        <v>87427</v>
      </c>
      <c r="B6631" s="831" t="s">
        <v>11052</v>
      </c>
      <c r="C6631" s="830" t="s">
        <v>252</v>
      </c>
      <c r="D6631" s="832">
        <v>46.05</v>
      </c>
    </row>
    <row r="6632" spans="1:4" x14ac:dyDescent="0.3">
      <c r="A6632" s="830">
        <v>87430</v>
      </c>
      <c r="B6632" s="831" t="s">
        <v>11053</v>
      </c>
      <c r="C6632" s="830" t="s">
        <v>252</v>
      </c>
      <c r="D6632" s="832">
        <v>19.350000000000001</v>
      </c>
    </row>
    <row r="6633" spans="1:4" x14ac:dyDescent="0.3">
      <c r="A6633" s="830">
        <v>87433</v>
      </c>
      <c r="B6633" s="831" t="s">
        <v>11054</v>
      </c>
      <c r="C6633" s="830" t="s">
        <v>252</v>
      </c>
      <c r="D6633" s="832">
        <v>27.45</v>
      </c>
    </row>
    <row r="6634" spans="1:4" x14ac:dyDescent="0.3">
      <c r="A6634" s="830">
        <v>87436</v>
      </c>
      <c r="B6634" s="831" t="s">
        <v>11055</v>
      </c>
      <c r="C6634" s="830" t="s">
        <v>252</v>
      </c>
      <c r="D6634" s="832">
        <v>31.6</v>
      </c>
    </row>
    <row r="6635" spans="1:4" x14ac:dyDescent="0.3">
      <c r="A6635" s="830">
        <v>87439</v>
      </c>
      <c r="B6635" s="831" t="s">
        <v>11056</v>
      </c>
      <c r="C6635" s="830" t="s">
        <v>252</v>
      </c>
      <c r="D6635" s="832">
        <v>38.49</v>
      </c>
    </row>
    <row r="6636" spans="1:4" x14ac:dyDescent="0.3">
      <c r="A6636" s="830">
        <v>87527</v>
      </c>
      <c r="B6636" s="831" t="s">
        <v>11057</v>
      </c>
      <c r="C6636" s="830" t="s">
        <v>252</v>
      </c>
      <c r="D6636" s="832">
        <v>46</v>
      </c>
    </row>
    <row r="6637" spans="1:4" x14ac:dyDescent="0.3">
      <c r="A6637" s="830">
        <v>87528</v>
      </c>
      <c r="B6637" s="831" t="s">
        <v>11058</v>
      </c>
      <c r="C6637" s="830" t="s">
        <v>252</v>
      </c>
      <c r="D6637" s="832">
        <v>49.96</v>
      </c>
    </row>
    <row r="6638" spans="1:4" x14ac:dyDescent="0.3">
      <c r="A6638" s="830">
        <v>87529</v>
      </c>
      <c r="B6638" s="831" t="s">
        <v>11059</v>
      </c>
      <c r="C6638" s="830" t="s">
        <v>252</v>
      </c>
      <c r="D6638" s="832">
        <v>42.62</v>
      </c>
    </row>
    <row r="6639" spans="1:4" x14ac:dyDescent="0.3">
      <c r="A6639" s="830">
        <v>87530</v>
      </c>
      <c r="B6639" s="831" t="s">
        <v>11060</v>
      </c>
      <c r="C6639" s="830" t="s">
        <v>252</v>
      </c>
      <c r="D6639" s="832">
        <v>46.58</v>
      </c>
    </row>
    <row r="6640" spans="1:4" x14ac:dyDescent="0.3">
      <c r="A6640" s="830">
        <v>87531</v>
      </c>
      <c r="B6640" s="831" t="s">
        <v>11061</v>
      </c>
      <c r="C6640" s="830" t="s">
        <v>252</v>
      </c>
      <c r="D6640" s="832">
        <v>41.25</v>
      </c>
    </row>
    <row r="6641" spans="1:4" x14ac:dyDescent="0.3">
      <c r="A6641" s="830">
        <v>87532</v>
      </c>
      <c r="B6641" s="831" t="s">
        <v>11062</v>
      </c>
      <c r="C6641" s="830" t="s">
        <v>252</v>
      </c>
      <c r="D6641" s="832">
        <v>45.21</v>
      </c>
    </row>
    <row r="6642" spans="1:4" x14ac:dyDescent="0.3">
      <c r="A6642" s="830">
        <v>87535</v>
      </c>
      <c r="B6642" s="831" t="s">
        <v>11063</v>
      </c>
      <c r="C6642" s="830" t="s">
        <v>252</v>
      </c>
      <c r="D6642" s="832">
        <v>38.409999999999997</v>
      </c>
    </row>
    <row r="6643" spans="1:4" x14ac:dyDescent="0.3">
      <c r="A6643" s="830">
        <v>87536</v>
      </c>
      <c r="B6643" s="831" t="s">
        <v>11064</v>
      </c>
      <c r="C6643" s="830" t="s">
        <v>252</v>
      </c>
      <c r="D6643" s="832">
        <v>42.37</v>
      </c>
    </row>
    <row r="6644" spans="1:4" x14ac:dyDescent="0.3">
      <c r="A6644" s="830">
        <v>87539</v>
      </c>
      <c r="B6644" s="831" t="s">
        <v>11065</v>
      </c>
      <c r="C6644" s="830" t="s">
        <v>252</v>
      </c>
      <c r="D6644" s="832">
        <v>60.52</v>
      </c>
    </row>
    <row r="6645" spans="1:4" x14ac:dyDescent="0.3">
      <c r="A6645" s="830">
        <v>87543</v>
      </c>
      <c r="B6645" s="831" t="s">
        <v>11066</v>
      </c>
      <c r="C6645" s="830" t="s">
        <v>252</v>
      </c>
      <c r="D6645" s="832">
        <v>23.54</v>
      </c>
    </row>
    <row r="6646" spans="1:4" x14ac:dyDescent="0.3">
      <c r="A6646" s="830">
        <v>87545</v>
      </c>
      <c r="B6646" s="831" t="s">
        <v>11067</v>
      </c>
      <c r="C6646" s="830" t="s">
        <v>252</v>
      </c>
      <c r="D6646" s="832">
        <v>33.89</v>
      </c>
    </row>
    <row r="6647" spans="1:4" x14ac:dyDescent="0.3">
      <c r="A6647" s="830">
        <v>87546</v>
      </c>
      <c r="B6647" s="831" t="s">
        <v>11068</v>
      </c>
      <c r="C6647" s="830" t="s">
        <v>252</v>
      </c>
      <c r="D6647" s="832">
        <v>36.42</v>
      </c>
    </row>
    <row r="6648" spans="1:4" x14ac:dyDescent="0.3">
      <c r="A6648" s="830">
        <v>87547</v>
      </c>
      <c r="B6648" s="831" t="s">
        <v>11069</v>
      </c>
      <c r="C6648" s="830" t="s">
        <v>252</v>
      </c>
      <c r="D6648" s="832">
        <v>30.51</v>
      </c>
    </row>
    <row r="6649" spans="1:4" x14ac:dyDescent="0.3">
      <c r="A6649" s="830">
        <v>87548</v>
      </c>
      <c r="B6649" s="831" t="s">
        <v>11070</v>
      </c>
      <c r="C6649" s="830" t="s">
        <v>252</v>
      </c>
      <c r="D6649" s="832">
        <v>33.04</v>
      </c>
    </row>
    <row r="6650" spans="1:4" x14ac:dyDescent="0.3">
      <c r="A6650" s="830">
        <v>87549</v>
      </c>
      <c r="B6650" s="831" t="s">
        <v>11071</v>
      </c>
      <c r="C6650" s="830" t="s">
        <v>252</v>
      </c>
      <c r="D6650" s="832">
        <v>29.13</v>
      </c>
    </row>
    <row r="6651" spans="1:4" x14ac:dyDescent="0.3">
      <c r="A6651" s="830">
        <v>87550</v>
      </c>
      <c r="B6651" s="831" t="s">
        <v>11072</v>
      </c>
      <c r="C6651" s="830" t="s">
        <v>252</v>
      </c>
      <c r="D6651" s="832">
        <v>31.66</v>
      </c>
    </row>
    <row r="6652" spans="1:4" x14ac:dyDescent="0.3">
      <c r="A6652" s="830">
        <v>87553</v>
      </c>
      <c r="B6652" s="831" t="s">
        <v>11073</v>
      </c>
      <c r="C6652" s="830" t="s">
        <v>252</v>
      </c>
      <c r="D6652" s="832">
        <v>26.3</v>
      </c>
    </row>
    <row r="6653" spans="1:4" x14ac:dyDescent="0.3">
      <c r="A6653" s="830">
        <v>87554</v>
      </c>
      <c r="B6653" s="831" t="s">
        <v>11074</v>
      </c>
      <c r="C6653" s="830" t="s">
        <v>252</v>
      </c>
      <c r="D6653" s="832">
        <v>28.83</v>
      </c>
    </row>
    <row r="6654" spans="1:4" x14ac:dyDescent="0.3">
      <c r="A6654" s="830">
        <v>87557</v>
      </c>
      <c r="B6654" s="831" t="s">
        <v>11075</v>
      </c>
      <c r="C6654" s="830" t="s">
        <v>252</v>
      </c>
      <c r="D6654" s="832">
        <v>40.25</v>
      </c>
    </row>
    <row r="6655" spans="1:4" x14ac:dyDescent="0.3">
      <c r="A6655" s="830">
        <v>87561</v>
      </c>
      <c r="B6655" s="831" t="s">
        <v>11076</v>
      </c>
      <c r="C6655" s="830" t="s">
        <v>252</v>
      </c>
      <c r="D6655" s="832">
        <v>39.630000000000003</v>
      </c>
    </row>
    <row r="6656" spans="1:4" x14ac:dyDescent="0.3">
      <c r="A6656" s="830">
        <v>87775</v>
      </c>
      <c r="B6656" s="831" t="s">
        <v>11077</v>
      </c>
      <c r="C6656" s="830" t="s">
        <v>252</v>
      </c>
      <c r="D6656" s="832">
        <v>62.55</v>
      </c>
    </row>
    <row r="6657" spans="1:4" x14ac:dyDescent="0.3">
      <c r="A6657" s="830">
        <v>87777</v>
      </c>
      <c r="B6657" s="831" t="s">
        <v>11078</v>
      </c>
      <c r="C6657" s="830" t="s">
        <v>252</v>
      </c>
      <c r="D6657" s="832">
        <v>66.64</v>
      </c>
    </row>
    <row r="6658" spans="1:4" x14ac:dyDescent="0.3">
      <c r="A6658" s="830">
        <v>87778</v>
      </c>
      <c r="B6658" s="831" t="s">
        <v>11079</v>
      </c>
      <c r="C6658" s="830" t="s">
        <v>252</v>
      </c>
      <c r="D6658" s="832">
        <v>84.8</v>
      </c>
    </row>
    <row r="6659" spans="1:4" x14ac:dyDescent="0.3">
      <c r="A6659" s="830">
        <v>87779</v>
      </c>
      <c r="B6659" s="831" t="s">
        <v>11080</v>
      </c>
      <c r="C6659" s="830" t="s">
        <v>252</v>
      </c>
      <c r="D6659" s="832">
        <v>80.8</v>
      </c>
    </row>
    <row r="6660" spans="1:4" x14ac:dyDescent="0.3">
      <c r="A6660" s="830">
        <v>87781</v>
      </c>
      <c r="B6660" s="831" t="s">
        <v>11081</v>
      </c>
      <c r="C6660" s="830" t="s">
        <v>252</v>
      </c>
      <c r="D6660" s="832">
        <v>86.28</v>
      </c>
    </row>
    <row r="6661" spans="1:4" x14ac:dyDescent="0.3">
      <c r="A6661" s="830">
        <v>87783</v>
      </c>
      <c r="B6661" s="831" t="s">
        <v>11082</v>
      </c>
      <c r="C6661" s="830" t="s">
        <v>252</v>
      </c>
      <c r="D6661" s="832">
        <v>110.92</v>
      </c>
    </row>
    <row r="6662" spans="1:4" x14ac:dyDescent="0.3">
      <c r="A6662" s="830">
        <v>87784</v>
      </c>
      <c r="B6662" s="831" t="s">
        <v>11083</v>
      </c>
      <c r="C6662" s="830" t="s">
        <v>252</v>
      </c>
      <c r="D6662" s="832">
        <v>88.69</v>
      </c>
    </row>
    <row r="6663" spans="1:4" x14ac:dyDescent="0.3">
      <c r="A6663" s="830">
        <v>87786</v>
      </c>
      <c r="B6663" s="831" t="s">
        <v>11084</v>
      </c>
      <c r="C6663" s="830" t="s">
        <v>252</v>
      </c>
      <c r="D6663" s="832">
        <v>95.57</v>
      </c>
    </row>
    <row r="6664" spans="1:4" x14ac:dyDescent="0.3">
      <c r="A6664" s="830">
        <v>87787</v>
      </c>
      <c r="B6664" s="831" t="s">
        <v>11085</v>
      </c>
      <c r="C6664" s="830" t="s">
        <v>252</v>
      </c>
      <c r="D6664" s="832">
        <v>127.54</v>
      </c>
    </row>
    <row r="6665" spans="1:4" x14ac:dyDescent="0.3">
      <c r="A6665" s="830">
        <v>87788</v>
      </c>
      <c r="B6665" s="831" t="s">
        <v>11086</v>
      </c>
      <c r="C6665" s="830" t="s">
        <v>252</v>
      </c>
      <c r="D6665" s="832">
        <v>104.37</v>
      </c>
    </row>
    <row r="6666" spans="1:4" x14ac:dyDescent="0.3">
      <c r="A6666" s="830">
        <v>87791</v>
      </c>
      <c r="B6666" s="831" t="s">
        <v>11087</v>
      </c>
      <c r="C6666" s="830" t="s">
        <v>252</v>
      </c>
      <c r="D6666" s="832">
        <v>140.63</v>
      </c>
    </row>
    <row r="6667" spans="1:4" x14ac:dyDescent="0.3">
      <c r="A6667" s="830">
        <v>87792</v>
      </c>
      <c r="B6667" s="831" t="s">
        <v>11088</v>
      </c>
      <c r="C6667" s="830" t="s">
        <v>252</v>
      </c>
      <c r="D6667" s="832">
        <v>46.63</v>
      </c>
    </row>
    <row r="6668" spans="1:4" x14ac:dyDescent="0.3">
      <c r="A6668" s="830">
        <v>87794</v>
      </c>
      <c r="B6668" s="831" t="s">
        <v>11089</v>
      </c>
      <c r="C6668" s="830" t="s">
        <v>252</v>
      </c>
      <c r="D6668" s="832">
        <v>50.45</v>
      </c>
    </row>
    <row r="6669" spans="1:4" x14ac:dyDescent="0.3">
      <c r="A6669" s="830">
        <v>87795</v>
      </c>
      <c r="B6669" s="831" t="s">
        <v>11090</v>
      </c>
      <c r="C6669" s="830" t="s">
        <v>252</v>
      </c>
      <c r="D6669" s="832">
        <v>68.53</v>
      </c>
    </row>
    <row r="6670" spans="1:4" x14ac:dyDescent="0.3">
      <c r="A6670" s="830">
        <v>87797</v>
      </c>
      <c r="B6670" s="831" t="s">
        <v>11091</v>
      </c>
      <c r="C6670" s="830" t="s">
        <v>252</v>
      </c>
      <c r="D6670" s="832">
        <v>64.42</v>
      </c>
    </row>
    <row r="6671" spans="1:4" x14ac:dyDescent="0.3">
      <c r="A6671" s="830">
        <v>87799</v>
      </c>
      <c r="B6671" s="831" t="s">
        <v>11092</v>
      </c>
      <c r="C6671" s="830" t="s">
        <v>252</v>
      </c>
      <c r="D6671" s="832">
        <v>69.540000000000006</v>
      </c>
    </row>
    <row r="6672" spans="1:4" x14ac:dyDescent="0.3">
      <c r="A6672" s="830">
        <v>87800</v>
      </c>
      <c r="B6672" s="831" t="s">
        <v>11093</v>
      </c>
      <c r="C6672" s="830" t="s">
        <v>252</v>
      </c>
      <c r="D6672" s="832">
        <v>93.5</v>
      </c>
    </row>
    <row r="6673" spans="1:4" x14ac:dyDescent="0.3">
      <c r="A6673" s="830">
        <v>87801</v>
      </c>
      <c r="B6673" s="831" t="s">
        <v>11094</v>
      </c>
      <c r="C6673" s="830" t="s">
        <v>252</v>
      </c>
      <c r="D6673" s="832">
        <v>71.8</v>
      </c>
    </row>
    <row r="6674" spans="1:4" x14ac:dyDescent="0.3">
      <c r="A6674" s="830">
        <v>87803</v>
      </c>
      <c r="B6674" s="831" t="s">
        <v>11095</v>
      </c>
      <c r="C6674" s="830" t="s">
        <v>252</v>
      </c>
      <c r="D6674" s="832">
        <v>78.22</v>
      </c>
    </row>
    <row r="6675" spans="1:4" x14ac:dyDescent="0.3">
      <c r="A6675" s="830">
        <v>87804</v>
      </c>
      <c r="B6675" s="831" t="s">
        <v>11096</v>
      </c>
      <c r="C6675" s="830" t="s">
        <v>252</v>
      </c>
      <c r="D6675" s="832">
        <v>109.03</v>
      </c>
    </row>
    <row r="6676" spans="1:4" x14ac:dyDescent="0.3">
      <c r="A6676" s="830">
        <v>87805</v>
      </c>
      <c r="B6676" s="831" t="s">
        <v>11097</v>
      </c>
      <c r="C6676" s="830" t="s">
        <v>252</v>
      </c>
      <c r="D6676" s="832">
        <v>78.47</v>
      </c>
    </row>
    <row r="6677" spans="1:4" x14ac:dyDescent="0.3">
      <c r="A6677" s="830">
        <v>87807</v>
      </c>
      <c r="B6677" s="831" t="s">
        <v>11098</v>
      </c>
      <c r="C6677" s="830" t="s">
        <v>252</v>
      </c>
      <c r="D6677" s="832">
        <v>85.55</v>
      </c>
    </row>
    <row r="6678" spans="1:4" x14ac:dyDescent="0.3">
      <c r="A6678" s="830">
        <v>87808</v>
      </c>
      <c r="B6678" s="831" t="s">
        <v>11099</v>
      </c>
      <c r="C6678" s="830" t="s">
        <v>252</v>
      </c>
      <c r="D6678" s="832">
        <v>116.04</v>
      </c>
    </row>
    <row r="6679" spans="1:4" x14ac:dyDescent="0.3">
      <c r="A6679" s="830">
        <v>87809</v>
      </c>
      <c r="B6679" s="831" t="s">
        <v>11100</v>
      </c>
      <c r="C6679" s="830" t="s">
        <v>252</v>
      </c>
      <c r="D6679" s="832">
        <v>87.86</v>
      </c>
    </row>
    <row r="6680" spans="1:4" x14ac:dyDescent="0.3">
      <c r="A6680" s="830">
        <v>87811</v>
      </c>
      <c r="B6680" s="831" t="s">
        <v>11101</v>
      </c>
      <c r="C6680" s="830" t="s">
        <v>252</v>
      </c>
      <c r="D6680" s="832">
        <v>91.68</v>
      </c>
    </row>
    <row r="6681" spans="1:4" x14ac:dyDescent="0.3">
      <c r="A6681" s="830">
        <v>87812</v>
      </c>
      <c r="B6681" s="831" t="s">
        <v>11102</v>
      </c>
      <c r="C6681" s="830" t="s">
        <v>252</v>
      </c>
      <c r="D6681" s="832">
        <v>105.73</v>
      </c>
    </row>
    <row r="6682" spans="1:4" x14ac:dyDescent="0.3">
      <c r="A6682" s="830">
        <v>87813</v>
      </c>
      <c r="B6682" s="831" t="s">
        <v>11103</v>
      </c>
      <c r="C6682" s="830" t="s">
        <v>252</v>
      </c>
      <c r="D6682" s="832">
        <v>105.64</v>
      </c>
    </row>
    <row r="6683" spans="1:4" x14ac:dyDescent="0.3">
      <c r="A6683" s="830">
        <v>87815</v>
      </c>
      <c r="B6683" s="831" t="s">
        <v>11104</v>
      </c>
      <c r="C6683" s="830" t="s">
        <v>252</v>
      </c>
      <c r="D6683" s="832">
        <v>110.76</v>
      </c>
    </row>
    <row r="6684" spans="1:4" x14ac:dyDescent="0.3">
      <c r="A6684" s="830">
        <v>87816</v>
      </c>
      <c r="B6684" s="831" t="s">
        <v>11105</v>
      </c>
      <c r="C6684" s="830" t="s">
        <v>252</v>
      </c>
      <c r="D6684" s="832">
        <v>130.75</v>
      </c>
    </row>
    <row r="6685" spans="1:4" x14ac:dyDescent="0.3">
      <c r="A6685" s="830">
        <v>87817</v>
      </c>
      <c r="B6685" s="831" t="s">
        <v>11106</v>
      </c>
      <c r="C6685" s="830" t="s">
        <v>252</v>
      </c>
      <c r="D6685" s="832">
        <v>113.02</v>
      </c>
    </row>
    <row r="6686" spans="1:4" x14ac:dyDescent="0.3">
      <c r="A6686" s="830">
        <v>87819</v>
      </c>
      <c r="B6686" s="831" t="s">
        <v>11107</v>
      </c>
      <c r="C6686" s="830" t="s">
        <v>252</v>
      </c>
      <c r="D6686" s="832">
        <v>119.44</v>
      </c>
    </row>
    <row r="6687" spans="1:4" x14ac:dyDescent="0.3">
      <c r="A6687" s="830">
        <v>87820</v>
      </c>
      <c r="B6687" s="831" t="s">
        <v>11108</v>
      </c>
      <c r="C6687" s="830" t="s">
        <v>252</v>
      </c>
      <c r="D6687" s="832">
        <v>146.28</v>
      </c>
    </row>
    <row r="6688" spans="1:4" x14ac:dyDescent="0.3">
      <c r="A6688" s="830">
        <v>87821</v>
      </c>
      <c r="B6688" s="831" t="s">
        <v>11109</v>
      </c>
      <c r="C6688" s="830" t="s">
        <v>252</v>
      </c>
      <c r="D6688" s="832">
        <v>145.96</v>
      </c>
    </row>
    <row r="6689" spans="1:4" x14ac:dyDescent="0.3">
      <c r="A6689" s="830">
        <v>87823</v>
      </c>
      <c r="B6689" s="831" t="s">
        <v>11110</v>
      </c>
      <c r="C6689" s="830" t="s">
        <v>252</v>
      </c>
      <c r="D6689" s="832">
        <v>153.04</v>
      </c>
    </row>
    <row r="6690" spans="1:4" x14ac:dyDescent="0.3">
      <c r="A6690" s="830">
        <v>87824</v>
      </c>
      <c r="B6690" s="831" t="s">
        <v>11111</v>
      </c>
      <c r="C6690" s="830" t="s">
        <v>252</v>
      </c>
      <c r="D6690" s="832">
        <v>170.3</v>
      </c>
    </row>
    <row r="6691" spans="1:4" x14ac:dyDescent="0.3">
      <c r="A6691" s="830">
        <v>87825</v>
      </c>
      <c r="B6691" s="831" t="s">
        <v>11112</v>
      </c>
      <c r="C6691" s="830" t="s">
        <v>252</v>
      </c>
      <c r="D6691" s="832">
        <v>82.98</v>
      </c>
    </row>
    <row r="6692" spans="1:4" x14ac:dyDescent="0.3">
      <c r="A6692" s="830">
        <v>87827</v>
      </c>
      <c r="B6692" s="831" t="s">
        <v>11113</v>
      </c>
      <c r="C6692" s="830" t="s">
        <v>252</v>
      </c>
      <c r="D6692" s="832">
        <v>87.65</v>
      </c>
    </row>
    <row r="6693" spans="1:4" x14ac:dyDescent="0.3">
      <c r="A6693" s="830">
        <v>87828</v>
      </c>
      <c r="B6693" s="831" t="s">
        <v>11114</v>
      </c>
      <c r="C6693" s="830" t="s">
        <v>252</v>
      </c>
      <c r="D6693" s="832">
        <v>107.2</v>
      </c>
    </row>
    <row r="6694" spans="1:4" x14ac:dyDescent="0.3">
      <c r="A6694" s="830">
        <v>87829</v>
      </c>
      <c r="B6694" s="831" t="s">
        <v>11115</v>
      </c>
      <c r="C6694" s="830" t="s">
        <v>252</v>
      </c>
      <c r="D6694" s="832">
        <v>100.86</v>
      </c>
    </row>
    <row r="6695" spans="1:4" x14ac:dyDescent="0.3">
      <c r="A6695" s="830">
        <v>87831</v>
      </c>
      <c r="B6695" s="831" t="s">
        <v>11116</v>
      </c>
      <c r="C6695" s="830" t="s">
        <v>252</v>
      </c>
      <c r="D6695" s="832">
        <v>107.13</v>
      </c>
    </row>
    <row r="6696" spans="1:4" x14ac:dyDescent="0.3">
      <c r="A6696" s="830">
        <v>87832</v>
      </c>
      <c r="B6696" s="831" t="s">
        <v>11117</v>
      </c>
      <c r="C6696" s="830" t="s">
        <v>252</v>
      </c>
      <c r="D6696" s="832">
        <v>134.24</v>
      </c>
    </row>
    <row r="6697" spans="1:4" x14ac:dyDescent="0.3">
      <c r="A6697" s="830">
        <v>87838</v>
      </c>
      <c r="B6697" s="831" t="s">
        <v>11118</v>
      </c>
      <c r="C6697" s="830" t="s">
        <v>252</v>
      </c>
      <c r="D6697" s="832">
        <v>176.41</v>
      </c>
    </row>
    <row r="6698" spans="1:4" x14ac:dyDescent="0.3">
      <c r="A6698" s="830">
        <v>87839</v>
      </c>
      <c r="B6698" s="831" t="s">
        <v>11119</v>
      </c>
      <c r="C6698" s="830" t="s">
        <v>252</v>
      </c>
      <c r="D6698" s="832">
        <v>127.68</v>
      </c>
    </row>
    <row r="6699" spans="1:4" x14ac:dyDescent="0.3">
      <c r="A6699" s="830">
        <v>87840</v>
      </c>
      <c r="B6699" s="831" t="s">
        <v>11120</v>
      </c>
      <c r="C6699" s="830" t="s">
        <v>252</v>
      </c>
      <c r="D6699" s="832">
        <v>169.79</v>
      </c>
    </row>
    <row r="6700" spans="1:4" x14ac:dyDescent="0.3">
      <c r="A6700" s="830">
        <v>87841</v>
      </c>
      <c r="B6700" s="831" t="s">
        <v>11121</v>
      </c>
      <c r="C6700" s="830" t="s">
        <v>252</v>
      </c>
      <c r="D6700" s="832">
        <v>121.37</v>
      </c>
    </row>
    <row r="6701" spans="1:4" x14ac:dyDescent="0.3">
      <c r="A6701" s="830">
        <v>87850</v>
      </c>
      <c r="B6701" s="831" t="s">
        <v>11122</v>
      </c>
      <c r="C6701" s="830" t="s">
        <v>252</v>
      </c>
      <c r="D6701" s="832">
        <v>191.54</v>
      </c>
    </row>
    <row r="6702" spans="1:4" x14ac:dyDescent="0.3">
      <c r="A6702" s="830">
        <v>87851</v>
      </c>
      <c r="B6702" s="831" t="s">
        <v>11123</v>
      </c>
      <c r="C6702" s="830" t="s">
        <v>252</v>
      </c>
      <c r="D6702" s="832">
        <v>142.82</v>
      </c>
    </row>
    <row r="6703" spans="1:4" x14ac:dyDescent="0.3">
      <c r="A6703" s="830">
        <v>87852</v>
      </c>
      <c r="B6703" s="831" t="s">
        <v>11124</v>
      </c>
      <c r="C6703" s="830" t="s">
        <v>252</v>
      </c>
      <c r="D6703" s="832">
        <v>184.43</v>
      </c>
    </row>
    <row r="6704" spans="1:4" x14ac:dyDescent="0.3">
      <c r="A6704" s="830">
        <v>87853</v>
      </c>
      <c r="B6704" s="831" t="s">
        <v>11125</v>
      </c>
      <c r="C6704" s="830" t="s">
        <v>252</v>
      </c>
      <c r="D6704" s="832">
        <v>136.01</v>
      </c>
    </row>
    <row r="6705" spans="1:4" x14ac:dyDescent="0.3">
      <c r="A6705" s="830">
        <v>90406</v>
      </c>
      <c r="B6705" s="831" t="s">
        <v>11126</v>
      </c>
      <c r="C6705" s="830" t="s">
        <v>252</v>
      </c>
      <c r="D6705" s="832">
        <v>50.11</v>
      </c>
    </row>
    <row r="6706" spans="1:4" x14ac:dyDescent="0.3">
      <c r="A6706" s="830">
        <v>90408</v>
      </c>
      <c r="B6706" s="831" t="s">
        <v>11127</v>
      </c>
      <c r="C6706" s="830" t="s">
        <v>252</v>
      </c>
      <c r="D6706" s="832">
        <v>37.08</v>
      </c>
    </row>
    <row r="6707" spans="1:4" x14ac:dyDescent="0.3">
      <c r="A6707" s="830">
        <v>104203</v>
      </c>
      <c r="B6707" s="831" t="s">
        <v>11128</v>
      </c>
      <c r="C6707" s="830" t="s">
        <v>252</v>
      </c>
      <c r="D6707" s="832">
        <v>66.45</v>
      </c>
    </row>
    <row r="6708" spans="1:4" x14ac:dyDescent="0.3">
      <c r="A6708" s="830">
        <v>104204</v>
      </c>
      <c r="B6708" s="831" t="s">
        <v>11129</v>
      </c>
      <c r="C6708" s="830" t="s">
        <v>252</v>
      </c>
      <c r="D6708" s="832">
        <v>86.09</v>
      </c>
    </row>
    <row r="6709" spans="1:4" x14ac:dyDescent="0.3">
      <c r="A6709" s="830">
        <v>104205</v>
      </c>
      <c r="B6709" s="831" t="s">
        <v>11130</v>
      </c>
      <c r="C6709" s="830" t="s">
        <v>252</v>
      </c>
      <c r="D6709" s="832">
        <v>94.66</v>
      </c>
    </row>
    <row r="6710" spans="1:4" x14ac:dyDescent="0.3">
      <c r="A6710" s="830">
        <v>104206</v>
      </c>
      <c r="B6710" s="831" t="s">
        <v>11131</v>
      </c>
      <c r="C6710" s="830" t="s">
        <v>252</v>
      </c>
      <c r="D6710" s="832">
        <v>104.58</v>
      </c>
    </row>
    <row r="6711" spans="1:4" x14ac:dyDescent="0.3">
      <c r="A6711" s="830">
        <v>104207</v>
      </c>
      <c r="B6711" s="831" t="s">
        <v>11132</v>
      </c>
      <c r="C6711" s="830" t="s">
        <v>252</v>
      </c>
      <c r="D6711" s="832">
        <v>49.68</v>
      </c>
    </row>
    <row r="6712" spans="1:4" x14ac:dyDescent="0.3">
      <c r="A6712" s="830">
        <v>104208</v>
      </c>
      <c r="B6712" s="831" t="s">
        <v>11133</v>
      </c>
      <c r="C6712" s="830" t="s">
        <v>252</v>
      </c>
      <c r="D6712" s="832">
        <v>68.73</v>
      </c>
    </row>
    <row r="6713" spans="1:4" x14ac:dyDescent="0.3">
      <c r="A6713" s="830">
        <v>104209</v>
      </c>
      <c r="B6713" s="831" t="s">
        <v>11134</v>
      </c>
      <c r="C6713" s="830" t="s">
        <v>252</v>
      </c>
      <c r="D6713" s="832">
        <v>76.790000000000006</v>
      </c>
    </row>
    <row r="6714" spans="1:4" x14ac:dyDescent="0.3">
      <c r="A6714" s="830">
        <v>104210</v>
      </c>
      <c r="B6714" s="831" t="s">
        <v>11135</v>
      </c>
      <c r="C6714" s="830" t="s">
        <v>252</v>
      </c>
      <c r="D6714" s="832">
        <v>79.930000000000007</v>
      </c>
    </row>
    <row r="6715" spans="1:4" x14ac:dyDescent="0.3">
      <c r="A6715" s="830">
        <v>104211</v>
      </c>
      <c r="B6715" s="831" t="s">
        <v>11136</v>
      </c>
      <c r="C6715" s="830" t="s">
        <v>252</v>
      </c>
      <c r="D6715" s="832">
        <v>93.5</v>
      </c>
    </row>
    <row r="6716" spans="1:4" x14ac:dyDescent="0.3">
      <c r="A6716" s="830">
        <v>104212</v>
      </c>
      <c r="B6716" s="831" t="s">
        <v>11137</v>
      </c>
      <c r="C6716" s="830" t="s">
        <v>252</v>
      </c>
      <c r="D6716" s="832">
        <v>112.62</v>
      </c>
    </row>
    <row r="6717" spans="1:4" x14ac:dyDescent="0.3">
      <c r="A6717" s="830">
        <v>104213</v>
      </c>
      <c r="B6717" s="831" t="s">
        <v>11138</v>
      </c>
      <c r="C6717" s="830" t="s">
        <v>252</v>
      </c>
      <c r="D6717" s="832">
        <v>120.67</v>
      </c>
    </row>
    <row r="6718" spans="1:4" x14ac:dyDescent="0.3">
      <c r="A6718" s="830">
        <v>104214</v>
      </c>
      <c r="B6718" s="831" t="s">
        <v>11139</v>
      </c>
      <c r="C6718" s="830" t="s">
        <v>252</v>
      </c>
      <c r="D6718" s="832">
        <v>143.65</v>
      </c>
    </row>
    <row r="6719" spans="1:4" x14ac:dyDescent="0.3">
      <c r="A6719" s="830">
        <v>104215</v>
      </c>
      <c r="B6719" s="831" t="s">
        <v>11140</v>
      </c>
      <c r="C6719" s="830" t="s">
        <v>252</v>
      </c>
      <c r="D6719" s="832">
        <v>88.14</v>
      </c>
    </row>
    <row r="6720" spans="1:4" x14ac:dyDescent="0.3">
      <c r="A6720" s="830">
        <v>104216</v>
      </c>
      <c r="B6720" s="831" t="s">
        <v>11141</v>
      </c>
      <c r="C6720" s="830" t="s">
        <v>252</v>
      </c>
      <c r="D6720" s="832">
        <v>107.23</v>
      </c>
    </row>
    <row r="6721" spans="1:4" x14ac:dyDescent="0.3">
      <c r="A6721" s="830">
        <v>104217</v>
      </c>
      <c r="B6721" s="831" t="s">
        <v>11142</v>
      </c>
      <c r="C6721" s="830" t="s">
        <v>252</v>
      </c>
      <c r="D6721" s="832">
        <v>58.31</v>
      </c>
    </row>
    <row r="6722" spans="1:4" x14ac:dyDescent="0.3">
      <c r="A6722" s="830">
        <v>104218</v>
      </c>
      <c r="B6722" s="831" t="s">
        <v>11143</v>
      </c>
      <c r="C6722" s="830" t="s">
        <v>252</v>
      </c>
      <c r="D6722" s="832">
        <v>62.4</v>
      </c>
    </row>
    <row r="6723" spans="1:4" x14ac:dyDescent="0.3">
      <c r="A6723" s="830">
        <v>104219</v>
      </c>
      <c r="B6723" s="831" t="s">
        <v>11144</v>
      </c>
      <c r="C6723" s="830" t="s">
        <v>252</v>
      </c>
      <c r="D6723" s="832">
        <v>80.989999999999995</v>
      </c>
    </row>
    <row r="6724" spans="1:4" x14ac:dyDescent="0.3">
      <c r="A6724" s="830">
        <v>104220</v>
      </c>
      <c r="B6724" s="831" t="s">
        <v>11145</v>
      </c>
      <c r="C6724" s="830" t="s">
        <v>252</v>
      </c>
      <c r="D6724" s="832">
        <v>62.01</v>
      </c>
    </row>
    <row r="6725" spans="1:4" x14ac:dyDescent="0.3">
      <c r="A6725" s="830">
        <v>104221</v>
      </c>
      <c r="B6725" s="831" t="s">
        <v>11146</v>
      </c>
      <c r="C6725" s="830" t="s">
        <v>252</v>
      </c>
      <c r="D6725" s="832">
        <v>75.349999999999994</v>
      </c>
    </row>
    <row r="6726" spans="1:4" x14ac:dyDescent="0.3">
      <c r="A6726" s="830">
        <v>104222</v>
      </c>
      <c r="B6726" s="831" t="s">
        <v>11147</v>
      </c>
      <c r="C6726" s="830" t="s">
        <v>252</v>
      </c>
      <c r="D6726" s="832">
        <v>80.83</v>
      </c>
    </row>
    <row r="6727" spans="1:4" x14ac:dyDescent="0.3">
      <c r="A6727" s="830">
        <v>104223</v>
      </c>
      <c r="B6727" s="831" t="s">
        <v>11148</v>
      </c>
      <c r="C6727" s="830" t="s">
        <v>252</v>
      </c>
      <c r="D6727" s="832">
        <v>105.97</v>
      </c>
    </row>
    <row r="6728" spans="1:4" x14ac:dyDescent="0.3">
      <c r="A6728" s="830">
        <v>104224</v>
      </c>
      <c r="B6728" s="831" t="s">
        <v>11149</v>
      </c>
      <c r="C6728" s="830" t="s">
        <v>252</v>
      </c>
      <c r="D6728" s="832">
        <v>80.319999999999993</v>
      </c>
    </row>
    <row r="6729" spans="1:4" x14ac:dyDescent="0.3">
      <c r="A6729" s="830">
        <v>104225</v>
      </c>
      <c r="B6729" s="831" t="s">
        <v>11150</v>
      </c>
      <c r="C6729" s="830" t="s">
        <v>252</v>
      </c>
      <c r="D6729" s="832">
        <v>83.24</v>
      </c>
    </row>
    <row r="6730" spans="1:4" x14ac:dyDescent="0.3">
      <c r="A6730" s="830">
        <v>104226</v>
      </c>
      <c r="B6730" s="831" t="s">
        <v>11151</v>
      </c>
      <c r="C6730" s="830" t="s">
        <v>252</v>
      </c>
      <c r="D6730" s="832">
        <v>90.12</v>
      </c>
    </row>
    <row r="6731" spans="1:4" x14ac:dyDescent="0.3">
      <c r="A6731" s="830">
        <v>104227</v>
      </c>
      <c r="B6731" s="831" t="s">
        <v>11152</v>
      </c>
      <c r="C6731" s="830" t="s">
        <v>252</v>
      </c>
      <c r="D6731" s="832">
        <v>122.59</v>
      </c>
    </row>
    <row r="6732" spans="1:4" x14ac:dyDescent="0.3">
      <c r="A6732" s="830">
        <v>104228</v>
      </c>
      <c r="B6732" s="831" t="s">
        <v>11153</v>
      </c>
      <c r="C6732" s="830" t="s">
        <v>252</v>
      </c>
      <c r="D6732" s="832">
        <v>88.89</v>
      </c>
    </row>
    <row r="6733" spans="1:4" x14ac:dyDescent="0.3">
      <c r="A6733" s="830">
        <v>104229</v>
      </c>
      <c r="B6733" s="831" t="s">
        <v>11154</v>
      </c>
      <c r="C6733" s="830" t="s">
        <v>252</v>
      </c>
      <c r="D6733" s="832">
        <v>97.61</v>
      </c>
    </row>
    <row r="6734" spans="1:4" x14ac:dyDescent="0.3">
      <c r="A6734" s="830">
        <v>104230</v>
      </c>
      <c r="B6734" s="831" t="s">
        <v>11155</v>
      </c>
      <c r="C6734" s="830" t="s">
        <v>252</v>
      </c>
      <c r="D6734" s="832">
        <v>105.17</v>
      </c>
    </row>
    <row r="6735" spans="1:4" x14ac:dyDescent="0.3">
      <c r="A6735" s="830">
        <v>104231</v>
      </c>
      <c r="B6735" s="831" t="s">
        <v>11156</v>
      </c>
      <c r="C6735" s="830" t="s">
        <v>252</v>
      </c>
      <c r="D6735" s="832">
        <v>135.18</v>
      </c>
    </row>
    <row r="6736" spans="1:4" x14ac:dyDescent="0.3">
      <c r="A6736" s="830">
        <v>104232</v>
      </c>
      <c r="B6736" s="831" t="s">
        <v>11157</v>
      </c>
      <c r="C6736" s="830" t="s">
        <v>252</v>
      </c>
      <c r="D6736" s="832">
        <v>98.22</v>
      </c>
    </row>
    <row r="6737" spans="1:4" x14ac:dyDescent="0.3">
      <c r="A6737" s="830">
        <v>104233</v>
      </c>
      <c r="B6737" s="831" t="s">
        <v>11158</v>
      </c>
      <c r="C6737" s="830" t="s">
        <v>252</v>
      </c>
      <c r="D6737" s="832">
        <v>44.12</v>
      </c>
    </row>
    <row r="6738" spans="1:4" x14ac:dyDescent="0.3">
      <c r="A6738" s="830">
        <v>104234</v>
      </c>
      <c r="B6738" s="831" t="s">
        <v>11159</v>
      </c>
      <c r="C6738" s="830" t="s">
        <v>252</v>
      </c>
      <c r="D6738" s="832">
        <v>47.94</v>
      </c>
    </row>
    <row r="6739" spans="1:4" x14ac:dyDescent="0.3">
      <c r="A6739" s="830">
        <v>104235</v>
      </c>
      <c r="B6739" s="831" t="s">
        <v>11160</v>
      </c>
      <c r="C6739" s="830" t="s">
        <v>252</v>
      </c>
      <c r="D6739" s="832">
        <v>66.19</v>
      </c>
    </row>
    <row r="6740" spans="1:4" x14ac:dyDescent="0.3">
      <c r="A6740" s="830">
        <v>104236</v>
      </c>
      <c r="B6740" s="831" t="s">
        <v>11161</v>
      </c>
      <c r="C6740" s="830" t="s">
        <v>252</v>
      </c>
      <c r="D6740" s="832">
        <v>46.95</v>
      </c>
    </row>
    <row r="6741" spans="1:4" x14ac:dyDescent="0.3">
      <c r="A6741" s="830">
        <v>104237</v>
      </c>
      <c r="B6741" s="831" t="s">
        <v>11162</v>
      </c>
      <c r="C6741" s="830" t="s">
        <v>252</v>
      </c>
      <c r="D6741" s="832">
        <v>60.7</v>
      </c>
    </row>
    <row r="6742" spans="1:4" x14ac:dyDescent="0.3">
      <c r="A6742" s="830">
        <v>104238</v>
      </c>
      <c r="B6742" s="831" t="s">
        <v>11163</v>
      </c>
      <c r="C6742" s="830" t="s">
        <v>252</v>
      </c>
      <c r="D6742" s="832">
        <v>65.819999999999993</v>
      </c>
    </row>
    <row r="6743" spans="1:4" x14ac:dyDescent="0.3">
      <c r="A6743" s="830">
        <v>104239</v>
      </c>
      <c r="B6743" s="831" t="s">
        <v>11164</v>
      </c>
      <c r="C6743" s="830" t="s">
        <v>252</v>
      </c>
      <c r="D6743" s="832">
        <v>90.13</v>
      </c>
    </row>
    <row r="6744" spans="1:4" x14ac:dyDescent="0.3">
      <c r="A6744" s="830">
        <v>104240</v>
      </c>
      <c r="B6744" s="831" t="s">
        <v>11165</v>
      </c>
      <c r="C6744" s="830" t="s">
        <v>252</v>
      </c>
      <c r="D6744" s="832">
        <v>64.8</v>
      </c>
    </row>
    <row r="6745" spans="1:4" x14ac:dyDescent="0.3">
      <c r="A6745" s="830">
        <v>104241</v>
      </c>
      <c r="B6745" s="831" t="s">
        <v>11166</v>
      </c>
      <c r="C6745" s="830" t="s">
        <v>252</v>
      </c>
      <c r="D6745" s="832">
        <v>68.08</v>
      </c>
    </row>
    <row r="6746" spans="1:4" x14ac:dyDescent="0.3">
      <c r="A6746" s="830">
        <v>104242</v>
      </c>
      <c r="B6746" s="831" t="s">
        <v>11167</v>
      </c>
      <c r="C6746" s="830" t="s">
        <v>252</v>
      </c>
      <c r="D6746" s="832">
        <v>74.5</v>
      </c>
    </row>
    <row r="6747" spans="1:4" x14ac:dyDescent="0.3">
      <c r="A6747" s="830">
        <v>104243</v>
      </c>
      <c r="B6747" s="831" t="s">
        <v>11168</v>
      </c>
      <c r="C6747" s="830" t="s">
        <v>252</v>
      </c>
      <c r="D6747" s="832">
        <v>105.66</v>
      </c>
    </row>
    <row r="6748" spans="1:4" x14ac:dyDescent="0.3">
      <c r="A6748" s="830">
        <v>104244</v>
      </c>
      <c r="B6748" s="831" t="s">
        <v>11169</v>
      </c>
      <c r="C6748" s="830" t="s">
        <v>252</v>
      </c>
      <c r="D6748" s="832">
        <v>72.86</v>
      </c>
    </row>
    <row r="6749" spans="1:4" x14ac:dyDescent="0.3">
      <c r="A6749" s="830">
        <v>104245</v>
      </c>
      <c r="B6749" s="831" t="s">
        <v>11170</v>
      </c>
      <c r="C6749" s="830" t="s">
        <v>252</v>
      </c>
      <c r="D6749" s="832">
        <v>74.38</v>
      </c>
    </row>
    <row r="6750" spans="1:4" x14ac:dyDescent="0.3">
      <c r="A6750" s="830">
        <v>104246</v>
      </c>
      <c r="B6750" s="831" t="s">
        <v>11171</v>
      </c>
      <c r="C6750" s="830" t="s">
        <v>252</v>
      </c>
      <c r="D6750" s="832">
        <v>81.459999999999994</v>
      </c>
    </row>
    <row r="6751" spans="1:4" x14ac:dyDescent="0.3">
      <c r="A6751" s="830">
        <v>104247</v>
      </c>
      <c r="B6751" s="831" t="s">
        <v>11172</v>
      </c>
      <c r="C6751" s="830" t="s">
        <v>252</v>
      </c>
      <c r="D6751" s="832">
        <v>112.77</v>
      </c>
    </row>
    <row r="6752" spans="1:4" x14ac:dyDescent="0.3">
      <c r="A6752" s="830">
        <v>104248</v>
      </c>
      <c r="B6752" s="831" t="s">
        <v>11173</v>
      </c>
      <c r="C6752" s="830" t="s">
        <v>252</v>
      </c>
      <c r="D6752" s="832">
        <v>76.12</v>
      </c>
    </row>
    <row r="6753" spans="1:4" x14ac:dyDescent="0.3">
      <c r="A6753" s="830">
        <v>104249</v>
      </c>
      <c r="B6753" s="831" t="s">
        <v>11174</v>
      </c>
      <c r="C6753" s="830" t="s">
        <v>252</v>
      </c>
      <c r="D6753" s="832">
        <v>80.23</v>
      </c>
    </row>
    <row r="6754" spans="1:4" x14ac:dyDescent="0.3">
      <c r="A6754" s="830">
        <v>104250</v>
      </c>
      <c r="B6754" s="831" t="s">
        <v>11175</v>
      </c>
      <c r="C6754" s="830" t="s">
        <v>252</v>
      </c>
      <c r="D6754" s="832">
        <v>84.05</v>
      </c>
    </row>
    <row r="6755" spans="1:4" x14ac:dyDescent="0.3">
      <c r="A6755" s="830">
        <v>104251</v>
      </c>
      <c r="B6755" s="831" t="s">
        <v>11176</v>
      </c>
      <c r="C6755" s="830" t="s">
        <v>252</v>
      </c>
      <c r="D6755" s="832">
        <v>98.86</v>
      </c>
    </row>
    <row r="6756" spans="1:4" x14ac:dyDescent="0.3">
      <c r="A6756" s="830">
        <v>104252</v>
      </c>
      <c r="B6756" s="831" t="s">
        <v>11177</v>
      </c>
      <c r="C6756" s="830" t="s">
        <v>252</v>
      </c>
      <c r="D6756" s="832">
        <v>85.49</v>
      </c>
    </row>
    <row r="6757" spans="1:4" x14ac:dyDescent="0.3">
      <c r="A6757" s="830">
        <v>104253</v>
      </c>
      <c r="B6757" s="831" t="s">
        <v>11178</v>
      </c>
      <c r="C6757" s="830" t="s">
        <v>252</v>
      </c>
      <c r="D6757" s="832">
        <v>96.81</v>
      </c>
    </row>
    <row r="6758" spans="1:4" x14ac:dyDescent="0.3">
      <c r="A6758" s="830">
        <v>104254</v>
      </c>
      <c r="B6758" s="831" t="s">
        <v>11179</v>
      </c>
      <c r="C6758" s="830" t="s">
        <v>252</v>
      </c>
      <c r="D6758" s="832">
        <v>101.93</v>
      </c>
    </row>
    <row r="6759" spans="1:4" x14ac:dyDescent="0.3">
      <c r="A6759" s="830">
        <v>104255</v>
      </c>
      <c r="B6759" s="831" t="s">
        <v>11180</v>
      </c>
      <c r="C6759" s="830" t="s">
        <v>252</v>
      </c>
      <c r="D6759" s="832">
        <v>122.8</v>
      </c>
    </row>
    <row r="6760" spans="1:4" x14ac:dyDescent="0.3">
      <c r="A6760" s="830">
        <v>104256</v>
      </c>
      <c r="B6760" s="831" t="s">
        <v>11181</v>
      </c>
      <c r="C6760" s="830" t="s">
        <v>252</v>
      </c>
      <c r="D6760" s="832">
        <v>103.35</v>
      </c>
    </row>
    <row r="6761" spans="1:4" x14ac:dyDescent="0.3">
      <c r="A6761" s="830">
        <v>104257</v>
      </c>
      <c r="B6761" s="831" t="s">
        <v>11182</v>
      </c>
      <c r="C6761" s="830" t="s">
        <v>252</v>
      </c>
      <c r="D6761" s="832">
        <v>104.19</v>
      </c>
    </row>
    <row r="6762" spans="1:4" x14ac:dyDescent="0.3">
      <c r="A6762" s="830">
        <v>104258</v>
      </c>
      <c r="B6762" s="831" t="s">
        <v>11183</v>
      </c>
      <c r="C6762" s="830" t="s">
        <v>252</v>
      </c>
      <c r="D6762" s="832">
        <v>110.61</v>
      </c>
    </row>
    <row r="6763" spans="1:4" x14ac:dyDescent="0.3">
      <c r="A6763" s="830">
        <v>104259</v>
      </c>
      <c r="B6763" s="831" t="s">
        <v>11184</v>
      </c>
      <c r="C6763" s="830" t="s">
        <v>252</v>
      </c>
      <c r="D6763" s="832">
        <v>138.33000000000001</v>
      </c>
    </row>
    <row r="6764" spans="1:4" x14ac:dyDescent="0.3">
      <c r="A6764" s="830">
        <v>104260</v>
      </c>
      <c r="B6764" s="831" t="s">
        <v>11185</v>
      </c>
      <c r="C6764" s="830" t="s">
        <v>252</v>
      </c>
      <c r="D6764" s="832">
        <v>111.4</v>
      </c>
    </row>
    <row r="6765" spans="1:4" x14ac:dyDescent="0.3">
      <c r="A6765" s="830">
        <v>104261</v>
      </c>
      <c r="B6765" s="831" t="s">
        <v>11186</v>
      </c>
      <c r="C6765" s="830" t="s">
        <v>252</v>
      </c>
      <c r="D6765" s="832">
        <v>133.91999999999999</v>
      </c>
    </row>
    <row r="6766" spans="1:4" x14ac:dyDescent="0.3">
      <c r="A6766" s="830">
        <v>104262</v>
      </c>
      <c r="B6766" s="831" t="s">
        <v>11187</v>
      </c>
      <c r="C6766" s="830" t="s">
        <v>252</v>
      </c>
      <c r="D6766" s="832">
        <v>141</v>
      </c>
    </row>
    <row r="6767" spans="1:4" x14ac:dyDescent="0.3">
      <c r="A6767" s="830">
        <v>104263</v>
      </c>
      <c r="B6767" s="831" t="s">
        <v>11188</v>
      </c>
      <c r="C6767" s="830" t="s">
        <v>252</v>
      </c>
      <c r="D6767" s="832">
        <v>160.47999999999999</v>
      </c>
    </row>
    <row r="6768" spans="1:4" x14ac:dyDescent="0.3">
      <c r="A6768" s="830">
        <v>104264</v>
      </c>
      <c r="B6768" s="831" t="s">
        <v>11189</v>
      </c>
      <c r="C6768" s="830" t="s">
        <v>252</v>
      </c>
      <c r="D6768" s="832">
        <v>132.19999999999999</v>
      </c>
    </row>
    <row r="6769" spans="1:4" x14ac:dyDescent="0.3">
      <c r="A6769" s="830">
        <v>104627</v>
      </c>
      <c r="B6769" s="831" t="s">
        <v>11190</v>
      </c>
      <c r="C6769" s="830" t="s">
        <v>252</v>
      </c>
      <c r="D6769" s="832">
        <v>19.260000000000002</v>
      </c>
    </row>
    <row r="6770" spans="1:4" x14ac:dyDescent="0.3">
      <c r="A6770" s="830">
        <v>104628</v>
      </c>
      <c r="B6770" s="831" t="s">
        <v>11191</v>
      </c>
      <c r="C6770" s="830" t="s">
        <v>252</v>
      </c>
      <c r="D6770" s="832">
        <v>31.15</v>
      </c>
    </row>
    <row r="6771" spans="1:4" x14ac:dyDescent="0.3">
      <c r="A6771" s="830">
        <v>104629</v>
      </c>
      <c r="B6771" s="831" t="s">
        <v>11192</v>
      </c>
      <c r="C6771" s="830" t="s">
        <v>252</v>
      </c>
      <c r="D6771" s="832">
        <v>37.979999999999997</v>
      </c>
    </row>
    <row r="6772" spans="1:4" x14ac:dyDescent="0.3">
      <c r="A6772" s="830">
        <v>104630</v>
      </c>
      <c r="B6772" s="831" t="s">
        <v>11193</v>
      </c>
      <c r="C6772" s="830" t="s">
        <v>252</v>
      </c>
      <c r="D6772" s="832">
        <v>29.85</v>
      </c>
    </row>
    <row r="6773" spans="1:4" x14ac:dyDescent="0.3">
      <c r="A6773" s="830">
        <v>104631</v>
      </c>
      <c r="B6773" s="831" t="s">
        <v>11194</v>
      </c>
      <c r="C6773" s="830" t="s">
        <v>252</v>
      </c>
      <c r="D6773" s="832">
        <v>41.74</v>
      </c>
    </row>
    <row r="6774" spans="1:4" x14ac:dyDescent="0.3">
      <c r="A6774" s="830">
        <v>104632</v>
      </c>
      <c r="B6774" s="831" t="s">
        <v>11195</v>
      </c>
      <c r="C6774" s="830" t="s">
        <v>252</v>
      </c>
      <c r="D6774" s="832">
        <v>48.57</v>
      </c>
    </row>
    <row r="6775" spans="1:4" x14ac:dyDescent="0.3">
      <c r="A6775" s="830">
        <v>104633</v>
      </c>
      <c r="B6775" s="831" t="s">
        <v>11196</v>
      </c>
      <c r="C6775" s="830" t="s">
        <v>252</v>
      </c>
      <c r="D6775" s="832">
        <v>27.24</v>
      </c>
    </row>
    <row r="6776" spans="1:4" x14ac:dyDescent="0.3">
      <c r="A6776" s="830">
        <v>104634</v>
      </c>
      <c r="B6776" s="831" t="s">
        <v>11197</v>
      </c>
      <c r="C6776" s="830" t="s">
        <v>252</v>
      </c>
      <c r="D6776" s="832">
        <v>39.64</v>
      </c>
    </row>
    <row r="6777" spans="1:4" x14ac:dyDescent="0.3">
      <c r="A6777" s="830">
        <v>104635</v>
      </c>
      <c r="B6777" s="831" t="s">
        <v>11198</v>
      </c>
      <c r="C6777" s="830" t="s">
        <v>252</v>
      </c>
      <c r="D6777" s="832">
        <v>56.21</v>
      </c>
    </row>
    <row r="6778" spans="1:4" x14ac:dyDescent="0.3">
      <c r="A6778" s="830">
        <v>104636</v>
      </c>
      <c r="B6778" s="831" t="s">
        <v>11199</v>
      </c>
      <c r="C6778" s="830" t="s">
        <v>252</v>
      </c>
      <c r="D6778" s="832">
        <v>64.819999999999993</v>
      </c>
    </row>
    <row r="6779" spans="1:4" x14ac:dyDescent="0.3">
      <c r="A6779" s="830">
        <v>104951</v>
      </c>
      <c r="B6779" s="831" t="s">
        <v>11200</v>
      </c>
      <c r="C6779" s="830" t="s">
        <v>252</v>
      </c>
      <c r="D6779" s="832">
        <v>39.119999999999997</v>
      </c>
    </row>
    <row r="6780" spans="1:4" x14ac:dyDescent="0.3">
      <c r="A6780" s="830">
        <v>104952</v>
      </c>
      <c r="B6780" s="831" t="s">
        <v>11201</v>
      </c>
      <c r="C6780" s="830" t="s">
        <v>252</v>
      </c>
      <c r="D6780" s="832">
        <v>43.08</v>
      </c>
    </row>
    <row r="6781" spans="1:4" x14ac:dyDescent="0.3">
      <c r="A6781" s="830">
        <v>104953</v>
      </c>
      <c r="B6781" s="831" t="s">
        <v>11202</v>
      </c>
      <c r="C6781" s="830" t="s">
        <v>252</v>
      </c>
      <c r="D6781" s="832">
        <v>58.83</v>
      </c>
    </row>
    <row r="6782" spans="1:4" x14ac:dyDescent="0.3">
      <c r="A6782" s="830">
        <v>104954</v>
      </c>
      <c r="B6782" s="831" t="s">
        <v>11203</v>
      </c>
      <c r="C6782" s="830" t="s">
        <v>252</v>
      </c>
      <c r="D6782" s="832">
        <v>55.55</v>
      </c>
    </row>
    <row r="6783" spans="1:4" x14ac:dyDescent="0.3">
      <c r="A6783" s="830">
        <v>104955</v>
      </c>
      <c r="B6783" s="831" t="s">
        <v>11204</v>
      </c>
      <c r="C6783" s="830" t="s">
        <v>252</v>
      </c>
      <c r="D6783" s="832">
        <v>48.29</v>
      </c>
    </row>
    <row r="6784" spans="1:4" x14ac:dyDescent="0.3">
      <c r="A6784" s="830">
        <v>104956</v>
      </c>
      <c r="B6784" s="831" t="s">
        <v>11205</v>
      </c>
      <c r="C6784" s="830" t="s">
        <v>252</v>
      </c>
      <c r="D6784" s="832">
        <v>52.25</v>
      </c>
    </row>
    <row r="6785" spans="1:4" x14ac:dyDescent="0.3">
      <c r="A6785" s="830">
        <v>104957</v>
      </c>
      <c r="B6785" s="831" t="s">
        <v>11206</v>
      </c>
      <c r="C6785" s="830" t="s">
        <v>252</v>
      </c>
      <c r="D6785" s="832">
        <v>47.19</v>
      </c>
    </row>
    <row r="6786" spans="1:4" x14ac:dyDescent="0.3">
      <c r="A6786" s="830">
        <v>104958</v>
      </c>
      <c r="B6786" s="831" t="s">
        <v>11207</v>
      </c>
      <c r="C6786" s="830" t="s">
        <v>252</v>
      </c>
      <c r="D6786" s="832">
        <v>27</v>
      </c>
    </row>
    <row r="6787" spans="1:4" x14ac:dyDescent="0.3">
      <c r="A6787" s="830">
        <v>104959</v>
      </c>
      <c r="B6787" s="831" t="s">
        <v>11208</v>
      </c>
      <c r="C6787" s="830" t="s">
        <v>252</v>
      </c>
      <c r="D6787" s="832">
        <v>29.53</v>
      </c>
    </row>
    <row r="6788" spans="1:4" x14ac:dyDescent="0.3">
      <c r="A6788" s="830">
        <v>104960</v>
      </c>
      <c r="B6788" s="831" t="s">
        <v>11209</v>
      </c>
      <c r="C6788" s="830" t="s">
        <v>252</v>
      </c>
      <c r="D6788" s="832">
        <v>38.56</v>
      </c>
    </row>
    <row r="6789" spans="1:4" x14ac:dyDescent="0.3">
      <c r="A6789" s="830">
        <v>104961</v>
      </c>
      <c r="B6789" s="831" t="s">
        <v>11210</v>
      </c>
      <c r="C6789" s="830" t="s">
        <v>252</v>
      </c>
      <c r="D6789" s="832">
        <v>58.97</v>
      </c>
    </row>
    <row r="6790" spans="1:4" x14ac:dyDescent="0.3">
      <c r="A6790" s="830">
        <v>104962</v>
      </c>
      <c r="B6790" s="831" t="s">
        <v>11211</v>
      </c>
      <c r="C6790" s="830" t="s">
        <v>252</v>
      </c>
      <c r="D6790" s="832">
        <v>62.93</v>
      </c>
    </row>
    <row r="6791" spans="1:4" x14ac:dyDescent="0.3">
      <c r="A6791" s="830">
        <v>104963</v>
      </c>
      <c r="B6791" s="831" t="s">
        <v>11212</v>
      </c>
      <c r="C6791" s="830" t="s">
        <v>252</v>
      </c>
      <c r="D6791" s="832">
        <v>53.73</v>
      </c>
    </row>
    <row r="6792" spans="1:4" x14ac:dyDescent="0.3">
      <c r="A6792" s="830">
        <v>104964</v>
      </c>
      <c r="B6792" s="831" t="s">
        <v>11213</v>
      </c>
      <c r="C6792" s="830" t="s">
        <v>252</v>
      </c>
      <c r="D6792" s="832">
        <v>57.69</v>
      </c>
    </row>
    <row r="6793" spans="1:4" x14ac:dyDescent="0.3">
      <c r="A6793" s="830">
        <v>104965</v>
      </c>
      <c r="B6793" s="831" t="s">
        <v>11214</v>
      </c>
      <c r="C6793" s="830" t="s">
        <v>252</v>
      </c>
      <c r="D6793" s="832">
        <v>51.59</v>
      </c>
    </row>
    <row r="6794" spans="1:4" x14ac:dyDescent="0.3">
      <c r="A6794" s="830">
        <v>104966</v>
      </c>
      <c r="B6794" s="831" t="s">
        <v>11215</v>
      </c>
      <c r="C6794" s="830" t="s">
        <v>252</v>
      </c>
      <c r="D6794" s="832">
        <v>51.15</v>
      </c>
    </row>
    <row r="6795" spans="1:4" x14ac:dyDescent="0.3">
      <c r="A6795" s="830">
        <v>104967</v>
      </c>
      <c r="B6795" s="831" t="s">
        <v>11216</v>
      </c>
      <c r="C6795" s="830" t="s">
        <v>252</v>
      </c>
      <c r="D6795" s="832">
        <v>44.66</v>
      </c>
    </row>
    <row r="6796" spans="1:4" x14ac:dyDescent="0.3">
      <c r="A6796" s="830">
        <v>104968</v>
      </c>
      <c r="B6796" s="831" t="s">
        <v>11217</v>
      </c>
      <c r="C6796" s="830" t="s">
        <v>252</v>
      </c>
      <c r="D6796" s="832">
        <v>47.19</v>
      </c>
    </row>
    <row r="6797" spans="1:4" x14ac:dyDescent="0.3">
      <c r="A6797" s="830">
        <v>104969</v>
      </c>
      <c r="B6797" s="831" t="s">
        <v>11218</v>
      </c>
      <c r="C6797" s="830" t="s">
        <v>252</v>
      </c>
      <c r="D6797" s="832">
        <v>39.409999999999997</v>
      </c>
    </row>
    <row r="6798" spans="1:4" x14ac:dyDescent="0.3">
      <c r="A6798" s="830">
        <v>104970</v>
      </c>
      <c r="B6798" s="831" t="s">
        <v>11219</v>
      </c>
      <c r="C6798" s="830" t="s">
        <v>252</v>
      </c>
      <c r="D6798" s="832">
        <v>41.94</v>
      </c>
    </row>
    <row r="6799" spans="1:4" x14ac:dyDescent="0.3">
      <c r="A6799" s="830">
        <v>104971</v>
      </c>
      <c r="B6799" s="831" t="s">
        <v>11220</v>
      </c>
      <c r="C6799" s="830" t="s">
        <v>252</v>
      </c>
      <c r="D6799" s="832">
        <v>37.29</v>
      </c>
    </row>
    <row r="6800" spans="1:4" x14ac:dyDescent="0.3">
      <c r="A6800" s="830">
        <v>104972</v>
      </c>
      <c r="B6800" s="831" t="s">
        <v>11221</v>
      </c>
      <c r="C6800" s="830" t="s">
        <v>252</v>
      </c>
      <c r="D6800" s="832">
        <v>39.82</v>
      </c>
    </row>
    <row r="6801" spans="1:4" x14ac:dyDescent="0.3">
      <c r="A6801" s="830">
        <v>104973</v>
      </c>
      <c r="B6801" s="831" t="s">
        <v>11222</v>
      </c>
      <c r="C6801" s="830" t="s">
        <v>252</v>
      </c>
      <c r="D6801" s="832">
        <v>33.99</v>
      </c>
    </row>
    <row r="6802" spans="1:4" x14ac:dyDescent="0.3">
      <c r="A6802" s="830">
        <v>104974</v>
      </c>
      <c r="B6802" s="831" t="s">
        <v>11223</v>
      </c>
      <c r="C6802" s="830" t="s">
        <v>252</v>
      </c>
      <c r="D6802" s="832">
        <v>36.520000000000003</v>
      </c>
    </row>
    <row r="6803" spans="1:4" x14ac:dyDescent="0.3">
      <c r="A6803" s="830">
        <v>104975</v>
      </c>
      <c r="B6803" s="831" t="s">
        <v>11224</v>
      </c>
      <c r="C6803" s="830" t="s">
        <v>252</v>
      </c>
      <c r="D6803" s="832">
        <v>32.89</v>
      </c>
    </row>
    <row r="6804" spans="1:4" x14ac:dyDescent="0.3">
      <c r="A6804" s="830">
        <v>104976</v>
      </c>
      <c r="B6804" s="831" t="s">
        <v>11225</v>
      </c>
      <c r="C6804" s="830" t="s">
        <v>252</v>
      </c>
      <c r="D6804" s="832">
        <v>35.42</v>
      </c>
    </row>
    <row r="6805" spans="1:4" x14ac:dyDescent="0.3">
      <c r="A6805" s="830">
        <v>104977</v>
      </c>
      <c r="B6805" s="831" t="s">
        <v>11226</v>
      </c>
      <c r="C6805" s="830" t="s">
        <v>252</v>
      </c>
      <c r="D6805" s="832">
        <v>56.22</v>
      </c>
    </row>
    <row r="6806" spans="1:4" x14ac:dyDescent="0.3">
      <c r="A6806" s="830">
        <v>104978</v>
      </c>
      <c r="B6806" s="831" t="s">
        <v>11227</v>
      </c>
      <c r="C6806" s="830" t="s">
        <v>252</v>
      </c>
      <c r="D6806" s="832">
        <v>42.1</v>
      </c>
    </row>
    <row r="6807" spans="1:4" x14ac:dyDescent="0.3">
      <c r="A6807" s="830">
        <v>105185</v>
      </c>
      <c r="B6807" s="831" t="s">
        <v>11228</v>
      </c>
      <c r="C6807" s="830" t="s">
        <v>252</v>
      </c>
      <c r="D6807" s="832">
        <v>188.39</v>
      </c>
    </row>
    <row r="6808" spans="1:4" x14ac:dyDescent="0.3">
      <c r="A6808" s="830">
        <v>105186</v>
      </c>
      <c r="B6808" s="831" t="s">
        <v>11229</v>
      </c>
      <c r="C6808" s="830" t="s">
        <v>252</v>
      </c>
      <c r="D6808" s="832">
        <v>139.71</v>
      </c>
    </row>
    <row r="6809" spans="1:4" x14ac:dyDescent="0.3">
      <c r="A6809" s="830">
        <v>105187</v>
      </c>
      <c r="B6809" s="831" t="s">
        <v>11230</v>
      </c>
      <c r="C6809" s="830" t="s">
        <v>252</v>
      </c>
      <c r="D6809" s="832">
        <v>182.02</v>
      </c>
    </row>
    <row r="6810" spans="1:4" x14ac:dyDescent="0.3">
      <c r="A6810" s="830">
        <v>105188</v>
      </c>
      <c r="B6810" s="831" t="s">
        <v>11231</v>
      </c>
      <c r="C6810" s="830" t="s">
        <v>252</v>
      </c>
      <c r="D6810" s="832">
        <v>133.6</v>
      </c>
    </row>
    <row r="6811" spans="1:4" x14ac:dyDescent="0.3">
      <c r="A6811" s="830">
        <v>87244</v>
      </c>
      <c r="B6811" s="831" t="s">
        <v>11232</v>
      </c>
      <c r="C6811" s="830" t="s">
        <v>252</v>
      </c>
      <c r="D6811" s="832">
        <v>272.55</v>
      </c>
    </row>
    <row r="6812" spans="1:4" x14ac:dyDescent="0.3">
      <c r="A6812" s="830">
        <v>87245</v>
      </c>
      <c r="B6812" s="831" t="s">
        <v>11233</v>
      </c>
      <c r="C6812" s="830" t="s">
        <v>252</v>
      </c>
      <c r="D6812" s="832">
        <v>327.20999999999998</v>
      </c>
    </row>
    <row r="6813" spans="1:4" x14ac:dyDescent="0.3">
      <c r="A6813" s="830">
        <v>87265</v>
      </c>
      <c r="B6813" s="831" t="s">
        <v>11234</v>
      </c>
      <c r="C6813" s="830" t="s">
        <v>252</v>
      </c>
      <c r="D6813" s="832">
        <v>58.84</v>
      </c>
    </row>
    <row r="6814" spans="1:4" x14ac:dyDescent="0.3">
      <c r="A6814" s="830">
        <v>87267</v>
      </c>
      <c r="B6814" s="831" t="s">
        <v>11235</v>
      </c>
      <c r="C6814" s="830" t="s">
        <v>252</v>
      </c>
      <c r="D6814" s="832">
        <v>64.47</v>
      </c>
    </row>
    <row r="6815" spans="1:4" x14ac:dyDescent="0.3">
      <c r="A6815" s="830">
        <v>87269</v>
      </c>
      <c r="B6815" s="831" t="s">
        <v>11236</v>
      </c>
      <c r="C6815" s="830" t="s">
        <v>252</v>
      </c>
      <c r="D6815" s="832">
        <v>63.1</v>
      </c>
    </row>
    <row r="6816" spans="1:4" x14ac:dyDescent="0.3">
      <c r="A6816" s="830">
        <v>87271</v>
      </c>
      <c r="B6816" s="831" t="s">
        <v>11237</v>
      </c>
      <c r="C6816" s="830" t="s">
        <v>252</v>
      </c>
      <c r="D6816" s="832">
        <v>68.8</v>
      </c>
    </row>
    <row r="6817" spans="1:4" x14ac:dyDescent="0.3">
      <c r="A6817" s="830">
        <v>87273</v>
      </c>
      <c r="B6817" s="831" t="s">
        <v>11238</v>
      </c>
      <c r="C6817" s="830" t="s">
        <v>252</v>
      </c>
      <c r="D6817" s="832">
        <v>66.2</v>
      </c>
    </row>
    <row r="6818" spans="1:4" x14ac:dyDescent="0.3">
      <c r="A6818" s="830">
        <v>87275</v>
      </c>
      <c r="B6818" s="831" t="s">
        <v>11239</v>
      </c>
      <c r="C6818" s="830" t="s">
        <v>252</v>
      </c>
      <c r="D6818" s="832">
        <v>73.75</v>
      </c>
    </row>
    <row r="6819" spans="1:4" x14ac:dyDescent="0.3">
      <c r="A6819" s="830">
        <v>88788</v>
      </c>
      <c r="B6819" s="831" t="s">
        <v>11240</v>
      </c>
      <c r="C6819" s="830" t="s">
        <v>252</v>
      </c>
      <c r="D6819" s="832">
        <v>354.86</v>
      </c>
    </row>
    <row r="6820" spans="1:4" x14ac:dyDescent="0.3">
      <c r="A6820" s="830">
        <v>88789</v>
      </c>
      <c r="B6820" s="831" t="s">
        <v>11241</v>
      </c>
      <c r="C6820" s="830" t="s">
        <v>252</v>
      </c>
      <c r="D6820" s="832">
        <v>426.71</v>
      </c>
    </row>
    <row r="6821" spans="1:4" x14ac:dyDescent="0.3">
      <c r="A6821" s="830">
        <v>104588</v>
      </c>
      <c r="B6821" s="831" t="s">
        <v>11242</v>
      </c>
      <c r="C6821" s="830" t="s">
        <v>252</v>
      </c>
      <c r="D6821" s="832">
        <v>226.1</v>
      </c>
    </row>
    <row r="6822" spans="1:4" x14ac:dyDescent="0.3">
      <c r="A6822" s="830">
        <v>104589</v>
      </c>
      <c r="B6822" s="831" t="s">
        <v>11243</v>
      </c>
      <c r="C6822" s="830" t="s">
        <v>252</v>
      </c>
      <c r="D6822" s="832">
        <v>270.8</v>
      </c>
    </row>
    <row r="6823" spans="1:4" x14ac:dyDescent="0.3">
      <c r="A6823" s="830">
        <v>104590</v>
      </c>
      <c r="B6823" s="831" t="s">
        <v>11244</v>
      </c>
      <c r="C6823" s="830" t="s">
        <v>252</v>
      </c>
      <c r="D6823" s="832">
        <v>249.52</v>
      </c>
    </row>
    <row r="6824" spans="1:4" x14ac:dyDescent="0.3">
      <c r="A6824" s="830">
        <v>104591</v>
      </c>
      <c r="B6824" s="831" t="s">
        <v>11245</v>
      </c>
      <c r="C6824" s="830" t="s">
        <v>252</v>
      </c>
      <c r="D6824" s="832">
        <v>297.23</v>
      </c>
    </row>
    <row r="6825" spans="1:4" x14ac:dyDescent="0.3">
      <c r="A6825" s="830">
        <v>104611</v>
      </c>
      <c r="B6825" s="831" t="s">
        <v>11246</v>
      </c>
      <c r="C6825" s="830" t="s">
        <v>252</v>
      </c>
      <c r="D6825" s="832">
        <v>92.33</v>
      </c>
    </row>
    <row r="6826" spans="1:4" x14ac:dyDescent="0.3">
      <c r="A6826" s="830">
        <v>104612</v>
      </c>
      <c r="B6826" s="831" t="s">
        <v>11247</v>
      </c>
      <c r="C6826" s="830" t="s">
        <v>252</v>
      </c>
      <c r="D6826" s="832">
        <v>93.14</v>
      </c>
    </row>
    <row r="6827" spans="1:4" x14ac:dyDescent="0.3">
      <c r="A6827" s="830">
        <v>104613</v>
      </c>
      <c r="B6827" s="831" t="s">
        <v>11248</v>
      </c>
      <c r="C6827" s="830" t="s">
        <v>252</v>
      </c>
      <c r="D6827" s="832">
        <v>62.58</v>
      </c>
    </row>
    <row r="6828" spans="1:4" x14ac:dyDescent="0.3">
      <c r="A6828" s="830">
        <v>104614</v>
      </c>
      <c r="B6828" s="831" t="s">
        <v>11249</v>
      </c>
      <c r="C6828" s="830" t="s">
        <v>252</v>
      </c>
      <c r="D6828" s="832">
        <v>69.900000000000006</v>
      </c>
    </row>
    <row r="6829" spans="1:4" x14ac:dyDescent="0.3">
      <c r="A6829" s="830">
        <v>104615</v>
      </c>
      <c r="B6829" s="831" t="s">
        <v>11250</v>
      </c>
      <c r="C6829" s="830" t="s">
        <v>252</v>
      </c>
      <c r="D6829" s="832">
        <v>271.37</v>
      </c>
    </row>
    <row r="6830" spans="1:4" x14ac:dyDescent="0.3">
      <c r="A6830" s="830">
        <v>104616</v>
      </c>
      <c r="B6830" s="831" t="s">
        <v>11251</v>
      </c>
      <c r="C6830" s="830" t="s">
        <v>252</v>
      </c>
      <c r="D6830" s="832">
        <v>356.69</v>
      </c>
    </row>
    <row r="6831" spans="1:4" x14ac:dyDescent="0.3">
      <c r="A6831" s="830">
        <v>104617</v>
      </c>
      <c r="B6831" s="831" t="s">
        <v>11252</v>
      </c>
      <c r="C6831" s="830" t="s">
        <v>252</v>
      </c>
      <c r="D6831" s="832">
        <v>282.77</v>
      </c>
    </row>
    <row r="6832" spans="1:4" x14ac:dyDescent="0.3">
      <c r="A6832" s="830">
        <v>104618</v>
      </c>
      <c r="B6832" s="831" t="s">
        <v>11253</v>
      </c>
      <c r="C6832" s="830" t="s">
        <v>252</v>
      </c>
      <c r="D6832" s="832">
        <v>368.09</v>
      </c>
    </row>
    <row r="6833" spans="1:4" x14ac:dyDescent="0.3">
      <c r="A6833" s="830">
        <v>104619</v>
      </c>
      <c r="B6833" s="831" t="s">
        <v>11254</v>
      </c>
      <c r="C6833" s="830" t="s">
        <v>194</v>
      </c>
      <c r="D6833" s="832">
        <v>13.76</v>
      </c>
    </row>
    <row r="6834" spans="1:4" x14ac:dyDescent="0.3">
      <c r="A6834" s="830">
        <v>101965</v>
      </c>
      <c r="B6834" s="831" t="s">
        <v>11255</v>
      </c>
      <c r="C6834" s="830" t="s">
        <v>194</v>
      </c>
      <c r="D6834" s="832">
        <v>117.97</v>
      </c>
    </row>
    <row r="6835" spans="1:4" x14ac:dyDescent="0.3">
      <c r="A6835" s="830">
        <v>101966</v>
      </c>
      <c r="B6835" s="831" t="s">
        <v>11256</v>
      </c>
      <c r="C6835" s="830" t="s">
        <v>194</v>
      </c>
      <c r="D6835" s="832">
        <v>144.15</v>
      </c>
    </row>
    <row r="6836" spans="1:4" x14ac:dyDescent="0.3">
      <c r="A6836" s="830">
        <v>101979</v>
      </c>
      <c r="B6836" s="831" t="s">
        <v>11257</v>
      </c>
      <c r="C6836" s="830" t="s">
        <v>194</v>
      </c>
      <c r="D6836" s="832">
        <v>39.89</v>
      </c>
    </row>
    <row r="6837" spans="1:4" x14ac:dyDescent="0.3">
      <c r="A6837" s="830">
        <v>96112</v>
      </c>
      <c r="B6837" s="831" t="s">
        <v>11258</v>
      </c>
      <c r="C6837" s="830" t="s">
        <v>252</v>
      </c>
      <c r="D6837" s="832">
        <v>129.84</v>
      </c>
    </row>
    <row r="6838" spans="1:4" x14ac:dyDescent="0.3">
      <c r="A6838" s="830">
        <v>96122</v>
      </c>
      <c r="B6838" s="831" t="s">
        <v>11259</v>
      </c>
      <c r="C6838" s="830" t="s">
        <v>194</v>
      </c>
      <c r="D6838" s="832">
        <v>42.72</v>
      </c>
    </row>
    <row r="6839" spans="1:4" x14ac:dyDescent="0.3">
      <c r="A6839" s="830">
        <v>104756</v>
      </c>
      <c r="B6839" s="831" t="s">
        <v>11260</v>
      </c>
      <c r="C6839" s="830" t="s">
        <v>252</v>
      </c>
      <c r="D6839" s="832">
        <v>175.51</v>
      </c>
    </row>
    <row r="6840" spans="1:4" x14ac:dyDescent="0.3">
      <c r="A6840" s="830">
        <v>96109</v>
      </c>
      <c r="B6840" s="831" t="s">
        <v>11261</v>
      </c>
      <c r="C6840" s="830" t="s">
        <v>252</v>
      </c>
      <c r="D6840" s="832">
        <v>53.35</v>
      </c>
    </row>
    <row r="6841" spans="1:4" x14ac:dyDescent="0.3">
      <c r="A6841" s="830">
        <v>96110</v>
      </c>
      <c r="B6841" s="831" t="s">
        <v>11262</v>
      </c>
      <c r="C6841" s="830" t="s">
        <v>252</v>
      </c>
      <c r="D6841" s="832">
        <v>69.87</v>
      </c>
    </row>
    <row r="6842" spans="1:4" x14ac:dyDescent="0.3">
      <c r="A6842" s="830">
        <v>96113</v>
      </c>
      <c r="B6842" s="831" t="s">
        <v>11263</v>
      </c>
      <c r="C6842" s="830" t="s">
        <v>252</v>
      </c>
      <c r="D6842" s="832">
        <v>47.78</v>
      </c>
    </row>
    <row r="6843" spans="1:4" x14ac:dyDescent="0.3">
      <c r="A6843" s="830">
        <v>96114</v>
      </c>
      <c r="B6843" s="831" t="s">
        <v>11264</v>
      </c>
      <c r="C6843" s="830" t="s">
        <v>252</v>
      </c>
      <c r="D6843" s="832">
        <v>70.78</v>
      </c>
    </row>
    <row r="6844" spans="1:4" x14ac:dyDescent="0.3">
      <c r="A6844" s="830">
        <v>96120</v>
      </c>
      <c r="B6844" s="831" t="s">
        <v>11265</v>
      </c>
      <c r="C6844" s="830" t="s">
        <v>194</v>
      </c>
      <c r="D6844" s="832">
        <v>3.04</v>
      </c>
    </row>
    <row r="6845" spans="1:4" x14ac:dyDescent="0.3">
      <c r="A6845" s="830">
        <v>96123</v>
      </c>
      <c r="B6845" s="831" t="s">
        <v>11266</v>
      </c>
      <c r="C6845" s="830" t="s">
        <v>194</v>
      </c>
      <c r="D6845" s="832">
        <v>28.09</v>
      </c>
    </row>
    <row r="6846" spans="1:4" x14ac:dyDescent="0.3">
      <c r="A6846" s="830">
        <v>99054</v>
      </c>
      <c r="B6846" s="831" t="s">
        <v>11267</v>
      </c>
      <c r="C6846" s="830" t="s">
        <v>252</v>
      </c>
      <c r="D6846" s="832">
        <v>61.55</v>
      </c>
    </row>
    <row r="6847" spans="1:4" x14ac:dyDescent="0.3">
      <c r="A6847" s="830">
        <v>96111</v>
      </c>
      <c r="B6847" s="831" t="s">
        <v>11268</v>
      </c>
      <c r="C6847" s="830" t="s">
        <v>252</v>
      </c>
      <c r="D6847" s="832">
        <v>54.81</v>
      </c>
    </row>
    <row r="6848" spans="1:4" x14ac:dyDescent="0.3">
      <c r="A6848" s="830">
        <v>96116</v>
      </c>
      <c r="B6848" s="831" t="s">
        <v>11269</v>
      </c>
      <c r="C6848" s="830" t="s">
        <v>252</v>
      </c>
      <c r="D6848" s="832">
        <v>57.32</v>
      </c>
    </row>
    <row r="6849" spans="1:4" x14ac:dyDescent="0.3">
      <c r="A6849" s="830">
        <v>96121</v>
      </c>
      <c r="B6849" s="831" t="s">
        <v>11270</v>
      </c>
      <c r="C6849" s="830" t="s">
        <v>194</v>
      </c>
      <c r="D6849" s="832">
        <v>10.54</v>
      </c>
    </row>
    <row r="6850" spans="1:4" x14ac:dyDescent="0.3">
      <c r="A6850" s="830">
        <v>96485</v>
      </c>
      <c r="B6850" s="831" t="s">
        <v>11271</v>
      </c>
      <c r="C6850" s="830" t="s">
        <v>252</v>
      </c>
      <c r="D6850" s="832">
        <v>61.97</v>
      </c>
    </row>
    <row r="6851" spans="1:4" x14ac:dyDescent="0.3">
      <c r="A6851" s="830">
        <v>96486</v>
      </c>
      <c r="B6851" s="831" t="s">
        <v>11272</v>
      </c>
      <c r="C6851" s="830" t="s">
        <v>252</v>
      </c>
      <c r="D6851" s="832">
        <v>64.48</v>
      </c>
    </row>
    <row r="6852" spans="1:4" x14ac:dyDescent="0.3">
      <c r="A6852" s="830">
        <v>91515</v>
      </c>
      <c r="B6852" s="831" t="s">
        <v>11273</v>
      </c>
      <c r="C6852" s="830" t="s">
        <v>252</v>
      </c>
      <c r="D6852" s="832">
        <v>5.22</v>
      </c>
    </row>
    <row r="6853" spans="1:4" x14ac:dyDescent="0.3">
      <c r="A6853" s="830">
        <v>91519</v>
      </c>
      <c r="B6853" s="831" t="s">
        <v>11274</v>
      </c>
      <c r="C6853" s="830" t="s">
        <v>252</v>
      </c>
      <c r="D6853" s="832">
        <v>2.17</v>
      </c>
    </row>
    <row r="6854" spans="1:4" x14ac:dyDescent="0.3">
      <c r="A6854" s="830">
        <v>91520</v>
      </c>
      <c r="B6854" s="831" t="s">
        <v>11275</v>
      </c>
      <c r="C6854" s="830" t="s">
        <v>252</v>
      </c>
      <c r="D6854" s="832">
        <v>2.21</v>
      </c>
    </row>
    <row r="6855" spans="1:4" x14ac:dyDescent="0.3">
      <c r="A6855" s="830">
        <v>91522</v>
      </c>
      <c r="B6855" s="831" t="s">
        <v>11276</v>
      </c>
      <c r="C6855" s="830" t="s">
        <v>252</v>
      </c>
      <c r="D6855" s="832">
        <v>3.73</v>
      </c>
    </row>
    <row r="6856" spans="1:4" x14ac:dyDescent="0.3">
      <c r="A6856" s="830">
        <v>91525</v>
      </c>
      <c r="B6856" s="831" t="s">
        <v>11277</v>
      </c>
      <c r="C6856" s="830" t="s">
        <v>252</v>
      </c>
      <c r="D6856" s="832">
        <v>7.27</v>
      </c>
    </row>
    <row r="6857" spans="1:4" x14ac:dyDescent="0.3">
      <c r="A6857" s="830">
        <v>104412</v>
      </c>
      <c r="B6857" s="831" t="s">
        <v>11278</v>
      </c>
      <c r="C6857" s="830" t="s">
        <v>252</v>
      </c>
      <c r="D6857" s="832">
        <v>3.34</v>
      </c>
    </row>
    <row r="6858" spans="1:4" x14ac:dyDescent="0.3">
      <c r="A6858" s="830">
        <v>104413</v>
      </c>
      <c r="B6858" s="831" t="s">
        <v>11279</v>
      </c>
      <c r="C6858" s="830" t="s">
        <v>252</v>
      </c>
      <c r="D6858" s="832">
        <v>5.7</v>
      </c>
    </row>
    <row r="6859" spans="1:4" x14ac:dyDescent="0.3">
      <c r="A6859" s="830">
        <v>104414</v>
      </c>
      <c r="B6859" s="831" t="s">
        <v>11280</v>
      </c>
      <c r="C6859" s="830" t="s">
        <v>252</v>
      </c>
      <c r="D6859" s="832">
        <v>6.37</v>
      </c>
    </row>
    <row r="6860" spans="1:4" x14ac:dyDescent="0.3">
      <c r="A6860" s="830">
        <v>104415</v>
      </c>
      <c r="B6860" s="831" t="s">
        <v>11281</v>
      </c>
      <c r="C6860" s="830" t="s">
        <v>252</v>
      </c>
      <c r="D6860" s="832">
        <v>11.99</v>
      </c>
    </row>
    <row r="6861" spans="1:4" x14ac:dyDescent="0.3">
      <c r="A6861" s="830">
        <v>104416</v>
      </c>
      <c r="B6861" s="831" t="s">
        <v>11282</v>
      </c>
      <c r="C6861" s="830" t="s">
        <v>252</v>
      </c>
      <c r="D6861" s="832">
        <v>1.83</v>
      </c>
    </row>
    <row r="6862" spans="1:4" x14ac:dyDescent="0.3">
      <c r="A6862" s="830">
        <v>104417</v>
      </c>
      <c r="B6862" s="831" t="s">
        <v>11283</v>
      </c>
      <c r="C6862" s="830" t="s">
        <v>252</v>
      </c>
      <c r="D6862" s="832">
        <v>4.1500000000000004</v>
      </c>
    </row>
    <row r="6863" spans="1:4" x14ac:dyDescent="0.3">
      <c r="A6863" s="830">
        <v>104418</v>
      </c>
      <c r="B6863" s="831" t="s">
        <v>11284</v>
      </c>
      <c r="C6863" s="830" t="s">
        <v>252</v>
      </c>
      <c r="D6863" s="832">
        <v>2.84</v>
      </c>
    </row>
    <row r="6864" spans="1:4" x14ac:dyDescent="0.3">
      <c r="A6864" s="830">
        <v>104419</v>
      </c>
      <c r="B6864" s="831" t="s">
        <v>11285</v>
      </c>
      <c r="C6864" s="830" t="s">
        <v>252</v>
      </c>
      <c r="D6864" s="832">
        <v>4.5199999999999996</v>
      </c>
    </row>
    <row r="6865" spans="1:4" x14ac:dyDescent="0.3">
      <c r="A6865" s="830">
        <v>104421</v>
      </c>
      <c r="B6865" s="831" t="s">
        <v>11286</v>
      </c>
      <c r="C6865" s="830" t="s">
        <v>252</v>
      </c>
      <c r="D6865" s="832">
        <v>15.89</v>
      </c>
    </row>
    <row r="6866" spans="1:4" x14ac:dyDescent="0.3">
      <c r="A6866" s="830">
        <v>104422</v>
      </c>
      <c r="B6866" s="831" t="s">
        <v>11287</v>
      </c>
      <c r="C6866" s="830" t="s">
        <v>252</v>
      </c>
      <c r="D6866" s="832">
        <v>10.19</v>
      </c>
    </row>
    <row r="6867" spans="1:4" x14ac:dyDescent="0.3">
      <c r="A6867" s="830">
        <v>104423</v>
      </c>
      <c r="B6867" s="831" t="s">
        <v>11288</v>
      </c>
      <c r="C6867" s="830" t="s">
        <v>252</v>
      </c>
      <c r="D6867" s="832">
        <v>14.19</v>
      </c>
    </row>
    <row r="6868" spans="1:4" x14ac:dyDescent="0.3">
      <c r="A6868" s="830">
        <v>104425</v>
      </c>
      <c r="B6868" s="831" t="s">
        <v>11289</v>
      </c>
      <c r="C6868" s="830" t="s">
        <v>252</v>
      </c>
      <c r="D6868" s="832">
        <v>8.4499999999999993</v>
      </c>
    </row>
    <row r="6869" spans="1:4" x14ac:dyDescent="0.3">
      <c r="A6869" s="830">
        <v>105816</v>
      </c>
      <c r="B6869" s="831" t="s">
        <v>11290</v>
      </c>
      <c r="C6869" s="830" t="s">
        <v>252</v>
      </c>
      <c r="D6869" s="832">
        <v>12.3</v>
      </c>
    </row>
    <row r="6870" spans="1:4" x14ac:dyDescent="0.3">
      <c r="A6870" s="830">
        <v>105817</v>
      </c>
      <c r="B6870" s="831" t="s">
        <v>11291</v>
      </c>
      <c r="C6870" s="830" t="s">
        <v>252</v>
      </c>
      <c r="D6870" s="832">
        <v>4.9000000000000004</v>
      </c>
    </row>
    <row r="6871" spans="1:4" x14ac:dyDescent="0.3">
      <c r="A6871" s="830">
        <v>105818</v>
      </c>
      <c r="B6871" s="831" t="s">
        <v>11292</v>
      </c>
      <c r="C6871" s="830" t="s">
        <v>252</v>
      </c>
      <c r="D6871" s="832">
        <v>13.2</v>
      </c>
    </row>
    <row r="6872" spans="1:4" x14ac:dyDescent="0.3">
      <c r="A6872" s="830">
        <v>105819</v>
      </c>
      <c r="B6872" s="831" t="s">
        <v>11293</v>
      </c>
      <c r="C6872" s="830" t="s">
        <v>252</v>
      </c>
      <c r="D6872" s="832">
        <v>5.8</v>
      </c>
    </row>
    <row r="6873" spans="1:4" x14ac:dyDescent="0.3">
      <c r="A6873" s="830">
        <v>105820</v>
      </c>
      <c r="B6873" s="831" t="s">
        <v>11294</v>
      </c>
      <c r="C6873" s="830" t="s">
        <v>252</v>
      </c>
      <c r="D6873" s="832">
        <v>17.920000000000002</v>
      </c>
    </row>
    <row r="6874" spans="1:4" x14ac:dyDescent="0.3">
      <c r="A6874" s="830">
        <v>105821</v>
      </c>
      <c r="B6874" s="831" t="s">
        <v>11295</v>
      </c>
      <c r="C6874" s="830" t="s">
        <v>252</v>
      </c>
      <c r="D6874" s="832">
        <v>10.52</v>
      </c>
    </row>
    <row r="6875" spans="1:4" x14ac:dyDescent="0.3">
      <c r="A6875" s="830">
        <v>105822</v>
      </c>
      <c r="B6875" s="831" t="s">
        <v>11296</v>
      </c>
      <c r="C6875" s="830" t="s">
        <v>252</v>
      </c>
      <c r="D6875" s="832">
        <v>20.34</v>
      </c>
    </row>
    <row r="6876" spans="1:4" x14ac:dyDescent="0.3">
      <c r="A6876" s="830">
        <v>105823</v>
      </c>
      <c r="B6876" s="831" t="s">
        <v>11297</v>
      </c>
      <c r="C6876" s="830" t="s">
        <v>252</v>
      </c>
      <c r="D6876" s="832">
        <v>12.88</v>
      </c>
    </row>
    <row r="6877" spans="1:4" x14ac:dyDescent="0.3">
      <c r="A6877" s="830">
        <v>105824</v>
      </c>
      <c r="B6877" s="831" t="s">
        <v>11298</v>
      </c>
      <c r="C6877" s="830" t="s">
        <v>252</v>
      </c>
      <c r="D6877" s="832">
        <v>14.64</v>
      </c>
    </row>
    <row r="6878" spans="1:4" x14ac:dyDescent="0.3">
      <c r="A6878" s="830">
        <v>105825</v>
      </c>
      <c r="B6878" s="831" t="s">
        <v>11299</v>
      </c>
      <c r="C6878" s="830" t="s">
        <v>252</v>
      </c>
      <c r="D6878" s="832">
        <v>7.18</v>
      </c>
    </row>
    <row r="6879" spans="1:4" x14ac:dyDescent="0.3">
      <c r="A6879" s="830">
        <v>105826</v>
      </c>
      <c r="B6879" s="831" t="s">
        <v>11300</v>
      </c>
      <c r="C6879" s="830" t="s">
        <v>252</v>
      </c>
      <c r="D6879" s="832">
        <v>18.64</v>
      </c>
    </row>
    <row r="6880" spans="1:4" x14ac:dyDescent="0.3">
      <c r="A6880" s="830">
        <v>105827</v>
      </c>
      <c r="B6880" s="831" t="s">
        <v>11301</v>
      </c>
      <c r="C6880" s="830" t="s">
        <v>252</v>
      </c>
      <c r="D6880" s="832">
        <v>11.18</v>
      </c>
    </row>
    <row r="6881" spans="1:4" x14ac:dyDescent="0.3">
      <c r="A6881" s="830">
        <v>105828</v>
      </c>
      <c r="B6881" s="831" t="s">
        <v>11302</v>
      </c>
      <c r="C6881" s="830" t="s">
        <v>252</v>
      </c>
      <c r="D6881" s="832">
        <v>12.9</v>
      </c>
    </row>
    <row r="6882" spans="1:4" x14ac:dyDescent="0.3">
      <c r="A6882" s="830">
        <v>105829</v>
      </c>
      <c r="B6882" s="831" t="s">
        <v>11303</v>
      </c>
      <c r="C6882" s="830" t="s">
        <v>252</v>
      </c>
      <c r="D6882" s="832">
        <v>5.44</v>
      </c>
    </row>
    <row r="6883" spans="1:4" x14ac:dyDescent="0.3">
      <c r="A6883" s="830">
        <v>87280</v>
      </c>
      <c r="B6883" s="831" t="s">
        <v>11304</v>
      </c>
      <c r="C6883" s="830" t="s">
        <v>5247</v>
      </c>
      <c r="D6883" s="832">
        <v>544.61</v>
      </c>
    </row>
    <row r="6884" spans="1:4" x14ac:dyDescent="0.3">
      <c r="A6884" s="830">
        <v>87281</v>
      </c>
      <c r="B6884" s="831" t="s">
        <v>11305</v>
      </c>
      <c r="C6884" s="830" t="s">
        <v>5247</v>
      </c>
      <c r="D6884" s="832">
        <v>534.25</v>
      </c>
    </row>
    <row r="6885" spans="1:4" x14ac:dyDescent="0.3">
      <c r="A6885" s="830">
        <v>87283</v>
      </c>
      <c r="B6885" s="831" t="s">
        <v>11306</v>
      </c>
      <c r="C6885" s="830" t="s">
        <v>5247</v>
      </c>
      <c r="D6885" s="832">
        <v>552.03</v>
      </c>
    </row>
    <row r="6886" spans="1:4" x14ac:dyDescent="0.3">
      <c r="A6886" s="830">
        <v>87284</v>
      </c>
      <c r="B6886" s="831" t="s">
        <v>11307</v>
      </c>
      <c r="C6886" s="830" t="s">
        <v>5247</v>
      </c>
      <c r="D6886" s="832">
        <v>540.98</v>
      </c>
    </row>
    <row r="6887" spans="1:4" x14ac:dyDescent="0.3">
      <c r="A6887" s="830">
        <v>87286</v>
      </c>
      <c r="B6887" s="831" t="s">
        <v>11308</v>
      </c>
      <c r="C6887" s="830" t="s">
        <v>5247</v>
      </c>
      <c r="D6887" s="832">
        <v>714.9</v>
      </c>
    </row>
    <row r="6888" spans="1:4" x14ac:dyDescent="0.3">
      <c r="A6888" s="830">
        <v>87287</v>
      </c>
      <c r="B6888" s="831" t="s">
        <v>11309</v>
      </c>
      <c r="C6888" s="830" t="s">
        <v>5247</v>
      </c>
      <c r="D6888" s="832">
        <v>692.82</v>
      </c>
    </row>
    <row r="6889" spans="1:4" x14ac:dyDescent="0.3">
      <c r="A6889" s="830">
        <v>87289</v>
      </c>
      <c r="B6889" s="831" t="s">
        <v>11310</v>
      </c>
      <c r="C6889" s="830" t="s">
        <v>5247</v>
      </c>
      <c r="D6889" s="832">
        <v>711.64</v>
      </c>
    </row>
    <row r="6890" spans="1:4" x14ac:dyDescent="0.3">
      <c r="A6890" s="830">
        <v>87290</v>
      </c>
      <c r="B6890" s="831" t="s">
        <v>11311</v>
      </c>
      <c r="C6890" s="830" t="s">
        <v>5247</v>
      </c>
      <c r="D6890" s="832">
        <v>698.11</v>
      </c>
    </row>
    <row r="6891" spans="1:4" x14ac:dyDescent="0.3">
      <c r="A6891" s="830">
        <v>87292</v>
      </c>
      <c r="B6891" s="831" t="s">
        <v>3038</v>
      </c>
      <c r="C6891" s="830" t="s">
        <v>5247</v>
      </c>
      <c r="D6891" s="832">
        <v>737.36</v>
      </c>
    </row>
    <row r="6892" spans="1:4" x14ac:dyDescent="0.3">
      <c r="A6892" s="830">
        <v>87294</v>
      </c>
      <c r="B6892" s="831" t="s">
        <v>11312</v>
      </c>
      <c r="C6892" s="830" t="s">
        <v>5247</v>
      </c>
      <c r="D6892" s="832">
        <v>706.69</v>
      </c>
    </row>
    <row r="6893" spans="1:4" x14ac:dyDescent="0.3">
      <c r="A6893" s="830">
        <v>87295</v>
      </c>
      <c r="B6893" s="831" t="s">
        <v>11313</v>
      </c>
      <c r="C6893" s="830" t="s">
        <v>5247</v>
      </c>
      <c r="D6893" s="832">
        <v>741.84</v>
      </c>
    </row>
    <row r="6894" spans="1:4" x14ac:dyDescent="0.3">
      <c r="A6894" s="830">
        <v>87296</v>
      </c>
      <c r="B6894" s="831" t="s">
        <v>11314</v>
      </c>
      <c r="C6894" s="830" t="s">
        <v>5247</v>
      </c>
      <c r="D6894" s="832">
        <v>707.73</v>
      </c>
    </row>
    <row r="6895" spans="1:4" x14ac:dyDescent="0.3">
      <c r="A6895" s="830">
        <v>87298</v>
      </c>
      <c r="B6895" s="831" t="s">
        <v>11315</v>
      </c>
      <c r="C6895" s="830" t="s">
        <v>5247</v>
      </c>
      <c r="D6895" s="832">
        <v>737.84</v>
      </c>
    </row>
    <row r="6896" spans="1:4" x14ac:dyDescent="0.3">
      <c r="A6896" s="830">
        <v>87299</v>
      </c>
      <c r="B6896" s="831" t="s">
        <v>11316</v>
      </c>
      <c r="C6896" s="830" t="s">
        <v>5247</v>
      </c>
      <c r="D6896" s="832">
        <v>540.34</v>
      </c>
    </row>
    <row r="6897" spans="1:4" x14ac:dyDescent="0.3">
      <c r="A6897" s="830">
        <v>87301</v>
      </c>
      <c r="B6897" s="831" t="s">
        <v>11317</v>
      </c>
      <c r="C6897" s="830" t="s">
        <v>5247</v>
      </c>
      <c r="D6897" s="832">
        <v>694.39</v>
      </c>
    </row>
    <row r="6898" spans="1:4" x14ac:dyDescent="0.3">
      <c r="A6898" s="830">
        <v>87302</v>
      </c>
      <c r="B6898" s="831" t="s">
        <v>11318</v>
      </c>
      <c r="C6898" s="830" t="s">
        <v>5247</v>
      </c>
      <c r="D6898" s="832">
        <v>681.53</v>
      </c>
    </row>
    <row r="6899" spans="1:4" x14ac:dyDescent="0.3">
      <c r="A6899" s="830">
        <v>87304</v>
      </c>
      <c r="B6899" s="831" t="s">
        <v>11319</v>
      </c>
      <c r="C6899" s="830" t="s">
        <v>5247</v>
      </c>
      <c r="D6899" s="832">
        <v>650</v>
      </c>
    </row>
    <row r="6900" spans="1:4" x14ac:dyDescent="0.3">
      <c r="A6900" s="830">
        <v>87305</v>
      </c>
      <c r="B6900" s="831" t="s">
        <v>11320</v>
      </c>
      <c r="C6900" s="830" t="s">
        <v>5247</v>
      </c>
      <c r="D6900" s="832">
        <v>650.20000000000005</v>
      </c>
    </row>
    <row r="6901" spans="1:4" x14ac:dyDescent="0.3">
      <c r="A6901" s="830">
        <v>87307</v>
      </c>
      <c r="B6901" s="831" t="s">
        <v>11321</v>
      </c>
      <c r="C6901" s="830" t="s">
        <v>5247</v>
      </c>
      <c r="D6901" s="832">
        <v>636.80999999999995</v>
      </c>
    </row>
    <row r="6902" spans="1:4" x14ac:dyDescent="0.3">
      <c r="A6902" s="830">
        <v>87308</v>
      </c>
      <c r="B6902" s="831" t="s">
        <v>11322</v>
      </c>
      <c r="C6902" s="830" t="s">
        <v>5247</v>
      </c>
      <c r="D6902" s="832">
        <v>622.09</v>
      </c>
    </row>
    <row r="6903" spans="1:4" x14ac:dyDescent="0.3">
      <c r="A6903" s="830">
        <v>87310</v>
      </c>
      <c r="B6903" s="831" t="s">
        <v>11323</v>
      </c>
      <c r="C6903" s="830" t="s">
        <v>5247</v>
      </c>
      <c r="D6903" s="832">
        <v>515.53</v>
      </c>
    </row>
    <row r="6904" spans="1:4" x14ac:dyDescent="0.3">
      <c r="A6904" s="830">
        <v>87311</v>
      </c>
      <c r="B6904" s="831" t="s">
        <v>11324</v>
      </c>
      <c r="C6904" s="830" t="s">
        <v>5247</v>
      </c>
      <c r="D6904" s="832">
        <v>501.9</v>
      </c>
    </row>
    <row r="6905" spans="1:4" x14ac:dyDescent="0.3">
      <c r="A6905" s="830">
        <v>87313</v>
      </c>
      <c r="B6905" s="831" t="s">
        <v>11325</v>
      </c>
      <c r="C6905" s="830" t="s">
        <v>5247</v>
      </c>
      <c r="D6905" s="832">
        <v>579.52</v>
      </c>
    </row>
    <row r="6906" spans="1:4" x14ac:dyDescent="0.3">
      <c r="A6906" s="830">
        <v>87314</v>
      </c>
      <c r="B6906" s="831" t="s">
        <v>11326</v>
      </c>
      <c r="C6906" s="830" t="s">
        <v>5247</v>
      </c>
      <c r="D6906" s="832">
        <v>567.42999999999995</v>
      </c>
    </row>
    <row r="6907" spans="1:4" x14ac:dyDescent="0.3">
      <c r="A6907" s="830">
        <v>87316</v>
      </c>
      <c r="B6907" s="831" t="s">
        <v>3293</v>
      </c>
      <c r="C6907" s="830" t="s">
        <v>5247</v>
      </c>
      <c r="D6907" s="832">
        <v>549.05999999999995</v>
      </c>
    </row>
    <row r="6908" spans="1:4" x14ac:dyDescent="0.3">
      <c r="A6908" s="830">
        <v>87317</v>
      </c>
      <c r="B6908" s="831" t="s">
        <v>11327</v>
      </c>
      <c r="C6908" s="830" t="s">
        <v>5247</v>
      </c>
      <c r="D6908" s="832">
        <v>528.66999999999996</v>
      </c>
    </row>
    <row r="6909" spans="1:4" x14ac:dyDescent="0.3">
      <c r="A6909" s="830">
        <v>87319</v>
      </c>
      <c r="B6909" s="831" t="s">
        <v>11328</v>
      </c>
      <c r="C6909" s="830" t="s">
        <v>5247</v>
      </c>
      <c r="D6909" s="832">
        <v>3265.4</v>
      </c>
    </row>
    <row r="6910" spans="1:4" x14ac:dyDescent="0.3">
      <c r="A6910" s="830">
        <v>87320</v>
      </c>
      <c r="B6910" s="831" t="s">
        <v>11329</v>
      </c>
      <c r="C6910" s="830" t="s">
        <v>5247</v>
      </c>
      <c r="D6910" s="832">
        <v>3266.86</v>
      </c>
    </row>
    <row r="6911" spans="1:4" x14ac:dyDescent="0.3">
      <c r="A6911" s="830">
        <v>87322</v>
      </c>
      <c r="B6911" s="831" t="s">
        <v>11330</v>
      </c>
      <c r="C6911" s="830" t="s">
        <v>5247</v>
      </c>
      <c r="D6911" s="832">
        <v>3351.71</v>
      </c>
    </row>
    <row r="6912" spans="1:4" x14ac:dyDescent="0.3">
      <c r="A6912" s="830">
        <v>87323</v>
      </c>
      <c r="B6912" s="831" t="s">
        <v>11331</v>
      </c>
      <c r="C6912" s="830" t="s">
        <v>5247</v>
      </c>
      <c r="D6912" s="832">
        <v>3343.88</v>
      </c>
    </row>
    <row r="6913" spans="1:4" x14ac:dyDescent="0.3">
      <c r="A6913" s="830">
        <v>87325</v>
      </c>
      <c r="B6913" s="831" t="s">
        <v>11332</v>
      </c>
      <c r="C6913" s="830" t="s">
        <v>5247</v>
      </c>
      <c r="D6913" s="832">
        <v>3286.42</v>
      </c>
    </row>
    <row r="6914" spans="1:4" x14ac:dyDescent="0.3">
      <c r="A6914" s="830">
        <v>87326</v>
      </c>
      <c r="B6914" s="831" t="s">
        <v>11333</v>
      </c>
      <c r="C6914" s="830" t="s">
        <v>5247</v>
      </c>
      <c r="D6914" s="832">
        <v>3286.59</v>
      </c>
    </row>
    <row r="6915" spans="1:4" x14ac:dyDescent="0.3">
      <c r="A6915" s="830">
        <v>87327</v>
      </c>
      <c r="B6915" s="831" t="s">
        <v>11334</v>
      </c>
      <c r="C6915" s="830" t="s">
        <v>5247</v>
      </c>
      <c r="D6915" s="832">
        <v>568.79</v>
      </c>
    </row>
    <row r="6916" spans="1:4" x14ac:dyDescent="0.3">
      <c r="A6916" s="830">
        <v>87328</v>
      </c>
      <c r="B6916" s="831" t="s">
        <v>11335</v>
      </c>
      <c r="C6916" s="830" t="s">
        <v>5247</v>
      </c>
      <c r="D6916" s="832">
        <v>499.92</v>
      </c>
    </row>
    <row r="6917" spans="1:4" x14ac:dyDescent="0.3">
      <c r="A6917" s="830">
        <v>87329</v>
      </c>
      <c r="B6917" s="831" t="s">
        <v>11336</v>
      </c>
      <c r="C6917" s="830" t="s">
        <v>5247</v>
      </c>
      <c r="D6917" s="832">
        <v>597.45000000000005</v>
      </c>
    </row>
    <row r="6918" spans="1:4" x14ac:dyDescent="0.3">
      <c r="A6918" s="830">
        <v>87330</v>
      </c>
      <c r="B6918" s="831" t="s">
        <v>11337</v>
      </c>
      <c r="C6918" s="830" t="s">
        <v>5247</v>
      </c>
      <c r="D6918" s="832">
        <v>519.54</v>
      </c>
    </row>
    <row r="6919" spans="1:4" x14ac:dyDescent="0.3">
      <c r="A6919" s="830">
        <v>87331</v>
      </c>
      <c r="B6919" s="831" t="s">
        <v>11338</v>
      </c>
      <c r="C6919" s="830" t="s">
        <v>5247</v>
      </c>
      <c r="D6919" s="832">
        <v>737.97</v>
      </c>
    </row>
    <row r="6920" spans="1:4" x14ac:dyDescent="0.3">
      <c r="A6920" s="830">
        <v>87332</v>
      </c>
      <c r="B6920" s="831" t="s">
        <v>11339</v>
      </c>
      <c r="C6920" s="830" t="s">
        <v>5247</v>
      </c>
      <c r="D6920" s="832">
        <v>666.79</v>
      </c>
    </row>
    <row r="6921" spans="1:4" x14ac:dyDescent="0.3">
      <c r="A6921" s="830">
        <v>87333</v>
      </c>
      <c r="B6921" s="831" t="s">
        <v>11340</v>
      </c>
      <c r="C6921" s="830" t="s">
        <v>5247</v>
      </c>
      <c r="D6921" s="832">
        <v>712.72</v>
      </c>
    </row>
    <row r="6922" spans="1:4" x14ac:dyDescent="0.3">
      <c r="A6922" s="830">
        <v>87334</v>
      </c>
      <c r="B6922" s="831" t="s">
        <v>11341</v>
      </c>
      <c r="C6922" s="830" t="s">
        <v>5247</v>
      </c>
      <c r="D6922" s="832">
        <v>669.36</v>
      </c>
    </row>
    <row r="6923" spans="1:4" x14ac:dyDescent="0.3">
      <c r="A6923" s="830">
        <v>87335</v>
      </c>
      <c r="B6923" s="831" t="s">
        <v>11342</v>
      </c>
      <c r="C6923" s="830" t="s">
        <v>5247</v>
      </c>
      <c r="D6923" s="832">
        <v>705.15</v>
      </c>
    </row>
    <row r="6924" spans="1:4" x14ac:dyDescent="0.3">
      <c r="A6924" s="830">
        <v>87336</v>
      </c>
      <c r="B6924" s="831" t="s">
        <v>11343</v>
      </c>
      <c r="C6924" s="830" t="s">
        <v>5247</v>
      </c>
      <c r="D6924" s="832">
        <v>700.18</v>
      </c>
    </row>
    <row r="6925" spans="1:4" x14ac:dyDescent="0.3">
      <c r="A6925" s="830">
        <v>87337</v>
      </c>
      <c r="B6925" s="831" t="s">
        <v>11344</v>
      </c>
      <c r="C6925" s="830" t="s">
        <v>5247</v>
      </c>
      <c r="D6925" s="832">
        <v>709.33</v>
      </c>
    </row>
    <row r="6926" spans="1:4" x14ac:dyDescent="0.3">
      <c r="A6926" s="830">
        <v>87338</v>
      </c>
      <c r="B6926" s="831" t="s">
        <v>11345</v>
      </c>
      <c r="C6926" s="830" t="s">
        <v>5247</v>
      </c>
      <c r="D6926" s="832">
        <v>701.62</v>
      </c>
    </row>
    <row r="6927" spans="1:4" x14ac:dyDescent="0.3">
      <c r="A6927" s="830">
        <v>87339</v>
      </c>
      <c r="B6927" s="831" t="s">
        <v>11346</v>
      </c>
      <c r="C6927" s="830" t="s">
        <v>5247</v>
      </c>
      <c r="D6927" s="832">
        <v>878.9</v>
      </c>
    </row>
    <row r="6928" spans="1:4" x14ac:dyDescent="0.3">
      <c r="A6928" s="830">
        <v>87340</v>
      </c>
      <c r="B6928" s="831" t="s">
        <v>11347</v>
      </c>
      <c r="C6928" s="830" t="s">
        <v>5247</v>
      </c>
      <c r="D6928" s="832">
        <v>735.97</v>
      </c>
    </row>
    <row r="6929" spans="1:4" x14ac:dyDescent="0.3">
      <c r="A6929" s="830">
        <v>87341</v>
      </c>
      <c r="B6929" s="831" t="s">
        <v>11348</v>
      </c>
      <c r="C6929" s="830" t="s">
        <v>5247</v>
      </c>
      <c r="D6929" s="832">
        <v>698.19</v>
      </c>
    </row>
    <row r="6930" spans="1:4" x14ac:dyDescent="0.3">
      <c r="A6930" s="830">
        <v>87342</v>
      </c>
      <c r="B6930" s="831" t="s">
        <v>11349</v>
      </c>
      <c r="C6930" s="830" t="s">
        <v>5247</v>
      </c>
      <c r="D6930" s="832">
        <v>776.16</v>
      </c>
    </row>
    <row r="6931" spans="1:4" x14ac:dyDescent="0.3">
      <c r="A6931" s="830">
        <v>87343</v>
      </c>
      <c r="B6931" s="831" t="s">
        <v>11350</v>
      </c>
      <c r="C6931" s="830" t="s">
        <v>5247</v>
      </c>
      <c r="D6931" s="832">
        <v>694.98</v>
      </c>
    </row>
    <row r="6932" spans="1:4" x14ac:dyDescent="0.3">
      <c r="A6932" s="830">
        <v>87344</v>
      </c>
      <c r="B6932" s="831" t="s">
        <v>11351</v>
      </c>
      <c r="C6932" s="830" t="s">
        <v>5247</v>
      </c>
      <c r="D6932" s="832">
        <v>648.91</v>
      </c>
    </row>
    <row r="6933" spans="1:4" x14ac:dyDescent="0.3">
      <c r="A6933" s="830">
        <v>87345</v>
      </c>
      <c r="B6933" s="831" t="s">
        <v>11352</v>
      </c>
      <c r="C6933" s="830" t="s">
        <v>5247</v>
      </c>
      <c r="D6933" s="832">
        <v>717.64</v>
      </c>
    </row>
    <row r="6934" spans="1:4" x14ac:dyDescent="0.3">
      <c r="A6934" s="830">
        <v>87346</v>
      </c>
      <c r="B6934" s="831" t="s">
        <v>11353</v>
      </c>
      <c r="C6934" s="830" t="s">
        <v>5247</v>
      </c>
      <c r="D6934" s="832">
        <v>650.64</v>
      </c>
    </row>
    <row r="6935" spans="1:4" x14ac:dyDescent="0.3">
      <c r="A6935" s="830">
        <v>87347</v>
      </c>
      <c r="B6935" s="831" t="s">
        <v>11354</v>
      </c>
      <c r="C6935" s="830" t="s">
        <v>5247</v>
      </c>
      <c r="D6935" s="832">
        <v>614.22</v>
      </c>
    </row>
    <row r="6936" spans="1:4" x14ac:dyDescent="0.3">
      <c r="A6936" s="830">
        <v>87348</v>
      </c>
      <c r="B6936" s="831" t="s">
        <v>11355</v>
      </c>
      <c r="C6936" s="830" t="s">
        <v>5247</v>
      </c>
      <c r="D6936" s="832">
        <v>674.15</v>
      </c>
    </row>
    <row r="6937" spans="1:4" x14ac:dyDescent="0.3">
      <c r="A6937" s="830">
        <v>87349</v>
      </c>
      <c r="B6937" s="831" t="s">
        <v>11356</v>
      </c>
      <c r="C6937" s="830" t="s">
        <v>5247</v>
      </c>
      <c r="D6937" s="832">
        <v>585.54999999999995</v>
      </c>
    </row>
    <row r="6938" spans="1:4" x14ac:dyDescent="0.3">
      <c r="A6938" s="830">
        <v>87350</v>
      </c>
      <c r="B6938" s="831" t="s">
        <v>11357</v>
      </c>
      <c r="C6938" s="830" t="s">
        <v>5247</v>
      </c>
      <c r="D6938" s="832">
        <v>566.69000000000005</v>
      </c>
    </row>
    <row r="6939" spans="1:4" x14ac:dyDescent="0.3">
      <c r="A6939" s="830">
        <v>87351</v>
      </c>
      <c r="B6939" s="831" t="s">
        <v>11358</v>
      </c>
      <c r="C6939" s="830" t="s">
        <v>5247</v>
      </c>
      <c r="D6939" s="832">
        <v>483.28</v>
      </c>
    </row>
    <row r="6940" spans="1:4" x14ac:dyDescent="0.3">
      <c r="A6940" s="830">
        <v>87352</v>
      </c>
      <c r="B6940" s="831" t="s">
        <v>11359</v>
      </c>
      <c r="C6940" s="830" t="s">
        <v>5247</v>
      </c>
      <c r="D6940" s="832">
        <v>672.91</v>
      </c>
    </row>
    <row r="6941" spans="1:4" x14ac:dyDescent="0.3">
      <c r="A6941" s="830">
        <v>87353</v>
      </c>
      <c r="B6941" s="831" t="s">
        <v>11360</v>
      </c>
      <c r="C6941" s="830" t="s">
        <v>5247</v>
      </c>
      <c r="D6941" s="832">
        <v>583.57000000000005</v>
      </c>
    </row>
    <row r="6942" spans="1:4" x14ac:dyDescent="0.3">
      <c r="A6942" s="830">
        <v>87354</v>
      </c>
      <c r="B6942" s="831" t="s">
        <v>11361</v>
      </c>
      <c r="C6942" s="830" t="s">
        <v>5247</v>
      </c>
      <c r="D6942" s="832">
        <v>542.70000000000005</v>
      </c>
    </row>
    <row r="6943" spans="1:4" x14ac:dyDescent="0.3">
      <c r="A6943" s="830">
        <v>87355</v>
      </c>
      <c r="B6943" s="831" t="s">
        <v>11362</v>
      </c>
      <c r="C6943" s="830" t="s">
        <v>5247</v>
      </c>
      <c r="D6943" s="832">
        <v>592.48</v>
      </c>
    </row>
    <row r="6944" spans="1:4" x14ac:dyDescent="0.3">
      <c r="A6944" s="830">
        <v>87356</v>
      </c>
      <c r="B6944" s="831" t="s">
        <v>11363</v>
      </c>
      <c r="C6944" s="830" t="s">
        <v>5247</v>
      </c>
      <c r="D6944" s="832">
        <v>532.67999999999995</v>
      </c>
    </row>
    <row r="6945" spans="1:4" x14ac:dyDescent="0.3">
      <c r="A6945" s="830">
        <v>87357</v>
      </c>
      <c r="B6945" s="831" t="s">
        <v>11364</v>
      </c>
      <c r="C6945" s="830" t="s">
        <v>5247</v>
      </c>
      <c r="D6945" s="832">
        <v>502.16</v>
      </c>
    </row>
    <row r="6946" spans="1:4" x14ac:dyDescent="0.3">
      <c r="A6946" s="830">
        <v>87358</v>
      </c>
      <c r="B6946" s="831" t="s">
        <v>11365</v>
      </c>
      <c r="C6946" s="830" t="s">
        <v>5247</v>
      </c>
      <c r="D6946" s="832">
        <v>3236.19</v>
      </c>
    </row>
    <row r="6947" spans="1:4" x14ac:dyDescent="0.3">
      <c r="A6947" s="830">
        <v>87359</v>
      </c>
      <c r="B6947" s="831" t="s">
        <v>11366</v>
      </c>
      <c r="C6947" s="830" t="s">
        <v>5247</v>
      </c>
      <c r="D6947" s="832">
        <v>3199.1</v>
      </c>
    </row>
    <row r="6948" spans="1:4" x14ac:dyDescent="0.3">
      <c r="A6948" s="830">
        <v>87360</v>
      </c>
      <c r="B6948" s="831" t="s">
        <v>11367</v>
      </c>
      <c r="C6948" s="830" t="s">
        <v>5247</v>
      </c>
      <c r="D6948" s="832">
        <v>3325.31</v>
      </c>
    </row>
    <row r="6949" spans="1:4" x14ac:dyDescent="0.3">
      <c r="A6949" s="830">
        <v>87361</v>
      </c>
      <c r="B6949" s="831" t="s">
        <v>11368</v>
      </c>
      <c r="C6949" s="830" t="s">
        <v>5247</v>
      </c>
      <c r="D6949" s="832">
        <v>3270.46</v>
      </c>
    </row>
    <row r="6950" spans="1:4" x14ac:dyDescent="0.3">
      <c r="A6950" s="830">
        <v>87362</v>
      </c>
      <c r="B6950" s="831" t="s">
        <v>11369</v>
      </c>
      <c r="C6950" s="830" t="s">
        <v>5247</v>
      </c>
      <c r="D6950" s="832">
        <v>3261.99</v>
      </c>
    </row>
    <row r="6951" spans="1:4" x14ac:dyDescent="0.3">
      <c r="A6951" s="830">
        <v>87363</v>
      </c>
      <c r="B6951" s="831" t="s">
        <v>11370</v>
      </c>
      <c r="C6951" s="830" t="s">
        <v>5247</v>
      </c>
      <c r="D6951" s="832">
        <v>3266.44</v>
      </c>
    </row>
    <row r="6952" spans="1:4" x14ac:dyDescent="0.3">
      <c r="A6952" s="830">
        <v>87364</v>
      </c>
      <c r="B6952" s="831" t="s">
        <v>11371</v>
      </c>
      <c r="C6952" s="830" t="s">
        <v>5247</v>
      </c>
      <c r="D6952" s="832">
        <v>3225.56</v>
      </c>
    </row>
    <row r="6953" spans="1:4" x14ac:dyDescent="0.3">
      <c r="A6953" s="830">
        <v>87365</v>
      </c>
      <c r="B6953" s="831" t="s">
        <v>11372</v>
      </c>
      <c r="C6953" s="830" t="s">
        <v>5247</v>
      </c>
      <c r="D6953" s="832">
        <v>666.98</v>
      </c>
    </row>
    <row r="6954" spans="1:4" x14ac:dyDescent="0.3">
      <c r="A6954" s="830">
        <v>87366</v>
      </c>
      <c r="B6954" s="831" t="s">
        <v>11373</v>
      </c>
      <c r="C6954" s="830" t="s">
        <v>5247</v>
      </c>
      <c r="D6954" s="832">
        <v>690.99</v>
      </c>
    </row>
    <row r="6955" spans="1:4" x14ac:dyDescent="0.3">
      <c r="A6955" s="830">
        <v>87367</v>
      </c>
      <c r="B6955" s="831" t="s">
        <v>3287</v>
      </c>
      <c r="C6955" s="830" t="s">
        <v>5247</v>
      </c>
      <c r="D6955" s="832">
        <v>836.98</v>
      </c>
    </row>
    <row r="6956" spans="1:4" x14ac:dyDescent="0.3">
      <c r="A6956" s="830">
        <v>87368</v>
      </c>
      <c r="B6956" s="831" t="s">
        <v>11374</v>
      </c>
      <c r="C6956" s="830" t="s">
        <v>5247</v>
      </c>
      <c r="D6956" s="832">
        <v>838</v>
      </c>
    </row>
    <row r="6957" spans="1:4" x14ac:dyDescent="0.3">
      <c r="A6957" s="830">
        <v>87369</v>
      </c>
      <c r="B6957" s="831" t="s">
        <v>11375</v>
      </c>
      <c r="C6957" s="830" t="s">
        <v>5247</v>
      </c>
      <c r="D6957" s="832">
        <v>867.64</v>
      </c>
    </row>
    <row r="6958" spans="1:4" x14ac:dyDescent="0.3">
      <c r="A6958" s="830">
        <v>87370</v>
      </c>
      <c r="B6958" s="831" t="s">
        <v>11376</v>
      </c>
      <c r="C6958" s="830" t="s">
        <v>5247</v>
      </c>
      <c r="D6958" s="832">
        <v>841.37</v>
      </c>
    </row>
    <row r="6959" spans="1:4" x14ac:dyDescent="0.3">
      <c r="A6959" s="830">
        <v>87371</v>
      </c>
      <c r="B6959" s="831" t="s">
        <v>11377</v>
      </c>
      <c r="C6959" s="830" t="s">
        <v>5247</v>
      </c>
      <c r="D6959" s="832">
        <v>844.87</v>
      </c>
    </row>
    <row r="6960" spans="1:4" x14ac:dyDescent="0.3">
      <c r="A6960" s="830">
        <v>87372</v>
      </c>
      <c r="B6960" s="831" t="s">
        <v>11378</v>
      </c>
      <c r="C6960" s="830" t="s">
        <v>5247</v>
      </c>
      <c r="D6960" s="832">
        <v>883.3</v>
      </c>
    </row>
    <row r="6961" spans="1:4" x14ac:dyDescent="0.3">
      <c r="A6961" s="830">
        <v>87373</v>
      </c>
      <c r="B6961" s="831" t="s">
        <v>11379</v>
      </c>
      <c r="C6961" s="830" t="s">
        <v>5247</v>
      </c>
      <c r="D6961" s="832">
        <v>818.79</v>
      </c>
    </row>
    <row r="6962" spans="1:4" x14ac:dyDescent="0.3">
      <c r="A6962" s="830">
        <v>87374</v>
      </c>
      <c r="B6962" s="831" t="s">
        <v>11380</v>
      </c>
      <c r="C6962" s="830" t="s">
        <v>5247</v>
      </c>
      <c r="D6962" s="832">
        <v>785.51</v>
      </c>
    </row>
    <row r="6963" spans="1:4" x14ac:dyDescent="0.3">
      <c r="A6963" s="830">
        <v>87375</v>
      </c>
      <c r="B6963" s="831" t="s">
        <v>11381</v>
      </c>
      <c r="C6963" s="830" t="s">
        <v>5247</v>
      </c>
      <c r="D6963" s="832">
        <v>766.42</v>
      </c>
    </row>
    <row r="6964" spans="1:4" x14ac:dyDescent="0.3">
      <c r="A6964" s="830">
        <v>87376</v>
      </c>
      <c r="B6964" s="831" t="s">
        <v>11382</v>
      </c>
      <c r="C6964" s="830" t="s">
        <v>5247</v>
      </c>
      <c r="D6964" s="832">
        <v>649.86</v>
      </c>
    </row>
    <row r="6965" spans="1:4" x14ac:dyDescent="0.3">
      <c r="A6965" s="830">
        <v>87377</v>
      </c>
      <c r="B6965" s="831" t="s">
        <v>11383</v>
      </c>
      <c r="C6965" s="830" t="s">
        <v>5247</v>
      </c>
      <c r="D6965" s="832">
        <v>718.79</v>
      </c>
    </row>
    <row r="6966" spans="1:4" x14ac:dyDescent="0.3">
      <c r="A6966" s="830">
        <v>87378</v>
      </c>
      <c r="B6966" s="831" t="s">
        <v>11384</v>
      </c>
      <c r="C6966" s="830" t="s">
        <v>5247</v>
      </c>
      <c r="D6966" s="832">
        <v>671.93</v>
      </c>
    </row>
    <row r="6967" spans="1:4" x14ac:dyDescent="0.3">
      <c r="A6967" s="830">
        <v>87379</v>
      </c>
      <c r="B6967" s="831" t="s">
        <v>11385</v>
      </c>
      <c r="C6967" s="830" t="s">
        <v>5247</v>
      </c>
      <c r="D6967" s="832">
        <v>3380.71</v>
      </c>
    </row>
    <row r="6968" spans="1:4" x14ac:dyDescent="0.3">
      <c r="A6968" s="830">
        <v>87380</v>
      </c>
      <c r="B6968" s="831" t="s">
        <v>11386</v>
      </c>
      <c r="C6968" s="830" t="s">
        <v>5247</v>
      </c>
      <c r="D6968" s="832">
        <v>3451.94</v>
      </c>
    </row>
    <row r="6969" spans="1:4" x14ac:dyDescent="0.3">
      <c r="A6969" s="830">
        <v>87381</v>
      </c>
      <c r="B6969" s="831" t="s">
        <v>11387</v>
      </c>
      <c r="C6969" s="830" t="s">
        <v>5247</v>
      </c>
      <c r="D6969" s="832">
        <v>3403.27</v>
      </c>
    </row>
    <row r="6970" spans="1:4" x14ac:dyDescent="0.3">
      <c r="A6970" s="830">
        <v>87382</v>
      </c>
      <c r="B6970" s="831" t="s">
        <v>11388</v>
      </c>
      <c r="C6970" s="830" t="s">
        <v>5247</v>
      </c>
      <c r="D6970" s="832">
        <v>1519.72</v>
      </c>
    </row>
    <row r="6971" spans="1:4" x14ac:dyDescent="0.3">
      <c r="A6971" s="830">
        <v>87383</v>
      </c>
      <c r="B6971" s="831" t="s">
        <v>11389</v>
      </c>
      <c r="C6971" s="830" t="s">
        <v>5247</v>
      </c>
      <c r="D6971" s="832">
        <v>1508.72</v>
      </c>
    </row>
    <row r="6972" spans="1:4" x14ac:dyDescent="0.3">
      <c r="A6972" s="830">
        <v>87384</v>
      </c>
      <c r="B6972" s="831" t="s">
        <v>11390</v>
      </c>
      <c r="C6972" s="830" t="s">
        <v>5247</v>
      </c>
      <c r="D6972" s="832">
        <v>1494.36</v>
      </c>
    </row>
    <row r="6973" spans="1:4" x14ac:dyDescent="0.3">
      <c r="A6973" s="830">
        <v>87385</v>
      </c>
      <c r="B6973" s="831" t="s">
        <v>11391</v>
      </c>
      <c r="C6973" s="830" t="s">
        <v>5247</v>
      </c>
      <c r="D6973" s="832">
        <v>1767.35</v>
      </c>
    </row>
    <row r="6974" spans="1:4" x14ac:dyDescent="0.3">
      <c r="A6974" s="830">
        <v>87386</v>
      </c>
      <c r="B6974" s="831" t="s">
        <v>11392</v>
      </c>
      <c r="C6974" s="830" t="s">
        <v>5247</v>
      </c>
      <c r="D6974" s="832">
        <v>1749.46</v>
      </c>
    </row>
    <row r="6975" spans="1:4" x14ac:dyDescent="0.3">
      <c r="A6975" s="830">
        <v>87387</v>
      </c>
      <c r="B6975" s="831" t="s">
        <v>11393</v>
      </c>
      <c r="C6975" s="830" t="s">
        <v>5247</v>
      </c>
      <c r="D6975" s="832">
        <v>1736.19</v>
      </c>
    </row>
    <row r="6976" spans="1:4" x14ac:dyDescent="0.3">
      <c r="A6976" s="830">
        <v>87388</v>
      </c>
      <c r="B6976" s="831" t="s">
        <v>11394</v>
      </c>
      <c r="C6976" s="830" t="s">
        <v>5247</v>
      </c>
      <c r="D6976" s="832">
        <v>4170.6499999999996</v>
      </c>
    </row>
    <row r="6977" spans="1:4" x14ac:dyDescent="0.3">
      <c r="A6977" s="830">
        <v>87389</v>
      </c>
      <c r="B6977" s="831" t="s">
        <v>11395</v>
      </c>
      <c r="C6977" s="830" t="s">
        <v>5247</v>
      </c>
      <c r="D6977" s="832">
        <v>4178.01</v>
      </c>
    </row>
    <row r="6978" spans="1:4" x14ac:dyDescent="0.3">
      <c r="A6978" s="830">
        <v>87390</v>
      </c>
      <c r="B6978" s="831" t="s">
        <v>11396</v>
      </c>
      <c r="C6978" s="830" t="s">
        <v>5247</v>
      </c>
      <c r="D6978" s="832">
        <v>4191.2700000000004</v>
      </c>
    </row>
    <row r="6979" spans="1:4" x14ac:dyDescent="0.3">
      <c r="A6979" s="830">
        <v>87391</v>
      </c>
      <c r="B6979" s="831" t="s">
        <v>11397</v>
      </c>
      <c r="C6979" s="830" t="s">
        <v>5247</v>
      </c>
      <c r="D6979" s="832">
        <v>4655.12</v>
      </c>
    </row>
    <row r="6980" spans="1:4" x14ac:dyDescent="0.3">
      <c r="A6980" s="830">
        <v>87393</v>
      </c>
      <c r="B6980" s="831" t="s">
        <v>11398</v>
      </c>
      <c r="C6980" s="830" t="s">
        <v>5247</v>
      </c>
      <c r="D6980" s="832">
        <v>4686.82</v>
      </c>
    </row>
    <row r="6981" spans="1:4" x14ac:dyDescent="0.3">
      <c r="A6981" s="830">
        <v>87394</v>
      </c>
      <c r="B6981" s="831" t="s">
        <v>11399</v>
      </c>
      <c r="C6981" s="830" t="s">
        <v>5247</v>
      </c>
      <c r="D6981" s="832">
        <v>4718.51</v>
      </c>
    </row>
    <row r="6982" spans="1:4" x14ac:dyDescent="0.3">
      <c r="A6982" s="830">
        <v>87395</v>
      </c>
      <c r="B6982" s="831" t="s">
        <v>11400</v>
      </c>
      <c r="C6982" s="830" t="s">
        <v>5247</v>
      </c>
      <c r="D6982" s="832">
        <v>2954.29</v>
      </c>
    </row>
    <row r="6983" spans="1:4" x14ac:dyDescent="0.3">
      <c r="A6983" s="830">
        <v>87396</v>
      </c>
      <c r="B6983" s="831" t="s">
        <v>11401</v>
      </c>
      <c r="C6983" s="830" t="s">
        <v>5247</v>
      </c>
      <c r="D6983" s="832">
        <v>2963.15</v>
      </c>
    </row>
    <row r="6984" spans="1:4" x14ac:dyDescent="0.3">
      <c r="A6984" s="830">
        <v>87397</v>
      </c>
      <c r="B6984" s="831" t="s">
        <v>11402</v>
      </c>
      <c r="C6984" s="830" t="s">
        <v>5247</v>
      </c>
      <c r="D6984" s="832">
        <v>2973.02</v>
      </c>
    </row>
    <row r="6985" spans="1:4" x14ac:dyDescent="0.3">
      <c r="A6985" s="830">
        <v>87398</v>
      </c>
      <c r="B6985" s="831" t="s">
        <v>11403</v>
      </c>
      <c r="C6985" s="830" t="s">
        <v>5247</v>
      </c>
      <c r="D6985" s="832">
        <v>1731</v>
      </c>
    </row>
    <row r="6986" spans="1:4" x14ac:dyDescent="0.3">
      <c r="A6986" s="830">
        <v>87399</v>
      </c>
      <c r="B6986" s="831" t="s">
        <v>11404</v>
      </c>
      <c r="C6986" s="830" t="s">
        <v>5247</v>
      </c>
      <c r="D6986" s="832">
        <v>1979.8</v>
      </c>
    </row>
    <row r="6987" spans="1:4" x14ac:dyDescent="0.3">
      <c r="A6987" s="830">
        <v>87401</v>
      </c>
      <c r="B6987" s="831" t="s">
        <v>11405</v>
      </c>
      <c r="C6987" s="830" t="s">
        <v>5247</v>
      </c>
      <c r="D6987" s="832">
        <v>4957.75</v>
      </c>
    </row>
    <row r="6988" spans="1:4" x14ac:dyDescent="0.3">
      <c r="A6988" s="830">
        <v>87402</v>
      </c>
      <c r="B6988" s="831" t="s">
        <v>11406</v>
      </c>
      <c r="C6988" s="830" t="s">
        <v>5247</v>
      </c>
      <c r="D6988" s="832">
        <v>3222.1</v>
      </c>
    </row>
    <row r="6989" spans="1:4" x14ac:dyDescent="0.3">
      <c r="A6989" s="830">
        <v>87404</v>
      </c>
      <c r="B6989" s="831" t="s">
        <v>11407</v>
      </c>
      <c r="C6989" s="830" t="s">
        <v>5247</v>
      </c>
      <c r="D6989" s="832">
        <v>4355.75</v>
      </c>
    </row>
    <row r="6990" spans="1:4" x14ac:dyDescent="0.3">
      <c r="A6990" s="830">
        <v>87405</v>
      </c>
      <c r="B6990" s="831" t="s">
        <v>11408</v>
      </c>
      <c r="C6990" s="830" t="s">
        <v>5247</v>
      </c>
      <c r="D6990" s="832">
        <v>4353.0200000000004</v>
      </c>
    </row>
    <row r="6991" spans="1:4" x14ac:dyDescent="0.3">
      <c r="A6991" s="830">
        <v>87407</v>
      </c>
      <c r="B6991" s="831" t="s">
        <v>11409</v>
      </c>
      <c r="C6991" s="830" t="s">
        <v>5247</v>
      </c>
      <c r="D6991" s="832">
        <v>1553.74</v>
      </c>
    </row>
    <row r="6992" spans="1:4" x14ac:dyDescent="0.3">
      <c r="A6992" s="830">
        <v>87408</v>
      </c>
      <c r="B6992" s="831" t="s">
        <v>11410</v>
      </c>
      <c r="C6992" s="830" t="s">
        <v>5247</v>
      </c>
      <c r="D6992" s="832">
        <v>1535.01</v>
      </c>
    </row>
    <row r="6993" spans="1:4" x14ac:dyDescent="0.3">
      <c r="A6993" s="830">
        <v>87410</v>
      </c>
      <c r="B6993" s="831" t="s">
        <v>11411</v>
      </c>
      <c r="C6993" s="830" t="s">
        <v>5247</v>
      </c>
      <c r="D6993" s="832">
        <v>776.58</v>
      </c>
    </row>
    <row r="6994" spans="1:4" x14ac:dyDescent="0.3">
      <c r="A6994" s="830">
        <v>88626</v>
      </c>
      <c r="B6994" s="831" t="s">
        <v>11412</v>
      </c>
      <c r="C6994" s="830" t="s">
        <v>5247</v>
      </c>
      <c r="D6994" s="832">
        <v>659.01</v>
      </c>
    </row>
    <row r="6995" spans="1:4" x14ac:dyDescent="0.3">
      <c r="A6995" s="830">
        <v>88627</v>
      </c>
      <c r="B6995" s="831" t="s">
        <v>11413</v>
      </c>
      <c r="C6995" s="830" t="s">
        <v>5247</v>
      </c>
      <c r="D6995" s="832">
        <v>762</v>
      </c>
    </row>
    <row r="6996" spans="1:4" x14ac:dyDescent="0.3">
      <c r="A6996" s="830">
        <v>88628</v>
      </c>
      <c r="B6996" s="831" t="s">
        <v>2760</v>
      </c>
      <c r="C6996" s="830" t="s">
        <v>5247</v>
      </c>
      <c r="D6996" s="832">
        <v>613.88</v>
      </c>
    </row>
    <row r="6997" spans="1:4" x14ac:dyDescent="0.3">
      <c r="A6997" s="830">
        <v>88629</v>
      </c>
      <c r="B6997" s="831" t="s">
        <v>3010</v>
      </c>
      <c r="C6997" s="830" t="s">
        <v>5247</v>
      </c>
      <c r="D6997" s="832">
        <v>723.62</v>
      </c>
    </row>
    <row r="6998" spans="1:4" x14ac:dyDescent="0.3">
      <c r="A6998" s="830">
        <v>88630</v>
      </c>
      <c r="B6998" s="831" t="s">
        <v>11414</v>
      </c>
      <c r="C6998" s="830" t="s">
        <v>5247</v>
      </c>
      <c r="D6998" s="832">
        <v>561.95000000000005</v>
      </c>
    </row>
    <row r="6999" spans="1:4" x14ac:dyDescent="0.3">
      <c r="A6999" s="830">
        <v>88631</v>
      </c>
      <c r="B6999" s="831" t="s">
        <v>11415</v>
      </c>
      <c r="C6999" s="830" t="s">
        <v>5247</v>
      </c>
      <c r="D6999" s="832">
        <v>673.28</v>
      </c>
    </row>
    <row r="7000" spans="1:4" x14ac:dyDescent="0.3">
      <c r="A7000" s="830">
        <v>88715</v>
      </c>
      <c r="B7000" s="831" t="s">
        <v>11416</v>
      </c>
      <c r="C7000" s="830" t="s">
        <v>5247</v>
      </c>
      <c r="D7000" s="832">
        <v>703.36</v>
      </c>
    </row>
    <row r="7001" spans="1:4" x14ac:dyDescent="0.3">
      <c r="A7001" s="830">
        <v>100464</v>
      </c>
      <c r="B7001" s="831" t="s">
        <v>11417</v>
      </c>
      <c r="C7001" s="830" t="s">
        <v>5247</v>
      </c>
      <c r="D7001" s="832">
        <v>687.06</v>
      </c>
    </row>
    <row r="7002" spans="1:4" x14ac:dyDescent="0.3">
      <c r="A7002" s="830">
        <v>100465</v>
      </c>
      <c r="B7002" s="831" t="s">
        <v>11418</v>
      </c>
      <c r="C7002" s="830" t="s">
        <v>5247</v>
      </c>
      <c r="D7002" s="832">
        <v>642.97</v>
      </c>
    </row>
    <row r="7003" spans="1:4" x14ac:dyDescent="0.3">
      <c r="A7003" s="830">
        <v>100466</v>
      </c>
      <c r="B7003" s="831" t="s">
        <v>11419</v>
      </c>
      <c r="C7003" s="830" t="s">
        <v>5247</v>
      </c>
      <c r="D7003" s="832">
        <v>620.62</v>
      </c>
    </row>
    <row r="7004" spans="1:4" x14ac:dyDescent="0.3">
      <c r="A7004" s="830">
        <v>100468</v>
      </c>
      <c r="B7004" s="831" t="s">
        <v>11420</v>
      </c>
      <c r="C7004" s="830" t="s">
        <v>5247</v>
      </c>
      <c r="D7004" s="832">
        <v>741.35</v>
      </c>
    </row>
    <row r="7005" spans="1:4" x14ac:dyDescent="0.3">
      <c r="A7005" s="830">
        <v>100469</v>
      </c>
      <c r="B7005" s="831" t="s">
        <v>11421</v>
      </c>
      <c r="C7005" s="830" t="s">
        <v>5247</v>
      </c>
      <c r="D7005" s="832">
        <v>602.57000000000005</v>
      </c>
    </row>
    <row r="7006" spans="1:4" x14ac:dyDescent="0.3">
      <c r="A7006" s="830">
        <v>100470</v>
      </c>
      <c r="B7006" s="831" t="s">
        <v>11422</v>
      </c>
      <c r="C7006" s="830" t="s">
        <v>5247</v>
      </c>
      <c r="D7006" s="832">
        <v>570.14</v>
      </c>
    </row>
    <row r="7007" spans="1:4" x14ac:dyDescent="0.3">
      <c r="A7007" s="830">
        <v>100472</v>
      </c>
      <c r="B7007" s="831" t="s">
        <v>11423</v>
      </c>
      <c r="C7007" s="830" t="s">
        <v>5247</v>
      </c>
      <c r="D7007" s="832">
        <v>623.04</v>
      </c>
    </row>
    <row r="7008" spans="1:4" x14ac:dyDescent="0.3">
      <c r="A7008" s="830">
        <v>100473</v>
      </c>
      <c r="B7008" s="831" t="s">
        <v>11424</v>
      </c>
      <c r="C7008" s="830" t="s">
        <v>5247</v>
      </c>
      <c r="D7008" s="832">
        <v>566.92999999999995</v>
      </c>
    </row>
    <row r="7009" spans="1:4" x14ac:dyDescent="0.3">
      <c r="A7009" s="830">
        <v>100474</v>
      </c>
      <c r="B7009" s="831" t="s">
        <v>11425</v>
      </c>
      <c r="C7009" s="830" t="s">
        <v>5247</v>
      </c>
      <c r="D7009" s="832">
        <v>541.47</v>
      </c>
    </row>
    <row r="7010" spans="1:4" x14ac:dyDescent="0.3">
      <c r="A7010" s="830">
        <v>100475</v>
      </c>
      <c r="B7010" s="831" t="s">
        <v>3289</v>
      </c>
      <c r="C7010" s="830" t="s">
        <v>5247</v>
      </c>
      <c r="D7010" s="832">
        <v>787.23</v>
      </c>
    </row>
    <row r="7011" spans="1:4" x14ac:dyDescent="0.3">
      <c r="A7011" s="830">
        <v>100477</v>
      </c>
      <c r="B7011" s="831" t="s">
        <v>11426</v>
      </c>
      <c r="C7011" s="830" t="s">
        <v>5247</v>
      </c>
      <c r="D7011" s="832">
        <v>858.58</v>
      </c>
    </row>
    <row r="7012" spans="1:4" x14ac:dyDescent="0.3">
      <c r="A7012" s="830">
        <v>100478</v>
      </c>
      <c r="B7012" s="831" t="s">
        <v>11427</v>
      </c>
      <c r="C7012" s="830" t="s">
        <v>5247</v>
      </c>
      <c r="D7012" s="832">
        <v>771.93</v>
      </c>
    </row>
    <row r="7013" spans="1:4" x14ac:dyDescent="0.3">
      <c r="A7013" s="830">
        <v>100479</v>
      </c>
      <c r="B7013" s="831" t="s">
        <v>11428</v>
      </c>
      <c r="C7013" s="830" t="s">
        <v>5247</v>
      </c>
      <c r="D7013" s="832">
        <v>751.67</v>
      </c>
    </row>
    <row r="7014" spans="1:4" x14ac:dyDescent="0.3">
      <c r="A7014" s="830">
        <v>100480</v>
      </c>
      <c r="B7014" s="831" t="s">
        <v>11429</v>
      </c>
      <c r="C7014" s="830" t="s">
        <v>5247</v>
      </c>
      <c r="D7014" s="832">
        <v>895.18</v>
      </c>
    </row>
    <row r="7015" spans="1:4" x14ac:dyDescent="0.3">
      <c r="A7015" s="830">
        <v>100481</v>
      </c>
      <c r="B7015" s="831" t="s">
        <v>11430</v>
      </c>
      <c r="C7015" s="830" t="s">
        <v>5247</v>
      </c>
      <c r="D7015" s="832">
        <v>704.1</v>
      </c>
    </row>
    <row r="7016" spans="1:4" x14ac:dyDescent="0.3">
      <c r="A7016" s="830">
        <v>100483</v>
      </c>
      <c r="B7016" s="831" t="s">
        <v>11431</v>
      </c>
      <c r="C7016" s="830" t="s">
        <v>5247</v>
      </c>
      <c r="D7016" s="832">
        <v>756.38</v>
      </c>
    </row>
    <row r="7017" spans="1:4" x14ac:dyDescent="0.3">
      <c r="A7017" s="830">
        <v>100484</v>
      </c>
      <c r="B7017" s="831" t="s">
        <v>11432</v>
      </c>
      <c r="C7017" s="830" t="s">
        <v>5247</v>
      </c>
      <c r="D7017" s="832">
        <v>701.37</v>
      </c>
    </row>
    <row r="7018" spans="1:4" x14ac:dyDescent="0.3">
      <c r="A7018" s="830">
        <v>100485</v>
      </c>
      <c r="B7018" s="831" t="s">
        <v>11433</v>
      </c>
      <c r="C7018" s="830" t="s">
        <v>5247</v>
      </c>
      <c r="D7018" s="832">
        <v>677.93</v>
      </c>
    </row>
    <row r="7019" spans="1:4" x14ac:dyDescent="0.3">
      <c r="A7019" s="830">
        <v>100486</v>
      </c>
      <c r="B7019" s="831" t="s">
        <v>11434</v>
      </c>
      <c r="C7019" s="830" t="s">
        <v>5247</v>
      </c>
      <c r="D7019" s="832">
        <v>817.6</v>
      </c>
    </row>
    <row r="7020" spans="1:4" x14ac:dyDescent="0.3">
      <c r="A7020" s="830">
        <v>100487</v>
      </c>
      <c r="B7020" s="831" t="s">
        <v>11435</v>
      </c>
      <c r="C7020" s="830" t="s">
        <v>5247</v>
      </c>
      <c r="D7020" s="832">
        <v>669.54</v>
      </c>
    </row>
    <row r="7021" spans="1:4" x14ac:dyDescent="0.3">
      <c r="A7021" s="830">
        <v>100488</v>
      </c>
      <c r="B7021" s="831" t="s">
        <v>11436</v>
      </c>
      <c r="C7021" s="830" t="s">
        <v>5247</v>
      </c>
      <c r="D7021" s="832">
        <v>647.64</v>
      </c>
    </row>
    <row r="7022" spans="1:4" x14ac:dyDescent="0.3">
      <c r="A7022" s="830">
        <v>100489</v>
      </c>
      <c r="B7022" s="831" t="s">
        <v>11437</v>
      </c>
      <c r="C7022" s="830" t="s">
        <v>5247</v>
      </c>
      <c r="D7022" s="832">
        <v>609.79</v>
      </c>
    </row>
    <row r="7023" spans="1:4" x14ac:dyDescent="0.3">
      <c r="A7023" s="830">
        <v>100490</v>
      </c>
      <c r="B7023" s="831" t="s">
        <v>11438</v>
      </c>
      <c r="C7023" s="830" t="s">
        <v>5247</v>
      </c>
      <c r="D7023" s="832">
        <v>563.04</v>
      </c>
    </row>
    <row r="7024" spans="1:4" x14ac:dyDescent="0.3">
      <c r="A7024" s="830">
        <v>100491</v>
      </c>
      <c r="B7024" s="831" t="s">
        <v>11439</v>
      </c>
      <c r="C7024" s="830" t="s">
        <v>5247</v>
      </c>
      <c r="D7024" s="832">
        <v>784.17</v>
      </c>
    </row>
    <row r="7025" spans="1:4" x14ac:dyDescent="0.3">
      <c r="A7025" s="830">
        <v>100492</v>
      </c>
      <c r="B7025" s="831" t="s">
        <v>11440</v>
      </c>
      <c r="C7025" s="830" t="s">
        <v>5247</v>
      </c>
      <c r="D7025" s="832">
        <v>701.54</v>
      </c>
    </row>
    <row r="7026" spans="1:4" x14ac:dyDescent="0.3">
      <c r="A7026" s="830">
        <v>105515</v>
      </c>
      <c r="B7026" s="831" t="s">
        <v>11441</v>
      </c>
      <c r="C7026" s="830" t="s">
        <v>5247</v>
      </c>
      <c r="D7026" s="832">
        <v>851.05</v>
      </c>
    </row>
    <row r="7027" spans="1:4" x14ac:dyDescent="0.3">
      <c r="A7027" s="830">
        <v>92121</v>
      </c>
      <c r="B7027" s="831" t="s">
        <v>11442</v>
      </c>
      <c r="C7027" s="830" t="s">
        <v>5247</v>
      </c>
      <c r="D7027" s="832">
        <v>33.340000000000003</v>
      </c>
    </row>
    <row r="7028" spans="1:4" x14ac:dyDescent="0.3">
      <c r="A7028" s="830">
        <v>92122</v>
      </c>
      <c r="B7028" s="831" t="s">
        <v>11443</v>
      </c>
      <c r="C7028" s="830" t="s">
        <v>5247</v>
      </c>
      <c r="D7028" s="832">
        <v>56.11</v>
      </c>
    </row>
    <row r="7029" spans="1:4" x14ac:dyDescent="0.3">
      <c r="A7029" s="830">
        <v>92123</v>
      </c>
      <c r="B7029" s="831" t="s">
        <v>11444</v>
      </c>
      <c r="C7029" s="830" t="s">
        <v>5247</v>
      </c>
      <c r="D7029" s="832">
        <v>58.77</v>
      </c>
    </row>
    <row r="7030" spans="1:4" x14ac:dyDescent="0.3">
      <c r="A7030" s="830">
        <v>100195</v>
      </c>
      <c r="B7030" s="831" t="s">
        <v>11445</v>
      </c>
      <c r="C7030" s="830" t="s">
        <v>11446</v>
      </c>
      <c r="D7030" s="832">
        <v>0.85</v>
      </c>
    </row>
    <row r="7031" spans="1:4" x14ac:dyDescent="0.3">
      <c r="A7031" s="830">
        <v>100196</v>
      </c>
      <c r="B7031" s="831" t="s">
        <v>11447</v>
      </c>
      <c r="C7031" s="830" t="s">
        <v>11446</v>
      </c>
      <c r="D7031" s="832">
        <v>1.43</v>
      </c>
    </row>
    <row r="7032" spans="1:4" x14ac:dyDescent="0.3">
      <c r="A7032" s="830">
        <v>100197</v>
      </c>
      <c r="B7032" s="831" t="s">
        <v>11448</v>
      </c>
      <c r="C7032" s="830" t="s">
        <v>11446</v>
      </c>
      <c r="D7032" s="832">
        <v>2.14</v>
      </c>
    </row>
    <row r="7033" spans="1:4" x14ac:dyDescent="0.3">
      <c r="A7033" s="830">
        <v>100198</v>
      </c>
      <c r="B7033" s="831" t="s">
        <v>11449</v>
      </c>
      <c r="C7033" s="830" t="s">
        <v>11446</v>
      </c>
      <c r="D7033" s="832">
        <v>0.28999999999999998</v>
      </c>
    </row>
    <row r="7034" spans="1:4" x14ac:dyDescent="0.3">
      <c r="A7034" s="830">
        <v>100199</v>
      </c>
      <c r="B7034" s="831" t="s">
        <v>11450</v>
      </c>
      <c r="C7034" s="830" t="s">
        <v>11446</v>
      </c>
      <c r="D7034" s="832">
        <v>0.36</v>
      </c>
    </row>
    <row r="7035" spans="1:4" x14ac:dyDescent="0.3">
      <c r="A7035" s="830">
        <v>100200</v>
      </c>
      <c r="B7035" s="831" t="s">
        <v>11451</v>
      </c>
      <c r="C7035" s="830" t="s">
        <v>11446</v>
      </c>
      <c r="D7035" s="832">
        <v>0.43</v>
      </c>
    </row>
    <row r="7036" spans="1:4" x14ac:dyDescent="0.3">
      <c r="A7036" s="830">
        <v>100201</v>
      </c>
      <c r="B7036" s="831" t="s">
        <v>11452</v>
      </c>
      <c r="C7036" s="830" t="s">
        <v>11446</v>
      </c>
      <c r="D7036" s="832">
        <v>0.87</v>
      </c>
    </row>
    <row r="7037" spans="1:4" x14ac:dyDescent="0.3">
      <c r="A7037" s="830">
        <v>100202</v>
      </c>
      <c r="B7037" s="831" t="s">
        <v>11453</v>
      </c>
      <c r="C7037" s="830" t="s">
        <v>11446</v>
      </c>
      <c r="D7037" s="832">
        <v>1.02</v>
      </c>
    </row>
    <row r="7038" spans="1:4" x14ac:dyDescent="0.3">
      <c r="A7038" s="830">
        <v>100203</v>
      </c>
      <c r="B7038" s="831" t="s">
        <v>11454</v>
      </c>
      <c r="C7038" s="830" t="s">
        <v>11446</v>
      </c>
      <c r="D7038" s="832">
        <v>1.2</v>
      </c>
    </row>
    <row r="7039" spans="1:4" x14ac:dyDescent="0.3">
      <c r="A7039" s="830">
        <v>100204</v>
      </c>
      <c r="B7039" s="831" t="s">
        <v>11455</v>
      </c>
      <c r="C7039" s="830" t="s">
        <v>11446</v>
      </c>
      <c r="D7039" s="832">
        <v>0.12</v>
      </c>
    </row>
    <row r="7040" spans="1:4" x14ac:dyDescent="0.3">
      <c r="A7040" s="830">
        <v>100205</v>
      </c>
      <c r="B7040" s="831" t="s">
        <v>11456</v>
      </c>
      <c r="C7040" s="830" t="s">
        <v>121</v>
      </c>
      <c r="D7040" s="832">
        <v>1598.37</v>
      </c>
    </row>
    <row r="7041" spans="1:4" x14ac:dyDescent="0.3">
      <c r="A7041" s="830">
        <v>100206</v>
      </c>
      <c r="B7041" s="831" t="s">
        <v>11457</v>
      </c>
      <c r="C7041" s="830" t="s">
        <v>121</v>
      </c>
      <c r="D7041" s="832">
        <v>1155.3499999999999</v>
      </c>
    </row>
    <row r="7042" spans="1:4" x14ac:dyDescent="0.3">
      <c r="A7042" s="830">
        <v>100207</v>
      </c>
      <c r="B7042" s="831" t="s">
        <v>11458</v>
      </c>
      <c r="C7042" s="830" t="s">
        <v>121</v>
      </c>
      <c r="D7042" s="832">
        <v>510.66</v>
      </c>
    </row>
    <row r="7043" spans="1:4" x14ac:dyDescent="0.3">
      <c r="A7043" s="830">
        <v>100208</v>
      </c>
      <c r="B7043" s="831" t="s">
        <v>11459</v>
      </c>
      <c r="C7043" s="830" t="s">
        <v>11460</v>
      </c>
      <c r="D7043" s="832">
        <v>21.14</v>
      </c>
    </row>
    <row r="7044" spans="1:4" x14ac:dyDescent="0.3">
      <c r="A7044" s="830">
        <v>100209</v>
      </c>
      <c r="B7044" s="831" t="s">
        <v>11461</v>
      </c>
      <c r="C7044" s="830" t="s">
        <v>11460</v>
      </c>
      <c r="D7044" s="832">
        <v>10.57</v>
      </c>
    </row>
    <row r="7045" spans="1:4" x14ac:dyDescent="0.3">
      <c r="A7045" s="830">
        <v>100210</v>
      </c>
      <c r="B7045" s="831" t="s">
        <v>11462</v>
      </c>
      <c r="C7045" s="830" t="s">
        <v>11460</v>
      </c>
      <c r="D7045" s="832">
        <v>19.48</v>
      </c>
    </row>
    <row r="7046" spans="1:4" x14ac:dyDescent="0.3">
      <c r="A7046" s="830">
        <v>100211</v>
      </c>
      <c r="B7046" s="831" t="s">
        <v>11463</v>
      </c>
      <c r="C7046" s="830" t="s">
        <v>11460</v>
      </c>
      <c r="D7046" s="832">
        <v>7.51</v>
      </c>
    </row>
    <row r="7047" spans="1:4" x14ac:dyDescent="0.3">
      <c r="A7047" s="830">
        <v>100212</v>
      </c>
      <c r="B7047" s="831" t="s">
        <v>11464</v>
      </c>
      <c r="C7047" s="830" t="s">
        <v>11460</v>
      </c>
      <c r="D7047" s="832">
        <v>8.3000000000000007</v>
      </c>
    </row>
    <row r="7048" spans="1:4" x14ac:dyDescent="0.3">
      <c r="A7048" s="830">
        <v>100213</v>
      </c>
      <c r="B7048" s="831" t="s">
        <v>11465</v>
      </c>
      <c r="C7048" s="830" t="s">
        <v>11460</v>
      </c>
      <c r="D7048" s="832">
        <v>2.98</v>
      </c>
    </row>
    <row r="7049" spans="1:4" x14ac:dyDescent="0.3">
      <c r="A7049" s="830">
        <v>100214</v>
      </c>
      <c r="B7049" s="831" t="s">
        <v>11466</v>
      </c>
      <c r="C7049" s="830" t="s">
        <v>11460</v>
      </c>
      <c r="D7049" s="832">
        <v>4.57</v>
      </c>
    </row>
    <row r="7050" spans="1:4" x14ac:dyDescent="0.3">
      <c r="A7050" s="830">
        <v>100215</v>
      </c>
      <c r="B7050" s="831" t="s">
        <v>11467</v>
      </c>
      <c r="C7050" s="830" t="s">
        <v>11460</v>
      </c>
      <c r="D7050" s="832">
        <v>3.92</v>
      </c>
    </row>
    <row r="7051" spans="1:4" x14ac:dyDescent="0.3">
      <c r="A7051" s="830">
        <v>100216</v>
      </c>
      <c r="B7051" s="831" t="s">
        <v>11468</v>
      </c>
      <c r="C7051" s="830" t="s">
        <v>11460</v>
      </c>
      <c r="D7051" s="832">
        <v>1.05</v>
      </c>
    </row>
    <row r="7052" spans="1:4" x14ac:dyDescent="0.3">
      <c r="A7052" s="830">
        <v>100217</v>
      </c>
      <c r="B7052" s="831" t="s">
        <v>11469</v>
      </c>
      <c r="C7052" s="830" t="s">
        <v>11460</v>
      </c>
      <c r="D7052" s="832">
        <v>3.39</v>
      </c>
    </row>
    <row r="7053" spans="1:4" x14ac:dyDescent="0.3">
      <c r="A7053" s="830">
        <v>100218</v>
      </c>
      <c r="B7053" s="831" t="s">
        <v>11470</v>
      </c>
      <c r="C7053" s="830" t="s">
        <v>11460</v>
      </c>
      <c r="D7053" s="832">
        <v>2.3199999999999998</v>
      </c>
    </row>
    <row r="7054" spans="1:4" x14ac:dyDescent="0.3">
      <c r="A7054" s="830">
        <v>100219</v>
      </c>
      <c r="B7054" s="831" t="s">
        <v>11471</v>
      </c>
      <c r="C7054" s="830" t="s">
        <v>11460</v>
      </c>
      <c r="D7054" s="832">
        <v>0.52</v>
      </c>
    </row>
    <row r="7055" spans="1:4" x14ac:dyDescent="0.3">
      <c r="A7055" s="830">
        <v>100220</v>
      </c>
      <c r="B7055" s="831" t="s">
        <v>11472</v>
      </c>
      <c r="C7055" s="830" t="s">
        <v>11473</v>
      </c>
      <c r="D7055" s="832">
        <v>30.37</v>
      </c>
    </row>
    <row r="7056" spans="1:4" x14ac:dyDescent="0.3">
      <c r="A7056" s="830">
        <v>100221</v>
      </c>
      <c r="B7056" s="831" t="s">
        <v>11474</v>
      </c>
      <c r="C7056" s="830" t="s">
        <v>11473</v>
      </c>
      <c r="D7056" s="832">
        <v>34.43</v>
      </c>
    </row>
    <row r="7057" spans="1:4" x14ac:dyDescent="0.3">
      <c r="A7057" s="830">
        <v>100222</v>
      </c>
      <c r="B7057" s="831" t="s">
        <v>11475</v>
      </c>
      <c r="C7057" s="830" t="s">
        <v>11473</v>
      </c>
      <c r="D7057" s="832">
        <v>13.04</v>
      </c>
    </row>
    <row r="7058" spans="1:4" x14ac:dyDescent="0.3">
      <c r="A7058" s="830">
        <v>100223</v>
      </c>
      <c r="B7058" s="831" t="s">
        <v>11476</v>
      </c>
      <c r="C7058" s="830" t="s">
        <v>11473</v>
      </c>
      <c r="D7058" s="832">
        <v>6.1</v>
      </c>
    </row>
    <row r="7059" spans="1:4" x14ac:dyDescent="0.3">
      <c r="A7059" s="830">
        <v>100224</v>
      </c>
      <c r="B7059" s="831" t="s">
        <v>11477</v>
      </c>
      <c r="C7059" s="830" t="s">
        <v>11473</v>
      </c>
      <c r="D7059" s="832">
        <v>3.39</v>
      </c>
    </row>
    <row r="7060" spans="1:4" x14ac:dyDescent="0.3">
      <c r="A7060" s="830">
        <v>100225</v>
      </c>
      <c r="B7060" s="831" t="s">
        <v>11478</v>
      </c>
      <c r="C7060" s="830" t="s">
        <v>11479</v>
      </c>
      <c r="D7060" s="832">
        <v>2.38</v>
      </c>
    </row>
    <row r="7061" spans="1:4" x14ac:dyDescent="0.3">
      <c r="A7061" s="830">
        <v>100226</v>
      </c>
      <c r="B7061" s="831" t="s">
        <v>11480</v>
      </c>
      <c r="C7061" s="830" t="s">
        <v>11479</v>
      </c>
      <c r="D7061" s="832">
        <v>0.75</v>
      </c>
    </row>
    <row r="7062" spans="1:4" x14ac:dyDescent="0.3">
      <c r="A7062" s="830">
        <v>100227</v>
      </c>
      <c r="B7062" s="831" t="s">
        <v>11481</v>
      </c>
      <c r="C7062" s="830" t="s">
        <v>11479</v>
      </c>
      <c r="D7062" s="832">
        <v>1.1000000000000001</v>
      </c>
    </row>
    <row r="7063" spans="1:4" x14ac:dyDescent="0.3">
      <c r="A7063" s="830">
        <v>100228</v>
      </c>
      <c r="B7063" s="831" t="s">
        <v>11482</v>
      </c>
      <c r="C7063" s="830" t="s">
        <v>11479</v>
      </c>
      <c r="D7063" s="832">
        <v>0.33</v>
      </c>
    </row>
    <row r="7064" spans="1:4" x14ac:dyDescent="0.3">
      <c r="A7064" s="830">
        <v>100229</v>
      </c>
      <c r="B7064" s="831" t="s">
        <v>11483</v>
      </c>
      <c r="C7064" s="830" t="s">
        <v>1369</v>
      </c>
      <c r="D7064" s="832">
        <v>0.01</v>
      </c>
    </row>
    <row r="7065" spans="1:4" x14ac:dyDescent="0.3">
      <c r="A7065" s="830">
        <v>100230</v>
      </c>
      <c r="B7065" s="831" t="s">
        <v>11484</v>
      </c>
      <c r="C7065" s="830" t="s">
        <v>1369</v>
      </c>
      <c r="D7065" s="832">
        <v>0.02</v>
      </c>
    </row>
    <row r="7066" spans="1:4" x14ac:dyDescent="0.3">
      <c r="A7066" s="830">
        <v>100231</v>
      </c>
      <c r="B7066" s="831" t="s">
        <v>11485</v>
      </c>
      <c r="C7066" s="830" t="s">
        <v>1369</v>
      </c>
      <c r="D7066" s="832">
        <v>0.04</v>
      </c>
    </row>
    <row r="7067" spans="1:4" x14ac:dyDescent="0.3">
      <c r="A7067" s="830">
        <v>100232</v>
      </c>
      <c r="B7067" s="831" t="s">
        <v>11486</v>
      </c>
      <c r="C7067" s="830" t="s">
        <v>89</v>
      </c>
      <c r="D7067" s="832">
        <v>0.4</v>
      </c>
    </row>
    <row r="7068" spans="1:4" x14ac:dyDescent="0.3">
      <c r="A7068" s="830">
        <v>100233</v>
      </c>
      <c r="B7068" s="831" t="s">
        <v>11487</v>
      </c>
      <c r="C7068" s="830" t="s">
        <v>89</v>
      </c>
      <c r="D7068" s="832">
        <v>0.2</v>
      </c>
    </row>
    <row r="7069" spans="1:4" x14ac:dyDescent="0.3">
      <c r="A7069" s="830">
        <v>100234</v>
      </c>
      <c r="B7069" s="831" t="s">
        <v>11488</v>
      </c>
      <c r="C7069" s="830" t="s">
        <v>252</v>
      </c>
      <c r="D7069" s="832">
        <v>0.6</v>
      </c>
    </row>
    <row r="7070" spans="1:4" x14ac:dyDescent="0.3">
      <c r="A7070" s="830">
        <v>100235</v>
      </c>
      <c r="B7070" s="831" t="s">
        <v>11489</v>
      </c>
      <c r="C7070" s="830" t="s">
        <v>2900</v>
      </c>
      <c r="D7070" s="832">
        <v>0.04</v>
      </c>
    </row>
    <row r="7071" spans="1:4" x14ac:dyDescent="0.3">
      <c r="A7071" s="830">
        <v>100236</v>
      </c>
      <c r="B7071" s="831" t="s">
        <v>11490</v>
      </c>
      <c r="C7071" s="830" t="s">
        <v>11491</v>
      </c>
      <c r="D7071" s="832">
        <v>3.03</v>
      </c>
    </row>
    <row r="7072" spans="1:4" x14ac:dyDescent="0.3">
      <c r="A7072" s="830">
        <v>100237</v>
      </c>
      <c r="B7072" s="831" t="s">
        <v>11492</v>
      </c>
      <c r="C7072" s="830" t="s">
        <v>11491</v>
      </c>
      <c r="D7072" s="832">
        <v>3.63</v>
      </c>
    </row>
    <row r="7073" spans="1:4" x14ac:dyDescent="0.3">
      <c r="A7073" s="830">
        <v>100238</v>
      </c>
      <c r="B7073" s="831" t="s">
        <v>11493</v>
      </c>
      <c r="C7073" s="830" t="s">
        <v>11491</v>
      </c>
      <c r="D7073" s="832">
        <v>5.81</v>
      </c>
    </row>
    <row r="7074" spans="1:4" x14ac:dyDescent="0.3">
      <c r="A7074" s="830">
        <v>100239</v>
      </c>
      <c r="B7074" s="831" t="s">
        <v>11494</v>
      </c>
      <c r="C7074" s="830" t="s">
        <v>11491</v>
      </c>
      <c r="D7074" s="832">
        <v>7.26</v>
      </c>
    </row>
    <row r="7075" spans="1:4" x14ac:dyDescent="0.3">
      <c r="A7075" s="830">
        <v>100240</v>
      </c>
      <c r="B7075" s="831" t="s">
        <v>11495</v>
      </c>
      <c r="C7075" s="830" t="s">
        <v>11491</v>
      </c>
      <c r="D7075" s="832">
        <v>4.3499999999999996</v>
      </c>
    </row>
    <row r="7076" spans="1:4" x14ac:dyDescent="0.3">
      <c r="A7076" s="830">
        <v>100241</v>
      </c>
      <c r="B7076" s="831" t="s">
        <v>11496</v>
      </c>
      <c r="C7076" s="830" t="s">
        <v>11491</v>
      </c>
      <c r="D7076" s="832">
        <v>7.26</v>
      </c>
    </row>
    <row r="7077" spans="1:4" x14ac:dyDescent="0.3">
      <c r="A7077" s="830">
        <v>100242</v>
      </c>
      <c r="B7077" s="831" t="s">
        <v>11497</v>
      </c>
      <c r="C7077" s="830" t="s">
        <v>11491</v>
      </c>
      <c r="D7077" s="832">
        <v>21.47</v>
      </c>
    </row>
    <row r="7078" spans="1:4" x14ac:dyDescent="0.3">
      <c r="A7078" s="830">
        <v>100243</v>
      </c>
      <c r="B7078" s="831" t="s">
        <v>11498</v>
      </c>
      <c r="C7078" s="830" t="s">
        <v>11491</v>
      </c>
      <c r="D7078" s="832">
        <v>3.48</v>
      </c>
    </row>
    <row r="7079" spans="1:4" x14ac:dyDescent="0.3">
      <c r="A7079" s="830">
        <v>100244</v>
      </c>
      <c r="B7079" s="831" t="s">
        <v>11499</v>
      </c>
      <c r="C7079" s="830" t="s">
        <v>11491</v>
      </c>
      <c r="D7079" s="832">
        <v>4.3499999999999996</v>
      </c>
    </row>
    <row r="7080" spans="1:4" x14ac:dyDescent="0.3">
      <c r="A7080" s="830">
        <v>100245</v>
      </c>
      <c r="B7080" s="831" t="s">
        <v>11500</v>
      </c>
      <c r="C7080" s="830" t="s">
        <v>11491</v>
      </c>
      <c r="D7080" s="832">
        <v>8.7200000000000006</v>
      </c>
    </row>
    <row r="7081" spans="1:4" x14ac:dyDescent="0.3">
      <c r="A7081" s="830">
        <v>100246</v>
      </c>
      <c r="B7081" s="831" t="s">
        <v>11501</v>
      </c>
      <c r="C7081" s="830" t="s">
        <v>11491</v>
      </c>
      <c r="D7081" s="832">
        <v>2.9</v>
      </c>
    </row>
    <row r="7082" spans="1:4" x14ac:dyDescent="0.3">
      <c r="A7082" s="830">
        <v>100247</v>
      </c>
      <c r="B7082" s="831" t="s">
        <v>11502</v>
      </c>
      <c r="C7082" s="830" t="s">
        <v>11491</v>
      </c>
      <c r="D7082" s="832">
        <v>3.63</v>
      </c>
    </row>
    <row r="7083" spans="1:4" x14ac:dyDescent="0.3">
      <c r="A7083" s="830">
        <v>100248</v>
      </c>
      <c r="B7083" s="831" t="s">
        <v>11503</v>
      </c>
      <c r="C7083" s="830" t="s">
        <v>11491</v>
      </c>
      <c r="D7083" s="832">
        <v>14.31</v>
      </c>
    </row>
    <row r="7084" spans="1:4" x14ac:dyDescent="0.3">
      <c r="A7084" s="830">
        <v>100249</v>
      </c>
      <c r="B7084" s="831" t="s">
        <v>11504</v>
      </c>
      <c r="C7084" s="830" t="s">
        <v>11491</v>
      </c>
      <c r="D7084" s="832">
        <v>2.9</v>
      </c>
    </row>
    <row r="7085" spans="1:4" x14ac:dyDescent="0.3">
      <c r="A7085" s="830">
        <v>100250</v>
      </c>
      <c r="B7085" s="831" t="s">
        <v>11505</v>
      </c>
      <c r="C7085" s="830" t="s">
        <v>11491</v>
      </c>
      <c r="D7085" s="832">
        <v>4.84</v>
      </c>
    </row>
    <row r="7086" spans="1:4" x14ac:dyDescent="0.3">
      <c r="A7086" s="830">
        <v>100251</v>
      </c>
      <c r="B7086" s="831" t="s">
        <v>11506</v>
      </c>
      <c r="C7086" s="830" t="s">
        <v>11491</v>
      </c>
      <c r="D7086" s="832">
        <v>14.31</v>
      </c>
    </row>
    <row r="7087" spans="1:4" x14ac:dyDescent="0.3">
      <c r="A7087" s="830">
        <v>100252</v>
      </c>
      <c r="B7087" s="831" t="s">
        <v>11507</v>
      </c>
      <c r="C7087" s="830" t="s">
        <v>11491</v>
      </c>
      <c r="D7087" s="832">
        <v>21.47</v>
      </c>
    </row>
    <row r="7088" spans="1:4" x14ac:dyDescent="0.3">
      <c r="A7088" s="830">
        <v>100253</v>
      </c>
      <c r="B7088" s="831" t="s">
        <v>11508</v>
      </c>
      <c r="C7088" s="830" t="s">
        <v>11491</v>
      </c>
      <c r="D7088" s="832">
        <v>28.63</v>
      </c>
    </row>
    <row r="7089" spans="1:4" x14ac:dyDescent="0.3">
      <c r="A7089" s="830">
        <v>100254</v>
      </c>
      <c r="B7089" s="831" t="s">
        <v>11509</v>
      </c>
      <c r="C7089" s="830" t="s">
        <v>11491</v>
      </c>
      <c r="D7089" s="832">
        <v>42.94</v>
      </c>
    </row>
    <row r="7090" spans="1:4" x14ac:dyDescent="0.3">
      <c r="A7090" s="830">
        <v>100255</v>
      </c>
      <c r="B7090" s="831" t="s">
        <v>11510</v>
      </c>
      <c r="C7090" s="830" t="s">
        <v>11491</v>
      </c>
      <c r="D7090" s="832">
        <v>14.53</v>
      </c>
    </row>
    <row r="7091" spans="1:4" x14ac:dyDescent="0.3">
      <c r="A7091" s="830">
        <v>100256</v>
      </c>
      <c r="B7091" s="831" t="s">
        <v>11511</v>
      </c>
      <c r="C7091" s="830" t="s">
        <v>11491</v>
      </c>
      <c r="D7091" s="832">
        <v>9.68</v>
      </c>
    </row>
    <row r="7092" spans="1:4" x14ac:dyDescent="0.3">
      <c r="A7092" s="830">
        <v>100257</v>
      </c>
      <c r="B7092" s="831" t="s">
        <v>11512</v>
      </c>
      <c r="C7092" s="830" t="s">
        <v>11491</v>
      </c>
      <c r="D7092" s="832">
        <v>5.81</v>
      </c>
    </row>
    <row r="7093" spans="1:4" x14ac:dyDescent="0.3">
      <c r="A7093" s="830">
        <v>100258</v>
      </c>
      <c r="B7093" s="831" t="s">
        <v>11513</v>
      </c>
      <c r="C7093" s="830" t="s">
        <v>11491</v>
      </c>
      <c r="D7093" s="832">
        <v>14.53</v>
      </c>
    </row>
    <row r="7094" spans="1:4" x14ac:dyDescent="0.3">
      <c r="A7094" s="830">
        <v>100259</v>
      </c>
      <c r="B7094" s="831" t="s">
        <v>11514</v>
      </c>
      <c r="C7094" s="830" t="s">
        <v>11491</v>
      </c>
      <c r="D7094" s="832">
        <v>28.63</v>
      </c>
    </row>
    <row r="7095" spans="1:4" x14ac:dyDescent="0.3">
      <c r="A7095" s="830">
        <v>100260</v>
      </c>
      <c r="B7095" s="831" t="s">
        <v>11515</v>
      </c>
      <c r="C7095" s="830" t="s">
        <v>11446</v>
      </c>
      <c r="D7095" s="832">
        <v>9.43</v>
      </c>
    </row>
    <row r="7096" spans="1:4" x14ac:dyDescent="0.3">
      <c r="A7096" s="830">
        <v>100261</v>
      </c>
      <c r="B7096" s="831" t="s">
        <v>11516</v>
      </c>
      <c r="C7096" s="830" t="s">
        <v>11446</v>
      </c>
      <c r="D7096" s="832">
        <v>5.93</v>
      </c>
    </row>
    <row r="7097" spans="1:4" x14ac:dyDescent="0.3">
      <c r="A7097" s="830">
        <v>100262</v>
      </c>
      <c r="B7097" s="831" t="s">
        <v>11517</v>
      </c>
      <c r="C7097" s="830" t="s">
        <v>11446</v>
      </c>
      <c r="D7097" s="832">
        <v>3.67</v>
      </c>
    </row>
    <row r="7098" spans="1:4" x14ac:dyDescent="0.3">
      <c r="A7098" s="830">
        <v>100263</v>
      </c>
      <c r="B7098" s="831" t="s">
        <v>11518</v>
      </c>
      <c r="C7098" s="830" t="s">
        <v>11446</v>
      </c>
      <c r="D7098" s="832">
        <v>2.35</v>
      </c>
    </row>
    <row r="7099" spans="1:4" x14ac:dyDescent="0.3">
      <c r="A7099" s="830">
        <v>100264</v>
      </c>
      <c r="B7099" s="831" t="s">
        <v>11519</v>
      </c>
      <c r="C7099" s="830" t="s">
        <v>11473</v>
      </c>
      <c r="D7099" s="832">
        <v>42.88</v>
      </c>
    </row>
    <row r="7100" spans="1:4" x14ac:dyDescent="0.3">
      <c r="A7100" s="830">
        <v>100265</v>
      </c>
      <c r="B7100" s="831" t="s">
        <v>11520</v>
      </c>
      <c r="C7100" s="830" t="s">
        <v>252</v>
      </c>
      <c r="D7100" s="832">
        <v>0.9</v>
      </c>
    </row>
    <row r="7101" spans="1:4" x14ac:dyDescent="0.3">
      <c r="A7101" s="830">
        <v>100266</v>
      </c>
      <c r="B7101" s="831" t="s">
        <v>11521</v>
      </c>
      <c r="C7101" s="830" t="s">
        <v>11460</v>
      </c>
      <c r="D7101" s="832">
        <v>91.13</v>
      </c>
    </row>
    <row r="7102" spans="1:4" x14ac:dyDescent="0.3">
      <c r="A7102" s="830">
        <v>100267</v>
      </c>
      <c r="B7102" s="831" t="s">
        <v>11522</v>
      </c>
      <c r="C7102" s="830" t="s">
        <v>89</v>
      </c>
      <c r="D7102" s="832">
        <v>1.8</v>
      </c>
    </row>
    <row r="7103" spans="1:4" x14ac:dyDescent="0.3">
      <c r="A7103" s="830">
        <v>100268</v>
      </c>
      <c r="B7103" s="831" t="s">
        <v>11523</v>
      </c>
      <c r="C7103" s="830" t="s">
        <v>11460</v>
      </c>
      <c r="D7103" s="832">
        <v>91.13</v>
      </c>
    </row>
    <row r="7104" spans="1:4" x14ac:dyDescent="0.3">
      <c r="A7104" s="830">
        <v>100269</v>
      </c>
      <c r="B7104" s="831" t="s">
        <v>11524</v>
      </c>
      <c r="C7104" s="830" t="s">
        <v>89</v>
      </c>
      <c r="D7104" s="832">
        <v>1.8</v>
      </c>
    </row>
    <row r="7105" spans="1:4" x14ac:dyDescent="0.3">
      <c r="A7105" s="830">
        <v>100270</v>
      </c>
      <c r="B7105" s="831" t="s">
        <v>11525</v>
      </c>
      <c r="C7105" s="830" t="s">
        <v>11460</v>
      </c>
      <c r="D7105" s="832">
        <v>68.31</v>
      </c>
    </row>
    <row r="7106" spans="1:4" x14ac:dyDescent="0.3">
      <c r="A7106" s="830">
        <v>100271</v>
      </c>
      <c r="B7106" s="831" t="s">
        <v>11526</v>
      </c>
      <c r="C7106" s="830" t="s">
        <v>11473</v>
      </c>
      <c r="D7106" s="832">
        <v>68.349999999999994</v>
      </c>
    </row>
    <row r="7107" spans="1:4" x14ac:dyDescent="0.3">
      <c r="A7107" s="830">
        <v>100272</v>
      </c>
      <c r="B7107" s="831" t="s">
        <v>11527</v>
      </c>
      <c r="C7107" s="830" t="s">
        <v>252</v>
      </c>
      <c r="D7107" s="832">
        <v>1.35</v>
      </c>
    </row>
    <row r="7108" spans="1:4" x14ac:dyDescent="0.3">
      <c r="A7108" s="830">
        <v>100273</v>
      </c>
      <c r="B7108" s="831" t="s">
        <v>11528</v>
      </c>
      <c r="C7108" s="830" t="s">
        <v>11446</v>
      </c>
      <c r="D7108" s="832">
        <v>3.56</v>
      </c>
    </row>
    <row r="7109" spans="1:4" x14ac:dyDescent="0.3">
      <c r="A7109" s="830">
        <v>100274</v>
      </c>
      <c r="B7109" s="831" t="s">
        <v>11529</v>
      </c>
      <c r="C7109" s="830" t="s">
        <v>11473</v>
      </c>
      <c r="D7109" s="832">
        <v>30.39</v>
      </c>
    </row>
    <row r="7110" spans="1:4" x14ac:dyDescent="0.3">
      <c r="A7110" s="830">
        <v>100275</v>
      </c>
      <c r="B7110" s="831" t="s">
        <v>11530</v>
      </c>
      <c r="C7110" s="830" t="s">
        <v>11473</v>
      </c>
      <c r="D7110" s="832">
        <v>19.649999999999999</v>
      </c>
    </row>
    <row r="7111" spans="1:4" x14ac:dyDescent="0.3">
      <c r="A7111" s="830">
        <v>100276</v>
      </c>
      <c r="B7111" s="831" t="s">
        <v>11531</v>
      </c>
      <c r="C7111" s="830" t="s">
        <v>11473</v>
      </c>
      <c r="D7111" s="832">
        <v>35.86</v>
      </c>
    </row>
    <row r="7112" spans="1:4" x14ac:dyDescent="0.3">
      <c r="A7112" s="830">
        <v>100277</v>
      </c>
      <c r="B7112" s="831" t="s">
        <v>11532</v>
      </c>
      <c r="C7112" s="830" t="s">
        <v>11473</v>
      </c>
      <c r="D7112" s="832">
        <v>2.16</v>
      </c>
    </row>
    <row r="7113" spans="1:4" x14ac:dyDescent="0.3">
      <c r="A7113" s="830">
        <v>100278</v>
      </c>
      <c r="B7113" s="831" t="s">
        <v>11533</v>
      </c>
      <c r="C7113" s="830" t="s">
        <v>11460</v>
      </c>
      <c r="D7113" s="832">
        <v>43.6</v>
      </c>
    </row>
    <row r="7114" spans="1:4" x14ac:dyDescent="0.3">
      <c r="A7114" s="830">
        <v>100279</v>
      </c>
      <c r="B7114" s="831" t="s">
        <v>11534</v>
      </c>
      <c r="C7114" s="830" t="s">
        <v>89</v>
      </c>
      <c r="D7114" s="832">
        <v>0.84</v>
      </c>
    </row>
    <row r="7115" spans="1:4" x14ac:dyDescent="0.3">
      <c r="A7115" s="830">
        <v>100280</v>
      </c>
      <c r="B7115" s="831" t="s">
        <v>11535</v>
      </c>
      <c r="C7115" s="830" t="s">
        <v>11460</v>
      </c>
      <c r="D7115" s="832">
        <v>20.02</v>
      </c>
    </row>
    <row r="7116" spans="1:4" x14ac:dyDescent="0.3">
      <c r="A7116" s="830">
        <v>100281</v>
      </c>
      <c r="B7116" s="831" t="s">
        <v>11536</v>
      </c>
      <c r="C7116" s="830" t="s">
        <v>11460</v>
      </c>
      <c r="D7116" s="832">
        <v>4.1500000000000004</v>
      </c>
    </row>
    <row r="7117" spans="1:4" x14ac:dyDescent="0.3">
      <c r="A7117" s="830">
        <v>100282</v>
      </c>
      <c r="B7117" s="831" t="s">
        <v>11537</v>
      </c>
      <c r="C7117" s="830" t="s">
        <v>11473</v>
      </c>
      <c r="D7117" s="832">
        <v>170.74</v>
      </c>
    </row>
    <row r="7118" spans="1:4" x14ac:dyDescent="0.3">
      <c r="A7118" s="830">
        <v>100283</v>
      </c>
      <c r="B7118" s="831" t="s">
        <v>11538</v>
      </c>
      <c r="C7118" s="830" t="s">
        <v>11473</v>
      </c>
      <c r="D7118" s="832">
        <v>27.58</v>
      </c>
    </row>
    <row r="7119" spans="1:4" x14ac:dyDescent="0.3">
      <c r="A7119" s="830">
        <v>100284</v>
      </c>
      <c r="B7119" s="831" t="s">
        <v>11539</v>
      </c>
      <c r="C7119" s="830" t="s">
        <v>11473</v>
      </c>
      <c r="D7119" s="832">
        <v>12.14</v>
      </c>
    </row>
    <row r="7120" spans="1:4" x14ac:dyDescent="0.3">
      <c r="A7120" s="830">
        <v>100285</v>
      </c>
      <c r="B7120" s="831" t="s">
        <v>11540</v>
      </c>
      <c r="C7120" s="830" t="s">
        <v>11491</v>
      </c>
      <c r="D7120" s="832">
        <v>45.87</v>
      </c>
    </row>
    <row r="7121" spans="1:4" x14ac:dyDescent="0.3">
      <c r="A7121" s="830">
        <v>100286</v>
      </c>
      <c r="B7121" s="831" t="s">
        <v>11541</v>
      </c>
      <c r="C7121" s="830" t="s">
        <v>11491</v>
      </c>
      <c r="D7121" s="832">
        <v>14.95</v>
      </c>
    </row>
    <row r="7122" spans="1:4" x14ac:dyDescent="0.3">
      <c r="A7122" s="830">
        <v>100287</v>
      </c>
      <c r="B7122" s="831" t="s">
        <v>11542</v>
      </c>
      <c r="C7122" s="830" t="s">
        <v>11491</v>
      </c>
      <c r="D7122" s="832">
        <v>14.31</v>
      </c>
    </row>
    <row r="7123" spans="1:4" x14ac:dyDescent="0.3">
      <c r="A7123" s="830">
        <v>99802</v>
      </c>
      <c r="B7123" s="831" t="s">
        <v>11543</v>
      </c>
      <c r="C7123" s="830" t="s">
        <v>252</v>
      </c>
      <c r="D7123" s="832">
        <v>0.57999999999999996</v>
      </c>
    </row>
    <row r="7124" spans="1:4" x14ac:dyDescent="0.3">
      <c r="A7124" s="830">
        <v>99803</v>
      </c>
      <c r="B7124" s="831" t="s">
        <v>11544</v>
      </c>
      <c r="C7124" s="830" t="s">
        <v>252</v>
      </c>
      <c r="D7124" s="832">
        <v>2.2599999999999998</v>
      </c>
    </row>
    <row r="7125" spans="1:4" x14ac:dyDescent="0.3">
      <c r="A7125" s="830">
        <v>99804</v>
      </c>
      <c r="B7125" s="831" t="s">
        <v>11545</v>
      </c>
      <c r="C7125" s="830" t="s">
        <v>252</v>
      </c>
      <c r="D7125" s="832">
        <v>5.87</v>
      </c>
    </row>
    <row r="7126" spans="1:4" x14ac:dyDescent="0.3">
      <c r="A7126" s="830">
        <v>99805</v>
      </c>
      <c r="B7126" s="831" t="s">
        <v>11546</v>
      </c>
      <c r="C7126" s="830" t="s">
        <v>252</v>
      </c>
      <c r="D7126" s="832">
        <v>12.19</v>
      </c>
    </row>
    <row r="7127" spans="1:4" x14ac:dyDescent="0.3">
      <c r="A7127" s="830">
        <v>99806</v>
      </c>
      <c r="B7127" s="831" t="s">
        <v>11547</v>
      </c>
      <c r="C7127" s="830" t="s">
        <v>252</v>
      </c>
      <c r="D7127" s="832">
        <v>0.93</v>
      </c>
    </row>
    <row r="7128" spans="1:4" x14ac:dyDescent="0.3">
      <c r="A7128" s="830">
        <v>99807</v>
      </c>
      <c r="B7128" s="831" t="s">
        <v>11548</v>
      </c>
      <c r="C7128" s="830" t="s">
        <v>252</v>
      </c>
      <c r="D7128" s="832">
        <v>1.77</v>
      </c>
    </row>
    <row r="7129" spans="1:4" x14ac:dyDescent="0.3">
      <c r="A7129" s="830">
        <v>99808</v>
      </c>
      <c r="B7129" s="831" t="s">
        <v>11549</v>
      </c>
      <c r="C7129" s="830" t="s">
        <v>252</v>
      </c>
      <c r="D7129" s="832">
        <v>4.24</v>
      </c>
    </row>
    <row r="7130" spans="1:4" x14ac:dyDescent="0.3">
      <c r="A7130" s="830">
        <v>99809</v>
      </c>
      <c r="B7130" s="831" t="s">
        <v>11550</v>
      </c>
      <c r="C7130" s="830" t="s">
        <v>252</v>
      </c>
      <c r="D7130" s="832">
        <v>6.45</v>
      </c>
    </row>
    <row r="7131" spans="1:4" x14ac:dyDescent="0.3">
      <c r="A7131" s="830">
        <v>99810</v>
      </c>
      <c r="B7131" s="831" t="s">
        <v>11551</v>
      </c>
      <c r="C7131" s="830" t="s">
        <v>252</v>
      </c>
      <c r="D7131" s="832">
        <v>8.02</v>
      </c>
    </row>
    <row r="7132" spans="1:4" x14ac:dyDescent="0.3">
      <c r="A7132" s="830">
        <v>99811</v>
      </c>
      <c r="B7132" s="831" t="s">
        <v>11552</v>
      </c>
      <c r="C7132" s="830" t="s">
        <v>252</v>
      </c>
      <c r="D7132" s="832">
        <v>3.86</v>
      </c>
    </row>
    <row r="7133" spans="1:4" x14ac:dyDescent="0.3">
      <c r="A7133" s="830">
        <v>99812</v>
      </c>
      <c r="B7133" s="831" t="s">
        <v>11553</v>
      </c>
      <c r="C7133" s="830" t="s">
        <v>252</v>
      </c>
      <c r="D7133" s="832">
        <v>1.24</v>
      </c>
    </row>
    <row r="7134" spans="1:4" x14ac:dyDescent="0.3">
      <c r="A7134" s="830">
        <v>99813</v>
      </c>
      <c r="B7134" s="831" t="s">
        <v>11554</v>
      </c>
      <c r="C7134" s="830" t="s">
        <v>252</v>
      </c>
      <c r="D7134" s="832">
        <v>1.05</v>
      </c>
    </row>
    <row r="7135" spans="1:4" x14ac:dyDescent="0.3">
      <c r="A7135" s="830">
        <v>99814</v>
      </c>
      <c r="B7135" s="831" t="s">
        <v>11555</v>
      </c>
      <c r="C7135" s="830" t="s">
        <v>252</v>
      </c>
      <c r="D7135" s="832">
        <v>2.13</v>
      </c>
    </row>
    <row r="7136" spans="1:4" x14ac:dyDescent="0.3">
      <c r="A7136" s="830">
        <v>99815</v>
      </c>
      <c r="B7136" s="831" t="s">
        <v>11556</v>
      </c>
      <c r="C7136" s="830" t="s">
        <v>89</v>
      </c>
      <c r="D7136" s="832">
        <v>9.15</v>
      </c>
    </row>
    <row r="7137" spans="1:4" x14ac:dyDescent="0.3">
      <c r="A7137" s="830">
        <v>99816</v>
      </c>
      <c r="B7137" s="831" t="s">
        <v>11557</v>
      </c>
      <c r="C7137" s="830" t="s">
        <v>89</v>
      </c>
      <c r="D7137" s="832">
        <v>9.74</v>
      </c>
    </row>
    <row r="7138" spans="1:4" x14ac:dyDescent="0.3">
      <c r="A7138" s="830">
        <v>99817</v>
      </c>
      <c r="B7138" s="831" t="s">
        <v>11558</v>
      </c>
      <c r="C7138" s="830" t="s">
        <v>89</v>
      </c>
      <c r="D7138" s="832">
        <v>5.67</v>
      </c>
    </row>
    <row r="7139" spans="1:4" x14ac:dyDescent="0.3">
      <c r="A7139" s="830">
        <v>99818</v>
      </c>
      <c r="B7139" s="831" t="s">
        <v>11559</v>
      </c>
      <c r="C7139" s="830" t="s">
        <v>89</v>
      </c>
      <c r="D7139" s="832">
        <v>5.67</v>
      </c>
    </row>
    <row r="7140" spans="1:4" x14ac:dyDescent="0.3">
      <c r="A7140" s="830">
        <v>99819</v>
      </c>
      <c r="B7140" s="831" t="s">
        <v>11560</v>
      </c>
      <c r="C7140" s="830" t="s">
        <v>252</v>
      </c>
      <c r="D7140" s="832">
        <v>18.37</v>
      </c>
    </row>
    <row r="7141" spans="1:4" x14ac:dyDescent="0.3">
      <c r="A7141" s="830">
        <v>99820</v>
      </c>
      <c r="B7141" s="831" t="s">
        <v>11561</v>
      </c>
      <c r="C7141" s="830" t="s">
        <v>252</v>
      </c>
      <c r="D7141" s="832">
        <v>2.0699999999999998</v>
      </c>
    </row>
    <row r="7142" spans="1:4" x14ac:dyDescent="0.3">
      <c r="A7142" s="830">
        <v>99821</v>
      </c>
      <c r="B7142" s="831" t="s">
        <v>11562</v>
      </c>
      <c r="C7142" s="830" t="s">
        <v>252</v>
      </c>
      <c r="D7142" s="832">
        <v>3.2</v>
      </c>
    </row>
    <row r="7143" spans="1:4" x14ac:dyDescent="0.3">
      <c r="A7143" s="830">
        <v>99822</v>
      </c>
      <c r="B7143" s="831" t="s">
        <v>11563</v>
      </c>
      <c r="C7143" s="830" t="s">
        <v>252</v>
      </c>
      <c r="D7143" s="832">
        <v>1.0900000000000001</v>
      </c>
    </row>
    <row r="7144" spans="1:4" x14ac:dyDescent="0.3">
      <c r="A7144" s="830">
        <v>99823</v>
      </c>
      <c r="B7144" s="831" t="s">
        <v>11564</v>
      </c>
      <c r="C7144" s="830" t="s">
        <v>252</v>
      </c>
      <c r="D7144" s="832">
        <v>2.44</v>
      </c>
    </row>
    <row r="7145" spans="1:4" x14ac:dyDescent="0.3">
      <c r="A7145" s="830">
        <v>99824</v>
      </c>
      <c r="B7145" s="831" t="s">
        <v>11565</v>
      </c>
      <c r="C7145" s="830" t="s">
        <v>252</v>
      </c>
      <c r="D7145" s="832">
        <v>2.69</v>
      </c>
    </row>
    <row r="7146" spans="1:4" x14ac:dyDescent="0.3">
      <c r="A7146" s="830">
        <v>99825</v>
      </c>
      <c r="B7146" s="831" t="s">
        <v>11566</v>
      </c>
      <c r="C7146" s="830" t="s">
        <v>252</v>
      </c>
      <c r="D7146" s="832">
        <v>3.76</v>
      </c>
    </row>
    <row r="7147" spans="1:4" x14ac:dyDescent="0.3">
      <c r="A7147" s="830">
        <v>99826</v>
      </c>
      <c r="B7147" s="831" t="s">
        <v>11567</v>
      </c>
      <c r="C7147" s="830" t="s">
        <v>252</v>
      </c>
      <c r="D7147" s="832">
        <v>1.68</v>
      </c>
    </row>
    <row r="7148" spans="1:4" x14ac:dyDescent="0.3">
      <c r="A7148" s="830">
        <v>97013</v>
      </c>
      <c r="B7148" s="831" t="s">
        <v>11568</v>
      </c>
      <c r="C7148" s="830" t="s">
        <v>194</v>
      </c>
      <c r="D7148" s="832">
        <v>76.95</v>
      </c>
    </row>
    <row r="7149" spans="1:4" x14ac:dyDescent="0.3">
      <c r="A7149" s="830">
        <v>97014</v>
      </c>
      <c r="B7149" s="831" t="s">
        <v>11569</v>
      </c>
      <c r="C7149" s="830" t="s">
        <v>194</v>
      </c>
      <c r="D7149" s="832">
        <v>58.21</v>
      </c>
    </row>
    <row r="7150" spans="1:4" x14ac:dyDescent="0.3">
      <c r="A7150" s="830">
        <v>97015</v>
      </c>
      <c r="B7150" s="831" t="s">
        <v>11570</v>
      </c>
      <c r="C7150" s="830" t="s">
        <v>194</v>
      </c>
      <c r="D7150" s="832">
        <v>48.86</v>
      </c>
    </row>
    <row r="7151" spans="1:4" x14ac:dyDescent="0.3">
      <c r="A7151" s="830">
        <v>97016</v>
      </c>
      <c r="B7151" s="831" t="s">
        <v>11571</v>
      </c>
      <c r="C7151" s="830" t="s">
        <v>194</v>
      </c>
      <c r="D7151" s="832">
        <v>61.54</v>
      </c>
    </row>
    <row r="7152" spans="1:4" x14ac:dyDescent="0.3">
      <c r="A7152" s="830">
        <v>97017</v>
      </c>
      <c r="B7152" s="831" t="s">
        <v>11572</v>
      </c>
      <c r="C7152" s="830" t="s">
        <v>194</v>
      </c>
      <c r="D7152" s="832">
        <v>46.28</v>
      </c>
    </row>
    <row r="7153" spans="1:4" x14ac:dyDescent="0.3">
      <c r="A7153" s="830">
        <v>97018</v>
      </c>
      <c r="B7153" s="831" t="s">
        <v>11573</v>
      </c>
      <c r="C7153" s="830" t="s">
        <v>194</v>
      </c>
      <c r="D7153" s="832">
        <v>38.72</v>
      </c>
    </row>
    <row r="7154" spans="1:4" x14ac:dyDescent="0.3">
      <c r="A7154" s="830">
        <v>97031</v>
      </c>
      <c r="B7154" s="831" t="s">
        <v>11574</v>
      </c>
      <c r="C7154" s="830" t="s">
        <v>194</v>
      </c>
      <c r="D7154" s="832">
        <v>92.4</v>
      </c>
    </row>
    <row r="7155" spans="1:4" x14ac:dyDescent="0.3">
      <c r="A7155" s="830">
        <v>97032</v>
      </c>
      <c r="B7155" s="831" t="s">
        <v>11575</v>
      </c>
      <c r="C7155" s="830" t="s">
        <v>194</v>
      </c>
      <c r="D7155" s="832">
        <v>57.12</v>
      </c>
    </row>
    <row r="7156" spans="1:4" x14ac:dyDescent="0.3">
      <c r="A7156" s="830">
        <v>97033</v>
      </c>
      <c r="B7156" s="831" t="s">
        <v>11576</v>
      </c>
      <c r="C7156" s="830" t="s">
        <v>194</v>
      </c>
      <c r="D7156" s="832">
        <v>88.16</v>
      </c>
    </row>
    <row r="7157" spans="1:4" x14ac:dyDescent="0.3">
      <c r="A7157" s="830">
        <v>97034</v>
      </c>
      <c r="B7157" s="831" t="s">
        <v>11577</v>
      </c>
      <c r="C7157" s="830" t="s">
        <v>194</v>
      </c>
      <c r="D7157" s="832">
        <v>58.04</v>
      </c>
    </row>
    <row r="7158" spans="1:4" x14ac:dyDescent="0.3">
      <c r="A7158" s="830">
        <v>97039</v>
      </c>
      <c r="B7158" s="831" t="s">
        <v>11578</v>
      </c>
      <c r="C7158" s="830" t="s">
        <v>252</v>
      </c>
      <c r="D7158" s="832">
        <v>68.650000000000006</v>
      </c>
    </row>
    <row r="7159" spans="1:4" x14ac:dyDescent="0.3">
      <c r="A7159" s="830">
        <v>97040</v>
      </c>
      <c r="B7159" s="831" t="s">
        <v>11579</v>
      </c>
      <c r="C7159" s="830" t="s">
        <v>252</v>
      </c>
      <c r="D7159" s="832">
        <v>18.11</v>
      </c>
    </row>
    <row r="7160" spans="1:4" x14ac:dyDescent="0.3">
      <c r="A7160" s="830">
        <v>97041</v>
      </c>
      <c r="B7160" s="831" t="s">
        <v>11580</v>
      </c>
      <c r="C7160" s="830" t="s">
        <v>252</v>
      </c>
      <c r="D7160" s="832">
        <v>139.47</v>
      </c>
    </row>
    <row r="7161" spans="1:4" x14ac:dyDescent="0.3">
      <c r="A7161" s="830">
        <v>97046</v>
      </c>
      <c r="B7161" s="831" t="s">
        <v>11581</v>
      </c>
      <c r="C7161" s="830" t="s">
        <v>252</v>
      </c>
      <c r="D7161" s="832">
        <v>0.33</v>
      </c>
    </row>
    <row r="7162" spans="1:4" x14ac:dyDescent="0.3">
      <c r="A7162" s="830">
        <v>97047</v>
      </c>
      <c r="B7162" s="831" t="s">
        <v>11582</v>
      </c>
      <c r="C7162" s="830" t="s">
        <v>252</v>
      </c>
      <c r="D7162" s="832">
        <v>0.13</v>
      </c>
    </row>
    <row r="7163" spans="1:4" x14ac:dyDescent="0.3">
      <c r="A7163" s="830">
        <v>97048</v>
      </c>
      <c r="B7163" s="831" t="s">
        <v>11583</v>
      </c>
      <c r="C7163" s="830" t="s">
        <v>252</v>
      </c>
      <c r="D7163" s="832">
        <v>0.09</v>
      </c>
    </row>
    <row r="7164" spans="1:4" x14ac:dyDescent="0.3">
      <c r="A7164" s="830">
        <v>97054</v>
      </c>
      <c r="B7164" s="831" t="s">
        <v>11584</v>
      </c>
      <c r="C7164" s="830" t="s">
        <v>89</v>
      </c>
      <c r="D7164" s="832">
        <v>24.91</v>
      </c>
    </row>
    <row r="7165" spans="1:4" x14ac:dyDescent="0.3">
      <c r="A7165" s="830">
        <v>97062</v>
      </c>
      <c r="B7165" s="831" t="s">
        <v>11585</v>
      </c>
      <c r="C7165" s="830" t="s">
        <v>252</v>
      </c>
      <c r="D7165" s="832">
        <v>7.01</v>
      </c>
    </row>
    <row r="7166" spans="1:4" x14ac:dyDescent="0.3">
      <c r="A7166" s="830">
        <v>97063</v>
      </c>
      <c r="B7166" s="831" t="s">
        <v>11586</v>
      </c>
      <c r="C7166" s="830" t="s">
        <v>252</v>
      </c>
      <c r="D7166" s="832">
        <v>18.920000000000002</v>
      </c>
    </row>
    <row r="7167" spans="1:4" x14ac:dyDescent="0.3">
      <c r="A7167" s="830">
        <v>97064</v>
      </c>
      <c r="B7167" s="831" t="s">
        <v>11587</v>
      </c>
      <c r="C7167" s="830" t="s">
        <v>194</v>
      </c>
      <c r="D7167" s="832">
        <v>26.55</v>
      </c>
    </row>
    <row r="7168" spans="1:4" x14ac:dyDescent="0.3">
      <c r="A7168" s="830">
        <v>97065</v>
      </c>
      <c r="B7168" s="831" t="s">
        <v>11588</v>
      </c>
      <c r="C7168" s="830" t="s">
        <v>5247</v>
      </c>
      <c r="D7168" s="832">
        <v>12.75</v>
      </c>
    </row>
    <row r="7169" spans="1:4" x14ac:dyDescent="0.3">
      <c r="A7169" s="830">
        <v>97066</v>
      </c>
      <c r="B7169" s="831" t="s">
        <v>11589</v>
      </c>
      <c r="C7169" s="830" t="s">
        <v>252</v>
      </c>
      <c r="D7169" s="832">
        <v>324.18</v>
      </c>
    </row>
    <row r="7170" spans="1:4" x14ac:dyDescent="0.3">
      <c r="A7170" s="830">
        <v>97067</v>
      </c>
      <c r="B7170" s="831" t="s">
        <v>11590</v>
      </c>
      <c r="C7170" s="830" t="s">
        <v>194</v>
      </c>
      <c r="D7170" s="832">
        <v>635.35</v>
      </c>
    </row>
    <row r="7171" spans="1:4" x14ac:dyDescent="0.3">
      <c r="A7171" s="830">
        <v>104989</v>
      </c>
      <c r="B7171" s="831" t="s">
        <v>11591</v>
      </c>
      <c r="C7171" s="830" t="s">
        <v>89</v>
      </c>
      <c r="D7171" s="832">
        <v>42.32</v>
      </c>
    </row>
    <row r="7172" spans="1:4" x14ac:dyDescent="0.3">
      <c r="A7172" s="830">
        <v>104990</v>
      </c>
      <c r="B7172" s="831" t="s">
        <v>11592</v>
      </c>
      <c r="C7172" s="830" t="s">
        <v>194</v>
      </c>
      <c r="D7172" s="832">
        <v>11.79</v>
      </c>
    </row>
    <row r="7173" spans="1:4" x14ac:dyDescent="0.3">
      <c r="A7173" s="830">
        <v>105103</v>
      </c>
      <c r="B7173" s="831" t="s">
        <v>11593</v>
      </c>
      <c r="C7173" s="830" t="s">
        <v>194</v>
      </c>
      <c r="D7173" s="832">
        <v>84.21</v>
      </c>
    </row>
    <row r="7174" spans="1:4" x14ac:dyDescent="0.3">
      <c r="A7174" s="830">
        <v>105104</v>
      </c>
      <c r="B7174" s="831" t="s">
        <v>11594</v>
      </c>
      <c r="C7174" s="830" t="s">
        <v>89</v>
      </c>
      <c r="D7174" s="832">
        <v>4337.97</v>
      </c>
    </row>
    <row r="7175" spans="1:4" x14ac:dyDescent="0.3">
      <c r="A7175" s="830">
        <v>105105</v>
      </c>
      <c r="B7175" s="831" t="s">
        <v>11595</v>
      </c>
      <c r="C7175" s="830" t="s">
        <v>194</v>
      </c>
      <c r="D7175" s="832">
        <v>59.13</v>
      </c>
    </row>
    <row r="7176" spans="1:4" x14ac:dyDescent="0.3">
      <c r="A7176" s="830">
        <v>105106</v>
      </c>
      <c r="B7176" s="831" t="s">
        <v>11596</v>
      </c>
      <c r="C7176" s="830" t="s">
        <v>89</v>
      </c>
      <c r="D7176" s="832">
        <v>1916.79</v>
      </c>
    </row>
    <row r="7177" spans="1:4" x14ac:dyDescent="0.3">
      <c r="A7177" s="830">
        <v>105107</v>
      </c>
      <c r="B7177" s="831" t="s">
        <v>11597</v>
      </c>
      <c r="C7177" s="830" t="s">
        <v>89</v>
      </c>
      <c r="D7177" s="832">
        <v>2830.32</v>
      </c>
    </row>
    <row r="7178" spans="1:4" x14ac:dyDescent="0.3">
      <c r="A7178" s="830">
        <v>105110</v>
      </c>
      <c r="B7178" s="831" t="s">
        <v>11598</v>
      </c>
      <c r="C7178" s="830" t="s">
        <v>194</v>
      </c>
      <c r="D7178" s="832">
        <v>183.59</v>
      </c>
    </row>
    <row r="7179" spans="1:4" x14ac:dyDescent="0.3">
      <c r="A7179" s="830">
        <v>105111</v>
      </c>
      <c r="B7179" s="831" t="s">
        <v>11599</v>
      </c>
      <c r="C7179" s="830" t="s">
        <v>89</v>
      </c>
      <c r="D7179" s="832">
        <v>17084.11</v>
      </c>
    </row>
    <row r="7180" spans="1:4" x14ac:dyDescent="0.3">
      <c r="A7180" s="830">
        <v>105112</v>
      </c>
      <c r="B7180" s="831" t="s">
        <v>11600</v>
      </c>
      <c r="C7180" s="830" t="s">
        <v>194</v>
      </c>
      <c r="D7180" s="832">
        <v>153.29</v>
      </c>
    </row>
    <row r="7181" spans="1:4" x14ac:dyDescent="0.3">
      <c r="A7181" s="830">
        <v>97621</v>
      </c>
      <c r="B7181" s="831" t="s">
        <v>11601</v>
      </c>
      <c r="C7181" s="830" t="s">
        <v>5247</v>
      </c>
      <c r="D7181" s="832">
        <v>127.99</v>
      </c>
    </row>
    <row r="7182" spans="1:4" x14ac:dyDescent="0.3">
      <c r="A7182" s="830">
        <v>97622</v>
      </c>
      <c r="B7182" s="831" t="s">
        <v>4228</v>
      </c>
      <c r="C7182" s="830" t="s">
        <v>5247</v>
      </c>
      <c r="D7182" s="832">
        <v>62.38</v>
      </c>
    </row>
    <row r="7183" spans="1:4" x14ac:dyDescent="0.3">
      <c r="A7183" s="830">
        <v>97623</v>
      </c>
      <c r="B7183" s="831" t="s">
        <v>11602</v>
      </c>
      <c r="C7183" s="830" t="s">
        <v>5247</v>
      </c>
      <c r="D7183" s="832">
        <v>191.1</v>
      </c>
    </row>
    <row r="7184" spans="1:4" x14ac:dyDescent="0.3">
      <c r="A7184" s="830">
        <v>97624</v>
      </c>
      <c r="B7184" s="831" t="s">
        <v>11603</v>
      </c>
      <c r="C7184" s="830" t="s">
        <v>5247</v>
      </c>
      <c r="D7184" s="832">
        <v>117.29</v>
      </c>
    </row>
    <row r="7185" spans="1:4" x14ac:dyDescent="0.3">
      <c r="A7185" s="830">
        <v>97625</v>
      </c>
      <c r="B7185" s="831" t="s">
        <v>11604</v>
      </c>
      <c r="C7185" s="830" t="s">
        <v>5247</v>
      </c>
      <c r="D7185" s="832">
        <v>49.67</v>
      </c>
    </row>
    <row r="7186" spans="1:4" x14ac:dyDescent="0.3">
      <c r="A7186" s="830">
        <v>97626</v>
      </c>
      <c r="B7186" s="831" t="s">
        <v>11605</v>
      </c>
      <c r="C7186" s="830" t="s">
        <v>5247</v>
      </c>
      <c r="D7186" s="832">
        <v>626.95000000000005</v>
      </c>
    </row>
    <row r="7187" spans="1:4" x14ac:dyDescent="0.3">
      <c r="A7187" s="830">
        <v>97627</v>
      </c>
      <c r="B7187" s="831" t="s">
        <v>11606</v>
      </c>
      <c r="C7187" s="830" t="s">
        <v>5247</v>
      </c>
      <c r="D7187" s="832">
        <v>196.2</v>
      </c>
    </row>
    <row r="7188" spans="1:4" x14ac:dyDescent="0.3">
      <c r="A7188" s="830">
        <v>97628</v>
      </c>
      <c r="B7188" s="831" t="s">
        <v>11607</v>
      </c>
      <c r="C7188" s="830" t="s">
        <v>5247</v>
      </c>
      <c r="D7188" s="832">
        <v>291.99</v>
      </c>
    </row>
    <row r="7189" spans="1:4" x14ac:dyDescent="0.3">
      <c r="A7189" s="830">
        <v>97629</v>
      </c>
      <c r="B7189" s="831" t="s">
        <v>11608</v>
      </c>
      <c r="C7189" s="830" t="s">
        <v>5247</v>
      </c>
      <c r="D7189" s="832">
        <v>91.38</v>
      </c>
    </row>
    <row r="7190" spans="1:4" x14ac:dyDescent="0.3">
      <c r="A7190" s="830">
        <v>97631</v>
      </c>
      <c r="B7190" s="831" t="s">
        <v>11609</v>
      </c>
      <c r="C7190" s="830" t="s">
        <v>252</v>
      </c>
      <c r="D7190" s="832">
        <v>12.63</v>
      </c>
    </row>
    <row r="7191" spans="1:4" x14ac:dyDescent="0.3">
      <c r="A7191" s="830">
        <v>97632</v>
      </c>
      <c r="B7191" s="831" t="s">
        <v>11610</v>
      </c>
      <c r="C7191" s="830" t="s">
        <v>194</v>
      </c>
      <c r="D7191" s="832">
        <v>2.88</v>
      </c>
    </row>
    <row r="7192" spans="1:4" x14ac:dyDescent="0.3">
      <c r="A7192" s="830">
        <v>97633</v>
      </c>
      <c r="B7192" s="831" t="s">
        <v>11611</v>
      </c>
      <c r="C7192" s="830" t="s">
        <v>252</v>
      </c>
      <c r="D7192" s="832">
        <v>25.22</v>
      </c>
    </row>
    <row r="7193" spans="1:4" x14ac:dyDescent="0.3">
      <c r="A7193" s="830">
        <v>97634</v>
      </c>
      <c r="B7193" s="831" t="s">
        <v>11612</v>
      </c>
      <c r="C7193" s="830" t="s">
        <v>252</v>
      </c>
      <c r="D7193" s="832">
        <v>7.39</v>
      </c>
    </row>
    <row r="7194" spans="1:4" x14ac:dyDescent="0.3">
      <c r="A7194" s="830">
        <v>97635</v>
      </c>
      <c r="B7194" s="831" t="s">
        <v>11613</v>
      </c>
      <c r="C7194" s="830" t="s">
        <v>252</v>
      </c>
      <c r="D7194" s="832">
        <v>18.79</v>
      </c>
    </row>
    <row r="7195" spans="1:4" x14ac:dyDescent="0.3">
      <c r="A7195" s="830">
        <v>97636</v>
      </c>
      <c r="B7195" s="831" t="s">
        <v>4227</v>
      </c>
      <c r="C7195" s="830" t="s">
        <v>252</v>
      </c>
      <c r="D7195" s="832">
        <v>22.98</v>
      </c>
    </row>
    <row r="7196" spans="1:4" x14ac:dyDescent="0.3">
      <c r="A7196" s="830">
        <v>97637</v>
      </c>
      <c r="B7196" s="831" t="s">
        <v>4213</v>
      </c>
      <c r="C7196" s="830" t="s">
        <v>252</v>
      </c>
      <c r="D7196" s="832">
        <v>3.07</v>
      </c>
    </row>
    <row r="7197" spans="1:4" x14ac:dyDescent="0.3">
      <c r="A7197" s="830">
        <v>97638</v>
      </c>
      <c r="B7197" s="831" t="s">
        <v>11614</v>
      </c>
      <c r="C7197" s="830" t="s">
        <v>252</v>
      </c>
      <c r="D7197" s="832">
        <v>8.9499999999999993</v>
      </c>
    </row>
    <row r="7198" spans="1:4" x14ac:dyDescent="0.3">
      <c r="A7198" s="830">
        <v>97639</v>
      </c>
      <c r="B7198" s="831" t="s">
        <v>11615</v>
      </c>
      <c r="C7198" s="830" t="s">
        <v>252</v>
      </c>
      <c r="D7198" s="832">
        <v>22.81</v>
      </c>
    </row>
    <row r="7199" spans="1:4" x14ac:dyDescent="0.3">
      <c r="A7199" s="830">
        <v>97640</v>
      </c>
      <c r="B7199" s="831" t="s">
        <v>11616</v>
      </c>
      <c r="C7199" s="830" t="s">
        <v>252</v>
      </c>
      <c r="D7199" s="832">
        <v>2.09</v>
      </c>
    </row>
    <row r="7200" spans="1:4" x14ac:dyDescent="0.3">
      <c r="A7200" s="830">
        <v>97641</v>
      </c>
      <c r="B7200" s="831" t="s">
        <v>11617</v>
      </c>
      <c r="C7200" s="830" t="s">
        <v>252</v>
      </c>
      <c r="D7200" s="832">
        <v>3.25</v>
      </c>
    </row>
    <row r="7201" spans="1:4" x14ac:dyDescent="0.3">
      <c r="A7201" s="830">
        <v>97642</v>
      </c>
      <c r="B7201" s="831" t="s">
        <v>11618</v>
      </c>
      <c r="C7201" s="830" t="s">
        <v>252</v>
      </c>
      <c r="D7201" s="832">
        <v>2.99</v>
      </c>
    </row>
    <row r="7202" spans="1:4" x14ac:dyDescent="0.3">
      <c r="A7202" s="830">
        <v>97643</v>
      </c>
      <c r="B7202" s="831" t="s">
        <v>11619</v>
      </c>
      <c r="C7202" s="830" t="s">
        <v>252</v>
      </c>
      <c r="D7202" s="832">
        <v>27.99</v>
      </c>
    </row>
    <row r="7203" spans="1:4" x14ac:dyDescent="0.3">
      <c r="A7203" s="830">
        <v>97644</v>
      </c>
      <c r="B7203" s="831" t="s">
        <v>11620</v>
      </c>
      <c r="C7203" s="830" t="s">
        <v>252</v>
      </c>
      <c r="D7203" s="832">
        <v>10.57</v>
      </c>
    </row>
    <row r="7204" spans="1:4" x14ac:dyDescent="0.3">
      <c r="A7204" s="830">
        <v>97645</v>
      </c>
      <c r="B7204" s="831" t="s">
        <v>11621</v>
      </c>
      <c r="C7204" s="830" t="s">
        <v>252</v>
      </c>
      <c r="D7204" s="832">
        <v>27.29</v>
      </c>
    </row>
    <row r="7205" spans="1:4" x14ac:dyDescent="0.3">
      <c r="A7205" s="830">
        <v>97647</v>
      </c>
      <c r="B7205" s="831" t="s">
        <v>11622</v>
      </c>
      <c r="C7205" s="830" t="s">
        <v>252</v>
      </c>
      <c r="D7205" s="832">
        <v>3.93</v>
      </c>
    </row>
    <row r="7206" spans="1:4" x14ac:dyDescent="0.3">
      <c r="A7206" s="830">
        <v>97648</v>
      </c>
      <c r="B7206" s="831" t="s">
        <v>11623</v>
      </c>
      <c r="C7206" s="830" t="s">
        <v>252</v>
      </c>
      <c r="D7206" s="832">
        <v>2.2599999999999998</v>
      </c>
    </row>
    <row r="7207" spans="1:4" x14ac:dyDescent="0.3">
      <c r="A7207" s="830">
        <v>97649</v>
      </c>
      <c r="B7207" s="831" t="s">
        <v>11624</v>
      </c>
      <c r="C7207" s="830" t="s">
        <v>252</v>
      </c>
      <c r="D7207" s="832">
        <v>4.9000000000000004</v>
      </c>
    </row>
    <row r="7208" spans="1:4" x14ac:dyDescent="0.3">
      <c r="A7208" s="830">
        <v>97650</v>
      </c>
      <c r="B7208" s="831" t="s">
        <v>11625</v>
      </c>
      <c r="C7208" s="830" t="s">
        <v>252</v>
      </c>
      <c r="D7208" s="832">
        <v>8.48</v>
      </c>
    </row>
    <row r="7209" spans="1:4" x14ac:dyDescent="0.3">
      <c r="A7209" s="830">
        <v>97651</v>
      </c>
      <c r="B7209" s="831" t="s">
        <v>11626</v>
      </c>
      <c r="C7209" s="830" t="s">
        <v>89</v>
      </c>
      <c r="D7209" s="832">
        <v>92.46</v>
      </c>
    </row>
    <row r="7210" spans="1:4" x14ac:dyDescent="0.3">
      <c r="A7210" s="830">
        <v>97652</v>
      </c>
      <c r="B7210" s="831" t="s">
        <v>11627</v>
      </c>
      <c r="C7210" s="830" t="s">
        <v>89</v>
      </c>
      <c r="D7210" s="832">
        <v>209.62</v>
      </c>
    </row>
    <row r="7211" spans="1:4" x14ac:dyDescent="0.3">
      <c r="A7211" s="830">
        <v>97653</v>
      </c>
      <c r="B7211" s="831" t="s">
        <v>11628</v>
      </c>
      <c r="C7211" s="830" t="s">
        <v>89</v>
      </c>
      <c r="D7211" s="832">
        <v>143.80000000000001</v>
      </c>
    </row>
    <row r="7212" spans="1:4" x14ac:dyDescent="0.3">
      <c r="A7212" s="830">
        <v>97654</v>
      </c>
      <c r="B7212" s="831" t="s">
        <v>11629</v>
      </c>
      <c r="C7212" s="830" t="s">
        <v>89</v>
      </c>
      <c r="D7212" s="832">
        <v>182.14</v>
      </c>
    </row>
    <row r="7213" spans="1:4" x14ac:dyDescent="0.3">
      <c r="A7213" s="830">
        <v>97655</v>
      </c>
      <c r="B7213" s="831" t="s">
        <v>11630</v>
      </c>
      <c r="C7213" s="830" t="s">
        <v>252</v>
      </c>
      <c r="D7213" s="832">
        <v>37.659999999999997</v>
      </c>
    </row>
    <row r="7214" spans="1:4" x14ac:dyDescent="0.3">
      <c r="A7214" s="830">
        <v>97656</v>
      </c>
      <c r="B7214" s="831" t="s">
        <v>11631</v>
      </c>
      <c r="C7214" s="830" t="s">
        <v>89</v>
      </c>
      <c r="D7214" s="832">
        <v>346.81</v>
      </c>
    </row>
    <row r="7215" spans="1:4" x14ac:dyDescent="0.3">
      <c r="A7215" s="830">
        <v>97657</v>
      </c>
      <c r="B7215" s="831" t="s">
        <v>11632</v>
      </c>
      <c r="C7215" s="830" t="s">
        <v>89</v>
      </c>
      <c r="D7215" s="832">
        <v>687.4</v>
      </c>
    </row>
    <row r="7216" spans="1:4" x14ac:dyDescent="0.3">
      <c r="A7216" s="830">
        <v>97658</v>
      </c>
      <c r="B7216" s="831" t="s">
        <v>11633</v>
      </c>
      <c r="C7216" s="830" t="s">
        <v>89</v>
      </c>
      <c r="D7216" s="832">
        <v>224.9</v>
      </c>
    </row>
    <row r="7217" spans="1:4" x14ac:dyDescent="0.3">
      <c r="A7217" s="830">
        <v>97659</v>
      </c>
      <c r="B7217" s="831" t="s">
        <v>11634</v>
      </c>
      <c r="C7217" s="830" t="s">
        <v>89</v>
      </c>
      <c r="D7217" s="832">
        <v>314.68</v>
      </c>
    </row>
    <row r="7218" spans="1:4" x14ac:dyDescent="0.3">
      <c r="A7218" s="830">
        <v>97660</v>
      </c>
      <c r="B7218" s="831" t="s">
        <v>11635</v>
      </c>
      <c r="C7218" s="830" t="s">
        <v>89</v>
      </c>
      <c r="D7218" s="832">
        <v>0.73</v>
      </c>
    </row>
    <row r="7219" spans="1:4" x14ac:dyDescent="0.3">
      <c r="A7219" s="830">
        <v>97661</v>
      </c>
      <c r="B7219" s="831" t="s">
        <v>11636</v>
      </c>
      <c r="C7219" s="830" t="s">
        <v>194</v>
      </c>
      <c r="D7219" s="832">
        <v>0.78</v>
      </c>
    </row>
    <row r="7220" spans="1:4" x14ac:dyDescent="0.3">
      <c r="A7220" s="830">
        <v>97662</v>
      </c>
      <c r="B7220" s="831" t="s">
        <v>11637</v>
      </c>
      <c r="C7220" s="830" t="s">
        <v>194</v>
      </c>
      <c r="D7220" s="832">
        <v>0.55000000000000004</v>
      </c>
    </row>
    <row r="7221" spans="1:4" x14ac:dyDescent="0.3">
      <c r="A7221" s="830">
        <v>97663</v>
      </c>
      <c r="B7221" s="831" t="s">
        <v>11638</v>
      </c>
      <c r="C7221" s="830" t="s">
        <v>89</v>
      </c>
      <c r="D7221" s="832">
        <v>13.97</v>
      </c>
    </row>
    <row r="7222" spans="1:4" x14ac:dyDescent="0.3">
      <c r="A7222" s="830">
        <v>97664</v>
      </c>
      <c r="B7222" s="831" t="s">
        <v>11639</v>
      </c>
      <c r="C7222" s="830" t="s">
        <v>89</v>
      </c>
      <c r="D7222" s="832">
        <v>1.73</v>
      </c>
    </row>
    <row r="7223" spans="1:4" x14ac:dyDescent="0.3">
      <c r="A7223" s="830">
        <v>97665</v>
      </c>
      <c r="B7223" s="831" t="s">
        <v>11640</v>
      </c>
      <c r="C7223" s="830" t="s">
        <v>89</v>
      </c>
      <c r="D7223" s="832">
        <v>1.99</v>
      </c>
    </row>
    <row r="7224" spans="1:4" x14ac:dyDescent="0.3">
      <c r="A7224" s="830">
        <v>97666</v>
      </c>
      <c r="B7224" s="831" t="s">
        <v>11641</v>
      </c>
      <c r="C7224" s="830" t="s">
        <v>89</v>
      </c>
      <c r="D7224" s="832">
        <v>10.18</v>
      </c>
    </row>
    <row r="7225" spans="1:4" x14ac:dyDescent="0.3">
      <c r="A7225" s="830">
        <v>104789</v>
      </c>
      <c r="B7225" s="831" t="s">
        <v>11642</v>
      </c>
      <c r="C7225" s="830" t="s">
        <v>5247</v>
      </c>
      <c r="D7225" s="832">
        <v>219.55</v>
      </c>
    </row>
    <row r="7226" spans="1:4" x14ac:dyDescent="0.3">
      <c r="A7226" s="830">
        <v>104790</v>
      </c>
      <c r="B7226" s="831" t="s">
        <v>11643</v>
      </c>
      <c r="C7226" s="830" t="s">
        <v>5247</v>
      </c>
      <c r="D7226" s="832">
        <v>116.16</v>
      </c>
    </row>
    <row r="7227" spans="1:4" x14ac:dyDescent="0.3">
      <c r="A7227" s="830">
        <v>104791</v>
      </c>
      <c r="B7227" s="831" t="s">
        <v>11644</v>
      </c>
      <c r="C7227" s="830" t="s">
        <v>252</v>
      </c>
      <c r="D7227" s="832">
        <v>6.58</v>
      </c>
    </row>
    <row r="7228" spans="1:4" x14ac:dyDescent="0.3">
      <c r="A7228" s="830">
        <v>104792</v>
      </c>
      <c r="B7228" s="831" t="s">
        <v>11645</v>
      </c>
      <c r="C7228" s="830" t="s">
        <v>194</v>
      </c>
      <c r="D7228" s="832">
        <v>0.43</v>
      </c>
    </row>
    <row r="7229" spans="1:4" x14ac:dyDescent="0.3">
      <c r="A7229" s="830">
        <v>104793</v>
      </c>
      <c r="B7229" s="831" t="s">
        <v>11646</v>
      </c>
      <c r="C7229" s="830" t="s">
        <v>194</v>
      </c>
      <c r="D7229" s="832">
        <v>0.6</v>
      </c>
    </row>
    <row r="7230" spans="1:4" x14ac:dyDescent="0.3">
      <c r="A7230" s="830">
        <v>104794</v>
      </c>
      <c r="B7230" s="831" t="s">
        <v>11647</v>
      </c>
      <c r="C7230" s="830" t="s">
        <v>194</v>
      </c>
      <c r="D7230" s="832">
        <v>1.07</v>
      </c>
    </row>
    <row r="7231" spans="1:4" x14ac:dyDescent="0.3">
      <c r="A7231" s="830">
        <v>104795</v>
      </c>
      <c r="B7231" s="831" t="s">
        <v>11648</v>
      </c>
      <c r="C7231" s="830" t="s">
        <v>194</v>
      </c>
      <c r="D7231" s="832">
        <v>1.49</v>
      </c>
    </row>
    <row r="7232" spans="1:4" x14ac:dyDescent="0.3">
      <c r="A7232" s="830">
        <v>104796</v>
      </c>
      <c r="B7232" s="831" t="s">
        <v>11649</v>
      </c>
      <c r="C7232" s="830" t="s">
        <v>194</v>
      </c>
      <c r="D7232" s="832">
        <v>15.24</v>
      </c>
    </row>
    <row r="7233" spans="1:4" x14ac:dyDescent="0.3">
      <c r="A7233" s="830">
        <v>104797</v>
      </c>
      <c r="B7233" s="831" t="s">
        <v>11650</v>
      </c>
      <c r="C7233" s="830" t="s">
        <v>194</v>
      </c>
      <c r="D7233" s="832">
        <v>19.05</v>
      </c>
    </row>
    <row r="7234" spans="1:4" x14ac:dyDescent="0.3">
      <c r="A7234" s="830">
        <v>104798</v>
      </c>
      <c r="B7234" s="831" t="s">
        <v>11651</v>
      </c>
      <c r="C7234" s="830" t="s">
        <v>89</v>
      </c>
      <c r="D7234" s="832">
        <v>14.71</v>
      </c>
    </row>
    <row r="7235" spans="1:4" x14ac:dyDescent="0.3">
      <c r="A7235" s="830">
        <v>104799</v>
      </c>
      <c r="B7235" s="831" t="s">
        <v>11652</v>
      </c>
      <c r="C7235" s="830" t="s">
        <v>252</v>
      </c>
      <c r="D7235" s="832">
        <v>11.55</v>
      </c>
    </row>
    <row r="7236" spans="1:4" x14ac:dyDescent="0.3">
      <c r="A7236" s="830">
        <v>104800</v>
      </c>
      <c r="B7236" s="831" t="s">
        <v>11653</v>
      </c>
      <c r="C7236" s="830" t="s">
        <v>194</v>
      </c>
      <c r="D7236" s="832">
        <v>10.44</v>
      </c>
    </row>
    <row r="7237" spans="1:4" x14ac:dyDescent="0.3">
      <c r="A7237" s="830">
        <v>104801</v>
      </c>
      <c r="B7237" s="831" t="s">
        <v>11654</v>
      </c>
      <c r="C7237" s="830" t="s">
        <v>252</v>
      </c>
      <c r="D7237" s="832">
        <v>15.84</v>
      </c>
    </row>
    <row r="7238" spans="1:4" x14ac:dyDescent="0.3">
      <c r="A7238" s="830">
        <v>104802</v>
      </c>
      <c r="B7238" s="831" t="s">
        <v>11655</v>
      </c>
      <c r="C7238" s="830" t="s">
        <v>252</v>
      </c>
      <c r="D7238" s="832">
        <v>10.55</v>
      </c>
    </row>
    <row r="7239" spans="1:4" x14ac:dyDescent="0.3">
      <c r="A7239" s="830">
        <v>104803</v>
      </c>
      <c r="B7239" s="831" t="s">
        <v>11656</v>
      </c>
      <c r="C7239" s="830" t="s">
        <v>194</v>
      </c>
      <c r="D7239" s="832">
        <v>5.1100000000000003</v>
      </c>
    </row>
    <row r="7240" spans="1:4" x14ac:dyDescent="0.3">
      <c r="A7240" s="830">
        <v>95967</v>
      </c>
      <c r="B7240" s="831" t="s">
        <v>11657</v>
      </c>
      <c r="C7240" s="830" t="s">
        <v>1901</v>
      </c>
      <c r="D7240" s="832">
        <v>165.16</v>
      </c>
    </row>
    <row r="7241" spans="1:4" x14ac:dyDescent="0.3">
      <c r="A7241" s="830">
        <v>99059</v>
      </c>
      <c r="B7241" s="831" t="s">
        <v>11658</v>
      </c>
      <c r="C7241" s="830" t="s">
        <v>194</v>
      </c>
      <c r="D7241" s="832">
        <v>66.459999999999994</v>
      </c>
    </row>
    <row r="7242" spans="1:4" x14ac:dyDescent="0.3">
      <c r="A7242" s="830">
        <v>99060</v>
      </c>
      <c r="B7242" s="831" t="s">
        <v>11659</v>
      </c>
      <c r="C7242" s="830" t="s">
        <v>89</v>
      </c>
      <c r="D7242" s="832">
        <v>196.16</v>
      </c>
    </row>
    <row r="7243" spans="1:4" x14ac:dyDescent="0.3">
      <c r="A7243" s="830">
        <v>99061</v>
      </c>
      <c r="B7243" s="831" t="s">
        <v>11660</v>
      </c>
      <c r="C7243" s="830" t="s">
        <v>89</v>
      </c>
      <c r="D7243" s="832">
        <v>121.07</v>
      </c>
    </row>
    <row r="7244" spans="1:4" x14ac:dyDescent="0.3">
      <c r="A7244" s="830">
        <v>99062</v>
      </c>
      <c r="B7244" s="831" t="s">
        <v>11661</v>
      </c>
      <c r="C7244" s="830" t="s">
        <v>89</v>
      </c>
      <c r="D7244" s="832">
        <v>2.2000000000000002</v>
      </c>
    </row>
    <row r="7245" spans="1:4" x14ac:dyDescent="0.3">
      <c r="A7245" s="830">
        <v>99063</v>
      </c>
      <c r="B7245" s="831" t="s">
        <v>4474</v>
      </c>
      <c r="C7245" s="830" t="s">
        <v>194</v>
      </c>
      <c r="D7245" s="832">
        <v>9.73</v>
      </c>
    </row>
    <row r="7246" spans="1:4" x14ac:dyDescent="0.3">
      <c r="A7246" s="830">
        <v>105007</v>
      </c>
      <c r="B7246" s="831" t="s">
        <v>11662</v>
      </c>
      <c r="C7246" s="830" t="s">
        <v>89</v>
      </c>
      <c r="D7246" s="832">
        <v>40.380000000000003</v>
      </c>
    </row>
    <row r="7247" spans="1:4" x14ac:dyDescent="0.3">
      <c r="A7247" s="830">
        <v>105009</v>
      </c>
      <c r="B7247" s="831" t="s">
        <v>11663</v>
      </c>
      <c r="C7247" s="830" t="s">
        <v>194</v>
      </c>
      <c r="D7247" s="832">
        <v>81.489999999999995</v>
      </c>
    </row>
    <row r="7248" spans="1:4" x14ac:dyDescent="0.3">
      <c r="A7248" s="830">
        <v>105011</v>
      </c>
      <c r="B7248" s="831" t="s">
        <v>11664</v>
      </c>
      <c r="C7248" s="830" t="s">
        <v>194</v>
      </c>
      <c r="D7248" s="832">
        <v>0.56999999999999995</v>
      </c>
    </row>
    <row r="7249" spans="1:4" x14ac:dyDescent="0.3">
      <c r="A7249" s="830">
        <v>93588</v>
      </c>
      <c r="B7249" s="831" t="s">
        <v>11665</v>
      </c>
      <c r="C7249" s="830" t="s">
        <v>121</v>
      </c>
      <c r="D7249" s="832">
        <v>3.15</v>
      </c>
    </row>
    <row r="7250" spans="1:4" x14ac:dyDescent="0.3">
      <c r="A7250" s="830">
        <v>93589</v>
      </c>
      <c r="B7250" s="831" t="s">
        <v>11666</v>
      </c>
      <c r="C7250" s="830" t="s">
        <v>121</v>
      </c>
      <c r="D7250" s="832">
        <v>2.7</v>
      </c>
    </row>
    <row r="7251" spans="1:4" x14ac:dyDescent="0.3">
      <c r="A7251" s="830">
        <v>93590</v>
      </c>
      <c r="B7251" s="831" t="s">
        <v>11667</v>
      </c>
      <c r="C7251" s="830" t="s">
        <v>121</v>
      </c>
      <c r="D7251" s="832">
        <v>0.98</v>
      </c>
    </row>
    <row r="7252" spans="1:4" x14ac:dyDescent="0.3">
      <c r="A7252" s="830">
        <v>93591</v>
      </c>
      <c r="B7252" s="831" t="s">
        <v>11668</v>
      </c>
      <c r="C7252" s="830" t="s">
        <v>121</v>
      </c>
      <c r="D7252" s="832">
        <v>2.78</v>
      </c>
    </row>
    <row r="7253" spans="1:4" x14ac:dyDescent="0.3">
      <c r="A7253" s="830">
        <v>93592</v>
      </c>
      <c r="B7253" s="831" t="s">
        <v>3080</v>
      </c>
      <c r="C7253" s="830" t="s">
        <v>121</v>
      </c>
      <c r="D7253" s="832">
        <v>2.42</v>
      </c>
    </row>
    <row r="7254" spans="1:4" x14ac:dyDescent="0.3">
      <c r="A7254" s="830">
        <v>93593</v>
      </c>
      <c r="B7254" s="831" t="s">
        <v>123</v>
      </c>
      <c r="C7254" s="830" t="s">
        <v>121</v>
      </c>
      <c r="D7254" s="832">
        <v>0.89</v>
      </c>
    </row>
    <row r="7255" spans="1:4" x14ac:dyDescent="0.3">
      <c r="A7255" s="830">
        <v>93594</v>
      </c>
      <c r="B7255" s="831" t="s">
        <v>11669</v>
      </c>
      <c r="C7255" s="830" t="s">
        <v>416</v>
      </c>
      <c r="D7255" s="832">
        <v>2.1</v>
      </c>
    </row>
    <row r="7256" spans="1:4" x14ac:dyDescent="0.3">
      <c r="A7256" s="830">
        <v>93595</v>
      </c>
      <c r="B7256" s="831" t="s">
        <v>11670</v>
      </c>
      <c r="C7256" s="830" t="s">
        <v>416</v>
      </c>
      <c r="D7256" s="832">
        <v>1.82</v>
      </c>
    </row>
    <row r="7257" spans="1:4" x14ac:dyDescent="0.3">
      <c r="A7257" s="830">
        <v>93596</v>
      </c>
      <c r="B7257" s="831" t="s">
        <v>11671</v>
      </c>
      <c r="C7257" s="830" t="s">
        <v>416</v>
      </c>
      <c r="D7257" s="832">
        <v>0.66</v>
      </c>
    </row>
    <row r="7258" spans="1:4" x14ac:dyDescent="0.3">
      <c r="A7258" s="830">
        <v>93597</v>
      </c>
      <c r="B7258" s="831" t="s">
        <v>11672</v>
      </c>
      <c r="C7258" s="830" t="s">
        <v>416</v>
      </c>
      <c r="D7258" s="832">
        <v>1.86</v>
      </c>
    </row>
    <row r="7259" spans="1:4" x14ac:dyDescent="0.3">
      <c r="A7259" s="830">
        <v>93598</v>
      </c>
      <c r="B7259" s="831" t="s">
        <v>11673</v>
      </c>
      <c r="C7259" s="830" t="s">
        <v>416</v>
      </c>
      <c r="D7259" s="832">
        <v>1.6</v>
      </c>
    </row>
    <row r="7260" spans="1:4" x14ac:dyDescent="0.3">
      <c r="A7260" s="830">
        <v>93599</v>
      </c>
      <c r="B7260" s="831" t="s">
        <v>11674</v>
      </c>
      <c r="C7260" s="830" t="s">
        <v>416</v>
      </c>
      <c r="D7260" s="832">
        <v>0.59</v>
      </c>
    </row>
    <row r="7261" spans="1:4" x14ac:dyDescent="0.3">
      <c r="A7261" s="830">
        <v>95425</v>
      </c>
      <c r="B7261" s="831" t="s">
        <v>11675</v>
      </c>
      <c r="C7261" s="830" t="s">
        <v>121</v>
      </c>
      <c r="D7261" s="832">
        <v>2.37</v>
      </c>
    </row>
    <row r="7262" spans="1:4" x14ac:dyDescent="0.3">
      <c r="A7262" s="830">
        <v>95426</v>
      </c>
      <c r="B7262" s="831" t="s">
        <v>11676</v>
      </c>
      <c r="C7262" s="830" t="s">
        <v>121</v>
      </c>
      <c r="D7262" s="832">
        <v>2.04</v>
      </c>
    </row>
    <row r="7263" spans="1:4" x14ac:dyDescent="0.3">
      <c r="A7263" s="830">
        <v>95427</v>
      </c>
      <c r="B7263" s="831" t="s">
        <v>11677</v>
      </c>
      <c r="C7263" s="830" t="s">
        <v>121</v>
      </c>
      <c r="D7263" s="832">
        <v>0.77</v>
      </c>
    </row>
    <row r="7264" spans="1:4" x14ac:dyDescent="0.3">
      <c r="A7264" s="830">
        <v>95428</v>
      </c>
      <c r="B7264" s="831" t="s">
        <v>11678</v>
      </c>
      <c r="C7264" s="830" t="s">
        <v>416</v>
      </c>
      <c r="D7264" s="832">
        <v>1.6</v>
      </c>
    </row>
    <row r="7265" spans="1:4" x14ac:dyDescent="0.3">
      <c r="A7265" s="830">
        <v>95429</v>
      </c>
      <c r="B7265" s="831" t="s">
        <v>11679</v>
      </c>
      <c r="C7265" s="830" t="s">
        <v>416</v>
      </c>
      <c r="D7265" s="832">
        <v>1.38</v>
      </c>
    </row>
    <row r="7266" spans="1:4" x14ac:dyDescent="0.3">
      <c r="A7266" s="830">
        <v>95430</v>
      </c>
      <c r="B7266" s="831" t="s">
        <v>11680</v>
      </c>
      <c r="C7266" s="830" t="s">
        <v>416</v>
      </c>
      <c r="D7266" s="832">
        <v>0.48</v>
      </c>
    </row>
    <row r="7267" spans="1:4" x14ac:dyDescent="0.3">
      <c r="A7267" s="830">
        <v>95875</v>
      </c>
      <c r="B7267" s="831" t="s">
        <v>11681</v>
      </c>
      <c r="C7267" s="830" t="s">
        <v>121</v>
      </c>
      <c r="D7267" s="832">
        <v>2.4900000000000002</v>
      </c>
    </row>
    <row r="7268" spans="1:4" x14ac:dyDescent="0.3">
      <c r="A7268" s="830">
        <v>95876</v>
      </c>
      <c r="B7268" s="831" t="s">
        <v>120</v>
      </c>
      <c r="C7268" s="830" t="s">
        <v>121</v>
      </c>
      <c r="D7268" s="832">
        <v>2.19</v>
      </c>
    </row>
    <row r="7269" spans="1:4" x14ac:dyDescent="0.3">
      <c r="A7269" s="830">
        <v>95877</v>
      </c>
      <c r="B7269" s="831" t="s">
        <v>11682</v>
      </c>
      <c r="C7269" s="830" t="s">
        <v>121</v>
      </c>
      <c r="D7269" s="832">
        <v>1.87</v>
      </c>
    </row>
    <row r="7270" spans="1:4" x14ac:dyDescent="0.3">
      <c r="A7270" s="830">
        <v>95878</v>
      </c>
      <c r="B7270" s="831" t="s">
        <v>11683</v>
      </c>
      <c r="C7270" s="830" t="s">
        <v>416</v>
      </c>
      <c r="D7270" s="832">
        <v>1.68</v>
      </c>
    </row>
    <row r="7271" spans="1:4" x14ac:dyDescent="0.3">
      <c r="A7271" s="830">
        <v>95879</v>
      </c>
      <c r="B7271" s="831" t="s">
        <v>11684</v>
      </c>
      <c r="C7271" s="830" t="s">
        <v>416</v>
      </c>
      <c r="D7271" s="832">
        <v>1.48</v>
      </c>
    </row>
    <row r="7272" spans="1:4" x14ac:dyDescent="0.3">
      <c r="A7272" s="830">
        <v>95880</v>
      </c>
      <c r="B7272" s="831" t="s">
        <v>11685</v>
      </c>
      <c r="C7272" s="830" t="s">
        <v>416</v>
      </c>
      <c r="D7272" s="832">
        <v>1.26</v>
      </c>
    </row>
    <row r="7273" spans="1:4" x14ac:dyDescent="0.3">
      <c r="A7273" s="830">
        <v>97912</v>
      </c>
      <c r="B7273" s="831" t="s">
        <v>11686</v>
      </c>
      <c r="C7273" s="830" t="s">
        <v>121</v>
      </c>
      <c r="D7273" s="832">
        <v>3.78</v>
      </c>
    </row>
    <row r="7274" spans="1:4" x14ac:dyDescent="0.3">
      <c r="A7274" s="830">
        <v>97913</v>
      </c>
      <c r="B7274" s="831" t="s">
        <v>11687</v>
      </c>
      <c r="C7274" s="830" t="s">
        <v>121</v>
      </c>
      <c r="D7274" s="832">
        <v>3.27</v>
      </c>
    </row>
    <row r="7275" spans="1:4" x14ac:dyDescent="0.3">
      <c r="A7275" s="830">
        <v>97914</v>
      </c>
      <c r="B7275" s="831" t="s">
        <v>11688</v>
      </c>
      <c r="C7275" s="830" t="s">
        <v>121</v>
      </c>
      <c r="D7275" s="832">
        <v>3</v>
      </c>
    </row>
    <row r="7276" spans="1:4" x14ac:dyDescent="0.3">
      <c r="A7276" s="830">
        <v>97915</v>
      </c>
      <c r="B7276" s="831" t="s">
        <v>11689</v>
      </c>
      <c r="C7276" s="830" t="s">
        <v>121</v>
      </c>
      <c r="D7276" s="832">
        <v>1.2</v>
      </c>
    </row>
    <row r="7277" spans="1:4" x14ac:dyDescent="0.3">
      <c r="A7277" s="830">
        <v>100937</v>
      </c>
      <c r="B7277" s="831" t="s">
        <v>11690</v>
      </c>
      <c r="C7277" s="830" t="s">
        <v>121</v>
      </c>
      <c r="D7277" s="832">
        <v>9.01</v>
      </c>
    </row>
    <row r="7278" spans="1:4" x14ac:dyDescent="0.3">
      <c r="A7278" s="830">
        <v>100938</v>
      </c>
      <c r="B7278" s="831" t="s">
        <v>11691</v>
      </c>
      <c r="C7278" s="830" t="s">
        <v>121</v>
      </c>
      <c r="D7278" s="832">
        <v>7.51</v>
      </c>
    </row>
    <row r="7279" spans="1:4" x14ac:dyDescent="0.3">
      <c r="A7279" s="830">
        <v>100939</v>
      </c>
      <c r="B7279" s="831" t="s">
        <v>11692</v>
      </c>
      <c r="C7279" s="830" t="s">
        <v>121</v>
      </c>
      <c r="D7279" s="832">
        <v>6.67</v>
      </c>
    </row>
    <row r="7280" spans="1:4" x14ac:dyDescent="0.3">
      <c r="A7280" s="830">
        <v>100940</v>
      </c>
      <c r="B7280" s="831" t="s">
        <v>11693</v>
      </c>
      <c r="C7280" s="830" t="s">
        <v>121</v>
      </c>
      <c r="D7280" s="832">
        <v>5.69</v>
      </c>
    </row>
    <row r="7281" spans="1:4" x14ac:dyDescent="0.3">
      <c r="A7281" s="830">
        <v>100941</v>
      </c>
      <c r="B7281" s="831" t="s">
        <v>11694</v>
      </c>
      <c r="C7281" s="830" t="s">
        <v>416</v>
      </c>
      <c r="D7281" s="832">
        <v>6</v>
      </c>
    </row>
    <row r="7282" spans="1:4" x14ac:dyDescent="0.3">
      <c r="A7282" s="830">
        <v>100942</v>
      </c>
      <c r="B7282" s="831" t="s">
        <v>11695</v>
      </c>
      <c r="C7282" s="830" t="s">
        <v>416</v>
      </c>
      <c r="D7282" s="832">
        <v>5.01</v>
      </c>
    </row>
    <row r="7283" spans="1:4" x14ac:dyDescent="0.3">
      <c r="A7283" s="830">
        <v>100943</v>
      </c>
      <c r="B7283" s="831" t="s">
        <v>11696</v>
      </c>
      <c r="C7283" s="830" t="s">
        <v>416</v>
      </c>
      <c r="D7283" s="832">
        <v>4.4400000000000004</v>
      </c>
    </row>
    <row r="7284" spans="1:4" x14ac:dyDescent="0.3">
      <c r="A7284" s="830">
        <v>100944</v>
      </c>
      <c r="B7284" s="831" t="s">
        <v>11697</v>
      </c>
      <c r="C7284" s="830" t="s">
        <v>416</v>
      </c>
      <c r="D7284" s="832">
        <v>3.8</v>
      </c>
    </row>
    <row r="7285" spans="1:4" x14ac:dyDescent="0.3">
      <c r="A7285" s="830">
        <v>100945</v>
      </c>
      <c r="B7285" s="831" t="s">
        <v>11698</v>
      </c>
      <c r="C7285" s="830" t="s">
        <v>416</v>
      </c>
      <c r="D7285" s="832">
        <v>2.84</v>
      </c>
    </row>
    <row r="7286" spans="1:4" x14ac:dyDescent="0.3">
      <c r="A7286" s="830">
        <v>100946</v>
      </c>
      <c r="B7286" s="831" t="s">
        <v>11699</v>
      </c>
      <c r="C7286" s="830" t="s">
        <v>416</v>
      </c>
      <c r="D7286" s="832">
        <v>2.44</v>
      </c>
    </row>
    <row r="7287" spans="1:4" x14ac:dyDescent="0.3">
      <c r="A7287" s="830">
        <v>100947</v>
      </c>
      <c r="B7287" s="831" t="s">
        <v>11700</v>
      </c>
      <c r="C7287" s="830" t="s">
        <v>416</v>
      </c>
      <c r="D7287" s="832">
        <v>2.25</v>
      </c>
    </row>
    <row r="7288" spans="1:4" x14ac:dyDescent="0.3">
      <c r="A7288" s="830">
        <v>100948</v>
      </c>
      <c r="B7288" s="831" t="s">
        <v>11701</v>
      </c>
      <c r="C7288" s="830" t="s">
        <v>416</v>
      </c>
      <c r="D7288" s="832">
        <v>0.89</v>
      </c>
    </row>
    <row r="7289" spans="1:4" x14ac:dyDescent="0.3">
      <c r="A7289" s="830">
        <v>100949</v>
      </c>
      <c r="B7289" s="831" t="s">
        <v>11702</v>
      </c>
      <c r="C7289" s="830" t="s">
        <v>416</v>
      </c>
      <c r="D7289" s="832">
        <v>6.75</v>
      </c>
    </row>
    <row r="7290" spans="1:4" x14ac:dyDescent="0.3">
      <c r="A7290" s="830">
        <v>100950</v>
      </c>
      <c r="B7290" s="831" t="s">
        <v>11703</v>
      </c>
      <c r="C7290" s="830" t="s">
        <v>416</v>
      </c>
      <c r="D7290" s="832">
        <v>3.58</v>
      </c>
    </row>
    <row r="7291" spans="1:4" x14ac:dyDescent="0.3">
      <c r="A7291" s="830">
        <v>100951</v>
      </c>
      <c r="B7291" s="831" t="s">
        <v>11704</v>
      </c>
      <c r="C7291" s="830" t="s">
        <v>416</v>
      </c>
      <c r="D7291" s="832">
        <v>3.09</v>
      </c>
    </row>
    <row r="7292" spans="1:4" x14ac:dyDescent="0.3">
      <c r="A7292" s="830">
        <v>100952</v>
      </c>
      <c r="B7292" s="831" t="s">
        <v>415</v>
      </c>
      <c r="C7292" s="830" t="s">
        <v>416</v>
      </c>
      <c r="D7292" s="832">
        <v>2.84</v>
      </c>
    </row>
    <row r="7293" spans="1:4" x14ac:dyDescent="0.3">
      <c r="A7293" s="830">
        <v>100953</v>
      </c>
      <c r="B7293" s="831" t="s">
        <v>11705</v>
      </c>
      <c r="C7293" s="830" t="s">
        <v>416</v>
      </c>
      <c r="D7293" s="832">
        <v>1.1299999999999999</v>
      </c>
    </row>
    <row r="7294" spans="1:4" x14ac:dyDescent="0.3">
      <c r="A7294" s="830">
        <v>100954</v>
      </c>
      <c r="B7294" s="831" t="s">
        <v>11706</v>
      </c>
      <c r="C7294" s="830" t="s">
        <v>416</v>
      </c>
      <c r="D7294" s="832">
        <v>8.52</v>
      </c>
    </row>
    <row r="7295" spans="1:4" x14ac:dyDescent="0.3">
      <c r="A7295" s="830">
        <v>100955</v>
      </c>
      <c r="B7295" s="831" t="s">
        <v>11707</v>
      </c>
      <c r="C7295" s="830" t="s">
        <v>121</v>
      </c>
      <c r="D7295" s="832">
        <v>4.93</v>
      </c>
    </row>
    <row r="7296" spans="1:4" x14ac:dyDescent="0.3">
      <c r="A7296" s="830">
        <v>100956</v>
      </c>
      <c r="B7296" s="831" t="s">
        <v>11708</v>
      </c>
      <c r="C7296" s="830" t="s">
        <v>121</v>
      </c>
      <c r="D7296" s="832">
        <v>4.28</v>
      </c>
    </row>
    <row r="7297" spans="1:4" x14ac:dyDescent="0.3">
      <c r="A7297" s="830">
        <v>100957</v>
      </c>
      <c r="B7297" s="831" t="s">
        <v>11709</v>
      </c>
      <c r="C7297" s="830" t="s">
        <v>121</v>
      </c>
      <c r="D7297" s="832">
        <v>3.92</v>
      </c>
    </row>
    <row r="7298" spans="1:4" x14ac:dyDescent="0.3">
      <c r="A7298" s="830">
        <v>100958</v>
      </c>
      <c r="B7298" s="831" t="s">
        <v>11710</v>
      </c>
      <c r="C7298" s="830" t="s">
        <v>121</v>
      </c>
      <c r="D7298" s="832">
        <v>1.57</v>
      </c>
    </row>
    <row r="7299" spans="1:4" x14ac:dyDescent="0.3">
      <c r="A7299" s="830">
        <v>100959</v>
      </c>
      <c r="B7299" s="831" t="s">
        <v>11711</v>
      </c>
      <c r="C7299" s="830" t="s">
        <v>121</v>
      </c>
      <c r="D7299" s="832">
        <v>11.75</v>
      </c>
    </row>
    <row r="7300" spans="1:4" x14ac:dyDescent="0.3">
      <c r="A7300" s="830">
        <v>100960</v>
      </c>
      <c r="B7300" s="831" t="s">
        <v>11712</v>
      </c>
      <c r="C7300" s="830" t="s">
        <v>121</v>
      </c>
      <c r="D7300" s="832">
        <v>3.65</v>
      </c>
    </row>
    <row r="7301" spans="1:4" x14ac:dyDescent="0.3">
      <c r="A7301" s="830">
        <v>100961</v>
      </c>
      <c r="B7301" s="831" t="s">
        <v>11713</v>
      </c>
      <c r="C7301" s="830" t="s">
        <v>121</v>
      </c>
      <c r="D7301" s="832">
        <v>3.17</v>
      </c>
    </row>
    <row r="7302" spans="1:4" x14ac:dyDescent="0.3">
      <c r="A7302" s="830">
        <v>100962</v>
      </c>
      <c r="B7302" s="831" t="s">
        <v>11714</v>
      </c>
      <c r="C7302" s="830" t="s">
        <v>121</v>
      </c>
      <c r="D7302" s="832">
        <v>2.89</v>
      </c>
    </row>
    <row r="7303" spans="1:4" x14ac:dyDescent="0.3">
      <c r="A7303" s="830">
        <v>100963</v>
      </c>
      <c r="B7303" s="831" t="s">
        <v>11715</v>
      </c>
      <c r="C7303" s="830" t="s">
        <v>121</v>
      </c>
      <c r="D7303" s="832">
        <v>1.1399999999999999</v>
      </c>
    </row>
    <row r="7304" spans="1:4" x14ac:dyDescent="0.3">
      <c r="A7304" s="830">
        <v>100964</v>
      </c>
      <c r="B7304" s="831" t="s">
        <v>11716</v>
      </c>
      <c r="C7304" s="830" t="s">
        <v>121</v>
      </c>
      <c r="D7304" s="832">
        <v>8.77</v>
      </c>
    </row>
    <row r="7305" spans="1:4" x14ac:dyDescent="0.3">
      <c r="A7305" s="830">
        <v>100973</v>
      </c>
      <c r="B7305" s="831" t="s">
        <v>11717</v>
      </c>
      <c r="C7305" s="830" t="s">
        <v>5247</v>
      </c>
      <c r="D7305" s="832">
        <v>8.8000000000000007</v>
      </c>
    </row>
    <row r="7306" spans="1:4" x14ac:dyDescent="0.3">
      <c r="A7306" s="830">
        <v>100974</v>
      </c>
      <c r="B7306" s="831" t="s">
        <v>11718</v>
      </c>
      <c r="C7306" s="830" t="s">
        <v>5247</v>
      </c>
      <c r="D7306" s="832">
        <v>8.4600000000000009</v>
      </c>
    </row>
    <row r="7307" spans="1:4" x14ac:dyDescent="0.3">
      <c r="A7307" s="830">
        <v>100975</v>
      </c>
      <c r="B7307" s="831" t="s">
        <v>3074</v>
      </c>
      <c r="C7307" s="830" t="s">
        <v>5247</v>
      </c>
      <c r="D7307" s="832">
        <v>8.61</v>
      </c>
    </row>
    <row r="7308" spans="1:4" x14ac:dyDescent="0.3">
      <c r="A7308" s="830">
        <v>100965</v>
      </c>
      <c r="B7308" s="831" t="s">
        <v>11719</v>
      </c>
      <c r="C7308" s="830" t="s">
        <v>416</v>
      </c>
      <c r="D7308" s="832">
        <v>1.79</v>
      </c>
    </row>
    <row r="7309" spans="1:4" x14ac:dyDescent="0.3">
      <c r="A7309" s="830">
        <v>100966</v>
      </c>
      <c r="B7309" s="831" t="s">
        <v>11720</v>
      </c>
      <c r="C7309" s="830" t="s">
        <v>416</v>
      </c>
      <c r="D7309" s="832">
        <v>1.54</v>
      </c>
    </row>
    <row r="7310" spans="1:4" x14ac:dyDescent="0.3">
      <c r="A7310" s="830">
        <v>100969</v>
      </c>
      <c r="B7310" s="831" t="s">
        <v>11721</v>
      </c>
      <c r="C7310" s="830" t="s">
        <v>416</v>
      </c>
      <c r="D7310" s="832">
        <v>2.35</v>
      </c>
    </row>
    <row r="7311" spans="1:4" x14ac:dyDescent="0.3">
      <c r="A7311" s="830">
        <v>100970</v>
      </c>
      <c r="B7311" s="831" t="s">
        <v>11722</v>
      </c>
      <c r="C7311" s="830" t="s">
        <v>416</v>
      </c>
      <c r="D7311" s="832">
        <v>1.99</v>
      </c>
    </row>
    <row r="7312" spans="1:4" x14ac:dyDescent="0.3">
      <c r="A7312" s="830">
        <v>102330</v>
      </c>
      <c r="B7312" s="831" t="s">
        <v>11723</v>
      </c>
      <c r="C7312" s="830" t="s">
        <v>416</v>
      </c>
      <c r="D7312" s="832">
        <v>1.43</v>
      </c>
    </row>
    <row r="7313" spans="1:4" x14ac:dyDescent="0.3">
      <c r="A7313" s="830">
        <v>102331</v>
      </c>
      <c r="B7313" s="831" t="s">
        <v>11724</v>
      </c>
      <c r="C7313" s="830" t="s">
        <v>416</v>
      </c>
      <c r="D7313" s="832">
        <v>0.56000000000000005</v>
      </c>
    </row>
    <row r="7314" spans="1:4" x14ac:dyDescent="0.3">
      <c r="A7314" s="830">
        <v>102332</v>
      </c>
      <c r="B7314" s="831" t="s">
        <v>11725</v>
      </c>
      <c r="C7314" s="830" t="s">
        <v>416</v>
      </c>
      <c r="D7314" s="832">
        <v>1.86</v>
      </c>
    </row>
    <row r="7315" spans="1:4" x14ac:dyDescent="0.3">
      <c r="A7315" s="830">
        <v>102333</v>
      </c>
      <c r="B7315" s="831" t="s">
        <v>11726</v>
      </c>
      <c r="C7315" s="830" t="s">
        <v>416</v>
      </c>
      <c r="D7315" s="832">
        <v>0.74</v>
      </c>
    </row>
    <row r="7316" spans="1:4" x14ac:dyDescent="0.3">
      <c r="A7316" s="830">
        <v>101019</v>
      </c>
      <c r="B7316" s="831" t="s">
        <v>11727</v>
      </c>
      <c r="C7316" s="830" t="s">
        <v>381</v>
      </c>
      <c r="D7316" s="832">
        <v>589.6</v>
      </c>
    </row>
    <row r="7317" spans="1:4" x14ac:dyDescent="0.3">
      <c r="A7317" s="830">
        <v>101479</v>
      </c>
      <c r="B7317" s="831" t="s">
        <v>11728</v>
      </c>
      <c r="C7317" s="830" t="s">
        <v>381</v>
      </c>
      <c r="D7317" s="832">
        <v>171.78</v>
      </c>
    </row>
    <row r="7318" spans="1:4" x14ac:dyDescent="0.3">
      <c r="A7318" s="830">
        <v>102568</v>
      </c>
      <c r="B7318" s="831" t="s">
        <v>11729</v>
      </c>
      <c r="C7318" s="830" t="s">
        <v>381</v>
      </c>
      <c r="D7318" s="832">
        <v>292.62</v>
      </c>
    </row>
    <row r="7319" spans="1:4" x14ac:dyDescent="0.3">
      <c r="A7319" s="830">
        <v>100976</v>
      </c>
      <c r="B7319" s="831" t="s">
        <v>11730</v>
      </c>
      <c r="C7319" s="830" t="s">
        <v>5247</v>
      </c>
      <c r="D7319" s="832">
        <v>8.43</v>
      </c>
    </row>
    <row r="7320" spans="1:4" x14ac:dyDescent="0.3">
      <c r="A7320" s="830">
        <v>100977</v>
      </c>
      <c r="B7320" s="831" t="s">
        <v>11731</v>
      </c>
      <c r="C7320" s="830" t="s">
        <v>5247</v>
      </c>
      <c r="D7320" s="832">
        <v>7.76</v>
      </c>
    </row>
    <row r="7321" spans="1:4" x14ac:dyDescent="0.3">
      <c r="A7321" s="830">
        <v>100978</v>
      </c>
      <c r="B7321" s="831" t="s">
        <v>11732</v>
      </c>
      <c r="C7321" s="830" t="s">
        <v>5247</v>
      </c>
      <c r="D7321" s="832">
        <v>6.99</v>
      </c>
    </row>
    <row r="7322" spans="1:4" x14ac:dyDescent="0.3">
      <c r="A7322" s="830">
        <v>100979</v>
      </c>
      <c r="B7322" s="831" t="s">
        <v>128</v>
      </c>
      <c r="C7322" s="830" t="s">
        <v>5247</v>
      </c>
      <c r="D7322" s="832">
        <v>6.77</v>
      </c>
    </row>
    <row r="7323" spans="1:4" x14ac:dyDescent="0.3">
      <c r="A7323" s="830">
        <v>100980</v>
      </c>
      <c r="B7323" s="831" t="s">
        <v>11733</v>
      </c>
      <c r="C7323" s="830" t="s">
        <v>5247</v>
      </c>
      <c r="D7323" s="832">
        <v>6.4</v>
      </c>
    </row>
    <row r="7324" spans="1:4" x14ac:dyDescent="0.3">
      <c r="A7324" s="830">
        <v>100981</v>
      </c>
      <c r="B7324" s="831" t="s">
        <v>11734</v>
      </c>
      <c r="C7324" s="830" t="s">
        <v>5247</v>
      </c>
      <c r="D7324" s="832">
        <v>9.42</v>
      </c>
    </row>
    <row r="7325" spans="1:4" x14ac:dyDescent="0.3">
      <c r="A7325" s="830">
        <v>100982</v>
      </c>
      <c r="B7325" s="831" t="s">
        <v>11735</v>
      </c>
      <c r="C7325" s="830" t="s">
        <v>5247</v>
      </c>
      <c r="D7325" s="832">
        <v>9</v>
      </c>
    </row>
    <row r="7326" spans="1:4" x14ac:dyDescent="0.3">
      <c r="A7326" s="830">
        <v>100983</v>
      </c>
      <c r="B7326" s="831" t="s">
        <v>117</v>
      </c>
      <c r="C7326" s="830" t="s">
        <v>5247</v>
      </c>
      <c r="D7326" s="832">
        <v>9.1300000000000008</v>
      </c>
    </row>
    <row r="7327" spans="1:4" x14ac:dyDescent="0.3">
      <c r="A7327" s="830">
        <v>100984</v>
      </c>
      <c r="B7327" s="831" t="s">
        <v>11736</v>
      </c>
      <c r="C7327" s="830" t="s">
        <v>5247</v>
      </c>
      <c r="D7327" s="832">
        <v>8.93</v>
      </c>
    </row>
    <row r="7328" spans="1:4" x14ac:dyDescent="0.3">
      <c r="A7328" s="830">
        <v>100985</v>
      </c>
      <c r="B7328" s="831" t="s">
        <v>11737</v>
      </c>
      <c r="C7328" s="830" t="s">
        <v>5247</v>
      </c>
      <c r="D7328" s="832">
        <v>7.6</v>
      </c>
    </row>
    <row r="7329" spans="1:4" x14ac:dyDescent="0.3">
      <c r="A7329" s="830">
        <v>100986</v>
      </c>
      <c r="B7329" s="831" t="s">
        <v>11738</v>
      </c>
      <c r="C7329" s="830" t="s">
        <v>5247</v>
      </c>
      <c r="D7329" s="832">
        <v>9.1199999999999992</v>
      </c>
    </row>
    <row r="7330" spans="1:4" x14ac:dyDescent="0.3">
      <c r="A7330" s="830">
        <v>100987</v>
      </c>
      <c r="B7330" s="831" t="s">
        <v>11739</v>
      </c>
      <c r="C7330" s="830" t="s">
        <v>5247</v>
      </c>
      <c r="D7330" s="832">
        <v>10.61</v>
      </c>
    </row>
    <row r="7331" spans="1:4" x14ac:dyDescent="0.3">
      <c r="A7331" s="830">
        <v>100988</v>
      </c>
      <c r="B7331" s="831" t="s">
        <v>11740</v>
      </c>
      <c r="C7331" s="830" t="s">
        <v>5247</v>
      </c>
      <c r="D7331" s="832">
        <v>11.22</v>
      </c>
    </row>
    <row r="7332" spans="1:4" x14ac:dyDescent="0.3">
      <c r="A7332" s="830">
        <v>100989</v>
      </c>
      <c r="B7332" s="831" t="s">
        <v>11741</v>
      </c>
      <c r="C7332" s="830" t="s">
        <v>381</v>
      </c>
      <c r="D7332" s="832">
        <v>5.86</v>
      </c>
    </row>
    <row r="7333" spans="1:4" x14ac:dyDescent="0.3">
      <c r="A7333" s="830">
        <v>100990</v>
      </c>
      <c r="B7333" s="831" t="s">
        <v>11742</v>
      </c>
      <c r="C7333" s="830" t="s">
        <v>381</v>
      </c>
      <c r="D7333" s="832">
        <v>5.65</v>
      </c>
    </row>
    <row r="7334" spans="1:4" x14ac:dyDescent="0.3">
      <c r="A7334" s="830">
        <v>100991</v>
      </c>
      <c r="B7334" s="831" t="s">
        <v>11743</v>
      </c>
      <c r="C7334" s="830" t="s">
        <v>381</v>
      </c>
      <c r="D7334" s="832">
        <v>5.78</v>
      </c>
    </row>
    <row r="7335" spans="1:4" x14ac:dyDescent="0.3">
      <c r="A7335" s="830">
        <v>100992</v>
      </c>
      <c r="B7335" s="831" t="s">
        <v>11744</v>
      </c>
      <c r="C7335" s="830" t="s">
        <v>381</v>
      </c>
      <c r="D7335" s="832">
        <v>5.62</v>
      </c>
    </row>
    <row r="7336" spans="1:4" x14ac:dyDescent="0.3">
      <c r="A7336" s="830">
        <v>100993</v>
      </c>
      <c r="B7336" s="831" t="s">
        <v>11745</v>
      </c>
      <c r="C7336" s="830" t="s">
        <v>381</v>
      </c>
      <c r="D7336" s="832">
        <v>5.17</v>
      </c>
    </row>
    <row r="7337" spans="1:4" x14ac:dyDescent="0.3">
      <c r="A7337" s="830">
        <v>100994</v>
      </c>
      <c r="B7337" s="831" t="s">
        <v>11746</v>
      </c>
      <c r="C7337" s="830" t="s">
        <v>381</v>
      </c>
      <c r="D7337" s="832">
        <v>4.6399999999999997</v>
      </c>
    </row>
    <row r="7338" spans="1:4" x14ac:dyDescent="0.3">
      <c r="A7338" s="830">
        <v>100995</v>
      </c>
      <c r="B7338" s="831" t="s">
        <v>11747</v>
      </c>
      <c r="C7338" s="830" t="s">
        <v>381</v>
      </c>
      <c r="D7338" s="832">
        <v>4.53</v>
      </c>
    </row>
    <row r="7339" spans="1:4" x14ac:dyDescent="0.3">
      <c r="A7339" s="830">
        <v>100996</v>
      </c>
      <c r="B7339" s="831" t="s">
        <v>11748</v>
      </c>
      <c r="C7339" s="830" t="s">
        <v>381</v>
      </c>
      <c r="D7339" s="832">
        <v>4.26</v>
      </c>
    </row>
    <row r="7340" spans="1:4" x14ac:dyDescent="0.3">
      <c r="A7340" s="830">
        <v>100997</v>
      </c>
      <c r="B7340" s="831" t="s">
        <v>11749</v>
      </c>
      <c r="C7340" s="830" t="s">
        <v>381</v>
      </c>
      <c r="D7340" s="832">
        <v>6.28</v>
      </c>
    </row>
    <row r="7341" spans="1:4" x14ac:dyDescent="0.3">
      <c r="A7341" s="830">
        <v>100998</v>
      </c>
      <c r="B7341" s="831" t="s">
        <v>11750</v>
      </c>
      <c r="C7341" s="830" t="s">
        <v>381</v>
      </c>
      <c r="D7341" s="832">
        <v>6.01</v>
      </c>
    </row>
    <row r="7342" spans="1:4" x14ac:dyDescent="0.3">
      <c r="A7342" s="830">
        <v>100999</v>
      </c>
      <c r="B7342" s="831" t="s">
        <v>11751</v>
      </c>
      <c r="C7342" s="830" t="s">
        <v>381</v>
      </c>
      <c r="D7342" s="832">
        <v>6.12</v>
      </c>
    </row>
    <row r="7343" spans="1:4" x14ac:dyDescent="0.3">
      <c r="A7343" s="830">
        <v>101000</v>
      </c>
      <c r="B7343" s="831" t="s">
        <v>11752</v>
      </c>
      <c r="C7343" s="830" t="s">
        <v>381</v>
      </c>
      <c r="D7343" s="832">
        <v>5.95</v>
      </c>
    </row>
    <row r="7344" spans="1:4" x14ac:dyDescent="0.3">
      <c r="A7344" s="830">
        <v>101001</v>
      </c>
      <c r="B7344" s="831" t="s">
        <v>11753</v>
      </c>
      <c r="C7344" s="830" t="s">
        <v>381</v>
      </c>
      <c r="D7344" s="832">
        <v>5.07</v>
      </c>
    </row>
    <row r="7345" spans="1:4" x14ac:dyDescent="0.3">
      <c r="A7345" s="830">
        <v>101002</v>
      </c>
      <c r="B7345" s="831" t="s">
        <v>11754</v>
      </c>
      <c r="C7345" s="830" t="s">
        <v>381</v>
      </c>
      <c r="D7345" s="832">
        <v>6.06</v>
      </c>
    </row>
    <row r="7346" spans="1:4" x14ac:dyDescent="0.3">
      <c r="A7346" s="830">
        <v>101003</v>
      </c>
      <c r="B7346" s="831" t="s">
        <v>11755</v>
      </c>
      <c r="C7346" s="830" t="s">
        <v>381</v>
      </c>
      <c r="D7346" s="832">
        <v>7.06</v>
      </c>
    </row>
    <row r="7347" spans="1:4" x14ac:dyDescent="0.3">
      <c r="A7347" s="830">
        <v>101004</v>
      </c>
      <c r="B7347" s="831" t="s">
        <v>11756</v>
      </c>
      <c r="C7347" s="830" t="s">
        <v>381</v>
      </c>
      <c r="D7347" s="832">
        <v>7.47</v>
      </c>
    </row>
    <row r="7348" spans="1:4" x14ac:dyDescent="0.3">
      <c r="A7348" s="830">
        <v>101005</v>
      </c>
      <c r="B7348" s="831" t="s">
        <v>11757</v>
      </c>
      <c r="C7348" s="830" t="s">
        <v>5247</v>
      </c>
      <c r="D7348" s="832">
        <v>18.75</v>
      </c>
    </row>
    <row r="7349" spans="1:4" x14ac:dyDescent="0.3">
      <c r="A7349" s="830">
        <v>101006</v>
      </c>
      <c r="B7349" s="831" t="s">
        <v>11758</v>
      </c>
      <c r="C7349" s="830" t="s">
        <v>5247</v>
      </c>
      <c r="D7349" s="832">
        <v>20.82</v>
      </c>
    </row>
    <row r="7350" spans="1:4" x14ac:dyDescent="0.3">
      <c r="A7350" s="830">
        <v>101007</v>
      </c>
      <c r="B7350" s="831" t="s">
        <v>11759</v>
      </c>
      <c r="C7350" s="830" t="s">
        <v>5247</v>
      </c>
      <c r="D7350" s="832">
        <v>5.44</v>
      </c>
    </row>
    <row r="7351" spans="1:4" x14ac:dyDescent="0.3">
      <c r="A7351" s="830">
        <v>101008</v>
      </c>
      <c r="B7351" s="831" t="s">
        <v>11760</v>
      </c>
      <c r="C7351" s="830" t="s">
        <v>5247</v>
      </c>
      <c r="D7351" s="832">
        <v>5.5</v>
      </c>
    </row>
    <row r="7352" spans="1:4" x14ac:dyDescent="0.3">
      <c r="A7352" s="830">
        <v>101009</v>
      </c>
      <c r="B7352" s="831" t="s">
        <v>11761</v>
      </c>
      <c r="C7352" s="830" t="s">
        <v>381</v>
      </c>
      <c r="D7352" s="832">
        <v>43.14</v>
      </c>
    </row>
    <row r="7353" spans="1:4" x14ac:dyDescent="0.3">
      <c r="A7353" s="830">
        <v>101010</v>
      </c>
      <c r="B7353" s="831" t="s">
        <v>11762</v>
      </c>
      <c r="C7353" s="830" t="s">
        <v>381</v>
      </c>
      <c r="D7353" s="832">
        <v>27.17</v>
      </c>
    </row>
    <row r="7354" spans="1:4" x14ac:dyDescent="0.3">
      <c r="A7354" s="830">
        <v>101013</v>
      </c>
      <c r="B7354" s="831" t="s">
        <v>11763</v>
      </c>
      <c r="C7354" s="830" t="s">
        <v>381</v>
      </c>
      <c r="D7354" s="832">
        <v>45.91</v>
      </c>
    </row>
    <row r="7355" spans="1:4" x14ac:dyDescent="0.3">
      <c r="A7355" s="830">
        <v>101014</v>
      </c>
      <c r="B7355" s="831" t="s">
        <v>11764</v>
      </c>
      <c r="C7355" s="830" t="s">
        <v>381</v>
      </c>
      <c r="D7355" s="832">
        <v>42.06</v>
      </c>
    </row>
    <row r="7356" spans="1:4" x14ac:dyDescent="0.3">
      <c r="A7356" s="830">
        <v>101015</v>
      </c>
      <c r="B7356" s="831" t="s">
        <v>11765</v>
      </c>
      <c r="C7356" s="830" t="s">
        <v>381</v>
      </c>
      <c r="D7356" s="832">
        <v>34.549999999999997</v>
      </c>
    </row>
    <row r="7357" spans="1:4" x14ac:dyDescent="0.3">
      <c r="A7357" s="830">
        <v>101016</v>
      </c>
      <c r="B7357" s="831" t="s">
        <v>11766</v>
      </c>
      <c r="C7357" s="830" t="s">
        <v>381</v>
      </c>
      <c r="D7357" s="832">
        <v>39.99</v>
      </c>
    </row>
    <row r="7358" spans="1:4" x14ac:dyDescent="0.3">
      <c r="A7358" s="830">
        <v>101017</v>
      </c>
      <c r="B7358" s="831" t="s">
        <v>11767</v>
      </c>
      <c r="C7358" s="830" t="s">
        <v>381</v>
      </c>
      <c r="D7358" s="832">
        <v>30.33</v>
      </c>
    </row>
    <row r="7359" spans="1:4" x14ac:dyDescent="0.3">
      <c r="A7359" s="830">
        <v>101018</v>
      </c>
      <c r="B7359" s="831" t="s">
        <v>11768</v>
      </c>
      <c r="C7359" s="830" t="s">
        <v>381</v>
      </c>
      <c r="D7359" s="832">
        <v>24.91</v>
      </c>
    </row>
    <row r="7360" spans="1:4" x14ac:dyDescent="0.3">
      <c r="A7360" s="830">
        <v>101463</v>
      </c>
      <c r="B7360" s="831" t="s">
        <v>419</v>
      </c>
      <c r="C7360" s="830" t="s">
        <v>381</v>
      </c>
      <c r="D7360" s="832">
        <v>46.05</v>
      </c>
    </row>
    <row r="7361" spans="1:4" x14ac:dyDescent="0.3">
      <c r="A7361" s="830">
        <v>101464</v>
      </c>
      <c r="B7361" s="831" t="s">
        <v>11769</v>
      </c>
      <c r="C7361" s="830" t="s">
        <v>381</v>
      </c>
      <c r="D7361" s="832">
        <v>35.369999999999997</v>
      </c>
    </row>
    <row r="7362" spans="1:4" x14ac:dyDescent="0.3">
      <c r="A7362" s="830">
        <v>101465</v>
      </c>
      <c r="B7362" s="831" t="s">
        <v>425</v>
      </c>
      <c r="C7362" s="830" t="s">
        <v>381</v>
      </c>
      <c r="D7362" s="832">
        <v>27.03</v>
      </c>
    </row>
    <row r="7363" spans="1:4" x14ac:dyDescent="0.3">
      <c r="A7363" s="830">
        <v>101466</v>
      </c>
      <c r="B7363" s="831" t="s">
        <v>11770</v>
      </c>
      <c r="C7363" s="830" t="s">
        <v>381</v>
      </c>
      <c r="D7363" s="832">
        <v>21.99</v>
      </c>
    </row>
    <row r="7364" spans="1:4" x14ac:dyDescent="0.3">
      <c r="A7364" s="830">
        <v>101467</v>
      </c>
      <c r="B7364" s="831" t="s">
        <v>431</v>
      </c>
      <c r="C7364" s="830" t="s">
        <v>381</v>
      </c>
      <c r="D7364" s="832">
        <v>18.399999999999999</v>
      </c>
    </row>
    <row r="7365" spans="1:4" x14ac:dyDescent="0.3">
      <c r="A7365" s="830">
        <v>101468</v>
      </c>
      <c r="B7365" s="831" t="s">
        <v>440</v>
      </c>
      <c r="C7365" s="830" t="s">
        <v>381</v>
      </c>
      <c r="D7365" s="832">
        <v>16.829999999999998</v>
      </c>
    </row>
    <row r="7366" spans="1:4" x14ac:dyDescent="0.3">
      <c r="A7366" s="830">
        <v>101469</v>
      </c>
      <c r="B7366" s="831" t="s">
        <v>11771</v>
      </c>
      <c r="C7366" s="830" t="s">
        <v>381</v>
      </c>
      <c r="D7366" s="832">
        <v>37.67</v>
      </c>
    </row>
    <row r="7367" spans="1:4" x14ac:dyDescent="0.3">
      <c r="A7367" s="830">
        <v>101470</v>
      </c>
      <c r="B7367" s="831" t="s">
        <v>11772</v>
      </c>
      <c r="C7367" s="830" t="s">
        <v>381</v>
      </c>
      <c r="D7367" s="832">
        <v>29.91</v>
      </c>
    </row>
    <row r="7368" spans="1:4" x14ac:dyDescent="0.3">
      <c r="A7368" s="830">
        <v>101471</v>
      </c>
      <c r="B7368" s="831" t="s">
        <v>11773</v>
      </c>
      <c r="C7368" s="830" t="s">
        <v>381</v>
      </c>
      <c r="D7368" s="832">
        <v>25.65</v>
      </c>
    </row>
    <row r="7369" spans="1:4" x14ac:dyDescent="0.3">
      <c r="A7369" s="830">
        <v>101472</v>
      </c>
      <c r="B7369" s="831" t="s">
        <v>11774</v>
      </c>
      <c r="C7369" s="830" t="s">
        <v>381</v>
      </c>
      <c r="D7369" s="832">
        <v>19.96</v>
      </c>
    </row>
    <row r="7370" spans="1:4" x14ac:dyDescent="0.3">
      <c r="A7370" s="830">
        <v>101473</v>
      </c>
      <c r="B7370" s="831" t="s">
        <v>11775</v>
      </c>
      <c r="C7370" s="830" t="s">
        <v>381</v>
      </c>
      <c r="D7370" s="832">
        <v>28.75</v>
      </c>
    </row>
    <row r="7371" spans="1:4" x14ac:dyDescent="0.3">
      <c r="A7371" s="830">
        <v>101474</v>
      </c>
      <c r="B7371" s="831" t="s">
        <v>11776</v>
      </c>
      <c r="C7371" s="830" t="s">
        <v>381</v>
      </c>
      <c r="D7371" s="832">
        <v>20.56</v>
      </c>
    </row>
    <row r="7372" spans="1:4" x14ac:dyDescent="0.3">
      <c r="A7372" s="830">
        <v>101475</v>
      </c>
      <c r="B7372" s="831" t="s">
        <v>11777</v>
      </c>
      <c r="C7372" s="830" t="s">
        <v>381</v>
      </c>
      <c r="D7372" s="832">
        <v>18.25</v>
      </c>
    </row>
    <row r="7373" spans="1:4" x14ac:dyDescent="0.3">
      <c r="A7373" s="830">
        <v>101476</v>
      </c>
      <c r="B7373" s="831" t="s">
        <v>11778</v>
      </c>
      <c r="C7373" s="830" t="s">
        <v>381</v>
      </c>
      <c r="D7373" s="832">
        <v>16.27</v>
      </c>
    </row>
    <row r="7374" spans="1:4" x14ac:dyDescent="0.3">
      <c r="A7374" s="830">
        <v>101477</v>
      </c>
      <c r="B7374" s="831" t="s">
        <v>11779</v>
      </c>
      <c r="C7374" s="830" t="s">
        <v>381</v>
      </c>
      <c r="D7374" s="832">
        <v>13.32</v>
      </c>
    </row>
    <row r="7375" spans="1:4" x14ac:dyDescent="0.3">
      <c r="A7375" s="830">
        <v>101478</v>
      </c>
      <c r="B7375" s="831" t="s">
        <v>11780</v>
      </c>
      <c r="C7375" s="830" t="s">
        <v>381</v>
      </c>
      <c r="D7375" s="832">
        <v>11.35</v>
      </c>
    </row>
    <row r="7376" spans="1:4" x14ac:dyDescent="0.3">
      <c r="A7376" s="830">
        <v>101480</v>
      </c>
      <c r="B7376" s="831" t="s">
        <v>11781</v>
      </c>
      <c r="C7376" s="830" t="s">
        <v>381</v>
      </c>
      <c r="D7376" s="832">
        <v>67.39</v>
      </c>
    </row>
    <row r="7377" spans="1:4" x14ac:dyDescent="0.3">
      <c r="A7377" s="830">
        <v>101481</v>
      </c>
      <c r="B7377" s="831" t="s">
        <v>11782</v>
      </c>
      <c r="C7377" s="830" t="s">
        <v>381</v>
      </c>
      <c r="D7377" s="832">
        <v>48.67</v>
      </c>
    </row>
    <row r="7378" spans="1:4" x14ac:dyDescent="0.3">
      <c r="A7378" s="830">
        <v>101482</v>
      </c>
      <c r="B7378" s="831" t="s">
        <v>11783</v>
      </c>
      <c r="C7378" s="830" t="s">
        <v>381</v>
      </c>
      <c r="D7378" s="832">
        <v>36.380000000000003</v>
      </c>
    </row>
    <row r="7379" spans="1:4" x14ac:dyDescent="0.3">
      <c r="A7379" s="830">
        <v>101483</v>
      </c>
      <c r="B7379" s="831" t="s">
        <v>11784</v>
      </c>
      <c r="C7379" s="830" t="s">
        <v>381</v>
      </c>
      <c r="D7379" s="832">
        <v>37.76</v>
      </c>
    </row>
    <row r="7380" spans="1:4" x14ac:dyDescent="0.3">
      <c r="A7380" s="830">
        <v>101484</v>
      </c>
      <c r="B7380" s="831" t="s">
        <v>11785</v>
      </c>
      <c r="C7380" s="830" t="s">
        <v>381</v>
      </c>
      <c r="D7380" s="832">
        <v>195.67</v>
      </c>
    </row>
    <row r="7381" spans="1:4" x14ac:dyDescent="0.3">
      <c r="A7381" s="830">
        <v>101485</v>
      </c>
      <c r="B7381" s="831" t="s">
        <v>11786</v>
      </c>
      <c r="C7381" s="830" t="s">
        <v>381</v>
      </c>
      <c r="D7381" s="832">
        <v>150.19999999999999</v>
      </c>
    </row>
    <row r="7382" spans="1:4" x14ac:dyDescent="0.3">
      <c r="A7382" s="830">
        <v>101486</v>
      </c>
      <c r="B7382" s="831" t="s">
        <v>11787</v>
      </c>
      <c r="C7382" s="830" t="s">
        <v>381</v>
      </c>
      <c r="D7382" s="832">
        <v>135.30000000000001</v>
      </c>
    </row>
    <row r="7383" spans="1:4" x14ac:dyDescent="0.3">
      <c r="A7383" s="830">
        <v>101487</v>
      </c>
      <c r="B7383" s="831" t="s">
        <v>11788</v>
      </c>
      <c r="C7383" s="830" t="s">
        <v>381</v>
      </c>
      <c r="D7383" s="832">
        <v>99.07</v>
      </c>
    </row>
    <row r="7384" spans="1:4" x14ac:dyDescent="0.3">
      <c r="A7384" s="830">
        <v>101488</v>
      </c>
      <c r="B7384" s="831" t="s">
        <v>11789</v>
      </c>
      <c r="C7384" s="830" t="s">
        <v>381</v>
      </c>
      <c r="D7384" s="832">
        <v>85.72</v>
      </c>
    </row>
    <row r="7385" spans="1:4" x14ac:dyDescent="0.3">
      <c r="A7385" s="830">
        <v>101188</v>
      </c>
      <c r="B7385" s="831" t="s">
        <v>11790</v>
      </c>
      <c r="C7385" s="830" t="s">
        <v>194</v>
      </c>
      <c r="D7385" s="832">
        <v>6.34</v>
      </c>
    </row>
    <row r="7386" spans="1:4" x14ac:dyDescent="0.3">
      <c r="A7386" s="830">
        <v>101189</v>
      </c>
      <c r="B7386" s="831" t="s">
        <v>11791</v>
      </c>
      <c r="C7386" s="830" t="s">
        <v>194</v>
      </c>
      <c r="D7386" s="832">
        <v>70.16</v>
      </c>
    </row>
    <row r="7387" spans="1:4" x14ac:dyDescent="0.3">
      <c r="A7387" s="830">
        <v>101190</v>
      </c>
      <c r="B7387" s="831" t="s">
        <v>11792</v>
      </c>
      <c r="C7387" s="830" t="s">
        <v>194</v>
      </c>
      <c r="D7387" s="832">
        <v>69.569999999999993</v>
      </c>
    </row>
    <row r="7388" spans="1:4" x14ac:dyDescent="0.3">
      <c r="A7388" s="830">
        <v>101191</v>
      </c>
      <c r="B7388" s="831" t="s">
        <v>11793</v>
      </c>
      <c r="C7388" s="830" t="s">
        <v>194</v>
      </c>
      <c r="D7388" s="832">
        <v>69.86</v>
      </c>
    </row>
    <row r="7389" spans="1:4" x14ac:dyDescent="0.3">
      <c r="A7389" s="830">
        <v>101192</v>
      </c>
      <c r="B7389" s="831" t="s">
        <v>11794</v>
      </c>
      <c r="C7389" s="830" t="s">
        <v>194</v>
      </c>
      <c r="D7389" s="832">
        <v>69.47</v>
      </c>
    </row>
    <row r="7390" spans="1:4" x14ac:dyDescent="0.3">
      <c r="A7390" s="830">
        <v>101193</v>
      </c>
      <c r="B7390" s="831" t="s">
        <v>11795</v>
      </c>
      <c r="C7390" s="830" t="s">
        <v>194</v>
      </c>
      <c r="D7390" s="832">
        <v>63.87</v>
      </c>
    </row>
    <row r="7391" spans="1:4" x14ac:dyDescent="0.3">
      <c r="A7391" s="830">
        <v>101194</v>
      </c>
      <c r="B7391" s="831" t="s">
        <v>11796</v>
      </c>
      <c r="C7391" s="830" t="s">
        <v>194</v>
      </c>
      <c r="D7391" s="832">
        <v>64.16</v>
      </c>
    </row>
    <row r="7392" spans="1:4" x14ac:dyDescent="0.3">
      <c r="A7392" s="830">
        <v>101197</v>
      </c>
      <c r="B7392" s="831" t="s">
        <v>11797</v>
      </c>
      <c r="C7392" s="830" t="s">
        <v>194</v>
      </c>
      <c r="D7392" s="832">
        <v>137.57</v>
      </c>
    </row>
    <row r="7393" spans="1:4" x14ac:dyDescent="0.3">
      <c r="A7393" s="830">
        <v>101198</v>
      </c>
      <c r="B7393" s="831" t="s">
        <v>11798</v>
      </c>
      <c r="C7393" s="830" t="s">
        <v>194</v>
      </c>
      <c r="D7393" s="832">
        <v>94.67</v>
      </c>
    </row>
    <row r="7394" spans="1:4" x14ac:dyDescent="0.3">
      <c r="A7394" s="830">
        <v>101199</v>
      </c>
      <c r="B7394" s="831" t="s">
        <v>11799</v>
      </c>
      <c r="C7394" s="830" t="s">
        <v>194</v>
      </c>
      <c r="D7394" s="832">
        <v>95.4</v>
      </c>
    </row>
    <row r="7395" spans="1:4" x14ac:dyDescent="0.3">
      <c r="A7395" s="830">
        <v>101200</v>
      </c>
      <c r="B7395" s="831" t="s">
        <v>11800</v>
      </c>
      <c r="C7395" s="830" t="s">
        <v>194</v>
      </c>
      <c r="D7395" s="832">
        <v>57.34</v>
      </c>
    </row>
    <row r="7396" spans="1:4" x14ac:dyDescent="0.3">
      <c r="A7396" s="830">
        <v>101201</v>
      </c>
      <c r="B7396" s="831" t="s">
        <v>11801</v>
      </c>
      <c r="C7396" s="830" t="s">
        <v>194</v>
      </c>
      <c r="D7396" s="832">
        <v>70.319999999999993</v>
      </c>
    </row>
    <row r="7397" spans="1:4" x14ac:dyDescent="0.3">
      <c r="A7397" s="830">
        <v>101202</v>
      </c>
      <c r="B7397" s="831" t="s">
        <v>11802</v>
      </c>
      <c r="C7397" s="830" t="s">
        <v>194</v>
      </c>
      <c r="D7397" s="832">
        <v>45</v>
      </c>
    </row>
    <row r="7398" spans="1:4" x14ac:dyDescent="0.3">
      <c r="A7398" s="830">
        <v>101203</v>
      </c>
      <c r="B7398" s="831" t="s">
        <v>11803</v>
      </c>
      <c r="C7398" s="830" t="s">
        <v>194</v>
      </c>
      <c r="D7398" s="832">
        <v>44.26</v>
      </c>
    </row>
    <row r="7399" spans="1:4" x14ac:dyDescent="0.3">
      <c r="A7399" s="830">
        <v>101204</v>
      </c>
      <c r="B7399" s="831" t="s">
        <v>11804</v>
      </c>
      <c r="C7399" s="830" t="s">
        <v>194</v>
      </c>
      <c r="D7399" s="832">
        <v>44.55</v>
      </c>
    </row>
    <row r="7400" spans="1:4" x14ac:dyDescent="0.3">
      <c r="A7400" s="830">
        <v>101205</v>
      </c>
      <c r="B7400" s="831" t="s">
        <v>11805</v>
      </c>
      <c r="C7400" s="830" t="s">
        <v>194</v>
      </c>
      <c r="D7400" s="832">
        <v>45</v>
      </c>
    </row>
    <row r="7401" spans="1:4" x14ac:dyDescent="0.3">
      <c r="A7401" s="830">
        <v>102362</v>
      </c>
      <c r="B7401" s="831" t="s">
        <v>11806</v>
      </c>
      <c r="C7401" s="830" t="s">
        <v>252</v>
      </c>
      <c r="D7401" s="832">
        <v>165.87</v>
      </c>
    </row>
    <row r="7402" spans="1:4" x14ac:dyDescent="0.3">
      <c r="A7402" s="830">
        <v>102363</v>
      </c>
      <c r="B7402" s="831" t="s">
        <v>11807</v>
      </c>
      <c r="C7402" s="830" t="s">
        <v>252</v>
      </c>
      <c r="D7402" s="832">
        <v>176.46</v>
      </c>
    </row>
    <row r="7403" spans="1:4" x14ac:dyDescent="0.3">
      <c r="A7403" s="830">
        <v>102364</v>
      </c>
      <c r="B7403" s="831" t="s">
        <v>11808</v>
      </c>
      <c r="C7403" s="830" t="s">
        <v>252</v>
      </c>
      <c r="D7403" s="832">
        <v>195.98</v>
      </c>
    </row>
    <row r="7404" spans="1:4" x14ac:dyDescent="0.3">
      <c r="A7404" s="830">
        <v>98509</v>
      </c>
      <c r="B7404" s="831" t="s">
        <v>11809</v>
      </c>
      <c r="C7404" s="830" t="s">
        <v>89</v>
      </c>
      <c r="D7404" s="832">
        <v>46.09</v>
      </c>
    </row>
    <row r="7405" spans="1:4" x14ac:dyDescent="0.3">
      <c r="A7405" s="830">
        <v>98510</v>
      </c>
      <c r="B7405" s="831" t="s">
        <v>11810</v>
      </c>
      <c r="C7405" s="830" t="s">
        <v>89</v>
      </c>
      <c r="D7405" s="832">
        <v>83.76</v>
      </c>
    </row>
    <row r="7406" spans="1:4" x14ac:dyDescent="0.3">
      <c r="A7406" s="830">
        <v>98511</v>
      </c>
      <c r="B7406" s="831" t="s">
        <v>11811</v>
      </c>
      <c r="C7406" s="830" t="s">
        <v>89</v>
      </c>
      <c r="D7406" s="832">
        <v>144.19</v>
      </c>
    </row>
    <row r="7407" spans="1:4" x14ac:dyDescent="0.3">
      <c r="A7407" s="830">
        <v>98516</v>
      </c>
      <c r="B7407" s="831" t="s">
        <v>11812</v>
      </c>
      <c r="C7407" s="830" t="s">
        <v>89</v>
      </c>
      <c r="D7407" s="832">
        <v>310.17</v>
      </c>
    </row>
    <row r="7408" spans="1:4" x14ac:dyDescent="0.3">
      <c r="A7408" s="830">
        <v>98519</v>
      </c>
      <c r="B7408" s="831" t="s">
        <v>4401</v>
      </c>
      <c r="C7408" s="830" t="s">
        <v>252</v>
      </c>
      <c r="D7408" s="832">
        <v>4.04</v>
      </c>
    </row>
    <row r="7409" spans="1:4" x14ac:dyDescent="0.3">
      <c r="A7409" s="830">
        <v>98520</v>
      </c>
      <c r="B7409" s="831" t="s">
        <v>4402</v>
      </c>
      <c r="C7409" s="830" t="s">
        <v>252</v>
      </c>
      <c r="D7409" s="832">
        <v>5.38</v>
      </c>
    </row>
    <row r="7410" spans="1:4" x14ac:dyDescent="0.3">
      <c r="A7410" s="830">
        <v>98521</v>
      </c>
      <c r="B7410" s="831" t="s">
        <v>4403</v>
      </c>
      <c r="C7410" s="830" t="s">
        <v>252</v>
      </c>
      <c r="D7410" s="832">
        <v>0.4</v>
      </c>
    </row>
    <row r="7411" spans="1:4" x14ac:dyDescent="0.3">
      <c r="A7411" s="830">
        <v>98522</v>
      </c>
      <c r="B7411" s="831" t="s">
        <v>1387</v>
      </c>
      <c r="C7411" s="830" t="s">
        <v>194</v>
      </c>
      <c r="D7411" s="832">
        <v>161.80000000000001</v>
      </c>
    </row>
    <row r="7412" spans="1:4" x14ac:dyDescent="0.3">
      <c r="A7412" s="830">
        <v>98524</v>
      </c>
      <c r="B7412" s="831" t="s">
        <v>4445</v>
      </c>
      <c r="C7412" s="830" t="s">
        <v>252</v>
      </c>
      <c r="D7412" s="832">
        <v>4.9800000000000004</v>
      </c>
    </row>
    <row r="7413" spans="1:4" x14ac:dyDescent="0.3">
      <c r="A7413" s="830">
        <v>105521</v>
      </c>
      <c r="B7413" s="831" t="s">
        <v>11813</v>
      </c>
      <c r="C7413" s="830" t="s">
        <v>252</v>
      </c>
      <c r="D7413" s="832">
        <v>3.65</v>
      </c>
    </row>
    <row r="7414" spans="1:4" x14ac:dyDescent="0.3">
      <c r="A7414" s="830">
        <v>98503</v>
      </c>
      <c r="B7414" s="831" t="s">
        <v>11814</v>
      </c>
      <c r="C7414" s="830" t="s">
        <v>252</v>
      </c>
      <c r="D7414" s="832">
        <v>22.91</v>
      </c>
    </row>
    <row r="7415" spans="1:4" x14ac:dyDescent="0.3">
      <c r="A7415" s="830">
        <v>98504</v>
      </c>
      <c r="B7415" s="831" t="s">
        <v>4404</v>
      </c>
      <c r="C7415" s="830" t="s">
        <v>252</v>
      </c>
      <c r="D7415" s="832">
        <v>16.14</v>
      </c>
    </row>
    <row r="7416" spans="1:4" x14ac:dyDescent="0.3">
      <c r="A7416" s="830">
        <v>98505</v>
      </c>
      <c r="B7416" s="831" t="s">
        <v>11815</v>
      </c>
      <c r="C7416" s="830" t="s">
        <v>252</v>
      </c>
      <c r="D7416" s="832">
        <v>69.819999999999993</v>
      </c>
    </row>
    <row r="7417" spans="1:4" x14ac:dyDescent="0.3">
      <c r="A7417" s="830">
        <v>103946</v>
      </c>
      <c r="B7417" s="831" t="s">
        <v>11816</v>
      </c>
      <c r="C7417" s="830" t="s">
        <v>252</v>
      </c>
      <c r="D7417" s="832">
        <v>21</v>
      </c>
    </row>
    <row r="7418" spans="1:4" x14ac:dyDescent="0.3">
      <c r="A7418" s="830">
        <v>105000</v>
      </c>
      <c r="B7418" s="831" t="s">
        <v>11817</v>
      </c>
      <c r="C7418" s="830" t="s">
        <v>194</v>
      </c>
      <c r="D7418" s="832">
        <v>1434.7</v>
      </c>
    </row>
    <row r="7419" spans="1:4" x14ac:dyDescent="0.3">
      <c r="A7419" s="830">
        <v>105001</v>
      </c>
      <c r="B7419" s="831" t="s">
        <v>11818</v>
      </c>
      <c r="C7419" s="830" t="s">
        <v>194</v>
      </c>
      <c r="D7419" s="832">
        <v>1469.71</v>
      </c>
    </row>
    <row r="7420" spans="1:4" x14ac:dyDescent="0.3">
      <c r="A7420" s="830">
        <v>105002</v>
      </c>
      <c r="B7420" s="831" t="s">
        <v>11819</v>
      </c>
      <c r="C7420" s="830" t="s">
        <v>89</v>
      </c>
      <c r="D7420" s="832">
        <v>792.88</v>
      </c>
    </row>
    <row r="7421" spans="1:4" x14ac:dyDescent="0.3">
      <c r="A7421" s="830">
        <v>105003</v>
      </c>
      <c r="B7421" s="831" t="s">
        <v>11820</v>
      </c>
      <c r="C7421" s="830" t="s">
        <v>89</v>
      </c>
      <c r="D7421" s="832">
        <v>1269.3599999999999</v>
      </c>
    </row>
    <row r="7422" spans="1:4" x14ac:dyDescent="0.3">
      <c r="A7422" s="830">
        <v>105004</v>
      </c>
      <c r="B7422" s="831" t="s">
        <v>11821</v>
      </c>
      <c r="C7422" s="830" t="s">
        <v>252</v>
      </c>
      <c r="D7422" s="832">
        <v>135.71</v>
      </c>
    </row>
    <row r="7423" spans="1:4" x14ac:dyDescent="0.3">
      <c r="A7423" s="830">
        <v>105005</v>
      </c>
      <c r="B7423" s="831" t="s">
        <v>11822</v>
      </c>
      <c r="C7423" s="830" t="s">
        <v>252</v>
      </c>
      <c r="D7423" s="832">
        <v>223.94</v>
      </c>
    </row>
    <row r="7424" spans="1:4" x14ac:dyDescent="0.3">
      <c r="A7424" s="830">
        <v>103185</v>
      </c>
      <c r="B7424" s="831" t="s">
        <v>11823</v>
      </c>
      <c r="C7424" s="830" t="s">
        <v>89</v>
      </c>
      <c r="D7424" s="832">
        <v>6168.59</v>
      </c>
    </row>
    <row r="7425" spans="1:4" x14ac:dyDescent="0.3">
      <c r="A7425" s="830">
        <v>103186</v>
      </c>
      <c r="B7425" s="831" t="s">
        <v>11824</v>
      </c>
      <c r="C7425" s="830" t="s">
        <v>89</v>
      </c>
      <c r="D7425" s="832">
        <v>6493</v>
      </c>
    </row>
    <row r="7426" spans="1:4" x14ac:dyDescent="0.3">
      <c r="A7426" s="830">
        <v>103187</v>
      </c>
      <c r="B7426" s="831" t="s">
        <v>11825</v>
      </c>
      <c r="C7426" s="830" t="s">
        <v>89</v>
      </c>
      <c r="D7426" s="832">
        <v>4887.33</v>
      </c>
    </row>
    <row r="7427" spans="1:4" x14ac:dyDescent="0.3">
      <c r="A7427" s="830">
        <v>103188</v>
      </c>
      <c r="B7427" s="831" t="s">
        <v>11826</v>
      </c>
      <c r="C7427" s="830" t="s">
        <v>89</v>
      </c>
      <c r="D7427" s="832">
        <v>5250.88</v>
      </c>
    </row>
    <row r="7428" spans="1:4" x14ac:dyDescent="0.3">
      <c r="A7428" s="830">
        <v>103189</v>
      </c>
      <c r="B7428" s="831" t="s">
        <v>11827</v>
      </c>
      <c r="C7428" s="830" t="s">
        <v>89</v>
      </c>
      <c r="D7428" s="832">
        <v>2633.59</v>
      </c>
    </row>
    <row r="7429" spans="1:4" x14ac:dyDescent="0.3">
      <c r="A7429" s="830">
        <v>103190</v>
      </c>
      <c r="B7429" s="831" t="s">
        <v>11828</v>
      </c>
      <c r="C7429" s="830" t="s">
        <v>89</v>
      </c>
      <c r="D7429" s="832">
        <v>4109.3100000000004</v>
      </c>
    </row>
    <row r="7430" spans="1:4" x14ac:dyDescent="0.3">
      <c r="A7430" s="830">
        <v>103191</v>
      </c>
      <c r="B7430" s="831" t="s">
        <v>11829</v>
      </c>
      <c r="C7430" s="830" t="s">
        <v>89</v>
      </c>
      <c r="D7430" s="832">
        <v>2404.56</v>
      </c>
    </row>
    <row r="7431" spans="1:4" x14ac:dyDescent="0.3">
      <c r="A7431" s="830">
        <v>103192</v>
      </c>
      <c r="B7431" s="831" t="s">
        <v>11830</v>
      </c>
      <c r="C7431" s="830" t="s">
        <v>89</v>
      </c>
      <c r="D7431" s="832">
        <v>2558.1999999999998</v>
      </c>
    </row>
    <row r="7432" spans="1:4" x14ac:dyDescent="0.3">
      <c r="A7432" s="830">
        <v>103193</v>
      </c>
      <c r="B7432" s="831" t="s">
        <v>11831</v>
      </c>
      <c r="C7432" s="830" t="s">
        <v>89</v>
      </c>
      <c r="D7432" s="832">
        <v>1976.93</v>
      </c>
    </row>
    <row r="7433" spans="1:4" x14ac:dyDescent="0.3">
      <c r="A7433" s="830">
        <v>103194</v>
      </c>
      <c r="B7433" s="831" t="s">
        <v>11832</v>
      </c>
      <c r="C7433" s="830" t="s">
        <v>89</v>
      </c>
      <c r="D7433" s="832">
        <v>2834.9</v>
      </c>
    </row>
    <row r="7434" spans="1:4" x14ac:dyDescent="0.3">
      <c r="A7434" s="830">
        <v>103195</v>
      </c>
      <c r="B7434" s="831" t="s">
        <v>11833</v>
      </c>
      <c r="C7434" s="830" t="s">
        <v>89</v>
      </c>
      <c r="D7434" s="832">
        <v>2217.14</v>
      </c>
    </row>
    <row r="7435" spans="1:4" x14ac:dyDescent="0.3">
      <c r="A7435" s="830">
        <v>103205</v>
      </c>
      <c r="B7435" s="831" t="s">
        <v>11834</v>
      </c>
      <c r="C7435" s="830" t="s">
        <v>89</v>
      </c>
      <c r="D7435" s="832">
        <v>4121.76</v>
      </c>
    </row>
    <row r="7436" spans="1:4" x14ac:dyDescent="0.3">
      <c r="A7436" s="830">
        <v>103206</v>
      </c>
      <c r="B7436" s="831" t="s">
        <v>11835</v>
      </c>
      <c r="C7436" s="830" t="s">
        <v>89</v>
      </c>
      <c r="D7436" s="832">
        <v>2417</v>
      </c>
    </row>
    <row r="7437" spans="1:4" x14ac:dyDescent="0.3">
      <c r="A7437" s="830">
        <v>103207</v>
      </c>
      <c r="B7437" s="831" t="s">
        <v>11836</v>
      </c>
      <c r="C7437" s="830" t="s">
        <v>89</v>
      </c>
      <c r="D7437" s="832">
        <v>2570.64</v>
      </c>
    </row>
    <row r="7438" spans="1:4" x14ac:dyDescent="0.3">
      <c r="A7438" s="830">
        <v>103208</v>
      </c>
      <c r="B7438" s="831" t="s">
        <v>11837</v>
      </c>
      <c r="C7438" s="830" t="s">
        <v>89</v>
      </c>
      <c r="D7438" s="832">
        <v>1989.37</v>
      </c>
    </row>
    <row r="7439" spans="1:4" x14ac:dyDescent="0.3">
      <c r="A7439" s="830">
        <v>103209</v>
      </c>
      <c r="B7439" s="831" t="s">
        <v>11838</v>
      </c>
      <c r="C7439" s="830" t="s">
        <v>89</v>
      </c>
      <c r="D7439" s="832">
        <v>2847.34</v>
      </c>
    </row>
    <row r="7440" spans="1:4" x14ac:dyDescent="0.3">
      <c r="A7440" s="830">
        <v>103210</v>
      </c>
      <c r="B7440" s="831" t="s">
        <v>11839</v>
      </c>
      <c r="C7440" s="830" t="s">
        <v>89</v>
      </c>
      <c r="D7440" s="832">
        <v>2332.36</v>
      </c>
    </row>
    <row r="7441" spans="1:4" x14ac:dyDescent="0.3">
      <c r="A7441" s="830">
        <v>103304</v>
      </c>
      <c r="B7441" s="831" t="s">
        <v>11840</v>
      </c>
      <c r="C7441" s="830" t="s">
        <v>89</v>
      </c>
      <c r="D7441" s="832">
        <v>1253.1099999999999</v>
      </c>
    </row>
    <row r="7442" spans="1:4" x14ac:dyDescent="0.3">
      <c r="A7442" s="830">
        <v>103307</v>
      </c>
      <c r="B7442" s="831" t="s">
        <v>11841</v>
      </c>
      <c r="C7442" s="830" t="s">
        <v>89</v>
      </c>
      <c r="D7442" s="832">
        <v>1352.56</v>
      </c>
    </row>
    <row r="7443" spans="1:4" x14ac:dyDescent="0.3">
      <c r="A7443" s="830">
        <v>103310</v>
      </c>
      <c r="B7443" s="831" t="s">
        <v>11842</v>
      </c>
      <c r="C7443" s="830" t="s">
        <v>89</v>
      </c>
      <c r="D7443" s="832">
        <v>1296.2</v>
      </c>
    </row>
    <row r="7444" spans="1:4" x14ac:dyDescent="0.3">
      <c r="A7444" s="830">
        <v>103314</v>
      </c>
      <c r="B7444" s="831" t="s">
        <v>11843</v>
      </c>
      <c r="C7444" s="830" t="s">
        <v>252</v>
      </c>
      <c r="D7444" s="832">
        <v>266.02999999999997</v>
      </c>
    </row>
    <row r="7445" spans="1:4" x14ac:dyDescent="0.3">
      <c r="A7445" s="830">
        <v>103315</v>
      </c>
      <c r="B7445" s="831" t="s">
        <v>11844</v>
      </c>
      <c r="C7445" s="830" t="s">
        <v>252</v>
      </c>
      <c r="D7445" s="832">
        <v>256.75</v>
      </c>
    </row>
    <row r="7446" spans="1:4" x14ac:dyDescent="0.3">
      <c r="A7446" s="830">
        <v>103769</v>
      </c>
      <c r="B7446" s="831" t="s">
        <v>11845</v>
      </c>
      <c r="C7446" s="830" t="s">
        <v>89</v>
      </c>
      <c r="D7446" s="832">
        <v>2720.37</v>
      </c>
    </row>
    <row r="7447" spans="1:4" x14ac:dyDescent="0.3">
      <c r="A7447" s="830">
        <v>98525</v>
      </c>
      <c r="B7447" s="831" t="s">
        <v>4405</v>
      </c>
      <c r="C7447" s="830" t="s">
        <v>252</v>
      </c>
      <c r="D7447" s="832">
        <v>0.66</v>
      </c>
    </row>
    <row r="7448" spans="1:4" x14ac:dyDescent="0.3">
      <c r="A7448" s="830">
        <v>98526</v>
      </c>
      <c r="B7448" s="831" t="s">
        <v>11846</v>
      </c>
      <c r="C7448" s="830" t="s">
        <v>89</v>
      </c>
      <c r="D7448" s="832">
        <v>133.35</v>
      </c>
    </row>
    <row r="7449" spans="1:4" x14ac:dyDescent="0.3">
      <c r="A7449" s="830">
        <v>98527</v>
      </c>
      <c r="B7449" s="831" t="s">
        <v>11847</v>
      </c>
      <c r="C7449" s="830" t="s">
        <v>89</v>
      </c>
      <c r="D7449" s="832">
        <v>221.31</v>
      </c>
    </row>
    <row r="7450" spans="1:4" x14ac:dyDescent="0.3">
      <c r="A7450" s="830">
        <v>98528</v>
      </c>
      <c r="B7450" s="831" t="s">
        <v>11848</v>
      </c>
      <c r="C7450" s="830" t="s">
        <v>89</v>
      </c>
      <c r="D7450" s="832">
        <v>291.68</v>
      </c>
    </row>
    <row r="7451" spans="1:4" x14ac:dyDescent="0.3">
      <c r="A7451" s="830">
        <v>98529</v>
      </c>
      <c r="B7451" s="831" t="s">
        <v>11849</v>
      </c>
      <c r="C7451" s="830" t="s">
        <v>89</v>
      </c>
      <c r="D7451" s="832">
        <v>82.61</v>
      </c>
    </row>
    <row r="7452" spans="1:4" x14ac:dyDescent="0.3">
      <c r="A7452" s="830">
        <v>98530</v>
      </c>
      <c r="B7452" s="831" t="s">
        <v>11850</v>
      </c>
      <c r="C7452" s="830" t="s">
        <v>89</v>
      </c>
      <c r="D7452" s="832">
        <v>162.13999999999999</v>
      </c>
    </row>
    <row r="7453" spans="1:4" x14ac:dyDescent="0.3">
      <c r="A7453" s="830">
        <v>98531</v>
      </c>
      <c r="B7453" s="831" t="s">
        <v>11851</v>
      </c>
      <c r="C7453" s="830" t="s">
        <v>89</v>
      </c>
      <c r="D7453" s="832">
        <v>400.82</v>
      </c>
    </row>
    <row r="7454" spans="1:4" x14ac:dyDescent="0.3">
      <c r="A7454" s="830">
        <v>98532</v>
      </c>
      <c r="B7454" s="831" t="s">
        <v>11852</v>
      </c>
      <c r="C7454" s="830" t="s">
        <v>89</v>
      </c>
      <c r="D7454" s="832">
        <v>32.159999999999997</v>
      </c>
    </row>
    <row r="7455" spans="1:4" x14ac:dyDescent="0.3">
      <c r="A7455" s="830">
        <v>98533</v>
      </c>
      <c r="B7455" s="831" t="s">
        <v>11853</v>
      </c>
      <c r="C7455" s="830" t="s">
        <v>89</v>
      </c>
      <c r="D7455" s="832">
        <v>123.04</v>
      </c>
    </row>
    <row r="7456" spans="1:4" x14ac:dyDescent="0.3">
      <c r="A7456" s="830">
        <v>98534</v>
      </c>
      <c r="B7456" s="831" t="s">
        <v>11854</v>
      </c>
      <c r="C7456" s="830" t="s">
        <v>89</v>
      </c>
      <c r="D7456" s="832">
        <v>339.92</v>
      </c>
    </row>
    <row r="7457" spans="1:4" x14ac:dyDescent="0.3">
      <c r="A7457" s="830">
        <v>98535</v>
      </c>
      <c r="B7457" s="831" t="s">
        <v>11855</v>
      </c>
      <c r="C7457" s="830" t="s">
        <v>89</v>
      </c>
      <c r="D7457" s="832">
        <v>716.68</v>
      </c>
    </row>
    <row r="7458" spans="1:4" x14ac:dyDescent="0.3">
      <c r="A7458" s="830">
        <v>88238</v>
      </c>
      <c r="B7458" s="831" t="s">
        <v>3192</v>
      </c>
      <c r="C7458" s="830" t="s">
        <v>1901</v>
      </c>
      <c r="D7458" s="832">
        <v>24.21</v>
      </c>
    </row>
    <row r="7459" spans="1:4" x14ac:dyDescent="0.3">
      <c r="A7459" s="830">
        <v>88239</v>
      </c>
      <c r="B7459" s="831" t="s">
        <v>2628</v>
      </c>
      <c r="C7459" s="830" t="s">
        <v>1901</v>
      </c>
      <c r="D7459" s="832">
        <v>24.12</v>
      </c>
    </row>
    <row r="7460" spans="1:4" x14ac:dyDescent="0.3">
      <c r="A7460" s="830">
        <v>88240</v>
      </c>
      <c r="B7460" s="831" t="s">
        <v>11856</v>
      </c>
      <c r="C7460" s="830" t="s">
        <v>1901</v>
      </c>
      <c r="D7460" s="832">
        <v>23.02</v>
      </c>
    </row>
    <row r="7461" spans="1:4" x14ac:dyDescent="0.3">
      <c r="A7461" s="830">
        <v>88241</v>
      </c>
      <c r="B7461" s="831" t="s">
        <v>2791</v>
      </c>
      <c r="C7461" s="830" t="s">
        <v>1901</v>
      </c>
      <c r="D7461" s="832">
        <v>24.15</v>
      </c>
    </row>
    <row r="7462" spans="1:4" x14ac:dyDescent="0.3">
      <c r="A7462" s="830">
        <v>88242</v>
      </c>
      <c r="B7462" s="831" t="s">
        <v>3185</v>
      </c>
      <c r="C7462" s="830" t="s">
        <v>1901</v>
      </c>
      <c r="D7462" s="832">
        <v>24.26</v>
      </c>
    </row>
    <row r="7463" spans="1:4" x14ac:dyDescent="0.3">
      <c r="A7463" s="830">
        <v>88243</v>
      </c>
      <c r="B7463" s="831" t="s">
        <v>11857</v>
      </c>
      <c r="C7463" s="830" t="s">
        <v>1901</v>
      </c>
      <c r="D7463" s="832">
        <v>24.03</v>
      </c>
    </row>
    <row r="7464" spans="1:4" x14ac:dyDescent="0.3">
      <c r="A7464" s="830">
        <v>88245</v>
      </c>
      <c r="B7464" s="831" t="s">
        <v>3033</v>
      </c>
      <c r="C7464" s="830" t="s">
        <v>1901</v>
      </c>
      <c r="D7464" s="832">
        <v>30.85</v>
      </c>
    </row>
    <row r="7465" spans="1:4" x14ac:dyDescent="0.3">
      <c r="A7465" s="830">
        <v>88246</v>
      </c>
      <c r="B7465" s="831" t="s">
        <v>3008</v>
      </c>
      <c r="C7465" s="830" t="s">
        <v>1901</v>
      </c>
      <c r="D7465" s="832">
        <v>25.19</v>
      </c>
    </row>
    <row r="7466" spans="1:4" x14ac:dyDescent="0.3">
      <c r="A7466" s="830">
        <v>88247</v>
      </c>
      <c r="B7466" s="831" t="s">
        <v>2858</v>
      </c>
      <c r="C7466" s="830" t="s">
        <v>1901</v>
      </c>
      <c r="D7466" s="832">
        <v>24.65</v>
      </c>
    </row>
    <row r="7467" spans="1:4" x14ac:dyDescent="0.3">
      <c r="A7467" s="830">
        <v>88248</v>
      </c>
      <c r="B7467" s="831" t="s">
        <v>3240</v>
      </c>
      <c r="C7467" s="830" t="s">
        <v>1901</v>
      </c>
      <c r="D7467" s="832">
        <v>23.63</v>
      </c>
    </row>
    <row r="7468" spans="1:4" x14ac:dyDescent="0.3">
      <c r="A7468" s="830">
        <v>88249</v>
      </c>
      <c r="B7468" s="831" t="s">
        <v>11858</v>
      </c>
      <c r="C7468" s="830" t="s">
        <v>1901</v>
      </c>
      <c r="D7468" s="832">
        <v>35.25</v>
      </c>
    </row>
    <row r="7469" spans="1:4" x14ac:dyDescent="0.3">
      <c r="A7469" s="830">
        <v>88250</v>
      </c>
      <c r="B7469" s="831" t="s">
        <v>11859</v>
      </c>
      <c r="C7469" s="830" t="s">
        <v>1901</v>
      </c>
      <c r="D7469" s="832">
        <v>23.02</v>
      </c>
    </row>
    <row r="7470" spans="1:4" x14ac:dyDescent="0.3">
      <c r="A7470" s="830">
        <v>88251</v>
      </c>
      <c r="B7470" s="831" t="s">
        <v>11860</v>
      </c>
      <c r="C7470" s="830" t="s">
        <v>1901</v>
      </c>
      <c r="D7470" s="832">
        <v>24.21</v>
      </c>
    </row>
    <row r="7471" spans="1:4" x14ac:dyDescent="0.3">
      <c r="A7471" s="830">
        <v>88252</v>
      </c>
      <c r="B7471" s="831" t="s">
        <v>2789</v>
      </c>
      <c r="C7471" s="830" t="s">
        <v>1901</v>
      </c>
      <c r="D7471" s="832">
        <v>23.24</v>
      </c>
    </row>
    <row r="7472" spans="1:4" x14ac:dyDescent="0.3">
      <c r="A7472" s="830">
        <v>88253</v>
      </c>
      <c r="B7472" s="831" t="s">
        <v>75</v>
      </c>
      <c r="C7472" s="830" t="s">
        <v>1901</v>
      </c>
      <c r="D7472" s="832">
        <v>12.06</v>
      </c>
    </row>
    <row r="7473" spans="1:4" x14ac:dyDescent="0.3">
      <c r="A7473" s="830">
        <v>88255</v>
      </c>
      <c r="B7473" s="831" t="s">
        <v>11861</v>
      </c>
      <c r="C7473" s="830" t="s">
        <v>1901</v>
      </c>
      <c r="D7473" s="832">
        <v>34.049999999999997</v>
      </c>
    </row>
    <row r="7474" spans="1:4" x14ac:dyDescent="0.3">
      <c r="A7474" s="830">
        <v>88256</v>
      </c>
      <c r="B7474" s="831" t="s">
        <v>11862</v>
      </c>
      <c r="C7474" s="830" t="s">
        <v>1901</v>
      </c>
      <c r="D7474" s="832">
        <v>30.94</v>
      </c>
    </row>
    <row r="7475" spans="1:4" x14ac:dyDescent="0.3">
      <c r="A7475" s="830">
        <v>88257</v>
      </c>
      <c r="B7475" s="831" t="s">
        <v>11863</v>
      </c>
      <c r="C7475" s="830" t="s">
        <v>1901</v>
      </c>
      <c r="D7475" s="832">
        <v>23.37</v>
      </c>
    </row>
    <row r="7476" spans="1:4" x14ac:dyDescent="0.3">
      <c r="A7476" s="830">
        <v>88260</v>
      </c>
      <c r="B7476" s="831" t="s">
        <v>11864</v>
      </c>
      <c r="C7476" s="830" t="s">
        <v>1901</v>
      </c>
      <c r="D7476" s="832">
        <v>28.77</v>
      </c>
    </row>
    <row r="7477" spans="1:4" x14ac:dyDescent="0.3">
      <c r="A7477" s="830">
        <v>88261</v>
      </c>
      <c r="B7477" s="831" t="s">
        <v>3019</v>
      </c>
      <c r="C7477" s="830" t="s">
        <v>1901</v>
      </c>
      <c r="D7477" s="832">
        <v>29.49</v>
      </c>
    </row>
    <row r="7478" spans="1:4" x14ac:dyDescent="0.3">
      <c r="A7478" s="830">
        <v>88262</v>
      </c>
      <c r="B7478" s="831" t="s">
        <v>2619</v>
      </c>
      <c r="C7478" s="830" t="s">
        <v>1901</v>
      </c>
      <c r="D7478" s="832">
        <v>30.71</v>
      </c>
    </row>
    <row r="7479" spans="1:4" x14ac:dyDescent="0.3">
      <c r="A7479" s="830">
        <v>88263</v>
      </c>
      <c r="B7479" s="831" t="s">
        <v>11865</v>
      </c>
      <c r="C7479" s="830" t="s">
        <v>1901</v>
      </c>
      <c r="D7479" s="832">
        <v>25.49</v>
      </c>
    </row>
    <row r="7480" spans="1:4" x14ac:dyDescent="0.3">
      <c r="A7480" s="830">
        <v>88264</v>
      </c>
      <c r="B7480" s="831" t="s">
        <v>2767</v>
      </c>
      <c r="C7480" s="830" t="s">
        <v>1901</v>
      </c>
      <c r="D7480" s="832">
        <v>31.49</v>
      </c>
    </row>
    <row r="7481" spans="1:4" x14ac:dyDescent="0.3">
      <c r="A7481" s="830">
        <v>88266</v>
      </c>
      <c r="B7481" s="831" t="s">
        <v>11866</v>
      </c>
      <c r="C7481" s="830" t="s">
        <v>1901</v>
      </c>
      <c r="D7481" s="832">
        <v>38.049999999999997</v>
      </c>
    </row>
    <row r="7482" spans="1:4" x14ac:dyDescent="0.3">
      <c r="A7482" s="830">
        <v>88267</v>
      </c>
      <c r="B7482" s="831" t="s">
        <v>2787</v>
      </c>
      <c r="C7482" s="830" t="s">
        <v>1901</v>
      </c>
      <c r="D7482" s="832">
        <v>30.33</v>
      </c>
    </row>
    <row r="7483" spans="1:4" x14ac:dyDescent="0.3">
      <c r="A7483" s="830">
        <v>88269</v>
      </c>
      <c r="B7483" s="831" t="s">
        <v>11867</v>
      </c>
      <c r="C7483" s="830" t="s">
        <v>1901</v>
      </c>
      <c r="D7483" s="832">
        <v>30.85</v>
      </c>
    </row>
    <row r="7484" spans="1:4" x14ac:dyDescent="0.3">
      <c r="A7484" s="830">
        <v>88270</v>
      </c>
      <c r="B7484" s="831" t="s">
        <v>11868</v>
      </c>
      <c r="C7484" s="830" t="s">
        <v>1901</v>
      </c>
      <c r="D7484" s="832">
        <v>31.1</v>
      </c>
    </row>
    <row r="7485" spans="1:4" x14ac:dyDescent="0.3">
      <c r="A7485" s="830">
        <v>88272</v>
      </c>
      <c r="B7485" s="831" t="s">
        <v>11869</v>
      </c>
      <c r="C7485" s="830" t="s">
        <v>1901</v>
      </c>
      <c r="D7485" s="832">
        <v>31.4</v>
      </c>
    </row>
    <row r="7486" spans="1:4" x14ac:dyDescent="0.3">
      <c r="A7486" s="830">
        <v>88273</v>
      </c>
      <c r="B7486" s="831" t="s">
        <v>11870</v>
      </c>
      <c r="C7486" s="830" t="s">
        <v>1901</v>
      </c>
      <c r="D7486" s="832">
        <v>29.15</v>
      </c>
    </row>
    <row r="7487" spans="1:4" x14ac:dyDescent="0.3">
      <c r="A7487" s="830">
        <v>88274</v>
      </c>
      <c r="B7487" s="831" t="s">
        <v>11871</v>
      </c>
      <c r="C7487" s="830" t="s">
        <v>1901</v>
      </c>
      <c r="D7487" s="832">
        <v>30.94</v>
      </c>
    </row>
    <row r="7488" spans="1:4" x14ac:dyDescent="0.3">
      <c r="A7488" s="830">
        <v>88275</v>
      </c>
      <c r="B7488" s="831" t="s">
        <v>11872</v>
      </c>
      <c r="C7488" s="830" t="s">
        <v>1901</v>
      </c>
      <c r="D7488" s="832">
        <v>35.479999999999997</v>
      </c>
    </row>
    <row r="7489" spans="1:4" x14ac:dyDescent="0.3">
      <c r="A7489" s="830">
        <v>88277</v>
      </c>
      <c r="B7489" s="831" t="s">
        <v>11873</v>
      </c>
      <c r="C7489" s="830" t="s">
        <v>1901</v>
      </c>
      <c r="D7489" s="832">
        <v>24.87</v>
      </c>
    </row>
    <row r="7490" spans="1:4" x14ac:dyDescent="0.3">
      <c r="A7490" s="830">
        <v>88278</v>
      </c>
      <c r="B7490" s="831" t="s">
        <v>2560</v>
      </c>
      <c r="C7490" s="830" t="s">
        <v>1901</v>
      </c>
      <c r="D7490" s="832">
        <v>25.36</v>
      </c>
    </row>
    <row r="7491" spans="1:4" x14ac:dyDescent="0.3">
      <c r="A7491" s="830">
        <v>88279</v>
      </c>
      <c r="B7491" s="831" t="s">
        <v>11874</v>
      </c>
      <c r="C7491" s="830" t="s">
        <v>1901</v>
      </c>
      <c r="D7491" s="832">
        <v>27.36</v>
      </c>
    </row>
    <row r="7492" spans="1:4" x14ac:dyDescent="0.3">
      <c r="A7492" s="830">
        <v>88281</v>
      </c>
      <c r="B7492" s="831" t="s">
        <v>3380</v>
      </c>
      <c r="C7492" s="830" t="s">
        <v>1901</v>
      </c>
      <c r="D7492" s="832">
        <v>30.35</v>
      </c>
    </row>
    <row r="7493" spans="1:4" x14ac:dyDescent="0.3">
      <c r="A7493" s="830">
        <v>88282</v>
      </c>
      <c r="B7493" s="831" t="s">
        <v>2541</v>
      </c>
      <c r="C7493" s="830" t="s">
        <v>1901</v>
      </c>
      <c r="D7493" s="832">
        <v>29.5</v>
      </c>
    </row>
    <row r="7494" spans="1:4" x14ac:dyDescent="0.3">
      <c r="A7494" s="830">
        <v>88283</v>
      </c>
      <c r="B7494" s="831" t="s">
        <v>11875</v>
      </c>
      <c r="C7494" s="830" t="s">
        <v>1901</v>
      </c>
      <c r="D7494" s="832">
        <v>34.85</v>
      </c>
    </row>
    <row r="7495" spans="1:4" x14ac:dyDescent="0.3">
      <c r="A7495" s="830">
        <v>88284</v>
      </c>
      <c r="B7495" s="831" t="s">
        <v>11876</v>
      </c>
      <c r="C7495" s="830" t="s">
        <v>1901</v>
      </c>
      <c r="D7495" s="832">
        <v>27.2</v>
      </c>
    </row>
    <row r="7496" spans="1:4" x14ac:dyDescent="0.3">
      <c r="A7496" s="830">
        <v>88286</v>
      </c>
      <c r="B7496" s="831" t="s">
        <v>3758</v>
      </c>
      <c r="C7496" s="830" t="s">
        <v>1901</v>
      </c>
      <c r="D7496" s="832">
        <v>31.05</v>
      </c>
    </row>
    <row r="7497" spans="1:4" x14ac:dyDescent="0.3">
      <c r="A7497" s="830">
        <v>88288</v>
      </c>
      <c r="B7497" s="831" t="s">
        <v>11877</v>
      </c>
      <c r="C7497" s="830" t="s">
        <v>1901</v>
      </c>
      <c r="D7497" s="832">
        <v>17.57</v>
      </c>
    </row>
    <row r="7498" spans="1:4" x14ac:dyDescent="0.3">
      <c r="A7498" s="830">
        <v>88291</v>
      </c>
      <c r="B7498" s="831" t="s">
        <v>11878</v>
      </c>
      <c r="C7498" s="830" t="s">
        <v>1901</v>
      </c>
      <c r="D7498" s="832">
        <v>25.72</v>
      </c>
    </row>
    <row r="7499" spans="1:4" x14ac:dyDescent="0.3">
      <c r="A7499" s="830">
        <v>88292</v>
      </c>
      <c r="B7499" s="831" t="s">
        <v>11879</v>
      </c>
      <c r="C7499" s="830" t="s">
        <v>1901</v>
      </c>
      <c r="D7499" s="832">
        <v>22.67</v>
      </c>
    </row>
    <row r="7500" spans="1:4" x14ac:dyDescent="0.3">
      <c r="A7500" s="830">
        <v>88293</v>
      </c>
      <c r="B7500" s="831" t="s">
        <v>11880</v>
      </c>
      <c r="C7500" s="830" t="s">
        <v>1901</v>
      </c>
      <c r="D7500" s="832">
        <v>25.72</v>
      </c>
    </row>
    <row r="7501" spans="1:4" x14ac:dyDescent="0.3">
      <c r="A7501" s="830">
        <v>88294</v>
      </c>
      <c r="B7501" s="831" t="s">
        <v>3645</v>
      </c>
      <c r="C7501" s="830" t="s">
        <v>1901</v>
      </c>
      <c r="D7501" s="832">
        <v>29.66</v>
      </c>
    </row>
    <row r="7502" spans="1:4" x14ac:dyDescent="0.3">
      <c r="A7502" s="830">
        <v>88295</v>
      </c>
      <c r="B7502" s="831" t="s">
        <v>3730</v>
      </c>
      <c r="C7502" s="830" t="s">
        <v>1901</v>
      </c>
      <c r="D7502" s="832">
        <v>25.88</v>
      </c>
    </row>
    <row r="7503" spans="1:4" x14ac:dyDescent="0.3">
      <c r="A7503" s="830">
        <v>88296</v>
      </c>
      <c r="B7503" s="831" t="s">
        <v>3744</v>
      </c>
      <c r="C7503" s="830" t="s">
        <v>1901</v>
      </c>
      <c r="D7503" s="832">
        <v>25.88</v>
      </c>
    </row>
    <row r="7504" spans="1:4" x14ac:dyDescent="0.3">
      <c r="A7504" s="830">
        <v>88297</v>
      </c>
      <c r="B7504" s="831" t="s">
        <v>2902</v>
      </c>
      <c r="C7504" s="830" t="s">
        <v>1901</v>
      </c>
      <c r="D7504" s="832">
        <v>25.78</v>
      </c>
    </row>
    <row r="7505" spans="1:4" x14ac:dyDescent="0.3">
      <c r="A7505" s="830">
        <v>88298</v>
      </c>
      <c r="B7505" s="831" t="s">
        <v>2895</v>
      </c>
      <c r="C7505" s="830" t="s">
        <v>1901</v>
      </c>
      <c r="D7505" s="832">
        <v>25.72</v>
      </c>
    </row>
    <row r="7506" spans="1:4" x14ac:dyDescent="0.3">
      <c r="A7506" s="830">
        <v>88299</v>
      </c>
      <c r="B7506" s="831" t="s">
        <v>11881</v>
      </c>
      <c r="C7506" s="830" t="s">
        <v>1901</v>
      </c>
      <c r="D7506" s="832">
        <v>39.909999999999997</v>
      </c>
    </row>
    <row r="7507" spans="1:4" x14ac:dyDescent="0.3">
      <c r="A7507" s="830">
        <v>88300</v>
      </c>
      <c r="B7507" s="831" t="s">
        <v>3808</v>
      </c>
      <c r="C7507" s="830" t="s">
        <v>1901</v>
      </c>
      <c r="D7507" s="832">
        <v>39.909999999999997</v>
      </c>
    </row>
    <row r="7508" spans="1:4" x14ac:dyDescent="0.3">
      <c r="A7508" s="830">
        <v>88301</v>
      </c>
      <c r="B7508" s="831" t="s">
        <v>3822</v>
      </c>
      <c r="C7508" s="830" t="s">
        <v>1901</v>
      </c>
      <c r="D7508" s="832">
        <v>25.72</v>
      </c>
    </row>
    <row r="7509" spans="1:4" x14ac:dyDescent="0.3">
      <c r="A7509" s="830">
        <v>88302</v>
      </c>
      <c r="B7509" s="831" t="s">
        <v>3820</v>
      </c>
      <c r="C7509" s="830" t="s">
        <v>1901</v>
      </c>
      <c r="D7509" s="832">
        <v>25.72</v>
      </c>
    </row>
    <row r="7510" spans="1:4" x14ac:dyDescent="0.3">
      <c r="A7510" s="830">
        <v>88303</v>
      </c>
      <c r="B7510" s="831" t="s">
        <v>3824</v>
      </c>
      <c r="C7510" s="830" t="s">
        <v>1901</v>
      </c>
      <c r="D7510" s="832">
        <v>25.72</v>
      </c>
    </row>
    <row r="7511" spans="1:4" x14ac:dyDescent="0.3">
      <c r="A7511" s="830">
        <v>88304</v>
      </c>
      <c r="B7511" s="831" t="s">
        <v>3826</v>
      </c>
      <c r="C7511" s="830" t="s">
        <v>1901</v>
      </c>
      <c r="D7511" s="832">
        <v>39.909999999999997</v>
      </c>
    </row>
    <row r="7512" spans="1:4" x14ac:dyDescent="0.3">
      <c r="A7512" s="830">
        <v>88306</v>
      </c>
      <c r="B7512" s="831" t="s">
        <v>11882</v>
      </c>
      <c r="C7512" s="830" t="s">
        <v>1901</v>
      </c>
      <c r="D7512" s="832">
        <v>23.66</v>
      </c>
    </row>
    <row r="7513" spans="1:4" x14ac:dyDescent="0.3">
      <c r="A7513" s="830">
        <v>88307</v>
      </c>
      <c r="B7513" s="831" t="s">
        <v>11883</v>
      </c>
      <c r="C7513" s="830" t="s">
        <v>1901</v>
      </c>
      <c r="D7513" s="832">
        <v>27.23</v>
      </c>
    </row>
    <row r="7514" spans="1:4" x14ac:dyDescent="0.3">
      <c r="A7514" s="830">
        <v>88308</v>
      </c>
      <c r="B7514" s="831" t="s">
        <v>11884</v>
      </c>
      <c r="C7514" s="830" t="s">
        <v>1901</v>
      </c>
      <c r="D7514" s="832">
        <v>30.94</v>
      </c>
    </row>
    <row r="7515" spans="1:4" x14ac:dyDescent="0.3">
      <c r="A7515" s="830">
        <v>88309</v>
      </c>
      <c r="B7515" s="831" t="s">
        <v>2758</v>
      </c>
      <c r="C7515" s="830" t="s">
        <v>1901</v>
      </c>
      <c r="D7515" s="832">
        <v>31.1</v>
      </c>
    </row>
    <row r="7516" spans="1:4" x14ac:dyDescent="0.3">
      <c r="A7516" s="830">
        <v>88310</v>
      </c>
      <c r="B7516" s="831" t="s">
        <v>3021</v>
      </c>
      <c r="C7516" s="830" t="s">
        <v>1901</v>
      </c>
      <c r="D7516" s="832">
        <v>32.58</v>
      </c>
    </row>
    <row r="7517" spans="1:4" x14ac:dyDescent="0.3">
      <c r="A7517" s="830">
        <v>88311</v>
      </c>
      <c r="B7517" s="831" t="s">
        <v>11885</v>
      </c>
      <c r="C7517" s="830" t="s">
        <v>1901</v>
      </c>
      <c r="D7517" s="832">
        <v>31.91</v>
      </c>
    </row>
    <row r="7518" spans="1:4" x14ac:dyDescent="0.3">
      <c r="A7518" s="830">
        <v>88312</v>
      </c>
      <c r="B7518" s="831" t="s">
        <v>11886</v>
      </c>
      <c r="C7518" s="830" t="s">
        <v>1901</v>
      </c>
      <c r="D7518" s="832">
        <v>32.58</v>
      </c>
    </row>
    <row r="7519" spans="1:4" x14ac:dyDescent="0.3">
      <c r="A7519" s="830">
        <v>88313</v>
      </c>
      <c r="B7519" s="831" t="s">
        <v>11887</v>
      </c>
      <c r="C7519" s="830" t="s">
        <v>1901</v>
      </c>
      <c r="D7519" s="832">
        <v>25.98</v>
      </c>
    </row>
    <row r="7520" spans="1:4" x14ac:dyDescent="0.3">
      <c r="A7520" s="830">
        <v>88314</v>
      </c>
      <c r="B7520" s="831" t="s">
        <v>3667</v>
      </c>
      <c r="C7520" s="830" t="s">
        <v>1901</v>
      </c>
      <c r="D7520" s="832">
        <v>27.43</v>
      </c>
    </row>
    <row r="7521" spans="1:4" x14ac:dyDescent="0.3">
      <c r="A7521" s="830">
        <v>88315</v>
      </c>
      <c r="B7521" s="831" t="s">
        <v>3183</v>
      </c>
      <c r="C7521" s="830" t="s">
        <v>1901</v>
      </c>
      <c r="D7521" s="832">
        <v>30.85</v>
      </c>
    </row>
    <row r="7522" spans="1:4" x14ac:dyDescent="0.3">
      <c r="A7522" s="830">
        <v>88316</v>
      </c>
      <c r="B7522" s="831" t="s">
        <v>2562</v>
      </c>
      <c r="C7522" s="830" t="s">
        <v>1901</v>
      </c>
      <c r="D7522" s="832">
        <v>23.4</v>
      </c>
    </row>
    <row r="7523" spans="1:4" x14ac:dyDescent="0.3">
      <c r="A7523" s="830">
        <v>88317</v>
      </c>
      <c r="B7523" s="831" t="s">
        <v>2643</v>
      </c>
      <c r="C7523" s="830" t="s">
        <v>1901</v>
      </c>
      <c r="D7523" s="832">
        <v>31.81</v>
      </c>
    </row>
    <row r="7524" spans="1:4" x14ac:dyDescent="0.3">
      <c r="A7524" s="830">
        <v>88318</v>
      </c>
      <c r="B7524" s="831" t="s">
        <v>11888</v>
      </c>
      <c r="C7524" s="830" t="s">
        <v>1901</v>
      </c>
      <c r="D7524" s="832">
        <v>35.67</v>
      </c>
    </row>
    <row r="7525" spans="1:4" x14ac:dyDescent="0.3">
      <c r="A7525" s="830">
        <v>88321</v>
      </c>
      <c r="B7525" s="831" t="s">
        <v>3453</v>
      </c>
      <c r="C7525" s="830" t="s">
        <v>1901</v>
      </c>
      <c r="D7525" s="832">
        <v>53.64</v>
      </c>
    </row>
    <row r="7526" spans="1:4" x14ac:dyDescent="0.3">
      <c r="A7526" s="830">
        <v>88322</v>
      </c>
      <c r="B7526" s="831" t="s">
        <v>11889</v>
      </c>
      <c r="C7526" s="830" t="s">
        <v>1901</v>
      </c>
      <c r="D7526" s="832">
        <v>34.11</v>
      </c>
    </row>
    <row r="7527" spans="1:4" x14ac:dyDescent="0.3">
      <c r="A7527" s="830">
        <v>88323</v>
      </c>
      <c r="B7527" s="831" t="s">
        <v>4018</v>
      </c>
      <c r="C7527" s="830" t="s">
        <v>1901</v>
      </c>
      <c r="D7527" s="832">
        <v>30.44</v>
      </c>
    </row>
    <row r="7528" spans="1:4" x14ac:dyDescent="0.3">
      <c r="A7528" s="830">
        <v>88324</v>
      </c>
      <c r="B7528" s="831" t="s">
        <v>4038</v>
      </c>
      <c r="C7528" s="830" t="s">
        <v>1901</v>
      </c>
      <c r="D7528" s="832">
        <v>25.78</v>
      </c>
    </row>
    <row r="7529" spans="1:4" x14ac:dyDescent="0.3">
      <c r="A7529" s="830">
        <v>88325</v>
      </c>
      <c r="B7529" s="831" t="s">
        <v>11890</v>
      </c>
      <c r="C7529" s="830" t="s">
        <v>1901</v>
      </c>
      <c r="D7529" s="832">
        <v>28.69</v>
      </c>
    </row>
    <row r="7530" spans="1:4" x14ac:dyDescent="0.3">
      <c r="A7530" s="830">
        <v>88377</v>
      </c>
      <c r="B7530" s="831" t="s">
        <v>2813</v>
      </c>
      <c r="C7530" s="830" t="s">
        <v>1901</v>
      </c>
      <c r="D7530" s="832">
        <v>25.72</v>
      </c>
    </row>
    <row r="7531" spans="1:4" x14ac:dyDescent="0.3">
      <c r="A7531" s="830">
        <v>88441</v>
      </c>
      <c r="B7531" s="831" t="s">
        <v>2602</v>
      </c>
      <c r="C7531" s="830" t="s">
        <v>1901</v>
      </c>
      <c r="D7531" s="832">
        <v>27.63</v>
      </c>
    </row>
    <row r="7532" spans="1:4" x14ac:dyDescent="0.3">
      <c r="A7532" s="830">
        <v>90766</v>
      </c>
      <c r="B7532" s="831" t="s">
        <v>63</v>
      </c>
      <c r="C7532" s="830" t="s">
        <v>1901</v>
      </c>
      <c r="D7532" s="832">
        <v>37.14</v>
      </c>
    </row>
    <row r="7533" spans="1:4" x14ac:dyDescent="0.3">
      <c r="A7533" s="830">
        <v>90767</v>
      </c>
      <c r="B7533" s="831" t="s">
        <v>61</v>
      </c>
      <c r="C7533" s="830" t="s">
        <v>1901</v>
      </c>
      <c r="D7533" s="832">
        <v>36.06</v>
      </c>
    </row>
    <row r="7534" spans="1:4" x14ac:dyDescent="0.3">
      <c r="A7534" s="830">
        <v>90768</v>
      </c>
      <c r="B7534" s="831" t="s">
        <v>11891</v>
      </c>
      <c r="C7534" s="830" t="s">
        <v>1901</v>
      </c>
      <c r="D7534" s="832">
        <v>117.32</v>
      </c>
    </row>
    <row r="7535" spans="1:4" x14ac:dyDescent="0.3">
      <c r="A7535" s="830">
        <v>90769</v>
      </c>
      <c r="B7535" s="831" t="s">
        <v>11892</v>
      </c>
      <c r="C7535" s="830" t="s">
        <v>1901</v>
      </c>
      <c r="D7535" s="832">
        <v>122.46</v>
      </c>
    </row>
    <row r="7536" spans="1:4" x14ac:dyDescent="0.3">
      <c r="A7536" s="830">
        <v>90770</v>
      </c>
      <c r="B7536" s="831" t="s">
        <v>11893</v>
      </c>
      <c r="C7536" s="830" t="s">
        <v>1901</v>
      </c>
      <c r="D7536" s="832">
        <v>128.22</v>
      </c>
    </row>
    <row r="7537" spans="1:4" x14ac:dyDescent="0.3">
      <c r="A7537" s="830">
        <v>90772</v>
      </c>
      <c r="B7537" s="831" t="s">
        <v>50</v>
      </c>
      <c r="C7537" s="830" t="s">
        <v>1901</v>
      </c>
      <c r="D7537" s="832">
        <v>28.16</v>
      </c>
    </row>
    <row r="7538" spans="1:4" x14ac:dyDescent="0.3">
      <c r="A7538" s="830">
        <v>90775</v>
      </c>
      <c r="B7538" s="831" t="s">
        <v>11894</v>
      </c>
      <c r="C7538" s="830" t="s">
        <v>1901</v>
      </c>
      <c r="D7538" s="832">
        <v>18.22</v>
      </c>
    </row>
    <row r="7539" spans="1:4" x14ac:dyDescent="0.3">
      <c r="A7539" s="830">
        <v>90776</v>
      </c>
      <c r="B7539" s="831" t="s">
        <v>2995</v>
      </c>
      <c r="C7539" s="830" t="s">
        <v>1901</v>
      </c>
      <c r="D7539" s="832">
        <v>25.09</v>
      </c>
    </row>
    <row r="7540" spans="1:4" x14ac:dyDescent="0.3">
      <c r="A7540" s="830">
        <v>90777</v>
      </c>
      <c r="B7540" s="831" t="s">
        <v>11895</v>
      </c>
      <c r="C7540" s="830" t="s">
        <v>1901</v>
      </c>
      <c r="D7540" s="832">
        <v>118.7</v>
      </c>
    </row>
    <row r="7541" spans="1:4" x14ac:dyDescent="0.3">
      <c r="A7541" s="830">
        <v>90778</v>
      </c>
      <c r="B7541" s="831" t="s">
        <v>36</v>
      </c>
      <c r="C7541" s="830" t="s">
        <v>1901</v>
      </c>
      <c r="D7541" s="832">
        <v>140.07</v>
      </c>
    </row>
    <row r="7542" spans="1:4" x14ac:dyDescent="0.3">
      <c r="A7542" s="830">
        <v>90779</v>
      </c>
      <c r="B7542" s="831" t="s">
        <v>33</v>
      </c>
      <c r="C7542" s="830" t="s">
        <v>1901</v>
      </c>
      <c r="D7542" s="832">
        <v>196.24</v>
      </c>
    </row>
    <row r="7543" spans="1:4" x14ac:dyDescent="0.3">
      <c r="A7543" s="830">
        <v>90780</v>
      </c>
      <c r="B7543" s="831" t="s">
        <v>11896</v>
      </c>
      <c r="C7543" s="830" t="s">
        <v>1901</v>
      </c>
      <c r="D7543" s="832">
        <v>50.99</v>
      </c>
    </row>
    <row r="7544" spans="1:4" x14ac:dyDescent="0.3">
      <c r="A7544" s="830">
        <v>90781</v>
      </c>
      <c r="B7544" s="831" t="s">
        <v>72</v>
      </c>
      <c r="C7544" s="830" t="s">
        <v>1901</v>
      </c>
      <c r="D7544" s="832">
        <v>24.19</v>
      </c>
    </row>
    <row r="7545" spans="1:4" x14ac:dyDescent="0.3">
      <c r="A7545" s="830">
        <v>93558</v>
      </c>
      <c r="B7545" s="831" t="s">
        <v>11897</v>
      </c>
      <c r="C7545" s="830" t="s">
        <v>34</v>
      </c>
      <c r="D7545" s="832">
        <v>5324.77</v>
      </c>
    </row>
    <row r="7546" spans="1:4" x14ac:dyDescent="0.3">
      <c r="A7546" s="830">
        <v>93561</v>
      </c>
      <c r="B7546" s="831" t="s">
        <v>11894</v>
      </c>
      <c r="C7546" s="830" t="s">
        <v>34</v>
      </c>
      <c r="D7546" s="832">
        <v>3263.02</v>
      </c>
    </row>
    <row r="7547" spans="1:4" x14ac:dyDescent="0.3">
      <c r="A7547" s="830">
        <v>93563</v>
      </c>
      <c r="B7547" s="831" t="s">
        <v>63</v>
      </c>
      <c r="C7547" s="830" t="s">
        <v>34</v>
      </c>
      <c r="D7547" s="832">
        <v>6625.31</v>
      </c>
    </row>
    <row r="7548" spans="1:4" x14ac:dyDescent="0.3">
      <c r="A7548" s="830">
        <v>93564</v>
      </c>
      <c r="B7548" s="831" t="s">
        <v>61</v>
      </c>
      <c r="C7548" s="830" t="s">
        <v>34</v>
      </c>
      <c r="D7548" s="832">
        <v>6409.08</v>
      </c>
    </row>
    <row r="7549" spans="1:4" x14ac:dyDescent="0.3">
      <c r="A7549" s="830">
        <v>93565</v>
      </c>
      <c r="B7549" s="831" t="s">
        <v>11895</v>
      </c>
      <c r="C7549" s="830" t="s">
        <v>34</v>
      </c>
      <c r="D7549" s="832">
        <v>21067.77</v>
      </c>
    </row>
    <row r="7550" spans="1:4" x14ac:dyDescent="0.3">
      <c r="A7550" s="830">
        <v>93566</v>
      </c>
      <c r="B7550" s="831" t="s">
        <v>50</v>
      </c>
      <c r="C7550" s="830" t="s">
        <v>34</v>
      </c>
      <c r="D7550" s="832">
        <v>5032.17</v>
      </c>
    </row>
    <row r="7551" spans="1:4" x14ac:dyDescent="0.3">
      <c r="A7551" s="830">
        <v>93567</v>
      </c>
      <c r="B7551" s="831" t="s">
        <v>36</v>
      </c>
      <c r="C7551" s="830" t="s">
        <v>34</v>
      </c>
      <c r="D7551" s="832">
        <v>24859.48</v>
      </c>
    </row>
    <row r="7552" spans="1:4" x14ac:dyDescent="0.3">
      <c r="A7552" s="830">
        <v>93568</v>
      </c>
      <c r="B7552" s="831" t="s">
        <v>33</v>
      </c>
      <c r="C7552" s="830" t="s">
        <v>34</v>
      </c>
      <c r="D7552" s="832">
        <v>34812.769999999997</v>
      </c>
    </row>
    <row r="7553" spans="1:4" x14ac:dyDescent="0.3">
      <c r="A7553" s="830">
        <v>93569</v>
      </c>
      <c r="B7553" s="831" t="s">
        <v>11898</v>
      </c>
      <c r="C7553" s="830" t="s">
        <v>34</v>
      </c>
      <c r="D7553" s="832">
        <v>20863.12</v>
      </c>
    </row>
    <row r="7554" spans="1:4" x14ac:dyDescent="0.3">
      <c r="A7554" s="830">
        <v>93570</v>
      </c>
      <c r="B7554" s="831" t="s">
        <v>11899</v>
      </c>
      <c r="C7554" s="830" t="s">
        <v>34</v>
      </c>
      <c r="D7554" s="832">
        <v>21772.98</v>
      </c>
    </row>
    <row r="7555" spans="1:4" x14ac:dyDescent="0.3">
      <c r="A7555" s="830">
        <v>93571</v>
      </c>
      <c r="B7555" s="831" t="s">
        <v>11900</v>
      </c>
      <c r="C7555" s="830" t="s">
        <v>34</v>
      </c>
      <c r="D7555" s="832">
        <v>22799.48</v>
      </c>
    </row>
    <row r="7556" spans="1:4" x14ac:dyDescent="0.3">
      <c r="A7556" s="830">
        <v>93572</v>
      </c>
      <c r="B7556" s="831" t="s">
        <v>59</v>
      </c>
      <c r="C7556" s="830" t="s">
        <v>34</v>
      </c>
      <c r="D7556" s="832">
        <v>4472.0200000000004</v>
      </c>
    </row>
    <row r="7557" spans="1:4" x14ac:dyDescent="0.3">
      <c r="A7557" s="830">
        <v>94295</v>
      </c>
      <c r="B7557" s="831" t="s">
        <v>11896</v>
      </c>
      <c r="C7557" s="830" t="s">
        <v>34</v>
      </c>
      <c r="D7557" s="832">
        <v>9056.2199999999993</v>
      </c>
    </row>
    <row r="7558" spans="1:4" x14ac:dyDescent="0.3">
      <c r="A7558" s="830">
        <v>94296</v>
      </c>
      <c r="B7558" s="831" t="s">
        <v>72</v>
      </c>
      <c r="C7558" s="830" t="s">
        <v>34</v>
      </c>
      <c r="D7558" s="832">
        <v>4319.6899999999996</v>
      </c>
    </row>
    <row r="7559" spans="1:4" x14ac:dyDescent="0.3">
      <c r="A7559" s="830">
        <v>95308</v>
      </c>
      <c r="B7559" s="831" t="s">
        <v>3254</v>
      </c>
      <c r="C7559" s="830" t="s">
        <v>1901</v>
      </c>
      <c r="D7559" s="832">
        <v>0.2</v>
      </c>
    </row>
    <row r="7560" spans="1:4" x14ac:dyDescent="0.3">
      <c r="A7560" s="830">
        <v>95309</v>
      </c>
      <c r="B7560" s="831" t="s">
        <v>3267</v>
      </c>
      <c r="C7560" s="830" t="s">
        <v>1901</v>
      </c>
      <c r="D7560" s="832">
        <v>0.25</v>
      </c>
    </row>
    <row r="7561" spans="1:4" x14ac:dyDescent="0.3">
      <c r="A7561" s="830">
        <v>95310</v>
      </c>
      <c r="B7561" s="831" t="s">
        <v>11901</v>
      </c>
      <c r="C7561" s="830" t="s">
        <v>1901</v>
      </c>
      <c r="D7561" s="832">
        <v>0.2</v>
      </c>
    </row>
    <row r="7562" spans="1:4" x14ac:dyDescent="0.3">
      <c r="A7562" s="830">
        <v>95311</v>
      </c>
      <c r="B7562" s="831" t="s">
        <v>3275</v>
      </c>
      <c r="C7562" s="830" t="s">
        <v>1901</v>
      </c>
      <c r="D7562" s="832">
        <v>0.2</v>
      </c>
    </row>
    <row r="7563" spans="1:4" x14ac:dyDescent="0.3">
      <c r="A7563" s="830">
        <v>95312</v>
      </c>
      <c r="B7563" s="831" t="s">
        <v>3279</v>
      </c>
      <c r="C7563" s="830" t="s">
        <v>1901</v>
      </c>
      <c r="D7563" s="832">
        <v>0.25</v>
      </c>
    </row>
    <row r="7564" spans="1:4" x14ac:dyDescent="0.3">
      <c r="A7564" s="830">
        <v>95313</v>
      </c>
      <c r="B7564" s="831" t="s">
        <v>11902</v>
      </c>
      <c r="C7564" s="830" t="s">
        <v>1901</v>
      </c>
      <c r="D7564" s="832">
        <v>0.2</v>
      </c>
    </row>
    <row r="7565" spans="1:4" x14ac:dyDescent="0.3">
      <c r="A7565" s="830">
        <v>95314</v>
      </c>
      <c r="B7565" s="831" t="s">
        <v>3295</v>
      </c>
      <c r="C7565" s="830" t="s">
        <v>1901</v>
      </c>
      <c r="D7565" s="832">
        <v>0.28000000000000003</v>
      </c>
    </row>
    <row r="7566" spans="1:4" x14ac:dyDescent="0.3">
      <c r="A7566" s="830">
        <v>95315</v>
      </c>
      <c r="B7566" s="831" t="s">
        <v>3308</v>
      </c>
      <c r="C7566" s="830" t="s">
        <v>1901</v>
      </c>
      <c r="D7566" s="832">
        <v>0.28999999999999998</v>
      </c>
    </row>
    <row r="7567" spans="1:4" x14ac:dyDescent="0.3">
      <c r="A7567" s="830">
        <v>95316</v>
      </c>
      <c r="B7567" s="831" t="s">
        <v>3315</v>
      </c>
      <c r="C7567" s="830" t="s">
        <v>1901</v>
      </c>
      <c r="D7567" s="832">
        <v>0.65</v>
      </c>
    </row>
    <row r="7568" spans="1:4" x14ac:dyDescent="0.3">
      <c r="A7568" s="830">
        <v>95317</v>
      </c>
      <c r="B7568" s="831" t="s">
        <v>3323</v>
      </c>
      <c r="C7568" s="830" t="s">
        <v>1901</v>
      </c>
      <c r="D7568" s="832">
        <v>0.31</v>
      </c>
    </row>
    <row r="7569" spans="1:4" x14ac:dyDescent="0.3">
      <c r="A7569" s="830">
        <v>95318</v>
      </c>
      <c r="B7569" s="831" t="s">
        <v>11903</v>
      </c>
      <c r="C7569" s="830" t="s">
        <v>1901</v>
      </c>
      <c r="D7569" s="832">
        <v>0.31</v>
      </c>
    </row>
    <row r="7570" spans="1:4" x14ac:dyDescent="0.3">
      <c r="A7570" s="830">
        <v>95319</v>
      </c>
      <c r="B7570" s="831" t="s">
        <v>11904</v>
      </c>
      <c r="C7570" s="830" t="s">
        <v>1901</v>
      </c>
      <c r="D7570" s="832">
        <v>0.2</v>
      </c>
    </row>
    <row r="7571" spans="1:4" x14ac:dyDescent="0.3">
      <c r="A7571" s="830">
        <v>95320</v>
      </c>
      <c r="B7571" s="831" t="s">
        <v>11905</v>
      </c>
      <c r="C7571" s="830" t="s">
        <v>1901</v>
      </c>
      <c r="D7571" s="832">
        <v>0.2</v>
      </c>
    </row>
    <row r="7572" spans="1:4" x14ac:dyDescent="0.3">
      <c r="A7572" s="830">
        <v>95321</v>
      </c>
      <c r="B7572" s="831" t="s">
        <v>3331</v>
      </c>
      <c r="C7572" s="830" t="s">
        <v>1901</v>
      </c>
      <c r="D7572" s="832">
        <v>0.19</v>
      </c>
    </row>
    <row r="7573" spans="1:4" x14ac:dyDescent="0.3">
      <c r="A7573" s="830">
        <v>95322</v>
      </c>
      <c r="B7573" s="831" t="s">
        <v>11906</v>
      </c>
      <c r="C7573" s="830" t="s">
        <v>1901</v>
      </c>
      <c r="D7573" s="832">
        <v>0.09</v>
      </c>
    </row>
    <row r="7574" spans="1:4" x14ac:dyDescent="0.3">
      <c r="A7574" s="830">
        <v>95323</v>
      </c>
      <c r="B7574" s="831" t="s">
        <v>11907</v>
      </c>
      <c r="C7574" s="830" t="s">
        <v>1901</v>
      </c>
      <c r="D7574" s="832">
        <v>0.3</v>
      </c>
    </row>
    <row r="7575" spans="1:4" x14ac:dyDescent="0.3">
      <c r="A7575" s="830">
        <v>95324</v>
      </c>
      <c r="B7575" s="831" t="s">
        <v>11908</v>
      </c>
      <c r="C7575" s="830" t="s">
        <v>1901</v>
      </c>
      <c r="D7575" s="832">
        <v>0.37</v>
      </c>
    </row>
    <row r="7576" spans="1:4" x14ac:dyDescent="0.3">
      <c r="A7576" s="830">
        <v>95325</v>
      </c>
      <c r="B7576" s="831" t="s">
        <v>11909</v>
      </c>
      <c r="C7576" s="830" t="s">
        <v>1901</v>
      </c>
      <c r="D7576" s="832">
        <v>0.32</v>
      </c>
    </row>
    <row r="7577" spans="1:4" x14ac:dyDescent="0.3">
      <c r="A7577" s="830">
        <v>95328</v>
      </c>
      <c r="B7577" s="831" t="s">
        <v>11910</v>
      </c>
      <c r="C7577" s="830" t="s">
        <v>1901</v>
      </c>
      <c r="D7577" s="832">
        <v>0.26</v>
      </c>
    </row>
    <row r="7578" spans="1:4" x14ac:dyDescent="0.3">
      <c r="A7578" s="830">
        <v>95329</v>
      </c>
      <c r="B7578" s="831" t="s">
        <v>3435</v>
      </c>
      <c r="C7578" s="830" t="s">
        <v>1901</v>
      </c>
      <c r="D7578" s="832">
        <v>0.34</v>
      </c>
    </row>
    <row r="7579" spans="1:4" x14ac:dyDescent="0.3">
      <c r="A7579" s="830">
        <v>95330</v>
      </c>
      <c r="B7579" s="831" t="s">
        <v>3439</v>
      </c>
      <c r="C7579" s="830" t="s">
        <v>1901</v>
      </c>
      <c r="D7579" s="832">
        <v>0.28000000000000003</v>
      </c>
    </row>
    <row r="7580" spans="1:4" x14ac:dyDescent="0.3">
      <c r="A7580" s="830">
        <v>95331</v>
      </c>
      <c r="B7580" s="831" t="s">
        <v>11911</v>
      </c>
      <c r="C7580" s="830" t="s">
        <v>1901</v>
      </c>
      <c r="D7580" s="832">
        <v>0.23</v>
      </c>
    </row>
    <row r="7581" spans="1:4" x14ac:dyDescent="0.3">
      <c r="A7581" s="830">
        <v>95332</v>
      </c>
      <c r="B7581" s="831" t="s">
        <v>3497</v>
      </c>
      <c r="C7581" s="830" t="s">
        <v>1901</v>
      </c>
      <c r="D7581" s="832">
        <v>0.93</v>
      </c>
    </row>
    <row r="7582" spans="1:4" x14ac:dyDescent="0.3">
      <c r="A7582" s="830">
        <v>95334</v>
      </c>
      <c r="B7582" s="831" t="s">
        <v>11912</v>
      </c>
      <c r="C7582" s="830" t="s">
        <v>1901</v>
      </c>
      <c r="D7582" s="832">
        <v>1</v>
      </c>
    </row>
    <row r="7583" spans="1:4" x14ac:dyDescent="0.3">
      <c r="A7583" s="830">
        <v>95335</v>
      </c>
      <c r="B7583" s="831" t="s">
        <v>3501</v>
      </c>
      <c r="C7583" s="830" t="s">
        <v>1901</v>
      </c>
      <c r="D7583" s="832">
        <v>0.45</v>
      </c>
    </row>
    <row r="7584" spans="1:4" x14ac:dyDescent="0.3">
      <c r="A7584" s="830">
        <v>95337</v>
      </c>
      <c r="B7584" s="831" t="s">
        <v>11913</v>
      </c>
      <c r="C7584" s="830" t="s">
        <v>1901</v>
      </c>
      <c r="D7584" s="832">
        <v>0.28000000000000003</v>
      </c>
    </row>
    <row r="7585" spans="1:4" x14ac:dyDescent="0.3">
      <c r="A7585" s="830">
        <v>95338</v>
      </c>
      <c r="B7585" s="831" t="s">
        <v>11914</v>
      </c>
      <c r="C7585" s="830" t="s">
        <v>1901</v>
      </c>
      <c r="D7585" s="832">
        <v>0.53</v>
      </c>
    </row>
    <row r="7586" spans="1:4" x14ac:dyDescent="0.3">
      <c r="A7586" s="830">
        <v>95339</v>
      </c>
      <c r="B7586" s="831" t="s">
        <v>11915</v>
      </c>
      <c r="C7586" s="830" t="s">
        <v>1901</v>
      </c>
      <c r="D7586" s="832">
        <v>0.44</v>
      </c>
    </row>
    <row r="7587" spans="1:4" x14ac:dyDescent="0.3">
      <c r="A7587" s="830">
        <v>95340</v>
      </c>
      <c r="B7587" s="831" t="s">
        <v>11916</v>
      </c>
      <c r="C7587" s="830" t="s">
        <v>1901</v>
      </c>
      <c r="D7587" s="832">
        <v>0.34</v>
      </c>
    </row>
    <row r="7588" spans="1:4" x14ac:dyDescent="0.3">
      <c r="A7588" s="830">
        <v>95341</v>
      </c>
      <c r="B7588" s="831" t="s">
        <v>11917</v>
      </c>
      <c r="C7588" s="830" t="s">
        <v>1901</v>
      </c>
      <c r="D7588" s="832">
        <v>0.37</v>
      </c>
    </row>
    <row r="7589" spans="1:4" x14ac:dyDescent="0.3">
      <c r="A7589" s="830">
        <v>95342</v>
      </c>
      <c r="B7589" s="831" t="s">
        <v>11918</v>
      </c>
      <c r="C7589" s="830" t="s">
        <v>1901</v>
      </c>
      <c r="D7589" s="832">
        <v>0.26</v>
      </c>
    </row>
    <row r="7590" spans="1:4" x14ac:dyDescent="0.3">
      <c r="A7590" s="830">
        <v>95343</v>
      </c>
      <c r="B7590" s="831" t="s">
        <v>11919</v>
      </c>
      <c r="C7590" s="830" t="s">
        <v>1901</v>
      </c>
      <c r="D7590" s="832">
        <v>0.28000000000000003</v>
      </c>
    </row>
    <row r="7591" spans="1:4" x14ac:dyDescent="0.3">
      <c r="A7591" s="830">
        <v>95344</v>
      </c>
      <c r="B7591" s="831" t="s">
        <v>3512</v>
      </c>
      <c r="C7591" s="830" t="s">
        <v>1901</v>
      </c>
      <c r="D7591" s="832">
        <v>0.23</v>
      </c>
    </row>
    <row r="7592" spans="1:4" x14ac:dyDescent="0.3">
      <c r="A7592" s="830">
        <v>95345</v>
      </c>
      <c r="B7592" s="831" t="s">
        <v>11920</v>
      </c>
      <c r="C7592" s="830" t="s">
        <v>1901</v>
      </c>
      <c r="D7592" s="832">
        <v>0.63</v>
      </c>
    </row>
    <row r="7593" spans="1:4" x14ac:dyDescent="0.3">
      <c r="A7593" s="830">
        <v>95346</v>
      </c>
      <c r="B7593" s="831" t="s">
        <v>3516</v>
      </c>
      <c r="C7593" s="830" t="s">
        <v>1901</v>
      </c>
      <c r="D7593" s="832">
        <v>0.13</v>
      </c>
    </row>
    <row r="7594" spans="1:4" x14ac:dyDescent="0.3">
      <c r="A7594" s="830">
        <v>95347</v>
      </c>
      <c r="B7594" s="831" t="s">
        <v>3519</v>
      </c>
      <c r="C7594" s="830" t="s">
        <v>1901</v>
      </c>
      <c r="D7594" s="832">
        <v>0.12</v>
      </c>
    </row>
    <row r="7595" spans="1:4" x14ac:dyDescent="0.3">
      <c r="A7595" s="830">
        <v>95348</v>
      </c>
      <c r="B7595" s="831" t="s">
        <v>11921</v>
      </c>
      <c r="C7595" s="830" t="s">
        <v>1901</v>
      </c>
      <c r="D7595" s="832">
        <v>0.15</v>
      </c>
    </row>
    <row r="7596" spans="1:4" x14ac:dyDescent="0.3">
      <c r="A7596" s="830">
        <v>95349</v>
      </c>
      <c r="B7596" s="831" t="s">
        <v>11922</v>
      </c>
      <c r="C7596" s="830" t="s">
        <v>1901</v>
      </c>
      <c r="D7596" s="832">
        <v>0.11</v>
      </c>
    </row>
    <row r="7597" spans="1:4" x14ac:dyDescent="0.3">
      <c r="A7597" s="830">
        <v>95351</v>
      </c>
      <c r="B7597" s="831" t="s">
        <v>3522</v>
      </c>
      <c r="C7597" s="830" t="s">
        <v>1901</v>
      </c>
      <c r="D7597" s="832">
        <v>0.43</v>
      </c>
    </row>
    <row r="7598" spans="1:4" x14ac:dyDescent="0.3">
      <c r="A7598" s="830">
        <v>95352</v>
      </c>
      <c r="B7598" s="831" t="s">
        <v>11923</v>
      </c>
      <c r="C7598" s="830" t="s">
        <v>1901</v>
      </c>
      <c r="D7598" s="832">
        <v>0.14000000000000001</v>
      </c>
    </row>
    <row r="7599" spans="1:4" x14ac:dyDescent="0.3">
      <c r="A7599" s="830">
        <v>95354</v>
      </c>
      <c r="B7599" s="831" t="s">
        <v>11924</v>
      </c>
      <c r="C7599" s="830" t="s">
        <v>1901</v>
      </c>
      <c r="D7599" s="832">
        <v>0.17</v>
      </c>
    </row>
    <row r="7600" spans="1:4" x14ac:dyDescent="0.3">
      <c r="A7600" s="830">
        <v>95355</v>
      </c>
      <c r="B7600" s="831" t="s">
        <v>11925</v>
      </c>
      <c r="C7600" s="830" t="s">
        <v>1901</v>
      </c>
      <c r="D7600" s="832">
        <v>0.14000000000000001</v>
      </c>
    </row>
    <row r="7601" spans="1:4" x14ac:dyDescent="0.3">
      <c r="A7601" s="830">
        <v>95356</v>
      </c>
      <c r="B7601" s="831" t="s">
        <v>11926</v>
      </c>
      <c r="C7601" s="830" t="s">
        <v>1901</v>
      </c>
      <c r="D7601" s="832">
        <v>0.17</v>
      </c>
    </row>
    <row r="7602" spans="1:4" x14ac:dyDescent="0.3">
      <c r="A7602" s="830">
        <v>95357</v>
      </c>
      <c r="B7602" s="831" t="s">
        <v>3528</v>
      </c>
      <c r="C7602" s="830" t="s">
        <v>1901</v>
      </c>
      <c r="D7602" s="832">
        <v>0.28000000000000003</v>
      </c>
    </row>
    <row r="7603" spans="1:4" x14ac:dyDescent="0.3">
      <c r="A7603" s="830">
        <v>95358</v>
      </c>
      <c r="B7603" s="831" t="s">
        <v>3531</v>
      </c>
      <c r="C7603" s="830" t="s">
        <v>1901</v>
      </c>
      <c r="D7603" s="832">
        <v>0.33</v>
      </c>
    </row>
    <row r="7604" spans="1:4" x14ac:dyDescent="0.3">
      <c r="A7604" s="830">
        <v>95359</v>
      </c>
      <c r="B7604" s="831" t="s">
        <v>3534</v>
      </c>
      <c r="C7604" s="830" t="s">
        <v>1901</v>
      </c>
      <c r="D7604" s="832">
        <v>0.33</v>
      </c>
    </row>
    <row r="7605" spans="1:4" x14ac:dyDescent="0.3">
      <c r="A7605" s="830">
        <v>95360</v>
      </c>
      <c r="B7605" s="831" t="s">
        <v>3544</v>
      </c>
      <c r="C7605" s="830" t="s">
        <v>1901</v>
      </c>
      <c r="D7605" s="832">
        <v>0.23</v>
      </c>
    </row>
    <row r="7606" spans="1:4" x14ac:dyDescent="0.3">
      <c r="A7606" s="830">
        <v>95361</v>
      </c>
      <c r="B7606" s="831" t="s">
        <v>3538</v>
      </c>
      <c r="C7606" s="830" t="s">
        <v>1901</v>
      </c>
      <c r="D7606" s="832">
        <v>0.17</v>
      </c>
    </row>
    <row r="7607" spans="1:4" x14ac:dyDescent="0.3">
      <c r="A7607" s="830">
        <v>95362</v>
      </c>
      <c r="B7607" s="831" t="s">
        <v>11927</v>
      </c>
      <c r="C7607" s="830" t="s">
        <v>1901</v>
      </c>
      <c r="D7607" s="832">
        <v>0.3</v>
      </c>
    </row>
    <row r="7608" spans="1:4" x14ac:dyDescent="0.3">
      <c r="A7608" s="830">
        <v>95363</v>
      </c>
      <c r="B7608" s="831" t="s">
        <v>3541</v>
      </c>
      <c r="C7608" s="830" t="s">
        <v>1901</v>
      </c>
      <c r="D7608" s="832">
        <v>0.3</v>
      </c>
    </row>
    <row r="7609" spans="1:4" x14ac:dyDescent="0.3">
      <c r="A7609" s="830">
        <v>95364</v>
      </c>
      <c r="B7609" s="831" t="s">
        <v>3550</v>
      </c>
      <c r="C7609" s="830" t="s">
        <v>1901</v>
      </c>
      <c r="D7609" s="832">
        <v>0.17</v>
      </c>
    </row>
    <row r="7610" spans="1:4" x14ac:dyDescent="0.3">
      <c r="A7610" s="830">
        <v>95365</v>
      </c>
      <c r="B7610" s="831" t="s">
        <v>3547</v>
      </c>
      <c r="C7610" s="830" t="s">
        <v>1901</v>
      </c>
      <c r="D7610" s="832">
        <v>0.17</v>
      </c>
    </row>
    <row r="7611" spans="1:4" x14ac:dyDescent="0.3">
      <c r="A7611" s="830">
        <v>95366</v>
      </c>
      <c r="B7611" s="831" t="s">
        <v>3553</v>
      </c>
      <c r="C7611" s="830" t="s">
        <v>1901</v>
      </c>
      <c r="D7611" s="832">
        <v>0.17</v>
      </c>
    </row>
    <row r="7612" spans="1:4" x14ac:dyDescent="0.3">
      <c r="A7612" s="830">
        <v>95367</v>
      </c>
      <c r="B7612" s="831" t="s">
        <v>3556</v>
      </c>
      <c r="C7612" s="830" t="s">
        <v>1901</v>
      </c>
      <c r="D7612" s="832">
        <v>0.3</v>
      </c>
    </row>
    <row r="7613" spans="1:4" x14ac:dyDescent="0.3">
      <c r="A7613" s="830">
        <v>95368</v>
      </c>
      <c r="B7613" s="831" t="s">
        <v>11928</v>
      </c>
      <c r="C7613" s="830" t="s">
        <v>1901</v>
      </c>
      <c r="D7613" s="832">
        <v>0.21</v>
      </c>
    </row>
    <row r="7614" spans="1:4" x14ac:dyDescent="0.3">
      <c r="A7614" s="830">
        <v>95369</v>
      </c>
      <c r="B7614" s="831" t="s">
        <v>11929</v>
      </c>
      <c r="C7614" s="830" t="s">
        <v>1901</v>
      </c>
      <c r="D7614" s="832">
        <v>0.18</v>
      </c>
    </row>
    <row r="7615" spans="1:4" x14ac:dyDescent="0.3">
      <c r="A7615" s="830">
        <v>95370</v>
      </c>
      <c r="B7615" s="831" t="s">
        <v>11930</v>
      </c>
      <c r="C7615" s="830" t="s">
        <v>1901</v>
      </c>
      <c r="D7615" s="832">
        <v>0.37</v>
      </c>
    </row>
    <row r="7616" spans="1:4" x14ac:dyDescent="0.3">
      <c r="A7616" s="830">
        <v>95371</v>
      </c>
      <c r="B7616" s="831" t="s">
        <v>3559</v>
      </c>
      <c r="C7616" s="830" t="s">
        <v>1901</v>
      </c>
      <c r="D7616" s="832">
        <v>0.53</v>
      </c>
    </row>
    <row r="7617" spans="1:4" x14ac:dyDescent="0.3">
      <c r="A7617" s="830">
        <v>95372</v>
      </c>
      <c r="B7617" s="831" t="s">
        <v>3567</v>
      </c>
      <c r="C7617" s="830" t="s">
        <v>1901</v>
      </c>
      <c r="D7617" s="832">
        <v>0.37</v>
      </c>
    </row>
    <row r="7618" spans="1:4" x14ac:dyDescent="0.3">
      <c r="A7618" s="830">
        <v>95373</v>
      </c>
      <c r="B7618" s="831" t="s">
        <v>11931</v>
      </c>
      <c r="C7618" s="830" t="s">
        <v>1901</v>
      </c>
      <c r="D7618" s="832">
        <v>0.35</v>
      </c>
    </row>
    <row r="7619" spans="1:4" x14ac:dyDescent="0.3">
      <c r="A7619" s="830">
        <v>95374</v>
      </c>
      <c r="B7619" s="831" t="s">
        <v>11932</v>
      </c>
      <c r="C7619" s="830" t="s">
        <v>1901</v>
      </c>
      <c r="D7619" s="832">
        <v>0.37</v>
      </c>
    </row>
    <row r="7620" spans="1:4" x14ac:dyDescent="0.3">
      <c r="A7620" s="830">
        <v>95375</v>
      </c>
      <c r="B7620" s="831" t="s">
        <v>11933</v>
      </c>
      <c r="C7620" s="830" t="s">
        <v>1901</v>
      </c>
      <c r="D7620" s="832">
        <v>0.43</v>
      </c>
    </row>
    <row r="7621" spans="1:4" x14ac:dyDescent="0.3">
      <c r="A7621" s="830">
        <v>95376</v>
      </c>
      <c r="B7621" s="831" t="s">
        <v>3571</v>
      </c>
      <c r="C7621" s="830" t="s">
        <v>1901</v>
      </c>
      <c r="D7621" s="832">
        <v>0.11</v>
      </c>
    </row>
    <row r="7622" spans="1:4" x14ac:dyDescent="0.3">
      <c r="A7622" s="830">
        <v>95377</v>
      </c>
      <c r="B7622" s="831" t="s">
        <v>3575</v>
      </c>
      <c r="C7622" s="830" t="s">
        <v>1901</v>
      </c>
      <c r="D7622" s="832">
        <v>0.28000000000000003</v>
      </c>
    </row>
    <row r="7623" spans="1:4" x14ac:dyDescent="0.3">
      <c r="A7623" s="830">
        <v>95378</v>
      </c>
      <c r="B7623" s="831" t="s">
        <v>3579</v>
      </c>
      <c r="C7623" s="830" t="s">
        <v>1901</v>
      </c>
      <c r="D7623" s="832">
        <v>0.35</v>
      </c>
    </row>
    <row r="7624" spans="1:4" x14ac:dyDescent="0.3">
      <c r="A7624" s="830">
        <v>95379</v>
      </c>
      <c r="B7624" s="831" t="s">
        <v>3586</v>
      </c>
      <c r="C7624" s="830" t="s">
        <v>1901</v>
      </c>
      <c r="D7624" s="832">
        <v>0.28000000000000003</v>
      </c>
    </row>
    <row r="7625" spans="1:4" x14ac:dyDescent="0.3">
      <c r="A7625" s="830">
        <v>95380</v>
      </c>
      <c r="B7625" s="831" t="s">
        <v>11934</v>
      </c>
      <c r="C7625" s="830" t="s">
        <v>1901</v>
      </c>
      <c r="D7625" s="832">
        <v>0.34</v>
      </c>
    </row>
    <row r="7626" spans="1:4" x14ac:dyDescent="0.3">
      <c r="A7626" s="830">
        <v>95383</v>
      </c>
      <c r="B7626" s="831" t="s">
        <v>3596</v>
      </c>
      <c r="C7626" s="830" t="s">
        <v>1901</v>
      </c>
      <c r="D7626" s="832">
        <v>0.48</v>
      </c>
    </row>
    <row r="7627" spans="1:4" x14ac:dyDescent="0.3">
      <c r="A7627" s="830">
        <v>95384</v>
      </c>
      <c r="B7627" s="831" t="s">
        <v>11935</v>
      </c>
      <c r="C7627" s="830" t="s">
        <v>1901</v>
      </c>
      <c r="D7627" s="832">
        <v>0.41</v>
      </c>
    </row>
    <row r="7628" spans="1:4" x14ac:dyDescent="0.3">
      <c r="A7628" s="830">
        <v>95385</v>
      </c>
      <c r="B7628" s="831" t="s">
        <v>3590</v>
      </c>
      <c r="C7628" s="830" t="s">
        <v>1901</v>
      </c>
      <c r="D7628" s="832">
        <v>0.28000000000000003</v>
      </c>
    </row>
    <row r="7629" spans="1:4" x14ac:dyDescent="0.3">
      <c r="A7629" s="830">
        <v>95386</v>
      </c>
      <c r="B7629" s="831" t="s">
        <v>3594</v>
      </c>
      <c r="C7629" s="830" t="s">
        <v>1901</v>
      </c>
      <c r="D7629" s="832">
        <v>0.23</v>
      </c>
    </row>
    <row r="7630" spans="1:4" x14ac:dyDescent="0.3">
      <c r="A7630" s="830">
        <v>95387</v>
      </c>
      <c r="B7630" s="831" t="s">
        <v>11936</v>
      </c>
      <c r="C7630" s="830" t="s">
        <v>1901</v>
      </c>
      <c r="D7630" s="832">
        <v>0.33</v>
      </c>
    </row>
    <row r="7631" spans="1:4" x14ac:dyDescent="0.3">
      <c r="A7631" s="830">
        <v>95389</v>
      </c>
      <c r="B7631" s="831" t="s">
        <v>3525</v>
      </c>
      <c r="C7631" s="830" t="s">
        <v>1901</v>
      </c>
      <c r="D7631" s="832">
        <v>0.17</v>
      </c>
    </row>
    <row r="7632" spans="1:4" x14ac:dyDescent="0.3">
      <c r="A7632" s="830">
        <v>95390</v>
      </c>
      <c r="B7632" s="831" t="s">
        <v>3508</v>
      </c>
      <c r="C7632" s="830" t="s">
        <v>1901</v>
      </c>
      <c r="D7632" s="832">
        <v>0.11</v>
      </c>
    </row>
    <row r="7633" spans="1:4" x14ac:dyDescent="0.3">
      <c r="A7633" s="830">
        <v>95392</v>
      </c>
      <c r="B7633" s="831" t="s">
        <v>11937</v>
      </c>
      <c r="C7633" s="830" t="s">
        <v>1901</v>
      </c>
      <c r="D7633" s="832">
        <v>0.2</v>
      </c>
    </row>
    <row r="7634" spans="1:4" x14ac:dyDescent="0.3">
      <c r="A7634" s="830">
        <v>95393</v>
      </c>
      <c r="B7634" s="831" t="s">
        <v>11938</v>
      </c>
      <c r="C7634" s="830" t="s">
        <v>1901</v>
      </c>
      <c r="D7634" s="832">
        <v>0.8</v>
      </c>
    </row>
    <row r="7635" spans="1:4" x14ac:dyDescent="0.3">
      <c r="A7635" s="830">
        <v>95394</v>
      </c>
      <c r="B7635" s="831" t="s">
        <v>11939</v>
      </c>
      <c r="C7635" s="830" t="s">
        <v>1901</v>
      </c>
      <c r="D7635" s="832">
        <v>1.0900000000000001</v>
      </c>
    </row>
    <row r="7636" spans="1:4" x14ac:dyDescent="0.3">
      <c r="A7636" s="830">
        <v>95395</v>
      </c>
      <c r="B7636" s="831" t="s">
        <v>11940</v>
      </c>
      <c r="C7636" s="830" t="s">
        <v>1901</v>
      </c>
      <c r="D7636" s="832">
        <v>1.1399999999999999</v>
      </c>
    </row>
    <row r="7637" spans="1:4" x14ac:dyDescent="0.3">
      <c r="A7637" s="830">
        <v>95396</v>
      </c>
      <c r="B7637" s="831" t="s">
        <v>11941</v>
      </c>
      <c r="C7637" s="830" t="s">
        <v>1901</v>
      </c>
      <c r="D7637" s="832">
        <v>1.19</v>
      </c>
    </row>
    <row r="7638" spans="1:4" x14ac:dyDescent="0.3">
      <c r="A7638" s="830">
        <v>95398</v>
      </c>
      <c r="B7638" s="831" t="s">
        <v>11942</v>
      </c>
      <c r="C7638" s="830" t="s">
        <v>1901</v>
      </c>
      <c r="D7638" s="832">
        <v>0.15</v>
      </c>
    </row>
    <row r="7639" spans="1:4" x14ac:dyDescent="0.3">
      <c r="A7639" s="830">
        <v>95400</v>
      </c>
      <c r="B7639" s="831" t="s">
        <v>11943</v>
      </c>
      <c r="C7639" s="830" t="s">
        <v>1901</v>
      </c>
      <c r="D7639" s="832">
        <v>0.09</v>
      </c>
    </row>
    <row r="7640" spans="1:4" x14ac:dyDescent="0.3">
      <c r="A7640" s="830">
        <v>95401</v>
      </c>
      <c r="B7640" s="831" t="s">
        <v>3505</v>
      </c>
      <c r="C7640" s="830" t="s">
        <v>1901</v>
      </c>
      <c r="D7640" s="832">
        <v>0.53</v>
      </c>
    </row>
    <row r="7641" spans="1:4" x14ac:dyDescent="0.3">
      <c r="A7641" s="830">
        <v>95402</v>
      </c>
      <c r="B7641" s="831" t="s">
        <v>11944</v>
      </c>
      <c r="C7641" s="830" t="s">
        <v>1901</v>
      </c>
      <c r="D7641" s="832">
        <v>1.94</v>
      </c>
    </row>
    <row r="7642" spans="1:4" x14ac:dyDescent="0.3">
      <c r="A7642" s="830">
        <v>95403</v>
      </c>
      <c r="B7642" s="831" t="s">
        <v>11945</v>
      </c>
      <c r="C7642" s="830" t="s">
        <v>1901</v>
      </c>
      <c r="D7642" s="832">
        <v>2.2999999999999998</v>
      </c>
    </row>
    <row r="7643" spans="1:4" x14ac:dyDescent="0.3">
      <c r="A7643" s="830">
        <v>95404</v>
      </c>
      <c r="B7643" s="831" t="s">
        <v>11946</v>
      </c>
      <c r="C7643" s="830" t="s">
        <v>1901</v>
      </c>
      <c r="D7643" s="832">
        <v>3.24</v>
      </c>
    </row>
    <row r="7644" spans="1:4" x14ac:dyDescent="0.3">
      <c r="A7644" s="830">
        <v>95405</v>
      </c>
      <c r="B7644" s="831" t="s">
        <v>11947</v>
      </c>
      <c r="C7644" s="830" t="s">
        <v>1901</v>
      </c>
      <c r="D7644" s="832">
        <v>1.1499999999999999</v>
      </c>
    </row>
    <row r="7645" spans="1:4" x14ac:dyDescent="0.3">
      <c r="A7645" s="830">
        <v>95406</v>
      </c>
      <c r="B7645" s="831" t="s">
        <v>11948</v>
      </c>
      <c r="C7645" s="830" t="s">
        <v>1901</v>
      </c>
      <c r="D7645" s="832">
        <v>0.2</v>
      </c>
    </row>
    <row r="7646" spans="1:4" x14ac:dyDescent="0.3">
      <c r="A7646" s="830">
        <v>95408</v>
      </c>
      <c r="B7646" s="831" t="s">
        <v>11949</v>
      </c>
      <c r="C7646" s="830" t="s">
        <v>34</v>
      </c>
      <c r="D7646" s="832">
        <v>17.02</v>
      </c>
    </row>
    <row r="7647" spans="1:4" x14ac:dyDescent="0.3">
      <c r="A7647" s="830">
        <v>95411</v>
      </c>
      <c r="B7647" s="831" t="s">
        <v>11950</v>
      </c>
      <c r="C7647" s="830" t="s">
        <v>34</v>
      </c>
      <c r="D7647" s="832">
        <v>12.46</v>
      </c>
    </row>
    <row r="7648" spans="1:4" x14ac:dyDescent="0.3">
      <c r="A7648" s="830">
        <v>95413</v>
      </c>
      <c r="B7648" s="831" t="s">
        <v>2513</v>
      </c>
      <c r="C7648" s="830" t="s">
        <v>34</v>
      </c>
      <c r="D7648" s="832">
        <v>27.06</v>
      </c>
    </row>
    <row r="7649" spans="1:4" x14ac:dyDescent="0.3">
      <c r="A7649" s="830">
        <v>95414</v>
      </c>
      <c r="B7649" s="831" t="s">
        <v>2509</v>
      </c>
      <c r="C7649" s="830" t="s">
        <v>34</v>
      </c>
      <c r="D7649" s="832">
        <v>107.42</v>
      </c>
    </row>
    <row r="7650" spans="1:4" x14ac:dyDescent="0.3">
      <c r="A7650" s="830">
        <v>95415</v>
      </c>
      <c r="B7650" s="831" t="s">
        <v>11951</v>
      </c>
      <c r="C7650" s="830" t="s">
        <v>34</v>
      </c>
      <c r="D7650" s="832">
        <v>259.36</v>
      </c>
    </row>
    <row r="7651" spans="1:4" x14ac:dyDescent="0.3">
      <c r="A7651" s="830">
        <v>95416</v>
      </c>
      <c r="B7651" s="831" t="s">
        <v>2482</v>
      </c>
      <c r="C7651" s="830" t="s">
        <v>34</v>
      </c>
      <c r="D7651" s="832">
        <v>20.12</v>
      </c>
    </row>
    <row r="7652" spans="1:4" x14ac:dyDescent="0.3">
      <c r="A7652" s="4">
        <v>95417</v>
      </c>
      <c r="B7652" s="833" t="s">
        <v>2450</v>
      </c>
      <c r="C7652" s="4" t="s">
        <v>34</v>
      </c>
      <c r="D7652" s="834">
        <v>306.95</v>
      </c>
    </row>
    <row r="7653" spans="1:4" x14ac:dyDescent="0.3">
      <c r="A7653" s="4">
        <v>95418</v>
      </c>
      <c r="B7653" s="833" t="s">
        <v>2436</v>
      </c>
      <c r="C7653" s="4" t="s">
        <v>34</v>
      </c>
      <c r="D7653" s="834">
        <v>431.87</v>
      </c>
    </row>
    <row r="7654" spans="1:4" x14ac:dyDescent="0.3">
      <c r="A7654" s="4">
        <v>95419</v>
      </c>
      <c r="B7654" s="833" t="s">
        <v>11952</v>
      </c>
      <c r="C7654" s="4" t="s">
        <v>34</v>
      </c>
      <c r="D7654" s="834">
        <v>145.46</v>
      </c>
    </row>
    <row r="7655" spans="1:4" x14ac:dyDescent="0.3">
      <c r="A7655" s="4">
        <v>95420</v>
      </c>
      <c r="B7655" s="833" t="s">
        <v>11953</v>
      </c>
      <c r="C7655" s="4" t="s">
        <v>34</v>
      </c>
      <c r="D7655" s="834">
        <v>151.91999999999999</v>
      </c>
    </row>
    <row r="7656" spans="1:4" x14ac:dyDescent="0.3">
      <c r="A7656" s="4">
        <v>95421</v>
      </c>
      <c r="B7656" s="833" t="s">
        <v>11954</v>
      </c>
      <c r="C7656" s="4" t="s">
        <v>34</v>
      </c>
      <c r="D7656" s="834">
        <v>159.22</v>
      </c>
    </row>
    <row r="7657" spans="1:4" x14ac:dyDescent="0.3">
      <c r="A7657" s="4">
        <v>95422</v>
      </c>
      <c r="B7657" s="833" t="s">
        <v>2501</v>
      </c>
      <c r="C7657" s="4" t="s">
        <v>34</v>
      </c>
      <c r="D7657" s="834">
        <v>70.97</v>
      </c>
    </row>
    <row r="7658" spans="1:4" x14ac:dyDescent="0.3">
      <c r="A7658" s="4">
        <v>95423</v>
      </c>
      <c r="B7658" s="833" t="s">
        <v>11955</v>
      </c>
      <c r="C7658" s="4" t="s">
        <v>34</v>
      </c>
      <c r="D7658" s="834">
        <v>153.16999999999999</v>
      </c>
    </row>
    <row r="7659" spans="1:4" x14ac:dyDescent="0.3">
      <c r="A7659" s="4">
        <v>95424</v>
      </c>
      <c r="B7659" s="833" t="s">
        <v>2519</v>
      </c>
      <c r="C7659" s="4" t="s">
        <v>34</v>
      </c>
      <c r="D7659" s="834">
        <v>27.82</v>
      </c>
    </row>
    <row r="7660" spans="1:4" x14ac:dyDescent="0.3">
      <c r="A7660" s="4">
        <v>100288</v>
      </c>
      <c r="B7660" s="833" t="s">
        <v>11956</v>
      </c>
      <c r="C7660" s="4" t="s">
        <v>1901</v>
      </c>
      <c r="D7660" s="834">
        <v>0.09</v>
      </c>
    </row>
    <row r="7661" spans="1:4" x14ac:dyDescent="0.3">
      <c r="A7661" s="4">
        <v>100289</v>
      </c>
      <c r="B7661" s="833" t="s">
        <v>54</v>
      </c>
      <c r="C7661" s="4" t="s">
        <v>1901</v>
      </c>
      <c r="D7661" s="834">
        <v>24.09</v>
      </c>
    </row>
    <row r="7662" spans="1:4" x14ac:dyDescent="0.3">
      <c r="A7662" s="4">
        <v>100291</v>
      </c>
      <c r="B7662" s="833" t="s">
        <v>11957</v>
      </c>
      <c r="C7662" s="4" t="s">
        <v>1901</v>
      </c>
      <c r="D7662" s="834">
        <v>0.25</v>
      </c>
    </row>
    <row r="7663" spans="1:4" x14ac:dyDescent="0.3">
      <c r="A7663" s="4">
        <v>100293</v>
      </c>
      <c r="B7663" s="833" t="s">
        <v>11958</v>
      </c>
      <c r="C7663" s="4" t="s">
        <v>1901</v>
      </c>
      <c r="D7663" s="834">
        <v>0.24</v>
      </c>
    </row>
    <row r="7664" spans="1:4" x14ac:dyDescent="0.3">
      <c r="A7664" s="4">
        <v>100295</v>
      </c>
      <c r="B7664" s="833" t="s">
        <v>11959</v>
      </c>
      <c r="C7664" s="4" t="s">
        <v>1901</v>
      </c>
      <c r="D7664" s="834">
        <v>0.65</v>
      </c>
    </row>
    <row r="7665" spans="1:4" x14ac:dyDescent="0.3">
      <c r="A7665" s="4">
        <v>100298</v>
      </c>
      <c r="B7665" s="833" t="s">
        <v>11960</v>
      </c>
      <c r="C7665" s="4" t="s">
        <v>1901</v>
      </c>
      <c r="D7665" s="834">
        <v>0.74</v>
      </c>
    </row>
    <row r="7666" spans="1:4" x14ac:dyDescent="0.3">
      <c r="A7666" s="4">
        <v>100299</v>
      </c>
      <c r="B7666" s="833" t="s">
        <v>11961</v>
      </c>
      <c r="C7666" s="4" t="s">
        <v>1901</v>
      </c>
      <c r="D7666" s="834">
        <v>1.01</v>
      </c>
    </row>
    <row r="7667" spans="1:4" x14ac:dyDescent="0.3">
      <c r="A7667" s="4">
        <v>100301</v>
      </c>
      <c r="B7667" s="833" t="s">
        <v>11962</v>
      </c>
      <c r="C7667" s="4" t="s">
        <v>1901</v>
      </c>
      <c r="D7667" s="834">
        <v>25.9</v>
      </c>
    </row>
    <row r="7668" spans="1:4" x14ac:dyDescent="0.3">
      <c r="A7668" s="4">
        <v>100303</v>
      </c>
      <c r="B7668" s="833" t="s">
        <v>11963</v>
      </c>
      <c r="C7668" s="4" t="s">
        <v>1901</v>
      </c>
      <c r="D7668" s="834">
        <v>23.18</v>
      </c>
    </row>
    <row r="7669" spans="1:4" x14ac:dyDescent="0.3">
      <c r="A7669" s="4">
        <v>100307</v>
      </c>
      <c r="B7669" s="833" t="s">
        <v>11964</v>
      </c>
      <c r="C7669" s="4" t="s">
        <v>1901</v>
      </c>
      <c r="D7669" s="834">
        <v>27.85</v>
      </c>
    </row>
    <row r="7670" spans="1:4" x14ac:dyDescent="0.3">
      <c r="A7670" s="4">
        <v>100308</v>
      </c>
      <c r="B7670" s="833" t="s">
        <v>11965</v>
      </c>
      <c r="C7670" s="4" t="s">
        <v>1901</v>
      </c>
      <c r="D7670" s="834">
        <v>32.79</v>
      </c>
    </row>
    <row r="7671" spans="1:4" x14ac:dyDescent="0.3">
      <c r="A7671" s="4">
        <v>100309</v>
      </c>
      <c r="B7671" s="833" t="s">
        <v>11966</v>
      </c>
      <c r="C7671" s="4" t="s">
        <v>1901</v>
      </c>
      <c r="D7671" s="834">
        <v>52.37</v>
      </c>
    </row>
    <row r="7672" spans="1:4" x14ac:dyDescent="0.3">
      <c r="A7672" s="4">
        <v>100315</v>
      </c>
      <c r="B7672" s="833" t="s">
        <v>11967</v>
      </c>
      <c r="C7672" s="4" t="s">
        <v>34</v>
      </c>
      <c r="D7672" s="834">
        <v>135.47999999999999</v>
      </c>
    </row>
    <row r="7673" spans="1:4" x14ac:dyDescent="0.3">
      <c r="A7673" s="4">
        <v>100321</v>
      </c>
      <c r="B7673" s="833" t="s">
        <v>11966</v>
      </c>
      <c r="C7673" s="4" t="s">
        <v>34</v>
      </c>
      <c r="D7673" s="834">
        <v>9300.5</v>
      </c>
    </row>
    <row r="7674" spans="1:4" x14ac:dyDescent="0.3">
      <c r="A7674" s="4">
        <v>100533</v>
      </c>
      <c r="B7674" s="833" t="s">
        <v>38</v>
      </c>
      <c r="C7674" s="4" t="s">
        <v>1901</v>
      </c>
      <c r="D7674" s="834">
        <v>19.739999999999998</v>
      </c>
    </row>
    <row r="7675" spans="1:4" x14ac:dyDescent="0.3">
      <c r="A7675" s="4">
        <v>100534</v>
      </c>
      <c r="B7675" s="833" t="s">
        <v>38</v>
      </c>
      <c r="C7675" s="4" t="s">
        <v>34</v>
      </c>
      <c r="D7675" s="834">
        <v>3536.93</v>
      </c>
    </row>
    <row r="7676" spans="1:4" x14ac:dyDescent="0.3">
      <c r="A7676" s="4">
        <v>100535</v>
      </c>
      <c r="B7676" s="833" t="s">
        <v>11968</v>
      </c>
      <c r="C7676" s="4" t="s">
        <v>1901</v>
      </c>
      <c r="D7676" s="834">
        <v>0.35</v>
      </c>
    </row>
    <row r="7677" spans="1:4" x14ac:dyDescent="0.3">
      <c r="A7677" s="4">
        <v>100536</v>
      </c>
      <c r="B7677" s="833" t="s">
        <v>2454</v>
      </c>
      <c r="C7677" s="4" t="s">
        <v>34</v>
      </c>
      <c r="D7677" s="834">
        <v>47.57</v>
      </c>
    </row>
    <row r="7678" spans="1:4" x14ac:dyDescent="0.3">
      <c r="A7678" s="4">
        <v>101286</v>
      </c>
      <c r="B7678" s="833" t="s">
        <v>11969</v>
      </c>
      <c r="C7678" s="4" t="s">
        <v>34</v>
      </c>
      <c r="D7678" s="834">
        <v>27.06</v>
      </c>
    </row>
    <row r="7679" spans="1:4" x14ac:dyDescent="0.3">
      <c r="A7679" s="4">
        <v>101287</v>
      </c>
      <c r="B7679" s="833" t="s">
        <v>11970</v>
      </c>
      <c r="C7679" s="4" t="s">
        <v>34</v>
      </c>
      <c r="D7679" s="834">
        <v>87.51</v>
      </c>
    </row>
    <row r="7680" spans="1:4" x14ac:dyDescent="0.3">
      <c r="A7680" s="4">
        <v>101288</v>
      </c>
      <c r="B7680" s="833" t="s">
        <v>11971</v>
      </c>
      <c r="C7680" s="4" t="s">
        <v>34</v>
      </c>
      <c r="D7680" s="834">
        <v>27.06</v>
      </c>
    </row>
    <row r="7681" spans="1:4" x14ac:dyDescent="0.3">
      <c r="A7681" s="4">
        <v>101289</v>
      </c>
      <c r="B7681" s="833" t="s">
        <v>11972</v>
      </c>
      <c r="C7681" s="4" t="s">
        <v>34</v>
      </c>
      <c r="D7681" s="834">
        <v>26.94</v>
      </c>
    </row>
    <row r="7682" spans="1:4" x14ac:dyDescent="0.3">
      <c r="A7682" s="4">
        <v>101290</v>
      </c>
      <c r="B7682" s="833" t="s">
        <v>11973</v>
      </c>
      <c r="C7682" s="4" t="s">
        <v>34</v>
      </c>
      <c r="D7682" s="834">
        <v>34.6</v>
      </c>
    </row>
    <row r="7683" spans="1:4" x14ac:dyDescent="0.3">
      <c r="A7683" s="4">
        <v>101291</v>
      </c>
      <c r="B7683" s="833" t="s">
        <v>11974</v>
      </c>
      <c r="C7683" s="4" t="s">
        <v>34</v>
      </c>
      <c r="D7683" s="834">
        <v>27.06</v>
      </c>
    </row>
    <row r="7684" spans="1:4" x14ac:dyDescent="0.3">
      <c r="A7684" s="4">
        <v>101292</v>
      </c>
      <c r="B7684" s="833" t="s">
        <v>11975</v>
      </c>
      <c r="C7684" s="4" t="s">
        <v>34</v>
      </c>
      <c r="D7684" s="834">
        <v>26.94</v>
      </c>
    </row>
    <row r="7685" spans="1:4" x14ac:dyDescent="0.3">
      <c r="A7685" s="4">
        <v>101293</v>
      </c>
      <c r="B7685" s="833" t="s">
        <v>11976</v>
      </c>
      <c r="C7685" s="4" t="s">
        <v>34</v>
      </c>
      <c r="D7685" s="834">
        <v>38.630000000000003</v>
      </c>
    </row>
    <row r="7686" spans="1:4" x14ac:dyDescent="0.3">
      <c r="A7686" s="4">
        <v>101294</v>
      </c>
      <c r="B7686" s="833" t="s">
        <v>11977</v>
      </c>
      <c r="C7686" s="4" t="s">
        <v>34</v>
      </c>
      <c r="D7686" s="834">
        <v>39.31</v>
      </c>
    </row>
    <row r="7687" spans="1:4" x14ac:dyDescent="0.3">
      <c r="A7687" s="4">
        <v>101295</v>
      </c>
      <c r="B7687" s="833" t="s">
        <v>11978</v>
      </c>
      <c r="C7687" s="4" t="s">
        <v>34</v>
      </c>
      <c r="D7687" s="834">
        <v>32.159999999999997</v>
      </c>
    </row>
    <row r="7688" spans="1:4" x14ac:dyDescent="0.3">
      <c r="A7688" s="4">
        <v>101296</v>
      </c>
      <c r="B7688" s="833" t="s">
        <v>11979</v>
      </c>
      <c r="C7688" s="4" t="s">
        <v>34</v>
      </c>
      <c r="D7688" s="834">
        <v>42.17</v>
      </c>
    </row>
    <row r="7689" spans="1:4" x14ac:dyDescent="0.3">
      <c r="A7689" s="4">
        <v>101297</v>
      </c>
      <c r="B7689" s="833" t="s">
        <v>11980</v>
      </c>
      <c r="C7689" s="4" t="s">
        <v>34</v>
      </c>
      <c r="D7689" s="834">
        <v>41.72</v>
      </c>
    </row>
    <row r="7690" spans="1:4" x14ac:dyDescent="0.3">
      <c r="A7690" s="4">
        <v>101298</v>
      </c>
      <c r="B7690" s="833" t="s">
        <v>11981</v>
      </c>
      <c r="C7690" s="4" t="s">
        <v>34</v>
      </c>
      <c r="D7690" s="834">
        <v>27.06</v>
      </c>
    </row>
    <row r="7691" spans="1:4" x14ac:dyDescent="0.3">
      <c r="A7691" s="4">
        <v>101299</v>
      </c>
      <c r="B7691" s="833" t="s">
        <v>11982</v>
      </c>
      <c r="C7691" s="4" t="s">
        <v>34</v>
      </c>
      <c r="D7691" s="834">
        <v>34.6</v>
      </c>
    </row>
    <row r="7692" spans="1:4" x14ac:dyDescent="0.3">
      <c r="A7692" s="4">
        <v>101300</v>
      </c>
      <c r="B7692" s="833" t="s">
        <v>11983</v>
      </c>
      <c r="C7692" s="4" t="s">
        <v>34</v>
      </c>
      <c r="D7692" s="834">
        <v>25.54</v>
      </c>
    </row>
    <row r="7693" spans="1:4" x14ac:dyDescent="0.3">
      <c r="A7693" s="4">
        <v>101301</v>
      </c>
      <c r="B7693" s="833" t="s">
        <v>2523</v>
      </c>
      <c r="C7693" s="4" t="s">
        <v>34</v>
      </c>
      <c r="D7693" s="834">
        <v>12.52</v>
      </c>
    </row>
    <row r="7694" spans="1:4" x14ac:dyDescent="0.3">
      <c r="A7694" s="4">
        <v>101302</v>
      </c>
      <c r="B7694" s="833" t="s">
        <v>11984</v>
      </c>
      <c r="C7694" s="4" t="s">
        <v>34</v>
      </c>
      <c r="D7694" s="834">
        <v>40.31</v>
      </c>
    </row>
    <row r="7695" spans="1:4" x14ac:dyDescent="0.3">
      <c r="A7695" s="4">
        <v>101303</v>
      </c>
      <c r="B7695" s="833" t="s">
        <v>11985</v>
      </c>
      <c r="C7695" s="4" t="s">
        <v>34</v>
      </c>
      <c r="D7695" s="834">
        <v>87.52</v>
      </c>
    </row>
    <row r="7696" spans="1:4" x14ac:dyDescent="0.3">
      <c r="A7696" s="4">
        <v>101304</v>
      </c>
      <c r="B7696" s="833" t="s">
        <v>11986</v>
      </c>
      <c r="C7696" s="4" t="s">
        <v>34</v>
      </c>
      <c r="D7696" s="834">
        <v>49.4</v>
      </c>
    </row>
    <row r="7697" spans="1:4" x14ac:dyDescent="0.3">
      <c r="A7697" s="4">
        <v>101305</v>
      </c>
      <c r="B7697" s="833" t="s">
        <v>11987</v>
      </c>
      <c r="C7697" s="4" t="s">
        <v>34</v>
      </c>
      <c r="D7697" s="834">
        <v>42.8</v>
      </c>
    </row>
    <row r="7698" spans="1:4" x14ac:dyDescent="0.3">
      <c r="A7698" s="4">
        <v>101307</v>
      </c>
      <c r="B7698" s="833" t="s">
        <v>11988</v>
      </c>
      <c r="C7698" s="4" t="s">
        <v>34</v>
      </c>
      <c r="D7698" s="834">
        <v>34.99</v>
      </c>
    </row>
    <row r="7699" spans="1:4" x14ac:dyDescent="0.3">
      <c r="A7699" s="4">
        <v>101308</v>
      </c>
      <c r="B7699" s="833" t="s">
        <v>11989</v>
      </c>
      <c r="C7699" s="4" t="s">
        <v>34</v>
      </c>
      <c r="D7699" s="834">
        <v>31.14</v>
      </c>
    </row>
    <row r="7700" spans="1:4" x14ac:dyDescent="0.3">
      <c r="A7700" s="4">
        <v>101309</v>
      </c>
      <c r="B7700" s="833" t="s">
        <v>11990</v>
      </c>
      <c r="C7700" s="4" t="s">
        <v>34</v>
      </c>
      <c r="D7700" s="834">
        <v>34.6</v>
      </c>
    </row>
    <row r="7701" spans="1:4" x14ac:dyDescent="0.3">
      <c r="A7701" s="4">
        <v>101310</v>
      </c>
      <c r="B7701" s="833" t="s">
        <v>11991</v>
      </c>
      <c r="C7701" s="4" t="s">
        <v>34</v>
      </c>
      <c r="D7701" s="834">
        <v>46.51</v>
      </c>
    </row>
    <row r="7702" spans="1:4" x14ac:dyDescent="0.3">
      <c r="A7702" s="4">
        <v>101311</v>
      </c>
      <c r="B7702" s="833" t="s">
        <v>11992</v>
      </c>
      <c r="C7702" s="4" t="s">
        <v>34</v>
      </c>
      <c r="D7702" s="834">
        <v>38.630000000000003</v>
      </c>
    </row>
    <row r="7703" spans="1:4" x14ac:dyDescent="0.3">
      <c r="A7703" s="4">
        <v>101312</v>
      </c>
      <c r="B7703" s="833" t="s">
        <v>11993</v>
      </c>
      <c r="C7703" s="4" t="s">
        <v>34</v>
      </c>
      <c r="D7703" s="834">
        <v>31.38</v>
      </c>
    </row>
    <row r="7704" spans="1:4" x14ac:dyDescent="0.3">
      <c r="A7704" s="4">
        <v>101313</v>
      </c>
      <c r="B7704" s="833" t="s">
        <v>11994</v>
      </c>
      <c r="C7704" s="4" t="s">
        <v>34</v>
      </c>
      <c r="D7704" s="834">
        <v>124.92</v>
      </c>
    </row>
    <row r="7705" spans="1:4" x14ac:dyDescent="0.3">
      <c r="A7705" s="4">
        <v>101315</v>
      </c>
      <c r="B7705" s="833" t="s">
        <v>11995</v>
      </c>
      <c r="C7705" s="4" t="s">
        <v>34</v>
      </c>
      <c r="D7705" s="834">
        <v>134.16</v>
      </c>
    </row>
    <row r="7706" spans="1:4" x14ac:dyDescent="0.3">
      <c r="A7706" s="4">
        <v>101316</v>
      </c>
      <c r="B7706" s="833" t="s">
        <v>11996</v>
      </c>
      <c r="C7706" s="4" t="s">
        <v>34</v>
      </c>
      <c r="D7706" s="834">
        <v>60.2</v>
      </c>
    </row>
    <row r="7707" spans="1:4" x14ac:dyDescent="0.3">
      <c r="A7707" s="4">
        <v>101320</v>
      </c>
      <c r="B7707" s="833" t="s">
        <v>11997</v>
      </c>
      <c r="C7707" s="4" t="s">
        <v>34</v>
      </c>
      <c r="D7707" s="834">
        <v>22.95</v>
      </c>
    </row>
    <row r="7708" spans="1:4" x14ac:dyDescent="0.3">
      <c r="A7708" s="4">
        <v>101322</v>
      </c>
      <c r="B7708" s="833" t="s">
        <v>11998</v>
      </c>
      <c r="C7708" s="4" t="s">
        <v>34</v>
      </c>
      <c r="D7708" s="834">
        <v>38.630000000000003</v>
      </c>
    </row>
    <row r="7709" spans="1:4" x14ac:dyDescent="0.3">
      <c r="A7709" s="4">
        <v>101323</v>
      </c>
      <c r="B7709" s="833" t="s">
        <v>11999</v>
      </c>
      <c r="C7709" s="4" t="s">
        <v>34</v>
      </c>
      <c r="D7709" s="834">
        <v>70.97</v>
      </c>
    </row>
    <row r="7710" spans="1:4" x14ac:dyDescent="0.3">
      <c r="A7710" s="4">
        <v>101324</v>
      </c>
      <c r="B7710" s="833" t="s">
        <v>12000</v>
      </c>
      <c r="C7710" s="4" t="s">
        <v>34</v>
      </c>
      <c r="D7710" s="834">
        <v>17.690000000000001</v>
      </c>
    </row>
    <row r="7711" spans="1:4" x14ac:dyDescent="0.3">
      <c r="A7711" s="4">
        <v>101325</v>
      </c>
      <c r="B7711" s="833" t="s">
        <v>12001</v>
      </c>
      <c r="C7711" s="4" t="s">
        <v>34</v>
      </c>
      <c r="D7711" s="834">
        <v>38.57</v>
      </c>
    </row>
    <row r="7712" spans="1:4" x14ac:dyDescent="0.3">
      <c r="A7712" s="4">
        <v>101326</v>
      </c>
      <c r="B7712" s="833" t="s">
        <v>12002</v>
      </c>
      <c r="C7712" s="4" t="s">
        <v>34</v>
      </c>
      <c r="D7712" s="834">
        <v>14.65</v>
      </c>
    </row>
    <row r="7713" spans="1:4" x14ac:dyDescent="0.3">
      <c r="A7713" s="4">
        <v>101328</v>
      </c>
      <c r="B7713" s="833" t="s">
        <v>12003</v>
      </c>
      <c r="C7713" s="4" t="s">
        <v>34</v>
      </c>
      <c r="D7713" s="834">
        <v>21.17</v>
      </c>
    </row>
    <row r="7714" spans="1:4" x14ac:dyDescent="0.3">
      <c r="A7714" s="4">
        <v>101329</v>
      </c>
      <c r="B7714" s="833" t="s">
        <v>12004</v>
      </c>
      <c r="C7714" s="4" t="s">
        <v>34</v>
      </c>
      <c r="D7714" s="834">
        <v>58.69</v>
      </c>
    </row>
    <row r="7715" spans="1:4" x14ac:dyDescent="0.3">
      <c r="A7715" s="4">
        <v>101330</v>
      </c>
      <c r="B7715" s="833" t="s">
        <v>12005</v>
      </c>
      <c r="C7715" s="4" t="s">
        <v>34</v>
      </c>
      <c r="D7715" s="834">
        <v>45.78</v>
      </c>
    </row>
    <row r="7716" spans="1:4" x14ac:dyDescent="0.3">
      <c r="A7716" s="4">
        <v>101331</v>
      </c>
      <c r="B7716" s="833" t="s">
        <v>12006</v>
      </c>
      <c r="C7716" s="4" t="s">
        <v>34</v>
      </c>
      <c r="D7716" s="834">
        <v>49.4</v>
      </c>
    </row>
    <row r="7717" spans="1:4" x14ac:dyDescent="0.3">
      <c r="A7717" s="4">
        <v>101332</v>
      </c>
      <c r="B7717" s="833" t="s">
        <v>12007</v>
      </c>
      <c r="C7717" s="4" t="s">
        <v>34</v>
      </c>
      <c r="D7717" s="834">
        <v>15.24</v>
      </c>
    </row>
    <row r="7718" spans="1:4" x14ac:dyDescent="0.3">
      <c r="A7718" s="4">
        <v>101333</v>
      </c>
      <c r="B7718" s="833" t="s">
        <v>12008</v>
      </c>
      <c r="C7718" s="4" t="s">
        <v>34</v>
      </c>
      <c r="D7718" s="834">
        <v>35.270000000000003</v>
      </c>
    </row>
    <row r="7719" spans="1:4" x14ac:dyDescent="0.3">
      <c r="A7719" s="4">
        <v>101334</v>
      </c>
      <c r="B7719" s="833" t="s">
        <v>12009</v>
      </c>
      <c r="C7719" s="4" t="s">
        <v>34</v>
      </c>
      <c r="D7719" s="834">
        <v>98.98</v>
      </c>
    </row>
    <row r="7720" spans="1:4" x14ac:dyDescent="0.3">
      <c r="A7720" s="4">
        <v>101336</v>
      </c>
      <c r="B7720" s="833" t="s">
        <v>12010</v>
      </c>
      <c r="C7720" s="4" t="s">
        <v>34</v>
      </c>
      <c r="D7720" s="834">
        <v>57.95</v>
      </c>
    </row>
    <row r="7721" spans="1:4" x14ac:dyDescent="0.3">
      <c r="A7721" s="4">
        <v>101337</v>
      </c>
      <c r="B7721" s="833" t="s">
        <v>12011</v>
      </c>
      <c r="C7721" s="4" t="s">
        <v>34</v>
      </c>
      <c r="D7721" s="834">
        <v>19.489999999999998</v>
      </c>
    </row>
    <row r="7722" spans="1:4" x14ac:dyDescent="0.3">
      <c r="A7722" s="4">
        <v>101338</v>
      </c>
      <c r="B7722" s="833" t="s">
        <v>12012</v>
      </c>
      <c r="C7722" s="4" t="s">
        <v>34</v>
      </c>
      <c r="D7722" s="834">
        <v>24.86</v>
      </c>
    </row>
    <row r="7723" spans="1:4" x14ac:dyDescent="0.3">
      <c r="A7723" s="4">
        <v>101339</v>
      </c>
      <c r="B7723" s="833" t="s">
        <v>12013</v>
      </c>
      <c r="C7723" s="4" t="s">
        <v>34</v>
      </c>
      <c r="D7723" s="834">
        <v>22.97</v>
      </c>
    </row>
    <row r="7724" spans="1:4" x14ac:dyDescent="0.3">
      <c r="A7724" s="4">
        <v>101340</v>
      </c>
      <c r="B7724" s="833" t="s">
        <v>12014</v>
      </c>
      <c r="C7724" s="4" t="s">
        <v>34</v>
      </c>
      <c r="D7724" s="834">
        <v>22.95</v>
      </c>
    </row>
    <row r="7725" spans="1:4" x14ac:dyDescent="0.3">
      <c r="A7725" s="4">
        <v>101341</v>
      </c>
      <c r="B7725" s="833" t="s">
        <v>12015</v>
      </c>
      <c r="C7725" s="4" t="s">
        <v>34</v>
      </c>
      <c r="D7725" s="834">
        <v>19.100000000000001</v>
      </c>
    </row>
    <row r="7726" spans="1:4" x14ac:dyDescent="0.3">
      <c r="A7726" s="4">
        <v>101342</v>
      </c>
      <c r="B7726" s="833" t="s">
        <v>12016</v>
      </c>
      <c r="C7726" s="4" t="s">
        <v>34</v>
      </c>
      <c r="D7726" s="834">
        <v>22.97</v>
      </c>
    </row>
    <row r="7727" spans="1:4" x14ac:dyDescent="0.3">
      <c r="A7727" s="4">
        <v>101343</v>
      </c>
      <c r="B7727" s="833" t="s">
        <v>12017</v>
      </c>
      <c r="C7727" s="4" t="s">
        <v>34</v>
      </c>
      <c r="D7727" s="834">
        <v>38.630000000000003</v>
      </c>
    </row>
    <row r="7728" spans="1:4" x14ac:dyDescent="0.3">
      <c r="A7728" s="4">
        <v>101344</v>
      </c>
      <c r="B7728" s="833" t="s">
        <v>12018</v>
      </c>
      <c r="C7728" s="4" t="s">
        <v>34</v>
      </c>
      <c r="D7728" s="834">
        <v>45.2</v>
      </c>
    </row>
    <row r="7729" spans="1:4" x14ac:dyDescent="0.3">
      <c r="A7729" s="4">
        <v>101345</v>
      </c>
      <c r="B7729" s="833" t="s">
        <v>12019</v>
      </c>
      <c r="C7729" s="4" t="s">
        <v>34</v>
      </c>
      <c r="D7729" s="834">
        <v>45.2</v>
      </c>
    </row>
    <row r="7730" spans="1:4" x14ac:dyDescent="0.3">
      <c r="A7730" s="4">
        <v>101346</v>
      </c>
      <c r="B7730" s="833" t="s">
        <v>12020</v>
      </c>
      <c r="C7730" s="4" t="s">
        <v>34</v>
      </c>
      <c r="D7730" s="834">
        <v>28.18</v>
      </c>
    </row>
    <row r="7731" spans="1:4" x14ac:dyDescent="0.3">
      <c r="A7731" s="4">
        <v>101347</v>
      </c>
      <c r="B7731" s="833" t="s">
        <v>12021</v>
      </c>
      <c r="C7731" s="4" t="s">
        <v>34</v>
      </c>
      <c r="D7731" s="834">
        <v>31.86</v>
      </c>
    </row>
    <row r="7732" spans="1:4" x14ac:dyDescent="0.3">
      <c r="A7732" s="4">
        <v>101348</v>
      </c>
      <c r="B7732" s="833" t="s">
        <v>12022</v>
      </c>
      <c r="C7732" s="4" t="s">
        <v>34</v>
      </c>
      <c r="D7732" s="834">
        <v>22.95</v>
      </c>
    </row>
    <row r="7733" spans="1:4" x14ac:dyDescent="0.3">
      <c r="A7733" s="4">
        <v>101349</v>
      </c>
      <c r="B7733" s="833" t="s">
        <v>12023</v>
      </c>
      <c r="C7733" s="4" t="s">
        <v>34</v>
      </c>
      <c r="D7733" s="834">
        <v>40.89</v>
      </c>
    </row>
    <row r="7734" spans="1:4" x14ac:dyDescent="0.3">
      <c r="A7734" s="4">
        <v>101350</v>
      </c>
      <c r="B7734" s="833" t="s">
        <v>12024</v>
      </c>
      <c r="C7734" s="4" t="s">
        <v>34</v>
      </c>
      <c r="D7734" s="834">
        <v>40.89</v>
      </c>
    </row>
    <row r="7735" spans="1:4" x14ac:dyDescent="0.3">
      <c r="A7735" s="4">
        <v>101351</v>
      </c>
      <c r="B7735" s="833" t="s">
        <v>12025</v>
      </c>
      <c r="C7735" s="4" t="s">
        <v>34</v>
      </c>
      <c r="D7735" s="834">
        <v>22.97</v>
      </c>
    </row>
    <row r="7736" spans="1:4" x14ac:dyDescent="0.3">
      <c r="A7736" s="4">
        <v>101352</v>
      </c>
      <c r="B7736" s="833" t="s">
        <v>12026</v>
      </c>
      <c r="C7736" s="4" t="s">
        <v>34</v>
      </c>
      <c r="D7736" s="834">
        <v>22.97</v>
      </c>
    </row>
    <row r="7737" spans="1:4" x14ac:dyDescent="0.3">
      <c r="A7737" s="4">
        <v>101353</v>
      </c>
      <c r="B7737" s="833" t="s">
        <v>12027</v>
      </c>
      <c r="C7737" s="4" t="s">
        <v>34</v>
      </c>
      <c r="D7737" s="834">
        <v>22.95</v>
      </c>
    </row>
    <row r="7738" spans="1:4" x14ac:dyDescent="0.3">
      <c r="A7738" s="4">
        <v>101355</v>
      </c>
      <c r="B7738" s="833" t="s">
        <v>12028</v>
      </c>
      <c r="C7738" s="4" t="s">
        <v>34</v>
      </c>
      <c r="D7738" s="834">
        <v>40.89</v>
      </c>
    </row>
    <row r="7739" spans="1:4" x14ac:dyDescent="0.3">
      <c r="A7739" s="4">
        <v>101356</v>
      </c>
      <c r="B7739" s="833" t="s">
        <v>12029</v>
      </c>
      <c r="C7739" s="4" t="s">
        <v>34</v>
      </c>
      <c r="D7739" s="834">
        <v>49.4</v>
      </c>
    </row>
    <row r="7740" spans="1:4" x14ac:dyDescent="0.3">
      <c r="A7740" s="4">
        <v>101357</v>
      </c>
      <c r="B7740" s="833" t="s">
        <v>3563</v>
      </c>
      <c r="C7740" s="4" t="s">
        <v>34</v>
      </c>
      <c r="D7740" s="834">
        <v>70.97</v>
      </c>
    </row>
    <row r="7741" spans="1:4" x14ac:dyDescent="0.3">
      <c r="A7741" s="4">
        <v>101358</v>
      </c>
      <c r="B7741" s="833" t="s">
        <v>12030</v>
      </c>
      <c r="C7741" s="4" t="s">
        <v>34</v>
      </c>
      <c r="D7741" s="834">
        <v>49.4</v>
      </c>
    </row>
    <row r="7742" spans="1:4" x14ac:dyDescent="0.3">
      <c r="A7742" s="4">
        <v>101359</v>
      </c>
      <c r="B7742" s="833" t="s">
        <v>12031</v>
      </c>
      <c r="C7742" s="4" t="s">
        <v>34</v>
      </c>
      <c r="D7742" s="834">
        <v>47.97</v>
      </c>
    </row>
    <row r="7743" spans="1:4" x14ac:dyDescent="0.3">
      <c r="A7743" s="4">
        <v>101360</v>
      </c>
      <c r="B7743" s="833" t="s">
        <v>12032</v>
      </c>
      <c r="C7743" s="4" t="s">
        <v>34</v>
      </c>
      <c r="D7743" s="834">
        <v>49.4</v>
      </c>
    </row>
    <row r="7744" spans="1:4" x14ac:dyDescent="0.3">
      <c r="A7744" s="4">
        <v>101361</v>
      </c>
      <c r="B7744" s="833" t="s">
        <v>12033</v>
      </c>
      <c r="C7744" s="4" t="s">
        <v>34</v>
      </c>
      <c r="D7744" s="834">
        <v>58.54</v>
      </c>
    </row>
    <row r="7745" spans="1:4" x14ac:dyDescent="0.3">
      <c r="A7745" s="4">
        <v>101363</v>
      </c>
      <c r="B7745" s="833" t="s">
        <v>12034</v>
      </c>
      <c r="C7745" s="4" t="s">
        <v>34</v>
      </c>
      <c r="D7745" s="834">
        <v>38.630000000000003</v>
      </c>
    </row>
    <row r="7746" spans="1:4" x14ac:dyDescent="0.3">
      <c r="A7746" s="4">
        <v>101364</v>
      </c>
      <c r="B7746" s="833" t="s">
        <v>3582</v>
      </c>
      <c r="C7746" s="4" t="s">
        <v>34</v>
      </c>
      <c r="D7746" s="834">
        <v>46.92</v>
      </c>
    </row>
    <row r="7747" spans="1:4" x14ac:dyDescent="0.3">
      <c r="A7747" s="4">
        <v>101365</v>
      </c>
      <c r="B7747" s="833" t="s">
        <v>12035</v>
      </c>
      <c r="C7747" s="4" t="s">
        <v>34</v>
      </c>
      <c r="D7747" s="834">
        <v>38.630000000000003</v>
      </c>
    </row>
    <row r="7748" spans="1:4" x14ac:dyDescent="0.3">
      <c r="A7748" s="4">
        <v>101366</v>
      </c>
      <c r="B7748" s="833" t="s">
        <v>12036</v>
      </c>
      <c r="C7748" s="4" t="s">
        <v>34</v>
      </c>
      <c r="D7748" s="834">
        <v>45.4</v>
      </c>
    </row>
    <row r="7749" spans="1:4" x14ac:dyDescent="0.3">
      <c r="A7749" s="4">
        <v>101368</v>
      </c>
      <c r="B7749" s="833" t="s">
        <v>12037</v>
      </c>
      <c r="C7749" s="4" t="s">
        <v>34</v>
      </c>
      <c r="D7749" s="834">
        <v>64.94</v>
      </c>
    </row>
    <row r="7750" spans="1:4" x14ac:dyDescent="0.3">
      <c r="A7750" s="4">
        <v>101369</v>
      </c>
      <c r="B7750" s="833" t="s">
        <v>12038</v>
      </c>
      <c r="C7750" s="4" t="s">
        <v>34</v>
      </c>
      <c r="D7750" s="834">
        <v>55.69</v>
      </c>
    </row>
    <row r="7751" spans="1:4" x14ac:dyDescent="0.3">
      <c r="A7751" s="4">
        <v>101370</v>
      </c>
      <c r="B7751" s="833" t="s">
        <v>12039</v>
      </c>
      <c r="C7751" s="4" t="s">
        <v>34</v>
      </c>
      <c r="D7751" s="834">
        <v>38.17</v>
      </c>
    </row>
    <row r="7752" spans="1:4" x14ac:dyDescent="0.3">
      <c r="A7752" s="4">
        <v>101371</v>
      </c>
      <c r="B7752" s="833" t="s">
        <v>12040</v>
      </c>
      <c r="C7752" s="4" t="s">
        <v>34</v>
      </c>
      <c r="D7752" s="834">
        <v>44.43</v>
      </c>
    </row>
    <row r="7753" spans="1:4" x14ac:dyDescent="0.3">
      <c r="A7753" s="4">
        <v>101372</v>
      </c>
      <c r="B7753" s="833" t="s">
        <v>2491</v>
      </c>
      <c r="C7753" s="4" t="s">
        <v>34</v>
      </c>
      <c r="D7753" s="834">
        <v>12</v>
      </c>
    </row>
    <row r="7754" spans="1:4" x14ac:dyDescent="0.3">
      <c r="A7754" s="4">
        <v>101374</v>
      </c>
      <c r="B7754" s="833" t="s">
        <v>3192</v>
      </c>
      <c r="C7754" s="4" t="s">
        <v>34</v>
      </c>
      <c r="D7754" s="834">
        <v>4396.5</v>
      </c>
    </row>
    <row r="7755" spans="1:4" x14ac:dyDescent="0.3">
      <c r="A7755" s="4">
        <v>101375</v>
      </c>
      <c r="B7755" s="833" t="s">
        <v>12041</v>
      </c>
      <c r="C7755" s="4" t="s">
        <v>34</v>
      </c>
      <c r="D7755" s="834">
        <v>4454.53</v>
      </c>
    </row>
    <row r="7756" spans="1:4" x14ac:dyDescent="0.3">
      <c r="A7756" s="4">
        <v>101376</v>
      </c>
      <c r="B7756" s="833" t="s">
        <v>12042</v>
      </c>
      <c r="C7756" s="4" t="s">
        <v>34</v>
      </c>
      <c r="D7756" s="834">
        <v>4170.92</v>
      </c>
    </row>
    <row r="7757" spans="1:4" x14ac:dyDescent="0.3">
      <c r="A7757" s="4">
        <v>101377</v>
      </c>
      <c r="B7757" s="833" t="s">
        <v>2791</v>
      </c>
      <c r="C7757" s="4" t="s">
        <v>34</v>
      </c>
      <c r="D7757" s="834">
        <v>4384.41</v>
      </c>
    </row>
    <row r="7758" spans="1:4" x14ac:dyDescent="0.3">
      <c r="A7758" s="4">
        <v>101378</v>
      </c>
      <c r="B7758" s="833" t="s">
        <v>11962</v>
      </c>
      <c r="C7758" s="4" t="s">
        <v>34</v>
      </c>
      <c r="D7758" s="834">
        <v>4712.2</v>
      </c>
    </row>
    <row r="7759" spans="1:4" x14ac:dyDescent="0.3">
      <c r="A7759" s="4">
        <v>101379</v>
      </c>
      <c r="B7759" s="833" t="s">
        <v>12043</v>
      </c>
      <c r="C7759" s="4" t="s">
        <v>34</v>
      </c>
      <c r="D7759" s="834">
        <v>4396.5</v>
      </c>
    </row>
    <row r="7760" spans="1:4" x14ac:dyDescent="0.3">
      <c r="A7760" s="4">
        <v>101380</v>
      </c>
      <c r="B7760" s="833" t="s">
        <v>11857</v>
      </c>
      <c r="C7760" s="4" t="s">
        <v>34</v>
      </c>
      <c r="D7760" s="834">
        <v>4360.8100000000004</v>
      </c>
    </row>
    <row r="7761" spans="1:4" x14ac:dyDescent="0.3">
      <c r="A7761" s="4">
        <v>101381</v>
      </c>
      <c r="B7761" s="833" t="s">
        <v>3033</v>
      </c>
      <c r="C7761" s="4" t="s">
        <v>34</v>
      </c>
      <c r="D7761" s="834">
        <v>5571.96</v>
      </c>
    </row>
    <row r="7762" spans="1:4" x14ac:dyDescent="0.3">
      <c r="A7762" s="4">
        <v>101382</v>
      </c>
      <c r="B7762" s="833" t="s">
        <v>12044</v>
      </c>
      <c r="C7762" s="4" t="s">
        <v>34</v>
      </c>
      <c r="D7762" s="834">
        <v>4553.24</v>
      </c>
    </row>
    <row r="7763" spans="1:4" x14ac:dyDescent="0.3">
      <c r="A7763" s="4">
        <v>101383</v>
      </c>
      <c r="B7763" s="833" t="s">
        <v>11963</v>
      </c>
      <c r="C7763" s="4" t="s">
        <v>34</v>
      </c>
      <c r="D7763" s="834">
        <v>4209.3999999999996</v>
      </c>
    </row>
    <row r="7764" spans="1:4" x14ac:dyDescent="0.3">
      <c r="A7764" s="4">
        <v>101384</v>
      </c>
      <c r="B7764" s="833" t="s">
        <v>3240</v>
      </c>
      <c r="C7764" s="4" t="s">
        <v>34</v>
      </c>
      <c r="D7764" s="834">
        <v>4281.53</v>
      </c>
    </row>
    <row r="7765" spans="1:4" x14ac:dyDescent="0.3">
      <c r="A7765" s="4">
        <v>101385</v>
      </c>
      <c r="B7765" s="833" t="s">
        <v>12045</v>
      </c>
      <c r="C7765" s="4" t="s">
        <v>34</v>
      </c>
      <c r="D7765" s="834">
        <v>6287.27</v>
      </c>
    </row>
    <row r="7766" spans="1:4" x14ac:dyDescent="0.3">
      <c r="A7766" s="4">
        <v>101386</v>
      </c>
      <c r="B7766" s="833" t="s">
        <v>11859</v>
      </c>
      <c r="C7766" s="4" t="s">
        <v>34</v>
      </c>
      <c r="D7766" s="834">
        <v>4170.92</v>
      </c>
    </row>
    <row r="7767" spans="1:4" x14ac:dyDescent="0.3">
      <c r="A7767" s="4">
        <v>101387</v>
      </c>
      <c r="B7767" s="833" t="s">
        <v>12046</v>
      </c>
      <c r="C7767" s="4" t="s">
        <v>34</v>
      </c>
      <c r="D7767" s="834">
        <v>4404.04</v>
      </c>
    </row>
    <row r="7768" spans="1:4" x14ac:dyDescent="0.3">
      <c r="A7768" s="4">
        <v>101388</v>
      </c>
      <c r="B7768" s="833" t="s">
        <v>2789</v>
      </c>
      <c r="C7768" s="4" t="s">
        <v>34</v>
      </c>
      <c r="D7768" s="834">
        <v>4218.4799999999996</v>
      </c>
    </row>
    <row r="7769" spans="1:4" x14ac:dyDescent="0.3">
      <c r="A7769" s="4">
        <v>101389</v>
      </c>
      <c r="B7769" s="833" t="s">
        <v>75</v>
      </c>
      <c r="C7769" s="4" t="s">
        <v>34</v>
      </c>
      <c r="D7769" s="834">
        <v>2166.77</v>
      </c>
    </row>
    <row r="7770" spans="1:4" x14ac:dyDescent="0.3">
      <c r="A7770" s="4">
        <v>101390</v>
      </c>
      <c r="B7770" s="833" t="s">
        <v>12047</v>
      </c>
      <c r="C7770" s="4" t="s">
        <v>34</v>
      </c>
      <c r="D7770" s="834">
        <v>6072.73</v>
      </c>
    </row>
    <row r="7771" spans="1:4" x14ac:dyDescent="0.3">
      <c r="A7771" s="4">
        <v>101391</v>
      </c>
      <c r="B7771" s="833" t="s">
        <v>12048</v>
      </c>
      <c r="C7771" s="4" t="s">
        <v>34</v>
      </c>
      <c r="D7771" s="834">
        <v>5582.73</v>
      </c>
    </row>
    <row r="7772" spans="1:4" x14ac:dyDescent="0.3">
      <c r="A7772" s="4">
        <v>101392</v>
      </c>
      <c r="B7772" s="833" t="s">
        <v>12049</v>
      </c>
      <c r="C7772" s="4" t="s">
        <v>34</v>
      </c>
      <c r="D7772" s="834">
        <v>4226.96</v>
      </c>
    </row>
    <row r="7773" spans="1:4" x14ac:dyDescent="0.3">
      <c r="A7773" s="4">
        <v>101394</v>
      </c>
      <c r="B7773" s="833" t="s">
        <v>11864</v>
      </c>
      <c r="C7773" s="4" t="s">
        <v>34</v>
      </c>
      <c r="D7773" s="834">
        <v>5201.95</v>
      </c>
    </row>
    <row r="7774" spans="1:4" x14ac:dyDescent="0.3">
      <c r="A7774" s="4">
        <v>101395</v>
      </c>
      <c r="B7774" s="833" t="s">
        <v>12050</v>
      </c>
      <c r="C7774" s="4" t="s">
        <v>34</v>
      </c>
      <c r="D7774" s="834">
        <v>4377.71</v>
      </c>
    </row>
    <row r="7775" spans="1:4" x14ac:dyDescent="0.3">
      <c r="A7775" s="4">
        <v>101396</v>
      </c>
      <c r="B7775" s="833" t="s">
        <v>12051</v>
      </c>
      <c r="C7775" s="4" t="s">
        <v>34</v>
      </c>
      <c r="D7775" s="834">
        <v>5326.71</v>
      </c>
    </row>
    <row r="7776" spans="1:4" x14ac:dyDescent="0.3">
      <c r="A7776" s="4">
        <v>101397</v>
      </c>
      <c r="B7776" s="833" t="s">
        <v>2619</v>
      </c>
      <c r="C7776" s="4" t="s">
        <v>34</v>
      </c>
      <c r="D7776" s="834">
        <v>5545.63</v>
      </c>
    </row>
    <row r="7777" spans="1:4" x14ac:dyDescent="0.3">
      <c r="A7777" s="4">
        <v>101398</v>
      </c>
      <c r="B7777" s="833" t="s">
        <v>12052</v>
      </c>
      <c r="C7777" s="4" t="s">
        <v>34</v>
      </c>
      <c r="D7777" s="834">
        <v>4609.57</v>
      </c>
    </row>
    <row r="7778" spans="1:4" x14ac:dyDescent="0.3">
      <c r="A7778" s="4">
        <v>101399</v>
      </c>
      <c r="B7778" s="833" t="s">
        <v>2767</v>
      </c>
      <c r="C7778" s="4" t="s">
        <v>34</v>
      </c>
      <c r="D7778" s="834">
        <v>5655.83</v>
      </c>
    </row>
    <row r="7779" spans="1:4" x14ac:dyDescent="0.3">
      <c r="A7779" s="4">
        <v>101401</v>
      </c>
      <c r="B7779" s="833" t="s">
        <v>11866</v>
      </c>
      <c r="C7779" s="4" t="s">
        <v>34</v>
      </c>
      <c r="D7779" s="834">
        <v>6824.04</v>
      </c>
    </row>
    <row r="7780" spans="1:4" x14ac:dyDescent="0.3">
      <c r="A7780" s="4">
        <v>101402</v>
      </c>
      <c r="B7780" s="833" t="s">
        <v>2787</v>
      </c>
      <c r="C7780" s="4" t="s">
        <v>34</v>
      </c>
      <c r="D7780" s="834">
        <v>5463.45</v>
      </c>
    </row>
    <row r="7781" spans="1:4" x14ac:dyDescent="0.3">
      <c r="A7781" s="4">
        <v>101407</v>
      </c>
      <c r="B7781" s="833" t="s">
        <v>11867</v>
      </c>
      <c r="C7781" s="4" t="s">
        <v>34</v>
      </c>
      <c r="D7781" s="834">
        <v>5571.96</v>
      </c>
    </row>
    <row r="7782" spans="1:4" x14ac:dyDescent="0.3">
      <c r="A7782" s="4">
        <v>101408</v>
      </c>
      <c r="B7782" s="833" t="s">
        <v>11868</v>
      </c>
      <c r="C7782" s="4" t="s">
        <v>34</v>
      </c>
      <c r="D7782" s="834">
        <v>5604.3</v>
      </c>
    </row>
    <row r="7783" spans="1:4" x14ac:dyDescent="0.3">
      <c r="A7783" s="4">
        <v>101409</v>
      </c>
      <c r="B7783" s="833" t="s">
        <v>12053</v>
      </c>
      <c r="C7783" s="4" t="s">
        <v>34</v>
      </c>
      <c r="D7783" s="834">
        <v>4494.21</v>
      </c>
    </row>
    <row r="7784" spans="1:4" x14ac:dyDescent="0.3">
      <c r="A7784" s="4">
        <v>101410</v>
      </c>
      <c r="B7784" s="833" t="s">
        <v>2602</v>
      </c>
      <c r="C7784" s="4" t="s">
        <v>34</v>
      </c>
      <c r="D7784" s="834">
        <v>5006.47</v>
      </c>
    </row>
    <row r="7785" spans="1:4" x14ac:dyDescent="0.3">
      <c r="A7785" s="4">
        <v>101412</v>
      </c>
      <c r="B7785" s="833" t="s">
        <v>12054</v>
      </c>
      <c r="C7785" s="4" t="s">
        <v>34</v>
      </c>
      <c r="D7785" s="834">
        <v>5675.83</v>
      </c>
    </row>
    <row r="7786" spans="1:4" x14ac:dyDescent="0.3">
      <c r="A7786" s="4">
        <v>101413</v>
      </c>
      <c r="B7786" s="833" t="s">
        <v>11870</v>
      </c>
      <c r="C7786" s="4" t="s">
        <v>34</v>
      </c>
      <c r="D7786" s="834">
        <v>5268.22</v>
      </c>
    </row>
    <row r="7787" spans="1:4" x14ac:dyDescent="0.3">
      <c r="A7787" s="4">
        <v>101414</v>
      </c>
      <c r="B7787" s="833" t="s">
        <v>12055</v>
      </c>
      <c r="C7787" s="4" t="s">
        <v>34</v>
      </c>
      <c r="D7787" s="834">
        <v>5582.73</v>
      </c>
    </row>
    <row r="7788" spans="1:4" x14ac:dyDescent="0.3">
      <c r="A7788" s="4">
        <v>101415</v>
      </c>
      <c r="B7788" s="833" t="s">
        <v>12056</v>
      </c>
      <c r="C7788" s="4" t="s">
        <v>34</v>
      </c>
      <c r="D7788" s="834">
        <v>6383.14</v>
      </c>
    </row>
    <row r="7789" spans="1:4" x14ac:dyDescent="0.3">
      <c r="A7789" s="4">
        <v>101416</v>
      </c>
      <c r="B7789" s="833" t="s">
        <v>11965</v>
      </c>
      <c r="C7789" s="4" t="s">
        <v>34</v>
      </c>
      <c r="D7789" s="834">
        <v>5898.71</v>
      </c>
    </row>
    <row r="7790" spans="1:4" x14ac:dyDescent="0.3">
      <c r="A7790" s="4">
        <v>101417</v>
      </c>
      <c r="B7790" s="833" t="s">
        <v>12057</v>
      </c>
      <c r="C7790" s="4" t="s">
        <v>34</v>
      </c>
      <c r="D7790" s="834">
        <v>5023.37</v>
      </c>
    </row>
    <row r="7791" spans="1:4" x14ac:dyDescent="0.3">
      <c r="A7791" s="4">
        <v>101418</v>
      </c>
      <c r="B7791" s="833" t="s">
        <v>12058</v>
      </c>
      <c r="C7791" s="4" t="s">
        <v>34</v>
      </c>
      <c r="D7791" s="834">
        <v>4585.1899999999996</v>
      </c>
    </row>
    <row r="7792" spans="1:4" x14ac:dyDescent="0.3">
      <c r="A7792" s="4">
        <v>101419</v>
      </c>
      <c r="B7792" s="833" t="s">
        <v>12059</v>
      </c>
      <c r="C7792" s="4" t="s">
        <v>34</v>
      </c>
      <c r="D7792" s="834">
        <v>4873.21</v>
      </c>
    </row>
    <row r="7793" spans="1:4" x14ac:dyDescent="0.3">
      <c r="A7793" s="4">
        <v>101420</v>
      </c>
      <c r="B7793" s="833" t="s">
        <v>12060</v>
      </c>
      <c r="C7793" s="4" t="s">
        <v>34</v>
      </c>
      <c r="D7793" s="834">
        <v>5477.81</v>
      </c>
    </row>
    <row r="7794" spans="1:4" x14ac:dyDescent="0.3">
      <c r="A7794" s="4">
        <v>101421</v>
      </c>
      <c r="B7794" s="833" t="s">
        <v>12061</v>
      </c>
      <c r="C7794" s="4" t="s">
        <v>34</v>
      </c>
      <c r="D7794" s="834">
        <v>6276.6</v>
      </c>
    </row>
    <row r="7795" spans="1:4" x14ac:dyDescent="0.3">
      <c r="A7795" s="4">
        <v>101422</v>
      </c>
      <c r="B7795" s="833" t="s">
        <v>12062</v>
      </c>
      <c r="C7795" s="4" t="s">
        <v>34</v>
      </c>
      <c r="D7795" s="834">
        <v>4917.12</v>
      </c>
    </row>
    <row r="7796" spans="1:4" x14ac:dyDescent="0.3">
      <c r="A7796" s="4">
        <v>101424</v>
      </c>
      <c r="B7796" s="833" t="s">
        <v>12063</v>
      </c>
      <c r="C7796" s="4" t="s">
        <v>34</v>
      </c>
      <c r="D7796" s="834">
        <v>5589.15</v>
      </c>
    </row>
    <row r="7797" spans="1:4" x14ac:dyDescent="0.3">
      <c r="A7797" s="4">
        <v>101425</v>
      </c>
      <c r="B7797" s="833" t="s">
        <v>12064</v>
      </c>
      <c r="C7797" s="4" t="s">
        <v>34</v>
      </c>
      <c r="D7797" s="834">
        <v>3147.47</v>
      </c>
    </row>
    <row r="7798" spans="1:4" x14ac:dyDescent="0.3">
      <c r="A7798" s="4">
        <v>101426</v>
      </c>
      <c r="B7798" s="833" t="s">
        <v>12065</v>
      </c>
      <c r="C7798" s="4" t="s">
        <v>34</v>
      </c>
      <c r="D7798" s="834">
        <v>4918.8500000000004</v>
      </c>
    </row>
    <row r="7799" spans="1:4" x14ac:dyDescent="0.3">
      <c r="A7799" s="4">
        <v>101427</v>
      </c>
      <c r="B7799" s="833" t="s">
        <v>11878</v>
      </c>
      <c r="C7799" s="4" t="s">
        <v>34</v>
      </c>
      <c r="D7799" s="834">
        <v>4652.41</v>
      </c>
    </row>
    <row r="7800" spans="1:4" x14ac:dyDescent="0.3">
      <c r="A7800" s="4">
        <v>101428</v>
      </c>
      <c r="B7800" s="833" t="s">
        <v>12066</v>
      </c>
      <c r="C7800" s="4" t="s">
        <v>34</v>
      </c>
      <c r="D7800" s="834">
        <v>4650.05</v>
      </c>
    </row>
    <row r="7801" spans="1:4" x14ac:dyDescent="0.3">
      <c r="A7801" s="4">
        <v>101429</v>
      </c>
      <c r="B7801" s="833" t="s">
        <v>12067</v>
      </c>
      <c r="C7801" s="4" t="s">
        <v>34</v>
      </c>
      <c r="D7801" s="834">
        <v>4107.82</v>
      </c>
    </row>
    <row r="7802" spans="1:4" x14ac:dyDescent="0.3">
      <c r="A7802" s="4">
        <v>101430</v>
      </c>
      <c r="B7802" s="833" t="s">
        <v>12068</v>
      </c>
      <c r="C7802" s="4" t="s">
        <v>34</v>
      </c>
      <c r="D7802" s="834">
        <v>4652.41</v>
      </c>
    </row>
    <row r="7803" spans="1:4" x14ac:dyDescent="0.3">
      <c r="A7803" s="4">
        <v>101431</v>
      </c>
      <c r="B7803" s="833" t="s">
        <v>3645</v>
      </c>
      <c r="C7803" s="4" t="s">
        <v>34</v>
      </c>
      <c r="D7803" s="834">
        <v>5346.38</v>
      </c>
    </row>
    <row r="7804" spans="1:4" x14ac:dyDescent="0.3">
      <c r="A7804" s="4">
        <v>101432</v>
      </c>
      <c r="B7804" s="833" t="s">
        <v>12069</v>
      </c>
      <c r="C7804" s="4" t="s">
        <v>34</v>
      </c>
      <c r="D7804" s="834">
        <v>4672.3</v>
      </c>
    </row>
    <row r="7805" spans="1:4" x14ac:dyDescent="0.3">
      <c r="A7805" s="4">
        <v>101433</v>
      </c>
      <c r="B7805" s="833" t="s">
        <v>3744</v>
      </c>
      <c r="C7805" s="4" t="s">
        <v>34</v>
      </c>
      <c r="D7805" s="834">
        <v>4672.3</v>
      </c>
    </row>
    <row r="7806" spans="1:4" x14ac:dyDescent="0.3">
      <c r="A7806" s="4">
        <v>101434</v>
      </c>
      <c r="B7806" s="833" t="s">
        <v>12070</v>
      </c>
      <c r="C7806" s="4" t="s">
        <v>34</v>
      </c>
      <c r="D7806" s="834">
        <v>4284.37</v>
      </c>
    </row>
    <row r="7807" spans="1:4" x14ac:dyDescent="0.3">
      <c r="A7807" s="4">
        <v>101435</v>
      </c>
      <c r="B7807" s="833" t="s">
        <v>12071</v>
      </c>
      <c r="C7807" s="4" t="s">
        <v>34</v>
      </c>
      <c r="D7807" s="834">
        <v>4658.96</v>
      </c>
    </row>
    <row r="7808" spans="1:4" x14ac:dyDescent="0.3">
      <c r="A7808" s="4">
        <v>101436</v>
      </c>
      <c r="B7808" s="833" t="s">
        <v>2895</v>
      </c>
      <c r="C7808" s="4" t="s">
        <v>34</v>
      </c>
      <c r="D7808" s="834">
        <v>4650.05</v>
      </c>
    </row>
    <row r="7809" spans="1:4" x14ac:dyDescent="0.3">
      <c r="A7809" s="4">
        <v>101437</v>
      </c>
      <c r="B7809" s="833" t="s">
        <v>12072</v>
      </c>
      <c r="C7809" s="4" t="s">
        <v>34</v>
      </c>
      <c r="D7809" s="834">
        <v>7174.09</v>
      </c>
    </row>
    <row r="7810" spans="1:4" x14ac:dyDescent="0.3">
      <c r="A7810" s="4">
        <v>101438</v>
      </c>
      <c r="B7810" s="833" t="s">
        <v>3808</v>
      </c>
      <c r="C7810" s="4" t="s">
        <v>34</v>
      </c>
      <c r="D7810" s="834">
        <v>7174.09</v>
      </c>
    </row>
    <row r="7811" spans="1:4" x14ac:dyDescent="0.3">
      <c r="A7811" s="4">
        <v>101439</v>
      </c>
      <c r="B7811" s="833" t="s">
        <v>3822</v>
      </c>
      <c r="C7811" s="4" t="s">
        <v>34</v>
      </c>
      <c r="D7811" s="834">
        <v>4652.41</v>
      </c>
    </row>
    <row r="7812" spans="1:4" x14ac:dyDescent="0.3">
      <c r="A7812" s="4">
        <v>101440</v>
      </c>
      <c r="B7812" s="833" t="s">
        <v>12073</v>
      </c>
      <c r="C7812" s="4" t="s">
        <v>34</v>
      </c>
      <c r="D7812" s="834">
        <v>4652.41</v>
      </c>
    </row>
    <row r="7813" spans="1:4" x14ac:dyDescent="0.3">
      <c r="A7813" s="4">
        <v>101441</v>
      </c>
      <c r="B7813" s="833" t="s">
        <v>3824</v>
      </c>
      <c r="C7813" s="4" t="s">
        <v>34</v>
      </c>
      <c r="D7813" s="834">
        <v>4650.05</v>
      </c>
    </row>
    <row r="7814" spans="1:4" x14ac:dyDescent="0.3">
      <c r="A7814" s="4">
        <v>101443</v>
      </c>
      <c r="B7814" s="833" t="s">
        <v>3826</v>
      </c>
      <c r="C7814" s="4" t="s">
        <v>34</v>
      </c>
      <c r="D7814" s="834">
        <v>7174.09</v>
      </c>
    </row>
    <row r="7815" spans="1:4" x14ac:dyDescent="0.3">
      <c r="A7815" s="4">
        <v>101444</v>
      </c>
      <c r="B7815" s="833" t="s">
        <v>11884</v>
      </c>
      <c r="C7815" s="4" t="s">
        <v>34</v>
      </c>
      <c r="D7815" s="834">
        <v>5582.73</v>
      </c>
    </row>
    <row r="7816" spans="1:4" x14ac:dyDescent="0.3">
      <c r="A7816" s="4">
        <v>101445</v>
      </c>
      <c r="B7816" s="833" t="s">
        <v>2758</v>
      </c>
      <c r="C7816" s="4" t="s">
        <v>34</v>
      </c>
      <c r="D7816" s="834">
        <v>5604.3</v>
      </c>
    </row>
    <row r="7817" spans="1:4" x14ac:dyDescent="0.3">
      <c r="A7817" s="4">
        <v>101446</v>
      </c>
      <c r="B7817" s="833" t="s">
        <v>3021</v>
      </c>
      <c r="C7817" s="4" t="s">
        <v>34</v>
      </c>
      <c r="D7817" s="834">
        <v>5890.89</v>
      </c>
    </row>
    <row r="7818" spans="1:4" x14ac:dyDescent="0.3">
      <c r="A7818" s="4">
        <v>101447</v>
      </c>
      <c r="B7818" s="833" t="s">
        <v>11885</v>
      </c>
      <c r="C7818" s="4" t="s">
        <v>34</v>
      </c>
      <c r="D7818" s="834">
        <v>5776.99</v>
      </c>
    </row>
    <row r="7819" spans="1:4" x14ac:dyDescent="0.3">
      <c r="A7819" s="4">
        <v>101448</v>
      </c>
      <c r="B7819" s="833" t="s">
        <v>11886</v>
      </c>
      <c r="C7819" s="4" t="s">
        <v>34</v>
      </c>
      <c r="D7819" s="834">
        <v>5890.89</v>
      </c>
    </row>
    <row r="7820" spans="1:4" x14ac:dyDescent="0.3">
      <c r="A7820" s="4">
        <v>101449</v>
      </c>
      <c r="B7820" s="833" t="s">
        <v>12074</v>
      </c>
      <c r="C7820" s="4" t="s">
        <v>34</v>
      </c>
      <c r="D7820" s="834">
        <v>4685.6400000000003</v>
      </c>
    </row>
    <row r="7821" spans="1:4" x14ac:dyDescent="0.3">
      <c r="A7821" s="4">
        <v>101451</v>
      </c>
      <c r="B7821" s="833" t="s">
        <v>3183</v>
      </c>
      <c r="C7821" s="4" t="s">
        <v>34</v>
      </c>
      <c r="D7821" s="834">
        <v>5571.96</v>
      </c>
    </row>
    <row r="7822" spans="1:4" x14ac:dyDescent="0.3">
      <c r="A7822" s="4">
        <v>101452</v>
      </c>
      <c r="B7822" s="833" t="s">
        <v>3238</v>
      </c>
      <c r="C7822" s="4" t="s">
        <v>34</v>
      </c>
      <c r="D7822" s="834">
        <v>4239.8599999999997</v>
      </c>
    </row>
    <row r="7823" spans="1:4" x14ac:dyDescent="0.3">
      <c r="A7823" s="4">
        <v>101453</v>
      </c>
      <c r="B7823" s="833" t="s">
        <v>2643</v>
      </c>
      <c r="C7823" s="4" t="s">
        <v>34</v>
      </c>
      <c r="D7823" s="834">
        <v>5753.58</v>
      </c>
    </row>
    <row r="7824" spans="1:4" x14ac:dyDescent="0.3">
      <c r="A7824" s="4">
        <v>101454</v>
      </c>
      <c r="B7824" s="833" t="s">
        <v>12075</v>
      </c>
      <c r="C7824" s="4" t="s">
        <v>34</v>
      </c>
      <c r="D7824" s="834">
        <v>6441.02</v>
      </c>
    </row>
    <row r="7825" spans="1:4" x14ac:dyDescent="0.3">
      <c r="A7825" s="4">
        <v>101456</v>
      </c>
      <c r="B7825" s="833" t="s">
        <v>12076</v>
      </c>
      <c r="C7825" s="4" t="s">
        <v>34</v>
      </c>
      <c r="D7825" s="834">
        <v>9553.2099999999991</v>
      </c>
    </row>
    <row r="7826" spans="1:4" x14ac:dyDescent="0.3">
      <c r="A7826" s="4">
        <v>101457</v>
      </c>
      <c r="B7826" s="833" t="s">
        <v>12077</v>
      </c>
      <c r="C7826" s="4" t="s">
        <v>34</v>
      </c>
      <c r="D7826" s="834">
        <v>7080.1</v>
      </c>
    </row>
    <row r="7827" spans="1:4" x14ac:dyDescent="0.3">
      <c r="A7827" s="4">
        <v>101458</v>
      </c>
      <c r="B7827" s="833" t="s">
        <v>12078</v>
      </c>
      <c r="C7827" s="4" t="s">
        <v>34</v>
      </c>
      <c r="D7827" s="834">
        <v>5498.97</v>
      </c>
    </row>
    <row r="7828" spans="1:4" x14ac:dyDescent="0.3">
      <c r="A7828" s="4">
        <v>101459</v>
      </c>
      <c r="B7828" s="833" t="s">
        <v>11890</v>
      </c>
      <c r="C7828" s="4" t="s">
        <v>34</v>
      </c>
      <c r="D7828" s="834">
        <v>5187.3100000000004</v>
      </c>
    </row>
    <row r="7829" spans="1:4" x14ac:dyDescent="0.3">
      <c r="A7829" s="4">
        <v>101460</v>
      </c>
      <c r="B7829" s="833" t="s">
        <v>54</v>
      </c>
      <c r="C7829" s="4" t="s">
        <v>34</v>
      </c>
      <c r="D7829" s="834">
        <v>4376.49</v>
      </c>
    </row>
    <row r="7830" spans="1:4" x14ac:dyDescent="0.3">
      <c r="A7830" s="4">
        <v>11270</v>
      </c>
      <c r="B7830" s="833" t="s">
        <v>12079</v>
      </c>
      <c r="C7830" s="4" t="s">
        <v>12080</v>
      </c>
      <c r="D7830" s="834">
        <v>2.82</v>
      </c>
    </row>
    <row r="7831" spans="1:4" x14ac:dyDescent="0.3">
      <c r="A7831" s="4">
        <v>412</v>
      </c>
      <c r="B7831" s="833" t="s">
        <v>12081</v>
      </c>
      <c r="C7831" s="4" t="s">
        <v>12080</v>
      </c>
      <c r="D7831" s="834">
        <v>1.02</v>
      </c>
    </row>
    <row r="7832" spans="1:4" x14ac:dyDescent="0.3">
      <c r="A7832" s="4">
        <v>414</v>
      </c>
      <c r="B7832" s="833" t="s">
        <v>12082</v>
      </c>
      <c r="C7832" s="4" t="s">
        <v>12080</v>
      </c>
      <c r="D7832" s="834">
        <v>0.06</v>
      </c>
    </row>
    <row r="7833" spans="1:4" x14ac:dyDescent="0.3">
      <c r="A7833" s="4">
        <v>410</v>
      </c>
      <c r="B7833" s="833" t="s">
        <v>12083</v>
      </c>
      <c r="C7833" s="4" t="s">
        <v>12080</v>
      </c>
      <c r="D7833" s="834">
        <v>0.15</v>
      </c>
    </row>
    <row r="7834" spans="1:4" x14ac:dyDescent="0.3">
      <c r="A7834" s="4">
        <v>411</v>
      </c>
      <c r="B7834" s="833" t="s">
        <v>12084</v>
      </c>
      <c r="C7834" s="4" t="s">
        <v>12080</v>
      </c>
      <c r="D7834" s="834">
        <v>0.2</v>
      </c>
    </row>
    <row r="7835" spans="1:4" x14ac:dyDescent="0.3">
      <c r="A7835" s="4">
        <v>408</v>
      </c>
      <c r="B7835" s="833" t="s">
        <v>12085</v>
      </c>
      <c r="C7835" s="4" t="s">
        <v>12080</v>
      </c>
      <c r="D7835" s="834">
        <v>0.99</v>
      </c>
    </row>
    <row r="7836" spans="1:4" x14ac:dyDescent="0.3">
      <c r="A7836" s="4">
        <v>39131</v>
      </c>
      <c r="B7836" s="833" t="s">
        <v>12086</v>
      </c>
      <c r="C7836" s="4" t="s">
        <v>12080</v>
      </c>
      <c r="D7836" s="834">
        <v>3.64</v>
      </c>
    </row>
    <row r="7837" spans="1:4" x14ac:dyDescent="0.3">
      <c r="A7837" s="4">
        <v>394</v>
      </c>
      <c r="B7837" s="833" t="s">
        <v>12087</v>
      </c>
      <c r="C7837" s="4" t="s">
        <v>12080</v>
      </c>
      <c r="D7837" s="834">
        <v>3.68</v>
      </c>
    </row>
    <row r="7838" spans="1:4" x14ac:dyDescent="0.3">
      <c r="A7838" s="4">
        <v>39130</v>
      </c>
      <c r="B7838" s="833" t="s">
        <v>12088</v>
      </c>
      <c r="C7838" s="4" t="s">
        <v>12080</v>
      </c>
      <c r="D7838" s="834">
        <v>3.32</v>
      </c>
    </row>
    <row r="7839" spans="1:4" x14ac:dyDescent="0.3">
      <c r="A7839" s="4">
        <v>395</v>
      </c>
      <c r="B7839" s="833" t="s">
        <v>12089</v>
      </c>
      <c r="C7839" s="4" t="s">
        <v>12080</v>
      </c>
      <c r="D7839" s="834">
        <v>3.55</v>
      </c>
    </row>
    <row r="7840" spans="1:4" x14ac:dyDescent="0.3">
      <c r="A7840" s="4">
        <v>39127</v>
      </c>
      <c r="B7840" s="833" t="s">
        <v>12090</v>
      </c>
      <c r="C7840" s="4" t="s">
        <v>12080</v>
      </c>
      <c r="D7840" s="834">
        <v>1.75</v>
      </c>
    </row>
    <row r="7841" spans="1:4" x14ac:dyDescent="0.3">
      <c r="A7841" s="4">
        <v>392</v>
      </c>
      <c r="B7841" s="833" t="s">
        <v>12091</v>
      </c>
      <c r="C7841" s="4" t="s">
        <v>12080</v>
      </c>
      <c r="D7841" s="834">
        <v>1.79</v>
      </c>
    </row>
    <row r="7842" spans="1:4" x14ac:dyDescent="0.3">
      <c r="A7842" s="4">
        <v>39129</v>
      </c>
      <c r="B7842" s="833" t="s">
        <v>12092</v>
      </c>
      <c r="C7842" s="4" t="s">
        <v>12080</v>
      </c>
      <c r="D7842" s="834">
        <v>2.04</v>
      </c>
    </row>
    <row r="7843" spans="1:4" x14ac:dyDescent="0.3">
      <c r="A7843" s="4">
        <v>393</v>
      </c>
      <c r="B7843" s="833" t="s">
        <v>12093</v>
      </c>
      <c r="C7843" s="4" t="s">
        <v>12080</v>
      </c>
      <c r="D7843" s="834">
        <v>2.14</v>
      </c>
    </row>
    <row r="7844" spans="1:4" x14ac:dyDescent="0.3">
      <c r="A7844" s="4">
        <v>39133</v>
      </c>
      <c r="B7844" s="833" t="s">
        <v>12094</v>
      </c>
      <c r="C7844" s="4" t="s">
        <v>12080</v>
      </c>
      <c r="D7844" s="834">
        <v>4.78</v>
      </c>
    </row>
    <row r="7845" spans="1:4" x14ac:dyDescent="0.3">
      <c r="A7845" s="4">
        <v>397</v>
      </c>
      <c r="B7845" s="833" t="s">
        <v>12095</v>
      </c>
      <c r="C7845" s="4" t="s">
        <v>12080</v>
      </c>
      <c r="D7845" s="834">
        <v>5.28</v>
      </c>
    </row>
    <row r="7846" spans="1:4" x14ac:dyDescent="0.3">
      <c r="A7846" s="4">
        <v>39132</v>
      </c>
      <c r="B7846" s="833" t="s">
        <v>12096</v>
      </c>
      <c r="C7846" s="4" t="s">
        <v>12080</v>
      </c>
      <c r="D7846" s="834">
        <v>3.82</v>
      </c>
    </row>
    <row r="7847" spans="1:4" x14ac:dyDescent="0.3">
      <c r="A7847" s="4">
        <v>396</v>
      </c>
      <c r="B7847" s="833" t="s">
        <v>12097</v>
      </c>
      <c r="C7847" s="4" t="s">
        <v>12080</v>
      </c>
      <c r="D7847" s="834">
        <v>4.09</v>
      </c>
    </row>
    <row r="7848" spans="1:4" x14ac:dyDescent="0.3">
      <c r="A7848" s="4">
        <v>39135</v>
      </c>
      <c r="B7848" s="833" t="s">
        <v>12098</v>
      </c>
      <c r="C7848" s="4" t="s">
        <v>12080</v>
      </c>
      <c r="D7848" s="834">
        <v>7.64</v>
      </c>
    </row>
    <row r="7849" spans="1:4" x14ac:dyDescent="0.3">
      <c r="A7849" s="4">
        <v>39128</v>
      </c>
      <c r="B7849" s="833" t="s">
        <v>12099</v>
      </c>
      <c r="C7849" s="4" t="s">
        <v>12080</v>
      </c>
      <c r="D7849" s="834">
        <v>1.91</v>
      </c>
    </row>
    <row r="7850" spans="1:4" x14ac:dyDescent="0.3">
      <c r="A7850" s="4">
        <v>400</v>
      </c>
      <c r="B7850" s="833" t="s">
        <v>12100</v>
      </c>
      <c r="C7850" s="4" t="s">
        <v>12080</v>
      </c>
      <c r="D7850" s="834">
        <v>1.86</v>
      </c>
    </row>
    <row r="7851" spans="1:4" x14ac:dyDescent="0.3">
      <c r="A7851" s="4">
        <v>39125</v>
      </c>
      <c r="B7851" s="833" t="s">
        <v>12101</v>
      </c>
      <c r="C7851" s="4" t="s">
        <v>12080</v>
      </c>
      <c r="D7851" s="834">
        <v>1.91</v>
      </c>
    </row>
    <row r="7852" spans="1:4" x14ac:dyDescent="0.3">
      <c r="A7852" s="4">
        <v>39134</v>
      </c>
      <c r="B7852" s="833" t="s">
        <v>12102</v>
      </c>
      <c r="C7852" s="4" t="s">
        <v>12080</v>
      </c>
      <c r="D7852" s="834">
        <v>6.37</v>
      </c>
    </row>
    <row r="7853" spans="1:4" x14ac:dyDescent="0.3">
      <c r="A7853" s="4">
        <v>398</v>
      </c>
      <c r="B7853" s="833" t="s">
        <v>12103</v>
      </c>
      <c r="C7853" s="4" t="s">
        <v>12080</v>
      </c>
      <c r="D7853" s="834">
        <v>5.87</v>
      </c>
    </row>
    <row r="7854" spans="1:4" x14ac:dyDescent="0.3">
      <c r="A7854" s="4">
        <v>39126</v>
      </c>
      <c r="B7854" s="833" t="s">
        <v>12104</v>
      </c>
      <c r="C7854" s="4" t="s">
        <v>12080</v>
      </c>
      <c r="D7854" s="834">
        <v>8.6</v>
      </c>
    </row>
    <row r="7855" spans="1:4" x14ac:dyDescent="0.3">
      <c r="A7855" s="4">
        <v>399</v>
      </c>
      <c r="B7855" s="833" t="s">
        <v>12105</v>
      </c>
      <c r="C7855" s="4" t="s">
        <v>12080</v>
      </c>
      <c r="D7855" s="834">
        <v>7.58</v>
      </c>
    </row>
    <row r="7856" spans="1:4" x14ac:dyDescent="0.3">
      <c r="A7856" s="4">
        <v>39158</v>
      </c>
      <c r="B7856" s="833" t="s">
        <v>12106</v>
      </c>
      <c r="C7856" s="4" t="s">
        <v>12080</v>
      </c>
      <c r="D7856" s="834">
        <v>20.350000000000001</v>
      </c>
    </row>
    <row r="7857" spans="1:4" x14ac:dyDescent="0.3">
      <c r="A7857" s="4">
        <v>39141</v>
      </c>
      <c r="B7857" s="833" t="s">
        <v>12107</v>
      </c>
      <c r="C7857" s="4" t="s">
        <v>12080</v>
      </c>
      <c r="D7857" s="834">
        <v>1.47</v>
      </c>
    </row>
    <row r="7858" spans="1:4" x14ac:dyDescent="0.3">
      <c r="A7858" s="4">
        <v>39140</v>
      </c>
      <c r="B7858" s="833" t="s">
        <v>12108</v>
      </c>
      <c r="C7858" s="4" t="s">
        <v>12080</v>
      </c>
      <c r="D7858" s="834">
        <v>1.34</v>
      </c>
    </row>
    <row r="7859" spans="1:4" x14ac:dyDescent="0.3">
      <c r="A7859" s="4">
        <v>39137</v>
      </c>
      <c r="B7859" s="833" t="s">
        <v>12109</v>
      </c>
      <c r="C7859" s="4" t="s">
        <v>12080</v>
      </c>
      <c r="D7859" s="834">
        <v>0.77</v>
      </c>
    </row>
    <row r="7860" spans="1:4" x14ac:dyDescent="0.3">
      <c r="A7860" s="4">
        <v>39139</v>
      </c>
      <c r="B7860" s="833" t="s">
        <v>12110</v>
      </c>
      <c r="C7860" s="4" t="s">
        <v>12080</v>
      </c>
      <c r="D7860" s="834">
        <v>1.1100000000000001</v>
      </c>
    </row>
    <row r="7861" spans="1:4" x14ac:dyDescent="0.3">
      <c r="A7861" s="4">
        <v>39143</v>
      </c>
      <c r="B7861" s="833" t="s">
        <v>12111</v>
      </c>
      <c r="C7861" s="4" t="s">
        <v>12080</v>
      </c>
      <c r="D7861" s="834">
        <v>3.05</v>
      </c>
    </row>
    <row r="7862" spans="1:4" x14ac:dyDescent="0.3">
      <c r="A7862" s="4">
        <v>39142</v>
      </c>
      <c r="B7862" s="833" t="s">
        <v>12112</v>
      </c>
      <c r="C7862" s="4" t="s">
        <v>12080</v>
      </c>
      <c r="D7862" s="834">
        <v>2.1800000000000002</v>
      </c>
    </row>
    <row r="7863" spans="1:4" x14ac:dyDescent="0.3">
      <c r="A7863" s="4">
        <v>39138</v>
      </c>
      <c r="B7863" s="833" t="s">
        <v>12113</v>
      </c>
      <c r="C7863" s="4" t="s">
        <v>12080</v>
      </c>
      <c r="D7863" s="834">
        <v>0.81</v>
      </c>
    </row>
    <row r="7864" spans="1:4" x14ac:dyDescent="0.3">
      <c r="A7864" s="4">
        <v>39136</v>
      </c>
      <c r="B7864" s="833" t="s">
        <v>12114</v>
      </c>
      <c r="C7864" s="4" t="s">
        <v>12080</v>
      </c>
      <c r="D7864" s="834">
        <v>0.54</v>
      </c>
    </row>
    <row r="7865" spans="1:4" x14ac:dyDescent="0.3">
      <c r="A7865" s="4">
        <v>39144</v>
      </c>
      <c r="B7865" s="833" t="s">
        <v>12115</v>
      </c>
      <c r="C7865" s="4" t="s">
        <v>12080</v>
      </c>
      <c r="D7865" s="834">
        <v>3.55</v>
      </c>
    </row>
    <row r="7866" spans="1:4" x14ac:dyDescent="0.3">
      <c r="A7866" s="4">
        <v>39145</v>
      </c>
      <c r="B7866" s="833" t="s">
        <v>12116</v>
      </c>
      <c r="C7866" s="4" t="s">
        <v>12080</v>
      </c>
      <c r="D7866" s="834">
        <v>5.85</v>
      </c>
    </row>
    <row r="7867" spans="1:4" x14ac:dyDescent="0.3">
      <c r="A7867" s="4">
        <v>12615</v>
      </c>
      <c r="B7867" s="833" t="s">
        <v>12117</v>
      </c>
      <c r="C7867" s="4" t="s">
        <v>12080</v>
      </c>
      <c r="D7867" s="834">
        <v>12.91</v>
      </c>
    </row>
    <row r="7868" spans="1:4" x14ac:dyDescent="0.3">
      <c r="A7868" s="4">
        <v>11927</v>
      </c>
      <c r="B7868" s="833" t="s">
        <v>12118</v>
      </c>
      <c r="C7868" s="4" t="s">
        <v>12080</v>
      </c>
      <c r="D7868" s="834">
        <v>8.41</v>
      </c>
    </row>
    <row r="7869" spans="1:4" x14ac:dyDescent="0.3">
      <c r="A7869" s="4">
        <v>11928</v>
      </c>
      <c r="B7869" s="833" t="s">
        <v>12119</v>
      </c>
      <c r="C7869" s="4" t="s">
        <v>12080</v>
      </c>
      <c r="D7869" s="834">
        <v>9.64</v>
      </c>
    </row>
    <row r="7870" spans="1:4" x14ac:dyDescent="0.3">
      <c r="A7870" s="4">
        <v>11929</v>
      </c>
      <c r="B7870" s="833" t="s">
        <v>12120</v>
      </c>
      <c r="C7870" s="4" t="s">
        <v>12080</v>
      </c>
      <c r="D7870" s="834">
        <v>14.91</v>
      </c>
    </row>
    <row r="7871" spans="1:4" x14ac:dyDescent="0.3">
      <c r="A7871" s="4">
        <v>36801</v>
      </c>
      <c r="B7871" s="833" t="s">
        <v>12121</v>
      </c>
      <c r="C7871" s="4" t="s">
        <v>12080</v>
      </c>
      <c r="D7871" s="834">
        <v>34.01</v>
      </c>
    </row>
    <row r="7872" spans="1:4" x14ac:dyDescent="0.3">
      <c r="A7872" s="4">
        <v>36246</v>
      </c>
      <c r="B7872" s="833" t="s">
        <v>12122</v>
      </c>
      <c r="C7872" s="4" t="s">
        <v>1803</v>
      </c>
      <c r="D7872" s="834">
        <v>2.95</v>
      </c>
    </row>
    <row r="7873" spans="1:4" x14ac:dyDescent="0.3">
      <c r="A7873" s="4">
        <v>37600</v>
      </c>
      <c r="B7873" s="833" t="s">
        <v>12123</v>
      </c>
      <c r="C7873" s="4" t="s">
        <v>12080</v>
      </c>
      <c r="D7873" s="834">
        <v>99.44</v>
      </c>
    </row>
    <row r="7874" spans="1:4" x14ac:dyDescent="0.3">
      <c r="A7874" s="4">
        <v>37599</v>
      </c>
      <c r="B7874" s="833" t="s">
        <v>12124</v>
      </c>
      <c r="C7874" s="4" t="s">
        <v>12080</v>
      </c>
      <c r="D7874" s="834">
        <v>92.56</v>
      </c>
    </row>
    <row r="7875" spans="1:4" x14ac:dyDescent="0.3">
      <c r="A7875" s="4">
        <v>1</v>
      </c>
      <c r="B7875" s="833" t="s">
        <v>12125</v>
      </c>
      <c r="C7875" s="4" t="s">
        <v>12126</v>
      </c>
      <c r="D7875" s="834">
        <v>95</v>
      </c>
    </row>
    <row r="7876" spans="1:4" x14ac:dyDescent="0.3">
      <c r="A7876" s="4">
        <v>3</v>
      </c>
      <c r="B7876" s="833" t="s">
        <v>12127</v>
      </c>
      <c r="C7876" s="4" t="s">
        <v>12128</v>
      </c>
      <c r="D7876" s="834">
        <v>15.03</v>
      </c>
    </row>
    <row r="7877" spans="1:4" x14ac:dyDescent="0.3">
      <c r="A7877" s="4">
        <v>43054</v>
      </c>
      <c r="B7877" s="833" t="s">
        <v>12129</v>
      </c>
      <c r="C7877" s="4" t="s">
        <v>12126</v>
      </c>
      <c r="D7877" s="834">
        <v>9.48</v>
      </c>
    </row>
    <row r="7878" spans="1:4" x14ac:dyDescent="0.3">
      <c r="A7878" s="4">
        <v>42402</v>
      </c>
      <c r="B7878" s="833" t="s">
        <v>12130</v>
      </c>
      <c r="C7878" s="4" t="s">
        <v>12126</v>
      </c>
      <c r="D7878" s="834">
        <v>9.06</v>
      </c>
    </row>
    <row r="7879" spans="1:4" x14ac:dyDescent="0.3">
      <c r="A7879" s="4">
        <v>42403</v>
      </c>
      <c r="B7879" s="833" t="s">
        <v>12131</v>
      </c>
      <c r="C7879" s="4" t="s">
        <v>12126</v>
      </c>
      <c r="D7879" s="834">
        <v>11.62</v>
      </c>
    </row>
    <row r="7880" spans="1:4" x14ac:dyDescent="0.3">
      <c r="A7880" s="4">
        <v>42404</v>
      </c>
      <c r="B7880" s="833" t="s">
        <v>12132</v>
      </c>
      <c r="C7880" s="4" t="s">
        <v>12126</v>
      </c>
      <c r="D7880" s="834">
        <v>11.55</v>
      </c>
    </row>
    <row r="7881" spans="1:4" x14ac:dyDescent="0.3">
      <c r="A7881" s="4">
        <v>42405</v>
      </c>
      <c r="B7881" s="833" t="s">
        <v>12133</v>
      </c>
      <c r="C7881" s="4" t="s">
        <v>12126</v>
      </c>
      <c r="D7881" s="834">
        <v>12.31</v>
      </c>
    </row>
    <row r="7882" spans="1:4" x14ac:dyDescent="0.3">
      <c r="A7882" s="4">
        <v>34341</v>
      </c>
      <c r="B7882" s="833" t="s">
        <v>12134</v>
      </c>
      <c r="C7882" s="4" t="s">
        <v>12126</v>
      </c>
      <c r="D7882" s="834">
        <v>10.68</v>
      </c>
    </row>
    <row r="7883" spans="1:4" x14ac:dyDescent="0.3">
      <c r="A7883" s="4">
        <v>43053</v>
      </c>
      <c r="B7883" s="833" t="s">
        <v>12135</v>
      </c>
      <c r="C7883" s="4" t="s">
        <v>12126</v>
      </c>
      <c r="D7883" s="834">
        <v>8.4600000000000009</v>
      </c>
    </row>
    <row r="7884" spans="1:4" x14ac:dyDescent="0.3">
      <c r="A7884" s="4">
        <v>43058</v>
      </c>
      <c r="B7884" s="833" t="s">
        <v>12136</v>
      </c>
      <c r="C7884" s="4" t="s">
        <v>12126</v>
      </c>
      <c r="D7884" s="834">
        <v>8.7799999999999994</v>
      </c>
    </row>
    <row r="7885" spans="1:4" x14ac:dyDescent="0.3">
      <c r="A7885" s="4">
        <v>34</v>
      </c>
      <c r="B7885" s="833" t="s">
        <v>12137</v>
      </c>
      <c r="C7885" s="4" t="s">
        <v>12126</v>
      </c>
      <c r="D7885" s="834">
        <v>8.82</v>
      </c>
    </row>
    <row r="7886" spans="1:4" x14ac:dyDescent="0.3">
      <c r="A7886" s="4">
        <v>43055</v>
      </c>
      <c r="B7886" s="833" t="s">
        <v>12138</v>
      </c>
      <c r="C7886" s="4" t="s">
        <v>12126</v>
      </c>
      <c r="D7886" s="834">
        <v>7.64</v>
      </c>
    </row>
    <row r="7887" spans="1:4" x14ac:dyDescent="0.3">
      <c r="A7887" s="4">
        <v>43056</v>
      </c>
      <c r="B7887" s="833" t="s">
        <v>12139</v>
      </c>
      <c r="C7887" s="4" t="s">
        <v>12126</v>
      </c>
      <c r="D7887" s="834">
        <v>8.81</v>
      </c>
    </row>
    <row r="7888" spans="1:4" x14ac:dyDescent="0.3">
      <c r="A7888" s="4">
        <v>43057</v>
      </c>
      <c r="B7888" s="833" t="s">
        <v>12140</v>
      </c>
      <c r="C7888" s="4" t="s">
        <v>12126</v>
      </c>
      <c r="D7888" s="834">
        <v>9.68</v>
      </c>
    </row>
    <row r="7889" spans="1:4" x14ac:dyDescent="0.3">
      <c r="A7889" s="4">
        <v>34449</v>
      </c>
      <c r="B7889" s="833" t="s">
        <v>12141</v>
      </c>
      <c r="C7889" s="4" t="s">
        <v>12126</v>
      </c>
      <c r="D7889" s="834">
        <v>10.35</v>
      </c>
    </row>
    <row r="7890" spans="1:4" x14ac:dyDescent="0.3">
      <c r="A7890" s="4">
        <v>32</v>
      </c>
      <c r="B7890" s="833" t="s">
        <v>12142</v>
      </c>
      <c r="C7890" s="4" t="s">
        <v>12126</v>
      </c>
      <c r="D7890" s="834">
        <v>9.3000000000000007</v>
      </c>
    </row>
    <row r="7891" spans="1:4" x14ac:dyDescent="0.3">
      <c r="A7891" s="4">
        <v>33</v>
      </c>
      <c r="B7891" s="833" t="s">
        <v>12143</v>
      </c>
      <c r="C7891" s="4" t="s">
        <v>12126</v>
      </c>
      <c r="D7891" s="834">
        <v>9.36</v>
      </c>
    </row>
    <row r="7892" spans="1:4" x14ac:dyDescent="0.3">
      <c r="A7892" s="4">
        <v>43061</v>
      </c>
      <c r="B7892" s="833" t="s">
        <v>12144</v>
      </c>
      <c r="C7892" s="4" t="s">
        <v>12126</v>
      </c>
      <c r="D7892" s="834">
        <v>8.74</v>
      </c>
    </row>
    <row r="7893" spans="1:4" x14ac:dyDescent="0.3">
      <c r="A7893" s="4">
        <v>43059</v>
      </c>
      <c r="B7893" s="833" t="s">
        <v>12145</v>
      </c>
      <c r="C7893" s="4" t="s">
        <v>12126</v>
      </c>
      <c r="D7893" s="834">
        <v>8.35</v>
      </c>
    </row>
    <row r="7894" spans="1:4" x14ac:dyDescent="0.3">
      <c r="A7894" s="4">
        <v>43062</v>
      </c>
      <c r="B7894" s="833" t="s">
        <v>12146</v>
      </c>
      <c r="C7894" s="4" t="s">
        <v>12126</v>
      </c>
      <c r="D7894" s="834">
        <v>9.25</v>
      </c>
    </row>
    <row r="7895" spans="1:4" x14ac:dyDescent="0.3">
      <c r="A7895" s="4">
        <v>43060</v>
      </c>
      <c r="B7895" s="833" t="s">
        <v>12147</v>
      </c>
      <c r="C7895" s="4" t="s">
        <v>12126</v>
      </c>
      <c r="D7895" s="834">
        <v>7.27</v>
      </c>
    </row>
    <row r="7896" spans="1:4" x14ac:dyDescent="0.3">
      <c r="A7896" s="4">
        <v>40410</v>
      </c>
      <c r="B7896" s="833" t="s">
        <v>12148</v>
      </c>
      <c r="C7896" s="4" t="s">
        <v>12080</v>
      </c>
      <c r="D7896" s="834">
        <v>22.27</v>
      </c>
    </row>
    <row r="7897" spans="1:4" x14ac:dyDescent="0.3">
      <c r="A7897" s="4">
        <v>40411</v>
      </c>
      <c r="B7897" s="833" t="s">
        <v>12149</v>
      </c>
      <c r="C7897" s="4" t="s">
        <v>12080</v>
      </c>
      <c r="D7897" s="834">
        <v>24.17</v>
      </c>
    </row>
    <row r="7898" spans="1:4" x14ac:dyDescent="0.3">
      <c r="A7898" s="4">
        <v>40412</v>
      </c>
      <c r="B7898" s="833" t="s">
        <v>12150</v>
      </c>
      <c r="C7898" s="4" t="s">
        <v>12080</v>
      </c>
      <c r="D7898" s="834">
        <v>27.12</v>
      </c>
    </row>
    <row r="7899" spans="1:4" x14ac:dyDescent="0.3">
      <c r="A7899" s="4">
        <v>44254</v>
      </c>
      <c r="B7899" s="833" t="s">
        <v>12151</v>
      </c>
      <c r="C7899" s="4" t="s">
        <v>12080</v>
      </c>
      <c r="D7899" s="834">
        <v>29.12</v>
      </c>
    </row>
    <row r="7900" spans="1:4" x14ac:dyDescent="0.3">
      <c r="A7900" s="4">
        <v>44255</v>
      </c>
      <c r="B7900" s="833" t="s">
        <v>12152</v>
      </c>
      <c r="C7900" s="4" t="s">
        <v>12080</v>
      </c>
      <c r="D7900" s="834">
        <v>32.28</v>
      </c>
    </row>
    <row r="7901" spans="1:4" x14ac:dyDescent="0.3">
      <c r="A7901" s="4">
        <v>44256</v>
      </c>
      <c r="B7901" s="833" t="s">
        <v>12153</v>
      </c>
      <c r="C7901" s="4" t="s">
        <v>12080</v>
      </c>
      <c r="D7901" s="834">
        <v>36.450000000000003</v>
      </c>
    </row>
    <row r="7902" spans="1:4" x14ac:dyDescent="0.3">
      <c r="A7902" s="4">
        <v>44257</v>
      </c>
      <c r="B7902" s="833" t="s">
        <v>12154</v>
      </c>
      <c r="C7902" s="4" t="s">
        <v>12080</v>
      </c>
      <c r="D7902" s="834">
        <v>57.67</v>
      </c>
    </row>
    <row r="7903" spans="1:4" x14ac:dyDescent="0.3">
      <c r="A7903" s="4">
        <v>44258</v>
      </c>
      <c r="B7903" s="833" t="s">
        <v>12155</v>
      </c>
      <c r="C7903" s="4" t="s">
        <v>12080</v>
      </c>
      <c r="D7903" s="834">
        <v>65.91</v>
      </c>
    </row>
    <row r="7904" spans="1:4" x14ac:dyDescent="0.3">
      <c r="A7904" s="4">
        <v>44259</v>
      </c>
      <c r="B7904" s="833" t="s">
        <v>12156</v>
      </c>
      <c r="C7904" s="4" t="s">
        <v>12080</v>
      </c>
      <c r="D7904" s="834">
        <v>90.47</v>
      </c>
    </row>
    <row r="7905" spans="1:4" x14ac:dyDescent="0.3">
      <c r="A7905" s="4">
        <v>37997</v>
      </c>
      <c r="B7905" s="833" t="s">
        <v>12157</v>
      </c>
      <c r="C7905" s="4" t="s">
        <v>12080</v>
      </c>
      <c r="D7905" s="834">
        <v>17.350000000000001</v>
      </c>
    </row>
    <row r="7906" spans="1:4" x14ac:dyDescent="0.3">
      <c r="A7906" s="4">
        <v>37998</v>
      </c>
      <c r="B7906" s="833" t="s">
        <v>12158</v>
      </c>
      <c r="C7906" s="4" t="s">
        <v>12080</v>
      </c>
      <c r="D7906" s="834">
        <v>23.22</v>
      </c>
    </row>
    <row r="7907" spans="1:4" x14ac:dyDescent="0.3">
      <c r="A7907" s="4">
        <v>55</v>
      </c>
      <c r="B7907" s="833" t="s">
        <v>12159</v>
      </c>
      <c r="C7907" s="4" t="s">
        <v>12080</v>
      </c>
      <c r="D7907" s="834">
        <v>4.17</v>
      </c>
    </row>
    <row r="7908" spans="1:4" x14ac:dyDescent="0.3">
      <c r="A7908" s="4">
        <v>61</v>
      </c>
      <c r="B7908" s="833" t="s">
        <v>12160</v>
      </c>
      <c r="C7908" s="4" t="s">
        <v>12080</v>
      </c>
      <c r="D7908" s="834">
        <v>3.94</v>
      </c>
    </row>
    <row r="7909" spans="1:4" x14ac:dyDescent="0.3">
      <c r="A7909" s="4">
        <v>62</v>
      </c>
      <c r="B7909" s="833" t="s">
        <v>12161</v>
      </c>
      <c r="C7909" s="4" t="s">
        <v>12080</v>
      </c>
      <c r="D7909" s="834">
        <v>8.17</v>
      </c>
    </row>
    <row r="7910" spans="1:4" x14ac:dyDescent="0.3">
      <c r="A7910" s="4">
        <v>10899</v>
      </c>
      <c r="B7910" s="833" t="s">
        <v>12162</v>
      </c>
      <c r="C7910" s="4" t="s">
        <v>12080</v>
      </c>
      <c r="D7910" s="834">
        <v>95.13</v>
      </c>
    </row>
    <row r="7911" spans="1:4" x14ac:dyDescent="0.3">
      <c r="A7911" s="4">
        <v>10900</v>
      </c>
      <c r="B7911" s="833" t="s">
        <v>12163</v>
      </c>
      <c r="C7911" s="4" t="s">
        <v>12080</v>
      </c>
      <c r="D7911" s="834">
        <v>74.45</v>
      </c>
    </row>
    <row r="7912" spans="1:4" x14ac:dyDescent="0.3">
      <c r="A7912" s="4">
        <v>47</v>
      </c>
      <c r="B7912" s="833" t="s">
        <v>12164</v>
      </c>
      <c r="C7912" s="4" t="s">
        <v>12080</v>
      </c>
      <c r="D7912" s="834">
        <v>80.25</v>
      </c>
    </row>
    <row r="7913" spans="1:4" x14ac:dyDescent="0.3">
      <c r="A7913" s="4">
        <v>48</v>
      </c>
      <c r="B7913" s="833" t="s">
        <v>12165</v>
      </c>
      <c r="C7913" s="4" t="s">
        <v>12080</v>
      </c>
      <c r="D7913" s="834">
        <v>20.93</v>
      </c>
    </row>
    <row r="7914" spans="1:4" x14ac:dyDescent="0.3">
      <c r="A7914" s="4">
        <v>46</v>
      </c>
      <c r="B7914" s="833" t="s">
        <v>12166</v>
      </c>
      <c r="C7914" s="4" t="s">
        <v>12080</v>
      </c>
      <c r="D7914" s="834">
        <v>46.93</v>
      </c>
    </row>
    <row r="7915" spans="1:4" x14ac:dyDescent="0.3">
      <c r="A7915" s="4">
        <v>52</v>
      </c>
      <c r="B7915" s="833" t="s">
        <v>12167</v>
      </c>
      <c r="C7915" s="4" t="s">
        <v>12080</v>
      </c>
      <c r="D7915" s="834">
        <v>15.9</v>
      </c>
    </row>
    <row r="7916" spans="1:4" x14ac:dyDescent="0.3">
      <c r="A7916" s="4">
        <v>43</v>
      </c>
      <c r="B7916" s="833" t="s">
        <v>12168</v>
      </c>
      <c r="C7916" s="4" t="s">
        <v>12080</v>
      </c>
      <c r="D7916" s="834">
        <v>53.67</v>
      </c>
    </row>
    <row r="7917" spans="1:4" x14ac:dyDescent="0.3">
      <c r="A7917" s="4">
        <v>103</v>
      </c>
      <c r="B7917" s="833" t="s">
        <v>12169</v>
      </c>
      <c r="C7917" s="4" t="s">
        <v>12080</v>
      </c>
      <c r="D7917" s="834">
        <v>45.1</v>
      </c>
    </row>
    <row r="7918" spans="1:4" x14ac:dyDescent="0.3">
      <c r="A7918" s="4">
        <v>107</v>
      </c>
      <c r="B7918" s="833" t="s">
        <v>12170</v>
      </c>
      <c r="C7918" s="4" t="s">
        <v>12080</v>
      </c>
      <c r="D7918" s="834">
        <v>0.85</v>
      </c>
    </row>
    <row r="7919" spans="1:4" x14ac:dyDescent="0.3">
      <c r="A7919" s="4">
        <v>65</v>
      </c>
      <c r="B7919" s="833" t="s">
        <v>12171</v>
      </c>
      <c r="C7919" s="4" t="s">
        <v>12080</v>
      </c>
      <c r="D7919" s="834">
        <v>0.93</v>
      </c>
    </row>
    <row r="7920" spans="1:4" x14ac:dyDescent="0.3">
      <c r="A7920" s="4">
        <v>108</v>
      </c>
      <c r="B7920" s="833" t="s">
        <v>12172</v>
      </c>
      <c r="C7920" s="4" t="s">
        <v>12080</v>
      </c>
      <c r="D7920" s="834">
        <v>1.87</v>
      </c>
    </row>
    <row r="7921" spans="1:4" x14ac:dyDescent="0.3">
      <c r="A7921" s="4">
        <v>110</v>
      </c>
      <c r="B7921" s="833" t="s">
        <v>12173</v>
      </c>
      <c r="C7921" s="4" t="s">
        <v>12080</v>
      </c>
      <c r="D7921" s="834">
        <v>6.49</v>
      </c>
    </row>
    <row r="7922" spans="1:4" x14ac:dyDescent="0.3">
      <c r="A7922" s="4">
        <v>109</v>
      </c>
      <c r="B7922" s="833" t="s">
        <v>12174</v>
      </c>
      <c r="C7922" s="4" t="s">
        <v>12080</v>
      </c>
      <c r="D7922" s="834">
        <v>3.86</v>
      </c>
    </row>
    <row r="7923" spans="1:4" x14ac:dyDescent="0.3">
      <c r="A7923" s="4">
        <v>111</v>
      </c>
      <c r="B7923" s="833" t="s">
        <v>12175</v>
      </c>
      <c r="C7923" s="4" t="s">
        <v>12080</v>
      </c>
      <c r="D7923" s="834">
        <v>8.7799999999999994</v>
      </c>
    </row>
    <row r="7924" spans="1:4" x14ac:dyDescent="0.3">
      <c r="A7924" s="4">
        <v>112</v>
      </c>
      <c r="B7924" s="833" t="s">
        <v>12176</v>
      </c>
      <c r="C7924" s="4" t="s">
        <v>12080</v>
      </c>
      <c r="D7924" s="834">
        <v>4.6500000000000004</v>
      </c>
    </row>
    <row r="7925" spans="1:4" x14ac:dyDescent="0.3">
      <c r="A7925" s="4">
        <v>113</v>
      </c>
      <c r="B7925" s="833" t="s">
        <v>12177</v>
      </c>
      <c r="C7925" s="4" t="s">
        <v>12080</v>
      </c>
      <c r="D7925" s="834">
        <v>11.65</v>
      </c>
    </row>
    <row r="7926" spans="1:4" x14ac:dyDescent="0.3">
      <c r="A7926" s="4">
        <v>104</v>
      </c>
      <c r="B7926" s="833" t="s">
        <v>12178</v>
      </c>
      <c r="C7926" s="4" t="s">
        <v>12080</v>
      </c>
      <c r="D7926" s="834">
        <v>20.27</v>
      </c>
    </row>
    <row r="7927" spans="1:4" x14ac:dyDescent="0.3">
      <c r="A7927" s="4">
        <v>102</v>
      </c>
      <c r="B7927" s="833" t="s">
        <v>12179</v>
      </c>
      <c r="C7927" s="4" t="s">
        <v>12080</v>
      </c>
      <c r="D7927" s="834">
        <v>27.94</v>
      </c>
    </row>
    <row r="7928" spans="1:4" x14ac:dyDescent="0.3">
      <c r="A7928" s="4">
        <v>95</v>
      </c>
      <c r="B7928" s="833" t="s">
        <v>12180</v>
      </c>
      <c r="C7928" s="4" t="s">
        <v>12080</v>
      </c>
      <c r="D7928" s="834">
        <v>11.81</v>
      </c>
    </row>
    <row r="7929" spans="1:4" x14ac:dyDescent="0.3">
      <c r="A7929" s="4">
        <v>96</v>
      </c>
      <c r="B7929" s="833" t="s">
        <v>12181</v>
      </c>
      <c r="C7929" s="4" t="s">
        <v>12080</v>
      </c>
      <c r="D7929" s="834">
        <v>12.84</v>
      </c>
    </row>
    <row r="7930" spans="1:4" x14ac:dyDescent="0.3">
      <c r="A7930" s="4">
        <v>97</v>
      </c>
      <c r="B7930" s="833" t="s">
        <v>12182</v>
      </c>
      <c r="C7930" s="4" t="s">
        <v>12080</v>
      </c>
      <c r="D7930" s="834">
        <v>19.32</v>
      </c>
    </row>
    <row r="7931" spans="1:4" x14ac:dyDescent="0.3">
      <c r="A7931" s="4">
        <v>98</v>
      </c>
      <c r="B7931" s="833" t="s">
        <v>12183</v>
      </c>
      <c r="C7931" s="4" t="s">
        <v>12080</v>
      </c>
      <c r="D7931" s="834">
        <v>28.93</v>
      </c>
    </row>
    <row r="7932" spans="1:4" x14ac:dyDescent="0.3">
      <c r="A7932" s="4">
        <v>99</v>
      </c>
      <c r="B7932" s="833" t="s">
        <v>12184</v>
      </c>
      <c r="C7932" s="4" t="s">
        <v>12080</v>
      </c>
      <c r="D7932" s="834">
        <v>27.34</v>
      </c>
    </row>
    <row r="7933" spans="1:4" x14ac:dyDescent="0.3">
      <c r="A7933" s="4">
        <v>60</v>
      </c>
      <c r="B7933" s="833" t="s">
        <v>12185</v>
      </c>
      <c r="C7933" s="4" t="s">
        <v>12080</v>
      </c>
      <c r="D7933" s="834">
        <v>5.41</v>
      </c>
    </row>
    <row r="7934" spans="1:4" x14ac:dyDescent="0.3">
      <c r="A7934" s="4">
        <v>72</v>
      </c>
      <c r="B7934" s="833" t="s">
        <v>12186</v>
      </c>
      <c r="C7934" s="4" t="s">
        <v>12080</v>
      </c>
      <c r="D7934" s="834">
        <v>52.44</v>
      </c>
    </row>
    <row r="7935" spans="1:4" x14ac:dyDescent="0.3">
      <c r="A7935" s="4">
        <v>67</v>
      </c>
      <c r="B7935" s="833" t="s">
        <v>12187</v>
      </c>
      <c r="C7935" s="4" t="s">
        <v>12080</v>
      </c>
      <c r="D7935" s="834">
        <v>16.95</v>
      </c>
    </row>
    <row r="7936" spans="1:4" x14ac:dyDescent="0.3">
      <c r="A7936" s="4">
        <v>71</v>
      </c>
      <c r="B7936" s="833" t="s">
        <v>12188</v>
      </c>
      <c r="C7936" s="4" t="s">
        <v>12080</v>
      </c>
      <c r="D7936" s="834">
        <v>32.380000000000003</v>
      </c>
    </row>
    <row r="7937" spans="1:4" x14ac:dyDescent="0.3">
      <c r="A7937" s="4">
        <v>73</v>
      </c>
      <c r="B7937" s="833" t="s">
        <v>12189</v>
      </c>
      <c r="C7937" s="4" t="s">
        <v>12080</v>
      </c>
      <c r="D7937" s="834">
        <v>16.22</v>
      </c>
    </row>
    <row r="7938" spans="1:4" x14ac:dyDescent="0.3">
      <c r="A7938" s="4">
        <v>100</v>
      </c>
      <c r="B7938" s="833" t="s">
        <v>12190</v>
      </c>
      <c r="C7938" s="4" t="s">
        <v>12080</v>
      </c>
      <c r="D7938" s="834">
        <v>47.77</v>
      </c>
    </row>
    <row r="7939" spans="1:4" x14ac:dyDescent="0.3">
      <c r="A7939" s="4">
        <v>75</v>
      </c>
      <c r="B7939" s="833" t="s">
        <v>12191</v>
      </c>
      <c r="C7939" s="4" t="s">
        <v>12080</v>
      </c>
      <c r="D7939" s="834">
        <v>278.51</v>
      </c>
    </row>
    <row r="7940" spans="1:4" x14ac:dyDescent="0.3">
      <c r="A7940" s="4">
        <v>83</v>
      </c>
      <c r="B7940" s="833" t="s">
        <v>12192</v>
      </c>
      <c r="C7940" s="4" t="s">
        <v>12080</v>
      </c>
      <c r="D7940" s="834">
        <v>222.66</v>
      </c>
    </row>
    <row r="7941" spans="1:4" x14ac:dyDescent="0.3">
      <c r="A7941" s="4">
        <v>74</v>
      </c>
      <c r="B7941" s="833" t="s">
        <v>12193</v>
      </c>
      <c r="C7941" s="4" t="s">
        <v>12080</v>
      </c>
      <c r="D7941" s="834">
        <v>318.33999999999997</v>
      </c>
    </row>
    <row r="7942" spans="1:4" x14ac:dyDescent="0.3">
      <c r="A7942" s="4">
        <v>106</v>
      </c>
      <c r="B7942" s="833" t="s">
        <v>12194</v>
      </c>
      <c r="C7942" s="4" t="s">
        <v>12080</v>
      </c>
      <c r="D7942" s="834">
        <v>402.55</v>
      </c>
    </row>
    <row r="7943" spans="1:4" x14ac:dyDescent="0.3">
      <c r="A7943" s="4">
        <v>88</v>
      </c>
      <c r="B7943" s="833" t="s">
        <v>12195</v>
      </c>
      <c r="C7943" s="4" t="s">
        <v>12080</v>
      </c>
      <c r="D7943" s="834">
        <v>11.31</v>
      </c>
    </row>
    <row r="7944" spans="1:4" x14ac:dyDescent="0.3">
      <c r="A7944" s="4">
        <v>82</v>
      </c>
      <c r="B7944" s="833" t="s">
        <v>12196</v>
      </c>
      <c r="C7944" s="4" t="s">
        <v>12080</v>
      </c>
      <c r="D7944" s="834">
        <v>211.84</v>
      </c>
    </row>
    <row r="7945" spans="1:4" x14ac:dyDescent="0.3">
      <c r="A7945" s="4">
        <v>105</v>
      </c>
      <c r="B7945" s="833" t="s">
        <v>12197</v>
      </c>
      <c r="C7945" s="4" t="s">
        <v>12080</v>
      </c>
      <c r="D7945" s="834">
        <v>300.18</v>
      </c>
    </row>
    <row r="7946" spans="1:4" x14ac:dyDescent="0.3">
      <c r="A7946" s="4">
        <v>39719</v>
      </c>
      <c r="B7946" s="833" t="s">
        <v>12198</v>
      </c>
      <c r="C7946" s="4" t="s">
        <v>12128</v>
      </c>
      <c r="D7946" s="834">
        <v>187.54</v>
      </c>
    </row>
    <row r="7947" spans="1:4" x14ac:dyDescent="0.3">
      <c r="A7947" s="4">
        <v>3410</v>
      </c>
      <c r="B7947" s="833" t="s">
        <v>12199</v>
      </c>
      <c r="C7947" s="4" t="s">
        <v>12126</v>
      </c>
      <c r="D7947" s="834">
        <v>42.18</v>
      </c>
    </row>
    <row r="7948" spans="1:4" x14ac:dyDescent="0.3">
      <c r="A7948" s="4">
        <v>4791</v>
      </c>
      <c r="B7948" s="833" t="s">
        <v>12200</v>
      </c>
      <c r="C7948" s="4" t="s">
        <v>12126</v>
      </c>
      <c r="D7948" s="834">
        <v>52.69</v>
      </c>
    </row>
    <row r="7949" spans="1:4" x14ac:dyDescent="0.3">
      <c r="A7949" s="4">
        <v>157</v>
      </c>
      <c r="B7949" s="833" t="s">
        <v>12201</v>
      </c>
      <c r="C7949" s="4" t="s">
        <v>12126</v>
      </c>
      <c r="D7949" s="834">
        <v>172.56</v>
      </c>
    </row>
    <row r="7950" spans="1:4" x14ac:dyDescent="0.3">
      <c r="A7950" s="4">
        <v>156</v>
      </c>
      <c r="B7950" s="833" t="s">
        <v>12202</v>
      </c>
      <c r="C7950" s="4" t="s">
        <v>12126</v>
      </c>
      <c r="D7950" s="834">
        <v>61.44</v>
      </c>
    </row>
    <row r="7951" spans="1:4" x14ac:dyDescent="0.3">
      <c r="A7951" s="4">
        <v>131</v>
      </c>
      <c r="B7951" s="833" t="s">
        <v>12203</v>
      </c>
      <c r="C7951" s="4" t="s">
        <v>12126</v>
      </c>
      <c r="D7951" s="834">
        <v>52.54</v>
      </c>
    </row>
    <row r="7952" spans="1:4" x14ac:dyDescent="0.3">
      <c r="A7952" s="4">
        <v>21114</v>
      </c>
      <c r="B7952" s="833" t="s">
        <v>12204</v>
      </c>
      <c r="C7952" s="4" t="s">
        <v>12080</v>
      </c>
      <c r="D7952" s="834">
        <v>36.97</v>
      </c>
    </row>
    <row r="7953" spans="1:4" x14ac:dyDescent="0.3">
      <c r="A7953" s="4">
        <v>119</v>
      </c>
      <c r="B7953" s="833" t="s">
        <v>12205</v>
      </c>
      <c r="C7953" s="4" t="s">
        <v>12080</v>
      </c>
      <c r="D7953" s="834">
        <v>9.3699999999999992</v>
      </c>
    </row>
    <row r="7954" spans="1:4" x14ac:dyDescent="0.3">
      <c r="A7954" s="4">
        <v>122</v>
      </c>
      <c r="B7954" s="833" t="s">
        <v>12206</v>
      </c>
      <c r="C7954" s="4" t="s">
        <v>12080</v>
      </c>
      <c r="D7954" s="834">
        <v>72.09</v>
      </c>
    </row>
    <row r="7955" spans="1:4" x14ac:dyDescent="0.3">
      <c r="A7955" s="4">
        <v>20080</v>
      </c>
      <c r="B7955" s="833" t="s">
        <v>12207</v>
      </c>
      <c r="C7955" s="4" t="s">
        <v>12080</v>
      </c>
      <c r="D7955" s="834">
        <v>23.53</v>
      </c>
    </row>
    <row r="7956" spans="1:4" x14ac:dyDescent="0.3">
      <c r="A7956" s="4">
        <v>124</v>
      </c>
      <c r="B7956" s="833" t="s">
        <v>12208</v>
      </c>
      <c r="C7956" s="4" t="s">
        <v>12128</v>
      </c>
      <c r="D7956" s="834">
        <v>20.260000000000002</v>
      </c>
    </row>
    <row r="7957" spans="1:4" x14ac:dyDescent="0.3">
      <c r="A7957" s="4">
        <v>7334</v>
      </c>
      <c r="B7957" s="833" t="s">
        <v>12209</v>
      </c>
      <c r="C7957" s="4" t="s">
        <v>12128</v>
      </c>
      <c r="D7957" s="834">
        <v>14.97</v>
      </c>
    </row>
    <row r="7958" spans="1:4" x14ac:dyDescent="0.3">
      <c r="A7958" s="4">
        <v>45146</v>
      </c>
      <c r="B7958" s="833" t="s">
        <v>12210</v>
      </c>
      <c r="C7958" s="4" t="s">
        <v>12126</v>
      </c>
      <c r="D7958" s="834">
        <v>38.85</v>
      </c>
    </row>
    <row r="7959" spans="1:4" x14ac:dyDescent="0.3">
      <c r="A7959" s="4">
        <v>123</v>
      </c>
      <c r="B7959" s="833" t="s">
        <v>12211</v>
      </c>
      <c r="C7959" s="4" t="s">
        <v>12128</v>
      </c>
      <c r="D7959" s="834">
        <v>8.2899999999999991</v>
      </c>
    </row>
    <row r="7960" spans="1:4" x14ac:dyDescent="0.3">
      <c r="A7960" s="4">
        <v>127</v>
      </c>
      <c r="B7960" s="833" t="s">
        <v>12212</v>
      </c>
      <c r="C7960" s="4" t="s">
        <v>12128</v>
      </c>
      <c r="D7960" s="834">
        <v>19.79</v>
      </c>
    </row>
    <row r="7961" spans="1:4" x14ac:dyDescent="0.3">
      <c r="A7961" s="4">
        <v>133</v>
      </c>
      <c r="B7961" s="833" t="s">
        <v>12213</v>
      </c>
      <c r="C7961" s="4" t="s">
        <v>12128</v>
      </c>
      <c r="D7961" s="834">
        <v>8.2200000000000006</v>
      </c>
    </row>
    <row r="7962" spans="1:4" x14ac:dyDescent="0.3">
      <c r="A7962" s="4">
        <v>43617</v>
      </c>
      <c r="B7962" s="833" t="s">
        <v>12214</v>
      </c>
      <c r="C7962" s="4" t="s">
        <v>12128</v>
      </c>
      <c r="D7962" s="834">
        <v>9.18</v>
      </c>
    </row>
    <row r="7963" spans="1:4" x14ac:dyDescent="0.3">
      <c r="A7963" s="4">
        <v>132</v>
      </c>
      <c r="B7963" s="833" t="s">
        <v>12215</v>
      </c>
      <c r="C7963" s="4" t="s">
        <v>12128</v>
      </c>
      <c r="D7963" s="834">
        <v>8.52</v>
      </c>
    </row>
    <row r="7964" spans="1:4" x14ac:dyDescent="0.3">
      <c r="A7964" s="4">
        <v>43618</v>
      </c>
      <c r="B7964" s="833" t="s">
        <v>12216</v>
      </c>
      <c r="C7964" s="4" t="s">
        <v>12126</v>
      </c>
      <c r="D7964" s="834">
        <v>21.45</v>
      </c>
    </row>
    <row r="7965" spans="1:4" x14ac:dyDescent="0.3">
      <c r="A7965" s="4">
        <v>37476</v>
      </c>
      <c r="B7965" s="833" t="s">
        <v>12217</v>
      </c>
      <c r="C7965" s="4" t="s">
        <v>12080</v>
      </c>
      <c r="D7965" s="834">
        <v>4015.4</v>
      </c>
    </row>
    <row r="7966" spans="1:4" x14ac:dyDescent="0.3">
      <c r="A7966" s="4">
        <v>37478</v>
      </c>
      <c r="B7966" s="833" t="s">
        <v>12218</v>
      </c>
      <c r="C7966" s="4" t="s">
        <v>12080</v>
      </c>
      <c r="D7966" s="834">
        <v>5029.3900000000003</v>
      </c>
    </row>
    <row r="7967" spans="1:4" x14ac:dyDescent="0.3">
      <c r="A7967" s="4">
        <v>37477</v>
      </c>
      <c r="B7967" s="833" t="s">
        <v>12219</v>
      </c>
      <c r="C7967" s="4" t="s">
        <v>12080</v>
      </c>
      <c r="D7967" s="834">
        <v>6814.02</v>
      </c>
    </row>
    <row r="7968" spans="1:4" x14ac:dyDescent="0.3">
      <c r="A7968" s="4">
        <v>37479</v>
      </c>
      <c r="B7968" s="833" t="s">
        <v>12220</v>
      </c>
      <c r="C7968" s="4" t="s">
        <v>12080</v>
      </c>
      <c r="D7968" s="834">
        <v>8081.51</v>
      </c>
    </row>
    <row r="7969" spans="1:4" x14ac:dyDescent="0.3">
      <c r="A7969" s="4">
        <v>4319</v>
      </c>
      <c r="B7969" s="833" t="s">
        <v>12221</v>
      </c>
      <c r="C7969" s="4" t="s">
        <v>12080</v>
      </c>
      <c r="D7969" s="834">
        <v>1.81</v>
      </c>
    </row>
    <row r="7970" spans="1:4" x14ac:dyDescent="0.3">
      <c r="A7970" s="4">
        <v>42409</v>
      </c>
      <c r="B7970" s="833" t="s">
        <v>12222</v>
      </c>
      <c r="C7970" s="4" t="s">
        <v>12126</v>
      </c>
      <c r="D7970" s="834">
        <v>13.51</v>
      </c>
    </row>
    <row r="7971" spans="1:4" x14ac:dyDescent="0.3">
      <c r="A7971" s="4">
        <v>40553</v>
      </c>
      <c r="B7971" s="833" t="s">
        <v>12223</v>
      </c>
      <c r="C7971" s="4" t="s">
        <v>12224</v>
      </c>
      <c r="D7971" s="834">
        <v>60</v>
      </c>
    </row>
    <row r="7972" spans="1:4" x14ac:dyDescent="0.3">
      <c r="A7972" s="4">
        <v>6114</v>
      </c>
      <c r="B7972" s="833" t="s">
        <v>12225</v>
      </c>
      <c r="C7972" s="4" t="s">
        <v>12226</v>
      </c>
      <c r="D7972" s="834">
        <v>15.27</v>
      </c>
    </row>
    <row r="7973" spans="1:4" x14ac:dyDescent="0.3">
      <c r="A7973" s="4">
        <v>40912</v>
      </c>
      <c r="B7973" s="833" t="s">
        <v>12227</v>
      </c>
      <c r="C7973" s="4" t="s">
        <v>12228</v>
      </c>
      <c r="D7973" s="834">
        <v>2722.88</v>
      </c>
    </row>
    <row r="7974" spans="1:4" x14ac:dyDescent="0.3">
      <c r="A7974" s="4">
        <v>247</v>
      </c>
      <c r="B7974" s="833" t="s">
        <v>12229</v>
      </c>
      <c r="C7974" s="4" t="s">
        <v>12226</v>
      </c>
      <c r="D7974" s="834">
        <v>15.27</v>
      </c>
    </row>
    <row r="7975" spans="1:4" x14ac:dyDescent="0.3">
      <c r="A7975" s="4">
        <v>40919</v>
      </c>
      <c r="B7975" s="833" t="s">
        <v>12230</v>
      </c>
      <c r="C7975" s="4" t="s">
        <v>12228</v>
      </c>
      <c r="D7975" s="834">
        <v>2722.88</v>
      </c>
    </row>
    <row r="7976" spans="1:4" x14ac:dyDescent="0.3">
      <c r="A7976" s="4">
        <v>44499</v>
      </c>
      <c r="B7976" s="833" t="s">
        <v>12231</v>
      </c>
      <c r="C7976" s="4" t="s">
        <v>12226</v>
      </c>
      <c r="D7976" s="834">
        <v>15.27</v>
      </c>
    </row>
    <row r="7977" spans="1:4" x14ac:dyDescent="0.3">
      <c r="A7977" s="4">
        <v>40984</v>
      </c>
      <c r="B7977" s="833" t="s">
        <v>12232</v>
      </c>
      <c r="C7977" s="4" t="s">
        <v>12228</v>
      </c>
      <c r="D7977" s="834">
        <v>2722.88</v>
      </c>
    </row>
    <row r="7978" spans="1:4" x14ac:dyDescent="0.3">
      <c r="A7978" s="4">
        <v>248</v>
      </c>
      <c r="B7978" s="833" t="s">
        <v>12233</v>
      </c>
      <c r="C7978" s="4" t="s">
        <v>12226</v>
      </c>
      <c r="D7978" s="834">
        <v>15.21</v>
      </c>
    </row>
    <row r="7979" spans="1:4" x14ac:dyDescent="0.3">
      <c r="A7979" s="4">
        <v>41086</v>
      </c>
      <c r="B7979" s="833" t="s">
        <v>12234</v>
      </c>
      <c r="C7979" s="4" t="s">
        <v>12228</v>
      </c>
      <c r="D7979" s="834">
        <v>2710.91</v>
      </c>
    </row>
    <row r="7980" spans="1:4" x14ac:dyDescent="0.3">
      <c r="A7980" s="4">
        <v>34466</v>
      </c>
      <c r="B7980" s="833" t="s">
        <v>12235</v>
      </c>
      <c r="C7980" s="4" t="s">
        <v>12226</v>
      </c>
      <c r="D7980" s="834">
        <v>15.27</v>
      </c>
    </row>
    <row r="7981" spans="1:4" x14ac:dyDescent="0.3">
      <c r="A7981" s="4">
        <v>41083</v>
      </c>
      <c r="B7981" s="833" t="s">
        <v>12236</v>
      </c>
      <c r="C7981" s="4" t="s">
        <v>12228</v>
      </c>
      <c r="D7981" s="834">
        <v>2722.88</v>
      </c>
    </row>
    <row r="7982" spans="1:4" x14ac:dyDescent="0.3">
      <c r="A7982" s="4">
        <v>252</v>
      </c>
      <c r="B7982" s="833" t="s">
        <v>12237</v>
      </c>
      <c r="C7982" s="4" t="s">
        <v>12226</v>
      </c>
      <c r="D7982" s="834">
        <v>15.27</v>
      </c>
    </row>
    <row r="7983" spans="1:4" x14ac:dyDescent="0.3">
      <c r="A7983" s="4">
        <v>40909</v>
      </c>
      <c r="B7983" s="833" t="s">
        <v>12238</v>
      </c>
      <c r="C7983" s="4" t="s">
        <v>12228</v>
      </c>
      <c r="D7983" s="834">
        <v>2722.88</v>
      </c>
    </row>
    <row r="7984" spans="1:4" x14ac:dyDescent="0.3">
      <c r="A7984" s="4">
        <v>242</v>
      </c>
      <c r="B7984" s="833" t="s">
        <v>12239</v>
      </c>
      <c r="C7984" s="4" t="s">
        <v>12226</v>
      </c>
      <c r="D7984" s="834">
        <v>15.21</v>
      </c>
    </row>
    <row r="7985" spans="1:4" x14ac:dyDescent="0.3">
      <c r="A7985" s="4">
        <v>41085</v>
      </c>
      <c r="B7985" s="833" t="s">
        <v>12240</v>
      </c>
      <c r="C7985" s="4" t="s">
        <v>12228</v>
      </c>
      <c r="D7985" s="834">
        <v>2710.91</v>
      </c>
    </row>
    <row r="7986" spans="1:4" x14ac:dyDescent="0.3">
      <c r="A7986" s="4">
        <v>427</v>
      </c>
      <c r="B7986" s="833" t="s">
        <v>12241</v>
      </c>
      <c r="C7986" s="4" t="s">
        <v>12080</v>
      </c>
      <c r="D7986" s="834">
        <v>12.19</v>
      </c>
    </row>
    <row r="7987" spans="1:4" x14ac:dyDescent="0.3">
      <c r="A7987" s="4">
        <v>417</v>
      </c>
      <c r="B7987" s="833" t="s">
        <v>12242</v>
      </c>
      <c r="C7987" s="4" t="s">
        <v>12080</v>
      </c>
      <c r="D7987" s="834">
        <v>5.74</v>
      </c>
    </row>
    <row r="7988" spans="1:4" x14ac:dyDescent="0.3">
      <c r="A7988" s="4">
        <v>11273</v>
      </c>
      <c r="B7988" s="833" t="s">
        <v>12243</v>
      </c>
      <c r="C7988" s="4" t="s">
        <v>12080</v>
      </c>
      <c r="D7988" s="834">
        <v>17.82</v>
      </c>
    </row>
    <row r="7989" spans="1:4" x14ac:dyDescent="0.3">
      <c r="A7989" s="4">
        <v>11272</v>
      </c>
      <c r="B7989" s="833" t="s">
        <v>12244</v>
      </c>
      <c r="C7989" s="4" t="s">
        <v>12080</v>
      </c>
      <c r="D7989" s="834">
        <v>10.76</v>
      </c>
    </row>
    <row r="7990" spans="1:4" x14ac:dyDescent="0.3">
      <c r="A7990" s="4">
        <v>11275</v>
      </c>
      <c r="B7990" s="833" t="s">
        <v>12245</v>
      </c>
      <c r="C7990" s="4" t="s">
        <v>12080</v>
      </c>
      <c r="D7990" s="834">
        <v>4.3099999999999996</v>
      </c>
    </row>
    <row r="7991" spans="1:4" x14ac:dyDescent="0.3">
      <c r="A7991" s="4">
        <v>11274</v>
      </c>
      <c r="B7991" s="833" t="s">
        <v>12246</v>
      </c>
      <c r="C7991" s="4" t="s">
        <v>12080</v>
      </c>
      <c r="D7991" s="834">
        <v>3.29</v>
      </c>
    </row>
    <row r="7992" spans="1:4" x14ac:dyDescent="0.3">
      <c r="A7992" s="4">
        <v>38470</v>
      </c>
      <c r="B7992" s="833" t="s">
        <v>12247</v>
      </c>
      <c r="C7992" s="4" t="s">
        <v>12080</v>
      </c>
      <c r="D7992" s="834">
        <v>42.29</v>
      </c>
    </row>
    <row r="7993" spans="1:4" x14ac:dyDescent="0.3">
      <c r="A7993" s="4">
        <v>38547</v>
      </c>
      <c r="B7993" s="833" t="s">
        <v>12248</v>
      </c>
      <c r="C7993" s="4" t="s">
        <v>12080</v>
      </c>
      <c r="D7993" s="834">
        <v>115.4</v>
      </c>
    </row>
    <row r="7994" spans="1:4" x14ac:dyDescent="0.3">
      <c r="A7994" s="4">
        <v>38469</v>
      </c>
      <c r="B7994" s="833" t="s">
        <v>12249</v>
      </c>
      <c r="C7994" s="4" t="s">
        <v>12080</v>
      </c>
      <c r="D7994" s="834">
        <v>124.09</v>
      </c>
    </row>
    <row r="7995" spans="1:4" x14ac:dyDescent="0.3">
      <c r="A7995" s="4">
        <v>38467</v>
      </c>
      <c r="B7995" s="833" t="s">
        <v>12250</v>
      </c>
      <c r="C7995" s="4" t="s">
        <v>12080</v>
      </c>
      <c r="D7995" s="834">
        <v>69.819999999999993</v>
      </c>
    </row>
    <row r="7996" spans="1:4" x14ac:dyDescent="0.3">
      <c r="A7996" s="4">
        <v>38468</v>
      </c>
      <c r="B7996" s="833" t="s">
        <v>12251</v>
      </c>
      <c r="C7996" s="4" t="s">
        <v>12080</v>
      </c>
      <c r="D7996" s="834">
        <v>76.83</v>
      </c>
    </row>
    <row r="7997" spans="1:4" x14ac:dyDescent="0.3">
      <c r="A7997" s="4">
        <v>38471</v>
      </c>
      <c r="B7997" s="833" t="s">
        <v>12252</v>
      </c>
      <c r="C7997" s="4" t="s">
        <v>12080</v>
      </c>
      <c r="D7997" s="834">
        <v>99.77</v>
      </c>
    </row>
    <row r="7998" spans="1:4" x14ac:dyDescent="0.3">
      <c r="A7998" s="4">
        <v>37370</v>
      </c>
      <c r="B7998" s="833" t="s">
        <v>12253</v>
      </c>
      <c r="C7998" s="4" t="s">
        <v>12226</v>
      </c>
      <c r="D7998" s="834">
        <v>3.8</v>
      </c>
    </row>
    <row r="7999" spans="1:4" x14ac:dyDescent="0.3">
      <c r="A7999" s="4">
        <v>40862</v>
      </c>
      <c r="B7999" s="833" t="s">
        <v>12254</v>
      </c>
      <c r="C7999" s="4" t="s">
        <v>12228</v>
      </c>
      <c r="D7999" s="834">
        <v>715.63</v>
      </c>
    </row>
    <row r="8000" spans="1:4" x14ac:dyDescent="0.3">
      <c r="A8000" s="4">
        <v>10658</v>
      </c>
      <c r="B8000" s="833" t="s">
        <v>12255</v>
      </c>
      <c r="C8000" s="4" t="s">
        <v>12080</v>
      </c>
      <c r="D8000" s="834">
        <v>8337.56</v>
      </c>
    </row>
    <row r="8001" spans="1:4" x14ac:dyDescent="0.3">
      <c r="A8001" s="4">
        <v>253</v>
      </c>
      <c r="B8001" s="833" t="s">
        <v>12256</v>
      </c>
      <c r="C8001" s="4" t="s">
        <v>12226</v>
      </c>
      <c r="D8001" s="834">
        <v>34.71</v>
      </c>
    </row>
    <row r="8002" spans="1:4" x14ac:dyDescent="0.3">
      <c r="A8002" s="4">
        <v>40809</v>
      </c>
      <c r="B8002" s="833" t="s">
        <v>12257</v>
      </c>
      <c r="C8002" s="4" t="s">
        <v>12228</v>
      </c>
      <c r="D8002" s="834">
        <v>6179.93</v>
      </c>
    </row>
    <row r="8003" spans="1:4" x14ac:dyDescent="0.3">
      <c r="A8003" s="4">
        <v>42428</v>
      </c>
      <c r="B8003" s="833" t="s">
        <v>12258</v>
      </c>
      <c r="C8003" s="4" t="s">
        <v>12080</v>
      </c>
      <c r="D8003" s="834">
        <v>2271</v>
      </c>
    </row>
    <row r="8004" spans="1:4" x14ac:dyDescent="0.3">
      <c r="A8004" s="4">
        <v>301</v>
      </c>
      <c r="B8004" s="833" t="s">
        <v>12259</v>
      </c>
      <c r="C8004" s="4" t="s">
        <v>12080</v>
      </c>
      <c r="D8004" s="834">
        <v>2.97</v>
      </c>
    </row>
    <row r="8005" spans="1:4" x14ac:dyDescent="0.3">
      <c r="A8005" s="4">
        <v>296</v>
      </c>
      <c r="B8005" s="833" t="s">
        <v>12260</v>
      </c>
      <c r="C8005" s="4" t="s">
        <v>12080</v>
      </c>
      <c r="D8005" s="834">
        <v>1.68</v>
      </c>
    </row>
    <row r="8006" spans="1:4" x14ac:dyDescent="0.3">
      <c r="A8006" s="4">
        <v>297</v>
      </c>
      <c r="B8006" s="833" t="s">
        <v>12261</v>
      </c>
      <c r="C8006" s="4" t="s">
        <v>12080</v>
      </c>
      <c r="D8006" s="834">
        <v>2.46</v>
      </c>
    </row>
    <row r="8007" spans="1:4" x14ac:dyDescent="0.3">
      <c r="A8007" s="4">
        <v>299</v>
      </c>
      <c r="B8007" s="833" t="s">
        <v>12262</v>
      </c>
      <c r="C8007" s="4" t="s">
        <v>12080</v>
      </c>
      <c r="D8007" s="834">
        <v>3.48</v>
      </c>
    </row>
    <row r="8008" spans="1:4" x14ac:dyDescent="0.3">
      <c r="A8008" s="4">
        <v>300</v>
      </c>
      <c r="B8008" s="833" t="s">
        <v>12263</v>
      </c>
      <c r="C8008" s="4" t="s">
        <v>12080</v>
      </c>
      <c r="D8008" s="834">
        <v>12.05</v>
      </c>
    </row>
    <row r="8009" spans="1:4" x14ac:dyDescent="0.3">
      <c r="A8009" s="4">
        <v>20085</v>
      </c>
      <c r="B8009" s="833" t="s">
        <v>12264</v>
      </c>
      <c r="C8009" s="4" t="s">
        <v>12080</v>
      </c>
      <c r="D8009" s="834">
        <v>2.2000000000000002</v>
      </c>
    </row>
    <row r="8010" spans="1:4" x14ac:dyDescent="0.3">
      <c r="A8010" s="4">
        <v>298</v>
      </c>
      <c r="B8010" s="833" t="s">
        <v>12265</v>
      </c>
      <c r="C8010" s="4" t="s">
        <v>12080</v>
      </c>
      <c r="D8010" s="834">
        <v>2.68</v>
      </c>
    </row>
    <row r="8011" spans="1:4" x14ac:dyDescent="0.3">
      <c r="A8011" s="4">
        <v>311</v>
      </c>
      <c r="B8011" s="833" t="s">
        <v>12266</v>
      </c>
      <c r="C8011" s="4" t="s">
        <v>12080</v>
      </c>
      <c r="D8011" s="834">
        <v>9.94</v>
      </c>
    </row>
    <row r="8012" spans="1:4" x14ac:dyDescent="0.3">
      <c r="A8012" s="4">
        <v>318</v>
      </c>
      <c r="B8012" s="833" t="s">
        <v>12267</v>
      </c>
      <c r="C8012" s="4" t="s">
        <v>12080</v>
      </c>
      <c r="D8012" s="834">
        <v>20.02</v>
      </c>
    </row>
    <row r="8013" spans="1:4" x14ac:dyDescent="0.3">
      <c r="A8013" s="4">
        <v>319</v>
      </c>
      <c r="B8013" s="833" t="s">
        <v>12268</v>
      </c>
      <c r="C8013" s="4" t="s">
        <v>12080</v>
      </c>
      <c r="D8013" s="834">
        <v>31.39</v>
      </c>
    </row>
    <row r="8014" spans="1:4" x14ac:dyDescent="0.3">
      <c r="A8014" s="4">
        <v>303</v>
      </c>
      <c r="B8014" s="833" t="s">
        <v>12269</v>
      </c>
      <c r="C8014" s="4" t="s">
        <v>12080</v>
      </c>
      <c r="D8014" s="834">
        <v>3.29</v>
      </c>
    </row>
    <row r="8015" spans="1:4" x14ac:dyDescent="0.3">
      <c r="A8015" s="4">
        <v>305</v>
      </c>
      <c r="B8015" s="833" t="s">
        <v>12270</v>
      </c>
      <c r="C8015" s="4" t="s">
        <v>12080</v>
      </c>
      <c r="D8015" s="834">
        <v>10.35</v>
      </c>
    </row>
    <row r="8016" spans="1:4" x14ac:dyDescent="0.3">
      <c r="A8016" s="4">
        <v>306</v>
      </c>
      <c r="B8016" s="833" t="s">
        <v>12271</v>
      </c>
      <c r="C8016" s="4" t="s">
        <v>12080</v>
      </c>
      <c r="D8016" s="834">
        <v>15.69</v>
      </c>
    </row>
    <row r="8017" spans="1:4" x14ac:dyDescent="0.3">
      <c r="A8017" s="4">
        <v>307</v>
      </c>
      <c r="B8017" s="833" t="s">
        <v>12272</v>
      </c>
      <c r="C8017" s="4" t="s">
        <v>12080</v>
      </c>
      <c r="D8017" s="834">
        <v>39.659999999999997</v>
      </c>
    </row>
    <row r="8018" spans="1:4" x14ac:dyDescent="0.3">
      <c r="A8018" s="4">
        <v>309</v>
      </c>
      <c r="B8018" s="833" t="s">
        <v>12273</v>
      </c>
      <c r="C8018" s="4" t="s">
        <v>12080</v>
      </c>
      <c r="D8018" s="834">
        <v>64.959999999999994</v>
      </c>
    </row>
    <row r="8019" spans="1:4" x14ac:dyDescent="0.3">
      <c r="A8019" s="4">
        <v>310</v>
      </c>
      <c r="B8019" s="833" t="s">
        <v>12274</v>
      </c>
      <c r="C8019" s="4" t="s">
        <v>12080</v>
      </c>
      <c r="D8019" s="834">
        <v>90.04</v>
      </c>
    </row>
    <row r="8020" spans="1:4" x14ac:dyDescent="0.3">
      <c r="A8020" s="4">
        <v>328</v>
      </c>
      <c r="B8020" s="833" t="s">
        <v>12275</v>
      </c>
      <c r="C8020" s="4" t="s">
        <v>12080</v>
      </c>
      <c r="D8020" s="834">
        <v>7.87</v>
      </c>
    </row>
    <row r="8021" spans="1:4" x14ac:dyDescent="0.3">
      <c r="A8021" s="4">
        <v>325</v>
      </c>
      <c r="B8021" s="833" t="s">
        <v>12276</v>
      </c>
      <c r="C8021" s="4" t="s">
        <v>12080</v>
      </c>
      <c r="D8021" s="834">
        <v>2.3199999999999998</v>
      </c>
    </row>
    <row r="8022" spans="1:4" x14ac:dyDescent="0.3">
      <c r="A8022" s="4">
        <v>20326</v>
      </c>
      <c r="B8022" s="833" t="s">
        <v>12277</v>
      </c>
      <c r="C8022" s="4" t="s">
        <v>12080</v>
      </c>
      <c r="D8022" s="834">
        <v>4.25</v>
      </c>
    </row>
    <row r="8023" spans="1:4" x14ac:dyDescent="0.3">
      <c r="A8023" s="4">
        <v>329</v>
      </c>
      <c r="B8023" s="833" t="s">
        <v>12278</v>
      </c>
      <c r="C8023" s="4" t="s">
        <v>12080</v>
      </c>
      <c r="D8023" s="834">
        <v>6.58</v>
      </c>
    </row>
    <row r="8024" spans="1:4" x14ac:dyDescent="0.3">
      <c r="A8024" s="4">
        <v>308</v>
      </c>
      <c r="B8024" s="833" t="s">
        <v>12279</v>
      </c>
      <c r="C8024" s="4" t="s">
        <v>12080</v>
      </c>
      <c r="D8024" s="834">
        <v>88.51</v>
      </c>
    </row>
    <row r="8025" spans="1:4" x14ac:dyDescent="0.3">
      <c r="A8025" s="4">
        <v>39642</v>
      </c>
      <c r="B8025" s="833" t="s">
        <v>12280</v>
      </c>
      <c r="C8025" s="4" t="s">
        <v>12080</v>
      </c>
      <c r="D8025" s="834">
        <v>2.91</v>
      </c>
    </row>
    <row r="8026" spans="1:4" x14ac:dyDescent="0.3">
      <c r="A8026" s="4">
        <v>39641</v>
      </c>
      <c r="B8026" s="833" t="s">
        <v>12281</v>
      </c>
      <c r="C8026" s="4" t="s">
        <v>12080</v>
      </c>
      <c r="D8026" s="834">
        <v>2.56</v>
      </c>
    </row>
    <row r="8027" spans="1:4" x14ac:dyDescent="0.3">
      <c r="A8027" s="4">
        <v>39643</v>
      </c>
      <c r="B8027" s="833" t="s">
        <v>12282</v>
      </c>
      <c r="C8027" s="4" t="s">
        <v>12080</v>
      </c>
      <c r="D8027" s="834">
        <v>3.42</v>
      </c>
    </row>
    <row r="8028" spans="1:4" x14ac:dyDescent="0.3">
      <c r="A8028" s="4">
        <v>39644</v>
      </c>
      <c r="B8028" s="833" t="s">
        <v>12283</v>
      </c>
      <c r="C8028" s="4" t="s">
        <v>12080</v>
      </c>
      <c r="D8028" s="834">
        <v>5.31</v>
      </c>
    </row>
    <row r="8029" spans="1:4" x14ac:dyDescent="0.3">
      <c r="A8029" s="4">
        <v>39645</v>
      </c>
      <c r="B8029" s="833" t="s">
        <v>12284</v>
      </c>
      <c r="C8029" s="4" t="s">
        <v>12080</v>
      </c>
      <c r="D8029" s="834">
        <v>5.82</v>
      </c>
    </row>
    <row r="8030" spans="1:4" x14ac:dyDescent="0.3">
      <c r="A8030" s="4">
        <v>41610</v>
      </c>
      <c r="B8030" s="833" t="s">
        <v>12285</v>
      </c>
      <c r="C8030" s="4" t="s">
        <v>12080</v>
      </c>
      <c r="D8030" s="834">
        <v>744.95</v>
      </c>
    </row>
    <row r="8031" spans="1:4" x14ac:dyDescent="0.3">
      <c r="A8031" s="4">
        <v>41611</v>
      </c>
      <c r="B8031" s="833" t="s">
        <v>12286</v>
      </c>
      <c r="C8031" s="4" t="s">
        <v>12080</v>
      </c>
      <c r="D8031" s="834">
        <v>1174.2</v>
      </c>
    </row>
    <row r="8032" spans="1:4" x14ac:dyDescent="0.3">
      <c r="A8032" s="4">
        <v>41612</v>
      </c>
      <c r="B8032" s="833" t="s">
        <v>12287</v>
      </c>
      <c r="C8032" s="4" t="s">
        <v>12080</v>
      </c>
      <c r="D8032" s="834">
        <v>1648.75</v>
      </c>
    </row>
    <row r="8033" spans="1:4" x14ac:dyDescent="0.3">
      <c r="A8033" s="4">
        <v>41637</v>
      </c>
      <c r="B8033" s="833" t="s">
        <v>12288</v>
      </c>
      <c r="C8033" s="4" t="s">
        <v>12080</v>
      </c>
      <c r="D8033" s="834">
        <v>154.12</v>
      </c>
    </row>
    <row r="8034" spans="1:4" x14ac:dyDescent="0.3">
      <c r="A8034" s="4">
        <v>41638</v>
      </c>
      <c r="B8034" s="833" t="s">
        <v>12289</v>
      </c>
      <c r="C8034" s="4" t="s">
        <v>12080</v>
      </c>
      <c r="D8034" s="834">
        <v>200.77</v>
      </c>
    </row>
    <row r="8035" spans="1:4" x14ac:dyDescent="0.3">
      <c r="A8035" s="4">
        <v>41639</v>
      </c>
      <c r="B8035" s="833" t="s">
        <v>12290</v>
      </c>
      <c r="C8035" s="4" t="s">
        <v>12080</v>
      </c>
      <c r="D8035" s="834">
        <v>485.7</v>
      </c>
    </row>
    <row r="8036" spans="1:4" x14ac:dyDescent="0.3">
      <c r="A8036" s="4">
        <v>11789</v>
      </c>
      <c r="B8036" s="833" t="s">
        <v>12291</v>
      </c>
      <c r="C8036" s="4" t="s">
        <v>12080</v>
      </c>
      <c r="D8036" s="834">
        <v>1.62</v>
      </c>
    </row>
    <row r="8037" spans="1:4" x14ac:dyDescent="0.3">
      <c r="A8037" s="4">
        <v>20975</v>
      </c>
      <c r="B8037" s="833" t="s">
        <v>12292</v>
      </c>
      <c r="C8037" s="4" t="s">
        <v>12080</v>
      </c>
      <c r="D8037" s="834">
        <v>14.92</v>
      </c>
    </row>
    <row r="8038" spans="1:4" x14ac:dyDescent="0.3">
      <c r="A8038" s="4">
        <v>20976</v>
      </c>
      <c r="B8038" s="833" t="s">
        <v>12293</v>
      </c>
      <c r="C8038" s="4" t="s">
        <v>12080</v>
      </c>
      <c r="D8038" s="834">
        <v>22.54</v>
      </c>
    </row>
    <row r="8039" spans="1:4" x14ac:dyDescent="0.3">
      <c r="A8039" s="4">
        <v>40340</v>
      </c>
      <c r="B8039" s="833" t="s">
        <v>12294</v>
      </c>
      <c r="C8039" s="4" t="s">
        <v>12080</v>
      </c>
      <c r="D8039" s="834">
        <v>21.85</v>
      </c>
    </row>
    <row r="8040" spans="1:4" x14ac:dyDescent="0.3">
      <c r="A8040" s="4">
        <v>40341</v>
      </c>
      <c r="B8040" s="833" t="s">
        <v>12295</v>
      </c>
      <c r="C8040" s="4" t="s">
        <v>12080</v>
      </c>
      <c r="D8040" s="834">
        <v>26.07</v>
      </c>
    </row>
    <row r="8041" spans="1:4" x14ac:dyDescent="0.3">
      <c r="A8041" s="4">
        <v>40342</v>
      </c>
      <c r="B8041" s="833" t="s">
        <v>12296</v>
      </c>
      <c r="C8041" s="4" t="s">
        <v>12080</v>
      </c>
      <c r="D8041" s="834">
        <v>31.1</v>
      </c>
    </row>
    <row r="8042" spans="1:4" x14ac:dyDescent="0.3">
      <c r="A8042" s="4">
        <v>40343</v>
      </c>
      <c r="B8042" s="833" t="s">
        <v>12297</v>
      </c>
      <c r="C8042" s="4" t="s">
        <v>12080</v>
      </c>
      <c r="D8042" s="834">
        <v>36.880000000000003</v>
      </c>
    </row>
    <row r="8043" spans="1:4" x14ac:dyDescent="0.3">
      <c r="A8043" s="4">
        <v>40344</v>
      </c>
      <c r="B8043" s="833" t="s">
        <v>12298</v>
      </c>
      <c r="C8043" s="4" t="s">
        <v>12080</v>
      </c>
      <c r="D8043" s="834">
        <v>50.28</v>
      </c>
    </row>
    <row r="8044" spans="1:4" x14ac:dyDescent="0.3">
      <c r="A8044" s="4">
        <v>40345</v>
      </c>
      <c r="B8044" s="833" t="s">
        <v>12299</v>
      </c>
      <c r="C8044" s="4" t="s">
        <v>12080</v>
      </c>
      <c r="D8044" s="834">
        <v>61.96</v>
      </c>
    </row>
    <row r="8045" spans="1:4" x14ac:dyDescent="0.3">
      <c r="A8045" s="4">
        <v>40346</v>
      </c>
      <c r="B8045" s="833" t="s">
        <v>12300</v>
      </c>
      <c r="C8045" s="4" t="s">
        <v>12080</v>
      </c>
      <c r="D8045" s="834">
        <v>71.87</v>
      </c>
    </row>
    <row r="8046" spans="1:4" x14ac:dyDescent="0.3">
      <c r="A8046" s="4">
        <v>40347</v>
      </c>
      <c r="B8046" s="833" t="s">
        <v>12301</v>
      </c>
      <c r="C8046" s="4" t="s">
        <v>12080</v>
      </c>
      <c r="D8046" s="834">
        <v>90.3</v>
      </c>
    </row>
    <row r="8047" spans="1:4" x14ac:dyDescent="0.3">
      <c r="A8047" s="4">
        <v>6138</v>
      </c>
      <c r="B8047" s="833" t="s">
        <v>12302</v>
      </c>
      <c r="C8047" s="4" t="s">
        <v>12080</v>
      </c>
      <c r="D8047" s="834">
        <v>15.7</v>
      </c>
    </row>
    <row r="8048" spans="1:4" x14ac:dyDescent="0.3">
      <c r="A8048" s="4">
        <v>43424</v>
      </c>
      <c r="B8048" s="833" t="s">
        <v>12303</v>
      </c>
      <c r="C8048" s="4" t="s">
        <v>12080</v>
      </c>
      <c r="D8048" s="834">
        <v>624.15</v>
      </c>
    </row>
    <row r="8049" spans="1:4" x14ac:dyDescent="0.3">
      <c r="A8049" s="4">
        <v>43426</v>
      </c>
      <c r="B8049" s="833" t="s">
        <v>12304</v>
      </c>
      <c r="C8049" s="4" t="s">
        <v>12080</v>
      </c>
      <c r="D8049" s="834">
        <v>2152.6999999999998</v>
      </c>
    </row>
    <row r="8050" spans="1:4" x14ac:dyDescent="0.3">
      <c r="A8050" s="4">
        <v>12565</v>
      </c>
      <c r="B8050" s="833" t="s">
        <v>12305</v>
      </c>
      <c r="C8050" s="4" t="s">
        <v>12080</v>
      </c>
      <c r="D8050" s="834">
        <v>754.92</v>
      </c>
    </row>
    <row r="8051" spans="1:4" x14ac:dyDescent="0.3">
      <c r="A8051" s="4">
        <v>12567</v>
      </c>
      <c r="B8051" s="833" t="s">
        <v>12306</v>
      </c>
      <c r="C8051" s="4" t="s">
        <v>12080</v>
      </c>
      <c r="D8051" s="834">
        <v>1013.99</v>
      </c>
    </row>
    <row r="8052" spans="1:4" x14ac:dyDescent="0.3">
      <c r="A8052" s="4">
        <v>12568</v>
      </c>
      <c r="B8052" s="833" t="s">
        <v>12307</v>
      </c>
      <c r="C8052" s="4" t="s">
        <v>12080</v>
      </c>
      <c r="D8052" s="834">
        <v>1419.58</v>
      </c>
    </row>
    <row r="8053" spans="1:4" x14ac:dyDescent="0.3">
      <c r="A8053" s="4">
        <v>43441</v>
      </c>
      <c r="B8053" s="833" t="s">
        <v>12308</v>
      </c>
      <c r="C8053" s="4" t="s">
        <v>12080</v>
      </c>
      <c r="D8053" s="834">
        <v>182.51</v>
      </c>
    </row>
    <row r="8054" spans="1:4" x14ac:dyDescent="0.3">
      <c r="A8054" s="4">
        <v>43423</v>
      </c>
      <c r="B8054" s="833" t="s">
        <v>12309</v>
      </c>
      <c r="C8054" s="4" t="s">
        <v>12080</v>
      </c>
      <c r="D8054" s="834">
        <v>85.17</v>
      </c>
    </row>
    <row r="8055" spans="1:4" x14ac:dyDescent="0.3">
      <c r="A8055" s="4">
        <v>12532</v>
      </c>
      <c r="B8055" s="833" t="s">
        <v>12310</v>
      </c>
      <c r="C8055" s="4" t="s">
        <v>12080</v>
      </c>
      <c r="D8055" s="834">
        <v>131.36000000000001</v>
      </c>
    </row>
    <row r="8056" spans="1:4" x14ac:dyDescent="0.3">
      <c r="A8056" s="4">
        <v>43444</v>
      </c>
      <c r="B8056" s="833" t="s">
        <v>12311</v>
      </c>
      <c r="C8056" s="4" t="s">
        <v>12080</v>
      </c>
      <c r="D8056" s="834">
        <v>441.08</v>
      </c>
    </row>
    <row r="8057" spans="1:4" x14ac:dyDescent="0.3">
      <c r="A8057" s="4">
        <v>12551</v>
      </c>
      <c r="B8057" s="833" t="s">
        <v>12312</v>
      </c>
      <c r="C8057" s="4" t="s">
        <v>12080</v>
      </c>
      <c r="D8057" s="834">
        <v>314.7</v>
      </c>
    </row>
    <row r="8058" spans="1:4" x14ac:dyDescent="0.3">
      <c r="A8058" s="4">
        <v>43442</v>
      </c>
      <c r="B8058" s="833" t="s">
        <v>12313</v>
      </c>
      <c r="C8058" s="4" t="s">
        <v>12080</v>
      </c>
      <c r="D8058" s="834">
        <v>243.35</v>
      </c>
    </row>
    <row r="8059" spans="1:4" x14ac:dyDescent="0.3">
      <c r="A8059" s="4">
        <v>43443</v>
      </c>
      <c r="B8059" s="833" t="s">
        <v>12314</v>
      </c>
      <c r="C8059" s="4" t="s">
        <v>12080</v>
      </c>
      <c r="D8059" s="834">
        <v>319.39999999999998</v>
      </c>
    </row>
    <row r="8060" spans="1:4" x14ac:dyDescent="0.3">
      <c r="A8060" s="4">
        <v>12544</v>
      </c>
      <c r="B8060" s="833" t="s">
        <v>12315</v>
      </c>
      <c r="C8060" s="4" t="s">
        <v>12080</v>
      </c>
      <c r="D8060" s="834">
        <v>172.37</v>
      </c>
    </row>
    <row r="8061" spans="1:4" x14ac:dyDescent="0.3">
      <c r="A8061" s="4">
        <v>12547</v>
      </c>
      <c r="B8061" s="833" t="s">
        <v>12316</v>
      </c>
      <c r="C8061" s="4" t="s">
        <v>12080</v>
      </c>
      <c r="D8061" s="834">
        <v>231.83</v>
      </c>
    </row>
    <row r="8062" spans="1:4" x14ac:dyDescent="0.3">
      <c r="A8062" s="4">
        <v>43445</v>
      </c>
      <c r="B8062" s="833" t="s">
        <v>12317</v>
      </c>
      <c r="C8062" s="4" t="s">
        <v>12080</v>
      </c>
      <c r="D8062" s="834">
        <v>608.39</v>
      </c>
    </row>
    <row r="8063" spans="1:4" x14ac:dyDescent="0.3">
      <c r="A8063" s="4">
        <v>12563</v>
      </c>
      <c r="B8063" s="833" t="s">
        <v>12318</v>
      </c>
      <c r="C8063" s="4" t="s">
        <v>12080</v>
      </c>
      <c r="D8063" s="834">
        <v>435.28</v>
      </c>
    </row>
    <row r="8064" spans="1:4" x14ac:dyDescent="0.3">
      <c r="A8064" s="4">
        <v>43425</v>
      </c>
      <c r="B8064" s="833" t="s">
        <v>12319</v>
      </c>
      <c r="C8064" s="4" t="s">
        <v>12080</v>
      </c>
      <c r="D8064" s="834">
        <v>273.77</v>
      </c>
    </row>
    <row r="8065" spans="1:4" x14ac:dyDescent="0.3">
      <c r="A8065" s="4">
        <v>43446</v>
      </c>
      <c r="B8065" s="833" t="s">
        <v>12320</v>
      </c>
      <c r="C8065" s="4" t="s">
        <v>12080</v>
      </c>
      <c r="D8065" s="834">
        <v>577.97</v>
      </c>
    </row>
    <row r="8066" spans="1:4" x14ac:dyDescent="0.3">
      <c r="A8066" s="4">
        <v>43447</v>
      </c>
      <c r="B8066" s="833" t="s">
        <v>12321</v>
      </c>
      <c r="C8066" s="4" t="s">
        <v>12080</v>
      </c>
      <c r="D8066" s="834">
        <v>709.79</v>
      </c>
    </row>
    <row r="8067" spans="1:4" x14ac:dyDescent="0.3">
      <c r="A8067" s="4">
        <v>43448</v>
      </c>
      <c r="B8067" s="833" t="s">
        <v>12322</v>
      </c>
      <c r="C8067" s="4" t="s">
        <v>12080</v>
      </c>
      <c r="D8067" s="834">
        <v>993.71</v>
      </c>
    </row>
    <row r="8068" spans="1:4" x14ac:dyDescent="0.3">
      <c r="A8068" s="4">
        <v>13761</v>
      </c>
      <c r="B8068" s="833" t="s">
        <v>12323</v>
      </c>
      <c r="C8068" s="4" t="s">
        <v>12080</v>
      </c>
      <c r="D8068" s="834">
        <v>2233.88</v>
      </c>
    </row>
    <row r="8069" spans="1:4" x14ac:dyDescent="0.3">
      <c r="A8069" s="4">
        <v>4814</v>
      </c>
      <c r="B8069" s="833" t="s">
        <v>12324</v>
      </c>
      <c r="C8069" s="4" t="s">
        <v>12080</v>
      </c>
      <c r="D8069" s="834">
        <v>55.16</v>
      </c>
    </row>
    <row r="8070" spans="1:4" x14ac:dyDescent="0.3">
      <c r="A8070" s="4">
        <v>44473</v>
      </c>
      <c r="B8070" s="833" t="s">
        <v>12325</v>
      </c>
      <c r="C8070" s="4" t="s">
        <v>12080</v>
      </c>
      <c r="D8070" s="834">
        <v>2428.08</v>
      </c>
    </row>
    <row r="8071" spans="1:4" x14ac:dyDescent="0.3">
      <c r="A8071" s="4">
        <v>6122</v>
      </c>
      <c r="B8071" s="833" t="s">
        <v>12326</v>
      </c>
      <c r="C8071" s="4" t="s">
        <v>12226</v>
      </c>
      <c r="D8071" s="834">
        <v>33.03</v>
      </c>
    </row>
    <row r="8072" spans="1:4" x14ac:dyDescent="0.3">
      <c r="A8072" s="4">
        <v>40810</v>
      </c>
      <c r="B8072" s="833" t="s">
        <v>12327</v>
      </c>
      <c r="C8072" s="4" t="s">
        <v>12228</v>
      </c>
      <c r="D8072" s="834">
        <v>5883.34</v>
      </c>
    </row>
    <row r="8073" spans="1:4" x14ac:dyDescent="0.3">
      <c r="A8073" s="4">
        <v>21100</v>
      </c>
      <c r="B8073" s="833" t="s">
        <v>12328</v>
      </c>
      <c r="C8073" s="4" t="s">
        <v>12080</v>
      </c>
      <c r="D8073" s="834">
        <v>3845.1</v>
      </c>
    </row>
    <row r="8074" spans="1:4" x14ac:dyDescent="0.3">
      <c r="A8074" s="4">
        <v>11811</v>
      </c>
      <c r="B8074" s="833" t="s">
        <v>12329</v>
      </c>
      <c r="C8074" s="4" t="s">
        <v>12080</v>
      </c>
      <c r="D8074" s="834">
        <v>5550.48</v>
      </c>
    </row>
    <row r="8075" spans="1:4" x14ac:dyDescent="0.3">
      <c r="A8075" s="4">
        <v>11816</v>
      </c>
      <c r="B8075" s="833" t="s">
        <v>12330</v>
      </c>
      <c r="C8075" s="4" t="s">
        <v>12080</v>
      </c>
      <c r="D8075" s="834">
        <v>4100</v>
      </c>
    </row>
    <row r="8076" spans="1:4" x14ac:dyDescent="0.3">
      <c r="A8076" s="4">
        <v>11814</v>
      </c>
      <c r="B8076" s="833" t="s">
        <v>12331</v>
      </c>
      <c r="C8076" s="4" t="s">
        <v>12080</v>
      </c>
      <c r="D8076" s="834">
        <v>8924.67</v>
      </c>
    </row>
    <row r="8077" spans="1:4" x14ac:dyDescent="0.3">
      <c r="A8077" s="4">
        <v>14186</v>
      </c>
      <c r="B8077" s="833" t="s">
        <v>12332</v>
      </c>
      <c r="C8077" s="4" t="s">
        <v>12080</v>
      </c>
      <c r="D8077" s="834">
        <v>11206.13</v>
      </c>
    </row>
    <row r="8078" spans="1:4" x14ac:dyDescent="0.3">
      <c r="A8078" s="4">
        <v>14185</v>
      </c>
      <c r="B8078" s="833" t="s">
        <v>12333</v>
      </c>
      <c r="C8078" s="4" t="s">
        <v>12080</v>
      </c>
      <c r="D8078" s="834">
        <v>14516.3</v>
      </c>
    </row>
    <row r="8079" spans="1:4" x14ac:dyDescent="0.3">
      <c r="A8079" s="4">
        <v>44498</v>
      </c>
      <c r="B8079" s="833" t="s">
        <v>12334</v>
      </c>
      <c r="C8079" s="4" t="s">
        <v>12080</v>
      </c>
      <c r="D8079" s="834">
        <v>318204.48</v>
      </c>
    </row>
    <row r="8080" spans="1:4" x14ac:dyDescent="0.3">
      <c r="A8080" s="4">
        <v>34469</v>
      </c>
      <c r="B8080" s="833" t="s">
        <v>12335</v>
      </c>
      <c r="C8080" s="4" t="s">
        <v>12080</v>
      </c>
      <c r="D8080" s="834">
        <v>11310.87</v>
      </c>
    </row>
    <row r="8081" spans="1:4" x14ac:dyDescent="0.3">
      <c r="A8081" s="4">
        <v>34476</v>
      </c>
      <c r="B8081" s="833" t="s">
        <v>12336</v>
      </c>
      <c r="C8081" s="4" t="s">
        <v>12080</v>
      </c>
      <c r="D8081" s="834">
        <v>5899.09</v>
      </c>
    </row>
    <row r="8082" spans="1:4" x14ac:dyDescent="0.3">
      <c r="A8082" s="4">
        <v>34477</v>
      </c>
      <c r="B8082" s="833" t="s">
        <v>12337</v>
      </c>
      <c r="C8082" s="4" t="s">
        <v>12080</v>
      </c>
      <c r="D8082" s="834">
        <v>7829.24</v>
      </c>
    </row>
    <row r="8083" spans="1:4" x14ac:dyDescent="0.3">
      <c r="A8083" s="4">
        <v>34482</v>
      </c>
      <c r="B8083" s="833" t="s">
        <v>12338</v>
      </c>
      <c r="C8083" s="4" t="s">
        <v>12080</v>
      </c>
      <c r="D8083" s="834">
        <v>7312.08</v>
      </c>
    </row>
    <row r="8084" spans="1:4" x14ac:dyDescent="0.3">
      <c r="A8084" s="4">
        <v>34472</v>
      </c>
      <c r="B8084" s="833" t="s">
        <v>12339</v>
      </c>
      <c r="C8084" s="4" t="s">
        <v>12080</v>
      </c>
      <c r="D8084" s="834">
        <v>3480</v>
      </c>
    </row>
    <row r="8085" spans="1:4" x14ac:dyDescent="0.3">
      <c r="A8085" s="4">
        <v>42425</v>
      </c>
      <c r="B8085" s="833" t="s">
        <v>12340</v>
      </c>
      <c r="C8085" s="4" t="s">
        <v>12080</v>
      </c>
      <c r="D8085" s="834">
        <v>3028.61</v>
      </c>
    </row>
    <row r="8086" spans="1:4" x14ac:dyDescent="0.3">
      <c r="A8086" s="4">
        <v>42422</v>
      </c>
      <c r="B8086" s="833" t="s">
        <v>12341</v>
      </c>
      <c r="C8086" s="4" t="s">
        <v>12080</v>
      </c>
      <c r="D8086" s="834">
        <v>4496.07</v>
      </c>
    </row>
    <row r="8087" spans="1:4" x14ac:dyDescent="0.3">
      <c r="A8087" s="4">
        <v>43184</v>
      </c>
      <c r="B8087" s="833" t="s">
        <v>12342</v>
      </c>
      <c r="C8087" s="4" t="s">
        <v>12080</v>
      </c>
      <c r="D8087" s="834">
        <v>6214</v>
      </c>
    </row>
    <row r="8088" spans="1:4" x14ac:dyDescent="0.3">
      <c r="A8088" s="4">
        <v>42424</v>
      </c>
      <c r="B8088" s="833" t="s">
        <v>12343</v>
      </c>
      <c r="C8088" s="4" t="s">
        <v>12080</v>
      </c>
      <c r="D8088" s="834">
        <v>2704.81</v>
      </c>
    </row>
    <row r="8089" spans="1:4" x14ac:dyDescent="0.3">
      <c r="A8089" s="4">
        <v>42421</v>
      </c>
      <c r="B8089" s="833" t="s">
        <v>12344</v>
      </c>
      <c r="C8089" s="4" t="s">
        <v>12080</v>
      </c>
      <c r="D8089" s="834">
        <v>24627</v>
      </c>
    </row>
    <row r="8090" spans="1:4" x14ac:dyDescent="0.3">
      <c r="A8090" s="4">
        <v>42416</v>
      </c>
      <c r="B8090" s="833" t="s">
        <v>12345</v>
      </c>
      <c r="C8090" s="4" t="s">
        <v>12080</v>
      </c>
      <c r="D8090" s="834">
        <v>11660.13</v>
      </c>
    </row>
    <row r="8091" spans="1:4" x14ac:dyDescent="0.3">
      <c r="A8091" s="4">
        <v>42417</v>
      </c>
      <c r="B8091" s="833" t="s">
        <v>12346</v>
      </c>
      <c r="C8091" s="4" t="s">
        <v>12080</v>
      </c>
      <c r="D8091" s="834">
        <v>13071.96</v>
      </c>
    </row>
    <row r="8092" spans="1:4" x14ac:dyDescent="0.3">
      <c r="A8092" s="4">
        <v>42419</v>
      </c>
      <c r="B8092" s="833" t="s">
        <v>12347</v>
      </c>
      <c r="C8092" s="4" t="s">
        <v>12080</v>
      </c>
      <c r="D8092" s="834">
        <v>14768.54</v>
      </c>
    </row>
    <row r="8093" spans="1:4" x14ac:dyDescent="0.3">
      <c r="A8093" s="4">
        <v>42420</v>
      </c>
      <c r="B8093" s="833" t="s">
        <v>12348</v>
      </c>
      <c r="C8093" s="4" t="s">
        <v>12080</v>
      </c>
      <c r="D8093" s="834">
        <v>20298.259999999998</v>
      </c>
    </row>
    <row r="8094" spans="1:4" x14ac:dyDescent="0.3">
      <c r="A8094" s="4">
        <v>43195</v>
      </c>
      <c r="B8094" s="833" t="s">
        <v>12349</v>
      </c>
      <c r="C8094" s="4" t="s">
        <v>12080</v>
      </c>
      <c r="D8094" s="834">
        <v>7147.31</v>
      </c>
    </row>
    <row r="8095" spans="1:4" x14ac:dyDescent="0.3">
      <c r="A8095" s="4">
        <v>43196</v>
      </c>
      <c r="B8095" s="833" t="s">
        <v>12350</v>
      </c>
      <c r="C8095" s="4" t="s">
        <v>12080</v>
      </c>
      <c r="D8095" s="834">
        <v>8858.06</v>
      </c>
    </row>
    <row r="8096" spans="1:4" x14ac:dyDescent="0.3">
      <c r="A8096" s="4">
        <v>43198</v>
      </c>
      <c r="B8096" s="833" t="s">
        <v>12351</v>
      </c>
      <c r="C8096" s="4" t="s">
        <v>12080</v>
      </c>
      <c r="D8096" s="834">
        <v>13162.86</v>
      </c>
    </row>
    <row r="8097" spans="1:4" x14ac:dyDescent="0.3">
      <c r="A8097" s="4">
        <v>43199</v>
      </c>
      <c r="B8097" s="833" t="s">
        <v>12352</v>
      </c>
      <c r="C8097" s="4" t="s">
        <v>12080</v>
      </c>
      <c r="D8097" s="834">
        <v>13645.2</v>
      </c>
    </row>
    <row r="8098" spans="1:4" x14ac:dyDescent="0.3">
      <c r="A8098" s="4">
        <v>43200</v>
      </c>
      <c r="B8098" s="833" t="s">
        <v>12353</v>
      </c>
      <c r="C8098" s="4" t="s">
        <v>12080</v>
      </c>
      <c r="D8098" s="834">
        <v>15658.86</v>
      </c>
    </row>
    <row r="8099" spans="1:4" x14ac:dyDescent="0.3">
      <c r="A8099" s="4">
        <v>39556</v>
      </c>
      <c r="B8099" s="833" t="s">
        <v>12354</v>
      </c>
      <c r="C8099" s="4" t="s">
        <v>12080</v>
      </c>
      <c r="D8099" s="834">
        <v>8552.41</v>
      </c>
    </row>
    <row r="8100" spans="1:4" x14ac:dyDescent="0.3">
      <c r="A8100" s="4">
        <v>39557</v>
      </c>
      <c r="B8100" s="833" t="s">
        <v>12355</v>
      </c>
      <c r="C8100" s="4" t="s">
        <v>12080</v>
      </c>
      <c r="D8100" s="834">
        <v>9209.08</v>
      </c>
    </row>
    <row r="8101" spans="1:4" x14ac:dyDescent="0.3">
      <c r="A8101" s="4">
        <v>39559</v>
      </c>
      <c r="B8101" s="833" t="s">
        <v>12356</v>
      </c>
      <c r="C8101" s="4" t="s">
        <v>12080</v>
      </c>
      <c r="D8101" s="834">
        <v>13609.24</v>
      </c>
    </row>
    <row r="8102" spans="1:4" x14ac:dyDescent="0.3">
      <c r="A8102" s="4">
        <v>39560</v>
      </c>
      <c r="B8102" s="833" t="s">
        <v>12357</v>
      </c>
      <c r="C8102" s="4" t="s">
        <v>12080</v>
      </c>
      <c r="D8102" s="834">
        <v>15744.56</v>
      </c>
    </row>
    <row r="8103" spans="1:4" x14ac:dyDescent="0.3">
      <c r="A8103" s="4">
        <v>39561</v>
      </c>
      <c r="B8103" s="833" t="s">
        <v>12358</v>
      </c>
      <c r="C8103" s="4" t="s">
        <v>12080</v>
      </c>
      <c r="D8103" s="834">
        <v>16470.82</v>
      </c>
    </row>
    <row r="8104" spans="1:4" x14ac:dyDescent="0.3">
      <c r="A8104" s="4">
        <v>43190</v>
      </c>
      <c r="B8104" s="833" t="s">
        <v>12359</v>
      </c>
      <c r="C8104" s="4" t="s">
        <v>12080</v>
      </c>
      <c r="D8104" s="834">
        <v>2430.66</v>
      </c>
    </row>
    <row r="8105" spans="1:4" x14ac:dyDescent="0.3">
      <c r="A8105" s="4">
        <v>39555</v>
      </c>
      <c r="B8105" s="833" t="s">
        <v>12360</v>
      </c>
      <c r="C8105" s="4" t="s">
        <v>12080</v>
      </c>
      <c r="D8105" s="834">
        <v>2629.34</v>
      </c>
    </row>
    <row r="8106" spans="1:4" x14ac:dyDescent="0.3">
      <c r="A8106" s="4">
        <v>43191</v>
      </c>
      <c r="B8106" s="833" t="s">
        <v>12361</v>
      </c>
      <c r="C8106" s="4" t="s">
        <v>12080</v>
      </c>
      <c r="D8106" s="834">
        <v>3497.39</v>
      </c>
    </row>
    <row r="8107" spans="1:4" x14ac:dyDescent="0.3">
      <c r="A8107" s="4">
        <v>39548</v>
      </c>
      <c r="B8107" s="833" t="s">
        <v>12362</v>
      </c>
      <c r="C8107" s="4" t="s">
        <v>12080</v>
      </c>
      <c r="D8107" s="834">
        <v>3900.13</v>
      </c>
    </row>
    <row r="8108" spans="1:4" x14ac:dyDescent="0.3">
      <c r="A8108" s="4">
        <v>43192</v>
      </c>
      <c r="B8108" s="833" t="s">
        <v>12363</v>
      </c>
      <c r="C8108" s="4" t="s">
        <v>12080</v>
      </c>
      <c r="D8108" s="834">
        <v>4581.2700000000004</v>
      </c>
    </row>
    <row r="8109" spans="1:4" x14ac:dyDescent="0.3">
      <c r="A8109" s="4">
        <v>39554</v>
      </c>
      <c r="B8109" s="833" t="s">
        <v>12364</v>
      </c>
      <c r="C8109" s="4" t="s">
        <v>12080</v>
      </c>
      <c r="D8109" s="834">
        <v>5157.34</v>
      </c>
    </row>
    <row r="8110" spans="1:4" x14ac:dyDescent="0.3">
      <c r="A8110" s="4">
        <v>43194</v>
      </c>
      <c r="B8110" s="833" t="s">
        <v>12365</v>
      </c>
      <c r="C8110" s="4" t="s">
        <v>12080</v>
      </c>
      <c r="D8110" s="834">
        <v>2082.27</v>
      </c>
    </row>
    <row r="8111" spans="1:4" x14ac:dyDescent="0.3">
      <c r="A8111" s="4">
        <v>39551</v>
      </c>
      <c r="B8111" s="833" t="s">
        <v>12366</v>
      </c>
      <c r="C8111" s="4" t="s">
        <v>12080</v>
      </c>
      <c r="D8111" s="834">
        <v>2292.8000000000002</v>
      </c>
    </row>
    <row r="8112" spans="1:4" x14ac:dyDescent="0.3">
      <c r="A8112" s="4">
        <v>43185</v>
      </c>
      <c r="B8112" s="833" t="s">
        <v>12367</v>
      </c>
      <c r="C8112" s="4" t="s">
        <v>12080</v>
      </c>
      <c r="D8112" s="834">
        <v>6515.74</v>
      </c>
    </row>
    <row r="8113" spans="1:4" x14ac:dyDescent="0.3">
      <c r="A8113" s="4">
        <v>43186</v>
      </c>
      <c r="B8113" s="833" t="s">
        <v>12368</v>
      </c>
      <c r="C8113" s="4" t="s">
        <v>12080</v>
      </c>
      <c r="D8113" s="834">
        <v>6872.79</v>
      </c>
    </row>
    <row r="8114" spans="1:4" x14ac:dyDescent="0.3">
      <c r="A8114" s="4">
        <v>43187</v>
      </c>
      <c r="B8114" s="833" t="s">
        <v>12369</v>
      </c>
      <c r="C8114" s="4" t="s">
        <v>12080</v>
      </c>
      <c r="D8114" s="834">
        <v>9120.26</v>
      </c>
    </row>
    <row r="8115" spans="1:4" x14ac:dyDescent="0.3">
      <c r="A8115" s="4">
        <v>43188</v>
      </c>
      <c r="B8115" s="833" t="s">
        <v>12370</v>
      </c>
      <c r="C8115" s="4" t="s">
        <v>12080</v>
      </c>
      <c r="D8115" s="834">
        <v>11050.4</v>
      </c>
    </row>
    <row r="8116" spans="1:4" x14ac:dyDescent="0.3">
      <c r="A8116" s="4">
        <v>43189</v>
      </c>
      <c r="B8116" s="833" t="s">
        <v>12371</v>
      </c>
      <c r="C8116" s="4" t="s">
        <v>12080</v>
      </c>
      <c r="D8116" s="834">
        <v>12429.86</v>
      </c>
    </row>
    <row r="8117" spans="1:4" x14ac:dyDescent="0.3">
      <c r="A8117" s="4">
        <v>39580</v>
      </c>
      <c r="B8117" s="833" t="s">
        <v>12372</v>
      </c>
      <c r="C8117" s="4" t="s">
        <v>12080</v>
      </c>
      <c r="D8117" s="834">
        <v>97952.37</v>
      </c>
    </row>
    <row r="8118" spans="1:4" x14ac:dyDescent="0.3">
      <c r="A8118" s="4">
        <v>39577</v>
      </c>
      <c r="B8118" s="833" t="s">
        <v>12373</v>
      </c>
      <c r="C8118" s="4" t="s">
        <v>12080</v>
      </c>
      <c r="D8118" s="834">
        <v>30658.880000000001</v>
      </c>
    </row>
    <row r="8119" spans="1:4" x14ac:dyDescent="0.3">
      <c r="A8119" s="4">
        <v>39578</v>
      </c>
      <c r="B8119" s="833" t="s">
        <v>12374</v>
      </c>
      <c r="C8119" s="4" t="s">
        <v>12080</v>
      </c>
      <c r="D8119" s="834">
        <v>39565.89</v>
      </c>
    </row>
    <row r="8120" spans="1:4" x14ac:dyDescent="0.3">
      <c r="A8120" s="4">
        <v>39579</v>
      </c>
      <c r="B8120" s="833" t="s">
        <v>12375</v>
      </c>
      <c r="C8120" s="4" t="s">
        <v>12080</v>
      </c>
      <c r="D8120" s="834">
        <v>57565.279999999999</v>
      </c>
    </row>
    <row r="8121" spans="1:4" x14ac:dyDescent="0.3">
      <c r="A8121" s="4">
        <v>39826</v>
      </c>
      <c r="B8121" s="833" t="s">
        <v>12376</v>
      </c>
      <c r="C8121" s="4" t="s">
        <v>12080</v>
      </c>
      <c r="D8121" s="834">
        <v>7070.06</v>
      </c>
    </row>
    <row r="8122" spans="1:4" x14ac:dyDescent="0.3">
      <c r="A8122" s="4">
        <v>10700</v>
      </c>
      <c r="B8122" s="833" t="s">
        <v>12377</v>
      </c>
      <c r="C8122" s="4" t="s">
        <v>12080</v>
      </c>
      <c r="D8122" s="834">
        <v>22731.29</v>
      </c>
    </row>
    <row r="8123" spans="1:4" x14ac:dyDescent="0.3">
      <c r="A8123" s="4">
        <v>346</v>
      </c>
      <c r="B8123" s="833" t="s">
        <v>12378</v>
      </c>
      <c r="C8123" s="4" t="s">
        <v>12126</v>
      </c>
      <c r="D8123" s="834">
        <v>22.95</v>
      </c>
    </row>
    <row r="8124" spans="1:4" x14ac:dyDescent="0.3">
      <c r="A8124" s="4">
        <v>3312</v>
      </c>
      <c r="B8124" s="833" t="s">
        <v>12379</v>
      </c>
      <c r="C8124" s="4" t="s">
        <v>12126</v>
      </c>
      <c r="D8124" s="834">
        <v>20.329999999999998</v>
      </c>
    </row>
    <row r="8125" spans="1:4" x14ac:dyDescent="0.3">
      <c r="A8125" s="4">
        <v>339</v>
      </c>
      <c r="B8125" s="833" t="s">
        <v>12380</v>
      </c>
      <c r="C8125" s="4" t="s">
        <v>1803</v>
      </c>
      <c r="D8125" s="834">
        <v>1.18</v>
      </c>
    </row>
    <row r="8126" spans="1:4" x14ac:dyDescent="0.3">
      <c r="A8126" s="4">
        <v>340</v>
      </c>
      <c r="B8126" s="833" t="s">
        <v>12381</v>
      </c>
      <c r="C8126" s="4" t="s">
        <v>1803</v>
      </c>
      <c r="D8126" s="834">
        <v>1.07</v>
      </c>
    </row>
    <row r="8127" spans="1:4" x14ac:dyDescent="0.3">
      <c r="A8127" s="4">
        <v>43130</v>
      </c>
      <c r="B8127" s="833" t="s">
        <v>12382</v>
      </c>
      <c r="C8127" s="4" t="s">
        <v>12126</v>
      </c>
      <c r="D8127" s="834">
        <v>19.38</v>
      </c>
    </row>
    <row r="8128" spans="1:4" x14ac:dyDescent="0.3">
      <c r="A8128" s="4">
        <v>344</v>
      </c>
      <c r="B8128" s="833" t="s">
        <v>12383</v>
      </c>
      <c r="C8128" s="4" t="s">
        <v>12126</v>
      </c>
      <c r="D8128" s="834">
        <v>25.47</v>
      </c>
    </row>
    <row r="8129" spans="1:4" x14ac:dyDescent="0.3">
      <c r="A8129" s="4">
        <v>345</v>
      </c>
      <c r="B8129" s="833" t="s">
        <v>12384</v>
      </c>
      <c r="C8129" s="4" t="s">
        <v>12126</v>
      </c>
      <c r="D8129" s="834">
        <v>27.64</v>
      </c>
    </row>
    <row r="8130" spans="1:4" x14ac:dyDescent="0.3">
      <c r="A8130" s="4">
        <v>43131</v>
      </c>
      <c r="B8130" s="833" t="s">
        <v>12385</v>
      </c>
      <c r="C8130" s="4" t="s">
        <v>12126</v>
      </c>
      <c r="D8130" s="834">
        <v>22.51</v>
      </c>
    </row>
    <row r="8131" spans="1:4" x14ac:dyDescent="0.3">
      <c r="A8131" s="4">
        <v>3313</v>
      </c>
      <c r="B8131" s="833" t="s">
        <v>12386</v>
      </c>
      <c r="C8131" s="4" t="s">
        <v>12126</v>
      </c>
      <c r="D8131" s="834">
        <v>26.16</v>
      </c>
    </row>
    <row r="8132" spans="1:4" x14ac:dyDescent="0.3">
      <c r="A8132" s="4">
        <v>43132</v>
      </c>
      <c r="B8132" s="833" t="s">
        <v>12387</v>
      </c>
      <c r="C8132" s="4" t="s">
        <v>12126</v>
      </c>
      <c r="D8132" s="834">
        <v>19.38</v>
      </c>
    </row>
    <row r="8133" spans="1:4" x14ac:dyDescent="0.3">
      <c r="A8133" s="4">
        <v>366</v>
      </c>
      <c r="B8133" s="833" t="s">
        <v>12388</v>
      </c>
      <c r="C8133" s="4" t="s">
        <v>12224</v>
      </c>
      <c r="D8133" s="834">
        <v>200</v>
      </c>
    </row>
    <row r="8134" spans="1:4" x14ac:dyDescent="0.3">
      <c r="A8134" s="4">
        <v>367</v>
      </c>
      <c r="B8134" s="833" t="s">
        <v>12389</v>
      </c>
      <c r="C8134" s="4" t="s">
        <v>12224</v>
      </c>
      <c r="D8134" s="834">
        <v>202.61</v>
      </c>
    </row>
    <row r="8135" spans="1:4" x14ac:dyDescent="0.3">
      <c r="A8135" s="4">
        <v>370</v>
      </c>
      <c r="B8135" s="833" t="s">
        <v>12390</v>
      </c>
      <c r="C8135" s="4" t="s">
        <v>12224</v>
      </c>
      <c r="D8135" s="834">
        <v>200</v>
      </c>
    </row>
    <row r="8136" spans="1:4" x14ac:dyDescent="0.3">
      <c r="A8136" s="4">
        <v>368</v>
      </c>
      <c r="B8136" s="833" t="s">
        <v>12391</v>
      </c>
      <c r="C8136" s="4" t="s">
        <v>12224</v>
      </c>
      <c r="D8136" s="834">
        <v>100</v>
      </c>
    </row>
    <row r="8137" spans="1:4" x14ac:dyDescent="0.3">
      <c r="A8137" s="4">
        <v>11075</v>
      </c>
      <c r="B8137" s="833" t="s">
        <v>12392</v>
      </c>
      <c r="C8137" s="4" t="s">
        <v>12224</v>
      </c>
      <c r="D8137" s="834">
        <v>2295.38</v>
      </c>
    </row>
    <row r="8138" spans="1:4" x14ac:dyDescent="0.3">
      <c r="A8138" s="4">
        <v>1381</v>
      </c>
      <c r="B8138" s="833" t="s">
        <v>12393</v>
      </c>
      <c r="C8138" s="4" t="s">
        <v>12126</v>
      </c>
      <c r="D8138" s="834">
        <v>0.7</v>
      </c>
    </row>
    <row r="8139" spans="1:4" x14ac:dyDescent="0.3">
      <c r="A8139" s="4">
        <v>34353</v>
      </c>
      <c r="B8139" s="833" t="s">
        <v>12394</v>
      </c>
      <c r="C8139" s="4" t="s">
        <v>12126</v>
      </c>
      <c r="D8139" s="834">
        <v>1.3</v>
      </c>
    </row>
    <row r="8140" spans="1:4" x14ac:dyDescent="0.3">
      <c r="A8140" s="4">
        <v>37595</v>
      </c>
      <c r="B8140" s="833" t="s">
        <v>12395</v>
      </c>
      <c r="C8140" s="4" t="s">
        <v>12126</v>
      </c>
      <c r="D8140" s="834">
        <v>2.15</v>
      </c>
    </row>
    <row r="8141" spans="1:4" x14ac:dyDescent="0.3">
      <c r="A8141" s="4">
        <v>37596</v>
      </c>
      <c r="B8141" s="833" t="s">
        <v>12396</v>
      </c>
      <c r="C8141" s="4" t="s">
        <v>12126</v>
      </c>
      <c r="D8141" s="834">
        <v>2.4700000000000002</v>
      </c>
    </row>
    <row r="8142" spans="1:4" x14ac:dyDescent="0.3">
      <c r="A8142" s="4">
        <v>371</v>
      </c>
      <c r="B8142" s="833" t="s">
        <v>12397</v>
      </c>
      <c r="C8142" s="4" t="s">
        <v>12126</v>
      </c>
      <c r="D8142" s="834">
        <v>0.76</v>
      </c>
    </row>
    <row r="8143" spans="1:4" x14ac:dyDescent="0.3">
      <c r="A8143" s="4">
        <v>37553</v>
      </c>
      <c r="B8143" s="833" t="s">
        <v>12398</v>
      </c>
      <c r="C8143" s="4" t="s">
        <v>12126</v>
      </c>
      <c r="D8143" s="834">
        <v>1.43</v>
      </c>
    </row>
    <row r="8144" spans="1:4" x14ac:dyDescent="0.3">
      <c r="A8144" s="4">
        <v>37552</v>
      </c>
      <c r="B8144" s="833" t="s">
        <v>12399</v>
      </c>
      <c r="C8144" s="4" t="s">
        <v>12126</v>
      </c>
      <c r="D8144" s="834">
        <v>2.2999999999999998</v>
      </c>
    </row>
    <row r="8145" spans="1:4" x14ac:dyDescent="0.3">
      <c r="A8145" s="4">
        <v>36880</v>
      </c>
      <c r="B8145" s="833" t="s">
        <v>12400</v>
      </c>
      <c r="C8145" s="4" t="s">
        <v>12126</v>
      </c>
      <c r="D8145" s="834">
        <v>2.33</v>
      </c>
    </row>
    <row r="8146" spans="1:4" x14ac:dyDescent="0.3">
      <c r="A8146" s="4">
        <v>34355</v>
      </c>
      <c r="B8146" s="833" t="s">
        <v>12401</v>
      </c>
      <c r="C8146" s="4" t="s">
        <v>12126</v>
      </c>
      <c r="D8146" s="834">
        <v>2.0099999999999998</v>
      </c>
    </row>
    <row r="8147" spans="1:4" x14ac:dyDescent="0.3">
      <c r="A8147" s="4">
        <v>130</v>
      </c>
      <c r="B8147" s="833" t="s">
        <v>12402</v>
      </c>
      <c r="C8147" s="4" t="s">
        <v>12126</v>
      </c>
      <c r="D8147" s="834">
        <v>4.72</v>
      </c>
    </row>
    <row r="8148" spans="1:4" x14ac:dyDescent="0.3">
      <c r="A8148" s="4">
        <v>135</v>
      </c>
      <c r="B8148" s="833" t="s">
        <v>12403</v>
      </c>
      <c r="C8148" s="4" t="s">
        <v>12126</v>
      </c>
      <c r="D8148" s="834">
        <v>3.8</v>
      </c>
    </row>
    <row r="8149" spans="1:4" x14ac:dyDescent="0.3">
      <c r="A8149" s="4">
        <v>36886</v>
      </c>
      <c r="B8149" s="833" t="s">
        <v>12404</v>
      </c>
      <c r="C8149" s="4" t="s">
        <v>12126</v>
      </c>
      <c r="D8149" s="834">
        <v>0.72</v>
      </c>
    </row>
    <row r="8150" spans="1:4" x14ac:dyDescent="0.3">
      <c r="A8150" s="4">
        <v>38546</v>
      </c>
      <c r="B8150" s="833" t="s">
        <v>12405</v>
      </c>
      <c r="C8150" s="4" t="s">
        <v>12224</v>
      </c>
      <c r="D8150" s="834">
        <v>512.84</v>
      </c>
    </row>
    <row r="8151" spans="1:4" x14ac:dyDescent="0.3">
      <c r="A8151" s="4">
        <v>34549</v>
      </c>
      <c r="B8151" s="833" t="s">
        <v>12406</v>
      </c>
      <c r="C8151" s="4" t="s">
        <v>12224</v>
      </c>
      <c r="D8151" s="834">
        <v>747.19</v>
      </c>
    </row>
    <row r="8152" spans="1:4" x14ac:dyDescent="0.3">
      <c r="A8152" s="4">
        <v>6081</v>
      </c>
      <c r="B8152" s="833" t="s">
        <v>12407</v>
      </c>
      <c r="C8152" s="4" t="s">
        <v>12224</v>
      </c>
      <c r="D8152" s="834">
        <v>52.3</v>
      </c>
    </row>
    <row r="8153" spans="1:4" x14ac:dyDescent="0.3">
      <c r="A8153" s="4">
        <v>6077</v>
      </c>
      <c r="B8153" s="833" t="s">
        <v>12408</v>
      </c>
      <c r="C8153" s="4" t="s">
        <v>12224</v>
      </c>
      <c r="D8153" s="834">
        <v>37.35</v>
      </c>
    </row>
    <row r="8154" spans="1:4" x14ac:dyDescent="0.3">
      <c r="A8154" s="4">
        <v>6079</v>
      </c>
      <c r="B8154" s="833" t="s">
        <v>12409</v>
      </c>
      <c r="C8154" s="4" t="s">
        <v>12224</v>
      </c>
      <c r="D8154" s="834">
        <v>37.35</v>
      </c>
    </row>
    <row r="8155" spans="1:4" x14ac:dyDescent="0.3">
      <c r="A8155" s="4">
        <v>1091</v>
      </c>
      <c r="B8155" s="833" t="s">
        <v>12410</v>
      </c>
      <c r="C8155" s="4" t="s">
        <v>12080</v>
      </c>
      <c r="D8155" s="834">
        <v>48.54</v>
      </c>
    </row>
    <row r="8156" spans="1:4" x14ac:dyDescent="0.3">
      <c r="A8156" s="4">
        <v>1094</v>
      </c>
      <c r="B8156" s="833" t="s">
        <v>12411</v>
      </c>
      <c r="C8156" s="4" t="s">
        <v>12080</v>
      </c>
      <c r="D8156" s="834">
        <v>33.950000000000003</v>
      </c>
    </row>
    <row r="8157" spans="1:4" x14ac:dyDescent="0.3">
      <c r="A8157" s="4">
        <v>1095</v>
      </c>
      <c r="B8157" s="833" t="s">
        <v>12412</v>
      </c>
      <c r="C8157" s="4" t="s">
        <v>12080</v>
      </c>
      <c r="D8157" s="834">
        <v>72.150000000000006</v>
      </c>
    </row>
    <row r="8158" spans="1:4" x14ac:dyDescent="0.3">
      <c r="A8158" s="4">
        <v>1092</v>
      </c>
      <c r="B8158" s="833" t="s">
        <v>12413</v>
      </c>
      <c r="C8158" s="4" t="s">
        <v>12080</v>
      </c>
      <c r="D8158" s="834">
        <v>55.83</v>
      </c>
    </row>
    <row r="8159" spans="1:4" x14ac:dyDescent="0.3">
      <c r="A8159" s="4">
        <v>1093</v>
      </c>
      <c r="B8159" s="833" t="s">
        <v>12414</v>
      </c>
      <c r="C8159" s="4" t="s">
        <v>12080</v>
      </c>
      <c r="D8159" s="834">
        <v>130.38</v>
      </c>
    </row>
    <row r="8160" spans="1:4" x14ac:dyDescent="0.3">
      <c r="A8160" s="4">
        <v>1090</v>
      </c>
      <c r="B8160" s="833" t="s">
        <v>12415</v>
      </c>
      <c r="C8160" s="4" t="s">
        <v>12080</v>
      </c>
      <c r="D8160" s="834">
        <v>93.35</v>
      </c>
    </row>
    <row r="8161" spans="1:4" x14ac:dyDescent="0.3">
      <c r="A8161" s="4">
        <v>1096</v>
      </c>
      <c r="B8161" s="833" t="s">
        <v>12416</v>
      </c>
      <c r="C8161" s="4" t="s">
        <v>12080</v>
      </c>
      <c r="D8161" s="834">
        <v>168</v>
      </c>
    </row>
    <row r="8162" spans="1:4" x14ac:dyDescent="0.3">
      <c r="A8162" s="4">
        <v>1097</v>
      </c>
      <c r="B8162" s="833" t="s">
        <v>12417</v>
      </c>
      <c r="C8162" s="4" t="s">
        <v>12080</v>
      </c>
      <c r="D8162" s="834">
        <v>142.61000000000001</v>
      </c>
    </row>
    <row r="8163" spans="1:4" x14ac:dyDescent="0.3">
      <c r="A8163" s="4">
        <v>378</v>
      </c>
      <c r="B8163" s="833" t="s">
        <v>12418</v>
      </c>
      <c r="C8163" s="4" t="s">
        <v>12226</v>
      </c>
      <c r="D8163" s="834">
        <v>21.83</v>
      </c>
    </row>
    <row r="8164" spans="1:4" x14ac:dyDescent="0.3">
      <c r="A8164" s="4">
        <v>40911</v>
      </c>
      <c r="B8164" s="833" t="s">
        <v>12419</v>
      </c>
      <c r="C8164" s="4" t="s">
        <v>12228</v>
      </c>
      <c r="D8164" s="834">
        <v>3886.77</v>
      </c>
    </row>
    <row r="8165" spans="1:4" x14ac:dyDescent="0.3">
      <c r="A8165" s="4">
        <v>33939</v>
      </c>
      <c r="B8165" s="833" t="s">
        <v>12420</v>
      </c>
      <c r="C8165" s="4" t="s">
        <v>12226</v>
      </c>
      <c r="D8165" s="834">
        <v>114.1</v>
      </c>
    </row>
    <row r="8166" spans="1:4" x14ac:dyDescent="0.3">
      <c r="A8166" s="4">
        <v>40815</v>
      </c>
      <c r="B8166" s="833" t="s">
        <v>12421</v>
      </c>
      <c r="C8166" s="4" t="s">
        <v>12228</v>
      </c>
      <c r="D8166" s="834">
        <v>20315.75</v>
      </c>
    </row>
    <row r="8167" spans="1:4" x14ac:dyDescent="0.3">
      <c r="A8167" s="4">
        <v>33952</v>
      </c>
      <c r="B8167" s="833" t="s">
        <v>12422</v>
      </c>
      <c r="C8167" s="4" t="s">
        <v>12226</v>
      </c>
      <c r="D8167" s="834">
        <v>119.19</v>
      </c>
    </row>
    <row r="8168" spans="1:4" x14ac:dyDescent="0.3">
      <c r="A8168" s="4">
        <v>40816</v>
      </c>
      <c r="B8168" s="833" t="s">
        <v>12423</v>
      </c>
      <c r="C8168" s="4" t="s">
        <v>12228</v>
      </c>
      <c r="D8168" s="834">
        <v>21219.15</v>
      </c>
    </row>
    <row r="8169" spans="1:4" x14ac:dyDescent="0.3">
      <c r="A8169" s="4">
        <v>33953</v>
      </c>
      <c r="B8169" s="833" t="s">
        <v>12424</v>
      </c>
      <c r="C8169" s="4" t="s">
        <v>12226</v>
      </c>
      <c r="D8169" s="834">
        <v>124.9</v>
      </c>
    </row>
    <row r="8170" spans="1:4" x14ac:dyDescent="0.3">
      <c r="A8170" s="4">
        <v>40817</v>
      </c>
      <c r="B8170" s="833" t="s">
        <v>12425</v>
      </c>
      <c r="C8170" s="4" t="s">
        <v>12228</v>
      </c>
      <c r="D8170" s="834">
        <v>22238.35</v>
      </c>
    </row>
    <row r="8171" spans="1:4" x14ac:dyDescent="0.3">
      <c r="A8171" s="4">
        <v>13348</v>
      </c>
      <c r="B8171" s="833" t="s">
        <v>12426</v>
      </c>
      <c r="C8171" s="4" t="s">
        <v>12080</v>
      </c>
      <c r="D8171" s="834">
        <v>1.63</v>
      </c>
    </row>
    <row r="8172" spans="1:4" x14ac:dyDescent="0.3">
      <c r="A8172" s="4">
        <v>39212</v>
      </c>
      <c r="B8172" s="833" t="s">
        <v>12427</v>
      </c>
      <c r="C8172" s="4" t="s">
        <v>12080</v>
      </c>
      <c r="D8172" s="834">
        <v>1.74</v>
      </c>
    </row>
    <row r="8173" spans="1:4" x14ac:dyDescent="0.3">
      <c r="A8173" s="4">
        <v>39211</v>
      </c>
      <c r="B8173" s="833" t="s">
        <v>12428</v>
      </c>
      <c r="C8173" s="4" t="s">
        <v>12080</v>
      </c>
      <c r="D8173" s="834">
        <v>1.56</v>
      </c>
    </row>
    <row r="8174" spans="1:4" x14ac:dyDescent="0.3">
      <c r="A8174" s="4">
        <v>39208</v>
      </c>
      <c r="B8174" s="833" t="s">
        <v>12429</v>
      </c>
      <c r="C8174" s="4" t="s">
        <v>12080</v>
      </c>
      <c r="D8174" s="834">
        <v>0.47</v>
      </c>
    </row>
    <row r="8175" spans="1:4" x14ac:dyDescent="0.3">
      <c r="A8175" s="4">
        <v>39210</v>
      </c>
      <c r="B8175" s="833" t="s">
        <v>12430</v>
      </c>
      <c r="C8175" s="4" t="s">
        <v>12080</v>
      </c>
      <c r="D8175" s="834">
        <v>0.87</v>
      </c>
    </row>
    <row r="8176" spans="1:4" x14ac:dyDescent="0.3">
      <c r="A8176" s="4">
        <v>39214</v>
      </c>
      <c r="B8176" s="833" t="s">
        <v>12431</v>
      </c>
      <c r="C8176" s="4" t="s">
        <v>12080</v>
      </c>
      <c r="D8176" s="834">
        <v>3.22</v>
      </c>
    </row>
    <row r="8177" spans="1:4" x14ac:dyDescent="0.3">
      <c r="A8177" s="4">
        <v>39213</v>
      </c>
      <c r="B8177" s="833" t="s">
        <v>12432</v>
      </c>
      <c r="C8177" s="4" t="s">
        <v>12080</v>
      </c>
      <c r="D8177" s="834">
        <v>2.2799999999999998</v>
      </c>
    </row>
    <row r="8178" spans="1:4" x14ac:dyDescent="0.3">
      <c r="A8178" s="4">
        <v>39209</v>
      </c>
      <c r="B8178" s="833" t="s">
        <v>12433</v>
      </c>
      <c r="C8178" s="4" t="s">
        <v>12080</v>
      </c>
      <c r="D8178" s="834">
        <v>0.56000000000000005</v>
      </c>
    </row>
    <row r="8179" spans="1:4" x14ac:dyDescent="0.3">
      <c r="A8179" s="4">
        <v>39207</v>
      </c>
      <c r="B8179" s="833" t="s">
        <v>12434</v>
      </c>
      <c r="C8179" s="4" t="s">
        <v>12080</v>
      </c>
      <c r="D8179" s="834">
        <v>0.87</v>
      </c>
    </row>
    <row r="8180" spans="1:4" x14ac:dyDescent="0.3">
      <c r="A8180" s="4">
        <v>39215</v>
      </c>
      <c r="B8180" s="833" t="s">
        <v>12435</v>
      </c>
      <c r="C8180" s="4" t="s">
        <v>12080</v>
      </c>
      <c r="D8180" s="834">
        <v>5.88</v>
      </c>
    </row>
    <row r="8181" spans="1:4" x14ac:dyDescent="0.3">
      <c r="A8181" s="4">
        <v>39216</v>
      </c>
      <c r="B8181" s="833" t="s">
        <v>12436</v>
      </c>
      <c r="C8181" s="4" t="s">
        <v>12080</v>
      </c>
      <c r="D8181" s="834">
        <v>8.1999999999999993</v>
      </c>
    </row>
    <row r="8182" spans="1:4" x14ac:dyDescent="0.3">
      <c r="A8182" s="4">
        <v>11267</v>
      </c>
      <c r="B8182" s="833" t="s">
        <v>12437</v>
      </c>
      <c r="C8182" s="4" t="s">
        <v>12080</v>
      </c>
      <c r="D8182" s="834">
        <v>1.43</v>
      </c>
    </row>
    <row r="8183" spans="1:4" x14ac:dyDescent="0.3">
      <c r="A8183" s="4">
        <v>379</v>
      </c>
      <c r="B8183" s="833" t="s">
        <v>12438</v>
      </c>
      <c r="C8183" s="4" t="s">
        <v>12080</v>
      </c>
      <c r="D8183" s="834">
        <v>1.43</v>
      </c>
    </row>
    <row r="8184" spans="1:4" x14ac:dyDescent="0.3">
      <c r="A8184" s="4">
        <v>510</v>
      </c>
      <c r="B8184" s="833" t="s">
        <v>12439</v>
      </c>
      <c r="C8184" s="4" t="s">
        <v>12126</v>
      </c>
      <c r="D8184" s="834">
        <v>13.4</v>
      </c>
    </row>
    <row r="8185" spans="1:4" x14ac:dyDescent="0.3">
      <c r="A8185" s="4">
        <v>516</v>
      </c>
      <c r="B8185" s="833" t="s">
        <v>12440</v>
      </c>
      <c r="C8185" s="4" t="s">
        <v>12126</v>
      </c>
      <c r="D8185" s="834">
        <v>15.87</v>
      </c>
    </row>
    <row r="8186" spans="1:4" x14ac:dyDescent="0.3">
      <c r="A8186" s="4">
        <v>509</v>
      </c>
      <c r="B8186" s="833" t="s">
        <v>12441</v>
      </c>
      <c r="C8186" s="4" t="s">
        <v>12126</v>
      </c>
      <c r="D8186" s="834">
        <v>17.809999999999999</v>
      </c>
    </row>
    <row r="8187" spans="1:4" x14ac:dyDescent="0.3">
      <c r="A8187" s="4">
        <v>40331</v>
      </c>
      <c r="B8187" s="833" t="s">
        <v>12442</v>
      </c>
      <c r="C8187" s="4" t="s">
        <v>12226</v>
      </c>
      <c r="D8187" s="834">
        <v>17.350000000000001</v>
      </c>
    </row>
    <row r="8188" spans="1:4" x14ac:dyDescent="0.3">
      <c r="A8188" s="4">
        <v>40930</v>
      </c>
      <c r="B8188" s="833" t="s">
        <v>12443</v>
      </c>
      <c r="C8188" s="4" t="s">
        <v>12228</v>
      </c>
      <c r="D8188" s="834">
        <v>3092.95</v>
      </c>
    </row>
    <row r="8189" spans="1:4" x14ac:dyDescent="0.3">
      <c r="A8189" s="4">
        <v>377</v>
      </c>
      <c r="B8189" s="833" t="s">
        <v>12444</v>
      </c>
      <c r="C8189" s="4" t="s">
        <v>12080</v>
      </c>
      <c r="D8189" s="834">
        <v>41.5</v>
      </c>
    </row>
    <row r="8190" spans="1:4" x14ac:dyDescent="0.3">
      <c r="A8190" s="4">
        <v>11761</v>
      </c>
      <c r="B8190" s="833" t="s">
        <v>12445</v>
      </c>
      <c r="C8190" s="4" t="s">
        <v>12080</v>
      </c>
      <c r="D8190" s="834">
        <v>88.31</v>
      </c>
    </row>
    <row r="8191" spans="1:4" x14ac:dyDescent="0.3">
      <c r="A8191" s="4">
        <v>7588</v>
      </c>
      <c r="B8191" s="833" t="s">
        <v>12446</v>
      </c>
      <c r="C8191" s="4" t="s">
        <v>12080</v>
      </c>
      <c r="D8191" s="834">
        <v>58</v>
      </c>
    </row>
    <row r="8192" spans="1:4" x14ac:dyDescent="0.3">
      <c r="A8192" s="4">
        <v>34551</v>
      </c>
      <c r="B8192" s="833" t="s">
        <v>12447</v>
      </c>
      <c r="C8192" s="4" t="s">
        <v>12226</v>
      </c>
      <c r="D8192" s="834">
        <v>14.2</v>
      </c>
    </row>
    <row r="8193" spans="1:4" x14ac:dyDescent="0.3">
      <c r="A8193" s="4">
        <v>41078</v>
      </c>
      <c r="B8193" s="833" t="s">
        <v>12448</v>
      </c>
      <c r="C8193" s="4" t="s">
        <v>12228</v>
      </c>
      <c r="D8193" s="834">
        <v>2530.6799999999998</v>
      </c>
    </row>
    <row r="8194" spans="1:4" x14ac:dyDescent="0.3">
      <c r="A8194" s="4">
        <v>246</v>
      </c>
      <c r="B8194" s="833" t="s">
        <v>12449</v>
      </c>
      <c r="C8194" s="4" t="s">
        <v>12226</v>
      </c>
      <c r="D8194" s="834">
        <v>15.27</v>
      </c>
    </row>
    <row r="8195" spans="1:4" x14ac:dyDescent="0.3">
      <c r="A8195" s="4">
        <v>40927</v>
      </c>
      <c r="B8195" s="833" t="s">
        <v>12450</v>
      </c>
      <c r="C8195" s="4" t="s">
        <v>12228</v>
      </c>
      <c r="D8195" s="834">
        <v>2722.88</v>
      </c>
    </row>
    <row r="8196" spans="1:4" x14ac:dyDescent="0.3">
      <c r="A8196" s="4">
        <v>2350</v>
      </c>
      <c r="B8196" s="833" t="s">
        <v>12451</v>
      </c>
      <c r="C8196" s="4" t="s">
        <v>12226</v>
      </c>
      <c r="D8196" s="834">
        <v>25.78</v>
      </c>
    </row>
    <row r="8197" spans="1:4" x14ac:dyDescent="0.3">
      <c r="A8197" s="4">
        <v>40812</v>
      </c>
      <c r="B8197" s="833" t="s">
        <v>12452</v>
      </c>
      <c r="C8197" s="4" t="s">
        <v>12228</v>
      </c>
      <c r="D8197" s="834">
        <v>4593.7299999999996</v>
      </c>
    </row>
    <row r="8198" spans="1:4" x14ac:dyDescent="0.3">
      <c r="A8198" s="4">
        <v>245</v>
      </c>
      <c r="B8198" s="833" t="s">
        <v>12453</v>
      </c>
      <c r="C8198" s="4" t="s">
        <v>12226</v>
      </c>
      <c r="D8198" s="834">
        <v>32.71</v>
      </c>
    </row>
    <row r="8199" spans="1:4" x14ac:dyDescent="0.3">
      <c r="A8199" s="4">
        <v>41090</v>
      </c>
      <c r="B8199" s="833" t="s">
        <v>12454</v>
      </c>
      <c r="C8199" s="4" t="s">
        <v>12228</v>
      </c>
      <c r="D8199" s="834">
        <v>5827.23</v>
      </c>
    </row>
    <row r="8200" spans="1:4" x14ac:dyDescent="0.3">
      <c r="A8200" s="4">
        <v>251</v>
      </c>
      <c r="B8200" s="833" t="s">
        <v>12455</v>
      </c>
      <c r="C8200" s="4" t="s">
        <v>12226</v>
      </c>
      <c r="D8200" s="834">
        <v>15.27</v>
      </c>
    </row>
    <row r="8201" spans="1:4" x14ac:dyDescent="0.3">
      <c r="A8201" s="4">
        <v>40975</v>
      </c>
      <c r="B8201" s="833" t="s">
        <v>12456</v>
      </c>
      <c r="C8201" s="4" t="s">
        <v>12228</v>
      </c>
      <c r="D8201" s="834">
        <v>2722.88</v>
      </c>
    </row>
    <row r="8202" spans="1:4" x14ac:dyDescent="0.3">
      <c r="A8202" s="4">
        <v>6127</v>
      </c>
      <c r="B8202" s="833" t="s">
        <v>12457</v>
      </c>
      <c r="C8202" s="4" t="s">
        <v>12226</v>
      </c>
      <c r="D8202" s="834">
        <v>15.27</v>
      </c>
    </row>
    <row r="8203" spans="1:4" x14ac:dyDescent="0.3">
      <c r="A8203" s="4">
        <v>41072</v>
      </c>
      <c r="B8203" s="833" t="s">
        <v>12458</v>
      </c>
      <c r="C8203" s="4" t="s">
        <v>12228</v>
      </c>
      <c r="D8203" s="834">
        <v>2722.88</v>
      </c>
    </row>
    <row r="8204" spans="1:4" x14ac:dyDescent="0.3">
      <c r="A8204" s="4">
        <v>6121</v>
      </c>
      <c r="B8204" s="833" t="s">
        <v>12459</v>
      </c>
      <c r="C8204" s="4" t="s">
        <v>12226</v>
      </c>
      <c r="D8204" s="834">
        <v>14.43</v>
      </c>
    </row>
    <row r="8205" spans="1:4" x14ac:dyDescent="0.3">
      <c r="A8205" s="4">
        <v>41071</v>
      </c>
      <c r="B8205" s="833" t="s">
        <v>12460</v>
      </c>
      <c r="C8205" s="4" t="s">
        <v>12228</v>
      </c>
      <c r="D8205" s="834">
        <v>2569.98</v>
      </c>
    </row>
    <row r="8206" spans="1:4" x14ac:dyDescent="0.3">
      <c r="A8206" s="4">
        <v>244</v>
      </c>
      <c r="B8206" s="833" t="s">
        <v>12461</v>
      </c>
      <c r="C8206" s="4" t="s">
        <v>12226</v>
      </c>
      <c r="D8206" s="834">
        <v>9.81</v>
      </c>
    </row>
    <row r="8207" spans="1:4" x14ac:dyDescent="0.3">
      <c r="A8207" s="4">
        <v>41093</v>
      </c>
      <c r="B8207" s="833" t="s">
        <v>12462</v>
      </c>
      <c r="C8207" s="4" t="s">
        <v>12228</v>
      </c>
      <c r="D8207" s="834">
        <v>1749.15</v>
      </c>
    </row>
    <row r="8208" spans="1:4" x14ac:dyDescent="0.3">
      <c r="A8208" s="4">
        <v>532</v>
      </c>
      <c r="B8208" s="833" t="s">
        <v>12463</v>
      </c>
      <c r="C8208" s="4" t="s">
        <v>12226</v>
      </c>
      <c r="D8208" s="834">
        <v>31.62</v>
      </c>
    </row>
    <row r="8209" spans="1:4" x14ac:dyDescent="0.3">
      <c r="A8209" s="4">
        <v>40931</v>
      </c>
      <c r="B8209" s="833" t="s">
        <v>12464</v>
      </c>
      <c r="C8209" s="4" t="s">
        <v>12228</v>
      </c>
      <c r="D8209" s="834">
        <v>5630.51</v>
      </c>
    </row>
    <row r="8210" spans="1:4" x14ac:dyDescent="0.3">
      <c r="A8210" s="4">
        <v>36150</v>
      </c>
      <c r="B8210" s="833" t="s">
        <v>12465</v>
      </c>
      <c r="C8210" s="4" t="s">
        <v>12080</v>
      </c>
      <c r="D8210" s="834">
        <v>40.950000000000003</v>
      </c>
    </row>
    <row r="8211" spans="1:4" x14ac:dyDescent="0.3">
      <c r="A8211" s="4">
        <v>4760</v>
      </c>
      <c r="B8211" s="833" t="s">
        <v>12466</v>
      </c>
      <c r="C8211" s="4" t="s">
        <v>12226</v>
      </c>
      <c r="D8211" s="834">
        <v>21.83</v>
      </c>
    </row>
    <row r="8212" spans="1:4" x14ac:dyDescent="0.3">
      <c r="A8212" s="4">
        <v>41069</v>
      </c>
      <c r="B8212" s="833" t="s">
        <v>12467</v>
      </c>
      <c r="C8212" s="4" t="s">
        <v>12228</v>
      </c>
      <c r="D8212" s="834">
        <v>3886.77</v>
      </c>
    </row>
    <row r="8213" spans="1:4" x14ac:dyDescent="0.3">
      <c r="A8213" s="4">
        <v>10422</v>
      </c>
      <c r="B8213" s="833" t="s">
        <v>12468</v>
      </c>
      <c r="C8213" s="4" t="s">
        <v>12080</v>
      </c>
      <c r="D8213" s="834">
        <v>378.16</v>
      </c>
    </row>
    <row r="8214" spans="1:4" x14ac:dyDescent="0.3">
      <c r="A8214" s="4">
        <v>44019</v>
      </c>
      <c r="B8214" s="833" t="s">
        <v>12469</v>
      </c>
      <c r="C8214" s="4" t="s">
        <v>12080</v>
      </c>
      <c r="D8214" s="834">
        <v>523.46</v>
      </c>
    </row>
    <row r="8215" spans="1:4" x14ac:dyDescent="0.3">
      <c r="A8215" s="4">
        <v>36520</v>
      </c>
      <c r="B8215" s="833" t="s">
        <v>12470</v>
      </c>
      <c r="C8215" s="4" t="s">
        <v>12080</v>
      </c>
      <c r="D8215" s="834">
        <v>636.47</v>
      </c>
    </row>
    <row r="8216" spans="1:4" x14ac:dyDescent="0.3">
      <c r="A8216" s="4">
        <v>42319</v>
      </c>
      <c r="B8216" s="833" t="s">
        <v>12471</v>
      </c>
      <c r="C8216" s="4" t="s">
        <v>12080</v>
      </c>
      <c r="D8216" s="834">
        <v>570.30999999999995</v>
      </c>
    </row>
    <row r="8217" spans="1:4" x14ac:dyDescent="0.3">
      <c r="A8217" s="4">
        <v>10420</v>
      </c>
      <c r="B8217" s="833" t="s">
        <v>12472</v>
      </c>
      <c r="C8217" s="4" t="s">
        <v>12080</v>
      </c>
      <c r="D8217" s="834">
        <v>202.31</v>
      </c>
    </row>
    <row r="8218" spans="1:4" x14ac:dyDescent="0.3">
      <c r="A8218" s="4">
        <v>10421</v>
      </c>
      <c r="B8218" s="833" t="s">
        <v>12473</v>
      </c>
      <c r="C8218" s="4" t="s">
        <v>12080</v>
      </c>
      <c r="D8218" s="834">
        <v>222.31</v>
      </c>
    </row>
    <row r="8219" spans="1:4" x14ac:dyDescent="0.3">
      <c r="A8219" s="4">
        <v>11786</v>
      </c>
      <c r="B8219" s="833" t="s">
        <v>12474</v>
      </c>
      <c r="C8219" s="4" t="s">
        <v>12080</v>
      </c>
      <c r="D8219" s="834">
        <v>448.27</v>
      </c>
    </row>
    <row r="8220" spans="1:4" x14ac:dyDescent="0.3">
      <c r="A8220" s="4">
        <v>4815</v>
      </c>
      <c r="B8220" s="833" t="s">
        <v>12475</v>
      </c>
      <c r="C8220" s="4" t="s">
        <v>12080</v>
      </c>
      <c r="D8220" s="834">
        <v>5.79</v>
      </c>
    </row>
    <row r="8221" spans="1:4" x14ac:dyDescent="0.3">
      <c r="A8221" s="4">
        <v>541</v>
      </c>
      <c r="B8221" s="833" t="s">
        <v>12476</v>
      </c>
      <c r="C8221" s="4" t="s">
        <v>12080</v>
      </c>
      <c r="D8221" s="834">
        <v>229.08</v>
      </c>
    </row>
    <row r="8222" spans="1:4" x14ac:dyDescent="0.3">
      <c r="A8222" s="4">
        <v>542</v>
      </c>
      <c r="B8222" s="833" t="s">
        <v>12477</v>
      </c>
      <c r="C8222" s="4" t="s">
        <v>12080</v>
      </c>
      <c r="D8222" s="834">
        <v>287.14999999999998</v>
      </c>
    </row>
    <row r="8223" spans="1:4" x14ac:dyDescent="0.3">
      <c r="A8223" s="4">
        <v>540</v>
      </c>
      <c r="B8223" s="833" t="s">
        <v>12478</v>
      </c>
      <c r="C8223" s="4" t="s">
        <v>12080</v>
      </c>
      <c r="D8223" s="834">
        <v>647.1</v>
      </c>
    </row>
    <row r="8224" spans="1:4" x14ac:dyDescent="0.3">
      <c r="A8224" s="4">
        <v>38364</v>
      </c>
      <c r="B8224" s="833" t="s">
        <v>12479</v>
      </c>
      <c r="C8224" s="4" t="s">
        <v>12080</v>
      </c>
      <c r="D8224" s="834">
        <v>719.37</v>
      </c>
    </row>
    <row r="8225" spans="1:4" x14ac:dyDescent="0.3">
      <c r="A8225" s="4">
        <v>11692</v>
      </c>
      <c r="B8225" s="833" t="s">
        <v>12480</v>
      </c>
      <c r="C8225" s="4" t="s">
        <v>12481</v>
      </c>
      <c r="D8225" s="834">
        <v>420.99</v>
      </c>
    </row>
    <row r="8226" spans="1:4" x14ac:dyDescent="0.3">
      <c r="A8226" s="4">
        <v>1746</v>
      </c>
      <c r="B8226" s="833" t="s">
        <v>12482</v>
      </c>
      <c r="C8226" s="4" t="s">
        <v>12080</v>
      </c>
      <c r="D8226" s="834">
        <v>254.79</v>
      </c>
    </row>
    <row r="8227" spans="1:4" x14ac:dyDescent="0.3">
      <c r="A8227" s="4">
        <v>1748</v>
      </c>
      <c r="B8227" s="833" t="s">
        <v>12483</v>
      </c>
      <c r="C8227" s="4" t="s">
        <v>12080</v>
      </c>
      <c r="D8227" s="834">
        <v>338.81</v>
      </c>
    </row>
    <row r="8228" spans="1:4" x14ac:dyDescent="0.3">
      <c r="A8228" s="4">
        <v>1749</v>
      </c>
      <c r="B8228" s="833" t="s">
        <v>12484</v>
      </c>
      <c r="C8228" s="4" t="s">
        <v>12080</v>
      </c>
      <c r="D8228" s="834">
        <v>490.87</v>
      </c>
    </row>
    <row r="8229" spans="1:4" x14ac:dyDescent="0.3">
      <c r="A8229" s="4">
        <v>37412</v>
      </c>
      <c r="B8229" s="833" t="s">
        <v>12485</v>
      </c>
      <c r="C8229" s="4" t="s">
        <v>12080</v>
      </c>
      <c r="D8229" s="834">
        <v>249.06</v>
      </c>
    </row>
    <row r="8230" spans="1:4" x14ac:dyDescent="0.3">
      <c r="A8230" s="4">
        <v>1745</v>
      </c>
      <c r="B8230" s="833" t="s">
        <v>12486</v>
      </c>
      <c r="C8230" s="4" t="s">
        <v>12080</v>
      </c>
      <c r="D8230" s="834">
        <v>296.16000000000003</v>
      </c>
    </row>
    <row r="8231" spans="1:4" x14ac:dyDescent="0.3">
      <c r="A8231" s="4">
        <v>1750</v>
      </c>
      <c r="B8231" s="833" t="s">
        <v>12487</v>
      </c>
      <c r="C8231" s="4" t="s">
        <v>12080</v>
      </c>
      <c r="D8231" s="834">
        <v>692.08</v>
      </c>
    </row>
    <row r="8232" spans="1:4" x14ac:dyDescent="0.3">
      <c r="A8232" s="4">
        <v>11687</v>
      </c>
      <c r="B8232" s="833" t="s">
        <v>12488</v>
      </c>
      <c r="C8232" s="4" t="s">
        <v>1803</v>
      </c>
      <c r="D8232" s="834">
        <v>1102.7</v>
      </c>
    </row>
    <row r="8233" spans="1:4" x14ac:dyDescent="0.3">
      <c r="A8233" s="4">
        <v>11689</v>
      </c>
      <c r="B8233" s="833" t="s">
        <v>12489</v>
      </c>
      <c r="C8233" s="4" t="s">
        <v>1803</v>
      </c>
      <c r="D8233" s="834">
        <v>1381.62</v>
      </c>
    </row>
    <row r="8234" spans="1:4" x14ac:dyDescent="0.3">
      <c r="A8234" s="4">
        <v>11693</v>
      </c>
      <c r="B8234" s="833" t="s">
        <v>12490</v>
      </c>
      <c r="C8234" s="4" t="s">
        <v>12481</v>
      </c>
      <c r="D8234" s="834">
        <v>254</v>
      </c>
    </row>
    <row r="8235" spans="1:4" x14ac:dyDescent="0.3">
      <c r="A8235" s="4">
        <v>36215</v>
      </c>
      <c r="B8235" s="833" t="s">
        <v>12491</v>
      </c>
      <c r="C8235" s="4" t="s">
        <v>12080</v>
      </c>
      <c r="D8235" s="834">
        <v>791.26</v>
      </c>
    </row>
    <row r="8236" spans="1:4" x14ac:dyDescent="0.3">
      <c r="A8236" s="4">
        <v>42439</v>
      </c>
      <c r="B8236" s="833" t="s">
        <v>12492</v>
      </c>
      <c r="C8236" s="4" t="s">
        <v>12080</v>
      </c>
      <c r="D8236" s="834">
        <v>1207.8399999999999</v>
      </c>
    </row>
    <row r="8237" spans="1:4" x14ac:dyDescent="0.3">
      <c r="A8237" s="4">
        <v>38381</v>
      </c>
      <c r="B8237" s="833" t="s">
        <v>12493</v>
      </c>
      <c r="C8237" s="4" t="s">
        <v>12080</v>
      </c>
      <c r="D8237" s="834">
        <v>10.86</v>
      </c>
    </row>
    <row r="8238" spans="1:4" x14ac:dyDescent="0.3">
      <c r="A8238" s="4">
        <v>39621</v>
      </c>
      <c r="B8238" s="833" t="s">
        <v>12494</v>
      </c>
      <c r="C8238" s="4" t="s">
        <v>12495</v>
      </c>
      <c r="D8238" s="834">
        <v>1273.68</v>
      </c>
    </row>
    <row r="8239" spans="1:4" x14ac:dyDescent="0.3">
      <c r="A8239" s="4">
        <v>39624</v>
      </c>
      <c r="B8239" s="833" t="s">
        <v>12496</v>
      </c>
      <c r="C8239" s="4" t="s">
        <v>12495</v>
      </c>
      <c r="D8239" s="834">
        <v>1405.01</v>
      </c>
    </row>
    <row r="8240" spans="1:4" x14ac:dyDescent="0.3">
      <c r="A8240" s="4">
        <v>39615</v>
      </c>
      <c r="B8240" s="833" t="s">
        <v>12497</v>
      </c>
      <c r="C8240" s="4" t="s">
        <v>12080</v>
      </c>
      <c r="D8240" s="834">
        <v>567.75</v>
      </c>
    </row>
    <row r="8241" spans="1:4" x14ac:dyDescent="0.3">
      <c r="A8241" s="4">
        <v>39620</v>
      </c>
      <c r="B8241" s="833" t="s">
        <v>12498</v>
      </c>
      <c r="C8241" s="4" t="s">
        <v>12080</v>
      </c>
      <c r="D8241" s="834">
        <v>867.11</v>
      </c>
    </row>
    <row r="8242" spans="1:4" x14ac:dyDescent="0.3">
      <c r="A8242" s="4">
        <v>39623</v>
      </c>
      <c r="B8242" s="833" t="s">
        <v>12499</v>
      </c>
      <c r="C8242" s="4" t="s">
        <v>12080</v>
      </c>
      <c r="D8242" s="834">
        <v>928.75</v>
      </c>
    </row>
    <row r="8243" spans="1:4" x14ac:dyDescent="0.3">
      <c r="A8243" s="4">
        <v>546</v>
      </c>
      <c r="B8243" s="833" t="s">
        <v>12500</v>
      </c>
      <c r="C8243" s="4" t="s">
        <v>12126</v>
      </c>
      <c r="D8243" s="834">
        <v>11.09</v>
      </c>
    </row>
    <row r="8244" spans="1:4" x14ac:dyDescent="0.3">
      <c r="A8244" s="4">
        <v>566</v>
      </c>
      <c r="B8244" s="833" t="s">
        <v>12501</v>
      </c>
      <c r="C8244" s="4" t="s">
        <v>1803</v>
      </c>
      <c r="D8244" s="834">
        <v>5.26</v>
      </c>
    </row>
    <row r="8245" spans="1:4" x14ac:dyDescent="0.3">
      <c r="A8245" s="4">
        <v>565</v>
      </c>
      <c r="B8245" s="833" t="s">
        <v>12502</v>
      </c>
      <c r="C8245" s="4" t="s">
        <v>1803</v>
      </c>
      <c r="D8245" s="834">
        <v>19.18</v>
      </c>
    </row>
    <row r="8246" spans="1:4" x14ac:dyDescent="0.3">
      <c r="A8246" s="4">
        <v>555</v>
      </c>
      <c r="B8246" s="833" t="s">
        <v>12503</v>
      </c>
      <c r="C8246" s="4" t="s">
        <v>1803</v>
      </c>
      <c r="D8246" s="834">
        <v>13.6</v>
      </c>
    </row>
    <row r="8247" spans="1:4" x14ac:dyDescent="0.3">
      <c r="A8247" s="4">
        <v>557</v>
      </c>
      <c r="B8247" s="833" t="s">
        <v>12504</v>
      </c>
      <c r="C8247" s="4" t="s">
        <v>1803</v>
      </c>
      <c r="D8247" s="834">
        <v>42.67</v>
      </c>
    </row>
    <row r="8248" spans="1:4" x14ac:dyDescent="0.3">
      <c r="A8248" s="4">
        <v>552</v>
      </c>
      <c r="B8248" s="833" t="s">
        <v>12505</v>
      </c>
      <c r="C8248" s="4" t="s">
        <v>1803</v>
      </c>
      <c r="D8248" s="834">
        <v>21.17</v>
      </c>
    </row>
    <row r="8249" spans="1:4" x14ac:dyDescent="0.3">
      <c r="A8249" s="4">
        <v>563</v>
      </c>
      <c r="B8249" s="833" t="s">
        <v>12506</v>
      </c>
      <c r="C8249" s="4" t="s">
        <v>1803</v>
      </c>
      <c r="D8249" s="834">
        <v>31.81</v>
      </c>
    </row>
    <row r="8250" spans="1:4" x14ac:dyDescent="0.3">
      <c r="A8250" s="4">
        <v>549</v>
      </c>
      <c r="B8250" s="833" t="s">
        <v>12507</v>
      </c>
      <c r="C8250" s="4" t="s">
        <v>1803</v>
      </c>
      <c r="D8250" s="834">
        <v>57.26</v>
      </c>
    </row>
    <row r="8251" spans="1:4" x14ac:dyDescent="0.3">
      <c r="A8251" s="4">
        <v>551</v>
      </c>
      <c r="B8251" s="833" t="s">
        <v>12508</v>
      </c>
      <c r="C8251" s="4" t="s">
        <v>1803</v>
      </c>
      <c r="D8251" s="834">
        <v>113.37</v>
      </c>
    </row>
    <row r="8252" spans="1:4" x14ac:dyDescent="0.3">
      <c r="A8252" s="4">
        <v>559</v>
      </c>
      <c r="B8252" s="833" t="s">
        <v>12509</v>
      </c>
      <c r="C8252" s="4" t="s">
        <v>1803</v>
      </c>
      <c r="D8252" s="834">
        <v>28.34</v>
      </c>
    </row>
    <row r="8253" spans="1:4" x14ac:dyDescent="0.3">
      <c r="A8253" s="4">
        <v>560</v>
      </c>
      <c r="B8253" s="833" t="s">
        <v>12510</v>
      </c>
      <c r="C8253" s="4" t="s">
        <v>1803</v>
      </c>
      <c r="D8253" s="834">
        <v>35.46</v>
      </c>
    </row>
    <row r="8254" spans="1:4" x14ac:dyDescent="0.3">
      <c r="A8254" s="4">
        <v>547</v>
      </c>
      <c r="B8254" s="833" t="s">
        <v>12511</v>
      </c>
      <c r="C8254" s="4" t="s">
        <v>1803</v>
      </c>
      <c r="D8254" s="834">
        <v>42.45</v>
      </c>
    </row>
    <row r="8255" spans="1:4" x14ac:dyDescent="0.3">
      <c r="A8255" s="4">
        <v>36207</v>
      </c>
      <c r="B8255" s="833" t="s">
        <v>12512</v>
      </c>
      <c r="C8255" s="4" t="s">
        <v>12080</v>
      </c>
      <c r="D8255" s="834">
        <v>350.47</v>
      </c>
    </row>
    <row r="8256" spans="1:4" x14ac:dyDescent="0.3">
      <c r="A8256" s="4">
        <v>36209</v>
      </c>
      <c r="B8256" s="833" t="s">
        <v>12513</v>
      </c>
      <c r="C8256" s="4" t="s">
        <v>12080</v>
      </c>
      <c r="D8256" s="834">
        <v>402.22</v>
      </c>
    </row>
    <row r="8257" spans="1:4" x14ac:dyDescent="0.3">
      <c r="A8257" s="4">
        <v>36210</v>
      </c>
      <c r="B8257" s="833" t="s">
        <v>12514</v>
      </c>
      <c r="C8257" s="4" t="s">
        <v>12080</v>
      </c>
      <c r="D8257" s="834">
        <v>435.19</v>
      </c>
    </row>
    <row r="8258" spans="1:4" x14ac:dyDescent="0.3">
      <c r="A8258" s="4">
        <v>36204</v>
      </c>
      <c r="B8258" s="833" t="s">
        <v>12515</v>
      </c>
      <c r="C8258" s="4" t="s">
        <v>12080</v>
      </c>
      <c r="D8258" s="834">
        <v>154.30000000000001</v>
      </c>
    </row>
    <row r="8259" spans="1:4" x14ac:dyDescent="0.3">
      <c r="A8259" s="4">
        <v>36205</v>
      </c>
      <c r="B8259" s="833" t="s">
        <v>12516</v>
      </c>
      <c r="C8259" s="4" t="s">
        <v>12080</v>
      </c>
      <c r="D8259" s="834">
        <v>171.36</v>
      </c>
    </row>
    <row r="8260" spans="1:4" x14ac:dyDescent="0.3">
      <c r="A8260" s="4">
        <v>36081</v>
      </c>
      <c r="B8260" s="833" t="s">
        <v>12517</v>
      </c>
      <c r="C8260" s="4" t="s">
        <v>12080</v>
      </c>
      <c r="D8260" s="834">
        <v>182.72</v>
      </c>
    </row>
    <row r="8261" spans="1:4" x14ac:dyDescent="0.3">
      <c r="A8261" s="4">
        <v>36206</v>
      </c>
      <c r="B8261" s="833" t="s">
        <v>12518</v>
      </c>
      <c r="C8261" s="4" t="s">
        <v>12080</v>
      </c>
      <c r="D8261" s="834">
        <v>191.43</v>
      </c>
    </row>
    <row r="8262" spans="1:4" x14ac:dyDescent="0.3">
      <c r="A8262" s="4">
        <v>36218</v>
      </c>
      <c r="B8262" s="833" t="s">
        <v>12519</v>
      </c>
      <c r="C8262" s="4" t="s">
        <v>12080</v>
      </c>
      <c r="D8262" s="834">
        <v>162.41999999999999</v>
      </c>
    </row>
    <row r="8263" spans="1:4" x14ac:dyDescent="0.3">
      <c r="A8263" s="4">
        <v>36220</v>
      </c>
      <c r="B8263" s="833" t="s">
        <v>12520</v>
      </c>
      <c r="C8263" s="4" t="s">
        <v>12080</v>
      </c>
      <c r="D8263" s="834">
        <v>186.24</v>
      </c>
    </row>
    <row r="8264" spans="1:4" x14ac:dyDescent="0.3">
      <c r="A8264" s="4">
        <v>36080</v>
      </c>
      <c r="B8264" s="833" t="s">
        <v>12521</v>
      </c>
      <c r="C8264" s="4" t="s">
        <v>12080</v>
      </c>
      <c r="D8264" s="834">
        <v>201.45</v>
      </c>
    </row>
    <row r="8265" spans="1:4" x14ac:dyDescent="0.3">
      <c r="A8265" s="4">
        <v>36223</v>
      </c>
      <c r="B8265" s="833" t="s">
        <v>12522</v>
      </c>
      <c r="C8265" s="4" t="s">
        <v>12080</v>
      </c>
      <c r="D8265" s="834">
        <v>210.95</v>
      </c>
    </row>
    <row r="8266" spans="1:4" x14ac:dyDescent="0.3">
      <c r="A8266" s="4">
        <v>38127</v>
      </c>
      <c r="B8266" s="833" t="s">
        <v>12523</v>
      </c>
      <c r="C8266" s="4" t="s">
        <v>12080</v>
      </c>
      <c r="D8266" s="834">
        <v>433.01</v>
      </c>
    </row>
    <row r="8267" spans="1:4" x14ac:dyDescent="0.3">
      <c r="A8267" s="4">
        <v>38060</v>
      </c>
      <c r="B8267" s="833" t="s">
        <v>12524</v>
      </c>
      <c r="C8267" s="4" t="s">
        <v>12080</v>
      </c>
      <c r="D8267" s="834">
        <v>42.65</v>
      </c>
    </row>
    <row r="8268" spans="1:4" x14ac:dyDescent="0.3">
      <c r="A8268" s="4">
        <v>10956</v>
      </c>
      <c r="B8268" s="833" t="s">
        <v>12525</v>
      </c>
      <c r="C8268" s="4" t="s">
        <v>12080</v>
      </c>
      <c r="D8268" s="834">
        <v>46.77</v>
      </c>
    </row>
    <row r="8269" spans="1:4" x14ac:dyDescent="0.3">
      <c r="A8269" s="4">
        <v>39380</v>
      </c>
      <c r="B8269" s="833" t="s">
        <v>12526</v>
      </c>
      <c r="C8269" s="4" t="s">
        <v>12080</v>
      </c>
      <c r="D8269" s="834">
        <v>20.28</v>
      </c>
    </row>
    <row r="8270" spans="1:4" x14ac:dyDescent="0.3">
      <c r="A8270" s="4">
        <v>44172</v>
      </c>
      <c r="B8270" s="833" t="s">
        <v>12527</v>
      </c>
      <c r="C8270" s="4" t="s">
        <v>12080</v>
      </c>
      <c r="D8270" s="834">
        <v>7.43</v>
      </c>
    </row>
    <row r="8271" spans="1:4" x14ac:dyDescent="0.3">
      <c r="A8271" s="4">
        <v>37597</v>
      </c>
      <c r="B8271" s="833" t="s">
        <v>12528</v>
      </c>
      <c r="C8271" s="4" t="s">
        <v>12080</v>
      </c>
      <c r="D8271" s="834">
        <v>656464.84</v>
      </c>
    </row>
    <row r="8272" spans="1:4" x14ac:dyDescent="0.3">
      <c r="A8272" s="4">
        <v>183</v>
      </c>
      <c r="B8272" s="833" t="s">
        <v>12529</v>
      </c>
      <c r="C8272" s="4" t="s">
        <v>12530</v>
      </c>
      <c r="D8272" s="834">
        <v>274.5</v>
      </c>
    </row>
    <row r="8273" spans="1:4" x14ac:dyDescent="0.3">
      <c r="A8273" s="4">
        <v>184</v>
      </c>
      <c r="B8273" s="833" t="s">
        <v>12531</v>
      </c>
      <c r="C8273" s="4" t="s">
        <v>12530</v>
      </c>
      <c r="D8273" s="834">
        <v>170.01</v>
      </c>
    </row>
    <row r="8274" spans="1:4" x14ac:dyDescent="0.3">
      <c r="A8274" s="4">
        <v>181</v>
      </c>
      <c r="B8274" s="833" t="s">
        <v>12532</v>
      </c>
      <c r="C8274" s="4" t="s">
        <v>12530</v>
      </c>
      <c r="D8274" s="834">
        <v>366.59</v>
      </c>
    </row>
    <row r="8275" spans="1:4" x14ac:dyDescent="0.3">
      <c r="A8275" s="4">
        <v>20001</v>
      </c>
      <c r="B8275" s="833" t="s">
        <v>12533</v>
      </c>
      <c r="C8275" s="4" t="s">
        <v>12530</v>
      </c>
      <c r="D8275" s="834">
        <v>212.51</v>
      </c>
    </row>
    <row r="8276" spans="1:4" x14ac:dyDescent="0.3">
      <c r="A8276" s="4">
        <v>39837</v>
      </c>
      <c r="B8276" s="833" t="s">
        <v>12534</v>
      </c>
      <c r="C8276" s="4" t="s">
        <v>12530</v>
      </c>
      <c r="D8276" s="834">
        <v>353.37</v>
      </c>
    </row>
    <row r="8277" spans="1:4" x14ac:dyDescent="0.3">
      <c r="A8277" s="4">
        <v>43366</v>
      </c>
      <c r="B8277" s="833" t="s">
        <v>12535</v>
      </c>
      <c r="C8277" s="4" t="s">
        <v>12126</v>
      </c>
      <c r="D8277" s="834">
        <v>1.58</v>
      </c>
    </row>
    <row r="8278" spans="1:4" x14ac:dyDescent="0.3">
      <c r="A8278" s="4">
        <v>10535</v>
      </c>
      <c r="B8278" s="833" t="s">
        <v>12536</v>
      </c>
      <c r="C8278" s="4" t="s">
        <v>12080</v>
      </c>
      <c r="D8278" s="834">
        <v>5200</v>
      </c>
    </row>
    <row r="8279" spans="1:4" x14ac:dyDescent="0.3">
      <c r="A8279" s="4">
        <v>10537</v>
      </c>
      <c r="B8279" s="833" t="s">
        <v>12537</v>
      </c>
      <c r="C8279" s="4" t="s">
        <v>12080</v>
      </c>
      <c r="D8279" s="834">
        <v>7091.38</v>
      </c>
    </row>
    <row r="8280" spans="1:4" x14ac:dyDescent="0.3">
      <c r="A8280" s="4">
        <v>13891</v>
      </c>
      <c r="B8280" s="833" t="s">
        <v>12538</v>
      </c>
      <c r="C8280" s="4" t="s">
        <v>12080</v>
      </c>
      <c r="D8280" s="834">
        <v>6504.4</v>
      </c>
    </row>
    <row r="8281" spans="1:4" x14ac:dyDescent="0.3">
      <c r="A8281" s="4">
        <v>44492</v>
      </c>
      <c r="B8281" s="833" t="s">
        <v>12539</v>
      </c>
      <c r="C8281" s="4" t="s">
        <v>12080</v>
      </c>
      <c r="D8281" s="834">
        <v>28291.52</v>
      </c>
    </row>
    <row r="8282" spans="1:4" x14ac:dyDescent="0.3">
      <c r="A8282" s="4">
        <v>36396</v>
      </c>
      <c r="B8282" s="833" t="s">
        <v>12540</v>
      </c>
      <c r="C8282" s="4" t="s">
        <v>12080</v>
      </c>
      <c r="D8282" s="834">
        <v>5949.15</v>
      </c>
    </row>
    <row r="8283" spans="1:4" x14ac:dyDescent="0.3">
      <c r="A8283" s="4">
        <v>36397</v>
      </c>
      <c r="B8283" s="833" t="s">
        <v>12541</v>
      </c>
      <c r="C8283" s="4" t="s">
        <v>12080</v>
      </c>
      <c r="D8283" s="834">
        <v>21152.54</v>
      </c>
    </row>
    <row r="8284" spans="1:4" x14ac:dyDescent="0.3">
      <c r="A8284" s="4">
        <v>36398</v>
      </c>
      <c r="B8284" s="833" t="s">
        <v>12542</v>
      </c>
      <c r="C8284" s="4" t="s">
        <v>12080</v>
      </c>
      <c r="D8284" s="834">
        <v>25709.15</v>
      </c>
    </row>
    <row r="8285" spans="1:4" x14ac:dyDescent="0.3">
      <c r="A8285" s="4">
        <v>647</v>
      </c>
      <c r="B8285" s="833" t="s">
        <v>12543</v>
      </c>
      <c r="C8285" s="4" t="s">
        <v>12226</v>
      </c>
      <c r="D8285" s="834">
        <v>15.5</v>
      </c>
    </row>
    <row r="8286" spans="1:4" x14ac:dyDescent="0.3">
      <c r="A8286" s="4">
        <v>40920</v>
      </c>
      <c r="B8286" s="833" t="s">
        <v>12544</v>
      </c>
      <c r="C8286" s="4" t="s">
        <v>12228</v>
      </c>
      <c r="D8286" s="834">
        <v>2763.18</v>
      </c>
    </row>
    <row r="8287" spans="1:4" x14ac:dyDescent="0.3">
      <c r="A8287" s="4">
        <v>715</v>
      </c>
      <c r="B8287" s="833" t="s">
        <v>12545</v>
      </c>
      <c r="C8287" s="4" t="s">
        <v>12080</v>
      </c>
      <c r="D8287" s="834">
        <v>19.64</v>
      </c>
    </row>
    <row r="8288" spans="1:4" x14ac:dyDescent="0.3">
      <c r="A8288" s="4">
        <v>716</v>
      </c>
      <c r="B8288" s="833" t="s">
        <v>12546</v>
      </c>
      <c r="C8288" s="4" t="s">
        <v>12080</v>
      </c>
      <c r="D8288" s="834">
        <v>22.21</v>
      </c>
    </row>
    <row r="8289" spans="1:4" x14ac:dyDescent="0.3">
      <c r="A8289" s="4">
        <v>38783</v>
      </c>
      <c r="B8289" s="833" t="s">
        <v>12547</v>
      </c>
      <c r="C8289" s="4" t="s">
        <v>12080</v>
      </c>
      <c r="D8289" s="834">
        <v>1.03</v>
      </c>
    </row>
    <row r="8290" spans="1:4" x14ac:dyDescent="0.3">
      <c r="A8290" s="4">
        <v>37593</v>
      </c>
      <c r="B8290" s="833" t="s">
        <v>12548</v>
      </c>
      <c r="C8290" s="4" t="s">
        <v>12080</v>
      </c>
      <c r="D8290" s="834">
        <v>2.81</v>
      </c>
    </row>
    <row r="8291" spans="1:4" x14ac:dyDescent="0.3">
      <c r="A8291" s="4">
        <v>37594</v>
      </c>
      <c r="B8291" s="833" t="s">
        <v>12549</v>
      </c>
      <c r="C8291" s="4" t="s">
        <v>12080</v>
      </c>
      <c r="D8291" s="834">
        <v>3.33</v>
      </c>
    </row>
    <row r="8292" spans="1:4" x14ac:dyDescent="0.3">
      <c r="A8292" s="4">
        <v>37592</v>
      </c>
      <c r="B8292" s="833" t="s">
        <v>12550</v>
      </c>
      <c r="C8292" s="4" t="s">
        <v>12080</v>
      </c>
      <c r="D8292" s="834">
        <v>2.2200000000000002</v>
      </c>
    </row>
    <row r="8293" spans="1:4" x14ac:dyDescent="0.3">
      <c r="A8293" s="4">
        <v>44466</v>
      </c>
      <c r="B8293" s="833" t="s">
        <v>12551</v>
      </c>
      <c r="C8293" s="4" t="s">
        <v>12080</v>
      </c>
      <c r="D8293" s="834">
        <v>2.09</v>
      </c>
    </row>
    <row r="8294" spans="1:4" x14ac:dyDescent="0.3">
      <c r="A8294" s="4">
        <v>44467</v>
      </c>
      <c r="B8294" s="833" t="s">
        <v>12552</v>
      </c>
      <c r="C8294" s="4" t="s">
        <v>12080</v>
      </c>
      <c r="D8294" s="834">
        <v>2.5099999999999998</v>
      </c>
    </row>
    <row r="8295" spans="1:4" x14ac:dyDescent="0.3">
      <c r="A8295" s="4">
        <v>44468</v>
      </c>
      <c r="B8295" s="833" t="s">
        <v>12553</v>
      </c>
      <c r="C8295" s="4" t="s">
        <v>12080</v>
      </c>
      <c r="D8295" s="834">
        <v>2.1800000000000002</v>
      </c>
    </row>
    <row r="8296" spans="1:4" x14ac:dyDescent="0.3">
      <c r="A8296" s="4">
        <v>7270</v>
      </c>
      <c r="B8296" s="833" t="s">
        <v>12554</v>
      </c>
      <c r="C8296" s="4" t="s">
        <v>12080</v>
      </c>
      <c r="D8296" s="834">
        <v>0.84</v>
      </c>
    </row>
    <row r="8297" spans="1:4" x14ac:dyDescent="0.3">
      <c r="A8297" s="4">
        <v>7267</v>
      </c>
      <c r="B8297" s="833" t="s">
        <v>12555</v>
      </c>
      <c r="C8297" s="4" t="s">
        <v>12080</v>
      </c>
      <c r="D8297" s="834">
        <v>0.71</v>
      </c>
    </row>
    <row r="8298" spans="1:4" x14ac:dyDescent="0.3">
      <c r="A8298" s="4">
        <v>44460</v>
      </c>
      <c r="B8298" s="833" t="s">
        <v>12556</v>
      </c>
      <c r="C8298" s="4" t="s">
        <v>12080</v>
      </c>
      <c r="D8298" s="834">
        <v>1.41</v>
      </c>
    </row>
    <row r="8299" spans="1:4" x14ac:dyDescent="0.3">
      <c r="A8299" s="4">
        <v>44461</v>
      </c>
      <c r="B8299" s="833" t="s">
        <v>12557</v>
      </c>
      <c r="C8299" s="4" t="s">
        <v>12080</v>
      </c>
      <c r="D8299" s="834">
        <v>1.93</v>
      </c>
    </row>
    <row r="8300" spans="1:4" x14ac:dyDescent="0.3">
      <c r="A8300" s="4">
        <v>44458</v>
      </c>
      <c r="B8300" s="833" t="s">
        <v>12558</v>
      </c>
      <c r="C8300" s="4" t="s">
        <v>12080</v>
      </c>
      <c r="D8300" s="834">
        <v>0.86</v>
      </c>
    </row>
    <row r="8301" spans="1:4" x14ac:dyDescent="0.3">
      <c r="A8301" s="4">
        <v>44457</v>
      </c>
      <c r="B8301" s="833" t="s">
        <v>12559</v>
      </c>
      <c r="C8301" s="4" t="s">
        <v>12080</v>
      </c>
      <c r="D8301" s="834">
        <v>1.66</v>
      </c>
    </row>
    <row r="8302" spans="1:4" x14ac:dyDescent="0.3">
      <c r="A8302" s="4">
        <v>7271</v>
      </c>
      <c r="B8302" s="833" t="s">
        <v>12560</v>
      </c>
      <c r="C8302" s="4" t="s">
        <v>12080</v>
      </c>
      <c r="D8302" s="834">
        <v>0.9</v>
      </c>
    </row>
    <row r="8303" spans="1:4" x14ac:dyDescent="0.3">
      <c r="A8303" s="4">
        <v>7268</v>
      </c>
      <c r="B8303" s="833" t="s">
        <v>12561</v>
      </c>
      <c r="C8303" s="4" t="s">
        <v>12080</v>
      </c>
      <c r="D8303" s="834">
        <v>1.4</v>
      </c>
    </row>
    <row r="8304" spans="1:4" x14ac:dyDescent="0.3">
      <c r="A8304" s="4">
        <v>44459</v>
      </c>
      <c r="B8304" s="833" t="s">
        <v>12562</v>
      </c>
      <c r="C8304" s="4" t="s">
        <v>12080</v>
      </c>
      <c r="D8304" s="834">
        <v>0.91</v>
      </c>
    </row>
    <row r="8305" spans="1:4" x14ac:dyDescent="0.3">
      <c r="A8305" s="4">
        <v>44462</v>
      </c>
      <c r="B8305" s="833" t="s">
        <v>12563</v>
      </c>
      <c r="C8305" s="4" t="s">
        <v>12080</v>
      </c>
      <c r="D8305" s="834">
        <v>1.6</v>
      </c>
    </row>
    <row r="8306" spans="1:4" x14ac:dyDescent="0.3">
      <c r="A8306" s="4">
        <v>44463</v>
      </c>
      <c r="B8306" s="833" t="s">
        <v>12564</v>
      </c>
      <c r="C8306" s="4" t="s">
        <v>12080</v>
      </c>
      <c r="D8306" s="834">
        <v>2.0699999999999998</v>
      </c>
    </row>
    <row r="8307" spans="1:4" x14ac:dyDescent="0.3">
      <c r="A8307" s="4">
        <v>44464</v>
      </c>
      <c r="B8307" s="833" t="s">
        <v>12565</v>
      </c>
      <c r="C8307" s="4" t="s">
        <v>12080</v>
      </c>
      <c r="D8307" s="834">
        <v>2.14</v>
      </c>
    </row>
    <row r="8308" spans="1:4" x14ac:dyDescent="0.3">
      <c r="A8308" s="4">
        <v>44465</v>
      </c>
      <c r="B8308" s="833" t="s">
        <v>12566</v>
      </c>
      <c r="C8308" s="4" t="s">
        <v>12080</v>
      </c>
      <c r="D8308" s="834">
        <v>2.94</v>
      </c>
    </row>
    <row r="8309" spans="1:4" x14ac:dyDescent="0.3">
      <c r="A8309" s="4">
        <v>41372</v>
      </c>
      <c r="B8309" s="833" t="s">
        <v>12567</v>
      </c>
      <c r="C8309" s="4" t="s">
        <v>12481</v>
      </c>
      <c r="D8309" s="834">
        <v>114.56</v>
      </c>
    </row>
    <row r="8310" spans="1:4" x14ac:dyDescent="0.3">
      <c r="A8310" s="4">
        <v>41371</v>
      </c>
      <c r="B8310" s="833" t="s">
        <v>12568</v>
      </c>
      <c r="C8310" s="4" t="s">
        <v>12481</v>
      </c>
      <c r="D8310" s="834">
        <v>67.709999999999994</v>
      </c>
    </row>
    <row r="8311" spans="1:4" x14ac:dyDescent="0.3">
      <c r="A8311" s="4">
        <v>34556</v>
      </c>
      <c r="B8311" s="833" t="s">
        <v>12569</v>
      </c>
      <c r="C8311" s="4" t="s">
        <v>12080</v>
      </c>
      <c r="D8311" s="834">
        <v>5.56</v>
      </c>
    </row>
    <row r="8312" spans="1:4" x14ac:dyDescent="0.3">
      <c r="A8312" s="4">
        <v>37873</v>
      </c>
      <c r="B8312" s="833" t="s">
        <v>12570</v>
      </c>
      <c r="C8312" s="4" t="s">
        <v>12080</v>
      </c>
      <c r="D8312" s="834">
        <v>5.66</v>
      </c>
    </row>
    <row r="8313" spans="1:4" x14ac:dyDescent="0.3">
      <c r="A8313" s="4">
        <v>34564</v>
      </c>
      <c r="B8313" s="833" t="s">
        <v>12571</v>
      </c>
      <c r="C8313" s="4" t="s">
        <v>12080</v>
      </c>
      <c r="D8313" s="834">
        <v>5.93</v>
      </c>
    </row>
    <row r="8314" spans="1:4" x14ac:dyDescent="0.3">
      <c r="A8314" s="4">
        <v>34565</v>
      </c>
      <c r="B8314" s="833" t="s">
        <v>12572</v>
      </c>
      <c r="C8314" s="4" t="s">
        <v>12080</v>
      </c>
      <c r="D8314" s="834">
        <v>6.27</v>
      </c>
    </row>
    <row r="8315" spans="1:4" x14ac:dyDescent="0.3">
      <c r="A8315" s="4">
        <v>38590</v>
      </c>
      <c r="B8315" s="833" t="s">
        <v>12573</v>
      </c>
      <c r="C8315" s="4" t="s">
        <v>12080</v>
      </c>
      <c r="D8315" s="834">
        <v>4.6399999999999997</v>
      </c>
    </row>
    <row r="8316" spans="1:4" x14ac:dyDescent="0.3">
      <c r="A8316" s="4">
        <v>34566</v>
      </c>
      <c r="B8316" s="833" t="s">
        <v>12574</v>
      </c>
      <c r="C8316" s="4" t="s">
        <v>12080</v>
      </c>
      <c r="D8316" s="834">
        <v>4.87</v>
      </c>
    </row>
    <row r="8317" spans="1:4" x14ac:dyDescent="0.3">
      <c r="A8317" s="4">
        <v>34567</v>
      </c>
      <c r="B8317" s="833" t="s">
        <v>12575</v>
      </c>
      <c r="C8317" s="4" t="s">
        <v>12080</v>
      </c>
      <c r="D8317" s="834">
        <v>5.16</v>
      </c>
    </row>
    <row r="8318" spans="1:4" x14ac:dyDescent="0.3">
      <c r="A8318" s="4">
        <v>38591</v>
      </c>
      <c r="B8318" s="833" t="s">
        <v>12576</v>
      </c>
      <c r="C8318" s="4" t="s">
        <v>12080</v>
      </c>
      <c r="D8318" s="834">
        <v>4.68</v>
      </c>
    </row>
    <row r="8319" spans="1:4" x14ac:dyDescent="0.3">
      <c r="A8319" s="4">
        <v>34568</v>
      </c>
      <c r="B8319" s="833" t="s">
        <v>12577</v>
      </c>
      <c r="C8319" s="4" t="s">
        <v>12080</v>
      </c>
      <c r="D8319" s="834">
        <v>6.1</v>
      </c>
    </row>
    <row r="8320" spans="1:4" x14ac:dyDescent="0.3">
      <c r="A8320" s="4">
        <v>34569</v>
      </c>
      <c r="B8320" s="833" t="s">
        <v>12578</v>
      </c>
      <c r="C8320" s="4" t="s">
        <v>12080</v>
      </c>
      <c r="D8320" s="834">
        <v>6.27</v>
      </c>
    </row>
    <row r="8321" spans="1:4" x14ac:dyDescent="0.3">
      <c r="A8321" s="4">
        <v>34570</v>
      </c>
      <c r="B8321" s="833" t="s">
        <v>12579</v>
      </c>
      <c r="C8321" s="4" t="s">
        <v>12080</v>
      </c>
      <c r="D8321" s="834">
        <v>6.81</v>
      </c>
    </row>
    <row r="8322" spans="1:4" x14ac:dyDescent="0.3">
      <c r="A8322" s="4">
        <v>25070</v>
      </c>
      <c r="B8322" s="833" t="s">
        <v>12580</v>
      </c>
      <c r="C8322" s="4" t="s">
        <v>12080</v>
      </c>
      <c r="D8322" s="834">
        <v>5.12</v>
      </c>
    </row>
    <row r="8323" spans="1:4" x14ac:dyDescent="0.3">
      <c r="A8323" s="4">
        <v>34571</v>
      </c>
      <c r="B8323" s="833" t="s">
        <v>12581</v>
      </c>
      <c r="C8323" s="4" t="s">
        <v>12080</v>
      </c>
      <c r="D8323" s="834">
        <v>5.17</v>
      </c>
    </row>
    <row r="8324" spans="1:4" x14ac:dyDescent="0.3">
      <c r="A8324" s="4">
        <v>34573</v>
      </c>
      <c r="B8324" s="833" t="s">
        <v>12582</v>
      </c>
      <c r="C8324" s="4" t="s">
        <v>12080</v>
      </c>
      <c r="D8324" s="834">
        <v>5.44</v>
      </c>
    </row>
    <row r="8325" spans="1:4" x14ac:dyDescent="0.3">
      <c r="A8325" s="4">
        <v>37107</v>
      </c>
      <c r="B8325" s="833" t="s">
        <v>12583</v>
      </c>
      <c r="C8325" s="4" t="s">
        <v>12080</v>
      </c>
      <c r="D8325" s="834">
        <v>7.19</v>
      </c>
    </row>
    <row r="8326" spans="1:4" x14ac:dyDescent="0.3">
      <c r="A8326" s="4">
        <v>34576</v>
      </c>
      <c r="B8326" s="833" t="s">
        <v>12584</v>
      </c>
      <c r="C8326" s="4" t="s">
        <v>12080</v>
      </c>
      <c r="D8326" s="834">
        <v>7.93</v>
      </c>
    </row>
    <row r="8327" spans="1:4" x14ac:dyDescent="0.3">
      <c r="A8327" s="4">
        <v>34577</v>
      </c>
      <c r="B8327" s="833" t="s">
        <v>12585</v>
      </c>
      <c r="C8327" s="4" t="s">
        <v>12080</v>
      </c>
      <c r="D8327" s="834">
        <v>8.27</v>
      </c>
    </row>
    <row r="8328" spans="1:4" x14ac:dyDescent="0.3">
      <c r="A8328" s="4">
        <v>34578</v>
      </c>
      <c r="B8328" s="833" t="s">
        <v>12586</v>
      </c>
      <c r="C8328" s="4" t="s">
        <v>12080</v>
      </c>
      <c r="D8328" s="834">
        <v>8.9700000000000006</v>
      </c>
    </row>
    <row r="8329" spans="1:4" x14ac:dyDescent="0.3">
      <c r="A8329" s="4">
        <v>34579</v>
      </c>
      <c r="B8329" s="833" t="s">
        <v>12587</v>
      </c>
      <c r="C8329" s="4" t="s">
        <v>12080</v>
      </c>
      <c r="D8329" s="834">
        <v>9.57</v>
      </c>
    </row>
    <row r="8330" spans="1:4" x14ac:dyDescent="0.3">
      <c r="A8330" s="4">
        <v>25067</v>
      </c>
      <c r="B8330" s="833" t="s">
        <v>12588</v>
      </c>
      <c r="C8330" s="4" t="s">
        <v>12080</v>
      </c>
      <c r="D8330" s="834">
        <v>6.41</v>
      </c>
    </row>
    <row r="8331" spans="1:4" x14ac:dyDescent="0.3">
      <c r="A8331" s="4">
        <v>34580</v>
      </c>
      <c r="B8331" s="833" t="s">
        <v>12589</v>
      </c>
      <c r="C8331" s="4" t="s">
        <v>12080</v>
      </c>
      <c r="D8331" s="834">
        <v>7.15</v>
      </c>
    </row>
    <row r="8332" spans="1:4" x14ac:dyDescent="0.3">
      <c r="A8332" s="4">
        <v>25071</v>
      </c>
      <c r="B8332" s="833" t="s">
        <v>12590</v>
      </c>
      <c r="C8332" s="4" t="s">
        <v>12080</v>
      </c>
      <c r="D8332" s="834">
        <v>3.56</v>
      </c>
    </row>
    <row r="8333" spans="1:4" x14ac:dyDescent="0.3">
      <c r="A8333" s="4">
        <v>44171</v>
      </c>
      <c r="B8333" s="833" t="s">
        <v>12591</v>
      </c>
      <c r="C8333" s="4" t="s">
        <v>12080</v>
      </c>
      <c r="D8333" s="834">
        <v>21.21</v>
      </c>
    </row>
    <row r="8334" spans="1:4" x14ac:dyDescent="0.3">
      <c r="A8334" s="4">
        <v>38395</v>
      </c>
      <c r="B8334" s="833" t="s">
        <v>12592</v>
      </c>
      <c r="C8334" s="4" t="s">
        <v>12080</v>
      </c>
      <c r="D8334" s="834">
        <v>9.07</v>
      </c>
    </row>
    <row r="8335" spans="1:4" x14ac:dyDescent="0.3">
      <c r="A8335" s="4">
        <v>34583</v>
      </c>
      <c r="B8335" s="833" t="s">
        <v>12593</v>
      </c>
      <c r="C8335" s="4" t="s">
        <v>12481</v>
      </c>
      <c r="D8335" s="834">
        <v>49.92</v>
      </c>
    </row>
    <row r="8336" spans="1:4" x14ac:dyDescent="0.3">
      <c r="A8336" s="4">
        <v>34584</v>
      </c>
      <c r="B8336" s="833" t="s">
        <v>12594</v>
      </c>
      <c r="C8336" s="4" t="s">
        <v>12481</v>
      </c>
      <c r="D8336" s="834">
        <v>36.61</v>
      </c>
    </row>
    <row r="8337" spans="1:4" x14ac:dyDescent="0.3">
      <c r="A8337" s="4">
        <v>709</v>
      </c>
      <c r="B8337" s="833" t="s">
        <v>12595</v>
      </c>
      <c r="C8337" s="4" t="s">
        <v>12481</v>
      </c>
      <c r="D8337" s="834">
        <v>720.79</v>
      </c>
    </row>
    <row r="8338" spans="1:4" x14ac:dyDescent="0.3">
      <c r="A8338" s="4">
        <v>34599</v>
      </c>
      <c r="B8338" s="833" t="s">
        <v>12596</v>
      </c>
      <c r="C8338" s="4" t="s">
        <v>12080</v>
      </c>
      <c r="D8338" s="834">
        <v>3.66</v>
      </c>
    </row>
    <row r="8339" spans="1:4" x14ac:dyDescent="0.3">
      <c r="A8339" s="4">
        <v>34592</v>
      </c>
      <c r="B8339" s="833" t="s">
        <v>12597</v>
      </c>
      <c r="C8339" s="4" t="s">
        <v>12080</v>
      </c>
      <c r="D8339" s="834">
        <v>4.07</v>
      </c>
    </row>
    <row r="8340" spans="1:4" x14ac:dyDescent="0.3">
      <c r="A8340" s="4">
        <v>37103</v>
      </c>
      <c r="B8340" s="833" t="s">
        <v>12598</v>
      </c>
      <c r="C8340" s="4" t="s">
        <v>12080</v>
      </c>
      <c r="D8340" s="834">
        <v>4.66</v>
      </c>
    </row>
    <row r="8341" spans="1:4" x14ac:dyDescent="0.3">
      <c r="A8341" s="4">
        <v>34555</v>
      </c>
      <c r="B8341" s="833" t="s">
        <v>12599</v>
      </c>
      <c r="C8341" s="4" t="s">
        <v>12080</v>
      </c>
      <c r="D8341" s="834">
        <v>5.92</v>
      </c>
    </row>
    <row r="8342" spans="1:4" x14ac:dyDescent="0.3">
      <c r="A8342" s="4">
        <v>674</v>
      </c>
      <c r="B8342" s="833" t="s">
        <v>12600</v>
      </c>
      <c r="C8342" s="4" t="s">
        <v>12481</v>
      </c>
      <c r="D8342" s="834">
        <v>81.63</v>
      </c>
    </row>
    <row r="8343" spans="1:4" x14ac:dyDescent="0.3">
      <c r="A8343" s="4">
        <v>34600</v>
      </c>
      <c r="B8343" s="833" t="s">
        <v>12601</v>
      </c>
      <c r="C8343" s="4" t="s">
        <v>12481</v>
      </c>
      <c r="D8343" s="834">
        <v>119.9</v>
      </c>
    </row>
    <row r="8344" spans="1:4" x14ac:dyDescent="0.3">
      <c r="A8344" s="4">
        <v>652</v>
      </c>
      <c r="B8344" s="833" t="s">
        <v>12602</v>
      </c>
      <c r="C8344" s="4" t="s">
        <v>12481</v>
      </c>
      <c r="D8344" s="834">
        <v>183.67</v>
      </c>
    </row>
    <row r="8345" spans="1:4" x14ac:dyDescent="0.3">
      <c r="A8345" s="4">
        <v>651</v>
      </c>
      <c r="B8345" s="833" t="s">
        <v>12603</v>
      </c>
      <c r="C8345" s="4" t="s">
        <v>12080</v>
      </c>
      <c r="D8345" s="834">
        <v>4.49</v>
      </c>
    </row>
    <row r="8346" spans="1:4" x14ac:dyDescent="0.3">
      <c r="A8346" s="4">
        <v>654</v>
      </c>
      <c r="B8346" s="833" t="s">
        <v>12604</v>
      </c>
      <c r="C8346" s="4" t="s">
        <v>12080</v>
      </c>
      <c r="D8346" s="834">
        <v>5.56</v>
      </c>
    </row>
    <row r="8347" spans="1:4" x14ac:dyDescent="0.3">
      <c r="A8347" s="4">
        <v>650</v>
      </c>
      <c r="B8347" s="833" t="s">
        <v>12605</v>
      </c>
      <c r="C8347" s="4" t="s">
        <v>12080</v>
      </c>
      <c r="D8347" s="834">
        <v>3.59</v>
      </c>
    </row>
    <row r="8348" spans="1:4" x14ac:dyDescent="0.3">
      <c r="A8348" s="4">
        <v>718</v>
      </c>
      <c r="B8348" s="833" t="s">
        <v>12606</v>
      </c>
      <c r="C8348" s="4" t="s">
        <v>12080</v>
      </c>
      <c r="D8348" s="834">
        <v>19.399999999999999</v>
      </c>
    </row>
    <row r="8349" spans="1:4" x14ac:dyDescent="0.3">
      <c r="A8349" s="4">
        <v>11981</v>
      </c>
      <c r="B8349" s="833" t="s">
        <v>12607</v>
      </c>
      <c r="C8349" s="4" t="s">
        <v>12080</v>
      </c>
      <c r="D8349" s="834">
        <v>18.850000000000001</v>
      </c>
    </row>
    <row r="8350" spans="1:4" x14ac:dyDescent="0.3">
      <c r="A8350" s="4">
        <v>34586</v>
      </c>
      <c r="B8350" s="833" t="s">
        <v>12608</v>
      </c>
      <c r="C8350" s="4" t="s">
        <v>12080</v>
      </c>
      <c r="D8350" s="834">
        <v>2.2200000000000002</v>
      </c>
    </row>
    <row r="8351" spans="1:4" x14ac:dyDescent="0.3">
      <c r="A8351" s="4">
        <v>38603</v>
      </c>
      <c r="B8351" s="833" t="s">
        <v>12609</v>
      </c>
      <c r="C8351" s="4" t="s">
        <v>12080</v>
      </c>
      <c r="D8351" s="834">
        <v>2.63</v>
      </c>
    </row>
    <row r="8352" spans="1:4" x14ac:dyDescent="0.3">
      <c r="A8352" s="4">
        <v>34588</v>
      </c>
      <c r="B8352" s="833" t="s">
        <v>12610</v>
      </c>
      <c r="C8352" s="4" t="s">
        <v>12080</v>
      </c>
      <c r="D8352" s="834">
        <v>3</v>
      </c>
    </row>
    <row r="8353" spans="1:4" x14ac:dyDescent="0.3">
      <c r="A8353" s="4">
        <v>34590</v>
      </c>
      <c r="B8353" s="833" t="s">
        <v>12611</v>
      </c>
      <c r="C8353" s="4" t="s">
        <v>12080</v>
      </c>
      <c r="D8353" s="834">
        <v>2.97</v>
      </c>
    </row>
    <row r="8354" spans="1:4" x14ac:dyDescent="0.3">
      <c r="A8354" s="4">
        <v>34591</v>
      </c>
      <c r="B8354" s="833" t="s">
        <v>12612</v>
      </c>
      <c r="C8354" s="4" t="s">
        <v>12080</v>
      </c>
      <c r="D8354" s="834">
        <v>3.62</v>
      </c>
    </row>
    <row r="8355" spans="1:4" x14ac:dyDescent="0.3">
      <c r="A8355" s="4">
        <v>40517</v>
      </c>
      <c r="B8355" s="833" t="s">
        <v>12613</v>
      </c>
      <c r="C8355" s="4" t="s">
        <v>12481</v>
      </c>
      <c r="D8355" s="834">
        <v>73.11</v>
      </c>
    </row>
    <row r="8356" spans="1:4" x14ac:dyDescent="0.3">
      <c r="A8356" s="4">
        <v>40515</v>
      </c>
      <c r="B8356" s="833" t="s">
        <v>12614</v>
      </c>
      <c r="C8356" s="4" t="s">
        <v>12481</v>
      </c>
      <c r="D8356" s="834">
        <v>164.5</v>
      </c>
    </row>
    <row r="8357" spans="1:4" x14ac:dyDescent="0.3">
      <c r="A8357" s="4">
        <v>40524</v>
      </c>
      <c r="B8357" s="833" t="s">
        <v>12615</v>
      </c>
      <c r="C8357" s="4" t="s">
        <v>12481</v>
      </c>
      <c r="D8357" s="834">
        <v>102.81</v>
      </c>
    </row>
    <row r="8358" spans="1:4" x14ac:dyDescent="0.3">
      <c r="A8358" s="4">
        <v>40529</v>
      </c>
      <c r="B8358" s="833" t="s">
        <v>12616</v>
      </c>
      <c r="C8358" s="4" t="s">
        <v>12481</v>
      </c>
      <c r="D8358" s="834">
        <v>105.1</v>
      </c>
    </row>
    <row r="8359" spans="1:4" x14ac:dyDescent="0.3">
      <c r="A8359" s="4">
        <v>36156</v>
      </c>
      <c r="B8359" s="833" t="s">
        <v>12617</v>
      </c>
      <c r="C8359" s="4" t="s">
        <v>12481</v>
      </c>
      <c r="D8359" s="834">
        <v>79.959999999999994</v>
      </c>
    </row>
    <row r="8360" spans="1:4" x14ac:dyDescent="0.3">
      <c r="A8360" s="4">
        <v>36155</v>
      </c>
      <c r="B8360" s="833" t="s">
        <v>12618</v>
      </c>
      <c r="C8360" s="4" t="s">
        <v>12481</v>
      </c>
      <c r="D8360" s="834">
        <v>69.03</v>
      </c>
    </row>
    <row r="8361" spans="1:4" x14ac:dyDescent="0.3">
      <c r="A8361" s="4">
        <v>36154</v>
      </c>
      <c r="B8361" s="833" t="s">
        <v>12619</v>
      </c>
      <c r="C8361" s="4" t="s">
        <v>12481</v>
      </c>
      <c r="D8361" s="834">
        <v>95.96</v>
      </c>
    </row>
    <row r="8362" spans="1:4" x14ac:dyDescent="0.3">
      <c r="A8362" s="4">
        <v>36170</v>
      </c>
      <c r="B8362" s="833" t="s">
        <v>12620</v>
      </c>
      <c r="C8362" s="4" t="s">
        <v>12481</v>
      </c>
      <c r="D8362" s="834">
        <v>87.2</v>
      </c>
    </row>
    <row r="8363" spans="1:4" x14ac:dyDescent="0.3">
      <c r="A8363" s="4">
        <v>695</v>
      </c>
      <c r="B8363" s="833" t="s">
        <v>12621</v>
      </c>
      <c r="C8363" s="4" t="s">
        <v>12481</v>
      </c>
      <c r="D8363" s="834">
        <v>70.48</v>
      </c>
    </row>
    <row r="8364" spans="1:4" x14ac:dyDescent="0.3">
      <c r="A8364" s="4">
        <v>679</v>
      </c>
      <c r="B8364" s="833" t="s">
        <v>12622</v>
      </c>
      <c r="C8364" s="4" t="s">
        <v>12481</v>
      </c>
      <c r="D8364" s="834">
        <v>105.1</v>
      </c>
    </row>
    <row r="8365" spans="1:4" x14ac:dyDescent="0.3">
      <c r="A8365" s="4">
        <v>711</v>
      </c>
      <c r="B8365" s="833" t="s">
        <v>12623</v>
      </c>
      <c r="C8365" s="4" t="s">
        <v>12481</v>
      </c>
      <c r="D8365" s="834">
        <v>69.52</v>
      </c>
    </row>
    <row r="8366" spans="1:4" x14ac:dyDescent="0.3">
      <c r="A8366" s="4">
        <v>712</v>
      </c>
      <c r="B8366" s="833" t="s">
        <v>12624</v>
      </c>
      <c r="C8366" s="4" t="s">
        <v>12481</v>
      </c>
      <c r="D8366" s="834">
        <v>87.57</v>
      </c>
    </row>
    <row r="8367" spans="1:4" x14ac:dyDescent="0.3">
      <c r="A8367" s="4">
        <v>12614</v>
      </c>
      <c r="B8367" s="833" t="s">
        <v>12625</v>
      </c>
      <c r="C8367" s="4" t="s">
        <v>12080</v>
      </c>
      <c r="D8367" s="834">
        <v>55.68</v>
      </c>
    </row>
    <row r="8368" spans="1:4" x14ac:dyDescent="0.3">
      <c r="A8368" s="4">
        <v>6140</v>
      </c>
      <c r="B8368" s="833" t="s">
        <v>12626</v>
      </c>
      <c r="C8368" s="4" t="s">
        <v>12080</v>
      </c>
      <c r="D8368" s="834">
        <v>4.4800000000000004</v>
      </c>
    </row>
    <row r="8369" spans="1:4" x14ac:dyDescent="0.3">
      <c r="A8369" s="4">
        <v>38399</v>
      </c>
      <c r="B8369" s="833" t="s">
        <v>12627</v>
      </c>
      <c r="C8369" s="4" t="s">
        <v>12080</v>
      </c>
      <c r="D8369" s="834">
        <v>296.45</v>
      </c>
    </row>
    <row r="8370" spans="1:4" x14ac:dyDescent="0.3">
      <c r="A8370" s="4">
        <v>729</v>
      </c>
      <c r="B8370" s="833" t="s">
        <v>12628</v>
      </c>
      <c r="C8370" s="4" t="s">
        <v>12080</v>
      </c>
      <c r="D8370" s="834">
        <v>1133.5</v>
      </c>
    </row>
    <row r="8371" spans="1:4" x14ac:dyDescent="0.3">
      <c r="A8371" s="4">
        <v>39925</v>
      </c>
      <c r="B8371" s="833" t="s">
        <v>12629</v>
      </c>
      <c r="C8371" s="4" t="s">
        <v>12080</v>
      </c>
      <c r="D8371" s="834">
        <v>16378.97</v>
      </c>
    </row>
    <row r="8372" spans="1:4" x14ac:dyDescent="0.3">
      <c r="A8372" s="4">
        <v>731</v>
      </c>
      <c r="B8372" s="833" t="s">
        <v>12630</v>
      </c>
      <c r="C8372" s="4" t="s">
        <v>12080</v>
      </c>
      <c r="D8372" s="834">
        <v>1103.17</v>
      </c>
    </row>
    <row r="8373" spans="1:4" x14ac:dyDescent="0.3">
      <c r="A8373" s="4">
        <v>10575</v>
      </c>
      <c r="B8373" s="833" t="s">
        <v>12631</v>
      </c>
      <c r="C8373" s="4" t="s">
        <v>12080</v>
      </c>
      <c r="D8373" s="834">
        <v>1721.59</v>
      </c>
    </row>
    <row r="8374" spans="1:4" x14ac:dyDescent="0.3">
      <c r="A8374" s="4">
        <v>733</v>
      </c>
      <c r="B8374" s="833" t="s">
        <v>12632</v>
      </c>
      <c r="C8374" s="4" t="s">
        <v>12080</v>
      </c>
      <c r="D8374" s="834">
        <v>1884.93</v>
      </c>
    </row>
    <row r="8375" spans="1:4" x14ac:dyDescent="0.3">
      <c r="A8375" s="4">
        <v>732</v>
      </c>
      <c r="B8375" s="833" t="s">
        <v>12633</v>
      </c>
      <c r="C8375" s="4" t="s">
        <v>12080</v>
      </c>
      <c r="D8375" s="834">
        <v>1859.59</v>
      </c>
    </row>
    <row r="8376" spans="1:4" x14ac:dyDescent="0.3">
      <c r="A8376" s="4">
        <v>735</v>
      </c>
      <c r="B8376" s="833" t="s">
        <v>12634</v>
      </c>
      <c r="C8376" s="4" t="s">
        <v>12080</v>
      </c>
      <c r="D8376" s="834">
        <v>3308.11</v>
      </c>
    </row>
    <row r="8377" spans="1:4" x14ac:dyDescent="0.3">
      <c r="A8377" s="4">
        <v>737</v>
      </c>
      <c r="B8377" s="833" t="s">
        <v>12635</v>
      </c>
      <c r="C8377" s="4" t="s">
        <v>12080</v>
      </c>
      <c r="D8377" s="834">
        <v>10428.01</v>
      </c>
    </row>
    <row r="8378" spans="1:4" x14ac:dyDescent="0.3">
      <c r="A8378" s="4">
        <v>736</v>
      </c>
      <c r="B8378" s="833" t="s">
        <v>12636</v>
      </c>
      <c r="C8378" s="4" t="s">
        <v>12080</v>
      </c>
      <c r="D8378" s="834">
        <v>2781.52</v>
      </c>
    </row>
    <row r="8379" spans="1:4" x14ac:dyDescent="0.3">
      <c r="A8379" s="4">
        <v>738</v>
      </c>
      <c r="B8379" s="833" t="s">
        <v>12637</v>
      </c>
      <c r="C8379" s="4" t="s">
        <v>12080</v>
      </c>
      <c r="D8379" s="834">
        <v>4835.3900000000003</v>
      </c>
    </row>
    <row r="8380" spans="1:4" x14ac:dyDescent="0.3">
      <c r="A8380" s="4">
        <v>740</v>
      </c>
      <c r="B8380" s="833" t="s">
        <v>12638</v>
      </c>
      <c r="C8380" s="4" t="s">
        <v>12080</v>
      </c>
      <c r="D8380" s="834">
        <v>9810.02</v>
      </c>
    </row>
    <row r="8381" spans="1:4" x14ac:dyDescent="0.3">
      <c r="A8381" s="4">
        <v>734</v>
      </c>
      <c r="B8381" s="833" t="s">
        <v>12639</v>
      </c>
      <c r="C8381" s="4" t="s">
        <v>12080</v>
      </c>
      <c r="D8381" s="834">
        <v>1993.47</v>
      </c>
    </row>
    <row r="8382" spans="1:4" x14ac:dyDescent="0.3">
      <c r="A8382" s="4">
        <v>39008</v>
      </c>
      <c r="B8382" s="833" t="s">
        <v>12640</v>
      </c>
      <c r="C8382" s="4" t="s">
        <v>12080</v>
      </c>
      <c r="D8382" s="834">
        <v>63389.58</v>
      </c>
    </row>
    <row r="8383" spans="1:4" x14ac:dyDescent="0.3">
      <c r="A8383" s="4">
        <v>39009</v>
      </c>
      <c r="B8383" s="833" t="s">
        <v>12641</v>
      </c>
      <c r="C8383" s="4" t="s">
        <v>12080</v>
      </c>
      <c r="D8383" s="834">
        <v>67914.080000000002</v>
      </c>
    </row>
    <row r="8384" spans="1:4" x14ac:dyDescent="0.3">
      <c r="A8384" s="4">
        <v>10587</v>
      </c>
      <c r="B8384" s="833" t="s">
        <v>12642</v>
      </c>
      <c r="C8384" s="4" t="s">
        <v>12080</v>
      </c>
      <c r="D8384" s="834">
        <v>4107.12</v>
      </c>
    </row>
    <row r="8385" spans="1:4" x14ac:dyDescent="0.3">
      <c r="A8385" s="4">
        <v>759</v>
      </c>
      <c r="B8385" s="833" t="s">
        <v>12643</v>
      </c>
      <c r="C8385" s="4" t="s">
        <v>12080</v>
      </c>
      <c r="D8385" s="834">
        <v>5905.23</v>
      </c>
    </row>
    <row r="8386" spans="1:4" x14ac:dyDescent="0.3">
      <c r="A8386" s="4">
        <v>761</v>
      </c>
      <c r="B8386" s="833" t="s">
        <v>12644</v>
      </c>
      <c r="C8386" s="4" t="s">
        <v>12080</v>
      </c>
      <c r="D8386" s="834">
        <v>10009.86</v>
      </c>
    </row>
    <row r="8387" spans="1:4" x14ac:dyDescent="0.3">
      <c r="A8387" s="4">
        <v>750</v>
      </c>
      <c r="B8387" s="833" t="s">
        <v>12645</v>
      </c>
      <c r="C8387" s="4" t="s">
        <v>12080</v>
      </c>
      <c r="D8387" s="834">
        <v>9503.56</v>
      </c>
    </row>
    <row r="8388" spans="1:4" x14ac:dyDescent="0.3">
      <c r="A8388" s="4">
        <v>755</v>
      </c>
      <c r="B8388" s="833" t="s">
        <v>12646</v>
      </c>
      <c r="C8388" s="4" t="s">
        <v>12080</v>
      </c>
      <c r="D8388" s="834">
        <v>38998.019999999997</v>
      </c>
    </row>
    <row r="8389" spans="1:4" x14ac:dyDescent="0.3">
      <c r="A8389" s="4">
        <v>749</v>
      </c>
      <c r="B8389" s="833" t="s">
        <v>12647</v>
      </c>
      <c r="C8389" s="4" t="s">
        <v>12080</v>
      </c>
      <c r="D8389" s="834">
        <v>14342.75</v>
      </c>
    </row>
    <row r="8390" spans="1:4" x14ac:dyDescent="0.3">
      <c r="A8390" s="4">
        <v>756</v>
      </c>
      <c r="B8390" s="833" t="s">
        <v>12648</v>
      </c>
      <c r="C8390" s="4" t="s">
        <v>12080</v>
      </c>
      <c r="D8390" s="834">
        <v>42532.56</v>
      </c>
    </row>
    <row r="8391" spans="1:4" x14ac:dyDescent="0.3">
      <c r="A8391" s="4">
        <v>10588</v>
      </c>
      <c r="B8391" s="833" t="s">
        <v>12649</v>
      </c>
      <c r="C8391" s="4" t="s">
        <v>12080</v>
      </c>
      <c r="D8391" s="834">
        <v>4263.71</v>
      </c>
    </row>
    <row r="8392" spans="1:4" x14ac:dyDescent="0.3">
      <c r="A8392" s="4">
        <v>10592</v>
      </c>
      <c r="B8392" s="833" t="s">
        <v>12650</v>
      </c>
      <c r="C8392" s="4" t="s">
        <v>12080</v>
      </c>
      <c r="D8392" s="834">
        <v>5150</v>
      </c>
    </row>
    <row r="8393" spans="1:4" x14ac:dyDescent="0.3">
      <c r="A8393" s="4">
        <v>10589</v>
      </c>
      <c r="B8393" s="833" t="s">
        <v>12651</v>
      </c>
      <c r="C8393" s="4" t="s">
        <v>12080</v>
      </c>
      <c r="D8393" s="834">
        <v>6918.7</v>
      </c>
    </row>
    <row r="8394" spans="1:4" x14ac:dyDescent="0.3">
      <c r="A8394" s="4">
        <v>760</v>
      </c>
      <c r="B8394" s="833" t="s">
        <v>12652</v>
      </c>
      <c r="C8394" s="4" t="s">
        <v>12080</v>
      </c>
      <c r="D8394" s="834">
        <v>38625</v>
      </c>
    </row>
    <row r="8395" spans="1:4" x14ac:dyDescent="0.3">
      <c r="A8395" s="4">
        <v>751</v>
      </c>
      <c r="B8395" s="833" t="s">
        <v>12653</v>
      </c>
      <c r="C8395" s="4" t="s">
        <v>12080</v>
      </c>
      <c r="D8395" s="834">
        <v>6083.43</v>
      </c>
    </row>
    <row r="8396" spans="1:4" x14ac:dyDescent="0.3">
      <c r="A8396" s="4">
        <v>754</v>
      </c>
      <c r="B8396" s="833" t="s">
        <v>12654</v>
      </c>
      <c r="C8396" s="4" t="s">
        <v>12080</v>
      </c>
      <c r="D8396" s="834">
        <v>9656.25</v>
      </c>
    </row>
    <row r="8397" spans="1:4" x14ac:dyDescent="0.3">
      <c r="A8397" s="4">
        <v>757</v>
      </c>
      <c r="B8397" s="833" t="s">
        <v>12655</v>
      </c>
      <c r="C8397" s="4" t="s">
        <v>12080</v>
      </c>
      <c r="D8397" s="834">
        <v>19312.5</v>
      </c>
    </row>
    <row r="8398" spans="1:4" x14ac:dyDescent="0.3">
      <c r="A8398" s="4">
        <v>44489</v>
      </c>
      <c r="B8398" s="833" t="s">
        <v>12656</v>
      </c>
      <c r="C8398" s="4" t="s">
        <v>12080</v>
      </c>
      <c r="D8398" s="834">
        <v>281787.59000000003</v>
      </c>
    </row>
    <row r="8399" spans="1:4" x14ac:dyDescent="0.3">
      <c r="A8399" s="4">
        <v>39917</v>
      </c>
      <c r="B8399" s="833" t="s">
        <v>12657</v>
      </c>
      <c r="C8399" s="4" t="s">
        <v>12080</v>
      </c>
      <c r="D8399" s="834">
        <v>97370.98</v>
      </c>
    </row>
    <row r="8400" spans="1:4" x14ac:dyDescent="0.3">
      <c r="A8400" s="4">
        <v>38167</v>
      </c>
      <c r="B8400" s="833" t="s">
        <v>12658</v>
      </c>
      <c r="C8400" s="4" t="s">
        <v>12495</v>
      </c>
      <c r="D8400" s="834">
        <v>27.25</v>
      </c>
    </row>
    <row r="8401" spans="1:4" x14ac:dyDescent="0.3">
      <c r="A8401" s="4">
        <v>36145</v>
      </c>
      <c r="B8401" s="833" t="s">
        <v>12659</v>
      </c>
      <c r="C8401" s="4" t="s">
        <v>12495</v>
      </c>
      <c r="D8401" s="834">
        <v>39.71</v>
      </c>
    </row>
    <row r="8402" spans="1:4" x14ac:dyDescent="0.3">
      <c r="A8402" s="4">
        <v>12893</v>
      </c>
      <c r="B8402" s="833" t="s">
        <v>12660</v>
      </c>
      <c r="C8402" s="4" t="s">
        <v>12495</v>
      </c>
      <c r="D8402" s="834">
        <v>66.19</v>
      </c>
    </row>
    <row r="8403" spans="1:4" x14ac:dyDescent="0.3">
      <c r="A8403" s="4">
        <v>11685</v>
      </c>
      <c r="B8403" s="833" t="s">
        <v>12661</v>
      </c>
      <c r="C8403" s="4" t="s">
        <v>12080</v>
      </c>
      <c r="D8403" s="834">
        <v>23.03</v>
      </c>
    </row>
    <row r="8404" spans="1:4" x14ac:dyDescent="0.3">
      <c r="A8404" s="4">
        <v>11680</v>
      </c>
      <c r="B8404" s="833" t="s">
        <v>12662</v>
      </c>
      <c r="C8404" s="4" t="s">
        <v>12080</v>
      </c>
      <c r="D8404" s="834">
        <v>24.02</v>
      </c>
    </row>
    <row r="8405" spans="1:4" x14ac:dyDescent="0.3">
      <c r="A8405" s="4">
        <v>11679</v>
      </c>
      <c r="B8405" s="833" t="s">
        <v>12663</v>
      </c>
      <c r="C8405" s="4" t="s">
        <v>12080</v>
      </c>
      <c r="D8405" s="834">
        <v>32.57</v>
      </c>
    </row>
    <row r="8406" spans="1:4" x14ac:dyDescent="0.3">
      <c r="A8406" s="4">
        <v>2512</v>
      </c>
      <c r="B8406" s="833" t="s">
        <v>12664</v>
      </c>
      <c r="C8406" s="4" t="s">
        <v>12080</v>
      </c>
      <c r="D8406" s="834">
        <v>39</v>
      </c>
    </row>
    <row r="8407" spans="1:4" x14ac:dyDescent="0.3">
      <c r="A8407" s="4">
        <v>4374</v>
      </c>
      <c r="B8407" s="833" t="s">
        <v>12665</v>
      </c>
      <c r="C8407" s="4" t="s">
        <v>12080</v>
      </c>
      <c r="D8407" s="834">
        <v>0.7</v>
      </c>
    </row>
    <row r="8408" spans="1:4" x14ac:dyDescent="0.3">
      <c r="A8408" s="4">
        <v>7568</v>
      </c>
      <c r="B8408" s="833" t="s">
        <v>12666</v>
      </c>
      <c r="C8408" s="4" t="s">
        <v>12080</v>
      </c>
      <c r="D8408" s="834">
        <v>1.1599999999999999</v>
      </c>
    </row>
    <row r="8409" spans="1:4" x14ac:dyDescent="0.3">
      <c r="A8409" s="4">
        <v>7584</v>
      </c>
      <c r="B8409" s="833" t="s">
        <v>12667</v>
      </c>
      <c r="C8409" s="4" t="s">
        <v>12080</v>
      </c>
      <c r="D8409" s="834">
        <v>1.77</v>
      </c>
    </row>
    <row r="8410" spans="1:4" x14ac:dyDescent="0.3">
      <c r="A8410" s="4">
        <v>11945</v>
      </c>
      <c r="B8410" s="833" t="s">
        <v>12668</v>
      </c>
      <c r="C8410" s="4" t="s">
        <v>12080</v>
      </c>
      <c r="D8410" s="834">
        <v>0.11</v>
      </c>
    </row>
    <row r="8411" spans="1:4" x14ac:dyDescent="0.3">
      <c r="A8411" s="4">
        <v>11946</v>
      </c>
      <c r="B8411" s="833" t="s">
        <v>12669</v>
      </c>
      <c r="C8411" s="4" t="s">
        <v>12080</v>
      </c>
      <c r="D8411" s="834">
        <v>0.13</v>
      </c>
    </row>
    <row r="8412" spans="1:4" x14ac:dyDescent="0.3">
      <c r="A8412" s="4">
        <v>4375</v>
      </c>
      <c r="B8412" s="833" t="s">
        <v>12670</v>
      </c>
      <c r="C8412" s="4" t="s">
        <v>12080</v>
      </c>
      <c r="D8412" s="834">
        <v>0.19</v>
      </c>
    </row>
    <row r="8413" spans="1:4" x14ac:dyDescent="0.3">
      <c r="A8413" s="4">
        <v>11950</v>
      </c>
      <c r="B8413" s="833" t="s">
        <v>12671</v>
      </c>
      <c r="C8413" s="4" t="s">
        <v>12080</v>
      </c>
      <c r="D8413" s="834">
        <v>0.39</v>
      </c>
    </row>
    <row r="8414" spans="1:4" x14ac:dyDescent="0.3">
      <c r="A8414" s="4">
        <v>4376</v>
      </c>
      <c r="B8414" s="833" t="s">
        <v>12672</v>
      </c>
      <c r="C8414" s="4" t="s">
        <v>12080</v>
      </c>
      <c r="D8414" s="834">
        <v>0.37</v>
      </c>
    </row>
    <row r="8415" spans="1:4" x14ac:dyDescent="0.3">
      <c r="A8415" s="4">
        <v>7583</v>
      </c>
      <c r="B8415" s="833" t="s">
        <v>12673</v>
      </c>
      <c r="C8415" s="4" t="s">
        <v>12080</v>
      </c>
      <c r="D8415" s="834">
        <v>0.79</v>
      </c>
    </row>
    <row r="8416" spans="1:4" x14ac:dyDescent="0.3">
      <c r="A8416" s="4">
        <v>4350</v>
      </c>
      <c r="B8416" s="833" t="s">
        <v>12674</v>
      </c>
      <c r="C8416" s="4" t="s">
        <v>12080</v>
      </c>
      <c r="D8416" s="834">
        <v>0.69</v>
      </c>
    </row>
    <row r="8417" spans="1:4" x14ac:dyDescent="0.3">
      <c r="A8417" s="4">
        <v>44400</v>
      </c>
      <c r="B8417" s="833" t="s">
        <v>12675</v>
      </c>
      <c r="C8417" s="4" t="s">
        <v>12080</v>
      </c>
      <c r="D8417" s="834">
        <v>32.159999999999997</v>
      </c>
    </row>
    <row r="8418" spans="1:4" x14ac:dyDescent="0.3">
      <c r="A8418" s="4">
        <v>39886</v>
      </c>
      <c r="B8418" s="833" t="s">
        <v>12676</v>
      </c>
      <c r="C8418" s="4" t="s">
        <v>12080</v>
      </c>
      <c r="D8418" s="834">
        <v>10.050000000000001</v>
      </c>
    </row>
    <row r="8419" spans="1:4" x14ac:dyDescent="0.3">
      <c r="A8419" s="4">
        <v>39887</v>
      </c>
      <c r="B8419" s="833" t="s">
        <v>12677</v>
      </c>
      <c r="C8419" s="4" t="s">
        <v>12080</v>
      </c>
      <c r="D8419" s="834">
        <v>15.08</v>
      </c>
    </row>
    <row r="8420" spans="1:4" x14ac:dyDescent="0.3">
      <c r="A8420" s="4">
        <v>39888</v>
      </c>
      <c r="B8420" s="833" t="s">
        <v>12678</v>
      </c>
      <c r="C8420" s="4" t="s">
        <v>12080</v>
      </c>
      <c r="D8420" s="834">
        <v>34.479999999999997</v>
      </c>
    </row>
    <row r="8421" spans="1:4" x14ac:dyDescent="0.3">
      <c r="A8421" s="4">
        <v>39890</v>
      </c>
      <c r="B8421" s="833" t="s">
        <v>12679</v>
      </c>
      <c r="C8421" s="4" t="s">
        <v>12080</v>
      </c>
      <c r="D8421" s="834">
        <v>58.86</v>
      </c>
    </row>
    <row r="8422" spans="1:4" x14ac:dyDescent="0.3">
      <c r="A8422" s="4">
        <v>39891</v>
      </c>
      <c r="B8422" s="833" t="s">
        <v>12680</v>
      </c>
      <c r="C8422" s="4" t="s">
        <v>12080</v>
      </c>
      <c r="D8422" s="834">
        <v>82.99</v>
      </c>
    </row>
    <row r="8423" spans="1:4" x14ac:dyDescent="0.3">
      <c r="A8423" s="4">
        <v>39892</v>
      </c>
      <c r="B8423" s="833" t="s">
        <v>12681</v>
      </c>
      <c r="C8423" s="4" t="s">
        <v>12080</v>
      </c>
      <c r="D8423" s="834">
        <v>258.7</v>
      </c>
    </row>
    <row r="8424" spans="1:4" x14ac:dyDescent="0.3">
      <c r="A8424" s="4">
        <v>790</v>
      </c>
      <c r="B8424" s="833" t="s">
        <v>12682</v>
      </c>
      <c r="C8424" s="4" t="s">
        <v>12080</v>
      </c>
      <c r="D8424" s="834">
        <v>23.11</v>
      </c>
    </row>
    <row r="8425" spans="1:4" x14ac:dyDescent="0.3">
      <c r="A8425" s="4">
        <v>766</v>
      </c>
      <c r="B8425" s="833" t="s">
        <v>12683</v>
      </c>
      <c r="C8425" s="4" t="s">
        <v>12080</v>
      </c>
      <c r="D8425" s="834">
        <v>23.11</v>
      </c>
    </row>
    <row r="8426" spans="1:4" x14ac:dyDescent="0.3">
      <c r="A8426" s="4">
        <v>791</v>
      </c>
      <c r="B8426" s="833" t="s">
        <v>12684</v>
      </c>
      <c r="C8426" s="4" t="s">
        <v>12080</v>
      </c>
      <c r="D8426" s="834">
        <v>23.11</v>
      </c>
    </row>
    <row r="8427" spans="1:4" x14ac:dyDescent="0.3">
      <c r="A8427" s="4">
        <v>767</v>
      </c>
      <c r="B8427" s="833" t="s">
        <v>12685</v>
      </c>
      <c r="C8427" s="4" t="s">
        <v>12080</v>
      </c>
      <c r="D8427" s="834">
        <v>23.11</v>
      </c>
    </row>
    <row r="8428" spans="1:4" x14ac:dyDescent="0.3">
      <c r="A8428" s="4">
        <v>768</v>
      </c>
      <c r="B8428" s="833" t="s">
        <v>12686</v>
      </c>
      <c r="C8428" s="4" t="s">
        <v>12080</v>
      </c>
      <c r="D8428" s="834">
        <v>18.149999999999999</v>
      </c>
    </row>
    <row r="8429" spans="1:4" x14ac:dyDescent="0.3">
      <c r="A8429" s="4">
        <v>789</v>
      </c>
      <c r="B8429" s="833" t="s">
        <v>12687</v>
      </c>
      <c r="C8429" s="4" t="s">
        <v>12080</v>
      </c>
      <c r="D8429" s="834">
        <v>17.760000000000002</v>
      </c>
    </row>
    <row r="8430" spans="1:4" x14ac:dyDescent="0.3">
      <c r="A8430" s="4">
        <v>769</v>
      </c>
      <c r="B8430" s="833" t="s">
        <v>12688</v>
      </c>
      <c r="C8430" s="4" t="s">
        <v>12080</v>
      </c>
      <c r="D8430" s="834">
        <v>18.149999999999999</v>
      </c>
    </row>
    <row r="8431" spans="1:4" x14ac:dyDescent="0.3">
      <c r="A8431" s="4">
        <v>770</v>
      </c>
      <c r="B8431" s="833" t="s">
        <v>12689</v>
      </c>
      <c r="C8431" s="4" t="s">
        <v>12080</v>
      </c>
      <c r="D8431" s="834">
        <v>6.4</v>
      </c>
    </row>
    <row r="8432" spans="1:4" x14ac:dyDescent="0.3">
      <c r="A8432" s="4">
        <v>12394</v>
      </c>
      <c r="B8432" s="833" t="s">
        <v>12690</v>
      </c>
      <c r="C8432" s="4" t="s">
        <v>12080</v>
      </c>
      <c r="D8432" s="834">
        <v>6.4</v>
      </c>
    </row>
    <row r="8433" spans="1:4" x14ac:dyDescent="0.3">
      <c r="A8433" s="4">
        <v>764</v>
      </c>
      <c r="B8433" s="833" t="s">
        <v>12691</v>
      </c>
      <c r="C8433" s="4" t="s">
        <v>12080</v>
      </c>
      <c r="D8433" s="834">
        <v>11.17</v>
      </c>
    </row>
    <row r="8434" spans="1:4" x14ac:dyDescent="0.3">
      <c r="A8434" s="4">
        <v>765</v>
      </c>
      <c r="B8434" s="833" t="s">
        <v>12692</v>
      </c>
      <c r="C8434" s="4" t="s">
        <v>12080</v>
      </c>
      <c r="D8434" s="834">
        <v>11.17</v>
      </c>
    </row>
    <row r="8435" spans="1:4" x14ac:dyDescent="0.3">
      <c r="A8435" s="4">
        <v>787</v>
      </c>
      <c r="B8435" s="833" t="s">
        <v>12693</v>
      </c>
      <c r="C8435" s="4" t="s">
        <v>12080</v>
      </c>
      <c r="D8435" s="834">
        <v>49.89</v>
      </c>
    </row>
    <row r="8436" spans="1:4" x14ac:dyDescent="0.3">
      <c r="A8436" s="4">
        <v>774</v>
      </c>
      <c r="B8436" s="833" t="s">
        <v>12694</v>
      </c>
      <c r="C8436" s="4" t="s">
        <v>12080</v>
      </c>
      <c r="D8436" s="834">
        <v>49.89</v>
      </c>
    </row>
    <row r="8437" spans="1:4" x14ac:dyDescent="0.3">
      <c r="A8437" s="4">
        <v>773</v>
      </c>
      <c r="B8437" s="833" t="s">
        <v>12695</v>
      </c>
      <c r="C8437" s="4" t="s">
        <v>12080</v>
      </c>
      <c r="D8437" s="834">
        <v>49.89</v>
      </c>
    </row>
    <row r="8438" spans="1:4" x14ac:dyDescent="0.3">
      <c r="A8438" s="4">
        <v>775</v>
      </c>
      <c r="B8438" s="833" t="s">
        <v>12696</v>
      </c>
      <c r="C8438" s="4" t="s">
        <v>12080</v>
      </c>
      <c r="D8438" s="834">
        <v>49.89</v>
      </c>
    </row>
    <row r="8439" spans="1:4" x14ac:dyDescent="0.3">
      <c r="A8439" s="4">
        <v>788</v>
      </c>
      <c r="B8439" s="833" t="s">
        <v>12697</v>
      </c>
      <c r="C8439" s="4" t="s">
        <v>12080</v>
      </c>
      <c r="D8439" s="834">
        <v>31.01</v>
      </c>
    </row>
    <row r="8440" spans="1:4" x14ac:dyDescent="0.3">
      <c r="A8440" s="4">
        <v>772</v>
      </c>
      <c r="B8440" s="833" t="s">
        <v>12698</v>
      </c>
      <c r="C8440" s="4" t="s">
        <v>12080</v>
      </c>
      <c r="D8440" s="834">
        <v>31.01</v>
      </c>
    </row>
    <row r="8441" spans="1:4" x14ac:dyDescent="0.3">
      <c r="A8441" s="4">
        <v>771</v>
      </c>
      <c r="B8441" s="833" t="s">
        <v>12699</v>
      </c>
      <c r="C8441" s="4" t="s">
        <v>12080</v>
      </c>
      <c r="D8441" s="834">
        <v>31.01</v>
      </c>
    </row>
    <row r="8442" spans="1:4" x14ac:dyDescent="0.3">
      <c r="A8442" s="4">
        <v>779</v>
      </c>
      <c r="B8442" s="833" t="s">
        <v>12700</v>
      </c>
      <c r="C8442" s="4" t="s">
        <v>12080</v>
      </c>
      <c r="D8442" s="834">
        <v>7.71</v>
      </c>
    </row>
    <row r="8443" spans="1:4" x14ac:dyDescent="0.3">
      <c r="A8443" s="4">
        <v>776</v>
      </c>
      <c r="B8443" s="833" t="s">
        <v>12701</v>
      </c>
      <c r="C8443" s="4" t="s">
        <v>12080</v>
      </c>
      <c r="D8443" s="834">
        <v>73.55</v>
      </c>
    </row>
    <row r="8444" spans="1:4" x14ac:dyDescent="0.3">
      <c r="A8444" s="4">
        <v>777</v>
      </c>
      <c r="B8444" s="833" t="s">
        <v>12702</v>
      </c>
      <c r="C8444" s="4" t="s">
        <v>12080</v>
      </c>
      <c r="D8444" s="834">
        <v>71.5</v>
      </c>
    </row>
    <row r="8445" spans="1:4" x14ac:dyDescent="0.3">
      <c r="A8445" s="4">
        <v>780</v>
      </c>
      <c r="B8445" s="833" t="s">
        <v>12703</v>
      </c>
      <c r="C8445" s="4" t="s">
        <v>12080</v>
      </c>
      <c r="D8445" s="834">
        <v>71.86</v>
      </c>
    </row>
    <row r="8446" spans="1:4" x14ac:dyDescent="0.3">
      <c r="A8446" s="4">
        <v>778</v>
      </c>
      <c r="B8446" s="833" t="s">
        <v>12704</v>
      </c>
      <c r="C8446" s="4" t="s">
        <v>12080</v>
      </c>
      <c r="D8446" s="834">
        <v>73.55</v>
      </c>
    </row>
    <row r="8447" spans="1:4" x14ac:dyDescent="0.3">
      <c r="A8447" s="4">
        <v>781</v>
      </c>
      <c r="B8447" s="833" t="s">
        <v>12705</v>
      </c>
      <c r="C8447" s="4" t="s">
        <v>12080</v>
      </c>
      <c r="D8447" s="834">
        <v>135.9</v>
      </c>
    </row>
    <row r="8448" spans="1:4" x14ac:dyDescent="0.3">
      <c r="A8448" s="4">
        <v>786</v>
      </c>
      <c r="B8448" s="833" t="s">
        <v>12706</v>
      </c>
      <c r="C8448" s="4" t="s">
        <v>12080</v>
      </c>
      <c r="D8448" s="834">
        <v>135.9</v>
      </c>
    </row>
    <row r="8449" spans="1:4" x14ac:dyDescent="0.3">
      <c r="A8449" s="4">
        <v>782</v>
      </c>
      <c r="B8449" s="833" t="s">
        <v>12707</v>
      </c>
      <c r="C8449" s="4" t="s">
        <v>12080</v>
      </c>
      <c r="D8449" s="834">
        <v>135.9</v>
      </c>
    </row>
    <row r="8450" spans="1:4" x14ac:dyDescent="0.3">
      <c r="A8450" s="4">
        <v>783</v>
      </c>
      <c r="B8450" s="833" t="s">
        <v>12708</v>
      </c>
      <c r="C8450" s="4" t="s">
        <v>12080</v>
      </c>
      <c r="D8450" s="834">
        <v>371.95</v>
      </c>
    </row>
    <row r="8451" spans="1:4" x14ac:dyDescent="0.3">
      <c r="A8451" s="4">
        <v>785</v>
      </c>
      <c r="B8451" s="833" t="s">
        <v>12709</v>
      </c>
      <c r="C8451" s="4" t="s">
        <v>12080</v>
      </c>
      <c r="D8451" s="834">
        <v>393</v>
      </c>
    </row>
    <row r="8452" spans="1:4" x14ac:dyDescent="0.3">
      <c r="A8452" s="4">
        <v>784</v>
      </c>
      <c r="B8452" s="833" t="s">
        <v>12710</v>
      </c>
      <c r="C8452" s="4" t="s">
        <v>12080</v>
      </c>
      <c r="D8452" s="834">
        <v>421.59</v>
      </c>
    </row>
    <row r="8453" spans="1:4" x14ac:dyDescent="0.3">
      <c r="A8453" s="4">
        <v>828</v>
      </c>
      <c r="B8453" s="833" t="s">
        <v>12711</v>
      </c>
      <c r="C8453" s="4" t="s">
        <v>12080</v>
      </c>
      <c r="D8453" s="834">
        <v>0.62</v>
      </c>
    </row>
    <row r="8454" spans="1:4" x14ac:dyDescent="0.3">
      <c r="A8454" s="4">
        <v>829</v>
      </c>
      <c r="B8454" s="833" t="s">
        <v>12712</v>
      </c>
      <c r="C8454" s="4" t="s">
        <v>12080</v>
      </c>
      <c r="D8454" s="834">
        <v>0.99</v>
      </c>
    </row>
    <row r="8455" spans="1:4" x14ac:dyDescent="0.3">
      <c r="A8455" s="4">
        <v>812</v>
      </c>
      <c r="B8455" s="833" t="s">
        <v>12713</v>
      </c>
      <c r="C8455" s="4" t="s">
        <v>12080</v>
      </c>
      <c r="D8455" s="834">
        <v>2.19</v>
      </c>
    </row>
    <row r="8456" spans="1:4" x14ac:dyDescent="0.3">
      <c r="A8456" s="4">
        <v>819</v>
      </c>
      <c r="B8456" s="833" t="s">
        <v>12714</v>
      </c>
      <c r="C8456" s="4" t="s">
        <v>12080</v>
      </c>
      <c r="D8456" s="834">
        <v>3.81</v>
      </c>
    </row>
    <row r="8457" spans="1:4" x14ac:dyDescent="0.3">
      <c r="A8457" s="4">
        <v>818</v>
      </c>
      <c r="B8457" s="833" t="s">
        <v>12715</v>
      </c>
      <c r="C8457" s="4" t="s">
        <v>12080</v>
      </c>
      <c r="D8457" s="834">
        <v>7.11</v>
      </c>
    </row>
    <row r="8458" spans="1:4" x14ac:dyDescent="0.3">
      <c r="A8458" s="4">
        <v>832</v>
      </c>
      <c r="B8458" s="833" t="s">
        <v>12716</v>
      </c>
      <c r="C8458" s="4" t="s">
        <v>12080</v>
      </c>
      <c r="D8458" s="834">
        <v>2.93</v>
      </c>
    </row>
    <row r="8459" spans="1:4" x14ac:dyDescent="0.3">
      <c r="A8459" s="4">
        <v>834</v>
      </c>
      <c r="B8459" s="833" t="s">
        <v>12717</v>
      </c>
      <c r="C8459" s="4" t="s">
        <v>12080</v>
      </c>
      <c r="D8459" s="834">
        <v>3.8</v>
      </c>
    </row>
    <row r="8460" spans="1:4" x14ac:dyDescent="0.3">
      <c r="A8460" s="4">
        <v>813</v>
      </c>
      <c r="B8460" s="833" t="s">
        <v>12718</v>
      </c>
      <c r="C8460" s="4" t="s">
        <v>12080</v>
      </c>
      <c r="D8460" s="834">
        <v>4.42</v>
      </c>
    </row>
    <row r="8461" spans="1:4" x14ac:dyDescent="0.3">
      <c r="A8461" s="4">
        <v>820</v>
      </c>
      <c r="B8461" s="833" t="s">
        <v>12719</v>
      </c>
      <c r="C8461" s="4" t="s">
        <v>12080</v>
      </c>
      <c r="D8461" s="834">
        <v>5.95</v>
      </c>
    </row>
    <row r="8462" spans="1:4" x14ac:dyDescent="0.3">
      <c r="A8462" s="4">
        <v>816</v>
      </c>
      <c r="B8462" s="833" t="s">
        <v>12720</v>
      </c>
      <c r="C8462" s="4" t="s">
        <v>12080</v>
      </c>
      <c r="D8462" s="834">
        <v>10.61</v>
      </c>
    </row>
    <row r="8463" spans="1:4" x14ac:dyDescent="0.3">
      <c r="A8463" s="4">
        <v>814</v>
      </c>
      <c r="B8463" s="833" t="s">
        <v>12721</v>
      </c>
      <c r="C8463" s="4" t="s">
        <v>12080</v>
      </c>
      <c r="D8463" s="834">
        <v>13.18</v>
      </c>
    </row>
    <row r="8464" spans="1:4" x14ac:dyDescent="0.3">
      <c r="A8464" s="4">
        <v>822</v>
      </c>
      <c r="B8464" s="833" t="s">
        <v>12722</v>
      </c>
      <c r="C8464" s="4" t="s">
        <v>12080</v>
      </c>
      <c r="D8464" s="834">
        <v>17.2</v>
      </c>
    </row>
    <row r="8465" spans="1:4" x14ac:dyDescent="0.3">
      <c r="A8465" s="4">
        <v>821</v>
      </c>
      <c r="B8465" s="833" t="s">
        <v>12723</v>
      </c>
      <c r="C8465" s="4" t="s">
        <v>12080</v>
      </c>
      <c r="D8465" s="834">
        <v>19.68</v>
      </c>
    </row>
    <row r="8466" spans="1:4" x14ac:dyDescent="0.3">
      <c r="A8466" s="4">
        <v>20086</v>
      </c>
      <c r="B8466" s="833" t="s">
        <v>12724</v>
      </c>
      <c r="C8466" s="4" t="s">
        <v>12080</v>
      </c>
      <c r="D8466" s="834">
        <v>3.18</v>
      </c>
    </row>
    <row r="8467" spans="1:4" x14ac:dyDescent="0.3">
      <c r="A8467" s="4">
        <v>39191</v>
      </c>
      <c r="B8467" s="833" t="s">
        <v>12725</v>
      </c>
      <c r="C8467" s="4" t="s">
        <v>12080</v>
      </c>
      <c r="D8467" s="834">
        <v>18.32</v>
      </c>
    </row>
    <row r="8468" spans="1:4" x14ac:dyDescent="0.3">
      <c r="A8468" s="4">
        <v>39190</v>
      </c>
      <c r="B8468" s="833" t="s">
        <v>12726</v>
      </c>
      <c r="C8468" s="4" t="s">
        <v>12080</v>
      </c>
      <c r="D8468" s="834">
        <v>19.13</v>
      </c>
    </row>
    <row r="8469" spans="1:4" x14ac:dyDescent="0.3">
      <c r="A8469" s="4">
        <v>39189</v>
      </c>
      <c r="B8469" s="833" t="s">
        <v>12727</v>
      </c>
      <c r="C8469" s="4" t="s">
        <v>12080</v>
      </c>
      <c r="D8469" s="834">
        <v>20.25</v>
      </c>
    </row>
    <row r="8470" spans="1:4" x14ac:dyDescent="0.3">
      <c r="A8470" s="4">
        <v>39186</v>
      </c>
      <c r="B8470" s="833" t="s">
        <v>12728</v>
      </c>
      <c r="C8470" s="4" t="s">
        <v>12080</v>
      </c>
      <c r="D8470" s="834">
        <v>18.12</v>
      </c>
    </row>
    <row r="8471" spans="1:4" x14ac:dyDescent="0.3">
      <c r="A8471" s="4">
        <v>39188</v>
      </c>
      <c r="B8471" s="833" t="s">
        <v>12729</v>
      </c>
      <c r="C8471" s="4" t="s">
        <v>12080</v>
      </c>
      <c r="D8471" s="834">
        <v>14.91</v>
      </c>
    </row>
    <row r="8472" spans="1:4" x14ac:dyDescent="0.3">
      <c r="A8472" s="4">
        <v>39187</v>
      </c>
      <c r="B8472" s="833" t="s">
        <v>12730</v>
      </c>
      <c r="C8472" s="4" t="s">
        <v>12080</v>
      </c>
      <c r="D8472" s="834">
        <v>15.63</v>
      </c>
    </row>
    <row r="8473" spans="1:4" x14ac:dyDescent="0.3">
      <c r="A8473" s="4">
        <v>39184</v>
      </c>
      <c r="B8473" s="833" t="s">
        <v>12731</v>
      </c>
      <c r="C8473" s="4" t="s">
        <v>12080</v>
      </c>
      <c r="D8473" s="834">
        <v>5.88</v>
      </c>
    </row>
    <row r="8474" spans="1:4" x14ac:dyDescent="0.3">
      <c r="A8474" s="4">
        <v>39185</v>
      </c>
      <c r="B8474" s="833" t="s">
        <v>12732</v>
      </c>
      <c r="C8474" s="4" t="s">
        <v>12080</v>
      </c>
      <c r="D8474" s="834">
        <v>5.36</v>
      </c>
    </row>
    <row r="8475" spans="1:4" x14ac:dyDescent="0.3">
      <c r="A8475" s="4">
        <v>39198</v>
      </c>
      <c r="B8475" s="833" t="s">
        <v>12733</v>
      </c>
      <c r="C8475" s="4" t="s">
        <v>12080</v>
      </c>
      <c r="D8475" s="834">
        <v>60.09</v>
      </c>
    </row>
    <row r="8476" spans="1:4" x14ac:dyDescent="0.3">
      <c r="A8476" s="4">
        <v>39197</v>
      </c>
      <c r="B8476" s="833" t="s">
        <v>12734</v>
      </c>
      <c r="C8476" s="4" t="s">
        <v>12080</v>
      </c>
      <c r="D8476" s="834">
        <v>62.78</v>
      </c>
    </row>
    <row r="8477" spans="1:4" x14ac:dyDescent="0.3">
      <c r="A8477" s="4">
        <v>39196</v>
      </c>
      <c r="B8477" s="833" t="s">
        <v>12735</v>
      </c>
      <c r="C8477" s="4" t="s">
        <v>12080</v>
      </c>
      <c r="D8477" s="834">
        <v>64.739999999999995</v>
      </c>
    </row>
    <row r="8478" spans="1:4" x14ac:dyDescent="0.3">
      <c r="A8478" s="4">
        <v>39199</v>
      </c>
      <c r="B8478" s="833" t="s">
        <v>12736</v>
      </c>
      <c r="C8478" s="4" t="s">
        <v>12080</v>
      </c>
      <c r="D8478" s="834">
        <v>57.83</v>
      </c>
    </row>
    <row r="8479" spans="1:4" x14ac:dyDescent="0.3">
      <c r="A8479" s="4">
        <v>39195</v>
      </c>
      <c r="B8479" s="833" t="s">
        <v>12737</v>
      </c>
      <c r="C8479" s="4" t="s">
        <v>12080</v>
      </c>
      <c r="D8479" s="834">
        <v>33.380000000000003</v>
      </c>
    </row>
    <row r="8480" spans="1:4" x14ac:dyDescent="0.3">
      <c r="A8480" s="4">
        <v>39194</v>
      </c>
      <c r="B8480" s="833" t="s">
        <v>12738</v>
      </c>
      <c r="C8480" s="4" t="s">
        <v>12080</v>
      </c>
      <c r="D8480" s="834">
        <v>35.72</v>
      </c>
    </row>
    <row r="8481" spans="1:4" x14ac:dyDescent="0.3">
      <c r="A8481" s="4">
        <v>39193</v>
      </c>
      <c r="B8481" s="833" t="s">
        <v>12739</v>
      </c>
      <c r="C8481" s="4" t="s">
        <v>12080</v>
      </c>
      <c r="D8481" s="834">
        <v>39.15</v>
      </c>
    </row>
    <row r="8482" spans="1:4" x14ac:dyDescent="0.3">
      <c r="A8482" s="4">
        <v>39192</v>
      </c>
      <c r="B8482" s="833" t="s">
        <v>12740</v>
      </c>
      <c r="C8482" s="4" t="s">
        <v>12080</v>
      </c>
      <c r="D8482" s="834">
        <v>40.729999999999997</v>
      </c>
    </row>
    <row r="8483" spans="1:4" x14ac:dyDescent="0.3">
      <c r="A8483" s="4">
        <v>39920</v>
      </c>
      <c r="B8483" s="833" t="s">
        <v>12741</v>
      </c>
      <c r="C8483" s="4" t="s">
        <v>12080</v>
      </c>
      <c r="D8483" s="834">
        <v>4.93</v>
      </c>
    </row>
    <row r="8484" spans="1:4" x14ac:dyDescent="0.3">
      <c r="A8484" s="4">
        <v>39201</v>
      </c>
      <c r="B8484" s="833" t="s">
        <v>12742</v>
      </c>
      <c r="C8484" s="4" t="s">
        <v>12080</v>
      </c>
      <c r="D8484" s="834">
        <v>71.849999999999994</v>
      </c>
    </row>
    <row r="8485" spans="1:4" x14ac:dyDescent="0.3">
      <c r="A8485" s="4">
        <v>39200</v>
      </c>
      <c r="B8485" s="833" t="s">
        <v>12743</v>
      </c>
      <c r="C8485" s="4" t="s">
        <v>12080</v>
      </c>
      <c r="D8485" s="834">
        <v>72.430000000000007</v>
      </c>
    </row>
    <row r="8486" spans="1:4" x14ac:dyDescent="0.3">
      <c r="A8486" s="4">
        <v>39203</v>
      </c>
      <c r="B8486" s="833" t="s">
        <v>12744</v>
      </c>
      <c r="C8486" s="4" t="s">
        <v>12080</v>
      </c>
      <c r="D8486" s="834">
        <v>58.48</v>
      </c>
    </row>
    <row r="8487" spans="1:4" x14ac:dyDescent="0.3">
      <c r="A8487" s="4">
        <v>39202</v>
      </c>
      <c r="B8487" s="833" t="s">
        <v>12745</v>
      </c>
      <c r="C8487" s="4" t="s">
        <v>12080</v>
      </c>
      <c r="D8487" s="834">
        <v>68.7</v>
      </c>
    </row>
    <row r="8488" spans="1:4" x14ac:dyDescent="0.3">
      <c r="A8488" s="4">
        <v>39205</v>
      </c>
      <c r="B8488" s="833" t="s">
        <v>12746</v>
      </c>
      <c r="C8488" s="4" t="s">
        <v>12080</v>
      </c>
      <c r="D8488" s="834">
        <v>114.61</v>
      </c>
    </row>
    <row r="8489" spans="1:4" x14ac:dyDescent="0.3">
      <c r="A8489" s="4">
        <v>39204</v>
      </c>
      <c r="B8489" s="833" t="s">
        <v>12747</v>
      </c>
      <c r="C8489" s="4" t="s">
        <v>12080</v>
      </c>
      <c r="D8489" s="834">
        <v>117.38</v>
      </c>
    </row>
    <row r="8490" spans="1:4" x14ac:dyDescent="0.3">
      <c r="A8490" s="4">
        <v>39206</v>
      </c>
      <c r="B8490" s="833" t="s">
        <v>12748</v>
      </c>
      <c r="C8490" s="4" t="s">
        <v>12080</v>
      </c>
      <c r="D8490" s="834">
        <v>111.36</v>
      </c>
    </row>
    <row r="8491" spans="1:4" x14ac:dyDescent="0.3">
      <c r="A8491" s="4">
        <v>798</v>
      </c>
      <c r="B8491" s="833" t="s">
        <v>12749</v>
      </c>
      <c r="C8491" s="4" t="s">
        <v>12080</v>
      </c>
      <c r="D8491" s="834">
        <v>1.22</v>
      </c>
    </row>
    <row r="8492" spans="1:4" x14ac:dyDescent="0.3">
      <c r="A8492" s="4">
        <v>797</v>
      </c>
      <c r="B8492" s="833" t="s">
        <v>12750</v>
      </c>
      <c r="C8492" s="4" t="s">
        <v>12080</v>
      </c>
      <c r="D8492" s="834">
        <v>8.91</v>
      </c>
    </row>
    <row r="8493" spans="1:4" x14ac:dyDescent="0.3">
      <c r="A8493" s="4">
        <v>796</v>
      </c>
      <c r="B8493" s="833" t="s">
        <v>12751</v>
      </c>
      <c r="C8493" s="4" t="s">
        <v>12080</v>
      </c>
      <c r="D8493" s="834">
        <v>7.57</v>
      </c>
    </row>
    <row r="8494" spans="1:4" x14ac:dyDescent="0.3">
      <c r="A8494" s="4">
        <v>799</v>
      </c>
      <c r="B8494" s="833" t="s">
        <v>12752</v>
      </c>
      <c r="C8494" s="4" t="s">
        <v>12080</v>
      </c>
      <c r="D8494" s="834">
        <v>3.66</v>
      </c>
    </row>
    <row r="8495" spans="1:4" x14ac:dyDescent="0.3">
      <c r="A8495" s="4">
        <v>792</v>
      </c>
      <c r="B8495" s="833" t="s">
        <v>12753</v>
      </c>
      <c r="C8495" s="4" t="s">
        <v>12080</v>
      </c>
      <c r="D8495" s="834">
        <v>3.54</v>
      </c>
    </row>
    <row r="8496" spans="1:4" x14ac:dyDescent="0.3">
      <c r="A8496" s="4">
        <v>38001</v>
      </c>
      <c r="B8496" s="833" t="s">
        <v>12754</v>
      </c>
      <c r="C8496" s="4" t="s">
        <v>12080</v>
      </c>
      <c r="D8496" s="834">
        <v>1.19</v>
      </c>
    </row>
    <row r="8497" spans="1:4" x14ac:dyDescent="0.3">
      <c r="A8497" s="4">
        <v>38002</v>
      </c>
      <c r="B8497" s="833" t="s">
        <v>12755</v>
      </c>
      <c r="C8497" s="4" t="s">
        <v>12080</v>
      </c>
      <c r="D8497" s="834">
        <v>4.1500000000000004</v>
      </c>
    </row>
    <row r="8498" spans="1:4" x14ac:dyDescent="0.3">
      <c r="A8498" s="4">
        <v>38003</v>
      </c>
      <c r="B8498" s="833" t="s">
        <v>12756</v>
      </c>
      <c r="C8498" s="4" t="s">
        <v>12080</v>
      </c>
      <c r="D8498" s="834">
        <v>28.35</v>
      </c>
    </row>
    <row r="8499" spans="1:4" x14ac:dyDescent="0.3">
      <c r="A8499" s="4">
        <v>38004</v>
      </c>
      <c r="B8499" s="833" t="s">
        <v>12757</v>
      </c>
      <c r="C8499" s="4" t="s">
        <v>12080</v>
      </c>
      <c r="D8499" s="834">
        <v>32.61</v>
      </c>
    </row>
    <row r="8500" spans="1:4" x14ac:dyDescent="0.3">
      <c r="A8500" s="4">
        <v>44263</v>
      </c>
      <c r="B8500" s="833" t="s">
        <v>12758</v>
      </c>
      <c r="C8500" s="4" t="s">
        <v>12080</v>
      </c>
      <c r="D8500" s="834">
        <v>58.54</v>
      </c>
    </row>
    <row r="8501" spans="1:4" x14ac:dyDescent="0.3">
      <c r="A8501" s="4">
        <v>36327</v>
      </c>
      <c r="B8501" s="833" t="s">
        <v>12759</v>
      </c>
      <c r="C8501" s="4" t="s">
        <v>12080</v>
      </c>
      <c r="D8501" s="834">
        <v>4.51</v>
      </c>
    </row>
    <row r="8502" spans="1:4" x14ac:dyDescent="0.3">
      <c r="A8502" s="4">
        <v>38992</v>
      </c>
      <c r="B8502" s="833" t="s">
        <v>12760</v>
      </c>
      <c r="C8502" s="4" t="s">
        <v>12080</v>
      </c>
      <c r="D8502" s="834">
        <v>5.48</v>
      </c>
    </row>
    <row r="8503" spans="1:4" x14ac:dyDescent="0.3">
      <c r="A8503" s="4">
        <v>38993</v>
      </c>
      <c r="B8503" s="833" t="s">
        <v>12761</v>
      </c>
      <c r="C8503" s="4" t="s">
        <v>12080</v>
      </c>
      <c r="D8503" s="834">
        <v>14.25</v>
      </c>
    </row>
    <row r="8504" spans="1:4" x14ac:dyDescent="0.3">
      <c r="A8504" s="4">
        <v>44175</v>
      </c>
      <c r="B8504" s="833" t="s">
        <v>12762</v>
      </c>
      <c r="C8504" s="4" t="s">
        <v>12080</v>
      </c>
      <c r="D8504" s="834">
        <v>24.86</v>
      </c>
    </row>
    <row r="8505" spans="1:4" x14ac:dyDescent="0.3">
      <c r="A8505" s="4">
        <v>44177</v>
      </c>
      <c r="B8505" s="833" t="s">
        <v>12763</v>
      </c>
      <c r="C8505" s="4" t="s">
        <v>12080</v>
      </c>
      <c r="D8505" s="834">
        <v>18.579999999999998</v>
      </c>
    </row>
    <row r="8506" spans="1:4" x14ac:dyDescent="0.3">
      <c r="A8506" s="4">
        <v>38418</v>
      </c>
      <c r="B8506" s="833" t="s">
        <v>12764</v>
      </c>
      <c r="C8506" s="4" t="s">
        <v>12080</v>
      </c>
      <c r="D8506" s="834">
        <v>5.47</v>
      </c>
    </row>
    <row r="8507" spans="1:4" x14ac:dyDescent="0.3">
      <c r="A8507" s="4">
        <v>39178</v>
      </c>
      <c r="B8507" s="833" t="s">
        <v>12765</v>
      </c>
      <c r="C8507" s="4" t="s">
        <v>12080</v>
      </c>
      <c r="D8507" s="834">
        <v>1.98</v>
      </c>
    </row>
    <row r="8508" spans="1:4" x14ac:dyDescent="0.3">
      <c r="A8508" s="4">
        <v>39177</v>
      </c>
      <c r="B8508" s="833" t="s">
        <v>12766</v>
      </c>
      <c r="C8508" s="4" t="s">
        <v>12080</v>
      </c>
      <c r="D8508" s="834">
        <v>1.79</v>
      </c>
    </row>
    <row r="8509" spans="1:4" x14ac:dyDescent="0.3">
      <c r="A8509" s="4">
        <v>39174</v>
      </c>
      <c r="B8509" s="833" t="s">
        <v>12767</v>
      </c>
      <c r="C8509" s="4" t="s">
        <v>12080</v>
      </c>
      <c r="D8509" s="834">
        <v>0.89</v>
      </c>
    </row>
    <row r="8510" spans="1:4" x14ac:dyDescent="0.3">
      <c r="A8510" s="4">
        <v>39176</v>
      </c>
      <c r="B8510" s="833" t="s">
        <v>12768</v>
      </c>
      <c r="C8510" s="4" t="s">
        <v>12080</v>
      </c>
      <c r="D8510" s="834">
        <v>1.17</v>
      </c>
    </row>
    <row r="8511" spans="1:4" x14ac:dyDescent="0.3">
      <c r="A8511" s="4">
        <v>39180</v>
      </c>
      <c r="B8511" s="833" t="s">
        <v>12769</v>
      </c>
      <c r="C8511" s="4" t="s">
        <v>12080</v>
      </c>
      <c r="D8511" s="834">
        <v>5.38</v>
      </c>
    </row>
    <row r="8512" spans="1:4" x14ac:dyDescent="0.3">
      <c r="A8512" s="4">
        <v>39179</v>
      </c>
      <c r="B8512" s="833" t="s">
        <v>12770</v>
      </c>
      <c r="C8512" s="4" t="s">
        <v>12080</v>
      </c>
      <c r="D8512" s="834">
        <v>4.76</v>
      </c>
    </row>
    <row r="8513" spans="1:4" x14ac:dyDescent="0.3">
      <c r="A8513" s="4">
        <v>39175</v>
      </c>
      <c r="B8513" s="833" t="s">
        <v>12771</v>
      </c>
      <c r="C8513" s="4" t="s">
        <v>12080</v>
      </c>
      <c r="D8513" s="834">
        <v>1.0900000000000001</v>
      </c>
    </row>
    <row r="8514" spans="1:4" x14ac:dyDescent="0.3">
      <c r="A8514" s="4">
        <v>39217</v>
      </c>
      <c r="B8514" s="833" t="s">
        <v>12772</v>
      </c>
      <c r="C8514" s="4" t="s">
        <v>12080</v>
      </c>
      <c r="D8514" s="834">
        <v>0.84</v>
      </c>
    </row>
    <row r="8515" spans="1:4" x14ac:dyDescent="0.3">
      <c r="A8515" s="4">
        <v>39181</v>
      </c>
      <c r="B8515" s="833" t="s">
        <v>12773</v>
      </c>
      <c r="C8515" s="4" t="s">
        <v>12080</v>
      </c>
      <c r="D8515" s="834">
        <v>7.21</v>
      </c>
    </row>
    <row r="8516" spans="1:4" x14ac:dyDescent="0.3">
      <c r="A8516" s="4">
        <v>39182</v>
      </c>
      <c r="B8516" s="833" t="s">
        <v>12774</v>
      </c>
      <c r="C8516" s="4" t="s">
        <v>12080</v>
      </c>
      <c r="D8516" s="834">
        <v>10.14</v>
      </c>
    </row>
    <row r="8517" spans="1:4" x14ac:dyDescent="0.3">
      <c r="A8517" s="4">
        <v>12616</v>
      </c>
      <c r="B8517" s="833" t="s">
        <v>12775</v>
      </c>
      <c r="C8517" s="4" t="s">
        <v>12080</v>
      </c>
      <c r="D8517" s="834">
        <v>16.89</v>
      </c>
    </row>
    <row r="8518" spans="1:4" x14ac:dyDescent="0.3">
      <c r="A8518" s="4">
        <v>1049</v>
      </c>
      <c r="B8518" s="833" t="s">
        <v>12776</v>
      </c>
      <c r="C8518" s="4" t="s">
        <v>12080</v>
      </c>
      <c r="D8518" s="834">
        <v>8.49</v>
      </c>
    </row>
    <row r="8519" spans="1:4" x14ac:dyDescent="0.3">
      <c r="A8519" s="4">
        <v>1099</v>
      </c>
      <c r="B8519" s="833" t="s">
        <v>12777</v>
      </c>
      <c r="C8519" s="4" t="s">
        <v>12080</v>
      </c>
      <c r="D8519" s="834">
        <v>6.49</v>
      </c>
    </row>
    <row r="8520" spans="1:4" x14ac:dyDescent="0.3">
      <c r="A8520" s="4">
        <v>39678</v>
      </c>
      <c r="B8520" s="833" t="s">
        <v>12778</v>
      </c>
      <c r="C8520" s="4" t="s">
        <v>12080</v>
      </c>
      <c r="D8520" s="834">
        <v>2.62</v>
      </c>
    </row>
    <row r="8521" spans="1:4" x14ac:dyDescent="0.3">
      <c r="A8521" s="4">
        <v>1050</v>
      </c>
      <c r="B8521" s="833" t="s">
        <v>12779</v>
      </c>
      <c r="C8521" s="4" t="s">
        <v>12080</v>
      </c>
      <c r="D8521" s="834">
        <v>4.4400000000000004</v>
      </c>
    </row>
    <row r="8522" spans="1:4" x14ac:dyDescent="0.3">
      <c r="A8522" s="4">
        <v>1101</v>
      </c>
      <c r="B8522" s="833" t="s">
        <v>12780</v>
      </c>
      <c r="C8522" s="4" t="s">
        <v>12080</v>
      </c>
      <c r="D8522" s="834">
        <v>28.01</v>
      </c>
    </row>
    <row r="8523" spans="1:4" x14ac:dyDescent="0.3">
      <c r="A8523" s="4">
        <v>1100</v>
      </c>
      <c r="B8523" s="833" t="s">
        <v>12781</v>
      </c>
      <c r="C8523" s="4" t="s">
        <v>12080</v>
      </c>
      <c r="D8523" s="834">
        <v>14.45</v>
      </c>
    </row>
    <row r="8524" spans="1:4" x14ac:dyDescent="0.3">
      <c r="A8524" s="4">
        <v>39679</v>
      </c>
      <c r="B8524" s="833" t="s">
        <v>12782</v>
      </c>
      <c r="C8524" s="4" t="s">
        <v>12080</v>
      </c>
      <c r="D8524" s="834">
        <v>55.82</v>
      </c>
    </row>
    <row r="8525" spans="1:4" x14ac:dyDescent="0.3">
      <c r="A8525" s="4">
        <v>1098</v>
      </c>
      <c r="B8525" s="833" t="s">
        <v>12783</v>
      </c>
      <c r="C8525" s="4" t="s">
        <v>12080</v>
      </c>
      <c r="D8525" s="834">
        <v>3.46</v>
      </c>
    </row>
    <row r="8526" spans="1:4" x14ac:dyDescent="0.3">
      <c r="A8526" s="4">
        <v>1102</v>
      </c>
      <c r="B8526" s="833" t="s">
        <v>12784</v>
      </c>
      <c r="C8526" s="4" t="s">
        <v>12080</v>
      </c>
      <c r="D8526" s="834">
        <v>41.76</v>
      </c>
    </row>
    <row r="8527" spans="1:4" x14ac:dyDescent="0.3">
      <c r="A8527" s="4">
        <v>1051</v>
      </c>
      <c r="B8527" s="833" t="s">
        <v>12785</v>
      </c>
      <c r="C8527" s="4" t="s">
        <v>12080</v>
      </c>
      <c r="D8527" s="834">
        <v>60.7</v>
      </c>
    </row>
    <row r="8528" spans="1:4" x14ac:dyDescent="0.3">
      <c r="A8528" s="4">
        <v>37399</v>
      </c>
      <c r="B8528" s="833" t="s">
        <v>12786</v>
      </c>
      <c r="C8528" s="4" t="s">
        <v>12080</v>
      </c>
      <c r="D8528" s="834">
        <v>22.53</v>
      </c>
    </row>
    <row r="8529" spans="1:4" x14ac:dyDescent="0.3">
      <c r="A8529" s="4">
        <v>43834</v>
      </c>
      <c r="B8529" s="833" t="s">
        <v>12787</v>
      </c>
      <c r="C8529" s="4" t="s">
        <v>1803</v>
      </c>
      <c r="D8529" s="834">
        <v>24</v>
      </c>
    </row>
    <row r="8530" spans="1:4" x14ac:dyDescent="0.3">
      <c r="A8530" s="4">
        <v>43835</v>
      </c>
      <c r="B8530" s="833" t="s">
        <v>12788</v>
      </c>
      <c r="C8530" s="4" t="s">
        <v>1803</v>
      </c>
      <c r="D8530" s="834">
        <v>2.15</v>
      </c>
    </row>
    <row r="8531" spans="1:4" x14ac:dyDescent="0.3">
      <c r="A8531" s="4">
        <v>43833</v>
      </c>
      <c r="B8531" s="833" t="s">
        <v>12789</v>
      </c>
      <c r="C8531" s="4" t="s">
        <v>1803</v>
      </c>
      <c r="D8531" s="834">
        <v>2.23</v>
      </c>
    </row>
    <row r="8532" spans="1:4" x14ac:dyDescent="0.3">
      <c r="A8532" s="4">
        <v>41955</v>
      </c>
      <c r="B8532" s="833" t="s">
        <v>12790</v>
      </c>
      <c r="C8532" s="4" t="s">
        <v>12126</v>
      </c>
      <c r="D8532" s="834">
        <v>64.86</v>
      </c>
    </row>
    <row r="8533" spans="1:4" x14ac:dyDescent="0.3">
      <c r="A8533" s="4">
        <v>41953</v>
      </c>
      <c r="B8533" s="833" t="s">
        <v>12791</v>
      </c>
      <c r="C8533" s="4" t="s">
        <v>12126</v>
      </c>
      <c r="D8533" s="834">
        <v>61.9</v>
      </c>
    </row>
    <row r="8534" spans="1:4" x14ac:dyDescent="0.3">
      <c r="A8534" s="4">
        <v>41954</v>
      </c>
      <c r="B8534" s="833" t="s">
        <v>12792</v>
      </c>
      <c r="C8534" s="4" t="s">
        <v>12126</v>
      </c>
      <c r="D8534" s="834">
        <v>61.31</v>
      </c>
    </row>
    <row r="8535" spans="1:4" x14ac:dyDescent="0.3">
      <c r="A8535" s="4">
        <v>25004</v>
      </c>
      <c r="B8535" s="833" t="s">
        <v>12793</v>
      </c>
      <c r="C8535" s="4" t="s">
        <v>12126</v>
      </c>
      <c r="D8535" s="834">
        <v>60.4</v>
      </c>
    </row>
    <row r="8536" spans="1:4" x14ac:dyDescent="0.3">
      <c r="A8536" s="4">
        <v>25002</v>
      </c>
      <c r="B8536" s="833" t="s">
        <v>12794</v>
      </c>
      <c r="C8536" s="4" t="s">
        <v>12126</v>
      </c>
      <c r="D8536" s="834">
        <v>60.4</v>
      </c>
    </row>
    <row r="8537" spans="1:4" x14ac:dyDescent="0.3">
      <c r="A8537" s="4">
        <v>37409</v>
      </c>
      <c r="B8537" s="833" t="s">
        <v>12795</v>
      </c>
      <c r="C8537" s="4" t="s">
        <v>12126</v>
      </c>
      <c r="D8537" s="834">
        <v>60.4</v>
      </c>
    </row>
    <row r="8538" spans="1:4" x14ac:dyDescent="0.3">
      <c r="A8538" s="4">
        <v>841</v>
      </c>
      <c r="B8538" s="833" t="s">
        <v>12796</v>
      </c>
      <c r="C8538" s="4" t="s">
        <v>12126</v>
      </c>
      <c r="D8538" s="834">
        <v>61.14</v>
      </c>
    </row>
    <row r="8539" spans="1:4" x14ac:dyDescent="0.3">
      <c r="A8539" s="4">
        <v>25005</v>
      </c>
      <c r="B8539" s="833" t="s">
        <v>12797</v>
      </c>
      <c r="C8539" s="4" t="s">
        <v>12126</v>
      </c>
      <c r="D8539" s="834">
        <v>66.28</v>
      </c>
    </row>
    <row r="8540" spans="1:4" x14ac:dyDescent="0.3">
      <c r="A8540" s="4">
        <v>25003</v>
      </c>
      <c r="B8540" s="833" t="s">
        <v>12798</v>
      </c>
      <c r="C8540" s="4" t="s">
        <v>12126</v>
      </c>
      <c r="D8540" s="834">
        <v>67.27</v>
      </c>
    </row>
    <row r="8541" spans="1:4" x14ac:dyDescent="0.3">
      <c r="A8541" s="4">
        <v>37410</v>
      </c>
      <c r="B8541" s="833" t="s">
        <v>12799</v>
      </c>
      <c r="C8541" s="4" t="s">
        <v>12126</v>
      </c>
      <c r="D8541" s="834">
        <v>66.28</v>
      </c>
    </row>
    <row r="8542" spans="1:4" x14ac:dyDescent="0.3">
      <c r="A8542" s="4">
        <v>842</v>
      </c>
      <c r="B8542" s="833" t="s">
        <v>12800</v>
      </c>
      <c r="C8542" s="4" t="s">
        <v>12126</v>
      </c>
      <c r="D8542" s="834">
        <v>67.22</v>
      </c>
    </row>
    <row r="8543" spans="1:4" x14ac:dyDescent="0.3">
      <c r="A8543" s="4">
        <v>44391</v>
      </c>
      <c r="B8543" s="833" t="s">
        <v>12801</v>
      </c>
      <c r="C8543" s="4" t="s">
        <v>1803</v>
      </c>
      <c r="D8543" s="834">
        <v>143.22999999999999</v>
      </c>
    </row>
    <row r="8544" spans="1:4" x14ac:dyDescent="0.3">
      <c r="A8544" s="4">
        <v>44388</v>
      </c>
      <c r="B8544" s="833" t="s">
        <v>12802</v>
      </c>
      <c r="C8544" s="4" t="s">
        <v>1803</v>
      </c>
      <c r="D8544" s="834">
        <v>3.1</v>
      </c>
    </row>
    <row r="8545" spans="1:4" x14ac:dyDescent="0.3">
      <c r="A8545" s="4">
        <v>44392</v>
      </c>
      <c r="B8545" s="833" t="s">
        <v>12803</v>
      </c>
      <c r="C8545" s="4" t="s">
        <v>1803</v>
      </c>
      <c r="D8545" s="834">
        <v>285.19</v>
      </c>
    </row>
    <row r="8546" spans="1:4" x14ac:dyDescent="0.3">
      <c r="A8546" s="4">
        <v>44390</v>
      </c>
      <c r="B8546" s="833" t="s">
        <v>12804</v>
      </c>
      <c r="C8546" s="4" t="s">
        <v>1803</v>
      </c>
      <c r="D8546" s="834">
        <v>60.43</v>
      </c>
    </row>
    <row r="8547" spans="1:4" x14ac:dyDescent="0.3">
      <c r="A8547" s="4">
        <v>44389</v>
      </c>
      <c r="B8547" s="833" t="s">
        <v>12805</v>
      </c>
      <c r="C8547" s="4" t="s">
        <v>1803</v>
      </c>
      <c r="D8547" s="834">
        <v>7.13</v>
      </c>
    </row>
    <row r="8548" spans="1:4" x14ac:dyDescent="0.3">
      <c r="A8548" s="4">
        <v>862</v>
      </c>
      <c r="B8548" s="833" t="s">
        <v>12806</v>
      </c>
      <c r="C8548" s="4" t="s">
        <v>1803</v>
      </c>
      <c r="D8548" s="834">
        <v>13.07</v>
      </c>
    </row>
    <row r="8549" spans="1:4" x14ac:dyDescent="0.3">
      <c r="A8549" s="4">
        <v>866</v>
      </c>
      <c r="B8549" s="833" t="s">
        <v>12807</v>
      </c>
      <c r="C8549" s="4" t="s">
        <v>1803</v>
      </c>
      <c r="D8549" s="834">
        <v>166.07</v>
      </c>
    </row>
    <row r="8550" spans="1:4" x14ac:dyDescent="0.3">
      <c r="A8550" s="4">
        <v>892</v>
      </c>
      <c r="B8550" s="833" t="s">
        <v>12808</v>
      </c>
      <c r="C8550" s="4" t="s">
        <v>1803</v>
      </c>
      <c r="D8550" s="834">
        <v>201.02</v>
      </c>
    </row>
    <row r="8551" spans="1:4" x14ac:dyDescent="0.3">
      <c r="A8551" s="4">
        <v>857</v>
      </c>
      <c r="B8551" s="833" t="s">
        <v>12809</v>
      </c>
      <c r="C8551" s="4" t="s">
        <v>1803</v>
      </c>
      <c r="D8551" s="834">
        <v>21.86</v>
      </c>
    </row>
    <row r="8552" spans="1:4" x14ac:dyDescent="0.3">
      <c r="A8552" s="4">
        <v>37404</v>
      </c>
      <c r="B8552" s="833" t="s">
        <v>12810</v>
      </c>
      <c r="C8552" s="4" t="s">
        <v>1803</v>
      </c>
      <c r="D8552" s="834">
        <v>232.58</v>
      </c>
    </row>
    <row r="8553" spans="1:4" x14ac:dyDescent="0.3">
      <c r="A8553" s="4">
        <v>868</v>
      </c>
      <c r="B8553" s="833" t="s">
        <v>12811</v>
      </c>
      <c r="C8553" s="4" t="s">
        <v>1803</v>
      </c>
      <c r="D8553" s="834">
        <v>31.16</v>
      </c>
    </row>
    <row r="8554" spans="1:4" x14ac:dyDescent="0.3">
      <c r="A8554" s="4">
        <v>863</v>
      </c>
      <c r="B8554" s="833" t="s">
        <v>12812</v>
      </c>
      <c r="C8554" s="4" t="s">
        <v>1803</v>
      </c>
      <c r="D8554" s="834">
        <v>45.89</v>
      </c>
    </row>
    <row r="8555" spans="1:4" x14ac:dyDescent="0.3">
      <c r="A8555" s="4">
        <v>867</v>
      </c>
      <c r="B8555" s="833" t="s">
        <v>12813</v>
      </c>
      <c r="C8555" s="4" t="s">
        <v>1803</v>
      </c>
      <c r="D8555" s="834">
        <v>65.37</v>
      </c>
    </row>
    <row r="8556" spans="1:4" x14ac:dyDescent="0.3">
      <c r="A8556" s="4">
        <v>864</v>
      </c>
      <c r="B8556" s="833" t="s">
        <v>12814</v>
      </c>
      <c r="C8556" s="4" t="s">
        <v>1803</v>
      </c>
      <c r="D8556" s="834">
        <v>86.35</v>
      </c>
    </row>
    <row r="8557" spans="1:4" x14ac:dyDescent="0.3">
      <c r="A8557" s="4">
        <v>865</v>
      </c>
      <c r="B8557" s="833" t="s">
        <v>12815</v>
      </c>
      <c r="C8557" s="4" t="s">
        <v>1803</v>
      </c>
      <c r="D8557" s="834">
        <v>124.2</v>
      </c>
    </row>
    <row r="8558" spans="1:4" x14ac:dyDescent="0.3">
      <c r="A8558" s="4">
        <v>993</v>
      </c>
      <c r="B8558" s="833" t="s">
        <v>12816</v>
      </c>
      <c r="C8558" s="4" t="s">
        <v>1803</v>
      </c>
      <c r="D8558" s="834">
        <v>2.36</v>
      </c>
    </row>
    <row r="8559" spans="1:4" x14ac:dyDescent="0.3">
      <c r="A8559" s="4">
        <v>1020</v>
      </c>
      <c r="B8559" s="833" t="s">
        <v>12817</v>
      </c>
      <c r="C8559" s="4" t="s">
        <v>1803</v>
      </c>
      <c r="D8559" s="834">
        <v>12.05</v>
      </c>
    </row>
    <row r="8560" spans="1:4" x14ac:dyDescent="0.3">
      <c r="A8560" s="4">
        <v>1017</v>
      </c>
      <c r="B8560" s="833" t="s">
        <v>12818</v>
      </c>
      <c r="C8560" s="4" t="s">
        <v>1803</v>
      </c>
      <c r="D8560" s="834">
        <v>147.68</v>
      </c>
    </row>
    <row r="8561" spans="1:4" x14ac:dyDescent="0.3">
      <c r="A8561" s="4">
        <v>999</v>
      </c>
      <c r="B8561" s="833" t="s">
        <v>12819</v>
      </c>
      <c r="C8561" s="4" t="s">
        <v>1803</v>
      </c>
      <c r="D8561" s="834">
        <v>178.91</v>
      </c>
    </row>
    <row r="8562" spans="1:4" x14ac:dyDescent="0.3">
      <c r="A8562" s="4">
        <v>995</v>
      </c>
      <c r="B8562" s="833" t="s">
        <v>12820</v>
      </c>
      <c r="C8562" s="4" t="s">
        <v>1803</v>
      </c>
      <c r="D8562" s="834">
        <v>19.190000000000001</v>
      </c>
    </row>
    <row r="8563" spans="1:4" x14ac:dyDescent="0.3">
      <c r="A8563" s="4">
        <v>1000</v>
      </c>
      <c r="B8563" s="833" t="s">
        <v>12821</v>
      </c>
      <c r="C8563" s="4" t="s">
        <v>1803</v>
      </c>
      <c r="D8563" s="834">
        <v>219.76</v>
      </c>
    </row>
    <row r="8564" spans="1:4" x14ac:dyDescent="0.3">
      <c r="A8564" s="4">
        <v>1022</v>
      </c>
      <c r="B8564" s="833" t="s">
        <v>12822</v>
      </c>
      <c r="C8564" s="4" t="s">
        <v>1803</v>
      </c>
      <c r="D8564" s="834">
        <v>3.29</v>
      </c>
    </row>
    <row r="8565" spans="1:4" x14ac:dyDescent="0.3">
      <c r="A8565" s="4">
        <v>1015</v>
      </c>
      <c r="B8565" s="833" t="s">
        <v>12823</v>
      </c>
      <c r="C8565" s="4" t="s">
        <v>1803</v>
      </c>
      <c r="D8565" s="834">
        <v>292.02999999999997</v>
      </c>
    </row>
    <row r="8566" spans="1:4" x14ac:dyDescent="0.3">
      <c r="A8566" s="4">
        <v>996</v>
      </c>
      <c r="B8566" s="833" t="s">
        <v>12824</v>
      </c>
      <c r="C8566" s="4" t="s">
        <v>1803</v>
      </c>
      <c r="D8566" s="834">
        <v>29.75</v>
      </c>
    </row>
    <row r="8567" spans="1:4" x14ac:dyDescent="0.3">
      <c r="A8567" s="4">
        <v>1001</v>
      </c>
      <c r="B8567" s="833" t="s">
        <v>12825</v>
      </c>
      <c r="C8567" s="4" t="s">
        <v>1803</v>
      </c>
      <c r="D8567" s="834">
        <v>378.9</v>
      </c>
    </row>
    <row r="8568" spans="1:4" x14ac:dyDescent="0.3">
      <c r="A8568" s="4">
        <v>1019</v>
      </c>
      <c r="B8568" s="833" t="s">
        <v>12826</v>
      </c>
      <c r="C8568" s="4" t="s">
        <v>1803</v>
      </c>
      <c r="D8568" s="834">
        <v>42.04</v>
      </c>
    </row>
    <row r="8569" spans="1:4" x14ac:dyDescent="0.3">
      <c r="A8569" s="4">
        <v>1021</v>
      </c>
      <c r="B8569" s="833" t="s">
        <v>12827</v>
      </c>
      <c r="C8569" s="4" t="s">
        <v>1803</v>
      </c>
      <c r="D8569" s="834">
        <v>5.05</v>
      </c>
    </row>
    <row r="8570" spans="1:4" x14ac:dyDescent="0.3">
      <c r="A8570" s="4">
        <v>39249</v>
      </c>
      <c r="B8570" s="833" t="s">
        <v>12828</v>
      </c>
      <c r="C8570" s="4" t="s">
        <v>1803</v>
      </c>
      <c r="D8570" s="834">
        <v>509.46</v>
      </c>
    </row>
    <row r="8571" spans="1:4" x14ac:dyDescent="0.3">
      <c r="A8571" s="4">
        <v>1018</v>
      </c>
      <c r="B8571" s="833" t="s">
        <v>12829</v>
      </c>
      <c r="C8571" s="4" t="s">
        <v>1803</v>
      </c>
      <c r="D8571" s="834">
        <v>62.17</v>
      </c>
    </row>
    <row r="8572" spans="1:4" x14ac:dyDescent="0.3">
      <c r="A8572" s="4">
        <v>39250</v>
      </c>
      <c r="B8572" s="833" t="s">
        <v>12830</v>
      </c>
      <c r="C8572" s="4" t="s">
        <v>1803</v>
      </c>
      <c r="D8572" s="834">
        <v>609.41999999999996</v>
      </c>
    </row>
    <row r="8573" spans="1:4" x14ac:dyDescent="0.3">
      <c r="A8573" s="4">
        <v>994</v>
      </c>
      <c r="B8573" s="833" t="s">
        <v>12831</v>
      </c>
      <c r="C8573" s="4" t="s">
        <v>1803</v>
      </c>
      <c r="D8573" s="834">
        <v>7.35</v>
      </c>
    </row>
    <row r="8574" spans="1:4" x14ac:dyDescent="0.3">
      <c r="A8574" s="4">
        <v>977</v>
      </c>
      <c r="B8574" s="833" t="s">
        <v>12832</v>
      </c>
      <c r="C8574" s="4" t="s">
        <v>1803</v>
      </c>
      <c r="D8574" s="834">
        <v>86.98</v>
      </c>
    </row>
    <row r="8575" spans="1:4" x14ac:dyDescent="0.3">
      <c r="A8575" s="4">
        <v>998</v>
      </c>
      <c r="B8575" s="833" t="s">
        <v>12833</v>
      </c>
      <c r="C8575" s="4" t="s">
        <v>1803</v>
      </c>
      <c r="D8575" s="834">
        <v>112.93</v>
      </c>
    </row>
    <row r="8576" spans="1:4" x14ac:dyDescent="0.3">
      <c r="A8576" s="4">
        <v>39251</v>
      </c>
      <c r="B8576" s="833" t="s">
        <v>12834</v>
      </c>
      <c r="C8576" s="4" t="s">
        <v>1803</v>
      </c>
      <c r="D8576" s="834">
        <v>0.81</v>
      </c>
    </row>
    <row r="8577" spans="1:4" x14ac:dyDescent="0.3">
      <c r="A8577" s="4">
        <v>1011</v>
      </c>
      <c r="B8577" s="833" t="s">
        <v>12835</v>
      </c>
      <c r="C8577" s="4" t="s">
        <v>1803</v>
      </c>
      <c r="D8577" s="834">
        <v>1.1100000000000001</v>
      </c>
    </row>
    <row r="8578" spans="1:4" x14ac:dyDescent="0.3">
      <c r="A8578" s="4">
        <v>39252</v>
      </c>
      <c r="B8578" s="833" t="s">
        <v>12836</v>
      </c>
      <c r="C8578" s="4" t="s">
        <v>1803</v>
      </c>
      <c r="D8578" s="834">
        <v>1.46</v>
      </c>
    </row>
    <row r="8579" spans="1:4" x14ac:dyDescent="0.3">
      <c r="A8579" s="4">
        <v>1013</v>
      </c>
      <c r="B8579" s="833" t="s">
        <v>12837</v>
      </c>
      <c r="C8579" s="4" t="s">
        <v>1803</v>
      </c>
      <c r="D8579" s="834">
        <v>1.75</v>
      </c>
    </row>
    <row r="8580" spans="1:4" x14ac:dyDescent="0.3">
      <c r="A8580" s="4">
        <v>980</v>
      </c>
      <c r="B8580" s="833" t="s">
        <v>12838</v>
      </c>
      <c r="C8580" s="4" t="s">
        <v>1803</v>
      </c>
      <c r="D8580" s="834">
        <v>12.64</v>
      </c>
    </row>
    <row r="8581" spans="1:4" x14ac:dyDescent="0.3">
      <c r="A8581" s="4">
        <v>39237</v>
      </c>
      <c r="B8581" s="833" t="s">
        <v>12839</v>
      </c>
      <c r="C8581" s="4" t="s">
        <v>1803</v>
      </c>
      <c r="D8581" s="834">
        <v>134.44</v>
      </c>
    </row>
    <row r="8582" spans="1:4" x14ac:dyDescent="0.3">
      <c r="A8582" s="4">
        <v>39238</v>
      </c>
      <c r="B8582" s="833" t="s">
        <v>12840</v>
      </c>
      <c r="C8582" s="4" t="s">
        <v>1803</v>
      </c>
      <c r="D8582" s="834">
        <v>169.56</v>
      </c>
    </row>
    <row r="8583" spans="1:4" x14ac:dyDescent="0.3">
      <c r="A8583" s="4">
        <v>979</v>
      </c>
      <c r="B8583" s="833" t="s">
        <v>12841</v>
      </c>
      <c r="C8583" s="4" t="s">
        <v>1803</v>
      </c>
      <c r="D8583" s="834">
        <v>18.059999999999999</v>
      </c>
    </row>
    <row r="8584" spans="1:4" x14ac:dyDescent="0.3">
      <c r="A8584" s="4">
        <v>39239</v>
      </c>
      <c r="B8584" s="833" t="s">
        <v>12842</v>
      </c>
      <c r="C8584" s="4" t="s">
        <v>1803</v>
      </c>
      <c r="D8584" s="834">
        <v>204.84</v>
      </c>
    </row>
    <row r="8585" spans="1:4" x14ac:dyDescent="0.3">
      <c r="A8585" s="4">
        <v>1014</v>
      </c>
      <c r="B8585" s="833" t="s">
        <v>12843</v>
      </c>
      <c r="C8585" s="4" t="s">
        <v>1803</v>
      </c>
      <c r="D8585" s="834">
        <v>2.77</v>
      </c>
    </row>
    <row r="8586" spans="1:4" x14ac:dyDescent="0.3">
      <c r="A8586" s="4">
        <v>39240</v>
      </c>
      <c r="B8586" s="833" t="s">
        <v>12844</v>
      </c>
      <c r="C8586" s="4" t="s">
        <v>1803</v>
      </c>
      <c r="D8586" s="834">
        <v>269.42</v>
      </c>
    </row>
    <row r="8587" spans="1:4" x14ac:dyDescent="0.3">
      <c r="A8587" s="4">
        <v>39232</v>
      </c>
      <c r="B8587" s="833" t="s">
        <v>12845</v>
      </c>
      <c r="C8587" s="4" t="s">
        <v>1803</v>
      </c>
      <c r="D8587" s="834">
        <v>28.27</v>
      </c>
    </row>
    <row r="8588" spans="1:4" x14ac:dyDescent="0.3">
      <c r="A8588" s="4">
        <v>39233</v>
      </c>
      <c r="B8588" s="833" t="s">
        <v>12846</v>
      </c>
      <c r="C8588" s="4" t="s">
        <v>1803</v>
      </c>
      <c r="D8588" s="834">
        <v>41.21</v>
      </c>
    </row>
    <row r="8589" spans="1:4" x14ac:dyDescent="0.3">
      <c r="A8589" s="4">
        <v>981</v>
      </c>
      <c r="B8589" s="833" t="s">
        <v>12847</v>
      </c>
      <c r="C8589" s="4" t="s">
        <v>1803</v>
      </c>
      <c r="D8589" s="834">
        <v>4.5999999999999996</v>
      </c>
    </row>
    <row r="8590" spans="1:4" x14ac:dyDescent="0.3">
      <c r="A8590" s="4">
        <v>39234</v>
      </c>
      <c r="B8590" s="833" t="s">
        <v>12848</v>
      </c>
      <c r="C8590" s="4" t="s">
        <v>1803</v>
      </c>
      <c r="D8590" s="834">
        <v>57.37</v>
      </c>
    </row>
    <row r="8591" spans="1:4" x14ac:dyDescent="0.3">
      <c r="A8591" s="4">
        <v>982</v>
      </c>
      <c r="B8591" s="833" t="s">
        <v>12849</v>
      </c>
      <c r="C8591" s="4" t="s">
        <v>1803</v>
      </c>
      <c r="D8591" s="834">
        <v>6.61</v>
      </c>
    </row>
    <row r="8592" spans="1:4" x14ac:dyDescent="0.3">
      <c r="A8592" s="4">
        <v>39235</v>
      </c>
      <c r="B8592" s="833" t="s">
        <v>12850</v>
      </c>
      <c r="C8592" s="4" t="s">
        <v>1803</v>
      </c>
      <c r="D8592" s="834">
        <v>84.61</v>
      </c>
    </row>
    <row r="8593" spans="1:4" x14ac:dyDescent="0.3">
      <c r="A8593" s="4">
        <v>39236</v>
      </c>
      <c r="B8593" s="833" t="s">
        <v>12851</v>
      </c>
      <c r="C8593" s="4" t="s">
        <v>1803</v>
      </c>
      <c r="D8593" s="834">
        <v>112.13</v>
      </c>
    </row>
    <row r="8594" spans="1:4" x14ac:dyDescent="0.3">
      <c r="A8594" s="4">
        <v>990</v>
      </c>
      <c r="B8594" s="833" t="s">
        <v>12852</v>
      </c>
      <c r="C8594" s="4" t="s">
        <v>1803</v>
      </c>
      <c r="D8594" s="834">
        <v>198.97</v>
      </c>
    </row>
    <row r="8595" spans="1:4" x14ac:dyDescent="0.3">
      <c r="A8595" s="4">
        <v>39241</v>
      </c>
      <c r="B8595" s="833" t="s">
        <v>12853</v>
      </c>
      <c r="C8595" s="4" t="s">
        <v>1803</v>
      </c>
      <c r="D8595" s="834">
        <v>19.59</v>
      </c>
    </row>
    <row r="8596" spans="1:4" x14ac:dyDescent="0.3">
      <c r="A8596" s="4">
        <v>1005</v>
      </c>
      <c r="B8596" s="833" t="s">
        <v>12854</v>
      </c>
      <c r="C8596" s="4" t="s">
        <v>1803</v>
      </c>
      <c r="D8596" s="834">
        <v>247.72</v>
      </c>
    </row>
    <row r="8597" spans="1:4" x14ac:dyDescent="0.3">
      <c r="A8597" s="4">
        <v>991</v>
      </c>
      <c r="B8597" s="833" t="s">
        <v>12855</v>
      </c>
      <c r="C8597" s="4" t="s">
        <v>1803</v>
      </c>
      <c r="D8597" s="834">
        <v>324.47000000000003</v>
      </c>
    </row>
    <row r="8598" spans="1:4" x14ac:dyDescent="0.3">
      <c r="A8598" s="4">
        <v>986</v>
      </c>
      <c r="B8598" s="833" t="s">
        <v>12856</v>
      </c>
      <c r="C8598" s="4" t="s">
        <v>1803</v>
      </c>
      <c r="D8598" s="834">
        <v>30.95</v>
      </c>
    </row>
    <row r="8599" spans="1:4" x14ac:dyDescent="0.3">
      <c r="A8599" s="4">
        <v>987</v>
      </c>
      <c r="B8599" s="833" t="s">
        <v>12857</v>
      </c>
      <c r="C8599" s="4" t="s">
        <v>1803</v>
      </c>
      <c r="D8599" s="834">
        <v>42.36</v>
      </c>
    </row>
    <row r="8600" spans="1:4" x14ac:dyDescent="0.3">
      <c r="A8600" s="4">
        <v>1007</v>
      </c>
      <c r="B8600" s="833" t="s">
        <v>12858</v>
      </c>
      <c r="C8600" s="4" t="s">
        <v>1803</v>
      </c>
      <c r="D8600" s="834">
        <v>58.64</v>
      </c>
    </row>
    <row r="8601" spans="1:4" x14ac:dyDescent="0.3">
      <c r="A8601" s="4">
        <v>1008</v>
      </c>
      <c r="B8601" s="833" t="s">
        <v>12859</v>
      </c>
      <c r="C8601" s="4" t="s">
        <v>1803</v>
      </c>
      <c r="D8601" s="834">
        <v>7.44</v>
      </c>
    </row>
    <row r="8602" spans="1:4" x14ac:dyDescent="0.3">
      <c r="A8602" s="4">
        <v>988</v>
      </c>
      <c r="B8602" s="833" t="s">
        <v>12860</v>
      </c>
      <c r="C8602" s="4" t="s">
        <v>1803</v>
      </c>
      <c r="D8602" s="834">
        <v>80.86</v>
      </c>
    </row>
    <row r="8603" spans="1:4" x14ac:dyDescent="0.3">
      <c r="A8603" s="4">
        <v>989</v>
      </c>
      <c r="B8603" s="833" t="s">
        <v>12861</v>
      </c>
      <c r="C8603" s="4" t="s">
        <v>1803</v>
      </c>
      <c r="D8603" s="834">
        <v>111.61</v>
      </c>
    </row>
    <row r="8604" spans="1:4" x14ac:dyDescent="0.3">
      <c r="A8604" s="4">
        <v>1006</v>
      </c>
      <c r="B8604" s="833" t="s">
        <v>12862</v>
      </c>
      <c r="C8604" s="4" t="s">
        <v>1803</v>
      </c>
      <c r="D8604" s="834">
        <v>149.63</v>
      </c>
    </row>
    <row r="8605" spans="1:4" x14ac:dyDescent="0.3">
      <c r="A8605" s="4">
        <v>43972</v>
      </c>
      <c r="B8605" s="833" t="s">
        <v>12863</v>
      </c>
      <c r="C8605" s="4" t="s">
        <v>1803</v>
      </c>
      <c r="D8605" s="834">
        <v>4.58</v>
      </c>
    </row>
    <row r="8606" spans="1:4" x14ac:dyDescent="0.3">
      <c r="A8606" s="4">
        <v>43971</v>
      </c>
      <c r="B8606" s="833" t="s">
        <v>12864</v>
      </c>
      <c r="C8606" s="4" t="s">
        <v>1803</v>
      </c>
      <c r="D8606" s="834">
        <v>3.5</v>
      </c>
    </row>
    <row r="8607" spans="1:4" x14ac:dyDescent="0.3">
      <c r="A8607" s="4">
        <v>39598</v>
      </c>
      <c r="B8607" s="833" t="s">
        <v>12865</v>
      </c>
      <c r="C8607" s="4" t="s">
        <v>1803</v>
      </c>
      <c r="D8607" s="834">
        <v>6.49</v>
      </c>
    </row>
    <row r="8608" spans="1:4" x14ac:dyDescent="0.3">
      <c r="A8608" s="4">
        <v>43973</v>
      </c>
      <c r="B8608" s="833" t="s">
        <v>12866</v>
      </c>
      <c r="C8608" s="4" t="s">
        <v>1803</v>
      </c>
      <c r="D8608" s="834">
        <v>4.79</v>
      </c>
    </row>
    <row r="8609" spans="1:4" x14ac:dyDescent="0.3">
      <c r="A8609" s="4">
        <v>39599</v>
      </c>
      <c r="B8609" s="833" t="s">
        <v>12867</v>
      </c>
      <c r="C8609" s="4" t="s">
        <v>1803</v>
      </c>
      <c r="D8609" s="834">
        <v>9.34</v>
      </c>
    </row>
    <row r="8610" spans="1:4" x14ac:dyDescent="0.3">
      <c r="A8610" s="4">
        <v>43832</v>
      </c>
      <c r="B8610" s="833" t="s">
        <v>12868</v>
      </c>
      <c r="C8610" s="4" t="s">
        <v>1803</v>
      </c>
      <c r="D8610" s="834">
        <v>24.59</v>
      </c>
    </row>
    <row r="8611" spans="1:4" x14ac:dyDescent="0.3">
      <c r="A8611" s="4">
        <v>34602</v>
      </c>
      <c r="B8611" s="833" t="s">
        <v>12869</v>
      </c>
      <c r="C8611" s="4" t="s">
        <v>1803</v>
      </c>
      <c r="D8611" s="834">
        <v>5.12</v>
      </c>
    </row>
    <row r="8612" spans="1:4" x14ac:dyDescent="0.3">
      <c r="A8612" s="4">
        <v>34607</v>
      </c>
      <c r="B8612" s="833" t="s">
        <v>12870</v>
      </c>
      <c r="C8612" s="4" t="s">
        <v>1803</v>
      </c>
      <c r="D8612" s="834">
        <v>12.55</v>
      </c>
    </row>
    <row r="8613" spans="1:4" x14ac:dyDescent="0.3">
      <c r="A8613" s="4">
        <v>34609</v>
      </c>
      <c r="B8613" s="833" t="s">
        <v>12871</v>
      </c>
      <c r="C8613" s="4" t="s">
        <v>1803</v>
      </c>
      <c r="D8613" s="834">
        <v>18.25</v>
      </c>
    </row>
    <row r="8614" spans="1:4" x14ac:dyDescent="0.3">
      <c r="A8614" s="4">
        <v>34618</v>
      </c>
      <c r="B8614" s="833" t="s">
        <v>12872</v>
      </c>
      <c r="C8614" s="4" t="s">
        <v>1803</v>
      </c>
      <c r="D8614" s="834">
        <v>6.98</v>
      </c>
    </row>
    <row r="8615" spans="1:4" x14ac:dyDescent="0.3">
      <c r="A8615" s="4">
        <v>34621</v>
      </c>
      <c r="B8615" s="833" t="s">
        <v>12873</v>
      </c>
      <c r="C8615" s="4" t="s">
        <v>1803</v>
      </c>
      <c r="D8615" s="834">
        <v>17.3</v>
      </c>
    </row>
    <row r="8616" spans="1:4" x14ac:dyDescent="0.3">
      <c r="A8616" s="4">
        <v>34622</v>
      </c>
      <c r="B8616" s="833" t="s">
        <v>12874</v>
      </c>
      <c r="C8616" s="4" t="s">
        <v>1803</v>
      </c>
      <c r="D8616" s="834">
        <v>25.7</v>
      </c>
    </row>
    <row r="8617" spans="1:4" x14ac:dyDescent="0.3">
      <c r="A8617" s="4">
        <v>34624</v>
      </c>
      <c r="B8617" s="833" t="s">
        <v>12875</v>
      </c>
      <c r="C8617" s="4" t="s">
        <v>1803</v>
      </c>
      <c r="D8617" s="834">
        <v>9.32</v>
      </c>
    </row>
    <row r="8618" spans="1:4" x14ac:dyDescent="0.3">
      <c r="A8618" s="4">
        <v>34627</v>
      </c>
      <c r="B8618" s="833" t="s">
        <v>12876</v>
      </c>
      <c r="C8618" s="4" t="s">
        <v>1803</v>
      </c>
      <c r="D8618" s="834">
        <v>22.47</v>
      </c>
    </row>
    <row r="8619" spans="1:4" x14ac:dyDescent="0.3">
      <c r="A8619" s="4">
        <v>34629</v>
      </c>
      <c r="B8619" s="833" t="s">
        <v>12877</v>
      </c>
      <c r="C8619" s="4" t="s">
        <v>1803</v>
      </c>
      <c r="D8619" s="834">
        <v>34.33</v>
      </c>
    </row>
    <row r="8620" spans="1:4" x14ac:dyDescent="0.3">
      <c r="A8620" s="4">
        <v>39257</v>
      </c>
      <c r="B8620" s="833" t="s">
        <v>12878</v>
      </c>
      <c r="C8620" s="4" t="s">
        <v>1803</v>
      </c>
      <c r="D8620" s="834">
        <v>6.99</v>
      </c>
    </row>
    <row r="8621" spans="1:4" x14ac:dyDescent="0.3">
      <c r="A8621" s="4">
        <v>39261</v>
      </c>
      <c r="B8621" s="833" t="s">
        <v>12879</v>
      </c>
      <c r="C8621" s="4" t="s">
        <v>1803</v>
      </c>
      <c r="D8621" s="834">
        <v>40</v>
      </c>
    </row>
    <row r="8622" spans="1:4" x14ac:dyDescent="0.3">
      <c r="A8622" s="4">
        <v>39268</v>
      </c>
      <c r="B8622" s="833" t="s">
        <v>12880</v>
      </c>
      <c r="C8622" s="4" t="s">
        <v>1803</v>
      </c>
      <c r="D8622" s="834">
        <v>625.23</v>
      </c>
    </row>
    <row r="8623" spans="1:4" x14ac:dyDescent="0.3">
      <c r="A8623" s="4">
        <v>39262</v>
      </c>
      <c r="B8623" s="833" t="s">
        <v>12881</v>
      </c>
      <c r="C8623" s="4" t="s">
        <v>1803</v>
      </c>
      <c r="D8623" s="834">
        <v>63.7</v>
      </c>
    </row>
    <row r="8624" spans="1:4" x14ac:dyDescent="0.3">
      <c r="A8624" s="4">
        <v>39258</v>
      </c>
      <c r="B8624" s="833" t="s">
        <v>12882</v>
      </c>
      <c r="C8624" s="4" t="s">
        <v>1803</v>
      </c>
      <c r="D8624" s="834">
        <v>10.53</v>
      </c>
    </row>
    <row r="8625" spans="1:4" x14ac:dyDescent="0.3">
      <c r="A8625" s="4">
        <v>39263</v>
      </c>
      <c r="B8625" s="833" t="s">
        <v>12883</v>
      </c>
      <c r="C8625" s="4" t="s">
        <v>1803</v>
      </c>
      <c r="D8625" s="834">
        <v>110.15</v>
      </c>
    </row>
    <row r="8626" spans="1:4" x14ac:dyDescent="0.3">
      <c r="A8626" s="4">
        <v>39264</v>
      </c>
      <c r="B8626" s="833" t="s">
        <v>12884</v>
      </c>
      <c r="C8626" s="4" t="s">
        <v>1803</v>
      </c>
      <c r="D8626" s="834">
        <v>152.58000000000001</v>
      </c>
    </row>
    <row r="8627" spans="1:4" x14ac:dyDescent="0.3">
      <c r="A8627" s="4">
        <v>39259</v>
      </c>
      <c r="B8627" s="833" t="s">
        <v>12885</v>
      </c>
      <c r="C8627" s="4" t="s">
        <v>1803</v>
      </c>
      <c r="D8627" s="834">
        <v>16.22</v>
      </c>
    </row>
    <row r="8628" spans="1:4" x14ac:dyDescent="0.3">
      <c r="A8628" s="4">
        <v>39265</v>
      </c>
      <c r="B8628" s="833" t="s">
        <v>12886</v>
      </c>
      <c r="C8628" s="4" t="s">
        <v>1803</v>
      </c>
      <c r="D8628" s="834">
        <v>207.15</v>
      </c>
    </row>
    <row r="8629" spans="1:4" x14ac:dyDescent="0.3">
      <c r="A8629" s="4">
        <v>39260</v>
      </c>
      <c r="B8629" s="833" t="s">
        <v>12887</v>
      </c>
      <c r="C8629" s="4" t="s">
        <v>1803</v>
      </c>
      <c r="D8629" s="834">
        <v>24.83</v>
      </c>
    </row>
    <row r="8630" spans="1:4" x14ac:dyDescent="0.3">
      <c r="A8630" s="4">
        <v>39266</v>
      </c>
      <c r="B8630" s="833" t="s">
        <v>12888</v>
      </c>
      <c r="C8630" s="4" t="s">
        <v>1803</v>
      </c>
      <c r="D8630" s="834">
        <v>312.58999999999997</v>
      </c>
    </row>
    <row r="8631" spans="1:4" x14ac:dyDescent="0.3">
      <c r="A8631" s="4">
        <v>39267</v>
      </c>
      <c r="B8631" s="833" t="s">
        <v>12889</v>
      </c>
      <c r="C8631" s="4" t="s">
        <v>1803</v>
      </c>
      <c r="D8631" s="834">
        <v>390.82</v>
      </c>
    </row>
    <row r="8632" spans="1:4" x14ac:dyDescent="0.3">
      <c r="A8632" s="4">
        <v>11901</v>
      </c>
      <c r="B8632" s="833" t="s">
        <v>12890</v>
      </c>
      <c r="C8632" s="4" t="s">
        <v>1803</v>
      </c>
      <c r="D8632" s="834">
        <v>0.84</v>
      </c>
    </row>
    <row r="8633" spans="1:4" x14ac:dyDescent="0.3">
      <c r="A8633" s="4">
        <v>11902</v>
      </c>
      <c r="B8633" s="833" t="s">
        <v>12891</v>
      </c>
      <c r="C8633" s="4" t="s">
        <v>1803</v>
      </c>
      <c r="D8633" s="834">
        <v>1.61</v>
      </c>
    </row>
    <row r="8634" spans="1:4" x14ac:dyDescent="0.3">
      <c r="A8634" s="4">
        <v>11903</v>
      </c>
      <c r="B8634" s="833" t="s">
        <v>12892</v>
      </c>
      <c r="C8634" s="4" t="s">
        <v>1803</v>
      </c>
      <c r="D8634" s="834">
        <v>1.7</v>
      </c>
    </row>
    <row r="8635" spans="1:4" x14ac:dyDescent="0.3">
      <c r="A8635" s="4">
        <v>11904</v>
      </c>
      <c r="B8635" s="833" t="s">
        <v>12893</v>
      </c>
      <c r="C8635" s="4" t="s">
        <v>1803</v>
      </c>
      <c r="D8635" s="834">
        <v>2.58</v>
      </c>
    </row>
    <row r="8636" spans="1:4" x14ac:dyDescent="0.3">
      <c r="A8636" s="4">
        <v>11905</v>
      </c>
      <c r="B8636" s="833" t="s">
        <v>12894</v>
      </c>
      <c r="C8636" s="4" t="s">
        <v>1803</v>
      </c>
      <c r="D8636" s="834">
        <v>3.15</v>
      </c>
    </row>
    <row r="8637" spans="1:4" x14ac:dyDescent="0.3">
      <c r="A8637" s="4">
        <v>11906</v>
      </c>
      <c r="B8637" s="833" t="s">
        <v>12895</v>
      </c>
      <c r="C8637" s="4" t="s">
        <v>1803</v>
      </c>
      <c r="D8637" s="834">
        <v>4.01</v>
      </c>
    </row>
    <row r="8638" spans="1:4" x14ac:dyDescent="0.3">
      <c r="A8638" s="4">
        <v>11919</v>
      </c>
      <c r="B8638" s="833" t="s">
        <v>12896</v>
      </c>
      <c r="C8638" s="4" t="s">
        <v>1803</v>
      </c>
      <c r="D8638" s="834">
        <v>7.34</v>
      </c>
    </row>
    <row r="8639" spans="1:4" x14ac:dyDescent="0.3">
      <c r="A8639" s="4">
        <v>11920</v>
      </c>
      <c r="B8639" s="833" t="s">
        <v>12897</v>
      </c>
      <c r="C8639" s="4" t="s">
        <v>1803</v>
      </c>
      <c r="D8639" s="834">
        <v>13.95</v>
      </c>
    </row>
    <row r="8640" spans="1:4" x14ac:dyDescent="0.3">
      <c r="A8640" s="4">
        <v>11924</v>
      </c>
      <c r="B8640" s="833" t="s">
        <v>12898</v>
      </c>
      <c r="C8640" s="4" t="s">
        <v>1803</v>
      </c>
      <c r="D8640" s="834">
        <v>117.09</v>
      </c>
    </row>
    <row r="8641" spans="1:4" x14ac:dyDescent="0.3">
      <c r="A8641" s="4">
        <v>11921</v>
      </c>
      <c r="B8641" s="833" t="s">
        <v>12899</v>
      </c>
      <c r="C8641" s="4" t="s">
        <v>1803</v>
      </c>
      <c r="D8641" s="834">
        <v>20.41</v>
      </c>
    </row>
    <row r="8642" spans="1:4" x14ac:dyDescent="0.3">
      <c r="A8642" s="4">
        <v>11922</v>
      </c>
      <c r="B8642" s="833" t="s">
        <v>12900</v>
      </c>
      <c r="C8642" s="4" t="s">
        <v>1803</v>
      </c>
      <c r="D8642" s="834">
        <v>33</v>
      </c>
    </row>
    <row r="8643" spans="1:4" x14ac:dyDescent="0.3">
      <c r="A8643" s="4">
        <v>11923</v>
      </c>
      <c r="B8643" s="833" t="s">
        <v>12901</v>
      </c>
      <c r="C8643" s="4" t="s">
        <v>1803</v>
      </c>
      <c r="D8643" s="834">
        <v>48.31</v>
      </c>
    </row>
    <row r="8644" spans="1:4" x14ac:dyDescent="0.3">
      <c r="A8644" s="4">
        <v>11916</v>
      </c>
      <c r="B8644" s="833" t="s">
        <v>12902</v>
      </c>
      <c r="C8644" s="4" t="s">
        <v>1803</v>
      </c>
      <c r="D8644" s="834">
        <v>10.039999999999999</v>
      </c>
    </row>
    <row r="8645" spans="1:4" x14ac:dyDescent="0.3">
      <c r="A8645" s="4">
        <v>11914</v>
      </c>
      <c r="B8645" s="833" t="s">
        <v>12903</v>
      </c>
      <c r="C8645" s="4" t="s">
        <v>1803</v>
      </c>
      <c r="D8645" s="834">
        <v>72.38</v>
      </c>
    </row>
    <row r="8646" spans="1:4" x14ac:dyDescent="0.3">
      <c r="A8646" s="4">
        <v>11917</v>
      </c>
      <c r="B8646" s="833" t="s">
        <v>12904</v>
      </c>
      <c r="C8646" s="4" t="s">
        <v>1803</v>
      </c>
      <c r="D8646" s="834">
        <v>17.690000000000001</v>
      </c>
    </row>
    <row r="8647" spans="1:4" x14ac:dyDescent="0.3">
      <c r="A8647" s="4">
        <v>11918</v>
      </c>
      <c r="B8647" s="833" t="s">
        <v>12905</v>
      </c>
      <c r="C8647" s="4" t="s">
        <v>1803</v>
      </c>
      <c r="D8647" s="834">
        <v>20.99</v>
      </c>
    </row>
    <row r="8648" spans="1:4" x14ac:dyDescent="0.3">
      <c r="A8648" s="4">
        <v>37734</v>
      </c>
      <c r="B8648" s="833" t="s">
        <v>12906</v>
      </c>
      <c r="C8648" s="4" t="s">
        <v>12080</v>
      </c>
      <c r="D8648" s="834">
        <v>81699.7</v>
      </c>
    </row>
    <row r="8649" spans="1:4" x14ac:dyDescent="0.3">
      <c r="A8649" s="4">
        <v>42251</v>
      </c>
      <c r="B8649" s="833" t="s">
        <v>12907</v>
      </c>
      <c r="C8649" s="4" t="s">
        <v>12080</v>
      </c>
      <c r="D8649" s="834">
        <v>92775</v>
      </c>
    </row>
    <row r="8650" spans="1:4" x14ac:dyDescent="0.3">
      <c r="A8650" s="4">
        <v>37733</v>
      </c>
      <c r="B8650" s="833" t="s">
        <v>12908</v>
      </c>
      <c r="C8650" s="4" t="s">
        <v>12080</v>
      </c>
      <c r="D8650" s="834">
        <v>61258.13</v>
      </c>
    </row>
    <row r="8651" spans="1:4" x14ac:dyDescent="0.3">
      <c r="A8651" s="4">
        <v>37735</v>
      </c>
      <c r="B8651" s="833" t="s">
        <v>12909</v>
      </c>
      <c r="C8651" s="4" t="s">
        <v>12080</v>
      </c>
      <c r="D8651" s="834">
        <v>73816.05</v>
      </c>
    </row>
    <row r="8652" spans="1:4" x14ac:dyDescent="0.3">
      <c r="A8652" s="4">
        <v>5090</v>
      </c>
      <c r="B8652" s="833" t="s">
        <v>12910</v>
      </c>
      <c r="C8652" s="4" t="s">
        <v>12080</v>
      </c>
      <c r="D8652" s="834">
        <v>20</v>
      </c>
    </row>
    <row r="8653" spans="1:4" x14ac:dyDescent="0.3">
      <c r="A8653" s="4">
        <v>5085</v>
      </c>
      <c r="B8653" s="833" t="s">
        <v>12911</v>
      </c>
      <c r="C8653" s="4" t="s">
        <v>12080</v>
      </c>
      <c r="D8653" s="834">
        <v>29.77</v>
      </c>
    </row>
    <row r="8654" spans="1:4" x14ac:dyDescent="0.3">
      <c r="A8654" s="4">
        <v>43603</v>
      </c>
      <c r="B8654" s="833" t="s">
        <v>12912</v>
      </c>
      <c r="C8654" s="4" t="s">
        <v>12080</v>
      </c>
      <c r="D8654" s="834">
        <v>42.53</v>
      </c>
    </row>
    <row r="8655" spans="1:4" x14ac:dyDescent="0.3">
      <c r="A8655" s="4">
        <v>38374</v>
      </c>
      <c r="B8655" s="833" t="s">
        <v>12913</v>
      </c>
      <c r="C8655" s="4" t="s">
        <v>12080</v>
      </c>
      <c r="D8655" s="834">
        <v>995.57</v>
      </c>
    </row>
    <row r="8656" spans="1:4" x14ac:dyDescent="0.3">
      <c r="A8656" s="4">
        <v>20212</v>
      </c>
      <c r="B8656" s="833" t="s">
        <v>12914</v>
      </c>
      <c r="C8656" s="4" t="s">
        <v>1803</v>
      </c>
      <c r="D8656" s="834">
        <v>22.16</v>
      </c>
    </row>
    <row r="8657" spans="1:4" x14ac:dyDescent="0.3">
      <c r="A8657" s="4">
        <v>20209</v>
      </c>
      <c r="B8657" s="833" t="s">
        <v>12915</v>
      </c>
      <c r="C8657" s="4" t="s">
        <v>1803</v>
      </c>
      <c r="D8657" s="834">
        <v>26.47</v>
      </c>
    </row>
    <row r="8658" spans="1:4" x14ac:dyDescent="0.3">
      <c r="A8658" s="4">
        <v>4430</v>
      </c>
      <c r="B8658" s="833" t="s">
        <v>12916</v>
      </c>
      <c r="C8658" s="4" t="s">
        <v>1803</v>
      </c>
      <c r="D8658" s="834">
        <v>12.97</v>
      </c>
    </row>
    <row r="8659" spans="1:4" x14ac:dyDescent="0.3">
      <c r="A8659" s="4">
        <v>4433</v>
      </c>
      <c r="B8659" s="833" t="s">
        <v>12917</v>
      </c>
      <c r="C8659" s="4" t="s">
        <v>1803</v>
      </c>
      <c r="D8659" s="834">
        <v>25.36</v>
      </c>
    </row>
    <row r="8660" spans="1:4" x14ac:dyDescent="0.3">
      <c r="A8660" s="4">
        <v>4400</v>
      </c>
      <c r="B8660" s="833" t="s">
        <v>12918</v>
      </c>
      <c r="C8660" s="4" t="s">
        <v>1803</v>
      </c>
      <c r="D8660" s="834">
        <v>20.64</v>
      </c>
    </row>
    <row r="8661" spans="1:4" x14ac:dyDescent="0.3">
      <c r="A8661" s="4">
        <v>2729</v>
      </c>
      <c r="B8661" s="833" t="s">
        <v>12919</v>
      </c>
      <c r="C8661" s="4" t="s">
        <v>12080</v>
      </c>
      <c r="D8661" s="834">
        <v>31.6</v>
      </c>
    </row>
    <row r="8662" spans="1:4" x14ac:dyDescent="0.3">
      <c r="A8662" s="4">
        <v>4513</v>
      </c>
      <c r="B8662" s="833" t="s">
        <v>12920</v>
      </c>
      <c r="C8662" s="4" t="s">
        <v>1803</v>
      </c>
      <c r="D8662" s="834">
        <v>5.47</v>
      </c>
    </row>
    <row r="8663" spans="1:4" x14ac:dyDescent="0.3">
      <c r="A8663" s="4">
        <v>37106</v>
      </c>
      <c r="B8663" s="833" t="s">
        <v>12921</v>
      </c>
      <c r="C8663" s="4" t="s">
        <v>12080</v>
      </c>
      <c r="D8663" s="834">
        <v>5534.86</v>
      </c>
    </row>
    <row r="8664" spans="1:4" x14ac:dyDescent="0.3">
      <c r="A8664" s="4">
        <v>11869</v>
      </c>
      <c r="B8664" s="833" t="s">
        <v>12922</v>
      </c>
      <c r="C8664" s="4" t="s">
        <v>12080</v>
      </c>
      <c r="D8664" s="834">
        <v>1106.97</v>
      </c>
    </row>
    <row r="8665" spans="1:4" x14ac:dyDescent="0.3">
      <c r="A8665" s="4">
        <v>43981</v>
      </c>
      <c r="B8665" s="833" t="s">
        <v>12923</v>
      </c>
      <c r="C8665" s="4" t="s">
        <v>12080</v>
      </c>
      <c r="D8665" s="834">
        <v>8340.98</v>
      </c>
    </row>
    <row r="8666" spans="1:4" x14ac:dyDescent="0.3">
      <c r="A8666" s="4">
        <v>37104</v>
      </c>
      <c r="B8666" s="833" t="s">
        <v>12924</v>
      </c>
      <c r="C8666" s="4" t="s">
        <v>12080</v>
      </c>
      <c r="D8666" s="834">
        <v>1389.27</v>
      </c>
    </row>
    <row r="8667" spans="1:4" x14ac:dyDescent="0.3">
      <c r="A8667" s="4">
        <v>43982</v>
      </c>
      <c r="B8667" s="833" t="s">
        <v>12925</v>
      </c>
      <c r="C8667" s="4" t="s">
        <v>12080</v>
      </c>
      <c r="D8667" s="834">
        <v>13176.64</v>
      </c>
    </row>
    <row r="8668" spans="1:4" x14ac:dyDescent="0.3">
      <c r="A8668" s="4">
        <v>43978</v>
      </c>
      <c r="B8668" s="833" t="s">
        <v>12926</v>
      </c>
      <c r="C8668" s="4" t="s">
        <v>12080</v>
      </c>
      <c r="D8668" s="834">
        <v>2058.87</v>
      </c>
    </row>
    <row r="8669" spans="1:4" x14ac:dyDescent="0.3">
      <c r="A8669" s="4">
        <v>11871</v>
      </c>
      <c r="B8669" s="833" t="s">
        <v>12927</v>
      </c>
      <c r="C8669" s="4" t="s">
        <v>12080</v>
      </c>
      <c r="D8669" s="834">
        <v>516.01</v>
      </c>
    </row>
    <row r="8670" spans="1:4" x14ac:dyDescent="0.3">
      <c r="A8670" s="4">
        <v>37105</v>
      </c>
      <c r="B8670" s="833" t="s">
        <v>12928</v>
      </c>
      <c r="C8670" s="4" t="s">
        <v>12080</v>
      </c>
      <c r="D8670" s="834">
        <v>3175.01</v>
      </c>
    </row>
    <row r="8671" spans="1:4" x14ac:dyDescent="0.3">
      <c r="A8671" s="4">
        <v>43980</v>
      </c>
      <c r="B8671" s="833" t="s">
        <v>12929</v>
      </c>
      <c r="C8671" s="4" t="s">
        <v>12080</v>
      </c>
      <c r="D8671" s="834">
        <v>3954.14</v>
      </c>
    </row>
    <row r="8672" spans="1:4" x14ac:dyDescent="0.3">
      <c r="A8672" s="4">
        <v>43979</v>
      </c>
      <c r="B8672" s="833" t="s">
        <v>12930</v>
      </c>
      <c r="C8672" s="4" t="s">
        <v>12080</v>
      </c>
      <c r="D8672" s="834">
        <v>742.94</v>
      </c>
    </row>
    <row r="8673" spans="1:4" x14ac:dyDescent="0.3">
      <c r="A8673" s="4">
        <v>11868</v>
      </c>
      <c r="B8673" s="833" t="s">
        <v>12931</v>
      </c>
      <c r="C8673" s="4" t="s">
        <v>12080</v>
      </c>
      <c r="D8673" s="834">
        <v>718.5</v>
      </c>
    </row>
    <row r="8674" spans="1:4" x14ac:dyDescent="0.3">
      <c r="A8674" s="4">
        <v>34636</v>
      </c>
      <c r="B8674" s="833" t="s">
        <v>12932</v>
      </c>
      <c r="C8674" s="4" t="s">
        <v>12080</v>
      </c>
      <c r="D8674" s="834">
        <v>510.23</v>
      </c>
    </row>
    <row r="8675" spans="1:4" x14ac:dyDescent="0.3">
      <c r="A8675" s="4">
        <v>34639</v>
      </c>
      <c r="B8675" s="833" t="s">
        <v>12933</v>
      </c>
      <c r="C8675" s="4" t="s">
        <v>12080</v>
      </c>
      <c r="D8675" s="834">
        <v>1177.7</v>
      </c>
    </row>
    <row r="8676" spans="1:4" x14ac:dyDescent="0.3">
      <c r="A8676" s="4">
        <v>34640</v>
      </c>
      <c r="B8676" s="833" t="s">
        <v>12934</v>
      </c>
      <c r="C8676" s="4" t="s">
        <v>12080</v>
      </c>
      <c r="D8676" s="834">
        <v>1335.92</v>
      </c>
    </row>
    <row r="8677" spans="1:4" x14ac:dyDescent="0.3">
      <c r="A8677" s="4">
        <v>43977</v>
      </c>
      <c r="B8677" s="833" t="s">
        <v>12935</v>
      </c>
      <c r="C8677" s="4" t="s">
        <v>12080</v>
      </c>
      <c r="D8677" s="834">
        <v>2303.04</v>
      </c>
    </row>
    <row r="8678" spans="1:4" x14ac:dyDescent="0.3">
      <c r="A8678" s="4">
        <v>34637</v>
      </c>
      <c r="B8678" s="833" t="s">
        <v>12936</v>
      </c>
      <c r="C8678" s="4" t="s">
        <v>12080</v>
      </c>
      <c r="D8678" s="834">
        <v>308.56</v>
      </c>
    </row>
    <row r="8679" spans="1:4" x14ac:dyDescent="0.3">
      <c r="A8679" s="4">
        <v>34638</v>
      </c>
      <c r="B8679" s="833" t="s">
        <v>12937</v>
      </c>
      <c r="C8679" s="4" t="s">
        <v>12080</v>
      </c>
      <c r="D8679" s="834">
        <v>477.28</v>
      </c>
    </row>
    <row r="8680" spans="1:4" x14ac:dyDescent="0.3">
      <c r="A8680" s="4">
        <v>34641</v>
      </c>
      <c r="B8680" s="833" t="s">
        <v>12938</v>
      </c>
      <c r="C8680" s="4" t="s">
        <v>12080</v>
      </c>
      <c r="D8680" s="834">
        <v>112.54</v>
      </c>
    </row>
    <row r="8681" spans="1:4" x14ac:dyDescent="0.3">
      <c r="A8681" s="4">
        <v>43434</v>
      </c>
      <c r="B8681" s="833" t="s">
        <v>12939</v>
      </c>
      <c r="C8681" s="4" t="s">
        <v>12080</v>
      </c>
      <c r="D8681" s="834">
        <v>121.67</v>
      </c>
    </row>
    <row r="8682" spans="1:4" x14ac:dyDescent="0.3">
      <c r="A8682" s="4">
        <v>43435</v>
      </c>
      <c r="B8682" s="833" t="s">
        <v>12940</v>
      </c>
      <c r="C8682" s="4" t="s">
        <v>12080</v>
      </c>
      <c r="D8682" s="834">
        <v>223.07</v>
      </c>
    </row>
    <row r="8683" spans="1:4" x14ac:dyDescent="0.3">
      <c r="A8683" s="4">
        <v>43436</v>
      </c>
      <c r="B8683" s="833" t="s">
        <v>12941</v>
      </c>
      <c r="C8683" s="4" t="s">
        <v>12080</v>
      </c>
      <c r="D8683" s="834">
        <v>390.38</v>
      </c>
    </row>
    <row r="8684" spans="1:4" x14ac:dyDescent="0.3">
      <c r="A8684" s="4">
        <v>43437</v>
      </c>
      <c r="B8684" s="833" t="s">
        <v>12942</v>
      </c>
      <c r="C8684" s="4" t="s">
        <v>12080</v>
      </c>
      <c r="D8684" s="834">
        <v>707.76</v>
      </c>
    </row>
    <row r="8685" spans="1:4" x14ac:dyDescent="0.3">
      <c r="A8685" s="4">
        <v>43438</v>
      </c>
      <c r="B8685" s="833" t="s">
        <v>12943</v>
      </c>
      <c r="C8685" s="4" t="s">
        <v>12080</v>
      </c>
      <c r="D8685" s="834">
        <v>1267.48</v>
      </c>
    </row>
    <row r="8686" spans="1:4" x14ac:dyDescent="0.3">
      <c r="A8686" s="4">
        <v>41627</v>
      </c>
      <c r="B8686" s="833" t="s">
        <v>12944</v>
      </c>
      <c r="C8686" s="4" t="s">
        <v>12080</v>
      </c>
      <c r="D8686" s="834">
        <v>187.58</v>
      </c>
    </row>
    <row r="8687" spans="1:4" x14ac:dyDescent="0.3">
      <c r="A8687" s="4">
        <v>41628</v>
      </c>
      <c r="B8687" s="833" t="s">
        <v>12945</v>
      </c>
      <c r="C8687" s="4" t="s">
        <v>12080</v>
      </c>
      <c r="D8687" s="834">
        <v>344.75</v>
      </c>
    </row>
    <row r="8688" spans="1:4" x14ac:dyDescent="0.3">
      <c r="A8688" s="4">
        <v>41629</v>
      </c>
      <c r="B8688" s="833" t="s">
        <v>12946</v>
      </c>
      <c r="C8688" s="4" t="s">
        <v>12080</v>
      </c>
      <c r="D8688" s="834">
        <v>438.04</v>
      </c>
    </row>
    <row r="8689" spans="1:4" x14ac:dyDescent="0.3">
      <c r="A8689" s="4">
        <v>43429</v>
      </c>
      <c r="B8689" s="833" t="s">
        <v>12947</v>
      </c>
      <c r="C8689" s="4" t="s">
        <v>12080</v>
      </c>
      <c r="D8689" s="834">
        <v>97.05</v>
      </c>
    </row>
    <row r="8690" spans="1:4" x14ac:dyDescent="0.3">
      <c r="A8690" s="4">
        <v>43430</v>
      </c>
      <c r="B8690" s="833" t="s">
        <v>12948</v>
      </c>
      <c r="C8690" s="4" t="s">
        <v>12080</v>
      </c>
      <c r="D8690" s="834">
        <v>161.22</v>
      </c>
    </row>
    <row r="8691" spans="1:4" x14ac:dyDescent="0.3">
      <c r="A8691" s="4">
        <v>43431</v>
      </c>
      <c r="B8691" s="833" t="s">
        <v>12949</v>
      </c>
      <c r="C8691" s="4" t="s">
        <v>12080</v>
      </c>
      <c r="D8691" s="834">
        <v>312.3</v>
      </c>
    </row>
    <row r="8692" spans="1:4" x14ac:dyDescent="0.3">
      <c r="A8692" s="4">
        <v>43432</v>
      </c>
      <c r="B8692" s="833" t="s">
        <v>12950</v>
      </c>
      <c r="C8692" s="4" t="s">
        <v>12080</v>
      </c>
      <c r="D8692" s="834">
        <v>648.95000000000005</v>
      </c>
    </row>
    <row r="8693" spans="1:4" x14ac:dyDescent="0.3">
      <c r="A8693" s="4">
        <v>43433</v>
      </c>
      <c r="B8693" s="833" t="s">
        <v>12951</v>
      </c>
      <c r="C8693" s="4" t="s">
        <v>12080</v>
      </c>
      <c r="D8693" s="834">
        <v>1023.11</v>
      </c>
    </row>
    <row r="8694" spans="1:4" x14ac:dyDescent="0.3">
      <c r="A8694" s="4">
        <v>43094</v>
      </c>
      <c r="B8694" s="833" t="s">
        <v>12952</v>
      </c>
      <c r="C8694" s="4" t="s">
        <v>12080</v>
      </c>
      <c r="D8694" s="834">
        <v>497.32</v>
      </c>
    </row>
    <row r="8695" spans="1:4" x14ac:dyDescent="0.3">
      <c r="A8695" s="4">
        <v>43093</v>
      </c>
      <c r="B8695" s="833" t="s">
        <v>12953</v>
      </c>
      <c r="C8695" s="4" t="s">
        <v>12080</v>
      </c>
      <c r="D8695" s="834">
        <v>528.5</v>
      </c>
    </row>
    <row r="8696" spans="1:4" x14ac:dyDescent="0.3">
      <c r="A8696" s="4">
        <v>11694</v>
      </c>
      <c r="B8696" s="833" t="s">
        <v>12954</v>
      </c>
      <c r="C8696" s="4" t="s">
        <v>12080</v>
      </c>
      <c r="D8696" s="834">
        <v>1138.42</v>
      </c>
    </row>
    <row r="8697" spans="1:4" x14ac:dyDescent="0.3">
      <c r="A8697" s="4">
        <v>1030</v>
      </c>
      <c r="B8697" s="833" t="s">
        <v>12955</v>
      </c>
      <c r="C8697" s="4" t="s">
        <v>12080</v>
      </c>
      <c r="D8697" s="834">
        <v>51.5</v>
      </c>
    </row>
    <row r="8698" spans="1:4" x14ac:dyDescent="0.3">
      <c r="A8698" s="4">
        <v>11881</v>
      </c>
      <c r="B8698" s="833" t="s">
        <v>12956</v>
      </c>
      <c r="C8698" s="4" t="s">
        <v>12080</v>
      </c>
      <c r="D8698" s="834">
        <v>172.37</v>
      </c>
    </row>
    <row r="8699" spans="1:4" x14ac:dyDescent="0.3">
      <c r="A8699" s="4">
        <v>35277</v>
      </c>
      <c r="B8699" s="833" t="s">
        <v>12957</v>
      </c>
      <c r="C8699" s="4" t="s">
        <v>12080</v>
      </c>
      <c r="D8699" s="834">
        <v>515.23</v>
      </c>
    </row>
    <row r="8700" spans="1:4" x14ac:dyDescent="0.3">
      <c r="A8700" s="4">
        <v>10521</v>
      </c>
      <c r="B8700" s="833" t="s">
        <v>12958</v>
      </c>
      <c r="C8700" s="4" t="s">
        <v>12080</v>
      </c>
      <c r="D8700" s="834">
        <v>276.81</v>
      </c>
    </row>
    <row r="8701" spans="1:4" x14ac:dyDescent="0.3">
      <c r="A8701" s="4">
        <v>10885</v>
      </c>
      <c r="B8701" s="833" t="s">
        <v>12959</v>
      </c>
      <c r="C8701" s="4" t="s">
        <v>12080</v>
      </c>
      <c r="D8701" s="834">
        <v>350.14</v>
      </c>
    </row>
    <row r="8702" spans="1:4" x14ac:dyDescent="0.3">
      <c r="A8702" s="4">
        <v>20962</v>
      </c>
      <c r="B8702" s="833" t="s">
        <v>12960</v>
      </c>
      <c r="C8702" s="4" t="s">
        <v>12080</v>
      </c>
      <c r="D8702" s="834">
        <v>290</v>
      </c>
    </row>
    <row r="8703" spans="1:4" x14ac:dyDescent="0.3">
      <c r="A8703" s="4">
        <v>20963</v>
      </c>
      <c r="B8703" s="833" t="s">
        <v>12961</v>
      </c>
      <c r="C8703" s="4" t="s">
        <v>12080</v>
      </c>
      <c r="D8703" s="834">
        <v>354.26</v>
      </c>
    </row>
    <row r="8704" spans="1:4" x14ac:dyDescent="0.3">
      <c r="A8704" s="4">
        <v>34643</v>
      </c>
      <c r="B8704" s="833" t="s">
        <v>12962</v>
      </c>
      <c r="C8704" s="4" t="s">
        <v>12080</v>
      </c>
      <c r="D8704" s="834">
        <v>59.34</v>
      </c>
    </row>
    <row r="8705" spans="1:4" x14ac:dyDescent="0.3">
      <c r="A8705" s="4">
        <v>41480</v>
      </c>
      <c r="B8705" s="833" t="s">
        <v>12963</v>
      </c>
      <c r="C8705" s="4" t="s">
        <v>12080</v>
      </c>
      <c r="D8705" s="834">
        <v>68.8</v>
      </c>
    </row>
    <row r="8706" spans="1:4" x14ac:dyDescent="0.3">
      <c r="A8706" s="4">
        <v>41474</v>
      </c>
      <c r="B8706" s="833" t="s">
        <v>12964</v>
      </c>
      <c r="C8706" s="4" t="s">
        <v>12080</v>
      </c>
      <c r="D8706" s="834">
        <v>109.9</v>
      </c>
    </row>
    <row r="8707" spans="1:4" x14ac:dyDescent="0.3">
      <c r="A8707" s="4">
        <v>41475</v>
      </c>
      <c r="B8707" s="833" t="s">
        <v>12965</v>
      </c>
      <c r="C8707" s="4" t="s">
        <v>12080</v>
      </c>
      <c r="D8707" s="834">
        <v>93.77</v>
      </c>
    </row>
    <row r="8708" spans="1:4" x14ac:dyDescent="0.3">
      <c r="A8708" s="4">
        <v>41476</v>
      </c>
      <c r="B8708" s="833" t="s">
        <v>12966</v>
      </c>
      <c r="C8708" s="4" t="s">
        <v>12080</v>
      </c>
      <c r="D8708" s="834">
        <v>205.33</v>
      </c>
    </row>
    <row r="8709" spans="1:4" x14ac:dyDescent="0.3">
      <c r="A8709" s="4">
        <v>2555</v>
      </c>
      <c r="B8709" s="833" t="s">
        <v>12967</v>
      </c>
      <c r="C8709" s="4" t="s">
        <v>12080</v>
      </c>
      <c r="D8709" s="834">
        <v>1.29</v>
      </c>
    </row>
    <row r="8710" spans="1:4" x14ac:dyDescent="0.3">
      <c r="A8710" s="4">
        <v>2556</v>
      </c>
      <c r="B8710" s="833" t="s">
        <v>12968</v>
      </c>
      <c r="C8710" s="4" t="s">
        <v>12080</v>
      </c>
      <c r="D8710" s="834">
        <v>1.34</v>
      </c>
    </row>
    <row r="8711" spans="1:4" x14ac:dyDescent="0.3">
      <c r="A8711" s="4">
        <v>2557</v>
      </c>
      <c r="B8711" s="833" t="s">
        <v>12969</v>
      </c>
      <c r="C8711" s="4" t="s">
        <v>12080</v>
      </c>
      <c r="D8711" s="834">
        <v>2.83</v>
      </c>
    </row>
    <row r="8712" spans="1:4" x14ac:dyDescent="0.3">
      <c r="A8712" s="4">
        <v>10569</v>
      </c>
      <c r="B8712" s="833" t="s">
        <v>12970</v>
      </c>
      <c r="C8712" s="4" t="s">
        <v>12080</v>
      </c>
      <c r="D8712" s="834">
        <v>2.83</v>
      </c>
    </row>
    <row r="8713" spans="1:4" x14ac:dyDescent="0.3">
      <c r="A8713" s="4">
        <v>39810</v>
      </c>
      <c r="B8713" s="833" t="s">
        <v>12971</v>
      </c>
      <c r="C8713" s="4" t="s">
        <v>12080</v>
      </c>
      <c r="D8713" s="834">
        <v>67.11</v>
      </c>
    </row>
    <row r="8714" spans="1:4" x14ac:dyDescent="0.3">
      <c r="A8714" s="4">
        <v>39811</v>
      </c>
      <c r="B8714" s="833" t="s">
        <v>12972</v>
      </c>
      <c r="C8714" s="4" t="s">
        <v>12080</v>
      </c>
      <c r="D8714" s="834">
        <v>82.09</v>
      </c>
    </row>
    <row r="8715" spans="1:4" x14ac:dyDescent="0.3">
      <c r="A8715" s="4">
        <v>39812</v>
      </c>
      <c r="B8715" s="833" t="s">
        <v>12973</v>
      </c>
      <c r="C8715" s="4" t="s">
        <v>12080</v>
      </c>
      <c r="D8715" s="834">
        <v>134.97999999999999</v>
      </c>
    </row>
    <row r="8716" spans="1:4" x14ac:dyDescent="0.3">
      <c r="A8716" s="4">
        <v>43096</v>
      </c>
      <c r="B8716" s="833" t="s">
        <v>12974</v>
      </c>
      <c r="C8716" s="4" t="s">
        <v>12080</v>
      </c>
      <c r="D8716" s="834">
        <v>447.43</v>
      </c>
    </row>
    <row r="8717" spans="1:4" x14ac:dyDescent="0.3">
      <c r="A8717" s="4">
        <v>43102</v>
      </c>
      <c r="B8717" s="833" t="s">
        <v>12975</v>
      </c>
      <c r="C8717" s="4" t="s">
        <v>12080</v>
      </c>
      <c r="D8717" s="834">
        <v>272.06</v>
      </c>
    </row>
    <row r="8718" spans="1:4" x14ac:dyDescent="0.3">
      <c r="A8718" s="4">
        <v>43103</v>
      </c>
      <c r="B8718" s="833" t="s">
        <v>12976</v>
      </c>
      <c r="C8718" s="4" t="s">
        <v>12080</v>
      </c>
      <c r="D8718" s="834">
        <v>400.62</v>
      </c>
    </row>
    <row r="8719" spans="1:4" x14ac:dyDescent="0.3">
      <c r="A8719" s="4">
        <v>43098</v>
      </c>
      <c r="B8719" s="833" t="s">
        <v>12977</v>
      </c>
      <c r="C8719" s="4" t="s">
        <v>12080</v>
      </c>
      <c r="D8719" s="834">
        <v>151.56</v>
      </c>
    </row>
    <row r="8720" spans="1:4" x14ac:dyDescent="0.3">
      <c r="A8720" s="4">
        <v>43097</v>
      </c>
      <c r="B8720" s="833" t="s">
        <v>12978</v>
      </c>
      <c r="C8720" s="4" t="s">
        <v>12080</v>
      </c>
      <c r="D8720" s="834">
        <v>89.79</v>
      </c>
    </row>
    <row r="8721" spans="1:4" x14ac:dyDescent="0.3">
      <c r="A8721" s="4">
        <v>43104</v>
      </c>
      <c r="B8721" s="833" t="s">
        <v>12979</v>
      </c>
      <c r="C8721" s="4" t="s">
        <v>12080</v>
      </c>
      <c r="D8721" s="834">
        <v>1062.1400000000001</v>
      </c>
    </row>
    <row r="8722" spans="1:4" x14ac:dyDescent="0.3">
      <c r="A8722" s="4">
        <v>39771</v>
      </c>
      <c r="B8722" s="833" t="s">
        <v>12980</v>
      </c>
      <c r="C8722" s="4" t="s">
        <v>12080</v>
      </c>
      <c r="D8722" s="834">
        <v>27.2</v>
      </c>
    </row>
    <row r="8723" spans="1:4" x14ac:dyDescent="0.3">
      <c r="A8723" s="4">
        <v>39772</v>
      </c>
      <c r="B8723" s="833" t="s">
        <v>12981</v>
      </c>
      <c r="C8723" s="4" t="s">
        <v>12080</v>
      </c>
      <c r="D8723" s="834">
        <v>53.46</v>
      </c>
    </row>
    <row r="8724" spans="1:4" x14ac:dyDescent="0.3">
      <c r="A8724" s="4">
        <v>39773</v>
      </c>
      <c r="B8724" s="833" t="s">
        <v>12982</v>
      </c>
      <c r="C8724" s="4" t="s">
        <v>12080</v>
      </c>
      <c r="D8724" s="834">
        <v>85.93</v>
      </c>
    </row>
    <row r="8725" spans="1:4" x14ac:dyDescent="0.3">
      <c r="A8725" s="4">
        <v>39774</v>
      </c>
      <c r="B8725" s="833" t="s">
        <v>12983</v>
      </c>
      <c r="C8725" s="4" t="s">
        <v>12080</v>
      </c>
      <c r="D8725" s="834">
        <v>128.53</v>
      </c>
    </row>
    <row r="8726" spans="1:4" x14ac:dyDescent="0.3">
      <c r="A8726" s="4">
        <v>39775</v>
      </c>
      <c r="B8726" s="833" t="s">
        <v>12984</v>
      </c>
      <c r="C8726" s="4" t="s">
        <v>12080</v>
      </c>
      <c r="D8726" s="834">
        <v>171.55</v>
      </c>
    </row>
    <row r="8727" spans="1:4" x14ac:dyDescent="0.3">
      <c r="A8727" s="4">
        <v>39776</v>
      </c>
      <c r="B8727" s="833" t="s">
        <v>12985</v>
      </c>
      <c r="C8727" s="4" t="s">
        <v>12080</v>
      </c>
      <c r="D8727" s="834">
        <v>207.32</v>
      </c>
    </row>
    <row r="8728" spans="1:4" x14ac:dyDescent="0.3">
      <c r="A8728" s="4">
        <v>39777</v>
      </c>
      <c r="B8728" s="833" t="s">
        <v>12986</v>
      </c>
      <c r="C8728" s="4" t="s">
        <v>12080</v>
      </c>
      <c r="D8728" s="834">
        <v>262.77</v>
      </c>
    </row>
    <row r="8729" spans="1:4" x14ac:dyDescent="0.3">
      <c r="A8729" s="4">
        <v>20254</v>
      </c>
      <c r="B8729" s="833" t="s">
        <v>12987</v>
      </c>
      <c r="C8729" s="4" t="s">
        <v>12080</v>
      </c>
      <c r="D8729" s="834">
        <v>19.07</v>
      </c>
    </row>
    <row r="8730" spans="1:4" x14ac:dyDescent="0.3">
      <c r="A8730" s="4">
        <v>20253</v>
      </c>
      <c r="B8730" s="833" t="s">
        <v>12988</v>
      </c>
      <c r="C8730" s="4" t="s">
        <v>12080</v>
      </c>
      <c r="D8730" s="834">
        <v>62.63</v>
      </c>
    </row>
    <row r="8731" spans="1:4" x14ac:dyDescent="0.3">
      <c r="A8731" s="4">
        <v>14055</v>
      </c>
      <c r="B8731" s="833" t="s">
        <v>12989</v>
      </c>
      <c r="C8731" s="4" t="s">
        <v>12080</v>
      </c>
      <c r="D8731" s="834">
        <v>572.32000000000005</v>
      </c>
    </row>
    <row r="8732" spans="1:4" x14ac:dyDescent="0.3">
      <c r="A8732" s="4">
        <v>11247</v>
      </c>
      <c r="B8732" s="833" t="s">
        <v>12990</v>
      </c>
      <c r="C8732" s="4" t="s">
        <v>12080</v>
      </c>
      <c r="D8732" s="834">
        <v>1204.28</v>
      </c>
    </row>
    <row r="8733" spans="1:4" x14ac:dyDescent="0.3">
      <c r="A8733" s="4">
        <v>11250</v>
      </c>
      <c r="B8733" s="833" t="s">
        <v>12991</v>
      </c>
      <c r="C8733" s="4" t="s">
        <v>12080</v>
      </c>
      <c r="D8733" s="834">
        <v>51.84</v>
      </c>
    </row>
    <row r="8734" spans="1:4" x14ac:dyDescent="0.3">
      <c r="A8734" s="4">
        <v>11249</v>
      </c>
      <c r="B8734" s="833" t="s">
        <v>12992</v>
      </c>
      <c r="C8734" s="4" t="s">
        <v>12080</v>
      </c>
      <c r="D8734" s="834">
        <v>2352.38</v>
      </c>
    </row>
    <row r="8735" spans="1:4" x14ac:dyDescent="0.3">
      <c r="A8735" s="4">
        <v>11251</v>
      </c>
      <c r="B8735" s="833" t="s">
        <v>12993</v>
      </c>
      <c r="C8735" s="4" t="s">
        <v>12080</v>
      </c>
      <c r="D8735" s="834">
        <v>114.84</v>
      </c>
    </row>
    <row r="8736" spans="1:4" x14ac:dyDescent="0.3">
      <c r="A8736" s="4">
        <v>11253</v>
      </c>
      <c r="B8736" s="833" t="s">
        <v>12994</v>
      </c>
      <c r="C8736" s="4" t="s">
        <v>12080</v>
      </c>
      <c r="D8736" s="834">
        <v>190.3</v>
      </c>
    </row>
    <row r="8737" spans="1:4" x14ac:dyDescent="0.3">
      <c r="A8737" s="4">
        <v>11255</v>
      </c>
      <c r="B8737" s="833" t="s">
        <v>12995</v>
      </c>
      <c r="C8737" s="4" t="s">
        <v>12080</v>
      </c>
      <c r="D8737" s="834">
        <v>284.5</v>
      </c>
    </row>
    <row r="8738" spans="1:4" x14ac:dyDescent="0.3">
      <c r="A8738" s="4">
        <v>11256</v>
      </c>
      <c r="B8738" s="833" t="s">
        <v>12996</v>
      </c>
      <c r="C8738" s="4" t="s">
        <v>12080</v>
      </c>
      <c r="D8738" s="834">
        <v>356.36</v>
      </c>
    </row>
    <row r="8739" spans="1:4" x14ac:dyDescent="0.3">
      <c r="A8739" s="4">
        <v>1872</v>
      </c>
      <c r="B8739" s="833" t="s">
        <v>12997</v>
      </c>
      <c r="C8739" s="4" t="s">
        <v>12080</v>
      </c>
      <c r="D8739" s="834">
        <v>2.62</v>
      </c>
    </row>
    <row r="8740" spans="1:4" x14ac:dyDescent="0.3">
      <c r="A8740" s="4">
        <v>1873</v>
      </c>
      <c r="B8740" s="833" t="s">
        <v>12998</v>
      </c>
      <c r="C8740" s="4" t="s">
        <v>12080</v>
      </c>
      <c r="D8740" s="834">
        <v>5.21</v>
      </c>
    </row>
    <row r="8741" spans="1:4" x14ac:dyDescent="0.3">
      <c r="A8741" s="4">
        <v>39693</v>
      </c>
      <c r="B8741" s="833" t="s">
        <v>12999</v>
      </c>
      <c r="C8741" s="4" t="s">
        <v>12080</v>
      </c>
      <c r="D8741" s="834">
        <v>2238.15</v>
      </c>
    </row>
    <row r="8742" spans="1:4" x14ac:dyDescent="0.3">
      <c r="A8742" s="4">
        <v>39692</v>
      </c>
      <c r="B8742" s="833" t="s">
        <v>13000</v>
      </c>
      <c r="C8742" s="4" t="s">
        <v>12080</v>
      </c>
      <c r="D8742" s="834">
        <v>716.16</v>
      </c>
    </row>
    <row r="8743" spans="1:4" x14ac:dyDescent="0.3">
      <c r="A8743" s="4">
        <v>1062</v>
      </c>
      <c r="B8743" s="833" t="s">
        <v>13001</v>
      </c>
      <c r="C8743" s="4" t="s">
        <v>12080</v>
      </c>
      <c r="D8743" s="834">
        <v>226.96</v>
      </c>
    </row>
    <row r="8744" spans="1:4" x14ac:dyDescent="0.3">
      <c r="A8744" s="4">
        <v>39686</v>
      </c>
      <c r="B8744" s="833" t="s">
        <v>13002</v>
      </c>
      <c r="C8744" s="4" t="s">
        <v>12080</v>
      </c>
      <c r="D8744" s="834">
        <v>367.5</v>
      </c>
    </row>
    <row r="8745" spans="1:4" x14ac:dyDescent="0.3">
      <c r="A8745" s="4">
        <v>43095</v>
      </c>
      <c r="B8745" s="833" t="s">
        <v>13003</v>
      </c>
      <c r="C8745" s="4" t="s">
        <v>12080</v>
      </c>
      <c r="D8745" s="834">
        <v>294.83999999999997</v>
      </c>
    </row>
    <row r="8746" spans="1:4" x14ac:dyDescent="0.3">
      <c r="A8746" s="4">
        <v>1871</v>
      </c>
      <c r="B8746" s="833" t="s">
        <v>13004</v>
      </c>
      <c r="C8746" s="4" t="s">
        <v>12080</v>
      </c>
      <c r="D8746" s="834">
        <v>4.6900000000000004</v>
      </c>
    </row>
    <row r="8747" spans="1:4" x14ac:dyDescent="0.3">
      <c r="A8747" s="4">
        <v>12001</v>
      </c>
      <c r="B8747" s="833" t="s">
        <v>13005</v>
      </c>
      <c r="C8747" s="4" t="s">
        <v>12080</v>
      </c>
      <c r="D8747" s="834">
        <v>6.78</v>
      </c>
    </row>
    <row r="8748" spans="1:4" x14ac:dyDescent="0.3">
      <c r="A8748" s="4">
        <v>11882</v>
      </c>
      <c r="B8748" s="833" t="s">
        <v>13006</v>
      </c>
      <c r="C8748" s="4" t="s">
        <v>12080</v>
      </c>
      <c r="D8748" s="834">
        <v>123.7</v>
      </c>
    </row>
    <row r="8749" spans="1:4" x14ac:dyDescent="0.3">
      <c r="A8749" s="4">
        <v>1068</v>
      </c>
      <c r="B8749" s="833" t="s">
        <v>13007</v>
      </c>
      <c r="C8749" s="4" t="s">
        <v>12080</v>
      </c>
      <c r="D8749" s="834">
        <v>1497.05</v>
      </c>
    </row>
    <row r="8750" spans="1:4" x14ac:dyDescent="0.3">
      <c r="A8750" s="4">
        <v>39690</v>
      </c>
      <c r="B8750" s="833" t="s">
        <v>13008</v>
      </c>
      <c r="C8750" s="4" t="s">
        <v>12080</v>
      </c>
      <c r="D8750" s="834">
        <v>2511.56</v>
      </c>
    </row>
    <row r="8751" spans="1:4" x14ac:dyDescent="0.3">
      <c r="A8751" s="4">
        <v>39691</v>
      </c>
      <c r="B8751" s="833" t="s">
        <v>13009</v>
      </c>
      <c r="C8751" s="4" t="s">
        <v>12080</v>
      </c>
      <c r="D8751" s="834">
        <v>3158.84</v>
      </c>
    </row>
    <row r="8752" spans="1:4" x14ac:dyDescent="0.3">
      <c r="A8752" s="4">
        <v>39808</v>
      </c>
      <c r="B8752" s="833" t="s">
        <v>13010</v>
      </c>
      <c r="C8752" s="4" t="s">
        <v>12080</v>
      </c>
      <c r="D8752" s="834">
        <v>153.93</v>
      </c>
    </row>
    <row r="8753" spans="1:4" x14ac:dyDescent="0.3">
      <c r="A8753" s="4">
        <v>39809</v>
      </c>
      <c r="B8753" s="833" t="s">
        <v>13011</v>
      </c>
      <c r="C8753" s="4" t="s">
        <v>12080</v>
      </c>
      <c r="D8753" s="834">
        <v>365.09</v>
      </c>
    </row>
    <row r="8754" spans="1:4" x14ac:dyDescent="0.3">
      <c r="A8754" s="4">
        <v>43439</v>
      </c>
      <c r="B8754" s="833" t="s">
        <v>13012</v>
      </c>
      <c r="C8754" s="4" t="s">
        <v>12080</v>
      </c>
      <c r="D8754" s="834">
        <v>567.83000000000004</v>
      </c>
    </row>
    <row r="8755" spans="1:4" x14ac:dyDescent="0.3">
      <c r="A8755" s="4">
        <v>5103</v>
      </c>
      <c r="B8755" s="833" t="s">
        <v>13013</v>
      </c>
      <c r="C8755" s="4" t="s">
        <v>12080</v>
      </c>
      <c r="D8755" s="834">
        <v>32.619999999999997</v>
      </c>
    </row>
    <row r="8756" spans="1:4" x14ac:dyDescent="0.3">
      <c r="A8756" s="4">
        <v>11880</v>
      </c>
      <c r="B8756" s="833" t="s">
        <v>13014</v>
      </c>
      <c r="C8756" s="4" t="s">
        <v>12080</v>
      </c>
      <c r="D8756" s="834">
        <v>137.19</v>
      </c>
    </row>
    <row r="8757" spans="1:4" x14ac:dyDescent="0.3">
      <c r="A8757" s="4">
        <v>11714</v>
      </c>
      <c r="B8757" s="833" t="s">
        <v>13015</v>
      </c>
      <c r="C8757" s="4" t="s">
        <v>12080</v>
      </c>
      <c r="D8757" s="834">
        <v>93.46</v>
      </c>
    </row>
    <row r="8758" spans="1:4" x14ac:dyDescent="0.3">
      <c r="A8758" s="4">
        <v>11712</v>
      </c>
      <c r="B8758" s="833" t="s">
        <v>13016</v>
      </c>
      <c r="C8758" s="4" t="s">
        <v>12080</v>
      </c>
      <c r="D8758" s="834">
        <v>61.03</v>
      </c>
    </row>
    <row r="8759" spans="1:4" x14ac:dyDescent="0.3">
      <c r="A8759" s="4">
        <v>11717</v>
      </c>
      <c r="B8759" s="833" t="s">
        <v>13017</v>
      </c>
      <c r="C8759" s="4" t="s">
        <v>12080</v>
      </c>
      <c r="D8759" s="834">
        <v>73.569999999999993</v>
      </c>
    </row>
    <row r="8760" spans="1:4" x14ac:dyDescent="0.3">
      <c r="A8760" s="4">
        <v>1106</v>
      </c>
      <c r="B8760" s="833" t="s">
        <v>13018</v>
      </c>
      <c r="C8760" s="4" t="s">
        <v>12126</v>
      </c>
      <c r="D8760" s="834">
        <v>1.5</v>
      </c>
    </row>
    <row r="8761" spans="1:4" x14ac:dyDescent="0.3">
      <c r="A8761" s="4">
        <v>11161</v>
      </c>
      <c r="B8761" s="833" t="s">
        <v>13019</v>
      </c>
      <c r="C8761" s="4" t="s">
        <v>12126</v>
      </c>
      <c r="D8761" s="834">
        <v>2.5</v>
      </c>
    </row>
    <row r="8762" spans="1:4" x14ac:dyDescent="0.3">
      <c r="A8762" s="4">
        <v>1107</v>
      </c>
      <c r="B8762" s="833" t="s">
        <v>13020</v>
      </c>
      <c r="C8762" s="4" t="s">
        <v>12126</v>
      </c>
      <c r="D8762" s="834">
        <v>1.27</v>
      </c>
    </row>
    <row r="8763" spans="1:4" x14ac:dyDescent="0.3">
      <c r="A8763" s="4">
        <v>44479</v>
      </c>
      <c r="B8763" s="833" t="s">
        <v>13021</v>
      </c>
      <c r="C8763" s="4" t="s">
        <v>12126</v>
      </c>
      <c r="D8763" s="834">
        <v>0.3</v>
      </c>
    </row>
    <row r="8764" spans="1:4" x14ac:dyDescent="0.3">
      <c r="A8764" s="4">
        <v>4759</v>
      </c>
      <c r="B8764" s="833" t="s">
        <v>13022</v>
      </c>
      <c r="C8764" s="4" t="s">
        <v>12226</v>
      </c>
      <c r="D8764" s="834">
        <v>19.77</v>
      </c>
    </row>
    <row r="8765" spans="1:4" x14ac:dyDescent="0.3">
      <c r="A8765" s="4">
        <v>41068</v>
      </c>
      <c r="B8765" s="833" t="s">
        <v>13023</v>
      </c>
      <c r="C8765" s="4" t="s">
        <v>12228</v>
      </c>
      <c r="D8765" s="834">
        <v>3520.4</v>
      </c>
    </row>
    <row r="8766" spans="1:4" x14ac:dyDescent="0.3">
      <c r="A8766" s="4">
        <v>12618</v>
      </c>
      <c r="B8766" s="833" t="s">
        <v>13024</v>
      </c>
      <c r="C8766" s="4" t="s">
        <v>12080</v>
      </c>
      <c r="D8766" s="834">
        <v>172.31</v>
      </c>
    </row>
    <row r="8767" spans="1:4" x14ac:dyDescent="0.3">
      <c r="A8767" s="4">
        <v>1108</v>
      </c>
      <c r="B8767" s="833" t="s">
        <v>13025</v>
      </c>
      <c r="C8767" s="4" t="s">
        <v>1803</v>
      </c>
      <c r="D8767" s="834">
        <v>24.41</v>
      </c>
    </row>
    <row r="8768" spans="1:4" x14ac:dyDescent="0.3">
      <c r="A8768" s="4">
        <v>1117</v>
      </c>
      <c r="B8768" s="833" t="s">
        <v>13026</v>
      </c>
      <c r="C8768" s="4" t="s">
        <v>1803</v>
      </c>
      <c r="D8768" s="834">
        <v>24.6</v>
      </c>
    </row>
    <row r="8769" spans="1:4" x14ac:dyDescent="0.3">
      <c r="A8769" s="4">
        <v>1118</v>
      </c>
      <c r="B8769" s="833" t="s">
        <v>13027</v>
      </c>
      <c r="C8769" s="4" t="s">
        <v>1803</v>
      </c>
      <c r="D8769" s="834">
        <v>29.08</v>
      </c>
    </row>
    <row r="8770" spans="1:4" x14ac:dyDescent="0.3">
      <c r="A8770" s="4">
        <v>1110</v>
      </c>
      <c r="B8770" s="833" t="s">
        <v>13028</v>
      </c>
      <c r="C8770" s="4" t="s">
        <v>1803</v>
      </c>
      <c r="D8770" s="834">
        <v>29.08</v>
      </c>
    </row>
    <row r="8771" spans="1:4" x14ac:dyDescent="0.3">
      <c r="A8771" s="4">
        <v>40784</v>
      </c>
      <c r="B8771" s="833" t="s">
        <v>13029</v>
      </c>
      <c r="C8771" s="4" t="s">
        <v>1803</v>
      </c>
      <c r="D8771" s="834">
        <v>80.209999999999994</v>
      </c>
    </row>
    <row r="8772" spans="1:4" x14ac:dyDescent="0.3">
      <c r="A8772" s="4">
        <v>40782</v>
      </c>
      <c r="B8772" s="833" t="s">
        <v>13030</v>
      </c>
      <c r="C8772" s="4" t="s">
        <v>1803</v>
      </c>
      <c r="D8772" s="834">
        <v>31.47</v>
      </c>
    </row>
    <row r="8773" spans="1:4" x14ac:dyDescent="0.3">
      <c r="A8773" s="4">
        <v>40783</v>
      </c>
      <c r="B8773" s="833" t="s">
        <v>13031</v>
      </c>
      <c r="C8773" s="4" t="s">
        <v>1803</v>
      </c>
      <c r="D8773" s="834">
        <v>41</v>
      </c>
    </row>
    <row r="8774" spans="1:4" x14ac:dyDescent="0.3">
      <c r="A8774" s="4">
        <v>1109</v>
      </c>
      <c r="B8774" s="833" t="s">
        <v>13032</v>
      </c>
      <c r="C8774" s="4" t="s">
        <v>1803</v>
      </c>
      <c r="D8774" s="834">
        <v>24.41</v>
      </c>
    </row>
    <row r="8775" spans="1:4" x14ac:dyDescent="0.3">
      <c r="A8775" s="4">
        <v>1119</v>
      </c>
      <c r="B8775" s="833" t="s">
        <v>13033</v>
      </c>
      <c r="C8775" s="4" t="s">
        <v>1803</v>
      </c>
      <c r="D8775" s="834">
        <v>15.73</v>
      </c>
    </row>
    <row r="8776" spans="1:4" x14ac:dyDescent="0.3">
      <c r="A8776" s="4">
        <v>13115</v>
      </c>
      <c r="B8776" s="833" t="s">
        <v>13034</v>
      </c>
      <c r="C8776" s="4" t="s">
        <v>1803</v>
      </c>
      <c r="D8776" s="834">
        <v>21.34</v>
      </c>
    </row>
    <row r="8777" spans="1:4" x14ac:dyDescent="0.3">
      <c r="A8777" s="4">
        <v>10541</v>
      </c>
      <c r="B8777" s="833" t="s">
        <v>13035</v>
      </c>
      <c r="C8777" s="4" t="s">
        <v>1803</v>
      </c>
      <c r="D8777" s="834">
        <v>26.08</v>
      </c>
    </row>
    <row r="8778" spans="1:4" x14ac:dyDescent="0.3">
      <c r="A8778" s="4">
        <v>10542</v>
      </c>
      <c r="B8778" s="833" t="s">
        <v>13036</v>
      </c>
      <c r="C8778" s="4" t="s">
        <v>1803</v>
      </c>
      <c r="D8778" s="834">
        <v>34.1</v>
      </c>
    </row>
    <row r="8779" spans="1:4" x14ac:dyDescent="0.3">
      <c r="A8779" s="4">
        <v>10543</v>
      </c>
      <c r="B8779" s="833" t="s">
        <v>13037</v>
      </c>
      <c r="C8779" s="4" t="s">
        <v>1803</v>
      </c>
      <c r="D8779" s="834">
        <v>55.33</v>
      </c>
    </row>
    <row r="8780" spans="1:4" x14ac:dyDescent="0.3">
      <c r="A8780" s="4">
        <v>10544</v>
      </c>
      <c r="B8780" s="833" t="s">
        <v>13038</v>
      </c>
      <c r="C8780" s="4" t="s">
        <v>1803</v>
      </c>
      <c r="D8780" s="834">
        <v>71.569999999999993</v>
      </c>
    </row>
    <row r="8781" spans="1:4" x14ac:dyDescent="0.3">
      <c r="A8781" s="4">
        <v>10545</v>
      </c>
      <c r="B8781" s="833" t="s">
        <v>13039</v>
      </c>
      <c r="C8781" s="4" t="s">
        <v>1803</v>
      </c>
      <c r="D8781" s="834">
        <v>133.75</v>
      </c>
    </row>
    <row r="8782" spans="1:4" x14ac:dyDescent="0.3">
      <c r="A8782" s="4">
        <v>38365</v>
      </c>
      <c r="B8782" s="833" t="s">
        <v>13040</v>
      </c>
      <c r="C8782" s="4" t="s">
        <v>12481</v>
      </c>
      <c r="D8782" s="834">
        <v>1.99</v>
      </c>
    </row>
    <row r="8783" spans="1:4" x14ac:dyDescent="0.3">
      <c r="A8783" s="4">
        <v>44056</v>
      </c>
      <c r="B8783" s="833" t="s">
        <v>13041</v>
      </c>
      <c r="C8783" s="4" t="s">
        <v>12080</v>
      </c>
      <c r="D8783" s="834">
        <v>465515.69</v>
      </c>
    </row>
    <row r="8784" spans="1:4" x14ac:dyDescent="0.3">
      <c r="A8784" s="4">
        <v>44057</v>
      </c>
      <c r="B8784" s="833" t="s">
        <v>13042</v>
      </c>
      <c r="C8784" s="4" t="s">
        <v>12080</v>
      </c>
      <c r="D8784" s="834">
        <v>496848.5</v>
      </c>
    </row>
    <row r="8785" spans="1:4" x14ac:dyDescent="0.3">
      <c r="A8785" s="4">
        <v>37754</v>
      </c>
      <c r="B8785" s="833" t="s">
        <v>13043</v>
      </c>
      <c r="C8785" s="4" t="s">
        <v>12080</v>
      </c>
      <c r="D8785" s="834">
        <v>513678.69</v>
      </c>
    </row>
    <row r="8786" spans="1:4" x14ac:dyDescent="0.3">
      <c r="A8786" s="4">
        <v>37757</v>
      </c>
      <c r="B8786" s="833" t="s">
        <v>13044</v>
      </c>
      <c r="C8786" s="4" t="s">
        <v>12080</v>
      </c>
      <c r="D8786" s="834">
        <v>572942.43000000005</v>
      </c>
    </row>
    <row r="8787" spans="1:4" x14ac:dyDescent="0.3">
      <c r="A8787" s="4">
        <v>44058</v>
      </c>
      <c r="B8787" s="833" t="s">
        <v>13045</v>
      </c>
      <c r="C8787" s="4" t="s">
        <v>12080</v>
      </c>
      <c r="D8787" s="834">
        <v>541609.63</v>
      </c>
    </row>
    <row r="8788" spans="1:4" x14ac:dyDescent="0.3">
      <c r="A8788" s="4">
        <v>37752</v>
      </c>
      <c r="B8788" s="833" t="s">
        <v>13046</v>
      </c>
      <c r="C8788" s="4" t="s">
        <v>12080</v>
      </c>
      <c r="D8788" s="834">
        <v>563990.17000000004</v>
      </c>
    </row>
    <row r="8789" spans="1:4" x14ac:dyDescent="0.3">
      <c r="A8789" s="4">
        <v>44059</v>
      </c>
      <c r="B8789" s="833" t="s">
        <v>13047</v>
      </c>
      <c r="C8789" s="4" t="s">
        <v>12080</v>
      </c>
      <c r="D8789" s="834">
        <v>445820.81</v>
      </c>
    </row>
    <row r="8790" spans="1:4" x14ac:dyDescent="0.3">
      <c r="A8790" s="4">
        <v>37750</v>
      </c>
      <c r="B8790" s="833" t="s">
        <v>13048</v>
      </c>
      <c r="C8790" s="4" t="s">
        <v>12080</v>
      </c>
      <c r="D8790" s="834">
        <v>446716.03</v>
      </c>
    </row>
    <row r="8791" spans="1:4" x14ac:dyDescent="0.3">
      <c r="A8791" s="4">
        <v>37758</v>
      </c>
      <c r="B8791" s="833" t="s">
        <v>13049</v>
      </c>
      <c r="C8791" s="4" t="s">
        <v>12080</v>
      </c>
      <c r="D8791" s="834">
        <v>710806.66</v>
      </c>
    </row>
    <row r="8792" spans="1:4" x14ac:dyDescent="0.3">
      <c r="A8792" s="4">
        <v>44060</v>
      </c>
      <c r="B8792" s="833" t="s">
        <v>13050</v>
      </c>
      <c r="C8792" s="4" t="s">
        <v>12080</v>
      </c>
      <c r="D8792" s="834">
        <v>687530.9</v>
      </c>
    </row>
    <row r="8793" spans="1:4" x14ac:dyDescent="0.3">
      <c r="A8793" s="4">
        <v>37749</v>
      </c>
      <c r="B8793" s="833" t="s">
        <v>13051</v>
      </c>
      <c r="C8793" s="4" t="s">
        <v>12080</v>
      </c>
      <c r="D8793" s="834">
        <v>734082.47</v>
      </c>
    </row>
    <row r="8794" spans="1:4" x14ac:dyDescent="0.3">
      <c r="A8794" s="4">
        <v>44061</v>
      </c>
      <c r="B8794" s="833" t="s">
        <v>13052</v>
      </c>
      <c r="C8794" s="4" t="s">
        <v>12080</v>
      </c>
      <c r="D8794" s="834">
        <v>674102.58</v>
      </c>
    </row>
    <row r="8795" spans="1:4" x14ac:dyDescent="0.3">
      <c r="A8795" s="4">
        <v>1159</v>
      </c>
      <c r="B8795" s="833" t="s">
        <v>13053</v>
      </c>
      <c r="C8795" s="4" t="s">
        <v>12080</v>
      </c>
      <c r="D8795" s="834">
        <v>265590.67</v>
      </c>
    </row>
    <row r="8796" spans="1:4" x14ac:dyDescent="0.3">
      <c r="A8796" s="4">
        <v>12114</v>
      </c>
      <c r="B8796" s="833" t="s">
        <v>13054</v>
      </c>
      <c r="C8796" s="4" t="s">
        <v>12080</v>
      </c>
      <c r="D8796" s="834">
        <v>168.84</v>
      </c>
    </row>
    <row r="8797" spans="1:4" x14ac:dyDescent="0.3">
      <c r="A8797" s="4">
        <v>38106</v>
      </c>
      <c r="B8797" s="833" t="s">
        <v>13055</v>
      </c>
      <c r="C8797" s="4" t="s">
        <v>12080</v>
      </c>
      <c r="D8797" s="834">
        <v>22.94</v>
      </c>
    </row>
    <row r="8798" spans="1:4" x14ac:dyDescent="0.3">
      <c r="A8798" s="4">
        <v>38085</v>
      </c>
      <c r="B8798" s="833" t="s">
        <v>13056</v>
      </c>
      <c r="C8798" s="4" t="s">
        <v>12080</v>
      </c>
      <c r="D8798" s="834">
        <v>27.1</v>
      </c>
    </row>
    <row r="8799" spans="1:4" x14ac:dyDescent="0.3">
      <c r="A8799" s="4">
        <v>38599</v>
      </c>
      <c r="B8799" s="833" t="s">
        <v>13057</v>
      </c>
      <c r="C8799" s="4" t="s">
        <v>12080</v>
      </c>
      <c r="D8799" s="834">
        <v>6.91</v>
      </c>
    </row>
    <row r="8800" spans="1:4" x14ac:dyDescent="0.3">
      <c r="A8800" s="4">
        <v>38596</v>
      </c>
      <c r="B8800" s="833" t="s">
        <v>13058</v>
      </c>
      <c r="C8800" s="4" t="s">
        <v>12080</v>
      </c>
      <c r="D8800" s="834">
        <v>5.73</v>
      </c>
    </row>
    <row r="8801" spans="1:4" x14ac:dyDescent="0.3">
      <c r="A8801" s="4">
        <v>38600</v>
      </c>
      <c r="B8801" s="833" t="s">
        <v>13059</v>
      </c>
      <c r="C8801" s="4" t="s">
        <v>12080</v>
      </c>
      <c r="D8801" s="834">
        <v>7.32</v>
      </c>
    </row>
    <row r="8802" spans="1:4" x14ac:dyDescent="0.3">
      <c r="A8802" s="4">
        <v>38597</v>
      </c>
      <c r="B8802" s="833" t="s">
        <v>13060</v>
      </c>
      <c r="C8802" s="4" t="s">
        <v>12080</v>
      </c>
      <c r="D8802" s="834">
        <v>5.77</v>
      </c>
    </row>
    <row r="8803" spans="1:4" x14ac:dyDescent="0.3">
      <c r="A8803" s="4">
        <v>659</v>
      </c>
      <c r="B8803" s="833" t="s">
        <v>13061</v>
      </c>
      <c r="C8803" s="4" t="s">
        <v>12080</v>
      </c>
      <c r="D8803" s="834">
        <v>3.32</v>
      </c>
    </row>
    <row r="8804" spans="1:4" x14ac:dyDescent="0.3">
      <c r="A8804" s="4">
        <v>660</v>
      </c>
      <c r="B8804" s="833" t="s">
        <v>13062</v>
      </c>
      <c r="C8804" s="4" t="s">
        <v>12080</v>
      </c>
      <c r="D8804" s="834">
        <v>3.98</v>
      </c>
    </row>
    <row r="8805" spans="1:4" x14ac:dyDescent="0.3">
      <c r="A8805" s="4">
        <v>658</v>
      </c>
      <c r="B8805" s="833" t="s">
        <v>13063</v>
      </c>
      <c r="C8805" s="4" t="s">
        <v>12080</v>
      </c>
      <c r="D8805" s="834">
        <v>2.2400000000000002</v>
      </c>
    </row>
    <row r="8806" spans="1:4" x14ac:dyDescent="0.3">
      <c r="A8806" s="4">
        <v>38548</v>
      </c>
      <c r="B8806" s="833" t="s">
        <v>13064</v>
      </c>
      <c r="C8806" s="4" t="s">
        <v>12080</v>
      </c>
      <c r="D8806" s="834">
        <v>2.02</v>
      </c>
    </row>
    <row r="8807" spans="1:4" x14ac:dyDescent="0.3">
      <c r="A8807" s="4">
        <v>34649</v>
      </c>
      <c r="B8807" s="833" t="s">
        <v>13065</v>
      </c>
      <c r="C8807" s="4" t="s">
        <v>12080</v>
      </c>
      <c r="D8807" s="834">
        <v>2.96</v>
      </c>
    </row>
    <row r="8808" spans="1:4" x14ac:dyDescent="0.3">
      <c r="A8808" s="4">
        <v>34655</v>
      </c>
      <c r="B8808" s="833" t="s">
        <v>13066</v>
      </c>
      <c r="C8808" s="4" t="s">
        <v>12080</v>
      </c>
      <c r="D8808" s="834">
        <v>4.3499999999999996</v>
      </c>
    </row>
    <row r="8809" spans="1:4" x14ac:dyDescent="0.3">
      <c r="A8809" s="4">
        <v>40607</v>
      </c>
      <c r="B8809" s="833" t="s">
        <v>13067</v>
      </c>
      <c r="C8809" s="4" t="s">
        <v>12080</v>
      </c>
      <c r="D8809" s="834">
        <v>5.72</v>
      </c>
    </row>
    <row r="8810" spans="1:4" x14ac:dyDescent="0.3">
      <c r="A8810" s="4">
        <v>567</v>
      </c>
      <c r="B8810" s="833" t="s">
        <v>13068</v>
      </c>
      <c r="C8810" s="4" t="s">
        <v>1803</v>
      </c>
      <c r="D8810" s="834">
        <v>14.06</v>
      </c>
    </row>
    <row r="8811" spans="1:4" x14ac:dyDescent="0.3">
      <c r="A8811" s="4">
        <v>574</v>
      </c>
      <c r="B8811" s="833" t="s">
        <v>13069</v>
      </c>
      <c r="C8811" s="4" t="s">
        <v>1803</v>
      </c>
      <c r="D8811" s="834">
        <v>36.97</v>
      </c>
    </row>
    <row r="8812" spans="1:4" x14ac:dyDescent="0.3">
      <c r="A8812" s="4">
        <v>568</v>
      </c>
      <c r="B8812" s="833" t="s">
        <v>13070</v>
      </c>
      <c r="C8812" s="4" t="s">
        <v>1803</v>
      </c>
      <c r="D8812" s="834">
        <v>77.91</v>
      </c>
    </row>
    <row r="8813" spans="1:4" x14ac:dyDescent="0.3">
      <c r="A8813" s="4">
        <v>4777</v>
      </c>
      <c r="B8813" s="833" t="s">
        <v>13071</v>
      </c>
      <c r="C8813" s="4" t="s">
        <v>12126</v>
      </c>
      <c r="D8813" s="834">
        <v>8.02</v>
      </c>
    </row>
    <row r="8814" spans="1:4" x14ac:dyDescent="0.3">
      <c r="A8814" s="4">
        <v>592</v>
      </c>
      <c r="B8814" s="833" t="s">
        <v>13072</v>
      </c>
      <c r="C8814" s="4" t="s">
        <v>12126</v>
      </c>
      <c r="D8814" s="834">
        <v>37.799999999999997</v>
      </c>
    </row>
    <row r="8815" spans="1:4" x14ac:dyDescent="0.3">
      <c r="A8815" s="4">
        <v>586</v>
      </c>
      <c r="B8815" s="833" t="s">
        <v>13073</v>
      </c>
      <c r="C8815" s="4" t="s">
        <v>1803</v>
      </c>
      <c r="D8815" s="834">
        <v>22.22</v>
      </c>
    </row>
    <row r="8816" spans="1:4" x14ac:dyDescent="0.3">
      <c r="A8816" s="4">
        <v>588</v>
      </c>
      <c r="B8816" s="833" t="s">
        <v>13074</v>
      </c>
      <c r="C8816" s="4" t="s">
        <v>1803</v>
      </c>
      <c r="D8816" s="834">
        <v>35.15</v>
      </c>
    </row>
    <row r="8817" spans="1:4" x14ac:dyDescent="0.3">
      <c r="A8817" s="4">
        <v>591</v>
      </c>
      <c r="B8817" s="833" t="s">
        <v>13075</v>
      </c>
      <c r="C8817" s="4" t="s">
        <v>12126</v>
      </c>
      <c r="D8817" s="834">
        <v>35.270000000000003</v>
      </c>
    </row>
    <row r="8818" spans="1:4" x14ac:dyDescent="0.3">
      <c r="A8818" s="4">
        <v>584</v>
      </c>
      <c r="B8818" s="833" t="s">
        <v>13076</v>
      </c>
      <c r="C8818" s="4" t="s">
        <v>1803</v>
      </c>
      <c r="D8818" s="834">
        <v>37.54</v>
      </c>
    </row>
    <row r="8819" spans="1:4" x14ac:dyDescent="0.3">
      <c r="A8819" s="4">
        <v>589</v>
      </c>
      <c r="B8819" s="833" t="s">
        <v>13077</v>
      </c>
      <c r="C8819" s="4" t="s">
        <v>1803</v>
      </c>
      <c r="D8819" s="834">
        <v>59.42</v>
      </c>
    </row>
    <row r="8820" spans="1:4" x14ac:dyDescent="0.3">
      <c r="A8820" s="4">
        <v>1165</v>
      </c>
      <c r="B8820" s="833" t="s">
        <v>13078</v>
      </c>
      <c r="C8820" s="4" t="s">
        <v>12080</v>
      </c>
      <c r="D8820" s="834">
        <v>21.42</v>
      </c>
    </row>
    <row r="8821" spans="1:4" x14ac:dyDescent="0.3">
      <c r="A8821" s="4">
        <v>1164</v>
      </c>
      <c r="B8821" s="833" t="s">
        <v>13079</v>
      </c>
      <c r="C8821" s="4" t="s">
        <v>12080</v>
      </c>
      <c r="D8821" s="834">
        <v>17.350000000000001</v>
      </c>
    </row>
    <row r="8822" spans="1:4" x14ac:dyDescent="0.3">
      <c r="A8822" s="4">
        <v>1162</v>
      </c>
      <c r="B8822" s="833" t="s">
        <v>13080</v>
      </c>
      <c r="C8822" s="4" t="s">
        <v>12080</v>
      </c>
      <c r="D8822" s="834">
        <v>6.03</v>
      </c>
    </row>
    <row r="8823" spans="1:4" x14ac:dyDescent="0.3">
      <c r="A8823" s="4">
        <v>12395</v>
      </c>
      <c r="B8823" s="833" t="s">
        <v>13081</v>
      </c>
      <c r="C8823" s="4" t="s">
        <v>12080</v>
      </c>
      <c r="D8823" s="834">
        <v>5.86</v>
      </c>
    </row>
    <row r="8824" spans="1:4" x14ac:dyDescent="0.3">
      <c r="A8824" s="4">
        <v>1170</v>
      </c>
      <c r="B8824" s="833" t="s">
        <v>13082</v>
      </c>
      <c r="C8824" s="4" t="s">
        <v>12080</v>
      </c>
      <c r="D8824" s="834">
        <v>11.37</v>
      </c>
    </row>
    <row r="8825" spans="1:4" x14ac:dyDescent="0.3">
      <c r="A8825" s="4">
        <v>1169</v>
      </c>
      <c r="B8825" s="833" t="s">
        <v>13083</v>
      </c>
      <c r="C8825" s="4" t="s">
        <v>12080</v>
      </c>
      <c r="D8825" s="834">
        <v>55.8</v>
      </c>
    </row>
    <row r="8826" spans="1:4" x14ac:dyDescent="0.3">
      <c r="A8826" s="4">
        <v>1166</v>
      </c>
      <c r="B8826" s="833" t="s">
        <v>13084</v>
      </c>
      <c r="C8826" s="4" t="s">
        <v>12080</v>
      </c>
      <c r="D8826" s="834">
        <v>30.94</v>
      </c>
    </row>
    <row r="8827" spans="1:4" x14ac:dyDescent="0.3">
      <c r="A8827" s="4">
        <v>1163</v>
      </c>
      <c r="B8827" s="833" t="s">
        <v>13085</v>
      </c>
      <c r="C8827" s="4" t="s">
        <v>12080</v>
      </c>
      <c r="D8827" s="834">
        <v>7.8</v>
      </c>
    </row>
    <row r="8828" spans="1:4" x14ac:dyDescent="0.3">
      <c r="A8828" s="4">
        <v>12396</v>
      </c>
      <c r="B8828" s="833" t="s">
        <v>13086</v>
      </c>
      <c r="C8828" s="4" t="s">
        <v>12080</v>
      </c>
      <c r="D8828" s="834">
        <v>5.86</v>
      </c>
    </row>
    <row r="8829" spans="1:4" x14ac:dyDescent="0.3">
      <c r="A8829" s="4">
        <v>1168</v>
      </c>
      <c r="B8829" s="833" t="s">
        <v>13087</v>
      </c>
      <c r="C8829" s="4" t="s">
        <v>12080</v>
      </c>
      <c r="D8829" s="834">
        <v>79.55</v>
      </c>
    </row>
    <row r="8830" spans="1:4" x14ac:dyDescent="0.3">
      <c r="A8830" s="4">
        <v>1167</v>
      </c>
      <c r="B8830" s="833" t="s">
        <v>13088</v>
      </c>
      <c r="C8830" s="4" t="s">
        <v>12080</v>
      </c>
      <c r="D8830" s="834">
        <v>133.06</v>
      </c>
    </row>
    <row r="8831" spans="1:4" x14ac:dyDescent="0.3">
      <c r="A8831" s="4">
        <v>36331</v>
      </c>
      <c r="B8831" s="833" t="s">
        <v>13089</v>
      </c>
      <c r="C8831" s="4" t="s">
        <v>12080</v>
      </c>
      <c r="D8831" s="834">
        <v>2.66</v>
      </c>
    </row>
    <row r="8832" spans="1:4" x14ac:dyDescent="0.3">
      <c r="A8832" s="4">
        <v>36346</v>
      </c>
      <c r="B8832" s="833" t="s">
        <v>13090</v>
      </c>
      <c r="C8832" s="4" t="s">
        <v>12080</v>
      </c>
      <c r="D8832" s="834">
        <v>3.99</v>
      </c>
    </row>
    <row r="8833" spans="1:4" x14ac:dyDescent="0.3">
      <c r="A8833" s="4">
        <v>1197</v>
      </c>
      <c r="B8833" s="833" t="s">
        <v>13091</v>
      </c>
      <c r="C8833" s="4" t="s">
        <v>12080</v>
      </c>
      <c r="D8833" s="834">
        <v>1.83</v>
      </c>
    </row>
    <row r="8834" spans="1:4" x14ac:dyDescent="0.3">
      <c r="A8834" s="4">
        <v>1202</v>
      </c>
      <c r="B8834" s="833" t="s">
        <v>13092</v>
      </c>
      <c r="C8834" s="4" t="s">
        <v>12080</v>
      </c>
      <c r="D8834" s="834">
        <v>5.18</v>
      </c>
    </row>
    <row r="8835" spans="1:4" x14ac:dyDescent="0.3">
      <c r="A8835" s="4">
        <v>1198</v>
      </c>
      <c r="B8835" s="833" t="s">
        <v>13093</v>
      </c>
      <c r="C8835" s="4" t="s">
        <v>12080</v>
      </c>
      <c r="D8835" s="834">
        <v>2.39</v>
      </c>
    </row>
    <row r="8836" spans="1:4" x14ac:dyDescent="0.3">
      <c r="A8836" s="4">
        <v>20088</v>
      </c>
      <c r="B8836" s="833" t="s">
        <v>13094</v>
      </c>
      <c r="C8836" s="4" t="s">
        <v>12080</v>
      </c>
      <c r="D8836" s="834">
        <v>13.26</v>
      </c>
    </row>
    <row r="8837" spans="1:4" x14ac:dyDescent="0.3">
      <c r="A8837" s="4">
        <v>20089</v>
      </c>
      <c r="B8837" s="833" t="s">
        <v>13095</v>
      </c>
      <c r="C8837" s="4" t="s">
        <v>12080</v>
      </c>
      <c r="D8837" s="834">
        <v>64.989999999999995</v>
      </c>
    </row>
    <row r="8838" spans="1:4" x14ac:dyDescent="0.3">
      <c r="A8838" s="4">
        <v>20087</v>
      </c>
      <c r="B8838" s="833" t="s">
        <v>13096</v>
      </c>
      <c r="C8838" s="4" t="s">
        <v>12080</v>
      </c>
      <c r="D8838" s="834">
        <v>10.97</v>
      </c>
    </row>
    <row r="8839" spans="1:4" x14ac:dyDescent="0.3">
      <c r="A8839" s="4">
        <v>1200</v>
      </c>
      <c r="B8839" s="833" t="s">
        <v>13097</v>
      </c>
      <c r="C8839" s="4" t="s">
        <v>12080</v>
      </c>
      <c r="D8839" s="834">
        <v>9.9600000000000009</v>
      </c>
    </row>
    <row r="8840" spans="1:4" x14ac:dyDescent="0.3">
      <c r="A8840" s="4">
        <v>12909</v>
      </c>
      <c r="B8840" s="833" t="s">
        <v>13098</v>
      </c>
      <c r="C8840" s="4" t="s">
        <v>12080</v>
      </c>
      <c r="D8840" s="834">
        <v>4.62</v>
      </c>
    </row>
    <row r="8841" spans="1:4" x14ac:dyDescent="0.3">
      <c r="A8841" s="4">
        <v>12910</v>
      </c>
      <c r="B8841" s="833" t="s">
        <v>13099</v>
      </c>
      <c r="C8841" s="4" t="s">
        <v>12080</v>
      </c>
      <c r="D8841" s="834">
        <v>8.3000000000000007</v>
      </c>
    </row>
    <row r="8842" spans="1:4" x14ac:dyDescent="0.3">
      <c r="A8842" s="4">
        <v>1191</v>
      </c>
      <c r="B8842" s="833" t="s">
        <v>13100</v>
      </c>
      <c r="C8842" s="4" t="s">
        <v>12080</v>
      </c>
      <c r="D8842" s="834">
        <v>1.3</v>
      </c>
    </row>
    <row r="8843" spans="1:4" x14ac:dyDescent="0.3">
      <c r="A8843" s="4">
        <v>1185</v>
      </c>
      <c r="B8843" s="833" t="s">
        <v>13101</v>
      </c>
      <c r="C8843" s="4" t="s">
        <v>12080</v>
      </c>
      <c r="D8843" s="834">
        <v>1.3</v>
      </c>
    </row>
    <row r="8844" spans="1:4" x14ac:dyDescent="0.3">
      <c r="A8844" s="4">
        <v>1189</v>
      </c>
      <c r="B8844" s="833" t="s">
        <v>13102</v>
      </c>
      <c r="C8844" s="4" t="s">
        <v>12080</v>
      </c>
      <c r="D8844" s="834">
        <v>2.13</v>
      </c>
    </row>
    <row r="8845" spans="1:4" x14ac:dyDescent="0.3">
      <c r="A8845" s="4">
        <v>1193</v>
      </c>
      <c r="B8845" s="833" t="s">
        <v>13103</v>
      </c>
      <c r="C8845" s="4" t="s">
        <v>12080</v>
      </c>
      <c r="D8845" s="834">
        <v>4.0999999999999996</v>
      </c>
    </row>
    <row r="8846" spans="1:4" x14ac:dyDescent="0.3">
      <c r="A8846" s="4">
        <v>1194</v>
      </c>
      <c r="B8846" s="833" t="s">
        <v>13104</v>
      </c>
      <c r="C8846" s="4" t="s">
        <v>12080</v>
      </c>
      <c r="D8846" s="834">
        <v>7.4</v>
      </c>
    </row>
    <row r="8847" spans="1:4" x14ac:dyDescent="0.3">
      <c r="A8847" s="4">
        <v>1195</v>
      </c>
      <c r="B8847" s="833" t="s">
        <v>13105</v>
      </c>
      <c r="C8847" s="4" t="s">
        <v>12080</v>
      </c>
      <c r="D8847" s="834">
        <v>12.45</v>
      </c>
    </row>
    <row r="8848" spans="1:4" x14ac:dyDescent="0.3">
      <c r="A8848" s="4">
        <v>1204</v>
      </c>
      <c r="B8848" s="833" t="s">
        <v>13106</v>
      </c>
      <c r="C8848" s="4" t="s">
        <v>12080</v>
      </c>
      <c r="D8848" s="834">
        <v>21.78</v>
      </c>
    </row>
    <row r="8849" spans="1:4" x14ac:dyDescent="0.3">
      <c r="A8849" s="4">
        <v>1207</v>
      </c>
      <c r="B8849" s="833" t="s">
        <v>13107</v>
      </c>
      <c r="C8849" s="4" t="s">
        <v>12080</v>
      </c>
      <c r="D8849" s="834">
        <v>32.869999999999997</v>
      </c>
    </row>
    <row r="8850" spans="1:4" x14ac:dyDescent="0.3">
      <c r="A8850" s="4">
        <v>1206</v>
      </c>
      <c r="B8850" s="833" t="s">
        <v>13108</v>
      </c>
      <c r="C8850" s="4" t="s">
        <v>12080</v>
      </c>
      <c r="D8850" s="834">
        <v>8.24</v>
      </c>
    </row>
    <row r="8851" spans="1:4" x14ac:dyDescent="0.3">
      <c r="A8851" s="4">
        <v>1183</v>
      </c>
      <c r="B8851" s="833" t="s">
        <v>13109</v>
      </c>
      <c r="C8851" s="4" t="s">
        <v>12080</v>
      </c>
      <c r="D8851" s="834">
        <v>21.47</v>
      </c>
    </row>
    <row r="8852" spans="1:4" x14ac:dyDescent="0.3">
      <c r="A8852" s="4">
        <v>42685</v>
      </c>
      <c r="B8852" s="833" t="s">
        <v>13110</v>
      </c>
      <c r="C8852" s="4" t="s">
        <v>12080</v>
      </c>
      <c r="D8852" s="834">
        <v>67.349999999999994</v>
      </c>
    </row>
    <row r="8853" spans="1:4" x14ac:dyDescent="0.3">
      <c r="A8853" s="4">
        <v>42686</v>
      </c>
      <c r="B8853" s="833" t="s">
        <v>13111</v>
      </c>
      <c r="C8853" s="4" t="s">
        <v>12080</v>
      </c>
      <c r="D8853" s="834">
        <v>74.180000000000007</v>
      </c>
    </row>
    <row r="8854" spans="1:4" x14ac:dyDescent="0.3">
      <c r="A8854" s="4">
        <v>12894</v>
      </c>
      <c r="B8854" s="833" t="s">
        <v>13112</v>
      </c>
      <c r="C8854" s="4" t="s">
        <v>12080</v>
      </c>
      <c r="D8854" s="834">
        <v>17.920000000000002</v>
      </c>
    </row>
    <row r="8855" spans="1:4" x14ac:dyDescent="0.3">
      <c r="A8855" s="4">
        <v>12895</v>
      </c>
      <c r="B8855" s="833" t="s">
        <v>13113</v>
      </c>
      <c r="C8855" s="4" t="s">
        <v>12080</v>
      </c>
      <c r="D8855" s="834">
        <v>13.79</v>
      </c>
    </row>
    <row r="8856" spans="1:4" x14ac:dyDescent="0.3">
      <c r="A8856" s="4">
        <v>1631</v>
      </c>
      <c r="B8856" s="833" t="s">
        <v>13114</v>
      </c>
      <c r="C8856" s="4" t="s">
        <v>12080</v>
      </c>
      <c r="D8856" s="834">
        <v>173.86</v>
      </c>
    </row>
    <row r="8857" spans="1:4" x14ac:dyDescent="0.3">
      <c r="A8857" s="4">
        <v>1633</v>
      </c>
      <c r="B8857" s="833" t="s">
        <v>13115</v>
      </c>
      <c r="C8857" s="4" t="s">
        <v>12080</v>
      </c>
      <c r="D8857" s="834">
        <v>295.39999999999998</v>
      </c>
    </row>
    <row r="8858" spans="1:4" x14ac:dyDescent="0.3">
      <c r="A8858" s="4">
        <v>10818</v>
      </c>
      <c r="B8858" s="833" t="s">
        <v>13116</v>
      </c>
      <c r="C8858" s="4" t="s">
        <v>12126</v>
      </c>
      <c r="D8858" s="834">
        <v>55.85</v>
      </c>
    </row>
    <row r="8859" spans="1:4" x14ac:dyDescent="0.3">
      <c r="A8859" s="4">
        <v>41410</v>
      </c>
      <c r="B8859" s="833" t="s">
        <v>13117</v>
      </c>
      <c r="C8859" s="4" t="s">
        <v>12080</v>
      </c>
      <c r="D8859" s="834">
        <v>60.27</v>
      </c>
    </row>
    <row r="8860" spans="1:4" x14ac:dyDescent="0.3">
      <c r="A8860" s="4">
        <v>41411</v>
      </c>
      <c r="B8860" s="833" t="s">
        <v>13118</v>
      </c>
      <c r="C8860" s="4" t="s">
        <v>12080</v>
      </c>
      <c r="D8860" s="834">
        <v>54.64</v>
      </c>
    </row>
    <row r="8861" spans="1:4" x14ac:dyDescent="0.3">
      <c r="A8861" s="4">
        <v>41412</v>
      </c>
      <c r="B8861" s="833" t="s">
        <v>13119</v>
      </c>
      <c r="C8861" s="4" t="s">
        <v>12080</v>
      </c>
      <c r="D8861" s="834">
        <v>105.69</v>
      </c>
    </row>
    <row r="8862" spans="1:4" x14ac:dyDescent="0.3">
      <c r="A8862" s="4">
        <v>41413</v>
      </c>
      <c r="B8862" s="833" t="s">
        <v>13120</v>
      </c>
      <c r="C8862" s="4" t="s">
        <v>12080</v>
      </c>
      <c r="D8862" s="834">
        <v>95.1</v>
      </c>
    </row>
    <row r="8863" spans="1:4" x14ac:dyDescent="0.3">
      <c r="A8863" s="4">
        <v>39359</v>
      </c>
      <c r="B8863" s="833" t="s">
        <v>13121</v>
      </c>
      <c r="C8863" s="4" t="s">
        <v>12080</v>
      </c>
      <c r="D8863" s="834">
        <v>38.49</v>
      </c>
    </row>
    <row r="8864" spans="1:4" x14ac:dyDescent="0.3">
      <c r="A8864" s="4">
        <v>39360</v>
      </c>
      <c r="B8864" s="833" t="s">
        <v>13122</v>
      </c>
      <c r="C8864" s="4" t="s">
        <v>12080</v>
      </c>
      <c r="D8864" s="834">
        <v>38.49</v>
      </c>
    </row>
    <row r="8865" spans="1:4" x14ac:dyDescent="0.3">
      <c r="A8865" s="4">
        <v>10710</v>
      </c>
      <c r="B8865" s="833" t="s">
        <v>13123</v>
      </c>
      <c r="C8865" s="4" t="s">
        <v>12481</v>
      </c>
      <c r="D8865" s="834">
        <v>165.02</v>
      </c>
    </row>
    <row r="8866" spans="1:4" x14ac:dyDescent="0.3">
      <c r="A8866" s="4">
        <v>10709</v>
      </c>
      <c r="B8866" s="833" t="s">
        <v>13124</v>
      </c>
      <c r="C8866" s="4" t="s">
        <v>12481</v>
      </c>
      <c r="D8866" s="834">
        <v>202.73</v>
      </c>
    </row>
    <row r="8867" spans="1:4" x14ac:dyDescent="0.3">
      <c r="A8867" s="4">
        <v>39636</v>
      </c>
      <c r="B8867" s="833" t="s">
        <v>13125</v>
      </c>
      <c r="C8867" s="4" t="s">
        <v>12481</v>
      </c>
      <c r="D8867" s="834">
        <v>207.02</v>
      </c>
    </row>
    <row r="8868" spans="1:4" x14ac:dyDescent="0.3">
      <c r="A8868" s="4">
        <v>10708</v>
      </c>
      <c r="B8868" s="833" t="s">
        <v>13126</v>
      </c>
      <c r="C8868" s="4" t="s">
        <v>12481</v>
      </c>
      <c r="D8868" s="834">
        <v>63.88</v>
      </c>
    </row>
    <row r="8869" spans="1:4" x14ac:dyDescent="0.3">
      <c r="A8869" s="4">
        <v>39635</v>
      </c>
      <c r="B8869" s="833" t="s">
        <v>13127</v>
      </c>
      <c r="C8869" s="4" t="s">
        <v>12481</v>
      </c>
      <c r="D8869" s="834">
        <v>108.76</v>
      </c>
    </row>
    <row r="8870" spans="1:4" x14ac:dyDescent="0.3">
      <c r="A8870" s="4">
        <v>6117</v>
      </c>
      <c r="B8870" s="833" t="s">
        <v>13128</v>
      </c>
      <c r="C8870" s="4" t="s">
        <v>12226</v>
      </c>
      <c r="D8870" s="834">
        <v>15.27</v>
      </c>
    </row>
    <row r="8871" spans="1:4" x14ac:dyDescent="0.3">
      <c r="A8871" s="4">
        <v>40913</v>
      </c>
      <c r="B8871" s="833" t="s">
        <v>13129</v>
      </c>
      <c r="C8871" s="4" t="s">
        <v>12228</v>
      </c>
      <c r="D8871" s="834">
        <v>2722.88</v>
      </c>
    </row>
    <row r="8872" spans="1:4" x14ac:dyDescent="0.3">
      <c r="A8872" s="4">
        <v>1214</v>
      </c>
      <c r="B8872" s="833" t="s">
        <v>13130</v>
      </c>
      <c r="C8872" s="4" t="s">
        <v>12226</v>
      </c>
      <c r="D8872" s="834">
        <v>20.55</v>
      </c>
    </row>
    <row r="8873" spans="1:4" x14ac:dyDescent="0.3">
      <c r="A8873" s="4">
        <v>40915</v>
      </c>
      <c r="B8873" s="833" t="s">
        <v>13131</v>
      </c>
      <c r="C8873" s="4" t="s">
        <v>12228</v>
      </c>
      <c r="D8873" s="834">
        <v>3659.97</v>
      </c>
    </row>
    <row r="8874" spans="1:4" x14ac:dyDescent="0.3">
      <c r="A8874" s="4">
        <v>40914</v>
      </c>
      <c r="B8874" s="833" t="s">
        <v>13132</v>
      </c>
      <c r="C8874" s="4" t="s">
        <v>12228</v>
      </c>
      <c r="D8874" s="834">
        <v>3886.77</v>
      </c>
    </row>
    <row r="8875" spans="1:4" x14ac:dyDescent="0.3">
      <c r="A8875" s="4">
        <v>1213</v>
      </c>
      <c r="B8875" s="833" t="s">
        <v>13133</v>
      </c>
      <c r="C8875" s="4" t="s">
        <v>12226</v>
      </c>
      <c r="D8875" s="834">
        <v>21.83</v>
      </c>
    </row>
    <row r="8876" spans="1:4" x14ac:dyDescent="0.3">
      <c r="A8876" s="4">
        <v>5091</v>
      </c>
      <c r="B8876" s="833" t="s">
        <v>13134</v>
      </c>
      <c r="C8876" s="4" t="s">
        <v>12080</v>
      </c>
      <c r="D8876" s="834">
        <v>19.53</v>
      </c>
    </row>
    <row r="8877" spans="1:4" x14ac:dyDescent="0.3">
      <c r="A8877" s="4">
        <v>14615</v>
      </c>
      <c r="B8877" s="833" t="s">
        <v>13135</v>
      </c>
      <c r="C8877" s="4" t="s">
        <v>12080</v>
      </c>
      <c r="D8877" s="834">
        <v>3445.18</v>
      </c>
    </row>
    <row r="8878" spans="1:4" x14ac:dyDescent="0.3">
      <c r="A8878" s="4">
        <v>2711</v>
      </c>
      <c r="B8878" s="833" t="s">
        <v>13136</v>
      </c>
      <c r="C8878" s="4" t="s">
        <v>12080</v>
      </c>
      <c r="D8878" s="834">
        <v>239.9</v>
      </c>
    </row>
    <row r="8879" spans="1:4" x14ac:dyDescent="0.3">
      <c r="A8879" s="4">
        <v>37727</v>
      </c>
      <c r="B8879" s="833" t="s">
        <v>13137</v>
      </c>
      <c r="C8879" s="4" t="s">
        <v>12080</v>
      </c>
      <c r="D8879" s="834">
        <v>19043.29</v>
      </c>
    </row>
    <row r="8880" spans="1:4" x14ac:dyDescent="0.3">
      <c r="A8880" s="4">
        <v>37728</v>
      </c>
      <c r="B8880" s="833" t="s">
        <v>13138</v>
      </c>
      <c r="C8880" s="4" t="s">
        <v>12080</v>
      </c>
      <c r="D8880" s="834">
        <v>25834.95</v>
      </c>
    </row>
    <row r="8881" spans="1:4" x14ac:dyDescent="0.3">
      <c r="A8881" s="4">
        <v>37729</v>
      </c>
      <c r="B8881" s="833" t="s">
        <v>13139</v>
      </c>
      <c r="C8881" s="4" t="s">
        <v>12080</v>
      </c>
      <c r="D8881" s="834">
        <v>27965.67</v>
      </c>
    </row>
    <row r="8882" spans="1:4" x14ac:dyDescent="0.3">
      <c r="A8882" s="4">
        <v>37730</v>
      </c>
      <c r="B8882" s="833" t="s">
        <v>13140</v>
      </c>
      <c r="C8882" s="4" t="s">
        <v>12080</v>
      </c>
      <c r="D8882" s="834">
        <v>30096.38</v>
      </c>
    </row>
    <row r="8883" spans="1:4" x14ac:dyDescent="0.3">
      <c r="A8883" s="4">
        <v>37731</v>
      </c>
      <c r="B8883" s="833" t="s">
        <v>13141</v>
      </c>
      <c r="C8883" s="4" t="s">
        <v>12080</v>
      </c>
      <c r="D8883" s="834">
        <v>32227.1</v>
      </c>
    </row>
    <row r="8884" spans="1:4" x14ac:dyDescent="0.3">
      <c r="A8884" s="4">
        <v>37732</v>
      </c>
      <c r="B8884" s="833" t="s">
        <v>13142</v>
      </c>
      <c r="C8884" s="4" t="s">
        <v>12080</v>
      </c>
      <c r="D8884" s="834">
        <v>36754.879999999997</v>
      </c>
    </row>
    <row r="8885" spans="1:4" x14ac:dyDescent="0.3">
      <c r="A8885" s="4">
        <v>36496</v>
      </c>
      <c r="B8885" s="833" t="s">
        <v>13143</v>
      </c>
      <c r="C8885" s="4" t="s">
        <v>12080</v>
      </c>
      <c r="D8885" s="834">
        <v>8747.25</v>
      </c>
    </row>
    <row r="8886" spans="1:4" x14ac:dyDescent="0.3">
      <c r="A8886" s="4">
        <v>10630</v>
      </c>
      <c r="B8886" s="833" t="s">
        <v>13144</v>
      </c>
      <c r="C8886" s="4" t="s">
        <v>12080</v>
      </c>
      <c r="D8886" s="834">
        <v>885967.01</v>
      </c>
    </row>
    <row r="8887" spans="1:4" x14ac:dyDescent="0.3">
      <c r="A8887" s="4">
        <v>37762</v>
      </c>
      <c r="B8887" s="833" t="s">
        <v>13145</v>
      </c>
      <c r="C8887" s="4" t="s">
        <v>12080</v>
      </c>
      <c r="D8887" s="834">
        <v>759839.92</v>
      </c>
    </row>
    <row r="8888" spans="1:4" x14ac:dyDescent="0.3">
      <c r="A8888" s="4">
        <v>37763</v>
      </c>
      <c r="B8888" s="833" t="s">
        <v>13146</v>
      </c>
      <c r="C8888" s="4" t="s">
        <v>12080</v>
      </c>
      <c r="D8888" s="834">
        <v>769068.62</v>
      </c>
    </row>
    <row r="8889" spans="1:4" x14ac:dyDescent="0.3">
      <c r="A8889" s="4">
        <v>41992</v>
      </c>
      <c r="B8889" s="833" t="s">
        <v>13147</v>
      </c>
      <c r="C8889" s="4" t="s">
        <v>12080</v>
      </c>
      <c r="D8889" s="834">
        <v>874277.32</v>
      </c>
    </row>
    <row r="8890" spans="1:4" x14ac:dyDescent="0.3">
      <c r="A8890" s="4">
        <v>13215</v>
      </c>
      <c r="B8890" s="833" t="s">
        <v>13148</v>
      </c>
      <c r="C8890" s="4" t="s">
        <v>12080</v>
      </c>
      <c r="D8890" s="834">
        <v>1072081.68</v>
      </c>
    </row>
    <row r="8891" spans="1:4" x14ac:dyDescent="0.3">
      <c r="A8891" s="4">
        <v>4235</v>
      </c>
      <c r="B8891" s="833" t="s">
        <v>13149</v>
      </c>
      <c r="C8891" s="4" t="s">
        <v>12226</v>
      </c>
      <c r="D8891" s="834">
        <v>17.71</v>
      </c>
    </row>
    <row r="8892" spans="1:4" x14ac:dyDescent="0.3">
      <c r="A8892" s="4">
        <v>40976</v>
      </c>
      <c r="B8892" s="833" t="s">
        <v>13150</v>
      </c>
      <c r="C8892" s="4" t="s">
        <v>12228</v>
      </c>
      <c r="D8892" s="834">
        <v>3157.21</v>
      </c>
    </row>
    <row r="8893" spans="1:4" x14ac:dyDescent="0.3">
      <c r="A8893" s="4">
        <v>43091</v>
      </c>
      <c r="B8893" s="833" t="s">
        <v>13151</v>
      </c>
      <c r="C8893" s="4" t="s">
        <v>12080</v>
      </c>
      <c r="D8893" s="834">
        <v>12314.71</v>
      </c>
    </row>
    <row r="8894" spans="1:4" x14ac:dyDescent="0.3">
      <c r="A8894" s="4">
        <v>43092</v>
      </c>
      <c r="B8894" s="833" t="s">
        <v>13152</v>
      </c>
      <c r="C8894" s="4" t="s">
        <v>12080</v>
      </c>
      <c r="D8894" s="834">
        <v>16419.61</v>
      </c>
    </row>
    <row r="8895" spans="1:4" x14ac:dyDescent="0.3">
      <c r="A8895" s="4">
        <v>43089</v>
      </c>
      <c r="B8895" s="833" t="s">
        <v>13153</v>
      </c>
      <c r="C8895" s="4" t="s">
        <v>12080</v>
      </c>
      <c r="D8895" s="834">
        <v>2861.59</v>
      </c>
    </row>
    <row r="8896" spans="1:4" x14ac:dyDescent="0.3">
      <c r="A8896" s="4">
        <v>43090</v>
      </c>
      <c r="B8896" s="833" t="s">
        <v>13154</v>
      </c>
      <c r="C8896" s="4" t="s">
        <v>12080</v>
      </c>
      <c r="D8896" s="834">
        <v>6315.23</v>
      </c>
    </row>
    <row r="8897" spans="1:4" x14ac:dyDescent="0.3">
      <c r="A8897" s="4">
        <v>41967</v>
      </c>
      <c r="B8897" s="833" t="s">
        <v>13155</v>
      </c>
      <c r="C8897" s="4" t="s">
        <v>12128</v>
      </c>
      <c r="D8897" s="834">
        <v>20.66</v>
      </c>
    </row>
    <row r="8898" spans="1:4" x14ac:dyDescent="0.3">
      <c r="A8898" s="4">
        <v>12760</v>
      </c>
      <c r="B8898" s="833" t="s">
        <v>13156</v>
      </c>
      <c r="C8898" s="4" t="s">
        <v>12481</v>
      </c>
      <c r="D8898" s="834">
        <v>1481.6</v>
      </c>
    </row>
    <row r="8899" spans="1:4" x14ac:dyDescent="0.3">
      <c r="A8899" s="4">
        <v>12759</v>
      </c>
      <c r="B8899" s="833" t="s">
        <v>13157</v>
      </c>
      <c r="C8899" s="4" t="s">
        <v>12481</v>
      </c>
      <c r="D8899" s="834">
        <v>987.72</v>
      </c>
    </row>
    <row r="8900" spans="1:4" x14ac:dyDescent="0.3">
      <c r="A8900" s="4">
        <v>43105</v>
      </c>
      <c r="B8900" s="833" t="s">
        <v>13158</v>
      </c>
      <c r="C8900" s="4" t="s">
        <v>12126</v>
      </c>
      <c r="D8900" s="834">
        <v>31.75</v>
      </c>
    </row>
    <row r="8901" spans="1:4" x14ac:dyDescent="0.3">
      <c r="A8901" s="4">
        <v>40424</v>
      </c>
      <c r="B8901" s="833" t="s">
        <v>13159</v>
      </c>
      <c r="C8901" s="4" t="s">
        <v>12126</v>
      </c>
      <c r="D8901" s="834">
        <v>8.06</v>
      </c>
    </row>
    <row r="8902" spans="1:4" x14ac:dyDescent="0.3">
      <c r="A8902" s="4">
        <v>1325</v>
      </c>
      <c r="B8902" s="833" t="s">
        <v>13160</v>
      </c>
      <c r="C8902" s="4" t="s">
        <v>12126</v>
      </c>
      <c r="D8902" s="834">
        <v>8.83</v>
      </c>
    </row>
    <row r="8903" spans="1:4" x14ac:dyDescent="0.3">
      <c r="A8903" s="4">
        <v>1327</v>
      </c>
      <c r="B8903" s="833" t="s">
        <v>13161</v>
      </c>
      <c r="C8903" s="4" t="s">
        <v>12126</v>
      </c>
      <c r="D8903" s="834">
        <v>9.41</v>
      </c>
    </row>
    <row r="8904" spans="1:4" x14ac:dyDescent="0.3">
      <c r="A8904" s="4">
        <v>1328</v>
      </c>
      <c r="B8904" s="833" t="s">
        <v>13162</v>
      </c>
      <c r="C8904" s="4" t="s">
        <v>12126</v>
      </c>
      <c r="D8904" s="834">
        <v>8.85</v>
      </c>
    </row>
    <row r="8905" spans="1:4" x14ac:dyDescent="0.3">
      <c r="A8905" s="4">
        <v>1321</v>
      </c>
      <c r="B8905" s="833" t="s">
        <v>13163</v>
      </c>
      <c r="C8905" s="4" t="s">
        <v>12126</v>
      </c>
      <c r="D8905" s="834">
        <v>8.1999999999999993</v>
      </c>
    </row>
    <row r="8906" spans="1:4" x14ac:dyDescent="0.3">
      <c r="A8906" s="4">
        <v>1318</v>
      </c>
      <c r="B8906" s="833" t="s">
        <v>13164</v>
      </c>
      <c r="C8906" s="4" t="s">
        <v>12126</v>
      </c>
      <c r="D8906" s="834">
        <v>8.2100000000000009</v>
      </c>
    </row>
    <row r="8907" spans="1:4" x14ac:dyDescent="0.3">
      <c r="A8907" s="4">
        <v>1322</v>
      </c>
      <c r="B8907" s="833" t="s">
        <v>13165</v>
      </c>
      <c r="C8907" s="4" t="s">
        <v>12126</v>
      </c>
      <c r="D8907" s="834">
        <v>8.67</v>
      </c>
    </row>
    <row r="8908" spans="1:4" x14ac:dyDescent="0.3">
      <c r="A8908" s="4">
        <v>1323</v>
      </c>
      <c r="B8908" s="833" t="s">
        <v>13166</v>
      </c>
      <c r="C8908" s="4" t="s">
        <v>12126</v>
      </c>
      <c r="D8908" s="834">
        <v>8.67</v>
      </c>
    </row>
    <row r="8909" spans="1:4" x14ac:dyDescent="0.3">
      <c r="A8909" s="4">
        <v>1319</v>
      </c>
      <c r="B8909" s="833" t="s">
        <v>13167</v>
      </c>
      <c r="C8909" s="4" t="s">
        <v>12126</v>
      </c>
      <c r="D8909" s="834">
        <v>7.3</v>
      </c>
    </row>
    <row r="8910" spans="1:4" x14ac:dyDescent="0.3">
      <c r="A8910" s="4">
        <v>11026</v>
      </c>
      <c r="B8910" s="833" t="s">
        <v>13168</v>
      </c>
      <c r="C8910" s="4" t="s">
        <v>12126</v>
      </c>
      <c r="D8910" s="834">
        <v>10.050000000000001</v>
      </c>
    </row>
    <row r="8911" spans="1:4" x14ac:dyDescent="0.3">
      <c r="A8911" s="4">
        <v>11027</v>
      </c>
      <c r="B8911" s="833" t="s">
        <v>13169</v>
      </c>
      <c r="C8911" s="4" t="s">
        <v>12126</v>
      </c>
      <c r="D8911" s="834">
        <v>10.46</v>
      </c>
    </row>
    <row r="8912" spans="1:4" x14ac:dyDescent="0.3">
      <c r="A8912" s="4">
        <v>11046</v>
      </c>
      <c r="B8912" s="833" t="s">
        <v>13170</v>
      </c>
      <c r="C8912" s="4" t="s">
        <v>12126</v>
      </c>
      <c r="D8912" s="834">
        <v>10.02</v>
      </c>
    </row>
    <row r="8913" spans="1:4" x14ac:dyDescent="0.3">
      <c r="A8913" s="4">
        <v>11047</v>
      </c>
      <c r="B8913" s="833" t="s">
        <v>13171</v>
      </c>
      <c r="C8913" s="4" t="s">
        <v>12126</v>
      </c>
      <c r="D8913" s="834">
        <v>10.92</v>
      </c>
    </row>
    <row r="8914" spans="1:4" x14ac:dyDescent="0.3">
      <c r="A8914" s="4">
        <v>43668</v>
      </c>
      <c r="B8914" s="833" t="s">
        <v>13172</v>
      </c>
      <c r="C8914" s="4" t="s">
        <v>12126</v>
      </c>
      <c r="D8914" s="834">
        <v>9.64</v>
      </c>
    </row>
    <row r="8915" spans="1:4" x14ac:dyDescent="0.3">
      <c r="A8915" s="4">
        <v>11049</v>
      </c>
      <c r="B8915" s="833" t="s">
        <v>13173</v>
      </c>
      <c r="C8915" s="4" t="s">
        <v>12126</v>
      </c>
      <c r="D8915" s="834">
        <v>10.44</v>
      </c>
    </row>
    <row r="8916" spans="1:4" x14ac:dyDescent="0.3">
      <c r="A8916" s="4">
        <v>43106</v>
      </c>
      <c r="B8916" s="833" t="s">
        <v>13174</v>
      </c>
      <c r="C8916" s="4" t="s">
        <v>12126</v>
      </c>
      <c r="D8916" s="834">
        <v>10.5</v>
      </c>
    </row>
    <row r="8917" spans="1:4" x14ac:dyDescent="0.3">
      <c r="A8917" s="4">
        <v>11051</v>
      </c>
      <c r="B8917" s="833" t="s">
        <v>13175</v>
      </c>
      <c r="C8917" s="4" t="s">
        <v>12126</v>
      </c>
      <c r="D8917" s="834">
        <v>10.96</v>
      </c>
    </row>
    <row r="8918" spans="1:4" x14ac:dyDescent="0.3">
      <c r="A8918" s="4">
        <v>11061</v>
      </c>
      <c r="B8918" s="833" t="s">
        <v>13176</v>
      </c>
      <c r="C8918" s="4" t="s">
        <v>12126</v>
      </c>
      <c r="D8918" s="834">
        <v>13.15</v>
      </c>
    </row>
    <row r="8919" spans="1:4" x14ac:dyDescent="0.3">
      <c r="A8919" s="4">
        <v>1333</v>
      </c>
      <c r="B8919" s="833" t="s">
        <v>13177</v>
      </c>
      <c r="C8919" s="4" t="s">
        <v>12126</v>
      </c>
      <c r="D8919" s="834">
        <v>7.96</v>
      </c>
    </row>
    <row r="8920" spans="1:4" x14ac:dyDescent="0.3">
      <c r="A8920" s="4">
        <v>1330</v>
      </c>
      <c r="B8920" s="833" t="s">
        <v>13178</v>
      </c>
      <c r="C8920" s="4" t="s">
        <v>12126</v>
      </c>
      <c r="D8920" s="834">
        <v>7.88</v>
      </c>
    </row>
    <row r="8921" spans="1:4" x14ac:dyDescent="0.3">
      <c r="A8921" s="4">
        <v>43667</v>
      </c>
      <c r="B8921" s="833" t="s">
        <v>13179</v>
      </c>
      <c r="C8921" s="4" t="s">
        <v>12126</v>
      </c>
      <c r="D8921" s="834">
        <v>9.56</v>
      </c>
    </row>
    <row r="8922" spans="1:4" x14ac:dyDescent="0.3">
      <c r="A8922" s="4">
        <v>10957</v>
      </c>
      <c r="B8922" s="833" t="s">
        <v>13180</v>
      </c>
      <c r="C8922" s="4" t="s">
        <v>12126</v>
      </c>
      <c r="D8922" s="834">
        <v>9.09</v>
      </c>
    </row>
    <row r="8923" spans="1:4" x14ac:dyDescent="0.3">
      <c r="A8923" s="4">
        <v>1332</v>
      </c>
      <c r="B8923" s="833" t="s">
        <v>13181</v>
      </c>
      <c r="C8923" s="4" t="s">
        <v>12126</v>
      </c>
      <c r="D8923" s="834">
        <v>8.09</v>
      </c>
    </row>
    <row r="8924" spans="1:4" x14ac:dyDescent="0.3">
      <c r="A8924" s="4">
        <v>1334</v>
      </c>
      <c r="B8924" s="833" t="s">
        <v>13182</v>
      </c>
      <c r="C8924" s="4" t="s">
        <v>12126</v>
      </c>
      <c r="D8924" s="834">
        <v>8.9700000000000006</v>
      </c>
    </row>
    <row r="8925" spans="1:4" x14ac:dyDescent="0.3">
      <c r="A8925" s="4">
        <v>1335</v>
      </c>
      <c r="B8925" s="833" t="s">
        <v>13183</v>
      </c>
      <c r="C8925" s="4" t="s">
        <v>12126</v>
      </c>
      <c r="D8925" s="834">
        <v>9.26</v>
      </c>
    </row>
    <row r="8926" spans="1:4" x14ac:dyDescent="0.3">
      <c r="A8926" s="4">
        <v>40425</v>
      </c>
      <c r="B8926" s="833" t="s">
        <v>13184</v>
      </c>
      <c r="C8926" s="4" t="s">
        <v>12126</v>
      </c>
      <c r="D8926" s="834">
        <v>7.93</v>
      </c>
    </row>
    <row r="8927" spans="1:4" x14ac:dyDescent="0.3">
      <c r="A8927" s="4">
        <v>1337</v>
      </c>
      <c r="B8927" s="833" t="s">
        <v>13185</v>
      </c>
      <c r="C8927" s="4" t="s">
        <v>12126</v>
      </c>
      <c r="D8927" s="834">
        <v>9.09</v>
      </c>
    </row>
    <row r="8928" spans="1:4" x14ac:dyDescent="0.3">
      <c r="A8928" s="4">
        <v>1338</v>
      </c>
      <c r="B8928" s="833" t="s">
        <v>13186</v>
      </c>
      <c r="C8928" s="4" t="s">
        <v>12481</v>
      </c>
      <c r="D8928" s="834">
        <v>37.409999999999997</v>
      </c>
    </row>
    <row r="8929" spans="1:4" x14ac:dyDescent="0.3">
      <c r="A8929" s="4">
        <v>1340</v>
      </c>
      <c r="B8929" s="833" t="s">
        <v>13187</v>
      </c>
      <c r="C8929" s="4" t="s">
        <v>12481</v>
      </c>
      <c r="D8929" s="834">
        <v>43.25</v>
      </c>
    </row>
    <row r="8930" spans="1:4" x14ac:dyDescent="0.3">
      <c r="A8930" s="4">
        <v>1341</v>
      </c>
      <c r="B8930" s="833" t="s">
        <v>13188</v>
      </c>
      <c r="C8930" s="4" t="s">
        <v>12481</v>
      </c>
      <c r="D8930" s="834">
        <v>41.65</v>
      </c>
    </row>
    <row r="8931" spans="1:4" x14ac:dyDescent="0.3">
      <c r="A8931" s="4">
        <v>34659</v>
      </c>
      <c r="B8931" s="833" t="s">
        <v>13189</v>
      </c>
      <c r="C8931" s="4" t="s">
        <v>12481</v>
      </c>
      <c r="D8931" s="834">
        <v>43.9</v>
      </c>
    </row>
    <row r="8932" spans="1:4" x14ac:dyDescent="0.3">
      <c r="A8932" s="4">
        <v>34514</v>
      </c>
      <c r="B8932" s="833" t="s">
        <v>13190</v>
      </c>
      <c r="C8932" s="4" t="s">
        <v>12481</v>
      </c>
      <c r="D8932" s="834">
        <v>48.63</v>
      </c>
    </row>
    <row r="8933" spans="1:4" x14ac:dyDescent="0.3">
      <c r="A8933" s="4">
        <v>34660</v>
      </c>
      <c r="B8933" s="833" t="s">
        <v>13191</v>
      </c>
      <c r="C8933" s="4" t="s">
        <v>12481</v>
      </c>
      <c r="D8933" s="834">
        <v>61.71</v>
      </c>
    </row>
    <row r="8934" spans="1:4" x14ac:dyDescent="0.3">
      <c r="A8934" s="4">
        <v>34661</v>
      </c>
      <c r="B8934" s="833" t="s">
        <v>13192</v>
      </c>
      <c r="C8934" s="4" t="s">
        <v>12481</v>
      </c>
      <c r="D8934" s="834">
        <v>88.64</v>
      </c>
    </row>
    <row r="8935" spans="1:4" x14ac:dyDescent="0.3">
      <c r="A8935" s="4">
        <v>34667</v>
      </c>
      <c r="B8935" s="833" t="s">
        <v>13193</v>
      </c>
      <c r="C8935" s="4" t="s">
        <v>12481</v>
      </c>
      <c r="D8935" s="834">
        <v>32.1</v>
      </c>
    </row>
    <row r="8936" spans="1:4" x14ac:dyDescent="0.3">
      <c r="A8936" s="4">
        <v>34668</v>
      </c>
      <c r="B8936" s="833" t="s">
        <v>13194</v>
      </c>
      <c r="C8936" s="4" t="s">
        <v>12481</v>
      </c>
      <c r="D8936" s="834">
        <v>41.95</v>
      </c>
    </row>
    <row r="8937" spans="1:4" x14ac:dyDescent="0.3">
      <c r="A8937" s="4">
        <v>34741</v>
      </c>
      <c r="B8937" s="833" t="s">
        <v>13195</v>
      </c>
      <c r="C8937" s="4" t="s">
        <v>12481</v>
      </c>
      <c r="D8937" s="834">
        <v>46.15</v>
      </c>
    </row>
    <row r="8938" spans="1:4" x14ac:dyDescent="0.3">
      <c r="A8938" s="4">
        <v>34664</v>
      </c>
      <c r="B8938" s="833" t="s">
        <v>13196</v>
      </c>
      <c r="C8938" s="4" t="s">
        <v>12481</v>
      </c>
      <c r="D8938" s="834">
        <v>50.36</v>
      </c>
    </row>
    <row r="8939" spans="1:4" x14ac:dyDescent="0.3">
      <c r="A8939" s="4">
        <v>34665</v>
      </c>
      <c r="B8939" s="833" t="s">
        <v>13197</v>
      </c>
      <c r="C8939" s="4" t="s">
        <v>12481</v>
      </c>
      <c r="D8939" s="834">
        <v>62.52</v>
      </c>
    </row>
    <row r="8940" spans="1:4" x14ac:dyDescent="0.3">
      <c r="A8940" s="4">
        <v>34666</v>
      </c>
      <c r="B8940" s="833" t="s">
        <v>13198</v>
      </c>
      <c r="C8940" s="4" t="s">
        <v>12481</v>
      </c>
      <c r="D8940" s="834">
        <v>94.44</v>
      </c>
    </row>
    <row r="8941" spans="1:4" x14ac:dyDescent="0.3">
      <c r="A8941" s="4">
        <v>34669</v>
      </c>
      <c r="B8941" s="833" t="s">
        <v>13199</v>
      </c>
      <c r="C8941" s="4" t="s">
        <v>12481</v>
      </c>
      <c r="D8941" s="834">
        <v>34.619999999999997</v>
      </c>
    </row>
    <row r="8942" spans="1:4" x14ac:dyDescent="0.3">
      <c r="A8942" s="4">
        <v>34670</v>
      </c>
      <c r="B8942" s="833" t="s">
        <v>13200</v>
      </c>
      <c r="C8942" s="4" t="s">
        <v>12481</v>
      </c>
      <c r="D8942" s="834">
        <v>42.35</v>
      </c>
    </row>
    <row r="8943" spans="1:4" x14ac:dyDescent="0.3">
      <c r="A8943" s="4">
        <v>34671</v>
      </c>
      <c r="B8943" s="833" t="s">
        <v>13201</v>
      </c>
      <c r="C8943" s="4" t="s">
        <v>12481</v>
      </c>
      <c r="D8943" s="834">
        <v>35.35</v>
      </c>
    </row>
    <row r="8944" spans="1:4" x14ac:dyDescent="0.3">
      <c r="A8944" s="4">
        <v>34672</v>
      </c>
      <c r="B8944" s="833" t="s">
        <v>13202</v>
      </c>
      <c r="C8944" s="4" t="s">
        <v>12481</v>
      </c>
      <c r="D8944" s="834">
        <v>37.28</v>
      </c>
    </row>
    <row r="8945" spans="1:4" x14ac:dyDescent="0.3">
      <c r="A8945" s="4">
        <v>34673</v>
      </c>
      <c r="B8945" s="833" t="s">
        <v>13203</v>
      </c>
      <c r="C8945" s="4" t="s">
        <v>12481</v>
      </c>
      <c r="D8945" s="834">
        <v>45.49</v>
      </c>
    </row>
    <row r="8946" spans="1:4" x14ac:dyDescent="0.3">
      <c r="A8946" s="4">
        <v>34674</v>
      </c>
      <c r="B8946" s="833" t="s">
        <v>13204</v>
      </c>
      <c r="C8946" s="4" t="s">
        <v>12481</v>
      </c>
      <c r="D8946" s="834">
        <v>60.47</v>
      </c>
    </row>
    <row r="8947" spans="1:4" x14ac:dyDescent="0.3">
      <c r="A8947" s="4">
        <v>34675</v>
      </c>
      <c r="B8947" s="833" t="s">
        <v>13205</v>
      </c>
      <c r="C8947" s="4" t="s">
        <v>12481</v>
      </c>
      <c r="D8947" s="834">
        <v>73.73</v>
      </c>
    </row>
    <row r="8948" spans="1:4" x14ac:dyDescent="0.3">
      <c r="A8948" s="4">
        <v>34676</v>
      </c>
      <c r="B8948" s="833" t="s">
        <v>13206</v>
      </c>
      <c r="C8948" s="4" t="s">
        <v>12481</v>
      </c>
      <c r="D8948" s="834">
        <v>21.22</v>
      </c>
    </row>
    <row r="8949" spans="1:4" x14ac:dyDescent="0.3">
      <c r="A8949" s="4">
        <v>34677</v>
      </c>
      <c r="B8949" s="833" t="s">
        <v>13207</v>
      </c>
      <c r="C8949" s="4" t="s">
        <v>12481</v>
      </c>
      <c r="D8949" s="834">
        <v>28.54</v>
      </c>
    </row>
    <row r="8950" spans="1:4" x14ac:dyDescent="0.3">
      <c r="A8950" s="4">
        <v>43126</v>
      </c>
      <c r="B8950" s="833" t="s">
        <v>13208</v>
      </c>
      <c r="C8950" s="4" t="s">
        <v>12481</v>
      </c>
      <c r="D8950" s="834">
        <v>105.89</v>
      </c>
    </row>
    <row r="8951" spans="1:4" x14ac:dyDescent="0.3">
      <c r="A8951" s="4">
        <v>43124</v>
      </c>
      <c r="B8951" s="833" t="s">
        <v>13209</v>
      </c>
      <c r="C8951" s="4" t="s">
        <v>12481</v>
      </c>
      <c r="D8951" s="834">
        <v>123.65</v>
      </c>
    </row>
    <row r="8952" spans="1:4" x14ac:dyDescent="0.3">
      <c r="A8952" s="4">
        <v>43125</v>
      </c>
      <c r="B8952" s="833" t="s">
        <v>13210</v>
      </c>
      <c r="C8952" s="4" t="s">
        <v>12481</v>
      </c>
      <c r="D8952" s="834">
        <v>160.36000000000001</v>
      </c>
    </row>
    <row r="8953" spans="1:4" x14ac:dyDescent="0.3">
      <c r="A8953" s="4">
        <v>40623</v>
      </c>
      <c r="B8953" s="833" t="s">
        <v>13211</v>
      </c>
      <c r="C8953" s="4" t="s">
        <v>12495</v>
      </c>
      <c r="D8953" s="834">
        <v>88.55</v>
      </c>
    </row>
    <row r="8954" spans="1:4" x14ac:dyDescent="0.3">
      <c r="A8954" s="4">
        <v>43701</v>
      </c>
      <c r="B8954" s="833" t="s">
        <v>13212</v>
      </c>
      <c r="C8954" s="4" t="s">
        <v>12126</v>
      </c>
      <c r="D8954" s="834">
        <v>41.5</v>
      </c>
    </row>
    <row r="8955" spans="1:4" x14ac:dyDescent="0.3">
      <c r="A8955" s="4">
        <v>1345</v>
      </c>
      <c r="B8955" s="833" t="s">
        <v>13213</v>
      </c>
      <c r="C8955" s="4" t="s">
        <v>12481</v>
      </c>
      <c r="D8955" s="834">
        <v>61.09</v>
      </c>
    </row>
    <row r="8956" spans="1:4" x14ac:dyDescent="0.3">
      <c r="A8956" s="4">
        <v>1346</v>
      </c>
      <c r="B8956" s="833" t="s">
        <v>13214</v>
      </c>
      <c r="C8956" s="4" t="s">
        <v>12481</v>
      </c>
      <c r="D8956" s="834">
        <v>35.53</v>
      </c>
    </row>
    <row r="8957" spans="1:4" x14ac:dyDescent="0.3">
      <c r="A8957" s="4">
        <v>1347</v>
      </c>
      <c r="B8957" s="833" t="s">
        <v>13215</v>
      </c>
      <c r="C8957" s="4" t="s">
        <v>12481</v>
      </c>
      <c r="D8957" s="834">
        <v>44.03</v>
      </c>
    </row>
    <row r="8958" spans="1:4" x14ac:dyDescent="0.3">
      <c r="A8958" s="4">
        <v>43678</v>
      </c>
      <c r="B8958" s="833" t="s">
        <v>13216</v>
      </c>
      <c r="C8958" s="4" t="s">
        <v>12481</v>
      </c>
      <c r="D8958" s="834">
        <v>51.08</v>
      </c>
    </row>
    <row r="8959" spans="1:4" x14ac:dyDescent="0.3">
      <c r="A8959" s="4">
        <v>43680</v>
      </c>
      <c r="B8959" s="833" t="s">
        <v>13217</v>
      </c>
      <c r="C8959" s="4" t="s">
        <v>12481</v>
      </c>
      <c r="D8959" s="834">
        <v>73.58</v>
      </c>
    </row>
    <row r="8960" spans="1:4" x14ac:dyDescent="0.3">
      <c r="A8960" s="4">
        <v>43679</v>
      </c>
      <c r="B8960" s="833" t="s">
        <v>13218</v>
      </c>
      <c r="C8960" s="4" t="s">
        <v>12481</v>
      </c>
      <c r="D8960" s="834">
        <v>25.82</v>
      </c>
    </row>
    <row r="8961" spans="1:4" x14ac:dyDescent="0.3">
      <c r="A8961" s="4">
        <v>1355</v>
      </c>
      <c r="B8961" s="833" t="s">
        <v>13219</v>
      </c>
      <c r="C8961" s="4" t="s">
        <v>12481</v>
      </c>
      <c r="D8961" s="834">
        <v>29.38</v>
      </c>
    </row>
    <row r="8962" spans="1:4" x14ac:dyDescent="0.3">
      <c r="A8962" s="4">
        <v>1358</v>
      </c>
      <c r="B8962" s="833" t="s">
        <v>13220</v>
      </c>
      <c r="C8962" s="4" t="s">
        <v>12481</v>
      </c>
      <c r="D8962" s="834">
        <v>36.07</v>
      </c>
    </row>
    <row r="8963" spans="1:4" x14ac:dyDescent="0.3">
      <c r="A8963" s="4">
        <v>43677</v>
      </c>
      <c r="B8963" s="833" t="s">
        <v>13221</v>
      </c>
      <c r="C8963" s="4" t="s">
        <v>12481</v>
      </c>
      <c r="D8963" s="834">
        <v>44.76</v>
      </c>
    </row>
    <row r="8964" spans="1:4" x14ac:dyDescent="0.3">
      <c r="A8964" s="4">
        <v>43682</v>
      </c>
      <c r="B8964" s="833" t="s">
        <v>13222</v>
      </c>
      <c r="C8964" s="4" t="s">
        <v>12481</v>
      </c>
      <c r="D8964" s="834">
        <v>13.72</v>
      </c>
    </row>
    <row r="8965" spans="1:4" x14ac:dyDescent="0.3">
      <c r="A8965" s="4">
        <v>43681</v>
      </c>
      <c r="B8965" s="833" t="s">
        <v>13223</v>
      </c>
      <c r="C8965" s="4" t="s">
        <v>12481</v>
      </c>
      <c r="D8965" s="834">
        <v>22.73</v>
      </c>
    </row>
    <row r="8966" spans="1:4" x14ac:dyDescent="0.3">
      <c r="A8966" s="4">
        <v>20971</v>
      </c>
      <c r="B8966" s="833" t="s">
        <v>13224</v>
      </c>
      <c r="C8966" s="4" t="s">
        <v>12080</v>
      </c>
      <c r="D8966" s="834">
        <v>20.68</v>
      </c>
    </row>
    <row r="8967" spans="1:4" x14ac:dyDescent="0.3">
      <c r="A8967" s="4">
        <v>39746</v>
      </c>
      <c r="B8967" s="833" t="s">
        <v>13225</v>
      </c>
      <c r="C8967" s="4" t="s">
        <v>12080</v>
      </c>
      <c r="D8967" s="834">
        <v>88.77</v>
      </c>
    </row>
    <row r="8968" spans="1:4" x14ac:dyDescent="0.3">
      <c r="A8968" s="4">
        <v>13279</v>
      </c>
      <c r="B8968" s="833" t="s">
        <v>13226</v>
      </c>
      <c r="C8968" s="4" t="s">
        <v>12126</v>
      </c>
      <c r="D8968" s="834">
        <v>22.47</v>
      </c>
    </row>
    <row r="8969" spans="1:4" x14ac:dyDescent="0.3">
      <c r="A8969" s="4">
        <v>11977</v>
      </c>
      <c r="B8969" s="833" t="s">
        <v>13227</v>
      </c>
      <c r="C8969" s="4" t="s">
        <v>12080</v>
      </c>
      <c r="D8969" s="834">
        <v>11.64</v>
      </c>
    </row>
    <row r="8970" spans="1:4" x14ac:dyDescent="0.3">
      <c r="A8970" s="4">
        <v>11976</v>
      </c>
      <c r="B8970" s="833" t="s">
        <v>13228</v>
      </c>
      <c r="C8970" s="4" t="s">
        <v>12080</v>
      </c>
      <c r="D8970" s="834">
        <v>1.3</v>
      </c>
    </row>
    <row r="8971" spans="1:4" x14ac:dyDescent="0.3">
      <c r="A8971" s="4">
        <v>11975</v>
      </c>
      <c r="B8971" s="833" t="s">
        <v>13229</v>
      </c>
      <c r="C8971" s="4" t="s">
        <v>12080</v>
      </c>
      <c r="D8971" s="834">
        <v>25.52</v>
      </c>
    </row>
    <row r="8972" spans="1:4" x14ac:dyDescent="0.3">
      <c r="A8972" s="4">
        <v>1368</v>
      </c>
      <c r="B8972" s="833" t="s">
        <v>13230</v>
      </c>
      <c r="C8972" s="4" t="s">
        <v>12080</v>
      </c>
      <c r="D8972" s="834">
        <v>74.56</v>
      </c>
    </row>
    <row r="8973" spans="1:4" x14ac:dyDescent="0.3">
      <c r="A8973" s="4">
        <v>1367</v>
      </c>
      <c r="B8973" s="833" t="s">
        <v>13231</v>
      </c>
      <c r="C8973" s="4" t="s">
        <v>12080</v>
      </c>
      <c r="D8973" s="834">
        <v>241.18</v>
      </c>
    </row>
    <row r="8974" spans="1:4" x14ac:dyDescent="0.3">
      <c r="A8974" s="4">
        <v>1380</v>
      </c>
      <c r="B8974" s="833" t="s">
        <v>13232</v>
      </c>
      <c r="C8974" s="4" t="s">
        <v>12126</v>
      </c>
      <c r="D8974" s="834">
        <v>4.28</v>
      </c>
    </row>
    <row r="8975" spans="1:4" x14ac:dyDescent="0.3">
      <c r="A8975" s="4">
        <v>1375</v>
      </c>
      <c r="B8975" s="833" t="s">
        <v>13233</v>
      </c>
      <c r="C8975" s="4" t="s">
        <v>12126</v>
      </c>
      <c r="D8975" s="834">
        <v>19.53</v>
      </c>
    </row>
    <row r="8976" spans="1:4" x14ac:dyDescent="0.3">
      <c r="A8976" s="4">
        <v>1379</v>
      </c>
      <c r="B8976" s="833" t="s">
        <v>13234</v>
      </c>
      <c r="C8976" s="4" t="s">
        <v>12126</v>
      </c>
      <c r="D8976" s="834">
        <v>0.64</v>
      </c>
    </row>
    <row r="8977" spans="1:4" x14ac:dyDescent="0.3">
      <c r="A8977" s="4">
        <v>13284</v>
      </c>
      <c r="B8977" s="833" t="s">
        <v>13235</v>
      </c>
      <c r="C8977" s="4" t="s">
        <v>12126</v>
      </c>
      <c r="D8977" s="834">
        <v>0.56999999999999995</v>
      </c>
    </row>
    <row r="8978" spans="1:4" x14ac:dyDescent="0.3">
      <c r="A8978" s="4">
        <v>44528</v>
      </c>
      <c r="B8978" s="833" t="s">
        <v>13236</v>
      </c>
      <c r="C8978" s="4" t="s">
        <v>12126</v>
      </c>
      <c r="D8978" s="834">
        <v>3.41</v>
      </c>
    </row>
    <row r="8979" spans="1:4" x14ac:dyDescent="0.3">
      <c r="A8979" s="4">
        <v>34753</v>
      </c>
      <c r="B8979" s="833" t="s">
        <v>13237</v>
      </c>
      <c r="C8979" s="4" t="s">
        <v>12126</v>
      </c>
      <c r="D8979" s="834">
        <v>0.62</v>
      </c>
    </row>
    <row r="8980" spans="1:4" x14ac:dyDescent="0.3">
      <c r="A8980" s="4">
        <v>420</v>
      </c>
      <c r="B8980" s="833" t="s">
        <v>13238</v>
      </c>
      <c r="C8980" s="4" t="s">
        <v>12080</v>
      </c>
      <c r="D8980" s="834">
        <v>50.63</v>
      </c>
    </row>
    <row r="8981" spans="1:4" x14ac:dyDescent="0.3">
      <c r="A8981" s="4">
        <v>12327</v>
      </c>
      <c r="B8981" s="833" t="s">
        <v>13239</v>
      </c>
      <c r="C8981" s="4" t="s">
        <v>12080</v>
      </c>
      <c r="D8981" s="834">
        <v>60.31</v>
      </c>
    </row>
    <row r="8982" spans="1:4" x14ac:dyDescent="0.3">
      <c r="A8982" s="4">
        <v>36148</v>
      </c>
      <c r="B8982" s="833" t="s">
        <v>13240</v>
      </c>
      <c r="C8982" s="4" t="s">
        <v>12080</v>
      </c>
      <c r="D8982" s="834">
        <v>66.19</v>
      </c>
    </row>
    <row r="8983" spans="1:4" x14ac:dyDescent="0.3">
      <c r="A8983" s="4">
        <v>12329</v>
      </c>
      <c r="B8983" s="833" t="s">
        <v>13241</v>
      </c>
      <c r="C8983" s="4" t="s">
        <v>12126</v>
      </c>
      <c r="D8983" s="834">
        <v>158.03</v>
      </c>
    </row>
    <row r="8984" spans="1:4" x14ac:dyDescent="0.3">
      <c r="A8984" s="4">
        <v>1339</v>
      </c>
      <c r="B8984" s="833" t="s">
        <v>13242</v>
      </c>
      <c r="C8984" s="4" t="s">
        <v>12126</v>
      </c>
      <c r="D8984" s="834">
        <v>37.51</v>
      </c>
    </row>
    <row r="8985" spans="1:4" x14ac:dyDescent="0.3">
      <c r="A8985" s="4">
        <v>44396</v>
      </c>
      <c r="B8985" s="833" t="s">
        <v>13243</v>
      </c>
      <c r="C8985" s="4" t="s">
        <v>12126</v>
      </c>
      <c r="D8985" s="834">
        <v>47.62</v>
      </c>
    </row>
    <row r="8986" spans="1:4" x14ac:dyDescent="0.3">
      <c r="A8986" s="4">
        <v>44327</v>
      </c>
      <c r="B8986" s="833" t="s">
        <v>13244</v>
      </c>
      <c r="C8986" s="4" t="s">
        <v>12128</v>
      </c>
      <c r="D8986" s="834">
        <v>161.97</v>
      </c>
    </row>
    <row r="8987" spans="1:4" x14ac:dyDescent="0.3">
      <c r="A8987" s="4">
        <v>37418</v>
      </c>
      <c r="B8987" s="833" t="s">
        <v>13245</v>
      </c>
      <c r="C8987" s="4" t="s">
        <v>12080</v>
      </c>
      <c r="D8987" s="834">
        <v>16.59</v>
      </c>
    </row>
    <row r="8988" spans="1:4" x14ac:dyDescent="0.3">
      <c r="A8988" s="4">
        <v>37419</v>
      </c>
      <c r="B8988" s="833" t="s">
        <v>13246</v>
      </c>
      <c r="C8988" s="4" t="s">
        <v>12080</v>
      </c>
      <c r="D8988" s="834">
        <v>17.04</v>
      </c>
    </row>
    <row r="8989" spans="1:4" x14ac:dyDescent="0.3">
      <c r="A8989" s="4">
        <v>1427</v>
      </c>
      <c r="B8989" s="833" t="s">
        <v>13247</v>
      </c>
      <c r="C8989" s="4" t="s">
        <v>12080</v>
      </c>
      <c r="D8989" s="834">
        <v>19.329999999999998</v>
      </c>
    </row>
    <row r="8990" spans="1:4" x14ac:dyDescent="0.3">
      <c r="A8990" s="4">
        <v>1402</v>
      </c>
      <c r="B8990" s="833" t="s">
        <v>13248</v>
      </c>
      <c r="C8990" s="4" t="s">
        <v>12080</v>
      </c>
      <c r="D8990" s="834">
        <v>6.69</v>
      </c>
    </row>
    <row r="8991" spans="1:4" x14ac:dyDescent="0.3">
      <c r="A8991" s="4">
        <v>1420</v>
      </c>
      <c r="B8991" s="833" t="s">
        <v>13249</v>
      </c>
      <c r="C8991" s="4" t="s">
        <v>12080</v>
      </c>
      <c r="D8991" s="834">
        <v>8.6</v>
      </c>
    </row>
    <row r="8992" spans="1:4" x14ac:dyDescent="0.3">
      <c r="A8992" s="4">
        <v>1419</v>
      </c>
      <c r="B8992" s="833" t="s">
        <v>13250</v>
      </c>
      <c r="C8992" s="4" t="s">
        <v>12080</v>
      </c>
      <c r="D8992" s="834">
        <v>10.39</v>
      </c>
    </row>
    <row r="8993" spans="1:4" x14ac:dyDescent="0.3">
      <c r="A8993" s="4">
        <v>1414</v>
      </c>
      <c r="B8993" s="833" t="s">
        <v>13251</v>
      </c>
      <c r="C8993" s="4" t="s">
        <v>12080</v>
      </c>
      <c r="D8993" s="834">
        <v>10.17</v>
      </c>
    </row>
    <row r="8994" spans="1:4" x14ac:dyDescent="0.3">
      <c r="A8994" s="4">
        <v>1413</v>
      </c>
      <c r="B8994" s="833" t="s">
        <v>13252</v>
      </c>
      <c r="C8994" s="4" t="s">
        <v>12080</v>
      </c>
      <c r="D8994" s="834">
        <v>15.02</v>
      </c>
    </row>
    <row r="8995" spans="1:4" x14ac:dyDescent="0.3">
      <c r="A8995" s="4">
        <v>1412</v>
      </c>
      <c r="B8995" s="833" t="s">
        <v>13253</v>
      </c>
      <c r="C8995" s="4" t="s">
        <v>12080</v>
      </c>
      <c r="D8995" s="834">
        <v>12.72</v>
      </c>
    </row>
    <row r="8996" spans="1:4" x14ac:dyDescent="0.3">
      <c r="A8996" s="4">
        <v>1406</v>
      </c>
      <c r="B8996" s="833" t="s">
        <v>13254</v>
      </c>
      <c r="C8996" s="4" t="s">
        <v>12080</v>
      </c>
      <c r="D8996" s="834">
        <v>15.35</v>
      </c>
    </row>
    <row r="8997" spans="1:4" x14ac:dyDescent="0.3">
      <c r="A8997" s="4">
        <v>11281</v>
      </c>
      <c r="B8997" s="833" t="s">
        <v>13255</v>
      </c>
      <c r="C8997" s="4" t="s">
        <v>12080</v>
      </c>
      <c r="D8997" s="834">
        <v>13450</v>
      </c>
    </row>
    <row r="8998" spans="1:4" x14ac:dyDescent="0.3">
      <c r="A8998" s="4">
        <v>1442</v>
      </c>
      <c r="B8998" s="833" t="s">
        <v>13256</v>
      </c>
      <c r="C8998" s="4" t="s">
        <v>12080</v>
      </c>
      <c r="D8998" s="834">
        <v>11291.17</v>
      </c>
    </row>
    <row r="8999" spans="1:4" x14ac:dyDescent="0.3">
      <c r="A8999" s="4">
        <v>13457</v>
      </c>
      <c r="B8999" s="833" t="s">
        <v>13257</v>
      </c>
      <c r="C8999" s="4" t="s">
        <v>12080</v>
      </c>
      <c r="D8999" s="834">
        <v>9746.3700000000008</v>
      </c>
    </row>
    <row r="9000" spans="1:4" x14ac:dyDescent="0.3">
      <c r="A9000" s="4">
        <v>40699</v>
      </c>
      <c r="B9000" s="833" t="s">
        <v>13258</v>
      </c>
      <c r="C9000" s="4" t="s">
        <v>12080</v>
      </c>
      <c r="D9000" s="834">
        <v>7534.32</v>
      </c>
    </row>
    <row r="9001" spans="1:4" x14ac:dyDescent="0.3">
      <c r="A9001" s="4">
        <v>40701</v>
      </c>
      <c r="B9001" s="833" t="s">
        <v>13259</v>
      </c>
      <c r="C9001" s="4" t="s">
        <v>12080</v>
      </c>
      <c r="D9001" s="834">
        <v>133217.07</v>
      </c>
    </row>
    <row r="9002" spans="1:4" x14ac:dyDescent="0.3">
      <c r="A9002" s="4">
        <v>40700</v>
      </c>
      <c r="B9002" s="833" t="s">
        <v>13260</v>
      </c>
      <c r="C9002" s="4" t="s">
        <v>12080</v>
      </c>
      <c r="D9002" s="834">
        <v>17538.91</v>
      </c>
    </row>
    <row r="9003" spans="1:4" x14ac:dyDescent="0.3">
      <c r="A9003" s="4">
        <v>13458</v>
      </c>
      <c r="B9003" s="833" t="s">
        <v>13261</v>
      </c>
      <c r="C9003" s="4" t="s">
        <v>12080</v>
      </c>
      <c r="D9003" s="834">
        <v>16666.3</v>
      </c>
    </row>
    <row r="9004" spans="1:4" x14ac:dyDescent="0.3">
      <c r="A9004" s="4">
        <v>11134</v>
      </c>
      <c r="B9004" s="833" t="s">
        <v>13262</v>
      </c>
      <c r="C9004" s="4" t="s">
        <v>12481</v>
      </c>
      <c r="D9004" s="834">
        <v>50.62</v>
      </c>
    </row>
    <row r="9005" spans="1:4" x14ac:dyDescent="0.3">
      <c r="A9005" s="4">
        <v>11135</v>
      </c>
      <c r="B9005" s="833" t="s">
        <v>13263</v>
      </c>
      <c r="C9005" s="4" t="s">
        <v>12481</v>
      </c>
      <c r="D9005" s="834">
        <v>54.66</v>
      </c>
    </row>
    <row r="9006" spans="1:4" x14ac:dyDescent="0.3">
      <c r="A9006" s="4">
        <v>11136</v>
      </c>
      <c r="B9006" s="833" t="s">
        <v>13264</v>
      </c>
      <c r="C9006" s="4" t="s">
        <v>12481</v>
      </c>
      <c r="D9006" s="834">
        <v>62.59</v>
      </c>
    </row>
    <row r="9007" spans="1:4" x14ac:dyDescent="0.3">
      <c r="A9007" s="4">
        <v>34743</v>
      </c>
      <c r="B9007" s="833" t="s">
        <v>13265</v>
      </c>
      <c r="C9007" s="4" t="s">
        <v>12481</v>
      </c>
      <c r="D9007" s="834">
        <v>75.510000000000005</v>
      </c>
    </row>
    <row r="9008" spans="1:4" x14ac:dyDescent="0.3">
      <c r="A9008" s="4">
        <v>11137</v>
      </c>
      <c r="B9008" s="833" t="s">
        <v>13266</v>
      </c>
      <c r="C9008" s="4" t="s">
        <v>12481</v>
      </c>
      <c r="D9008" s="834">
        <v>85.77</v>
      </c>
    </row>
    <row r="9009" spans="1:4" x14ac:dyDescent="0.3">
      <c r="A9009" s="4">
        <v>34745</v>
      </c>
      <c r="B9009" s="833" t="s">
        <v>13267</v>
      </c>
      <c r="C9009" s="4" t="s">
        <v>12481</v>
      </c>
      <c r="D9009" s="834">
        <v>102</v>
      </c>
    </row>
    <row r="9010" spans="1:4" x14ac:dyDescent="0.3">
      <c r="A9010" s="4">
        <v>34746</v>
      </c>
      <c r="B9010" s="833" t="s">
        <v>13268</v>
      </c>
      <c r="C9010" s="4" t="s">
        <v>12481</v>
      </c>
      <c r="D9010" s="834">
        <v>27.81</v>
      </c>
    </row>
    <row r="9011" spans="1:4" x14ac:dyDescent="0.3">
      <c r="A9011" s="4">
        <v>1360</v>
      </c>
      <c r="B9011" s="833" t="s">
        <v>13269</v>
      </c>
      <c r="C9011" s="4" t="s">
        <v>12481</v>
      </c>
      <c r="D9011" s="834">
        <v>32.450000000000003</v>
      </c>
    </row>
    <row r="9012" spans="1:4" x14ac:dyDescent="0.3">
      <c r="A9012" s="4">
        <v>36524</v>
      </c>
      <c r="B9012" s="833" t="s">
        <v>13270</v>
      </c>
      <c r="C9012" s="4" t="s">
        <v>12080</v>
      </c>
      <c r="D9012" s="834">
        <v>196741.66</v>
      </c>
    </row>
    <row r="9013" spans="1:4" x14ac:dyDescent="0.3">
      <c r="A9013" s="4">
        <v>36526</v>
      </c>
      <c r="B9013" s="833" t="s">
        <v>13271</v>
      </c>
      <c r="C9013" s="4" t="s">
        <v>12080</v>
      </c>
      <c r="D9013" s="834">
        <v>158542.44</v>
      </c>
    </row>
    <row r="9014" spans="1:4" x14ac:dyDescent="0.3">
      <c r="A9014" s="4">
        <v>36523</v>
      </c>
      <c r="B9014" s="833" t="s">
        <v>13272</v>
      </c>
      <c r="C9014" s="4" t="s">
        <v>12080</v>
      </c>
      <c r="D9014" s="834">
        <v>339417.97</v>
      </c>
    </row>
    <row r="9015" spans="1:4" x14ac:dyDescent="0.3">
      <c r="A9015" s="4">
        <v>36527</v>
      </c>
      <c r="B9015" s="833" t="s">
        <v>13273</v>
      </c>
      <c r="C9015" s="4" t="s">
        <v>12080</v>
      </c>
      <c r="D9015" s="834">
        <v>368677.83</v>
      </c>
    </row>
    <row r="9016" spans="1:4" x14ac:dyDescent="0.3">
      <c r="A9016" s="4">
        <v>38642</v>
      </c>
      <c r="B9016" s="833" t="s">
        <v>13274</v>
      </c>
      <c r="C9016" s="4" t="s">
        <v>12080</v>
      </c>
      <c r="D9016" s="834">
        <v>85837.66</v>
      </c>
    </row>
    <row r="9017" spans="1:4" x14ac:dyDescent="0.3">
      <c r="A9017" s="4">
        <v>36522</v>
      </c>
      <c r="B9017" s="833" t="s">
        <v>13275</v>
      </c>
      <c r="C9017" s="4" t="s">
        <v>12080</v>
      </c>
      <c r="D9017" s="834">
        <v>99828.17</v>
      </c>
    </row>
    <row r="9018" spans="1:4" x14ac:dyDescent="0.3">
      <c r="A9018" s="4">
        <v>36525</v>
      </c>
      <c r="B9018" s="833" t="s">
        <v>13276</v>
      </c>
      <c r="C9018" s="4" t="s">
        <v>12080</v>
      </c>
      <c r="D9018" s="834">
        <v>133693.23000000001</v>
      </c>
    </row>
    <row r="9019" spans="1:4" x14ac:dyDescent="0.3">
      <c r="A9019" s="4">
        <v>13803</v>
      </c>
      <c r="B9019" s="833" t="s">
        <v>13277</v>
      </c>
      <c r="C9019" s="4" t="s">
        <v>12080</v>
      </c>
      <c r="D9019" s="834">
        <v>133310.69</v>
      </c>
    </row>
    <row r="9020" spans="1:4" x14ac:dyDescent="0.3">
      <c r="A9020" s="4">
        <v>34348</v>
      </c>
      <c r="B9020" s="833" t="s">
        <v>13278</v>
      </c>
      <c r="C9020" s="4" t="s">
        <v>1803</v>
      </c>
      <c r="D9020" s="834">
        <v>20.3</v>
      </c>
    </row>
    <row r="9021" spans="1:4" x14ac:dyDescent="0.3">
      <c r="A9021" s="4">
        <v>34347</v>
      </c>
      <c r="B9021" s="833" t="s">
        <v>13279</v>
      </c>
      <c r="C9021" s="4" t="s">
        <v>1803</v>
      </c>
      <c r="D9021" s="834">
        <v>14.51</v>
      </c>
    </row>
    <row r="9022" spans="1:4" x14ac:dyDescent="0.3">
      <c r="A9022" s="4">
        <v>11146</v>
      </c>
      <c r="B9022" s="833" t="s">
        <v>13280</v>
      </c>
      <c r="C9022" s="4" t="s">
        <v>12224</v>
      </c>
      <c r="D9022" s="834">
        <v>528.86</v>
      </c>
    </row>
    <row r="9023" spans="1:4" x14ac:dyDescent="0.3">
      <c r="A9023" s="4">
        <v>11147</v>
      </c>
      <c r="B9023" s="833" t="s">
        <v>13281</v>
      </c>
      <c r="C9023" s="4" t="s">
        <v>12224</v>
      </c>
      <c r="D9023" s="834">
        <v>549.55999999999995</v>
      </c>
    </row>
    <row r="9024" spans="1:4" x14ac:dyDescent="0.3">
      <c r="A9024" s="4">
        <v>34872</v>
      </c>
      <c r="B9024" s="833" t="s">
        <v>13282</v>
      </c>
      <c r="C9024" s="4" t="s">
        <v>12224</v>
      </c>
      <c r="D9024" s="834">
        <v>555.73</v>
      </c>
    </row>
    <row r="9025" spans="1:4" x14ac:dyDescent="0.3">
      <c r="A9025" s="4">
        <v>34491</v>
      </c>
      <c r="B9025" s="833" t="s">
        <v>13283</v>
      </c>
      <c r="C9025" s="4" t="s">
        <v>12224</v>
      </c>
      <c r="D9025" s="834">
        <v>571.84</v>
      </c>
    </row>
    <row r="9026" spans="1:4" x14ac:dyDescent="0.3">
      <c r="A9026" s="4">
        <v>34770</v>
      </c>
      <c r="B9026" s="833" t="s">
        <v>13284</v>
      </c>
      <c r="C9026" s="4" t="s">
        <v>13285</v>
      </c>
      <c r="D9026" s="834">
        <v>637.57000000000005</v>
      </c>
    </row>
    <row r="9027" spans="1:4" x14ac:dyDescent="0.3">
      <c r="A9027" s="4">
        <v>1518</v>
      </c>
      <c r="B9027" s="833" t="s">
        <v>13286</v>
      </c>
      <c r="C9027" s="4" t="s">
        <v>13285</v>
      </c>
      <c r="D9027" s="834">
        <v>650</v>
      </c>
    </row>
    <row r="9028" spans="1:4" x14ac:dyDescent="0.3">
      <c r="A9028" s="4">
        <v>41965</v>
      </c>
      <c r="B9028" s="833" t="s">
        <v>13287</v>
      </c>
      <c r="C9028" s="4" t="s">
        <v>13285</v>
      </c>
      <c r="D9028" s="834">
        <v>569.94000000000005</v>
      </c>
    </row>
    <row r="9029" spans="1:4" x14ac:dyDescent="0.3">
      <c r="A9029" s="4">
        <v>1524</v>
      </c>
      <c r="B9029" s="833" t="s">
        <v>13288</v>
      </c>
      <c r="C9029" s="4" t="s">
        <v>12224</v>
      </c>
      <c r="D9029" s="834">
        <v>507.41</v>
      </c>
    </row>
    <row r="9030" spans="1:4" x14ac:dyDescent="0.3">
      <c r="A9030" s="4">
        <v>34492</v>
      </c>
      <c r="B9030" s="833" t="s">
        <v>13289</v>
      </c>
      <c r="C9030" s="4" t="s">
        <v>12224</v>
      </c>
      <c r="D9030" s="834">
        <v>470</v>
      </c>
    </row>
    <row r="9031" spans="1:4" x14ac:dyDescent="0.3">
      <c r="A9031" s="4">
        <v>38404</v>
      </c>
      <c r="B9031" s="833" t="s">
        <v>13290</v>
      </c>
      <c r="C9031" s="4" t="s">
        <v>12224</v>
      </c>
      <c r="D9031" s="834">
        <v>486.83</v>
      </c>
    </row>
    <row r="9032" spans="1:4" x14ac:dyDescent="0.3">
      <c r="A9032" s="4">
        <v>39849</v>
      </c>
      <c r="B9032" s="833" t="s">
        <v>13291</v>
      </c>
      <c r="C9032" s="4" t="s">
        <v>12224</v>
      </c>
      <c r="D9032" s="834">
        <v>557.9</v>
      </c>
    </row>
    <row r="9033" spans="1:4" x14ac:dyDescent="0.3">
      <c r="A9033" s="4">
        <v>38464</v>
      </c>
      <c r="B9033" s="833" t="s">
        <v>13292</v>
      </c>
      <c r="C9033" s="4" t="s">
        <v>12224</v>
      </c>
      <c r="D9033" s="834">
        <v>566</v>
      </c>
    </row>
    <row r="9034" spans="1:4" x14ac:dyDescent="0.3">
      <c r="A9034" s="4">
        <v>1527</v>
      </c>
      <c r="B9034" s="833" t="s">
        <v>13293</v>
      </c>
      <c r="C9034" s="4" t="s">
        <v>12224</v>
      </c>
      <c r="D9034" s="834">
        <v>523.52</v>
      </c>
    </row>
    <row r="9035" spans="1:4" x14ac:dyDescent="0.3">
      <c r="A9035" s="4">
        <v>34493</v>
      </c>
      <c r="B9035" s="833" t="s">
        <v>13294</v>
      </c>
      <c r="C9035" s="4" t="s">
        <v>12224</v>
      </c>
      <c r="D9035" s="834">
        <v>483.24</v>
      </c>
    </row>
    <row r="9036" spans="1:4" x14ac:dyDescent="0.3">
      <c r="A9036" s="4">
        <v>38405</v>
      </c>
      <c r="B9036" s="833" t="s">
        <v>13295</v>
      </c>
      <c r="C9036" s="4" t="s">
        <v>12224</v>
      </c>
      <c r="D9036" s="834">
        <v>501.84</v>
      </c>
    </row>
    <row r="9037" spans="1:4" x14ac:dyDescent="0.3">
      <c r="A9037" s="4">
        <v>38408</v>
      </c>
      <c r="B9037" s="833" t="s">
        <v>13296</v>
      </c>
      <c r="C9037" s="4" t="s">
        <v>12224</v>
      </c>
      <c r="D9037" s="834">
        <v>555.49</v>
      </c>
    </row>
    <row r="9038" spans="1:4" x14ac:dyDescent="0.3">
      <c r="A9038" s="4">
        <v>1525</v>
      </c>
      <c r="B9038" s="833" t="s">
        <v>13297</v>
      </c>
      <c r="C9038" s="4" t="s">
        <v>12224</v>
      </c>
      <c r="D9038" s="834">
        <v>539.62</v>
      </c>
    </row>
    <row r="9039" spans="1:4" x14ac:dyDescent="0.3">
      <c r="A9039" s="4">
        <v>34494</v>
      </c>
      <c r="B9039" s="833" t="s">
        <v>13298</v>
      </c>
      <c r="C9039" s="4" t="s">
        <v>12224</v>
      </c>
      <c r="D9039" s="834">
        <v>499.35</v>
      </c>
    </row>
    <row r="9040" spans="1:4" x14ac:dyDescent="0.3">
      <c r="A9040" s="4">
        <v>38406</v>
      </c>
      <c r="B9040" s="833" t="s">
        <v>13299</v>
      </c>
      <c r="C9040" s="4" t="s">
        <v>12224</v>
      </c>
      <c r="D9040" s="834">
        <v>529.91</v>
      </c>
    </row>
    <row r="9041" spans="1:4" x14ac:dyDescent="0.3">
      <c r="A9041" s="4">
        <v>38409</v>
      </c>
      <c r="B9041" s="833" t="s">
        <v>13300</v>
      </c>
      <c r="C9041" s="4" t="s">
        <v>12224</v>
      </c>
      <c r="D9041" s="834">
        <v>559.27</v>
      </c>
    </row>
    <row r="9042" spans="1:4" x14ac:dyDescent="0.3">
      <c r="A9042" s="4">
        <v>43360</v>
      </c>
      <c r="B9042" s="833" t="s">
        <v>13301</v>
      </c>
      <c r="C9042" s="4" t="s">
        <v>12224</v>
      </c>
      <c r="D9042" s="834">
        <v>583.16</v>
      </c>
    </row>
    <row r="9043" spans="1:4" x14ac:dyDescent="0.3">
      <c r="A9043" s="4">
        <v>11145</v>
      </c>
      <c r="B9043" s="833" t="s">
        <v>13302</v>
      </c>
      <c r="C9043" s="4" t="s">
        <v>12224</v>
      </c>
      <c r="D9043" s="834">
        <v>555.73</v>
      </c>
    </row>
    <row r="9044" spans="1:4" x14ac:dyDescent="0.3">
      <c r="A9044" s="4">
        <v>34495</v>
      </c>
      <c r="B9044" s="833" t="s">
        <v>13303</v>
      </c>
      <c r="C9044" s="4" t="s">
        <v>12224</v>
      </c>
      <c r="D9044" s="834">
        <v>515.46</v>
      </c>
    </row>
    <row r="9045" spans="1:4" x14ac:dyDescent="0.3">
      <c r="A9045" s="4">
        <v>34479</v>
      </c>
      <c r="B9045" s="833" t="s">
        <v>13304</v>
      </c>
      <c r="C9045" s="4" t="s">
        <v>12224</v>
      </c>
      <c r="D9045" s="834">
        <v>571.84</v>
      </c>
    </row>
    <row r="9046" spans="1:4" x14ac:dyDescent="0.3">
      <c r="A9046" s="4">
        <v>34496</v>
      </c>
      <c r="B9046" s="833" t="s">
        <v>13305</v>
      </c>
      <c r="C9046" s="4" t="s">
        <v>12224</v>
      </c>
      <c r="D9046" s="834">
        <v>537.71</v>
      </c>
    </row>
    <row r="9047" spans="1:4" x14ac:dyDescent="0.3">
      <c r="A9047" s="4">
        <v>34481</v>
      </c>
      <c r="B9047" s="833" t="s">
        <v>13306</v>
      </c>
      <c r="C9047" s="4" t="s">
        <v>12224</v>
      </c>
      <c r="D9047" s="834">
        <v>597.5</v>
      </c>
    </row>
    <row r="9048" spans="1:4" x14ac:dyDescent="0.3">
      <c r="A9048" s="4">
        <v>34483</v>
      </c>
      <c r="B9048" s="833" t="s">
        <v>13307</v>
      </c>
      <c r="C9048" s="4" t="s">
        <v>12224</v>
      </c>
      <c r="D9048" s="834">
        <v>638.39</v>
      </c>
    </row>
    <row r="9049" spans="1:4" x14ac:dyDescent="0.3">
      <c r="A9049" s="4">
        <v>34485</v>
      </c>
      <c r="B9049" s="833" t="s">
        <v>13308</v>
      </c>
      <c r="C9049" s="4" t="s">
        <v>12224</v>
      </c>
      <c r="D9049" s="834">
        <v>682.69</v>
      </c>
    </row>
    <row r="9050" spans="1:4" x14ac:dyDescent="0.3">
      <c r="A9050" s="4">
        <v>14041</v>
      </c>
      <c r="B9050" s="833" t="s">
        <v>13309</v>
      </c>
      <c r="C9050" s="4" t="s">
        <v>12224</v>
      </c>
      <c r="D9050" s="834">
        <v>443.78</v>
      </c>
    </row>
    <row r="9051" spans="1:4" x14ac:dyDescent="0.3">
      <c r="A9051" s="4">
        <v>1523</v>
      </c>
      <c r="B9051" s="833" t="s">
        <v>13310</v>
      </c>
      <c r="C9051" s="4" t="s">
        <v>12224</v>
      </c>
      <c r="D9051" s="834">
        <v>451.03</v>
      </c>
    </row>
    <row r="9052" spans="1:4" x14ac:dyDescent="0.3">
      <c r="A9052" s="4">
        <v>14052</v>
      </c>
      <c r="B9052" s="833" t="s">
        <v>13311</v>
      </c>
      <c r="C9052" s="4" t="s">
        <v>12080</v>
      </c>
      <c r="D9052" s="834">
        <v>11.73</v>
      </c>
    </row>
    <row r="9053" spans="1:4" x14ac:dyDescent="0.3">
      <c r="A9053" s="4">
        <v>14054</v>
      </c>
      <c r="B9053" s="833" t="s">
        <v>13312</v>
      </c>
      <c r="C9053" s="4" t="s">
        <v>12080</v>
      </c>
      <c r="D9053" s="834">
        <v>15.25</v>
      </c>
    </row>
    <row r="9054" spans="1:4" x14ac:dyDescent="0.3">
      <c r="A9054" s="4">
        <v>14053</v>
      </c>
      <c r="B9054" s="833" t="s">
        <v>13313</v>
      </c>
      <c r="C9054" s="4" t="s">
        <v>12080</v>
      </c>
      <c r="D9054" s="834">
        <v>11.91</v>
      </c>
    </row>
    <row r="9055" spans="1:4" x14ac:dyDescent="0.3">
      <c r="A9055" s="4">
        <v>2558</v>
      </c>
      <c r="B9055" s="833" t="s">
        <v>13314</v>
      </c>
      <c r="C9055" s="4" t="s">
        <v>12080</v>
      </c>
      <c r="D9055" s="834">
        <v>8.9600000000000009</v>
      </c>
    </row>
    <row r="9056" spans="1:4" x14ac:dyDescent="0.3">
      <c r="A9056" s="4">
        <v>2560</v>
      </c>
      <c r="B9056" s="833" t="s">
        <v>13315</v>
      </c>
      <c r="C9056" s="4" t="s">
        <v>12080</v>
      </c>
      <c r="D9056" s="834">
        <v>15.78</v>
      </c>
    </row>
    <row r="9057" spans="1:4" x14ac:dyDescent="0.3">
      <c r="A9057" s="4">
        <v>2559</v>
      </c>
      <c r="B9057" s="833" t="s">
        <v>13316</v>
      </c>
      <c r="C9057" s="4" t="s">
        <v>12080</v>
      </c>
      <c r="D9057" s="834">
        <v>12.62</v>
      </c>
    </row>
    <row r="9058" spans="1:4" x14ac:dyDescent="0.3">
      <c r="A9058" s="4">
        <v>2592</v>
      </c>
      <c r="B9058" s="833" t="s">
        <v>13317</v>
      </c>
      <c r="C9058" s="4" t="s">
        <v>12080</v>
      </c>
      <c r="D9058" s="834">
        <v>209.21</v>
      </c>
    </row>
    <row r="9059" spans="1:4" x14ac:dyDescent="0.3">
      <c r="A9059" s="4">
        <v>2589</v>
      </c>
      <c r="B9059" s="833" t="s">
        <v>13318</v>
      </c>
      <c r="C9059" s="4" t="s">
        <v>12080</v>
      </c>
      <c r="D9059" s="834">
        <v>27.98</v>
      </c>
    </row>
    <row r="9060" spans="1:4" x14ac:dyDescent="0.3">
      <c r="A9060" s="4">
        <v>2566</v>
      </c>
      <c r="B9060" s="833" t="s">
        <v>13319</v>
      </c>
      <c r="C9060" s="4" t="s">
        <v>12080</v>
      </c>
      <c r="D9060" s="834">
        <v>21.05</v>
      </c>
    </row>
    <row r="9061" spans="1:4" x14ac:dyDescent="0.3">
      <c r="A9061" s="4">
        <v>2591</v>
      </c>
      <c r="B9061" s="833" t="s">
        <v>13320</v>
      </c>
      <c r="C9061" s="4" t="s">
        <v>12080</v>
      </c>
      <c r="D9061" s="834">
        <v>10.199999999999999</v>
      </c>
    </row>
    <row r="9062" spans="1:4" x14ac:dyDescent="0.3">
      <c r="A9062" s="4">
        <v>2590</v>
      </c>
      <c r="B9062" s="833" t="s">
        <v>13321</v>
      </c>
      <c r="C9062" s="4" t="s">
        <v>12080</v>
      </c>
      <c r="D9062" s="834">
        <v>17.170000000000002</v>
      </c>
    </row>
    <row r="9063" spans="1:4" x14ac:dyDescent="0.3">
      <c r="A9063" s="4">
        <v>2567</v>
      </c>
      <c r="B9063" s="833" t="s">
        <v>13322</v>
      </c>
      <c r="C9063" s="4" t="s">
        <v>12080</v>
      </c>
      <c r="D9063" s="834">
        <v>41.05</v>
      </c>
    </row>
    <row r="9064" spans="1:4" x14ac:dyDescent="0.3">
      <c r="A9064" s="4">
        <v>2565</v>
      </c>
      <c r="B9064" s="833" t="s">
        <v>13323</v>
      </c>
      <c r="C9064" s="4" t="s">
        <v>12080</v>
      </c>
      <c r="D9064" s="834">
        <v>10.220000000000001</v>
      </c>
    </row>
    <row r="9065" spans="1:4" x14ac:dyDescent="0.3">
      <c r="A9065" s="4">
        <v>2568</v>
      </c>
      <c r="B9065" s="833" t="s">
        <v>13324</v>
      </c>
      <c r="C9065" s="4" t="s">
        <v>12080</v>
      </c>
      <c r="D9065" s="834">
        <v>113.98</v>
      </c>
    </row>
    <row r="9066" spans="1:4" x14ac:dyDescent="0.3">
      <c r="A9066" s="4">
        <v>2594</v>
      </c>
      <c r="B9066" s="833" t="s">
        <v>13325</v>
      </c>
      <c r="C9066" s="4" t="s">
        <v>12080</v>
      </c>
      <c r="D9066" s="834">
        <v>189.89</v>
      </c>
    </row>
    <row r="9067" spans="1:4" x14ac:dyDescent="0.3">
      <c r="A9067" s="4">
        <v>2587</v>
      </c>
      <c r="B9067" s="833" t="s">
        <v>13326</v>
      </c>
      <c r="C9067" s="4" t="s">
        <v>12080</v>
      </c>
      <c r="D9067" s="834">
        <v>32.36</v>
      </c>
    </row>
    <row r="9068" spans="1:4" x14ac:dyDescent="0.3">
      <c r="A9068" s="4">
        <v>2588</v>
      </c>
      <c r="B9068" s="833" t="s">
        <v>13327</v>
      </c>
      <c r="C9068" s="4" t="s">
        <v>12080</v>
      </c>
      <c r="D9068" s="834">
        <v>25.7</v>
      </c>
    </row>
    <row r="9069" spans="1:4" x14ac:dyDescent="0.3">
      <c r="A9069" s="4">
        <v>2569</v>
      </c>
      <c r="B9069" s="833" t="s">
        <v>13328</v>
      </c>
      <c r="C9069" s="4" t="s">
        <v>12080</v>
      </c>
      <c r="D9069" s="834">
        <v>9.9</v>
      </c>
    </row>
    <row r="9070" spans="1:4" x14ac:dyDescent="0.3">
      <c r="A9070" s="4">
        <v>2570</v>
      </c>
      <c r="B9070" s="833" t="s">
        <v>13329</v>
      </c>
      <c r="C9070" s="4" t="s">
        <v>12080</v>
      </c>
      <c r="D9070" s="834">
        <v>16.600000000000001</v>
      </c>
    </row>
    <row r="9071" spans="1:4" x14ac:dyDescent="0.3">
      <c r="A9071" s="4">
        <v>2571</v>
      </c>
      <c r="B9071" s="833" t="s">
        <v>13330</v>
      </c>
      <c r="C9071" s="4" t="s">
        <v>12080</v>
      </c>
      <c r="D9071" s="834">
        <v>49.29</v>
      </c>
    </row>
    <row r="9072" spans="1:4" x14ac:dyDescent="0.3">
      <c r="A9072" s="4">
        <v>2593</v>
      </c>
      <c r="B9072" s="833" t="s">
        <v>13331</v>
      </c>
      <c r="C9072" s="4" t="s">
        <v>12080</v>
      </c>
      <c r="D9072" s="834">
        <v>10.56</v>
      </c>
    </row>
    <row r="9073" spans="1:4" x14ac:dyDescent="0.3">
      <c r="A9073" s="4">
        <v>2572</v>
      </c>
      <c r="B9073" s="833" t="s">
        <v>13332</v>
      </c>
      <c r="C9073" s="4" t="s">
        <v>12080</v>
      </c>
      <c r="D9073" s="834">
        <v>145.76</v>
      </c>
    </row>
    <row r="9074" spans="1:4" x14ac:dyDescent="0.3">
      <c r="A9074" s="4">
        <v>2595</v>
      </c>
      <c r="B9074" s="833" t="s">
        <v>13333</v>
      </c>
      <c r="C9074" s="4" t="s">
        <v>12080</v>
      </c>
      <c r="D9074" s="834">
        <v>227.42</v>
      </c>
    </row>
    <row r="9075" spans="1:4" x14ac:dyDescent="0.3">
      <c r="A9075" s="4">
        <v>2576</v>
      </c>
      <c r="B9075" s="833" t="s">
        <v>13334</v>
      </c>
      <c r="C9075" s="4" t="s">
        <v>12080</v>
      </c>
      <c r="D9075" s="834">
        <v>38.770000000000003</v>
      </c>
    </row>
    <row r="9076" spans="1:4" x14ac:dyDescent="0.3">
      <c r="A9076" s="4">
        <v>2575</v>
      </c>
      <c r="B9076" s="833" t="s">
        <v>13335</v>
      </c>
      <c r="C9076" s="4" t="s">
        <v>12080</v>
      </c>
      <c r="D9076" s="834">
        <v>29.14</v>
      </c>
    </row>
    <row r="9077" spans="1:4" x14ac:dyDescent="0.3">
      <c r="A9077" s="4">
        <v>2573</v>
      </c>
      <c r="B9077" s="833" t="s">
        <v>13336</v>
      </c>
      <c r="C9077" s="4" t="s">
        <v>12080</v>
      </c>
      <c r="D9077" s="834">
        <v>12.1</v>
      </c>
    </row>
    <row r="9078" spans="1:4" x14ac:dyDescent="0.3">
      <c r="A9078" s="4">
        <v>2586</v>
      </c>
      <c r="B9078" s="833" t="s">
        <v>13337</v>
      </c>
      <c r="C9078" s="4" t="s">
        <v>12080</v>
      </c>
      <c r="D9078" s="834">
        <v>19.62</v>
      </c>
    </row>
    <row r="9079" spans="1:4" x14ac:dyDescent="0.3">
      <c r="A9079" s="4">
        <v>2577</v>
      </c>
      <c r="B9079" s="833" t="s">
        <v>13338</v>
      </c>
      <c r="C9079" s="4" t="s">
        <v>12080</v>
      </c>
      <c r="D9079" s="834">
        <v>52.53</v>
      </c>
    </row>
    <row r="9080" spans="1:4" x14ac:dyDescent="0.3">
      <c r="A9080" s="4">
        <v>2574</v>
      </c>
      <c r="B9080" s="833" t="s">
        <v>13339</v>
      </c>
      <c r="C9080" s="4" t="s">
        <v>12080</v>
      </c>
      <c r="D9080" s="834">
        <v>12.18</v>
      </c>
    </row>
    <row r="9081" spans="1:4" x14ac:dyDescent="0.3">
      <c r="A9081" s="4">
        <v>2578</v>
      </c>
      <c r="B9081" s="833" t="s">
        <v>13340</v>
      </c>
      <c r="C9081" s="4" t="s">
        <v>12080</v>
      </c>
      <c r="D9081" s="834">
        <v>164.01</v>
      </c>
    </row>
    <row r="9082" spans="1:4" x14ac:dyDescent="0.3">
      <c r="A9082" s="4">
        <v>2585</v>
      </c>
      <c r="B9082" s="833" t="s">
        <v>13341</v>
      </c>
      <c r="C9082" s="4" t="s">
        <v>12080</v>
      </c>
      <c r="D9082" s="834">
        <v>225.06</v>
      </c>
    </row>
    <row r="9083" spans="1:4" x14ac:dyDescent="0.3">
      <c r="A9083" s="4">
        <v>12008</v>
      </c>
      <c r="B9083" s="833" t="s">
        <v>13342</v>
      </c>
      <c r="C9083" s="4" t="s">
        <v>12080</v>
      </c>
      <c r="D9083" s="834">
        <v>120.75</v>
      </c>
    </row>
    <row r="9084" spans="1:4" x14ac:dyDescent="0.3">
      <c r="A9084" s="4">
        <v>2582</v>
      </c>
      <c r="B9084" s="833" t="s">
        <v>13343</v>
      </c>
      <c r="C9084" s="4" t="s">
        <v>12080</v>
      </c>
      <c r="D9084" s="834">
        <v>35.96</v>
      </c>
    </row>
    <row r="9085" spans="1:4" x14ac:dyDescent="0.3">
      <c r="A9085" s="4">
        <v>2597</v>
      </c>
      <c r="B9085" s="833" t="s">
        <v>13344</v>
      </c>
      <c r="C9085" s="4" t="s">
        <v>12080</v>
      </c>
      <c r="D9085" s="834">
        <v>30.82</v>
      </c>
    </row>
    <row r="9086" spans="1:4" x14ac:dyDescent="0.3">
      <c r="A9086" s="4">
        <v>2579</v>
      </c>
      <c r="B9086" s="833" t="s">
        <v>13345</v>
      </c>
      <c r="C9086" s="4" t="s">
        <v>12080</v>
      </c>
      <c r="D9086" s="834">
        <v>14.67</v>
      </c>
    </row>
    <row r="9087" spans="1:4" x14ac:dyDescent="0.3">
      <c r="A9087" s="4">
        <v>2581</v>
      </c>
      <c r="B9087" s="833" t="s">
        <v>13346</v>
      </c>
      <c r="C9087" s="4" t="s">
        <v>12080</v>
      </c>
      <c r="D9087" s="834">
        <v>18.77</v>
      </c>
    </row>
    <row r="9088" spans="1:4" x14ac:dyDescent="0.3">
      <c r="A9088" s="4">
        <v>2596</v>
      </c>
      <c r="B9088" s="833" t="s">
        <v>13347</v>
      </c>
      <c r="C9088" s="4" t="s">
        <v>12080</v>
      </c>
      <c r="D9088" s="834">
        <v>55.53</v>
      </c>
    </row>
    <row r="9089" spans="1:4" x14ac:dyDescent="0.3">
      <c r="A9089" s="4">
        <v>2580</v>
      </c>
      <c r="B9089" s="833" t="s">
        <v>13348</v>
      </c>
      <c r="C9089" s="4" t="s">
        <v>12080</v>
      </c>
      <c r="D9089" s="834">
        <v>16.079999999999998</v>
      </c>
    </row>
    <row r="9090" spans="1:4" x14ac:dyDescent="0.3">
      <c r="A9090" s="4">
        <v>2583</v>
      </c>
      <c r="B9090" s="833" t="s">
        <v>13349</v>
      </c>
      <c r="C9090" s="4" t="s">
        <v>12080</v>
      </c>
      <c r="D9090" s="834">
        <v>135.06</v>
      </c>
    </row>
    <row r="9091" spans="1:4" x14ac:dyDescent="0.3">
      <c r="A9091" s="4">
        <v>2584</v>
      </c>
      <c r="B9091" s="833" t="s">
        <v>13350</v>
      </c>
      <c r="C9091" s="4" t="s">
        <v>12080</v>
      </c>
      <c r="D9091" s="834">
        <v>224.83</v>
      </c>
    </row>
    <row r="9092" spans="1:4" x14ac:dyDescent="0.3">
      <c r="A9092" s="4">
        <v>12010</v>
      </c>
      <c r="B9092" s="833" t="s">
        <v>13351</v>
      </c>
      <c r="C9092" s="4" t="s">
        <v>12080</v>
      </c>
      <c r="D9092" s="834">
        <v>11.02</v>
      </c>
    </row>
    <row r="9093" spans="1:4" x14ac:dyDescent="0.3">
      <c r="A9093" s="4">
        <v>39329</v>
      </c>
      <c r="B9093" s="833" t="s">
        <v>13352</v>
      </c>
      <c r="C9093" s="4" t="s">
        <v>12080</v>
      </c>
      <c r="D9093" s="834">
        <v>11.53</v>
      </c>
    </row>
    <row r="9094" spans="1:4" x14ac:dyDescent="0.3">
      <c r="A9094" s="4">
        <v>39330</v>
      </c>
      <c r="B9094" s="833" t="s">
        <v>13353</v>
      </c>
      <c r="C9094" s="4" t="s">
        <v>12080</v>
      </c>
      <c r="D9094" s="834">
        <v>12.13</v>
      </c>
    </row>
    <row r="9095" spans="1:4" x14ac:dyDescent="0.3">
      <c r="A9095" s="4">
        <v>39332</v>
      </c>
      <c r="B9095" s="833" t="s">
        <v>13354</v>
      </c>
      <c r="C9095" s="4" t="s">
        <v>12080</v>
      </c>
      <c r="D9095" s="834">
        <v>13.55</v>
      </c>
    </row>
    <row r="9096" spans="1:4" x14ac:dyDescent="0.3">
      <c r="A9096" s="4">
        <v>39331</v>
      </c>
      <c r="B9096" s="833" t="s">
        <v>13355</v>
      </c>
      <c r="C9096" s="4" t="s">
        <v>12080</v>
      </c>
      <c r="D9096" s="834">
        <v>10.79</v>
      </c>
    </row>
    <row r="9097" spans="1:4" x14ac:dyDescent="0.3">
      <c r="A9097" s="4">
        <v>39333</v>
      </c>
      <c r="B9097" s="833" t="s">
        <v>13356</v>
      </c>
      <c r="C9097" s="4" t="s">
        <v>12080</v>
      </c>
      <c r="D9097" s="834">
        <v>10.52</v>
      </c>
    </row>
    <row r="9098" spans="1:4" x14ac:dyDescent="0.3">
      <c r="A9098" s="4">
        <v>39335</v>
      </c>
      <c r="B9098" s="833" t="s">
        <v>13357</v>
      </c>
      <c r="C9098" s="4" t="s">
        <v>12080</v>
      </c>
      <c r="D9098" s="834">
        <v>12.17</v>
      </c>
    </row>
    <row r="9099" spans="1:4" x14ac:dyDescent="0.3">
      <c r="A9099" s="4">
        <v>39334</v>
      </c>
      <c r="B9099" s="833" t="s">
        <v>13358</v>
      </c>
      <c r="C9099" s="4" t="s">
        <v>12080</v>
      </c>
      <c r="D9099" s="834">
        <v>9.67</v>
      </c>
    </row>
    <row r="9100" spans="1:4" x14ac:dyDescent="0.3">
      <c r="A9100" s="4">
        <v>12016</v>
      </c>
      <c r="B9100" s="833" t="s">
        <v>13359</v>
      </c>
      <c r="C9100" s="4" t="s">
        <v>12080</v>
      </c>
      <c r="D9100" s="834">
        <v>12.14</v>
      </c>
    </row>
    <row r="9101" spans="1:4" x14ac:dyDescent="0.3">
      <c r="A9101" s="4">
        <v>12015</v>
      </c>
      <c r="B9101" s="833" t="s">
        <v>13360</v>
      </c>
      <c r="C9101" s="4" t="s">
        <v>12080</v>
      </c>
      <c r="D9101" s="834">
        <v>14.13</v>
      </c>
    </row>
    <row r="9102" spans="1:4" x14ac:dyDescent="0.3">
      <c r="A9102" s="4">
        <v>12020</v>
      </c>
      <c r="B9102" s="833" t="s">
        <v>13361</v>
      </c>
      <c r="C9102" s="4" t="s">
        <v>12080</v>
      </c>
      <c r="D9102" s="834">
        <v>12.14</v>
      </c>
    </row>
    <row r="9103" spans="1:4" x14ac:dyDescent="0.3">
      <c r="A9103" s="4">
        <v>12019</v>
      </c>
      <c r="B9103" s="833" t="s">
        <v>13362</v>
      </c>
      <c r="C9103" s="4" t="s">
        <v>12080</v>
      </c>
      <c r="D9103" s="834">
        <v>14.13</v>
      </c>
    </row>
    <row r="9104" spans="1:4" x14ac:dyDescent="0.3">
      <c r="A9104" s="4">
        <v>39336</v>
      </c>
      <c r="B9104" s="833" t="s">
        <v>13363</v>
      </c>
      <c r="C9104" s="4" t="s">
        <v>12080</v>
      </c>
      <c r="D9104" s="834">
        <v>12.13</v>
      </c>
    </row>
    <row r="9105" spans="1:4" x14ac:dyDescent="0.3">
      <c r="A9105" s="4">
        <v>39338</v>
      </c>
      <c r="B9105" s="833" t="s">
        <v>13364</v>
      </c>
      <c r="C9105" s="4" t="s">
        <v>12080</v>
      </c>
      <c r="D9105" s="834">
        <v>13.55</v>
      </c>
    </row>
    <row r="9106" spans="1:4" x14ac:dyDescent="0.3">
      <c r="A9106" s="4">
        <v>39337</v>
      </c>
      <c r="B9106" s="833" t="s">
        <v>13365</v>
      </c>
      <c r="C9106" s="4" t="s">
        <v>12080</v>
      </c>
      <c r="D9106" s="834">
        <v>10.79</v>
      </c>
    </row>
    <row r="9107" spans="1:4" x14ac:dyDescent="0.3">
      <c r="A9107" s="4">
        <v>39341</v>
      </c>
      <c r="B9107" s="833" t="s">
        <v>13366</v>
      </c>
      <c r="C9107" s="4" t="s">
        <v>12080</v>
      </c>
      <c r="D9107" s="834">
        <v>17.66</v>
      </c>
    </row>
    <row r="9108" spans="1:4" x14ac:dyDescent="0.3">
      <c r="A9108" s="4">
        <v>39340</v>
      </c>
      <c r="B9108" s="833" t="s">
        <v>13367</v>
      </c>
      <c r="C9108" s="4" t="s">
        <v>12080</v>
      </c>
      <c r="D9108" s="834">
        <v>12.97</v>
      </c>
    </row>
    <row r="9109" spans="1:4" x14ac:dyDescent="0.3">
      <c r="A9109" s="4">
        <v>12025</v>
      </c>
      <c r="B9109" s="833" t="s">
        <v>13368</v>
      </c>
      <c r="C9109" s="4" t="s">
        <v>12080</v>
      </c>
      <c r="D9109" s="834">
        <v>13.4</v>
      </c>
    </row>
    <row r="9110" spans="1:4" x14ac:dyDescent="0.3">
      <c r="A9110" s="4">
        <v>39342</v>
      </c>
      <c r="B9110" s="833" t="s">
        <v>13369</v>
      </c>
      <c r="C9110" s="4" t="s">
        <v>12080</v>
      </c>
      <c r="D9110" s="834">
        <v>17.66</v>
      </c>
    </row>
    <row r="9111" spans="1:4" x14ac:dyDescent="0.3">
      <c r="A9111" s="4">
        <v>39343</v>
      </c>
      <c r="B9111" s="833" t="s">
        <v>13370</v>
      </c>
      <c r="C9111" s="4" t="s">
        <v>12080</v>
      </c>
      <c r="D9111" s="834">
        <v>14.92</v>
      </c>
    </row>
    <row r="9112" spans="1:4" x14ac:dyDescent="0.3">
      <c r="A9112" s="4">
        <v>39345</v>
      </c>
      <c r="B9112" s="833" t="s">
        <v>13371</v>
      </c>
      <c r="C9112" s="4" t="s">
        <v>12080</v>
      </c>
      <c r="D9112" s="834">
        <v>20.190000000000001</v>
      </c>
    </row>
    <row r="9113" spans="1:4" x14ac:dyDescent="0.3">
      <c r="A9113" s="4">
        <v>39344</v>
      </c>
      <c r="B9113" s="833" t="s">
        <v>13372</v>
      </c>
      <c r="C9113" s="4" t="s">
        <v>12080</v>
      </c>
      <c r="D9113" s="834">
        <v>14.42</v>
      </c>
    </row>
    <row r="9114" spans="1:4" x14ac:dyDescent="0.3">
      <c r="A9114" s="4">
        <v>12623</v>
      </c>
      <c r="B9114" s="833" t="s">
        <v>13373</v>
      </c>
      <c r="C9114" s="4" t="s">
        <v>1803</v>
      </c>
      <c r="D9114" s="834">
        <v>45.43</v>
      </c>
    </row>
    <row r="9115" spans="1:4" x14ac:dyDescent="0.3">
      <c r="A9115" s="4">
        <v>34498</v>
      </c>
      <c r="B9115" s="833" t="s">
        <v>13374</v>
      </c>
      <c r="C9115" s="4" t="s">
        <v>12080</v>
      </c>
      <c r="D9115" s="834">
        <v>93.84</v>
      </c>
    </row>
    <row r="9116" spans="1:4" x14ac:dyDescent="0.3">
      <c r="A9116" s="4">
        <v>13244</v>
      </c>
      <c r="B9116" s="833" t="s">
        <v>13375</v>
      </c>
      <c r="C9116" s="4" t="s">
        <v>12080</v>
      </c>
      <c r="D9116" s="834">
        <v>39.5</v>
      </c>
    </row>
    <row r="9117" spans="1:4" x14ac:dyDescent="0.3">
      <c r="A9117" s="4">
        <v>38998</v>
      </c>
      <c r="B9117" s="833" t="s">
        <v>13376</v>
      </c>
      <c r="C9117" s="4" t="s">
        <v>12080</v>
      </c>
      <c r="D9117" s="834">
        <v>11.99</v>
      </c>
    </row>
    <row r="9118" spans="1:4" x14ac:dyDescent="0.3">
      <c r="A9118" s="4">
        <v>38999</v>
      </c>
      <c r="B9118" s="833" t="s">
        <v>13377</v>
      </c>
      <c r="C9118" s="4" t="s">
        <v>12080</v>
      </c>
      <c r="D9118" s="834">
        <v>30.31</v>
      </c>
    </row>
    <row r="9119" spans="1:4" x14ac:dyDescent="0.3">
      <c r="A9119" s="4">
        <v>38996</v>
      </c>
      <c r="B9119" s="833" t="s">
        <v>13378</v>
      </c>
      <c r="C9119" s="4" t="s">
        <v>12080</v>
      </c>
      <c r="D9119" s="834">
        <v>21.42</v>
      </c>
    </row>
    <row r="9120" spans="1:4" x14ac:dyDescent="0.3">
      <c r="A9120" s="4">
        <v>44173</v>
      </c>
      <c r="B9120" s="833" t="s">
        <v>13379</v>
      </c>
      <c r="C9120" s="4" t="s">
        <v>12080</v>
      </c>
      <c r="D9120" s="834">
        <v>20.83</v>
      </c>
    </row>
    <row r="9121" spans="1:4" x14ac:dyDescent="0.3">
      <c r="A9121" s="4">
        <v>44174</v>
      </c>
      <c r="B9121" s="833" t="s">
        <v>13380</v>
      </c>
      <c r="C9121" s="4" t="s">
        <v>12080</v>
      </c>
      <c r="D9121" s="834">
        <v>34.1</v>
      </c>
    </row>
    <row r="9122" spans="1:4" x14ac:dyDescent="0.3">
      <c r="A9122" s="4">
        <v>38997</v>
      </c>
      <c r="B9122" s="833" t="s">
        <v>13381</v>
      </c>
      <c r="C9122" s="4" t="s">
        <v>12080</v>
      </c>
      <c r="D9122" s="834">
        <v>30.64</v>
      </c>
    </row>
    <row r="9123" spans="1:4" x14ac:dyDescent="0.3">
      <c r="A9123" s="4">
        <v>39600</v>
      </c>
      <c r="B9123" s="833" t="s">
        <v>13382</v>
      </c>
      <c r="C9123" s="4" t="s">
        <v>12080</v>
      </c>
      <c r="D9123" s="834">
        <v>18.350000000000001</v>
      </c>
    </row>
    <row r="9124" spans="1:4" x14ac:dyDescent="0.3">
      <c r="A9124" s="4">
        <v>39601</v>
      </c>
      <c r="B9124" s="833" t="s">
        <v>13383</v>
      </c>
      <c r="C9124" s="4" t="s">
        <v>12080</v>
      </c>
      <c r="D9124" s="834">
        <v>38.93</v>
      </c>
    </row>
    <row r="9125" spans="1:4" x14ac:dyDescent="0.3">
      <c r="A9125" s="4">
        <v>39862</v>
      </c>
      <c r="B9125" s="833" t="s">
        <v>13384</v>
      </c>
      <c r="C9125" s="4" t="s">
        <v>12080</v>
      </c>
      <c r="D9125" s="834">
        <v>23.5</v>
      </c>
    </row>
    <row r="9126" spans="1:4" x14ac:dyDescent="0.3">
      <c r="A9126" s="4">
        <v>39863</v>
      </c>
      <c r="B9126" s="833" t="s">
        <v>13385</v>
      </c>
      <c r="C9126" s="4" t="s">
        <v>12080</v>
      </c>
      <c r="D9126" s="834">
        <v>23.83</v>
      </c>
    </row>
    <row r="9127" spans="1:4" x14ac:dyDescent="0.3">
      <c r="A9127" s="4">
        <v>39864</v>
      </c>
      <c r="B9127" s="833" t="s">
        <v>13386</v>
      </c>
      <c r="C9127" s="4" t="s">
        <v>12080</v>
      </c>
      <c r="D9127" s="834">
        <v>29.57</v>
      </c>
    </row>
    <row r="9128" spans="1:4" x14ac:dyDescent="0.3">
      <c r="A9128" s="4">
        <v>39865</v>
      </c>
      <c r="B9128" s="833" t="s">
        <v>13387</v>
      </c>
      <c r="C9128" s="4" t="s">
        <v>12080</v>
      </c>
      <c r="D9128" s="834">
        <v>41.67</v>
      </c>
    </row>
    <row r="9129" spans="1:4" x14ac:dyDescent="0.3">
      <c r="A9129" s="4">
        <v>2517</v>
      </c>
      <c r="B9129" s="833" t="s">
        <v>13388</v>
      </c>
      <c r="C9129" s="4" t="s">
        <v>12080</v>
      </c>
      <c r="D9129" s="834">
        <v>22.4</v>
      </c>
    </row>
    <row r="9130" spans="1:4" x14ac:dyDescent="0.3">
      <c r="A9130" s="4">
        <v>2522</v>
      </c>
      <c r="B9130" s="833" t="s">
        <v>13389</v>
      </c>
      <c r="C9130" s="4" t="s">
        <v>12080</v>
      </c>
      <c r="D9130" s="834">
        <v>14.48</v>
      </c>
    </row>
    <row r="9131" spans="1:4" x14ac:dyDescent="0.3">
      <c r="A9131" s="4">
        <v>2548</v>
      </c>
      <c r="B9131" s="833" t="s">
        <v>13390</v>
      </c>
      <c r="C9131" s="4" t="s">
        <v>12080</v>
      </c>
      <c r="D9131" s="834">
        <v>8.9</v>
      </c>
    </row>
    <row r="9132" spans="1:4" x14ac:dyDescent="0.3">
      <c r="A9132" s="4">
        <v>2516</v>
      </c>
      <c r="B9132" s="833" t="s">
        <v>13391</v>
      </c>
      <c r="C9132" s="4" t="s">
        <v>12080</v>
      </c>
      <c r="D9132" s="834">
        <v>11.62</v>
      </c>
    </row>
    <row r="9133" spans="1:4" x14ac:dyDescent="0.3">
      <c r="A9133" s="4">
        <v>2518</v>
      </c>
      <c r="B9133" s="833" t="s">
        <v>13392</v>
      </c>
      <c r="C9133" s="4" t="s">
        <v>12080</v>
      </c>
      <c r="D9133" s="834">
        <v>106.63</v>
      </c>
    </row>
    <row r="9134" spans="1:4" x14ac:dyDescent="0.3">
      <c r="A9134" s="4">
        <v>2521</v>
      </c>
      <c r="B9134" s="833" t="s">
        <v>13393</v>
      </c>
      <c r="C9134" s="4" t="s">
        <v>12080</v>
      </c>
      <c r="D9134" s="834">
        <v>45.39</v>
      </c>
    </row>
    <row r="9135" spans="1:4" x14ac:dyDescent="0.3">
      <c r="A9135" s="4">
        <v>2515</v>
      </c>
      <c r="B9135" s="833" t="s">
        <v>13394</v>
      </c>
      <c r="C9135" s="4" t="s">
        <v>12080</v>
      </c>
      <c r="D9135" s="834">
        <v>9.67</v>
      </c>
    </row>
    <row r="9136" spans="1:4" x14ac:dyDescent="0.3">
      <c r="A9136" s="4">
        <v>2519</v>
      </c>
      <c r="B9136" s="833" t="s">
        <v>13395</v>
      </c>
      <c r="C9136" s="4" t="s">
        <v>12080</v>
      </c>
      <c r="D9136" s="834">
        <v>128.57</v>
      </c>
    </row>
    <row r="9137" spans="1:4" x14ac:dyDescent="0.3">
      <c r="A9137" s="4">
        <v>2520</v>
      </c>
      <c r="B9137" s="833" t="s">
        <v>13396</v>
      </c>
      <c r="C9137" s="4" t="s">
        <v>12080</v>
      </c>
      <c r="D9137" s="834">
        <v>236.64</v>
      </c>
    </row>
    <row r="9138" spans="1:4" x14ac:dyDescent="0.3">
      <c r="A9138" s="4">
        <v>1602</v>
      </c>
      <c r="B9138" s="833" t="s">
        <v>13397</v>
      </c>
      <c r="C9138" s="4" t="s">
        <v>12080</v>
      </c>
      <c r="D9138" s="834">
        <v>51.41</v>
      </c>
    </row>
    <row r="9139" spans="1:4" x14ac:dyDescent="0.3">
      <c r="A9139" s="4">
        <v>1601</v>
      </c>
      <c r="B9139" s="833" t="s">
        <v>13398</v>
      </c>
      <c r="C9139" s="4" t="s">
        <v>12080</v>
      </c>
      <c r="D9139" s="834">
        <v>45.82</v>
      </c>
    </row>
    <row r="9140" spans="1:4" x14ac:dyDescent="0.3">
      <c r="A9140" s="4">
        <v>1598</v>
      </c>
      <c r="B9140" s="833" t="s">
        <v>13399</v>
      </c>
      <c r="C9140" s="4" t="s">
        <v>12080</v>
      </c>
      <c r="D9140" s="834">
        <v>13.56</v>
      </c>
    </row>
    <row r="9141" spans="1:4" x14ac:dyDescent="0.3">
      <c r="A9141" s="4">
        <v>1600</v>
      </c>
      <c r="B9141" s="833" t="s">
        <v>13400</v>
      </c>
      <c r="C9141" s="4" t="s">
        <v>12080</v>
      </c>
      <c r="D9141" s="834">
        <v>20.010000000000002</v>
      </c>
    </row>
    <row r="9142" spans="1:4" x14ac:dyDescent="0.3">
      <c r="A9142" s="4">
        <v>1603</v>
      </c>
      <c r="B9142" s="833" t="s">
        <v>13401</v>
      </c>
      <c r="C9142" s="4" t="s">
        <v>12080</v>
      </c>
      <c r="D9142" s="834">
        <v>77.62</v>
      </c>
    </row>
    <row r="9143" spans="1:4" x14ac:dyDescent="0.3">
      <c r="A9143" s="4">
        <v>1599</v>
      </c>
      <c r="B9143" s="833" t="s">
        <v>13402</v>
      </c>
      <c r="C9143" s="4" t="s">
        <v>12080</v>
      </c>
      <c r="D9143" s="834">
        <v>15.73</v>
      </c>
    </row>
    <row r="9144" spans="1:4" x14ac:dyDescent="0.3">
      <c r="A9144" s="4">
        <v>1597</v>
      </c>
      <c r="B9144" s="833" t="s">
        <v>13403</v>
      </c>
      <c r="C9144" s="4" t="s">
        <v>12080</v>
      </c>
      <c r="D9144" s="834">
        <v>12.75</v>
      </c>
    </row>
    <row r="9145" spans="1:4" x14ac:dyDescent="0.3">
      <c r="A9145" s="4">
        <v>39602</v>
      </c>
      <c r="B9145" s="833" t="s">
        <v>13404</v>
      </c>
      <c r="C9145" s="4" t="s">
        <v>12080</v>
      </c>
      <c r="D9145" s="834">
        <v>1.94</v>
      </c>
    </row>
    <row r="9146" spans="1:4" x14ac:dyDescent="0.3">
      <c r="A9146" s="4">
        <v>39603</v>
      </c>
      <c r="B9146" s="833" t="s">
        <v>13405</v>
      </c>
      <c r="C9146" s="4" t="s">
        <v>12080</v>
      </c>
      <c r="D9146" s="834">
        <v>4.1500000000000004</v>
      </c>
    </row>
    <row r="9147" spans="1:4" x14ac:dyDescent="0.3">
      <c r="A9147" s="4">
        <v>11821</v>
      </c>
      <c r="B9147" s="833" t="s">
        <v>13406</v>
      </c>
      <c r="C9147" s="4" t="s">
        <v>12080</v>
      </c>
      <c r="D9147" s="834">
        <v>10.47</v>
      </c>
    </row>
    <row r="9148" spans="1:4" x14ac:dyDescent="0.3">
      <c r="A9148" s="4">
        <v>1562</v>
      </c>
      <c r="B9148" s="833" t="s">
        <v>13407</v>
      </c>
      <c r="C9148" s="4" t="s">
        <v>12080</v>
      </c>
      <c r="D9148" s="834">
        <v>17.149999999999999</v>
      </c>
    </row>
    <row r="9149" spans="1:4" x14ac:dyDescent="0.3">
      <c r="A9149" s="4">
        <v>1563</v>
      </c>
      <c r="B9149" s="833" t="s">
        <v>13408</v>
      </c>
      <c r="C9149" s="4" t="s">
        <v>12080</v>
      </c>
      <c r="D9149" s="834">
        <v>23.01</v>
      </c>
    </row>
    <row r="9150" spans="1:4" x14ac:dyDescent="0.3">
      <c r="A9150" s="4">
        <v>11856</v>
      </c>
      <c r="B9150" s="833" t="s">
        <v>13409</v>
      </c>
      <c r="C9150" s="4" t="s">
        <v>12080</v>
      </c>
      <c r="D9150" s="834">
        <v>6.86</v>
      </c>
    </row>
    <row r="9151" spans="1:4" x14ac:dyDescent="0.3">
      <c r="A9151" s="4">
        <v>11857</v>
      </c>
      <c r="B9151" s="833" t="s">
        <v>13410</v>
      </c>
      <c r="C9151" s="4" t="s">
        <v>12080</v>
      </c>
      <c r="D9151" s="834">
        <v>36.1</v>
      </c>
    </row>
    <row r="9152" spans="1:4" x14ac:dyDescent="0.3">
      <c r="A9152" s="4">
        <v>11858</v>
      </c>
      <c r="B9152" s="833" t="s">
        <v>13411</v>
      </c>
      <c r="C9152" s="4" t="s">
        <v>12080</v>
      </c>
      <c r="D9152" s="834">
        <v>44.81</v>
      </c>
    </row>
    <row r="9153" spans="1:4" x14ac:dyDescent="0.3">
      <c r="A9153" s="4">
        <v>1539</v>
      </c>
      <c r="B9153" s="833" t="s">
        <v>13412</v>
      </c>
      <c r="C9153" s="4" t="s">
        <v>12080</v>
      </c>
      <c r="D9153" s="834">
        <v>8.06</v>
      </c>
    </row>
    <row r="9154" spans="1:4" x14ac:dyDescent="0.3">
      <c r="A9154" s="4">
        <v>11859</v>
      </c>
      <c r="B9154" s="833" t="s">
        <v>13413</v>
      </c>
      <c r="C9154" s="4" t="s">
        <v>12080</v>
      </c>
      <c r="D9154" s="834">
        <v>60.96</v>
      </c>
    </row>
    <row r="9155" spans="1:4" x14ac:dyDescent="0.3">
      <c r="A9155" s="4">
        <v>1550</v>
      </c>
      <c r="B9155" s="833" t="s">
        <v>13414</v>
      </c>
      <c r="C9155" s="4" t="s">
        <v>12080</v>
      </c>
      <c r="D9155" s="834">
        <v>8.5</v>
      </c>
    </row>
    <row r="9156" spans="1:4" x14ac:dyDescent="0.3">
      <c r="A9156" s="4">
        <v>11854</v>
      </c>
      <c r="B9156" s="833" t="s">
        <v>13415</v>
      </c>
      <c r="C9156" s="4" t="s">
        <v>12080</v>
      </c>
      <c r="D9156" s="834">
        <v>10.63</v>
      </c>
    </row>
    <row r="9157" spans="1:4" x14ac:dyDescent="0.3">
      <c r="A9157" s="4">
        <v>11862</v>
      </c>
      <c r="B9157" s="833" t="s">
        <v>13416</v>
      </c>
      <c r="C9157" s="4" t="s">
        <v>12080</v>
      </c>
      <c r="D9157" s="834">
        <v>14.91</v>
      </c>
    </row>
    <row r="9158" spans="1:4" x14ac:dyDescent="0.3">
      <c r="A9158" s="4">
        <v>11863</v>
      </c>
      <c r="B9158" s="833" t="s">
        <v>13417</v>
      </c>
      <c r="C9158" s="4" t="s">
        <v>12080</v>
      </c>
      <c r="D9158" s="834">
        <v>6.02</v>
      </c>
    </row>
    <row r="9159" spans="1:4" x14ac:dyDescent="0.3">
      <c r="A9159" s="4">
        <v>11855</v>
      </c>
      <c r="B9159" s="833" t="s">
        <v>13418</v>
      </c>
      <c r="C9159" s="4" t="s">
        <v>12080</v>
      </c>
      <c r="D9159" s="834">
        <v>22.25</v>
      </c>
    </row>
    <row r="9160" spans="1:4" x14ac:dyDescent="0.3">
      <c r="A9160" s="4">
        <v>11864</v>
      </c>
      <c r="B9160" s="833" t="s">
        <v>13419</v>
      </c>
      <c r="C9160" s="4" t="s">
        <v>12080</v>
      </c>
      <c r="D9160" s="834">
        <v>33.64</v>
      </c>
    </row>
    <row r="9161" spans="1:4" x14ac:dyDescent="0.3">
      <c r="A9161" s="4">
        <v>2527</v>
      </c>
      <c r="B9161" s="833" t="s">
        <v>13420</v>
      </c>
      <c r="C9161" s="4" t="s">
        <v>12080</v>
      </c>
      <c r="D9161" s="834">
        <v>8.02</v>
      </c>
    </row>
    <row r="9162" spans="1:4" x14ac:dyDescent="0.3">
      <c r="A9162" s="4">
        <v>2526</v>
      </c>
      <c r="B9162" s="833" t="s">
        <v>13421</v>
      </c>
      <c r="C9162" s="4" t="s">
        <v>12080</v>
      </c>
      <c r="D9162" s="834">
        <v>5.14</v>
      </c>
    </row>
    <row r="9163" spans="1:4" x14ac:dyDescent="0.3">
      <c r="A9163" s="4">
        <v>2487</v>
      </c>
      <c r="B9163" s="833" t="s">
        <v>13422</v>
      </c>
      <c r="C9163" s="4" t="s">
        <v>12080</v>
      </c>
      <c r="D9163" s="834">
        <v>1.75</v>
      </c>
    </row>
    <row r="9164" spans="1:4" x14ac:dyDescent="0.3">
      <c r="A9164" s="4">
        <v>2483</v>
      </c>
      <c r="B9164" s="833" t="s">
        <v>13423</v>
      </c>
      <c r="C9164" s="4" t="s">
        <v>12080</v>
      </c>
      <c r="D9164" s="834">
        <v>3.66</v>
      </c>
    </row>
    <row r="9165" spans="1:4" x14ac:dyDescent="0.3">
      <c r="A9165" s="4">
        <v>2528</v>
      </c>
      <c r="B9165" s="833" t="s">
        <v>13424</v>
      </c>
      <c r="C9165" s="4" t="s">
        <v>12080</v>
      </c>
      <c r="D9165" s="834">
        <v>20.170000000000002</v>
      </c>
    </row>
    <row r="9166" spans="1:4" x14ac:dyDescent="0.3">
      <c r="A9166" s="4">
        <v>2489</v>
      </c>
      <c r="B9166" s="833" t="s">
        <v>13425</v>
      </c>
      <c r="C9166" s="4" t="s">
        <v>12080</v>
      </c>
      <c r="D9166" s="834">
        <v>8.8800000000000008</v>
      </c>
    </row>
    <row r="9167" spans="1:4" x14ac:dyDescent="0.3">
      <c r="A9167" s="4">
        <v>2488</v>
      </c>
      <c r="B9167" s="833" t="s">
        <v>13426</v>
      </c>
      <c r="C9167" s="4" t="s">
        <v>12080</v>
      </c>
      <c r="D9167" s="834">
        <v>2.0499999999999998</v>
      </c>
    </row>
    <row r="9168" spans="1:4" x14ac:dyDescent="0.3">
      <c r="A9168" s="4">
        <v>2484</v>
      </c>
      <c r="B9168" s="833" t="s">
        <v>13427</v>
      </c>
      <c r="C9168" s="4" t="s">
        <v>12080</v>
      </c>
      <c r="D9168" s="834">
        <v>29.3</v>
      </c>
    </row>
    <row r="9169" spans="1:4" x14ac:dyDescent="0.3">
      <c r="A9169" s="4">
        <v>2485</v>
      </c>
      <c r="B9169" s="833" t="s">
        <v>13428</v>
      </c>
      <c r="C9169" s="4" t="s">
        <v>12080</v>
      </c>
      <c r="D9169" s="834">
        <v>45.93</v>
      </c>
    </row>
    <row r="9170" spans="1:4" x14ac:dyDescent="0.3">
      <c r="A9170" s="4">
        <v>39279</v>
      </c>
      <c r="B9170" s="833" t="s">
        <v>13429</v>
      </c>
      <c r="C9170" s="4" t="s">
        <v>12080</v>
      </c>
      <c r="D9170" s="834">
        <v>9.56</v>
      </c>
    </row>
    <row r="9171" spans="1:4" x14ac:dyDescent="0.3">
      <c r="A9171" s="4">
        <v>39280</v>
      </c>
      <c r="B9171" s="833" t="s">
        <v>13430</v>
      </c>
      <c r="C9171" s="4" t="s">
        <v>12080</v>
      </c>
      <c r="D9171" s="834">
        <v>10.7</v>
      </c>
    </row>
    <row r="9172" spans="1:4" x14ac:dyDescent="0.3">
      <c r="A9172" s="4">
        <v>39281</v>
      </c>
      <c r="B9172" s="833" t="s">
        <v>13431</v>
      </c>
      <c r="C9172" s="4" t="s">
        <v>12080</v>
      </c>
      <c r="D9172" s="834">
        <v>14.15</v>
      </c>
    </row>
    <row r="9173" spans="1:4" x14ac:dyDescent="0.3">
      <c r="A9173" s="4">
        <v>39282</v>
      </c>
      <c r="B9173" s="833" t="s">
        <v>13432</v>
      </c>
      <c r="C9173" s="4" t="s">
        <v>12080</v>
      </c>
      <c r="D9173" s="834">
        <v>19.75</v>
      </c>
    </row>
    <row r="9174" spans="1:4" x14ac:dyDescent="0.3">
      <c r="A9174" s="4">
        <v>38844</v>
      </c>
      <c r="B9174" s="833" t="s">
        <v>13433</v>
      </c>
      <c r="C9174" s="4" t="s">
        <v>12080</v>
      </c>
      <c r="D9174" s="834">
        <v>9.69</v>
      </c>
    </row>
    <row r="9175" spans="1:4" x14ac:dyDescent="0.3">
      <c r="A9175" s="4">
        <v>38846</v>
      </c>
      <c r="B9175" s="833" t="s">
        <v>13434</v>
      </c>
      <c r="C9175" s="4" t="s">
        <v>12080</v>
      </c>
      <c r="D9175" s="834">
        <v>9.86</v>
      </c>
    </row>
    <row r="9176" spans="1:4" x14ac:dyDescent="0.3">
      <c r="A9176" s="4">
        <v>38847</v>
      </c>
      <c r="B9176" s="833" t="s">
        <v>13435</v>
      </c>
      <c r="C9176" s="4" t="s">
        <v>12080</v>
      </c>
      <c r="D9176" s="834">
        <v>11.55</v>
      </c>
    </row>
    <row r="9177" spans="1:4" x14ac:dyDescent="0.3">
      <c r="A9177" s="4">
        <v>38850</v>
      </c>
      <c r="B9177" s="833" t="s">
        <v>13436</v>
      </c>
      <c r="C9177" s="4" t="s">
        <v>12080</v>
      </c>
      <c r="D9177" s="834">
        <v>20.86</v>
      </c>
    </row>
    <row r="9178" spans="1:4" x14ac:dyDescent="0.3">
      <c r="A9178" s="4">
        <v>38848</v>
      </c>
      <c r="B9178" s="833" t="s">
        <v>13437</v>
      </c>
      <c r="C9178" s="4" t="s">
        <v>12080</v>
      </c>
      <c r="D9178" s="834">
        <v>13.67</v>
      </c>
    </row>
    <row r="9179" spans="1:4" x14ac:dyDescent="0.3">
      <c r="A9179" s="4">
        <v>38851</v>
      </c>
      <c r="B9179" s="833" t="s">
        <v>13438</v>
      </c>
      <c r="C9179" s="4" t="s">
        <v>12080</v>
      </c>
      <c r="D9179" s="834">
        <v>23.58</v>
      </c>
    </row>
    <row r="9180" spans="1:4" x14ac:dyDescent="0.3">
      <c r="A9180" s="4">
        <v>38854</v>
      </c>
      <c r="B9180" s="833" t="s">
        <v>13439</v>
      </c>
      <c r="C9180" s="4" t="s">
        <v>12080</v>
      </c>
      <c r="D9180" s="834">
        <v>10.24</v>
      </c>
    </row>
    <row r="9181" spans="1:4" x14ac:dyDescent="0.3">
      <c r="A9181" s="4">
        <v>44247</v>
      </c>
      <c r="B9181" s="833" t="s">
        <v>13440</v>
      </c>
      <c r="C9181" s="4" t="s">
        <v>12080</v>
      </c>
      <c r="D9181" s="834">
        <v>1599.35</v>
      </c>
    </row>
    <row r="9182" spans="1:4" x14ac:dyDescent="0.3">
      <c r="A9182" s="4">
        <v>38005</v>
      </c>
      <c r="B9182" s="833" t="s">
        <v>13441</v>
      </c>
      <c r="C9182" s="4" t="s">
        <v>12080</v>
      </c>
      <c r="D9182" s="834">
        <v>19.02</v>
      </c>
    </row>
    <row r="9183" spans="1:4" x14ac:dyDescent="0.3">
      <c r="A9183" s="4">
        <v>38006</v>
      </c>
      <c r="B9183" s="833" t="s">
        <v>13442</v>
      </c>
      <c r="C9183" s="4" t="s">
        <v>12080</v>
      </c>
      <c r="D9183" s="834">
        <v>25.27</v>
      </c>
    </row>
    <row r="9184" spans="1:4" x14ac:dyDescent="0.3">
      <c r="A9184" s="4">
        <v>38428</v>
      </c>
      <c r="B9184" s="833" t="s">
        <v>13443</v>
      </c>
      <c r="C9184" s="4" t="s">
        <v>12080</v>
      </c>
      <c r="D9184" s="834">
        <v>22.63</v>
      </c>
    </row>
    <row r="9185" spans="1:4" x14ac:dyDescent="0.3">
      <c r="A9185" s="4">
        <v>38007</v>
      </c>
      <c r="B9185" s="833" t="s">
        <v>13444</v>
      </c>
      <c r="C9185" s="4" t="s">
        <v>12080</v>
      </c>
      <c r="D9185" s="834">
        <v>29.16</v>
      </c>
    </row>
    <row r="9186" spans="1:4" x14ac:dyDescent="0.3">
      <c r="A9186" s="4">
        <v>38008</v>
      </c>
      <c r="B9186" s="833" t="s">
        <v>13445</v>
      </c>
      <c r="C9186" s="4" t="s">
        <v>12080</v>
      </c>
      <c r="D9186" s="834">
        <v>46.65</v>
      </c>
    </row>
    <row r="9187" spans="1:4" x14ac:dyDescent="0.3">
      <c r="A9187" s="4">
        <v>38009</v>
      </c>
      <c r="B9187" s="833" t="s">
        <v>13446</v>
      </c>
      <c r="C9187" s="4" t="s">
        <v>12080</v>
      </c>
      <c r="D9187" s="834">
        <v>57.12</v>
      </c>
    </row>
    <row r="9188" spans="1:4" x14ac:dyDescent="0.3">
      <c r="A9188" s="4">
        <v>44248</v>
      </c>
      <c r="B9188" s="833" t="s">
        <v>13447</v>
      </c>
      <c r="C9188" s="4" t="s">
        <v>12080</v>
      </c>
      <c r="D9188" s="834">
        <v>93.1</v>
      </c>
    </row>
    <row r="9189" spans="1:4" x14ac:dyDescent="0.3">
      <c r="A9189" s="4">
        <v>44249</v>
      </c>
      <c r="B9189" s="833" t="s">
        <v>13448</v>
      </c>
      <c r="C9189" s="4" t="s">
        <v>12080</v>
      </c>
      <c r="D9189" s="834">
        <v>359.19</v>
      </c>
    </row>
    <row r="9190" spans="1:4" x14ac:dyDescent="0.3">
      <c r="A9190" s="4">
        <v>44250</v>
      </c>
      <c r="B9190" s="833" t="s">
        <v>13449</v>
      </c>
      <c r="C9190" s="4" t="s">
        <v>12080</v>
      </c>
      <c r="D9190" s="834">
        <v>521.63</v>
      </c>
    </row>
    <row r="9191" spans="1:4" x14ac:dyDescent="0.3">
      <c r="A9191" s="4">
        <v>3104</v>
      </c>
      <c r="B9191" s="833" t="s">
        <v>13450</v>
      </c>
      <c r="C9191" s="4" t="s">
        <v>13451</v>
      </c>
      <c r="D9191" s="834">
        <v>168.99</v>
      </c>
    </row>
    <row r="9192" spans="1:4" x14ac:dyDescent="0.3">
      <c r="A9192" s="4">
        <v>1607</v>
      </c>
      <c r="B9192" s="833" t="s">
        <v>13452</v>
      </c>
      <c r="C9192" s="4" t="s">
        <v>13451</v>
      </c>
      <c r="D9192" s="834">
        <v>0.26</v>
      </c>
    </row>
    <row r="9193" spans="1:4" x14ac:dyDescent="0.3">
      <c r="A9193" s="4">
        <v>38169</v>
      </c>
      <c r="B9193" s="833" t="s">
        <v>13453</v>
      </c>
      <c r="C9193" s="4" t="s">
        <v>13451</v>
      </c>
      <c r="D9193" s="834">
        <v>79.040000000000006</v>
      </c>
    </row>
    <row r="9194" spans="1:4" x14ac:dyDescent="0.3">
      <c r="A9194" s="4">
        <v>6142</v>
      </c>
      <c r="B9194" s="833" t="s">
        <v>13454</v>
      </c>
      <c r="C9194" s="4" t="s">
        <v>12080</v>
      </c>
      <c r="D9194" s="834">
        <v>9.74</v>
      </c>
    </row>
    <row r="9195" spans="1:4" x14ac:dyDescent="0.3">
      <c r="A9195" s="4">
        <v>11686</v>
      </c>
      <c r="B9195" s="833" t="s">
        <v>13455</v>
      </c>
      <c r="C9195" s="4" t="s">
        <v>12080</v>
      </c>
      <c r="D9195" s="834">
        <v>13.52</v>
      </c>
    </row>
    <row r="9196" spans="1:4" x14ac:dyDescent="0.3">
      <c r="A9196" s="4">
        <v>37598</v>
      </c>
      <c r="B9196" s="833" t="s">
        <v>13456</v>
      </c>
      <c r="C9196" s="4" t="s">
        <v>12080</v>
      </c>
      <c r="D9196" s="834">
        <v>36.14</v>
      </c>
    </row>
    <row r="9197" spans="1:4" x14ac:dyDescent="0.3">
      <c r="A9197" s="4">
        <v>25398</v>
      </c>
      <c r="B9197" s="833" t="s">
        <v>13457</v>
      </c>
      <c r="C9197" s="4" t="s">
        <v>12080</v>
      </c>
      <c r="D9197" s="834">
        <v>4068.28</v>
      </c>
    </row>
    <row r="9198" spans="1:4" x14ac:dyDescent="0.3">
      <c r="A9198" s="4">
        <v>25399</v>
      </c>
      <c r="B9198" s="833" t="s">
        <v>13458</v>
      </c>
      <c r="C9198" s="4" t="s">
        <v>12080</v>
      </c>
      <c r="D9198" s="834">
        <v>2469.8000000000002</v>
      </c>
    </row>
    <row r="9199" spans="1:4" x14ac:dyDescent="0.3">
      <c r="A9199" s="4">
        <v>43440</v>
      </c>
      <c r="B9199" s="833" t="s">
        <v>13459</v>
      </c>
      <c r="C9199" s="4" t="s">
        <v>12080</v>
      </c>
      <c r="D9199" s="834">
        <v>489.75</v>
      </c>
    </row>
    <row r="9200" spans="1:4" x14ac:dyDescent="0.3">
      <c r="A9200" s="4">
        <v>10667</v>
      </c>
      <c r="B9200" s="833" t="s">
        <v>13460</v>
      </c>
      <c r="C9200" s="4" t="s">
        <v>12080</v>
      </c>
      <c r="D9200" s="834">
        <v>19404</v>
      </c>
    </row>
    <row r="9201" spans="1:4" x14ac:dyDescent="0.3">
      <c r="A9201" s="4">
        <v>1613</v>
      </c>
      <c r="B9201" s="833" t="s">
        <v>13461</v>
      </c>
      <c r="C9201" s="4" t="s">
        <v>12080</v>
      </c>
      <c r="D9201" s="834">
        <v>1744.99</v>
      </c>
    </row>
    <row r="9202" spans="1:4" x14ac:dyDescent="0.3">
      <c r="A9202" s="4">
        <v>1626</v>
      </c>
      <c r="B9202" s="833" t="s">
        <v>13462</v>
      </c>
      <c r="C9202" s="4" t="s">
        <v>12080</v>
      </c>
      <c r="D9202" s="834">
        <v>2609.85</v>
      </c>
    </row>
    <row r="9203" spans="1:4" x14ac:dyDescent="0.3">
      <c r="A9203" s="4">
        <v>1625</v>
      </c>
      <c r="B9203" s="833" t="s">
        <v>13463</v>
      </c>
      <c r="C9203" s="4" t="s">
        <v>12080</v>
      </c>
      <c r="D9203" s="834">
        <v>182.29</v>
      </c>
    </row>
    <row r="9204" spans="1:4" x14ac:dyDescent="0.3">
      <c r="A9204" s="4">
        <v>1622</v>
      </c>
      <c r="B9204" s="833" t="s">
        <v>13464</v>
      </c>
      <c r="C9204" s="4" t="s">
        <v>12080</v>
      </c>
      <c r="D9204" s="834">
        <v>5889.37</v>
      </c>
    </row>
    <row r="9205" spans="1:4" x14ac:dyDescent="0.3">
      <c r="A9205" s="4">
        <v>1620</v>
      </c>
      <c r="B9205" s="833" t="s">
        <v>13465</v>
      </c>
      <c r="C9205" s="4" t="s">
        <v>12080</v>
      </c>
      <c r="D9205" s="834">
        <v>383.99</v>
      </c>
    </row>
    <row r="9206" spans="1:4" x14ac:dyDescent="0.3">
      <c r="A9206" s="4">
        <v>1629</v>
      </c>
      <c r="B9206" s="833" t="s">
        <v>13466</v>
      </c>
      <c r="C9206" s="4" t="s">
        <v>12080</v>
      </c>
      <c r="D9206" s="834">
        <v>14333.33</v>
      </c>
    </row>
    <row r="9207" spans="1:4" x14ac:dyDescent="0.3">
      <c r="A9207" s="4">
        <v>1627</v>
      </c>
      <c r="B9207" s="833" t="s">
        <v>13467</v>
      </c>
      <c r="C9207" s="4" t="s">
        <v>12080</v>
      </c>
      <c r="D9207" s="834">
        <v>733.99</v>
      </c>
    </row>
    <row r="9208" spans="1:4" x14ac:dyDescent="0.3">
      <c r="A9208" s="4">
        <v>1623</v>
      </c>
      <c r="B9208" s="833" t="s">
        <v>13468</v>
      </c>
      <c r="C9208" s="4" t="s">
        <v>12080</v>
      </c>
      <c r="D9208" s="834">
        <v>148.66</v>
      </c>
    </row>
    <row r="9209" spans="1:4" x14ac:dyDescent="0.3">
      <c r="A9209" s="4">
        <v>1619</v>
      </c>
      <c r="B9209" s="833" t="s">
        <v>13469</v>
      </c>
      <c r="C9209" s="4" t="s">
        <v>12080</v>
      </c>
      <c r="D9209" s="834">
        <v>204.49</v>
      </c>
    </row>
    <row r="9210" spans="1:4" x14ac:dyDescent="0.3">
      <c r="A9210" s="4">
        <v>1630</v>
      </c>
      <c r="B9210" s="833" t="s">
        <v>13470</v>
      </c>
      <c r="C9210" s="4" t="s">
        <v>12080</v>
      </c>
      <c r="D9210" s="834">
        <v>4502.54</v>
      </c>
    </row>
    <row r="9211" spans="1:4" x14ac:dyDescent="0.3">
      <c r="A9211" s="4">
        <v>1616</v>
      </c>
      <c r="B9211" s="833" t="s">
        <v>13471</v>
      </c>
      <c r="C9211" s="4" t="s">
        <v>12080</v>
      </c>
      <c r="D9211" s="834">
        <v>6924.99</v>
      </c>
    </row>
    <row r="9212" spans="1:4" x14ac:dyDescent="0.3">
      <c r="A9212" s="4">
        <v>1614</v>
      </c>
      <c r="B9212" s="833" t="s">
        <v>13472</v>
      </c>
      <c r="C9212" s="4" t="s">
        <v>12080</v>
      </c>
      <c r="D9212" s="834">
        <v>316.49</v>
      </c>
    </row>
    <row r="9213" spans="1:4" x14ac:dyDescent="0.3">
      <c r="A9213" s="4">
        <v>1617</v>
      </c>
      <c r="B9213" s="833" t="s">
        <v>13473</v>
      </c>
      <c r="C9213" s="4" t="s">
        <v>12080</v>
      </c>
      <c r="D9213" s="834">
        <v>8266.94</v>
      </c>
    </row>
    <row r="9214" spans="1:4" x14ac:dyDescent="0.3">
      <c r="A9214" s="4">
        <v>1621</v>
      </c>
      <c r="B9214" s="833" t="s">
        <v>13474</v>
      </c>
      <c r="C9214" s="4" t="s">
        <v>12080</v>
      </c>
      <c r="D9214" s="834">
        <v>566.04</v>
      </c>
    </row>
    <row r="9215" spans="1:4" x14ac:dyDescent="0.3">
      <c r="A9215" s="4">
        <v>1624</v>
      </c>
      <c r="B9215" s="833" t="s">
        <v>13475</v>
      </c>
      <c r="C9215" s="4" t="s">
        <v>12080</v>
      </c>
      <c r="D9215" s="834">
        <v>20320.55</v>
      </c>
    </row>
    <row r="9216" spans="1:4" x14ac:dyDescent="0.3">
      <c r="A9216" s="4">
        <v>1615</v>
      </c>
      <c r="B9216" s="833" t="s">
        <v>13476</v>
      </c>
      <c r="C9216" s="4" t="s">
        <v>12080</v>
      </c>
      <c r="D9216" s="834">
        <v>1062.95</v>
      </c>
    </row>
    <row r="9217" spans="1:4" x14ac:dyDescent="0.3">
      <c r="A9217" s="4">
        <v>1612</v>
      </c>
      <c r="B9217" s="833" t="s">
        <v>13477</v>
      </c>
      <c r="C9217" s="4" t="s">
        <v>12080</v>
      </c>
      <c r="D9217" s="834">
        <v>140</v>
      </c>
    </row>
    <row r="9218" spans="1:4" x14ac:dyDescent="0.3">
      <c r="A9218" s="4">
        <v>1618</v>
      </c>
      <c r="B9218" s="833" t="s">
        <v>13478</v>
      </c>
      <c r="C9218" s="4" t="s">
        <v>12080</v>
      </c>
      <c r="D9218" s="834">
        <v>1460.64</v>
      </c>
    </row>
    <row r="9219" spans="1:4" x14ac:dyDescent="0.3">
      <c r="A9219" s="4">
        <v>14211</v>
      </c>
      <c r="B9219" s="833" t="s">
        <v>13479</v>
      </c>
      <c r="C9219" s="4" t="s">
        <v>12080</v>
      </c>
      <c r="D9219" s="834">
        <v>48.63</v>
      </c>
    </row>
    <row r="9220" spans="1:4" x14ac:dyDescent="0.3">
      <c r="A9220" s="4">
        <v>43657</v>
      </c>
      <c r="B9220" s="833" t="s">
        <v>13480</v>
      </c>
      <c r="C9220" s="4" t="s">
        <v>1803</v>
      </c>
      <c r="D9220" s="834">
        <v>8.48</v>
      </c>
    </row>
    <row r="9221" spans="1:4" x14ac:dyDescent="0.3">
      <c r="A9221" s="4">
        <v>38200</v>
      </c>
      <c r="B9221" s="833" t="s">
        <v>13481</v>
      </c>
      <c r="C9221" s="4" t="s">
        <v>13482</v>
      </c>
      <c r="D9221" s="834">
        <v>588.59</v>
      </c>
    </row>
    <row r="9222" spans="1:4" x14ac:dyDescent="0.3">
      <c r="A9222" s="4">
        <v>39269</v>
      </c>
      <c r="B9222" s="833" t="s">
        <v>13483</v>
      </c>
      <c r="C9222" s="4" t="s">
        <v>1803</v>
      </c>
      <c r="D9222" s="834">
        <v>1.66</v>
      </c>
    </row>
    <row r="9223" spans="1:4" x14ac:dyDescent="0.3">
      <c r="A9223" s="4">
        <v>11889</v>
      </c>
      <c r="B9223" s="833" t="s">
        <v>13484</v>
      </c>
      <c r="C9223" s="4" t="s">
        <v>1803</v>
      </c>
      <c r="D9223" s="834">
        <v>2.29</v>
      </c>
    </row>
    <row r="9224" spans="1:4" x14ac:dyDescent="0.3">
      <c r="A9224" s="4">
        <v>39270</v>
      </c>
      <c r="B9224" s="833" t="s">
        <v>13485</v>
      </c>
      <c r="C9224" s="4" t="s">
        <v>1803</v>
      </c>
      <c r="D9224" s="834">
        <v>2.97</v>
      </c>
    </row>
    <row r="9225" spans="1:4" x14ac:dyDescent="0.3">
      <c r="A9225" s="4">
        <v>11890</v>
      </c>
      <c r="B9225" s="833" t="s">
        <v>13486</v>
      </c>
      <c r="C9225" s="4" t="s">
        <v>1803</v>
      </c>
      <c r="D9225" s="834">
        <v>4.04</v>
      </c>
    </row>
    <row r="9226" spans="1:4" x14ac:dyDescent="0.3">
      <c r="A9226" s="4">
        <v>11891</v>
      </c>
      <c r="B9226" s="833" t="s">
        <v>13487</v>
      </c>
      <c r="C9226" s="4" t="s">
        <v>1803</v>
      </c>
      <c r="D9226" s="834">
        <v>6.56</v>
      </c>
    </row>
    <row r="9227" spans="1:4" x14ac:dyDescent="0.3">
      <c r="A9227" s="4">
        <v>11892</v>
      </c>
      <c r="B9227" s="833" t="s">
        <v>13488</v>
      </c>
      <c r="C9227" s="4" t="s">
        <v>1803</v>
      </c>
      <c r="D9227" s="834">
        <v>10.72</v>
      </c>
    </row>
    <row r="9228" spans="1:4" x14ac:dyDescent="0.3">
      <c r="A9228" s="4">
        <v>37601</v>
      </c>
      <c r="B9228" s="833" t="s">
        <v>13489</v>
      </c>
      <c r="C9228" s="4" t="s">
        <v>1803</v>
      </c>
      <c r="D9228" s="834">
        <v>8.0299999999999994</v>
      </c>
    </row>
    <row r="9229" spans="1:4" x14ac:dyDescent="0.3">
      <c r="A9229" s="4">
        <v>1634</v>
      </c>
      <c r="B9229" s="833" t="s">
        <v>13490</v>
      </c>
      <c r="C9229" s="4" t="s">
        <v>1803</v>
      </c>
      <c r="D9229" s="834">
        <v>8.3000000000000007</v>
      </c>
    </row>
    <row r="9230" spans="1:4" x14ac:dyDescent="0.3">
      <c r="A9230" s="4">
        <v>44274</v>
      </c>
      <c r="B9230" s="833" t="s">
        <v>13491</v>
      </c>
      <c r="C9230" s="4" t="s">
        <v>12080</v>
      </c>
      <c r="D9230" s="834">
        <v>683.84</v>
      </c>
    </row>
    <row r="9231" spans="1:4" x14ac:dyDescent="0.3">
      <c r="A9231" s="4">
        <v>5086</v>
      </c>
      <c r="B9231" s="833" t="s">
        <v>13492</v>
      </c>
      <c r="C9231" s="4" t="s">
        <v>12126</v>
      </c>
      <c r="D9231" s="834">
        <v>32.72</v>
      </c>
    </row>
    <row r="9232" spans="1:4" x14ac:dyDescent="0.3">
      <c r="A9232" s="4">
        <v>11280</v>
      </c>
      <c r="B9232" s="833" t="s">
        <v>13493</v>
      </c>
      <c r="C9232" s="4" t="s">
        <v>12080</v>
      </c>
      <c r="D9232" s="834">
        <v>13815.56</v>
      </c>
    </row>
    <row r="9233" spans="1:4" x14ac:dyDescent="0.3">
      <c r="A9233" s="4">
        <v>40519</v>
      </c>
      <c r="B9233" s="833" t="s">
        <v>13494</v>
      </c>
      <c r="C9233" s="4" t="s">
        <v>12080</v>
      </c>
      <c r="D9233" s="834">
        <v>113890.75</v>
      </c>
    </row>
    <row r="9234" spans="1:4" x14ac:dyDescent="0.3">
      <c r="A9234" s="4">
        <v>39869</v>
      </c>
      <c r="B9234" s="833" t="s">
        <v>13495</v>
      </c>
      <c r="C9234" s="4" t="s">
        <v>12080</v>
      </c>
      <c r="D9234" s="834">
        <v>23.33</v>
      </c>
    </row>
    <row r="9235" spans="1:4" x14ac:dyDescent="0.3">
      <c r="A9235" s="4">
        <v>39870</v>
      </c>
      <c r="B9235" s="833" t="s">
        <v>13496</v>
      </c>
      <c r="C9235" s="4" t="s">
        <v>12080</v>
      </c>
      <c r="D9235" s="834">
        <v>35.69</v>
      </c>
    </row>
    <row r="9236" spans="1:4" x14ac:dyDescent="0.3">
      <c r="A9236" s="4">
        <v>39871</v>
      </c>
      <c r="B9236" s="833" t="s">
        <v>13497</v>
      </c>
      <c r="C9236" s="4" t="s">
        <v>12080</v>
      </c>
      <c r="D9236" s="834">
        <v>40.01</v>
      </c>
    </row>
    <row r="9237" spans="1:4" x14ac:dyDescent="0.3">
      <c r="A9237" s="4">
        <v>12722</v>
      </c>
      <c r="B9237" s="833" t="s">
        <v>13498</v>
      </c>
      <c r="C9237" s="4" t="s">
        <v>12080</v>
      </c>
      <c r="D9237" s="834">
        <v>1338.65</v>
      </c>
    </row>
    <row r="9238" spans="1:4" x14ac:dyDescent="0.3">
      <c r="A9238" s="4">
        <v>12714</v>
      </c>
      <c r="B9238" s="833" t="s">
        <v>13499</v>
      </c>
      <c r="C9238" s="4" t="s">
        <v>12080</v>
      </c>
      <c r="D9238" s="834">
        <v>8.74</v>
      </c>
    </row>
    <row r="9239" spans="1:4" x14ac:dyDescent="0.3">
      <c r="A9239" s="4">
        <v>12715</v>
      </c>
      <c r="B9239" s="833" t="s">
        <v>13500</v>
      </c>
      <c r="C9239" s="4" t="s">
        <v>12080</v>
      </c>
      <c r="D9239" s="834">
        <v>19.73</v>
      </c>
    </row>
    <row r="9240" spans="1:4" x14ac:dyDescent="0.3">
      <c r="A9240" s="4">
        <v>12716</v>
      </c>
      <c r="B9240" s="833" t="s">
        <v>13501</v>
      </c>
      <c r="C9240" s="4" t="s">
        <v>12080</v>
      </c>
      <c r="D9240" s="834">
        <v>33.880000000000003</v>
      </c>
    </row>
    <row r="9241" spans="1:4" x14ac:dyDescent="0.3">
      <c r="A9241" s="4">
        <v>12717</v>
      </c>
      <c r="B9241" s="833" t="s">
        <v>13502</v>
      </c>
      <c r="C9241" s="4" t="s">
        <v>12080</v>
      </c>
      <c r="D9241" s="834">
        <v>66.599999999999994</v>
      </c>
    </row>
    <row r="9242" spans="1:4" x14ac:dyDescent="0.3">
      <c r="A9242" s="4">
        <v>12718</v>
      </c>
      <c r="B9242" s="833" t="s">
        <v>13503</v>
      </c>
      <c r="C9242" s="4" t="s">
        <v>12080</v>
      </c>
      <c r="D9242" s="834">
        <v>102.21</v>
      </c>
    </row>
    <row r="9243" spans="1:4" x14ac:dyDescent="0.3">
      <c r="A9243" s="4">
        <v>12719</v>
      </c>
      <c r="B9243" s="833" t="s">
        <v>13504</v>
      </c>
      <c r="C9243" s="4" t="s">
        <v>12080</v>
      </c>
      <c r="D9243" s="834">
        <v>162.25</v>
      </c>
    </row>
    <row r="9244" spans="1:4" x14ac:dyDescent="0.3">
      <c r="A9244" s="4">
        <v>12720</v>
      </c>
      <c r="B9244" s="833" t="s">
        <v>13505</v>
      </c>
      <c r="C9244" s="4" t="s">
        <v>12080</v>
      </c>
      <c r="D9244" s="834">
        <v>564.95000000000005</v>
      </c>
    </row>
    <row r="9245" spans="1:4" x14ac:dyDescent="0.3">
      <c r="A9245" s="4">
        <v>12721</v>
      </c>
      <c r="B9245" s="833" t="s">
        <v>13506</v>
      </c>
      <c r="C9245" s="4" t="s">
        <v>12080</v>
      </c>
      <c r="D9245" s="834">
        <v>541.75</v>
      </c>
    </row>
    <row r="9246" spans="1:4" x14ac:dyDescent="0.3">
      <c r="A9246" s="4">
        <v>3468</v>
      </c>
      <c r="B9246" s="833" t="s">
        <v>13507</v>
      </c>
      <c r="C9246" s="4" t="s">
        <v>12080</v>
      </c>
      <c r="D9246" s="834">
        <v>47.39</v>
      </c>
    </row>
    <row r="9247" spans="1:4" x14ac:dyDescent="0.3">
      <c r="A9247" s="4">
        <v>3465</v>
      </c>
      <c r="B9247" s="833" t="s">
        <v>13508</v>
      </c>
      <c r="C9247" s="4" t="s">
        <v>12080</v>
      </c>
      <c r="D9247" s="834">
        <v>47.37</v>
      </c>
    </row>
    <row r="9248" spans="1:4" x14ac:dyDescent="0.3">
      <c r="A9248" s="4">
        <v>12403</v>
      </c>
      <c r="B9248" s="833" t="s">
        <v>13509</v>
      </c>
      <c r="C9248" s="4" t="s">
        <v>12080</v>
      </c>
      <c r="D9248" s="834">
        <v>33.76</v>
      </c>
    </row>
    <row r="9249" spans="1:4" x14ac:dyDescent="0.3">
      <c r="A9249" s="4">
        <v>3463</v>
      </c>
      <c r="B9249" s="833" t="s">
        <v>13510</v>
      </c>
      <c r="C9249" s="4" t="s">
        <v>12080</v>
      </c>
      <c r="D9249" s="834">
        <v>19.73</v>
      </c>
    </row>
    <row r="9250" spans="1:4" x14ac:dyDescent="0.3">
      <c r="A9250" s="4">
        <v>3464</v>
      </c>
      <c r="B9250" s="833" t="s">
        <v>13511</v>
      </c>
      <c r="C9250" s="4" t="s">
        <v>12080</v>
      </c>
      <c r="D9250" s="834">
        <v>19.73</v>
      </c>
    </row>
    <row r="9251" spans="1:4" x14ac:dyDescent="0.3">
      <c r="A9251" s="4">
        <v>3466</v>
      </c>
      <c r="B9251" s="833" t="s">
        <v>13512</v>
      </c>
      <c r="C9251" s="4" t="s">
        <v>12080</v>
      </c>
      <c r="D9251" s="834">
        <v>120.31</v>
      </c>
    </row>
    <row r="9252" spans="1:4" x14ac:dyDescent="0.3">
      <c r="A9252" s="4">
        <v>3467</v>
      </c>
      <c r="B9252" s="833" t="s">
        <v>13513</v>
      </c>
      <c r="C9252" s="4" t="s">
        <v>12080</v>
      </c>
      <c r="D9252" s="834">
        <v>67.95</v>
      </c>
    </row>
    <row r="9253" spans="1:4" x14ac:dyDescent="0.3">
      <c r="A9253" s="4">
        <v>3462</v>
      </c>
      <c r="B9253" s="833" t="s">
        <v>13514</v>
      </c>
      <c r="C9253" s="4" t="s">
        <v>12080</v>
      </c>
      <c r="D9253" s="834">
        <v>13.01</v>
      </c>
    </row>
    <row r="9254" spans="1:4" x14ac:dyDescent="0.3">
      <c r="A9254" s="4">
        <v>3446</v>
      </c>
      <c r="B9254" s="833" t="s">
        <v>13515</v>
      </c>
      <c r="C9254" s="4" t="s">
        <v>12080</v>
      </c>
      <c r="D9254" s="834">
        <v>40.06</v>
      </c>
    </row>
    <row r="9255" spans="1:4" x14ac:dyDescent="0.3">
      <c r="A9255" s="4">
        <v>3445</v>
      </c>
      <c r="B9255" s="833" t="s">
        <v>13516</v>
      </c>
      <c r="C9255" s="4" t="s">
        <v>12080</v>
      </c>
      <c r="D9255" s="834">
        <v>32.700000000000003</v>
      </c>
    </row>
    <row r="9256" spans="1:4" x14ac:dyDescent="0.3">
      <c r="A9256" s="4">
        <v>3441</v>
      </c>
      <c r="B9256" s="833" t="s">
        <v>13517</v>
      </c>
      <c r="C9256" s="4" t="s">
        <v>12080</v>
      </c>
      <c r="D9256" s="834">
        <v>9.23</v>
      </c>
    </row>
    <row r="9257" spans="1:4" x14ac:dyDescent="0.3">
      <c r="A9257" s="4">
        <v>3444</v>
      </c>
      <c r="B9257" s="833" t="s">
        <v>13518</v>
      </c>
      <c r="C9257" s="4" t="s">
        <v>12080</v>
      </c>
      <c r="D9257" s="834">
        <v>20.13</v>
      </c>
    </row>
    <row r="9258" spans="1:4" x14ac:dyDescent="0.3">
      <c r="A9258" s="4">
        <v>12402</v>
      </c>
      <c r="B9258" s="833" t="s">
        <v>13519</v>
      </c>
      <c r="C9258" s="4" t="s">
        <v>12080</v>
      </c>
      <c r="D9258" s="834">
        <v>112.6</v>
      </c>
    </row>
    <row r="9259" spans="1:4" x14ac:dyDescent="0.3">
      <c r="A9259" s="4">
        <v>3447</v>
      </c>
      <c r="B9259" s="833" t="s">
        <v>13520</v>
      </c>
      <c r="C9259" s="4" t="s">
        <v>12080</v>
      </c>
      <c r="D9259" s="834">
        <v>58.25</v>
      </c>
    </row>
    <row r="9260" spans="1:4" x14ac:dyDescent="0.3">
      <c r="A9260" s="4">
        <v>3442</v>
      </c>
      <c r="B9260" s="833" t="s">
        <v>13521</v>
      </c>
      <c r="C9260" s="4" t="s">
        <v>12080</v>
      </c>
      <c r="D9260" s="834">
        <v>13.8</v>
      </c>
    </row>
    <row r="9261" spans="1:4" x14ac:dyDescent="0.3">
      <c r="A9261" s="4">
        <v>3448</v>
      </c>
      <c r="B9261" s="833" t="s">
        <v>13522</v>
      </c>
      <c r="C9261" s="4" t="s">
        <v>12080</v>
      </c>
      <c r="D9261" s="834">
        <v>164.62</v>
      </c>
    </row>
    <row r="9262" spans="1:4" x14ac:dyDescent="0.3">
      <c r="A9262" s="4">
        <v>3449</v>
      </c>
      <c r="B9262" s="833" t="s">
        <v>13523</v>
      </c>
      <c r="C9262" s="4" t="s">
        <v>12080</v>
      </c>
      <c r="D9262" s="834">
        <v>288.45</v>
      </c>
    </row>
    <row r="9263" spans="1:4" x14ac:dyDescent="0.3">
      <c r="A9263" s="4">
        <v>37438</v>
      </c>
      <c r="B9263" s="833" t="s">
        <v>13524</v>
      </c>
      <c r="C9263" s="4" t="s">
        <v>12080</v>
      </c>
      <c r="D9263" s="834">
        <v>225.98</v>
      </c>
    </row>
    <row r="9264" spans="1:4" x14ac:dyDescent="0.3">
      <c r="A9264" s="4">
        <v>37439</v>
      </c>
      <c r="B9264" s="833" t="s">
        <v>13525</v>
      </c>
      <c r="C9264" s="4" t="s">
        <v>12080</v>
      </c>
      <c r="D9264" s="834">
        <v>1477.45</v>
      </c>
    </row>
    <row r="9265" spans="1:4" x14ac:dyDescent="0.3">
      <c r="A9265" s="4">
        <v>37435</v>
      </c>
      <c r="B9265" s="833" t="s">
        <v>13526</v>
      </c>
      <c r="C9265" s="4" t="s">
        <v>12080</v>
      </c>
      <c r="D9265" s="834">
        <v>26.55</v>
      </c>
    </row>
    <row r="9266" spans="1:4" x14ac:dyDescent="0.3">
      <c r="A9266" s="4">
        <v>37436</v>
      </c>
      <c r="B9266" s="833" t="s">
        <v>13527</v>
      </c>
      <c r="C9266" s="4" t="s">
        <v>12080</v>
      </c>
      <c r="D9266" s="834">
        <v>31.34</v>
      </c>
    </row>
    <row r="9267" spans="1:4" x14ac:dyDescent="0.3">
      <c r="A9267" s="4">
        <v>37437</v>
      </c>
      <c r="B9267" s="833" t="s">
        <v>13528</v>
      </c>
      <c r="C9267" s="4" t="s">
        <v>12080</v>
      </c>
      <c r="D9267" s="834">
        <v>45.33</v>
      </c>
    </row>
    <row r="9268" spans="1:4" x14ac:dyDescent="0.3">
      <c r="A9268" s="4">
        <v>3473</v>
      </c>
      <c r="B9268" s="833" t="s">
        <v>13529</v>
      </c>
      <c r="C9268" s="4" t="s">
        <v>12080</v>
      </c>
      <c r="D9268" s="834">
        <v>45.29</v>
      </c>
    </row>
    <row r="9269" spans="1:4" x14ac:dyDescent="0.3">
      <c r="A9269" s="4">
        <v>3474</v>
      </c>
      <c r="B9269" s="833" t="s">
        <v>13530</v>
      </c>
      <c r="C9269" s="4" t="s">
        <v>12080</v>
      </c>
      <c r="D9269" s="834">
        <v>37.33</v>
      </c>
    </row>
    <row r="9270" spans="1:4" x14ac:dyDescent="0.3">
      <c r="A9270" s="4">
        <v>3450</v>
      </c>
      <c r="B9270" s="833" t="s">
        <v>13531</v>
      </c>
      <c r="C9270" s="4" t="s">
        <v>12080</v>
      </c>
      <c r="D9270" s="834">
        <v>10.82</v>
      </c>
    </row>
    <row r="9271" spans="1:4" x14ac:dyDescent="0.3">
      <c r="A9271" s="4">
        <v>3443</v>
      </c>
      <c r="B9271" s="833" t="s">
        <v>13532</v>
      </c>
      <c r="C9271" s="4" t="s">
        <v>12080</v>
      </c>
      <c r="D9271" s="834">
        <v>23.22</v>
      </c>
    </row>
    <row r="9272" spans="1:4" x14ac:dyDescent="0.3">
      <c r="A9272" s="4">
        <v>3453</v>
      </c>
      <c r="B9272" s="833" t="s">
        <v>13533</v>
      </c>
      <c r="C9272" s="4" t="s">
        <v>12080</v>
      </c>
      <c r="D9272" s="834">
        <v>132.19999999999999</v>
      </c>
    </row>
    <row r="9273" spans="1:4" x14ac:dyDescent="0.3">
      <c r="A9273" s="4">
        <v>3452</v>
      </c>
      <c r="B9273" s="833" t="s">
        <v>13534</v>
      </c>
      <c r="C9273" s="4" t="s">
        <v>12080</v>
      </c>
      <c r="D9273" s="834">
        <v>65.25</v>
      </c>
    </row>
    <row r="9274" spans="1:4" x14ac:dyDescent="0.3">
      <c r="A9274" s="4">
        <v>3451</v>
      </c>
      <c r="B9274" s="833" t="s">
        <v>13535</v>
      </c>
      <c r="C9274" s="4" t="s">
        <v>12080</v>
      </c>
      <c r="D9274" s="834">
        <v>12.94</v>
      </c>
    </row>
    <row r="9275" spans="1:4" x14ac:dyDescent="0.3">
      <c r="A9275" s="4">
        <v>3454</v>
      </c>
      <c r="B9275" s="833" t="s">
        <v>13536</v>
      </c>
      <c r="C9275" s="4" t="s">
        <v>12080</v>
      </c>
      <c r="D9275" s="834">
        <v>201.07</v>
      </c>
    </row>
    <row r="9276" spans="1:4" x14ac:dyDescent="0.3">
      <c r="A9276" s="4">
        <v>3458</v>
      </c>
      <c r="B9276" s="833" t="s">
        <v>13537</v>
      </c>
      <c r="C9276" s="4" t="s">
        <v>12080</v>
      </c>
      <c r="D9276" s="834">
        <v>36.299999999999997</v>
      </c>
    </row>
    <row r="9277" spans="1:4" x14ac:dyDescent="0.3">
      <c r="A9277" s="4">
        <v>3457</v>
      </c>
      <c r="B9277" s="833" t="s">
        <v>13538</v>
      </c>
      <c r="C9277" s="4" t="s">
        <v>12080</v>
      </c>
      <c r="D9277" s="834">
        <v>27.25</v>
      </c>
    </row>
    <row r="9278" spans="1:4" x14ac:dyDescent="0.3">
      <c r="A9278" s="4">
        <v>3455</v>
      </c>
      <c r="B9278" s="833" t="s">
        <v>13539</v>
      </c>
      <c r="C9278" s="4" t="s">
        <v>12080</v>
      </c>
      <c r="D9278" s="834">
        <v>7.74</v>
      </c>
    </row>
    <row r="9279" spans="1:4" x14ac:dyDescent="0.3">
      <c r="A9279" s="4">
        <v>3472</v>
      </c>
      <c r="B9279" s="833" t="s">
        <v>13540</v>
      </c>
      <c r="C9279" s="4" t="s">
        <v>12080</v>
      </c>
      <c r="D9279" s="834">
        <v>17.39</v>
      </c>
    </row>
    <row r="9280" spans="1:4" x14ac:dyDescent="0.3">
      <c r="A9280" s="4">
        <v>3470</v>
      </c>
      <c r="B9280" s="833" t="s">
        <v>13541</v>
      </c>
      <c r="C9280" s="4" t="s">
        <v>12080</v>
      </c>
      <c r="D9280" s="834">
        <v>101.37</v>
      </c>
    </row>
    <row r="9281" spans="1:4" x14ac:dyDescent="0.3">
      <c r="A9281" s="4">
        <v>3471</v>
      </c>
      <c r="B9281" s="833" t="s">
        <v>13542</v>
      </c>
      <c r="C9281" s="4" t="s">
        <v>12080</v>
      </c>
      <c r="D9281" s="834">
        <v>55.7</v>
      </c>
    </row>
    <row r="9282" spans="1:4" x14ac:dyDescent="0.3">
      <c r="A9282" s="4">
        <v>3456</v>
      </c>
      <c r="B9282" s="833" t="s">
        <v>13543</v>
      </c>
      <c r="C9282" s="4" t="s">
        <v>12080</v>
      </c>
      <c r="D9282" s="834">
        <v>11.58</v>
      </c>
    </row>
    <row r="9283" spans="1:4" x14ac:dyDescent="0.3">
      <c r="A9283" s="4">
        <v>3459</v>
      </c>
      <c r="B9283" s="833" t="s">
        <v>13544</v>
      </c>
      <c r="C9283" s="4" t="s">
        <v>12080</v>
      </c>
      <c r="D9283" s="834">
        <v>142.97999999999999</v>
      </c>
    </row>
    <row r="9284" spans="1:4" x14ac:dyDescent="0.3">
      <c r="A9284" s="4">
        <v>3469</v>
      </c>
      <c r="B9284" s="833" t="s">
        <v>13545</v>
      </c>
      <c r="C9284" s="4" t="s">
        <v>12080</v>
      </c>
      <c r="D9284" s="834">
        <v>271.92</v>
      </c>
    </row>
    <row r="9285" spans="1:4" x14ac:dyDescent="0.3">
      <c r="A9285" s="4">
        <v>3460</v>
      </c>
      <c r="B9285" s="833" t="s">
        <v>13546</v>
      </c>
      <c r="C9285" s="4" t="s">
        <v>12080</v>
      </c>
      <c r="D9285" s="834">
        <v>396.77</v>
      </c>
    </row>
    <row r="9286" spans="1:4" x14ac:dyDescent="0.3">
      <c r="A9286" s="4">
        <v>3461</v>
      </c>
      <c r="B9286" s="833" t="s">
        <v>13547</v>
      </c>
      <c r="C9286" s="4" t="s">
        <v>12080</v>
      </c>
      <c r="D9286" s="834">
        <v>1014.11</v>
      </c>
    </row>
    <row r="9287" spans="1:4" x14ac:dyDescent="0.3">
      <c r="A9287" s="4">
        <v>37433</v>
      </c>
      <c r="B9287" s="833" t="s">
        <v>13548</v>
      </c>
      <c r="C9287" s="4" t="s">
        <v>12080</v>
      </c>
      <c r="D9287" s="834">
        <v>225.98</v>
      </c>
    </row>
    <row r="9288" spans="1:4" x14ac:dyDescent="0.3">
      <c r="A9288" s="4">
        <v>37430</v>
      </c>
      <c r="B9288" s="833" t="s">
        <v>13549</v>
      </c>
      <c r="C9288" s="4" t="s">
        <v>12080</v>
      </c>
      <c r="D9288" s="834">
        <v>28.32</v>
      </c>
    </row>
    <row r="9289" spans="1:4" x14ac:dyDescent="0.3">
      <c r="A9289" s="4">
        <v>37434</v>
      </c>
      <c r="B9289" s="833" t="s">
        <v>13550</v>
      </c>
      <c r="C9289" s="4" t="s">
        <v>12080</v>
      </c>
      <c r="D9289" s="834">
        <v>2107.04</v>
      </c>
    </row>
    <row r="9290" spans="1:4" x14ac:dyDescent="0.3">
      <c r="A9290" s="4">
        <v>37431</v>
      </c>
      <c r="B9290" s="833" t="s">
        <v>13551</v>
      </c>
      <c r="C9290" s="4" t="s">
        <v>12080</v>
      </c>
      <c r="D9290" s="834">
        <v>38.409999999999997</v>
      </c>
    </row>
    <row r="9291" spans="1:4" x14ac:dyDescent="0.3">
      <c r="A9291" s="4">
        <v>37432</v>
      </c>
      <c r="B9291" s="833" t="s">
        <v>13552</v>
      </c>
      <c r="C9291" s="4" t="s">
        <v>12080</v>
      </c>
      <c r="D9291" s="834">
        <v>70.86</v>
      </c>
    </row>
    <row r="9292" spans="1:4" x14ac:dyDescent="0.3">
      <c r="A9292" s="4">
        <v>37413</v>
      </c>
      <c r="B9292" s="833" t="s">
        <v>13553</v>
      </c>
      <c r="C9292" s="4" t="s">
        <v>12080</v>
      </c>
      <c r="D9292" s="834">
        <v>3.8</v>
      </c>
    </row>
    <row r="9293" spans="1:4" x14ac:dyDescent="0.3">
      <c r="A9293" s="4">
        <v>37414</v>
      </c>
      <c r="B9293" s="833" t="s">
        <v>13554</v>
      </c>
      <c r="C9293" s="4" t="s">
        <v>12080</v>
      </c>
      <c r="D9293" s="834">
        <v>4.3099999999999996</v>
      </c>
    </row>
    <row r="9294" spans="1:4" x14ac:dyDescent="0.3">
      <c r="A9294" s="4">
        <v>37415</v>
      </c>
      <c r="B9294" s="833" t="s">
        <v>13555</v>
      </c>
      <c r="C9294" s="4" t="s">
        <v>12080</v>
      </c>
      <c r="D9294" s="834">
        <v>7.84</v>
      </c>
    </row>
    <row r="9295" spans="1:4" x14ac:dyDescent="0.3">
      <c r="A9295" s="4">
        <v>37416</v>
      </c>
      <c r="B9295" s="833" t="s">
        <v>13556</v>
      </c>
      <c r="C9295" s="4" t="s">
        <v>12080</v>
      </c>
      <c r="D9295" s="834">
        <v>3.55</v>
      </c>
    </row>
    <row r="9296" spans="1:4" x14ac:dyDescent="0.3">
      <c r="A9296" s="4">
        <v>37417</v>
      </c>
      <c r="B9296" s="833" t="s">
        <v>13557</v>
      </c>
      <c r="C9296" s="4" t="s">
        <v>12080</v>
      </c>
      <c r="D9296" s="834">
        <v>5.1100000000000003</v>
      </c>
    </row>
    <row r="9297" spans="1:4" x14ac:dyDescent="0.3">
      <c r="A9297" s="4">
        <v>43590</v>
      </c>
      <c r="B9297" s="833" t="s">
        <v>13558</v>
      </c>
      <c r="C9297" s="4" t="s">
        <v>12080</v>
      </c>
      <c r="D9297" s="834">
        <v>152.13</v>
      </c>
    </row>
    <row r="9298" spans="1:4" x14ac:dyDescent="0.3">
      <c r="A9298" s="4">
        <v>43589</v>
      </c>
      <c r="B9298" s="833" t="s">
        <v>13559</v>
      </c>
      <c r="C9298" s="4" t="s">
        <v>12080</v>
      </c>
      <c r="D9298" s="834">
        <v>27.52</v>
      </c>
    </row>
    <row r="9299" spans="1:4" x14ac:dyDescent="0.3">
      <c r="A9299" s="4">
        <v>34519</v>
      </c>
      <c r="B9299" s="833" t="s">
        <v>13560</v>
      </c>
      <c r="C9299" s="4" t="s">
        <v>12080</v>
      </c>
      <c r="D9299" s="834">
        <v>82.03</v>
      </c>
    </row>
    <row r="9300" spans="1:4" x14ac:dyDescent="0.3">
      <c r="A9300" s="4">
        <v>1649</v>
      </c>
      <c r="B9300" s="833" t="s">
        <v>13561</v>
      </c>
      <c r="C9300" s="4" t="s">
        <v>12080</v>
      </c>
      <c r="D9300" s="834">
        <v>85.61</v>
      </c>
    </row>
    <row r="9301" spans="1:4" x14ac:dyDescent="0.3">
      <c r="A9301" s="4">
        <v>1653</v>
      </c>
      <c r="B9301" s="833" t="s">
        <v>13562</v>
      </c>
      <c r="C9301" s="4" t="s">
        <v>12080</v>
      </c>
      <c r="D9301" s="834">
        <v>67.06</v>
      </c>
    </row>
    <row r="9302" spans="1:4" x14ac:dyDescent="0.3">
      <c r="A9302" s="4">
        <v>1647</v>
      </c>
      <c r="B9302" s="833" t="s">
        <v>13563</v>
      </c>
      <c r="C9302" s="4" t="s">
        <v>12080</v>
      </c>
      <c r="D9302" s="834">
        <v>24.01</v>
      </c>
    </row>
    <row r="9303" spans="1:4" x14ac:dyDescent="0.3">
      <c r="A9303" s="4">
        <v>1648</v>
      </c>
      <c r="B9303" s="833" t="s">
        <v>13564</v>
      </c>
      <c r="C9303" s="4" t="s">
        <v>12080</v>
      </c>
      <c r="D9303" s="834">
        <v>46.11</v>
      </c>
    </row>
    <row r="9304" spans="1:4" x14ac:dyDescent="0.3">
      <c r="A9304" s="4">
        <v>1651</v>
      </c>
      <c r="B9304" s="833" t="s">
        <v>13565</v>
      </c>
      <c r="C9304" s="4" t="s">
        <v>12080</v>
      </c>
      <c r="D9304" s="834">
        <v>213.9</v>
      </c>
    </row>
    <row r="9305" spans="1:4" x14ac:dyDescent="0.3">
      <c r="A9305" s="4">
        <v>1650</v>
      </c>
      <c r="B9305" s="833" t="s">
        <v>13566</v>
      </c>
      <c r="C9305" s="4" t="s">
        <v>12080</v>
      </c>
      <c r="D9305" s="834">
        <v>118.23</v>
      </c>
    </row>
    <row r="9306" spans="1:4" x14ac:dyDescent="0.3">
      <c r="A9306" s="4">
        <v>1654</v>
      </c>
      <c r="B9306" s="833" t="s">
        <v>13567</v>
      </c>
      <c r="C9306" s="4" t="s">
        <v>12080</v>
      </c>
      <c r="D9306" s="834">
        <v>32.96</v>
      </c>
    </row>
    <row r="9307" spans="1:4" x14ac:dyDescent="0.3">
      <c r="A9307" s="4">
        <v>1652</v>
      </c>
      <c r="B9307" s="833" t="s">
        <v>13568</v>
      </c>
      <c r="C9307" s="4" t="s">
        <v>12080</v>
      </c>
      <c r="D9307" s="834">
        <v>307.01</v>
      </c>
    </row>
    <row r="9308" spans="1:4" x14ac:dyDescent="0.3">
      <c r="A9308" s="4">
        <v>10510</v>
      </c>
      <c r="B9308" s="833" t="s">
        <v>13569</v>
      </c>
      <c r="C9308" s="4" t="s">
        <v>12080</v>
      </c>
      <c r="D9308" s="834">
        <v>163.63</v>
      </c>
    </row>
    <row r="9309" spans="1:4" x14ac:dyDescent="0.3">
      <c r="A9309" s="4">
        <v>1747</v>
      </c>
      <c r="B9309" s="833" t="s">
        <v>13570</v>
      </c>
      <c r="C9309" s="4" t="s">
        <v>12080</v>
      </c>
      <c r="D9309" s="834">
        <v>203.24</v>
      </c>
    </row>
    <row r="9310" spans="1:4" x14ac:dyDescent="0.3">
      <c r="A9310" s="4">
        <v>1744</v>
      </c>
      <c r="B9310" s="833" t="s">
        <v>13571</v>
      </c>
      <c r="C9310" s="4" t="s">
        <v>12080</v>
      </c>
      <c r="D9310" s="834">
        <v>140.77000000000001</v>
      </c>
    </row>
    <row r="9311" spans="1:4" x14ac:dyDescent="0.3">
      <c r="A9311" s="4">
        <v>1743</v>
      </c>
      <c r="B9311" s="833" t="s">
        <v>13572</v>
      </c>
      <c r="C9311" s="4" t="s">
        <v>12080</v>
      </c>
      <c r="D9311" s="834">
        <v>184.86</v>
      </c>
    </row>
    <row r="9312" spans="1:4" x14ac:dyDescent="0.3">
      <c r="A9312" s="4">
        <v>39640</v>
      </c>
      <c r="B9312" s="833" t="s">
        <v>13573</v>
      </c>
      <c r="C9312" s="4" t="s">
        <v>12080</v>
      </c>
      <c r="D9312" s="834">
        <v>10.46</v>
      </c>
    </row>
    <row r="9313" spans="1:4" x14ac:dyDescent="0.3">
      <c r="A9313" s="4">
        <v>7216</v>
      </c>
      <c r="B9313" s="833" t="s">
        <v>13574</v>
      </c>
      <c r="C9313" s="4" t="s">
        <v>12080</v>
      </c>
      <c r="D9313" s="834">
        <v>56.18</v>
      </c>
    </row>
    <row r="9314" spans="1:4" x14ac:dyDescent="0.3">
      <c r="A9314" s="4">
        <v>20235</v>
      </c>
      <c r="B9314" s="833" t="s">
        <v>13575</v>
      </c>
      <c r="C9314" s="4" t="s">
        <v>12080</v>
      </c>
      <c r="D9314" s="834">
        <v>45.17</v>
      </c>
    </row>
    <row r="9315" spans="1:4" x14ac:dyDescent="0.3">
      <c r="A9315" s="4">
        <v>7181</v>
      </c>
      <c r="B9315" s="833" t="s">
        <v>13576</v>
      </c>
      <c r="C9315" s="4" t="s">
        <v>12080</v>
      </c>
      <c r="D9315" s="834">
        <v>3.95</v>
      </c>
    </row>
    <row r="9316" spans="1:4" x14ac:dyDescent="0.3">
      <c r="A9316" s="4">
        <v>40742</v>
      </c>
      <c r="B9316" s="833" t="s">
        <v>13577</v>
      </c>
      <c r="C9316" s="4" t="s">
        <v>12080</v>
      </c>
      <c r="D9316" s="834">
        <v>13.43</v>
      </c>
    </row>
    <row r="9317" spans="1:4" x14ac:dyDescent="0.3">
      <c r="A9317" s="4">
        <v>7214</v>
      </c>
      <c r="B9317" s="833" t="s">
        <v>13578</v>
      </c>
      <c r="C9317" s="4" t="s">
        <v>12080</v>
      </c>
      <c r="D9317" s="834">
        <v>54.86</v>
      </c>
    </row>
    <row r="9318" spans="1:4" x14ac:dyDescent="0.3">
      <c r="A9318" s="4">
        <v>7219</v>
      </c>
      <c r="B9318" s="833" t="s">
        <v>13579</v>
      </c>
      <c r="C9318" s="4" t="s">
        <v>12080</v>
      </c>
      <c r="D9318" s="834">
        <v>48.66</v>
      </c>
    </row>
    <row r="9319" spans="1:4" x14ac:dyDescent="0.3">
      <c r="A9319" s="4">
        <v>37971</v>
      </c>
      <c r="B9319" s="833" t="s">
        <v>13580</v>
      </c>
      <c r="C9319" s="4" t="s">
        <v>12080</v>
      </c>
      <c r="D9319" s="834">
        <v>5.17</v>
      </c>
    </row>
    <row r="9320" spans="1:4" x14ac:dyDescent="0.3">
      <c r="A9320" s="4">
        <v>37972</v>
      </c>
      <c r="B9320" s="833" t="s">
        <v>13581</v>
      </c>
      <c r="C9320" s="4" t="s">
        <v>12080</v>
      </c>
      <c r="D9320" s="834">
        <v>7.33</v>
      </c>
    </row>
    <row r="9321" spans="1:4" x14ac:dyDescent="0.3">
      <c r="A9321" s="4">
        <v>37973</v>
      </c>
      <c r="B9321" s="833" t="s">
        <v>13582</v>
      </c>
      <c r="C9321" s="4" t="s">
        <v>12080</v>
      </c>
      <c r="D9321" s="834">
        <v>13.77</v>
      </c>
    </row>
    <row r="9322" spans="1:4" x14ac:dyDescent="0.3">
      <c r="A9322" s="4">
        <v>1926</v>
      </c>
      <c r="B9322" s="833" t="s">
        <v>13583</v>
      </c>
      <c r="C9322" s="4" t="s">
        <v>12080</v>
      </c>
      <c r="D9322" s="834">
        <v>2.2799999999999998</v>
      </c>
    </row>
    <row r="9323" spans="1:4" x14ac:dyDescent="0.3">
      <c r="A9323" s="4">
        <v>1927</v>
      </c>
      <c r="B9323" s="833" t="s">
        <v>13584</v>
      </c>
      <c r="C9323" s="4" t="s">
        <v>12080</v>
      </c>
      <c r="D9323" s="834">
        <v>2.56</v>
      </c>
    </row>
    <row r="9324" spans="1:4" x14ac:dyDescent="0.3">
      <c r="A9324" s="4">
        <v>1923</v>
      </c>
      <c r="B9324" s="833" t="s">
        <v>13585</v>
      </c>
      <c r="C9324" s="4" t="s">
        <v>12080</v>
      </c>
      <c r="D9324" s="834">
        <v>4.66</v>
      </c>
    </row>
    <row r="9325" spans="1:4" x14ac:dyDescent="0.3">
      <c r="A9325" s="4">
        <v>1929</v>
      </c>
      <c r="B9325" s="833" t="s">
        <v>13586</v>
      </c>
      <c r="C9325" s="4" t="s">
        <v>12080</v>
      </c>
      <c r="D9325" s="834">
        <v>5.65</v>
      </c>
    </row>
    <row r="9326" spans="1:4" x14ac:dyDescent="0.3">
      <c r="A9326" s="4">
        <v>1930</v>
      </c>
      <c r="B9326" s="833" t="s">
        <v>13587</v>
      </c>
      <c r="C9326" s="4" t="s">
        <v>12080</v>
      </c>
      <c r="D9326" s="834">
        <v>9.67</v>
      </c>
    </row>
    <row r="9327" spans="1:4" x14ac:dyDescent="0.3">
      <c r="A9327" s="4">
        <v>1924</v>
      </c>
      <c r="B9327" s="833" t="s">
        <v>13588</v>
      </c>
      <c r="C9327" s="4" t="s">
        <v>12080</v>
      </c>
      <c r="D9327" s="834">
        <v>15.61</v>
      </c>
    </row>
    <row r="9328" spans="1:4" x14ac:dyDescent="0.3">
      <c r="A9328" s="4">
        <v>1922</v>
      </c>
      <c r="B9328" s="833" t="s">
        <v>13589</v>
      </c>
      <c r="C9328" s="4" t="s">
        <v>12080</v>
      </c>
      <c r="D9328" s="834">
        <v>32.270000000000003</v>
      </c>
    </row>
    <row r="9329" spans="1:4" x14ac:dyDescent="0.3">
      <c r="A9329" s="4">
        <v>1953</v>
      </c>
      <c r="B9329" s="833" t="s">
        <v>13590</v>
      </c>
      <c r="C9329" s="4" t="s">
        <v>12080</v>
      </c>
      <c r="D9329" s="834">
        <v>39.4</v>
      </c>
    </row>
    <row r="9330" spans="1:4" x14ac:dyDescent="0.3">
      <c r="A9330" s="4">
        <v>1962</v>
      </c>
      <c r="B9330" s="833" t="s">
        <v>13591</v>
      </c>
      <c r="C9330" s="4" t="s">
        <v>12080</v>
      </c>
      <c r="D9330" s="834">
        <v>191.41</v>
      </c>
    </row>
    <row r="9331" spans="1:4" x14ac:dyDescent="0.3">
      <c r="A9331" s="4">
        <v>1955</v>
      </c>
      <c r="B9331" s="833" t="s">
        <v>13592</v>
      </c>
      <c r="C9331" s="4" t="s">
        <v>12080</v>
      </c>
      <c r="D9331" s="834">
        <v>2.2000000000000002</v>
      </c>
    </row>
    <row r="9332" spans="1:4" x14ac:dyDescent="0.3">
      <c r="A9332" s="4">
        <v>1956</v>
      </c>
      <c r="B9332" s="833" t="s">
        <v>13593</v>
      </c>
      <c r="C9332" s="4" t="s">
        <v>12080</v>
      </c>
      <c r="D9332" s="834">
        <v>3.11</v>
      </c>
    </row>
    <row r="9333" spans="1:4" x14ac:dyDescent="0.3">
      <c r="A9333" s="4">
        <v>1957</v>
      </c>
      <c r="B9333" s="833" t="s">
        <v>13594</v>
      </c>
      <c r="C9333" s="4" t="s">
        <v>12080</v>
      </c>
      <c r="D9333" s="834">
        <v>6.73</v>
      </c>
    </row>
    <row r="9334" spans="1:4" x14ac:dyDescent="0.3">
      <c r="A9334" s="4">
        <v>1958</v>
      </c>
      <c r="B9334" s="833" t="s">
        <v>13595</v>
      </c>
      <c r="C9334" s="4" t="s">
        <v>12080</v>
      </c>
      <c r="D9334" s="834">
        <v>12.53</v>
      </c>
    </row>
    <row r="9335" spans="1:4" x14ac:dyDescent="0.3">
      <c r="A9335" s="4">
        <v>1959</v>
      </c>
      <c r="B9335" s="833" t="s">
        <v>13596</v>
      </c>
      <c r="C9335" s="4" t="s">
        <v>12080</v>
      </c>
      <c r="D9335" s="834">
        <v>13.6</v>
      </c>
    </row>
    <row r="9336" spans="1:4" x14ac:dyDescent="0.3">
      <c r="A9336" s="4">
        <v>1925</v>
      </c>
      <c r="B9336" s="833" t="s">
        <v>13597</v>
      </c>
      <c r="C9336" s="4" t="s">
        <v>12080</v>
      </c>
      <c r="D9336" s="834">
        <v>35.549999999999997</v>
      </c>
    </row>
    <row r="9337" spans="1:4" x14ac:dyDescent="0.3">
      <c r="A9337" s="4">
        <v>1960</v>
      </c>
      <c r="B9337" s="833" t="s">
        <v>13598</v>
      </c>
      <c r="C9337" s="4" t="s">
        <v>12080</v>
      </c>
      <c r="D9337" s="834">
        <v>54.58</v>
      </c>
    </row>
    <row r="9338" spans="1:4" x14ac:dyDescent="0.3">
      <c r="A9338" s="4">
        <v>1961</v>
      </c>
      <c r="B9338" s="833" t="s">
        <v>13599</v>
      </c>
      <c r="C9338" s="4" t="s">
        <v>12080</v>
      </c>
      <c r="D9338" s="834">
        <v>69.930000000000007</v>
      </c>
    </row>
    <row r="9339" spans="1:4" x14ac:dyDescent="0.3">
      <c r="A9339" s="4">
        <v>38423</v>
      </c>
      <c r="B9339" s="833" t="s">
        <v>13600</v>
      </c>
      <c r="C9339" s="4" t="s">
        <v>12080</v>
      </c>
      <c r="D9339" s="834">
        <v>36.6</v>
      </c>
    </row>
    <row r="9340" spans="1:4" x14ac:dyDescent="0.3">
      <c r="A9340" s="4">
        <v>39866</v>
      </c>
      <c r="B9340" s="833" t="s">
        <v>13601</v>
      </c>
      <c r="C9340" s="4" t="s">
        <v>12080</v>
      </c>
      <c r="D9340" s="834">
        <v>30.9</v>
      </c>
    </row>
    <row r="9341" spans="1:4" x14ac:dyDescent="0.3">
      <c r="A9341" s="4">
        <v>39867</v>
      </c>
      <c r="B9341" s="833" t="s">
        <v>13602</v>
      </c>
      <c r="C9341" s="4" t="s">
        <v>12080</v>
      </c>
      <c r="D9341" s="834">
        <v>68.7</v>
      </c>
    </row>
    <row r="9342" spans="1:4" x14ac:dyDescent="0.3">
      <c r="A9342" s="4">
        <v>39868</v>
      </c>
      <c r="B9342" s="833" t="s">
        <v>13603</v>
      </c>
      <c r="C9342" s="4" t="s">
        <v>12080</v>
      </c>
      <c r="D9342" s="834">
        <v>123.77</v>
      </c>
    </row>
    <row r="9343" spans="1:4" x14ac:dyDescent="0.3">
      <c r="A9343" s="4">
        <v>37999</v>
      </c>
      <c r="B9343" s="833" t="s">
        <v>13604</v>
      </c>
      <c r="C9343" s="4" t="s">
        <v>12080</v>
      </c>
      <c r="D9343" s="834">
        <v>8.7100000000000009</v>
      </c>
    </row>
    <row r="9344" spans="1:4" x14ac:dyDescent="0.3">
      <c r="A9344" s="4">
        <v>38000</v>
      </c>
      <c r="B9344" s="833" t="s">
        <v>13605</v>
      </c>
      <c r="C9344" s="4" t="s">
        <v>12080</v>
      </c>
      <c r="D9344" s="834">
        <v>10.17</v>
      </c>
    </row>
    <row r="9345" spans="1:4" x14ac:dyDescent="0.3">
      <c r="A9345" s="4">
        <v>38129</v>
      </c>
      <c r="B9345" s="833" t="s">
        <v>13606</v>
      </c>
      <c r="C9345" s="4" t="s">
        <v>12080</v>
      </c>
      <c r="D9345" s="834">
        <v>5.13</v>
      </c>
    </row>
    <row r="9346" spans="1:4" x14ac:dyDescent="0.3">
      <c r="A9346" s="4">
        <v>38025</v>
      </c>
      <c r="B9346" s="833" t="s">
        <v>13607</v>
      </c>
      <c r="C9346" s="4" t="s">
        <v>12080</v>
      </c>
      <c r="D9346" s="834">
        <v>6.97</v>
      </c>
    </row>
    <row r="9347" spans="1:4" x14ac:dyDescent="0.3">
      <c r="A9347" s="4">
        <v>38026</v>
      </c>
      <c r="B9347" s="833" t="s">
        <v>13608</v>
      </c>
      <c r="C9347" s="4" t="s">
        <v>12080</v>
      </c>
      <c r="D9347" s="834">
        <v>17.2</v>
      </c>
    </row>
    <row r="9348" spans="1:4" x14ac:dyDescent="0.3">
      <c r="A9348" s="4">
        <v>1858</v>
      </c>
      <c r="B9348" s="833" t="s">
        <v>13609</v>
      </c>
      <c r="C9348" s="4" t="s">
        <v>12080</v>
      </c>
      <c r="D9348" s="834">
        <v>56.71</v>
      </c>
    </row>
    <row r="9349" spans="1:4" x14ac:dyDescent="0.3">
      <c r="A9349" s="4">
        <v>1844</v>
      </c>
      <c r="B9349" s="833" t="s">
        <v>13610</v>
      </c>
      <c r="C9349" s="4" t="s">
        <v>12080</v>
      </c>
      <c r="D9349" s="834">
        <v>129.87</v>
      </c>
    </row>
    <row r="9350" spans="1:4" x14ac:dyDescent="0.3">
      <c r="A9350" s="4">
        <v>1863</v>
      </c>
      <c r="B9350" s="833" t="s">
        <v>13611</v>
      </c>
      <c r="C9350" s="4" t="s">
        <v>12080</v>
      </c>
      <c r="D9350" s="834">
        <v>60.34</v>
      </c>
    </row>
    <row r="9351" spans="1:4" x14ac:dyDescent="0.3">
      <c r="A9351" s="4">
        <v>1865</v>
      </c>
      <c r="B9351" s="833" t="s">
        <v>13612</v>
      </c>
      <c r="C9351" s="4" t="s">
        <v>12080</v>
      </c>
      <c r="D9351" s="834">
        <v>157.22999999999999</v>
      </c>
    </row>
    <row r="9352" spans="1:4" x14ac:dyDescent="0.3">
      <c r="A9352" s="4">
        <v>36355</v>
      </c>
      <c r="B9352" s="833" t="s">
        <v>13613</v>
      </c>
      <c r="C9352" s="4" t="s">
        <v>12080</v>
      </c>
      <c r="D9352" s="834">
        <v>11.38</v>
      </c>
    </row>
    <row r="9353" spans="1:4" x14ac:dyDescent="0.3">
      <c r="A9353" s="4">
        <v>36356</v>
      </c>
      <c r="B9353" s="833" t="s">
        <v>13614</v>
      </c>
      <c r="C9353" s="4" t="s">
        <v>12080</v>
      </c>
      <c r="D9353" s="834">
        <v>18.3</v>
      </c>
    </row>
    <row r="9354" spans="1:4" x14ac:dyDescent="0.3">
      <c r="A9354" s="4">
        <v>1966</v>
      </c>
      <c r="B9354" s="833" t="s">
        <v>13615</v>
      </c>
      <c r="C9354" s="4" t="s">
        <v>12080</v>
      </c>
      <c r="D9354" s="834">
        <v>24.06</v>
      </c>
    </row>
    <row r="9355" spans="1:4" x14ac:dyDescent="0.3">
      <c r="A9355" s="4">
        <v>1933</v>
      </c>
      <c r="B9355" s="833" t="s">
        <v>13616</v>
      </c>
      <c r="C9355" s="4" t="s">
        <v>12080</v>
      </c>
      <c r="D9355" s="834">
        <v>5.18</v>
      </c>
    </row>
    <row r="9356" spans="1:4" x14ac:dyDescent="0.3">
      <c r="A9356" s="4">
        <v>1932</v>
      </c>
      <c r="B9356" s="833" t="s">
        <v>13617</v>
      </c>
      <c r="C9356" s="4" t="s">
        <v>12080</v>
      </c>
      <c r="D9356" s="834">
        <v>11.87</v>
      </c>
    </row>
    <row r="9357" spans="1:4" x14ac:dyDescent="0.3">
      <c r="A9357" s="4">
        <v>1951</v>
      </c>
      <c r="B9357" s="833" t="s">
        <v>13618</v>
      </c>
      <c r="C9357" s="4" t="s">
        <v>12080</v>
      </c>
      <c r="D9357" s="834">
        <v>24.76</v>
      </c>
    </row>
    <row r="9358" spans="1:4" x14ac:dyDescent="0.3">
      <c r="A9358" s="4">
        <v>1970</v>
      </c>
      <c r="B9358" s="833" t="s">
        <v>13619</v>
      </c>
      <c r="C9358" s="4" t="s">
        <v>12080</v>
      </c>
      <c r="D9358" s="834">
        <v>60.15</v>
      </c>
    </row>
    <row r="9359" spans="1:4" x14ac:dyDescent="0.3">
      <c r="A9359" s="4">
        <v>1967</v>
      </c>
      <c r="B9359" s="833" t="s">
        <v>13620</v>
      </c>
      <c r="C9359" s="4" t="s">
        <v>12080</v>
      </c>
      <c r="D9359" s="834">
        <v>7.14</v>
      </c>
    </row>
    <row r="9360" spans="1:4" x14ac:dyDescent="0.3">
      <c r="A9360" s="4">
        <v>1968</v>
      </c>
      <c r="B9360" s="833" t="s">
        <v>13621</v>
      </c>
      <c r="C9360" s="4" t="s">
        <v>12080</v>
      </c>
      <c r="D9360" s="834">
        <v>14.12</v>
      </c>
    </row>
    <row r="9361" spans="1:4" x14ac:dyDescent="0.3">
      <c r="A9361" s="4">
        <v>1969</v>
      </c>
      <c r="B9361" s="833" t="s">
        <v>13622</v>
      </c>
      <c r="C9361" s="4" t="s">
        <v>12080</v>
      </c>
      <c r="D9361" s="834">
        <v>45.96</v>
      </c>
    </row>
    <row r="9362" spans="1:4" x14ac:dyDescent="0.3">
      <c r="A9362" s="4">
        <v>1827</v>
      </c>
      <c r="B9362" s="833" t="s">
        <v>13623</v>
      </c>
      <c r="C9362" s="4" t="s">
        <v>12080</v>
      </c>
      <c r="D9362" s="834">
        <v>137.19</v>
      </c>
    </row>
    <row r="9363" spans="1:4" x14ac:dyDescent="0.3">
      <c r="A9363" s="4">
        <v>1831</v>
      </c>
      <c r="B9363" s="833" t="s">
        <v>13624</v>
      </c>
      <c r="C9363" s="4" t="s">
        <v>12080</v>
      </c>
      <c r="D9363" s="834">
        <v>29.95</v>
      </c>
    </row>
    <row r="9364" spans="1:4" x14ac:dyDescent="0.3">
      <c r="A9364" s="4">
        <v>1825</v>
      </c>
      <c r="B9364" s="833" t="s">
        <v>13625</v>
      </c>
      <c r="C9364" s="4" t="s">
        <v>12080</v>
      </c>
      <c r="D9364" s="834">
        <v>73.91</v>
      </c>
    </row>
    <row r="9365" spans="1:4" x14ac:dyDescent="0.3">
      <c r="A9365" s="4">
        <v>1828</v>
      </c>
      <c r="B9365" s="833" t="s">
        <v>13626</v>
      </c>
      <c r="C9365" s="4" t="s">
        <v>12080</v>
      </c>
      <c r="D9365" s="834">
        <v>167.41</v>
      </c>
    </row>
    <row r="9366" spans="1:4" x14ac:dyDescent="0.3">
      <c r="A9366" s="4">
        <v>1845</v>
      </c>
      <c r="B9366" s="833" t="s">
        <v>13627</v>
      </c>
      <c r="C9366" s="4" t="s">
        <v>12080</v>
      </c>
      <c r="D9366" s="834">
        <v>37.53</v>
      </c>
    </row>
    <row r="9367" spans="1:4" x14ac:dyDescent="0.3">
      <c r="A9367" s="4">
        <v>1824</v>
      </c>
      <c r="B9367" s="833" t="s">
        <v>13628</v>
      </c>
      <c r="C9367" s="4" t="s">
        <v>12080</v>
      </c>
      <c r="D9367" s="834">
        <v>88.6</v>
      </c>
    </row>
    <row r="9368" spans="1:4" x14ac:dyDescent="0.3">
      <c r="A9368" s="4">
        <v>1940</v>
      </c>
      <c r="B9368" s="833" t="s">
        <v>13629</v>
      </c>
      <c r="C9368" s="4" t="s">
        <v>12080</v>
      </c>
      <c r="D9368" s="834">
        <v>34.729999999999997</v>
      </c>
    </row>
    <row r="9369" spans="1:4" x14ac:dyDescent="0.3">
      <c r="A9369" s="4">
        <v>1937</v>
      </c>
      <c r="B9369" s="833" t="s">
        <v>13630</v>
      </c>
      <c r="C9369" s="4" t="s">
        <v>12080</v>
      </c>
      <c r="D9369" s="834">
        <v>5.86</v>
      </c>
    </row>
    <row r="9370" spans="1:4" x14ac:dyDescent="0.3">
      <c r="A9370" s="4">
        <v>1939</v>
      </c>
      <c r="B9370" s="833" t="s">
        <v>13631</v>
      </c>
      <c r="C9370" s="4" t="s">
        <v>12080</v>
      </c>
      <c r="D9370" s="834">
        <v>9.52</v>
      </c>
    </row>
    <row r="9371" spans="1:4" x14ac:dyDescent="0.3">
      <c r="A9371" s="4">
        <v>1938</v>
      </c>
      <c r="B9371" s="833" t="s">
        <v>13632</v>
      </c>
      <c r="C9371" s="4" t="s">
        <v>12080</v>
      </c>
      <c r="D9371" s="834">
        <v>6.66</v>
      </c>
    </row>
    <row r="9372" spans="1:4" x14ac:dyDescent="0.3">
      <c r="A9372" s="4">
        <v>42693</v>
      </c>
      <c r="B9372" s="833" t="s">
        <v>13633</v>
      </c>
      <c r="C9372" s="4" t="s">
        <v>12080</v>
      </c>
      <c r="D9372" s="834">
        <v>441.68</v>
      </c>
    </row>
    <row r="9373" spans="1:4" x14ac:dyDescent="0.3">
      <c r="A9373" s="4">
        <v>42695</v>
      </c>
      <c r="B9373" s="833" t="s">
        <v>13634</v>
      </c>
      <c r="C9373" s="4" t="s">
        <v>12080</v>
      </c>
      <c r="D9373" s="834">
        <v>308.58</v>
      </c>
    </row>
    <row r="9374" spans="1:4" x14ac:dyDescent="0.3">
      <c r="A9374" s="4">
        <v>42694</v>
      </c>
      <c r="B9374" s="833" t="s">
        <v>13635</v>
      </c>
      <c r="C9374" s="4" t="s">
        <v>12080</v>
      </c>
      <c r="D9374" s="834">
        <v>591.05999999999995</v>
      </c>
    </row>
    <row r="9375" spans="1:4" x14ac:dyDescent="0.3">
      <c r="A9375" s="4">
        <v>20097</v>
      </c>
      <c r="B9375" s="833" t="s">
        <v>13636</v>
      </c>
      <c r="C9375" s="4" t="s">
        <v>12080</v>
      </c>
      <c r="D9375" s="834">
        <v>25.63</v>
      </c>
    </row>
    <row r="9376" spans="1:4" x14ac:dyDescent="0.3">
      <c r="A9376" s="4">
        <v>20098</v>
      </c>
      <c r="B9376" s="833" t="s">
        <v>13637</v>
      </c>
      <c r="C9376" s="4" t="s">
        <v>12080</v>
      </c>
      <c r="D9376" s="834">
        <v>104.74</v>
      </c>
    </row>
    <row r="9377" spans="1:4" x14ac:dyDescent="0.3">
      <c r="A9377" s="4">
        <v>20096</v>
      </c>
      <c r="B9377" s="833" t="s">
        <v>13638</v>
      </c>
      <c r="C9377" s="4" t="s">
        <v>12080</v>
      </c>
      <c r="D9377" s="834">
        <v>26.53</v>
      </c>
    </row>
    <row r="9378" spans="1:4" x14ac:dyDescent="0.3">
      <c r="A9378" s="4">
        <v>2628</v>
      </c>
      <c r="B9378" s="833" t="s">
        <v>13639</v>
      </c>
      <c r="C9378" s="4" t="s">
        <v>12080</v>
      </c>
      <c r="D9378" s="834">
        <v>216.04</v>
      </c>
    </row>
    <row r="9379" spans="1:4" x14ac:dyDescent="0.3">
      <c r="A9379" s="4">
        <v>2622</v>
      </c>
      <c r="B9379" s="833" t="s">
        <v>13640</v>
      </c>
      <c r="C9379" s="4" t="s">
        <v>12080</v>
      </c>
      <c r="D9379" s="834">
        <v>5.13</v>
      </c>
    </row>
    <row r="9380" spans="1:4" x14ac:dyDescent="0.3">
      <c r="A9380" s="4">
        <v>2623</v>
      </c>
      <c r="B9380" s="833" t="s">
        <v>13641</v>
      </c>
      <c r="C9380" s="4" t="s">
        <v>12080</v>
      </c>
      <c r="D9380" s="834">
        <v>6.17</v>
      </c>
    </row>
    <row r="9381" spans="1:4" x14ac:dyDescent="0.3">
      <c r="A9381" s="4">
        <v>2624</v>
      </c>
      <c r="B9381" s="833" t="s">
        <v>13642</v>
      </c>
      <c r="C9381" s="4" t="s">
        <v>12080</v>
      </c>
      <c r="D9381" s="834">
        <v>9.82</v>
      </c>
    </row>
    <row r="9382" spans="1:4" x14ac:dyDescent="0.3">
      <c r="A9382" s="4">
        <v>2625</v>
      </c>
      <c r="B9382" s="833" t="s">
        <v>13643</v>
      </c>
      <c r="C9382" s="4" t="s">
        <v>12080</v>
      </c>
      <c r="D9382" s="834">
        <v>20.73</v>
      </c>
    </row>
    <row r="9383" spans="1:4" x14ac:dyDescent="0.3">
      <c r="A9383" s="4">
        <v>2626</v>
      </c>
      <c r="B9383" s="833" t="s">
        <v>13644</v>
      </c>
      <c r="C9383" s="4" t="s">
        <v>12080</v>
      </c>
      <c r="D9383" s="834">
        <v>30.37</v>
      </c>
    </row>
    <row r="9384" spans="1:4" x14ac:dyDescent="0.3">
      <c r="A9384" s="4">
        <v>2630</v>
      </c>
      <c r="B9384" s="833" t="s">
        <v>13645</v>
      </c>
      <c r="C9384" s="4" t="s">
        <v>12080</v>
      </c>
      <c r="D9384" s="834">
        <v>46.2</v>
      </c>
    </row>
    <row r="9385" spans="1:4" x14ac:dyDescent="0.3">
      <c r="A9385" s="4">
        <v>2627</v>
      </c>
      <c r="B9385" s="833" t="s">
        <v>13646</v>
      </c>
      <c r="C9385" s="4" t="s">
        <v>12080</v>
      </c>
      <c r="D9385" s="834">
        <v>81.37</v>
      </c>
    </row>
    <row r="9386" spans="1:4" x14ac:dyDescent="0.3">
      <c r="A9386" s="4">
        <v>2629</v>
      </c>
      <c r="B9386" s="833" t="s">
        <v>13647</v>
      </c>
      <c r="C9386" s="4" t="s">
        <v>12080</v>
      </c>
      <c r="D9386" s="834">
        <v>110.06</v>
      </c>
    </row>
    <row r="9387" spans="1:4" x14ac:dyDescent="0.3">
      <c r="A9387" s="4">
        <v>1880</v>
      </c>
      <c r="B9387" s="833" t="s">
        <v>13648</v>
      </c>
      <c r="C9387" s="4" t="s">
        <v>12080</v>
      </c>
      <c r="D9387" s="834">
        <v>3.6</v>
      </c>
    </row>
    <row r="9388" spans="1:4" x14ac:dyDescent="0.3">
      <c r="A9388" s="4">
        <v>39274</v>
      </c>
      <c r="B9388" s="833" t="s">
        <v>13649</v>
      </c>
      <c r="C9388" s="4" t="s">
        <v>12080</v>
      </c>
      <c r="D9388" s="834">
        <v>2.79</v>
      </c>
    </row>
    <row r="9389" spans="1:4" x14ac:dyDescent="0.3">
      <c r="A9389" s="4">
        <v>12033</v>
      </c>
      <c r="B9389" s="833" t="s">
        <v>13650</v>
      </c>
      <c r="C9389" s="4" t="s">
        <v>12080</v>
      </c>
      <c r="D9389" s="834">
        <v>11.51</v>
      </c>
    </row>
    <row r="9390" spans="1:4" x14ac:dyDescent="0.3">
      <c r="A9390" s="4">
        <v>40408</v>
      </c>
      <c r="B9390" s="833" t="s">
        <v>13651</v>
      </c>
      <c r="C9390" s="4" t="s">
        <v>12080</v>
      </c>
      <c r="D9390" s="834">
        <v>7.56</v>
      </c>
    </row>
    <row r="9391" spans="1:4" x14ac:dyDescent="0.3">
      <c r="A9391" s="4">
        <v>40409</v>
      </c>
      <c r="B9391" s="833" t="s">
        <v>13652</v>
      </c>
      <c r="C9391" s="4" t="s">
        <v>12080</v>
      </c>
      <c r="D9391" s="834">
        <v>2.67</v>
      </c>
    </row>
    <row r="9392" spans="1:4" x14ac:dyDescent="0.3">
      <c r="A9392" s="4">
        <v>39276</v>
      </c>
      <c r="B9392" s="833" t="s">
        <v>13653</v>
      </c>
      <c r="C9392" s="4" t="s">
        <v>12080</v>
      </c>
      <c r="D9392" s="834">
        <v>6.81</v>
      </c>
    </row>
    <row r="9393" spans="1:4" x14ac:dyDescent="0.3">
      <c r="A9393" s="4">
        <v>39277</v>
      </c>
      <c r="B9393" s="833" t="s">
        <v>13654</v>
      </c>
      <c r="C9393" s="4" t="s">
        <v>12080</v>
      </c>
      <c r="D9393" s="834">
        <v>18.39</v>
      </c>
    </row>
    <row r="9394" spans="1:4" x14ac:dyDescent="0.3">
      <c r="A9394" s="4">
        <v>12034</v>
      </c>
      <c r="B9394" s="833" t="s">
        <v>13655</v>
      </c>
      <c r="C9394" s="4" t="s">
        <v>12080</v>
      </c>
      <c r="D9394" s="834">
        <v>5.21</v>
      </c>
    </row>
    <row r="9395" spans="1:4" x14ac:dyDescent="0.3">
      <c r="A9395" s="4">
        <v>39879</v>
      </c>
      <c r="B9395" s="833" t="s">
        <v>13656</v>
      </c>
      <c r="C9395" s="4" t="s">
        <v>12080</v>
      </c>
      <c r="D9395" s="834">
        <v>8.69</v>
      </c>
    </row>
    <row r="9396" spans="1:4" x14ac:dyDescent="0.3">
      <c r="A9396" s="4">
        <v>39880</v>
      </c>
      <c r="B9396" s="833" t="s">
        <v>13657</v>
      </c>
      <c r="C9396" s="4" t="s">
        <v>12080</v>
      </c>
      <c r="D9396" s="834">
        <v>19.239999999999998</v>
      </c>
    </row>
    <row r="9397" spans="1:4" x14ac:dyDescent="0.3">
      <c r="A9397" s="4">
        <v>39881</v>
      </c>
      <c r="B9397" s="833" t="s">
        <v>13658</v>
      </c>
      <c r="C9397" s="4" t="s">
        <v>12080</v>
      </c>
      <c r="D9397" s="834">
        <v>30.88</v>
      </c>
    </row>
    <row r="9398" spans="1:4" x14ac:dyDescent="0.3">
      <c r="A9398" s="4">
        <v>39882</v>
      </c>
      <c r="B9398" s="833" t="s">
        <v>13659</v>
      </c>
      <c r="C9398" s="4" t="s">
        <v>12080</v>
      </c>
      <c r="D9398" s="834">
        <v>81.33</v>
      </c>
    </row>
    <row r="9399" spans="1:4" x14ac:dyDescent="0.3">
      <c r="A9399" s="4">
        <v>39883</v>
      </c>
      <c r="B9399" s="833" t="s">
        <v>13660</v>
      </c>
      <c r="C9399" s="4" t="s">
        <v>12080</v>
      </c>
      <c r="D9399" s="834">
        <v>129.87</v>
      </c>
    </row>
    <row r="9400" spans="1:4" x14ac:dyDescent="0.3">
      <c r="A9400" s="4">
        <v>39884</v>
      </c>
      <c r="B9400" s="833" t="s">
        <v>13661</v>
      </c>
      <c r="C9400" s="4" t="s">
        <v>12080</v>
      </c>
      <c r="D9400" s="834">
        <v>192.89</v>
      </c>
    </row>
    <row r="9401" spans="1:4" x14ac:dyDescent="0.3">
      <c r="A9401" s="4">
        <v>39885</v>
      </c>
      <c r="B9401" s="833" t="s">
        <v>13662</v>
      </c>
      <c r="C9401" s="4" t="s">
        <v>12080</v>
      </c>
      <c r="D9401" s="834">
        <v>458.42</v>
      </c>
    </row>
    <row r="9402" spans="1:4" x14ac:dyDescent="0.3">
      <c r="A9402" s="4">
        <v>1777</v>
      </c>
      <c r="B9402" s="833" t="s">
        <v>13663</v>
      </c>
      <c r="C9402" s="4" t="s">
        <v>12080</v>
      </c>
      <c r="D9402" s="834">
        <v>92.31</v>
      </c>
    </row>
    <row r="9403" spans="1:4" x14ac:dyDescent="0.3">
      <c r="A9403" s="4">
        <v>1819</v>
      </c>
      <c r="B9403" s="833" t="s">
        <v>13664</v>
      </c>
      <c r="C9403" s="4" t="s">
        <v>12080</v>
      </c>
      <c r="D9403" s="834">
        <v>67.16</v>
      </c>
    </row>
    <row r="9404" spans="1:4" x14ac:dyDescent="0.3">
      <c r="A9404" s="4">
        <v>1775</v>
      </c>
      <c r="B9404" s="833" t="s">
        <v>13665</v>
      </c>
      <c r="C9404" s="4" t="s">
        <v>12080</v>
      </c>
      <c r="D9404" s="834">
        <v>20.079999999999998</v>
      </c>
    </row>
    <row r="9405" spans="1:4" x14ac:dyDescent="0.3">
      <c r="A9405" s="4">
        <v>1776</v>
      </c>
      <c r="B9405" s="833" t="s">
        <v>13666</v>
      </c>
      <c r="C9405" s="4" t="s">
        <v>12080</v>
      </c>
      <c r="D9405" s="834">
        <v>54.64</v>
      </c>
    </row>
    <row r="9406" spans="1:4" x14ac:dyDescent="0.3">
      <c r="A9406" s="4">
        <v>1778</v>
      </c>
      <c r="B9406" s="833" t="s">
        <v>13667</v>
      </c>
      <c r="C9406" s="4" t="s">
        <v>12080</v>
      </c>
      <c r="D9406" s="834">
        <v>223.44</v>
      </c>
    </row>
    <row r="9407" spans="1:4" x14ac:dyDescent="0.3">
      <c r="A9407" s="4">
        <v>1818</v>
      </c>
      <c r="B9407" s="833" t="s">
        <v>13668</v>
      </c>
      <c r="C9407" s="4" t="s">
        <v>12080</v>
      </c>
      <c r="D9407" s="834">
        <v>148.32</v>
      </c>
    </row>
    <row r="9408" spans="1:4" x14ac:dyDescent="0.3">
      <c r="A9408" s="4">
        <v>1820</v>
      </c>
      <c r="B9408" s="833" t="s">
        <v>13669</v>
      </c>
      <c r="C9408" s="4" t="s">
        <v>12080</v>
      </c>
      <c r="D9408" s="834">
        <v>29</v>
      </c>
    </row>
    <row r="9409" spans="1:4" x14ac:dyDescent="0.3">
      <c r="A9409" s="4">
        <v>1779</v>
      </c>
      <c r="B9409" s="833" t="s">
        <v>13670</v>
      </c>
      <c r="C9409" s="4" t="s">
        <v>12080</v>
      </c>
      <c r="D9409" s="834">
        <v>324.95999999999998</v>
      </c>
    </row>
    <row r="9410" spans="1:4" x14ac:dyDescent="0.3">
      <c r="A9410" s="4">
        <v>1780</v>
      </c>
      <c r="B9410" s="833" t="s">
        <v>13671</v>
      </c>
      <c r="C9410" s="4" t="s">
        <v>12080</v>
      </c>
      <c r="D9410" s="834">
        <v>669.91</v>
      </c>
    </row>
    <row r="9411" spans="1:4" x14ac:dyDescent="0.3">
      <c r="A9411" s="4">
        <v>1783</v>
      </c>
      <c r="B9411" s="833" t="s">
        <v>13672</v>
      </c>
      <c r="C9411" s="4" t="s">
        <v>12080</v>
      </c>
      <c r="D9411" s="834">
        <v>70.83</v>
      </c>
    </row>
    <row r="9412" spans="1:4" x14ac:dyDescent="0.3">
      <c r="A9412" s="4">
        <v>1782</v>
      </c>
      <c r="B9412" s="833" t="s">
        <v>13673</v>
      </c>
      <c r="C9412" s="4" t="s">
        <v>12080</v>
      </c>
      <c r="D9412" s="834">
        <v>56</v>
      </c>
    </row>
    <row r="9413" spans="1:4" x14ac:dyDescent="0.3">
      <c r="A9413" s="4">
        <v>1817</v>
      </c>
      <c r="B9413" s="833" t="s">
        <v>13674</v>
      </c>
      <c r="C9413" s="4" t="s">
        <v>12080</v>
      </c>
      <c r="D9413" s="834">
        <v>16.690000000000001</v>
      </c>
    </row>
    <row r="9414" spans="1:4" x14ac:dyDescent="0.3">
      <c r="A9414" s="4">
        <v>1781</v>
      </c>
      <c r="B9414" s="833" t="s">
        <v>13675</v>
      </c>
      <c r="C9414" s="4" t="s">
        <v>12080</v>
      </c>
      <c r="D9414" s="834">
        <v>36.49</v>
      </c>
    </row>
    <row r="9415" spans="1:4" x14ac:dyDescent="0.3">
      <c r="A9415" s="4">
        <v>1784</v>
      </c>
      <c r="B9415" s="833" t="s">
        <v>13676</v>
      </c>
      <c r="C9415" s="4" t="s">
        <v>12080</v>
      </c>
      <c r="D9415" s="834">
        <v>200.01</v>
      </c>
    </row>
    <row r="9416" spans="1:4" x14ac:dyDescent="0.3">
      <c r="A9416" s="4">
        <v>1810</v>
      </c>
      <c r="B9416" s="833" t="s">
        <v>13677</v>
      </c>
      <c r="C9416" s="4" t="s">
        <v>12080</v>
      </c>
      <c r="D9416" s="834">
        <v>110.94</v>
      </c>
    </row>
    <row r="9417" spans="1:4" x14ac:dyDescent="0.3">
      <c r="A9417" s="4">
        <v>1811</v>
      </c>
      <c r="B9417" s="833" t="s">
        <v>13678</v>
      </c>
      <c r="C9417" s="4" t="s">
        <v>12080</v>
      </c>
      <c r="D9417" s="834">
        <v>24</v>
      </c>
    </row>
    <row r="9418" spans="1:4" x14ac:dyDescent="0.3">
      <c r="A9418" s="4">
        <v>1812</v>
      </c>
      <c r="B9418" s="833" t="s">
        <v>13679</v>
      </c>
      <c r="C9418" s="4" t="s">
        <v>12080</v>
      </c>
      <c r="D9418" s="834">
        <v>280.05</v>
      </c>
    </row>
    <row r="9419" spans="1:4" x14ac:dyDescent="0.3">
      <c r="A9419" s="4">
        <v>40386</v>
      </c>
      <c r="B9419" s="833" t="s">
        <v>13680</v>
      </c>
      <c r="C9419" s="4" t="s">
        <v>12080</v>
      </c>
      <c r="D9419" s="834">
        <v>88.26</v>
      </c>
    </row>
    <row r="9420" spans="1:4" x14ac:dyDescent="0.3">
      <c r="A9420" s="4">
        <v>40384</v>
      </c>
      <c r="B9420" s="833" t="s">
        <v>13681</v>
      </c>
      <c r="C9420" s="4" t="s">
        <v>12080</v>
      </c>
      <c r="D9420" s="834">
        <v>60.42</v>
      </c>
    </row>
    <row r="9421" spans="1:4" x14ac:dyDescent="0.3">
      <c r="A9421" s="4">
        <v>40379</v>
      </c>
      <c r="B9421" s="833" t="s">
        <v>13682</v>
      </c>
      <c r="C9421" s="4" t="s">
        <v>12080</v>
      </c>
      <c r="D9421" s="834">
        <v>20.89</v>
      </c>
    </row>
    <row r="9422" spans="1:4" x14ac:dyDescent="0.3">
      <c r="A9422" s="4">
        <v>40423</v>
      </c>
      <c r="B9422" s="833" t="s">
        <v>13683</v>
      </c>
      <c r="C9422" s="4" t="s">
        <v>12080</v>
      </c>
      <c r="D9422" s="834">
        <v>39.53</v>
      </c>
    </row>
    <row r="9423" spans="1:4" x14ac:dyDescent="0.3">
      <c r="A9423" s="4">
        <v>40389</v>
      </c>
      <c r="B9423" s="833" t="s">
        <v>13684</v>
      </c>
      <c r="C9423" s="4" t="s">
        <v>12080</v>
      </c>
      <c r="D9423" s="834">
        <v>250.69</v>
      </c>
    </row>
    <row r="9424" spans="1:4" x14ac:dyDescent="0.3">
      <c r="A9424" s="4">
        <v>40388</v>
      </c>
      <c r="B9424" s="833" t="s">
        <v>13685</v>
      </c>
      <c r="C9424" s="4" t="s">
        <v>12080</v>
      </c>
      <c r="D9424" s="834">
        <v>125.48</v>
      </c>
    </row>
    <row r="9425" spans="1:4" x14ac:dyDescent="0.3">
      <c r="A9425" s="4">
        <v>40381</v>
      </c>
      <c r="B9425" s="833" t="s">
        <v>13686</v>
      </c>
      <c r="C9425" s="4" t="s">
        <v>12080</v>
      </c>
      <c r="D9425" s="834">
        <v>27.85</v>
      </c>
    </row>
    <row r="9426" spans="1:4" x14ac:dyDescent="0.3">
      <c r="A9426" s="4">
        <v>40391</v>
      </c>
      <c r="B9426" s="833" t="s">
        <v>13687</v>
      </c>
      <c r="C9426" s="4" t="s">
        <v>12080</v>
      </c>
      <c r="D9426" s="834">
        <v>650.66999999999996</v>
      </c>
    </row>
    <row r="9427" spans="1:4" x14ac:dyDescent="0.3">
      <c r="A9427" s="4">
        <v>2609</v>
      </c>
      <c r="B9427" s="833" t="s">
        <v>13688</v>
      </c>
      <c r="C9427" s="4" t="s">
        <v>12080</v>
      </c>
      <c r="D9427" s="834">
        <v>4.82</v>
      </c>
    </row>
    <row r="9428" spans="1:4" x14ac:dyDescent="0.3">
      <c r="A9428" s="4">
        <v>2634</v>
      </c>
      <c r="B9428" s="833" t="s">
        <v>13689</v>
      </c>
      <c r="C9428" s="4" t="s">
        <v>12080</v>
      </c>
      <c r="D9428" s="834">
        <v>6.33</v>
      </c>
    </row>
    <row r="9429" spans="1:4" x14ac:dyDescent="0.3">
      <c r="A9429" s="4">
        <v>2611</v>
      </c>
      <c r="B9429" s="833" t="s">
        <v>13690</v>
      </c>
      <c r="C9429" s="4" t="s">
        <v>12080</v>
      </c>
      <c r="D9429" s="834">
        <v>17.84</v>
      </c>
    </row>
    <row r="9430" spans="1:4" x14ac:dyDescent="0.3">
      <c r="A9430" s="4">
        <v>40414</v>
      </c>
      <c r="B9430" s="833" t="s">
        <v>13691</v>
      </c>
      <c r="C9430" s="4" t="s">
        <v>12080</v>
      </c>
      <c r="D9430" s="834">
        <v>19.489999999999998</v>
      </c>
    </row>
    <row r="9431" spans="1:4" x14ac:dyDescent="0.3">
      <c r="A9431" s="4">
        <v>40416</v>
      </c>
      <c r="B9431" s="833" t="s">
        <v>13692</v>
      </c>
      <c r="C9431" s="4" t="s">
        <v>12080</v>
      </c>
      <c r="D9431" s="834">
        <v>26.95</v>
      </c>
    </row>
    <row r="9432" spans="1:4" x14ac:dyDescent="0.3">
      <c r="A9432" s="4">
        <v>40418</v>
      </c>
      <c r="B9432" s="833" t="s">
        <v>13693</v>
      </c>
      <c r="C9432" s="4" t="s">
        <v>12080</v>
      </c>
      <c r="D9432" s="834">
        <v>32.14</v>
      </c>
    </row>
    <row r="9433" spans="1:4" x14ac:dyDescent="0.3">
      <c r="A9433" s="4">
        <v>34359</v>
      </c>
      <c r="B9433" s="833" t="s">
        <v>13694</v>
      </c>
      <c r="C9433" s="4" t="s">
        <v>12080</v>
      </c>
      <c r="D9433" s="834">
        <v>11.21</v>
      </c>
    </row>
    <row r="9434" spans="1:4" x14ac:dyDescent="0.3">
      <c r="A9434" s="4">
        <v>1789</v>
      </c>
      <c r="B9434" s="833" t="s">
        <v>13695</v>
      </c>
      <c r="C9434" s="4" t="s">
        <v>12080</v>
      </c>
      <c r="D9434" s="834">
        <v>88.6</v>
      </c>
    </row>
    <row r="9435" spans="1:4" x14ac:dyDescent="0.3">
      <c r="A9435" s="4">
        <v>1788</v>
      </c>
      <c r="B9435" s="833" t="s">
        <v>13696</v>
      </c>
      <c r="C9435" s="4" t="s">
        <v>12080</v>
      </c>
      <c r="D9435" s="834">
        <v>71.02</v>
      </c>
    </row>
    <row r="9436" spans="1:4" x14ac:dyDescent="0.3">
      <c r="A9436" s="4">
        <v>1786</v>
      </c>
      <c r="B9436" s="833" t="s">
        <v>13697</v>
      </c>
      <c r="C9436" s="4" t="s">
        <v>12080</v>
      </c>
      <c r="D9436" s="834">
        <v>17.63</v>
      </c>
    </row>
    <row r="9437" spans="1:4" x14ac:dyDescent="0.3">
      <c r="A9437" s="4">
        <v>1787</v>
      </c>
      <c r="B9437" s="833" t="s">
        <v>13698</v>
      </c>
      <c r="C9437" s="4" t="s">
        <v>12080</v>
      </c>
      <c r="D9437" s="834">
        <v>42.22</v>
      </c>
    </row>
    <row r="9438" spans="1:4" x14ac:dyDescent="0.3">
      <c r="A9438" s="4">
        <v>1791</v>
      </c>
      <c r="B9438" s="833" t="s">
        <v>13699</v>
      </c>
      <c r="C9438" s="4" t="s">
        <v>12080</v>
      </c>
      <c r="D9438" s="834">
        <v>256.04000000000002</v>
      </c>
    </row>
    <row r="9439" spans="1:4" x14ac:dyDescent="0.3">
      <c r="A9439" s="4">
        <v>1790</v>
      </c>
      <c r="B9439" s="833" t="s">
        <v>13700</v>
      </c>
      <c r="C9439" s="4" t="s">
        <v>12080</v>
      </c>
      <c r="D9439" s="834">
        <v>147.54</v>
      </c>
    </row>
    <row r="9440" spans="1:4" x14ac:dyDescent="0.3">
      <c r="A9440" s="4">
        <v>1813</v>
      </c>
      <c r="B9440" s="833" t="s">
        <v>13701</v>
      </c>
      <c r="C9440" s="4" t="s">
        <v>12080</v>
      </c>
      <c r="D9440" s="834">
        <v>27.98</v>
      </c>
    </row>
    <row r="9441" spans="1:4" x14ac:dyDescent="0.3">
      <c r="A9441" s="4">
        <v>1792</v>
      </c>
      <c r="B9441" s="833" t="s">
        <v>13702</v>
      </c>
      <c r="C9441" s="4" t="s">
        <v>12080</v>
      </c>
      <c r="D9441" s="834">
        <v>345.62</v>
      </c>
    </row>
    <row r="9442" spans="1:4" x14ac:dyDescent="0.3">
      <c r="A9442" s="4">
        <v>1793</v>
      </c>
      <c r="B9442" s="833" t="s">
        <v>13703</v>
      </c>
      <c r="C9442" s="4" t="s">
        <v>12080</v>
      </c>
      <c r="D9442" s="834">
        <v>698.39</v>
      </c>
    </row>
    <row r="9443" spans="1:4" x14ac:dyDescent="0.3">
      <c r="A9443" s="4">
        <v>1809</v>
      </c>
      <c r="B9443" s="833" t="s">
        <v>13704</v>
      </c>
      <c r="C9443" s="4" t="s">
        <v>12080</v>
      </c>
      <c r="D9443" s="834">
        <v>83.06</v>
      </c>
    </row>
    <row r="9444" spans="1:4" x14ac:dyDescent="0.3">
      <c r="A9444" s="4">
        <v>1814</v>
      </c>
      <c r="B9444" s="833" t="s">
        <v>13705</v>
      </c>
      <c r="C9444" s="4" t="s">
        <v>12080</v>
      </c>
      <c r="D9444" s="834">
        <v>68.23</v>
      </c>
    </row>
    <row r="9445" spans="1:4" x14ac:dyDescent="0.3">
      <c r="A9445" s="4">
        <v>1803</v>
      </c>
      <c r="B9445" s="833" t="s">
        <v>13706</v>
      </c>
      <c r="C9445" s="4" t="s">
        <v>12080</v>
      </c>
      <c r="D9445" s="834">
        <v>17.239999999999998</v>
      </c>
    </row>
    <row r="9446" spans="1:4" x14ac:dyDescent="0.3">
      <c r="A9446" s="4">
        <v>1805</v>
      </c>
      <c r="B9446" s="833" t="s">
        <v>13707</v>
      </c>
      <c r="C9446" s="4" t="s">
        <v>12080</v>
      </c>
      <c r="D9446" s="834">
        <v>39.6</v>
      </c>
    </row>
    <row r="9447" spans="1:4" x14ac:dyDescent="0.3">
      <c r="A9447" s="4">
        <v>1821</v>
      </c>
      <c r="B9447" s="833" t="s">
        <v>13708</v>
      </c>
      <c r="C9447" s="4" t="s">
        <v>12080</v>
      </c>
      <c r="D9447" s="834">
        <v>233.93</v>
      </c>
    </row>
    <row r="9448" spans="1:4" x14ac:dyDescent="0.3">
      <c r="A9448" s="4">
        <v>1806</v>
      </c>
      <c r="B9448" s="833" t="s">
        <v>13709</v>
      </c>
      <c r="C9448" s="4" t="s">
        <v>12080</v>
      </c>
      <c r="D9448" s="834">
        <v>139.24</v>
      </c>
    </row>
    <row r="9449" spans="1:4" x14ac:dyDescent="0.3">
      <c r="A9449" s="4">
        <v>1804</v>
      </c>
      <c r="B9449" s="833" t="s">
        <v>13710</v>
      </c>
      <c r="C9449" s="4" t="s">
        <v>12080</v>
      </c>
      <c r="D9449" s="834">
        <v>24.54</v>
      </c>
    </row>
    <row r="9450" spans="1:4" x14ac:dyDescent="0.3">
      <c r="A9450" s="4">
        <v>1807</v>
      </c>
      <c r="B9450" s="833" t="s">
        <v>13711</v>
      </c>
      <c r="C9450" s="4" t="s">
        <v>12080</v>
      </c>
      <c r="D9450" s="834">
        <v>334.56</v>
      </c>
    </row>
    <row r="9451" spans="1:4" x14ac:dyDescent="0.3">
      <c r="A9451" s="4">
        <v>1808</v>
      </c>
      <c r="B9451" s="833" t="s">
        <v>13712</v>
      </c>
      <c r="C9451" s="4" t="s">
        <v>12080</v>
      </c>
      <c r="D9451" s="834">
        <v>670.74</v>
      </c>
    </row>
    <row r="9452" spans="1:4" x14ac:dyDescent="0.3">
      <c r="A9452" s="4">
        <v>1797</v>
      </c>
      <c r="B9452" s="833" t="s">
        <v>13713</v>
      </c>
      <c r="C9452" s="4" t="s">
        <v>12080</v>
      </c>
      <c r="D9452" s="834">
        <v>100.6</v>
      </c>
    </row>
    <row r="9453" spans="1:4" x14ac:dyDescent="0.3">
      <c r="A9453" s="4">
        <v>1796</v>
      </c>
      <c r="B9453" s="833" t="s">
        <v>13714</v>
      </c>
      <c r="C9453" s="4" t="s">
        <v>12080</v>
      </c>
      <c r="D9453" s="834">
        <v>77.17</v>
      </c>
    </row>
    <row r="9454" spans="1:4" x14ac:dyDescent="0.3">
      <c r="A9454" s="4">
        <v>1794</v>
      </c>
      <c r="B9454" s="833" t="s">
        <v>13715</v>
      </c>
      <c r="C9454" s="4" t="s">
        <v>12080</v>
      </c>
      <c r="D9454" s="834">
        <v>18.420000000000002</v>
      </c>
    </row>
    <row r="9455" spans="1:4" x14ac:dyDescent="0.3">
      <c r="A9455" s="4">
        <v>1816</v>
      </c>
      <c r="B9455" s="833" t="s">
        <v>13716</v>
      </c>
      <c r="C9455" s="4" t="s">
        <v>12080</v>
      </c>
      <c r="D9455" s="834">
        <v>41.53</v>
      </c>
    </row>
    <row r="9456" spans="1:4" x14ac:dyDescent="0.3">
      <c r="A9456" s="4">
        <v>1815</v>
      </c>
      <c r="B9456" s="833" t="s">
        <v>13717</v>
      </c>
      <c r="C9456" s="4" t="s">
        <v>12080</v>
      </c>
      <c r="D9456" s="834">
        <v>318.95999999999998</v>
      </c>
    </row>
    <row r="9457" spans="1:4" x14ac:dyDescent="0.3">
      <c r="A9457" s="4">
        <v>1798</v>
      </c>
      <c r="B9457" s="833" t="s">
        <v>13718</v>
      </c>
      <c r="C9457" s="4" t="s">
        <v>12080</v>
      </c>
      <c r="D9457" s="834">
        <v>142.72</v>
      </c>
    </row>
    <row r="9458" spans="1:4" x14ac:dyDescent="0.3">
      <c r="A9458" s="4">
        <v>1795</v>
      </c>
      <c r="B9458" s="833" t="s">
        <v>13719</v>
      </c>
      <c r="C9458" s="4" t="s">
        <v>12080</v>
      </c>
      <c r="D9458" s="834">
        <v>25.52</v>
      </c>
    </row>
    <row r="9459" spans="1:4" x14ac:dyDescent="0.3">
      <c r="A9459" s="4">
        <v>1799</v>
      </c>
      <c r="B9459" s="833" t="s">
        <v>13720</v>
      </c>
      <c r="C9459" s="4" t="s">
        <v>12080</v>
      </c>
      <c r="D9459" s="834">
        <v>415.42</v>
      </c>
    </row>
    <row r="9460" spans="1:4" x14ac:dyDescent="0.3">
      <c r="A9460" s="4">
        <v>1800</v>
      </c>
      <c r="B9460" s="833" t="s">
        <v>13721</v>
      </c>
      <c r="C9460" s="4" t="s">
        <v>12080</v>
      </c>
      <c r="D9460" s="834">
        <v>793.11</v>
      </c>
    </row>
    <row r="9461" spans="1:4" x14ac:dyDescent="0.3">
      <c r="A9461" s="4">
        <v>1802</v>
      </c>
      <c r="B9461" s="833" t="s">
        <v>13722</v>
      </c>
      <c r="C9461" s="4" t="s">
        <v>12080</v>
      </c>
      <c r="D9461" s="834">
        <v>1983.88</v>
      </c>
    </row>
    <row r="9462" spans="1:4" x14ac:dyDescent="0.3">
      <c r="A9462" s="4">
        <v>40385</v>
      </c>
      <c r="B9462" s="833" t="s">
        <v>13723</v>
      </c>
      <c r="C9462" s="4" t="s">
        <v>12080</v>
      </c>
      <c r="D9462" s="834">
        <v>88.26</v>
      </c>
    </row>
    <row r="9463" spans="1:4" x14ac:dyDescent="0.3">
      <c r="A9463" s="4">
        <v>40383</v>
      </c>
      <c r="B9463" s="833" t="s">
        <v>13724</v>
      </c>
      <c r="C9463" s="4" t="s">
        <v>12080</v>
      </c>
      <c r="D9463" s="834">
        <v>60.42</v>
      </c>
    </row>
    <row r="9464" spans="1:4" x14ac:dyDescent="0.3">
      <c r="A9464" s="4">
        <v>40378</v>
      </c>
      <c r="B9464" s="833" t="s">
        <v>13725</v>
      </c>
      <c r="C9464" s="4" t="s">
        <v>12080</v>
      </c>
      <c r="D9464" s="834">
        <v>20.89</v>
      </c>
    </row>
    <row r="9465" spans="1:4" x14ac:dyDescent="0.3">
      <c r="A9465" s="4">
        <v>40382</v>
      </c>
      <c r="B9465" s="833" t="s">
        <v>13726</v>
      </c>
      <c r="C9465" s="4" t="s">
        <v>12080</v>
      </c>
      <c r="D9465" s="834">
        <v>39.53</v>
      </c>
    </row>
    <row r="9466" spans="1:4" x14ac:dyDescent="0.3">
      <c r="A9466" s="4">
        <v>40422</v>
      </c>
      <c r="B9466" s="833" t="s">
        <v>13727</v>
      </c>
      <c r="C9466" s="4" t="s">
        <v>12080</v>
      </c>
      <c r="D9466" s="834">
        <v>269.3</v>
      </c>
    </row>
    <row r="9467" spans="1:4" x14ac:dyDescent="0.3">
      <c r="A9467" s="4">
        <v>40387</v>
      </c>
      <c r="B9467" s="833" t="s">
        <v>13728</v>
      </c>
      <c r="C9467" s="4" t="s">
        <v>12080</v>
      </c>
      <c r="D9467" s="834">
        <v>137.12</v>
      </c>
    </row>
    <row r="9468" spans="1:4" x14ac:dyDescent="0.3">
      <c r="A9468" s="4">
        <v>40380</v>
      </c>
      <c r="B9468" s="833" t="s">
        <v>13729</v>
      </c>
      <c r="C9468" s="4" t="s">
        <v>12080</v>
      </c>
      <c r="D9468" s="834">
        <v>27.85</v>
      </c>
    </row>
    <row r="9469" spans="1:4" x14ac:dyDescent="0.3">
      <c r="A9469" s="4">
        <v>40390</v>
      </c>
      <c r="B9469" s="833" t="s">
        <v>13730</v>
      </c>
      <c r="C9469" s="4" t="s">
        <v>12080</v>
      </c>
      <c r="D9469" s="834">
        <v>567.17999999999995</v>
      </c>
    </row>
    <row r="9470" spans="1:4" x14ac:dyDescent="0.3">
      <c r="A9470" s="4">
        <v>2621</v>
      </c>
      <c r="B9470" s="833" t="s">
        <v>13731</v>
      </c>
      <c r="C9470" s="4" t="s">
        <v>12080</v>
      </c>
      <c r="D9470" s="834">
        <v>152.63999999999999</v>
      </c>
    </row>
    <row r="9471" spans="1:4" x14ac:dyDescent="0.3">
      <c r="A9471" s="4">
        <v>2616</v>
      </c>
      <c r="B9471" s="833" t="s">
        <v>13732</v>
      </c>
      <c r="C9471" s="4" t="s">
        <v>12080</v>
      </c>
      <c r="D9471" s="834">
        <v>4.32</v>
      </c>
    </row>
    <row r="9472" spans="1:4" x14ac:dyDescent="0.3">
      <c r="A9472" s="4">
        <v>2633</v>
      </c>
      <c r="B9472" s="833" t="s">
        <v>13733</v>
      </c>
      <c r="C9472" s="4" t="s">
        <v>12080</v>
      </c>
      <c r="D9472" s="834">
        <v>4.88</v>
      </c>
    </row>
    <row r="9473" spans="1:4" x14ac:dyDescent="0.3">
      <c r="A9473" s="4">
        <v>2617</v>
      </c>
      <c r="B9473" s="833" t="s">
        <v>13734</v>
      </c>
      <c r="C9473" s="4" t="s">
        <v>12080</v>
      </c>
      <c r="D9473" s="834">
        <v>6.64</v>
      </c>
    </row>
    <row r="9474" spans="1:4" x14ac:dyDescent="0.3">
      <c r="A9474" s="4">
        <v>2618</v>
      </c>
      <c r="B9474" s="833" t="s">
        <v>13735</v>
      </c>
      <c r="C9474" s="4" t="s">
        <v>12080</v>
      </c>
      <c r="D9474" s="834">
        <v>15.12</v>
      </c>
    </row>
    <row r="9475" spans="1:4" x14ac:dyDescent="0.3">
      <c r="A9475" s="4">
        <v>2632</v>
      </c>
      <c r="B9475" s="833" t="s">
        <v>13736</v>
      </c>
      <c r="C9475" s="4" t="s">
        <v>12080</v>
      </c>
      <c r="D9475" s="834">
        <v>18.440000000000001</v>
      </c>
    </row>
    <row r="9476" spans="1:4" x14ac:dyDescent="0.3">
      <c r="A9476" s="4">
        <v>2631</v>
      </c>
      <c r="B9476" s="833" t="s">
        <v>13737</v>
      </c>
      <c r="C9476" s="4" t="s">
        <v>12080</v>
      </c>
      <c r="D9476" s="834">
        <v>27.07</v>
      </c>
    </row>
    <row r="9477" spans="1:4" x14ac:dyDescent="0.3">
      <c r="A9477" s="4">
        <v>2619</v>
      </c>
      <c r="B9477" s="833" t="s">
        <v>13738</v>
      </c>
      <c r="C9477" s="4" t="s">
        <v>12080</v>
      </c>
      <c r="D9477" s="834">
        <v>68.55</v>
      </c>
    </row>
    <row r="9478" spans="1:4" x14ac:dyDescent="0.3">
      <c r="A9478" s="4">
        <v>2620</v>
      </c>
      <c r="B9478" s="833" t="s">
        <v>13739</v>
      </c>
      <c r="C9478" s="4" t="s">
        <v>12080</v>
      </c>
      <c r="D9478" s="834">
        <v>90</v>
      </c>
    </row>
    <row r="9479" spans="1:4" x14ac:dyDescent="0.3">
      <c r="A9479" s="4">
        <v>40413</v>
      </c>
      <c r="B9479" s="833" t="s">
        <v>13740</v>
      </c>
      <c r="C9479" s="4" t="s">
        <v>12080</v>
      </c>
      <c r="D9479" s="834">
        <v>21.18</v>
      </c>
    </row>
    <row r="9480" spans="1:4" x14ac:dyDescent="0.3">
      <c r="A9480" s="4">
        <v>40415</v>
      </c>
      <c r="B9480" s="833" t="s">
        <v>13741</v>
      </c>
      <c r="C9480" s="4" t="s">
        <v>12080</v>
      </c>
      <c r="D9480" s="834">
        <v>30.18</v>
      </c>
    </row>
    <row r="9481" spans="1:4" x14ac:dyDescent="0.3">
      <c r="A9481" s="4">
        <v>40417</v>
      </c>
      <c r="B9481" s="833" t="s">
        <v>13742</v>
      </c>
      <c r="C9481" s="4" t="s">
        <v>12080</v>
      </c>
      <c r="D9481" s="834">
        <v>35.6</v>
      </c>
    </row>
    <row r="9482" spans="1:4" x14ac:dyDescent="0.3">
      <c r="A9482" s="4">
        <v>39271</v>
      </c>
      <c r="B9482" s="833" t="s">
        <v>13743</v>
      </c>
      <c r="C9482" s="4" t="s">
        <v>12080</v>
      </c>
      <c r="D9482" s="834">
        <v>2.3199999999999998</v>
      </c>
    </row>
    <row r="9483" spans="1:4" x14ac:dyDescent="0.3">
      <c r="A9483" s="4">
        <v>39273</v>
      </c>
      <c r="B9483" s="833" t="s">
        <v>13744</v>
      </c>
      <c r="C9483" s="4" t="s">
        <v>12080</v>
      </c>
      <c r="D9483" s="834">
        <v>3.93</v>
      </c>
    </row>
    <row r="9484" spans="1:4" x14ac:dyDescent="0.3">
      <c r="A9484" s="4">
        <v>39272</v>
      </c>
      <c r="B9484" s="833" t="s">
        <v>13745</v>
      </c>
      <c r="C9484" s="4" t="s">
        <v>12080</v>
      </c>
      <c r="D9484" s="834">
        <v>2.85</v>
      </c>
    </row>
    <row r="9485" spans="1:4" x14ac:dyDescent="0.3">
      <c r="A9485" s="4">
        <v>1875</v>
      </c>
      <c r="B9485" s="833" t="s">
        <v>13746</v>
      </c>
      <c r="C9485" s="4" t="s">
        <v>12080</v>
      </c>
      <c r="D9485" s="834">
        <v>6.29</v>
      </c>
    </row>
    <row r="9486" spans="1:4" x14ac:dyDescent="0.3">
      <c r="A9486" s="4">
        <v>1874</v>
      </c>
      <c r="B9486" s="833" t="s">
        <v>13747</v>
      </c>
      <c r="C9486" s="4" t="s">
        <v>12080</v>
      </c>
      <c r="D9486" s="834">
        <v>5.19</v>
      </c>
    </row>
    <row r="9487" spans="1:4" x14ac:dyDescent="0.3">
      <c r="A9487" s="4">
        <v>1870</v>
      </c>
      <c r="B9487" s="833" t="s">
        <v>13748</v>
      </c>
      <c r="C9487" s="4" t="s">
        <v>12080</v>
      </c>
      <c r="D9487" s="834">
        <v>3</v>
      </c>
    </row>
    <row r="9488" spans="1:4" x14ac:dyDescent="0.3">
      <c r="A9488" s="4">
        <v>1884</v>
      </c>
      <c r="B9488" s="833" t="s">
        <v>13749</v>
      </c>
      <c r="C9488" s="4" t="s">
        <v>12080</v>
      </c>
      <c r="D9488" s="834">
        <v>4.5999999999999996</v>
      </c>
    </row>
    <row r="9489" spans="1:4" x14ac:dyDescent="0.3">
      <c r="A9489" s="4">
        <v>1887</v>
      </c>
      <c r="B9489" s="833" t="s">
        <v>13750</v>
      </c>
      <c r="C9489" s="4" t="s">
        <v>12080</v>
      </c>
      <c r="D9489" s="834">
        <v>26.08</v>
      </c>
    </row>
    <row r="9490" spans="1:4" x14ac:dyDescent="0.3">
      <c r="A9490" s="4">
        <v>1876</v>
      </c>
      <c r="B9490" s="833" t="s">
        <v>13751</v>
      </c>
      <c r="C9490" s="4" t="s">
        <v>12080</v>
      </c>
      <c r="D9490" s="834">
        <v>10.220000000000001</v>
      </c>
    </row>
    <row r="9491" spans="1:4" x14ac:dyDescent="0.3">
      <c r="A9491" s="4">
        <v>1879</v>
      </c>
      <c r="B9491" s="833" t="s">
        <v>13752</v>
      </c>
      <c r="C9491" s="4" t="s">
        <v>12080</v>
      </c>
      <c r="D9491" s="834">
        <v>3.04</v>
      </c>
    </row>
    <row r="9492" spans="1:4" x14ac:dyDescent="0.3">
      <c r="A9492" s="4">
        <v>1877</v>
      </c>
      <c r="B9492" s="833" t="s">
        <v>13753</v>
      </c>
      <c r="C9492" s="4" t="s">
        <v>12080</v>
      </c>
      <c r="D9492" s="834">
        <v>26.12</v>
      </c>
    </row>
    <row r="9493" spans="1:4" x14ac:dyDescent="0.3">
      <c r="A9493" s="4">
        <v>1878</v>
      </c>
      <c r="B9493" s="833" t="s">
        <v>13754</v>
      </c>
      <c r="C9493" s="4" t="s">
        <v>12080</v>
      </c>
      <c r="D9493" s="834">
        <v>52.47</v>
      </c>
    </row>
    <row r="9494" spans="1:4" x14ac:dyDescent="0.3">
      <c r="A9494" s="4">
        <v>44472</v>
      </c>
      <c r="B9494" s="833" t="s">
        <v>13755</v>
      </c>
      <c r="C9494" s="4" t="s">
        <v>12080</v>
      </c>
      <c r="D9494" s="834">
        <v>54.89</v>
      </c>
    </row>
    <row r="9495" spans="1:4" x14ac:dyDescent="0.3">
      <c r="A9495" s="4">
        <v>38369</v>
      </c>
      <c r="B9495" s="833" t="s">
        <v>13756</v>
      </c>
      <c r="C9495" s="4" t="s">
        <v>12080</v>
      </c>
      <c r="D9495" s="834">
        <v>24.01</v>
      </c>
    </row>
    <row r="9496" spans="1:4" x14ac:dyDescent="0.3">
      <c r="A9496" s="4">
        <v>38370</v>
      </c>
      <c r="B9496" s="833" t="s">
        <v>13757</v>
      </c>
      <c r="C9496" s="4" t="s">
        <v>12080</v>
      </c>
      <c r="D9496" s="834">
        <v>24.01</v>
      </c>
    </row>
    <row r="9497" spans="1:4" x14ac:dyDescent="0.3">
      <c r="A9497" s="4">
        <v>38372</v>
      </c>
      <c r="B9497" s="833" t="s">
        <v>13758</v>
      </c>
      <c r="C9497" s="4" t="s">
        <v>12080</v>
      </c>
      <c r="D9497" s="834">
        <v>22</v>
      </c>
    </row>
    <row r="9498" spans="1:4" x14ac:dyDescent="0.3">
      <c r="A9498" s="4">
        <v>2358</v>
      </c>
      <c r="B9498" s="833" t="s">
        <v>13759</v>
      </c>
      <c r="C9498" s="4" t="s">
        <v>12226</v>
      </c>
      <c r="D9498" s="834">
        <v>15.97</v>
      </c>
    </row>
    <row r="9499" spans="1:4" x14ac:dyDescent="0.3">
      <c r="A9499" s="4">
        <v>40807</v>
      </c>
      <c r="B9499" s="833" t="s">
        <v>13760</v>
      </c>
      <c r="C9499" s="4" t="s">
        <v>12228</v>
      </c>
      <c r="D9499" s="834">
        <v>2845.46</v>
      </c>
    </row>
    <row r="9500" spans="1:4" x14ac:dyDescent="0.3">
      <c r="A9500" s="4">
        <v>44330</v>
      </c>
      <c r="B9500" s="833" t="s">
        <v>13761</v>
      </c>
      <c r="C9500" s="4" t="s">
        <v>12128</v>
      </c>
      <c r="D9500" s="834">
        <v>9.34</v>
      </c>
    </row>
    <row r="9501" spans="1:4" x14ac:dyDescent="0.3">
      <c r="A9501" s="4">
        <v>43144</v>
      </c>
      <c r="B9501" s="833" t="s">
        <v>13762</v>
      </c>
      <c r="C9501" s="4" t="s">
        <v>12126</v>
      </c>
      <c r="D9501" s="834">
        <v>43.32</v>
      </c>
    </row>
    <row r="9502" spans="1:4" x14ac:dyDescent="0.3">
      <c r="A9502" s="4">
        <v>39397</v>
      </c>
      <c r="B9502" s="833" t="s">
        <v>13763</v>
      </c>
      <c r="C9502" s="4" t="s">
        <v>12128</v>
      </c>
      <c r="D9502" s="834">
        <v>19.739999999999998</v>
      </c>
    </row>
    <row r="9503" spans="1:4" x14ac:dyDescent="0.3">
      <c r="A9503" s="4">
        <v>2692</v>
      </c>
      <c r="B9503" s="833" t="s">
        <v>13764</v>
      </c>
      <c r="C9503" s="4" t="s">
        <v>12128</v>
      </c>
      <c r="D9503" s="834">
        <v>7.96</v>
      </c>
    </row>
    <row r="9504" spans="1:4" x14ac:dyDescent="0.3">
      <c r="A9504" s="4">
        <v>44329</v>
      </c>
      <c r="B9504" s="833" t="s">
        <v>13765</v>
      </c>
      <c r="C9504" s="4" t="s">
        <v>12128</v>
      </c>
      <c r="D9504" s="834">
        <v>12.24</v>
      </c>
    </row>
    <row r="9505" spans="1:4" x14ac:dyDescent="0.3">
      <c r="A9505" s="4">
        <v>5318</v>
      </c>
      <c r="B9505" s="833" t="s">
        <v>13766</v>
      </c>
      <c r="C9505" s="4" t="s">
        <v>12128</v>
      </c>
      <c r="D9505" s="834">
        <v>19.8</v>
      </c>
    </row>
    <row r="9506" spans="1:4" x14ac:dyDescent="0.3">
      <c r="A9506" s="4">
        <v>5330</v>
      </c>
      <c r="B9506" s="833" t="s">
        <v>13767</v>
      </c>
      <c r="C9506" s="4" t="s">
        <v>12128</v>
      </c>
      <c r="D9506" s="834">
        <v>45.13</v>
      </c>
    </row>
    <row r="9507" spans="1:4" x14ac:dyDescent="0.3">
      <c r="A9507" s="4">
        <v>44532</v>
      </c>
      <c r="B9507" s="833" t="s">
        <v>13768</v>
      </c>
      <c r="C9507" s="4" t="s">
        <v>12080</v>
      </c>
      <c r="D9507" s="834">
        <v>22.64</v>
      </c>
    </row>
    <row r="9508" spans="1:4" x14ac:dyDescent="0.3">
      <c r="A9508" s="4">
        <v>44531</v>
      </c>
      <c r="B9508" s="833" t="s">
        <v>13769</v>
      </c>
      <c r="C9508" s="4" t="s">
        <v>12080</v>
      </c>
      <c r="D9508" s="834">
        <v>71.95</v>
      </c>
    </row>
    <row r="9509" spans="1:4" x14ac:dyDescent="0.3">
      <c r="A9509" s="4">
        <v>13887</v>
      </c>
      <c r="B9509" s="833" t="s">
        <v>13770</v>
      </c>
      <c r="C9509" s="4" t="s">
        <v>12080</v>
      </c>
      <c r="D9509" s="834">
        <v>413.14</v>
      </c>
    </row>
    <row r="9510" spans="1:4" x14ac:dyDescent="0.3">
      <c r="A9510" s="4">
        <v>38140</v>
      </c>
      <c r="B9510" s="833" t="s">
        <v>13771</v>
      </c>
      <c r="C9510" s="4" t="s">
        <v>12080</v>
      </c>
      <c r="D9510" s="834">
        <v>17.45</v>
      </c>
    </row>
    <row r="9511" spans="1:4" x14ac:dyDescent="0.3">
      <c r="A9511" s="4">
        <v>44495</v>
      </c>
      <c r="B9511" s="833" t="s">
        <v>13772</v>
      </c>
      <c r="C9511" s="4" t="s">
        <v>12080</v>
      </c>
      <c r="D9511" s="834">
        <v>18.39</v>
      </c>
    </row>
    <row r="9512" spans="1:4" x14ac:dyDescent="0.3">
      <c r="A9512" s="4">
        <v>44533</v>
      </c>
      <c r="B9512" s="833" t="s">
        <v>13773</v>
      </c>
      <c r="C9512" s="4" t="s">
        <v>12080</v>
      </c>
      <c r="D9512" s="834">
        <v>17.36</v>
      </c>
    </row>
    <row r="9513" spans="1:4" x14ac:dyDescent="0.3">
      <c r="A9513" s="4">
        <v>44534</v>
      </c>
      <c r="B9513" s="833" t="s">
        <v>13774</v>
      </c>
      <c r="C9513" s="4" t="s">
        <v>12080</v>
      </c>
      <c r="D9513" s="834">
        <v>4.5199999999999996</v>
      </c>
    </row>
    <row r="9514" spans="1:4" x14ac:dyDescent="0.3">
      <c r="A9514" s="4">
        <v>34729</v>
      </c>
      <c r="B9514" s="833" t="s">
        <v>13775</v>
      </c>
      <c r="C9514" s="4" t="s">
        <v>12080</v>
      </c>
      <c r="D9514" s="834">
        <v>1709.05</v>
      </c>
    </row>
    <row r="9515" spans="1:4" x14ac:dyDescent="0.3">
      <c r="A9515" s="4">
        <v>34734</v>
      </c>
      <c r="B9515" s="833" t="s">
        <v>13776</v>
      </c>
      <c r="C9515" s="4" t="s">
        <v>12080</v>
      </c>
      <c r="D9515" s="834">
        <v>2646.15</v>
      </c>
    </row>
    <row r="9516" spans="1:4" x14ac:dyDescent="0.3">
      <c r="A9516" s="4">
        <v>34738</v>
      </c>
      <c r="B9516" s="833" t="s">
        <v>13777</v>
      </c>
      <c r="C9516" s="4" t="s">
        <v>12080</v>
      </c>
      <c r="D9516" s="834">
        <v>6182.25</v>
      </c>
    </row>
    <row r="9517" spans="1:4" x14ac:dyDescent="0.3">
      <c r="A9517" s="4">
        <v>34623</v>
      </c>
      <c r="B9517" s="833" t="s">
        <v>13778</v>
      </c>
      <c r="C9517" s="4" t="s">
        <v>12080</v>
      </c>
      <c r="D9517" s="834">
        <v>74.08</v>
      </c>
    </row>
    <row r="9518" spans="1:4" x14ac:dyDescent="0.3">
      <c r="A9518" s="4">
        <v>34616</v>
      </c>
      <c r="B9518" s="833" t="s">
        <v>13779</v>
      </c>
      <c r="C9518" s="4" t="s">
        <v>12080</v>
      </c>
      <c r="D9518" s="834">
        <v>75.239999999999995</v>
      </c>
    </row>
    <row r="9519" spans="1:4" x14ac:dyDescent="0.3">
      <c r="A9519" s="4">
        <v>34628</v>
      </c>
      <c r="B9519" s="833" t="s">
        <v>13780</v>
      </c>
      <c r="C9519" s="4" t="s">
        <v>12080</v>
      </c>
      <c r="D9519" s="834">
        <v>106.11</v>
      </c>
    </row>
    <row r="9520" spans="1:4" x14ac:dyDescent="0.3">
      <c r="A9520" s="4">
        <v>34686</v>
      </c>
      <c r="B9520" s="833" t="s">
        <v>13781</v>
      </c>
      <c r="C9520" s="4" t="s">
        <v>12080</v>
      </c>
      <c r="D9520" s="834">
        <v>19.46</v>
      </c>
    </row>
    <row r="9521" spans="1:4" x14ac:dyDescent="0.3">
      <c r="A9521" s="4">
        <v>34653</v>
      </c>
      <c r="B9521" s="833" t="s">
        <v>13782</v>
      </c>
      <c r="C9521" s="4" t="s">
        <v>12080</v>
      </c>
      <c r="D9521" s="834">
        <v>13.12</v>
      </c>
    </row>
    <row r="9522" spans="1:4" x14ac:dyDescent="0.3">
      <c r="A9522" s="4">
        <v>34688</v>
      </c>
      <c r="B9522" s="833" t="s">
        <v>13783</v>
      </c>
      <c r="C9522" s="4" t="s">
        <v>12080</v>
      </c>
      <c r="D9522" s="834">
        <v>23.79</v>
      </c>
    </row>
    <row r="9523" spans="1:4" x14ac:dyDescent="0.3">
      <c r="A9523" s="4">
        <v>34709</v>
      </c>
      <c r="B9523" s="833" t="s">
        <v>13784</v>
      </c>
      <c r="C9523" s="4" t="s">
        <v>12080</v>
      </c>
      <c r="D9523" s="834">
        <v>92.18</v>
      </c>
    </row>
    <row r="9524" spans="1:4" x14ac:dyDescent="0.3">
      <c r="A9524" s="4">
        <v>34714</v>
      </c>
      <c r="B9524" s="833" t="s">
        <v>13785</v>
      </c>
      <c r="C9524" s="4" t="s">
        <v>12080</v>
      </c>
      <c r="D9524" s="834">
        <v>110.1</v>
      </c>
    </row>
    <row r="9525" spans="1:4" x14ac:dyDescent="0.3">
      <c r="A9525" s="4">
        <v>2391</v>
      </c>
      <c r="B9525" s="833" t="s">
        <v>13786</v>
      </c>
      <c r="C9525" s="4" t="s">
        <v>12080</v>
      </c>
      <c r="D9525" s="834">
        <v>502.82</v>
      </c>
    </row>
    <row r="9526" spans="1:4" x14ac:dyDescent="0.3">
      <c r="A9526" s="4">
        <v>2374</v>
      </c>
      <c r="B9526" s="833" t="s">
        <v>13787</v>
      </c>
      <c r="C9526" s="4" t="s">
        <v>12080</v>
      </c>
      <c r="D9526" s="834">
        <v>570.42999999999995</v>
      </c>
    </row>
    <row r="9527" spans="1:4" x14ac:dyDescent="0.3">
      <c r="A9527" s="4">
        <v>2377</v>
      </c>
      <c r="B9527" s="833" t="s">
        <v>13788</v>
      </c>
      <c r="C9527" s="4" t="s">
        <v>12080</v>
      </c>
      <c r="D9527" s="834">
        <v>800.55</v>
      </c>
    </row>
    <row r="9528" spans="1:4" x14ac:dyDescent="0.3">
      <c r="A9528" s="4">
        <v>2393</v>
      </c>
      <c r="B9528" s="833" t="s">
        <v>13789</v>
      </c>
      <c r="C9528" s="4" t="s">
        <v>12080</v>
      </c>
      <c r="D9528" s="834">
        <v>1340.62</v>
      </c>
    </row>
    <row r="9529" spans="1:4" x14ac:dyDescent="0.3">
      <c r="A9529" s="4">
        <v>34705</v>
      </c>
      <c r="B9529" s="833" t="s">
        <v>13790</v>
      </c>
      <c r="C9529" s="4" t="s">
        <v>12080</v>
      </c>
      <c r="D9529" s="834">
        <v>1172.56</v>
      </c>
    </row>
    <row r="9530" spans="1:4" x14ac:dyDescent="0.3">
      <c r="A9530" s="4">
        <v>34707</v>
      </c>
      <c r="B9530" s="833" t="s">
        <v>13791</v>
      </c>
      <c r="C9530" s="4" t="s">
        <v>12080</v>
      </c>
      <c r="D9530" s="834">
        <v>2172.7800000000002</v>
      </c>
    </row>
    <row r="9531" spans="1:4" x14ac:dyDescent="0.3">
      <c r="A9531" s="4">
        <v>34544</v>
      </c>
      <c r="B9531" s="833" t="s">
        <v>13792</v>
      </c>
      <c r="C9531" s="4" t="s">
        <v>12080</v>
      </c>
      <c r="D9531" s="834">
        <v>2172.5500000000002</v>
      </c>
    </row>
    <row r="9532" spans="1:4" x14ac:dyDescent="0.3">
      <c r="A9532" s="4">
        <v>2378</v>
      </c>
      <c r="B9532" s="833" t="s">
        <v>13793</v>
      </c>
      <c r="C9532" s="4" t="s">
        <v>12080</v>
      </c>
      <c r="D9532" s="834">
        <v>1841.52</v>
      </c>
    </row>
    <row r="9533" spans="1:4" x14ac:dyDescent="0.3">
      <c r="A9533" s="4">
        <v>2379</v>
      </c>
      <c r="B9533" s="833" t="s">
        <v>13794</v>
      </c>
      <c r="C9533" s="4" t="s">
        <v>12080</v>
      </c>
      <c r="D9533" s="834">
        <v>1841.52</v>
      </c>
    </row>
    <row r="9534" spans="1:4" x14ac:dyDescent="0.3">
      <c r="A9534" s="4">
        <v>2376</v>
      </c>
      <c r="B9534" s="833" t="s">
        <v>13795</v>
      </c>
      <c r="C9534" s="4" t="s">
        <v>12080</v>
      </c>
      <c r="D9534" s="834">
        <v>3032.97</v>
      </c>
    </row>
    <row r="9535" spans="1:4" x14ac:dyDescent="0.3">
      <c r="A9535" s="4">
        <v>2394</v>
      </c>
      <c r="B9535" s="833" t="s">
        <v>13796</v>
      </c>
      <c r="C9535" s="4" t="s">
        <v>12080</v>
      </c>
      <c r="D9535" s="834">
        <v>6483.93</v>
      </c>
    </row>
    <row r="9536" spans="1:4" x14ac:dyDescent="0.3">
      <c r="A9536" s="4">
        <v>2388</v>
      </c>
      <c r="B9536" s="833" t="s">
        <v>13797</v>
      </c>
      <c r="C9536" s="4" t="s">
        <v>12080</v>
      </c>
      <c r="D9536" s="834">
        <v>91.49</v>
      </c>
    </row>
    <row r="9537" spans="1:4" x14ac:dyDescent="0.3">
      <c r="A9537" s="4">
        <v>34606</v>
      </c>
      <c r="B9537" s="833" t="s">
        <v>13798</v>
      </c>
      <c r="C9537" s="4" t="s">
        <v>12080</v>
      </c>
      <c r="D9537" s="834">
        <v>140.34</v>
      </c>
    </row>
    <row r="9538" spans="1:4" x14ac:dyDescent="0.3">
      <c r="A9538" s="4">
        <v>34689</v>
      </c>
      <c r="B9538" s="833" t="s">
        <v>13799</v>
      </c>
      <c r="C9538" s="4" t="s">
        <v>12080</v>
      </c>
      <c r="D9538" s="834">
        <v>44.68</v>
      </c>
    </row>
    <row r="9539" spans="1:4" x14ac:dyDescent="0.3">
      <c r="A9539" s="4">
        <v>2370</v>
      </c>
      <c r="B9539" s="833" t="s">
        <v>13800</v>
      </c>
      <c r="C9539" s="4" t="s">
        <v>12080</v>
      </c>
      <c r="D9539" s="834">
        <v>17</v>
      </c>
    </row>
    <row r="9540" spans="1:4" x14ac:dyDescent="0.3">
      <c r="A9540" s="4">
        <v>2386</v>
      </c>
      <c r="B9540" s="833" t="s">
        <v>13801</v>
      </c>
      <c r="C9540" s="4" t="s">
        <v>12080</v>
      </c>
      <c r="D9540" s="834">
        <v>28.52</v>
      </c>
    </row>
    <row r="9541" spans="1:4" x14ac:dyDescent="0.3">
      <c r="A9541" s="4">
        <v>2392</v>
      </c>
      <c r="B9541" s="833" t="s">
        <v>13802</v>
      </c>
      <c r="C9541" s="4" t="s">
        <v>12080</v>
      </c>
      <c r="D9541" s="834">
        <v>114.12</v>
      </c>
    </row>
    <row r="9542" spans="1:4" x14ac:dyDescent="0.3">
      <c r="A9542" s="4">
        <v>2373</v>
      </c>
      <c r="B9542" s="833" t="s">
        <v>13803</v>
      </c>
      <c r="C9542" s="4" t="s">
        <v>12080</v>
      </c>
      <c r="D9542" s="834">
        <v>160.78</v>
      </c>
    </row>
    <row r="9543" spans="1:4" x14ac:dyDescent="0.3">
      <c r="A9543" s="4">
        <v>39465</v>
      </c>
      <c r="B9543" s="833" t="s">
        <v>13804</v>
      </c>
      <c r="C9543" s="4" t="s">
        <v>12080</v>
      </c>
      <c r="D9543" s="834">
        <v>98.22</v>
      </c>
    </row>
    <row r="9544" spans="1:4" x14ac:dyDescent="0.3">
      <c r="A9544" s="4">
        <v>39466</v>
      </c>
      <c r="B9544" s="833" t="s">
        <v>13805</v>
      </c>
      <c r="C9544" s="4" t="s">
        <v>12080</v>
      </c>
      <c r="D9544" s="834">
        <v>110.5</v>
      </c>
    </row>
    <row r="9545" spans="1:4" x14ac:dyDescent="0.3">
      <c r="A9545" s="4">
        <v>39467</v>
      </c>
      <c r="B9545" s="833" t="s">
        <v>13806</v>
      </c>
      <c r="C9545" s="4" t="s">
        <v>12080</v>
      </c>
      <c r="D9545" s="834">
        <v>141.34</v>
      </c>
    </row>
    <row r="9546" spans="1:4" x14ac:dyDescent="0.3">
      <c r="A9546" s="4">
        <v>39468</v>
      </c>
      <c r="B9546" s="833" t="s">
        <v>13807</v>
      </c>
      <c r="C9546" s="4" t="s">
        <v>12080</v>
      </c>
      <c r="D9546" s="834">
        <v>251.23</v>
      </c>
    </row>
    <row r="9547" spans="1:4" x14ac:dyDescent="0.3">
      <c r="A9547" s="4">
        <v>39469</v>
      </c>
      <c r="B9547" s="833" t="s">
        <v>13808</v>
      </c>
      <c r="C9547" s="4" t="s">
        <v>12080</v>
      </c>
      <c r="D9547" s="834">
        <v>102.34</v>
      </c>
    </row>
    <row r="9548" spans="1:4" x14ac:dyDescent="0.3">
      <c r="A9548" s="4">
        <v>39470</v>
      </c>
      <c r="B9548" s="833" t="s">
        <v>13809</v>
      </c>
      <c r="C9548" s="4" t="s">
        <v>12080</v>
      </c>
      <c r="D9548" s="834">
        <v>125.74</v>
      </c>
    </row>
    <row r="9549" spans="1:4" x14ac:dyDescent="0.3">
      <c r="A9549" s="4">
        <v>39471</v>
      </c>
      <c r="B9549" s="833" t="s">
        <v>13810</v>
      </c>
      <c r="C9549" s="4" t="s">
        <v>12080</v>
      </c>
      <c r="D9549" s="834">
        <v>151.11000000000001</v>
      </c>
    </row>
    <row r="9550" spans="1:4" x14ac:dyDescent="0.3">
      <c r="A9550" s="4">
        <v>39472</v>
      </c>
      <c r="B9550" s="833" t="s">
        <v>13811</v>
      </c>
      <c r="C9550" s="4" t="s">
        <v>12080</v>
      </c>
      <c r="D9550" s="834">
        <v>262.55</v>
      </c>
    </row>
    <row r="9551" spans="1:4" x14ac:dyDescent="0.3">
      <c r="A9551" s="4">
        <v>39473</v>
      </c>
      <c r="B9551" s="833" t="s">
        <v>13812</v>
      </c>
      <c r="C9551" s="4" t="s">
        <v>12080</v>
      </c>
      <c r="D9551" s="834">
        <v>169.61</v>
      </c>
    </row>
    <row r="9552" spans="1:4" x14ac:dyDescent="0.3">
      <c r="A9552" s="4">
        <v>39474</v>
      </c>
      <c r="B9552" s="833" t="s">
        <v>13813</v>
      </c>
      <c r="C9552" s="4" t="s">
        <v>12080</v>
      </c>
      <c r="D9552" s="834">
        <v>180.81</v>
      </c>
    </row>
    <row r="9553" spans="1:4" x14ac:dyDescent="0.3">
      <c r="A9553" s="4">
        <v>39475</v>
      </c>
      <c r="B9553" s="833" t="s">
        <v>13814</v>
      </c>
      <c r="C9553" s="4" t="s">
        <v>12080</v>
      </c>
      <c r="D9553" s="834">
        <v>205.15</v>
      </c>
    </row>
    <row r="9554" spans="1:4" x14ac:dyDescent="0.3">
      <c r="A9554" s="4">
        <v>39476</v>
      </c>
      <c r="B9554" s="833" t="s">
        <v>13815</v>
      </c>
      <c r="C9554" s="4" t="s">
        <v>12080</v>
      </c>
      <c r="D9554" s="834">
        <v>386.18</v>
      </c>
    </row>
    <row r="9555" spans="1:4" x14ac:dyDescent="0.3">
      <c r="A9555" s="4">
        <v>39477</v>
      </c>
      <c r="B9555" s="833" t="s">
        <v>13816</v>
      </c>
      <c r="C9555" s="4" t="s">
        <v>12080</v>
      </c>
      <c r="D9555" s="834">
        <v>189.21</v>
      </c>
    </row>
    <row r="9556" spans="1:4" x14ac:dyDescent="0.3">
      <c r="A9556" s="4">
        <v>39478</v>
      </c>
      <c r="B9556" s="833" t="s">
        <v>13817</v>
      </c>
      <c r="C9556" s="4" t="s">
        <v>12080</v>
      </c>
      <c r="D9556" s="834">
        <v>195.07</v>
      </c>
    </row>
    <row r="9557" spans="1:4" x14ac:dyDescent="0.3">
      <c r="A9557" s="4">
        <v>39479</v>
      </c>
      <c r="B9557" s="833" t="s">
        <v>13818</v>
      </c>
      <c r="C9557" s="4" t="s">
        <v>12080</v>
      </c>
      <c r="D9557" s="834">
        <v>229.84</v>
      </c>
    </row>
    <row r="9558" spans="1:4" x14ac:dyDescent="0.3">
      <c r="A9558" s="4">
        <v>39480</v>
      </c>
      <c r="B9558" s="833" t="s">
        <v>13819</v>
      </c>
      <c r="C9558" s="4" t="s">
        <v>12080</v>
      </c>
      <c r="D9558" s="834">
        <v>474.26</v>
      </c>
    </row>
    <row r="9559" spans="1:4" x14ac:dyDescent="0.3">
      <c r="A9559" s="4">
        <v>39459</v>
      </c>
      <c r="B9559" s="833" t="s">
        <v>13820</v>
      </c>
      <c r="C9559" s="4" t="s">
        <v>12080</v>
      </c>
      <c r="D9559" s="834">
        <v>402.53</v>
      </c>
    </row>
    <row r="9560" spans="1:4" x14ac:dyDescent="0.3">
      <c r="A9560" s="4">
        <v>39445</v>
      </c>
      <c r="B9560" s="833" t="s">
        <v>13821</v>
      </c>
      <c r="C9560" s="4" t="s">
        <v>12080</v>
      </c>
      <c r="D9560" s="834">
        <v>202.11</v>
      </c>
    </row>
    <row r="9561" spans="1:4" x14ac:dyDescent="0.3">
      <c r="A9561" s="4">
        <v>39446</v>
      </c>
      <c r="B9561" s="833" t="s">
        <v>13822</v>
      </c>
      <c r="C9561" s="4" t="s">
        <v>12080</v>
      </c>
      <c r="D9561" s="834">
        <v>205.7</v>
      </c>
    </row>
    <row r="9562" spans="1:4" x14ac:dyDescent="0.3">
      <c r="A9562" s="4">
        <v>39447</v>
      </c>
      <c r="B9562" s="833" t="s">
        <v>13823</v>
      </c>
      <c r="C9562" s="4" t="s">
        <v>12080</v>
      </c>
      <c r="D9562" s="834">
        <v>219.98</v>
      </c>
    </row>
    <row r="9563" spans="1:4" x14ac:dyDescent="0.3">
      <c r="A9563" s="4">
        <v>39448</v>
      </c>
      <c r="B9563" s="833" t="s">
        <v>13824</v>
      </c>
      <c r="C9563" s="4" t="s">
        <v>12080</v>
      </c>
      <c r="D9563" s="834">
        <v>375.1</v>
      </c>
    </row>
    <row r="9564" spans="1:4" x14ac:dyDescent="0.3">
      <c r="A9564" s="4">
        <v>39450</v>
      </c>
      <c r="B9564" s="833" t="s">
        <v>13825</v>
      </c>
      <c r="C9564" s="4" t="s">
        <v>12080</v>
      </c>
      <c r="D9564" s="834">
        <v>228.85</v>
      </c>
    </row>
    <row r="9565" spans="1:4" x14ac:dyDescent="0.3">
      <c r="A9565" s="4">
        <v>39451</v>
      </c>
      <c r="B9565" s="833" t="s">
        <v>13826</v>
      </c>
      <c r="C9565" s="4" t="s">
        <v>12080</v>
      </c>
      <c r="D9565" s="834">
        <v>249.61</v>
      </c>
    </row>
    <row r="9566" spans="1:4" x14ac:dyDescent="0.3">
      <c r="A9566" s="4">
        <v>39452</v>
      </c>
      <c r="B9566" s="833" t="s">
        <v>13827</v>
      </c>
      <c r="C9566" s="4" t="s">
        <v>12080</v>
      </c>
      <c r="D9566" s="834">
        <v>251.1</v>
      </c>
    </row>
    <row r="9567" spans="1:4" x14ac:dyDescent="0.3">
      <c r="A9567" s="4">
        <v>39523</v>
      </c>
      <c r="B9567" s="833" t="s">
        <v>13828</v>
      </c>
      <c r="C9567" s="4" t="s">
        <v>12080</v>
      </c>
      <c r="D9567" s="834">
        <v>420.22</v>
      </c>
    </row>
    <row r="9568" spans="1:4" x14ac:dyDescent="0.3">
      <c r="A9568" s="4">
        <v>39449</v>
      </c>
      <c r="B9568" s="833" t="s">
        <v>13829</v>
      </c>
      <c r="C9568" s="4" t="s">
        <v>12080</v>
      </c>
      <c r="D9568" s="834">
        <v>465.36</v>
      </c>
    </row>
    <row r="9569" spans="1:4" x14ac:dyDescent="0.3">
      <c r="A9569" s="4">
        <v>39455</v>
      </c>
      <c r="B9569" s="833" t="s">
        <v>13830</v>
      </c>
      <c r="C9569" s="4" t="s">
        <v>12080</v>
      </c>
      <c r="D9569" s="834">
        <v>230.27</v>
      </c>
    </row>
    <row r="9570" spans="1:4" x14ac:dyDescent="0.3">
      <c r="A9570" s="4">
        <v>39456</v>
      </c>
      <c r="B9570" s="833" t="s">
        <v>13831</v>
      </c>
      <c r="C9570" s="4" t="s">
        <v>12080</v>
      </c>
      <c r="D9570" s="834">
        <v>230.44</v>
      </c>
    </row>
    <row r="9571" spans="1:4" x14ac:dyDescent="0.3">
      <c r="A9571" s="4">
        <v>39457</v>
      </c>
      <c r="B9571" s="833" t="s">
        <v>13832</v>
      </c>
      <c r="C9571" s="4" t="s">
        <v>12080</v>
      </c>
      <c r="D9571" s="834">
        <v>251.22</v>
      </c>
    </row>
    <row r="9572" spans="1:4" x14ac:dyDescent="0.3">
      <c r="A9572" s="4">
        <v>39458</v>
      </c>
      <c r="B9572" s="833" t="s">
        <v>13833</v>
      </c>
      <c r="C9572" s="4" t="s">
        <v>12080</v>
      </c>
      <c r="D9572" s="834">
        <v>468.79</v>
      </c>
    </row>
    <row r="9573" spans="1:4" x14ac:dyDescent="0.3">
      <c r="A9573" s="4">
        <v>39464</v>
      </c>
      <c r="B9573" s="833" t="s">
        <v>13834</v>
      </c>
      <c r="C9573" s="4" t="s">
        <v>12080</v>
      </c>
      <c r="D9573" s="834">
        <v>753.85</v>
      </c>
    </row>
    <row r="9574" spans="1:4" x14ac:dyDescent="0.3">
      <c r="A9574" s="4">
        <v>39460</v>
      </c>
      <c r="B9574" s="833" t="s">
        <v>13835</v>
      </c>
      <c r="C9574" s="4" t="s">
        <v>12080</v>
      </c>
      <c r="D9574" s="834">
        <v>285.92</v>
      </c>
    </row>
    <row r="9575" spans="1:4" x14ac:dyDescent="0.3">
      <c r="A9575" s="4">
        <v>39461</v>
      </c>
      <c r="B9575" s="833" t="s">
        <v>13836</v>
      </c>
      <c r="C9575" s="4" t="s">
        <v>12080</v>
      </c>
      <c r="D9575" s="834">
        <v>335.03</v>
      </c>
    </row>
    <row r="9576" spans="1:4" x14ac:dyDescent="0.3">
      <c r="A9576" s="4">
        <v>39462</v>
      </c>
      <c r="B9576" s="833" t="s">
        <v>13837</v>
      </c>
      <c r="C9576" s="4" t="s">
        <v>12080</v>
      </c>
      <c r="D9576" s="834">
        <v>322.88</v>
      </c>
    </row>
    <row r="9577" spans="1:4" x14ac:dyDescent="0.3">
      <c r="A9577" s="4">
        <v>39463</v>
      </c>
      <c r="B9577" s="833" t="s">
        <v>13838</v>
      </c>
      <c r="C9577" s="4" t="s">
        <v>12080</v>
      </c>
      <c r="D9577" s="834">
        <v>748</v>
      </c>
    </row>
    <row r="9578" spans="1:4" x14ac:dyDescent="0.3">
      <c r="A9578" s="4">
        <v>26039</v>
      </c>
      <c r="B9578" s="833" t="s">
        <v>13839</v>
      </c>
      <c r="C9578" s="4" t="s">
        <v>12080</v>
      </c>
      <c r="D9578" s="834">
        <v>391246.87</v>
      </c>
    </row>
    <row r="9579" spans="1:4" x14ac:dyDescent="0.3">
      <c r="A9579" s="4">
        <v>2401</v>
      </c>
      <c r="B9579" s="833" t="s">
        <v>13840</v>
      </c>
      <c r="C9579" s="4" t="s">
        <v>12080</v>
      </c>
      <c r="D9579" s="834">
        <v>89991.11</v>
      </c>
    </row>
    <row r="9580" spans="1:4" x14ac:dyDescent="0.3">
      <c r="A9580" s="4">
        <v>38870</v>
      </c>
      <c r="B9580" s="833" t="s">
        <v>13841</v>
      </c>
      <c r="C9580" s="4" t="s">
        <v>12080</v>
      </c>
      <c r="D9580" s="834">
        <v>33.76</v>
      </c>
    </row>
    <row r="9581" spans="1:4" x14ac:dyDescent="0.3">
      <c r="A9581" s="4">
        <v>38869</v>
      </c>
      <c r="B9581" s="833" t="s">
        <v>13842</v>
      </c>
      <c r="C9581" s="4" t="s">
        <v>12080</v>
      </c>
      <c r="D9581" s="834">
        <v>22.78</v>
      </c>
    </row>
    <row r="9582" spans="1:4" x14ac:dyDescent="0.3">
      <c r="A9582" s="4">
        <v>38872</v>
      </c>
      <c r="B9582" s="833" t="s">
        <v>13843</v>
      </c>
      <c r="C9582" s="4" t="s">
        <v>12080</v>
      </c>
      <c r="D9582" s="834">
        <v>43.01</v>
      </c>
    </row>
    <row r="9583" spans="1:4" x14ac:dyDescent="0.3">
      <c r="A9583" s="4">
        <v>38871</v>
      </c>
      <c r="B9583" s="833" t="s">
        <v>13844</v>
      </c>
      <c r="C9583" s="4" t="s">
        <v>12080</v>
      </c>
      <c r="D9583" s="834">
        <v>29.73</v>
      </c>
    </row>
    <row r="9584" spans="1:4" x14ac:dyDescent="0.3">
      <c r="A9584" s="4">
        <v>39283</v>
      </c>
      <c r="B9584" s="833" t="s">
        <v>13845</v>
      </c>
      <c r="C9584" s="4" t="s">
        <v>12080</v>
      </c>
      <c r="D9584" s="834">
        <v>139.30000000000001</v>
      </c>
    </row>
    <row r="9585" spans="1:4" x14ac:dyDescent="0.3">
      <c r="A9585" s="4">
        <v>39285</v>
      </c>
      <c r="B9585" s="833" t="s">
        <v>13846</v>
      </c>
      <c r="C9585" s="4" t="s">
        <v>12080</v>
      </c>
      <c r="D9585" s="834">
        <v>159.21</v>
      </c>
    </row>
    <row r="9586" spans="1:4" x14ac:dyDescent="0.3">
      <c r="A9586" s="4">
        <v>39286</v>
      </c>
      <c r="B9586" s="833" t="s">
        <v>13847</v>
      </c>
      <c r="C9586" s="4" t="s">
        <v>12080</v>
      </c>
      <c r="D9586" s="834">
        <v>152.58000000000001</v>
      </c>
    </row>
    <row r="9587" spans="1:4" x14ac:dyDescent="0.3">
      <c r="A9587" s="4">
        <v>39288</v>
      </c>
      <c r="B9587" s="833" t="s">
        <v>13848</v>
      </c>
      <c r="C9587" s="4" t="s">
        <v>12080</v>
      </c>
      <c r="D9587" s="834">
        <v>185.73</v>
      </c>
    </row>
    <row r="9588" spans="1:4" x14ac:dyDescent="0.3">
      <c r="A9588" s="4">
        <v>44476</v>
      </c>
      <c r="B9588" s="833" t="s">
        <v>13849</v>
      </c>
      <c r="C9588" s="4" t="s">
        <v>12481</v>
      </c>
      <c r="D9588" s="834">
        <v>574.04999999999995</v>
      </c>
    </row>
    <row r="9589" spans="1:4" x14ac:dyDescent="0.3">
      <c r="A9589" s="4">
        <v>10629</v>
      </c>
      <c r="B9589" s="833" t="s">
        <v>13850</v>
      </c>
      <c r="C9589" s="4" t="s">
        <v>12481</v>
      </c>
      <c r="D9589" s="834">
        <v>533.5</v>
      </c>
    </row>
    <row r="9590" spans="1:4" x14ac:dyDescent="0.3">
      <c r="A9590" s="4">
        <v>10698</v>
      </c>
      <c r="B9590" s="833" t="s">
        <v>13851</v>
      </c>
      <c r="C9590" s="4" t="s">
        <v>12481</v>
      </c>
      <c r="D9590" s="834">
        <v>207.56</v>
      </c>
    </row>
    <row r="9591" spans="1:4" x14ac:dyDescent="0.3">
      <c r="A9591" s="4">
        <v>40521</v>
      </c>
      <c r="B9591" s="833" t="s">
        <v>13852</v>
      </c>
      <c r="C9591" s="4" t="s">
        <v>12080</v>
      </c>
      <c r="D9591" s="834">
        <v>120705.88</v>
      </c>
    </row>
    <row r="9592" spans="1:4" x14ac:dyDescent="0.3">
      <c r="A9592" s="4">
        <v>2432</v>
      </c>
      <c r="B9592" s="833" t="s">
        <v>13853</v>
      </c>
      <c r="C9592" s="4" t="s">
        <v>12080</v>
      </c>
      <c r="D9592" s="834">
        <v>25.07</v>
      </c>
    </row>
    <row r="9593" spans="1:4" x14ac:dyDescent="0.3">
      <c r="A9593" s="4">
        <v>2418</v>
      </c>
      <c r="B9593" s="833" t="s">
        <v>13854</v>
      </c>
      <c r="C9593" s="4" t="s">
        <v>12080</v>
      </c>
      <c r="D9593" s="834">
        <v>11.63</v>
      </c>
    </row>
    <row r="9594" spans="1:4" x14ac:dyDescent="0.3">
      <c r="A9594" s="4">
        <v>2433</v>
      </c>
      <c r="B9594" s="833" t="s">
        <v>13855</v>
      </c>
      <c r="C9594" s="4" t="s">
        <v>12080</v>
      </c>
      <c r="D9594" s="834">
        <v>8.49</v>
      </c>
    </row>
    <row r="9595" spans="1:4" x14ac:dyDescent="0.3">
      <c r="A9595" s="4">
        <v>2420</v>
      </c>
      <c r="B9595" s="833" t="s">
        <v>13856</v>
      </c>
      <c r="C9595" s="4" t="s">
        <v>12080</v>
      </c>
      <c r="D9595" s="834">
        <v>14.58</v>
      </c>
    </row>
    <row r="9596" spans="1:4" x14ac:dyDescent="0.3">
      <c r="A9596" s="4">
        <v>11447</v>
      </c>
      <c r="B9596" s="833" t="s">
        <v>13857</v>
      </c>
      <c r="C9596" s="4" t="s">
        <v>12080</v>
      </c>
      <c r="D9596" s="834">
        <v>28.82</v>
      </c>
    </row>
    <row r="9597" spans="1:4" x14ac:dyDescent="0.3">
      <c r="A9597" s="4">
        <v>11451</v>
      </c>
      <c r="B9597" s="833" t="s">
        <v>13858</v>
      </c>
      <c r="C9597" s="4" t="s">
        <v>12080</v>
      </c>
      <c r="D9597" s="834">
        <v>77.28</v>
      </c>
    </row>
    <row r="9598" spans="1:4" x14ac:dyDescent="0.3">
      <c r="A9598" s="4">
        <v>11116</v>
      </c>
      <c r="B9598" s="833" t="s">
        <v>13859</v>
      </c>
      <c r="C9598" s="4" t="s">
        <v>12080</v>
      </c>
      <c r="D9598" s="834">
        <v>653.72</v>
      </c>
    </row>
    <row r="9599" spans="1:4" x14ac:dyDescent="0.3">
      <c r="A9599" s="4">
        <v>38411</v>
      </c>
      <c r="B9599" s="833" t="s">
        <v>13860</v>
      </c>
      <c r="C9599" s="4" t="s">
        <v>12080</v>
      </c>
      <c r="D9599" s="834">
        <v>1722.8</v>
      </c>
    </row>
    <row r="9600" spans="1:4" x14ac:dyDescent="0.3">
      <c r="A9600" s="4">
        <v>38189</v>
      </c>
      <c r="B9600" s="833" t="s">
        <v>13861</v>
      </c>
      <c r="C9600" s="4" t="s">
        <v>12080</v>
      </c>
      <c r="D9600" s="834">
        <v>168.79</v>
      </c>
    </row>
    <row r="9601" spans="1:4" x14ac:dyDescent="0.3">
      <c r="A9601" s="4">
        <v>38190</v>
      </c>
      <c r="B9601" s="833" t="s">
        <v>13862</v>
      </c>
      <c r="C9601" s="4" t="s">
        <v>12080</v>
      </c>
      <c r="D9601" s="834">
        <v>355.6</v>
      </c>
    </row>
    <row r="9602" spans="1:4" x14ac:dyDescent="0.3">
      <c r="A9602" s="4">
        <v>7608</v>
      </c>
      <c r="B9602" s="833" t="s">
        <v>13863</v>
      </c>
      <c r="C9602" s="4" t="s">
        <v>12080</v>
      </c>
      <c r="D9602" s="834">
        <v>16.690000000000001</v>
      </c>
    </row>
    <row r="9603" spans="1:4" x14ac:dyDescent="0.3">
      <c r="A9603" s="4">
        <v>1370</v>
      </c>
      <c r="B9603" s="833" t="s">
        <v>13864</v>
      </c>
      <c r="C9603" s="4" t="s">
        <v>12080</v>
      </c>
      <c r="D9603" s="834">
        <v>101.53</v>
      </c>
    </row>
    <row r="9604" spans="1:4" x14ac:dyDescent="0.3">
      <c r="A9604" s="4">
        <v>36516</v>
      </c>
      <c r="B9604" s="833" t="s">
        <v>13865</v>
      </c>
      <c r="C9604" s="4" t="s">
        <v>12080</v>
      </c>
      <c r="D9604" s="834">
        <v>144946.23000000001</v>
      </c>
    </row>
    <row r="9605" spans="1:4" x14ac:dyDescent="0.3">
      <c r="A9605" s="4">
        <v>34777</v>
      </c>
      <c r="B9605" s="833" t="s">
        <v>13866</v>
      </c>
      <c r="C9605" s="4" t="s">
        <v>12080</v>
      </c>
      <c r="D9605" s="834">
        <v>3.32</v>
      </c>
    </row>
    <row r="9606" spans="1:4" x14ac:dyDescent="0.3">
      <c r="A9606" s="4">
        <v>7272</v>
      </c>
      <c r="B9606" s="833" t="s">
        <v>13867</v>
      </c>
      <c r="C9606" s="4" t="s">
        <v>12080</v>
      </c>
      <c r="D9606" s="834">
        <v>2.5</v>
      </c>
    </row>
    <row r="9607" spans="1:4" x14ac:dyDescent="0.3">
      <c r="A9607" s="4">
        <v>10605</v>
      </c>
      <c r="B9607" s="833" t="s">
        <v>13868</v>
      </c>
      <c r="C9607" s="4" t="s">
        <v>12080</v>
      </c>
      <c r="D9607" s="834">
        <v>6.28</v>
      </c>
    </row>
    <row r="9608" spans="1:4" x14ac:dyDescent="0.3">
      <c r="A9608" s="4">
        <v>10604</v>
      </c>
      <c r="B9608" s="833" t="s">
        <v>13869</v>
      </c>
      <c r="C9608" s="4" t="s">
        <v>12080</v>
      </c>
      <c r="D9608" s="834">
        <v>14.65</v>
      </c>
    </row>
    <row r="9609" spans="1:4" x14ac:dyDescent="0.3">
      <c r="A9609" s="4">
        <v>672</v>
      </c>
      <c r="B9609" s="833" t="s">
        <v>13870</v>
      </c>
      <c r="C9609" s="4" t="s">
        <v>12080</v>
      </c>
      <c r="D9609" s="834">
        <v>20.14</v>
      </c>
    </row>
    <row r="9610" spans="1:4" x14ac:dyDescent="0.3">
      <c r="A9610" s="4">
        <v>668</v>
      </c>
      <c r="B9610" s="833" t="s">
        <v>13871</v>
      </c>
      <c r="C9610" s="4" t="s">
        <v>12080</v>
      </c>
      <c r="D9610" s="834">
        <v>24.32</v>
      </c>
    </row>
    <row r="9611" spans="1:4" x14ac:dyDescent="0.3">
      <c r="A9611" s="4">
        <v>10578</v>
      </c>
      <c r="B9611" s="833" t="s">
        <v>13872</v>
      </c>
      <c r="C9611" s="4" t="s">
        <v>12080</v>
      </c>
      <c r="D9611" s="834">
        <v>28.32</v>
      </c>
    </row>
    <row r="9612" spans="1:4" x14ac:dyDescent="0.3">
      <c r="A9612" s="4">
        <v>666</v>
      </c>
      <c r="B9612" s="833" t="s">
        <v>13873</v>
      </c>
      <c r="C9612" s="4" t="s">
        <v>12080</v>
      </c>
      <c r="D9612" s="834">
        <v>31.5</v>
      </c>
    </row>
    <row r="9613" spans="1:4" x14ac:dyDescent="0.3">
      <c r="A9613" s="4">
        <v>665</v>
      </c>
      <c r="B9613" s="833" t="s">
        <v>13874</v>
      </c>
      <c r="C9613" s="4" t="s">
        <v>12080</v>
      </c>
      <c r="D9613" s="834">
        <v>42.12</v>
      </c>
    </row>
    <row r="9614" spans="1:4" x14ac:dyDescent="0.3">
      <c r="A9614" s="4">
        <v>10577</v>
      </c>
      <c r="B9614" s="833" t="s">
        <v>13875</v>
      </c>
      <c r="C9614" s="4" t="s">
        <v>12080</v>
      </c>
      <c r="D9614" s="834">
        <v>37.36</v>
      </c>
    </row>
    <row r="9615" spans="1:4" x14ac:dyDescent="0.3">
      <c r="A9615" s="4">
        <v>10583</v>
      </c>
      <c r="B9615" s="833" t="s">
        <v>13876</v>
      </c>
      <c r="C9615" s="4" t="s">
        <v>12080</v>
      </c>
      <c r="D9615" s="834">
        <v>19.41</v>
      </c>
    </row>
    <row r="9616" spans="1:4" x14ac:dyDescent="0.3">
      <c r="A9616" s="4">
        <v>10579</v>
      </c>
      <c r="B9616" s="833" t="s">
        <v>13877</v>
      </c>
      <c r="C9616" s="4" t="s">
        <v>12080</v>
      </c>
      <c r="D9616" s="834">
        <v>33.83</v>
      </c>
    </row>
    <row r="9617" spans="1:4" x14ac:dyDescent="0.3">
      <c r="A9617" s="4">
        <v>10582</v>
      </c>
      <c r="B9617" s="833" t="s">
        <v>13878</v>
      </c>
      <c r="C9617" s="4" t="s">
        <v>12080</v>
      </c>
      <c r="D9617" s="834">
        <v>17.09</v>
      </c>
    </row>
    <row r="9618" spans="1:4" x14ac:dyDescent="0.3">
      <c r="A9618" s="4">
        <v>2436</v>
      </c>
      <c r="B9618" s="833" t="s">
        <v>13879</v>
      </c>
      <c r="C9618" s="4" t="s">
        <v>12226</v>
      </c>
      <c r="D9618" s="834">
        <v>21.83</v>
      </c>
    </row>
    <row r="9619" spans="1:4" x14ac:dyDescent="0.3">
      <c r="A9619" s="4">
        <v>40918</v>
      </c>
      <c r="B9619" s="833" t="s">
        <v>13880</v>
      </c>
      <c r="C9619" s="4" t="s">
        <v>12228</v>
      </c>
      <c r="D9619" s="834">
        <v>3886.77</v>
      </c>
    </row>
    <row r="9620" spans="1:4" x14ac:dyDescent="0.3">
      <c r="A9620" s="4">
        <v>10998</v>
      </c>
      <c r="B9620" s="833" t="s">
        <v>13881</v>
      </c>
      <c r="C9620" s="4" t="s">
        <v>12126</v>
      </c>
      <c r="D9620" s="834">
        <v>46.12</v>
      </c>
    </row>
    <row r="9621" spans="1:4" x14ac:dyDescent="0.3">
      <c r="A9621" s="4">
        <v>11002</v>
      </c>
      <c r="B9621" s="833" t="s">
        <v>13882</v>
      </c>
      <c r="C9621" s="4" t="s">
        <v>12126</v>
      </c>
      <c r="D9621" s="834">
        <v>42.25</v>
      </c>
    </row>
    <row r="9622" spans="1:4" x14ac:dyDescent="0.3">
      <c r="A9622" s="4">
        <v>10999</v>
      </c>
      <c r="B9622" s="833" t="s">
        <v>13883</v>
      </c>
      <c r="C9622" s="4" t="s">
        <v>12126</v>
      </c>
      <c r="D9622" s="834">
        <v>40.590000000000003</v>
      </c>
    </row>
    <row r="9623" spans="1:4" x14ac:dyDescent="0.3">
      <c r="A9623" s="4">
        <v>10997</v>
      </c>
      <c r="B9623" s="833" t="s">
        <v>13884</v>
      </c>
      <c r="C9623" s="4" t="s">
        <v>12126</v>
      </c>
      <c r="D9623" s="834">
        <v>44</v>
      </c>
    </row>
    <row r="9624" spans="1:4" x14ac:dyDescent="0.3">
      <c r="A9624" s="4">
        <v>2685</v>
      </c>
      <c r="B9624" s="833" t="s">
        <v>13885</v>
      </c>
      <c r="C9624" s="4" t="s">
        <v>1803</v>
      </c>
      <c r="D9624" s="834">
        <v>9.51</v>
      </c>
    </row>
    <row r="9625" spans="1:4" x14ac:dyDescent="0.3">
      <c r="A9625" s="4">
        <v>2680</v>
      </c>
      <c r="B9625" s="833" t="s">
        <v>13886</v>
      </c>
      <c r="C9625" s="4" t="s">
        <v>1803</v>
      </c>
      <c r="D9625" s="834">
        <v>13.92</v>
      </c>
    </row>
    <row r="9626" spans="1:4" x14ac:dyDescent="0.3">
      <c r="A9626" s="4">
        <v>2684</v>
      </c>
      <c r="B9626" s="833" t="s">
        <v>13887</v>
      </c>
      <c r="C9626" s="4" t="s">
        <v>1803</v>
      </c>
      <c r="D9626" s="834">
        <v>12.67</v>
      </c>
    </row>
    <row r="9627" spans="1:4" x14ac:dyDescent="0.3">
      <c r="A9627" s="4">
        <v>2673</v>
      </c>
      <c r="B9627" s="833" t="s">
        <v>13888</v>
      </c>
      <c r="C9627" s="4" t="s">
        <v>1803</v>
      </c>
      <c r="D9627" s="834">
        <v>4.8899999999999997</v>
      </c>
    </row>
    <row r="9628" spans="1:4" x14ac:dyDescent="0.3">
      <c r="A9628" s="4">
        <v>2681</v>
      </c>
      <c r="B9628" s="833" t="s">
        <v>13889</v>
      </c>
      <c r="C9628" s="4" t="s">
        <v>1803</v>
      </c>
      <c r="D9628" s="834">
        <v>22.75</v>
      </c>
    </row>
    <row r="9629" spans="1:4" x14ac:dyDescent="0.3">
      <c r="A9629" s="4">
        <v>2682</v>
      </c>
      <c r="B9629" s="833" t="s">
        <v>13890</v>
      </c>
      <c r="C9629" s="4" t="s">
        <v>1803</v>
      </c>
      <c r="D9629" s="834">
        <v>33.200000000000003</v>
      </c>
    </row>
    <row r="9630" spans="1:4" x14ac:dyDescent="0.3">
      <c r="A9630" s="4">
        <v>2686</v>
      </c>
      <c r="B9630" s="833" t="s">
        <v>13891</v>
      </c>
      <c r="C9630" s="4" t="s">
        <v>1803</v>
      </c>
      <c r="D9630" s="834">
        <v>41.63</v>
      </c>
    </row>
    <row r="9631" spans="1:4" x14ac:dyDescent="0.3">
      <c r="A9631" s="4">
        <v>2674</v>
      </c>
      <c r="B9631" s="833" t="s">
        <v>13892</v>
      </c>
      <c r="C9631" s="4" t="s">
        <v>1803</v>
      </c>
      <c r="D9631" s="834">
        <v>6.09</v>
      </c>
    </row>
    <row r="9632" spans="1:4" x14ac:dyDescent="0.3">
      <c r="A9632" s="4">
        <v>2683</v>
      </c>
      <c r="B9632" s="833" t="s">
        <v>13893</v>
      </c>
      <c r="C9632" s="4" t="s">
        <v>1803</v>
      </c>
      <c r="D9632" s="834">
        <v>65.599999999999994</v>
      </c>
    </row>
    <row r="9633" spans="1:4" x14ac:dyDescent="0.3">
      <c r="A9633" s="4">
        <v>2676</v>
      </c>
      <c r="B9633" s="833" t="s">
        <v>13894</v>
      </c>
      <c r="C9633" s="4" t="s">
        <v>1803</v>
      </c>
      <c r="D9633" s="834">
        <v>2.84</v>
      </c>
    </row>
    <row r="9634" spans="1:4" x14ac:dyDescent="0.3">
      <c r="A9634" s="4">
        <v>2678</v>
      </c>
      <c r="B9634" s="833" t="s">
        <v>13895</v>
      </c>
      <c r="C9634" s="4" t="s">
        <v>1803</v>
      </c>
      <c r="D9634" s="834">
        <v>3.56</v>
      </c>
    </row>
    <row r="9635" spans="1:4" x14ac:dyDescent="0.3">
      <c r="A9635" s="4">
        <v>2679</v>
      </c>
      <c r="B9635" s="833" t="s">
        <v>13896</v>
      </c>
      <c r="C9635" s="4" t="s">
        <v>1803</v>
      </c>
      <c r="D9635" s="834">
        <v>5.49</v>
      </c>
    </row>
    <row r="9636" spans="1:4" x14ac:dyDescent="0.3">
      <c r="A9636" s="4">
        <v>12070</v>
      </c>
      <c r="B9636" s="833" t="s">
        <v>13897</v>
      </c>
      <c r="C9636" s="4" t="s">
        <v>1803</v>
      </c>
      <c r="D9636" s="834">
        <v>7.64</v>
      </c>
    </row>
    <row r="9637" spans="1:4" x14ac:dyDescent="0.3">
      <c r="A9637" s="4">
        <v>2675</v>
      </c>
      <c r="B9637" s="833" t="s">
        <v>13898</v>
      </c>
      <c r="C9637" s="4" t="s">
        <v>1803</v>
      </c>
      <c r="D9637" s="834">
        <v>9.93</v>
      </c>
    </row>
    <row r="9638" spans="1:4" x14ac:dyDescent="0.3">
      <c r="A9638" s="4">
        <v>12067</v>
      </c>
      <c r="B9638" s="833" t="s">
        <v>13899</v>
      </c>
      <c r="C9638" s="4" t="s">
        <v>1803</v>
      </c>
      <c r="D9638" s="834">
        <v>13.48</v>
      </c>
    </row>
    <row r="9639" spans="1:4" x14ac:dyDescent="0.3">
      <c r="A9639" s="4">
        <v>21128</v>
      </c>
      <c r="B9639" s="833" t="s">
        <v>13900</v>
      </c>
      <c r="C9639" s="4" t="s">
        <v>1803</v>
      </c>
      <c r="D9639" s="834">
        <v>10</v>
      </c>
    </row>
    <row r="9640" spans="1:4" x14ac:dyDescent="0.3">
      <c r="A9640" s="4">
        <v>40400</v>
      </c>
      <c r="B9640" s="833" t="s">
        <v>13901</v>
      </c>
      <c r="C9640" s="4" t="s">
        <v>1803</v>
      </c>
      <c r="D9640" s="834">
        <v>1.92</v>
      </c>
    </row>
    <row r="9641" spans="1:4" x14ac:dyDescent="0.3">
      <c r="A9641" s="4">
        <v>40401</v>
      </c>
      <c r="B9641" s="833" t="s">
        <v>13902</v>
      </c>
      <c r="C9641" s="4" t="s">
        <v>1803</v>
      </c>
      <c r="D9641" s="834">
        <v>2.83</v>
      </c>
    </row>
    <row r="9642" spans="1:4" x14ac:dyDescent="0.3">
      <c r="A9642" s="4">
        <v>40402</v>
      </c>
      <c r="B9642" s="833" t="s">
        <v>13903</v>
      </c>
      <c r="C9642" s="4" t="s">
        <v>1803</v>
      </c>
      <c r="D9642" s="834">
        <v>3.63</v>
      </c>
    </row>
    <row r="9643" spans="1:4" x14ac:dyDescent="0.3">
      <c r="A9643" s="4">
        <v>21137</v>
      </c>
      <c r="B9643" s="833" t="s">
        <v>13904</v>
      </c>
      <c r="C9643" s="4" t="s">
        <v>1803</v>
      </c>
      <c r="D9643" s="834">
        <v>10.23</v>
      </c>
    </row>
    <row r="9644" spans="1:4" x14ac:dyDescent="0.3">
      <c r="A9644" s="4">
        <v>2504</v>
      </c>
      <c r="B9644" s="833" t="s">
        <v>13905</v>
      </c>
      <c r="C9644" s="4" t="s">
        <v>1803</v>
      </c>
      <c r="D9644" s="834">
        <v>11.09</v>
      </c>
    </row>
    <row r="9645" spans="1:4" x14ac:dyDescent="0.3">
      <c r="A9645" s="4">
        <v>2501</v>
      </c>
      <c r="B9645" s="833" t="s">
        <v>13906</v>
      </c>
      <c r="C9645" s="4" t="s">
        <v>1803</v>
      </c>
      <c r="D9645" s="834">
        <v>14.55</v>
      </c>
    </row>
    <row r="9646" spans="1:4" x14ac:dyDescent="0.3">
      <c r="A9646" s="4">
        <v>2502</v>
      </c>
      <c r="B9646" s="833" t="s">
        <v>13907</v>
      </c>
      <c r="C9646" s="4" t="s">
        <v>1803</v>
      </c>
      <c r="D9646" s="834">
        <v>21.95</v>
      </c>
    </row>
    <row r="9647" spans="1:4" x14ac:dyDescent="0.3">
      <c r="A9647" s="4">
        <v>2503</v>
      </c>
      <c r="B9647" s="833" t="s">
        <v>13908</v>
      </c>
      <c r="C9647" s="4" t="s">
        <v>1803</v>
      </c>
      <c r="D9647" s="834">
        <v>28.26</v>
      </c>
    </row>
    <row r="9648" spans="1:4" x14ac:dyDescent="0.3">
      <c r="A9648" s="4">
        <v>2500</v>
      </c>
      <c r="B9648" s="833" t="s">
        <v>13909</v>
      </c>
      <c r="C9648" s="4" t="s">
        <v>1803</v>
      </c>
      <c r="D9648" s="834">
        <v>37.64</v>
      </c>
    </row>
    <row r="9649" spans="1:4" x14ac:dyDescent="0.3">
      <c r="A9649" s="4">
        <v>2505</v>
      </c>
      <c r="B9649" s="833" t="s">
        <v>13910</v>
      </c>
      <c r="C9649" s="4" t="s">
        <v>1803</v>
      </c>
      <c r="D9649" s="834">
        <v>58.66</v>
      </c>
    </row>
    <row r="9650" spans="1:4" x14ac:dyDescent="0.3">
      <c r="A9650" s="4">
        <v>12056</v>
      </c>
      <c r="B9650" s="833" t="s">
        <v>13911</v>
      </c>
      <c r="C9650" s="4" t="s">
        <v>1803</v>
      </c>
      <c r="D9650" s="834">
        <v>23.7</v>
      </c>
    </row>
    <row r="9651" spans="1:4" x14ac:dyDescent="0.3">
      <c r="A9651" s="4">
        <v>12057</v>
      </c>
      <c r="B9651" s="833" t="s">
        <v>13912</v>
      </c>
      <c r="C9651" s="4" t="s">
        <v>1803</v>
      </c>
      <c r="D9651" s="834">
        <v>20.13</v>
      </c>
    </row>
    <row r="9652" spans="1:4" x14ac:dyDescent="0.3">
      <c r="A9652" s="4">
        <v>12059</v>
      </c>
      <c r="B9652" s="833" t="s">
        <v>13913</v>
      </c>
      <c r="C9652" s="4" t="s">
        <v>1803</v>
      </c>
      <c r="D9652" s="834">
        <v>7.06</v>
      </c>
    </row>
    <row r="9653" spans="1:4" x14ac:dyDescent="0.3">
      <c r="A9653" s="4">
        <v>12058</v>
      </c>
      <c r="B9653" s="833" t="s">
        <v>13914</v>
      </c>
      <c r="C9653" s="4" t="s">
        <v>1803</v>
      </c>
      <c r="D9653" s="834">
        <v>12.55</v>
      </c>
    </row>
    <row r="9654" spans="1:4" x14ac:dyDescent="0.3">
      <c r="A9654" s="4">
        <v>12060</v>
      </c>
      <c r="B9654" s="833" t="s">
        <v>13915</v>
      </c>
      <c r="C9654" s="4" t="s">
        <v>1803</v>
      </c>
      <c r="D9654" s="834">
        <v>52.3</v>
      </c>
    </row>
    <row r="9655" spans="1:4" x14ac:dyDescent="0.3">
      <c r="A9655" s="4">
        <v>12061</v>
      </c>
      <c r="B9655" s="833" t="s">
        <v>13916</v>
      </c>
      <c r="C9655" s="4" t="s">
        <v>1803</v>
      </c>
      <c r="D9655" s="834">
        <v>31.94</v>
      </c>
    </row>
    <row r="9656" spans="1:4" x14ac:dyDescent="0.3">
      <c r="A9656" s="4">
        <v>12062</v>
      </c>
      <c r="B9656" s="833" t="s">
        <v>13917</v>
      </c>
      <c r="C9656" s="4" t="s">
        <v>1803</v>
      </c>
      <c r="D9656" s="834">
        <v>58.9</v>
      </c>
    </row>
    <row r="9657" spans="1:4" x14ac:dyDescent="0.3">
      <c r="A9657" s="4">
        <v>2687</v>
      </c>
      <c r="B9657" s="833" t="s">
        <v>13918</v>
      </c>
      <c r="C9657" s="4" t="s">
        <v>1803</v>
      </c>
      <c r="D9657" s="834">
        <v>2.48</v>
      </c>
    </row>
    <row r="9658" spans="1:4" x14ac:dyDescent="0.3">
      <c r="A9658" s="4">
        <v>2689</v>
      </c>
      <c r="B9658" s="833" t="s">
        <v>13919</v>
      </c>
      <c r="C9658" s="4" t="s">
        <v>1803</v>
      </c>
      <c r="D9658" s="834">
        <v>2.95</v>
      </c>
    </row>
    <row r="9659" spans="1:4" x14ac:dyDescent="0.3">
      <c r="A9659" s="4">
        <v>2688</v>
      </c>
      <c r="B9659" s="833" t="s">
        <v>13920</v>
      </c>
      <c r="C9659" s="4" t="s">
        <v>1803</v>
      </c>
      <c r="D9659" s="834">
        <v>3.2</v>
      </c>
    </row>
    <row r="9660" spans="1:4" x14ac:dyDescent="0.3">
      <c r="A9660" s="4">
        <v>2690</v>
      </c>
      <c r="B9660" s="833" t="s">
        <v>13921</v>
      </c>
      <c r="C9660" s="4" t="s">
        <v>1803</v>
      </c>
      <c r="D9660" s="834">
        <v>5.48</v>
      </c>
    </row>
    <row r="9661" spans="1:4" x14ac:dyDescent="0.3">
      <c r="A9661" s="4">
        <v>39243</v>
      </c>
      <c r="B9661" s="833" t="s">
        <v>13922</v>
      </c>
      <c r="C9661" s="4" t="s">
        <v>1803</v>
      </c>
      <c r="D9661" s="834">
        <v>3.61</v>
      </c>
    </row>
    <row r="9662" spans="1:4" x14ac:dyDescent="0.3">
      <c r="A9662" s="4">
        <v>39244</v>
      </c>
      <c r="B9662" s="833" t="s">
        <v>13923</v>
      </c>
      <c r="C9662" s="4" t="s">
        <v>1803</v>
      </c>
      <c r="D9662" s="834">
        <v>4.88</v>
      </c>
    </row>
    <row r="9663" spans="1:4" x14ac:dyDescent="0.3">
      <c r="A9663" s="4">
        <v>39245</v>
      </c>
      <c r="B9663" s="833" t="s">
        <v>13924</v>
      </c>
      <c r="C9663" s="4" t="s">
        <v>1803</v>
      </c>
      <c r="D9663" s="834">
        <v>9.39</v>
      </c>
    </row>
    <row r="9664" spans="1:4" x14ac:dyDescent="0.3">
      <c r="A9664" s="4">
        <v>39254</v>
      </c>
      <c r="B9664" s="833" t="s">
        <v>13925</v>
      </c>
      <c r="C9664" s="4" t="s">
        <v>1803</v>
      </c>
      <c r="D9664" s="834">
        <v>14.04</v>
      </c>
    </row>
    <row r="9665" spans="1:4" x14ac:dyDescent="0.3">
      <c r="A9665" s="4">
        <v>39255</v>
      </c>
      <c r="B9665" s="833" t="s">
        <v>13926</v>
      </c>
      <c r="C9665" s="4" t="s">
        <v>1803</v>
      </c>
      <c r="D9665" s="834">
        <v>25.99</v>
      </c>
    </row>
    <row r="9666" spans="1:4" x14ac:dyDescent="0.3">
      <c r="A9666" s="4">
        <v>39253</v>
      </c>
      <c r="B9666" s="833" t="s">
        <v>13927</v>
      </c>
      <c r="C9666" s="4" t="s">
        <v>1803</v>
      </c>
      <c r="D9666" s="834">
        <v>17.899999999999999</v>
      </c>
    </row>
    <row r="9667" spans="1:4" x14ac:dyDescent="0.3">
      <c r="A9667" s="4">
        <v>39246</v>
      </c>
      <c r="B9667" s="833" t="s">
        <v>13928</v>
      </c>
      <c r="C9667" s="4" t="s">
        <v>1803</v>
      </c>
      <c r="D9667" s="834">
        <v>4.92</v>
      </c>
    </row>
    <row r="9668" spans="1:4" x14ac:dyDescent="0.3">
      <c r="A9668" s="4">
        <v>39247</v>
      </c>
      <c r="B9668" s="833" t="s">
        <v>13929</v>
      </c>
      <c r="C9668" s="4" t="s">
        <v>1803</v>
      </c>
      <c r="D9668" s="834">
        <v>4.28</v>
      </c>
    </row>
    <row r="9669" spans="1:4" x14ac:dyDescent="0.3">
      <c r="A9669" s="4">
        <v>2446</v>
      </c>
      <c r="B9669" s="833" t="s">
        <v>13930</v>
      </c>
      <c r="C9669" s="4" t="s">
        <v>1803</v>
      </c>
      <c r="D9669" s="834">
        <v>7.06</v>
      </c>
    </row>
    <row r="9670" spans="1:4" x14ac:dyDescent="0.3">
      <c r="A9670" s="4">
        <v>2442</v>
      </c>
      <c r="B9670" s="833" t="s">
        <v>13931</v>
      </c>
      <c r="C9670" s="4" t="s">
        <v>1803</v>
      </c>
      <c r="D9670" s="834">
        <v>9.89</v>
      </c>
    </row>
    <row r="9671" spans="1:4" x14ac:dyDescent="0.3">
      <c r="A9671" s="4">
        <v>39248</v>
      </c>
      <c r="B9671" s="833" t="s">
        <v>13932</v>
      </c>
      <c r="C9671" s="4" t="s">
        <v>1803</v>
      </c>
      <c r="D9671" s="834">
        <v>13.78</v>
      </c>
    </row>
    <row r="9672" spans="1:4" x14ac:dyDescent="0.3">
      <c r="A9672" s="4">
        <v>2438</v>
      </c>
      <c r="B9672" s="833" t="s">
        <v>13933</v>
      </c>
      <c r="C9672" s="4" t="s">
        <v>12226</v>
      </c>
      <c r="D9672" s="834">
        <v>28.32</v>
      </c>
    </row>
    <row r="9673" spans="1:4" x14ac:dyDescent="0.3">
      <c r="A9673" s="4">
        <v>40922</v>
      </c>
      <c r="B9673" s="833" t="s">
        <v>13934</v>
      </c>
      <c r="C9673" s="4" t="s">
        <v>12228</v>
      </c>
      <c r="D9673" s="834">
        <v>5045.74</v>
      </c>
    </row>
    <row r="9674" spans="1:4" x14ac:dyDescent="0.3">
      <c r="A9674" s="4">
        <v>36486</v>
      </c>
      <c r="B9674" s="833" t="s">
        <v>13935</v>
      </c>
      <c r="C9674" s="4" t="s">
        <v>12080</v>
      </c>
      <c r="D9674" s="834">
        <v>72764.03</v>
      </c>
    </row>
    <row r="9675" spans="1:4" x14ac:dyDescent="0.3">
      <c r="A9675" s="4">
        <v>37777</v>
      </c>
      <c r="B9675" s="833" t="s">
        <v>13936</v>
      </c>
      <c r="C9675" s="4" t="s">
        <v>12080</v>
      </c>
      <c r="D9675" s="834">
        <v>342571.65</v>
      </c>
    </row>
    <row r="9676" spans="1:4" x14ac:dyDescent="0.3">
      <c r="A9676" s="4">
        <v>12624</v>
      </c>
      <c r="B9676" s="833" t="s">
        <v>13937</v>
      </c>
      <c r="C9676" s="4" t="s">
        <v>12080</v>
      </c>
      <c r="D9676" s="834">
        <v>33.090000000000003</v>
      </c>
    </row>
    <row r="9677" spans="1:4" x14ac:dyDescent="0.3">
      <c r="A9677" s="4">
        <v>517</v>
      </c>
      <c r="B9677" s="833" t="s">
        <v>13938</v>
      </c>
      <c r="C9677" s="4" t="s">
        <v>12128</v>
      </c>
      <c r="D9677" s="834">
        <v>9.25</v>
      </c>
    </row>
    <row r="9678" spans="1:4" x14ac:dyDescent="0.3">
      <c r="A9678" s="4">
        <v>37534</v>
      </c>
      <c r="B9678" s="833" t="s">
        <v>13939</v>
      </c>
      <c r="C9678" s="4" t="s">
        <v>12126</v>
      </c>
      <c r="D9678" s="834">
        <v>21.84</v>
      </c>
    </row>
    <row r="9679" spans="1:4" x14ac:dyDescent="0.3">
      <c r="A9679" s="4">
        <v>37535</v>
      </c>
      <c r="B9679" s="833" t="s">
        <v>13940</v>
      </c>
      <c r="C9679" s="4" t="s">
        <v>12126</v>
      </c>
      <c r="D9679" s="834">
        <v>21.84</v>
      </c>
    </row>
    <row r="9680" spans="1:4" x14ac:dyDescent="0.3">
      <c r="A9680" s="4">
        <v>37533</v>
      </c>
      <c r="B9680" s="833" t="s">
        <v>13941</v>
      </c>
      <c r="C9680" s="4" t="s">
        <v>12126</v>
      </c>
      <c r="D9680" s="834">
        <v>21.84</v>
      </c>
    </row>
    <row r="9681" spans="1:4" x14ac:dyDescent="0.3">
      <c r="A9681" s="4">
        <v>37537</v>
      </c>
      <c r="B9681" s="833" t="s">
        <v>13942</v>
      </c>
      <c r="C9681" s="4" t="s">
        <v>12126</v>
      </c>
      <c r="D9681" s="834">
        <v>16.53</v>
      </c>
    </row>
    <row r="9682" spans="1:4" x14ac:dyDescent="0.3">
      <c r="A9682" s="4">
        <v>37536</v>
      </c>
      <c r="B9682" s="833" t="s">
        <v>13943</v>
      </c>
      <c r="C9682" s="4" t="s">
        <v>12126</v>
      </c>
      <c r="D9682" s="834">
        <v>16.53</v>
      </c>
    </row>
    <row r="9683" spans="1:4" x14ac:dyDescent="0.3">
      <c r="A9683" s="4">
        <v>37532</v>
      </c>
      <c r="B9683" s="833" t="s">
        <v>13944</v>
      </c>
      <c r="C9683" s="4" t="s">
        <v>12126</v>
      </c>
      <c r="D9683" s="834">
        <v>16.53</v>
      </c>
    </row>
    <row r="9684" spans="1:4" x14ac:dyDescent="0.3">
      <c r="A9684" s="4">
        <v>2696</v>
      </c>
      <c r="B9684" s="833" t="s">
        <v>13945</v>
      </c>
      <c r="C9684" s="4" t="s">
        <v>12226</v>
      </c>
      <c r="D9684" s="834">
        <v>21.83</v>
      </c>
    </row>
    <row r="9685" spans="1:4" x14ac:dyDescent="0.3">
      <c r="A9685" s="4">
        <v>40928</v>
      </c>
      <c r="B9685" s="833" t="s">
        <v>13946</v>
      </c>
      <c r="C9685" s="4" t="s">
        <v>12228</v>
      </c>
      <c r="D9685" s="834">
        <v>3886.77</v>
      </c>
    </row>
    <row r="9686" spans="1:4" x14ac:dyDescent="0.3">
      <c r="A9686" s="4">
        <v>4083</v>
      </c>
      <c r="B9686" s="833" t="s">
        <v>13947</v>
      </c>
      <c r="C9686" s="4" t="s">
        <v>12226</v>
      </c>
      <c r="D9686" s="834">
        <v>21.83</v>
      </c>
    </row>
    <row r="9687" spans="1:4" x14ac:dyDescent="0.3">
      <c r="A9687" s="4">
        <v>40818</v>
      </c>
      <c r="B9687" s="833" t="s">
        <v>13948</v>
      </c>
      <c r="C9687" s="4" t="s">
        <v>12228</v>
      </c>
      <c r="D9687" s="834">
        <v>3886.77</v>
      </c>
    </row>
    <row r="9688" spans="1:4" x14ac:dyDescent="0.3">
      <c r="A9688" s="4">
        <v>43146</v>
      </c>
      <c r="B9688" s="833" t="s">
        <v>13949</v>
      </c>
      <c r="C9688" s="4" t="s">
        <v>12126</v>
      </c>
      <c r="D9688" s="834">
        <v>10.199999999999999</v>
      </c>
    </row>
    <row r="9689" spans="1:4" x14ac:dyDescent="0.3">
      <c r="A9689" s="4">
        <v>2705</v>
      </c>
      <c r="B9689" s="833" t="s">
        <v>13950</v>
      </c>
      <c r="C9689" s="4" t="s">
        <v>13951</v>
      </c>
      <c r="D9689" s="834">
        <v>0.72</v>
      </c>
    </row>
    <row r="9690" spans="1:4" x14ac:dyDescent="0.3">
      <c r="A9690" s="4">
        <v>14250</v>
      </c>
      <c r="B9690" s="833" t="s">
        <v>13952</v>
      </c>
      <c r="C9690" s="4" t="s">
        <v>13951</v>
      </c>
      <c r="D9690" s="834">
        <v>0.74</v>
      </c>
    </row>
    <row r="9691" spans="1:4" x14ac:dyDescent="0.3">
      <c r="A9691" s="4">
        <v>11683</v>
      </c>
      <c r="B9691" s="833" t="s">
        <v>13953</v>
      </c>
      <c r="C9691" s="4" t="s">
        <v>12080</v>
      </c>
      <c r="D9691" s="834">
        <v>32.67</v>
      </c>
    </row>
    <row r="9692" spans="1:4" x14ac:dyDescent="0.3">
      <c r="A9692" s="4">
        <v>11684</v>
      </c>
      <c r="B9692" s="833" t="s">
        <v>13954</v>
      </c>
      <c r="C9692" s="4" t="s">
        <v>12080</v>
      </c>
      <c r="D9692" s="834">
        <v>35.76</v>
      </c>
    </row>
    <row r="9693" spans="1:4" x14ac:dyDescent="0.3">
      <c r="A9693" s="4">
        <v>6141</v>
      </c>
      <c r="B9693" s="833" t="s">
        <v>13955</v>
      </c>
      <c r="C9693" s="4" t="s">
        <v>12080</v>
      </c>
      <c r="D9693" s="834">
        <v>5.1100000000000003</v>
      </c>
    </row>
    <row r="9694" spans="1:4" x14ac:dyDescent="0.3">
      <c r="A9694" s="4">
        <v>11681</v>
      </c>
      <c r="B9694" s="833" t="s">
        <v>13956</v>
      </c>
      <c r="C9694" s="4" t="s">
        <v>12080</v>
      </c>
      <c r="D9694" s="834">
        <v>6.44</v>
      </c>
    </row>
    <row r="9695" spans="1:4" x14ac:dyDescent="0.3">
      <c r="A9695" s="4">
        <v>2706</v>
      </c>
      <c r="B9695" s="833" t="s">
        <v>13957</v>
      </c>
      <c r="C9695" s="4" t="s">
        <v>12226</v>
      </c>
      <c r="D9695" s="834">
        <v>114.63</v>
      </c>
    </row>
    <row r="9696" spans="1:4" x14ac:dyDescent="0.3">
      <c r="A9696" s="4">
        <v>40811</v>
      </c>
      <c r="B9696" s="833" t="s">
        <v>13958</v>
      </c>
      <c r="C9696" s="4" t="s">
        <v>12228</v>
      </c>
      <c r="D9696" s="834">
        <v>20406.5</v>
      </c>
    </row>
    <row r="9697" spans="1:4" x14ac:dyDescent="0.3">
      <c r="A9697" s="4">
        <v>2707</v>
      </c>
      <c r="B9697" s="833" t="s">
        <v>13959</v>
      </c>
      <c r="C9697" s="4" t="s">
        <v>12226</v>
      </c>
      <c r="D9697" s="834">
        <v>135.63999999999999</v>
      </c>
    </row>
    <row r="9698" spans="1:4" x14ac:dyDescent="0.3">
      <c r="A9698" s="4">
        <v>40813</v>
      </c>
      <c r="B9698" s="833" t="s">
        <v>13960</v>
      </c>
      <c r="C9698" s="4" t="s">
        <v>12228</v>
      </c>
      <c r="D9698" s="834">
        <v>24150.62</v>
      </c>
    </row>
    <row r="9699" spans="1:4" x14ac:dyDescent="0.3">
      <c r="A9699" s="4">
        <v>2708</v>
      </c>
      <c r="B9699" s="833" t="s">
        <v>13961</v>
      </c>
      <c r="C9699" s="4" t="s">
        <v>12226</v>
      </c>
      <c r="D9699" s="834">
        <v>190.87</v>
      </c>
    </row>
    <row r="9700" spans="1:4" x14ac:dyDescent="0.3">
      <c r="A9700" s="4">
        <v>40814</v>
      </c>
      <c r="B9700" s="833" t="s">
        <v>13962</v>
      </c>
      <c r="C9700" s="4" t="s">
        <v>12228</v>
      </c>
      <c r="D9700" s="834">
        <v>33978.99</v>
      </c>
    </row>
    <row r="9701" spans="1:4" x14ac:dyDescent="0.3">
      <c r="A9701" s="4">
        <v>38403</v>
      </c>
      <c r="B9701" s="833" t="s">
        <v>13963</v>
      </c>
      <c r="C9701" s="4" t="s">
        <v>12080</v>
      </c>
      <c r="D9701" s="834">
        <v>59.43</v>
      </c>
    </row>
    <row r="9702" spans="1:4" x14ac:dyDescent="0.3">
      <c r="A9702" s="4">
        <v>43482</v>
      </c>
      <c r="B9702" s="833" t="s">
        <v>13964</v>
      </c>
      <c r="C9702" s="4" t="s">
        <v>12226</v>
      </c>
      <c r="D9702" s="834">
        <v>0.79</v>
      </c>
    </row>
    <row r="9703" spans="1:4" x14ac:dyDescent="0.3">
      <c r="A9703" s="4">
        <v>43494</v>
      </c>
      <c r="B9703" s="833" t="s">
        <v>13965</v>
      </c>
      <c r="C9703" s="4" t="s">
        <v>12228</v>
      </c>
      <c r="D9703" s="834">
        <v>148.04</v>
      </c>
    </row>
    <row r="9704" spans="1:4" x14ac:dyDescent="0.3">
      <c r="A9704" s="4">
        <v>43483</v>
      </c>
      <c r="B9704" s="833" t="s">
        <v>13966</v>
      </c>
      <c r="C9704" s="4" t="s">
        <v>12226</v>
      </c>
      <c r="D9704" s="834">
        <v>1.43</v>
      </c>
    </row>
    <row r="9705" spans="1:4" x14ac:dyDescent="0.3">
      <c r="A9705" s="4">
        <v>43495</v>
      </c>
      <c r="B9705" s="833" t="s">
        <v>13967</v>
      </c>
      <c r="C9705" s="4" t="s">
        <v>12228</v>
      </c>
      <c r="D9705" s="834">
        <v>269.97000000000003</v>
      </c>
    </row>
    <row r="9706" spans="1:4" x14ac:dyDescent="0.3">
      <c r="A9706" s="4">
        <v>43484</v>
      </c>
      <c r="B9706" s="833" t="s">
        <v>13968</v>
      </c>
      <c r="C9706" s="4" t="s">
        <v>12226</v>
      </c>
      <c r="D9706" s="834">
        <v>1.2</v>
      </c>
    </row>
    <row r="9707" spans="1:4" x14ac:dyDescent="0.3">
      <c r="A9707" s="4">
        <v>43496</v>
      </c>
      <c r="B9707" s="833" t="s">
        <v>13969</v>
      </c>
      <c r="C9707" s="4" t="s">
        <v>12228</v>
      </c>
      <c r="D9707" s="834">
        <v>226.41</v>
      </c>
    </row>
    <row r="9708" spans="1:4" x14ac:dyDescent="0.3">
      <c r="A9708" s="4">
        <v>43485</v>
      </c>
      <c r="B9708" s="833" t="s">
        <v>13970</v>
      </c>
      <c r="C9708" s="4" t="s">
        <v>12226</v>
      </c>
      <c r="D9708" s="834">
        <v>1.06</v>
      </c>
    </row>
    <row r="9709" spans="1:4" x14ac:dyDescent="0.3">
      <c r="A9709" s="4">
        <v>43497</v>
      </c>
      <c r="B9709" s="833" t="s">
        <v>13971</v>
      </c>
      <c r="C9709" s="4" t="s">
        <v>12228</v>
      </c>
      <c r="D9709" s="834">
        <v>199.2</v>
      </c>
    </row>
    <row r="9710" spans="1:4" x14ac:dyDescent="0.3">
      <c r="A9710" s="4">
        <v>43487</v>
      </c>
      <c r="B9710" s="833" t="s">
        <v>13972</v>
      </c>
      <c r="C9710" s="4" t="s">
        <v>12226</v>
      </c>
      <c r="D9710" s="834">
        <v>1.25</v>
      </c>
    </row>
    <row r="9711" spans="1:4" x14ac:dyDescent="0.3">
      <c r="A9711" s="4">
        <v>43499</v>
      </c>
      <c r="B9711" s="833" t="s">
        <v>13973</v>
      </c>
      <c r="C9711" s="4" t="s">
        <v>12228</v>
      </c>
      <c r="D9711" s="834">
        <v>236.16</v>
      </c>
    </row>
    <row r="9712" spans="1:4" x14ac:dyDescent="0.3">
      <c r="A9712" s="4">
        <v>43486</v>
      </c>
      <c r="B9712" s="833" t="s">
        <v>13974</v>
      </c>
      <c r="C9712" s="4" t="s">
        <v>12226</v>
      </c>
      <c r="D9712" s="834">
        <v>0.74</v>
      </c>
    </row>
    <row r="9713" spans="1:4" x14ac:dyDescent="0.3">
      <c r="A9713" s="4">
        <v>43498</v>
      </c>
      <c r="B9713" s="833" t="s">
        <v>13975</v>
      </c>
      <c r="C9713" s="4" t="s">
        <v>12228</v>
      </c>
      <c r="D9713" s="834">
        <v>140.22999999999999</v>
      </c>
    </row>
    <row r="9714" spans="1:4" x14ac:dyDescent="0.3">
      <c r="A9714" s="4">
        <v>43488</v>
      </c>
      <c r="B9714" s="833" t="s">
        <v>13976</v>
      </c>
      <c r="C9714" s="4" t="s">
        <v>12226</v>
      </c>
      <c r="D9714" s="834">
        <v>0.86</v>
      </c>
    </row>
    <row r="9715" spans="1:4" x14ac:dyDescent="0.3">
      <c r="A9715" s="4">
        <v>43500</v>
      </c>
      <c r="B9715" s="833" t="s">
        <v>13977</v>
      </c>
      <c r="C9715" s="4" t="s">
        <v>12228</v>
      </c>
      <c r="D9715" s="834">
        <v>162.97</v>
      </c>
    </row>
    <row r="9716" spans="1:4" x14ac:dyDescent="0.3">
      <c r="A9716" s="4">
        <v>43489</v>
      </c>
      <c r="B9716" s="833" t="s">
        <v>13978</v>
      </c>
      <c r="C9716" s="4" t="s">
        <v>12226</v>
      </c>
      <c r="D9716" s="834">
        <v>1.24</v>
      </c>
    </row>
    <row r="9717" spans="1:4" x14ac:dyDescent="0.3">
      <c r="A9717" s="4">
        <v>43501</v>
      </c>
      <c r="B9717" s="833" t="s">
        <v>13979</v>
      </c>
      <c r="C9717" s="4" t="s">
        <v>12228</v>
      </c>
      <c r="D9717" s="834">
        <v>233.35</v>
      </c>
    </row>
    <row r="9718" spans="1:4" x14ac:dyDescent="0.3">
      <c r="A9718" s="4">
        <v>43490</v>
      </c>
      <c r="B9718" s="833" t="s">
        <v>13980</v>
      </c>
      <c r="C9718" s="4" t="s">
        <v>12226</v>
      </c>
      <c r="D9718" s="834">
        <v>1.73</v>
      </c>
    </row>
    <row r="9719" spans="1:4" x14ac:dyDescent="0.3">
      <c r="A9719" s="4">
        <v>43502</v>
      </c>
      <c r="B9719" s="833" t="s">
        <v>13981</v>
      </c>
      <c r="C9719" s="4" t="s">
        <v>12228</v>
      </c>
      <c r="D9719" s="834">
        <v>325.51</v>
      </c>
    </row>
    <row r="9720" spans="1:4" x14ac:dyDescent="0.3">
      <c r="A9720" s="4">
        <v>43491</v>
      </c>
      <c r="B9720" s="833" t="s">
        <v>13982</v>
      </c>
      <c r="C9720" s="4" t="s">
        <v>12226</v>
      </c>
      <c r="D9720" s="834">
        <v>1.33</v>
      </c>
    </row>
    <row r="9721" spans="1:4" x14ac:dyDescent="0.3">
      <c r="A9721" s="4">
        <v>43503</v>
      </c>
      <c r="B9721" s="833" t="s">
        <v>13983</v>
      </c>
      <c r="C9721" s="4" t="s">
        <v>12228</v>
      </c>
      <c r="D9721" s="834">
        <v>250.24</v>
      </c>
    </row>
    <row r="9722" spans="1:4" x14ac:dyDescent="0.3">
      <c r="A9722" s="4">
        <v>43492</v>
      </c>
      <c r="B9722" s="833" t="s">
        <v>13984</v>
      </c>
      <c r="C9722" s="4" t="s">
        <v>12226</v>
      </c>
      <c r="D9722" s="834">
        <v>1.79</v>
      </c>
    </row>
    <row r="9723" spans="1:4" x14ac:dyDescent="0.3">
      <c r="A9723" s="4">
        <v>43504</v>
      </c>
      <c r="B9723" s="833" t="s">
        <v>13985</v>
      </c>
      <c r="C9723" s="4" t="s">
        <v>12228</v>
      </c>
      <c r="D9723" s="834">
        <v>337.87</v>
      </c>
    </row>
    <row r="9724" spans="1:4" x14ac:dyDescent="0.3">
      <c r="A9724" s="4">
        <v>43493</v>
      </c>
      <c r="B9724" s="833" t="s">
        <v>13986</v>
      </c>
      <c r="C9724" s="4" t="s">
        <v>12226</v>
      </c>
      <c r="D9724" s="834">
        <v>0.71</v>
      </c>
    </row>
    <row r="9725" spans="1:4" x14ac:dyDescent="0.3">
      <c r="A9725" s="4">
        <v>43505</v>
      </c>
      <c r="B9725" s="833" t="s">
        <v>13987</v>
      </c>
      <c r="C9725" s="4" t="s">
        <v>12228</v>
      </c>
      <c r="D9725" s="834">
        <v>132.94</v>
      </c>
    </row>
    <row r="9726" spans="1:4" x14ac:dyDescent="0.3">
      <c r="A9726" s="4">
        <v>37774</v>
      </c>
      <c r="B9726" s="833" t="s">
        <v>13988</v>
      </c>
      <c r="C9726" s="4" t="s">
        <v>12080</v>
      </c>
      <c r="D9726" s="834">
        <v>565124.71</v>
      </c>
    </row>
    <row r="9727" spans="1:4" x14ac:dyDescent="0.3">
      <c r="A9727" s="4">
        <v>38629</v>
      </c>
      <c r="B9727" s="833" t="s">
        <v>13989</v>
      </c>
      <c r="C9727" s="4" t="s">
        <v>12080</v>
      </c>
      <c r="D9727" s="834">
        <v>2901126.21</v>
      </c>
    </row>
    <row r="9728" spans="1:4" x14ac:dyDescent="0.3">
      <c r="A9728" s="4">
        <v>38630</v>
      </c>
      <c r="B9728" s="833" t="s">
        <v>13990</v>
      </c>
      <c r="C9728" s="4" t="s">
        <v>12080</v>
      </c>
      <c r="D9728" s="834">
        <v>1948961.71</v>
      </c>
    </row>
    <row r="9729" spans="1:4" x14ac:dyDescent="0.3">
      <c r="A9729" s="4">
        <v>38476</v>
      </c>
      <c r="B9729" s="833" t="s">
        <v>13991</v>
      </c>
      <c r="C9729" s="4" t="s">
        <v>12080</v>
      </c>
      <c r="D9729" s="834">
        <v>446.66</v>
      </c>
    </row>
    <row r="9730" spans="1:4" x14ac:dyDescent="0.3">
      <c r="A9730" s="4">
        <v>38477</v>
      </c>
      <c r="B9730" s="833" t="s">
        <v>13992</v>
      </c>
      <c r="C9730" s="4" t="s">
        <v>12080</v>
      </c>
      <c r="D9730" s="834">
        <v>1264.93</v>
      </c>
    </row>
    <row r="9731" spans="1:4" x14ac:dyDescent="0.3">
      <c r="A9731" s="4">
        <v>45112</v>
      </c>
      <c r="B9731" s="833" t="s">
        <v>13993</v>
      </c>
      <c r="C9731" s="4" t="s">
        <v>12080</v>
      </c>
      <c r="D9731" s="834">
        <v>1077376.06</v>
      </c>
    </row>
    <row r="9732" spans="1:4" x14ac:dyDescent="0.3">
      <c r="A9732" s="4">
        <v>14525</v>
      </c>
      <c r="B9732" s="833" t="s">
        <v>13994</v>
      </c>
      <c r="C9732" s="4" t="s">
        <v>12080</v>
      </c>
      <c r="D9732" s="834">
        <v>936675.8</v>
      </c>
    </row>
    <row r="9733" spans="1:4" x14ac:dyDescent="0.3">
      <c r="A9733" s="4">
        <v>36408</v>
      </c>
      <c r="B9733" s="833" t="s">
        <v>13995</v>
      </c>
      <c r="C9733" s="4" t="s">
        <v>12080</v>
      </c>
      <c r="D9733" s="834">
        <v>1143500.22</v>
      </c>
    </row>
    <row r="9734" spans="1:4" x14ac:dyDescent="0.3">
      <c r="A9734" s="4">
        <v>2723</v>
      </c>
      <c r="B9734" s="833" t="s">
        <v>13996</v>
      </c>
      <c r="C9734" s="4" t="s">
        <v>12080</v>
      </c>
      <c r="D9734" s="834">
        <v>696043.57</v>
      </c>
    </row>
    <row r="9735" spans="1:4" x14ac:dyDescent="0.3">
      <c r="A9735" s="4">
        <v>10685</v>
      </c>
      <c r="B9735" s="833" t="s">
        <v>13997</v>
      </c>
      <c r="C9735" s="4" t="s">
        <v>12080</v>
      </c>
      <c r="D9735" s="834">
        <v>827794.72</v>
      </c>
    </row>
    <row r="9736" spans="1:4" x14ac:dyDescent="0.3">
      <c r="A9736" s="4">
        <v>40636</v>
      </c>
      <c r="B9736" s="833" t="s">
        <v>13998</v>
      </c>
      <c r="C9736" s="4" t="s">
        <v>12080</v>
      </c>
      <c r="D9736" s="834">
        <v>1146287.6599999999</v>
      </c>
    </row>
    <row r="9737" spans="1:4" x14ac:dyDescent="0.3">
      <c r="A9737" s="4">
        <v>4111</v>
      </c>
      <c r="B9737" s="833" t="s">
        <v>13999</v>
      </c>
      <c r="C9737" s="4" t="s">
        <v>12080</v>
      </c>
      <c r="D9737" s="834">
        <v>54.21</v>
      </c>
    </row>
    <row r="9738" spans="1:4" x14ac:dyDescent="0.3">
      <c r="A9738" s="4">
        <v>44538</v>
      </c>
      <c r="B9738" s="833" t="s">
        <v>14000</v>
      </c>
      <c r="C9738" s="4" t="s">
        <v>12080</v>
      </c>
      <c r="D9738" s="834">
        <v>41.81</v>
      </c>
    </row>
    <row r="9739" spans="1:4" x14ac:dyDescent="0.3">
      <c r="A9739" s="4">
        <v>12</v>
      </c>
      <c r="B9739" s="833" t="s">
        <v>14001</v>
      </c>
      <c r="C9739" s="4" t="s">
        <v>12080</v>
      </c>
      <c r="D9739" s="834">
        <v>10.06</v>
      </c>
    </row>
    <row r="9740" spans="1:4" x14ac:dyDescent="0.3">
      <c r="A9740" s="4">
        <v>37554</v>
      </c>
      <c r="B9740" s="833" t="s">
        <v>14002</v>
      </c>
      <c r="C9740" s="4" t="s">
        <v>12080</v>
      </c>
      <c r="D9740" s="834">
        <v>255.02</v>
      </c>
    </row>
    <row r="9741" spans="1:4" x14ac:dyDescent="0.3">
      <c r="A9741" s="4">
        <v>37555</v>
      </c>
      <c r="B9741" s="833" t="s">
        <v>14003</v>
      </c>
      <c r="C9741" s="4" t="s">
        <v>12080</v>
      </c>
      <c r="D9741" s="834">
        <v>310.22000000000003</v>
      </c>
    </row>
    <row r="9742" spans="1:4" x14ac:dyDescent="0.3">
      <c r="A9742" s="4">
        <v>10902</v>
      </c>
      <c r="B9742" s="833" t="s">
        <v>14004</v>
      </c>
      <c r="C9742" s="4" t="s">
        <v>12080</v>
      </c>
      <c r="D9742" s="834">
        <v>77.84</v>
      </c>
    </row>
    <row r="9743" spans="1:4" x14ac:dyDescent="0.3">
      <c r="A9743" s="4">
        <v>20965</v>
      </c>
      <c r="B9743" s="833" t="s">
        <v>14005</v>
      </c>
      <c r="C9743" s="4" t="s">
        <v>12080</v>
      </c>
      <c r="D9743" s="834">
        <v>78.569999999999993</v>
      </c>
    </row>
    <row r="9744" spans="1:4" x14ac:dyDescent="0.3">
      <c r="A9744" s="4">
        <v>20966</v>
      </c>
      <c r="B9744" s="833" t="s">
        <v>14006</v>
      </c>
      <c r="C9744" s="4" t="s">
        <v>12080</v>
      </c>
      <c r="D9744" s="834">
        <v>84.59</v>
      </c>
    </row>
    <row r="9745" spans="1:4" x14ac:dyDescent="0.3">
      <c r="A9745" s="4">
        <v>10903</v>
      </c>
      <c r="B9745" s="833" t="s">
        <v>14007</v>
      </c>
      <c r="C9745" s="4" t="s">
        <v>12080</v>
      </c>
      <c r="D9745" s="834">
        <v>128.22</v>
      </c>
    </row>
    <row r="9746" spans="1:4" x14ac:dyDescent="0.3">
      <c r="A9746" s="4">
        <v>20967</v>
      </c>
      <c r="B9746" s="833" t="s">
        <v>14008</v>
      </c>
      <c r="C9746" s="4" t="s">
        <v>12080</v>
      </c>
      <c r="D9746" s="834">
        <v>128.22</v>
      </c>
    </row>
    <row r="9747" spans="1:4" x14ac:dyDescent="0.3">
      <c r="A9747" s="4">
        <v>20968</v>
      </c>
      <c r="B9747" s="833" t="s">
        <v>14009</v>
      </c>
      <c r="C9747" s="4" t="s">
        <v>12080</v>
      </c>
      <c r="D9747" s="834">
        <v>140.63</v>
      </c>
    </row>
    <row r="9748" spans="1:4" x14ac:dyDescent="0.3">
      <c r="A9748" s="4">
        <v>11359</v>
      </c>
      <c r="B9748" s="833" t="s">
        <v>14010</v>
      </c>
      <c r="C9748" s="4" t="s">
        <v>12080</v>
      </c>
      <c r="D9748" s="834">
        <v>1000</v>
      </c>
    </row>
    <row r="9749" spans="1:4" x14ac:dyDescent="0.3">
      <c r="A9749" s="4">
        <v>39017</v>
      </c>
      <c r="B9749" s="833" t="s">
        <v>14011</v>
      </c>
      <c r="C9749" s="4" t="s">
        <v>12080</v>
      </c>
      <c r="D9749" s="834">
        <v>0.22</v>
      </c>
    </row>
    <row r="9750" spans="1:4" x14ac:dyDescent="0.3">
      <c r="A9750" s="4">
        <v>39315</v>
      </c>
      <c r="B9750" s="833" t="s">
        <v>14012</v>
      </c>
      <c r="C9750" s="4" t="s">
        <v>12080</v>
      </c>
      <c r="D9750" s="834">
        <v>0.35</v>
      </c>
    </row>
    <row r="9751" spans="1:4" x14ac:dyDescent="0.3">
      <c r="A9751" s="4">
        <v>39016</v>
      </c>
      <c r="B9751" s="833" t="s">
        <v>14013</v>
      </c>
      <c r="C9751" s="4" t="s">
        <v>12080</v>
      </c>
      <c r="D9751" s="834">
        <v>0.36</v>
      </c>
    </row>
    <row r="9752" spans="1:4" x14ac:dyDescent="0.3">
      <c r="A9752" s="4">
        <v>39481</v>
      </c>
      <c r="B9752" s="833" t="s">
        <v>14014</v>
      </c>
      <c r="C9752" s="4" t="s">
        <v>12080</v>
      </c>
      <c r="D9752" s="834">
        <v>1.74</v>
      </c>
    </row>
    <row r="9753" spans="1:4" x14ac:dyDescent="0.3">
      <c r="A9753" s="4">
        <v>39013</v>
      </c>
      <c r="B9753" s="833" t="s">
        <v>14015</v>
      </c>
      <c r="C9753" s="4" t="s">
        <v>12080</v>
      </c>
      <c r="D9753" s="834">
        <v>1.48</v>
      </c>
    </row>
    <row r="9754" spans="1:4" x14ac:dyDescent="0.3">
      <c r="A9754" s="4">
        <v>44919</v>
      </c>
      <c r="B9754" s="833" t="s">
        <v>14016</v>
      </c>
      <c r="C9754" s="4" t="s">
        <v>12080</v>
      </c>
      <c r="D9754" s="834">
        <v>2.77</v>
      </c>
    </row>
    <row r="9755" spans="1:4" x14ac:dyDescent="0.3">
      <c r="A9755" s="4">
        <v>40433</v>
      </c>
      <c r="B9755" s="833" t="s">
        <v>14017</v>
      </c>
      <c r="C9755" s="4" t="s">
        <v>12080</v>
      </c>
      <c r="D9755" s="834">
        <v>1.53</v>
      </c>
    </row>
    <row r="9756" spans="1:4" x14ac:dyDescent="0.3">
      <c r="A9756" s="4">
        <v>20219</v>
      </c>
      <c r="B9756" s="833" t="s">
        <v>14018</v>
      </c>
      <c r="C9756" s="4" t="s">
        <v>12080</v>
      </c>
      <c r="D9756" s="834">
        <v>116000</v>
      </c>
    </row>
    <row r="9757" spans="1:4" x14ac:dyDescent="0.3">
      <c r="A9757" s="4">
        <v>36484</v>
      </c>
      <c r="B9757" s="833" t="s">
        <v>14019</v>
      </c>
      <c r="C9757" s="4" t="s">
        <v>12080</v>
      </c>
      <c r="D9757" s="834">
        <v>246246.87</v>
      </c>
    </row>
    <row r="9758" spans="1:4" x14ac:dyDescent="0.3">
      <c r="A9758" s="4">
        <v>38368</v>
      </c>
      <c r="B9758" s="833" t="s">
        <v>14020</v>
      </c>
      <c r="C9758" s="4" t="s">
        <v>12080</v>
      </c>
      <c r="D9758" s="834">
        <v>8.5500000000000007</v>
      </c>
    </row>
    <row r="9759" spans="1:4" x14ac:dyDescent="0.3">
      <c r="A9759" s="4">
        <v>38367</v>
      </c>
      <c r="B9759" s="833" t="s">
        <v>14021</v>
      </c>
      <c r="C9759" s="4" t="s">
        <v>12080</v>
      </c>
      <c r="D9759" s="834">
        <v>24</v>
      </c>
    </row>
    <row r="9760" spans="1:4" x14ac:dyDescent="0.3">
      <c r="A9760" s="4">
        <v>38091</v>
      </c>
      <c r="B9760" s="833" t="s">
        <v>14022</v>
      </c>
      <c r="C9760" s="4" t="s">
        <v>12080</v>
      </c>
      <c r="D9760" s="834">
        <v>3.02</v>
      </c>
    </row>
    <row r="9761" spans="1:4" x14ac:dyDescent="0.3">
      <c r="A9761" s="4">
        <v>38095</v>
      </c>
      <c r="B9761" s="833" t="s">
        <v>14023</v>
      </c>
      <c r="C9761" s="4" t="s">
        <v>12080</v>
      </c>
      <c r="D9761" s="834">
        <v>6.39</v>
      </c>
    </row>
    <row r="9762" spans="1:4" x14ac:dyDescent="0.3">
      <c r="A9762" s="4">
        <v>38092</v>
      </c>
      <c r="B9762" s="833" t="s">
        <v>14024</v>
      </c>
      <c r="C9762" s="4" t="s">
        <v>12080</v>
      </c>
      <c r="D9762" s="834">
        <v>2.86</v>
      </c>
    </row>
    <row r="9763" spans="1:4" x14ac:dyDescent="0.3">
      <c r="A9763" s="4">
        <v>38093</v>
      </c>
      <c r="B9763" s="833" t="s">
        <v>14025</v>
      </c>
      <c r="C9763" s="4" t="s">
        <v>12080</v>
      </c>
      <c r="D9763" s="834">
        <v>2.96</v>
      </c>
    </row>
    <row r="9764" spans="1:4" x14ac:dyDescent="0.3">
      <c r="A9764" s="4">
        <v>38096</v>
      </c>
      <c r="B9764" s="833" t="s">
        <v>14026</v>
      </c>
      <c r="C9764" s="4" t="s">
        <v>12080</v>
      </c>
      <c r="D9764" s="834">
        <v>6.87</v>
      </c>
    </row>
    <row r="9765" spans="1:4" x14ac:dyDescent="0.3">
      <c r="A9765" s="4">
        <v>38094</v>
      </c>
      <c r="B9765" s="833" t="s">
        <v>14027</v>
      </c>
      <c r="C9765" s="4" t="s">
        <v>12080</v>
      </c>
      <c r="D9765" s="834">
        <v>3.63</v>
      </c>
    </row>
    <row r="9766" spans="1:4" x14ac:dyDescent="0.3">
      <c r="A9766" s="4">
        <v>38097</v>
      </c>
      <c r="B9766" s="833" t="s">
        <v>14028</v>
      </c>
      <c r="C9766" s="4" t="s">
        <v>12080</v>
      </c>
      <c r="D9766" s="834">
        <v>7.37</v>
      </c>
    </row>
    <row r="9767" spans="1:4" x14ac:dyDescent="0.3">
      <c r="A9767" s="4">
        <v>38098</v>
      </c>
      <c r="B9767" s="833" t="s">
        <v>14029</v>
      </c>
      <c r="C9767" s="4" t="s">
        <v>12080</v>
      </c>
      <c r="D9767" s="834">
        <v>7.37</v>
      </c>
    </row>
    <row r="9768" spans="1:4" x14ac:dyDescent="0.3">
      <c r="A9768" s="4">
        <v>11186</v>
      </c>
      <c r="B9768" s="833" t="s">
        <v>14030</v>
      </c>
      <c r="C9768" s="4" t="s">
        <v>12481</v>
      </c>
      <c r="D9768" s="834">
        <v>422.83</v>
      </c>
    </row>
    <row r="9769" spans="1:4" x14ac:dyDescent="0.3">
      <c r="A9769" s="4">
        <v>11558</v>
      </c>
      <c r="B9769" s="833" t="s">
        <v>14031</v>
      </c>
      <c r="C9769" s="4" t="s">
        <v>12495</v>
      </c>
      <c r="D9769" s="834">
        <v>14.34</v>
      </c>
    </row>
    <row r="9770" spans="1:4" x14ac:dyDescent="0.3">
      <c r="A9770" s="4">
        <v>11557</v>
      </c>
      <c r="B9770" s="833" t="s">
        <v>14032</v>
      </c>
      <c r="C9770" s="4" t="s">
        <v>12495</v>
      </c>
      <c r="D9770" s="834">
        <v>36.29</v>
      </c>
    </row>
    <row r="9771" spans="1:4" x14ac:dyDescent="0.3">
      <c r="A9771" s="4">
        <v>2759</v>
      </c>
      <c r="B9771" s="833" t="s">
        <v>14033</v>
      </c>
      <c r="C9771" s="4" t="s">
        <v>12080</v>
      </c>
      <c r="D9771" s="834">
        <v>9.18</v>
      </c>
    </row>
    <row r="9772" spans="1:4" x14ac:dyDescent="0.3">
      <c r="A9772" s="4">
        <v>38124</v>
      </c>
      <c r="B9772" s="833" t="s">
        <v>14034</v>
      </c>
      <c r="C9772" s="4" t="s">
        <v>12080</v>
      </c>
      <c r="D9772" s="834">
        <v>26.91</v>
      </c>
    </row>
    <row r="9773" spans="1:4" x14ac:dyDescent="0.3">
      <c r="A9773" s="4">
        <v>38380</v>
      </c>
      <c r="B9773" s="833" t="s">
        <v>14035</v>
      </c>
      <c r="C9773" s="4" t="s">
        <v>12080</v>
      </c>
      <c r="D9773" s="834">
        <v>38.130000000000003</v>
      </c>
    </row>
    <row r="9774" spans="1:4" x14ac:dyDescent="0.3">
      <c r="A9774" s="4">
        <v>42429</v>
      </c>
      <c r="B9774" s="833" t="s">
        <v>14036</v>
      </c>
      <c r="C9774" s="4" t="s">
        <v>12080</v>
      </c>
      <c r="D9774" s="834">
        <v>6025.1</v>
      </c>
    </row>
    <row r="9775" spans="1:4" x14ac:dyDescent="0.3">
      <c r="A9775" s="4">
        <v>39616</v>
      </c>
      <c r="B9775" s="833" t="s">
        <v>14037</v>
      </c>
      <c r="C9775" s="4" t="s">
        <v>12080</v>
      </c>
      <c r="D9775" s="834">
        <v>715.94</v>
      </c>
    </row>
    <row r="9776" spans="1:4" x14ac:dyDescent="0.3">
      <c r="A9776" s="4">
        <v>39618</v>
      </c>
      <c r="B9776" s="833" t="s">
        <v>14038</v>
      </c>
      <c r="C9776" s="4" t="s">
        <v>12080</v>
      </c>
      <c r="D9776" s="834">
        <v>1298.5999999999999</v>
      </c>
    </row>
    <row r="9777" spans="1:4" x14ac:dyDescent="0.3">
      <c r="A9777" s="4">
        <v>39619</v>
      </c>
      <c r="B9777" s="833" t="s">
        <v>14039</v>
      </c>
      <c r="C9777" s="4" t="s">
        <v>12080</v>
      </c>
      <c r="D9777" s="834">
        <v>1778.55</v>
      </c>
    </row>
    <row r="9778" spans="1:4" x14ac:dyDescent="0.3">
      <c r="A9778" s="4">
        <v>39613</v>
      </c>
      <c r="B9778" s="833" t="s">
        <v>14040</v>
      </c>
      <c r="C9778" s="4" t="s">
        <v>12080</v>
      </c>
      <c r="D9778" s="834">
        <v>284.39</v>
      </c>
    </row>
    <row r="9779" spans="1:4" x14ac:dyDescent="0.3">
      <c r="A9779" s="4">
        <v>39614</v>
      </c>
      <c r="B9779" s="833" t="s">
        <v>14041</v>
      </c>
      <c r="C9779" s="4" t="s">
        <v>12080</v>
      </c>
      <c r="D9779" s="834">
        <v>414.9</v>
      </c>
    </row>
    <row r="9780" spans="1:4" x14ac:dyDescent="0.3">
      <c r="A9780" s="4">
        <v>38538</v>
      </c>
      <c r="B9780" s="833" t="s">
        <v>14042</v>
      </c>
      <c r="C9780" s="4" t="s">
        <v>1803</v>
      </c>
      <c r="D9780" s="834">
        <v>79</v>
      </c>
    </row>
    <row r="9781" spans="1:4" x14ac:dyDescent="0.3">
      <c r="A9781" s="4">
        <v>38539</v>
      </c>
      <c r="B9781" s="833" t="s">
        <v>14043</v>
      </c>
      <c r="C9781" s="4" t="s">
        <v>1803</v>
      </c>
      <c r="D9781" s="834">
        <v>107.43</v>
      </c>
    </row>
    <row r="9782" spans="1:4" x14ac:dyDescent="0.3">
      <c r="A9782" s="4">
        <v>38540</v>
      </c>
      <c r="B9782" s="833" t="s">
        <v>14044</v>
      </c>
      <c r="C9782" s="4" t="s">
        <v>1803</v>
      </c>
      <c r="D9782" s="834">
        <v>275.32</v>
      </c>
    </row>
    <row r="9783" spans="1:4" x14ac:dyDescent="0.3">
      <c r="A9783" s="4">
        <v>38384</v>
      </c>
      <c r="B9783" s="833" t="s">
        <v>14045</v>
      </c>
      <c r="C9783" s="4" t="s">
        <v>12080</v>
      </c>
      <c r="D9783" s="834">
        <v>22.17</v>
      </c>
    </row>
    <row r="9784" spans="1:4" x14ac:dyDescent="0.3">
      <c r="A9784" s="4">
        <v>13</v>
      </c>
      <c r="B9784" s="833" t="s">
        <v>14046</v>
      </c>
      <c r="C9784" s="4" t="s">
        <v>12126</v>
      </c>
      <c r="D9784" s="834">
        <v>15.49</v>
      </c>
    </row>
    <row r="9785" spans="1:4" x14ac:dyDescent="0.3">
      <c r="A9785" s="4">
        <v>2762</v>
      </c>
      <c r="B9785" s="833" t="s">
        <v>14047</v>
      </c>
      <c r="C9785" s="4" t="s">
        <v>1803</v>
      </c>
      <c r="D9785" s="834">
        <v>11.47</v>
      </c>
    </row>
    <row r="9786" spans="1:4" x14ac:dyDescent="0.3">
      <c r="A9786" s="4">
        <v>21142</v>
      </c>
      <c r="B9786" s="833" t="s">
        <v>14048</v>
      </c>
      <c r="C9786" s="4" t="s">
        <v>12080</v>
      </c>
      <c r="D9786" s="834">
        <v>33.229999999999997</v>
      </c>
    </row>
    <row r="9787" spans="1:4" x14ac:dyDescent="0.3">
      <c r="A9787" s="4">
        <v>4223</v>
      </c>
      <c r="B9787" s="833" t="s">
        <v>14049</v>
      </c>
      <c r="C9787" s="4" t="s">
        <v>12128</v>
      </c>
      <c r="D9787" s="834">
        <v>4.08</v>
      </c>
    </row>
    <row r="9788" spans="1:4" x14ac:dyDescent="0.3">
      <c r="A9788" s="4">
        <v>37372</v>
      </c>
      <c r="B9788" s="833" t="s">
        <v>14050</v>
      </c>
      <c r="C9788" s="4" t="s">
        <v>12226</v>
      </c>
      <c r="D9788" s="834">
        <v>1.34</v>
      </c>
    </row>
    <row r="9789" spans="1:4" x14ac:dyDescent="0.3">
      <c r="A9789" s="4">
        <v>40863</v>
      </c>
      <c r="B9789" s="833" t="s">
        <v>14051</v>
      </c>
      <c r="C9789" s="4" t="s">
        <v>12228</v>
      </c>
      <c r="D9789" s="834">
        <v>252.08</v>
      </c>
    </row>
    <row r="9790" spans="1:4" x14ac:dyDescent="0.3">
      <c r="A9790" s="4">
        <v>38475</v>
      </c>
      <c r="B9790" s="833" t="s">
        <v>14052</v>
      </c>
      <c r="C9790" s="4" t="s">
        <v>12080</v>
      </c>
      <c r="D9790" s="834">
        <v>31.88</v>
      </c>
    </row>
    <row r="9791" spans="1:4" x14ac:dyDescent="0.3">
      <c r="A9791" s="4">
        <v>38474</v>
      </c>
      <c r="B9791" s="833" t="s">
        <v>14053</v>
      </c>
      <c r="C9791" s="4" t="s">
        <v>12080</v>
      </c>
      <c r="D9791" s="834">
        <v>39.409999999999997</v>
      </c>
    </row>
    <row r="9792" spans="1:4" x14ac:dyDescent="0.3">
      <c r="A9792" s="4">
        <v>10886</v>
      </c>
      <c r="B9792" s="833" t="s">
        <v>14054</v>
      </c>
      <c r="C9792" s="4" t="s">
        <v>12080</v>
      </c>
      <c r="D9792" s="834">
        <v>201.25</v>
      </c>
    </row>
    <row r="9793" spans="1:4" x14ac:dyDescent="0.3">
      <c r="A9793" s="4">
        <v>10888</v>
      </c>
      <c r="B9793" s="833" t="s">
        <v>14055</v>
      </c>
      <c r="C9793" s="4" t="s">
        <v>12080</v>
      </c>
      <c r="D9793" s="834">
        <v>636.91999999999996</v>
      </c>
    </row>
    <row r="9794" spans="1:4" x14ac:dyDescent="0.3">
      <c r="A9794" s="4">
        <v>10889</v>
      </c>
      <c r="B9794" s="833" t="s">
        <v>14056</v>
      </c>
      <c r="C9794" s="4" t="s">
        <v>12080</v>
      </c>
      <c r="D9794" s="834">
        <v>690</v>
      </c>
    </row>
    <row r="9795" spans="1:4" x14ac:dyDescent="0.3">
      <c r="A9795" s="4">
        <v>10890</v>
      </c>
      <c r="B9795" s="833" t="s">
        <v>14057</v>
      </c>
      <c r="C9795" s="4" t="s">
        <v>12080</v>
      </c>
      <c r="D9795" s="834">
        <v>318.45999999999998</v>
      </c>
    </row>
    <row r="9796" spans="1:4" x14ac:dyDescent="0.3">
      <c r="A9796" s="4">
        <v>10891</v>
      </c>
      <c r="B9796" s="833" t="s">
        <v>14058</v>
      </c>
      <c r="C9796" s="4" t="s">
        <v>12080</v>
      </c>
      <c r="D9796" s="834">
        <v>194.61</v>
      </c>
    </row>
    <row r="9797" spans="1:4" x14ac:dyDescent="0.3">
      <c r="A9797" s="4">
        <v>10892</v>
      </c>
      <c r="B9797" s="833" t="s">
        <v>14059</v>
      </c>
      <c r="C9797" s="4" t="s">
        <v>12080</v>
      </c>
      <c r="D9797" s="834">
        <v>230</v>
      </c>
    </row>
    <row r="9798" spans="1:4" x14ac:dyDescent="0.3">
      <c r="A9798" s="4">
        <v>20977</v>
      </c>
      <c r="B9798" s="833" t="s">
        <v>14060</v>
      </c>
      <c r="C9798" s="4" t="s">
        <v>12080</v>
      </c>
      <c r="D9798" s="834">
        <v>274.23</v>
      </c>
    </row>
    <row r="9799" spans="1:4" x14ac:dyDescent="0.3">
      <c r="A9799" s="4">
        <v>3073</v>
      </c>
      <c r="B9799" s="833" t="s">
        <v>14061</v>
      </c>
      <c r="C9799" s="4" t="s">
        <v>12080</v>
      </c>
      <c r="D9799" s="834">
        <v>201.78</v>
      </c>
    </row>
    <row r="9800" spans="1:4" x14ac:dyDescent="0.3">
      <c r="A9800" s="4">
        <v>3074</v>
      </c>
      <c r="B9800" s="833" t="s">
        <v>14062</v>
      </c>
      <c r="C9800" s="4" t="s">
        <v>12080</v>
      </c>
      <c r="D9800" s="834">
        <v>127.39</v>
      </c>
    </row>
    <row r="9801" spans="1:4" x14ac:dyDescent="0.3">
      <c r="A9801" s="4">
        <v>3076</v>
      </c>
      <c r="B9801" s="833" t="s">
        <v>14063</v>
      </c>
      <c r="C9801" s="4" t="s">
        <v>12080</v>
      </c>
      <c r="D9801" s="834">
        <v>165.88</v>
      </c>
    </row>
    <row r="9802" spans="1:4" x14ac:dyDescent="0.3">
      <c r="A9802" s="4">
        <v>3075</v>
      </c>
      <c r="B9802" s="833" t="s">
        <v>14064</v>
      </c>
      <c r="C9802" s="4" t="s">
        <v>12080</v>
      </c>
      <c r="D9802" s="834">
        <v>104.83</v>
      </c>
    </row>
    <row r="9803" spans="1:4" x14ac:dyDescent="0.3">
      <c r="A9803" s="4">
        <v>10781</v>
      </c>
      <c r="B9803" s="833" t="s">
        <v>14065</v>
      </c>
      <c r="C9803" s="4" t="s">
        <v>12080</v>
      </c>
      <c r="D9803" s="834">
        <v>14.21</v>
      </c>
    </row>
    <row r="9804" spans="1:4" x14ac:dyDescent="0.3">
      <c r="A9804" s="4">
        <v>11480</v>
      </c>
      <c r="B9804" s="833" t="s">
        <v>14066</v>
      </c>
      <c r="C9804" s="4" t="s">
        <v>13451</v>
      </c>
      <c r="D9804" s="834">
        <v>135.61000000000001</v>
      </c>
    </row>
    <row r="9805" spans="1:4" x14ac:dyDescent="0.3">
      <c r="A9805" s="4">
        <v>43612</v>
      </c>
      <c r="B9805" s="833" t="s">
        <v>14067</v>
      </c>
      <c r="C9805" s="4" t="s">
        <v>13451</v>
      </c>
      <c r="D9805" s="834">
        <v>106.74</v>
      </c>
    </row>
    <row r="9806" spans="1:4" x14ac:dyDescent="0.3">
      <c r="A9806" s="4">
        <v>43613</v>
      </c>
      <c r="B9806" s="833" t="s">
        <v>14068</v>
      </c>
      <c r="C9806" s="4" t="s">
        <v>13451</v>
      </c>
      <c r="D9806" s="834">
        <v>88.36</v>
      </c>
    </row>
    <row r="9807" spans="1:4" x14ac:dyDescent="0.3">
      <c r="A9807" s="4">
        <v>11469</v>
      </c>
      <c r="B9807" s="833" t="s">
        <v>14069</v>
      </c>
      <c r="C9807" s="4" t="s">
        <v>12080</v>
      </c>
      <c r="D9807" s="834">
        <v>14.48</v>
      </c>
    </row>
    <row r="9808" spans="1:4" x14ac:dyDescent="0.3">
      <c r="A9808" s="4">
        <v>11468</v>
      </c>
      <c r="B9808" s="833" t="s">
        <v>14070</v>
      </c>
      <c r="C9808" s="4" t="s">
        <v>12080</v>
      </c>
      <c r="D9808" s="834">
        <v>14.48</v>
      </c>
    </row>
    <row r="9809" spans="1:4" x14ac:dyDescent="0.3">
      <c r="A9809" s="4">
        <v>11484</v>
      </c>
      <c r="B9809" s="833" t="s">
        <v>14071</v>
      </c>
      <c r="C9809" s="4" t="s">
        <v>12080</v>
      </c>
      <c r="D9809" s="834">
        <v>63.62</v>
      </c>
    </row>
    <row r="9810" spans="1:4" x14ac:dyDescent="0.3">
      <c r="A9810" s="4">
        <v>38155</v>
      </c>
      <c r="B9810" s="833" t="s">
        <v>14072</v>
      </c>
      <c r="C9810" s="4" t="s">
        <v>12080</v>
      </c>
      <c r="D9810" s="834">
        <v>98.78</v>
      </c>
    </row>
    <row r="9811" spans="1:4" x14ac:dyDescent="0.3">
      <c r="A9811" s="4">
        <v>11467</v>
      </c>
      <c r="B9811" s="833" t="s">
        <v>14073</v>
      </c>
      <c r="C9811" s="4" t="s">
        <v>12080</v>
      </c>
      <c r="D9811" s="834">
        <v>22.57</v>
      </c>
    </row>
    <row r="9812" spans="1:4" x14ac:dyDescent="0.3">
      <c r="A9812" s="4">
        <v>38153</v>
      </c>
      <c r="B9812" s="833" t="s">
        <v>14074</v>
      </c>
      <c r="C9812" s="4" t="s">
        <v>13451</v>
      </c>
      <c r="D9812" s="834">
        <v>57.65</v>
      </c>
    </row>
    <row r="9813" spans="1:4" x14ac:dyDescent="0.3">
      <c r="A9813" s="4">
        <v>43607</v>
      </c>
      <c r="B9813" s="833" t="s">
        <v>14075</v>
      </c>
      <c r="C9813" s="4" t="s">
        <v>13451</v>
      </c>
      <c r="D9813" s="834">
        <v>109.05</v>
      </c>
    </row>
    <row r="9814" spans="1:4" x14ac:dyDescent="0.3">
      <c r="A9814" s="4">
        <v>3080</v>
      </c>
      <c r="B9814" s="833" t="s">
        <v>14076</v>
      </c>
      <c r="C9814" s="4" t="s">
        <v>13451</v>
      </c>
      <c r="D9814" s="834">
        <v>73.319999999999993</v>
      </c>
    </row>
    <row r="9815" spans="1:4" x14ac:dyDescent="0.3">
      <c r="A9815" s="4">
        <v>3081</v>
      </c>
      <c r="B9815" s="833" t="s">
        <v>14077</v>
      </c>
      <c r="C9815" s="4" t="s">
        <v>13451</v>
      </c>
      <c r="D9815" s="834">
        <v>145.06</v>
      </c>
    </row>
    <row r="9816" spans="1:4" x14ac:dyDescent="0.3">
      <c r="A9816" s="4">
        <v>3090</v>
      </c>
      <c r="B9816" s="833" t="s">
        <v>14078</v>
      </c>
      <c r="C9816" s="4" t="s">
        <v>13451</v>
      </c>
      <c r="D9816" s="834">
        <v>65.44</v>
      </c>
    </row>
    <row r="9817" spans="1:4" x14ac:dyDescent="0.3">
      <c r="A9817" s="4">
        <v>43611</v>
      </c>
      <c r="B9817" s="833" t="s">
        <v>14079</v>
      </c>
      <c r="C9817" s="4" t="s">
        <v>13451</v>
      </c>
      <c r="D9817" s="834">
        <v>108.59</v>
      </c>
    </row>
    <row r="9818" spans="1:4" x14ac:dyDescent="0.3">
      <c r="A9818" s="4">
        <v>3103</v>
      </c>
      <c r="B9818" s="833" t="s">
        <v>14080</v>
      </c>
      <c r="C9818" s="4" t="s">
        <v>12080</v>
      </c>
      <c r="D9818" s="834">
        <v>54.26</v>
      </c>
    </row>
    <row r="9819" spans="1:4" x14ac:dyDescent="0.3">
      <c r="A9819" s="4">
        <v>3097</v>
      </c>
      <c r="B9819" s="833" t="s">
        <v>14081</v>
      </c>
      <c r="C9819" s="4" t="s">
        <v>13451</v>
      </c>
      <c r="D9819" s="834">
        <v>82.09</v>
      </c>
    </row>
    <row r="9820" spans="1:4" x14ac:dyDescent="0.3">
      <c r="A9820" s="4">
        <v>3099</v>
      </c>
      <c r="B9820" s="833" t="s">
        <v>14082</v>
      </c>
      <c r="C9820" s="4" t="s">
        <v>13451</v>
      </c>
      <c r="D9820" s="834">
        <v>131.44999999999999</v>
      </c>
    </row>
    <row r="9821" spans="1:4" x14ac:dyDescent="0.3">
      <c r="A9821" s="4">
        <v>38151</v>
      </c>
      <c r="B9821" s="833" t="s">
        <v>14083</v>
      </c>
      <c r="C9821" s="4" t="s">
        <v>13451</v>
      </c>
      <c r="D9821" s="834">
        <v>95.29</v>
      </c>
    </row>
    <row r="9822" spans="1:4" x14ac:dyDescent="0.3">
      <c r="A9822" s="4">
        <v>38152</v>
      </c>
      <c r="B9822" s="833" t="s">
        <v>14084</v>
      </c>
      <c r="C9822" s="4" t="s">
        <v>13451</v>
      </c>
      <c r="D9822" s="834">
        <v>153.72</v>
      </c>
    </row>
    <row r="9823" spans="1:4" x14ac:dyDescent="0.3">
      <c r="A9823" s="4">
        <v>43610</v>
      </c>
      <c r="B9823" s="833" t="s">
        <v>14085</v>
      </c>
      <c r="C9823" s="4" t="s">
        <v>13451</v>
      </c>
      <c r="D9823" s="834">
        <v>81.45</v>
      </c>
    </row>
    <row r="9824" spans="1:4" x14ac:dyDescent="0.3">
      <c r="A9824" s="4">
        <v>3093</v>
      </c>
      <c r="B9824" s="833" t="s">
        <v>14086</v>
      </c>
      <c r="C9824" s="4" t="s">
        <v>13451</v>
      </c>
      <c r="D9824" s="834">
        <v>131.44999999999999</v>
      </c>
    </row>
    <row r="9825" spans="1:4" x14ac:dyDescent="0.3">
      <c r="A9825" s="4">
        <v>38165</v>
      </c>
      <c r="B9825" s="833" t="s">
        <v>14087</v>
      </c>
      <c r="C9825" s="4" t="s">
        <v>13451</v>
      </c>
      <c r="D9825" s="834">
        <v>68.97</v>
      </c>
    </row>
    <row r="9826" spans="1:4" x14ac:dyDescent="0.3">
      <c r="A9826" s="4">
        <v>38177</v>
      </c>
      <c r="B9826" s="833" t="s">
        <v>14088</v>
      </c>
      <c r="C9826" s="4" t="s">
        <v>12080</v>
      </c>
      <c r="D9826" s="834">
        <v>20.49</v>
      </c>
    </row>
    <row r="9827" spans="1:4" x14ac:dyDescent="0.3">
      <c r="A9827" s="4">
        <v>11458</v>
      </c>
      <c r="B9827" s="833" t="s">
        <v>14089</v>
      </c>
      <c r="C9827" s="4" t="s">
        <v>12080</v>
      </c>
      <c r="D9827" s="834">
        <v>24.47</v>
      </c>
    </row>
    <row r="9828" spans="1:4" x14ac:dyDescent="0.3">
      <c r="A9828" s="4">
        <v>3108</v>
      </c>
      <c r="B9828" s="833" t="s">
        <v>14090</v>
      </c>
      <c r="C9828" s="4" t="s">
        <v>12080</v>
      </c>
      <c r="D9828" s="834">
        <v>104.01</v>
      </c>
    </row>
    <row r="9829" spans="1:4" x14ac:dyDescent="0.3">
      <c r="A9829" s="4">
        <v>3105</v>
      </c>
      <c r="B9829" s="833" t="s">
        <v>14091</v>
      </c>
      <c r="C9829" s="4" t="s">
        <v>12080</v>
      </c>
      <c r="D9829" s="834">
        <v>136.04</v>
      </c>
    </row>
    <row r="9830" spans="1:4" x14ac:dyDescent="0.3">
      <c r="A9830" s="4">
        <v>38178</v>
      </c>
      <c r="B9830" s="833" t="s">
        <v>14092</v>
      </c>
      <c r="C9830" s="4" t="s">
        <v>12080</v>
      </c>
      <c r="D9830" s="834">
        <v>22.55</v>
      </c>
    </row>
    <row r="9831" spans="1:4" x14ac:dyDescent="0.3">
      <c r="A9831" s="4">
        <v>43575</v>
      </c>
      <c r="B9831" s="833" t="s">
        <v>14093</v>
      </c>
      <c r="C9831" s="4" t="s">
        <v>12080</v>
      </c>
      <c r="D9831" s="834">
        <v>48.86</v>
      </c>
    </row>
    <row r="9832" spans="1:4" x14ac:dyDescent="0.3">
      <c r="A9832" s="4">
        <v>43577</v>
      </c>
      <c r="B9832" s="833" t="s">
        <v>14094</v>
      </c>
      <c r="C9832" s="4" t="s">
        <v>12080</v>
      </c>
      <c r="D9832" s="834">
        <v>84.94</v>
      </c>
    </row>
    <row r="9833" spans="1:4" x14ac:dyDescent="0.3">
      <c r="A9833" s="4">
        <v>43458</v>
      </c>
      <c r="B9833" s="833" t="s">
        <v>14095</v>
      </c>
      <c r="C9833" s="4" t="s">
        <v>12226</v>
      </c>
      <c r="D9833" s="834">
        <v>0.06</v>
      </c>
    </row>
    <row r="9834" spans="1:4" x14ac:dyDescent="0.3">
      <c r="A9834" s="4">
        <v>43470</v>
      </c>
      <c r="B9834" s="833" t="s">
        <v>14096</v>
      </c>
      <c r="C9834" s="4" t="s">
        <v>12228</v>
      </c>
      <c r="D9834" s="834">
        <v>10.89</v>
      </c>
    </row>
    <row r="9835" spans="1:4" x14ac:dyDescent="0.3">
      <c r="A9835" s="4">
        <v>43459</v>
      </c>
      <c r="B9835" s="833" t="s">
        <v>14097</v>
      </c>
      <c r="C9835" s="4" t="s">
        <v>12226</v>
      </c>
      <c r="D9835" s="834">
        <v>0.49</v>
      </c>
    </row>
    <row r="9836" spans="1:4" x14ac:dyDescent="0.3">
      <c r="A9836" s="4">
        <v>43471</v>
      </c>
      <c r="B9836" s="833" t="s">
        <v>14098</v>
      </c>
      <c r="C9836" s="4" t="s">
        <v>12228</v>
      </c>
      <c r="D9836" s="834">
        <v>92.26</v>
      </c>
    </row>
    <row r="9837" spans="1:4" x14ac:dyDescent="0.3">
      <c r="A9837" s="4">
        <v>43460</v>
      </c>
      <c r="B9837" s="833" t="s">
        <v>14099</v>
      </c>
      <c r="C9837" s="4" t="s">
        <v>12226</v>
      </c>
      <c r="D9837" s="834">
        <v>0.85</v>
      </c>
    </row>
    <row r="9838" spans="1:4" x14ac:dyDescent="0.3">
      <c r="A9838" s="4">
        <v>43472</v>
      </c>
      <c r="B9838" s="833" t="s">
        <v>14100</v>
      </c>
      <c r="C9838" s="4" t="s">
        <v>12228</v>
      </c>
      <c r="D9838" s="834">
        <v>159.72999999999999</v>
      </c>
    </row>
    <row r="9839" spans="1:4" x14ac:dyDescent="0.3">
      <c r="A9839" s="4">
        <v>43461</v>
      </c>
      <c r="B9839" s="833" t="s">
        <v>14101</v>
      </c>
      <c r="C9839" s="4" t="s">
        <v>12226</v>
      </c>
      <c r="D9839" s="834">
        <v>0.31</v>
      </c>
    </row>
    <row r="9840" spans="1:4" x14ac:dyDescent="0.3">
      <c r="A9840" s="4">
        <v>43473</v>
      </c>
      <c r="B9840" s="833" t="s">
        <v>14102</v>
      </c>
      <c r="C9840" s="4" t="s">
        <v>12228</v>
      </c>
      <c r="D9840" s="834">
        <v>59.28</v>
      </c>
    </row>
    <row r="9841" spans="1:4" x14ac:dyDescent="0.3">
      <c r="A9841" s="4">
        <v>43463</v>
      </c>
      <c r="B9841" s="833" t="s">
        <v>14103</v>
      </c>
      <c r="C9841" s="4" t="s">
        <v>12226</v>
      </c>
      <c r="D9841" s="834">
        <v>0.1</v>
      </c>
    </row>
    <row r="9842" spans="1:4" x14ac:dyDescent="0.3">
      <c r="A9842" s="4">
        <v>43475</v>
      </c>
      <c r="B9842" s="833" t="s">
        <v>14104</v>
      </c>
      <c r="C9842" s="4" t="s">
        <v>12228</v>
      </c>
      <c r="D9842" s="834">
        <v>18.73</v>
      </c>
    </row>
    <row r="9843" spans="1:4" x14ac:dyDescent="0.3">
      <c r="A9843" s="4">
        <v>43462</v>
      </c>
      <c r="B9843" s="833" t="s">
        <v>14105</v>
      </c>
      <c r="C9843" s="4" t="s">
        <v>12226</v>
      </c>
      <c r="D9843" s="834">
        <v>0.01</v>
      </c>
    </row>
    <row r="9844" spans="1:4" x14ac:dyDescent="0.3">
      <c r="A9844" s="4">
        <v>43474</v>
      </c>
      <c r="B9844" s="833" t="s">
        <v>14106</v>
      </c>
      <c r="C9844" s="4" t="s">
        <v>12228</v>
      </c>
      <c r="D9844" s="834">
        <v>2.29</v>
      </c>
    </row>
    <row r="9845" spans="1:4" x14ac:dyDescent="0.3">
      <c r="A9845" s="4">
        <v>43464</v>
      </c>
      <c r="B9845" s="833" t="s">
        <v>14107</v>
      </c>
      <c r="C9845" s="4" t="s">
        <v>12226</v>
      </c>
      <c r="D9845" s="834">
        <v>0.01</v>
      </c>
    </row>
    <row r="9846" spans="1:4" x14ac:dyDescent="0.3">
      <c r="A9846" s="4">
        <v>43476</v>
      </c>
      <c r="B9846" s="833" t="s">
        <v>14108</v>
      </c>
      <c r="C9846" s="4" t="s">
        <v>12228</v>
      </c>
      <c r="D9846" s="834">
        <v>0.01</v>
      </c>
    </row>
    <row r="9847" spans="1:4" x14ac:dyDescent="0.3">
      <c r="A9847" s="4">
        <v>43465</v>
      </c>
      <c r="B9847" s="833" t="s">
        <v>14109</v>
      </c>
      <c r="C9847" s="4" t="s">
        <v>12226</v>
      </c>
      <c r="D9847" s="834">
        <v>0.82</v>
      </c>
    </row>
    <row r="9848" spans="1:4" x14ac:dyDescent="0.3">
      <c r="A9848" s="4">
        <v>43477</v>
      </c>
      <c r="B9848" s="833" t="s">
        <v>14110</v>
      </c>
      <c r="C9848" s="4" t="s">
        <v>12228</v>
      </c>
      <c r="D9848" s="834">
        <v>155.21</v>
      </c>
    </row>
    <row r="9849" spans="1:4" x14ac:dyDescent="0.3">
      <c r="A9849" s="4">
        <v>43466</v>
      </c>
      <c r="B9849" s="833" t="s">
        <v>14111</v>
      </c>
      <c r="C9849" s="4" t="s">
        <v>12226</v>
      </c>
      <c r="D9849" s="834">
        <v>1.97</v>
      </c>
    </row>
    <row r="9850" spans="1:4" x14ac:dyDescent="0.3">
      <c r="A9850" s="4">
        <v>43478</v>
      </c>
      <c r="B9850" s="833" t="s">
        <v>14112</v>
      </c>
      <c r="C9850" s="4" t="s">
        <v>12228</v>
      </c>
      <c r="D9850" s="834">
        <v>371.21</v>
      </c>
    </row>
    <row r="9851" spans="1:4" x14ac:dyDescent="0.3">
      <c r="A9851" s="4">
        <v>43467</v>
      </c>
      <c r="B9851" s="833" t="s">
        <v>14113</v>
      </c>
      <c r="C9851" s="4" t="s">
        <v>12226</v>
      </c>
      <c r="D9851" s="834">
        <v>0.61</v>
      </c>
    </row>
    <row r="9852" spans="1:4" x14ac:dyDescent="0.3">
      <c r="A9852" s="4">
        <v>43479</v>
      </c>
      <c r="B9852" s="833" t="s">
        <v>14114</v>
      </c>
      <c r="C9852" s="4" t="s">
        <v>12228</v>
      </c>
      <c r="D9852" s="834">
        <v>114.72</v>
      </c>
    </row>
    <row r="9853" spans="1:4" x14ac:dyDescent="0.3">
      <c r="A9853" s="4">
        <v>43468</v>
      </c>
      <c r="B9853" s="833" t="s">
        <v>14115</v>
      </c>
      <c r="C9853" s="4" t="s">
        <v>12226</v>
      </c>
      <c r="D9853" s="834">
        <v>1.23</v>
      </c>
    </row>
    <row r="9854" spans="1:4" x14ac:dyDescent="0.3">
      <c r="A9854" s="4">
        <v>43480</v>
      </c>
      <c r="B9854" s="833" t="s">
        <v>14116</v>
      </c>
      <c r="C9854" s="4" t="s">
        <v>12228</v>
      </c>
      <c r="D9854" s="834">
        <v>232.31</v>
      </c>
    </row>
    <row r="9855" spans="1:4" x14ac:dyDescent="0.3">
      <c r="A9855" s="4">
        <v>43469</v>
      </c>
      <c r="B9855" s="833" t="s">
        <v>14117</v>
      </c>
      <c r="C9855" s="4" t="s">
        <v>12226</v>
      </c>
      <c r="D9855" s="834">
        <v>7.0000000000000007E-2</v>
      </c>
    </row>
    <row r="9856" spans="1:4" x14ac:dyDescent="0.3">
      <c r="A9856" s="4">
        <v>43481</v>
      </c>
      <c r="B9856" s="833" t="s">
        <v>14118</v>
      </c>
      <c r="C9856" s="4" t="s">
        <v>12228</v>
      </c>
      <c r="D9856" s="834">
        <v>12.77</v>
      </c>
    </row>
    <row r="9857" spans="1:4" x14ac:dyDescent="0.3">
      <c r="A9857" s="4">
        <v>3119</v>
      </c>
      <c r="B9857" s="833" t="s">
        <v>14119</v>
      </c>
      <c r="C9857" s="4" t="s">
        <v>12080</v>
      </c>
      <c r="D9857" s="834">
        <v>2.65</v>
      </c>
    </row>
    <row r="9858" spans="1:4" x14ac:dyDescent="0.3">
      <c r="A9858" s="4">
        <v>3122</v>
      </c>
      <c r="B9858" s="833" t="s">
        <v>14120</v>
      </c>
      <c r="C9858" s="4" t="s">
        <v>12080</v>
      </c>
      <c r="D9858" s="834">
        <v>5.39</v>
      </c>
    </row>
    <row r="9859" spans="1:4" x14ac:dyDescent="0.3">
      <c r="A9859" s="4">
        <v>3121</v>
      </c>
      <c r="B9859" s="833" t="s">
        <v>14121</v>
      </c>
      <c r="C9859" s="4" t="s">
        <v>12080</v>
      </c>
      <c r="D9859" s="834">
        <v>6.11</v>
      </c>
    </row>
    <row r="9860" spans="1:4" x14ac:dyDescent="0.3">
      <c r="A9860" s="4">
        <v>3120</v>
      </c>
      <c r="B9860" s="833" t="s">
        <v>14122</v>
      </c>
      <c r="C9860" s="4" t="s">
        <v>12080</v>
      </c>
      <c r="D9860" s="834">
        <v>11.58</v>
      </c>
    </row>
    <row r="9861" spans="1:4" x14ac:dyDescent="0.3">
      <c r="A9861" s="4">
        <v>11455</v>
      </c>
      <c r="B9861" s="833" t="s">
        <v>14123</v>
      </c>
      <c r="C9861" s="4" t="s">
        <v>12080</v>
      </c>
      <c r="D9861" s="834">
        <v>16.75</v>
      </c>
    </row>
    <row r="9862" spans="1:4" x14ac:dyDescent="0.3">
      <c r="A9862" s="4">
        <v>11456</v>
      </c>
      <c r="B9862" s="833" t="s">
        <v>14124</v>
      </c>
      <c r="C9862" s="4" t="s">
        <v>12080</v>
      </c>
      <c r="D9862" s="834">
        <v>20.02</v>
      </c>
    </row>
    <row r="9863" spans="1:4" x14ac:dyDescent="0.3">
      <c r="A9863" s="4">
        <v>3107</v>
      </c>
      <c r="B9863" s="833" t="s">
        <v>14125</v>
      </c>
      <c r="C9863" s="4" t="s">
        <v>12080</v>
      </c>
      <c r="D9863" s="834">
        <v>8.44</v>
      </c>
    </row>
    <row r="9864" spans="1:4" x14ac:dyDescent="0.3">
      <c r="A9864" s="4">
        <v>43583</v>
      </c>
      <c r="B9864" s="833" t="s">
        <v>14126</v>
      </c>
      <c r="C9864" s="4" t="s">
        <v>12080</v>
      </c>
      <c r="D9864" s="834">
        <v>9.52</v>
      </c>
    </row>
    <row r="9865" spans="1:4" x14ac:dyDescent="0.3">
      <c r="A9865" s="4">
        <v>43586</v>
      </c>
      <c r="B9865" s="833" t="s">
        <v>14127</v>
      </c>
      <c r="C9865" s="4" t="s">
        <v>12080</v>
      </c>
      <c r="D9865" s="834">
        <v>9.76</v>
      </c>
    </row>
    <row r="9866" spans="1:4" x14ac:dyDescent="0.3">
      <c r="A9866" s="4">
        <v>11461</v>
      </c>
      <c r="B9866" s="833" t="s">
        <v>14128</v>
      </c>
      <c r="C9866" s="4" t="s">
        <v>12080</v>
      </c>
      <c r="D9866" s="834">
        <v>10.64</v>
      </c>
    </row>
    <row r="9867" spans="1:4" x14ac:dyDescent="0.3">
      <c r="A9867" s="4">
        <v>43587</v>
      </c>
      <c r="B9867" s="833" t="s">
        <v>14129</v>
      </c>
      <c r="C9867" s="4" t="s">
        <v>12080</v>
      </c>
      <c r="D9867" s="834">
        <v>12.27</v>
      </c>
    </row>
    <row r="9868" spans="1:4" x14ac:dyDescent="0.3">
      <c r="A9868" s="4">
        <v>3106</v>
      </c>
      <c r="B9868" s="833" t="s">
        <v>14130</v>
      </c>
      <c r="C9868" s="4" t="s">
        <v>12080</v>
      </c>
      <c r="D9868" s="834">
        <v>15.57</v>
      </c>
    </row>
    <row r="9869" spans="1:4" x14ac:dyDescent="0.3">
      <c r="A9869" s="4">
        <v>44539</v>
      </c>
      <c r="B9869" s="833" t="s">
        <v>14131</v>
      </c>
      <c r="C9869" s="4" t="s">
        <v>12126</v>
      </c>
      <c r="D9869" s="834">
        <v>3.37</v>
      </c>
    </row>
    <row r="9870" spans="1:4" x14ac:dyDescent="0.3">
      <c r="A9870" s="4">
        <v>3123</v>
      </c>
      <c r="B9870" s="833" t="s">
        <v>14132</v>
      </c>
      <c r="C9870" s="4" t="s">
        <v>12126</v>
      </c>
      <c r="D9870" s="834">
        <v>3.14</v>
      </c>
    </row>
    <row r="9871" spans="1:4" x14ac:dyDescent="0.3">
      <c r="A9871" s="4">
        <v>38125</v>
      </c>
      <c r="B9871" s="833" t="s">
        <v>14133</v>
      </c>
      <c r="C9871" s="4" t="s">
        <v>12126</v>
      </c>
      <c r="D9871" s="834">
        <v>1.28</v>
      </c>
    </row>
    <row r="9872" spans="1:4" x14ac:dyDescent="0.3">
      <c r="A9872" s="4">
        <v>39014</v>
      </c>
      <c r="B9872" s="833" t="s">
        <v>14134</v>
      </c>
      <c r="C9872" s="4" t="s">
        <v>12126</v>
      </c>
      <c r="D9872" s="834">
        <v>8.3800000000000008</v>
      </c>
    </row>
    <row r="9873" spans="1:4" x14ac:dyDescent="0.3">
      <c r="A9873" s="4">
        <v>39365</v>
      </c>
      <c r="B9873" s="833" t="s">
        <v>14135</v>
      </c>
      <c r="C9873" s="4" t="s">
        <v>12080</v>
      </c>
      <c r="D9873" s="834">
        <v>2187.9899999999998</v>
      </c>
    </row>
    <row r="9874" spans="1:4" x14ac:dyDescent="0.3">
      <c r="A9874" s="4">
        <v>39366</v>
      </c>
      <c r="B9874" s="833" t="s">
        <v>14136</v>
      </c>
      <c r="C9874" s="4" t="s">
        <v>12080</v>
      </c>
      <c r="D9874" s="834">
        <v>3319.55</v>
      </c>
    </row>
    <row r="9875" spans="1:4" x14ac:dyDescent="0.3">
      <c r="A9875" s="4">
        <v>39367</v>
      </c>
      <c r="B9875" s="833" t="s">
        <v>14137</v>
      </c>
      <c r="C9875" s="4" t="s">
        <v>12080</v>
      </c>
      <c r="D9875" s="834">
        <v>5687.82</v>
      </c>
    </row>
    <row r="9876" spans="1:4" x14ac:dyDescent="0.3">
      <c r="A9876" s="4">
        <v>37394</v>
      </c>
      <c r="B9876" s="833" t="s">
        <v>14138</v>
      </c>
      <c r="C9876" s="4" t="s">
        <v>14139</v>
      </c>
      <c r="D9876" s="834">
        <v>46.62</v>
      </c>
    </row>
    <row r="9877" spans="1:4" x14ac:dyDescent="0.3">
      <c r="A9877" s="4">
        <v>14146</v>
      </c>
      <c r="B9877" s="833" t="s">
        <v>14140</v>
      </c>
      <c r="C9877" s="4" t="s">
        <v>14139</v>
      </c>
      <c r="D9877" s="834">
        <v>74.98</v>
      </c>
    </row>
    <row r="9878" spans="1:4" x14ac:dyDescent="0.3">
      <c r="A9878" s="4">
        <v>938</v>
      </c>
      <c r="B9878" s="833" t="s">
        <v>14141</v>
      </c>
      <c r="C9878" s="4" t="s">
        <v>1803</v>
      </c>
      <c r="D9878" s="834">
        <v>1.91</v>
      </c>
    </row>
    <row r="9879" spans="1:4" x14ac:dyDescent="0.3">
      <c r="A9879" s="4">
        <v>937</v>
      </c>
      <c r="B9879" s="833" t="s">
        <v>14142</v>
      </c>
      <c r="C9879" s="4" t="s">
        <v>1803</v>
      </c>
      <c r="D9879" s="834">
        <v>11.16</v>
      </c>
    </row>
    <row r="9880" spans="1:4" x14ac:dyDescent="0.3">
      <c r="A9880" s="4">
        <v>939</v>
      </c>
      <c r="B9880" s="833" t="s">
        <v>14143</v>
      </c>
      <c r="C9880" s="4" t="s">
        <v>1803</v>
      </c>
      <c r="D9880" s="834">
        <v>3.1</v>
      </c>
    </row>
    <row r="9881" spans="1:4" x14ac:dyDescent="0.3">
      <c r="A9881" s="4">
        <v>944</v>
      </c>
      <c r="B9881" s="833" t="s">
        <v>14144</v>
      </c>
      <c r="C9881" s="4" t="s">
        <v>1803</v>
      </c>
      <c r="D9881" s="834">
        <v>4.8899999999999997</v>
      </c>
    </row>
    <row r="9882" spans="1:4" x14ac:dyDescent="0.3">
      <c r="A9882" s="4">
        <v>940</v>
      </c>
      <c r="B9882" s="833" t="s">
        <v>14145</v>
      </c>
      <c r="C9882" s="4" t="s">
        <v>1803</v>
      </c>
      <c r="D9882" s="834">
        <v>7.06</v>
      </c>
    </row>
    <row r="9883" spans="1:4" x14ac:dyDescent="0.3">
      <c r="A9883" s="4">
        <v>44397</v>
      </c>
      <c r="B9883" s="833" t="s">
        <v>14146</v>
      </c>
      <c r="C9883" s="4" t="s">
        <v>1803</v>
      </c>
      <c r="D9883" s="834">
        <v>4.1900000000000004</v>
      </c>
    </row>
    <row r="9884" spans="1:4" x14ac:dyDescent="0.3">
      <c r="A9884" s="4">
        <v>406</v>
      </c>
      <c r="B9884" s="833" t="s">
        <v>14147</v>
      </c>
      <c r="C9884" s="4" t="s">
        <v>12080</v>
      </c>
      <c r="D9884" s="834">
        <v>87.82</v>
      </c>
    </row>
    <row r="9885" spans="1:4" x14ac:dyDescent="0.3">
      <c r="A9885" s="4">
        <v>42529</v>
      </c>
      <c r="B9885" s="833" t="s">
        <v>14148</v>
      </c>
      <c r="C9885" s="4" t="s">
        <v>1803</v>
      </c>
      <c r="D9885" s="834">
        <v>1.38</v>
      </c>
    </row>
    <row r="9886" spans="1:4" x14ac:dyDescent="0.3">
      <c r="A9886" s="4">
        <v>39634</v>
      </c>
      <c r="B9886" s="833" t="s">
        <v>14149</v>
      </c>
      <c r="C9886" s="4" t="s">
        <v>1803</v>
      </c>
      <c r="D9886" s="834">
        <v>7.6</v>
      </c>
    </row>
    <row r="9887" spans="1:4" x14ac:dyDescent="0.3">
      <c r="A9887" s="4">
        <v>39701</v>
      </c>
      <c r="B9887" s="833" t="s">
        <v>14150</v>
      </c>
      <c r="C9887" s="4" t="s">
        <v>12080</v>
      </c>
      <c r="D9887" s="834">
        <v>92.41</v>
      </c>
    </row>
    <row r="9888" spans="1:4" x14ac:dyDescent="0.3">
      <c r="A9888" s="4">
        <v>12815</v>
      </c>
      <c r="B9888" s="833" t="s">
        <v>14151</v>
      </c>
      <c r="C9888" s="4" t="s">
        <v>12080</v>
      </c>
      <c r="D9888" s="834">
        <v>9.76</v>
      </c>
    </row>
    <row r="9889" spans="1:4" x14ac:dyDescent="0.3">
      <c r="A9889" s="4">
        <v>39431</v>
      </c>
      <c r="B9889" s="833" t="s">
        <v>14152</v>
      </c>
      <c r="C9889" s="4" t="s">
        <v>1803</v>
      </c>
      <c r="D9889" s="834">
        <v>0.27</v>
      </c>
    </row>
    <row r="9890" spans="1:4" x14ac:dyDescent="0.3">
      <c r="A9890" s="4">
        <v>39432</v>
      </c>
      <c r="B9890" s="833" t="s">
        <v>14153</v>
      </c>
      <c r="C9890" s="4" t="s">
        <v>1803</v>
      </c>
      <c r="D9890" s="834">
        <v>2.42</v>
      </c>
    </row>
    <row r="9891" spans="1:4" x14ac:dyDescent="0.3">
      <c r="A9891" s="4">
        <v>20111</v>
      </c>
      <c r="B9891" s="833" t="s">
        <v>14154</v>
      </c>
      <c r="C9891" s="4" t="s">
        <v>12080</v>
      </c>
      <c r="D9891" s="834">
        <v>12.11</v>
      </c>
    </row>
    <row r="9892" spans="1:4" x14ac:dyDescent="0.3">
      <c r="A9892" s="4">
        <v>21127</v>
      </c>
      <c r="B9892" s="833" t="s">
        <v>14155</v>
      </c>
      <c r="C9892" s="4" t="s">
        <v>12080</v>
      </c>
      <c r="D9892" s="834">
        <v>4.57</v>
      </c>
    </row>
    <row r="9893" spans="1:4" x14ac:dyDescent="0.3">
      <c r="A9893" s="4">
        <v>404</v>
      </c>
      <c r="B9893" s="833" t="s">
        <v>14156</v>
      </c>
      <c r="C9893" s="4" t="s">
        <v>1803</v>
      </c>
      <c r="D9893" s="834">
        <v>1.65</v>
      </c>
    </row>
    <row r="9894" spans="1:4" x14ac:dyDescent="0.3">
      <c r="A9894" s="4">
        <v>14151</v>
      </c>
      <c r="B9894" s="833" t="s">
        <v>14157</v>
      </c>
      <c r="C9894" s="4" t="s">
        <v>12080</v>
      </c>
      <c r="D9894" s="834">
        <v>53.89</v>
      </c>
    </row>
    <row r="9895" spans="1:4" x14ac:dyDescent="0.3">
      <c r="A9895" s="4">
        <v>14153</v>
      </c>
      <c r="B9895" s="833" t="s">
        <v>14158</v>
      </c>
      <c r="C9895" s="4" t="s">
        <v>12080</v>
      </c>
      <c r="D9895" s="834">
        <v>60.92</v>
      </c>
    </row>
    <row r="9896" spans="1:4" x14ac:dyDescent="0.3">
      <c r="A9896" s="4">
        <v>14152</v>
      </c>
      <c r="B9896" s="833" t="s">
        <v>14159</v>
      </c>
      <c r="C9896" s="4" t="s">
        <v>12080</v>
      </c>
      <c r="D9896" s="834">
        <v>46.76</v>
      </c>
    </row>
    <row r="9897" spans="1:4" x14ac:dyDescent="0.3">
      <c r="A9897" s="4">
        <v>14154</v>
      </c>
      <c r="B9897" s="833" t="s">
        <v>14160</v>
      </c>
      <c r="C9897" s="4" t="s">
        <v>12080</v>
      </c>
      <c r="D9897" s="834">
        <v>163.69</v>
      </c>
    </row>
    <row r="9898" spans="1:4" x14ac:dyDescent="0.3">
      <c r="A9898" s="4">
        <v>3143</v>
      </c>
      <c r="B9898" s="833" t="s">
        <v>14161</v>
      </c>
      <c r="C9898" s="4" t="s">
        <v>12080</v>
      </c>
      <c r="D9898" s="834">
        <v>8.8699999999999992</v>
      </c>
    </row>
    <row r="9899" spans="1:4" x14ac:dyDescent="0.3">
      <c r="A9899" s="4">
        <v>3146</v>
      </c>
      <c r="B9899" s="833" t="s">
        <v>14162</v>
      </c>
      <c r="C9899" s="4" t="s">
        <v>12080</v>
      </c>
      <c r="D9899" s="834">
        <v>3.9</v>
      </c>
    </row>
    <row r="9900" spans="1:4" x14ac:dyDescent="0.3">
      <c r="A9900" s="4">
        <v>3148</v>
      </c>
      <c r="B9900" s="833" t="s">
        <v>14163</v>
      </c>
      <c r="C9900" s="4" t="s">
        <v>12080</v>
      </c>
      <c r="D9900" s="834">
        <v>14.38</v>
      </c>
    </row>
    <row r="9901" spans="1:4" x14ac:dyDescent="0.3">
      <c r="A9901" s="4">
        <v>4310</v>
      </c>
      <c r="B9901" s="833" t="s">
        <v>14164</v>
      </c>
      <c r="C9901" s="4" t="s">
        <v>12080</v>
      </c>
      <c r="D9901" s="834">
        <v>3.17</v>
      </c>
    </row>
    <row r="9902" spans="1:4" x14ac:dyDescent="0.3">
      <c r="A9902" s="4">
        <v>4311</v>
      </c>
      <c r="B9902" s="833" t="s">
        <v>14165</v>
      </c>
      <c r="C9902" s="4" t="s">
        <v>12080</v>
      </c>
      <c r="D9902" s="834">
        <v>2.23</v>
      </c>
    </row>
    <row r="9903" spans="1:4" x14ac:dyDescent="0.3">
      <c r="A9903" s="4">
        <v>4312</v>
      </c>
      <c r="B9903" s="833" t="s">
        <v>14166</v>
      </c>
      <c r="C9903" s="4" t="s">
        <v>12080</v>
      </c>
      <c r="D9903" s="834">
        <v>3.13</v>
      </c>
    </row>
    <row r="9904" spans="1:4" x14ac:dyDescent="0.3">
      <c r="A9904" s="4">
        <v>13261</v>
      </c>
      <c r="B9904" s="833" t="s">
        <v>14167</v>
      </c>
      <c r="C9904" s="4" t="s">
        <v>12080</v>
      </c>
      <c r="D9904" s="834">
        <v>2.38</v>
      </c>
    </row>
    <row r="9905" spans="1:4" x14ac:dyDescent="0.3">
      <c r="A9905" s="4">
        <v>3272</v>
      </c>
      <c r="B9905" s="833" t="s">
        <v>14168</v>
      </c>
      <c r="C9905" s="4" t="s">
        <v>12080</v>
      </c>
      <c r="D9905" s="834">
        <v>59.03</v>
      </c>
    </row>
    <row r="9906" spans="1:4" x14ac:dyDescent="0.3">
      <c r="A9906" s="4">
        <v>3265</v>
      </c>
      <c r="B9906" s="833" t="s">
        <v>14169</v>
      </c>
      <c r="C9906" s="4" t="s">
        <v>12080</v>
      </c>
      <c r="D9906" s="834">
        <v>46.9</v>
      </c>
    </row>
    <row r="9907" spans="1:4" x14ac:dyDescent="0.3">
      <c r="A9907" s="4">
        <v>3262</v>
      </c>
      <c r="B9907" s="833" t="s">
        <v>14170</v>
      </c>
      <c r="C9907" s="4" t="s">
        <v>12080</v>
      </c>
      <c r="D9907" s="834">
        <v>20.53</v>
      </c>
    </row>
    <row r="9908" spans="1:4" x14ac:dyDescent="0.3">
      <c r="A9908" s="4">
        <v>3264</v>
      </c>
      <c r="B9908" s="833" t="s">
        <v>14171</v>
      </c>
      <c r="C9908" s="4" t="s">
        <v>12080</v>
      </c>
      <c r="D9908" s="834">
        <v>33.72</v>
      </c>
    </row>
    <row r="9909" spans="1:4" x14ac:dyDescent="0.3">
      <c r="A9909" s="4">
        <v>3267</v>
      </c>
      <c r="B9909" s="833" t="s">
        <v>14172</v>
      </c>
      <c r="C9909" s="4" t="s">
        <v>12080</v>
      </c>
      <c r="D9909" s="834">
        <v>110.13</v>
      </c>
    </row>
    <row r="9910" spans="1:4" x14ac:dyDescent="0.3">
      <c r="A9910" s="4">
        <v>3266</v>
      </c>
      <c r="B9910" s="833" t="s">
        <v>14173</v>
      </c>
      <c r="C9910" s="4" t="s">
        <v>12080</v>
      </c>
      <c r="D9910" s="834">
        <v>70.069999999999993</v>
      </c>
    </row>
    <row r="9911" spans="1:4" x14ac:dyDescent="0.3">
      <c r="A9911" s="4">
        <v>3263</v>
      </c>
      <c r="B9911" s="833" t="s">
        <v>14174</v>
      </c>
      <c r="C9911" s="4" t="s">
        <v>12080</v>
      </c>
      <c r="D9911" s="834">
        <v>28.04</v>
      </c>
    </row>
    <row r="9912" spans="1:4" x14ac:dyDescent="0.3">
      <c r="A9912" s="4">
        <v>3268</v>
      </c>
      <c r="B9912" s="833" t="s">
        <v>14175</v>
      </c>
      <c r="C9912" s="4" t="s">
        <v>12080</v>
      </c>
      <c r="D9912" s="834">
        <v>148.9</v>
      </c>
    </row>
    <row r="9913" spans="1:4" x14ac:dyDescent="0.3">
      <c r="A9913" s="4">
        <v>3271</v>
      </c>
      <c r="B9913" s="833" t="s">
        <v>14176</v>
      </c>
      <c r="C9913" s="4" t="s">
        <v>12080</v>
      </c>
      <c r="D9913" s="834">
        <v>220.14</v>
      </c>
    </row>
    <row r="9914" spans="1:4" x14ac:dyDescent="0.3">
      <c r="A9914" s="4">
        <v>3270</v>
      </c>
      <c r="B9914" s="833" t="s">
        <v>14177</v>
      </c>
      <c r="C9914" s="4" t="s">
        <v>12080</v>
      </c>
      <c r="D9914" s="834">
        <v>369.85</v>
      </c>
    </row>
    <row r="9915" spans="1:4" x14ac:dyDescent="0.3">
      <c r="A9915" s="4">
        <v>3275</v>
      </c>
      <c r="B9915" s="833" t="s">
        <v>14178</v>
      </c>
      <c r="C9915" s="4" t="s">
        <v>12481</v>
      </c>
      <c r="D9915" s="834">
        <v>87.95</v>
      </c>
    </row>
    <row r="9916" spans="1:4" x14ac:dyDescent="0.3">
      <c r="A9916" s="4">
        <v>39512</v>
      </c>
      <c r="B9916" s="833" t="s">
        <v>14179</v>
      </c>
      <c r="C9916" s="4" t="s">
        <v>12481</v>
      </c>
      <c r="D9916" s="834">
        <v>114.99</v>
      </c>
    </row>
    <row r="9917" spans="1:4" x14ac:dyDescent="0.3">
      <c r="A9917" s="4">
        <v>39511</v>
      </c>
      <c r="B9917" s="833" t="s">
        <v>14180</v>
      </c>
      <c r="C9917" s="4" t="s">
        <v>12481</v>
      </c>
      <c r="D9917" s="834">
        <v>125.43</v>
      </c>
    </row>
    <row r="9918" spans="1:4" x14ac:dyDescent="0.3">
      <c r="A9918" s="4">
        <v>39513</v>
      </c>
      <c r="B9918" s="833" t="s">
        <v>14181</v>
      </c>
      <c r="C9918" s="4" t="s">
        <v>12481</v>
      </c>
      <c r="D9918" s="834">
        <v>134.53</v>
      </c>
    </row>
    <row r="9919" spans="1:4" x14ac:dyDescent="0.3">
      <c r="A9919" s="4">
        <v>3286</v>
      </c>
      <c r="B9919" s="833" t="s">
        <v>14182</v>
      </c>
      <c r="C9919" s="4" t="s">
        <v>12481</v>
      </c>
      <c r="D9919" s="834">
        <v>59.55</v>
      </c>
    </row>
    <row r="9920" spans="1:4" x14ac:dyDescent="0.3">
      <c r="A9920" s="4">
        <v>3287</v>
      </c>
      <c r="B9920" s="833" t="s">
        <v>14183</v>
      </c>
      <c r="C9920" s="4" t="s">
        <v>12481</v>
      </c>
      <c r="D9920" s="834">
        <v>90</v>
      </c>
    </row>
    <row r="9921" spans="1:4" x14ac:dyDescent="0.3">
      <c r="A9921" s="4">
        <v>3283</v>
      </c>
      <c r="B9921" s="833" t="s">
        <v>14184</v>
      </c>
      <c r="C9921" s="4" t="s">
        <v>12481</v>
      </c>
      <c r="D9921" s="834">
        <v>18.899999999999999</v>
      </c>
    </row>
    <row r="9922" spans="1:4" x14ac:dyDescent="0.3">
      <c r="A9922" s="4">
        <v>11587</v>
      </c>
      <c r="B9922" s="833" t="s">
        <v>14185</v>
      </c>
      <c r="C9922" s="4" t="s">
        <v>12481</v>
      </c>
      <c r="D9922" s="834">
        <v>60.31</v>
      </c>
    </row>
    <row r="9923" spans="1:4" x14ac:dyDescent="0.3">
      <c r="A9923" s="4">
        <v>36225</v>
      </c>
      <c r="B9923" s="833" t="s">
        <v>14186</v>
      </c>
      <c r="C9923" s="4" t="s">
        <v>12481</v>
      </c>
      <c r="D9923" s="834">
        <v>24.5</v>
      </c>
    </row>
    <row r="9924" spans="1:4" x14ac:dyDescent="0.3">
      <c r="A9924" s="4">
        <v>36230</v>
      </c>
      <c r="B9924" s="833" t="s">
        <v>14187</v>
      </c>
      <c r="C9924" s="4" t="s">
        <v>12481</v>
      </c>
      <c r="D9924" s="834">
        <v>18</v>
      </c>
    </row>
    <row r="9925" spans="1:4" x14ac:dyDescent="0.3">
      <c r="A9925" s="4">
        <v>36238</v>
      </c>
      <c r="B9925" s="833" t="s">
        <v>14188</v>
      </c>
      <c r="C9925" s="4" t="s">
        <v>12481</v>
      </c>
      <c r="D9925" s="834">
        <v>17.59</v>
      </c>
    </row>
    <row r="9926" spans="1:4" x14ac:dyDescent="0.3">
      <c r="A9926" s="4">
        <v>39363</v>
      </c>
      <c r="B9926" s="833" t="s">
        <v>14189</v>
      </c>
      <c r="C9926" s="4" t="s">
        <v>12080</v>
      </c>
      <c r="D9926" s="834">
        <v>6449.46</v>
      </c>
    </row>
    <row r="9927" spans="1:4" x14ac:dyDescent="0.3">
      <c r="A9927" s="4">
        <v>39361</v>
      </c>
      <c r="B9927" s="833" t="s">
        <v>14190</v>
      </c>
      <c r="C9927" s="4" t="s">
        <v>12080</v>
      </c>
      <c r="D9927" s="834">
        <v>1970.35</v>
      </c>
    </row>
    <row r="9928" spans="1:4" x14ac:dyDescent="0.3">
      <c r="A9928" s="4">
        <v>39362</v>
      </c>
      <c r="B9928" s="833" t="s">
        <v>14191</v>
      </c>
      <c r="C9928" s="4" t="s">
        <v>12080</v>
      </c>
      <c r="D9928" s="834">
        <v>3480.73</v>
      </c>
    </row>
    <row r="9929" spans="1:4" x14ac:dyDescent="0.3">
      <c r="A9929" s="4">
        <v>39364</v>
      </c>
      <c r="B9929" s="833" t="s">
        <v>14192</v>
      </c>
      <c r="C9929" s="4" t="s">
        <v>12080</v>
      </c>
      <c r="D9929" s="834">
        <v>13603.62</v>
      </c>
    </row>
    <row r="9930" spans="1:4" x14ac:dyDescent="0.3">
      <c r="A9930" s="4">
        <v>14576</v>
      </c>
      <c r="B9930" s="833" t="s">
        <v>14193</v>
      </c>
      <c r="C9930" s="4" t="s">
        <v>12080</v>
      </c>
      <c r="D9930" s="834">
        <v>6008274.6399999997</v>
      </c>
    </row>
    <row r="9931" spans="1:4" x14ac:dyDescent="0.3">
      <c r="A9931" s="4">
        <v>13877</v>
      </c>
      <c r="B9931" s="833" t="s">
        <v>14194</v>
      </c>
      <c r="C9931" s="4" t="s">
        <v>12080</v>
      </c>
      <c r="D9931" s="834">
        <v>2572052.7599999998</v>
      </c>
    </row>
    <row r="9932" spans="1:4" x14ac:dyDescent="0.3">
      <c r="A9932" s="4">
        <v>7307</v>
      </c>
      <c r="B9932" s="833" t="s">
        <v>14195</v>
      </c>
      <c r="C9932" s="4" t="s">
        <v>12128</v>
      </c>
      <c r="D9932" s="834">
        <v>47.91</v>
      </c>
    </row>
    <row r="9933" spans="1:4" x14ac:dyDescent="0.3">
      <c r="A9933" s="4">
        <v>38122</v>
      </c>
      <c r="B9933" s="833" t="s">
        <v>14196</v>
      </c>
      <c r="C9933" s="4" t="s">
        <v>12128</v>
      </c>
      <c r="D9933" s="834">
        <v>21.89</v>
      </c>
    </row>
    <row r="9934" spans="1:4" x14ac:dyDescent="0.3">
      <c r="A9934" s="4">
        <v>43653</v>
      </c>
      <c r="B9934" s="833" t="s">
        <v>14197</v>
      </c>
      <c r="C9934" s="4" t="s">
        <v>12128</v>
      </c>
      <c r="D9934" s="834">
        <v>38.950000000000003</v>
      </c>
    </row>
    <row r="9935" spans="1:4" x14ac:dyDescent="0.3">
      <c r="A9935" s="4">
        <v>38633</v>
      </c>
      <c r="B9935" s="833" t="s">
        <v>14198</v>
      </c>
      <c r="C9935" s="4" t="s">
        <v>12080</v>
      </c>
      <c r="D9935" s="834">
        <v>18.649999999999999</v>
      </c>
    </row>
    <row r="9936" spans="1:4" x14ac:dyDescent="0.3">
      <c r="A9936" s="4">
        <v>12344</v>
      </c>
      <c r="B9936" s="833" t="s">
        <v>14199</v>
      </c>
      <c r="C9936" s="4" t="s">
        <v>12080</v>
      </c>
      <c r="D9936" s="834">
        <v>5.49</v>
      </c>
    </row>
    <row r="9937" spans="1:4" x14ac:dyDescent="0.3">
      <c r="A9937" s="4">
        <v>12343</v>
      </c>
      <c r="B9937" s="833" t="s">
        <v>14200</v>
      </c>
      <c r="C9937" s="4" t="s">
        <v>12080</v>
      </c>
      <c r="D9937" s="834">
        <v>8.52</v>
      </c>
    </row>
    <row r="9938" spans="1:4" x14ac:dyDescent="0.3">
      <c r="A9938" s="4">
        <v>3295</v>
      </c>
      <c r="B9938" s="833" t="s">
        <v>14201</v>
      </c>
      <c r="C9938" s="4" t="s">
        <v>12080</v>
      </c>
      <c r="D9938" s="834">
        <v>29.76</v>
      </c>
    </row>
    <row r="9939" spans="1:4" x14ac:dyDescent="0.3">
      <c r="A9939" s="4">
        <v>3302</v>
      </c>
      <c r="B9939" s="833" t="s">
        <v>14202</v>
      </c>
      <c r="C9939" s="4" t="s">
        <v>12080</v>
      </c>
      <c r="D9939" s="834">
        <v>31.11</v>
      </c>
    </row>
    <row r="9940" spans="1:4" x14ac:dyDescent="0.3">
      <c r="A9940" s="4">
        <v>3297</v>
      </c>
      <c r="B9940" s="833" t="s">
        <v>14203</v>
      </c>
      <c r="C9940" s="4" t="s">
        <v>12080</v>
      </c>
      <c r="D9940" s="834">
        <v>33.21</v>
      </c>
    </row>
    <row r="9941" spans="1:4" x14ac:dyDescent="0.3">
      <c r="A9941" s="4">
        <v>3294</v>
      </c>
      <c r="B9941" s="833" t="s">
        <v>14204</v>
      </c>
      <c r="C9941" s="4" t="s">
        <v>12080</v>
      </c>
      <c r="D9941" s="834">
        <v>33.72</v>
      </c>
    </row>
    <row r="9942" spans="1:4" x14ac:dyDescent="0.3">
      <c r="A9942" s="4">
        <v>3292</v>
      </c>
      <c r="B9942" s="833" t="s">
        <v>14205</v>
      </c>
      <c r="C9942" s="4" t="s">
        <v>12080</v>
      </c>
      <c r="D9942" s="834">
        <v>31.68</v>
      </c>
    </row>
    <row r="9943" spans="1:4" x14ac:dyDescent="0.3">
      <c r="A9943" s="4">
        <v>3298</v>
      </c>
      <c r="B9943" s="833" t="s">
        <v>14206</v>
      </c>
      <c r="C9943" s="4" t="s">
        <v>12080</v>
      </c>
      <c r="D9943" s="834">
        <v>74.25</v>
      </c>
    </row>
    <row r="9944" spans="1:4" x14ac:dyDescent="0.3">
      <c r="A9944" s="4">
        <v>34802</v>
      </c>
      <c r="B9944" s="833" t="s">
        <v>14207</v>
      </c>
      <c r="C9944" s="4" t="s">
        <v>12080</v>
      </c>
      <c r="D9944" s="834">
        <v>1129.94</v>
      </c>
    </row>
    <row r="9945" spans="1:4" x14ac:dyDescent="0.3">
      <c r="A9945" s="4">
        <v>11588</v>
      </c>
      <c r="B9945" s="833" t="s">
        <v>14208</v>
      </c>
      <c r="C9945" s="4" t="s">
        <v>12080</v>
      </c>
      <c r="D9945" s="834">
        <v>1219.02</v>
      </c>
    </row>
    <row r="9946" spans="1:4" x14ac:dyDescent="0.3">
      <c r="A9946" s="4">
        <v>34383</v>
      </c>
      <c r="B9946" s="833" t="s">
        <v>14209</v>
      </c>
      <c r="C9946" s="4" t="s">
        <v>12080</v>
      </c>
      <c r="D9946" s="834">
        <v>1341.01</v>
      </c>
    </row>
    <row r="9947" spans="1:4" x14ac:dyDescent="0.3">
      <c r="A9947" s="4">
        <v>40451</v>
      </c>
      <c r="B9947" s="833" t="s">
        <v>14210</v>
      </c>
      <c r="C9947" s="4" t="s">
        <v>12481</v>
      </c>
      <c r="D9947" s="834">
        <v>108.4</v>
      </c>
    </row>
    <row r="9948" spans="1:4" x14ac:dyDescent="0.3">
      <c r="A9948" s="4">
        <v>40453</v>
      </c>
      <c r="B9948" s="833" t="s">
        <v>14211</v>
      </c>
      <c r="C9948" s="4" t="s">
        <v>12481</v>
      </c>
      <c r="D9948" s="834">
        <v>117.28</v>
      </c>
    </row>
    <row r="9949" spans="1:4" x14ac:dyDescent="0.3">
      <c r="A9949" s="4">
        <v>40452</v>
      </c>
      <c r="B9949" s="833" t="s">
        <v>14212</v>
      </c>
      <c r="C9949" s="4" t="s">
        <v>12481</v>
      </c>
      <c r="D9949" s="834">
        <v>128.65</v>
      </c>
    </row>
    <row r="9950" spans="1:4" x14ac:dyDescent="0.3">
      <c r="A9950" s="4">
        <v>11594</v>
      </c>
      <c r="B9950" s="833" t="s">
        <v>14213</v>
      </c>
      <c r="C9950" s="4" t="s">
        <v>12080</v>
      </c>
      <c r="D9950" s="834">
        <v>388.54</v>
      </c>
    </row>
    <row r="9951" spans="1:4" x14ac:dyDescent="0.3">
      <c r="A9951" s="4">
        <v>3311</v>
      </c>
      <c r="B9951" s="833" t="s">
        <v>14214</v>
      </c>
      <c r="C9951" s="4" t="s">
        <v>12224</v>
      </c>
      <c r="D9951" s="834">
        <v>388.54</v>
      </c>
    </row>
    <row r="9952" spans="1:4" x14ac:dyDescent="0.3">
      <c r="A9952" s="4">
        <v>11599</v>
      </c>
      <c r="B9952" s="833" t="s">
        <v>14215</v>
      </c>
      <c r="C9952" s="4" t="s">
        <v>12080</v>
      </c>
      <c r="D9952" s="834">
        <v>516.71</v>
      </c>
    </row>
    <row r="9953" spans="1:4" x14ac:dyDescent="0.3">
      <c r="A9953" s="4">
        <v>11593</v>
      </c>
      <c r="B9953" s="833" t="s">
        <v>14216</v>
      </c>
      <c r="C9953" s="4" t="s">
        <v>12080</v>
      </c>
      <c r="D9953" s="834">
        <v>724.39</v>
      </c>
    </row>
    <row r="9954" spans="1:4" x14ac:dyDescent="0.3">
      <c r="A9954" s="4">
        <v>3314</v>
      </c>
      <c r="B9954" s="833" t="s">
        <v>14217</v>
      </c>
      <c r="C9954" s="4" t="s">
        <v>12224</v>
      </c>
      <c r="D9954" s="834">
        <v>518.09</v>
      </c>
    </row>
    <row r="9955" spans="1:4" x14ac:dyDescent="0.3">
      <c r="A9955" s="4">
        <v>11597</v>
      </c>
      <c r="B9955" s="833" t="s">
        <v>14218</v>
      </c>
      <c r="C9955" s="4" t="s">
        <v>12080</v>
      </c>
      <c r="D9955" s="834">
        <v>602.47</v>
      </c>
    </row>
    <row r="9956" spans="1:4" x14ac:dyDescent="0.3">
      <c r="A9956" s="4">
        <v>3309</v>
      </c>
      <c r="B9956" s="833" t="s">
        <v>14219</v>
      </c>
      <c r="C9956" s="4" t="s">
        <v>12224</v>
      </c>
      <c r="D9956" s="834">
        <v>411.43</v>
      </c>
    </row>
    <row r="9957" spans="1:4" x14ac:dyDescent="0.3">
      <c r="A9957" s="4">
        <v>34612</v>
      </c>
      <c r="B9957" s="833" t="s">
        <v>14220</v>
      </c>
      <c r="C9957" s="4" t="s">
        <v>12080</v>
      </c>
      <c r="D9957" s="834">
        <v>745.15</v>
      </c>
    </row>
    <row r="9958" spans="1:4" x14ac:dyDescent="0.3">
      <c r="A9958" s="4">
        <v>34635</v>
      </c>
      <c r="B9958" s="833" t="s">
        <v>14221</v>
      </c>
      <c r="C9958" s="4" t="s">
        <v>12080</v>
      </c>
      <c r="D9958" s="834">
        <v>958.23</v>
      </c>
    </row>
    <row r="9959" spans="1:4" x14ac:dyDescent="0.3">
      <c r="A9959" s="4">
        <v>34633</v>
      </c>
      <c r="B9959" s="833" t="s">
        <v>14222</v>
      </c>
      <c r="C9959" s="4" t="s">
        <v>12080</v>
      </c>
      <c r="D9959" s="834">
        <v>1056.22</v>
      </c>
    </row>
    <row r="9960" spans="1:4" x14ac:dyDescent="0.3">
      <c r="A9960" s="4">
        <v>40440</v>
      </c>
      <c r="B9960" s="833" t="s">
        <v>14223</v>
      </c>
      <c r="C9960" s="4" t="s">
        <v>12224</v>
      </c>
      <c r="D9960" s="834">
        <v>539.64</v>
      </c>
    </row>
    <row r="9961" spans="1:4" x14ac:dyDescent="0.3">
      <c r="A9961" s="4">
        <v>40441</v>
      </c>
      <c r="B9961" s="833" t="s">
        <v>14224</v>
      </c>
      <c r="C9961" s="4" t="s">
        <v>12224</v>
      </c>
      <c r="D9961" s="834">
        <v>344.53</v>
      </c>
    </row>
    <row r="9962" spans="1:4" x14ac:dyDescent="0.3">
      <c r="A9962" s="4">
        <v>40449</v>
      </c>
      <c r="B9962" s="833" t="s">
        <v>14225</v>
      </c>
      <c r="C9962" s="4" t="s">
        <v>12224</v>
      </c>
      <c r="D9962" s="834">
        <v>289.63</v>
      </c>
    </row>
    <row r="9963" spans="1:4" x14ac:dyDescent="0.3">
      <c r="A9963" s="4">
        <v>34800</v>
      </c>
      <c r="B9963" s="833" t="s">
        <v>14226</v>
      </c>
      <c r="C9963" s="4" t="s">
        <v>12224</v>
      </c>
      <c r="D9963" s="834">
        <v>362.19</v>
      </c>
    </row>
    <row r="9964" spans="1:4" x14ac:dyDescent="0.3">
      <c r="A9964" s="4">
        <v>11592</v>
      </c>
      <c r="B9964" s="833" t="s">
        <v>14227</v>
      </c>
      <c r="C9964" s="4" t="s">
        <v>12080</v>
      </c>
      <c r="D9964" s="834">
        <v>518.09</v>
      </c>
    </row>
    <row r="9965" spans="1:4" x14ac:dyDescent="0.3">
      <c r="A9965" s="4">
        <v>40438</v>
      </c>
      <c r="B9965" s="833" t="s">
        <v>14228</v>
      </c>
      <c r="C9965" s="4" t="s">
        <v>12224</v>
      </c>
      <c r="D9965" s="834">
        <v>241.3</v>
      </c>
    </row>
    <row r="9966" spans="1:4" x14ac:dyDescent="0.3">
      <c r="A9966" s="4">
        <v>40436</v>
      </c>
      <c r="B9966" s="833" t="s">
        <v>14229</v>
      </c>
      <c r="C9966" s="4" t="s">
        <v>12224</v>
      </c>
      <c r="D9966" s="834">
        <v>300.88</v>
      </c>
    </row>
    <row r="9967" spans="1:4" x14ac:dyDescent="0.3">
      <c r="A9967" s="4">
        <v>11596</v>
      </c>
      <c r="B9967" s="833" t="s">
        <v>14230</v>
      </c>
      <c r="C9967" s="4" t="s">
        <v>12080</v>
      </c>
      <c r="D9967" s="834">
        <v>411.43</v>
      </c>
    </row>
    <row r="9968" spans="1:4" x14ac:dyDescent="0.3">
      <c r="A9968" s="4">
        <v>4315</v>
      </c>
      <c r="B9968" s="833" t="s">
        <v>14231</v>
      </c>
      <c r="C9968" s="4" t="s">
        <v>12080</v>
      </c>
      <c r="D9968" s="834">
        <v>2.2999999999999998</v>
      </c>
    </row>
    <row r="9969" spans="1:4" x14ac:dyDescent="0.3">
      <c r="A9969" s="4">
        <v>402</v>
      </c>
      <c r="B9969" s="833" t="s">
        <v>14232</v>
      </c>
      <c r="C9969" s="4" t="s">
        <v>12080</v>
      </c>
      <c r="D9969" s="834">
        <v>22.55</v>
      </c>
    </row>
    <row r="9970" spans="1:4" x14ac:dyDescent="0.3">
      <c r="A9970" s="4">
        <v>4226</v>
      </c>
      <c r="B9970" s="833" t="s">
        <v>14233</v>
      </c>
      <c r="C9970" s="4" t="s">
        <v>12126</v>
      </c>
      <c r="D9970" s="834">
        <v>7.72</v>
      </c>
    </row>
    <row r="9971" spans="1:4" x14ac:dyDescent="0.3">
      <c r="A9971" s="4">
        <v>4222</v>
      </c>
      <c r="B9971" s="833" t="s">
        <v>14234</v>
      </c>
      <c r="C9971" s="4" t="s">
        <v>12128</v>
      </c>
      <c r="D9971" s="834">
        <v>6.1</v>
      </c>
    </row>
    <row r="9972" spans="1:4" x14ac:dyDescent="0.3">
      <c r="A9972" s="4">
        <v>34804</v>
      </c>
      <c r="B9972" s="833" t="s">
        <v>14235</v>
      </c>
      <c r="C9972" s="4" t="s">
        <v>12481</v>
      </c>
      <c r="D9972" s="834">
        <v>43.73</v>
      </c>
    </row>
    <row r="9973" spans="1:4" x14ac:dyDescent="0.3">
      <c r="A9973" s="4">
        <v>4013</v>
      </c>
      <c r="B9973" s="833" t="s">
        <v>14236</v>
      </c>
      <c r="C9973" s="4" t="s">
        <v>12481</v>
      </c>
      <c r="D9973" s="834">
        <v>6.52</v>
      </c>
    </row>
    <row r="9974" spans="1:4" x14ac:dyDescent="0.3">
      <c r="A9974" s="4">
        <v>4011</v>
      </c>
      <c r="B9974" s="833" t="s">
        <v>14237</v>
      </c>
      <c r="C9974" s="4" t="s">
        <v>12481</v>
      </c>
      <c r="D9974" s="834">
        <v>7.28</v>
      </c>
    </row>
    <row r="9975" spans="1:4" x14ac:dyDescent="0.3">
      <c r="A9975" s="4">
        <v>4021</v>
      </c>
      <c r="B9975" s="833" t="s">
        <v>14238</v>
      </c>
      <c r="C9975" s="4" t="s">
        <v>12481</v>
      </c>
      <c r="D9975" s="834">
        <v>9.08</v>
      </c>
    </row>
    <row r="9976" spans="1:4" x14ac:dyDescent="0.3">
      <c r="A9976" s="4">
        <v>4019</v>
      </c>
      <c r="B9976" s="833" t="s">
        <v>14239</v>
      </c>
      <c r="C9976" s="4" t="s">
        <v>12481</v>
      </c>
      <c r="D9976" s="834">
        <v>10.9</v>
      </c>
    </row>
    <row r="9977" spans="1:4" x14ac:dyDescent="0.3">
      <c r="A9977" s="4">
        <v>4012</v>
      </c>
      <c r="B9977" s="833" t="s">
        <v>14240</v>
      </c>
      <c r="C9977" s="4" t="s">
        <v>12481</v>
      </c>
      <c r="D9977" s="834">
        <v>14.6</v>
      </c>
    </row>
    <row r="9978" spans="1:4" x14ac:dyDescent="0.3">
      <c r="A9978" s="4">
        <v>4020</v>
      </c>
      <c r="B9978" s="833" t="s">
        <v>14241</v>
      </c>
      <c r="C9978" s="4" t="s">
        <v>12481</v>
      </c>
      <c r="D9978" s="834">
        <v>18.29</v>
      </c>
    </row>
    <row r="9979" spans="1:4" x14ac:dyDescent="0.3">
      <c r="A9979" s="4">
        <v>4018</v>
      </c>
      <c r="B9979" s="833" t="s">
        <v>14242</v>
      </c>
      <c r="C9979" s="4" t="s">
        <v>12481</v>
      </c>
      <c r="D9979" s="834">
        <v>21.91</v>
      </c>
    </row>
    <row r="9980" spans="1:4" x14ac:dyDescent="0.3">
      <c r="A9980" s="4">
        <v>36498</v>
      </c>
      <c r="B9980" s="833" t="s">
        <v>14243</v>
      </c>
      <c r="C9980" s="4" t="s">
        <v>12080</v>
      </c>
      <c r="D9980" s="834">
        <v>8600.61</v>
      </c>
    </row>
    <row r="9981" spans="1:4" x14ac:dyDescent="0.3">
      <c r="A9981" s="4">
        <v>12872</v>
      </c>
      <c r="B9981" s="833" t="s">
        <v>14244</v>
      </c>
      <c r="C9981" s="4" t="s">
        <v>12226</v>
      </c>
      <c r="D9981" s="834">
        <v>21.83</v>
      </c>
    </row>
    <row r="9982" spans="1:4" x14ac:dyDescent="0.3">
      <c r="A9982" s="4">
        <v>41075</v>
      </c>
      <c r="B9982" s="833" t="s">
        <v>14245</v>
      </c>
      <c r="C9982" s="4" t="s">
        <v>12228</v>
      </c>
      <c r="D9982" s="834">
        <v>3886.77</v>
      </c>
    </row>
    <row r="9983" spans="1:4" x14ac:dyDescent="0.3">
      <c r="A9983" s="4">
        <v>44324</v>
      </c>
      <c r="B9983" s="833" t="s">
        <v>14246</v>
      </c>
      <c r="C9983" s="4" t="s">
        <v>12126</v>
      </c>
      <c r="D9983" s="834">
        <v>2.39</v>
      </c>
    </row>
    <row r="9984" spans="1:4" x14ac:dyDescent="0.3">
      <c r="A9984" s="4">
        <v>3315</v>
      </c>
      <c r="B9984" s="833" t="s">
        <v>14247</v>
      </c>
      <c r="C9984" s="4" t="s">
        <v>12126</v>
      </c>
      <c r="D9984" s="834">
        <v>0.69</v>
      </c>
    </row>
    <row r="9985" spans="1:4" x14ac:dyDescent="0.3">
      <c r="A9985" s="4">
        <v>36870</v>
      </c>
      <c r="B9985" s="833" t="s">
        <v>14248</v>
      </c>
      <c r="C9985" s="4" t="s">
        <v>12126</v>
      </c>
      <c r="D9985" s="834">
        <v>0.53</v>
      </c>
    </row>
    <row r="9986" spans="1:4" x14ac:dyDescent="0.3">
      <c r="A9986" s="4">
        <v>5092</v>
      </c>
      <c r="B9986" s="833" t="s">
        <v>14249</v>
      </c>
      <c r="C9986" s="4" t="s">
        <v>12495</v>
      </c>
      <c r="D9986" s="834">
        <v>17.55</v>
      </c>
    </row>
    <row r="9987" spans="1:4" x14ac:dyDescent="0.3">
      <c r="A9987" s="4">
        <v>11462</v>
      </c>
      <c r="B9987" s="833" t="s">
        <v>14250</v>
      </c>
      <c r="C9987" s="4" t="s">
        <v>12495</v>
      </c>
      <c r="D9987" s="834">
        <v>17.940000000000001</v>
      </c>
    </row>
    <row r="9988" spans="1:4" x14ac:dyDescent="0.3">
      <c r="A9988" s="4">
        <v>36529</v>
      </c>
      <c r="B9988" s="833" t="s">
        <v>14251</v>
      </c>
      <c r="C9988" s="4" t="s">
        <v>12080</v>
      </c>
      <c r="D9988" s="834">
        <v>62627.55</v>
      </c>
    </row>
    <row r="9989" spans="1:4" x14ac:dyDescent="0.3">
      <c r="A9989" s="4">
        <v>3318</v>
      </c>
      <c r="B9989" s="833" t="s">
        <v>14252</v>
      </c>
      <c r="C9989" s="4" t="s">
        <v>12080</v>
      </c>
      <c r="D9989" s="834">
        <v>49100</v>
      </c>
    </row>
    <row r="9990" spans="1:4" x14ac:dyDescent="0.3">
      <c r="A9990" s="4">
        <v>3324</v>
      </c>
      <c r="B9990" s="833" t="s">
        <v>14253</v>
      </c>
      <c r="C9990" s="4" t="s">
        <v>12481</v>
      </c>
      <c r="D9990" s="834">
        <v>12.14</v>
      </c>
    </row>
    <row r="9991" spans="1:4" x14ac:dyDescent="0.3">
      <c r="A9991" s="4">
        <v>3322</v>
      </c>
      <c r="B9991" s="833" t="s">
        <v>14254</v>
      </c>
      <c r="C9991" s="4" t="s">
        <v>12481</v>
      </c>
      <c r="D9991" s="834">
        <v>17</v>
      </c>
    </row>
    <row r="9992" spans="1:4" x14ac:dyDescent="0.3">
      <c r="A9992" s="4">
        <v>5076</v>
      </c>
      <c r="B9992" s="833" t="s">
        <v>14255</v>
      </c>
      <c r="C9992" s="4" t="s">
        <v>12126</v>
      </c>
      <c r="D9992" s="834">
        <v>20.04</v>
      </c>
    </row>
    <row r="9993" spans="1:4" x14ac:dyDescent="0.3">
      <c r="A9993" s="4">
        <v>5077</v>
      </c>
      <c r="B9993" s="833" t="s">
        <v>14256</v>
      </c>
      <c r="C9993" s="4" t="s">
        <v>12126</v>
      </c>
      <c r="D9993" s="834">
        <v>22.14</v>
      </c>
    </row>
    <row r="9994" spans="1:4" x14ac:dyDescent="0.3">
      <c r="A9994" s="4">
        <v>11837</v>
      </c>
      <c r="B9994" s="833" t="s">
        <v>14257</v>
      </c>
      <c r="C9994" s="4" t="s">
        <v>12080</v>
      </c>
      <c r="D9994" s="834">
        <v>61.04</v>
      </c>
    </row>
    <row r="9995" spans="1:4" x14ac:dyDescent="0.3">
      <c r="A9995" s="4">
        <v>38055</v>
      </c>
      <c r="B9995" s="833" t="s">
        <v>14258</v>
      </c>
      <c r="C9995" s="4" t="s">
        <v>12080</v>
      </c>
      <c r="D9995" s="834">
        <v>5.54</v>
      </c>
    </row>
    <row r="9996" spans="1:4" x14ac:dyDescent="0.3">
      <c r="A9996" s="4">
        <v>415</v>
      </c>
      <c r="B9996" s="833" t="s">
        <v>14259</v>
      </c>
      <c r="C9996" s="4" t="s">
        <v>12080</v>
      </c>
      <c r="D9996" s="834">
        <v>25.03</v>
      </c>
    </row>
    <row r="9997" spans="1:4" x14ac:dyDescent="0.3">
      <c r="A9997" s="4">
        <v>416</v>
      </c>
      <c r="B9997" s="833" t="s">
        <v>14260</v>
      </c>
      <c r="C9997" s="4" t="s">
        <v>12080</v>
      </c>
      <c r="D9997" s="834">
        <v>9.16</v>
      </c>
    </row>
    <row r="9998" spans="1:4" x14ac:dyDescent="0.3">
      <c r="A9998" s="4">
        <v>425</v>
      </c>
      <c r="B9998" s="833" t="s">
        <v>14261</v>
      </c>
      <c r="C9998" s="4" t="s">
        <v>12080</v>
      </c>
      <c r="D9998" s="834">
        <v>5.68</v>
      </c>
    </row>
    <row r="9999" spans="1:4" x14ac:dyDescent="0.3">
      <c r="A9999" s="4">
        <v>426</v>
      </c>
      <c r="B9999" s="833" t="s">
        <v>14262</v>
      </c>
      <c r="C9999" s="4" t="s">
        <v>12080</v>
      </c>
      <c r="D9999" s="834">
        <v>31.28</v>
      </c>
    </row>
    <row r="10000" spans="1:4" x14ac:dyDescent="0.3">
      <c r="A10000" s="4">
        <v>38056</v>
      </c>
      <c r="B10000" s="833" t="s">
        <v>14263</v>
      </c>
      <c r="C10000" s="4" t="s">
        <v>12080</v>
      </c>
      <c r="D10000" s="834">
        <v>30.55</v>
      </c>
    </row>
    <row r="10001" spans="1:4" x14ac:dyDescent="0.3">
      <c r="A10001" s="4">
        <v>1564</v>
      </c>
      <c r="B10001" s="833" t="s">
        <v>14264</v>
      </c>
      <c r="C10001" s="4" t="s">
        <v>12080</v>
      </c>
      <c r="D10001" s="834">
        <v>11.66</v>
      </c>
    </row>
    <row r="10002" spans="1:4" x14ac:dyDescent="0.3">
      <c r="A10002" s="4">
        <v>11032</v>
      </c>
      <c r="B10002" s="833" t="s">
        <v>14265</v>
      </c>
      <c r="C10002" s="4" t="s">
        <v>12080</v>
      </c>
      <c r="D10002" s="834">
        <v>12.98</v>
      </c>
    </row>
    <row r="10003" spans="1:4" x14ac:dyDescent="0.3">
      <c r="A10003" s="4">
        <v>36786</v>
      </c>
      <c r="B10003" s="833" t="s">
        <v>14266</v>
      </c>
      <c r="C10003" s="4" t="s">
        <v>14267</v>
      </c>
      <c r="D10003" s="834">
        <v>154.63999999999999</v>
      </c>
    </row>
    <row r="10004" spans="1:4" x14ac:dyDescent="0.3">
      <c r="A10004" s="4">
        <v>36785</v>
      </c>
      <c r="B10004" s="833" t="s">
        <v>14268</v>
      </c>
      <c r="C10004" s="4" t="s">
        <v>14267</v>
      </c>
      <c r="D10004" s="834">
        <v>134.38</v>
      </c>
    </row>
    <row r="10005" spans="1:4" x14ac:dyDescent="0.3">
      <c r="A10005" s="4">
        <v>36782</v>
      </c>
      <c r="B10005" s="833" t="s">
        <v>14269</v>
      </c>
      <c r="C10005" s="4" t="s">
        <v>14267</v>
      </c>
      <c r="D10005" s="834">
        <v>160.4</v>
      </c>
    </row>
    <row r="10006" spans="1:4" x14ac:dyDescent="0.3">
      <c r="A10006" s="4">
        <v>44481</v>
      </c>
      <c r="B10006" s="833" t="s">
        <v>14270</v>
      </c>
      <c r="C10006" s="4" t="s">
        <v>14267</v>
      </c>
      <c r="D10006" s="834">
        <v>180.68</v>
      </c>
    </row>
    <row r="10007" spans="1:4" x14ac:dyDescent="0.3">
      <c r="A10007" s="4">
        <v>4824</v>
      </c>
      <c r="B10007" s="833" t="s">
        <v>14271</v>
      </c>
      <c r="C10007" s="4" t="s">
        <v>12126</v>
      </c>
      <c r="D10007" s="834">
        <v>0.49</v>
      </c>
    </row>
    <row r="10008" spans="1:4" x14ac:dyDescent="0.3">
      <c r="A10008" s="4">
        <v>11795</v>
      </c>
      <c r="B10008" s="833" t="s">
        <v>14272</v>
      </c>
      <c r="C10008" s="4" t="s">
        <v>12481</v>
      </c>
      <c r="D10008" s="834">
        <v>517.94000000000005</v>
      </c>
    </row>
    <row r="10009" spans="1:4" x14ac:dyDescent="0.3">
      <c r="A10009" s="4">
        <v>134</v>
      </c>
      <c r="B10009" s="833" t="s">
        <v>14273</v>
      </c>
      <c r="C10009" s="4" t="s">
        <v>12126</v>
      </c>
      <c r="D10009" s="834">
        <v>1.95</v>
      </c>
    </row>
    <row r="10010" spans="1:4" x14ac:dyDescent="0.3">
      <c r="A10010" s="4">
        <v>4229</v>
      </c>
      <c r="B10010" s="833" t="s">
        <v>14274</v>
      </c>
      <c r="C10010" s="4" t="s">
        <v>12126</v>
      </c>
      <c r="D10010" s="834">
        <v>44.24</v>
      </c>
    </row>
    <row r="10011" spans="1:4" x14ac:dyDescent="0.3">
      <c r="A10011" s="4">
        <v>11731</v>
      </c>
      <c r="B10011" s="833" t="s">
        <v>14275</v>
      </c>
      <c r="C10011" s="4" t="s">
        <v>12080</v>
      </c>
      <c r="D10011" s="834">
        <v>13.94</v>
      </c>
    </row>
    <row r="10012" spans="1:4" x14ac:dyDescent="0.3">
      <c r="A10012" s="4">
        <v>11732</v>
      </c>
      <c r="B10012" s="833" t="s">
        <v>14276</v>
      </c>
      <c r="C10012" s="4" t="s">
        <v>12080</v>
      </c>
      <c r="D10012" s="834">
        <v>36.53</v>
      </c>
    </row>
    <row r="10013" spans="1:4" x14ac:dyDescent="0.3">
      <c r="A10013" s="4">
        <v>11244</v>
      </c>
      <c r="B10013" s="833" t="s">
        <v>14277</v>
      </c>
      <c r="C10013" s="4" t="s">
        <v>12080</v>
      </c>
      <c r="D10013" s="834">
        <v>180.41</v>
      </c>
    </row>
    <row r="10014" spans="1:4" x14ac:dyDescent="0.3">
      <c r="A10014" s="4">
        <v>11235</v>
      </c>
      <c r="B10014" s="833" t="s">
        <v>14278</v>
      </c>
      <c r="C10014" s="4" t="s">
        <v>12080</v>
      </c>
      <c r="D10014" s="834">
        <v>137.66999999999999</v>
      </c>
    </row>
    <row r="10015" spans="1:4" x14ac:dyDescent="0.3">
      <c r="A10015" s="4">
        <v>11236</v>
      </c>
      <c r="B10015" s="833" t="s">
        <v>14279</v>
      </c>
      <c r="C10015" s="4" t="s">
        <v>12080</v>
      </c>
      <c r="D10015" s="834">
        <v>174.96</v>
      </c>
    </row>
    <row r="10016" spans="1:4" x14ac:dyDescent="0.3">
      <c r="A10016" s="4">
        <v>11245</v>
      </c>
      <c r="B10016" s="833" t="s">
        <v>14280</v>
      </c>
      <c r="C10016" s="4" t="s">
        <v>12080</v>
      </c>
      <c r="D10016" s="834">
        <v>249.53</v>
      </c>
    </row>
    <row r="10017" spans="1:4" x14ac:dyDescent="0.3">
      <c r="A10017" s="4">
        <v>36494</v>
      </c>
      <c r="B10017" s="833" t="s">
        <v>14281</v>
      </c>
      <c r="C10017" s="4" t="s">
        <v>12080</v>
      </c>
      <c r="D10017" s="834">
        <v>746558.98</v>
      </c>
    </row>
    <row r="10018" spans="1:4" x14ac:dyDescent="0.3">
      <c r="A10018" s="4">
        <v>36493</v>
      </c>
      <c r="B10018" s="833" t="s">
        <v>14282</v>
      </c>
      <c r="C10018" s="4" t="s">
        <v>12080</v>
      </c>
      <c r="D10018" s="834">
        <v>845821</v>
      </c>
    </row>
    <row r="10019" spans="1:4" x14ac:dyDescent="0.3">
      <c r="A10019" s="4">
        <v>36492</v>
      </c>
      <c r="B10019" s="833" t="s">
        <v>14283</v>
      </c>
      <c r="C10019" s="4" t="s">
        <v>12080</v>
      </c>
      <c r="D10019" s="834">
        <v>1571214.64</v>
      </c>
    </row>
    <row r="10020" spans="1:4" x14ac:dyDescent="0.3">
      <c r="A10020" s="4">
        <v>36499</v>
      </c>
      <c r="B10020" s="833" t="s">
        <v>14284</v>
      </c>
      <c r="C10020" s="4" t="s">
        <v>12080</v>
      </c>
      <c r="D10020" s="834">
        <v>4644.33</v>
      </c>
    </row>
    <row r="10021" spans="1:4" x14ac:dyDescent="0.3">
      <c r="A10021" s="4">
        <v>13533</v>
      </c>
      <c r="B10021" s="833" t="s">
        <v>14285</v>
      </c>
      <c r="C10021" s="4" t="s">
        <v>12080</v>
      </c>
      <c r="D10021" s="834">
        <v>212898.11</v>
      </c>
    </row>
    <row r="10022" spans="1:4" x14ac:dyDescent="0.3">
      <c r="A10022" s="4">
        <v>13333</v>
      </c>
      <c r="B10022" s="833" t="s">
        <v>14286</v>
      </c>
      <c r="C10022" s="4" t="s">
        <v>12080</v>
      </c>
      <c r="D10022" s="834">
        <v>238170.66</v>
      </c>
    </row>
    <row r="10023" spans="1:4" x14ac:dyDescent="0.3">
      <c r="A10023" s="4">
        <v>39585</v>
      </c>
      <c r="B10023" s="833" t="s">
        <v>14287</v>
      </c>
      <c r="C10023" s="4" t="s">
        <v>12080</v>
      </c>
      <c r="D10023" s="834">
        <v>153786.79</v>
      </c>
    </row>
    <row r="10024" spans="1:4" x14ac:dyDescent="0.3">
      <c r="A10024" s="4">
        <v>39586</v>
      </c>
      <c r="B10024" s="833" t="s">
        <v>14288</v>
      </c>
      <c r="C10024" s="4" t="s">
        <v>12080</v>
      </c>
      <c r="D10024" s="834">
        <v>180381.49</v>
      </c>
    </row>
    <row r="10025" spans="1:4" x14ac:dyDescent="0.3">
      <c r="A10025" s="4">
        <v>39587</v>
      </c>
      <c r="B10025" s="833" t="s">
        <v>14289</v>
      </c>
      <c r="C10025" s="4" t="s">
        <v>12080</v>
      </c>
      <c r="D10025" s="834">
        <v>219695.42</v>
      </c>
    </row>
    <row r="10026" spans="1:4" x14ac:dyDescent="0.3">
      <c r="A10026" s="4">
        <v>39588</v>
      </c>
      <c r="B10026" s="833" t="s">
        <v>14290</v>
      </c>
      <c r="C10026" s="4" t="s">
        <v>12080</v>
      </c>
      <c r="D10026" s="834">
        <v>254384.16</v>
      </c>
    </row>
    <row r="10027" spans="1:4" x14ac:dyDescent="0.3">
      <c r="A10027" s="4">
        <v>39584</v>
      </c>
      <c r="B10027" s="833" t="s">
        <v>14291</v>
      </c>
      <c r="C10027" s="4" t="s">
        <v>12080</v>
      </c>
      <c r="D10027" s="834">
        <v>136951.18</v>
      </c>
    </row>
    <row r="10028" spans="1:4" x14ac:dyDescent="0.3">
      <c r="A10028" s="4">
        <v>39590</v>
      </c>
      <c r="B10028" s="833" t="s">
        <v>14292</v>
      </c>
      <c r="C10028" s="4" t="s">
        <v>12080</v>
      </c>
      <c r="D10028" s="834">
        <v>133667.32</v>
      </c>
    </row>
    <row r="10029" spans="1:4" x14ac:dyDescent="0.3">
      <c r="A10029" s="4">
        <v>39592</v>
      </c>
      <c r="B10029" s="833" t="s">
        <v>14293</v>
      </c>
      <c r="C10029" s="4" t="s">
        <v>12080</v>
      </c>
      <c r="D10029" s="834">
        <v>192083.16</v>
      </c>
    </row>
    <row r="10030" spans="1:4" x14ac:dyDescent="0.3">
      <c r="A10030" s="4">
        <v>39593</v>
      </c>
      <c r="B10030" s="833" t="s">
        <v>14294</v>
      </c>
      <c r="C10030" s="4" t="s">
        <v>12080</v>
      </c>
      <c r="D10030" s="834">
        <v>219695.42</v>
      </c>
    </row>
    <row r="10031" spans="1:4" x14ac:dyDescent="0.3">
      <c r="A10031" s="4">
        <v>14254</v>
      </c>
      <c r="B10031" s="833" t="s">
        <v>14295</v>
      </c>
      <c r="C10031" s="4" t="s">
        <v>12080</v>
      </c>
      <c r="D10031" s="834">
        <v>124879.5</v>
      </c>
    </row>
    <row r="10032" spans="1:4" x14ac:dyDescent="0.3">
      <c r="A10032" s="4">
        <v>44494</v>
      </c>
      <c r="B10032" s="833" t="s">
        <v>14296</v>
      </c>
      <c r="C10032" s="4" t="s">
        <v>12080</v>
      </c>
      <c r="D10032" s="834">
        <v>104284.34</v>
      </c>
    </row>
    <row r="10033" spans="1:4" x14ac:dyDescent="0.3">
      <c r="A10033" s="4">
        <v>25019</v>
      </c>
      <c r="B10033" s="833" t="s">
        <v>14297</v>
      </c>
      <c r="C10033" s="4" t="s">
        <v>12080</v>
      </c>
      <c r="D10033" s="834">
        <v>178755.02</v>
      </c>
    </row>
    <row r="10034" spans="1:4" x14ac:dyDescent="0.3">
      <c r="A10034" s="4">
        <v>36501</v>
      </c>
      <c r="B10034" s="833" t="s">
        <v>14298</v>
      </c>
      <c r="C10034" s="4" t="s">
        <v>12080</v>
      </c>
      <c r="D10034" s="834">
        <v>159153.57</v>
      </c>
    </row>
    <row r="10035" spans="1:4" x14ac:dyDescent="0.3">
      <c r="A10035" s="4">
        <v>44493</v>
      </c>
      <c r="B10035" s="833" t="s">
        <v>14299</v>
      </c>
      <c r="C10035" s="4" t="s">
        <v>12080</v>
      </c>
      <c r="D10035" s="834">
        <v>191333.08</v>
      </c>
    </row>
    <row r="10036" spans="1:4" x14ac:dyDescent="0.3">
      <c r="A10036" s="4">
        <v>36500</v>
      </c>
      <c r="B10036" s="833" t="s">
        <v>14300</v>
      </c>
      <c r="C10036" s="4" t="s">
        <v>12080</v>
      </c>
      <c r="D10036" s="834">
        <v>112469.48</v>
      </c>
    </row>
    <row r="10037" spans="1:4" x14ac:dyDescent="0.3">
      <c r="A10037" s="4">
        <v>20017</v>
      </c>
      <c r="B10037" s="833" t="s">
        <v>14301</v>
      </c>
      <c r="C10037" s="4" t="s">
        <v>1803</v>
      </c>
      <c r="D10037" s="834">
        <v>9.98</v>
      </c>
    </row>
    <row r="10038" spans="1:4" x14ac:dyDescent="0.3">
      <c r="A10038" s="4">
        <v>20007</v>
      </c>
      <c r="B10038" s="833" t="s">
        <v>14302</v>
      </c>
      <c r="C10038" s="4" t="s">
        <v>1803</v>
      </c>
      <c r="D10038" s="834">
        <v>5.96</v>
      </c>
    </row>
    <row r="10039" spans="1:4" x14ac:dyDescent="0.3">
      <c r="A10039" s="4">
        <v>39831</v>
      </c>
      <c r="B10039" s="833" t="s">
        <v>14303</v>
      </c>
      <c r="C10039" s="4" t="s">
        <v>12530</v>
      </c>
      <c r="D10039" s="834">
        <v>276.56</v>
      </c>
    </row>
    <row r="10040" spans="1:4" x14ac:dyDescent="0.3">
      <c r="A10040" s="4">
        <v>36888</v>
      </c>
      <c r="B10040" s="833" t="s">
        <v>14304</v>
      </c>
      <c r="C10040" s="4" t="s">
        <v>1803</v>
      </c>
      <c r="D10040" s="834">
        <v>32.33</v>
      </c>
    </row>
    <row r="10041" spans="1:4" x14ac:dyDescent="0.3">
      <c r="A10041" s="4">
        <v>39836</v>
      </c>
      <c r="B10041" s="833" t="s">
        <v>14305</v>
      </c>
      <c r="C10041" s="4" t="s">
        <v>12530</v>
      </c>
      <c r="D10041" s="834">
        <v>243.01</v>
      </c>
    </row>
    <row r="10042" spans="1:4" x14ac:dyDescent="0.3">
      <c r="A10042" s="4">
        <v>39830</v>
      </c>
      <c r="B10042" s="833" t="s">
        <v>14306</v>
      </c>
      <c r="C10042" s="4" t="s">
        <v>12530</v>
      </c>
      <c r="D10042" s="834">
        <v>277.14999999999998</v>
      </c>
    </row>
    <row r="10043" spans="1:4" x14ac:dyDescent="0.3">
      <c r="A10043" s="4">
        <v>40527</v>
      </c>
      <c r="B10043" s="833" t="s">
        <v>14307</v>
      </c>
      <c r="C10043" s="4" t="s">
        <v>12080</v>
      </c>
      <c r="D10043" s="834">
        <v>2248.6999999999998</v>
      </c>
    </row>
    <row r="10044" spans="1:4" x14ac:dyDescent="0.3">
      <c r="A10044" s="4">
        <v>36497</v>
      </c>
      <c r="B10044" s="833" t="s">
        <v>14308</v>
      </c>
      <c r="C10044" s="4" t="s">
        <v>12080</v>
      </c>
      <c r="D10044" s="834">
        <v>2567.14</v>
      </c>
    </row>
    <row r="10045" spans="1:4" x14ac:dyDescent="0.3">
      <c r="A10045" s="4">
        <v>36487</v>
      </c>
      <c r="B10045" s="833" t="s">
        <v>14309</v>
      </c>
      <c r="C10045" s="4" t="s">
        <v>12080</v>
      </c>
      <c r="D10045" s="834">
        <v>4469.78</v>
      </c>
    </row>
    <row r="10046" spans="1:4" x14ac:dyDescent="0.3">
      <c r="A10046" s="4">
        <v>44475</v>
      </c>
      <c r="B10046" s="833" t="s">
        <v>14310</v>
      </c>
      <c r="C10046" s="4" t="s">
        <v>12080</v>
      </c>
      <c r="D10046" s="834">
        <v>1305473.1499999999</v>
      </c>
    </row>
    <row r="10047" spans="1:4" x14ac:dyDescent="0.3">
      <c r="A10047" s="4">
        <v>44474</v>
      </c>
      <c r="B10047" s="833" t="s">
        <v>14311</v>
      </c>
      <c r="C10047" s="4" t="s">
        <v>12080</v>
      </c>
      <c r="D10047" s="834">
        <v>2510525.2999999998</v>
      </c>
    </row>
    <row r="10048" spans="1:4" x14ac:dyDescent="0.3">
      <c r="A10048" s="4">
        <v>44490</v>
      </c>
      <c r="B10048" s="833" t="s">
        <v>14312</v>
      </c>
      <c r="C10048" s="4" t="s">
        <v>12080</v>
      </c>
      <c r="D10048" s="834">
        <v>4267892.99</v>
      </c>
    </row>
    <row r="10049" spans="1:4" x14ac:dyDescent="0.3">
      <c r="A10049" s="4">
        <v>37776</v>
      </c>
      <c r="B10049" s="833" t="s">
        <v>14313</v>
      </c>
      <c r="C10049" s="4" t="s">
        <v>12080</v>
      </c>
      <c r="D10049" s="834">
        <v>261567.29</v>
      </c>
    </row>
    <row r="10050" spans="1:4" x14ac:dyDescent="0.3">
      <c r="A10050" s="4">
        <v>37775</v>
      </c>
      <c r="B10050" s="833" t="s">
        <v>14314</v>
      </c>
      <c r="C10050" s="4" t="s">
        <v>12080</v>
      </c>
      <c r="D10050" s="834">
        <v>411988.28</v>
      </c>
    </row>
    <row r="10051" spans="1:4" x14ac:dyDescent="0.3">
      <c r="A10051" s="4">
        <v>36491</v>
      </c>
      <c r="B10051" s="833" t="s">
        <v>14315</v>
      </c>
      <c r="C10051" s="4" t="s">
        <v>12080</v>
      </c>
      <c r="D10051" s="834">
        <v>1525714.84</v>
      </c>
    </row>
    <row r="10052" spans="1:4" x14ac:dyDescent="0.3">
      <c r="A10052" s="4">
        <v>10712</v>
      </c>
      <c r="B10052" s="833" t="s">
        <v>14316</v>
      </c>
      <c r="C10052" s="4" t="s">
        <v>12080</v>
      </c>
      <c r="D10052" s="834">
        <v>102997.07</v>
      </c>
    </row>
    <row r="10053" spans="1:4" x14ac:dyDescent="0.3">
      <c r="A10053" s="4">
        <v>3363</v>
      </c>
      <c r="B10053" s="833" t="s">
        <v>14317</v>
      </c>
      <c r="C10053" s="4" t="s">
        <v>12080</v>
      </c>
      <c r="D10053" s="834">
        <v>144875</v>
      </c>
    </row>
    <row r="10054" spans="1:4" x14ac:dyDescent="0.3">
      <c r="A10054" s="4">
        <v>3365</v>
      </c>
      <c r="B10054" s="833" t="s">
        <v>14318</v>
      </c>
      <c r="C10054" s="4" t="s">
        <v>12080</v>
      </c>
      <c r="D10054" s="834">
        <v>338645.31</v>
      </c>
    </row>
    <row r="10055" spans="1:4" x14ac:dyDescent="0.3">
      <c r="A10055" s="4">
        <v>7569</v>
      </c>
      <c r="B10055" s="833" t="s">
        <v>14319</v>
      </c>
      <c r="C10055" s="4" t="s">
        <v>12080</v>
      </c>
      <c r="D10055" s="834">
        <v>105.3</v>
      </c>
    </row>
    <row r="10056" spans="1:4" x14ac:dyDescent="0.3">
      <c r="A10056" s="4">
        <v>3378</v>
      </c>
      <c r="B10056" s="833" t="s">
        <v>14320</v>
      </c>
      <c r="C10056" s="4" t="s">
        <v>12080</v>
      </c>
      <c r="D10056" s="834">
        <v>88.59</v>
      </c>
    </row>
    <row r="10057" spans="1:4" x14ac:dyDescent="0.3">
      <c r="A10057" s="4">
        <v>3380</v>
      </c>
      <c r="B10057" s="833" t="s">
        <v>14321</v>
      </c>
      <c r="C10057" s="4" t="s">
        <v>12080</v>
      </c>
      <c r="D10057" s="834">
        <v>62.02</v>
      </c>
    </row>
    <row r="10058" spans="1:4" x14ac:dyDescent="0.3">
      <c r="A10058" s="4">
        <v>3379</v>
      </c>
      <c r="B10058" s="833" t="s">
        <v>14322</v>
      </c>
      <c r="C10058" s="4" t="s">
        <v>12080</v>
      </c>
      <c r="D10058" s="834">
        <v>59.88</v>
      </c>
    </row>
    <row r="10059" spans="1:4" x14ac:dyDescent="0.3">
      <c r="A10059" s="4">
        <v>11991</v>
      </c>
      <c r="B10059" s="833" t="s">
        <v>14323</v>
      </c>
      <c r="C10059" s="4" t="s">
        <v>12080</v>
      </c>
      <c r="D10059" s="834">
        <v>69.52</v>
      </c>
    </row>
    <row r="10060" spans="1:4" x14ac:dyDescent="0.3">
      <c r="A10060" s="4">
        <v>44305</v>
      </c>
      <c r="B10060" s="833" t="s">
        <v>14324</v>
      </c>
      <c r="C10060" s="4" t="s">
        <v>12080</v>
      </c>
      <c r="D10060" s="834">
        <v>1861.46</v>
      </c>
    </row>
    <row r="10061" spans="1:4" x14ac:dyDescent="0.3">
      <c r="A10061" s="4">
        <v>34349</v>
      </c>
      <c r="B10061" s="833" t="s">
        <v>14325</v>
      </c>
      <c r="C10061" s="4" t="s">
        <v>12080</v>
      </c>
      <c r="D10061" s="834">
        <v>24.85</v>
      </c>
    </row>
    <row r="10062" spans="1:4" x14ac:dyDescent="0.3">
      <c r="A10062" s="4">
        <v>11029</v>
      </c>
      <c r="B10062" s="833" t="s">
        <v>14326</v>
      </c>
      <c r="C10062" s="4" t="s">
        <v>13451</v>
      </c>
      <c r="D10062" s="834">
        <v>1.99</v>
      </c>
    </row>
    <row r="10063" spans="1:4" x14ac:dyDescent="0.3">
      <c r="A10063" s="4">
        <v>4316</v>
      </c>
      <c r="B10063" s="833" t="s">
        <v>14327</v>
      </c>
      <c r="C10063" s="4" t="s">
        <v>12080</v>
      </c>
      <c r="D10063" s="834">
        <v>2.0099999999999998</v>
      </c>
    </row>
    <row r="10064" spans="1:4" x14ac:dyDescent="0.3">
      <c r="A10064" s="4">
        <v>4313</v>
      </c>
      <c r="B10064" s="833" t="s">
        <v>14328</v>
      </c>
      <c r="C10064" s="4" t="s">
        <v>13451</v>
      </c>
      <c r="D10064" s="834">
        <v>2.88</v>
      </c>
    </row>
    <row r="10065" spans="1:4" x14ac:dyDescent="0.3">
      <c r="A10065" s="4">
        <v>4317</v>
      </c>
      <c r="B10065" s="833" t="s">
        <v>14329</v>
      </c>
      <c r="C10065" s="4" t="s">
        <v>12080</v>
      </c>
      <c r="D10065" s="834">
        <v>3.28</v>
      </c>
    </row>
    <row r="10066" spans="1:4" x14ac:dyDescent="0.3">
      <c r="A10066" s="4">
        <v>4314</v>
      </c>
      <c r="B10066" s="833" t="s">
        <v>14330</v>
      </c>
      <c r="C10066" s="4" t="s">
        <v>13451</v>
      </c>
      <c r="D10066" s="834">
        <v>3.84</v>
      </c>
    </row>
    <row r="10067" spans="1:4" x14ac:dyDescent="0.3">
      <c r="A10067" s="4">
        <v>10921</v>
      </c>
      <c r="B10067" s="833" t="s">
        <v>14331</v>
      </c>
      <c r="C10067" s="4" t="s">
        <v>12080</v>
      </c>
      <c r="D10067" s="834">
        <v>5608</v>
      </c>
    </row>
    <row r="10068" spans="1:4" x14ac:dyDescent="0.3">
      <c r="A10068" s="4">
        <v>10922</v>
      </c>
      <c r="B10068" s="833" t="s">
        <v>14332</v>
      </c>
      <c r="C10068" s="4" t="s">
        <v>12080</v>
      </c>
      <c r="D10068" s="834">
        <v>5079.58</v>
      </c>
    </row>
    <row r="10069" spans="1:4" x14ac:dyDescent="0.3">
      <c r="A10069" s="4">
        <v>10923</v>
      </c>
      <c r="B10069" s="833" t="s">
        <v>14333</v>
      </c>
      <c r="C10069" s="4" t="s">
        <v>12080</v>
      </c>
      <c r="D10069" s="834">
        <v>3002.25</v>
      </c>
    </row>
    <row r="10070" spans="1:4" x14ac:dyDescent="0.3">
      <c r="A10070" s="4">
        <v>10924</v>
      </c>
      <c r="B10070" s="833" t="s">
        <v>14334</v>
      </c>
      <c r="C10070" s="4" t="s">
        <v>12080</v>
      </c>
      <c r="D10070" s="834">
        <v>3161.95</v>
      </c>
    </row>
    <row r="10071" spans="1:4" x14ac:dyDescent="0.3">
      <c r="A10071" s="4">
        <v>37772</v>
      </c>
      <c r="B10071" s="833" t="s">
        <v>14335</v>
      </c>
      <c r="C10071" s="4" t="s">
        <v>12080</v>
      </c>
      <c r="D10071" s="834">
        <v>342998.8</v>
      </c>
    </row>
    <row r="10072" spans="1:4" x14ac:dyDescent="0.3">
      <c r="A10072" s="4">
        <v>37771</v>
      </c>
      <c r="B10072" s="833" t="s">
        <v>14336</v>
      </c>
      <c r="C10072" s="4" t="s">
        <v>12080</v>
      </c>
      <c r="D10072" s="834">
        <v>364896.09</v>
      </c>
    </row>
    <row r="10073" spans="1:4" x14ac:dyDescent="0.3">
      <c r="A10073" s="4">
        <v>12772</v>
      </c>
      <c r="B10073" s="833" t="s">
        <v>14337</v>
      </c>
      <c r="C10073" s="4" t="s">
        <v>12080</v>
      </c>
      <c r="D10073" s="834">
        <v>799.62</v>
      </c>
    </row>
    <row r="10074" spans="1:4" x14ac:dyDescent="0.3">
      <c r="A10074" s="4">
        <v>12770</v>
      </c>
      <c r="B10074" s="833" t="s">
        <v>14338</v>
      </c>
      <c r="C10074" s="4" t="s">
        <v>12080</v>
      </c>
      <c r="D10074" s="834">
        <v>481.12</v>
      </c>
    </row>
    <row r="10075" spans="1:4" x14ac:dyDescent="0.3">
      <c r="A10075" s="4">
        <v>12775</v>
      </c>
      <c r="B10075" s="833" t="s">
        <v>14339</v>
      </c>
      <c r="C10075" s="4" t="s">
        <v>12080</v>
      </c>
      <c r="D10075" s="834">
        <v>352.37</v>
      </c>
    </row>
    <row r="10076" spans="1:4" x14ac:dyDescent="0.3">
      <c r="A10076" s="4">
        <v>12768</v>
      </c>
      <c r="B10076" s="833" t="s">
        <v>14340</v>
      </c>
      <c r="C10076" s="4" t="s">
        <v>12080</v>
      </c>
      <c r="D10076" s="834">
        <v>1124.8900000000001</v>
      </c>
    </row>
    <row r="10077" spans="1:4" x14ac:dyDescent="0.3">
      <c r="A10077" s="4">
        <v>12769</v>
      </c>
      <c r="B10077" s="833" t="s">
        <v>14341</v>
      </c>
      <c r="C10077" s="4" t="s">
        <v>12080</v>
      </c>
      <c r="D10077" s="834">
        <v>92.16</v>
      </c>
    </row>
    <row r="10078" spans="1:4" x14ac:dyDescent="0.3">
      <c r="A10078" s="4">
        <v>12773</v>
      </c>
      <c r="B10078" s="833" t="s">
        <v>14342</v>
      </c>
      <c r="C10078" s="4" t="s">
        <v>12080</v>
      </c>
      <c r="D10078" s="834">
        <v>98.93</v>
      </c>
    </row>
    <row r="10079" spans="1:4" x14ac:dyDescent="0.3">
      <c r="A10079" s="4">
        <v>12774</v>
      </c>
      <c r="B10079" s="833" t="s">
        <v>14343</v>
      </c>
      <c r="C10079" s="4" t="s">
        <v>12080</v>
      </c>
      <c r="D10079" s="834">
        <v>121.97</v>
      </c>
    </row>
    <row r="10080" spans="1:4" x14ac:dyDescent="0.3">
      <c r="A10080" s="4">
        <v>12776</v>
      </c>
      <c r="B10080" s="833" t="s">
        <v>14344</v>
      </c>
      <c r="C10080" s="4" t="s">
        <v>12080</v>
      </c>
      <c r="D10080" s="834">
        <v>1816.09</v>
      </c>
    </row>
    <row r="10081" spans="1:4" x14ac:dyDescent="0.3">
      <c r="A10081" s="4">
        <v>12777</v>
      </c>
      <c r="B10081" s="833" t="s">
        <v>14345</v>
      </c>
      <c r="C10081" s="4" t="s">
        <v>12080</v>
      </c>
      <c r="D10081" s="834">
        <v>2371.7600000000002</v>
      </c>
    </row>
    <row r="10082" spans="1:4" x14ac:dyDescent="0.3">
      <c r="A10082" s="4">
        <v>12873</v>
      </c>
      <c r="B10082" s="833" t="s">
        <v>14346</v>
      </c>
      <c r="C10082" s="4" t="s">
        <v>12226</v>
      </c>
      <c r="D10082" s="834">
        <v>21.83</v>
      </c>
    </row>
    <row r="10083" spans="1:4" x14ac:dyDescent="0.3">
      <c r="A10083" s="4">
        <v>41076</v>
      </c>
      <c r="B10083" s="833" t="s">
        <v>14347</v>
      </c>
      <c r="C10083" s="4" t="s">
        <v>12228</v>
      </c>
      <c r="D10083" s="834">
        <v>3886.77</v>
      </c>
    </row>
    <row r="10084" spans="1:4" x14ac:dyDescent="0.3">
      <c r="A10084" s="4">
        <v>140</v>
      </c>
      <c r="B10084" s="833" t="s">
        <v>14348</v>
      </c>
      <c r="C10084" s="4" t="s">
        <v>12126</v>
      </c>
      <c r="D10084" s="834">
        <v>21.79</v>
      </c>
    </row>
    <row r="10085" spans="1:4" x14ac:dyDescent="0.3">
      <c r="A10085" s="4">
        <v>151</v>
      </c>
      <c r="B10085" s="833" t="s">
        <v>14349</v>
      </c>
      <c r="C10085" s="4" t="s">
        <v>12128</v>
      </c>
      <c r="D10085" s="834">
        <v>32.159999999999997</v>
      </c>
    </row>
    <row r="10086" spans="1:4" x14ac:dyDescent="0.3">
      <c r="A10086" s="4">
        <v>7340</v>
      </c>
      <c r="B10086" s="833" t="s">
        <v>14350</v>
      </c>
      <c r="C10086" s="4" t="s">
        <v>12128</v>
      </c>
      <c r="D10086" s="834">
        <v>27.95</v>
      </c>
    </row>
    <row r="10087" spans="1:4" x14ac:dyDescent="0.3">
      <c r="A10087" s="4">
        <v>40929</v>
      </c>
      <c r="B10087" s="833" t="s">
        <v>14351</v>
      </c>
      <c r="C10087" s="4" t="s">
        <v>12228</v>
      </c>
      <c r="D10087" s="834">
        <v>3034.66</v>
      </c>
    </row>
    <row r="10088" spans="1:4" x14ac:dyDescent="0.3">
      <c r="A10088" s="4">
        <v>2701</v>
      </c>
      <c r="B10088" s="833" t="s">
        <v>14352</v>
      </c>
      <c r="C10088" s="4" t="s">
        <v>12226</v>
      </c>
      <c r="D10088" s="834">
        <v>17.04</v>
      </c>
    </row>
    <row r="10089" spans="1:4" x14ac:dyDescent="0.3">
      <c r="A10089" s="4">
        <v>38114</v>
      </c>
      <c r="B10089" s="833" t="s">
        <v>14353</v>
      </c>
      <c r="C10089" s="4" t="s">
        <v>12080</v>
      </c>
      <c r="D10089" s="834">
        <v>22.18</v>
      </c>
    </row>
    <row r="10090" spans="1:4" x14ac:dyDescent="0.3">
      <c r="A10090" s="4">
        <v>38064</v>
      </c>
      <c r="B10090" s="833" t="s">
        <v>14354</v>
      </c>
      <c r="C10090" s="4" t="s">
        <v>12080</v>
      </c>
      <c r="D10090" s="834">
        <v>24.8</v>
      </c>
    </row>
    <row r="10091" spans="1:4" x14ac:dyDescent="0.3">
      <c r="A10091" s="4">
        <v>38115</v>
      </c>
      <c r="B10091" s="833" t="s">
        <v>14355</v>
      </c>
      <c r="C10091" s="4" t="s">
        <v>12080</v>
      </c>
      <c r="D10091" s="834">
        <v>23.69</v>
      </c>
    </row>
    <row r="10092" spans="1:4" x14ac:dyDescent="0.3">
      <c r="A10092" s="4">
        <v>38065</v>
      </c>
      <c r="B10092" s="833" t="s">
        <v>14356</v>
      </c>
      <c r="C10092" s="4" t="s">
        <v>12080</v>
      </c>
      <c r="D10092" s="834">
        <v>35.19</v>
      </c>
    </row>
    <row r="10093" spans="1:4" x14ac:dyDescent="0.3">
      <c r="A10093" s="4">
        <v>38078</v>
      </c>
      <c r="B10093" s="833" t="s">
        <v>14357</v>
      </c>
      <c r="C10093" s="4" t="s">
        <v>12080</v>
      </c>
      <c r="D10093" s="834">
        <v>20.53</v>
      </c>
    </row>
    <row r="10094" spans="1:4" x14ac:dyDescent="0.3">
      <c r="A10094" s="4">
        <v>38113</v>
      </c>
      <c r="B10094" s="833" t="s">
        <v>14358</v>
      </c>
      <c r="C10094" s="4" t="s">
        <v>12080</v>
      </c>
      <c r="D10094" s="834">
        <v>11.15</v>
      </c>
    </row>
    <row r="10095" spans="1:4" x14ac:dyDescent="0.3">
      <c r="A10095" s="4">
        <v>38063</v>
      </c>
      <c r="B10095" s="833" t="s">
        <v>14359</v>
      </c>
      <c r="C10095" s="4" t="s">
        <v>12080</v>
      </c>
      <c r="D10095" s="834">
        <v>11.97</v>
      </c>
    </row>
    <row r="10096" spans="1:4" x14ac:dyDescent="0.3">
      <c r="A10096" s="4">
        <v>38080</v>
      </c>
      <c r="B10096" s="833" t="s">
        <v>14360</v>
      </c>
      <c r="C10096" s="4" t="s">
        <v>12080</v>
      </c>
      <c r="D10096" s="834">
        <v>35.659999999999997</v>
      </c>
    </row>
    <row r="10097" spans="1:4" x14ac:dyDescent="0.3">
      <c r="A10097" s="4">
        <v>38069</v>
      </c>
      <c r="B10097" s="833" t="s">
        <v>14361</v>
      </c>
      <c r="C10097" s="4" t="s">
        <v>12080</v>
      </c>
      <c r="D10097" s="834">
        <v>19.5</v>
      </c>
    </row>
    <row r="10098" spans="1:4" x14ac:dyDescent="0.3">
      <c r="A10098" s="4">
        <v>38077</v>
      </c>
      <c r="B10098" s="833" t="s">
        <v>14362</v>
      </c>
      <c r="C10098" s="4" t="s">
        <v>12080</v>
      </c>
      <c r="D10098" s="834">
        <v>19.059999999999999</v>
      </c>
    </row>
    <row r="10099" spans="1:4" x14ac:dyDescent="0.3">
      <c r="A10099" s="4">
        <v>38073</v>
      </c>
      <c r="B10099" s="833" t="s">
        <v>14363</v>
      </c>
      <c r="C10099" s="4" t="s">
        <v>12080</v>
      </c>
      <c r="D10099" s="834">
        <v>29.03</v>
      </c>
    </row>
    <row r="10100" spans="1:4" x14ac:dyDescent="0.3">
      <c r="A10100" s="4">
        <v>38112</v>
      </c>
      <c r="B10100" s="833" t="s">
        <v>14364</v>
      </c>
      <c r="C10100" s="4" t="s">
        <v>12080</v>
      </c>
      <c r="D10100" s="834">
        <v>8.56</v>
      </c>
    </row>
    <row r="10101" spans="1:4" x14ac:dyDescent="0.3">
      <c r="A10101" s="4">
        <v>38062</v>
      </c>
      <c r="B10101" s="833" t="s">
        <v>14365</v>
      </c>
      <c r="C10101" s="4" t="s">
        <v>12080</v>
      </c>
      <c r="D10101" s="834">
        <v>8.7899999999999991</v>
      </c>
    </row>
    <row r="10102" spans="1:4" x14ac:dyDescent="0.3">
      <c r="A10102" s="4">
        <v>12128</v>
      </c>
      <c r="B10102" s="833" t="s">
        <v>14366</v>
      </c>
      <c r="C10102" s="4" t="s">
        <v>12080</v>
      </c>
      <c r="D10102" s="834">
        <v>11.75</v>
      </c>
    </row>
    <row r="10103" spans="1:4" x14ac:dyDescent="0.3">
      <c r="A10103" s="4">
        <v>12129</v>
      </c>
      <c r="B10103" s="833" t="s">
        <v>14367</v>
      </c>
      <c r="C10103" s="4" t="s">
        <v>12080</v>
      </c>
      <c r="D10103" s="834">
        <v>15.53</v>
      </c>
    </row>
    <row r="10104" spans="1:4" x14ac:dyDescent="0.3">
      <c r="A10104" s="4">
        <v>38081</v>
      </c>
      <c r="B10104" s="833" t="s">
        <v>14368</v>
      </c>
      <c r="C10104" s="4" t="s">
        <v>12080</v>
      </c>
      <c r="D10104" s="834">
        <v>30.25</v>
      </c>
    </row>
    <row r="10105" spans="1:4" x14ac:dyDescent="0.3">
      <c r="A10105" s="4">
        <v>38070</v>
      </c>
      <c r="B10105" s="833" t="s">
        <v>14369</v>
      </c>
      <c r="C10105" s="4" t="s">
        <v>12080</v>
      </c>
      <c r="D10105" s="834">
        <v>20.84</v>
      </c>
    </row>
    <row r="10106" spans="1:4" x14ac:dyDescent="0.3">
      <c r="A10106" s="4">
        <v>38074</v>
      </c>
      <c r="B10106" s="833" t="s">
        <v>14370</v>
      </c>
      <c r="C10106" s="4" t="s">
        <v>12080</v>
      </c>
      <c r="D10106" s="834">
        <v>31.69</v>
      </c>
    </row>
    <row r="10107" spans="1:4" x14ac:dyDescent="0.3">
      <c r="A10107" s="4">
        <v>38079</v>
      </c>
      <c r="B10107" s="833" t="s">
        <v>14371</v>
      </c>
      <c r="C10107" s="4" t="s">
        <v>12080</v>
      </c>
      <c r="D10107" s="834">
        <v>27.2</v>
      </c>
    </row>
    <row r="10108" spans="1:4" x14ac:dyDescent="0.3">
      <c r="A10108" s="4">
        <v>38072</v>
      </c>
      <c r="B10108" s="833" t="s">
        <v>14372</v>
      </c>
      <c r="C10108" s="4" t="s">
        <v>12080</v>
      </c>
      <c r="D10108" s="834">
        <v>26.14</v>
      </c>
    </row>
    <row r="10109" spans="1:4" x14ac:dyDescent="0.3">
      <c r="A10109" s="4">
        <v>38068</v>
      </c>
      <c r="B10109" s="833" t="s">
        <v>14373</v>
      </c>
      <c r="C10109" s="4" t="s">
        <v>12080</v>
      </c>
      <c r="D10109" s="834">
        <v>18.04</v>
      </c>
    </row>
    <row r="10110" spans="1:4" x14ac:dyDescent="0.3">
      <c r="A10110" s="4">
        <v>38071</v>
      </c>
      <c r="B10110" s="833" t="s">
        <v>14374</v>
      </c>
      <c r="C10110" s="4" t="s">
        <v>12080</v>
      </c>
      <c r="D10110" s="834">
        <v>21.57</v>
      </c>
    </row>
    <row r="10111" spans="1:4" x14ac:dyDescent="0.3">
      <c r="A10111" s="4">
        <v>38412</v>
      </c>
      <c r="B10111" s="833" t="s">
        <v>14375</v>
      </c>
      <c r="C10111" s="4" t="s">
        <v>12080</v>
      </c>
      <c r="D10111" s="834">
        <v>849.9</v>
      </c>
    </row>
    <row r="10112" spans="1:4" x14ac:dyDescent="0.3">
      <c r="A10112" s="4">
        <v>3405</v>
      </c>
      <c r="B10112" s="833" t="s">
        <v>14376</v>
      </c>
      <c r="C10112" s="4" t="s">
        <v>12080</v>
      </c>
      <c r="D10112" s="834">
        <v>78.11</v>
      </c>
    </row>
    <row r="10113" spans="1:4" x14ac:dyDescent="0.3">
      <c r="A10113" s="4">
        <v>3394</v>
      </c>
      <c r="B10113" s="833" t="s">
        <v>14377</v>
      </c>
      <c r="C10113" s="4" t="s">
        <v>12080</v>
      </c>
      <c r="D10113" s="834">
        <v>412.34</v>
      </c>
    </row>
    <row r="10114" spans="1:4" x14ac:dyDescent="0.3">
      <c r="A10114" s="4">
        <v>3393</v>
      </c>
      <c r="B10114" s="833" t="s">
        <v>14378</v>
      </c>
      <c r="C10114" s="4" t="s">
        <v>12080</v>
      </c>
      <c r="D10114" s="834">
        <v>702.05</v>
      </c>
    </row>
    <row r="10115" spans="1:4" x14ac:dyDescent="0.3">
      <c r="A10115" s="4">
        <v>3406</v>
      </c>
      <c r="B10115" s="833" t="s">
        <v>14379</v>
      </c>
      <c r="C10115" s="4" t="s">
        <v>12080</v>
      </c>
      <c r="D10115" s="834">
        <v>23.91</v>
      </c>
    </row>
    <row r="10116" spans="1:4" x14ac:dyDescent="0.3">
      <c r="A10116" s="4">
        <v>3395</v>
      </c>
      <c r="B10116" s="833" t="s">
        <v>14380</v>
      </c>
      <c r="C10116" s="4" t="s">
        <v>12080</v>
      </c>
      <c r="D10116" s="834">
        <v>100.86</v>
      </c>
    </row>
    <row r="10117" spans="1:4" x14ac:dyDescent="0.3">
      <c r="A10117" s="4">
        <v>3398</v>
      </c>
      <c r="B10117" s="833" t="s">
        <v>14381</v>
      </c>
      <c r="C10117" s="4" t="s">
        <v>12080</v>
      </c>
      <c r="D10117" s="834">
        <v>4.79</v>
      </c>
    </row>
    <row r="10118" spans="1:4" x14ac:dyDescent="0.3">
      <c r="A10118" s="4">
        <v>40662</v>
      </c>
      <c r="B10118" s="833" t="s">
        <v>14382</v>
      </c>
      <c r="C10118" s="4" t="s">
        <v>12080</v>
      </c>
      <c r="D10118" s="834">
        <v>216.4</v>
      </c>
    </row>
    <row r="10119" spans="1:4" x14ac:dyDescent="0.3">
      <c r="A10119" s="4">
        <v>3437</v>
      </c>
      <c r="B10119" s="833" t="s">
        <v>14383</v>
      </c>
      <c r="C10119" s="4" t="s">
        <v>12481</v>
      </c>
      <c r="D10119" s="834">
        <v>601.13</v>
      </c>
    </row>
    <row r="10120" spans="1:4" x14ac:dyDescent="0.3">
      <c r="A10120" s="4">
        <v>11190</v>
      </c>
      <c r="B10120" s="833" t="s">
        <v>14384</v>
      </c>
      <c r="C10120" s="4" t="s">
        <v>12080</v>
      </c>
      <c r="D10120" s="834">
        <v>174.93</v>
      </c>
    </row>
    <row r="10121" spans="1:4" x14ac:dyDescent="0.3">
      <c r="A10121" s="4">
        <v>34377</v>
      </c>
      <c r="B10121" s="833" t="s">
        <v>14385</v>
      </c>
      <c r="C10121" s="4" t="s">
        <v>12080</v>
      </c>
      <c r="D10121" s="834">
        <v>227.64</v>
      </c>
    </row>
    <row r="10122" spans="1:4" x14ac:dyDescent="0.3">
      <c r="A10122" s="4">
        <v>3428</v>
      </c>
      <c r="B10122" s="833" t="s">
        <v>14386</v>
      </c>
      <c r="C10122" s="4" t="s">
        <v>12481</v>
      </c>
      <c r="D10122" s="834">
        <v>891.67</v>
      </c>
    </row>
    <row r="10123" spans="1:4" x14ac:dyDescent="0.3">
      <c r="A10123" s="4">
        <v>3429</v>
      </c>
      <c r="B10123" s="833" t="s">
        <v>14387</v>
      </c>
      <c r="C10123" s="4" t="s">
        <v>12481</v>
      </c>
      <c r="D10123" s="834">
        <v>509.45</v>
      </c>
    </row>
    <row r="10124" spans="1:4" x14ac:dyDescent="0.3">
      <c r="A10124" s="4">
        <v>11199</v>
      </c>
      <c r="B10124" s="833" t="s">
        <v>14388</v>
      </c>
      <c r="C10124" s="4" t="s">
        <v>12080</v>
      </c>
      <c r="D10124" s="834">
        <v>966.1</v>
      </c>
    </row>
    <row r="10125" spans="1:4" x14ac:dyDescent="0.3">
      <c r="A10125" s="4">
        <v>36896</v>
      </c>
      <c r="B10125" s="833" t="s">
        <v>14389</v>
      </c>
      <c r="C10125" s="4" t="s">
        <v>12080</v>
      </c>
      <c r="D10125" s="834">
        <v>440.9</v>
      </c>
    </row>
    <row r="10126" spans="1:4" x14ac:dyDescent="0.3">
      <c r="A10126" s="4">
        <v>34367</v>
      </c>
      <c r="B10126" s="833" t="s">
        <v>14390</v>
      </c>
      <c r="C10126" s="4" t="s">
        <v>12080</v>
      </c>
      <c r="D10126" s="834">
        <v>568.25</v>
      </c>
    </row>
    <row r="10127" spans="1:4" x14ac:dyDescent="0.3">
      <c r="A10127" s="4">
        <v>36897</v>
      </c>
      <c r="B10127" s="833" t="s">
        <v>14391</v>
      </c>
      <c r="C10127" s="4" t="s">
        <v>12080</v>
      </c>
      <c r="D10127" s="834">
        <v>688.01</v>
      </c>
    </row>
    <row r="10128" spans="1:4" x14ac:dyDescent="0.3">
      <c r="A10128" s="4">
        <v>34369</v>
      </c>
      <c r="B10128" s="833" t="s">
        <v>14392</v>
      </c>
      <c r="C10128" s="4" t="s">
        <v>12080</v>
      </c>
      <c r="D10128" s="834">
        <v>791.78</v>
      </c>
    </row>
    <row r="10129" spans="1:4" x14ac:dyDescent="0.3">
      <c r="A10129" s="4">
        <v>34364</v>
      </c>
      <c r="B10129" s="833" t="s">
        <v>14393</v>
      </c>
      <c r="C10129" s="4" t="s">
        <v>12080</v>
      </c>
      <c r="D10129" s="834">
        <v>746.95</v>
      </c>
    </row>
    <row r="10130" spans="1:4" x14ac:dyDescent="0.3">
      <c r="A10130" s="4">
        <v>40659</v>
      </c>
      <c r="B10130" s="833" t="s">
        <v>14394</v>
      </c>
      <c r="C10130" s="4" t="s">
        <v>12481</v>
      </c>
      <c r="D10130" s="834">
        <v>850.51</v>
      </c>
    </row>
    <row r="10131" spans="1:4" x14ac:dyDescent="0.3">
      <c r="A10131" s="4">
        <v>40660</v>
      </c>
      <c r="B10131" s="833" t="s">
        <v>14395</v>
      </c>
      <c r="C10131" s="4" t="s">
        <v>12481</v>
      </c>
      <c r="D10131" s="834">
        <v>1077.92</v>
      </c>
    </row>
    <row r="10132" spans="1:4" x14ac:dyDescent="0.3">
      <c r="A10132" s="4">
        <v>40661</v>
      </c>
      <c r="B10132" s="833" t="s">
        <v>14396</v>
      </c>
      <c r="C10132" s="4" t="s">
        <v>12481</v>
      </c>
      <c r="D10132" s="834">
        <v>662.73</v>
      </c>
    </row>
    <row r="10133" spans="1:4" x14ac:dyDescent="0.3">
      <c r="A10133" s="4">
        <v>3421</v>
      </c>
      <c r="B10133" s="833" t="s">
        <v>14397</v>
      </c>
      <c r="C10133" s="4" t="s">
        <v>12481</v>
      </c>
      <c r="D10133" s="834">
        <v>667.8</v>
      </c>
    </row>
    <row r="10134" spans="1:4" x14ac:dyDescent="0.3">
      <c r="A10134" s="4">
        <v>599</v>
      </c>
      <c r="B10134" s="833" t="s">
        <v>14398</v>
      </c>
      <c r="C10134" s="4" t="s">
        <v>12481</v>
      </c>
      <c r="D10134" s="834">
        <v>804.1</v>
      </c>
    </row>
    <row r="10135" spans="1:4" x14ac:dyDescent="0.3">
      <c r="A10135" s="4">
        <v>44053</v>
      </c>
      <c r="B10135" s="833" t="s">
        <v>14399</v>
      </c>
      <c r="C10135" s="4" t="s">
        <v>12080</v>
      </c>
      <c r="D10135" s="834">
        <v>1784.74</v>
      </c>
    </row>
    <row r="10136" spans="1:4" x14ac:dyDescent="0.3">
      <c r="A10136" s="4">
        <v>3423</v>
      </c>
      <c r="B10136" s="833" t="s">
        <v>14400</v>
      </c>
      <c r="C10136" s="4" t="s">
        <v>12481</v>
      </c>
      <c r="D10136" s="834">
        <v>941.76</v>
      </c>
    </row>
    <row r="10137" spans="1:4" x14ac:dyDescent="0.3">
      <c r="A10137" s="4">
        <v>34797</v>
      </c>
      <c r="B10137" s="833" t="s">
        <v>14401</v>
      </c>
      <c r="C10137" s="4" t="s">
        <v>12080</v>
      </c>
      <c r="D10137" s="834">
        <v>381.02</v>
      </c>
    </row>
    <row r="10138" spans="1:4" x14ac:dyDescent="0.3">
      <c r="A10138" s="4">
        <v>34381</v>
      </c>
      <c r="B10138" s="833" t="s">
        <v>14402</v>
      </c>
      <c r="C10138" s="4" t="s">
        <v>12080</v>
      </c>
      <c r="D10138" s="834">
        <v>324.68</v>
      </c>
    </row>
    <row r="10139" spans="1:4" x14ac:dyDescent="0.3">
      <c r="A10139" s="4">
        <v>44054</v>
      </c>
      <c r="B10139" s="833" t="s">
        <v>14403</v>
      </c>
      <c r="C10139" s="4" t="s">
        <v>12080</v>
      </c>
      <c r="D10139" s="834">
        <v>640.25</v>
      </c>
    </row>
    <row r="10140" spans="1:4" x14ac:dyDescent="0.3">
      <c r="A10140" s="4">
        <v>44399</v>
      </c>
      <c r="B10140" s="833" t="s">
        <v>14404</v>
      </c>
      <c r="C10140" s="4" t="s">
        <v>12080</v>
      </c>
      <c r="D10140" s="834">
        <v>874.8</v>
      </c>
    </row>
    <row r="10141" spans="1:4" x14ac:dyDescent="0.3">
      <c r="A10141" s="4">
        <v>44503</v>
      </c>
      <c r="B10141" s="833" t="s">
        <v>14405</v>
      </c>
      <c r="C10141" s="4" t="s">
        <v>12226</v>
      </c>
      <c r="D10141" s="834">
        <v>18.78</v>
      </c>
    </row>
    <row r="10142" spans="1:4" x14ac:dyDescent="0.3">
      <c r="A10142" s="4">
        <v>41077</v>
      </c>
      <c r="B10142" s="833" t="s">
        <v>14406</v>
      </c>
      <c r="C10142" s="4" t="s">
        <v>12228</v>
      </c>
      <c r="D10142" s="834">
        <v>3345.26</v>
      </c>
    </row>
    <row r="10143" spans="1:4" x14ac:dyDescent="0.3">
      <c r="A10143" s="4">
        <v>37963</v>
      </c>
      <c r="B10143" s="833" t="s">
        <v>14407</v>
      </c>
      <c r="C10143" s="4" t="s">
        <v>12080</v>
      </c>
      <c r="D10143" s="834">
        <v>4.51</v>
      </c>
    </row>
    <row r="10144" spans="1:4" x14ac:dyDescent="0.3">
      <c r="A10144" s="4">
        <v>37964</v>
      </c>
      <c r="B10144" s="833" t="s">
        <v>14408</v>
      </c>
      <c r="C10144" s="4" t="s">
        <v>12080</v>
      </c>
      <c r="D10144" s="834">
        <v>6.03</v>
      </c>
    </row>
    <row r="10145" spans="1:4" x14ac:dyDescent="0.3">
      <c r="A10145" s="4">
        <v>37965</v>
      </c>
      <c r="B10145" s="833" t="s">
        <v>14409</v>
      </c>
      <c r="C10145" s="4" t="s">
        <v>12080</v>
      </c>
      <c r="D10145" s="834">
        <v>8.6999999999999993</v>
      </c>
    </row>
    <row r="10146" spans="1:4" x14ac:dyDescent="0.3">
      <c r="A10146" s="4">
        <v>37966</v>
      </c>
      <c r="B10146" s="833" t="s">
        <v>14410</v>
      </c>
      <c r="C10146" s="4" t="s">
        <v>12080</v>
      </c>
      <c r="D10146" s="834">
        <v>15.28</v>
      </c>
    </row>
    <row r="10147" spans="1:4" x14ac:dyDescent="0.3">
      <c r="A10147" s="4">
        <v>37967</v>
      </c>
      <c r="B10147" s="833" t="s">
        <v>14411</v>
      </c>
      <c r="C10147" s="4" t="s">
        <v>12080</v>
      </c>
      <c r="D10147" s="834">
        <v>25.68</v>
      </c>
    </row>
    <row r="10148" spans="1:4" x14ac:dyDescent="0.3">
      <c r="A10148" s="4">
        <v>37968</v>
      </c>
      <c r="B10148" s="833" t="s">
        <v>14412</v>
      </c>
      <c r="C10148" s="4" t="s">
        <v>12080</v>
      </c>
      <c r="D10148" s="834">
        <v>54.52</v>
      </c>
    </row>
    <row r="10149" spans="1:4" x14ac:dyDescent="0.3">
      <c r="A10149" s="4">
        <v>37969</v>
      </c>
      <c r="B10149" s="833" t="s">
        <v>14413</v>
      </c>
      <c r="C10149" s="4" t="s">
        <v>12080</v>
      </c>
      <c r="D10149" s="834">
        <v>137.77000000000001</v>
      </c>
    </row>
    <row r="10150" spans="1:4" x14ac:dyDescent="0.3">
      <c r="A10150" s="4">
        <v>37970</v>
      </c>
      <c r="B10150" s="833" t="s">
        <v>14414</v>
      </c>
      <c r="C10150" s="4" t="s">
        <v>12080</v>
      </c>
      <c r="D10150" s="834">
        <v>199.33</v>
      </c>
    </row>
    <row r="10151" spans="1:4" x14ac:dyDescent="0.3">
      <c r="A10151" s="4">
        <v>44251</v>
      </c>
      <c r="B10151" s="833" t="s">
        <v>14415</v>
      </c>
      <c r="C10151" s="4" t="s">
        <v>12080</v>
      </c>
      <c r="D10151" s="834">
        <v>230.24</v>
      </c>
    </row>
    <row r="10152" spans="1:4" x14ac:dyDescent="0.3">
      <c r="A10152" s="4">
        <v>21118</v>
      </c>
      <c r="B10152" s="833" t="s">
        <v>14416</v>
      </c>
      <c r="C10152" s="4" t="s">
        <v>12080</v>
      </c>
      <c r="D10152" s="834">
        <v>3.59</v>
      </c>
    </row>
    <row r="10153" spans="1:4" x14ac:dyDescent="0.3">
      <c r="A10153" s="4">
        <v>37956</v>
      </c>
      <c r="B10153" s="833" t="s">
        <v>14417</v>
      </c>
      <c r="C10153" s="4" t="s">
        <v>12080</v>
      </c>
      <c r="D10153" s="834">
        <v>4.41</v>
      </c>
    </row>
    <row r="10154" spans="1:4" x14ac:dyDescent="0.3">
      <c r="A10154" s="4">
        <v>37957</v>
      </c>
      <c r="B10154" s="833" t="s">
        <v>14418</v>
      </c>
      <c r="C10154" s="4" t="s">
        <v>12080</v>
      </c>
      <c r="D10154" s="834">
        <v>9.3699999999999992</v>
      </c>
    </row>
    <row r="10155" spans="1:4" x14ac:dyDescent="0.3">
      <c r="A10155" s="4">
        <v>37958</v>
      </c>
      <c r="B10155" s="833" t="s">
        <v>14419</v>
      </c>
      <c r="C10155" s="4" t="s">
        <v>12080</v>
      </c>
      <c r="D10155" s="834">
        <v>16.95</v>
      </c>
    </row>
    <row r="10156" spans="1:4" x14ac:dyDescent="0.3">
      <c r="A10156" s="4">
        <v>37959</v>
      </c>
      <c r="B10156" s="833" t="s">
        <v>14420</v>
      </c>
      <c r="C10156" s="4" t="s">
        <v>12080</v>
      </c>
      <c r="D10156" s="834">
        <v>26.09</v>
      </c>
    </row>
    <row r="10157" spans="1:4" x14ac:dyDescent="0.3">
      <c r="A10157" s="4">
        <v>37960</v>
      </c>
      <c r="B10157" s="833" t="s">
        <v>14421</v>
      </c>
      <c r="C10157" s="4" t="s">
        <v>12080</v>
      </c>
      <c r="D10157" s="834">
        <v>66.66</v>
      </c>
    </row>
    <row r="10158" spans="1:4" x14ac:dyDescent="0.3">
      <c r="A10158" s="4">
        <v>37961</v>
      </c>
      <c r="B10158" s="833" t="s">
        <v>14422</v>
      </c>
      <c r="C10158" s="4" t="s">
        <v>12080</v>
      </c>
      <c r="D10158" s="834">
        <v>143.27000000000001</v>
      </c>
    </row>
    <row r="10159" spans="1:4" x14ac:dyDescent="0.3">
      <c r="A10159" s="4">
        <v>37962</v>
      </c>
      <c r="B10159" s="833" t="s">
        <v>14423</v>
      </c>
      <c r="C10159" s="4" t="s">
        <v>12080</v>
      </c>
      <c r="D10159" s="834">
        <v>165.16</v>
      </c>
    </row>
    <row r="10160" spans="1:4" x14ac:dyDescent="0.3">
      <c r="A10160" s="4">
        <v>3533</v>
      </c>
      <c r="B10160" s="833" t="s">
        <v>14424</v>
      </c>
      <c r="C10160" s="4" t="s">
        <v>12080</v>
      </c>
      <c r="D10160" s="834">
        <v>2.85</v>
      </c>
    </row>
    <row r="10161" spans="1:4" x14ac:dyDescent="0.3">
      <c r="A10161" s="4">
        <v>3538</v>
      </c>
      <c r="B10161" s="833" t="s">
        <v>14425</v>
      </c>
      <c r="C10161" s="4" t="s">
        <v>12080</v>
      </c>
      <c r="D10161" s="834">
        <v>5.4</v>
      </c>
    </row>
    <row r="10162" spans="1:4" x14ac:dyDescent="0.3">
      <c r="A10162" s="4">
        <v>3498</v>
      </c>
      <c r="B10162" s="833" t="s">
        <v>14426</v>
      </c>
      <c r="C10162" s="4" t="s">
        <v>12080</v>
      </c>
      <c r="D10162" s="834">
        <v>5.24</v>
      </c>
    </row>
    <row r="10163" spans="1:4" x14ac:dyDescent="0.3">
      <c r="A10163" s="4">
        <v>3496</v>
      </c>
      <c r="B10163" s="833" t="s">
        <v>14427</v>
      </c>
      <c r="C10163" s="4" t="s">
        <v>12080</v>
      </c>
      <c r="D10163" s="834">
        <v>3.5</v>
      </c>
    </row>
    <row r="10164" spans="1:4" x14ac:dyDescent="0.3">
      <c r="A10164" s="4">
        <v>38429</v>
      </c>
      <c r="B10164" s="833" t="s">
        <v>14428</v>
      </c>
      <c r="C10164" s="4" t="s">
        <v>12080</v>
      </c>
      <c r="D10164" s="834">
        <v>12.2</v>
      </c>
    </row>
    <row r="10165" spans="1:4" x14ac:dyDescent="0.3">
      <c r="A10165" s="4">
        <v>38431</v>
      </c>
      <c r="B10165" s="833" t="s">
        <v>14429</v>
      </c>
      <c r="C10165" s="4" t="s">
        <v>12080</v>
      </c>
      <c r="D10165" s="834">
        <v>15.3</v>
      </c>
    </row>
    <row r="10166" spans="1:4" x14ac:dyDescent="0.3">
      <c r="A10166" s="4">
        <v>38430</v>
      </c>
      <c r="B10166" s="833" t="s">
        <v>14430</v>
      </c>
      <c r="C10166" s="4" t="s">
        <v>12080</v>
      </c>
      <c r="D10166" s="834">
        <v>23.72</v>
      </c>
    </row>
    <row r="10167" spans="1:4" x14ac:dyDescent="0.3">
      <c r="A10167" s="4">
        <v>36348</v>
      </c>
      <c r="B10167" s="833" t="s">
        <v>14431</v>
      </c>
      <c r="C10167" s="4" t="s">
        <v>12080</v>
      </c>
      <c r="D10167" s="834">
        <v>2.35</v>
      </c>
    </row>
    <row r="10168" spans="1:4" x14ac:dyDescent="0.3">
      <c r="A10168" s="4">
        <v>36349</v>
      </c>
      <c r="B10168" s="833" t="s">
        <v>14432</v>
      </c>
      <c r="C10168" s="4" t="s">
        <v>12080</v>
      </c>
      <c r="D10168" s="834">
        <v>3.25</v>
      </c>
    </row>
    <row r="10169" spans="1:4" x14ac:dyDescent="0.3">
      <c r="A10169" s="4">
        <v>38987</v>
      </c>
      <c r="B10169" s="833" t="s">
        <v>14433</v>
      </c>
      <c r="C10169" s="4" t="s">
        <v>12080</v>
      </c>
      <c r="D10169" s="834">
        <v>15.61</v>
      </c>
    </row>
    <row r="10170" spans="1:4" x14ac:dyDescent="0.3">
      <c r="A10170" s="4">
        <v>38988</v>
      </c>
      <c r="B10170" s="833" t="s">
        <v>14434</v>
      </c>
      <c r="C10170" s="4" t="s">
        <v>12080</v>
      </c>
      <c r="D10170" s="834">
        <v>25.43</v>
      </c>
    </row>
    <row r="10171" spans="1:4" x14ac:dyDescent="0.3">
      <c r="A10171" s="4">
        <v>38989</v>
      </c>
      <c r="B10171" s="833" t="s">
        <v>14435</v>
      </c>
      <c r="C10171" s="4" t="s">
        <v>12080</v>
      </c>
      <c r="D10171" s="834">
        <v>42.79</v>
      </c>
    </row>
    <row r="10172" spans="1:4" x14ac:dyDescent="0.3">
      <c r="A10172" s="4">
        <v>38990</v>
      </c>
      <c r="B10172" s="833" t="s">
        <v>14436</v>
      </c>
      <c r="C10172" s="4" t="s">
        <v>12080</v>
      </c>
      <c r="D10172" s="834">
        <v>85.52</v>
      </c>
    </row>
    <row r="10173" spans="1:4" x14ac:dyDescent="0.3">
      <c r="A10173" s="4">
        <v>38991</v>
      </c>
      <c r="B10173" s="833" t="s">
        <v>14437</v>
      </c>
      <c r="C10173" s="4" t="s">
        <v>12080</v>
      </c>
      <c r="D10173" s="834">
        <v>153.88999999999999</v>
      </c>
    </row>
    <row r="10174" spans="1:4" x14ac:dyDescent="0.3">
      <c r="A10174" s="4">
        <v>38433</v>
      </c>
      <c r="B10174" s="833" t="s">
        <v>14438</v>
      </c>
      <c r="C10174" s="4" t="s">
        <v>12080</v>
      </c>
      <c r="D10174" s="834">
        <v>7.95</v>
      </c>
    </row>
    <row r="10175" spans="1:4" x14ac:dyDescent="0.3">
      <c r="A10175" s="4">
        <v>38440</v>
      </c>
      <c r="B10175" s="833" t="s">
        <v>14439</v>
      </c>
      <c r="C10175" s="4" t="s">
        <v>12080</v>
      </c>
      <c r="D10175" s="834">
        <v>335.37</v>
      </c>
    </row>
    <row r="10176" spans="1:4" x14ac:dyDescent="0.3">
      <c r="A10176" s="4">
        <v>36359</v>
      </c>
      <c r="B10176" s="833" t="s">
        <v>14440</v>
      </c>
      <c r="C10176" s="4" t="s">
        <v>12080</v>
      </c>
      <c r="D10176" s="834">
        <v>2.09</v>
      </c>
    </row>
    <row r="10177" spans="1:4" x14ac:dyDescent="0.3">
      <c r="A10177" s="4">
        <v>36360</v>
      </c>
      <c r="B10177" s="833" t="s">
        <v>14441</v>
      </c>
      <c r="C10177" s="4" t="s">
        <v>12080</v>
      </c>
      <c r="D10177" s="834">
        <v>2.81</v>
      </c>
    </row>
    <row r="10178" spans="1:4" x14ac:dyDescent="0.3">
      <c r="A10178" s="4">
        <v>38434</v>
      </c>
      <c r="B10178" s="833" t="s">
        <v>14442</v>
      </c>
      <c r="C10178" s="4" t="s">
        <v>12080</v>
      </c>
      <c r="D10178" s="834">
        <v>4.29</v>
      </c>
    </row>
    <row r="10179" spans="1:4" x14ac:dyDescent="0.3">
      <c r="A10179" s="4">
        <v>38435</v>
      </c>
      <c r="B10179" s="833" t="s">
        <v>14443</v>
      </c>
      <c r="C10179" s="4" t="s">
        <v>12080</v>
      </c>
      <c r="D10179" s="834">
        <v>9.64</v>
      </c>
    </row>
    <row r="10180" spans="1:4" x14ac:dyDescent="0.3">
      <c r="A10180" s="4">
        <v>38436</v>
      </c>
      <c r="B10180" s="833" t="s">
        <v>14444</v>
      </c>
      <c r="C10180" s="4" t="s">
        <v>12080</v>
      </c>
      <c r="D10180" s="834">
        <v>15.99</v>
      </c>
    </row>
    <row r="10181" spans="1:4" x14ac:dyDescent="0.3">
      <c r="A10181" s="4">
        <v>38437</v>
      </c>
      <c r="B10181" s="833" t="s">
        <v>14445</v>
      </c>
      <c r="C10181" s="4" t="s">
        <v>12080</v>
      </c>
      <c r="D10181" s="834">
        <v>25.94</v>
      </c>
    </row>
    <row r="10182" spans="1:4" x14ac:dyDescent="0.3">
      <c r="A10182" s="4">
        <v>38438</v>
      </c>
      <c r="B10182" s="833" t="s">
        <v>14446</v>
      </c>
      <c r="C10182" s="4" t="s">
        <v>12080</v>
      </c>
      <c r="D10182" s="834">
        <v>75.23</v>
      </c>
    </row>
    <row r="10183" spans="1:4" x14ac:dyDescent="0.3">
      <c r="A10183" s="4">
        <v>38439</v>
      </c>
      <c r="B10183" s="833" t="s">
        <v>14447</v>
      </c>
      <c r="C10183" s="4" t="s">
        <v>12080</v>
      </c>
      <c r="D10183" s="834">
        <v>95.6</v>
      </c>
    </row>
    <row r="10184" spans="1:4" x14ac:dyDescent="0.3">
      <c r="A10184" s="4">
        <v>10836</v>
      </c>
      <c r="B10184" s="833" t="s">
        <v>14448</v>
      </c>
      <c r="C10184" s="4" t="s">
        <v>12080</v>
      </c>
      <c r="D10184" s="834">
        <v>20.95</v>
      </c>
    </row>
    <row r="10185" spans="1:4" x14ac:dyDescent="0.3">
      <c r="A10185" s="4">
        <v>10835</v>
      </c>
      <c r="B10185" s="833" t="s">
        <v>14449</v>
      </c>
      <c r="C10185" s="4" t="s">
        <v>12080</v>
      </c>
      <c r="D10185" s="834">
        <v>5.85</v>
      </c>
    </row>
    <row r="10186" spans="1:4" x14ac:dyDescent="0.3">
      <c r="A10186" s="4">
        <v>3475</v>
      </c>
      <c r="B10186" s="833" t="s">
        <v>14450</v>
      </c>
      <c r="C10186" s="4" t="s">
        <v>12080</v>
      </c>
      <c r="D10186" s="834">
        <v>5</v>
      </c>
    </row>
    <row r="10187" spans="1:4" x14ac:dyDescent="0.3">
      <c r="A10187" s="4">
        <v>3485</v>
      </c>
      <c r="B10187" s="833" t="s">
        <v>14451</v>
      </c>
      <c r="C10187" s="4" t="s">
        <v>12080</v>
      </c>
      <c r="D10187" s="834">
        <v>13.82</v>
      </c>
    </row>
    <row r="10188" spans="1:4" x14ac:dyDescent="0.3">
      <c r="A10188" s="4">
        <v>3534</v>
      </c>
      <c r="B10188" s="833" t="s">
        <v>14452</v>
      </c>
      <c r="C10188" s="4" t="s">
        <v>12080</v>
      </c>
      <c r="D10188" s="834">
        <v>7.92</v>
      </c>
    </row>
    <row r="10189" spans="1:4" x14ac:dyDescent="0.3">
      <c r="A10189" s="4">
        <v>3543</v>
      </c>
      <c r="B10189" s="833" t="s">
        <v>14453</v>
      </c>
      <c r="C10189" s="4" t="s">
        <v>12080</v>
      </c>
      <c r="D10189" s="834">
        <v>1.84</v>
      </c>
    </row>
    <row r="10190" spans="1:4" x14ac:dyDescent="0.3">
      <c r="A10190" s="4">
        <v>3482</v>
      </c>
      <c r="B10190" s="833" t="s">
        <v>14454</v>
      </c>
      <c r="C10190" s="4" t="s">
        <v>12080</v>
      </c>
      <c r="D10190" s="834">
        <v>5.66</v>
      </c>
    </row>
    <row r="10191" spans="1:4" x14ac:dyDescent="0.3">
      <c r="A10191" s="4">
        <v>3505</v>
      </c>
      <c r="B10191" s="833" t="s">
        <v>14455</v>
      </c>
      <c r="C10191" s="4" t="s">
        <v>12080</v>
      </c>
      <c r="D10191" s="834">
        <v>2.73</v>
      </c>
    </row>
    <row r="10192" spans="1:4" x14ac:dyDescent="0.3">
      <c r="A10192" s="4">
        <v>3521</v>
      </c>
      <c r="B10192" s="833" t="s">
        <v>14456</v>
      </c>
      <c r="C10192" s="4" t="s">
        <v>12080</v>
      </c>
      <c r="D10192" s="834">
        <v>2.06</v>
      </c>
    </row>
    <row r="10193" spans="1:4" x14ac:dyDescent="0.3">
      <c r="A10193" s="4">
        <v>3531</v>
      </c>
      <c r="B10193" s="833" t="s">
        <v>14457</v>
      </c>
      <c r="C10193" s="4" t="s">
        <v>12080</v>
      </c>
      <c r="D10193" s="834">
        <v>3.93</v>
      </c>
    </row>
    <row r="10194" spans="1:4" x14ac:dyDescent="0.3">
      <c r="A10194" s="4">
        <v>3522</v>
      </c>
      <c r="B10194" s="833" t="s">
        <v>14458</v>
      </c>
      <c r="C10194" s="4" t="s">
        <v>12080</v>
      </c>
      <c r="D10194" s="834">
        <v>2.5299999999999998</v>
      </c>
    </row>
    <row r="10195" spans="1:4" x14ac:dyDescent="0.3">
      <c r="A10195" s="4">
        <v>3527</v>
      </c>
      <c r="B10195" s="833" t="s">
        <v>14459</v>
      </c>
      <c r="C10195" s="4" t="s">
        <v>12080</v>
      </c>
      <c r="D10195" s="834">
        <v>13.31</v>
      </c>
    </row>
    <row r="10196" spans="1:4" x14ac:dyDescent="0.3">
      <c r="A10196" s="4">
        <v>3516</v>
      </c>
      <c r="B10196" s="833" t="s">
        <v>14460</v>
      </c>
      <c r="C10196" s="4" t="s">
        <v>12080</v>
      </c>
      <c r="D10196" s="834">
        <v>2.41</v>
      </c>
    </row>
    <row r="10197" spans="1:4" x14ac:dyDescent="0.3">
      <c r="A10197" s="4">
        <v>3517</v>
      </c>
      <c r="B10197" s="833" t="s">
        <v>14461</v>
      </c>
      <c r="C10197" s="4" t="s">
        <v>12080</v>
      </c>
      <c r="D10197" s="834">
        <v>2.1800000000000002</v>
      </c>
    </row>
    <row r="10198" spans="1:4" x14ac:dyDescent="0.3">
      <c r="A10198" s="4">
        <v>3515</v>
      </c>
      <c r="B10198" s="833" t="s">
        <v>14462</v>
      </c>
      <c r="C10198" s="4" t="s">
        <v>12080</v>
      </c>
      <c r="D10198" s="834">
        <v>6.79</v>
      </c>
    </row>
    <row r="10199" spans="1:4" x14ac:dyDescent="0.3">
      <c r="A10199" s="4">
        <v>20147</v>
      </c>
      <c r="B10199" s="833" t="s">
        <v>14463</v>
      </c>
      <c r="C10199" s="4" t="s">
        <v>12080</v>
      </c>
      <c r="D10199" s="834">
        <v>5.58</v>
      </c>
    </row>
    <row r="10200" spans="1:4" x14ac:dyDescent="0.3">
      <c r="A10200" s="4">
        <v>3524</v>
      </c>
      <c r="B10200" s="833" t="s">
        <v>14464</v>
      </c>
      <c r="C10200" s="4" t="s">
        <v>12080</v>
      </c>
      <c r="D10200" s="834">
        <v>8.4</v>
      </c>
    </row>
    <row r="10201" spans="1:4" x14ac:dyDescent="0.3">
      <c r="A10201" s="4">
        <v>3532</v>
      </c>
      <c r="B10201" s="833" t="s">
        <v>14465</v>
      </c>
      <c r="C10201" s="4" t="s">
        <v>12080</v>
      </c>
      <c r="D10201" s="834">
        <v>19.420000000000002</v>
      </c>
    </row>
    <row r="10202" spans="1:4" x14ac:dyDescent="0.3">
      <c r="A10202" s="4">
        <v>3528</v>
      </c>
      <c r="B10202" s="833" t="s">
        <v>14466</v>
      </c>
      <c r="C10202" s="4" t="s">
        <v>12080</v>
      </c>
      <c r="D10202" s="834">
        <v>9.43</v>
      </c>
    </row>
    <row r="10203" spans="1:4" x14ac:dyDescent="0.3">
      <c r="A10203" s="4">
        <v>37952</v>
      </c>
      <c r="B10203" s="833" t="s">
        <v>14467</v>
      </c>
      <c r="C10203" s="4" t="s">
        <v>12080</v>
      </c>
      <c r="D10203" s="834">
        <v>67.61</v>
      </c>
    </row>
    <row r="10204" spans="1:4" x14ac:dyDescent="0.3">
      <c r="A10204" s="4">
        <v>37951</v>
      </c>
      <c r="B10204" s="833" t="s">
        <v>14468</v>
      </c>
      <c r="C10204" s="4" t="s">
        <v>12080</v>
      </c>
      <c r="D10204" s="834">
        <v>2.54</v>
      </c>
    </row>
    <row r="10205" spans="1:4" x14ac:dyDescent="0.3">
      <c r="A10205" s="4">
        <v>3518</v>
      </c>
      <c r="B10205" s="833" t="s">
        <v>14469</v>
      </c>
      <c r="C10205" s="4" t="s">
        <v>12080</v>
      </c>
      <c r="D10205" s="834">
        <v>3.91</v>
      </c>
    </row>
    <row r="10206" spans="1:4" x14ac:dyDescent="0.3">
      <c r="A10206" s="4">
        <v>3519</v>
      </c>
      <c r="B10206" s="833" t="s">
        <v>14470</v>
      </c>
      <c r="C10206" s="4" t="s">
        <v>12080</v>
      </c>
      <c r="D10206" s="834">
        <v>8.18</v>
      </c>
    </row>
    <row r="10207" spans="1:4" x14ac:dyDescent="0.3">
      <c r="A10207" s="4">
        <v>3520</v>
      </c>
      <c r="B10207" s="833" t="s">
        <v>14471</v>
      </c>
      <c r="C10207" s="4" t="s">
        <v>12080</v>
      </c>
      <c r="D10207" s="834">
        <v>8.57</v>
      </c>
    </row>
    <row r="10208" spans="1:4" x14ac:dyDescent="0.3">
      <c r="A10208" s="4">
        <v>37950</v>
      </c>
      <c r="B10208" s="833" t="s">
        <v>14472</v>
      </c>
      <c r="C10208" s="4" t="s">
        <v>12080</v>
      </c>
      <c r="D10208" s="834">
        <v>62.24</v>
      </c>
    </row>
    <row r="10209" spans="1:4" x14ac:dyDescent="0.3">
      <c r="A10209" s="4">
        <v>37949</v>
      </c>
      <c r="B10209" s="833" t="s">
        <v>14473</v>
      </c>
      <c r="C10209" s="4" t="s">
        <v>12080</v>
      </c>
      <c r="D10209" s="834">
        <v>2.29</v>
      </c>
    </row>
    <row r="10210" spans="1:4" x14ac:dyDescent="0.3">
      <c r="A10210" s="4">
        <v>3526</v>
      </c>
      <c r="B10210" s="833" t="s">
        <v>14474</v>
      </c>
      <c r="C10210" s="4" t="s">
        <v>12080</v>
      </c>
      <c r="D10210" s="834">
        <v>3.16</v>
      </c>
    </row>
    <row r="10211" spans="1:4" x14ac:dyDescent="0.3">
      <c r="A10211" s="4">
        <v>3509</v>
      </c>
      <c r="B10211" s="833" t="s">
        <v>14475</v>
      </c>
      <c r="C10211" s="4" t="s">
        <v>12080</v>
      </c>
      <c r="D10211" s="834">
        <v>7.18</v>
      </c>
    </row>
    <row r="10212" spans="1:4" x14ac:dyDescent="0.3">
      <c r="A10212" s="4">
        <v>3530</v>
      </c>
      <c r="B10212" s="833" t="s">
        <v>14476</v>
      </c>
      <c r="C10212" s="4" t="s">
        <v>12080</v>
      </c>
      <c r="D10212" s="834">
        <v>215.63</v>
      </c>
    </row>
    <row r="10213" spans="1:4" x14ac:dyDescent="0.3">
      <c r="A10213" s="4">
        <v>3542</v>
      </c>
      <c r="B10213" s="833" t="s">
        <v>14477</v>
      </c>
      <c r="C10213" s="4" t="s">
        <v>12080</v>
      </c>
      <c r="D10213" s="834">
        <v>0.62</v>
      </c>
    </row>
    <row r="10214" spans="1:4" x14ac:dyDescent="0.3">
      <c r="A10214" s="4">
        <v>3529</v>
      </c>
      <c r="B10214" s="833" t="s">
        <v>14478</v>
      </c>
      <c r="C10214" s="4" t="s">
        <v>12080</v>
      </c>
      <c r="D10214" s="834">
        <v>0.76</v>
      </c>
    </row>
    <row r="10215" spans="1:4" x14ac:dyDescent="0.3">
      <c r="A10215" s="4">
        <v>3536</v>
      </c>
      <c r="B10215" s="833" t="s">
        <v>14479</v>
      </c>
      <c r="C10215" s="4" t="s">
        <v>12080</v>
      </c>
      <c r="D10215" s="834">
        <v>2.5299999999999998</v>
      </c>
    </row>
    <row r="10216" spans="1:4" x14ac:dyDescent="0.3">
      <c r="A10216" s="4">
        <v>3535</v>
      </c>
      <c r="B10216" s="833" t="s">
        <v>14480</v>
      </c>
      <c r="C10216" s="4" t="s">
        <v>12080</v>
      </c>
      <c r="D10216" s="834">
        <v>6.15</v>
      </c>
    </row>
    <row r="10217" spans="1:4" x14ac:dyDescent="0.3">
      <c r="A10217" s="4">
        <v>3540</v>
      </c>
      <c r="B10217" s="833" t="s">
        <v>14481</v>
      </c>
      <c r="C10217" s="4" t="s">
        <v>12080</v>
      </c>
      <c r="D10217" s="834">
        <v>5.21</v>
      </c>
    </row>
    <row r="10218" spans="1:4" x14ac:dyDescent="0.3">
      <c r="A10218" s="4">
        <v>3539</v>
      </c>
      <c r="B10218" s="833" t="s">
        <v>14482</v>
      </c>
      <c r="C10218" s="4" t="s">
        <v>12080</v>
      </c>
      <c r="D10218" s="834">
        <v>30.18</v>
      </c>
    </row>
    <row r="10219" spans="1:4" x14ac:dyDescent="0.3">
      <c r="A10219" s="4">
        <v>3513</v>
      </c>
      <c r="B10219" s="833" t="s">
        <v>14483</v>
      </c>
      <c r="C10219" s="4" t="s">
        <v>12080</v>
      </c>
      <c r="D10219" s="834">
        <v>106.42</v>
      </c>
    </row>
    <row r="10220" spans="1:4" x14ac:dyDescent="0.3">
      <c r="A10220" s="4">
        <v>3510</v>
      </c>
      <c r="B10220" s="833" t="s">
        <v>14484</v>
      </c>
      <c r="C10220" s="4" t="s">
        <v>12080</v>
      </c>
      <c r="D10220" s="834">
        <v>13.14</v>
      </c>
    </row>
    <row r="10221" spans="1:4" x14ac:dyDescent="0.3">
      <c r="A10221" s="4">
        <v>38913</v>
      </c>
      <c r="B10221" s="833" t="s">
        <v>14485</v>
      </c>
      <c r="C10221" s="4" t="s">
        <v>12080</v>
      </c>
      <c r="D10221" s="834">
        <v>10.78</v>
      </c>
    </row>
    <row r="10222" spans="1:4" x14ac:dyDescent="0.3">
      <c r="A10222" s="4">
        <v>38914</v>
      </c>
      <c r="B10222" s="833" t="s">
        <v>14486</v>
      </c>
      <c r="C10222" s="4" t="s">
        <v>12080</v>
      </c>
      <c r="D10222" s="834">
        <v>13.23</v>
      </c>
    </row>
    <row r="10223" spans="1:4" x14ac:dyDescent="0.3">
      <c r="A10223" s="4">
        <v>38915</v>
      </c>
      <c r="B10223" s="833" t="s">
        <v>14487</v>
      </c>
      <c r="C10223" s="4" t="s">
        <v>12080</v>
      </c>
      <c r="D10223" s="834">
        <v>25.5</v>
      </c>
    </row>
    <row r="10224" spans="1:4" x14ac:dyDescent="0.3">
      <c r="A10224" s="4">
        <v>38916</v>
      </c>
      <c r="B10224" s="833" t="s">
        <v>14488</v>
      </c>
      <c r="C10224" s="4" t="s">
        <v>12080</v>
      </c>
      <c r="D10224" s="834">
        <v>35.299999999999997</v>
      </c>
    </row>
    <row r="10225" spans="1:4" x14ac:dyDescent="0.3">
      <c r="A10225" s="4">
        <v>39300</v>
      </c>
      <c r="B10225" s="833" t="s">
        <v>14489</v>
      </c>
      <c r="C10225" s="4" t="s">
        <v>12080</v>
      </c>
      <c r="D10225" s="834">
        <v>9.6199999999999992</v>
      </c>
    </row>
    <row r="10226" spans="1:4" x14ac:dyDescent="0.3">
      <c r="A10226" s="4">
        <v>39301</v>
      </c>
      <c r="B10226" s="833" t="s">
        <v>14490</v>
      </c>
      <c r="C10226" s="4" t="s">
        <v>12080</v>
      </c>
      <c r="D10226" s="834">
        <v>12.89</v>
      </c>
    </row>
    <row r="10227" spans="1:4" x14ac:dyDescent="0.3">
      <c r="A10227" s="4">
        <v>39302</v>
      </c>
      <c r="B10227" s="833" t="s">
        <v>14491</v>
      </c>
      <c r="C10227" s="4" t="s">
        <v>12080</v>
      </c>
      <c r="D10227" s="834">
        <v>23.42</v>
      </c>
    </row>
    <row r="10228" spans="1:4" x14ac:dyDescent="0.3">
      <c r="A10228" s="4">
        <v>38941</v>
      </c>
      <c r="B10228" s="833" t="s">
        <v>14492</v>
      </c>
      <c r="C10228" s="4" t="s">
        <v>12080</v>
      </c>
      <c r="D10228" s="834">
        <v>17.39</v>
      </c>
    </row>
    <row r="10229" spans="1:4" x14ac:dyDescent="0.3">
      <c r="A10229" s="4">
        <v>38923</v>
      </c>
      <c r="B10229" s="833" t="s">
        <v>14493</v>
      </c>
      <c r="C10229" s="4" t="s">
        <v>12080</v>
      </c>
      <c r="D10229" s="834">
        <v>11.53</v>
      </c>
    </row>
    <row r="10230" spans="1:4" x14ac:dyDescent="0.3">
      <c r="A10230" s="4">
        <v>38925</v>
      </c>
      <c r="B10230" s="833" t="s">
        <v>14494</v>
      </c>
      <c r="C10230" s="4" t="s">
        <v>12080</v>
      </c>
      <c r="D10230" s="834">
        <v>13.38</v>
      </c>
    </row>
    <row r="10231" spans="1:4" x14ac:dyDescent="0.3">
      <c r="A10231" s="4">
        <v>38926</v>
      </c>
      <c r="B10231" s="833" t="s">
        <v>14495</v>
      </c>
      <c r="C10231" s="4" t="s">
        <v>12080</v>
      </c>
      <c r="D10231" s="834">
        <v>15.87</v>
      </c>
    </row>
    <row r="10232" spans="1:4" x14ac:dyDescent="0.3">
      <c r="A10232" s="4">
        <v>38927</v>
      </c>
      <c r="B10232" s="833" t="s">
        <v>14496</v>
      </c>
      <c r="C10232" s="4" t="s">
        <v>12080</v>
      </c>
      <c r="D10232" s="834">
        <v>20.05</v>
      </c>
    </row>
    <row r="10233" spans="1:4" x14ac:dyDescent="0.3">
      <c r="A10233" s="4">
        <v>39304</v>
      </c>
      <c r="B10233" s="833" t="s">
        <v>14497</v>
      </c>
      <c r="C10233" s="4" t="s">
        <v>12080</v>
      </c>
      <c r="D10233" s="834">
        <v>11.39</v>
      </c>
    </row>
    <row r="10234" spans="1:4" x14ac:dyDescent="0.3">
      <c r="A10234" s="4">
        <v>39305</v>
      </c>
      <c r="B10234" s="833" t="s">
        <v>14498</v>
      </c>
      <c r="C10234" s="4" t="s">
        <v>12080</v>
      </c>
      <c r="D10234" s="834">
        <v>12.49</v>
      </c>
    </row>
    <row r="10235" spans="1:4" x14ac:dyDescent="0.3">
      <c r="A10235" s="4">
        <v>39306</v>
      </c>
      <c r="B10235" s="833" t="s">
        <v>14499</v>
      </c>
      <c r="C10235" s="4" t="s">
        <v>12080</v>
      </c>
      <c r="D10235" s="834">
        <v>16.79</v>
      </c>
    </row>
    <row r="10236" spans="1:4" x14ac:dyDescent="0.3">
      <c r="A10236" s="4">
        <v>38928</v>
      </c>
      <c r="B10236" s="833" t="s">
        <v>14500</v>
      </c>
      <c r="C10236" s="4" t="s">
        <v>12080</v>
      </c>
      <c r="D10236" s="834">
        <v>22.19</v>
      </c>
    </row>
    <row r="10237" spans="1:4" x14ac:dyDescent="0.3">
      <c r="A10237" s="4">
        <v>38917</v>
      </c>
      <c r="B10237" s="833" t="s">
        <v>14501</v>
      </c>
      <c r="C10237" s="4" t="s">
        <v>12080</v>
      </c>
      <c r="D10237" s="834">
        <v>12.4</v>
      </c>
    </row>
    <row r="10238" spans="1:4" x14ac:dyDescent="0.3">
      <c r="A10238" s="4">
        <v>38919</v>
      </c>
      <c r="B10238" s="833" t="s">
        <v>14502</v>
      </c>
      <c r="C10238" s="4" t="s">
        <v>12080</v>
      </c>
      <c r="D10238" s="834">
        <v>14.56</v>
      </c>
    </row>
    <row r="10239" spans="1:4" x14ac:dyDescent="0.3">
      <c r="A10239" s="4">
        <v>38922</v>
      </c>
      <c r="B10239" s="833" t="s">
        <v>14503</v>
      </c>
      <c r="C10239" s="4" t="s">
        <v>12080</v>
      </c>
      <c r="D10239" s="834">
        <v>19.53</v>
      </c>
    </row>
    <row r="10240" spans="1:4" x14ac:dyDescent="0.3">
      <c r="A10240" s="4">
        <v>20151</v>
      </c>
      <c r="B10240" s="833" t="s">
        <v>14504</v>
      </c>
      <c r="C10240" s="4" t="s">
        <v>12080</v>
      </c>
      <c r="D10240" s="834">
        <v>21.08</v>
      </c>
    </row>
    <row r="10241" spans="1:4" x14ac:dyDescent="0.3">
      <c r="A10241" s="4">
        <v>20152</v>
      </c>
      <c r="B10241" s="833" t="s">
        <v>14505</v>
      </c>
      <c r="C10241" s="4" t="s">
        <v>12080</v>
      </c>
      <c r="D10241" s="834">
        <v>76.3</v>
      </c>
    </row>
    <row r="10242" spans="1:4" x14ac:dyDescent="0.3">
      <c r="A10242" s="4">
        <v>20148</v>
      </c>
      <c r="B10242" s="833" t="s">
        <v>14506</v>
      </c>
      <c r="C10242" s="4" t="s">
        <v>12080</v>
      </c>
      <c r="D10242" s="834">
        <v>4.1399999999999997</v>
      </c>
    </row>
    <row r="10243" spans="1:4" x14ac:dyDescent="0.3">
      <c r="A10243" s="4">
        <v>20149</v>
      </c>
      <c r="B10243" s="833" t="s">
        <v>14507</v>
      </c>
      <c r="C10243" s="4" t="s">
        <v>12080</v>
      </c>
      <c r="D10243" s="834">
        <v>6.92</v>
      </c>
    </row>
    <row r="10244" spans="1:4" x14ac:dyDescent="0.3">
      <c r="A10244" s="4">
        <v>20150</v>
      </c>
      <c r="B10244" s="833" t="s">
        <v>14508</v>
      </c>
      <c r="C10244" s="4" t="s">
        <v>12080</v>
      </c>
      <c r="D10244" s="834">
        <v>17.84</v>
      </c>
    </row>
    <row r="10245" spans="1:4" x14ac:dyDescent="0.3">
      <c r="A10245" s="4">
        <v>20157</v>
      </c>
      <c r="B10245" s="833" t="s">
        <v>14509</v>
      </c>
      <c r="C10245" s="4" t="s">
        <v>12080</v>
      </c>
      <c r="D10245" s="834">
        <v>20.03</v>
      </c>
    </row>
    <row r="10246" spans="1:4" x14ac:dyDescent="0.3">
      <c r="A10246" s="4">
        <v>20158</v>
      </c>
      <c r="B10246" s="833" t="s">
        <v>14510</v>
      </c>
      <c r="C10246" s="4" t="s">
        <v>12080</v>
      </c>
      <c r="D10246" s="834">
        <v>79.53</v>
      </c>
    </row>
    <row r="10247" spans="1:4" x14ac:dyDescent="0.3">
      <c r="A10247" s="4">
        <v>20154</v>
      </c>
      <c r="B10247" s="833" t="s">
        <v>14511</v>
      </c>
      <c r="C10247" s="4" t="s">
        <v>12080</v>
      </c>
      <c r="D10247" s="834">
        <v>4.0599999999999996</v>
      </c>
    </row>
    <row r="10248" spans="1:4" x14ac:dyDescent="0.3">
      <c r="A10248" s="4">
        <v>20155</v>
      </c>
      <c r="B10248" s="833" t="s">
        <v>14512</v>
      </c>
      <c r="C10248" s="4" t="s">
        <v>12080</v>
      </c>
      <c r="D10248" s="834">
        <v>6.18</v>
      </c>
    </row>
    <row r="10249" spans="1:4" x14ac:dyDescent="0.3">
      <c r="A10249" s="4">
        <v>20156</v>
      </c>
      <c r="B10249" s="833" t="s">
        <v>14513</v>
      </c>
      <c r="C10249" s="4" t="s">
        <v>12080</v>
      </c>
      <c r="D10249" s="834">
        <v>17.37</v>
      </c>
    </row>
    <row r="10250" spans="1:4" x14ac:dyDescent="0.3">
      <c r="A10250" s="4">
        <v>3499</v>
      </c>
      <c r="B10250" s="833" t="s">
        <v>14514</v>
      </c>
      <c r="C10250" s="4" t="s">
        <v>12080</v>
      </c>
      <c r="D10250" s="834">
        <v>1.18</v>
      </c>
    </row>
    <row r="10251" spans="1:4" x14ac:dyDescent="0.3">
      <c r="A10251" s="4">
        <v>3500</v>
      </c>
      <c r="B10251" s="833" t="s">
        <v>14515</v>
      </c>
      <c r="C10251" s="4" t="s">
        <v>12080</v>
      </c>
      <c r="D10251" s="834">
        <v>1.56</v>
      </c>
    </row>
    <row r="10252" spans="1:4" x14ac:dyDescent="0.3">
      <c r="A10252" s="4">
        <v>3501</v>
      </c>
      <c r="B10252" s="833" t="s">
        <v>14516</v>
      </c>
      <c r="C10252" s="4" t="s">
        <v>12080</v>
      </c>
      <c r="D10252" s="834">
        <v>4.32</v>
      </c>
    </row>
    <row r="10253" spans="1:4" x14ac:dyDescent="0.3">
      <c r="A10253" s="4">
        <v>3502</v>
      </c>
      <c r="B10253" s="833" t="s">
        <v>14517</v>
      </c>
      <c r="C10253" s="4" t="s">
        <v>12080</v>
      </c>
      <c r="D10253" s="834">
        <v>6.21</v>
      </c>
    </row>
    <row r="10254" spans="1:4" x14ac:dyDescent="0.3">
      <c r="A10254" s="4">
        <v>3503</v>
      </c>
      <c r="B10254" s="833" t="s">
        <v>14518</v>
      </c>
      <c r="C10254" s="4" t="s">
        <v>12080</v>
      </c>
      <c r="D10254" s="834">
        <v>7.8</v>
      </c>
    </row>
    <row r="10255" spans="1:4" x14ac:dyDescent="0.3">
      <c r="A10255" s="4">
        <v>3477</v>
      </c>
      <c r="B10255" s="833" t="s">
        <v>14519</v>
      </c>
      <c r="C10255" s="4" t="s">
        <v>12080</v>
      </c>
      <c r="D10255" s="834">
        <v>28.36</v>
      </c>
    </row>
    <row r="10256" spans="1:4" x14ac:dyDescent="0.3">
      <c r="A10256" s="4">
        <v>3478</v>
      </c>
      <c r="B10256" s="833" t="s">
        <v>14520</v>
      </c>
      <c r="C10256" s="4" t="s">
        <v>12080</v>
      </c>
      <c r="D10256" s="834">
        <v>67.989999999999995</v>
      </c>
    </row>
    <row r="10257" spans="1:4" x14ac:dyDescent="0.3">
      <c r="A10257" s="4">
        <v>3525</v>
      </c>
      <c r="B10257" s="833" t="s">
        <v>14521</v>
      </c>
      <c r="C10257" s="4" t="s">
        <v>12080</v>
      </c>
      <c r="D10257" s="834">
        <v>83.92</v>
      </c>
    </row>
    <row r="10258" spans="1:4" x14ac:dyDescent="0.3">
      <c r="A10258" s="4">
        <v>3511</v>
      </c>
      <c r="B10258" s="833" t="s">
        <v>14522</v>
      </c>
      <c r="C10258" s="4" t="s">
        <v>12080</v>
      </c>
      <c r="D10258" s="834">
        <v>89.01</v>
      </c>
    </row>
    <row r="10259" spans="1:4" x14ac:dyDescent="0.3">
      <c r="A10259" s="4">
        <v>12032</v>
      </c>
      <c r="B10259" s="833" t="s">
        <v>14523</v>
      </c>
      <c r="C10259" s="4" t="s">
        <v>12530</v>
      </c>
      <c r="D10259" s="834">
        <v>54.61</v>
      </c>
    </row>
    <row r="10260" spans="1:4" x14ac:dyDescent="0.3">
      <c r="A10260" s="4">
        <v>12030</v>
      </c>
      <c r="B10260" s="833" t="s">
        <v>14524</v>
      </c>
      <c r="C10260" s="4" t="s">
        <v>12530</v>
      </c>
      <c r="D10260" s="834">
        <v>51.31</v>
      </c>
    </row>
    <row r="10261" spans="1:4" x14ac:dyDescent="0.3">
      <c r="A10261" s="4">
        <v>10908</v>
      </c>
      <c r="B10261" s="833" t="s">
        <v>14525</v>
      </c>
      <c r="C10261" s="4" t="s">
        <v>12080</v>
      </c>
      <c r="D10261" s="834">
        <v>19.690000000000001</v>
      </c>
    </row>
    <row r="10262" spans="1:4" x14ac:dyDescent="0.3">
      <c r="A10262" s="4">
        <v>10909</v>
      </c>
      <c r="B10262" s="833" t="s">
        <v>14526</v>
      </c>
      <c r="C10262" s="4" t="s">
        <v>12080</v>
      </c>
      <c r="D10262" s="834">
        <v>22.9</v>
      </c>
    </row>
    <row r="10263" spans="1:4" x14ac:dyDescent="0.3">
      <c r="A10263" s="4">
        <v>3669</v>
      </c>
      <c r="B10263" s="833" t="s">
        <v>14527</v>
      </c>
      <c r="C10263" s="4" t="s">
        <v>12080</v>
      </c>
      <c r="D10263" s="834">
        <v>14.07</v>
      </c>
    </row>
    <row r="10264" spans="1:4" x14ac:dyDescent="0.3">
      <c r="A10264" s="4">
        <v>20139</v>
      </c>
      <c r="B10264" s="833" t="s">
        <v>14528</v>
      </c>
      <c r="C10264" s="4" t="s">
        <v>12080</v>
      </c>
      <c r="D10264" s="834">
        <v>121</v>
      </c>
    </row>
    <row r="10265" spans="1:4" x14ac:dyDescent="0.3">
      <c r="A10265" s="4">
        <v>3668</v>
      </c>
      <c r="B10265" s="833" t="s">
        <v>14529</v>
      </c>
      <c r="C10265" s="4" t="s">
        <v>12080</v>
      </c>
      <c r="D10265" s="834">
        <v>43.22</v>
      </c>
    </row>
    <row r="10266" spans="1:4" x14ac:dyDescent="0.3">
      <c r="A10266" s="4">
        <v>10911</v>
      </c>
      <c r="B10266" s="833" t="s">
        <v>14530</v>
      </c>
      <c r="C10266" s="4" t="s">
        <v>12080</v>
      </c>
      <c r="D10266" s="834">
        <v>18.95</v>
      </c>
    </row>
    <row r="10267" spans="1:4" x14ac:dyDescent="0.3">
      <c r="A10267" s="4">
        <v>3659</v>
      </c>
      <c r="B10267" s="833" t="s">
        <v>14531</v>
      </c>
      <c r="C10267" s="4" t="s">
        <v>12080</v>
      </c>
      <c r="D10267" s="834">
        <v>19.309999999999999</v>
      </c>
    </row>
    <row r="10268" spans="1:4" x14ac:dyDescent="0.3">
      <c r="A10268" s="4">
        <v>3660</v>
      </c>
      <c r="B10268" s="833" t="s">
        <v>14532</v>
      </c>
      <c r="C10268" s="4" t="s">
        <v>12080</v>
      </c>
      <c r="D10268" s="834">
        <v>24.96</v>
      </c>
    </row>
    <row r="10269" spans="1:4" x14ac:dyDescent="0.3">
      <c r="A10269" s="4">
        <v>20144</v>
      </c>
      <c r="B10269" s="833" t="s">
        <v>14533</v>
      </c>
      <c r="C10269" s="4" t="s">
        <v>12080</v>
      </c>
      <c r="D10269" s="834">
        <v>55.91</v>
      </c>
    </row>
    <row r="10270" spans="1:4" x14ac:dyDescent="0.3">
      <c r="A10270" s="4">
        <v>20143</v>
      </c>
      <c r="B10270" s="833" t="s">
        <v>14534</v>
      </c>
      <c r="C10270" s="4" t="s">
        <v>12080</v>
      </c>
      <c r="D10270" s="834">
        <v>71.53</v>
      </c>
    </row>
    <row r="10271" spans="1:4" x14ac:dyDescent="0.3">
      <c r="A10271" s="4">
        <v>20145</v>
      </c>
      <c r="B10271" s="833" t="s">
        <v>14535</v>
      </c>
      <c r="C10271" s="4" t="s">
        <v>12080</v>
      </c>
      <c r="D10271" s="834">
        <v>137.97</v>
      </c>
    </row>
    <row r="10272" spans="1:4" x14ac:dyDescent="0.3">
      <c r="A10272" s="4">
        <v>20146</v>
      </c>
      <c r="B10272" s="833" t="s">
        <v>14536</v>
      </c>
      <c r="C10272" s="4" t="s">
        <v>12080</v>
      </c>
      <c r="D10272" s="834">
        <v>188.61</v>
      </c>
    </row>
    <row r="10273" spans="1:4" x14ac:dyDescent="0.3">
      <c r="A10273" s="4">
        <v>20140</v>
      </c>
      <c r="B10273" s="833" t="s">
        <v>14537</v>
      </c>
      <c r="C10273" s="4" t="s">
        <v>12080</v>
      </c>
      <c r="D10273" s="834">
        <v>8.84</v>
      </c>
    </row>
    <row r="10274" spans="1:4" x14ac:dyDescent="0.3">
      <c r="A10274" s="4">
        <v>20141</v>
      </c>
      <c r="B10274" s="833" t="s">
        <v>14538</v>
      </c>
      <c r="C10274" s="4" t="s">
        <v>12080</v>
      </c>
      <c r="D10274" s="834">
        <v>21.67</v>
      </c>
    </row>
    <row r="10275" spans="1:4" x14ac:dyDescent="0.3">
      <c r="A10275" s="4">
        <v>20142</v>
      </c>
      <c r="B10275" s="833" t="s">
        <v>14539</v>
      </c>
      <c r="C10275" s="4" t="s">
        <v>12080</v>
      </c>
      <c r="D10275" s="834">
        <v>38.119999999999997</v>
      </c>
    </row>
    <row r="10276" spans="1:4" x14ac:dyDescent="0.3">
      <c r="A10276" s="4">
        <v>3670</v>
      </c>
      <c r="B10276" s="833" t="s">
        <v>14540</v>
      </c>
      <c r="C10276" s="4" t="s">
        <v>12080</v>
      </c>
      <c r="D10276" s="834">
        <v>24.79</v>
      </c>
    </row>
    <row r="10277" spans="1:4" x14ac:dyDescent="0.3">
      <c r="A10277" s="4">
        <v>3666</v>
      </c>
      <c r="B10277" s="833" t="s">
        <v>14541</v>
      </c>
      <c r="C10277" s="4" t="s">
        <v>12080</v>
      </c>
      <c r="D10277" s="834">
        <v>3.9</v>
      </c>
    </row>
    <row r="10278" spans="1:4" x14ac:dyDescent="0.3">
      <c r="A10278" s="4">
        <v>3662</v>
      </c>
      <c r="B10278" s="833" t="s">
        <v>14542</v>
      </c>
      <c r="C10278" s="4" t="s">
        <v>12080</v>
      </c>
      <c r="D10278" s="834">
        <v>10.17</v>
      </c>
    </row>
    <row r="10279" spans="1:4" x14ac:dyDescent="0.3">
      <c r="A10279" s="4">
        <v>3658</v>
      </c>
      <c r="B10279" s="833" t="s">
        <v>14543</v>
      </c>
      <c r="C10279" s="4" t="s">
        <v>12080</v>
      </c>
      <c r="D10279" s="834">
        <v>19.27</v>
      </c>
    </row>
    <row r="10280" spans="1:4" x14ac:dyDescent="0.3">
      <c r="A10280" s="4">
        <v>14157</v>
      </c>
      <c r="B10280" s="833" t="s">
        <v>14544</v>
      </c>
      <c r="C10280" s="4" t="s">
        <v>12080</v>
      </c>
      <c r="D10280" s="834">
        <v>1.39</v>
      </c>
    </row>
    <row r="10281" spans="1:4" x14ac:dyDescent="0.3">
      <c r="A10281" s="4">
        <v>42696</v>
      </c>
      <c r="B10281" s="833" t="s">
        <v>14545</v>
      </c>
      <c r="C10281" s="4" t="s">
        <v>12080</v>
      </c>
      <c r="D10281" s="834">
        <v>152.83000000000001</v>
      </c>
    </row>
    <row r="10282" spans="1:4" x14ac:dyDescent="0.3">
      <c r="A10282" s="4">
        <v>39875</v>
      </c>
      <c r="B10282" s="833" t="s">
        <v>14546</v>
      </c>
      <c r="C10282" s="4" t="s">
        <v>12080</v>
      </c>
      <c r="D10282" s="834">
        <v>1098.83</v>
      </c>
    </row>
    <row r="10283" spans="1:4" x14ac:dyDescent="0.3">
      <c r="A10283" s="4">
        <v>39876</v>
      </c>
      <c r="B10283" s="833" t="s">
        <v>14547</v>
      </c>
      <c r="C10283" s="4" t="s">
        <v>12080</v>
      </c>
      <c r="D10283" s="834">
        <v>1375.74</v>
      </c>
    </row>
    <row r="10284" spans="1:4" x14ac:dyDescent="0.3">
      <c r="A10284" s="4">
        <v>39877</v>
      </c>
      <c r="B10284" s="833" t="s">
        <v>14548</v>
      </c>
      <c r="C10284" s="4" t="s">
        <v>12080</v>
      </c>
      <c r="D10284" s="834">
        <v>1908.09</v>
      </c>
    </row>
    <row r="10285" spans="1:4" x14ac:dyDescent="0.3">
      <c r="A10285" s="4">
        <v>39878</v>
      </c>
      <c r="B10285" s="833" t="s">
        <v>14549</v>
      </c>
      <c r="C10285" s="4" t="s">
        <v>12080</v>
      </c>
      <c r="D10285" s="834">
        <v>2520.27</v>
      </c>
    </row>
    <row r="10286" spans="1:4" x14ac:dyDescent="0.3">
      <c r="A10286" s="4">
        <v>39872</v>
      </c>
      <c r="B10286" s="833" t="s">
        <v>14550</v>
      </c>
      <c r="C10286" s="4" t="s">
        <v>12080</v>
      </c>
      <c r="D10286" s="834">
        <v>753.55</v>
      </c>
    </row>
    <row r="10287" spans="1:4" x14ac:dyDescent="0.3">
      <c r="A10287" s="4">
        <v>39873</v>
      </c>
      <c r="B10287" s="833" t="s">
        <v>14551</v>
      </c>
      <c r="C10287" s="4" t="s">
        <v>12080</v>
      </c>
      <c r="D10287" s="834">
        <v>874.08</v>
      </c>
    </row>
    <row r="10288" spans="1:4" x14ac:dyDescent="0.3">
      <c r="A10288" s="4">
        <v>39874</v>
      </c>
      <c r="B10288" s="833" t="s">
        <v>14552</v>
      </c>
      <c r="C10288" s="4" t="s">
        <v>12080</v>
      </c>
      <c r="D10288" s="834">
        <v>960.05</v>
      </c>
    </row>
    <row r="10289" spans="1:4" x14ac:dyDescent="0.3">
      <c r="A10289" s="4">
        <v>3674</v>
      </c>
      <c r="B10289" s="833" t="s">
        <v>14553</v>
      </c>
      <c r="C10289" s="4" t="s">
        <v>1803</v>
      </c>
      <c r="D10289" s="834">
        <v>104</v>
      </c>
    </row>
    <row r="10290" spans="1:4" x14ac:dyDescent="0.3">
      <c r="A10290" s="4">
        <v>3681</v>
      </c>
      <c r="B10290" s="833" t="s">
        <v>14554</v>
      </c>
      <c r="C10290" s="4" t="s">
        <v>1803</v>
      </c>
      <c r="D10290" s="834">
        <v>154.74</v>
      </c>
    </row>
    <row r="10291" spans="1:4" x14ac:dyDescent="0.3">
      <c r="A10291" s="4">
        <v>3676</v>
      </c>
      <c r="B10291" s="833" t="s">
        <v>14555</v>
      </c>
      <c r="C10291" s="4" t="s">
        <v>1803</v>
      </c>
      <c r="D10291" s="834">
        <v>582.35</v>
      </c>
    </row>
    <row r="10292" spans="1:4" x14ac:dyDescent="0.3">
      <c r="A10292" s="4">
        <v>3679</v>
      </c>
      <c r="B10292" s="833" t="s">
        <v>14556</v>
      </c>
      <c r="C10292" s="4" t="s">
        <v>1803</v>
      </c>
      <c r="D10292" s="834">
        <v>481.79</v>
      </c>
    </row>
    <row r="10293" spans="1:4" x14ac:dyDescent="0.3">
      <c r="A10293" s="4">
        <v>3672</v>
      </c>
      <c r="B10293" s="833" t="s">
        <v>14557</v>
      </c>
      <c r="C10293" s="4" t="s">
        <v>1803</v>
      </c>
      <c r="D10293" s="834">
        <v>1.64</v>
      </c>
    </row>
    <row r="10294" spans="1:4" x14ac:dyDescent="0.3">
      <c r="A10294" s="4">
        <v>3671</v>
      </c>
      <c r="B10294" s="833" t="s">
        <v>14558</v>
      </c>
      <c r="C10294" s="4" t="s">
        <v>1803</v>
      </c>
      <c r="D10294" s="834">
        <v>1.55</v>
      </c>
    </row>
    <row r="10295" spans="1:4" x14ac:dyDescent="0.3">
      <c r="A10295" s="4">
        <v>3673</v>
      </c>
      <c r="B10295" s="833" t="s">
        <v>14559</v>
      </c>
      <c r="C10295" s="4" t="s">
        <v>1803</v>
      </c>
      <c r="D10295" s="834">
        <v>2.4300000000000002</v>
      </c>
    </row>
    <row r="10296" spans="1:4" x14ac:dyDescent="0.3">
      <c r="A10296" s="4">
        <v>38394</v>
      </c>
      <c r="B10296" s="833" t="s">
        <v>14560</v>
      </c>
      <c r="C10296" s="4" t="s">
        <v>12080</v>
      </c>
      <c r="D10296" s="834">
        <v>349.89</v>
      </c>
    </row>
    <row r="10297" spans="1:4" x14ac:dyDescent="0.3">
      <c r="A10297" s="4">
        <v>3729</v>
      </c>
      <c r="B10297" s="833" t="s">
        <v>14561</v>
      </c>
      <c r="C10297" s="4" t="s">
        <v>12080</v>
      </c>
      <c r="D10297" s="834">
        <v>144.58000000000001</v>
      </c>
    </row>
    <row r="10298" spans="1:4" x14ac:dyDescent="0.3">
      <c r="A10298" s="4">
        <v>39357</v>
      </c>
      <c r="B10298" s="833" t="s">
        <v>14562</v>
      </c>
      <c r="C10298" s="4" t="s">
        <v>12080</v>
      </c>
      <c r="D10298" s="834">
        <v>59.73</v>
      </c>
    </row>
    <row r="10299" spans="1:4" x14ac:dyDescent="0.3">
      <c r="A10299" s="4">
        <v>39358</v>
      </c>
      <c r="B10299" s="833" t="s">
        <v>14563</v>
      </c>
      <c r="C10299" s="4" t="s">
        <v>12080</v>
      </c>
      <c r="D10299" s="834">
        <v>59.73</v>
      </c>
    </row>
    <row r="10300" spans="1:4" x14ac:dyDescent="0.3">
      <c r="A10300" s="4">
        <v>39355</v>
      </c>
      <c r="B10300" s="833" t="s">
        <v>14564</v>
      </c>
      <c r="C10300" s="4" t="s">
        <v>12080</v>
      </c>
      <c r="D10300" s="834">
        <v>87.03</v>
      </c>
    </row>
    <row r="10301" spans="1:4" x14ac:dyDescent="0.3">
      <c r="A10301" s="4">
        <v>39356</v>
      </c>
      <c r="B10301" s="833" t="s">
        <v>14565</v>
      </c>
      <c r="C10301" s="4" t="s">
        <v>12080</v>
      </c>
      <c r="D10301" s="834">
        <v>83.06</v>
      </c>
    </row>
    <row r="10302" spans="1:4" x14ac:dyDescent="0.3">
      <c r="A10302" s="4">
        <v>39353</v>
      </c>
      <c r="B10302" s="833" t="s">
        <v>14566</v>
      </c>
      <c r="C10302" s="4" t="s">
        <v>12080</v>
      </c>
      <c r="D10302" s="834">
        <v>190.67</v>
      </c>
    </row>
    <row r="10303" spans="1:4" x14ac:dyDescent="0.3">
      <c r="A10303" s="4">
        <v>39354</v>
      </c>
      <c r="B10303" s="833" t="s">
        <v>14567</v>
      </c>
      <c r="C10303" s="4" t="s">
        <v>12080</v>
      </c>
      <c r="D10303" s="834">
        <v>402.27</v>
      </c>
    </row>
    <row r="10304" spans="1:4" x14ac:dyDescent="0.3">
      <c r="A10304" s="4">
        <v>39398</v>
      </c>
      <c r="B10304" s="833" t="s">
        <v>14568</v>
      </c>
      <c r="C10304" s="4" t="s">
        <v>12080</v>
      </c>
      <c r="D10304" s="834">
        <v>87.44</v>
      </c>
    </row>
    <row r="10305" spans="1:4" x14ac:dyDescent="0.3">
      <c r="A10305" s="4">
        <v>13343</v>
      </c>
      <c r="B10305" s="833" t="s">
        <v>14569</v>
      </c>
      <c r="C10305" s="4" t="s">
        <v>12080</v>
      </c>
      <c r="D10305" s="834">
        <v>48.43</v>
      </c>
    </row>
    <row r="10306" spans="1:4" x14ac:dyDescent="0.3">
      <c r="A10306" s="4">
        <v>12118</v>
      </c>
      <c r="B10306" s="833" t="s">
        <v>14570</v>
      </c>
      <c r="C10306" s="4" t="s">
        <v>12080</v>
      </c>
      <c r="D10306" s="834">
        <v>28.19</v>
      </c>
    </row>
    <row r="10307" spans="1:4" x14ac:dyDescent="0.3">
      <c r="A10307" s="4">
        <v>39482</v>
      </c>
      <c r="B10307" s="833" t="s">
        <v>14571</v>
      </c>
      <c r="C10307" s="4" t="s">
        <v>12080</v>
      </c>
      <c r="D10307" s="834">
        <v>716.89</v>
      </c>
    </row>
    <row r="10308" spans="1:4" x14ac:dyDescent="0.3">
      <c r="A10308" s="4">
        <v>39486</v>
      </c>
      <c r="B10308" s="833" t="s">
        <v>14572</v>
      </c>
      <c r="C10308" s="4" t="s">
        <v>12080</v>
      </c>
      <c r="D10308" s="834">
        <v>585.09</v>
      </c>
    </row>
    <row r="10309" spans="1:4" x14ac:dyDescent="0.3">
      <c r="A10309" s="4">
        <v>39484</v>
      </c>
      <c r="B10309" s="833" t="s">
        <v>14573</v>
      </c>
      <c r="C10309" s="4" t="s">
        <v>12080</v>
      </c>
      <c r="D10309" s="834">
        <v>716.89</v>
      </c>
    </row>
    <row r="10310" spans="1:4" x14ac:dyDescent="0.3">
      <c r="A10310" s="4">
        <v>39488</v>
      </c>
      <c r="B10310" s="833" t="s">
        <v>14574</v>
      </c>
      <c r="C10310" s="4" t="s">
        <v>12080</v>
      </c>
      <c r="D10310" s="834">
        <v>594.66999999999996</v>
      </c>
    </row>
    <row r="10311" spans="1:4" x14ac:dyDescent="0.3">
      <c r="A10311" s="4">
        <v>39485</v>
      </c>
      <c r="B10311" s="833" t="s">
        <v>14575</v>
      </c>
      <c r="C10311" s="4" t="s">
        <v>12080</v>
      </c>
      <c r="D10311" s="834">
        <v>716.89</v>
      </c>
    </row>
    <row r="10312" spans="1:4" x14ac:dyDescent="0.3">
      <c r="A10312" s="4">
        <v>39489</v>
      </c>
      <c r="B10312" s="833" t="s">
        <v>14576</v>
      </c>
      <c r="C10312" s="4" t="s">
        <v>12080</v>
      </c>
      <c r="D10312" s="834">
        <v>604.75</v>
      </c>
    </row>
    <row r="10313" spans="1:4" x14ac:dyDescent="0.3">
      <c r="A10313" s="4">
        <v>39490</v>
      </c>
      <c r="B10313" s="833" t="s">
        <v>14577</v>
      </c>
      <c r="C10313" s="4" t="s">
        <v>12080</v>
      </c>
      <c r="D10313" s="834">
        <v>901.15</v>
      </c>
    </row>
    <row r="10314" spans="1:4" x14ac:dyDescent="0.3">
      <c r="A10314" s="4">
        <v>39494</v>
      </c>
      <c r="B10314" s="833" t="s">
        <v>14578</v>
      </c>
      <c r="C10314" s="4" t="s">
        <v>12080</v>
      </c>
      <c r="D10314" s="834">
        <v>647.1</v>
      </c>
    </row>
    <row r="10315" spans="1:4" x14ac:dyDescent="0.3">
      <c r="A10315" s="4">
        <v>39495</v>
      </c>
      <c r="B10315" s="833" t="s">
        <v>14579</v>
      </c>
      <c r="C10315" s="4" t="s">
        <v>12080</v>
      </c>
      <c r="D10315" s="834">
        <v>729.2</v>
      </c>
    </row>
    <row r="10316" spans="1:4" x14ac:dyDescent="0.3">
      <c r="A10316" s="4">
        <v>39496</v>
      </c>
      <c r="B10316" s="833" t="s">
        <v>14580</v>
      </c>
      <c r="C10316" s="4" t="s">
        <v>12080</v>
      </c>
      <c r="D10316" s="834">
        <v>802.12</v>
      </c>
    </row>
    <row r="10317" spans="1:4" x14ac:dyDescent="0.3">
      <c r="A10317" s="4">
        <v>39492</v>
      </c>
      <c r="B10317" s="833" t="s">
        <v>14581</v>
      </c>
      <c r="C10317" s="4" t="s">
        <v>12080</v>
      </c>
      <c r="D10317" s="834">
        <v>928.63</v>
      </c>
    </row>
    <row r="10318" spans="1:4" x14ac:dyDescent="0.3">
      <c r="A10318" s="4">
        <v>39497</v>
      </c>
      <c r="B10318" s="833" t="s">
        <v>14582</v>
      </c>
      <c r="C10318" s="4" t="s">
        <v>12080</v>
      </c>
      <c r="D10318" s="834">
        <v>838.8</v>
      </c>
    </row>
    <row r="10319" spans="1:4" x14ac:dyDescent="0.3">
      <c r="A10319" s="4">
        <v>39493</v>
      </c>
      <c r="B10319" s="833" t="s">
        <v>14583</v>
      </c>
      <c r="C10319" s="4" t="s">
        <v>12080</v>
      </c>
      <c r="D10319" s="834">
        <v>996.05</v>
      </c>
    </row>
    <row r="10320" spans="1:4" x14ac:dyDescent="0.3">
      <c r="A10320" s="4">
        <v>43628</v>
      </c>
      <c r="B10320" s="833" t="s">
        <v>14584</v>
      </c>
      <c r="C10320" s="4" t="s">
        <v>12080</v>
      </c>
      <c r="D10320" s="834">
        <v>1056.48</v>
      </c>
    </row>
    <row r="10321" spans="1:4" x14ac:dyDescent="0.3">
      <c r="A10321" s="4">
        <v>39500</v>
      </c>
      <c r="B10321" s="833" t="s">
        <v>14585</v>
      </c>
      <c r="C10321" s="4" t="s">
        <v>12080</v>
      </c>
      <c r="D10321" s="834">
        <v>1086.77</v>
      </c>
    </row>
    <row r="10322" spans="1:4" x14ac:dyDescent="0.3">
      <c r="A10322" s="4">
        <v>39498</v>
      </c>
      <c r="B10322" s="833" t="s">
        <v>14586</v>
      </c>
      <c r="C10322" s="4" t="s">
        <v>12080</v>
      </c>
      <c r="D10322" s="834">
        <v>1340.35</v>
      </c>
    </row>
    <row r="10323" spans="1:4" x14ac:dyDescent="0.3">
      <c r="A10323" s="4">
        <v>43621</v>
      </c>
      <c r="B10323" s="833" t="s">
        <v>14587</v>
      </c>
      <c r="C10323" s="4" t="s">
        <v>12080</v>
      </c>
      <c r="D10323" s="834">
        <v>1122.51</v>
      </c>
    </row>
    <row r="10324" spans="1:4" x14ac:dyDescent="0.3">
      <c r="A10324" s="4">
        <v>39501</v>
      </c>
      <c r="B10324" s="833" t="s">
        <v>14588</v>
      </c>
      <c r="C10324" s="4" t="s">
        <v>12080</v>
      </c>
      <c r="D10324" s="834">
        <v>1116.2</v>
      </c>
    </row>
    <row r="10325" spans="1:4" x14ac:dyDescent="0.3">
      <c r="A10325" s="4">
        <v>39499</v>
      </c>
      <c r="B10325" s="833" t="s">
        <v>14589</v>
      </c>
      <c r="C10325" s="4" t="s">
        <v>12080</v>
      </c>
      <c r="D10325" s="834">
        <v>1359.38</v>
      </c>
    </row>
    <row r="10326" spans="1:4" x14ac:dyDescent="0.3">
      <c r="A10326" s="4">
        <v>3733</v>
      </c>
      <c r="B10326" s="833" t="s">
        <v>14590</v>
      </c>
      <c r="C10326" s="4" t="s">
        <v>12481</v>
      </c>
      <c r="D10326" s="834">
        <v>91.57</v>
      </c>
    </row>
    <row r="10327" spans="1:4" x14ac:dyDescent="0.3">
      <c r="A10327" s="4">
        <v>3731</v>
      </c>
      <c r="B10327" s="833" t="s">
        <v>14591</v>
      </c>
      <c r="C10327" s="4" t="s">
        <v>12481</v>
      </c>
      <c r="D10327" s="834">
        <v>85</v>
      </c>
    </row>
    <row r="10328" spans="1:4" x14ac:dyDescent="0.3">
      <c r="A10328" s="4">
        <v>38137</v>
      </c>
      <c r="B10328" s="833" t="s">
        <v>14592</v>
      </c>
      <c r="C10328" s="4" t="s">
        <v>12481</v>
      </c>
      <c r="D10328" s="834">
        <v>85.5</v>
      </c>
    </row>
    <row r="10329" spans="1:4" x14ac:dyDescent="0.3">
      <c r="A10329" s="4">
        <v>38138</v>
      </c>
      <c r="B10329" s="833" t="s">
        <v>14593</v>
      </c>
      <c r="C10329" s="4" t="s">
        <v>12481</v>
      </c>
      <c r="D10329" s="834">
        <v>83.96</v>
      </c>
    </row>
    <row r="10330" spans="1:4" x14ac:dyDescent="0.3">
      <c r="A10330" s="4">
        <v>3736</v>
      </c>
      <c r="B10330" s="833" t="s">
        <v>14594</v>
      </c>
      <c r="C10330" s="4" t="s">
        <v>12481</v>
      </c>
      <c r="D10330" s="834">
        <v>51.2</v>
      </c>
    </row>
    <row r="10331" spans="1:4" x14ac:dyDescent="0.3">
      <c r="A10331" s="4">
        <v>3741</v>
      </c>
      <c r="B10331" s="833" t="s">
        <v>14595</v>
      </c>
      <c r="C10331" s="4" t="s">
        <v>12481</v>
      </c>
      <c r="D10331" s="834">
        <v>53.37</v>
      </c>
    </row>
    <row r="10332" spans="1:4" x14ac:dyDescent="0.3">
      <c r="A10332" s="4">
        <v>3745</v>
      </c>
      <c r="B10332" s="833" t="s">
        <v>14596</v>
      </c>
      <c r="C10332" s="4" t="s">
        <v>12481</v>
      </c>
      <c r="D10332" s="834">
        <v>57.55</v>
      </c>
    </row>
    <row r="10333" spans="1:4" x14ac:dyDescent="0.3">
      <c r="A10333" s="4">
        <v>3743</v>
      </c>
      <c r="B10333" s="833" t="s">
        <v>14597</v>
      </c>
      <c r="C10333" s="4" t="s">
        <v>12481</v>
      </c>
      <c r="D10333" s="834">
        <v>53.18</v>
      </c>
    </row>
    <row r="10334" spans="1:4" x14ac:dyDescent="0.3">
      <c r="A10334" s="4">
        <v>3744</v>
      </c>
      <c r="B10334" s="833" t="s">
        <v>14598</v>
      </c>
      <c r="C10334" s="4" t="s">
        <v>12481</v>
      </c>
      <c r="D10334" s="834">
        <v>58.54</v>
      </c>
    </row>
    <row r="10335" spans="1:4" x14ac:dyDescent="0.3">
      <c r="A10335" s="4">
        <v>3739</v>
      </c>
      <c r="B10335" s="833" t="s">
        <v>14599</v>
      </c>
      <c r="C10335" s="4" t="s">
        <v>12481</v>
      </c>
      <c r="D10335" s="834">
        <v>61.51</v>
      </c>
    </row>
    <row r="10336" spans="1:4" x14ac:dyDescent="0.3">
      <c r="A10336" s="4">
        <v>3737</v>
      </c>
      <c r="B10336" s="833" t="s">
        <v>14600</v>
      </c>
      <c r="C10336" s="4" t="s">
        <v>12481</v>
      </c>
      <c r="D10336" s="834">
        <v>64.489999999999995</v>
      </c>
    </row>
    <row r="10337" spans="1:4" x14ac:dyDescent="0.3">
      <c r="A10337" s="4">
        <v>3738</v>
      </c>
      <c r="B10337" s="833" t="s">
        <v>14601</v>
      </c>
      <c r="C10337" s="4" t="s">
        <v>12481</v>
      </c>
      <c r="D10337" s="834">
        <v>74.41</v>
      </c>
    </row>
    <row r="10338" spans="1:4" x14ac:dyDescent="0.3">
      <c r="A10338" s="4">
        <v>3747</v>
      </c>
      <c r="B10338" s="833" t="s">
        <v>14602</v>
      </c>
      <c r="C10338" s="4" t="s">
        <v>12481</v>
      </c>
      <c r="D10338" s="834">
        <v>58.54</v>
      </c>
    </row>
    <row r="10339" spans="1:4" x14ac:dyDescent="0.3">
      <c r="A10339" s="4">
        <v>11649</v>
      </c>
      <c r="B10339" s="833" t="s">
        <v>14603</v>
      </c>
      <c r="C10339" s="4" t="s">
        <v>12080</v>
      </c>
      <c r="D10339" s="834">
        <v>424.68</v>
      </c>
    </row>
    <row r="10340" spans="1:4" x14ac:dyDescent="0.3">
      <c r="A10340" s="4">
        <v>11650</v>
      </c>
      <c r="B10340" s="833" t="s">
        <v>14604</v>
      </c>
      <c r="C10340" s="4" t="s">
        <v>12080</v>
      </c>
      <c r="D10340" s="834">
        <v>723.84</v>
      </c>
    </row>
    <row r="10341" spans="1:4" x14ac:dyDescent="0.3">
      <c r="A10341" s="4">
        <v>3742</v>
      </c>
      <c r="B10341" s="833" t="s">
        <v>14605</v>
      </c>
      <c r="C10341" s="4" t="s">
        <v>12481</v>
      </c>
      <c r="D10341" s="834">
        <v>77.19</v>
      </c>
    </row>
    <row r="10342" spans="1:4" x14ac:dyDescent="0.3">
      <c r="A10342" s="4">
        <v>3746</v>
      </c>
      <c r="B10342" s="833" t="s">
        <v>14606</v>
      </c>
      <c r="C10342" s="4" t="s">
        <v>12481</v>
      </c>
      <c r="D10342" s="834">
        <v>90.13</v>
      </c>
    </row>
    <row r="10343" spans="1:4" x14ac:dyDescent="0.3">
      <c r="A10343" s="4">
        <v>21106</v>
      </c>
      <c r="B10343" s="833" t="s">
        <v>14607</v>
      </c>
      <c r="C10343" s="4" t="s">
        <v>12126</v>
      </c>
      <c r="D10343" s="834">
        <v>41.02</v>
      </c>
    </row>
    <row r="10344" spans="1:4" x14ac:dyDescent="0.3">
      <c r="A10344" s="4">
        <v>39388</v>
      </c>
      <c r="B10344" s="833" t="s">
        <v>14608</v>
      </c>
      <c r="C10344" s="4" t="s">
        <v>12080</v>
      </c>
      <c r="D10344" s="834">
        <v>6.13</v>
      </c>
    </row>
    <row r="10345" spans="1:4" x14ac:dyDescent="0.3">
      <c r="A10345" s="4">
        <v>39387</v>
      </c>
      <c r="B10345" s="833" t="s">
        <v>14609</v>
      </c>
      <c r="C10345" s="4" t="s">
        <v>12080</v>
      </c>
      <c r="D10345" s="834">
        <v>9.56</v>
      </c>
    </row>
    <row r="10346" spans="1:4" x14ac:dyDescent="0.3">
      <c r="A10346" s="4">
        <v>39386</v>
      </c>
      <c r="B10346" s="833" t="s">
        <v>14610</v>
      </c>
      <c r="C10346" s="4" t="s">
        <v>12080</v>
      </c>
      <c r="D10346" s="834">
        <v>6.67</v>
      </c>
    </row>
    <row r="10347" spans="1:4" x14ac:dyDescent="0.3">
      <c r="A10347" s="4">
        <v>38194</v>
      </c>
      <c r="B10347" s="833" t="s">
        <v>14611</v>
      </c>
      <c r="C10347" s="4" t="s">
        <v>12080</v>
      </c>
      <c r="D10347" s="834">
        <v>4.99</v>
      </c>
    </row>
    <row r="10348" spans="1:4" x14ac:dyDescent="0.3">
      <c r="A10348" s="4">
        <v>38193</v>
      </c>
      <c r="B10348" s="833" t="s">
        <v>14612</v>
      </c>
      <c r="C10348" s="4" t="s">
        <v>12080</v>
      </c>
      <c r="D10348" s="834">
        <v>4.33</v>
      </c>
    </row>
    <row r="10349" spans="1:4" x14ac:dyDescent="0.3">
      <c r="A10349" s="4">
        <v>746</v>
      </c>
      <c r="B10349" s="833" t="s">
        <v>14613</v>
      </c>
      <c r="C10349" s="4" t="s">
        <v>12080</v>
      </c>
      <c r="D10349" s="834">
        <v>3262.27</v>
      </c>
    </row>
    <row r="10350" spans="1:4" x14ac:dyDescent="0.3">
      <c r="A10350" s="4">
        <v>20269</v>
      </c>
      <c r="B10350" s="833" t="s">
        <v>14614</v>
      </c>
      <c r="C10350" s="4" t="s">
        <v>12080</v>
      </c>
      <c r="D10350" s="834">
        <v>95.18</v>
      </c>
    </row>
    <row r="10351" spans="1:4" x14ac:dyDescent="0.3">
      <c r="A10351" s="4">
        <v>20270</v>
      </c>
      <c r="B10351" s="833" t="s">
        <v>14615</v>
      </c>
      <c r="C10351" s="4" t="s">
        <v>12080</v>
      </c>
      <c r="D10351" s="834">
        <v>105.17</v>
      </c>
    </row>
    <row r="10352" spans="1:4" x14ac:dyDescent="0.3">
      <c r="A10352" s="4">
        <v>11696</v>
      </c>
      <c r="B10352" s="833" t="s">
        <v>14616</v>
      </c>
      <c r="C10352" s="4" t="s">
        <v>12080</v>
      </c>
      <c r="D10352" s="834">
        <v>168.35</v>
      </c>
    </row>
    <row r="10353" spans="1:4" x14ac:dyDescent="0.3">
      <c r="A10353" s="4">
        <v>10427</v>
      </c>
      <c r="B10353" s="833" t="s">
        <v>14617</v>
      </c>
      <c r="C10353" s="4" t="s">
        <v>12080</v>
      </c>
      <c r="D10353" s="834">
        <v>471.11</v>
      </c>
    </row>
    <row r="10354" spans="1:4" x14ac:dyDescent="0.3">
      <c r="A10354" s="4">
        <v>10428</v>
      </c>
      <c r="B10354" s="833" t="s">
        <v>14618</v>
      </c>
      <c r="C10354" s="4" t="s">
        <v>12080</v>
      </c>
      <c r="D10354" s="834">
        <v>485.4</v>
      </c>
    </row>
    <row r="10355" spans="1:4" x14ac:dyDescent="0.3">
      <c r="A10355" s="4">
        <v>36521</v>
      </c>
      <c r="B10355" s="833" t="s">
        <v>14619</v>
      </c>
      <c r="C10355" s="4" t="s">
        <v>12080</v>
      </c>
      <c r="D10355" s="834">
        <v>151.44999999999999</v>
      </c>
    </row>
    <row r="10356" spans="1:4" x14ac:dyDescent="0.3">
      <c r="A10356" s="4">
        <v>36794</v>
      </c>
      <c r="B10356" s="833" t="s">
        <v>14620</v>
      </c>
      <c r="C10356" s="4" t="s">
        <v>12080</v>
      </c>
      <c r="D10356" s="834">
        <v>161.22999999999999</v>
      </c>
    </row>
    <row r="10357" spans="1:4" x14ac:dyDescent="0.3">
      <c r="A10357" s="4">
        <v>10426</v>
      </c>
      <c r="B10357" s="833" t="s">
        <v>14621</v>
      </c>
      <c r="C10357" s="4" t="s">
        <v>12080</v>
      </c>
      <c r="D10357" s="834">
        <v>180.54</v>
      </c>
    </row>
    <row r="10358" spans="1:4" x14ac:dyDescent="0.3">
      <c r="A10358" s="4">
        <v>10425</v>
      </c>
      <c r="B10358" s="833" t="s">
        <v>14622</v>
      </c>
      <c r="C10358" s="4" t="s">
        <v>12080</v>
      </c>
      <c r="D10358" s="834">
        <v>91.59</v>
      </c>
    </row>
    <row r="10359" spans="1:4" x14ac:dyDescent="0.3">
      <c r="A10359" s="4">
        <v>10431</v>
      </c>
      <c r="B10359" s="833" t="s">
        <v>14623</v>
      </c>
      <c r="C10359" s="4" t="s">
        <v>12080</v>
      </c>
      <c r="D10359" s="834">
        <v>313.58</v>
      </c>
    </row>
    <row r="10360" spans="1:4" x14ac:dyDescent="0.3">
      <c r="A10360" s="4">
        <v>10429</v>
      </c>
      <c r="B10360" s="833" t="s">
        <v>14624</v>
      </c>
      <c r="C10360" s="4" t="s">
        <v>12080</v>
      </c>
      <c r="D10360" s="834">
        <v>154.69</v>
      </c>
    </row>
    <row r="10361" spans="1:4" x14ac:dyDescent="0.3">
      <c r="A10361" s="4">
        <v>10853</v>
      </c>
      <c r="B10361" s="833" t="s">
        <v>14625</v>
      </c>
      <c r="C10361" s="4" t="s">
        <v>12080</v>
      </c>
      <c r="D10361" s="834">
        <v>103.78</v>
      </c>
    </row>
    <row r="10362" spans="1:4" x14ac:dyDescent="0.3">
      <c r="A10362" s="4">
        <v>5093</v>
      </c>
      <c r="B10362" s="833" t="s">
        <v>14626</v>
      </c>
      <c r="C10362" s="4" t="s">
        <v>12495</v>
      </c>
      <c r="D10362" s="834">
        <v>17.36</v>
      </c>
    </row>
    <row r="10363" spans="1:4" x14ac:dyDescent="0.3">
      <c r="A10363" s="4">
        <v>44331</v>
      </c>
      <c r="B10363" s="833" t="s">
        <v>14627</v>
      </c>
      <c r="C10363" s="4" t="s">
        <v>12128</v>
      </c>
      <c r="D10363" s="834">
        <v>48.77</v>
      </c>
    </row>
    <row r="10364" spans="1:4" x14ac:dyDescent="0.3">
      <c r="A10364" s="4">
        <v>37768</v>
      </c>
      <c r="B10364" s="833" t="s">
        <v>14628</v>
      </c>
      <c r="C10364" s="4" t="s">
        <v>12080</v>
      </c>
      <c r="D10364" s="834">
        <v>295000</v>
      </c>
    </row>
    <row r="10365" spans="1:4" x14ac:dyDescent="0.3">
      <c r="A10365" s="4">
        <v>37773</v>
      </c>
      <c r="B10365" s="833" t="s">
        <v>14629</v>
      </c>
      <c r="C10365" s="4" t="s">
        <v>12080</v>
      </c>
      <c r="D10365" s="834">
        <v>250504.73</v>
      </c>
    </row>
    <row r="10366" spans="1:4" x14ac:dyDescent="0.3">
      <c r="A10366" s="4">
        <v>37769</v>
      </c>
      <c r="B10366" s="833" t="s">
        <v>14630</v>
      </c>
      <c r="C10366" s="4" t="s">
        <v>12080</v>
      </c>
      <c r="D10366" s="834">
        <v>419376.48</v>
      </c>
    </row>
    <row r="10367" spans="1:4" x14ac:dyDescent="0.3">
      <c r="A10367" s="4">
        <v>37770</v>
      </c>
      <c r="B10367" s="833" t="s">
        <v>14631</v>
      </c>
      <c r="C10367" s="4" t="s">
        <v>12080</v>
      </c>
      <c r="D10367" s="834">
        <v>711748.8</v>
      </c>
    </row>
    <row r="10368" spans="1:4" x14ac:dyDescent="0.3">
      <c r="A10368" s="4">
        <v>38382</v>
      </c>
      <c r="B10368" s="833" t="s">
        <v>14632</v>
      </c>
      <c r="C10368" s="4" t="s">
        <v>12080</v>
      </c>
      <c r="D10368" s="834">
        <v>12.73</v>
      </c>
    </row>
    <row r="10369" spans="1:4" x14ac:dyDescent="0.3">
      <c r="A10369" s="4">
        <v>38383</v>
      </c>
      <c r="B10369" s="833" t="s">
        <v>14633</v>
      </c>
      <c r="C10369" s="4" t="s">
        <v>12080</v>
      </c>
      <c r="D10369" s="834">
        <v>2.38</v>
      </c>
    </row>
    <row r="10370" spans="1:4" x14ac:dyDescent="0.3">
      <c r="A10370" s="4">
        <v>3768</v>
      </c>
      <c r="B10370" s="833" t="s">
        <v>14634</v>
      </c>
      <c r="C10370" s="4" t="s">
        <v>12080</v>
      </c>
      <c r="D10370" s="834">
        <v>4</v>
      </c>
    </row>
    <row r="10371" spans="1:4" x14ac:dyDescent="0.3">
      <c r="A10371" s="4">
        <v>3767</v>
      </c>
      <c r="B10371" s="833" t="s">
        <v>14635</v>
      </c>
      <c r="C10371" s="4" t="s">
        <v>12080</v>
      </c>
      <c r="D10371" s="834">
        <v>1.34</v>
      </c>
    </row>
    <row r="10372" spans="1:4" x14ac:dyDescent="0.3">
      <c r="A10372" s="4">
        <v>13192</v>
      </c>
      <c r="B10372" s="833" t="s">
        <v>14636</v>
      </c>
      <c r="C10372" s="4" t="s">
        <v>12080</v>
      </c>
      <c r="D10372" s="834">
        <v>6233.87</v>
      </c>
    </row>
    <row r="10373" spans="1:4" x14ac:dyDescent="0.3">
      <c r="A10373" s="4">
        <v>38413</v>
      </c>
      <c r="B10373" s="833" t="s">
        <v>14637</v>
      </c>
      <c r="C10373" s="4" t="s">
        <v>12080</v>
      </c>
      <c r="D10373" s="834">
        <v>1030.99</v>
      </c>
    </row>
    <row r="10374" spans="1:4" x14ac:dyDescent="0.3">
      <c r="A10374" s="4">
        <v>42440</v>
      </c>
      <c r="B10374" s="833" t="s">
        <v>14638</v>
      </c>
      <c r="C10374" s="4" t="s">
        <v>12080</v>
      </c>
      <c r="D10374" s="834">
        <v>1235.9100000000001</v>
      </c>
    </row>
    <row r="10375" spans="1:4" x14ac:dyDescent="0.3">
      <c r="A10375" s="4">
        <v>20193</v>
      </c>
      <c r="B10375" s="833" t="s">
        <v>14639</v>
      </c>
      <c r="C10375" s="4" t="s">
        <v>14640</v>
      </c>
      <c r="D10375" s="834">
        <v>22.59</v>
      </c>
    </row>
    <row r="10376" spans="1:4" x14ac:dyDescent="0.3">
      <c r="A10376" s="4">
        <v>10527</v>
      </c>
      <c r="B10376" s="833" t="s">
        <v>14641</v>
      </c>
      <c r="C10376" s="4" t="s">
        <v>14642</v>
      </c>
      <c r="D10376" s="834">
        <v>30.13</v>
      </c>
    </row>
    <row r="10377" spans="1:4" x14ac:dyDescent="0.3">
      <c r="A10377" s="4">
        <v>41805</v>
      </c>
      <c r="B10377" s="833" t="s">
        <v>14643</v>
      </c>
      <c r="C10377" s="4" t="s">
        <v>12228</v>
      </c>
      <c r="D10377" s="834">
        <v>866.23</v>
      </c>
    </row>
    <row r="10378" spans="1:4" x14ac:dyDescent="0.3">
      <c r="A10378" s="4">
        <v>40271</v>
      </c>
      <c r="B10378" s="833" t="s">
        <v>14644</v>
      </c>
      <c r="C10378" s="4" t="s">
        <v>4298</v>
      </c>
      <c r="D10378" s="834">
        <v>23.06</v>
      </c>
    </row>
    <row r="10379" spans="1:4" x14ac:dyDescent="0.3">
      <c r="A10379" s="4">
        <v>40287</v>
      </c>
      <c r="B10379" s="833" t="s">
        <v>14645</v>
      </c>
      <c r="C10379" s="4" t="s">
        <v>12228</v>
      </c>
      <c r="D10379" s="834">
        <v>8.8800000000000008</v>
      </c>
    </row>
    <row r="10380" spans="1:4" x14ac:dyDescent="0.3">
      <c r="A10380" s="4">
        <v>4084</v>
      </c>
      <c r="B10380" s="833" t="s">
        <v>14646</v>
      </c>
      <c r="C10380" s="4" t="s">
        <v>12226</v>
      </c>
      <c r="D10380" s="834">
        <v>3.83</v>
      </c>
    </row>
    <row r="10381" spans="1:4" x14ac:dyDescent="0.3">
      <c r="A10381" s="4">
        <v>743</v>
      </c>
      <c r="B10381" s="833" t="s">
        <v>14647</v>
      </c>
      <c r="C10381" s="4" t="s">
        <v>12226</v>
      </c>
      <c r="D10381" s="834">
        <v>3.83</v>
      </c>
    </row>
    <row r="10382" spans="1:4" x14ac:dyDescent="0.3">
      <c r="A10382" s="4">
        <v>40293</v>
      </c>
      <c r="B10382" s="833" t="s">
        <v>14648</v>
      </c>
      <c r="C10382" s="4" t="s">
        <v>12226</v>
      </c>
      <c r="D10382" s="834">
        <v>4.59</v>
      </c>
    </row>
    <row r="10383" spans="1:4" x14ac:dyDescent="0.3">
      <c r="A10383" s="4">
        <v>40294</v>
      </c>
      <c r="B10383" s="833" t="s">
        <v>14649</v>
      </c>
      <c r="C10383" s="4" t="s">
        <v>12226</v>
      </c>
      <c r="D10383" s="834">
        <v>3.83</v>
      </c>
    </row>
    <row r="10384" spans="1:4" x14ac:dyDescent="0.3">
      <c r="A10384" s="4">
        <v>4085</v>
      </c>
      <c r="B10384" s="833" t="s">
        <v>14650</v>
      </c>
      <c r="C10384" s="4" t="s">
        <v>12226</v>
      </c>
      <c r="D10384" s="834">
        <v>5.36</v>
      </c>
    </row>
    <row r="10385" spans="1:4" x14ac:dyDescent="0.3">
      <c r="A10385" s="4">
        <v>10779</v>
      </c>
      <c r="B10385" s="833" t="s">
        <v>14651</v>
      </c>
      <c r="C10385" s="4" t="s">
        <v>12228</v>
      </c>
      <c r="D10385" s="834">
        <v>1875</v>
      </c>
    </row>
    <row r="10386" spans="1:4" x14ac:dyDescent="0.3">
      <c r="A10386" s="4">
        <v>10777</v>
      </c>
      <c r="B10386" s="833" t="s">
        <v>14652</v>
      </c>
      <c r="C10386" s="4" t="s">
        <v>12228</v>
      </c>
      <c r="D10386" s="834">
        <v>1703.12</v>
      </c>
    </row>
    <row r="10387" spans="1:4" x14ac:dyDescent="0.3">
      <c r="A10387" s="4">
        <v>10775</v>
      </c>
      <c r="B10387" s="833" t="s">
        <v>14653</v>
      </c>
      <c r="C10387" s="4" t="s">
        <v>12228</v>
      </c>
      <c r="D10387" s="834">
        <v>1500</v>
      </c>
    </row>
    <row r="10388" spans="1:4" x14ac:dyDescent="0.3">
      <c r="A10388" s="4">
        <v>10776</v>
      </c>
      <c r="B10388" s="833" t="s">
        <v>14654</v>
      </c>
      <c r="C10388" s="4" t="s">
        <v>12228</v>
      </c>
      <c r="D10388" s="834">
        <v>1171.8699999999999</v>
      </c>
    </row>
    <row r="10389" spans="1:4" x14ac:dyDescent="0.3">
      <c r="A10389" s="4">
        <v>10778</v>
      </c>
      <c r="B10389" s="833" t="s">
        <v>14655</v>
      </c>
      <c r="C10389" s="4" t="s">
        <v>12228</v>
      </c>
      <c r="D10389" s="834">
        <v>1875</v>
      </c>
    </row>
    <row r="10390" spans="1:4" x14ac:dyDescent="0.3">
      <c r="A10390" s="4">
        <v>40339</v>
      </c>
      <c r="B10390" s="833" t="s">
        <v>14656</v>
      </c>
      <c r="C10390" s="4" t="s">
        <v>4298</v>
      </c>
      <c r="D10390" s="834">
        <v>8.08</v>
      </c>
    </row>
    <row r="10391" spans="1:4" x14ac:dyDescent="0.3">
      <c r="A10391" s="4">
        <v>10749</v>
      </c>
      <c r="B10391" s="833" t="s">
        <v>14657</v>
      </c>
      <c r="C10391" s="4" t="s">
        <v>4298</v>
      </c>
      <c r="D10391" s="834">
        <v>26.74</v>
      </c>
    </row>
    <row r="10392" spans="1:4" x14ac:dyDescent="0.3">
      <c r="A10392" s="4">
        <v>40290</v>
      </c>
      <c r="B10392" s="833" t="s">
        <v>14658</v>
      </c>
      <c r="C10392" s="4" t="s">
        <v>4298</v>
      </c>
      <c r="D10392" s="834">
        <v>14.46</v>
      </c>
    </row>
    <row r="10393" spans="1:4" x14ac:dyDescent="0.3">
      <c r="A10393" s="4">
        <v>3346</v>
      </c>
      <c r="B10393" s="833" t="s">
        <v>14659</v>
      </c>
      <c r="C10393" s="4" t="s">
        <v>12226</v>
      </c>
      <c r="D10393" s="834">
        <v>19.309999999999999</v>
      </c>
    </row>
    <row r="10394" spans="1:4" x14ac:dyDescent="0.3">
      <c r="A10394" s="4">
        <v>3348</v>
      </c>
      <c r="B10394" s="833" t="s">
        <v>14660</v>
      </c>
      <c r="C10394" s="4" t="s">
        <v>12226</v>
      </c>
      <c r="D10394" s="834">
        <v>23.1</v>
      </c>
    </row>
    <row r="10395" spans="1:4" x14ac:dyDescent="0.3">
      <c r="A10395" s="4">
        <v>39833</v>
      </c>
      <c r="B10395" s="833" t="s">
        <v>14661</v>
      </c>
      <c r="C10395" s="4" t="s">
        <v>12226</v>
      </c>
      <c r="D10395" s="834">
        <v>31.64</v>
      </c>
    </row>
    <row r="10396" spans="1:4" x14ac:dyDescent="0.3">
      <c r="A10396" s="4">
        <v>7252</v>
      </c>
      <c r="B10396" s="833" t="s">
        <v>14662</v>
      </c>
      <c r="C10396" s="4" t="s">
        <v>12226</v>
      </c>
      <c r="D10396" s="834">
        <v>2.34</v>
      </c>
    </row>
    <row r="10397" spans="1:4" x14ac:dyDescent="0.3">
      <c r="A10397" s="4">
        <v>7247</v>
      </c>
      <c r="B10397" s="833" t="s">
        <v>14663</v>
      </c>
      <c r="C10397" s="4" t="s">
        <v>12226</v>
      </c>
      <c r="D10397" s="834">
        <v>2.34</v>
      </c>
    </row>
    <row r="10398" spans="1:4" x14ac:dyDescent="0.3">
      <c r="A10398" s="4">
        <v>40291</v>
      </c>
      <c r="B10398" s="833" t="s">
        <v>14664</v>
      </c>
      <c r="C10398" s="4" t="s">
        <v>4298</v>
      </c>
      <c r="D10398" s="834">
        <v>753.25</v>
      </c>
    </row>
    <row r="10399" spans="1:4" x14ac:dyDescent="0.3">
      <c r="A10399" s="4">
        <v>40275</v>
      </c>
      <c r="B10399" s="833" t="s">
        <v>14665</v>
      </c>
      <c r="C10399" s="4" t="s">
        <v>4298</v>
      </c>
      <c r="D10399" s="834">
        <v>24.1</v>
      </c>
    </row>
    <row r="10400" spans="1:4" x14ac:dyDescent="0.3">
      <c r="A10400" s="4">
        <v>42408</v>
      </c>
      <c r="B10400" s="833" t="s">
        <v>14666</v>
      </c>
      <c r="C10400" s="4" t="s">
        <v>12481</v>
      </c>
      <c r="D10400" s="834">
        <v>2.77</v>
      </c>
    </row>
    <row r="10401" spans="1:4" x14ac:dyDescent="0.3">
      <c r="A10401" s="4">
        <v>3777</v>
      </c>
      <c r="B10401" s="833" t="s">
        <v>14667</v>
      </c>
      <c r="C10401" s="4" t="s">
        <v>12481</v>
      </c>
      <c r="D10401" s="834">
        <v>2</v>
      </c>
    </row>
    <row r="10402" spans="1:4" x14ac:dyDescent="0.3">
      <c r="A10402" s="4">
        <v>44699</v>
      </c>
      <c r="B10402" s="833" t="s">
        <v>14668</v>
      </c>
      <c r="C10402" s="4" t="s">
        <v>12126</v>
      </c>
      <c r="D10402" s="834">
        <v>47.43</v>
      </c>
    </row>
    <row r="10403" spans="1:4" x14ac:dyDescent="0.3">
      <c r="A10403" s="4">
        <v>3798</v>
      </c>
      <c r="B10403" s="833" t="s">
        <v>14669</v>
      </c>
      <c r="C10403" s="4" t="s">
        <v>12080</v>
      </c>
      <c r="D10403" s="834">
        <v>83.57</v>
      </c>
    </row>
    <row r="10404" spans="1:4" x14ac:dyDescent="0.3">
      <c r="A10404" s="4">
        <v>38769</v>
      </c>
      <c r="B10404" s="833" t="s">
        <v>14670</v>
      </c>
      <c r="C10404" s="4" t="s">
        <v>12080</v>
      </c>
      <c r="D10404" s="834">
        <v>65.27</v>
      </c>
    </row>
    <row r="10405" spans="1:4" x14ac:dyDescent="0.3">
      <c r="A10405" s="4">
        <v>38774</v>
      </c>
      <c r="B10405" s="833" t="s">
        <v>14671</v>
      </c>
      <c r="C10405" s="4" t="s">
        <v>12080</v>
      </c>
      <c r="D10405" s="834">
        <v>12.53</v>
      </c>
    </row>
    <row r="10406" spans="1:4" x14ac:dyDescent="0.3">
      <c r="A10406" s="4">
        <v>42247</v>
      </c>
      <c r="B10406" s="833" t="s">
        <v>14672</v>
      </c>
      <c r="C10406" s="4" t="s">
        <v>12080</v>
      </c>
      <c r="D10406" s="834">
        <v>427.88</v>
      </c>
    </row>
    <row r="10407" spans="1:4" x14ac:dyDescent="0.3">
      <c r="A10407" s="4">
        <v>42248</v>
      </c>
      <c r="B10407" s="833" t="s">
        <v>14673</v>
      </c>
      <c r="C10407" s="4" t="s">
        <v>12080</v>
      </c>
      <c r="D10407" s="834">
        <v>497.02</v>
      </c>
    </row>
    <row r="10408" spans="1:4" x14ac:dyDescent="0.3">
      <c r="A10408" s="4">
        <v>42249</v>
      </c>
      <c r="B10408" s="833" t="s">
        <v>14674</v>
      </c>
      <c r="C10408" s="4" t="s">
        <v>12080</v>
      </c>
      <c r="D10408" s="834">
        <v>823.39</v>
      </c>
    </row>
    <row r="10409" spans="1:4" x14ac:dyDescent="0.3">
      <c r="A10409" s="4">
        <v>42244</v>
      </c>
      <c r="B10409" s="833" t="s">
        <v>14675</v>
      </c>
      <c r="C10409" s="4" t="s">
        <v>12080</v>
      </c>
      <c r="D10409" s="834">
        <v>128.59</v>
      </c>
    </row>
    <row r="10410" spans="1:4" x14ac:dyDescent="0.3">
      <c r="A10410" s="4">
        <v>42245</v>
      </c>
      <c r="B10410" s="833" t="s">
        <v>14676</v>
      </c>
      <c r="C10410" s="4" t="s">
        <v>12080</v>
      </c>
      <c r="D10410" s="834">
        <v>237.28</v>
      </c>
    </row>
    <row r="10411" spans="1:4" x14ac:dyDescent="0.3">
      <c r="A10411" s="4">
        <v>42246</v>
      </c>
      <c r="B10411" s="833" t="s">
        <v>14677</v>
      </c>
      <c r="C10411" s="4" t="s">
        <v>12080</v>
      </c>
      <c r="D10411" s="834">
        <v>262.66000000000003</v>
      </c>
    </row>
    <row r="10412" spans="1:4" x14ac:dyDescent="0.3">
      <c r="A10412" s="4">
        <v>42243</v>
      </c>
      <c r="B10412" s="833" t="s">
        <v>14678</v>
      </c>
      <c r="C10412" s="4" t="s">
        <v>12080</v>
      </c>
      <c r="D10412" s="834">
        <v>316.72000000000003</v>
      </c>
    </row>
    <row r="10413" spans="1:4" x14ac:dyDescent="0.3">
      <c r="A10413" s="4">
        <v>38889</v>
      </c>
      <c r="B10413" s="833" t="s">
        <v>14679</v>
      </c>
      <c r="C10413" s="4" t="s">
        <v>12080</v>
      </c>
      <c r="D10413" s="834">
        <v>50.02</v>
      </c>
    </row>
    <row r="10414" spans="1:4" x14ac:dyDescent="0.3">
      <c r="A10414" s="4">
        <v>38784</v>
      </c>
      <c r="B10414" s="833" t="s">
        <v>14680</v>
      </c>
      <c r="C10414" s="4" t="s">
        <v>12080</v>
      </c>
      <c r="D10414" s="834">
        <v>66.92</v>
      </c>
    </row>
    <row r="10415" spans="1:4" x14ac:dyDescent="0.3">
      <c r="A10415" s="4">
        <v>3780</v>
      </c>
      <c r="B10415" s="833" t="s">
        <v>14681</v>
      </c>
      <c r="C10415" s="4" t="s">
        <v>12080</v>
      </c>
      <c r="D10415" s="834">
        <v>102.9</v>
      </c>
    </row>
    <row r="10416" spans="1:4" x14ac:dyDescent="0.3">
      <c r="A10416" s="4">
        <v>38773</v>
      </c>
      <c r="B10416" s="833" t="s">
        <v>14682</v>
      </c>
      <c r="C10416" s="4" t="s">
        <v>12080</v>
      </c>
      <c r="D10416" s="834">
        <v>6.56</v>
      </c>
    </row>
    <row r="10417" spans="1:4" x14ac:dyDescent="0.3">
      <c r="A10417" s="4">
        <v>12271</v>
      </c>
      <c r="B10417" s="833" t="s">
        <v>14683</v>
      </c>
      <c r="C10417" s="4" t="s">
        <v>12080</v>
      </c>
      <c r="D10417" s="834">
        <v>365.99</v>
      </c>
    </row>
    <row r="10418" spans="1:4" x14ac:dyDescent="0.3">
      <c r="A10418" s="4">
        <v>39385</v>
      </c>
      <c r="B10418" s="833" t="s">
        <v>14684</v>
      </c>
      <c r="C10418" s="4" t="s">
        <v>12080</v>
      </c>
      <c r="D10418" s="834">
        <v>11.46</v>
      </c>
    </row>
    <row r="10419" spans="1:4" x14ac:dyDescent="0.3">
      <c r="A10419" s="4">
        <v>39389</v>
      </c>
      <c r="B10419" s="833" t="s">
        <v>14685</v>
      </c>
      <c r="C10419" s="4" t="s">
        <v>12080</v>
      </c>
      <c r="D10419" s="834">
        <v>12.44</v>
      </c>
    </row>
    <row r="10420" spans="1:4" x14ac:dyDescent="0.3">
      <c r="A10420" s="4">
        <v>39390</v>
      </c>
      <c r="B10420" s="833" t="s">
        <v>14686</v>
      </c>
      <c r="C10420" s="4" t="s">
        <v>12080</v>
      </c>
      <c r="D10420" s="834">
        <v>26.07</v>
      </c>
    </row>
    <row r="10421" spans="1:4" x14ac:dyDescent="0.3">
      <c r="A10421" s="4">
        <v>39391</v>
      </c>
      <c r="B10421" s="833" t="s">
        <v>14687</v>
      </c>
      <c r="C10421" s="4" t="s">
        <v>12080</v>
      </c>
      <c r="D10421" s="834">
        <v>29.27</v>
      </c>
    </row>
    <row r="10422" spans="1:4" x14ac:dyDescent="0.3">
      <c r="A10422" s="4">
        <v>3803</v>
      </c>
      <c r="B10422" s="833" t="s">
        <v>14688</v>
      </c>
      <c r="C10422" s="4" t="s">
        <v>12080</v>
      </c>
      <c r="D10422" s="834">
        <v>61.89</v>
      </c>
    </row>
    <row r="10423" spans="1:4" x14ac:dyDescent="0.3">
      <c r="A10423" s="4">
        <v>38770</v>
      </c>
      <c r="B10423" s="833" t="s">
        <v>14689</v>
      </c>
      <c r="C10423" s="4" t="s">
        <v>12080</v>
      </c>
      <c r="D10423" s="834">
        <v>71.66</v>
      </c>
    </row>
    <row r="10424" spans="1:4" x14ac:dyDescent="0.3">
      <c r="A10424" s="4">
        <v>12267</v>
      </c>
      <c r="B10424" s="833" t="s">
        <v>14690</v>
      </c>
      <c r="C10424" s="4" t="s">
        <v>12080</v>
      </c>
      <c r="D10424" s="834">
        <v>210</v>
      </c>
    </row>
    <row r="10425" spans="1:4" x14ac:dyDescent="0.3">
      <c r="A10425" s="4">
        <v>43265</v>
      </c>
      <c r="B10425" s="833" t="s">
        <v>14691</v>
      </c>
      <c r="C10425" s="4" t="s">
        <v>12080</v>
      </c>
      <c r="D10425" s="834">
        <v>35.85</v>
      </c>
    </row>
    <row r="10426" spans="1:4" x14ac:dyDescent="0.3">
      <c r="A10426" s="4">
        <v>12266</v>
      </c>
      <c r="B10426" s="833" t="s">
        <v>14692</v>
      </c>
      <c r="C10426" s="4" t="s">
        <v>12080</v>
      </c>
      <c r="D10426" s="834">
        <v>107.48</v>
      </c>
    </row>
    <row r="10427" spans="1:4" x14ac:dyDescent="0.3">
      <c r="A10427" s="4">
        <v>39378</v>
      </c>
      <c r="B10427" s="833" t="s">
        <v>14693</v>
      </c>
      <c r="C10427" s="4" t="s">
        <v>12080</v>
      </c>
      <c r="D10427" s="834">
        <v>76.2</v>
      </c>
    </row>
    <row r="10428" spans="1:4" x14ac:dyDescent="0.3">
      <c r="A10428" s="4">
        <v>43543</v>
      </c>
      <c r="B10428" s="833" t="s">
        <v>14694</v>
      </c>
      <c r="C10428" s="4" t="s">
        <v>12080</v>
      </c>
      <c r="D10428" s="834">
        <v>158.76</v>
      </c>
    </row>
    <row r="10429" spans="1:4" x14ac:dyDescent="0.3">
      <c r="A10429" s="4">
        <v>38775</v>
      </c>
      <c r="B10429" s="833" t="s">
        <v>14695</v>
      </c>
      <c r="C10429" s="4" t="s">
        <v>12080</v>
      </c>
      <c r="D10429" s="834">
        <v>80.790000000000006</v>
      </c>
    </row>
    <row r="10430" spans="1:4" x14ac:dyDescent="0.3">
      <c r="A10430" s="4">
        <v>44252</v>
      </c>
      <c r="B10430" s="833" t="s">
        <v>14696</v>
      </c>
      <c r="C10430" s="4" t="s">
        <v>12080</v>
      </c>
      <c r="D10430" s="834">
        <v>188.43</v>
      </c>
    </row>
    <row r="10431" spans="1:4" x14ac:dyDescent="0.3">
      <c r="A10431" s="4">
        <v>21119</v>
      </c>
      <c r="B10431" s="833" t="s">
        <v>14697</v>
      </c>
      <c r="C10431" s="4" t="s">
        <v>12080</v>
      </c>
      <c r="D10431" s="834">
        <v>1.89</v>
      </c>
    </row>
    <row r="10432" spans="1:4" x14ac:dyDescent="0.3">
      <c r="A10432" s="4">
        <v>37974</v>
      </c>
      <c r="B10432" s="833" t="s">
        <v>14698</v>
      </c>
      <c r="C10432" s="4" t="s">
        <v>12080</v>
      </c>
      <c r="D10432" s="834">
        <v>2.44</v>
      </c>
    </row>
    <row r="10433" spans="1:4" x14ac:dyDescent="0.3">
      <c r="A10433" s="4">
        <v>37975</v>
      </c>
      <c r="B10433" s="833" t="s">
        <v>14699</v>
      </c>
      <c r="C10433" s="4" t="s">
        <v>12080</v>
      </c>
      <c r="D10433" s="834">
        <v>5.44</v>
      </c>
    </row>
    <row r="10434" spans="1:4" x14ac:dyDescent="0.3">
      <c r="A10434" s="4">
        <v>37976</v>
      </c>
      <c r="B10434" s="833" t="s">
        <v>14700</v>
      </c>
      <c r="C10434" s="4" t="s">
        <v>12080</v>
      </c>
      <c r="D10434" s="834">
        <v>12.11</v>
      </c>
    </row>
    <row r="10435" spans="1:4" x14ac:dyDescent="0.3">
      <c r="A10435" s="4">
        <v>37977</v>
      </c>
      <c r="B10435" s="833" t="s">
        <v>14701</v>
      </c>
      <c r="C10435" s="4" t="s">
        <v>12080</v>
      </c>
      <c r="D10435" s="834">
        <v>16.760000000000002</v>
      </c>
    </row>
    <row r="10436" spans="1:4" x14ac:dyDescent="0.3">
      <c r="A10436" s="4">
        <v>37978</v>
      </c>
      <c r="B10436" s="833" t="s">
        <v>14702</v>
      </c>
      <c r="C10436" s="4" t="s">
        <v>12080</v>
      </c>
      <c r="D10436" s="834">
        <v>33.24</v>
      </c>
    </row>
    <row r="10437" spans="1:4" x14ac:dyDescent="0.3">
      <c r="A10437" s="4">
        <v>37979</v>
      </c>
      <c r="B10437" s="833" t="s">
        <v>14703</v>
      </c>
      <c r="C10437" s="4" t="s">
        <v>12080</v>
      </c>
      <c r="D10437" s="834">
        <v>141.07</v>
      </c>
    </row>
    <row r="10438" spans="1:4" x14ac:dyDescent="0.3">
      <c r="A10438" s="4">
        <v>37980</v>
      </c>
      <c r="B10438" s="833" t="s">
        <v>14704</v>
      </c>
      <c r="C10438" s="4" t="s">
        <v>12080</v>
      </c>
      <c r="D10438" s="834">
        <v>162.04</v>
      </c>
    </row>
    <row r="10439" spans="1:4" x14ac:dyDescent="0.3">
      <c r="A10439" s="4">
        <v>36147</v>
      </c>
      <c r="B10439" s="833" t="s">
        <v>14705</v>
      </c>
      <c r="C10439" s="4" t="s">
        <v>12495</v>
      </c>
      <c r="D10439" s="834">
        <v>356.83</v>
      </c>
    </row>
    <row r="10440" spans="1:4" x14ac:dyDescent="0.3">
      <c r="A10440" s="4">
        <v>12731</v>
      </c>
      <c r="B10440" s="833" t="s">
        <v>14706</v>
      </c>
      <c r="C10440" s="4" t="s">
        <v>12080</v>
      </c>
      <c r="D10440" s="834">
        <v>627.1</v>
      </c>
    </row>
    <row r="10441" spans="1:4" x14ac:dyDescent="0.3">
      <c r="A10441" s="4">
        <v>12723</v>
      </c>
      <c r="B10441" s="833" t="s">
        <v>14707</v>
      </c>
      <c r="C10441" s="4" t="s">
        <v>12080</v>
      </c>
      <c r="D10441" s="834">
        <v>4.8600000000000003</v>
      </c>
    </row>
    <row r="10442" spans="1:4" x14ac:dyDescent="0.3">
      <c r="A10442" s="4">
        <v>12724</v>
      </c>
      <c r="B10442" s="833" t="s">
        <v>14708</v>
      </c>
      <c r="C10442" s="4" t="s">
        <v>12080</v>
      </c>
      <c r="D10442" s="834">
        <v>9.34</v>
      </c>
    </row>
    <row r="10443" spans="1:4" x14ac:dyDescent="0.3">
      <c r="A10443" s="4">
        <v>12725</v>
      </c>
      <c r="B10443" s="833" t="s">
        <v>14709</v>
      </c>
      <c r="C10443" s="4" t="s">
        <v>12080</v>
      </c>
      <c r="D10443" s="834">
        <v>18.739999999999998</v>
      </c>
    </row>
    <row r="10444" spans="1:4" x14ac:dyDescent="0.3">
      <c r="A10444" s="4">
        <v>12726</v>
      </c>
      <c r="B10444" s="833" t="s">
        <v>14710</v>
      </c>
      <c r="C10444" s="4" t="s">
        <v>12080</v>
      </c>
      <c r="D10444" s="834">
        <v>41.37</v>
      </c>
    </row>
    <row r="10445" spans="1:4" x14ac:dyDescent="0.3">
      <c r="A10445" s="4">
        <v>12727</v>
      </c>
      <c r="B10445" s="833" t="s">
        <v>14711</v>
      </c>
      <c r="C10445" s="4" t="s">
        <v>12080</v>
      </c>
      <c r="D10445" s="834">
        <v>52.47</v>
      </c>
    </row>
    <row r="10446" spans="1:4" x14ac:dyDescent="0.3">
      <c r="A10446" s="4">
        <v>12728</v>
      </c>
      <c r="B10446" s="833" t="s">
        <v>14712</v>
      </c>
      <c r="C10446" s="4" t="s">
        <v>12080</v>
      </c>
      <c r="D10446" s="834">
        <v>85.7</v>
      </c>
    </row>
    <row r="10447" spans="1:4" x14ac:dyDescent="0.3">
      <c r="A10447" s="4">
        <v>12729</v>
      </c>
      <c r="B10447" s="833" t="s">
        <v>14713</v>
      </c>
      <c r="C10447" s="4" t="s">
        <v>12080</v>
      </c>
      <c r="D10447" s="834">
        <v>280.89</v>
      </c>
    </row>
    <row r="10448" spans="1:4" x14ac:dyDescent="0.3">
      <c r="A10448" s="4">
        <v>12730</v>
      </c>
      <c r="B10448" s="833" t="s">
        <v>14714</v>
      </c>
      <c r="C10448" s="4" t="s">
        <v>12080</v>
      </c>
      <c r="D10448" s="834">
        <v>430.05</v>
      </c>
    </row>
    <row r="10449" spans="1:4" x14ac:dyDescent="0.3">
      <c r="A10449" s="4">
        <v>3840</v>
      </c>
      <c r="B10449" s="833" t="s">
        <v>14715</v>
      </c>
      <c r="C10449" s="4" t="s">
        <v>12080</v>
      </c>
      <c r="D10449" s="834">
        <v>53.04</v>
      </c>
    </row>
    <row r="10450" spans="1:4" x14ac:dyDescent="0.3">
      <c r="A10450" s="4">
        <v>3838</v>
      </c>
      <c r="B10450" s="833" t="s">
        <v>14716</v>
      </c>
      <c r="C10450" s="4" t="s">
        <v>12080</v>
      </c>
      <c r="D10450" s="834">
        <v>117.07</v>
      </c>
    </row>
    <row r="10451" spans="1:4" x14ac:dyDescent="0.3">
      <c r="A10451" s="4">
        <v>3844</v>
      </c>
      <c r="B10451" s="833" t="s">
        <v>14717</v>
      </c>
      <c r="C10451" s="4" t="s">
        <v>12080</v>
      </c>
      <c r="D10451" s="834">
        <v>208.82</v>
      </c>
    </row>
    <row r="10452" spans="1:4" x14ac:dyDescent="0.3">
      <c r="A10452" s="4">
        <v>3839</v>
      </c>
      <c r="B10452" s="833" t="s">
        <v>14718</v>
      </c>
      <c r="C10452" s="4" t="s">
        <v>12080</v>
      </c>
      <c r="D10452" s="834">
        <v>380.35</v>
      </c>
    </row>
    <row r="10453" spans="1:4" x14ac:dyDescent="0.3">
      <c r="A10453" s="4">
        <v>3843</v>
      </c>
      <c r="B10453" s="833" t="s">
        <v>14719</v>
      </c>
      <c r="C10453" s="4" t="s">
        <v>12080</v>
      </c>
      <c r="D10453" s="834">
        <v>522.04</v>
      </c>
    </row>
    <row r="10454" spans="1:4" x14ac:dyDescent="0.3">
      <c r="A10454" s="4">
        <v>3900</v>
      </c>
      <c r="B10454" s="833" t="s">
        <v>14720</v>
      </c>
      <c r="C10454" s="4" t="s">
        <v>12080</v>
      </c>
      <c r="D10454" s="834">
        <v>48.61</v>
      </c>
    </row>
    <row r="10455" spans="1:4" x14ac:dyDescent="0.3">
      <c r="A10455" s="4">
        <v>3846</v>
      </c>
      <c r="B10455" s="833" t="s">
        <v>14721</v>
      </c>
      <c r="C10455" s="4" t="s">
        <v>12080</v>
      </c>
      <c r="D10455" s="834">
        <v>14.61</v>
      </c>
    </row>
    <row r="10456" spans="1:4" x14ac:dyDescent="0.3">
      <c r="A10456" s="4">
        <v>3886</v>
      </c>
      <c r="B10456" s="833" t="s">
        <v>14722</v>
      </c>
      <c r="C10456" s="4" t="s">
        <v>12080</v>
      </c>
      <c r="D10456" s="834">
        <v>19.39</v>
      </c>
    </row>
    <row r="10457" spans="1:4" x14ac:dyDescent="0.3">
      <c r="A10457" s="4">
        <v>3854</v>
      </c>
      <c r="B10457" s="833" t="s">
        <v>14723</v>
      </c>
      <c r="C10457" s="4" t="s">
        <v>12080</v>
      </c>
      <c r="D10457" s="834">
        <v>11.05</v>
      </c>
    </row>
    <row r="10458" spans="1:4" x14ac:dyDescent="0.3">
      <c r="A10458" s="4">
        <v>3873</v>
      </c>
      <c r="B10458" s="833" t="s">
        <v>14724</v>
      </c>
      <c r="C10458" s="4" t="s">
        <v>12080</v>
      </c>
      <c r="D10458" s="834">
        <v>12.87</v>
      </c>
    </row>
    <row r="10459" spans="1:4" x14ac:dyDescent="0.3">
      <c r="A10459" s="4">
        <v>38021</v>
      </c>
      <c r="B10459" s="833" t="s">
        <v>14725</v>
      </c>
      <c r="C10459" s="4" t="s">
        <v>12080</v>
      </c>
      <c r="D10459" s="834">
        <v>22.84</v>
      </c>
    </row>
    <row r="10460" spans="1:4" x14ac:dyDescent="0.3">
      <c r="A10460" s="4">
        <v>43838</v>
      </c>
      <c r="B10460" s="833" t="s">
        <v>14726</v>
      </c>
      <c r="C10460" s="4" t="s">
        <v>12080</v>
      </c>
      <c r="D10460" s="834">
        <v>29.53</v>
      </c>
    </row>
    <row r="10461" spans="1:4" x14ac:dyDescent="0.3">
      <c r="A10461" s="4">
        <v>3847</v>
      </c>
      <c r="B10461" s="833" t="s">
        <v>14727</v>
      </c>
      <c r="C10461" s="4" t="s">
        <v>12080</v>
      </c>
      <c r="D10461" s="834">
        <v>29.78</v>
      </c>
    </row>
    <row r="10462" spans="1:4" x14ac:dyDescent="0.3">
      <c r="A10462" s="4">
        <v>38022</v>
      </c>
      <c r="B10462" s="833" t="s">
        <v>14728</v>
      </c>
      <c r="C10462" s="4" t="s">
        <v>12080</v>
      </c>
      <c r="D10462" s="834">
        <v>40.93</v>
      </c>
    </row>
    <row r="10463" spans="1:4" x14ac:dyDescent="0.3">
      <c r="A10463" s="4">
        <v>3826</v>
      </c>
      <c r="B10463" s="833" t="s">
        <v>14729</v>
      </c>
      <c r="C10463" s="4" t="s">
        <v>12080</v>
      </c>
      <c r="D10463" s="834">
        <v>52.63</v>
      </c>
    </row>
    <row r="10464" spans="1:4" x14ac:dyDescent="0.3">
      <c r="A10464" s="4">
        <v>3825</v>
      </c>
      <c r="B10464" s="833" t="s">
        <v>14730</v>
      </c>
      <c r="C10464" s="4" t="s">
        <v>12080</v>
      </c>
      <c r="D10464" s="834">
        <v>15.13</v>
      </c>
    </row>
    <row r="10465" spans="1:4" x14ac:dyDescent="0.3">
      <c r="A10465" s="4">
        <v>3827</v>
      </c>
      <c r="B10465" s="833" t="s">
        <v>14731</v>
      </c>
      <c r="C10465" s="4" t="s">
        <v>12080</v>
      </c>
      <c r="D10465" s="834">
        <v>33.07</v>
      </c>
    </row>
    <row r="10466" spans="1:4" x14ac:dyDescent="0.3">
      <c r="A10466" s="4">
        <v>3830</v>
      </c>
      <c r="B10466" s="833" t="s">
        <v>14732</v>
      </c>
      <c r="C10466" s="4" t="s">
        <v>12080</v>
      </c>
      <c r="D10466" s="834">
        <v>203.99</v>
      </c>
    </row>
    <row r="10467" spans="1:4" x14ac:dyDescent="0.3">
      <c r="A10467" s="4">
        <v>37981</v>
      </c>
      <c r="B10467" s="833" t="s">
        <v>14733</v>
      </c>
      <c r="C10467" s="4" t="s">
        <v>12080</v>
      </c>
      <c r="D10467" s="834">
        <v>7.06</v>
      </c>
    </row>
    <row r="10468" spans="1:4" x14ac:dyDescent="0.3">
      <c r="A10468" s="4">
        <v>37982</v>
      </c>
      <c r="B10468" s="833" t="s">
        <v>14734</v>
      </c>
      <c r="C10468" s="4" t="s">
        <v>12080</v>
      </c>
      <c r="D10468" s="834">
        <v>10.24</v>
      </c>
    </row>
    <row r="10469" spans="1:4" x14ac:dyDescent="0.3">
      <c r="A10469" s="4">
        <v>37983</v>
      </c>
      <c r="B10469" s="833" t="s">
        <v>14735</v>
      </c>
      <c r="C10469" s="4" t="s">
        <v>12080</v>
      </c>
      <c r="D10469" s="834">
        <v>15.14</v>
      </c>
    </row>
    <row r="10470" spans="1:4" x14ac:dyDescent="0.3">
      <c r="A10470" s="4">
        <v>37984</v>
      </c>
      <c r="B10470" s="833" t="s">
        <v>14736</v>
      </c>
      <c r="C10470" s="4" t="s">
        <v>12080</v>
      </c>
      <c r="D10470" s="834">
        <v>21.27</v>
      </c>
    </row>
    <row r="10471" spans="1:4" x14ac:dyDescent="0.3">
      <c r="A10471" s="4">
        <v>37985</v>
      </c>
      <c r="B10471" s="833" t="s">
        <v>14737</v>
      </c>
      <c r="C10471" s="4" t="s">
        <v>12080</v>
      </c>
      <c r="D10471" s="834">
        <v>30.22</v>
      </c>
    </row>
    <row r="10472" spans="1:4" x14ac:dyDescent="0.3">
      <c r="A10472" s="4">
        <v>20165</v>
      </c>
      <c r="B10472" s="833" t="s">
        <v>14738</v>
      </c>
      <c r="C10472" s="4" t="s">
        <v>12080</v>
      </c>
      <c r="D10472" s="834">
        <v>25.29</v>
      </c>
    </row>
    <row r="10473" spans="1:4" x14ac:dyDescent="0.3">
      <c r="A10473" s="4">
        <v>20166</v>
      </c>
      <c r="B10473" s="833" t="s">
        <v>14739</v>
      </c>
      <c r="C10473" s="4" t="s">
        <v>12080</v>
      </c>
      <c r="D10473" s="834">
        <v>77.23</v>
      </c>
    </row>
    <row r="10474" spans="1:4" x14ac:dyDescent="0.3">
      <c r="A10474" s="4">
        <v>20164</v>
      </c>
      <c r="B10474" s="833" t="s">
        <v>14740</v>
      </c>
      <c r="C10474" s="4" t="s">
        <v>12080</v>
      </c>
      <c r="D10474" s="834">
        <v>12.15</v>
      </c>
    </row>
    <row r="10475" spans="1:4" x14ac:dyDescent="0.3">
      <c r="A10475" s="4">
        <v>3893</v>
      </c>
      <c r="B10475" s="833" t="s">
        <v>14741</v>
      </c>
      <c r="C10475" s="4" t="s">
        <v>12080</v>
      </c>
      <c r="D10475" s="834">
        <v>19.04</v>
      </c>
    </row>
    <row r="10476" spans="1:4" x14ac:dyDescent="0.3">
      <c r="A10476" s="4">
        <v>3848</v>
      </c>
      <c r="B10476" s="833" t="s">
        <v>14742</v>
      </c>
      <c r="C10476" s="4" t="s">
        <v>12080</v>
      </c>
      <c r="D10476" s="834">
        <v>11.61</v>
      </c>
    </row>
    <row r="10477" spans="1:4" x14ac:dyDescent="0.3">
      <c r="A10477" s="4">
        <v>3895</v>
      </c>
      <c r="B10477" s="833" t="s">
        <v>14743</v>
      </c>
      <c r="C10477" s="4" t="s">
        <v>12080</v>
      </c>
      <c r="D10477" s="834">
        <v>12.89</v>
      </c>
    </row>
    <row r="10478" spans="1:4" x14ac:dyDescent="0.3">
      <c r="A10478" s="4">
        <v>12404</v>
      </c>
      <c r="B10478" s="833" t="s">
        <v>14744</v>
      </c>
      <c r="C10478" s="4" t="s">
        <v>12080</v>
      </c>
      <c r="D10478" s="834">
        <v>12.43</v>
      </c>
    </row>
    <row r="10479" spans="1:4" x14ac:dyDescent="0.3">
      <c r="A10479" s="4">
        <v>3939</v>
      </c>
      <c r="B10479" s="833" t="s">
        <v>14745</v>
      </c>
      <c r="C10479" s="4" t="s">
        <v>12080</v>
      </c>
      <c r="D10479" s="834">
        <v>25.6</v>
      </c>
    </row>
    <row r="10480" spans="1:4" x14ac:dyDescent="0.3">
      <c r="A10480" s="4">
        <v>3911</v>
      </c>
      <c r="B10480" s="833" t="s">
        <v>14746</v>
      </c>
      <c r="C10480" s="4" t="s">
        <v>12080</v>
      </c>
      <c r="D10480" s="834">
        <v>20.92</v>
      </c>
    </row>
    <row r="10481" spans="1:4" x14ac:dyDescent="0.3">
      <c r="A10481" s="4">
        <v>3908</v>
      </c>
      <c r="B10481" s="833" t="s">
        <v>14747</v>
      </c>
      <c r="C10481" s="4" t="s">
        <v>12080</v>
      </c>
      <c r="D10481" s="834">
        <v>6.76</v>
      </c>
    </row>
    <row r="10482" spans="1:4" x14ac:dyDescent="0.3">
      <c r="A10482" s="4">
        <v>3910</v>
      </c>
      <c r="B10482" s="833" t="s">
        <v>14748</v>
      </c>
      <c r="C10482" s="4" t="s">
        <v>12080</v>
      </c>
      <c r="D10482" s="834">
        <v>14.96</v>
      </c>
    </row>
    <row r="10483" spans="1:4" x14ac:dyDescent="0.3">
      <c r="A10483" s="4">
        <v>3913</v>
      </c>
      <c r="B10483" s="833" t="s">
        <v>14749</v>
      </c>
      <c r="C10483" s="4" t="s">
        <v>12080</v>
      </c>
      <c r="D10483" s="834">
        <v>71.53</v>
      </c>
    </row>
    <row r="10484" spans="1:4" x14ac:dyDescent="0.3">
      <c r="A10484" s="4">
        <v>3912</v>
      </c>
      <c r="B10484" s="833" t="s">
        <v>14750</v>
      </c>
      <c r="C10484" s="4" t="s">
        <v>12080</v>
      </c>
      <c r="D10484" s="834">
        <v>39.21</v>
      </c>
    </row>
    <row r="10485" spans="1:4" x14ac:dyDescent="0.3">
      <c r="A10485" s="4">
        <v>3909</v>
      </c>
      <c r="B10485" s="833" t="s">
        <v>14751</v>
      </c>
      <c r="C10485" s="4" t="s">
        <v>12080</v>
      </c>
      <c r="D10485" s="834">
        <v>9.1999999999999993</v>
      </c>
    </row>
    <row r="10486" spans="1:4" x14ac:dyDescent="0.3">
      <c r="A10486" s="4">
        <v>3914</v>
      </c>
      <c r="B10486" s="833" t="s">
        <v>14752</v>
      </c>
      <c r="C10486" s="4" t="s">
        <v>12080</v>
      </c>
      <c r="D10486" s="834">
        <v>107.91</v>
      </c>
    </row>
    <row r="10487" spans="1:4" x14ac:dyDescent="0.3">
      <c r="A10487" s="4">
        <v>3915</v>
      </c>
      <c r="B10487" s="833" t="s">
        <v>14753</v>
      </c>
      <c r="C10487" s="4" t="s">
        <v>12080</v>
      </c>
      <c r="D10487" s="834">
        <v>170.17</v>
      </c>
    </row>
    <row r="10488" spans="1:4" x14ac:dyDescent="0.3">
      <c r="A10488" s="4">
        <v>3916</v>
      </c>
      <c r="B10488" s="833" t="s">
        <v>14754</v>
      </c>
      <c r="C10488" s="4" t="s">
        <v>12080</v>
      </c>
      <c r="D10488" s="834">
        <v>310.02</v>
      </c>
    </row>
    <row r="10489" spans="1:4" x14ac:dyDescent="0.3">
      <c r="A10489" s="4">
        <v>3917</v>
      </c>
      <c r="B10489" s="833" t="s">
        <v>14755</v>
      </c>
      <c r="C10489" s="4" t="s">
        <v>12080</v>
      </c>
      <c r="D10489" s="834">
        <v>511.33</v>
      </c>
    </row>
    <row r="10490" spans="1:4" x14ac:dyDescent="0.3">
      <c r="A10490" s="4">
        <v>1904</v>
      </c>
      <c r="B10490" s="833" t="s">
        <v>14756</v>
      </c>
      <c r="C10490" s="4" t="s">
        <v>12080</v>
      </c>
      <c r="D10490" s="834">
        <v>1.04</v>
      </c>
    </row>
    <row r="10491" spans="1:4" x14ac:dyDescent="0.3">
      <c r="A10491" s="4">
        <v>1899</v>
      </c>
      <c r="B10491" s="833" t="s">
        <v>14757</v>
      </c>
      <c r="C10491" s="4" t="s">
        <v>12080</v>
      </c>
      <c r="D10491" s="834">
        <v>1.18</v>
      </c>
    </row>
    <row r="10492" spans="1:4" x14ac:dyDescent="0.3">
      <c r="A10492" s="4">
        <v>1900</v>
      </c>
      <c r="B10492" s="833" t="s">
        <v>14758</v>
      </c>
      <c r="C10492" s="4" t="s">
        <v>12080</v>
      </c>
      <c r="D10492" s="834">
        <v>1.91</v>
      </c>
    </row>
    <row r="10493" spans="1:4" x14ac:dyDescent="0.3">
      <c r="A10493" s="4">
        <v>12407</v>
      </c>
      <c r="B10493" s="833" t="s">
        <v>14759</v>
      </c>
      <c r="C10493" s="4" t="s">
        <v>12080</v>
      </c>
      <c r="D10493" s="834">
        <v>38.71</v>
      </c>
    </row>
    <row r="10494" spans="1:4" x14ac:dyDescent="0.3">
      <c r="A10494" s="4">
        <v>12408</v>
      </c>
      <c r="B10494" s="833" t="s">
        <v>14760</v>
      </c>
      <c r="C10494" s="4" t="s">
        <v>12080</v>
      </c>
      <c r="D10494" s="834">
        <v>21.85</v>
      </c>
    </row>
    <row r="10495" spans="1:4" x14ac:dyDescent="0.3">
      <c r="A10495" s="4">
        <v>12409</v>
      </c>
      <c r="B10495" s="833" t="s">
        <v>14761</v>
      </c>
      <c r="C10495" s="4" t="s">
        <v>12080</v>
      </c>
      <c r="D10495" s="834">
        <v>21.85</v>
      </c>
    </row>
    <row r="10496" spans="1:4" x14ac:dyDescent="0.3">
      <c r="A10496" s="4">
        <v>12410</v>
      </c>
      <c r="B10496" s="833" t="s">
        <v>14762</v>
      </c>
      <c r="C10496" s="4" t="s">
        <v>12080</v>
      </c>
      <c r="D10496" s="834">
        <v>15.05</v>
      </c>
    </row>
    <row r="10497" spans="1:4" x14ac:dyDescent="0.3">
      <c r="A10497" s="4">
        <v>3936</v>
      </c>
      <c r="B10497" s="833" t="s">
        <v>14763</v>
      </c>
      <c r="C10497" s="4" t="s">
        <v>12080</v>
      </c>
      <c r="D10497" s="834">
        <v>27.2</v>
      </c>
    </row>
    <row r="10498" spans="1:4" x14ac:dyDescent="0.3">
      <c r="A10498" s="4">
        <v>3922</v>
      </c>
      <c r="B10498" s="833" t="s">
        <v>14764</v>
      </c>
      <c r="C10498" s="4" t="s">
        <v>12080</v>
      </c>
      <c r="D10498" s="834">
        <v>25.02</v>
      </c>
    </row>
    <row r="10499" spans="1:4" x14ac:dyDescent="0.3">
      <c r="A10499" s="4">
        <v>3924</v>
      </c>
      <c r="B10499" s="833" t="s">
        <v>14765</v>
      </c>
      <c r="C10499" s="4" t="s">
        <v>12080</v>
      </c>
      <c r="D10499" s="834">
        <v>27.2</v>
      </c>
    </row>
    <row r="10500" spans="1:4" x14ac:dyDescent="0.3">
      <c r="A10500" s="4">
        <v>3923</v>
      </c>
      <c r="B10500" s="833" t="s">
        <v>14766</v>
      </c>
      <c r="C10500" s="4" t="s">
        <v>12080</v>
      </c>
      <c r="D10500" s="834">
        <v>27.2</v>
      </c>
    </row>
    <row r="10501" spans="1:4" x14ac:dyDescent="0.3">
      <c r="A10501" s="4">
        <v>3937</v>
      </c>
      <c r="B10501" s="833" t="s">
        <v>14767</v>
      </c>
      <c r="C10501" s="4" t="s">
        <v>12080</v>
      </c>
      <c r="D10501" s="834">
        <v>22.44</v>
      </c>
    </row>
    <row r="10502" spans="1:4" x14ac:dyDescent="0.3">
      <c r="A10502" s="4">
        <v>3921</v>
      </c>
      <c r="B10502" s="833" t="s">
        <v>14768</v>
      </c>
      <c r="C10502" s="4" t="s">
        <v>12080</v>
      </c>
      <c r="D10502" s="834">
        <v>22.45</v>
      </c>
    </row>
    <row r="10503" spans="1:4" x14ac:dyDescent="0.3">
      <c r="A10503" s="4">
        <v>3920</v>
      </c>
      <c r="B10503" s="833" t="s">
        <v>14769</v>
      </c>
      <c r="C10503" s="4" t="s">
        <v>12080</v>
      </c>
      <c r="D10503" s="834">
        <v>22.44</v>
      </c>
    </row>
    <row r="10504" spans="1:4" x14ac:dyDescent="0.3">
      <c r="A10504" s="4">
        <v>3938</v>
      </c>
      <c r="B10504" s="833" t="s">
        <v>14770</v>
      </c>
      <c r="C10504" s="4" t="s">
        <v>12080</v>
      </c>
      <c r="D10504" s="834">
        <v>14.79</v>
      </c>
    </row>
    <row r="10505" spans="1:4" x14ac:dyDescent="0.3">
      <c r="A10505" s="4">
        <v>3919</v>
      </c>
      <c r="B10505" s="833" t="s">
        <v>14771</v>
      </c>
      <c r="C10505" s="4" t="s">
        <v>12080</v>
      </c>
      <c r="D10505" s="834">
        <v>15.08</v>
      </c>
    </row>
    <row r="10506" spans="1:4" x14ac:dyDescent="0.3">
      <c r="A10506" s="4">
        <v>3927</v>
      </c>
      <c r="B10506" s="833" t="s">
        <v>14772</v>
      </c>
      <c r="C10506" s="4" t="s">
        <v>12080</v>
      </c>
      <c r="D10506" s="834">
        <v>76.38</v>
      </c>
    </row>
    <row r="10507" spans="1:4" x14ac:dyDescent="0.3">
      <c r="A10507" s="4">
        <v>3928</v>
      </c>
      <c r="B10507" s="833" t="s">
        <v>14773</v>
      </c>
      <c r="C10507" s="4" t="s">
        <v>12080</v>
      </c>
      <c r="D10507" s="834">
        <v>76.38</v>
      </c>
    </row>
    <row r="10508" spans="1:4" x14ac:dyDescent="0.3">
      <c r="A10508" s="4">
        <v>3926</v>
      </c>
      <c r="B10508" s="833" t="s">
        <v>14774</v>
      </c>
      <c r="C10508" s="4" t="s">
        <v>12080</v>
      </c>
      <c r="D10508" s="834">
        <v>43.54</v>
      </c>
    </row>
    <row r="10509" spans="1:4" x14ac:dyDescent="0.3">
      <c r="A10509" s="4">
        <v>3935</v>
      </c>
      <c r="B10509" s="833" t="s">
        <v>14775</v>
      </c>
      <c r="C10509" s="4" t="s">
        <v>12080</v>
      </c>
      <c r="D10509" s="834">
        <v>43.54</v>
      </c>
    </row>
    <row r="10510" spans="1:4" x14ac:dyDescent="0.3">
      <c r="A10510" s="4">
        <v>3925</v>
      </c>
      <c r="B10510" s="833" t="s">
        <v>14776</v>
      </c>
      <c r="C10510" s="4" t="s">
        <v>12080</v>
      </c>
      <c r="D10510" s="834">
        <v>43.54</v>
      </c>
    </row>
    <row r="10511" spans="1:4" x14ac:dyDescent="0.3">
      <c r="A10511" s="4">
        <v>12406</v>
      </c>
      <c r="B10511" s="833" t="s">
        <v>14777</v>
      </c>
      <c r="C10511" s="4" t="s">
        <v>12080</v>
      </c>
      <c r="D10511" s="834">
        <v>10.69</v>
      </c>
    </row>
    <row r="10512" spans="1:4" x14ac:dyDescent="0.3">
      <c r="A10512" s="4">
        <v>3929</v>
      </c>
      <c r="B10512" s="833" t="s">
        <v>14778</v>
      </c>
      <c r="C10512" s="4" t="s">
        <v>12080</v>
      </c>
      <c r="D10512" s="834">
        <v>116.37</v>
      </c>
    </row>
    <row r="10513" spans="1:4" x14ac:dyDescent="0.3">
      <c r="A10513" s="4">
        <v>3931</v>
      </c>
      <c r="B10513" s="833" t="s">
        <v>14779</v>
      </c>
      <c r="C10513" s="4" t="s">
        <v>12080</v>
      </c>
      <c r="D10513" s="834">
        <v>116.37</v>
      </c>
    </row>
    <row r="10514" spans="1:4" x14ac:dyDescent="0.3">
      <c r="A10514" s="4">
        <v>3930</v>
      </c>
      <c r="B10514" s="833" t="s">
        <v>14780</v>
      </c>
      <c r="C10514" s="4" t="s">
        <v>12080</v>
      </c>
      <c r="D10514" s="834">
        <v>116.37</v>
      </c>
    </row>
    <row r="10515" spans="1:4" x14ac:dyDescent="0.3">
      <c r="A10515" s="4">
        <v>3932</v>
      </c>
      <c r="B10515" s="833" t="s">
        <v>14781</v>
      </c>
      <c r="C10515" s="4" t="s">
        <v>12080</v>
      </c>
      <c r="D10515" s="834">
        <v>200.94</v>
      </c>
    </row>
    <row r="10516" spans="1:4" x14ac:dyDescent="0.3">
      <c r="A10516" s="4">
        <v>3933</v>
      </c>
      <c r="B10516" s="833" t="s">
        <v>14782</v>
      </c>
      <c r="C10516" s="4" t="s">
        <v>12080</v>
      </c>
      <c r="D10516" s="834">
        <v>200.94</v>
      </c>
    </row>
    <row r="10517" spans="1:4" x14ac:dyDescent="0.3">
      <c r="A10517" s="4">
        <v>3934</v>
      </c>
      <c r="B10517" s="833" t="s">
        <v>14783</v>
      </c>
      <c r="C10517" s="4" t="s">
        <v>12080</v>
      </c>
      <c r="D10517" s="834">
        <v>200.94</v>
      </c>
    </row>
    <row r="10518" spans="1:4" x14ac:dyDescent="0.3">
      <c r="A10518" s="4">
        <v>40364</v>
      </c>
      <c r="B10518" s="833" t="s">
        <v>14784</v>
      </c>
      <c r="C10518" s="4" t="s">
        <v>12080</v>
      </c>
      <c r="D10518" s="834">
        <v>58.62</v>
      </c>
    </row>
    <row r="10519" spans="1:4" x14ac:dyDescent="0.3">
      <c r="A10519" s="4">
        <v>40361</v>
      </c>
      <c r="B10519" s="833" t="s">
        <v>14785</v>
      </c>
      <c r="C10519" s="4" t="s">
        <v>12080</v>
      </c>
      <c r="D10519" s="834">
        <v>45.83</v>
      </c>
    </row>
    <row r="10520" spans="1:4" x14ac:dyDescent="0.3">
      <c r="A10520" s="4">
        <v>40358</v>
      </c>
      <c r="B10520" s="833" t="s">
        <v>14786</v>
      </c>
      <c r="C10520" s="4" t="s">
        <v>12080</v>
      </c>
      <c r="D10520" s="834">
        <v>17.47</v>
      </c>
    </row>
    <row r="10521" spans="1:4" x14ac:dyDescent="0.3">
      <c r="A10521" s="4">
        <v>40370</v>
      </c>
      <c r="B10521" s="833" t="s">
        <v>14787</v>
      </c>
      <c r="C10521" s="4" t="s">
        <v>12080</v>
      </c>
      <c r="D10521" s="834">
        <v>186</v>
      </c>
    </row>
    <row r="10522" spans="1:4" x14ac:dyDescent="0.3">
      <c r="A10522" s="4">
        <v>40367</v>
      </c>
      <c r="B10522" s="833" t="s">
        <v>14788</v>
      </c>
      <c r="C10522" s="4" t="s">
        <v>12080</v>
      </c>
      <c r="D10522" s="834">
        <v>92.45</v>
      </c>
    </row>
    <row r="10523" spans="1:4" x14ac:dyDescent="0.3">
      <c r="A10523" s="4">
        <v>40373</v>
      </c>
      <c r="B10523" s="833" t="s">
        <v>14789</v>
      </c>
      <c r="C10523" s="4" t="s">
        <v>12080</v>
      </c>
      <c r="D10523" s="834">
        <v>251.52</v>
      </c>
    </row>
    <row r="10524" spans="1:4" x14ac:dyDescent="0.3">
      <c r="A10524" s="4">
        <v>40355</v>
      </c>
      <c r="B10524" s="833" t="s">
        <v>14790</v>
      </c>
      <c r="C10524" s="4" t="s">
        <v>12080</v>
      </c>
      <c r="D10524" s="834">
        <v>12.51</v>
      </c>
    </row>
    <row r="10525" spans="1:4" x14ac:dyDescent="0.3">
      <c r="A10525" s="4">
        <v>3907</v>
      </c>
      <c r="B10525" s="833" t="s">
        <v>14791</v>
      </c>
      <c r="C10525" s="4" t="s">
        <v>12080</v>
      </c>
      <c r="D10525" s="834">
        <v>5.6</v>
      </c>
    </row>
    <row r="10526" spans="1:4" x14ac:dyDescent="0.3">
      <c r="A10526" s="4">
        <v>3889</v>
      </c>
      <c r="B10526" s="833" t="s">
        <v>14792</v>
      </c>
      <c r="C10526" s="4" t="s">
        <v>12080</v>
      </c>
      <c r="D10526" s="834">
        <v>3.98</v>
      </c>
    </row>
    <row r="10527" spans="1:4" x14ac:dyDescent="0.3">
      <c r="A10527" s="4">
        <v>3868</v>
      </c>
      <c r="B10527" s="833" t="s">
        <v>14793</v>
      </c>
      <c r="C10527" s="4" t="s">
        <v>12080</v>
      </c>
      <c r="D10527" s="834">
        <v>1.46</v>
      </c>
    </row>
    <row r="10528" spans="1:4" x14ac:dyDescent="0.3">
      <c r="A10528" s="4">
        <v>3869</v>
      </c>
      <c r="B10528" s="833" t="s">
        <v>14794</v>
      </c>
      <c r="C10528" s="4" t="s">
        <v>12080</v>
      </c>
      <c r="D10528" s="834">
        <v>3.24</v>
      </c>
    </row>
    <row r="10529" spans="1:4" x14ac:dyDescent="0.3">
      <c r="A10529" s="4">
        <v>3872</v>
      </c>
      <c r="B10529" s="833" t="s">
        <v>14795</v>
      </c>
      <c r="C10529" s="4" t="s">
        <v>12080</v>
      </c>
      <c r="D10529" s="834">
        <v>5.52</v>
      </c>
    </row>
    <row r="10530" spans="1:4" x14ac:dyDescent="0.3">
      <c r="A10530" s="4">
        <v>3850</v>
      </c>
      <c r="B10530" s="833" t="s">
        <v>14796</v>
      </c>
      <c r="C10530" s="4" t="s">
        <v>12080</v>
      </c>
      <c r="D10530" s="834">
        <v>12.75</v>
      </c>
    </row>
    <row r="10531" spans="1:4" x14ac:dyDescent="0.3">
      <c r="A10531" s="4">
        <v>38023</v>
      </c>
      <c r="B10531" s="833" t="s">
        <v>14797</v>
      </c>
      <c r="C10531" s="4" t="s">
        <v>12080</v>
      </c>
      <c r="D10531" s="834">
        <v>6.49</v>
      </c>
    </row>
    <row r="10532" spans="1:4" x14ac:dyDescent="0.3">
      <c r="A10532" s="4">
        <v>37986</v>
      </c>
      <c r="B10532" s="833" t="s">
        <v>14798</v>
      </c>
      <c r="C10532" s="4" t="s">
        <v>12080</v>
      </c>
      <c r="D10532" s="834">
        <v>2.41</v>
      </c>
    </row>
    <row r="10533" spans="1:4" x14ac:dyDescent="0.3">
      <c r="A10533" s="4">
        <v>37987</v>
      </c>
      <c r="B10533" s="833" t="s">
        <v>14799</v>
      </c>
      <c r="C10533" s="4" t="s">
        <v>12080</v>
      </c>
      <c r="D10533" s="834">
        <v>120.2</v>
      </c>
    </row>
    <row r="10534" spans="1:4" x14ac:dyDescent="0.3">
      <c r="A10534" s="4">
        <v>37988</v>
      </c>
      <c r="B10534" s="833" t="s">
        <v>14800</v>
      </c>
      <c r="C10534" s="4" t="s">
        <v>12080</v>
      </c>
      <c r="D10534" s="834">
        <v>191.01</v>
      </c>
    </row>
    <row r="10535" spans="1:4" x14ac:dyDescent="0.3">
      <c r="A10535" s="4">
        <v>21120</v>
      </c>
      <c r="B10535" s="833" t="s">
        <v>14801</v>
      </c>
      <c r="C10535" s="4" t="s">
        <v>12080</v>
      </c>
      <c r="D10535" s="834">
        <v>12.29</v>
      </c>
    </row>
    <row r="10536" spans="1:4" x14ac:dyDescent="0.3">
      <c r="A10536" s="4">
        <v>39318</v>
      </c>
      <c r="B10536" s="833" t="s">
        <v>14802</v>
      </c>
      <c r="C10536" s="4" t="s">
        <v>12080</v>
      </c>
      <c r="D10536" s="834">
        <v>11.43</v>
      </c>
    </row>
    <row r="10537" spans="1:4" x14ac:dyDescent="0.3">
      <c r="A10537" s="4">
        <v>40366</v>
      </c>
      <c r="B10537" s="833" t="s">
        <v>14803</v>
      </c>
      <c r="C10537" s="4" t="s">
        <v>12080</v>
      </c>
      <c r="D10537" s="834">
        <v>45.72</v>
      </c>
    </row>
    <row r="10538" spans="1:4" x14ac:dyDescent="0.3">
      <c r="A10538" s="4">
        <v>40363</v>
      </c>
      <c r="B10538" s="833" t="s">
        <v>14804</v>
      </c>
      <c r="C10538" s="4" t="s">
        <v>12080</v>
      </c>
      <c r="D10538" s="834">
        <v>35.76</v>
      </c>
    </row>
    <row r="10539" spans="1:4" x14ac:dyDescent="0.3">
      <c r="A10539" s="4">
        <v>40354</v>
      </c>
      <c r="B10539" s="833" t="s">
        <v>14805</v>
      </c>
      <c r="C10539" s="4" t="s">
        <v>12080</v>
      </c>
      <c r="D10539" s="834">
        <v>15.57</v>
      </c>
    </row>
    <row r="10540" spans="1:4" x14ac:dyDescent="0.3">
      <c r="A10540" s="4">
        <v>40360</v>
      </c>
      <c r="B10540" s="833" t="s">
        <v>14806</v>
      </c>
      <c r="C10540" s="4" t="s">
        <v>12080</v>
      </c>
      <c r="D10540" s="834">
        <v>23.44</v>
      </c>
    </row>
    <row r="10541" spans="1:4" x14ac:dyDescent="0.3">
      <c r="A10541" s="4">
        <v>40372</v>
      </c>
      <c r="B10541" s="833" t="s">
        <v>14807</v>
      </c>
      <c r="C10541" s="4" t="s">
        <v>12080</v>
      </c>
      <c r="D10541" s="834">
        <v>144.79</v>
      </c>
    </row>
    <row r="10542" spans="1:4" x14ac:dyDescent="0.3">
      <c r="A10542" s="4">
        <v>40369</v>
      </c>
      <c r="B10542" s="833" t="s">
        <v>14808</v>
      </c>
      <c r="C10542" s="4" t="s">
        <v>12080</v>
      </c>
      <c r="D10542" s="834">
        <v>72.06</v>
      </c>
    </row>
    <row r="10543" spans="1:4" x14ac:dyDescent="0.3">
      <c r="A10543" s="4">
        <v>40357</v>
      </c>
      <c r="B10543" s="833" t="s">
        <v>14809</v>
      </c>
      <c r="C10543" s="4" t="s">
        <v>12080</v>
      </c>
      <c r="D10543" s="834">
        <v>17.47</v>
      </c>
    </row>
    <row r="10544" spans="1:4" x14ac:dyDescent="0.3">
      <c r="A10544" s="4">
        <v>40375</v>
      </c>
      <c r="B10544" s="833" t="s">
        <v>14810</v>
      </c>
      <c r="C10544" s="4" t="s">
        <v>12080</v>
      </c>
      <c r="D10544" s="834">
        <v>196</v>
      </c>
    </row>
    <row r="10545" spans="1:4" x14ac:dyDescent="0.3">
      <c r="A10545" s="4">
        <v>1893</v>
      </c>
      <c r="B10545" s="833" t="s">
        <v>14811</v>
      </c>
      <c r="C10545" s="4" t="s">
        <v>12080</v>
      </c>
      <c r="D10545" s="834">
        <v>3.93</v>
      </c>
    </row>
    <row r="10546" spans="1:4" x14ac:dyDescent="0.3">
      <c r="A10546" s="4">
        <v>1902</v>
      </c>
      <c r="B10546" s="833" t="s">
        <v>14812</v>
      </c>
      <c r="C10546" s="4" t="s">
        <v>12080</v>
      </c>
      <c r="D10546" s="834">
        <v>2.86</v>
      </c>
    </row>
    <row r="10547" spans="1:4" x14ac:dyDescent="0.3">
      <c r="A10547" s="4">
        <v>1901</v>
      </c>
      <c r="B10547" s="833" t="s">
        <v>14813</v>
      </c>
      <c r="C10547" s="4" t="s">
        <v>12080</v>
      </c>
      <c r="D10547" s="834">
        <v>0.89</v>
      </c>
    </row>
    <row r="10548" spans="1:4" x14ac:dyDescent="0.3">
      <c r="A10548" s="4">
        <v>1892</v>
      </c>
      <c r="B10548" s="833" t="s">
        <v>14814</v>
      </c>
      <c r="C10548" s="4" t="s">
        <v>12080</v>
      </c>
      <c r="D10548" s="834">
        <v>1.84</v>
      </c>
    </row>
    <row r="10549" spans="1:4" x14ac:dyDescent="0.3">
      <c r="A10549" s="4">
        <v>1907</v>
      </c>
      <c r="B10549" s="833" t="s">
        <v>14815</v>
      </c>
      <c r="C10549" s="4" t="s">
        <v>12080</v>
      </c>
      <c r="D10549" s="834">
        <v>12.64</v>
      </c>
    </row>
    <row r="10550" spans="1:4" x14ac:dyDescent="0.3">
      <c r="A10550" s="4">
        <v>1894</v>
      </c>
      <c r="B10550" s="833" t="s">
        <v>14816</v>
      </c>
      <c r="C10550" s="4" t="s">
        <v>12080</v>
      </c>
      <c r="D10550" s="834">
        <v>5.68</v>
      </c>
    </row>
    <row r="10551" spans="1:4" x14ac:dyDescent="0.3">
      <c r="A10551" s="4">
        <v>1891</v>
      </c>
      <c r="B10551" s="833" t="s">
        <v>14817</v>
      </c>
      <c r="C10551" s="4" t="s">
        <v>12080</v>
      </c>
      <c r="D10551" s="834">
        <v>1.32</v>
      </c>
    </row>
    <row r="10552" spans="1:4" x14ac:dyDescent="0.3">
      <c r="A10552" s="4">
        <v>1896</v>
      </c>
      <c r="B10552" s="833" t="s">
        <v>14818</v>
      </c>
      <c r="C10552" s="4" t="s">
        <v>12080</v>
      </c>
      <c r="D10552" s="834">
        <v>16.97</v>
      </c>
    </row>
    <row r="10553" spans="1:4" x14ac:dyDescent="0.3">
      <c r="A10553" s="4">
        <v>1895</v>
      </c>
      <c r="B10553" s="833" t="s">
        <v>14819</v>
      </c>
      <c r="C10553" s="4" t="s">
        <v>12080</v>
      </c>
      <c r="D10553" s="834">
        <v>29.82</v>
      </c>
    </row>
    <row r="10554" spans="1:4" x14ac:dyDescent="0.3">
      <c r="A10554" s="4">
        <v>2641</v>
      </c>
      <c r="B10554" s="833" t="s">
        <v>14820</v>
      </c>
      <c r="C10554" s="4" t="s">
        <v>12080</v>
      </c>
      <c r="D10554" s="834">
        <v>26.87</v>
      </c>
    </row>
    <row r="10555" spans="1:4" x14ac:dyDescent="0.3">
      <c r="A10555" s="4">
        <v>2636</v>
      </c>
      <c r="B10555" s="833" t="s">
        <v>14821</v>
      </c>
      <c r="C10555" s="4" t="s">
        <v>12080</v>
      </c>
      <c r="D10555" s="834">
        <v>1.73</v>
      </c>
    </row>
    <row r="10556" spans="1:4" x14ac:dyDescent="0.3">
      <c r="A10556" s="4">
        <v>2637</v>
      </c>
      <c r="B10556" s="833" t="s">
        <v>14822</v>
      </c>
      <c r="C10556" s="4" t="s">
        <v>12080</v>
      </c>
      <c r="D10556" s="834">
        <v>1.84</v>
      </c>
    </row>
    <row r="10557" spans="1:4" x14ac:dyDescent="0.3">
      <c r="A10557" s="4">
        <v>2638</v>
      </c>
      <c r="B10557" s="833" t="s">
        <v>14823</v>
      </c>
      <c r="C10557" s="4" t="s">
        <v>12080</v>
      </c>
      <c r="D10557" s="834">
        <v>2.14</v>
      </c>
    </row>
    <row r="10558" spans="1:4" x14ac:dyDescent="0.3">
      <c r="A10558" s="4">
        <v>2639</v>
      </c>
      <c r="B10558" s="833" t="s">
        <v>14824</v>
      </c>
      <c r="C10558" s="4" t="s">
        <v>12080</v>
      </c>
      <c r="D10558" s="834">
        <v>3.8</v>
      </c>
    </row>
    <row r="10559" spans="1:4" x14ac:dyDescent="0.3">
      <c r="A10559" s="4">
        <v>2644</v>
      </c>
      <c r="B10559" s="833" t="s">
        <v>14825</v>
      </c>
      <c r="C10559" s="4" t="s">
        <v>12080</v>
      </c>
      <c r="D10559" s="834">
        <v>5.5</v>
      </c>
    </row>
    <row r="10560" spans="1:4" x14ac:dyDescent="0.3">
      <c r="A10560" s="4">
        <v>2640</v>
      </c>
      <c r="B10560" s="833" t="s">
        <v>14826</v>
      </c>
      <c r="C10560" s="4" t="s">
        <v>12080</v>
      </c>
      <c r="D10560" s="834">
        <v>11.18</v>
      </c>
    </row>
    <row r="10561" spans="1:4" x14ac:dyDescent="0.3">
      <c r="A10561" s="4">
        <v>2642</v>
      </c>
      <c r="B10561" s="833" t="s">
        <v>14827</v>
      </c>
      <c r="C10561" s="4" t="s">
        <v>12080</v>
      </c>
      <c r="D10561" s="834">
        <v>17.03</v>
      </c>
    </row>
    <row r="10562" spans="1:4" x14ac:dyDescent="0.3">
      <c r="A10562" s="4">
        <v>2643</v>
      </c>
      <c r="B10562" s="833" t="s">
        <v>14828</v>
      </c>
      <c r="C10562" s="4" t="s">
        <v>12080</v>
      </c>
      <c r="D10562" s="834">
        <v>7.66</v>
      </c>
    </row>
    <row r="10563" spans="1:4" x14ac:dyDescent="0.3">
      <c r="A10563" s="4">
        <v>44281</v>
      </c>
      <c r="B10563" s="833" t="s">
        <v>14829</v>
      </c>
      <c r="C10563" s="4" t="s">
        <v>12080</v>
      </c>
      <c r="D10563" s="834">
        <v>265.22000000000003</v>
      </c>
    </row>
    <row r="10564" spans="1:4" x14ac:dyDescent="0.3">
      <c r="A10564" s="4">
        <v>39855</v>
      </c>
      <c r="B10564" s="833" t="s">
        <v>14830</v>
      </c>
      <c r="C10564" s="4" t="s">
        <v>12080</v>
      </c>
      <c r="D10564" s="834">
        <v>4.91</v>
      </c>
    </row>
    <row r="10565" spans="1:4" x14ac:dyDescent="0.3">
      <c r="A10565" s="4">
        <v>39856</v>
      </c>
      <c r="B10565" s="833" t="s">
        <v>14831</v>
      </c>
      <c r="C10565" s="4" t="s">
        <v>12080</v>
      </c>
      <c r="D10565" s="834">
        <v>11.58</v>
      </c>
    </row>
    <row r="10566" spans="1:4" x14ac:dyDescent="0.3">
      <c r="A10566" s="4">
        <v>39857</v>
      </c>
      <c r="B10566" s="833" t="s">
        <v>14832</v>
      </c>
      <c r="C10566" s="4" t="s">
        <v>12080</v>
      </c>
      <c r="D10566" s="834">
        <v>18.739999999999998</v>
      </c>
    </row>
    <row r="10567" spans="1:4" x14ac:dyDescent="0.3">
      <c r="A10567" s="4">
        <v>39858</v>
      </c>
      <c r="B10567" s="833" t="s">
        <v>14833</v>
      </c>
      <c r="C10567" s="4" t="s">
        <v>12080</v>
      </c>
      <c r="D10567" s="834">
        <v>41.59</v>
      </c>
    </row>
    <row r="10568" spans="1:4" x14ac:dyDescent="0.3">
      <c r="A10568" s="4">
        <v>39859</v>
      </c>
      <c r="B10568" s="833" t="s">
        <v>14834</v>
      </c>
      <c r="C10568" s="4" t="s">
        <v>12080</v>
      </c>
      <c r="D10568" s="834">
        <v>64.11</v>
      </c>
    </row>
    <row r="10569" spans="1:4" x14ac:dyDescent="0.3">
      <c r="A10569" s="4">
        <v>39860</v>
      </c>
      <c r="B10569" s="833" t="s">
        <v>14835</v>
      </c>
      <c r="C10569" s="4" t="s">
        <v>12080</v>
      </c>
      <c r="D10569" s="834">
        <v>98.38</v>
      </c>
    </row>
    <row r="10570" spans="1:4" x14ac:dyDescent="0.3">
      <c r="A10570" s="4">
        <v>39861</v>
      </c>
      <c r="B10570" s="833" t="s">
        <v>14836</v>
      </c>
      <c r="C10570" s="4" t="s">
        <v>12080</v>
      </c>
      <c r="D10570" s="834">
        <v>280.89</v>
      </c>
    </row>
    <row r="10571" spans="1:4" x14ac:dyDescent="0.3">
      <c r="A10571" s="4">
        <v>3867</v>
      </c>
      <c r="B10571" s="833" t="s">
        <v>14837</v>
      </c>
      <c r="C10571" s="4" t="s">
        <v>12080</v>
      </c>
      <c r="D10571" s="834">
        <v>77.64</v>
      </c>
    </row>
    <row r="10572" spans="1:4" x14ac:dyDescent="0.3">
      <c r="A10572" s="4">
        <v>3861</v>
      </c>
      <c r="B10572" s="833" t="s">
        <v>14838</v>
      </c>
      <c r="C10572" s="4" t="s">
        <v>12080</v>
      </c>
      <c r="D10572" s="834">
        <v>0.8</v>
      </c>
    </row>
    <row r="10573" spans="1:4" x14ac:dyDescent="0.3">
      <c r="A10573" s="4">
        <v>3904</v>
      </c>
      <c r="B10573" s="833" t="s">
        <v>14839</v>
      </c>
      <c r="C10573" s="4" t="s">
        <v>12080</v>
      </c>
      <c r="D10573" s="834">
        <v>0.85</v>
      </c>
    </row>
    <row r="10574" spans="1:4" x14ac:dyDescent="0.3">
      <c r="A10574" s="4">
        <v>3903</v>
      </c>
      <c r="B10574" s="833" t="s">
        <v>14840</v>
      </c>
      <c r="C10574" s="4" t="s">
        <v>12080</v>
      </c>
      <c r="D10574" s="834">
        <v>2.08</v>
      </c>
    </row>
    <row r="10575" spans="1:4" x14ac:dyDescent="0.3">
      <c r="A10575" s="4">
        <v>3862</v>
      </c>
      <c r="B10575" s="833" t="s">
        <v>14841</v>
      </c>
      <c r="C10575" s="4" t="s">
        <v>12080</v>
      </c>
      <c r="D10575" s="834">
        <v>4.4400000000000004</v>
      </c>
    </row>
    <row r="10576" spans="1:4" x14ac:dyDescent="0.3">
      <c r="A10576" s="4">
        <v>3863</v>
      </c>
      <c r="B10576" s="833" t="s">
        <v>14842</v>
      </c>
      <c r="C10576" s="4" t="s">
        <v>12080</v>
      </c>
      <c r="D10576" s="834">
        <v>4.55</v>
      </c>
    </row>
    <row r="10577" spans="1:4" x14ac:dyDescent="0.3">
      <c r="A10577" s="4">
        <v>3864</v>
      </c>
      <c r="B10577" s="833" t="s">
        <v>14843</v>
      </c>
      <c r="C10577" s="4" t="s">
        <v>12080</v>
      </c>
      <c r="D10577" s="834">
        <v>13.93</v>
      </c>
    </row>
    <row r="10578" spans="1:4" x14ac:dyDescent="0.3">
      <c r="A10578" s="4">
        <v>3865</v>
      </c>
      <c r="B10578" s="833" t="s">
        <v>14844</v>
      </c>
      <c r="C10578" s="4" t="s">
        <v>12080</v>
      </c>
      <c r="D10578" s="834">
        <v>20.36</v>
      </c>
    </row>
    <row r="10579" spans="1:4" x14ac:dyDescent="0.3">
      <c r="A10579" s="4">
        <v>3866</v>
      </c>
      <c r="B10579" s="833" t="s">
        <v>14845</v>
      </c>
      <c r="C10579" s="4" t="s">
        <v>12080</v>
      </c>
      <c r="D10579" s="834">
        <v>45.72</v>
      </c>
    </row>
    <row r="10580" spans="1:4" x14ac:dyDescent="0.3">
      <c r="A10580" s="4">
        <v>3878</v>
      </c>
      <c r="B10580" s="833" t="s">
        <v>14846</v>
      </c>
      <c r="C10580" s="4" t="s">
        <v>12080</v>
      </c>
      <c r="D10580" s="834">
        <v>12.47</v>
      </c>
    </row>
    <row r="10581" spans="1:4" x14ac:dyDescent="0.3">
      <c r="A10581" s="4">
        <v>3883</v>
      </c>
      <c r="B10581" s="833" t="s">
        <v>14847</v>
      </c>
      <c r="C10581" s="4" t="s">
        <v>12080</v>
      </c>
      <c r="D10581" s="834">
        <v>1.59</v>
      </c>
    </row>
    <row r="10582" spans="1:4" x14ac:dyDescent="0.3">
      <c r="A10582" s="4">
        <v>3876</v>
      </c>
      <c r="B10582" s="833" t="s">
        <v>14848</v>
      </c>
      <c r="C10582" s="4" t="s">
        <v>12080</v>
      </c>
      <c r="D10582" s="834">
        <v>4.96</v>
      </c>
    </row>
    <row r="10583" spans="1:4" x14ac:dyDescent="0.3">
      <c r="A10583" s="4">
        <v>3884</v>
      </c>
      <c r="B10583" s="833" t="s">
        <v>14849</v>
      </c>
      <c r="C10583" s="4" t="s">
        <v>12080</v>
      </c>
      <c r="D10583" s="834">
        <v>2.52</v>
      </c>
    </row>
    <row r="10584" spans="1:4" x14ac:dyDescent="0.3">
      <c r="A10584" s="4">
        <v>12892</v>
      </c>
      <c r="B10584" s="833" t="s">
        <v>14850</v>
      </c>
      <c r="C10584" s="4" t="s">
        <v>12495</v>
      </c>
      <c r="D10584" s="834">
        <v>12.41</v>
      </c>
    </row>
    <row r="10585" spans="1:4" x14ac:dyDescent="0.3">
      <c r="A10585" s="4">
        <v>38447</v>
      </c>
      <c r="B10585" s="833" t="s">
        <v>14851</v>
      </c>
      <c r="C10585" s="4" t="s">
        <v>12080</v>
      </c>
      <c r="D10585" s="834">
        <v>98.18</v>
      </c>
    </row>
    <row r="10586" spans="1:4" x14ac:dyDescent="0.3">
      <c r="A10586" s="4">
        <v>36320</v>
      </c>
      <c r="B10586" s="833" t="s">
        <v>14852</v>
      </c>
      <c r="C10586" s="4" t="s">
        <v>12080</v>
      </c>
      <c r="D10586" s="834">
        <v>2.64</v>
      </c>
    </row>
    <row r="10587" spans="1:4" x14ac:dyDescent="0.3">
      <c r="A10587" s="4">
        <v>36324</v>
      </c>
      <c r="B10587" s="833" t="s">
        <v>14853</v>
      </c>
      <c r="C10587" s="4" t="s">
        <v>12080</v>
      </c>
      <c r="D10587" s="834">
        <v>2.41</v>
      </c>
    </row>
    <row r="10588" spans="1:4" x14ac:dyDescent="0.3">
      <c r="A10588" s="4">
        <v>38441</v>
      </c>
      <c r="B10588" s="833" t="s">
        <v>14854</v>
      </c>
      <c r="C10588" s="4" t="s">
        <v>12080</v>
      </c>
      <c r="D10588" s="834">
        <v>4.3099999999999996</v>
      </c>
    </row>
    <row r="10589" spans="1:4" x14ac:dyDescent="0.3">
      <c r="A10589" s="4">
        <v>38442</v>
      </c>
      <c r="B10589" s="833" t="s">
        <v>14855</v>
      </c>
      <c r="C10589" s="4" t="s">
        <v>12080</v>
      </c>
      <c r="D10589" s="834">
        <v>12.27</v>
      </c>
    </row>
    <row r="10590" spans="1:4" x14ac:dyDescent="0.3">
      <c r="A10590" s="4">
        <v>38443</v>
      </c>
      <c r="B10590" s="833" t="s">
        <v>14856</v>
      </c>
      <c r="C10590" s="4" t="s">
        <v>12080</v>
      </c>
      <c r="D10590" s="834">
        <v>14.88</v>
      </c>
    </row>
    <row r="10591" spans="1:4" x14ac:dyDescent="0.3">
      <c r="A10591" s="4">
        <v>38444</v>
      </c>
      <c r="B10591" s="833" t="s">
        <v>14857</v>
      </c>
      <c r="C10591" s="4" t="s">
        <v>12080</v>
      </c>
      <c r="D10591" s="834">
        <v>25</v>
      </c>
    </row>
    <row r="10592" spans="1:4" x14ac:dyDescent="0.3">
      <c r="A10592" s="4">
        <v>38445</v>
      </c>
      <c r="B10592" s="833" t="s">
        <v>14858</v>
      </c>
      <c r="C10592" s="4" t="s">
        <v>12080</v>
      </c>
      <c r="D10592" s="834">
        <v>46.35</v>
      </c>
    </row>
    <row r="10593" spans="1:4" x14ac:dyDescent="0.3">
      <c r="A10593" s="4">
        <v>38446</v>
      </c>
      <c r="B10593" s="833" t="s">
        <v>14859</v>
      </c>
      <c r="C10593" s="4" t="s">
        <v>12080</v>
      </c>
      <c r="D10593" s="834">
        <v>75.86</v>
      </c>
    </row>
    <row r="10594" spans="1:4" x14ac:dyDescent="0.3">
      <c r="A10594" s="4">
        <v>3837</v>
      </c>
      <c r="B10594" s="833" t="s">
        <v>14860</v>
      </c>
      <c r="C10594" s="4" t="s">
        <v>12080</v>
      </c>
      <c r="D10594" s="834">
        <v>45.69</v>
      </c>
    </row>
    <row r="10595" spans="1:4" x14ac:dyDescent="0.3">
      <c r="A10595" s="4">
        <v>3845</v>
      </c>
      <c r="B10595" s="833" t="s">
        <v>14861</v>
      </c>
      <c r="C10595" s="4" t="s">
        <v>12080</v>
      </c>
      <c r="D10595" s="834">
        <v>16.690000000000001</v>
      </c>
    </row>
    <row r="10596" spans="1:4" x14ac:dyDescent="0.3">
      <c r="A10596" s="4">
        <v>11045</v>
      </c>
      <c r="B10596" s="833" t="s">
        <v>14862</v>
      </c>
      <c r="C10596" s="4" t="s">
        <v>12080</v>
      </c>
      <c r="D10596" s="834">
        <v>32.19</v>
      </c>
    </row>
    <row r="10597" spans="1:4" x14ac:dyDescent="0.3">
      <c r="A10597" s="4">
        <v>20170</v>
      </c>
      <c r="B10597" s="833" t="s">
        <v>14863</v>
      </c>
      <c r="C10597" s="4" t="s">
        <v>12080</v>
      </c>
      <c r="D10597" s="834">
        <v>14.01</v>
      </c>
    </row>
    <row r="10598" spans="1:4" x14ac:dyDescent="0.3">
      <c r="A10598" s="4">
        <v>20171</v>
      </c>
      <c r="B10598" s="833" t="s">
        <v>14864</v>
      </c>
      <c r="C10598" s="4" t="s">
        <v>12080</v>
      </c>
      <c r="D10598" s="834">
        <v>40.39</v>
      </c>
    </row>
    <row r="10599" spans="1:4" x14ac:dyDescent="0.3">
      <c r="A10599" s="4">
        <v>20167</v>
      </c>
      <c r="B10599" s="833" t="s">
        <v>14865</v>
      </c>
      <c r="C10599" s="4" t="s">
        <v>12080</v>
      </c>
      <c r="D10599" s="834">
        <v>5.08</v>
      </c>
    </row>
    <row r="10600" spans="1:4" x14ac:dyDescent="0.3">
      <c r="A10600" s="4">
        <v>20168</v>
      </c>
      <c r="B10600" s="833" t="s">
        <v>14866</v>
      </c>
      <c r="C10600" s="4" t="s">
        <v>12080</v>
      </c>
      <c r="D10600" s="834">
        <v>10.45</v>
      </c>
    </row>
    <row r="10601" spans="1:4" x14ac:dyDescent="0.3">
      <c r="A10601" s="4">
        <v>20169</v>
      </c>
      <c r="B10601" s="833" t="s">
        <v>14867</v>
      </c>
      <c r="C10601" s="4" t="s">
        <v>12080</v>
      </c>
      <c r="D10601" s="834">
        <v>12.2</v>
      </c>
    </row>
    <row r="10602" spans="1:4" x14ac:dyDescent="0.3">
      <c r="A10602" s="4">
        <v>3899</v>
      </c>
      <c r="B10602" s="833" t="s">
        <v>14868</v>
      </c>
      <c r="C10602" s="4" t="s">
        <v>12080</v>
      </c>
      <c r="D10602" s="834">
        <v>6.77</v>
      </c>
    </row>
    <row r="10603" spans="1:4" x14ac:dyDescent="0.3">
      <c r="A10603" s="4">
        <v>38676</v>
      </c>
      <c r="B10603" s="833" t="s">
        <v>14869</v>
      </c>
      <c r="C10603" s="4" t="s">
        <v>12080</v>
      </c>
      <c r="D10603" s="834">
        <v>33.85</v>
      </c>
    </row>
    <row r="10604" spans="1:4" x14ac:dyDescent="0.3">
      <c r="A10604" s="4">
        <v>3897</v>
      </c>
      <c r="B10604" s="833" t="s">
        <v>14870</v>
      </c>
      <c r="C10604" s="4" t="s">
        <v>12080</v>
      </c>
      <c r="D10604" s="834">
        <v>1.65</v>
      </c>
    </row>
    <row r="10605" spans="1:4" x14ac:dyDescent="0.3">
      <c r="A10605" s="4">
        <v>3875</v>
      </c>
      <c r="B10605" s="833" t="s">
        <v>14871</v>
      </c>
      <c r="C10605" s="4" t="s">
        <v>12080</v>
      </c>
      <c r="D10605" s="834">
        <v>3.41</v>
      </c>
    </row>
    <row r="10606" spans="1:4" x14ac:dyDescent="0.3">
      <c r="A10606" s="4">
        <v>3898</v>
      </c>
      <c r="B10606" s="833" t="s">
        <v>14872</v>
      </c>
      <c r="C10606" s="4" t="s">
        <v>12080</v>
      </c>
      <c r="D10606" s="834">
        <v>6.92</v>
      </c>
    </row>
    <row r="10607" spans="1:4" x14ac:dyDescent="0.3">
      <c r="A10607" s="4">
        <v>3855</v>
      </c>
      <c r="B10607" s="833" t="s">
        <v>14873</v>
      </c>
      <c r="C10607" s="4" t="s">
        <v>12080</v>
      </c>
      <c r="D10607" s="834">
        <v>5.38</v>
      </c>
    </row>
    <row r="10608" spans="1:4" x14ac:dyDescent="0.3">
      <c r="A10608" s="4">
        <v>3874</v>
      </c>
      <c r="B10608" s="833" t="s">
        <v>14874</v>
      </c>
      <c r="C10608" s="4" t="s">
        <v>12080</v>
      </c>
      <c r="D10608" s="834">
        <v>6.24</v>
      </c>
    </row>
    <row r="10609" spans="1:4" x14ac:dyDescent="0.3">
      <c r="A10609" s="4">
        <v>3870</v>
      </c>
      <c r="B10609" s="833" t="s">
        <v>14875</v>
      </c>
      <c r="C10609" s="4" t="s">
        <v>12080</v>
      </c>
      <c r="D10609" s="834">
        <v>6.85</v>
      </c>
    </row>
    <row r="10610" spans="1:4" x14ac:dyDescent="0.3">
      <c r="A10610" s="4">
        <v>38678</v>
      </c>
      <c r="B10610" s="833" t="s">
        <v>14876</v>
      </c>
      <c r="C10610" s="4" t="s">
        <v>12080</v>
      </c>
      <c r="D10610" s="834">
        <v>18.11</v>
      </c>
    </row>
    <row r="10611" spans="1:4" x14ac:dyDescent="0.3">
      <c r="A10611" s="4">
        <v>3859</v>
      </c>
      <c r="B10611" s="833" t="s">
        <v>14877</v>
      </c>
      <c r="C10611" s="4" t="s">
        <v>12080</v>
      </c>
      <c r="D10611" s="834">
        <v>1.38</v>
      </c>
    </row>
    <row r="10612" spans="1:4" x14ac:dyDescent="0.3">
      <c r="A10612" s="4">
        <v>3856</v>
      </c>
      <c r="B10612" s="833" t="s">
        <v>14878</v>
      </c>
      <c r="C10612" s="4" t="s">
        <v>12080</v>
      </c>
      <c r="D10612" s="834">
        <v>1.91</v>
      </c>
    </row>
    <row r="10613" spans="1:4" x14ac:dyDescent="0.3">
      <c r="A10613" s="4">
        <v>3906</v>
      </c>
      <c r="B10613" s="833" t="s">
        <v>14879</v>
      </c>
      <c r="C10613" s="4" t="s">
        <v>12080</v>
      </c>
      <c r="D10613" s="834">
        <v>1.58</v>
      </c>
    </row>
    <row r="10614" spans="1:4" x14ac:dyDescent="0.3">
      <c r="A10614" s="4">
        <v>3860</v>
      </c>
      <c r="B10614" s="833" t="s">
        <v>14880</v>
      </c>
      <c r="C10614" s="4" t="s">
        <v>12080</v>
      </c>
      <c r="D10614" s="834">
        <v>4.7</v>
      </c>
    </row>
    <row r="10615" spans="1:4" x14ac:dyDescent="0.3">
      <c r="A10615" s="4">
        <v>3905</v>
      </c>
      <c r="B10615" s="833" t="s">
        <v>14881</v>
      </c>
      <c r="C10615" s="4" t="s">
        <v>12080</v>
      </c>
      <c r="D10615" s="834">
        <v>10.76</v>
      </c>
    </row>
    <row r="10616" spans="1:4" x14ac:dyDescent="0.3">
      <c r="A10616" s="4">
        <v>3871</v>
      </c>
      <c r="B10616" s="833" t="s">
        <v>14882</v>
      </c>
      <c r="C10616" s="4" t="s">
        <v>12080</v>
      </c>
      <c r="D10616" s="834">
        <v>19.05</v>
      </c>
    </row>
    <row r="10617" spans="1:4" x14ac:dyDescent="0.3">
      <c r="A10617" s="4">
        <v>39292</v>
      </c>
      <c r="B10617" s="833" t="s">
        <v>14883</v>
      </c>
      <c r="C10617" s="4" t="s">
        <v>12080</v>
      </c>
      <c r="D10617" s="834">
        <v>8.67</v>
      </c>
    </row>
    <row r="10618" spans="1:4" x14ac:dyDescent="0.3">
      <c r="A10618" s="4">
        <v>39293</v>
      </c>
      <c r="B10618" s="833" t="s">
        <v>14884</v>
      </c>
      <c r="C10618" s="4" t="s">
        <v>12080</v>
      </c>
      <c r="D10618" s="834">
        <v>13.48</v>
      </c>
    </row>
    <row r="10619" spans="1:4" x14ac:dyDescent="0.3">
      <c r="A10619" s="4">
        <v>39294</v>
      </c>
      <c r="B10619" s="833" t="s">
        <v>14885</v>
      </c>
      <c r="C10619" s="4" t="s">
        <v>12080</v>
      </c>
      <c r="D10619" s="834">
        <v>14.41</v>
      </c>
    </row>
    <row r="10620" spans="1:4" x14ac:dyDescent="0.3">
      <c r="A10620" s="4">
        <v>39295</v>
      </c>
      <c r="B10620" s="833" t="s">
        <v>14886</v>
      </c>
      <c r="C10620" s="4" t="s">
        <v>12080</v>
      </c>
      <c r="D10620" s="834">
        <v>19.809999999999999</v>
      </c>
    </row>
    <row r="10621" spans="1:4" x14ac:dyDescent="0.3">
      <c r="A10621" s="4">
        <v>39312</v>
      </c>
      <c r="B10621" s="833" t="s">
        <v>14887</v>
      </c>
      <c r="C10621" s="4" t="s">
        <v>12080</v>
      </c>
      <c r="D10621" s="834">
        <v>13.3</v>
      </c>
    </row>
    <row r="10622" spans="1:4" x14ac:dyDescent="0.3">
      <c r="A10622" s="4">
        <v>39313</v>
      </c>
      <c r="B10622" s="833" t="s">
        <v>14888</v>
      </c>
      <c r="C10622" s="4" t="s">
        <v>12080</v>
      </c>
      <c r="D10622" s="834">
        <v>17.86</v>
      </c>
    </row>
    <row r="10623" spans="1:4" x14ac:dyDescent="0.3">
      <c r="A10623" s="4">
        <v>39314</v>
      </c>
      <c r="B10623" s="833" t="s">
        <v>14889</v>
      </c>
      <c r="C10623" s="4" t="s">
        <v>12080</v>
      </c>
      <c r="D10623" s="834">
        <v>26.28</v>
      </c>
    </row>
    <row r="10624" spans="1:4" x14ac:dyDescent="0.3">
      <c r="A10624" s="4">
        <v>39296</v>
      </c>
      <c r="B10624" s="833" t="s">
        <v>14890</v>
      </c>
      <c r="C10624" s="4" t="s">
        <v>12080</v>
      </c>
      <c r="D10624" s="834">
        <v>7.91</v>
      </c>
    </row>
    <row r="10625" spans="1:4" x14ac:dyDescent="0.3">
      <c r="A10625" s="4">
        <v>39297</v>
      </c>
      <c r="B10625" s="833" t="s">
        <v>14891</v>
      </c>
      <c r="C10625" s="4" t="s">
        <v>12080</v>
      </c>
      <c r="D10625" s="834">
        <v>10.72</v>
      </c>
    </row>
    <row r="10626" spans="1:4" x14ac:dyDescent="0.3">
      <c r="A10626" s="4">
        <v>39298</v>
      </c>
      <c r="B10626" s="833" t="s">
        <v>14892</v>
      </c>
      <c r="C10626" s="4" t="s">
        <v>12080</v>
      </c>
      <c r="D10626" s="834">
        <v>20.59</v>
      </c>
    </row>
    <row r="10627" spans="1:4" x14ac:dyDescent="0.3">
      <c r="A10627" s="4">
        <v>39299</v>
      </c>
      <c r="B10627" s="833" t="s">
        <v>14893</v>
      </c>
      <c r="C10627" s="4" t="s">
        <v>12080</v>
      </c>
      <c r="D10627" s="834">
        <v>24.4</v>
      </c>
    </row>
    <row r="10628" spans="1:4" x14ac:dyDescent="0.3">
      <c r="A10628" s="4">
        <v>39308</v>
      </c>
      <c r="B10628" s="833" t="s">
        <v>14894</v>
      </c>
      <c r="C10628" s="4" t="s">
        <v>12080</v>
      </c>
      <c r="D10628" s="834">
        <v>6.6</v>
      </c>
    </row>
    <row r="10629" spans="1:4" x14ac:dyDescent="0.3">
      <c r="A10629" s="4">
        <v>39309</v>
      </c>
      <c r="B10629" s="833" t="s">
        <v>14895</v>
      </c>
      <c r="C10629" s="4" t="s">
        <v>12080</v>
      </c>
      <c r="D10629" s="834">
        <v>7.52</v>
      </c>
    </row>
    <row r="10630" spans="1:4" x14ac:dyDescent="0.3">
      <c r="A10630" s="4">
        <v>39310</v>
      </c>
      <c r="B10630" s="833" t="s">
        <v>14896</v>
      </c>
      <c r="C10630" s="4" t="s">
        <v>12080</v>
      </c>
      <c r="D10630" s="834">
        <v>14.04</v>
      </c>
    </row>
    <row r="10631" spans="1:4" x14ac:dyDescent="0.3">
      <c r="A10631" s="4">
        <v>39311</v>
      </c>
      <c r="B10631" s="833" t="s">
        <v>14897</v>
      </c>
      <c r="C10631" s="4" t="s">
        <v>12080</v>
      </c>
      <c r="D10631" s="834">
        <v>19.88</v>
      </c>
    </row>
    <row r="10632" spans="1:4" x14ac:dyDescent="0.3">
      <c r="A10632" s="4">
        <v>37427</v>
      </c>
      <c r="B10632" s="833" t="s">
        <v>14898</v>
      </c>
      <c r="C10632" s="4" t="s">
        <v>12080</v>
      </c>
      <c r="D10632" s="834">
        <v>59.52</v>
      </c>
    </row>
    <row r="10633" spans="1:4" x14ac:dyDescent="0.3">
      <c r="A10633" s="4">
        <v>37424</v>
      </c>
      <c r="B10633" s="833" t="s">
        <v>14899</v>
      </c>
      <c r="C10633" s="4" t="s">
        <v>12080</v>
      </c>
      <c r="D10633" s="834">
        <v>11.47</v>
      </c>
    </row>
    <row r="10634" spans="1:4" x14ac:dyDescent="0.3">
      <c r="A10634" s="4">
        <v>37428</v>
      </c>
      <c r="B10634" s="833" t="s">
        <v>14900</v>
      </c>
      <c r="C10634" s="4" t="s">
        <v>12080</v>
      </c>
      <c r="D10634" s="834">
        <v>205.14</v>
      </c>
    </row>
    <row r="10635" spans="1:4" x14ac:dyDescent="0.3">
      <c r="A10635" s="4">
        <v>37425</v>
      </c>
      <c r="B10635" s="833" t="s">
        <v>14901</v>
      </c>
      <c r="C10635" s="4" t="s">
        <v>12080</v>
      </c>
      <c r="D10635" s="834">
        <v>12.36</v>
      </c>
    </row>
    <row r="10636" spans="1:4" x14ac:dyDescent="0.3">
      <c r="A10636" s="4">
        <v>37429</v>
      </c>
      <c r="B10636" s="833" t="s">
        <v>14902</v>
      </c>
      <c r="C10636" s="4" t="s">
        <v>12080</v>
      </c>
      <c r="D10636" s="834">
        <v>2594.1799999999998</v>
      </c>
    </row>
    <row r="10637" spans="1:4" x14ac:dyDescent="0.3">
      <c r="A10637" s="4">
        <v>37426</v>
      </c>
      <c r="B10637" s="833" t="s">
        <v>14903</v>
      </c>
      <c r="C10637" s="4" t="s">
        <v>12080</v>
      </c>
      <c r="D10637" s="834">
        <v>24.95</v>
      </c>
    </row>
    <row r="10638" spans="1:4" x14ac:dyDescent="0.3">
      <c r="A10638" s="4">
        <v>11519</v>
      </c>
      <c r="B10638" s="833" t="s">
        <v>14904</v>
      </c>
      <c r="C10638" s="4" t="s">
        <v>12495</v>
      </c>
      <c r="D10638" s="834">
        <v>54.87</v>
      </c>
    </row>
    <row r="10639" spans="1:4" x14ac:dyDescent="0.3">
      <c r="A10639" s="4">
        <v>11520</v>
      </c>
      <c r="B10639" s="833" t="s">
        <v>14905</v>
      </c>
      <c r="C10639" s="4" t="s">
        <v>12495</v>
      </c>
      <c r="D10639" s="834">
        <v>25.37</v>
      </c>
    </row>
    <row r="10640" spans="1:4" x14ac:dyDescent="0.3">
      <c r="A10640" s="4">
        <v>11518</v>
      </c>
      <c r="B10640" s="833" t="s">
        <v>14906</v>
      </c>
      <c r="C10640" s="4" t="s">
        <v>12495</v>
      </c>
      <c r="D10640" s="834">
        <v>92.24</v>
      </c>
    </row>
    <row r="10641" spans="1:4" x14ac:dyDescent="0.3">
      <c r="A10641" s="4">
        <v>38473</v>
      </c>
      <c r="B10641" s="833" t="s">
        <v>14907</v>
      </c>
      <c r="C10641" s="4" t="s">
        <v>12080</v>
      </c>
      <c r="D10641" s="834">
        <v>132.66</v>
      </c>
    </row>
    <row r="10642" spans="1:4" x14ac:dyDescent="0.3">
      <c r="A10642" s="4">
        <v>4244</v>
      </c>
      <c r="B10642" s="833" t="s">
        <v>14908</v>
      </c>
      <c r="C10642" s="4" t="s">
        <v>12226</v>
      </c>
      <c r="D10642" s="834">
        <v>21.26</v>
      </c>
    </row>
    <row r="10643" spans="1:4" x14ac:dyDescent="0.3">
      <c r="A10643" s="4">
        <v>40977</v>
      </c>
      <c r="B10643" s="833" t="s">
        <v>14909</v>
      </c>
      <c r="C10643" s="4" t="s">
        <v>12228</v>
      </c>
      <c r="D10643" s="834">
        <v>3788.96</v>
      </c>
    </row>
    <row r="10644" spans="1:4" x14ac:dyDescent="0.3">
      <c r="A10644" s="4">
        <v>4115</v>
      </c>
      <c r="B10644" s="833" t="s">
        <v>14910</v>
      </c>
      <c r="C10644" s="4" t="s">
        <v>1803</v>
      </c>
      <c r="D10644" s="834">
        <v>30.92</v>
      </c>
    </row>
    <row r="10645" spans="1:4" x14ac:dyDescent="0.3">
      <c r="A10645" s="4">
        <v>4119</v>
      </c>
      <c r="B10645" s="833" t="s">
        <v>14911</v>
      </c>
      <c r="C10645" s="4" t="s">
        <v>1803</v>
      </c>
      <c r="D10645" s="834">
        <v>62.45</v>
      </c>
    </row>
    <row r="10646" spans="1:4" x14ac:dyDescent="0.3">
      <c r="A10646" s="4">
        <v>2794</v>
      </c>
      <c r="B10646" s="833" t="s">
        <v>14912</v>
      </c>
      <c r="C10646" s="4" t="s">
        <v>1803</v>
      </c>
      <c r="D10646" s="834">
        <v>165.67</v>
      </c>
    </row>
    <row r="10647" spans="1:4" x14ac:dyDescent="0.3">
      <c r="A10647" s="4">
        <v>2788</v>
      </c>
      <c r="B10647" s="833" t="s">
        <v>14913</v>
      </c>
      <c r="C10647" s="4" t="s">
        <v>1803</v>
      </c>
      <c r="D10647" s="834">
        <v>241.35</v>
      </c>
    </row>
    <row r="10648" spans="1:4" x14ac:dyDescent="0.3">
      <c r="A10648" s="4">
        <v>4006</v>
      </c>
      <c r="B10648" s="833" t="s">
        <v>14914</v>
      </c>
      <c r="C10648" s="4" t="s">
        <v>12224</v>
      </c>
      <c r="D10648" s="834">
        <v>1751.07</v>
      </c>
    </row>
    <row r="10649" spans="1:4" x14ac:dyDescent="0.3">
      <c r="A10649" s="4">
        <v>36151</v>
      </c>
      <c r="B10649" s="833" t="s">
        <v>14915</v>
      </c>
      <c r="C10649" s="4" t="s">
        <v>12080</v>
      </c>
      <c r="D10649" s="834">
        <v>27.58</v>
      </c>
    </row>
    <row r="10650" spans="1:4" x14ac:dyDescent="0.3">
      <c r="A10650" s="4">
        <v>37461</v>
      </c>
      <c r="B10650" s="833" t="s">
        <v>14916</v>
      </c>
      <c r="C10650" s="4" t="s">
        <v>1803</v>
      </c>
      <c r="D10650" s="834">
        <v>17.239999999999998</v>
      </c>
    </row>
    <row r="10651" spans="1:4" x14ac:dyDescent="0.3">
      <c r="A10651" s="4">
        <v>37460</v>
      </c>
      <c r="B10651" s="833" t="s">
        <v>14917</v>
      </c>
      <c r="C10651" s="4" t="s">
        <v>1803</v>
      </c>
      <c r="D10651" s="834">
        <v>23.54</v>
      </c>
    </row>
    <row r="10652" spans="1:4" x14ac:dyDescent="0.3">
      <c r="A10652" s="4">
        <v>37458</v>
      </c>
      <c r="B10652" s="833" t="s">
        <v>14918</v>
      </c>
      <c r="C10652" s="4" t="s">
        <v>1803</v>
      </c>
      <c r="D10652" s="834">
        <v>6.9</v>
      </c>
    </row>
    <row r="10653" spans="1:4" x14ac:dyDescent="0.3">
      <c r="A10653" s="4">
        <v>37454</v>
      </c>
      <c r="B10653" s="833" t="s">
        <v>14919</v>
      </c>
      <c r="C10653" s="4" t="s">
        <v>1803</v>
      </c>
      <c r="D10653" s="834">
        <v>1.81</v>
      </c>
    </row>
    <row r="10654" spans="1:4" x14ac:dyDescent="0.3">
      <c r="A10654" s="4">
        <v>37455</v>
      </c>
      <c r="B10654" s="833" t="s">
        <v>14920</v>
      </c>
      <c r="C10654" s="4" t="s">
        <v>1803</v>
      </c>
      <c r="D10654" s="834">
        <v>3.04</v>
      </c>
    </row>
    <row r="10655" spans="1:4" x14ac:dyDescent="0.3">
      <c r="A10655" s="4">
        <v>37459</v>
      </c>
      <c r="B10655" s="833" t="s">
        <v>14921</v>
      </c>
      <c r="C10655" s="4" t="s">
        <v>1803</v>
      </c>
      <c r="D10655" s="834">
        <v>9.69</v>
      </c>
    </row>
    <row r="10656" spans="1:4" x14ac:dyDescent="0.3">
      <c r="A10656" s="4">
        <v>37457</v>
      </c>
      <c r="B10656" s="833" t="s">
        <v>14922</v>
      </c>
      <c r="C10656" s="4" t="s">
        <v>1803</v>
      </c>
      <c r="D10656" s="834">
        <v>4.6399999999999997</v>
      </c>
    </row>
    <row r="10657" spans="1:4" x14ac:dyDescent="0.3">
      <c r="A10657" s="4">
        <v>37456</v>
      </c>
      <c r="B10657" s="833" t="s">
        <v>14923</v>
      </c>
      <c r="C10657" s="4" t="s">
        <v>1803</v>
      </c>
      <c r="D10657" s="834">
        <v>2.4500000000000002</v>
      </c>
    </row>
    <row r="10658" spans="1:4" x14ac:dyDescent="0.3">
      <c r="A10658" s="4">
        <v>21029</v>
      </c>
      <c r="B10658" s="833" t="s">
        <v>14924</v>
      </c>
      <c r="C10658" s="4" t="s">
        <v>12080</v>
      </c>
      <c r="D10658" s="834">
        <v>300</v>
      </c>
    </row>
    <row r="10659" spans="1:4" x14ac:dyDescent="0.3">
      <c r="A10659" s="4">
        <v>21030</v>
      </c>
      <c r="B10659" s="833" t="s">
        <v>14925</v>
      </c>
      <c r="C10659" s="4" t="s">
        <v>12080</v>
      </c>
      <c r="D10659" s="834">
        <v>369.8</v>
      </c>
    </row>
    <row r="10660" spans="1:4" x14ac:dyDescent="0.3">
      <c r="A10660" s="4">
        <v>21031</v>
      </c>
      <c r="B10660" s="833" t="s">
        <v>14926</v>
      </c>
      <c r="C10660" s="4" t="s">
        <v>12080</v>
      </c>
      <c r="D10660" s="834">
        <v>460.39</v>
      </c>
    </row>
    <row r="10661" spans="1:4" x14ac:dyDescent="0.3">
      <c r="A10661" s="4">
        <v>21032</v>
      </c>
      <c r="B10661" s="833" t="s">
        <v>14927</v>
      </c>
      <c r="C10661" s="4" t="s">
        <v>12080</v>
      </c>
      <c r="D10661" s="834">
        <v>491.58</v>
      </c>
    </row>
    <row r="10662" spans="1:4" x14ac:dyDescent="0.3">
      <c r="A10662" s="4">
        <v>37527</v>
      </c>
      <c r="B10662" s="833" t="s">
        <v>14928</v>
      </c>
      <c r="C10662" s="4" t="s">
        <v>12080</v>
      </c>
      <c r="D10662" s="834">
        <v>444.05</v>
      </c>
    </row>
    <row r="10663" spans="1:4" x14ac:dyDescent="0.3">
      <c r="A10663" s="4">
        <v>37528</v>
      </c>
      <c r="B10663" s="833" t="s">
        <v>14929</v>
      </c>
      <c r="C10663" s="4" t="s">
        <v>12080</v>
      </c>
      <c r="D10663" s="834">
        <v>529.45000000000005</v>
      </c>
    </row>
    <row r="10664" spans="1:4" x14ac:dyDescent="0.3">
      <c r="A10664" s="4">
        <v>37529</v>
      </c>
      <c r="B10664" s="833" t="s">
        <v>14930</v>
      </c>
      <c r="C10664" s="4" t="s">
        <v>12080</v>
      </c>
      <c r="D10664" s="834">
        <v>534.65</v>
      </c>
    </row>
    <row r="10665" spans="1:4" x14ac:dyDescent="0.3">
      <c r="A10665" s="4">
        <v>37530</v>
      </c>
      <c r="B10665" s="833" t="s">
        <v>14931</v>
      </c>
      <c r="C10665" s="4" t="s">
        <v>12080</v>
      </c>
      <c r="D10665" s="834">
        <v>698.01</v>
      </c>
    </row>
    <row r="10666" spans="1:4" x14ac:dyDescent="0.3">
      <c r="A10666" s="4">
        <v>21034</v>
      </c>
      <c r="B10666" s="833" t="s">
        <v>14932</v>
      </c>
      <c r="C10666" s="4" t="s">
        <v>12080</v>
      </c>
      <c r="D10666" s="834">
        <v>595.54</v>
      </c>
    </row>
    <row r="10667" spans="1:4" x14ac:dyDescent="0.3">
      <c r="A10667" s="4">
        <v>37531</v>
      </c>
      <c r="B10667" s="833" t="s">
        <v>14933</v>
      </c>
      <c r="C10667" s="4" t="s">
        <v>12080</v>
      </c>
      <c r="D10667" s="834">
        <v>750</v>
      </c>
    </row>
    <row r="10668" spans="1:4" x14ac:dyDescent="0.3">
      <c r="A10668" s="4">
        <v>21036</v>
      </c>
      <c r="B10668" s="833" t="s">
        <v>14934</v>
      </c>
      <c r="C10668" s="4" t="s">
        <v>12080</v>
      </c>
      <c r="D10668" s="834">
        <v>911.88</v>
      </c>
    </row>
    <row r="10669" spans="1:4" x14ac:dyDescent="0.3">
      <c r="A10669" s="4">
        <v>21037</v>
      </c>
      <c r="B10669" s="833" t="s">
        <v>14935</v>
      </c>
      <c r="C10669" s="4" t="s">
        <v>12080</v>
      </c>
      <c r="D10669" s="834">
        <v>1039.5999999999999</v>
      </c>
    </row>
    <row r="10670" spans="1:4" x14ac:dyDescent="0.3">
      <c r="A10670" s="4">
        <v>20185</v>
      </c>
      <c r="B10670" s="833" t="s">
        <v>14936</v>
      </c>
      <c r="C10670" s="4" t="s">
        <v>1803</v>
      </c>
      <c r="D10670" s="834">
        <v>28.03</v>
      </c>
    </row>
    <row r="10671" spans="1:4" x14ac:dyDescent="0.3">
      <c r="A10671" s="4">
        <v>20260</v>
      </c>
      <c r="B10671" s="833" t="s">
        <v>14937</v>
      </c>
      <c r="C10671" s="4" t="s">
        <v>12080</v>
      </c>
      <c r="D10671" s="834">
        <v>22.54</v>
      </c>
    </row>
    <row r="10672" spans="1:4" x14ac:dyDescent="0.3">
      <c r="A10672" s="4">
        <v>37523</v>
      </c>
      <c r="B10672" s="833" t="s">
        <v>14938</v>
      </c>
      <c r="C10672" s="4" t="s">
        <v>12080</v>
      </c>
      <c r="D10672" s="834">
        <v>693602.96</v>
      </c>
    </row>
    <row r="10673" spans="1:4" x14ac:dyDescent="0.3">
      <c r="A10673" s="4">
        <v>37515</v>
      </c>
      <c r="B10673" s="833" t="s">
        <v>14939</v>
      </c>
      <c r="C10673" s="4" t="s">
        <v>12080</v>
      </c>
      <c r="D10673" s="834">
        <v>616648.5</v>
      </c>
    </row>
    <row r="10674" spans="1:4" x14ac:dyDescent="0.3">
      <c r="A10674" s="4">
        <v>12899</v>
      </c>
      <c r="B10674" s="833" t="s">
        <v>14940</v>
      </c>
      <c r="C10674" s="4" t="s">
        <v>12080</v>
      </c>
      <c r="D10674" s="834">
        <v>122.65</v>
      </c>
    </row>
    <row r="10675" spans="1:4" x14ac:dyDescent="0.3">
      <c r="A10675" s="4">
        <v>12898</v>
      </c>
      <c r="B10675" s="833" t="s">
        <v>14941</v>
      </c>
      <c r="C10675" s="4" t="s">
        <v>12080</v>
      </c>
      <c r="D10675" s="834">
        <v>194.55</v>
      </c>
    </row>
    <row r="10676" spans="1:4" x14ac:dyDescent="0.3">
      <c r="A10676" s="4">
        <v>39699</v>
      </c>
      <c r="B10676" s="833" t="s">
        <v>14942</v>
      </c>
      <c r="C10676" s="4" t="s">
        <v>12481</v>
      </c>
      <c r="D10676" s="834">
        <v>16.32</v>
      </c>
    </row>
    <row r="10677" spans="1:4" x14ac:dyDescent="0.3">
      <c r="A10677" s="4">
        <v>42528</v>
      </c>
      <c r="B10677" s="833" t="s">
        <v>14943</v>
      </c>
      <c r="C10677" s="4" t="s">
        <v>12481</v>
      </c>
      <c r="D10677" s="834">
        <v>9.31</v>
      </c>
    </row>
    <row r="10678" spans="1:4" x14ac:dyDescent="0.3">
      <c r="A10678" s="4">
        <v>39696</v>
      </c>
      <c r="B10678" s="833" t="s">
        <v>14944</v>
      </c>
      <c r="C10678" s="4" t="s">
        <v>12481</v>
      </c>
      <c r="D10678" s="834">
        <v>6.55</v>
      </c>
    </row>
    <row r="10679" spans="1:4" x14ac:dyDescent="0.3">
      <c r="A10679" s="4">
        <v>39700</v>
      </c>
      <c r="B10679" s="833" t="s">
        <v>14945</v>
      </c>
      <c r="C10679" s="4" t="s">
        <v>12481</v>
      </c>
      <c r="D10679" s="834">
        <v>25.04</v>
      </c>
    </row>
    <row r="10680" spans="1:4" x14ac:dyDescent="0.3">
      <c r="A10680" s="4">
        <v>11621</v>
      </c>
      <c r="B10680" s="833" t="s">
        <v>14946</v>
      </c>
      <c r="C10680" s="4" t="s">
        <v>12481</v>
      </c>
      <c r="D10680" s="834">
        <v>49.82</v>
      </c>
    </row>
    <row r="10681" spans="1:4" x14ac:dyDescent="0.3">
      <c r="A10681" s="4">
        <v>4014</v>
      </c>
      <c r="B10681" s="833" t="s">
        <v>14947</v>
      </c>
      <c r="C10681" s="4" t="s">
        <v>12481</v>
      </c>
      <c r="D10681" s="834">
        <v>51.55</v>
      </c>
    </row>
    <row r="10682" spans="1:4" x14ac:dyDescent="0.3">
      <c r="A10682" s="4">
        <v>4015</v>
      </c>
      <c r="B10682" s="833" t="s">
        <v>14948</v>
      </c>
      <c r="C10682" s="4" t="s">
        <v>12481</v>
      </c>
      <c r="D10682" s="834">
        <v>63.3</v>
      </c>
    </row>
    <row r="10683" spans="1:4" x14ac:dyDescent="0.3">
      <c r="A10683" s="4">
        <v>4017</v>
      </c>
      <c r="B10683" s="833" t="s">
        <v>14949</v>
      </c>
      <c r="C10683" s="4" t="s">
        <v>12481</v>
      </c>
      <c r="D10683" s="834">
        <v>92.11</v>
      </c>
    </row>
    <row r="10684" spans="1:4" x14ac:dyDescent="0.3">
      <c r="A10684" s="4">
        <v>4016</v>
      </c>
      <c r="B10684" s="833" t="s">
        <v>14950</v>
      </c>
      <c r="C10684" s="4" t="s">
        <v>12481</v>
      </c>
      <c r="D10684" s="834">
        <v>36.380000000000003</v>
      </c>
    </row>
    <row r="10685" spans="1:4" x14ac:dyDescent="0.3">
      <c r="A10685" s="4">
        <v>38544</v>
      </c>
      <c r="B10685" s="833" t="s">
        <v>14951</v>
      </c>
      <c r="C10685" s="4" t="s">
        <v>12481</v>
      </c>
      <c r="D10685" s="834">
        <v>9.33</v>
      </c>
    </row>
    <row r="10686" spans="1:4" x14ac:dyDescent="0.3">
      <c r="A10686" s="4">
        <v>38545</v>
      </c>
      <c r="B10686" s="833" t="s">
        <v>14952</v>
      </c>
      <c r="C10686" s="4" t="s">
        <v>12481</v>
      </c>
      <c r="D10686" s="834">
        <v>6</v>
      </c>
    </row>
    <row r="10687" spans="1:4" x14ac:dyDescent="0.3">
      <c r="A10687" s="4">
        <v>42527</v>
      </c>
      <c r="B10687" s="833" t="s">
        <v>14953</v>
      </c>
      <c r="C10687" s="4" t="s">
        <v>12481</v>
      </c>
      <c r="D10687" s="834">
        <v>24.61</v>
      </c>
    </row>
    <row r="10688" spans="1:4" x14ac:dyDescent="0.3">
      <c r="A10688" s="4">
        <v>39323</v>
      </c>
      <c r="B10688" s="833" t="s">
        <v>14954</v>
      </c>
      <c r="C10688" s="4" t="s">
        <v>12481</v>
      </c>
      <c r="D10688" s="834">
        <v>22.88</v>
      </c>
    </row>
    <row r="10689" spans="1:4" x14ac:dyDescent="0.3">
      <c r="A10689" s="4">
        <v>626</v>
      </c>
      <c r="B10689" s="833" t="s">
        <v>14955</v>
      </c>
      <c r="C10689" s="4" t="s">
        <v>12126</v>
      </c>
      <c r="D10689" s="834">
        <v>18.489999999999998</v>
      </c>
    </row>
    <row r="10690" spans="1:4" x14ac:dyDescent="0.3">
      <c r="A10690" s="4">
        <v>44504</v>
      </c>
      <c r="B10690" s="833" t="s">
        <v>14956</v>
      </c>
      <c r="C10690" s="4" t="s">
        <v>12481</v>
      </c>
      <c r="D10690" s="834">
        <v>13.09</v>
      </c>
    </row>
    <row r="10691" spans="1:4" x14ac:dyDescent="0.3">
      <c r="A10691" s="4">
        <v>44505</v>
      </c>
      <c r="B10691" s="833" t="s">
        <v>14957</v>
      </c>
      <c r="C10691" s="4" t="s">
        <v>12481</v>
      </c>
      <c r="D10691" s="834">
        <v>19.75</v>
      </c>
    </row>
    <row r="10692" spans="1:4" x14ac:dyDescent="0.3">
      <c r="A10692" s="4">
        <v>44506</v>
      </c>
      <c r="B10692" s="833" t="s">
        <v>14958</v>
      </c>
      <c r="C10692" s="4" t="s">
        <v>12481</v>
      </c>
      <c r="D10692" s="834">
        <v>20.97</v>
      </c>
    </row>
    <row r="10693" spans="1:4" x14ac:dyDescent="0.3">
      <c r="A10693" s="4">
        <v>44507</v>
      </c>
      <c r="B10693" s="833" t="s">
        <v>14959</v>
      </c>
      <c r="C10693" s="4" t="s">
        <v>12481</v>
      </c>
      <c r="D10693" s="834">
        <v>26.21</v>
      </c>
    </row>
    <row r="10694" spans="1:4" x14ac:dyDescent="0.3">
      <c r="A10694" s="4">
        <v>44508</v>
      </c>
      <c r="B10694" s="833" t="s">
        <v>14960</v>
      </c>
      <c r="C10694" s="4" t="s">
        <v>12481</v>
      </c>
      <c r="D10694" s="834">
        <v>39.31</v>
      </c>
    </row>
    <row r="10695" spans="1:4" x14ac:dyDescent="0.3">
      <c r="A10695" s="4">
        <v>44509</v>
      </c>
      <c r="B10695" s="833" t="s">
        <v>14961</v>
      </c>
      <c r="C10695" s="4" t="s">
        <v>12481</v>
      </c>
      <c r="D10695" s="834">
        <v>52.66</v>
      </c>
    </row>
    <row r="10696" spans="1:4" x14ac:dyDescent="0.3">
      <c r="A10696" s="4">
        <v>44510</v>
      </c>
      <c r="B10696" s="833" t="s">
        <v>14962</v>
      </c>
      <c r="C10696" s="4" t="s">
        <v>12481</v>
      </c>
      <c r="D10696" s="834">
        <v>65.39</v>
      </c>
    </row>
    <row r="10697" spans="1:4" x14ac:dyDescent="0.3">
      <c r="A10697" s="4">
        <v>44512</v>
      </c>
      <c r="B10697" s="833" t="s">
        <v>14963</v>
      </c>
      <c r="C10697" s="4" t="s">
        <v>12481</v>
      </c>
      <c r="D10697" s="834">
        <v>14.59</v>
      </c>
    </row>
    <row r="10698" spans="1:4" x14ac:dyDescent="0.3">
      <c r="A10698" s="4">
        <v>44513</v>
      </c>
      <c r="B10698" s="833" t="s">
        <v>14964</v>
      </c>
      <c r="C10698" s="4" t="s">
        <v>12481</v>
      </c>
      <c r="D10698" s="834">
        <v>20.6</v>
      </c>
    </row>
    <row r="10699" spans="1:4" x14ac:dyDescent="0.3">
      <c r="A10699" s="4">
        <v>44514</v>
      </c>
      <c r="B10699" s="833" t="s">
        <v>14965</v>
      </c>
      <c r="C10699" s="4" t="s">
        <v>12481</v>
      </c>
      <c r="D10699" s="834">
        <v>23.35</v>
      </c>
    </row>
    <row r="10700" spans="1:4" x14ac:dyDescent="0.3">
      <c r="A10700" s="4">
        <v>44515</v>
      </c>
      <c r="B10700" s="833" t="s">
        <v>14966</v>
      </c>
      <c r="C10700" s="4" t="s">
        <v>12481</v>
      </c>
      <c r="D10700" s="834">
        <v>28.67</v>
      </c>
    </row>
    <row r="10701" spans="1:4" x14ac:dyDescent="0.3">
      <c r="A10701" s="4">
        <v>44511</v>
      </c>
      <c r="B10701" s="833" t="s">
        <v>14967</v>
      </c>
      <c r="C10701" s="4" t="s">
        <v>12481</v>
      </c>
      <c r="D10701" s="834">
        <v>42.44</v>
      </c>
    </row>
    <row r="10702" spans="1:4" x14ac:dyDescent="0.3">
      <c r="A10702" s="4">
        <v>44516</v>
      </c>
      <c r="B10702" s="833" t="s">
        <v>14968</v>
      </c>
      <c r="C10702" s="4" t="s">
        <v>12481</v>
      </c>
      <c r="D10702" s="834">
        <v>57.36</v>
      </c>
    </row>
    <row r="10703" spans="1:4" x14ac:dyDescent="0.3">
      <c r="A10703" s="4">
        <v>44517</v>
      </c>
      <c r="B10703" s="833" t="s">
        <v>14969</v>
      </c>
      <c r="C10703" s="4" t="s">
        <v>12481</v>
      </c>
      <c r="D10703" s="834">
        <v>71.540000000000006</v>
      </c>
    </row>
    <row r="10704" spans="1:4" x14ac:dyDescent="0.3">
      <c r="A10704" s="4">
        <v>11479</v>
      </c>
      <c r="B10704" s="833" t="s">
        <v>14970</v>
      </c>
      <c r="C10704" s="4" t="s">
        <v>12080</v>
      </c>
      <c r="D10704" s="834">
        <v>38.53</v>
      </c>
    </row>
    <row r="10705" spans="1:4" x14ac:dyDescent="0.3">
      <c r="A10705" s="4">
        <v>11481</v>
      </c>
      <c r="B10705" s="833" t="s">
        <v>14971</v>
      </c>
      <c r="C10705" s="4" t="s">
        <v>12080</v>
      </c>
      <c r="D10705" s="834">
        <v>34.85</v>
      </c>
    </row>
    <row r="10706" spans="1:4" x14ac:dyDescent="0.3">
      <c r="A10706" s="4">
        <v>43609</v>
      </c>
      <c r="B10706" s="833" t="s">
        <v>14972</v>
      </c>
      <c r="C10706" s="4" t="s">
        <v>12080</v>
      </c>
      <c r="D10706" s="834">
        <v>34.85</v>
      </c>
    </row>
    <row r="10707" spans="1:4" x14ac:dyDescent="0.3">
      <c r="A10707" s="4">
        <v>11478</v>
      </c>
      <c r="B10707" s="833" t="s">
        <v>14973</v>
      </c>
      <c r="C10707" s="4" t="s">
        <v>12080</v>
      </c>
      <c r="D10707" s="834">
        <v>66.11</v>
      </c>
    </row>
    <row r="10708" spans="1:4" x14ac:dyDescent="0.3">
      <c r="A10708" s="4">
        <v>43608</v>
      </c>
      <c r="B10708" s="833" t="s">
        <v>14974</v>
      </c>
      <c r="C10708" s="4" t="s">
        <v>12080</v>
      </c>
      <c r="D10708" s="834">
        <v>50.44</v>
      </c>
    </row>
    <row r="10709" spans="1:4" x14ac:dyDescent="0.3">
      <c r="A10709" s="4">
        <v>11476</v>
      </c>
      <c r="B10709" s="833" t="s">
        <v>14975</v>
      </c>
      <c r="C10709" s="4" t="s">
        <v>12080</v>
      </c>
      <c r="D10709" s="834">
        <v>50.44</v>
      </c>
    </row>
    <row r="10710" spans="1:4" x14ac:dyDescent="0.3">
      <c r="A10710" s="4">
        <v>40637</v>
      </c>
      <c r="B10710" s="833" t="s">
        <v>14976</v>
      </c>
      <c r="C10710" s="4" t="s">
        <v>12080</v>
      </c>
      <c r="D10710" s="834">
        <v>793072.01</v>
      </c>
    </row>
    <row r="10711" spans="1:4" x14ac:dyDescent="0.3">
      <c r="A10711" s="4">
        <v>13836</v>
      </c>
      <c r="B10711" s="833" t="s">
        <v>14977</v>
      </c>
      <c r="C10711" s="4" t="s">
        <v>12080</v>
      </c>
      <c r="D10711" s="834">
        <v>67210.86</v>
      </c>
    </row>
    <row r="10712" spans="1:4" x14ac:dyDescent="0.3">
      <c r="A10712" s="4">
        <v>14534</v>
      </c>
      <c r="B10712" s="833" t="s">
        <v>14978</v>
      </c>
      <c r="C10712" s="4" t="s">
        <v>12080</v>
      </c>
      <c r="D10712" s="834">
        <v>28136.25</v>
      </c>
    </row>
    <row r="10713" spans="1:4" x14ac:dyDescent="0.3">
      <c r="A10713" s="4">
        <v>14619</v>
      </c>
      <c r="B10713" s="833" t="s">
        <v>14979</v>
      </c>
      <c r="C10713" s="4" t="s">
        <v>12080</v>
      </c>
      <c r="D10713" s="834">
        <v>17621.45</v>
      </c>
    </row>
    <row r="10714" spans="1:4" x14ac:dyDescent="0.3">
      <c r="A10714" s="4">
        <v>14535</v>
      </c>
      <c r="B10714" s="833" t="s">
        <v>14980</v>
      </c>
      <c r="C10714" s="4" t="s">
        <v>12080</v>
      </c>
      <c r="D10714" s="834">
        <v>279254.93</v>
      </c>
    </row>
    <row r="10715" spans="1:4" x14ac:dyDescent="0.3">
      <c r="A10715" s="4">
        <v>39813</v>
      </c>
      <c r="B10715" s="833" t="s">
        <v>14981</v>
      </c>
      <c r="C10715" s="4" t="s">
        <v>12080</v>
      </c>
      <c r="D10715" s="834">
        <v>39429.910000000003</v>
      </c>
    </row>
    <row r="10716" spans="1:4" x14ac:dyDescent="0.3">
      <c r="A10716" s="4">
        <v>40403</v>
      </c>
      <c r="B10716" s="833" t="s">
        <v>14982</v>
      </c>
      <c r="C10716" s="4" t="s">
        <v>12080</v>
      </c>
      <c r="D10716" s="834">
        <v>412.49</v>
      </c>
    </row>
    <row r="10717" spans="1:4" x14ac:dyDescent="0.3">
      <c r="A10717" s="4">
        <v>12868</v>
      </c>
      <c r="B10717" s="833" t="s">
        <v>14983</v>
      </c>
      <c r="C10717" s="4" t="s">
        <v>12226</v>
      </c>
      <c r="D10717" s="834">
        <v>20.21</v>
      </c>
    </row>
    <row r="10718" spans="1:4" x14ac:dyDescent="0.3">
      <c r="A10718" s="4">
        <v>40916</v>
      </c>
      <c r="B10718" s="833" t="s">
        <v>14984</v>
      </c>
      <c r="C10718" s="4" t="s">
        <v>12228</v>
      </c>
      <c r="D10718" s="834">
        <v>3602.21</v>
      </c>
    </row>
    <row r="10719" spans="1:4" x14ac:dyDescent="0.3">
      <c r="A10719" s="4">
        <v>4755</v>
      </c>
      <c r="B10719" s="833" t="s">
        <v>14985</v>
      </c>
      <c r="C10719" s="4" t="s">
        <v>12226</v>
      </c>
      <c r="D10719" s="834">
        <v>21.83</v>
      </c>
    </row>
    <row r="10720" spans="1:4" x14ac:dyDescent="0.3">
      <c r="A10720" s="4">
        <v>41067</v>
      </c>
      <c r="B10720" s="833" t="s">
        <v>14986</v>
      </c>
      <c r="C10720" s="4" t="s">
        <v>12228</v>
      </c>
      <c r="D10720" s="834">
        <v>3886.77</v>
      </c>
    </row>
    <row r="10721" spans="1:4" x14ac:dyDescent="0.3">
      <c r="A10721" s="4">
        <v>38463</v>
      </c>
      <c r="B10721" s="833" t="s">
        <v>14987</v>
      </c>
      <c r="C10721" s="4" t="s">
        <v>12080</v>
      </c>
      <c r="D10721" s="834">
        <v>32.229999999999997</v>
      </c>
    </row>
    <row r="10722" spans="1:4" x14ac:dyDescent="0.3">
      <c r="A10722" s="4">
        <v>40703</v>
      </c>
      <c r="B10722" s="833" t="s">
        <v>14988</v>
      </c>
      <c r="C10722" s="4" t="s">
        <v>12080</v>
      </c>
      <c r="D10722" s="834">
        <v>12046.67</v>
      </c>
    </row>
    <row r="10723" spans="1:4" x14ac:dyDescent="0.3">
      <c r="A10723" s="4">
        <v>14531</v>
      </c>
      <c r="B10723" s="833" t="s">
        <v>14989</v>
      </c>
      <c r="C10723" s="4" t="s">
        <v>12080</v>
      </c>
      <c r="D10723" s="834">
        <v>22459.53</v>
      </c>
    </row>
    <row r="10724" spans="1:4" x14ac:dyDescent="0.3">
      <c r="A10724" s="4">
        <v>36533</v>
      </c>
      <c r="B10724" s="833" t="s">
        <v>14990</v>
      </c>
      <c r="C10724" s="4" t="s">
        <v>12080</v>
      </c>
      <c r="D10724" s="834">
        <v>25845.18</v>
      </c>
    </row>
    <row r="10725" spans="1:4" x14ac:dyDescent="0.3">
      <c r="A10725" s="4">
        <v>11616</v>
      </c>
      <c r="B10725" s="833" t="s">
        <v>14991</v>
      </c>
      <c r="C10725" s="4" t="s">
        <v>12080</v>
      </c>
      <c r="D10725" s="834">
        <v>24410.39</v>
      </c>
    </row>
    <row r="10726" spans="1:4" x14ac:dyDescent="0.3">
      <c r="A10726" s="4">
        <v>41898</v>
      </c>
      <c r="B10726" s="833" t="s">
        <v>14992</v>
      </c>
      <c r="C10726" s="4" t="s">
        <v>12080</v>
      </c>
      <c r="D10726" s="834">
        <v>27465.01</v>
      </c>
    </row>
    <row r="10727" spans="1:4" x14ac:dyDescent="0.3">
      <c r="A10727" s="4">
        <v>13447</v>
      </c>
      <c r="B10727" s="833" t="s">
        <v>14993</v>
      </c>
      <c r="C10727" s="4" t="s">
        <v>12080</v>
      </c>
      <c r="D10727" s="834">
        <v>50537.5</v>
      </c>
    </row>
    <row r="10728" spans="1:4" x14ac:dyDescent="0.3">
      <c r="A10728" s="4">
        <v>14529</v>
      </c>
      <c r="B10728" s="833" t="s">
        <v>14994</v>
      </c>
      <c r="C10728" s="4" t="s">
        <v>12080</v>
      </c>
      <c r="D10728" s="834">
        <v>28264.34</v>
      </c>
    </row>
    <row r="10729" spans="1:4" x14ac:dyDescent="0.3">
      <c r="A10729" s="4">
        <v>10747</v>
      </c>
      <c r="B10729" s="833" t="s">
        <v>14995</v>
      </c>
      <c r="C10729" s="4" t="s">
        <v>12080</v>
      </c>
      <c r="D10729" s="834">
        <v>27731.64</v>
      </c>
    </row>
    <row r="10730" spans="1:4" x14ac:dyDescent="0.3">
      <c r="A10730" s="4">
        <v>36141</v>
      </c>
      <c r="B10730" s="833" t="s">
        <v>14996</v>
      </c>
      <c r="C10730" s="4" t="s">
        <v>12080</v>
      </c>
      <c r="D10730" s="834">
        <v>37.229999999999997</v>
      </c>
    </row>
    <row r="10731" spans="1:4" x14ac:dyDescent="0.3">
      <c r="A10731" s="4">
        <v>43651</v>
      </c>
      <c r="B10731" s="833" t="s">
        <v>14997</v>
      </c>
      <c r="C10731" s="4" t="s">
        <v>12126</v>
      </c>
      <c r="D10731" s="834">
        <v>7.12</v>
      </c>
    </row>
    <row r="10732" spans="1:4" x14ac:dyDescent="0.3">
      <c r="A10732" s="4">
        <v>43626</v>
      </c>
      <c r="B10732" s="833" t="s">
        <v>14998</v>
      </c>
      <c r="C10732" s="4" t="s">
        <v>12126</v>
      </c>
      <c r="D10732" s="834">
        <v>3.96</v>
      </c>
    </row>
    <row r="10733" spans="1:4" x14ac:dyDescent="0.3">
      <c r="A10733" s="4">
        <v>39434</v>
      </c>
      <c r="B10733" s="833" t="s">
        <v>14999</v>
      </c>
      <c r="C10733" s="4" t="s">
        <v>12126</v>
      </c>
      <c r="D10733" s="834">
        <v>3.03</v>
      </c>
    </row>
    <row r="10734" spans="1:4" x14ac:dyDescent="0.3">
      <c r="A10734" s="4">
        <v>39433</v>
      </c>
      <c r="B10734" s="833" t="s">
        <v>15000</v>
      </c>
      <c r="C10734" s="4" t="s">
        <v>12126</v>
      </c>
      <c r="D10734" s="834">
        <v>2.4</v>
      </c>
    </row>
    <row r="10735" spans="1:4" x14ac:dyDescent="0.3">
      <c r="A10735" s="4">
        <v>4049</v>
      </c>
      <c r="B10735" s="833" t="s">
        <v>15001</v>
      </c>
      <c r="C10735" s="4" t="s">
        <v>12128</v>
      </c>
      <c r="D10735" s="834">
        <v>79.48</v>
      </c>
    </row>
    <row r="10736" spans="1:4" x14ac:dyDescent="0.3">
      <c r="A10736" s="4">
        <v>38120</v>
      </c>
      <c r="B10736" s="833" t="s">
        <v>15002</v>
      </c>
      <c r="C10736" s="4" t="s">
        <v>12126</v>
      </c>
      <c r="D10736" s="834">
        <v>131.58000000000001</v>
      </c>
    </row>
    <row r="10737" spans="1:4" x14ac:dyDescent="0.3">
      <c r="A10737" s="4">
        <v>43652</v>
      </c>
      <c r="B10737" s="833" t="s">
        <v>15003</v>
      </c>
      <c r="C10737" s="4" t="s">
        <v>12126</v>
      </c>
      <c r="D10737" s="834">
        <v>15.96</v>
      </c>
    </row>
    <row r="10738" spans="1:4" x14ac:dyDescent="0.3">
      <c r="A10738" s="4">
        <v>10498</v>
      </c>
      <c r="B10738" s="833" t="s">
        <v>15004</v>
      </c>
      <c r="C10738" s="4" t="s">
        <v>12126</v>
      </c>
      <c r="D10738" s="834">
        <v>9.39</v>
      </c>
    </row>
    <row r="10739" spans="1:4" x14ac:dyDescent="0.3">
      <c r="A10739" s="4">
        <v>4823</v>
      </c>
      <c r="B10739" s="833" t="s">
        <v>15005</v>
      </c>
      <c r="C10739" s="4" t="s">
        <v>12126</v>
      </c>
      <c r="D10739" s="834">
        <v>34.36</v>
      </c>
    </row>
    <row r="10740" spans="1:4" x14ac:dyDescent="0.3">
      <c r="A10740" s="4">
        <v>38877</v>
      </c>
      <c r="B10740" s="833" t="s">
        <v>15006</v>
      </c>
      <c r="C10740" s="4" t="s">
        <v>12126</v>
      </c>
      <c r="D10740" s="834">
        <v>7.58</v>
      </c>
    </row>
    <row r="10741" spans="1:4" x14ac:dyDescent="0.3">
      <c r="A10741" s="4">
        <v>34546</v>
      </c>
      <c r="B10741" s="833" t="s">
        <v>15007</v>
      </c>
      <c r="C10741" s="4" t="s">
        <v>12126</v>
      </c>
      <c r="D10741" s="834">
        <v>7.8</v>
      </c>
    </row>
    <row r="10742" spans="1:4" x14ac:dyDescent="0.3">
      <c r="A10742" s="4">
        <v>41387</v>
      </c>
      <c r="B10742" s="833" t="s">
        <v>15008</v>
      </c>
      <c r="C10742" s="4" t="s">
        <v>1803</v>
      </c>
      <c r="D10742" s="834">
        <v>42</v>
      </c>
    </row>
    <row r="10743" spans="1:4" x14ac:dyDescent="0.3">
      <c r="A10743" s="4">
        <v>41388</v>
      </c>
      <c r="B10743" s="833" t="s">
        <v>15009</v>
      </c>
      <c r="C10743" s="4" t="s">
        <v>1803</v>
      </c>
      <c r="D10743" s="834">
        <v>50.39</v>
      </c>
    </row>
    <row r="10744" spans="1:4" x14ac:dyDescent="0.3">
      <c r="A10744" s="4">
        <v>41380</v>
      </c>
      <c r="B10744" s="833" t="s">
        <v>15010</v>
      </c>
      <c r="C10744" s="4" t="s">
        <v>12080</v>
      </c>
      <c r="D10744" s="834">
        <v>335.31</v>
      </c>
    </row>
    <row r="10745" spans="1:4" x14ac:dyDescent="0.3">
      <c r="A10745" s="4">
        <v>41381</v>
      </c>
      <c r="B10745" s="833" t="s">
        <v>15011</v>
      </c>
      <c r="C10745" s="4" t="s">
        <v>12080</v>
      </c>
      <c r="D10745" s="834">
        <v>351.28</v>
      </c>
    </row>
    <row r="10746" spans="1:4" x14ac:dyDescent="0.3">
      <c r="A10746" s="4">
        <v>41382</v>
      </c>
      <c r="B10746" s="833" t="s">
        <v>15012</v>
      </c>
      <c r="C10746" s="4" t="s">
        <v>12080</v>
      </c>
      <c r="D10746" s="834">
        <v>340.02</v>
      </c>
    </row>
    <row r="10747" spans="1:4" x14ac:dyDescent="0.3">
      <c r="A10747" s="4">
        <v>41383</v>
      </c>
      <c r="B10747" s="833" t="s">
        <v>15013</v>
      </c>
      <c r="C10747" s="4" t="s">
        <v>12080</v>
      </c>
      <c r="D10747" s="834">
        <v>461.5</v>
      </c>
    </row>
    <row r="10748" spans="1:4" x14ac:dyDescent="0.3">
      <c r="A10748" s="4">
        <v>41385</v>
      </c>
      <c r="B10748" s="833" t="s">
        <v>15014</v>
      </c>
      <c r="C10748" s="4" t="s">
        <v>12080</v>
      </c>
      <c r="D10748" s="834">
        <v>574.28</v>
      </c>
    </row>
    <row r="10749" spans="1:4" x14ac:dyDescent="0.3">
      <c r="A10749" s="4">
        <v>4058</v>
      </c>
      <c r="B10749" s="833" t="s">
        <v>15015</v>
      </c>
      <c r="C10749" s="4" t="s">
        <v>12226</v>
      </c>
      <c r="D10749" s="834">
        <v>27.67</v>
      </c>
    </row>
    <row r="10750" spans="1:4" x14ac:dyDescent="0.3">
      <c r="A10750" s="4">
        <v>40974</v>
      </c>
      <c r="B10750" s="833" t="s">
        <v>15016</v>
      </c>
      <c r="C10750" s="4" t="s">
        <v>12228</v>
      </c>
      <c r="D10750" s="834">
        <v>4926.8900000000003</v>
      </c>
    </row>
    <row r="10751" spans="1:4" x14ac:dyDescent="0.3">
      <c r="A10751" s="4">
        <v>34794</v>
      </c>
      <c r="B10751" s="833" t="s">
        <v>15017</v>
      </c>
      <c r="C10751" s="4" t="s">
        <v>12226</v>
      </c>
      <c r="D10751" s="834">
        <v>23.32</v>
      </c>
    </row>
    <row r="10752" spans="1:4" x14ac:dyDescent="0.3">
      <c r="A10752" s="4">
        <v>40925</v>
      </c>
      <c r="B10752" s="833" t="s">
        <v>15018</v>
      </c>
      <c r="C10752" s="4" t="s">
        <v>12228</v>
      </c>
      <c r="D10752" s="834">
        <v>4155.59</v>
      </c>
    </row>
    <row r="10753" spans="1:4" x14ac:dyDescent="0.3">
      <c r="A10753" s="4">
        <v>13741</v>
      </c>
      <c r="B10753" s="833" t="s">
        <v>15019</v>
      </c>
      <c r="C10753" s="4" t="s">
        <v>12080</v>
      </c>
      <c r="D10753" s="834">
        <v>3091.11</v>
      </c>
    </row>
    <row r="10754" spans="1:4" x14ac:dyDescent="0.3">
      <c r="A10754" s="4">
        <v>3288</v>
      </c>
      <c r="B10754" s="833" t="s">
        <v>15020</v>
      </c>
      <c r="C10754" s="4" t="s">
        <v>1803</v>
      </c>
      <c r="D10754" s="834">
        <v>4.5</v>
      </c>
    </row>
    <row r="10755" spans="1:4" x14ac:dyDescent="0.3">
      <c r="A10755" s="4">
        <v>13587</v>
      </c>
      <c r="B10755" s="833" t="s">
        <v>15021</v>
      </c>
      <c r="C10755" s="4" t="s">
        <v>1803</v>
      </c>
      <c r="D10755" s="834">
        <v>2.71</v>
      </c>
    </row>
    <row r="10756" spans="1:4" x14ac:dyDescent="0.3">
      <c r="A10756" s="4">
        <v>38598</v>
      </c>
      <c r="B10756" s="833" t="s">
        <v>15022</v>
      </c>
      <c r="C10756" s="4" t="s">
        <v>12080</v>
      </c>
      <c r="D10756" s="834">
        <v>4.07</v>
      </c>
    </row>
    <row r="10757" spans="1:4" x14ac:dyDescent="0.3">
      <c r="A10757" s="4">
        <v>38595</v>
      </c>
      <c r="B10757" s="833" t="s">
        <v>15023</v>
      </c>
      <c r="C10757" s="4" t="s">
        <v>12080</v>
      </c>
      <c r="D10757" s="834">
        <v>3.45</v>
      </c>
    </row>
    <row r="10758" spans="1:4" x14ac:dyDescent="0.3">
      <c r="A10758" s="4">
        <v>38592</v>
      </c>
      <c r="B10758" s="833" t="s">
        <v>15024</v>
      </c>
      <c r="C10758" s="4" t="s">
        <v>12080</v>
      </c>
      <c r="D10758" s="834">
        <v>3.49</v>
      </c>
    </row>
    <row r="10759" spans="1:4" x14ac:dyDescent="0.3">
      <c r="A10759" s="4">
        <v>38588</v>
      </c>
      <c r="B10759" s="833" t="s">
        <v>15025</v>
      </c>
      <c r="C10759" s="4" t="s">
        <v>12080</v>
      </c>
      <c r="D10759" s="834">
        <v>2.79</v>
      </c>
    </row>
    <row r="10760" spans="1:4" x14ac:dyDescent="0.3">
      <c r="A10760" s="4">
        <v>38593</v>
      </c>
      <c r="B10760" s="833" t="s">
        <v>15026</v>
      </c>
      <c r="C10760" s="4" t="s">
        <v>12080</v>
      </c>
      <c r="D10760" s="834">
        <v>3.85</v>
      </c>
    </row>
    <row r="10761" spans="1:4" x14ac:dyDescent="0.3">
      <c r="A10761" s="4">
        <v>38589</v>
      </c>
      <c r="B10761" s="833" t="s">
        <v>15027</v>
      </c>
      <c r="C10761" s="4" t="s">
        <v>12080</v>
      </c>
      <c r="D10761" s="834">
        <v>2.93</v>
      </c>
    </row>
    <row r="10762" spans="1:4" x14ac:dyDescent="0.3">
      <c r="A10762" s="4">
        <v>38594</v>
      </c>
      <c r="B10762" s="833" t="s">
        <v>15028</v>
      </c>
      <c r="C10762" s="4" t="s">
        <v>12080</v>
      </c>
      <c r="D10762" s="834">
        <v>6.08</v>
      </c>
    </row>
    <row r="10763" spans="1:4" x14ac:dyDescent="0.3">
      <c r="A10763" s="4">
        <v>34773</v>
      </c>
      <c r="B10763" s="833" t="s">
        <v>15029</v>
      </c>
      <c r="C10763" s="4" t="s">
        <v>12080</v>
      </c>
      <c r="D10763" s="834">
        <v>2.88</v>
      </c>
    </row>
    <row r="10764" spans="1:4" x14ac:dyDescent="0.3">
      <c r="A10764" s="4">
        <v>34769</v>
      </c>
      <c r="B10764" s="833" t="s">
        <v>15030</v>
      </c>
      <c r="C10764" s="4" t="s">
        <v>12080</v>
      </c>
      <c r="D10764" s="834">
        <v>3.56</v>
      </c>
    </row>
    <row r="10765" spans="1:4" x14ac:dyDescent="0.3">
      <c r="A10765" s="4">
        <v>34763</v>
      </c>
      <c r="B10765" s="833" t="s">
        <v>15031</v>
      </c>
      <c r="C10765" s="4" t="s">
        <v>12080</v>
      </c>
      <c r="D10765" s="834">
        <v>2.19</v>
      </c>
    </row>
    <row r="10766" spans="1:4" x14ac:dyDescent="0.3">
      <c r="A10766" s="4">
        <v>34774</v>
      </c>
      <c r="B10766" s="833" t="s">
        <v>15032</v>
      </c>
      <c r="C10766" s="4" t="s">
        <v>12080</v>
      </c>
      <c r="D10766" s="834">
        <v>2.73</v>
      </c>
    </row>
    <row r="10767" spans="1:4" x14ac:dyDescent="0.3">
      <c r="A10767" s="4">
        <v>34771</v>
      </c>
      <c r="B10767" s="833" t="s">
        <v>15033</v>
      </c>
      <c r="C10767" s="4" t="s">
        <v>12080</v>
      </c>
      <c r="D10767" s="834">
        <v>3.29</v>
      </c>
    </row>
    <row r="10768" spans="1:4" x14ac:dyDescent="0.3">
      <c r="A10768" s="4">
        <v>34764</v>
      </c>
      <c r="B10768" s="833" t="s">
        <v>15034</v>
      </c>
      <c r="C10768" s="4" t="s">
        <v>12080</v>
      </c>
      <c r="D10768" s="834">
        <v>2.16</v>
      </c>
    </row>
    <row r="10769" spans="1:4" x14ac:dyDescent="0.3">
      <c r="A10769" s="4">
        <v>34788</v>
      </c>
      <c r="B10769" s="833" t="s">
        <v>15035</v>
      </c>
      <c r="C10769" s="4" t="s">
        <v>12080</v>
      </c>
      <c r="D10769" s="834">
        <v>1.37</v>
      </c>
    </row>
    <row r="10770" spans="1:4" x14ac:dyDescent="0.3">
      <c r="A10770" s="4">
        <v>34781</v>
      </c>
      <c r="B10770" s="833" t="s">
        <v>15036</v>
      </c>
      <c r="C10770" s="4" t="s">
        <v>12080</v>
      </c>
      <c r="D10770" s="834">
        <v>1.88</v>
      </c>
    </row>
    <row r="10771" spans="1:4" x14ac:dyDescent="0.3">
      <c r="A10771" s="4">
        <v>41682</v>
      </c>
      <c r="B10771" s="833" t="s">
        <v>15037</v>
      </c>
      <c r="C10771" s="4" t="s">
        <v>12080</v>
      </c>
      <c r="D10771" s="834">
        <v>33.57</v>
      </c>
    </row>
    <row r="10772" spans="1:4" x14ac:dyDescent="0.3">
      <c r="A10772" s="4">
        <v>41683</v>
      </c>
      <c r="B10772" s="833" t="s">
        <v>15038</v>
      </c>
      <c r="C10772" s="4" t="s">
        <v>12080</v>
      </c>
      <c r="D10772" s="834">
        <v>24.7</v>
      </c>
    </row>
    <row r="10773" spans="1:4" x14ac:dyDescent="0.3">
      <c r="A10773" s="4">
        <v>41680</v>
      </c>
      <c r="B10773" s="833" t="s">
        <v>15039</v>
      </c>
      <c r="C10773" s="4" t="s">
        <v>12080</v>
      </c>
      <c r="D10773" s="834">
        <v>13.3</v>
      </c>
    </row>
    <row r="10774" spans="1:4" x14ac:dyDescent="0.3">
      <c r="A10774" s="4">
        <v>41679</v>
      </c>
      <c r="B10774" s="833" t="s">
        <v>15040</v>
      </c>
      <c r="C10774" s="4" t="s">
        <v>12080</v>
      </c>
      <c r="D10774" s="834">
        <v>30.4</v>
      </c>
    </row>
    <row r="10775" spans="1:4" x14ac:dyDescent="0.3">
      <c r="A10775" s="4">
        <v>41681</v>
      </c>
      <c r="B10775" s="833" t="s">
        <v>15041</v>
      </c>
      <c r="C10775" s="4" t="s">
        <v>12080</v>
      </c>
      <c r="D10775" s="834">
        <v>20.8</v>
      </c>
    </row>
    <row r="10776" spans="1:4" x14ac:dyDescent="0.3">
      <c r="A10776" s="4">
        <v>43386</v>
      </c>
      <c r="B10776" s="833" t="s">
        <v>15042</v>
      </c>
      <c r="C10776" s="4" t="s">
        <v>12080</v>
      </c>
      <c r="D10776" s="834">
        <v>47.5</v>
      </c>
    </row>
    <row r="10777" spans="1:4" x14ac:dyDescent="0.3">
      <c r="A10777" s="4">
        <v>4059</v>
      </c>
      <c r="B10777" s="833" t="s">
        <v>15043</v>
      </c>
      <c r="C10777" s="4" t="s">
        <v>1803</v>
      </c>
      <c r="D10777" s="834">
        <v>33.57</v>
      </c>
    </row>
    <row r="10778" spans="1:4" x14ac:dyDescent="0.3">
      <c r="A10778" s="4">
        <v>4062</v>
      </c>
      <c r="B10778" s="833" t="s">
        <v>15044</v>
      </c>
      <c r="C10778" s="4" t="s">
        <v>12080</v>
      </c>
      <c r="D10778" s="834">
        <v>33.57</v>
      </c>
    </row>
    <row r="10779" spans="1:4" x14ac:dyDescent="0.3">
      <c r="A10779" s="4">
        <v>4061</v>
      </c>
      <c r="B10779" s="833" t="s">
        <v>15045</v>
      </c>
      <c r="C10779" s="4" t="s">
        <v>12080</v>
      </c>
      <c r="D10779" s="834">
        <v>41.8</v>
      </c>
    </row>
    <row r="10780" spans="1:4" x14ac:dyDescent="0.3">
      <c r="A10780" s="4">
        <v>41315</v>
      </c>
      <c r="B10780" s="833" t="s">
        <v>15046</v>
      </c>
      <c r="C10780" s="4" t="s">
        <v>12126</v>
      </c>
      <c r="D10780" s="834">
        <v>101.59</v>
      </c>
    </row>
    <row r="10781" spans="1:4" x14ac:dyDescent="0.3">
      <c r="A10781" s="4">
        <v>43148</v>
      </c>
      <c r="B10781" s="833" t="s">
        <v>15047</v>
      </c>
      <c r="C10781" s="4" t="s">
        <v>12126</v>
      </c>
      <c r="D10781" s="834">
        <v>68.95</v>
      </c>
    </row>
    <row r="10782" spans="1:4" x14ac:dyDescent="0.3">
      <c r="A10782" s="4">
        <v>43147</v>
      </c>
      <c r="B10782" s="833" t="s">
        <v>15048</v>
      </c>
      <c r="C10782" s="4" t="s">
        <v>12126</v>
      </c>
      <c r="D10782" s="834">
        <v>26.71</v>
      </c>
    </row>
    <row r="10783" spans="1:4" x14ac:dyDescent="0.3">
      <c r="A10783" s="4">
        <v>10608</v>
      </c>
      <c r="B10783" s="833" t="s">
        <v>15049</v>
      </c>
      <c r="C10783" s="4" t="s">
        <v>12080</v>
      </c>
      <c r="D10783" s="834">
        <v>9614.7999999999993</v>
      </c>
    </row>
    <row r="10784" spans="1:4" x14ac:dyDescent="0.3">
      <c r="A10784" s="4">
        <v>4069</v>
      </c>
      <c r="B10784" s="833" t="s">
        <v>15050</v>
      </c>
      <c r="C10784" s="4" t="s">
        <v>12226</v>
      </c>
      <c r="D10784" s="834">
        <v>47.11</v>
      </c>
    </row>
    <row r="10785" spans="1:4" x14ac:dyDescent="0.3">
      <c r="A10785" s="4">
        <v>40819</v>
      </c>
      <c r="B10785" s="833" t="s">
        <v>15051</v>
      </c>
      <c r="C10785" s="4" t="s">
        <v>12228</v>
      </c>
      <c r="D10785" s="834">
        <v>8388.77</v>
      </c>
    </row>
    <row r="10786" spans="1:4" x14ac:dyDescent="0.3">
      <c r="A10786" s="4">
        <v>34361</v>
      </c>
      <c r="B10786" s="833" t="s">
        <v>15052</v>
      </c>
      <c r="C10786" s="4" t="s">
        <v>12126</v>
      </c>
      <c r="D10786" s="834">
        <v>19.440000000000001</v>
      </c>
    </row>
    <row r="10787" spans="1:4" x14ac:dyDescent="0.3">
      <c r="A10787" s="4">
        <v>36512</v>
      </c>
      <c r="B10787" s="833" t="s">
        <v>15053</v>
      </c>
      <c r="C10787" s="4" t="s">
        <v>12080</v>
      </c>
      <c r="D10787" s="834">
        <v>21421.23</v>
      </c>
    </row>
    <row r="10788" spans="1:4" x14ac:dyDescent="0.3">
      <c r="A10788" s="4">
        <v>44478</v>
      </c>
      <c r="B10788" s="833" t="s">
        <v>15054</v>
      </c>
      <c r="C10788" s="4" t="s">
        <v>12126</v>
      </c>
      <c r="D10788" s="834">
        <v>12.29</v>
      </c>
    </row>
    <row r="10789" spans="1:4" x14ac:dyDescent="0.3">
      <c r="A10789" s="4">
        <v>44477</v>
      </c>
      <c r="B10789" s="833" t="s">
        <v>15055</v>
      </c>
      <c r="C10789" s="4" t="s">
        <v>12126</v>
      </c>
      <c r="D10789" s="834">
        <v>12.29</v>
      </c>
    </row>
    <row r="10790" spans="1:4" x14ac:dyDescent="0.3">
      <c r="A10790" s="4">
        <v>11697</v>
      </c>
      <c r="B10790" s="833" t="s">
        <v>15056</v>
      </c>
      <c r="C10790" s="4" t="s">
        <v>12080</v>
      </c>
      <c r="D10790" s="834">
        <v>710.07</v>
      </c>
    </row>
    <row r="10791" spans="1:4" x14ac:dyDescent="0.3">
      <c r="A10791" s="4">
        <v>11698</v>
      </c>
      <c r="B10791" s="833" t="s">
        <v>15057</v>
      </c>
      <c r="C10791" s="4" t="s">
        <v>12080</v>
      </c>
      <c r="D10791" s="834">
        <v>847.08</v>
      </c>
    </row>
    <row r="10792" spans="1:4" x14ac:dyDescent="0.3">
      <c r="A10792" s="4">
        <v>11699</v>
      </c>
      <c r="B10792" s="833" t="s">
        <v>15058</v>
      </c>
      <c r="C10792" s="4" t="s">
        <v>12080</v>
      </c>
      <c r="D10792" s="834">
        <v>936.21</v>
      </c>
    </row>
    <row r="10793" spans="1:4" x14ac:dyDescent="0.3">
      <c r="A10793" s="4">
        <v>10432</v>
      </c>
      <c r="B10793" s="833" t="s">
        <v>15059</v>
      </c>
      <c r="C10793" s="4" t="s">
        <v>12080</v>
      </c>
      <c r="D10793" s="834">
        <v>352.24</v>
      </c>
    </row>
    <row r="10794" spans="1:4" x14ac:dyDescent="0.3">
      <c r="A10794" s="4">
        <v>44020</v>
      </c>
      <c r="B10794" s="833" t="s">
        <v>15060</v>
      </c>
      <c r="C10794" s="4" t="s">
        <v>12080</v>
      </c>
      <c r="D10794" s="834">
        <v>869.01</v>
      </c>
    </row>
    <row r="10795" spans="1:4" x14ac:dyDescent="0.3">
      <c r="A10795" s="4">
        <v>41419</v>
      </c>
      <c r="B10795" s="833" t="s">
        <v>15061</v>
      </c>
      <c r="C10795" s="4" t="s">
        <v>12080</v>
      </c>
      <c r="D10795" s="834">
        <v>6.28</v>
      </c>
    </row>
    <row r="10796" spans="1:4" x14ac:dyDescent="0.3">
      <c r="A10796" s="4">
        <v>41420</v>
      </c>
      <c r="B10796" s="833" t="s">
        <v>15062</v>
      </c>
      <c r="C10796" s="4" t="s">
        <v>12080</v>
      </c>
      <c r="D10796" s="834">
        <v>8.5500000000000007</v>
      </c>
    </row>
    <row r="10797" spans="1:4" x14ac:dyDescent="0.3">
      <c r="A10797" s="4">
        <v>41421</v>
      </c>
      <c r="B10797" s="833" t="s">
        <v>15063</v>
      </c>
      <c r="C10797" s="4" t="s">
        <v>12080</v>
      </c>
      <c r="D10797" s="834">
        <v>8.5299999999999994</v>
      </c>
    </row>
    <row r="10798" spans="1:4" x14ac:dyDescent="0.3">
      <c r="A10798" s="4">
        <v>41422</v>
      </c>
      <c r="B10798" s="833" t="s">
        <v>15064</v>
      </c>
      <c r="C10798" s="4" t="s">
        <v>12080</v>
      </c>
      <c r="D10798" s="834">
        <v>11.67</v>
      </c>
    </row>
    <row r="10799" spans="1:4" x14ac:dyDescent="0.3">
      <c r="A10799" s="4">
        <v>41425</v>
      </c>
      <c r="B10799" s="833" t="s">
        <v>15065</v>
      </c>
      <c r="C10799" s="4" t="s">
        <v>12080</v>
      </c>
      <c r="D10799" s="834">
        <v>5.97</v>
      </c>
    </row>
    <row r="10800" spans="1:4" x14ac:dyDescent="0.3">
      <c r="A10800" s="4">
        <v>41426</v>
      </c>
      <c r="B10800" s="833" t="s">
        <v>15066</v>
      </c>
      <c r="C10800" s="4" t="s">
        <v>12080</v>
      </c>
      <c r="D10800" s="834">
        <v>10.77</v>
      </c>
    </row>
    <row r="10801" spans="1:4" x14ac:dyDescent="0.3">
      <c r="A10801" s="4">
        <v>41414</v>
      </c>
      <c r="B10801" s="833" t="s">
        <v>15067</v>
      </c>
      <c r="C10801" s="4" t="s">
        <v>12080</v>
      </c>
      <c r="D10801" s="834">
        <v>19.77</v>
      </c>
    </row>
    <row r="10802" spans="1:4" x14ac:dyDescent="0.3">
      <c r="A10802" s="4">
        <v>41415</v>
      </c>
      <c r="B10802" s="833" t="s">
        <v>15068</v>
      </c>
      <c r="C10802" s="4" t="s">
        <v>12080</v>
      </c>
      <c r="D10802" s="834">
        <v>23.02</v>
      </c>
    </row>
    <row r="10803" spans="1:4" x14ac:dyDescent="0.3">
      <c r="A10803" s="4">
        <v>37514</v>
      </c>
      <c r="B10803" s="833" t="s">
        <v>15069</v>
      </c>
      <c r="C10803" s="4" t="s">
        <v>12080</v>
      </c>
      <c r="D10803" s="834">
        <v>360000</v>
      </c>
    </row>
    <row r="10804" spans="1:4" x14ac:dyDescent="0.3">
      <c r="A10804" s="4">
        <v>37519</v>
      </c>
      <c r="B10804" s="833" t="s">
        <v>15070</v>
      </c>
      <c r="C10804" s="4" t="s">
        <v>12080</v>
      </c>
      <c r="D10804" s="834">
        <v>555585.62</v>
      </c>
    </row>
    <row r="10805" spans="1:4" x14ac:dyDescent="0.3">
      <c r="A10805" s="4">
        <v>37520</v>
      </c>
      <c r="B10805" s="833" t="s">
        <v>15071</v>
      </c>
      <c r="C10805" s="4" t="s">
        <v>12080</v>
      </c>
      <c r="D10805" s="834">
        <v>546477.66</v>
      </c>
    </row>
    <row r="10806" spans="1:4" x14ac:dyDescent="0.3">
      <c r="A10806" s="4">
        <v>37521</v>
      </c>
      <c r="B10806" s="833" t="s">
        <v>15072</v>
      </c>
      <c r="C10806" s="4" t="s">
        <v>12080</v>
      </c>
      <c r="D10806" s="834">
        <v>666702.75</v>
      </c>
    </row>
    <row r="10807" spans="1:4" x14ac:dyDescent="0.3">
      <c r="A10807" s="4">
        <v>37522</v>
      </c>
      <c r="B10807" s="833" t="s">
        <v>15073</v>
      </c>
      <c r="C10807" s="4" t="s">
        <v>12080</v>
      </c>
      <c r="D10807" s="834">
        <v>686761.02</v>
      </c>
    </row>
    <row r="10808" spans="1:4" x14ac:dyDescent="0.3">
      <c r="A10808" s="4">
        <v>37546</v>
      </c>
      <c r="B10808" s="833" t="s">
        <v>15074</v>
      </c>
      <c r="C10808" s="4" t="s">
        <v>12080</v>
      </c>
      <c r="D10808" s="834">
        <v>13031.04</v>
      </c>
    </row>
    <row r="10809" spans="1:4" x14ac:dyDescent="0.3">
      <c r="A10809" s="4">
        <v>37544</v>
      </c>
      <c r="B10809" s="833" t="s">
        <v>15075</v>
      </c>
      <c r="C10809" s="4" t="s">
        <v>12080</v>
      </c>
      <c r="D10809" s="834">
        <v>13782.52</v>
      </c>
    </row>
    <row r="10810" spans="1:4" x14ac:dyDescent="0.3">
      <c r="A10810" s="4">
        <v>37545</v>
      </c>
      <c r="B10810" s="833" t="s">
        <v>15076</v>
      </c>
      <c r="C10810" s="4" t="s">
        <v>12080</v>
      </c>
      <c r="D10810" s="834">
        <v>16399.349999999999</v>
      </c>
    </row>
    <row r="10811" spans="1:4" x14ac:dyDescent="0.3">
      <c r="A10811" s="4">
        <v>36793</v>
      </c>
      <c r="B10811" s="833" t="s">
        <v>15077</v>
      </c>
      <c r="C10811" s="4" t="s">
        <v>12080</v>
      </c>
      <c r="D10811" s="834">
        <v>859.47</v>
      </c>
    </row>
    <row r="10812" spans="1:4" x14ac:dyDescent="0.3">
      <c r="A10812" s="4">
        <v>11769</v>
      </c>
      <c r="B10812" s="833" t="s">
        <v>15078</v>
      </c>
      <c r="C10812" s="4" t="s">
        <v>12080</v>
      </c>
      <c r="D10812" s="834">
        <v>379.82</v>
      </c>
    </row>
    <row r="10813" spans="1:4" x14ac:dyDescent="0.3">
      <c r="A10813" s="4">
        <v>11771</v>
      </c>
      <c r="B10813" s="833" t="s">
        <v>15079</v>
      </c>
      <c r="C10813" s="4" t="s">
        <v>12080</v>
      </c>
      <c r="D10813" s="834">
        <v>465.23</v>
      </c>
    </row>
    <row r="10814" spans="1:4" x14ac:dyDescent="0.3">
      <c r="A10814" s="4">
        <v>39919</v>
      </c>
      <c r="B10814" s="833" t="s">
        <v>15080</v>
      </c>
      <c r="C10814" s="4" t="s">
        <v>12080</v>
      </c>
      <c r="D10814" s="834">
        <v>65227.59</v>
      </c>
    </row>
    <row r="10815" spans="1:4" x14ac:dyDescent="0.3">
      <c r="A10815" s="4">
        <v>38385</v>
      </c>
      <c r="B10815" s="833" t="s">
        <v>15081</v>
      </c>
      <c r="C10815" s="4" t="s">
        <v>12080</v>
      </c>
      <c r="D10815" s="834">
        <v>52.18</v>
      </c>
    </row>
    <row r="10816" spans="1:4" x14ac:dyDescent="0.3">
      <c r="A10816" s="4">
        <v>36800</v>
      </c>
      <c r="B10816" s="833" t="s">
        <v>15082</v>
      </c>
      <c r="C10816" s="4" t="s">
        <v>12080</v>
      </c>
      <c r="D10816" s="834">
        <v>228.22</v>
      </c>
    </row>
    <row r="10817" spans="1:4" x14ac:dyDescent="0.3">
      <c r="A10817" s="4">
        <v>37587</v>
      </c>
      <c r="B10817" s="833" t="s">
        <v>15083</v>
      </c>
      <c r="C10817" s="4" t="s">
        <v>12080</v>
      </c>
      <c r="D10817" s="834">
        <v>501.41</v>
      </c>
    </row>
    <row r="10818" spans="1:4" x14ac:dyDescent="0.3">
      <c r="A10818" s="4">
        <v>11561</v>
      </c>
      <c r="B10818" s="833" t="s">
        <v>15084</v>
      </c>
      <c r="C10818" s="4" t="s">
        <v>12080</v>
      </c>
      <c r="D10818" s="834">
        <v>231.59</v>
      </c>
    </row>
    <row r="10819" spans="1:4" x14ac:dyDescent="0.3">
      <c r="A10819" s="4">
        <v>43604</v>
      </c>
      <c r="B10819" s="833" t="s">
        <v>15085</v>
      </c>
      <c r="C10819" s="4" t="s">
        <v>12080</v>
      </c>
      <c r="D10819" s="834">
        <v>123.46</v>
      </c>
    </row>
    <row r="10820" spans="1:4" x14ac:dyDescent="0.3">
      <c r="A10820" s="4">
        <v>11560</v>
      </c>
      <c r="B10820" s="833" t="s">
        <v>15086</v>
      </c>
      <c r="C10820" s="4" t="s">
        <v>12080</v>
      </c>
      <c r="D10820" s="834">
        <v>178.75</v>
      </c>
    </row>
    <row r="10821" spans="1:4" x14ac:dyDescent="0.3">
      <c r="A10821" s="4">
        <v>11499</v>
      </c>
      <c r="B10821" s="833" t="s">
        <v>15087</v>
      </c>
      <c r="C10821" s="4" t="s">
        <v>12080</v>
      </c>
      <c r="D10821" s="834">
        <v>910.71</v>
      </c>
    </row>
    <row r="10822" spans="1:4" x14ac:dyDescent="0.3">
      <c r="A10822" s="4">
        <v>34761</v>
      </c>
      <c r="B10822" s="833" t="s">
        <v>15088</v>
      </c>
      <c r="C10822" s="4" t="s">
        <v>12226</v>
      </c>
      <c r="D10822" s="834">
        <v>18.47</v>
      </c>
    </row>
    <row r="10823" spans="1:4" x14ac:dyDescent="0.3">
      <c r="A10823" s="4">
        <v>40924</v>
      </c>
      <c r="B10823" s="833" t="s">
        <v>15089</v>
      </c>
      <c r="C10823" s="4" t="s">
        <v>12228</v>
      </c>
      <c r="D10823" s="834">
        <v>3291.71</v>
      </c>
    </row>
    <row r="10824" spans="1:4" x14ac:dyDescent="0.3">
      <c r="A10824" s="4">
        <v>40983</v>
      </c>
      <c r="B10824" s="833" t="s">
        <v>15090</v>
      </c>
      <c r="C10824" s="4" t="s">
        <v>12228</v>
      </c>
      <c r="D10824" s="834">
        <v>3133.07</v>
      </c>
    </row>
    <row r="10825" spans="1:4" x14ac:dyDescent="0.3">
      <c r="A10825" s="4">
        <v>44497</v>
      </c>
      <c r="B10825" s="833" t="s">
        <v>15091</v>
      </c>
      <c r="C10825" s="4" t="s">
        <v>12226</v>
      </c>
      <c r="D10825" s="834">
        <v>17.579999999999998</v>
      </c>
    </row>
    <row r="10826" spans="1:4" x14ac:dyDescent="0.3">
      <c r="A10826" s="4">
        <v>2437</v>
      </c>
      <c r="B10826" s="833" t="s">
        <v>15092</v>
      </c>
      <c r="C10826" s="4" t="s">
        <v>12226</v>
      </c>
      <c r="D10826" s="834">
        <v>18</v>
      </c>
    </row>
    <row r="10827" spans="1:4" x14ac:dyDescent="0.3">
      <c r="A10827" s="4">
        <v>40921</v>
      </c>
      <c r="B10827" s="833" t="s">
        <v>15093</v>
      </c>
      <c r="C10827" s="4" t="s">
        <v>12228</v>
      </c>
      <c r="D10827" s="834">
        <v>3206.12</v>
      </c>
    </row>
    <row r="10828" spans="1:4" x14ac:dyDescent="0.3">
      <c r="A10828" s="4">
        <v>14252</v>
      </c>
      <c r="B10828" s="833" t="s">
        <v>15094</v>
      </c>
      <c r="C10828" s="4" t="s">
        <v>12080</v>
      </c>
      <c r="D10828" s="834">
        <v>3750.7</v>
      </c>
    </row>
    <row r="10829" spans="1:4" x14ac:dyDescent="0.3">
      <c r="A10829" s="4">
        <v>730</v>
      </c>
      <c r="B10829" s="833" t="s">
        <v>15095</v>
      </c>
      <c r="C10829" s="4" t="s">
        <v>12080</v>
      </c>
      <c r="D10829" s="834">
        <v>10021.17</v>
      </c>
    </row>
    <row r="10830" spans="1:4" x14ac:dyDescent="0.3">
      <c r="A10830" s="4">
        <v>723</v>
      </c>
      <c r="B10830" s="833" t="s">
        <v>15096</v>
      </c>
      <c r="C10830" s="4" t="s">
        <v>12080</v>
      </c>
      <c r="D10830" s="834">
        <v>4980.87</v>
      </c>
    </row>
    <row r="10831" spans="1:4" x14ac:dyDescent="0.3">
      <c r="A10831" s="4">
        <v>36502</v>
      </c>
      <c r="B10831" s="833" t="s">
        <v>15097</v>
      </c>
      <c r="C10831" s="4" t="s">
        <v>12080</v>
      </c>
      <c r="D10831" s="834">
        <v>4681.43</v>
      </c>
    </row>
    <row r="10832" spans="1:4" x14ac:dyDescent="0.3">
      <c r="A10832" s="4">
        <v>36503</v>
      </c>
      <c r="B10832" s="833" t="s">
        <v>15098</v>
      </c>
      <c r="C10832" s="4" t="s">
        <v>12080</v>
      </c>
      <c r="D10832" s="834">
        <v>5772.75</v>
      </c>
    </row>
    <row r="10833" spans="1:4" x14ac:dyDescent="0.3">
      <c r="A10833" s="4">
        <v>4090</v>
      </c>
      <c r="B10833" s="833" t="s">
        <v>15099</v>
      </c>
      <c r="C10833" s="4" t="s">
        <v>12080</v>
      </c>
      <c r="D10833" s="834">
        <v>1170000</v>
      </c>
    </row>
    <row r="10834" spans="1:4" x14ac:dyDescent="0.3">
      <c r="A10834" s="4">
        <v>13227</v>
      </c>
      <c r="B10834" s="833" t="s">
        <v>15100</v>
      </c>
      <c r="C10834" s="4" t="s">
        <v>12080</v>
      </c>
      <c r="D10834" s="834">
        <v>1453870.89</v>
      </c>
    </row>
    <row r="10835" spans="1:4" x14ac:dyDescent="0.3">
      <c r="A10835" s="4">
        <v>10597</v>
      </c>
      <c r="B10835" s="833" t="s">
        <v>15101</v>
      </c>
      <c r="C10835" s="4" t="s">
        <v>12080</v>
      </c>
      <c r="D10835" s="834">
        <v>1530386.67</v>
      </c>
    </row>
    <row r="10836" spans="1:4" x14ac:dyDescent="0.3">
      <c r="A10836" s="4">
        <v>39628</v>
      </c>
      <c r="B10836" s="833" t="s">
        <v>15102</v>
      </c>
      <c r="C10836" s="4" t="s">
        <v>12080</v>
      </c>
      <c r="D10836" s="834">
        <v>4422.18</v>
      </c>
    </row>
    <row r="10837" spans="1:4" x14ac:dyDescent="0.3">
      <c r="A10837" s="4">
        <v>39404</v>
      </c>
      <c r="B10837" s="833" t="s">
        <v>15103</v>
      </c>
      <c r="C10837" s="4" t="s">
        <v>12080</v>
      </c>
      <c r="D10837" s="834">
        <v>2192.81</v>
      </c>
    </row>
    <row r="10838" spans="1:4" x14ac:dyDescent="0.3">
      <c r="A10838" s="4">
        <v>39402</v>
      </c>
      <c r="B10838" s="833" t="s">
        <v>15104</v>
      </c>
      <c r="C10838" s="4" t="s">
        <v>12080</v>
      </c>
      <c r="D10838" s="834">
        <v>1806.46</v>
      </c>
    </row>
    <row r="10839" spans="1:4" x14ac:dyDescent="0.3">
      <c r="A10839" s="4">
        <v>39403</v>
      </c>
      <c r="B10839" s="833" t="s">
        <v>15105</v>
      </c>
      <c r="C10839" s="4" t="s">
        <v>12080</v>
      </c>
      <c r="D10839" s="834">
        <v>1767.17</v>
      </c>
    </row>
    <row r="10840" spans="1:4" x14ac:dyDescent="0.3">
      <c r="A10840" s="4">
        <v>4093</v>
      </c>
      <c r="B10840" s="833" t="s">
        <v>15106</v>
      </c>
      <c r="C10840" s="4" t="s">
        <v>12226</v>
      </c>
      <c r="D10840" s="834">
        <v>21.83</v>
      </c>
    </row>
    <row r="10841" spans="1:4" x14ac:dyDescent="0.3">
      <c r="A10841" s="4">
        <v>10512</v>
      </c>
      <c r="B10841" s="833" t="s">
        <v>15107</v>
      </c>
      <c r="C10841" s="4" t="s">
        <v>12228</v>
      </c>
      <c r="D10841" s="834">
        <v>3886.77</v>
      </c>
    </row>
    <row r="10842" spans="1:4" x14ac:dyDescent="0.3">
      <c r="A10842" s="4">
        <v>4243</v>
      </c>
      <c r="B10842" s="833" t="s">
        <v>15108</v>
      </c>
      <c r="C10842" s="4" t="s">
        <v>12226</v>
      </c>
      <c r="D10842" s="834">
        <v>18</v>
      </c>
    </row>
    <row r="10843" spans="1:4" x14ac:dyDescent="0.3">
      <c r="A10843" s="4">
        <v>20020</v>
      </c>
      <c r="B10843" s="833" t="s">
        <v>15109</v>
      </c>
      <c r="C10843" s="4" t="s">
        <v>12226</v>
      </c>
      <c r="D10843" s="834">
        <v>22.67</v>
      </c>
    </row>
    <row r="10844" spans="1:4" x14ac:dyDescent="0.3">
      <c r="A10844" s="4">
        <v>41038</v>
      </c>
      <c r="B10844" s="833" t="s">
        <v>15110</v>
      </c>
      <c r="C10844" s="4" t="s">
        <v>12228</v>
      </c>
      <c r="D10844" s="834">
        <v>4039.14</v>
      </c>
    </row>
    <row r="10845" spans="1:4" x14ac:dyDescent="0.3">
      <c r="A10845" s="4">
        <v>4094</v>
      </c>
      <c r="B10845" s="833" t="s">
        <v>15111</v>
      </c>
      <c r="C10845" s="4" t="s">
        <v>12226</v>
      </c>
      <c r="D10845" s="834">
        <v>27.15</v>
      </c>
    </row>
    <row r="10846" spans="1:4" x14ac:dyDescent="0.3">
      <c r="A10846" s="4">
        <v>40988</v>
      </c>
      <c r="B10846" s="833" t="s">
        <v>15112</v>
      </c>
      <c r="C10846" s="4" t="s">
        <v>12228</v>
      </c>
      <c r="D10846" s="834">
        <v>4834.45</v>
      </c>
    </row>
    <row r="10847" spans="1:4" x14ac:dyDescent="0.3">
      <c r="A10847" s="4">
        <v>4095</v>
      </c>
      <c r="B10847" s="833" t="s">
        <v>15113</v>
      </c>
      <c r="C10847" s="4" t="s">
        <v>12226</v>
      </c>
      <c r="D10847" s="834">
        <v>19.54</v>
      </c>
    </row>
    <row r="10848" spans="1:4" x14ac:dyDescent="0.3">
      <c r="A10848" s="4">
        <v>40990</v>
      </c>
      <c r="B10848" s="833" t="s">
        <v>15114</v>
      </c>
      <c r="C10848" s="4" t="s">
        <v>12228</v>
      </c>
      <c r="D10848" s="834">
        <v>3480.9</v>
      </c>
    </row>
    <row r="10849" spans="1:4" x14ac:dyDescent="0.3">
      <c r="A10849" s="4">
        <v>4096</v>
      </c>
      <c r="B10849" s="833" t="s">
        <v>15115</v>
      </c>
      <c r="C10849" s="4" t="s">
        <v>12226</v>
      </c>
      <c r="D10849" s="834">
        <v>23.07</v>
      </c>
    </row>
    <row r="10850" spans="1:4" x14ac:dyDescent="0.3">
      <c r="A10850" s="4">
        <v>40992</v>
      </c>
      <c r="B10850" s="833" t="s">
        <v>15116</v>
      </c>
      <c r="C10850" s="4" t="s">
        <v>12228</v>
      </c>
      <c r="D10850" s="834">
        <v>4110.22</v>
      </c>
    </row>
    <row r="10851" spans="1:4" x14ac:dyDescent="0.3">
      <c r="A10851" s="4">
        <v>4114</v>
      </c>
      <c r="B10851" s="833" t="s">
        <v>15117</v>
      </c>
      <c r="C10851" s="4" t="s">
        <v>12080</v>
      </c>
      <c r="D10851" s="834">
        <v>76.95</v>
      </c>
    </row>
    <row r="10852" spans="1:4" x14ac:dyDescent="0.3">
      <c r="A10852" s="4">
        <v>36797</v>
      </c>
      <c r="B10852" s="833" t="s">
        <v>15118</v>
      </c>
      <c r="C10852" s="4" t="s">
        <v>12080</v>
      </c>
      <c r="D10852" s="834">
        <v>68.52</v>
      </c>
    </row>
    <row r="10853" spans="1:4" x14ac:dyDescent="0.3">
      <c r="A10853" s="4">
        <v>4107</v>
      </c>
      <c r="B10853" s="833" t="s">
        <v>15119</v>
      </c>
      <c r="C10853" s="4" t="s">
        <v>12080</v>
      </c>
      <c r="D10853" s="834">
        <v>64.599999999999994</v>
      </c>
    </row>
    <row r="10854" spans="1:4" x14ac:dyDescent="0.3">
      <c r="A10854" s="4">
        <v>4102</v>
      </c>
      <c r="B10854" s="833" t="s">
        <v>15120</v>
      </c>
      <c r="C10854" s="4" t="s">
        <v>12080</v>
      </c>
      <c r="D10854" s="834">
        <v>78.86</v>
      </c>
    </row>
    <row r="10855" spans="1:4" x14ac:dyDescent="0.3">
      <c r="A10855" s="4">
        <v>36799</v>
      </c>
      <c r="B10855" s="833" t="s">
        <v>15121</v>
      </c>
      <c r="C10855" s="4" t="s">
        <v>12080</v>
      </c>
      <c r="D10855" s="834">
        <v>66.5</v>
      </c>
    </row>
    <row r="10856" spans="1:4" x14ac:dyDescent="0.3">
      <c r="A10856" s="4">
        <v>2747</v>
      </c>
      <c r="B10856" s="833" t="s">
        <v>15122</v>
      </c>
      <c r="C10856" s="4" t="s">
        <v>1803</v>
      </c>
      <c r="D10856" s="834">
        <v>35.04</v>
      </c>
    </row>
    <row r="10857" spans="1:4" x14ac:dyDescent="0.3">
      <c r="A10857" s="4">
        <v>21138</v>
      </c>
      <c r="B10857" s="833" t="s">
        <v>15123</v>
      </c>
      <c r="C10857" s="4" t="s">
        <v>1803</v>
      </c>
      <c r="D10857" s="834">
        <v>11.11</v>
      </c>
    </row>
    <row r="10858" spans="1:4" x14ac:dyDescent="0.3">
      <c r="A10858" s="4">
        <v>10826</v>
      </c>
      <c r="B10858" s="833" t="s">
        <v>15124</v>
      </c>
      <c r="C10858" s="4" t="s">
        <v>12080</v>
      </c>
      <c r="D10858" s="834">
        <v>71.83</v>
      </c>
    </row>
    <row r="10859" spans="1:4" x14ac:dyDescent="0.3">
      <c r="A10859" s="4">
        <v>365</v>
      </c>
      <c r="B10859" s="833" t="s">
        <v>15125</v>
      </c>
      <c r="C10859" s="4" t="s">
        <v>12080</v>
      </c>
      <c r="D10859" s="834">
        <v>44.54</v>
      </c>
    </row>
    <row r="10860" spans="1:4" x14ac:dyDescent="0.3">
      <c r="A10860" s="4">
        <v>38639</v>
      </c>
      <c r="B10860" s="833" t="s">
        <v>15126</v>
      </c>
      <c r="C10860" s="4" t="s">
        <v>12080</v>
      </c>
      <c r="D10860" s="834">
        <v>172.41</v>
      </c>
    </row>
    <row r="10861" spans="1:4" x14ac:dyDescent="0.3">
      <c r="A10861" s="4">
        <v>38640</v>
      </c>
      <c r="B10861" s="833" t="s">
        <v>15127</v>
      </c>
      <c r="C10861" s="4" t="s">
        <v>12080</v>
      </c>
      <c r="D10861" s="834">
        <v>2.58</v>
      </c>
    </row>
    <row r="10862" spans="1:4" x14ac:dyDescent="0.3">
      <c r="A10862" s="4">
        <v>358</v>
      </c>
      <c r="B10862" s="833" t="s">
        <v>15128</v>
      </c>
      <c r="C10862" s="4" t="s">
        <v>12080</v>
      </c>
      <c r="D10862" s="834">
        <v>53.16</v>
      </c>
    </row>
    <row r="10863" spans="1:4" x14ac:dyDescent="0.3">
      <c r="A10863" s="4">
        <v>359</v>
      </c>
      <c r="B10863" s="833" t="s">
        <v>15129</v>
      </c>
      <c r="C10863" s="4" t="s">
        <v>12080</v>
      </c>
      <c r="D10863" s="834">
        <v>109.19</v>
      </c>
    </row>
    <row r="10864" spans="1:4" x14ac:dyDescent="0.3">
      <c r="A10864" s="4">
        <v>38641</v>
      </c>
      <c r="B10864" s="833" t="s">
        <v>15130</v>
      </c>
      <c r="C10864" s="4" t="s">
        <v>12080</v>
      </c>
      <c r="D10864" s="834">
        <v>107.75</v>
      </c>
    </row>
    <row r="10865" spans="1:4" x14ac:dyDescent="0.3">
      <c r="A10865" s="4">
        <v>360</v>
      </c>
      <c r="B10865" s="833" t="s">
        <v>15131</v>
      </c>
      <c r="C10865" s="4" t="s">
        <v>12080</v>
      </c>
      <c r="D10865" s="834">
        <v>2.5</v>
      </c>
    </row>
    <row r="10866" spans="1:4" x14ac:dyDescent="0.3">
      <c r="A10866" s="4">
        <v>42430</v>
      </c>
      <c r="B10866" s="833" t="s">
        <v>15132</v>
      </c>
      <c r="C10866" s="4" t="s">
        <v>12080</v>
      </c>
      <c r="D10866" s="834">
        <v>6434.22</v>
      </c>
    </row>
    <row r="10867" spans="1:4" x14ac:dyDescent="0.3">
      <c r="A10867" s="4">
        <v>4209</v>
      </c>
      <c r="B10867" s="833" t="s">
        <v>15133</v>
      </c>
      <c r="C10867" s="4" t="s">
        <v>12080</v>
      </c>
      <c r="D10867" s="834">
        <v>25.23</v>
      </c>
    </row>
    <row r="10868" spans="1:4" x14ac:dyDescent="0.3">
      <c r="A10868" s="4">
        <v>4180</v>
      </c>
      <c r="B10868" s="833" t="s">
        <v>15134</v>
      </c>
      <c r="C10868" s="4" t="s">
        <v>12080</v>
      </c>
      <c r="D10868" s="834">
        <v>18.989999999999998</v>
      </c>
    </row>
    <row r="10869" spans="1:4" x14ac:dyDescent="0.3">
      <c r="A10869" s="4">
        <v>4177</v>
      </c>
      <c r="B10869" s="833" t="s">
        <v>15135</v>
      </c>
      <c r="C10869" s="4" t="s">
        <v>12080</v>
      </c>
      <c r="D10869" s="834">
        <v>6.3</v>
      </c>
    </row>
    <row r="10870" spans="1:4" x14ac:dyDescent="0.3">
      <c r="A10870" s="4">
        <v>4179</v>
      </c>
      <c r="B10870" s="833" t="s">
        <v>15136</v>
      </c>
      <c r="C10870" s="4" t="s">
        <v>12080</v>
      </c>
      <c r="D10870" s="834">
        <v>12.9</v>
      </c>
    </row>
    <row r="10871" spans="1:4" x14ac:dyDescent="0.3">
      <c r="A10871" s="4">
        <v>4208</v>
      </c>
      <c r="B10871" s="833" t="s">
        <v>15137</v>
      </c>
      <c r="C10871" s="4" t="s">
        <v>12080</v>
      </c>
      <c r="D10871" s="834">
        <v>60.06</v>
      </c>
    </row>
    <row r="10872" spans="1:4" x14ac:dyDescent="0.3">
      <c r="A10872" s="4">
        <v>4181</v>
      </c>
      <c r="B10872" s="833" t="s">
        <v>15138</v>
      </c>
      <c r="C10872" s="4" t="s">
        <v>12080</v>
      </c>
      <c r="D10872" s="834">
        <v>39.24</v>
      </c>
    </row>
    <row r="10873" spans="1:4" x14ac:dyDescent="0.3">
      <c r="A10873" s="4">
        <v>4178</v>
      </c>
      <c r="B10873" s="833" t="s">
        <v>15139</v>
      </c>
      <c r="C10873" s="4" t="s">
        <v>12080</v>
      </c>
      <c r="D10873" s="834">
        <v>8.74</v>
      </c>
    </row>
    <row r="10874" spans="1:4" x14ac:dyDescent="0.3">
      <c r="A10874" s="4">
        <v>4182</v>
      </c>
      <c r="B10874" s="833" t="s">
        <v>15140</v>
      </c>
      <c r="C10874" s="4" t="s">
        <v>12080</v>
      </c>
      <c r="D10874" s="834">
        <v>97.7</v>
      </c>
    </row>
    <row r="10875" spans="1:4" x14ac:dyDescent="0.3">
      <c r="A10875" s="4">
        <v>4183</v>
      </c>
      <c r="B10875" s="833" t="s">
        <v>15141</v>
      </c>
      <c r="C10875" s="4" t="s">
        <v>12080</v>
      </c>
      <c r="D10875" s="834">
        <v>157.29</v>
      </c>
    </row>
    <row r="10876" spans="1:4" x14ac:dyDescent="0.3">
      <c r="A10876" s="4">
        <v>4184</v>
      </c>
      <c r="B10876" s="833" t="s">
        <v>15142</v>
      </c>
      <c r="C10876" s="4" t="s">
        <v>12080</v>
      </c>
      <c r="D10876" s="834">
        <v>347.21</v>
      </c>
    </row>
    <row r="10877" spans="1:4" x14ac:dyDescent="0.3">
      <c r="A10877" s="4">
        <v>4185</v>
      </c>
      <c r="B10877" s="833" t="s">
        <v>15143</v>
      </c>
      <c r="C10877" s="4" t="s">
        <v>12080</v>
      </c>
      <c r="D10877" s="834">
        <v>576.91</v>
      </c>
    </row>
    <row r="10878" spans="1:4" x14ac:dyDescent="0.3">
      <c r="A10878" s="4">
        <v>4205</v>
      </c>
      <c r="B10878" s="833" t="s">
        <v>15144</v>
      </c>
      <c r="C10878" s="4" t="s">
        <v>12080</v>
      </c>
      <c r="D10878" s="834">
        <v>33.32</v>
      </c>
    </row>
    <row r="10879" spans="1:4" x14ac:dyDescent="0.3">
      <c r="A10879" s="4">
        <v>4192</v>
      </c>
      <c r="B10879" s="833" t="s">
        <v>15145</v>
      </c>
      <c r="C10879" s="4" t="s">
        <v>12080</v>
      </c>
      <c r="D10879" s="834">
        <v>33.32</v>
      </c>
    </row>
    <row r="10880" spans="1:4" x14ac:dyDescent="0.3">
      <c r="A10880" s="4">
        <v>4191</v>
      </c>
      <c r="B10880" s="833" t="s">
        <v>15146</v>
      </c>
      <c r="C10880" s="4" t="s">
        <v>12080</v>
      </c>
      <c r="D10880" s="834">
        <v>33.32</v>
      </c>
    </row>
    <row r="10881" spans="1:4" x14ac:dyDescent="0.3">
      <c r="A10881" s="4">
        <v>4207</v>
      </c>
      <c r="B10881" s="833" t="s">
        <v>15147</v>
      </c>
      <c r="C10881" s="4" t="s">
        <v>12080</v>
      </c>
      <c r="D10881" s="834">
        <v>26.81</v>
      </c>
    </row>
    <row r="10882" spans="1:4" x14ac:dyDescent="0.3">
      <c r="A10882" s="4">
        <v>4206</v>
      </c>
      <c r="B10882" s="833" t="s">
        <v>15148</v>
      </c>
      <c r="C10882" s="4" t="s">
        <v>12080</v>
      </c>
      <c r="D10882" s="834">
        <v>26.03</v>
      </c>
    </row>
    <row r="10883" spans="1:4" x14ac:dyDescent="0.3">
      <c r="A10883" s="4">
        <v>4190</v>
      </c>
      <c r="B10883" s="833" t="s">
        <v>15149</v>
      </c>
      <c r="C10883" s="4" t="s">
        <v>12080</v>
      </c>
      <c r="D10883" s="834">
        <v>26.03</v>
      </c>
    </row>
    <row r="10884" spans="1:4" x14ac:dyDescent="0.3">
      <c r="A10884" s="4">
        <v>4186</v>
      </c>
      <c r="B10884" s="833" t="s">
        <v>15150</v>
      </c>
      <c r="C10884" s="4" t="s">
        <v>12080</v>
      </c>
      <c r="D10884" s="834">
        <v>7.69</v>
      </c>
    </row>
    <row r="10885" spans="1:4" x14ac:dyDescent="0.3">
      <c r="A10885" s="4">
        <v>4188</v>
      </c>
      <c r="B10885" s="833" t="s">
        <v>15151</v>
      </c>
      <c r="C10885" s="4" t="s">
        <v>12080</v>
      </c>
      <c r="D10885" s="834">
        <v>15.71</v>
      </c>
    </row>
    <row r="10886" spans="1:4" x14ac:dyDescent="0.3">
      <c r="A10886" s="4">
        <v>4189</v>
      </c>
      <c r="B10886" s="833" t="s">
        <v>15152</v>
      </c>
      <c r="C10886" s="4" t="s">
        <v>12080</v>
      </c>
      <c r="D10886" s="834">
        <v>15.71</v>
      </c>
    </row>
    <row r="10887" spans="1:4" x14ac:dyDescent="0.3">
      <c r="A10887" s="4">
        <v>4197</v>
      </c>
      <c r="B10887" s="833" t="s">
        <v>15153</v>
      </c>
      <c r="C10887" s="4" t="s">
        <v>12080</v>
      </c>
      <c r="D10887" s="834">
        <v>83.19</v>
      </c>
    </row>
    <row r="10888" spans="1:4" x14ac:dyDescent="0.3">
      <c r="A10888" s="4">
        <v>4194</v>
      </c>
      <c r="B10888" s="833" t="s">
        <v>15154</v>
      </c>
      <c r="C10888" s="4" t="s">
        <v>12080</v>
      </c>
      <c r="D10888" s="834">
        <v>50.27</v>
      </c>
    </row>
    <row r="10889" spans="1:4" x14ac:dyDescent="0.3">
      <c r="A10889" s="4">
        <v>4193</v>
      </c>
      <c r="B10889" s="833" t="s">
        <v>15155</v>
      </c>
      <c r="C10889" s="4" t="s">
        <v>12080</v>
      </c>
      <c r="D10889" s="834">
        <v>50.27</v>
      </c>
    </row>
    <row r="10890" spans="1:4" x14ac:dyDescent="0.3">
      <c r="A10890" s="4">
        <v>4204</v>
      </c>
      <c r="B10890" s="833" t="s">
        <v>15156</v>
      </c>
      <c r="C10890" s="4" t="s">
        <v>12080</v>
      </c>
      <c r="D10890" s="834">
        <v>50.27</v>
      </c>
    </row>
    <row r="10891" spans="1:4" x14ac:dyDescent="0.3">
      <c r="A10891" s="4">
        <v>4187</v>
      </c>
      <c r="B10891" s="833" t="s">
        <v>15157</v>
      </c>
      <c r="C10891" s="4" t="s">
        <v>12080</v>
      </c>
      <c r="D10891" s="834">
        <v>10.02</v>
      </c>
    </row>
    <row r="10892" spans="1:4" x14ac:dyDescent="0.3">
      <c r="A10892" s="4">
        <v>4202</v>
      </c>
      <c r="B10892" s="833" t="s">
        <v>15158</v>
      </c>
      <c r="C10892" s="4" t="s">
        <v>12080</v>
      </c>
      <c r="D10892" s="834">
        <v>151.93</v>
      </c>
    </row>
    <row r="10893" spans="1:4" x14ac:dyDescent="0.3">
      <c r="A10893" s="4">
        <v>4203</v>
      </c>
      <c r="B10893" s="833" t="s">
        <v>15159</v>
      </c>
      <c r="C10893" s="4" t="s">
        <v>12080</v>
      </c>
      <c r="D10893" s="834">
        <v>134.18</v>
      </c>
    </row>
    <row r="10894" spans="1:4" x14ac:dyDescent="0.3">
      <c r="A10894" s="4">
        <v>40368</v>
      </c>
      <c r="B10894" s="833" t="s">
        <v>15160</v>
      </c>
      <c r="C10894" s="4" t="s">
        <v>12080</v>
      </c>
      <c r="D10894" s="834">
        <v>56.02</v>
      </c>
    </row>
    <row r="10895" spans="1:4" x14ac:dyDescent="0.3">
      <c r="A10895" s="4">
        <v>40365</v>
      </c>
      <c r="B10895" s="833" t="s">
        <v>15161</v>
      </c>
      <c r="C10895" s="4" t="s">
        <v>12080</v>
      </c>
      <c r="D10895" s="834">
        <v>37.79</v>
      </c>
    </row>
    <row r="10896" spans="1:4" x14ac:dyDescent="0.3">
      <c r="A10896" s="4">
        <v>40356</v>
      </c>
      <c r="B10896" s="833" t="s">
        <v>15162</v>
      </c>
      <c r="C10896" s="4" t="s">
        <v>12080</v>
      </c>
      <c r="D10896" s="834">
        <v>12.91</v>
      </c>
    </row>
    <row r="10897" spans="1:4" x14ac:dyDescent="0.3">
      <c r="A10897" s="4">
        <v>40362</v>
      </c>
      <c r="B10897" s="833" t="s">
        <v>15163</v>
      </c>
      <c r="C10897" s="4" t="s">
        <v>12080</v>
      </c>
      <c r="D10897" s="834">
        <v>25.03</v>
      </c>
    </row>
    <row r="10898" spans="1:4" x14ac:dyDescent="0.3">
      <c r="A10898" s="4">
        <v>40374</v>
      </c>
      <c r="B10898" s="833" t="s">
        <v>15164</v>
      </c>
      <c r="C10898" s="4" t="s">
        <v>12080</v>
      </c>
      <c r="D10898" s="834">
        <v>146.41</v>
      </c>
    </row>
    <row r="10899" spans="1:4" x14ac:dyDescent="0.3">
      <c r="A10899" s="4">
        <v>40371</v>
      </c>
      <c r="B10899" s="833" t="s">
        <v>15165</v>
      </c>
      <c r="C10899" s="4" t="s">
        <v>12080</v>
      </c>
      <c r="D10899" s="834">
        <v>92.16</v>
      </c>
    </row>
    <row r="10900" spans="1:4" x14ac:dyDescent="0.3">
      <c r="A10900" s="4">
        <v>40359</v>
      </c>
      <c r="B10900" s="833" t="s">
        <v>15166</v>
      </c>
      <c r="C10900" s="4" t="s">
        <v>12080</v>
      </c>
      <c r="D10900" s="834">
        <v>16.68</v>
      </c>
    </row>
    <row r="10901" spans="1:4" x14ac:dyDescent="0.3">
      <c r="A10901" s="4">
        <v>7595</v>
      </c>
      <c r="B10901" s="833" t="s">
        <v>15167</v>
      </c>
      <c r="C10901" s="4" t="s">
        <v>12226</v>
      </c>
      <c r="D10901" s="834">
        <v>15.27</v>
      </c>
    </row>
    <row r="10902" spans="1:4" x14ac:dyDescent="0.3">
      <c r="A10902" s="4">
        <v>41094</v>
      </c>
      <c r="B10902" s="833" t="s">
        <v>15168</v>
      </c>
      <c r="C10902" s="4" t="s">
        <v>12228</v>
      </c>
      <c r="D10902" s="834">
        <v>2722.88</v>
      </c>
    </row>
    <row r="10903" spans="1:4" x14ac:dyDescent="0.3">
      <c r="A10903" s="4">
        <v>39609</v>
      </c>
      <c r="B10903" s="833" t="s">
        <v>15169</v>
      </c>
      <c r="C10903" s="4" t="s">
        <v>12080</v>
      </c>
      <c r="D10903" s="834">
        <v>99165.85</v>
      </c>
    </row>
    <row r="10904" spans="1:4" x14ac:dyDescent="0.3">
      <c r="A10904" s="4">
        <v>39610</v>
      </c>
      <c r="B10904" s="833" t="s">
        <v>15170</v>
      </c>
      <c r="C10904" s="4" t="s">
        <v>12080</v>
      </c>
      <c r="D10904" s="834">
        <v>144751.20000000001</v>
      </c>
    </row>
    <row r="10905" spans="1:4" x14ac:dyDescent="0.3">
      <c r="A10905" s="4">
        <v>39611</v>
      </c>
      <c r="B10905" s="833" t="s">
        <v>15171</v>
      </c>
      <c r="C10905" s="4" t="s">
        <v>12080</v>
      </c>
      <c r="D10905" s="834">
        <v>175172.64</v>
      </c>
    </row>
    <row r="10906" spans="1:4" x14ac:dyDescent="0.3">
      <c r="A10906" s="4">
        <v>39612</v>
      </c>
      <c r="B10906" s="833" t="s">
        <v>15172</v>
      </c>
      <c r="C10906" s="4" t="s">
        <v>12080</v>
      </c>
      <c r="D10906" s="834">
        <v>274411.89</v>
      </c>
    </row>
    <row r="10907" spans="1:4" x14ac:dyDescent="0.3">
      <c r="A10907" s="4">
        <v>39608</v>
      </c>
      <c r="B10907" s="833" t="s">
        <v>15173</v>
      </c>
      <c r="C10907" s="4" t="s">
        <v>12080</v>
      </c>
      <c r="D10907" s="834">
        <v>79291.97</v>
      </c>
    </row>
    <row r="10908" spans="1:4" x14ac:dyDescent="0.3">
      <c r="A10908" s="4">
        <v>38175</v>
      </c>
      <c r="B10908" s="833" t="s">
        <v>15174</v>
      </c>
      <c r="C10908" s="4" t="s">
        <v>12080</v>
      </c>
      <c r="D10908" s="834">
        <v>4.6399999999999997</v>
      </c>
    </row>
    <row r="10909" spans="1:4" x14ac:dyDescent="0.3">
      <c r="A10909" s="4">
        <v>38176</v>
      </c>
      <c r="B10909" s="833" t="s">
        <v>15175</v>
      </c>
      <c r="C10909" s="4" t="s">
        <v>12080</v>
      </c>
      <c r="D10909" s="834">
        <v>13.66</v>
      </c>
    </row>
    <row r="10910" spans="1:4" x14ac:dyDescent="0.3">
      <c r="A10910" s="4">
        <v>36152</v>
      </c>
      <c r="B10910" s="833" t="s">
        <v>15176</v>
      </c>
      <c r="C10910" s="4" t="s">
        <v>12080</v>
      </c>
      <c r="D10910" s="834">
        <v>5.37</v>
      </c>
    </row>
    <row r="10911" spans="1:4" x14ac:dyDescent="0.3">
      <c r="A10911" s="4">
        <v>4221</v>
      </c>
      <c r="B10911" s="833" t="s">
        <v>15177</v>
      </c>
      <c r="C10911" s="4" t="s">
        <v>12128</v>
      </c>
      <c r="D10911" s="834">
        <v>5.94</v>
      </c>
    </row>
    <row r="10912" spans="1:4" x14ac:dyDescent="0.3">
      <c r="A10912" s="4">
        <v>4227</v>
      </c>
      <c r="B10912" s="833" t="s">
        <v>15178</v>
      </c>
      <c r="C10912" s="4" t="s">
        <v>12128</v>
      </c>
      <c r="D10912" s="834">
        <v>27.7</v>
      </c>
    </row>
    <row r="10913" spans="1:4" x14ac:dyDescent="0.3">
      <c r="A10913" s="4">
        <v>38170</v>
      </c>
      <c r="B10913" s="833" t="s">
        <v>15179</v>
      </c>
      <c r="C10913" s="4" t="s">
        <v>12080</v>
      </c>
      <c r="D10913" s="834">
        <v>20.3</v>
      </c>
    </row>
    <row r="10914" spans="1:4" x14ac:dyDescent="0.3">
      <c r="A10914" s="4">
        <v>4252</v>
      </c>
      <c r="B10914" s="833" t="s">
        <v>15180</v>
      </c>
      <c r="C10914" s="4" t="s">
        <v>12226</v>
      </c>
      <c r="D10914" s="834">
        <v>19.5</v>
      </c>
    </row>
    <row r="10915" spans="1:4" x14ac:dyDescent="0.3">
      <c r="A10915" s="4">
        <v>40980</v>
      </c>
      <c r="B10915" s="833" t="s">
        <v>15181</v>
      </c>
      <c r="C10915" s="4" t="s">
        <v>12228</v>
      </c>
      <c r="D10915" s="834">
        <v>3473.01</v>
      </c>
    </row>
    <row r="10916" spans="1:4" x14ac:dyDescent="0.3">
      <c r="A10916" s="4">
        <v>41031</v>
      </c>
      <c r="B10916" s="833" t="s">
        <v>15182</v>
      </c>
      <c r="C10916" s="4" t="s">
        <v>12228</v>
      </c>
      <c r="D10916" s="834">
        <v>3208.46</v>
      </c>
    </row>
    <row r="10917" spans="1:4" x14ac:dyDescent="0.3">
      <c r="A10917" s="4">
        <v>37666</v>
      </c>
      <c r="B10917" s="833" t="s">
        <v>15183</v>
      </c>
      <c r="C10917" s="4" t="s">
        <v>12226</v>
      </c>
      <c r="D10917" s="834">
        <v>18</v>
      </c>
    </row>
    <row r="10918" spans="1:4" x14ac:dyDescent="0.3">
      <c r="A10918" s="4">
        <v>40986</v>
      </c>
      <c r="B10918" s="833" t="s">
        <v>15184</v>
      </c>
      <c r="C10918" s="4" t="s">
        <v>12228</v>
      </c>
      <c r="D10918" s="834">
        <v>3206.12</v>
      </c>
    </row>
    <row r="10919" spans="1:4" x14ac:dyDescent="0.3">
      <c r="A10919" s="4">
        <v>4250</v>
      </c>
      <c r="B10919" s="833" t="s">
        <v>15185</v>
      </c>
      <c r="C10919" s="4" t="s">
        <v>12226</v>
      </c>
      <c r="D10919" s="834">
        <v>14.98</v>
      </c>
    </row>
    <row r="10920" spans="1:4" x14ac:dyDescent="0.3">
      <c r="A10920" s="4">
        <v>40978</v>
      </c>
      <c r="B10920" s="833" t="s">
        <v>15186</v>
      </c>
      <c r="C10920" s="4" t="s">
        <v>12228</v>
      </c>
      <c r="D10920" s="834">
        <v>2667.74</v>
      </c>
    </row>
    <row r="10921" spans="1:4" x14ac:dyDescent="0.3">
      <c r="A10921" s="4">
        <v>44501</v>
      </c>
      <c r="B10921" s="833" t="s">
        <v>15187</v>
      </c>
      <c r="C10921" s="4" t="s">
        <v>12226</v>
      </c>
      <c r="D10921" s="834">
        <v>18</v>
      </c>
    </row>
    <row r="10922" spans="1:4" x14ac:dyDescent="0.3">
      <c r="A10922" s="4">
        <v>41043</v>
      </c>
      <c r="B10922" s="833" t="s">
        <v>15188</v>
      </c>
      <c r="C10922" s="4" t="s">
        <v>12228</v>
      </c>
      <c r="D10922" s="834">
        <v>3208.46</v>
      </c>
    </row>
    <row r="10923" spans="1:4" x14ac:dyDescent="0.3">
      <c r="A10923" s="4">
        <v>4234</v>
      </c>
      <c r="B10923" s="833" t="s">
        <v>15189</v>
      </c>
      <c r="C10923" s="4" t="s">
        <v>12226</v>
      </c>
      <c r="D10923" s="834">
        <v>21.83</v>
      </c>
    </row>
    <row r="10924" spans="1:4" x14ac:dyDescent="0.3">
      <c r="A10924" s="4">
        <v>40987</v>
      </c>
      <c r="B10924" s="833" t="s">
        <v>15190</v>
      </c>
      <c r="C10924" s="4" t="s">
        <v>12228</v>
      </c>
      <c r="D10924" s="834">
        <v>3886.77</v>
      </c>
    </row>
    <row r="10925" spans="1:4" x14ac:dyDescent="0.3">
      <c r="A10925" s="4">
        <v>4253</v>
      </c>
      <c r="B10925" s="833" t="s">
        <v>15191</v>
      </c>
      <c r="C10925" s="4" t="s">
        <v>12226</v>
      </c>
      <c r="D10925" s="834">
        <v>18</v>
      </c>
    </row>
    <row r="10926" spans="1:4" x14ac:dyDescent="0.3">
      <c r="A10926" s="4">
        <v>40981</v>
      </c>
      <c r="B10926" s="833" t="s">
        <v>15192</v>
      </c>
      <c r="C10926" s="4" t="s">
        <v>12228</v>
      </c>
      <c r="D10926" s="834">
        <v>3206.12</v>
      </c>
    </row>
    <row r="10927" spans="1:4" x14ac:dyDescent="0.3">
      <c r="A10927" s="4">
        <v>4254</v>
      </c>
      <c r="B10927" s="833" t="s">
        <v>15193</v>
      </c>
      <c r="C10927" s="4" t="s">
        <v>12226</v>
      </c>
      <c r="D10927" s="834">
        <v>18</v>
      </c>
    </row>
    <row r="10928" spans="1:4" x14ac:dyDescent="0.3">
      <c r="A10928" s="4">
        <v>41036</v>
      </c>
      <c r="B10928" s="833" t="s">
        <v>15194</v>
      </c>
      <c r="C10928" s="4" t="s">
        <v>12228</v>
      </c>
      <c r="D10928" s="834">
        <v>3206.12</v>
      </c>
    </row>
    <row r="10929" spans="1:4" x14ac:dyDescent="0.3">
      <c r="A10929" s="4">
        <v>4251</v>
      </c>
      <c r="B10929" s="833" t="s">
        <v>15195</v>
      </c>
      <c r="C10929" s="4" t="s">
        <v>12226</v>
      </c>
      <c r="D10929" s="834">
        <v>15.9</v>
      </c>
    </row>
    <row r="10930" spans="1:4" x14ac:dyDescent="0.3">
      <c r="A10930" s="4">
        <v>40979</v>
      </c>
      <c r="B10930" s="833" t="s">
        <v>15196</v>
      </c>
      <c r="C10930" s="4" t="s">
        <v>12228</v>
      </c>
      <c r="D10930" s="834">
        <v>2835.21</v>
      </c>
    </row>
    <row r="10931" spans="1:4" x14ac:dyDescent="0.3">
      <c r="A10931" s="4">
        <v>4230</v>
      </c>
      <c r="B10931" s="833" t="s">
        <v>15197</v>
      </c>
      <c r="C10931" s="4" t="s">
        <v>12226</v>
      </c>
      <c r="D10931" s="834">
        <v>18</v>
      </c>
    </row>
    <row r="10932" spans="1:4" x14ac:dyDescent="0.3">
      <c r="A10932" s="4">
        <v>40998</v>
      </c>
      <c r="B10932" s="833" t="s">
        <v>15198</v>
      </c>
      <c r="C10932" s="4" t="s">
        <v>12228</v>
      </c>
      <c r="D10932" s="834">
        <v>3206.12</v>
      </c>
    </row>
    <row r="10933" spans="1:4" x14ac:dyDescent="0.3">
      <c r="A10933" s="4">
        <v>4257</v>
      </c>
      <c r="B10933" s="833" t="s">
        <v>15199</v>
      </c>
      <c r="C10933" s="4" t="s">
        <v>12226</v>
      </c>
      <c r="D10933" s="834">
        <v>18</v>
      </c>
    </row>
    <row r="10934" spans="1:4" x14ac:dyDescent="0.3">
      <c r="A10934" s="4">
        <v>40982</v>
      </c>
      <c r="B10934" s="833" t="s">
        <v>15200</v>
      </c>
      <c r="C10934" s="4" t="s">
        <v>12228</v>
      </c>
      <c r="D10934" s="834">
        <v>3206.12</v>
      </c>
    </row>
    <row r="10935" spans="1:4" x14ac:dyDescent="0.3">
      <c r="A10935" s="4">
        <v>4240</v>
      </c>
      <c r="B10935" s="833" t="s">
        <v>15201</v>
      </c>
      <c r="C10935" s="4" t="s">
        <v>12226</v>
      </c>
      <c r="D10935" s="834">
        <v>32.06</v>
      </c>
    </row>
    <row r="10936" spans="1:4" x14ac:dyDescent="0.3">
      <c r="A10936" s="4">
        <v>41026</v>
      </c>
      <c r="B10936" s="833" t="s">
        <v>15202</v>
      </c>
      <c r="C10936" s="4" t="s">
        <v>12228</v>
      </c>
      <c r="D10936" s="834">
        <v>5712.22</v>
      </c>
    </row>
    <row r="10937" spans="1:4" x14ac:dyDescent="0.3">
      <c r="A10937" s="4">
        <v>4239</v>
      </c>
      <c r="B10937" s="833" t="s">
        <v>15203</v>
      </c>
      <c r="C10937" s="4" t="s">
        <v>12226</v>
      </c>
      <c r="D10937" s="834">
        <v>32.06</v>
      </c>
    </row>
    <row r="10938" spans="1:4" x14ac:dyDescent="0.3">
      <c r="A10938" s="4">
        <v>41024</v>
      </c>
      <c r="B10938" s="833" t="s">
        <v>15204</v>
      </c>
      <c r="C10938" s="4" t="s">
        <v>12228</v>
      </c>
      <c r="D10938" s="834">
        <v>5712.22</v>
      </c>
    </row>
    <row r="10939" spans="1:4" x14ac:dyDescent="0.3">
      <c r="A10939" s="4">
        <v>4248</v>
      </c>
      <c r="B10939" s="833" t="s">
        <v>15205</v>
      </c>
      <c r="C10939" s="4" t="s">
        <v>12226</v>
      </c>
      <c r="D10939" s="834">
        <v>18</v>
      </c>
    </row>
    <row r="10940" spans="1:4" x14ac:dyDescent="0.3">
      <c r="A10940" s="4">
        <v>41033</v>
      </c>
      <c r="B10940" s="833" t="s">
        <v>15206</v>
      </c>
      <c r="C10940" s="4" t="s">
        <v>12228</v>
      </c>
      <c r="D10940" s="834">
        <v>3208.46</v>
      </c>
    </row>
    <row r="10941" spans="1:4" x14ac:dyDescent="0.3">
      <c r="A10941" s="4">
        <v>44500</v>
      </c>
      <c r="B10941" s="833" t="s">
        <v>15207</v>
      </c>
      <c r="C10941" s="4" t="s">
        <v>12226</v>
      </c>
      <c r="D10941" s="834">
        <v>18</v>
      </c>
    </row>
    <row r="10942" spans="1:4" x14ac:dyDescent="0.3">
      <c r="A10942" s="4">
        <v>41040</v>
      </c>
      <c r="B10942" s="833" t="s">
        <v>15208</v>
      </c>
      <c r="C10942" s="4" t="s">
        <v>12228</v>
      </c>
      <c r="D10942" s="834">
        <v>3208.46</v>
      </c>
    </row>
    <row r="10943" spans="1:4" x14ac:dyDescent="0.3">
      <c r="A10943" s="4">
        <v>4238</v>
      </c>
      <c r="B10943" s="833" t="s">
        <v>15209</v>
      </c>
      <c r="C10943" s="4" t="s">
        <v>12226</v>
      </c>
      <c r="D10943" s="834">
        <v>18</v>
      </c>
    </row>
    <row r="10944" spans="1:4" x14ac:dyDescent="0.3">
      <c r="A10944" s="4">
        <v>41012</v>
      </c>
      <c r="B10944" s="833" t="s">
        <v>15210</v>
      </c>
      <c r="C10944" s="4" t="s">
        <v>12228</v>
      </c>
      <c r="D10944" s="834">
        <v>3206.12</v>
      </c>
    </row>
    <row r="10945" spans="1:4" x14ac:dyDescent="0.3">
      <c r="A10945" s="4">
        <v>4233</v>
      </c>
      <c r="B10945" s="833" t="s">
        <v>15211</v>
      </c>
      <c r="C10945" s="4" t="s">
        <v>12226</v>
      </c>
      <c r="D10945" s="834">
        <v>32.06</v>
      </c>
    </row>
    <row r="10946" spans="1:4" x14ac:dyDescent="0.3">
      <c r="A10946" s="4">
        <v>41001</v>
      </c>
      <c r="B10946" s="833" t="s">
        <v>15212</v>
      </c>
      <c r="C10946" s="4" t="s">
        <v>12228</v>
      </c>
      <c r="D10946" s="834">
        <v>5712.22</v>
      </c>
    </row>
    <row r="10947" spans="1:4" x14ac:dyDescent="0.3">
      <c r="A10947" s="4">
        <v>2</v>
      </c>
      <c r="B10947" s="833" t="s">
        <v>15213</v>
      </c>
      <c r="C10947" s="4" t="s">
        <v>12224</v>
      </c>
      <c r="D10947" s="834">
        <v>20.82</v>
      </c>
    </row>
    <row r="10948" spans="1:4" x14ac:dyDescent="0.3">
      <c r="A10948" s="4">
        <v>36517</v>
      </c>
      <c r="B10948" s="833" t="s">
        <v>15214</v>
      </c>
      <c r="C10948" s="4" t="s">
        <v>12080</v>
      </c>
      <c r="D10948" s="834">
        <v>590520</v>
      </c>
    </row>
    <row r="10949" spans="1:4" x14ac:dyDescent="0.3">
      <c r="A10949" s="4">
        <v>4262</v>
      </c>
      <c r="B10949" s="833" t="s">
        <v>15215</v>
      </c>
      <c r="C10949" s="4" t="s">
        <v>12080</v>
      </c>
      <c r="D10949" s="834">
        <v>665000</v>
      </c>
    </row>
    <row r="10950" spans="1:4" x14ac:dyDescent="0.3">
      <c r="A10950" s="4">
        <v>4263</v>
      </c>
      <c r="B10950" s="833" t="s">
        <v>15216</v>
      </c>
      <c r="C10950" s="4" t="s">
        <v>12080</v>
      </c>
      <c r="D10950" s="834">
        <v>922133.28</v>
      </c>
    </row>
    <row r="10951" spans="1:4" x14ac:dyDescent="0.3">
      <c r="A10951" s="4">
        <v>36518</v>
      </c>
      <c r="B10951" s="833" t="s">
        <v>15217</v>
      </c>
      <c r="C10951" s="4" t="s">
        <v>12080</v>
      </c>
      <c r="D10951" s="834">
        <v>1049813.28</v>
      </c>
    </row>
    <row r="10952" spans="1:4" x14ac:dyDescent="0.3">
      <c r="A10952" s="4">
        <v>14221</v>
      </c>
      <c r="B10952" s="833" t="s">
        <v>15218</v>
      </c>
      <c r="C10952" s="4" t="s">
        <v>12080</v>
      </c>
      <c r="D10952" s="834">
        <v>612686.64</v>
      </c>
    </row>
    <row r="10953" spans="1:4" x14ac:dyDescent="0.3">
      <c r="A10953" s="4">
        <v>38402</v>
      </c>
      <c r="B10953" s="833" t="s">
        <v>15219</v>
      </c>
      <c r="C10953" s="4" t="s">
        <v>12080</v>
      </c>
      <c r="D10953" s="834">
        <v>9.74</v>
      </c>
    </row>
    <row r="10954" spans="1:4" x14ac:dyDescent="0.3">
      <c r="A10954" s="4">
        <v>3412</v>
      </c>
      <c r="B10954" s="833" t="s">
        <v>15220</v>
      </c>
      <c r="C10954" s="4" t="s">
        <v>12481</v>
      </c>
      <c r="D10954" s="834">
        <v>20.100000000000001</v>
      </c>
    </row>
    <row r="10955" spans="1:4" x14ac:dyDescent="0.3">
      <c r="A10955" s="4">
        <v>3413</v>
      </c>
      <c r="B10955" s="833" t="s">
        <v>15221</v>
      </c>
      <c r="C10955" s="4" t="s">
        <v>12481</v>
      </c>
      <c r="D10955" s="834">
        <v>45.26</v>
      </c>
    </row>
    <row r="10956" spans="1:4" x14ac:dyDescent="0.3">
      <c r="A10956" s="4">
        <v>39744</v>
      </c>
      <c r="B10956" s="833" t="s">
        <v>15222</v>
      </c>
      <c r="C10956" s="4" t="s">
        <v>12481</v>
      </c>
      <c r="D10956" s="834">
        <v>35.14</v>
      </c>
    </row>
    <row r="10957" spans="1:4" x14ac:dyDescent="0.3">
      <c r="A10957" s="4">
        <v>39745</v>
      </c>
      <c r="B10957" s="833" t="s">
        <v>15223</v>
      </c>
      <c r="C10957" s="4" t="s">
        <v>12481</v>
      </c>
      <c r="D10957" s="834">
        <v>74.17</v>
      </c>
    </row>
    <row r="10958" spans="1:4" x14ac:dyDescent="0.3">
      <c r="A10958" s="4">
        <v>39637</v>
      </c>
      <c r="B10958" s="833" t="s">
        <v>15224</v>
      </c>
      <c r="C10958" s="4" t="s">
        <v>12481</v>
      </c>
      <c r="D10958" s="834">
        <v>80.180000000000007</v>
      </c>
    </row>
    <row r="10959" spans="1:4" x14ac:dyDescent="0.3">
      <c r="A10959" s="4">
        <v>39638</v>
      </c>
      <c r="B10959" s="833" t="s">
        <v>15225</v>
      </c>
      <c r="C10959" s="4" t="s">
        <v>12481</v>
      </c>
      <c r="D10959" s="834">
        <v>90.73</v>
      </c>
    </row>
    <row r="10960" spans="1:4" x14ac:dyDescent="0.3">
      <c r="A10960" s="4">
        <v>39639</v>
      </c>
      <c r="B10960" s="833" t="s">
        <v>15226</v>
      </c>
      <c r="C10960" s="4" t="s">
        <v>12481</v>
      </c>
      <c r="D10960" s="834">
        <v>136.88999999999999</v>
      </c>
    </row>
    <row r="10961" spans="1:4" x14ac:dyDescent="0.3">
      <c r="A10961" s="4">
        <v>39517</v>
      </c>
      <c r="B10961" s="833" t="s">
        <v>15227</v>
      </c>
      <c r="C10961" s="4" t="s">
        <v>12481</v>
      </c>
      <c r="D10961" s="834">
        <v>233.15</v>
      </c>
    </row>
    <row r="10962" spans="1:4" x14ac:dyDescent="0.3">
      <c r="A10962" s="4">
        <v>39518</v>
      </c>
      <c r="B10962" s="833" t="s">
        <v>15228</v>
      </c>
      <c r="C10962" s="4" t="s">
        <v>12481</v>
      </c>
      <c r="D10962" s="834">
        <v>276.41000000000003</v>
      </c>
    </row>
    <row r="10963" spans="1:4" x14ac:dyDescent="0.3">
      <c r="A10963" s="4">
        <v>38366</v>
      </c>
      <c r="B10963" s="833" t="s">
        <v>15229</v>
      </c>
      <c r="C10963" s="4" t="s">
        <v>12481</v>
      </c>
      <c r="D10963" s="834">
        <v>5.29</v>
      </c>
    </row>
    <row r="10964" spans="1:4" x14ac:dyDescent="0.3">
      <c r="A10964" s="4">
        <v>11703</v>
      </c>
      <c r="B10964" s="833" t="s">
        <v>15230</v>
      </c>
      <c r="C10964" s="4" t="s">
        <v>12080</v>
      </c>
      <c r="D10964" s="834">
        <v>34.020000000000003</v>
      </c>
    </row>
    <row r="10965" spans="1:4" x14ac:dyDescent="0.3">
      <c r="A10965" s="4">
        <v>37400</v>
      </c>
      <c r="B10965" s="833" t="s">
        <v>15231</v>
      </c>
      <c r="C10965" s="4" t="s">
        <v>12080</v>
      </c>
      <c r="D10965" s="834">
        <v>38.409999999999997</v>
      </c>
    </row>
    <row r="10966" spans="1:4" x14ac:dyDescent="0.3">
      <c r="A10966" s="4">
        <v>25400</v>
      </c>
      <c r="B10966" s="833" t="s">
        <v>15232</v>
      </c>
      <c r="C10966" s="4" t="s">
        <v>12080</v>
      </c>
      <c r="D10966" s="834">
        <v>2219.5300000000002</v>
      </c>
    </row>
    <row r="10967" spans="1:4" x14ac:dyDescent="0.3">
      <c r="A10967" s="4">
        <v>4276</v>
      </c>
      <c r="B10967" s="833" t="s">
        <v>15233</v>
      </c>
      <c r="C10967" s="4" t="s">
        <v>12080</v>
      </c>
      <c r="D10967" s="834">
        <v>159.12</v>
      </c>
    </row>
    <row r="10968" spans="1:4" x14ac:dyDescent="0.3">
      <c r="A10968" s="4">
        <v>4273</v>
      </c>
      <c r="B10968" s="833" t="s">
        <v>15234</v>
      </c>
      <c r="C10968" s="4" t="s">
        <v>12080</v>
      </c>
      <c r="D10968" s="834">
        <v>288.89</v>
      </c>
    </row>
    <row r="10969" spans="1:4" x14ac:dyDescent="0.3">
      <c r="A10969" s="4">
        <v>4274</v>
      </c>
      <c r="B10969" s="833" t="s">
        <v>15235</v>
      </c>
      <c r="C10969" s="4" t="s">
        <v>12080</v>
      </c>
      <c r="D10969" s="834">
        <v>105.69</v>
      </c>
    </row>
    <row r="10970" spans="1:4" x14ac:dyDescent="0.3">
      <c r="A10970" s="4">
        <v>39438</v>
      </c>
      <c r="B10970" s="833" t="s">
        <v>15236</v>
      </c>
      <c r="C10970" s="4" t="s">
        <v>12080</v>
      </c>
      <c r="D10970" s="834">
        <v>0.28000000000000003</v>
      </c>
    </row>
    <row r="10971" spans="1:4" x14ac:dyDescent="0.3">
      <c r="A10971" s="4">
        <v>4379</v>
      </c>
      <c r="B10971" s="833" t="s">
        <v>15237</v>
      </c>
      <c r="C10971" s="4" t="s">
        <v>12080</v>
      </c>
      <c r="D10971" s="834">
        <v>0.05</v>
      </c>
    </row>
    <row r="10972" spans="1:4" x14ac:dyDescent="0.3">
      <c r="A10972" s="4">
        <v>4377</v>
      </c>
      <c r="B10972" s="833" t="s">
        <v>15238</v>
      </c>
      <c r="C10972" s="4" t="s">
        <v>12080</v>
      </c>
      <c r="D10972" s="834">
        <v>0.2</v>
      </c>
    </row>
    <row r="10973" spans="1:4" x14ac:dyDescent="0.3">
      <c r="A10973" s="4">
        <v>4356</v>
      </c>
      <c r="B10973" s="833" t="s">
        <v>15239</v>
      </c>
      <c r="C10973" s="4" t="s">
        <v>12080</v>
      </c>
      <c r="D10973" s="834">
        <v>0.28000000000000003</v>
      </c>
    </row>
    <row r="10974" spans="1:4" x14ac:dyDescent="0.3">
      <c r="A10974" s="4">
        <v>13246</v>
      </c>
      <c r="B10974" s="833" t="s">
        <v>15240</v>
      </c>
      <c r="C10974" s="4" t="s">
        <v>12080</v>
      </c>
      <c r="D10974" s="834">
        <v>0.49</v>
      </c>
    </row>
    <row r="10975" spans="1:4" x14ac:dyDescent="0.3">
      <c r="A10975" s="4">
        <v>13294</v>
      </c>
      <c r="B10975" s="833" t="s">
        <v>15241</v>
      </c>
      <c r="C10975" s="4" t="s">
        <v>12080</v>
      </c>
      <c r="D10975" s="834">
        <v>1.63</v>
      </c>
    </row>
    <row r="10976" spans="1:4" x14ac:dyDescent="0.3">
      <c r="A10976" s="4">
        <v>11963</v>
      </c>
      <c r="B10976" s="833" t="s">
        <v>15242</v>
      </c>
      <c r="C10976" s="4" t="s">
        <v>12080</v>
      </c>
      <c r="D10976" s="834">
        <v>10.27</v>
      </c>
    </row>
    <row r="10977" spans="1:4" x14ac:dyDescent="0.3">
      <c r="A10977" s="4">
        <v>11964</v>
      </c>
      <c r="B10977" s="833" t="s">
        <v>15243</v>
      </c>
      <c r="C10977" s="4" t="s">
        <v>12080</v>
      </c>
      <c r="D10977" s="834">
        <v>2.59</v>
      </c>
    </row>
    <row r="10978" spans="1:4" x14ac:dyDescent="0.3">
      <c r="A10978" s="4">
        <v>4346</v>
      </c>
      <c r="B10978" s="833" t="s">
        <v>15244</v>
      </c>
      <c r="C10978" s="4" t="s">
        <v>12080</v>
      </c>
      <c r="D10978" s="834">
        <v>11.01</v>
      </c>
    </row>
    <row r="10979" spans="1:4" x14ac:dyDescent="0.3">
      <c r="A10979" s="4">
        <v>11955</v>
      </c>
      <c r="B10979" s="833" t="s">
        <v>15245</v>
      </c>
      <c r="C10979" s="4" t="s">
        <v>12080</v>
      </c>
      <c r="D10979" s="834">
        <v>4.82</v>
      </c>
    </row>
    <row r="10980" spans="1:4" x14ac:dyDescent="0.3">
      <c r="A10980" s="4">
        <v>11960</v>
      </c>
      <c r="B10980" s="833" t="s">
        <v>15246</v>
      </c>
      <c r="C10980" s="4" t="s">
        <v>12080</v>
      </c>
      <c r="D10980" s="834">
        <v>0.16</v>
      </c>
    </row>
    <row r="10981" spans="1:4" x14ac:dyDescent="0.3">
      <c r="A10981" s="4">
        <v>4333</v>
      </c>
      <c r="B10981" s="833" t="s">
        <v>15247</v>
      </c>
      <c r="C10981" s="4" t="s">
        <v>12080</v>
      </c>
      <c r="D10981" s="834">
        <v>0.28000000000000003</v>
      </c>
    </row>
    <row r="10982" spans="1:4" x14ac:dyDescent="0.3">
      <c r="A10982" s="4">
        <v>4358</v>
      </c>
      <c r="B10982" s="833" t="s">
        <v>15248</v>
      </c>
      <c r="C10982" s="4" t="s">
        <v>12080</v>
      </c>
      <c r="D10982" s="834">
        <v>2.2000000000000002</v>
      </c>
    </row>
    <row r="10983" spans="1:4" x14ac:dyDescent="0.3">
      <c r="A10983" s="4">
        <v>39435</v>
      </c>
      <c r="B10983" s="833" t="s">
        <v>15249</v>
      </c>
      <c r="C10983" s="4" t="s">
        <v>12080</v>
      </c>
      <c r="D10983" s="834">
        <v>0.11</v>
      </c>
    </row>
    <row r="10984" spans="1:4" x14ac:dyDescent="0.3">
      <c r="A10984" s="4">
        <v>39436</v>
      </c>
      <c r="B10984" s="833" t="s">
        <v>15250</v>
      </c>
      <c r="C10984" s="4" t="s">
        <v>12080</v>
      </c>
      <c r="D10984" s="834">
        <v>0.19</v>
      </c>
    </row>
    <row r="10985" spans="1:4" x14ac:dyDescent="0.3">
      <c r="A10985" s="4">
        <v>39437</v>
      </c>
      <c r="B10985" s="833" t="s">
        <v>15251</v>
      </c>
      <c r="C10985" s="4" t="s">
        <v>12080</v>
      </c>
      <c r="D10985" s="834">
        <v>0.25</v>
      </c>
    </row>
    <row r="10986" spans="1:4" x14ac:dyDescent="0.3">
      <c r="A10986" s="4">
        <v>39439</v>
      </c>
      <c r="B10986" s="833" t="s">
        <v>15252</v>
      </c>
      <c r="C10986" s="4" t="s">
        <v>12080</v>
      </c>
      <c r="D10986" s="834">
        <v>0.17</v>
      </c>
    </row>
    <row r="10987" spans="1:4" x14ac:dyDescent="0.3">
      <c r="A10987" s="4">
        <v>39440</v>
      </c>
      <c r="B10987" s="833" t="s">
        <v>15253</v>
      </c>
      <c r="C10987" s="4" t="s">
        <v>12080</v>
      </c>
      <c r="D10987" s="834">
        <v>0.22</v>
      </c>
    </row>
    <row r="10988" spans="1:4" x14ac:dyDescent="0.3">
      <c r="A10988" s="4">
        <v>39441</v>
      </c>
      <c r="B10988" s="833" t="s">
        <v>15254</v>
      </c>
      <c r="C10988" s="4" t="s">
        <v>12080</v>
      </c>
      <c r="D10988" s="834">
        <v>0.27</v>
      </c>
    </row>
    <row r="10989" spans="1:4" x14ac:dyDescent="0.3">
      <c r="A10989" s="4">
        <v>39442</v>
      </c>
      <c r="B10989" s="833" t="s">
        <v>15255</v>
      </c>
      <c r="C10989" s="4" t="s">
        <v>12080</v>
      </c>
      <c r="D10989" s="834">
        <v>0.2</v>
      </c>
    </row>
    <row r="10990" spans="1:4" x14ac:dyDescent="0.3">
      <c r="A10990" s="4">
        <v>39443</v>
      </c>
      <c r="B10990" s="833" t="s">
        <v>15256</v>
      </c>
      <c r="C10990" s="4" t="s">
        <v>12080</v>
      </c>
      <c r="D10990" s="834">
        <v>0.26</v>
      </c>
    </row>
    <row r="10991" spans="1:4" x14ac:dyDescent="0.3">
      <c r="A10991" s="4">
        <v>4329</v>
      </c>
      <c r="B10991" s="833" t="s">
        <v>15257</v>
      </c>
      <c r="C10991" s="4" t="s">
        <v>12080</v>
      </c>
      <c r="D10991" s="834">
        <v>2.35</v>
      </c>
    </row>
    <row r="10992" spans="1:4" x14ac:dyDescent="0.3">
      <c r="A10992" s="4">
        <v>4383</v>
      </c>
      <c r="B10992" s="833" t="s">
        <v>15258</v>
      </c>
      <c r="C10992" s="4" t="s">
        <v>12080</v>
      </c>
      <c r="D10992" s="834">
        <v>21.25</v>
      </c>
    </row>
    <row r="10993" spans="1:4" x14ac:dyDescent="0.3">
      <c r="A10993" s="4">
        <v>4344</v>
      </c>
      <c r="B10993" s="833" t="s">
        <v>15259</v>
      </c>
      <c r="C10993" s="4" t="s">
        <v>12080</v>
      </c>
      <c r="D10993" s="834">
        <v>22.27</v>
      </c>
    </row>
    <row r="10994" spans="1:4" x14ac:dyDescent="0.3">
      <c r="A10994" s="4">
        <v>436</v>
      </c>
      <c r="B10994" s="833" t="s">
        <v>15260</v>
      </c>
      <c r="C10994" s="4" t="s">
        <v>12080</v>
      </c>
      <c r="D10994" s="834">
        <v>12.13</v>
      </c>
    </row>
    <row r="10995" spans="1:4" x14ac:dyDescent="0.3">
      <c r="A10995" s="4">
        <v>442</v>
      </c>
      <c r="B10995" s="833" t="s">
        <v>15261</v>
      </c>
      <c r="C10995" s="4" t="s">
        <v>12080</v>
      </c>
      <c r="D10995" s="834">
        <v>7.17</v>
      </c>
    </row>
    <row r="10996" spans="1:4" x14ac:dyDescent="0.3">
      <c r="A10996" s="4">
        <v>4335</v>
      </c>
      <c r="B10996" s="833" t="s">
        <v>15262</v>
      </c>
      <c r="C10996" s="4" t="s">
        <v>12080</v>
      </c>
      <c r="D10996" s="834">
        <v>14.95</v>
      </c>
    </row>
    <row r="10997" spans="1:4" x14ac:dyDescent="0.3">
      <c r="A10997" s="4">
        <v>4334</v>
      </c>
      <c r="B10997" s="833" t="s">
        <v>15263</v>
      </c>
      <c r="C10997" s="4" t="s">
        <v>12080</v>
      </c>
      <c r="D10997" s="834">
        <v>20.51</v>
      </c>
    </row>
    <row r="10998" spans="1:4" x14ac:dyDescent="0.3">
      <c r="A10998" s="4">
        <v>11953</v>
      </c>
      <c r="B10998" s="833" t="s">
        <v>15264</v>
      </c>
      <c r="C10998" s="4" t="s">
        <v>12080</v>
      </c>
      <c r="D10998" s="834">
        <v>3.53</v>
      </c>
    </row>
    <row r="10999" spans="1:4" x14ac:dyDescent="0.3">
      <c r="A10999" s="4">
        <v>4343</v>
      </c>
      <c r="B10999" s="833" t="s">
        <v>15265</v>
      </c>
      <c r="C10999" s="4" t="s">
        <v>12080</v>
      </c>
      <c r="D10999" s="834">
        <v>5.04</v>
      </c>
    </row>
    <row r="11000" spans="1:4" x14ac:dyDescent="0.3">
      <c r="A11000" s="4">
        <v>430</v>
      </c>
      <c r="B11000" s="833" t="s">
        <v>15266</v>
      </c>
      <c r="C11000" s="4" t="s">
        <v>12080</v>
      </c>
      <c r="D11000" s="834">
        <v>10.85</v>
      </c>
    </row>
    <row r="11001" spans="1:4" x14ac:dyDescent="0.3">
      <c r="A11001" s="4">
        <v>441</v>
      </c>
      <c r="B11001" s="833" t="s">
        <v>15267</v>
      </c>
      <c r="C11001" s="4" t="s">
        <v>12080</v>
      </c>
      <c r="D11001" s="834">
        <v>11.94</v>
      </c>
    </row>
    <row r="11002" spans="1:4" x14ac:dyDescent="0.3">
      <c r="A11002" s="4">
        <v>431</v>
      </c>
      <c r="B11002" s="833" t="s">
        <v>15268</v>
      </c>
      <c r="C11002" s="4" t="s">
        <v>12080</v>
      </c>
      <c r="D11002" s="834">
        <v>14.42</v>
      </c>
    </row>
    <row r="11003" spans="1:4" x14ac:dyDescent="0.3">
      <c r="A11003" s="4">
        <v>432</v>
      </c>
      <c r="B11003" s="833" t="s">
        <v>15269</v>
      </c>
      <c r="C11003" s="4" t="s">
        <v>12080</v>
      </c>
      <c r="D11003" s="834">
        <v>15.91</v>
      </c>
    </row>
    <row r="11004" spans="1:4" x14ac:dyDescent="0.3">
      <c r="A11004" s="4">
        <v>429</v>
      </c>
      <c r="B11004" s="833" t="s">
        <v>15270</v>
      </c>
      <c r="C11004" s="4" t="s">
        <v>12080</v>
      </c>
      <c r="D11004" s="834">
        <v>21.45</v>
      </c>
    </row>
    <row r="11005" spans="1:4" x14ac:dyDescent="0.3">
      <c r="A11005" s="4">
        <v>439</v>
      </c>
      <c r="B11005" s="833" t="s">
        <v>15271</v>
      </c>
      <c r="C11005" s="4" t="s">
        <v>12080</v>
      </c>
      <c r="D11005" s="834">
        <v>18.28</v>
      </c>
    </row>
    <row r="11006" spans="1:4" x14ac:dyDescent="0.3">
      <c r="A11006" s="4">
        <v>433</v>
      </c>
      <c r="B11006" s="833" t="s">
        <v>15272</v>
      </c>
      <c r="C11006" s="4" t="s">
        <v>12080</v>
      </c>
      <c r="D11006" s="834">
        <v>21.34</v>
      </c>
    </row>
    <row r="11007" spans="1:4" x14ac:dyDescent="0.3">
      <c r="A11007" s="4">
        <v>437</v>
      </c>
      <c r="B11007" s="833" t="s">
        <v>15273</v>
      </c>
      <c r="C11007" s="4" t="s">
        <v>12080</v>
      </c>
      <c r="D11007" s="834">
        <v>28.35</v>
      </c>
    </row>
    <row r="11008" spans="1:4" x14ac:dyDescent="0.3">
      <c r="A11008" s="4">
        <v>11790</v>
      </c>
      <c r="B11008" s="833" t="s">
        <v>15274</v>
      </c>
      <c r="C11008" s="4" t="s">
        <v>12080</v>
      </c>
      <c r="D11008" s="834">
        <v>32.159999999999997</v>
      </c>
    </row>
    <row r="11009" spans="1:4" x14ac:dyDescent="0.3">
      <c r="A11009" s="4">
        <v>428</v>
      </c>
      <c r="B11009" s="833" t="s">
        <v>15275</v>
      </c>
      <c r="C11009" s="4" t="s">
        <v>12080</v>
      </c>
      <c r="D11009" s="834">
        <v>34.97</v>
      </c>
    </row>
    <row r="11010" spans="1:4" x14ac:dyDescent="0.3">
      <c r="A11010" s="4">
        <v>4384</v>
      </c>
      <c r="B11010" s="833" t="s">
        <v>15276</v>
      </c>
      <c r="C11010" s="4" t="s">
        <v>12080</v>
      </c>
      <c r="D11010" s="834">
        <v>24.41</v>
      </c>
    </row>
    <row r="11011" spans="1:4" x14ac:dyDescent="0.3">
      <c r="A11011" s="4">
        <v>4351</v>
      </c>
      <c r="B11011" s="833" t="s">
        <v>15277</v>
      </c>
      <c r="C11011" s="4" t="s">
        <v>12080</v>
      </c>
      <c r="D11011" s="834">
        <v>18.100000000000001</v>
      </c>
    </row>
    <row r="11012" spans="1:4" x14ac:dyDescent="0.3">
      <c r="A11012" s="4">
        <v>11054</v>
      </c>
      <c r="B11012" s="833" t="s">
        <v>15278</v>
      </c>
      <c r="C11012" s="4" t="s">
        <v>12080</v>
      </c>
      <c r="D11012" s="834">
        <v>0.05</v>
      </c>
    </row>
    <row r="11013" spans="1:4" x14ac:dyDescent="0.3">
      <c r="A11013" s="4">
        <v>11055</v>
      </c>
      <c r="B11013" s="833" t="s">
        <v>15279</v>
      </c>
      <c r="C11013" s="4" t="s">
        <v>12080</v>
      </c>
      <c r="D11013" s="834">
        <v>0.08</v>
      </c>
    </row>
    <row r="11014" spans="1:4" x14ac:dyDescent="0.3">
      <c r="A11014" s="4">
        <v>11056</v>
      </c>
      <c r="B11014" s="833" t="s">
        <v>15280</v>
      </c>
      <c r="C11014" s="4" t="s">
        <v>12080</v>
      </c>
      <c r="D11014" s="834">
        <v>0.08</v>
      </c>
    </row>
    <row r="11015" spans="1:4" x14ac:dyDescent="0.3">
      <c r="A11015" s="4">
        <v>11057</v>
      </c>
      <c r="B11015" s="833" t="s">
        <v>15281</v>
      </c>
      <c r="C11015" s="4" t="s">
        <v>12080</v>
      </c>
      <c r="D11015" s="834">
        <v>0.17</v>
      </c>
    </row>
    <row r="11016" spans="1:4" x14ac:dyDescent="0.3">
      <c r="A11016" s="4">
        <v>11059</v>
      </c>
      <c r="B11016" s="833" t="s">
        <v>15282</v>
      </c>
      <c r="C11016" s="4" t="s">
        <v>12080</v>
      </c>
      <c r="D11016" s="834">
        <v>0.34</v>
      </c>
    </row>
    <row r="11017" spans="1:4" x14ac:dyDescent="0.3">
      <c r="A11017" s="4">
        <v>11058</v>
      </c>
      <c r="B11017" s="833" t="s">
        <v>15283</v>
      </c>
      <c r="C11017" s="4" t="s">
        <v>12080</v>
      </c>
      <c r="D11017" s="834">
        <v>0.44</v>
      </c>
    </row>
    <row r="11018" spans="1:4" x14ac:dyDescent="0.3">
      <c r="A11018" s="4">
        <v>4380</v>
      </c>
      <c r="B11018" s="833" t="s">
        <v>15284</v>
      </c>
      <c r="C11018" s="4" t="s">
        <v>12080</v>
      </c>
      <c r="D11018" s="834">
        <v>1.49</v>
      </c>
    </row>
    <row r="11019" spans="1:4" x14ac:dyDescent="0.3">
      <c r="A11019" s="4">
        <v>4299</v>
      </c>
      <c r="B11019" s="833" t="s">
        <v>15285</v>
      </c>
      <c r="C11019" s="4" t="s">
        <v>12080</v>
      </c>
      <c r="D11019" s="834">
        <v>1.41</v>
      </c>
    </row>
    <row r="11020" spans="1:4" x14ac:dyDescent="0.3">
      <c r="A11020" s="4">
        <v>4304</v>
      </c>
      <c r="B11020" s="833" t="s">
        <v>15286</v>
      </c>
      <c r="C11020" s="4" t="s">
        <v>12080</v>
      </c>
      <c r="D11020" s="834">
        <v>1.92</v>
      </c>
    </row>
    <row r="11021" spans="1:4" x14ac:dyDescent="0.3">
      <c r="A11021" s="4">
        <v>4305</v>
      </c>
      <c r="B11021" s="833" t="s">
        <v>15287</v>
      </c>
      <c r="C11021" s="4" t="s">
        <v>12080</v>
      </c>
      <c r="D11021" s="834">
        <v>2.23</v>
      </c>
    </row>
    <row r="11022" spans="1:4" x14ac:dyDescent="0.3">
      <c r="A11022" s="4">
        <v>4306</v>
      </c>
      <c r="B11022" s="833" t="s">
        <v>15288</v>
      </c>
      <c r="C11022" s="4" t="s">
        <v>12080</v>
      </c>
      <c r="D11022" s="834">
        <v>2.59</v>
      </c>
    </row>
    <row r="11023" spans="1:4" x14ac:dyDescent="0.3">
      <c r="A11023" s="4">
        <v>4308</v>
      </c>
      <c r="B11023" s="833" t="s">
        <v>15289</v>
      </c>
      <c r="C11023" s="4" t="s">
        <v>12080</v>
      </c>
      <c r="D11023" s="834">
        <v>5.37</v>
      </c>
    </row>
    <row r="11024" spans="1:4" x14ac:dyDescent="0.3">
      <c r="A11024" s="4">
        <v>4302</v>
      </c>
      <c r="B11024" s="833" t="s">
        <v>15290</v>
      </c>
      <c r="C11024" s="4" t="s">
        <v>12080</v>
      </c>
      <c r="D11024" s="834">
        <v>4.0199999999999996</v>
      </c>
    </row>
    <row r="11025" spans="1:4" x14ac:dyDescent="0.3">
      <c r="A11025" s="4">
        <v>4300</v>
      </c>
      <c r="B11025" s="833" t="s">
        <v>15291</v>
      </c>
      <c r="C11025" s="4" t="s">
        <v>12080</v>
      </c>
      <c r="D11025" s="834">
        <v>0.96</v>
      </c>
    </row>
    <row r="11026" spans="1:4" x14ac:dyDescent="0.3">
      <c r="A11026" s="4">
        <v>4301</v>
      </c>
      <c r="B11026" s="833" t="s">
        <v>15292</v>
      </c>
      <c r="C11026" s="4" t="s">
        <v>12080</v>
      </c>
      <c r="D11026" s="834">
        <v>1.17</v>
      </c>
    </row>
    <row r="11027" spans="1:4" x14ac:dyDescent="0.3">
      <c r="A11027" s="4">
        <v>4320</v>
      </c>
      <c r="B11027" s="833" t="s">
        <v>15293</v>
      </c>
      <c r="C11027" s="4" t="s">
        <v>12080</v>
      </c>
      <c r="D11027" s="834">
        <v>3.55</v>
      </c>
    </row>
    <row r="11028" spans="1:4" x14ac:dyDescent="0.3">
      <c r="A11028" s="4">
        <v>4318</v>
      </c>
      <c r="B11028" s="833" t="s">
        <v>15294</v>
      </c>
      <c r="C11028" s="4" t="s">
        <v>12080</v>
      </c>
      <c r="D11028" s="834">
        <v>1.73</v>
      </c>
    </row>
    <row r="11029" spans="1:4" x14ac:dyDescent="0.3">
      <c r="A11029" s="4">
        <v>40547</v>
      </c>
      <c r="B11029" s="833" t="s">
        <v>15295</v>
      </c>
      <c r="C11029" s="4" t="s">
        <v>14139</v>
      </c>
      <c r="D11029" s="834">
        <v>29.67</v>
      </c>
    </row>
    <row r="11030" spans="1:4" x14ac:dyDescent="0.3">
      <c r="A11030" s="4">
        <v>11962</v>
      </c>
      <c r="B11030" s="833" t="s">
        <v>15296</v>
      </c>
      <c r="C11030" s="4" t="s">
        <v>12080</v>
      </c>
      <c r="D11030" s="834">
        <v>0.24</v>
      </c>
    </row>
    <row r="11031" spans="1:4" x14ac:dyDescent="0.3">
      <c r="A11031" s="4">
        <v>4332</v>
      </c>
      <c r="B11031" s="833" t="s">
        <v>15297</v>
      </c>
      <c r="C11031" s="4" t="s">
        <v>12080</v>
      </c>
      <c r="D11031" s="834">
        <v>1.18</v>
      </c>
    </row>
    <row r="11032" spans="1:4" x14ac:dyDescent="0.3">
      <c r="A11032" s="4">
        <v>4331</v>
      </c>
      <c r="B11032" s="833" t="s">
        <v>15298</v>
      </c>
      <c r="C11032" s="4" t="s">
        <v>12080</v>
      </c>
      <c r="D11032" s="834">
        <v>4.45</v>
      </c>
    </row>
    <row r="11033" spans="1:4" x14ac:dyDescent="0.3">
      <c r="A11033" s="4">
        <v>4336</v>
      </c>
      <c r="B11033" s="833" t="s">
        <v>15299</v>
      </c>
      <c r="C11033" s="4" t="s">
        <v>12080</v>
      </c>
      <c r="D11033" s="834">
        <v>5.7</v>
      </c>
    </row>
    <row r="11034" spans="1:4" x14ac:dyDescent="0.3">
      <c r="A11034" s="4">
        <v>11948</v>
      </c>
      <c r="B11034" s="833" t="s">
        <v>15300</v>
      </c>
      <c r="C11034" s="4" t="s">
        <v>12080</v>
      </c>
      <c r="D11034" s="834">
        <v>0.73</v>
      </c>
    </row>
    <row r="11035" spans="1:4" x14ac:dyDescent="0.3">
      <c r="A11035" s="4">
        <v>4382</v>
      </c>
      <c r="B11035" s="833" t="s">
        <v>15301</v>
      </c>
      <c r="C11035" s="4" t="s">
        <v>12080</v>
      </c>
      <c r="D11035" s="834">
        <v>1.22</v>
      </c>
    </row>
    <row r="11036" spans="1:4" x14ac:dyDescent="0.3">
      <c r="A11036" s="4">
        <v>4354</v>
      </c>
      <c r="B11036" s="833" t="s">
        <v>15302</v>
      </c>
      <c r="C11036" s="4" t="s">
        <v>12080</v>
      </c>
      <c r="D11036" s="834">
        <v>51.08</v>
      </c>
    </row>
    <row r="11037" spans="1:4" x14ac:dyDescent="0.3">
      <c r="A11037" s="4">
        <v>40839</v>
      </c>
      <c r="B11037" s="833" t="s">
        <v>15303</v>
      </c>
      <c r="C11037" s="4" t="s">
        <v>14139</v>
      </c>
      <c r="D11037" s="834">
        <v>122.92</v>
      </c>
    </row>
    <row r="11038" spans="1:4" x14ac:dyDescent="0.3">
      <c r="A11038" s="4">
        <v>40552</v>
      </c>
      <c r="B11038" s="833" t="s">
        <v>15304</v>
      </c>
      <c r="C11038" s="4" t="s">
        <v>14139</v>
      </c>
      <c r="D11038" s="834">
        <v>50.86</v>
      </c>
    </row>
    <row r="11039" spans="1:4" x14ac:dyDescent="0.3">
      <c r="A11039" s="4">
        <v>40549</v>
      </c>
      <c r="B11039" s="833" t="s">
        <v>15305</v>
      </c>
      <c r="C11039" s="4" t="s">
        <v>14139</v>
      </c>
      <c r="D11039" s="834">
        <v>201.34</v>
      </c>
    </row>
    <row r="11040" spans="1:4" x14ac:dyDescent="0.3">
      <c r="A11040" s="4">
        <v>4385</v>
      </c>
      <c r="B11040" s="833" t="s">
        <v>15306</v>
      </c>
      <c r="C11040" s="4" t="s">
        <v>15307</v>
      </c>
      <c r="D11040" s="834">
        <v>9673.4599999999991</v>
      </c>
    </row>
    <row r="11041" spans="1:4" x14ac:dyDescent="0.3">
      <c r="A11041" s="4">
        <v>20078</v>
      </c>
      <c r="B11041" s="833" t="s">
        <v>15308</v>
      </c>
      <c r="C11041" s="4" t="s">
        <v>12080</v>
      </c>
      <c r="D11041" s="834">
        <v>29.75</v>
      </c>
    </row>
    <row r="11042" spans="1:4" x14ac:dyDescent="0.3">
      <c r="A11042" s="4">
        <v>39897</v>
      </c>
      <c r="B11042" s="833" t="s">
        <v>15309</v>
      </c>
      <c r="C11042" s="4" t="s">
        <v>12080</v>
      </c>
      <c r="D11042" s="834">
        <v>90.18</v>
      </c>
    </row>
    <row r="11043" spans="1:4" x14ac:dyDescent="0.3">
      <c r="A11043" s="4">
        <v>118</v>
      </c>
      <c r="B11043" s="833" t="s">
        <v>15310</v>
      </c>
      <c r="C11043" s="4" t="s">
        <v>12080</v>
      </c>
      <c r="D11043" s="834">
        <v>62.91</v>
      </c>
    </row>
    <row r="11044" spans="1:4" x14ac:dyDescent="0.3">
      <c r="A11044" s="4">
        <v>4396</v>
      </c>
      <c r="B11044" s="833" t="s">
        <v>15311</v>
      </c>
      <c r="C11044" s="4" t="s">
        <v>12481</v>
      </c>
      <c r="D11044" s="834">
        <v>266.36</v>
      </c>
    </row>
    <row r="11045" spans="1:4" x14ac:dyDescent="0.3">
      <c r="A11045" s="4">
        <v>36881</v>
      </c>
      <c r="B11045" s="833" t="s">
        <v>15312</v>
      </c>
      <c r="C11045" s="4" t="s">
        <v>12481</v>
      </c>
      <c r="D11045" s="834">
        <v>194.46</v>
      </c>
    </row>
    <row r="11046" spans="1:4" x14ac:dyDescent="0.3">
      <c r="A11046" s="4">
        <v>4397</v>
      </c>
      <c r="B11046" s="833" t="s">
        <v>15313</v>
      </c>
      <c r="C11046" s="4" t="s">
        <v>12481</v>
      </c>
      <c r="D11046" s="834">
        <v>270.8</v>
      </c>
    </row>
    <row r="11047" spans="1:4" x14ac:dyDescent="0.3">
      <c r="A11047" s="4">
        <v>36882</v>
      </c>
      <c r="B11047" s="833" t="s">
        <v>15314</v>
      </c>
      <c r="C11047" s="4" t="s">
        <v>12481</v>
      </c>
      <c r="D11047" s="834">
        <v>198.28</v>
      </c>
    </row>
    <row r="11048" spans="1:4" x14ac:dyDescent="0.3">
      <c r="A11048" s="4">
        <v>4751</v>
      </c>
      <c r="B11048" s="833" t="s">
        <v>15315</v>
      </c>
      <c r="C11048" s="4" t="s">
        <v>12226</v>
      </c>
      <c r="D11048" s="834">
        <v>21.83</v>
      </c>
    </row>
    <row r="11049" spans="1:4" x14ac:dyDescent="0.3">
      <c r="A11049" s="4">
        <v>41066</v>
      </c>
      <c r="B11049" s="833" t="s">
        <v>15316</v>
      </c>
      <c r="C11049" s="4" t="s">
        <v>12228</v>
      </c>
      <c r="D11049" s="834">
        <v>3886.77</v>
      </c>
    </row>
    <row r="11050" spans="1:4" x14ac:dyDescent="0.3">
      <c r="A11050" s="4">
        <v>39604</v>
      </c>
      <c r="B11050" s="833" t="s">
        <v>15317</v>
      </c>
      <c r="C11050" s="4" t="s">
        <v>12080</v>
      </c>
      <c r="D11050" s="834">
        <v>15.51</v>
      </c>
    </row>
    <row r="11051" spans="1:4" x14ac:dyDescent="0.3">
      <c r="A11051" s="4">
        <v>39605</v>
      </c>
      <c r="B11051" s="833" t="s">
        <v>15318</v>
      </c>
      <c r="C11051" s="4" t="s">
        <v>12080</v>
      </c>
      <c r="D11051" s="834">
        <v>16.850000000000001</v>
      </c>
    </row>
    <row r="11052" spans="1:4" x14ac:dyDescent="0.3">
      <c r="A11052" s="4">
        <v>39606</v>
      </c>
      <c r="B11052" s="833" t="s">
        <v>15319</v>
      </c>
      <c r="C11052" s="4" t="s">
        <v>12080</v>
      </c>
      <c r="D11052" s="834">
        <v>29.5</v>
      </c>
    </row>
    <row r="11053" spans="1:4" x14ac:dyDescent="0.3">
      <c r="A11053" s="4">
        <v>39607</v>
      </c>
      <c r="B11053" s="833" t="s">
        <v>15320</v>
      </c>
      <c r="C11053" s="4" t="s">
        <v>12080</v>
      </c>
      <c r="D11053" s="834">
        <v>39.92</v>
      </c>
    </row>
    <row r="11054" spans="1:4" x14ac:dyDescent="0.3">
      <c r="A11054" s="4">
        <v>39594</v>
      </c>
      <c r="B11054" s="833" t="s">
        <v>15321</v>
      </c>
      <c r="C11054" s="4" t="s">
        <v>12080</v>
      </c>
      <c r="D11054" s="834">
        <v>323.68</v>
      </c>
    </row>
    <row r="11055" spans="1:4" x14ac:dyDescent="0.3">
      <c r="A11055" s="4">
        <v>39596</v>
      </c>
      <c r="B11055" s="833" t="s">
        <v>15322</v>
      </c>
      <c r="C11055" s="4" t="s">
        <v>12080</v>
      </c>
      <c r="D11055" s="834">
        <v>866.84</v>
      </c>
    </row>
    <row r="11056" spans="1:4" x14ac:dyDescent="0.3">
      <c r="A11056" s="4">
        <v>39595</v>
      </c>
      <c r="B11056" s="833" t="s">
        <v>15323</v>
      </c>
      <c r="C11056" s="4" t="s">
        <v>12080</v>
      </c>
      <c r="D11056" s="834">
        <v>1947.67</v>
      </c>
    </row>
    <row r="11057" spans="1:4" x14ac:dyDescent="0.3">
      <c r="A11057" s="4">
        <v>39597</v>
      </c>
      <c r="B11057" s="833" t="s">
        <v>15324</v>
      </c>
      <c r="C11057" s="4" t="s">
        <v>12080</v>
      </c>
      <c r="D11057" s="834">
        <v>3055.19</v>
      </c>
    </row>
    <row r="11058" spans="1:4" x14ac:dyDescent="0.3">
      <c r="A11058" s="4">
        <v>10731</v>
      </c>
      <c r="B11058" s="833" t="s">
        <v>15325</v>
      </c>
      <c r="C11058" s="4" t="s">
        <v>12481</v>
      </c>
      <c r="D11058" s="834">
        <v>45</v>
      </c>
    </row>
    <row r="11059" spans="1:4" x14ac:dyDescent="0.3">
      <c r="A11059" s="4">
        <v>4704</v>
      </c>
      <c r="B11059" s="833" t="s">
        <v>15326</v>
      </c>
      <c r="C11059" s="4" t="s">
        <v>12481</v>
      </c>
      <c r="D11059" s="834">
        <v>40.61</v>
      </c>
    </row>
    <row r="11060" spans="1:4" x14ac:dyDescent="0.3">
      <c r="A11060" s="4">
        <v>10730</v>
      </c>
      <c r="B11060" s="833" t="s">
        <v>15327</v>
      </c>
      <c r="C11060" s="4" t="s">
        <v>12481</v>
      </c>
      <c r="D11060" s="834">
        <v>43.51</v>
      </c>
    </row>
    <row r="11061" spans="1:4" x14ac:dyDescent="0.3">
      <c r="A11061" s="4">
        <v>4720</v>
      </c>
      <c r="B11061" s="833" t="s">
        <v>15328</v>
      </c>
      <c r="C11061" s="4" t="s">
        <v>12224</v>
      </c>
      <c r="D11061" s="834">
        <v>227.89</v>
      </c>
    </row>
    <row r="11062" spans="1:4" x14ac:dyDescent="0.3">
      <c r="A11062" s="4">
        <v>4721</v>
      </c>
      <c r="B11062" s="833" t="s">
        <v>15329</v>
      </c>
      <c r="C11062" s="4" t="s">
        <v>12224</v>
      </c>
      <c r="D11062" s="834">
        <v>197.39</v>
      </c>
    </row>
    <row r="11063" spans="1:4" x14ac:dyDescent="0.3">
      <c r="A11063" s="4">
        <v>4718</v>
      </c>
      <c r="B11063" s="833" t="s">
        <v>15330</v>
      </c>
      <c r="C11063" s="4" t="s">
        <v>12224</v>
      </c>
      <c r="D11063" s="834">
        <v>198.43</v>
      </c>
    </row>
    <row r="11064" spans="1:4" x14ac:dyDescent="0.3">
      <c r="A11064" s="4">
        <v>4722</v>
      </c>
      <c r="B11064" s="833" t="s">
        <v>15331</v>
      </c>
      <c r="C11064" s="4" t="s">
        <v>12224</v>
      </c>
      <c r="D11064" s="834">
        <v>186.45</v>
      </c>
    </row>
    <row r="11065" spans="1:4" x14ac:dyDescent="0.3">
      <c r="A11065" s="4">
        <v>4730</v>
      </c>
      <c r="B11065" s="833" t="s">
        <v>15332</v>
      </c>
      <c r="C11065" s="4" t="s">
        <v>12224</v>
      </c>
      <c r="D11065" s="834">
        <v>185.53</v>
      </c>
    </row>
    <row r="11066" spans="1:4" x14ac:dyDescent="0.3">
      <c r="A11066" s="4">
        <v>13186</v>
      </c>
      <c r="B11066" s="833" t="s">
        <v>15333</v>
      </c>
      <c r="C11066" s="4" t="s">
        <v>12224</v>
      </c>
      <c r="D11066" s="834">
        <v>214.08</v>
      </c>
    </row>
    <row r="11067" spans="1:4" x14ac:dyDescent="0.3">
      <c r="A11067" s="4">
        <v>10737</v>
      </c>
      <c r="B11067" s="833" t="s">
        <v>15334</v>
      </c>
      <c r="C11067" s="4" t="s">
        <v>12481</v>
      </c>
      <c r="D11067" s="834">
        <v>141.41</v>
      </c>
    </row>
    <row r="11068" spans="1:4" x14ac:dyDescent="0.3">
      <c r="A11068" s="4">
        <v>10734</v>
      </c>
      <c r="B11068" s="833" t="s">
        <v>15335</v>
      </c>
      <c r="C11068" s="4" t="s">
        <v>12481</v>
      </c>
      <c r="D11068" s="834">
        <v>84.12</v>
      </c>
    </row>
    <row r="11069" spans="1:4" x14ac:dyDescent="0.3">
      <c r="A11069" s="4">
        <v>4708</v>
      </c>
      <c r="B11069" s="833" t="s">
        <v>15336</v>
      </c>
      <c r="C11069" s="4" t="s">
        <v>12481</v>
      </c>
      <c r="D11069" s="834">
        <v>163.16999999999999</v>
      </c>
    </row>
    <row r="11070" spans="1:4" x14ac:dyDescent="0.3">
      <c r="A11070" s="4">
        <v>4712</v>
      </c>
      <c r="B11070" s="833" t="s">
        <v>15337</v>
      </c>
      <c r="C11070" s="4" t="s">
        <v>12481</v>
      </c>
      <c r="D11070" s="834">
        <v>79.77</v>
      </c>
    </row>
    <row r="11071" spans="1:4" x14ac:dyDescent="0.3">
      <c r="A11071" s="4">
        <v>4710</v>
      </c>
      <c r="B11071" s="833" t="s">
        <v>15338</v>
      </c>
      <c r="C11071" s="4" t="s">
        <v>12481</v>
      </c>
      <c r="D11071" s="834">
        <v>255.82</v>
      </c>
    </row>
    <row r="11072" spans="1:4" x14ac:dyDescent="0.3">
      <c r="A11072" s="4">
        <v>4750</v>
      </c>
      <c r="B11072" s="833" t="s">
        <v>15339</v>
      </c>
      <c r="C11072" s="4" t="s">
        <v>12226</v>
      </c>
      <c r="D11072" s="834">
        <v>21.83</v>
      </c>
    </row>
    <row r="11073" spans="1:4" x14ac:dyDescent="0.3">
      <c r="A11073" s="4">
        <v>41065</v>
      </c>
      <c r="B11073" s="833" t="s">
        <v>15340</v>
      </c>
      <c r="C11073" s="4" t="s">
        <v>12228</v>
      </c>
      <c r="D11073" s="834">
        <v>3886.77</v>
      </c>
    </row>
    <row r="11074" spans="1:4" x14ac:dyDescent="0.3">
      <c r="A11074" s="4">
        <v>34747</v>
      </c>
      <c r="B11074" s="833" t="s">
        <v>15341</v>
      </c>
      <c r="C11074" s="4" t="s">
        <v>1803</v>
      </c>
      <c r="D11074" s="834">
        <v>82.65</v>
      </c>
    </row>
    <row r="11075" spans="1:4" x14ac:dyDescent="0.3">
      <c r="A11075" s="4">
        <v>4826</v>
      </c>
      <c r="B11075" s="833" t="s">
        <v>15342</v>
      </c>
      <c r="C11075" s="4" t="s">
        <v>1803</v>
      </c>
      <c r="D11075" s="834">
        <v>88.87</v>
      </c>
    </row>
    <row r="11076" spans="1:4" x14ac:dyDescent="0.3">
      <c r="A11076" s="4">
        <v>41975</v>
      </c>
      <c r="B11076" s="833" t="s">
        <v>15343</v>
      </c>
      <c r="C11076" s="4" t="s">
        <v>12481</v>
      </c>
      <c r="D11076" s="834">
        <v>94.34</v>
      </c>
    </row>
    <row r="11077" spans="1:4" x14ac:dyDescent="0.3">
      <c r="A11077" s="4">
        <v>4825</v>
      </c>
      <c r="B11077" s="833" t="s">
        <v>15344</v>
      </c>
      <c r="C11077" s="4" t="s">
        <v>1803</v>
      </c>
      <c r="D11077" s="834">
        <v>123.02</v>
      </c>
    </row>
    <row r="11078" spans="1:4" x14ac:dyDescent="0.3">
      <c r="A11078" s="4">
        <v>34744</v>
      </c>
      <c r="B11078" s="833" t="s">
        <v>15345</v>
      </c>
      <c r="C11078" s="4" t="s">
        <v>12481</v>
      </c>
      <c r="D11078" s="834">
        <v>37.200000000000003</v>
      </c>
    </row>
    <row r="11079" spans="1:4" x14ac:dyDescent="0.3">
      <c r="A11079" s="4">
        <v>39430</v>
      </c>
      <c r="B11079" s="833" t="s">
        <v>15346</v>
      </c>
      <c r="C11079" s="4" t="s">
        <v>12080</v>
      </c>
      <c r="D11079" s="834">
        <v>1.92</v>
      </c>
    </row>
    <row r="11080" spans="1:4" x14ac:dyDescent="0.3">
      <c r="A11080" s="4">
        <v>39573</v>
      </c>
      <c r="B11080" s="833" t="s">
        <v>15347</v>
      </c>
      <c r="C11080" s="4" t="s">
        <v>12080</v>
      </c>
      <c r="D11080" s="834">
        <v>1.89</v>
      </c>
    </row>
    <row r="11081" spans="1:4" x14ac:dyDescent="0.3">
      <c r="A11081" s="4">
        <v>38410</v>
      </c>
      <c r="B11081" s="833" t="s">
        <v>15348</v>
      </c>
      <c r="C11081" s="4" t="s">
        <v>12080</v>
      </c>
      <c r="D11081" s="834">
        <v>15259.17</v>
      </c>
    </row>
    <row r="11082" spans="1:4" x14ac:dyDescent="0.3">
      <c r="A11082" s="4">
        <v>43082</v>
      </c>
      <c r="B11082" s="833" t="s">
        <v>15349</v>
      </c>
      <c r="C11082" s="4" t="s">
        <v>12126</v>
      </c>
      <c r="D11082" s="834">
        <v>10</v>
      </c>
    </row>
    <row r="11083" spans="1:4" x14ac:dyDescent="0.3">
      <c r="A11083" s="4">
        <v>43083</v>
      </c>
      <c r="B11083" s="833" t="s">
        <v>15350</v>
      </c>
      <c r="C11083" s="4" t="s">
        <v>12126</v>
      </c>
      <c r="D11083" s="834">
        <v>8.66</v>
      </c>
    </row>
    <row r="11084" spans="1:4" x14ac:dyDescent="0.3">
      <c r="A11084" s="4">
        <v>40535</v>
      </c>
      <c r="B11084" s="833" t="s">
        <v>15351</v>
      </c>
      <c r="C11084" s="4" t="s">
        <v>12126</v>
      </c>
      <c r="D11084" s="834">
        <v>8.66</v>
      </c>
    </row>
    <row r="11085" spans="1:4" x14ac:dyDescent="0.3">
      <c r="A11085" s="4">
        <v>40598</v>
      </c>
      <c r="B11085" s="833" t="s">
        <v>15352</v>
      </c>
      <c r="C11085" s="4" t="s">
        <v>12126</v>
      </c>
      <c r="D11085" s="834">
        <v>8.4499999999999993</v>
      </c>
    </row>
    <row r="11086" spans="1:4" x14ac:dyDescent="0.3">
      <c r="A11086" s="4">
        <v>43692</v>
      </c>
      <c r="B11086" s="833" t="s">
        <v>15353</v>
      </c>
      <c r="C11086" s="4" t="s">
        <v>12126</v>
      </c>
      <c r="D11086" s="834">
        <v>9.1199999999999992</v>
      </c>
    </row>
    <row r="11087" spans="1:4" x14ac:dyDescent="0.3">
      <c r="A11087" s="4">
        <v>43665</v>
      </c>
      <c r="B11087" s="833" t="s">
        <v>15354</v>
      </c>
      <c r="C11087" s="4" t="s">
        <v>12126</v>
      </c>
      <c r="D11087" s="834">
        <v>8.59</v>
      </c>
    </row>
    <row r="11088" spans="1:4" x14ac:dyDescent="0.3">
      <c r="A11088" s="4">
        <v>10966</v>
      </c>
      <c r="B11088" s="833" t="s">
        <v>15355</v>
      </c>
      <c r="C11088" s="4" t="s">
        <v>12126</v>
      </c>
      <c r="D11088" s="834">
        <v>9.1199999999999992</v>
      </c>
    </row>
    <row r="11089" spans="1:4" x14ac:dyDescent="0.3">
      <c r="A11089" s="4">
        <v>39427</v>
      </c>
      <c r="B11089" s="833" t="s">
        <v>15356</v>
      </c>
      <c r="C11089" s="4" t="s">
        <v>1803</v>
      </c>
      <c r="D11089" s="834">
        <v>5.0999999999999996</v>
      </c>
    </row>
    <row r="11090" spans="1:4" x14ac:dyDescent="0.3">
      <c r="A11090" s="4">
        <v>39424</v>
      </c>
      <c r="B11090" s="833" t="s">
        <v>15357</v>
      </c>
      <c r="C11090" s="4" t="s">
        <v>1803</v>
      </c>
      <c r="D11090" s="834">
        <v>3.03</v>
      </c>
    </row>
    <row r="11091" spans="1:4" x14ac:dyDescent="0.3">
      <c r="A11091" s="4">
        <v>39425</v>
      </c>
      <c r="B11091" s="833" t="s">
        <v>15358</v>
      </c>
      <c r="C11091" s="4" t="s">
        <v>1803</v>
      </c>
      <c r="D11091" s="834">
        <v>2.99</v>
      </c>
    </row>
    <row r="11092" spans="1:4" x14ac:dyDescent="0.3">
      <c r="A11092" s="4">
        <v>40664</v>
      </c>
      <c r="B11092" s="833" t="s">
        <v>15359</v>
      </c>
      <c r="C11092" s="4" t="s">
        <v>12126</v>
      </c>
      <c r="D11092" s="834">
        <v>17.77</v>
      </c>
    </row>
    <row r="11093" spans="1:4" x14ac:dyDescent="0.3">
      <c r="A11093" s="4">
        <v>34360</v>
      </c>
      <c r="B11093" s="833" t="s">
        <v>15360</v>
      </c>
      <c r="C11093" s="4" t="s">
        <v>12126</v>
      </c>
      <c r="D11093" s="834">
        <v>44.09</v>
      </c>
    </row>
    <row r="11094" spans="1:4" x14ac:dyDescent="0.3">
      <c r="A11094" s="4">
        <v>20259</v>
      </c>
      <c r="B11094" s="833" t="s">
        <v>15361</v>
      </c>
      <c r="C11094" s="4" t="s">
        <v>1803</v>
      </c>
      <c r="D11094" s="834">
        <v>15.5</v>
      </c>
    </row>
    <row r="11095" spans="1:4" x14ac:dyDescent="0.3">
      <c r="A11095" s="4">
        <v>14077</v>
      </c>
      <c r="B11095" s="833" t="s">
        <v>15362</v>
      </c>
      <c r="C11095" s="4" t="s">
        <v>1803</v>
      </c>
      <c r="D11095" s="834">
        <v>237.24</v>
      </c>
    </row>
    <row r="11096" spans="1:4" x14ac:dyDescent="0.3">
      <c r="A11096" s="4">
        <v>3678</v>
      </c>
      <c r="B11096" s="833" t="s">
        <v>15363</v>
      </c>
      <c r="C11096" s="4" t="s">
        <v>1803</v>
      </c>
      <c r="D11096" s="834">
        <v>107.23</v>
      </c>
    </row>
    <row r="11097" spans="1:4" x14ac:dyDescent="0.3">
      <c r="A11097" s="4">
        <v>11552</v>
      </c>
      <c r="B11097" s="833" t="s">
        <v>15364</v>
      </c>
      <c r="C11097" s="4" t="s">
        <v>1803</v>
      </c>
      <c r="D11097" s="834">
        <v>7.16</v>
      </c>
    </row>
    <row r="11098" spans="1:4" x14ac:dyDescent="0.3">
      <c r="A11098" s="4">
        <v>585</v>
      </c>
      <c r="B11098" s="833" t="s">
        <v>15365</v>
      </c>
      <c r="C11098" s="4" t="s">
        <v>12126</v>
      </c>
      <c r="D11098" s="834">
        <v>35.270000000000003</v>
      </c>
    </row>
    <row r="11099" spans="1:4" x14ac:dyDescent="0.3">
      <c r="A11099" s="4">
        <v>39418</v>
      </c>
      <c r="B11099" s="833" t="s">
        <v>15366</v>
      </c>
      <c r="C11099" s="4" t="s">
        <v>1803</v>
      </c>
      <c r="D11099" s="834">
        <v>5.68</v>
      </c>
    </row>
    <row r="11100" spans="1:4" x14ac:dyDescent="0.3">
      <c r="A11100" s="4">
        <v>39419</v>
      </c>
      <c r="B11100" s="833" t="s">
        <v>15367</v>
      </c>
      <c r="C11100" s="4" t="s">
        <v>1803</v>
      </c>
      <c r="D11100" s="834">
        <v>6.93</v>
      </c>
    </row>
    <row r="11101" spans="1:4" x14ac:dyDescent="0.3">
      <c r="A11101" s="4">
        <v>39420</v>
      </c>
      <c r="B11101" s="833" t="s">
        <v>15368</v>
      </c>
      <c r="C11101" s="4" t="s">
        <v>1803</v>
      </c>
      <c r="D11101" s="834">
        <v>7.65</v>
      </c>
    </row>
    <row r="11102" spans="1:4" x14ac:dyDescent="0.3">
      <c r="A11102" s="4">
        <v>39571</v>
      </c>
      <c r="B11102" s="833" t="s">
        <v>15369</v>
      </c>
      <c r="C11102" s="4" t="s">
        <v>1803</v>
      </c>
      <c r="D11102" s="834">
        <v>4.62</v>
      </c>
    </row>
    <row r="11103" spans="1:4" x14ac:dyDescent="0.3">
      <c r="A11103" s="4">
        <v>39421</v>
      </c>
      <c r="B11103" s="833" t="s">
        <v>15370</v>
      </c>
      <c r="C11103" s="4" t="s">
        <v>1803</v>
      </c>
      <c r="D11103" s="834">
        <v>6.73</v>
      </c>
    </row>
    <row r="11104" spans="1:4" x14ac:dyDescent="0.3">
      <c r="A11104" s="4">
        <v>39422</v>
      </c>
      <c r="B11104" s="833" t="s">
        <v>15371</v>
      </c>
      <c r="C11104" s="4" t="s">
        <v>1803</v>
      </c>
      <c r="D11104" s="834">
        <v>7.86</v>
      </c>
    </row>
    <row r="11105" spans="1:4" x14ac:dyDescent="0.3">
      <c r="A11105" s="4">
        <v>39423</v>
      </c>
      <c r="B11105" s="833" t="s">
        <v>15372</v>
      </c>
      <c r="C11105" s="4" t="s">
        <v>1803</v>
      </c>
      <c r="D11105" s="834">
        <v>9.1199999999999992</v>
      </c>
    </row>
    <row r="11106" spans="1:4" x14ac:dyDescent="0.3">
      <c r="A11106" s="4">
        <v>39426</v>
      </c>
      <c r="B11106" s="833" t="s">
        <v>15373</v>
      </c>
      <c r="C11106" s="4" t="s">
        <v>1803</v>
      </c>
      <c r="D11106" s="834">
        <v>20.51</v>
      </c>
    </row>
    <row r="11107" spans="1:4" x14ac:dyDescent="0.3">
      <c r="A11107" s="4">
        <v>39429</v>
      </c>
      <c r="B11107" s="833" t="s">
        <v>15374</v>
      </c>
      <c r="C11107" s="4" t="s">
        <v>1803</v>
      </c>
      <c r="D11107" s="834">
        <v>6.47</v>
      </c>
    </row>
    <row r="11108" spans="1:4" x14ac:dyDescent="0.3">
      <c r="A11108" s="4">
        <v>39428</v>
      </c>
      <c r="B11108" s="833" t="s">
        <v>15375</v>
      </c>
      <c r="C11108" s="4" t="s">
        <v>1803</v>
      </c>
      <c r="D11108" s="834">
        <v>4.9400000000000004</v>
      </c>
    </row>
    <row r="11109" spans="1:4" x14ac:dyDescent="0.3">
      <c r="A11109" s="4">
        <v>39572</v>
      </c>
      <c r="B11109" s="833" t="s">
        <v>15376</v>
      </c>
      <c r="C11109" s="4" t="s">
        <v>1803</v>
      </c>
      <c r="D11109" s="834">
        <v>4.28</v>
      </c>
    </row>
    <row r="11110" spans="1:4" x14ac:dyDescent="0.3">
      <c r="A11110" s="4">
        <v>39570</v>
      </c>
      <c r="B11110" s="833" t="s">
        <v>15377</v>
      </c>
      <c r="C11110" s="4" t="s">
        <v>1803</v>
      </c>
      <c r="D11110" s="834">
        <v>4.54</v>
      </c>
    </row>
    <row r="11111" spans="1:4" x14ac:dyDescent="0.3">
      <c r="A11111" s="4">
        <v>39569</v>
      </c>
      <c r="B11111" s="833" t="s">
        <v>15378</v>
      </c>
      <c r="C11111" s="4" t="s">
        <v>1803</v>
      </c>
      <c r="D11111" s="834">
        <v>4.4800000000000004</v>
      </c>
    </row>
    <row r="11112" spans="1:4" x14ac:dyDescent="0.3">
      <c r="A11112" s="4">
        <v>39029</v>
      </c>
      <c r="B11112" s="833" t="s">
        <v>15379</v>
      </c>
      <c r="C11112" s="4" t="s">
        <v>1803</v>
      </c>
      <c r="D11112" s="834">
        <v>14.48</v>
      </c>
    </row>
    <row r="11113" spans="1:4" x14ac:dyDescent="0.3">
      <c r="A11113" s="4">
        <v>39028</v>
      </c>
      <c r="B11113" s="833" t="s">
        <v>15380</v>
      </c>
      <c r="C11113" s="4" t="s">
        <v>1803</v>
      </c>
      <c r="D11113" s="834">
        <v>8.43</v>
      </c>
    </row>
    <row r="11114" spans="1:4" x14ac:dyDescent="0.3">
      <c r="A11114" s="4">
        <v>39328</v>
      </c>
      <c r="B11114" s="833" t="s">
        <v>15381</v>
      </c>
      <c r="C11114" s="4" t="s">
        <v>1803</v>
      </c>
      <c r="D11114" s="834">
        <v>4.63</v>
      </c>
    </row>
    <row r="11115" spans="1:4" x14ac:dyDescent="0.3">
      <c r="A11115" s="4">
        <v>38541</v>
      </c>
      <c r="B11115" s="833" t="s">
        <v>15382</v>
      </c>
      <c r="C11115" s="4" t="s">
        <v>12080</v>
      </c>
      <c r="D11115" s="834">
        <v>4474566.04</v>
      </c>
    </row>
    <row r="11116" spans="1:4" x14ac:dyDescent="0.3">
      <c r="A11116" s="4">
        <v>38542</v>
      </c>
      <c r="B11116" s="833" t="s">
        <v>15383</v>
      </c>
      <c r="C11116" s="4" t="s">
        <v>12080</v>
      </c>
      <c r="D11116" s="834">
        <v>6861001.29</v>
      </c>
    </row>
    <row r="11117" spans="1:4" x14ac:dyDescent="0.3">
      <c r="A11117" s="4">
        <v>45080</v>
      </c>
      <c r="B11117" s="833" t="s">
        <v>15384</v>
      </c>
      <c r="C11117" s="4" t="s">
        <v>12080</v>
      </c>
      <c r="D11117" s="834">
        <v>14858.74</v>
      </c>
    </row>
    <row r="11118" spans="1:4" x14ac:dyDescent="0.3">
      <c r="A11118" s="4">
        <v>38543</v>
      </c>
      <c r="B11118" s="833" t="s">
        <v>15385</v>
      </c>
      <c r="C11118" s="4" t="s">
        <v>12080</v>
      </c>
      <c r="D11118" s="834">
        <v>1397064.67</v>
      </c>
    </row>
    <row r="11119" spans="1:4" x14ac:dyDescent="0.3">
      <c r="A11119" s="4">
        <v>44002</v>
      </c>
      <c r="B11119" s="833" t="s">
        <v>15386</v>
      </c>
      <c r="C11119" s="4" t="s">
        <v>12080</v>
      </c>
      <c r="D11119" s="834">
        <v>6525607.6699999999</v>
      </c>
    </row>
    <row r="11120" spans="1:4" x14ac:dyDescent="0.3">
      <c r="A11120" s="4">
        <v>43886</v>
      </c>
      <c r="B11120" s="833" t="s">
        <v>15387</v>
      </c>
      <c r="C11120" s="4" t="s">
        <v>12080</v>
      </c>
      <c r="D11120" s="834">
        <v>3167001.37</v>
      </c>
    </row>
    <row r="11121" spans="1:4" x14ac:dyDescent="0.3">
      <c r="A11121" s="4">
        <v>40406</v>
      </c>
      <c r="B11121" s="833" t="s">
        <v>15388</v>
      </c>
      <c r="C11121" s="4" t="s">
        <v>12080</v>
      </c>
      <c r="D11121" s="834">
        <v>81125.09</v>
      </c>
    </row>
    <row r="11122" spans="1:4" x14ac:dyDescent="0.3">
      <c r="A11122" s="4">
        <v>40789</v>
      </c>
      <c r="B11122" s="833" t="s">
        <v>15389</v>
      </c>
      <c r="C11122" s="4" t="s">
        <v>12080</v>
      </c>
      <c r="D11122" s="834">
        <v>11690.95</v>
      </c>
    </row>
    <row r="11123" spans="1:4" x14ac:dyDescent="0.3">
      <c r="A11123" s="4">
        <v>40791</v>
      </c>
      <c r="B11123" s="833" t="s">
        <v>15390</v>
      </c>
      <c r="C11123" s="4" t="s">
        <v>12080</v>
      </c>
      <c r="D11123" s="834">
        <v>36597.78</v>
      </c>
    </row>
    <row r="11124" spans="1:4" x14ac:dyDescent="0.3">
      <c r="A11124" s="4">
        <v>44003</v>
      </c>
      <c r="B11124" s="833" t="s">
        <v>15391</v>
      </c>
      <c r="C11124" s="4" t="s">
        <v>12080</v>
      </c>
      <c r="D11124" s="834">
        <v>9068453.9000000004</v>
      </c>
    </row>
    <row r="11125" spans="1:4" x14ac:dyDescent="0.3">
      <c r="A11125" s="4">
        <v>44548</v>
      </c>
      <c r="B11125" s="833" t="s">
        <v>15392</v>
      </c>
      <c r="C11125" s="4" t="s">
        <v>12080</v>
      </c>
      <c r="D11125" s="834">
        <v>2773345.99</v>
      </c>
    </row>
    <row r="11126" spans="1:4" x14ac:dyDescent="0.3">
      <c r="A11126" s="4">
        <v>44550</v>
      </c>
      <c r="B11126" s="833" t="s">
        <v>15393</v>
      </c>
      <c r="C11126" s="4" t="s">
        <v>12080</v>
      </c>
      <c r="D11126" s="834">
        <v>8700942.8499999996</v>
      </c>
    </row>
    <row r="11127" spans="1:4" x14ac:dyDescent="0.3">
      <c r="A11127" s="4">
        <v>44549</v>
      </c>
      <c r="B11127" s="833" t="s">
        <v>15394</v>
      </c>
      <c r="C11127" s="4" t="s">
        <v>12080</v>
      </c>
      <c r="D11127" s="834">
        <v>6362564.4800000004</v>
      </c>
    </row>
    <row r="11128" spans="1:4" x14ac:dyDescent="0.3">
      <c r="A11128" s="4">
        <v>11651</v>
      </c>
      <c r="B11128" s="833" t="s">
        <v>15395</v>
      </c>
      <c r="C11128" s="4" t="s">
        <v>12080</v>
      </c>
      <c r="D11128" s="834">
        <v>20015.849999999999</v>
      </c>
    </row>
    <row r="11129" spans="1:4" x14ac:dyDescent="0.3">
      <c r="A11129" s="4">
        <v>41982</v>
      </c>
      <c r="B11129" s="833" t="s">
        <v>15396</v>
      </c>
      <c r="C11129" s="4" t="s">
        <v>12080</v>
      </c>
      <c r="D11129" s="834">
        <v>1690391.58</v>
      </c>
    </row>
    <row r="11130" spans="1:4" x14ac:dyDescent="0.3">
      <c r="A11130" s="4">
        <v>40435</v>
      </c>
      <c r="B11130" s="833" t="s">
        <v>15397</v>
      </c>
      <c r="C11130" s="4" t="s">
        <v>12080</v>
      </c>
      <c r="D11130" s="834">
        <v>1001562.98</v>
      </c>
    </row>
    <row r="11131" spans="1:4" x14ac:dyDescent="0.3">
      <c r="A11131" s="4">
        <v>39012</v>
      </c>
      <c r="B11131" s="833" t="s">
        <v>15398</v>
      </c>
      <c r="C11131" s="4" t="s">
        <v>12080</v>
      </c>
      <c r="D11131" s="834">
        <v>991862.14</v>
      </c>
    </row>
    <row r="11132" spans="1:4" x14ac:dyDescent="0.3">
      <c r="A11132" s="4">
        <v>13617</v>
      </c>
      <c r="B11132" s="833" t="s">
        <v>15399</v>
      </c>
      <c r="C11132" s="4" t="s">
        <v>12080</v>
      </c>
      <c r="D11132" s="834">
        <v>97316.4</v>
      </c>
    </row>
    <row r="11133" spans="1:4" x14ac:dyDescent="0.3">
      <c r="A11133" s="4">
        <v>35274</v>
      </c>
      <c r="B11133" s="833" t="s">
        <v>15400</v>
      </c>
      <c r="C11133" s="4" t="s">
        <v>1803</v>
      </c>
      <c r="D11133" s="834">
        <v>49.36</v>
      </c>
    </row>
    <row r="11134" spans="1:4" x14ac:dyDescent="0.3">
      <c r="A11134" s="4">
        <v>35275</v>
      </c>
      <c r="B11134" s="833" t="s">
        <v>15401</v>
      </c>
      <c r="C11134" s="4" t="s">
        <v>1803</v>
      </c>
      <c r="D11134" s="834">
        <v>104.78</v>
      </c>
    </row>
    <row r="11135" spans="1:4" x14ac:dyDescent="0.3">
      <c r="A11135" s="4">
        <v>35276</v>
      </c>
      <c r="B11135" s="833" t="s">
        <v>15402</v>
      </c>
      <c r="C11135" s="4" t="s">
        <v>1803</v>
      </c>
      <c r="D11135" s="834">
        <v>182.31</v>
      </c>
    </row>
    <row r="11136" spans="1:4" x14ac:dyDescent="0.3">
      <c r="A11136" s="4">
        <v>11091</v>
      </c>
      <c r="B11136" s="833" t="s">
        <v>15403</v>
      </c>
      <c r="C11136" s="4" t="s">
        <v>12080</v>
      </c>
      <c r="D11136" s="834">
        <v>1.72</v>
      </c>
    </row>
    <row r="11137" spans="1:4" x14ac:dyDescent="0.3">
      <c r="A11137" s="4">
        <v>37586</v>
      </c>
      <c r="B11137" s="833" t="s">
        <v>15404</v>
      </c>
      <c r="C11137" s="4" t="s">
        <v>14139</v>
      </c>
      <c r="D11137" s="834">
        <v>51.5</v>
      </c>
    </row>
    <row r="11138" spans="1:4" x14ac:dyDescent="0.3">
      <c r="A11138" s="4">
        <v>37395</v>
      </c>
      <c r="B11138" s="833" t="s">
        <v>15405</v>
      </c>
      <c r="C11138" s="4" t="s">
        <v>14139</v>
      </c>
      <c r="D11138" s="834">
        <v>44.28</v>
      </c>
    </row>
    <row r="11139" spans="1:4" x14ac:dyDescent="0.3">
      <c r="A11139" s="4">
        <v>14147</v>
      </c>
      <c r="B11139" s="833" t="s">
        <v>15406</v>
      </c>
      <c r="C11139" s="4" t="s">
        <v>14139</v>
      </c>
      <c r="D11139" s="834">
        <v>58.74</v>
      </c>
    </row>
    <row r="11140" spans="1:4" x14ac:dyDescent="0.3">
      <c r="A11140" s="4">
        <v>37396</v>
      </c>
      <c r="B11140" s="833" t="s">
        <v>15407</v>
      </c>
      <c r="C11140" s="4" t="s">
        <v>14139</v>
      </c>
      <c r="D11140" s="834">
        <v>36.229999999999997</v>
      </c>
    </row>
    <row r="11141" spans="1:4" x14ac:dyDescent="0.3">
      <c r="A11141" s="4">
        <v>37397</v>
      </c>
      <c r="B11141" s="833" t="s">
        <v>15408</v>
      </c>
      <c r="C11141" s="4" t="s">
        <v>14139</v>
      </c>
      <c r="D11141" s="834">
        <v>37.950000000000003</v>
      </c>
    </row>
    <row r="11142" spans="1:4" x14ac:dyDescent="0.3">
      <c r="A11142" s="4">
        <v>43606</v>
      </c>
      <c r="B11142" s="833" t="s">
        <v>15409</v>
      </c>
      <c r="C11142" s="4" t="s">
        <v>12080</v>
      </c>
      <c r="D11142" s="834">
        <v>8.58</v>
      </c>
    </row>
    <row r="11143" spans="1:4" x14ac:dyDescent="0.3">
      <c r="A11143" s="4">
        <v>444</v>
      </c>
      <c r="B11143" s="833" t="s">
        <v>15410</v>
      </c>
      <c r="C11143" s="4" t="s">
        <v>12080</v>
      </c>
      <c r="D11143" s="834">
        <v>44.66</v>
      </c>
    </row>
    <row r="11144" spans="1:4" x14ac:dyDescent="0.3">
      <c r="A11144" s="4">
        <v>445</v>
      </c>
      <c r="B11144" s="833" t="s">
        <v>15411</v>
      </c>
      <c r="C11144" s="4" t="s">
        <v>12080</v>
      </c>
      <c r="D11144" s="834">
        <v>61.13</v>
      </c>
    </row>
    <row r="11145" spans="1:4" x14ac:dyDescent="0.3">
      <c r="A11145" s="4">
        <v>4783</v>
      </c>
      <c r="B11145" s="833" t="s">
        <v>15412</v>
      </c>
      <c r="C11145" s="4" t="s">
        <v>12226</v>
      </c>
      <c r="D11145" s="834">
        <v>21.83</v>
      </c>
    </row>
    <row r="11146" spans="1:4" x14ac:dyDescent="0.3">
      <c r="A11146" s="4">
        <v>41079</v>
      </c>
      <c r="B11146" s="833" t="s">
        <v>15413</v>
      </c>
      <c r="C11146" s="4" t="s">
        <v>12228</v>
      </c>
      <c r="D11146" s="834">
        <v>3886.77</v>
      </c>
    </row>
    <row r="11147" spans="1:4" x14ac:dyDescent="0.3">
      <c r="A11147" s="4">
        <v>12874</v>
      </c>
      <c r="B11147" s="833" t="s">
        <v>15414</v>
      </c>
      <c r="C11147" s="4" t="s">
        <v>12226</v>
      </c>
      <c r="D11147" s="834">
        <v>21.18</v>
      </c>
    </row>
    <row r="11148" spans="1:4" x14ac:dyDescent="0.3">
      <c r="A11148" s="4">
        <v>41082</v>
      </c>
      <c r="B11148" s="833" t="s">
        <v>15415</v>
      </c>
      <c r="C11148" s="4" t="s">
        <v>12228</v>
      </c>
      <c r="D11148" s="834">
        <v>3774.3</v>
      </c>
    </row>
    <row r="11149" spans="1:4" x14ac:dyDescent="0.3">
      <c r="A11149" s="4">
        <v>4785</v>
      </c>
      <c r="B11149" s="833" t="s">
        <v>15416</v>
      </c>
      <c r="C11149" s="4" t="s">
        <v>12226</v>
      </c>
      <c r="D11149" s="834">
        <v>21.83</v>
      </c>
    </row>
    <row r="11150" spans="1:4" x14ac:dyDescent="0.3">
      <c r="A11150" s="4">
        <v>41081</v>
      </c>
      <c r="B11150" s="833" t="s">
        <v>15417</v>
      </c>
      <c r="C11150" s="4" t="s">
        <v>12228</v>
      </c>
      <c r="D11150" s="834">
        <v>3886.77</v>
      </c>
    </row>
    <row r="11151" spans="1:4" x14ac:dyDescent="0.3">
      <c r="A11151" s="4">
        <v>4801</v>
      </c>
      <c r="B11151" s="833" t="s">
        <v>15418</v>
      </c>
      <c r="C11151" s="4" t="s">
        <v>12481</v>
      </c>
      <c r="D11151" s="834">
        <v>77.790000000000006</v>
      </c>
    </row>
    <row r="11152" spans="1:4" x14ac:dyDescent="0.3">
      <c r="A11152" s="4">
        <v>4794</v>
      </c>
      <c r="B11152" s="833" t="s">
        <v>15419</v>
      </c>
      <c r="C11152" s="4" t="s">
        <v>12481</v>
      </c>
      <c r="D11152" s="834">
        <v>354.3</v>
      </c>
    </row>
    <row r="11153" spans="1:4" x14ac:dyDescent="0.3">
      <c r="A11153" s="4">
        <v>4796</v>
      </c>
      <c r="B11153" s="833" t="s">
        <v>15420</v>
      </c>
      <c r="C11153" s="4" t="s">
        <v>12481</v>
      </c>
      <c r="D11153" s="834">
        <v>215.2</v>
      </c>
    </row>
    <row r="11154" spans="1:4" x14ac:dyDescent="0.3">
      <c r="A11154" s="4">
        <v>4800</v>
      </c>
      <c r="B11154" s="833" t="s">
        <v>15421</v>
      </c>
      <c r="C11154" s="4" t="s">
        <v>12481</v>
      </c>
      <c r="D11154" s="834">
        <v>59.18</v>
      </c>
    </row>
    <row r="11155" spans="1:4" x14ac:dyDescent="0.3">
      <c r="A11155" s="4">
        <v>4795</v>
      </c>
      <c r="B11155" s="833" t="s">
        <v>15422</v>
      </c>
      <c r="C11155" s="4" t="s">
        <v>12481</v>
      </c>
      <c r="D11155" s="834">
        <v>344.89</v>
      </c>
    </row>
    <row r="11156" spans="1:4" x14ac:dyDescent="0.3">
      <c r="A11156" s="4">
        <v>39694</v>
      </c>
      <c r="B11156" s="833" t="s">
        <v>15423</v>
      </c>
      <c r="C11156" s="4" t="s">
        <v>12481</v>
      </c>
      <c r="D11156" s="834">
        <v>282.72000000000003</v>
      </c>
    </row>
    <row r="11157" spans="1:4" x14ac:dyDescent="0.3">
      <c r="A11157" s="4">
        <v>1292</v>
      </c>
      <c r="B11157" s="833" t="s">
        <v>15424</v>
      </c>
      <c r="C11157" s="4" t="s">
        <v>12481</v>
      </c>
      <c r="D11157" s="834">
        <v>39.299999999999997</v>
      </c>
    </row>
    <row r="11158" spans="1:4" x14ac:dyDescent="0.3">
      <c r="A11158" s="4">
        <v>1287</v>
      </c>
      <c r="B11158" s="833" t="s">
        <v>15425</v>
      </c>
      <c r="C11158" s="4" t="s">
        <v>12481</v>
      </c>
      <c r="D11158" s="834">
        <v>31.47</v>
      </c>
    </row>
    <row r="11159" spans="1:4" x14ac:dyDescent="0.3">
      <c r="A11159" s="4">
        <v>4786</v>
      </c>
      <c r="B11159" s="833" t="s">
        <v>15426</v>
      </c>
      <c r="C11159" s="4" t="s">
        <v>12481</v>
      </c>
      <c r="D11159" s="834">
        <v>108.5</v>
      </c>
    </row>
    <row r="11160" spans="1:4" x14ac:dyDescent="0.3">
      <c r="A11160" s="4">
        <v>10840</v>
      </c>
      <c r="B11160" s="833" t="s">
        <v>15427</v>
      </c>
      <c r="C11160" s="4" t="s">
        <v>12481</v>
      </c>
      <c r="D11160" s="834">
        <v>343.14</v>
      </c>
    </row>
    <row r="11161" spans="1:4" x14ac:dyDescent="0.3">
      <c r="A11161" s="4">
        <v>10841</v>
      </c>
      <c r="B11161" s="833" t="s">
        <v>15428</v>
      </c>
      <c r="C11161" s="4" t="s">
        <v>12481</v>
      </c>
      <c r="D11161" s="834">
        <v>258.97000000000003</v>
      </c>
    </row>
    <row r="11162" spans="1:4" x14ac:dyDescent="0.3">
      <c r="A11162" s="4">
        <v>44540</v>
      </c>
      <c r="B11162" s="833" t="s">
        <v>15429</v>
      </c>
      <c r="C11162" s="4" t="s">
        <v>12481</v>
      </c>
      <c r="D11162" s="834">
        <v>330.91</v>
      </c>
    </row>
    <row r="11163" spans="1:4" x14ac:dyDescent="0.3">
      <c r="A11163" s="4">
        <v>10842</v>
      </c>
      <c r="B11163" s="833" t="s">
        <v>15430</v>
      </c>
      <c r="C11163" s="4" t="s">
        <v>12481</v>
      </c>
      <c r="D11163" s="834">
        <v>374.07</v>
      </c>
    </row>
    <row r="11164" spans="1:4" x14ac:dyDescent="0.3">
      <c r="A11164" s="4">
        <v>45190</v>
      </c>
      <c r="B11164" s="833" t="s">
        <v>15431</v>
      </c>
      <c r="C11164" s="4" t="s">
        <v>12481</v>
      </c>
      <c r="D11164" s="834">
        <v>64.900000000000006</v>
      </c>
    </row>
    <row r="11165" spans="1:4" x14ac:dyDescent="0.3">
      <c r="A11165" s="4">
        <v>45189</v>
      </c>
      <c r="B11165" s="833" t="s">
        <v>15432</v>
      </c>
      <c r="C11165" s="4" t="s">
        <v>12481</v>
      </c>
      <c r="D11165" s="834">
        <v>107.35</v>
      </c>
    </row>
    <row r="11166" spans="1:4" x14ac:dyDescent="0.3">
      <c r="A11166" s="4">
        <v>45191</v>
      </c>
      <c r="B11166" s="833" t="s">
        <v>15433</v>
      </c>
      <c r="C11166" s="4" t="s">
        <v>12481</v>
      </c>
      <c r="D11166" s="834">
        <v>110.1</v>
      </c>
    </row>
    <row r="11167" spans="1:4" x14ac:dyDescent="0.3">
      <c r="A11167" s="4">
        <v>38180</v>
      </c>
      <c r="B11167" s="833" t="s">
        <v>15434</v>
      </c>
      <c r="C11167" s="4" t="s">
        <v>12481</v>
      </c>
      <c r="D11167" s="834">
        <v>173.26</v>
      </c>
    </row>
    <row r="11168" spans="1:4" x14ac:dyDescent="0.3">
      <c r="A11168" s="4">
        <v>40648</v>
      </c>
      <c r="B11168" s="833" t="s">
        <v>15435</v>
      </c>
      <c r="C11168" s="4" t="s">
        <v>12481</v>
      </c>
      <c r="D11168" s="834">
        <v>208.32</v>
      </c>
    </row>
    <row r="11169" spans="1:4" x14ac:dyDescent="0.3">
      <c r="A11169" s="4">
        <v>40649</v>
      </c>
      <c r="B11169" s="833" t="s">
        <v>15436</v>
      </c>
      <c r="C11169" s="4" t="s">
        <v>12481</v>
      </c>
      <c r="D11169" s="834">
        <v>121.34</v>
      </c>
    </row>
    <row r="11170" spans="1:4" x14ac:dyDescent="0.3">
      <c r="A11170" s="4">
        <v>40650</v>
      </c>
      <c r="B11170" s="833" t="s">
        <v>15437</v>
      </c>
      <c r="C11170" s="4" t="s">
        <v>12481</v>
      </c>
      <c r="D11170" s="834">
        <v>156.24</v>
      </c>
    </row>
    <row r="11171" spans="1:4" x14ac:dyDescent="0.3">
      <c r="A11171" s="4">
        <v>40651</v>
      </c>
      <c r="B11171" s="833" t="s">
        <v>15438</v>
      </c>
      <c r="C11171" s="4" t="s">
        <v>12481</v>
      </c>
      <c r="D11171" s="834">
        <v>288.17</v>
      </c>
    </row>
    <row r="11172" spans="1:4" x14ac:dyDescent="0.3">
      <c r="A11172" s="4">
        <v>40652</v>
      </c>
      <c r="B11172" s="833" t="s">
        <v>15439</v>
      </c>
      <c r="C11172" s="4" t="s">
        <v>12481</v>
      </c>
      <c r="D11172" s="834">
        <v>154.5</v>
      </c>
    </row>
    <row r="11173" spans="1:4" x14ac:dyDescent="0.3">
      <c r="A11173" s="4">
        <v>40647</v>
      </c>
      <c r="B11173" s="833" t="s">
        <v>15440</v>
      </c>
      <c r="C11173" s="4" t="s">
        <v>12481</v>
      </c>
      <c r="D11173" s="834">
        <v>170.12</v>
      </c>
    </row>
    <row r="11174" spans="1:4" x14ac:dyDescent="0.3">
      <c r="A11174" s="4">
        <v>40653</v>
      </c>
      <c r="B11174" s="833" t="s">
        <v>15441</v>
      </c>
      <c r="C11174" s="4" t="s">
        <v>12481</v>
      </c>
      <c r="D11174" s="834">
        <v>130.19999999999999</v>
      </c>
    </row>
    <row r="11175" spans="1:4" x14ac:dyDescent="0.3">
      <c r="A11175" s="4">
        <v>38135</v>
      </c>
      <c r="B11175" s="833" t="s">
        <v>15442</v>
      </c>
      <c r="C11175" s="4" t="s">
        <v>12481</v>
      </c>
      <c r="D11175" s="834">
        <v>108.38</v>
      </c>
    </row>
    <row r="11176" spans="1:4" x14ac:dyDescent="0.3">
      <c r="A11176" s="4">
        <v>36178</v>
      </c>
      <c r="B11176" s="833" t="s">
        <v>15443</v>
      </c>
      <c r="C11176" s="4" t="s">
        <v>12080</v>
      </c>
      <c r="D11176" s="834">
        <v>18.27</v>
      </c>
    </row>
    <row r="11177" spans="1:4" x14ac:dyDescent="0.3">
      <c r="A11177" s="4">
        <v>38181</v>
      </c>
      <c r="B11177" s="833" t="s">
        <v>15444</v>
      </c>
      <c r="C11177" s="4" t="s">
        <v>12481</v>
      </c>
      <c r="D11177" s="834">
        <v>236.53</v>
      </c>
    </row>
    <row r="11178" spans="1:4" x14ac:dyDescent="0.3">
      <c r="A11178" s="4">
        <v>38182</v>
      </c>
      <c r="B11178" s="833" t="s">
        <v>15445</v>
      </c>
      <c r="C11178" s="4" t="s">
        <v>12481</v>
      </c>
      <c r="D11178" s="834">
        <v>225.3</v>
      </c>
    </row>
    <row r="11179" spans="1:4" x14ac:dyDescent="0.3">
      <c r="A11179" s="4">
        <v>38186</v>
      </c>
      <c r="B11179" s="833" t="s">
        <v>15446</v>
      </c>
      <c r="C11179" s="4" t="s">
        <v>12481</v>
      </c>
      <c r="D11179" s="834">
        <v>585.64</v>
      </c>
    </row>
    <row r="11180" spans="1:4" x14ac:dyDescent="0.3">
      <c r="A11180" s="4">
        <v>38185</v>
      </c>
      <c r="B11180" s="833" t="s">
        <v>15447</v>
      </c>
      <c r="C11180" s="4" t="s">
        <v>12481</v>
      </c>
      <c r="D11180" s="834">
        <v>521.41999999999996</v>
      </c>
    </row>
    <row r="11181" spans="1:4" x14ac:dyDescent="0.3">
      <c r="A11181" s="4">
        <v>40654</v>
      </c>
      <c r="B11181" s="833" t="s">
        <v>15448</v>
      </c>
      <c r="C11181" s="4" t="s">
        <v>12481</v>
      </c>
      <c r="D11181" s="834">
        <v>202.24</v>
      </c>
    </row>
    <row r="11182" spans="1:4" x14ac:dyDescent="0.3">
      <c r="A11182" s="4">
        <v>44541</v>
      </c>
      <c r="B11182" s="833" t="s">
        <v>15449</v>
      </c>
      <c r="C11182" s="4" t="s">
        <v>12481</v>
      </c>
      <c r="D11182" s="834">
        <v>273.36</v>
      </c>
    </row>
    <row r="11183" spans="1:4" x14ac:dyDescent="0.3">
      <c r="A11183" s="4">
        <v>4822</v>
      </c>
      <c r="B11183" s="833" t="s">
        <v>15450</v>
      </c>
      <c r="C11183" s="4" t="s">
        <v>12481</v>
      </c>
      <c r="D11183" s="834">
        <v>340.51</v>
      </c>
    </row>
    <row r="11184" spans="1:4" x14ac:dyDescent="0.3">
      <c r="A11184" s="4">
        <v>4818</v>
      </c>
      <c r="B11184" s="833" t="s">
        <v>15451</v>
      </c>
      <c r="C11184" s="4" t="s">
        <v>12481</v>
      </c>
      <c r="D11184" s="834">
        <v>350</v>
      </c>
    </row>
    <row r="11185" spans="1:4" x14ac:dyDescent="0.3">
      <c r="A11185" s="4">
        <v>39567</v>
      </c>
      <c r="B11185" s="833" t="s">
        <v>15452</v>
      </c>
      <c r="C11185" s="4" t="s">
        <v>12481</v>
      </c>
      <c r="D11185" s="834">
        <v>36.64</v>
      </c>
    </row>
    <row r="11186" spans="1:4" x14ac:dyDescent="0.3">
      <c r="A11186" s="4">
        <v>39566</v>
      </c>
      <c r="B11186" s="833" t="s">
        <v>15453</v>
      </c>
      <c r="C11186" s="4" t="s">
        <v>12481</v>
      </c>
      <c r="D11186" s="834">
        <v>38.78</v>
      </c>
    </row>
    <row r="11187" spans="1:4" x14ac:dyDescent="0.3">
      <c r="A11187" s="4">
        <v>39416</v>
      </c>
      <c r="B11187" s="833" t="s">
        <v>15454</v>
      </c>
      <c r="C11187" s="4" t="s">
        <v>12481</v>
      </c>
      <c r="D11187" s="834">
        <v>23.63</v>
      </c>
    </row>
    <row r="11188" spans="1:4" x14ac:dyDescent="0.3">
      <c r="A11188" s="4">
        <v>39417</v>
      </c>
      <c r="B11188" s="833" t="s">
        <v>15455</v>
      </c>
      <c r="C11188" s="4" t="s">
        <v>12481</v>
      </c>
      <c r="D11188" s="834">
        <v>23.05</v>
      </c>
    </row>
    <row r="11189" spans="1:4" x14ac:dyDescent="0.3">
      <c r="A11189" s="4">
        <v>43742</v>
      </c>
      <c r="B11189" s="833" t="s">
        <v>15456</v>
      </c>
      <c r="C11189" s="4" t="s">
        <v>12481</v>
      </c>
      <c r="D11189" s="834">
        <v>24.86</v>
      </c>
    </row>
    <row r="11190" spans="1:4" x14ac:dyDescent="0.3">
      <c r="A11190" s="4">
        <v>39414</v>
      </c>
      <c r="B11190" s="833" t="s">
        <v>15457</v>
      </c>
      <c r="C11190" s="4" t="s">
        <v>12481</v>
      </c>
      <c r="D11190" s="834">
        <v>22.38</v>
      </c>
    </row>
    <row r="11191" spans="1:4" x14ac:dyDescent="0.3">
      <c r="A11191" s="4">
        <v>39415</v>
      </c>
      <c r="B11191" s="833" t="s">
        <v>15458</v>
      </c>
      <c r="C11191" s="4" t="s">
        <v>12481</v>
      </c>
      <c r="D11191" s="834">
        <v>19.29</v>
      </c>
    </row>
    <row r="11192" spans="1:4" x14ac:dyDescent="0.3">
      <c r="A11192" s="4">
        <v>43740</v>
      </c>
      <c r="B11192" s="833" t="s">
        <v>15459</v>
      </c>
      <c r="C11192" s="4" t="s">
        <v>12481</v>
      </c>
      <c r="D11192" s="834">
        <v>23.56</v>
      </c>
    </row>
    <row r="11193" spans="1:4" x14ac:dyDescent="0.3">
      <c r="A11193" s="4">
        <v>39412</v>
      </c>
      <c r="B11193" s="833" t="s">
        <v>15460</v>
      </c>
      <c r="C11193" s="4" t="s">
        <v>12481</v>
      </c>
      <c r="D11193" s="834">
        <v>16.16</v>
      </c>
    </row>
    <row r="11194" spans="1:4" x14ac:dyDescent="0.3">
      <c r="A11194" s="4">
        <v>39413</v>
      </c>
      <c r="B11194" s="833" t="s">
        <v>15461</v>
      </c>
      <c r="C11194" s="4" t="s">
        <v>12481</v>
      </c>
      <c r="D11194" s="834">
        <v>17.47</v>
      </c>
    </row>
    <row r="11195" spans="1:4" x14ac:dyDescent="0.3">
      <c r="A11195" s="4">
        <v>43741</v>
      </c>
      <c r="B11195" s="833" t="s">
        <v>15462</v>
      </c>
      <c r="C11195" s="4" t="s">
        <v>12481</v>
      </c>
      <c r="D11195" s="834">
        <v>18.63</v>
      </c>
    </row>
    <row r="11196" spans="1:4" x14ac:dyDescent="0.3">
      <c r="A11196" s="4">
        <v>11062</v>
      </c>
      <c r="B11196" s="833" t="s">
        <v>15463</v>
      </c>
      <c r="C11196" s="4" t="s">
        <v>12481</v>
      </c>
      <c r="D11196" s="834">
        <v>41.73</v>
      </c>
    </row>
    <row r="11197" spans="1:4" x14ac:dyDescent="0.3">
      <c r="A11197" s="4">
        <v>11063</v>
      </c>
      <c r="B11197" s="833" t="s">
        <v>15464</v>
      </c>
      <c r="C11197" s="4" t="s">
        <v>12481</v>
      </c>
      <c r="D11197" s="834">
        <v>25.54</v>
      </c>
    </row>
    <row r="11198" spans="1:4" x14ac:dyDescent="0.3">
      <c r="A11198" s="4">
        <v>13521</v>
      </c>
      <c r="B11198" s="833" t="s">
        <v>15465</v>
      </c>
      <c r="C11198" s="4" t="s">
        <v>12080</v>
      </c>
      <c r="D11198" s="834">
        <v>132</v>
      </c>
    </row>
    <row r="11199" spans="1:4" x14ac:dyDescent="0.3">
      <c r="A11199" s="4">
        <v>10851</v>
      </c>
      <c r="B11199" s="833" t="s">
        <v>15466</v>
      </c>
      <c r="C11199" s="4" t="s">
        <v>12080</v>
      </c>
      <c r="D11199" s="834">
        <v>64.39</v>
      </c>
    </row>
    <row r="11200" spans="1:4" x14ac:dyDescent="0.3">
      <c r="A11200" s="4">
        <v>39515</v>
      </c>
      <c r="B11200" s="833" t="s">
        <v>15467</v>
      </c>
      <c r="C11200" s="4" t="s">
        <v>12080</v>
      </c>
      <c r="D11200" s="834">
        <v>53.27</v>
      </c>
    </row>
    <row r="11201" spans="1:4" x14ac:dyDescent="0.3">
      <c r="A11201" s="4">
        <v>39516</v>
      </c>
      <c r="B11201" s="833" t="s">
        <v>15468</v>
      </c>
      <c r="C11201" s="4" t="s">
        <v>12080</v>
      </c>
      <c r="D11201" s="834">
        <v>44.91</v>
      </c>
    </row>
    <row r="11202" spans="1:4" x14ac:dyDescent="0.3">
      <c r="A11202" s="4">
        <v>39514</v>
      </c>
      <c r="B11202" s="833" t="s">
        <v>15469</v>
      </c>
      <c r="C11202" s="4" t="s">
        <v>12080</v>
      </c>
      <c r="D11202" s="834">
        <v>27.94</v>
      </c>
    </row>
    <row r="11203" spans="1:4" x14ac:dyDescent="0.3">
      <c r="A11203" s="4">
        <v>4812</v>
      </c>
      <c r="B11203" s="833" t="s">
        <v>15470</v>
      </c>
      <c r="C11203" s="4" t="s">
        <v>12481</v>
      </c>
      <c r="D11203" s="834">
        <v>9.69</v>
      </c>
    </row>
    <row r="11204" spans="1:4" x14ac:dyDescent="0.3">
      <c r="A11204" s="4">
        <v>10849</v>
      </c>
      <c r="B11204" s="833" t="s">
        <v>15471</v>
      </c>
      <c r="C11204" s="4" t="s">
        <v>12080</v>
      </c>
      <c r="D11204" s="834">
        <v>1920.01</v>
      </c>
    </row>
    <row r="11205" spans="1:4" x14ac:dyDescent="0.3">
      <c r="A11205" s="4">
        <v>10848</v>
      </c>
      <c r="B11205" s="833" t="s">
        <v>15472</v>
      </c>
      <c r="C11205" s="4" t="s">
        <v>12080</v>
      </c>
      <c r="D11205" s="834">
        <v>1206.01</v>
      </c>
    </row>
    <row r="11206" spans="1:4" x14ac:dyDescent="0.3">
      <c r="A11206" s="4">
        <v>4813</v>
      </c>
      <c r="B11206" s="833" t="s">
        <v>15473</v>
      </c>
      <c r="C11206" s="4" t="s">
        <v>12481</v>
      </c>
      <c r="D11206" s="834">
        <v>400</v>
      </c>
    </row>
    <row r="11207" spans="1:4" x14ac:dyDescent="0.3">
      <c r="A11207" s="4">
        <v>37560</v>
      </c>
      <c r="B11207" s="833" t="s">
        <v>15474</v>
      </c>
      <c r="C11207" s="4" t="s">
        <v>12080</v>
      </c>
      <c r="D11207" s="834">
        <v>49.21</v>
      </c>
    </row>
    <row r="11208" spans="1:4" x14ac:dyDescent="0.3">
      <c r="A11208" s="4">
        <v>37557</v>
      </c>
      <c r="B11208" s="833" t="s">
        <v>15475</v>
      </c>
      <c r="C11208" s="4" t="s">
        <v>12080</v>
      </c>
      <c r="D11208" s="834">
        <v>14.94</v>
      </c>
    </row>
    <row r="11209" spans="1:4" x14ac:dyDescent="0.3">
      <c r="A11209" s="4">
        <v>37556</v>
      </c>
      <c r="B11209" s="833" t="s">
        <v>15476</v>
      </c>
      <c r="C11209" s="4" t="s">
        <v>12080</v>
      </c>
      <c r="D11209" s="834">
        <v>28.91</v>
      </c>
    </row>
    <row r="11210" spans="1:4" x14ac:dyDescent="0.3">
      <c r="A11210" s="4">
        <v>37559</v>
      </c>
      <c r="B11210" s="833" t="s">
        <v>15477</v>
      </c>
      <c r="C11210" s="4" t="s">
        <v>12080</v>
      </c>
      <c r="D11210" s="834">
        <v>35.47</v>
      </c>
    </row>
    <row r="11211" spans="1:4" x14ac:dyDescent="0.3">
      <c r="A11211" s="4">
        <v>37539</v>
      </c>
      <c r="B11211" s="833" t="s">
        <v>15478</v>
      </c>
      <c r="C11211" s="4" t="s">
        <v>12080</v>
      </c>
      <c r="D11211" s="834">
        <v>25</v>
      </c>
    </row>
    <row r="11212" spans="1:4" x14ac:dyDescent="0.3">
      <c r="A11212" s="4">
        <v>37558</v>
      </c>
      <c r="B11212" s="833" t="s">
        <v>15479</v>
      </c>
      <c r="C11212" s="4" t="s">
        <v>12080</v>
      </c>
      <c r="D11212" s="834">
        <v>46.61</v>
      </c>
    </row>
    <row r="11213" spans="1:4" x14ac:dyDescent="0.3">
      <c r="A11213" s="4">
        <v>34723</v>
      </c>
      <c r="B11213" s="833" t="s">
        <v>15480</v>
      </c>
      <c r="C11213" s="4" t="s">
        <v>12481</v>
      </c>
      <c r="D11213" s="834">
        <v>924</v>
      </c>
    </row>
    <row r="11214" spans="1:4" x14ac:dyDescent="0.3">
      <c r="A11214" s="4">
        <v>34721</v>
      </c>
      <c r="B11214" s="833" t="s">
        <v>15481</v>
      </c>
      <c r="C11214" s="4" t="s">
        <v>12481</v>
      </c>
      <c r="D11214" s="834">
        <v>1152.01</v>
      </c>
    </row>
    <row r="11215" spans="1:4" x14ac:dyDescent="0.3">
      <c r="A11215" s="4">
        <v>4309</v>
      </c>
      <c r="B11215" s="833" t="s">
        <v>15482</v>
      </c>
      <c r="C11215" s="4" t="s">
        <v>12080</v>
      </c>
      <c r="D11215" s="834">
        <v>7.72</v>
      </c>
    </row>
    <row r="11216" spans="1:4" x14ac:dyDescent="0.3">
      <c r="A11216" s="4">
        <v>4307</v>
      </c>
      <c r="B11216" s="833" t="s">
        <v>15483</v>
      </c>
      <c r="C11216" s="4" t="s">
        <v>12080</v>
      </c>
      <c r="D11216" s="834">
        <v>13.2</v>
      </c>
    </row>
    <row r="11217" spans="1:4" x14ac:dyDescent="0.3">
      <c r="A11217" s="4">
        <v>10850</v>
      </c>
      <c r="B11217" s="833" t="s">
        <v>15484</v>
      </c>
      <c r="C11217" s="4" t="s">
        <v>12080</v>
      </c>
      <c r="D11217" s="834">
        <v>60</v>
      </c>
    </row>
    <row r="11218" spans="1:4" x14ac:dyDescent="0.3">
      <c r="A11218" s="4">
        <v>42438</v>
      </c>
      <c r="B11218" s="833" t="s">
        <v>15485</v>
      </c>
      <c r="C11218" s="4" t="s">
        <v>12080</v>
      </c>
      <c r="D11218" s="834">
        <v>2090.75</v>
      </c>
    </row>
    <row r="11219" spans="1:4" x14ac:dyDescent="0.3">
      <c r="A11219" s="4">
        <v>4792</v>
      </c>
      <c r="B11219" s="833" t="s">
        <v>15486</v>
      </c>
      <c r="C11219" s="4" t="s">
        <v>12481</v>
      </c>
      <c r="D11219" s="834">
        <v>166.32</v>
      </c>
    </row>
    <row r="11220" spans="1:4" x14ac:dyDescent="0.3">
      <c r="A11220" s="4">
        <v>4790</v>
      </c>
      <c r="B11220" s="833" t="s">
        <v>15487</v>
      </c>
      <c r="C11220" s="4" t="s">
        <v>12481</v>
      </c>
      <c r="D11220" s="834">
        <v>100</v>
      </c>
    </row>
    <row r="11221" spans="1:4" x14ac:dyDescent="0.3">
      <c r="A11221" s="4">
        <v>40671</v>
      </c>
      <c r="B11221" s="833" t="s">
        <v>15488</v>
      </c>
      <c r="C11221" s="4" t="s">
        <v>12481</v>
      </c>
      <c r="D11221" s="834">
        <v>119.95</v>
      </c>
    </row>
    <row r="11222" spans="1:4" x14ac:dyDescent="0.3">
      <c r="A11222" s="4">
        <v>7552</v>
      </c>
      <c r="B11222" s="833" t="s">
        <v>15489</v>
      </c>
      <c r="C11222" s="4" t="s">
        <v>12080</v>
      </c>
      <c r="D11222" s="834">
        <v>25</v>
      </c>
    </row>
    <row r="11223" spans="1:4" x14ac:dyDescent="0.3">
      <c r="A11223" s="4">
        <v>4893</v>
      </c>
      <c r="B11223" s="833" t="s">
        <v>15490</v>
      </c>
      <c r="C11223" s="4" t="s">
        <v>12080</v>
      </c>
      <c r="D11223" s="834">
        <v>15.74</v>
      </c>
    </row>
    <row r="11224" spans="1:4" x14ac:dyDescent="0.3">
      <c r="A11224" s="4">
        <v>4894</v>
      </c>
      <c r="B11224" s="833" t="s">
        <v>15491</v>
      </c>
      <c r="C11224" s="4" t="s">
        <v>12080</v>
      </c>
      <c r="D11224" s="834">
        <v>13.5</v>
      </c>
    </row>
    <row r="11225" spans="1:4" x14ac:dyDescent="0.3">
      <c r="A11225" s="4">
        <v>4888</v>
      </c>
      <c r="B11225" s="833" t="s">
        <v>15492</v>
      </c>
      <c r="C11225" s="4" t="s">
        <v>12080</v>
      </c>
      <c r="D11225" s="834">
        <v>4.5999999999999996</v>
      </c>
    </row>
    <row r="11226" spans="1:4" x14ac:dyDescent="0.3">
      <c r="A11226" s="4">
        <v>4890</v>
      </c>
      <c r="B11226" s="833" t="s">
        <v>15493</v>
      </c>
      <c r="C11226" s="4" t="s">
        <v>12080</v>
      </c>
      <c r="D11226" s="834">
        <v>8.64</v>
      </c>
    </row>
    <row r="11227" spans="1:4" x14ac:dyDescent="0.3">
      <c r="A11227" s="4">
        <v>12411</v>
      </c>
      <c r="B11227" s="833" t="s">
        <v>15494</v>
      </c>
      <c r="C11227" s="4" t="s">
        <v>12080</v>
      </c>
      <c r="D11227" s="834">
        <v>46.54</v>
      </c>
    </row>
    <row r="11228" spans="1:4" x14ac:dyDescent="0.3">
      <c r="A11228" s="4">
        <v>4891</v>
      </c>
      <c r="B11228" s="833" t="s">
        <v>15495</v>
      </c>
      <c r="C11228" s="4" t="s">
        <v>12080</v>
      </c>
      <c r="D11228" s="834">
        <v>23.27</v>
      </c>
    </row>
    <row r="11229" spans="1:4" x14ac:dyDescent="0.3">
      <c r="A11229" s="4">
        <v>4889</v>
      </c>
      <c r="B11229" s="833" t="s">
        <v>15496</v>
      </c>
      <c r="C11229" s="4" t="s">
        <v>12080</v>
      </c>
      <c r="D11229" s="834">
        <v>6.22</v>
      </c>
    </row>
    <row r="11230" spans="1:4" x14ac:dyDescent="0.3">
      <c r="A11230" s="4">
        <v>4892</v>
      </c>
      <c r="B11230" s="833" t="s">
        <v>15497</v>
      </c>
      <c r="C11230" s="4" t="s">
        <v>12080</v>
      </c>
      <c r="D11230" s="834">
        <v>65.17</v>
      </c>
    </row>
    <row r="11231" spans="1:4" x14ac:dyDescent="0.3">
      <c r="A11231" s="4">
        <v>12412</v>
      </c>
      <c r="B11231" s="833" t="s">
        <v>15498</v>
      </c>
      <c r="C11231" s="4" t="s">
        <v>12080</v>
      </c>
      <c r="D11231" s="834">
        <v>121.12</v>
      </c>
    </row>
    <row r="11232" spans="1:4" x14ac:dyDescent="0.3">
      <c r="A11232" s="4">
        <v>4907</v>
      </c>
      <c r="B11232" s="833" t="s">
        <v>15499</v>
      </c>
      <c r="C11232" s="4" t="s">
        <v>12080</v>
      </c>
      <c r="D11232" s="834">
        <v>21.99</v>
      </c>
    </row>
    <row r="11233" spans="1:4" x14ac:dyDescent="0.3">
      <c r="A11233" s="4">
        <v>4902</v>
      </c>
      <c r="B11233" s="833" t="s">
        <v>15500</v>
      </c>
      <c r="C11233" s="4" t="s">
        <v>12080</v>
      </c>
      <c r="D11233" s="834">
        <v>57.03</v>
      </c>
    </row>
    <row r="11234" spans="1:4" x14ac:dyDescent="0.3">
      <c r="A11234" s="4">
        <v>4741</v>
      </c>
      <c r="B11234" s="833" t="s">
        <v>15501</v>
      </c>
      <c r="C11234" s="4" t="s">
        <v>12224</v>
      </c>
      <c r="D11234" s="834">
        <v>186.45</v>
      </c>
    </row>
    <row r="11235" spans="1:4" x14ac:dyDescent="0.3">
      <c r="A11235" s="4">
        <v>4752</v>
      </c>
      <c r="B11235" s="833" t="s">
        <v>15502</v>
      </c>
      <c r="C11235" s="4" t="s">
        <v>12226</v>
      </c>
      <c r="D11235" s="834">
        <v>18</v>
      </c>
    </row>
    <row r="11236" spans="1:4" x14ac:dyDescent="0.3">
      <c r="A11236" s="4">
        <v>41091</v>
      </c>
      <c r="B11236" s="833" t="s">
        <v>15503</v>
      </c>
      <c r="C11236" s="4" t="s">
        <v>12228</v>
      </c>
      <c r="D11236" s="834">
        <v>3206.12</v>
      </c>
    </row>
    <row r="11237" spans="1:4" x14ac:dyDescent="0.3">
      <c r="A11237" s="4">
        <v>13954</v>
      </c>
      <c r="B11237" s="833" t="s">
        <v>15504</v>
      </c>
      <c r="C11237" s="4" t="s">
        <v>12080</v>
      </c>
      <c r="D11237" s="834">
        <v>7668.83</v>
      </c>
    </row>
    <row r="11238" spans="1:4" x14ac:dyDescent="0.3">
      <c r="A11238" s="4">
        <v>3411</v>
      </c>
      <c r="B11238" s="833" t="s">
        <v>15505</v>
      </c>
      <c r="C11238" s="4" t="s">
        <v>12126</v>
      </c>
      <c r="D11238" s="834">
        <v>56.43</v>
      </c>
    </row>
    <row r="11239" spans="1:4" x14ac:dyDescent="0.3">
      <c r="A11239" s="4">
        <v>39995</v>
      </c>
      <c r="B11239" s="833" t="s">
        <v>15506</v>
      </c>
      <c r="C11239" s="4" t="s">
        <v>12224</v>
      </c>
      <c r="D11239" s="834">
        <v>434.15</v>
      </c>
    </row>
    <row r="11240" spans="1:4" x14ac:dyDescent="0.3">
      <c r="A11240" s="4">
        <v>11615</v>
      </c>
      <c r="B11240" s="833" t="s">
        <v>15507</v>
      </c>
      <c r="C11240" s="4" t="s">
        <v>12481</v>
      </c>
      <c r="D11240" s="834">
        <v>3.68</v>
      </c>
    </row>
    <row r="11241" spans="1:4" x14ac:dyDescent="0.3">
      <c r="A11241" s="4">
        <v>3408</v>
      </c>
      <c r="B11241" s="833" t="s">
        <v>15508</v>
      </c>
      <c r="C11241" s="4" t="s">
        <v>12481</v>
      </c>
      <c r="D11241" s="834">
        <v>9.7799999999999994</v>
      </c>
    </row>
    <row r="11242" spans="1:4" x14ac:dyDescent="0.3">
      <c r="A11242" s="4">
        <v>3409</v>
      </c>
      <c r="B11242" s="833" t="s">
        <v>15509</v>
      </c>
      <c r="C11242" s="4" t="s">
        <v>12481</v>
      </c>
      <c r="D11242" s="834">
        <v>24.45</v>
      </c>
    </row>
    <row r="11243" spans="1:4" x14ac:dyDescent="0.3">
      <c r="A11243" s="4">
        <v>11427</v>
      </c>
      <c r="B11243" s="833" t="s">
        <v>15510</v>
      </c>
      <c r="C11243" s="4" t="s">
        <v>12126</v>
      </c>
      <c r="D11243" s="834">
        <v>110.19</v>
      </c>
    </row>
    <row r="11244" spans="1:4" x14ac:dyDescent="0.3">
      <c r="A11244" s="4">
        <v>4491</v>
      </c>
      <c r="B11244" s="833" t="s">
        <v>15511</v>
      </c>
      <c r="C11244" s="4" t="s">
        <v>1803</v>
      </c>
      <c r="D11244" s="834">
        <v>7.78</v>
      </c>
    </row>
    <row r="11245" spans="1:4" x14ac:dyDescent="0.3">
      <c r="A11245" s="4">
        <v>2745</v>
      </c>
      <c r="B11245" s="833" t="s">
        <v>15512</v>
      </c>
      <c r="C11245" s="4" t="s">
        <v>1803</v>
      </c>
      <c r="D11245" s="834">
        <v>4.09</v>
      </c>
    </row>
    <row r="11246" spans="1:4" x14ac:dyDescent="0.3">
      <c r="A11246" s="4">
        <v>14439</v>
      </c>
      <c r="B11246" s="833" t="s">
        <v>15513</v>
      </c>
      <c r="C11246" s="4" t="s">
        <v>1803</v>
      </c>
      <c r="D11246" s="834">
        <v>5.07</v>
      </c>
    </row>
    <row r="11247" spans="1:4" x14ac:dyDescent="0.3">
      <c r="A11247" s="4">
        <v>44496</v>
      </c>
      <c r="B11247" s="833" t="s">
        <v>15514</v>
      </c>
      <c r="C11247" s="4" t="s">
        <v>12080</v>
      </c>
      <c r="D11247" s="834">
        <v>116.1</v>
      </c>
    </row>
    <row r="11248" spans="1:4" x14ac:dyDescent="0.3">
      <c r="A11248" s="4">
        <v>12362</v>
      </c>
      <c r="B11248" s="833" t="s">
        <v>15515</v>
      </c>
      <c r="C11248" s="4" t="s">
        <v>12080</v>
      </c>
      <c r="D11248" s="834">
        <v>24.27</v>
      </c>
    </row>
    <row r="11249" spans="1:4" x14ac:dyDescent="0.3">
      <c r="A11249" s="4">
        <v>421</v>
      </c>
      <c r="B11249" s="833" t="s">
        <v>15516</v>
      </c>
      <c r="C11249" s="4" t="s">
        <v>12080</v>
      </c>
      <c r="D11249" s="834">
        <v>21.12</v>
      </c>
    </row>
    <row r="11250" spans="1:4" x14ac:dyDescent="0.3">
      <c r="A11250" s="4">
        <v>14148</v>
      </c>
      <c r="B11250" s="833" t="s">
        <v>15517</v>
      </c>
      <c r="C11250" s="4" t="s">
        <v>12080</v>
      </c>
      <c r="D11250" s="834">
        <v>1</v>
      </c>
    </row>
    <row r="11251" spans="1:4" x14ac:dyDescent="0.3">
      <c r="A11251" s="4">
        <v>4341</v>
      </c>
      <c r="B11251" s="833" t="s">
        <v>15518</v>
      </c>
      <c r="C11251" s="4" t="s">
        <v>12080</v>
      </c>
      <c r="D11251" s="834">
        <v>1.1000000000000001</v>
      </c>
    </row>
    <row r="11252" spans="1:4" x14ac:dyDescent="0.3">
      <c r="A11252" s="4">
        <v>4337</v>
      </c>
      <c r="B11252" s="833" t="s">
        <v>15519</v>
      </c>
      <c r="C11252" s="4" t="s">
        <v>12080</v>
      </c>
      <c r="D11252" s="834">
        <v>2.77</v>
      </c>
    </row>
    <row r="11253" spans="1:4" x14ac:dyDescent="0.3">
      <c r="A11253" s="4">
        <v>4339</v>
      </c>
      <c r="B11253" s="833" t="s">
        <v>15520</v>
      </c>
      <c r="C11253" s="4" t="s">
        <v>12080</v>
      </c>
      <c r="D11253" s="834">
        <v>0.59</v>
      </c>
    </row>
    <row r="11254" spans="1:4" x14ac:dyDescent="0.3">
      <c r="A11254" s="4">
        <v>39997</v>
      </c>
      <c r="B11254" s="833" t="s">
        <v>15521</v>
      </c>
      <c r="C11254" s="4" t="s">
        <v>12080</v>
      </c>
      <c r="D11254" s="834">
        <v>0.33</v>
      </c>
    </row>
    <row r="11255" spans="1:4" x14ac:dyDescent="0.3">
      <c r="A11255" s="4">
        <v>11971</v>
      </c>
      <c r="B11255" s="833" t="s">
        <v>15522</v>
      </c>
      <c r="C11255" s="4" t="s">
        <v>12080</v>
      </c>
      <c r="D11255" s="834">
        <v>4.59</v>
      </c>
    </row>
    <row r="11256" spans="1:4" x14ac:dyDescent="0.3">
      <c r="A11256" s="4">
        <v>4342</v>
      </c>
      <c r="B11256" s="833" t="s">
        <v>15523</v>
      </c>
      <c r="C11256" s="4" t="s">
        <v>12080</v>
      </c>
      <c r="D11256" s="834">
        <v>0.24</v>
      </c>
    </row>
    <row r="11257" spans="1:4" x14ac:dyDescent="0.3">
      <c r="A11257" s="4">
        <v>4330</v>
      </c>
      <c r="B11257" s="833" t="s">
        <v>15524</v>
      </c>
      <c r="C11257" s="4" t="s">
        <v>12080</v>
      </c>
      <c r="D11257" s="834">
        <v>0.16</v>
      </c>
    </row>
    <row r="11258" spans="1:4" x14ac:dyDescent="0.3">
      <c r="A11258" s="4">
        <v>4340</v>
      </c>
      <c r="B11258" s="833" t="s">
        <v>15525</v>
      </c>
      <c r="C11258" s="4" t="s">
        <v>12080</v>
      </c>
      <c r="D11258" s="834">
        <v>1.28</v>
      </c>
    </row>
    <row r="11259" spans="1:4" x14ac:dyDescent="0.3">
      <c r="A11259" s="4">
        <v>5088</v>
      </c>
      <c r="B11259" s="833" t="s">
        <v>15526</v>
      </c>
      <c r="C11259" s="4" t="s">
        <v>12080</v>
      </c>
      <c r="D11259" s="834">
        <v>6.7</v>
      </c>
    </row>
    <row r="11260" spans="1:4" x14ac:dyDescent="0.3">
      <c r="A11260" s="4">
        <v>11154</v>
      </c>
      <c r="B11260" s="833" t="s">
        <v>15527</v>
      </c>
      <c r="C11260" s="4" t="s">
        <v>12080</v>
      </c>
      <c r="D11260" s="834">
        <v>1326.54</v>
      </c>
    </row>
    <row r="11261" spans="1:4" x14ac:dyDescent="0.3">
      <c r="A11261" s="4">
        <v>4989</v>
      </c>
      <c r="B11261" s="833" t="s">
        <v>15528</v>
      </c>
      <c r="C11261" s="4" t="s">
        <v>12080</v>
      </c>
      <c r="D11261" s="834">
        <v>378.88</v>
      </c>
    </row>
    <row r="11262" spans="1:4" x14ac:dyDescent="0.3">
      <c r="A11262" s="4">
        <v>4982</v>
      </c>
      <c r="B11262" s="833" t="s">
        <v>15529</v>
      </c>
      <c r="C11262" s="4" t="s">
        <v>12080</v>
      </c>
      <c r="D11262" s="834">
        <v>355.37</v>
      </c>
    </row>
    <row r="11263" spans="1:4" x14ac:dyDescent="0.3">
      <c r="A11263" s="4">
        <v>4962</v>
      </c>
      <c r="B11263" s="833" t="s">
        <v>15530</v>
      </c>
      <c r="C11263" s="4" t="s">
        <v>12080</v>
      </c>
      <c r="D11263" s="834">
        <v>280.26</v>
      </c>
    </row>
    <row r="11264" spans="1:4" x14ac:dyDescent="0.3">
      <c r="A11264" s="4">
        <v>4981</v>
      </c>
      <c r="B11264" s="833" t="s">
        <v>15531</v>
      </c>
      <c r="C11264" s="4" t="s">
        <v>12080</v>
      </c>
      <c r="D11264" s="834">
        <v>249.5</v>
      </c>
    </row>
    <row r="11265" spans="1:4" x14ac:dyDescent="0.3">
      <c r="A11265" s="4">
        <v>4964</v>
      </c>
      <c r="B11265" s="833" t="s">
        <v>15532</v>
      </c>
      <c r="C11265" s="4" t="s">
        <v>12080</v>
      </c>
      <c r="D11265" s="834">
        <v>316.52</v>
      </c>
    </row>
    <row r="11266" spans="1:4" x14ac:dyDescent="0.3">
      <c r="A11266" s="4">
        <v>4992</v>
      </c>
      <c r="B11266" s="833" t="s">
        <v>15533</v>
      </c>
      <c r="C11266" s="4" t="s">
        <v>12080</v>
      </c>
      <c r="D11266" s="834">
        <v>309.18</v>
      </c>
    </row>
    <row r="11267" spans="1:4" x14ac:dyDescent="0.3">
      <c r="A11267" s="4">
        <v>4987</v>
      </c>
      <c r="B11267" s="833" t="s">
        <v>15534</v>
      </c>
      <c r="C11267" s="4" t="s">
        <v>12080</v>
      </c>
      <c r="D11267" s="834">
        <v>353.73</v>
      </c>
    </row>
    <row r="11268" spans="1:4" x14ac:dyDescent="0.3">
      <c r="A11268" s="4">
        <v>4930</v>
      </c>
      <c r="B11268" s="833" t="s">
        <v>15535</v>
      </c>
      <c r="C11268" s="4" t="s">
        <v>12481</v>
      </c>
      <c r="D11268" s="834">
        <v>561.87</v>
      </c>
    </row>
    <row r="11269" spans="1:4" x14ac:dyDescent="0.3">
      <c r="A11269" s="4">
        <v>4998</v>
      </c>
      <c r="B11269" s="833" t="s">
        <v>15536</v>
      </c>
      <c r="C11269" s="4" t="s">
        <v>12481</v>
      </c>
      <c r="D11269" s="834">
        <v>654.91999999999996</v>
      </c>
    </row>
    <row r="11270" spans="1:4" x14ac:dyDescent="0.3">
      <c r="A11270" s="4">
        <v>39021</v>
      </c>
      <c r="B11270" s="833" t="s">
        <v>15537</v>
      </c>
      <c r="C11270" s="4" t="s">
        <v>12080</v>
      </c>
      <c r="D11270" s="834">
        <v>597.41</v>
      </c>
    </row>
    <row r="11271" spans="1:4" x14ac:dyDescent="0.3">
      <c r="A11271" s="4">
        <v>39022</v>
      </c>
      <c r="B11271" s="833" t="s">
        <v>15538</v>
      </c>
      <c r="C11271" s="4" t="s">
        <v>12080</v>
      </c>
      <c r="D11271" s="834">
        <v>535.12</v>
      </c>
    </row>
    <row r="11272" spans="1:4" x14ac:dyDescent="0.3">
      <c r="A11272" s="4">
        <v>39024</v>
      </c>
      <c r="B11272" s="833" t="s">
        <v>15539</v>
      </c>
      <c r="C11272" s="4" t="s">
        <v>12080</v>
      </c>
      <c r="D11272" s="834">
        <v>608.5</v>
      </c>
    </row>
    <row r="11273" spans="1:4" x14ac:dyDescent="0.3">
      <c r="A11273" s="4">
        <v>4914</v>
      </c>
      <c r="B11273" s="833" t="s">
        <v>15540</v>
      </c>
      <c r="C11273" s="4" t="s">
        <v>12481</v>
      </c>
      <c r="D11273" s="834">
        <v>493.39</v>
      </c>
    </row>
    <row r="11274" spans="1:4" x14ac:dyDescent="0.3">
      <c r="A11274" s="4">
        <v>4917</v>
      </c>
      <c r="B11274" s="833" t="s">
        <v>15541</v>
      </c>
      <c r="C11274" s="4" t="s">
        <v>12481</v>
      </c>
      <c r="D11274" s="834">
        <v>340.74</v>
      </c>
    </row>
    <row r="11275" spans="1:4" x14ac:dyDescent="0.3">
      <c r="A11275" s="4">
        <v>39025</v>
      </c>
      <c r="B11275" s="833" t="s">
        <v>15542</v>
      </c>
      <c r="C11275" s="4" t="s">
        <v>12080</v>
      </c>
      <c r="D11275" s="834">
        <v>623.96</v>
      </c>
    </row>
    <row r="11276" spans="1:4" x14ac:dyDescent="0.3">
      <c r="A11276" s="4">
        <v>4922</v>
      </c>
      <c r="B11276" s="833" t="s">
        <v>15543</v>
      </c>
      <c r="C11276" s="4" t="s">
        <v>12481</v>
      </c>
      <c r="D11276" s="834">
        <v>316.06</v>
      </c>
    </row>
    <row r="11277" spans="1:4" x14ac:dyDescent="0.3">
      <c r="A11277" s="4">
        <v>4911</v>
      </c>
      <c r="B11277" s="833" t="s">
        <v>15544</v>
      </c>
      <c r="C11277" s="4" t="s">
        <v>12481</v>
      </c>
      <c r="D11277" s="834">
        <v>292.32</v>
      </c>
    </row>
    <row r="11278" spans="1:4" x14ac:dyDescent="0.3">
      <c r="A11278" s="4">
        <v>37518</v>
      </c>
      <c r="B11278" s="833" t="s">
        <v>15545</v>
      </c>
      <c r="C11278" s="4" t="s">
        <v>12481</v>
      </c>
      <c r="D11278" s="834">
        <v>475.02</v>
      </c>
    </row>
    <row r="11279" spans="1:4" x14ac:dyDescent="0.3">
      <c r="A11279" s="4">
        <v>4910</v>
      </c>
      <c r="B11279" s="833" t="s">
        <v>15546</v>
      </c>
      <c r="C11279" s="4" t="s">
        <v>12481</v>
      </c>
      <c r="D11279" s="834">
        <v>400.44</v>
      </c>
    </row>
    <row r="11280" spans="1:4" x14ac:dyDescent="0.3">
      <c r="A11280" s="4">
        <v>4943</v>
      </c>
      <c r="B11280" s="833" t="s">
        <v>15547</v>
      </c>
      <c r="C11280" s="4" t="s">
        <v>12481</v>
      </c>
      <c r="D11280" s="834">
        <v>596.57000000000005</v>
      </c>
    </row>
    <row r="11281" spans="1:4" x14ac:dyDescent="0.3">
      <c r="A11281" s="4">
        <v>5002</v>
      </c>
      <c r="B11281" s="833" t="s">
        <v>15548</v>
      </c>
      <c r="C11281" s="4" t="s">
        <v>12481</v>
      </c>
      <c r="D11281" s="834">
        <v>477.42</v>
      </c>
    </row>
    <row r="11282" spans="1:4" x14ac:dyDescent="0.3">
      <c r="A11282" s="4">
        <v>4977</v>
      </c>
      <c r="B11282" s="833" t="s">
        <v>15549</v>
      </c>
      <c r="C11282" s="4" t="s">
        <v>12481</v>
      </c>
      <c r="D11282" s="834">
        <v>322.27999999999997</v>
      </c>
    </row>
    <row r="11283" spans="1:4" x14ac:dyDescent="0.3">
      <c r="A11283" s="4">
        <v>5028</v>
      </c>
      <c r="B11283" s="833" t="s">
        <v>15550</v>
      </c>
      <c r="C11283" s="4" t="s">
        <v>12481</v>
      </c>
      <c r="D11283" s="834">
        <v>788.56</v>
      </c>
    </row>
    <row r="11284" spans="1:4" x14ac:dyDescent="0.3">
      <c r="A11284" s="4">
        <v>4969</v>
      </c>
      <c r="B11284" s="833" t="s">
        <v>15551</v>
      </c>
      <c r="C11284" s="4" t="s">
        <v>12481</v>
      </c>
      <c r="D11284" s="834">
        <v>455.8</v>
      </c>
    </row>
    <row r="11285" spans="1:4" x14ac:dyDescent="0.3">
      <c r="A11285" s="4">
        <v>11364</v>
      </c>
      <c r="B11285" s="833" t="s">
        <v>15552</v>
      </c>
      <c r="C11285" s="4" t="s">
        <v>12080</v>
      </c>
      <c r="D11285" s="834">
        <v>214.34</v>
      </c>
    </row>
    <row r="11286" spans="1:4" x14ac:dyDescent="0.3">
      <c r="A11286" s="4">
        <v>11365</v>
      </c>
      <c r="B11286" s="833" t="s">
        <v>15553</v>
      </c>
      <c r="C11286" s="4" t="s">
        <v>12080</v>
      </c>
      <c r="D11286" s="834">
        <v>222.43</v>
      </c>
    </row>
    <row r="11287" spans="1:4" x14ac:dyDescent="0.3">
      <c r="A11287" s="4">
        <v>11366</v>
      </c>
      <c r="B11287" s="833" t="s">
        <v>15554</v>
      </c>
      <c r="C11287" s="4" t="s">
        <v>12080</v>
      </c>
      <c r="D11287" s="834">
        <v>236.45</v>
      </c>
    </row>
    <row r="11288" spans="1:4" x14ac:dyDescent="0.3">
      <c r="A11288" s="4">
        <v>43777</v>
      </c>
      <c r="B11288" s="833" t="s">
        <v>15555</v>
      </c>
      <c r="C11288" s="4" t="s">
        <v>12080</v>
      </c>
      <c r="D11288" s="834">
        <v>277.74</v>
      </c>
    </row>
    <row r="11289" spans="1:4" x14ac:dyDescent="0.3">
      <c r="A11289" s="4">
        <v>20322</v>
      </c>
      <c r="B11289" s="833" t="s">
        <v>15556</v>
      </c>
      <c r="C11289" s="4" t="s">
        <v>12080</v>
      </c>
      <c r="D11289" s="834">
        <v>257.83</v>
      </c>
    </row>
    <row r="11290" spans="1:4" x14ac:dyDescent="0.3">
      <c r="A11290" s="4">
        <v>10553</v>
      </c>
      <c r="B11290" s="833" t="s">
        <v>15557</v>
      </c>
      <c r="C11290" s="4" t="s">
        <v>12080</v>
      </c>
      <c r="D11290" s="834">
        <v>234.11</v>
      </c>
    </row>
    <row r="11291" spans="1:4" x14ac:dyDescent="0.3">
      <c r="A11291" s="4">
        <v>5020</v>
      </c>
      <c r="B11291" s="833" t="s">
        <v>15558</v>
      </c>
      <c r="C11291" s="4" t="s">
        <v>12080</v>
      </c>
      <c r="D11291" s="834">
        <v>246.82</v>
      </c>
    </row>
    <row r="11292" spans="1:4" x14ac:dyDescent="0.3">
      <c r="A11292" s="4">
        <v>10554</v>
      </c>
      <c r="B11292" s="833" t="s">
        <v>15559</v>
      </c>
      <c r="C11292" s="4" t="s">
        <v>12080</v>
      </c>
      <c r="D11292" s="834">
        <v>236.18</v>
      </c>
    </row>
    <row r="11293" spans="1:4" x14ac:dyDescent="0.3">
      <c r="A11293" s="4">
        <v>10555</v>
      </c>
      <c r="B11293" s="833" t="s">
        <v>15560</v>
      </c>
      <c r="C11293" s="4" t="s">
        <v>12080</v>
      </c>
      <c r="D11293" s="834">
        <v>257.57</v>
      </c>
    </row>
    <row r="11294" spans="1:4" x14ac:dyDescent="0.3">
      <c r="A11294" s="4">
        <v>10556</v>
      </c>
      <c r="B11294" s="833" t="s">
        <v>15561</v>
      </c>
      <c r="C11294" s="4" t="s">
        <v>12080</v>
      </c>
      <c r="D11294" s="834">
        <v>342.46</v>
      </c>
    </row>
    <row r="11295" spans="1:4" x14ac:dyDescent="0.3">
      <c r="A11295" s="4">
        <v>39502</v>
      </c>
      <c r="B11295" s="833" t="s">
        <v>15562</v>
      </c>
      <c r="C11295" s="4" t="s">
        <v>12080</v>
      </c>
      <c r="D11295" s="834">
        <v>480.89</v>
      </c>
    </row>
    <row r="11296" spans="1:4" x14ac:dyDescent="0.3">
      <c r="A11296" s="4">
        <v>39504</v>
      </c>
      <c r="B11296" s="833" t="s">
        <v>15563</v>
      </c>
      <c r="C11296" s="4" t="s">
        <v>12080</v>
      </c>
      <c r="D11296" s="834">
        <v>531.78</v>
      </c>
    </row>
    <row r="11297" spans="1:4" x14ac:dyDescent="0.3">
      <c r="A11297" s="4">
        <v>39503</v>
      </c>
      <c r="B11297" s="833" t="s">
        <v>15564</v>
      </c>
      <c r="C11297" s="4" t="s">
        <v>12080</v>
      </c>
      <c r="D11297" s="834">
        <v>559.67999999999995</v>
      </c>
    </row>
    <row r="11298" spans="1:4" x14ac:dyDescent="0.3">
      <c r="A11298" s="4">
        <v>39505</v>
      </c>
      <c r="B11298" s="833" t="s">
        <v>15565</v>
      </c>
      <c r="C11298" s="4" t="s">
        <v>12080</v>
      </c>
      <c r="D11298" s="834">
        <v>603.13</v>
      </c>
    </row>
    <row r="11299" spans="1:4" x14ac:dyDescent="0.3">
      <c r="A11299" s="4">
        <v>44471</v>
      </c>
      <c r="B11299" s="833" t="s">
        <v>15566</v>
      </c>
      <c r="C11299" s="4" t="s">
        <v>12080</v>
      </c>
      <c r="D11299" s="834">
        <v>516.87</v>
      </c>
    </row>
    <row r="11300" spans="1:4" x14ac:dyDescent="0.3">
      <c r="A11300" s="4">
        <v>4944</v>
      </c>
      <c r="B11300" s="833" t="s">
        <v>15567</v>
      </c>
      <c r="C11300" s="4" t="s">
        <v>12481</v>
      </c>
      <c r="D11300" s="834">
        <v>891.87</v>
      </c>
    </row>
    <row r="11301" spans="1:4" x14ac:dyDescent="0.3">
      <c r="A11301" s="4">
        <v>21102</v>
      </c>
      <c r="B11301" s="833" t="s">
        <v>15568</v>
      </c>
      <c r="C11301" s="4" t="s">
        <v>12080</v>
      </c>
      <c r="D11301" s="834">
        <v>40.479999999999997</v>
      </c>
    </row>
    <row r="11302" spans="1:4" x14ac:dyDescent="0.3">
      <c r="A11302" s="4">
        <v>21101</v>
      </c>
      <c r="B11302" s="833" t="s">
        <v>15569</v>
      </c>
      <c r="C11302" s="4" t="s">
        <v>12080</v>
      </c>
      <c r="D11302" s="834">
        <v>25.99</v>
      </c>
    </row>
    <row r="11303" spans="1:4" x14ac:dyDescent="0.3">
      <c r="A11303" s="4">
        <v>34713</v>
      </c>
      <c r="B11303" s="833" t="s">
        <v>15570</v>
      </c>
      <c r="C11303" s="4" t="s">
        <v>12481</v>
      </c>
      <c r="D11303" s="834">
        <v>295.77</v>
      </c>
    </row>
    <row r="11304" spans="1:4" x14ac:dyDescent="0.3">
      <c r="A11304" s="4">
        <v>37563</v>
      </c>
      <c r="B11304" s="833" t="s">
        <v>15571</v>
      </c>
      <c r="C11304" s="4" t="s">
        <v>12481</v>
      </c>
      <c r="D11304" s="834">
        <v>618.26</v>
      </c>
    </row>
    <row r="11305" spans="1:4" x14ac:dyDescent="0.3">
      <c r="A11305" s="4">
        <v>4948</v>
      </c>
      <c r="B11305" s="833" t="s">
        <v>15572</v>
      </c>
      <c r="C11305" s="4" t="s">
        <v>12481</v>
      </c>
      <c r="D11305" s="834">
        <v>537.9</v>
      </c>
    </row>
    <row r="11306" spans="1:4" x14ac:dyDescent="0.3">
      <c r="A11306" s="4">
        <v>37561</v>
      </c>
      <c r="B11306" s="833" t="s">
        <v>15573</v>
      </c>
      <c r="C11306" s="4" t="s">
        <v>12481</v>
      </c>
      <c r="D11306" s="834">
        <v>501.67</v>
      </c>
    </row>
    <row r="11307" spans="1:4" x14ac:dyDescent="0.3">
      <c r="A11307" s="4">
        <v>37562</v>
      </c>
      <c r="B11307" s="833" t="s">
        <v>15574</v>
      </c>
      <c r="C11307" s="4" t="s">
        <v>12481</v>
      </c>
      <c r="D11307" s="834">
        <v>657.75</v>
      </c>
    </row>
    <row r="11308" spans="1:4" x14ac:dyDescent="0.3">
      <c r="A11308" s="4">
        <v>14164</v>
      </c>
      <c r="B11308" s="833" t="s">
        <v>15575</v>
      </c>
      <c r="C11308" s="4" t="s">
        <v>12080</v>
      </c>
      <c r="D11308" s="834">
        <v>1836.36</v>
      </c>
    </row>
    <row r="11309" spans="1:4" x14ac:dyDescent="0.3">
      <c r="A11309" s="4">
        <v>14163</v>
      </c>
      <c r="B11309" s="833" t="s">
        <v>15576</v>
      </c>
      <c r="C11309" s="4" t="s">
        <v>12080</v>
      </c>
      <c r="D11309" s="834">
        <v>2087.14</v>
      </c>
    </row>
    <row r="11310" spans="1:4" x14ac:dyDescent="0.3">
      <c r="A11310" s="4">
        <v>5051</v>
      </c>
      <c r="B11310" s="833" t="s">
        <v>15577</v>
      </c>
      <c r="C11310" s="4" t="s">
        <v>12080</v>
      </c>
      <c r="D11310" s="834">
        <v>1775.08</v>
      </c>
    </row>
    <row r="11311" spans="1:4" x14ac:dyDescent="0.3">
      <c r="A11311" s="4">
        <v>5052</v>
      </c>
      <c r="B11311" s="833" t="s">
        <v>15578</v>
      </c>
      <c r="C11311" s="4" t="s">
        <v>12080</v>
      </c>
      <c r="D11311" s="834">
        <v>1322.54</v>
      </c>
    </row>
    <row r="11312" spans="1:4" x14ac:dyDescent="0.3">
      <c r="A11312" s="4">
        <v>14162</v>
      </c>
      <c r="B11312" s="833" t="s">
        <v>15579</v>
      </c>
      <c r="C11312" s="4" t="s">
        <v>12080</v>
      </c>
      <c r="D11312" s="834">
        <v>1772.51</v>
      </c>
    </row>
    <row r="11313" spans="1:4" x14ac:dyDescent="0.3">
      <c r="A11313" s="4">
        <v>14166</v>
      </c>
      <c r="B11313" s="833" t="s">
        <v>15580</v>
      </c>
      <c r="C11313" s="4" t="s">
        <v>12080</v>
      </c>
      <c r="D11313" s="834">
        <v>1339.33</v>
      </c>
    </row>
    <row r="11314" spans="1:4" x14ac:dyDescent="0.3">
      <c r="A11314" s="4">
        <v>14165</v>
      </c>
      <c r="B11314" s="833" t="s">
        <v>15581</v>
      </c>
      <c r="C11314" s="4" t="s">
        <v>12080</v>
      </c>
      <c r="D11314" s="834">
        <v>1855.46</v>
      </c>
    </row>
    <row r="11315" spans="1:4" x14ac:dyDescent="0.3">
      <c r="A11315" s="4">
        <v>5050</v>
      </c>
      <c r="B11315" s="833" t="s">
        <v>15582</v>
      </c>
      <c r="C11315" s="4" t="s">
        <v>12080</v>
      </c>
      <c r="D11315" s="834">
        <v>456.67</v>
      </c>
    </row>
    <row r="11316" spans="1:4" x14ac:dyDescent="0.3">
      <c r="A11316" s="4">
        <v>12366</v>
      </c>
      <c r="B11316" s="833" t="s">
        <v>15583</v>
      </c>
      <c r="C11316" s="4" t="s">
        <v>12080</v>
      </c>
      <c r="D11316" s="834">
        <v>1046.81</v>
      </c>
    </row>
    <row r="11317" spans="1:4" x14ac:dyDescent="0.3">
      <c r="A11317" s="4">
        <v>5045</v>
      </c>
      <c r="B11317" s="833" t="s">
        <v>15584</v>
      </c>
      <c r="C11317" s="4" t="s">
        <v>12080</v>
      </c>
      <c r="D11317" s="834">
        <v>1446.12</v>
      </c>
    </row>
    <row r="11318" spans="1:4" x14ac:dyDescent="0.3">
      <c r="A11318" s="4">
        <v>5035</v>
      </c>
      <c r="B11318" s="833" t="s">
        <v>15585</v>
      </c>
      <c r="C11318" s="4" t="s">
        <v>12080</v>
      </c>
      <c r="D11318" s="834">
        <v>1662.69</v>
      </c>
    </row>
    <row r="11319" spans="1:4" x14ac:dyDescent="0.3">
      <c r="A11319" s="4">
        <v>41180</v>
      </c>
      <c r="B11319" s="833" t="s">
        <v>15586</v>
      </c>
      <c r="C11319" s="4" t="s">
        <v>12080</v>
      </c>
      <c r="D11319" s="834">
        <v>3737.7</v>
      </c>
    </row>
    <row r="11320" spans="1:4" x14ac:dyDescent="0.3">
      <c r="A11320" s="4">
        <v>41181</v>
      </c>
      <c r="B11320" s="833" t="s">
        <v>15587</v>
      </c>
      <c r="C11320" s="4" t="s">
        <v>12080</v>
      </c>
      <c r="D11320" s="834">
        <v>4948.6000000000004</v>
      </c>
    </row>
    <row r="11321" spans="1:4" x14ac:dyDescent="0.3">
      <c r="A11321" s="4">
        <v>41182</v>
      </c>
      <c r="B11321" s="833" t="s">
        <v>15588</v>
      </c>
      <c r="C11321" s="4" t="s">
        <v>12080</v>
      </c>
      <c r="D11321" s="834">
        <v>7099.17</v>
      </c>
    </row>
    <row r="11322" spans="1:4" x14ac:dyDescent="0.3">
      <c r="A11322" s="4">
        <v>41183</v>
      </c>
      <c r="B11322" s="833" t="s">
        <v>15589</v>
      </c>
      <c r="C11322" s="4" t="s">
        <v>12080</v>
      </c>
      <c r="D11322" s="834">
        <v>8863.4599999999991</v>
      </c>
    </row>
    <row r="11323" spans="1:4" x14ac:dyDescent="0.3">
      <c r="A11323" s="4">
        <v>41184</v>
      </c>
      <c r="B11323" s="833" t="s">
        <v>15590</v>
      </c>
      <c r="C11323" s="4" t="s">
        <v>12080</v>
      </c>
      <c r="D11323" s="834">
        <v>13495.16</v>
      </c>
    </row>
    <row r="11324" spans="1:4" x14ac:dyDescent="0.3">
      <c r="A11324" s="4">
        <v>41185</v>
      </c>
      <c r="B11324" s="833" t="s">
        <v>15591</v>
      </c>
      <c r="C11324" s="4" t="s">
        <v>12080</v>
      </c>
      <c r="D11324" s="834">
        <v>5004.6099999999997</v>
      </c>
    </row>
    <row r="11325" spans="1:4" x14ac:dyDescent="0.3">
      <c r="A11325" s="4">
        <v>41186</v>
      </c>
      <c r="B11325" s="833" t="s">
        <v>15592</v>
      </c>
      <c r="C11325" s="4" t="s">
        <v>12080</v>
      </c>
      <c r="D11325" s="834">
        <v>7013.39</v>
      </c>
    </row>
    <row r="11326" spans="1:4" x14ac:dyDescent="0.3">
      <c r="A11326" s="4">
        <v>41187</v>
      </c>
      <c r="B11326" s="833" t="s">
        <v>15593</v>
      </c>
      <c r="C11326" s="4" t="s">
        <v>12080</v>
      </c>
      <c r="D11326" s="834">
        <v>9405.5300000000007</v>
      </c>
    </row>
    <row r="11327" spans="1:4" x14ac:dyDescent="0.3">
      <c r="A11327" s="4">
        <v>41188</v>
      </c>
      <c r="B11327" s="833" t="s">
        <v>15594</v>
      </c>
      <c r="C11327" s="4" t="s">
        <v>12080</v>
      </c>
      <c r="D11327" s="834">
        <v>12027.58</v>
      </c>
    </row>
    <row r="11328" spans="1:4" x14ac:dyDescent="0.3">
      <c r="A11328" s="4">
        <v>5036</v>
      </c>
      <c r="B11328" s="833" t="s">
        <v>15595</v>
      </c>
      <c r="C11328" s="4" t="s">
        <v>12080</v>
      </c>
      <c r="D11328" s="834">
        <v>2550.87</v>
      </c>
    </row>
    <row r="11329" spans="1:4" x14ac:dyDescent="0.3">
      <c r="A11329" s="4">
        <v>41189</v>
      </c>
      <c r="B11329" s="833" t="s">
        <v>15596</v>
      </c>
      <c r="C11329" s="4" t="s">
        <v>12080</v>
      </c>
      <c r="D11329" s="834">
        <v>15462.71</v>
      </c>
    </row>
    <row r="11330" spans="1:4" x14ac:dyDescent="0.3">
      <c r="A11330" s="4">
        <v>41190</v>
      </c>
      <c r="B11330" s="833" t="s">
        <v>15597</v>
      </c>
      <c r="C11330" s="4" t="s">
        <v>12080</v>
      </c>
      <c r="D11330" s="834">
        <v>5377.39</v>
      </c>
    </row>
    <row r="11331" spans="1:4" x14ac:dyDescent="0.3">
      <c r="A11331" s="4">
        <v>41191</v>
      </c>
      <c r="B11331" s="833" t="s">
        <v>15598</v>
      </c>
      <c r="C11331" s="4" t="s">
        <v>12080</v>
      </c>
      <c r="D11331" s="834">
        <v>8246.02</v>
      </c>
    </row>
    <row r="11332" spans="1:4" x14ac:dyDescent="0.3">
      <c r="A11332" s="4">
        <v>41192</v>
      </c>
      <c r="B11332" s="833" t="s">
        <v>15599</v>
      </c>
      <c r="C11332" s="4" t="s">
        <v>12080</v>
      </c>
      <c r="D11332" s="834">
        <v>8596.42</v>
      </c>
    </row>
    <row r="11333" spans="1:4" x14ac:dyDescent="0.3">
      <c r="A11333" s="4">
        <v>41193</v>
      </c>
      <c r="B11333" s="833" t="s">
        <v>15600</v>
      </c>
      <c r="C11333" s="4" t="s">
        <v>12080</v>
      </c>
      <c r="D11333" s="834">
        <v>14046.26</v>
      </c>
    </row>
    <row r="11334" spans="1:4" x14ac:dyDescent="0.3">
      <c r="A11334" s="4">
        <v>41194</v>
      </c>
      <c r="B11334" s="833" t="s">
        <v>15601</v>
      </c>
      <c r="C11334" s="4" t="s">
        <v>12080</v>
      </c>
      <c r="D11334" s="834">
        <v>16760.38</v>
      </c>
    </row>
    <row r="11335" spans="1:4" x14ac:dyDescent="0.3">
      <c r="A11335" s="4">
        <v>5044</v>
      </c>
      <c r="B11335" s="833" t="s">
        <v>15602</v>
      </c>
      <c r="C11335" s="4" t="s">
        <v>12080</v>
      </c>
      <c r="D11335" s="834">
        <v>901.88</v>
      </c>
    </row>
    <row r="11336" spans="1:4" x14ac:dyDescent="0.3">
      <c r="A11336" s="4">
        <v>5059</v>
      </c>
      <c r="B11336" s="833" t="s">
        <v>15603</v>
      </c>
      <c r="C11336" s="4" t="s">
        <v>12080</v>
      </c>
      <c r="D11336" s="834">
        <v>1078.54</v>
      </c>
    </row>
    <row r="11337" spans="1:4" x14ac:dyDescent="0.3">
      <c r="A11337" s="4">
        <v>41201</v>
      </c>
      <c r="B11337" s="833" t="s">
        <v>15604</v>
      </c>
      <c r="C11337" s="4" t="s">
        <v>12080</v>
      </c>
      <c r="D11337" s="834">
        <v>2188.8000000000002</v>
      </c>
    </row>
    <row r="11338" spans="1:4" x14ac:dyDescent="0.3">
      <c r="A11338" s="4">
        <v>41199</v>
      </c>
      <c r="B11338" s="833" t="s">
        <v>15605</v>
      </c>
      <c r="C11338" s="4" t="s">
        <v>12080</v>
      </c>
      <c r="D11338" s="834">
        <v>703.34</v>
      </c>
    </row>
    <row r="11339" spans="1:4" x14ac:dyDescent="0.3">
      <c r="A11339" s="4">
        <v>5057</v>
      </c>
      <c r="B11339" s="833" t="s">
        <v>15606</v>
      </c>
      <c r="C11339" s="4" t="s">
        <v>12080</v>
      </c>
      <c r="D11339" s="834">
        <v>952.2</v>
      </c>
    </row>
    <row r="11340" spans="1:4" x14ac:dyDescent="0.3">
      <c r="A11340" s="4">
        <v>41200</v>
      </c>
      <c r="B11340" s="833" t="s">
        <v>15607</v>
      </c>
      <c r="C11340" s="4" t="s">
        <v>12080</v>
      </c>
      <c r="D11340" s="834">
        <v>1368.96</v>
      </c>
    </row>
    <row r="11341" spans="1:4" x14ac:dyDescent="0.3">
      <c r="A11341" s="4">
        <v>41205</v>
      </c>
      <c r="B11341" s="833" t="s">
        <v>15608</v>
      </c>
      <c r="C11341" s="4" t="s">
        <v>12080</v>
      </c>
      <c r="D11341" s="834">
        <v>2536.65</v>
      </c>
    </row>
    <row r="11342" spans="1:4" x14ac:dyDescent="0.3">
      <c r="A11342" s="4">
        <v>41202</v>
      </c>
      <c r="B11342" s="833" t="s">
        <v>15609</v>
      </c>
      <c r="C11342" s="4" t="s">
        <v>12080</v>
      </c>
      <c r="D11342" s="834">
        <v>740.21</v>
      </c>
    </row>
    <row r="11343" spans="1:4" x14ac:dyDescent="0.3">
      <c r="A11343" s="4">
        <v>41206</v>
      </c>
      <c r="B11343" s="833" t="s">
        <v>15610</v>
      </c>
      <c r="C11343" s="4" t="s">
        <v>12080</v>
      </c>
      <c r="D11343" s="834">
        <v>3344.46</v>
      </c>
    </row>
    <row r="11344" spans="1:4" x14ac:dyDescent="0.3">
      <c r="A11344" s="4">
        <v>12372</v>
      </c>
      <c r="B11344" s="833" t="s">
        <v>15611</v>
      </c>
      <c r="C11344" s="4" t="s">
        <v>12080</v>
      </c>
      <c r="D11344" s="834">
        <v>777.22</v>
      </c>
    </row>
    <row r="11345" spans="1:4" x14ac:dyDescent="0.3">
      <c r="A11345" s="4">
        <v>41207</v>
      </c>
      <c r="B11345" s="833" t="s">
        <v>15612</v>
      </c>
      <c r="C11345" s="4" t="s">
        <v>12080</v>
      </c>
      <c r="D11345" s="834">
        <v>4502.3</v>
      </c>
    </row>
    <row r="11346" spans="1:4" x14ac:dyDescent="0.3">
      <c r="A11346" s="4">
        <v>41203</v>
      </c>
      <c r="B11346" s="833" t="s">
        <v>15613</v>
      </c>
      <c r="C11346" s="4" t="s">
        <v>12080</v>
      </c>
      <c r="D11346" s="834">
        <v>1185.73</v>
      </c>
    </row>
    <row r="11347" spans="1:4" x14ac:dyDescent="0.3">
      <c r="A11347" s="4">
        <v>41204</v>
      </c>
      <c r="B11347" s="833" t="s">
        <v>15614</v>
      </c>
      <c r="C11347" s="4" t="s">
        <v>12080</v>
      </c>
      <c r="D11347" s="834">
        <v>1676.33</v>
      </c>
    </row>
    <row r="11348" spans="1:4" x14ac:dyDescent="0.3">
      <c r="A11348" s="4">
        <v>41210</v>
      </c>
      <c r="B11348" s="833" t="s">
        <v>15615</v>
      </c>
      <c r="C11348" s="4" t="s">
        <v>12080</v>
      </c>
      <c r="D11348" s="834">
        <v>2800.27</v>
      </c>
    </row>
    <row r="11349" spans="1:4" x14ac:dyDescent="0.3">
      <c r="A11349" s="4">
        <v>41208</v>
      </c>
      <c r="B11349" s="833" t="s">
        <v>15616</v>
      </c>
      <c r="C11349" s="4" t="s">
        <v>12080</v>
      </c>
      <c r="D11349" s="834">
        <v>980.25</v>
      </c>
    </row>
    <row r="11350" spans="1:4" x14ac:dyDescent="0.3">
      <c r="A11350" s="4">
        <v>41211</v>
      </c>
      <c r="B11350" s="833" t="s">
        <v>15617</v>
      </c>
      <c r="C11350" s="4" t="s">
        <v>12080</v>
      </c>
      <c r="D11350" s="834">
        <v>3945.53</v>
      </c>
    </row>
    <row r="11351" spans="1:4" x14ac:dyDescent="0.3">
      <c r="A11351" s="4">
        <v>13339</v>
      </c>
      <c r="B11351" s="833" t="s">
        <v>15618</v>
      </c>
      <c r="C11351" s="4" t="s">
        <v>12080</v>
      </c>
      <c r="D11351" s="834">
        <v>1328.48</v>
      </c>
    </row>
    <row r="11352" spans="1:4" x14ac:dyDescent="0.3">
      <c r="A11352" s="4">
        <v>41213</v>
      </c>
      <c r="B11352" s="833" t="s">
        <v>15619</v>
      </c>
      <c r="C11352" s="4" t="s">
        <v>12080</v>
      </c>
      <c r="D11352" s="834">
        <v>8178.12</v>
      </c>
    </row>
    <row r="11353" spans="1:4" x14ac:dyDescent="0.3">
      <c r="A11353" s="4">
        <v>41209</v>
      </c>
      <c r="B11353" s="833" t="s">
        <v>15620</v>
      </c>
      <c r="C11353" s="4" t="s">
        <v>12080</v>
      </c>
      <c r="D11353" s="834">
        <v>1827.83</v>
      </c>
    </row>
    <row r="11354" spans="1:4" x14ac:dyDescent="0.3">
      <c r="A11354" s="4">
        <v>41216</v>
      </c>
      <c r="B11354" s="833" t="s">
        <v>15621</v>
      </c>
      <c r="C11354" s="4" t="s">
        <v>12080</v>
      </c>
      <c r="D11354" s="834">
        <v>3423.76</v>
      </c>
    </row>
    <row r="11355" spans="1:4" x14ac:dyDescent="0.3">
      <c r="A11355" s="4">
        <v>41217</v>
      </c>
      <c r="B11355" s="833" t="s">
        <v>15622</v>
      </c>
      <c r="C11355" s="4" t="s">
        <v>12080</v>
      </c>
      <c r="D11355" s="834">
        <v>5489.51</v>
      </c>
    </row>
    <row r="11356" spans="1:4" x14ac:dyDescent="0.3">
      <c r="A11356" s="4">
        <v>41218</v>
      </c>
      <c r="B11356" s="833" t="s">
        <v>15623</v>
      </c>
      <c r="C11356" s="4" t="s">
        <v>12080</v>
      </c>
      <c r="D11356" s="834">
        <v>7361.6</v>
      </c>
    </row>
    <row r="11357" spans="1:4" x14ac:dyDescent="0.3">
      <c r="A11357" s="4">
        <v>41214</v>
      </c>
      <c r="B11357" s="833" t="s">
        <v>15624</v>
      </c>
      <c r="C11357" s="4" t="s">
        <v>12080</v>
      </c>
      <c r="D11357" s="834">
        <v>1552.18</v>
      </c>
    </row>
    <row r="11358" spans="1:4" x14ac:dyDescent="0.3">
      <c r="A11358" s="4">
        <v>41215</v>
      </c>
      <c r="B11358" s="833" t="s">
        <v>15625</v>
      </c>
      <c r="C11358" s="4" t="s">
        <v>12080</v>
      </c>
      <c r="D11358" s="834">
        <v>2337.02</v>
      </c>
    </row>
    <row r="11359" spans="1:4" x14ac:dyDescent="0.3">
      <c r="A11359" s="4">
        <v>41221</v>
      </c>
      <c r="B11359" s="833" t="s">
        <v>15626</v>
      </c>
      <c r="C11359" s="4" t="s">
        <v>12080</v>
      </c>
      <c r="D11359" s="834">
        <v>6766.87</v>
      </c>
    </row>
    <row r="11360" spans="1:4" x14ac:dyDescent="0.3">
      <c r="A11360" s="4">
        <v>41222</v>
      </c>
      <c r="B11360" s="833" t="s">
        <v>15627</v>
      </c>
      <c r="C11360" s="4" t="s">
        <v>12080</v>
      </c>
      <c r="D11360" s="834">
        <v>9683.4699999999993</v>
      </c>
    </row>
    <row r="11361" spans="1:4" x14ac:dyDescent="0.3">
      <c r="A11361" s="4">
        <v>41195</v>
      </c>
      <c r="B11361" s="833" t="s">
        <v>15628</v>
      </c>
      <c r="C11361" s="4" t="s">
        <v>12080</v>
      </c>
      <c r="D11361" s="834">
        <v>497.7</v>
      </c>
    </row>
    <row r="11362" spans="1:4" x14ac:dyDescent="0.3">
      <c r="A11362" s="4">
        <v>41198</v>
      </c>
      <c r="B11362" s="833" t="s">
        <v>15629</v>
      </c>
      <c r="C11362" s="4" t="s">
        <v>12080</v>
      </c>
      <c r="D11362" s="834">
        <v>1944.9</v>
      </c>
    </row>
    <row r="11363" spans="1:4" x14ac:dyDescent="0.3">
      <c r="A11363" s="4">
        <v>41196</v>
      </c>
      <c r="B11363" s="833" t="s">
        <v>15630</v>
      </c>
      <c r="C11363" s="4" t="s">
        <v>12080</v>
      </c>
      <c r="D11363" s="834">
        <v>616.92999999999995</v>
      </c>
    </row>
    <row r="11364" spans="1:4" x14ac:dyDescent="0.3">
      <c r="A11364" s="4">
        <v>5033</v>
      </c>
      <c r="B11364" s="833" t="s">
        <v>15631</v>
      </c>
      <c r="C11364" s="4" t="s">
        <v>12080</v>
      </c>
      <c r="D11364" s="834">
        <v>810</v>
      </c>
    </row>
    <row r="11365" spans="1:4" x14ac:dyDescent="0.3">
      <c r="A11365" s="4">
        <v>41197</v>
      </c>
      <c r="B11365" s="833" t="s">
        <v>15632</v>
      </c>
      <c r="C11365" s="4" t="s">
        <v>12080</v>
      </c>
      <c r="D11365" s="834">
        <v>1203.1500000000001</v>
      </c>
    </row>
    <row r="11366" spans="1:4" x14ac:dyDescent="0.3">
      <c r="A11366" s="4">
        <v>12388</v>
      </c>
      <c r="B11366" s="833" t="s">
        <v>15633</v>
      </c>
      <c r="C11366" s="4" t="s">
        <v>12080</v>
      </c>
      <c r="D11366" s="834">
        <v>270.31</v>
      </c>
    </row>
    <row r="11367" spans="1:4" x14ac:dyDescent="0.3">
      <c r="A11367" s="4">
        <v>2731</v>
      </c>
      <c r="B11367" s="833" t="s">
        <v>15634</v>
      </c>
      <c r="C11367" s="4" t="s">
        <v>1803</v>
      </c>
      <c r="D11367" s="834">
        <v>116.75</v>
      </c>
    </row>
    <row r="11368" spans="1:4" x14ac:dyDescent="0.3">
      <c r="A11368" s="4">
        <v>41457</v>
      </c>
      <c r="B11368" s="833" t="s">
        <v>15635</v>
      </c>
      <c r="C11368" s="4" t="s">
        <v>12080</v>
      </c>
      <c r="D11368" s="834">
        <v>1246.2</v>
      </c>
    </row>
    <row r="11369" spans="1:4" x14ac:dyDescent="0.3">
      <c r="A11369" s="4">
        <v>41458</v>
      </c>
      <c r="B11369" s="833" t="s">
        <v>15636</v>
      </c>
      <c r="C11369" s="4" t="s">
        <v>12080</v>
      </c>
      <c r="D11369" s="834">
        <v>1739.76</v>
      </c>
    </row>
    <row r="11370" spans="1:4" x14ac:dyDescent="0.3">
      <c r="A11370" s="4">
        <v>41459</v>
      </c>
      <c r="B11370" s="833" t="s">
        <v>15637</v>
      </c>
      <c r="C11370" s="4" t="s">
        <v>12080</v>
      </c>
      <c r="D11370" s="834">
        <v>2426.83</v>
      </c>
    </row>
    <row r="11371" spans="1:4" x14ac:dyDescent="0.3">
      <c r="A11371" s="4">
        <v>41461</v>
      </c>
      <c r="B11371" s="833" t="s">
        <v>15638</v>
      </c>
      <c r="C11371" s="4" t="s">
        <v>12080</v>
      </c>
      <c r="D11371" s="834">
        <v>3308.86</v>
      </c>
    </row>
    <row r="11372" spans="1:4" x14ac:dyDescent="0.3">
      <c r="A11372" s="4">
        <v>44537</v>
      </c>
      <c r="B11372" s="833" t="s">
        <v>15639</v>
      </c>
      <c r="C11372" s="4" t="s">
        <v>13285</v>
      </c>
      <c r="D11372" s="834">
        <v>403.73</v>
      </c>
    </row>
    <row r="11373" spans="1:4" x14ac:dyDescent="0.3">
      <c r="A11373" s="4">
        <v>11844</v>
      </c>
      <c r="B11373" s="833" t="s">
        <v>15640</v>
      </c>
      <c r="C11373" s="4" t="s">
        <v>1803</v>
      </c>
      <c r="D11373" s="834">
        <v>51.69</v>
      </c>
    </row>
    <row r="11374" spans="1:4" x14ac:dyDescent="0.3">
      <c r="A11374" s="4">
        <v>4465</v>
      </c>
      <c r="B11374" s="833" t="s">
        <v>15641</v>
      </c>
      <c r="C11374" s="4" t="s">
        <v>1803</v>
      </c>
      <c r="D11374" s="834">
        <v>42.96</v>
      </c>
    </row>
    <row r="11375" spans="1:4" x14ac:dyDescent="0.3">
      <c r="A11375" s="4">
        <v>35273</v>
      </c>
      <c r="B11375" s="833" t="s">
        <v>15642</v>
      </c>
      <c r="C11375" s="4" t="s">
        <v>1803</v>
      </c>
      <c r="D11375" s="834">
        <v>51.52</v>
      </c>
    </row>
    <row r="11376" spans="1:4" x14ac:dyDescent="0.3">
      <c r="A11376" s="4">
        <v>4470</v>
      </c>
      <c r="B11376" s="833" t="s">
        <v>15643</v>
      </c>
      <c r="C11376" s="4" t="s">
        <v>1803</v>
      </c>
      <c r="D11376" s="834">
        <v>118.89</v>
      </c>
    </row>
    <row r="11377" spans="1:4" x14ac:dyDescent="0.3">
      <c r="A11377" s="4">
        <v>20204</v>
      </c>
      <c r="B11377" s="833" t="s">
        <v>15644</v>
      </c>
      <c r="C11377" s="4" t="s">
        <v>1803</v>
      </c>
      <c r="D11377" s="834">
        <v>79.260000000000005</v>
      </c>
    </row>
    <row r="11378" spans="1:4" x14ac:dyDescent="0.3">
      <c r="A11378" s="4">
        <v>20208</v>
      </c>
      <c r="B11378" s="833" t="s">
        <v>15645</v>
      </c>
      <c r="C11378" s="4" t="s">
        <v>1803</v>
      </c>
      <c r="D11378" s="834">
        <v>107</v>
      </c>
    </row>
    <row r="11379" spans="1:4" x14ac:dyDescent="0.3">
      <c r="A11379" s="4">
        <v>4437</v>
      </c>
      <c r="B11379" s="833" t="s">
        <v>15646</v>
      </c>
      <c r="C11379" s="4" t="s">
        <v>1803</v>
      </c>
      <c r="D11379" s="834">
        <v>89.17</v>
      </c>
    </row>
    <row r="11380" spans="1:4" x14ac:dyDescent="0.3">
      <c r="A11380" s="4">
        <v>14580</v>
      </c>
      <c r="B11380" s="833" t="s">
        <v>15647</v>
      </c>
      <c r="C11380" s="4" t="s">
        <v>1803</v>
      </c>
      <c r="D11380" s="834">
        <v>89.17</v>
      </c>
    </row>
    <row r="11381" spans="1:4" x14ac:dyDescent="0.3">
      <c r="A11381" s="4">
        <v>40304</v>
      </c>
      <c r="B11381" s="833" t="s">
        <v>15648</v>
      </c>
      <c r="C11381" s="4" t="s">
        <v>12126</v>
      </c>
      <c r="D11381" s="834">
        <v>24.48</v>
      </c>
    </row>
    <row r="11382" spans="1:4" x14ac:dyDescent="0.3">
      <c r="A11382" s="4">
        <v>5065</v>
      </c>
      <c r="B11382" s="833" t="s">
        <v>15649</v>
      </c>
      <c r="C11382" s="4" t="s">
        <v>12126</v>
      </c>
      <c r="D11382" s="834">
        <v>37.729999999999997</v>
      </c>
    </row>
    <row r="11383" spans="1:4" x14ac:dyDescent="0.3">
      <c r="A11383" s="4">
        <v>5072</v>
      </c>
      <c r="B11383" s="833" t="s">
        <v>15650</v>
      </c>
      <c r="C11383" s="4" t="s">
        <v>12126</v>
      </c>
      <c r="D11383" s="834">
        <v>34.9</v>
      </c>
    </row>
    <row r="11384" spans="1:4" x14ac:dyDescent="0.3">
      <c r="A11384" s="4">
        <v>5066</v>
      </c>
      <c r="B11384" s="833" t="s">
        <v>15651</v>
      </c>
      <c r="C11384" s="4" t="s">
        <v>12126</v>
      </c>
      <c r="D11384" s="834">
        <v>26.14</v>
      </c>
    </row>
    <row r="11385" spans="1:4" x14ac:dyDescent="0.3">
      <c r="A11385" s="4">
        <v>5063</v>
      </c>
      <c r="B11385" s="833" t="s">
        <v>15652</v>
      </c>
      <c r="C11385" s="4" t="s">
        <v>12126</v>
      </c>
      <c r="D11385" s="834">
        <v>23.67</v>
      </c>
    </row>
    <row r="11386" spans="1:4" x14ac:dyDescent="0.3">
      <c r="A11386" s="4">
        <v>20247</v>
      </c>
      <c r="B11386" s="833" t="s">
        <v>15653</v>
      </c>
      <c r="C11386" s="4" t="s">
        <v>12126</v>
      </c>
      <c r="D11386" s="834">
        <v>21.96</v>
      </c>
    </row>
    <row r="11387" spans="1:4" x14ac:dyDescent="0.3">
      <c r="A11387" s="4">
        <v>5074</v>
      </c>
      <c r="B11387" s="833" t="s">
        <v>15654</v>
      </c>
      <c r="C11387" s="4" t="s">
        <v>12126</v>
      </c>
      <c r="D11387" s="834">
        <v>22.22</v>
      </c>
    </row>
    <row r="11388" spans="1:4" x14ac:dyDescent="0.3">
      <c r="A11388" s="4">
        <v>5067</v>
      </c>
      <c r="B11388" s="833" t="s">
        <v>15655</v>
      </c>
      <c r="C11388" s="4" t="s">
        <v>12126</v>
      </c>
      <c r="D11388" s="834">
        <v>21.14</v>
      </c>
    </row>
    <row r="11389" spans="1:4" x14ac:dyDescent="0.3">
      <c r="A11389" s="4">
        <v>5078</v>
      </c>
      <c r="B11389" s="833" t="s">
        <v>15656</v>
      </c>
      <c r="C11389" s="4" t="s">
        <v>12126</v>
      </c>
      <c r="D11389" s="834">
        <v>20.9</v>
      </c>
    </row>
    <row r="11390" spans="1:4" x14ac:dyDescent="0.3">
      <c r="A11390" s="4">
        <v>5068</v>
      </c>
      <c r="B11390" s="833" t="s">
        <v>15657</v>
      </c>
      <c r="C11390" s="4" t="s">
        <v>12126</v>
      </c>
      <c r="D11390" s="834">
        <v>19.84</v>
      </c>
    </row>
    <row r="11391" spans="1:4" x14ac:dyDescent="0.3">
      <c r="A11391" s="4">
        <v>5073</v>
      </c>
      <c r="B11391" s="833" t="s">
        <v>15658</v>
      </c>
      <c r="C11391" s="4" t="s">
        <v>12126</v>
      </c>
      <c r="D11391" s="834">
        <v>20.22</v>
      </c>
    </row>
    <row r="11392" spans="1:4" x14ac:dyDescent="0.3">
      <c r="A11392" s="4">
        <v>5069</v>
      </c>
      <c r="B11392" s="833" t="s">
        <v>15659</v>
      </c>
      <c r="C11392" s="4" t="s">
        <v>12126</v>
      </c>
      <c r="D11392" s="834">
        <v>20.22</v>
      </c>
    </row>
    <row r="11393" spans="1:4" x14ac:dyDescent="0.3">
      <c r="A11393" s="4">
        <v>5070</v>
      </c>
      <c r="B11393" s="833" t="s">
        <v>15660</v>
      </c>
      <c r="C11393" s="4" t="s">
        <v>12126</v>
      </c>
      <c r="D11393" s="834">
        <v>20.440000000000001</v>
      </c>
    </row>
    <row r="11394" spans="1:4" x14ac:dyDescent="0.3">
      <c r="A11394" s="4">
        <v>5071</v>
      </c>
      <c r="B11394" s="833" t="s">
        <v>15661</v>
      </c>
      <c r="C11394" s="4" t="s">
        <v>12126</v>
      </c>
      <c r="D11394" s="834">
        <v>19.84</v>
      </c>
    </row>
    <row r="11395" spans="1:4" x14ac:dyDescent="0.3">
      <c r="A11395" s="4">
        <v>5061</v>
      </c>
      <c r="B11395" s="833" t="s">
        <v>15662</v>
      </c>
      <c r="C11395" s="4" t="s">
        <v>12126</v>
      </c>
      <c r="D11395" s="834">
        <v>19.5</v>
      </c>
    </row>
    <row r="11396" spans="1:4" x14ac:dyDescent="0.3">
      <c r="A11396" s="4">
        <v>5075</v>
      </c>
      <c r="B11396" s="833" t="s">
        <v>15663</v>
      </c>
      <c r="C11396" s="4" t="s">
        <v>12126</v>
      </c>
      <c r="D11396" s="834">
        <v>19.84</v>
      </c>
    </row>
    <row r="11397" spans="1:4" x14ac:dyDescent="0.3">
      <c r="A11397" s="4">
        <v>39027</v>
      </c>
      <c r="B11397" s="833" t="s">
        <v>15664</v>
      </c>
      <c r="C11397" s="4" t="s">
        <v>12126</v>
      </c>
      <c r="D11397" s="834">
        <v>19.82</v>
      </c>
    </row>
    <row r="11398" spans="1:4" x14ac:dyDescent="0.3">
      <c r="A11398" s="4">
        <v>5062</v>
      </c>
      <c r="B11398" s="833" t="s">
        <v>15665</v>
      </c>
      <c r="C11398" s="4" t="s">
        <v>12126</v>
      </c>
      <c r="D11398" s="834">
        <v>20.100000000000001</v>
      </c>
    </row>
    <row r="11399" spans="1:4" x14ac:dyDescent="0.3">
      <c r="A11399" s="4">
        <v>40568</v>
      </c>
      <c r="B11399" s="833" t="s">
        <v>15666</v>
      </c>
      <c r="C11399" s="4" t="s">
        <v>12126</v>
      </c>
      <c r="D11399" s="834">
        <v>19.98</v>
      </c>
    </row>
    <row r="11400" spans="1:4" x14ac:dyDescent="0.3">
      <c r="A11400" s="4">
        <v>39026</v>
      </c>
      <c r="B11400" s="833" t="s">
        <v>15667</v>
      </c>
      <c r="C11400" s="4" t="s">
        <v>12126</v>
      </c>
      <c r="D11400" s="834">
        <v>22.3</v>
      </c>
    </row>
    <row r="11401" spans="1:4" x14ac:dyDescent="0.3">
      <c r="A11401" s="4">
        <v>42431</v>
      </c>
      <c r="B11401" s="833" t="s">
        <v>15668</v>
      </c>
      <c r="C11401" s="4" t="s">
        <v>12080</v>
      </c>
      <c r="D11401" s="834">
        <v>3957.85</v>
      </c>
    </row>
    <row r="11402" spans="1:4" x14ac:dyDescent="0.3">
      <c r="A11402" s="4">
        <v>44074</v>
      </c>
      <c r="B11402" s="833" t="s">
        <v>15669</v>
      </c>
      <c r="C11402" s="4" t="s">
        <v>12128</v>
      </c>
      <c r="D11402" s="834">
        <v>644.88</v>
      </c>
    </row>
    <row r="11403" spans="1:4" x14ac:dyDescent="0.3">
      <c r="A11403" s="4">
        <v>44072</v>
      </c>
      <c r="B11403" s="833" t="s">
        <v>15670</v>
      </c>
      <c r="C11403" s="4" t="s">
        <v>12128</v>
      </c>
      <c r="D11403" s="834">
        <v>137.97999999999999</v>
      </c>
    </row>
    <row r="11404" spans="1:4" x14ac:dyDescent="0.3">
      <c r="A11404" s="4">
        <v>511</v>
      </c>
      <c r="B11404" s="833" t="s">
        <v>15671</v>
      </c>
      <c r="C11404" s="4" t="s">
        <v>12128</v>
      </c>
      <c r="D11404" s="834">
        <v>19.61</v>
      </c>
    </row>
    <row r="11405" spans="1:4" x14ac:dyDescent="0.3">
      <c r="A11405" s="4">
        <v>37540</v>
      </c>
      <c r="B11405" s="833" t="s">
        <v>15672</v>
      </c>
      <c r="C11405" s="4" t="s">
        <v>12080</v>
      </c>
      <c r="D11405" s="834">
        <v>84787.76</v>
      </c>
    </row>
    <row r="11406" spans="1:4" x14ac:dyDescent="0.3">
      <c r="A11406" s="4">
        <v>37548</v>
      </c>
      <c r="B11406" s="833" t="s">
        <v>15673</v>
      </c>
      <c r="C11406" s="4" t="s">
        <v>12080</v>
      </c>
      <c r="D11406" s="834">
        <v>112385.75</v>
      </c>
    </row>
    <row r="11407" spans="1:4" x14ac:dyDescent="0.3">
      <c r="A11407" s="4">
        <v>39828</v>
      </c>
      <c r="B11407" s="833" t="s">
        <v>15674</v>
      </c>
      <c r="C11407" s="4" t="s">
        <v>12080</v>
      </c>
      <c r="D11407" s="834">
        <v>674.2</v>
      </c>
    </row>
    <row r="11408" spans="1:4" x14ac:dyDescent="0.3">
      <c r="A11408" s="4">
        <v>38392</v>
      </c>
      <c r="B11408" s="833" t="s">
        <v>15675</v>
      </c>
      <c r="C11408" s="4" t="s">
        <v>12080</v>
      </c>
      <c r="D11408" s="834">
        <v>61.76</v>
      </c>
    </row>
    <row r="11409" spans="1:4" x14ac:dyDescent="0.3">
      <c r="A11409" s="4">
        <v>11735</v>
      </c>
      <c r="B11409" s="833" t="s">
        <v>15676</v>
      </c>
      <c r="C11409" s="4" t="s">
        <v>12080</v>
      </c>
      <c r="D11409" s="834">
        <v>12.83</v>
      </c>
    </row>
    <row r="11410" spans="1:4" x14ac:dyDescent="0.3">
      <c r="A11410" s="4">
        <v>11737</v>
      </c>
      <c r="B11410" s="833" t="s">
        <v>15677</v>
      </c>
      <c r="C11410" s="4" t="s">
        <v>12080</v>
      </c>
      <c r="D11410" s="834">
        <v>18.2</v>
      </c>
    </row>
    <row r="11411" spans="1:4" x14ac:dyDescent="0.3">
      <c r="A11411" s="4">
        <v>11738</v>
      </c>
      <c r="B11411" s="833" t="s">
        <v>15678</v>
      </c>
      <c r="C11411" s="4" t="s">
        <v>12080</v>
      </c>
      <c r="D11411" s="834">
        <v>22.95</v>
      </c>
    </row>
    <row r="11412" spans="1:4" x14ac:dyDescent="0.3">
      <c r="A11412" s="4">
        <v>36143</v>
      </c>
      <c r="B11412" s="833" t="s">
        <v>15679</v>
      </c>
      <c r="C11412" s="4" t="s">
        <v>12080</v>
      </c>
      <c r="D11412" s="834">
        <v>28.26</v>
      </c>
    </row>
    <row r="11413" spans="1:4" x14ac:dyDescent="0.3">
      <c r="A11413" s="4">
        <v>36142</v>
      </c>
      <c r="B11413" s="833" t="s">
        <v>15680</v>
      </c>
      <c r="C11413" s="4" t="s">
        <v>12080</v>
      </c>
      <c r="D11413" s="834">
        <v>2.06</v>
      </c>
    </row>
    <row r="11414" spans="1:4" x14ac:dyDescent="0.3">
      <c r="A11414" s="4">
        <v>36146</v>
      </c>
      <c r="B11414" s="833" t="s">
        <v>15681</v>
      </c>
      <c r="C11414" s="4" t="s">
        <v>12080</v>
      </c>
      <c r="D11414" s="834">
        <v>234.43</v>
      </c>
    </row>
    <row r="11415" spans="1:4" x14ac:dyDescent="0.3">
      <c r="A11415" s="4">
        <v>39015</v>
      </c>
      <c r="B11415" s="833" t="s">
        <v>15682</v>
      </c>
      <c r="C11415" s="4" t="s">
        <v>12080</v>
      </c>
      <c r="D11415" s="834">
        <v>0.97</v>
      </c>
    </row>
    <row r="11416" spans="1:4" x14ac:dyDescent="0.3">
      <c r="A11416" s="4">
        <v>38377</v>
      </c>
      <c r="B11416" s="833" t="s">
        <v>15683</v>
      </c>
      <c r="C11416" s="4" t="s">
        <v>12080</v>
      </c>
      <c r="D11416" s="834">
        <v>48.23</v>
      </c>
    </row>
    <row r="11417" spans="1:4" x14ac:dyDescent="0.3">
      <c r="A11417" s="4">
        <v>38376</v>
      </c>
      <c r="B11417" s="833" t="s">
        <v>15684</v>
      </c>
      <c r="C11417" s="4" t="s">
        <v>12080</v>
      </c>
      <c r="D11417" s="834">
        <v>54.99</v>
      </c>
    </row>
    <row r="11418" spans="1:4" x14ac:dyDescent="0.3">
      <c r="A11418" s="4">
        <v>38116</v>
      </c>
      <c r="B11418" s="833" t="s">
        <v>15685</v>
      </c>
      <c r="C11418" s="4" t="s">
        <v>12080</v>
      </c>
      <c r="D11418" s="834">
        <v>7.17</v>
      </c>
    </row>
    <row r="11419" spans="1:4" x14ac:dyDescent="0.3">
      <c r="A11419" s="4">
        <v>38066</v>
      </c>
      <c r="B11419" s="833" t="s">
        <v>15686</v>
      </c>
      <c r="C11419" s="4" t="s">
        <v>12080</v>
      </c>
      <c r="D11419" s="834">
        <v>11.84</v>
      </c>
    </row>
    <row r="11420" spans="1:4" x14ac:dyDescent="0.3">
      <c r="A11420" s="4">
        <v>38117</v>
      </c>
      <c r="B11420" s="833" t="s">
        <v>15687</v>
      </c>
      <c r="C11420" s="4" t="s">
        <v>12080</v>
      </c>
      <c r="D11420" s="834">
        <v>12.21</v>
      </c>
    </row>
    <row r="11421" spans="1:4" x14ac:dyDescent="0.3">
      <c r="A11421" s="4">
        <v>38067</v>
      </c>
      <c r="B11421" s="833" t="s">
        <v>15688</v>
      </c>
      <c r="C11421" s="4" t="s">
        <v>12080</v>
      </c>
      <c r="D11421" s="834">
        <v>16.670000000000002</v>
      </c>
    </row>
    <row r="11422" spans="1:4" x14ac:dyDescent="0.3">
      <c r="A11422" s="4">
        <v>44313</v>
      </c>
      <c r="B11422" s="833" t="s">
        <v>15689</v>
      </c>
      <c r="C11422" s="4" t="s">
        <v>12080</v>
      </c>
      <c r="D11422" s="834">
        <v>950.88</v>
      </c>
    </row>
    <row r="11423" spans="1:4" x14ac:dyDescent="0.3">
      <c r="A11423" s="4">
        <v>11522</v>
      </c>
      <c r="B11423" s="833" t="s">
        <v>15690</v>
      </c>
      <c r="C11423" s="4" t="s">
        <v>12080</v>
      </c>
      <c r="D11423" s="834">
        <v>12.98</v>
      </c>
    </row>
    <row r="11424" spans="1:4" x14ac:dyDescent="0.3">
      <c r="A11424" s="4">
        <v>43600</v>
      </c>
      <c r="B11424" s="833" t="s">
        <v>15691</v>
      </c>
      <c r="C11424" s="4" t="s">
        <v>12080</v>
      </c>
      <c r="D11424" s="834">
        <v>52.02</v>
      </c>
    </row>
    <row r="11425" spans="1:4" x14ac:dyDescent="0.3">
      <c r="A11425" s="4">
        <v>5080</v>
      </c>
      <c r="B11425" s="833" t="s">
        <v>15692</v>
      </c>
      <c r="C11425" s="4" t="s">
        <v>12080</v>
      </c>
      <c r="D11425" s="834">
        <v>20.28</v>
      </c>
    </row>
    <row r="11426" spans="1:4" x14ac:dyDescent="0.3">
      <c r="A11426" s="4">
        <v>38168</v>
      </c>
      <c r="B11426" s="833" t="s">
        <v>15693</v>
      </c>
      <c r="C11426" s="4" t="s">
        <v>12080</v>
      </c>
      <c r="D11426" s="834">
        <v>141.62</v>
      </c>
    </row>
    <row r="11427" spans="1:4" x14ac:dyDescent="0.3">
      <c r="A11427" s="4">
        <v>43601</v>
      </c>
      <c r="B11427" s="833" t="s">
        <v>15694</v>
      </c>
      <c r="C11427" s="4" t="s">
        <v>12080</v>
      </c>
      <c r="D11427" s="834">
        <v>70.81</v>
      </c>
    </row>
    <row r="11428" spans="1:4" x14ac:dyDescent="0.3">
      <c r="A11428" s="4">
        <v>13393</v>
      </c>
      <c r="B11428" s="833" t="s">
        <v>15695</v>
      </c>
      <c r="C11428" s="4" t="s">
        <v>12080</v>
      </c>
      <c r="D11428" s="834">
        <v>303.31</v>
      </c>
    </row>
    <row r="11429" spans="1:4" x14ac:dyDescent="0.3">
      <c r="A11429" s="4">
        <v>13395</v>
      </c>
      <c r="B11429" s="833" t="s">
        <v>15696</v>
      </c>
      <c r="C11429" s="4" t="s">
        <v>12080</v>
      </c>
      <c r="D11429" s="834">
        <v>425.05</v>
      </c>
    </row>
    <row r="11430" spans="1:4" x14ac:dyDescent="0.3">
      <c r="A11430" s="4">
        <v>12039</v>
      </c>
      <c r="B11430" s="833" t="s">
        <v>15697</v>
      </c>
      <c r="C11430" s="4" t="s">
        <v>12080</v>
      </c>
      <c r="D11430" s="834">
        <v>446.69</v>
      </c>
    </row>
    <row r="11431" spans="1:4" x14ac:dyDescent="0.3">
      <c r="A11431" s="4">
        <v>13396</v>
      </c>
      <c r="B11431" s="833" t="s">
        <v>15698</v>
      </c>
      <c r="C11431" s="4" t="s">
        <v>12080</v>
      </c>
      <c r="D11431" s="834">
        <v>627.34</v>
      </c>
    </row>
    <row r="11432" spans="1:4" x14ac:dyDescent="0.3">
      <c r="A11432" s="4">
        <v>12041</v>
      </c>
      <c r="B11432" s="833" t="s">
        <v>15699</v>
      </c>
      <c r="C11432" s="4" t="s">
        <v>12080</v>
      </c>
      <c r="D11432" s="834">
        <v>512.26</v>
      </c>
    </row>
    <row r="11433" spans="1:4" x14ac:dyDescent="0.3">
      <c r="A11433" s="4">
        <v>12043</v>
      </c>
      <c r="B11433" s="833" t="s">
        <v>15700</v>
      </c>
      <c r="C11433" s="4" t="s">
        <v>12080</v>
      </c>
      <c r="D11433" s="834">
        <v>1081.56</v>
      </c>
    </row>
    <row r="11434" spans="1:4" x14ac:dyDescent="0.3">
      <c r="A11434" s="4">
        <v>39762</v>
      </c>
      <c r="B11434" s="833" t="s">
        <v>15701</v>
      </c>
      <c r="C11434" s="4" t="s">
        <v>12080</v>
      </c>
      <c r="D11434" s="834">
        <v>514.85</v>
      </c>
    </row>
    <row r="11435" spans="1:4" x14ac:dyDescent="0.3">
      <c r="A11435" s="4">
        <v>12042</v>
      </c>
      <c r="B11435" s="833" t="s">
        <v>15702</v>
      </c>
      <c r="C11435" s="4" t="s">
        <v>12080</v>
      </c>
      <c r="D11435" s="834">
        <v>751.67</v>
      </c>
    </row>
    <row r="11436" spans="1:4" x14ac:dyDescent="0.3">
      <c r="A11436" s="4">
        <v>39763</v>
      </c>
      <c r="B11436" s="833" t="s">
        <v>15703</v>
      </c>
      <c r="C11436" s="4" t="s">
        <v>12080</v>
      </c>
      <c r="D11436" s="834">
        <v>879.73</v>
      </c>
    </row>
    <row r="11437" spans="1:4" x14ac:dyDescent="0.3">
      <c r="A11437" s="4">
        <v>39760</v>
      </c>
      <c r="B11437" s="833" t="s">
        <v>15704</v>
      </c>
      <c r="C11437" s="4" t="s">
        <v>12080</v>
      </c>
      <c r="D11437" s="834">
        <v>876.84</v>
      </c>
    </row>
    <row r="11438" spans="1:4" x14ac:dyDescent="0.3">
      <c r="A11438" s="4">
        <v>39756</v>
      </c>
      <c r="B11438" s="833" t="s">
        <v>15705</v>
      </c>
      <c r="C11438" s="4" t="s">
        <v>12080</v>
      </c>
      <c r="D11438" s="834">
        <v>314.83999999999997</v>
      </c>
    </row>
    <row r="11439" spans="1:4" x14ac:dyDescent="0.3">
      <c r="A11439" s="4">
        <v>12038</v>
      </c>
      <c r="B11439" s="833" t="s">
        <v>15706</v>
      </c>
      <c r="C11439" s="4" t="s">
        <v>12080</v>
      </c>
      <c r="D11439" s="834">
        <v>393.4</v>
      </c>
    </row>
    <row r="11440" spans="1:4" x14ac:dyDescent="0.3">
      <c r="A11440" s="4">
        <v>39757</v>
      </c>
      <c r="B11440" s="833" t="s">
        <v>15707</v>
      </c>
      <c r="C11440" s="4" t="s">
        <v>12080</v>
      </c>
      <c r="D11440" s="834">
        <v>363.77</v>
      </c>
    </row>
    <row r="11441" spans="1:4" x14ac:dyDescent="0.3">
      <c r="A11441" s="4">
        <v>39758</v>
      </c>
      <c r="B11441" s="833" t="s">
        <v>15708</v>
      </c>
      <c r="C11441" s="4" t="s">
        <v>12080</v>
      </c>
      <c r="D11441" s="834">
        <v>530.15</v>
      </c>
    </row>
    <row r="11442" spans="1:4" x14ac:dyDescent="0.3">
      <c r="A11442" s="4">
        <v>39759</v>
      </c>
      <c r="B11442" s="833" t="s">
        <v>15709</v>
      </c>
      <c r="C11442" s="4" t="s">
        <v>12080</v>
      </c>
      <c r="D11442" s="834">
        <v>654.73</v>
      </c>
    </row>
    <row r="11443" spans="1:4" x14ac:dyDescent="0.3">
      <c r="A11443" s="4">
        <v>39761</v>
      </c>
      <c r="B11443" s="833" t="s">
        <v>15710</v>
      </c>
      <c r="C11443" s="4" t="s">
        <v>12080</v>
      </c>
      <c r="D11443" s="834">
        <v>787.01</v>
      </c>
    </row>
    <row r="11444" spans="1:4" x14ac:dyDescent="0.3">
      <c r="A11444" s="4">
        <v>39805</v>
      </c>
      <c r="B11444" s="833" t="s">
        <v>15711</v>
      </c>
      <c r="C11444" s="4" t="s">
        <v>12080</v>
      </c>
      <c r="D11444" s="834">
        <v>280.14999999999998</v>
      </c>
    </row>
    <row r="11445" spans="1:4" x14ac:dyDescent="0.3">
      <c r="A11445" s="4">
        <v>39806</v>
      </c>
      <c r="B11445" s="833" t="s">
        <v>15712</v>
      </c>
      <c r="C11445" s="4" t="s">
        <v>12080</v>
      </c>
      <c r="D11445" s="834">
        <v>519.04999999999995</v>
      </c>
    </row>
    <row r="11446" spans="1:4" x14ac:dyDescent="0.3">
      <c r="A11446" s="4">
        <v>39807</v>
      </c>
      <c r="B11446" s="833" t="s">
        <v>15713</v>
      </c>
      <c r="C11446" s="4" t="s">
        <v>12080</v>
      </c>
      <c r="D11446" s="834">
        <v>1124.9000000000001</v>
      </c>
    </row>
    <row r="11447" spans="1:4" x14ac:dyDescent="0.3">
      <c r="A11447" s="4">
        <v>43100</v>
      </c>
      <c r="B11447" s="833" t="s">
        <v>15714</v>
      </c>
      <c r="C11447" s="4" t="s">
        <v>12080</v>
      </c>
      <c r="D11447" s="834">
        <v>879.43</v>
      </c>
    </row>
    <row r="11448" spans="1:4" x14ac:dyDescent="0.3">
      <c r="A11448" s="4">
        <v>39804</v>
      </c>
      <c r="B11448" s="833" t="s">
        <v>15715</v>
      </c>
      <c r="C11448" s="4" t="s">
        <v>12080</v>
      </c>
      <c r="D11448" s="834">
        <v>164.51</v>
      </c>
    </row>
    <row r="11449" spans="1:4" x14ac:dyDescent="0.3">
      <c r="A11449" s="4">
        <v>39796</v>
      </c>
      <c r="B11449" s="833" t="s">
        <v>15716</v>
      </c>
      <c r="C11449" s="4" t="s">
        <v>12080</v>
      </c>
      <c r="D11449" s="834">
        <v>170.39</v>
      </c>
    </row>
    <row r="11450" spans="1:4" x14ac:dyDescent="0.3">
      <c r="A11450" s="4">
        <v>39797</v>
      </c>
      <c r="B11450" s="833" t="s">
        <v>15717</v>
      </c>
      <c r="C11450" s="4" t="s">
        <v>12080</v>
      </c>
      <c r="D11450" s="834">
        <v>267.47000000000003</v>
      </c>
    </row>
    <row r="11451" spans="1:4" x14ac:dyDescent="0.3">
      <c r="A11451" s="4">
        <v>39798</v>
      </c>
      <c r="B11451" s="833" t="s">
        <v>15718</v>
      </c>
      <c r="C11451" s="4" t="s">
        <v>12080</v>
      </c>
      <c r="D11451" s="834">
        <v>458.8</v>
      </c>
    </row>
    <row r="11452" spans="1:4" x14ac:dyDescent="0.3">
      <c r="A11452" s="4">
        <v>39794</v>
      </c>
      <c r="B11452" s="833" t="s">
        <v>15719</v>
      </c>
      <c r="C11452" s="4" t="s">
        <v>12080</v>
      </c>
      <c r="D11452" s="834">
        <v>72.319999999999993</v>
      </c>
    </row>
    <row r="11453" spans="1:4" x14ac:dyDescent="0.3">
      <c r="A11453" s="4">
        <v>39795</v>
      </c>
      <c r="B11453" s="833" t="s">
        <v>15720</v>
      </c>
      <c r="C11453" s="4" t="s">
        <v>12080</v>
      </c>
      <c r="D11453" s="834">
        <v>114.26</v>
      </c>
    </row>
    <row r="11454" spans="1:4" x14ac:dyDescent="0.3">
      <c r="A11454" s="4">
        <v>39801</v>
      </c>
      <c r="B11454" s="833" t="s">
        <v>15721</v>
      </c>
      <c r="C11454" s="4" t="s">
        <v>12080</v>
      </c>
      <c r="D11454" s="834">
        <v>241.28</v>
      </c>
    </row>
    <row r="11455" spans="1:4" x14ac:dyDescent="0.3">
      <c r="A11455" s="4">
        <v>39802</v>
      </c>
      <c r="B11455" s="833" t="s">
        <v>15722</v>
      </c>
      <c r="C11455" s="4" t="s">
        <v>12080</v>
      </c>
      <c r="D11455" s="834">
        <v>353.67</v>
      </c>
    </row>
    <row r="11456" spans="1:4" x14ac:dyDescent="0.3">
      <c r="A11456" s="4">
        <v>39803</v>
      </c>
      <c r="B11456" s="833" t="s">
        <v>15723</v>
      </c>
      <c r="C11456" s="4" t="s">
        <v>12080</v>
      </c>
      <c r="D11456" s="834">
        <v>493.37</v>
      </c>
    </row>
    <row r="11457" spans="1:4" x14ac:dyDescent="0.3">
      <c r="A11457" s="4">
        <v>39799</v>
      </c>
      <c r="B11457" s="833" t="s">
        <v>15724</v>
      </c>
      <c r="C11457" s="4" t="s">
        <v>12080</v>
      </c>
      <c r="D11457" s="834">
        <v>84.3</v>
      </c>
    </row>
    <row r="11458" spans="1:4" x14ac:dyDescent="0.3">
      <c r="A11458" s="4">
        <v>39800</v>
      </c>
      <c r="B11458" s="833" t="s">
        <v>15725</v>
      </c>
      <c r="C11458" s="4" t="s">
        <v>12080</v>
      </c>
      <c r="D11458" s="834">
        <v>143.61000000000001</v>
      </c>
    </row>
    <row r="11459" spans="1:4" x14ac:dyDescent="0.3">
      <c r="A11459" s="4">
        <v>43837</v>
      </c>
      <c r="B11459" s="833" t="s">
        <v>15726</v>
      </c>
      <c r="C11459" s="4" t="s">
        <v>12080</v>
      </c>
      <c r="D11459" s="834">
        <v>1294.48</v>
      </c>
    </row>
    <row r="11460" spans="1:4" x14ac:dyDescent="0.3">
      <c r="A11460" s="4">
        <v>43836</v>
      </c>
      <c r="B11460" s="833" t="s">
        <v>15727</v>
      </c>
      <c r="C11460" s="4" t="s">
        <v>12080</v>
      </c>
      <c r="D11460" s="834">
        <v>2634.05</v>
      </c>
    </row>
    <row r="11461" spans="1:4" x14ac:dyDescent="0.3">
      <c r="A11461" s="4">
        <v>21059</v>
      </c>
      <c r="B11461" s="833" t="s">
        <v>15728</v>
      </c>
      <c r="C11461" s="4" t="s">
        <v>12080</v>
      </c>
      <c r="D11461" s="834">
        <v>39.58</v>
      </c>
    </row>
    <row r="11462" spans="1:4" x14ac:dyDescent="0.3">
      <c r="A11462" s="4">
        <v>11234</v>
      </c>
      <c r="B11462" s="833" t="s">
        <v>15729</v>
      </c>
      <c r="C11462" s="4" t="s">
        <v>12080</v>
      </c>
      <c r="D11462" s="834">
        <v>59.65</v>
      </c>
    </row>
    <row r="11463" spans="1:4" x14ac:dyDescent="0.3">
      <c r="A11463" s="4">
        <v>21060</v>
      </c>
      <c r="B11463" s="833" t="s">
        <v>15730</v>
      </c>
      <c r="C11463" s="4" t="s">
        <v>12080</v>
      </c>
      <c r="D11463" s="834">
        <v>73.42</v>
      </c>
    </row>
    <row r="11464" spans="1:4" x14ac:dyDescent="0.3">
      <c r="A11464" s="4">
        <v>21061</v>
      </c>
      <c r="B11464" s="833" t="s">
        <v>15731</v>
      </c>
      <c r="C11464" s="4" t="s">
        <v>12080</v>
      </c>
      <c r="D11464" s="834">
        <v>91.78</v>
      </c>
    </row>
    <row r="11465" spans="1:4" x14ac:dyDescent="0.3">
      <c r="A11465" s="4">
        <v>21062</v>
      </c>
      <c r="B11465" s="833" t="s">
        <v>15732</v>
      </c>
      <c r="C11465" s="4" t="s">
        <v>12080</v>
      </c>
      <c r="D11465" s="834">
        <v>144.55000000000001</v>
      </c>
    </row>
    <row r="11466" spans="1:4" x14ac:dyDescent="0.3">
      <c r="A11466" s="4">
        <v>11708</v>
      </c>
      <c r="B11466" s="833" t="s">
        <v>15733</v>
      </c>
      <c r="C11466" s="4" t="s">
        <v>12080</v>
      </c>
      <c r="D11466" s="834">
        <v>15.77</v>
      </c>
    </row>
    <row r="11467" spans="1:4" x14ac:dyDescent="0.3">
      <c r="A11467" s="4">
        <v>11709</v>
      </c>
      <c r="B11467" s="833" t="s">
        <v>15734</v>
      </c>
      <c r="C11467" s="4" t="s">
        <v>12080</v>
      </c>
      <c r="D11467" s="834">
        <v>37.049999999999997</v>
      </c>
    </row>
    <row r="11468" spans="1:4" x14ac:dyDescent="0.3">
      <c r="A11468" s="4">
        <v>11710</v>
      </c>
      <c r="B11468" s="833" t="s">
        <v>15735</v>
      </c>
      <c r="C11468" s="4" t="s">
        <v>12080</v>
      </c>
      <c r="D11468" s="834">
        <v>85.18</v>
      </c>
    </row>
    <row r="11469" spans="1:4" x14ac:dyDescent="0.3">
      <c r="A11469" s="4">
        <v>11707</v>
      </c>
      <c r="B11469" s="833" t="s">
        <v>15736</v>
      </c>
      <c r="C11469" s="4" t="s">
        <v>12080</v>
      </c>
      <c r="D11469" s="834">
        <v>11.81</v>
      </c>
    </row>
    <row r="11470" spans="1:4" x14ac:dyDescent="0.3">
      <c r="A11470" s="4">
        <v>5102</v>
      </c>
      <c r="B11470" s="833" t="s">
        <v>15737</v>
      </c>
      <c r="C11470" s="4" t="s">
        <v>12080</v>
      </c>
      <c r="D11470" s="834">
        <v>18.03</v>
      </c>
    </row>
    <row r="11471" spans="1:4" x14ac:dyDescent="0.3">
      <c r="A11471" s="4">
        <v>11711</v>
      </c>
      <c r="B11471" s="833" t="s">
        <v>15738</v>
      </c>
      <c r="C11471" s="4" t="s">
        <v>12080</v>
      </c>
      <c r="D11471" s="834">
        <v>15.02</v>
      </c>
    </row>
    <row r="11472" spans="1:4" x14ac:dyDescent="0.3">
      <c r="A11472" s="4">
        <v>11739</v>
      </c>
      <c r="B11472" s="833" t="s">
        <v>15739</v>
      </c>
      <c r="C11472" s="4" t="s">
        <v>12080</v>
      </c>
      <c r="D11472" s="834">
        <v>12.85</v>
      </c>
    </row>
    <row r="11473" spans="1:4" x14ac:dyDescent="0.3">
      <c r="A11473" s="4">
        <v>11741</v>
      </c>
      <c r="B11473" s="833" t="s">
        <v>15740</v>
      </c>
      <c r="C11473" s="4" t="s">
        <v>12080</v>
      </c>
      <c r="D11473" s="834">
        <v>16.36</v>
      </c>
    </row>
    <row r="11474" spans="1:4" x14ac:dyDescent="0.3">
      <c r="A11474" s="4">
        <v>11745</v>
      </c>
      <c r="B11474" s="833" t="s">
        <v>15741</v>
      </c>
      <c r="C11474" s="4" t="s">
        <v>12080</v>
      </c>
      <c r="D11474" s="834">
        <v>21.56</v>
      </c>
    </row>
    <row r="11475" spans="1:4" x14ac:dyDescent="0.3">
      <c r="A11475" s="4">
        <v>11743</v>
      </c>
      <c r="B11475" s="833" t="s">
        <v>15742</v>
      </c>
      <c r="C11475" s="4" t="s">
        <v>12080</v>
      </c>
      <c r="D11475" s="834">
        <v>13.74</v>
      </c>
    </row>
    <row r="11476" spans="1:4" x14ac:dyDescent="0.3">
      <c r="A11476" s="4">
        <v>5104</v>
      </c>
      <c r="B11476" s="833" t="s">
        <v>15743</v>
      </c>
      <c r="C11476" s="4" t="s">
        <v>12126</v>
      </c>
      <c r="D11476" s="834">
        <v>71.89</v>
      </c>
    </row>
    <row r="11477" spans="1:4" x14ac:dyDescent="0.3">
      <c r="A11477" s="4">
        <v>44530</v>
      </c>
      <c r="B11477" s="833" t="s">
        <v>15744</v>
      </c>
      <c r="C11477" s="4" t="s">
        <v>12080</v>
      </c>
      <c r="D11477" s="834">
        <v>41.24</v>
      </c>
    </row>
    <row r="11478" spans="1:4" x14ac:dyDescent="0.3">
      <c r="A11478" s="4">
        <v>2710</v>
      </c>
      <c r="B11478" s="833" t="s">
        <v>15745</v>
      </c>
      <c r="C11478" s="4" t="s">
        <v>12080</v>
      </c>
      <c r="D11478" s="834">
        <v>32.94</v>
      </c>
    </row>
    <row r="11479" spans="1:4" x14ac:dyDescent="0.3">
      <c r="A11479" s="4">
        <v>14575</v>
      </c>
      <c r="B11479" s="833" t="s">
        <v>15746</v>
      </c>
      <c r="C11479" s="4" t="s">
        <v>12080</v>
      </c>
      <c r="D11479" s="834">
        <v>5220807</v>
      </c>
    </row>
    <row r="11480" spans="1:4" x14ac:dyDescent="0.3">
      <c r="A11480" s="4">
        <v>20043</v>
      </c>
      <c r="B11480" s="833" t="s">
        <v>15747</v>
      </c>
      <c r="C11480" s="4" t="s">
        <v>12080</v>
      </c>
      <c r="D11480" s="834">
        <v>9.26</v>
      </c>
    </row>
    <row r="11481" spans="1:4" x14ac:dyDescent="0.3">
      <c r="A11481" s="4">
        <v>20044</v>
      </c>
      <c r="B11481" s="833" t="s">
        <v>15748</v>
      </c>
      <c r="C11481" s="4" t="s">
        <v>12080</v>
      </c>
      <c r="D11481" s="834">
        <v>10.74</v>
      </c>
    </row>
    <row r="11482" spans="1:4" x14ac:dyDescent="0.3">
      <c r="A11482" s="4">
        <v>20042</v>
      </c>
      <c r="B11482" s="833" t="s">
        <v>15749</v>
      </c>
      <c r="C11482" s="4" t="s">
        <v>12080</v>
      </c>
      <c r="D11482" s="834">
        <v>8.0299999999999994</v>
      </c>
    </row>
    <row r="11483" spans="1:4" x14ac:dyDescent="0.3">
      <c r="A11483" s="4">
        <v>20046</v>
      </c>
      <c r="B11483" s="833" t="s">
        <v>15750</v>
      </c>
      <c r="C11483" s="4" t="s">
        <v>12080</v>
      </c>
      <c r="D11483" s="834">
        <v>19.010000000000002</v>
      </c>
    </row>
    <row r="11484" spans="1:4" x14ac:dyDescent="0.3">
      <c r="A11484" s="4">
        <v>20047</v>
      </c>
      <c r="B11484" s="833" t="s">
        <v>15751</v>
      </c>
      <c r="C11484" s="4" t="s">
        <v>12080</v>
      </c>
      <c r="D11484" s="834">
        <v>57.02</v>
      </c>
    </row>
    <row r="11485" spans="1:4" x14ac:dyDescent="0.3">
      <c r="A11485" s="4">
        <v>20045</v>
      </c>
      <c r="B11485" s="833" t="s">
        <v>15752</v>
      </c>
      <c r="C11485" s="4" t="s">
        <v>12080</v>
      </c>
      <c r="D11485" s="834">
        <v>9.6199999999999992</v>
      </c>
    </row>
    <row r="11486" spans="1:4" x14ac:dyDescent="0.3">
      <c r="A11486" s="4">
        <v>20972</v>
      </c>
      <c r="B11486" s="833" t="s">
        <v>15753</v>
      </c>
      <c r="C11486" s="4" t="s">
        <v>12080</v>
      </c>
      <c r="D11486" s="834">
        <v>155.11000000000001</v>
      </c>
    </row>
    <row r="11487" spans="1:4" x14ac:dyDescent="0.3">
      <c r="A11487" s="4">
        <v>11321</v>
      </c>
      <c r="B11487" s="833" t="s">
        <v>15754</v>
      </c>
      <c r="C11487" s="4" t="s">
        <v>12080</v>
      </c>
      <c r="D11487" s="834">
        <v>29.69</v>
      </c>
    </row>
    <row r="11488" spans="1:4" x14ac:dyDescent="0.3">
      <c r="A11488" s="4">
        <v>11323</v>
      </c>
      <c r="B11488" s="833" t="s">
        <v>15755</v>
      </c>
      <c r="C11488" s="4" t="s">
        <v>12080</v>
      </c>
      <c r="D11488" s="834">
        <v>34.15</v>
      </c>
    </row>
    <row r="11489" spans="1:4" x14ac:dyDescent="0.3">
      <c r="A11489" s="4">
        <v>20327</v>
      </c>
      <c r="B11489" s="833" t="s">
        <v>15756</v>
      </c>
      <c r="C11489" s="4" t="s">
        <v>12080</v>
      </c>
      <c r="D11489" s="834">
        <v>19.38</v>
      </c>
    </row>
    <row r="11490" spans="1:4" x14ac:dyDescent="0.3">
      <c r="A11490" s="4">
        <v>6034</v>
      </c>
      <c r="B11490" s="833" t="s">
        <v>15757</v>
      </c>
      <c r="C11490" s="4" t="s">
        <v>12080</v>
      </c>
      <c r="D11490" s="834">
        <v>12.43</v>
      </c>
    </row>
    <row r="11491" spans="1:4" x14ac:dyDescent="0.3">
      <c r="A11491" s="4">
        <v>6036</v>
      </c>
      <c r="B11491" s="833" t="s">
        <v>15758</v>
      </c>
      <c r="C11491" s="4" t="s">
        <v>12080</v>
      </c>
      <c r="D11491" s="834">
        <v>16.93</v>
      </c>
    </row>
    <row r="11492" spans="1:4" x14ac:dyDescent="0.3">
      <c r="A11492" s="4">
        <v>6031</v>
      </c>
      <c r="B11492" s="833" t="s">
        <v>15759</v>
      </c>
      <c r="C11492" s="4" t="s">
        <v>12080</v>
      </c>
      <c r="D11492" s="834">
        <v>19.899999999999999</v>
      </c>
    </row>
    <row r="11493" spans="1:4" x14ac:dyDescent="0.3">
      <c r="A11493" s="4">
        <v>6029</v>
      </c>
      <c r="B11493" s="833" t="s">
        <v>15760</v>
      </c>
      <c r="C11493" s="4" t="s">
        <v>12080</v>
      </c>
      <c r="D11493" s="834">
        <v>20.11</v>
      </c>
    </row>
    <row r="11494" spans="1:4" x14ac:dyDescent="0.3">
      <c r="A11494" s="4">
        <v>6033</v>
      </c>
      <c r="B11494" s="833" t="s">
        <v>15761</v>
      </c>
      <c r="C11494" s="4" t="s">
        <v>12080</v>
      </c>
      <c r="D11494" s="834">
        <v>26.5</v>
      </c>
    </row>
    <row r="11495" spans="1:4" x14ac:dyDescent="0.3">
      <c r="A11495" s="4">
        <v>11672</v>
      </c>
      <c r="B11495" s="833" t="s">
        <v>15762</v>
      </c>
      <c r="C11495" s="4" t="s">
        <v>12080</v>
      </c>
      <c r="D11495" s="834">
        <v>57.66</v>
      </c>
    </row>
    <row r="11496" spans="1:4" x14ac:dyDescent="0.3">
      <c r="A11496" s="4">
        <v>11669</v>
      </c>
      <c r="B11496" s="833" t="s">
        <v>15763</v>
      </c>
      <c r="C11496" s="4" t="s">
        <v>12080</v>
      </c>
      <c r="D11496" s="834">
        <v>54.91</v>
      </c>
    </row>
    <row r="11497" spans="1:4" x14ac:dyDescent="0.3">
      <c r="A11497" s="4">
        <v>11670</v>
      </c>
      <c r="B11497" s="833" t="s">
        <v>15764</v>
      </c>
      <c r="C11497" s="4" t="s">
        <v>12080</v>
      </c>
      <c r="D11497" s="834">
        <v>21.03</v>
      </c>
    </row>
    <row r="11498" spans="1:4" x14ac:dyDescent="0.3">
      <c r="A11498" s="4">
        <v>20055</v>
      </c>
      <c r="B11498" s="833" t="s">
        <v>15765</v>
      </c>
      <c r="C11498" s="4" t="s">
        <v>12080</v>
      </c>
      <c r="D11498" s="834">
        <v>41.12</v>
      </c>
    </row>
    <row r="11499" spans="1:4" x14ac:dyDescent="0.3">
      <c r="A11499" s="4">
        <v>11671</v>
      </c>
      <c r="B11499" s="833" t="s">
        <v>15766</v>
      </c>
      <c r="C11499" s="4" t="s">
        <v>12080</v>
      </c>
      <c r="D11499" s="834">
        <v>88.24</v>
      </c>
    </row>
    <row r="11500" spans="1:4" x14ac:dyDescent="0.3">
      <c r="A11500" s="4">
        <v>6032</v>
      </c>
      <c r="B11500" s="833" t="s">
        <v>15767</v>
      </c>
      <c r="C11500" s="4" t="s">
        <v>12080</v>
      </c>
      <c r="D11500" s="834">
        <v>25.2</v>
      </c>
    </row>
    <row r="11501" spans="1:4" x14ac:dyDescent="0.3">
      <c r="A11501" s="4">
        <v>11673</v>
      </c>
      <c r="B11501" s="833" t="s">
        <v>15768</v>
      </c>
      <c r="C11501" s="4" t="s">
        <v>12080</v>
      </c>
      <c r="D11501" s="834">
        <v>19.850000000000001</v>
      </c>
    </row>
    <row r="11502" spans="1:4" x14ac:dyDescent="0.3">
      <c r="A11502" s="4">
        <v>11674</v>
      </c>
      <c r="B11502" s="833" t="s">
        <v>15769</v>
      </c>
      <c r="C11502" s="4" t="s">
        <v>12080</v>
      </c>
      <c r="D11502" s="834">
        <v>25.56</v>
      </c>
    </row>
    <row r="11503" spans="1:4" x14ac:dyDescent="0.3">
      <c r="A11503" s="4">
        <v>11675</v>
      </c>
      <c r="B11503" s="833" t="s">
        <v>15770</v>
      </c>
      <c r="C11503" s="4" t="s">
        <v>12080</v>
      </c>
      <c r="D11503" s="834">
        <v>40.58</v>
      </c>
    </row>
    <row r="11504" spans="1:4" x14ac:dyDescent="0.3">
      <c r="A11504" s="4">
        <v>11676</v>
      </c>
      <c r="B11504" s="833" t="s">
        <v>15771</v>
      </c>
      <c r="C11504" s="4" t="s">
        <v>12080</v>
      </c>
      <c r="D11504" s="834">
        <v>54.27</v>
      </c>
    </row>
    <row r="11505" spans="1:4" x14ac:dyDescent="0.3">
      <c r="A11505" s="4">
        <v>11677</v>
      </c>
      <c r="B11505" s="833" t="s">
        <v>15772</v>
      </c>
      <c r="C11505" s="4" t="s">
        <v>12080</v>
      </c>
      <c r="D11505" s="834">
        <v>56.05</v>
      </c>
    </row>
    <row r="11506" spans="1:4" x14ac:dyDescent="0.3">
      <c r="A11506" s="4">
        <v>11678</v>
      </c>
      <c r="B11506" s="833" t="s">
        <v>15773</v>
      </c>
      <c r="C11506" s="4" t="s">
        <v>12080</v>
      </c>
      <c r="D11506" s="834">
        <v>102.65</v>
      </c>
    </row>
    <row r="11507" spans="1:4" x14ac:dyDescent="0.3">
      <c r="A11507" s="4">
        <v>6038</v>
      </c>
      <c r="B11507" s="833" t="s">
        <v>15774</v>
      </c>
      <c r="C11507" s="4" t="s">
        <v>12080</v>
      </c>
      <c r="D11507" s="834">
        <v>6.51</v>
      </c>
    </row>
    <row r="11508" spans="1:4" x14ac:dyDescent="0.3">
      <c r="A11508" s="4">
        <v>11718</v>
      </c>
      <c r="B11508" s="833" t="s">
        <v>15775</v>
      </c>
      <c r="C11508" s="4" t="s">
        <v>12080</v>
      </c>
      <c r="D11508" s="834">
        <v>18.57</v>
      </c>
    </row>
    <row r="11509" spans="1:4" x14ac:dyDescent="0.3">
      <c r="A11509" s="4">
        <v>6037</v>
      </c>
      <c r="B11509" s="833" t="s">
        <v>15776</v>
      </c>
      <c r="C11509" s="4" t="s">
        <v>12080</v>
      </c>
      <c r="D11509" s="834">
        <v>13.55</v>
      </c>
    </row>
    <row r="11510" spans="1:4" x14ac:dyDescent="0.3">
      <c r="A11510" s="4">
        <v>11719</v>
      </c>
      <c r="B11510" s="833" t="s">
        <v>15777</v>
      </c>
      <c r="C11510" s="4" t="s">
        <v>12080</v>
      </c>
      <c r="D11510" s="834">
        <v>15.06</v>
      </c>
    </row>
    <row r="11511" spans="1:4" x14ac:dyDescent="0.3">
      <c r="A11511" s="4">
        <v>6010</v>
      </c>
      <c r="B11511" s="833" t="s">
        <v>15778</v>
      </c>
      <c r="C11511" s="4" t="s">
        <v>12080</v>
      </c>
      <c r="D11511" s="834">
        <v>101.64</v>
      </c>
    </row>
    <row r="11512" spans="1:4" x14ac:dyDescent="0.3">
      <c r="A11512" s="4">
        <v>6017</v>
      </c>
      <c r="B11512" s="833" t="s">
        <v>15779</v>
      </c>
      <c r="C11512" s="4" t="s">
        <v>12080</v>
      </c>
      <c r="D11512" s="834">
        <v>80.510000000000005</v>
      </c>
    </row>
    <row r="11513" spans="1:4" x14ac:dyDescent="0.3">
      <c r="A11513" s="4">
        <v>6020</v>
      </c>
      <c r="B11513" s="833" t="s">
        <v>15780</v>
      </c>
      <c r="C11513" s="4" t="s">
        <v>12080</v>
      </c>
      <c r="D11513" s="834">
        <v>35.479999999999997</v>
      </c>
    </row>
    <row r="11514" spans="1:4" x14ac:dyDescent="0.3">
      <c r="A11514" s="4">
        <v>6019</v>
      </c>
      <c r="B11514" s="833" t="s">
        <v>15781</v>
      </c>
      <c r="C11514" s="4" t="s">
        <v>12080</v>
      </c>
      <c r="D11514" s="834">
        <v>59.07</v>
      </c>
    </row>
    <row r="11515" spans="1:4" x14ac:dyDescent="0.3">
      <c r="A11515" s="4">
        <v>6011</v>
      </c>
      <c r="B11515" s="833" t="s">
        <v>15782</v>
      </c>
      <c r="C11515" s="4" t="s">
        <v>12080</v>
      </c>
      <c r="D11515" s="834">
        <v>293.61</v>
      </c>
    </row>
    <row r="11516" spans="1:4" x14ac:dyDescent="0.3">
      <c r="A11516" s="4">
        <v>6028</v>
      </c>
      <c r="B11516" s="833" t="s">
        <v>15783</v>
      </c>
      <c r="C11516" s="4" t="s">
        <v>12080</v>
      </c>
      <c r="D11516" s="834">
        <v>141.57</v>
      </c>
    </row>
    <row r="11517" spans="1:4" x14ac:dyDescent="0.3">
      <c r="A11517" s="4">
        <v>6016</v>
      </c>
      <c r="B11517" s="833" t="s">
        <v>15784</v>
      </c>
      <c r="C11517" s="4" t="s">
        <v>12080</v>
      </c>
      <c r="D11517" s="834">
        <v>37.42</v>
      </c>
    </row>
    <row r="11518" spans="1:4" x14ac:dyDescent="0.3">
      <c r="A11518" s="4">
        <v>6012</v>
      </c>
      <c r="B11518" s="833" t="s">
        <v>15785</v>
      </c>
      <c r="C11518" s="4" t="s">
        <v>12080</v>
      </c>
      <c r="D11518" s="834">
        <v>355.46</v>
      </c>
    </row>
    <row r="11519" spans="1:4" x14ac:dyDescent="0.3">
      <c r="A11519" s="4">
        <v>6027</v>
      </c>
      <c r="B11519" s="833" t="s">
        <v>15786</v>
      </c>
      <c r="C11519" s="4" t="s">
        <v>12080</v>
      </c>
      <c r="D11519" s="834">
        <v>740.66</v>
      </c>
    </row>
    <row r="11520" spans="1:4" x14ac:dyDescent="0.3">
      <c r="A11520" s="4">
        <v>6015</v>
      </c>
      <c r="B11520" s="833" t="s">
        <v>15787</v>
      </c>
      <c r="C11520" s="4" t="s">
        <v>12080</v>
      </c>
      <c r="D11520" s="834">
        <v>162.53</v>
      </c>
    </row>
    <row r="11521" spans="1:4" x14ac:dyDescent="0.3">
      <c r="A11521" s="4">
        <v>6014</v>
      </c>
      <c r="B11521" s="833" t="s">
        <v>15788</v>
      </c>
      <c r="C11521" s="4" t="s">
        <v>12080</v>
      </c>
      <c r="D11521" s="834">
        <v>155.38999999999999</v>
      </c>
    </row>
    <row r="11522" spans="1:4" x14ac:dyDescent="0.3">
      <c r="A11522" s="4">
        <v>6006</v>
      </c>
      <c r="B11522" s="833" t="s">
        <v>15789</v>
      </c>
      <c r="C11522" s="4" t="s">
        <v>12080</v>
      </c>
      <c r="D11522" s="834">
        <v>80.930000000000007</v>
      </c>
    </row>
    <row r="11523" spans="1:4" x14ac:dyDescent="0.3">
      <c r="A11523" s="4">
        <v>6013</v>
      </c>
      <c r="B11523" s="833" t="s">
        <v>15790</v>
      </c>
      <c r="C11523" s="4" t="s">
        <v>12080</v>
      </c>
      <c r="D11523" s="834">
        <v>111.76</v>
      </c>
    </row>
    <row r="11524" spans="1:4" x14ac:dyDescent="0.3">
      <c r="A11524" s="4">
        <v>6005</v>
      </c>
      <c r="B11524" s="833" t="s">
        <v>15791</v>
      </c>
      <c r="C11524" s="4" t="s">
        <v>12080</v>
      </c>
      <c r="D11524" s="834">
        <v>91.3</v>
      </c>
    </row>
    <row r="11525" spans="1:4" x14ac:dyDescent="0.3">
      <c r="A11525" s="4">
        <v>11756</v>
      </c>
      <c r="B11525" s="833" t="s">
        <v>15792</v>
      </c>
      <c r="C11525" s="4" t="s">
        <v>12080</v>
      </c>
      <c r="D11525" s="834">
        <v>43.6</v>
      </c>
    </row>
    <row r="11526" spans="1:4" x14ac:dyDescent="0.3">
      <c r="A11526" s="4">
        <v>10904</v>
      </c>
      <c r="B11526" s="833" t="s">
        <v>15793</v>
      </c>
      <c r="C11526" s="4" t="s">
        <v>12080</v>
      </c>
      <c r="D11526" s="834">
        <v>217.16</v>
      </c>
    </row>
    <row r="11527" spans="1:4" x14ac:dyDescent="0.3">
      <c r="A11527" s="4">
        <v>11752</v>
      </c>
      <c r="B11527" s="833" t="s">
        <v>15794</v>
      </c>
      <c r="C11527" s="4" t="s">
        <v>12080</v>
      </c>
      <c r="D11527" s="834">
        <v>25.14</v>
      </c>
    </row>
    <row r="11528" spans="1:4" x14ac:dyDescent="0.3">
      <c r="A11528" s="4">
        <v>11753</v>
      </c>
      <c r="B11528" s="833" t="s">
        <v>15795</v>
      </c>
      <c r="C11528" s="4" t="s">
        <v>12080</v>
      </c>
      <c r="D11528" s="834">
        <v>30.02</v>
      </c>
    </row>
    <row r="11529" spans="1:4" x14ac:dyDescent="0.3">
      <c r="A11529" s="4">
        <v>6021</v>
      </c>
      <c r="B11529" s="833" t="s">
        <v>15796</v>
      </c>
      <c r="C11529" s="4" t="s">
        <v>12080</v>
      </c>
      <c r="D11529" s="834">
        <v>83.3</v>
      </c>
    </row>
    <row r="11530" spans="1:4" x14ac:dyDescent="0.3">
      <c r="A11530" s="4">
        <v>6024</v>
      </c>
      <c r="B11530" s="833" t="s">
        <v>15797</v>
      </c>
      <c r="C11530" s="4" t="s">
        <v>12080</v>
      </c>
      <c r="D11530" s="834">
        <v>86.11</v>
      </c>
    </row>
    <row r="11531" spans="1:4" x14ac:dyDescent="0.3">
      <c r="A11531" s="4">
        <v>38379</v>
      </c>
      <c r="B11531" s="833" t="s">
        <v>15798</v>
      </c>
      <c r="C11531" s="4" t="s">
        <v>1803</v>
      </c>
      <c r="D11531" s="834">
        <v>64.52</v>
      </c>
    </row>
    <row r="11532" spans="1:4" x14ac:dyDescent="0.3">
      <c r="A11532" s="4">
        <v>13897</v>
      </c>
      <c r="B11532" s="833" t="s">
        <v>15799</v>
      </c>
      <c r="C11532" s="4" t="s">
        <v>12080</v>
      </c>
      <c r="D11532" s="834">
        <v>6993.97</v>
      </c>
    </row>
    <row r="11533" spans="1:4" x14ac:dyDescent="0.3">
      <c r="A11533" s="4">
        <v>10640</v>
      </c>
      <c r="B11533" s="833" t="s">
        <v>15800</v>
      </c>
      <c r="C11533" s="4" t="s">
        <v>12080</v>
      </c>
      <c r="D11533" s="834">
        <v>15147.48</v>
      </c>
    </row>
    <row r="11534" spans="1:4" x14ac:dyDescent="0.3">
      <c r="A11534" s="4">
        <v>34357</v>
      </c>
      <c r="B11534" s="833" t="s">
        <v>15801</v>
      </c>
      <c r="C11534" s="4" t="s">
        <v>12126</v>
      </c>
      <c r="D11534" s="834">
        <v>4.1100000000000003</v>
      </c>
    </row>
    <row r="11535" spans="1:4" x14ac:dyDescent="0.3">
      <c r="A11535" s="4">
        <v>37329</v>
      </c>
      <c r="B11535" s="833" t="s">
        <v>15802</v>
      </c>
      <c r="C11535" s="4" t="s">
        <v>12126</v>
      </c>
      <c r="D11535" s="834">
        <v>86.57</v>
      </c>
    </row>
    <row r="11536" spans="1:4" x14ac:dyDescent="0.3">
      <c r="A11536" s="4">
        <v>2510</v>
      </c>
      <c r="B11536" s="833" t="s">
        <v>15803</v>
      </c>
      <c r="C11536" s="4" t="s">
        <v>12080</v>
      </c>
      <c r="D11536" s="834">
        <v>35.46</v>
      </c>
    </row>
    <row r="11537" spans="1:4" x14ac:dyDescent="0.3">
      <c r="A11537" s="4">
        <v>12359</v>
      </c>
      <c r="B11537" s="833" t="s">
        <v>15804</v>
      </c>
      <c r="C11537" s="4" t="s">
        <v>12080</v>
      </c>
      <c r="D11537" s="834">
        <v>151.33000000000001</v>
      </c>
    </row>
    <row r="11538" spans="1:4" x14ac:dyDescent="0.3">
      <c r="A11538" s="4">
        <v>7353</v>
      </c>
      <c r="B11538" s="833" t="s">
        <v>15805</v>
      </c>
      <c r="C11538" s="4" t="s">
        <v>12128</v>
      </c>
      <c r="D11538" s="834">
        <v>35.200000000000003</v>
      </c>
    </row>
    <row r="11539" spans="1:4" x14ac:dyDescent="0.3">
      <c r="A11539" s="4">
        <v>36144</v>
      </c>
      <c r="B11539" s="833" t="s">
        <v>15806</v>
      </c>
      <c r="C11539" s="4" t="s">
        <v>12080</v>
      </c>
      <c r="D11539" s="834">
        <v>1.54</v>
      </c>
    </row>
    <row r="11540" spans="1:4" x14ac:dyDescent="0.3">
      <c r="A11540" s="4">
        <v>10518</v>
      </c>
      <c r="B11540" s="833" t="s">
        <v>15807</v>
      </c>
      <c r="C11540" s="4" t="s">
        <v>12080</v>
      </c>
      <c r="D11540" s="834">
        <v>110.92</v>
      </c>
    </row>
    <row r="11541" spans="1:4" x14ac:dyDescent="0.3">
      <c r="A11541" s="4">
        <v>36530</v>
      </c>
      <c r="B11541" s="833" t="s">
        <v>15808</v>
      </c>
      <c r="C11541" s="4" t="s">
        <v>12080</v>
      </c>
      <c r="D11541" s="834">
        <v>405658.52</v>
      </c>
    </row>
    <row r="11542" spans="1:4" x14ac:dyDescent="0.3">
      <c r="A11542" s="4">
        <v>6046</v>
      </c>
      <c r="B11542" s="833" t="s">
        <v>15809</v>
      </c>
      <c r="C11542" s="4" t="s">
        <v>12080</v>
      </c>
      <c r="D11542" s="834">
        <v>440000</v>
      </c>
    </row>
    <row r="11543" spans="1:4" x14ac:dyDescent="0.3">
      <c r="A11543" s="4">
        <v>36531</v>
      </c>
      <c r="B11543" s="833" t="s">
        <v>15810</v>
      </c>
      <c r="C11543" s="4" t="s">
        <v>12080</v>
      </c>
      <c r="D11543" s="834">
        <v>456097.53</v>
      </c>
    </row>
    <row r="11544" spans="1:4" x14ac:dyDescent="0.3">
      <c r="A11544" s="4">
        <v>34684</v>
      </c>
      <c r="B11544" s="833" t="s">
        <v>15811</v>
      </c>
      <c r="C11544" s="4" t="s">
        <v>12481</v>
      </c>
      <c r="D11544" s="834">
        <v>256.62</v>
      </c>
    </row>
    <row r="11545" spans="1:4" x14ac:dyDescent="0.3">
      <c r="A11545" s="4">
        <v>34683</v>
      </c>
      <c r="B11545" s="833" t="s">
        <v>15812</v>
      </c>
      <c r="C11545" s="4" t="s">
        <v>12481</v>
      </c>
      <c r="D11545" s="834">
        <v>160.38999999999999</v>
      </c>
    </row>
    <row r="11546" spans="1:4" x14ac:dyDescent="0.3">
      <c r="A11546" s="4">
        <v>44954</v>
      </c>
      <c r="B11546" s="833" t="s">
        <v>15813</v>
      </c>
      <c r="C11546" s="4" t="s">
        <v>12481</v>
      </c>
      <c r="D11546" s="834">
        <v>104.68</v>
      </c>
    </row>
    <row r="11547" spans="1:4" x14ac:dyDescent="0.3">
      <c r="A11547" s="4">
        <v>44955</v>
      </c>
      <c r="B11547" s="833" t="s">
        <v>15814</v>
      </c>
      <c r="C11547" s="4" t="s">
        <v>12481</v>
      </c>
      <c r="D11547" s="834">
        <v>152.97</v>
      </c>
    </row>
    <row r="11548" spans="1:4" x14ac:dyDescent="0.3">
      <c r="A11548" s="4">
        <v>10515</v>
      </c>
      <c r="B11548" s="833" t="s">
        <v>15815</v>
      </c>
      <c r="C11548" s="4" t="s">
        <v>12481</v>
      </c>
      <c r="D11548" s="834">
        <v>51.96</v>
      </c>
    </row>
    <row r="11549" spans="1:4" x14ac:dyDescent="0.3">
      <c r="A11549" s="4">
        <v>153</v>
      </c>
      <c r="B11549" s="833" t="s">
        <v>15816</v>
      </c>
      <c r="C11549" s="4" t="s">
        <v>12128</v>
      </c>
      <c r="D11549" s="834">
        <v>111.82</v>
      </c>
    </row>
    <row r="11550" spans="1:4" x14ac:dyDescent="0.3">
      <c r="A11550" s="4">
        <v>34682</v>
      </c>
      <c r="B11550" s="833" t="s">
        <v>15817</v>
      </c>
      <c r="C11550" s="4" t="s">
        <v>12481</v>
      </c>
      <c r="D11550" s="834">
        <v>122.65</v>
      </c>
    </row>
    <row r="11551" spans="1:4" x14ac:dyDescent="0.3">
      <c r="A11551" s="4">
        <v>536</v>
      </c>
      <c r="B11551" s="833" t="s">
        <v>15818</v>
      </c>
      <c r="C11551" s="4" t="s">
        <v>12481</v>
      </c>
      <c r="D11551" s="834">
        <v>29.27</v>
      </c>
    </row>
    <row r="11552" spans="1:4" x14ac:dyDescent="0.3">
      <c r="A11552" s="4">
        <v>20205</v>
      </c>
      <c r="B11552" s="833" t="s">
        <v>15819</v>
      </c>
      <c r="C11552" s="4" t="s">
        <v>1803</v>
      </c>
      <c r="D11552" s="834">
        <v>3.3</v>
      </c>
    </row>
    <row r="11553" spans="1:4" x14ac:dyDescent="0.3">
      <c r="A11553" s="4">
        <v>4412</v>
      </c>
      <c r="B11553" s="833" t="s">
        <v>15820</v>
      </c>
      <c r="C11553" s="4" t="s">
        <v>1803</v>
      </c>
      <c r="D11553" s="834">
        <v>1.98</v>
      </c>
    </row>
    <row r="11554" spans="1:4" x14ac:dyDescent="0.3">
      <c r="A11554" s="4">
        <v>4408</v>
      </c>
      <c r="B11554" s="833" t="s">
        <v>15821</v>
      </c>
      <c r="C11554" s="4" t="s">
        <v>1803</v>
      </c>
      <c r="D11554" s="834">
        <v>2.4700000000000002</v>
      </c>
    </row>
    <row r="11555" spans="1:4" x14ac:dyDescent="0.3">
      <c r="A11555" s="4">
        <v>36250</v>
      </c>
      <c r="B11555" s="833" t="s">
        <v>15822</v>
      </c>
      <c r="C11555" s="4" t="s">
        <v>1803</v>
      </c>
      <c r="D11555" s="834">
        <v>3.34</v>
      </c>
    </row>
    <row r="11556" spans="1:4" x14ac:dyDescent="0.3">
      <c r="A11556" s="4">
        <v>10857</v>
      </c>
      <c r="B11556" s="833" t="s">
        <v>15823</v>
      </c>
      <c r="C11556" s="4" t="s">
        <v>1803</v>
      </c>
      <c r="D11556" s="834">
        <v>17.53</v>
      </c>
    </row>
    <row r="11557" spans="1:4" x14ac:dyDescent="0.3">
      <c r="A11557" s="4">
        <v>4803</v>
      </c>
      <c r="B11557" s="833" t="s">
        <v>15824</v>
      </c>
      <c r="C11557" s="4" t="s">
        <v>1803</v>
      </c>
      <c r="D11557" s="834">
        <v>31.63</v>
      </c>
    </row>
    <row r="11558" spans="1:4" x14ac:dyDescent="0.3">
      <c r="A11558" s="4">
        <v>6186</v>
      </c>
      <c r="B11558" s="833" t="s">
        <v>15825</v>
      </c>
      <c r="C11558" s="4" t="s">
        <v>1803</v>
      </c>
      <c r="D11558" s="834">
        <v>21.27</v>
      </c>
    </row>
    <row r="11559" spans="1:4" x14ac:dyDescent="0.3">
      <c r="A11559" s="4">
        <v>4829</v>
      </c>
      <c r="B11559" s="833" t="s">
        <v>15826</v>
      </c>
      <c r="C11559" s="4" t="s">
        <v>1803</v>
      </c>
      <c r="D11559" s="834">
        <v>41.67</v>
      </c>
    </row>
    <row r="11560" spans="1:4" x14ac:dyDescent="0.3">
      <c r="A11560" s="4">
        <v>39829</v>
      </c>
      <c r="B11560" s="833" t="s">
        <v>15827</v>
      </c>
      <c r="C11560" s="4" t="s">
        <v>1803</v>
      </c>
      <c r="D11560" s="834">
        <v>34</v>
      </c>
    </row>
    <row r="11561" spans="1:4" x14ac:dyDescent="0.3">
      <c r="A11561" s="4">
        <v>20231</v>
      </c>
      <c r="B11561" s="833" t="s">
        <v>15828</v>
      </c>
      <c r="C11561" s="4" t="s">
        <v>1803</v>
      </c>
      <c r="D11561" s="834">
        <v>51.07</v>
      </c>
    </row>
    <row r="11562" spans="1:4" x14ac:dyDescent="0.3">
      <c r="A11562" s="4">
        <v>4804</v>
      </c>
      <c r="B11562" s="833" t="s">
        <v>15829</v>
      </c>
      <c r="C11562" s="4" t="s">
        <v>1803</v>
      </c>
      <c r="D11562" s="834">
        <v>24.28</v>
      </c>
    </row>
    <row r="11563" spans="1:4" x14ac:dyDescent="0.3">
      <c r="A11563" s="4">
        <v>34680</v>
      </c>
      <c r="B11563" s="833" t="s">
        <v>15830</v>
      </c>
      <c r="C11563" s="4" t="s">
        <v>1803</v>
      </c>
      <c r="D11563" s="834">
        <v>37.729999999999997</v>
      </c>
    </row>
    <row r="11564" spans="1:4" x14ac:dyDescent="0.3">
      <c r="A11564" s="4">
        <v>11573</v>
      </c>
      <c r="B11564" s="833" t="s">
        <v>15831</v>
      </c>
      <c r="C11564" s="4" t="s">
        <v>12080</v>
      </c>
      <c r="D11564" s="834">
        <v>5.81</v>
      </c>
    </row>
    <row r="11565" spans="1:4" x14ac:dyDescent="0.3">
      <c r="A11565" s="4">
        <v>38401</v>
      </c>
      <c r="B11565" s="833" t="s">
        <v>15832</v>
      </c>
      <c r="C11565" s="4" t="s">
        <v>12080</v>
      </c>
      <c r="D11565" s="834">
        <v>11.59</v>
      </c>
    </row>
    <row r="11566" spans="1:4" x14ac:dyDescent="0.3">
      <c r="A11566" s="4">
        <v>11575</v>
      </c>
      <c r="B11566" s="833" t="s">
        <v>15833</v>
      </c>
      <c r="C11566" s="4" t="s">
        <v>12080</v>
      </c>
      <c r="D11566" s="834">
        <v>56.02</v>
      </c>
    </row>
    <row r="11567" spans="1:4" x14ac:dyDescent="0.3">
      <c r="A11567" s="4">
        <v>38179</v>
      </c>
      <c r="B11567" s="833" t="s">
        <v>15834</v>
      </c>
      <c r="C11567" s="4" t="s">
        <v>12080</v>
      </c>
      <c r="D11567" s="834">
        <v>46.32</v>
      </c>
    </row>
    <row r="11568" spans="1:4" x14ac:dyDescent="0.3">
      <c r="A11568" s="4">
        <v>20256</v>
      </c>
      <c r="B11568" s="833" t="s">
        <v>15835</v>
      </c>
      <c r="C11568" s="4" t="s">
        <v>12080</v>
      </c>
      <c r="D11568" s="834">
        <v>0.3</v>
      </c>
    </row>
    <row r="11569" spans="1:4" x14ac:dyDescent="0.3">
      <c r="A11569" s="4">
        <v>14511</v>
      </c>
      <c r="B11569" s="833" t="s">
        <v>15836</v>
      </c>
      <c r="C11569" s="4" t="s">
        <v>12080</v>
      </c>
      <c r="D11569" s="834">
        <v>997825.41</v>
      </c>
    </row>
    <row r="11570" spans="1:4" x14ac:dyDescent="0.3">
      <c r="A11570" s="4">
        <v>10642</v>
      </c>
      <c r="B11570" s="833" t="s">
        <v>15837</v>
      </c>
      <c r="C11570" s="4" t="s">
        <v>12080</v>
      </c>
      <c r="D11570" s="834">
        <v>940000</v>
      </c>
    </row>
    <row r="11571" spans="1:4" x14ac:dyDescent="0.3">
      <c r="A11571" s="4">
        <v>14489</v>
      </c>
      <c r="B11571" s="833" t="s">
        <v>15838</v>
      </c>
      <c r="C11571" s="4" t="s">
        <v>12080</v>
      </c>
      <c r="D11571" s="834">
        <v>833762.51</v>
      </c>
    </row>
    <row r="11572" spans="1:4" x14ac:dyDescent="0.3">
      <c r="A11572" s="4">
        <v>14513</v>
      </c>
      <c r="B11572" s="833" t="s">
        <v>15839</v>
      </c>
      <c r="C11572" s="4" t="s">
        <v>12080</v>
      </c>
      <c r="D11572" s="834">
        <v>625341.67000000004</v>
      </c>
    </row>
    <row r="11573" spans="1:4" x14ac:dyDescent="0.3">
      <c r="A11573" s="4">
        <v>13600</v>
      </c>
      <c r="B11573" s="833" t="s">
        <v>15840</v>
      </c>
      <c r="C11573" s="4" t="s">
        <v>12080</v>
      </c>
      <c r="D11573" s="834">
        <v>806866.86</v>
      </c>
    </row>
    <row r="11574" spans="1:4" x14ac:dyDescent="0.3">
      <c r="A11574" s="4">
        <v>10646</v>
      </c>
      <c r="B11574" s="833" t="s">
        <v>15841</v>
      </c>
      <c r="C11574" s="4" t="s">
        <v>12080</v>
      </c>
      <c r="D11574" s="834">
        <v>601465.48</v>
      </c>
    </row>
    <row r="11575" spans="1:4" x14ac:dyDescent="0.3">
      <c r="A11575" s="4">
        <v>6070</v>
      </c>
      <c r="B11575" s="833" t="s">
        <v>15842</v>
      </c>
      <c r="C11575" s="4" t="s">
        <v>12080</v>
      </c>
      <c r="D11575" s="834">
        <v>821828.55</v>
      </c>
    </row>
    <row r="11576" spans="1:4" x14ac:dyDescent="0.3">
      <c r="A11576" s="4">
        <v>6069</v>
      </c>
      <c r="B11576" s="833" t="s">
        <v>15843</v>
      </c>
      <c r="C11576" s="4" t="s">
        <v>12080</v>
      </c>
      <c r="D11576" s="834">
        <v>181554.32</v>
      </c>
    </row>
    <row r="11577" spans="1:4" x14ac:dyDescent="0.3">
      <c r="A11577" s="4">
        <v>14626</v>
      </c>
      <c r="B11577" s="833" t="s">
        <v>15844</v>
      </c>
      <c r="C11577" s="4" t="s">
        <v>12080</v>
      </c>
      <c r="D11577" s="834">
        <v>899714.32</v>
      </c>
    </row>
    <row r="11578" spans="1:4" x14ac:dyDescent="0.3">
      <c r="A11578" s="4">
        <v>6067</v>
      </c>
      <c r="B11578" s="833" t="s">
        <v>15845</v>
      </c>
      <c r="C11578" s="4" t="s">
        <v>12080</v>
      </c>
      <c r="D11578" s="834">
        <v>738571.44</v>
      </c>
    </row>
    <row r="11579" spans="1:4" x14ac:dyDescent="0.3">
      <c r="A11579" s="4">
        <v>38393</v>
      </c>
      <c r="B11579" s="833" t="s">
        <v>15846</v>
      </c>
      <c r="C11579" s="4" t="s">
        <v>12080</v>
      </c>
      <c r="D11579" s="834">
        <v>17.3</v>
      </c>
    </row>
    <row r="11580" spans="1:4" x14ac:dyDescent="0.3">
      <c r="A11580" s="4">
        <v>38390</v>
      </c>
      <c r="B11580" s="833" t="s">
        <v>15847</v>
      </c>
      <c r="C11580" s="4" t="s">
        <v>12080</v>
      </c>
      <c r="D11580" s="834">
        <v>38.369999999999997</v>
      </c>
    </row>
    <row r="11581" spans="1:4" x14ac:dyDescent="0.3">
      <c r="A11581" s="4">
        <v>36532</v>
      </c>
      <c r="B11581" s="833" t="s">
        <v>15848</v>
      </c>
      <c r="C11581" s="4" t="s">
        <v>12080</v>
      </c>
      <c r="D11581" s="834">
        <v>31301.65</v>
      </c>
    </row>
    <row r="11582" spans="1:4" x14ac:dyDescent="0.3">
      <c r="A11582" s="4">
        <v>11578</v>
      </c>
      <c r="B11582" s="833" t="s">
        <v>15849</v>
      </c>
      <c r="C11582" s="4" t="s">
        <v>12080</v>
      </c>
      <c r="D11582" s="834">
        <v>12.09</v>
      </c>
    </row>
    <row r="11583" spans="1:4" x14ac:dyDescent="0.3">
      <c r="A11583" s="4">
        <v>11577</v>
      </c>
      <c r="B11583" s="833" t="s">
        <v>15850</v>
      </c>
      <c r="C11583" s="4" t="s">
        <v>12080</v>
      </c>
      <c r="D11583" s="834">
        <v>11.54</v>
      </c>
    </row>
    <row r="11584" spans="1:4" x14ac:dyDescent="0.3">
      <c r="A11584" s="4">
        <v>42432</v>
      </c>
      <c r="B11584" s="833" t="s">
        <v>15851</v>
      </c>
      <c r="C11584" s="4" t="s">
        <v>12080</v>
      </c>
      <c r="D11584" s="834">
        <v>2424.64</v>
      </c>
    </row>
    <row r="11585" spans="1:4" x14ac:dyDescent="0.3">
      <c r="A11585" s="4">
        <v>42437</v>
      </c>
      <c r="B11585" s="833" t="s">
        <v>15852</v>
      </c>
      <c r="C11585" s="4" t="s">
        <v>12080</v>
      </c>
      <c r="D11585" s="834">
        <v>1843.37</v>
      </c>
    </row>
    <row r="11586" spans="1:4" x14ac:dyDescent="0.3">
      <c r="A11586" s="4">
        <v>1116</v>
      </c>
      <c r="B11586" s="833" t="s">
        <v>15853</v>
      </c>
      <c r="C11586" s="4" t="s">
        <v>1803</v>
      </c>
      <c r="D11586" s="834">
        <v>17.43</v>
      </c>
    </row>
    <row r="11587" spans="1:4" x14ac:dyDescent="0.3">
      <c r="A11587" s="4">
        <v>1115</v>
      </c>
      <c r="B11587" s="833" t="s">
        <v>15854</v>
      </c>
      <c r="C11587" s="4" t="s">
        <v>1803</v>
      </c>
      <c r="D11587" s="834">
        <v>20.88</v>
      </c>
    </row>
    <row r="11588" spans="1:4" x14ac:dyDescent="0.3">
      <c r="A11588" s="4">
        <v>1113</v>
      </c>
      <c r="B11588" s="833" t="s">
        <v>15855</v>
      </c>
      <c r="C11588" s="4" t="s">
        <v>1803</v>
      </c>
      <c r="D11588" s="834">
        <v>24.41</v>
      </c>
    </row>
    <row r="11589" spans="1:4" x14ac:dyDescent="0.3">
      <c r="A11589" s="4">
        <v>1114</v>
      </c>
      <c r="B11589" s="833" t="s">
        <v>15856</v>
      </c>
      <c r="C11589" s="4" t="s">
        <v>1803</v>
      </c>
      <c r="D11589" s="834">
        <v>29.08</v>
      </c>
    </row>
    <row r="11590" spans="1:4" x14ac:dyDescent="0.3">
      <c r="A11590" s="4">
        <v>40873</v>
      </c>
      <c r="B11590" s="833" t="s">
        <v>15857</v>
      </c>
      <c r="C11590" s="4" t="s">
        <v>1803</v>
      </c>
      <c r="D11590" s="834">
        <v>22.75</v>
      </c>
    </row>
    <row r="11591" spans="1:4" x14ac:dyDescent="0.3">
      <c r="A11591" s="4">
        <v>20214</v>
      </c>
      <c r="B11591" s="833" t="s">
        <v>15858</v>
      </c>
      <c r="C11591" s="4" t="s">
        <v>12080</v>
      </c>
      <c r="D11591" s="834">
        <v>46.8</v>
      </c>
    </row>
    <row r="11592" spans="1:4" x14ac:dyDescent="0.3">
      <c r="A11592" s="4">
        <v>7237</v>
      </c>
      <c r="B11592" s="833" t="s">
        <v>15859</v>
      </c>
      <c r="C11592" s="4" t="s">
        <v>12080</v>
      </c>
      <c r="D11592" s="834">
        <v>45.82</v>
      </c>
    </row>
    <row r="11593" spans="1:4" x14ac:dyDescent="0.3">
      <c r="A11593" s="4">
        <v>11757</v>
      </c>
      <c r="B11593" s="833" t="s">
        <v>15860</v>
      </c>
      <c r="C11593" s="4" t="s">
        <v>12080</v>
      </c>
      <c r="D11593" s="834">
        <v>33.17</v>
      </c>
    </row>
    <row r="11594" spans="1:4" x14ac:dyDescent="0.3">
      <c r="A11594" s="4">
        <v>11758</v>
      </c>
      <c r="B11594" s="833" t="s">
        <v>15861</v>
      </c>
      <c r="C11594" s="4" t="s">
        <v>12080</v>
      </c>
      <c r="D11594" s="834">
        <v>36.9</v>
      </c>
    </row>
    <row r="11595" spans="1:4" x14ac:dyDescent="0.3">
      <c r="A11595" s="4">
        <v>37526</v>
      </c>
      <c r="B11595" s="833" t="s">
        <v>15862</v>
      </c>
      <c r="C11595" s="4" t="s">
        <v>12080</v>
      </c>
      <c r="D11595" s="834">
        <v>4.4400000000000004</v>
      </c>
    </row>
    <row r="11596" spans="1:4" x14ac:dyDescent="0.3">
      <c r="A11596" s="4">
        <v>6076</v>
      </c>
      <c r="B11596" s="833" t="s">
        <v>15863</v>
      </c>
      <c r="C11596" s="4" t="s">
        <v>12224</v>
      </c>
      <c r="D11596" s="834">
        <v>66.5</v>
      </c>
    </row>
    <row r="11597" spans="1:4" x14ac:dyDescent="0.3">
      <c r="A11597" s="4">
        <v>13109</v>
      </c>
      <c r="B11597" s="833" t="s">
        <v>15864</v>
      </c>
      <c r="C11597" s="4" t="s">
        <v>12080</v>
      </c>
      <c r="D11597" s="834">
        <v>270.93</v>
      </c>
    </row>
    <row r="11598" spans="1:4" x14ac:dyDescent="0.3">
      <c r="A11598" s="4">
        <v>13110</v>
      </c>
      <c r="B11598" s="833" t="s">
        <v>15865</v>
      </c>
      <c r="C11598" s="4" t="s">
        <v>12080</v>
      </c>
      <c r="D11598" s="834">
        <v>356.56</v>
      </c>
    </row>
    <row r="11599" spans="1:4" x14ac:dyDescent="0.3">
      <c r="A11599" s="4">
        <v>7581</v>
      </c>
      <c r="B11599" s="833" t="s">
        <v>15866</v>
      </c>
      <c r="C11599" s="4" t="s">
        <v>12080</v>
      </c>
      <c r="D11599" s="834">
        <v>6.4</v>
      </c>
    </row>
    <row r="11600" spans="1:4" x14ac:dyDescent="0.3">
      <c r="A11600" s="4">
        <v>4509</v>
      </c>
      <c r="B11600" s="833" t="s">
        <v>15867</v>
      </c>
      <c r="C11600" s="4" t="s">
        <v>1803</v>
      </c>
      <c r="D11600" s="834">
        <v>3.94</v>
      </c>
    </row>
    <row r="11601" spans="1:4" x14ac:dyDescent="0.3">
      <c r="A11601" s="4">
        <v>4512</v>
      </c>
      <c r="B11601" s="833" t="s">
        <v>15868</v>
      </c>
      <c r="C11601" s="4" t="s">
        <v>1803</v>
      </c>
      <c r="D11601" s="834">
        <v>1.88</v>
      </c>
    </row>
    <row r="11602" spans="1:4" x14ac:dyDescent="0.3">
      <c r="A11602" s="4">
        <v>4517</v>
      </c>
      <c r="B11602" s="833" t="s">
        <v>15869</v>
      </c>
      <c r="C11602" s="4" t="s">
        <v>1803</v>
      </c>
      <c r="D11602" s="834">
        <v>2.72</v>
      </c>
    </row>
    <row r="11603" spans="1:4" x14ac:dyDescent="0.3">
      <c r="A11603" s="4">
        <v>20206</v>
      </c>
      <c r="B11603" s="833" t="s">
        <v>15870</v>
      </c>
      <c r="C11603" s="4" t="s">
        <v>1803</v>
      </c>
      <c r="D11603" s="834">
        <v>8.91</v>
      </c>
    </row>
    <row r="11604" spans="1:4" x14ac:dyDescent="0.3">
      <c r="A11604" s="4">
        <v>4460</v>
      </c>
      <c r="B11604" s="833" t="s">
        <v>15871</v>
      </c>
      <c r="C11604" s="4" t="s">
        <v>1803</v>
      </c>
      <c r="D11604" s="834">
        <v>9.15</v>
      </c>
    </row>
    <row r="11605" spans="1:4" x14ac:dyDescent="0.3">
      <c r="A11605" s="4">
        <v>4415</v>
      </c>
      <c r="B11605" s="833" t="s">
        <v>15872</v>
      </c>
      <c r="C11605" s="4" t="s">
        <v>1803</v>
      </c>
      <c r="D11605" s="834">
        <v>4.9000000000000004</v>
      </c>
    </row>
    <row r="11606" spans="1:4" x14ac:dyDescent="0.3">
      <c r="A11606" s="4">
        <v>4417</v>
      </c>
      <c r="B11606" s="833" t="s">
        <v>15873</v>
      </c>
      <c r="C11606" s="4" t="s">
        <v>1803</v>
      </c>
      <c r="D11606" s="834">
        <v>7.05</v>
      </c>
    </row>
    <row r="11607" spans="1:4" x14ac:dyDescent="0.3">
      <c r="A11607" s="4">
        <v>37373</v>
      </c>
      <c r="B11607" s="833" t="s">
        <v>15874</v>
      </c>
      <c r="C11607" s="4" t="s">
        <v>12226</v>
      </c>
      <c r="D11607" s="834">
        <v>0.04</v>
      </c>
    </row>
    <row r="11608" spans="1:4" x14ac:dyDescent="0.3">
      <c r="A11608" s="4">
        <v>40864</v>
      </c>
      <c r="B11608" s="833" t="s">
        <v>15875</v>
      </c>
      <c r="C11608" s="4" t="s">
        <v>12228</v>
      </c>
      <c r="D11608" s="834">
        <v>7.31</v>
      </c>
    </row>
    <row r="11609" spans="1:4" x14ac:dyDescent="0.3">
      <c r="A11609" s="4">
        <v>4734</v>
      </c>
      <c r="B11609" s="833" t="s">
        <v>15876</v>
      </c>
      <c r="C11609" s="4" t="s">
        <v>12224</v>
      </c>
      <c r="D11609" s="834">
        <v>648.87</v>
      </c>
    </row>
    <row r="11610" spans="1:4" x14ac:dyDescent="0.3">
      <c r="A11610" s="4">
        <v>6085</v>
      </c>
      <c r="B11610" s="833" t="s">
        <v>15877</v>
      </c>
      <c r="C11610" s="4" t="s">
        <v>12128</v>
      </c>
      <c r="D11610" s="834">
        <v>12.23</v>
      </c>
    </row>
    <row r="11611" spans="1:4" x14ac:dyDescent="0.3">
      <c r="A11611" s="4">
        <v>38396</v>
      </c>
      <c r="B11611" s="833" t="s">
        <v>15878</v>
      </c>
      <c r="C11611" s="4" t="s">
        <v>12080</v>
      </c>
      <c r="D11611" s="834">
        <v>544.16</v>
      </c>
    </row>
    <row r="11612" spans="1:4" x14ac:dyDescent="0.3">
      <c r="A11612" s="4">
        <v>11622</v>
      </c>
      <c r="B11612" s="833" t="s">
        <v>15879</v>
      </c>
      <c r="C11612" s="4" t="s">
        <v>12126</v>
      </c>
      <c r="D11612" s="834">
        <v>84.25</v>
      </c>
    </row>
    <row r="11613" spans="1:4" x14ac:dyDescent="0.3">
      <c r="A11613" s="4">
        <v>43143</v>
      </c>
      <c r="B11613" s="833" t="s">
        <v>15880</v>
      </c>
      <c r="C11613" s="4" t="s">
        <v>12128</v>
      </c>
      <c r="D11613" s="834">
        <v>31.82</v>
      </c>
    </row>
    <row r="11614" spans="1:4" x14ac:dyDescent="0.3">
      <c r="A11614" s="4">
        <v>7317</v>
      </c>
      <c r="B11614" s="833" t="s">
        <v>15881</v>
      </c>
      <c r="C11614" s="4" t="s">
        <v>12126</v>
      </c>
      <c r="D11614" s="834">
        <v>38.97</v>
      </c>
    </row>
    <row r="11615" spans="1:4" x14ac:dyDescent="0.3">
      <c r="A11615" s="4">
        <v>142</v>
      </c>
      <c r="B11615" s="833" t="s">
        <v>15882</v>
      </c>
      <c r="C11615" s="4" t="s">
        <v>15883</v>
      </c>
      <c r="D11615" s="834">
        <v>39.76</v>
      </c>
    </row>
    <row r="11616" spans="1:4" x14ac:dyDescent="0.3">
      <c r="A11616" s="4">
        <v>43142</v>
      </c>
      <c r="B11616" s="833" t="s">
        <v>15884</v>
      </c>
      <c r="C11616" s="4" t="s">
        <v>12128</v>
      </c>
      <c r="D11616" s="834">
        <v>180.59</v>
      </c>
    </row>
    <row r="11617" spans="1:4" x14ac:dyDescent="0.3">
      <c r="A11617" s="4">
        <v>38123</v>
      </c>
      <c r="B11617" s="833" t="s">
        <v>15885</v>
      </c>
      <c r="C11617" s="4" t="s">
        <v>12126</v>
      </c>
      <c r="D11617" s="834">
        <v>77.319999999999993</v>
      </c>
    </row>
    <row r="11618" spans="1:4" x14ac:dyDescent="0.3">
      <c r="A11618" s="4">
        <v>42699</v>
      </c>
      <c r="B11618" s="833" t="s">
        <v>15886</v>
      </c>
      <c r="C11618" s="4" t="s">
        <v>12080</v>
      </c>
      <c r="D11618" s="834">
        <v>33.31</v>
      </c>
    </row>
    <row r="11619" spans="1:4" x14ac:dyDescent="0.3">
      <c r="A11619" s="4">
        <v>37743</v>
      </c>
      <c r="B11619" s="833" t="s">
        <v>15887</v>
      </c>
      <c r="C11619" s="4" t="s">
        <v>12080</v>
      </c>
      <c r="D11619" s="834">
        <v>237841.37</v>
      </c>
    </row>
    <row r="11620" spans="1:4" x14ac:dyDescent="0.3">
      <c r="A11620" s="4">
        <v>37744</v>
      </c>
      <c r="B11620" s="833" t="s">
        <v>15888</v>
      </c>
      <c r="C11620" s="4" t="s">
        <v>12080</v>
      </c>
      <c r="D11620" s="834">
        <v>279656.7</v>
      </c>
    </row>
    <row r="11621" spans="1:4" x14ac:dyDescent="0.3">
      <c r="A11621" s="4">
        <v>37741</v>
      </c>
      <c r="B11621" s="833" t="s">
        <v>15889</v>
      </c>
      <c r="C11621" s="4" t="s">
        <v>12080</v>
      </c>
      <c r="D11621" s="834">
        <v>216267.85</v>
      </c>
    </row>
    <row r="11622" spans="1:4" x14ac:dyDescent="0.3">
      <c r="A11622" s="4">
        <v>39396</v>
      </c>
      <c r="B11622" s="833" t="s">
        <v>15890</v>
      </c>
      <c r="C11622" s="4" t="s">
        <v>12080</v>
      </c>
      <c r="D11622" s="834">
        <v>69.44</v>
      </c>
    </row>
    <row r="11623" spans="1:4" x14ac:dyDescent="0.3">
      <c r="A11623" s="4">
        <v>39392</v>
      </c>
      <c r="B11623" s="833" t="s">
        <v>15891</v>
      </c>
      <c r="C11623" s="4" t="s">
        <v>12080</v>
      </c>
      <c r="D11623" s="834">
        <v>78.33</v>
      </c>
    </row>
    <row r="11624" spans="1:4" x14ac:dyDescent="0.3">
      <c r="A11624" s="4">
        <v>39393</v>
      </c>
      <c r="B11624" s="833" t="s">
        <v>15892</v>
      </c>
      <c r="C11624" s="4" t="s">
        <v>12080</v>
      </c>
      <c r="D11624" s="834">
        <v>48.44</v>
      </c>
    </row>
    <row r="11625" spans="1:4" x14ac:dyDescent="0.3">
      <c r="A11625" s="4">
        <v>39394</v>
      </c>
      <c r="B11625" s="833" t="s">
        <v>15893</v>
      </c>
      <c r="C11625" s="4" t="s">
        <v>12080</v>
      </c>
      <c r="D11625" s="834">
        <v>54.52</v>
      </c>
    </row>
    <row r="11626" spans="1:4" x14ac:dyDescent="0.3">
      <c r="A11626" s="4">
        <v>39395</v>
      </c>
      <c r="B11626" s="833" t="s">
        <v>15894</v>
      </c>
      <c r="C11626" s="4" t="s">
        <v>12080</v>
      </c>
      <c r="D11626" s="834">
        <v>50.7</v>
      </c>
    </row>
    <row r="11627" spans="1:4" x14ac:dyDescent="0.3">
      <c r="A11627" s="4">
        <v>14618</v>
      </c>
      <c r="B11627" s="833" t="s">
        <v>15895</v>
      </c>
      <c r="C11627" s="4" t="s">
        <v>12080</v>
      </c>
      <c r="D11627" s="834">
        <v>1504.72</v>
      </c>
    </row>
    <row r="11628" spans="1:4" x14ac:dyDescent="0.3">
      <c r="A11628" s="4">
        <v>40269</v>
      </c>
      <c r="B11628" s="833" t="s">
        <v>15896</v>
      </c>
      <c r="C11628" s="4" t="s">
        <v>12080</v>
      </c>
      <c r="D11628" s="834">
        <v>6062.43</v>
      </c>
    </row>
    <row r="11629" spans="1:4" x14ac:dyDescent="0.3">
      <c r="A11629" s="4">
        <v>6110</v>
      </c>
      <c r="B11629" s="833" t="s">
        <v>15897</v>
      </c>
      <c r="C11629" s="4" t="s">
        <v>12226</v>
      </c>
      <c r="D11629" s="834">
        <v>21.83</v>
      </c>
    </row>
    <row r="11630" spans="1:4" x14ac:dyDescent="0.3">
      <c r="A11630" s="4">
        <v>40910</v>
      </c>
      <c r="B11630" s="833" t="s">
        <v>15898</v>
      </c>
      <c r="C11630" s="4" t="s">
        <v>12228</v>
      </c>
      <c r="D11630" s="834">
        <v>3886.77</v>
      </c>
    </row>
    <row r="11631" spans="1:4" x14ac:dyDescent="0.3">
      <c r="A11631" s="4">
        <v>6111</v>
      </c>
      <c r="B11631" s="833" t="s">
        <v>15899</v>
      </c>
      <c r="C11631" s="4" t="s">
        <v>12226</v>
      </c>
      <c r="D11631" s="834">
        <v>14.43</v>
      </c>
    </row>
    <row r="11632" spans="1:4" x14ac:dyDescent="0.3">
      <c r="A11632" s="4">
        <v>41084</v>
      </c>
      <c r="B11632" s="833" t="s">
        <v>15900</v>
      </c>
      <c r="C11632" s="4" t="s">
        <v>12228</v>
      </c>
      <c r="D11632" s="834">
        <v>2569.98</v>
      </c>
    </row>
    <row r="11633" spans="1:4" x14ac:dyDescent="0.3">
      <c r="A11633" s="4">
        <v>44535</v>
      </c>
      <c r="B11633" s="833" t="s">
        <v>15901</v>
      </c>
      <c r="C11633" s="4" t="s">
        <v>12224</v>
      </c>
      <c r="D11633" s="834">
        <v>48.32</v>
      </c>
    </row>
    <row r="11634" spans="1:4" x14ac:dyDescent="0.3">
      <c r="A11634" s="4">
        <v>44945</v>
      </c>
      <c r="B11634" s="833" t="s">
        <v>15902</v>
      </c>
      <c r="C11634" s="4" t="s">
        <v>12080</v>
      </c>
      <c r="D11634" s="834">
        <v>8.4499999999999993</v>
      </c>
    </row>
    <row r="11635" spans="1:4" x14ac:dyDescent="0.3">
      <c r="A11635" s="4">
        <v>38637</v>
      </c>
      <c r="B11635" s="833" t="s">
        <v>15903</v>
      </c>
      <c r="C11635" s="4" t="s">
        <v>12080</v>
      </c>
      <c r="D11635" s="834">
        <v>179.04</v>
      </c>
    </row>
    <row r="11636" spans="1:4" x14ac:dyDescent="0.3">
      <c r="A11636" s="4">
        <v>6150</v>
      </c>
      <c r="B11636" s="833" t="s">
        <v>15904</v>
      </c>
      <c r="C11636" s="4" t="s">
        <v>12080</v>
      </c>
      <c r="D11636" s="834">
        <v>181.23</v>
      </c>
    </row>
    <row r="11637" spans="1:4" x14ac:dyDescent="0.3">
      <c r="A11637" s="4">
        <v>6136</v>
      </c>
      <c r="B11637" s="833" t="s">
        <v>15905</v>
      </c>
      <c r="C11637" s="4" t="s">
        <v>12080</v>
      </c>
      <c r="D11637" s="834">
        <v>142.46</v>
      </c>
    </row>
    <row r="11638" spans="1:4" x14ac:dyDescent="0.3">
      <c r="A11638" s="4">
        <v>38638</v>
      </c>
      <c r="B11638" s="833" t="s">
        <v>15906</v>
      </c>
      <c r="C11638" s="4" t="s">
        <v>12080</v>
      </c>
      <c r="D11638" s="834">
        <v>150.87</v>
      </c>
    </row>
    <row r="11639" spans="1:4" x14ac:dyDescent="0.3">
      <c r="A11639" s="4">
        <v>20262</v>
      </c>
      <c r="B11639" s="833" t="s">
        <v>15907</v>
      </c>
      <c r="C11639" s="4" t="s">
        <v>12080</v>
      </c>
      <c r="D11639" s="834">
        <v>15.47</v>
      </c>
    </row>
    <row r="11640" spans="1:4" x14ac:dyDescent="0.3">
      <c r="A11640" s="4">
        <v>6145</v>
      </c>
      <c r="B11640" s="833" t="s">
        <v>15908</v>
      </c>
      <c r="C11640" s="4" t="s">
        <v>12080</v>
      </c>
      <c r="D11640" s="834">
        <v>17.100000000000001</v>
      </c>
    </row>
    <row r="11641" spans="1:4" x14ac:dyDescent="0.3">
      <c r="A11641" s="4">
        <v>6149</v>
      </c>
      <c r="B11641" s="833" t="s">
        <v>15909</v>
      </c>
      <c r="C11641" s="4" t="s">
        <v>12080</v>
      </c>
      <c r="D11641" s="834">
        <v>11.3</v>
      </c>
    </row>
    <row r="11642" spans="1:4" x14ac:dyDescent="0.3">
      <c r="A11642" s="4">
        <v>6146</v>
      </c>
      <c r="B11642" s="833" t="s">
        <v>15910</v>
      </c>
      <c r="C11642" s="4" t="s">
        <v>12080</v>
      </c>
      <c r="D11642" s="834">
        <v>16.239999999999998</v>
      </c>
    </row>
    <row r="11643" spans="1:4" x14ac:dyDescent="0.3">
      <c r="A11643" s="4">
        <v>44536</v>
      </c>
      <c r="B11643" s="833" t="s">
        <v>15911</v>
      </c>
      <c r="C11643" s="4" t="s">
        <v>12126</v>
      </c>
      <c r="D11643" s="834">
        <v>3.34</v>
      </c>
    </row>
    <row r="11644" spans="1:4" x14ac:dyDescent="0.3">
      <c r="A11644" s="4">
        <v>39961</v>
      </c>
      <c r="B11644" s="833" t="s">
        <v>15912</v>
      </c>
      <c r="C11644" s="4" t="s">
        <v>12080</v>
      </c>
      <c r="D11644" s="834">
        <v>26.27</v>
      </c>
    </row>
    <row r="11645" spans="1:4" x14ac:dyDescent="0.3">
      <c r="A11645" s="4">
        <v>42433</v>
      </c>
      <c r="B11645" s="833" t="s">
        <v>15913</v>
      </c>
      <c r="C11645" s="4" t="s">
        <v>12080</v>
      </c>
      <c r="D11645" s="834">
        <v>4789.18</v>
      </c>
    </row>
    <row r="11646" spans="1:4" x14ac:dyDescent="0.3">
      <c r="A11646" s="4">
        <v>42434</v>
      </c>
      <c r="B11646" s="833" t="s">
        <v>15914</v>
      </c>
      <c r="C11646" s="4" t="s">
        <v>12080</v>
      </c>
      <c r="D11646" s="834">
        <v>5175.3999999999996</v>
      </c>
    </row>
    <row r="11647" spans="1:4" x14ac:dyDescent="0.3">
      <c r="A11647" s="4">
        <v>42435</v>
      </c>
      <c r="B11647" s="833" t="s">
        <v>15915</v>
      </c>
      <c r="C11647" s="4" t="s">
        <v>12080</v>
      </c>
      <c r="D11647" s="834">
        <v>2580.7800000000002</v>
      </c>
    </row>
    <row r="11648" spans="1:4" x14ac:dyDescent="0.3">
      <c r="A11648" s="4">
        <v>38061</v>
      </c>
      <c r="B11648" s="833" t="s">
        <v>15916</v>
      </c>
      <c r="C11648" s="4" t="s">
        <v>12080</v>
      </c>
      <c r="D11648" s="834">
        <v>37.68</v>
      </c>
    </row>
    <row r="11649" spans="1:4" x14ac:dyDescent="0.3">
      <c r="A11649" s="4">
        <v>20250</v>
      </c>
      <c r="B11649" s="833" t="s">
        <v>15917</v>
      </c>
      <c r="C11649" s="4" t="s">
        <v>12126</v>
      </c>
      <c r="D11649" s="834">
        <v>20</v>
      </c>
    </row>
    <row r="11650" spans="1:4" x14ac:dyDescent="0.3">
      <c r="A11650" s="4">
        <v>13388</v>
      </c>
      <c r="B11650" s="833" t="s">
        <v>15918</v>
      </c>
      <c r="C11650" s="4" t="s">
        <v>12126</v>
      </c>
      <c r="D11650" s="834">
        <v>214.12</v>
      </c>
    </row>
    <row r="11651" spans="1:4" x14ac:dyDescent="0.3">
      <c r="A11651" s="4">
        <v>39914</v>
      </c>
      <c r="B11651" s="833" t="s">
        <v>15919</v>
      </c>
      <c r="C11651" s="4" t="s">
        <v>12126</v>
      </c>
      <c r="D11651" s="834">
        <v>426.34</v>
      </c>
    </row>
    <row r="11652" spans="1:4" x14ac:dyDescent="0.3">
      <c r="A11652" s="4">
        <v>12732</v>
      </c>
      <c r="B11652" s="833" t="s">
        <v>15920</v>
      </c>
      <c r="C11652" s="4" t="s">
        <v>12080</v>
      </c>
      <c r="D11652" s="834">
        <v>491.93</v>
      </c>
    </row>
    <row r="11653" spans="1:4" x14ac:dyDescent="0.3">
      <c r="A11653" s="4">
        <v>6160</v>
      </c>
      <c r="B11653" s="833" t="s">
        <v>15921</v>
      </c>
      <c r="C11653" s="4" t="s">
        <v>12226</v>
      </c>
      <c r="D11653" s="834">
        <v>21.83</v>
      </c>
    </row>
    <row r="11654" spans="1:4" x14ac:dyDescent="0.3">
      <c r="A11654" s="4">
        <v>41087</v>
      </c>
      <c r="B11654" s="833" t="s">
        <v>15922</v>
      </c>
      <c r="C11654" s="4" t="s">
        <v>12228</v>
      </c>
      <c r="D11654" s="834">
        <v>3886.77</v>
      </c>
    </row>
    <row r="11655" spans="1:4" x14ac:dyDescent="0.3">
      <c r="A11655" s="4">
        <v>6166</v>
      </c>
      <c r="B11655" s="833" t="s">
        <v>15923</v>
      </c>
      <c r="C11655" s="4" t="s">
        <v>12226</v>
      </c>
      <c r="D11655" s="834">
        <v>25.63</v>
      </c>
    </row>
    <row r="11656" spans="1:4" x14ac:dyDescent="0.3">
      <c r="A11656" s="4">
        <v>41088</v>
      </c>
      <c r="B11656" s="833" t="s">
        <v>15924</v>
      </c>
      <c r="C11656" s="4" t="s">
        <v>12228</v>
      </c>
      <c r="D11656" s="834">
        <v>4567.4399999999996</v>
      </c>
    </row>
    <row r="11657" spans="1:4" x14ac:dyDescent="0.3">
      <c r="A11657" s="4">
        <v>20232</v>
      </c>
      <c r="B11657" s="833" t="s">
        <v>15925</v>
      </c>
      <c r="C11657" s="4" t="s">
        <v>1803</v>
      </c>
      <c r="D11657" s="834">
        <v>72.290000000000006</v>
      </c>
    </row>
    <row r="11658" spans="1:4" x14ac:dyDescent="0.3">
      <c r="A11658" s="4">
        <v>10856</v>
      </c>
      <c r="B11658" s="833" t="s">
        <v>15926</v>
      </c>
      <c r="C11658" s="4" t="s">
        <v>1803</v>
      </c>
      <c r="D11658" s="834">
        <v>103.78</v>
      </c>
    </row>
    <row r="11659" spans="1:4" x14ac:dyDescent="0.3">
      <c r="A11659" s="4">
        <v>4828</v>
      </c>
      <c r="B11659" s="833" t="s">
        <v>15927</v>
      </c>
      <c r="C11659" s="4" t="s">
        <v>1803</v>
      </c>
      <c r="D11659" s="834">
        <v>62.19</v>
      </c>
    </row>
    <row r="11660" spans="1:4" x14ac:dyDescent="0.3">
      <c r="A11660" s="4">
        <v>20249</v>
      </c>
      <c r="B11660" s="833" t="s">
        <v>15928</v>
      </c>
      <c r="C11660" s="4" t="s">
        <v>1803</v>
      </c>
      <c r="D11660" s="834">
        <v>34.049999999999997</v>
      </c>
    </row>
    <row r="11661" spans="1:4" x14ac:dyDescent="0.3">
      <c r="A11661" s="4">
        <v>11609</v>
      </c>
      <c r="B11661" s="833" t="s">
        <v>15929</v>
      </c>
      <c r="C11661" s="4" t="s">
        <v>12128</v>
      </c>
      <c r="D11661" s="834">
        <v>14</v>
      </c>
    </row>
    <row r="11662" spans="1:4" x14ac:dyDescent="0.3">
      <c r="A11662" s="4">
        <v>20083</v>
      </c>
      <c r="B11662" s="833" t="s">
        <v>15930</v>
      </c>
      <c r="C11662" s="4" t="s">
        <v>12080</v>
      </c>
      <c r="D11662" s="834">
        <v>81.680000000000007</v>
      </c>
    </row>
    <row r="11663" spans="1:4" x14ac:dyDescent="0.3">
      <c r="A11663" s="4">
        <v>10691</v>
      </c>
      <c r="B11663" s="833" t="s">
        <v>15931</v>
      </c>
      <c r="C11663" s="4" t="s">
        <v>12128</v>
      </c>
      <c r="D11663" s="834">
        <v>50.11</v>
      </c>
    </row>
    <row r="11664" spans="1:4" x14ac:dyDescent="0.3">
      <c r="A11664" s="4">
        <v>12295</v>
      </c>
      <c r="B11664" s="833" t="s">
        <v>15932</v>
      </c>
      <c r="C11664" s="4" t="s">
        <v>12080</v>
      </c>
      <c r="D11664" s="834">
        <v>2.52</v>
      </c>
    </row>
    <row r="11665" spans="1:4" x14ac:dyDescent="0.3">
      <c r="A11665" s="4">
        <v>12296</v>
      </c>
      <c r="B11665" s="833" t="s">
        <v>15933</v>
      </c>
      <c r="C11665" s="4" t="s">
        <v>12080</v>
      </c>
      <c r="D11665" s="834">
        <v>3.27</v>
      </c>
    </row>
    <row r="11666" spans="1:4" x14ac:dyDescent="0.3">
      <c r="A11666" s="4">
        <v>12294</v>
      </c>
      <c r="B11666" s="833" t="s">
        <v>15934</v>
      </c>
      <c r="C11666" s="4" t="s">
        <v>12080</v>
      </c>
      <c r="D11666" s="834">
        <v>7.85</v>
      </c>
    </row>
    <row r="11667" spans="1:4" x14ac:dyDescent="0.3">
      <c r="A11667" s="4">
        <v>14543</v>
      </c>
      <c r="B11667" s="833" t="s">
        <v>15935</v>
      </c>
      <c r="C11667" s="4" t="s">
        <v>12080</v>
      </c>
      <c r="D11667" s="834">
        <v>5.6</v>
      </c>
    </row>
    <row r="11668" spans="1:4" x14ac:dyDescent="0.3">
      <c r="A11668" s="4">
        <v>13329</v>
      </c>
      <c r="B11668" s="833" t="s">
        <v>15936</v>
      </c>
      <c r="C11668" s="4" t="s">
        <v>12080</v>
      </c>
      <c r="D11668" s="834">
        <v>3.29</v>
      </c>
    </row>
    <row r="11669" spans="1:4" x14ac:dyDescent="0.3">
      <c r="A11669" s="4">
        <v>21047</v>
      </c>
      <c r="B11669" s="833" t="s">
        <v>15937</v>
      </c>
      <c r="C11669" s="4" t="s">
        <v>12080</v>
      </c>
      <c r="D11669" s="834">
        <v>52.73</v>
      </c>
    </row>
    <row r="11670" spans="1:4" x14ac:dyDescent="0.3">
      <c r="A11670" s="4">
        <v>21042</v>
      </c>
      <c r="B11670" s="833" t="s">
        <v>15938</v>
      </c>
      <c r="C11670" s="4" t="s">
        <v>12080</v>
      </c>
      <c r="D11670" s="834">
        <v>40.64</v>
      </c>
    </row>
    <row r="11671" spans="1:4" x14ac:dyDescent="0.3">
      <c r="A11671" s="4">
        <v>21043</v>
      </c>
      <c r="B11671" s="833" t="s">
        <v>15939</v>
      </c>
      <c r="C11671" s="4" t="s">
        <v>12080</v>
      </c>
      <c r="D11671" s="834">
        <v>51.34</v>
      </c>
    </row>
    <row r="11672" spans="1:4" x14ac:dyDescent="0.3">
      <c r="A11672" s="4">
        <v>21044</v>
      </c>
      <c r="B11672" s="833" t="s">
        <v>15940</v>
      </c>
      <c r="C11672" s="4" t="s">
        <v>12080</v>
      </c>
      <c r="D11672" s="834">
        <v>35.770000000000003</v>
      </c>
    </row>
    <row r="11673" spans="1:4" x14ac:dyDescent="0.3">
      <c r="A11673" s="4">
        <v>21045</v>
      </c>
      <c r="B11673" s="833" t="s">
        <v>15941</v>
      </c>
      <c r="C11673" s="4" t="s">
        <v>12080</v>
      </c>
      <c r="D11673" s="834">
        <v>48.99</v>
      </c>
    </row>
    <row r="11674" spans="1:4" x14ac:dyDescent="0.3">
      <c r="A11674" s="4">
        <v>21041</v>
      </c>
      <c r="B11674" s="833" t="s">
        <v>15942</v>
      </c>
      <c r="C11674" s="4" t="s">
        <v>12080</v>
      </c>
      <c r="D11674" s="834">
        <v>42.25</v>
      </c>
    </row>
    <row r="11675" spans="1:4" x14ac:dyDescent="0.3">
      <c r="A11675" s="4">
        <v>21040</v>
      </c>
      <c r="B11675" s="833" t="s">
        <v>15943</v>
      </c>
      <c r="C11675" s="4" t="s">
        <v>12080</v>
      </c>
      <c r="D11675" s="834">
        <v>35</v>
      </c>
    </row>
    <row r="11676" spans="1:4" x14ac:dyDescent="0.3">
      <c r="A11676" s="4">
        <v>14149</v>
      </c>
      <c r="B11676" s="833" t="s">
        <v>15944</v>
      </c>
      <c r="C11676" s="4" t="s">
        <v>14139</v>
      </c>
      <c r="D11676" s="834">
        <v>209.03</v>
      </c>
    </row>
    <row r="11677" spans="1:4" x14ac:dyDescent="0.3">
      <c r="A11677" s="4">
        <v>38099</v>
      </c>
      <c r="B11677" s="833" t="s">
        <v>15945</v>
      </c>
      <c r="C11677" s="4" t="s">
        <v>12080</v>
      </c>
      <c r="D11677" s="834">
        <v>1.88</v>
      </c>
    </row>
    <row r="11678" spans="1:4" x14ac:dyDescent="0.3">
      <c r="A11678" s="4">
        <v>38100</v>
      </c>
      <c r="B11678" s="833" t="s">
        <v>15946</v>
      </c>
      <c r="C11678" s="4" t="s">
        <v>12080</v>
      </c>
      <c r="D11678" s="834">
        <v>3.08</v>
      </c>
    </row>
    <row r="11679" spans="1:4" x14ac:dyDescent="0.3">
      <c r="A11679" s="4">
        <v>7576</v>
      </c>
      <c r="B11679" s="833" t="s">
        <v>15947</v>
      </c>
      <c r="C11679" s="4" t="s">
        <v>12080</v>
      </c>
      <c r="D11679" s="834">
        <v>262.95999999999998</v>
      </c>
    </row>
    <row r="11680" spans="1:4" x14ac:dyDescent="0.3">
      <c r="A11680" s="4">
        <v>3384</v>
      </c>
      <c r="B11680" s="833" t="s">
        <v>15948</v>
      </c>
      <c r="C11680" s="4" t="s">
        <v>12080</v>
      </c>
      <c r="D11680" s="834">
        <v>7.1</v>
      </c>
    </row>
    <row r="11681" spans="1:4" x14ac:dyDescent="0.3">
      <c r="A11681" s="4">
        <v>7572</v>
      </c>
      <c r="B11681" s="833" t="s">
        <v>15949</v>
      </c>
      <c r="C11681" s="4" t="s">
        <v>12080</v>
      </c>
      <c r="D11681" s="834">
        <v>6.16</v>
      </c>
    </row>
    <row r="11682" spans="1:4" x14ac:dyDescent="0.3">
      <c r="A11682" s="4">
        <v>3396</v>
      </c>
      <c r="B11682" s="833" t="s">
        <v>15950</v>
      </c>
      <c r="C11682" s="4" t="s">
        <v>12080</v>
      </c>
      <c r="D11682" s="834">
        <v>4.16</v>
      </c>
    </row>
    <row r="11683" spans="1:4" x14ac:dyDescent="0.3">
      <c r="A11683" s="4">
        <v>37590</v>
      </c>
      <c r="B11683" s="833" t="s">
        <v>15951</v>
      </c>
      <c r="C11683" s="4" t="s">
        <v>12080</v>
      </c>
      <c r="D11683" s="834">
        <v>16.86</v>
      </c>
    </row>
    <row r="11684" spans="1:4" x14ac:dyDescent="0.3">
      <c r="A11684" s="4">
        <v>37591</v>
      </c>
      <c r="B11684" s="833" t="s">
        <v>15952</v>
      </c>
      <c r="C11684" s="4" t="s">
        <v>12080</v>
      </c>
      <c r="D11684" s="834">
        <v>20.27</v>
      </c>
    </row>
    <row r="11685" spans="1:4" x14ac:dyDescent="0.3">
      <c r="A11685" s="4">
        <v>12626</v>
      </c>
      <c r="B11685" s="833" t="s">
        <v>15953</v>
      </c>
      <c r="C11685" s="4" t="s">
        <v>12080</v>
      </c>
      <c r="D11685" s="834">
        <v>42.14</v>
      </c>
    </row>
    <row r="11686" spans="1:4" x14ac:dyDescent="0.3">
      <c r="A11686" s="4">
        <v>11033</v>
      </c>
      <c r="B11686" s="833" t="s">
        <v>15954</v>
      </c>
      <c r="C11686" s="4" t="s">
        <v>12080</v>
      </c>
      <c r="D11686" s="834">
        <v>7.38</v>
      </c>
    </row>
    <row r="11687" spans="1:4" x14ac:dyDescent="0.3">
      <c r="A11687" s="4">
        <v>390</v>
      </c>
      <c r="B11687" s="833" t="s">
        <v>15955</v>
      </c>
      <c r="C11687" s="4" t="s">
        <v>12080</v>
      </c>
      <c r="D11687" s="834">
        <v>7.53</v>
      </c>
    </row>
    <row r="11688" spans="1:4" x14ac:dyDescent="0.3">
      <c r="A11688" s="4">
        <v>42436</v>
      </c>
      <c r="B11688" s="833" t="s">
        <v>15956</v>
      </c>
      <c r="C11688" s="4" t="s">
        <v>12080</v>
      </c>
      <c r="D11688" s="834">
        <v>2701.34</v>
      </c>
    </row>
    <row r="11689" spans="1:4" x14ac:dyDescent="0.3">
      <c r="A11689" s="4">
        <v>6194</v>
      </c>
      <c r="B11689" s="833" t="s">
        <v>15957</v>
      </c>
      <c r="C11689" s="4" t="s">
        <v>1803</v>
      </c>
      <c r="D11689" s="834">
        <v>5.55</v>
      </c>
    </row>
    <row r="11690" spans="1:4" x14ac:dyDescent="0.3">
      <c r="A11690" s="4">
        <v>10567</v>
      </c>
      <c r="B11690" s="833" t="s">
        <v>15958</v>
      </c>
      <c r="C11690" s="4" t="s">
        <v>1803</v>
      </c>
      <c r="D11690" s="834">
        <v>8.7899999999999991</v>
      </c>
    </row>
    <row r="11691" spans="1:4" x14ac:dyDescent="0.3">
      <c r="A11691" s="4">
        <v>6212</v>
      </c>
      <c r="B11691" s="833" t="s">
        <v>15959</v>
      </c>
      <c r="C11691" s="4" t="s">
        <v>1803</v>
      </c>
      <c r="D11691" s="834">
        <v>12.9</v>
      </c>
    </row>
    <row r="11692" spans="1:4" x14ac:dyDescent="0.3">
      <c r="A11692" s="4">
        <v>3993</v>
      </c>
      <c r="B11692" s="833" t="s">
        <v>15960</v>
      </c>
      <c r="C11692" s="4" t="s">
        <v>12481</v>
      </c>
      <c r="D11692" s="834">
        <v>118.47</v>
      </c>
    </row>
    <row r="11693" spans="1:4" x14ac:dyDescent="0.3">
      <c r="A11693" s="4">
        <v>3990</v>
      </c>
      <c r="B11693" s="833" t="s">
        <v>15961</v>
      </c>
      <c r="C11693" s="4" t="s">
        <v>1803</v>
      </c>
      <c r="D11693" s="834">
        <v>22.29</v>
      </c>
    </row>
    <row r="11694" spans="1:4" x14ac:dyDescent="0.3">
      <c r="A11694" s="4">
        <v>3992</v>
      </c>
      <c r="B11694" s="833" t="s">
        <v>15962</v>
      </c>
      <c r="C11694" s="4" t="s">
        <v>1803</v>
      </c>
      <c r="D11694" s="834">
        <v>30.09</v>
      </c>
    </row>
    <row r="11695" spans="1:4" x14ac:dyDescent="0.3">
      <c r="A11695" s="4">
        <v>6178</v>
      </c>
      <c r="B11695" s="833" t="s">
        <v>15963</v>
      </c>
      <c r="C11695" s="4" t="s">
        <v>12481</v>
      </c>
      <c r="D11695" s="834">
        <v>354.76</v>
      </c>
    </row>
    <row r="11696" spans="1:4" x14ac:dyDescent="0.3">
      <c r="A11696" s="4">
        <v>6180</v>
      </c>
      <c r="B11696" s="833" t="s">
        <v>15964</v>
      </c>
      <c r="C11696" s="4" t="s">
        <v>12481</v>
      </c>
      <c r="D11696" s="834">
        <v>382.88</v>
      </c>
    </row>
    <row r="11697" spans="1:4" x14ac:dyDescent="0.3">
      <c r="A11697" s="4">
        <v>6182</v>
      </c>
      <c r="B11697" s="833" t="s">
        <v>15965</v>
      </c>
      <c r="C11697" s="4" t="s">
        <v>12481</v>
      </c>
      <c r="D11697" s="834">
        <v>475.25</v>
      </c>
    </row>
    <row r="11698" spans="1:4" x14ac:dyDescent="0.3">
      <c r="A11698" s="4">
        <v>43614</v>
      </c>
      <c r="B11698" s="833" t="s">
        <v>15966</v>
      </c>
      <c r="C11698" s="4" t="s">
        <v>1803</v>
      </c>
      <c r="D11698" s="834">
        <v>15.06</v>
      </c>
    </row>
    <row r="11699" spans="1:4" x14ac:dyDescent="0.3">
      <c r="A11699" s="4">
        <v>6193</v>
      </c>
      <c r="B11699" s="833" t="s">
        <v>15967</v>
      </c>
      <c r="C11699" s="4" t="s">
        <v>1803</v>
      </c>
      <c r="D11699" s="834">
        <v>18.329999999999998</v>
      </c>
    </row>
    <row r="11700" spans="1:4" x14ac:dyDescent="0.3">
      <c r="A11700" s="4">
        <v>6189</v>
      </c>
      <c r="B11700" s="833" t="s">
        <v>15968</v>
      </c>
      <c r="C11700" s="4" t="s">
        <v>1803</v>
      </c>
      <c r="D11700" s="834">
        <v>26.75</v>
      </c>
    </row>
    <row r="11701" spans="1:4" x14ac:dyDescent="0.3">
      <c r="A11701" s="4">
        <v>6214</v>
      </c>
      <c r="B11701" s="833" t="s">
        <v>15969</v>
      </c>
      <c r="C11701" s="4" t="s">
        <v>12481</v>
      </c>
      <c r="D11701" s="834">
        <v>222.23</v>
      </c>
    </row>
    <row r="11702" spans="1:4" x14ac:dyDescent="0.3">
      <c r="A11702" s="4">
        <v>36153</v>
      </c>
      <c r="B11702" s="833" t="s">
        <v>15970</v>
      </c>
      <c r="C11702" s="4" t="s">
        <v>12080</v>
      </c>
      <c r="D11702" s="834">
        <v>184.44</v>
      </c>
    </row>
    <row r="11703" spans="1:4" x14ac:dyDescent="0.3">
      <c r="A11703" s="4">
        <v>10740</v>
      </c>
      <c r="B11703" s="833" t="s">
        <v>15971</v>
      </c>
      <c r="C11703" s="4" t="s">
        <v>12080</v>
      </c>
      <c r="D11703" s="834">
        <v>9966.5499999999993</v>
      </c>
    </row>
    <row r="11704" spans="1:4" x14ac:dyDescent="0.3">
      <c r="A11704" s="4">
        <v>13914</v>
      </c>
      <c r="B11704" s="833" t="s">
        <v>15972</v>
      </c>
      <c r="C11704" s="4" t="s">
        <v>12080</v>
      </c>
      <c r="D11704" s="834">
        <v>721.12</v>
      </c>
    </row>
    <row r="11705" spans="1:4" x14ac:dyDescent="0.3">
      <c r="A11705" s="4">
        <v>10742</v>
      </c>
      <c r="B11705" s="833" t="s">
        <v>15973</v>
      </c>
      <c r="C11705" s="4" t="s">
        <v>12080</v>
      </c>
      <c r="D11705" s="834">
        <v>1051.76</v>
      </c>
    </row>
    <row r="11706" spans="1:4" x14ac:dyDescent="0.3">
      <c r="A11706" s="4">
        <v>38465</v>
      </c>
      <c r="B11706" s="833" t="s">
        <v>15974</v>
      </c>
      <c r="C11706" s="4" t="s">
        <v>12080</v>
      </c>
      <c r="D11706" s="834">
        <v>32.86</v>
      </c>
    </row>
    <row r="11707" spans="1:4" x14ac:dyDescent="0.3">
      <c r="A11707" s="4">
        <v>7543</v>
      </c>
      <c r="B11707" s="833" t="s">
        <v>15975</v>
      </c>
      <c r="C11707" s="4" t="s">
        <v>12080</v>
      </c>
      <c r="D11707" s="834">
        <v>5.91</v>
      </c>
    </row>
    <row r="11708" spans="1:4" x14ac:dyDescent="0.3">
      <c r="A11708" s="4">
        <v>43427</v>
      </c>
      <c r="B11708" s="833" t="s">
        <v>15976</v>
      </c>
      <c r="C11708" s="4" t="s">
        <v>12080</v>
      </c>
      <c r="D11708" s="834">
        <v>1955.98</v>
      </c>
    </row>
    <row r="11709" spans="1:4" x14ac:dyDescent="0.3">
      <c r="A11709" s="4">
        <v>41613</v>
      </c>
      <c r="B11709" s="833" t="s">
        <v>15977</v>
      </c>
      <c r="C11709" s="4" t="s">
        <v>12080</v>
      </c>
      <c r="D11709" s="834">
        <v>125.73</v>
      </c>
    </row>
    <row r="11710" spans="1:4" x14ac:dyDescent="0.3">
      <c r="A11710" s="4">
        <v>41614</v>
      </c>
      <c r="B11710" s="833" t="s">
        <v>15978</v>
      </c>
      <c r="C11710" s="4" t="s">
        <v>12080</v>
      </c>
      <c r="D11710" s="834">
        <v>160.21</v>
      </c>
    </row>
    <row r="11711" spans="1:4" x14ac:dyDescent="0.3">
      <c r="A11711" s="4">
        <v>41615</v>
      </c>
      <c r="B11711" s="833" t="s">
        <v>15979</v>
      </c>
      <c r="C11711" s="4" t="s">
        <v>12080</v>
      </c>
      <c r="D11711" s="834">
        <v>247.61</v>
      </c>
    </row>
    <row r="11712" spans="1:4" x14ac:dyDescent="0.3">
      <c r="A11712" s="4">
        <v>41616</v>
      </c>
      <c r="B11712" s="833" t="s">
        <v>15980</v>
      </c>
      <c r="C11712" s="4" t="s">
        <v>12080</v>
      </c>
      <c r="D11712" s="834">
        <v>369.97</v>
      </c>
    </row>
    <row r="11713" spans="1:4" x14ac:dyDescent="0.3">
      <c r="A11713" s="4">
        <v>41617</v>
      </c>
      <c r="B11713" s="833" t="s">
        <v>15981</v>
      </c>
      <c r="C11713" s="4" t="s">
        <v>12080</v>
      </c>
      <c r="D11713" s="834">
        <v>735.65</v>
      </c>
    </row>
    <row r="11714" spans="1:4" x14ac:dyDescent="0.3">
      <c r="A11714" s="4">
        <v>41618</v>
      </c>
      <c r="B11714" s="833" t="s">
        <v>15982</v>
      </c>
      <c r="C11714" s="4" t="s">
        <v>12080</v>
      </c>
      <c r="D11714" s="834">
        <v>1354.28</v>
      </c>
    </row>
    <row r="11715" spans="1:4" x14ac:dyDescent="0.3">
      <c r="A11715" s="4">
        <v>43428</v>
      </c>
      <c r="B11715" s="833" t="s">
        <v>15983</v>
      </c>
      <c r="C11715" s="4" t="s">
        <v>12080</v>
      </c>
      <c r="D11715" s="834">
        <v>2378.8200000000002</v>
      </c>
    </row>
    <row r="11716" spans="1:4" x14ac:dyDescent="0.3">
      <c r="A11716" s="4">
        <v>41619</v>
      </c>
      <c r="B11716" s="833" t="s">
        <v>15984</v>
      </c>
      <c r="C11716" s="4" t="s">
        <v>12080</v>
      </c>
      <c r="D11716" s="834">
        <v>154.12</v>
      </c>
    </row>
    <row r="11717" spans="1:4" x14ac:dyDescent="0.3">
      <c r="A11717" s="4">
        <v>41620</v>
      </c>
      <c r="B11717" s="833" t="s">
        <v>15985</v>
      </c>
      <c r="C11717" s="4" t="s">
        <v>12080</v>
      </c>
      <c r="D11717" s="834">
        <v>194.68</v>
      </c>
    </row>
    <row r="11718" spans="1:4" x14ac:dyDescent="0.3">
      <c r="A11718" s="4">
        <v>41622</v>
      </c>
      <c r="B11718" s="833" t="s">
        <v>15986</v>
      </c>
      <c r="C11718" s="4" t="s">
        <v>12080</v>
      </c>
      <c r="D11718" s="834">
        <v>337.65</v>
      </c>
    </row>
    <row r="11719" spans="1:4" x14ac:dyDescent="0.3">
      <c r="A11719" s="4">
        <v>41623</v>
      </c>
      <c r="B11719" s="833" t="s">
        <v>15987</v>
      </c>
      <c r="C11719" s="4" t="s">
        <v>12080</v>
      </c>
      <c r="D11719" s="834">
        <v>519.16</v>
      </c>
    </row>
    <row r="11720" spans="1:4" x14ac:dyDescent="0.3">
      <c r="A11720" s="4">
        <v>41624</v>
      </c>
      <c r="B11720" s="833" t="s">
        <v>15988</v>
      </c>
      <c r="C11720" s="4" t="s">
        <v>12080</v>
      </c>
      <c r="D11720" s="834">
        <v>973.43</v>
      </c>
    </row>
    <row r="11721" spans="1:4" x14ac:dyDescent="0.3">
      <c r="A11721" s="4">
        <v>41625</v>
      </c>
      <c r="B11721" s="833" t="s">
        <v>15989</v>
      </c>
      <c r="C11721" s="4" t="s">
        <v>12080</v>
      </c>
      <c r="D11721" s="834">
        <v>1497.66</v>
      </c>
    </row>
    <row r="11722" spans="1:4" x14ac:dyDescent="0.3">
      <c r="A11722" s="4">
        <v>39352</v>
      </c>
      <c r="B11722" s="833" t="s">
        <v>15990</v>
      </c>
      <c r="C11722" s="4" t="s">
        <v>12080</v>
      </c>
      <c r="D11722" s="834">
        <v>3.65</v>
      </c>
    </row>
    <row r="11723" spans="1:4" x14ac:dyDescent="0.3">
      <c r="A11723" s="4">
        <v>39346</v>
      </c>
      <c r="B11723" s="833" t="s">
        <v>15991</v>
      </c>
      <c r="C11723" s="4" t="s">
        <v>12080</v>
      </c>
      <c r="D11723" s="834">
        <v>3.65</v>
      </c>
    </row>
    <row r="11724" spans="1:4" x14ac:dyDescent="0.3">
      <c r="A11724" s="4">
        <v>39350</v>
      </c>
      <c r="B11724" s="833" t="s">
        <v>15992</v>
      </c>
      <c r="C11724" s="4" t="s">
        <v>12080</v>
      </c>
      <c r="D11724" s="834">
        <v>3.93</v>
      </c>
    </row>
    <row r="11725" spans="1:4" x14ac:dyDescent="0.3">
      <c r="A11725" s="4">
        <v>39351</v>
      </c>
      <c r="B11725" s="833" t="s">
        <v>15993</v>
      </c>
      <c r="C11725" s="4" t="s">
        <v>12080</v>
      </c>
      <c r="D11725" s="834">
        <v>4.54</v>
      </c>
    </row>
    <row r="11726" spans="1:4" x14ac:dyDescent="0.3">
      <c r="A11726" s="4">
        <v>38837</v>
      </c>
      <c r="B11726" s="833" t="s">
        <v>15994</v>
      </c>
      <c r="C11726" s="4" t="s">
        <v>12080</v>
      </c>
      <c r="D11726" s="834">
        <v>8.6199999999999992</v>
      </c>
    </row>
    <row r="11727" spans="1:4" x14ac:dyDescent="0.3">
      <c r="A11727" s="4">
        <v>38836</v>
      </c>
      <c r="B11727" s="833" t="s">
        <v>15995</v>
      </c>
      <c r="C11727" s="4" t="s">
        <v>12080</v>
      </c>
      <c r="D11727" s="834">
        <v>6.02</v>
      </c>
    </row>
    <row r="11728" spans="1:4" x14ac:dyDescent="0.3">
      <c r="A11728" s="4">
        <v>2666</v>
      </c>
      <c r="B11728" s="833" t="s">
        <v>15996</v>
      </c>
      <c r="C11728" s="4" t="s">
        <v>12080</v>
      </c>
      <c r="D11728" s="834">
        <v>7.12</v>
      </c>
    </row>
    <row r="11729" spans="1:4" x14ac:dyDescent="0.3">
      <c r="A11729" s="4">
        <v>2668</v>
      </c>
      <c r="B11729" s="833" t="s">
        <v>15997</v>
      </c>
      <c r="C11729" s="4" t="s">
        <v>12080</v>
      </c>
      <c r="D11729" s="834">
        <v>8.1300000000000008</v>
      </c>
    </row>
    <row r="11730" spans="1:4" x14ac:dyDescent="0.3">
      <c r="A11730" s="4">
        <v>2664</v>
      </c>
      <c r="B11730" s="833" t="s">
        <v>15998</v>
      </c>
      <c r="C11730" s="4" t="s">
        <v>12080</v>
      </c>
      <c r="D11730" s="834">
        <v>12</v>
      </c>
    </row>
    <row r="11731" spans="1:4" x14ac:dyDescent="0.3">
      <c r="A11731" s="4">
        <v>2662</v>
      </c>
      <c r="B11731" s="833" t="s">
        <v>15999</v>
      </c>
      <c r="C11731" s="4" t="s">
        <v>12080</v>
      </c>
      <c r="D11731" s="834">
        <v>14.72</v>
      </c>
    </row>
    <row r="11732" spans="1:4" x14ac:dyDescent="0.3">
      <c r="A11732" s="4">
        <v>20964</v>
      </c>
      <c r="B11732" s="833" t="s">
        <v>16000</v>
      </c>
      <c r="C11732" s="4" t="s">
        <v>12080</v>
      </c>
      <c r="D11732" s="834">
        <v>84.79</v>
      </c>
    </row>
    <row r="11733" spans="1:4" x14ac:dyDescent="0.3">
      <c r="A11733" s="4">
        <v>10905</v>
      </c>
      <c r="B11733" s="833" t="s">
        <v>16001</v>
      </c>
      <c r="C11733" s="4" t="s">
        <v>12080</v>
      </c>
      <c r="D11733" s="834">
        <v>113.75</v>
      </c>
    </row>
    <row r="11734" spans="1:4" x14ac:dyDescent="0.3">
      <c r="A11734" s="4">
        <v>11289</v>
      </c>
      <c r="B11734" s="833" t="s">
        <v>16002</v>
      </c>
      <c r="C11734" s="4" t="s">
        <v>12080</v>
      </c>
      <c r="D11734" s="834">
        <v>64.239999999999995</v>
      </c>
    </row>
    <row r="11735" spans="1:4" x14ac:dyDescent="0.3">
      <c r="A11735" s="4">
        <v>11241</v>
      </c>
      <c r="B11735" s="833" t="s">
        <v>16003</v>
      </c>
      <c r="C11735" s="4" t="s">
        <v>12080</v>
      </c>
      <c r="D11735" s="834">
        <v>160.62</v>
      </c>
    </row>
    <row r="11736" spans="1:4" x14ac:dyDescent="0.3">
      <c r="A11736" s="4">
        <v>11301</v>
      </c>
      <c r="B11736" s="833" t="s">
        <v>16004</v>
      </c>
      <c r="C11736" s="4" t="s">
        <v>12080</v>
      </c>
      <c r="D11736" s="834">
        <v>407.28</v>
      </c>
    </row>
    <row r="11737" spans="1:4" x14ac:dyDescent="0.3">
      <c r="A11737" s="4">
        <v>21090</v>
      </c>
      <c r="B11737" s="833" t="s">
        <v>16005</v>
      </c>
      <c r="C11737" s="4" t="s">
        <v>12080</v>
      </c>
      <c r="D11737" s="834">
        <v>499.06</v>
      </c>
    </row>
    <row r="11738" spans="1:4" x14ac:dyDescent="0.3">
      <c r="A11738" s="4">
        <v>11315</v>
      </c>
      <c r="B11738" s="833" t="s">
        <v>16006</v>
      </c>
      <c r="C11738" s="4" t="s">
        <v>12080</v>
      </c>
      <c r="D11738" s="834">
        <v>97.51</v>
      </c>
    </row>
    <row r="11739" spans="1:4" x14ac:dyDescent="0.3">
      <c r="A11739" s="4">
        <v>21071</v>
      </c>
      <c r="B11739" s="833" t="s">
        <v>16007</v>
      </c>
      <c r="C11739" s="4" t="s">
        <v>12080</v>
      </c>
      <c r="D11739" s="834">
        <v>149.13999999999999</v>
      </c>
    </row>
    <row r="11740" spans="1:4" x14ac:dyDescent="0.3">
      <c r="A11740" s="4">
        <v>14112</v>
      </c>
      <c r="B11740" s="833" t="s">
        <v>16008</v>
      </c>
      <c r="C11740" s="4" t="s">
        <v>12080</v>
      </c>
      <c r="D11740" s="834">
        <v>208.23</v>
      </c>
    </row>
    <row r="11741" spans="1:4" x14ac:dyDescent="0.3">
      <c r="A11741" s="4">
        <v>11316</v>
      </c>
      <c r="B11741" s="833" t="s">
        <v>16009</v>
      </c>
      <c r="C11741" s="4" t="s">
        <v>12080</v>
      </c>
      <c r="D11741" s="834">
        <v>321.24</v>
      </c>
    </row>
    <row r="11742" spans="1:4" x14ac:dyDescent="0.3">
      <c r="A11742" s="4">
        <v>6243</v>
      </c>
      <c r="B11742" s="833" t="s">
        <v>16010</v>
      </c>
      <c r="C11742" s="4" t="s">
        <v>12080</v>
      </c>
      <c r="D11742" s="834">
        <v>370</v>
      </c>
    </row>
    <row r="11743" spans="1:4" x14ac:dyDescent="0.3">
      <c r="A11743" s="4">
        <v>6240</v>
      </c>
      <c r="B11743" s="833" t="s">
        <v>16011</v>
      </c>
      <c r="C11743" s="4" t="s">
        <v>12080</v>
      </c>
      <c r="D11743" s="834">
        <v>489.89</v>
      </c>
    </row>
    <row r="11744" spans="1:4" x14ac:dyDescent="0.3">
      <c r="A11744" s="4">
        <v>11296</v>
      </c>
      <c r="B11744" s="833" t="s">
        <v>16012</v>
      </c>
      <c r="C11744" s="4" t="s">
        <v>12080</v>
      </c>
      <c r="D11744" s="834">
        <v>1560.88</v>
      </c>
    </row>
    <row r="11745" spans="1:4" x14ac:dyDescent="0.3">
      <c r="A11745" s="4">
        <v>11299</v>
      </c>
      <c r="B11745" s="833" t="s">
        <v>16013</v>
      </c>
      <c r="C11745" s="4" t="s">
        <v>12080</v>
      </c>
      <c r="D11745" s="834">
        <v>528.32000000000005</v>
      </c>
    </row>
    <row r="11746" spans="1:4" x14ac:dyDescent="0.3">
      <c r="A11746" s="4">
        <v>11688</v>
      </c>
      <c r="B11746" s="833" t="s">
        <v>16014</v>
      </c>
      <c r="C11746" s="4" t="s">
        <v>12080</v>
      </c>
      <c r="D11746" s="834">
        <v>508.41</v>
      </c>
    </row>
    <row r="11747" spans="1:4" x14ac:dyDescent="0.3">
      <c r="A11747" s="4">
        <v>37736</v>
      </c>
      <c r="B11747" s="833" t="s">
        <v>16015</v>
      </c>
      <c r="C11747" s="4" t="s">
        <v>12080</v>
      </c>
      <c r="D11747" s="834">
        <v>85950</v>
      </c>
    </row>
    <row r="11748" spans="1:4" x14ac:dyDescent="0.3">
      <c r="A11748" s="4">
        <v>37739</v>
      </c>
      <c r="B11748" s="833" t="s">
        <v>16016</v>
      </c>
      <c r="C11748" s="4" t="s">
        <v>12080</v>
      </c>
      <c r="D11748" s="834">
        <v>105784.61</v>
      </c>
    </row>
    <row r="11749" spans="1:4" x14ac:dyDescent="0.3">
      <c r="A11749" s="4">
        <v>37740</v>
      </c>
      <c r="B11749" s="833" t="s">
        <v>16017</v>
      </c>
      <c r="C11749" s="4" t="s">
        <v>12080</v>
      </c>
      <c r="D11749" s="834">
        <v>60366.21</v>
      </c>
    </row>
    <row r="11750" spans="1:4" x14ac:dyDescent="0.3">
      <c r="A11750" s="4">
        <v>37738</v>
      </c>
      <c r="B11750" s="833" t="s">
        <v>16018</v>
      </c>
      <c r="C11750" s="4" t="s">
        <v>12080</v>
      </c>
      <c r="D11750" s="834">
        <v>71720.820000000007</v>
      </c>
    </row>
    <row r="11751" spans="1:4" x14ac:dyDescent="0.3">
      <c r="A11751" s="4">
        <v>37737</v>
      </c>
      <c r="B11751" s="833" t="s">
        <v>16019</v>
      </c>
      <c r="C11751" s="4" t="s">
        <v>12080</v>
      </c>
      <c r="D11751" s="834">
        <v>57060.45</v>
      </c>
    </row>
    <row r="11752" spans="1:4" x14ac:dyDescent="0.3">
      <c r="A11752" s="4">
        <v>25014</v>
      </c>
      <c r="B11752" s="833" t="s">
        <v>16020</v>
      </c>
      <c r="C11752" s="4" t="s">
        <v>12080</v>
      </c>
      <c r="D11752" s="834">
        <v>119510.74</v>
      </c>
    </row>
    <row r="11753" spans="1:4" x14ac:dyDescent="0.3">
      <c r="A11753" s="4">
        <v>25013</v>
      </c>
      <c r="B11753" s="833" t="s">
        <v>16021</v>
      </c>
      <c r="C11753" s="4" t="s">
        <v>12080</v>
      </c>
      <c r="D11753" s="834">
        <v>125259.91</v>
      </c>
    </row>
    <row r="11754" spans="1:4" x14ac:dyDescent="0.3">
      <c r="A11754" s="4">
        <v>14405</v>
      </c>
      <c r="B11754" s="833" t="s">
        <v>16022</v>
      </c>
      <c r="C11754" s="4" t="s">
        <v>12080</v>
      </c>
      <c r="D11754" s="834">
        <v>147034.85999999999</v>
      </c>
    </row>
    <row r="11755" spans="1:4" x14ac:dyDescent="0.3">
      <c r="A11755" s="4">
        <v>20271</v>
      </c>
      <c r="B11755" s="833" t="s">
        <v>16023</v>
      </c>
      <c r="C11755" s="4" t="s">
        <v>12080</v>
      </c>
      <c r="D11755" s="834">
        <v>527.75</v>
      </c>
    </row>
    <row r="11756" spans="1:4" x14ac:dyDescent="0.3">
      <c r="A11756" s="4">
        <v>10423</v>
      </c>
      <c r="B11756" s="833" t="s">
        <v>16024</v>
      </c>
      <c r="C11756" s="4" t="s">
        <v>12080</v>
      </c>
      <c r="D11756" s="834">
        <v>387.49</v>
      </c>
    </row>
    <row r="11757" spans="1:4" x14ac:dyDescent="0.3">
      <c r="A11757" s="4">
        <v>36790</v>
      </c>
      <c r="B11757" s="833" t="s">
        <v>16025</v>
      </c>
      <c r="C11757" s="4" t="s">
        <v>12080</v>
      </c>
      <c r="D11757" s="834">
        <v>344.91</v>
      </c>
    </row>
    <row r="11758" spans="1:4" x14ac:dyDescent="0.3">
      <c r="A11758" s="4">
        <v>37589</v>
      </c>
      <c r="B11758" s="833" t="s">
        <v>16026</v>
      </c>
      <c r="C11758" s="4" t="s">
        <v>12080</v>
      </c>
      <c r="D11758" s="834">
        <v>422.6</v>
      </c>
    </row>
    <row r="11759" spans="1:4" x14ac:dyDescent="0.3">
      <c r="A11759" s="4">
        <v>11690</v>
      </c>
      <c r="B11759" s="833" t="s">
        <v>16027</v>
      </c>
      <c r="C11759" s="4" t="s">
        <v>12080</v>
      </c>
      <c r="D11759" s="834">
        <v>224.49</v>
      </c>
    </row>
    <row r="11760" spans="1:4" x14ac:dyDescent="0.3">
      <c r="A11760" s="4">
        <v>20234</v>
      </c>
      <c r="B11760" s="833" t="s">
        <v>16028</v>
      </c>
      <c r="C11760" s="4" t="s">
        <v>12080</v>
      </c>
      <c r="D11760" s="834">
        <v>284.10000000000002</v>
      </c>
    </row>
    <row r="11761" spans="1:4" x14ac:dyDescent="0.3">
      <c r="A11761" s="4">
        <v>44480</v>
      </c>
      <c r="B11761" s="833" t="s">
        <v>16029</v>
      </c>
      <c r="C11761" s="4" t="s">
        <v>12224</v>
      </c>
      <c r="D11761" s="834">
        <v>14</v>
      </c>
    </row>
    <row r="11762" spans="1:4" x14ac:dyDescent="0.3">
      <c r="A11762" s="4">
        <v>11457</v>
      </c>
      <c r="B11762" s="833" t="s">
        <v>16030</v>
      </c>
      <c r="C11762" s="4" t="s">
        <v>12080</v>
      </c>
      <c r="D11762" s="834">
        <v>45.79</v>
      </c>
    </row>
    <row r="11763" spans="1:4" x14ac:dyDescent="0.3">
      <c r="A11763" s="4">
        <v>44073</v>
      </c>
      <c r="B11763" s="833" t="s">
        <v>16031</v>
      </c>
      <c r="C11763" s="4" t="s">
        <v>1803</v>
      </c>
      <c r="D11763" s="834">
        <v>0.69</v>
      </c>
    </row>
    <row r="11764" spans="1:4" x14ac:dyDescent="0.3">
      <c r="A11764" s="4">
        <v>44253</v>
      </c>
      <c r="B11764" s="833" t="s">
        <v>16032</v>
      </c>
      <c r="C11764" s="4" t="s">
        <v>12080</v>
      </c>
      <c r="D11764" s="834">
        <v>278.33999999999997</v>
      </c>
    </row>
    <row r="11765" spans="1:4" x14ac:dyDescent="0.3">
      <c r="A11765" s="4">
        <v>21121</v>
      </c>
      <c r="B11765" s="833" t="s">
        <v>16033</v>
      </c>
      <c r="C11765" s="4" t="s">
        <v>12080</v>
      </c>
      <c r="D11765" s="834">
        <v>3.99</v>
      </c>
    </row>
    <row r="11766" spans="1:4" x14ac:dyDescent="0.3">
      <c r="A11766" s="4">
        <v>38010</v>
      </c>
      <c r="B11766" s="833" t="s">
        <v>16034</v>
      </c>
      <c r="C11766" s="4" t="s">
        <v>12080</v>
      </c>
      <c r="D11766" s="834">
        <v>4.97</v>
      </c>
    </row>
    <row r="11767" spans="1:4" x14ac:dyDescent="0.3">
      <c r="A11767" s="4">
        <v>38011</v>
      </c>
      <c r="B11767" s="833" t="s">
        <v>16035</v>
      </c>
      <c r="C11767" s="4" t="s">
        <v>12080</v>
      </c>
      <c r="D11767" s="834">
        <v>9.9600000000000009</v>
      </c>
    </row>
    <row r="11768" spans="1:4" x14ac:dyDescent="0.3">
      <c r="A11768" s="4">
        <v>38012</v>
      </c>
      <c r="B11768" s="833" t="s">
        <v>16036</v>
      </c>
      <c r="C11768" s="4" t="s">
        <v>12080</v>
      </c>
      <c r="D11768" s="834">
        <v>37.99</v>
      </c>
    </row>
    <row r="11769" spans="1:4" x14ac:dyDescent="0.3">
      <c r="A11769" s="4">
        <v>38013</v>
      </c>
      <c r="B11769" s="833" t="s">
        <v>16037</v>
      </c>
      <c r="C11769" s="4" t="s">
        <v>12080</v>
      </c>
      <c r="D11769" s="834">
        <v>48.81</v>
      </c>
    </row>
    <row r="11770" spans="1:4" x14ac:dyDescent="0.3">
      <c r="A11770" s="4">
        <v>38014</v>
      </c>
      <c r="B11770" s="833" t="s">
        <v>16038</v>
      </c>
      <c r="C11770" s="4" t="s">
        <v>12080</v>
      </c>
      <c r="D11770" s="834">
        <v>81.510000000000005</v>
      </c>
    </row>
    <row r="11771" spans="1:4" x14ac:dyDescent="0.3">
      <c r="A11771" s="4">
        <v>38015</v>
      </c>
      <c r="B11771" s="833" t="s">
        <v>16039</v>
      </c>
      <c r="C11771" s="4" t="s">
        <v>12080</v>
      </c>
      <c r="D11771" s="834">
        <v>191.64</v>
      </c>
    </row>
    <row r="11772" spans="1:4" x14ac:dyDescent="0.3">
      <c r="A11772" s="4">
        <v>38016</v>
      </c>
      <c r="B11772" s="833" t="s">
        <v>16040</v>
      </c>
      <c r="C11772" s="4" t="s">
        <v>12080</v>
      </c>
      <c r="D11772" s="834">
        <v>222.85</v>
      </c>
    </row>
    <row r="11773" spans="1:4" x14ac:dyDescent="0.3">
      <c r="A11773" s="4">
        <v>12741</v>
      </c>
      <c r="B11773" s="833" t="s">
        <v>16041</v>
      </c>
      <c r="C11773" s="4" t="s">
        <v>12080</v>
      </c>
      <c r="D11773" s="834">
        <v>2362.09</v>
      </c>
    </row>
    <row r="11774" spans="1:4" x14ac:dyDescent="0.3">
      <c r="A11774" s="4">
        <v>12733</v>
      </c>
      <c r="B11774" s="833" t="s">
        <v>16042</v>
      </c>
      <c r="C11774" s="4" t="s">
        <v>12080</v>
      </c>
      <c r="D11774" s="834">
        <v>11.88</v>
      </c>
    </row>
    <row r="11775" spans="1:4" x14ac:dyDescent="0.3">
      <c r="A11775" s="4">
        <v>12734</v>
      </c>
      <c r="B11775" s="833" t="s">
        <v>16043</v>
      </c>
      <c r="C11775" s="4" t="s">
        <v>12080</v>
      </c>
      <c r="D11775" s="834">
        <v>25.33</v>
      </c>
    </row>
    <row r="11776" spans="1:4" x14ac:dyDescent="0.3">
      <c r="A11776" s="4">
        <v>12735</v>
      </c>
      <c r="B11776" s="833" t="s">
        <v>16044</v>
      </c>
      <c r="C11776" s="4" t="s">
        <v>12080</v>
      </c>
      <c r="D11776" s="834">
        <v>41.67</v>
      </c>
    </row>
    <row r="11777" spans="1:4" x14ac:dyDescent="0.3">
      <c r="A11777" s="4">
        <v>12736</v>
      </c>
      <c r="B11777" s="833" t="s">
        <v>16045</v>
      </c>
      <c r="C11777" s="4" t="s">
        <v>12080</v>
      </c>
      <c r="D11777" s="834">
        <v>95.27</v>
      </c>
    </row>
    <row r="11778" spans="1:4" x14ac:dyDescent="0.3">
      <c r="A11778" s="4">
        <v>12737</v>
      </c>
      <c r="B11778" s="833" t="s">
        <v>16046</v>
      </c>
      <c r="C11778" s="4" t="s">
        <v>12080</v>
      </c>
      <c r="D11778" s="834">
        <v>122.73</v>
      </c>
    </row>
    <row r="11779" spans="1:4" x14ac:dyDescent="0.3">
      <c r="A11779" s="4">
        <v>12738</v>
      </c>
      <c r="B11779" s="833" t="s">
        <v>16047</v>
      </c>
      <c r="C11779" s="4" t="s">
        <v>12080</v>
      </c>
      <c r="D11779" s="834">
        <v>242.57</v>
      </c>
    </row>
    <row r="11780" spans="1:4" x14ac:dyDescent="0.3">
      <c r="A11780" s="4">
        <v>12739</v>
      </c>
      <c r="B11780" s="833" t="s">
        <v>16048</v>
      </c>
      <c r="C11780" s="4" t="s">
        <v>12080</v>
      </c>
      <c r="D11780" s="834">
        <v>690.5</v>
      </c>
    </row>
    <row r="11781" spans="1:4" x14ac:dyDescent="0.3">
      <c r="A11781" s="4">
        <v>12740</v>
      </c>
      <c r="B11781" s="833" t="s">
        <v>16049</v>
      </c>
      <c r="C11781" s="4" t="s">
        <v>12080</v>
      </c>
      <c r="D11781" s="834">
        <v>1080.33</v>
      </c>
    </row>
    <row r="11782" spans="1:4" x14ac:dyDescent="0.3">
      <c r="A11782" s="4">
        <v>6297</v>
      </c>
      <c r="B11782" s="833" t="s">
        <v>16050</v>
      </c>
      <c r="C11782" s="4" t="s">
        <v>12080</v>
      </c>
      <c r="D11782" s="834">
        <v>46.75</v>
      </c>
    </row>
    <row r="11783" spans="1:4" x14ac:dyDescent="0.3">
      <c r="A11783" s="4">
        <v>6296</v>
      </c>
      <c r="B11783" s="833" t="s">
        <v>16051</v>
      </c>
      <c r="C11783" s="4" t="s">
        <v>12080</v>
      </c>
      <c r="D11783" s="834">
        <v>36.9</v>
      </c>
    </row>
    <row r="11784" spans="1:4" x14ac:dyDescent="0.3">
      <c r="A11784" s="4">
        <v>6294</v>
      </c>
      <c r="B11784" s="833" t="s">
        <v>16052</v>
      </c>
      <c r="C11784" s="4" t="s">
        <v>12080</v>
      </c>
      <c r="D11784" s="834">
        <v>10.52</v>
      </c>
    </row>
    <row r="11785" spans="1:4" x14ac:dyDescent="0.3">
      <c r="A11785" s="4">
        <v>6323</v>
      </c>
      <c r="B11785" s="833" t="s">
        <v>16053</v>
      </c>
      <c r="C11785" s="4" t="s">
        <v>12080</v>
      </c>
      <c r="D11785" s="834">
        <v>24.11</v>
      </c>
    </row>
    <row r="11786" spans="1:4" x14ac:dyDescent="0.3">
      <c r="A11786" s="4">
        <v>6299</v>
      </c>
      <c r="B11786" s="833" t="s">
        <v>16054</v>
      </c>
      <c r="C11786" s="4" t="s">
        <v>12080</v>
      </c>
      <c r="D11786" s="834">
        <v>140.62</v>
      </c>
    </row>
    <row r="11787" spans="1:4" x14ac:dyDescent="0.3">
      <c r="A11787" s="4">
        <v>6298</v>
      </c>
      <c r="B11787" s="833" t="s">
        <v>16055</v>
      </c>
      <c r="C11787" s="4" t="s">
        <v>12080</v>
      </c>
      <c r="D11787" s="834">
        <v>74.06</v>
      </c>
    </row>
    <row r="11788" spans="1:4" x14ac:dyDescent="0.3">
      <c r="A11788" s="4">
        <v>6295</v>
      </c>
      <c r="B11788" s="833" t="s">
        <v>16056</v>
      </c>
      <c r="C11788" s="4" t="s">
        <v>12080</v>
      </c>
      <c r="D11788" s="834">
        <v>14.98</v>
      </c>
    </row>
    <row r="11789" spans="1:4" x14ac:dyDescent="0.3">
      <c r="A11789" s="4">
        <v>6322</v>
      </c>
      <c r="B11789" s="833" t="s">
        <v>16057</v>
      </c>
      <c r="C11789" s="4" t="s">
        <v>12080</v>
      </c>
      <c r="D11789" s="834">
        <v>188.34</v>
      </c>
    </row>
    <row r="11790" spans="1:4" x14ac:dyDescent="0.3">
      <c r="A11790" s="4">
        <v>6300</v>
      </c>
      <c r="B11790" s="833" t="s">
        <v>16058</v>
      </c>
      <c r="C11790" s="4" t="s">
        <v>12080</v>
      </c>
      <c r="D11790" s="834">
        <v>347.23</v>
      </c>
    </row>
    <row r="11791" spans="1:4" x14ac:dyDescent="0.3">
      <c r="A11791" s="4">
        <v>6321</v>
      </c>
      <c r="B11791" s="833" t="s">
        <v>16059</v>
      </c>
      <c r="C11791" s="4" t="s">
        <v>12080</v>
      </c>
      <c r="D11791" s="834">
        <v>495.99</v>
      </c>
    </row>
    <row r="11792" spans="1:4" x14ac:dyDescent="0.3">
      <c r="A11792" s="4">
        <v>6301</v>
      </c>
      <c r="B11792" s="833" t="s">
        <v>16060</v>
      </c>
      <c r="C11792" s="4" t="s">
        <v>12080</v>
      </c>
      <c r="D11792" s="834">
        <v>1162.55</v>
      </c>
    </row>
    <row r="11793" spans="1:4" x14ac:dyDescent="0.3">
      <c r="A11793" s="4">
        <v>20183</v>
      </c>
      <c r="B11793" s="833" t="s">
        <v>16061</v>
      </c>
      <c r="C11793" s="4" t="s">
        <v>12080</v>
      </c>
      <c r="D11793" s="834">
        <v>52.18</v>
      </c>
    </row>
    <row r="11794" spans="1:4" x14ac:dyDescent="0.3">
      <c r="A11794" s="4">
        <v>38448</v>
      </c>
      <c r="B11794" s="833" t="s">
        <v>16062</v>
      </c>
      <c r="C11794" s="4" t="s">
        <v>12080</v>
      </c>
      <c r="D11794" s="834">
        <v>236.77</v>
      </c>
    </row>
    <row r="11795" spans="1:4" x14ac:dyDescent="0.3">
      <c r="A11795" s="4">
        <v>20182</v>
      </c>
      <c r="B11795" s="833" t="s">
        <v>16063</v>
      </c>
      <c r="C11795" s="4" t="s">
        <v>12080</v>
      </c>
      <c r="D11795" s="834">
        <v>30.34</v>
      </c>
    </row>
    <row r="11796" spans="1:4" x14ac:dyDescent="0.3">
      <c r="A11796" s="4">
        <v>7105</v>
      </c>
      <c r="B11796" s="833" t="s">
        <v>16064</v>
      </c>
      <c r="C11796" s="4" t="s">
        <v>12080</v>
      </c>
      <c r="D11796" s="834">
        <v>42.35</v>
      </c>
    </row>
    <row r="11797" spans="1:4" x14ac:dyDescent="0.3">
      <c r="A11797" s="4">
        <v>7119</v>
      </c>
      <c r="B11797" s="833" t="s">
        <v>16065</v>
      </c>
      <c r="C11797" s="4" t="s">
        <v>12080</v>
      </c>
      <c r="D11797" s="834">
        <v>11.76</v>
      </c>
    </row>
    <row r="11798" spans="1:4" x14ac:dyDescent="0.3">
      <c r="A11798" s="4">
        <v>7126</v>
      </c>
      <c r="B11798" s="833" t="s">
        <v>16066</v>
      </c>
      <c r="C11798" s="4" t="s">
        <v>12080</v>
      </c>
      <c r="D11798" s="834">
        <v>23.99</v>
      </c>
    </row>
    <row r="11799" spans="1:4" x14ac:dyDescent="0.3">
      <c r="A11799" s="4">
        <v>7120</v>
      </c>
      <c r="B11799" s="833" t="s">
        <v>16067</v>
      </c>
      <c r="C11799" s="4" t="s">
        <v>12080</v>
      </c>
      <c r="D11799" s="834">
        <v>9.02</v>
      </c>
    </row>
    <row r="11800" spans="1:4" x14ac:dyDescent="0.3">
      <c r="A11800" s="4">
        <v>6319</v>
      </c>
      <c r="B11800" s="833" t="s">
        <v>16068</v>
      </c>
      <c r="C11800" s="4" t="s">
        <v>12080</v>
      </c>
      <c r="D11800" s="834">
        <v>54.93</v>
      </c>
    </row>
    <row r="11801" spans="1:4" x14ac:dyDescent="0.3">
      <c r="A11801" s="4">
        <v>6304</v>
      </c>
      <c r="B11801" s="833" t="s">
        <v>16069</v>
      </c>
      <c r="C11801" s="4" t="s">
        <v>12080</v>
      </c>
      <c r="D11801" s="834">
        <v>54.93</v>
      </c>
    </row>
    <row r="11802" spans="1:4" x14ac:dyDescent="0.3">
      <c r="A11802" s="4">
        <v>21116</v>
      </c>
      <c r="B11802" s="833" t="s">
        <v>16070</v>
      </c>
      <c r="C11802" s="4" t="s">
        <v>12080</v>
      </c>
      <c r="D11802" s="834">
        <v>41.59</v>
      </c>
    </row>
    <row r="11803" spans="1:4" x14ac:dyDescent="0.3">
      <c r="A11803" s="4">
        <v>6320</v>
      </c>
      <c r="B11803" s="833" t="s">
        <v>16071</v>
      </c>
      <c r="C11803" s="4" t="s">
        <v>12080</v>
      </c>
      <c r="D11803" s="834">
        <v>28.29</v>
      </c>
    </row>
    <row r="11804" spans="1:4" x14ac:dyDescent="0.3">
      <c r="A11804" s="4">
        <v>6303</v>
      </c>
      <c r="B11804" s="833" t="s">
        <v>16072</v>
      </c>
      <c r="C11804" s="4" t="s">
        <v>12080</v>
      </c>
      <c r="D11804" s="834">
        <v>28.29</v>
      </c>
    </row>
    <row r="11805" spans="1:4" x14ac:dyDescent="0.3">
      <c r="A11805" s="4">
        <v>6308</v>
      </c>
      <c r="B11805" s="833" t="s">
        <v>16073</v>
      </c>
      <c r="C11805" s="4" t="s">
        <v>12080</v>
      </c>
      <c r="D11805" s="834">
        <v>151.99</v>
      </c>
    </row>
    <row r="11806" spans="1:4" x14ac:dyDescent="0.3">
      <c r="A11806" s="4">
        <v>6317</v>
      </c>
      <c r="B11806" s="833" t="s">
        <v>16074</v>
      </c>
      <c r="C11806" s="4" t="s">
        <v>12080</v>
      </c>
      <c r="D11806" s="834">
        <v>151.99</v>
      </c>
    </row>
    <row r="11807" spans="1:4" x14ac:dyDescent="0.3">
      <c r="A11807" s="4">
        <v>6307</v>
      </c>
      <c r="B11807" s="833" t="s">
        <v>16075</v>
      </c>
      <c r="C11807" s="4" t="s">
        <v>12080</v>
      </c>
      <c r="D11807" s="834">
        <v>151.99</v>
      </c>
    </row>
    <row r="11808" spans="1:4" x14ac:dyDescent="0.3">
      <c r="A11808" s="4">
        <v>6309</v>
      </c>
      <c r="B11808" s="833" t="s">
        <v>16076</v>
      </c>
      <c r="C11808" s="4" t="s">
        <v>12080</v>
      </c>
      <c r="D11808" s="834">
        <v>156.4</v>
      </c>
    </row>
    <row r="11809" spans="1:4" x14ac:dyDescent="0.3">
      <c r="A11809" s="4">
        <v>6318</v>
      </c>
      <c r="B11809" s="833" t="s">
        <v>16077</v>
      </c>
      <c r="C11809" s="4" t="s">
        <v>12080</v>
      </c>
      <c r="D11809" s="834">
        <v>81.98</v>
      </c>
    </row>
    <row r="11810" spans="1:4" x14ac:dyDescent="0.3">
      <c r="A11810" s="4">
        <v>6306</v>
      </c>
      <c r="B11810" s="833" t="s">
        <v>16078</v>
      </c>
      <c r="C11810" s="4" t="s">
        <v>12080</v>
      </c>
      <c r="D11810" s="834">
        <v>81.98</v>
      </c>
    </row>
    <row r="11811" spans="1:4" x14ac:dyDescent="0.3">
      <c r="A11811" s="4">
        <v>6305</v>
      </c>
      <c r="B11811" s="833" t="s">
        <v>16079</v>
      </c>
      <c r="C11811" s="4" t="s">
        <v>12080</v>
      </c>
      <c r="D11811" s="834">
        <v>81.98</v>
      </c>
    </row>
    <row r="11812" spans="1:4" x14ac:dyDescent="0.3">
      <c r="A11812" s="4">
        <v>6302</v>
      </c>
      <c r="B11812" s="833" t="s">
        <v>16080</v>
      </c>
      <c r="C11812" s="4" t="s">
        <v>12080</v>
      </c>
      <c r="D11812" s="834">
        <v>17.39</v>
      </c>
    </row>
    <row r="11813" spans="1:4" x14ac:dyDescent="0.3">
      <c r="A11813" s="4">
        <v>6312</v>
      </c>
      <c r="B11813" s="833" t="s">
        <v>16081</v>
      </c>
      <c r="C11813" s="4" t="s">
        <v>12080</v>
      </c>
      <c r="D11813" s="834">
        <v>218.62</v>
      </c>
    </row>
    <row r="11814" spans="1:4" x14ac:dyDescent="0.3">
      <c r="A11814" s="4">
        <v>6311</v>
      </c>
      <c r="B11814" s="833" t="s">
        <v>16082</v>
      </c>
      <c r="C11814" s="4" t="s">
        <v>12080</v>
      </c>
      <c r="D11814" s="834">
        <v>218.62</v>
      </c>
    </row>
    <row r="11815" spans="1:4" x14ac:dyDescent="0.3">
      <c r="A11815" s="4">
        <v>6310</v>
      </c>
      <c r="B11815" s="833" t="s">
        <v>16083</v>
      </c>
      <c r="C11815" s="4" t="s">
        <v>12080</v>
      </c>
      <c r="D11815" s="834">
        <v>218.62</v>
      </c>
    </row>
    <row r="11816" spans="1:4" x14ac:dyDescent="0.3">
      <c r="A11816" s="4">
        <v>6314</v>
      </c>
      <c r="B11816" s="833" t="s">
        <v>16084</v>
      </c>
      <c r="C11816" s="4" t="s">
        <v>12080</v>
      </c>
      <c r="D11816" s="834">
        <v>218.62</v>
      </c>
    </row>
    <row r="11817" spans="1:4" x14ac:dyDescent="0.3">
      <c r="A11817" s="4">
        <v>6313</v>
      </c>
      <c r="B11817" s="833" t="s">
        <v>16085</v>
      </c>
      <c r="C11817" s="4" t="s">
        <v>12080</v>
      </c>
      <c r="D11817" s="834">
        <v>218.62</v>
      </c>
    </row>
    <row r="11818" spans="1:4" x14ac:dyDescent="0.3">
      <c r="A11818" s="4">
        <v>6315</v>
      </c>
      <c r="B11818" s="833" t="s">
        <v>16086</v>
      </c>
      <c r="C11818" s="4" t="s">
        <v>12080</v>
      </c>
      <c r="D11818" s="834">
        <v>413.94</v>
      </c>
    </row>
    <row r="11819" spans="1:4" x14ac:dyDescent="0.3">
      <c r="A11819" s="4">
        <v>6316</v>
      </c>
      <c r="B11819" s="833" t="s">
        <v>16087</v>
      </c>
      <c r="C11819" s="4" t="s">
        <v>12080</v>
      </c>
      <c r="D11819" s="834">
        <v>413.94</v>
      </c>
    </row>
    <row r="11820" spans="1:4" x14ac:dyDescent="0.3">
      <c r="A11820" s="4">
        <v>39324</v>
      </c>
      <c r="B11820" s="833" t="s">
        <v>16088</v>
      </c>
      <c r="C11820" s="4" t="s">
        <v>12080</v>
      </c>
      <c r="D11820" s="834">
        <v>5.2</v>
      </c>
    </row>
    <row r="11821" spans="1:4" x14ac:dyDescent="0.3">
      <c r="A11821" s="4">
        <v>39325</v>
      </c>
      <c r="B11821" s="833" t="s">
        <v>16089</v>
      </c>
      <c r="C11821" s="4" t="s">
        <v>12080</v>
      </c>
      <c r="D11821" s="834">
        <v>7.83</v>
      </c>
    </row>
    <row r="11822" spans="1:4" x14ac:dyDescent="0.3">
      <c r="A11822" s="4">
        <v>39326</v>
      </c>
      <c r="B11822" s="833" t="s">
        <v>16090</v>
      </c>
      <c r="C11822" s="4" t="s">
        <v>12080</v>
      </c>
      <c r="D11822" s="834">
        <v>28.1</v>
      </c>
    </row>
    <row r="11823" spans="1:4" x14ac:dyDescent="0.3">
      <c r="A11823" s="4">
        <v>39327</v>
      </c>
      <c r="B11823" s="833" t="s">
        <v>16091</v>
      </c>
      <c r="C11823" s="4" t="s">
        <v>12080</v>
      </c>
      <c r="D11823" s="834">
        <v>42.39</v>
      </c>
    </row>
    <row r="11824" spans="1:4" x14ac:dyDescent="0.3">
      <c r="A11824" s="4">
        <v>11378</v>
      </c>
      <c r="B11824" s="833" t="s">
        <v>16092</v>
      </c>
      <c r="C11824" s="4" t="s">
        <v>12080</v>
      </c>
      <c r="D11824" s="834">
        <v>92.89</v>
      </c>
    </row>
    <row r="11825" spans="1:4" x14ac:dyDescent="0.3">
      <c r="A11825" s="4">
        <v>11379</v>
      </c>
      <c r="B11825" s="833" t="s">
        <v>16093</v>
      </c>
      <c r="C11825" s="4" t="s">
        <v>12080</v>
      </c>
      <c r="D11825" s="834">
        <v>78.489999999999995</v>
      </c>
    </row>
    <row r="11826" spans="1:4" x14ac:dyDescent="0.3">
      <c r="A11826" s="4">
        <v>11493</v>
      </c>
      <c r="B11826" s="833" t="s">
        <v>16094</v>
      </c>
      <c r="C11826" s="4" t="s">
        <v>12080</v>
      </c>
      <c r="D11826" s="834">
        <v>45.27</v>
      </c>
    </row>
    <row r="11827" spans="1:4" x14ac:dyDescent="0.3">
      <c r="A11827" s="4">
        <v>7106</v>
      </c>
      <c r="B11827" s="833" t="s">
        <v>16095</v>
      </c>
      <c r="C11827" s="4" t="s">
        <v>12080</v>
      </c>
      <c r="D11827" s="834">
        <v>148.44999999999999</v>
      </c>
    </row>
    <row r="11828" spans="1:4" x14ac:dyDescent="0.3">
      <c r="A11828" s="4">
        <v>7104</v>
      </c>
      <c r="B11828" s="833" t="s">
        <v>16096</v>
      </c>
      <c r="C11828" s="4" t="s">
        <v>12080</v>
      </c>
      <c r="D11828" s="834">
        <v>4</v>
      </c>
    </row>
    <row r="11829" spans="1:4" x14ac:dyDescent="0.3">
      <c r="A11829" s="4">
        <v>7136</v>
      </c>
      <c r="B11829" s="833" t="s">
        <v>16097</v>
      </c>
      <c r="C11829" s="4" t="s">
        <v>12080</v>
      </c>
      <c r="D11829" s="834">
        <v>6.97</v>
      </c>
    </row>
    <row r="11830" spans="1:4" x14ac:dyDescent="0.3">
      <c r="A11830" s="4">
        <v>7128</v>
      </c>
      <c r="B11830" s="833" t="s">
        <v>16098</v>
      </c>
      <c r="C11830" s="4" t="s">
        <v>12080</v>
      </c>
      <c r="D11830" s="834">
        <v>9.0399999999999991</v>
      </c>
    </row>
    <row r="11831" spans="1:4" x14ac:dyDescent="0.3">
      <c r="A11831" s="4">
        <v>7108</v>
      </c>
      <c r="B11831" s="833" t="s">
        <v>16099</v>
      </c>
      <c r="C11831" s="4" t="s">
        <v>12080</v>
      </c>
      <c r="D11831" s="834">
        <v>9.02</v>
      </c>
    </row>
    <row r="11832" spans="1:4" x14ac:dyDescent="0.3">
      <c r="A11832" s="4">
        <v>7129</v>
      </c>
      <c r="B11832" s="833" t="s">
        <v>16100</v>
      </c>
      <c r="C11832" s="4" t="s">
        <v>12080</v>
      </c>
      <c r="D11832" s="834">
        <v>10.61</v>
      </c>
    </row>
    <row r="11833" spans="1:4" x14ac:dyDescent="0.3">
      <c r="A11833" s="4">
        <v>7130</v>
      </c>
      <c r="B11833" s="833" t="s">
        <v>16101</v>
      </c>
      <c r="C11833" s="4" t="s">
        <v>12080</v>
      </c>
      <c r="D11833" s="834">
        <v>15.42</v>
      </c>
    </row>
    <row r="11834" spans="1:4" x14ac:dyDescent="0.3">
      <c r="A11834" s="4">
        <v>7131</v>
      </c>
      <c r="B11834" s="833" t="s">
        <v>16102</v>
      </c>
      <c r="C11834" s="4" t="s">
        <v>12080</v>
      </c>
      <c r="D11834" s="834">
        <v>18.86</v>
      </c>
    </row>
    <row r="11835" spans="1:4" x14ac:dyDescent="0.3">
      <c r="A11835" s="4">
        <v>7132</v>
      </c>
      <c r="B11835" s="833" t="s">
        <v>16103</v>
      </c>
      <c r="C11835" s="4" t="s">
        <v>12080</v>
      </c>
      <c r="D11835" s="834">
        <v>44.41</v>
      </c>
    </row>
    <row r="11836" spans="1:4" x14ac:dyDescent="0.3">
      <c r="A11836" s="4">
        <v>7133</v>
      </c>
      <c r="B11836" s="833" t="s">
        <v>16104</v>
      </c>
      <c r="C11836" s="4" t="s">
        <v>12080</v>
      </c>
      <c r="D11836" s="834">
        <v>102.61</v>
      </c>
    </row>
    <row r="11837" spans="1:4" x14ac:dyDescent="0.3">
      <c r="A11837" s="4">
        <v>37420</v>
      </c>
      <c r="B11837" s="833" t="s">
        <v>16105</v>
      </c>
      <c r="C11837" s="4" t="s">
        <v>12080</v>
      </c>
      <c r="D11837" s="834">
        <v>40.04</v>
      </c>
    </row>
    <row r="11838" spans="1:4" x14ac:dyDescent="0.3">
      <c r="A11838" s="4">
        <v>37421</v>
      </c>
      <c r="B11838" s="833" t="s">
        <v>16106</v>
      </c>
      <c r="C11838" s="4" t="s">
        <v>12080</v>
      </c>
      <c r="D11838" s="834">
        <v>54.73</v>
      </c>
    </row>
    <row r="11839" spans="1:4" x14ac:dyDescent="0.3">
      <c r="A11839" s="4">
        <v>37422</v>
      </c>
      <c r="B11839" s="833" t="s">
        <v>16107</v>
      </c>
      <c r="C11839" s="4" t="s">
        <v>12080</v>
      </c>
      <c r="D11839" s="834">
        <v>51.23</v>
      </c>
    </row>
    <row r="11840" spans="1:4" x14ac:dyDescent="0.3">
      <c r="A11840" s="4">
        <v>37443</v>
      </c>
      <c r="B11840" s="833" t="s">
        <v>16108</v>
      </c>
      <c r="C11840" s="4" t="s">
        <v>12080</v>
      </c>
      <c r="D11840" s="834">
        <v>186.25</v>
      </c>
    </row>
    <row r="11841" spans="1:4" x14ac:dyDescent="0.3">
      <c r="A11841" s="4">
        <v>37444</v>
      </c>
      <c r="B11841" s="833" t="s">
        <v>16109</v>
      </c>
      <c r="C11841" s="4" t="s">
        <v>12080</v>
      </c>
      <c r="D11841" s="834">
        <v>189.41</v>
      </c>
    </row>
    <row r="11842" spans="1:4" x14ac:dyDescent="0.3">
      <c r="A11842" s="4">
        <v>37445</v>
      </c>
      <c r="B11842" s="833" t="s">
        <v>16110</v>
      </c>
      <c r="C11842" s="4" t="s">
        <v>12080</v>
      </c>
      <c r="D11842" s="834">
        <v>287.10000000000002</v>
      </c>
    </row>
    <row r="11843" spans="1:4" x14ac:dyDescent="0.3">
      <c r="A11843" s="4">
        <v>37446</v>
      </c>
      <c r="B11843" s="833" t="s">
        <v>16111</v>
      </c>
      <c r="C11843" s="4" t="s">
        <v>12080</v>
      </c>
      <c r="D11843" s="834">
        <v>312.98</v>
      </c>
    </row>
    <row r="11844" spans="1:4" x14ac:dyDescent="0.3">
      <c r="A11844" s="4">
        <v>37447</v>
      </c>
      <c r="B11844" s="833" t="s">
        <v>16112</v>
      </c>
      <c r="C11844" s="4" t="s">
        <v>12080</v>
      </c>
      <c r="D11844" s="834">
        <v>317.88</v>
      </c>
    </row>
    <row r="11845" spans="1:4" x14ac:dyDescent="0.3">
      <c r="A11845" s="4">
        <v>37448</v>
      </c>
      <c r="B11845" s="833" t="s">
        <v>16113</v>
      </c>
      <c r="C11845" s="4" t="s">
        <v>12080</v>
      </c>
      <c r="D11845" s="834">
        <v>436.03</v>
      </c>
    </row>
    <row r="11846" spans="1:4" x14ac:dyDescent="0.3">
      <c r="A11846" s="4">
        <v>37440</v>
      </c>
      <c r="B11846" s="833" t="s">
        <v>16114</v>
      </c>
      <c r="C11846" s="4" t="s">
        <v>12080</v>
      </c>
      <c r="D11846" s="834">
        <v>147.83000000000001</v>
      </c>
    </row>
    <row r="11847" spans="1:4" x14ac:dyDescent="0.3">
      <c r="A11847" s="4">
        <v>37441</v>
      </c>
      <c r="B11847" s="833" t="s">
        <v>16115</v>
      </c>
      <c r="C11847" s="4" t="s">
        <v>12080</v>
      </c>
      <c r="D11847" s="834">
        <v>147.83000000000001</v>
      </c>
    </row>
    <row r="11848" spans="1:4" x14ac:dyDescent="0.3">
      <c r="A11848" s="4">
        <v>37442</v>
      </c>
      <c r="B11848" s="833" t="s">
        <v>16116</v>
      </c>
      <c r="C11848" s="4" t="s">
        <v>12080</v>
      </c>
      <c r="D11848" s="834">
        <v>178.06</v>
      </c>
    </row>
    <row r="11849" spans="1:4" x14ac:dyDescent="0.3">
      <c r="A11849" s="4">
        <v>38017</v>
      </c>
      <c r="B11849" s="833" t="s">
        <v>16117</v>
      </c>
      <c r="C11849" s="4" t="s">
        <v>12080</v>
      </c>
      <c r="D11849" s="834">
        <v>10.62</v>
      </c>
    </row>
    <row r="11850" spans="1:4" x14ac:dyDescent="0.3">
      <c r="A11850" s="4">
        <v>38018</v>
      </c>
      <c r="B11850" s="833" t="s">
        <v>16118</v>
      </c>
      <c r="C11850" s="4" t="s">
        <v>12080</v>
      </c>
      <c r="D11850" s="834">
        <v>11.94</v>
      </c>
    </row>
    <row r="11851" spans="1:4" x14ac:dyDescent="0.3">
      <c r="A11851" s="4">
        <v>39895</v>
      </c>
      <c r="B11851" s="833" t="s">
        <v>16119</v>
      </c>
      <c r="C11851" s="4" t="s">
        <v>12080</v>
      </c>
      <c r="D11851" s="834">
        <v>85.81</v>
      </c>
    </row>
    <row r="11852" spans="1:4" x14ac:dyDescent="0.3">
      <c r="A11852" s="4">
        <v>39896</v>
      </c>
      <c r="B11852" s="833" t="s">
        <v>16120</v>
      </c>
      <c r="C11852" s="4" t="s">
        <v>12080</v>
      </c>
      <c r="D11852" s="834">
        <v>125.77</v>
      </c>
    </row>
    <row r="11853" spans="1:4" x14ac:dyDescent="0.3">
      <c r="A11853" s="4">
        <v>38873</v>
      </c>
      <c r="B11853" s="833" t="s">
        <v>16121</v>
      </c>
      <c r="C11853" s="4" t="s">
        <v>12080</v>
      </c>
      <c r="D11853" s="834">
        <v>16.41</v>
      </c>
    </row>
    <row r="11854" spans="1:4" x14ac:dyDescent="0.3">
      <c r="A11854" s="4">
        <v>38874</v>
      </c>
      <c r="B11854" s="833" t="s">
        <v>16122</v>
      </c>
      <c r="C11854" s="4" t="s">
        <v>12080</v>
      </c>
      <c r="D11854" s="834">
        <v>20.79</v>
      </c>
    </row>
    <row r="11855" spans="1:4" x14ac:dyDescent="0.3">
      <c r="A11855" s="4">
        <v>38875</v>
      </c>
      <c r="B11855" s="833" t="s">
        <v>16123</v>
      </c>
      <c r="C11855" s="4" t="s">
        <v>12080</v>
      </c>
      <c r="D11855" s="834">
        <v>32.94</v>
      </c>
    </row>
    <row r="11856" spans="1:4" x14ac:dyDescent="0.3">
      <c r="A11856" s="4">
        <v>38876</v>
      </c>
      <c r="B11856" s="833" t="s">
        <v>16124</v>
      </c>
      <c r="C11856" s="4" t="s">
        <v>12080</v>
      </c>
      <c r="D11856" s="834">
        <v>44.27</v>
      </c>
    </row>
    <row r="11857" spans="1:4" x14ac:dyDescent="0.3">
      <c r="A11857" s="4">
        <v>39000</v>
      </c>
      <c r="B11857" s="833" t="s">
        <v>16125</v>
      </c>
      <c r="C11857" s="4" t="s">
        <v>12080</v>
      </c>
      <c r="D11857" s="834">
        <v>35.82</v>
      </c>
    </row>
    <row r="11858" spans="1:4" x14ac:dyDescent="0.3">
      <c r="A11858" s="4">
        <v>38674</v>
      </c>
      <c r="B11858" s="833" t="s">
        <v>16126</v>
      </c>
      <c r="C11858" s="4" t="s">
        <v>12080</v>
      </c>
      <c r="D11858" s="834">
        <v>35.75</v>
      </c>
    </row>
    <row r="11859" spans="1:4" x14ac:dyDescent="0.3">
      <c r="A11859" s="4">
        <v>38019</v>
      </c>
      <c r="B11859" s="833" t="s">
        <v>16127</v>
      </c>
      <c r="C11859" s="4" t="s">
        <v>12080</v>
      </c>
      <c r="D11859" s="834">
        <v>7.56</v>
      </c>
    </row>
    <row r="11860" spans="1:4" x14ac:dyDescent="0.3">
      <c r="A11860" s="4">
        <v>38020</v>
      </c>
      <c r="B11860" s="833" t="s">
        <v>16128</v>
      </c>
      <c r="C11860" s="4" t="s">
        <v>12080</v>
      </c>
      <c r="D11860" s="834">
        <v>9.31</v>
      </c>
    </row>
    <row r="11861" spans="1:4" x14ac:dyDescent="0.3">
      <c r="A11861" s="4">
        <v>38454</v>
      </c>
      <c r="B11861" s="833" t="s">
        <v>16129</v>
      </c>
      <c r="C11861" s="4" t="s">
        <v>12080</v>
      </c>
      <c r="D11861" s="834">
        <v>13.43</v>
      </c>
    </row>
    <row r="11862" spans="1:4" x14ac:dyDescent="0.3">
      <c r="A11862" s="4">
        <v>38455</v>
      </c>
      <c r="B11862" s="833" t="s">
        <v>16130</v>
      </c>
      <c r="C11862" s="4" t="s">
        <v>12080</v>
      </c>
      <c r="D11862" s="834">
        <v>17.98</v>
      </c>
    </row>
    <row r="11863" spans="1:4" x14ac:dyDescent="0.3">
      <c r="A11863" s="4">
        <v>38462</v>
      </c>
      <c r="B11863" s="833" t="s">
        <v>16131</v>
      </c>
      <c r="C11863" s="4" t="s">
        <v>12080</v>
      </c>
      <c r="D11863" s="834">
        <v>289.89</v>
      </c>
    </row>
    <row r="11864" spans="1:4" x14ac:dyDescent="0.3">
      <c r="A11864" s="4">
        <v>36362</v>
      </c>
      <c r="B11864" s="833" t="s">
        <v>16132</v>
      </c>
      <c r="C11864" s="4" t="s">
        <v>12080</v>
      </c>
      <c r="D11864" s="834">
        <v>4</v>
      </c>
    </row>
    <row r="11865" spans="1:4" x14ac:dyDescent="0.3">
      <c r="A11865" s="4">
        <v>36298</v>
      </c>
      <c r="B11865" s="833" t="s">
        <v>16133</v>
      </c>
      <c r="C11865" s="4" t="s">
        <v>12080</v>
      </c>
      <c r="D11865" s="834">
        <v>3.44</v>
      </c>
    </row>
    <row r="11866" spans="1:4" x14ac:dyDescent="0.3">
      <c r="A11866" s="4">
        <v>38456</v>
      </c>
      <c r="B11866" s="833" t="s">
        <v>16134</v>
      </c>
      <c r="C11866" s="4" t="s">
        <v>12080</v>
      </c>
      <c r="D11866" s="834">
        <v>8.57</v>
      </c>
    </row>
    <row r="11867" spans="1:4" x14ac:dyDescent="0.3">
      <c r="A11867" s="4">
        <v>38457</v>
      </c>
      <c r="B11867" s="833" t="s">
        <v>16135</v>
      </c>
      <c r="C11867" s="4" t="s">
        <v>12080</v>
      </c>
      <c r="D11867" s="834">
        <v>15.62</v>
      </c>
    </row>
    <row r="11868" spans="1:4" x14ac:dyDescent="0.3">
      <c r="A11868" s="4">
        <v>38458</v>
      </c>
      <c r="B11868" s="833" t="s">
        <v>16136</v>
      </c>
      <c r="C11868" s="4" t="s">
        <v>12080</v>
      </c>
      <c r="D11868" s="834">
        <v>30.09</v>
      </c>
    </row>
    <row r="11869" spans="1:4" x14ac:dyDescent="0.3">
      <c r="A11869" s="4">
        <v>38459</v>
      </c>
      <c r="B11869" s="833" t="s">
        <v>16137</v>
      </c>
      <c r="C11869" s="4" t="s">
        <v>12080</v>
      </c>
      <c r="D11869" s="834">
        <v>47.3</v>
      </c>
    </row>
    <row r="11870" spans="1:4" x14ac:dyDescent="0.3">
      <c r="A11870" s="4">
        <v>38460</v>
      </c>
      <c r="B11870" s="833" t="s">
        <v>16138</v>
      </c>
      <c r="C11870" s="4" t="s">
        <v>12080</v>
      </c>
      <c r="D11870" s="834">
        <v>101.48</v>
      </c>
    </row>
    <row r="11871" spans="1:4" x14ac:dyDescent="0.3">
      <c r="A11871" s="4">
        <v>38461</v>
      </c>
      <c r="B11871" s="833" t="s">
        <v>16139</v>
      </c>
      <c r="C11871" s="4" t="s">
        <v>12080</v>
      </c>
      <c r="D11871" s="834">
        <v>136.18</v>
      </c>
    </row>
    <row r="11872" spans="1:4" x14ac:dyDescent="0.3">
      <c r="A11872" s="4">
        <v>7094</v>
      </c>
      <c r="B11872" s="833" t="s">
        <v>16140</v>
      </c>
      <c r="C11872" s="4" t="s">
        <v>12080</v>
      </c>
      <c r="D11872" s="834">
        <v>13.06</v>
      </c>
    </row>
    <row r="11873" spans="1:4" x14ac:dyDescent="0.3">
      <c r="A11873" s="4">
        <v>7116</v>
      </c>
      <c r="B11873" s="833" t="s">
        <v>16141</v>
      </c>
      <c r="C11873" s="4" t="s">
        <v>12080</v>
      </c>
      <c r="D11873" s="834">
        <v>3.8</v>
      </c>
    </row>
    <row r="11874" spans="1:4" x14ac:dyDescent="0.3">
      <c r="A11874" s="4">
        <v>7118</v>
      </c>
      <c r="B11874" s="833" t="s">
        <v>16142</v>
      </c>
      <c r="C11874" s="4" t="s">
        <v>12080</v>
      </c>
      <c r="D11874" s="834">
        <v>26.86</v>
      </c>
    </row>
    <row r="11875" spans="1:4" x14ac:dyDescent="0.3">
      <c r="A11875" s="4">
        <v>7098</v>
      </c>
      <c r="B11875" s="833" t="s">
        <v>16143</v>
      </c>
      <c r="C11875" s="4" t="s">
        <v>12080</v>
      </c>
      <c r="D11875" s="834">
        <v>3.99</v>
      </c>
    </row>
    <row r="11876" spans="1:4" x14ac:dyDescent="0.3">
      <c r="A11876" s="4">
        <v>7110</v>
      </c>
      <c r="B11876" s="833" t="s">
        <v>16144</v>
      </c>
      <c r="C11876" s="4" t="s">
        <v>12080</v>
      </c>
      <c r="D11876" s="834">
        <v>51.07</v>
      </c>
    </row>
    <row r="11877" spans="1:4" x14ac:dyDescent="0.3">
      <c r="A11877" s="4">
        <v>7123</v>
      </c>
      <c r="B11877" s="833" t="s">
        <v>16145</v>
      </c>
      <c r="C11877" s="4" t="s">
        <v>12080</v>
      </c>
      <c r="D11877" s="834">
        <v>4.83</v>
      </c>
    </row>
    <row r="11878" spans="1:4" x14ac:dyDescent="0.3">
      <c r="A11878" s="4">
        <v>7121</v>
      </c>
      <c r="B11878" s="833" t="s">
        <v>16146</v>
      </c>
      <c r="C11878" s="4" t="s">
        <v>12080</v>
      </c>
      <c r="D11878" s="834">
        <v>9.5500000000000007</v>
      </c>
    </row>
    <row r="11879" spans="1:4" x14ac:dyDescent="0.3">
      <c r="A11879" s="4">
        <v>7137</v>
      </c>
      <c r="B11879" s="833" t="s">
        <v>16147</v>
      </c>
      <c r="C11879" s="4" t="s">
        <v>12080</v>
      </c>
      <c r="D11879" s="834">
        <v>10.43</v>
      </c>
    </row>
    <row r="11880" spans="1:4" x14ac:dyDescent="0.3">
      <c r="A11880" s="4">
        <v>7122</v>
      </c>
      <c r="B11880" s="833" t="s">
        <v>16148</v>
      </c>
      <c r="C11880" s="4" t="s">
        <v>12080</v>
      </c>
      <c r="D11880" s="834">
        <v>11.48</v>
      </c>
    </row>
    <row r="11881" spans="1:4" x14ac:dyDescent="0.3">
      <c r="A11881" s="4">
        <v>7114</v>
      </c>
      <c r="B11881" s="833" t="s">
        <v>16149</v>
      </c>
      <c r="C11881" s="4" t="s">
        <v>12080</v>
      </c>
      <c r="D11881" s="834">
        <v>13.36</v>
      </c>
    </row>
    <row r="11882" spans="1:4" x14ac:dyDescent="0.3">
      <c r="A11882" s="4">
        <v>7109</v>
      </c>
      <c r="B11882" s="833" t="s">
        <v>16150</v>
      </c>
      <c r="C11882" s="4" t="s">
        <v>12080</v>
      </c>
      <c r="D11882" s="834">
        <v>2.64</v>
      </c>
    </row>
    <row r="11883" spans="1:4" x14ac:dyDescent="0.3">
      <c r="A11883" s="4">
        <v>7135</v>
      </c>
      <c r="B11883" s="833" t="s">
        <v>16151</v>
      </c>
      <c r="C11883" s="4" t="s">
        <v>12080</v>
      </c>
      <c r="D11883" s="834">
        <v>5.42</v>
      </c>
    </row>
    <row r="11884" spans="1:4" x14ac:dyDescent="0.3">
      <c r="A11884" s="4">
        <v>37947</v>
      </c>
      <c r="B11884" s="833" t="s">
        <v>16152</v>
      </c>
      <c r="C11884" s="4" t="s">
        <v>12080</v>
      </c>
      <c r="D11884" s="834">
        <v>4.41</v>
      </c>
    </row>
    <row r="11885" spans="1:4" x14ac:dyDescent="0.3">
      <c r="A11885" s="4">
        <v>7103</v>
      </c>
      <c r="B11885" s="833" t="s">
        <v>16153</v>
      </c>
      <c r="C11885" s="4" t="s">
        <v>12080</v>
      </c>
      <c r="D11885" s="834">
        <v>14.36</v>
      </c>
    </row>
    <row r="11886" spans="1:4" x14ac:dyDescent="0.3">
      <c r="A11886" s="4">
        <v>40419</v>
      </c>
      <c r="B11886" s="833" t="s">
        <v>16154</v>
      </c>
      <c r="C11886" s="4" t="s">
        <v>12080</v>
      </c>
      <c r="D11886" s="834">
        <v>34.69</v>
      </c>
    </row>
    <row r="11887" spans="1:4" x14ac:dyDescent="0.3">
      <c r="A11887" s="4">
        <v>40420</v>
      </c>
      <c r="B11887" s="833" t="s">
        <v>16155</v>
      </c>
      <c r="C11887" s="4" t="s">
        <v>12080</v>
      </c>
      <c r="D11887" s="834">
        <v>50.61</v>
      </c>
    </row>
    <row r="11888" spans="1:4" x14ac:dyDescent="0.3">
      <c r="A11888" s="4">
        <v>40421</v>
      </c>
      <c r="B11888" s="833" t="s">
        <v>16156</v>
      </c>
      <c r="C11888" s="4" t="s">
        <v>12080</v>
      </c>
      <c r="D11888" s="834">
        <v>53.88</v>
      </c>
    </row>
    <row r="11889" spans="1:4" x14ac:dyDescent="0.3">
      <c r="A11889" s="4">
        <v>38905</v>
      </c>
      <c r="B11889" s="833" t="s">
        <v>16157</v>
      </c>
      <c r="C11889" s="4" t="s">
        <v>12080</v>
      </c>
      <c r="D11889" s="834">
        <v>21.24</v>
      </c>
    </row>
    <row r="11890" spans="1:4" x14ac:dyDescent="0.3">
      <c r="A11890" s="4">
        <v>38907</v>
      </c>
      <c r="B11890" s="833" t="s">
        <v>16158</v>
      </c>
      <c r="C11890" s="4" t="s">
        <v>12080</v>
      </c>
      <c r="D11890" s="834">
        <v>20.48</v>
      </c>
    </row>
    <row r="11891" spans="1:4" x14ac:dyDescent="0.3">
      <c r="A11891" s="4">
        <v>38910</v>
      </c>
      <c r="B11891" s="833" t="s">
        <v>16159</v>
      </c>
      <c r="C11891" s="4" t="s">
        <v>12080</v>
      </c>
      <c r="D11891" s="834">
        <v>23.95</v>
      </c>
    </row>
    <row r="11892" spans="1:4" x14ac:dyDescent="0.3">
      <c r="A11892" s="4">
        <v>11655</v>
      </c>
      <c r="B11892" s="833" t="s">
        <v>16160</v>
      </c>
      <c r="C11892" s="4" t="s">
        <v>12080</v>
      </c>
      <c r="D11892" s="834">
        <v>17.55</v>
      </c>
    </row>
    <row r="11893" spans="1:4" x14ac:dyDescent="0.3">
      <c r="A11893" s="4">
        <v>11656</v>
      </c>
      <c r="B11893" s="833" t="s">
        <v>16161</v>
      </c>
      <c r="C11893" s="4" t="s">
        <v>12080</v>
      </c>
      <c r="D11893" s="834">
        <v>20.149999999999999</v>
      </c>
    </row>
    <row r="11894" spans="1:4" x14ac:dyDescent="0.3">
      <c r="A11894" s="4">
        <v>7091</v>
      </c>
      <c r="B11894" s="833" t="s">
        <v>16162</v>
      </c>
      <c r="C11894" s="4" t="s">
        <v>12080</v>
      </c>
      <c r="D11894" s="834">
        <v>16.510000000000002</v>
      </c>
    </row>
    <row r="11895" spans="1:4" x14ac:dyDescent="0.3">
      <c r="A11895" s="4">
        <v>37948</v>
      </c>
      <c r="B11895" s="833" t="s">
        <v>16163</v>
      </c>
      <c r="C11895" s="4" t="s">
        <v>12080</v>
      </c>
      <c r="D11895" s="834">
        <v>3.82</v>
      </c>
    </row>
    <row r="11896" spans="1:4" x14ac:dyDescent="0.3">
      <c r="A11896" s="4">
        <v>7097</v>
      </c>
      <c r="B11896" s="833" t="s">
        <v>16164</v>
      </c>
      <c r="C11896" s="4" t="s">
        <v>12080</v>
      </c>
      <c r="D11896" s="834">
        <v>7.75</v>
      </c>
    </row>
    <row r="11897" spans="1:4" x14ac:dyDescent="0.3">
      <c r="A11897" s="4">
        <v>11658</v>
      </c>
      <c r="B11897" s="833" t="s">
        <v>16165</v>
      </c>
      <c r="C11897" s="4" t="s">
        <v>12080</v>
      </c>
      <c r="D11897" s="834">
        <v>17.14</v>
      </c>
    </row>
    <row r="11898" spans="1:4" x14ac:dyDescent="0.3">
      <c r="A11898" s="4">
        <v>7146</v>
      </c>
      <c r="B11898" s="833" t="s">
        <v>16166</v>
      </c>
      <c r="C11898" s="4" t="s">
        <v>12080</v>
      </c>
      <c r="D11898" s="834">
        <v>174.82</v>
      </c>
    </row>
    <row r="11899" spans="1:4" x14ac:dyDescent="0.3">
      <c r="A11899" s="4">
        <v>7138</v>
      </c>
      <c r="B11899" s="833" t="s">
        <v>16167</v>
      </c>
      <c r="C11899" s="4" t="s">
        <v>12080</v>
      </c>
      <c r="D11899" s="834">
        <v>1.1100000000000001</v>
      </c>
    </row>
    <row r="11900" spans="1:4" x14ac:dyDescent="0.3">
      <c r="A11900" s="4">
        <v>7139</v>
      </c>
      <c r="B11900" s="833" t="s">
        <v>16168</v>
      </c>
      <c r="C11900" s="4" t="s">
        <v>12080</v>
      </c>
      <c r="D11900" s="834">
        <v>1.25</v>
      </c>
    </row>
    <row r="11901" spans="1:4" x14ac:dyDescent="0.3">
      <c r="A11901" s="4">
        <v>7140</v>
      </c>
      <c r="B11901" s="833" t="s">
        <v>16169</v>
      </c>
      <c r="C11901" s="4" t="s">
        <v>12080</v>
      </c>
      <c r="D11901" s="834">
        <v>3.93</v>
      </c>
    </row>
    <row r="11902" spans="1:4" x14ac:dyDescent="0.3">
      <c r="A11902" s="4">
        <v>7141</v>
      </c>
      <c r="B11902" s="833" t="s">
        <v>16170</v>
      </c>
      <c r="C11902" s="4" t="s">
        <v>12080</v>
      </c>
      <c r="D11902" s="834">
        <v>9.6199999999999992</v>
      </c>
    </row>
    <row r="11903" spans="1:4" x14ac:dyDescent="0.3">
      <c r="A11903" s="4">
        <v>7143</v>
      </c>
      <c r="B11903" s="833" t="s">
        <v>16171</v>
      </c>
      <c r="C11903" s="4" t="s">
        <v>12080</v>
      </c>
      <c r="D11903" s="834">
        <v>32.270000000000003</v>
      </c>
    </row>
    <row r="11904" spans="1:4" x14ac:dyDescent="0.3">
      <c r="A11904" s="4">
        <v>7144</v>
      </c>
      <c r="B11904" s="833" t="s">
        <v>16172</v>
      </c>
      <c r="C11904" s="4" t="s">
        <v>12080</v>
      </c>
      <c r="D11904" s="834">
        <v>59.87</v>
      </c>
    </row>
    <row r="11905" spans="1:4" x14ac:dyDescent="0.3">
      <c r="A11905" s="4">
        <v>7145</v>
      </c>
      <c r="B11905" s="833" t="s">
        <v>16173</v>
      </c>
      <c r="C11905" s="4" t="s">
        <v>12080</v>
      </c>
      <c r="D11905" s="834">
        <v>81.41</v>
      </c>
    </row>
    <row r="11906" spans="1:4" x14ac:dyDescent="0.3">
      <c r="A11906" s="4">
        <v>7142</v>
      </c>
      <c r="B11906" s="833" t="s">
        <v>16174</v>
      </c>
      <c r="C11906" s="4" t="s">
        <v>12080</v>
      </c>
      <c r="D11906" s="834">
        <v>10.050000000000001</v>
      </c>
    </row>
    <row r="11907" spans="1:4" x14ac:dyDescent="0.3">
      <c r="A11907" s="4">
        <v>3593</v>
      </c>
      <c r="B11907" s="833" t="s">
        <v>16175</v>
      </c>
      <c r="C11907" s="4" t="s">
        <v>12080</v>
      </c>
      <c r="D11907" s="834">
        <v>101.47</v>
      </c>
    </row>
    <row r="11908" spans="1:4" x14ac:dyDescent="0.3">
      <c r="A11908" s="4">
        <v>3588</v>
      </c>
      <c r="B11908" s="833" t="s">
        <v>16176</v>
      </c>
      <c r="C11908" s="4" t="s">
        <v>12080</v>
      </c>
      <c r="D11908" s="834">
        <v>78.209999999999994</v>
      </c>
    </row>
    <row r="11909" spans="1:4" x14ac:dyDescent="0.3">
      <c r="A11909" s="4">
        <v>3585</v>
      </c>
      <c r="B11909" s="833" t="s">
        <v>16177</v>
      </c>
      <c r="C11909" s="4" t="s">
        <v>12080</v>
      </c>
      <c r="D11909" s="834">
        <v>24.16</v>
      </c>
    </row>
    <row r="11910" spans="1:4" x14ac:dyDescent="0.3">
      <c r="A11910" s="4">
        <v>3587</v>
      </c>
      <c r="B11910" s="833" t="s">
        <v>16178</v>
      </c>
      <c r="C11910" s="4" t="s">
        <v>12080</v>
      </c>
      <c r="D11910" s="834">
        <v>48.53</v>
      </c>
    </row>
    <row r="11911" spans="1:4" x14ac:dyDescent="0.3">
      <c r="A11911" s="4">
        <v>3590</v>
      </c>
      <c r="B11911" s="833" t="s">
        <v>16179</v>
      </c>
      <c r="C11911" s="4" t="s">
        <v>12080</v>
      </c>
      <c r="D11911" s="834">
        <v>288.11</v>
      </c>
    </row>
    <row r="11912" spans="1:4" x14ac:dyDescent="0.3">
      <c r="A11912" s="4">
        <v>3589</v>
      </c>
      <c r="B11912" s="833" t="s">
        <v>16180</v>
      </c>
      <c r="C11912" s="4" t="s">
        <v>12080</v>
      </c>
      <c r="D11912" s="834">
        <v>154.63999999999999</v>
      </c>
    </row>
    <row r="11913" spans="1:4" x14ac:dyDescent="0.3">
      <c r="A11913" s="4">
        <v>3586</v>
      </c>
      <c r="B11913" s="833" t="s">
        <v>16181</v>
      </c>
      <c r="C11913" s="4" t="s">
        <v>12080</v>
      </c>
      <c r="D11913" s="834">
        <v>31.64</v>
      </c>
    </row>
    <row r="11914" spans="1:4" x14ac:dyDescent="0.3">
      <c r="A11914" s="4">
        <v>3592</v>
      </c>
      <c r="B11914" s="833" t="s">
        <v>16182</v>
      </c>
      <c r="C11914" s="4" t="s">
        <v>12080</v>
      </c>
      <c r="D11914" s="834">
        <v>455.41</v>
      </c>
    </row>
    <row r="11915" spans="1:4" x14ac:dyDescent="0.3">
      <c r="A11915" s="4">
        <v>3591</v>
      </c>
      <c r="B11915" s="833" t="s">
        <v>16183</v>
      </c>
      <c r="C11915" s="4" t="s">
        <v>12080</v>
      </c>
      <c r="D11915" s="834">
        <v>730.05</v>
      </c>
    </row>
    <row r="11916" spans="1:4" x14ac:dyDescent="0.3">
      <c r="A11916" s="4">
        <v>40396</v>
      </c>
      <c r="B11916" s="833" t="s">
        <v>16184</v>
      </c>
      <c r="C11916" s="4" t="s">
        <v>12080</v>
      </c>
      <c r="D11916" s="834">
        <v>130.11000000000001</v>
      </c>
    </row>
    <row r="11917" spans="1:4" x14ac:dyDescent="0.3">
      <c r="A11917" s="4">
        <v>40395</v>
      </c>
      <c r="B11917" s="833" t="s">
        <v>16185</v>
      </c>
      <c r="C11917" s="4" t="s">
        <v>12080</v>
      </c>
      <c r="D11917" s="834">
        <v>99.85</v>
      </c>
    </row>
    <row r="11918" spans="1:4" x14ac:dyDescent="0.3">
      <c r="A11918" s="4">
        <v>40392</v>
      </c>
      <c r="B11918" s="833" t="s">
        <v>16186</v>
      </c>
      <c r="C11918" s="4" t="s">
        <v>12080</v>
      </c>
      <c r="D11918" s="834">
        <v>32.130000000000003</v>
      </c>
    </row>
    <row r="11919" spans="1:4" x14ac:dyDescent="0.3">
      <c r="A11919" s="4">
        <v>40394</v>
      </c>
      <c r="B11919" s="833" t="s">
        <v>16187</v>
      </c>
      <c r="C11919" s="4" t="s">
        <v>12080</v>
      </c>
      <c r="D11919" s="834">
        <v>65.010000000000005</v>
      </c>
    </row>
    <row r="11920" spans="1:4" x14ac:dyDescent="0.3">
      <c r="A11920" s="4">
        <v>40398</v>
      </c>
      <c r="B11920" s="833" t="s">
        <v>16188</v>
      </c>
      <c r="C11920" s="4" t="s">
        <v>12080</v>
      </c>
      <c r="D11920" s="834">
        <v>417.42</v>
      </c>
    </row>
    <row r="11921" spans="1:4" x14ac:dyDescent="0.3">
      <c r="A11921" s="4">
        <v>40397</v>
      </c>
      <c r="B11921" s="833" t="s">
        <v>16189</v>
      </c>
      <c r="C11921" s="4" t="s">
        <v>12080</v>
      </c>
      <c r="D11921" s="834">
        <v>213.77</v>
      </c>
    </row>
    <row r="11922" spans="1:4" x14ac:dyDescent="0.3">
      <c r="A11922" s="4">
        <v>40393</v>
      </c>
      <c r="B11922" s="833" t="s">
        <v>16190</v>
      </c>
      <c r="C11922" s="4" t="s">
        <v>12080</v>
      </c>
      <c r="D11922" s="834">
        <v>41.38</v>
      </c>
    </row>
    <row r="11923" spans="1:4" x14ac:dyDescent="0.3">
      <c r="A11923" s="4">
        <v>40399</v>
      </c>
      <c r="B11923" s="833" t="s">
        <v>16191</v>
      </c>
      <c r="C11923" s="4" t="s">
        <v>12080</v>
      </c>
      <c r="D11923" s="834">
        <v>682.89</v>
      </c>
    </row>
    <row r="11924" spans="1:4" x14ac:dyDescent="0.3">
      <c r="A11924" s="4">
        <v>39322</v>
      </c>
      <c r="B11924" s="833" t="s">
        <v>16192</v>
      </c>
      <c r="C11924" s="4" t="s">
        <v>12080</v>
      </c>
      <c r="D11924" s="834">
        <v>10.1</v>
      </c>
    </row>
    <row r="11925" spans="1:4" x14ac:dyDescent="0.3">
      <c r="A11925" s="4">
        <v>39289</v>
      </c>
      <c r="B11925" s="833" t="s">
        <v>16193</v>
      </c>
      <c r="C11925" s="4" t="s">
        <v>12080</v>
      </c>
      <c r="D11925" s="834">
        <v>18.84</v>
      </c>
    </row>
    <row r="11926" spans="1:4" x14ac:dyDescent="0.3">
      <c r="A11926" s="4">
        <v>39290</v>
      </c>
      <c r="B11926" s="833" t="s">
        <v>16194</v>
      </c>
      <c r="C11926" s="4" t="s">
        <v>12080</v>
      </c>
      <c r="D11926" s="834">
        <v>31.8</v>
      </c>
    </row>
    <row r="11927" spans="1:4" x14ac:dyDescent="0.3">
      <c r="A11927" s="4">
        <v>39291</v>
      </c>
      <c r="B11927" s="833" t="s">
        <v>16195</v>
      </c>
      <c r="C11927" s="4" t="s">
        <v>12080</v>
      </c>
      <c r="D11927" s="834">
        <v>35.17</v>
      </c>
    </row>
    <row r="11928" spans="1:4" x14ac:dyDescent="0.3">
      <c r="A11928" s="4">
        <v>41892</v>
      </c>
      <c r="B11928" s="833" t="s">
        <v>16196</v>
      </c>
      <c r="C11928" s="4" t="s">
        <v>12080</v>
      </c>
      <c r="D11928" s="834">
        <v>116.89</v>
      </c>
    </row>
    <row r="11929" spans="1:4" x14ac:dyDescent="0.3">
      <c r="A11929" s="4">
        <v>7048</v>
      </c>
      <c r="B11929" s="833" t="s">
        <v>16197</v>
      </c>
      <c r="C11929" s="4" t="s">
        <v>12080</v>
      </c>
      <c r="D11929" s="834">
        <v>25.23</v>
      </c>
    </row>
    <row r="11930" spans="1:4" x14ac:dyDescent="0.3">
      <c r="A11930" s="4">
        <v>7088</v>
      </c>
      <c r="B11930" s="833" t="s">
        <v>16198</v>
      </c>
      <c r="C11930" s="4" t="s">
        <v>12080</v>
      </c>
      <c r="D11930" s="834">
        <v>55.17</v>
      </c>
    </row>
    <row r="11931" spans="1:4" x14ac:dyDescent="0.3">
      <c r="A11931" s="4">
        <v>20179</v>
      </c>
      <c r="B11931" s="833" t="s">
        <v>16199</v>
      </c>
      <c r="C11931" s="4" t="s">
        <v>12080</v>
      </c>
      <c r="D11931" s="834">
        <v>45.17</v>
      </c>
    </row>
    <row r="11932" spans="1:4" x14ac:dyDescent="0.3">
      <c r="A11932" s="4">
        <v>20178</v>
      </c>
      <c r="B11932" s="833" t="s">
        <v>16200</v>
      </c>
      <c r="C11932" s="4" t="s">
        <v>12080</v>
      </c>
      <c r="D11932" s="834">
        <v>54.14</v>
      </c>
    </row>
    <row r="11933" spans="1:4" x14ac:dyDescent="0.3">
      <c r="A11933" s="4">
        <v>20180</v>
      </c>
      <c r="B11933" s="833" t="s">
        <v>16201</v>
      </c>
      <c r="C11933" s="4" t="s">
        <v>12080</v>
      </c>
      <c r="D11933" s="834">
        <v>89.36</v>
      </c>
    </row>
    <row r="11934" spans="1:4" x14ac:dyDescent="0.3">
      <c r="A11934" s="4">
        <v>20181</v>
      </c>
      <c r="B11934" s="833" t="s">
        <v>16202</v>
      </c>
      <c r="C11934" s="4" t="s">
        <v>12080</v>
      </c>
      <c r="D11934" s="834">
        <v>119.65</v>
      </c>
    </row>
    <row r="11935" spans="1:4" x14ac:dyDescent="0.3">
      <c r="A11935" s="4">
        <v>20177</v>
      </c>
      <c r="B11935" s="833" t="s">
        <v>16203</v>
      </c>
      <c r="C11935" s="4" t="s">
        <v>12080</v>
      </c>
      <c r="D11935" s="834">
        <v>29.59</v>
      </c>
    </row>
    <row r="11936" spans="1:4" x14ac:dyDescent="0.3">
      <c r="A11936" s="4">
        <v>7070</v>
      </c>
      <c r="B11936" s="833" t="s">
        <v>16204</v>
      </c>
      <c r="C11936" s="4" t="s">
        <v>12080</v>
      </c>
      <c r="D11936" s="834">
        <v>212.37</v>
      </c>
    </row>
    <row r="11937" spans="1:4" x14ac:dyDescent="0.3">
      <c r="A11937" s="4">
        <v>40945</v>
      </c>
      <c r="B11937" s="833" t="s">
        <v>16205</v>
      </c>
      <c r="C11937" s="4" t="s">
        <v>12226</v>
      </c>
      <c r="D11937" s="834">
        <v>17.23</v>
      </c>
    </row>
    <row r="11938" spans="1:4" x14ac:dyDescent="0.3">
      <c r="A11938" s="4">
        <v>40946</v>
      </c>
      <c r="B11938" s="833" t="s">
        <v>16206</v>
      </c>
      <c r="C11938" s="4" t="s">
        <v>12228</v>
      </c>
      <c r="D11938" s="834">
        <v>3071.04</v>
      </c>
    </row>
    <row r="11939" spans="1:4" x14ac:dyDescent="0.3">
      <c r="A11939" s="4">
        <v>7153</v>
      </c>
      <c r="B11939" s="833" t="s">
        <v>16207</v>
      </c>
      <c r="C11939" s="4" t="s">
        <v>12226</v>
      </c>
      <c r="D11939" s="834">
        <v>50.93</v>
      </c>
    </row>
    <row r="11940" spans="1:4" x14ac:dyDescent="0.3">
      <c r="A11940" s="4">
        <v>41089</v>
      </c>
      <c r="B11940" s="833" t="s">
        <v>16208</v>
      </c>
      <c r="C11940" s="4" t="s">
        <v>12228</v>
      </c>
      <c r="D11940" s="834">
        <v>9069.9500000000007</v>
      </c>
    </row>
    <row r="11941" spans="1:4" x14ac:dyDescent="0.3">
      <c r="A11941" s="4">
        <v>40943</v>
      </c>
      <c r="B11941" s="833" t="s">
        <v>16209</v>
      </c>
      <c r="C11941" s="4" t="s">
        <v>12226</v>
      </c>
      <c r="D11941" s="834">
        <v>49.13</v>
      </c>
    </row>
    <row r="11942" spans="1:4" x14ac:dyDescent="0.3">
      <c r="A11942" s="4">
        <v>40944</v>
      </c>
      <c r="B11942" s="833" t="s">
        <v>16210</v>
      </c>
      <c r="C11942" s="4" t="s">
        <v>12228</v>
      </c>
      <c r="D11942" s="834">
        <v>8746.7000000000007</v>
      </c>
    </row>
    <row r="11943" spans="1:4" x14ac:dyDescent="0.3">
      <c r="A11943" s="4">
        <v>6175</v>
      </c>
      <c r="B11943" s="833" t="s">
        <v>16211</v>
      </c>
      <c r="C11943" s="4" t="s">
        <v>12226</v>
      </c>
      <c r="D11943" s="834">
        <v>31.45</v>
      </c>
    </row>
    <row r="11944" spans="1:4" x14ac:dyDescent="0.3">
      <c r="A11944" s="4">
        <v>41092</v>
      </c>
      <c r="B11944" s="833" t="s">
        <v>16212</v>
      </c>
      <c r="C11944" s="4" t="s">
        <v>12228</v>
      </c>
      <c r="D11944" s="834">
        <v>5603.43</v>
      </c>
    </row>
    <row r="11945" spans="1:4" x14ac:dyDescent="0.3">
      <c r="A11945" s="4">
        <v>37712</v>
      </c>
      <c r="B11945" s="833" t="s">
        <v>16213</v>
      </c>
      <c r="C11945" s="4" t="s">
        <v>12481</v>
      </c>
      <c r="D11945" s="834">
        <v>59.2</v>
      </c>
    </row>
    <row r="11946" spans="1:4" x14ac:dyDescent="0.3">
      <c r="A11946" s="4">
        <v>34558</v>
      </c>
      <c r="B11946" s="833" t="s">
        <v>16214</v>
      </c>
      <c r="C11946" s="4" t="s">
        <v>1803</v>
      </c>
      <c r="D11946" s="834">
        <v>3.06</v>
      </c>
    </row>
    <row r="11947" spans="1:4" x14ac:dyDescent="0.3">
      <c r="A11947" s="4">
        <v>34547</v>
      </c>
      <c r="B11947" s="833" t="s">
        <v>16215</v>
      </c>
      <c r="C11947" s="4" t="s">
        <v>1803</v>
      </c>
      <c r="D11947" s="834">
        <v>3.76</v>
      </c>
    </row>
    <row r="11948" spans="1:4" x14ac:dyDescent="0.3">
      <c r="A11948" s="4">
        <v>34548</v>
      </c>
      <c r="B11948" s="833" t="s">
        <v>16216</v>
      </c>
      <c r="C11948" s="4" t="s">
        <v>1803</v>
      </c>
      <c r="D11948" s="834">
        <v>6.17</v>
      </c>
    </row>
    <row r="11949" spans="1:4" x14ac:dyDescent="0.3">
      <c r="A11949" s="4">
        <v>34550</v>
      </c>
      <c r="B11949" s="833" t="s">
        <v>16217</v>
      </c>
      <c r="C11949" s="4" t="s">
        <v>1803</v>
      </c>
      <c r="D11949" s="834">
        <v>1.63</v>
      </c>
    </row>
    <row r="11950" spans="1:4" x14ac:dyDescent="0.3">
      <c r="A11950" s="4">
        <v>34557</v>
      </c>
      <c r="B11950" s="833" t="s">
        <v>16218</v>
      </c>
      <c r="C11950" s="4" t="s">
        <v>1803</v>
      </c>
      <c r="D11950" s="834">
        <v>2.38</v>
      </c>
    </row>
    <row r="11951" spans="1:4" x14ac:dyDescent="0.3">
      <c r="A11951" s="4">
        <v>37411</v>
      </c>
      <c r="B11951" s="833" t="s">
        <v>16219</v>
      </c>
      <c r="C11951" s="4" t="s">
        <v>12481</v>
      </c>
      <c r="D11951" s="834">
        <v>17.43</v>
      </c>
    </row>
    <row r="11952" spans="1:4" x14ac:dyDescent="0.3">
      <c r="A11952" s="4">
        <v>39508</v>
      </c>
      <c r="B11952" s="833" t="s">
        <v>16220</v>
      </c>
      <c r="C11952" s="4" t="s">
        <v>12481</v>
      </c>
      <c r="D11952" s="834">
        <v>9.7899999999999991</v>
      </c>
    </row>
    <row r="11953" spans="1:4" x14ac:dyDescent="0.3">
      <c r="A11953" s="4">
        <v>39507</v>
      </c>
      <c r="B11953" s="833" t="s">
        <v>16221</v>
      </c>
      <c r="C11953" s="4" t="s">
        <v>12481</v>
      </c>
      <c r="D11953" s="834">
        <v>14.6</v>
      </c>
    </row>
    <row r="11954" spans="1:4" x14ac:dyDescent="0.3">
      <c r="A11954" s="4">
        <v>7155</v>
      </c>
      <c r="B11954" s="833" t="s">
        <v>16222</v>
      </c>
      <c r="C11954" s="4" t="s">
        <v>12481</v>
      </c>
      <c r="D11954" s="834">
        <v>18.75</v>
      </c>
    </row>
    <row r="11955" spans="1:4" x14ac:dyDescent="0.3">
      <c r="A11955" s="4">
        <v>42406</v>
      </c>
      <c r="B11955" s="833" t="s">
        <v>16223</v>
      </c>
      <c r="C11955" s="4" t="s">
        <v>12481</v>
      </c>
      <c r="D11955" s="834">
        <v>21.5</v>
      </c>
    </row>
    <row r="11956" spans="1:4" x14ac:dyDescent="0.3">
      <c r="A11956" s="4">
        <v>7156</v>
      </c>
      <c r="B11956" s="833" t="s">
        <v>16224</v>
      </c>
      <c r="C11956" s="4" t="s">
        <v>12481</v>
      </c>
      <c r="D11956" s="834">
        <v>26.9</v>
      </c>
    </row>
    <row r="11957" spans="1:4" x14ac:dyDescent="0.3">
      <c r="A11957" s="4">
        <v>43127</v>
      </c>
      <c r="B11957" s="833" t="s">
        <v>16225</v>
      </c>
      <c r="C11957" s="4" t="s">
        <v>12481</v>
      </c>
      <c r="D11957" s="834">
        <v>38.5</v>
      </c>
    </row>
    <row r="11958" spans="1:4" x14ac:dyDescent="0.3">
      <c r="A11958" s="4">
        <v>10917</v>
      </c>
      <c r="B11958" s="833" t="s">
        <v>16226</v>
      </c>
      <c r="C11958" s="4" t="s">
        <v>12481</v>
      </c>
      <c r="D11958" s="834">
        <v>8.1199999999999992</v>
      </c>
    </row>
    <row r="11959" spans="1:4" x14ac:dyDescent="0.3">
      <c r="A11959" s="4">
        <v>21141</v>
      </c>
      <c r="B11959" s="833" t="s">
        <v>16227</v>
      </c>
      <c r="C11959" s="4" t="s">
        <v>12481</v>
      </c>
      <c r="D11959" s="834">
        <v>12.58</v>
      </c>
    </row>
    <row r="11960" spans="1:4" x14ac:dyDescent="0.3">
      <c r="A11960" s="4">
        <v>39509</v>
      </c>
      <c r="B11960" s="833" t="s">
        <v>16228</v>
      </c>
      <c r="C11960" s="4" t="s">
        <v>12481</v>
      </c>
      <c r="D11960" s="834">
        <v>12.1</v>
      </c>
    </row>
    <row r="11961" spans="1:4" x14ac:dyDescent="0.3">
      <c r="A11961" s="4">
        <v>44529</v>
      </c>
      <c r="B11961" s="833" t="s">
        <v>16229</v>
      </c>
      <c r="C11961" s="4" t="s">
        <v>12481</v>
      </c>
      <c r="D11961" s="834">
        <v>17.96</v>
      </c>
    </row>
    <row r="11962" spans="1:4" x14ac:dyDescent="0.3">
      <c r="A11962" s="4">
        <v>7167</v>
      </c>
      <c r="B11962" s="833" t="s">
        <v>16230</v>
      </c>
      <c r="C11962" s="4" t="s">
        <v>12481</v>
      </c>
      <c r="D11962" s="834">
        <v>23.04</v>
      </c>
    </row>
    <row r="11963" spans="1:4" x14ac:dyDescent="0.3">
      <c r="A11963" s="4">
        <v>10928</v>
      </c>
      <c r="B11963" s="833" t="s">
        <v>16231</v>
      </c>
      <c r="C11963" s="4" t="s">
        <v>12481</v>
      </c>
      <c r="D11963" s="834">
        <v>13.24</v>
      </c>
    </row>
    <row r="11964" spans="1:4" x14ac:dyDescent="0.3">
      <c r="A11964" s="4">
        <v>10933</v>
      </c>
      <c r="B11964" s="833" t="s">
        <v>16232</v>
      </c>
      <c r="C11964" s="4" t="s">
        <v>12481</v>
      </c>
      <c r="D11964" s="834">
        <v>19.97</v>
      </c>
    </row>
    <row r="11965" spans="1:4" x14ac:dyDescent="0.3">
      <c r="A11965" s="4">
        <v>7158</v>
      </c>
      <c r="B11965" s="833" t="s">
        <v>16233</v>
      </c>
      <c r="C11965" s="4" t="s">
        <v>12481</v>
      </c>
      <c r="D11965" s="834">
        <v>33.869999999999997</v>
      </c>
    </row>
    <row r="11966" spans="1:4" x14ac:dyDescent="0.3">
      <c r="A11966" s="4">
        <v>10927</v>
      </c>
      <c r="B11966" s="833" t="s">
        <v>16234</v>
      </c>
      <c r="C11966" s="4" t="s">
        <v>12481</v>
      </c>
      <c r="D11966" s="834">
        <v>21.66</v>
      </c>
    </row>
    <row r="11967" spans="1:4" x14ac:dyDescent="0.3">
      <c r="A11967" s="4">
        <v>7162</v>
      </c>
      <c r="B11967" s="833" t="s">
        <v>16235</v>
      </c>
      <c r="C11967" s="4" t="s">
        <v>12481</v>
      </c>
      <c r="D11967" s="834">
        <v>53</v>
      </c>
    </row>
    <row r="11968" spans="1:4" x14ac:dyDescent="0.3">
      <c r="A11968" s="4">
        <v>10932</v>
      </c>
      <c r="B11968" s="833" t="s">
        <v>16236</v>
      </c>
      <c r="C11968" s="4" t="s">
        <v>12481</v>
      </c>
      <c r="D11968" s="834">
        <v>92.19</v>
      </c>
    </row>
    <row r="11969" spans="1:4" x14ac:dyDescent="0.3">
      <c r="A11969" s="4">
        <v>10937</v>
      </c>
      <c r="B11969" s="833" t="s">
        <v>16237</v>
      </c>
      <c r="C11969" s="4" t="s">
        <v>12481</v>
      </c>
      <c r="D11969" s="834">
        <v>23.69</v>
      </c>
    </row>
    <row r="11970" spans="1:4" x14ac:dyDescent="0.3">
      <c r="A11970" s="4">
        <v>10935</v>
      </c>
      <c r="B11970" s="833" t="s">
        <v>16238</v>
      </c>
      <c r="C11970" s="4" t="s">
        <v>12481</v>
      </c>
      <c r="D11970" s="834">
        <v>41.09</v>
      </c>
    </row>
    <row r="11971" spans="1:4" x14ac:dyDescent="0.3">
      <c r="A11971" s="4">
        <v>10931</v>
      </c>
      <c r="B11971" s="833" t="s">
        <v>16239</v>
      </c>
      <c r="C11971" s="4" t="s">
        <v>12481</v>
      </c>
      <c r="D11971" s="834">
        <v>11.56</v>
      </c>
    </row>
    <row r="11972" spans="1:4" x14ac:dyDescent="0.3">
      <c r="A11972" s="4">
        <v>7164</v>
      </c>
      <c r="B11972" s="833" t="s">
        <v>16240</v>
      </c>
      <c r="C11972" s="4" t="s">
        <v>12481</v>
      </c>
      <c r="D11972" s="834">
        <v>38.25</v>
      </c>
    </row>
    <row r="11973" spans="1:4" x14ac:dyDescent="0.3">
      <c r="A11973" s="4">
        <v>36887</v>
      </c>
      <c r="B11973" s="833" t="s">
        <v>16241</v>
      </c>
      <c r="C11973" s="4" t="s">
        <v>12481</v>
      </c>
      <c r="D11973" s="834">
        <v>11.23</v>
      </c>
    </row>
    <row r="11974" spans="1:4" x14ac:dyDescent="0.3">
      <c r="A11974" s="4">
        <v>34630</v>
      </c>
      <c r="B11974" s="833" t="s">
        <v>16242</v>
      </c>
      <c r="C11974" s="4" t="s">
        <v>12080</v>
      </c>
      <c r="D11974" s="834">
        <v>962.18</v>
      </c>
    </row>
    <row r="11975" spans="1:4" x14ac:dyDescent="0.3">
      <c r="A11975" s="4">
        <v>7161</v>
      </c>
      <c r="B11975" s="833" t="s">
        <v>16243</v>
      </c>
      <c r="C11975" s="4" t="s">
        <v>12481</v>
      </c>
      <c r="D11975" s="834">
        <v>4.76</v>
      </c>
    </row>
    <row r="11976" spans="1:4" x14ac:dyDescent="0.3">
      <c r="A11976" s="4">
        <v>7170</v>
      </c>
      <c r="B11976" s="833" t="s">
        <v>16244</v>
      </c>
      <c r="C11976" s="4" t="s">
        <v>12481</v>
      </c>
      <c r="D11976" s="834">
        <v>2.71</v>
      </c>
    </row>
    <row r="11977" spans="1:4" x14ac:dyDescent="0.3">
      <c r="A11977" s="4">
        <v>37524</v>
      </c>
      <c r="B11977" s="833" t="s">
        <v>16245</v>
      </c>
      <c r="C11977" s="4" t="s">
        <v>1803</v>
      </c>
      <c r="D11977" s="834">
        <v>2.48</v>
      </c>
    </row>
    <row r="11978" spans="1:4" x14ac:dyDescent="0.3">
      <c r="A11978" s="4">
        <v>37525</v>
      </c>
      <c r="B11978" s="833" t="s">
        <v>16246</v>
      </c>
      <c r="C11978" s="4" t="s">
        <v>1803</v>
      </c>
      <c r="D11978" s="834">
        <v>3.39</v>
      </c>
    </row>
    <row r="11979" spans="1:4" x14ac:dyDescent="0.3">
      <c r="A11979" s="4">
        <v>36789</v>
      </c>
      <c r="B11979" s="833" t="s">
        <v>16247</v>
      </c>
      <c r="C11979" s="4" t="s">
        <v>12080</v>
      </c>
      <c r="D11979" s="834">
        <v>2.36</v>
      </c>
    </row>
    <row r="11980" spans="1:4" x14ac:dyDescent="0.3">
      <c r="A11980" s="4">
        <v>7173</v>
      </c>
      <c r="B11980" s="833" t="s">
        <v>16248</v>
      </c>
      <c r="C11980" s="4" t="s">
        <v>15307</v>
      </c>
      <c r="D11980" s="834">
        <v>1527.26</v>
      </c>
    </row>
    <row r="11981" spans="1:4" x14ac:dyDescent="0.3">
      <c r="A11981" s="4">
        <v>7175</v>
      </c>
      <c r="B11981" s="833" t="s">
        <v>16249</v>
      </c>
      <c r="C11981" s="4" t="s">
        <v>12080</v>
      </c>
      <c r="D11981" s="834">
        <v>1.72</v>
      </c>
    </row>
    <row r="11982" spans="1:4" x14ac:dyDescent="0.3">
      <c r="A11982" s="4">
        <v>40741</v>
      </c>
      <c r="B11982" s="833" t="s">
        <v>16250</v>
      </c>
      <c r="C11982" s="4" t="s">
        <v>12080</v>
      </c>
      <c r="D11982" s="834">
        <v>3.72</v>
      </c>
    </row>
    <row r="11983" spans="1:4" x14ac:dyDescent="0.3">
      <c r="A11983" s="4">
        <v>7184</v>
      </c>
      <c r="B11983" s="833" t="s">
        <v>16251</v>
      </c>
      <c r="C11983" s="4" t="s">
        <v>12481</v>
      </c>
      <c r="D11983" s="834">
        <v>40.98</v>
      </c>
    </row>
    <row r="11984" spans="1:4" x14ac:dyDescent="0.3">
      <c r="A11984" s="4">
        <v>34458</v>
      </c>
      <c r="B11984" s="833" t="s">
        <v>16252</v>
      </c>
      <c r="C11984" s="4" t="s">
        <v>12080</v>
      </c>
      <c r="D11984" s="834">
        <v>127.83</v>
      </c>
    </row>
    <row r="11985" spans="1:4" x14ac:dyDescent="0.3">
      <c r="A11985" s="4">
        <v>34464</v>
      </c>
      <c r="B11985" s="833" t="s">
        <v>16253</v>
      </c>
      <c r="C11985" s="4" t="s">
        <v>12080</v>
      </c>
      <c r="D11985" s="834">
        <v>190.29</v>
      </c>
    </row>
    <row r="11986" spans="1:4" x14ac:dyDescent="0.3">
      <c r="A11986" s="4">
        <v>34468</v>
      </c>
      <c r="B11986" s="833" t="s">
        <v>16254</v>
      </c>
      <c r="C11986" s="4" t="s">
        <v>12080</v>
      </c>
      <c r="D11986" s="834">
        <v>239.9</v>
      </c>
    </row>
    <row r="11987" spans="1:4" x14ac:dyDescent="0.3">
      <c r="A11987" s="4">
        <v>34473</v>
      </c>
      <c r="B11987" s="833" t="s">
        <v>16255</v>
      </c>
      <c r="C11987" s="4" t="s">
        <v>12080</v>
      </c>
      <c r="D11987" s="834">
        <v>145.53</v>
      </c>
    </row>
    <row r="11988" spans="1:4" x14ac:dyDescent="0.3">
      <c r="A11988" s="4">
        <v>34480</v>
      </c>
      <c r="B11988" s="833" t="s">
        <v>16256</v>
      </c>
      <c r="C11988" s="4" t="s">
        <v>12080</v>
      </c>
      <c r="D11988" s="834">
        <v>268.94</v>
      </c>
    </row>
    <row r="11989" spans="1:4" x14ac:dyDescent="0.3">
      <c r="A11989" s="4">
        <v>34486</v>
      </c>
      <c r="B11989" s="833" t="s">
        <v>16257</v>
      </c>
      <c r="C11989" s="4" t="s">
        <v>12080</v>
      </c>
      <c r="D11989" s="834">
        <v>318.42</v>
      </c>
    </row>
    <row r="11990" spans="1:4" x14ac:dyDescent="0.3">
      <c r="A11990" s="4">
        <v>7190</v>
      </c>
      <c r="B11990" s="833" t="s">
        <v>16258</v>
      </c>
      <c r="C11990" s="4" t="s">
        <v>12080</v>
      </c>
      <c r="D11990" s="834">
        <v>10.63</v>
      </c>
    </row>
    <row r="11991" spans="1:4" x14ac:dyDescent="0.3">
      <c r="A11991" s="4">
        <v>34417</v>
      </c>
      <c r="B11991" s="833" t="s">
        <v>16259</v>
      </c>
      <c r="C11991" s="4" t="s">
        <v>12080</v>
      </c>
      <c r="D11991" s="834">
        <v>17.010000000000002</v>
      </c>
    </row>
    <row r="11992" spans="1:4" x14ac:dyDescent="0.3">
      <c r="A11992" s="4">
        <v>7213</v>
      </c>
      <c r="B11992" s="833" t="s">
        <v>16260</v>
      </c>
      <c r="C11992" s="4" t="s">
        <v>12481</v>
      </c>
      <c r="D11992" s="834">
        <v>15.6</v>
      </c>
    </row>
    <row r="11993" spans="1:4" x14ac:dyDescent="0.3">
      <c r="A11993" s="4">
        <v>7195</v>
      </c>
      <c r="B11993" s="833" t="s">
        <v>16261</v>
      </c>
      <c r="C11993" s="4" t="s">
        <v>12080</v>
      </c>
      <c r="D11993" s="834">
        <v>45.81</v>
      </c>
    </row>
    <row r="11994" spans="1:4" x14ac:dyDescent="0.3">
      <c r="A11994" s="4">
        <v>7186</v>
      </c>
      <c r="B11994" s="833" t="s">
        <v>16262</v>
      </c>
      <c r="C11994" s="4" t="s">
        <v>12080</v>
      </c>
      <c r="D11994" s="834">
        <v>49.9</v>
      </c>
    </row>
    <row r="11995" spans="1:4" x14ac:dyDescent="0.3">
      <c r="A11995" s="4">
        <v>7194</v>
      </c>
      <c r="B11995" s="833" t="s">
        <v>16263</v>
      </c>
      <c r="C11995" s="4" t="s">
        <v>12481</v>
      </c>
      <c r="D11995" s="834">
        <v>23.01</v>
      </c>
    </row>
    <row r="11996" spans="1:4" x14ac:dyDescent="0.3">
      <c r="A11996" s="4">
        <v>7197</v>
      </c>
      <c r="B11996" s="833" t="s">
        <v>16264</v>
      </c>
      <c r="C11996" s="4" t="s">
        <v>12080</v>
      </c>
      <c r="D11996" s="834">
        <v>97.1</v>
      </c>
    </row>
    <row r="11997" spans="1:4" x14ac:dyDescent="0.3">
      <c r="A11997" s="4">
        <v>7192</v>
      </c>
      <c r="B11997" s="833" t="s">
        <v>16265</v>
      </c>
      <c r="C11997" s="4" t="s">
        <v>12080</v>
      </c>
      <c r="D11997" s="834">
        <v>87</v>
      </c>
    </row>
    <row r="11998" spans="1:4" x14ac:dyDescent="0.3">
      <c r="A11998" s="4">
        <v>7193</v>
      </c>
      <c r="B11998" s="833" t="s">
        <v>16266</v>
      </c>
      <c r="C11998" s="4" t="s">
        <v>12080</v>
      </c>
      <c r="D11998" s="834">
        <v>97.94</v>
      </c>
    </row>
    <row r="11999" spans="1:4" x14ac:dyDescent="0.3">
      <c r="A11999" s="4">
        <v>7189</v>
      </c>
      <c r="B11999" s="833" t="s">
        <v>16267</v>
      </c>
      <c r="C11999" s="4" t="s">
        <v>12080</v>
      </c>
      <c r="D11999" s="834">
        <v>113.82</v>
      </c>
    </row>
    <row r="12000" spans="1:4" x14ac:dyDescent="0.3">
      <c r="A12000" s="4">
        <v>34402</v>
      </c>
      <c r="B12000" s="833" t="s">
        <v>16268</v>
      </c>
      <c r="C12000" s="4" t="s">
        <v>12080</v>
      </c>
      <c r="D12000" s="834">
        <v>160.69999999999999</v>
      </c>
    </row>
    <row r="12001" spans="1:4" x14ac:dyDescent="0.3">
      <c r="A12001" s="4">
        <v>7245</v>
      </c>
      <c r="B12001" s="833" t="s">
        <v>16269</v>
      </c>
      <c r="C12001" s="4" t="s">
        <v>12080</v>
      </c>
      <c r="D12001" s="834">
        <v>35.97</v>
      </c>
    </row>
    <row r="12002" spans="1:4" x14ac:dyDescent="0.3">
      <c r="A12002" s="4">
        <v>34425</v>
      </c>
      <c r="B12002" s="833" t="s">
        <v>16270</v>
      </c>
      <c r="C12002" s="4" t="s">
        <v>12080</v>
      </c>
      <c r="D12002" s="834">
        <v>103.23</v>
      </c>
    </row>
    <row r="12003" spans="1:4" x14ac:dyDescent="0.3">
      <c r="A12003" s="4">
        <v>7223</v>
      </c>
      <c r="B12003" s="833" t="s">
        <v>16271</v>
      </c>
      <c r="C12003" s="4" t="s">
        <v>12080</v>
      </c>
      <c r="D12003" s="834">
        <v>115.04</v>
      </c>
    </row>
    <row r="12004" spans="1:4" x14ac:dyDescent="0.3">
      <c r="A12004" s="4">
        <v>7234</v>
      </c>
      <c r="B12004" s="833" t="s">
        <v>16272</v>
      </c>
      <c r="C12004" s="4" t="s">
        <v>12080</v>
      </c>
      <c r="D12004" s="834">
        <v>173.59</v>
      </c>
    </row>
    <row r="12005" spans="1:4" x14ac:dyDescent="0.3">
      <c r="A12005" s="4">
        <v>7224</v>
      </c>
      <c r="B12005" s="833" t="s">
        <v>16273</v>
      </c>
      <c r="C12005" s="4" t="s">
        <v>12080</v>
      </c>
      <c r="D12005" s="834">
        <v>211.48</v>
      </c>
    </row>
    <row r="12006" spans="1:4" x14ac:dyDescent="0.3">
      <c r="A12006" s="4">
        <v>7225</v>
      </c>
      <c r="B12006" s="833" t="s">
        <v>16274</v>
      </c>
      <c r="C12006" s="4" t="s">
        <v>12080</v>
      </c>
      <c r="D12006" s="834">
        <v>226.77</v>
      </c>
    </row>
    <row r="12007" spans="1:4" x14ac:dyDescent="0.3">
      <c r="A12007" s="4">
        <v>7226</v>
      </c>
      <c r="B12007" s="833" t="s">
        <v>16275</v>
      </c>
      <c r="C12007" s="4" t="s">
        <v>12080</v>
      </c>
      <c r="D12007" s="834">
        <v>241.99</v>
      </c>
    </row>
    <row r="12008" spans="1:4" x14ac:dyDescent="0.3">
      <c r="A12008" s="4">
        <v>7227</v>
      </c>
      <c r="B12008" s="833" t="s">
        <v>16276</v>
      </c>
      <c r="C12008" s="4" t="s">
        <v>12080</v>
      </c>
      <c r="D12008" s="834">
        <v>275.45</v>
      </c>
    </row>
    <row r="12009" spans="1:4" x14ac:dyDescent="0.3">
      <c r="A12009" s="4">
        <v>7212</v>
      </c>
      <c r="B12009" s="833" t="s">
        <v>16277</v>
      </c>
      <c r="C12009" s="4" t="s">
        <v>12080</v>
      </c>
      <c r="D12009" s="834">
        <v>302.64999999999998</v>
      </c>
    </row>
    <row r="12010" spans="1:4" x14ac:dyDescent="0.3">
      <c r="A12010" s="4">
        <v>7229</v>
      </c>
      <c r="B12010" s="833" t="s">
        <v>16278</v>
      </c>
      <c r="C12010" s="4" t="s">
        <v>12080</v>
      </c>
      <c r="D12010" s="834">
        <v>191.84</v>
      </c>
    </row>
    <row r="12011" spans="1:4" x14ac:dyDescent="0.3">
      <c r="A12011" s="4">
        <v>7230</v>
      </c>
      <c r="B12011" s="833" t="s">
        <v>16279</v>
      </c>
      <c r="C12011" s="4" t="s">
        <v>12080</v>
      </c>
      <c r="D12011" s="834">
        <v>319.38</v>
      </c>
    </row>
    <row r="12012" spans="1:4" x14ac:dyDescent="0.3">
      <c r="A12012" s="4">
        <v>7231</v>
      </c>
      <c r="B12012" s="833" t="s">
        <v>16280</v>
      </c>
      <c r="C12012" s="4" t="s">
        <v>12080</v>
      </c>
      <c r="D12012" s="834">
        <v>453.07</v>
      </c>
    </row>
    <row r="12013" spans="1:4" x14ac:dyDescent="0.3">
      <c r="A12013" s="4">
        <v>7220</v>
      </c>
      <c r="B12013" s="833" t="s">
        <v>16281</v>
      </c>
      <c r="C12013" s="4" t="s">
        <v>12080</v>
      </c>
      <c r="D12013" s="834">
        <v>559.26</v>
      </c>
    </row>
    <row r="12014" spans="1:4" x14ac:dyDescent="0.3">
      <c r="A12014" s="4">
        <v>34447</v>
      </c>
      <c r="B12014" s="833" t="s">
        <v>16282</v>
      </c>
      <c r="C12014" s="4" t="s">
        <v>12080</v>
      </c>
      <c r="D12014" s="834">
        <v>625.34</v>
      </c>
    </row>
    <row r="12015" spans="1:4" x14ac:dyDescent="0.3">
      <c r="A12015" s="4">
        <v>7233</v>
      </c>
      <c r="B12015" s="833" t="s">
        <v>16283</v>
      </c>
      <c r="C12015" s="4" t="s">
        <v>12080</v>
      </c>
      <c r="D12015" s="834">
        <v>717.36</v>
      </c>
    </row>
    <row r="12016" spans="1:4" x14ac:dyDescent="0.3">
      <c r="A12016" s="4">
        <v>40740</v>
      </c>
      <c r="B12016" s="833" t="s">
        <v>16284</v>
      </c>
      <c r="C12016" s="4" t="s">
        <v>12481</v>
      </c>
      <c r="D12016" s="834">
        <v>167.53</v>
      </c>
    </row>
    <row r="12017" spans="1:4" x14ac:dyDescent="0.3">
      <c r="A12017" s="4">
        <v>25007</v>
      </c>
      <c r="B12017" s="833" t="s">
        <v>16285</v>
      </c>
      <c r="C12017" s="4" t="s">
        <v>12481</v>
      </c>
      <c r="D12017" s="834">
        <v>47.94</v>
      </c>
    </row>
    <row r="12018" spans="1:4" x14ac:dyDescent="0.3">
      <c r="A12018" s="4">
        <v>43071</v>
      </c>
      <c r="B12018" s="833" t="s">
        <v>16286</v>
      </c>
      <c r="C12018" s="4" t="s">
        <v>12481</v>
      </c>
      <c r="D12018" s="834">
        <v>188.65</v>
      </c>
    </row>
    <row r="12019" spans="1:4" x14ac:dyDescent="0.3">
      <c r="A12019" s="4">
        <v>39520</v>
      </c>
      <c r="B12019" s="833" t="s">
        <v>16287</v>
      </c>
      <c r="C12019" s="4" t="s">
        <v>12481</v>
      </c>
      <c r="D12019" s="834">
        <v>153.9</v>
      </c>
    </row>
    <row r="12020" spans="1:4" x14ac:dyDescent="0.3">
      <c r="A12020" s="4">
        <v>39521</v>
      </c>
      <c r="B12020" s="833" t="s">
        <v>16288</v>
      </c>
      <c r="C12020" s="4" t="s">
        <v>12481</v>
      </c>
      <c r="D12020" s="834">
        <v>158.93</v>
      </c>
    </row>
    <row r="12021" spans="1:4" x14ac:dyDescent="0.3">
      <c r="A12021" s="4">
        <v>39522</v>
      </c>
      <c r="B12021" s="833" t="s">
        <v>16289</v>
      </c>
      <c r="C12021" s="4" t="s">
        <v>12481</v>
      </c>
      <c r="D12021" s="834">
        <v>164.11</v>
      </c>
    </row>
    <row r="12022" spans="1:4" x14ac:dyDescent="0.3">
      <c r="A12022" s="4">
        <v>7243</v>
      </c>
      <c r="B12022" s="833" t="s">
        <v>16290</v>
      </c>
      <c r="C12022" s="4" t="s">
        <v>12481</v>
      </c>
      <c r="D12022" s="834">
        <v>50.09</v>
      </c>
    </row>
    <row r="12023" spans="1:4" x14ac:dyDescent="0.3">
      <c r="A12023" s="4">
        <v>11067</v>
      </c>
      <c r="B12023" s="833" t="s">
        <v>16291</v>
      </c>
      <c r="C12023" s="4" t="s">
        <v>12080</v>
      </c>
      <c r="D12023" s="834">
        <v>417.81</v>
      </c>
    </row>
    <row r="12024" spans="1:4" x14ac:dyDescent="0.3">
      <c r="A12024" s="4">
        <v>11068</v>
      </c>
      <c r="B12024" s="833" t="s">
        <v>16292</v>
      </c>
      <c r="C12024" s="4" t="s">
        <v>12080</v>
      </c>
      <c r="D12024" s="834">
        <v>527.84</v>
      </c>
    </row>
    <row r="12025" spans="1:4" x14ac:dyDescent="0.3">
      <c r="A12025" s="4">
        <v>7246</v>
      </c>
      <c r="B12025" s="833" t="s">
        <v>16293</v>
      </c>
      <c r="C12025" s="4" t="s">
        <v>12080</v>
      </c>
      <c r="D12025" s="834">
        <v>39.729999999999997</v>
      </c>
    </row>
    <row r="12026" spans="1:4" x14ac:dyDescent="0.3">
      <c r="A12026" s="4">
        <v>12869</v>
      </c>
      <c r="B12026" s="833" t="s">
        <v>16294</v>
      </c>
      <c r="C12026" s="4" t="s">
        <v>12226</v>
      </c>
      <c r="D12026" s="834">
        <v>21.56</v>
      </c>
    </row>
    <row r="12027" spans="1:4" x14ac:dyDescent="0.3">
      <c r="A12027" s="4">
        <v>41097</v>
      </c>
      <c r="B12027" s="833" t="s">
        <v>16295</v>
      </c>
      <c r="C12027" s="4" t="s">
        <v>12228</v>
      </c>
      <c r="D12027" s="834">
        <v>3840.57</v>
      </c>
    </row>
    <row r="12028" spans="1:4" x14ac:dyDescent="0.3">
      <c r="A12028" s="4">
        <v>1574</v>
      </c>
      <c r="B12028" s="833" t="s">
        <v>16296</v>
      </c>
      <c r="C12028" s="4" t="s">
        <v>12080</v>
      </c>
      <c r="D12028" s="834">
        <v>1.75</v>
      </c>
    </row>
    <row r="12029" spans="1:4" x14ac:dyDescent="0.3">
      <c r="A12029" s="4">
        <v>1581</v>
      </c>
      <c r="B12029" s="833" t="s">
        <v>16297</v>
      </c>
      <c r="C12029" s="4" t="s">
        <v>12080</v>
      </c>
      <c r="D12029" s="834">
        <v>12.14</v>
      </c>
    </row>
    <row r="12030" spans="1:4" x14ac:dyDescent="0.3">
      <c r="A12030" s="4">
        <v>1575</v>
      </c>
      <c r="B12030" s="833" t="s">
        <v>16298</v>
      </c>
      <c r="C12030" s="4" t="s">
        <v>12080</v>
      </c>
      <c r="D12030" s="834">
        <v>2.08</v>
      </c>
    </row>
    <row r="12031" spans="1:4" x14ac:dyDescent="0.3">
      <c r="A12031" s="4">
        <v>1570</v>
      </c>
      <c r="B12031" s="833" t="s">
        <v>16299</v>
      </c>
      <c r="C12031" s="4" t="s">
        <v>12080</v>
      </c>
      <c r="D12031" s="834">
        <v>1.04</v>
      </c>
    </row>
    <row r="12032" spans="1:4" x14ac:dyDescent="0.3">
      <c r="A12032" s="4">
        <v>1576</v>
      </c>
      <c r="B12032" s="833" t="s">
        <v>16300</v>
      </c>
      <c r="C12032" s="4" t="s">
        <v>12080</v>
      </c>
      <c r="D12032" s="834">
        <v>2.88</v>
      </c>
    </row>
    <row r="12033" spans="1:4" x14ac:dyDescent="0.3">
      <c r="A12033" s="4">
        <v>1577</v>
      </c>
      <c r="B12033" s="833" t="s">
        <v>16301</v>
      </c>
      <c r="C12033" s="4" t="s">
        <v>12080</v>
      </c>
      <c r="D12033" s="834">
        <v>3.24</v>
      </c>
    </row>
    <row r="12034" spans="1:4" x14ac:dyDescent="0.3">
      <c r="A12034" s="4">
        <v>1571</v>
      </c>
      <c r="B12034" s="833" t="s">
        <v>16302</v>
      </c>
      <c r="C12034" s="4" t="s">
        <v>12080</v>
      </c>
      <c r="D12034" s="834">
        <v>1.36</v>
      </c>
    </row>
    <row r="12035" spans="1:4" x14ac:dyDescent="0.3">
      <c r="A12035" s="4">
        <v>1578</v>
      </c>
      <c r="B12035" s="833" t="s">
        <v>16303</v>
      </c>
      <c r="C12035" s="4" t="s">
        <v>12080</v>
      </c>
      <c r="D12035" s="834">
        <v>5.62</v>
      </c>
    </row>
    <row r="12036" spans="1:4" x14ac:dyDescent="0.3">
      <c r="A12036" s="4">
        <v>1573</v>
      </c>
      <c r="B12036" s="833" t="s">
        <v>16304</v>
      </c>
      <c r="C12036" s="4" t="s">
        <v>12080</v>
      </c>
      <c r="D12036" s="834">
        <v>1.62</v>
      </c>
    </row>
    <row r="12037" spans="1:4" x14ac:dyDescent="0.3">
      <c r="A12037" s="4">
        <v>1579</v>
      </c>
      <c r="B12037" s="833" t="s">
        <v>16305</v>
      </c>
      <c r="C12037" s="4" t="s">
        <v>12080</v>
      </c>
      <c r="D12037" s="834">
        <v>7.01</v>
      </c>
    </row>
    <row r="12038" spans="1:4" x14ac:dyDescent="0.3">
      <c r="A12038" s="4">
        <v>1580</v>
      </c>
      <c r="B12038" s="833" t="s">
        <v>16306</v>
      </c>
      <c r="C12038" s="4" t="s">
        <v>12080</v>
      </c>
      <c r="D12038" s="834">
        <v>8.64</v>
      </c>
    </row>
    <row r="12039" spans="1:4" x14ac:dyDescent="0.3">
      <c r="A12039" s="4">
        <v>39321</v>
      </c>
      <c r="B12039" s="833" t="s">
        <v>16307</v>
      </c>
      <c r="C12039" s="4" t="s">
        <v>12080</v>
      </c>
      <c r="D12039" s="834">
        <v>22.63</v>
      </c>
    </row>
    <row r="12040" spans="1:4" x14ac:dyDescent="0.3">
      <c r="A12040" s="4">
        <v>39319</v>
      </c>
      <c r="B12040" s="833" t="s">
        <v>16308</v>
      </c>
      <c r="C12040" s="4" t="s">
        <v>12080</v>
      </c>
      <c r="D12040" s="834">
        <v>9.42</v>
      </c>
    </row>
    <row r="12041" spans="1:4" x14ac:dyDescent="0.3">
      <c r="A12041" s="4">
        <v>39320</v>
      </c>
      <c r="B12041" s="833" t="s">
        <v>16309</v>
      </c>
      <c r="C12041" s="4" t="s">
        <v>12080</v>
      </c>
      <c r="D12041" s="834">
        <v>18.11</v>
      </c>
    </row>
    <row r="12042" spans="1:4" x14ac:dyDescent="0.3">
      <c r="A12042" s="4">
        <v>1591</v>
      </c>
      <c r="B12042" s="833" t="s">
        <v>16310</v>
      </c>
      <c r="C12042" s="4" t="s">
        <v>12080</v>
      </c>
      <c r="D12042" s="834">
        <v>26.78</v>
      </c>
    </row>
    <row r="12043" spans="1:4" x14ac:dyDescent="0.3">
      <c r="A12043" s="4">
        <v>1547</v>
      </c>
      <c r="B12043" s="833" t="s">
        <v>16311</v>
      </c>
      <c r="C12043" s="4" t="s">
        <v>12080</v>
      </c>
      <c r="D12043" s="834">
        <v>140.34</v>
      </c>
    </row>
    <row r="12044" spans="1:4" x14ac:dyDescent="0.3">
      <c r="A12044" s="4">
        <v>38196</v>
      </c>
      <c r="B12044" s="833" t="s">
        <v>16312</v>
      </c>
      <c r="C12044" s="4" t="s">
        <v>12080</v>
      </c>
      <c r="D12044" s="834">
        <v>27.33</v>
      </c>
    </row>
    <row r="12045" spans="1:4" x14ac:dyDescent="0.3">
      <c r="A12045" s="4">
        <v>1543</v>
      </c>
      <c r="B12045" s="833" t="s">
        <v>16313</v>
      </c>
      <c r="C12045" s="4" t="s">
        <v>12080</v>
      </c>
      <c r="D12045" s="834">
        <v>29.05</v>
      </c>
    </row>
    <row r="12046" spans="1:4" x14ac:dyDescent="0.3">
      <c r="A12046" s="4">
        <v>1585</v>
      </c>
      <c r="B12046" s="833" t="s">
        <v>16314</v>
      </c>
      <c r="C12046" s="4" t="s">
        <v>12080</v>
      </c>
      <c r="D12046" s="834">
        <v>5.62</v>
      </c>
    </row>
    <row r="12047" spans="1:4" x14ac:dyDescent="0.3">
      <c r="A12047" s="4">
        <v>1593</v>
      </c>
      <c r="B12047" s="833" t="s">
        <v>16315</v>
      </c>
      <c r="C12047" s="4" t="s">
        <v>12080</v>
      </c>
      <c r="D12047" s="834">
        <v>29.87</v>
      </c>
    </row>
    <row r="12048" spans="1:4" x14ac:dyDescent="0.3">
      <c r="A12048" s="4">
        <v>11838</v>
      </c>
      <c r="B12048" s="833" t="s">
        <v>16316</v>
      </c>
      <c r="C12048" s="4" t="s">
        <v>12080</v>
      </c>
      <c r="D12048" s="834">
        <v>39.409999999999997</v>
      </c>
    </row>
    <row r="12049" spans="1:4" x14ac:dyDescent="0.3">
      <c r="A12049" s="4">
        <v>1594</v>
      </c>
      <c r="B12049" s="833" t="s">
        <v>16317</v>
      </c>
      <c r="C12049" s="4" t="s">
        <v>12080</v>
      </c>
      <c r="D12049" s="834">
        <v>39.85</v>
      </c>
    </row>
    <row r="12050" spans="1:4" x14ac:dyDescent="0.3">
      <c r="A12050" s="4">
        <v>1586</v>
      </c>
      <c r="B12050" s="833" t="s">
        <v>16318</v>
      </c>
      <c r="C12050" s="4" t="s">
        <v>12080</v>
      </c>
      <c r="D12050" s="834">
        <v>7.12</v>
      </c>
    </row>
    <row r="12051" spans="1:4" x14ac:dyDescent="0.3">
      <c r="A12051" s="4">
        <v>11839</v>
      </c>
      <c r="B12051" s="833" t="s">
        <v>16319</v>
      </c>
      <c r="C12051" s="4" t="s">
        <v>12080</v>
      </c>
      <c r="D12051" s="834">
        <v>57.35</v>
      </c>
    </row>
    <row r="12052" spans="1:4" x14ac:dyDescent="0.3">
      <c r="A12052" s="4">
        <v>1587</v>
      </c>
      <c r="B12052" s="833" t="s">
        <v>16320</v>
      </c>
      <c r="C12052" s="4" t="s">
        <v>12080</v>
      </c>
      <c r="D12052" s="834">
        <v>7.25</v>
      </c>
    </row>
    <row r="12053" spans="1:4" x14ac:dyDescent="0.3">
      <c r="A12053" s="4">
        <v>1545</v>
      </c>
      <c r="B12053" s="833" t="s">
        <v>16321</v>
      </c>
      <c r="C12053" s="4" t="s">
        <v>12080</v>
      </c>
      <c r="D12053" s="834">
        <v>68.819999999999993</v>
      </c>
    </row>
    <row r="12054" spans="1:4" x14ac:dyDescent="0.3">
      <c r="A12054" s="4">
        <v>1588</v>
      </c>
      <c r="B12054" s="833" t="s">
        <v>16322</v>
      </c>
      <c r="C12054" s="4" t="s">
        <v>12080</v>
      </c>
      <c r="D12054" s="834">
        <v>9.94</v>
      </c>
    </row>
    <row r="12055" spans="1:4" x14ac:dyDescent="0.3">
      <c r="A12055" s="4">
        <v>1535</v>
      </c>
      <c r="B12055" s="833" t="s">
        <v>16323</v>
      </c>
      <c r="C12055" s="4" t="s">
        <v>12080</v>
      </c>
      <c r="D12055" s="834">
        <v>5.73</v>
      </c>
    </row>
    <row r="12056" spans="1:4" x14ac:dyDescent="0.3">
      <c r="A12056" s="4">
        <v>1589</v>
      </c>
      <c r="B12056" s="833" t="s">
        <v>16324</v>
      </c>
      <c r="C12056" s="4" t="s">
        <v>12080</v>
      </c>
      <c r="D12056" s="834">
        <v>10.26</v>
      </c>
    </row>
    <row r="12057" spans="1:4" x14ac:dyDescent="0.3">
      <c r="A12057" s="4">
        <v>1546</v>
      </c>
      <c r="B12057" s="833" t="s">
        <v>16325</v>
      </c>
      <c r="C12057" s="4" t="s">
        <v>12080</v>
      </c>
      <c r="D12057" s="834">
        <v>116.13</v>
      </c>
    </row>
    <row r="12058" spans="1:4" x14ac:dyDescent="0.3">
      <c r="A12058" s="4">
        <v>1590</v>
      </c>
      <c r="B12058" s="833" t="s">
        <v>16326</v>
      </c>
      <c r="C12058" s="4" t="s">
        <v>12080</v>
      </c>
      <c r="D12058" s="834">
        <v>18.059999999999999</v>
      </c>
    </row>
    <row r="12059" spans="1:4" x14ac:dyDescent="0.3">
      <c r="A12059" s="4">
        <v>1542</v>
      </c>
      <c r="B12059" s="833" t="s">
        <v>16327</v>
      </c>
      <c r="C12059" s="4" t="s">
        <v>12080</v>
      </c>
      <c r="D12059" s="834">
        <v>23.93</v>
      </c>
    </row>
    <row r="12060" spans="1:4" x14ac:dyDescent="0.3">
      <c r="A12060" s="4">
        <v>38415</v>
      </c>
      <c r="B12060" s="833" t="s">
        <v>16328</v>
      </c>
      <c r="C12060" s="4" t="s">
        <v>12080</v>
      </c>
      <c r="D12060" s="834">
        <v>1115.82</v>
      </c>
    </row>
    <row r="12061" spans="1:4" x14ac:dyDescent="0.3">
      <c r="A12061" s="4">
        <v>38414</v>
      </c>
      <c r="B12061" s="833" t="s">
        <v>16329</v>
      </c>
      <c r="C12061" s="4" t="s">
        <v>12080</v>
      </c>
      <c r="D12061" s="834">
        <v>1566.06</v>
      </c>
    </row>
    <row r="12062" spans="1:4" x14ac:dyDescent="0.3">
      <c r="A12062" s="4">
        <v>38128</v>
      </c>
      <c r="B12062" s="833" t="s">
        <v>16330</v>
      </c>
      <c r="C12062" s="4" t="s">
        <v>12126</v>
      </c>
      <c r="D12062" s="834">
        <v>0.75</v>
      </c>
    </row>
    <row r="12063" spans="1:4" x14ac:dyDescent="0.3">
      <c r="A12063" s="4">
        <v>7253</v>
      </c>
      <c r="B12063" s="833" t="s">
        <v>16331</v>
      </c>
      <c r="C12063" s="4" t="s">
        <v>12224</v>
      </c>
      <c r="D12063" s="834">
        <v>160.71</v>
      </c>
    </row>
    <row r="12064" spans="1:4" x14ac:dyDescent="0.3">
      <c r="A12064" s="4">
        <v>4806</v>
      </c>
      <c r="B12064" s="833" t="s">
        <v>16332</v>
      </c>
      <c r="C12064" s="4" t="s">
        <v>1803</v>
      </c>
      <c r="D12064" s="834">
        <v>18.36</v>
      </c>
    </row>
    <row r="12065" spans="1:4" x14ac:dyDescent="0.3">
      <c r="A12065" s="4">
        <v>34401</v>
      </c>
      <c r="B12065" s="833" t="s">
        <v>16333</v>
      </c>
      <c r="C12065" s="4" t="s">
        <v>12080</v>
      </c>
      <c r="D12065" s="834">
        <v>1.76</v>
      </c>
    </row>
    <row r="12066" spans="1:4" x14ac:dyDescent="0.3">
      <c r="A12066" s="4">
        <v>7260</v>
      </c>
      <c r="B12066" s="833" t="s">
        <v>16334</v>
      </c>
      <c r="C12066" s="4" t="s">
        <v>12080</v>
      </c>
      <c r="D12066" s="834">
        <v>2.37</v>
      </c>
    </row>
    <row r="12067" spans="1:4" x14ac:dyDescent="0.3">
      <c r="A12067" s="4">
        <v>7256</v>
      </c>
      <c r="B12067" s="833" t="s">
        <v>16335</v>
      </c>
      <c r="C12067" s="4" t="s">
        <v>12080</v>
      </c>
      <c r="D12067" s="834">
        <v>1.25</v>
      </c>
    </row>
    <row r="12068" spans="1:4" x14ac:dyDescent="0.3">
      <c r="A12068" s="4">
        <v>7258</v>
      </c>
      <c r="B12068" s="833" t="s">
        <v>16336</v>
      </c>
      <c r="C12068" s="4" t="s">
        <v>12080</v>
      </c>
      <c r="D12068" s="834">
        <v>0.61</v>
      </c>
    </row>
    <row r="12069" spans="1:4" x14ac:dyDescent="0.3">
      <c r="A12069" s="4">
        <v>34400</v>
      </c>
      <c r="B12069" s="833" t="s">
        <v>16337</v>
      </c>
      <c r="C12069" s="4" t="s">
        <v>12080</v>
      </c>
      <c r="D12069" s="834">
        <v>4.8899999999999997</v>
      </c>
    </row>
    <row r="12070" spans="1:4" x14ac:dyDescent="0.3">
      <c r="A12070" s="4">
        <v>10617</v>
      </c>
      <c r="B12070" s="833" t="s">
        <v>16338</v>
      </c>
      <c r="C12070" s="4" t="s">
        <v>12080</v>
      </c>
      <c r="D12070" s="834">
        <v>6.3</v>
      </c>
    </row>
    <row r="12071" spans="1:4" x14ac:dyDescent="0.3">
      <c r="A12071" s="4">
        <v>44261</v>
      </c>
      <c r="B12071" s="833" t="s">
        <v>16339</v>
      </c>
      <c r="C12071" s="4" t="s">
        <v>12080</v>
      </c>
      <c r="D12071" s="834">
        <v>150.36000000000001</v>
      </c>
    </row>
    <row r="12072" spans="1:4" x14ac:dyDescent="0.3">
      <c r="A12072" s="4">
        <v>7274</v>
      </c>
      <c r="B12072" s="833" t="s">
        <v>16340</v>
      </c>
      <c r="C12072" s="4" t="s">
        <v>12080</v>
      </c>
      <c r="D12072" s="834">
        <v>72.790000000000006</v>
      </c>
    </row>
    <row r="12073" spans="1:4" x14ac:dyDescent="0.3">
      <c r="A12073" s="4">
        <v>44326</v>
      </c>
      <c r="B12073" s="833" t="s">
        <v>16341</v>
      </c>
      <c r="C12073" s="4" t="s">
        <v>12080</v>
      </c>
      <c r="D12073" s="834">
        <v>1572.2</v>
      </c>
    </row>
    <row r="12074" spans="1:4" x14ac:dyDescent="0.3">
      <c r="A12074" s="4">
        <v>154</v>
      </c>
      <c r="B12074" s="833" t="s">
        <v>16342</v>
      </c>
      <c r="C12074" s="4" t="s">
        <v>12128</v>
      </c>
      <c r="D12074" s="834">
        <v>84.05</v>
      </c>
    </row>
    <row r="12075" spans="1:4" x14ac:dyDescent="0.3">
      <c r="A12075" s="4">
        <v>38121</v>
      </c>
      <c r="B12075" s="833" t="s">
        <v>16343</v>
      </c>
      <c r="C12075" s="4" t="s">
        <v>12128</v>
      </c>
      <c r="D12075" s="834">
        <v>25.58</v>
      </c>
    </row>
    <row r="12076" spans="1:4" x14ac:dyDescent="0.3">
      <c r="A12076" s="4">
        <v>43776</v>
      </c>
      <c r="B12076" s="833" t="s">
        <v>16344</v>
      </c>
      <c r="C12076" s="4" t="s">
        <v>12128</v>
      </c>
      <c r="D12076" s="834">
        <v>30.92</v>
      </c>
    </row>
    <row r="12077" spans="1:4" x14ac:dyDescent="0.3">
      <c r="A12077" s="4">
        <v>7343</v>
      </c>
      <c r="B12077" s="833" t="s">
        <v>16345</v>
      </c>
      <c r="C12077" s="4" t="s">
        <v>12128</v>
      </c>
      <c r="D12077" s="834">
        <v>37.630000000000003</v>
      </c>
    </row>
    <row r="12078" spans="1:4" x14ac:dyDescent="0.3">
      <c r="A12078" s="4">
        <v>7348</v>
      </c>
      <c r="B12078" s="833" t="s">
        <v>16346</v>
      </c>
      <c r="C12078" s="4" t="s">
        <v>12128</v>
      </c>
      <c r="D12078" s="834">
        <v>21.31</v>
      </c>
    </row>
    <row r="12079" spans="1:4" x14ac:dyDescent="0.3">
      <c r="A12079" s="4">
        <v>7313</v>
      </c>
      <c r="B12079" s="833" t="s">
        <v>16347</v>
      </c>
      <c r="C12079" s="4" t="s">
        <v>12128</v>
      </c>
      <c r="D12079" s="834">
        <v>20.58</v>
      </c>
    </row>
    <row r="12080" spans="1:4" x14ac:dyDescent="0.3">
      <c r="A12080" s="4">
        <v>7319</v>
      </c>
      <c r="B12080" s="833" t="s">
        <v>16348</v>
      </c>
      <c r="C12080" s="4" t="s">
        <v>12128</v>
      </c>
      <c r="D12080" s="834">
        <v>11.78</v>
      </c>
    </row>
    <row r="12081" spans="1:4" x14ac:dyDescent="0.3">
      <c r="A12081" s="4">
        <v>7314</v>
      </c>
      <c r="B12081" s="833" t="s">
        <v>16349</v>
      </c>
      <c r="C12081" s="4" t="s">
        <v>12128</v>
      </c>
      <c r="D12081" s="834">
        <v>89.42</v>
      </c>
    </row>
    <row r="12082" spans="1:4" x14ac:dyDescent="0.3">
      <c r="A12082" s="4">
        <v>7304</v>
      </c>
      <c r="B12082" s="833" t="s">
        <v>16350</v>
      </c>
      <c r="C12082" s="4" t="s">
        <v>12128</v>
      </c>
      <c r="D12082" s="834">
        <v>91.64</v>
      </c>
    </row>
    <row r="12083" spans="1:4" x14ac:dyDescent="0.3">
      <c r="A12083" s="4">
        <v>43649</v>
      </c>
      <c r="B12083" s="833" t="s">
        <v>16351</v>
      </c>
      <c r="C12083" s="4" t="s">
        <v>12128</v>
      </c>
      <c r="D12083" s="834">
        <v>47.39</v>
      </c>
    </row>
    <row r="12084" spans="1:4" x14ac:dyDescent="0.3">
      <c r="A12084" s="4">
        <v>43650</v>
      </c>
      <c r="B12084" s="833" t="s">
        <v>16352</v>
      </c>
      <c r="C12084" s="4" t="s">
        <v>12128</v>
      </c>
      <c r="D12084" s="834">
        <v>44.79</v>
      </c>
    </row>
    <row r="12085" spans="1:4" x14ac:dyDescent="0.3">
      <c r="A12085" s="4">
        <v>7311</v>
      </c>
      <c r="B12085" s="833" t="s">
        <v>16353</v>
      </c>
      <c r="C12085" s="4" t="s">
        <v>12128</v>
      </c>
      <c r="D12085" s="834">
        <v>45.88</v>
      </c>
    </row>
    <row r="12086" spans="1:4" x14ac:dyDescent="0.3">
      <c r="A12086" s="4">
        <v>7292</v>
      </c>
      <c r="B12086" s="833" t="s">
        <v>16354</v>
      </c>
      <c r="C12086" s="4" t="s">
        <v>12128</v>
      </c>
      <c r="D12086" s="834">
        <v>44.42</v>
      </c>
    </row>
    <row r="12087" spans="1:4" x14ac:dyDescent="0.3">
      <c r="A12087" s="4">
        <v>7293</v>
      </c>
      <c r="B12087" s="833" t="s">
        <v>16355</v>
      </c>
      <c r="C12087" s="4" t="s">
        <v>12128</v>
      </c>
      <c r="D12087" s="834">
        <v>49.14</v>
      </c>
    </row>
    <row r="12088" spans="1:4" x14ac:dyDescent="0.3">
      <c r="A12088" s="4">
        <v>7306</v>
      </c>
      <c r="B12088" s="833" t="s">
        <v>16356</v>
      </c>
      <c r="C12088" s="4" t="s">
        <v>12128</v>
      </c>
      <c r="D12088" s="834">
        <v>54.23</v>
      </c>
    </row>
    <row r="12089" spans="1:4" x14ac:dyDescent="0.3">
      <c r="A12089" s="4">
        <v>7288</v>
      </c>
      <c r="B12089" s="833" t="s">
        <v>16357</v>
      </c>
      <c r="C12089" s="4" t="s">
        <v>12128</v>
      </c>
      <c r="D12089" s="834">
        <v>45.03</v>
      </c>
    </row>
    <row r="12090" spans="1:4" x14ac:dyDescent="0.3">
      <c r="A12090" s="4">
        <v>43625</v>
      </c>
      <c r="B12090" s="833" t="s">
        <v>16358</v>
      </c>
      <c r="C12090" s="4" t="s">
        <v>12128</v>
      </c>
      <c r="D12090" s="834">
        <v>36.36</v>
      </c>
    </row>
    <row r="12091" spans="1:4" x14ac:dyDescent="0.3">
      <c r="A12091" s="4">
        <v>43647</v>
      </c>
      <c r="B12091" s="833" t="s">
        <v>16359</v>
      </c>
      <c r="C12091" s="4" t="s">
        <v>12128</v>
      </c>
      <c r="D12091" s="834">
        <v>33.03</v>
      </c>
    </row>
    <row r="12092" spans="1:4" x14ac:dyDescent="0.3">
      <c r="A12092" s="4">
        <v>43648</v>
      </c>
      <c r="B12092" s="833" t="s">
        <v>16360</v>
      </c>
      <c r="C12092" s="4" t="s">
        <v>12128</v>
      </c>
      <c r="D12092" s="834">
        <v>31.87</v>
      </c>
    </row>
    <row r="12093" spans="1:4" x14ac:dyDescent="0.3">
      <c r="A12093" s="4">
        <v>35693</v>
      </c>
      <c r="B12093" s="833" t="s">
        <v>16361</v>
      </c>
      <c r="C12093" s="4" t="s">
        <v>12128</v>
      </c>
      <c r="D12093" s="834">
        <v>13.25</v>
      </c>
    </row>
    <row r="12094" spans="1:4" x14ac:dyDescent="0.3">
      <c r="A12094" s="4">
        <v>7356</v>
      </c>
      <c r="B12094" s="833" t="s">
        <v>16362</v>
      </c>
      <c r="C12094" s="4" t="s">
        <v>12128</v>
      </c>
      <c r="D12094" s="834">
        <v>31.77</v>
      </c>
    </row>
    <row r="12095" spans="1:4" x14ac:dyDescent="0.3">
      <c r="A12095" s="4">
        <v>35692</v>
      </c>
      <c r="B12095" s="833" t="s">
        <v>16363</v>
      </c>
      <c r="C12095" s="4" t="s">
        <v>12128</v>
      </c>
      <c r="D12095" s="834">
        <v>20.79</v>
      </c>
    </row>
    <row r="12096" spans="1:4" x14ac:dyDescent="0.3">
      <c r="A12096" s="4">
        <v>43624</v>
      </c>
      <c r="B12096" s="833" t="s">
        <v>16364</v>
      </c>
      <c r="C12096" s="4" t="s">
        <v>12128</v>
      </c>
      <c r="D12096" s="834">
        <v>38.72</v>
      </c>
    </row>
    <row r="12097" spans="1:4" x14ac:dyDescent="0.3">
      <c r="A12097" s="4">
        <v>7342</v>
      </c>
      <c r="B12097" s="833" t="s">
        <v>16365</v>
      </c>
      <c r="C12097" s="4" t="s">
        <v>12126</v>
      </c>
      <c r="D12097" s="834">
        <v>2.2599999999999998</v>
      </c>
    </row>
    <row r="12098" spans="1:4" x14ac:dyDescent="0.3">
      <c r="A12098" s="4">
        <v>7350</v>
      </c>
      <c r="B12098" s="833" t="s">
        <v>16366</v>
      </c>
      <c r="C12098" s="4" t="s">
        <v>12128</v>
      </c>
      <c r="D12098" s="834">
        <v>45.86</v>
      </c>
    </row>
    <row r="12099" spans="1:4" x14ac:dyDescent="0.3">
      <c r="A12099" s="4">
        <v>39574</v>
      </c>
      <c r="B12099" s="833" t="s">
        <v>16367</v>
      </c>
      <c r="C12099" s="4" t="s">
        <v>12080</v>
      </c>
      <c r="D12099" s="834">
        <v>4.3099999999999996</v>
      </c>
    </row>
    <row r="12100" spans="1:4" x14ac:dyDescent="0.3">
      <c r="A12100" s="4">
        <v>11060</v>
      </c>
      <c r="B12100" s="833" t="s">
        <v>16368</v>
      </c>
      <c r="C12100" s="4" t="s">
        <v>12080</v>
      </c>
      <c r="D12100" s="834">
        <v>43.75</v>
      </c>
    </row>
    <row r="12101" spans="1:4" x14ac:dyDescent="0.3">
      <c r="A12101" s="4">
        <v>37401</v>
      </c>
      <c r="B12101" s="833" t="s">
        <v>16369</v>
      </c>
      <c r="C12101" s="4" t="s">
        <v>12080</v>
      </c>
      <c r="D12101" s="834">
        <v>38.409999999999997</v>
      </c>
    </row>
    <row r="12102" spans="1:4" x14ac:dyDescent="0.3">
      <c r="A12102" s="4">
        <v>7525</v>
      </c>
      <c r="B12102" s="833" t="s">
        <v>16370</v>
      </c>
      <c r="C12102" s="4" t="s">
        <v>12080</v>
      </c>
      <c r="D12102" s="834">
        <v>56.38</v>
      </c>
    </row>
    <row r="12103" spans="1:4" x14ac:dyDescent="0.3">
      <c r="A12103" s="4">
        <v>7524</v>
      </c>
      <c r="B12103" s="833" t="s">
        <v>16371</v>
      </c>
      <c r="C12103" s="4" t="s">
        <v>12080</v>
      </c>
      <c r="D12103" s="834">
        <v>53.12</v>
      </c>
    </row>
    <row r="12104" spans="1:4" x14ac:dyDescent="0.3">
      <c r="A12104" s="4">
        <v>38105</v>
      </c>
      <c r="B12104" s="833" t="s">
        <v>16372</v>
      </c>
      <c r="C12104" s="4" t="s">
        <v>12080</v>
      </c>
      <c r="D12104" s="834">
        <v>13.65</v>
      </c>
    </row>
    <row r="12105" spans="1:4" x14ac:dyDescent="0.3">
      <c r="A12105" s="4">
        <v>38084</v>
      </c>
      <c r="B12105" s="833" t="s">
        <v>16373</v>
      </c>
      <c r="C12105" s="4" t="s">
        <v>12080</v>
      </c>
      <c r="D12105" s="834">
        <v>19.38</v>
      </c>
    </row>
    <row r="12106" spans="1:4" x14ac:dyDescent="0.3">
      <c r="A12106" s="4">
        <v>38103</v>
      </c>
      <c r="B12106" s="833" t="s">
        <v>16374</v>
      </c>
      <c r="C12106" s="4" t="s">
        <v>12080</v>
      </c>
      <c r="D12106" s="834">
        <v>20.49</v>
      </c>
    </row>
    <row r="12107" spans="1:4" x14ac:dyDescent="0.3">
      <c r="A12107" s="4">
        <v>38082</v>
      </c>
      <c r="B12107" s="833" t="s">
        <v>16375</v>
      </c>
      <c r="C12107" s="4" t="s">
        <v>12080</v>
      </c>
      <c r="D12107" s="834">
        <v>25.24</v>
      </c>
    </row>
    <row r="12108" spans="1:4" x14ac:dyDescent="0.3">
      <c r="A12108" s="4">
        <v>38104</v>
      </c>
      <c r="B12108" s="833" t="s">
        <v>16376</v>
      </c>
      <c r="C12108" s="4" t="s">
        <v>12080</v>
      </c>
      <c r="D12108" s="834">
        <v>40.11</v>
      </c>
    </row>
    <row r="12109" spans="1:4" x14ac:dyDescent="0.3">
      <c r="A12109" s="4">
        <v>38083</v>
      </c>
      <c r="B12109" s="833" t="s">
        <v>16377</v>
      </c>
      <c r="C12109" s="4" t="s">
        <v>12080</v>
      </c>
      <c r="D12109" s="834">
        <v>44.54</v>
      </c>
    </row>
    <row r="12110" spans="1:4" x14ac:dyDescent="0.3">
      <c r="A12110" s="4">
        <v>38101</v>
      </c>
      <c r="B12110" s="833" t="s">
        <v>16378</v>
      </c>
      <c r="C12110" s="4" t="s">
        <v>12080</v>
      </c>
      <c r="D12110" s="834">
        <v>9.74</v>
      </c>
    </row>
    <row r="12111" spans="1:4" x14ac:dyDescent="0.3">
      <c r="A12111" s="4">
        <v>7528</v>
      </c>
      <c r="B12111" s="833" t="s">
        <v>16379</v>
      </c>
      <c r="C12111" s="4" t="s">
        <v>12080</v>
      </c>
      <c r="D12111" s="834">
        <v>11.45</v>
      </c>
    </row>
    <row r="12112" spans="1:4" x14ac:dyDescent="0.3">
      <c r="A12112" s="4">
        <v>12147</v>
      </c>
      <c r="B12112" s="833" t="s">
        <v>16380</v>
      </c>
      <c r="C12112" s="4" t="s">
        <v>12080</v>
      </c>
      <c r="D12112" s="834">
        <v>17.46</v>
      </c>
    </row>
    <row r="12113" spans="1:4" x14ac:dyDescent="0.3">
      <c r="A12113" s="4">
        <v>38075</v>
      </c>
      <c r="B12113" s="833" t="s">
        <v>16381</v>
      </c>
      <c r="C12113" s="4" t="s">
        <v>12080</v>
      </c>
      <c r="D12113" s="834">
        <v>19.829999999999998</v>
      </c>
    </row>
    <row r="12114" spans="1:4" x14ac:dyDescent="0.3">
      <c r="A12114" s="4">
        <v>38102</v>
      </c>
      <c r="B12114" s="833" t="s">
        <v>16382</v>
      </c>
      <c r="C12114" s="4" t="s">
        <v>12080</v>
      </c>
      <c r="D12114" s="834">
        <v>12.46</v>
      </c>
    </row>
    <row r="12115" spans="1:4" x14ac:dyDescent="0.3">
      <c r="A12115" s="4">
        <v>38076</v>
      </c>
      <c r="B12115" s="833" t="s">
        <v>16383</v>
      </c>
      <c r="C12115" s="4" t="s">
        <v>12080</v>
      </c>
      <c r="D12115" s="834">
        <v>22.23</v>
      </c>
    </row>
    <row r="12116" spans="1:4" x14ac:dyDescent="0.3">
      <c r="A12116" s="4">
        <v>7592</v>
      </c>
      <c r="B12116" s="833" t="s">
        <v>16384</v>
      </c>
      <c r="C12116" s="4" t="s">
        <v>12226</v>
      </c>
      <c r="D12116" s="834">
        <v>21.83</v>
      </c>
    </row>
    <row r="12117" spans="1:4" x14ac:dyDescent="0.3">
      <c r="A12117" s="4">
        <v>40820</v>
      </c>
      <c r="B12117" s="833" t="s">
        <v>16385</v>
      </c>
      <c r="C12117" s="4" t="s">
        <v>12228</v>
      </c>
      <c r="D12117" s="834">
        <v>3886.77</v>
      </c>
    </row>
    <row r="12118" spans="1:4" x14ac:dyDescent="0.3">
      <c r="A12118" s="4">
        <v>11826</v>
      </c>
      <c r="B12118" s="833" t="s">
        <v>16386</v>
      </c>
      <c r="C12118" s="4" t="s">
        <v>12080</v>
      </c>
      <c r="D12118" s="834">
        <v>101.86</v>
      </c>
    </row>
    <row r="12119" spans="1:4" x14ac:dyDescent="0.3">
      <c r="A12119" s="4">
        <v>7606</v>
      </c>
      <c r="B12119" s="833" t="s">
        <v>16387</v>
      </c>
      <c r="C12119" s="4" t="s">
        <v>12080</v>
      </c>
      <c r="D12119" s="834">
        <v>122.5</v>
      </c>
    </row>
    <row r="12120" spans="1:4" x14ac:dyDescent="0.3">
      <c r="A12120" s="4">
        <v>11763</v>
      </c>
      <c r="B12120" s="833" t="s">
        <v>16388</v>
      </c>
      <c r="C12120" s="4" t="s">
        <v>12080</v>
      </c>
      <c r="D12120" s="834">
        <v>267.5</v>
      </c>
    </row>
    <row r="12121" spans="1:4" x14ac:dyDescent="0.3">
      <c r="A12121" s="4">
        <v>11764</v>
      </c>
      <c r="B12121" s="833" t="s">
        <v>16389</v>
      </c>
      <c r="C12121" s="4" t="s">
        <v>12080</v>
      </c>
      <c r="D12121" s="834">
        <v>219.47</v>
      </c>
    </row>
    <row r="12122" spans="1:4" x14ac:dyDescent="0.3">
      <c r="A12122" s="4">
        <v>11829</v>
      </c>
      <c r="B12122" s="833" t="s">
        <v>16390</v>
      </c>
      <c r="C12122" s="4" t="s">
        <v>12080</v>
      </c>
      <c r="D12122" s="834">
        <v>53.05</v>
      </c>
    </row>
    <row r="12123" spans="1:4" x14ac:dyDescent="0.3">
      <c r="A12123" s="4">
        <v>11830</v>
      </c>
      <c r="B12123" s="833" t="s">
        <v>16391</v>
      </c>
      <c r="C12123" s="4" t="s">
        <v>12080</v>
      </c>
      <c r="D12123" s="834">
        <v>57.28</v>
      </c>
    </row>
    <row r="12124" spans="1:4" x14ac:dyDescent="0.3">
      <c r="A12124" s="4">
        <v>11825</v>
      </c>
      <c r="B12124" s="833" t="s">
        <v>16392</v>
      </c>
      <c r="C12124" s="4" t="s">
        <v>12080</v>
      </c>
      <c r="D12124" s="834">
        <v>128.86000000000001</v>
      </c>
    </row>
    <row r="12125" spans="1:4" x14ac:dyDescent="0.3">
      <c r="A12125" s="4">
        <v>11767</v>
      </c>
      <c r="B12125" s="833" t="s">
        <v>16393</v>
      </c>
      <c r="C12125" s="4" t="s">
        <v>12080</v>
      </c>
      <c r="D12125" s="834">
        <v>343.22</v>
      </c>
    </row>
    <row r="12126" spans="1:4" x14ac:dyDescent="0.3">
      <c r="A12126" s="4">
        <v>11766</v>
      </c>
      <c r="B12126" s="833" t="s">
        <v>16394</v>
      </c>
      <c r="C12126" s="4" t="s">
        <v>12080</v>
      </c>
      <c r="D12126" s="834">
        <v>80</v>
      </c>
    </row>
    <row r="12127" spans="1:4" x14ac:dyDescent="0.3">
      <c r="A12127" s="4">
        <v>11765</v>
      </c>
      <c r="B12127" s="833" t="s">
        <v>16395</v>
      </c>
      <c r="C12127" s="4" t="s">
        <v>12080</v>
      </c>
      <c r="D12127" s="834">
        <v>146.27000000000001</v>
      </c>
    </row>
    <row r="12128" spans="1:4" x14ac:dyDescent="0.3">
      <c r="A12128" s="4">
        <v>11824</v>
      </c>
      <c r="B12128" s="833" t="s">
        <v>16396</v>
      </c>
      <c r="C12128" s="4" t="s">
        <v>12080</v>
      </c>
      <c r="D12128" s="834">
        <v>94.1</v>
      </c>
    </row>
    <row r="12129" spans="1:4" x14ac:dyDescent="0.3">
      <c r="A12129" s="4">
        <v>44045</v>
      </c>
      <c r="B12129" s="833" t="s">
        <v>16397</v>
      </c>
      <c r="C12129" s="4" t="s">
        <v>12080</v>
      </c>
      <c r="D12129" s="834">
        <v>320.58</v>
      </c>
    </row>
    <row r="12130" spans="1:4" x14ac:dyDescent="0.3">
      <c r="A12130" s="4">
        <v>39702</v>
      </c>
      <c r="B12130" s="833" t="s">
        <v>16398</v>
      </c>
      <c r="C12130" s="4" t="s">
        <v>12080</v>
      </c>
      <c r="D12130" s="834">
        <v>2129.1</v>
      </c>
    </row>
    <row r="12131" spans="1:4" x14ac:dyDescent="0.3">
      <c r="A12131" s="4">
        <v>13415</v>
      </c>
      <c r="B12131" s="833" t="s">
        <v>16399</v>
      </c>
      <c r="C12131" s="4" t="s">
        <v>12080</v>
      </c>
      <c r="D12131" s="834">
        <v>69.900000000000006</v>
      </c>
    </row>
    <row r="12132" spans="1:4" x14ac:dyDescent="0.3">
      <c r="A12132" s="4">
        <v>7602</v>
      </c>
      <c r="B12132" s="833" t="s">
        <v>16400</v>
      </c>
      <c r="C12132" s="4" t="s">
        <v>12080</v>
      </c>
      <c r="D12132" s="834">
        <v>44.6</v>
      </c>
    </row>
    <row r="12133" spans="1:4" x14ac:dyDescent="0.3">
      <c r="A12133" s="4">
        <v>7603</v>
      </c>
      <c r="B12133" s="833" t="s">
        <v>16401</v>
      </c>
      <c r="C12133" s="4" t="s">
        <v>12080</v>
      </c>
      <c r="D12133" s="834">
        <v>37.840000000000003</v>
      </c>
    </row>
    <row r="12134" spans="1:4" x14ac:dyDescent="0.3">
      <c r="A12134" s="4">
        <v>11777</v>
      </c>
      <c r="B12134" s="833" t="s">
        <v>16402</v>
      </c>
      <c r="C12134" s="4" t="s">
        <v>12080</v>
      </c>
      <c r="D12134" s="834">
        <v>161.66999999999999</v>
      </c>
    </row>
    <row r="12135" spans="1:4" x14ac:dyDescent="0.3">
      <c r="A12135" s="4">
        <v>13417</v>
      </c>
      <c r="B12135" s="833" t="s">
        <v>16403</v>
      </c>
      <c r="C12135" s="4" t="s">
        <v>12080</v>
      </c>
      <c r="D12135" s="834">
        <v>91.04</v>
      </c>
    </row>
    <row r="12136" spans="1:4" x14ac:dyDescent="0.3">
      <c r="A12136" s="4">
        <v>36791</v>
      </c>
      <c r="B12136" s="833" t="s">
        <v>16404</v>
      </c>
      <c r="C12136" s="4" t="s">
        <v>12080</v>
      </c>
      <c r="D12136" s="834">
        <v>136.63</v>
      </c>
    </row>
    <row r="12137" spans="1:4" x14ac:dyDescent="0.3">
      <c r="A12137" s="4">
        <v>36795</v>
      </c>
      <c r="B12137" s="833" t="s">
        <v>16405</v>
      </c>
      <c r="C12137" s="4" t="s">
        <v>12080</v>
      </c>
      <c r="D12137" s="834">
        <v>1727.57</v>
      </c>
    </row>
    <row r="12138" spans="1:4" x14ac:dyDescent="0.3">
      <c r="A12138" s="4">
        <v>36796</v>
      </c>
      <c r="B12138" s="833" t="s">
        <v>16406</v>
      </c>
      <c r="C12138" s="4" t="s">
        <v>12080</v>
      </c>
      <c r="D12138" s="834">
        <v>143.56</v>
      </c>
    </row>
    <row r="12139" spans="1:4" x14ac:dyDescent="0.3">
      <c r="A12139" s="4">
        <v>36792</v>
      </c>
      <c r="B12139" s="833" t="s">
        <v>16407</v>
      </c>
      <c r="C12139" s="4" t="s">
        <v>12080</v>
      </c>
      <c r="D12139" s="834">
        <v>181.85</v>
      </c>
    </row>
    <row r="12140" spans="1:4" x14ac:dyDescent="0.3">
      <c r="A12140" s="4">
        <v>11773</v>
      </c>
      <c r="B12140" s="833" t="s">
        <v>16408</v>
      </c>
      <c r="C12140" s="4" t="s">
        <v>12080</v>
      </c>
      <c r="D12140" s="834">
        <v>121.05</v>
      </c>
    </row>
    <row r="12141" spans="1:4" x14ac:dyDescent="0.3">
      <c r="A12141" s="4">
        <v>11762</v>
      </c>
      <c r="B12141" s="833" t="s">
        <v>16409</v>
      </c>
      <c r="C12141" s="4" t="s">
        <v>12080</v>
      </c>
      <c r="D12141" s="834">
        <v>57.42</v>
      </c>
    </row>
    <row r="12142" spans="1:4" x14ac:dyDescent="0.3">
      <c r="A12142" s="4">
        <v>7604</v>
      </c>
      <c r="B12142" s="833" t="s">
        <v>16410</v>
      </c>
      <c r="C12142" s="4" t="s">
        <v>12080</v>
      </c>
      <c r="D12142" s="834">
        <v>48.62</v>
      </c>
    </row>
    <row r="12143" spans="1:4" x14ac:dyDescent="0.3">
      <c r="A12143" s="4">
        <v>13984</v>
      </c>
      <c r="B12143" s="833" t="s">
        <v>16411</v>
      </c>
      <c r="C12143" s="4" t="s">
        <v>12080</v>
      </c>
      <c r="D12143" s="834">
        <v>70.650000000000006</v>
      </c>
    </row>
    <row r="12144" spans="1:4" x14ac:dyDescent="0.3">
      <c r="A12144" s="4">
        <v>11772</v>
      </c>
      <c r="B12144" s="833" t="s">
        <v>16412</v>
      </c>
      <c r="C12144" s="4" t="s">
        <v>12080</v>
      </c>
      <c r="D12144" s="834">
        <v>121.43</v>
      </c>
    </row>
    <row r="12145" spans="1:4" x14ac:dyDescent="0.3">
      <c r="A12145" s="4">
        <v>13983</v>
      </c>
      <c r="B12145" s="833" t="s">
        <v>16413</v>
      </c>
      <c r="C12145" s="4" t="s">
        <v>12080</v>
      </c>
      <c r="D12145" s="834">
        <v>91.96</v>
      </c>
    </row>
    <row r="12146" spans="1:4" x14ac:dyDescent="0.3">
      <c r="A12146" s="4">
        <v>13416</v>
      </c>
      <c r="B12146" s="833" t="s">
        <v>16414</v>
      </c>
      <c r="C12146" s="4" t="s">
        <v>12080</v>
      </c>
      <c r="D12146" s="834">
        <v>81.680000000000007</v>
      </c>
    </row>
    <row r="12147" spans="1:4" x14ac:dyDescent="0.3">
      <c r="A12147" s="4">
        <v>40329</v>
      </c>
      <c r="B12147" s="833" t="s">
        <v>16415</v>
      </c>
      <c r="C12147" s="4" t="s">
        <v>12080</v>
      </c>
      <c r="D12147" s="834">
        <v>33.24</v>
      </c>
    </row>
    <row r="12148" spans="1:4" x14ac:dyDescent="0.3">
      <c r="A12148" s="4">
        <v>11823</v>
      </c>
      <c r="B12148" s="833" t="s">
        <v>16416</v>
      </c>
      <c r="C12148" s="4" t="s">
        <v>12080</v>
      </c>
      <c r="D12148" s="834">
        <v>14</v>
      </c>
    </row>
    <row r="12149" spans="1:4" x14ac:dyDescent="0.3">
      <c r="A12149" s="4">
        <v>11822</v>
      </c>
      <c r="B12149" s="833" t="s">
        <v>16417</v>
      </c>
      <c r="C12149" s="4" t="s">
        <v>12080</v>
      </c>
      <c r="D12149" s="834">
        <v>26.86</v>
      </c>
    </row>
    <row r="12150" spans="1:4" x14ac:dyDescent="0.3">
      <c r="A12150" s="4">
        <v>11831</v>
      </c>
      <c r="B12150" s="833" t="s">
        <v>16418</v>
      </c>
      <c r="C12150" s="4" t="s">
        <v>12080</v>
      </c>
      <c r="D12150" s="834">
        <v>16.16</v>
      </c>
    </row>
    <row r="12151" spans="1:4" x14ac:dyDescent="0.3">
      <c r="A12151" s="4">
        <v>7613</v>
      </c>
      <c r="B12151" s="833" t="s">
        <v>16419</v>
      </c>
      <c r="C12151" s="4" t="s">
        <v>12080</v>
      </c>
      <c r="D12151" s="834">
        <v>125018.68</v>
      </c>
    </row>
    <row r="12152" spans="1:4" x14ac:dyDescent="0.3">
      <c r="A12152" s="4">
        <v>7619</v>
      </c>
      <c r="B12152" s="833" t="s">
        <v>16420</v>
      </c>
      <c r="C12152" s="4" t="s">
        <v>12080</v>
      </c>
      <c r="D12152" s="834">
        <v>19325.21</v>
      </c>
    </row>
    <row r="12153" spans="1:4" x14ac:dyDescent="0.3">
      <c r="A12153" s="4">
        <v>12076</v>
      </c>
      <c r="B12153" s="833" t="s">
        <v>16421</v>
      </c>
      <c r="C12153" s="4" t="s">
        <v>12080</v>
      </c>
      <c r="D12153" s="834">
        <v>8864.77</v>
      </c>
    </row>
    <row r="12154" spans="1:4" x14ac:dyDescent="0.3">
      <c r="A12154" s="4">
        <v>7614</v>
      </c>
      <c r="B12154" s="833" t="s">
        <v>16422</v>
      </c>
      <c r="C12154" s="4" t="s">
        <v>12080</v>
      </c>
      <c r="D12154" s="834">
        <v>24373.7</v>
      </c>
    </row>
    <row r="12155" spans="1:4" x14ac:dyDescent="0.3">
      <c r="A12155" s="4">
        <v>7618</v>
      </c>
      <c r="B12155" s="833" t="s">
        <v>16423</v>
      </c>
      <c r="C12155" s="4" t="s">
        <v>12080</v>
      </c>
      <c r="D12155" s="834">
        <v>158081.76999999999</v>
      </c>
    </row>
    <row r="12156" spans="1:4" x14ac:dyDescent="0.3">
      <c r="A12156" s="4">
        <v>7620</v>
      </c>
      <c r="B12156" s="833" t="s">
        <v>16424</v>
      </c>
      <c r="C12156" s="4" t="s">
        <v>12080</v>
      </c>
      <c r="D12156" s="834">
        <v>34192.71</v>
      </c>
    </row>
    <row r="12157" spans="1:4" x14ac:dyDescent="0.3">
      <c r="A12157" s="4">
        <v>7610</v>
      </c>
      <c r="B12157" s="833" t="s">
        <v>16425</v>
      </c>
      <c r="C12157" s="4" t="s">
        <v>12080</v>
      </c>
      <c r="D12157" s="834">
        <v>10827.69</v>
      </c>
    </row>
    <row r="12158" spans="1:4" x14ac:dyDescent="0.3">
      <c r="A12158" s="4">
        <v>7615</v>
      </c>
      <c r="B12158" s="833" t="s">
        <v>16426</v>
      </c>
      <c r="C12158" s="4" t="s">
        <v>12080</v>
      </c>
      <c r="D12158" s="834">
        <v>39891.49</v>
      </c>
    </row>
    <row r="12159" spans="1:4" x14ac:dyDescent="0.3">
      <c r="A12159" s="4">
        <v>7617</v>
      </c>
      <c r="B12159" s="833" t="s">
        <v>16427</v>
      </c>
      <c r="C12159" s="4" t="s">
        <v>12080</v>
      </c>
      <c r="D12159" s="834">
        <v>12094.08</v>
      </c>
    </row>
    <row r="12160" spans="1:4" x14ac:dyDescent="0.3">
      <c r="A12160" s="4">
        <v>7616</v>
      </c>
      <c r="B12160" s="833" t="s">
        <v>16428</v>
      </c>
      <c r="C12160" s="4" t="s">
        <v>12080</v>
      </c>
      <c r="D12160" s="834">
        <v>65096.59</v>
      </c>
    </row>
    <row r="12161" spans="1:4" x14ac:dyDescent="0.3">
      <c r="A12161" s="4">
        <v>7611</v>
      </c>
      <c r="B12161" s="833" t="s">
        <v>16429</v>
      </c>
      <c r="C12161" s="4" t="s">
        <v>12080</v>
      </c>
      <c r="D12161" s="834">
        <v>15640</v>
      </c>
    </row>
    <row r="12162" spans="1:4" x14ac:dyDescent="0.3">
      <c r="A12162" s="4">
        <v>7612</v>
      </c>
      <c r="B12162" s="833" t="s">
        <v>16430</v>
      </c>
      <c r="C12162" s="4" t="s">
        <v>12080</v>
      </c>
      <c r="D12162" s="834">
        <v>89291.1</v>
      </c>
    </row>
    <row r="12163" spans="1:4" x14ac:dyDescent="0.3">
      <c r="A12163" s="4">
        <v>37371</v>
      </c>
      <c r="B12163" s="833" t="s">
        <v>16431</v>
      </c>
      <c r="C12163" s="4" t="s">
        <v>12226</v>
      </c>
      <c r="D12163" s="834">
        <v>1.5</v>
      </c>
    </row>
    <row r="12164" spans="1:4" x14ac:dyDescent="0.3">
      <c r="A12164" s="4">
        <v>40861</v>
      </c>
      <c r="B12164" s="833" t="s">
        <v>16432</v>
      </c>
      <c r="C12164" s="4" t="s">
        <v>12228</v>
      </c>
      <c r="D12164" s="834">
        <v>282.98</v>
      </c>
    </row>
    <row r="12165" spans="1:4" x14ac:dyDescent="0.3">
      <c r="A12165" s="4">
        <v>36510</v>
      </c>
      <c r="B12165" s="833" t="s">
        <v>16433</v>
      </c>
      <c r="C12165" s="4" t="s">
        <v>12080</v>
      </c>
      <c r="D12165" s="834">
        <v>1113149.8</v>
      </c>
    </row>
    <row r="12166" spans="1:4" x14ac:dyDescent="0.3">
      <c r="A12166" s="4">
        <v>25020</v>
      </c>
      <c r="B12166" s="833" t="s">
        <v>16434</v>
      </c>
      <c r="C12166" s="4" t="s">
        <v>12080</v>
      </c>
      <c r="D12166" s="834">
        <v>4585785.54</v>
      </c>
    </row>
    <row r="12167" spans="1:4" x14ac:dyDescent="0.3">
      <c r="A12167" s="4">
        <v>7622</v>
      </c>
      <c r="B12167" s="833" t="s">
        <v>16435</v>
      </c>
      <c r="C12167" s="4" t="s">
        <v>12080</v>
      </c>
      <c r="D12167" s="834">
        <v>1079918</v>
      </c>
    </row>
    <row r="12168" spans="1:4" x14ac:dyDescent="0.3">
      <c r="A12168" s="4">
        <v>7624</v>
      </c>
      <c r="B12168" s="833" t="s">
        <v>16436</v>
      </c>
      <c r="C12168" s="4" t="s">
        <v>12080</v>
      </c>
      <c r="D12168" s="834">
        <v>1400000</v>
      </c>
    </row>
    <row r="12169" spans="1:4" x14ac:dyDescent="0.3">
      <c r="A12169" s="4">
        <v>7625</v>
      </c>
      <c r="B12169" s="833" t="s">
        <v>16437</v>
      </c>
      <c r="C12169" s="4" t="s">
        <v>12080</v>
      </c>
      <c r="D12169" s="834">
        <v>1391437.18</v>
      </c>
    </row>
    <row r="12170" spans="1:4" x14ac:dyDescent="0.3">
      <c r="A12170" s="4">
        <v>7623</v>
      </c>
      <c r="B12170" s="833" t="s">
        <v>16438</v>
      </c>
      <c r="C12170" s="4" t="s">
        <v>12080</v>
      </c>
      <c r="D12170" s="834">
        <v>4585785.54</v>
      </c>
    </row>
    <row r="12171" spans="1:4" x14ac:dyDescent="0.3">
      <c r="A12171" s="4">
        <v>36508</v>
      </c>
      <c r="B12171" s="833" t="s">
        <v>16439</v>
      </c>
      <c r="C12171" s="4" t="s">
        <v>12080</v>
      </c>
      <c r="D12171" s="834">
        <v>2062409.72</v>
      </c>
    </row>
    <row r="12172" spans="1:4" x14ac:dyDescent="0.3">
      <c r="A12172" s="4">
        <v>36509</v>
      </c>
      <c r="B12172" s="833" t="s">
        <v>16440</v>
      </c>
      <c r="C12172" s="4" t="s">
        <v>12080</v>
      </c>
      <c r="D12172" s="834">
        <v>1130275.1599999999</v>
      </c>
    </row>
    <row r="12173" spans="1:4" x14ac:dyDescent="0.3">
      <c r="A12173" s="4">
        <v>13238</v>
      </c>
      <c r="B12173" s="833" t="s">
        <v>16441</v>
      </c>
      <c r="C12173" s="4" t="s">
        <v>12080</v>
      </c>
      <c r="D12173" s="834">
        <v>323242.96000000002</v>
      </c>
    </row>
    <row r="12174" spans="1:4" x14ac:dyDescent="0.3">
      <c r="A12174" s="4">
        <v>36511</v>
      </c>
      <c r="B12174" s="833" t="s">
        <v>16442</v>
      </c>
      <c r="C12174" s="4" t="s">
        <v>12080</v>
      </c>
      <c r="D12174" s="834">
        <v>374551.37</v>
      </c>
    </row>
    <row r="12175" spans="1:4" x14ac:dyDescent="0.3">
      <c r="A12175" s="4">
        <v>36515</v>
      </c>
      <c r="B12175" s="833" t="s">
        <v>16443</v>
      </c>
      <c r="C12175" s="4" t="s">
        <v>12080</v>
      </c>
      <c r="D12175" s="834">
        <v>110313.06</v>
      </c>
    </row>
    <row r="12176" spans="1:4" x14ac:dyDescent="0.3">
      <c r="A12176" s="4">
        <v>10598</v>
      </c>
      <c r="B12176" s="833" t="s">
        <v>16444</v>
      </c>
      <c r="C12176" s="4" t="s">
        <v>12080</v>
      </c>
      <c r="D12176" s="834">
        <v>178889.31</v>
      </c>
    </row>
    <row r="12177" spans="1:4" x14ac:dyDescent="0.3">
      <c r="A12177" s="4">
        <v>7640</v>
      </c>
      <c r="B12177" s="833" t="s">
        <v>16445</v>
      </c>
      <c r="C12177" s="4" t="s">
        <v>12080</v>
      </c>
      <c r="D12177" s="834">
        <v>274500</v>
      </c>
    </row>
    <row r="12178" spans="1:4" x14ac:dyDescent="0.3">
      <c r="A12178" s="4">
        <v>36513</v>
      </c>
      <c r="B12178" s="833" t="s">
        <v>16446</v>
      </c>
      <c r="C12178" s="4" t="s">
        <v>12080</v>
      </c>
      <c r="D12178" s="834">
        <v>264430.7</v>
      </c>
    </row>
    <row r="12179" spans="1:4" x14ac:dyDescent="0.3">
      <c r="A12179" s="4">
        <v>36514</v>
      </c>
      <c r="B12179" s="833" t="s">
        <v>16447</v>
      </c>
      <c r="C12179" s="4" t="s">
        <v>12080</v>
      </c>
      <c r="D12179" s="834">
        <v>295023.34000000003</v>
      </c>
    </row>
    <row r="12180" spans="1:4" x14ac:dyDescent="0.3">
      <c r="A12180" s="4">
        <v>11572</v>
      </c>
      <c r="B12180" s="833" t="s">
        <v>16448</v>
      </c>
      <c r="C12180" s="4" t="s">
        <v>12080</v>
      </c>
      <c r="D12180" s="834">
        <v>31.13</v>
      </c>
    </row>
    <row r="12181" spans="1:4" x14ac:dyDescent="0.3">
      <c r="A12181" s="4">
        <v>36149</v>
      </c>
      <c r="B12181" s="833" t="s">
        <v>16449</v>
      </c>
      <c r="C12181" s="4" t="s">
        <v>12080</v>
      </c>
      <c r="D12181" s="834">
        <v>162.03</v>
      </c>
    </row>
    <row r="12182" spans="1:4" x14ac:dyDescent="0.3">
      <c r="A12182" s="4">
        <v>42407</v>
      </c>
      <c r="B12182" s="833" t="s">
        <v>16450</v>
      </c>
      <c r="C12182" s="4" t="s">
        <v>1803</v>
      </c>
      <c r="D12182" s="834">
        <v>6.14</v>
      </c>
    </row>
    <row r="12183" spans="1:4" x14ac:dyDescent="0.3">
      <c r="A12183" s="4">
        <v>11581</v>
      </c>
      <c r="B12183" s="833" t="s">
        <v>16451</v>
      </c>
      <c r="C12183" s="4" t="s">
        <v>1803</v>
      </c>
      <c r="D12183" s="834">
        <v>20.54</v>
      </c>
    </row>
    <row r="12184" spans="1:4" x14ac:dyDescent="0.3">
      <c r="A12184" s="4">
        <v>43605</v>
      </c>
      <c r="B12184" s="833" t="s">
        <v>16452</v>
      </c>
      <c r="C12184" s="4" t="s">
        <v>1803</v>
      </c>
      <c r="D12184" s="834">
        <v>42.04</v>
      </c>
    </row>
    <row r="12185" spans="1:4" x14ac:dyDescent="0.3">
      <c r="A12185" s="4">
        <v>11580</v>
      </c>
      <c r="B12185" s="833" t="s">
        <v>16453</v>
      </c>
      <c r="C12185" s="4" t="s">
        <v>1803</v>
      </c>
      <c r="D12185" s="834">
        <v>8.24</v>
      </c>
    </row>
    <row r="12186" spans="1:4" x14ac:dyDescent="0.3">
      <c r="A12186" s="4">
        <v>38386</v>
      </c>
      <c r="B12186" s="833" t="s">
        <v>16454</v>
      </c>
      <c r="C12186" s="4" t="s">
        <v>12080</v>
      </c>
      <c r="D12186" s="834">
        <v>5.6</v>
      </c>
    </row>
    <row r="12187" spans="1:4" x14ac:dyDescent="0.3">
      <c r="A12187" s="4">
        <v>10743</v>
      </c>
      <c r="B12187" s="833" t="s">
        <v>16455</v>
      </c>
      <c r="C12187" s="4" t="s">
        <v>12080</v>
      </c>
      <c r="D12187" s="834">
        <v>582.26</v>
      </c>
    </row>
    <row r="12188" spans="1:4" x14ac:dyDescent="0.3">
      <c r="A12188" s="4">
        <v>39848</v>
      </c>
      <c r="B12188" s="833" t="s">
        <v>16456</v>
      </c>
      <c r="C12188" s="4" t="s">
        <v>1803</v>
      </c>
      <c r="D12188" s="834">
        <v>1.77</v>
      </c>
    </row>
    <row r="12189" spans="1:4" x14ac:dyDescent="0.3">
      <c r="A12189" s="4">
        <v>20999</v>
      </c>
      <c r="B12189" s="833" t="s">
        <v>16457</v>
      </c>
      <c r="C12189" s="4" t="s">
        <v>1803</v>
      </c>
      <c r="D12189" s="834">
        <v>8.5</v>
      </c>
    </row>
    <row r="12190" spans="1:4" x14ac:dyDescent="0.3">
      <c r="A12190" s="4">
        <v>21001</v>
      </c>
      <c r="B12190" s="833" t="s">
        <v>16458</v>
      </c>
      <c r="C12190" s="4" t="s">
        <v>1803</v>
      </c>
      <c r="D12190" s="834">
        <v>15.86</v>
      </c>
    </row>
    <row r="12191" spans="1:4" x14ac:dyDescent="0.3">
      <c r="A12191" s="4">
        <v>21003</v>
      </c>
      <c r="B12191" s="833" t="s">
        <v>16459</v>
      </c>
      <c r="C12191" s="4" t="s">
        <v>1803</v>
      </c>
      <c r="D12191" s="834">
        <v>26.06</v>
      </c>
    </row>
    <row r="12192" spans="1:4" x14ac:dyDescent="0.3">
      <c r="A12192" s="4">
        <v>21006</v>
      </c>
      <c r="B12192" s="833" t="s">
        <v>16460</v>
      </c>
      <c r="C12192" s="4" t="s">
        <v>1803</v>
      </c>
      <c r="D12192" s="834">
        <v>55.31</v>
      </c>
    </row>
    <row r="12193" spans="1:4" x14ac:dyDescent="0.3">
      <c r="A12193" s="4">
        <v>21019</v>
      </c>
      <c r="B12193" s="833" t="s">
        <v>16461</v>
      </c>
      <c r="C12193" s="4" t="s">
        <v>1803</v>
      </c>
      <c r="D12193" s="834">
        <v>19.22</v>
      </c>
    </row>
    <row r="12194" spans="1:4" x14ac:dyDescent="0.3">
      <c r="A12194" s="4">
        <v>21021</v>
      </c>
      <c r="B12194" s="833" t="s">
        <v>16462</v>
      </c>
      <c r="C12194" s="4" t="s">
        <v>1803</v>
      </c>
      <c r="D12194" s="834">
        <v>30.39</v>
      </c>
    </row>
    <row r="12195" spans="1:4" x14ac:dyDescent="0.3">
      <c r="A12195" s="4">
        <v>21024</v>
      </c>
      <c r="B12195" s="833" t="s">
        <v>16463</v>
      </c>
      <c r="C12195" s="4" t="s">
        <v>1803</v>
      </c>
      <c r="D12195" s="834">
        <v>65.12</v>
      </c>
    </row>
    <row r="12196" spans="1:4" x14ac:dyDescent="0.3">
      <c r="A12196" s="4">
        <v>40624</v>
      </c>
      <c r="B12196" s="833" t="s">
        <v>16464</v>
      </c>
      <c r="C12196" s="4" t="s">
        <v>1803</v>
      </c>
      <c r="D12196" s="834">
        <v>85.31</v>
      </c>
    </row>
    <row r="12197" spans="1:4" x14ac:dyDescent="0.3">
      <c r="A12197" s="4">
        <v>42575</v>
      </c>
      <c r="B12197" s="833" t="s">
        <v>16465</v>
      </c>
      <c r="C12197" s="4" t="s">
        <v>1803</v>
      </c>
      <c r="D12197" s="834">
        <v>78.290000000000006</v>
      </c>
    </row>
    <row r="12198" spans="1:4" x14ac:dyDescent="0.3">
      <c r="A12198" s="4">
        <v>13127</v>
      </c>
      <c r="B12198" s="833" t="s">
        <v>16466</v>
      </c>
      <c r="C12198" s="4" t="s">
        <v>1803</v>
      </c>
      <c r="D12198" s="834">
        <v>38.049999999999997</v>
      </c>
    </row>
    <row r="12199" spans="1:4" x14ac:dyDescent="0.3">
      <c r="A12199" s="4">
        <v>13137</v>
      </c>
      <c r="B12199" s="833" t="s">
        <v>16467</v>
      </c>
      <c r="C12199" s="4" t="s">
        <v>1803</v>
      </c>
      <c r="D12199" s="834">
        <v>50.49</v>
      </c>
    </row>
    <row r="12200" spans="1:4" x14ac:dyDescent="0.3">
      <c r="A12200" s="4">
        <v>42574</v>
      </c>
      <c r="B12200" s="833" t="s">
        <v>16468</v>
      </c>
      <c r="C12200" s="4" t="s">
        <v>1803</v>
      </c>
      <c r="D12200" s="834">
        <v>58.42</v>
      </c>
    </row>
    <row r="12201" spans="1:4" x14ac:dyDescent="0.3">
      <c r="A12201" s="4">
        <v>20989</v>
      </c>
      <c r="B12201" s="833" t="s">
        <v>16469</v>
      </c>
      <c r="C12201" s="4" t="s">
        <v>1803</v>
      </c>
      <c r="D12201" s="834">
        <v>1809.07</v>
      </c>
    </row>
    <row r="12202" spans="1:4" x14ac:dyDescent="0.3">
      <c r="A12202" s="4">
        <v>21147</v>
      </c>
      <c r="B12202" s="833" t="s">
        <v>16470</v>
      </c>
      <c r="C12202" s="4" t="s">
        <v>1803</v>
      </c>
      <c r="D12202" s="834">
        <v>169.62</v>
      </c>
    </row>
    <row r="12203" spans="1:4" x14ac:dyDescent="0.3">
      <c r="A12203" s="4">
        <v>21148</v>
      </c>
      <c r="B12203" s="833" t="s">
        <v>16471</v>
      </c>
      <c r="C12203" s="4" t="s">
        <v>1803</v>
      </c>
      <c r="D12203" s="834">
        <v>104.69</v>
      </c>
    </row>
    <row r="12204" spans="1:4" x14ac:dyDescent="0.3">
      <c r="A12204" s="4">
        <v>20984</v>
      </c>
      <c r="B12204" s="833" t="s">
        <v>16472</v>
      </c>
      <c r="C12204" s="4" t="s">
        <v>1803</v>
      </c>
      <c r="D12204" s="834">
        <v>3471.25</v>
      </c>
    </row>
    <row r="12205" spans="1:4" x14ac:dyDescent="0.3">
      <c r="A12205" s="4">
        <v>13042</v>
      </c>
      <c r="B12205" s="833" t="s">
        <v>16473</v>
      </c>
      <c r="C12205" s="4" t="s">
        <v>1803</v>
      </c>
      <c r="D12205" s="834">
        <v>1923.58</v>
      </c>
    </row>
    <row r="12206" spans="1:4" x14ac:dyDescent="0.3">
      <c r="A12206" s="4">
        <v>21150</v>
      </c>
      <c r="B12206" s="833" t="s">
        <v>16474</v>
      </c>
      <c r="C12206" s="4" t="s">
        <v>1803</v>
      </c>
      <c r="D12206" s="834">
        <v>51.91</v>
      </c>
    </row>
    <row r="12207" spans="1:4" x14ac:dyDescent="0.3">
      <c r="A12207" s="4">
        <v>13141</v>
      </c>
      <c r="B12207" s="833" t="s">
        <v>16475</v>
      </c>
      <c r="C12207" s="4" t="s">
        <v>1803</v>
      </c>
      <c r="D12207" s="834">
        <v>65.400000000000006</v>
      </c>
    </row>
    <row r="12208" spans="1:4" x14ac:dyDescent="0.3">
      <c r="A12208" s="4">
        <v>42576</v>
      </c>
      <c r="B12208" s="833" t="s">
        <v>16476</v>
      </c>
      <c r="C12208" s="4" t="s">
        <v>1803</v>
      </c>
      <c r="D12208" s="834">
        <v>213.55</v>
      </c>
    </row>
    <row r="12209" spans="1:4" x14ac:dyDescent="0.3">
      <c r="A12209" s="4">
        <v>21151</v>
      </c>
      <c r="B12209" s="833" t="s">
        <v>16477</v>
      </c>
      <c r="C12209" s="4" t="s">
        <v>1803</v>
      </c>
      <c r="D12209" s="834">
        <v>310.72000000000003</v>
      </c>
    </row>
    <row r="12210" spans="1:4" x14ac:dyDescent="0.3">
      <c r="A12210" s="4">
        <v>13142</v>
      </c>
      <c r="B12210" s="833" t="s">
        <v>16478</v>
      </c>
      <c r="C12210" s="4" t="s">
        <v>1803</v>
      </c>
      <c r="D12210" s="834">
        <v>444.2</v>
      </c>
    </row>
    <row r="12211" spans="1:4" x14ac:dyDescent="0.3">
      <c r="A12211" s="4">
        <v>42577</v>
      </c>
      <c r="B12211" s="833" t="s">
        <v>16479</v>
      </c>
      <c r="C12211" s="4" t="s">
        <v>1803</v>
      </c>
      <c r="D12211" s="834">
        <v>487.4</v>
      </c>
    </row>
    <row r="12212" spans="1:4" x14ac:dyDescent="0.3">
      <c r="A12212" s="4">
        <v>20994</v>
      </c>
      <c r="B12212" s="833" t="s">
        <v>16480</v>
      </c>
      <c r="C12212" s="4" t="s">
        <v>1803</v>
      </c>
      <c r="D12212" s="834">
        <v>837.51</v>
      </c>
    </row>
    <row r="12213" spans="1:4" x14ac:dyDescent="0.3">
      <c r="A12213" s="4">
        <v>7672</v>
      </c>
      <c r="B12213" s="833" t="s">
        <v>16481</v>
      </c>
      <c r="C12213" s="4" t="s">
        <v>1803</v>
      </c>
      <c r="D12213" s="834">
        <v>548.66</v>
      </c>
    </row>
    <row r="12214" spans="1:4" x14ac:dyDescent="0.3">
      <c r="A12214" s="4">
        <v>20995</v>
      </c>
      <c r="B12214" s="833" t="s">
        <v>16482</v>
      </c>
      <c r="C12214" s="4" t="s">
        <v>1803</v>
      </c>
      <c r="D12214" s="834">
        <v>1100.6400000000001</v>
      </c>
    </row>
    <row r="12215" spans="1:4" x14ac:dyDescent="0.3">
      <c r="A12215" s="4">
        <v>7690</v>
      </c>
      <c r="B12215" s="833" t="s">
        <v>16483</v>
      </c>
      <c r="C12215" s="4" t="s">
        <v>1803</v>
      </c>
      <c r="D12215" s="834">
        <v>636.57000000000005</v>
      </c>
    </row>
    <row r="12216" spans="1:4" x14ac:dyDescent="0.3">
      <c r="A12216" s="4">
        <v>20980</v>
      </c>
      <c r="B12216" s="833" t="s">
        <v>16484</v>
      </c>
      <c r="C12216" s="4" t="s">
        <v>1803</v>
      </c>
      <c r="D12216" s="834">
        <v>694.44</v>
      </c>
    </row>
    <row r="12217" spans="1:4" x14ac:dyDescent="0.3">
      <c r="A12217" s="4">
        <v>7661</v>
      </c>
      <c r="B12217" s="833" t="s">
        <v>16485</v>
      </c>
      <c r="C12217" s="4" t="s">
        <v>1803</v>
      </c>
      <c r="D12217" s="834">
        <v>826.1</v>
      </c>
    </row>
    <row r="12218" spans="1:4" x14ac:dyDescent="0.3">
      <c r="A12218" s="4">
        <v>21016</v>
      </c>
      <c r="B12218" s="833" t="s">
        <v>16486</v>
      </c>
      <c r="C12218" s="4" t="s">
        <v>1803</v>
      </c>
      <c r="D12218" s="834">
        <v>158.4</v>
      </c>
    </row>
    <row r="12219" spans="1:4" x14ac:dyDescent="0.3">
      <c r="A12219" s="4">
        <v>21008</v>
      </c>
      <c r="B12219" s="833" t="s">
        <v>16487</v>
      </c>
      <c r="C12219" s="4" t="s">
        <v>1803</v>
      </c>
      <c r="D12219" s="834">
        <v>18.5</v>
      </c>
    </row>
    <row r="12220" spans="1:4" x14ac:dyDescent="0.3">
      <c r="A12220" s="4">
        <v>21009</v>
      </c>
      <c r="B12220" s="833" t="s">
        <v>16488</v>
      </c>
      <c r="C12220" s="4" t="s">
        <v>1803</v>
      </c>
      <c r="D12220" s="834">
        <v>24.09</v>
      </c>
    </row>
    <row r="12221" spans="1:4" x14ac:dyDescent="0.3">
      <c r="A12221" s="4">
        <v>21010</v>
      </c>
      <c r="B12221" s="833" t="s">
        <v>16489</v>
      </c>
      <c r="C12221" s="4" t="s">
        <v>1803</v>
      </c>
      <c r="D12221" s="834">
        <v>32.35</v>
      </c>
    </row>
    <row r="12222" spans="1:4" x14ac:dyDescent="0.3">
      <c r="A12222" s="4">
        <v>21011</v>
      </c>
      <c r="B12222" s="833" t="s">
        <v>16490</v>
      </c>
      <c r="C12222" s="4" t="s">
        <v>1803</v>
      </c>
      <c r="D12222" s="834">
        <v>47.15</v>
      </c>
    </row>
    <row r="12223" spans="1:4" x14ac:dyDescent="0.3">
      <c r="A12223" s="4">
        <v>21012</v>
      </c>
      <c r="B12223" s="833" t="s">
        <v>16491</v>
      </c>
      <c r="C12223" s="4" t="s">
        <v>1803</v>
      </c>
      <c r="D12223" s="834">
        <v>52.1</v>
      </c>
    </row>
    <row r="12224" spans="1:4" x14ac:dyDescent="0.3">
      <c r="A12224" s="4">
        <v>21013</v>
      </c>
      <c r="B12224" s="833" t="s">
        <v>16492</v>
      </c>
      <c r="C12224" s="4" t="s">
        <v>1803</v>
      </c>
      <c r="D12224" s="834">
        <v>67.989999999999995</v>
      </c>
    </row>
    <row r="12225" spans="1:4" x14ac:dyDescent="0.3">
      <c r="A12225" s="4">
        <v>21014</v>
      </c>
      <c r="B12225" s="833" t="s">
        <v>16493</v>
      </c>
      <c r="C12225" s="4" t="s">
        <v>1803</v>
      </c>
      <c r="D12225" s="834">
        <v>95.14</v>
      </c>
    </row>
    <row r="12226" spans="1:4" x14ac:dyDescent="0.3">
      <c r="A12226" s="4">
        <v>21015</v>
      </c>
      <c r="B12226" s="833" t="s">
        <v>16494</v>
      </c>
      <c r="C12226" s="4" t="s">
        <v>1803</v>
      </c>
      <c r="D12226" s="834">
        <v>109.3</v>
      </c>
    </row>
    <row r="12227" spans="1:4" x14ac:dyDescent="0.3">
      <c r="A12227" s="4">
        <v>7697</v>
      </c>
      <c r="B12227" s="833" t="s">
        <v>16495</v>
      </c>
      <c r="C12227" s="4" t="s">
        <v>1803</v>
      </c>
      <c r="D12227" s="834">
        <v>52.15</v>
      </c>
    </row>
    <row r="12228" spans="1:4" x14ac:dyDescent="0.3">
      <c r="A12228" s="4">
        <v>7698</v>
      </c>
      <c r="B12228" s="833" t="s">
        <v>16496</v>
      </c>
      <c r="C12228" s="4" t="s">
        <v>1803</v>
      </c>
      <c r="D12228" s="834">
        <v>44.89</v>
      </c>
    </row>
    <row r="12229" spans="1:4" x14ac:dyDescent="0.3">
      <c r="A12229" s="4">
        <v>7691</v>
      </c>
      <c r="B12229" s="833" t="s">
        <v>16497</v>
      </c>
      <c r="C12229" s="4" t="s">
        <v>1803</v>
      </c>
      <c r="D12229" s="834">
        <v>18.97</v>
      </c>
    </row>
    <row r="12230" spans="1:4" x14ac:dyDescent="0.3">
      <c r="A12230" s="4">
        <v>40626</v>
      </c>
      <c r="B12230" s="833" t="s">
        <v>16498</v>
      </c>
      <c r="C12230" s="4" t="s">
        <v>1803</v>
      </c>
      <c r="D12230" s="834">
        <v>35.6</v>
      </c>
    </row>
    <row r="12231" spans="1:4" x14ac:dyDescent="0.3">
      <c r="A12231" s="4">
        <v>7701</v>
      </c>
      <c r="B12231" s="833" t="s">
        <v>16499</v>
      </c>
      <c r="C12231" s="4" t="s">
        <v>1803</v>
      </c>
      <c r="D12231" s="834">
        <v>93.33</v>
      </c>
    </row>
    <row r="12232" spans="1:4" x14ac:dyDescent="0.3">
      <c r="A12232" s="4">
        <v>7696</v>
      </c>
      <c r="B12232" s="833" t="s">
        <v>16500</v>
      </c>
      <c r="C12232" s="4" t="s">
        <v>1803</v>
      </c>
      <c r="D12232" s="834">
        <v>75.209999999999994</v>
      </c>
    </row>
    <row r="12233" spans="1:4" x14ac:dyDescent="0.3">
      <c r="A12233" s="4">
        <v>7700</v>
      </c>
      <c r="B12233" s="833" t="s">
        <v>16501</v>
      </c>
      <c r="C12233" s="4" t="s">
        <v>1803</v>
      </c>
      <c r="D12233" s="834">
        <v>23.99</v>
      </c>
    </row>
    <row r="12234" spans="1:4" x14ac:dyDescent="0.3">
      <c r="A12234" s="4">
        <v>7694</v>
      </c>
      <c r="B12234" s="833" t="s">
        <v>16502</v>
      </c>
      <c r="C12234" s="4" t="s">
        <v>1803</v>
      </c>
      <c r="D12234" s="834">
        <v>125.6</v>
      </c>
    </row>
    <row r="12235" spans="1:4" x14ac:dyDescent="0.3">
      <c r="A12235" s="4">
        <v>7693</v>
      </c>
      <c r="B12235" s="833" t="s">
        <v>16503</v>
      </c>
      <c r="C12235" s="4" t="s">
        <v>1803</v>
      </c>
      <c r="D12235" s="834">
        <v>172.98</v>
      </c>
    </row>
    <row r="12236" spans="1:4" x14ac:dyDescent="0.3">
      <c r="A12236" s="4">
        <v>7692</v>
      </c>
      <c r="B12236" s="833" t="s">
        <v>16504</v>
      </c>
      <c r="C12236" s="4" t="s">
        <v>1803</v>
      </c>
      <c r="D12236" s="834">
        <v>258.98</v>
      </c>
    </row>
    <row r="12237" spans="1:4" x14ac:dyDescent="0.3">
      <c r="A12237" s="4">
        <v>7695</v>
      </c>
      <c r="B12237" s="833" t="s">
        <v>16505</v>
      </c>
      <c r="C12237" s="4" t="s">
        <v>1803</v>
      </c>
      <c r="D12237" s="834">
        <v>280.87</v>
      </c>
    </row>
    <row r="12238" spans="1:4" x14ac:dyDescent="0.3">
      <c r="A12238" s="4">
        <v>13356</v>
      </c>
      <c r="B12238" s="833" t="s">
        <v>16506</v>
      </c>
      <c r="C12238" s="4" t="s">
        <v>1803</v>
      </c>
      <c r="D12238" s="834">
        <v>20.36</v>
      </c>
    </row>
    <row r="12239" spans="1:4" x14ac:dyDescent="0.3">
      <c r="A12239" s="4">
        <v>36365</v>
      </c>
      <c r="B12239" s="833" t="s">
        <v>16507</v>
      </c>
      <c r="C12239" s="4" t="s">
        <v>1803</v>
      </c>
      <c r="D12239" s="834">
        <v>41.42</v>
      </c>
    </row>
    <row r="12240" spans="1:4" x14ac:dyDescent="0.3">
      <c r="A12240" s="4">
        <v>41930</v>
      </c>
      <c r="B12240" s="833" t="s">
        <v>16508</v>
      </c>
      <c r="C12240" s="4" t="s">
        <v>1803</v>
      </c>
      <c r="D12240" s="834">
        <v>137.96</v>
      </c>
    </row>
    <row r="12241" spans="1:4" x14ac:dyDescent="0.3">
      <c r="A12241" s="4">
        <v>41931</v>
      </c>
      <c r="B12241" s="833" t="s">
        <v>16509</v>
      </c>
      <c r="C12241" s="4" t="s">
        <v>1803</v>
      </c>
      <c r="D12241" s="834">
        <v>216.08</v>
      </c>
    </row>
    <row r="12242" spans="1:4" x14ac:dyDescent="0.3">
      <c r="A12242" s="4">
        <v>41932</v>
      </c>
      <c r="B12242" s="833" t="s">
        <v>16510</v>
      </c>
      <c r="C12242" s="4" t="s">
        <v>1803</v>
      </c>
      <c r="D12242" s="834">
        <v>332.58</v>
      </c>
    </row>
    <row r="12243" spans="1:4" x14ac:dyDescent="0.3">
      <c r="A12243" s="4">
        <v>41933</v>
      </c>
      <c r="B12243" s="833" t="s">
        <v>16511</v>
      </c>
      <c r="C12243" s="4" t="s">
        <v>1803</v>
      </c>
      <c r="D12243" s="834">
        <v>470.02</v>
      </c>
    </row>
    <row r="12244" spans="1:4" x14ac:dyDescent="0.3">
      <c r="A12244" s="4">
        <v>41934</v>
      </c>
      <c r="B12244" s="833" t="s">
        <v>16512</v>
      </c>
      <c r="C12244" s="4" t="s">
        <v>1803</v>
      </c>
      <c r="D12244" s="834">
        <v>547.4</v>
      </c>
    </row>
    <row r="12245" spans="1:4" x14ac:dyDescent="0.3">
      <c r="A12245" s="4">
        <v>41936</v>
      </c>
      <c r="B12245" s="833" t="s">
        <v>16513</v>
      </c>
      <c r="C12245" s="4" t="s">
        <v>1803</v>
      </c>
      <c r="D12245" s="834">
        <v>81.239999999999995</v>
      </c>
    </row>
    <row r="12246" spans="1:4" x14ac:dyDescent="0.3">
      <c r="A12246" s="4">
        <v>44812</v>
      </c>
      <c r="B12246" s="833" t="s">
        <v>16514</v>
      </c>
      <c r="C12246" s="4" t="s">
        <v>1803</v>
      </c>
      <c r="D12246" s="834">
        <v>492.24</v>
      </c>
    </row>
    <row r="12247" spans="1:4" x14ac:dyDescent="0.3">
      <c r="A12247" s="4">
        <v>41785</v>
      </c>
      <c r="B12247" s="833" t="s">
        <v>16515</v>
      </c>
      <c r="C12247" s="4" t="s">
        <v>1803</v>
      </c>
      <c r="D12247" s="834">
        <v>1824.22</v>
      </c>
    </row>
    <row r="12248" spans="1:4" x14ac:dyDescent="0.3">
      <c r="A12248" s="4">
        <v>41781</v>
      </c>
      <c r="B12248" s="833" t="s">
        <v>16516</v>
      </c>
      <c r="C12248" s="4" t="s">
        <v>1803</v>
      </c>
      <c r="D12248" s="834">
        <v>329.39</v>
      </c>
    </row>
    <row r="12249" spans="1:4" x14ac:dyDescent="0.3">
      <c r="A12249" s="4">
        <v>41783</v>
      </c>
      <c r="B12249" s="833" t="s">
        <v>16517</v>
      </c>
      <c r="C12249" s="4" t="s">
        <v>1803</v>
      </c>
      <c r="D12249" s="834">
        <v>1184.19</v>
      </c>
    </row>
    <row r="12250" spans="1:4" x14ac:dyDescent="0.3">
      <c r="A12250" s="4">
        <v>41786</v>
      </c>
      <c r="B12250" s="833" t="s">
        <v>16518</v>
      </c>
      <c r="C12250" s="4" t="s">
        <v>1803</v>
      </c>
      <c r="D12250" s="834">
        <v>2521.1799999999998</v>
      </c>
    </row>
    <row r="12251" spans="1:4" x14ac:dyDescent="0.3">
      <c r="A12251" s="4">
        <v>41779</v>
      </c>
      <c r="B12251" s="833" t="s">
        <v>16519</v>
      </c>
      <c r="C12251" s="4" t="s">
        <v>1803</v>
      </c>
      <c r="D12251" s="834">
        <v>129.72</v>
      </c>
    </row>
    <row r="12252" spans="1:4" x14ac:dyDescent="0.3">
      <c r="A12252" s="4">
        <v>41780</v>
      </c>
      <c r="B12252" s="833" t="s">
        <v>16520</v>
      </c>
      <c r="C12252" s="4" t="s">
        <v>1803</v>
      </c>
      <c r="D12252" s="834">
        <v>203.24</v>
      </c>
    </row>
    <row r="12253" spans="1:4" x14ac:dyDescent="0.3">
      <c r="A12253" s="4">
        <v>41782</v>
      </c>
      <c r="B12253" s="833" t="s">
        <v>16521</v>
      </c>
      <c r="C12253" s="4" t="s">
        <v>1803</v>
      </c>
      <c r="D12253" s="834">
        <v>728.04</v>
      </c>
    </row>
    <row r="12254" spans="1:4" x14ac:dyDescent="0.3">
      <c r="A12254" s="4">
        <v>38130</v>
      </c>
      <c r="B12254" s="833" t="s">
        <v>16522</v>
      </c>
      <c r="C12254" s="4" t="s">
        <v>1803</v>
      </c>
      <c r="D12254" s="834">
        <v>43.3</v>
      </c>
    </row>
    <row r="12255" spans="1:4" x14ac:dyDescent="0.3">
      <c r="A12255" s="4">
        <v>44260</v>
      </c>
      <c r="B12255" s="833" t="s">
        <v>16523</v>
      </c>
      <c r="C12255" s="4" t="s">
        <v>1803</v>
      </c>
      <c r="D12255" s="834">
        <v>409.83</v>
      </c>
    </row>
    <row r="12256" spans="1:4" x14ac:dyDescent="0.3">
      <c r="A12256" s="4">
        <v>21123</v>
      </c>
      <c r="B12256" s="833" t="s">
        <v>16524</v>
      </c>
      <c r="C12256" s="4" t="s">
        <v>1803</v>
      </c>
      <c r="D12256" s="834">
        <v>12.05</v>
      </c>
    </row>
    <row r="12257" spans="1:4" x14ac:dyDescent="0.3">
      <c r="A12257" s="4">
        <v>21124</v>
      </c>
      <c r="B12257" s="833" t="s">
        <v>16525</v>
      </c>
      <c r="C12257" s="4" t="s">
        <v>1803</v>
      </c>
      <c r="D12257" s="834">
        <v>19.25</v>
      </c>
    </row>
    <row r="12258" spans="1:4" x14ac:dyDescent="0.3">
      <c r="A12258" s="4">
        <v>21125</v>
      </c>
      <c r="B12258" s="833" t="s">
        <v>16526</v>
      </c>
      <c r="C12258" s="4" t="s">
        <v>1803</v>
      </c>
      <c r="D12258" s="834">
        <v>33.15</v>
      </c>
    </row>
    <row r="12259" spans="1:4" x14ac:dyDescent="0.3">
      <c r="A12259" s="4">
        <v>38028</v>
      </c>
      <c r="B12259" s="833" t="s">
        <v>16527</v>
      </c>
      <c r="C12259" s="4" t="s">
        <v>1803</v>
      </c>
      <c r="D12259" s="834">
        <v>57.97</v>
      </c>
    </row>
    <row r="12260" spans="1:4" x14ac:dyDescent="0.3">
      <c r="A12260" s="4">
        <v>38029</v>
      </c>
      <c r="B12260" s="833" t="s">
        <v>16528</v>
      </c>
      <c r="C12260" s="4" t="s">
        <v>1803</v>
      </c>
      <c r="D12260" s="834">
        <v>84.84</v>
      </c>
    </row>
    <row r="12261" spans="1:4" x14ac:dyDescent="0.3">
      <c r="A12261" s="4">
        <v>38030</v>
      </c>
      <c r="B12261" s="833" t="s">
        <v>16529</v>
      </c>
      <c r="C12261" s="4" t="s">
        <v>1803</v>
      </c>
      <c r="D12261" s="834">
        <v>137.19999999999999</v>
      </c>
    </row>
    <row r="12262" spans="1:4" x14ac:dyDescent="0.3">
      <c r="A12262" s="4">
        <v>38031</v>
      </c>
      <c r="B12262" s="833" t="s">
        <v>16530</v>
      </c>
      <c r="C12262" s="4" t="s">
        <v>1803</v>
      </c>
      <c r="D12262" s="834">
        <v>215.34</v>
      </c>
    </row>
    <row r="12263" spans="1:4" x14ac:dyDescent="0.3">
      <c r="A12263" s="4">
        <v>39735</v>
      </c>
      <c r="B12263" s="833" t="s">
        <v>16531</v>
      </c>
      <c r="C12263" s="4" t="s">
        <v>1803</v>
      </c>
      <c r="D12263" s="834">
        <v>55.44</v>
      </c>
    </row>
    <row r="12264" spans="1:4" x14ac:dyDescent="0.3">
      <c r="A12264" s="4">
        <v>39734</v>
      </c>
      <c r="B12264" s="833" t="s">
        <v>16532</v>
      </c>
      <c r="C12264" s="4" t="s">
        <v>1803</v>
      </c>
      <c r="D12264" s="834">
        <v>65.760000000000005</v>
      </c>
    </row>
    <row r="12265" spans="1:4" x14ac:dyDescent="0.3">
      <c r="A12265" s="4">
        <v>39736</v>
      </c>
      <c r="B12265" s="833" t="s">
        <v>16533</v>
      </c>
      <c r="C12265" s="4" t="s">
        <v>1803</v>
      </c>
      <c r="D12265" s="834">
        <v>75.05</v>
      </c>
    </row>
    <row r="12266" spans="1:4" x14ac:dyDescent="0.3">
      <c r="A12266" s="4">
        <v>39737</v>
      </c>
      <c r="B12266" s="833" t="s">
        <v>16534</v>
      </c>
      <c r="C12266" s="4" t="s">
        <v>1803</v>
      </c>
      <c r="D12266" s="834">
        <v>10.09</v>
      </c>
    </row>
    <row r="12267" spans="1:4" x14ac:dyDescent="0.3">
      <c r="A12267" s="4">
        <v>39738</v>
      </c>
      <c r="B12267" s="833" t="s">
        <v>16535</v>
      </c>
      <c r="C12267" s="4" t="s">
        <v>1803</v>
      </c>
      <c r="D12267" s="834">
        <v>3.65</v>
      </c>
    </row>
    <row r="12268" spans="1:4" x14ac:dyDescent="0.3">
      <c r="A12268" s="4">
        <v>39739</v>
      </c>
      <c r="B12268" s="833" t="s">
        <v>16536</v>
      </c>
      <c r="C12268" s="4" t="s">
        <v>1803</v>
      </c>
      <c r="D12268" s="834">
        <v>51.9</v>
      </c>
    </row>
    <row r="12269" spans="1:4" x14ac:dyDescent="0.3">
      <c r="A12269" s="4">
        <v>39733</v>
      </c>
      <c r="B12269" s="833" t="s">
        <v>16537</v>
      </c>
      <c r="C12269" s="4" t="s">
        <v>1803</v>
      </c>
      <c r="D12269" s="834">
        <v>89.82</v>
      </c>
    </row>
    <row r="12270" spans="1:4" x14ac:dyDescent="0.3">
      <c r="A12270" s="4">
        <v>39854</v>
      </c>
      <c r="B12270" s="833" t="s">
        <v>16538</v>
      </c>
      <c r="C12270" s="4" t="s">
        <v>1803</v>
      </c>
      <c r="D12270" s="834">
        <v>91.09</v>
      </c>
    </row>
    <row r="12271" spans="1:4" x14ac:dyDescent="0.3">
      <c r="A12271" s="4">
        <v>39740</v>
      </c>
      <c r="B12271" s="833" t="s">
        <v>16539</v>
      </c>
      <c r="C12271" s="4" t="s">
        <v>1803</v>
      </c>
      <c r="D12271" s="834">
        <v>49.84</v>
      </c>
    </row>
    <row r="12272" spans="1:4" x14ac:dyDescent="0.3">
      <c r="A12272" s="4">
        <v>39741</v>
      </c>
      <c r="B12272" s="833" t="s">
        <v>16540</v>
      </c>
      <c r="C12272" s="4" t="s">
        <v>1803</v>
      </c>
      <c r="D12272" s="834">
        <v>9.18</v>
      </c>
    </row>
    <row r="12273" spans="1:4" x14ac:dyDescent="0.3">
      <c r="A12273" s="4">
        <v>39853</v>
      </c>
      <c r="B12273" s="833" t="s">
        <v>16541</v>
      </c>
      <c r="C12273" s="4" t="s">
        <v>1803</v>
      </c>
      <c r="D12273" s="834">
        <v>12.06</v>
      </c>
    </row>
    <row r="12274" spans="1:4" x14ac:dyDescent="0.3">
      <c r="A12274" s="4">
        <v>39742</v>
      </c>
      <c r="B12274" s="833" t="s">
        <v>16542</v>
      </c>
      <c r="C12274" s="4" t="s">
        <v>1803</v>
      </c>
      <c r="D12274" s="834">
        <v>40.06</v>
      </c>
    </row>
    <row r="12275" spans="1:4" x14ac:dyDescent="0.3">
      <c r="A12275" s="4">
        <v>39751</v>
      </c>
      <c r="B12275" s="833" t="s">
        <v>16543</v>
      </c>
      <c r="C12275" s="4" t="s">
        <v>1803</v>
      </c>
      <c r="D12275" s="834">
        <v>301.31</v>
      </c>
    </row>
    <row r="12276" spans="1:4" x14ac:dyDescent="0.3">
      <c r="A12276" s="4">
        <v>39750</v>
      </c>
      <c r="B12276" s="833" t="s">
        <v>16544</v>
      </c>
      <c r="C12276" s="4" t="s">
        <v>1803</v>
      </c>
      <c r="D12276" s="834">
        <v>250.44</v>
      </c>
    </row>
    <row r="12277" spans="1:4" x14ac:dyDescent="0.3">
      <c r="A12277" s="4">
        <v>39747</v>
      </c>
      <c r="B12277" s="833" t="s">
        <v>16545</v>
      </c>
      <c r="C12277" s="4" t="s">
        <v>1803</v>
      </c>
      <c r="D12277" s="834">
        <v>80.56</v>
      </c>
    </row>
    <row r="12278" spans="1:4" x14ac:dyDescent="0.3">
      <c r="A12278" s="4">
        <v>39749</v>
      </c>
      <c r="B12278" s="833" t="s">
        <v>16546</v>
      </c>
      <c r="C12278" s="4" t="s">
        <v>1803</v>
      </c>
      <c r="D12278" s="834">
        <v>165.81</v>
      </c>
    </row>
    <row r="12279" spans="1:4" x14ac:dyDescent="0.3">
      <c r="A12279" s="4">
        <v>39753</v>
      </c>
      <c r="B12279" s="833" t="s">
        <v>16547</v>
      </c>
      <c r="C12279" s="4" t="s">
        <v>1803</v>
      </c>
      <c r="D12279" s="834">
        <v>554.63</v>
      </c>
    </row>
    <row r="12280" spans="1:4" x14ac:dyDescent="0.3">
      <c r="A12280" s="4">
        <v>39752</v>
      </c>
      <c r="B12280" s="833" t="s">
        <v>16548</v>
      </c>
      <c r="C12280" s="4" t="s">
        <v>1803</v>
      </c>
      <c r="D12280" s="834">
        <v>428.73</v>
      </c>
    </row>
    <row r="12281" spans="1:4" x14ac:dyDescent="0.3">
      <c r="A12281" s="4">
        <v>39748</v>
      </c>
      <c r="B12281" s="833" t="s">
        <v>16549</v>
      </c>
      <c r="C12281" s="4" t="s">
        <v>1803</v>
      </c>
      <c r="D12281" s="834">
        <v>130.35</v>
      </c>
    </row>
    <row r="12282" spans="1:4" x14ac:dyDescent="0.3">
      <c r="A12282" s="4">
        <v>39754</v>
      </c>
      <c r="B12282" s="833" t="s">
        <v>16550</v>
      </c>
      <c r="C12282" s="4" t="s">
        <v>1803</v>
      </c>
      <c r="D12282" s="834">
        <v>817.12</v>
      </c>
    </row>
    <row r="12283" spans="1:4" x14ac:dyDescent="0.3">
      <c r="A12283" s="4">
        <v>39755</v>
      </c>
      <c r="B12283" s="833" t="s">
        <v>16551</v>
      </c>
      <c r="C12283" s="4" t="s">
        <v>1803</v>
      </c>
      <c r="D12283" s="834">
        <v>1238.94</v>
      </c>
    </row>
    <row r="12284" spans="1:4" x14ac:dyDescent="0.3">
      <c r="A12284" s="4">
        <v>12742</v>
      </c>
      <c r="B12284" s="833" t="s">
        <v>16552</v>
      </c>
      <c r="C12284" s="4" t="s">
        <v>1803</v>
      </c>
      <c r="D12284" s="834">
        <v>981.03</v>
      </c>
    </row>
    <row r="12285" spans="1:4" x14ac:dyDescent="0.3">
      <c r="A12285" s="4">
        <v>12713</v>
      </c>
      <c r="B12285" s="833" t="s">
        <v>16553</v>
      </c>
      <c r="C12285" s="4" t="s">
        <v>1803</v>
      </c>
      <c r="D12285" s="834">
        <v>52.03</v>
      </c>
    </row>
    <row r="12286" spans="1:4" x14ac:dyDescent="0.3">
      <c r="A12286" s="4">
        <v>12743</v>
      </c>
      <c r="B12286" s="833" t="s">
        <v>16554</v>
      </c>
      <c r="C12286" s="4" t="s">
        <v>1803</v>
      </c>
      <c r="D12286" s="834">
        <v>89.5</v>
      </c>
    </row>
    <row r="12287" spans="1:4" x14ac:dyDescent="0.3">
      <c r="A12287" s="4">
        <v>12744</v>
      </c>
      <c r="B12287" s="833" t="s">
        <v>16555</v>
      </c>
      <c r="C12287" s="4" t="s">
        <v>1803</v>
      </c>
      <c r="D12287" s="834">
        <v>113.59</v>
      </c>
    </row>
    <row r="12288" spans="1:4" x14ac:dyDescent="0.3">
      <c r="A12288" s="4">
        <v>12745</v>
      </c>
      <c r="B12288" s="833" t="s">
        <v>16556</v>
      </c>
      <c r="C12288" s="4" t="s">
        <v>1803</v>
      </c>
      <c r="D12288" s="834">
        <v>164.96</v>
      </c>
    </row>
    <row r="12289" spans="1:4" x14ac:dyDescent="0.3">
      <c r="A12289" s="4">
        <v>12746</v>
      </c>
      <c r="B12289" s="833" t="s">
        <v>16557</v>
      </c>
      <c r="C12289" s="4" t="s">
        <v>1803</v>
      </c>
      <c r="D12289" s="834">
        <v>222.76</v>
      </c>
    </row>
    <row r="12290" spans="1:4" x14ac:dyDescent="0.3">
      <c r="A12290" s="4">
        <v>12747</v>
      </c>
      <c r="B12290" s="833" t="s">
        <v>16558</v>
      </c>
      <c r="C12290" s="4" t="s">
        <v>1803</v>
      </c>
      <c r="D12290" s="834">
        <v>323.05</v>
      </c>
    </row>
    <row r="12291" spans="1:4" x14ac:dyDescent="0.3">
      <c r="A12291" s="4">
        <v>12748</v>
      </c>
      <c r="B12291" s="833" t="s">
        <v>16559</v>
      </c>
      <c r="C12291" s="4" t="s">
        <v>1803</v>
      </c>
      <c r="D12291" s="834">
        <v>455.11</v>
      </c>
    </row>
    <row r="12292" spans="1:4" x14ac:dyDescent="0.3">
      <c r="A12292" s="4">
        <v>12749</v>
      </c>
      <c r="B12292" s="833" t="s">
        <v>16560</v>
      </c>
      <c r="C12292" s="4" t="s">
        <v>1803</v>
      </c>
      <c r="D12292" s="834">
        <v>665.31</v>
      </c>
    </row>
    <row r="12293" spans="1:4" x14ac:dyDescent="0.3">
      <c r="A12293" s="4">
        <v>39660</v>
      </c>
      <c r="B12293" s="833" t="s">
        <v>16561</v>
      </c>
      <c r="C12293" s="4" t="s">
        <v>1803</v>
      </c>
      <c r="D12293" s="834">
        <v>68.55</v>
      </c>
    </row>
    <row r="12294" spans="1:4" x14ac:dyDescent="0.3">
      <c r="A12294" s="4">
        <v>39662</v>
      </c>
      <c r="B12294" s="833" t="s">
        <v>16562</v>
      </c>
      <c r="C12294" s="4" t="s">
        <v>1803</v>
      </c>
      <c r="D12294" s="834">
        <v>32.86</v>
      </c>
    </row>
    <row r="12295" spans="1:4" x14ac:dyDescent="0.3">
      <c r="A12295" s="4">
        <v>39661</v>
      </c>
      <c r="B12295" s="833" t="s">
        <v>16563</v>
      </c>
      <c r="C12295" s="4" t="s">
        <v>1803</v>
      </c>
      <c r="D12295" s="834">
        <v>22.41</v>
      </c>
    </row>
    <row r="12296" spans="1:4" x14ac:dyDescent="0.3">
      <c r="A12296" s="4">
        <v>39666</v>
      </c>
      <c r="B12296" s="833" t="s">
        <v>16564</v>
      </c>
      <c r="C12296" s="4" t="s">
        <v>1803</v>
      </c>
      <c r="D12296" s="834">
        <v>103.12</v>
      </c>
    </row>
    <row r="12297" spans="1:4" x14ac:dyDescent="0.3">
      <c r="A12297" s="4">
        <v>39664</v>
      </c>
      <c r="B12297" s="833" t="s">
        <v>16565</v>
      </c>
      <c r="C12297" s="4" t="s">
        <v>1803</v>
      </c>
      <c r="D12297" s="834">
        <v>50.54</v>
      </c>
    </row>
    <row r="12298" spans="1:4" x14ac:dyDescent="0.3">
      <c r="A12298" s="4">
        <v>39663</v>
      </c>
      <c r="B12298" s="833" t="s">
        <v>16566</v>
      </c>
      <c r="C12298" s="4" t="s">
        <v>1803</v>
      </c>
      <c r="D12298" s="834">
        <v>40.409999999999997</v>
      </c>
    </row>
    <row r="12299" spans="1:4" x14ac:dyDescent="0.3">
      <c r="A12299" s="4">
        <v>39665</v>
      </c>
      <c r="B12299" s="833" t="s">
        <v>16567</v>
      </c>
      <c r="C12299" s="4" t="s">
        <v>1803</v>
      </c>
      <c r="D12299" s="834">
        <v>85.27</v>
      </c>
    </row>
    <row r="12300" spans="1:4" x14ac:dyDescent="0.3">
      <c r="A12300" s="4">
        <v>7725</v>
      </c>
      <c r="B12300" s="833" t="s">
        <v>16568</v>
      </c>
      <c r="C12300" s="4" t="s">
        <v>1803</v>
      </c>
      <c r="D12300" s="834">
        <v>241.33</v>
      </c>
    </row>
    <row r="12301" spans="1:4" x14ac:dyDescent="0.3">
      <c r="A12301" s="4">
        <v>7753</v>
      </c>
      <c r="B12301" s="833" t="s">
        <v>16569</v>
      </c>
      <c r="C12301" s="4" t="s">
        <v>1803</v>
      </c>
      <c r="D12301" s="834">
        <v>470.49</v>
      </c>
    </row>
    <row r="12302" spans="1:4" x14ac:dyDescent="0.3">
      <c r="A12302" s="4">
        <v>13256</v>
      </c>
      <c r="B12302" s="833" t="s">
        <v>16570</v>
      </c>
      <c r="C12302" s="4" t="s">
        <v>1803</v>
      </c>
      <c r="D12302" s="834">
        <v>659.09</v>
      </c>
    </row>
    <row r="12303" spans="1:4" x14ac:dyDescent="0.3">
      <c r="A12303" s="4">
        <v>7757</v>
      </c>
      <c r="B12303" s="833" t="s">
        <v>16571</v>
      </c>
      <c r="C12303" s="4" t="s">
        <v>1803</v>
      </c>
      <c r="D12303" s="834">
        <v>702.69</v>
      </c>
    </row>
    <row r="12304" spans="1:4" x14ac:dyDescent="0.3">
      <c r="A12304" s="4">
        <v>7758</v>
      </c>
      <c r="B12304" s="833" t="s">
        <v>16572</v>
      </c>
      <c r="C12304" s="4" t="s">
        <v>1803</v>
      </c>
      <c r="D12304" s="834">
        <v>1018.04</v>
      </c>
    </row>
    <row r="12305" spans="1:4" x14ac:dyDescent="0.3">
      <c r="A12305" s="4">
        <v>7759</v>
      </c>
      <c r="B12305" s="833" t="s">
        <v>16573</v>
      </c>
      <c r="C12305" s="4" t="s">
        <v>1803</v>
      </c>
      <c r="D12305" s="834">
        <v>2821</v>
      </c>
    </row>
    <row r="12306" spans="1:4" x14ac:dyDescent="0.3">
      <c r="A12306" s="4">
        <v>40334</v>
      </c>
      <c r="B12306" s="833" t="s">
        <v>16574</v>
      </c>
      <c r="C12306" s="4" t="s">
        <v>1803</v>
      </c>
      <c r="D12306" s="834">
        <v>110.52</v>
      </c>
    </row>
    <row r="12307" spans="1:4" x14ac:dyDescent="0.3">
      <c r="A12307" s="4">
        <v>7745</v>
      </c>
      <c r="B12307" s="833" t="s">
        <v>16575</v>
      </c>
      <c r="C12307" s="4" t="s">
        <v>1803</v>
      </c>
      <c r="D12307" s="834">
        <v>124.72</v>
      </c>
    </row>
    <row r="12308" spans="1:4" x14ac:dyDescent="0.3">
      <c r="A12308" s="4">
        <v>7742</v>
      </c>
      <c r="B12308" s="833" t="s">
        <v>16576</v>
      </c>
      <c r="C12308" s="4" t="s">
        <v>1803</v>
      </c>
      <c r="D12308" s="834">
        <v>328.93</v>
      </c>
    </row>
    <row r="12309" spans="1:4" x14ac:dyDescent="0.3">
      <c r="A12309" s="4">
        <v>7750</v>
      </c>
      <c r="B12309" s="833" t="s">
        <v>16577</v>
      </c>
      <c r="C12309" s="4" t="s">
        <v>1803</v>
      </c>
      <c r="D12309" s="834">
        <v>401.54</v>
      </c>
    </row>
    <row r="12310" spans="1:4" x14ac:dyDescent="0.3">
      <c r="A12310" s="4">
        <v>7756</v>
      </c>
      <c r="B12310" s="833" t="s">
        <v>16578</v>
      </c>
      <c r="C12310" s="4" t="s">
        <v>1803</v>
      </c>
      <c r="D12310" s="834">
        <v>461.36</v>
      </c>
    </row>
    <row r="12311" spans="1:4" x14ac:dyDescent="0.3">
      <c r="A12311" s="4">
        <v>7765</v>
      </c>
      <c r="B12311" s="833" t="s">
        <v>16579</v>
      </c>
      <c r="C12311" s="4" t="s">
        <v>1803</v>
      </c>
      <c r="D12311" s="834">
        <v>517.13</v>
      </c>
    </row>
    <row r="12312" spans="1:4" x14ac:dyDescent="0.3">
      <c r="A12312" s="4">
        <v>12569</v>
      </c>
      <c r="B12312" s="833" t="s">
        <v>16580</v>
      </c>
      <c r="C12312" s="4" t="s">
        <v>1803</v>
      </c>
      <c r="D12312" s="834">
        <v>713.85</v>
      </c>
    </row>
    <row r="12313" spans="1:4" x14ac:dyDescent="0.3">
      <c r="A12313" s="4">
        <v>7766</v>
      </c>
      <c r="B12313" s="833" t="s">
        <v>16581</v>
      </c>
      <c r="C12313" s="4" t="s">
        <v>1803</v>
      </c>
      <c r="D12313" s="834">
        <v>758.46</v>
      </c>
    </row>
    <row r="12314" spans="1:4" x14ac:dyDescent="0.3">
      <c r="A12314" s="4">
        <v>7767</v>
      </c>
      <c r="B12314" s="833" t="s">
        <v>16582</v>
      </c>
      <c r="C12314" s="4" t="s">
        <v>1803</v>
      </c>
      <c r="D12314" s="834">
        <v>1089.02</v>
      </c>
    </row>
    <row r="12315" spans="1:4" x14ac:dyDescent="0.3">
      <c r="A12315" s="4">
        <v>7727</v>
      </c>
      <c r="B12315" s="833" t="s">
        <v>16583</v>
      </c>
      <c r="C12315" s="4" t="s">
        <v>1803</v>
      </c>
      <c r="D12315" s="834">
        <v>3163.65</v>
      </c>
    </row>
    <row r="12316" spans="1:4" x14ac:dyDescent="0.3">
      <c r="A12316" s="4">
        <v>7760</v>
      </c>
      <c r="B12316" s="833" t="s">
        <v>16584</v>
      </c>
      <c r="C12316" s="4" t="s">
        <v>1803</v>
      </c>
      <c r="D12316" s="834">
        <v>125.73</v>
      </c>
    </row>
    <row r="12317" spans="1:4" x14ac:dyDescent="0.3">
      <c r="A12317" s="4">
        <v>7761</v>
      </c>
      <c r="B12317" s="833" t="s">
        <v>16585</v>
      </c>
      <c r="C12317" s="4" t="s">
        <v>1803</v>
      </c>
      <c r="D12317" s="834">
        <v>131.81</v>
      </c>
    </row>
    <row r="12318" spans="1:4" x14ac:dyDescent="0.3">
      <c r="A12318" s="4">
        <v>7752</v>
      </c>
      <c r="B12318" s="833" t="s">
        <v>16586</v>
      </c>
      <c r="C12318" s="4" t="s">
        <v>1803</v>
      </c>
      <c r="D12318" s="834">
        <v>160.21</v>
      </c>
    </row>
    <row r="12319" spans="1:4" x14ac:dyDescent="0.3">
      <c r="A12319" s="4">
        <v>7762</v>
      </c>
      <c r="B12319" s="833" t="s">
        <v>16587</v>
      </c>
      <c r="C12319" s="4" t="s">
        <v>1803</v>
      </c>
      <c r="D12319" s="834">
        <v>209.38</v>
      </c>
    </row>
    <row r="12320" spans="1:4" x14ac:dyDescent="0.3">
      <c r="A12320" s="4">
        <v>7722</v>
      </c>
      <c r="B12320" s="833" t="s">
        <v>16588</v>
      </c>
      <c r="C12320" s="4" t="s">
        <v>1803</v>
      </c>
      <c r="D12320" s="834">
        <v>320.42</v>
      </c>
    </row>
    <row r="12321" spans="1:4" x14ac:dyDescent="0.3">
      <c r="A12321" s="4">
        <v>7763</v>
      </c>
      <c r="B12321" s="833" t="s">
        <v>16589</v>
      </c>
      <c r="C12321" s="4" t="s">
        <v>1803</v>
      </c>
      <c r="D12321" s="834">
        <v>390.38</v>
      </c>
    </row>
    <row r="12322" spans="1:4" x14ac:dyDescent="0.3">
      <c r="A12322" s="4">
        <v>7764</v>
      </c>
      <c r="B12322" s="833" t="s">
        <v>16590</v>
      </c>
      <c r="C12322" s="4" t="s">
        <v>1803</v>
      </c>
      <c r="D12322" s="834">
        <v>466.43</v>
      </c>
    </row>
    <row r="12323" spans="1:4" x14ac:dyDescent="0.3">
      <c r="A12323" s="4">
        <v>12572</v>
      </c>
      <c r="B12323" s="833" t="s">
        <v>16591</v>
      </c>
      <c r="C12323" s="4" t="s">
        <v>1803</v>
      </c>
      <c r="D12323" s="834">
        <v>659.09</v>
      </c>
    </row>
    <row r="12324" spans="1:4" x14ac:dyDescent="0.3">
      <c r="A12324" s="4">
        <v>12573</v>
      </c>
      <c r="B12324" s="833" t="s">
        <v>16592</v>
      </c>
      <c r="C12324" s="4" t="s">
        <v>1803</v>
      </c>
      <c r="D12324" s="834">
        <v>866.96</v>
      </c>
    </row>
    <row r="12325" spans="1:4" x14ac:dyDescent="0.3">
      <c r="A12325" s="4">
        <v>12574</v>
      </c>
      <c r="B12325" s="833" t="s">
        <v>16593</v>
      </c>
      <c r="C12325" s="4" t="s">
        <v>1803</v>
      </c>
      <c r="D12325" s="834">
        <v>1048.26</v>
      </c>
    </row>
    <row r="12326" spans="1:4" x14ac:dyDescent="0.3">
      <c r="A12326" s="4">
        <v>12575</v>
      </c>
      <c r="B12326" s="833" t="s">
        <v>16594</v>
      </c>
      <c r="C12326" s="4" t="s">
        <v>1803</v>
      </c>
      <c r="D12326" s="834">
        <v>1591.96</v>
      </c>
    </row>
    <row r="12327" spans="1:4" x14ac:dyDescent="0.3">
      <c r="A12327" s="4">
        <v>12576</v>
      </c>
      <c r="B12327" s="833" t="s">
        <v>16595</v>
      </c>
      <c r="C12327" s="4" t="s">
        <v>1803</v>
      </c>
      <c r="D12327" s="834">
        <v>192.65</v>
      </c>
    </row>
    <row r="12328" spans="1:4" x14ac:dyDescent="0.3">
      <c r="A12328" s="4">
        <v>12577</v>
      </c>
      <c r="B12328" s="833" t="s">
        <v>16596</v>
      </c>
      <c r="C12328" s="4" t="s">
        <v>1803</v>
      </c>
      <c r="D12328" s="834">
        <v>259.58</v>
      </c>
    </row>
    <row r="12329" spans="1:4" x14ac:dyDescent="0.3">
      <c r="A12329" s="4">
        <v>12578</v>
      </c>
      <c r="B12329" s="833" t="s">
        <v>16597</v>
      </c>
      <c r="C12329" s="4" t="s">
        <v>1803</v>
      </c>
      <c r="D12329" s="834">
        <v>314.33</v>
      </c>
    </row>
    <row r="12330" spans="1:4" x14ac:dyDescent="0.3">
      <c r="A12330" s="4">
        <v>12579</v>
      </c>
      <c r="B12330" s="833" t="s">
        <v>16598</v>
      </c>
      <c r="C12330" s="4" t="s">
        <v>1803</v>
      </c>
      <c r="D12330" s="834">
        <v>541.47</v>
      </c>
    </row>
    <row r="12331" spans="1:4" x14ac:dyDescent="0.3">
      <c r="A12331" s="4">
        <v>12580</v>
      </c>
      <c r="B12331" s="833" t="s">
        <v>16599</v>
      </c>
      <c r="C12331" s="4" t="s">
        <v>1803</v>
      </c>
      <c r="D12331" s="834">
        <v>564.17999999999995</v>
      </c>
    </row>
    <row r="12332" spans="1:4" x14ac:dyDescent="0.3">
      <c r="A12332" s="4">
        <v>12581</v>
      </c>
      <c r="B12332" s="833" t="s">
        <v>16600</v>
      </c>
      <c r="C12332" s="4" t="s">
        <v>1803</v>
      </c>
      <c r="D12332" s="834">
        <v>604.33000000000004</v>
      </c>
    </row>
    <row r="12333" spans="1:4" x14ac:dyDescent="0.3">
      <c r="A12333" s="4">
        <v>7720</v>
      </c>
      <c r="B12333" s="833" t="s">
        <v>16601</v>
      </c>
      <c r="C12333" s="4" t="s">
        <v>1803</v>
      </c>
      <c r="D12333" s="834">
        <v>945.04</v>
      </c>
    </row>
    <row r="12334" spans="1:4" x14ac:dyDescent="0.3">
      <c r="A12334" s="4">
        <v>40335</v>
      </c>
      <c r="B12334" s="833" t="s">
        <v>16602</v>
      </c>
      <c r="C12334" s="4" t="s">
        <v>1803</v>
      </c>
      <c r="D12334" s="834">
        <v>197.72</v>
      </c>
    </row>
    <row r="12335" spans="1:4" x14ac:dyDescent="0.3">
      <c r="A12335" s="4">
        <v>7740</v>
      </c>
      <c r="B12335" s="833" t="s">
        <v>16603</v>
      </c>
      <c r="C12335" s="4" t="s">
        <v>1803</v>
      </c>
      <c r="D12335" s="834">
        <v>202.79</v>
      </c>
    </row>
    <row r="12336" spans="1:4" x14ac:dyDescent="0.3">
      <c r="A12336" s="4">
        <v>7741</v>
      </c>
      <c r="B12336" s="833" t="s">
        <v>16604</v>
      </c>
      <c r="C12336" s="4" t="s">
        <v>1803</v>
      </c>
      <c r="D12336" s="834">
        <v>375.17</v>
      </c>
    </row>
    <row r="12337" spans="1:4" x14ac:dyDescent="0.3">
      <c r="A12337" s="4">
        <v>7774</v>
      </c>
      <c r="B12337" s="833" t="s">
        <v>16605</v>
      </c>
      <c r="C12337" s="4" t="s">
        <v>1803</v>
      </c>
      <c r="D12337" s="834">
        <v>460.35</v>
      </c>
    </row>
    <row r="12338" spans="1:4" x14ac:dyDescent="0.3">
      <c r="A12338" s="4">
        <v>7744</v>
      </c>
      <c r="B12338" s="833" t="s">
        <v>16606</v>
      </c>
      <c r="C12338" s="4" t="s">
        <v>1803</v>
      </c>
      <c r="D12338" s="834">
        <v>601.29</v>
      </c>
    </row>
    <row r="12339" spans="1:4" x14ac:dyDescent="0.3">
      <c r="A12339" s="4">
        <v>7773</v>
      </c>
      <c r="B12339" s="833" t="s">
        <v>16607</v>
      </c>
      <c r="C12339" s="4" t="s">
        <v>1803</v>
      </c>
      <c r="D12339" s="834">
        <v>614.58000000000004</v>
      </c>
    </row>
    <row r="12340" spans="1:4" x14ac:dyDescent="0.3">
      <c r="A12340" s="4">
        <v>7754</v>
      </c>
      <c r="B12340" s="833" t="s">
        <v>16608</v>
      </c>
      <c r="C12340" s="4" t="s">
        <v>1803</v>
      </c>
      <c r="D12340" s="834">
        <v>931.85</v>
      </c>
    </row>
    <row r="12341" spans="1:4" x14ac:dyDescent="0.3">
      <c r="A12341" s="4">
        <v>7735</v>
      </c>
      <c r="B12341" s="833" t="s">
        <v>16609</v>
      </c>
      <c r="C12341" s="4" t="s">
        <v>1803</v>
      </c>
      <c r="D12341" s="834">
        <v>1206.6500000000001</v>
      </c>
    </row>
    <row r="12342" spans="1:4" x14ac:dyDescent="0.3">
      <c r="A12342" s="4">
        <v>7755</v>
      </c>
      <c r="B12342" s="833" t="s">
        <v>16610</v>
      </c>
      <c r="C12342" s="4" t="s">
        <v>1803</v>
      </c>
      <c r="D12342" s="834">
        <v>239.3</v>
      </c>
    </row>
    <row r="12343" spans="1:4" x14ac:dyDescent="0.3">
      <c r="A12343" s="4">
        <v>7776</v>
      </c>
      <c r="B12343" s="833" t="s">
        <v>16611</v>
      </c>
      <c r="C12343" s="4" t="s">
        <v>1803</v>
      </c>
      <c r="D12343" s="834">
        <v>498.88</v>
      </c>
    </row>
    <row r="12344" spans="1:4" x14ac:dyDescent="0.3">
      <c r="A12344" s="4">
        <v>7743</v>
      </c>
      <c r="B12344" s="833" t="s">
        <v>16612</v>
      </c>
      <c r="C12344" s="4" t="s">
        <v>1803</v>
      </c>
      <c r="D12344" s="834">
        <v>528.28</v>
      </c>
    </row>
    <row r="12345" spans="1:4" x14ac:dyDescent="0.3">
      <c r="A12345" s="4">
        <v>7733</v>
      </c>
      <c r="B12345" s="833" t="s">
        <v>16613</v>
      </c>
      <c r="C12345" s="4" t="s">
        <v>1803</v>
      </c>
      <c r="D12345" s="834">
        <v>689.51</v>
      </c>
    </row>
    <row r="12346" spans="1:4" x14ac:dyDescent="0.3">
      <c r="A12346" s="4">
        <v>7775</v>
      </c>
      <c r="B12346" s="833" t="s">
        <v>16614</v>
      </c>
      <c r="C12346" s="4" t="s">
        <v>1803</v>
      </c>
      <c r="D12346" s="834">
        <v>755.42</v>
      </c>
    </row>
    <row r="12347" spans="1:4" x14ac:dyDescent="0.3">
      <c r="A12347" s="4">
        <v>7734</v>
      </c>
      <c r="B12347" s="833" t="s">
        <v>16615</v>
      </c>
      <c r="C12347" s="4" t="s">
        <v>1803</v>
      </c>
      <c r="D12347" s="834">
        <v>1069.76</v>
      </c>
    </row>
    <row r="12348" spans="1:4" x14ac:dyDescent="0.3">
      <c r="A12348" s="4">
        <v>7714</v>
      </c>
      <c r="B12348" s="833" t="s">
        <v>16616</v>
      </c>
      <c r="C12348" s="4" t="s">
        <v>1803</v>
      </c>
      <c r="D12348" s="834">
        <v>149.05000000000001</v>
      </c>
    </row>
    <row r="12349" spans="1:4" x14ac:dyDescent="0.3">
      <c r="A12349" s="4">
        <v>37449</v>
      </c>
      <c r="B12349" s="833" t="s">
        <v>16617</v>
      </c>
      <c r="C12349" s="4" t="s">
        <v>1803</v>
      </c>
      <c r="D12349" s="834">
        <v>31.3</v>
      </c>
    </row>
    <row r="12350" spans="1:4" x14ac:dyDescent="0.3">
      <c r="A12350" s="4">
        <v>37450</v>
      </c>
      <c r="B12350" s="833" t="s">
        <v>16618</v>
      </c>
      <c r="C12350" s="4" t="s">
        <v>1803</v>
      </c>
      <c r="D12350" s="834">
        <v>43.82</v>
      </c>
    </row>
    <row r="12351" spans="1:4" x14ac:dyDescent="0.3">
      <c r="A12351" s="4">
        <v>37451</v>
      </c>
      <c r="B12351" s="833" t="s">
        <v>16619</v>
      </c>
      <c r="C12351" s="4" t="s">
        <v>1803</v>
      </c>
      <c r="D12351" s="834">
        <v>61.18</v>
      </c>
    </row>
    <row r="12352" spans="1:4" x14ac:dyDescent="0.3">
      <c r="A12352" s="4">
        <v>37452</v>
      </c>
      <c r="B12352" s="833" t="s">
        <v>16620</v>
      </c>
      <c r="C12352" s="4" t="s">
        <v>1803</v>
      </c>
      <c r="D12352" s="834">
        <v>88.93</v>
      </c>
    </row>
    <row r="12353" spans="1:4" x14ac:dyDescent="0.3">
      <c r="A12353" s="4">
        <v>37453</v>
      </c>
      <c r="B12353" s="833" t="s">
        <v>16621</v>
      </c>
      <c r="C12353" s="4" t="s">
        <v>1803</v>
      </c>
      <c r="D12353" s="834">
        <v>102.41</v>
      </c>
    </row>
    <row r="12354" spans="1:4" x14ac:dyDescent="0.3">
      <c r="A12354" s="4">
        <v>7778</v>
      </c>
      <c r="B12354" s="833" t="s">
        <v>16622</v>
      </c>
      <c r="C12354" s="4" t="s">
        <v>1803</v>
      </c>
      <c r="D12354" s="834">
        <v>38.42</v>
      </c>
    </row>
    <row r="12355" spans="1:4" x14ac:dyDescent="0.3">
      <c r="A12355" s="4">
        <v>7796</v>
      </c>
      <c r="B12355" s="833" t="s">
        <v>16623</v>
      </c>
      <c r="C12355" s="4" t="s">
        <v>1803</v>
      </c>
      <c r="D12355" s="834">
        <v>52.65</v>
      </c>
    </row>
    <row r="12356" spans="1:4" x14ac:dyDescent="0.3">
      <c r="A12356" s="4">
        <v>7781</v>
      </c>
      <c r="B12356" s="833" t="s">
        <v>16624</v>
      </c>
      <c r="C12356" s="4" t="s">
        <v>1803</v>
      </c>
      <c r="D12356" s="834">
        <v>62.21</v>
      </c>
    </row>
    <row r="12357" spans="1:4" x14ac:dyDescent="0.3">
      <c r="A12357" s="4">
        <v>7795</v>
      </c>
      <c r="B12357" s="833" t="s">
        <v>16625</v>
      </c>
      <c r="C12357" s="4" t="s">
        <v>1803</v>
      </c>
      <c r="D12357" s="834">
        <v>92.59</v>
      </c>
    </row>
    <row r="12358" spans="1:4" x14ac:dyDescent="0.3">
      <c r="A12358" s="4">
        <v>7791</v>
      </c>
      <c r="B12358" s="833" t="s">
        <v>16626</v>
      </c>
      <c r="C12358" s="4" t="s">
        <v>1803</v>
      </c>
      <c r="D12358" s="834">
        <v>110.84</v>
      </c>
    </row>
    <row r="12359" spans="1:4" x14ac:dyDescent="0.3">
      <c r="A12359" s="4">
        <v>7783</v>
      </c>
      <c r="B12359" s="833" t="s">
        <v>16627</v>
      </c>
      <c r="C12359" s="4" t="s">
        <v>1803</v>
      </c>
      <c r="D12359" s="834">
        <v>39.28</v>
      </c>
    </row>
    <row r="12360" spans="1:4" x14ac:dyDescent="0.3">
      <c r="A12360" s="4">
        <v>7790</v>
      </c>
      <c r="B12360" s="833" t="s">
        <v>16628</v>
      </c>
      <c r="C12360" s="4" t="s">
        <v>1803</v>
      </c>
      <c r="D12360" s="834">
        <v>61.89</v>
      </c>
    </row>
    <row r="12361" spans="1:4" x14ac:dyDescent="0.3">
      <c r="A12361" s="4">
        <v>7785</v>
      </c>
      <c r="B12361" s="833" t="s">
        <v>16629</v>
      </c>
      <c r="C12361" s="4" t="s">
        <v>1803</v>
      </c>
      <c r="D12361" s="834">
        <v>68.3</v>
      </c>
    </row>
    <row r="12362" spans="1:4" x14ac:dyDescent="0.3">
      <c r="A12362" s="4">
        <v>7792</v>
      </c>
      <c r="B12362" s="833" t="s">
        <v>16630</v>
      </c>
      <c r="C12362" s="4" t="s">
        <v>1803</v>
      </c>
      <c r="D12362" s="834">
        <v>96.86</v>
      </c>
    </row>
    <row r="12363" spans="1:4" x14ac:dyDescent="0.3">
      <c r="A12363" s="4">
        <v>7793</v>
      </c>
      <c r="B12363" s="833" t="s">
        <v>16631</v>
      </c>
      <c r="C12363" s="4" t="s">
        <v>1803</v>
      </c>
      <c r="D12363" s="834">
        <v>114.4</v>
      </c>
    </row>
    <row r="12364" spans="1:4" x14ac:dyDescent="0.3">
      <c r="A12364" s="4">
        <v>13159</v>
      </c>
      <c r="B12364" s="833" t="s">
        <v>16632</v>
      </c>
      <c r="C12364" s="4" t="s">
        <v>1803</v>
      </c>
      <c r="D12364" s="834">
        <v>99.6</v>
      </c>
    </row>
    <row r="12365" spans="1:4" x14ac:dyDescent="0.3">
      <c r="A12365" s="4">
        <v>13168</v>
      </c>
      <c r="B12365" s="833" t="s">
        <v>16633</v>
      </c>
      <c r="C12365" s="4" t="s">
        <v>1803</v>
      </c>
      <c r="D12365" s="834">
        <v>120.95</v>
      </c>
    </row>
    <row r="12366" spans="1:4" x14ac:dyDescent="0.3">
      <c r="A12366" s="4">
        <v>13173</v>
      </c>
      <c r="B12366" s="833" t="s">
        <v>16634</v>
      </c>
      <c r="C12366" s="4" t="s">
        <v>1803</v>
      </c>
      <c r="D12366" s="834">
        <v>163.63999999999999</v>
      </c>
    </row>
    <row r="12367" spans="1:4" x14ac:dyDescent="0.3">
      <c r="A12367" s="4">
        <v>12583</v>
      </c>
      <c r="B12367" s="833" t="s">
        <v>16635</v>
      </c>
      <c r="C12367" s="4" t="s">
        <v>1803</v>
      </c>
      <c r="D12367" s="834">
        <v>32.72</v>
      </c>
    </row>
    <row r="12368" spans="1:4" x14ac:dyDescent="0.3">
      <c r="A12368" s="4">
        <v>12584</v>
      </c>
      <c r="B12368" s="833" t="s">
        <v>16636</v>
      </c>
      <c r="C12368" s="4" t="s">
        <v>1803</v>
      </c>
      <c r="D12368" s="834">
        <v>42.68</v>
      </c>
    </row>
    <row r="12369" spans="1:4" x14ac:dyDescent="0.3">
      <c r="A12369" s="4">
        <v>12613</v>
      </c>
      <c r="B12369" s="833" t="s">
        <v>16637</v>
      </c>
      <c r="C12369" s="4" t="s">
        <v>12080</v>
      </c>
      <c r="D12369" s="834">
        <v>27.43</v>
      </c>
    </row>
    <row r="12370" spans="1:4" x14ac:dyDescent="0.3">
      <c r="A12370" s="4">
        <v>1031</v>
      </c>
      <c r="B12370" s="833" t="s">
        <v>16638</v>
      </c>
      <c r="C12370" s="4" t="s">
        <v>12080</v>
      </c>
      <c r="D12370" s="834">
        <v>15.61</v>
      </c>
    </row>
    <row r="12371" spans="1:4" x14ac:dyDescent="0.3">
      <c r="A12371" s="4">
        <v>39707</v>
      </c>
      <c r="B12371" s="833" t="s">
        <v>16639</v>
      </c>
      <c r="C12371" s="4" t="s">
        <v>1803</v>
      </c>
      <c r="D12371" s="834">
        <v>4.43</v>
      </c>
    </row>
    <row r="12372" spans="1:4" x14ac:dyDescent="0.3">
      <c r="A12372" s="4">
        <v>39708</v>
      </c>
      <c r="B12372" s="833" t="s">
        <v>16640</v>
      </c>
      <c r="C12372" s="4" t="s">
        <v>1803</v>
      </c>
      <c r="D12372" s="834">
        <v>4.29</v>
      </c>
    </row>
    <row r="12373" spans="1:4" x14ac:dyDescent="0.3">
      <c r="A12373" s="4">
        <v>39710</v>
      </c>
      <c r="B12373" s="833" t="s">
        <v>16641</v>
      </c>
      <c r="C12373" s="4" t="s">
        <v>1803</v>
      </c>
      <c r="D12373" s="834">
        <v>3.02</v>
      </c>
    </row>
    <row r="12374" spans="1:4" x14ac:dyDescent="0.3">
      <c r="A12374" s="4">
        <v>39709</v>
      </c>
      <c r="B12374" s="833" t="s">
        <v>16642</v>
      </c>
      <c r="C12374" s="4" t="s">
        <v>1803</v>
      </c>
      <c r="D12374" s="834">
        <v>4.1900000000000004</v>
      </c>
    </row>
    <row r="12375" spans="1:4" x14ac:dyDescent="0.3">
      <c r="A12375" s="4">
        <v>39711</v>
      </c>
      <c r="B12375" s="833" t="s">
        <v>16643</v>
      </c>
      <c r="C12375" s="4" t="s">
        <v>1803</v>
      </c>
      <c r="D12375" s="834">
        <v>4.7</v>
      </c>
    </row>
    <row r="12376" spans="1:4" x14ac:dyDescent="0.3">
      <c r="A12376" s="4">
        <v>39712</v>
      </c>
      <c r="B12376" s="833" t="s">
        <v>16644</v>
      </c>
      <c r="C12376" s="4" t="s">
        <v>1803</v>
      </c>
      <c r="D12376" s="834">
        <v>1.65</v>
      </c>
    </row>
    <row r="12377" spans="1:4" x14ac:dyDescent="0.3">
      <c r="A12377" s="4">
        <v>39713</v>
      </c>
      <c r="B12377" s="833" t="s">
        <v>16645</v>
      </c>
      <c r="C12377" s="4" t="s">
        <v>1803</v>
      </c>
      <c r="D12377" s="834">
        <v>1.3</v>
      </c>
    </row>
    <row r="12378" spans="1:4" x14ac:dyDescent="0.3">
      <c r="A12378" s="4">
        <v>39714</v>
      </c>
      <c r="B12378" s="833" t="s">
        <v>16646</v>
      </c>
      <c r="C12378" s="4" t="s">
        <v>1803</v>
      </c>
      <c r="D12378" s="834">
        <v>2.99</v>
      </c>
    </row>
    <row r="12379" spans="1:4" x14ac:dyDescent="0.3">
      <c r="A12379" s="4">
        <v>39715</v>
      </c>
      <c r="B12379" s="833" t="s">
        <v>16647</v>
      </c>
      <c r="C12379" s="4" t="s">
        <v>1803</v>
      </c>
      <c r="D12379" s="834">
        <v>2.13</v>
      </c>
    </row>
    <row r="12380" spans="1:4" x14ac:dyDescent="0.3">
      <c r="A12380" s="4">
        <v>39716</v>
      </c>
      <c r="B12380" s="833" t="s">
        <v>16648</v>
      </c>
      <c r="C12380" s="4" t="s">
        <v>1803</v>
      </c>
      <c r="D12380" s="834">
        <v>1.61</v>
      </c>
    </row>
    <row r="12381" spans="1:4" x14ac:dyDescent="0.3">
      <c r="A12381" s="4">
        <v>39718</v>
      </c>
      <c r="B12381" s="833" t="s">
        <v>16649</v>
      </c>
      <c r="C12381" s="4" t="s">
        <v>1803</v>
      </c>
      <c r="D12381" s="834">
        <v>2.75</v>
      </c>
    </row>
    <row r="12382" spans="1:4" x14ac:dyDescent="0.3">
      <c r="A12382" s="4">
        <v>9813</v>
      </c>
      <c r="B12382" s="833" t="s">
        <v>16650</v>
      </c>
      <c r="C12382" s="4" t="s">
        <v>1803</v>
      </c>
      <c r="D12382" s="834">
        <v>5.0599999999999996</v>
      </c>
    </row>
    <row r="12383" spans="1:4" x14ac:dyDescent="0.3">
      <c r="A12383" s="4">
        <v>9815</v>
      </c>
      <c r="B12383" s="833" t="s">
        <v>16651</v>
      </c>
      <c r="C12383" s="4" t="s">
        <v>1803</v>
      </c>
      <c r="D12383" s="834">
        <v>9.99</v>
      </c>
    </row>
    <row r="12384" spans="1:4" x14ac:dyDescent="0.3">
      <c r="A12384" s="4">
        <v>44543</v>
      </c>
      <c r="B12384" s="833" t="s">
        <v>16652</v>
      </c>
      <c r="C12384" s="4" t="s">
        <v>1803</v>
      </c>
      <c r="D12384" s="834">
        <v>4972.29</v>
      </c>
    </row>
    <row r="12385" spans="1:4" x14ac:dyDescent="0.3">
      <c r="A12385" s="4">
        <v>44526</v>
      </c>
      <c r="B12385" s="833" t="s">
        <v>16653</v>
      </c>
      <c r="C12385" s="4" t="s">
        <v>1803</v>
      </c>
      <c r="D12385" s="834">
        <v>121.86</v>
      </c>
    </row>
    <row r="12386" spans="1:4" x14ac:dyDescent="0.3">
      <c r="A12386" s="4">
        <v>44545</v>
      </c>
      <c r="B12386" s="833" t="s">
        <v>16654</v>
      </c>
      <c r="C12386" s="4" t="s">
        <v>1803</v>
      </c>
      <c r="D12386" s="834">
        <v>261.58</v>
      </c>
    </row>
    <row r="12387" spans="1:4" x14ac:dyDescent="0.3">
      <c r="A12387" s="4">
        <v>44525</v>
      </c>
      <c r="B12387" s="833" t="s">
        <v>16655</v>
      </c>
      <c r="C12387" s="4" t="s">
        <v>1803</v>
      </c>
      <c r="D12387" s="834">
        <v>4509.84</v>
      </c>
    </row>
    <row r="12388" spans="1:4" x14ac:dyDescent="0.3">
      <c r="A12388" s="4">
        <v>44547</v>
      </c>
      <c r="B12388" s="833" t="s">
        <v>16656</v>
      </c>
      <c r="C12388" s="4" t="s">
        <v>1803</v>
      </c>
      <c r="D12388" s="834">
        <v>407.77</v>
      </c>
    </row>
    <row r="12389" spans="1:4" x14ac:dyDescent="0.3">
      <c r="A12389" s="4">
        <v>44519</v>
      </c>
      <c r="B12389" s="833" t="s">
        <v>16657</v>
      </c>
      <c r="C12389" s="4" t="s">
        <v>1803</v>
      </c>
      <c r="D12389" s="834">
        <v>999.15</v>
      </c>
    </row>
    <row r="12390" spans="1:4" x14ac:dyDescent="0.3">
      <c r="A12390" s="4">
        <v>44520</v>
      </c>
      <c r="B12390" s="833" t="s">
        <v>16658</v>
      </c>
      <c r="C12390" s="4" t="s">
        <v>1803</v>
      </c>
      <c r="D12390" s="834">
        <v>1609.27</v>
      </c>
    </row>
    <row r="12391" spans="1:4" x14ac:dyDescent="0.3">
      <c r="A12391" s="4">
        <v>44521</v>
      </c>
      <c r="B12391" s="833" t="s">
        <v>16659</v>
      </c>
      <c r="C12391" s="4" t="s">
        <v>1803</v>
      </c>
      <c r="D12391" s="834">
        <v>25.96</v>
      </c>
    </row>
    <row r="12392" spans="1:4" x14ac:dyDescent="0.3">
      <c r="A12392" s="4">
        <v>44522</v>
      </c>
      <c r="B12392" s="833" t="s">
        <v>16660</v>
      </c>
      <c r="C12392" s="4" t="s">
        <v>1803</v>
      </c>
      <c r="D12392" s="834">
        <v>2825.29</v>
      </c>
    </row>
    <row r="12393" spans="1:4" x14ac:dyDescent="0.3">
      <c r="A12393" s="4">
        <v>44523</v>
      </c>
      <c r="B12393" s="833" t="s">
        <v>16661</v>
      </c>
      <c r="C12393" s="4" t="s">
        <v>1803</v>
      </c>
      <c r="D12393" s="834">
        <v>4202</v>
      </c>
    </row>
    <row r="12394" spans="1:4" x14ac:dyDescent="0.3">
      <c r="A12394" s="4">
        <v>44527</v>
      </c>
      <c r="B12394" s="833" t="s">
        <v>16662</v>
      </c>
      <c r="C12394" s="4" t="s">
        <v>1803</v>
      </c>
      <c r="D12394" s="834">
        <v>2107.1999999999998</v>
      </c>
    </row>
    <row r="12395" spans="1:4" x14ac:dyDescent="0.3">
      <c r="A12395" s="4">
        <v>44524</v>
      </c>
      <c r="B12395" s="833" t="s">
        <v>16663</v>
      </c>
      <c r="C12395" s="4" t="s">
        <v>1803</v>
      </c>
      <c r="D12395" s="834">
        <v>58.06</v>
      </c>
    </row>
    <row r="12396" spans="1:4" x14ac:dyDescent="0.3">
      <c r="A12396" s="4">
        <v>44542</v>
      </c>
      <c r="B12396" s="833" t="s">
        <v>16664</v>
      </c>
      <c r="C12396" s="4" t="s">
        <v>1803</v>
      </c>
      <c r="D12396" s="834">
        <v>2749.18</v>
      </c>
    </row>
    <row r="12397" spans="1:4" x14ac:dyDescent="0.3">
      <c r="A12397" s="4">
        <v>9877</v>
      </c>
      <c r="B12397" s="833" t="s">
        <v>16665</v>
      </c>
      <c r="C12397" s="4" t="s">
        <v>1803</v>
      </c>
      <c r="D12397" s="834">
        <v>127.62</v>
      </c>
    </row>
    <row r="12398" spans="1:4" x14ac:dyDescent="0.3">
      <c r="A12398" s="4">
        <v>9878</v>
      </c>
      <c r="B12398" s="833" t="s">
        <v>16666</v>
      </c>
      <c r="C12398" s="4" t="s">
        <v>1803</v>
      </c>
      <c r="D12398" s="834">
        <v>157.11000000000001</v>
      </c>
    </row>
    <row r="12399" spans="1:4" x14ac:dyDescent="0.3">
      <c r="A12399" s="4">
        <v>41986</v>
      </c>
      <c r="B12399" s="833" t="s">
        <v>16667</v>
      </c>
      <c r="C12399" s="4" t="s">
        <v>1803</v>
      </c>
      <c r="D12399" s="834">
        <v>3274.15</v>
      </c>
    </row>
    <row r="12400" spans="1:4" x14ac:dyDescent="0.3">
      <c r="A12400" s="4">
        <v>43422</v>
      </c>
      <c r="B12400" s="833" t="s">
        <v>16668</v>
      </c>
      <c r="C12400" s="4" t="s">
        <v>1803</v>
      </c>
      <c r="D12400" s="834">
        <v>4015.42</v>
      </c>
    </row>
    <row r="12401" spans="1:4" x14ac:dyDescent="0.3">
      <c r="A12401" s="4">
        <v>41987</v>
      </c>
      <c r="B12401" s="833" t="s">
        <v>16669</v>
      </c>
      <c r="C12401" s="4" t="s">
        <v>1803</v>
      </c>
      <c r="D12401" s="834">
        <v>4654.21</v>
      </c>
    </row>
    <row r="12402" spans="1:4" x14ac:dyDescent="0.3">
      <c r="A12402" s="4">
        <v>41988</v>
      </c>
      <c r="B12402" s="833" t="s">
        <v>16670</v>
      </c>
      <c r="C12402" s="4" t="s">
        <v>1803</v>
      </c>
      <c r="D12402" s="834">
        <v>6147.55</v>
      </c>
    </row>
    <row r="12403" spans="1:4" x14ac:dyDescent="0.3">
      <c r="A12403" s="4">
        <v>41697</v>
      </c>
      <c r="B12403" s="833" t="s">
        <v>16671</v>
      </c>
      <c r="C12403" s="4" t="s">
        <v>1803</v>
      </c>
      <c r="D12403" s="834">
        <v>1089.6300000000001</v>
      </c>
    </row>
    <row r="12404" spans="1:4" x14ac:dyDescent="0.3">
      <c r="A12404" s="4">
        <v>41985</v>
      </c>
      <c r="B12404" s="833" t="s">
        <v>16672</v>
      </c>
      <c r="C12404" s="4" t="s">
        <v>1803</v>
      </c>
      <c r="D12404" s="834">
        <v>1517.57</v>
      </c>
    </row>
    <row r="12405" spans="1:4" x14ac:dyDescent="0.3">
      <c r="A12405" s="4">
        <v>41699</v>
      </c>
      <c r="B12405" s="833" t="s">
        <v>16673</v>
      </c>
      <c r="C12405" s="4" t="s">
        <v>1803</v>
      </c>
      <c r="D12405" s="834">
        <v>2160.94</v>
      </c>
    </row>
    <row r="12406" spans="1:4" x14ac:dyDescent="0.3">
      <c r="A12406" s="4">
        <v>38053</v>
      </c>
      <c r="B12406" s="833" t="s">
        <v>16674</v>
      </c>
      <c r="C12406" s="4" t="s">
        <v>1803</v>
      </c>
      <c r="D12406" s="834">
        <v>24.21</v>
      </c>
    </row>
    <row r="12407" spans="1:4" x14ac:dyDescent="0.3">
      <c r="A12407" s="4">
        <v>38054</v>
      </c>
      <c r="B12407" s="833" t="s">
        <v>16675</v>
      </c>
      <c r="C12407" s="4" t="s">
        <v>1803</v>
      </c>
      <c r="D12407" s="834">
        <v>41.61</v>
      </c>
    </row>
    <row r="12408" spans="1:4" x14ac:dyDescent="0.3">
      <c r="A12408" s="4">
        <v>38052</v>
      </c>
      <c r="B12408" s="833" t="s">
        <v>16676</v>
      </c>
      <c r="C12408" s="4" t="s">
        <v>1803</v>
      </c>
      <c r="D12408" s="834">
        <v>11.72</v>
      </c>
    </row>
    <row r="12409" spans="1:4" x14ac:dyDescent="0.3">
      <c r="A12409" s="4">
        <v>38051</v>
      </c>
      <c r="B12409" s="833" t="s">
        <v>16677</v>
      </c>
      <c r="C12409" s="4" t="s">
        <v>1803</v>
      </c>
      <c r="D12409" s="834">
        <v>7.31</v>
      </c>
    </row>
    <row r="12410" spans="1:4" x14ac:dyDescent="0.3">
      <c r="A12410" s="4">
        <v>38787</v>
      </c>
      <c r="B12410" s="833" t="s">
        <v>16678</v>
      </c>
      <c r="C12410" s="4" t="s">
        <v>1803</v>
      </c>
      <c r="D12410" s="834">
        <v>4.58</v>
      </c>
    </row>
    <row r="12411" spans="1:4" x14ac:dyDescent="0.3">
      <c r="A12411" s="4">
        <v>38825</v>
      </c>
      <c r="B12411" s="833" t="s">
        <v>16679</v>
      </c>
      <c r="C12411" s="4" t="s">
        <v>1803</v>
      </c>
      <c r="D12411" s="834">
        <v>5.92</v>
      </c>
    </row>
    <row r="12412" spans="1:4" x14ac:dyDescent="0.3">
      <c r="A12412" s="4">
        <v>38826</v>
      </c>
      <c r="B12412" s="833" t="s">
        <v>16680</v>
      </c>
      <c r="C12412" s="4" t="s">
        <v>1803</v>
      </c>
      <c r="D12412" s="834">
        <v>8.42</v>
      </c>
    </row>
    <row r="12413" spans="1:4" x14ac:dyDescent="0.3">
      <c r="A12413" s="4">
        <v>38827</v>
      </c>
      <c r="B12413" s="833" t="s">
        <v>16681</v>
      </c>
      <c r="C12413" s="4" t="s">
        <v>1803</v>
      </c>
      <c r="D12413" s="834">
        <v>13.77</v>
      </c>
    </row>
    <row r="12414" spans="1:4" x14ac:dyDescent="0.3">
      <c r="A12414" s="4">
        <v>38828</v>
      </c>
      <c r="B12414" s="833" t="s">
        <v>16682</v>
      </c>
      <c r="C12414" s="4" t="s">
        <v>1803</v>
      </c>
      <c r="D12414" s="834">
        <v>8.82</v>
      </c>
    </row>
    <row r="12415" spans="1:4" x14ac:dyDescent="0.3">
      <c r="A12415" s="4">
        <v>38829</v>
      </c>
      <c r="B12415" s="833" t="s">
        <v>16683</v>
      </c>
      <c r="C12415" s="4" t="s">
        <v>1803</v>
      </c>
      <c r="D12415" s="834">
        <v>14.45</v>
      </c>
    </row>
    <row r="12416" spans="1:4" x14ac:dyDescent="0.3">
      <c r="A12416" s="4">
        <v>38830</v>
      </c>
      <c r="B12416" s="833" t="s">
        <v>16684</v>
      </c>
      <c r="C12416" s="4" t="s">
        <v>1803</v>
      </c>
      <c r="D12416" s="834">
        <v>20</v>
      </c>
    </row>
    <row r="12417" spans="1:4" x14ac:dyDescent="0.3">
      <c r="A12417" s="4">
        <v>38831</v>
      </c>
      <c r="B12417" s="833" t="s">
        <v>16685</v>
      </c>
      <c r="C12417" s="4" t="s">
        <v>1803</v>
      </c>
      <c r="D12417" s="834">
        <v>27.9</v>
      </c>
    </row>
    <row r="12418" spans="1:4" x14ac:dyDescent="0.3">
      <c r="A12418" s="4">
        <v>36274</v>
      </c>
      <c r="B12418" s="833" t="s">
        <v>16686</v>
      </c>
      <c r="C12418" s="4" t="s">
        <v>1803</v>
      </c>
      <c r="D12418" s="834">
        <v>10.75</v>
      </c>
    </row>
    <row r="12419" spans="1:4" x14ac:dyDescent="0.3">
      <c r="A12419" s="4">
        <v>36278</v>
      </c>
      <c r="B12419" s="833" t="s">
        <v>16687</v>
      </c>
      <c r="C12419" s="4" t="s">
        <v>1803</v>
      </c>
      <c r="D12419" s="834">
        <v>14.58</v>
      </c>
    </row>
    <row r="12420" spans="1:4" x14ac:dyDescent="0.3">
      <c r="A12420" s="4">
        <v>38977</v>
      </c>
      <c r="B12420" s="833" t="s">
        <v>16688</v>
      </c>
      <c r="C12420" s="4" t="s">
        <v>1803</v>
      </c>
      <c r="D12420" s="834">
        <v>142.61000000000001</v>
      </c>
    </row>
    <row r="12421" spans="1:4" x14ac:dyDescent="0.3">
      <c r="A12421" s="4">
        <v>38971</v>
      </c>
      <c r="B12421" s="833" t="s">
        <v>16689</v>
      </c>
      <c r="C12421" s="4" t="s">
        <v>1803</v>
      </c>
      <c r="D12421" s="834">
        <v>11.97</v>
      </c>
    </row>
    <row r="12422" spans="1:4" x14ac:dyDescent="0.3">
      <c r="A12422" s="4">
        <v>38972</v>
      </c>
      <c r="B12422" s="833" t="s">
        <v>16690</v>
      </c>
      <c r="C12422" s="4" t="s">
        <v>1803</v>
      </c>
      <c r="D12422" s="834">
        <v>16.14</v>
      </c>
    </row>
    <row r="12423" spans="1:4" x14ac:dyDescent="0.3">
      <c r="A12423" s="4">
        <v>38973</v>
      </c>
      <c r="B12423" s="833" t="s">
        <v>16691</v>
      </c>
      <c r="C12423" s="4" t="s">
        <v>1803</v>
      </c>
      <c r="D12423" s="834">
        <v>26.66</v>
      </c>
    </row>
    <row r="12424" spans="1:4" x14ac:dyDescent="0.3">
      <c r="A12424" s="4">
        <v>38974</v>
      </c>
      <c r="B12424" s="833" t="s">
        <v>16692</v>
      </c>
      <c r="C12424" s="4" t="s">
        <v>1803</v>
      </c>
      <c r="D12424" s="834">
        <v>43.3</v>
      </c>
    </row>
    <row r="12425" spans="1:4" x14ac:dyDescent="0.3">
      <c r="A12425" s="4">
        <v>38975</v>
      </c>
      <c r="B12425" s="833" t="s">
        <v>16693</v>
      </c>
      <c r="C12425" s="4" t="s">
        <v>1803</v>
      </c>
      <c r="D12425" s="834">
        <v>55.52</v>
      </c>
    </row>
    <row r="12426" spans="1:4" x14ac:dyDescent="0.3">
      <c r="A12426" s="4">
        <v>38976</v>
      </c>
      <c r="B12426" s="833" t="s">
        <v>16694</v>
      </c>
      <c r="C12426" s="4" t="s">
        <v>1803</v>
      </c>
      <c r="D12426" s="834">
        <v>95.45</v>
      </c>
    </row>
    <row r="12427" spans="1:4" x14ac:dyDescent="0.3">
      <c r="A12427" s="4">
        <v>44176</v>
      </c>
      <c r="B12427" s="833" t="s">
        <v>16695</v>
      </c>
      <c r="C12427" s="4" t="s">
        <v>1803</v>
      </c>
      <c r="D12427" s="834">
        <v>21.94</v>
      </c>
    </row>
    <row r="12428" spans="1:4" x14ac:dyDescent="0.3">
      <c r="A12428" s="4">
        <v>38986</v>
      </c>
      <c r="B12428" s="833" t="s">
        <v>16696</v>
      </c>
      <c r="C12428" s="4" t="s">
        <v>1803</v>
      </c>
      <c r="D12428" s="834">
        <v>288.13</v>
      </c>
    </row>
    <row r="12429" spans="1:4" x14ac:dyDescent="0.3">
      <c r="A12429" s="4">
        <v>38978</v>
      </c>
      <c r="B12429" s="833" t="s">
        <v>16697</v>
      </c>
      <c r="C12429" s="4" t="s">
        <v>1803</v>
      </c>
      <c r="D12429" s="834">
        <v>11.82</v>
      </c>
    </row>
    <row r="12430" spans="1:4" x14ac:dyDescent="0.3">
      <c r="A12430" s="4">
        <v>38979</v>
      </c>
      <c r="B12430" s="833" t="s">
        <v>16698</v>
      </c>
      <c r="C12430" s="4" t="s">
        <v>1803</v>
      </c>
      <c r="D12430" s="834">
        <v>16.34</v>
      </c>
    </row>
    <row r="12431" spans="1:4" x14ac:dyDescent="0.3">
      <c r="A12431" s="4">
        <v>38980</v>
      </c>
      <c r="B12431" s="833" t="s">
        <v>16699</v>
      </c>
      <c r="C12431" s="4" t="s">
        <v>1803</v>
      </c>
      <c r="D12431" s="834">
        <v>21.87</v>
      </c>
    </row>
    <row r="12432" spans="1:4" x14ac:dyDescent="0.3">
      <c r="A12432" s="4">
        <v>38981</v>
      </c>
      <c r="B12432" s="833" t="s">
        <v>16700</v>
      </c>
      <c r="C12432" s="4" t="s">
        <v>1803</v>
      </c>
      <c r="D12432" s="834">
        <v>31.56</v>
      </c>
    </row>
    <row r="12433" spans="1:4" x14ac:dyDescent="0.3">
      <c r="A12433" s="4">
        <v>38982</v>
      </c>
      <c r="B12433" s="833" t="s">
        <v>16701</v>
      </c>
      <c r="C12433" s="4" t="s">
        <v>1803</v>
      </c>
      <c r="D12433" s="834">
        <v>49.86</v>
      </c>
    </row>
    <row r="12434" spans="1:4" x14ac:dyDescent="0.3">
      <c r="A12434" s="4">
        <v>38983</v>
      </c>
      <c r="B12434" s="833" t="s">
        <v>16702</v>
      </c>
      <c r="C12434" s="4" t="s">
        <v>1803</v>
      </c>
      <c r="D12434" s="834">
        <v>87.73</v>
      </c>
    </row>
    <row r="12435" spans="1:4" x14ac:dyDescent="0.3">
      <c r="A12435" s="4">
        <v>38984</v>
      </c>
      <c r="B12435" s="833" t="s">
        <v>16703</v>
      </c>
      <c r="C12435" s="4" t="s">
        <v>1803</v>
      </c>
      <c r="D12435" s="834">
        <v>120.6</v>
      </c>
    </row>
    <row r="12436" spans="1:4" x14ac:dyDescent="0.3">
      <c r="A12436" s="4">
        <v>38985</v>
      </c>
      <c r="B12436" s="833" t="s">
        <v>16704</v>
      </c>
      <c r="C12436" s="4" t="s">
        <v>1803</v>
      </c>
      <c r="D12436" s="834">
        <v>207.35</v>
      </c>
    </row>
    <row r="12437" spans="1:4" x14ac:dyDescent="0.3">
      <c r="A12437" s="4">
        <v>38032</v>
      </c>
      <c r="B12437" s="833" t="s">
        <v>16705</v>
      </c>
      <c r="C12437" s="4" t="s">
        <v>1803</v>
      </c>
      <c r="D12437" s="834">
        <v>60.77</v>
      </c>
    </row>
    <row r="12438" spans="1:4" x14ac:dyDescent="0.3">
      <c r="A12438" s="4">
        <v>38033</v>
      </c>
      <c r="B12438" s="833" t="s">
        <v>16706</v>
      </c>
      <c r="C12438" s="4" t="s">
        <v>1803</v>
      </c>
      <c r="D12438" s="834">
        <v>103.3</v>
      </c>
    </row>
    <row r="12439" spans="1:4" x14ac:dyDescent="0.3">
      <c r="A12439" s="4">
        <v>38034</v>
      </c>
      <c r="B12439" s="833" t="s">
        <v>16707</v>
      </c>
      <c r="C12439" s="4" t="s">
        <v>1803</v>
      </c>
      <c r="D12439" s="834">
        <v>161.83000000000001</v>
      </c>
    </row>
    <row r="12440" spans="1:4" x14ac:dyDescent="0.3">
      <c r="A12440" s="4">
        <v>38035</v>
      </c>
      <c r="B12440" s="833" t="s">
        <v>16708</v>
      </c>
      <c r="C12440" s="4" t="s">
        <v>1803</v>
      </c>
      <c r="D12440" s="834">
        <v>238.07</v>
      </c>
    </row>
    <row r="12441" spans="1:4" x14ac:dyDescent="0.3">
      <c r="A12441" s="4">
        <v>38036</v>
      </c>
      <c r="B12441" s="833" t="s">
        <v>16709</v>
      </c>
      <c r="C12441" s="4" t="s">
        <v>1803</v>
      </c>
      <c r="D12441" s="834">
        <v>320.70999999999998</v>
      </c>
    </row>
    <row r="12442" spans="1:4" x14ac:dyDescent="0.3">
      <c r="A12442" s="4">
        <v>38037</v>
      </c>
      <c r="B12442" s="833" t="s">
        <v>16710</v>
      </c>
      <c r="C12442" s="4" t="s">
        <v>1803</v>
      </c>
      <c r="D12442" s="834">
        <v>423.62</v>
      </c>
    </row>
    <row r="12443" spans="1:4" x14ac:dyDescent="0.3">
      <c r="A12443" s="4">
        <v>9850</v>
      </c>
      <c r="B12443" s="833" t="s">
        <v>16711</v>
      </c>
      <c r="C12443" s="4" t="s">
        <v>1803</v>
      </c>
      <c r="D12443" s="834">
        <v>147.75</v>
      </c>
    </row>
    <row r="12444" spans="1:4" x14ac:dyDescent="0.3">
      <c r="A12444" s="4">
        <v>9853</v>
      </c>
      <c r="B12444" s="833" t="s">
        <v>16712</v>
      </c>
      <c r="C12444" s="4" t="s">
        <v>1803</v>
      </c>
      <c r="D12444" s="834">
        <v>262.74</v>
      </c>
    </row>
    <row r="12445" spans="1:4" x14ac:dyDescent="0.3">
      <c r="A12445" s="4">
        <v>9854</v>
      </c>
      <c r="B12445" s="833" t="s">
        <v>16713</v>
      </c>
      <c r="C12445" s="4" t="s">
        <v>1803</v>
      </c>
      <c r="D12445" s="834">
        <v>115.12</v>
      </c>
    </row>
    <row r="12446" spans="1:4" x14ac:dyDescent="0.3">
      <c r="A12446" s="4">
        <v>9851</v>
      </c>
      <c r="B12446" s="833" t="s">
        <v>16714</v>
      </c>
      <c r="C12446" s="4" t="s">
        <v>1803</v>
      </c>
      <c r="D12446" s="834">
        <v>199.62</v>
      </c>
    </row>
    <row r="12447" spans="1:4" x14ac:dyDescent="0.3">
      <c r="A12447" s="4">
        <v>9825</v>
      </c>
      <c r="B12447" s="833" t="s">
        <v>16715</v>
      </c>
      <c r="C12447" s="4" t="s">
        <v>1803</v>
      </c>
      <c r="D12447" s="834">
        <v>47.37</v>
      </c>
    </row>
    <row r="12448" spans="1:4" x14ac:dyDescent="0.3">
      <c r="A12448" s="4">
        <v>9828</v>
      </c>
      <c r="B12448" s="833" t="s">
        <v>16716</v>
      </c>
      <c r="C12448" s="4" t="s">
        <v>1803</v>
      </c>
      <c r="D12448" s="834">
        <v>127.48</v>
      </c>
    </row>
    <row r="12449" spans="1:4" x14ac:dyDescent="0.3">
      <c r="A12449" s="4">
        <v>9829</v>
      </c>
      <c r="B12449" s="833" t="s">
        <v>16717</v>
      </c>
      <c r="C12449" s="4" t="s">
        <v>1803</v>
      </c>
      <c r="D12449" s="834">
        <v>216.05</v>
      </c>
    </row>
    <row r="12450" spans="1:4" x14ac:dyDescent="0.3">
      <c r="A12450" s="4">
        <v>9826</v>
      </c>
      <c r="B12450" s="833" t="s">
        <v>16718</v>
      </c>
      <c r="C12450" s="4" t="s">
        <v>1803</v>
      </c>
      <c r="D12450" s="834">
        <v>328.91</v>
      </c>
    </row>
    <row r="12451" spans="1:4" x14ac:dyDescent="0.3">
      <c r="A12451" s="4">
        <v>9827</v>
      </c>
      <c r="B12451" s="833" t="s">
        <v>16719</v>
      </c>
      <c r="C12451" s="4" t="s">
        <v>1803</v>
      </c>
      <c r="D12451" s="834">
        <v>467.05</v>
      </c>
    </row>
    <row r="12452" spans="1:4" x14ac:dyDescent="0.3">
      <c r="A12452" s="4">
        <v>36374</v>
      </c>
      <c r="B12452" s="833" t="s">
        <v>16720</v>
      </c>
      <c r="C12452" s="4" t="s">
        <v>1803</v>
      </c>
      <c r="D12452" s="834">
        <v>56.77</v>
      </c>
    </row>
    <row r="12453" spans="1:4" x14ac:dyDescent="0.3">
      <c r="A12453" s="4">
        <v>36084</v>
      </c>
      <c r="B12453" s="833" t="s">
        <v>16721</v>
      </c>
      <c r="C12453" s="4" t="s">
        <v>1803</v>
      </c>
      <c r="D12453" s="834">
        <v>16.82</v>
      </c>
    </row>
    <row r="12454" spans="1:4" x14ac:dyDescent="0.3">
      <c r="A12454" s="4">
        <v>36373</v>
      </c>
      <c r="B12454" s="833" t="s">
        <v>16722</v>
      </c>
      <c r="C12454" s="4" t="s">
        <v>1803</v>
      </c>
      <c r="D12454" s="834">
        <v>34.93</v>
      </c>
    </row>
    <row r="12455" spans="1:4" x14ac:dyDescent="0.3">
      <c r="A12455" s="4">
        <v>36377</v>
      </c>
      <c r="B12455" s="833" t="s">
        <v>16723</v>
      </c>
      <c r="C12455" s="4" t="s">
        <v>1803</v>
      </c>
      <c r="D12455" s="834">
        <v>68.099999999999994</v>
      </c>
    </row>
    <row r="12456" spans="1:4" x14ac:dyDescent="0.3">
      <c r="A12456" s="4">
        <v>36375</v>
      </c>
      <c r="B12456" s="833" t="s">
        <v>16724</v>
      </c>
      <c r="C12456" s="4" t="s">
        <v>1803</v>
      </c>
      <c r="D12456" s="834">
        <v>20.75</v>
      </c>
    </row>
    <row r="12457" spans="1:4" x14ac:dyDescent="0.3">
      <c r="A12457" s="4">
        <v>36376</v>
      </c>
      <c r="B12457" s="833" t="s">
        <v>16725</v>
      </c>
      <c r="C12457" s="4" t="s">
        <v>1803</v>
      </c>
      <c r="D12457" s="834">
        <v>40.76</v>
      </c>
    </row>
    <row r="12458" spans="1:4" x14ac:dyDescent="0.3">
      <c r="A12458" s="4">
        <v>36380</v>
      </c>
      <c r="B12458" s="833" t="s">
        <v>16726</v>
      </c>
      <c r="C12458" s="4" t="s">
        <v>1803</v>
      </c>
      <c r="D12458" s="834">
        <v>85.16</v>
      </c>
    </row>
    <row r="12459" spans="1:4" x14ac:dyDescent="0.3">
      <c r="A12459" s="4">
        <v>36378</v>
      </c>
      <c r="B12459" s="833" t="s">
        <v>16727</v>
      </c>
      <c r="C12459" s="4" t="s">
        <v>1803</v>
      </c>
      <c r="D12459" s="834">
        <v>25.52</v>
      </c>
    </row>
    <row r="12460" spans="1:4" x14ac:dyDescent="0.3">
      <c r="A12460" s="4">
        <v>36379</v>
      </c>
      <c r="B12460" s="833" t="s">
        <v>16728</v>
      </c>
      <c r="C12460" s="4" t="s">
        <v>1803</v>
      </c>
      <c r="D12460" s="834">
        <v>51.44</v>
      </c>
    </row>
    <row r="12461" spans="1:4" x14ac:dyDescent="0.3">
      <c r="A12461" s="4">
        <v>9859</v>
      </c>
      <c r="B12461" s="833" t="s">
        <v>16729</v>
      </c>
      <c r="C12461" s="4" t="s">
        <v>1803</v>
      </c>
      <c r="D12461" s="834">
        <v>10.6</v>
      </c>
    </row>
    <row r="12462" spans="1:4" x14ac:dyDescent="0.3">
      <c r="A12462" s="4">
        <v>9836</v>
      </c>
      <c r="B12462" s="833" t="s">
        <v>16730</v>
      </c>
      <c r="C12462" s="4" t="s">
        <v>1803</v>
      </c>
      <c r="D12462" s="834">
        <v>15.38</v>
      </c>
    </row>
    <row r="12463" spans="1:4" x14ac:dyDescent="0.3">
      <c r="A12463" s="4">
        <v>20065</v>
      </c>
      <c r="B12463" s="833" t="s">
        <v>16731</v>
      </c>
      <c r="C12463" s="4" t="s">
        <v>1803</v>
      </c>
      <c r="D12463" s="834">
        <v>40.200000000000003</v>
      </c>
    </row>
    <row r="12464" spans="1:4" x14ac:dyDescent="0.3">
      <c r="A12464" s="4">
        <v>9835</v>
      </c>
      <c r="B12464" s="833" t="s">
        <v>16732</v>
      </c>
      <c r="C12464" s="4" t="s">
        <v>1803</v>
      </c>
      <c r="D12464" s="834">
        <v>6.72</v>
      </c>
    </row>
    <row r="12465" spans="1:4" x14ac:dyDescent="0.3">
      <c r="A12465" s="4">
        <v>9838</v>
      </c>
      <c r="B12465" s="833" t="s">
        <v>16733</v>
      </c>
      <c r="C12465" s="4" t="s">
        <v>1803</v>
      </c>
      <c r="D12465" s="834">
        <v>11.1</v>
      </c>
    </row>
    <row r="12466" spans="1:4" x14ac:dyDescent="0.3">
      <c r="A12466" s="4">
        <v>9837</v>
      </c>
      <c r="B12466" s="833" t="s">
        <v>16734</v>
      </c>
      <c r="C12466" s="4" t="s">
        <v>1803</v>
      </c>
      <c r="D12466" s="834">
        <v>14.56</v>
      </c>
    </row>
    <row r="12467" spans="1:4" x14ac:dyDescent="0.3">
      <c r="A12467" s="4">
        <v>44315</v>
      </c>
      <c r="B12467" s="833" t="s">
        <v>16735</v>
      </c>
      <c r="C12467" s="4" t="s">
        <v>1803</v>
      </c>
      <c r="D12467" s="834">
        <v>60.21</v>
      </c>
    </row>
    <row r="12468" spans="1:4" x14ac:dyDescent="0.3">
      <c r="A12468" s="4">
        <v>9862</v>
      </c>
      <c r="B12468" s="833" t="s">
        <v>16736</v>
      </c>
      <c r="C12468" s="4" t="s">
        <v>1803</v>
      </c>
      <c r="D12468" s="834">
        <v>32.67</v>
      </c>
    </row>
    <row r="12469" spans="1:4" x14ac:dyDescent="0.3">
      <c r="A12469" s="4">
        <v>9861</v>
      </c>
      <c r="B12469" s="833" t="s">
        <v>16737</v>
      </c>
      <c r="C12469" s="4" t="s">
        <v>1803</v>
      </c>
      <c r="D12469" s="834">
        <v>25.66</v>
      </c>
    </row>
    <row r="12470" spans="1:4" x14ac:dyDescent="0.3">
      <c r="A12470" s="4">
        <v>9856</v>
      </c>
      <c r="B12470" s="833" t="s">
        <v>16738</v>
      </c>
      <c r="C12470" s="4" t="s">
        <v>1803</v>
      </c>
      <c r="D12470" s="834">
        <v>8.27</v>
      </c>
    </row>
    <row r="12471" spans="1:4" x14ac:dyDescent="0.3">
      <c r="A12471" s="4">
        <v>9866</v>
      </c>
      <c r="B12471" s="833" t="s">
        <v>16739</v>
      </c>
      <c r="C12471" s="4" t="s">
        <v>1803</v>
      </c>
      <c r="D12471" s="834">
        <v>22.14</v>
      </c>
    </row>
    <row r="12472" spans="1:4" x14ac:dyDescent="0.3">
      <c r="A12472" s="4">
        <v>9863</v>
      </c>
      <c r="B12472" s="833" t="s">
        <v>16740</v>
      </c>
      <c r="C12472" s="4" t="s">
        <v>1803</v>
      </c>
      <c r="D12472" s="834">
        <v>64.05</v>
      </c>
    </row>
    <row r="12473" spans="1:4" x14ac:dyDescent="0.3">
      <c r="A12473" s="4">
        <v>9860</v>
      </c>
      <c r="B12473" s="833" t="s">
        <v>16741</v>
      </c>
      <c r="C12473" s="4" t="s">
        <v>1803</v>
      </c>
      <c r="D12473" s="834">
        <v>46.75</v>
      </c>
    </row>
    <row r="12474" spans="1:4" x14ac:dyDescent="0.3">
      <c r="A12474" s="4">
        <v>9841</v>
      </c>
      <c r="B12474" s="833" t="s">
        <v>16742</v>
      </c>
      <c r="C12474" s="4" t="s">
        <v>1803</v>
      </c>
      <c r="D12474" s="834">
        <v>28.96</v>
      </c>
    </row>
    <row r="12475" spans="1:4" x14ac:dyDescent="0.3">
      <c r="A12475" s="4">
        <v>9840</v>
      </c>
      <c r="B12475" s="833" t="s">
        <v>16743</v>
      </c>
      <c r="C12475" s="4" t="s">
        <v>1803</v>
      </c>
      <c r="D12475" s="834">
        <v>61.18</v>
      </c>
    </row>
    <row r="12476" spans="1:4" x14ac:dyDescent="0.3">
      <c r="A12476" s="4">
        <v>20067</v>
      </c>
      <c r="B12476" s="833" t="s">
        <v>16744</v>
      </c>
      <c r="C12476" s="4" t="s">
        <v>1803</v>
      </c>
      <c r="D12476" s="834">
        <v>9.39</v>
      </c>
    </row>
    <row r="12477" spans="1:4" x14ac:dyDescent="0.3">
      <c r="A12477" s="4">
        <v>20068</v>
      </c>
      <c r="B12477" s="833" t="s">
        <v>16745</v>
      </c>
      <c r="C12477" s="4" t="s">
        <v>1803</v>
      </c>
      <c r="D12477" s="834">
        <v>13.23</v>
      </c>
    </row>
    <row r="12478" spans="1:4" x14ac:dyDescent="0.3">
      <c r="A12478" s="4">
        <v>9839</v>
      </c>
      <c r="B12478" s="833" t="s">
        <v>16746</v>
      </c>
      <c r="C12478" s="4" t="s">
        <v>1803</v>
      </c>
      <c r="D12478" s="834">
        <v>23.99</v>
      </c>
    </row>
    <row r="12479" spans="1:4" x14ac:dyDescent="0.3">
      <c r="A12479" s="4">
        <v>9870</v>
      </c>
      <c r="B12479" s="833" t="s">
        <v>16747</v>
      </c>
      <c r="C12479" s="4" t="s">
        <v>1803</v>
      </c>
      <c r="D12479" s="834">
        <v>95.52</v>
      </c>
    </row>
    <row r="12480" spans="1:4" x14ac:dyDescent="0.3">
      <c r="A12480" s="4">
        <v>9867</v>
      </c>
      <c r="B12480" s="833" t="s">
        <v>16748</v>
      </c>
      <c r="C12480" s="4" t="s">
        <v>1803</v>
      </c>
      <c r="D12480" s="834">
        <v>3.84</v>
      </c>
    </row>
    <row r="12481" spans="1:4" x14ac:dyDescent="0.3">
      <c r="A12481" s="4">
        <v>9868</v>
      </c>
      <c r="B12481" s="833" t="s">
        <v>16749</v>
      </c>
      <c r="C12481" s="4" t="s">
        <v>1803</v>
      </c>
      <c r="D12481" s="834">
        <v>4.33</v>
      </c>
    </row>
    <row r="12482" spans="1:4" x14ac:dyDescent="0.3">
      <c r="A12482" s="4">
        <v>9869</v>
      </c>
      <c r="B12482" s="833" t="s">
        <v>16750</v>
      </c>
      <c r="C12482" s="4" t="s">
        <v>1803</v>
      </c>
      <c r="D12482" s="834">
        <v>9.34</v>
      </c>
    </row>
    <row r="12483" spans="1:4" x14ac:dyDescent="0.3">
      <c r="A12483" s="4">
        <v>9874</v>
      </c>
      <c r="B12483" s="833" t="s">
        <v>16751</v>
      </c>
      <c r="C12483" s="4" t="s">
        <v>1803</v>
      </c>
      <c r="D12483" s="834">
        <v>14.67</v>
      </c>
    </row>
    <row r="12484" spans="1:4" x14ac:dyDescent="0.3">
      <c r="A12484" s="4">
        <v>9875</v>
      </c>
      <c r="B12484" s="833" t="s">
        <v>16752</v>
      </c>
      <c r="C12484" s="4" t="s">
        <v>1803</v>
      </c>
      <c r="D12484" s="834">
        <v>16.09</v>
      </c>
    </row>
    <row r="12485" spans="1:4" x14ac:dyDescent="0.3">
      <c r="A12485" s="4">
        <v>9873</v>
      </c>
      <c r="B12485" s="833" t="s">
        <v>16753</v>
      </c>
      <c r="C12485" s="4" t="s">
        <v>1803</v>
      </c>
      <c r="D12485" s="834">
        <v>26.48</v>
      </c>
    </row>
    <row r="12486" spans="1:4" x14ac:dyDescent="0.3">
      <c r="A12486" s="4">
        <v>9871</v>
      </c>
      <c r="B12486" s="833" t="s">
        <v>16754</v>
      </c>
      <c r="C12486" s="4" t="s">
        <v>1803</v>
      </c>
      <c r="D12486" s="834">
        <v>43.88</v>
      </c>
    </row>
    <row r="12487" spans="1:4" x14ac:dyDescent="0.3">
      <c r="A12487" s="4">
        <v>9872</v>
      </c>
      <c r="B12487" s="833" t="s">
        <v>16755</v>
      </c>
      <c r="C12487" s="4" t="s">
        <v>1803</v>
      </c>
      <c r="D12487" s="834">
        <v>61.04</v>
      </c>
    </row>
    <row r="12488" spans="1:4" x14ac:dyDescent="0.3">
      <c r="A12488" s="4">
        <v>7667</v>
      </c>
      <c r="B12488" s="833" t="s">
        <v>16756</v>
      </c>
      <c r="C12488" s="4" t="s">
        <v>1803</v>
      </c>
      <c r="D12488" s="834">
        <v>3090.17</v>
      </c>
    </row>
    <row r="12489" spans="1:4" x14ac:dyDescent="0.3">
      <c r="A12489" s="4">
        <v>7660</v>
      </c>
      <c r="B12489" s="833" t="s">
        <v>16757</v>
      </c>
      <c r="C12489" s="4" t="s">
        <v>1803</v>
      </c>
      <c r="D12489" s="834">
        <v>3939.24</v>
      </c>
    </row>
    <row r="12490" spans="1:4" x14ac:dyDescent="0.3">
      <c r="A12490" s="4">
        <v>7676</v>
      </c>
      <c r="B12490" s="833" t="s">
        <v>16758</v>
      </c>
      <c r="C12490" s="4" t="s">
        <v>1803</v>
      </c>
      <c r="D12490" s="834">
        <v>3984.26</v>
      </c>
    </row>
    <row r="12491" spans="1:4" x14ac:dyDescent="0.3">
      <c r="A12491" s="4">
        <v>12426</v>
      </c>
      <c r="B12491" s="833" t="s">
        <v>16759</v>
      </c>
      <c r="C12491" s="4" t="s">
        <v>12080</v>
      </c>
      <c r="D12491" s="834">
        <v>50.7</v>
      </c>
    </row>
    <row r="12492" spans="1:4" x14ac:dyDescent="0.3">
      <c r="A12492" s="4">
        <v>12425</v>
      </c>
      <c r="B12492" s="833" t="s">
        <v>16760</v>
      </c>
      <c r="C12492" s="4" t="s">
        <v>12080</v>
      </c>
      <c r="D12492" s="834">
        <v>69.650000000000006</v>
      </c>
    </row>
    <row r="12493" spans="1:4" x14ac:dyDescent="0.3">
      <c r="A12493" s="4">
        <v>12427</v>
      </c>
      <c r="B12493" s="833" t="s">
        <v>16761</v>
      </c>
      <c r="C12493" s="4" t="s">
        <v>12080</v>
      </c>
      <c r="D12493" s="834">
        <v>289.11</v>
      </c>
    </row>
    <row r="12494" spans="1:4" x14ac:dyDescent="0.3">
      <c r="A12494" s="4">
        <v>12428</v>
      </c>
      <c r="B12494" s="833" t="s">
        <v>16762</v>
      </c>
      <c r="C12494" s="4" t="s">
        <v>12080</v>
      </c>
      <c r="D12494" s="834">
        <v>185.57</v>
      </c>
    </row>
    <row r="12495" spans="1:4" x14ac:dyDescent="0.3">
      <c r="A12495" s="4">
        <v>12430</v>
      </c>
      <c r="B12495" s="833" t="s">
        <v>16763</v>
      </c>
      <c r="C12495" s="4" t="s">
        <v>12080</v>
      </c>
      <c r="D12495" s="834">
        <v>62.15</v>
      </c>
    </row>
    <row r="12496" spans="1:4" x14ac:dyDescent="0.3">
      <c r="A12496" s="4">
        <v>12429</v>
      </c>
      <c r="B12496" s="833" t="s">
        <v>16764</v>
      </c>
      <c r="C12496" s="4" t="s">
        <v>12080</v>
      </c>
      <c r="D12496" s="834">
        <v>467.5</v>
      </c>
    </row>
    <row r="12497" spans="1:4" x14ac:dyDescent="0.3">
      <c r="A12497" s="4">
        <v>12431</v>
      </c>
      <c r="B12497" s="833" t="s">
        <v>16765</v>
      </c>
      <c r="C12497" s="4" t="s">
        <v>12080</v>
      </c>
      <c r="D12497" s="834">
        <v>795.6</v>
      </c>
    </row>
    <row r="12498" spans="1:4" x14ac:dyDescent="0.3">
      <c r="A12498" s="4">
        <v>12432</v>
      </c>
      <c r="B12498" s="833" t="s">
        <v>16766</v>
      </c>
      <c r="C12498" s="4" t="s">
        <v>12080</v>
      </c>
      <c r="D12498" s="834">
        <v>163.63</v>
      </c>
    </row>
    <row r="12499" spans="1:4" x14ac:dyDescent="0.3">
      <c r="A12499" s="4">
        <v>12434</v>
      </c>
      <c r="B12499" s="833" t="s">
        <v>16767</v>
      </c>
      <c r="C12499" s="4" t="s">
        <v>12080</v>
      </c>
      <c r="D12499" s="834">
        <v>53.32</v>
      </c>
    </row>
    <row r="12500" spans="1:4" x14ac:dyDescent="0.3">
      <c r="A12500" s="4">
        <v>12433</v>
      </c>
      <c r="B12500" s="833" t="s">
        <v>16768</v>
      </c>
      <c r="C12500" s="4" t="s">
        <v>12080</v>
      </c>
      <c r="D12500" s="834">
        <v>104.17</v>
      </c>
    </row>
    <row r="12501" spans="1:4" x14ac:dyDescent="0.3">
      <c r="A12501" s="4">
        <v>12435</v>
      </c>
      <c r="B12501" s="833" t="s">
        <v>16769</v>
      </c>
      <c r="C12501" s="4" t="s">
        <v>12080</v>
      </c>
      <c r="D12501" s="834">
        <v>322.38</v>
      </c>
    </row>
    <row r="12502" spans="1:4" x14ac:dyDescent="0.3">
      <c r="A12502" s="4">
        <v>12437</v>
      </c>
      <c r="B12502" s="833" t="s">
        <v>16770</v>
      </c>
      <c r="C12502" s="4" t="s">
        <v>12080</v>
      </c>
      <c r="D12502" s="834">
        <v>260.36</v>
      </c>
    </row>
    <row r="12503" spans="1:4" x14ac:dyDescent="0.3">
      <c r="A12503" s="4">
        <v>12439</v>
      </c>
      <c r="B12503" s="833" t="s">
        <v>16771</v>
      </c>
      <c r="C12503" s="4" t="s">
        <v>12080</v>
      </c>
      <c r="D12503" s="834">
        <v>83.56</v>
      </c>
    </row>
    <row r="12504" spans="1:4" x14ac:dyDescent="0.3">
      <c r="A12504" s="4">
        <v>12438</v>
      </c>
      <c r="B12504" s="833" t="s">
        <v>16772</v>
      </c>
      <c r="C12504" s="4" t="s">
        <v>12080</v>
      </c>
      <c r="D12504" s="834">
        <v>471.17</v>
      </c>
    </row>
    <row r="12505" spans="1:4" x14ac:dyDescent="0.3">
      <c r="A12505" s="4">
        <v>12436</v>
      </c>
      <c r="B12505" s="833" t="s">
        <v>16773</v>
      </c>
      <c r="C12505" s="4" t="s">
        <v>12080</v>
      </c>
      <c r="D12505" s="834">
        <v>595.19000000000005</v>
      </c>
    </row>
    <row r="12506" spans="1:4" x14ac:dyDescent="0.3">
      <c r="A12506" s="4">
        <v>36357</v>
      </c>
      <c r="B12506" s="833" t="s">
        <v>16774</v>
      </c>
      <c r="C12506" s="4" t="s">
        <v>12080</v>
      </c>
      <c r="D12506" s="834">
        <v>159.12</v>
      </c>
    </row>
    <row r="12507" spans="1:4" x14ac:dyDescent="0.3">
      <c r="A12507" s="4">
        <v>12424</v>
      </c>
      <c r="B12507" s="833" t="s">
        <v>16775</v>
      </c>
      <c r="C12507" s="4" t="s">
        <v>12080</v>
      </c>
      <c r="D12507" s="834">
        <v>107.25</v>
      </c>
    </row>
    <row r="12508" spans="1:4" x14ac:dyDescent="0.3">
      <c r="A12508" s="4">
        <v>12440</v>
      </c>
      <c r="B12508" s="833" t="s">
        <v>16776</v>
      </c>
      <c r="C12508" s="4" t="s">
        <v>12080</v>
      </c>
      <c r="D12508" s="834">
        <v>103.67</v>
      </c>
    </row>
    <row r="12509" spans="1:4" x14ac:dyDescent="0.3">
      <c r="A12509" s="4">
        <v>9884</v>
      </c>
      <c r="B12509" s="833" t="s">
        <v>16777</v>
      </c>
      <c r="C12509" s="4" t="s">
        <v>12080</v>
      </c>
      <c r="D12509" s="834">
        <v>77.319999999999993</v>
      </c>
    </row>
    <row r="12510" spans="1:4" x14ac:dyDescent="0.3">
      <c r="A12510" s="4">
        <v>9888</v>
      </c>
      <c r="B12510" s="833" t="s">
        <v>16778</v>
      </c>
      <c r="C12510" s="4" t="s">
        <v>12080</v>
      </c>
      <c r="D12510" s="834">
        <v>62.13</v>
      </c>
    </row>
    <row r="12511" spans="1:4" x14ac:dyDescent="0.3">
      <c r="A12511" s="4">
        <v>9883</v>
      </c>
      <c r="B12511" s="833" t="s">
        <v>16779</v>
      </c>
      <c r="C12511" s="4" t="s">
        <v>12080</v>
      </c>
      <c r="D12511" s="834">
        <v>27.11</v>
      </c>
    </row>
    <row r="12512" spans="1:4" x14ac:dyDescent="0.3">
      <c r="A12512" s="4">
        <v>9886</v>
      </c>
      <c r="B12512" s="833" t="s">
        <v>16780</v>
      </c>
      <c r="C12512" s="4" t="s">
        <v>12080</v>
      </c>
      <c r="D12512" s="834">
        <v>37.130000000000003</v>
      </c>
    </row>
    <row r="12513" spans="1:4" x14ac:dyDescent="0.3">
      <c r="A12513" s="4">
        <v>9889</v>
      </c>
      <c r="B12513" s="833" t="s">
        <v>16781</v>
      </c>
      <c r="C12513" s="4" t="s">
        <v>12080</v>
      </c>
      <c r="D12513" s="834">
        <v>188.12</v>
      </c>
    </row>
    <row r="12514" spans="1:4" x14ac:dyDescent="0.3">
      <c r="A12514" s="4">
        <v>9887</v>
      </c>
      <c r="B12514" s="833" t="s">
        <v>16782</v>
      </c>
      <c r="C12514" s="4" t="s">
        <v>12080</v>
      </c>
      <c r="D12514" s="834">
        <v>113.7</v>
      </c>
    </row>
    <row r="12515" spans="1:4" x14ac:dyDescent="0.3">
      <c r="A12515" s="4">
        <v>9885</v>
      </c>
      <c r="B12515" s="833" t="s">
        <v>16783</v>
      </c>
      <c r="C12515" s="4" t="s">
        <v>12080</v>
      </c>
      <c r="D12515" s="834">
        <v>35.9</v>
      </c>
    </row>
    <row r="12516" spans="1:4" x14ac:dyDescent="0.3">
      <c r="A12516" s="4">
        <v>9890</v>
      </c>
      <c r="B12516" s="833" t="s">
        <v>16784</v>
      </c>
      <c r="C12516" s="4" t="s">
        <v>12080</v>
      </c>
      <c r="D12516" s="834">
        <v>291.45</v>
      </c>
    </row>
    <row r="12517" spans="1:4" x14ac:dyDescent="0.3">
      <c r="A12517" s="4">
        <v>9891</v>
      </c>
      <c r="B12517" s="833" t="s">
        <v>16785</v>
      </c>
      <c r="C12517" s="4" t="s">
        <v>12080</v>
      </c>
      <c r="D12517" s="834">
        <v>409.14</v>
      </c>
    </row>
    <row r="12518" spans="1:4" x14ac:dyDescent="0.3">
      <c r="A12518" s="4">
        <v>36316</v>
      </c>
      <c r="B12518" s="833" t="s">
        <v>16786</v>
      </c>
      <c r="C12518" s="4" t="s">
        <v>12080</v>
      </c>
      <c r="D12518" s="834">
        <v>25.93</v>
      </c>
    </row>
    <row r="12519" spans="1:4" x14ac:dyDescent="0.3">
      <c r="A12519" s="4">
        <v>36313</v>
      </c>
      <c r="B12519" s="833" t="s">
        <v>16787</v>
      </c>
      <c r="C12519" s="4" t="s">
        <v>12080</v>
      </c>
      <c r="D12519" s="834">
        <v>16.649999999999999</v>
      </c>
    </row>
    <row r="12520" spans="1:4" x14ac:dyDescent="0.3">
      <c r="A12520" s="4">
        <v>64</v>
      </c>
      <c r="B12520" s="833" t="s">
        <v>16788</v>
      </c>
      <c r="C12520" s="4" t="s">
        <v>12080</v>
      </c>
      <c r="D12520" s="834">
        <v>4.76</v>
      </c>
    </row>
    <row r="12521" spans="1:4" x14ac:dyDescent="0.3">
      <c r="A12521" s="4">
        <v>37423</v>
      </c>
      <c r="B12521" s="833" t="s">
        <v>16789</v>
      </c>
      <c r="C12521" s="4" t="s">
        <v>12080</v>
      </c>
      <c r="D12521" s="834">
        <v>11.76</v>
      </c>
    </row>
    <row r="12522" spans="1:4" x14ac:dyDescent="0.3">
      <c r="A12522" s="4">
        <v>9892</v>
      </c>
      <c r="B12522" s="833" t="s">
        <v>16790</v>
      </c>
      <c r="C12522" s="4" t="s">
        <v>12080</v>
      </c>
      <c r="D12522" s="834">
        <v>7.03</v>
      </c>
    </row>
    <row r="12523" spans="1:4" x14ac:dyDescent="0.3">
      <c r="A12523" s="4">
        <v>9901</v>
      </c>
      <c r="B12523" s="833" t="s">
        <v>16791</v>
      </c>
      <c r="C12523" s="4" t="s">
        <v>12080</v>
      </c>
      <c r="D12523" s="834">
        <v>34</v>
      </c>
    </row>
    <row r="12524" spans="1:4" x14ac:dyDescent="0.3">
      <c r="A12524" s="4">
        <v>9900</v>
      </c>
      <c r="B12524" s="833" t="s">
        <v>16792</v>
      </c>
      <c r="C12524" s="4" t="s">
        <v>12080</v>
      </c>
      <c r="D12524" s="834">
        <v>19.7</v>
      </c>
    </row>
    <row r="12525" spans="1:4" x14ac:dyDescent="0.3">
      <c r="A12525" s="4">
        <v>9899</v>
      </c>
      <c r="B12525" s="833" t="s">
        <v>16793</v>
      </c>
      <c r="C12525" s="4" t="s">
        <v>12080</v>
      </c>
      <c r="D12525" s="834">
        <v>8.83</v>
      </c>
    </row>
    <row r="12526" spans="1:4" x14ac:dyDescent="0.3">
      <c r="A12526" s="4">
        <v>9908</v>
      </c>
      <c r="B12526" s="833" t="s">
        <v>16794</v>
      </c>
      <c r="C12526" s="4" t="s">
        <v>12080</v>
      </c>
      <c r="D12526" s="834">
        <v>397.12</v>
      </c>
    </row>
    <row r="12527" spans="1:4" x14ac:dyDescent="0.3">
      <c r="A12527" s="4">
        <v>9905</v>
      </c>
      <c r="B12527" s="833" t="s">
        <v>16795</v>
      </c>
      <c r="C12527" s="4" t="s">
        <v>12080</v>
      </c>
      <c r="D12527" s="834">
        <v>6.91</v>
      </c>
    </row>
    <row r="12528" spans="1:4" x14ac:dyDescent="0.3">
      <c r="A12528" s="4">
        <v>9906</v>
      </c>
      <c r="B12528" s="833" t="s">
        <v>16796</v>
      </c>
      <c r="C12528" s="4" t="s">
        <v>12080</v>
      </c>
      <c r="D12528" s="834">
        <v>8.33</v>
      </c>
    </row>
    <row r="12529" spans="1:4" x14ac:dyDescent="0.3">
      <c r="A12529" s="4">
        <v>9895</v>
      </c>
      <c r="B12529" s="833" t="s">
        <v>16797</v>
      </c>
      <c r="C12529" s="4" t="s">
        <v>12080</v>
      </c>
      <c r="D12529" s="834">
        <v>14.03</v>
      </c>
    </row>
    <row r="12530" spans="1:4" x14ac:dyDescent="0.3">
      <c r="A12530" s="4">
        <v>9894</v>
      </c>
      <c r="B12530" s="833" t="s">
        <v>16798</v>
      </c>
      <c r="C12530" s="4" t="s">
        <v>12080</v>
      </c>
      <c r="D12530" s="834">
        <v>26.98</v>
      </c>
    </row>
    <row r="12531" spans="1:4" x14ac:dyDescent="0.3">
      <c r="A12531" s="4">
        <v>9897</v>
      </c>
      <c r="B12531" s="833" t="s">
        <v>16799</v>
      </c>
      <c r="C12531" s="4" t="s">
        <v>12080</v>
      </c>
      <c r="D12531" s="834">
        <v>28.81</v>
      </c>
    </row>
    <row r="12532" spans="1:4" x14ac:dyDescent="0.3">
      <c r="A12532" s="4">
        <v>9910</v>
      </c>
      <c r="B12532" s="833" t="s">
        <v>16800</v>
      </c>
      <c r="C12532" s="4" t="s">
        <v>12080</v>
      </c>
      <c r="D12532" s="834">
        <v>74.959999999999994</v>
      </c>
    </row>
    <row r="12533" spans="1:4" x14ac:dyDescent="0.3">
      <c r="A12533" s="4">
        <v>9909</v>
      </c>
      <c r="B12533" s="833" t="s">
        <v>16801</v>
      </c>
      <c r="C12533" s="4" t="s">
        <v>12080</v>
      </c>
      <c r="D12533" s="834">
        <v>152.66</v>
      </c>
    </row>
    <row r="12534" spans="1:4" x14ac:dyDescent="0.3">
      <c r="A12534" s="4">
        <v>9907</v>
      </c>
      <c r="B12534" s="833" t="s">
        <v>16802</v>
      </c>
      <c r="C12534" s="4" t="s">
        <v>12080</v>
      </c>
      <c r="D12534" s="834">
        <v>180.25</v>
      </c>
    </row>
    <row r="12535" spans="1:4" x14ac:dyDescent="0.3">
      <c r="A12535" s="4">
        <v>20973</v>
      </c>
      <c r="B12535" s="833" t="s">
        <v>16803</v>
      </c>
      <c r="C12535" s="4" t="s">
        <v>12080</v>
      </c>
      <c r="D12535" s="834">
        <v>132.99</v>
      </c>
    </row>
    <row r="12536" spans="1:4" x14ac:dyDescent="0.3">
      <c r="A12536" s="4">
        <v>20974</v>
      </c>
      <c r="B12536" s="833" t="s">
        <v>16804</v>
      </c>
      <c r="C12536" s="4" t="s">
        <v>12080</v>
      </c>
      <c r="D12536" s="834">
        <v>190.27</v>
      </c>
    </row>
    <row r="12537" spans="1:4" x14ac:dyDescent="0.3">
      <c r="A12537" s="4">
        <v>37989</v>
      </c>
      <c r="B12537" s="833" t="s">
        <v>16805</v>
      </c>
      <c r="C12537" s="4" t="s">
        <v>12080</v>
      </c>
      <c r="D12537" s="834">
        <v>15.09</v>
      </c>
    </row>
    <row r="12538" spans="1:4" x14ac:dyDescent="0.3">
      <c r="A12538" s="4">
        <v>37990</v>
      </c>
      <c r="B12538" s="833" t="s">
        <v>16806</v>
      </c>
      <c r="C12538" s="4" t="s">
        <v>12080</v>
      </c>
      <c r="D12538" s="834">
        <v>16.64</v>
      </c>
    </row>
    <row r="12539" spans="1:4" x14ac:dyDescent="0.3">
      <c r="A12539" s="4">
        <v>37991</v>
      </c>
      <c r="B12539" s="833" t="s">
        <v>16807</v>
      </c>
      <c r="C12539" s="4" t="s">
        <v>12080</v>
      </c>
      <c r="D12539" s="834">
        <v>22.15</v>
      </c>
    </row>
    <row r="12540" spans="1:4" x14ac:dyDescent="0.3">
      <c r="A12540" s="4">
        <v>37992</v>
      </c>
      <c r="B12540" s="833" t="s">
        <v>16808</v>
      </c>
      <c r="C12540" s="4" t="s">
        <v>12080</v>
      </c>
      <c r="D12540" s="834">
        <v>34.369999999999997</v>
      </c>
    </row>
    <row r="12541" spans="1:4" x14ac:dyDescent="0.3">
      <c r="A12541" s="4">
        <v>37993</v>
      </c>
      <c r="B12541" s="833" t="s">
        <v>16809</v>
      </c>
      <c r="C12541" s="4" t="s">
        <v>12080</v>
      </c>
      <c r="D12541" s="834">
        <v>52.16</v>
      </c>
    </row>
    <row r="12542" spans="1:4" x14ac:dyDescent="0.3">
      <c r="A12542" s="4">
        <v>37994</v>
      </c>
      <c r="B12542" s="833" t="s">
        <v>16810</v>
      </c>
      <c r="C12542" s="4" t="s">
        <v>12080</v>
      </c>
      <c r="D12542" s="834">
        <v>124.2</v>
      </c>
    </row>
    <row r="12543" spans="1:4" x14ac:dyDescent="0.3">
      <c r="A12543" s="4">
        <v>37995</v>
      </c>
      <c r="B12543" s="833" t="s">
        <v>16811</v>
      </c>
      <c r="C12543" s="4" t="s">
        <v>12080</v>
      </c>
      <c r="D12543" s="834">
        <v>161.88999999999999</v>
      </c>
    </row>
    <row r="12544" spans="1:4" x14ac:dyDescent="0.3">
      <c r="A12544" s="4">
        <v>37996</v>
      </c>
      <c r="B12544" s="833" t="s">
        <v>16812</v>
      </c>
      <c r="C12544" s="4" t="s">
        <v>12080</v>
      </c>
      <c r="D12544" s="834">
        <v>246.51</v>
      </c>
    </row>
    <row r="12545" spans="1:4" x14ac:dyDescent="0.3">
      <c r="A12545" s="4">
        <v>13883</v>
      </c>
      <c r="B12545" s="833" t="s">
        <v>16813</v>
      </c>
      <c r="C12545" s="4" t="s">
        <v>12080</v>
      </c>
      <c r="D12545" s="834">
        <v>155184.21</v>
      </c>
    </row>
    <row r="12546" spans="1:4" x14ac:dyDescent="0.3">
      <c r="A12546" s="4">
        <v>38604</v>
      </c>
      <c r="B12546" s="833" t="s">
        <v>16814</v>
      </c>
      <c r="C12546" s="4" t="s">
        <v>12080</v>
      </c>
      <c r="D12546" s="834">
        <v>193279.88</v>
      </c>
    </row>
    <row r="12547" spans="1:4" x14ac:dyDescent="0.3">
      <c r="A12547" s="4">
        <v>10601</v>
      </c>
      <c r="B12547" s="833" t="s">
        <v>16815</v>
      </c>
      <c r="C12547" s="4" t="s">
        <v>12080</v>
      </c>
      <c r="D12547" s="834">
        <v>3759679.2</v>
      </c>
    </row>
    <row r="12548" spans="1:4" x14ac:dyDescent="0.3">
      <c r="A12548" s="4">
        <v>44469</v>
      </c>
      <c r="B12548" s="833" t="s">
        <v>16816</v>
      </c>
      <c r="C12548" s="4" t="s">
        <v>12080</v>
      </c>
      <c r="D12548" s="834">
        <v>9899102.6600000001</v>
      </c>
    </row>
    <row r="12549" spans="1:4" x14ac:dyDescent="0.3">
      <c r="A12549" s="4">
        <v>13894</v>
      </c>
      <c r="B12549" s="833" t="s">
        <v>16817</v>
      </c>
      <c r="C12549" s="4" t="s">
        <v>12080</v>
      </c>
      <c r="D12549" s="834">
        <v>399604.75</v>
      </c>
    </row>
    <row r="12550" spans="1:4" x14ac:dyDescent="0.3">
      <c r="A12550" s="4">
        <v>13895</v>
      </c>
      <c r="B12550" s="833" t="s">
        <v>16818</v>
      </c>
      <c r="C12550" s="4" t="s">
        <v>12080</v>
      </c>
      <c r="D12550" s="834">
        <v>537335.18000000005</v>
      </c>
    </row>
    <row r="12551" spans="1:4" x14ac:dyDescent="0.3">
      <c r="A12551" s="4">
        <v>13892</v>
      </c>
      <c r="B12551" s="833" t="s">
        <v>16819</v>
      </c>
      <c r="C12551" s="4" t="s">
        <v>12080</v>
      </c>
      <c r="D12551" s="834">
        <v>658491.12</v>
      </c>
    </row>
    <row r="12552" spans="1:4" x14ac:dyDescent="0.3">
      <c r="A12552" s="4">
        <v>9914</v>
      </c>
      <c r="B12552" s="833" t="s">
        <v>16820</v>
      </c>
      <c r="C12552" s="4" t="s">
        <v>12080</v>
      </c>
      <c r="D12552" s="834">
        <v>712400</v>
      </c>
    </row>
    <row r="12553" spans="1:4" x14ac:dyDescent="0.3">
      <c r="A12553" s="4">
        <v>36485</v>
      </c>
      <c r="B12553" s="833" t="s">
        <v>16821</v>
      </c>
      <c r="C12553" s="4" t="s">
        <v>12080</v>
      </c>
      <c r="D12553" s="834">
        <v>665336.65</v>
      </c>
    </row>
    <row r="12554" spans="1:4" x14ac:dyDescent="0.3">
      <c r="A12554" s="4">
        <v>9912</v>
      </c>
      <c r="B12554" s="833" t="s">
        <v>16822</v>
      </c>
      <c r="C12554" s="4" t="s">
        <v>12080</v>
      </c>
      <c r="D12554" s="834">
        <v>3060802.5</v>
      </c>
    </row>
    <row r="12555" spans="1:4" x14ac:dyDescent="0.3">
      <c r="A12555" s="4">
        <v>9921</v>
      </c>
      <c r="B12555" s="833" t="s">
        <v>16823</v>
      </c>
      <c r="C12555" s="4" t="s">
        <v>12080</v>
      </c>
      <c r="D12555" s="834">
        <v>1578906.7</v>
      </c>
    </row>
    <row r="12556" spans="1:4" x14ac:dyDescent="0.3">
      <c r="A12556" s="4">
        <v>21112</v>
      </c>
      <c r="B12556" s="833" t="s">
        <v>16824</v>
      </c>
      <c r="C12556" s="4" t="s">
        <v>12080</v>
      </c>
      <c r="D12556" s="834">
        <v>306.45</v>
      </c>
    </row>
    <row r="12557" spans="1:4" x14ac:dyDescent="0.3">
      <c r="A12557" s="4">
        <v>10228</v>
      </c>
      <c r="B12557" s="833" t="s">
        <v>16825</v>
      </c>
      <c r="C12557" s="4" t="s">
        <v>12080</v>
      </c>
      <c r="D12557" s="834">
        <v>356</v>
      </c>
    </row>
    <row r="12558" spans="1:4" x14ac:dyDescent="0.3">
      <c r="A12558" s="4">
        <v>11781</v>
      </c>
      <c r="B12558" s="833" t="s">
        <v>16826</v>
      </c>
      <c r="C12558" s="4" t="s">
        <v>12080</v>
      </c>
      <c r="D12558" s="834">
        <v>288.39999999999998</v>
      </c>
    </row>
    <row r="12559" spans="1:4" x14ac:dyDescent="0.3">
      <c r="A12559" s="4">
        <v>37588</v>
      </c>
      <c r="B12559" s="833" t="s">
        <v>16827</v>
      </c>
      <c r="C12559" s="4" t="s">
        <v>12080</v>
      </c>
      <c r="D12559" s="834">
        <v>44.81</v>
      </c>
    </row>
    <row r="12560" spans="1:4" x14ac:dyDescent="0.3">
      <c r="A12560" s="4">
        <v>11751</v>
      </c>
      <c r="B12560" s="833" t="s">
        <v>16828</v>
      </c>
      <c r="C12560" s="4" t="s">
        <v>12080</v>
      </c>
      <c r="D12560" s="834">
        <v>148.85</v>
      </c>
    </row>
    <row r="12561" spans="1:4" x14ac:dyDescent="0.3">
      <c r="A12561" s="4">
        <v>11750</v>
      </c>
      <c r="B12561" s="833" t="s">
        <v>16829</v>
      </c>
      <c r="C12561" s="4" t="s">
        <v>12080</v>
      </c>
      <c r="D12561" s="834">
        <v>123.53</v>
      </c>
    </row>
    <row r="12562" spans="1:4" x14ac:dyDescent="0.3">
      <c r="A12562" s="4">
        <v>11748</v>
      </c>
      <c r="B12562" s="833" t="s">
        <v>16830</v>
      </c>
      <c r="C12562" s="4" t="s">
        <v>12080</v>
      </c>
      <c r="D12562" s="834">
        <v>53.18</v>
      </c>
    </row>
    <row r="12563" spans="1:4" x14ac:dyDescent="0.3">
      <c r="A12563" s="4">
        <v>11746</v>
      </c>
      <c r="B12563" s="833" t="s">
        <v>16831</v>
      </c>
      <c r="C12563" s="4" t="s">
        <v>12080</v>
      </c>
      <c r="D12563" s="834">
        <v>82.88</v>
      </c>
    </row>
    <row r="12564" spans="1:4" x14ac:dyDescent="0.3">
      <c r="A12564" s="4">
        <v>11747</v>
      </c>
      <c r="B12564" s="833" t="s">
        <v>16832</v>
      </c>
      <c r="C12564" s="4" t="s">
        <v>12080</v>
      </c>
      <c r="D12564" s="834">
        <v>229.53</v>
      </c>
    </row>
    <row r="12565" spans="1:4" x14ac:dyDescent="0.3">
      <c r="A12565" s="4">
        <v>11749</v>
      </c>
      <c r="B12565" s="833" t="s">
        <v>16833</v>
      </c>
      <c r="C12565" s="4" t="s">
        <v>12080</v>
      </c>
      <c r="D12565" s="834">
        <v>61.39</v>
      </c>
    </row>
    <row r="12566" spans="1:4" x14ac:dyDescent="0.3">
      <c r="A12566" s="4">
        <v>10236</v>
      </c>
      <c r="B12566" s="833" t="s">
        <v>16834</v>
      </c>
      <c r="C12566" s="4" t="s">
        <v>12080</v>
      </c>
      <c r="D12566" s="834">
        <v>137.1</v>
      </c>
    </row>
    <row r="12567" spans="1:4" x14ac:dyDescent="0.3">
      <c r="A12567" s="4">
        <v>10233</v>
      </c>
      <c r="B12567" s="833" t="s">
        <v>16835</v>
      </c>
      <c r="C12567" s="4" t="s">
        <v>12080</v>
      </c>
      <c r="D12567" s="834">
        <v>128.47</v>
      </c>
    </row>
    <row r="12568" spans="1:4" x14ac:dyDescent="0.3">
      <c r="A12568" s="4">
        <v>10234</v>
      </c>
      <c r="B12568" s="833" t="s">
        <v>16836</v>
      </c>
      <c r="C12568" s="4" t="s">
        <v>12080</v>
      </c>
      <c r="D12568" s="834">
        <v>80.930000000000007</v>
      </c>
    </row>
    <row r="12569" spans="1:4" x14ac:dyDescent="0.3">
      <c r="A12569" s="4">
        <v>10231</v>
      </c>
      <c r="B12569" s="833" t="s">
        <v>16837</v>
      </c>
      <c r="C12569" s="4" t="s">
        <v>12080</v>
      </c>
      <c r="D12569" s="834">
        <v>371.11</v>
      </c>
    </row>
    <row r="12570" spans="1:4" x14ac:dyDescent="0.3">
      <c r="A12570" s="4">
        <v>10232</v>
      </c>
      <c r="B12570" s="833" t="s">
        <v>16838</v>
      </c>
      <c r="C12570" s="4" t="s">
        <v>12080</v>
      </c>
      <c r="D12570" s="834">
        <v>207.67</v>
      </c>
    </row>
    <row r="12571" spans="1:4" x14ac:dyDescent="0.3">
      <c r="A12571" s="4">
        <v>10229</v>
      </c>
      <c r="B12571" s="833" t="s">
        <v>16839</v>
      </c>
      <c r="C12571" s="4" t="s">
        <v>12080</v>
      </c>
      <c r="D12571" s="834">
        <v>73.19</v>
      </c>
    </row>
    <row r="12572" spans="1:4" x14ac:dyDescent="0.3">
      <c r="A12572" s="4">
        <v>10235</v>
      </c>
      <c r="B12572" s="833" t="s">
        <v>16840</v>
      </c>
      <c r="C12572" s="4" t="s">
        <v>12080</v>
      </c>
      <c r="D12572" s="834">
        <v>508.76</v>
      </c>
    </row>
    <row r="12573" spans="1:4" x14ac:dyDescent="0.3">
      <c r="A12573" s="4">
        <v>10230</v>
      </c>
      <c r="B12573" s="833" t="s">
        <v>16841</v>
      </c>
      <c r="C12573" s="4" t="s">
        <v>12080</v>
      </c>
      <c r="D12573" s="834">
        <v>895.36</v>
      </c>
    </row>
    <row r="12574" spans="1:4" x14ac:dyDescent="0.3">
      <c r="A12574" s="4">
        <v>10409</v>
      </c>
      <c r="B12574" s="833" t="s">
        <v>16842</v>
      </c>
      <c r="C12574" s="4" t="s">
        <v>12080</v>
      </c>
      <c r="D12574" s="834">
        <v>266</v>
      </c>
    </row>
    <row r="12575" spans="1:4" x14ac:dyDescent="0.3">
      <c r="A12575" s="4">
        <v>10411</v>
      </c>
      <c r="B12575" s="833" t="s">
        <v>16843</v>
      </c>
      <c r="C12575" s="4" t="s">
        <v>12080</v>
      </c>
      <c r="D12575" s="834">
        <v>238.02</v>
      </c>
    </row>
    <row r="12576" spans="1:4" x14ac:dyDescent="0.3">
      <c r="A12576" s="4">
        <v>10404</v>
      </c>
      <c r="B12576" s="833" t="s">
        <v>16844</v>
      </c>
      <c r="C12576" s="4" t="s">
        <v>12080</v>
      </c>
      <c r="D12576" s="834">
        <v>96.53</v>
      </c>
    </row>
    <row r="12577" spans="1:4" x14ac:dyDescent="0.3">
      <c r="A12577" s="4">
        <v>10410</v>
      </c>
      <c r="B12577" s="833" t="s">
        <v>16845</v>
      </c>
      <c r="C12577" s="4" t="s">
        <v>12080</v>
      </c>
      <c r="D12577" s="834">
        <v>158.99</v>
      </c>
    </row>
    <row r="12578" spans="1:4" x14ac:dyDescent="0.3">
      <c r="A12578" s="4">
        <v>10405</v>
      </c>
      <c r="B12578" s="833" t="s">
        <v>16846</v>
      </c>
      <c r="C12578" s="4" t="s">
        <v>12080</v>
      </c>
      <c r="D12578" s="834">
        <v>532.94000000000005</v>
      </c>
    </row>
    <row r="12579" spans="1:4" x14ac:dyDescent="0.3">
      <c r="A12579" s="4">
        <v>10408</v>
      </c>
      <c r="B12579" s="833" t="s">
        <v>16847</v>
      </c>
      <c r="C12579" s="4" t="s">
        <v>12080</v>
      </c>
      <c r="D12579" s="834">
        <v>372.67</v>
      </c>
    </row>
    <row r="12580" spans="1:4" x14ac:dyDescent="0.3">
      <c r="A12580" s="4">
        <v>10412</v>
      </c>
      <c r="B12580" s="833" t="s">
        <v>16848</v>
      </c>
      <c r="C12580" s="4" t="s">
        <v>12080</v>
      </c>
      <c r="D12580" s="834">
        <v>116.98</v>
      </c>
    </row>
    <row r="12581" spans="1:4" x14ac:dyDescent="0.3">
      <c r="A12581" s="4">
        <v>10406</v>
      </c>
      <c r="B12581" s="833" t="s">
        <v>16849</v>
      </c>
      <c r="C12581" s="4" t="s">
        <v>12080</v>
      </c>
      <c r="D12581" s="834">
        <v>736.09</v>
      </c>
    </row>
    <row r="12582" spans="1:4" x14ac:dyDescent="0.3">
      <c r="A12582" s="4">
        <v>10407</v>
      </c>
      <c r="B12582" s="833" t="s">
        <v>16850</v>
      </c>
      <c r="C12582" s="4" t="s">
        <v>12080</v>
      </c>
      <c r="D12582" s="834">
        <v>1141.69</v>
      </c>
    </row>
    <row r="12583" spans="1:4" x14ac:dyDescent="0.3">
      <c r="A12583" s="4">
        <v>10416</v>
      </c>
      <c r="B12583" s="833" t="s">
        <v>16851</v>
      </c>
      <c r="C12583" s="4" t="s">
        <v>12080</v>
      </c>
      <c r="D12583" s="834">
        <v>141.61000000000001</v>
      </c>
    </row>
    <row r="12584" spans="1:4" x14ac:dyDescent="0.3">
      <c r="A12584" s="4">
        <v>10419</v>
      </c>
      <c r="B12584" s="833" t="s">
        <v>16852</v>
      </c>
      <c r="C12584" s="4" t="s">
        <v>12080</v>
      </c>
      <c r="D12584" s="834">
        <v>122.92</v>
      </c>
    </row>
    <row r="12585" spans="1:4" x14ac:dyDescent="0.3">
      <c r="A12585" s="4">
        <v>21092</v>
      </c>
      <c r="B12585" s="833" t="s">
        <v>16853</v>
      </c>
      <c r="C12585" s="4" t="s">
        <v>12080</v>
      </c>
      <c r="D12585" s="834">
        <v>70.27</v>
      </c>
    </row>
    <row r="12586" spans="1:4" x14ac:dyDescent="0.3">
      <c r="A12586" s="4">
        <v>10418</v>
      </c>
      <c r="B12586" s="833" t="s">
        <v>16854</v>
      </c>
      <c r="C12586" s="4" t="s">
        <v>12080</v>
      </c>
      <c r="D12586" s="834">
        <v>81.93</v>
      </c>
    </row>
    <row r="12587" spans="1:4" x14ac:dyDescent="0.3">
      <c r="A12587" s="4">
        <v>12657</v>
      </c>
      <c r="B12587" s="833" t="s">
        <v>16855</v>
      </c>
      <c r="C12587" s="4" t="s">
        <v>12080</v>
      </c>
      <c r="D12587" s="834">
        <v>330.64</v>
      </c>
    </row>
    <row r="12588" spans="1:4" x14ac:dyDescent="0.3">
      <c r="A12588" s="4">
        <v>10417</v>
      </c>
      <c r="B12588" s="833" t="s">
        <v>16856</v>
      </c>
      <c r="C12588" s="4" t="s">
        <v>12080</v>
      </c>
      <c r="D12588" s="834">
        <v>206.34</v>
      </c>
    </row>
    <row r="12589" spans="1:4" x14ac:dyDescent="0.3">
      <c r="A12589" s="4">
        <v>10413</v>
      </c>
      <c r="B12589" s="833" t="s">
        <v>16857</v>
      </c>
      <c r="C12589" s="4" t="s">
        <v>12080</v>
      </c>
      <c r="D12589" s="834">
        <v>74.989999999999995</v>
      </c>
    </row>
    <row r="12590" spans="1:4" x14ac:dyDescent="0.3">
      <c r="A12590" s="4">
        <v>10414</v>
      </c>
      <c r="B12590" s="833" t="s">
        <v>16858</v>
      </c>
      <c r="C12590" s="4" t="s">
        <v>12080</v>
      </c>
      <c r="D12590" s="834">
        <v>451.51</v>
      </c>
    </row>
    <row r="12591" spans="1:4" x14ac:dyDescent="0.3">
      <c r="A12591" s="4">
        <v>10415</v>
      </c>
      <c r="B12591" s="833" t="s">
        <v>16859</v>
      </c>
      <c r="C12591" s="4" t="s">
        <v>12080</v>
      </c>
      <c r="D12591" s="834">
        <v>783.62</v>
      </c>
    </row>
    <row r="12592" spans="1:4" x14ac:dyDescent="0.3">
      <c r="A12592" s="4">
        <v>38643</v>
      </c>
      <c r="B12592" s="833" t="s">
        <v>16860</v>
      </c>
      <c r="C12592" s="4" t="s">
        <v>12080</v>
      </c>
      <c r="D12592" s="834">
        <v>35.61</v>
      </c>
    </row>
    <row r="12593" spans="1:4" x14ac:dyDescent="0.3">
      <c r="A12593" s="4">
        <v>6157</v>
      </c>
      <c r="B12593" s="833" t="s">
        <v>16861</v>
      </c>
      <c r="C12593" s="4" t="s">
        <v>12080</v>
      </c>
      <c r="D12593" s="834">
        <v>48.65</v>
      </c>
    </row>
    <row r="12594" spans="1:4" x14ac:dyDescent="0.3">
      <c r="A12594" s="4">
        <v>6158</v>
      </c>
      <c r="B12594" s="833" t="s">
        <v>16862</v>
      </c>
      <c r="C12594" s="4" t="s">
        <v>12080</v>
      </c>
      <c r="D12594" s="834">
        <v>7.22</v>
      </c>
    </row>
    <row r="12595" spans="1:4" x14ac:dyDescent="0.3">
      <c r="A12595" s="4">
        <v>6153</v>
      </c>
      <c r="B12595" s="833" t="s">
        <v>16863</v>
      </c>
      <c r="C12595" s="4" t="s">
        <v>12080</v>
      </c>
      <c r="D12595" s="834">
        <v>4.97</v>
      </c>
    </row>
    <row r="12596" spans="1:4" x14ac:dyDescent="0.3">
      <c r="A12596" s="4">
        <v>6156</v>
      </c>
      <c r="B12596" s="833" t="s">
        <v>16864</v>
      </c>
      <c r="C12596" s="4" t="s">
        <v>12080</v>
      </c>
      <c r="D12596" s="834">
        <v>6.19</v>
      </c>
    </row>
    <row r="12597" spans="1:4" x14ac:dyDescent="0.3">
      <c r="A12597" s="4">
        <v>6154</v>
      </c>
      <c r="B12597" s="833" t="s">
        <v>16865</v>
      </c>
      <c r="C12597" s="4" t="s">
        <v>12080</v>
      </c>
      <c r="D12597" s="834">
        <v>8.83</v>
      </c>
    </row>
    <row r="12598" spans="1:4" x14ac:dyDescent="0.3">
      <c r="A12598" s="4">
        <v>6155</v>
      </c>
      <c r="B12598" s="833" t="s">
        <v>16866</v>
      </c>
      <c r="C12598" s="4" t="s">
        <v>12080</v>
      </c>
      <c r="D12598" s="834">
        <v>20.32</v>
      </c>
    </row>
    <row r="12599" spans="1:4" x14ac:dyDescent="0.3">
      <c r="A12599" s="4">
        <v>43595</v>
      </c>
      <c r="B12599" s="833" t="s">
        <v>16867</v>
      </c>
      <c r="C12599" s="4" t="s">
        <v>12080</v>
      </c>
      <c r="D12599" s="834">
        <v>18.61</v>
      </c>
    </row>
    <row r="12600" spans="1:4" x14ac:dyDescent="0.3">
      <c r="A12600" s="4">
        <v>43596</v>
      </c>
      <c r="B12600" s="833" t="s">
        <v>16868</v>
      </c>
      <c r="C12600" s="4" t="s">
        <v>12080</v>
      </c>
      <c r="D12600" s="834">
        <v>21.51</v>
      </c>
    </row>
    <row r="12601" spans="1:4" x14ac:dyDescent="0.3">
      <c r="A12601" s="4">
        <v>38108</v>
      </c>
      <c r="B12601" s="833" t="s">
        <v>16869</v>
      </c>
      <c r="C12601" s="4" t="s">
        <v>12080</v>
      </c>
      <c r="D12601" s="834">
        <v>59.63</v>
      </c>
    </row>
    <row r="12602" spans="1:4" x14ac:dyDescent="0.3">
      <c r="A12602" s="4">
        <v>38087</v>
      </c>
      <c r="B12602" s="833" t="s">
        <v>16870</v>
      </c>
      <c r="C12602" s="4" t="s">
        <v>12080</v>
      </c>
      <c r="D12602" s="834">
        <v>76.7</v>
      </c>
    </row>
    <row r="12603" spans="1:4" x14ac:dyDescent="0.3">
      <c r="A12603" s="4">
        <v>38109</v>
      </c>
      <c r="B12603" s="833" t="s">
        <v>16871</v>
      </c>
      <c r="C12603" s="4" t="s">
        <v>12080</v>
      </c>
      <c r="D12603" s="834">
        <v>95.3</v>
      </c>
    </row>
    <row r="12604" spans="1:4" x14ac:dyDescent="0.3">
      <c r="A12604" s="4">
        <v>38088</v>
      </c>
      <c r="B12604" s="833" t="s">
        <v>16872</v>
      </c>
      <c r="C12604" s="4" t="s">
        <v>12080</v>
      </c>
      <c r="D12604" s="834">
        <v>100.21</v>
      </c>
    </row>
    <row r="12605" spans="1:4" x14ac:dyDescent="0.3">
      <c r="A12605" s="4">
        <v>38110</v>
      </c>
      <c r="B12605" s="833" t="s">
        <v>16873</v>
      </c>
      <c r="C12605" s="4" t="s">
        <v>12080</v>
      </c>
      <c r="D12605" s="834">
        <v>36.659999999999997</v>
      </c>
    </row>
    <row r="12606" spans="1:4" x14ac:dyDescent="0.3">
      <c r="A12606" s="4">
        <v>38089</v>
      </c>
      <c r="B12606" s="833" t="s">
        <v>16874</v>
      </c>
      <c r="C12606" s="4" t="s">
        <v>12080</v>
      </c>
      <c r="D12606" s="834">
        <v>63.88</v>
      </c>
    </row>
    <row r="12607" spans="1:4" x14ac:dyDescent="0.3">
      <c r="A12607" s="4">
        <v>38111</v>
      </c>
      <c r="B12607" s="833" t="s">
        <v>16875</v>
      </c>
      <c r="C12607" s="4" t="s">
        <v>12080</v>
      </c>
      <c r="D12607" s="834">
        <v>41</v>
      </c>
    </row>
    <row r="12608" spans="1:4" x14ac:dyDescent="0.3">
      <c r="A12608" s="4">
        <v>38090</v>
      </c>
      <c r="B12608" s="833" t="s">
        <v>16876</v>
      </c>
      <c r="C12608" s="4" t="s">
        <v>12080</v>
      </c>
      <c r="D12608" s="834">
        <v>66.03</v>
      </c>
    </row>
    <row r="12609" spans="1:4" x14ac:dyDescent="0.3">
      <c r="A12609" s="4">
        <v>13726</v>
      </c>
      <c r="B12609" s="833" t="s">
        <v>16877</v>
      </c>
      <c r="C12609" s="4" t="s">
        <v>12080</v>
      </c>
      <c r="D12609" s="834">
        <v>66385.2</v>
      </c>
    </row>
    <row r="12610" spans="1:4" x14ac:dyDescent="0.3">
      <c r="A12610" s="4">
        <v>38400</v>
      </c>
      <c r="B12610" s="833" t="s">
        <v>16878</v>
      </c>
      <c r="C12610" s="4" t="s">
        <v>12080</v>
      </c>
      <c r="D12610" s="834">
        <v>16.22</v>
      </c>
    </row>
    <row r="12611" spans="1:4" x14ac:dyDescent="0.3">
      <c r="A12611" s="4">
        <v>12627</v>
      </c>
      <c r="B12611" s="833" t="s">
        <v>16879</v>
      </c>
      <c r="C12611" s="4" t="s">
        <v>12080</v>
      </c>
      <c r="D12611" s="834">
        <v>1.32</v>
      </c>
    </row>
    <row r="12612" spans="1:4" x14ac:dyDescent="0.3">
      <c r="A12612" s="4">
        <v>39996</v>
      </c>
      <c r="B12612" s="833" t="s">
        <v>16880</v>
      </c>
      <c r="C12612" s="4" t="s">
        <v>1803</v>
      </c>
      <c r="D12612" s="834">
        <v>3.24</v>
      </c>
    </row>
    <row r="12613" spans="1:4" x14ac:dyDescent="0.3">
      <c r="A12613" s="4">
        <v>10478</v>
      </c>
      <c r="B12613" s="833" t="s">
        <v>16881</v>
      </c>
      <c r="C12613" s="4" t="s">
        <v>12128</v>
      </c>
      <c r="D12613" s="834">
        <v>34.78</v>
      </c>
    </row>
    <row r="12614" spans="1:4" x14ac:dyDescent="0.3">
      <c r="A12614" s="4">
        <v>10481</v>
      </c>
      <c r="B12614" s="833" t="s">
        <v>16882</v>
      </c>
      <c r="C12614" s="4" t="s">
        <v>12128</v>
      </c>
      <c r="D12614" s="834">
        <v>30.93</v>
      </c>
    </row>
    <row r="12615" spans="1:4" x14ac:dyDescent="0.3">
      <c r="A12615" s="4">
        <v>10475</v>
      </c>
      <c r="B12615" s="833" t="s">
        <v>16883</v>
      </c>
      <c r="C12615" s="4" t="s">
        <v>12128</v>
      </c>
      <c r="D12615" s="834">
        <v>29.93</v>
      </c>
    </row>
    <row r="12616" spans="1:4" x14ac:dyDescent="0.3">
      <c r="A12616" s="4">
        <v>4030</v>
      </c>
      <c r="B12616" s="833" t="s">
        <v>16884</v>
      </c>
      <c r="C12616" s="4" t="s">
        <v>12481</v>
      </c>
      <c r="D12616" s="834">
        <v>6.75</v>
      </c>
    </row>
    <row r="12617" spans="1:4" x14ac:dyDescent="0.3">
      <c r="A12617" s="4">
        <v>4031</v>
      </c>
      <c r="B12617" s="833" t="s">
        <v>16885</v>
      </c>
      <c r="C12617" s="4" t="s">
        <v>12481</v>
      </c>
      <c r="D12617" s="834">
        <v>31.75</v>
      </c>
    </row>
    <row r="12618" spans="1:4" x14ac:dyDescent="0.3">
      <c r="A12618" s="4">
        <v>39399</v>
      </c>
      <c r="B12618" s="833" t="s">
        <v>16886</v>
      </c>
      <c r="C12618" s="4" t="s">
        <v>12080</v>
      </c>
      <c r="D12618" s="834">
        <v>1440.99</v>
      </c>
    </row>
    <row r="12619" spans="1:4" x14ac:dyDescent="0.3">
      <c r="A12619" s="4">
        <v>39400</v>
      </c>
      <c r="B12619" s="833" t="s">
        <v>16887</v>
      </c>
      <c r="C12619" s="4" t="s">
        <v>12080</v>
      </c>
      <c r="D12619" s="834">
        <v>1566.29</v>
      </c>
    </row>
    <row r="12620" spans="1:4" x14ac:dyDescent="0.3">
      <c r="A12620" s="4">
        <v>39401</v>
      </c>
      <c r="B12620" s="833" t="s">
        <v>16888</v>
      </c>
      <c r="C12620" s="4" t="s">
        <v>12080</v>
      </c>
      <c r="D12620" s="834">
        <v>1757.01</v>
      </c>
    </row>
    <row r="12621" spans="1:4" x14ac:dyDescent="0.3">
      <c r="A12621" s="4">
        <v>11652</v>
      </c>
      <c r="B12621" s="833" t="s">
        <v>16889</v>
      </c>
      <c r="C12621" s="4" t="s">
        <v>12080</v>
      </c>
      <c r="D12621" s="834">
        <v>3780</v>
      </c>
    </row>
    <row r="12622" spans="1:4" x14ac:dyDescent="0.3">
      <c r="A12622" s="4">
        <v>13896</v>
      </c>
      <c r="B12622" s="833" t="s">
        <v>16890</v>
      </c>
      <c r="C12622" s="4" t="s">
        <v>12080</v>
      </c>
      <c r="D12622" s="834">
        <v>3390.99</v>
      </c>
    </row>
    <row r="12623" spans="1:4" x14ac:dyDescent="0.3">
      <c r="A12623" s="4">
        <v>13475</v>
      </c>
      <c r="B12623" s="833" t="s">
        <v>16891</v>
      </c>
      <c r="C12623" s="4" t="s">
        <v>12080</v>
      </c>
      <c r="D12623" s="834">
        <v>4130.63</v>
      </c>
    </row>
    <row r="12624" spans="1:4" x14ac:dyDescent="0.3">
      <c r="A12624" s="4">
        <v>44491</v>
      </c>
      <c r="B12624" s="833" t="s">
        <v>16892</v>
      </c>
      <c r="C12624" s="4" t="s">
        <v>12080</v>
      </c>
      <c r="D12624" s="834">
        <v>4190451.89</v>
      </c>
    </row>
    <row r="12625" spans="1:4" x14ac:dyDescent="0.3">
      <c r="A12625" s="4">
        <v>44470</v>
      </c>
      <c r="B12625" s="833" t="s">
        <v>16893</v>
      </c>
      <c r="C12625" s="4" t="s">
        <v>12080</v>
      </c>
      <c r="D12625" s="834">
        <v>1764131.61</v>
      </c>
    </row>
    <row r="12626" spans="1:4" x14ac:dyDescent="0.3">
      <c r="A12626" s="4">
        <v>13476</v>
      </c>
      <c r="B12626" s="833" t="s">
        <v>16894</v>
      </c>
      <c r="C12626" s="4" t="s">
        <v>12080</v>
      </c>
      <c r="D12626" s="834">
        <v>1776915.29</v>
      </c>
    </row>
    <row r="12627" spans="1:4" x14ac:dyDescent="0.3">
      <c r="A12627" s="4">
        <v>10488</v>
      </c>
      <c r="B12627" s="833" t="s">
        <v>16895</v>
      </c>
      <c r="C12627" s="4" t="s">
        <v>12080</v>
      </c>
      <c r="D12627" s="834">
        <v>2152752</v>
      </c>
    </row>
    <row r="12628" spans="1:4" x14ac:dyDescent="0.3">
      <c r="A12628" s="4">
        <v>13606</v>
      </c>
      <c r="B12628" s="833" t="s">
        <v>16896</v>
      </c>
      <c r="C12628" s="4" t="s">
        <v>12080</v>
      </c>
      <c r="D12628" s="834">
        <v>1907307.48</v>
      </c>
    </row>
    <row r="12629" spans="1:4" x14ac:dyDescent="0.3">
      <c r="A12629" s="4">
        <v>10489</v>
      </c>
      <c r="B12629" s="833" t="s">
        <v>16897</v>
      </c>
      <c r="C12629" s="4" t="s">
        <v>12226</v>
      </c>
      <c r="D12629" s="834">
        <v>19.62</v>
      </c>
    </row>
    <row r="12630" spans="1:4" x14ac:dyDescent="0.3">
      <c r="A12630" s="4">
        <v>41073</v>
      </c>
      <c r="B12630" s="833" t="s">
        <v>16898</v>
      </c>
      <c r="C12630" s="4" t="s">
        <v>12228</v>
      </c>
      <c r="D12630" s="834">
        <v>3496.32</v>
      </c>
    </row>
    <row r="12631" spans="1:4" x14ac:dyDescent="0.3">
      <c r="A12631" s="4">
        <v>34391</v>
      </c>
      <c r="B12631" s="833" t="s">
        <v>16899</v>
      </c>
      <c r="C12631" s="4" t="s">
        <v>12481</v>
      </c>
      <c r="D12631" s="834">
        <v>706.15</v>
      </c>
    </row>
    <row r="12632" spans="1:4" x14ac:dyDescent="0.3">
      <c r="A12632" s="4">
        <v>10496</v>
      </c>
      <c r="B12632" s="833" t="s">
        <v>16900</v>
      </c>
      <c r="C12632" s="4" t="s">
        <v>12481</v>
      </c>
      <c r="D12632" s="834">
        <v>614.58000000000004</v>
      </c>
    </row>
    <row r="12633" spans="1:4" x14ac:dyDescent="0.3">
      <c r="A12633" s="4">
        <v>10497</v>
      </c>
      <c r="B12633" s="833" t="s">
        <v>16901</v>
      </c>
      <c r="C12633" s="4" t="s">
        <v>12481</v>
      </c>
      <c r="D12633" s="834">
        <v>1597.91</v>
      </c>
    </row>
    <row r="12634" spans="1:4" x14ac:dyDescent="0.3">
      <c r="A12634" s="4">
        <v>10504</v>
      </c>
      <c r="B12634" s="833" t="s">
        <v>16902</v>
      </c>
      <c r="C12634" s="4" t="s">
        <v>12481</v>
      </c>
      <c r="D12634" s="834">
        <v>1868.33</v>
      </c>
    </row>
    <row r="12635" spans="1:4" x14ac:dyDescent="0.3">
      <c r="A12635" s="4">
        <v>34390</v>
      </c>
      <c r="B12635" s="833" t="s">
        <v>16903</v>
      </c>
      <c r="C12635" s="4" t="s">
        <v>12481</v>
      </c>
      <c r="D12635" s="834">
        <v>550.66</v>
      </c>
    </row>
    <row r="12636" spans="1:4" x14ac:dyDescent="0.3">
      <c r="A12636" s="4">
        <v>34389</v>
      </c>
      <c r="B12636" s="833" t="s">
        <v>16904</v>
      </c>
      <c r="C12636" s="4" t="s">
        <v>12481</v>
      </c>
      <c r="D12636" s="834">
        <v>172.08</v>
      </c>
    </row>
    <row r="12637" spans="1:4" x14ac:dyDescent="0.3">
      <c r="A12637" s="4">
        <v>34388</v>
      </c>
      <c r="B12637" s="833" t="s">
        <v>16905</v>
      </c>
      <c r="C12637" s="4" t="s">
        <v>12481</v>
      </c>
      <c r="D12637" s="834">
        <v>244.57</v>
      </c>
    </row>
    <row r="12638" spans="1:4" x14ac:dyDescent="0.3">
      <c r="A12638" s="4">
        <v>34387</v>
      </c>
      <c r="B12638" s="833" t="s">
        <v>16906</v>
      </c>
      <c r="C12638" s="4" t="s">
        <v>12481</v>
      </c>
      <c r="D12638" s="834">
        <v>397.02</v>
      </c>
    </row>
    <row r="12639" spans="1:4" x14ac:dyDescent="0.3">
      <c r="A12639" s="4">
        <v>11188</v>
      </c>
      <c r="B12639" s="833" t="s">
        <v>16907</v>
      </c>
      <c r="C12639" s="4" t="s">
        <v>12481</v>
      </c>
      <c r="D12639" s="834">
        <v>196.66</v>
      </c>
    </row>
    <row r="12640" spans="1:4" x14ac:dyDescent="0.3">
      <c r="A12640" s="4">
        <v>11189</v>
      </c>
      <c r="B12640" s="833" t="s">
        <v>16908</v>
      </c>
      <c r="C12640" s="4" t="s">
        <v>12481</v>
      </c>
      <c r="D12640" s="834">
        <v>295</v>
      </c>
    </row>
    <row r="12641" spans="1:4" x14ac:dyDescent="0.3">
      <c r="A12641" s="4">
        <v>21107</v>
      </c>
      <c r="B12641" s="833" t="s">
        <v>16909</v>
      </c>
      <c r="C12641" s="4" t="s">
        <v>12481</v>
      </c>
      <c r="D12641" s="834">
        <v>212.3</v>
      </c>
    </row>
    <row r="12642" spans="1:4" x14ac:dyDescent="0.3">
      <c r="A12642" s="4">
        <v>34386</v>
      </c>
      <c r="B12642" s="833" t="s">
        <v>16910</v>
      </c>
      <c r="C12642" s="4" t="s">
        <v>12481</v>
      </c>
      <c r="D12642" s="834">
        <v>368.75</v>
      </c>
    </row>
    <row r="12643" spans="1:4" x14ac:dyDescent="0.3">
      <c r="A12643" s="4">
        <v>10490</v>
      </c>
      <c r="B12643" s="833" t="s">
        <v>16911</v>
      </c>
      <c r="C12643" s="4" t="s">
        <v>12481</v>
      </c>
      <c r="D12643" s="834">
        <v>129.06</v>
      </c>
    </row>
    <row r="12644" spans="1:4" x14ac:dyDescent="0.3">
      <c r="A12644" s="4">
        <v>10492</v>
      </c>
      <c r="B12644" s="833" t="s">
        <v>16912</v>
      </c>
      <c r="C12644" s="4" t="s">
        <v>12481</v>
      </c>
      <c r="D12644" s="834">
        <v>147.5</v>
      </c>
    </row>
    <row r="12645" spans="1:4" x14ac:dyDescent="0.3">
      <c r="A12645" s="4">
        <v>10493</v>
      </c>
      <c r="B12645" s="833" t="s">
        <v>16913</v>
      </c>
      <c r="C12645" s="4" t="s">
        <v>12481</v>
      </c>
      <c r="D12645" s="834">
        <v>172.08</v>
      </c>
    </row>
    <row r="12646" spans="1:4" x14ac:dyDescent="0.3">
      <c r="A12646" s="4">
        <v>10491</v>
      </c>
      <c r="B12646" s="833" t="s">
        <v>16914</v>
      </c>
      <c r="C12646" s="4" t="s">
        <v>12481</v>
      </c>
      <c r="D12646" s="834">
        <v>208.95</v>
      </c>
    </row>
    <row r="12647" spans="1:4" x14ac:dyDescent="0.3">
      <c r="A12647" s="4">
        <v>34385</v>
      </c>
      <c r="B12647" s="833" t="s">
        <v>16915</v>
      </c>
      <c r="C12647" s="4" t="s">
        <v>12481</v>
      </c>
      <c r="D12647" s="834">
        <v>304.83</v>
      </c>
    </row>
    <row r="12648" spans="1:4" x14ac:dyDescent="0.3">
      <c r="A12648" s="4">
        <v>10499</v>
      </c>
      <c r="B12648" s="833" t="s">
        <v>16916</v>
      </c>
      <c r="C12648" s="4" t="s">
        <v>12481</v>
      </c>
      <c r="D12648" s="834">
        <v>122.91</v>
      </c>
    </row>
    <row r="12649" spans="1:4" x14ac:dyDescent="0.3">
      <c r="A12649" s="4">
        <v>34384</v>
      </c>
      <c r="B12649" s="833" t="s">
        <v>16917</v>
      </c>
      <c r="C12649" s="4" t="s">
        <v>12481</v>
      </c>
      <c r="D12649" s="834">
        <v>368.75</v>
      </c>
    </row>
    <row r="12650" spans="1:4" x14ac:dyDescent="0.3">
      <c r="A12650" s="4">
        <v>11185</v>
      </c>
      <c r="B12650" s="833" t="s">
        <v>16918</v>
      </c>
      <c r="C12650" s="4" t="s">
        <v>12481</v>
      </c>
      <c r="D12650" s="834">
        <v>381.04</v>
      </c>
    </row>
    <row r="12651" spans="1:4" x14ac:dyDescent="0.3">
      <c r="A12651" s="4">
        <v>10507</v>
      </c>
      <c r="B12651" s="833" t="s">
        <v>16919</v>
      </c>
      <c r="C12651" s="4" t="s">
        <v>12481</v>
      </c>
      <c r="D12651" s="834">
        <v>288.45999999999998</v>
      </c>
    </row>
    <row r="12652" spans="1:4" x14ac:dyDescent="0.3">
      <c r="A12652" s="4">
        <v>10505</v>
      </c>
      <c r="B12652" s="833" t="s">
        <v>16920</v>
      </c>
      <c r="C12652" s="4" t="s">
        <v>12481</v>
      </c>
      <c r="D12652" s="834">
        <v>170.21</v>
      </c>
    </row>
    <row r="12653" spans="1:4" x14ac:dyDescent="0.3">
      <c r="A12653" s="4">
        <v>10506</v>
      </c>
      <c r="B12653" s="833" t="s">
        <v>16921</v>
      </c>
      <c r="C12653" s="4" t="s">
        <v>12481</v>
      </c>
      <c r="D12653" s="834">
        <v>222.19</v>
      </c>
    </row>
    <row r="12654" spans="1:4" x14ac:dyDescent="0.3">
      <c r="A12654" s="4">
        <v>5031</v>
      </c>
      <c r="B12654" s="833" t="s">
        <v>16922</v>
      </c>
      <c r="C12654" s="4" t="s">
        <v>12481</v>
      </c>
      <c r="D12654" s="834">
        <v>312</v>
      </c>
    </row>
    <row r="12655" spans="1:4" x14ac:dyDescent="0.3">
      <c r="A12655" s="4">
        <v>10502</v>
      </c>
      <c r="B12655" s="833" t="s">
        <v>16923</v>
      </c>
      <c r="C12655" s="4" t="s">
        <v>12481</v>
      </c>
      <c r="D12655" s="834">
        <v>363.55</v>
      </c>
    </row>
    <row r="12656" spans="1:4" x14ac:dyDescent="0.3">
      <c r="A12656" s="4">
        <v>10501</v>
      </c>
      <c r="B12656" s="833" t="s">
        <v>16924</v>
      </c>
      <c r="C12656" s="4" t="s">
        <v>12481</v>
      </c>
      <c r="D12656" s="834">
        <v>205.39</v>
      </c>
    </row>
    <row r="12657" spans="1:4" x14ac:dyDescent="0.3">
      <c r="A12657" s="4">
        <v>10503</v>
      </c>
      <c r="B12657" s="833" t="s">
        <v>16925</v>
      </c>
      <c r="C12657" s="4" t="s">
        <v>12481</v>
      </c>
      <c r="D12657" s="834">
        <v>277.49</v>
      </c>
    </row>
    <row r="12658" spans="1:4" x14ac:dyDescent="0.3">
      <c r="A12658" s="4">
        <v>4500</v>
      </c>
      <c r="B12658" s="833" t="s">
        <v>16926</v>
      </c>
      <c r="C12658" s="4" t="s">
        <v>1803</v>
      </c>
      <c r="D12658" s="834">
        <v>15</v>
      </c>
    </row>
    <row r="12659" spans="1:4" x14ac:dyDescent="0.3">
      <c r="A12659" s="4">
        <v>4448</v>
      </c>
      <c r="B12659" s="833" t="s">
        <v>16927</v>
      </c>
      <c r="C12659" s="4" t="s">
        <v>1803</v>
      </c>
      <c r="D12659" s="834">
        <v>20.6</v>
      </c>
    </row>
    <row r="12660" spans="1:4" x14ac:dyDescent="0.3">
      <c r="A12660" s="4">
        <v>20213</v>
      </c>
      <c r="B12660" s="833" t="s">
        <v>16928</v>
      </c>
      <c r="C12660" s="4" t="s">
        <v>1803</v>
      </c>
      <c r="D12660" s="834">
        <v>25.06</v>
      </c>
    </row>
    <row r="12661" spans="1:4" x14ac:dyDescent="0.3">
      <c r="A12661" s="4">
        <v>20211</v>
      </c>
      <c r="B12661" s="833" t="s">
        <v>16929</v>
      </c>
      <c r="C12661" s="4" t="s">
        <v>1803</v>
      </c>
      <c r="D12661" s="834">
        <v>33.19</v>
      </c>
    </row>
    <row r="12662" spans="1:4" x14ac:dyDescent="0.3">
      <c r="A12662" s="4">
        <v>40270</v>
      </c>
      <c r="B12662" s="833" t="s">
        <v>16930</v>
      </c>
      <c r="C12662" s="4" t="s">
        <v>1803</v>
      </c>
      <c r="D12662" s="834">
        <v>118.03</v>
      </c>
    </row>
    <row r="12663" spans="1:4" x14ac:dyDescent="0.3">
      <c r="A12663" s="4">
        <v>4425</v>
      </c>
      <c r="B12663" s="833" t="s">
        <v>16931</v>
      </c>
      <c r="C12663" s="4" t="s">
        <v>1803</v>
      </c>
      <c r="D12663" s="834">
        <v>27.43</v>
      </c>
    </row>
    <row r="12664" spans="1:4" x14ac:dyDescent="0.3">
      <c r="A12664" s="4">
        <v>4472</v>
      </c>
      <c r="B12664" s="833" t="s">
        <v>16932</v>
      </c>
      <c r="C12664" s="4" t="s">
        <v>1803</v>
      </c>
      <c r="D12664" s="834">
        <v>34.270000000000003</v>
      </c>
    </row>
    <row r="12665" spans="1:4" x14ac:dyDescent="0.3">
      <c r="A12665" s="4">
        <v>35272</v>
      </c>
      <c r="B12665" s="833" t="s">
        <v>16933</v>
      </c>
      <c r="C12665" s="4" t="s">
        <v>1803</v>
      </c>
      <c r="D12665" s="834">
        <v>49.54</v>
      </c>
    </row>
    <row r="12666" spans="1:4" x14ac:dyDescent="0.3">
      <c r="A12666" s="4">
        <v>4481</v>
      </c>
      <c r="B12666" s="833" t="s">
        <v>16934</v>
      </c>
      <c r="C12666" s="4" t="s">
        <v>1803</v>
      </c>
      <c r="D12666" s="834">
        <v>53.02</v>
      </c>
    </row>
    <row r="12667" spans="1:4" x14ac:dyDescent="0.3">
      <c r="A12667" s="4">
        <v>34345</v>
      </c>
      <c r="B12667" s="833" t="s">
        <v>16935</v>
      </c>
      <c r="C12667" s="4" t="s">
        <v>12226</v>
      </c>
      <c r="D12667" s="834">
        <v>15.38</v>
      </c>
    </row>
    <row r="12668" spans="1:4" x14ac:dyDescent="0.3">
      <c r="A12668" s="4">
        <v>41096</v>
      </c>
      <c r="B12668" s="833" t="s">
        <v>16936</v>
      </c>
      <c r="C12668" s="4" t="s">
        <v>12228</v>
      </c>
      <c r="D12668" s="834">
        <v>2741.53</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94404-3EDC-4D23-935E-C72F7930896E}">
  <dimension ref="A1:N157"/>
  <sheetViews>
    <sheetView view="pageBreakPreview" topLeftCell="A111" zoomScaleNormal="100" zoomScaleSheetLayoutView="100" workbookViewId="0">
      <selection activeCell="A111" sqref="A1:XFD1048576"/>
    </sheetView>
  </sheetViews>
  <sheetFormatPr defaultColWidth="9" defaultRowHeight="10" x14ac:dyDescent="0.2"/>
  <cols>
    <col min="1" max="1" width="7" style="27" customWidth="1"/>
    <col min="2" max="2" width="8" style="28" customWidth="1"/>
    <col min="3" max="3" width="15.58203125" style="28" customWidth="1"/>
    <col min="4" max="4" width="15.58203125" style="27" customWidth="1"/>
    <col min="5" max="5" width="71.5" style="39" customWidth="1"/>
    <col min="6" max="6" width="5.83203125" style="33" customWidth="1"/>
    <col min="7" max="7" width="10.58203125" style="32" customWidth="1"/>
    <col min="8" max="8" width="11.75" style="32" customWidth="1"/>
    <col min="9" max="9" width="15.58203125" style="33" customWidth="1"/>
    <col min="10" max="10" width="8" style="41" customWidth="1"/>
    <col min="11" max="11" width="13.75" style="33" customWidth="1"/>
    <col min="12" max="12" width="9" style="33" customWidth="1"/>
    <col min="13" max="13" width="7.58203125" style="33" customWidth="1"/>
    <col min="14" max="14" width="15.58203125" style="33" customWidth="1"/>
    <col min="15" max="16384" width="9" style="28"/>
  </cols>
  <sheetData>
    <row r="1" spans="1:14" ht="10.5" x14ac:dyDescent="0.25">
      <c r="E1" s="29" t="s">
        <v>0</v>
      </c>
      <c r="F1" s="31" t="s">
        <v>1</v>
      </c>
      <c r="I1" s="30" t="s">
        <v>10</v>
      </c>
      <c r="J1" s="34" t="s">
        <v>11</v>
      </c>
      <c r="K1" s="30"/>
      <c r="L1" s="886" t="s">
        <v>2417</v>
      </c>
      <c r="M1" s="887"/>
      <c r="N1" s="888"/>
    </row>
    <row r="2" spans="1:14" ht="20.149999999999999" customHeight="1" x14ac:dyDescent="0.2">
      <c r="E2" s="889" t="s">
        <v>17042</v>
      </c>
      <c r="F2" s="894" t="s">
        <v>4452</v>
      </c>
      <c r="G2" s="894"/>
      <c r="H2" s="894"/>
      <c r="I2" s="526" t="s">
        <v>12</v>
      </c>
      <c r="J2" s="890" t="s">
        <v>16941</v>
      </c>
      <c r="K2" s="891"/>
      <c r="L2" s="331" t="s">
        <v>2418</v>
      </c>
      <c r="M2" s="36">
        <v>0.44941159372800904</v>
      </c>
      <c r="N2" s="37">
        <v>11546316.699999999</v>
      </c>
    </row>
    <row r="3" spans="1:14" ht="20.149999999999999" customHeight="1" x14ac:dyDescent="0.2">
      <c r="E3" s="889"/>
      <c r="F3" s="894"/>
      <c r="G3" s="894"/>
      <c r="H3" s="894"/>
      <c r="I3" s="35"/>
      <c r="J3" s="890"/>
      <c r="K3" s="891"/>
      <c r="L3" s="331" t="s">
        <v>2419</v>
      </c>
      <c r="M3" s="36">
        <v>0.3396460827729314</v>
      </c>
      <c r="N3" s="37">
        <v>8726212.8800000008</v>
      </c>
    </row>
    <row r="4" spans="1:14" ht="20.149999999999999" customHeight="1" x14ac:dyDescent="0.2">
      <c r="E4" s="889"/>
      <c r="F4" s="894"/>
      <c r="G4" s="894"/>
      <c r="H4" s="894"/>
      <c r="I4" s="35"/>
      <c r="J4" s="890"/>
      <c r="K4" s="891"/>
      <c r="L4" s="331" t="s">
        <v>2420</v>
      </c>
      <c r="M4" s="36">
        <v>0.21094232349905964</v>
      </c>
      <c r="N4" s="37">
        <v>5419546.1499999985</v>
      </c>
    </row>
    <row r="5" spans="1:14" s="46" customFormat="1" ht="53.25" customHeight="1" x14ac:dyDescent="0.3">
      <c r="A5" s="7"/>
      <c r="B5" s="7"/>
      <c r="C5" s="7"/>
      <c r="D5" s="7"/>
      <c r="E5" s="889"/>
      <c r="F5" s="895"/>
      <c r="G5" s="895"/>
      <c r="H5" s="895"/>
      <c r="I5" s="35"/>
      <c r="J5" s="892"/>
      <c r="K5" s="893"/>
      <c r="L5" s="331" t="s">
        <v>5</v>
      </c>
      <c r="M5" s="47">
        <v>1</v>
      </c>
      <c r="N5" s="37">
        <v>25692075.729999997</v>
      </c>
    </row>
    <row r="6" spans="1:14" s="38" customFormat="1" ht="30.75" customHeight="1" x14ac:dyDescent="0.25">
      <c r="A6" s="48" t="s">
        <v>3</v>
      </c>
      <c r="B6" s="49" t="s">
        <v>2421</v>
      </c>
      <c r="C6" s="49" t="s">
        <v>15</v>
      </c>
      <c r="D6" s="49" t="s">
        <v>16</v>
      </c>
      <c r="E6" s="50" t="s">
        <v>4</v>
      </c>
      <c r="F6" s="49" t="s">
        <v>2422</v>
      </c>
      <c r="G6" s="51" t="s">
        <v>1726</v>
      </c>
      <c r="H6" s="51" t="s">
        <v>2423</v>
      </c>
      <c r="I6" s="49" t="s">
        <v>2424</v>
      </c>
      <c r="J6" s="52" t="s">
        <v>21</v>
      </c>
      <c r="K6" s="49" t="s">
        <v>2425</v>
      </c>
      <c r="L6" s="49" t="s">
        <v>2426</v>
      </c>
      <c r="M6" s="49" t="s">
        <v>2427</v>
      </c>
      <c r="N6" s="53" t="s">
        <v>2428</v>
      </c>
    </row>
    <row r="7" spans="1:14" x14ac:dyDescent="0.2">
      <c r="A7" s="54">
        <v>1</v>
      </c>
      <c r="B7" s="55">
        <v>129</v>
      </c>
      <c r="C7" s="55" t="s">
        <v>203</v>
      </c>
      <c r="D7" s="55" t="s">
        <v>197</v>
      </c>
      <c r="E7" s="56" t="s">
        <v>204</v>
      </c>
      <c r="F7" s="55" t="s">
        <v>194</v>
      </c>
      <c r="G7" s="57">
        <v>12555.629062872613</v>
      </c>
      <c r="H7" s="57">
        <v>3.25</v>
      </c>
      <c r="I7" s="57">
        <v>3.94</v>
      </c>
      <c r="J7" s="58">
        <v>0.2122</v>
      </c>
      <c r="K7" s="57">
        <v>49469.15</v>
      </c>
      <c r="L7" s="58">
        <v>1.9254633420777332E-3</v>
      </c>
      <c r="M7" s="58">
        <v>1.9254633420777332E-3</v>
      </c>
      <c r="N7" s="59" t="s">
        <v>2418</v>
      </c>
    </row>
    <row r="8" spans="1:14" ht="20" x14ac:dyDescent="0.2">
      <c r="A8" s="54">
        <v>2</v>
      </c>
      <c r="B8" s="55">
        <v>138</v>
      </c>
      <c r="C8" s="55" t="s">
        <v>436</v>
      </c>
      <c r="D8" s="55" t="s">
        <v>32</v>
      </c>
      <c r="E8" s="56" t="s">
        <v>437</v>
      </c>
      <c r="F8" s="55" t="s">
        <v>194</v>
      </c>
      <c r="G8" s="57">
        <v>709.99284289187597</v>
      </c>
      <c r="H8" s="57">
        <v>517.13</v>
      </c>
      <c r="I8" s="57">
        <v>574.53</v>
      </c>
      <c r="J8" s="58">
        <v>0.111</v>
      </c>
      <c r="K8" s="57">
        <v>407912.17</v>
      </c>
      <c r="L8" s="58">
        <v>1.5876964332768612E-2</v>
      </c>
      <c r="M8" s="58">
        <v>1.7802427674846345E-2</v>
      </c>
      <c r="N8" s="59" t="s">
        <v>2418</v>
      </c>
    </row>
    <row r="9" spans="1:14" x14ac:dyDescent="0.2">
      <c r="A9" s="54">
        <v>3</v>
      </c>
      <c r="B9" s="55">
        <v>94</v>
      </c>
      <c r="C9" s="55" t="s">
        <v>1375</v>
      </c>
      <c r="D9" s="55" t="s">
        <v>197</v>
      </c>
      <c r="E9" s="56" t="s">
        <v>1376</v>
      </c>
      <c r="F9" s="55" t="s">
        <v>1332</v>
      </c>
      <c r="G9" s="57">
        <v>10.3</v>
      </c>
      <c r="H9" s="57">
        <v>578.89</v>
      </c>
      <c r="I9" s="57">
        <v>701.73</v>
      </c>
      <c r="J9" s="58">
        <v>0.2122</v>
      </c>
      <c r="K9" s="57">
        <v>7227.81</v>
      </c>
      <c r="L9" s="58">
        <v>2.8132448603832613E-4</v>
      </c>
      <c r="M9" s="58">
        <v>1.8083752160884672E-2</v>
      </c>
      <c r="N9" s="59" t="s">
        <v>2418</v>
      </c>
    </row>
    <row r="10" spans="1:14" ht="20" x14ac:dyDescent="0.2">
      <c r="A10" s="54">
        <v>4</v>
      </c>
      <c r="B10" s="55">
        <v>128</v>
      </c>
      <c r="C10" s="55" t="s">
        <v>599</v>
      </c>
      <c r="D10" s="55" t="s">
        <v>125</v>
      </c>
      <c r="E10" s="56" t="s">
        <v>4451</v>
      </c>
      <c r="F10" s="55" t="s">
        <v>89</v>
      </c>
      <c r="G10" s="57">
        <v>13</v>
      </c>
      <c r="H10" s="57">
        <v>509.43</v>
      </c>
      <c r="I10" s="57">
        <v>617.53</v>
      </c>
      <c r="J10" s="58">
        <v>0.2122</v>
      </c>
      <c r="K10" s="57">
        <v>8027.8899999999994</v>
      </c>
      <c r="L10" s="58">
        <v>3.1246560551843747E-4</v>
      </c>
      <c r="M10" s="58">
        <v>1.8396217766403111E-2</v>
      </c>
      <c r="N10" s="59" t="s">
        <v>2418</v>
      </c>
    </row>
    <row r="11" spans="1:14" x14ac:dyDescent="0.2">
      <c r="A11" s="54">
        <v>5</v>
      </c>
      <c r="B11" s="55">
        <v>14</v>
      </c>
      <c r="C11" s="55" t="s">
        <v>366</v>
      </c>
      <c r="D11" s="55" t="s">
        <v>125</v>
      </c>
      <c r="E11" s="56" t="s">
        <v>4232</v>
      </c>
      <c r="F11" s="55" t="s">
        <v>268</v>
      </c>
      <c r="G11" s="57">
        <v>2979.7809242779244</v>
      </c>
      <c r="H11" s="57">
        <v>208.42</v>
      </c>
      <c r="I11" s="57">
        <v>252.65</v>
      </c>
      <c r="J11" s="58">
        <v>0.2122</v>
      </c>
      <c r="K11" s="57">
        <v>752841.59000000008</v>
      </c>
      <c r="L11" s="58">
        <v>2.9302482131520646E-2</v>
      </c>
      <c r="M11" s="58">
        <v>4.769869989792376E-2</v>
      </c>
      <c r="N11" s="59" t="s">
        <v>2418</v>
      </c>
    </row>
    <row r="12" spans="1:14" x14ac:dyDescent="0.2">
      <c r="A12" s="54">
        <v>6</v>
      </c>
      <c r="B12" s="55">
        <v>40</v>
      </c>
      <c r="C12" s="55" t="s">
        <v>841</v>
      </c>
      <c r="D12" s="55" t="s">
        <v>842</v>
      </c>
      <c r="E12" s="56" t="s">
        <v>843</v>
      </c>
      <c r="F12" s="55" t="s">
        <v>268</v>
      </c>
      <c r="G12" s="57">
        <v>2772.57</v>
      </c>
      <c r="H12" s="57">
        <v>223.83</v>
      </c>
      <c r="I12" s="57">
        <v>271.33</v>
      </c>
      <c r="J12" s="58">
        <v>0.2122</v>
      </c>
      <c r="K12" s="57">
        <v>752281.4</v>
      </c>
      <c r="L12" s="58">
        <v>2.9280678132268617E-2</v>
      </c>
      <c r="M12" s="58">
        <v>7.6979378030192377E-2</v>
      </c>
      <c r="N12" s="59" t="s">
        <v>2418</v>
      </c>
    </row>
    <row r="13" spans="1:14" ht="20" x14ac:dyDescent="0.2">
      <c r="A13" s="54">
        <v>7</v>
      </c>
      <c r="B13" s="55">
        <v>119</v>
      </c>
      <c r="C13" s="55" t="s">
        <v>357</v>
      </c>
      <c r="D13" s="55" t="s">
        <v>32</v>
      </c>
      <c r="E13" s="56" t="s">
        <v>358</v>
      </c>
      <c r="F13" s="55" t="s">
        <v>268</v>
      </c>
      <c r="G13" s="57">
        <v>227.53073363325606</v>
      </c>
      <c r="H13" s="57">
        <v>271.92</v>
      </c>
      <c r="I13" s="57">
        <v>329.62</v>
      </c>
      <c r="J13" s="58">
        <v>0.2122</v>
      </c>
      <c r="K13" s="57">
        <v>74998.64</v>
      </c>
      <c r="L13" s="58">
        <v>2.9191350978475424E-3</v>
      </c>
      <c r="M13" s="58">
        <v>7.9898513128039916E-2</v>
      </c>
      <c r="N13" s="59" t="s">
        <v>2418</v>
      </c>
    </row>
    <row r="14" spans="1:14" x14ac:dyDescent="0.2">
      <c r="A14" s="54">
        <v>8</v>
      </c>
      <c r="B14" s="55">
        <v>99</v>
      </c>
      <c r="C14" s="55" t="s">
        <v>376</v>
      </c>
      <c r="D14" s="55" t="s">
        <v>4210</v>
      </c>
      <c r="E14" s="56" t="s">
        <v>377</v>
      </c>
      <c r="F14" s="55" t="s">
        <v>1332</v>
      </c>
      <c r="G14" s="57">
        <v>19914.807607384595</v>
      </c>
      <c r="H14" s="57">
        <v>0.4</v>
      </c>
      <c r="I14" s="57">
        <v>0.48</v>
      </c>
      <c r="J14" s="58">
        <v>0.2122</v>
      </c>
      <c r="K14" s="57">
        <v>9559.0400000000009</v>
      </c>
      <c r="L14" s="58">
        <v>3.7206180226372873E-4</v>
      </c>
      <c r="M14" s="58">
        <v>8.0270574930303651E-2</v>
      </c>
      <c r="N14" s="59" t="s">
        <v>2418</v>
      </c>
    </row>
    <row r="15" spans="1:14" ht="20" x14ac:dyDescent="0.2">
      <c r="A15" s="54">
        <v>9</v>
      </c>
      <c r="B15" s="55">
        <v>130</v>
      </c>
      <c r="C15" s="55" t="s">
        <v>122</v>
      </c>
      <c r="D15" s="55" t="s">
        <v>32</v>
      </c>
      <c r="E15" s="56" t="s">
        <v>123</v>
      </c>
      <c r="F15" s="55" t="s">
        <v>121</v>
      </c>
      <c r="G15" s="57">
        <v>883923.0863097338</v>
      </c>
      <c r="H15" s="57">
        <v>0.85</v>
      </c>
      <c r="I15" s="57">
        <v>1.03</v>
      </c>
      <c r="J15" s="58">
        <v>0.2122</v>
      </c>
      <c r="K15" s="57">
        <v>910440.60000000009</v>
      </c>
      <c r="L15" s="58">
        <v>3.5436630717108675E-2</v>
      </c>
      <c r="M15" s="58">
        <v>0.11570720564741233</v>
      </c>
      <c r="N15" s="59" t="s">
        <v>2418</v>
      </c>
    </row>
    <row r="16" spans="1:14" x14ac:dyDescent="0.2">
      <c r="A16" s="54">
        <v>10</v>
      </c>
      <c r="B16" s="55">
        <v>3</v>
      </c>
      <c r="C16" s="55" t="s">
        <v>503</v>
      </c>
      <c r="D16" s="55" t="s">
        <v>125</v>
      </c>
      <c r="E16" s="56" t="s">
        <v>537</v>
      </c>
      <c r="F16" s="55" t="s">
        <v>1369</v>
      </c>
      <c r="G16" s="57">
        <v>46132.030000000006</v>
      </c>
      <c r="H16" s="57">
        <v>12.15</v>
      </c>
      <c r="I16" s="57">
        <v>14.73</v>
      </c>
      <c r="J16" s="58">
        <v>0.2122</v>
      </c>
      <c r="K16" s="57">
        <v>679524.78</v>
      </c>
      <c r="L16" s="58">
        <v>2.6448808073788136E-2</v>
      </c>
      <c r="M16" s="58">
        <v>0.14215601372120046</v>
      </c>
      <c r="N16" s="59" t="s">
        <v>2418</v>
      </c>
    </row>
    <row r="17" spans="1:14" ht="20" x14ac:dyDescent="0.2">
      <c r="A17" s="54">
        <v>11</v>
      </c>
      <c r="B17" s="55">
        <v>29</v>
      </c>
      <c r="C17" s="55" t="s">
        <v>176</v>
      </c>
      <c r="D17" s="55" t="s">
        <v>32</v>
      </c>
      <c r="E17" s="56" t="s">
        <v>177</v>
      </c>
      <c r="F17" s="55" t="s">
        <v>268</v>
      </c>
      <c r="G17" s="57">
        <v>982.0100000000001</v>
      </c>
      <c r="H17" s="57">
        <v>470.06</v>
      </c>
      <c r="I17" s="57">
        <v>569.80999999999995</v>
      </c>
      <c r="J17" s="58">
        <v>0.2122</v>
      </c>
      <c r="K17" s="57">
        <v>559559.05999999994</v>
      </c>
      <c r="L17" s="58">
        <v>2.1779441485399984E-2</v>
      </c>
      <c r="M17" s="58">
        <v>0.16393545520660044</v>
      </c>
      <c r="N17" s="59" t="s">
        <v>2418</v>
      </c>
    </row>
    <row r="18" spans="1:14" x14ac:dyDescent="0.2">
      <c r="A18" s="54">
        <v>12</v>
      </c>
      <c r="B18" s="55">
        <v>26</v>
      </c>
      <c r="C18" s="55" t="s">
        <v>392</v>
      </c>
      <c r="D18" s="55" t="s">
        <v>4210</v>
      </c>
      <c r="E18" s="56" t="s">
        <v>393</v>
      </c>
      <c r="F18" s="55" t="s">
        <v>381</v>
      </c>
      <c r="G18" s="57">
        <v>90.932092583074791</v>
      </c>
      <c r="H18" s="57">
        <v>5274.22</v>
      </c>
      <c r="I18" s="57">
        <v>5859.66</v>
      </c>
      <c r="J18" s="58">
        <v>0.111</v>
      </c>
      <c r="K18" s="57">
        <v>532831.05999999994</v>
      </c>
      <c r="L18" s="58">
        <v>2.0739120715646438E-2</v>
      </c>
      <c r="M18" s="58">
        <v>0.18467457592224687</v>
      </c>
      <c r="N18" s="59" t="s">
        <v>2418</v>
      </c>
    </row>
    <row r="19" spans="1:14" ht="20" x14ac:dyDescent="0.2">
      <c r="A19" s="54">
        <v>13</v>
      </c>
      <c r="B19" s="55">
        <v>67</v>
      </c>
      <c r="C19" s="55" t="s">
        <v>310</v>
      </c>
      <c r="D19" s="55" t="s">
        <v>4210</v>
      </c>
      <c r="E19" s="56" t="s">
        <v>311</v>
      </c>
      <c r="F19" s="55" t="s">
        <v>268</v>
      </c>
      <c r="G19" s="57">
        <v>7503.8819004070465</v>
      </c>
      <c r="H19" s="57">
        <v>13.06</v>
      </c>
      <c r="I19" s="57">
        <v>15.83</v>
      </c>
      <c r="J19" s="58">
        <v>0.2122</v>
      </c>
      <c r="K19" s="57">
        <v>118786.43</v>
      </c>
      <c r="L19" s="58">
        <v>4.6234656649908612E-3</v>
      </c>
      <c r="M19" s="58">
        <v>0.18929804158723773</v>
      </c>
      <c r="N19" s="59" t="s">
        <v>2418</v>
      </c>
    </row>
    <row r="20" spans="1:14" ht="30" x14ac:dyDescent="0.2">
      <c r="A20" s="54">
        <v>14</v>
      </c>
      <c r="B20" s="55">
        <v>86</v>
      </c>
      <c r="C20" s="55" t="s">
        <v>363</v>
      </c>
      <c r="D20" s="55" t="s">
        <v>4210</v>
      </c>
      <c r="E20" s="56" t="s">
        <v>364</v>
      </c>
      <c r="F20" s="55" t="s">
        <v>268</v>
      </c>
      <c r="G20" s="57">
        <v>3019.0641047565587</v>
      </c>
      <c r="H20" s="57">
        <v>15.45</v>
      </c>
      <c r="I20" s="57">
        <v>18.73</v>
      </c>
      <c r="J20" s="58">
        <v>0.2122</v>
      </c>
      <c r="K20" s="57">
        <v>56547</v>
      </c>
      <c r="L20" s="58">
        <v>2.2009510089514286E-3</v>
      </c>
      <c r="M20" s="58">
        <v>0.19149899259618916</v>
      </c>
      <c r="N20" s="59" t="s">
        <v>2418</v>
      </c>
    </row>
    <row r="21" spans="1:14" x14ac:dyDescent="0.2">
      <c r="A21" s="54">
        <v>15</v>
      </c>
      <c r="B21" s="55">
        <v>98</v>
      </c>
      <c r="C21" s="55" t="s">
        <v>1360</v>
      </c>
      <c r="D21" s="55" t="s">
        <v>125</v>
      </c>
      <c r="E21" s="56" t="s">
        <v>1361</v>
      </c>
      <c r="F21" s="55" t="s">
        <v>1332</v>
      </c>
      <c r="G21" s="57">
        <v>8025.59</v>
      </c>
      <c r="H21" s="57">
        <v>30.77</v>
      </c>
      <c r="I21" s="57">
        <v>37.299999999999997</v>
      </c>
      <c r="J21" s="58">
        <v>0.2122</v>
      </c>
      <c r="K21" s="57">
        <v>299354.5</v>
      </c>
      <c r="L21" s="58">
        <v>1.1651627651496108E-2</v>
      </c>
      <c r="M21" s="58">
        <v>0.20315062024768527</v>
      </c>
      <c r="N21" s="59" t="s">
        <v>2418</v>
      </c>
    </row>
    <row r="22" spans="1:14" ht="30" x14ac:dyDescent="0.2">
      <c r="A22" s="54">
        <v>16</v>
      </c>
      <c r="B22" s="55">
        <v>87</v>
      </c>
      <c r="C22" s="55" t="s">
        <v>569</v>
      </c>
      <c r="D22" s="55" t="s">
        <v>32</v>
      </c>
      <c r="E22" s="56" t="s">
        <v>4443</v>
      </c>
      <c r="F22" s="55" t="s">
        <v>268</v>
      </c>
      <c r="G22" s="57">
        <v>3038.64</v>
      </c>
      <c r="H22" s="57">
        <v>12.17</v>
      </c>
      <c r="I22" s="57">
        <v>14.75</v>
      </c>
      <c r="J22" s="58">
        <v>0.2122</v>
      </c>
      <c r="K22" s="57">
        <v>44819.93</v>
      </c>
      <c r="L22" s="58">
        <v>1.7445040436209244E-3</v>
      </c>
      <c r="M22" s="58">
        <v>0.20489512429130619</v>
      </c>
      <c r="N22" s="59" t="s">
        <v>2418</v>
      </c>
    </row>
    <row r="23" spans="1:14" ht="20" x14ac:dyDescent="0.2">
      <c r="A23" s="54">
        <v>17</v>
      </c>
      <c r="B23" s="55">
        <v>116</v>
      </c>
      <c r="C23" s="55" t="s">
        <v>209</v>
      </c>
      <c r="D23" s="55" t="s">
        <v>125</v>
      </c>
      <c r="E23" s="56" t="s">
        <v>4446</v>
      </c>
      <c r="F23" s="55" t="s">
        <v>1384</v>
      </c>
      <c r="G23" s="57">
        <v>3629</v>
      </c>
      <c r="H23" s="57">
        <v>1.96</v>
      </c>
      <c r="I23" s="57">
        <v>2.38</v>
      </c>
      <c r="J23" s="58">
        <v>0.2122</v>
      </c>
      <c r="K23" s="57">
        <v>8637.02</v>
      </c>
      <c r="L23" s="58">
        <v>3.3617447226791288E-4</v>
      </c>
      <c r="M23" s="58">
        <v>0.2052312987635741</v>
      </c>
      <c r="N23" s="59" t="s">
        <v>2418</v>
      </c>
    </row>
    <row r="24" spans="1:14" ht="20" x14ac:dyDescent="0.2">
      <c r="A24" s="54">
        <v>18</v>
      </c>
      <c r="B24" s="55">
        <v>136</v>
      </c>
      <c r="C24" s="55" t="s">
        <v>981</v>
      </c>
      <c r="D24" s="55" t="s">
        <v>32</v>
      </c>
      <c r="E24" s="56" t="s">
        <v>982</v>
      </c>
      <c r="F24" s="55" t="s">
        <v>194</v>
      </c>
      <c r="G24" s="57">
        <v>53.981453829334242</v>
      </c>
      <c r="H24" s="57">
        <v>1018.04</v>
      </c>
      <c r="I24" s="57">
        <v>1131.04</v>
      </c>
      <c r="J24" s="58">
        <v>0.111</v>
      </c>
      <c r="K24" s="57">
        <v>61055.18</v>
      </c>
      <c r="L24" s="58">
        <v>2.3764206770069338E-3</v>
      </c>
      <c r="M24" s="58">
        <v>0.20760771944058104</v>
      </c>
      <c r="N24" s="59" t="s">
        <v>2418</v>
      </c>
    </row>
    <row r="25" spans="1:14" ht="20" x14ac:dyDescent="0.2">
      <c r="A25" s="54">
        <v>19</v>
      </c>
      <c r="B25" s="55">
        <v>38</v>
      </c>
      <c r="C25" s="55" t="s">
        <v>242</v>
      </c>
      <c r="D25" s="55" t="s">
        <v>243</v>
      </c>
      <c r="E25" s="56" t="s">
        <v>4409</v>
      </c>
      <c r="F25" s="55" t="s">
        <v>268</v>
      </c>
      <c r="G25" s="57">
        <v>1144.8133508331794</v>
      </c>
      <c r="H25" s="57">
        <v>310.31</v>
      </c>
      <c r="I25" s="57">
        <v>376.16</v>
      </c>
      <c r="J25" s="58">
        <v>0.2122</v>
      </c>
      <c r="K25" s="57">
        <v>430632.97</v>
      </c>
      <c r="L25" s="58">
        <v>1.6761314832073326E-2</v>
      </c>
      <c r="M25" s="58">
        <v>0.22436903427265437</v>
      </c>
      <c r="N25" s="59" t="s">
        <v>2418</v>
      </c>
    </row>
    <row r="26" spans="1:14" ht="20" x14ac:dyDescent="0.2">
      <c r="A26" s="54">
        <v>20</v>
      </c>
      <c r="B26" s="55">
        <v>2</v>
      </c>
      <c r="C26" s="55" t="s">
        <v>506</v>
      </c>
      <c r="D26" s="55" t="s">
        <v>32</v>
      </c>
      <c r="E26" s="56" t="s">
        <v>507</v>
      </c>
      <c r="F26" s="55" t="s">
        <v>1332</v>
      </c>
      <c r="G26" s="57">
        <v>2303.21</v>
      </c>
      <c r="H26" s="57">
        <v>133.38</v>
      </c>
      <c r="I26" s="57">
        <v>161.68</v>
      </c>
      <c r="J26" s="58">
        <v>0.2122</v>
      </c>
      <c r="K26" s="57">
        <v>372382.95999999996</v>
      </c>
      <c r="L26" s="58">
        <v>1.4494078404306497E-2</v>
      </c>
      <c r="M26" s="58">
        <v>0.23886311267696086</v>
      </c>
      <c r="N26" s="59" t="s">
        <v>2418</v>
      </c>
    </row>
    <row r="27" spans="1:14" ht="20" x14ac:dyDescent="0.2">
      <c r="A27" s="54">
        <v>21</v>
      </c>
      <c r="B27" s="55">
        <v>73</v>
      </c>
      <c r="C27" s="55" t="s">
        <v>334</v>
      </c>
      <c r="D27" s="55" t="s">
        <v>243</v>
      </c>
      <c r="E27" s="56" t="s">
        <v>335</v>
      </c>
      <c r="F27" s="55" t="s">
        <v>1332</v>
      </c>
      <c r="G27" s="57">
        <v>9377.3271492840577</v>
      </c>
      <c r="H27" s="57">
        <v>23.05</v>
      </c>
      <c r="I27" s="57">
        <v>27.94</v>
      </c>
      <c r="J27" s="58">
        <v>0.2122</v>
      </c>
      <c r="K27" s="57">
        <v>262002.48</v>
      </c>
      <c r="L27" s="58">
        <v>1.0197793387868085E-2</v>
      </c>
      <c r="M27" s="58">
        <v>0.24906090606482895</v>
      </c>
      <c r="N27" s="59" t="s">
        <v>2418</v>
      </c>
    </row>
    <row r="28" spans="1:14" x14ac:dyDescent="0.2">
      <c r="A28" s="54">
        <v>22</v>
      </c>
      <c r="B28" s="55">
        <v>47</v>
      </c>
      <c r="C28" s="55" t="s">
        <v>220</v>
      </c>
      <c r="D28" s="55" t="s">
        <v>221</v>
      </c>
      <c r="E28" s="56" t="s">
        <v>4226</v>
      </c>
      <c r="F28" s="55" t="s">
        <v>194</v>
      </c>
      <c r="G28" s="57">
        <v>0</v>
      </c>
      <c r="H28" s="57">
        <v>300.70999999999998</v>
      </c>
      <c r="I28" s="57">
        <v>364.52</v>
      </c>
      <c r="J28" s="58">
        <v>0.2122</v>
      </c>
      <c r="K28" s="57">
        <v>0</v>
      </c>
      <c r="L28" s="58">
        <v>0</v>
      </c>
      <c r="M28" s="58">
        <v>0.24906090606482895</v>
      </c>
      <c r="N28" s="59" t="s">
        <v>2418</v>
      </c>
    </row>
    <row r="29" spans="1:14" ht="30" x14ac:dyDescent="0.2">
      <c r="A29" s="54">
        <v>23</v>
      </c>
      <c r="B29" s="55">
        <v>72</v>
      </c>
      <c r="C29" s="55" t="s">
        <v>347</v>
      </c>
      <c r="D29" s="55" t="s">
        <v>243</v>
      </c>
      <c r="E29" s="56" t="s">
        <v>4426</v>
      </c>
      <c r="F29" s="55" t="s">
        <v>1332</v>
      </c>
      <c r="G29" s="57">
        <v>5046.7602091811514</v>
      </c>
      <c r="H29" s="57">
        <v>47.36</v>
      </c>
      <c r="I29" s="57">
        <v>57.41</v>
      </c>
      <c r="J29" s="58">
        <v>0.2122</v>
      </c>
      <c r="K29" s="57">
        <v>289734.49</v>
      </c>
      <c r="L29" s="58">
        <v>1.1277192743974528E-2</v>
      </c>
      <c r="M29" s="58">
        <v>0.26033809880880349</v>
      </c>
      <c r="N29" s="59" t="s">
        <v>2418</v>
      </c>
    </row>
    <row r="30" spans="1:14" ht="20" x14ac:dyDescent="0.2">
      <c r="A30" s="54">
        <v>24</v>
      </c>
      <c r="B30" s="55">
        <v>69</v>
      </c>
      <c r="C30" s="55" t="s">
        <v>1336</v>
      </c>
      <c r="D30" s="55" t="s">
        <v>125</v>
      </c>
      <c r="E30" s="56" t="s">
        <v>1337</v>
      </c>
      <c r="F30" s="55" t="s">
        <v>268</v>
      </c>
      <c r="G30" s="57">
        <v>24527.94</v>
      </c>
      <c r="H30" s="57">
        <v>17.829999999999998</v>
      </c>
      <c r="I30" s="57">
        <v>21.61</v>
      </c>
      <c r="J30" s="58">
        <v>0.2122</v>
      </c>
      <c r="K30" s="57">
        <v>530048.78</v>
      </c>
      <c r="L30" s="58">
        <v>2.0630827402593841E-2</v>
      </c>
      <c r="M30" s="58">
        <v>0.28096892621139735</v>
      </c>
      <c r="N30" s="59" t="s">
        <v>2418</v>
      </c>
    </row>
    <row r="31" spans="1:14" ht="20" x14ac:dyDescent="0.2">
      <c r="A31" s="54">
        <v>25</v>
      </c>
      <c r="B31" s="55">
        <v>143</v>
      </c>
      <c r="C31" s="55" t="s">
        <v>514</v>
      </c>
      <c r="D31" s="55" t="s">
        <v>32</v>
      </c>
      <c r="E31" s="56" t="s">
        <v>515</v>
      </c>
      <c r="F31" s="55" t="s">
        <v>194</v>
      </c>
      <c r="G31" s="57">
        <v>190.59000000000003</v>
      </c>
      <c r="H31" s="57">
        <v>62.21</v>
      </c>
      <c r="I31" s="57">
        <v>69.12</v>
      </c>
      <c r="J31" s="58">
        <v>0.111</v>
      </c>
      <c r="K31" s="57">
        <v>13173.56</v>
      </c>
      <c r="L31" s="58">
        <v>5.1274798262475785E-4</v>
      </c>
      <c r="M31" s="58">
        <v>0.28148167419402209</v>
      </c>
      <c r="N31" s="59" t="s">
        <v>2418</v>
      </c>
    </row>
    <row r="32" spans="1:14" ht="20" x14ac:dyDescent="0.2">
      <c r="A32" s="54">
        <v>26</v>
      </c>
      <c r="B32" s="55">
        <v>88</v>
      </c>
      <c r="C32" s="55" t="s">
        <v>1259</v>
      </c>
      <c r="D32" s="55" t="s">
        <v>32</v>
      </c>
      <c r="E32" s="56" t="s">
        <v>1260</v>
      </c>
      <c r="F32" s="55" t="s">
        <v>1332</v>
      </c>
      <c r="G32" s="57">
        <v>4199.21</v>
      </c>
      <c r="H32" s="57">
        <v>94.68</v>
      </c>
      <c r="I32" s="57">
        <v>114.77</v>
      </c>
      <c r="J32" s="58">
        <v>0.2122</v>
      </c>
      <c r="K32" s="57">
        <v>481943.33</v>
      </c>
      <c r="L32" s="58">
        <v>1.8758442683447601E-2</v>
      </c>
      <c r="M32" s="58">
        <v>0.30024011687746971</v>
      </c>
      <c r="N32" s="59" t="s">
        <v>2418</v>
      </c>
    </row>
    <row r="33" spans="1:14" ht="20" x14ac:dyDescent="0.2">
      <c r="A33" s="54">
        <v>27</v>
      </c>
      <c r="B33" s="55">
        <v>132</v>
      </c>
      <c r="C33" s="55" t="s">
        <v>414</v>
      </c>
      <c r="D33" s="55" t="s">
        <v>32</v>
      </c>
      <c r="E33" s="56" t="s">
        <v>415</v>
      </c>
      <c r="F33" s="55" t="s">
        <v>416</v>
      </c>
      <c r="G33" s="57">
        <v>205833.33106636524</v>
      </c>
      <c r="H33" s="57">
        <v>2.71</v>
      </c>
      <c r="I33" s="57">
        <v>3.29</v>
      </c>
      <c r="J33" s="58">
        <v>0.2122</v>
      </c>
      <c r="K33" s="57">
        <v>677191.63</v>
      </c>
      <c r="L33" s="58">
        <v>2.6357996026349102E-2</v>
      </c>
      <c r="M33" s="58">
        <v>0.32659811290381879</v>
      </c>
      <c r="N33" s="59" t="s">
        <v>2418</v>
      </c>
    </row>
    <row r="34" spans="1:14" ht="20" x14ac:dyDescent="0.2">
      <c r="A34" s="54">
        <v>28</v>
      </c>
      <c r="B34" s="55">
        <v>96</v>
      </c>
      <c r="C34" s="55" t="s">
        <v>1346</v>
      </c>
      <c r="D34" s="55" t="s">
        <v>125</v>
      </c>
      <c r="E34" s="56" t="s">
        <v>1347</v>
      </c>
      <c r="F34" s="55" t="s">
        <v>268</v>
      </c>
      <c r="G34" s="57">
        <v>963.45</v>
      </c>
      <c r="H34" s="57">
        <v>789.58</v>
      </c>
      <c r="I34" s="57">
        <v>957.13</v>
      </c>
      <c r="J34" s="58">
        <v>0.2122</v>
      </c>
      <c r="K34" s="57">
        <v>922146.89</v>
      </c>
      <c r="L34" s="58">
        <v>3.5892268872741655E-2</v>
      </c>
      <c r="M34" s="58">
        <v>0.36249038177656046</v>
      </c>
      <c r="N34" s="59" t="s">
        <v>2418</v>
      </c>
    </row>
    <row r="35" spans="1:14" ht="20" x14ac:dyDescent="0.2">
      <c r="A35" s="54">
        <v>29</v>
      </c>
      <c r="B35" s="55">
        <v>48</v>
      </c>
      <c r="C35" s="55" t="s">
        <v>16937</v>
      </c>
      <c r="D35" s="55" t="s">
        <v>446</v>
      </c>
      <c r="E35" s="56" t="s">
        <v>16938</v>
      </c>
      <c r="F35" s="55" t="s">
        <v>268</v>
      </c>
      <c r="G35" s="57">
        <v>1384.3799260270175</v>
      </c>
      <c r="H35" s="57">
        <v>108.71</v>
      </c>
      <c r="I35" s="57">
        <v>131.78</v>
      </c>
      <c r="J35" s="58">
        <v>0.2122</v>
      </c>
      <c r="K35" s="57">
        <v>182433.53999999998</v>
      </c>
      <c r="L35" s="58">
        <v>7.100770755824019E-3</v>
      </c>
      <c r="M35" s="58">
        <v>0.36959115253238445</v>
      </c>
      <c r="N35" s="59" t="s">
        <v>2418</v>
      </c>
    </row>
    <row r="36" spans="1:14" ht="20" x14ac:dyDescent="0.2">
      <c r="A36" s="54">
        <v>30</v>
      </c>
      <c r="B36" s="55">
        <v>39</v>
      </c>
      <c r="C36" s="55" t="s">
        <v>226</v>
      </c>
      <c r="D36" s="55" t="s">
        <v>32</v>
      </c>
      <c r="E36" s="56" t="s">
        <v>4227</v>
      </c>
      <c r="F36" s="55" t="s">
        <v>1332</v>
      </c>
      <c r="G36" s="57">
        <v>10917.416957576736</v>
      </c>
      <c r="H36" s="57">
        <v>22.73</v>
      </c>
      <c r="I36" s="57">
        <v>27.55</v>
      </c>
      <c r="J36" s="58">
        <v>0.2122</v>
      </c>
      <c r="K36" s="57">
        <v>300774.80000000005</v>
      </c>
      <c r="L36" s="58">
        <v>1.1706909288329429E-2</v>
      </c>
      <c r="M36" s="58">
        <v>0.38129806182071385</v>
      </c>
      <c r="N36" s="59" t="s">
        <v>2418</v>
      </c>
    </row>
    <row r="37" spans="1:14" ht="20" x14ac:dyDescent="0.2">
      <c r="A37" s="54">
        <v>31</v>
      </c>
      <c r="B37" s="55">
        <v>137</v>
      </c>
      <c r="C37" s="55" t="s">
        <v>757</v>
      </c>
      <c r="D37" s="55" t="s">
        <v>32</v>
      </c>
      <c r="E37" s="56" t="s">
        <v>758</v>
      </c>
      <c r="F37" s="55" t="s">
        <v>194</v>
      </c>
      <c r="G37" s="57">
        <v>184.29000000000002</v>
      </c>
      <c r="H37" s="57">
        <v>401.54</v>
      </c>
      <c r="I37" s="57">
        <v>446.11</v>
      </c>
      <c r="J37" s="58">
        <v>0.111</v>
      </c>
      <c r="K37" s="57">
        <v>82213.600000000006</v>
      </c>
      <c r="L37" s="58">
        <v>3.1999594296696411E-3</v>
      </c>
      <c r="M37" s="58">
        <v>0.38449802125038351</v>
      </c>
      <c r="N37" s="59" t="s">
        <v>2418</v>
      </c>
    </row>
    <row r="38" spans="1:14" ht="20" x14ac:dyDescent="0.2">
      <c r="A38" s="54">
        <v>32</v>
      </c>
      <c r="B38" s="55">
        <v>70</v>
      </c>
      <c r="C38" s="55" t="s">
        <v>542</v>
      </c>
      <c r="D38" s="55" t="s">
        <v>32</v>
      </c>
      <c r="E38" s="56" t="s">
        <v>543</v>
      </c>
      <c r="F38" s="55" t="s">
        <v>268</v>
      </c>
      <c r="G38" s="57">
        <v>875.7</v>
      </c>
      <c r="H38" s="57">
        <v>17.05</v>
      </c>
      <c r="I38" s="57">
        <v>20.67</v>
      </c>
      <c r="J38" s="58">
        <v>0.2122</v>
      </c>
      <c r="K38" s="57">
        <v>18100.689999999999</v>
      </c>
      <c r="L38" s="58">
        <v>7.0452423502956893E-4</v>
      </c>
      <c r="M38" s="58">
        <v>0.38520254548541311</v>
      </c>
      <c r="N38" s="59" t="s">
        <v>2418</v>
      </c>
    </row>
    <row r="39" spans="1:14" ht="20" x14ac:dyDescent="0.2">
      <c r="A39" s="54">
        <v>33</v>
      </c>
      <c r="B39" s="55">
        <v>118</v>
      </c>
      <c r="C39" s="55" t="s">
        <v>360</v>
      </c>
      <c r="D39" s="55" t="s">
        <v>32</v>
      </c>
      <c r="E39" s="56" t="s">
        <v>361</v>
      </c>
      <c r="F39" s="55" t="s">
        <v>268</v>
      </c>
      <c r="G39" s="57">
        <v>1570.9091702475494</v>
      </c>
      <c r="H39" s="57">
        <v>224.67</v>
      </c>
      <c r="I39" s="57">
        <v>272.33999999999997</v>
      </c>
      <c r="J39" s="58">
        <v>0.2122</v>
      </c>
      <c r="K39" s="57">
        <v>427821.38</v>
      </c>
      <c r="L39" s="58">
        <v>1.6651880700337643E-2</v>
      </c>
      <c r="M39" s="58">
        <v>0.40185442618575073</v>
      </c>
      <c r="N39" s="59" t="s">
        <v>2418</v>
      </c>
    </row>
    <row r="40" spans="1:14" ht="30" x14ac:dyDescent="0.2">
      <c r="A40" s="54">
        <v>34</v>
      </c>
      <c r="B40" s="55">
        <v>8</v>
      </c>
      <c r="C40" s="55" t="s">
        <v>410</v>
      </c>
      <c r="D40" s="55" t="s">
        <v>32</v>
      </c>
      <c r="E40" s="56" t="s">
        <v>4435</v>
      </c>
      <c r="F40" s="55" t="s">
        <v>194</v>
      </c>
      <c r="G40" s="57">
        <v>1274.1634030603836</v>
      </c>
      <c r="H40" s="57">
        <v>172.74</v>
      </c>
      <c r="I40" s="57">
        <v>209.4</v>
      </c>
      <c r="J40" s="58">
        <v>0.2122</v>
      </c>
      <c r="K40" s="57">
        <v>266809.81</v>
      </c>
      <c r="L40" s="58">
        <v>1.0384906723922383E-2</v>
      </c>
      <c r="M40" s="58">
        <v>0.41223933290967313</v>
      </c>
      <c r="N40" s="59" t="s">
        <v>2418</v>
      </c>
    </row>
    <row r="41" spans="1:14" ht="20" x14ac:dyDescent="0.2">
      <c r="A41" s="54">
        <v>35</v>
      </c>
      <c r="B41" s="55">
        <v>21</v>
      </c>
      <c r="C41" s="55" t="s">
        <v>445</v>
      </c>
      <c r="D41" s="55" t="s">
        <v>446</v>
      </c>
      <c r="E41" s="56" t="s">
        <v>769</v>
      </c>
      <c r="F41" s="55" t="s">
        <v>381</v>
      </c>
      <c r="G41" s="57">
        <v>2242.5275893862754</v>
      </c>
      <c r="H41" s="57">
        <v>94.99</v>
      </c>
      <c r="I41" s="57">
        <v>115.15</v>
      </c>
      <c r="J41" s="58">
        <v>0.2122</v>
      </c>
      <c r="K41" s="57">
        <v>258227.03</v>
      </c>
      <c r="L41" s="58">
        <v>1.0050843408439543E-2</v>
      </c>
      <c r="M41" s="58">
        <v>0.42229017631811266</v>
      </c>
      <c r="N41" s="59" t="s">
        <v>2418</v>
      </c>
    </row>
    <row r="42" spans="1:14" ht="20" x14ac:dyDescent="0.2">
      <c r="A42" s="54">
        <v>36</v>
      </c>
      <c r="B42" s="55">
        <v>90</v>
      </c>
      <c r="C42" s="55" t="s">
        <v>533</v>
      </c>
      <c r="D42" s="55" t="s">
        <v>125</v>
      </c>
      <c r="E42" s="56" t="s">
        <v>1368</v>
      </c>
      <c r="F42" s="55" t="s">
        <v>1332</v>
      </c>
      <c r="G42" s="57">
        <v>3705.7350000000001</v>
      </c>
      <c r="H42" s="57">
        <v>77.569999999999993</v>
      </c>
      <c r="I42" s="57">
        <v>94.03</v>
      </c>
      <c r="J42" s="58">
        <v>0.2122</v>
      </c>
      <c r="K42" s="57">
        <v>348450.23</v>
      </c>
      <c r="L42" s="58">
        <v>1.3562556550972773E-2</v>
      </c>
      <c r="M42" s="58">
        <v>0.43585273286908544</v>
      </c>
      <c r="N42" s="59" t="s">
        <v>2418</v>
      </c>
    </row>
    <row r="43" spans="1:14" ht="30" x14ac:dyDescent="0.2">
      <c r="A43" s="54">
        <v>37</v>
      </c>
      <c r="B43" s="55">
        <v>71</v>
      </c>
      <c r="C43" s="55" t="s">
        <v>340</v>
      </c>
      <c r="D43" s="55" t="s">
        <v>243</v>
      </c>
      <c r="E43" s="56" t="s">
        <v>4423</v>
      </c>
      <c r="F43" s="55" t="s">
        <v>1332</v>
      </c>
      <c r="G43" s="57">
        <v>8868.5162358437083</v>
      </c>
      <c r="H43" s="57">
        <v>32.4</v>
      </c>
      <c r="I43" s="57">
        <v>39.28</v>
      </c>
      <c r="J43" s="58">
        <v>0.2122</v>
      </c>
      <c r="K43" s="57">
        <v>348355.28</v>
      </c>
      <c r="L43" s="58">
        <v>1.3558860858923683E-2</v>
      </c>
      <c r="M43" s="58">
        <v>0.4494115937280091</v>
      </c>
      <c r="N43" s="59" t="s">
        <v>2418</v>
      </c>
    </row>
    <row r="44" spans="1:14" ht="20" x14ac:dyDescent="0.2">
      <c r="A44" s="54">
        <v>38</v>
      </c>
      <c r="B44" s="55">
        <v>131</v>
      </c>
      <c r="C44" s="55" t="s">
        <v>119</v>
      </c>
      <c r="D44" s="55" t="s">
        <v>32</v>
      </c>
      <c r="E44" s="56" t="s">
        <v>120</v>
      </c>
      <c r="F44" s="55" t="s">
        <v>121</v>
      </c>
      <c r="G44" s="57">
        <v>1450864.7612661971</v>
      </c>
      <c r="H44" s="57">
        <v>2.1</v>
      </c>
      <c r="I44" s="57">
        <v>2.5499999999999998</v>
      </c>
      <c r="J44" s="58">
        <v>0.2122</v>
      </c>
      <c r="K44" s="57">
        <v>3699704.9299999997</v>
      </c>
      <c r="L44" s="58">
        <v>0.14400179140371858</v>
      </c>
      <c r="M44" s="58">
        <v>0.5934133851317277</v>
      </c>
      <c r="N44" s="59" t="s">
        <v>2419</v>
      </c>
    </row>
    <row r="45" spans="1:14" x14ac:dyDescent="0.2">
      <c r="A45" s="54">
        <v>39</v>
      </c>
      <c r="B45" s="55">
        <v>108</v>
      </c>
      <c r="C45" s="55" t="s">
        <v>196</v>
      </c>
      <c r="D45" s="55" t="s">
        <v>197</v>
      </c>
      <c r="E45" s="56" t="s">
        <v>198</v>
      </c>
      <c r="F45" s="55" t="s">
        <v>1332</v>
      </c>
      <c r="G45" s="57">
        <v>48</v>
      </c>
      <c r="H45" s="57">
        <v>17.21</v>
      </c>
      <c r="I45" s="57">
        <v>20.86</v>
      </c>
      <c r="J45" s="58">
        <v>0.2122</v>
      </c>
      <c r="K45" s="57">
        <v>1001.28</v>
      </c>
      <c r="L45" s="58">
        <v>3.8972327908516569E-5</v>
      </c>
      <c r="M45" s="58">
        <v>0.5934523574596362</v>
      </c>
      <c r="N45" s="59" t="s">
        <v>2419</v>
      </c>
    </row>
    <row r="46" spans="1:14" ht="20" x14ac:dyDescent="0.2">
      <c r="A46" s="54">
        <v>40</v>
      </c>
      <c r="B46" s="55">
        <v>133</v>
      </c>
      <c r="C46" s="55" t="s">
        <v>421</v>
      </c>
      <c r="D46" s="55" t="s">
        <v>32</v>
      </c>
      <c r="E46" s="56" t="s">
        <v>422</v>
      </c>
      <c r="F46" s="55" t="s">
        <v>194</v>
      </c>
      <c r="G46" s="57">
        <v>917.70238309468596</v>
      </c>
      <c r="H46" s="57">
        <v>241.33</v>
      </c>
      <c r="I46" s="57">
        <v>268.12</v>
      </c>
      <c r="J46" s="58">
        <v>0.111</v>
      </c>
      <c r="K46" s="57">
        <v>246054.34000000003</v>
      </c>
      <c r="L46" s="58">
        <v>9.5770517954953931E-3</v>
      </c>
      <c r="M46" s="58">
        <v>0.6030294092551316</v>
      </c>
      <c r="N46" s="59" t="s">
        <v>2419</v>
      </c>
    </row>
    <row r="47" spans="1:14" ht="20" x14ac:dyDescent="0.2">
      <c r="A47" s="54">
        <v>41</v>
      </c>
      <c r="B47" s="55">
        <v>74</v>
      </c>
      <c r="C47" s="55" t="s">
        <v>342</v>
      </c>
      <c r="D47" s="55" t="s">
        <v>243</v>
      </c>
      <c r="E47" s="56" t="s">
        <v>343</v>
      </c>
      <c r="F47" s="55" t="s">
        <v>1332</v>
      </c>
      <c r="G47" s="57">
        <v>7076.7151975801717</v>
      </c>
      <c r="H47" s="57">
        <v>41.58</v>
      </c>
      <c r="I47" s="57">
        <v>50.4</v>
      </c>
      <c r="J47" s="58">
        <v>0.2122</v>
      </c>
      <c r="K47" s="57">
        <v>356666.42</v>
      </c>
      <c r="L47" s="58">
        <v>1.3882351264578032E-2</v>
      </c>
      <c r="M47" s="58">
        <v>0.61691176051970964</v>
      </c>
      <c r="N47" s="59" t="s">
        <v>2419</v>
      </c>
    </row>
    <row r="48" spans="1:14" ht="30" x14ac:dyDescent="0.2">
      <c r="A48" s="54">
        <v>42</v>
      </c>
      <c r="B48" s="55">
        <v>5</v>
      </c>
      <c r="C48" s="55" t="s">
        <v>406</v>
      </c>
      <c r="D48" s="55" t="s">
        <v>32</v>
      </c>
      <c r="E48" s="56" t="s">
        <v>4433</v>
      </c>
      <c r="F48" s="55" t="s">
        <v>194</v>
      </c>
      <c r="G48" s="57">
        <v>1325.9028428918405</v>
      </c>
      <c r="H48" s="57">
        <v>108</v>
      </c>
      <c r="I48" s="57">
        <v>130.91999999999999</v>
      </c>
      <c r="J48" s="58">
        <v>0.2122</v>
      </c>
      <c r="K48" s="57">
        <v>173587.19</v>
      </c>
      <c r="L48" s="58">
        <v>6.7564486351449835E-3</v>
      </c>
      <c r="M48" s="58">
        <v>0.62366820915485466</v>
      </c>
      <c r="N48" s="59" t="s">
        <v>2419</v>
      </c>
    </row>
    <row r="49" spans="1:14" x14ac:dyDescent="0.2">
      <c r="A49" s="54">
        <v>43</v>
      </c>
      <c r="B49" s="55">
        <v>16</v>
      </c>
      <c r="C49" s="55" t="s">
        <v>383</v>
      </c>
      <c r="D49" s="55" t="s">
        <v>125</v>
      </c>
      <c r="E49" s="56" t="s">
        <v>4233</v>
      </c>
      <c r="F49" s="55" t="s">
        <v>1369</v>
      </c>
      <c r="G49" s="57">
        <v>258654.37217337632</v>
      </c>
      <c r="H49" s="57">
        <v>0.54959999999999998</v>
      </c>
      <c r="I49" s="57">
        <v>0.61</v>
      </c>
      <c r="J49" s="58">
        <v>0.111</v>
      </c>
      <c r="K49" s="57">
        <v>157779.08000000002</v>
      </c>
      <c r="L49" s="58">
        <v>6.1411573614414241E-3</v>
      </c>
      <c r="M49" s="58">
        <v>0.62980936651629604</v>
      </c>
      <c r="N49" s="59" t="s">
        <v>2419</v>
      </c>
    </row>
    <row r="50" spans="1:14" ht="30" x14ac:dyDescent="0.2">
      <c r="A50" s="54">
        <v>44</v>
      </c>
      <c r="B50" s="55">
        <v>4</v>
      </c>
      <c r="C50" s="55" t="s">
        <v>592</v>
      </c>
      <c r="D50" s="55" t="s">
        <v>32</v>
      </c>
      <c r="E50" s="56" t="s">
        <v>4444</v>
      </c>
      <c r="F50" s="55" t="s">
        <v>194</v>
      </c>
      <c r="G50" s="57">
        <v>2650.7200000000003</v>
      </c>
      <c r="H50" s="57">
        <v>48.36</v>
      </c>
      <c r="I50" s="57">
        <v>58.62</v>
      </c>
      <c r="J50" s="58">
        <v>0.2122</v>
      </c>
      <c r="K50" s="57">
        <v>155385.19</v>
      </c>
      <c r="L50" s="58">
        <v>6.0479811609211714E-3</v>
      </c>
      <c r="M50" s="58">
        <v>0.63585734767721724</v>
      </c>
      <c r="N50" s="59" t="s">
        <v>2419</v>
      </c>
    </row>
    <row r="51" spans="1:14" x14ac:dyDescent="0.2">
      <c r="A51" s="54">
        <v>45</v>
      </c>
      <c r="B51" s="55">
        <v>46</v>
      </c>
      <c r="C51" s="55" t="s">
        <v>4392</v>
      </c>
      <c r="D51" s="55" t="s">
        <v>251</v>
      </c>
      <c r="E51" s="56" t="s">
        <v>278</v>
      </c>
      <c r="F51" s="55" t="s">
        <v>89</v>
      </c>
      <c r="G51" s="57">
        <v>62</v>
      </c>
      <c r="H51" s="57">
        <v>2241.29</v>
      </c>
      <c r="I51" s="57">
        <v>2716.89</v>
      </c>
      <c r="J51" s="58">
        <v>0.2122</v>
      </c>
      <c r="K51" s="57">
        <v>168447.18</v>
      </c>
      <c r="L51" s="58">
        <v>6.5563865594288452E-3</v>
      </c>
      <c r="M51" s="58">
        <v>0.64241373423664605</v>
      </c>
      <c r="N51" s="59" t="s">
        <v>2419</v>
      </c>
    </row>
    <row r="52" spans="1:14" ht="30" x14ac:dyDescent="0.2">
      <c r="A52" s="54">
        <v>46</v>
      </c>
      <c r="B52" s="55">
        <v>18</v>
      </c>
      <c r="C52" s="55" t="s">
        <v>127</v>
      </c>
      <c r="D52" s="55" t="s">
        <v>32</v>
      </c>
      <c r="E52" s="56" t="s">
        <v>128</v>
      </c>
      <c r="F52" s="55" t="s">
        <v>268</v>
      </c>
      <c r="G52" s="57">
        <v>16693.512994335182</v>
      </c>
      <c r="H52" s="57">
        <v>6.53</v>
      </c>
      <c r="I52" s="57">
        <v>7.92</v>
      </c>
      <c r="J52" s="58">
        <v>0.2122</v>
      </c>
      <c r="K52" s="57">
        <v>132212.56</v>
      </c>
      <c r="L52" s="58">
        <v>5.1460443052337226E-3</v>
      </c>
      <c r="M52" s="58">
        <v>0.64755977854187974</v>
      </c>
      <c r="N52" s="59" t="s">
        <v>2419</v>
      </c>
    </row>
    <row r="53" spans="1:14" ht="20" x14ac:dyDescent="0.2">
      <c r="A53" s="54">
        <v>47</v>
      </c>
      <c r="B53" s="55">
        <v>76</v>
      </c>
      <c r="C53" s="55" t="s">
        <v>337</v>
      </c>
      <c r="D53" s="55" t="s">
        <v>243</v>
      </c>
      <c r="E53" s="56" t="s">
        <v>338</v>
      </c>
      <c r="F53" s="55" t="s">
        <v>1332</v>
      </c>
      <c r="G53" s="57">
        <v>5714.3714613693428</v>
      </c>
      <c r="H53" s="57">
        <v>30.02</v>
      </c>
      <c r="I53" s="57">
        <v>36.39</v>
      </c>
      <c r="J53" s="58">
        <v>0.2122</v>
      </c>
      <c r="K53" s="57">
        <v>207945.92999999996</v>
      </c>
      <c r="L53" s="58">
        <v>8.0937769367224275E-3</v>
      </c>
      <c r="M53" s="58">
        <v>0.65565355547860216</v>
      </c>
      <c r="N53" s="59" t="s">
        <v>2419</v>
      </c>
    </row>
    <row r="54" spans="1:14" ht="30" x14ac:dyDescent="0.2">
      <c r="A54" s="54">
        <v>48</v>
      </c>
      <c r="B54" s="55">
        <v>65</v>
      </c>
      <c r="C54" s="55" t="s">
        <v>296</v>
      </c>
      <c r="D54" s="55" t="s">
        <v>32</v>
      </c>
      <c r="E54" s="56" t="s">
        <v>4416</v>
      </c>
      <c r="F54" s="55" t="s">
        <v>268</v>
      </c>
      <c r="G54" s="57">
        <v>162.53079890181948</v>
      </c>
      <c r="H54" s="57">
        <v>10.73</v>
      </c>
      <c r="I54" s="57">
        <v>13.01</v>
      </c>
      <c r="J54" s="58">
        <v>0.2122</v>
      </c>
      <c r="K54" s="57">
        <v>2114.52</v>
      </c>
      <c r="L54" s="58">
        <v>8.2302419711885241E-5</v>
      </c>
      <c r="M54" s="58">
        <v>0.65573585789831401</v>
      </c>
      <c r="N54" s="59" t="s">
        <v>2419</v>
      </c>
    </row>
    <row r="55" spans="1:14" x14ac:dyDescent="0.2">
      <c r="A55" s="54">
        <v>49</v>
      </c>
      <c r="B55" s="55">
        <v>44</v>
      </c>
      <c r="C55" s="55" t="s">
        <v>379</v>
      </c>
      <c r="D55" s="55" t="s">
        <v>4210</v>
      </c>
      <c r="E55" s="56" t="s">
        <v>380</v>
      </c>
      <c r="F55" s="55" t="s">
        <v>381</v>
      </c>
      <c r="G55" s="57">
        <v>24.117319590031009</v>
      </c>
      <c r="H55" s="57">
        <v>4291.21</v>
      </c>
      <c r="I55" s="57">
        <v>4767.53</v>
      </c>
      <c r="J55" s="58">
        <v>0.111</v>
      </c>
      <c r="K55" s="57">
        <v>114979.97</v>
      </c>
      <c r="L55" s="58">
        <v>4.4753086986171683E-3</v>
      </c>
      <c r="M55" s="58">
        <v>0.66021116659693113</v>
      </c>
      <c r="N55" s="59" t="s">
        <v>2419</v>
      </c>
    </row>
    <row r="56" spans="1:14" ht="20" x14ac:dyDescent="0.2">
      <c r="A56" s="54">
        <v>50</v>
      </c>
      <c r="B56" s="55">
        <v>66</v>
      </c>
      <c r="C56" s="55" t="s">
        <v>316</v>
      </c>
      <c r="D56" s="55" t="s">
        <v>4210</v>
      </c>
      <c r="E56" s="56" t="s">
        <v>317</v>
      </c>
      <c r="F56" s="55" t="s">
        <v>268</v>
      </c>
      <c r="G56" s="57">
        <v>464.27622717450771</v>
      </c>
      <c r="H56" s="57">
        <v>26.13</v>
      </c>
      <c r="I56" s="57">
        <v>31.67</v>
      </c>
      <c r="J56" s="58">
        <v>0.2122</v>
      </c>
      <c r="K56" s="57">
        <v>14703.619999999999</v>
      </c>
      <c r="L56" s="58">
        <v>5.723017538373106E-4</v>
      </c>
      <c r="M56" s="58">
        <v>0.6607834683507684</v>
      </c>
      <c r="N56" s="59" t="s">
        <v>2419</v>
      </c>
    </row>
    <row r="57" spans="1:14" ht="30" x14ac:dyDescent="0.2">
      <c r="A57" s="54">
        <v>51</v>
      </c>
      <c r="B57" s="55">
        <v>49</v>
      </c>
      <c r="C57" s="55" t="s">
        <v>561</v>
      </c>
      <c r="D57" s="55" t="s">
        <v>32</v>
      </c>
      <c r="E57" s="56" t="s">
        <v>562</v>
      </c>
      <c r="F57" s="55" t="s">
        <v>268</v>
      </c>
      <c r="G57" s="57">
        <v>6700.64</v>
      </c>
      <c r="H57" s="57">
        <v>13.23</v>
      </c>
      <c r="I57" s="57">
        <v>16.04</v>
      </c>
      <c r="J57" s="58">
        <v>0.2122</v>
      </c>
      <c r="K57" s="57">
        <v>107478.26000000001</v>
      </c>
      <c r="L57" s="58">
        <v>4.1833233378843091E-3</v>
      </c>
      <c r="M57" s="58">
        <v>0.66496679168865269</v>
      </c>
      <c r="N57" s="59" t="s">
        <v>2419</v>
      </c>
    </row>
    <row r="58" spans="1:14" x14ac:dyDescent="0.2">
      <c r="A58" s="54">
        <v>52</v>
      </c>
      <c r="B58" s="55">
        <v>124</v>
      </c>
      <c r="C58" s="55" t="s">
        <v>256</v>
      </c>
      <c r="D58" s="55" t="s">
        <v>257</v>
      </c>
      <c r="E58" s="56" t="s">
        <v>258</v>
      </c>
      <c r="F58" s="55" t="s">
        <v>194</v>
      </c>
      <c r="G58" s="57">
        <v>672.74</v>
      </c>
      <c r="H58" s="57">
        <v>82.29</v>
      </c>
      <c r="I58" s="57">
        <v>99.75</v>
      </c>
      <c r="J58" s="58">
        <v>0.2122</v>
      </c>
      <c r="K58" s="57">
        <v>67105.799999999988</v>
      </c>
      <c r="L58" s="58">
        <v>2.6119259769128824E-3</v>
      </c>
      <c r="M58" s="58">
        <v>0.66757871766556554</v>
      </c>
      <c r="N58" s="59" t="s">
        <v>2419</v>
      </c>
    </row>
    <row r="59" spans="1:14" x14ac:dyDescent="0.2">
      <c r="A59" s="54">
        <v>53</v>
      </c>
      <c r="B59" s="55">
        <v>37</v>
      </c>
      <c r="C59" s="55" t="s">
        <v>233</v>
      </c>
      <c r="D59" s="55" t="s">
        <v>125</v>
      </c>
      <c r="E59" s="56" t="s">
        <v>4450</v>
      </c>
      <c r="F59" s="55" t="s">
        <v>268</v>
      </c>
      <c r="G59" s="57">
        <v>138.97217155115879</v>
      </c>
      <c r="H59" s="57">
        <v>626.30999999999995</v>
      </c>
      <c r="I59" s="57">
        <v>759.21</v>
      </c>
      <c r="J59" s="58">
        <v>0.2122</v>
      </c>
      <c r="K59" s="57">
        <v>105509.01999999999</v>
      </c>
      <c r="L59" s="58">
        <v>4.1066755800038277E-3</v>
      </c>
      <c r="M59" s="58">
        <v>0.67168539324556942</v>
      </c>
      <c r="N59" s="59" t="s">
        <v>2419</v>
      </c>
    </row>
    <row r="60" spans="1:14" ht="30" x14ac:dyDescent="0.2">
      <c r="A60" s="54">
        <v>54</v>
      </c>
      <c r="B60" s="55">
        <v>50</v>
      </c>
      <c r="C60" s="55" t="s">
        <v>303</v>
      </c>
      <c r="D60" s="55" t="s">
        <v>32</v>
      </c>
      <c r="E60" s="56" t="s">
        <v>4419</v>
      </c>
      <c r="F60" s="55" t="s">
        <v>268</v>
      </c>
      <c r="G60" s="57">
        <v>1305.6548558932304</v>
      </c>
      <c r="H60" s="57">
        <v>9.31</v>
      </c>
      <c r="I60" s="57">
        <v>11.29</v>
      </c>
      <c r="J60" s="58">
        <v>0.2122</v>
      </c>
      <c r="K60" s="57">
        <v>14740.83</v>
      </c>
      <c r="L60" s="58">
        <v>5.737500603264804E-4</v>
      </c>
      <c r="M60" s="58">
        <v>0.67225914330589587</v>
      </c>
      <c r="N60" s="59" t="s">
        <v>2419</v>
      </c>
    </row>
    <row r="61" spans="1:14" ht="20" x14ac:dyDescent="0.2">
      <c r="A61" s="54">
        <v>55</v>
      </c>
      <c r="B61" s="55">
        <v>139</v>
      </c>
      <c r="C61" s="55" t="s">
        <v>766</v>
      </c>
      <c r="D61" s="55" t="s">
        <v>32</v>
      </c>
      <c r="E61" s="56" t="s">
        <v>767</v>
      </c>
      <c r="F61" s="55" t="s">
        <v>194</v>
      </c>
      <c r="G61" s="57">
        <v>335.07701535386445</v>
      </c>
      <c r="H61" s="57">
        <v>758.46</v>
      </c>
      <c r="I61" s="57">
        <v>842.65</v>
      </c>
      <c r="J61" s="58">
        <v>0.111</v>
      </c>
      <c r="K61" s="57">
        <v>282352.64000000001</v>
      </c>
      <c r="L61" s="58">
        <v>1.0989872634942607E-2</v>
      </c>
      <c r="M61" s="58">
        <v>0.68324901594083842</v>
      </c>
      <c r="N61" s="59" t="s">
        <v>2419</v>
      </c>
    </row>
    <row r="62" spans="1:14" ht="30" x14ac:dyDescent="0.2">
      <c r="A62" s="54">
        <v>56</v>
      </c>
      <c r="B62" s="55">
        <v>6</v>
      </c>
      <c r="C62" s="55" t="s">
        <v>408</v>
      </c>
      <c r="D62" s="55" t="s">
        <v>32</v>
      </c>
      <c r="E62" s="56" t="s">
        <v>4434</v>
      </c>
      <c r="F62" s="55" t="s">
        <v>194</v>
      </c>
      <c r="G62" s="57">
        <v>612.45590239000319</v>
      </c>
      <c r="H62" s="57">
        <v>133.19</v>
      </c>
      <c r="I62" s="57">
        <v>161.44999999999999</v>
      </c>
      <c r="J62" s="58">
        <v>0.2122</v>
      </c>
      <c r="K62" s="57">
        <v>98880.98</v>
      </c>
      <c r="L62" s="58">
        <v>3.8486956460485268E-3</v>
      </c>
      <c r="M62" s="58">
        <v>0.68709771158688693</v>
      </c>
      <c r="N62" s="59" t="s">
        <v>2419</v>
      </c>
    </row>
    <row r="63" spans="1:14" ht="30" x14ac:dyDescent="0.2">
      <c r="A63" s="54">
        <v>57</v>
      </c>
      <c r="B63" s="55">
        <v>10</v>
      </c>
      <c r="C63" s="55" t="s">
        <v>402</v>
      </c>
      <c r="D63" s="55" t="s">
        <v>32</v>
      </c>
      <c r="E63" s="56" t="s">
        <v>4431</v>
      </c>
      <c r="F63" s="55" t="s">
        <v>194</v>
      </c>
      <c r="G63" s="57">
        <v>1325.362383094686</v>
      </c>
      <c r="H63" s="57">
        <v>60.45</v>
      </c>
      <c r="I63" s="57">
        <v>73.28</v>
      </c>
      <c r="J63" s="58">
        <v>0.2122</v>
      </c>
      <c r="K63" s="57">
        <v>97122.530000000013</v>
      </c>
      <c r="L63" s="58">
        <v>3.7802523634395358E-3</v>
      </c>
      <c r="M63" s="58">
        <v>0.69087796395032641</v>
      </c>
      <c r="N63" s="59" t="s">
        <v>2419</v>
      </c>
    </row>
    <row r="64" spans="1:14" ht="20" x14ac:dyDescent="0.2">
      <c r="A64" s="54">
        <v>58</v>
      </c>
      <c r="B64" s="55">
        <v>89</v>
      </c>
      <c r="C64" s="55" t="s">
        <v>509</v>
      </c>
      <c r="D64" s="55" t="s">
        <v>125</v>
      </c>
      <c r="E64" s="56" t="s">
        <v>4236</v>
      </c>
      <c r="F64" s="55" t="s">
        <v>1332</v>
      </c>
      <c r="G64" s="57">
        <v>3837.77</v>
      </c>
      <c r="H64" s="57">
        <v>93.65</v>
      </c>
      <c r="I64" s="57">
        <v>113.52</v>
      </c>
      <c r="J64" s="58">
        <v>0.2122</v>
      </c>
      <c r="K64" s="57">
        <v>435663.63</v>
      </c>
      <c r="L64" s="58">
        <v>1.6957120731638142E-2</v>
      </c>
      <c r="M64" s="58">
        <v>0.70783508468196454</v>
      </c>
      <c r="N64" s="59" t="s">
        <v>2419</v>
      </c>
    </row>
    <row r="65" spans="1:14" ht="20" x14ac:dyDescent="0.2">
      <c r="A65" s="54">
        <v>59</v>
      </c>
      <c r="B65" s="55">
        <v>34</v>
      </c>
      <c r="C65" s="55" t="s">
        <v>386</v>
      </c>
      <c r="D65" s="55" t="s">
        <v>4210</v>
      </c>
      <c r="E65" s="56" t="s">
        <v>387</v>
      </c>
      <c r="F65" s="55" t="s">
        <v>268</v>
      </c>
      <c r="G65" s="57">
        <v>599.19397822153792</v>
      </c>
      <c r="H65" s="57">
        <v>124.59</v>
      </c>
      <c r="I65" s="57">
        <v>151.03</v>
      </c>
      <c r="J65" s="58">
        <v>0.2122</v>
      </c>
      <c r="K65" s="57">
        <v>90496.2</v>
      </c>
      <c r="L65" s="58">
        <v>3.5223389869713738E-3</v>
      </c>
      <c r="M65" s="58">
        <v>0.71135742366893595</v>
      </c>
      <c r="N65" s="59" t="s">
        <v>2419</v>
      </c>
    </row>
    <row r="66" spans="1:14" ht="20" x14ac:dyDescent="0.2">
      <c r="A66" s="54">
        <v>60</v>
      </c>
      <c r="B66" s="55">
        <v>140</v>
      </c>
      <c r="C66" s="55" t="s">
        <v>448</v>
      </c>
      <c r="D66" s="55" t="s">
        <v>32</v>
      </c>
      <c r="E66" s="56" t="s">
        <v>449</v>
      </c>
      <c r="F66" s="55" t="s">
        <v>194</v>
      </c>
      <c r="G66" s="57">
        <v>1220.1819492310494</v>
      </c>
      <c r="H66" s="57">
        <v>1089.02</v>
      </c>
      <c r="I66" s="57">
        <v>1209.9000000000001</v>
      </c>
      <c r="J66" s="58">
        <v>0.111</v>
      </c>
      <c r="K66" s="57">
        <v>1476298.13</v>
      </c>
      <c r="L66" s="58">
        <v>5.7461224445799201E-2</v>
      </c>
      <c r="M66" s="58">
        <v>0.7688186481147351</v>
      </c>
      <c r="N66" s="59" t="s">
        <v>2419</v>
      </c>
    </row>
    <row r="67" spans="1:14" ht="20" x14ac:dyDescent="0.2">
      <c r="A67" s="54">
        <v>61</v>
      </c>
      <c r="B67" s="55">
        <v>135</v>
      </c>
      <c r="C67" s="55" t="s">
        <v>442</v>
      </c>
      <c r="D67" s="55" t="s">
        <v>32</v>
      </c>
      <c r="E67" s="56" t="s">
        <v>443</v>
      </c>
      <c r="F67" s="55" t="s">
        <v>194</v>
      </c>
      <c r="G67" s="57">
        <v>288.57888703613872</v>
      </c>
      <c r="H67" s="57">
        <v>702.69</v>
      </c>
      <c r="I67" s="57">
        <v>780.69</v>
      </c>
      <c r="J67" s="58">
        <v>0.111</v>
      </c>
      <c r="K67" s="57">
        <v>225290.62999999998</v>
      </c>
      <c r="L67" s="58">
        <v>8.7688761456098992E-3</v>
      </c>
      <c r="M67" s="58">
        <v>0.77758752426034505</v>
      </c>
      <c r="N67" s="59" t="s">
        <v>2419</v>
      </c>
    </row>
    <row r="68" spans="1:14" ht="20" x14ac:dyDescent="0.2">
      <c r="A68" s="54">
        <v>62</v>
      </c>
      <c r="B68" s="55">
        <v>17</v>
      </c>
      <c r="C68" s="55" t="s">
        <v>116</v>
      </c>
      <c r="D68" s="55" t="s">
        <v>32</v>
      </c>
      <c r="E68" s="56" t="s">
        <v>117</v>
      </c>
      <c r="F68" s="55" t="s">
        <v>268</v>
      </c>
      <c r="G68" s="57">
        <v>7692.3233113783999</v>
      </c>
      <c r="H68" s="57">
        <v>8.81</v>
      </c>
      <c r="I68" s="57">
        <v>10.68</v>
      </c>
      <c r="J68" s="58">
        <v>0.2122</v>
      </c>
      <c r="K68" s="57">
        <v>82153.890000000014</v>
      </c>
      <c r="L68" s="58">
        <v>3.1976353667707343E-3</v>
      </c>
      <c r="M68" s="58">
        <v>0.78078515962711581</v>
      </c>
      <c r="N68" s="59" t="s">
        <v>2419</v>
      </c>
    </row>
    <row r="69" spans="1:14" ht="20" x14ac:dyDescent="0.2">
      <c r="A69" s="54">
        <v>63</v>
      </c>
      <c r="B69" s="55">
        <v>1</v>
      </c>
      <c r="C69" s="55" t="s">
        <v>1386</v>
      </c>
      <c r="D69" s="55" t="s">
        <v>32</v>
      </c>
      <c r="E69" s="56" t="s">
        <v>1387</v>
      </c>
      <c r="F69" s="55" t="s">
        <v>194</v>
      </c>
      <c r="G69" s="57">
        <v>411.3</v>
      </c>
      <c r="H69" s="57">
        <v>160.28</v>
      </c>
      <c r="I69" s="57">
        <v>194.29</v>
      </c>
      <c r="J69" s="58">
        <v>0.2122</v>
      </c>
      <c r="K69" s="57">
        <v>79911.47</v>
      </c>
      <c r="L69" s="58">
        <v>3.1103547584008318E-3</v>
      </c>
      <c r="M69" s="58">
        <v>0.78389551438551663</v>
      </c>
      <c r="N69" s="59" t="s">
        <v>2419</v>
      </c>
    </row>
    <row r="70" spans="1:14" ht="30" x14ac:dyDescent="0.2">
      <c r="A70" s="54">
        <v>64</v>
      </c>
      <c r="B70" s="55">
        <v>117</v>
      </c>
      <c r="C70" s="55" t="s">
        <v>1388</v>
      </c>
      <c r="D70" s="55" t="s">
        <v>197</v>
      </c>
      <c r="E70" s="56" t="s">
        <v>1389</v>
      </c>
      <c r="F70" s="55" t="s">
        <v>1332</v>
      </c>
      <c r="G70" s="57">
        <v>11.5</v>
      </c>
      <c r="H70" s="57">
        <v>1232.32</v>
      </c>
      <c r="I70" s="57">
        <v>1493.82</v>
      </c>
      <c r="J70" s="58">
        <v>0.2122</v>
      </c>
      <c r="K70" s="57">
        <v>17178.93</v>
      </c>
      <c r="L70" s="58">
        <v>6.6864702488559908E-4</v>
      </c>
      <c r="M70" s="58">
        <v>0.78456416141040219</v>
      </c>
      <c r="N70" s="59" t="s">
        <v>2419</v>
      </c>
    </row>
    <row r="71" spans="1:14" ht="30" x14ac:dyDescent="0.2">
      <c r="A71" s="54">
        <v>65</v>
      </c>
      <c r="B71" s="55">
        <v>81</v>
      </c>
      <c r="C71" s="55" t="s">
        <v>353</v>
      </c>
      <c r="D71" s="55" t="s">
        <v>243</v>
      </c>
      <c r="E71" s="56" t="s">
        <v>4429</v>
      </c>
      <c r="F71" s="55" t="s">
        <v>1332</v>
      </c>
      <c r="G71" s="57">
        <v>173.86311487784388</v>
      </c>
      <c r="H71" s="57">
        <v>35.18</v>
      </c>
      <c r="I71" s="57">
        <v>42.65</v>
      </c>
      <c r="J71" s="58">
        <v>0.2122</v>
      </c>
      <c r="K71" s="57">
        <v>7415.25</v>
      </c>
      <c r="L71" s="58">
        <v>2.8862012076904311E-4</v>
      </c>
      <c r="M71" s="58">
        <v>0.78485278153117122</v>
      </c>
      <c r="N71" s="59" t="s">
        <v>2419</v>
      </c>
    </row>
    <row r="72" spans="1:14" x14ac:dyDescent="0.2">
      <c r="A72" s="54">
        <v>66</v>
      </c>
      <c r="B72" s="55">
        <v>123</v>
      </c>
      <c r="C72" s="55" t="s">
        <v>573</v>
      </c>
      <c r="D72" s="55" t="s">
        <v>125</v>
      </c>
      <c r="E72" s="56" t="s">
        <v>4237</v>
      </c>
      <c r="F72" s="55" t="s">
        <v>1332</v>
      </c>
      <c r="G72" s="57">
        <v>9623.3499999999985</v>
      </c>
      <c r="H72" s="57">
        <v>1.1399999999999999</v>
      </c>
      <c r="I72" s="57">
        <v>1.38</v>
      </c>
      <c r="J72" s="58">
        <v>0.2122</v>
      </c>
      <c r="K72" s="57">
        <v>13280.21</v>
      </c>
      <c r="L72" s="58">
        <v>5.1689906800691198E-4</v>
      </c>
      <c r="M72" s="58">
        <v>0.78536968059917811</v>
      </c>
      <c r="N72" s="59" t="s">
        <v>2419</v>
      </c>
    </row>
    <row r="73" spans="1:14" ht="20" x14ac:dyDescent="0.2">
      <c r="A73" s="54">
        <v>67</v>
      </c>
      <c r="B73" s="55">
        <v>28</v>
      </c>
      <c r="C73" s="55" t="s">
        <v>529</v>
      </c>
      <c r="D73" s="55" t="s">
        <v>32</v>
      </c>
      <c r="E73" s="56" t="s">
        <v>530</v>
      </c>
      <c r="F73" s="55" t="s">
        <v>268</v>
      </c>
      <c r="G73" s="57">
        <v>130.15</v>
      </c>
      <c r="H73" s="57">
        <v>430.64</v>
      </c>
      <c r="I73" s="57">
        <v>522.02</v>
      </c>
      <c r="J73" s="58">
        <v>0.2122</v>
      </c>
      <c r="K73" s="57">
        <v>67940.87</v>
      </c>
      <c r="L73" s="58">
        <v>2.6444289949164031E-3</v>
      </c>
      <c r="M73" s="58">
        <v>0.78801410959409446</v>
      </c>
      <c r="N73" s="59" t="s">
        <v>2419</v>
      </c>
    </row>
    <row r="74" spans="1:14" ht="20" x14ac:dyDescent="0.2">
      <c r="A74" s="54">
        <v>68</v>
      </c>
      <c r="B74" s="55">
        <v>104</v>
      </c>
      <c r="C74" s="55" t="s">
        <v>145</v>
      </c>
      <c r="D74" s="55" t="s">
        <v>32</v>
      </c>
      <c r="E74" s="56" t="s">
        <v>4405</v>
      </c>
      <c r="F74" s="55" t="s">
        <v>1332</v>
      </c>
      <c r="G74" s="57">
        <v>15625.130000000001</v>
      </c>
      <c r="H74" s="57">
        <v>0.65</v>
      </c>
      <c r="I74" s="57">
        <v>0.79</v>
      </c>
      <c r="J74" s="58">
        <v>0.2122</v>
      </c>
      <c r="K74" s="57">
        <v>12343.84</v>
      </c>
      <c r="L74" s="58">
        <v>4.8045320003421943E-4</v>
      </c>
      <c r="M74" s="58">
        <v>0.78849456279412866</v>
      </c>
      <c r="N74" s="59" t="s">
        <v>2419</v>
      </c>
    </row>
    <row r="75" spans="1:14" ht="30" x14ac:dyDescent="0.2">
      <c r="A75" s="54">
        <v>69</v>
      </c>
      <c r="B75" s="55">
        <v>60</v>
      </c>
      <c r="C75" s="55" t="s">
        <v>287</v>
      </c>
      <c r="D75" s="55" t="s">
        <v>32</v>
      </c>
      <c r="E75" s="56" t="s">
        <v>4412</v>
      </c>
      <c r="F75" s="55" t="s">
        <v>268</v>
      </c>
      <c r="G75" s="57">
        <v>3.6133345332620621</v>
      </c>
      <c r="H75" s="57">
        <v>14.94</v>
      </c>
      <c r="I75" s="57">
        <v>18.11</v>
      </c>
      <c r="J75" s="58">
        <v>0.2122</v>
      </c>
      <c r="K75" s="57">
        <v>65.430000000000007</v>
      </c>
      <c r="L75" s="58">
        <v>2.5466996395156594E-6</v>
      </c>
      <c r="M75" s="58">
        <v>0.78849710949376817</v>
      </c>
      <c r="N75" s="59" t="s">
        <v>2419</v>
      </c>
    </row>
    <row r="76" spans="1:14" x14ac:dyDescent="0.2">
      <c r="A76" s="54">
        <v>70</v>
      </c>
      <c r="B76" s="55">
        <v>122</v>
      </c>
      <c r="C76" s="55" t="s">
        <v>260</v>
      </c>
      <c r="D76" s="55" t="s">
        <v>257</v>
      </c>
      <c r="E76" s="56" t="s">
        <v>4230</v>
      </c>
      <c r="F76" s="55" t="s">
        <v>194</v>
      </c>
      <c r="G76" s="57">
        <v>170.5</v>
      </c>
      <c r="H76" s="57">
        <v>69.680000000000007</v>
      </c>
      <c r="I76" s="57">
        <v>84.47</v>
      </c>
      <c r="J76" s="58">
        <v>0.2122</v>
      </c>
      <c r="K76" s="57">
        <v>14402.130000000001</v>
      </c>
      <c r="L76" s="58">
        <v>5.6056700717190379E-4</v>
      </c>
      <c r="M76" s="58">
        <v>0.78905767650094005</v>
      </c>
      <c r="N76" s="59" t="s">
        <v>2419</v>
      </c>
    </row>
    <row r="77" spans="1:14" ht="20" x14ac:dyDescent="0.2">
      <c r="A77" s="54">
        <v>71</v>
      </c>
      <c r="B77" s="55">
        <v>134</v>
      </c>
      <c r="C77" s="55" t="s">
        <v>433</v>
      </c>
      <c r="D77" s="55" t="s">
        <v>32</v>
      </c>
      <c r="E77" s="56" t="s">
        <v>434</v>
      </c>
      <c r="F77" s="55" t="s">
        <v>194</v>
      </c>
      <c r="G77" s="57">
        <v>615.90999999996461</v>
      </c>
      <c r="H77" s="57">
        <v>470.49</v>
      </c>
      <c r="I77" s="57">
        <v>522.71</v>
      </c>
      <c r="J77" s="58">
        <v>0.111</v>
      </c>
      <c r="K77" s="57">
        <v>321942.30000000005</v>
      </c>
      <c r="L77" s="58">
        <v>1.25308014573566E-2</v>
      </c>
      <c r="M77" s="58">
        <v>0.80158847795829669</v>
      </c>
      <c r="N77" s="59" t="s">
        <v>2420</v>
      </c>
    </row>
    <row r="78" spans="1:14" ht="20" x14ac:dyDescent="0.2">
      <c r="A78" s="54">
        <v>72</v>
      </c>
      <c r="B78" s="55">
        <v>24</v>
      </c>
      <c r="C78" s="55" t="s">
        <v>539</v>
      </c>
      <c r="D78" s="55" t="s">
        <v>32</v>
      </c>
      <c r="E78" s="56" t="s">
        <v>540</v>
      </c>
      <c r="F78" s="55" t="s">
        <v>194</v>
      </c>
      <c r="G78" s="57">
        <v>168.21600000000004</v>
      </c>
      <c r="H78" s="57">
        <v>300.54000000000002</v>
      </c>
      <c r="I78" s="57">
        <v>364.31</v>
      </c>
      <c r="J78" s="58">
        <v>0.2122</v>
      </c>
      <c r="K78" s="57">
        <v>61282.73</v>
      </c>
      <c r="L78" s="58">
        <v>2.3852774934974091E-3</v>
      </c>
      <c r="M78" s="58">
        <v>0.80397375545179406</v>
      </c>
      <c r="N78" s="59" t="s">
        <v>2420</v>
      </c>
    </row>
    <row r="79" spans="1:14" x14ac:dyDescent="0.2">
      <c r="A79" s="54">
        <v>73</v>
      </c>
      <c r="B79" s="55">
        <v>83</v>
      </c>
      <c r="C79" s="55" t="s">
        <v>324</v>
      </c>
      <c r="D79" s="55" t="s">
        <v>32</v>
      </c>
      <c r="E79" s="56" t="s">
        <v>4422</v>
      </c>
      <c r="F79" s="55" t="s">
        <v>268</v>
      </c>
      <c r="G79" s="57">
        <v>45180.272895147318</v>
      </c>
      <c r="H79" s="57">
        <v>1.37</v>
      </c>
      <c r="I79" s="57">
        <v>1.66</v>
      </c>
      <c r="J79" s="58">
        <v>0.2122</v>
      </c>
      <c r="K79" s="57">
        <v>74999.19</v>
      </c>
      <c r="L79" s="58">
        <v>2.9191565052264471E-3</v>
      </c>
      <c r="M79" s="58">
        <v>0.80689291195702051</v>
      </c>
      <c r="N79" s="59" t="s">
        <v>2420</v>
      </c>
    </row>
    <row r="80" spans="1:14" ht="20" x14ac:dyDescent="0.2">
      <c r="A80" s="54">
        <v>74</v>
      </c>
      <c r="B80" s="55">
        <v>142</v>
      </c>
      <c r="C80" s="55" t="s">
        <v>427</v>
      </c>
      <c r="D80" s="55" t="s">
        <v>32</v>
      </c>
      <c r="E80" s="56" t="s">
        <v>428</v>
      </c>
      <c r="F80" s="55" t="s">
        <v>194</v>
      </c>
      <c r="G80" s="57">
        <v>189.87999999939237</v>
      </c>
      <c r="H80" s="57">
        <v>390.38</v>
      </c>
      <c r="I80" s="57">
        <v>433.71</v>
      </c>
      <c r="J80" s="58">
        <v>0.111</v>
      </c>
      <c r="K80" s="57">
        <v>82352.84</v>
      </c>
      <c r="L80" s="58">
        <v>3.2053789995581655E-3</v>
      </c>
      <c r="M80" s="58">
        <v>0.8100982909565787</v>
      </c>
      <c r="N80" s="59" t="s">
        <v>2420</v>
      </c>
    </row>
    <row r="81" spans="1:14" ht="20" x14ac:dyDescent="0.2">
      <c r="A81" s="54">
        <v>75</v>
      </c>
      <c r="B81" s="55">
        <v>84</v>
      </c>
      <c r="C81" s="55" t="s">
        <v>254</v>
      </c>
      <c r="D81" s="55" t="s">
        <v>32</v>
      </c>
      <c r="E81" s="56" t="s">
        <v>4229</v>
      </c>
      <c r="F81" s="55" t="s">
        <v>268</v>
      </c>
      <c r="G81" s="57">
        <v>36.933008000000015</v>
      </c>
      <c r="H81" s="57">
        <v>767.76</v>
      </c>
      <c r="I81" s="57">
        <v>930.68</v>
      </c>
      <c r="J81" s="58">
        <v>0.2122</v>
      </c>
      <c r="K81" s="57">
        <v>34372.79</v>
      </c>
      <c r="L81" s="58">
        <v>1.3378751628021926E-3</v>
      </c>
      <c r="M81" s="58">
        <v>0.81143616611938085</v>
      </c>
      <c r="N81" s="59" t="s">
        <v>2420</v>
      </c>
    </row>
    <row r="82" spans="1:14" x14ac:dyDescent="0.2">
      <c r="A82" s="54">
        <v>76</v>
      </c>
      <c r="B82" s="55">
        <v>127</v>
      </c>
      <c r="C82" s="55" t="s">
        <v>206</v>
      </c>
      <c r="D82" s="55" t="s">
        <v>197</v>
      </c>
      <c r="E82" s="56" t="s">
        <v>207</v>
      </c>
      <c r="F82" s="55" t="s">
        <v>89</v>
      </c>
      <c r="G82" s="57">
        <v>129</v>
      </c>
      <c r="H82" s="57">
        <v>2.76</v>
      </c>
      <c r="I82" s="57">
        <v>3.35</v>
      </c>
      <c r="J82" s="58">
        <v>0.2122</v>
      </c>
      <c r="K82" s="57">
        <v>432.15000000000003</v>
      </c>
      <c r="L82" s="58">
        <v>1.6820361443018373E-5</v>
      </c>
      <c r="M82" s="58">
        <v>0.81145298648082387</v>
      </c>
      <c r="N82" s="59" t="s">
        <v>2420</v>
      </c>
    </row>
    <row r="83" spans="1:14" ht="30" x14ac:dyDescent="0.2">
      <c r="A83" s="54">
        <v>77</v>
      </c>
      <c r="B83" s="55">
        <v>52</v>
      </c>
      <c r="C83" s="55" t="s">
        <v>303</v>
      </c>
      <c r="D83" s="55" t="s">
        <v>32</v>
      </c>
      <c r="E83" s="56" t="s">
        <v>4419</v>
      </c>
      <c r="F83" s="55" t="s">
        <v>268</v>
      </c>
      <c r="G83" s="57">
        <v>7389.4324506677522</v>
      </c>
      <c r="H83" s="57">
        <v>9.31</v>
      </c>
      <c r="I83" s="57">
        <v>11.29</v>
      </c>
      <c r="J83" s="58">
        <v>0.2122</v>
      </c>
      <c r="K83" s="57">
        <v>83426.67</v>
      </c>
      <c r="L83" s="58">
        <v>3.2471751553567454E-3</v>
      </c>
      <c r="M83" s="58">
        <v>0.81470016163618064</v>
      </c>
      <c r="N83" s="59" t="s">
        <v>2420</v>
      </c>
    </row>
    <row r="84" spans="1:14" ht="20" x14ac:dyDescent="0.2">
      <c r="A84" s="54">
        <v>78</v>
      </c>
      <c r="B84" s="55">
        <v>95</v>
      </c>
      <c r="C84" s="55" t="s">
        <v>1344</v>
      </c>
      <c r="D84" s="55" t="s">
        <v>125</v>
      </c>
      <c r="E84" s="56" t="s">
        <v>1345</v>
      </c>
      <c r="F84" s="55" t="s">
        <v>268</v>
      </c>
      <c r="G84" s="57">
        <v>16.5</v>
      </c>
      <c r="H84" s="57">
        <v>1035.27</v>
      </c>
      <c r="I84" s="57">
        <v>1254.95</v>
      </c>
      <c r="J84" s="58">
        <v>0.2122</v>
      </c>
      <c r="K84" s="57">
        <v>20706.669999999998</v>
      </c>
      <c r="L84" s="58">
        <v>8.0595551008053967E-4</v>
      </c>
      <c r="M84" s="58">
        <v>0.8155061171462612</v>
      </c>
      <c r="N84" s="59" t="s">
        <v>2420</v>
      </c>
    </row>
    <row r="85" spans="1:14" ht="20" x14ac:dyDescent="0.2">
      <c r="A85" s="54">
        <v>79</v>
      </c>
      <c r="B85" s="55">
        <v>85</v>
      </c>
      <c r="C85" s="55" t="s">
        <v>500</v>
      </c>
      <c r="D85" s="55" t="s">
        <v>32</v>
      </c>
      <c r="E85" s="56" t="s">
        <v>4440</v>
      </c>
      <c r="F85" s="55" t="s">
        <v>194</v>
      </c>
      <c r="G85" s="57">
        <v>654.30999999999995</v>
      </c>
      <c r="H85" s="57">
        <v>77.209999999999994</v>
      </c>
      <c r="I85" s="57">
        <v>93.59</v>
      </c>
      <c r="J85" s="58">
        <v>0.2122</v>
      </c>
      <c r="K85" s="57">
        <v>61236.85</v>
      </c>
      <c r="L85" s="58">
        <v>2.3834917288716871E-3</v>
      </c>
      <c r="M85" s="58">
        <v>0.81788960887513285</v>
      </c>
      <c r="N85" s="59" t="s">
        <v>2420</v>
      </c>
    </row>
    <row r="86" spans="1:14" ht="20" x14ac:dyDescent="0.2">
      <c r="A86" s="54">
        <v>80</v>
      </c>
      <c r="B86" s="55">
        <v>75</v>
      </c>
      <c r="C86" s="55" t="s">
        <v>349</v>
      </c>
      <c r="D86" s="55" t="s">
        <v>243</v>
      </c>
      <c r="E86" s="56" t="s">
        <v>4427</v>
      </c>
      <c r="F86" s="55" t="s">
        <v>1332</v>
      </c>
      <c r="G86" s="57">
        <v>4993.3363269028077</v>
      </c>
      <c r="H86" s="57">
        <v>59.71</v>
      </c>
      <c r="I86" s="57">
        <v>72.38</v>
      </c>
      <c r="J86" s="58">
        <v>0.2122</v>
      </c>
      <c r="K86" s="57">
        <v>361417.66000000003</v>
      </c>
      <c r="L86" s="58">
        <v>1.4067281437209127E-2</v>
      </c>
      <c r="M86" s="58">
        <v>0.83195689031234199</v>
      </c>
      <c r="N86" s="59" t="s">
        <v>2420</v>
      </c>
    </row>
    <row r="87" spans="1:14" x14ac:dyDescent="0.2">
      <c r="A87" s="54">
        <v>81</v>
      </c>
      <c r="B87" s="55">
        <v>27</v>
      </c>
      <c r="C87" s="55" t="s">
        <v>576</v>
      </c>
      <c r="D87" s="55" t="s">
        <v>125</v>
      </c>
      <c r="E87" s="56" t="s">
        <v>1898</v>
      </c>
      <c r="F87" s="55" t="s">
        <v>268</v>
      </c>
      <c r="G87" s="57">
        <v>3913.0171102602558</v>
      </c>
      <c r="H87" s="57">
        <v>8.59</v>
      </c>
      <c r="I87" s="57">
        <v>10.41</v>
      </c>
      <c r="J87" s="58">
        <v>0.2122</v>
      </c>
      <c r="K87" s="57">
        <v>40734.49</v>
      </c>
      <c r="L87" s="58">
        <v>1.5854884762166318E-3</v>
      </c>
      <c r="M87" s="58">
        <v>0.83354237878855864</v>
      </c>
      <c r="N87" s="59" t="s">
        <v>2420</v>
      </c>
    </row>
    <row r="88" spans="1:14" ht="30" x14ac:dyDescent="0.2">
      <c r="A88" s="54">
        <v>82</v>
      </c>
      <c r="B88" s="55">
        <v>9</v>
      </c>
      <c r="C88" s="55" t="s">
        <v>519</v>
      </c>
      <c r="D88" s="55" t="s">
        <v>32</v>
      </c>
      <c r="E88" s="56" t="s">
        <v>4441</v>
      </c>
      <c r="F88" s="55" t="s">
        <v>194</v>
      </c>
      <c r="G88" s="57">
        <v>918.42000000000007</v>
      </c>
      <c r="H88" s="57">
        <v>38.11</v>
      </c>
      <c r="I88" s="57">
        <v>46.2</v>
      </c>
      <c r="J88" s="58">
        <v>0.2122</v>
      </c>
      <c r="K88" s="57">
        <v>42430.990000000005</v>
      </c>
      <c r="L88" s="58">
        <v>1.651520509510814E-3</v>
      </c>
      <c r="M88" s="58">
        <v>0.83519389929806942</v>
      </c>
      <c r="N88" s="59" t="s">
        <v>2420</v>
      </c>
    </row>
    <row r="89" spans="1:14" x14ac:dyDescent="0.2">
      <c r="A89" s="54">
        <v>83</v>
      </c>
      <c r="B89" s="55">
        <v>43</v>
      </c>
      <c r="C89" s="55" t="s">
        <v>372</v>
      </c>
      <c r="D89" s="55" t="s">
        <v>4210</v>
      </c>
      <c r="E89" s="56" t="s">
        <v>373</v>
      </c>
      <c r="F89" s="55" t="s">
        <v>381</v>
      </c>
      <c r="G89" s="57">
        <v>8.9440721657799642</v>
      </c>
      <c r="H89" s="57">
        <v>4033.08</v>
      </c>
      <c r="I89" s="57">
        <v>4480.75</v>
      </c>
      <c r="J89" s="58">
        <v>0.111</v>
      </c>
      <c r="K89" s="57">
        <v>40076.1</v>
      </c>
      <c r="L89" s="58">
        <v>1.5598622867674385E-3</v>
      </c>
      <c r="M89" s="58">
        <v>0.83675376158483683</v>
      </c>
      <c r="N89" s="59" t="s">
        <v>2420</v>
      </c>
    </row>
    <row r="90" spans="1:14" x14ac:dyDescent="0.2">
      <c r="A90" s="54">
        <v>84</v>
      </c>
      <c r="B90" s="55">
        <v>45</v>
      </c>
      <c r="C90" s="55" t="s">
        <v>584</v>
      </c>
      <c r="D90" s="55" t="s">
        <v>125</v>
      </c>
      <c r="E90" s="56" t="s">
        <v>1362</v>
      </c>
      <c r="F90" s="55" t="s">
        <v>1332</v>
      </c>
      <c r="G90" s="57">
        <v>3112.16</v>
      </c>
      <c r="H90" s="57">
        <v>10.38</v>
      </c>
      <c r="I90" s="57">
        <v>12.58</v>
      </c>
      <c r="J90" s="58">
        <v>0.2122</v>
      </c>
      <c r="K90" s="57">
        <v>39150.959999999999</v>
      </c>
      <c r="L90" s="58">
        <v>1.5238535185494726E-3</v>
      </c>
      <c r="M90" s="58">
        <v>0.83827761510338628</v>
      </c>
      <c r="N90" s="59" t="s">
        <v>2420</v>
      </c>
    </row>
    <row r="91" spans="1:14" x14ac:dyDescent="0.2">
      <c r="A91" s="54">
        <v>85</v>
      </c>
      <c r="B91" s="55">
        <v>15</v>
      </c>
      <c r="C91" s="55" t="s">
        <v>614</v>
      </c>
      <c r="D91" s="55" t="s">
        <v>243</v>
      </c>
      <c r="E91" s="56" t="s">
        <v>615</v>
      </c>
      <c r="F91" s="55" t="s">
        <v>89</v>
      </c>
      <c r="G91" s="57">
        <v>196</v>
      </c>
      <c r="H91" s="57">
        <v>165.13</v>
      </c>
      <c r="I91" s="57">
        <v>200.17</v>
      </c>
      <c r="J91" s="58">
        <v>0.2122</v>
      </c>
      <c r="K91" s="57">
        <v>39233.32</v>
      </c>
      <c r="L91" s="58">
        <v>1.5270591762341816E-3</v>
      </c>
      <c r="M91" s="58">
        <v>0.83980467427962047</v>
      </c>
      <c r="N91" s="59" t="s">
        <v>2420</v>
      </c>
    </row>
    <row r="92" spans="1:14" ht="30" x14ac:dyDescent="0.2">
      <c r="A92" s="54">
        <v>86</v>
      </c>
      <c r="B92" s="55">
        <v>11</v>
      </c>
      <c r="C92" s="55" t="s">
        <v>404</v>
      </c>
      <c r="D92" s="55" t="s">
        <v>32</v>
      </c>
      <c r="E92" s="56" t="s">
        <v>4432</v>
      </c>
      <c r="F92" s="55" t="s">
        <v>194</v>
      </c>
      <c r="G92" s="57">
        <v>374.16999999939236</v>
      </c>
      <c r="H92" s="57">
        <v>83.73</v>
      </c>
      <c r="I92" s="57">
        <v>101.5</v>
      </c>
      <c r="J92" s="58">
        <v>0.2122</v>
      </c>
      <c r="K92" s="57">
        <v>37978.239999999998</v>
      </c>
      <c r="L92" s="58">
        <v>1.4782083160238299E-3</v>
      </c>
      <c r="M92" s="58">
        <v>0.84128288259564432</v>
      </c>
      <c r="N92" s="59" t="s">
        <v>2420</v>
      </c>
    </row>
    <row r="93" spans="1:14" x14ac:dyDescent="0.2">
      <c r="A93" s="54">
        <v>87</v>
      </c>
      <c r="B93" s="55">
        <v>111</v>
      </c>
      <c r="C93" s="55" t="s">
        <v>369</v>
      </c>
      <c r="D93" s="55" t="s">
        <v>4210</v>
      </c>
      <c r="E93" s="56" t="s">
        <v>370</v>
      </c>
      <c r="F93" s="55" t="s">
        <v>1332</v>
      </c>
      <c r="G93" s="57">
        <v>19914.807607384595</v>
      </c>
      <c r="H93" s="57">
        <v>0.28000000000000003</v>
      </c>
      <c r="I93" s="57">
        <v>0.34</v>
      </c>
      <c r="J93" s="58">
        <v>0.2122</v>
      </c>
      <c r="K93" s="57">
        <v>6770.9800000000014</v>
      </c>
      <c r="L93" s="58">
        <v>2.6354351712009385E-4</v>
      </c>
      <c r="M93" s="58">
        <v>0.84154642611276442</v>
      </c>
      <c r="N93" s="59" t="s">
        <v>2420</v>
      </c>
    </row>
    <row r="94" spans="1:14" x14ac:dyDescent="0.2">
      <c r="A94" s="54">
        <v>88</v>
      </c>
      <c r="B94" s="55">
        <v>82</v>
      </c>
      <c r="C94" s="55" t="s">
        <v>328</v>
      </c>
      <c r="D94" s="55" t="s">
        <v>125</v>
      </c>
      <c r="E94" s="56" t="s">
        <v>329</v>
      </c>
      <c r="F94" s="55" t="s">
        <v>1901</v>
      </c>
      <c r="G94" s="57">
        <v>34.150300187926824</v>
      </c>
      <c r="H94" s="57">
        <v>13.66</v>
      </c>
      <c r="I94" s="57">
        <v>16.559999999999999</v>
      </c>
      <c r="J94" s="58">
        <v>0.2122</v>
      </c>
      <c r="K94" s="57">
        <v>565.49</v>
      </c>
      <c r="L94" s="58">
        <v>2.2010288539656277E-5</v>
      </c>
      <c r="M94" s="58">
        <v>0.84156843640130408</v>
      </c>
      <c r="N94" s="59" t="s">
        <v>2420</v>
      </c>
    </row>
    <row r="95" spans="1:14" ht="20" x14ac:dyDescent="0.2">
      <c r="A95" s="54">
        <v>89</v>
      </c>
      <c r="B95" s="55">
        <v>100</v>
      </c>
      <c r="C95" s="55" t="s">
        <v>180</v>
      </c>
      <c r="D95" s="55" t="s">
        <v>32</v>
      </c>
      <c r="E95" s="56" t="s">
        <v>181</v>
      </c>
      <c r="F95" s="55" t="s">
        <v>268</v>
      </c>
      <c r="G95" s="57">
        <v>1212.4320000000002</v>
      </c>
      <c r="H95" s="57">
        <v>326.63</v>
      </c>
      <c r="I95" s="57">
        <v>395.94</v>
      </c>
      <c r="J95" s="58">
        <v>0.2122</v>
      </c>
      <c r="K95" s="57">
        <v>480050.27000000008</v>
      </c>
      <c r="L95" s="58">
        <v>1.8684760042157956E-2</v>
      </c>
      <c r="M95" s="58">
        <v>0.86025319644346199</v>
      </c>
      <c r="N95" s="59" t="s">
        <v>2420</v>
      </c>
    </row>
    <row r="96" spans="1:14" x14ac:dyDescent="0.2">
      <c r="A96" s="54">
        <v>90</v>
      </c>
      <c r="B96" s="55">
        <v>107</v>
      </c>
      <c r="C96" s="55" t="s">
        <v>200</v>
      </c>
      <c r="D96" s="55" t="s">
        <v>197</v>
      </c>
      <c r="E96" s="56" t="s">
        <v>201</v>
      </c>
      <c r="F96" s="55" t="s">
        <v>1332</v>
      </c>
      <c r="G96" s="57">
        <v>64</v>
      </c>
      <c r="H96" s="57">
        <v>11.96</v>
      </c>
      <c r="I96" s="57">
        <v>14.5</v>
      </c>
      <c r="J96" s="58">
        <v>0.2122</v>
      </c>
      <c r="K96" s="57">
        <v>928</v>
      </c>
      <c r="L96" s="58">
        <v>3.6120086588270394E-5</v>
      </c>
      <c r="M96" s="58">
        <v>0.86028931653005025</v>
      </c>
      <c r="N96" s="59" t="s">
        <v>2420</v>
      </c>
    </row>
    <row r="97" spans="1:14" ht="20" x14ac:dyDescent="0.2">
      <c r="A97" s="54">
        <v>91</v>
      </c>
      <c r="B97" s="55">
        <v>22</v>
      </c>
      <c r="C97" s="55" t="s">
        <v>418</v>
      </c>
      <c r="D97" s="55" t="s">
        <v>32</v>
      </c>
      <c r="E97" s="56" t="s">
        <v>419</v>
      </c>
      <c r="F97" s="55" t="s">
        <v>381</v>
      </c>
      <c r="G97" s="57">
        <v>583.15944856166197</v>
      </c>
      <c r="H97" s="57">
        <v>44.31</v>
      </c>
      <c r="I97" s="57">
        <v>53.71</v>
      </c>
      <c r="J97" s="58">
        <v>0.2122</v>
      </c>
      <c r="K97" s="57">
        <v>31321.47</v>
      </c>
      <c r="L97" s="58">
        <v>1.2191101384395619E-3</v>
      </c>
      <c r="M97" s="58">
        <v>0.86150842666848981</v>
      </c>
      <c r="N97" s="59" t="s">
        <v>2420</v>
      </c>
    </row>
    <row r="98" spans="1:14" ht="20" x14ac:dyDescent="0.2">
      <c r="A98" s="54">
        <v>92</v>
      </c>
      <c r="B98" s="55">
        <v>32</v>
      </c>
      <c r="C98" s="55" t="s">
        <v>174</v>
      </c>
      <c r="D98" s="55" t="s">
        <v>32</v>
      </c>
      <c r="E98" s="56" t="s">
        <v>175</v>
      </c>
      <c r="F98" s="55" t="s">
        <v>268</v>
      </c>
      <c r="G98" s="57">
        <v>61.849999999999994</v>
      </c>
      <c r="H98" s="57">
        <v>403.4</v>
      </c>
      <c r="I98" s="57">
        <v>489</v>
      </c>
      <c r="J98" s="58">
        <v>0.2122</v>
      </c>
      <c r="K98" s="57">
        <v>30244.649999999998</v>
      </c>
      <c r="L98" s="58">
        <v>1.1771976043447544E-3</v>
      </c>
      <c r="M98" s="58">
        <v>0.86268562427283457</v>
      </c>
      <c r="N98" s="59" t="s">
        <v>2420</v>
      </c>
    </row>
    <row r="99" spans="1:14" ht="20" x14ac:dyDescent="0.2">
      <c r="A99" s="54">
        <v>93</v>
      </c>
      <c r="B99" s="55">
        <v>19</v>
      </c>
      <c r="C99" s="55" t="s">
        <v>430</v>
      </c>
      <c r="D99" s="55" t="s">
        <v>32</v>
      </c>
      <c r="E99" s="56" t="s">
        <v>431</v>
      </c>
      <c r="F99" s="55" t="s">
        <v>381</v>
      </c>
      <c r="G99" s="57">
        <v>1334.7863919392159</v>
      </c>
      <c r="H99" s="57">
        <v>17.7</v>
      </c>
      <c r="I99" s="57">
        <v>21.46</v>
      </c>
      <c r="J99" s="58">
        <v>0.2122</v>
      </c>
      <c r="K99" s="57">
        <v>28644.5</v>
      </c>
      <c r="L99" s="58">
        <v>1.1149157546096026E-3</v>
      </c>
      <c r="M99" s="58">
        <v>0.86380054002744422</v>
      </c>
      <c r="N99" s="59" t="s">
        <v>2420</v>
      </c>
    </row>
    <row r="100" spans="1:14" ht="20" x14ac:dyDescent="0.2">
      <c r="A100" s="54">
        <v>94</v>
      </c>
      <c r="B100" s="55">
        <v>30</v>
      </c>
      <c r="C100" s="55" t="s">
        <v>1366</v>
      </c>
      <c r="D100" s="55" t="s">
        <v>32</v>
      </c>
      <c r="E100" s="56" t="s">
        <v>1367</v>
      </c>
      <c r="F100" s="55" t="s">
        <v>268</v>
      </c>
      <c r="G100" s="57">
        <v>37.128</v>
      </c>
      <c r="H100" s="57">
        <v>542.6</v>
      </c>
      <c r="I100" s="57">
        <v>657.74</v>
      </c>
      <c r="J100" s="58">
        <v>0.2122</v>
      </c>
      <c r="K100" s="57">
        <v>24420.560000000001</v>
      </c>
      <c r="L100" s="58">
        <v>9.5050941997203934E-4</v>
      </c>
      <c r="M100" s="58">
        <v>0.86475104944741621</v>
      </c>
      <c r="N100" s="59" t="s">
        <v>2420</v>
      </c>
    </row>
    <row r="101" spans="1:14" ht="20" x14ac:dyDescent="0.2">
      <c r="A101" s="54">
        <v>95</v>
      </c>
      <c r="B101" s="55">
        <v>91</v>
      </c>
      <c r="C101" s="55" t="s">
        <v>1356</v>
      </c>
      <c r="D101" s="55" t="s">
        <v>221</v>
      </c>
      <c r="E101" s="56" t="s">
        <v>1357</v>
      </c>
      <c r="F101" s="55" t="s">
        <v>1332</v>
      </c>
      <c r="G101" s="57">
        <v>4807.18</v>
      </c>
      <c r="H101" s="57">
        <v>16.190000000000001</v>
      </c>
      <c r="I101" s="57">
        <v>19.63</v>
      </c>
      <c r="J101" s="58">
        <v>0.2122</v>
      </c>
      <c r="K101" s="57">
        <v>94364.94</v>
      </c>
      <c r="L101" s="58">
        <v>3.6729200470872201E-3</v>
      </c>
      <c r="M101" s="58">
        <v>0.8684239694945034</v>
      </c>
      <c r="N101" s="59" t="s">
        <v>2420</v>
      </c>
    </row>
    <row r="102" spans="1:14" ht="30" x14ac:dyDescent="0.2">
      <c r="A102" s="54">
        <v>96</v>
      </c>
      <c r="B102" s="55">
        <v>59</v>
      </c>
      <c r="C102" s="55" t="s">
        <v>284</v>
      </c>
      <c r="D102" s="55" t="s">
        <v>32</v>
      </c>
      <c r="E102" s="56" t="s">
        <v>4411</v>
      </c>
      <c r="F102" s="55" t="s">
        <v>268</v>
      </c>
      <c r="G102" s="57">
        <v>397.08680000000697</v>
      </c>
      <c r="H102" s="57">
        <v>11.8</v>
      </c>
      <c r="I102" s="57">
        <v>14.3</v>
      </c>
      <c r="J102" s="58">
        <v>0.2122</v>
      </c>
      <c r="K102" s="57">
        <v>5678.3099999999995</v>
      </c>
      <c r="L102" s="58">
        <v>2.2101406128776038E-4</v>
      </c>
      <c r="M102" s="58">
        <v>0.86864498355579112</v>
      </c>
      <c r="N102" s="59" t="s">
        <v>2420</v>
      </c>
    </row>
    <row r="103" spans="1:14" ht="30" x14ac:dyDescent="0.2">
      <c r="A103" s="54">
        <v>97</v>
      </c>
      <c r="B103" s="55">
        <v>56</v>
      </c>
      <c r="C103" s="55" t="s">
        <v>294</v>
      </c>
      <c r="D103" s="55" t="s">
        <v>32</v>
      </c>
      <c r="E103" s="56" t="s">
        <v>4415</v>
      </c>
      <c r="F103" s="55" t="s">
        <v>268</v>
      </c>
      <c r="G103" s="57">
        <v>983.25301300917772</v>
      </c>
      <c r="H103" s="57">
        <v>10.96</v>
      </c>
      <c r="I103" s="57">
        <v>13.29</v>
      </c>
      <c r="J103" s="58">
        <v>0.2122</v>
      </c>
      <c r="K103" s="57">
        <v>13067.420000000002</v>
      </c>
      <c r="L103" s="58">
        <v>5.0861674772122449E-4</v>
      </c>
      <c r="M103" s="58">
        <v>0.8691536003035123</v>
      </c>
      <c r="N103" s="59" t="s">
        <v>2420</v>
      </c>
    </row>
    <row r="104" spans="1:14" ht="20" x14ac:dyDescent="0.2">
      <c r="A104" s="54">
        <v>98</v>
      </c>
      <c r="B104" s="55">
        <v>93</v>
      </c>
      <c r="C104" s="55" t="s">
        <v>627</v>
      </c>
      <c r="D104" s="55" t="s">
        <v>221</v>
      </c>
      <c r="E104" s="56" t="s">
        <v>628</v>
      </c>
      <c r="F104" s="55" t="s">
        <v>89</v>
      </c>
      <c r="G104" s="57">
        <v>35</v>
      </c>
      <c r="H104" s="57">
        <v>541.14</v>
      </c>
      <c r="I104" s="57">
        <v>655.97</v>
      </c>
      <c r="J104" s="58">
        <v>0.2122</v>
      </c>
      <c r="K104" s="57">
        <v>22958.950000000004</v>
      </c>
      <c r="L104" s="58">
        <v>8.9361989437044252E-4</v>
      </c>
      <c r="M104" s="58">
        <v>0.87004722019788272</v>
      </c>
      <c r="N104" s="59" t="s">
        <v>2420</v>
      </c>
    </row>
    <row r="105" spans="1:14" ht="30" x14ac:dyDescent="0.2">
      <c r="A105" s="54">
        <v>99</v>
      </c>
      <c r="B105" s="55">
        <v>51</v>
      </c>
      <c r="C105" s="55">
        <v>90082</v>
      </c>
      <c r="D105" s="55" t="s">
        <v>32</v>
      </c>
      <c r="E105" s="56" t="s">
        <v>4419</v>
      </c>
      <c r="F105" s="55" t="s">
        <v>268</v>
      </c>
      <c r="G105" s="57">
        <v>11.145599999999998</v>
      </c>
      <c r="H105" s="57">
        <v>9.31</v>
      </c>
      <c r="I105" s="57">
        <v>11.29</v>
      </c>
      <c r="J105" s="58">
        <v>0.2122</v>
      </c>
      <c r="K105" s="57">
        <v>125.83</v>
      </c>
      <c r="L105" s="58">
        <v>4.8976190683211894E-6</v>
      </c>
      <c r="M105" s="58">
        <v>0.87005211781695102</v>
      </c>
      <c r="N105" s="59" t="s">
        <v>2420</v>
      </c>
    </row>
    <row r="106" spans="1:14" x14ac:dyDescent="0.2">
      <c r="A106" s="54">
        <v>100</v>
      </c>
      <c r="B106" s="55">
        <v>101</v>
      </c>
      <c r="C106" s="55" t="s">
        <v>1352</v>
      </c>
      <c r="D106" s="55" t="s">
        <v>125</v>
      </c>
      <c r="E106" s="56" t="s">
        <v>1353</v>
      </c>
      <c r="F106" s="55" t="s">
        <v>268</v>
      </c>
      <c r="G106" s="57">
        <v>4285.5358499999993</v>
      </c>
      <c r="H106" s="57">
        <v>130.54</v>
      </c>
      <c r="I106" s="57">
        <v>158.24</v>
      </c>
      <c r="J106" s="58">
        <v>0.2122</v>
      </c>
      <c r="K106" s="57">
        <v>678143.19</v>
      </c>
      <c r="L106" s="58">
        <v>2.6395033127204631E-2</v>
      </c>
      <c r="M106" s="58">
        <v>0.89644715094415561</v>
      </c>
      <c r="N106" s="59" t="s">
        <v>2420</v>
      </c>
    </row>
    <row r="107" spans="1:14" ht="20" x14ac:dyDescent="0.2">
      <c r="A107" s="54">
        <v>101</v>
      </c>
      <c r="B107" s="55">
        <v>68</v>
      </c>
      <c r="C107" s="55" t="s">
        <v>313</v>
      </c>
      <c r="D107" s="55" t="s">
        <v>4210</v>
      </c>
      <c r="E107" s="56" t="s">
        <v>314</v>
      </c>
      <c r="F107" s="55" t="s">
        <v>268</v>
      </c>
      <c r="G107" s="57">
        <v>5017.2822254383154</v>
      </c>
      <c r="H107" s="57">
        <v>17.96</v>
      </c>
      <c r="I107" s="57">
        <v>21.77</v>
      </c>
      <c r="J107" s="58">
        <v>0.2122</v>
      </c>
      <c r="K107" s="57">
        <v>109226.22</v>
      </c>
      <c r="L107" s="58">
        <v>4.2513583233938267E-3</v>
      </c>
      <c r="M107" s="58">
        <v>0.90069850926754946</v>
      </c>
      <c r="N107" s="59" t="s">
        <v>2420</v>
      </c>
    </row>
    <row r="108" spans="1:14" x14ac:dyDescent="0.2">
      <c r="A108" s="54">
        <v>102</v>
      </c>
      <c r="B108" s="55">
        <v>115</v>
      </c>
      <c r="C108" s="55" t="s">
        <v>596</v>
      </c>
      <c r="D108" s="55" t="s">
        <v>125</v>
      </c>
      <c r="E108" s="56" t="s">
        <v>4238</v>
      </c>
      <c r="F108" s="55" t="s">
        <v>1332</v>
      </c>
      <c r="G108" s="57">
        <v>2.88</v>
      </c>
      <c r="H108" s="57">
        <v>501.28</v>
      </c>
      <c r="I108" s="57">
        <v>607.65</v>
      </c>
      <c r="J108" s="58">
        <v>0.2122</v>
      </c>
      <c r="K108" s="57">
        <v>1750.03</v>
      </c>
      <c r="L108" s="58">
        <v>6.8115555099214256E-5</v>
      </c>
      <c r="M108" s="58">
        <v>0.90076662482264869</v>
      </c>
      <c r="N108" s="59" t="s">
        <v>2420</v>
      </c>
    </row>
    <row r="109" spans="1:14" ht="30" x14ac:dyDescent="0.2">
      <c r="A109" s="54">
        <v>103</v>
      </c>
      <c r="B109" s="55">
        <v>35</v>
      </c>
      <c r="C109" s="55" t="s">
        <v>250</v>
      </c>
      <c r="D109" s="55" t="s">
        <v>251</v>
      </c>
      <c r="E109" s="56" t="s">
        <v>4410</v>
      </c>
      <c r="F109" s="55" t="s">
        <v>252</v>
      </c>
      <c r="G109" s="57">
        <v>1130.2031999999999</v>
      </c>
      <c r="H109" s="57">
        <v>11.96</v>
      </c>
      <c r="I109" s="57">
        <v>14.5</v>
      </c>
      <c r="J109" s="58">
        <v>0.2122</v>
      </c>
      <c r="K109" s="57">
        <v>16387.919999999998</v>
      </c>
      <c r="L109" s="58">
        <v>6.3785893254487936E-4</v>
      </c>
      <c r="M109" s="58">
        <v>0.90140448375519355</v>
      </c>
      <c r="N109" s="59" t="s">
        <v>2420</v>
      </c>
    </row>
    <row r="110" spans="1:14" ht="30" x14ac:dyDescent="0.2">
      <c r="A110" s="54">
        <v>104</v>
      </c>
      <c r="B110" s="55">
        <v>64</v>
      </c>
      <c r="C110" s="55" t="s">
        <v>471</v>
      </c>
      <c r="D110" s="55" t="s">
        <v>32</v>
      </c>
      <c r="E110" s="56" t="s">
        <v>4438</v>
      </c>
      <c r="F110" s="55" t="s">
        <v>268</v>
      </c>
      <c r="G110" s="57">
        <v>19.149999999999999</v>
      </c>
      <c r="H110" s="57">
        <v>8.5299999999999994</v>
      </c>
      <c r="I110" s="57">
        <v>10.34</v>
      </c>
      <c r="J110" s="58">
        <v>0.2122</v>
      </c>
      <c r="K110" s="57">
        <v>198</v>
      </c>
      <c r="L110" s="58">
        <v>7.7066564056870026E-6</v>
      </c>
      <c r="M110" s="58">
        <v>0.90141219041159926</v>
      </c>
      <c r="N110" s="59" t="s">
        <v>2420</v>
      </c>
    </row>
    <row r="111" spans="1:14" ht="20" x14ac:dyDescent="0.2">
      <c r="A111" s="54">
        <v>105</v>
      </c>
      <c r="B111" s="55">
        <v>120</v>
      </c>
      <c r="C111" s="55" t="s">
        <v>397</v>
      </c>
      <c r="D111" s="55" t="s">
        <v>197</v>
      </c>
      <c r="E111" s="56" t="s">
        <v>398</v>
      </c>
      <c r="F111" s="55" t="s">
        <v>268</v>
      </c>
      <c r="G111" s="57">
        <v>20676.415186793631</v>
      </c>
      <c r="H111" s="57">
        <v>11.09</v>
      </c>
      <c r="I111" s="57">
        <v>13.44</v>
      </c>
      <c r="J111" s="58">
        <v>0.2122</v>
      </c>
      <c r="K111" s="57">
        <v>277890.96999999997</v>
      </c>
      <c r="L111" s="58">
        <v>1.0816213252692294E-2</v>
      </c>
      <c r="M111" s="58">
        <v>0.91222840366429159</v>
      </c>
      <c r="N111" s="59" t="s">
        <v>2420</v>
      </c>
    </row>
    <row r="112" spans="1:14" ht="20" x14ac:dyDescent="0.2">
      <c r="A112" s="54">
        <v>106</v>
      </c>
      <c r="B112" s="55">
        <v>20</v>
      </c>
      <c r="C112" s="55" t="s">
        <v>439</v>
      </c>
      <c r="D112" s="55" t="s">
        <v>32</v>
      </c>
      <c r="E112" s="56" t="s">
        <v>440</v>
      </c>
      <c r="F112" s="55" t="s">
        <v>381</v>
      </c>
      <c r="G112" s="57">
        <v>723.44084677240357</v>
      </c>
      <c r="H112" s="57">
        <v>16.190000000000001</v>
      </c>
      <c r="I112" s="57">
        <v>19.63</v>
      </c>
      <c r="J112" s="58">
        <v>0.2122</v>
      </c>
      <c r="K112" s="57">
        <v>14201.12</v>
      </c>
      <c r="L112" s="58">
        <v>5.5274319401984746E-4</v>
      </c>
      <c r="M112" s="58">
        <v>0.91278114685831147</v>
      </c>
      <c r="N112" s="59" t="s">
        <v>2420</v>
      </c>
    </row>
    <row r="113" spans="1:14" x14ac:dyDescent="0.2">
      <c r="A113" s="54">
        <v>107</v>
      </c>
      <c r="B113" s="55">
        <v>41</v>
      </c>
      <c r="C113" s="55" t="s">
        <v>609</v>
      </c>
      <c r="D113" s="55" t="s">
        <v>221</v>
      </c>
      <c r="E113" s="56" t="s">
        <v>610</v>
      </c>
      <c r="F113" s="55" t="s">
        <v>89</v>
      </c>
      <c r="G113" s="57">
        <v>353</v>
      </c>
      <c r="H113" s="57">
        <v>35.1</v>
      </c>
      <c r="I113" s="57">
        <v>42.55</v>
      </c>
      <c r="J113" s="58">
        <v>0.2122</v>
      </c>
      <c r="K113" s="57">
        <v>15020.150000000001</v>
      </c>
      <c r="L113" s="58">
        <v>5.8462189500949307E-4</v>
      </c>
      <c r="M113" s="58">
        <v>0.91336576875332098</v>
      </c>
      <c r="N113" s="59" t="s">
        <v>2420</v>
      </c>
    </row>
    <row r="114" spans="1:14" x14ac:dyDescent="0.2">
      <c r="A114" s="54">
        <v>108</v>
      </c>
      <c r="B114" s="55">
        <v>121</v>
      </c>
      <c r="C114" s="55" t="s">
        <v>4234</v>
      </c>
      <c r="D114" s="55" t="s">
        <v>4235</v>
      </c>
      <c r="E114" s="56" t="s">
        <v>4430</v>
      </c>
      <c r="F114" s="55" t="s">
        <v>268</v>
      </c>
      <c r="G114" s="57">
        <v>10875.055596538799</v>
      </c>
      <c r="H114" s="57">
        <v>56.12</v>
      </c>
      <c r="I114" s="57">
        <v>68.03</v>
      </c>
      <c r="J114" s="58">
        <v>0.2122</v>
      </c>
      <c r="K114" s="57">
        <v>739829.97000000009</v>
      </c>
      <c r="L114" s="58">
        <v>2.8796037259695571E-2</v>
      </c>
      <c r="M114" s="58">
        <v>0.94216180601301658</v>
      </c>
      <c r="N114" s="59" t="s">
        <v>2420</v>
      </c>
    </row>
    <row r="115" spans="1:14" ht="20" x14ac:dyDescent="0.2">
      <c r="A115" s="54">
        <v>109</v>
      </c>
      <c r="B115" s="55">
        <v>141</v>
      </c>
      <c r="C115" s="55" t="s">
        <v>753</v>
      </c>
      <c r="D115" s="55" t="s">
        <v>32</v>
      </c>
      <c r="E115" s="56" t="s">
        <v>754</v>
      </c>
      <c r="F115" s="55" t="s">
        <v>194</v>
      </c>
      <c r="G115" s="57">
        <v>407.65999999999997</v>
      </c>
      <c r="H115" s="57">
        <v>209.38</v>
      </c>
      <c r="I115" s="57">
        <v>232.62</v>
      </c>
      <c r="J115" s="58">
        <v>0.111</v>
      </c>
      <c r="K115" s="57">
        <v>94829.86</v>
      </c>
      <c r="L115" s="58">
        <v>3.6910158990878868E-3</v>
      </c>
      <c r="M115" s="58">
        <v>0.94585282191210451</v>
      </c>
      <c r="N115" s="59" t="s">
        <v>2420</v>
      </c>
    </row>
    <row r="116" spans="1:14" ht="30" x14ac:dyDescent="0.2">
      <c r="A116" s="54">
        <v>110</v>
      </c>
      <c r="B116" s="55">
        <v>54</v>
      </c>
      <c r="C116" s="55" t="s">
        <v>299</v>
      </c>
      <c r="D116" s="55" t="s">
        <v>32</v>
      </c>
      <c r="E116" s="56" t="s">
        <v>4417</v>
      </c>
      <c r="F116" s="55" t="s">
        <v>268</v>
      </c>
      <c r="G116" s="57">
        <v>3745.5310044988405</v>
      </c>
      <c r="H116" s="57">
        <v>10.49</v>
      </c>
      <c r="I116" s="57">
        <v>12.72</v>
      </c>
      <c r="J116" s="58">
        <v>0.2122</v>
      </c>
      <c r="K116" s="57">
        <v>47643.11</v>
      </c>
      <c r="L116" s="58">
        <v>1.8543892872138912E-3</v>
      </c>
      <c r="M116" s="58">
        <v>0.94770721119931844</v>
      </c>
      <c r="N116" s="59" t="s">
        <v>2420</v>
      </c>
    </row>
    <row r="117" spans="1:14" ht="20" x14ac:dyDescent="0.2">
      <c r="A117" s="54">
        <v>111</v>
      </c>
      <c r="B117" s="55">
        <v>36</v>
      </c>
      <c r="C117" s="55" t="s">
        <v>235</v>
      </c>
      <c r="D117" s="55" t="s">
        <v>32</v>
      </c>
      <c r="E117" s="56" t="s">
        <v>4228</v>
      </c>
      <c r="F117" s="55" t="s">
        <v>268</v>
      </c>
      <c r="G117" s="57">
        <v>172.16362447475956</v>
      </c>
      <c r="H117" s="57">
        <v>62.38</v>
      </c>
      <c r="I117" s="57">
        <v>75.62</v>
      </c>
      <c r="J117" s="58">
        <v>0.2122</v>
      </c>
      <c r="K117" s="57">
        <v>13018.97</v>
      </c>
      <c r="L117" s="58">
        <v>5.0673095225225713E-4</v>
      </c>
      <c r="M117" s="58">
        <v>0.94821394215157073</v>
      </c>
      <c r="N117" s="59" t="s">
        <v>2420</v>
      </c>
    </row>
    <row r="118" spans="1:14" x14ac:dyDescent="0.2">
      <c r="A118" s="54">
        <v>112</v>
      </c>
      <c r="B118" s="55">
        <v>102</v>
      </c>
      <c r="C118" s="55" t="s">
        <v>547</v>
      </c>
      <c r="D118" s="55" t="s">
        <v>197</v>
      </c>
      <c r="E118" s="56" t="s">
        <v>548</v>
      </c>
      <c r="F118" s="55" t="s">
        <v>194</v>
      </c>
      <c r="G118" s="57">
        <v>5320.14</v>
      </c>
      <c r="H118" s="57">
        <v>5.19</v>
      </c>
      <c r="I118" s="57">
        <v>6.29</v>
      </c>
      <c r="J118" s="58">
        <v>0.2122</v>
      </c>
      <c r="K118" s="57">
        <v>33463.659999999996</v>
      </c>
      <c r="L118" s="58">
        <v>1.3024895439228883E-3</v>
      </c>
      <c r="M118" s="58">
        <v>0.9495164316954936</v>
      </c>
      <c r="N118" s="59" t="s">
        <v>2420</v>
      </c>
    </row>
    <row r="119" spans="1:14" ht="20" x14ac:dyDescent="0.2">
      <c r="A119" s="54">
        <v>113</v>
      </c>
      <c r="B119" s="55">
        <v>13</v>
      </c>
      <c r="C119" s="55" t="s">
        <v>214</v>
      </c>
      <c r="D119" s="55" t="s">
        <v>125</v>
      </c>
      <c r="E119" s="56" t="s">
        <v>4448</v>
      </c>
      <c r="F119" s="55" t="s">
        <v>1384</v>
      </c>
      <c r="G119" s="57">
        <v>1209</v>
      </c>
      <c r="H119" s="57">
        <v>8.06</v>
      </c>
      <c r="I119" s="57">
        <v>9.77</v>
      </c>
      <c r="J119" s="58">
        <v>0.2122</v>
      </c>
      <c r="K119" s="57">
        <v>11811.929999999998</v>
      </c>
      <c r="L119" s="58">
        <v>4.5974992928296191E-4</v>
      </c>
      <c r="M119" s="58">
        <v>0.94997618162477659</v>
      </c>
      <c r="N119" s="59" t="s">
        <v>2420</v>
      </c>
    </row>
    <row r="120" spans="1:14" x14ac:dyDescent="0.2">
      <c r="A120" s="54">
        <v>114</v>
      </c>
      <c r="B120" s="55">
        <v>110</v>
      </c>
      <c r="C120" s="55" t="s">
        <v>602</v>
      </c>
      <c r="D120" s="55" t="s">
        <v>125</v>
      </c>
      <c r="E120" s="56" t="s">
        <v>4239</v>
      </c>
      <c r="F120" s="55" t="s">
        <v>1332</v>
      </c>
      <c r="G120" s="57">
        <v>4068.12</v>
      </c>
      <c r="H120" s="57">
        <v>47.66</v>
      </c>
      <c r="I120" s="57">
        <v>57.77</v>
      </c>
      <c r="J120" s="58">
        <v>0.2122</v>
      </c>
      <c r="K120" s="57">
        <v>235015.28999999998</v>
      </c>
      <c r="L120" s="58">
        <v>9.1473842934994363E-3</v>
      </c>
      <c r="M120" s="58">
        <v>0.95912356591827608</v>
      </c>
      <c r="N120" s="59" t="s">
        <v>2420</v>
      </c>
    </row>
    <row r="121" spans="1:14" ht="30" x14ac:dyDescent="0.2">
      <c r="A121" s="54">
        <v>115</v>
      </c>
      <c r="B121" s="55">
        <v>55</v>
      </c>
      <c r="C121" s="55" t="s">
        <v>460</v>
      </c>
      <c r="D121" s="55" t="s">
        <v>32</v>
      </c>
      <c r="E121" s="56" t="s">
        <v>4436</v>
      </c>
      <c r="F121" s="55" t="s">
        <v>268</v>
      </c>
      <c r="G121" s="57">
        <v>310.93</v>
      </c>
      <c r="H121" s="57">
        <v>13.71</v>
      </c>
      <c r="I121" s="57">
        <v>16.62</v>
      </c>
      <c r="J121" s="58">
        <v>0.2122</v>
      </c>
      <c r="K121" s="57">
        <v>5167.6499999999996</v>
      </c>
      <c r="L121" s="58">
        <v>2.0113789381236583E-4</v>
      </c>
      <c r="M121" s="58">
        <v>0.95932470381208845</v>
      </c>
      <c r="N121" s="59" t="s">
        <v>2420</v>
      </c>
    </row>
    <row r="122" spans="1:14" x14ac:dyDescent="0.2">
      <c r="A122" s="54">
        <v>116</v>
      </c>
      <c r="B122" s="55">
        <v>25</v>
      </c>
      <c r="C122" s="55" t="s">
        <v>1377</v>
      </c>
      <c r="D122" s="55" t="s">
        <v>257</v>
      </c>
      <c r="E122" s="56" t="s">
        <v>1378</v>
      </c>
      <c r="F122" s="55" t="s">
        <v>89</v>
      </c>
      <c r="G122" s="57">
        <v>80</v>
      </c>
      <c r="H122" s="57">
        <v>107.2</v>
      </c>
      <c r="I122" s="57">
        <v>129.94999999999999</v>
      </c>
      <c r="J122" s="58">
        <v>0.2122</v>
      </c>
      <c r="K122" s="57">
        <v>10396</v>
      </c>
      <c r="L122" s="58">
        <v>4.0463838380566701E-4</v>
      </c>
      <c r="M122" s="58">
        <v>0.95972934219589412</v>
      </c>
      <c r="N122" s="59" t="s">
        <v>2420</v>
      </c>
    </row>
    <row r="123" spans="1:14" ht="20" x14ac:dyDescent="0.2">
      <c r="A123" s="54">
        <v>117</v>
      </c>
      <c r="B123" s="55">
        <v>97</v>
      </c>
      <c r="C123" s="55" t="s">
        <v>1348</v>
      </c>
      <c r="D123" s="55" t="s">
        <v>125</v>
      </c>
      <c r="E123" s="56" t="s">
        <v>1349</v>
      </c>
      <c r="F123" s="55" t="s">
        <v>1332</v>
      </c>
      <c r="G123" s="57">
        <v>131.69799999999998</v>
      </c>
      <c r="H123" s="57">
        <v>284.33999999999997</v>
      </c>
      <c r="I123" s="57">
        <v>344.68</v>
      </c>
      <c r="J123" s="58">
        <v>0.2122</v>
      </c>
      <c r="K123" s="57">
        <v>45393.66</v>
      </c>
      <c r="L123" s="58">
        <v>1.7668350536190801E-3</v>
      </c>
      <c r="M123" s="58">
        <v>0.9614961772495132</v>
      </c>
      <c r="N123" s="59" t="s">
        <v>2420</v>
      </c>
    </row>
    <row r="124" spans="1:14" ht="20" x14ac:dyDescent="0.2">
      <c r="A124" s="54">
        <v>118</v>
      </c>
      <c r="B124" s="55">
        <v>12</v>
      </c>
      <c r="C124" s="55" t="s">
        <v>219</v>
      </c>
      <c r="D124" s="55" t="s">
        <v>125</v>
      </c>
      <c r="E124" s="56" t="s">
        <v>4449</v>
      </c>
      <c r="F124" s="55" t="s">
        <v>1384</v>
      </c>
      <c r="G124" s="57">
        <v>6038</v>
      </c>
      <c r="H124" s="57">
        <v>1.25</v>
      </c>
      <c r="I124" s="57">
        <v>1.52</v>
      </c>
      <c r="J124" s="58">
        <v>0.2122</v>
      </c>
      <c r="K124" s="57">
        <v>9177.76</v>
      </c>
      <c r="L124" s="58">
        <v>3.5722142875685826E-4</v>
      </c>
      <c r="M124" s="58">
        <v>0.96185339867827002</v>
      </c>
      <c r="N124" s="59" t="s">
        <v>2420</v>
      </c>
    </row>
    <row r="125" spans="1:14" ht="20" x14ac:dyDescent="0.2">
      <c r="A125" s="54">
        <v>119</v>
      </c>
      <c r="B125" s="55">
        <v>114</v>
      </c>
      <c r="C125" s="55" t="s">
        <v>456</v>
      </c>
      <c r="D125" s="55" t="s">
        <v>197</v>
      </c>
      <c r="E125" s="56" t="s">
        <v>457</v>
      </c>
      <c r="F125" s="55" t="s">
        <v>89</v>
      </c>
      <c r="G125" s="57">
        <v>14</v>
      </c>
      <c r="H125" s="57">
        <v>7.15</v>
      </c>
      <c r="I125" s="57">
        <v>8.67</v>
      </c>
      <c r="J125" s="58">
        <v>0.2122</v>
      </c>
      <c r="K125" s="57">
        <v>121.38</v>
      </c>
      <c r="L125" s="58">
        <v>4.7244139117287289E-6</v>
      </c>
      <c r="M125" s="58">
        <v>0.96185812309218177</v>
      </c>
      <c r="N125" s="59" t="s">
        <v>2420</v>
      </c>
    </row>
    <row r="126" spans="1:14" x14ac:dyDescent="0.2">
      <c r="A126" s="54">
        <v>120</v>
      </c>
      <c r="B126" s="55">
        <v>42</v>
      </c>
      <c r="C126" s="55" t="s">
        <v>4231</v>
      </c>
      <c r="D126" s="55" t="s">
        <v>4210</v>
      </c>
      <c r="E126" s="56" t="s">
        <v>276</v>
      </c>
      <c r="F126" s="55" t="s">
        <v>89</v>
      </c>
      <c r="G126" s="57">
        <v>62</v>
      </c>
      <c r="H126" s="57">
        <v>119.76</v>
      </c>
      <c r="I126" s="57">
        <v>133.05000000000001</v>
      </c>
      <c r="J126" s="58">
        <v>0.111</v>
      </c>
      <c r="K126" s="57">
        <v>8249.1</v>
      </c>
      <c r="L126" s="58">
        <v>3.2107565331390226E-4</v>
      </c>
      <c r="M126" s="58">
        <v>0.96217919874549562</v>
      </c>
      <c r="N126" s="59" t="s">
        <v>2420</v>
      </c>
    </row>
    <row r="127" spans="1:14" ht="20" x14ac:dyDescent="0.2">
      <c r="A127" s="54">
        <v>121</v>
      </c>
      <c r="B127" s="55">
        <v>23</v>
      </c>
      <c r="C127" s="55" t="s">
        <v>424</v>
      </c>
      <c r="D127" s="55" t="s">
        <v>32</v>
      </c>
      <c r="E127" s="56" t="s">
        <v>425</v>
      </c>
      <c r="F127" s="55" t="s">
        <v>381</v>
      </c>
      <c r="G127" s="57">
        <v>261.91899999957462</v>
      </c>
      <c r="H127" s="57">
        <v>26.01</v>
      </c>
      <c r="I127" s="57">
        <v>31.53</v>
      </c>
      <c r="J127" s="58">
        <v>0.2122</v>
      </c>
      <c r="K127" s="57">
        <v>8258.2900000000009</v>
      </c>
      <c r="L127" s="58">
        <v>3.2143335115414605E-4</v>
      </c>
      <c r="M127" s="58">
        <v>0.96250063209664982</v>
      </c>
      <c r="N127" s="59" t="s">
        <v>2420</v>
      </c>
    </row>
    <row r="128" spans="1:14" x14ac:dyDescent="0.2">
      <c r="A128" s="54">
        <v>122</v>
      </c>
      <c r="B128" s="55">
        <v>126</v>
      </c>
      <c r="C128" s="55" t="s">
        <v>1350</v>
      </c>
      <c r="D128" s="55" t="s">
        <v>125</v>
      </c>
      <c r="E128" s="56" t="s">
        <v>1351</v>
      </c>
      <c r="F128" s="55" t="s">
        <v>268</v>
      </c>
      <c r="G128" s="57">
        <v>2362.9850000000001</v>
      </c>
      <c r="H128" s="57">
        <v>39.78</v>
      </c>
      <c r="I128" s="57">
        <v>48.22</v>
      </c>
      <c r="J128" s="58">
        <v>0.2122</v>
      </c>
      <c r="K128" s="57">
        <v>113943.13</v>
      </c>
      <c r="L128" s="58">
        <v>4.4349522863561964E-3</v>
      </c>
      <c r="M128" s="58">
        <v>0.96693558438300597</v>
      </c>
      <c r="N128" s="59" t="s">
        <v>2420</v>
      </c>
    </row>
    <row r="129" spans="1:14" ht="30" x14ac:dyDescent="0.2">
      <c r="A129" s="54">
        <v>123</v>
      </c>
      <c r="B129" s="55">
        <v>78</v>
      </c>
      <c r="C129" s="55" t="s">
        <v>351</v>
      </c>
      <c r="D129" s="55" t="s">
        <v>243</v>
      </c>
      <c r="E129" s="56" t="s">
        <v>4428</v>
      </c>
      <c r="F129" s="55" t="s">
        <v>1332</v>
      </c>
      <c r="G129" s="57">
        <v>2897.2614693411942</v>
      </c>
      <c r="H129" s="57">
        <v>38.700000000000003</v>
      </c>
      <c r="I129" s="57">
        <v>46.91</v>
      </c>
      <c r="J129" s="58">
        <v>0.2122</v>
      </c>
      <c r="K129" s="57">
        <v>135910.51999999999</v>
      </c>
      <c r="L129" s="58">
        <v>5.289978179587128E-3</v>
      </c>
      <c r="M129" s="58">
        <v>0.97222556256259307</v>
      </c>
      <c r="N129" s="59" t="s">
        <v>2420</v>
      </c>
    </row>
    <row r="130" spans="1:14" ht="20" x14ac:dyDescent="0.2">
      <c r="A130" s="54">
        <v>124</v>
      </c>
      <c r="B130" s="55">
        <v>79</v>
      </c>
      <c r="C130" s="55" t="s">
        <v>718</v>
      </c>
      <c r="D130" s="55" t="s">
        <v>243</v>
      </c>
      <c r="E130" s="56" t="s">
        <v>719</v>
      </c>
      <c r="F130" s="55" t="s">
        <v>1332</v>
      </c>
      <c r="G130" s="57">
        <v>242.74000000000009</v>
      </c>
      <c r="H130" s="57">
        <v>20.14</v>
      </c>
      <c r="I130" s="57">
        <v>24.41</v>
      </c>
      <c r="J130" s="58">
        <v>0.2122</v>
      </c>
      <c r="K130" s="57">
        <v>5925.28</v>
      </c>
      <c r="L130" s="58">
        <v>2.3062675286610645E-4</v>
      </c>
      <c r="M130" s="58">
        <v>0.97245618931545919</v>
      </c>
      <c r="N130" s="59" t="s">
        <v>2420</v>
      </c>
    </row>
    <row r="131" spans="1:14" ht="20" x14ac:dyDescent="0.2">
      <c r="A131" s="54">
        <v>125</v>
      </c>
      <c r="B131" s="55">
        <v>92</v>
      </c>
      <c r="C131" s="55" t="s">
        <v>1358</v>
      </c>
      <c r="D131" s="55" t="s">
        <v>221</v>
      </c>
      <c r="E131" s="56" t="s">
        <v>1359</v>
      </c>
      <c r="F131" s="55" t="s">
        <v>1332</v>
      </c>
      <c r="G131" s="57">
        <v>8864.1</v>
      </c>
      <c r="H131" s="57">
        <v>24.25</v>
      </c>
      <c r="I131" s="57">
        <v>29.4</v>
      </c>
      <c r="J131" s="58">
        <v>0.2122</v>
      </c>
      <c r="K131" s="57">
        <v>260604.54</v>
      </c>
      <c r="L131" s="58">
        <v>1.0143382058293508E-2</v>
      </c>
      <c r="M131" s="58">
        <v>0.98259957137375264</v>
      </c>
      <c r="N131" s="59" t="s">
        <v>2420</v>
      </c>
    </row>
    <row r="132" spans="1:14" ht="20" x14ac:dyDescent="0.2">
      <c r="A132" s="54">
        <v>126</v>
      </c>
      <c r="B132" s="55">
        <v>109</v>
      </c>
      <c r="C132" s="55" t="s">
        <v>526</v>
      </c>
      <c r="D132" s="55" t="s">
        <v>32</v>
      </c>
      <c r="E132" s="56" t="s">
        <v>4442</v>
      </c>
      <c r="F132" s="55" t="s">
        <v>268</v>
      </c>
      <c r="G132" s="57">
        <v>7.66</v>
      </c>
      <c r="H132" s="57">
        <v>3512.27</v>
      </c>
      <c r="I132" s="57">
        <v>4257.57</v>
      </c>
      <c r="J132" s="58">
        <v>0.2122</v>
      </c>
      <c r="K132" s="57">
        <v>32612.959999999999</v>
      </c>
      <c r="L132" s="58">
        <v>1.2693781671334037E-3</v>
      </c>
      <c r="M132" s="58">
        <v>0.983868949540886</v>
      </c>
      <c r="N132" s="59" t="s">
        <v>2420</v>
      </c>
    </row>
    <row r="133" spans="1:14" x14ac:dyDescent="0.2">
      <c r="A133" s="54">
        <v>127</v>
      </c>
      <c r="B133" s="55">
        <v>103</v>
      </c>
      <c r="C133" s="55" t="s">
        <v>839</v>
      </c>
      <c r="D133" s="55" t="s">
        <v>32</v>
      </c>
      <c r="E133" s="56" t="s">
        <v>4445</v>
      </c>
      <c r="F133" s="55" t="s">
        <v>1332</v>
      </c>
      <c r="G133" s="57">
        <v>3252.4900000000002</v>
      </c>
      <c r="H133" s="57">
        <v>4.9800000000000004</v>
      </c>
      <c r="I133" s="57">
        <v>6.04</v>
      </c>
      <c r="J133" s="58">
        <v>0.2122</v>
      </c>
      <c r="K133" s="57">
        <v>19645.030000000002</v>
      </c>
      <c r="L133" s="58">
        <v>7.6463381964350175E-4</v>
      </c>
      <c r="M133" s="58">
        <v>0.98463358336052953</v>
      </c>
      <c r="N133" s="59" t="s">
        <v>2420</v>
      </c>
    </row>
    <row r="134" spans="1:14" ht="30" x14ac:dyDescent="0.2">
      <c r="A134" s="54">
        <v>128</v>
      </c>
      <c r="B134" s="55">
        <v>77</v>
      </c>
      <c r="C134" s="55" t="s">
        <v>345</v>
      </c>
      <c r="D134" s="55" t="s">
        <v>243</v>
      </c>
      <c r="E134" s="56" t="s">
        <v>4425</v>
      </c>
      <c r="F134" s="55" t="s">
        <v>1332</v>
      </c>
      <c r="G134" s="57">
        <v>1496.7918247609912</v>
      </c>
      <c r="H134" s="57">
        <v>23.69</v>
      </c>
      <c r="I134" s="57">
        <v>28.72</v>
      </c>
      <c r="J134" s="58">
        <v>0.2122</v>
      </c>
      <c r="K134" s="57">
        <v>42987.850000000006</v>
      </c>
      <c r="L134" s="58">
        <v>1.6731948968142021E-3</v>
      </c>
      <c r="M134" s="58">
        <v>0.9863067782573437</v>
      </c>
      <c r="N134" s="59" t="s">
        <v>2420</v>
      </c>
    </row>
    <row r="135" spans="1:14" ht="20" x14ac:dyDescent="0.2">
      <c r="A135" s="54">
        <v>129</v>
      </c>
      <c r="B135" s="55">
        <v>33</v>
      </c>
      <c r="C135" s="55" t="s">
        <v>216</v>
      </c>
      <c r="D135" s="55" t="s">
        <v>125</v>
      </c>
      <c r="E135" s="56" t="s">
        <v>1385</v>
      </c>
      <c r="F135" s="55" t="s">
        <v>1384</v>
      </c>
      <c r="G135" s="57">
        <v>6038</v>
      </c>
      <c r="H135" s="57">
        <v>0.78</v>
      </c>
      <c r="I135" s="57">
        <v>0.95</v>
      </c>
      <c r="J135" s="58">
        <v>0.2122</v>
      </c>
      <c r="K135" s="57">
        <v>5736.1</v>
      </c>
      <c r="L135" s="58">
        <v>2.2326339297303643E-4</v>
      </c>
      <c r="M135" s="58">
        <v>0.98653004165031677</v>
      </c>
      <c r="N135" s="59" t="s">
        <v>2420</v>
      </c>
    </row>
    <row r="136" spans="1:14" ht="30" x14ac:dyDescent="0.2">
      <c r="A136" s="54">
        <v>130</v>
      </c>
      <c r="B136" s="55">
        <v>57</v>
      </c>
      <c r="C136" s="55" t="s">
        <v>308</v>
      </c>
      <c r="D136" s="55" t="s">
        <v>32</v>
      </c>
      <c r="E136" s="56" t="s">
        <v>4421</v>
      </c>
      <c r="F136" s="55" t="s">
        <v>268</v>
      </c>
      <c r="G136" s="57">
        <v>1091.0926225118369</v>
      </c>
      <c r="H136" s="57">
        <v>8.36</v>
      </c>
      <c r="I136" s="57">
        <v>10.130000000000001</v>
      </c>
      <c r="J136" s="58">
        <v>0.2122</v>
      </c>
      <c r="K136" s="57">
        <v>11052.75</v>
      </c>
      <c r="L136" s="58">
        <v>4.3020074034321723E-4</v>
      </c>
      <c r="M136" s="58">
        <v>0.98696024239065994</v>
      </c>
      <c r="N136" s="59" t="s">
        <v>2420</v>
      </c>
    </row>
    <row r="137" spans="1:14" ht="30" x14ac:dyDescent="0.2">
      <c r="A137" s="54">
        <v>131</v>
      </c>
      <c r="B137" s="55">
        <v>53</v>
      </c>
      <c r="C137" s="55" t="s">
        <v>289</v>
      </c>
      <c r="D137" s="55" t="s">
        <v>32</v>
      </c>
      <c r="E137" s="56" t="s">
        <v>4413</v>
      </c>
      <c r="F137" s="55" t="s">
        <v>268</v>
      </c>
      <c r="G137" s="57">
        <v>1410.5743466302124</v>
      </c>
      <c r="H137" s="57">
        <v>12.18</v>
      </c>
      <c r="I137" s="57">
        <v>14.76</v>
      </c>
      <c r="J137" s="58">
        <v>0.2122</v>
      </c>
      <c r="K137" s="57">
        <v>20820.039999999997</v>
      </c>
      <c r="L137" s="58">
        <v>8.1036815471040194E-4</v>
      </c>
      <c r="M137" s="58">
        <v>0.9877706105453703</v>
      </c>
      <c r="N137" s="59" t="s">
        <v>2420</v>
      </c>
    </row>
    <row r="138" spans="1:14" ht="30" x14ac:dyDescent="0.2">
      <c r="A138" s="54">
        <v>132</v>
      </c>
      <c r="B138" s="55">
        <v>63</v>
      </c>
      <c r="C138" s="55" t="s">
        <v>464</v>
      </c>
      <c r="D138" s="55" t="s">
        <v>32</v>
      </c>
      <c r="E138" s="56" t="s">
        <v>4437</v>
      </c>
      <c r="F138" s="55" t="s">
        <v>268</v>
      </c>
      <c r="G138" s="57">
        <v>76.960000000000008</v>
      </c>
      <c r="H138" s="57">
        <v>11.17</v>
      </c>
      <c r="I138" s="57">
        <v>13.54</v>
      </c>
      <c r="J138" s="58">
        <v>0.2122</v>
      </c>
      <c r="K138" s="57">
        <v>1042.0300000000002</v>
      </c>
      <c r="L138" s="58">
        <v>4.0558420072818321E-5</v>
      </c>
      <c r="M138" s="58">
        <v>0.98781116896544308</v>
      </c>
      <c r="N138" s="59" t="s">
        <v>2420</v>
      </c>
    </row>
    <row r="139" spans="1:14" x14ac:dyDescent="0.2">
      <c r="A139" s="54">
        <v>133</v>
      </c>
      <c r="B139" s="55">
        <v>113</v>
      </c>
      <c r="C139" s="55" t="s">
        <v>190</v>
      </c>
      <c r="D139" s="55" t="s">
        <v>4210</v>
      </c>
      <c r="E139" s="56" t="s">
        <v>146</v>
      </c>
      <c r="F139" s="55" t="s">
        <v>1332</v>
      </c>
      <c r="G139" s="57">
        <v>54</v>
      </c>
      <c r="H139" s="57">
        <v>521.92999999999995</v>
      </c>
      <c r="I139" s="57">
        <v>632.67999999999995</v>
      </c>
      <c r="J139" s="58">
        <v>0.2122</v>
      </c>
      <c r="K139" s="57">
        <v>34164.720000000001</v>
      </c>
      <c r="L139" s="58">
        <v>1.3297765567500143E-3</v>
      </c>
      <c r="M139" s="58">
        <v>0.98914094552219312</v>
      </c>
      <c r="N139" s="59" t="s">
        <v>2420</v>
      </c>
    </row>
    <row r="140" spans="1:14" ht="30" x14ac:dyDescent="0.2">
      <c r="A140" s="54">
        <v>134</v>
      </c>
      <c r="B140" s="55">
        <v>7</v>
      </c>
      <c r="C140" s="55" t="s">
        <v>1373</v>
      </c>
      <c r="D140" s="55" t="s">
        <v>32</v>
      </c>
      <c r="E140" s="56" t="s">
        <v>1374</v>
      </c>
      <c r="F140" s="55" t="s">
        <v>194</v>
      </c>
      <c r="G140" s="57">
        <v>11.2</v>
      </c>
      <c r="H140" s="57">
        <v>121.12</v>
      </c>
      <c r="I140" s="57">
        <v>146.82</v>
      </c>
      <c r="J140" s="58">
        <v>0.2122</v>
      </c>
      <c r="K140" s="57">
        <v>1644.38</v>
      </c>
      <c r="L140" s="58">
        <v>6.4003392224159554E-5</v>
      </c>
      <c r="M140" s="58">
        <v>0.98920494891441724</v>
      </c>
      <c r="N140" s="59" t="s">
        <v>2420</v>
      </c>
    </row>
    <row r="141" spans="1:14" x14ac:dyDescent="0.2">
      <c r="A141" s="54">
        <v>135</v>
      </c>
      <c r="B141" s="55">
        <v>31</v>
      </c>
      <c r="C141" s="55" t="s">
        <v>1354</v>
      </c>
      <c r="D141" s="55" t="s">
        <v>125</v>
      </c>
      <c r="E141" s="56" t="s">
        <v>1355</v>
      </c>
      <c r="F141" s="55" t="s">
        <v>268</v>
      </c>
      <c r="G141" s="57">
        <v>2.4699999999999998</v>
      </c>
      <c r="H141" s="57">
        <v>436.27</v>
      </c>
      <c r="I141" s="57">
        <v>528.85</v>
      </c>
      <c r="J141" s="58">
        <v>0.2122</v>
      </c>
      <c r="K141" s="57">
        <v>1306.25</v>
      </c>
      <c r="L141" s="58">
        <v>5.0842524898629524E-5</v>
      </c>
      <c r="M141" s="58">
        <v>0.98925579143931586</v>
      </c>
      <c r="N141" s="59" t="s">
        <v>2420</v>
      </c>
    </row>
    <row r="142" spans="1:14" ht="30" x14ac:dyDescent="0.2">
      <c r="A142" s="54">
        <v>136</v>
      </c>
      <c r="B142" s="55">
        <v>61</v>
      </c>
      <c r="C142" s="55" t="s">
        <v>292</v>
      </c>
      <c r="D142" s="55" t="s">
        <v>32</v>
      </c>
      <c r="E142" s="56" t="s">
        <v>4414</v>
      </c>
      <c r="F142" s="55" t="s">
        <v>268</v>
      </c>
      <c r="G142" s="57">
        <v>1569.0033466302125</v>
      </c>
      <c r="H142" s="57">
        <v>11.39</v>
      </c>
      <c r="I142" s="57">
        <v>13.81</v>
      </c>
      <c r="J142" s="58">
        <v>0.2122</v>
      </c>
      <c r="K142" s="57">
        <v>21667.89</v>
      </c>
      <c r="L142" s="58">
        <v>8.4336860235465318E-4</v>
      </c>
      <c r="M142" s="58">
        <v>0.99009916004167053</v>
      </c>
      <c r="N142" s="59" t="s">
        <v>2420</v>
      </c>
    </row>
    <row r="143" spans="1:14" x14ac:dyDescent="0.2">
      <c r="A143" s="54">
        <v>137</v>
      </c>
      <c r="B143" s="55">
        <v>106</v>
      </c>
      <c r="C143" s="55" t="s">
        <v>192</v>
      </c>
      <c r="D143" s="55" t="s">
        <v>32</v>
      </c>
      <c r="E143" s="56" t="s">
        <v>193</v>
      </c>
      <c r="F143" s="55" t="s">
        <v>194</v>
      </c>
      <c r="G143" s="57">
        <v>6149.6645314363068</v>
      </c>
      <c r="H143" s="57">
        <v>9.66</v>
      </c>
      <c r="I143" s="57">
        <v>11.71</v>
      </c>
      <c r="J143" s="58">
        <v>0.2122</v>
      </c>
      <c r="K143" s="57">
        <v>72012.53</v>
      </c>
      <c r="L143" s="58">
        <v>2.8029082101728654E-3</v>
      </c>
      <c r="M143" s="58">
        <v>0.99290206825184335</v>
      </c>
      <c r="N143" s="59" t="s">
        <v>2420</v>
      </c>
    </row>
    <row r="144" spans="1:14" x14ac:dyDescent="0.2">
      <c r="A144" s="54">
        <v>138</v>
      </c>
      <c r="B144" s="55">
        <v>105</v>
      </c>
      <c r="C144" s="55" t="s">
        <v>617</v>
      </c>
      <c r="D144" s="55" t="s">
        <v>243</v>
      </c>
      <c r="E144" s="56" t="s">
        <v>618</v>
      </c>
      <c r="F144" s="55" t="s">
        <v>89</v>
      </c>
      <c r="G144" s="57">
        <v>196</v>
      </c>
      <c r="H144" s="57">
        <v>27.02</v>
      </c>
      <c r="I144" s="57">
        <v>32.75</v>
      </c>
      <c r="J144" s="58">
        <v>0.2122</v>
      </c>
      <c r="K144" s="57">
        <v>6419</v>
      </c>
      <c r="L144" s="58">
        <v>2.498435730712367E-4</v>
      </c>
      <c r="M144" s="58">
        <v>0.99315191182491458</v>
      </c>
      <c r="N144" s="59" t="s">
        <v>2420</v>
      </c>
    </row>
    <row r="145" spans="1:14" ht="20" x14ac:dyDescent="0.2">
      <c r="A145" s="54">
        <v>139</v>
      </c>
      <c r="B145" s="55">
        <v>80</v>
      </c>
      <c r="C145" s="55" t="s">
        <v>478</v>
      </c>
      <c r="D145" s="55" t="s">
        <v>243</v>
      </c>
      <c r="E145" s="56" t="s">
        <v>4439</v>
      </c>
      <c r="F145" s="55" t="s">
        <v>1332</v>
      </c>
      <c r="G145" s="57">
        <v>441.22060000000005</v>
      </c>
      <c r="H145" s="57">
        <v>14.37</v>
      </c>
      <c r="I145" s="57">
        <v>17.420000000000002</v>
      </c>
      <c r="J145" s="58">
        <v>0.2122</v>
      </c>
      <c r="K145" s="57">
        <v>7686.0499999999993</v>
      </c>
      <c r="L145" s="58">
        <v>2.9916033569156854E-4</v>
      </c>
      <c r="M145" s="58">
        <v>0.99345107216060613</v>
      </c>
      <c r="N145" s="59" t="s">
        <v>2420</v>
      </c>
    </row>
    <row r="146" spans="1:14" x14ac:dyDescent="0.2">
      <c r="A146" s="54">
        <v>140</v>
      </c>
      <c r="B146" s="55">
        <v>125</v>
      </c>
      <c r="C146" s="55" t="s">
        <v>523</v>
      </c>
      <c r="D146" s="55" t="s">
        <v>243</v>
      </c>
      <c r="E146" s="56" t="s">
        <v>524</v>
      </c>
      <c r="F146" s="55" t="s">
        <v>268</v>
      </c>
      <c r="G146" s="57">
        <v>216.70999999999998</v>
      </c>
      <c r="H146" s="57">
        <v>262.95</v>
      </c>
      <c r="I146" s="57">
        <v>318.75</v>
      </c>
      <c r="J146" s="58">
        <v>0.2122</v>
      </c>
      <c r="K146" s="57">
        <v>69076.3</v>
      </c>
      <c r="L146" s="58">
        <v>2.6886227771523085E-3</v>
      </c>
      <c r="M146" s="58">
        <v>0.99613969493775845</v>
      </c>
      <c r="N146" s="59" t="s">
        <v>2420</v>
      </c>
    </row>
    <row r="147" spans="1:14" ht="30" x14ac:dyDescent="0.2">
      <c r="A147" s="54">
        <v>141</v>
      </c>
      <c r="B147" s="55">
        <v>62</v>
      </c>
      <c r="C147" s="55" t="s">
        <v>305</v>
      </c>
      <c r="D147" s="55" t="s">
        <v>32</v>
      </c>
      <c r="E147" s="56" t="s">
        <v>4420</v>
      </c>
      <c r="F147" s="55" t="s">
        <v>268</v>
      </c>
      <c r="G147" s="57">
        <v>6256.1084605686792</v>
      </c>
      <c r="H147" s="57">
        <v>8.6999999999999993</v>
      </c>
      <c r="I147" s="57">
        <v>10.55</v>
      </c>
      <c r="J147" s="58">
        <v>0.2122</v>
      </c>
      <c r="K147" s="57">
        <v>66001.89</v>
      </c>
      <c r="L147" s="58">
        <v>2.5689590321007517E-3</v>
      </c>
      <c r="M147" s="58">
        <v>0.99870865396985919</v>
      </c>
      <c r="N147" s="59" t="s">
        <v>2420</v>
      </c>
    </row>
    <row r="148" spans="1:14" ht="20" x14ac:dyDescent="0.2">
      <c r="A148" s="54">
        <v>142</v>
      </c>
      <c r="B148" s="55">
        <v>112</v>
      </c>
      <c r="C148" s="55" t="s">
        <v>212</v>
      </c>
      <c r="D148" s="55" t="s">
        <v>125</v>
      </c>
      <c r="E148" s="56" t="s">
        <v>4447</v>
      </c>
      <c r="F148" s="55" t="s">
        <v>1384</v>
      </c>
      <c r="G148" s="57">
        <v>2425</v>
      </c>
      <c r="H148" s="57">
        <v>3.95</v>
      </c>
      <c r="I148" s="57">
        <v>4.79</v>
      </c>
      <c r="J148" s="58">
        <v>0.2122</v>
      </c>
      <c r="K148" s="57">
        <v>11615.749999999998</v>
      </c>
      <c r="L148" s="58">
        <v>4.5211411184019584E-4</v>
      </c>
      <c r="M148" s="58">
        <v>0.9991607680816994</v>
      </c>
      <c r="N148" s="59" t="s">
        <v>2420</v>
      </c>
    </row>
    <row r="149" spans="1:14" ht="30.5" thickBot="1" x14ac:dyDescent="0.25">
      <c r="A149" s="54">
        <v>143</v>
      </c>
      <c r="B149" s="634">
        <v>58</v>
      </c>
      <c r="C149" s="55" t="s">
        <v>301</v>
      </c>
      <c r="D149" s="55" t="s">
        <v>32</v>
      </c>
      <c r="E149" s="56" t="s">
        <v>4418</v>
      </c>
      <c r="F149" s="55" t="s">
        <v>268</v>
      </c>
      <c r="G149" s="57">
        <v>1974.5091633138188</v>
      </c>
      <c r="H149" s="57">
        <v>9.01</v>
      </c>
      <c r="I149" s="57">
        <v>10.92</v>
      </c>
      <c r="J149" s="58">
        <v>0.2122</v>
      </c>
      <c r="K149" s="57">
        <v>21561.61</v>
      </c>
      <c r="L149" s="58">
        <v>8.392319183001259E-4</v>
      </c>
      <c r="M149" s="58">
        <v>0.99999999999999956</v>
      </c>
      <c r="N149" s="59" t="s">
        <v>2420</v>
      </c>
    </row>
    <row r="150" spans="1:14" ht="30" customHeight="1" thickBot="1" x14ac:dyDescent="0.25">
      <c r="A150" s="896" t="s">
        <v>5</v>
      </c>
      <c r="B150" s="897"/>
      <c r="C150" s="897"/>
      <c r="D150" s="897"/>
      <c r="E150" s="897"/>
      <c r="F150" s="897"/>
      <c r="G150" s="897"/>
      <c r="H150" s="897"/>
      <c r="I150" s="897"/>
      <c r="J150" s="898"/>
      <c r="K150" s="635">
        <v>25692075.729999993</v>
      </c>
      <c r="L150" s="899"/>
      <c r="M150" s="900"/>
      <c r="N150" s="901"/>
    </row>
    <row r="152" spans="1:14" customFormat="1" ht="70" customHeight="1" x14ac:dyDescent="0.3">
      <c r="A152" s="873"/>
      <c r="B152" s="873"/>
      <c r="C152" s="873"/>
      <c r="D152" s="873"/>
      <c r="E152" s="873"/>
      <c r="F152" s="873"/>
      <c r="G152" s="873"/>
      <c r="H152" s="873"/>
      <c r="I152" s="873"/>
    </row>
    <row r="153" spans="1:14" x14ac:dyDescent="0.2">
      <c r="I153" s="40"/>
    </row>
    <row r="155" spans="1:14" x14ac:dyDescent="0.2">
      <c r="I155" s="42"/>
    </row>
    <row r="156" spans="1:14" x14ac:dyDescent="0.2">
      <c r="I156" s="42"/>
    </row>
    <row r="157" spans="1:14" x14ac:dyDescent="0.2">
      <c r="I157" s="42"/>
    </row>
  </sheetData>
  <sortState xmlns:xlrd2="http://schemas.microsoft.com/office/spreadsheetml/2017/richdata2" ref="A7:N149">
    <sortCondition descending="1" ref="K7:K149"/>
  </sortState>
  <mergeCells count="7">
    <mergeCell ref="L1:N1"/>
    <mergeCell ref="E2:E5"/>
    <mergeCell ref="J2:K5"/>
    <mergeCell ref="F2:H5"/>
    <mergeCell ref="A152:I152"/>
    <mergeCell ref="A150:J150"/>
    <mergeCell ref="L150:N150"/>
  </mergeCells>
  <conditionalFormatting sqref="A6 C6">
    <cfRule type="containsText" dxfId="4" priority="1" stopIfTrue="1" operator="containsText" text="sicro">
      <formula>NOT(ISERROR(SEARCH("sicro",A6)))</formula>
    </cfRule>
  </conditionalFormatting>
  <printOptions horizontalCentered="1"/>
  <pageMargins left="0.39370078740157483" right="0.39370078740157483" top="0.78740157480314965" bottom="0.39370078740157483" header="0.31496062992125984" footer="0.19685039370078741"/>
  <pageSetup paperSize="9" scale="53" firstPageNumber="105" orientation="landscape" useFirstPageNumber="1" r:id="rId1"/>
  <headerFooter>
    <oddFooter>&amp;C&amp;P</oddFooter>
  </headerFooter>
  <rowBreaks count="1" manualBreakCount="1">
    <brk id="110" max="1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507EE-C47A-4925-9A09-ED6316B2574C}">
  <sheetPr>
    <tabColor rgb="FFFFFF00"/>
  </sheetPr>
  <dimension ref="B1:P844"/>
  <sheetViews>
    <sheetView topLeftCell="A817" workbookViewId="0">
      <selection activeCell="R396" sqref="R396"/>
    </sheetView>
  </sheetViews>
  <sheetFormatPr defaultColWidth="9" defaultRowHeight="14.5" x14ac:dyDescent="0.35"/>
  <cols>
    <col min="1" max="1" width="9" style="23"/>
    <col min="2" max="2" width="7.58203125" style="24" customWidth="1"/>
    <col min="3" max="3" width="13.08203125" style="25" customWidth="1"/>
    <col min="4" max="4" width="10.58203125" style="25" customWidth="1"/>
    <col min="5" max="5" width="10.5" style="25" customWidth="1"/>
    <col min="6" max="6" width="59.75" style="26" customWidth="1"/>
    <col min="7" max="10" width="9" style="25"/>
    <col min="11" max="11" width="12.5" style="25" customWidth="1"/>
    <col min="12" max="12" width="20.58203125" style="45" customWidth="1"/>
    <col min="13" max="16384" width="9" style="23"/>
  </cols>
  <sheetData>
    <row r="1" spans="2:16" ht="29" x14ac:dyDescent="0.35">
      <c r="B1" s="43">
        <v>1</v>
      </c>
      <c r="C1" s="44" t="str">
        <f>ORÇAMENTO!A1045</f>
        <v xml:space="preserve"> 8.8.9</v>
      </c>
      <c r="D1" s="44" t="str">
        <f>ORÇAMENTO!B1045</f>
        <v xml:space="preserve"> 98522 </v>
      </c>
      <c r="E1" s="44" t="str">
        <f>ORÇAMENTO!C1045</f>
        <v>SINAPI</v>
      </c>
      <c r="F1" s="636" t="str">
        <f>ORÇAMENTO!D1045</f>
        <v>ALAMBRADO EM MOURÕES DE CONCRETO, COM TELA DE ARAME GALVANIZADO (INCLUSIVE MURETA EM CONCRETO). AF_05/2018</v>
      </c>
      <c r="G1" s="44" t="str">
        <f>ORÇAMENTO!E1045</f>
        <v>M</v>
      </c>
      <c r="H1" s="44">
        <f>ORÇAMENTO!F1045</f>
        <v>411.3</v>
      </c>
      <c r="I1" s="44">
        <f>ORÇAMENTO!G1045</f>
        <v>160.28</v>
      </c>
      <c r="J1" s="44">
        <f>ORÇAMENTO!H1045</f>
        <v>0.2122</v>
      </c>
      <c r="K1" s="44">
        <f>ORÇAMENTO!I1045</f>
        <v>194.29</v>
      </c>
      <c r="L1" s="638">
        <f>ORÇAMENTO!J1045</f>
        <v>79911.47</v>
      </c>
      <c r="M1" s="23">
        <f>ORÇAMENTO!K1045</f>
        <v>2.8251099760595337E-3</v>
      </c>
    </row>
    <row r="2" spans="2:16" ht="43.5" x14ac:dyDescent="0.35">
      <c r="B2" s="43">
        <f>IF(EXACT(D1,D2),B1,B1+1)</f>
        <v>2</v>
      </c>
      <c r="C2" s="44" t="str">
        <f>ORÇAMENTO!A245</f>
        <v>4.1.2.6.43</v>
      </c>
      <c r="D2" s="44" t="str">
        <f>ORÇAMENTO!B245</f>
        <v xml:space="preserve"> 103320 </v>
      </c>
      <c r="E2" s="44" t="str">
        <f>ORÇAMENTO!C245</f>
        <v>SINAPI</v>
      </c>
      <c r="F2" s="480" t="str">
        <f>ORÇAMENTO!D245</f>
        <v>ALVENARIA DE VEDAÇÃO DE BLOCOS VAZADOS DE CONCRETO DE 19X19X39 CM (ESPESSURA 19 CM) E ARGAMASSA DE ASSENTAMENTO COM PREPARO EM BETONEIRA. AF_12/2021</v>
      </c>
      <c r="G2" s="44" t="str">
        <f>ORÇAMENTO!E245</f>
        <v>M²</v>
      </c>
      <c r="H2" s="44">
        <f>ORÇAMENTO!F245</f>
        <v>542.49</v>
      </c>
      <c r="I2" s="44">
        <f>ORÇAMENTO!G245</f>
        <v>133.38</v>
      </c>
      <c r="J2" s="44">
        <f>ORÇAMENTO!H245</f>
        <v>0.2122</v>
      </c>
      <c r="K2" s="44">
        <f>ORÇAMENTO!I245</f>
        <v>161.68</v>
      </c>
      <c r="L2" s="44">
        <f>ORÇAMENTO!J245</f>
        <v>87709.78</v>
      </c>
      <c r="M2" s="23">
        <f>ORÇAMENTO!K245</f>
        <v>3.100803607742255E-3</v>
      </c>
      <c r="N2" s="23" t="str">
        <f>IF(F2=F1,IF(G2=G1,"OK!","ERRADO"),"DIFERENTE")</f>
        <v>DIFERENTE</v>
      </c>
      <c r="O2" s="23" t="str">
        <f>IF(F2=F1,IF(I2=I1,"OK!","ERRADO"),"DIFERENTE")</f>
        <v>DIFERENTE</v>
      </c>
      <c r="P2" s="23" t="str">
        <f>IF(F2=F1,IF(D2=D1,"OK!","ERRADO"),"DIFERENTE")</f>
        <v>DIFERENTE</v>
      </c>
    </row>
    <row r="3" spans="2:16" ht="43.5" x14ac:dyDescent="0.35">
      <c r="B3" s="43">
        <f t="shared" ref="B3:B66" si="0">IF(EXACT(D2,D3),B2,B2+1)</f>
        <v>2</v>
      </c>
      <c r="C3" s="44" t="str">
        <f>ORÇAMENTO!A255</f>
        <v>4.1.2.7.3</v>
      </c>
      <c r="D3" s="44" t="str">
        <f>ORÇAMENTO!B255</f>
        <v xml:space="preserve"> 103320 </v>
      </c>
      <c r="E3" s="44" t="str">
        <f>ORÇAMENTO!C255</f>
        <v>SINAPI</v>
      </c>
      <c r="F3" s="480" t="str">
        <f>ORÇAMENTO!D255</f>
        <v>ALVENARIA DE VEDAÇÃO DE BLOCOS VAZADOS DE CONCRETO DE 19X19X39 CM (ESPESSURA 19 CM) E ARGAMASSA DE ASSENTAMENTO COM PREPARO EM BETONEIRA. AF_12/2021</v>
      </c>
      <c r="G3" s="44" t="str">
        <f>ORÇAMENTO!E255</f>
        <v>M²</v>
      </c>
      <c r="H3" s="44">
        <f>ORÇAMENTO!F255</f>
        <v>42.28</v>
      </c>
      <c r="I3" s="44">
        <f>ORÇAMENTO!G255</f>
        <v>133.38</v>
      </c>
      <c r="J3" s="44">
        <f>ORÇAMENTO!H255</f>
        <v>0.2122</v>
      </c>
      <c r="K3" s="44">
        <f>ORÇAMENTO!I255</f>
        <v>161.68</v>
      </c>
      <c r="L3" s="44">
        <f>ORÇAMENTO!J255</f>
        <v>6835.83</v>
      </c>
      <c r="M3" s="23">
        <f>ORÇAMENTO!K255</f>
        <v>2.416670789268054E-4</v>
      </c>
      <c r="N3" s="23" t="str">
        <f t="shared" ref="N3:N66" si="1">IF(F3=F2,IF(G3=G2,"OK!","ERRADO"),"DIFERENTE")</f>
        <v>OK!</v>
      </c>
      <c r="O3" s="23" t="str">
        <f t="shared" ref="O3:O66" si="2">IF(F3=F2,IF(I3=I2,"OK!","ERRADO"),"DIFERENTE")</f>
        <v>OK!</v>
      </c>
      <c r="P3" s="23" t="str">
        <f t="shared" ref="P3:P66" si="3">IF(F3=F2,IF(D3=D2,"OK!","ERRADO"),"DIFERENTE")</f>
        <v>OK!</v>
      </c>
    </row>
    <row r="4" spans="2:16" ht="43.5" x14ac:dyDescent="0.35">
      <c r="B4" s="43">
        <f t="shared" si="0"/>
        <v>2</v>
      </c>
      <c r="C4" s="44" t="str">
        <f>ORÇAMENTO!A488</f>
        <v>5.1.2.6.44</v>
      </c>
      <c r="D4" s="44" t="str">
        <f>ORÇAMENTO!B488</f>
        <v xml:space="preserve"> 103320 </v>
      </c>
      <c r="E4" s="44" t="str">
        <f>ORÇAMENTO!C488</f>
        <v>SINAPI</v>
      </c>
      <c r="F4" s="480" t="str">
        <f>ORÇAMENTO!D488</f>
        <v>ALVENARIA DE VEDAÇÃO DE BLOCOS VAZADOS DE CONCRETO DE 19X19X39 CM (ESPESSURA 19 CM) E ARGAMASSA DE ASSENTAMENTO COM PREPARO EM BETONEIRA. AF_12/2021</v>
      </c>
      <c r="G4" s="44" t="str">
        <f>ORÇAMENTO!E488</f>
        <v>M²</v>
      </c>
      <c r="H4" s="44">
        <f>ORÇAMENTO!F488</f>
        <v>643</v>
      </c>
      <c r="I4" s="44">
        <f>ORÇAMENTO!G488</f>
        <v>133.38</v>
      </c>
      <c r="J4" s="44">
        <f>ORÇAMENTO!H488</f>
        <v>0.2122</v>
      </c>
      <c r="K4" s="44">
        <f>ORÇAMENTO!I488</f>
        <v>161.68</v>
      </c>
      <c r="L4" s="44">
        <f>ORÇAMENTO!J488</f>
        <v>103960.24</v>
      </c>
      <c r="M4" s="23">
        <f>ORÇAMENTO!K488</f>
        <v>3.675306074804323E-3</v>
      </c>
      <c r="N4" s="23" t="str">
        <f t="shared" si="1"/>
        <v>OK!</v>
      </c>
      <c r="O4" s="23" t="str">
        <f t="shared" si="2"/>
        <v>OK!</v>
      </c>
      <c r="P4" s="23" t="str">
        <f t="shared" si="3"/>
        <v>OK!</v>
      </c>
    </row>
    <row r="5" spans="2:16" ht="43.5" x14ac:dyDescent="0.35">
      <c r="B5" s="43">
        <f t="shared" si="0"/>
        <v>2</v>
      </c>
      <c r="C5" s="44" t="str">
        <f>ORÇAMENTO!A498</f>
        <v>5.1.2.7.3</v>
      </c>
      <c r="D5" s="44" t="str">
        <f>ORÇAMENTO!B498</f>
        <v xml:space="preserve"> 103320 </v>
      </c>
      <c r="E5" s="44" t="str">
        <f>ORÇAMENTO!C498</f>
        <v>SINAPI</v>
      </c>
      <c r="F5" s="480" t="str">
        <f>ORÇAMENTO!D498</f>
        <v>ALVENARIA DE VEDAÇÃO DE BLOCOS VAZADOS DE CONCRETO DE 19X19X39 CM (ESPESSURA 19 CM) E ARGAMASSA DE ASSENTAMENTO COM PREPARO EM BETONEIRA. AF_12/2021</v>
      </c>
      <c r="G5" s="44" t="str">
        <f>ORÇAMENTO!E498</f>
        <v>M²</v>
      </c>
      <c r="H5" s="44">
        <f>ORÇAMENTO!F498</f>
        <v>101.19</v>
      </c>
      <c r="I5" s="44">
        <f>ORÇAMENTO!G498</f>
        <v>133.38</v>
      </c>
      <c r="J5" s="44">
        <f>ORÇAMENTO!H498</f>
        <v>0.2122</v>
      </c>
      <c r="K5" s="44">
        <f>ORÇAMENTO!I498</f>
        <v>161.68</v>
      </c>
      <c r="L5" s="44">
        <f>ORÇAMENTO!J498</f>
        <v>16360.39</v>
      </c>
      <c r="M5" s="23">
        <f>ORÇAMENTO!K498</f>
        <v>5.7838882204550403E-4</v>
      </c>
      <c r="N5" s="23" t="str">
        <f t="shared" si="1"/>
        <v>OK!</v>
      </c>
      <c r="O5" s="23" t="str">
        <f t="shared" si="2"/>
        <v>OK!</v>
      </c>
      <c r="P5" s="23" t="str">
        <f t="shared" si="3"/>
        <v>OK!</v>
      </c>
    </row>
    <row r="6" spans="2:16" ht="43.5" x14ac:dyDescent="0.35">
      <c r="B6" s="43">
        <f t="shared" si="0"/>
        <v>2</v>
      </c>
      <c r="C6" s="44" t="str">
        <f>ORÇAMENTO!A683</f>
        <v>6.1.2.6.36</v>
      </c>
      <c r="D6" s="44" t="str">
        <f>ORÇAMENTO!B683</f>
        <v xml:space="preserve"> 103320 </v>
      </c>
      <c r="E6" s="44" t="str">
        <f>ORÇAMENTO!C683</f>
        <v>SINAPI</v>
      </c>
      <c r="F6" s="480" t="str">
        <f>ORÇAMENTO!D683</f>
        <v>ALVENARIA DE VEDAÇÃO DE BLOCOS VAZADOS DE CONCRETO DE 19X19X39 CM (ESPESSURA 19 CM) E ARGAMASSA DE ASSENTAMENTO COM PREPARO EM BETONEIRA. AF_12/2021</v>
      </c>
      <c r="G6" s="44" t="str">
        <f>ORÇAMENTO!E683</f>
        <v>M²</v>
      </c>
      <c r="H6" s="44">
        <f>ORÇAMENTO!F683</f>
        <v>316.33</v>
      </c>
      <c r="I6" s="44">
        <f>ORÇAMENTO!G683</f>
        <v>133.38</v>
      </c>
      <c r="J6" s="44">
        <f>ORÇAMENTO!H683</f>
        <v>0.2122</v>
      </c>
      <c r="K6" s="44">
        <f>ORÇAMENTO!I683</f>
        <v>161.68</v>
      </c>
      <c r="L6" s="44">
        <f>ORÇAMENTO!J683</f>
        <v>51144.23</v>
      </c>
      <c r="M6" s="23">
        <f>ORÇAMENTO!K683</f>
        <v>1.8081018205632221E-3</v>
      </c>
      <c r="N6" s="23" t="str">
        <f t="shared" si="1"/>
        <v>OK!</v>
      </c>
      <c r="O6" s="23" t="str">
        <f t="shared" si="2"/>
        <v>OK!</v>
      </c>
      <c r="P6" s="23" t="str">
        <f t="shared" si="3"/>
        <v>OK!</v>
      </c>
    </row>
    <row r="7" spans="2:16" ht="43.5" x14ac:dyDescent="0.35">
      <c r="B7" s="43">
        <f t="shared" si="0"/>
        <v>2</v>
      </c>
      <c r="C7" s="44" t="str">
        <f>ORÇAMENTO!A693</f>
        <v>6.1.2.7.3</v>
      </c>
      <c r="D7" s="44" t="str">
        <f>ORÇAMENTO!B693</f>
        <v xml:space="preserve"> 103320 </v>
      </c>
      <c r="E7" s="44" t="str">
        <f>ORÇAMENTO!C693</f>
        <v>SINAPI</v>
      </c>
      <c r="F7" s="480" t="str">
        <f>ORÇAMENTO!D693</f>
        <v>ALVENARIA DE VEDAÇÃO DE BLOCOS VAZADOS DE CONCRETO DE 19X19X39 CM (ESPESSURA 19 CM) E ARGAMASSA DE ASSENTAMENTO COM PREPARO EM BETONEIRA. AF_12/2021</v>
      </c>
      <c r="G7" s="44" t="str">
        <f>ORÇAMENTO!E693</f>
        <v>M²</v>
      </c>
      <c r="H7" s="44">
        <f>ORÇAMENTO!F693</f>
        <v>60.98</v>
      </c>
      <c r="I7" s="44">
        <f>ORÇAMENTO!G693</f>
        <v>133.38</v>
      </c>
      <c r="J7" s="44">
        <f>ORÇAMENTO!H693</f>
        <v>0.2122</v>
      </c>
      <c r="K7" s="44">
        <f>ORÇAMENTO!I693</f>
        <v>161.68</v>
      </c>
      <c r="L7" s="44">
        <f>ORÇAMENTO!J693</f>
        <v>9859.24</v>
      </c>
      <c r="M7" s="23">
        <f>ORÇAMENTO!K693</f>
        <v>3.485536842253709E-4</v>
      </c>
      <c r="N7" s="23" t="str">
        <f t="shared" si="1"/>
        <v>OK!</v>
      </c>
      <c r="O7" s="23" t="str">
        <f t="shared" si="2"/>
        <v>OK!</v>
      </c>
      <c r="P7" s="23" t="str">
        <f t="shared" si="3"/>
        <v>OK!</v>
      </c>
    </row>
    <row r="8" spans="2:16" ht="43.5" x14ac:dyDescent="0.35">
      <c r="B8" s="43">
        <f t="shared" si="0"/>
        <v>2</v>
      </c>
      <c r="C8" s="44" t="str">
        <f>ORÇAMENTO!A896</f>
        <v>7.1.2.6.43</v>
      </c>
      <c r="D8" s="44" t="str">
        <f>ORÇAMENTO!B896</f>
        <v xml:space="preserve"> 103320 </v>
      </c>
      <c r="E8" s="44" t="str">
        <f>ORÇAMENTO!C896</f>
        <v>SINAPI</v>
      </c>
      <c r="F8" s="480" t="str">
        <f>ORÇAMENTO!D896</f>
        <v>ALVENARIA DE VEDAÇÃO DE BLOCOS VAZADOS DE CONCRETO DE 19X19X39 CM (ESPESSURA 19 CM) E ARGAMASSA DE ASSENTAMENTO COM PREPARO EM BETONEIRA. AF_12/2021</v>
      </c>
      <c r="G8" s="44" t="str">
        <f>ORÇAMENTO!E896</f>
        <v>M²</v>
      </c>
      <c r="H8" s="44">
        <f>ORÇAMENTO!F896</f>
        <v>545.64</v>
      </c>
      <c r="I8" s="44">
        <f>ORÇAMENTO!G896</f>
        <v>133.38</v>
      </c>
      <c r="J8" s="44">
        <f>ORÇAMENTO!H896</f>
        <v>0.2122</v>
      </c>
      <c r="K8" s="44">
        <f>ORÇAMENTO!I896</f>
        <v>161.68</v>
      </c>
      <c r="L8" s="44">
        <f>ORÇAMENTO!J896</f>
        <v>88219.07</v>
      </c>
      <c r="M8" s="23">
        <f>ORÇAMENTO!K896</f>
        <v>3.1188085356919897E-3</v>
      </c>
      <c r="N8" s="23" t="str">
        <f t="shared" si="1"/>
        <v>OK!</v>
      </c>
      <c r="O8" s="23" t="str">
        <f t="shared" si="2"/>
        <v>OK!</v>
      </c>
      <c r="P8" s="23" t="str">
        <f t="shared" si="3"/>
        <v>OK!</v>
      </c>
    </row>
    <row r="9" spans="2:16" ht="43.5" x14ac:dyDescent="0.35">
      <c r="B9" s="43">
        <f t="shared" si="0"/>
        <v>2</v>
      </c>
      <c r="C9" s="44" t="str">
        <f>ORÇAMENTO!A906</f>
        <v>7.1.2.7.3</v>
      </c>
      <c r="D9" s="44" t="str">
        <f>ORÇAMENTO!B906</f>
        <v xml:space="preserve"> 103320 </v>
      </c>
      <c r="E9" s="44" t="str">
        <f>ORÇAMENTO!C906</f>
        <v>SINAPI</v>
      </c>
      <c r="F9" s="480" t="str">
        <f>ORÇAMENTO!D906</f>
        <v>ALVENARIA DE VEDAÇÃO DE BLOCOS VAZADOS DE CONCRETO DE 19X19X39 CM (ESPESSURA 19 CM) E ARGAMASSA DE ASSENTAMENTO COM PREPARO EM BETONEIRA. AF_12/2021</v>
      </c>
      <c r="G9" s="44" t="str">
        <f>ORÇAMENTO!E906</f>
        <v>M²</v>
      </c>
      <c r="H9" s="44">
        <f>ORÇAMENTO!F906</f>
        <v>51.3</v>
      </c>
      <c r="I9" s="44">
        <f>ORÇAMENTO!G906</f>
        <v>133.38</v>
      </c>
      <c r="J9" s="44">
        <f>ORÇAMENTO!H906</f>
        <v>0.2122</v>
      </c>
      <c r="K9" s="44">
        <f>ORÇAMENTO!I906</f>
        <v>161.68</v>
      </c>
      <c r="L9" s="44">
        <f>ORÇAMENTO!J906</f>
        <v>8294.18</v>
      </c>
      <c r="M9" s="23">
        <f>ORÇAMENTO!K906</f>
        <v>2.9322412240988016E-4</v>
      </c>
      <c r="N9" s="23" t="str">
        <f t="shared" si="1"/>
        <v>OK!</v>
      </c>
      <c r="O9" s="23" t="str">
        <f t="shared" si="2"/>
        <v>OK!</v>
      </c>
      <c r="P9" s="23" t="str">
        <f t="shared" si="3"/>
        <v>OK!</v>
      </c>
    </row>
    <row r="10" spans="2:16" x14ac:dyDescent="0.35">
      <c r="B10" s="43">
        <f t="shared" si="0"/>
        <v>3</v>
      </c>
      <c r="C10" s="44" t="str">
        <f>ORÇAMENTO!A244</f>
        <v>4.1.2.6.42</v>
      </c>
      <c r="D10" s="44" t="str">
        <f>ORÇAMENTO!B244</f>
        <v xml:space="preserve"> 0407819 </v>
      </c>
      <c r="E10" s="44" t="str">
        <f>ORÇAMENTO!C244</f>
        <v>SICRO3</v>
      </c>
      <c r="F10" s="480" t="str">
        <f>ORÇAMENTO!D244</f>
        <v>ARMAÇÃO EM AÇO CA-50 - FORNECIMENTO, PREPARO E COLOCAÇÃO</v>
      </c>
      <c r="G10" s="44" t="str">
        <f>ORÇAMENTO!E244</f>
        <v>KG</v>
      </c>
      <c r="H10" s="44">
        <f>ORÇAMENTO!F244</f>
        <v>1336</v>
      </c>
      <c r="I10" s="44">
        <f>ORÇAMENTO!G244</f>
        <v>12.15</v>
      </c>
      <c r="J10" s="44">
        <f>ORÇAMENTO!H244</f>
        <v>0.2122</v>
      </c>
      <c r="K10" s="44">
        <f>ORÇAMENTO!I244</f>
        <v>14.73</v>
      </c>
      <c r="L10" s="44">
        <f>ORÇAMENTO!J244</f>
        <v>19679.28</v>
      </c>
      <c r="M10" s="23">
        <f>ORÇAMENTO!K244</f>
        <v>6.957215309600594E-4</v>
      </c>
      <c r="N10" s="23" t="str">
        <f t="shared" si="1"/>
        <v>DIFERENTE</v>
      </c>
      <c r="O10" s="23" t="str">
        <f t="shared" si="2"/>
        <v>DIFERENTE</v>
      </c>
      <c r="P10" s="23" t="str">
        <f t="shared" si="3"/>
        <v>DIFERENTE</v>
      </c>
    </row>
    <row r="11" spans="2:16" x14ac:dyDescent="0.35">
      <c r="B11" s="43">
        <f t="shared" si="0"/>
        <v>3</v>
      </c>
      <c r="C11" s="44" t="str">
        <f>ORÇAMENTO!A260</f>
        <v>4.1.2.7.8</v>
      </c>
      <c r="D11" s="44" t="str">
        <f>ORÇAMENTO!B260</f>
        <v xml:space="preserve"> 0407819 </v>
      </c>
      <c r="E11" s="44" t="str">
        <f>ORÇAMENTO!C260</f>
        <v>SICRO3</v>
      </c>
      <c r="F11" s="480" t="str">
        <f>ORÇAMENTO!D260</f>
        <v>ARMAÇÃO EM AÇO CA-50 - FORNECIMENTO, PREPARO E COLOCAÇÃO</v>
      </c>
      <c r="G11" s="44" t="str">
        <f>ORÇAMENTO!E260</f>
        <v>KG</v>
      </c>
      <c r="H11" s="44">
        <f>ORÇAMENTO!F260</f>
        <v>3790.03</v>
      </c>
      <c r="I11" s="44">
        <f>ORÇAMENTO!G260</f>
        <v>12.15</v>
      </c>
      <c r="J11" s="44">
        <f>ORÇAMENTO!H260</f>
        <v>0.2122</v>
      </c>
      <c r="K11" s="44">
        <f>ORÇAMENTO!I260</f>
        <v>14.73</v>
      </c>
      <c r="L11" s="44">
        <f>ORÇAMENTO!J260</f>
        <v>55827.14</v>
      </c>
      <c r="M11" s="23">
        <f>ORÇAMENTO!K260</f>
        <v>1.9736567247339116E-3</v>
      </c>
      <c r="N11" s="23" t="str">
        <f t="shared" si="1"/>
        <v>OK!</v>
      </c>
      <c r="O11" s="23" t="str">
        <f t="shared" si="2"/>
        <v>OK!</v>
      </c>
      <c r="P11" s="23" t="str">
        <f t="shared" si="3"/>
        <v>OK!</v>
      </c>
    </row>
    <row r="12" spans="2:16" x14ac:dyDescent="0.35">
      <c r="B12" s="43">
        <f t="shared" si="0"/>
        <v>3</v>
      </c>
      <c r="C12" s="44" t="str">
        <f>ORÇAMENTO!A487</f>
        <v>5.1.2.6.43</v>
      </c>
      <c r="D12" s="44" t="str">
        <f>ORÇAMENTO!B487</f>
        <v xml:space="preserve"> 0407819 </v>
      </c>
      <c r="E12" s="44" t="str">
        <f>ORÇAMENTO!C487</f>
        <v>SICRO3</v>
      </c>
      <c r="F12" s="480" t="str">
        <f>ORÇAMENTO!D487</f>
        <v>ARMAÇÃO EM AÇO CA-50 - FORNECIMENTO, PREPARO E COLOCAÇÃO</v>
      </c>
      <c r="G12" s="44" t="str">
        <f>ORÇAMENTO!E487</f>
        <v>KG</v>
      </c>
      <c r="H12" s="44">
        <f>ORÇAMENTO!F487</f>
        <v>1480</v>
      </c>
      <c r="I12" s="44">
        <f>ORÇAMENTO!G487</f>
        <v>12.15</v>
      </c>
      <c r="J12" s="44">
        <f>ORÇAMENTO!H487</f>
        <v>0.2122</v>
      </c>
      <c r="K12" s="44">
        <f>ORÇAMENTO!I487</f>
        <v>14.73</v>
      </c>
      <c r="L12" s="44">
        <f>ORÇAMENTO!J487</f>
        <v>21800.400000000001</v>
      </c>
      <c r="M12" s="23">
        <f>ORÇAMENTO!K487</f>
        <v>7.7070948040485637E-4</v>
      </c>
      <c r="N12" s="23" t="str">
        <f t="shared" si="1"/>
        <v>OK!</v>
      </c>
      <c r="O12" s="23" t="str">
        <f t="shared" si="2"/>
        <v>OK!</v>
      </c>
      <c r="P12" s="23" t="str">
        <f t="shared" si="3"/>
        <v>OK!</v>
      </c>
    </row>
    <row r="13" spans="2:16" x14ac:dyDescent="0.35">
      <c r="B13" s="43">
        <f t="shared" si="0"/>
        <v>3</v>
      </c>
      <c r="C13" s="44" t="str">
        <f>ORÇAMENTO!A503</f>
        <v>5.1.2.7.8</v>
      </c>
      <c r="D13" s="44" t="str">
        <f>ORÇAMENTO!B503</f>
        <v xml:space="preserve"> 0407819 </v>
      </c>
      <c r="E13" s="44" t="str">
        <f>ORÇAMENTO!C503</f>
        <v>SICRO3</v>
      </c>
      <c r="F13" s="480" t="str">
        <f>ORÇAMENTO!D503</f>
        <v>ARMAÇÃO EM AÇO CA-50 - FORNECIMENTO, PREPARO E COLOCAÇÃO</v>
      </c>
      <c r="G13" s="44" t="str">
        <f>ORÇAMENTO!E503</f>
        <v>KG</v>
      </c>
      <c r="H13" s="44">
        <f>ORÇAMENTO!F503</f>
        <v>3969.37</v>
      </c>
      <c r="I13" s="44">
        <f>ORÇAMENTO!G503</f>
        <v>12.15</v>
      </c>
      <c r="J13" s="44">
        <f>ORÇAMENTO!H503</f>
        <v>0.2122</v>
      </c>
      <c r="K13" s="44">
        <f>ORÇAMENTO!I503</f>
        <v>14.73</v>
      </c>
      <c r="L13" s="44">
        <f>ORÇAMENTO!J503</f>
        <v>58468.82</v>
      </c>
      <c r="M13" s="23">
        <f>ORÇAMENTO!K503</f>
        <v>2.0670480304070139E-3</v>
      </c>
      <c r="N13" s="23" t="str">
        <f t="shared" si="1"/>
        <v>OK!</v>
      </c>
      <c r="O13" s="23" t="str">
        <f t="shared" si="2"/>
        <v>OK!</v>
      </c>
      <c r="P13" s="23" t="str">
        <f t="shared" si="3"/>
        <v>OK!</v>
      </c>
    </row>
    <row r="14" spans="2:16" x14ac:dyDescent="0.35">
      <c r="B14" s="43">
        <f t="shared" si="0"/>
        <v>3</v>
      </c>
      <c r="C14" s="44" t="str">
        <f>ORÇAMENTO!A682</f>
        <v>6.1.2.6.35</v>
      </c>
      <c r="D14" s="44" t="str">
        <f>ORÇAMENTO!B682</f>
        <v xml:space="preserve"> 0407819 </v>
      </c>
      <c r="E14" s="44" t="str">
        <f>ORÇAMENTO!C682</f>
        <v>SICRO3</v>
      </c>
      <c r="F14" s="480" t="str">
        <f>ORÇAMENTO!D682</f>
        <v>ARMAÇÃO EM AÇO CA-50 - FORNECIMENTO, PREPARO E COLOCAÇÃO</v>
      </c>
      <c r="G14" s="44" t="str">
        <f>ORÇAMENTO!E682</f>
        <v>KG</v>
      </c>
      <c r="H14" s="44">
        <f>ORÇAMENTO!F682</f>
        <v>768</v>
      </c>
      <c r="I14" s="44">
        <f>ORÇAMENTO!G682</f>
        <v>12.15</v>
      </c>
      <c r="J14" s="44">
        <f>ORÇAMENTO!H682</f>
        <v>0.2122</v>
      </c>
      <c r="K14" s="44">
        <f>ORÇAMENTO!I682</f>
        <v>14.73</v>
      </c>
      <c r="L14" s="44">
        <f>ORÇAMENTO!J682</f>
        <v>11312.64</v>
      </c>
      <c r="M14" s="23">
        <f>ORÇAMENTO!K682</f>
        <v>3.9993573037224974E-4</v>
      </c>
      <c r="N14" s="23" t="str">
        <f t="shared" si="1"/>
        <v>OK!</v>
      </c>
      <c r="O14" s="23" t="str">
        <f t="shared" si="2"/>
        <v>OK!</v>
      </c>
      <c r="P14" s="23" t="str">
        <f t="shared" si="3"/>
        <v>OK!</v>
      </c>
    </row>
    <row r="15" spans="2:16" x14ac:dyDescent="0.35">
      <c r="B15" s="43">
        <f t="shared" si="0"/>
        <v>3</v>
      </c>
      <c r="C15" s="44" t="str">
        <f>ORÇAMENTO!A698</f>
        <v>6.1.2.7.8</v>
      </c>
      <c r="D15" s="44" t="str">
        <f>ORÇAMENTO!B698</f>
        <v xml:space="preserve"> 0407819 </v>
      </c>
      <c r="E15" s="44" t="str">
        <f>ORÇAMENTO!C698</f>
        <v>SICRO3</v>
      </c>
      <c r="F15" s="480" t="str">
        <f>ORÇAMENTO!D698</f>
        <v>ARMAÇÃO EM AÇO CA-50 - FORNECIMENTO, PREPARO E COLOCAÇÃO</v>
      </c>
      <c r="G15" s="44" t="str">
        <f>ORÇAMENTO!E698</f>
        <v>KG</v>
      </c>
      <c r="H15" s="44">
        <f>ORÇAMENTO!F698</f>
        <v>697.85</v>
      </c>
      <c r="I15" s="44">
        <f>ORÇAMENTO!G698</f>
        <v>12.15</v>
      </c>
      <c r="J15" s="44">
        <f>ORÇAMENTO!H698</f>
        <v>0.2122</v>
      </c>
      <c r="K15" s="44">
        <f>ORÇAMENTO!I698</f>
        <v>14.73</v>
      </c>
      <c r="L15" s="44">
        <f>ORÇAMENTO!J698</f>
        <v>10279.33</v>
      </c>
      <c r="M15" s="23">
        <f>ORÇAMENTO!K698</f>
        <v>3.6340512482385879E-4</v>
      </c>
      <c r="N15" s="23" t="str">
        <f t="shared" si="1"/>
        <v>OK!</v>
      </c>
      <c r="O15" s="23" t="str">
        <f t="shared" si="2"/>
        <v>OK!</v>
      </c>
      <c r="P15" s="23" t="str">
        <f t="shared" si="3"/>
        <v>OK!</v>
      </c>
    </row>
    <row r="16" spans="2:16" x14ac:dyDescent="0.35">
      <c r="B16" s="43">
        <f t="shared" si="0"/>
        <v>3</v>
      </c>
      <c r="C16" s="44" t="str">
        <f>ORÇAMENTO!A895</f>
        <v>7.1.2.6.42</v>
      </c>
      <c r="D16" s="44" t="str">
        <f>ORÇAMENTO!B895</f>
        <v xml:space="preserve"> 0407819 </v>
      </c>
      <c r="E16" s="44" t="str">
        <f>ORÇAMENTO!C895</f>
        <v>SICRO3</v>
      </c>
      <c r="F16" s="480" t="str">
        <f>ORÇAMENTO!D895</f>
        <v>ARMAÇÃO EM AÇO CA-50 - FORNECIMENTO, PREPARO E COLOCAÇÃO</v>
      </c>
      <c r="G16" s="44" t="str">
        <f>ORÇAMENTO!E895</f>
        <v>KG</v>
      </c>
      <c r="H16" s="44">
        <f>ORÇAMENTO!F895</f>
        <v>1256</v>
      </c>
      <c r="I16" s="44">
        <f>ORÇAMENTO!G895</f>
        <v>12.15</v>
      </c>
      <c r="J16" s="44">
        <f>ORÇAMENTO!H895</f>
        <v>0.2122</v>
      </c>
      <c r="K16" s="44">
        <f>ORÇAMENTO!I895</f>
        <v>14.73</v>
      </c>
      <c r="L16" s="44">
        <f>ORÇAMENTO!J895</f>
        <v>18500.88</v>
      </c>
      <c r="M16" s="23">
        <f>ORÇAMENTO!K895</f>
        <v>6.5406155904628349E-4</v>
      </c>
      <c r="N16" s="23" t="str">
        <f t="shared" si="1"/>
        <v>OK!</v>
      </c>
      <c r="O16" s="23" t="str">
        <f t="shared" si="2"/>
        <v>OK!</v>
      </c>
      <c r="P16" s="23" t="str">
        <f t="shared" si="3"/>
        <v>OK!</v>
      </c>
    </row>
    <row r="17" spans="2:16" x14ac:dyDescent="0.35">
      <c r="B17" s="43">
        <f t="shared" si="0"/>
        <v>3</v>
      </c>
      <c r="C17" s="44" t="str">
        <f>ORÇAMENTO!A911</f>
        <v>7.1.2.7.8</v>
      </c>
      <c r="D17" s="44" t="str">
        <f>ORÇAMENTO!B911</f>
        <v xml:space="preserve"> 0407819 </v>
      </c>
      <c r="E17" s="44" t="str">
        <f>ORÇAMENTO!C911</f>
        <v>SICRO3</v>
      </c>
      <c r="F17" s="480" t="str">
        <f>ORÇAMENTO!D911</f>
        <v>ARMAÇÃO EM AÇO CA-50 - FORNECIMENTO, PREPARO E COLOCAÇÃO</v>
      </c>
      <c r="G17" s="44" t="str">
        <f>ORÇAMENTO!E911</f>
        <v>KG</v>
      </c>
      <c r="H17" s="44">
        <f>ORÇAMENTO!F911</f>
        <v>5166.92</v>
      </c>
      <c r="I17" s="44">
        <f>ORÇAMENTO!G911</f>
        <v>12.15</v>
      </c>
      <c r="J17" s="44">
        <f>ORÇAMENTO!H911</f>
        <v>0.2122</v>
      </c>
      <c r="K17" s="44">
        <f>ORÇAMENTO!I911</f>
        <v>14.73</v>
      </c>
      <c r="L17" s="44">
        <f>ORÇAMENTO!J911</f>
        <v>76108.73</v>
      </c>
      <c r="M17" s="23">
        <f>ORÇAMENTO!K911</f>
        <v>2.6906717194442988E-3</v>
      </c>
      <c r="N17" s="23" t="str">
        <f t="shared" si="1"/>
        <v>OK!</v>
      </c>
      <c r="O17" s="23" t="str">
        <f t="shared" si="2"/>
        <v>OK!</v>
      </c>
      <c r="P17" s="23" t="str">
        <f t="shared" si="3"/>
        <v>OK!</v>
      </c>
    </row>
    <row r="18" spans="2:16" x14ac:dyDescent="0.35">
      <c r="B18" s="43">
        <f t="shared" si="0"/>
        <v>3</v>
      </c>
      <c r="C18" s="44" t="str">
        <f>ORÇAMENTO!A919</f>
        <v>7.1.2.8.5</v>
      </c>
      <c r="D18" s="44" t="str">
        <f>ORÇAMENTO!B919</f>
        <v xml:space="preserve"> 0407819 </v>
      </c>
      <c r="E18" s="44" t="str">
        <f>ORÇAMENTO!C919</f>
        <v>SICRO3</v>
      </c>
      <c r="F18" s="480" t="str">
        <f>ORÇAMENTO!D919</f>
        <v>ARMAÇÃO EM AÇO CA-50 - FORNECIMENTO, PREPARO E COLOCAÇÃO</v>
      </c>
      <c r="G18" s="44" t="str">
        <f>ORÇAMENTO!E919</f>
        <v>KG</v>
      </c>
      <c r="H18" s="44">
        <f>ORÇAMENTO!F919</f>
        <v>23646.02</v>
      </c>
      <c r="I18" s="44">
        <f>ORÇAMENTO!G919</f>
        <v>12.15</v>
      </c>
      <c r="J18" s="44">
        <f>ORÇAMENTO!H919</f>
        <v>0.2122</v>
      </c>
      <c r="K18" s="44">
        <f>ORÇAMENTO!I919</f>
        <v>14.73</v>
      </c>
      <c r="L18" s="44">
        <f>ORÇAMENTO!J919</f>
        <v>348305.87</v>
      </c>
      <c r="M18" s="23">
        <f>ORÇAMENTO!K919</f>
        <v>1.2313656450783536E-2</v>
      </c>
      <c r="N18" s="23" t="str">
        <f t="shared" si="1"/>
        <v>OK!</v>
      </c>
      <c r="O18" s="23" t="str">
        <f t="shared" si="2"/>
        <v>OK!</v>
      </c>
      <c r="P18" s="23" t="str">
        <f t="shared" si="3"/>
        <v>OK!</v>
      </c>
    </row>
    <row r="19" spans="2:16" x14ac:dyDescent="0.35">
      <c r="B19" s="43">
        <f t="shared" si="0"/>
        <v>3</v>
      </c>
      <c r="C19" s="44" t="str">
        <f>ORÇAMENTO!A1016</f>
        <v xml:space="preserve"> 8.5.4</v>
      </c>
      <c r="D19" s="44" t="str">
        <f>ORÇAMENTO!B1016</f>
        <v xml:space="preserve"> 0407819 </v>
      </c>
      <c r="E19" s="44" t="str">
        <f>ORÇAMENTO!C1016</f>
        <v>SICRO3</v>
      </c>
      <c r="F19" s="636" t="str">
        <f>ORÇAMENTO!D1016</f>
        <v>ARMAÇÃO EM AÇO CA-50 - FORNECIMENTO, PREPARO E COLOCAÇÃO</v>
      </c>
      <c r="G19" s="44" t="str">
        <f>ORÇAMENTO!E1016</f>
        <v>KG</v>
      </c>
      <c r="H19" s="44">
        <f>ORÇAMENTO!F1016</f>
        <v>2057.7199999999998</v>
      </c>
      <c r="I19" s="44">
        <f>ORÇAMENTO!G1016</f>
        <v>12.15</v>
      </c>
      <c r="J19" s="44">
        <f>ORÇAMENTO!H1016</f>
        <v>0.2122</v>
      </c>
      <c r="K19" s="44">
        <f>ORÇAMENTO!I1016</f>
        <v>14.73</v>
      </c>
      <c r="L19" s="638">
        <f>ORÇAMENTO!J1016</f>
        <v>30310.21</v>
      </c>
      <c r="M19" s="23">
        <f>ORÇAMENTO!K1016</f>
        <v>1.0715567696034053E-3</v>
      </c>
      <c r="N19" s="23" t="str">
        <f t="shared" si="1"/>
        <v>OK!</v>
      </c>
      <c r="O19" s="23" t="str">
        <f t="shared" si="2"/>
        <v>OK!</v>
      </c>
      <c r="P19" s="23" t="str">
        <f t="shared" si="3"/>
        <v>OK!</v>
      </c>
    </row>
    <row r="20" spans="2:16" x14ac:dyDescent="0.35">
      <c r="B20" s="43">
        <f t="shared" si="0"/>
        <v>3</v>
      </c>
      <c r="C20" s="44" t="str">
        <f>ORÇAMENTO!A1022</f>
        <v xml:space="preserve"> 8.6.5</v>
      </c>
      <c r="D20" s="44" t="str">
        <f>ORÇAMENTO!B1022</f>
        <v xml:space="preserve"> 0407819 </v>
      </c>
      <c r="E20" s="44" t="str">
        <f>ORÇAMENTO!C1022</f>
        <v>SICRO3</v>
      </c>
      <c r="F20" s="636" t="str">
        <f>ORÇAMENTO!D1022</f>
        <v>ARMAÇÃO EM AÇO CA-50 - FORNECIMENTO, PREPARO E COLOCAÇÃO</v>
      </c>
      <c r="G20" s="44" t="str">
        <f>ORÇAMENTO!E1022</f>
        <v>KG</v>
      </c>
      <c r="H20" s="44">
        <f>ORÇAMENTO!F1022</f>
        <v>1656</v>
      </c>
      <c r="I20" s="44">
        <f>ORÇAMENTO!G1022</f>
        <v>12.15</v>
      </c>
      <c r="J20" s="44">
        <f>ORÇAMENTO!H1022</f>
        <v>0.2122</v>
      </c>
      <c r="K20" s="44">
        <f>ORÇAMENTO!I1022</f>
        <v>14.73</v>
      </c>
      <c r="L20" s="638">
        <f>ORÇAMENTO!J1022</f>
        <v>24392.880000000001</v>
      </c>
      <c r="M20" s="23">
        <f>ORÇAMENTO!K1022</f>
        <v>8.6236141861516355E-4</v>
      </c>
      <c r="N20" s="23" t="str">
        <f t="shared" si="1"/>
        <v>OK!</v>
      </c>
      <c r="O20" s="23" t="str">
        <f t="shared" si="2"/>
        <v>OK!</v>
      </c>
      <c r="P20" s="23" t="str">
        <f t="shared" si="3"/>
        <v>OK!</v>
      </c>
    </row>
    <row r="21" spans="2:16" x14ac:dyDescent="0.35">
      <c r="B21" s="43">
        <f t="shared" si="0"/>
        <v>3</v>
      </c>
      <c r="C21" s="44" t="str">
        <f>ORÇAMENTO!A1035</f>
        <v xml:space="preserve"> 8.7.6</v>
      </c>
      <c r="D21" s="44" t="str">
        <f>ORÇAMENTO!B1035</f>
        <v xml:space="preserve"> 0407819 </v>
      </c>
      <c r="E21" s="44" t="str">
        <f>ORÇAMENTO!C1035</f>
        <v>SICRO3</v>
      </c>
      <c r="F21" s="636" t="str">
        <f>ORÇAMENTO!D1035</f>
        <v>ARMAÇÃO EM AÇO CA-50 - FORNECIMENTO, PREPARO E COLOCAÇÃO</v>
      </c>
      <c r="G21" s="44" t="str">
        <f>ORÇAMENTO!E1035</f>
        <v>KG</v>
      </c>
      <c r="H21" s="44">
        <f>ORÇAMENTO!F1035</f>
        <v>308.12</v>
      </c>
      <c r="I21" s="44">
        <f>ORÇAMENTO!G1035</f>
        <v>12.15</v>
      </c>
      <c r="J21" s="44">
        <f>ORÇAMENTO!H1035</f>
        <v>0.2122</v>
      </c>
      <c r="K21" s="44">
        <f>ORÇAMENTO!I1035</f>
        <v>14.73</v>
      </c>
      <c r="L21" s="638">
        <f>ORÇAMENTO!J1035</f>
        <v>4538.6000000000004</v>
      </c>
      <c r="M21" s="23">
        <f>ORÇAMENTO!K1035</f>
        <v>1.6045311314312954E-4</v>
      </c>
      <c r="N21" s="23" t="str">
        <f t="shared" si="1"/>
        <v>OK!</v>
      </c>
      <c r="O21" s="23" t="str">
        <f t="shared" si="2"/>
        <v>OK!</v>
      </c>
      <c r="P21" s="23" t="str">
        <f t="shared" si="3"/>
        <v>OK!</v>
      </c>
    </row>
    <row r="22" spans="2:16" ht="43.5" x14ac:dyDescent="0.35">
      <c r="B22" s="43">
        <f t="shared" si="0"/>
        <v>4</v>
      </c>
      <c r="C22" s="44" t="str">
        <f>ORÇAMENTO!A293</f>
        <v>4.2.4.14</v>
      </c>
      <c r="D22" s="44" t="str">
        <f>ORÇAMENTO!B293</f>
        <v xml:space="preserve"> 94273 </v>
      </c>
      <c r="E22" s="44" t="str">
        <f>ORÇAMENTO!C293</f>
        <v>SINAPI</v>
      </c>
      <c r="F22" s="480" t="str">
        <f>ORÇAMENTO!D293</f>
        <v>ASSENTAMENTO DE GUIA (MEIO-FIO) EM TRECHO RETO, CONFECCIONADA EM CONCRETO PRÉ-FABRICADO, DIMENSÕES 100X15X13X30 CM (COMPRIMENTO X BASE INFERIOR X BASE SUPERIOR X ALTURA). AF_01/2024</v>
      </c>
      <c r="G22" s="44" t="str">
        <f>ORÇAMENTO!E293</f>
        <v>M</v>
      </c>
      <c r="H22" s="44">
        <f>ORÇAMENTO!F293</f>
        <v>1097.9000000000001</v>
      </c>
      <c r="I22" s="44">
        <f>ORÇAMENTO!G293</f>
        <v>48.36</v>
      </c>
      <c r="J22" s="44">
        <f>ORÇAMENTO!H293</f>
        <v>0.2122</v>
      </c>
      <c r="K22" s="44">
        <f>ORÇAMENTO!I293</f>
        <v>58.62</v>
      </c>
      <c r="L22" s="44">
        <f>ORÇAMENTO!J293</f>
        <v>64358.89</v>
      </c>
      <c r="M22" s="23">
        <f>ORÇAMENTO!K293</f>
        <v>2.2752796586912763E-3</v>
      </c>
      <c r="N22" s="23" t="str">
        <f t="shared" si="1"/>
        <v>DIFERENTE</v>
      </c>
      <c r="O22" s="23" t="str">
        <f t="shared" si="2"/>
        <v>DIFERENTE</v>
      </c>
      <c r="P22" s="23" t="str">
        <f t="shared" si="3"/>
        <v>DIFERENTE</v>
      </c>
    </row>
    <row r="23" spans="2:16" ht="43.5" x14ac:dyDescent="0.35">
      <c r="B23" s="43">
        <f t="shared" si="0"/>
        <v>4</v>
      </c>
      <c r="C23" s="44" t="str">
        <f>ORÇAMENTO!A982</f>
        <v>7.5.4.14</v>
      </c>
      <c r="D23" s="44" t="str">
        <f>ORÇAMENTO!B982</f>
        <v xml:space="preserve"> 94273 </v>
      </c>
      <c r="E23" s="44" t="str">
        <f>ORÇAMENTO!C982</f>
        <v>SINAPI</v>
      </c>
      <c r="F23" s="636" t="str">
        <f>ORÇAMENTO!D982</f>
        <v>ASSENTAMENTO DE GUIA (MEIO-FIO) EM TRECHO RETO, CONFECCIONADA EM CONCRETO PRÉ-FABRICADO, DIMENSÕES 100X15X13X30 CM (COMPRIMENTO X BASE INFERIOR X BASE SUPERIOR X ALTURA). AF_01/2024</v>
      </c>
      <c r="G23" s="44" t="str">
        <f>ORÇAMENTO!E982</f>
        <v>M</v>
      </c>
      <c r="H23" s="44">
        <f>ORÇAMENTO!F982</f>
        <v>1552.82</v>
      </c>
      <c r="I23" s="44">
        <f>ORÇAMENTO!G982</f>
        <v>48.36</v>
      </c>
      <c r="J23" s="44">
        <f>ORÇAMENTO!H982</f>
        <v>0.2122</v>
      </c>
      <c r="K23" s="44">
        <f>ORÇAMENTO!I982</f>
        <v>58.62</v>
      </c>
      <c r="L23" s="638">
        <f>ORÇAMENTO!J982</f>
        <v>91026.3</v>
      </c>
      <c r="M23" s="23">
        <f>ORÇAMENTO!K982</f>
        <v>3.2180525300534199E-3</v>
      </c>
      <c r="N23" s="23" t="str">
        <f t="shared" si="1"/>
        <v>OK!</v>
      </c>
      <c r="O23" s="23" t="str">
        <f t="shared" si="2"/>
        <v>OK!</v>
      </c>
      <c r="P23" s="23" t="str">
        <f t="shared" si="3"/>
        <v>OK!</v>
      </c>
    </row>
    <row r="24" spans="2:16" ht="58" x14ac:dyDescent="0.35">
      <c r="B24" s="43">
        <f t="shared" si="0"/>
        <v>5</v>
      </c>
      <c r="C24" s="44" t="str">
        <f>ORÇAMENTO!A186</f>
        <v>4.1.2.4.19</v>
      </c>
      <c r="D24" s="44" t="str">
        <f>ORÇAMENTO!B186</f>
        <v xml:space="preserve"> 92828 </v>
      </c>
      <c r="E24" s="44" t="str">
        <f>ORÇAMENTO!C186</f>
        <v>SINAPI</v>
      </c>
      <c r="F24" s="480" t="str">
        <f>ORÇAMENTO!D186</f>
        <v>ASSENTAMENTO DE TUBO DE CONCRETO PARA REDES COLETORAS DE ÁGUAS PLUVIAIS, DIÂMETRO DE 1000 MM, JUNTA RÍGIDA, INSTALADO EM LOCAL COM ALTO NÍVEL DE INTERFERÊNCIAS (NÃO INCLUI FORNECIMENTO). AF_03/2024</v>
      </c>
      <c r="G24" s="44" t="str">
        <f>ORÇAMENTO!E186</f>
        <v>M</v>
      </c>
      <c r="H24" s="44">
        <f>ORÇAMENTO!F186</f>
        <v>181.50284289184066</v>
      </c>
      <c r="I24" s="44">
        <f>ORÇAMENTO!G186</f>
        <v>108</v>
      </c>
      <c r="J24" s="44">
        <f>ORÇAMENTO!H186</f>
        <v>0.2122</v>
      </c>
      <c r="K24" s="44">
        <f>ORÇAMENTO!I186</f>
        <v>130.91999999999999</v>
      </c>
      <c r="L24" s="44">
        <f>ORÇAMENTO!J186</f>
        <v>23762.35</v>
      </c>
      <c r="M24" s="23">
        <f>ORÇAMENTO!K186</f>
        <v>8.4007029328353315E-4</v>
      </c>
      <c r="N24" s="23" t="str">
        <f t="shared" si="1"/>
        <v>DIFERENTE</v>
      </c>
      <c r="O24" s="23" t="str">
        <f t="shared" si="2"/>
        <v>DIFERENTE</v>
      </c>
      <c r="P24" s="23" t="str">
        <f t="shared" si="3"/>
        <v>DIFERENTE</v>
      </c>
    </row>
    <row r="25" spans="2:16" ht="58" x14ac:dyDescent="0.35">
      <c r="B25" s="43">
        <f t="shared" si="0"/>
        <v>5</v>
      </c>
      <c r="C25" s="44" t="str">
        <f>ORÇAMENTO!A425</f>
        <v>5.1.2.4.19</v>
      </c>
      <c r="D25" s="44" t="str">
        <f>ORÇAMENTO!B425</f>
        <v xml:space="preserve"> 92828 </v>
      </c>
      <c r="E25" s="44" t="str">
        <f>ORÇAMENTO!C425</f>
        <v>SINAPI</v>
      </c>
      <c r="F25" s="480" t="str">
        <f>ORÇAMENTO!D425</f>
        <v>ASSENTAMENTO DE TUBO DE CONCRETO PARA REDES COLETORAS DE ÁGUAS PLUVIAIS, DIÂMETRO DE 1000 MM, JUNTA RÍGIDA, INSTALADO EM LOCAL COM ALTO NÍVEL DE INTERFERÊNCIAS (NÃO INCLUI FORNECIMENTO). AF_03/2024</v>
      </c>
      <c r="G25" s="44" t="str">
        <f>ORÇAMENTO!E425</f>
        <v>M</v>
      </c>
      <c r="H25" s="44">
        <f>ORÇAMENTO!F425</f>
        <v>667.95</v>
      </c>
      <c r="I25" s="44">
        <f>ORÇAMENTO!G425</f>
        <v>108</v>
      </c>
      <c r="J25" s="44">
        <f>ORÇAMENTO!H425</f>
        <v>0.2122</v>
      </c>
      <c r="K25" s="44">
        <f>ORÇAMENTO!I425</f>
        <v>130.91999999999999</v>
      </c>
      <c r="L25" s="44">
        <f>ORÇAMENTO!J425</f>
        <v>87448.01</v>
      </c>
      <c r="M25" s="23">
        <f>ORÇAMENTO!K425</f>
        <v>3.0915492536622573E-3</v>
      </c>
      <c r="N25" s="23" t="str">
        <f t="shared" si="1"/>
        <v>OK!</v>
      </c>
      <c r="O25" s="23" t="str">
        <f t="shared" si="2"/>
        <v>OK!</v>
      </c>
      <c r="P25" s="23" t="str">
        <f t="shared" si="3"/>
        <v>OK!</v>
      </c>
    </row>
    <row r="26" spans="2:16" ht="58" x14ac:dyDescent="0.35">
      <c r="B26" s="43">
        <f t="shared" si="0"/>
        <v>5</v>
      </c>
      <c r="C26" s="44" t="str">
        <f>ORÇAMENTO!A834</f>
        <v>7.1.2.4.19</v>
      </c>
      <c r="D26" s="44" t="str">
        <f>ORÇAMENTO!B834</f>
        <v xml:space="preserve"> 92828 </v>
      </c>
      <c r="E26" s="44" t="str">
        <f>ORÇAMENTO!C834</f>
        <v>SINAPI</v>
      </c>
      <c r="F26" s="480" t="str">
        <f>ORÇAMENTO!D834</f>
        <v>ASSENTAMENTO DE TUBO DE CONCRETO PARA REDES COLETORAS DE ÁGUAS PLUVIAIS, DIÂMETRO DE 1000 MM, JUNTA RÍGIDA, INSTALADO EM LOCAL COM ALTO NÍVEL DE INTERFERÊNCIAS (NÃO INCLUI FORNECIMENTO). AF_03/2024</v>
      </c>
      <c r="G26" s="44" t="str">
        <f>ORÇAMENTO!E834</f>
        <v>M</v>
      </c>
      <c r="H26" s="44">
        <f>ORÇAMENTO!F834</f>
        <v>476.44999999999993</v>
      </c>
      <c r="I26" s="44">
        <f>ORÇAMENTO!G834</f>
        <v>108</v>
      </c>
      <c r="J26" s="44">
        <f>ORÇAMENTO!H834</f>
        <v>0.2122</v>
      </c>
      <c r="K26" s="44">
        <f>ORÇAMENTO!I834</f>
        <v>130.91999999999999</v>
      </c>
      <c r="L26" s="44">
        <f>ORÇAMENTO!J834</f>
        <v>62376.83</v>
      </c>
      <c r="M26" s="23">
        <f>ORÇAMENTO!K834</f>
        <v>2.2052078970386806E-3</v>
      </c>
      <c r="N26" s="23" t="str">
        <f t="shared" si="1"/>
        <v>OK!</v>
      </c>
      <c r="O26" s="23" t="str">
        <f t="shared" si="2"/>
        <v>OK!</v>
      </c>
      <c r="P26" s="23" t="str">
        <f t="shared" si="3"/>
        <v>OK!</v>
      </c>
    </row>
    <row r="27" spans="2:16" ht="58" x14ac:dyDescent="0.35">
      <c r="B27" s="43">
        <f t="shared" si="0"/>
        <v>6</v>
      </c>
      <c r="C27" s="44" t="str">
        <f>ORÇAMENTO!A187</f>
        <v>4.1.2.4.20</v>
      </c>
      <c r="D27" s="44" t="str">
        <f>ORÇAMENTO!B187</f>
        <v xml:space="preserve"> 92830 </v>
      </c>
      <c r="E27" s="44" t="str">
        <f>ORÇAMENTO!C187</f>
        <v>SINAPI</v>
      </c>
      <c r="F27" s="480" t="str">
        <f>ORÇAMENTO!D187</f>
        <v>ASSENTAMENTO DE TUBO DE CONCRETO PARA REDES COLETORAS DE ÁGUAS PLUVIAIS, DIÂMETRO DE 1200 MM, JUNTA RÍGIDA, INSTALADO EM LOCAL COM ALTO NÍVEL DE INTERFERÊNCIAS (NÃO INCLUI FORNECIMENTO). AF_03/2024</v>
      </c>
      <c r="G27" s="44" t="str">
        <f>ORÇAMENTO!E187</f>
        <v>M</v>
      </c>
      <c r="H27" s="44">
        <f>ORÇAMENTO!F187</f>
        <v>34.998887036138747</v>
      </c>
      <c r="I27" s="44">
        <f>ORÇAMENTO!G187</f>
        <v>133.19</v>
      </c>
      <c r="J27" s="44">
        <f>ORÇAMENTO!H187</f>
        <v>0.2122</v>
      </c>
      <c r="K27" s="44">
        <f>ORÇAMENTO!I187</f>
        <v>161.44999999999999</v>
      </c>
      <c r="L27" s="44">
        <f>ORÇAMENTO!J187</f>
        <v>5650.57</v>
      </c>
      <c r="M27" s="23">
        <f>ORÇAMENTO!K187</f>
        <v>1.9976458545215998E-4</v>
      </c>
      <c r="N27" s="23" t="str">
        <f t="shared" si="1"/>
        <v>DIFERENTE</v>
      </c>
      <c r="O27" s="23" t="str">
        <f t="shared" si="2"/>
        <v>DIFERENTE</v>
      </c>
      <c r="P27" s="23" t="str">
        <f t="shared" si="3"/>
        <v>DIFERENTE</v>
      </c>
    </row>
    <row r="28" spans="2:16" ht="58" x14ac:dyDescent="0.35">
      <c r="B28" s="43">
        <f t="shared" si="0"/>
        <v>6</v>
      </c>
      <c r="C28" s="44" t="str">
        <f>ORÇAMENTO!A426</f>
        <v>5.1.2.4.20</v>
      </c>
      <c r="D28" s="44" t="str">
        <f>ORÇAMENTO!B426</f>
        <v xml:space="preserve"> 92830 </v>
      </c>
      <c r="E28" s="44" t="str">
        <f>ORÇAMENTO!C426</f>
        <v>SINAPI</v>
      </c>
      <c r="F28" s="480" t="str">
        <f>ORÇAMENTO!D426</f>
        <v>ASSENTAMENTO DE TUBO DE CONCRETO PARA REDES COLETORAS DE ÁGUAS PLUVIAIS, DIÂMETRO DE 1200 MM, JUNTA RÍGIDA, INSTALADO EM LOCAL COM ALTO NÍVEL DE INTERFERÊNCIAS (NÃO INCLUI FORNECIMENTO). AF_03/2024</v>
      </c>
      <c r="G28" s="44" t="str">
        <f>ORÇAMENTO!E426</f>
        <v>M</v>
      </c>
      <c r="H28" s="44">
        <f>ORÇAMENTO!F426</f>
        <v>233.04</v>
      </c>
      <c r="I28" s="44">
        <f>ORÇAMENTO!G426</f>
        <v>133.19</v>
      </c>
      <c r="J28" s="44">
        <f>ORÇAMENTO!H426</f>
        <v>0.2122</v>
      </c>
      <c r="K28" s="44">
        <f>ORÇAMENTO!I426</f>
        <v>161.44999999999999</v>
      </c>
      <c r="L28" s="44">
        <f>ORÇAMENTO!J426</f>
        <v>37624.300000000003</v>
      </c>
      <c r="M28" s="23">
        <f>ORÇAMENTO!K426</f>
        <v>1.3301317729764793E-3</v>
      </c>
      <c r="N28" s="23" t="str">
        <f t="shared" si="1"/>
        <v>OK!</v>
      </c>
      <c r="O28" s="23" t="str">
        <f t="shared" si="2"/>
        <v>OK!</v>
      </c>
      <c r="P28" s="23" t="str">
        <f t="shared" si="3"/>
        <v>OK!</v>
      </c>
    </row>
    <row r="29" spans="2:16" ht="58" x14ac:dyDescent="0.35">
      <c r="B29" s="43">
        <f t="shared" si="0"/>
        <v>6</v>
      </c>
      <c r="C29" s="44" t="str">
        <f>ORÇAMENTO!A636</f>
        <v>6.1.2.4.18</v>
      </c>
      <c r="D29" s="44" t="str">
        <f>ORÇAMENTO!B636</f>
        <v xml:space="preserve"> 92830 </v>
      </c>
      <c r="E29" s="44" t="str">
        <f>ORÇAMENTO!C636</f>
        <v>SINAPI</v>
      </c>
      <c r="F29" s="480" t="str">
        <f>ORÇAMENTO!D636</f>
        <v>ASSENTAMENTO DE TUBO DE CONCRETO PARA REDES COLETORAS DE ÁGUAS PLUVIAIS, DIÂMETRO DE 1200 MM, JUNTA RÍGIDA, INSTALADO EM LOCAL COM ALTO NÍVEL DE INTERFERÊNCIAS (NÃO INCLUI FORNECIMENTO). AF_03/2024</v>
      </c>
      <c r="G29" s="44" t="str">
        <f>ORÇAMENTO!E636</f>
        <v>M</v>
      </c>
      <c r="H29" s="44">
        <f>ORÇAMENTO!F636</f>
        <v>35.107015353864483</v>
      </c>
      <c r="I29" s="44">
        <f>ORÇAMENTO!G636</f>
        <v>133.19</v>
      </c>
      <c r="J29" s="44">
        <f>ORÇAMENTO!H636</f>
        <v>0.2122</v>
      </c>
      <c r="K29" s="44">
        <f>ORÇAMENTO!I636</f>
        <v>161.44999999999999</v>
      </c>
      <c r="L29" s="44">
        <f>ORÇAMENTO!J636</f>
        <v>5668.02</v>
      </c>
      <c r="M29" s="23">
        <f>ORÇAMENTO!K636</f>
        <v>2.003814952534969E-4</v>
      </c>
      <c r="N29" s="23" t="str">
        <f t="shared" si="1"/>
        <v>OK!</v>
      </c>
      <c r="O29" s="23" t="str">
        <f t="shared" si="2"/>
        <v>OK!</v>
      </c>
      <c r="P29" s="23" t="str">
        <f t="shared" si="3"/>
        <v>OK!</v>
      </c>
    </row>
    <row r="30" spans="2:16" ht="58" x14ac:dyDescent="0.35">
      <c r="B30" s="43">
        <f t="shared" si="0"/>
        <v>6</v>
      </c>
      <c r="C30" s="44" t="str">
        <f>ORÇAMENTO!A835</f>
        <v>7.1.2.4.20</v>
      </c>
      <c r="D30" s="44" t="str">
        <f>ORÇAMENTO!B835</f>
        <v xml:space="preserve"> 92830 </v>
      </c>
      <c r="E30" s="44" t="str">
        <f>ORÇAMENTO!C835</f>
        <v>SINAPI</v>
      </c>
      <c r="F30" s="480" t="str">
        <f>ORÇAMENTO!D835</f>
        <v>ASSENTAMENTO DE TUBO DE CONCRETO PARA REDES COLETORAS DE ÁGUAS PLUVIAIS, DIÂMETRO DE 1200 MM, JUNTA RÍGIDA, INSTALADO EM LOCAL COM ALTO NÍVEL DE INTERFERÊNCIAS (NÃO INCLUI FORNECIMENTO). AF_03/2024</v>
      </c>
      <c r="G30" s="44" t="str">
        <f>ORÇAMENTO!E835</f>
        <v>M</v>
      </c>
      <c r="H30" s="44">
        <f>ORÇAMENTO!F835</f>
        <v>309.30999999999995</v>
      </c>
      <c r="I30" s="44">
        <f>ORÇAMENTO!G835</f>
        <v>133.19</v>
      </c>
      <c r="J30" s="44">
        <f>ORÇAMENTO!H835</f>
        <v>0.2122</v>
      </c>
      <c r="K30" s="44">
        <f>ORÇAMENTO!I835</f>
        <v>161.44999999999999</v>
      </c>
      <c r="L30" s="44">
        <f>ORÇAMENTO!J835</f>
        <v>49938.09</v>
      </c>
      <c r="M30" s="23">
        <f>ORÇAMENTO!K835</f>
        <v>1.7654611565068048E-3</v>
      </c>
      <c r="N30" s="23" t="str">
        <f t="shared" si="1"/>
        <v>OK!</v>
      </c>
      <c r="O30" s="23" t="str">
        <f t="shared" si="2"/>
        <v>OK!</v>
      </c>
      <c r="P30" s="23" t="str">
        <f t="shared" si="3"/>
        <v>OK!</v>
      </c>
    </row>
    <row r="31" spans="2:16" ht="58" x14ac:dyDescent="0.35">
      <c r="B31" s="43">
        <f t="shared" si="0"/>
        <v>7</v>
      </c>
      <c r="C31" s="44" t="str">
        <f>ORÇAMENTO!A1026</f>
        <v xml:space="preserve"> 8.6.9</v>
      </c>
      <c r="D31" s="44" t="str">
        <f>ORÇAMENTO!B1026</f>
        <v xml:space="preserve"> 92817 </v>
      </c>
      <c r="E31" s="44" t="str">
        <f>ORÇAMENTO!C1026</f>
        <v>SINAPI</v>
      </c>
      <c r="F31" s="636" t="str">
        <f>ORÇAMENTO!D1026</f>
        <v>ASSENTAMENTO DE TUBO DE CONCRETO PARA REDES COLETORAS DE ÁGUAS PLUVIAIS, DIÂMETRO DE 1200 MM, JUNTA RÍGIDA, INSTALADO EM LOCAL COM BAIXO NÍVEL DE INTERFERÊNCIAS (NÃO INCLUI FORNECIMENTO). AF_12/2015</v>
      </c>
      <c r="G31" s="44" t="str">
        <f>ORÇAMENTO!E1026</f>
        <v>M</v>
      </c>
      <c r="H31" s="44">
        <f>ORÇAMENTO!F1026</f>
        <v>11.2</v>
      </c>
      <c r="I31" s="44">
        <f>ORÇAMENTO!G1026</f>
        <v>121.12</v>
      </c>
      <c r="J31" s="44">
        <f>ORÇAMENTO!H1026</f>
        <v>0.2122</v>
      </c>
      <c r="K31" s="44">
        <f>ORÇAMENTO!I1026</f>
        <v>146.82</v>
      </c>
      <c r="L31" s="638">
        <f>ORÇAMENTO!J1026</f>
        <v>1644.38</v>
      </c>
      <c r="M31" s="23">
        <f>ORÇAMENTO!K1026</f>
        <v>5.8133761554289723E-5</v>
      </c>
      <c r="N31" s="23" t="str">
        <f t="shared" si="1"/>
        <v>DIFERENTE</v>
      </c>
      <c r="O31" s="23" t="str">
        <f t="shared" si="2"/>
        <v>DIFERENTE</v>
      </c>
      <c r="P31" s="23" t="str">
        <f t="shared" si="3"/>
        <v>DIFERENTE</v>
      </c>
    </row>
    <row r="32" spans="2:16" ht="58" x14ac:dyDescent="0.35">
      <c r="B32" s="43">
        <f t="shared" si="0"/>
        <v>8</v>
      </c>
      <c r="C32" s="44" t="str">
        <f>ORÇAMENTO!A188</f>
        <v>4.1.2.4.21</v>
      </c>
      <c r="D32" s="44" t="str">
        <f>ORÇAMENTO!B188</f>
        <v xml:space="preserve"> 92832 </v>
      </c>
      <c r="E32" s="44" t="str">
        <f>ORÇAMENTO!C188</f>
        <v>SINAPI</v>
      </c>
      <c r="F32" s="480" t="str">
        <f>ORÇAMENTO!D188</f>
        <v>ASSENTAMENTO DE TUBO DE CONCRETO PARA REDES COLETORAS DE ÁGUAS PLUVIAIS, DIÂMETRO DE 1500 MM, JUNTA RÍGIDA, INSTALADO EM LOCAL COM ALTO NÍVEL DE INTERFERÊNCIAS (NÃO INCLUI FORNECIMENTO). AF_03/2024</v>
      </c>
      <c r="G32" s="44" t="str">
        <f>ORÇAMENTO!E188</f>
        <v>M</v>
      </c>
      <c r="H32" s="44">
        <f>ORÇAMENTO!F188</f>
        <v>488.31018738243068</v>
      </c>
      <c r="I32" s="44">
        <f>ORÇAMENTO!G188</f>
        <v>172.74</v>
      </c>
      <c r="J32" s="44">
        <f>ORÇAMENTO!H188</f>
        <v>0.2122</v>
      </c>
      <c r="K32" s="44">
        <f>ORÇAMENTO!I188</f>
        <v>209.4</v>
      </c>
      <c r="L32" s="44">
        <f>ORÇAMENTO!J188</f>
        <v>102252.15</v>
      </c>
      <c r="M32" s="23">
        <f>ORÇAMENTO!K188</f>
        <v>3.6149199737977021E-3</v>
      </c>
      <c r="N32" s="23" t="str">
        <f t="shared" si="1"/>
        <v>DIFERENTE</v>
      </c>
      <c r="O32" s="23" t="str">
        <f t="shared" si="2"/>
        <v>DIFERENTE</v>
      </c>
      <c r="P32" s="23" t="str">
        <f t="shared" si="3"/>
        <v>DIFERENTE</v>
      </c>
    </row>
    <row r="33" spans="2:16" ht="58" x14ac:dyDescent="0.35">
      <c r="B33" s="43">
        <f t="shared" si="0"/>
        <v>8</v>
      </c>
      <c r="C33" s="44" t="str">
        <f>ORÇAMENTO!A427</f>
        <v>5.1.2.4.21</v>
      </c>
      <c r="D33" s="44" t="str">
        <f>ORÇAMENTO!B427</f>
        <v xml:space="preserve"> 92832 </v>
      </c>
      <c r="E33" s="44" t="str">
        <f>ORÇAMENTO!C427</f>
        <v>SINAPI</v>
      </c>
      <c r="F33" s="480" t="str">
        <f>ORÇAMENTO!D427</f>
        <v>ASSENTAMENTO DE TUBO DE CONCRETO PARA REDES COLETORAS DE ÁGUAS PLUVIAIS, DIÂMETRO DE 1500 MM, JUNTA RÍGIDA, INSTALADO EM LOCAL COM ALTO NÍVEL DE INTERFERÊNCIAS (NÃO INCLUI FORNECIMENTO). AF_03/2024</v>
      </c>
      <c r="G33" s="44" t="str">
        <f>ORÇAMENTO!E427</f>
        <v>M</v>
      </c>
      <c r="H33" s="44">
        <f>ORÇAMENTO!F427</f>
        <v>310.88</v>
      </c>
      <c r="I33" s="44">
        <f>ORÇAMENTO!G427</f>
        <v>172.74</v>
      </c>
      <c r="J33" s="44">
        <f>ORÇAMENTO!H427</f>
        <v>0.2122</v>
      </c>
      <c r="K33" s="44">
        <f>ORÇAMENTO!I427</f>
        <v>209.4</v>
      </c>
      <c r="L33" s="44">
        <f>ORÇAMENTO!J427</f>
        <v>65098.27</v>
      </c>
      <c r="M33" s="23">
        <f>ORÇAMENTO!K427</f>
        <v>2.3014189577693547E-3</v>
      </c>
      <c r="N33" s="23" t="str">
        <f t="shared" si="1"/>
        <v>OK!</v>
      </c>
      <c r="O33" s="23" t="str">
        <f t="shared" si="2"/>
        <v>OK!</v>
      </c>
      <c r="P33" s="23" t="str">
        <f t="shared" si="3"/>
        <v>OK!</v>
      </c>
    </row>
    <row r="34" spans="2:16" ht="58" x14ac:dyDescent="0.35">
      <c r="B34" s="43">
        <f t="shared" si="0"/>
        <v>8</v>
      </c>
      <c r="C34" s="44" t="str">
        <f>ORÇAMENTO!A637</f>
        <v>6.1.2.4.19</v>
      </c>
      <c r="D34" s="44" t="str">
        <f>ORÇAMENTO!B637</f>
        <v xml:space="preserve"> 92832 </v>
      </c>
      <c r="E34" s="44" t="str">
        <f>ORÇAMENTO!C637</f>
        <v>SINAPI</v>
      </c>
      <c r="F34" s="480" t="str">
        <f>ORÇAMENTO!D637</f>
        <v>ASSENTAMENTO DE TUBO DE CONCRETO PARA REDES COLETORAS DE ÁGUAS PLUVIAIS, DIÂMETRO DE 1500 MM, JUNTA RÍGIDA, INSTALADO EM LOCAL COM ALTO NÍVEL DE INTERFERÊNCIAS (NÃO INCLUI FORNECIMENTO). AF_03/2024</v>
      </c>
      <c r="G34" s="44" t="str">
        <f>ORÇAMENTO!E637</f>
        <v>M</v>
      </c>
      <c r="H34" s="44">
        <f>ORÇAMENTO!F637</f>
        <v>99.773215677953146</v>
      </c>
      <c r="I34" s="44">
        <f>ORÇAMENTO!G637</f>
        <v>172.74</v>
      </c>
      <c r="J34" s="44">
        <f>ORÇAMENTO!H637</f>
        <v>0.2122</v>
      </c>
      <c r="K34" s="44">
        <f>ORÇAMENTO!I637</f>
        <v>209.4</v>
      </c>
      <c r="L34" s="44">
        <f>ORÇAMENTO!J637</f>
        <v>20892.509999999998</v>
      </c>
      <c r="M34" s="23">
        <f>ORÇAMENTO!K637</f>
        <v>7.3861284776670442E-4</v>
      </c>
      <c r="N34" s="23" t="str">
        <f t="shared" si="1"/>
        <v>OK!</v>
      </c>
      <c r="O34" s="23" t="str">
        <f t="shared" si="2"/>
        <v>OK!</v>
      </c>
      <c r="P34" s="23" t="str">
        <f t="shared" si="3"/>
        <v>OK!</v>
      </c>
    </row>
    <row r="35" spans="2:16" ht="58" x14ac:dyDescent="0.35">
      <c r="B35" s="43">
        <f t="shared" si="0"/>
        <v>8</v>
      </c>
      <c r="C35" s="44" t="str">
        <f>ORÇAMENTO!A836</f>
        <v>7.1.2.4.21</v>
      </c>
      <c r="D35" s="44" t="str">
        <f>ORÇAMENTO!B836</f>
        <v xml:space="preserve"> 92832 </v>
      </c>
      <c r="E35" s="44" t="str">
        <f>ORÇAMENTO!C836</f>
        <v>SINAPI</v>
      </c>
      <c r="F35" s="480" t="str">
        <f>ORÇAMENTO!D836</f>
        <v>ASSENTAMENTO DE TUBO DE CONCRETO PARA REDES COLETORAS DE ÁGUAS PLUVIAIS, DIÂMETRO DE 1500 MM, JUNTA RÍGIDA, INSTALADO EM LOCAL COM ALTO NÍVEL DE INTERFERÊNCIAS (NÃO INCLUI FORNECIMENTO). AF_03/2024</v>
      </c>
      <c r="G35" s="44" t="str">
        <f>ORÇAMENTO!E836</f>
        <v>M</v>
      </c>
      <c r="H35" s="44">
        <f>ORÇAMENTO!F836</f>
        <v>375.19999999999993</v>
      </c>
      <c r="I35" s="44">
        <f>ORÇAMENTO!G836</f>
        <v>172.74</v>
      </c>
      <c r="J35" s="44">
        <f>ORÇAMENTO!H836</f>
        <v>0.2122</v>
      </c>
      <c r="K35" s="44">
        <f>ORÇAMENTO!I836</f>
        <v>209.4</v>
      </c>
      <c r="L35" s="44">
        <f>ORÇAMENTO!J836</f>
        <v>78566.880000000005</v>
      </c>
      <c r="M35" s="23">
        <f>ORÇAMENTO!K836</f>
        <v>2.7775746895392149E-3</v>
      </c>
      <c r="N35" s="23" t="str">
        <f t="shared" si="1"/>
        <v>OK!</v>
      </c>
      <c r="O35" s="23" t="str">
        <f t="shared" si="2"/>
        <v>OK!</v>
      </c>
      <c r="P35" s="23" t="str">
        <f t="shared" si="3"/>
        <v>OK!</v>
      </c>
    </row>
    <row r="36" spans="2:16" ht="58" x14ac:dyDescent="0.35">
      <c r="B36" s="43">
        <f t="shared" si="0"/>
        <v>9</v>
      </c>
      <c r="C36" s="44" t="str">
        <f>ORÇAMENTO!A251</f>
        <v>4.1.2.6.49</v>
      </c>
      <c r="D36" s="44" t="str">
        <f>ORÇAMENTO!B251</f>
        <v xml:space="preserve"> 92821 </v>
      </c>
      <c r="E36" s="44" t="str">
        <f>ORÇAMENTO!C251</f>
        <v>SINAPI</v>
      </c>
      <c r="F36" s="480" t="str">
        <f>ORÇAMENTO!D251</f>
        <v>ASSENTAMENTO DE TUBO DE CONCRETO PARA REDES COLETORAS DE ÁGUAS PLUVIAIS, DIÂMETRO DE 400 MM, JUNTA RÍGIDA, INSTALADO EM LOCAL COM ALTO NÍVEL DE INTERFERÊNCIAS (NÃO INCLUI FORNECIMENTO). AF_03/2024</v>
      </c>
      <c r="G36" s="44" t="str">
        <f>ORÇAMENTO!E251</f>
        <v>M</v>
      </c>
      <c r="H36" s="44">
        <f>ORÇAMENTO!F251</f>
        <v>160.69999999999999</v>
      </c>
      <c r="I36" s="44">
        <f>ORÇAMENTO!G251</f>
        <v>38.11</v>
      </c>
      <c r="J36" s="44">
        <f>ORÇAMENTO!H251</f>
        <v>0.2122</v>
      </c>
      <c r="K36" s="44">
        <f>ORÇAMENTO!I251</f>
        <v>46.2</v>
      </c>
      <c r="L36" s="44">
        <f>ORÇAMENTO!J251</f>
        <v>7424.34</v>
      </c>
      <c r="M36" s="23">
        <f>ORÇAMENTO!K251</f>
        <v>2.6247267131561766E-4</v>
      </c>
      <c r="N36" s="23" t="str">
        <f t="shared" si="1"/>
        <v>DIFERENTE</v>
      </c>
      <c r="O36" s="23" t="str">
        <f t="shared" si="2"/>
        <v>DIFERENTE</v>
      </c>
      <c r="P36" s="23" t="str">
        <f t="shared" si="3"/>
        <v>DIFERENTE</v>
      </c>
    </row>
    <row r="37" spans="2:16" ht="58" x14ac:dyDescent="0.35">
      <c r="B37" s="43">
        <f t="shared" si="0"/>
        <v>9</v>
      </c>
      <c r="C37" s="44" t="str">
        <f>ORÇAMENTO!A494</f>
        <v>5.1.2.6.50</v>
      </c>
      <c r="D37" s="44" t="str">
        <f>ORÇAMENTO!B494</f>
        <v xml:space="preserve"> 92821 </v>
      </c>
      <c r="E37" s="44" t="str">
        <f>ORÇAMENTO!C494</f>
        <v>SINAPI</v>
      </c>
      <c r="F37" s="480" t="str">
        <f>ORÇAMENTO!D494</f>
        <v>ASSENTAMENTO DE TUBO DE CONCRETO PARA REDES COLETORAS DE ÁGUAS PLUVIAIS, DIÂMETRO DE 400 MM, JUNTA RÍGIDA, INSTALADO EM LOCAL COM ALTO NÍVEL DE INTERFERÊNCIAS (NÃO INCLUI FORNECIMENTO). AF_03/2024</v>
      </c>
      <c r="G37" s="44" t="str">
        <f>ORÇAMENTO!E494</f>
        <v>M</v>
      </c>
      <c r="H37" s="44">
        <f>ORÇAMENTO!F494</f>
        <v>329.84</v>
      </c>
      <c r="I37" s="44">
        <f>ORÇAMENTO!G494</f>
        <v>38.11</v>
      </c>
      <c r="J37" s="44">
        <f>ORÇAMENTO!H494</f>
        <v>0.2122</v>
      </c>
      <c r="K37" s="44">
        <f>ORÇAMENTO!I494</f>
        <v>46.2</v>
      </c>
      <c r="L37" s="44">
        <f>ORÇAMENTO!J494</f>
        <v>15238.6</v>
      </c>
      <c r="M37" s="23">
        <f>ORÇAMENTO!K494</f>
        <v>5.3873018330385881E-4</v>
      </c>
      <c r="N37" s="23" t="str">
        <f t="shared" si="1"/>
        <v>OK!</v>
      </c>
      <c r="O37" s="23" t="str">
        <f t="shared" si="2"/>
        <v>OK!</v>
      </c>
      <c r="P37" s="23" t="str">
        <f t="shared" si="3"/>
        <v>OK!</v>
      </c>
    </row>
    <row r="38" spans="2:16" ht="58" x14ac:dyDescent="0.35">
      <c r="B38" s="43">
        <f t="shared" si="0"/>
        <v>9</v>
      </c>
      <c r="C38" s="44" t="str">
        <f>ORÇAMENTO!A689</f>
        <v>6.1.2.6.42</v>
      </c>
      <c r="D38" s="44" t="str">
        <f>ORÇAMENTO!B689</f>
        <v xml:space="preserve"> 92821 </v>
      </c>
      <c r="E38" s="44" t="str">
        <f>ORÇAMENTO!C689</f>
        <v>SINAPI</v>
      </c>
      <c r="F38" s="480" t="str">
        <f>ORÇAMENTO!D689</f>
        <v>ASSENTAMENTO DE TUBO DE CONCRETO PARA REDES COLETORAS DE ÁGUAS PLUVIAIS, DIÂMETRO DE 400 MM, JUNTA RÍGIDA, INSTALADO EM LOCAL COM ALTO NÍVEL DE INTERFERÊNCIAS (NÃO INCLUI FORNECIMENTO). AF_03/2024</v>
      </c>
      <c r="G38" s="44" t="str">
        <f>ORÇAMENTO!E689</f>
        <v>M</v>
      </c>
      <c r="H38" s="44">
        <f>ORÇAMENTO!F689</f>
        <v>164.83</v>
      </c>
      <c r="I38" s="44">
        <f>ORÇAMENTO!G689</f>
        <v>38.11</v>
      </c>
      <c r="J38" s="44">
        <f>ORÇAMENTO!H689</f>
        <v>0.2122</v>
      </c>
      <c r="K38" s="44">
        <f>ORÇAMENTO!I689</f>
        <v>46.2</v>
      </c>
      <c r="L38" s="44">
        <f>ORÇAMENTO!J689</f>
        <v>7615.14</v>
      </c>
      <c r="M38" s="23">
        <f>ORÇAMENTO!K689</f>
        <v>2.6921802318353045E-4</v>
      </c>
      <c r="N38" s="23" t="str">
        <f t="shared" si="1"/>
        <v>OK!</v>
      </c>
      <c r="O38" s="23" t="str">
        <f t="shared" si="2"/>
        <v>OK!</v>
      </c>
      <c r="P38" s="23" t="str">
        <f t="shared" si="3"/>
        <v>OK!</v>
      </c>
    </row>
    <row r="39" spans="2:16" ht="58" x14ac:dyDescent="0.35">
      <c r="B39" s="43">
        <f t="shared" si="0"/>
        <v>9</v>
      </c>
      <c r="C39" s="44" t="str">
        <f>ORÇAMENTO!A902</f>
        <v>7.1.2.6.49</v>
      </c>
      <c r="D39" s="44" t="str">
        <f>ORÇAMENTO!B902</f>
        <v xml:space="preserve"> 92821 </v>
      </c>
      <c r="E39" s="44" t="str">
        <f>ORÇAMENTO!C902</f>
        <v>SINAPI</v>
      </c>
      <c r="F39" s="480" t="str">
        <f>ORÇAMENTO!D902</f>
        <v>ASSENTAMENTO DE TUBO DE CONCRETO PARA REDES COLETORAS DE ÁGUAS PLUVIAIS, DIÂMETRO DE 400 MM, JUNTA RÍGIDA, INSTALADO EM LOCAL COM ALTO NÍVEL DE INTERFERÊNCIAS (NÃO INCLUI FORNECIMENTO). AF_03/2024</v>
      </c>
      <c r="G39" s="44" t="str">
        <f>ORÇAMENTO!E902</f>
        <v>M</v>
      </c>
      <c r="H39" s="44">
        <f>ORÇAMENTO!F902</f>
        <v>263.05</v>
      </c>
      <c r="I39" s="44">
        <f>ORÇAMENTO!G902</f>
        <v>38.11</v>
      </c>
      <c r="J39" s="44">
        <f>ORÇAMENTO!H902</f>
        <v>0.2122</v>
      </c>
      <c r="K39" s="44">
        <f>ORÇAMENTO!I902</f>
        <v>46.2</v>
      </c>
      <c r="L39" s="44">
        <f>ORÇAMENTO!J902</f>
        <v>12152.91</v>
      </c>
      <c r="M39" s="23">
        <f>ORÇAMENTO!K902</f>
        <v>4.2964179333897462E-4</v>
      </c>
      <c r="N39" s="23" t="str">
        <f t="shared" si="1"/>
        <v>OK!</v>
      </c>
      <c r="O39" s="23" t="str">
        <f t="shared" si="2"/>
        <v>OK!</v>
      </c>
      <c r="P39" s="23" t="str">
        <f t="shared" si="3"/>
        <v>OK!</v>
      </c>
    </row>
    <row r="40" spans="2:16" ht="58" x14ac:dyDescent="0.35">
      <c r="B40" s="43">
        <f t="shared" si="0"/>
        <v>10</v>
      </c>
      <c r="C40" s="44" t="str">
        <f>ORÇAMENTO!A184</f>
        <v>4.1.2.4.17</v>
      </c>
      <c r="D40" s="44" t="str">
        <f>ORÇAMENTO!B184</f>
        <v xml:space="preserve"> 92824 </v>
      </c>
      <c r="E40" s="44" t="str">
        <f>ORÇAMENTO!C184</f>
        <v>SINAPI</v>
      </c>
      <c r="F40" s="480" t="str">
        <f>ORÇAMENTO!D184</f>
        <v>ASSENTAMENTO DE TUBO DE CONCRETO PARA REDES COLETORAS DE ÁGUAS PLUVIAIS, DIÂMETRO DE 600 MM, JUNTA RÍGIDA, INSTALADO EM LOCAL COM ALTO NÍVEL DE INTERFERÊNCIAS (NÃO INCLUI FORNECIMENTO). AF_03/2024</v>
      </c>
      <c r="G40" s="44" t="str">
        <f>ORÇAMENTO!E184</f>
        <v>M</v>
      </c>
      <c r="H40" s="44">
        <f>ORÇAMENTO!F184</f>
        <v>162.4523830953656</v>
      </c>
      <c r="I40" s="44">
        <f>ORÇAMENTO!G184</f>
        <v>60.45</v>
      </c>
      <c r="J40" s="44">
        <f>ORÇAMENTO!H184</f>
        <v>0.2122</v>
      </c>
      <c r="K40" s="44">
        <f>ORÇAMENTO!I184</f>
        <v>73.28</v>
      </c>
      <c r="L40" s="44">
        <f>ORÇAMENTO!J184</f>
        <v>11904.51</v>
      </c>
      <c r="M40" s="23">
        <f>ORÇAMENTO!K184</f>
        <v>4.2086010883169187E-4</v>
      </c>
      <c r="N40" s="23" t="str">
        <f t="shared" si="1"/>
        <v>DIFERENTE</v>
      </c>
      <c r="O40" s="23" t="str">
        <f t="shared" si="2"/>
        <v>DIFERENTE</v>
      </c>
      <c r="P40" s="23" t="str">
        <f t="shared" si="3"/>
        <v>DIFERENTE</v>
      </c>
    </row>
    <row r="41" spans="2:16" ht="58" x14ac:dyDescent="0.35">
      <c r="B41" s="43">
        <f t="shared" si="0"/>
        <v>10</v>
      </c>
      <c r="C41" s="44" t="str">
        <f>ORÇAMENTO!A423</f>
        <v>5.1.2.4.17</v>
      </c>
      <c r="D41" s="44" t="str">
        <f>ORÇAMENTO!B423</f>
        <v xml:space="preserve"> 92824 </v>
      </c>
      <c r="E41" s="44" t="str">
        <f>ORÇAMENTO!C423</f>
        <v>SINAPI</v>
      </c>
      <c r="F41" s="480" t="str">
        <f>ORÇAMENTO!D423</f>
        <v>ASSENTAMENTO DE TUBO DE CONCRETO PARA REDES COLETORAS DE ÁGUAS PLUVIAIS, DIÂMETRO DE 600 MM, JUNTA RÍGIDA, INSTALADO EM LOCAL COM ALTO NÍVEL DE INTERFERÊNCIAS (NÃO INCLUI FORNECIMENTO). AF_03/2024</v>
      </c>
      <c r="G41" s="44" t="str">
        <f>ORÇAMENTO!E423</f>
        <v>M</v>
      </c>
      <c r="H41" s="44">
        <f>ORÇAMENTO!F423</f>
        <v>519.99</v>
      </c>
      <c r="I41" s="44">
        <f>ORÇAMENTO!G423</f>
        <v>60.45</v>
      </c>
      <c r="J41" s="44">
        <f>ORÇAMENTO!H423</f>
        <v>0.2122</v>
      </c>
      <c r="K41" s="44">
        <f>ORÇAMENTO!I423</f>
        <v>73.28</v>
      </c>
      <c r="L41" s="44">
        <f>ORÇAMENTO!J423</f>
        <v>38104.86</v>
      </c>
      <c r="M41" s="23">
        <f>ORÇAMENTO!K423</f>
        <v>1.3471210093163332E-3</v>
      </c>
      <c r="N41" s="23" t="str">
        <f t="shared" si="1"/>
        <v>OK!</v>
      </c>
      <c r="O41" s="23" t="str">
        <f t="shared" si="2"/>
        <v>OK!</v>
      </c>
      <c r="P41" s="23" t="str">
        <f t="shared" si="3"/>
        <v>OK!</v>
      </c>
    </row>
    <row r="42" spans="2:16" ht="58" x14ac:dyDescent="0.35">
      <c r="B42" s="43">
        <f t="shared" si="0"/>
        <v>10</v>
      </c>
      <c r="C42" s="44" t="str">
        <f>ORÇAMENTO!A635</f>
        <v>6.1.2.4.17</v>
      </c>
      <c r="D42" s="44" t="str">
        <f>ORÇAMENTO!B635</f>
        <v xml:space="preserve"> 92824 </v>
      </c>
      <c r="E42" s="44" t="str">
        <f>ORÇAMENTO!C635</f>
        <v>SINAPI</v>
      </c>
      <c r="F42" s="480" t="str">
        <f>ORÇAMENTO!D635</f>
        <v>ASSENTAMENTO DE TUBO DE CONCRETO PARA REDES COLETORAS DE ÁGUAS PLUVIAIS, DIÂMETRO DE 600 MM, JUNTA RÍGIDA, INSTALADO EM LOCAL COM ALTO NÍVEL DE INTERFERÊNCIAS (NÃO INCLUI FORNECIMENTO). AF_03/2024</v>
      </c>
      <c r="G42" s="44" t="str">
        <f>ORÇAMENTO!E635</f>
        <v>M</v>
      </c>
      <c r="H42" s="44">
        <f>ORÇAMENTO!F635</f>
        <v>503.99999999932044</v>
      </c>
      <c r="I42" s="44">
        <f>ORÇAMENTO!G635</f>
        <v>60.45</v>
      </c>
      <c r="J42" s="44">
        <f>ORÇAMENTO!H635</f>
        <v>0.2122</v>
      </c>
      <c r="K42" s="44">
        <f>ORÇAMENTO!I635</f>
        <v>73.28</v>
      </c>
      <c r="L42" s="44">
        <f>ORÇAMENTO!J635</f>
        <v>36933.11</v>
      </c>
      <c r="M42" s="23">
        <f>ORÇAMENTO!K635</f>
        <v>1.3056961348340123E-3</v>
      </c>
      <c r="N42" s="23" t="str">
        <f t="shared" si="1"/>
        <v>OK!</v>
      </c>
      <c r="O42" s="23" t="str">
        <f t="shared" si="2"/>
        <v>OK!</v>
      </c>
      <c r="P42" s="23" t="str">
        <f t="shared" si="3"/>
        <v>OK!</v>
      </c>
    </row>
    <row r="43" spans="2:16" ht="58" x14ac:dyDescent="0.35">
      <c r="B43" s="43">
        <f t="shared" si="0"/>
        <v>10</v>
      </c>
      <c r="C43" s="44" t="str">
        <f>ORÇAMENTO!A832</f>
        <v>7.1.2.4.17</v>
      </c>
      <c r="D43" s="44" t="str">
        <f>ORÇAMENTO!B832</f>
        <v xml:space="preserve"> 92824 </v>
      </c>
      <c r="E43" s="44" t="str">
        <f>ORÇAMENTO!C832</f>
        <v>SINAPI</v>
      </c>
      <c r="F43" s="480" t="str">
        <f>ORÇAMENTO!D832</f>
        <v>ASSENTAMENTO DE TUBO DE CONCRETO PARA REDES COLETORAS DE ÁGUAS PLUVIAIS, DIÂMETRO DE 600 MM, JUNTA RÍGIDA, INSTALADO EM LOCAL COM ALTO NÍVEL DE INTERFERÊNCIAS (NÃO INCLUI FORNECIMENTO). AF_03/2024</v>
      </c>
      <c r="G43" s="44" t="str">
        <f>ORÇAMENTO!E832</f>
        <v>M</v>
      </c>
      <c r="H43" s="44">
        <f>ORÇAMENTO!F832</f>
        <v>138.92000000000002</v>
      </c>
      <c r="I43" s="44">
        <f>ORÇAMENTO!G832</f>
        <v>60.45</v>
      </c>
      <c r="J43" s="44">
        <f>ORÇAMENTO!H832</f>
        <v>0.2122</v>
      </c>
      <c r="K43" s="44">
        <f>ORÇAMENTO!I832</f>
        <v>73.28</v>
      </c>
      <c r="L43" s="44">
        <f>ORÇAMENTO!J832</f>
        <v>10180.049999999999</v>
      </c>
      <c r="M43" s="23">
        <f>ORÇAMENTO!K832</f>
        <v>3.5989527926072262E-4</v>
      </c>
      <c r="N43" s="23" t="str">
        <f t="shared" si="1"/>
        <v>OK!</v>
      </c>
      <c r="O43" s="23" t="str">
        <f t="shared" si="2"/>
        <v>OK!</v>
      </c>
      <c r="P43" s="23" t="str">
        <f t="shared" si="3"/>
        <v>OK!</v>
      </c>
    </row>
    <row r="44" spans="2:16" ht="58" x14ac:dyDescent="0.35">
      <c r="B44" s="43">
        <f t="shared" si="0"/>
        <v>11</v>
      </c>
      <c r="C44" s="44" t="str">
        <f>ORÇAMENTO!A185</f>
        <v>4.1.2.4.18</v>
      </c>
      <c r="D44" s="44" t="str">
        <f>ORÇAMENTO!B185</f>
        <v xml:space="preserve"> 92826 </v>
      </c>
      <c r="E44" s="44" t="str">
        <f>ORÇAMENTO!C185</f>
        <v>SINAPI</v>
      </c>
      <c r="F44" s="480" t="str">
        <f>ORÇAMENTO!D185</f>
        <v>ASSENTAMENTO DE TUBO DE CONCRETO PARA REDES COLETORAS DE ÁGUAS PLUVIAIS, DIÂMETRO DE 800 MM, JUNTA RÍGIDA, INSTALADO EM LOCAL COM ALTO NÍVEL DE INTERFERÊNCIAS (NÃO INCLUI FORNECIMENTO). AF_03/2024</v>
      </c>
      <c r="G44" s="44" t="str">
        <f>ORÇAMENTO!E185</f>
        <v>M</v>
      </c>
      <c r="H44" s="44">
        <f>ORÇAMENTO!F185</f>
        <v>72.999999999392372</v>
      </c>
      <c r="I44" s="44">
        <f>ORÇAMENTO!G185</f>
        <v>83.73</v>
      </c>
      <c r="J44" s="44">
        <f>ORÇAMENTO!H185</f>
        <v>0.2122</v>
      </c>
      <c r="K44" s="44">
        <f>ORÇAMENTO!I185</f>
        <v>101.5</v>
      </c>
      <c r="L44" s="44">
        <f>ORÇAMENTO!J185</f>
        <v>7409.49</v>
      </c>
      <c r="M44" s="23">
        <f>ORÇAMENTO!K185</f>
        <v>2.6194767930703007E-4</v>
      </c>
      <c r="N44" s="23" t="str">
        <f t="shared" si="1"/>
        <v>DIFERENTE</v>
      </c>
      <c r="O44" s="23" t="str">
        <f t="shared" si="2"/>
        <v>DIFERENTE</v>
      </c>
      <c r="P44" s="23" t="str">
        <f t="shared" si="3"/>
        <v>DIFERENTE</v>
      </c>
    </row>
    <row r="45" spans="2:16" ht="58" x14ac:dyDescent="0.35">
      <c r="B45" s="43">
        <f t="shared" si="0"/>
        <v>11</v>
      </c>
      <c r="C45" s="44" t="str">
        <f>ORÇAMENTO!A424</f>
        <v>5.1.2.4.18</v>
      </c>
      <c r="D45" s="44" t="str">
        <f>ORÇAMENTO!B424</f>
        <v xml:space="preserve"> 92826 </v>
      </c>
      <c r="E45" s="44" t="str">
        <f>ORÇAMENTO!C424</f>
        <v>SINAPI</v>
      </c>
      <c r="F45" s="480" t="str">
        <f>ORÇAMENTO!D424</f>
        <v>ASSENTAMENTO DE TUBO DE CONCRETO PARA REDES COLETORAS DE ÁGUAS PLUVIAIS, DIÂMETRO DE 800 MM, JUNTA RÍGIDA, INSTALADO EM LOCAL COM ALTO NÍVEL DE INTERFERÊNCIAS (NÃO INCLUI FORNECIMENTO). AF_03/2024</v>
      </c>
      <c r="G45" s="44" t="str">
        <f>ORÇAMENTO!E424</f>
        <v>M</v>
      </c>
      <c r="H45" s="44">
        <f>ORÇAMENTO!F424</f>
        <v>160.88999999999999</v>
      </c>
      <c r="I45" s="44">
        <f>ORÇAMENTO!G424</f>
        <v>83.73</v>
      </c>
      <c r="J45" s="44">
        <f>ORÇAMENTO!H424</f>
        <v>0.2122</v>
      </c>
      <c r="K45" s="44">
        <f>ORÇAMENTO!I424</f>
        <v>101.5</v>
      </c>
      <c r="L45" s="44">
        <f>ORÇAMENTO!J424</f>
        <v>16330.33</v>
      </c>
      <c r="M45" s="23">
        <f>ORÇAMENTO!K424</f>
        <v>5.7732611094933291E-4</v>
      </c>
      <c r="N45" s="23" t="str">
        <f t="shared" si="1"/>
        <v>OK!</v>
      </c>
      <c r="O45" s="23" t="str">
        <f t="shared" si="2"/>
        <v>OK!</v>
      </c>
      <c r="P45" s="23" t="str">
        <f t="shared" si="3"/>
        <v>OK!</v>
      </c>
    </row>
    <row r="46" spans="2:16" ht="58" x14ac:dyDescent="0.35">
      <c r="B46" s="43">
        <f t="shared" si="0"/>
        <v>11</v>
      </c>
      <c r="C46" s="44" t="str">
        <f>ORÇAMENTO!A833</f>
        <v>7.1.2.4.18</v>
      </c>
      <c r="D46" s="44" t="str">
        <f>ORÇAMENTO!B833</f>
        <v xml:space="preserve"> 92826 </v>
      </c>
      <c r="E46" s="44" t="str">
        <f>ORÇAMENTO!C833</f>
        <v>SINAPI</v>
      </c>
      <c r="F46" s="480" t="str">
        <f>ORÇAMENTO!D833</f>
        <v>ASSENTAMENTO DE TUBO DE CONCRETO PARA REDES COLETORAS DE ÁGUAS PLUVIAIS, DIÂMETRO DE 800 MM, JUNTA RÍGIDA, INSTALADO EM LOCAL COM ALTO NÍVEL DE INTERFERÊNCIAS (NÃO INCLUI FORNECIMENTO). AF_03/2024</v>
      </c>
      <c r="G46" s="44" t="str">
        <f>ORÇAMENTO!E833</f>
        <v>M</v>
      </c>
      <c r="H46" s="44">
        <f>ORÇAMENTO!F833</f>
        <v>140.28</v>
      </c>
      <c r="I46" s="44">
        <f>ORÇAMENTO!G833</f>
        <v>83.73</v>
      </c>
      <c r="J46" s="44">
        <f>ORÇAMENTO!H833</f>
        <v>0.2122</v>
      </c>
      <c r="K46" s="44">
        <f>ORÇAMENTO!I833</f>
        <v>101.5</v>
      </c>
      <c r="L46" s="44">
        <f>ORÇAMENTO!J833</f>
        <v>14238.42</v>
      </c>
      <c r="M46" s="23">
        <f>ORÇAMENTO!K833</f>
        <v>5.0337082255307768E-4</v>
      </c>
      <c r="N46" s="23" t="str">
        <f t="shared" si="1"/>
        <v>OK!</v>
      </c>
      <c r="O46" s="23" t="str">
        <f t="shared" si="2"/>
        <v>OK!</v>
      </c>
      <c r="P46" s="23" t="str">
        <f t="shared" si="3"/>
        <v>OK!</v>
      </c>
    </row>
    <row r="47" spans="2:16" ht="43.5" x14ac:dyDescent="0.35">
      <c r="B47" s="43">
        <f t="shared" si="0"/>
        <v>12</v>
      </c>
      <c r="C47" s="44" t="str">
        <f>ORÇAMENTO!A100</f>
        <v>4.1.1.1.11</v>
      </c>
      <c r="D47" s="44" t="str">
        <f>ORÇAMENTO!B100</f>
        <v xml:space="preserve"> 5213836 </v>
      </c>
      <c r="E47" s="44" t="str">
        <f>ORÇAMENTO!C100</f>
        <v>SICRO3</v>
      </c>
      <c r="F47" s="480" t="str">
        <f>ORÇAMENTO!D100</f>
        <v>BALIZADOR CÔNICO REFLETIVO EM POLIETILENO SEMIFLEXÍVEL DE 114 X 11 X 40 CM - UTILIZAÇÃO DE 150 CICLOS - FORNECIMENTO, 01 IMPLANTAÇÃO E 01 RETIRADA DIÁRIA</v>
      </c>
      <c r="G47" s="44" t="str">
        <f>ORÇAMENTO!E100</f>
        <v>UN.DIA</v>
      </c>
      <c r="H47" s="44">
        <f>ORÇAMENTO!F100</f>
        <v>1107</v>
      </c>
      <c r="I47" s="44">
        <f>ORÇAMENTO!G100</f>
        <v>1.25</v>
      </c>
      <c r="J47" s="44">
        <f>ORÇAMENTO!H100</f>
        <v>0.2122</v>
      </c>
      <c r="K47" s="44">
        <f>ORÇAMENTO!I100</f>
        <v>1.52</v>
      </c>
      <c r="L47" s="44">
        <f>ORÇAMENTO!J100</f>
        <v>1682.64</v>
      </c>
      <c r="M47" s="23">
        <f>ORÇAMENTO!K100</f>
        <v>5.9486367227593413E-5</v>
      </c>
      <c r="N47" s="23" t="str">
        <f t="shared" si="1"/>
        <v>DIFERENTE</v>
      </c>
      <c r="O47" s="23" t="str">
        <f t="shared" si="2"/>
        <v>DIFERENTE</v>
      </c>
      <c r="P47" s="23" t="str">
        <f t="shared" si="3"/>
        <v>DIFERENTE</v>
      </c>
    </row>
    <row r="48" spans="2:16" ht="43.5" x14ac:dyDescent="0.35">
      <c r="B48" s="43">
        <f t="shared" si="0"/>
        <v>12</v>
      </c>
      <c r="C48" s="44" t="str">
        <f>ORÇAMENTO!A341</f>
        <v>5.1.1.1.11</v>
      </c>
      <c r="D48" s="44" t="str">
        <f>ORÇAMENTO!B341</f>
        <v xml:space="preserve"> 5213836 </v>
      </c>
      <c r="E48" s="44" t="str">
        <f>ORÇAMENTO!C341</f>
        <v>SICRO3</v>
      </c>
      <c r="F48" s="480" t="str">
        <f>ORÇAMENTO!D341</f>
        <v>BALIZADOR CÔNICO REFLETIVO EM POLIETILENO SEMIFLEXÍVEL DE 114 X 11 X 40 CM - UTILIZAÇÃO DE 150 CICLOS - FORNECIMENTO, 01 IMPLANTAÇÃO E 01 RETIRADA DIÁRIA</v>
      </c>
      <c r="G48" s="44" t="str">
        <f>ORÇAMENTO!E341</f>
        <v>UN.DIA</v>
      </c>
      <c r="H48" s="44">
        <f>ORÇAMENTO!F341</f>
        <v>1923</v>
      </c>
      <c r="I48" s="44">
        <f>ORÇAMENTO!G341</f>
        <v>1.25</v>
      </c>
      <c r="J48" s="44">
        <f>ORÇAMENTO!H341</f>
        <v>0.2122</v>
      </c>
      <c r="K48" s="44">
        <f>ORÇAMENTO!I341</f>
        <v>1.52</v>
      </c>
      <c r="L48" s="44">
        <f>ORÇAMENTO!J341</f>
        <v>2922.96</v>
      </c>
      <c r="M48" s="23">
        <f>ORÇAMENTO!K341</f>
        <v>1.0333539672869208E-4</v>
      </c>
      <c r="N48" s="23" t="str">
        <f t="shared" si="1"/>
        <v>OK!</v>
      </c>
      <c r="O48" s="23" t="str">
        <f t="shared" si="2"/>
        <v>OK!</v>
      </c>
      <c r="P48" s="23" t="str">
        <f t="shared" si="3"/>
        <v>OK!</v>
      </c>
    </row>
    <row r="49" spans="2:16" ht="43.5" x14ac:dyDescent="0.35">
      <c r="B49" s="43">
        <f t="shared" si="0"/>
        <v>12</v>
      </c>
      <c r="C49" s="44" t="str">
        <f>ORÇAMENTO!A554</f>
        <v>6.1.1.1.11</v>
      </c>
      <c r="D49" s="44" t="str">
        <f>ORÇAMENTO!B554</f>
        <v xml:space="preserve"> 5213836 </v>
      </c>
      <c r="E49" s="44" t="str">
        <f>ORÇAMENTO!C554</f>
        <v>SICRO3</v>
      </c>
      <c r="F49" s="480" t="str">
        <f>ORÇAMENTO!D554</f>
        <v>BALIZADOR CÔNICO REFLETIVO EM POLIETILENO SEMIFLEXÍVEL DE 114 X 11 X 40 CM - UTILIZAÇÃO DE 150 CICLOS - FORNECIMENTO, 01 IMPLANTAÇÃO E 01 RETIRADA DIÁRIA</v>
      </c>
      <c r="G49" s="44" t="str">
        <f>ORÇAMENTO!E554</f>
        <v>UN.DIA</v>
      </c>
      <c r="H49" s="44">
        <f>ORÇAMENTO!F554</f>
        <v>643</v>
      </c>
      <c r="I49" s="44">
        <f>ORÇAMENTO!G554</f>
        <v>1.25</v>
      </c>
      <c r="J49" s="44">
        <f>ORÇAMENTO!H554</f>
        <v>0.2122</v>
      </c>
      <c r="K49" s="44">
        <f>ORÇAMENTO!I554</f>
        <v>1.52</v>
      </c>
      <c r="L49" s="44">
        <f>ORÇAMENTO!J554</f>
        <v>977.36</v>
      </c>
      <c r="M49" s="23">
        <f>ORÇAMENTO!K554</f>
        <v>3.4552605354419658E-5</v>
      </c>
      <c r="N49" s="23" t="str">
        <f t="shared" si="1"/>
        <v>OK!</v>
      </c>
      <c r="O49" s="23" t="str">
        <f t="shared" si="2"/>
        <v>OK!</v>
      </c>
      <c r="P49" s="23" t="str">
        <f t="shared" si="3"/>
        <v>OK!</v>
      </c>
    </row>
    <row r="50" spans="2:16" ht="43.5" x14ac:dyDescent="0.35">
      <c r="B50" s="43">
        <f t="shared" si="0"/>
        <v>12</v>
      </c>
      <c r="C50" s="44" t="str">
        <f>ORÇAMENTO!A744</f>
        <v>7.1.1.1.11</v>
      </c>
      <c r="D50" s="44" t="str">
        <f>ORÇAMENTO!B744</f>
        <v xml:space="preserve"> 5213836 </v>
      </c>
      <c r="E50" s="44" t="str">
        <f>ORÇAMENTO!C744</f>
        <v>SICRO3</v>
      </c>
      <c r="F50" s="480" t="str">
        <f>ORÇAMENTO!D744</f>
        <v>BALIZADOR CÔNICO REFLETIVO EM POLIETILENO SEMIFLEXÍVEL DE 114 X 11 X 40 CM - UTILIZAÇÃO DE 150 CICLOS - FORNECIMENTO, 01 IMPLANTAÇÃO E 01 RETIRADA DIÁRIA</v>
      </c>
      <c r="G50" s="44" t="str">
        <f>ORÇAMENTO!E744</f>
        <v>UN.DIA</v>
      </c>
      <c r="H50" s="44">
        <f>ORÇAMENTO!F744</f>
        <v>2340</v>
      </c>
      <c r="I50" s="44">
        <f>ORÇAMENTO!G744</f>
        <v>1.25</v>
      </c>
      <c r="J50" s="44">
        <f>ORÇAMENTO!H744</f>
        <v>0.2122</v>
      </c>
      <c r="K50" s="44">
        <f>ORÇAMENTO!I744</f>
        <v>1.52</v>
      </c>
      <c r="L50" s="44">
        <f>ORÇAMENTO!J744</f>
        <v>3556.8</v>
      </c>
      <c r="M50" s="23">
        <f>ORÇAMENTO!K744</f>
        <v>1.2574354048109176E-4</v>
      </c>
      <c r="N50" s="23" t="str">
        <f t="shared" si="1"/>
        <v>OK!</v>
      </c>
      <c r="O50" s="23" t="str">
        <f t="shared" si="2"/>
        <v>OK!</v>
      </c>
      <c r="P50" s="23" t="str">
        <f t="shared" si="3"/>
        <v>OK!</v>
      </c>
    </row>
    <row r="51" spans="2:16" ht="43.5" x14ac:dyDescent="0.35">
      <c r="B51" s="43">
        <f t="shared" si="0"/>
        <v>12</v>
      </c>
      <c r="C51" s="44" t="str">
        <f>ORÇAMENTO!A1044</f>
        <v xml:space="preserve"> 8.8.8</v>
      </c>
      <c r="D51" s="44" t="str">
        <f>ORÇAMENTO!B1044</f>
        <v xml:space="preserve"> 5213836 </v>
      </c>
      <c r="E51" s="44" t="str">
        <f>ORÇAMENTO!C1044</f>
        <v>SICRO3</v>
      </c>
      <c r="F51" s="636" t="str">
        <f>ORÇAMENTO!D1044</f>
        <v>BALIZADOR CÔNICO REFLETIVO EM POLIETILENO SEMIFLEXÍVEL DE 114 X 11 X 40 CM - UTILIZAÇÃO DE 150 CICLOS - FORNECIMENTO, 01 IMPLANTAÇÃO E 01 RETIRADA DIÁRIA</v>
      </c>
      <c r="G51" s="44" t="str">
        <f>ORÇAMENTO!E1044</f>
        <v>UN.DIA</v>
      </c>
      <c r="H51" s="44">
        <f>ORÇAMENTO!F1044</f>
        <v>25</v>
      </c>
      <c r="I51" s="44">
        <f>ORÇAMENTO!G1044</f>
        <v>1.25</v>
      </c>
      <c r="J51" s="44">
        <f>ORÇAMENTO!H1044</f>
        <v>0.2122</v>
      </c>
      <c r="K51" s="44">
        <f>ORÇAMENTO!I1044</f>
        <v>1.52</v>
      </c>
      <c r="L51" s="638">
        <f>ORÇAMENTO!J1044</f>
        <v>38</v>
      </c>
      <c r="M51" s="23">
        <f>ORÇAMENTO!K1044</f>
        <v>1.3434138940287582E-6</v>
      </c>
      <c r="N51" s="23" t="str">
        <f t="shared" si="1"/>
        <v>OK!</v>
      </c>
      <c r="O51" s="23" t="str">
        <f t="shared" si="2"/>
        <v>OK!</v>
      </c>
      <c r="P51" s="23" t="str">
        <f t="shared" si="3"/>
        <v>OK!</v>
      </c>
    </row>
    <row r="52" spans="2:16" ht="43.5" x14ac:dyDescent="0.35">
      <c r="B52" s="43">
        <f t="shared" si="0"/>
        <v>13</v>
      </c>
      <c r="C52" s="44" t="str">
        <f>ORÇAMENTO!A98</f>
        <v>4.1.1.1.9</v>
      </c>
      <c r="D52" s="44" t="str">
        <f>ORÇAMENTO!B98</f>
        <v xml:space="preserve"> 5213346 </v>
      </c>
      <c r="E52" s="44" t="str">
        <f>ORÇAMENTO!C98</f>
        <v>SICRO3</v>
      </c>
      <c r="F52" s="480" t="str">
        <f>ORÇAMENTO!D98</f>
        <v>BARREIRA DE SINALIZAÇÃO TIPO III DE DIRECIONAMENTO OU BLOQUEIO - UTILIZAÇÃO DE 150 CICLOS - FORNECIMENTO, 01 IMPLANTAÇÃO E 01 RETIRADA DIÁRIA</v>
      </c>
      <c r="G52" s="44" t="str">
        <f>ORÇAMENTO!E98</f>
        <v>UN.DIA</v>
      </c>
      <c r="H52" s="44">
        <f>ORÇAMENTO!F98</f>
        <v>222</v>
      </c>
      <c r="I52" s="44">
        <f>ORÇAMENTO!G98</f>
        <v>8.06</v>
      </c>
      <c r="J52" s="44">
        <f>ORÇAMENTO!H98</f>
        <v>0.2122</v>
      </c>
      <c r="K52" s="44">
        <f>ORÇAMENTO!I98</f>
        <v>9.77</v>
      </c>
      <c r="L52" s="44">
        <f>ORÇAMENTO!J98</f>
        <v>2168.94</v>
      </c>
      <c r="M52" s="23">
        <f>ORÇAMENTO!K98</f>
        <v>7.6678529771440394E-5</v>
      </c>
      <c r="N52" s="23" t="str">
        <f t="shared" si="1"/>
        <v>DIFERENTE</v>
      </c>
      <c r="O52" s="23" t="str">
        <f t="shared" si="2"/>
        <v>DIFERENTE</v>
      </c>
      <c r="P52" s="23" t="str">
        <f t="shared" si="3"/>
        <v>DIFERENTE</v>
      </c>
    </row>
    <row r="53" spans="2:16" ht="43.5" x14ac:dyDescent="0.35">
      <c r="B53" s="43">
        <f t="shared" si="0"/>
        <v>13</v>
      </c>
      <c r="C53" s="44" t="str">
        <f>ORÇAMENTO!A339</f>
        <v>5.1.1.1.9</v>
      </c>
      <c r="D53" s="44" t="str">
        <f>ORÇAMENTO!B339</f>
        <v xml:space="preserve"> 5213346 </v>
      </c>
      <c r="E53" s="44" t="str">
        <f>ORÇAMENTO!C339</f>
        <v>SICRO3</v>
      </c>
      <c r="F53" s="480" t="str">
        <f>ORÇAMENTO!D339</f>
        <v>BARREIRA DE SINALIZAÇÃO TIPO III DE DIRECIONAMENTO OU BLOQUEIO - UTILIZAÇÃO DE 150 CICLOS - FORNECIMENTO, 01 IMPLANTAÇÃO E 01 RETIRADA DIÁRIA</v>
      </c>
      <c r="G53" s="44" t="str">
        <f>ORÇAMENTO!E339</f>
        <v>UN.DIA</v>
      </c>
      <c r="H53" s="44">
        <f>ORÇAMENTO!F339</f>
        <v>385</v>
      </c>
      <c r="I53" s="44">
        <f>ORÇAMENTO!G339</f>
        <v>8.06</v>
      </c>
      <c r="J53" s="44">
        <f>ORÇAMENTO!H339</f>
        <v>0.2122</v>
      </c>
      <c r="K53" s="44">
        <f>ORÇAMENTO!I339</f>
        <v>9.77</v>
      </c>
      <c r="L53" s="44">
        <f>ORÇAMENTO!J339</f>
        <v>3761.45</v>
      </c>
      <c r="M53" s="23">
        <f>ORÇAMENTO!K339</f>
        <v>1.3297853136038084E-4</v>
      </c>
      <c r="N53" s="23" t="str">
        <f t="shared" si="1"/>
        <v>OK!</v>
      </c>
      <c r="O53" s="23" t="str">
        <f t="shared" si="2"/>
        <v>OK!</v>
      </c>
      <c r="P53" s="23" t="str">
        <f t="shared" si="3"/>
        <v>OK!</v>
      </c>
    </row>
    <row r="54" spans="2:16" ht="43.5" x14ac:dyDescent="0.35">
      <c r="B54" s="43">
        <f t="shared" si="0"/>
        <v>13</v>
      </c>
      <c r="C54" s="44" t="str">
        <f>ORÇAMENTO!A552</f>
        <v>6.1.1.1.9</v>
      </c>
      <c r="D54" s="44" t="str">
        <f>ORÇAMENTO!B552</f>
        <v xml:space="preserve"> 5213346 </v>
      </c>
      <c r="E54" s="44" t="str">
        <f>ORÇAMENTO!C552</f>
        <v>SICRO3</v>
      </c>
      <c r="F54" s="480" t="str">
        <f>ORÇAMENTO!D552</f>
        <v>BARREIRA DE SINALIZAÇÃO TIPO III DE DIRECIONAMENTO OU BLOQUEIO - UTILIZAÇÃO DE 150 CICLOS - FORNECIMENTO, 01 IMPLANTAÇÃO E 01 RETIRADA DIÁRIA</v>
      </c>
      <c r="G54" s="44" t="str">
        <f>ORÇAMENTO!E552</f>
        <v>UN.DIA</v>
      </c>
      <c r="H54" s="44">
        <f>ORÇAMENTO!F552</f>
        <v>129</v>
      </c>
      <c r="I54" s="44">
        <f>ORÇAMENTO!G552</f>
        <v>8.06</v>
      </c>
      <c r="J54" s="44">
        <f>ORÇAMENTO!H552</f>
        <v>0.2122</v>
      </c>
      <c r="K54" s="44">
        <f>ORÇAMENTO!I552</f>
        <v>9.77</v>
      </c>
      <c r="L54" s="44">
        <f>ORÇAMENTO!J552</f>
        <v>1260.33</v>
      </c>
      <c r="M54" s="23">
        <f>ORÇAMENTO!K552</f>
        <v>4.4556442975296437E-5</v>
      </c>
      <c r="N54" s="23" t="str">
        <f t="shared" si="1"/>
        <v>OK!</v>
      </c>
      <c r="O54" s="23" t="str">
        <f t="shared" si="2"/>
        <v>OK!</v>
      </c>
      <c r="P54" s="23" t="str">
        <f t="shared" si="3"/>
        <v>OK!</v>
      </c>
    </row>
    <row r="55" spans="2:16" ht="43.5" x14ac:dyDescent="0.35">
      <c r="B55" s="43">
        <f t="shared" si="0"/>
        <v>13</v>
      </c>
      <c r="C55" s="44" t="str">
        <f>ORÇAMENTO!A742</f>
        <v>7.1.1.1.9</v>
      </c>
      <c r="D55" s="44" t="str">
        <f>ORÇAMENTO!B742</f>
        <v xml:space="preserve"> 5213346 </v>
      </c>
      <c r="E55" s="44" t="str">
        <f>ORÇAMENTO!C742</f>
        <v>SICRO3</v>
      </c>
      <c r="F55" s="480" t="str">
        <f>ORÇAMENTO!D742</f>
        <v>BARREIRA DE SINALIZAÇÃO TIPO III DE DIRECIONAMENTO OU BLOQUEIO - UTILIZAÇÃO DE 150 CICLOS - FORNECIMENTO, 01 IMPLANTAÇÃO E 01 RETIRADA DIÁRIA</v>
      </c>
      <c r="G55" s="44" t="str">
        <f>ORÇAMENTO!E742</f>
        <v>UN.DIA</v>
      </c>
      <c r="H55" s="44">
        <f>ORÇAMENTO!F742</f>
        <v>468</v>
      </c>
      <c r="I55" s="44">
        <f>ORÇAMENTO!G742</f>
        <v>8.06</v>
      </c>
      <c r="J55" s="44">
        <f>ORÇAMENTO!H742</f>
        <v>0.2122</v>
      </c>
      <c r="K55" s="44">
        <f>ORÇAMENTO!I742</f>
        <v>9.77</v>
      </c>
      <c r="L55" s="44">
        <f>ORÇAMENTO!J742</f>
        <v>4572.3599999999997</v>
      </c>
      <c r="M55" s="23">
        <f>ORÇAMENTO!K742</f>
        <v>1.6164663032898241E-4</v>
      </c>
      <c r="N55" s="23" t="str">
        <f t="shared" si="1"/>
        <v>OK!</v>
      </c>
      <c r="O55" s="23" t="str">
        <f t="shared" si="2"/>
        <v>OK!</v>
      </c>
      <c r="P55" s="23" t="str">
        <f t="shared" si="3"/>
        <v>OK!</v>
      </c>
    </row>
    <row r="56" spans="2:16" ht="43.5" x14ac:dyDescent="0.35">
      <c r="B56" s="43">
        <f t="shared" si="0"/>
        <v>13</v>
      </c>
      <c r="C56" s="44" t="str">
        <f>ORÇAMENTO!A1042</f>
        <v xml:space="preserve"> 8.8.6</v>
      </c>
      <c r="D56" s="44" t="str">
        <f>ORÇAMENTO!B1042</f>
        <v xml:space="preserve"> 5213346 </v>
      </c>
      <c r="E56" s="44" t="str">
        <f>ORÇAMENTO!C1042</f>
        <v>SICRO3</v>
      </c>
      <c r="F56" s="636" t="str">
        <f>ORÇAMENTO!D1042</f>
        <v>BARREIRA DE SINALIZAÇÃO TIPO III DE DIRECIONAMENTO OU BLOQUEIO - UTILIZAÇÃO DE 150 CICLOS - FORNECIMENTO, 01 IMPLANTAÇÃO E 01 RETIRADA DIÁRIA</v>
      </c>
      <c r="G56" s="44" t="str">
        <f>ORÇAMENTO!E1042</f>
        <v>UN.DIA</v>
      </c>
      <c r="H56" s="44">
        <f>ORÇAMENTO!F1042</f>
        <v>5</v>
      </c>
      <c r="I56" s="44">
        <f>ORÇAMENTO!G1042</f>
        <v>8.06</v>
      </c>
      <c r="J56" s="44">
        <f>ORÇAMENTO!H1042</f>
        <v>0.2122</v>
      </c>
      <c r="K56" s="44">
        <f>ORÇAMENTO!I1042</f>
        <v>9.77</v>
      </c>
      <c r="L56" s="638">
        <f>ORÇAMENTO!J1042</f>
        <v>48.85</v>
      </c>
      <c r="M56" s="23">
        <f>ORÇAMENTO!K1042</f>
        <v>1.7269939137711799E-6</v>
      </c>
      <c r="N56" s="23" t="str">
        <f t="shared" si="1"/>
        <v>OK!</v>
      </c>
      <c r="O56" s="23" t="str">
        <f t="shared" si="2"/>
        <v>OK!</v>
      </c>
      <c r="P56" s="23" t="str">
        <f t="shared" si="3"/>
        <v>OK!</v>
      </c>
    </row>
    <row r="57" spans="2:16" x14ac:dyDescent="0.35">
      <c r="B57" s="43">
        <f t="shared" si="0"/>
        <v>14</v>
      </c>
      <c r="C57" s="44" t="str">
        <f>ORÇAMENTO!A171</f>
        <v>4.1.2.4.4</v>
      </c>
      <c r="D57" s="44" t="str">
        <f>ORÇAMENTO!B171</f>
        <v xml:space="preserve"> 4011276 </v>
      </c>
      <c r="E57" s="44" t="str">
        <f>ORÇAMENTO!C171</f>
        <v>SICRO3</v>
      </c>
      <c r="F57" s="480" t="str">
        <f>ORÇAMENTO!D171</f>
        <v>BASE OU SUB-BASE DE BRITA GRADUADA COM BRITA COMERCIAL</v>
      </c>
      <c r="G57" s="44" t="str">
        <f>ORÇAMENTO!E171</f>
        <v>M³</v>
      </c>
      <c r="H57" s="44">
        <f>ORÇAMENTO!F171</f>
        <v>267.51512445547655</v>
      </c>
      <c r="I57" s="44">
        <f>ORÇAMENTO!G171</f>
        <v>208.42</v>
      </c>
      <c r="J57" s="44">
        <f>ORÇAMENTO!H171</f>
        <v>0.2122</v>
      </c>
      <c r="K57" s="44">
        <f>ORÇAMENTO!I171</f>
        <v>252.65</v>
      </c>
      <c r="L57" s="44">
        <f>ORÇAMENTO!J171</f>
        <v>67587.69</v>
      </c>
      <c r="M57" s="23">
        <f>ORÇAMENTO!K171</f>
        <v>2.3894274160870675E-3</v>
      </c>
      <c r="N57" s="23" t="str">
        <f t="shared" si="1"/>
        <v>DIFERENTE</v>
      </c>
      <c r="O57" s="23" t="str">
        <f t="shared" si="2"/>
        <v>DIFERENTE</v>
      </c>
      <c r="P57" s="23" t="str">
        <f t="shared" si="3"/>
        <v>DIFERENTE</v>
      </c>
    </row>
    <row r="58" spans="2:16" x14ac:dyDescent="0.35">
      <c r="B58" s="43">
        <f t="shared" si="0"/>
        <v>14</v>
      </c>
      <c r="C58" s="44" t="str">
        <f>ORÇAMENTO!A234</f>
        <v>4.1.2.6.32</v>
      </c>
      <c r="D58" s="44" t="str">
        <f>ORÇAMENTO!B234</f>
        <v xml:space="preserve"> 4011276 </v>
      </c>
      <c r="E58" s="44" t="str">
        <f>ORÇAMENTO!C234</f>
        <v>SICRO3</v>
      </c>
      <c r="F58" s="480" t="str">
        <f>ORÇAMENTO!D234</f>
        <v>BASE OU SUB-BASE DE BRITA GRADUADA COM BRITA COMERCIAL</v>
      </c>
      <c r="G58" s="44" t="str">
        <f>ORÇAMENTO!E234</f>
        <v>M³</v>
      </c>
      <c r="H58" s="44">
        <f>ORÇAMENTO!F234</f>
        <v>33.9</v>
      </c>
      <c r="I58" s="44">
        <f>ORÇAMENTO!G234</f>
        <v>208.42</v>
      </c>
      <c r="J58" s="44">
        <f>ORÇAMENTO!H234</f>
        <v>0.2122</v>
      </c>
      <c r="K58" s="44">
        <f>ORÇAMENTO!I234</f>
        <v>252.65</v>
      </c>
      <c r="L58" s="44">
        <f>ORÇAMENTO!J234</f>
        <v>8564.83</v>
      </c>
      <c r="M58" s="23">
        <f>ORÇAMENTO!K234</f>
        <v>3.027924111051139E-4</v>
      </c>
      <c r="N58" s="23" t="str">
        <f t="shared" si="1"/>
        <v>OK!</v>
      </c>
      <c r="O58" s="23" t="str">
        <f t="shared" si="2"/>
        <v>OK!</v>
      </c>
      <c r="P58" s="23" t="str">
        <f t="shared" si="3"/>
        <v>OK!</v>
      </c>
    </row>
    <row r="59" spans="2:16" x14ac:dyDescent="0.35">
      <c r="B59" s="43">
        <f t="shared" si="0"/>
        <v>14</v>
      </c>
      <c r="C59" s="44" t="str">
        <f>ORÇAMENTO!A283</f>
        <v>4.2.4.4</v>
      </c>
      <c r="D59" s="44" t="str">
        <f>ORÇAMENTO!B283</f>
        <v xml:space="preserve"> 4011276 </v>
      </c>
      <c r="E59" s="44" t="str">
        <f>ORÇAMENTO!C283</f>
        <v>SICRO3</v>
      </c>
      <c r="F59" s="480" t="str">
        <f>ORÇAMENTO!D283</f>
        <v>BASE OU SUB-BASE DE BRITA GRADUADA COM BRITA COMERCIAL</v>
      </c>
      <c r="G59" s="44" t="str">
        <f>ORÇAMENTO!E283</f>
        <v>M³</v>
      </c>
      <c r="H59" s="44">
        <f>ORÇAMENTO!F283</f>
        <v>582.16999999999996</v>
      </c>
      <c r="I59" s="44">
        <f>ORÇAMENTO!G283</f>
        <v>208.42</v>
      </c>
      <c r="J59" s="44">
        <f>ORÇAMENTO!H283</f>
        <v>0.2122</v>
      </c>
      <c r="K59" s="44">
        <f>ORÇAMENTO!I283</f>
        <v>252.65</v>
      </c>
      <c r="L59" s="44">
        <f>ORÇAMENTO!J283</f>
        <v>147085.25</v>
      </c>
      <c r="M59" s="23">
        <f>ORÇAMENTO!K283</f>
        <v>5.1999044330708786E-3</v>
      </c>
      <c r="N59" s="23" t="str">
        <f t="shared" si="1"/>
        <v>OK!</v>
      </c>
      <c r="O59" s="23" t="str">
        <f t="shared" si="2"/>
        <v>OK!</v>
      </c>
      <c r="P59" s="23" t="str">
        <f t="shared" si="3"/>
        <v>OK!</v>
      </c>
    </row>
    <row r="60" spans="2:16" x14ac:dyDescent="0.35">
      <c r="B60" s="43">
        <f t="shared" si="0"/>
        <v>14</v>
      </c>
      <c r="C60" s="44" t="str">
        <f>ORÇAMENTO!A314</f>
        <v>4.4.10</v>
      </c>
      <c r="D60" s="44" t="str">
        <f>ORÇAMENTO!B314</f>
        <v xml:space="preserve"> 4011276 </v>
      </c>
      <c r="E60" s="44" t="str">
        <f>ORÇAMENTO!C314</f>
        <v>SICRO3</v>
      </c>
      <c r="F60" s="480" t="str">
        <f>ORÇAMENTO!D314</f>
        <v>BASE OU SUB-BASE DE BRITA GRADUADA COM BRITA COMERCIAL</v>
      </c>
      <c r="G60" s="44" t="str">
        <f>ORÇAMENTO!E314</f>
        <v>M³</v>
      </c>
      <c r="H60" s="44">
        <f>ORÇAMENTO!F314</f>
        <v>4.9681911907772225</v>
      </c>
      <c r="I60" s="44">
        <f>ORÇAMENTO!G314</f>
        <v>208.42</v>
      </c>
      <c r="J60" s="44">
        <f>ORÇAMENTO!H314</f>
        <v>0.2122</v>
      </c>
      <c r="K60" s="44">
        <f>ORÇAMENTO!I314</f>
        <v>252.65</v>
      </c>
      <c r="L60" s="44">
        <f>ORÇAMENTO!J314</f>
        <v>1255.21</v>
      </c>
      <c r="M60" s="23">
        <f>ORÇAMENTO!K314</f>
        <v>4.4375435629574671E-5</v>
      </c>
      <c r="N60" s="23" t="str">
        <f t="shared" si="1"/>
        <v>OK!</v>
      </c>
      <c r="O60" s="23" t="str">
        <f t="shared" si="2"/>
        <v>OK!</v>
      </c>
      <c r="P60" s="23" t="str">
        <f t="shared" si="3"/>
        <v>OK!</v>
      </c>
    </row>
    <row r="61" spans="2:16" x14ac:dyDescent="0.35">
      <c r="B61" s="43">
        <f t="shared" si="0"/>
        <v>14</v>
      </c>
      <c r="C61" s="44" t="str">
        <f>ORÇAMENTO!A410</f>
        <v>5.1.2.4.4</v>
      </c>
      <c r="D61" s="44" t="str">
        <f>ORÇAMENTO!B410</f>
        <v xml:space="preserve"> 4011276 </v>
      </c>
      <c r="E61" s="44" t="str">
        <f>ORÇAMENTO!C410</f>
        <v>SICRO3</v>
      </c>
      <c r="F61" s="480" t="str">
        <f>ORÇAMENTO!D410</f>
        <v>BASE OU SUB-BASE DE BRITA GRADUADA COM BRITA COMERCIAL</v>
      </c>
      <c r="G61" s="44" t="str">
        <f>ORÇAMENTO!E410</f>
        <v>M³</v>
      </c>
      <c r="H61" s="44">
        <f>ORÇAMENTO!F410</f>
        <v>486.97635000000002</v>
      </c>
      <c r="I61" s="44">
        <f>ORÇAMENTO!G410</f>
        <v>208.42</v>
      </c>
      <c r="J61" s="44">
        <f>ORÇAMENTO!H410</f>
        <v>0.2122</v>
      </c>
      <c r="K61" s="44">
        <f>ORÇAMENTO!I410</f>
        <v>252.65</v>
      </c>
      <c r="L61" s="44">
        <f>ORÇAMENTO!J410</f>
        <v>123034.57</v>
      </c>
      <c r="M61" s="23">
        <f>ORÇAMENTO!K410</f>
        <v>4.3496408101014166E-3</v>
      </c>
      <c r="N61" s="23" t="str">
        <f t="shared" si="1"/>
        <v>OK!</v>
      </c>
      <c r="O61" s="23" t="str">
        <f t="shared" si="2"/>
        <v>OK!</v>
      </c>
      <c r="P61" s="23" t="str">
        <f t="shared" si="3"/>
        <v>OK!</v>
      </c>
    </row>
    <row r="62" spans="2:16" x14ac:dyDescent="0.35">
      <c r="B62" s="43">
        <f t="shared" si="0"/>
        <v>14</v>
      </c>
      <c r="C62" s="44" t="str">
        <f>ORÇAMENTO!A477</f>
        <v>5.1.2.6.33</v>
      </c>
      <c r="D62" s="44" t="str">
        <f>ORÇAMENTO!B477</f>
        <v xml:space="preserve"> 4011276 </v>
      </c>
      <c r="E62" s="44" t="str">
        <f>ORÇAMENTO!C477</f>
        <v>SICRO3</v>
      </c>
      <c r="F62" s="480" t="str">
        <f>ORÇAMENTO!D477</f>
        <v>BASE OU SUB-BASE DE BRITA GRADUADA COM BRITA COMERCIAL</v>
      </c>
      <c r="G62" s="44" t="str">
        <f>ORÇAMENTO!E477</f>
        <v>M³</v>
      </c>
      <c r="H62" s="44">
        <f>ORÇAMENTO!F477</f>
        <v>22.51</v>
      </c>
      <c r="I62" s="44">
        <f>ORÇAMENTO!G477</f>
        <v>208.42</v>
      </c>
      <c r="J62" s="44">
        <f>ORÇAMENTO!H477</f>
        <v>0.2122</v>
      </c>
      <c r="K62" s="44">
        <f>ORÇAMENTO!I477</f>
        <v>252.65</v>
      </c>
      <c r="L62" s="44">
        <f>ORÇAMENTO!J477</f>
        <v>5687.15</v>
      </c>
      <c r="M62" s="23">
        <f>ORÇAMENTO!K477</f>
        <v>2.0105779809014872E-4</v>
      </c>
      <c r="N62" s="23" t="str">
        <f t="shared" si="1"/>
        <v>OK!</v>
      </c>
      <c r="O62" s="23" t="str">
        <f t="shared" si="2"/>
        <v>OK!</v>
      </c>
      <c r="P62" s="23" t="str">
        <f t="shared" si="3"/>
        <v>OK!</v>
      </c>
    </row>
    <row r="63" spans="2:16" x14ac:dyDescent="0.35">
      <c r="B63" s="43">
        <f t="shared" si="0"/>
        <v>14</v>
      </c>
      <c r="C63" s="44" t="str">
        <f>ORÇAMENTO!A527</f>
        <v>5.4.10</v>
      </c>
      <c r="D63" s="44" t="str">
        <f>ORÇAMENTO!B527</f>
        <v xml:space="preserve"> 4011276 </v>
      </c>
      <c r="E63" s="44" t="str">
        <f>ORÇAMENTO!C527</f>
        <v>SICRO3</v>
      </c>
      <c r="F63" s="480" t="str">
        <f>ORÇAMENTO!D527</f>
        <v>BASE OU SUB-BASE DE BRITA GRADUADA COM BRITA COMERCIAL</v>
      </c>
      <c r="G63" s="44" t="str">
        <f>ORÇAMENTO!E527</f>
        <v>M³</v>
      </c>
      <c r="H63" s="44">
        <f>ORÇAMENTO!F527</f>
        <v>1.7743539967061512</v>
      </c>
      <c r="I63" s="44">
        <f>ORÇAMENTO!G527</f>
        <v>208.42</v>
      </c>
      <c r="J63" s="44">
        <f>ORÇAMENTO!H527</f>
        <v>0.2122</v>
      </c>
      <c r="K63" s="44">
        <f>ORÇAMENTO!I527</f>
        <v>252.65</v>
      </c>
      <c r="L63" s="44">
        <f>ORÇAMENTO!J527</f>
        <v>448.29</v>
      </c>
      <c r="M63" s="23">
        <f>ORÇAMENTO!K527</f>
        <v>1.5848395119846104E-5</v>
      </c>
      <c r="N63" s="23" t="str">
        <f t="shared" si="1"/>
        <v>OK!</v>
      </c>
      <c r="O63" s="23" t="str">
        <f t="shared" si="2"/>
        <v>OK!</v>
      </c>
      <c r="P63" s="23" t="str">
        <f t="shared" si="3"/>
        <v>OK!</v>
      </c>
    </row>
    <row r="64" spans="2:16" x14ac:dyDescent="0.35">
      <c r="B64" s="43">
        <f t="shared" si="0"/>
        <v>14</v>
      </c>
      <c r="C64" s="44" t="str">
        <f>ORÇAMENTO!A622</f>
        <v>6.1.2.4.4</v>
      </c>
      <c r="D64" s="44" t="str">
        <f>ORÇAMENTO!B622</f>
        <v xml:space="preserve"> 4011276 </v>
      </c>
      <c r="E64" s="44" t="str">
        <f>ORÇAMENTO!C622</f>
        <v>SICRO3</v>
      </c>
      <c r="F64" s="480" t="str">
        <f>ORÇAMENTO!D622</f>
        <v>BASE OU SUB-BASE DE BRITA GRADUADA COM BRITA COMERCIAL</v>
      </c>
      <c r="G64" s="44" t="str">
        <f>ORÇAMENTO!E622</f>
        <v>M³</v>
      </c>
      <c r="H64" s="44">
        <f>ORÇAMENTO!F622</f>
        <v>156.33686918103427</v>
      </c>
      <c r="I64" s="44">
        <f>ORÇAMENTO!G622</f>
        <v>208.42</v>
      </c>
      <c r="J64" s="44">
        <f>ORÇAMENTO!H622</f>
        <v>0.2122</v>
      </c>
      <c r="K64" s="44">
        <f>ORÇAMENTO!I622</f>
        <v>252.65</v>
      </c>
      <c r="L64" s="44">
        <f>ORÇAMENTO!J622</f>
        <v>39498.5</v>
      </c>
      <c r="M64" s="23">
        <f>ORÇAMENTO!K622</f>
        <v>1.3963903603498658E-3</v>
      </c>
      <c r="N64" s="23" t="str">
        <f t="shared" si="1"/>
        <v>OK!</v>
      </c>
      <c r="O64" s="23" t="str">
        <f t="shared" si="2"/>
        <v>OK!</v>
      </c>
      <c r="P64" s="23" t="str">
        <f t="shared" si="3"/>
        <v>OK!</v>
      </c>
    </row>
    <row r="65" spans="2:16" s="483" customFormat="1" x14ac:dyDescent="0.35">
      <c r="B65" s="43">
        <f t="shared" si="0"/>
        <v>14</v>
      </c>
      <c r="C65" s="481" t="str">
        <f>ORÇAMENTO!A672</f>
        <v>6.1.2.6.25</v>
      </c>
      <c r="D65" s="481" t="str">
        <f>ORÇAMENTO!B672</f>
        <v xml:space="preserve"> 4011276 </v>
      </c>
      <c r="E65" s="481" t="str">
        <f>ORÇAMENTO!C672</f>
        <v>SICRO3</v>
      </c>
      <c r="F65" s="482" t="str">
        <f>ORÇAMENTO!D672</f>
        <v>BASE OU SUB-BASE DE BRITA GRADUADA COM BRITA COMERCIAL</v>
      </c>
      <c r="G65" s="481" t="str">
        <f>ORÇAMENTO!E672</f>
        <v>M³</v>
      </c>
      <c r="H65" s="481">
        <f>ORÇAMENTO!F672</f>
        <v>7.12</v>
      </c>
      <c r="I65" s="481">
        <f>ORÇAMENTO!G672</f>
        <v>208.42</v>
      </c>
      <c r="J65" s="481">
        <f>ORÇAMENTO!H672</f>
        <v>0.2122</v>
      </c>
      <c r="K65" s="481">
        <f>ORÇAMENTO!I672</f>
        <v>252.65</v>
      </c>
      <c r="L65" s="481">
        <f>ORÇAMENTO!J672</f>
        <v>1798.86</v>
      </c>
      <c r="M65" s="23">
        <f>ORÇAMENTO!K672</f>
        <v>6.3595092563488724E-5</v>
      </c>
      <c r="N65" s="23" t="str">
        <f t="shared" si="1"/>
        <v>OK!</v>
      </c>
      <c r="O65" s="23" t="str">
        <f t="shared" si="2"/>
        <v>OK!</v>
      </c>
      <c r="P65" s="23" t="str">
        <f t="shared" si="3"/>
        <v>OK!</v>
      </c>
    </row>
    <row r="66" spans="2:16" x14ac:dyDescent="0.35">
      <c r="B66" s="43">
        <f t="shared" si="0"/>
        <v>14</v>
      </c>
      <c r="C66" s="44" t="str">
        <f>ORÇAMENTO!A719</f>
        <v>6.4.9</v>
      </c>
      <c r="D66" s="44" t="str">
        <f>ORÇAMENTO!B719</f>
        <v xml:space="preserve"> 4011276 </v>
      </c>
      <c r="E66" s="44" t="str">
        <f>ORÇAMENTO!C719</f>
        <v>SICRO3</v>
      </c>
      <c r="F66" s="480" t="str">
        <f>ORÇAMENTO!D719</f>
        <v>BASE OU SUB-BASE DE BRITA GRADUADA COM BRITA COMERCIAL</v>
      </c>
      <c r="G66" s="44" t="str">
        <f>ORÇAMENTO!E719</f>
        <v>M³</v>
      </c>
      <c r="H66" s="44">
        <f>ORÇAMENTO!F719</f>
        <v>3.7557159596946863</v>
      </c>
      <c r="I66" s="44">
        <f>ORÇAMENTO!G719</f>
        <v>208.42</v>
      </c>
      <c r="J66" s="44">
        <f>ORÇAMENTO!H719</f>
        <v>0.2122</v>
      </c>
      <c r="K66" s="44">
        <f>ORÇAMENTO!I719</f>
        <v>252.65</v>
      </c>
      <c r="L66" s="44">
        <f>ORÇAMENTO!J719</f>
        <v>948.88</v>
      </c>
      <c r="M66" s="23">
        <f>ORÇAMENTO!K719</f>
        <v>3.3545751993842316E-5</v>
      </c>
      <c r="N66" s="23" t="str">
        <f t="shared" si="1"/>
        <v>OK!</v>
      </c>
      <c r="O66" s="23" t="str">
        <f t="shared" si="2"/>
        <v>OK!</v>
      </c>
      <c r="P66" s="23" t="str">
        <f t="shared" si="3"/>
        <v>OK!</v>
      </c>
    </row>
    <row r="67" spans="2:16" x14ac:dyDescent="0.35">
      <c r="B67" s="43">
        <f t="shared" ref="B67:B130" si="4">IF(EXACT(D66,D67),B66,B66+1)</f>
        <v>14</v>
      </c>
      <c r="C67" s="44" t="str">
        <f>ORÇAMENTO!A819</f>
        <v>7.1.2.4.4</v>
      </c>
      <c r="D67" s="44" t="str">
        <f>ORÇAMENTO!B819</f>
        <v xml:space="preserve"> 4011276 </v>
      </c>
      <c r="E67" s="44" t="str">
        <f>ORÇAMENTO!C819</f>
        <v>SICRO3</v>
      </c>
      <c r="F67" s="480" t="str">
        <f>ORÇAMENTO!D819</f>
        <v>BASE OU SUB-BASE DE BRITA GRADUADA COM BRITA COMERCIAL</v>
      </c>
      <c r="G67" s="44" t="str">
        <f>ORÇAMENTO!E819</f>
        <v>M³</v>
      </c>
      <c r="H67" s="44">
        <f>ORÇAMENTO!F819</f>
        <v>544.78920000000005</v>
      </c>
      <c r="I67" s="44">
        <f>ORÇAMENTO!G819</f>
        <v>208.42</v>
      </c>
      <c r="J67" s="44">
        <f>ORÇAMENTO!H819</f>
        <v>0.2122</v>
      </c>
      <c r="K67" s="44">
        <f>ORÇAMENTO!I819</f>
        <v>252.65</v>
      </c>
      <c r="L67" s="44">
        <f>ORÇAMENTO!J819</f>
        <v>137640.99</v>
      </c>
      <c r="M67" s="23">
        <f>ORÇAMENTO!K819</f>
        <v>4.8660215356282456E-3</v>
      </c>
      <c r="N67" s="23" t="str">
        <f t="shared" ref="N67:N130" si="5">IF(F67=F66,IF(G67=G66,"OK!","ERRADO"),"DIFERENTE")</f>
        <v>OK!</v>
      </c>
      <c r="O67" s="23" t="str">
        <f t="shared" ref="O67:O130" si="6">IF(F67=F66,IF(I67=I66,"OK!","ERRADO"),"DIFERENTE")</f>
        <v>OK!</v>
      </c>
      <c r="P67" s="23" t="str">
        <f t="shared" ref="P67:P130" si="7">IF(F67=F66,IF(D67=D66,"OK!","ERRADO"),"DIFERENTE")</f>
        <v>OK!</v>
      </c>
    </row>
    <row r="68" spans="2:16" x14ac:dyDescent="0.35">
      <c r="B68" s="43">
        <f t="shared" si="4"/>
        <v>14</v>
      </c>
      <c r="C68" s="44" t="str">
        <f>ORÇAMENTO!A885</f>
        <v>7.1.2.6.32</v>
      </c>
      <c r="D68" s="44" t="str">
        <f>ORÇAMENTO!B885</f>
        <v xml:space="preserve"> 4011276 </v>
      </c>
      <c r="E68" s="44" t="str">
        <f>ORÇAMENTO!C885</f>
        <v>SICRO3</v>
      </c>
      <c r="F68" s="480" t="str">
        <f>ORÇAMENTO!D885</f>
        <v>BASE OU SUB-BASE DE BRITA GRADUADA COM BRITA COMERCIAL</v>
      </c>
      <c r="G68" s="44" t="str">
        <f>ORÇAMENTO!E885</f>
        <v>M³</v>
      </c>
      <c r="H68" s="44">
        <f>ORÇAMENTO!F885</f>
        <v>41.48</v>
      </c>
      <c r="I68" s="44">
        <f>ORÇAMENTO!G885</f>
        <v>208.42</v>
      </c>
      <c r="J68" s="44">
        <f>ORÇAMENTO!H885</f>
        <v>0.2122</v>
      </c>
      <c r="K68" s="44">
        <f>ORÇAMENTO!I885</f>
        <v>252.65</v>
      </c>
      <c r="L68" s="44">
        <f>ORÇAMENTO!J885</f>
        <v>10479.92</v>
      </c>
      <c r="M68" s="23">
        <f>ORÇAMENTO!K885</f>
        <v>3.704965825344701E-4</v>
      </c>
      <c r="N68" s="23" t="str">
        <f t="shared" si="5"/>
        <v>OK!</v>
      </c>
      <c r="O68" s="23" t="str">
        <f t="shared" si="6"/>
        <v>OK!</v>
      </c>
      <c r="P68" s="23" t="str">
        <f t="shared" si="7"/>
        <v>OK!</v>
      </c>
    </row>
    <row r="69" spans="2:16" x14ac:dyDescent="0.35">
      <c r="B69" s="43">
        <f t="shared" si="4"/>
        <v>14</v>
      </c>
      <c r="C69" s="44" t="str">
        <f>ORÇAMENTO!A941</f>
        <v>7.4.9</v>
      </c>
      <c r="D69" s="44" t="str">
        <f>ORÇAMENTO!B941</f>
        <v xml:space="preserve"> 4011276 </v>
      </c>
      <c r="E69" s="44" t="str">
        <f>ORÇAMENTO!C941</f>
        <v>SICRO3</v>
      </c>
      <c r="F69" s="636" t="str">
        <f>ORÇAMENTO!D941</f>
        <v>BASE OU SUB-BASE DE BRITA GRADUADA COM BRITA COMERCIAL</v>
      </c>
      <c r="G69" s="44" t="str">
        <f>ORÇAMENTO!E941</f>
        <v>M³</v>
      </c>
      <c r="H69" s="44">
        <f>ORÇAMENTO!F941</f>
        <v>3.1051194942357636</v>
      </c>
      <c r="I69" s="44">
        <f>ORÇAMENTO!G941</f>
        <v>208.42</v>
      </c>
      <c r="J69" s="44">
        <f>ORÇAMENTO!H941</f>
        <v>0.2122</v>
      </c>
      <c r="K69" s="44">
        <f>ORÇAMENTO!I941</f>
        <v>252.65</v>
      </c>
      <c r="L69" s="638">
        <f>ORÇAMENTO!J941</f>
        <v>784.5</v>
      </c>
      <c r="M69" s="23">
        <f>ORÇAMENTO!K941</f>
        <v>2.7734426312251599E-5</v>
      </c>
      <c r="N69" s="23" t="str">
        <f t="shared" si="5"/>
        <v>OK!</v>
      </c>
      <c r="O69" s="23" t="str">
        <f t="shared" si="6"/>
        <v>OK!</v>
      </c>
      <c r="P69" s="23" t="str">
        <f t="shared" si="7"/>
        <v>OK!</v>
      </c>
    </row>
    <row r="70" spans="2:16" x14ac:dyDescent="0.35">
      <c r="B70" s="43">
        <f t="shared" si="4"/>
        <v>14</v>
      </c>
      <c r="C70" s="44" t="str">
        <f>ORÇAMENTO!A972</f>
        <v>7.5.4.4</v>
      </c>
      <c r="D70" s="44" t="str">
        <f>ORÇAMENTO!B972</f>
        <v xml:space="preserve"> 4011276 </v>
      </c>
      <c r="E70" s="44" t="str">
        <f>ORÇAMENTO!C972</f>
        <v>SICRO3</v>
      </c>
      <c r="F70" s="636" t="str">
        <f>ORÇAMENTO!D972</f>
        <v>BASE OU SUB-BASE DE BRITA GRADUADA COM BRITA COMERCIAL</v>
      </c>
      <c r="G70" s="44" t="str">
        <f>ORÇAMENTO!E972</f>
        <v>M³</v>
      </c>
      <c r="H70" s="44">
        <f>ORÇAMENTO!F972</f>
        <v>823.38000000000011</v>
      </c>
      <c r="I70" s="44">
        <f>ORÇAMENTO!G972</f>
        <v>208.42</v>
      </c>
      <c r="J70" s="44">
        <f>ORÇAMENTO!H972</f>
        <v>0.2122</v>
      </c>
      <c r="K70" s="44">
        <f>ORÇAMENTO!I972</f>
        <v>252.65</v>
      </c>
      <c r="L70" s="638">
        <f>ORÇAMENTO!J972</f>
        <v>208026.95</v>
      </c>
      <c r="M70" s="23">
        <f>ORÇAMENTO!K972</f>
        <v>7.3543761832217313E-3</v>
      </c>
      <c r="N70" s="23" t="str">
        <f t="shared" si="5"/>
        <v>OK!</v>
      </c>
      <c r="O70" s="23" t="str">
        <f t="shared" si="6"/>
        <v>OK!</v>
      </c>
      <c r="P70" s="23" t="str">
        <f t="shared" si="7"/>
        <v>OK!</v>
      </c>
    </row>
    <row r="71" spans="2:16" x14ac:dyDescent="0.35">
      <c r="B71" s="43">
        <f t="shared" si="4"/>
        <v>15</v>
      </c>
      <c r="C71" s="44" t="str">
        <f>ORÇAMENTO!A302</f>
        <v>4.3.2.1</v>
      </c>
      <c r="D71" s="44" t="str">
        <f>ORÇAMENTO!B302</f>
        <v xml:space="preserve"> 25.14.01 </v>
      </c>
      <c r="E71" s="44" t="str">
        <f>ORÇAMENTO!C302</f>
        <v>EMBASA</v>
      </c>
      <c r="F71" s="480" t="str">
        <f>ORÇAMENTO!D302</f>
        <v>BOMBEAMENTO DE POCO DE VISITA</v>
      </c>
      <c r="G71" s="44" t="str">
        <f>ORÇAMENTO!E302</f>
        <v>UN</v>
      </c>
      <c r="H71" s="44">
        <f>ORÇAMENTO!F302</f>
        <v>55</v>
      </c>
      <c r="I71" s="44">
        <f>ORÇAMENTO!G302</f>
        <v>165.13</v>
      </c>
      <c r="J71" s="44">
        <f>ORÇAMENTO!H302</f>
        <v>0.2122</v>
      </c>
      <c r="K71" s="44">
        <f>ORÇAMENTO!I302</f>
        <v>200.17</v>
      </c>
      <c r="L71" s="44">
        <f>ORÇAMENTO!J302</f>
        <v>11009.35</v>
      </c>
      <c r="M71" s="23">
        <f>ORÇAMENTO!K302</f>
        <v>3.8921351984803968E-4</v>
      </c>
      <c r="N71" s="23" t="str">
        <f t="shared" si="5"/>
        <v>DIFERENTE</v>
      </c>
      <c r="O71" s="23" t="str">
        <f t="shared" si="6"/>
        <v>DIFERENTE</v>
      </c>
      <c r="P71" s="23" t="str">
        <f t="shared" si="7"/>
        <v>DIFERENTE</v>
      </c>
    </row>
    <row r="72" spans="2:16" x14ac:dyDescent="0.35">
      <c r="B72" s="43">
        <f t="shared" si="4"/>
        <v>15</v>
      </c>
      <c r="C72" s="44" t="str">
        <f>ORÇAMENTO!A515</f>
        <v>5.3.2.1</v>
      </c>
      <c r="D72" s="44" t="str">
        <f>ORÇAMENTO!B515</f>
        <v xml:space="preserve"> 25.14.01 </v>
      </c>
      <c r="E72" s="44" t="str">
        <f>ORÇAMENTO!C515</f>
        <v>EMBASA</v>
      </c>
      <c r="F72" s="480" t="str">
        <f>ORÇAMENTO!D515</f>
        <v>BOMBEAMENTO DE POCO DE VISITA</v>
      </c>
      <c r="G72" s="44" t="str">
        <f>ORÇAMENTO!E515</f>
        <v>UN</v>
      </c>
      <c r="H72" s="44">
        <f>ORÇAMENTO!F515</f>
        <v>35</v>
      </c>
      <c r="I72" s="44">
        <f>ORÇAMENTO!G515</f>
        <v>165.13</v>
      </c>
      <c r="J72" s="44">
        <f>ORÇAMENTO!H515</f>
        <v>0.2122</v>
      </c>
      <c r="K72" s="44">
        <f>ORÇAMENTO!I515</f>
        <v>200.17</v>
      </c>
      <c r="L72" s="44">
        <f>ORÇAMENTO!J515</f>
        <v>7005.95</v>
      </c>
      <c r="M72" s="23">
        <f>ORÇAMENTO!K515</f>
        <v>2.4768133081238891E-4</v>
      </c>
      <c r="N72" s="23" t="str">
        <f t="shared" si="5"/>
        <v>OK!</v>
      </c>
      <c r="O72" s="23" t="str">
        <f t="shared" si="6"/>
        <v>OK!</v>
      </c>
      <c r="P72" s="23" t="str">
        <f t="shared" si="7"/>
        <v>OK!</v>
      </c>
    </row>
    <row r="73" spans="2:16" x14ac:dyDescent="0.35">
      <c r="B73" s="43">
        <f t="shared" si="4"/>
        <v>15</v>
      </c>
      <c r="C73" s="44" t="str">
        <f>ORÇAMENTO!A708</f>
        <v>6.3.2</v>
      </c>
      <c r="D73" s="44" t="str">
        <f>ORÇAMENTO!B708</f>
        <v xml:space="preserve"> 25.14.01 </v>
      </c>
      <c r="E73" s="44" t="str">
        <f>ORÇAMENTO!C708</f>
        <v>EMBASA</v>
      </c>
      <c r="F73" s="480" t="str">
        <f>ORÇAMENTO!D708</f>
        <v>BOMBEAMENTO DE POCO DE VISITA</v>
      </c>
      <c r="G73" s="44" t="str">
        <f>ORÇAMENTO!E708</f>
        <v>UN</v>
      </c>
      <c r="H73" s="44">
        <f>ORÇAMENTO!F708</f>
        <v>68</v>
      </c>
      <c r="I73" s="44">
        <f>ORÇAMENTO!G708</f>
        <v>165.13</v>
      </c>
      <c r="J73" s="44">
        <f>ORÇAMENTO!H708</f>
        <v>0.2122</v>
      </c>
      <c r="K73" s="44">
        <f>ORÇAMENTO!I708</f>
        <v>200.17</v>
      </c>
      <c r="L73" s="44">
        <f>ORÇAMENTO!J708</f>
        <v>13611.56</v>
      </c>
      <c r="M73" s="23">
        <f>ORÇAMENTO!K708</f>
        <v>4.8120944272121268E-4</v>
      </c>
      <c r="N73" s="23" t="str">
        <f t="shared" si="5"/>
        <v>OK!</v>
      </c>
      <c r="O73" s="23" t="str">
        <f t="shared" si="6"/>
        <v>OK!</v>
      </c>
      <c r="P73" s="23" t="str">
        <f t="shared" si="7"/>
        <v>OK!</v>
      </c>
    </row>
    <row r="74" spans="2:16" x14ac:dyDescent="0.35">
      <c r="B74" s="43">
        <f t="shared" si="4"/>
        <v>15</v>
      </c>
      <c r="C74" s="44" t="str">
        <f>ORÇAMENTO!A930</f>
        <v>7.3.2.1</v>
      </c>
      <c r="D74" s="44" t="str">
        <f>ORÇAMENTO!B930</f>
        <v xml:space="preserve"> 25.14.01 </v>
      </c>
      <c r="E74" s="44" t="str">
        <f>ORÇAMENTO!C930</f>
        <v>EMBASA</v>
      </c>
      <c r="F74" s="480" t="str">
        <f>ORÇAMENTO!D930</f>
        <v>BOMBEAMENTO DE POCO DE VISITA</v>
      </c>
      <c r="G74" s="44" t="str">
        <f>ORÇAMENTO!E930</f>
        <v>UN</v>
      </c>
      <c r="H74" s="44">
        <f>ORÇAMENTO!F930</f>
        <v>38</v>
      </c>
      <c r="I74" s="44">
        <f>ORÇAMENTO!G930</f>
        <v>165.13</v>
      </c>
      <c r="J74" s="44">
        <f>ORÇAMENTO!H930</f>
        <v>0.2122</v>
      </c>
      <c r="K74" s="44">
        <f>ORÇAMENTO!I930</f>
        <v>200.17</v>
      </c>
      <c r="L74" s="44">
        <f>ORÇAMENTO!J930</f>
        <v>7606.46</v>
      </c>
      <c r="M74" s="23">
        <f>ORÇAMENTO!K930</f>
        <v>2.6891115916773654E-4</v>
      </c>
      <c r="N74" s="23" t="str">
        <f t="shared" si="5"/>
        <v>OK!</v>
      </c>
      <c r="O74" s="23" t="str">
        <f t="shared" si="6"/>
        <v>OK!</v>
      </c>
      <c r="P74" s="23" t="str">
        <f t="shared" si="7"/>
        <v>OK!</v>
      </c>
    </row>
    <row r="75" spans="2:16" x14ac:dyDescent="0.35">
      <c r="B75" s="43">
        <f t="shared" si="4"/>
        <v>16</v>
      </c>
      <c r="C75" s="44" t="str">
        <f>ORÇAMENTO!A176</f>
        <v>4.1.2.4.9</v>
      </c>
      <c r="D75" s="44" t="str">
        <f>ORÇAMENTO!B176</f>
        <v xml:space="preserve"> M0344 </v>
      </c>
      <c r="E75" s="44" t="str">
        <f>ORÇAMENTO!C176</f>
        <v>SICRO3</v>
      </c>
      <c r="F75" s="480" t="str">
        <f>ORÇAMENTO!D176</f>
        <v>CAL HIDRATADA - A GRANEL</v>
      </c>
      <c r="G75" s="44" t="str">
        <f>ORÇAMENTO!E176</f>
        <v>KG</v>
      </c>
      <c r="H75" s="44">
        <f>ORÇAMENTO!F176</f>
        <v>51113.454349773325</v>
      </c>
      <c r="I75" s="44">
        <f>ORÇAMENTO!G176</f>
        <v>0.54959999999999998</v>
      </c>
      <c r="J75" s="44">
        <f>ORÇAMENTO!H176</f>
        <v>0.111</v>
      </c>
      <c r="K75" s="44">
        <f>ORÇAMENTO!I176</f>
        <v>0.61</v>
      </c>
      <c r="L75" s="44">
        <f>ORÇAMENTO!J176</f>
        <v>31179.200000000001</v>
      </c>
      <c r="M75" s="23">
        <f>ORÇAMENTO!K176</f>
        <v>1.1022781706500383E-3</v>
      </c>
      <c r="N75" s="23" t="str">
        <f t="shared" si="5"/>
        <v>DIFERENTE</v>
      </c>
      <c r="O75" s="23" t="str">
        <f t="shared" si="6"/>
        <v>DIFERENTE</v>
      </c>
      <c r="P75" s="23" t="str">
        <f t="shared" si="7"/>
        <v>DIFERENTE</v>
      </c>
    </row>
    <row r="76" spans="2:16" x14ac:dyDescent="0.35">
      <c r="B76" s="43">
        <f t="shared" si="4"/>
        <v>16</v>
      </c>
      <c r="C76" s="44" t="str">
        <f>ORÇAMENTO!A235</f>
        <v>4.1.2.6.33</v>
      </c>
      <c r="D76" s="44" t="str">
        <f>ORÇAMENTO!B235</f>
        <v xml:space="preserve"> M0344 </v>
      </c>
      <c r="E76" s="44" t="str">
        <f>ORÇAMENTO!C235</f>
        <v>SICRO3</v>
      </c>
      <c r="F76" s="480" t="str">
        <f>ORÇAMENTO!D235</f>
        <v>CAL HIDRATADA - A GRANEL</v>
      </c>
      <c r="G76" s="44" t="str">
        <f>ORÇAMENTO!E235</f>
        <v>KG</v>
      </c>
      <c r="H76" s="44">
        <f>ORÇAMENTO!F235</f>
        <v>5616.01</v>
      </c>
      <c r="I76" s="44">
        <f>ORÇAMENTO!G235</f>
        <v>0.54959999999999998</v>
      </c>
      <c r="J76" s="44">
        <f>ORÇAMENTO!H235</f>
        <v>0.111</v>
      </c>
      <c r="K76" s="44">
        <f>ORÇAMENTO!I235</f>
        <v>0.61</v>
      </c>
      <c r="L76" s="44">
        <f>ORÇAMENTO!J235</f>
        <v>3425.76</v>
      </c>
      <c r="M76" s="23">
        <f>ORÇAMENTO!K235</f>
        <v>1.2111088372652524E-4</v>
      </c>
      <c r="N76" s="23" t="str">
        <f t="shared" si="5"/>
        <v>OK!</v>
      </c>
      <c r="O76" s="23" t="str">
        <f t="shared" si="6"/>
        <v>OK!</v>
      </c>
      <c r="P76" s="23" t="str">
        <f t="shared" si="7"/>
        <v>OK!</v>
      </c>
    </row>
    <row r="77" spans="2:16" x14ac:dyDescent="0.35">
      <c r="B77" s="43">
        <f t="shared" si="4"/>
        <v>16</v>
      </c>
      <c r="C77" s="44" t="str">
        <f>ORÇAMENTO!A292</f>
        <v>4.2.4.13</v>
      </c>
      <c r="D77" s="44" t="str">
        <f>ORÇAMENTO!B292</f>
        <v xml:space="preserve"> M0344 </v>
      </c>
      <c r="E77" s="44" t="str">
        <f>ORÇAMENTO!C292</f>
        <v>SICRO3</v>
      </c>
      <c r="F77" s="480" t="str">
        <f>ORÇAMENTO!D292</f>
        <v>CAL HIDRATADA - A GRANEL</v>
      </c>
      <c r="G77" s="44" t="str">
        <f>ORÇAMENTO!E292</f>
        <v>KG</v>
      </c>
      <c r="H77" s="44">
        <f>ORÇAMENTO!F292</f>
        <v>420.77</v>
      </c>
      <c r="I77" s="44">
        <f>ORÇAMENTO!G292</f>
        <v>0.54959999999999998</v>
      </c>
      <c r="J77" s="44">
        <f>ORÇAMENTO!H292</f>
        <v>0.111</v>
      </c>
      <c r="K77" s="44">
        <f>ORÇAMENTO!I292</f>
        <v>0.61</v>
      </c>
      <c r="L77" s="44">
        <f>ORÇAMENTO!J292</f>
        <v>256.66000000000003</v>
      </c>
      <c r="M77" s="23">
        <f>ORÇAMENTO!K292</f>
        <v>9.0737002642479242E-6</v>
      </c>
      <c r="N77" s="23" t="str">
        <f t="shared" si="5"/>
        <v>OK!</v>
      </c>
      <c r="O77" s="23" t="str">
        <f t="shared" si="6"/>
        <v>OK!</v>
      </c>
      <c r="P77" s="23" t="str">
        <f t="shared" si="7"/>
        <v>OK!</v>
      </c>
    </row>
    <row r="78" spans="2:16" x14ac:dyDescent="0.35">
      <c r="B78" s="43">
        <f t="shared" si="4"/>
        <v>16</v>
      </c>
      <c r="C78" s="44" t="str">
        <f>ORÇAMENTO!A326</f>
        <v>4.4.22</v>
      </c>
      <c r="D78" s="44" t="str">
        <f>ORÇAMENTO!B326</f>
        <v xml:space="preserve"> M0344 </v>
      </c>
      <c r="E78" s="44" t="str">
        <f>ORÇAMENTO!C326</f>
        <v>SICRO3</v>
      </c>
      <c r="F78" s="480" t="str">
        <f>ORÇAMENTO!D326</f>
        <v>CAL HIDRATADA - A GRANEL</v>
      </c>
      <c r="G78" s="44" t="str">
        <f>ORÇAMENTO!E326</f>
        <v>KG</v>
      </c>
      <c r="H78" s="44">
        <f>ORÇAMENTO!F326</f>
        <v>2.4840955953886117</v>
      </c>
      <c r="I78" s="44">
        <f>ORÇAMENTO!G326</f>
        <v>0.54959999999999998</v>
      </c>
      <c r="J78" s="44">
        <f>ORÇAMENTO!H326</f>
        <v>0.111</v>
      </c>
      <c r="K78" s="44">
        <f>ORÇAMENTO!I326</f>
        <v>0.61</v>
      </c>
      <c r="L78" s="44">
        <f>ORÇAMENTO!J326</f>
        <v>1.51</v>
      </c>
      <c r="M78" s="23">
        <f>ORÇAMENTO!K326</f>
        <v>5.3383025789037495E-8</v>
      </c>
      <c r="N78" s="23" t="str">
        <f t="shared" si="5"/>
        <v>OK!</v>
      </c>
      <c r="O78" s="23" t="str">
        <f t="shared" si="6"/>
        <v>OK!</v>
      </c>
      <c r="P78" s="23" t="str">
        <f t="shared" si="7"/>
        <v>OK!</v>
      </c>
    </row>
    <row r="79" spans="2:16" x14ac:dyDescent="0.35">
      <c r="B79" s="43">
        <f t="shared" si="4"/>
        <v>16</v>
      </c>
      <c r="C79" s="44" t="str">
        <f>ORÇAMENTO!A415</f>
        <v>5.1.2.4.9</v>
      </c>
      <c r="D79" s="44" t="str">
        <f>ORÇAMENTO!B415</f>
        <v xml:space="preserve"> M0344 </v>
      </c>
      <c r="E79" s="44" t="str">
        <f>ORÇAMENTO!C415</f>
        <v>SICRO3</v>
      </c>
      <c r="F79" s="480" t="str">
        <f>ORÇAMENTO!D415</f>
        <v>CAL HIDRATADA - A GRANEL</v>
      </c>
      <c r="G79" s="44" t="str">
        <f>ORÇAMENTO!E415</f>
        <v>KG</v>
      </c>
      <c r="H79" s="44">
        <f>ORÇAMENTO!F415</f>
        <v>64002.078770000022</v>
      </c>
      <c r="I79" s="44">
        <f>ORÇAMENTO!G415</f>
        <v>0.54959999999999998</v>
      </c>
      <c r="J79" s="44">
        <f>ORÇAMENTO!H415</f>
        <v>0.111</v>
      </c>
      <c r="K79" s="44">
        <f>ORÇAMENTO!I415</f>
        <v>0.61</v>
      </c>
      <c r="L79" s="44">
        <f>ORÇAMENTO!J415</f>
        <v>39041.26</v>
      </c>
      <c r="M79" s="23">
        <f>ORÇAMENTO!K415</f>
        <v>1.3802255559049788E-3</v>
      </c>
      <c r="N79" s="23" t="str">
        <f t="shared" si="5"/>
        <v>OK!</v>
      </c>
      <c r="O79" s="23" t="str">
        <f t="shared" si="6"/>
        <v>OK!</v>
      </c>
      <c r="P79" s="23" t="str">
        <f t="shared" si="7"/>
        <v>OK!</v>
      </c>
    </row>
    <row r="80" spans="2:16" x14ac:dyDescent="0.35">
      <c r="B80" s="43">
        <f t="shared" si="4"/>
        <v>16</v>
      </c>
      <c r="C80" s="44" t="str">
        <f>ORÇAMENTO!A478</f>
        <v>5.1.2.6.34</v>
      </c>
      <c r="D80" s="44" t="str">
        <f>ORÇAMENTO!B478</f>
        <v xml:space="preserve"> M0344 </v>
      </c>
      <c r="E80" s="44" t="str">
        <f>ORÇAMENTO!C478</f>
        <v>SICRO3</v>
      </c>
      <c r="F80" s="480" t="str">
        <f>ORÇAMENTO!D478</f>
        <v>CAL HIDRATADA - A GRANEL</v>
      </c>
      <c r="G80" s="44" t="str">
        <f>ORÇAMENTO!E478</f>
        <v>KG</v>
      </c>
      <c r="H80" s="44">
        <f>ORÇAMENTO!F478</f>
        <v>2936.19</v>
      </c>
      <c r="I80" s="44">
        <f>ORÇAMENTO!G478</f>
        <v>0.54959999999999998</v>
      </c>
      <c r="J80" s="44">
        <f>ORÇAMENTO!H478</f>
        <v>0.111</v>
      </c>
      <c r="K80" s="44">
        <f>ORÇAMENTO!I478</f>
        <v>0.61</v>
      </c>
      <c r="L80" s="44">
        <f>ORÇAMENTO!J478</f>
        <v>1791.07</v>
      </c>
      <c r="M80" s="23">
        <f>ORÇAMENTO!K478</f>
        <v>6.3319692715212836E-5</v>
      </c>
      <c r="N80" s="23" t="str">
        <f t="shared" si="5"/>
        <v>OK!</v>
      </c>
      <c r="O80" s="23" t="str">
        <f t="shared" si="6"/>
        <v>OK!</v>
      </c>
      <c r="P80" s="23" t="str">
        <f t="shared" si="7"/>
        <v>OK!</v>
      </c>
    </row>
    <row r="81" spans="2:16" x14ac:dyDescent="0.35">
      <c r="B81" s="43">
        <f t="shared" si="4"/>
        <v>16</v>
      </c>
      <c r="C81" s="44" t="str">
        <f>ORÇAMENTO!A539</f>
        <v>5.4.22</v>
      </c>
      <c r="D81" s="44" t="str">
        <f>ORÇAMENTO!B539</f>
        <v xml:space="preserve"> M0344 </v>
      </c>
      <c r="E81" s="44" t="str">
        <f>ORÇAMENTO!C539</f>
        <v>SICRO3</v>
      </c>
      <c r="F81" s="480" t="str">
        <f>ORÇAMENTO!D539</f>
        <v>CAL HIDRATADA - A GRANEL</v>
      </c>
      <c r="G81" s="44" t="str">
        <f>ORÇAMENTO!E539</f>
        <v>KG</v>
      </c>
      <c r="H81" s="44">
        <f>ORÇAMENTO!F539</f>
        <v>1.0143390347836829</v>
      </c>
      <c r="I81" s="44">
        <f>ORÇAMENTO!G539</f>
        <v>0.54959999999999998</v>
      </c>
      <c r="J81" s="44">
        <f>ORÇAMENTO!H539</f>
        <v>0.111</v>
      </c>
      <c r="K81" s="44">
        <f>ORÇAMENTO!I539</f>
        <v>0.61</v>
      </c>
      <c r="L81" s="44">
        <f>ORÇAMENTO!J539</f>
        <v>0.61</v>
      </c>
      <c r="M81" s="23">
        <f>ORÇAMENTO!K539</f>
        <v>2.1565328298882696E-8</v>
      </c>
      <c r="N81" s="23" t="str">
        <f t="shared" si="5"/>
        <v>OK!</v>
      </c>
      <c r="O81" s="23" t="str">
        <f t="shared" si="6"/>
        <v>OK!</v>
      </c>
      <c r="P81" s="23" t="str">
        <f t="shared" si="7"/>
        <v>OK!</v>
      </c>
    </row>
    <row r="82" spans="2:16" x14ac:dyDescent="0.35">
      <c r="B82" s="43">
        <f t="shared" si="4"/>
        <v>16</v>
      </c>
      <c r="C82" s="44" t="str">
        <f>ORÇAMENTO!A627</f>
        <v>6.1.2.4.9</v>
      </c>
      <c r="D82" s="44" t="str">
        <f>ORÇAMENTO!B627</f>
        <v xml:space="preserve"> M0344 </v>
      </c>
      <c r="E82" s="44" t="str">
        <f>ORÇAMENTO!C627</f>
        <v>SICRO3</v>
      </c>
      <c r="F82" s="480" t="str">
        <f>ORÇAMENTO!D627</f>
        <v>CAL HIDRATADA - A GRANEL</v>
      </c>
      <c r="G82" s="44" t="str">
        <f>ORÇAMENTO!E627</f>
        <v>KG</v>
      </c>
      <c r="H82" s="44">
        <f>ORÇAMENTO!F627</f>
        <v>16044.204268818952</v>
      </c>
      <c r="I82" s="44">
        <f>ORÇAMENTO!G627</f>
        <v>0.54959999999999998</v>
      </c>
      <c r="J82" s="44">
        <f>ORÇAMENTO!H627</f>
        <v>0.111</v>
      </c>
      <c r="K82" s="44">
        <f>ORÇAMENTO!I627</f>
        <v>0.61</v>
      </c>
      <c r="L82" s="44">
        <f>ORÇAMENTO!J627</f>
        <v>9786.9599999999991</v>
      </c>
      <c r="M82" s="23">
        <f>ORÇAMENTO!K627</f>
        <v>3.4599836958693932E-4</v>
      </c>
      <c r="N82" s="23" t="str">
        <f t="shared" si="5"/>
        <v>OK!</v>
      </c>
      <c r="O82" s="23" t="str">
        <f t="shared" si="6"/>
        <v>OK!</v>
      </c>
      <c r="P82" s="23" t="str">
        <f t="shared" si="7"/>
        <v>OK!</v>
      </c>
    </row>
    <row r="83" spans="2:16" x14ac:dyDescent="0.35">
      <c r="B83" s="43">
        <f t="shared" si="4"/>
        <v>16</v>
      </c>
      <c r="C83" s="44" t="str">
        <f>ORÇAMENTO!A673</f>
        <v>6.1.2.6.26</v>
      </c>
      <c r="D83" s="44" t="str">
        <f>ORÇAMENTO!B673</f>
        <v xml:space="preserve"> M0344 </v>
      </c>
      <c r="E83" s="44" t="str">
        <f>ORÇAMENTO!C673</f>
        <v>SICRO3</v>
      </c>
      <c r="F83" s="480" t="str">
        <f>ORÇAMENTO!D673</f>
        <v>CAL HIDRATADA - A GRANEL</v>
      </c>
      <c r="G83" s="44" t="str">
        <f>ORÇAMENTO!E673</f>
        <v>KG</v>
      </c>
      <c r="H83" s="44">
        <f>ORÇAMENTO!F673</f>
        <v>738.32</v>
      </c>
      <c r="I83" s="44">
        <f>ORÇAMENTO!G673</f>
        <v>0.54959999999999998</v>
      </c>
      <c r="J83" s="44">
        <f>ORÇAMENTO!H673</f>
        <v>0.111</v>
      </c>
      <c r="K83" s="44">
        <f>ORÇAMENTO!I673</f>
        <v>0.61</v>
      </c>
      <c r="L83" s="44">
        <f>ORÇAMENTO!J673</f>
        <v>450.37</v>
      </c>
      <c r="M83" s="23">
        <f>ORÇAMENTO!K673</f>
        <v>1.5921929354045572E-5</v>
      </c>
      <c r="N83" s="23" t="str">
        <f t="shared" si="5"/>
        <v>OK!</v>
      </c>
      <c r="O83" s="23" t="str">
        <f t="shared" si="6"/>
        <v>OK!</v>
      </c>
      <c r="P83" s="23" t="str">
        <f t="shared" si="7"/>
        <v>OK!</v>
      </c>
    </row>
    <row r="84" spans="2:16" x14ac:dyDescent="0.35">
      <c r="B84" s="43">
        <f t="shared" si="4"/>
        <v>16</v>
      </c>
      <c r="C84" s="44" t="str">
        <f>ORÇAMENTO!A729</f>
        <v>6.4.19</v>
      </c>
      <c r="D84" s="44" t="str">
        <f>ORÇAMENTO!B729</f>
        <v xml:space="preserve"> M0344 </v>
      </c>
      <c r="E84" s="44" t="str">
        <f>ORÇAMENTO!C729</f>
        <v>SICRO3</v>
      </c>
      <c r="F84" s="480" t="str">
        <f>ORÇAMENTO!D729</f>
        <v>CAL HIDRATADA - A GRANEL</v>
      </c>
      <c r="G84" s="44" t="str">
        <f>ORÇAMENTO!E729</f>
        <v>KG</v>
      </c>
      <c r="H84" s="44">
        <f>ORÇAMENTO!F729</f>
        <v>0.57962230559067685</v>
      </c>
      <c r="I84" s="44">
        <f>ORÇAMENTO!G729</f>
        <v>0.54959999999999998</v>
      </c>
      <c r="J84" s="44">
        <f>ORÇAMENTO!H729</f>
        <v>0.111</v>
      </c>
      <c r="K84" s="44">
        <f>ORÇAMENTO!I729</f>
        <v>0.61</v>
      </c>
      <c r="L84" s="44">
        <f>ORÇAMENTO!J729</f>
        <v>0.35</v>
      </c>
      <c r="M84" s="23">
        <f>ORÇAMENTO!K729</f>
        <v>1.2373549023949088E-8</v>
      </c>
      <c r="N84" s="23" t="str">
        <f t="shared" si="5"/>
        <v>OK!</v>
      </c>
      <c r="O84" s="23" t="str">
        <f t="shared" si="6"/>
        <v>OK!</v>
      </c>
      <c r="P84" s="23" t="str">
        <f t="shared" si="7"/>
        <v>OK!</v>
      </c>
    </row>
    <row r="85" spans="2:16" x14ac:dyDescent="0.35">
      <c r="B85" s="43">
        <f t="shared" si="4"/>
        <v>16</v>
      </c>
      <c r="C85" s="44" t="str">
        <f>ORÇAMENTO!A824</f>
        <v>7.1.2.4.9</v>
      </c>
      <c r="D85" s="44" t="str">
        <f>ORÇAMENTO!B824</f>
        <v xml:space="preserve"> M0344 </v>
      </c>
      <c r="E85" s="44" t="str">
        <f>ORÇAMENTO!C824</f>
        <v>SICRO3</v>
      </c>
      <c r="F85" s="480" t="str">
        <f>ORÇAMENTO!D824</f>
        <v>CAL HIDRATADA - A GRANEL</v>
      </c>
      <c r="G85" s="44" t="str">
        <f>ORÇAMENTO!E824</f>
        <v>KG</v>
      </c>
      <c r="H85" s="44">
        <f>ORÇAMENTO!F824</f>
        <v>105479.919192</v>
      </c>
      <c r="I85" s="44">
        <f>ORÇAMENTO!G824</f>
        <v>0.54959999999999998</v>
      </c>
      <c r="J85" s="44">
        <f>ORÇAMENTO!H824</f>
        <v>0.111</v>
      </c>
      <c r="K85" s="44">
        <f>ORÇAMENTO!I824</f>
        <v>0.61</v>
      </c>
      <c r="L85" s="44">
        <f>ORÇAMENTO!J824</f>
        <v>64342.75</v>
      </c>
      <c r="M85" s="23">
        <f>ORÇAMENTO!K824</f>
        <v>2.2747090613162864E-3</v>
      </c>
      <c r="N85" s="23" t="str">
        <f t="shared" si="5"/>
        <v>OK!</v>
      </c>
      <c r="O85" s="23" t="str">
        <f t="shared" si="6"/>
        <v>OK!</v>
      </c>
      <c r="P85" s="23" t="str">
        <f t="shared" si="7"/>
        <v>OK!</v>
      </c>
    </row>
    <row r="86" spans="2:16" x14ac:dyDescent="0.35">
      <c r="B86" s="43">
        <f t="shared" si="4"/>
        <v>16</v>
      </c>
      <c r="C86" s="44" t="str">
        <f>ORÇAMENTO!A886</f>
        <v>7.1.2.6.33</v>
      </c>
      <c r="D86" s="44" t="str">
        <f>ORÇAMENTO!B886</f>
        <v xml:space="preserve"> M0344 </v>
      </c>
      <c r="E86" s="44" t="str">
        <f>ORÇAMENTO!C886</f>
        <v>SICRO3</v>
      </c>
      <c r="F86" s="480" t="str">
        <f>ORÇAMENTO!D886</f>
        <v>CAL HIDRATADA - A GRANEL</v>
      </c>
      <c r="G86" s="44" t="str">
        <f>ORÇAMENTO!E886</f>
        <v>KG</v>
      </c>
      <c r="H86" s="44">
        <f>ORÇAMENTO!F886</f>
        <v>11703.29</v>
      </c>
      <c r="I86" s="44">
        <f>ORÇAMENTO!G886</f>
        <v>0.54959999999999998</v>
      </c>
      <c r="J86" s="44">
        <f>ORÇAMENTO!H886</f>
        <v>0.111</v>
      </c>
      <c r="K86" s="44">
        <f>ORÇAMENTO!I886</f>
        <v>0.61</v>
      </c>
      <c r="L86" s="44">
        <f>ORÇAMENTO!J886</f>
        <v>7139</v>
      </c>
      <c r="M86" s="23">
        <f>ORÇAMENTO!K886</f>
        <v>2.5238504709135012E-4</v>
      </c>
      <c r="N86" s="23" t="str">
        <f t="shared" si="5"/>
        <v>OK!</v>
      </c>
      <c r="O86" s="23" t="str">
        <f t="shared" si="6"/>
        <v>OK!</v>
      </c>
      <c r="P86" s="23" t="str">
        <f t="shared" si="7"/>
        <v>OK!</v>
      </c>
    </row>
    <row r="87" spans="2:16" x14ac:dyDescent="0.35">
      <c r="B87" s="43">
        <f t="shared" si="4"/>
        <v>16</v>
      </c>
      <c r="C87" s="44" t="str">
        <f>ORÇAMENTO!A953</f>
        <v>7.4.21</v>
      </c>
      <c r="D87" s="44" t="str">
        <f>ORÇAMENTO!B953</f>
        <v xml:space="preserve"> M0344 </v>
      </c>
      <c r="E87" s="44" t="str">
        <f>ORÇAMENTO!C953</f>
        <v>SICRO3</v>
      </c>
      <c r="F87" s="636" t="str">
        <f>ORÇAMENTO!D953</f>
        <v>CAL HIDRATADA - A GRANEL</v>
      </c>
      <c r="G87" s="44" t="str">
        <f>ORÇAMENTO!E953</f>
        <v>KG</v>
      </c>
      <c r="H87" s="44">
        <f>ORÇAMENTO!F953</f>
        <v>0.93153584827072944</v>
      </c>
      <c r="I87" s="44">
        <f>ORÇAMENTO!G953</f>
        <v>0.54959999999999998</v>
      </c>
      <c r="J87" s="44">
        <f>ORÇAMENTO!H953</f>
        <v>0.111</v>
      </c>
      <c r="K87" s="44">
        <f>ORÇAMENTO!I953</f>
        <v>0.61</v>
      </c>
      <c r="L87" s="638">
        <f>ORÇAMENTO!J953</f>
        <v>0.56000000000000005</v>
      </c>
      <c r="M87" s="23">
        <f>ORÇAMENTO!K953</f>
        <v>1.9797678438318543E-8</v>
      </c>
      <c r="N87" s="23" t="str">
        <f t="shared" si="5"/>
        <v>OK!</v>
      </c>
      <c r="O87" s="23" t="str">
        <f t="shared" si="6"/>
        <v>OK!</v>
      </c>
      <c r="P87" s="23" t="str">
        <f t="shared" si="7"/>
        <v>OK!</v>
      </c>
    </row>
    <row r="88" spans="2:16" x14ac:dyDescent="0.35">
      <c r="B88" s="43">
        <f t="shared" si="4"/>
        <v>16</v>
      </c>
      <c r="C88" s="44" t="str">
        <f>ORÇAMENTO!A981</f>
        <v>7.5.4.13</v>
      </c>
      <c r="D88" s="44" t="str">
        <f>ORÇAMENTO!B981</f>
        <v xml:space="preserve"> M0344 </v>
      </c>
      <c r="E88" s="44" t="str">
        <f>ORÇAMENTO!C981</f>
        <v>SICRO3</v>
      </c>
      <c r="F88" s="636" t="str">
        <f>ORÇAMENTO!D981</f>
        <v>CAL HIDRATADA - A GRANEL</v>
      </c>
      <c r="G88" s="44" t="str">
        <f>ORÇAMENTO!E981</f>
        <v>KG</v>
      </c>
      <c r="H88" s="44">
        <f>ORÇAMENTO!F981</f>
        <v>595.12599999999998</v>
      </c>
      <c r="I88" s="44">
        <f>ORÇAMENTO!G981</f>
        <v>0.54959999999999998</v>
      </c>
      <c r="J88" s="44">
        <f>ORÇAMENTO!H981</f>
        <v>0.111</v>
      </c>
      <c r="K88" s="44">
        <f>ORÇAMENTO!I981</f>
        <v>0.61</v>
      </c>
      <c r="L88" s="638">
        <f>ORÇAMENTO!J981</f>
        <v>363.02</v>
      </c>
      <c r="M88" s="23">
        <f>ORÇAMENTO!K981</f>
        <v>1.2833845047639993E-5</v>
      </c>
      <c r="N88" s="23" t="str">
        <f t="shared" si="5"/>
        <v>OK!</v>
      </c>
      <c r="O88" s="23" t="str">
        <f t="shared" si="6"/>
        <v>OK!</v>
      </c>
      <c r="P88" s="23" t="str">
        <f t="shared" si="7"/>
        <v>OK!</v>
      </c>
    </row>
    <row r="89" spans="2:16" ht="43.5" x14ac:dyDescent="0.35">
      <c r="B89" s="43">
        <f t="shared" si="4"/>
        <v>17</v>
      </c>
      <c r="C89" s="44" t="str">
        <f>ORÇAMENTO!A103</f>
        <v>4.1.1.2.2</v>
      </c>
      <c r="D89" s="44" t="str">
        <f>ORÇAMENTO!B103</f>
        <v xml:space="preserve"> 100983 </v>
      </c>
      <c r="E89" s="44" t="str">
        <f>ORÇAMENTO!C103</f>
        <v>SINAPI</v>
      </c>
      <c r="F89" s="480" t="str">
        <f>ORÇAMENTO!D103</f>
        <v>CARGA, MANOBRA E DESCARGA DE ENTULHO EM CAMINHÃO BASCULANTE 14 M³ - CARGA COM ESCAVADEIRA HIDRÁULICA  (CAÇAMBA DE 0,80 M³ / 111 HP) E DESCARGA LIVRE (UNIDADE: M3). AF_07/2020</v>
      </c>
      <c r="G89" s="44" t="str">
        <f>ORÇAMENTO!E103</f>
        <v>M³</v>
      </c>
      <c r="H89" s="44">
        <f>ORÇAMENTO!F103</f>
        <v>62.917474891095289</v>
      </c>
      <c r="I89" s="44">
        <f>ORÇAMENTO!G103</f>
        <v>8.81</v>
      </c>
      <c r="J89" s="44">
        <f>ORÇAMENTO!H103</f>
        <v>0.2122</v>
      </c>
      <c r="K89" s="44">
        <f>ORÇAMENTO!I103</f>
        <v>10.68</v>
      </c>
      <c r="L89" s="44">
        <f>ORÇAMENTO!J103</f>
        <v>671.95</v>
      </c>
      <c r="M89" s="23">
        <f>ORÇAMENTO!K103</f>
        <v>2.3755446476121687E-5</v>
      </c>
      <c r="N89" s="23" t="str">
        <f t="shared" si="5"/>
        <v>DIFERENTE</v>
      </c>
      <c r="O89" s="23" t="str">
        <f t="shared" si="6"/>
        <v>DIFERENTE</v>
      </c>
      <c r="P89" s="23" t="str">
        <f t="shared" si="7"/>
        <v>DIFERENTE</v>
      </c>
    </row>
    <row r="90" spans="2:16" ht="43.5" x14ac:dyDescent="0.35">
      <c r="B90" s="43">
        <f t="shared" si="4"/>
        <v>17</v>
      </c>
      <c r="C90" s="44" t="str">
        <f>ORÇAMENTO!A109</f>
        <v>4.1.1.3.3</v>
      </c>
      <c r="D90" s="44" t="str">
        <f>ORÇAMENTO!B109</f>
        <v xml:space="preserve"> 100983 </v>
      </c>
      <c r="E90" s="44" t="str">
        <f>ORÇAMENTO!C109</f>
        <v>SINAPI</v>
      </c>
      <c r="F90" s="480" t="str">
        <f>ORÇAMENTO!D109</f>
        <v>CARGA, MANOBRA E DESCARGA DE ENTULHO EM CAMINHÃO BASCULANTE 14 M³ - CARGA COM ESCAVADEIRA HIDRÁULICA  (CAÇAMBA DE 0,80 M³ / 111 HP) E DESCARGA LIVRE (UNIDADE: M3). AF_07/2020</v>
      </c>
      <c r="G90" s="44" t="str">
        <f>ORÇAMENTO!E109</f>
        <v>M³</v>
      </c>
      <c r="H90" s="44">
        <f>ORÇAMENTO!F109</f>
        <v>33.88776943984675</v>
      </c>
      <c r="I90" s="44">
        <f>ORÇAMENTO!G109</f>
        <v>8.81</v>
      </c>
      <c r="J90" s="44">
        <f>ORÇAMENTO!H109</f>
        <v>0.2122</v>
      </c>
      <c r="K90" s="44">
        <f>ORÇAMENTO!I109</f>
        <v>10.68</v>
      </c>
      <c r="L90" s="44">
        <f>ORÇAMENTO!J109</f>
        <v>361.92</v>
      </c>
      <c r="M90" s="23">
        <f>ORÇAMENTO!K109</f>
        <v>1.2794956750707583E-5</v>
      </c>
      <c r="N90" s="23" t="str">
        <f t="shared" si="5"/>
        <v>OK!</v>
      </c>
      <c r="O90" s="23" t="str">
        <f t="shared" si="6"/>
        <v>OK!</v>
      </c>
      <c r="P90" s="23" t="str">
        <f t="shared" si="7"/>
        <v>OK!</v>
      </c>
    </row>
    <row r="91" spans="2:16" ht="43.5" x14ac:dyDescent="0.35">
      <c r="B91" s="43">
        <f t="shared" si="4"/>
        <v>17</v>
      </c>
      <c r="C91" s="44" t="str">
        <f>ORÇAMENTO!A114</f>
        <v>4.1.1.4.2</v>
      </c>
      <c r="D91" s="44" t="str">
        <f>ORÇAMENTO!B114</f>
        <v xml:space="preserve"> 100983 </v>
      </c>
      <c r="E91" s="44" t="str">
        <f>ORÇAMENTO!C114</f>
        <v>SINAPI</v>
      </c>
      <c r="F91" s="480" t="str">
        <f>ORÇAMENTO!D114</f>
        <v>CARGA, MANOBRA E DESCARGA DE ENTULHO EM CAMINHÃO BASCULANTE 14 M³ - CARGA COM ESCAVADEIRA HIDRÁULICA  (CAÇAMBA DE 0,80 M³ / 111 HP) E DESCARGA LIVRE (UNIDADE: M3). AF_07/2020</v>
      </c>
      <c r="G91" s="44" t="str">
        <f>ORÇAMENTO!E114</f>
        <v>M³</v>
      </c>
      <c r="H91" s="44">
        <f>ORÇAMENTO!F114</f>
        <v>244.23790377722153</v>
      </c>
      <c r="I91" s="44">
        <f>ORÇAMENTO!G114</f>
        <v>8.81</v>
      </c>
      <c r="J91" s="44">
        <f>ORÇAMENTO!H114</f>
        <v>0.2122</v>
      </c>
      <c r="K91" s="44">
        <f>ORÇAMENTO!I114</f>
        <v>10.68</v>
      </c>
      <c r="L91" s="44">
        <f>ORÇAMENTO!J114</f>
        <v>2608.46</v>
      </c>
      <c r="M91" s="23">
        <f>ORÇAMENTO!K114</f>
        <v>9.2216879105743536E-5</v>
      </c>
      <c r="N91" s="23" t="str">
        <f t="shared" si="5"/>
        <v>OK!</v>
      </c>
      <c r="O91" s="23" t="str">
        <f t="shared" si="6"/>
        <v>OK!</v>
      </c>
      <c r="P91" s="23" t="str">
        <f t="shared" si="7"/>
        <v>OK!</v>
      </c>
    </row>
    <row r="92" spans="2:16" ht="43.5" x14ac:dyDescent="0.35">
      <c r="B92" s="43">
        <f t="shared" si="4"/>
        <v>17</v>
      </c>
      <c r="C92" s="44" t="str">
        <f>ORÇAMENTO!A122</f>
        <v>4.1.1.5.5</v>
      </c>
      <c r="D92" s="44" t="str">
        <f>ORÇAMENTO!B122</f>
        <v xml:space="preserve"> 100983 </v>
      </c>
      <c r="E92" s="44" t="str">
        <f>ORÇAMENTO!C122</f>
        <v>SINAPI</v>
      </c>
      <c r="F92" s="480" t="str">
        <f>ORÇAMENTO!D122</f>
        <v>CARGA, MANOBRA E DESCARGA DE ENTULHO EM CAMINHÃO BASCULANTE 14 M³ - CARGA COM ESCAVADEIRA HIDRÁULICA  (CAÇAMBA DE 0,80 M³ / 111 HP) E DESCARGA LIVRE (UNIDADE: M3). AF_07/2020</v>
      </c>
      <c r="G92" s="44" t="str">
        <f>ORÇAMENTO!E122</f>
        <v>M³</v>
      </c>
      <c r="H92" s="44">
        <f>ORÇAMENTO!F122</f>
        <v>24.976494000000002</v>
      </c>
      <c r="I92" s="44">
        <f>ORÇAMENTO!G122</f>
        <v>8.81</v>
      </c>
      <c r="J92" s="44">
        <f>ORÇAMENTO!H122</f>
        <v>0.2122</v>
      </c>
      <c r="K92" s="44">
        <f>ORÇAMENTO!I122</f>
        <v>10.68</v>
      </c>
      <c r="L92" s="44">
        <f>ORÇAMENTO!J122</f>
        <v>266.74</v>
      </c>
      <c r="M92" s="23">
        <f>ORÇAMENTO!K122</f>
        <v>9.4300584761376567E-6</v>
      </c>
      <c r="N92" s="23" t="str">
        <f t="shared" si="5"/>
        <v>OK!</v>
      </c>
      <c r="O92" s="23" t="str">
        <f t="shared" si="6"/>
        <v>OK!</v>
      </c>
      <c r="P92" s="23" t="str">
        <f t="shared" si="7"/>
        <v>OK!</v>
      </c>
    </row>
    <row r="93" spans="2:16" ht="43.5" x14ac:dyDescent="0.35">
      <c r="B93" s="43">
        <f t="shared" si="4"/>
        <v>17</v>
      </c>
      <c r="C93" s="44" t="str">
        <f>ORÇAMENTO!A128</f>
        <v>4.1.1.6.3</v>
      </c>
      <c r="D93" s="44" t="str">
        <f>ORÇAMENTO!B128</f>
        <v xml:space="preserve"> 100983 </v>
      </c>
      <c r="E93" s="44" t="str">
        <f>ORÇAMENTO!C128</f>
        <v>SINAPI</v>
      </c>
      <c r="F93" s="480" t="str">
        <f>ORÇAMENTO!D128</f>
        <v>CARGA, MANOBRA E DESCARGA DE ENTULHO EM CAMINHÃO BASCULANTE 14 M³ - CARGA COM ESCAVADEIRA HIDRÁULICA  (CAÇAMBA DE 0,80 M³ / 111 HP) E DESCARGA LIVRE (UNIDADE: M3). AF_07/2020</v>
      </c>
      <c r="G93" s="44" t="str">
        <f>ORÇAMENTO!E128</f>
        <v>M³</v>
      </c>
      <c r="H93" s="44">
        <f>ORÇAMENTO!F128</f>
        <v>18.415999999999997</v>
      </c>
      <c r="I93" s="44">
        <f>ORÇAMENTO!G128</f>
        <v>8.81</v>
      </c>
      <c r="J93" s="44">
        <f>ORÇAMENTO!H128</f>
        <v>0.2122</v>
      </c>
      <c r="K93" s="44">
        <f>ORÇAMENTO!I128</f>
        <v>10.68</v>
      </c>
      <c r="L93" s="44">
        <f>ORÇAMENTO!J128</f>
        <v>196.68</v>
      </c>
      <c r="M93" s="23">
        <f>ORÇAMENTO!K128</f>
        <v>6.9532274915151625E-6</v>
      </c>
      <c r="N93" s="23" t="str">
        <f t="shared" si="5"/>
        <v>OK!</v>
      </c>
      <c r="O93" s="23" t="str">
        <f t="shared" si="6"/>
        <v>OK!</v>
      </c>
      <c r="P93" s="23" t="str">
        <f t="shared" si="7"/>
        <v>OK!</v>
      </c>
    </row>
    <row r="94" spans="2:16" ht="43.5" x14ac:dyDescent="0.35">
      <c r="B94" s="43">
        <f t="shared" si="4"/>
        <v>17</v>
      </c>
      <c r="C94" s="44" t="str">
        <f>ORÇAMENTO!A268</f>
        <v>4.2.1.2</v>
      </c>
      <c r="D94" s="44" t="str">
        <f>ORÇAMENTO!B268</f>
        <v xml:space="preserve"> 100983 </v>
      </c>
      <c r="E94" s="44" t="str">
        <f>ORÇAMENTO!C268</f>
        <v>SINAPI</v>
      </c>
      <c r="F94" s="480" t="str">
        <f>ORÇAMENTO!D268</f>
        <v>CARGA, MANOBRA E DESCARGA DE ENTULHO EM CAMINHÃO BASCULANTE 14 M³ - CARGA COM ESCAVADEIRA HIDRÁULICA  (CAÇAMBA DE 0,80 M³ / 111 HP) E DESCARGA LIVRE (UNIDADE: M3). AF_07/2020</v>
      </c>
      <c r="G94" s="44" t="str">
        <f>ORÇAMENTO!E268</f>
        <v>M³</v>
      </c>
      <c r="H94" s="44">
        <f>ORÇAMENTO!F268</f>
        <v>1202.2</v>
      </c>
      <c r="I94" s="44">
        <f>ORÇAMENTO!G268</f>
        <v>8.81</v>
      </c>
      <c r="J94" s="44">
        <f>ORÇAMENTO!H268</f>
        <v>0.2122</v>
      </c>
      <c r="K94" s="44">
        <f>ORÇAMENTO!I268</f>
        <v>10.68</v>
      </c>
      <c r="L94" s="44">
        <f>ORÇAMENTO!J268</f>
        <v>12839.49</v>
      </c>
      <c r="M94" s="23">
        <f>ORÇAMENTO!K268</f>
        <v>4.5391445416429735E-4</v>
      </c>
      <c r="N94" s="23" t="str">
        <f t="shared" si="5"/>
        <v>OK!</v>
      </c>
      <c r="O94" s="23" t="str">
        <f t="shared" si="6"/>
        <v>OK!</v>
      </c>
      <c r="P94" s="23" t="str">
        <f t="shared" si="7"/>
        <v>OK!</v>
      </c>
    </row>
    <row r="95" spans="2:16" ht="43.5" x14ac:dyDescent="0.35">
      <c r="B95" s="43">
        <f t="shared" si="4"/>
        <v>17</v>
      </c>
      <c r="C95" s="44" t="str">
        <f>ORÇAMENTO!A318</f>
        <v>4.4.14</v>
      </c>
      <c r="D95" s="44" t="str">
        <f>ORÇAMENTO!B318</f>
        <v xml:space="preserve"> 100983 </v>
      </c>
      <c r="E95" s="44" t="str">
        <f>ORÇAMENTO!C318</f>
        <v>SINAPI</v>
      </c>
      <c r="F95" s="480" t="str">
        <f>ORÇAMENTO!D318</f>
        <v>CARGA, MANOBRA E DESCARGA DE ENTULHO EM CAMINHÃO BASCULANTE 14 M³ - CARGA COM ESCAVADEIRA HIDRÁULICA  (CAÇAMBA DE 0,80 M³ / 111 HP) E DESCARGA LIVRE (UNIDADE: M3). AF_07/2020</v>
      </c>
      <c r="G95" s="44" t="str">
        <f>ORÇAMENTO!E318</f>
        <v>M³</v>
      </c>
      <c r="H95" s="44">
        <f>ORÇAMENTO!F318</f>
        <v>1.2635999999999996</v>
      </c>
      <c r="I95" s="44">
        <f>ORÇAMENTO!G318</f>
        <v>8.81</v>
      </c>
      <c r="J95" s="44">
        <f>ORÇAMENTO!H318</f>
        <v>0.2122</v>
      </c>
      <c r="K95" s="44">
        <f>ORÇAMENTO!I318</f>
        <v>10.68</v>
      </c>
      <c r="L95" s="44">
        <f>ORÇAMENTO!J318</f>
        <v>13.49</v>
      </c>
      <c r="M95" s="23">
        <f>ORÇAMENTO!K318</f>
        <v>4.7691193238020918E-7</v>
      </c>
      <c r="N95" s="23" t="str">
        <f t="shared" si="5"/>
        <v>OK!</v>
      </c>
      <c r="O95" s="23" t="str">
        <f t="shared" si="6"/>
        <v>OK!</v>
      </c>
      <c r="P95" s="23" t="str">
        <f t="shared" si="7"/>
        <v>OK!</v>
      </c>
    </row>
    <row r="96" spans="2:16" ht="43.5" x14ac:dyDescent="0.35">
      <c r="B96" s="43">
        <f t="shared" si="4"/>
        <v>17</v>
      </c>
      <c r="C96" s="44" t="str">
        <f>ORÇAMENTO!A345</f>
        <v>5.1.1.2.2</v>
      </c>
      <c r="D96" s="44" t="str">
        <f>ORÇAMENTO!B345</f>
        <v xml:space="preserve"> 100983 </v>
      </c>
      <c r="E96" s="44" t="str">
        <f>ORÇAMENTO!C345</f>
        <v>SINAPI</v>
      </c>
      <c r="F96" s="480" t="str">
        <f>ORÇAMENTO!D345</f>
        <v>CARGA, MANOBRA E DESCARGA DE ENTULHO EM CAMINHÃO BASCULANTE 14 M³ - CARGA COM ESCAVADEIRA HIDRÁULICA  (CAÇAMBA DE 0,80 M³ / 111 HP) E DESCARGA LIVRE (UNIDADE: M3). AF_07/2020</v>
      </c>
      <c r="G96" s="44" t="str">
        <f>ORÇAMENTO!E345</f>
        <v>M³</v>
      </c>
      <c r="H96" s="44">
        <f>ORÇAMENTO!F345</f>
        <v>104.49701999999996</v>
      </c>
      <c r="I96" s="44">
        <f>ORÇAMENTO!G345</f>
        <v>8.81</v>
      </c>
      <c r="J96" s="44">
        <f>ORÇAMENTO!H345</f>
        <v>0.2122</v>
      </c>
      <c r="K96" s="44">
        <f>ORÇAMENTO!I345</f>
        <v>10.68</v>
      </c>
      <c r="L96" s="44">
        <f>ORÇAMENTO!J345</f>
        <v>1116.02</v>
      </c>
      <c r="M96" s="23">
        <f>ORÇAMENTO!K345</f>
        <v>3.9454651947736172E-5</v>
      </c>
      <c r="N96" s="23" t="str">
        <f t="shared" si="5"/>
        <v>OK!</v>
      </c>
      <c r="O96" s="23" t="str">
        <f t="shared" si="6"/>
        <v>OK!</v>
      </c>
      <c r="P96" s="23" t="str">
        <f t="shared" si="7"/>
        <v>OK!</v>
      </c>
    </row>
    <row r="97" spans="2:16" ht="43.5" x14ac:dyDescent="0.35">
      <c r="B97" s="43">
        <f t="shared" si="4"/>
        <v>17</v>
      </c>
      <c r="C97" s="44" t="str">
        <f>ORÇAMENTO!A351</f>
        <v>5.1.1.3.3</v>
      </c>
      <c r="D97" s="44" t="str">
        <f>ORÇAMENTO!B351</f>
        <v xml:space="preserve"> 100983 </v>
      </c>
      <c r="E97" s="44" t="str">
        <f>ORÇAMENTO!C351</f>
        <v>SINAPI</v>
      </c>
      <c r="F97" s="480" t="str">
        <f>ORÇAMENTO!D351</f>
        <v>CARGA, MANOBRA E DESCARGA DE ENTULHO EM CAMINHÃO BASCULANTE 14 M³ - CARGA COM ESCAVADEIRA HIDRÁULICA  (CAÇAMBA DE 0,80 M³ / 111 HP) E DESCARGA LIVRE (UNIDADE: M3). AF_07/2020</v>
      </c>
      <c r="G97" s="44" t="str">
        <f>ORÇAMENTO!E351</f>
        <v>M³</v>
      </c>
      <c r="H97" s="44">
        <f>ORÇAMENTO!F351</f>
        <v>56.550366984817941</v>
      </c>
      <c r="I97" s="44">
        <f>ORÇAMENTO!G351</f>
        <v>8.81</v>
      </c>
      <c r="J97" s="44">
        <f>ORÇAMENTO!H351</f>
        <v>0.2122</v>
      </c>
      <c r="K97" s="44">
        <f>ORÇAMENTO!I351</f>
        <v>10.68</v>
      </c>
      <c r="L97" s="44">
        <f>ORÇAMENTO!J351</f>
        <v>603.95000000000005</v>
      </c>
      <c r="M97" s="23">
        <f>ORÇAMENTO!K351</f>
        <v>2.1351442665754434E-5</v>
      </c>
      <c r="N97" s="23" t="str">
        <f t="shared" si="5"/>
        <v>OK!</v>
      </c>
      <c r="O97" s="23" t="str">
        <f t="shared" si="6"/>
        <v>OK!</v>
      </c>
      <c r="P97" s="23" t="str">
        <f t="shared" si="7"/>
        <v>OK!</v>
      </c>
    </row>
    <row r="98" spans="2:16" ht="43.5" x14ac:dyDescent="0.35">
      <c r="B98" s="43">
        <f t="shared" si="4"/>
        <v>17</v>
      </c>
      <c r="C98" s="44" t="str">
        <f>ORÇAMENTO!A356</f>
        <v>5.1.1.4.2</v>
      </c>
      <c r="D98" s="44" t="str">
        <f>ORÇAMENTO!B356</f>
        <v xml:space="preserve"> 100983 </v>
      </c>
      <c r="E98" s="44" t="str">
        <f>ORÇAMENTO!C356</f>
        <v>SINAPI</v>
      </c>
      <c r="F98" s="480" t="str">
        <f>ORÇAMENTO!D356</f>
        <v>CARGA, MANOBRA E DESCARGA DE ENTULHO EM CAMINHÃO BASCULANTE 14 M³ - CARGA COM ESCAVADEIRA HIDRÁULICA  (CAÇAMBA DE 0,80 M³ / 111 HP) E DESCARGA LIVRE (UNIDADE: M3). AF_07/2020</v>
      </c>
      <c r="G98" s="44" t="str">
        <f>ORÇAMENTO!E356</f>
        <v>M³</v>
      </c>
      <c r="H98" s="44">
        <f>ORÇAMENTO!F356</f>
        <v>319.74166187610786</v>
      </c>
      <c r="I98" s="44">
        <f>ORÇAMENTO!G356</f>
        <v>8.81</v>
      </c>
      <c r="J98" s="44">
        <f>ORÇAMENTO!H356</f>
        <v>0.2122</v>
      </c>
      <c r="K98" s="44">
        <f>ORÇAMENTO!I356</f>
        <v>10.68</v>
      </c>
      <c r="L98" s="44">
        <f>ORÇAMENTO!J356</f>
        <v>3414.84</v>
      </c>
      <c r="M98" s="23">
        <f>ORÇAMENTO!K356</f>
        <v>1.2072482899697802E-4</v>
      </c>
      <c r="N98" s="23" t="str">
        <f t="shared" si="5"/>
        <v>OK!</v>
      </c>
      <c r="O98" s="23" t="str">
        <f t="shared" si="6"/>
        <v>OK!</v>
      </c>
      <c r="P98" s="23" t="str">
        <f t="shared" si="7"/>
        <v>OK!</v>
      </c>
    </row>
    <row r="99" spans="2:16" ht="43.5" x14ac:dyDescent="0.35">
      <c r="B99" s="43">
        <f t="shared" si="4"/>
        <v>17</v>
      </c>
      <c r="C99" s="44" t="str">
        <f>ORÇAMENTO!A364</f>
        <v>5.1.1.5.5</v>
      </c>
      <c r="D99" s="44" t="str">
        <f>ORÇAMENTO!B364</f>
        <v xml:space="preserve"> 100983 </v>
      </c>
      <c r="E99" s="44" t="str">
        <f>ORÇAMENTO!C364</f>
        <v>SINAPI</v>
      </c>
      <c r="F99" s="480" t="str">
        <f>ORÇAMENTO!D364</f>
        <v>CARGA, MANOBRA E DESCARGA DE ENTULHO EM CAMINHÃO BASCULANTE 14 M³ - CARGA COM ESCAVADEIRA HIDRÁULICA  (CAÇAMBA DE 0,80 M³ / 111 HP) E DESCARGA LIVRE (UNIDADE: M3). AF_07/2020</v>
      </c>
      <c r="G99" s="44" t="str">
        <f>ORÇAMENTO!E364</f>
        <v>M³</v>
      </c>
      <c r="H99" s="44">
        <f>ORÇAMENTO!F364</f>
        <v>1160.2351487999999</v>
      </c>
      <c r="I99" s="44">
        <f>ORÇAMENTO!G364</f>
        <v>8.81</v>
      </c>
      <c r="J99" s="44">
        <f>ORÇAMENTO!H364</f>
        <v>0.2122</v>
      </c>
      <c r="K99" s="44">
        <f>ORÇAMENTO!I364</f>
        <v>10.68</v>
      </c>
      <c r="L99" s="44">
        <f>ORÇAMENTO!J364</f>
        <v>12391.31</v>
      </c>
      <c r="M99" s="23">
        <f>ORÇAMENTO!K364</f>
        <v>4.3806994787414449E-4</v>
      </c>
      <c r="N99" s="23" t="str">
        <f t="shared" si="5"/>
        <v>OK!</v>
      </c>
      <c r="O99" s="23" t="str">
        <f t="shared" si="6"/>
        <v>OK!</v>
      </c>
      <c r="P99" s="23" t="str">
        <f t="shared" si="7"/>
        <v>OK!</v>
      </c>
    </row>
    <row r="100" spans="2:16" ht="43.5" x14ac:dyDescent="0.35">
      <c r="B100" s="43">
        <f t="shared" si="4"/>
        <v>17</v>
      </c>
      <c r="C100" s="44" t="str">
        <f>ORÇAMENTO!A370</f>
        <v>5.1.1.6.3</v>
      </c>
      <c r="D100" s="44" t="str">
        <f>ORÇAMENTO!B370</f>
        <v xml:space="preserve"> 100983 </v>
      </c>
      <c r="E100" s="44" t="str">
        <f>ORÇAMENTO!C370</f>
        <v>SINAPI</v>
      </c>
      <c r="F100" s="480" t="str">
        <f>ORÇAMENTO!D370</f>
        <v>CARGA, MANOBRA E DESCARGA DE ENTULHO EM CAMINHÃO BASCULANTE 14 M³ - CARGA COM ESCAVADEIRA HIDRÁULICA  (CAÇAMBA DE 0,80 M³ / 111 HP) E DESCARGA LIVRE (UNIDADE: M3). AF_07/2020</v>
      </c>
      <c r="G100" s="44" t="str">
        <f>ORÇAMENTO!E370</f>
        <v>M³</v>
      </c>
      <c r="H100" s="44">
        <f>ORÇAMENTO!F370</f>
        <v>30.958136000000021</v>
      </c>
      <c r="I100" s="44">
        <f>ORÇAMENTO!G370</f>
        <v>8.81</v>
      </c>
      <c r="J100" s="44">
        <f>ORÇAMENTO!H370</f>
        <v>0.2122</v>
      </c>
      <c r="K100" s="44">
        <f>ORÇAMENTO!I370</f>
        <v>10.68</v>
      </c>
      <c r="L100" s="44">
        <f>ORÇAMENTO!J370</f>
        <v>330.63</v>
      </c>
      <c r="M100" s="23">
        <f>ORÇAMENTO!K370</f>
        <v>1.1688761467966534E-5</v>
      </c>
      <c r="N100" s="23" t="str">
        <f t="shared" si="5"/>
        <v>OK!</v>
      </c>
      <c r="O100" s="23" t="str">
        <f t="shared" si="6"/>
        <v>OK!</v>
      </c>
      <c r="P100" s="23" t="str">
        <f t="shared" si="7"/>
        <v>OK!</v>
      </c>
    </row>
    <row r="101" spans="2:16" ht="43.5" x14ac:dyDescent="0.35">
      <c r="B101" s="43">
        <f t="shared" si="4"/>
        <v>17</v>
      </c>
      <c r="C101" s="44" t="str">
        <f>ORÇAMENTO!A531</f>
        <v>5.4.14</v>
      </c>
      <c r="D101" s="44" t="str">
        <f>ORÇAMENTO!B531</f>
        <v xml:space="preserve"> 100983 </v>
      </c>
      <c r="E101" s="44" t="str">
        <f>ORÇAMENTO!C531</f>
        <v>SINAPI</v>
      </c>
      <c r="F101" s="480" t="str">
        <f>ORÇAMENTO!D531</f>
        <v>CARGA, MANOBRA E DESCARGA DE ENTULHO EM CAMINHÃO BASCULANTE 14 M³ - CARGA COM ESCAVADEIRA HIDRÁULICA  (CAÇAMBA DE 0,80 M³ / 111 HP) E DESCARGA LIVRE (UNIDADE: M3). AF_07/2020</v>
      </c>
      <c r="G101" s="44" t="str">
        <f>ORÇAMENTO!E531</f>
        <v>M³</v>
      </c>
      <c r="H101" s="44">
        <f>ORÇAMENTO!F531</f>
        <v>0.38879999999999992</v>
      </c>
      <c r="I101" s="44">
        <f>ORÇAMENTO!G531</f>
        <v>8.81</v>
      </c>
      <c r="J101" s="44">
        <f>ORÇAMENTO!H531</f>
        <v>0.2122</v>
      </c>
      <c r="K101" s="44">
        <f>ORÇAMENTO!I531</f>
        <v>10.68</v>
      </c>
      <c r="L101" s="44">
        <f>ORÇAMENTO!J531</f>
        <v>4.1500000000000004</v>
      </c>
      <c r="M101" s="23">
        <f>ORÇAMENTO!K531</f>
        <v>1.4671493842682492E-7</v>
      </c>
      <c r="N101" s="23" t="str">
        <f t="shared" si="5"/>
        <v>OK!</v>
      </c>
      <c r="O101" s="23" t="str">
        <f t="shared" si="6"/>
        <v>OK!</v>
      </c>
      <c r="P101" s="23" t="str">
        <f t="shared" si="7"/>
        <v>OK!</v>
      </c>
    </row>
    <row r="102" spans="2:16" ht="43.5" x14ac:dyDescent="0.35">
      <c r="B102" s="43">
        <f t="shared" si="4"/>
        <v>17</v>
      </c>
      <c r="C102" s="44" t="str">
        <f>ORÇAMENTO!A558</f>
        <v>6.1.1.2.2</v>
      </c>
      <c r="D102" s="44" t="str">
        <f>ORÇAMENTO!B558</f>
        <v xml:space="preserve"> 100983 </v>
      </c>
      <c r="E102" s="44" t="str">
        <f>ORÇAMENTO!C558</f>
        <v>SINAPI</v>
      </c>
      <c r="F102" s="480" t="str">
        <f>ORÇAMENTO!D558</f>
        <v>CARGA, MANOBRA E DESCARGA DE ENTULHO EM CAMINHÃO BASCULANTE 14 M³ - CARGA COM ESCAVADEIRA HIDRÁULICA  (CAÇAMBA DE 0,80 M³ / 111 HP) E DESCARGA LIVRE (UNIDADE: M3). AF_07/2020</v>
      </c>
      <c r="G102" s="44" t="str">
        <f>ORÇAMENTO!E558</f>
        <v>M³</v>
      </c>
      <c r="H102" s="44">
        <f>ORÇAMENTO!F558</f>
        <v>36.90272383620686</v>
      </c>
      <c r="I102" s="44">
        <f>ORÇAMENTO!G558</f>
        <v>8.81</v>
      </c>
      <c r="J102" s="44">
        <f>ORÇAMENTO!H558</f>
        <v>0.2122</v>
      </c>
      <c r="K102" s="44">
        <f>ORÇAMENTO!I558</f>
        <v>10.68</v>
      </c>
      <c r="L102" s="44">
        <f>ORÇAMENTO!J558</f>
        <v>394.12</v>
      </c>
      <c r="M102" s="23">
        <f>ORÇAMENTO!K558</f>
        <v>1.3933323260910899E-5</v>
      </c>
      <c r="N102" s="23" t="str">
        <f t="shared" si="5"/>
        <v>OK!</v>
      </c>
      <c r="O102" s="23" t="str">
        <f t="shared" si="6"/>
        <v>OK!</v>
      </c>
      <c r="P102" s="23" t="str">
        <f t="shared" si="7"/>
        <v>OK!</v>
      </c>
    </row>
    <row r="103" spans="2:16" ht="43.5" x14ac:dyDescent="0.35">
      <c r="B103" s="43">
        <f t="shared" si="4"/>
        <v>17</v>
      </c>
      <c r="C103" s="44" t="str">
        <f>ORÇAMENTO!A563</f>
        <v>6.1.1.3.2</v>
      </c>
      <c r="D103" s="44" t="str">
        <f>ORÇAMENTO!B563</f>
        <v xml:space="preserve"> 100983 </v>
      </c>
      <c r="E103" s="44" t="str">
        <f>ORÇAMENTO!C563</f>
        <v>SINAPI</v>
      </c>
      <c r="F103" s="480" t="str">
        <f>ORÇAMENTO!D563</f>
        <v>CARGA, MANOBRA E DESCARGA DE ENTULHO EM CAMINHÃO BASCULANTE 14 M³ - CARGA COM ESCAVADEIRA HIDRÁULICA  (CAÇAMBA DE 0,80 M³ / 111 HP) E DESCARGA LIVRE (UNIDADE: M3). AF_07/2020</v>
      </c>
      <c r="G103" s="44" t="str">
        <f>ORÇAMENTO!E563</f>
        <v>M³</v>
      </c>
      <c r="H103" s="44">
        <f>ORÇAMENTO!F563</f>
        <v>16.234851242947787</v>
      </c>
      <c r="I103" s="44">
        <f>ORÇAMENTO!G563</f>
        <v>8.81</v>
      </c>
      <c r="J103" s="44">
        <f>ORÇAMENTO!H563</f>
        <v>0.2122</v>
      </c>
      <c r="K103" s="44">
        <f>ORÇAMENTO!I563</f>
        <v>10.68</v>
      </c>
      <c r="L103" s="44">
        <f>ORÇAMENTO!J563</f>
        <v>173.38</v>
      </c>
      <c r="M103" s="23">
        <f>ORÇAMENTO!K563</f>
        <v>6.1295026564922649E-6</v>
      </c>
      <c r="N103" s="23" t="str">
        <f t="shared" si="5"/>
        <v>OK!</v>
      </c>
      <c r="O103" s="23" t="str">
        <f t="shared" si="6"/>
        <v>OK!</v>
      </c>
      <c r="P103" s="23" t="str">
        <f t="shared" si="7"/>
        <v>OK!</v>
      </c>
    </row>
    <row r="104" spans="2:16" ht="43.5" x14ac:dyDescent="0.35">
      <c r="B104" s="43">
        <f t="shared" si="4"/>
        <v>17</v>
      </c>
      <c r="C104" s="44" t="str">
        <f>ORÇAMENTO!A568</f>
        <v>6.1.1.4.2</v>
      </c>
      <c r="D104" s="44" t="str">
        <f>ORÇAMENTO!B568</f>
        <v xml:space="preserve"> 100983 </v>
      </c>
      <c r="E104" s="44" t="str">
        <f>ORÇAMENTO!C568</f>
        <v>SINAPI</v>
      </c>
      <c r="F104" s="480" t="str">
        <f>ORÇAMENTO!D568</f>
        <v>CARGA, MANOBRA E DESCARGA DE ENTULHO EM CAMINHÃO BASCULANTE 14 M³ - CARGA COM ESCAVADEIRA HIDRÁULICA  (CAÇAMBA DE 0,80 M³ / 111 HP) E DESCARGA LIVRE (UNIDADE: M3). AF_07/2020</v>
      </c>
      <c r="G104" s="44" t="str">
        <f>ORÇAMENTO!E568</f>
        <v>M³</v>
      </c>
      <c r="H104" s="44">
        <f>ORÇAMENTO!F568</f>
        <v>93.569601024270938</v>
      </c>
      <c r="I104" s="44">
        <f>ORÇAMENTO!G568</f>
        <v>8.81</v>
      </c>
      <c r="J104" s="44">
        <f>ORÇAMENTO!H568</f>
        <v>0.2122</v>
      </c>
      <c r="K104" s="44">
        <f>ORÇAMENTO!I568</f>
        <v>10.68</v>
      </c>
      <c r="L104" s="44">
        <f>ORÇAMENTO!J568</f>
        <v>999.32</v>
      </c>
      <c r="M104" s="23">
        <f>ORÇAMENTO!K568</f>
        <v>3.5328957173179439E-5</v>
      </c>
      <c r="N104" s="23" t="str">
        <f t="shared" si="5"/>
        <v>OK!</v>
      </c>
      <c r="O104" s="23" t="str">
        <f t="shared" si="6"/>
        <v>OK!</v>
      </c>
      <c r="P104" s="23" t="str">
        <f t="shared" si="7"/>
        <v>OK!</v>
      </c>
    </row>
    <row r="105" spans="2:16" ht="43.5" x14ac:dyDescent="0.35">
      <c r="B105" s="43">
        <f t="shared" si="4"/>
        <v>17</v>
      </c>
      <c r="C105" s="44" t="str">
        <f>ORÇAMENTO!A576</f>
        <v>6.1.1.5.5</v>
      </c>
      <c r="D105" s="44" t="str">
        <f>ORÇAMENTO!B576</f>
        <v xml:space="preserve"> 100983 </v>
      </c>
      <c r="E105" s="44" t="str">
        <f>ORÇAMENTO!C576</f>
        <v>SINAPI</v>
      </c>
      <c r="F105" s="480" t="str">
        <f>ORÇAMENTO!D576</f>
        <v>CARGA, MANOBRA E DESCARGA DE ENTULHO EM CAMINHÃO BASCULANTE 14 M³ - CARGA COM ESCAVADEIRA HIDRÁULICA  (CAÇAMBA DE 0,80 M³ / 111 HP) E DESCARGA LIVRE (UNIDADE: M3). AF_07/2020</v>
      </c>
      <c r="G105" s="44" t="str">
        <f>ORÇAMENTO!E576</f>
        <v>M³</v>
      </c>
      <c r="H105" s="44">
        <f>ORÇAMENTO!F576</f>
        <v>15.05673</v>
      </c>
      <c r="I105" s="44">
        <f>ORÇAMENTO!G576</f>
        <v>8.81</v>
      </c>
      <c r="J105" s="44">
        <f>ORÇAMENTO!H576</f>
        <v>0.2122</v>
      </c>
      <c r="K105" s="44">
        <f>ORÇAMENTO!I576</f>
        <v>10.68</v>
      </c>
      <c r="L105" s="44">
        <f>ORÇAMENTO!J576</f>
        <v>160.80000000000001</v>
      </c>
      <c r="M105" s="23">
        <f>ORÇAMENTO!K576</f>
        <v>5.6847619515743247E-6</v>
      </c>
      <c r="N105" s="23" t="str">
        <f t="shared" si="5"/>
        <v>OK!</v>
      </c>
      <c r="O105" s="23" t="str">
        <f t="shared" si="6"/>
        <v>OK!</v>
      </c>
      <c r="P105" s="23" t="str">
        <f t="shared" si="7"/>
        <v>OK!</v>
      </c>
    </row>
    <row r="106" spans="2:16" ht="43.5" x14ac:dyDescent="0.35">
      <c r="B106" s="43">
        <f t="shared" si="4"/>
        <v>17</v>
      </c>
      <c r="C106" s="44" t="str">
        <f>ORÇAMENTO!A582</f>
        <v>6.1.1.6.3</v>
      </c>
      <c r="D106" s="44" t="str">
        <f>ORÇAMENTO!B582</f>
        <v xml:space="preserve"> 100983 </v>
      </c>
      <c r="E106" s="44" t="str">
        <f>ORÇAMENTO!C582</f>
        <v>SINAPI</v>
      </c>
      <c r="F106" s="480" t="str">
        <f>ORÇAMENTO!D582</f>
        <v>CARGA, MANOBRA E DESCARGA DE ENTULHO EM CAMINHÃO BASCULANTE 14 M³ - CARGA COM ESCAVADEIRA HIDRÁULICA  (CAÇAMBA DE 0,80 M³ / 111 HP) E DESCARGA LIVRE (UNIDADE: M3). AF_07/2020</v>
      </c>
      <c r="G106" s="44" t="str">
        <f>ORÇAMENTO!E582</f>
        <v>M³</v>
      </c>
      <c r="H106" s="44">
        <f>ORÇAMENTO!F582</f>
        <v>0.69467999999996111</v>
      </c>
      <c r="I106" s="44">
        <f>ORÇAMENTO!G582</f>
        <v>8.81</v>
      </c>
      <c r="J106" s="44">
        <f>ORÇAMENTO!H582</f>
        <v>0.2122</v>
      </c>
      <c r="K106" s="44">
        <f>ORÇAMENTO!I582</f>
        <v>10.68</v>
      </c>
      <c r="L106" s="44">
        <f>ORÇAMENTO!J582</f>
        <v>7.41</v>
      </c>
      <c r="M106" s="23">
        <f>ORÇAMENTO!K582</f>
        <v>2.6196570933560786E-7</v>
      </c>
      <c r="N106" s="23" t="str">
        <f t="shared" si="5"/>
        <v>OK!</v>
      </c>
      <c r="O106" s="23" t="str">
        <f t="shared" si="6"/>
        <v>OK!</v>
      </c>
      <c r="P106" s="23" t="str">
        <f t="shared" si="7"/>
        <v>OK!</v>
      </c>
    </row>
    <row r="107" spans="2:16" ht="43.5" x14ac:dyDescent="0.35">
      <c r="B107" s="43">
        <f t="shared" si="4"/>
        <v>17</v>
      </c>
      <c r="C107" s="44" t="str">
        <f>ORÇAMENTO!A587</f>
        <v>6.1.1.7.2</v>
      </c>
      <c r="D107" s="44" t="str">
        <f>ORÇAMENTO!B587</f>
        <v xml:space="preserve"> 100983 </v>
      </c>
      <c r="E107" s="44" t="str">
        <f>ORÇAMENTO!C587</f>
        <v>SINAPI</v>
      </c>
      <c r="F107" s="480" t="str">
        <f>ORÇAMENTO!D587</f>
        <v>CARGA, MANOBRA E DESCARGA DE ENTULHO EM CAMINHÃO BASCULANTE 14 M³ - CARGA COM ESCAVADEIRA HIDRÁULICA  (CAÇAMBA DE 0,80 M³ / 111 HP) E DESCARGA LIVRE (UNIDADE: M3). AF_07/2020</v>
      </c>
      <c r="G107" s="44" t="str">
        <f>ORÇAMENTO!E587</f>
        <v>M³</v>
      </c>
      <c r="H107" s="44">
        <f>ORÇAMENTO!F587</f>
        <v>56.769999999999953</v>
      </c>
      <c r="I107" s="44">
        <f>ORÇAMENTO!G587</f>
        <v>8.81</v>
      </c>
      <c r="J107" s="44">
        <f>ORÇAMENTO!H587</f>
        <v>0.2122</v>
      </c>
      <c r="K107" s="44">
        <f>ORÇAMENTO!I587</f>
        <v>10.68</v>
      </c>
      <c r="L107" s="44">
        <f>ORÇAMENTO!J587</f>
        <v>606.29999999999995</v>
      </c>
      <c r="M107" s="23">
        <f>ORÇAMENTO!K587</f>
        <v>2.1434522209200946E-5</v>
      </c>
      <c r="N107" s="23" t="str">
        <f t="shared" si="5"/>
        <v>OK!</v>
      </c>
      <c r="O107" s="23" t="str">
        <f t="shared" si="6"/>
        <v>OK!</v>
      </c>
      <c r="P107" s="23" t="str">
        <f t="shared" si="7"/>
        <v>OK!</v>
      </c>
    </row>
    <row r="108" spans="2:16" ht="43.5" x14ac:dyDescent="0.35">
      <c r="B108" s="43">
        <f t="shared" si="4"/>
        <v>17</v>
      </c>
      <c r="C108" s="44" t="str">
        <f>ORÇAMENTO!A721</f>
        <v>6.4.11</v>
      </c>
      <c r="D108" s="44" t="str">
        <f>ORÇAMENTO!B721</f>
        <v xml:space="preserve"> 100983 </v>
      </c>
      <c r="E108" s="44" t="str">
        <f>ORÇAMENTO!C721</f>
        <v>SINAPI</v>
      </c>
      <c r="F108" s="480" t="str">
        <f>ORÇAMENTO!D721</f>
        <v>CARGA, MANOBRA E DESCARGA DE ENTULHO EM CAMINHÃO BASCULANTE 14 M³ - CARGA COM ESCAVADEIRA HIDRÁULICA  (CAÇAMBA DE 0,80 M³ / 111 HP) E DESCARGA LIVRE (UNIDADE: M3). AF_07/2020</v>
      </c>
      <c r="G108" s="44" t="str">
        <f>ORÇAMENTO!E721</f>
        <v>M³</v>
      </c>
      <c r="H108" s="44">
        <f>ORÇAMENTO!F721</f>
        <v>0.97199999999999998</v>
      </c>
      <c r="I108" s="44">
        <f>ORÇAMENTO!G721</f>
        <v>8.81</v>
      </c>
      <c r="J108" s="44">
        <f>ORÇAMENTO!H721</f>
        <v>0.2122</v>
      </c>
      <c r="K108" s="44">
        <f>ORÇAMENTO!I721</f>
        <v>10.68</v>
      </c>
      <c r="L108" s="44">
        <f>ORÇAMENTO!J721</f>
        <v>10.38</v>
      </c>
      <c r="M108" s="23">
        <f>ORÇAMENTO!K721</f>
        <v>3.6696411105311869E-7</v>
      </c>
      <c r="N108" s="23" t="str">
        <f t="shared" si="5"/>
        <v>OK!</v>
      </c>
      <c r="O108" s="23" t="str">
        <f t="shared" si="6"/>
        <v>OK!</v>
      </c>
      <c r="P108" s="23" t="str">
        <f t="shared" si="7"/>
        <v>OK!</v>
      </c>
    </row>
    <row r="109" spans="2:16" ht="43.5" x14ac:dyDescent="0.35">
      <c r="B109" s="43">
        <f t="shared" si="4"/>
        <v>17</v>
      </c>
      <c r="C109" s="44" t="str">
        <f>ORÇAMENTO!A748</f>
        <v>7.1.1.2.2</v>
      </c>
      <c r="D109" s="44" t="str">
        <f>ORÇAMENTO!B748</f>
        <v xml:space="preserve"> 100983 </v>
      </c>
      <c r="E109" s="44" t="str">
        <f>ORÇAMENTO!C748</f>
        <v>SINAPI</v>
      </c>
      <c r="F109" s="480" t="str">
        <f>ORÇAMENTO!D748</f>
        <v>CARGA, MANOBRA E DESCARGA DE ENTULHO EM CAMINHÃO BASCULANTE 14 M³ - CARGA COM ESCAVADEIRA HIDRÁULICA  (CAÇAMBA DE 0,80 M³ / 111 HP) E DESCARGA LIVRE (UNIDADE: M3). AF_07/2020</v>
      </c>
      <c r="G109" s="44" t="str">
        <f>ORÇAMENTO!E748</f>
        <v>M³</v>
      </c>
      <c r="H109" s="44">
        <f>ORÇAMENTO!F748</f>
        <v>119.80328999999998</v>
      </c>
      <c r="I109" s="44">
        <f>ORÇAMENTO!G748</f>
        <v>8.81</v>
      </c>
      <c r="J109" s="44">
        <f>ORÇAMENTO!H748</f>
        <v>0.2122</v>
      </c>
      <c r="K109" s="44">
        <f>ORÇAMENTO!I748</f>
        <v>10.68</v>
      </c>
      <c r="L109" s="44">
        <f>ORÇAMENTO!J748</f>
        <v>1279.49</v>
      </c>
      <c r="M109" s="23">
        <f>ORÇAMENTO!K748</f>
        <v>4.5233806401864628E-5</v>
      </c>
      <c r="N109" s="23" t="str">
        <f t="shared" si="5"/>
        <v>OK!</v>
      </c>
      <c r="O109" s="23" t="str">
        <f t="shared" si="6"/>
        <v>OK!</v>
      </c>
      <c r="P109" s="23" t="str">
        <f t="shared" si="7"/>
        <v>OK!</v>
      </c>
    </row>
    <row r="110" spans="2:16" ht="43.5" x14ac:dyDescent="0.35">
      <c r="B110" s="43">
        <f t="shared" si="4"/>
        <v>17</v>
      </c>
      <c r="C110" s="44" t="str">
        <f>ORÇAMENTO!A753</f>
        <v>7.1.1.3.2</v>
      </c>
      <c r="D110" s="44" t="str">
        <f>ORÇAMENTO!B753</f>
        <v xml:space="preserve"> 100983 </v>
      </c>
      <c r="E110" s="44" t="str">
        <f>ORÇAMENTO!C753</f>
        <v>SINAPI</v>
      </c>
      <c r="F110" s="480" t="str">
        <f>ORÇAMENTO!D753</f>
        <v>CARGA, MANOBRA E DESCARGA DE ENTULHO EM CAMINHÃO BASCULANTE 14 M³ - CARGA COM ESCAVADEIRA HIDRÁULICA  (CAÇAMBA DE 0,80 M³ / 111 HP) E DESCARGA LIVRE (UNIDADE: M3). AF_07/2020</v>
      </c>
      <c r="G110" s="44" t="str">
        <f>ORÇAMENTO!E753</f>
        <v>M³</v>
      </c>
      <c r="H110" s="44">
        <f>ORÇAMENTO!F753</f>
        <v>73.703590075546302</v>
      </c>
      <c r="I110" s="44">
        <f>ORÇAMENTO!G753</f>
        <v>8.81</v>
      </c>
      <c r="J110" s="44">
        <f>ORÇAMENTO!H753</f>
        <v>0.2122</v>
      </c>
      <c r="K110" s="44">
        <f>ORÇAMENTO!I753</f>
        <v>10.68</v>
      </c>
      <c r="L110" s="44">
        <f>ORÇAMENTO!J753</f>
        <v>787.15</v>
      </c>
      <c r="M110" s="23">
        <f>ORÇAMENTO!K753</f>
        <v>2.7828111754861497E-5</v>
      </c>
      <c r="N110" s="23" t="str">
        <f t="shared" si="5"/>
        <v>OK!</v>
      </c>
      <c r="O110" s="23" t="str">
        <f t="shared" si="6"/>
        <v>OK!</v>
      </c>
      <c r="P110" s="23" t="str">
        <f t="shared" si="7"/>
        <v>OK!</v>
      </c>
    </row>
    <row r="111" spans="2:16" ht="43.5" x14ac:dyDescent="0.35">
      <c r="B111" s="43">
        <f t="shared" si="4"/>
        <v>17</v>
      </c>
      <c r="C111" s="44" t="str">
        <f>ORÇAMENTO!A758</f>
        <v>7.1.1.4.2</v>
      </c>
      <c r="D111" s="44" t="str">
        <f>ORÇAMENTO!B758</f>
        <v xml:space="preserve"> 100983 </v>
      </c>
      <c r="E111" s="44" t="str">
        <f>ORÇAMENTO!C758</f>
        <v>SINAPI</v>
      </c>
      <c r="F111" s="480" t="str">
        <f>ORÇAMENTO!D758</f>
        <v>CARGA, MANOBRA E DESCARGA DE ENTULHO EM CAMINHÃO BASCULANTE 14 M³ - CARGA COM ESCAVADEIRA HIDRÁULICA  (CAÇAMBA DE 0,80 M³ / 111 HP) E DESCARGA LIVRE (UNIDADE: M3). AF_07/2020</v>
      </c>
      <c r="G111" s="44" t="str">
        <f>ORÇAMENTO!E758</f>
        <v>M³</v>
      </c>
      <c r="H111" s="44">
        <f>ORÇAMENTO!F758</f>
        <v>487.26418415557913</v>
      </c>
      <c r="I111" s="44">
        <f>ORÇAMENTO!G758</f>
        <v>8.81</v>
      </c>
      <c r="J111" s="44">
        <f>ORÇAMENTO!H758</f>
        <v>0.2122</v>
      </c>
      <c r="K111" s="44">
        <f>ORÇAMENTO!I758</f>
        <v>10.68</v>
      </c>
      <c r="L111" s="44">
        <f>ORÇAMENTO!J758</f>
        <v>5203.9799999999996</v>
      </c>
      <c r="M111" s="23">
        <f>ORÇAMENTO!K758</f>
        <v>1.8397629042757305E-4</v>
      </c>
      <c r="N111" s="23" t="str">
        <f t="shared" si="5"/>
        <v>OK!</v>
      </c>
      <c r="O111" s="23" t="str">
        <f t="shared" si="6"/>
        <v>OK!</v>
      </c>
      <c r="P111" s="23" t="str">
        <f t="shared" si="7"/>
        <v>OK!</v>
      </c>
    </row>
    <row r="112" spans="2:16" ht="43.5" x14ac:dyDescent="0.35">
      <c r="B112" s="43">
        <f t="shared" si="4"/>
        <v>17</v>
      </c>
      <c r="C112" s="44" t="str">
        <f>ORÇAMENTO!A766</f>
        <v>7.1.1.5.5</v>
      </c>
      <c r="D112" s="44" t="str">
        <f>ORÇAMENTO!B766</f>
        <v xml:space="preserve"> 100983 </v>
      </c>
      <c r="E112" s="44" t="str">
        <f>ORÇAMENTO!C766</f>
        <v>SINAPI</v>
      </c>
      <c r="F112" s="480" t="str">
        <f>ORÇAMENTO!D766</f>
        <v>CARGA, MANOBRA E DESCARGA DE ENTULHO EM CAMINHÃO BASCULANTE 14 M³ - CARGA COM ESCAVADEIRA HIDRÁULICA  (CAÇAMBA DE 0,80 M³ / 111 HP) E DESCARGA LIVRE (UNIDADE: M3). AF_07/2020</v>
      </c>
      <c r="G112" s="44" t="str">
        <f>ORÇAMENTO!E766</f>
        <v>M³</v>
      </c>
      <c r="H112" s="44">
        <f>ORÇAMENTO!F766</f>
        <v>22.577802000000002</v>
      </c>
      <c r="I112" s="44">
        <f>ORÇAMENTO!G766</f>
        <v>8.81</v>
      </c>
      <c r="J112" s="44">
        <f>ORÇAMENTO!H766</f>
        <v>0.2122</v>
      </c>
      <c r="K112" s="44">
        <f>ORÇAMENTO!I766</f>
        <v>10.68</v>
      </c>
      <c r="L112" s="44">
        <f>ORÇAMENTO!J766</f>
        <v>241.13</v>
      </c>
      <c r="M112" s="23">
        <f>ORÇAMENTO!K766</f>
        <v>8.5246682175566964E-6</v>
      </c>
      <c r="N112" s="23" t="str">
        <f t="shared" si="5"/>
        <v>OK!</v>
      </c>
      <c r="O112" s="23" t="str">
        <f t="shared" si="6"/>
        <v>OK!</v>
      </c>
      <c r="P112" s="23" t="str">
        <f t="shared" si="7"/>
        <v>OK!</v>
      </c>
    </row>
    <row r="113" spans="2:16" ht="43.5" x14ac:dyDescent="0.35">
      <c r="B113" s="43">
        <f t="shared" si="4"/>
        <v>17</v>
      </c>
      <c r="C113" s="44" t="str">
        <f>ORÇAMENTO!A772</f>
        <v>7.1.1.6.3</v>
      </c>
      <c r="D113" s="44" t="str">
        <f>ORÇAMENTO!B772</f>
        <v xml:space="preserve"> 100983 </v>
      </c>
      <c r="E113" s="44" t="str">
        <f>ORÇAMENTO!C772</f>
        <v>SINAPI</v>
      </c>
      <c r="F113" s="480" t="str">
        <f>ORÇAMENTO!D772</f>
        <v>CARGA, MANOBRA E DESCARGA DE ENTULHO EM CAMINHÃO BASCULANTE 14 M³ - CARGA COM ESCAVADEIRA HIDRÁULICA  (CAÇAMBA DE 0,80 M³ / 111 HP) E DESCARGA LIVRE (UNIDADE: M3). AF_07/2020</v>
      </c>
      <c r="G113" s="44" t="str">
        <f>ORÇAMENTO!E772</f>
        <v>M³</v>
      </c>
      <c r="H113" s="44">
        <f>ORÇAMENTO!F772</f>
        <v>22.1407448</v>
      </c>
      <c r="I113" s="44">
        <f>ORÇAMENTO!G772</f>
        <v>8.81</v>
      </c>
      <c r="J113" s="44">
        <f>ORÇAMENTO!H772</f>
        <v>0.2122</v>
      </c>
      <c r="K113" s="44">
        <f>ORÇAMENTO!I772</f>
        <v>10.68</v>
      </c>
      <c r="L113" s="44">
        <f>ORÇAMENTO!J772</f>
        <v>236.46</v>
      </c>
      <c r="M113" s="23">
        <f>ORÇAMENTO!K772</f>
        <v>8.3595697205800039E-6</v>
      </c>
      <c r="N113" s="23" t="str">
        <f t="shared" si="5"/>
        <v>OK!</v>
      </c>
      <c r="O113" s="23" t="str">
        <f t="shared" si="6"/>
        <v>OK!</v>
      </c>
      <c r="P113" s="23" t="str">
        <f t="shared" si="7"/>
        <v>OK!</v>
      </c>
    </row>
    <row r="114" spans="2:16" ht="43.5" x14ac:dyDescent="0.35">
      <c r="B114" s="43">
        <f t="shared" si="4"/>
        <v>17</v>
      </c>
      <c r="C114" s="44" t="str">
        <f>ORÇAMENTO!A777</f>
        <v>7.1.1.7.2</v>
      </c>
      <c r="D114" s="44" t="str">
        <f>ORÇAMENTO!B777</f>
        <v xml:space="preserve"> 100983 </v>
      </c>
      <c r="E114" s="44" t="str">
        <f>ORÇAMENTO!C777</f>
        <v>SINAPI</v>
      </c>
      <c r="F114" s="480" t="str">
        <f>ORÇAMENTO!D777</f>
        <v>CARGA, MANOBRA E DESCARGA DE ENTULHO EM CAMINHÃO BASCULANTE 14 M³ - CARGA COM ESCAVADEIRA HIDRÁULICA  (CAÇAMBA DE 0,80 M³ / 111 HP) E DESCARGA LIVRE (UNIDADE: M3). AF_07/2020</v>
      </c>
      <c r="G114" s="44" t="str">
        <f>ORÇAMENTO!E777</f>
        <v>M³</v>
      </c>
      <c r="H114" s="44">
        <f>ORÇAMENTO!F777</f>
        <v>0.24513847475961159</v>
      </c>
      <c r="I114" s="44">
        <f>ORÇAMENTO!G777</f>
        <v>8.81</v>
      </c>
      <c r="J114" s="44">
        <f>ORÇAMENTO!H777</f>
        <v>0.2122</v>
      </c>
      <c r="K114" s="44">
        <f>ORÇAMENTO!I777</f>
        <v>10.68</v>
      </c>
      <c r="L114" s="44">
        <f>ORÇAMENTO!J777</f>
        <v>2.61</v>
      </c>
      <c r="M114" s="23">
        <f>ORÇAMENTO!K777</f>
        <v>9.2271322721448914E-8</v>
      </c>
      <c r="N114" s="23" t="str">
        <f t="shared" si="5"/>
        <v>OK!</v>
      </c>
      <c r="O114" s="23" t="str">
        <f t="shared" si="6"/>
        <v>OK!</v>
      </c>
      <c r="P114" s="23" t="str">
        <f t="shared" si="7"/>
        <v>OK!</v>
      </c>
    </row>
    <row r="115" spans="2:16" ht="43.5" x14ac:dyDescent="0.35">
      <c r="B115" s="43">
        <f t="shared" si="4"/>
        <v>17</v>
      </c>
      <c r="C115" s="44" t="str">
        <f>ORÇAMENTO!A945</f>
        <v>7.4.13</v>
      </c>
      <c r="D115" s="44" t="str">
        <f>ORÇAMENTO!B945</f>
        <v xml:space="preserve"> 100983 </v>
      </c>
      <c r="E115" s="44" t="str">
        <f>ORÇAMENTO!C945</f>
        <v>SINAPI</v>
      </c>
      <c r="F115" s="636" t="str">
        <f>ORÇAMENTO!D945</f>
        <v>CARGA, MANOBRA E DESCARGA DE ENTULHO EM CAMINHÃO BASCULANTE 14 M³ - CARGA COM ESCAVADEIRA HIDRÁULICA  (CAÇAMBA DE 0,80 M³ / 111 HP) E DESCARGA LIVRE (UNIDADE: M3). AF_07/2020</v>
      </c>
      <c r="G115" s="44" t="str">
        <f>ORÇAMENTO!E945</f>
        <v>M³</v>
      </c>
      <c r="H115" s="44">
        <f>ORÇAMENTO!F945</f>
        <v>0.77759999999999985</v>
      </c>
      <c r="I115" s="44">
        <f>ORÇAMENTO!G945</f>
        <v>8.81</v>
      </c>
      <c r="J115" s="44">
        <f>ORÇAMENTO!H945</f>
        <v>0.2122</v>
      </c>
      <c r="K115" s="44">
        <f>ORÇAMENTO!I945</f>
        <v>10.68</v>
      </c>
      <c r="L115" s="638">
        <f>ORÇAMENTO!J945</f>
        <v>8.3000000000000007</v>
      </c>
      <c r="M115" s="23">
        <f>ORÇAMENTO!K945</f>
        <v>2.9342987685364984E-7</v>
      </c>
      <c r="N115" s="23" t="str">
        <f t="shared" si="5"/>
        <v>OK!</v>
      </c>
      <c r="O115" s="23" t="str">
        <f t="shared" si="6"/>
        <v>OK!</v>
      </c>
      <c r="P115" s="23" t="str">
        <f t="shared" si="7"/>
        <v>OK!</v>
      </c>
    </row>
    <row r="116" spans="2:16" ht="43.5" x14ac:dyDescent="0.35">
      <c r="B116" s="43">
        <f t="shared" si="4"/>
        <v>17</v>
      </c>
      <c r="C116" s="44" t="str">
        <f>ORÇAMENTO!A957</f>
        <v>7.5.1.2</v>
      </c>
      <c r="D116" s="44" t="str">
        <f>ORÇAMENTO!B957</f>
        <v xml:space="preserve"> 100983 </v>
      </c>
      <c r="E116" s="44" t="str">
        <f>ORÇAMENTO!C957</f>
        <v>SINAPI</v>
      </c>
      <c r="F116" s="636" t="str">
        <f>ORÇAMENTO!D957</f>
        <v>CARGA, MANOBRA E DESCARGA DE ENTULHO EM CAMINHÃO BASCULANTE 14 M³ - CARGA COM ESCAVADEIRA HIDRÁULICA  (CAÇAMBA DE 0,80 M³ / 111 HP) E DESCARGA LIVRE (UNIDADE: M3). AF_07/2020</v>
      </c>
      <c r="G116" s="44" t="str">
        <f>ORÇAMENTO!E957</f>
        <v>M³</v>
      </c>
      <c r="H116" s="44">
        <f>ORÇAMENTO!F957</f>
        <v>1700.34</v>
      </c>
      <c r="I116" s="44">
        <f>ORÇAMENTO!G957</f>
        <v>8.81</v>
      </c>
      <c r="J116" s="44">
        <f>ORÇAMENTO!H957</f>
        <v>0.2122</v>
      </c>
      <c r="K116" s="44">
        <f>ORÇAMENTO!I957</f>
        <v>10.68</v>
      </c>
      <c r="L116" s="638">
        <f>ORÇAMENTO!J957</f>
        <v>18159.63</v>
      </c>
      <c r="M116" s="23">
        <f>ORÇAMENTO!K957</f>
        <v>6.4199734874793315E-4</v>
      </c>
      <c r="N116" s="23" t="str">
        <f t="shared" si="5"/>
        <v>OK!</v>
      </c>
      <c r="O116" s="23" t="str">
        <f t="shared" si="6"/>
        <v>OK!</v>
      </c>
      <c r="P116" s="23" t="str">
        <f t="shared" si="7"/>
        <v>OK!</v>
      </c>
    </row>
    <row r="117" spans="2:16" ht="43.5" x14ac:dyDescent="0.35">
      <c r="B117" s="43">
        <f t="shared" si="4"/>
        <v>17</v>
      </c>
      <c r="C117" s="44" t="str">
        <f>ORÇAMENTO!A990</f>
        <v xml:space="preserve"> 8.1.2</v>
      </c>
      <c r="D117" s="44" t="str">
        <f>ORÇAMENTO!B990</f>
        <v xml:space="preserve"> 100983 </v>
      </c>
      <c r="E117" s="44" t="str">
        <f>ORÇAMENTO!C990</f>
        <v>SINAPI</v>
      </c>
      <c r="F117" s="636" t="str">
        <f>ORÇAMENTO!D990</f>
        <v>CARGA, MANOBRA E DESCARGA DE ENTULHO EM CAMINHÃO BASCULANTE 14 M³ - CARGA COM ESCAVADEIRA HIDRÁULICA  (CAÇAMBA DE 0,80 M³ / 111 HP) E DESCARGA LIVRE (UNIDADE: M3). AF_07/2020</v>
      </c>
      <c r="G117" s="44" t="str">
        <f>ORÇAMENTO!E990</f>
        <v>M³</v>
      </c>
      <c r="H117" s="44">
        <f>ORÇAMENTO!F990</f>
        <v>1785</v>
      </c>
      <c r="I117" s="44">
        <f>ORÇAMENTO!G990</f>
        <v>8.81</v>
      </c>
      <c r="J117" s="44">
        <f>ORÇAMENTO!H990</f>
        <v>0.2122</v>
      </c>
      <c r="K117" s="44">
        <f>ORÇAMENTO!I990</f>
        <v>10.68</v>
      </c>
      <c r="L117" s="638">
        <f>ORÇAMENTO!J990</f>
        <v>19063.8</v>
      </c>
      <c r="M117" s="23">
        <f>ORÇAMENTO!K990</f>
        <v>6.7396246823645889E-4</v>
      </c>
      <c r="N117" s="23" t="str">
        <f t="shared" si="5"/>
        <v>OK!</v>
      </c>
      <c r="O117" s="23" t="str">
        <f t="shared" si="6"/>
        <v>OK!</v>
      </c>
      <c r="P117" s="23" t="str">
        <f t="shared" si="7"/>
        <v>OK!</v>
      </c>
    </row>
    <row r="118" spans="2:16" ht="58" x14ac:dyDescent="0.35">
      <c r="B118" s="43">
        <f t="shared" si="4"/>
        <v>18</v>
      </c>
      <c r="C118" s="44" t="str">
        <f>ORÇAMENTO!A151</f>
        <v>4.1.2.1.16</v>
      </c>
      <c r="D118" s="44" t="str">
        <f>ORÇAMENTO!B151</f>
        <v xml:space="preserve"> 100979 </v>
      </c>
      <c r="E118" s="44" t="str">
        <f>ORÇAMENTO!C151</f>
        <v>SINAPI</v>
      </c>
      <c r="F118" s="480" t="str">
        <f>ORÇAMENTO!D151</f>
        <v>CARGA, MANOBRA E DESCARGA DE SOLOS E MATERIAIS GRANULARES EM CAMINHÃO BASCULANTE 14 M³ - CARGA COM ESCAVADEIRA HIDRÁULICA (CAÇAMBA DE 1,20 M³ / 155 HP) E DESCARGA LIVRE (UNIDADE: M3). AF_07/2020</v>
      </c>
      <c r="G118" s="44" t="str">
        <f>ORÇAMENTO!E151</f>
        <v>M³</v>
      </c>
      <c r="H118" s="44">
        <f>ORÇAMENTO!F151</f>
        <v>1744.3806857317095</v>
      </c>
      <c r="I118" s="44">
        <f>ORÇAMENTO!G151</f>
        <v>6.53</v>
      </c>
      <c r="J118" s="44">
        <f>ORÇAMENTO!H151</f>
        <v>0.2122</v>
      </c>
      <c r="K118" s="44">
        <f>ORÇAMENTO!I151</f>
        <v>7.92</v>
      </c>
      <c r="L118" s="44">
        <f>ORÇAMENTO!J151</f>
        <v>13815.49</v>
      </c>
      <c r="M118" s="23">
        <f>ORÇAMENTO!K151</f>
        <v>4.8841897944250964E-4</v>
      </c>
      <c r="N118" s="23" t="str">
        <f t="shared" si="5"/>
        <v>DIFERENTE</v>
      </c>
      <c r="O118" s="23" t="str">
        <f t="shared" si="6"/>
        <v>DIFERENTE</v>
      </c>
      <c r="P118" s="23" t="str">
        <f t="shared" si="7"/>
        <v>DIFERENTE</v>
      </c>
    </row>
    <row r="119" spans="2:16" ht="58" x14ac:dyDescent="0.35">
      <c r="B119" s="43">
        <f t="shared" si="4"/>
        <v>18</v>
      </c>
      <c r="C119" s="44" t="str">
        <f>ORÇAMENTO!A182</f>
        <v>4.1.2.4.15</v>
      </c>
      <c r="D119" s="44" t="str">
        <f>ORÇAMENTO!B182</f>
        <v xml:space="preserve"> 100979 </v>
      </c>
      <c r="E119" s="44" t="str">
        <f>ORÇAMENTO!C182</f>
        <v>SINAPI</v>
      </c>
      <c r="F119" s="480" t="str">
        <f>ORÇAMENTO!D182</f>
        <v>CARGA, MANOBRA E DESCARGA DE SOLOS E MATERIAIS GRANULARES EM CAMINHÃO BASCULANTE 14 M³ - CARGA COM ESCAVADEIRA HIDRÁULICA (CAÇAMBA DE 1,20 M³ / 155 HP) E DESCARGA LIVRE (UNIDADE: M3). AF_07/2020</v>
      </c>
      <c r="G119" s="44" t="str">
        <f>ORÇAMENTO!E182</f>
        <v>M³</v>
      </c>
      <c r="H119" s="44">
        <f>ORÇAMENTO!F182</f>
        <v>885.76580444695333</v>
      </c>
      <c r="I119" s="44">
        <f>ORÇAMENTO!G182</f>
        <v>6.53</v>
      </c>
      <c r="J119" s="44">
        <f>ORÇAMENTO!H182</f>
        <v>0.2122</v>
      </c>
      <c r="K119" s="44">
        <f>ORÇAMENTO!I182</f>
        <v>7.92</v>
      </c>
      <c r="L119" s="44">
        <f>ORÇAMENTO!J182</f>
        <v>7015.26</v>
      </c>
      <c r="M119" s="23">
        <f>ORÇAMENTO!K182</f>
        <v>2.4801046721642593E-4</v>
      </c>
      <c r="N119" s="23" t="str">
        <f t="shared" si="5"/>
        <v>OK!</v>
      </c>
      <c r="O119" s="23" t="str">
        <f t="shared" si="6"/>
        <v>OK!</v>
      </c>
      <c r="P119" s="23" t="str">
        <f t="shared" si="7"/>
        <v>OK!</v>
      </c>
    </row>
    <row r="120" spans="2:16" ht="58" x14ac:dyDescent="0.35">
      <c r="B120" s="43">
        <f t="shared" si="4"/>
        <v>18</v>
      </c>
      <c r="C120" s="44" t="str">
        <f>ORÇAMENTO!A238</f>
        <v>4.1.2.6.36</v>
      </c>
      <c r="D120" s="44" t="str">
        <f>ORÇAMENTO!B238</f>
        <v xml:space="preserve"> 100979 </v>
      </c>
      <c r="E120" s="44" t="str">
        <f>ORÇAMENTO!C238</f>
        <v>SINAPI</v>
      </c>
      <c r="F120" s="480" t="str">
        <f>ORÇAMENTO!D238</f>
        <v>CARGA, MANOBRA E DESCARGA DE SOLOS E MATERIAIS GRANULARES EM CAMINHÃO BASCULANTE 14 M³ - CARGA COM ESCAVADEIRA HIDRÁULICA (CAÇAMBA DE 1,20 M³ / 155 HP) E DESCARGA LIVRE (UNIDADE: M3). AF_07/2020</v>
      </c>
      <c r="G120" s="44" t="str">
        <f>ORÇAMENTO!E238</f>
        <v>M³</v>
      </c>
      <c r="H120" s="44">
        <f>ORÇAMENTO!F238</f>
        <v>713.5</v>
      </c>
      <c r="I120" s="44">
        <f>ORÇAMENTO!G238</f>
        <v>6.53</v>
      </c>
      <c r="J120" s="44">
        <f>ORÇAMENTO!H238</f>
        <v>0.2122</v>
      </c>
      <c r="K120" s="44">
        <f>ORÇAMENTO!I238</f>
        <v>7.92</v>
      </c>
      <c r="L120" s="44">
        <f>ORÇAMENTO!J238</f>
        <v>5650.92</v>
      </c>
      <c r="M120" s="23">
        <f>ORÇAMENTO!K238</f>
        <v>1.9977695900118394E-4</v>
      </c>
      <c r="N120" s="23" t="str">
        <f t="shared" si="5"/>
        <v>OK!</v>
      </c>
      <c r="O120" s="23" t="str">
        <f t="shared" si="6"/>
        <v>OK!</v>
      </c>
      <c r="P120" s="23" t="str">
        <f t="shared" si="7"/>
        <v>OK!</v>
      </c>
    </row>
    <row r="121" spans="2:16" ht="58" x14ac:dyDescent="0.35">
      <c r="B121" s="43">
        <f t="shared" si="4"/>
        <v>18</v>
      </c>
      <c r="C121" s="44" t="str">
        <f>ORÇAMENTO!A319</f>
        <v>4.4.15</v>
      </c>
      <c r="D121" s="44" t="str">
        <f>ORÇAMENTO!B319</f>
        <v xml:space="preserve"> 100979 </v>
      </c>
      <c r="E121" s="44" t="str">
        <f>ORÇAMENTO!C319</f>
        <v>SINAPI</v>
      </c>
      <c r="F121" s="480" t="str">
        <f>ORÇAMENTO!D319</f>
        <v>CARGA, MANOBRA E DESCARGA DE SOLOS E MATERIAIS GRANULARES EM CAMINHÃO BASCULANTE 14 M³ - CARGA COM ESCAVADEIRA HIDRÁULICA (CAÇAMBA DE 1,20 M³ / 155 HP) E DESCARGA LIVRE (UNIDADE: M3). AF_07/2020</v>
      </c>
      <c r="G121" s="44" t="str">
        <f>ORÇAMENTO!E319</f>
        <v>M³</v>
      </c>
      <c r="H121" s="44">
        <f>ORÇAMENTO!F319</f>
        <v>8.3373608161930584</v>
      </c>
      <c r="I121" s="44">
        <f>ORÇAMENTO!G319</f>
        <v>6.53</v>
      </c>
      <c r="J121" s="44">
        <f>ORÇAMENTO!H319</f>
        <v>0.2122</v>
      </c>
      <c r="K121" s="44">
        <f>ORÇAMENTO!I319</f>
        <v>7.92</v>
      </c>
      <c r="L121" s="44">
        <f>ORÇAMENTO!J319</f>
        <v>66.03</v>
      </c>
      <c r="M121" s="23">
        <f>ORÇAMENTO!K319</f>
        <v>2.3343584058610236E-6</v>
      </c>
      <c r="N121" s="23" t="str">
        <f t="shared" si="5"/>
        <v>OK!</v>
      </c>
      <c r="O121" s="23" t="str">
        <f t="shared" si="6"/>
        <v>OK!</v>
      </c>
      <c r="P121" s="23" t="str">
        <f t="shared" si="7"/>
        <v>OK!</v>
      </c>
    </row>
    <row r="122" spans="2:16" ht="58" x14ac:dyDescent="0.35">
      <c r="B122" s="43">
        <f t="shared" si="4"/>
        <v>18</v>
      </c>
      <c r="C122" s="44" t="str">
        <f>ORÇAMENTO!A390</f>
        <v>5.1.2.1.13</v>
      </c>
      <c r="D122" s="44" t="str">
        <f>ORÇAMENTO!B390</f>
        <v xml:space="preserve"> 100979 </v>
      </c>
      <c r="E122" s="44" t="str">
        <f>ORÇAMENTO!C390</f>
        <v>SINAPI</v>
      </c>
      <c r="F122" s="480" t="str">
        <f>ORÇAMENTO!D390</f>
        <v>CARGA, MANOBRA E DESCARGA DE SOLOS E MATERIAIS GRANULARES EM CAMINHÃO BASCULANTE 14 M³ - CARGA COM ESCAVADEIRA HIDRÁULICA (CAÇAMBA DE 1,20 M³ / 155 HP) E DESCARGA LIVRE (UNIDADE: M3). AF_07/2020</v>
      </c>
      <c r="G122" s="44" t="str">
        <f>ORÇAMENTO!E390</f>
        <v>M³</v>
      </c>
      <c r="H122" s="44">
        <f>ORÇAMENTO!F390</f>
        <v>2036.89428</v>
      </c>
      <c r="I122" s="44">
        <f>ORÇAMENTO!G390</f>
        <v>6.53</v>
      </c>
      <c r="J122" s="44">
        <f>ORÇAMENTO!H390</f>
        <v>0.2122</v>
      </c>
      <c r="K122" s="44">
        <f>ORÇAMENTO!I390</f>
        <v>7.92</v>
      </c>
      <c r="L122" s="44">
        <f>ORÇAMENTO!J390</f>
        <v>16132.2</v>
      </c>
      <c r="M122" s="23">
        <f>ORÇAMENTO!K390</f>
        <v>5.7032162161186142E-4</v>
      </c>
      <c r="N122" s="23" t="str">
        <f t="shared" si="5"/>
        <v>OK!</v>
      </c>
      <c r="O122" s="23" t="str">
        <f t="shared" si="6"/>
        <v>OK!</v>
      </c>
      <c r="P122" s="23" t="str">
        <f t="shared" si="7"/>
        <v>OK!</v>
      </c>
    </row>
    <row r="123" spans="2:16" ht="58" x14ac:dyDescent="0.35">
      <c r="B123" s="43">
        <f t="shared" si="4"/>
        <v>18</v>
      </c>
      <c r="C123" s="44" t="str">
        <f>ORÇAMENTO!A421</f>
        <v>5.1.2.4.15</v>
      </c>
      <c r="D123" s="44" t="str">
        <f>ORÇAMENTO!B421</f>
        <v xml:space="preserve"> 100979 </v>
      </c>
      <c r="E123" s="44" t="str">
        <f>ORÇAMENTO!C421</f>
        <v>SINAPI</v>
      </c>
      <c r="F123" s="480" t="str">
        <f>ORÇAMENTO!D421</f>
        <v>CARGA, MANOBRA E DESCARGA DE SOLOS E MATERIAIS GRANULARES EM CAMINHÃO BASCULANTE 14 M³ - CARGA COM ESCAVADEIRA HIDRÁULICA (CAÇAMBA DE 1,20 M³ / 155 HP) E DESCARGA LIVRE (UNIDADE: M3). AF_07/2020</v>
      </c>
      <c r="G123" s="44" t="str">
        <f>ORÇAMENTO!E421</f>
        <v>M³</v>
      </c>
      <c r="H123" s="44">
        <f>ORÇAMENTO!F421</f>
        <v>1872.9750868795288</v>
      </c>
      <c r="I123" s="44">
        <f>ORÇAMENTO!G421</f>
        <v>6.53</v>
      </c>
      <c r="J123" s="44">
        <f>ORÇAMENTO!H421</f>
        <v>0.2122</v>
      </c>
      <c r="K123" s="44">
        <f>ORÇAMENTO!I421</f>
        <v>7.92</v>
      </c>
      <c r="L123" s="44">
        <f>ORÇAMENTO!J421</f>
        <v>14833.96</v>
      </c>
      <c r="M123" s="23">
        <f>ORÇAMENTO!K421</f>
        <v>5.2442494651228511E-4</v>
      </c>
      <c r="N123" s="23" t="str">
        <f t="shared" si="5"/>
        <v>OK!</v>
      </c>
      <c r="O123" s="23" t="str">
        <f t="shared" si="6"/>
        <v>OK!</v>
      </c>
      <c r="P123" s="23" t="str">
        <f t="shared" si="7"/>
        <v>OK!</v>
      </c>
    </row>
    <row r="124" spans="2:16" ht="58" x14ac:dyDescent="0.35">
      <c r="B124" s="43">
        <f t="shared" si="4"/>
        <v>18</v>
      </c>
      <c r="C124" s="44" t="str">
        <f>ORÇAMENTO!A481</f>
        <v>5.1.2.6.37</v>
      </c>
      <c r="D124" s="44" t="str">
        <f>ORÇAMENTO!B481</f>
        <v xml:space="preserve"> 100979 </v>
      </c>
      <c r="E124" s="44" t="str">
        <f>ORÇAMENTO!C481</f>
        <v>SINAPI</v>
      </c>
      <c r="F124" s="480" t="str">
        <f>ORÇAMENTO!D481</f>
        <v>CARGA, MANOBRA E DESCARGA DE SOLOS E MATERIAIS GRANULARES EM CAMINHÃO BASCULANTE 14 M³ - CARGA COM ESCAVADEIRA HIDRÁULICA (CAÇAMBA DE 1,20 M³ / 155 HP) E DESCARGA LIVRE (UNIDADE: M3). AF_07/2020</v>
      </c>
      <c r="G124" s="44" t="str">
        <f>ORÇAMENTO!E481</f>
        <v>M³</v>
      </c>
      <c r="H124" s="44">
        <f>ORÇAMENTO!F481</f>
        <v>580.30999999999995</v>
      </c>
      <c r="I124" s="44">
        <f>ORÇAMENTO!G481</f>
        <v>6.53</v>
      </c>
      <c r="J124" s="44">
        <f>ORÇAMENTO!H481</f>
        <v>0.2122</v>
      </c>
      <c r="K124" s="44">
        <f>ORÇAMENTO!I481</f>
        <v>7.92</v>
      </c>
      <c r="L124" s="44">
        <f>ORÇAMENTO!J481</f>
        <v>4596.05</v>
      </c>
      <c r="M124" s="23">
        <f>ORÇAMENTO!K481</f>
        <v>1.6248414283291773E-4</v>
      </c>
      <c r="N124" s="23" t="str">
        <f t="shared" si="5"/>
        <v>OK!</v>
      </c>
      <c r="O124" s="23" t="str">
        <f t="shared" si="6"/>
        <v>OK!</v>
      </c>
      <c r="P124" s="23" t="str">
        <f t="shared" si="7"/>
        <v>OK!</v>
      </c>
    </row>
    <row r="125" spans="2:16" ht="58" x14ac:dyDescent="0.35">
      <c r="B125" s="43">
        <f t="shared" si="4"/>
        <v>18</v>
      </c>
      <c r="C125" s="44" t="str">
        <f>ORÇAMENTO!A532</f>
        <v>5.4.15</v>
      </c>
      <c r="D125" s="44" t="str">
        <f>ORÇAMENTO!B532</f>
        <v xml:space="preserve"> 100979 </v>
      </c>
      <c r="E125" s="44" t="str">
        <f>ORÇAMENTO!C532</f>
        <v>SINAPI</v>
      </c>
      <c r="F125" s="480" t="str">
        <f>ORÇAMENTO!D532</f>
        <v>CARGA, MANOBRA E DESCARGA DE SOLOS E MATERIAIS GRANULARES EM CAMINHÃO BASCULANTE 14 M³ - CARGA COM ESCAVADEIRA HIDRÁULICA (CAÇAMBA DE 1,20 M³ / 155 HP) E DESCARGA LIVRE (UNIDADE: M3). AF_07/2020</v>
      </c>
      <c r="G125" s="44" t="str">
        <f>ORÇAMENTO!E532</f>
        <v>M³</v>
      </c>
      <c r="H125" s="44">
        <f>ORÇAMENTO!F532</f>
        <v>3.28703085940964</v>
      </c>
      <c r="I125" s="44">
        <f>ORÇAMENTO!G532</f>
        <v>6.53</v>
      </c>
      <c r="J125" s="44">
        <f>ORÇAMENTO!H532</f>
        <v>0.2122</v>
      </c>
      <c r="K125" s="44">
        <f>ORÇAMENTO!I532</f>
        <v>7.92</v>
      </c>
      <c r="L125" s="44">
        <f>ORÇAMENTO!J532</f>
        <v>26.03</v>
      </c>
      <c r="M125" s="23">
        <f>ORÇAMENTO!K532</f>
        <v>9.2023851740969941E-7</v>
      </c>
      <c r="N125" s="23" t="str">
        <f t="shared" si="5"/>
        <v>OK!</v>
      </c>
      <c r="O125" s="23" t="str">
        <f t="shared" si="6"/>
        <v>OK!</v>
      </c>
      <c r="P125" s="23" t="str">
        <f t="shared" si="7"/>
        <v>OK!</v>
      </c>
    </row>
    <row r="126" spans="2:16" ht="58" x14ac:dyDescent="0.35">
      <c r="B126" s="43">
        <f t="shared" si="4"/>
        <v>18</v>
      </c>
      <c r="C126" s="44" t="str">
        <f>ORÇAMENTO!A603</f>
        <v>6.1.2.1.9</v>
      </c>
      <c r="D126" s="44" t="str">
        <f>ORÇAMENTO!B603</f>
        <v xml:space="preserve"> 100979 </v>
      </c>
      <c r="E126" s="44" t="str">
        <f>ORÇAMENTO!C603</f>
        <v>SINAPI</v>
      </c>
      <c r="F126" s="480" t="str">
        <f>ORÇAMENTO!D603</f>
        <v>CARGA, MANOBRA E DESCARGA DE SOLOS E MATERIAIS GRANULARES EM CAMINHÃO BASCULANTE 14 M³ - CARGA COM ESCAVADEIRA HIDRÁULICA (CAÇAMBA DE 1,20 M³ / 155 HP) E DESCARGA LIVRE (UNIDADE: M3). AF_07/2020</v>
      </c>
      <c r="G126" s="44" t="str">
        <f>ORÇAMENTO!E603</f>
        <v>M³</v>
      </c>
      <c r="H126" s="44">
        <f>ORÇAMENTO!F603</f>
        <v>453.90722392076123</v>
      </c>
      <c r="I126" s="44">
        <f>ORÇAMENTO!G603</f>
        <v>6.53</v>
      </c>
      <c r="J126" s="44">
        <f>ORÇAMENTO!H603</f>
        <v>0.2122</v>
      </c>
      <c r="K126" s="44">
        <f>ORÇAMENTO!I603</f>
        <v>7.92</v>
      </c>
      <c r="L126" s="44">
        <f>ORÇAMENTO!J603</f>
        <v>3594.94</v>
      </c>
      <c r="M126" s="23">
        <f>ORÇAMENTO!K603</f>
        <v>1.270919037947301E-4</v>
      </c>
      <c r="N126" s="23" t="str">
        <f t="shared" si="5"/>
        <v>OK!</v>
      </c>
      <c r="O126" s="23" t="str">
        <f t="shared" si="6"/>
        <v>OK!</v>
      </c>
      <c r="P126" s="23" t="str">
        <f t="shared" si="7"/>
        <v>OK!</v>
      </c>
    </row>
    <row r="127" spans="2:16" ht="58" x14ac:dyDescent="0.35">
      <c r="B127" s="43">
        <f t="shared" si="4"/>
        <v>18</v>
      </c>
      <c r="C127" s="44" t="str">
        <f>ORÇAMENTO!A633</f>
        <v>6.1.2.4.15</v>
      </c>
      <c r="D127" s="44" t="str">
        <f>ORÇAMENTO!B633</f>
        <v xml:space="preserve"> 100979 </v>
      </c>
      <c r="E127" s="44" t="str">
        <f>ORÇAMENTO!C633</f>
        <v>SINAPI</v>
      </c>
      <c r="F127" s="480" t="str">
        <f>ORÇAMENTO!D633</f>
        <v>CARGA, MANOBRA E DESCARGA DE SOLOS E MATERIAIS GRANULARES EM CAMINHÃO BASCULANTE 14 M³ - CARGA COM ESCAVADEIRA HIDRÁULICA (CAÇAMBA DE 1,20 M³ / 155 HP) E DESCARGA LIVRE (UNIDADE: M3). AF_07/2020</v>
      </c>
      <c r="G127" s="44" t="str">
        <f>ORÇAMENTO!E633</f>
        <v>M³</v>
      </c>
      <c r="H127" s="44">
        <f>ORÇAMENTO!F633</f>
        <v>137.62703060435689</v>
      </c>
      <c r="I127" s="44">
        <f>ORÇAMENTO!G633</f>
        <v>6.53</v>
      </c>
      <c r="J127" s="44">
        <f>ORÇAMENTO!H633</f>
        <v>0.2122</v>
      </c>
      <c r="K127" s="44">
        <f>ORÇAMENTO!I633</f>
        <v>7.92</v>
      </c>
      <c r="L127" s="44">
        <f>ORÇAMENTO!J633</f>
        <v>1090</v>
      </c>
      <c r="M127" s="23">
        <f>ORÇAMENTO!K633</f>
        <v>3.8534766960298589E-5</v>
      </c>
      <c r="N127" s="23" t="str">
        <f t="shared" si="5"/>
        <v>OK!</v>
      </c>
      <c r="O127" s="23" t="str">
        <f t="shared" si="6"/>
        <v>OK!</v>
      </c>
      <c r="P127" s="23" t="str">
        <f t="shared" si="7"/>
        <v>OK!</v>
      </c>
    </row>
    <row r="128" spans="2:16" ht="58" x14ac:dyDescent="0.35">
      <c r="B128" s="43">
        <f t="shared" si="4"/>
        <v>18</v>
      </c>
      <c r="C128" s="44" t="str">
        <f>ORÇAMENTO!A676</f>
        <v>6.1.2.6.29</v>
      </c>
      <c r="D128" s="44" t="str">
        <f>ORÇAMENTO!B676</f>
        <v xml:space="preserve"> 100979 </v>
      </c>
      <c r="E128" s="44" t="str">
        <f>ORÇAMENTO!C676</f>
        <v>SINAPI</v>
      </c>
      <c r="F128" s="480" t="str">
        <f>ORÇAMENTO!D676</f>
        <v>CARGA, MANOBRA E DESCARGA DE SOLOS E MATERIAIS GRANULARES EM CAMINHÃO BASCULANTE 14 M³ - CARGA COM ESCAVADEIRA HIDRÁULICA (CAÇAMBA DE 1,20 M³ / 155 HP) E DESCARGA LIVRE (UNIDADE: M3). AF_07/2020</v>
      </c>
      <c r="G128" s="44" t="str">
        <f>ORÇAMENTO!E676</f>
        <v>M³</v>
      </c>
      <c r="H128" s="44">
        <f>ORÇAMENTO!F676</f>
        <v>253.5</v>
      </c>
      <c r="I128" s="44">
        <f>ORÇAMENTO!G676</f>
        <v>6.53</v>
      </c>
      <c r="J128" s="44">
        <f>ORÇAMENTO!H676</f>
        <v>0.2122</v>
      </c>
      <c r="K128" s="44">
        <f>ORÇAMENTO!I676</f>
        <v>7.92</v>
      </c>
      <c r="L128" s="44">
        <f>ORÇAMENTO!J676</f>
        <v>2007.72</v>
      </c>
      <c r="M128" s="23">
        <f>ORÇAMENTO!K676</f>
        <v>7.0978919561037325E-5</v>
      </c>
      <c r="N128" s="23" t="str">
        <f t="shared" si="5"/>
        <v>OK!</v>
      </c>
      <c r="O128" s="23" t="str">
        <f t="shared" si="6"/>
        <v>OK!</v>
      </c>
      <c r="P128" s="23" t="str">
        <f t="shared" si="7"/>
        <v>OK!</v>
      </c>
    </row>
    <row r="129" spans="2:16" ht="58" x14ac:dyDescent="0.35">
      <c r="B129" s="43">
        <f t="shared" si="4"/>
        <v>18</v>
      </c>
      <c r="C129" s="44" t="str">
        <f>ORÇAMENTO!A722</f>
        <v>6.4.12</v>
      </c>
      <c r="D129" s="44" t="str">
        <f>ORÇAMENTO!B722</f>
        <v xml:space="preserve"> 100979 </v>
      </c>
      <c r="E129" s="44" t="str">
        <f>ORÇAMENTO!C722</f>
        <v>SINAPI</v>
      </c>
      <c r="F129" s="480" t="str">
        <f>ORÇAMENTO!D722</f>
        <v>CARGA, MANOBRA E DESCARGA DE SOLOS E MATERIAIS GRANULARES EM CAMINHÃO BASCULANTE 14 M³ - CARGA COM ESCAVADEIRA HIDRÁULICA (CAÇAMBA DE 1,20 M³ / 155 HP) E DESCARGA LIVRE (UNIDADE: M3). AF_07/2020</v>
      </c>
      <c r="G129" s="44" t="str">
        <f>ORÇAMENTO!E722</f>
        <v>M³</v>
      </c>
      <c r="H129" s="44">
        <f>ORÇAMENTO!F722</f>
        <v>4.1939681348704614</v>
      </c>
      <c r="I129" s="44">
        <f>ORÇAMENTO!G722</f>
        <v>6.53</v>
      </c>
      <c r="J129" s="44">
        <f>ORÇAMENTO!H722</f>
        <v>0.2122</v>
      </c>
      <c r="K129" s="44">
        <f>ORÇAMENTO!I722</f>
        <v>7.92</v>
      </c>
      <c r="L129" s="44">
        <f>ORÇAMENTO!J722</f>
        <v>33.21</v>
      </c>
      <c r="M129" s="23">
        <f>ORÇAMENTO!K722</f>
        <v>1.1740730373867121E-6</v>
      </c>
      <c r="N129" s="23" t="str">
        <f t="shared" si="5"/>
        <v>OK!</v>
      </c>
      <c r="O129" s="23" t="str">
        <f t="shared" si="6"/>
        <v>OK!</v>
      </c>
      <c r="P129" s="23" t="str">
        <f t="shared" si="7"/>
        <v>OK!</v>
      </c>
    </row>
    <row r="130" spans="2:16" ht="58" x14ac:dyDescent="0.35">
      <c r="B130" s="43">
        <f t="shared" si="4"/>
        <v>18</v>
      </c>
      <c r="C130" s="44" t="str">
        <f>ORÇAMENTO!A798</f>
        <v>7.1.2.1.14</v>
      </c>
      <c r="D130" s="44" t="str">
        <f>ORÇAMENTO!B798</f>
        <v xml:space="preserve"> 100979 </v>
      </c>
      <c r="E130" s="44" t="str">
        <f>ORÇAMENTO!C798</f>
        <v>SINAPI</v>
      </c>
      <c r="F130" s="480" t="str">
        <f>ORÇAMENTO!D798</f>
        <v>CARGA, MANOBRA E DESCARGA DE SOLOS E MATERIAIS GRANULARES EM CAMINHÃO BASCULANTE 14 M³ - CARGA COM ESCAVADEIRA HIDRÁULICA (CAÇAMBA DE 1,20 M³ / 155 HP) E DESCARGA LIVRE (UNIDADE: M3). AF_07/2020</v>
      </c>
      <c r="G130" s="44" t="str">
        <f>ORÇAMENTO!E798</f>
        <v>M³</v>
      </c>
      <c r="H130" s="44">
        <f>ORÇAMENTO!F798</f>
        <v>2307.9058658322156</v>
      </c>
      <c r="I130" s="44">
        <f>ORÇAMENTO!G798</f>
        <v>6.53</v>
      </c>
      <c r="J130" s="44">
        <f>ORÇAMENTO!H798</f>
        <v>0.2122</v>
      </c>
      <c r="K130" s="44">
        <f>ORÇAMENTO!I798</f>
        <v>7.92</v>
      </c>
      <c r="L130" s="44">
        <f>ORÇAMENTO!J798</f>
        <v>18278.61</v>
      </c>
      <c r="M130" s="23">
        <f>ORÇAMENTO!K798</f>
        <v>6.4620364835613162E-4</v>
      </c>
      <c r="N130" s="23" t="str">
        <f t="shared" si="5"/>
        <v>OK!</v>
      </c>
      <c r="O130" s="23" t="str">
        <f t="shared" si="6"/>
        <v>OK!</v>
      </c>
      <c r="P130" s="23" t="str">
        <f t="shared" si="7"/>
        <v>OK!</v>
      </c>
    </row>
    <row r="131" spans="2:16" ht="58" x14ac:dyDescent="0.35">
      <c r="B131" s="43">
        <f t="shared" ref="B131:B194" si="8">IF(EXACT(D130,D131),B130,B130+1)</f>
        <v>18</v>
      </c>
      <c r="C131" s="44" t="str">
        <f>ORÇAMENTO!A830</f>
        <v>7.1.2.4.15</v>
      </c>
      <c r="D131" s="44" t="str">
        <f>ORÇAMENTO!B830</f>
        <v xml:space="preserve"> 100979 </v>
      </c>
      <c r="E131" s="44" t="str">
        <f>ORÇAMENTO!C830</f>
        <v>SINAPI</v>
      </c>
      <c r="F131" s="480" t="str">
        <f>ORÇAMENTO!D830</f>
        <v>CARGA, MANOBRA E DESCARGA DE SOLOS E MATERIAIS GRANULARES EM CAMINHÃO BASCULANTE 14 M³ - CARGA COM ESCAVADEIRA HIDRÁULICA (CAÇAMBA DE 1,20 M³ / 155 HP) E DESCARGA LIVRE (UNIDADE: M3). AF_07/2020</v>
      </c>
      <c r="G131" s="44" t="str">
        <f>ORÇAMENTO!E830</f>
        <v>M³</v>
      </c>
      <c r="H131" s="44">
        <f>ORÇAMENTO!F830</f>
        <v>4785.7616482999583</v>
      </c>
      <c r="I131" s="44">
        <f>ORÇAMENTO!G830</f>
        <v>6.53</v>
      </c>
      <c r="J131" s="44">
        <f>ORÇAMENTO!H830</f>
        <v>0.2122</v>
      </c>
      <c r="K131" s="44">
        <f>ORÇAMENTO!I830</f>
        <v>7.92</v>
      </c>
      <c r="L131" s="44">
        <f>ORÇAMENTO!J830</f>
        <v>37903.230000000003</v>
      </c>
      <c r="M131" s="23">
        <f>ORÇAMENTO!K830</f>
        <v>1.3399927844886224E-3</v>
      </c>
      <c r="N131" s="23" t="str">
        <f t="shared" ref="N131:N194" si="9">IF(F131=F130,IF(G131=G130,"OK!","ERRADO"),"DIFERENTE")</f>
        <v>OK!</v>
      </c>
      <c r="O131" s="23" t="str">
        <f t="shared" ref="O131:O194" si="10">IF(F131=F130,IF(I131=I130,"OK!","ERRADO"),"DIFERENTE")</f>
        <v>OK!</v>
      </c>
      <c r="P131" s="23" t="str">
        <f t="shared" ref="P131:P194" si="11">IF(F131=F130,IF(D131=D130,"OK!","ERRADO"),"DIFERENTE")</f>
        <v>OK!</v>
      </c>
    </row>
    <row r="132" spans="2:16" ht="58" x14ac:dyDescent="0.35">
      <c r="B132" s="43">
        <f t="shared" si="8"/>
        <v>18</v>
      </c>
      <c r="C132" s="44" t="str">
        <f>ORÇAMENTO!A889</f>
        <v>7.1.2.6.36</v>
      </c>
      <c r="D132" s="44" t="str">
        <f>ORÇAMENTO!B889</f>
        <v xml:space="preserve"> 100979 </v>
      </c>
      <c r="E132" s="44" t="str">
        <f>ORÇAMENTO!C889</f>
        <v>SINAPI</v>
      </c>
      <c r="F132" s="480" t="str">
        <f>ORÇAMENTO!D889</f>
        <v>CARGA, MANOBRA E DESCARGA DE SOLOS E MATERIAIS GRANULARES EM CAMINHÃO BASCULANTE 14 M³ - CARGA COM ESCAVADEIRA HIDRÁULICA (CAÇAMBA DE 1,20 M³ / 155 HP) E DESCARGA LIVRE (UNIDADE: M3). AF_07/2020</v>
      </c>
      <c r="G132" s="44" t="str">
        <f>ORÇAMENTO!E889</f>
        <v>M³</v>
      </c>
      <c r="H132" s="44">
        <f>ORÇAMENTO!F889</f>
        <v>901.29</v>
      </c>
      <c r="I132" s="44">
        <f>ORÇAMENTO!G889</f>
        <v>6.53</v>
      </c>
      <c r="J132" s="44">
        <f>ORÇAMENTO!H889</f>
        <v>0.2122</v>
      </c>
      <c r="K132" s="44">
        <f>ORÇAMENTO!I889</f>
        <v>7.92</v>
      </c>
      <c r="L132" s="44">
        <f>ORÇAMENTO!J889</f>
        <v>7138.21</v>
      </c>
      <c r="M132" s="23">
        <f>ORÇAMENTO!K889</f>
        <v>2.5235711822355322E-4</v>
      </c>
      <c r="N132" s="23" t="str">
        <f t="shared" si="9"/>
        <v>OK!</v>
      </c>
      <c r="O132" s="23" t="str">
        <f t="shared" si="10"/>
        <v>OK!</v>
      </c>
      <c r="P132" s="23" t="str">
        <f t="shared" si="11"/>
        <v>OK!</v>
      </c>
    </row>
    <row r="133" spans="2:16" ht="58" x14ac:dyDescent="0.35">
      <c r="B133" s="43">
        <f t="shared" si="8"/>
        <v>18</v>
      </c>
      <c r="C133" s="44" t="str">
        <f>ORÇAMENTO!A946</f>
        <v>7.4.14</v>
      </c>
      <c r="D133" s="44" t="str">
        <f>ORÇAMENTO!B946</f>
        <v xml:space="preserve"> 100979 </v>
      </c>
      <c r="E133" s="44" t="str">
        <f>ORÇAMENTO!C946</f>
        <v>SINAPI</v>
      </c>
      <c r="F133" s="636" t="str">
        <f>ORÇAMENTO!D946</f>
        <v>CARGA, MANOBRA E DESCARGA DE SOLOS E MATERIAIS GRANULARES EM CAMINHÃO BASCULANTE 14 M³ - CARGA COM ESCAVADEIRA HIDRÁULICA (CAÇAMBA DE 1,20 M³ / 155 HP) E DESCARGA LIVRE (UNIDADE: M3). AF_07/2020</v>
      </c>
      <c r="G133" s="44" t="str">
        <f>ORÇAMENTO!E946</f>
        <v>M³</v>
      </c>
      <c r="H133" s="44">
        <f>ORÇAMENTO!F946</f>
        <v>3.8770088092227883</v>
      </c>
      <c r="I133" s="44">
        <f>ORÇAMENTO!G946</f>
        <v>6.53</v>
      </c>
      <c r="J133" s="44">
        <f>ORÇAMENTO!H946</f>
        <v>0.2122</v>
      </c>
      <c r="K133" s="44">
        <f>ORÇAMENTO!I946</f>
        <v>7.92</v>
      </c>
      <c r="L133" s="638">
        <f>ORÇAMENTO!J946</f>
        <v>30.7</v>
      </c>
      <c r="M133" s="23">
        <f>ORÇAMENTO!K946</f>
        <v>1.0853370143863915E-6</v>
      </c>
      <c r="N133" s="23" t="str">
        <f t="shared" si="9"/>
        <v>OK!</v>
      </c>
      <c r="O133" s="23" t="str">
        <f t="shared" si="10"/>
        <v>OK!</v>
      </c>
      <c r="P133" s="23" t="str">
        <f t="shared" si="11"/>
        <v>OK!</v>
      </c>
    </row>
    <row r="134" spans="2:16" ht="29" x14ac:dyDescent="0.35">
      <c r="B134" s="43">
        <f t="shared" si="8"/>
        <v>19</v>
      </c>
      <c r="C134" s="44" t="str">
        <f>ORÇAMENTO!A195</f>
        <v>4.1.2.5.6</v>
      </c>
      <c r="D134" s="44" t="str">
        <f>ORÇAMENTO!B195</f>
        <v xml:space="preserve"> 101467 </v>
      </c>
      <c r="E134" s="44" t="str">
        <f>ORÇAMENTO!C195</f>
        <v>SINAPI</v>
      </c>
      <c r="F134" s="480" t="str">
        <f>ORÇAMENTO!D195</f>
        <v>CARGA, MANOBRA E DESCARGA DE TUBOS DE CONCRETO, DN 1000 MM, EM CAMINHÃO CARROCERIA COM GUINDAUTO (MUNCK) 11,7 TM. AF_07/2020</v>
      </c>
      <c r="G134" s="44" t="str">
        <f>ORÇAMENTO!E195</f>
        <v>T</v>
      </c>
      <c r="H134" s="44">
        <f>ORÇAMENTO!F195</f>
        <v>182.71891193921599</v>
      </c>
      <c r="I134" s="44">
        <f>ORÇAMENTO!G195</f>
        <v>17.7</v>
      </c>
      <c r="J134" s="44">
        <f>ORÇAMENTO!H195</f>
        <v>0.2122</v>
      </c>
      <c r="K134" s="44">
        <f>ORÇAMENTO!I195</f>
        <v>21.46</v>
      </c>
      <c r="L134" s="44">
        <f>ORÇAMENTO!J195</f>
        <v>3921.14</v>
      </c>
      <c r="M134" s="23">
        <f>ORÇAMENTO!K195</f>
        <v>1.3862405148505066E-4</v>
      </c>
      <c r="N134" s="23" t="str">
        <f t="shared" si="9"/>
        <v>DIFERENTE</v>
      </c>
      <c r="O134" s="23" t="str">
        <f t="shared" si="10"/>
        <v>DIFERENTE</v>
      </c>
      <c r="P134" s="23" t="str">
        <f t="shared" si="11"/>
        <v>DIFERENTE</v>
      </c>
    </row>
    <row r="135" spans="2:16" ht="29" x14ac:dyDescent="0.35">
      <c r="B135" s="43">
        <f t="shared" si="8"/>
        <v>19</v>
      </c>
      <c r="C135" s="44" t="str">
        <f>ORÇAMENTO!A436</f>
        <v>5.1.2.5.8</v>
      </c>
      <c r="D135" s="44" t="str">
        <f>ORÇAMENTO!B436</f>
        <v xml:space="preserve"> 101467 </v>
      </c>
      <c r="E135" s="44" t="str">
        <f>ORÇAMENTO!C436</f>
        <v>SINAPI</v>
      </c>
      <c r="F135" s="480" t="str">
        <f>ORÇAMENTO!D436</f>
        <v>CARGA, MANOBRA E DESCARGA DE TUBOS DE CONCRETO, DN 1000 MM, EM CAMINHÃO CARROCERIA COM GUINDAUTO (MUNCK) 11,7 TM. AF_07/2020</v>
      </c>
      <c r="G135" s="44" t="str">
        <f>ORÇAMENTO!E436</f>
        <v>T</v>
      </c>
      <c r="H135" s="44">
        <f>ORÇAMENTO!F436</f>
        <v>672.42526499999997</v>
      </c>
      <c r="I135" s="44">
        <f>ORÇAMENTO!G436</f>
        <v>17.7</v>
      </c>
      <c r="J135" s="44">
        <f>ORÇAMENTO!H436</f>
        <v>0.2122</v>
      </c>
      <c r="K135" s="44">
        <f>ORÇAMENTO!I436</f>
        <v>21.46</v>
      </c>
      <c r="L135" s="44">
        <f>ORÇAMENTO!J436</f>
        <v>14430.24</v>
      </c>
      <c r="M135" s="23">
        <f>ORÇAMENTO!K436</f>
        <v>5.1015223447814593E-4</v>
      </c>
      <c r="N135" s="23" t="str">
        <f t="shared" si="9"/>
        <v>OK!</v>
      </c>
      <c r="O135" s="23" t="str">
        <f t="shared" si="10"/>
        <v>OK!</v>
      </c>
      <c r="P135" s="23" t="str">
        <f t="shared" si="11"/>
        <v>OK!</v>
      </c>
    </row>
    <row r="136" spans="2:16" ht="29" x14ac:dyDescent="0.35">
      <c r="B136" s="43">
        <f t="shared" si="8"/>
        <v>19</v>
      </c>
      <c r="C136" s="44" t="str">
        <f>ORÇAMENTO!A845</f>
        <v>7.1.2.5.8</v>
      </c>
      <c r="D136" s="44" t="str">
        <f>ORÇAMENTO!B845</f>
        <v xml:space="preserve"> 101467 </v>
      </c>
      <c r="E136" s="44" t="str">
        <f>ORÇAMENTO!C845</f>
        <v>SINAPI</v>
      </c>
      <c r="F136" s="480" t="str">
        <f>ORÇAMENTO!D845</f>
        <v>CARGA, MANOBRA E DESCARGA DE TUBOS DE CONCRETO, DN 1000 MM, EM CAMINHÃO CARROCERIA COM GUINDAUTO (MUNCK) 11,7 TM. AF_07/2020</v>
      </c>
      <c r="G136" s="44" t="str">
        <f>ORÇAMENTO!E845</f>
        <v>T</v>
      </c>
      <c r="H136" s="44">
        <f>ORÇAMENTO!F845</f>
        <v>479.64221499999991</v>
      </c>
      <c r="I136" s="44">
        <f>ORÇAMENTO!G845</f>
        <v>17.7</v>
      </c>
      <c r="J136" s="44">
        <f>ORÇAMENTO!H845</f>
        <v>0.2122</v>
      </c>
      <c r="K136" s="44">
        <f>ORÇAMENTO!I845</f>
        <v>21.46</v>
      </c>
      <c r="L136" s="44">
        <f>ORÇAMENTO!J845</f>
        <v>10293.120000000001</v>
      </c>
      <c r="M136" s="23">
        <f>ORÇAMENTO!K845</f>
        <v>3.6389264265540241E-4</v>
      </c>
      <c r="N136" s="23" t="str">
        <f t="shared" si="9"/>
        <v>OK!</v>
      </c>
      <c r="O136" s="23" t="str">
        <f t="shared" si="10"/>
        <v>OK!</v>
      </c>
      <c r="P136" s="23" t="str">
        <f t="shared" si="11"/>
        <v>OK!</v>
      </c>
    </row>
    <row r="137" spans="2:16" ht="29" x14ac:dyDescent="0.35">
      <c r="B137" s="43">
        <f t="shared" si="8"/>
        <v>20</v>
      </c>
      <c r="C137" s="44" t="str">
        <f>ORÇAMENTO!A198</f>
        <v>4.1.2.5.9</v>
      </c>
      <c r="D137" s="44" t="str">
        <f>ORÇAMENTO!B198</f>
        <v xml:space="preserve"> 101468 </v>
      </c>
      <c r="E137" s="44" t="str">
        <f>ORÇAMENTO!C198</f>
        <v>SINAPI</v>
      </c>
      <c r="F137" s="480" t="str">
        <f>ORÇAMENTO!D198</f>
        <v>CARGA, MANOBRA E DESCARGA DE TUBOS DE CONCRETO, DN 1200 MM, EM CAMINHÃO CARROCERIA COM GUINDAUTO (MUNCK) 11,7 TM. AF_07/2020</v>
      </c>
      <c r="G137" s="44" t="str">
        <f>ORÇAMENTO!E198</f>
        <v>T</v>
      </c>
      <c r="H137" s="44">
        <f>ORÇAMENTO!F198</f>
        <v>40.598708961920941</v>
      </c>
      <c r="I137" s="44">
        <f>ORÇAMENTO!G198</f>
        <v>16.190000000000001</v>
      </c>
      <c r="J137" s="44">
        <f>ORÇAMENTO!H198</f>
        <v>0.2122</v>
      </c>
      <c r="K137" s="44">
        <f>ORÇAMENTO!I198</f>
        <v>19.63</v>
      </c>
      <c r="L137" s="44">
        <f>ORÇAMENTO!J198</f>
        <v>796.95</v>
      </c>
      <c r="M137" s="23">
        <f>ORÇAMENTO!K198</f>
        <v>2.8174571127532076E-5</v>
      </c>
      <c r="N137" s="23" t="str">
        <f t="shared" si="9"/>
        <v>DIFERENTE</v>
      </c>
      <c r="O137" s="23" t="str">
        <f t="shared" si="10"/>
        <v>DIFERENTE</v>
      </c>
      <c r="P137" s="23" t="str">
        <f t="shared" si="11"/>
        <v>DIFERENTE</v>
      </c>
    </row>
    <row r="138" spans="2:16" ht="29" x14ac:dyDescent="0.35">
      <c r="B138" s="43">
        <f t="shared" si="8"/>
        <v>20</v>
      </c>
      <c r="C138" s="44" t="str">
        <f>ORÇAMENTO!A439</f>
        <v>5.1.2.5.11</v>
      </c>
      <c r="D138" s="44" t="str">
        <f>ORÇAMENTO!B439</f>
        <v xml:space="preserve"> 101468 </v>
      </c>
      <c r="E138" s="44" t="str">
        <f>ORÇAMENTO!C439</f>
        <v>SINAPI</v>
      </c>
      <c r="F138" s="480" t="str">
        <f>ORÇAMENTO!D439</f>
        <v>CARGA, MANOBRA E DESCARGA DE TUBOS DE CONCRETO, DN 1200 MM, EM CAMINHÃO CARROCERIA COM GUINDAUTO (MUNCK) 11,7 TM. AF_07/2020</v>
      </c>
      <c r="G138" s="44" t="str">
        <f>ORÇAMENTO!E439</f>
        <v>T</v>
      </c>
      <c r="H138" s="44">
        <f>ORÇAMENTO!F439</f>
        <v>270.32639999999998</v>
      </c>
      <c r="I138" s="44">
        <f>ORÇAMENTO!G439</f>
        <v>16.190000000000001</v>
      </c>
      <c r="J138" s="44">
        <f>ORÇAMENTO!H439</f>
        <v>0.2122</v>
      </c>
      <c r="K138" s="44">
        <f>ORÇAMENTO!I439</f>
        <v>19.63</v>
      </c>
      <c r="L138" s="44">
        <f>ORÇAMENTO!J439</f>
        <v>5306.5</v>
      </c>
      <c r="M138" s="23">
        <f>ORÇAMENTO!K439</f>
        <v>1.8760067970167383E-4</v>
      </c>
      <c r="N138" s="23" t="str">
        <f t="shared" si="9"/>
        <v>OK!</v>
      </c>
      <c r="O138" s="23" t="str">
        <f t="shared" si="10"/>
        <v>OK!</v>
      </c>
      <c r="P138" s="23" t="str">
        <f t="shared" si="11"/>
        <v>OK!</v>
      </c>
    </row>
    <row r="139" spans="2:16" ht="29" x14ac:dyDescent="0.35">
      <c r="B139" s="43">
        <f t="shared" si="8"/>
        <v>20</v>
      </c>
      <c r="C139" s="44" t="str">
        <f>ORÇAMENTO!A642</f>
        <v>6.1.2.5.4</v>
      </c>
      <c r="D139" s="44" t="str">
        <f>ORÇAMENTO!B642</f>
        <v xml:space="preserve"> 101468 </v>
      </c>
      <c r="E139" s="44" t="str">
        <f>ORÇAMENTO!C642</f>
        <v>SINAPI</v>
      </c>
      <c r="F139" s="480" t="str">
        <f>ORÇAMENTO!D642</f>
        <v>CARGA, MANOBRA E DESCARGA DE TUBOS DE CONCRETO, DN 1200 MM, EM CAMINHÃO CARROCERIA COM GUINDAUTO (MUNCK) 11,7 TM. AF_07/2020</v>
      </c>
      <c r="G139" s="44" t="str">
        <f>ORÇAMENTO!E642</f>
        <v>T</v>
      </c>
      <c r="H139" s="44">
        <f>ORÇAMENTO!F642</f>
        <v>40.724137810482794</v>
      </c>
      <c r="I139" s="44">
        <f>ORÇAMENTO!G642</f>
        <v>16.190000000000001</v>
      </c>
      <c r="J139" s="44">
        <f>ORÇAMENTO!H642</f>
        <v>0.2122</v>
      </c>
      <c r="K139" s="44">
        <f>ORÇAMENTO!I642</f>
        <v>19.63</v>
      </c>
      <c r="L139" s="44">
        <f>ORÇAMENTO!J642</f>
        <v>799.41</v>
      </c>
      <c r="M139" s="23">
        <f>ORÇAMENTO!K642</f>
        <v>2.8261539500671828E-5</v>
      </c>
      <c r="N139" s="23" t="str">
        <f t="shared" si="9"/>
        <v>OK!</v>
      </c>
      <c r="O139" s="23" t="str">
        <f t="shared" si="10"/>
        <v>OK!</v>
      </c>
      <c r="P139" s="23" t="str">
        <f t="shared" si="11"/>
        <v>OK!</v>
      </c>
    </row>
    <row r="140" spans="2:16" ht="29" x14ac:dyDescent="0.35">
      <c r="B140" s="43">
        <f t="shared" si="8"/>
        <v>20</v>
      </c>
      <c r="C140" s="44" t="str">
        <f>ORÇAMENTO!A848</f>
        <v>7.1.2.5.11</v>
      </c>
      <c r="D140" s="44" t="str">
        <f>ORÇAMENTO!B848</f>
        <v xml:space="preserve"> 101468 </v>
      </c>
      <c r="E140" s="44" t="str">
        <f>ORÇAMENTO!C848</f>
        <v>SINAPI</v>
      </c>
      <c r="F140" s="480" t="str">
        <f>ORÇAMENTO!D848</f>
        <v>CARGA, MANOBRA E DESCARGA DE TUBOS DE CONCRETO, DN 1200 MM, EM CAMINHÃO CARROCERIA COM GUINDAUTO (MUNCK) 11,7 TM. AF_07/2020</v>
      </c>
      <c r="G140" s="44" t="str">
        <f>ORÇAMENTO!E848</f>
        <v>T</v>
      </c>
      <c r="H140" s="44">
        <f>ORÇAMENTO!F848</f>
        <v>358.79959999999988</v>
      </c>
      <c r="I140" s="44">
        <f>ORÇAMENTO!G848</f>
        <v>16.190000000000001</v>
      </c>
      <c r="J140" s="44">
        <f>ORÇAMENTO!H848</f>
        <v>0.2122</v>
      </c>
      <c r="K140" s="44">
        <f>ORÇAMENTO!I848</f>
        <v>19.63</v>
      </c>
      <c r="L140" s="44">
        <f>ORÇAMENTO!J848</f>
        <v>7043.23</v>
      </c>
      <c r="M140" s="23">
        <f>ORÇAMENTO!K848</f>
        <v>2.4899929054842551E-4</v>
      </c>
      <c r="N140" s="23" t="str">
        <f t="shared" si="9"/>
        <v>OK!</v>
      </c>
      <c r="O140" s="23" t="str">
        <f t="shared" si="10"/>
        <v>OK!</v>
      </c>
      <c r="P140" s="23" t="str">
        <f t="shared" si="11"/>
        <v>OK!</v>
      </c>
    </row>
    <row r="141" spans="2:16" ht="29" x14ac:dyDescent="0.35">
      <c r="B141" s="43">
        <f t="shared" si="8"/>
        <v>20</v>
      </c>
      <c r="C141" s="44" t="str">
        <f>ORÇAMENTO!A1024</f>
        <v xml:space="preserve"> 8.6.7</v>
      </c>
      <c r="D141" s="44" t="str">
        <f>ORÇAMENTO!B1024</f>
        <v xml:space="preserve"> 101468 </v>
      </c>
      <c r="E141" s="44" t="str">
        <f>ORÇAMENTO!C1024</f>
        <v>SINAPI</v>
      </c>
      <c r="F141" s="636" t="str">
        <f>ORÇAMENTO!D1024</f>
        <v>CARGA, MANOBRA E DESCARGA DE TUBOS DE CONCRETO, DN 1200 MM, EM CAMINHÃO CARROCERIA COM GUINDAUTO (MUNCK) 11,7 TM. AF_07/2020</v>
      </c>
      <c r="G141" s="44" t="str">
        <f>ORÇAMENTO!E1024</f>
        <v>T</v>
      </c>
      <c r="H141" s="44">
        <f>ORÇAMENTO!F1024</f>
        <v>12.991999999999999</v>
      </c>
      <c r="I141" s="44">
        <f>ORÇAMENTO!G1024</f>
        <v>16.190000000000001</v>
      </c>
      <c r="J141" s="44">
        <f>ORÇAMENTO!H1024</f>
        <v>0.2122</v>
      </c>
      <c r="K141" s="44">
        <f>ORÇAMENTO!I1024</f>
        <v>19.63</v>
      </c>
      <c r="L141" s="638">
        <f>ORÇAMENTO!J1024</f>
        <v>255.03</v>
      </c>
      <c r="M141" s="23">
        <f>ORÇAMENTO!K1024</f>
        <v>9.0160748787935306E-6</v>
      </c>
      <c r="N141" s="23" t="str">
        <f t="shared" si="9"/>
        <v>OK!</v>
      </c>
      <c r="O141" s="23" t="str">
        <f t="shared" si="10"/>
        <v>OK!</v>
      </c>
      <c r="P141" s="23" t="str">
        <f t="shared" si="11"/>
        <v>OK!</v>
      </c>
    </row>
    <row r="142" spans="2:16" ht="29" x14ac:dyDescent="0.35">
      <c r="B142" s="43">
        <f t="shared" si="8"/>
        <v>21</v>
      </c>
      <c r="C142" s="44" t="str">
        <f>ORÇAMENTO!A200</f>
        <v>4.1.2.5.11</v>
      </c>
      <c r="D142" s="44" t="str">
        <f>ORÇAMENTO!B200</f>
        <v xml:space="preserve"> C0703 </v>
      </c>
      <c r="E142" s="44" t="str">
        <f>ORÇAMENTO!C200</f>
        <v>SEINFRA</v>
      </c>
      <c r="F142" s="480" t="str">
        <f>ORÇAMENTO!D200</f>
        <v>CARGA, MANOBRA E DESCARGA DE TUBOS DE CONCRETO, DN 1500 MM, EM CAMINHÃO CARROCERIA COM GUINDAUTO (MUNCK) 11,7 TM.</v>
      </c>
      <c r="G142" s="44" t="str">
        <f>ORÇAMENTO!E200</f>
        <v>T</v>
      </c>
      <c r="H142" s="44">
        <f>ORÇAMENTO!F200</f>
        <v>859.42592979307801</v>
      </c>
      <c r="I142" s="44">
        <f>ORÇAMENTO!G200</f>
        <v>94.99</v>
      </c>
      <c r="J142" s="44">
        <f>ORÇAMENTO!H200</f>
        <v>0.2122</v>
      </c>
      <c r="K142" s="44">
        <f>ORÇAMENTO!I200</f>
        <v>115.15</v>
      </c>
      <c r="L142" s="44">
        <f>ORÇAMENTO!J200</f>
        <v>98962.89</v>
      </c>
      <c r="M142" s="23">
        <f>ORÇAMENTO!K200</f>
        <v>3.4986347741905173E-3</v>
      </c>
      <c r="N142" s="23" t="str">
        <f t="shared" si="9"/>
        <v>DIFERENTE</v>
      </c>
      <c r="O142" s="23" t="str">
        <f t="shared" si="10"/>
        <v>DIFERENTE</v>
      </c>
      <c r="P142" s="23" t="str">
        <f t="shared" si="11"/>
        <v>DIFERENTE</v>
      </c>
    </row>
    <row r="143" spans="2:16" ht="29" x14ac:dyDescent="0.35">
      <c r="B143" s="43">
        <f t="shared" si="8"/>
        <v>21</v>
      </c>
      <c r="C143" s="44" t="str">
        <f>ORÇAMENTO!A442</f>
        <v>5.1.2.5.14</v>
      </c>
      <c r="D143" s="44" t="str">
        <f>ORÇAMENTO!B442</f>
        <v xml:space="preserve"> C0703 </v>
      </c>
      <c r="E143" s="44" t="str">
        <f>ORÇAMENTO!C442</f>
        <v>SEINFRA</v>
      </c>
      <c r="F143" s="480" t="str">
        <f>ORÇAMENTO!D442</f>
        <v>CARGA, MANOBRA E DESCARGA DE TUBOS DE CONCRETO, DN 1500 MM, EM CAMINHÃO CARROCERIA COM GUINDAUTO (MUNCK) 11,7 TM.</v>
      </c>
      <c r="G143" s="44" t="str">
        <f>ORÇAMENTO!E442</f>
        <v>T</v>
      </c>
      <c r="H143" s="44">
        <f>ORÇAMENTO!F442</f>
        <v>547.14880000000005</v>
      </c>
      <c r="I143" s="44">
        <f>ORÇAMENTO!G442</f>
        <v>94.99</v>
      </c>
      <c r="J143" s="44">
        <f>ORÇAMENTO!H442</f>
        <v>0.2122</v>
      </c>
      <c r="K143" s="44">
        <f>ORÇAMENTO!I442</f>
        <v>115.15</v>
      </c>
      <c r="L143" s="44">
        <f>ORÇAMENTO!J442</f>
        <v>63004.18</v>
      </c>
      <c r="M143" s="23">
        <f>ORÇAMENTO!K442</f>
        <v>2.2273865998391792E-3</v>
      </c>
      <c r="N143" s="23" t="str">
        <f t="shared" si="9"/>
        <v>OK!</v>
      </c>
      <c r="O143" s="23" t="str">
        <f t="shared" si="10"/>
        <v>OK!</v>
      </c>
      <c r="P143" s="23" t="str">
        <f t="shared" si="11"/>
        <v>OK!</v>
      </c>
    </row>
    <row r="144" spans="2:16" ht="29" x14ac:dyDescent="0.35">
      <c r="B144" s="43">
        <f t="shared" si="8"/>
        <v>21</v>
      </c>
      <c r="C144" s="44" t="str">
        <f>ORÇAMENTO!A644</f>
        <v>6.1.2.5.6</v>
      </c>
      <c r="D144" s="44" t="str">
        <f>ORÇAMENTO!B644</f>
        <v xml:space="preserve"> C0703 </v>
      </c>
      <c r="E144" s="44" t="str">
        <f>ORÇAMENTO!C644</f>
        <v>SEINFRA</v>
      </c>
      <c r="F144" s="480" t="str">
        <f>ORÇAMENTO!D644</f>
        <v>CARGA, MANOBRA E DESCARGA DE TUBOS DE CONCRETO, DN 1500 MM, EM CAMINHÃO CARROCERIA COM GUINDAUTO (MUNCK) 11,7 TM.</v>
      </c>
      <c r="G144" s="44" t="str">
        <f>ORÇAMENTO!E644</f>
        <v>T</v>
      </c>
      <c r="H144" s="44">
        <f>ORÇAMENTO!F644</f>
        <v>175.60085959319753</v>
      </c>
      <c r="I144" s="44">
        <f>ORÇAMENTO!G644</f>
        <v>94.99</v>
      </c>
      <c r="J144" s="44">
        <f>ORÇAMENTO!H644</f>
        <v>0.2122</v>
      </c>
      <c r="K144" s="44">
        <f>ORÇAMENTO!I644</f>
        <v>115.15</v>
      </c>
      <c r="L144" s="44">
        <f>ORÇAMENTO!J644</f>
        <v>20220.43</v>
      </c>
      <c r="M144" s="23">
        <f>ORÇAMENTO!K644</f>
        <v>7.1485280540094535E-4</v>
      </c>
      <c r="N144" s="23" t="str">
        <f t="shared" si="9"/>
        <v>OK!</v>
      </c>
      <c r="O144" s="23" t="str">
        <f t="shared" si="10"/>
        <v>OK!</v>
      </c>
      <c r="P144" s="23" t="str">
        <f t="shared" si="11"/>
        <v>OK!</v>
      </c>
    </row>
    <row r="145" spans="2:16" ht="29" x14ac:dyDescent="0.35">
      <c r="B145" s="43">
        <f t="shared" si="8"/>
        <v>21</v>
      </c>
      <c r="C145" s="44" t="str">
        <f>ORÇAMENTO!A851</f>
        <v>7.1.2.5.14</v>
      </c>
      <c r="D145" s="44" t="str">
        <f>ORÇAMENTO!B851</f>
        <v xml:space="preserve"> C0703 </v>
      </c>
      <c r="E145" s="44" t="str">
        <f>ORÇAMENTO!C851</f>
        <v>SEINFRA</v>
      </c>
      <c r="F145" s="480" t="str">
        <f>ORÇAMENTO!D851</f>
        <v>CARGA, MANOBRA E DESCARGA DE TUBOS DE CONCRETO, DN 1500 MM, EM CAMINHÃO CARROCERIA COM GUINDAUTO (MUNCK) 11,7 TM.</v>
      </c>
      <c r="G145" s="44" t="str">
        <f>ORÇAMENTO!E851</f>
        <v>T</v>
      </c>
      <c r="H145" s="44">
        <f>ORÇAMENTO!F851</f>
        <v>660.35199999999986</v>
      </c>
      <c r="I145" s="44">
        <f>ORÇAMENTO!G851</f>
        <v>94.99</v>
      </c>
      <c r="J145" s="44">
        <f>ORÇAMENTO!H851</f>
        <v>0.2122</v>
      </c>
      <c r="K145" s="44">
        <f>ORÇAMENTO!I851</f>
        <v>115.15</v>
      </c>
      <c r="L145" s="44">
        <f>ORÇAMENTO!J851</f>
        <v>76039.53</v>
      </c>
      <c r="M145" s="23">
        <f>ORÇAMENTO!K851</f>
        <v>2.6882252920372783E-3</v>
      </c>
      <c r="N145" s="23" t="str">
        <f t="shared" si="9"/>
        <v>OK!</v>
      </c>
      <c r="O145" s="23" t="str">
        <f t="shared" si="10"/>
        <v>OK!</v>
      </c>
      <c r="P145" s="23" t="str">
        <f t="shared" si="11"/>
        <v>OK!</v>
      </c>
    </row>
    <row r="146" spans="2:16" ht="29" x14ac:dyDescent="0.35">
      <c r="B146" s="43">
        <f t="shared" si="8"/>
        <v>22</v>
      </c>
      <c r="C146" s="44" t="str">
        <f>ORÇAMENTO!A191</f>
        <v>4.1.2.5.2</v>
      </c>
      <c r="D146" s="44" t="str">
        <f>ORÇAMENTO!B191</f>
        <v xml:space="preserve"> 101463 </v>
      </c>
      <c r="E146" s="44" t="str">
        <f>ORÇAMENTO!C191</f>
        <v>SINAPI</v>
      </c>
      <c r="F146" s="480" t="str">
        <f>ORÇAMENTO!D191</f>
        <v>CARGA, MANOBRA E DESCARGA DE TUBOS DE CONCRETO, DN 600 MM, EM CAMINHÃO CARROCERIA COM GUINDAUTO (MUNCK) 11,7 TM. AF_07/2020</v>
      </c>
      <c r="G146" s="44" t="str">
        <f>ORÇAMENTO!E191</f>
        <v>T</v>
      </c>
      <c r="H146" s="44">
        <f>ORÇAMENTO!F191</f>
        <v>71.479048561960866</v>
      </c>
      <c r="I146" s="44">
        <f>ORÇAMENTO!G191</f>
        <v>44.31</v>
      </c>
      <c r="J146" s="44">
        <f>ORÇAMENTO!H191</f>
        <v>0.2122</v>
      </c>
      <c r="K146" s="44">
        <f>ORÇAMENTO!I191</f>
        <v>53.71</v>
      </c>
      <c r="L146" s="44">
        <f>ORÇAMENTO!J191</f>
        <v>3839.13</v>
      </c>
      <c r="M146" s="23">
        <f>ORÇAMENTO!K191</f>
        <v>1.3572475218375332E-4</v>
      </c>
      <c r="N146" s="23" t="str">
        <f t="shared" si="9"/>
        <v>DIFERENTE</v>
      </c>
      <c r="O146" s="23" t="str">
        <f t="shared" si="10"/>
        <v>DIFERENTE</v>
      </c>
      <c r="P146" s="23" t="str">
        <f t="shared" si="11"/>
        <v>DIFERENTE</v>
      </c>
    </row>
    <row r="147" spans="2:16" ht="29" x14ac:dyDescent="0.35">
      <c r="B147" s="43">
        <f t="shared" si="8"/>
        <v>22</v>
      </c>
      <c r="C147" s="44" t="str">
        <f>ORÇAMENTO!A430</f>
        <v>5.1.2.5.2</v>
      </c>
      <c r="D147" s="44" t="str">
        <f>ORÇAMENTO!B430</f>
        <v xml:space="preserve"> 101463 </v>
      </c>
      <c r="E147" s="44" t="str">
        <f>ORÇAMENTO!C430</f>
        <v>SINAPI</v>
      </c>
      <c r="F147" s="480" t="str">
        <f>ORÇAMENTO!D430</f>
        <v>CARGA, MANOBRA E DESCARGA DE TUBOS DE CONCRETO, DN 600 MM, EM CAMINHÃO CARROCERIA COM GUINDAUTO (MUNCK) 11,7 TM. AF_07/2020</v>
      </c>
      <c r="G147" s="44" t="str">
        <f>ORÇAMENTO!E430</f>
        <v>T</v>
      </c>
      <c r="H147" s="44">
        <f>ORÇAMENTO!F430</f>
        <v>228.79560000000001</v>
      </c>
      <c r="I147" s="44">
        <f>ORÇAMENTO!G430</f>
        <v>44.31</v>
      </c>
      <c r="J147" s="44">
        <f>ORÇAMENTO!H430</f>
        <v>0.2122</v>
      </c>
      <c r="K147" s="44">
        <f>ORÇAMENTO!I430</f>
        <v>53.71</v>
      </c>
      <c r="L147" s="44">
        <f>ORÇAMENTO!J430</f>
        <v>12288.61</v>
      </c>
      <c r="M147" s="23">
        <f>ORÇAMENTO!K430</f>
        <v>4.3443919506054574E-4</v>
      </c>
      <c r="N147" s="23" t="str">
        <f t="shared" si="9"/>
        <v>OK!</v>
      </c>
      <c r="O147" s="23" t="str">
        <f t="shared" si="10"/>
        <v>OK!</v>
      </c>
      <c r="P147" s="23" t="str">
        <f t="shared" si="11"/>
        <v>OK!</v>
      </c>
    </row>
    <row r="148" spans="2:16" ht="29" x14ac:dyDescent="0.35">
      <c r="B148" s="43">
        <f t="shared" si="8"/>
        <v>22</v>
      </c>
      <c r="C148" s="44" t="str">
        <f>ORÇAMENTO!A640</f>
        <v>6.1.2.5.2</v>
      </c>
      <c r="D148" s="44" t="str">
        <f>ORÇAMENTO!B640</f>
        <v xml:space="preserve"> 101463 </v>
      </c>
      <c r="E148" s="44" t="str">
        <f>ORÇAMENTO!C640</f>
        <v>SINAPI</v>
      </c>
      <c r="F148" s="480" t="str">
        <f>ORÇAMENTO!D640</f>
        <v>CARGA, MANOBRA E DESCARGA DE TUBOS DE CONCRETO, DN 600 MM, EM CAMINHÃO CARROCERIA COM GUINDAUTO (MUNCK) 11,7 TM. AF_07/2020</v>
      </c>
      <c r="G148" s="44" t="str">
        <f>ORÇAMENTO!E640</f>
        <v>T</v>
      </c>
      <c r="H148" s="44">
        <f>ORÇAMENTO!F640</f>
        <v>221.75999999970099</v>
      </c>
      <c r="I148" s="44">
        <f>ORÇAMENTO!G640</f>
        <v>44.31</v>
      </c>
      <c r="J148" s="44">
        <f>ORÇAMENTO!H640</f>
        <v>0.2122</v>
      </c>
      <c r="K148" s="44">
        <f>ORÇAMENTO!I640</f>
        <v>53.71</v>
      </c>
      <c r="L148" s="44">
        <f>ORÇAMENTO!J640</f>
        <v>11910.72</v>
      </c>
      <c r="M148" s="23">
        <f>ORÇAMENTO!K640</f>
        <v>4.2107965094437391E-4</v>
      </c>
      <c r="N148" s="23" t="str">
        <f t="shared" si="9"/>
        <v>OK!</v>
      </c>
      <c r="O148" s="23" t="str">
        <f t="shared" si="10"/>
        <v>OK!</v>
      </c>
      <c r="P148" s="23" t="str">
        <f t="shared" si="11"/>
        <v>OK!</v>
      </c>
    </row>
    <row r="149" spans="2:16" ht="29" x14ac:dyDescent="0.35">
      <c r="B149" s="43">
        <f t="shared" si="8"/>
        <v>22</v>
      </c>
      <c r="C149" s="44" t="str">
        <f>ORÇAMENTO!A839</f>
        <v>7.1.2.5.2</v>
      </c>
      <c r="D149" s="44" t="str">
        <f>ORÇAMENTO!B839</f>
        <v xml:space="preserve"> 101463 </v>
      </c>
      <c r="E149" s="44" t="str">
        <f>ORÇAMENTO!C839</f>
        <v>SINAPI</v>
      </c>
      <c r="F149" s="480" t="str">
        <f>ORÇAMENTO!D839</f>
        <v>CARGA, MANOBRA E DESCARGA DE TUBOS DE CONCRETO, DN 600 MM, EM CAMINHÃO CARROCERIA COM GUINDAUTO (MUNCK) 11,7 TM. AF_07/2020</v>
      </c>
      <c r="G149" s="44" t="str">
        <f>ORÇAMENTO!E839</f>
        <v>T</v>
      </c>
      <c r="H149" s="44">
        <f>ORÇAMENTO!F839</f>
        <v>61.124800000000008</v>
      </c>
      <c r="I149" s="44">
        <f>ORÇAMENTO!G839</f>
        <v>44.31</v>
      </c>
      <c r="J149" s="44">
        <f>ORÇAMENTO!H839</f>
        <v>0.2122</v>
      </c>
      <c r="K149" s="44">
        <f>ORÇAMENTO!I839</f>
        <v>53.71</v>
      </c>
      <c r="L149" s="44">
        <f>ORÇAMENTO!J839</f>
        <v>3283.01</v>
      </c>
      <c r="M149" s="23">
        <f>ORÇAMENTO!K839</f>
        <v>1.1606424337461456E-4</v>
      </c>
      <c r="N149" s="23" t="str">
        <f t="shared" si="9"/>
        <v>OK!</v>
      </c>
      <c r="O149" s="23" t="str">
        <f t="shared" si="10"/>
        <v>OK!</v>
      </c>
      <c r="P149" s="23" t="str">
        <f t="shared" si="11"/>
        <v>OK!</v>
      </c>
    </row>
    <row r="150" spans="2:16" ht="29" x14ac:dyDescent="0.35">
      <c r="B150" s="43">
        <f t="shared" si="8"/>
        <v>23</v>
      </c>
      <c r="C150" s="44" t="str">
        <f>ORÇAMENTO!A193</f>
        <v>4.1.2.5.4</v>
      </c>
      <c r="D150" s="44" t="str">
        <f>ORÇAMENTO!B193</f>
        <v xml:space="preserve"> 101465 </v>
      </c>
      <c r="E150" s="44" t="str">
        <f>ORÇAMENTO!C193</f>
        <v>SINAPI</v>
      </c>
      <c r="F150" s="480" t="str">
        <f>ORÇAMENTO!D193</f>
        <v>CARGA, MANOBRA E DESCARGA DE TUBOS DE CONCRETO, DN 800 MM, EM CAMINHÃO CARROCERIA COM GUINDAUTO (MUNCK) 11,7 TM. AF_07/2020</v>
      </c>
      <c r="G150" s="44" t="str">
        <f>ORÇAMENTO!E193</f>
        <v>T</v>
      </c>
      <c r="H150" s="44">
        <f>ORÇAMENTO!F193</f>
        <v>51.099999999574656</v>
      </c>
      <c r="I150" s="44">
        <f>ORÇAMENTO!G193</f>
        <v>26.01</v>
      </c>
      <c r="J150" s="44">
        <f>ORÇAMENTO!H193</f>
        <v>0.2122</v>
      </c>
      <c r="K150" s="44">
        <f>ORÇAMENTO!I193</f>
        <v>31.53</v>
      </c>
      <c r="L150" s="44">
        <f>ORÇAMENTO!J193</f>
        <v>1611.18</v>
      </c>
      <c r="M150" s="23">
        <f>ORÇAMENTO!K193</f>
        <v>5.696004204687512E-5</v>
      </c>
      <c r="N150" s="23" t="str">
        <f t="shared" si="9"/>
        <v>DIFERENTE</v>
      </c>
      <c r="O150" s="23" t="str">
        <f t="shared" si="10"/>
        <v>DIFERENTE</v>
      </c>
      <c r="P150" s="23" t="str">
        <f t="shared" si="11"/>
        <v>DIFERENTE</v>
      </c>
    </row>
    <row r="151" spans="2:16" ht="29" x14ac:dyDescent="0.35">
      <c r="B151" s="43">
        <f t="shared" si="8"/>
        <v>23</v>
      </c>
      <c r="C151" s="44" t="str">
        <f>ORÇAMENTO!A433</f>
        <v>5.1.2.5.5</v>
      </c>
      <c r="D151" s="44" t="str">
        <f>ORÇAMENTO!B433</f>
        <v xml:space="preserve"> 101465 </v>
      </c>
      <c r="E151" s="44" t="str">
        <f>ORÇAMENTO!C433</f>
        <v>SINAPI</v>
      </c>
      <c r="F151" s="480" t="str">
        <f>ORÇAMENTO!D433</f>
        <v>CARGA, MANOBRA E DESCARGA DE TUBOS DE CONCRETO, DN 800 MM, EM CAMINHÃO CARROCERIA COM GUINDAUTO (MUNCK) 11,7 TM. AF_07/2020</v>
      </c>
      <c r="G151" s="44" t="str">
        <f>ORÇAMENTO!E433</f>
        <v>T</v>
      </c>
      <c r="H151" s="44">
        <f>ORÇAMENTO!F433</f>
        <v>112.62299999999998</v>
      </c>
      <c r="I151" s="44">
        <f>ORÇAMENTO!G433</f>
        <v>26.01</v>
      </c>
      <c r="J151" s="44">
        <f>ORÇAMENTO!H433</f>
        <v>0.2122</v>
      </c>
      <c r="K151" s="44">
        <f>ORÇAMENTO!I433</f>
        <v>31.53</v>
      </c>
      <c r="L151" s="44">
        <f>ORÇAMENTO!J433</f>
        <v>3551</v>
      </c>
      <c r="M151" s="23">
        <f>ORÇAMENTO!K433</f>
        <v>1.2553849309726632E-4</v>
      </c>
      <c r="N151" s="23" t="str">
        <f t="shared" si="9"/>
        <v>OK!</v>
      </c>
      <c r="O151" s="23" t="str">
        <f t="shared" si="10"/>
        <v>OK!</v>
      </c>
      <c r="P151" s="23" t="str">
        <f t="shared" si="11"/>
        <v>OK!</v>
      </c>
    </row>
    <row r="152" spans="2:16" ht="29" x14ac:dyDescent="0.35">
      <c r="B152" s="43">
        <f t="shared" si="8"/>
        <v>23</v>
      </c>
      <c r="C152" s="44" t="str">
        <f>ORÇAMENTO!A842</f>
        <v>7.1.2.5.5</v>
      </c>
      <c r="D152" s="44" t="str">
        <f>ORÇAMENTO!B842</f>
        <v xml:space="preserve"> 101465 </v>
      </c>
      <c r="E152" s="44" t="str">
        <f>ORÇAMENTO!C842</f>
        <v>SINAPI</v>
      </c>
      <c r="F152" s="480" t="str">
        <f>ORÇAMENTO!D842</f>
        <v>CARGA, MANOBRA E DESCARGA DE TUBOS DE CONCRETO, DN 800 MM, EM CAMINHÃO CARROCERIA COM GUINDAUTO (MUNCK) 11,7 TM. AF_07/2020</v>
      </c>
      <c r="G152" s="44" t="str">
        <f>ORÇAMENTO!E842</f>
        <v>T</v>
      </c>
      <c r="H152" s="44">
        <f>ORÇAMENTO!F842</f>
        <v>98.195999999999998</v>
      </c>
      <c r="I152" s="44">
        <f>ORÇAMENTO!G842</f>
        <v>26.01</v>
      </c>
      <c r="J152" s="44">
        <f>ORÇAMENTO!H842</f>
        <v>0.2122</v>
      </c>
      <c r="K152" s="44">
        <f>ORÇAMENTO!I842</f>
        <v>31.53</v>
      </c>
      <c r="L152" s="44">
        <f>ORÇAMENTO!J842</f>
        <v>3096.11</v>
      </c>
      <c r="M152" s="23">
        <f>ORÇAMENTO!K842</f>
        <v>1.0945676819582575E-4</v>
      </c>
      <c r="N152" s="23" t="str">
        <f t="shared" si="9"/>
        <v>OK!</v>
      </c>
      <c r="O152" s="23" t="str">
        <f t="shared" si="10"/>
        <v>OK!</v>
      </c>
      <c r="P152" s="23" t="str">
        <f t="shared" si="11"/>
        <v>OK!</v>
      </c>
    </row>
    <row r="153" spans="2:16" ht="29" x14ac:dyDescent="0.35">
      <c r="B153" s="43">
        <f t="shared" si="8"/>
        <v>24</v>
      </c>
      <c r="C153" s="44" t="str">
        <f>ORÇAMENTO!A261</f>
        <v>4.1.2.7.9</v>
      </c>
      <c r="D153" s="44" t="str">
        <f>ORÇAMENTO!B261</f>
        <v xml:space="preserve"> 99318 </v>
      </c>
      <c r="E153" s="44" t="str">
        <f>ORÇAMENTO!C261</f>
        <v>SINAPI</v>
      </c>
      <c r="F153" s="480" t="str">
        <f>ORÇAMENTO!D261</f>
        <v>CHAMINÉ CIRCULAR PARA POÇO DE VISITA PARA DRENAGEM, EM CONCRETO PRÉ-MOLDADO, DIÂMETRO INTERNO = 0,6 M. AF_12/2020</v>
      </c>
      <c r="G153" s="44" t="str">
        <f>ORÇAMENTO!E261</f>
        <v>M</v>
      </c>
      <c r="H153" s="44">
        <f>ORÇAMENTO!F261</f>
        <v>30.38</v>
      </c>
      <c r="I153" s="44">
        <f>ORÇAMENTO!G261</f>
        <v>300.54000000000002</v>
      </c>
      <c r="J153" s="44">
        <f>ORÇAMENTO!H261</f>
        <v>0.2122</v>
      </c>
      <c r="K153" s="44">
        <f>ORÇAMENTO!I261</f>
        <v>364.31</v>
      </c>
      <c r="L153" s="44">
        <f>ORÇAMENTO!J261</f>
        <v>11067.73</v>
      </c>
      <c r="M153" s="23">
        <f>ORÇAMENTO!K261</f>
        <v>3.9127742782523437E-4</v>
      </c>
      <c r="N153" s="23" t="str">
        <f t="shared" si="9"/>
        <v>DIFERENTE</v>
      </c>
      <c r="O153" s="23" t="str">
        <f t="shared" si="10"/>
        <v>DIFERENTE</v>
      </c>
      <c r="P153" s="23" t="str">
        <f t="shared" si="11"/>
        <v>DIFERENTE</v>
      </c>
    </row>
    <row r="154" spans="2:16" ht="29" x14ac:dyDescent="0.35">
      <c r="B154" s="43">
        <f t="shared" si="8"/>
        <v>24</v>
      </c>
      <c r="C154" s="44" t="str">
        <f>ORÇAMENTO!A309</f>
        <v>4.4.5</v>
      </c>
      <c r="D154" s="44" t="str">
        <f>ORÇAMENTO!B309</f>
        <v xml:space="preserve"> 99318 </v>
      </c>
      <c r="E154" s="44" t="str">
        <f>ORÇAMENTO!C309</f>
        <v>SINAPI</v>
      </c>
      <c r="F154" s="480" t="str">
        <f>ORÇAMENTO!D309</f>
        <v>CHAMINÉ CIRCULAR PARA POÇO DE VISITA PARA DRENAGEM, EM CONCRETO PRÉ-MOLDADO, DIÂMETRO INTERNO = 0,6 M. AF_12/2020</v>
      </c>
      <c r="G154" s="44" t="str">
        <f>ORÇAMENTO!E309</f>
        <v>M</v>
      </c>
      <c r="H154" s="44">
        <f>ORÇAMENTO!F309</f>
        <v>11.916</v>
      </c>
      <c r="I154" s="44">
        <f>ORÇAMENTO!G309</f>
        <v>300.54000000000002</v>
      </c>
      <c r="J154" s="44">
        <f>ORÇAMENTO!H309</f>
        <v>0.2122</v>
      </c>
      <c r="K154" s="44">
        <f>ORÇAMENTO!I309</f>
        <v>364.31</v>
      </c>
      <c r="L154" s="44">
        <f>ORÇAMENTO!J309</f>
        <v>4341.1099999999997</v>
      </c>
      <c r="M154" s="23">
        <f>ORÇAMENTO!K309</f>
        <v>1.5347124972387319E-4</v>
      </c>
      <c r="N154" s="23" t="str">
        <f t="shared" si="9"/>
        <v>OK!</v>
      </c>
      <c r="O154" s="23" t="str">
        <f t="shared" si="10"/>
        <v>OK!</v>
      </c>
      <c r="P154" s="23" t="str">
        <f t="shared" si="11"/>
        <v>OK!</v>
      </c>
    </row>
    <row r="155" spans="2:16" ht="29" x14ac:dyDescent="0.35">
      <c r="B155" s="43">
        <f t="shared" si="8"/>
        <v>24</v>
      </c>
      <c r="C155" s="44" t="str">
        <f>ORÇAMENTO!A504</f>
        <v>5.1.2.7.9</v>
      </c>
      <c r="D155" s="44" t="str">
        <f>ORÇAMENTO!B504</f>
        <v xml:space="preserve"> 99318 </v>
      </c>
      <c r="E155" s="44" t="str">
        <f>ORÇAMENTO!C504</f>
        <v>SINAPI</v>
      </c>
      <c r="F155" s="480" t="str">
        <f>ORÇAMENTO!D504</f>
        <v>CHAMINÉ CIRCULAR PARA POÇO DE VISITA PARA DRENAGEM, EM CONCRETO PRÉ-MOLDADO, DIÂMETRO INTERNO = 0,6 M. AF_12/2020</v>
      </c>
      <c r="G155" s="44" t="str">
        <f>ORÇAMENTO!E504</f>
        <v>M</v>
      </c>
      <c r="H155" s="44">
        <f>ORÇAMENTO!F504</f>
        <v>49.99</v>
      </c>
      <c r="I155" s="44">
        <f>ORÇAMENTO!G504</f>
        <v>300.54000000000002</v>
      </c>
      <c r="J155" s="44">
        <f>ORÇAMENTO!H504</f>
        <v>0.2122</v>
      </c>
      <c r="K155" s="44">
        <f>ORÇAMENTO!I504</f>
        <v>364.31</v>
      </c>
      <c r="L155" s="44">
        <f>ORÇAMENTO!J504</f>
        <v>18211.849999999999</v>
      </c>
      <c r="M155" s="23">
        <f>ORÇAMENTO!K504</f>
        <v>6.4384348226230622E-4</v>
      </c>
      <c r="N155" s="23" t="str">
        <f t="shared" si="9"/>
        <v>OK!</v>
      </c>
      <c r="O155" s="23" t="str">
        <f t="shared" si="10"/>
        <v>OK!</v>
      </c>
      <c r="P155" s="23" t="str">
        <f t="shared" si="11"/>
        <v>OK!</v>
      </c>
    </row>
    <row r="156" spans="2:16" ht="29" x14ac:dyDescent="0.35">
      <c r="B156" s="43">
        <f t="shared" si="8"/>
        <v>24</v>
      </c>
      <c r="C156" s="44" t="str">
        <f>ORÇAMENTO!A522</f>
        <v>5.4.5</v>
      </c>
      <c r="D156" s="44" t="str">
        <f>ORÇAMENTO!B522</f>
        <v xml:space="preserve"> 99318 </v>
      </c>
      <c r="E156" s="44" t="str">
        <f>ORÇAMENTO!C522</f>
        <v>SINAPI</v>
      </c>
      <c r="F156" s="480" t="str">
        <f>ORÇAMENTO!D522</f>
        <v>CHAMINÉ CIRCULAR PARA POÇO DE VISITA PARA DRENAGEM, EM CONCRETO PRÉ-MOLDADO, DIÂMETRO INTERNO = 0,6 M. AF_12/2020</v>
      </c>
      <c r="G156" s="44" t="str">
        <f>ORÇAMENTO!E522</f>
        <v>M</v>
      </c>
      <c r="H156" s="44">
        <f>ORÇAMENTO!F522</f>
        <v>5.3499999999999988</v>
      </c>
      <c r="I156" s="44">
        <f>ORÇAMENTO!G522</f>
        <v>300.54000000000002</v>
      </c>
      <c r="J156" s="44">
        <f>ORÇAMENTO!H522</f>
        <v>0.2122</v>
      </c>
      <c r="K156" s="44">
        <f>ORÇAMENTO!I522</f>
        <v>364.31</v>
      </c>
      <c r="L156" s="44">
        <f>ORÇAMENTO!J522</f>
        <v>1949.05</v>
      </c>
      <c r="M156" s="23">
        <f>ORÇAMENTO!K522</f>
        <v>6.8904759214651341E-5</v>
      </c>
      <c r="N156" s="23" t="str">
        <f t="shared" si="9"/>
        <v>OK!</v>
      </c>
      <c r="O156" s="23" t="str">
        <f t="shared" si="10"/>
        <v>OK!</v>
      </c>
      <c r="P156" s="23" t="str">
        <f t="shared" si="11"/>
        <v>OK!</v>
      </c>
    </row>
    <row r="157" spans="2:16" ht="29" x14ac:dyDescent="0.35">
      <c r="B157" s="43">
        <f t="shared" si="8"/>
        <v>24</v>
      </c>
      <c r="C157" s="44" t="str">
        <f>ORÇAMENTO!A699</f>
        <v>6.1.2.7.9</v>
      </c>
      <c r="D157" s="44" t="str">
        <f>ORÇAMENTO!B699</f>
        <v xml:space="preserve"> 99318 </v>
      </c>
      <c r="E157" s="44" t="str">
        <f>ORÇAMENTO!C699</f>
        <v>SINAPI</v>
      </c>
      <c r="F157" s="480" t="str">
        <f>ORÇAMENTO!D699</f>
        <v>CHAMINÉ CIRCULAR PARA POÇO DE VISITA PARA DRENAGEM, EM CONCRETO PRÉ-MOLDADO, DIÂMETRO INTERNO = 0,6 M. AF_12/2020</v>
      </c>
      <c r="G157" s="44" t="str">
        <f>ORÇAMENTO!E699</f>
        <v>M</v>
      </c>
      <c r="H157" s="44">
        <f>ORÇAMENTO!F699</f>
        <v>5.65</v>
      </c>
      <c r="I157" s="44">
        <f>ORÇAMENTO!G699</f>
        <v>300.54000000000002</v>
      </c>
      <c r="J157" s="44">
        <f>ORÇAMENTO!H699</f>
        <v>0.2122</v>
      </c>
      <c r="K157" s="44">
        <f>ORÇAMENTO!I699</f>
        <v>364.31</v>
      </c>
      <c r="L157" s="44">
        <f>ORÇAMENTO!J699</f>
        <v>2058.35</v>
      </c>
      <c r="M157" s="23">
        <f>ORÇAMENTO!K699</f>
        <v>7.2768841809844588E-5</v>
      </c>
      <c r="N157" s="23" t="str">
        <f t="shared" si="9"/>
        <v>OK!</v>
      </c>
      <c r="O157" s="23" t="str">
        <f t="shared" si="10"/>
        <v>OK!</v>
      </c>
      <c r="P157" s="23" t="str">
        <f t="shared" si="11"/>
        <v>OK!</v>
      </c>
    </row>
    <row r="158" spans="2:16" ht="29" x14ac:dyDescent="0.35">
      <c r="B158" s="43">
        <f t="shared" si="8"/>
        <v>24</v>
      </c>
      <c r="C158" s="44" t="str">
        <f>ORÇAMENTO!A714</f>
        <v>6.4.4</v>
      </c>
      <c r="D158" s="44" t="str">
        <f>ORÇAMENTO!B714</f>
        <v xml:space="preserve"> 99318 </v>
      </c>
      <c r="E158" s="44" t="str">
        <f>ORÇAMENTO!C714</f>
        <v>SINAPI</v>
      </c>
      <c r="F158" s="480" t="str">
        <f>ORÇAMENTO!D714</f>
        <v>CHAMINÉ CIRCULAR PARA POÇO DE VISITA PARA DRENAGEM, EM CONCRETO PRÉ-MOLDADO, DIÂMETRO INTERNO = 0,6 M. AF_12/2020</v>
      </c>
      <c r="G158" s="44" t="str">
        <f>ORÇAMENTO!E714</f>
        <v>M</v>
      </c>
      <c r="H158" s="44">
        <f>ORÇAMENTO!F714</f>
        <v>1.55</v>
      </c>
      <c r="I158" s="44">
        <f>ORÇAMENTO!G714</f>
        <v>300.54000000000002</v>
      </c>
      <c r="J158" s="44">
        <f>ORÇAMENTO!H714</f>
        <v>0.2122</v>
      </c>
      <c r="K158" s="44">
        <f>ORÇAMENTO!I714</f>
        <v>364.31</v>
      </c>
      <c r="L158" s="44">
        <f>ORÇAMENTO!J714</f>
        <v>564.67999999999995</v>
      </c>
      <c r="M158" s="23">
        <f>ORÇAMENTO!K714</f>
        <v>1.9963130465267345E-5</v>
      </c>
      <c r="N158" s="23" t="str">
        <f t="shared" si="9"/>
        <v>OK!</v>
      </c>
      <c r="O158" s="23" t="str">
        <f t="shared" si="10"/>
        <v>OK!</v>
      </c>
      <c r="P158" s="23" t="str">
        <f t="shared" si="11"/>
        <v>OK!</v>
      </c>
    </row>
    <row r="159" spans="2:16" ht="29" x14ac:dyDescent="0.35">
      <c r="B159" s="43">
        <f t="shared" si="8"/>
        <v>24</v>
      </c>
      <c r="C159" s="44" t="str">
        <f>ORÇAMENTO!A912</f>
        <v>7.1.2.7.9</v>
      </c>
      <c r="D159" s="44" t="str">
        <f>ORÇAMENTO!B912</f>
        <v xml:space="preserve"> 99318 </v>
      </c>
      <c r="E159" s="44" t="str">
        <f>ORÇAMENTO!C912</f>
        <v>SINAPI</v>
      </c>
      <c r="F159" s="480" t="str">
        <f>ORÇAMENTO!D912</f>
        <v>CHAMINÉ CIRCULAR PARA POÇO DE VISITA PARA DRENAGEM, EM CONCRETO PRÉ-MOLDADO, DIÂMETRO INTERNO = 0,6 M. AF_12/2020</v>
      </c>
      <c r="G159" s="44" t="str">
        <f>ORÇAMENTO!E912</f>
        <v>M</v>
      </c>
      <c r="H159" s="44">
        <f>ORÇAMENTO!F912</f>
        <v>60.65</v>
      </c>
      <c r="I159" s="44">
        <f>ORÇAMENTO!G912</f>
        <v>300.54000000000002</v>
      </c>
      <c r="J159" s="44">
        <f>ORÇAMENTO!H912</f>
        <v>0.2122</v>
      </c>
      <c r="K159" s="44">
        <f>ORÇAMENTO!I912</f>
        <v>364.31</v>
      </c>
      <c r="L159" s="44">
        <f>ORÇAMENTO!J912</f>
        <v>22095.4</v>
      </c>
      <c r="M159" s="23">
        <f>ORÇAMENTO!K912</f>
        <v>7.8113861458218485E-4</v>
      </c>
      <c r="N159" s="23" t="str">
        <f t="shared" si="9"/>
        <v>OK!</v>
      </c>
      <c r="O159" s="23" t="str">
        <f t="shared" si="10"/>
        <v>OK!</v>
      </c>
      <c r="P159" s="23" t="str">
        <f t="shared" si="11"/>
        <v>OK!</v>
      </c>
    </row>
    <row r="160" spans="2:16" ht="29" x14ac:dyDescent="0.35">
      <c r="B160" s="43">
        <f t="shared" si="8"/>
        <v>24</v>
      </c>
      <c r="C160" s="44" t="str">
        <f>ORÇAMENTO!A936</f>
        <v>7.4.4</v>
      </c>
      <c r="D160" s="44" t="str">
        <f>ORÇAMENTO!B936</f>
        <v xml:space="preserve"> 99318 </v>
      </c>
      <c r="E160" s="44" t="str">
        <f>ORÇAMENTO!C936</f>
        <v>SINAPI</v>
      </c>
      <c r="F160" s="636" t="str">
        <f>ORÇAMENTO!D936</f>
        <v>CHAMINÉ CIRCULAR PARA POÇO DE VISITA PARA DRENAGEM, EM CONCRETO PRÉ-MOLDADO, DIÂMETRO INTERNO = 0,6 M. AF_12/2020</v>
      </c>
      <c r="G160" s="44" t="str">
        <f>ORÇAMENTO!E936</f>
        <v>M</v>
      </c>
      <c r="H160" s="44">
        <f>ORÇAMENTO!F936</f>
        <v>2.7300000000000404</v>
      </c>
      <c r="I160" s="44">
        <f>ORÇAMENTO!G936</f>
        <v>300.54000000000002</v>
      </c>
      <c r="J160" s="44">
        <f>ORÇAMENTO!H936</f>
        <v>0.2122</v>
      </c>
      <c r="K160" s="44">
        <f>ORÇAMENTO!I936</f>
        <v>364.31</v>
      </c>
      <c r="L160" s="638">
        <f>ORÇAMENTO!J936</f>
        <v>994.56</v>
      </c>
      <c r="M160" s="23">
        <f>ORÇAMENTO!K936</f>
        <v>3.5160676906453729E-5</v>
      </c>
      <c r="N160" s="23" t="str">
        <f t="shared" si="9"/>
        <v>OK!</v>
      </c>
      <c r="O160" s="23" t="str">
        <f t="shared" si="10"/>
        <v>OK!</v>
      </c>
      <c r="P160" s="23" t="str">
        <f t="shared" si="11"/>
        <v>OK!</v>
      </c>
    </row>
    <row r="161" spans="2:16" x14ac:dyDescent="0.35">
      <c r="B161" s="43">
        <f t="shared" si="8"/>
        <v>25</v>
      </c>
      <c r="C161" s="44" t="str">
        <f>ORÇAMENTO!A1028</f>
        <v xml:space="preserve"> 8.6.11</v>
      </c>
      <c r="D161" s="44" t="str">
        <f>ORÇAMENTO!B1028</f>
        <v xml:space="preserve"> 030082 </v>
      </c>
      <c r="E161" s="44" t="str">
        <f>ORÇAMENTO!C1028</f>
        <v>SBC</v>
      </c>
      <c r="F161" s="636" t="str">
        <f>ORÇAMENTO!D1028</f>
        <v>CHUMBADOR QUIMICO PARA ENGASTE EM CONCRETO</v>
      </c>
      <c r="G161" s="44" t="str">
        <f>ORÇAMENTO!E1028</f>
        <v>UN</v>
      </c>
      <c r="H161" s="44">
        <f>ORÇAMENTO!F1028</f>
        <v>80</v>
      </c>
      <c r="I161" s="44">
        <f>ORÇAMENTO!G1028</f>
        <v>107.2</v>
      </c>
      <c r="J161" s="44">
        <f>ORÇAMENTO!H1028</f>
        <v>0.2122</v>
      </c>
      <c r="K161" s="44">
        <f>ORÇAMENTO!I1028</f>
        <v>129.94999999999999</v>
      </c>
      <c r="L161" s="638">
        <f>ORÇAMENTO!J1028</f>
        <v>10396</v>
      </c>
      <c r="M161" s="23">
        <f>ORÇAMENTO!K1028</f>
        <v>3.6752975900849918E-4</v>
      </c>
      <c r="N161" s="23" t="str">
        <f t="shared" si="9"/>
        <v>DIFERENTE</v>
      </c>
      <c r="O161" s="23" t="str">
        <f t="shared" si="10"/>
        <v>DIFERENTE</v>
      </c>
      <c r="P161" s="23" t="str">
        <f t="shared" si="11"/>
        <v>DIFERENTE</v>
      </c>
    </row>
    <row r="162" spans="2:16" ht="29" x14ac:dyDescent="0.35">
      <c r="B162" s="43">
        <f t="shared" si="8"/>
        <v>26</v>
      </c>
      <c r="C162" s="44" t="str">
        <f>ORÇAMENTO!A179</f>
        <v>4.1.2.4.12</v>
      </c>
      <c r="D162" s="44" t="str">
        <f>ORÇAMENTO!B179</f>
        <v xml:space="preserve"> ANP-CAP 50/70 </v>
      </c>
      <c r="E162" s="44" t="str">
        <f>ORÇAMENTO!C179</f>
        <v>PRÓPRIO</v>
      </c>
      <c r="F162" s="480" t="str">
        <f>ORÇAMENTO!D179</f>
        <v>CIMENTO ASFÁLTICO DE PETRÓLEO - CAP 50/70 FORNECIMENTO E TRANSPORTE</v>
      </c>
      <c r="G162" s="44" t="str">
        <f>ORÇAMENTO!E179</f>
        <v>T</v>
      </c>
      <c r="H162" s="44">
        <f>ORÇAMENTO!F179</f>
        <v>8.1191910332734931</v>
      </c>
      <c r="I162" s="44">
        <f>ORÇAMENTO!G179</f>
        <v>5274.22</v>
      </c>
      <c r="J162" s="44">
        <f>ORÇAMENTO!H179</f>
        <v>0.111</v>
      </c>
      <c r="K162" s="44">
        <f>ORÇAMENTO!I179</f>
        <v>5859.66</v>
      </c>
      <c r="L162" s="44">
        <f>ORÇAMENTO!J179</f>
        <v>47575.69</v>
      </c>
      <c r="M162" s="23">
        <f>ORÇAMENTO!K179</f>
        <v>1.6819432358948698E-3</v>
      </c>
      <c r="N162" s="23" t="str">
        <f t="shared" si="9"/>
        <v>DIFERENTE</v>
      </c>
      <c r="O162" s="23" t="str">
        <f t="shared" si="10"/>
        <v>DIFERENTE</v>
      </c>
      <c r="P162" s="23" t="str">
        <f t="shared" si="11"/>
        <v>DIFERENTE</v>
      </c>
    </row>
    <row r="163" spans="2:16" ht="29" x14ac:dyDescent="0.35">
      <c r="B163" s="43">
        <f t="shared" si="8"/>
        <v>26</v>
      </c>
      <c r="C163" s="44" t="str">
        <f>ORÇAMENTO!A232</f>
        <v>4.1.2.6.30</v>
      </c>
      <c r="D163" s="44" t="str">
        <f>ORÇAMENTO!B232</f>
        <v xml:space="preserve"> ANP-CAP 50/70 </v>
      </c>
      <c r="E163" s="44" t="str">
        <f>ORÇAMENTO!C232</f>
        <v>PRÓPRIO</v>
      </c>
      <c r="F163" s="480" t="str">
        <f>ORÇAMENTO!D232</f>
        <v>CIMENTO ASFÁLTICO DE PETRÓLEO - CAP 50/70 FORNECIMENTO E TRANSPORTE</v>
      </c>
      <c r="G163" s="44" t="str">
        <f>ORÇAMENTO!E232</f>
        <v>T</v>
      </c>
      <c r="H163" s="44">
        <f>ORÇAMENTO!F232</f>
        <v>1.03</v>
      </c>
      <c r="I163" s="44">
        <f>ORÇAMENTO!G232</f>
        <v>5274.22</v>
      </c>
      <c r="J163" s="44">
        <f>ORÇAMENTO!H232</f>
        <v>0.111</v>
      </c>
      <c r="K163" s="44">
        <f>ORÇAMENTO!I232</f>
        <v>5859.66</v>
      </c>
      <c r="L163" s="44">
        <f>ORÇAMENTO!J232</f>
        <v>6035.44</v>
      </c>
      <c r="M163" s="23">
        <f>ORÇAMENTO!K232</f>
        <v>2.1337089348886652E-4</v>
      </c>
      <c r="N163" s="23" t="str">
        <f t="shared" si="9"/>
        <v>OK!</v>
      </c>
      <c r="O163" s="23" t="str">
        <f t="shared" si="10"/>
        <v>OK!</v>
      </c>
      <c r="P163" s="23" t="str">
        <f t="shared" si="11"/>
        <v>OK!</v>
      </c>
    </row>
    <row r="164" spans="2:16" ht="29" x14ac:dyDescent="0.35">
      <c r="B164" s="43">
        <f t="shared" si="8"/>
        <v>26</v>
      </c>
      <c r="C164" s="44" t="str">
        <f>ORÇAMENTO!A289</f>
        <v>4.2.4.10</v>
      </c>
      <c r="D164" s="44" t="str">
        <f>ORÇAMENTO!B289</f>
        <v xml:space="preserve"> ANP-CAP 50/70 </v>
      </c>
      <c r="E164" s="44" t="str">
        <f>ORÇAMENTO!C289</f>
        <v>PRÓPRIO</v>
      </c>
      <c r="F164" s="480" t="str">
        <f>ORÇAMENTO!D289</f>
        <v>CIMENTO ASFÁLTICO DE PETRÓLEO - CAP 50/70 FORNECIMENTO E TRANSPORTE</v>
      </c>
      <c r="G164" s="44" t="str">
        <f>ORÇAMENTO!E289</f>
        <v>T</v>
      </c>
      <c r="H164" s="44">
        <f>ORÇAMENTO!F289</f>
        <v>17.493970559999998</v>
      </c>
      <c r="I164" s="44">
        <f>ORÇAMENTO!G289</f>
        <v>5274.22</v>
      </c>
      <c r="J164" s="44">
        <f>ORÇAMENTO!H289</f>
        <v>0.111</v>
      </c>
      <c r="K164" s="44">
        <f>ORÇAMENTO!I289</f>
        <v>5859.66</v>
      </c>
      <c r="L164" s="44">
        <f>ORÇAMENTO!J289</f>
        <v>102508.71</v>
      </c>
      <c r="M164" s="23">
        <f>ORÇAMENTO!K289</f>
        <v>3.6239901387622292E-3</v>
      </c>
      <c r="N164" s="23" t="str">
        <f t="shared" si="9"/>
        <v>OK!</v>
      </c>
      <c r="O164" s="23" t="str">
        <f t="shared" si="10"/>
        <v>OK!</v>
      </c>
      <c r="P164" s="23" t="str">
        <f t="shared" si="11"/>
        <v>OK!</v>
      </c>
    </row>
    <row r="165" spans="2:16" ht="29" x14ac:dyDescent="0.35">
      <c r="B165" s="43">
        <f t="shared" si="8"/>
        <v>26</v>
      </c>
      <c r="C165" s="44" t="str">
        <f>ORÇAMENTO!A323</f>
        <v>4.4.19</v>
      </c>
      <c r="D165" s="44" t="str">
        <f>ORÇAMENTO!B323</f>
        <v xml:space="preserve"> ANP-CAP 50/70 </v>
      </c>
      <c r="E165" s="44" t="str">
        <f>ORÇAMENTO!C323</f>
        <v>PRÓPRIO</v>
      </c>
      <c r="F165" s="480" t="str">
        <f>ORÇAMENTO!D323</f>
        <v>CIMENTO ASFÁLTICO DE PETRÓLEO - CAP 50/70 FORNECIMENTO E TRANSPORTE</v>
      </c>
      <c r="G165" s="44" t="str">
        <f>ORÇAMENTO!E323</f>
        <v>T</v>
      </c>
      <c r="H165" s="44">
        <f>ORÇAMENTO!F323</f>
        <v>0.17502014901029861</v>
      </c>
      <c r="I165" s="44">
        <f>ORÇAMENTO!G323</f>
        <v>5274.22</v>
      </c>
      <c r="J165" s="44">
        <f>ORÇAMENTO!H323</f>
        <v>0.111</v>
      </c>
      <c r="K165" s="44">
        <f>ORÇAMENTO!I323</f>
        <v>5859.66</v>
      </c>
      <c r="L165" s="44">
        <f>ORÇAMENTO!J323</f>
        <v>1025.55</v>
      </c>
      <c r="M165" s="23">
        <f>ORÇAMENTO!K323</f>
        <v>3.6256266290031394E-5</v>
      </c>
      <c r="N165" s="23" t="str">
        <f t="shared" si="9"/>
        <v>OK!</v>
      </c>
      <c r="O165" s="23" t="str">
        <f t="shared" si="10"/>
        <v>OK!</v>
      </c>
      <c r="P165" s="23" t="str">
        <f t="shared" si="11"/>
        <v>OK!</v>
      </c>
    </row>
    <row r="166" spans="2:16" ht="29" x14ac:dyDescent="0.35">
      <c r="B166" s="43">
        <f t="shared" si="8"/>
        <v>26</v>
      </c>
      <c r="C166" s="44" t="str">
        <f>ORÇAMENTO!A418</f>
        <v>5.1.2.4.12</v>
      </c>
      <c r="D166" s="44" t="str">
        <f>ORÇAMENTO!B418</f>
        <v xml:space="preserve"> ANP-CAP 50/70 </v>
      </c>
      <c r="E166" s="44" t="str">
        <f>ORÇAMENTO!C418</f>
        <v>PRÓPRIO</v>
      </c>
      <c r="F166" s="480" t="str">
        <f>ORÇAMENTO!D418</f>
        <v>CIMENTO ASFÁLTICO DE PETRÓLEO - CAP 50/70 FORNECIMENTO E TRANSPORTE</v>
      </c>
      <c r="G166" s="44" t="str">
        <f>ORÇAMENTO!E418</f>
        <v>T</v>
      </c>
      <c r="H166" s="44">
        <f>ORÇAMENTO!F418</f>
        <v>14.779927013039993</v>
      </c>
      <c r="I166" s="44">
        <f>ORÇAMENTO!G418</f>
        <v>5274.22</v>
      </c>
      <c r="J166" s="44">
        <f>ORÇAMENTO!H418</f>
        <v>0.111</v>
      </c>
      <c r="K166" s="44">
        <f>ORÇAMENTO!I418</f>
        <v>5859.66</v>
      </c>
      <c r="L166" s="44">
        <f>ORÇAMENTO!J418</f>
        <v>86605.34</v>
      </c>
      <c r="M166" s="23">
        <f>ORÇAMENTO!K418</f>
        <v>3.0617583435022253E-3</v>
      </c>
      <c r="N166" s="23" t="str">
        <f t="shared" si="9"/>
        <v>OK!</v>
      </c>
      <c r="O166" s="23" t="str">
        <f t="shared" si="10"/>
        <v>OK!</v>
      </c>
      <c r="P166" s="23" t="str">
        <f t="shared" si="11"/>
        <v>OK!</v>
      </c>
    </row>
    <row r="167" spans="2:16" ht="29" x14ac:dyDescent="0.35">
      <c r="B167" s="43">
        <f t="shared" si="8"/>
        <v>26</v>
      </c>
      <c r="C167" s="44" t="str">
        <f>ORÇAMENTO!A475</f>
        <v>5.1.2.6.31</v>
      </c>
      <c r="D167" s="44" t="str">
        <f>ORÇAMENTO!B475</f>
        <v xml:space="preserve"> ANP-CAP 50/70 </v>
      </c>
      <c r="E167" s="44" t="str">
        <f>ORÇAMENTO!C475</f>
        <v>PRÓPRIO</v>
      </c>
      <c r="F167" s="480" t="str">
        <f>ORÇAMENTO!D475</f>
        <v>CIMENTO ASFÁLTICO DE PETRÓLEO - CAP 50/70 FORNECIMENTO E TRANSPORTE</v>
      </c>
      <c r="G167" s="44" t="str">
        <f>ORÇAMENTO!E475</f>
        <v>T</v>
      </c>
      <c r="H167" s="44">
        <f>ORÇAMENTO!F475</f>
        <v>0.68</v>
      </c>
      <c r="I167" s="44">
        <f>ORÇAMENTO!G475</f>
        <v>5274.22</v>
      </c>
      <c r="J167" s="44">
        <f>ORÇAMENTO!H475</f>
        <v>0.111</v>
      </c>
      <c r="K167" s="44">
        <f>ORÇAMENTO!I475</f>
        <v>5859.66</v>
      </c>
      <c r="L167" s="44">
        <f>ORÇAMENTO!J475</f>
        <v>3984.56</v>
      </c>
      <c r="M167" s="23">
        <f>ORÇAMENTO!K475</f>
        <v>1.4086613856819022E-4</v>
      </c>
      <c r="N167" s="23" t="str">
        <f t="shared" si="9"/>
        <v>OK!</v>
      </c>
      <c r="O167" s="23" t="str">
        <f t="shared" si="10"/>
        <v>OK!</v>
      </c>
      <c r="P167" s="23" t="str">
        <f t="shared" si="11"/>
        <v>OK!</v>
      </c>
    </row>
    <row r="168" spans="2:16" ht="29" x14ac:dyDescent="0.35">
      <c r="B168" s="43">
        <f t="shared" si="8"/>
        <v>26</v>
      </c>
      <c r="C168" s="44" t="str">
        <f>ORÇAMENTO!A536</f>
        <v>5.4.19</v>
      </c>
      <c r="D168" s="44" t="str">
        <f>ORÇAMENTO!B536</f>
        <v xml:space="preserve"> ANP-CAP 50/70 </v>
      </c>
      <c r="E168" s="44" t="str">
        <f>ORÇAMENTO!C536</f>
        <v>PRÓPRIO</v>
      </c>
      <c r="F168" s="480" t="str">
        <f>ORÇAMENTO!D536</f>
        <v>CIMENTO ASFÁLTICO DE PETRÓLEO - CAP 50/70 FORNECIMENTO E TRANSPORTE</v>
      </c>
      <c r="G168" s="44" t="str">
        <f>ORÇAMENTO!E536</f>
        <v>T</v>
      </c>
      <c r="H168" s="44">
        <f>ORÇAMENTO!F536</f>
        <v>5.385235354163035E-2</v>
      </c>
      <c r="I168" s="44">
        <f>ORÇAMENTO!G536</f>
        <v>5274.22</v>
      </c>
      <c r="J168" s="44">
        <f>ORÇAMENTO!H536</f>
        <v>0.111</v>
      </c>
      <c r="K168" s="44">
        <f>ORÇAMENTO!I536</f>
        <v>5859.66</v>
      </c>
      <c r="L168" s="44">
        <f>ORÇAMENTO!J536</f>
        <v>315.55</v>
      </c>
      <c r="M168" s="23">
        <f>ORÇAMENTO!K536</f>
        <v>1.1155638270020386E-5</v>
      </c>
      <c r="N168" s="23" t="str">
        <f t="shared" si="9"/>
        <v>OK!</v>
      </c>
      <c r="O168" s="23" t="str">
        <f t="shared" si="10"/>
        <v>OK!</v>
      </c>
      <c r="P168" s="23" t="str">
        <f t="shared" si="11"/>
        <v>OK!</v>
      </c>
    </row>
    <row r="169" spans="2:16" ht="29" x14ac:dyDescent="0.35">
      <c r="B169" s="43">
        <f t="shared" si="8"/>
        <v>26</v>
      </c>
      <c r="C169" s="44" t="str">
        <f>ORÇAMENTO!A630</f>
        <v>6.1.2.4.12</v>
      </c>
      <c r="D169" s="44" t="str">
        <f>ORÇAMENTO!B630</f>
        <v xml:space="preserve"> ANP-CAP 50/70 </v>
      </c>
      <c r="E169" s="44" t="str">
        <f>ORÇAMENTO!C630</f>
        <v>PRÓPRIO</v>
      </c>
      <c r="F169" s="480" t="str">
        <f>ORÇAMENTO!D630</f>
        <v>CIMENTO ASFÁLTICO DE PETRÓLEO - CAP 50/70 FORNECIMENTO E TRANSPORTE</v>
      </c>
      <c r="G169" s="44" t="str">
        <f>ORÇAMENTO!E630</f>
        <v>T</v>
      </c>
      <c r="H169" s="44">
        <f>ORÇAMENTO!F630</f>
        <v>5.6000621475920624</v>
      </c>
      <c r="I169" s="44">
        <f>ORÇAMENTO!G630</f>
        <v>5274.22</v>
      </c>
      <c r="J169" s="44">
        <f>ORÇAMENTO!H630</f>
        <v>0.111</v>
      </c>
      <c r="K169" s="44">
        <f>ORÇAMENTO!I630</f>
        <v>5859.66</v>
      </c>
      <c r="L169" s="44">
        <f>ORÇAMENTO!J630</f>
        <v>32814.46</v>
      </c>
      <c r="M169" s="23">
        <f>ORÇAMENTO!K630</f>
        <v>1.1600895128697612E-3</v>
      </c>
      <c r="N169" s="23" t="str">
        <f t="shared" si="9"/>
        <v>OK!</v>
      </c>
      <c r="O169" s="23" t="str">
        <f t="shared" si="10"/>
        <v>OK!</v>
      </c>
      <c r="P169" s="23" t="str">
        <f t="shared" si="11"/>
        <v>OK!</v>
      </c>
    </row>
    <row r="170" spans="2:16" ht="29" x14ac:dyDescent="0.35">
      <c r="B170" s="43">
        <f t="shared" si="8"/>
        <v>26</v>
      </c>
      <c r="C170" s="44" t="str">
        <f>ORÇAMENTO!A670</f>
        <v>6.1.2.6.23</v>
      </c>
      <c r="D170" s="44" t="str">
        <f>ORÇAMENTO!B670</f>
        <v xml:space="preserve"> ANP-CAP 50/70 </v>
      </c>
      <c r="E170" s="44" t="str">
        <f>ORÇAMENTO!C670</f>
        <v>PRÓPRIO</v>
      </c>
      <c r="F170" s="480" t="str">
        <f>ORÇAMENTO!D670</f>
        <v>CIMENTO ASFÁLTICO DE PETRÓLEO - CAP 50/70 FORNECIMENTO E TRANSPORTE</v>
      </c>
      <c r="G170" s="44" t="str">
        <f>ORÇAMENTO!E670</f>
        <v>T</v>
      </c>
      <c r="H170" s="44">
        <f>ORÇAMENTO!F670</f>
        <v>0.22</v>
      </c>
      <c r="I170" s="44">
        <f>ORÇAMENTO!G670</f>
        <v>5274.22</v>
      </c>
      <c r="J170" s="44">
        <f>ORÇAMENTO!H670</f>
        <v>0.111</v>
      </c>
      <c r="K170" s="44">
        <f>ORÇAMENTO!I670</f>
        <v>5859.66</v>
      </c>
      <c r="L170" s="44">
        <f>ORÇAMENTO!J670</f>
        <v>1289.1199999999999</v>
      </c>
      <c r="M170" s="23">
        <f>ORÇAMENTO!K670</f>
        <v>4.5574255765009277E-5</v>
      </c>
      <c r="N170" s="23" t="str">
        <f t="shared" si="9"/>
        <v>OK!</v>
      </c>
      <c r="O170" s="23" t="str">
        <f t="shared" si="10"/>
        <v>OK!</v>
      </c>
      <c r="P170" s="23" t="str">
        <f t="shared" si="11"/>
        <v>OK!</v>
      </c>
    </row>
    <row r="171" spans="2:16" ht="29" x14ac:dyDescent="0.35">
      <c r="B171" s="43">
        <f t="shared" si="8"/>
        <v>26</v>
      </c>
      <c r="C171" s="44" t="str">
        <f>ORÇAMENTO!A726</f>
        <v>6.4.16</v>
      </c>
      <c r="D171" s="44" t="str">
        <f>ORÇAMENTO!B726</f>
        <v xml:space="preserve"> ANP-CAP 50/70 </v>
      </c>
      <c r="E171" s="44" t="str">
        <f>ORÇAMENTO!C726</f>
        <v>PRÓPRIO</v>
      </c>
      <c r="F171" s="480" t="str">
        <f>ORÇAMENTO!D726</f>
        <v>CIMENTO ASFÁLTICO DE PETRÓLEO - CAP 50/70 FORNECIMENTO E TRANSPORTE</v>
      </c>
      <c r="G171" s="44" t="str">
        <f>ORÇAMENTO!E726</f>
        <v>T</v>
      </c>
      <c r="H171" s="44">
        <f>ORÇAMENTO!F726</f>
        <v>0.1346308838540759</v>
      </c>
      <c r="I171" s="44">
        <f>ORÇAMENTO!G726</f>
        <v>5274.22</v>
      </c>
      <c r="J171" s="44">
        <f>ORÇAMENTO!H726</f>
        <v>0.111</v>
      </c>
      <c r="K171" s="44">
        <f>ORÇAMENTO!I726</f>
        <v>5859.66</v>
      </c>
      <c r="L171" s="44">
        <f>ORÇAMENTO!J726</f>
        <v>788.89</v>
      </c>
      <c r="M171" s="23">
        <f>ORÇAMENTO!K726</f>
        <v>2.7889625970009131E-5</v>
      </c>
      <c r="N171" s="23" t="str">
        <f t="shared" si="9"/>
        <v>OK!</v>
      </c>
      <c r="O171" s="23" t="str">
        <f t="shared" si="10"/>
        <v>OK!</v>
      </c>
      <c r="P171" s="23" t="str">
        <f t="shared" si="11"/>
        <v>OK!</v>
      </c>
    </row>
    <row r="172" spans="2:16" ht="29" x14ac:dyDescent="0.35">
      <c r="B172" s="43">
        <f t="shared" si="8"/>
        <v>26</v>
      </c>
      <c r="C172" s="44" t="str">
        <f>ORÇAMENTO!A827</f>
        <v>7.1.2.4.12</v>
      </c>
      <c r="D172" s="44" t="str">
        <f>ORÇAMENTO!B827</f>
        <v xml:space="preserve"> ANP-CAP 50/70 </v>
      </c>
      <c r="E172" s="44" t="str">
        <f>ORÇAMENTO!C827</f>
        <v>PRÓPRIO</v>
      </c>
      <c r="F172" s="480" t="str">
        <f>ORÇAMENTO!D827</f>
        <v>CIMENTO ASFÁLTICO DE PETRÓLEO - CAP 50/70 FORNECIMENTO E TRANSPORTE</v>
      </c>
      <c r="G172" s="44" t="str">
        <f>ORÇAMENTO!E827</f>
        <v>T</v>
      </c>
      <c r="H172" s="44">
        <f>ORÇAMENTO!F827</f>
        <v>16.534570135679992</v>
      </c>
      <c r="I172" s="44">
        <f>ORÇAMENTO!G827</f>
        <v>5274.22</v>
      </c>
      <c r="J172" s="44">
        <f>ORÇAMENTO!H827</f>
        <v>0.111</v>
      </c>
      <c r="K172" s="44">
        <f>ORÇAMENTO!I827</f>
        <v>5859.66</v>
      </c>
      <c r="L172" s="44">
        <f>ORÇAMENTO!J827</f>
        <v>96886.95</v>
      </c>
      <c r="M172" s="23">
        <f>ORÇAMENTO!K827</f>
        <v>3.4252440731597261E-3</v>
      </c>
      <c r="N172" s="23" t="str">
        <f t="shared" si="9"/>
        <v>OK!</v>
      </c>
      <c r="O172" s="23" t="str">
        <f t="shared" si="10"/>
        <v>OK!</v>
      </c>
      <c r="P172" s="23" t="str">
        <f t="shared" si="11"/>
        <v>OK!</v>
      </c>
    </row>
    <row r="173" spans="2:16" ht="29" x14ac:dyDescent="0.35">
      <c r="B173" s="43">
        <f t="shared" si="8"/>
        <v>26</v>
      </c>
      <c r="C173" s="44" t="str">
        <f>ORÇAMENTO!A883</f>
        <v>7.1.2.6.30</v>
      </c>
      <c r="D173" s="44" t="str">
        <f>ORÇAMENTO!B883</f>
        <v xml:space="preserve"> ANP-CAP 50/70 </v>
      </c>
      <c r="E173" s="44" t="str">
        <f>ORÇAMENTO!C883</f>
        <v>PRÓPRIO</v>
      </c>
      <c r="F173" s="480" t="str">
        <f>ORÇAMENTO!D883</f>
        <v>CIMENTO ASFÁLTICO DE PETRÓLEO - CAP 50/70 FORNECIMENTO E TRANSPORTE</v>
      </c>
      <c r="G173" s="44" t="str">
        <f>ORÇAMENTO!E883</f>
        <v>T</v>
      </c>
      <c r="H173" s="44">
        <f>ORÇAMENTO!F883</f>
        <v>1.26</v>
      </c>
      <c r="I173" s="44">
        <f>ORÇAMENTO!G883</f>
        <v>5274.22</v>
      </c>
      <c r="J173" s="44">
        <f>ORÇAMENTO!H883</f>
        <v>0.111</v>
      </c>
      <c r="K173" s="44">
        <f>ORÇAMENTO!I883</f>
        <v>5859.66</v>
      </c>
      <c r="L173" s="44">
        <f>ORÇAMENTO!J883</f>
        <v>7383.17</v>
      </c>
      <c r="M173" s="23">
        <f>ORÇAMENTO!K883</f>
        <v>2.6101718842042911E-4</v>
      </c>
      <c r="N173" s="23" t="str">
        <f t="shared" si="9"/>
        <v>OK!</v>
      </c>
      <c r="O173" s="23" t="str">
        <f t="shared" si="10"/>
        <v>OK!</v>
      </c>
      <c r="P173" s="23" t="str">
        <f t="shared" si="11"/>
        <v>OK!</v>
      </c>
    </row>
    <row r="174" spans="2:16" ht="29" x14ac:dyDescent="0.35">
      <c r="B174" s="43">
        <f t="shared" si="8"/>
        <v>26</v>
      </c>
      <c r="C174" s="44" t="str">
        <f>ORÇAMENTO!A950</f>
        <v>7.4.18</v>
      </c>
      <c r="D174" s="44" t="str">
        <f>ORÇAMENTO!B950</f>
        <v xml:space="preserve"> ANP-CAP 50/70 </v>
      </c>
      <c r="E174" s="44" t="str">
        <f>ORÇAMENTO!C950</f>
        <v>PRÓPRIO</v>
      </c>
      <c r="F174" s="636" t="str">
        <f>ORÇAMENTO!D950</f>
        <v>CIMENTO ASFÁLTICO DE PETRÓLEO - CAP 50/70 FORNECIMENTO E TRANSPORTE</v>
      </c>
      <c r="G174" s="44" t="str">
        <f>ORÇAMENTO!E950</f>
        <v>T</v>
      </c>
      <c r="H174" s="44">
        <f>ORÇAMENTO!F950</f>
        <v>0.1077047070832607</v>
      </c>
      <c r="I174" s="44">
        <f>ORÇAMENTO!G950</f>
        <v>5274.22</v>
      </c>
      <c r="J174" s="44">
        <f>ORÇAMENTO!H950</f>
        <v>0.111</v>
      </c>
      <c r="K174" s="44">
        <f>ORÇAMENTO!I950</f>
        <v>5859.66</v>
      </c>
      <c r="L174" s="638">
        <f>ORÇAMENTO!J950</f>
        <v>631.11</v>
      </c>
      <c r="M174" s="23">
        <f>ORÇAMENTO!K950</f>
        <v>2.2311630070012884E-5</v>
      </c>
      <c r="N174" s="23" t="str">
        <f t="shared" si="9"/>
        <v>OK!</v>
      </c>
      <c r="O174" s="23" t="str">
        <f t="shared" si="10"/>
        <v>OK!</v>
      </c>
      <c r="P174" s="23" t="str">
        <f t="shared" si="11"/>
        <v>OK!</v>
      </c>
    </row>
    <row r="175" spans="2:16" ht="29" x14ac:dyDescent="0.35">
      <c r="B175" s="43">
        <f t="shared" si="8"/>
        <v>26</v>
      </c>
      <c r="C175" s="44" t="str">
        <f>ORÇAMENTO!A978</f>
        <v>7.5.4.10</v>
      </c>
      <c r="D175" s="44" t="str">
        <f>ORÇAMENTO!B978</f>
        <v xml:space="preserve"> ANP-CAP 50/70 </v>
      </c>
      <c r="E175" s="44" t="str">
        <f>ORÇAMENTO!C978</f>
        <v>PRÓPRIO</v>
      </c>
      <c r="F175" s="636" t="str">
        <f>ORÇAMENTO!D978</f>
        <v>CIMENTO ASFÁLTICO DE PETRÓLEO - CAP 50/70 FORNECIMENTO E TRANSPORTE</v>
      </c>
      <c r="G175" s="44" t="str">
        <f>ORÇAMENTO!E978</f>
        <v>T</v>
      </c>
      <c r="H175" s="44">
        <f>ORÇAMENTO!F978</f>
        <v>24.743163599999995</v>
      </c>
      <c r="I175" s="44">
        <f>ORÇAMENTO!G978</f>
        <v>5274.22</v>
      </c>
      <c r="J175" s="44">
        <f>ORÇAMENTO!H978</f>
        <v>0.111</v>
      </c>
      <c r="K175" s="44">
        <f>ORÇAMENTO!I978</f>
        <v>5859.66</v>
      </c>
      <c r="L175" s="638">
        <f>ORÇAMENTO!J978</f>
        <v>144986.51999999999</v>
      </c>
      <c r="M175" s="23">
        <f>ORÇAMENTO!K978</f>
        <v>5.125708037233642E-3</v>
      </c>
      <c r="N175" s="23" t="str">
        <f t="shared" si="9"/>
        <v>OK!</v>
      </c>
      <c r="O175" s="23" t="str">
        <f t="shared" si="10"/>
        <v>OK!</v>
      </c>
      <c r="P175" s="23" t="str">
        <f t="shared" si="11"/>
        <v>OK!</v>
      </c>
    </row>
    <row r="176" spans="2:16" x14ac:dyDescent="0.35">
      <c r="B176" s="43">
        <f t="shared" si="8"/>
        <v>27</v>
      </c>
      <c r="C176" s="44" t="str">
        <f>ORÇAMENTO!A281</f>
        <v>4.2.4.2</v>
      </c>
      <c r="D176" s="44" t="str">
        <f>ORÇAMENTO!B281</f>
        <v xml:space="preserve"> 5503041 </v>
      </c>
      <c r="E176" s="44" t="str">
        <f>ORÇAMENTO!C281</f>
        <v>SICRO3</v>
      </c>
      <c r="F176" s="480" t="str">
        <f>ORÇAMENTO!D281</f>
        <v>COMPACTAÇÃO DE ATERROS A 100% DO PROCTOR INTERMEDIÁRIO</v>
      </c>
      <c r="G176" s="44" t="str">
        <f>ORÇAMENTO!E281</f>
        <v>M³</v>
      </c>
      <c r="H176" s="44">
        <f>ORÇAMENTO!F281</f>
        <v>1602.93</v>
      </c>
      <c r="I176" s="44">
        <f>ORÇAMENTO!G281</f>
        <v>8.59</v>
      </c>
      <c r="J176" s="44">
        <f>ORÇAMENTO!H281</f>
        <v>0.2122</v>
      </c>
      <c r="K176" s="44">
        <f>ORÇAMENTO!I281</f>
        <v>10.41</v>
      </c>
      <c r="L176" s="44">
        <f>ORÇAMENTO!J281</f>
        <v>16686.5</v>
      </c>
      <c r="M176" s="23">
        <f>ORÇAMENTO!K281</f>
        <v>5.8991778796607555E-4</v>
      </c>
      <c r="N176" s="23" t="str">
        <f t="shared" si="9"/>
        <v>DIFERENTE</v>
      </c>
      <c r="O176" s="23" t="str">
        <f t="shared" si="10"/>
        <v>DIFERENTE</v>
      </c>
      <c r="P176" s="23" t="str">
        <f t="shared" si="11"/>
        <v>DIFERENTE</v>
      </c>
    </row>
    <row r="177" spans="2:16" x14ac:dyDescent="0.35">
      <c r="B177" s="43">
        <f t="shared" si="8"/>
        <v>27</v>
      </c>
      <c r="C177" s="44" t="str">
        <f>ORÇAMENTO!A317</f>
        <v>4.4.13</v>
      </c>
      <c r="D177" s="44" t="str">
        <f>ORÇAMENTO!B317</f>
        <v xml:space="preserve"> 5503041 </v>
      </c>
      <c r="E177" s="44" t="str">
        <f>ORÇAMENTO!C317</f>
        <v>SICRO3</v>
      </c>
      <c r="F177" s="480" t="str">
        <f>ORÇAMENTO!D317</f>
        <v>COMPACTAÇÃO DE ATERROS A 100% DO PROCTOR INTERMEDIÁRIO</v>
      </c>
      <c r="G177" s="44" t="str">
        <f>ORÇAMENTO!E317</f>
        <v>M³</v>
      </c>
      <c r="H177" s="44">
        <f>ORÇAMENTO!F317</f>
        <v>26.721771190394634</v>
      </c>
      <c r="I177" s="44">
        <f>ORÇAMENTO!G317</f>
        <v>8.59</v>
      </c>
      <c r="J177" s="44">
        <f>ORÇAMENTO!H317</f>
        <v>0.2122</v>
      </c>
      <c r="K177" s="44">
        <f>ORÇAMENTO!I317</f>
        <v>10.41</v>
      </c>
      <c r="L177" s="44">
        <f>ORÇAMENTO!J317</f>
        <v>278.17</v>
      </c>
      <c r="M177" s="23">
        <f>ORÇAMENTO!K317</f>
        <v>9.8341432342626238E-6</v>
      </c>
      <c r="N177" s="23" t="str">
        <f t="shared" si="9"/>
        <v>OK!</v>
      </c>
      <c r="O177" s="23" t="str">
        <f t="shared" si="10"/>
        <v>OK!</v>
      </c>
      <c r="P177" s="23" t="str">
        <f t="shared" si="11"/>
        <v>OK!</v>
      </c>
    </row>
    <row r="178" spans="2:16" x14ac:dyDescent="0.35">
      <c r="B178" s="43">
        <f t="shared" si="8"/>
        <v>27</v>
      </c>
      <c r="C178" s="44" t="str">
        <f>ORÇAMENTO!A530</f>
        <v>5.4.13</v>
      </c>
      <c r="D178" s="44" t="str">
        <f>ORÇAMENTO!B530</f>
        <v xml:space="preserve"> 5503041 </v>
      </c>
      <c r="E178" s="44" t="str">
        <f>ORÇAMENTO!C530</f>
        <v>SICRO3</v>
      </c>
      <c r="F178" s="480" t="str">
        <f>ORÇAMENTO!D530</f>
        <v>COMPACTAÇÃO DE ATERROS A 100% DO PROCTOR INTERMEDIÁRIO</v>
      </c>
      <c r="G178" s="44" t="str">
        <f>ORÇAMENTO!E530</f>
        <v>M³</v>
      </c>
      <c r="H178" s="44">
        <f>ORÇAMENTO!F530</f>
        <v>12.59791337661367</v>
      </c>
      <c r="I178" s="44">
        <f>ORÇAMENTO!G530</f>
        <v>8.59</v>
      </c>
      <c r="J178" s="44">
        <f>ORÇAMENTO!H530</f>
        <v>0.2122</v>
      </c>
      <c r="K178" s="44">
        <f>ORÇAMENTO!I530</f>
        <v>10.41</v>
      </c>
      <c r="L178" s="44">
        <f>ORÇAMENTO!J530</f>
        <v>131.13999999999999</v>
      </c>
      <c r="M178" s="23">
        <f>ORÇAMENTO!K530</f>
        <v>4.6361920542876667E-6</v>
      </c>
      <c r="N178" s="23" t="str">
        <f t="shared" si="9"/>
        <v>OK!</v>
      </c>
      <c r="O178" s="23" t="str">
        <f t="shared" si="10"/>
        <v>OK!</v>
      </c>
      <c r="P178" s="23" t="str">
        <f t="shared" si="11"/>
        <v>OK!</v>
      </c>
    </row>
    <row r="179" spans="2:16" x14ac:dyDescent="0.35">
      <c r="B179" s="43">
        <f t="shared" si="8"/>
        <v>27</v>
      </c>
      <c r="C179" s="44" t="str">
        <f>ORÇAMENTO!A944</f>
        <v>7.4.12</v>
      </c>
      <c r="D179" s="44" t="str">
        <f>ORÇAMENTO!B944</f>
        <v xml:space="preserve"> 5503041 </v>
      </c>
      <c r="E179" s="44" t="str">
        <f>ORÇAMENTO!C944</f>
        <v>SICRO3</v>
      </c>
      <c r="F179" s="636" t="str">
        <f>ORÇAMENTO!D944</f>
        <v>COMPACTAÇÃO DE ATERROS A 100% DO PROCTOR INTERMEDIÁRIO</v>
      </c>
      <c r="G179" s="44" t="str">
        <f>ORÇAMENTO!E944</f>
        <v>M³</v>
      </c>
      <c r="H179" s="44">
        <f>ORÇAMENTO!F944</f>
        <v>3.6374256932477298</v>
      </c>
      <c r="I179" s="44">
        <f>ORÇAMENTO!G944</f>
        <v>8.59</v>
      </c>
      <c r="J179" s="44">
        <f>ORÇAMENTO!H944</f>
        <v>0.2122</v>
      </c>
      <c r="K179" s="44">
        <f>ORÇAMENTO!I944</f>
        <v>10.41</v>
      </c>
      <c r="L179" s="638">
        <f>ORÇAMENTO!J944</f>
        <v>37.86</v>
      </c>
      <c r="M179" s="23">
        <f>ORÇAMENTO!K944</f>
        <v>1.3384644744191785E-6</v>
      </c>
      <c r="N179" s="23" t="str">
        <f t="shared" si="9"/>
        <v>OK!</v>
      </c>
      <c r="O179" s="23" t="str">
        <f t="shared" si="10"/>
        <v>OK!</v>
      </c>
      <c r="P179" s="23" t="str">
        <f t="shared" si="11"/>
        <v>OK!</v>
      </c>
    </row>
    <row r="180" spans="2:16" x14ac:dyDescent="0.35">
      <c r="B180" s="43">
        <f t="shared" si="8"/>
        <v>27</v>
      </c>
      <c r="C180" s="44" t="str">
        <f>ORÇAMENTO!A970</f>
        <v>7.5.4.2</v>
      </c>
      <c r="D180" s="44" t="str">
        <f>ORÇAMENTO!B970</f>
        <v xml:space="preserve"> 5503041 </v>
      </c>
      <c r="E180" s="44" t="str">
        <f>ORÇAMENTO!C970</f>
        <v>SICRO3</v>
      </c>
      <c r="F180" s="636" t="str">
        <f>ORÇAMENTO!D970</f>
        <v>COMPACTAÇÃO DE ATERROS A 100% DO PROCTOR INTERMEDIÁRIO</v>
      </c>
      <c r="G180" s="44" t="str">
        <f>ORÇAMENTO!E970</f>
        <v>M³</v>
      </c>
      <c r="H180" s="44">
        <f>ORÇAMENTO!F970</f>
        <v>2267.1299999999997</v>
      </c>
      <c r="I180" s="44">
        <f>ORÇAMENTO!G970</f>
        <v>8.59</v>
      </c>
      <c r="J180" s="44">
        <f>ORÇAMENTO!H970</f>
        <v>0.2122</v>
      </c>
      <c r="K180" s="44">
        <f>ORÇAMENTO!I970</f>
        <v>10.41</v>
      </c>
      <c r="L180" s="638">
        <f>ORÇAMENTO!J970</f>
        <v>23600.82</v>
      </c>
      <c r="M180" s="23">
        <f>ORÇAMENTO!K970</f>
        <v>8.3435972364399457E-4</v>
      </c>
      <c r="N180" s="23" t="str">
        <f t="shared" si="9"/>
        <v>OK!</v>
      </c>
      <c r="O180" s="23" t="str">
        <f t="shared" si="10"/>
        <v>OK!</v>
      </c>
      <c r="P180" s="23" t="str">
        <f t="shared" si="11"/>
        <v>OK!</v>
      </c>
    </row>
    <row r="181" spans="2:16" ht="43.5" x14ac:dyDescent="0.35">
      <c r="B181" s="43">
        <f t="shared" si="8"/>
        <v>28</v>
      </c>
      <c r="C181" s="44" t="str">
        <f>ORÇAMENTO!A256</f>
        <v>4.1.2.7.4</v>
      </c>
      <c r="D181" s="44" t="str">
        <f>ORÇAMENTO!B256</f>
        <v xml:space="preserve"> 94969 </v>
      </c>
      <c r="E181" s="44" t="str">
        <f>ORÇAMENTO!C256</f>
        <v>SINAPI</v>
      </c>
      <c r="F181" s="480" t="str">
        <f>ORÇAMENTO!D256</f>
        <v>CONCRETO FCK = 15MPA, TRAÇO 1:3,4:3,5 (EM MASSA SECA DE CIMENTO/ AREIA MÉDIA/ BRITA 1) - PREPARO MECÂNICO COM BETONEIRA 600 L. AF_05/2021</v>
      </c>
      <c r="G181" s="44" t="str">
        <f>ORÇAMENTO!E256</f>
        <v>M³</v>
      </c>
      <c r="H181" s="44">
        <f>ORÇAMENTO!F256</f>
        <v>30.38</v>
      </c>
      <c r="I181" s="44">
        <f>ORÇAMENTO!G256</f>
        <v>430.64</v>
      </c>
      <c r="J181" s="44">
        <f>ORÇAMENTO!H256</f>
        <v>0.2122</v>
      </c>
      <c r="K181" s="44">
        <f>ORÇAMENTO!I256</f>
        <v>522.02</v>
      </c>
      <c r="L181" s="44">
        <f>ORÇAMENTO!J256</f>
        <v>15858.96</v>
      </c>
      <c r="M181" s="23">
        <f>ORÇAMENTO!K256</f>
        <v>5.6066176865385037E-4</v>
      </c>
      <c r="N181" s="23" t="str">
        <f t="shared" si="9"/>
        <v>DIFERENTE</v>
      </c>
      <c r="O181" s="23" t="str">
        <f t="shared" si="10"/>
        <v>DIFERENTE</v>
      </c>
      <c r="P181" s="23" t="str">
        <f t="shared" si="11"/>
        <v>DIFERENTE</v>
      </c>
    </row>
    <row r="182" spans="2:16" ht="43.5" x14ac:dyDescent="0.35">
      <c r="B182" s="43">
        <f t="shared" si="8"/>
        <v>28</v>
      </c>
      <c r="C182" s="44" t="str">
        <f>ORÇAMENTO!A499</f>
        <v>5.1.2.7.4</v>
      </c>
      <c r="D182" s="44" t="str">
        <f>ORÇAMENTO!B499</f>
        <v xml:space="preserve"> 94969 </v>
      </c>
      <c r="E182" s="44" t="str">
        <f>ORÇAMENTO!C499</f>
        <v>SINAPI</v>
      </c>
      <c r="F182" s="480" t="str">
        <f>ORÇAMENTO!D499</f>
        <v>CONCRETO FCK = 15MPA, TRAÇO 1:3,4:3,5 (EM MASSA SECA DE CIMENTO/ AREIA MÉDIA/ BRITA 1) - PREPARO MECÂNICO COM BETONEIRA 600 L. AF_05/2021</v>
      </c>
      <c r="G182" s="44" t="str">
        <f>ORÇAMENTO!E499</f>
        <v>M³</v>
      </c>
      <c r="H182" s="44">
        <f>ORÇAMENTO!F499</f>
        <v>29.06</v>
      </c>
      <c r="I182" s="44">
        <f>ORÇAMENTO!G499</f>
        <v>430.64</v>
      </c>
      <c r="J182" s="44">
        <f>ORÇAMENTO!H499</f>
        <v>0.2122</v>
      </c>
      <c r="K182" s="44">
        <f>ORÇAMENTO!I499</f>
        <v>522.02</v>
      </c>
      <c r="L182" s="44">
        <f>ORÇAMENTO!J499</f>
        <v>15169.9</v>
      </c>
      <c r="M182" s="23">
        <f>ORÇAMENTO!K499</f>
        <v>5.3630143239544366E-4</v>
      </c>
      <c r="N182" s="23" t="str">
        <f t="shared" si="9"/>
        <v>OK!</v>
      </c>
      <c r="O182" s="23" t="str">
        <f t="shared" si="10"/>
        <v>OK!</v>
      </c>
      <c r="P182" s="23" t="str">
        <f t="shared" si="11"/>
        <v>OK!</v>
      </c>
    </row>
    <row r="183" spans="2:16" ht="43.5" x14ac:dyDescent="0.35">
      <c r="B183" s="43">
        <f t="shared" si="8"/>
        <v>28</v>
      </c>
      <c r="C183" s="44" t="str">
        <f>ORÇAMENTO!A694</f>
        <v>6.1.2.7.4</v>
      </c>
      <c r="D183" s="44" t="str">
        <f>ORÇAMENTO!B694</f>
        <v xml:space="preserve"> 94969 </v>
      </c>
      <c r="E183" s="44" t="str">
        <f>ORÇAMENTO!C694</f>
        <v>SINAPI</v>
      </c>
      <c r="F183" s="480" t="str">
        <f>ORÇAMENTO!D694</f>
        <v>CONCRETO FCK = 15MPA, TRAÇO 1:3,4:3,5 (EM MASSA SECA DE CIMENTO/ AREIA MÉDIA/ BRITA 1) - PREPARO MECÂNICO COM BETONEIRA 600 L. AF_05/2021</v>
      </c>
      <c r="G183" s="44" t="str">
        <f>ORÇAMENTO!E694</f>
        <v>M³</v>
      </c>
      <c r="H183" s="44">
        <f>ORÇAMENTO!F694</f>
        <v>5.13</v>
      </c>
      <c r="I183" s="44">
        <f>ORÇAMENTO!G694</f>
        <v>430.64</v>
      </c>
      <c r="J183" s="44">
        <f>ORÇAMENTO!H694</f>
        <v>0.2122</v>
      </c>
      <c r="K183" s="44">
        <f>ORÇAMENTO!I694</f>
        <v>522.02</v>
      </c>
      <c r="L183" s="44">
        <f>ORÇAMENTO!J694</f>
        <v>2677.96</v>
      </c>
      <c r="M183" s="23">
        <f>ORÇAMENTO!K694</f>
        <v>9.4673912411927716E-5</v>
      </c>
      <c r="N183" s="23" t="str">
        <f t="shared" si="9"/>
        <v>OK!</v>
      </c>
      <c r="O183" s="23" t="str">
        <f t="shared" si="10"/>
        <v>OK!</v>
      </c>
      <c r="P183" s="23" t="str">
        <f t="shared" si="11"/>
        <v>OK!</v>
      </c>
    </row>
    <row r="184" spans="2:16" ht="43.5" x14ac:dyDescent="0.35">
      <c r="B184" s="43">
        <f t="shared" si="8"/>
        <v>28</v>
      </c>
      <c r="C184" s="44" t="str">
        <f>ORÇAMENTO!A907</f>
        <v>7.1.2.7.4</v>
      </c>
      <c r="D184" s="44" t="str">
        <f>ORÇAMENTO!B907</f>
        <v xml:space="preserve"> 94969 </v>
      </c>
      <c r="E184" s="44" t="str">
        <f>ORÇAMENTO!C907</f>
        <v>SINAPI</v>
      </c>
      <c r="F184" s="480" t="str">
        <f>ORÇAMENTO!D907</f>
        <v>CONCRETO FCK = 15MPA, TRAÇO 1:3,4:3,5 (EM MASSA SECA DE CIMENTO/ AREIA MÉDIA/ BRITA 1) - PREPARO MECÂNICO COM BETONEIRA 600 L. AF_05/2021</v>
      </c>
      <c r="G184" s="44" t="str">
        <f>ORÇAMENTO!E907</f>
        <v>M³</v>
      </c>
      <c r="H184" s="44">
        <f>ORÇAMENTO!F907</f>
        <v>39.42</v>
      </c>
      <c r="I184" s="44">
        <f>ORÇAMENTO!G907</f>
        <v>430.64</v>
      </c>
      <c r="J184" s="44">
        <f>ORÇAMENTO!H907</f>
        <v>0.2122</v>
      </c>
      <c r="K184" s="44">
        <f>ORÇAMENTO!I907</f>
        <v>522.02</v>
      </c>
      <c r="L184" s="44">
        <f>ORÇAMENTO!J907</f>
        <v>20578.02</v>
      </c>
      <c r="M184" s="23">
        <f>ORÇAMENTO!K907</f>
        <v>7.2749468367372806E-4</v>
      </c>
      <c r="N184" s="23" t="str">
        <f t="shared" si="9"/>
        <v>OK!</v>
      </c>
      <c r="O184" s="23" t="str">
        <f t="shared" si="10"/>
        <v>OK!</v>
      </c>
      <c r="P184" s="23" t="str">
        <f t="shared" si="11"/>
        <v>OK!</v>
      </c>
    </row>
    <row r="185" spans="2:16" ht="43.5" x14ac:dyDescent="0.35">
      <c r="B185" s="43">
        <f t="shared" si="8"/>
        <v>28</v>
      </c>
      <c r="C185" s="44" t="str">
        <f>ORÇAMENTO!A916</f>
        <v>7.1.2.8.2</v>
      </c>
      <c r="D185" s="44" t="str">
        <f>ORÇAMENTO!B916</f>
        <v xml:space="preserve"> 94969 </v>
      </c>
      <c r="E185" s="44" t="str">
        <f>ORÇAMENTO!C916</f>
        <v>SINAPI</v>
      </c>
      <c r="F185" s="480" t="str">
        <f>ORÇAMENTO!D916</f>
        <v>CONCRETO FCK = 15MPA, TRAÇO 1:3,4:3,5 (EM MASSA SECA DE CIMENTO/ AREIA MÉDIA/ BRITA 1) - PREPARO MECÂNICO COM BETONEIRA 600 L. AF_05/2021</v>
      </c>
      <c r="G185" s="44" t="str">
        <f>ORÇAMENTO!E916</f>
        <v>M³</v>
      </c>
      <c r="H185" s="44">
        <f>ORÇAMENTO!F916</f>
        <v>23.86</v>
      </c>
      <c r="I185" s="44">
        <f>ORÇAMENTO!G916</f>
        <v>430.64</v>
      </c>
      <c r="J185" s="44">
        <f>ORÇAMENTO!H916</f>
        <v>0.2122</v>
      </c>
      <c r="K185" s="44">
        <f>ORÇAMENTO!I916</f>
        <v>522.02</v>
      </c>
      <c r="L185" s="44">
        <f>ORÇAMENTO!J916</f>
        <v>12455.39</v>
      </c>
      <c r="M185" s="23">
        <f>ORÇAMENTO!K916</f>
        <v>4.4033536793544348E-4</v>
      </c>
      <c r="N185" s="23" t="str">
        <f t="shared" si="9"/>
        <v>OK!</v>
      </c>
      <c r="O185" s="23" t="str">
        <f t="shared" si="10"/>
        <v>OK!</v>
      </c>
      <c r="P185" s="23" t="str">
        <f t="shared" si="11"/>
        <v>OK!</v>
      </c>
    </row>
    <row r="186" spans="2:16" ht="43.5" x14ac:dyDescent="0.35">
      <c r="B186" s="43">
        <f t="shared" si="8"/>
        <v>28</v>
      </c>
      <c r="C186" s="44" t="str">
        <f>ORÇAMENTO!A1031</f>
        <v xml:space="preserve"> 8.7.2</v>
      </c>
      <c r="D186" s="44" t="str">
        <f>ORÇAMENTO!B1031</f>
        <v xml:space="preserve"> 94969 </v>
      </c>
      <c r="E186" s="44" t="str">
        <f>ORÇAMENTO!C1031</f>
        <v>SINAPI</v>
      </c>
      <c r="F186" s="636" t="str">
        <f>ORÇAMENTO!D1031</f>
        <v>CONCRETO FCK = 15MPA, TRAÇO 1:3,4:3,5 (EM MASSA SECA DE CIMENTO/ AREIA MÉDIA/ BRITA 1) - PREPARO MECÂNICO COM BETONEIRA 600 L. AF_05/2021</v>
      </c>
      <c r="G186" s="44" t="str">
        <f>ORÇAMENTO!E1031</f>
        <v>M³</v>
      </c>
      <c r="H186" s="44">
        <f>ORÇAMENTO!F1031</f>
        <v>2.2999999999999998</v>
      </c>
      <c r="I186" s="44">
        <f>ORÇAMENTO!G1031</f>
        <v>430.64</v>
      </c>
      <c r="J186" s="44">
        <f>ORÇAMENTO!H1031</f>
        <v>0.2122</v>
      </c>
      <c r="K186" s="44">
        <f>ORÇAMENTO!I1031</f>
        <v>522.02</v>
      </c>
      <c r="L186" s="638">
        <f>ORÇAMENTO!J1031</f>
        <v>1200.6400000000001</v>
      </c>
      <c r="M186" s="23">
        <f>ORÇAMENTO!K1031</f>
        <v>4.2446222571754958E-5</v>
      </c>
      <c r="N186" s="23" t="str">
        <f t="shared" si="9"/>
        <v>OK!</v>
      </c>
      <c r="O186" s="23" t="str">
        <f t="shared" si="10"/>
        <v>OK!</v>
      </c>
      <c r="P186" s="23" t="str">
        <f t="shared" si="11"/>
        <v>OK!</v>
      </c>
    </row>
    <row r="187" spans="2:16" ht="43.5" x14ac:dyDescent="0.35">
      <c r="B187" s="43">
        <f t="shared" si="8"/>
        <v>29</v>
      </c>
      <c r="C187" s="44" t="str">
        <f>ORÇAMENTO!A247</f>
        <v>4.1.2.6.45</v>
      </c>
      <c r="D187" s="44" t="str">
        <f>ORÇAMENTO!B247</f>
        <v xml:space="preserve"> 94971 </v>
      </c>
      <c r="E187" s="44" t="str">
        <f>ORÇAMENTO!C247</f>
        <v>SINAPI</v>
      </c>
      <c r="F187" s="480" t="str">
        <f>ORÇAMENTO!D247</f>
        <v>CONCRETO FCK = 25MPA, TRAÇO 1:2,3:2,7 (EM MASSA SECA DE CIMENTO/ AREIA MÉDIA/ BRITA 1) - PREPARO MECÂNICO COM BETONEIRA 600 L. AF_05/2021</v>
      </c>
      <c r="G187" s="44" t="str">
        <f>ORÇAMENTO!E247</f>
        <v>M³</v>
      </c>
      <c r="H187" s="44">
        <f>ORÇAMENTO!F247</f>
        <v>66.8</v>
      </c>
      <c r="I187" s="44">
        <f>ORÇAMENTO!G247</f>
        <v>470.06</v>
      </c>
      <c r="J187" s="44">
        <f>ORÇAMENTO!H247</f>
        <v>0.2122</v>
      </c>
      <c r="K187" s="44">
        <f>ORÇAMENTO!I247</f>
        <v>569.80999999999995</v>
      </c>
      <c r="L187" s="44">
        <f>ORÇAMENTO!J247</f>
        <v>38063.300000000003</v>
      </c>
      <c r="M187" s="23">
        <f>ORÇAMENTO!K247</f>
        <v>1.3456517387522326E-3</v>
      </c>
      <c r="N187" s="23" t="str">
        <f t="shared" si="9"/>
        <v>DIFERENTE</v>
      </c>
      <c r="O187" s="23" t="str">
        <f t="shared" si="10"/>
        <v>DIFERENTE</v>
      </c>
      <c r="P187" s="23" t="str">
        <f t="shared" si="11"/>
        <v>DIFERENTE</v>
      </c>
    </row>
    <row r="188" spans="2:16" ht="43.5" x14ac:dyDescent="0.35">
      <c r="B188" s="43">
        <f t="shared" si="8"/>
        <v>29</v>
      </c>
      <c r="C188" s="44" t="str">
        <f>ORÇAMENTO!A257</f>
        <v>4.1.2.7.5</v>
      </c>
      <c r="D188" s="44" t="str">
        <f>ORÇAMENTO!B257</f>
        <v xml:space="preserve"> 94971 </v>
      </c>
      <c r="E188" s="44" t="str">
        <f>ORÇAMENTO!C257</f>
        <v>SINAPI</v>
      </c>
      <c r="F188" s="480" t="str">
        <f>ORÇAMENTO!D257</f>
        <v>CONCRETO FCK = 25MPA, TRAÇO 1:2,3:2,7 (EM MASSA SECA DE CIMENTO/ AREIA MÉDIA/ BRITA 1) - PREPARO MECÂNICO COM BETONEIRA 600 L. AF_05/2021</v>
      </c>
      <c r="G188" s="44" t="str">
        <f>ORÇAMENTO!E257</f>
        <v>M³</v>
      </c>
      <c r="H188" s="44">
        <f>ORÇAMENTO!F257</f>
        <v>66.2</v>
      </c>
      <c r="I188" s="44">
        <f>ORÇAMENTO!G257</f>
        <v>470.06</v>
      </c>
      <c r="J188" s="44">
        <f>ORÇAMENTO!H257</f>
        <v>0.2122</v>
      </c>
      <c r="K188" s="44">
        <f>ORÇAMENTO!I257</f>
        <v>569.80999999999995</v>
      </c>
      <c r="L188" s="44">
        <f>ORÇAMENTO!J257</f>
        <v>37721.42</v>
      </c>
      <c r="M188" s="23">
        <f>ORÇAMENTO!K257</f>
        <v>1.3335652560656388E-3</v>
      </c>
      <c r="N188" s="23" t="str">
        <f t="shared" si="9"/>
        <v>OK!</v>
      </c>
      <c r="O188" s="23" t="str">
        <f t="shared" si="10"/>
        <v>OK!</v>
      </c>
      <c r="P188" s="23" t="str">
        <f t="shared" si="11"/>
        <v>OK!</v>
      </c>
    </row>
    <row r="189" spans="2:16" ht="43.5" x14ac:dyDescent="0.35">
      <c r="B189" s="43">
        <f t="shared" si="8"/>
        <v>29</v>
      </c>
      <c r="C189" s="44" t="str">
        <f>ORÇAMENTO!A490</f>
        <v>5.1.2.6.46</v>
      </c>
      <c r="D189" s="44" t="str">
        <f>ORÇAMENTO!B490</f>
        <v xml:space="preserve"> 94971 </v>
      </c>
      <c r="E189" s="44" t="str">
        <f>ORÇAMENTO!C490</f>
        <v>SINAPI</v>
      </c>
      <c r="F189" s="480" t="str">
        <f>ORÇAMENTO!D490</f>
        <v>CONCRETO FCK = 25MPA, TRAÇO 1:2,3:2,7 (EM MASSA SECA DE CIMENTO/ AREIA MÉDIA/ BRITA 1) - PREPARO MECÂNICO COM BETONEIRA 600 L. AF_05/2021</v>
      </c>
      <c r="G189" s="44" t="str">
        <f>ORÇAMENTO!E490</f>
        <v>M³</v>
      </c>
      <c r="H189" s="44">
        <f>ORÇAMENTO!F490</f>
        <v>77.23</v>
      </c>
      <c r="I189" s="44">
        <f>ORÇAMENTO!G490</f>
        <v>470.06</v>
      </c>
      <c r="J189" s="44">
        <f>ORÇAMENTO!H490</f>
        <v>0.2122</v>
      </c>
      <c r="K189" s="44">
        <f>ORÇAMENTO!I490</f>
        <v>569.80999999999995</v>
      </c>
      <c r="L189" s="44">
        <f>ORÇAMENTO!J490</f>
        <v>44006.42</v>
      </c>
      <c r="M189" s="23">
        <f>ORÇAMENTO!K490</f>
        <v>1.5557588435385532E-3</v>
      </c>
      <c r="N189" s="23" t="str">
        <f t="shared" si="9"/>
        <v>OK!</v>
      </c>
      <c r="O189" s="23" t="str">
        <f t="shared" si="10"/>
        <v>OK!</v>
      </c>
      <c r="P189" s="23" t="str">
        <f t="shared" si="11"/>
        <v>OK!</v>
      </c>
    </row>
    <row r="190" spans="2:16" ht="43.5" x14ac:dyDescent="0.35">
      <c r="B190" s="43">
        <f t="shared" si="8"/>
        <v>29</v>
      </c>
      <c r="C190" s="44" t="str">
        <f>ORÇAMENTO!A500</f>
        <v>5.1.2.7.5</v>
      </c>
      <c r="D190" s="44" t="str">
        <f>ORÇAMENTO!B500</f>
        <v xml:space="preserve"> 94971 </v>
      </c>
      <c r="E190" s="44" t="str">
        <f>ORÇAMENTO!C500</f>
        <v>SINAPI</v>
      </c>
      <c r="F190" s="480" t="str">
        <f>ORÇAMENTO!D500</f>
        <v>CONCRETO FCK = 25MPA, TRAÇO 1:2,3:2,7 (EM MASSA SECA DE CIMENTO/ AREIA MÉDIA/ BRITA 1) - PREPARO MECÂNICO COM BETONEIRA 600 L. AF_05/2021</v>
      </c>
      <c r="G190" s="44" t="str">
        <f>ORÇAMENTO!E500</f>
        <v>M³</v>
      </c>
      <c r="H190" s="44">
        <f>ORÇAMENTO!F500</f>
        <v>85.73</v>
      </c>
      <c r="I190" s="44">
        <f>ORÇAMENTO!G500</f>
        <v>470.06</v>
      </c>
      <c r="J190" s="44">
        <f>ORÇAMENTO!H500</f>
        <v>0.2122</v>
      </c>
      <c r="K190" s="44">
        <f>ORÇAMENTO!I500</f>
        <v>569.80999999999995</v>
      </c>
      <c r="L190" s="44">
        <f>ORÇAMENTO!J500</f>
        <v>48849.81</v>
      </c>
      <c r="M190" s="23">
        <f>ORÇAMENTO!K500</f>
        <v>1.7269871967017097E-3</v>
      </c>
      <c r="N190" s="23" t="str">
        <f t="shared" si="9"/>
        <v>OK!</v>
      </c>
      <c r="O190" s="23" t="str">
        <f t="shared" si="10"/>
        <v>OK!</v>
      </c>
      <c r="P190" s="23" t="str">
        <f t="shared" si="11"/>
        <v>OK!</v>
      </c>
    </row>
    <row r="191" spans="2:16" ht="43.5" x14ac:dyDescent="0.35">
      <c r="B191" s="43">
        <f t="shared" si="8"/>
        <v>29</v>
      </c>
      <c r="C191" s="44" t="str">
        <f>ORÇAMENTO!A685</f>
        <v>6.1.2.6.38</v>
      </c>
      <c r="D191" s="44" t="str">
        <f>ORÇAMENTO!B685</f>
        <v xml:space="preserve"> 94971 </v>
      </c>
      <c r="E191" s="44" t="str">
        <f>ORÇAMENTO!C685</f>
        <v>SINAPI</v>
      </c>
      <c r="F191" s="480" t="str">
        <f>ORÇAMENTO!D685</f>
        <v>CONCRETO FCK = 25MPA, TRAÇO 1:2,3:2,7 (EM MASSA SECA DE CIMENTO/ AREIA MÉDIA/ BRITA 1) - PREPARO MECÂNICO COM BETONEIRA 600 L. AF_05/2021</v>
      </c>
      <c r="G191" s="44" t="str">
        <f>ORÇAMENTO!E685</f>
        <v>M³</v>
      </c>
      <c r="H191" s="44">
        <f>ORÇAMENTO!F685</f>
        <v>40.22</v>
      </c>
      <c r="I191" s="44">
        <f>ORÇAMENTO!G685</f>
        <v>470.06</v>
      </c>
      <c r="J191" s="44">
        <f>ORÇAMENTO!H685</f>
        <v>0.2122</v>
      </c>
      <c r="K191" s="44">
        <f>ORÇAMENTO!I685</f>
        <v>569.80999999999995</v>
      </c>
      <c r="L191" s="44">
        <f>ORÇAMENTO!J685</f>
        <v>22917.75</v>
      </c>
      <c r="M191" s="23">
        <f>ORÇAMENTO!K685</f>
        <v>8.1021115183888351E-4</v>
      </c>
      <c r="N191" s="23" t="str">
        <f t="shared" si="9"/>
        <v>OK!</v>
      </c>
      <c r="O191" s="23" t="str">
        <f t="shared" si="10"/>
        <v>OK!</v>
      </c>
      <c r="P191" s="23" t="str">
        <f t="shared" si="11"/>
        <v>OK!</v>
      </c>
    </row>
    <row r="192" spans="2:16" ht="43.5" x14ac:dyDescent="0.35">
      <c r="B192" s="43">
        <f t="shared" si="8"/>
        <v>29</v>
      </c>
      <c r="C192" s="44" t="str">
        <f>ORÇAMENTO!A695</f>
        <v>6.1.2.7.5</v>
      </c>
      <c r="D192" s="44" t="str">
        <f>ORÇAMENTO!B695</f>
        <v xml:space="preserve"> 94971 </v>
      </c>
      <c r="E192" s="44" t="str">
        <f>ORÇAMENTO!C695</f>
        <v>SINAPI</v>
      </c>
      <c r="F192" s="480" t="str">
        <f>ORÇAMENTO!D695</f>
        <v>CONCRETO FCK = 25MPA, TRAÇO 1:2,3:2,7 (EM MASSA SECA DE CIMENTO/ AREIA MÉDIA/ BRITA 1) - PREPARO MECÂNICO COM BETONEIRA 600 L. AF_05/2021</v>
      </c>
      <c r="G192" s="44" t="str">
        <f>ORÇAMENTO!E695</f>
        <v>M³</v>
      </c>
      <c r="H192" s="44">
        <f>ORÇAMENTO!F695</f>
        <v>11.95</v>
      </c>
      <c r="I192" s="44">
        <f>ORÇAMENTO!G695</f>
        <v>470.06</v>
      </c>
      <c r="J192" s="44">
        <f>ORÇAMENTO!H695</f>
        <v>0.2122</v>
      </c>
      <c r="K192" s="44">
        <f>ORÇAMENTO!I695</f>
        <v>569.80999999999995</v>
      </c>
      <c r="L192" s="44">
        <f>ORÇAMENTO!J695</f>
        <v>6809.22</v>
      </c>
      <c r="M192" s="23">
        <f>ORÇAMENTO!K695</f>
        <v>2.4072633567101317E-4</v>
      </c>
      <c r="N192" s="23" t="str">
        <f t="shared" si="9"/>
        <v>OK!</v>
      </c>
      <c r="O192" s="23" t="str">
        <f t="shared" si="10"/>
        <v>OK!</v>
      </c>
      <c r="P192" s="23" t="str">
        <f t="shared" si="11"/>
        <v>OK!</v>
      </c>
    </row>
    <row r="193" spans="2:16" ht="43.5" x14ac:dyDescent="0.35">
      <c r="B193" s="43">
        <f t="shared" si="8"/>
        <v>29</v>
      </c>
      <c r="C193" s="44" t="str">
        <f>ORÇAMENTO!A898</f>
        <v>7.1.2.6.45</v>
      </c>
      <c r="D193" s="44" t="str">
        <f>ORÇAMENTO!B898</f>
        <v xml:space="preserve"> 94971 </v>
      </c>
      <c r="E193" s="44" t="str">
        <f>ORÇAMENTO!C898</f>
        <v>SINAPI</v>
      </c>
      <c r="F193" s="480" t="str">
        <f>ORÇAMENTO!D898</f>
        <v>CONCRETO FCK = 25MPA, TRAÇO 1:2,3:2,7 (EM MASSA SECA DE CIMENTO/ AREIA MÉDIA/ BRITA 1) - PREPARO MECÂNICO COM BETONEIRA 600 L. AF_05/2021</v>
      </c>
      <c r="G193" s="44" t="str">
        <f>ORÇAMENTO!E898</f>
        <v>M³</v>
      </c>
      <c r="H193" s="44">
        <f>ORÇAMENTO!F898</f>
        <v>68.64</v>
      </c>
      <c r="I193" s="44">
        <f>ORÇAMENTO!G898</f>
        <v>470.06</v>
      </c>
      <c r="J193" s="44">
        <f>ORÇAMENTO!H898</f>
        <v>0.2122</v>
      </c>
      <c r="K193" s="44">
        <f>ORÇAMENTO!I898</f>
        <v>569.80999999999995</v>
      </c>
      <c r="L193" s="44">
        <f>ORÇAMENTO!J898</f>
        <v>39111.75</v>
      </c>
      <c r="M193" s="23">
        <f>ORÇAMENTO!K898</f>
        <v>1.3827175886784021E-3</v>
      </c>
      <c r="N193" s="23" t="str">
        <f t="shared" si="9"/>
        <v>OK!</v>
      </c>
      <c r="O193" s="23" t="str">
        <f t="shared" si="10"/>
        <v>OK!</v>
      </c>
      <c r="P193" s="23" t="str">
        <f t="shared" si="11"/>
        <v>OK!</v>
      </c>
    </row>
    <row r="194" spans="2:16" ht="43.5" x14ac:dyDescent="0.35">
      <c r="B194" s="43">
        <f t="shared" si="8"/>
        <v>29</v>
      </c>
      <c r="C194" s="44" t="str">
        <f>ORÇAMENTO!A908</f>
        <v>7.1.2.7.5</v>
      </c>
      <c r="D194" s="44" t="str">
        <f>ORÇAMENTO!B908</f>
        <v xml:space="preserve"> 94971 </v>
      </c>
      <c r="E194" s="44" t="str">
        <f>ORÇAMENTO!C908</f>
        <v>SINAPI</v>
      </c>
      <c r="F194" s="480" t="str">
        <f>ORÇAMENTO!D908</f>
        <v>CONCRETO FCK = 25MPA, TRAÇO 1:2,3:2,7 (EM MASSA SECA DE CIMENTO/ AREIA MÉDIA/ BRITA 1) - PREPARO MECÂNICO COM BETONEIRA 600 L. AF_05/2021</v>
      </c>
      <c r="G194" s="44" t="str">
        <f>ORÇAMENTO!E908</f>
        <v>M³</v>
      </c>
      <c r="H194" s="44">
        <f>ORÇAMENTO!F908</f>
        <v>102.3</v>
      </c>
      <c r="I194" s="44">
        <f>ORÇAMENTO!G908</f>
        <v>470.06</v>
      </c>
      <c r="J194" s="44">
        <f>ORÇAMENTO!H908</f>
        <v>0.2122</v>
      </c>
      <c r="K194" s="44">
        <f>ORÇAMENTO!I908</f>
        <v>569.80999999999995</v>
      </c>
      <c r="L194" s="44">
        <f>ORÇAMENTO!J908</f>
        <v>58291.56</v>
      </c>
      <c r="M194" s="23">
        <f>ORÇAMENTO!K908</f>
        <v>2.0607813581213419E-3</v>
      </c>
      <c r="N194" s="23" t="str">
        <f t="shared" si="9"/>
        <v>OK!</v>
      </c>
      <c r="O194" s="23" t="str">
        <f t="shared" si="10"/>
        <v>OK!</v>
      </c>
      <c r="P194" s="23" t="str">
        <f t="shared" si="11"/>
        <v>OK!</v>
      </c>
    </row>
    <row r="195" spans="2:16" ht="43.5" x14ac:dyDescent="0.35">
      <c r="B195" s="43">
        <f t="shared" ref="B195:B258" si="12">IF(EXACT(D194,D195),B194,B194+1)</f>
        <v>29</v>
      </c>
      <c r="C195" s="44" t="str">
        <f>ORÇAMENTO!A917</f>
        <v>7.1.2.8.3</v>
      </c>
      <c r="D195" s="44" t="str">
        <f>ORÇAMENTO!B917</f>
        <v xml:space="preserve"> 94971 </v>
      </c>
      <c r="E195" s="44" t="str">
        <f>ORÇAMENTO!C917</f>
        <v>SINAPI</v>
      </c>
      <c r="F195" s="480" t="str">
        <f>ORÇAMENTO!D917</f>
        <v>CONCRETO FCK = 25MPA, TRAÇO 1:2,3:2,7 (EM MASSA SECA DE CIMENTO/ AREIA MÉDIA/ BRITA 1) - PREPARO MECÂNICO COM BETONEIRA 600 L. AF_05/2021</v>
      </c>
      <c r="G195" s="44" t="str">
        <f>ORÇAMENTO!E917</f>
        <v>M³</v>
      </c>
      <c r="H195" s="44">
        <f>ORÇAMENTO!F917</f>
        <v>456.61</v>
      </c>
      <c r="I195" s="44">
        <f>ORÇAMENTO!G917</f>
        <v>470.06</v>
      </c>
      <c r="J195" s="44">
        <f>ORÇAMENTO!H917</f>
        <v>0.2122</v>
      </c>
      <c r="K195" s="44">
        <f>ORÇAMENTO!I917</f>
        <v>569.80999999999995</v>
      </c>
      <c r="L195" s="44">
        <f>ORÇAMENTO!J917</f>
        <v>260180.94</v>
      </c>
      <c r="M195" s="23">
        <f>ORÇAMENTO!K917</f>
        <v>9.1981760462490174E-3</v>
      </c>
      <c r="N195" s="23" t="str">
        <f t="shared" ref="N195:N258" si="13">IF(F195=F194,IF(G195=G194,"OK!","ERRADO"),"DIFERENTE")</f>
        <v>OK!</v>
      </c>
      <c r="O195" s="23" t="str">
        <f t="shared" ref="O195:O258" si="14">IF(F195=F194,IF(I195=I194,"OK!","ERRADO"),"DIFERENTE")</f>
        <v>OK!</v>
      </c>
      <c r="P195" s="23" t="str">
        <f t="shared" ref="P195:P258" si="15">IF(F195=F194,IF(D195=D194,"OK!","ERRADO"),"DIFERENTE")</f>
        <v>OK!</v>
      </c>
    </row>
    <row r="196" spans="2:16" ht="43.5" x14ac:dyDescent="0.35">
      <c r="B196" s="43">
        <f t="shared" si="12"/>
        <v>29</v>
      </c>
      <c r="C196" s="44" t="str">
        <f>ORÇAMENTO!A1032</f>
        <v xml:space="preserve"> 8.7.3</v>
      </c>
      <c r="D196" s="44" t="str">
        <f>ORÇAMENTO!B1032</f>
        <v xml:space="preserve"> 94971 </v>
      </c>
      <c r="E196" s="44" t="str">
        <f>ORÇAMENTO!C1032</f>
        <v>SINAPI</v>
      </c>
      <c r="F196" s="636" t="str">
        <f>ORÇAMENTO!D1032</f>
        <v>CONCRETO FCK = 25MPA, TRAÇO 1:2,3:2,7 (EM MASSA SECA DE CIMENTO/ AREIA MÉDIA/ BRITA 1) - PREPARO MECÂNICO COM BETONEIRA 600 L. AF_05/2021</v>
      </c>
      <c r="G196" s="44" t="str">
        <f>ORÇAMENTO!E1032</f>
        <v>M³</v>
      </c>
      <c r="H196" s="44">
        <f>ORÇAMENTO!F1032</f>
        <v>6.33</v>
      </c>
      <c r="I196" s="44">
        <f>ORÇAMENTO!G1032</f>
        <v>470.06</v>
      </c>
      <c r="J196" s="44">
        <f>ORÇAMENTO!H1032</f>
        <v>0.2122</v>
      </c>
      <c r="K196" s="44">
        <f>ORÇAMENTO!I1032</f>
        <v>569.80999999999995</v>
      </c>
      <c r="L196" s="638">
        <f>ORÇAMENTO!J1032</f>
        <v>3606.89</v>
      </c>
      <c r="M196" s="23">
        <f>ORÇAMENTO!K1032</f>
        <v>1.2751437211140493E-4</v>
      </c>
      <c r="N196" s="23" t="str">
        <f t="shared" si="13"/>
        <v>OK!</v>
      </c>
      <c r="O196" s="23" t="str">
        <f t="shared" si="14"/>
        <v>OK!</v>
      </c>
      <c r="P196" s="23" t="str">
        <f t="shared" si="15"/>
        <v>OK!</v>
      </c>
    </row>
    <row r="197" spans="2:16" ht="43.5" x14ac:dyDescent="0.35">
      <c r="B197" s="43">
        <f t="shared" si="12"/>
        <v>30</v>
      </c>
      <c r="C197" s="44" t="str">
        <f>ORÇAMENTO!A1013</f>
        <v xml:space="preserve"> 8.5.1 </v>
      </c>
      <c r="D197" s="44" t="str">
        <f>ORÇAMENTO!B1013</f>
        <v xml:space="preserve"> 94967 </v>
      </c>
      <c r="E197" s="44" t="str">
        <f>ORÇAMENTO!C1013</f>
        <v>SINAPI</v>
      </c>
      <c r="F197" s="636" t="str">
        <f>ORÇAMENTO!D1013</f>
        <v>CONCRETO FCK = 40MPA, TRAÇO 1:1,6:1,9 (EM MASSA SECA DE CIMENTO/ AREIA MÉDIA/ BRITA 1) - PREPARO MECÂNICO COM BETONEIRA 400 L. AF_05/2021</v>
      </c>
      <c r="G197" s="44" t="str">
        <f>ORÇAMENTO!E1013</f>
        <v>M³</v>
      </c>
      <c r="H197" s="44">
        <f>ORÇAMENTO!F1013</f>
        <v>19.05</v>
      </c>
      <c r="I197" s="44">
        <f>ORÇAMENTO!G1013</f>
        <v>542.6</v>
      </c>
      <c r="J197" s="44">
        <f>ORÇAMENTO!H1013</f>
        <v>0.2122</v>
      </c>
      <c r="K197" s="44">
        <f>ORÇAMENTO!I1013</f>
        <v>657.74</v>
      </c>
      <c r="L197" s="638">
        <f>ORÇAMENTO!J1013</f>
        <v>12529.94</v>
      </c>
      <c r="M197" s="23">
        <f>ORÇAMENTO!K1013</f>
        <v>4.4297093387754468E-4</v>
      </c>
      <c r="N197" s="23" t="str">
        <f t="shared" si="13"/>
        <v>DIFERENTE</v>
      </c>
      <c r="O197" s="23" t="str">
        <f t="shared" si="14"/>
        <v>DIFERENTE</v>
      </c>
      <c r="P197" s="23" t="str">
        <f t="shared" si="15"/>
        <v>DIFERENTE</v>
      </c>
    </row>
    <row r="198" spans="2:16" ht="43.5" x14ac:dyDescent="0.35">
      <c r="B198" s="43">
        <f t="shared" si="12"/>
        <v>30</v>
      </c>
      <c r="C198" s="44" t="str">
        <f>ORÇAMENTO!A1019</f>
        <v xml:space="preserve"> 8.6.2</v>
      </c>
      <c r="D198" s="44" t="str">
        <f>ORÇAMENTO!B1019</f>
        <v xml:space="preserve"> 94967 </v>
      </c>
      <c r="E198" s="44" t="str">
        <f>ORÇAMENTO!C1019</f>
        <v>SINAPI</v>
      </c>
      <c r="F198" s="636" t="str">
        <f>ORÇAMENTO!D1019</f>
        <v>CONCRETO FCK = 40MPA, TRAÇO 1:1,6:1,9 (EM MASSA SECA DE CIMENTO/ AREIA MÉDIA/ BRITA 1) - PREPARO MECÂNICO COM BETONEIRA 400 L. AF_05/2021</v>
      </c>
      <c r="G198" s="44" t="str">
        <f>ORÇAMENTO!E1019</f>
        <v>M³</v>
      </c>
      <c r="H198" s="44">
        <f>ORÇAMENTO!F1019</f>
        <v>18.078000000000003</v>
      </c>
      <c r="I198" s="44">
        <f>ORÇAMENTO!G1019</f>
        <v>542.6</v>
      </c>
      <c r="J198" s="44">
        <f>ORÇAMENTO!H1019</f>
        <v>0.2122</v>
      </c>
      <c r="K198" s="44">
        <f>ORÇAMENTO!I1019</f>
        <v>657.74</v>
      </c>
      <c r="L198" s="638">
        <f>ORÇAMENTO!J1019</f>
        <v>11890.62</v>
      </c>
      <c r="M198" s="23">
        <f>ORÇAMENTO!K1019</f>
        <v>4.2036905570042721E-4</v>
      </c>
      <c r="N198" s="23" t="str">
        <f t="shared" si="13"/>
        <v>OK!</v>
      </c>
      <c r="O198" s="23" t="str">
        <f t="shared" si="14"/>
        <v>OK!</v>
      </c>
      <c r="P198" s="23" t="str">
        <f t="shared" si="15"/>
        <v>OK!</v>
      </c>
    </row>
    <row r="199" spans="2:16" ht="29" x14ac:dyDescent="0.35">
      <c r="B199" s="43">
        <f t="shared" si="12"/>
        <v>31</v>
      </c>
      <c r="C199" s="44" t="str">
        <f>ORÇAMENTO!A1007</f>
        <v xml:space="preserve"> 8.4.6</v>
      </c>
      <c r="D199" s="44" t="str">
        <f>ORÇAMENTO!B1007</f>
        <v xml:space="preserve"> 1106057 </v>
      </c>
      <c r="E199" s="44" t="str">
        <f>ORÇAMENTO!C1007</f>
        <v>SICRO3</v>
      </c>
      <c r="F199" s="636" t="str">
        <f>ORÇAMENTO!D1007</f>
        <v>CONCRETO MAGRO - CONFECÇÃO EM BETONEIRA E LANÇAMENTO MANUAL - AREIA E BRITA COMERCIAIS</v>
      </c>
      <c r="G199" s="44" t="str">
        <f>ORÇAMENTO!E1007</f>
        <v>M³</v>
      </c>
      <c r="H199" s="44">
        <f>ORÇAMENTO!F1007</f>
        <v>1.1959999999999993</v>
      </c>
      <c r="I199" s="44">
        <f>ORÇAMENTO!G1007</f>
        <v>436.27</v>
      </c>
      <c r="J199" s="44">
        <f>ORÇAMENTO!H1007</f>
        <v>0.2122</v>
      </c>
      <c r="K199" s="44">
        <f>ORÇAMENTO!I1007</f>
        <v>528.85</v>
      </c>
      <c r="L199" s="638">
        <f>ORÇAMENTO!J1007</f>
        <v>632.5</v>
      </c>
      <c r="M199" s="23">
        <f>ORÇAMENTO!K1007</f>
        <v>2.2360770736136567E-5</v>
      </c>
      <c r="N199" s="23" t="str">
        <f t="shared" si="13"/>
        <v>DIFERENTE</v>
      </c>
      <c r="O199" s="23" t="str">
        <f t="shared" si="14"/>
        <v>DIFERENTE</v>
      </c>
      <c r="P199" s="23" t="str">
        <f t="shared" si="15"/>
        <v>DIFERENTE</v>
      </c>
    </row>
    <row r="200" spans="2:16" ht="29" x14ac:dyDescent="0.35">
      <c r="B200" s="43">
        <f t="shared" si="12"/>
        <v>31</v>
      </c>
      <c r="C200" s="44" t="str">
        <f>ORÇAMENTO!A1018</f>
        <v xml:space="preserve"> 8.6.1 </v>
      </c>
      <c r="D200" s="44" t="str">
        <f>ORÇAMENTO!B1018</f>
        <v xml:space="preserve"> 1106057 </v>
      </c>
      <c r="E200" s="44" t="str">
        <f>ORÇAMENTO!C1018</f>
        <v>SICRO3</v>
      </c>
      <c r="F200" s="636" t="str">
        <f>ORÇAMENTO!D1018</f>
        <v>CONCRETO MAGRO - CONFECÇÃO EM BETONEIRA E LANÇAMENTO MANUAL - AREIA E BRITA COMERCIAIS</v>
      </c>
      <c r="G200" s="44" t="str">
        <f>ORÇAMENTO!E1018</f>
        <v>M³</v>
      </c>
      <c r="H200" s="44">
        <f>ORÇAMENTO!F1018</f>
        <v>1.2740000000000002</v>
      </c>
      <c r="I200" s="44">
        <f>ORÇAMENTO!G1018</f>
        <v>436.27</v>
      </c>
      <c r="J200" s="44">
        <f>ORÇAMENTO!H1018</f>
        <v>0.2122</v>
      </c>
      <c r="K200" s="44">
        <f>ORÇAMENTO!I1018</f>
        <v>528.85</v>
      </c>
      <c r="L200" s="638">
        <f>ORÇAMENTO!J1018</f>
        <v>673.75</v>
      </c>
      <c r="M200" s="23">
        <f>ORÇAMENTO!K1018</f>
        <v>2.3819081871101993E-5</v>
      </c>
      <c r="N200" s="23" t="str">
        <f t="shared" si="13"/>
        <v>OK!</v>
      </c>
      <c r="O200" s="23" t="str">
        <f t="shared" si="14"/>
        <v>OK!</v>
      </c>
      <c r="P200" s="23" t="str">
        <f t="shared" si="15"/>
        <v>OK!</v>
      </c>
    </row>
    <row r="201" spans="2:16" ht="43.5" x14ac:dyDescent="0.35">
      <c r="B201" s="43">
        <f t="shared" si="12"/>
        <v>32</v>
      </c>
      <c r="C201" s="44" t="str">
        <f>ORÇAMENTO!A243</f>
        <v>4.1.2.6.41</v>
      </c>
      <c r="D201" s="44" t="str">
        <f>ORÇAMENTO!B243</f>
        <v xml:space="preserve"> 94968 </v>
      </c>
      <c r="E201" s="44" t="str">
        <f>ORÇAMENTO!C243</f>
        <v>SINAPI</v>
      </c>
      <c r="F201" s="480" t="str">
        <f>ORÇAMENTO!D243</f>
        <v>CONCRETO MAGRO PARA LASTRO, TRAÇO 1:4,5:4,5 (EM MASSA SECA DE CIMENTO/ AREIA MÉDIA/ BRITA 1) - PREPARO MECÂNICO COM BETONEIRA 600 L. AF_05/2021</v>
      </c>
      <c r="G201" s="44" t="str">
        <f>ORÇAMENTO!E243</f>
        <v>M³</v>
      </c>
      <c r="H201" s="44">
        <f>ORÇAMENTO!F243</f>
        <v>16.579999999999998</v>
      </c>
      <c r="I201" s="44">
        <f>ORÇAMENTO!G243</f>
        <v>403.4</v>
      </c>
      <c r="J201" s="44">
        <f>ORÇAMENTO!H243</f>
        <v>0.2122</v>
      </c>
      <c r="K201" s="44">
        <f>ORÇAMENTO!I243</f>
        <v>489</v>
      </c>
      <c r="L201" s="44">
        <f>ORÇAMENTO!J243</f>
        <v>8107.62</v>
      </c>
      <c r="M201" s="23">
        <f>ORÇAMENTO!K243</f>
        <v>2.8662866725014314E-4</v>
      </c>
      <c r="N201" s="23" t="str">
        <f t="shared" si="13"/>
        <v>DIFERENTE</v>
      </c>
      <c r="O201" s="23" t="str">
        <f t="shared" si="14"/>
        <v>DIFERENTE</v>
      </c>
      <c r="P201" s="23" t="str">
        <f t="shared" si="15"/>
        <v>DIFERENTE</v>
      </c>
    </row>
    <row r="202" spans="2:16" ht="43.5" x14ac:dyDescent="0.35">
      <c r="B202" s="43">
        <f t="shared" si="12"/>
        <v>32</v>
      </c>
      <c r="C202" s="44" t="str">
        <f>ORÇAMENTO!A486</f>
        <v>5.1.2.6.42</v>
      </c>
      <c r="D202" s="44" t="str">
        <f>ORÇAMENTO!B486</f>
        <v xml:space="preserve"> 94968 </v>
      </c>
      <c r="E202" s="44" t="str">
        <f>ORÇAMENTO!C486</f>
        <v>SINAPI</v>
      </c>
      <c r="F202" s="480" t="str">
        <f>ORÇAMENTO!D486</f>
        <v>CONCRETO MAGRO PARA LASTRO, TRAÇO 1:4,5:4,5 (EM MASSA SECA DE CIMENTO/ AREIA MÉDIA/ BRITA 1) - PREPARO MECÂNICO COM BETONEIRA 600 L. AF_05/2021</v>
      </c>
      <c r="G202" s="44" t="str">
        <f>ORÇAMENTO!E486</f>
        <v>M³</v>
      </c>
      <c r="H202" s="44">
        <f>ORÇAMENTO!F486</f>
        <v>18.98</v>
      </c>
      <c r="I202" s="44">
        <f>ORÇAMENTO!G486</f>
        <v>403.4</v>
      </c>
      <c r="J202" s="44">
        <f>ORÇAMENTO!H486</f>
        <v>0.2122</v>
      </c>
      <c r="K202" s="44">
        <f>ORÇAMENTO!I486</f>
        <v>489</v>
      </c>
      <c r="L202" s="44">
        <f>ORÇAMENTO!J486</f>
        <v>9281.2199999999993</v>
      </c>
      <c r="M202" s="23">
        <f>ORÇAMENTO!K486</f>
        <v>3.2811894477730502E-4</v>
      </c>
      <c r="N202" s="23" t="str">
        <f t="shared" si="13"/>
        <v>OK!</v>
      </c>
      <c r="O202" s="23" t="str">
        <f t="shared" si="14"/>
        <v>OK!</v>
      </c>
      <c r="P202" s="23" t="str">
        <f t="shared" si="15"/>
        <v>OK!</v>
      </c>
    </row>
    <row r="203" spans="2:16" ht="43.5" x14ac:dyDescent="0.35">
      <c r="B203" s="43">
        <f t="shared" si="12"/>
        <v>32</v>
      </c>
      <c r="C203" s="44" t="str">
        <f>ORÇAMENTO!A681</f>
        <v>6.1.2.6.34</v>
      </c>
      <c r="D203" s="44" t="str">
        <f>ORÇAMENTO!B681</f>
        <v xml:space="preserve"> 94968 </v>
      </c>
      <c r="E203" s="44" t="str">
        <f>ORÇAMENTO!C681</f>
        <v>SINAPI</v>
      </c>
      <c r="F203" s="480" t="str">
        <f>ORÇAMENTO!D681</f>
        <v>CONCRETO MAGRO PARA LASTRO, TRAÇO 1:4,5:4,5 (EM MASSA SECA DE CIMENTO/ AREIA MÉDIA/ BRITA 1) - PREPARO MECÂNICO COM BETONEIRA 600 L. AF_05/2021</v>
      </c>
      <c r="G203" s="44" t="str">
        <f>ORÇAMENTO!E681</f>
        <v>M³</v>
      </c>
      <c r="H203" s="44">
        <f>ORÇAMENTO!F681</f>
        <v>10.52</v>
      </c>
      <c r="I203" s="44">
        <f>ORÇAMENTO!G681</f>
        <v>403.4</v>
      </c>
      <c r="J203" s="44">
        <f>ORÇAMENTO!H681</f>
        <v>0.2122</v>
      </c>
      <c r="K203" s="44">
        <f>ORÇAMENTO!I681</f>
        <v>489</v>
      </c>
      <c r="L203" s="44">
        <f>ORÇAMENTO!J681</f>
        <v>5144.28</v>
      </c>
      <c r="M203" s="23">
        <f>ORÇAMENTO!K681</f>
        <v>1.8186571649405947E-4</v>
      </c>
      <c r="N203" s="23" t="str">
        <f t="shared" si="13"/>
        <v>OK!</v>
      </c>
      <c r="O203" s="23" t="str">
        <f t="shared" si="14"/>
        <v>OK!</v>
      </c>
      <c r="P203" s="23" t="str">
        <f t="shared" si="15"/>
        <v>OK!</v>
      </c>
    </row>
    <row r="204" spans="2:16" ht="43.5" x14ac:dyDescent="0.35">
      <c r="B204" s="43">
        <f t="shared" si="12"/>
        <v>32</v>
      </c>
      <c r="C204" s="44" t="str">
        <f>ORÇAMENTO!A894</f>
        <v>7.1.2.6.41</v>
      </c>
      <c r="D204" s="44" t="str">
        <f>ORÇAMENTO!B894</f>
        <v xml:space="preserve"> 94968 </v>
      </c>
      <c r="E204" s="44" t="str">
        <f>ORÇAMENTO!C894</f>
        <v>SINAPI</v>
      </c>
      <c r="F204" s="480" t="str">
        <f>ORÇAMENTO!D894</f>
        <v>CONCRETO MAGRO PARA LASTRO, TRAÇO 1:4,5:4,5 (EM MASSA SECA DE CIMENTO/ AREIA MÉDIA/ BRITA 1) - PREPARO MECÂNICO COM BETONEIRA 600 L. AF_05/2021</v>
      </c>
      <c r="G204" s="44" t="str">
        <f>ORÇAMENTO!E894</f>
        <v>M³</v>
      </c>
      <c r="H204" s="44">
        <f>ORÇAMENTO!F894</f>
        <v>15.77</v>
      </c>
      <c r="I204" s="44">
        <f>ORÇAMENTO!G894</f>
        <v>403.4</v>
      </c>
      <c r="J204" s="44">
        <f>ORÇAMENTO!H894</f>
        <v>0.2122</v>
      </c>
      <c r="K204" s="44">
        <f>ORÇAMENTO!I894</f>
        <v>489</v>
      </c>
      <c r="L204" s="44">
        <f>ORÇAMENTO!J894</f>
        <v>7711.53</v>
      </c>
      <c r="M204" s="23">
        <f>ORÇAMENTO!K894</f>
        <v>2.7262569858472601E-4</v>
      </c>
      <c r="N204" s="23" t="str">
        <f t="shared" si="13"/>
        <v>OK!</v>
      </c>
      <c r="O204" s="23" t="str">
        <f t="shared" si="14"/>
        <v>OK!</v>
      </c>
      <c r="P204" s="23" t="str">
        <f t="shared" si="15"/>
        <v>OK!</v>
      </c>
    </row>
    <row r="205" spans="2:16" ht="29" x14ac:dyDescent="0.35">
      <c r="B205" s="43">
        <f t="shared" si="12"/>
        <v>33</v>
      </c>
      <c r="C205" s="44" t="str">
        <f>ORÇAMENTO!A99</f>
        <v>4.1.1.1.10</v>
      </c>
      <c r="D205" s="44" t="str">
        <f>ORÇAMENTO!B99</f>
        <v xml:space="preserve"> 5213835 </v>
      </c>
      <c r="E205" s="44" t="str">
        <f>ORÇAMENTO!C99</f>
        <v>SICRO3</v>
      </c>
      <c r="F205" s="480" t="str">
        <f>ORÇAMENTO!D99</f>
        <v>CONE PLÁSTICO PARA CANALIZAÇÃO DE TRÂNSITO - UTILIZAÇÃO DE 150 CICLOS - FORNECIMENTO, 01 IMPLANTAÇÃO E 01 RETIRADA DIÁRIA</v>
      </c>
      <c r="G205" s="44" t="str">
        <f>ORÇAMENTO!E99</f>
        <v>UN.DIA</v>
      </c>
      <c r="H205" s="44">
        <f>ORÇAMENTO!F99</f>
        <v>1107</v>
      </c>
      <c r="I205" s="44">
        <f>ORÇAMENTO!G99</f>
        <v>0.78</v>
      </c>
      <c r="J205" s="44">
        <f>ORÇAMENTO!H99</f>
        <v>0.2122</v>
      </c>
      <c r="K205" s="44">
        <f>ORÇAMENTO!I99</f>
        <v>0.95</v>
      </c>
      <c r="L205" s="44">
        <f>ORÇAMENTO!J99</f>
        <v>1051.6500000000001</v>
      </c>
      <c r="M205" s="23">
        <f>ORÇAMENTO!K99</f>
        <v>3.7178979517245887E-5</v>
      </c>
      <c r="N205" s="23" t="str">
        <f t="shared" si="13"/>
        <v>DIFERENTE</v>
      </c>
      <c r="O205" s="23" t="str">
        <f t="shared" si="14"/>
        <v>DIFERENTE</v>
      </c>
      <c r="P205" s="23" t="str">
        <f t="shared" si="15"/>
        <v>DIFERENTE</v>
      </c>
    </row>
    <row r="206" spans="2:16" ht="29" x14ac:dyDescent="0.35">
      <c r="B206" s="43">
        <f t="shared" si="12"/>
        <v>33</v>
      </c>
      <c r="C206" s="44" t="str">
        <f>ORÇAMENTO!A340</f>
        <v>5.1.1.1.10</v>
      </c>
      <c r="D206" s="44" t="str">
        <f>ORÇAMENTO!B340</f>
        <v xml:space="preserve"> 5213835 </v>
      </c>
      <c r="E206" s="44" t="str">
        <f>ORÇAMENTO!C340</f>
        <v>SICRO3</v>
      </c>
      <c r="F206" s="480" t="str">
        <f>ORÇAMENTO!D340</f>
        <v>CONE PLÁSTICO PARA CANALIZAÇÃO DE TRÂNSITO - UTILIZAÇÃO DE 150 CICLOS - FORNECIMENTO, 01 IMPLANTAÇÃO E 01 RETIRADA DIÁRIA</v>
      </c>
      <c r="G206" s="44" t="str">
        <f>ORÇAMENTO!E340</f>
        <v>UN.DIA</v>
      </c>
      <c r="H206" s="44">
        <f>ORÇAMENTO!F340</f>
        <v>1923</v>
      </c>
      <c r="I206" s="44">
        <f>ORÇAMENTO!G340</f>
        <v>0.78</v>
      </c>
      <c r="J206" s="44">
        <f>ORÇAMENTO!H340</f>
        <v>0.2122</v>
      </c>
      <c r="K206" s="44">
        <f>ORÇAMENTO!I340</f>
        <v>0.95</v>
      </c>
      <c r="L206" s="44">
        <f>ORÇAMENTO!J340</f>
        <v>1826.85</v>
      </c>
      <c r="M206" s="23">
        <f>ORÇAMENTO!K340</f>
        <v>6.458462295543255E-5</v>
      </c>
      <c r="N206" s="23" t="str">
        <f t="shared" si="13"/>
        <v>OK!</v>
      </c>
      <c r="O206" s="23" t="str">
        <f t="shared" si="14"/>
        <v>OK!</v>
      </c>
      <c r="P206" s="23" t="str">
        <f t="shared" si="15"/>
        <v>OK!</v>
      </c>
    </row>
    <row r="207" spans="2:16" ht="29" x14ac:dyDescent="0.35">
      <c r="B207" s="43">
        <f t="shared" si="12"/>
        <v>33</v>
      </c>
      <c r="C207" s="44" t="str">
        <f>ORÇAMENTO!A553</f>
        <v>6.1.1.1.10</v>
      </c>
      <c r="D207" s="44" t="str">
        <f>ORÇAMENTO!B553</f>
        <v xml:space="preserve"> 5213835 </v>
      </c>
      <c r="E207" s="44" t="str">
        <f>ORÇAMENTO!C553</f>
        <v>SICRO3</v>
      </c>
      <c r="F207" s="480" t="str">
        <f>ORÇAMENTO!D553</f>
        <v>CONE PLÁSTICO PARA CANALIZAÇÃO DE TRÂNSITO - UTILIZAÇÃO DE 150 CICLOS - FORNECIMENTO, 01 IMPLANTAÇÃO E 01 RETIRADA DIÁRIA</v>
      </c>
      <c r="G207" s="44" t="str">
        <f>ORÇAMENTO!E553</f>
        <v>UN.DIA</v>
      </c>
      <c r="H207" s="44">
        <f>ORÇAMENTO!F553</f>
        <v>643</v>
      </c>
      <c r="I207" s="44">
        <f>ORÇAMENTO!G553</f>
        <v>0.78</v>
      </c>
      <c r="J207" s="44">
        <f>ORÇAMENTO!H553</f>
        <v>0.2122</v>
      </c>
      <c r="K207" s="44">
        <f>ORÇAMENTO!I553</f>
        <v>0.95</v>
      </c>
      <c r="L207" s="44">
        <f>ORÇAMENTO!J553</f>
        <v>610.85</v>
      </c>
      <c r="M207" s="23">
        <f>ORÇAMENTO!K553</f>
        <v>2.1595378346512288E-5</v>
      </c>
      <c r="N207" s="23" t="str">
        <f t="shared" si="13"/>
        <v>OK!</v>
      </c>
      <c r="O207" s="23" t="str">
        <f t="shared" si="14"/>
        <v>OK!</v>
      </c>
      <c r="P207" s="23" t="str">
        <f t="shared" si="15"/>
        <v>OK!</v>
      </c>
    </row>
    <row r="208" spans="2:16" ht="29" x14ac:dyDescent="0.35">
      <c r="B208" s="43">
        <f t="shared" si="12"/>
        <v>33</v>
      </c>
      <c r="C208" s="44" t="str">
        <f>ORÇAMENTO!A743</f>
        <v>7.1.1.1.10</v>
      </c>
      <c r="D208" s="44" t="str">
        <f>ORÇAMENTO!B743</f>
        <v xml:space="preserve"> 5213835 </v>
      </c>
      <c r="E208" s="44" t="str">
        <f>ORÇAMENTO!C743</f>
        <v>SICRO3</v>
      </c>
      <c r="F208" s="480" t="str">
        <f>ORÇAMENTO!D743</f>
        <v>CONE PLÁSTICO PARA CANALIZAÇÃO DE TRÂNSITO - UTILIZAÇÃO DE 150 CICLOS - FORNECIMENTO, 01 IMPLANTAÇÃO E 01 RETIRADA DIÁRIA</v>
      </c>
      <c r="G208" s="44" t="str">
        <f>ORÇAMENTO!E743</f>
        <v>UN.DIA</v>
      </c>
      <c r="H208" s="44">
        <f>ORÇAMENTO!F743</f>
        <v>2340</v>
      </c>
      <c r="I208" s="44">
        <f>ORÇAMENTO!G743</f>
        <v>0.78</v>
      </c>
      <c r="J208" s="44">
        <f>ORÇAMENTO!H743</f>
        <v>0.2122</v>
      </c>
      <c r="K208" s="44">
        <f>ORÇAMENTO!I743</f>
        <v>0.95</v>
      </c>
      <c r="L208" s="44">
        <f>ORÇAMENTO!J743</f>
        <v>2223</v>
      </c>
      <c r="M208" s="23">
        <f>ORÇAMENTO!K743</f>
        <v>7.8589712800682346E-5</v>
      </c>
      <c r="N208" s="23" t="str">
        <f t="shared" si="13"/>
        <v>OK!</v>
      </c>
      <c r="O208" s="23" t="str">
        <f t="shared" si="14"/>
        <v>OK!</v>
      </c>
      <c r="P208" s="23" t="str">
        <f t="shared" si="15"/>
        <v>OK!</v>
      </c>
    </row>
    <row r="209" spans="2:16" ht="29" x14ac:dyDescent="0.35">
      <c r="B209" s="43">
        <f t="shared" si="12"/>
        <v>33</v>
      </c>
      <c r="C209" s="44" t="str">
        <f>ORÇAMENTO!A1043</f>
        <v xml:space="preserve"> 8.8.7</v>
      </c>
      <c r="D209" s="44" t="str">
        <f>ORÇAMENTO!B1043</f>
        <v xml:space="preserve"> 5213835 </v>
      </c>
      <c r="E209" s="44" t="str">
        <f>ORÇAMENTO!C1043</f>
        <v>SICRO3</v>
      </c>
      <c r="F209" s="636" t="str">
        <f>ORÇAMENTO!D1043</f>
        <v>CONE PLÁSTICO PARA CANALIZAÇÃO DE TRÂNSITO - UTILIZAÇÃO DE 150 CICLOS - FORNECIMENTO, 01 IMPLANTAÇÃO E 01 RETIRADA DIÁRIA</v>
      </c>
      <c r="G209" s="44" t="str">
        <f>ORÇAMENTO!E1043</f>
        <v>UN.DIA</v>
      </c>
      <c r="H209" s="44">
        <f>ORÇAMENTO!F1043</f>
        <v>25</v>
      </c>
      <c r="I209" s="44">
        <f>ORÇAMENTO!G1043</f>
        <v>0.78</v>
      </c>
      <c r="J209" s="44">
        <f>ORÇAMENTO!H1043</f>
        <v>0.2122</v>
      </c>
      <c r="K209" s="44">
        <f>ORÇAMENTO!I1043</f>
        <v>0.95</v>
      </c>
      <c r="L209" s="638">
        <f>ORÇAMENTO!J1043</f>
        <v>23.75</v>
      </c>
      <c r="M209" s="23">
        <f>ORÇAMENTO!K1043</f>
        <v>8.3963368376797383E-7</v>
      </c>
      <c r="N209" s="23" t="str">
        <f t="shared" si="13"/>
        <v>OK!</v>
      </c>
      <c r="O209" s="23" t="str">
        <f t="shared" si="14"/>
        <v>OK!</v>
      </c>
      <c r="P209" s="23" t="str">
        <f t="shared" si="15"/>
        <v>OK!</v>
      </c>
    </row>
    <row r="210" spans="2:16" ht="43.5" x14ac:dyDescent="0.35">
      <c r="B210" s="43">
        <f t="shared" si="12"/>
        <v>34</v>
      </c>
      <c r="C210" s="44" t="str">
        <f>ORÇAMENTO!A177</f>
        <v>4.1.2.4.10</v>
      </c>
      <c r="D210" s="44" t="str">
        <f>ORÇAMENTO!B177</f>
        <v xml:space="preserve"> 95995 M </v>
      </c>
      <c r="E210" s="44" t="str">
        <f>ORÇAMENTO!C177</f>
        <v>PRÓPRIO</v>
      </c>
      <c r="F210" s="480" t="str">
        <f>ORÇAMENTO!D177</f>
        <v>CONSTRUÇÃO DE PAVIMENTO COM APLICAÇÃO CONCRETO BETUMINOSO USINADO A QUENTE (CBUQ), CAMADA DE ROLAMENTO - EXCLUSIVE TRANSPORTE E CARGA  AF_03/2017 (SEM MATERIAL)</v>
      </c>
      <c r="G210" s="44" t="str">
        <f>ORÇAMENTO!E177</f>
        <v>M³</v>
      </c>
      <c r="H210" s="44">
        <f>ORÇAMENTO!F177</f>
        <v>53.503024891095301</v>
      </c>
      <c r="I210" s="44">
        <f>ORÇAMENTO!G177</f>
        <v>124.59</v>
      </c>
      <c r="J210" s="44">
        <f>ORÇAMENTO!H177</f>
        <v>0.2122</v>
      </c>
      <c r="K210" s="44">
        <f>ORÇAMENTO!I177</f>
        <v>151.03</v>
      </c>
      <c r="L210" s="44">
        <f>ORÇAMENTO!J177</f>
        <v>8080.56</v>
      </c>
      <c r="M210" s="23">
        <f>ORÇAMENTO!K177</f>
        <v>2.8567201514560585E-4</v>
      </c>
      <c r="N210" s="23" t="str">
        <f t="shared" si="13"/>
        <v>DIFERENTE</v>
      </c>
      <c r="O210" s="23" t="str">
        <f t="shared" si="14"/>
        <v>DIFERENTE</v>
      </c>
      <c r="P210" s="23" t="str">
        <f t="shared" si="15"/>
        <v>DIFERENTE</v>
      </c>
    </row>
    <row r="211" spans="2:16" ht="43.5" x14ac:dyDescent="0.35">
      <c r="B211" s="43">
        <f t="shared" si="12"/>
        <v>34</v>
      </c>
      <c r="C211" s="44" t="str">
        <f>ORÇAMENTO!A226</f>
        <v>4.1.2.6.24</v>
      </c>
      <c r="D211" s="44" t="str">
        <f>ORÇAMENTO!B226</f>
        <v xml:space="preserve"> 95995 M </v>
      </c>
      <c r="E211" s="44" t="str">
        <f>ORÇAMENTO!C226</f>
        <v>PRÓPRIO</v>
      </c>
      <c r="F211" s="480" t="str">
        <f>ORÇAMENTO!D226</f>
        <v>CONSTRUÇÃO DE PAVIMENTO COM APLICAÇÃO CONCRETO BETUMINOSO USINADO A QUENTE (CBUQ), CAMADA DE ROLAMENTO - EXCLUSIVE TRANSPORTE E CARGA  AF_03/2017 (SEM MATERIAL)</v>
      </c>
      <c r="G211" s="44" t="str">
        <f>ORÇAMENTO!E226</f>
        <v>M³</v>
      </c>
      <c r="H211" s="44">
        <f>ORÇAMENTO!F226</f>
        <v>6.78</v>
      </c>
      <c r="I211" s="44">
        <f>ORÇAMENTO!G226</f>
        <v>124.59</v>
      </c>
      <c r="J211" s="44">
        <f>ORÇAMENTO!H226</f>
        <v>0.2122</v>
      </c>
      <c r="K211" s="44">
        <f>ORÇAMENTO!I226</f>
        <v>151.03</v>
      </c>
      <c r="L211" s="44">
        <f>ORÇAMENTO!J226</f>
        <v>1023.98</v>
      </c>
      <c r="M211" s="23">
        <f>ORÇAMENTO!K226</f>
        <v>3.6200762084409676E-5</v>
      </c>
      <c r="N211" s="23" t="str">
        <f t="shared" si="13"/>
        <v>OK!</v>
      </c>
      <c r="O211" s="23" t="str">
        <f t="shared" si="14"/>
        <v>OK!</v>
      </c>
      <c r="P211" s="23" t="str">
        <f t="shared" si="15"/>
        <v>OK!</v>
      </c>
    </row>
    <row r="212" spans="2:16" ht="43.5" x14ac:dyDescent="0.35">
      <c r="B212" s="43">
        <f t="shared" si="12"/>
        <v>34</v>
      </c>
      <c r="C212" s="44" t="str">
        <f>ORÇAMENTO!A286</f>
        <v>4.2.4.7</v>
      </c>
      <c r="D212" s="44" t="str">
        <f>ORÇAMENTO!B286</f>
        <v xml:space="preserve"> 95995 M </v>
      </c>
      <c r="E212" s="44" t="str">
        <f>ORÇAMENTO!C286</f>
        <v>PRÓPRIO</v>
      </c>
      <c r="F212" s="480" t="str">
        <f>ORÇAMENTO!D286</f>
        <v>CONSTRUÇÃO DE PAVIMENTO COM APLICAÇÃO CONCRETO BETUMINOSO USINADO A QUENTE (CBUQ), CAMADA DE ROLAMENTO - EXCLUSIVE TRANSPORTE E CARGA  AF_03/2017 (SEM MATERIAL)</v>
      </c>
      <c r="G212" s="44" t="str">
        <f>ORÇAMENTO!E286</f>
        <v>M³</v>
      </c>
      <c r="H212" s="44">
        <f>ORÇAMENTO!F286</f>
        <v>115.28</v>
      </c>
      <c r="I212" s="44">
        <f>ORÇAMENTO!G286</f>
        <v>124.59</v>
      </c>
      <c r="J212" s="44">
        <f>ORÇAMENTO!H286</f>
        <v>0.2122</v>
      </c>
      <c r="K212" s="44">
        <f>ORÇAMENTO!I286</f>
        <v>151.03</v>
      </c>
      <c r="L212" s="44">
        <f>ORÇAMENTO!J286</f>
        <v>17410.73</v>
      </c>
      <c r="M212" s="23">
        <f>ORÇAMENTO!K286</f>
        <v>6.155214891364031E-4</v>
      </c>
      <c r="N212" s="23" t="str">
        <f t="shared" si="13"/>
        <v>OK!</v>
      </c>
      <c r="O212" s="23" t="str">
        <f t="shared" si="14"/>
        <v>OK!</v>
      </c>
      <c r="P212" s="23" t="str">
        <f t="shared" si="15"/>
        <v>OK!</v>
      </c>
    </row>
    <row r="213" spans="2:16" ht="43.5" x14ac:dyDescent="0.35">
      <c r="B213" s="43">
        <f t="shared" si="12"/>
        <v>34</v>
      </c>
      <c r="C213" s="44" t="str">
        <f>ORÇAMENTO!A311</f>
        <v>4.4.7</v>
      </c>
      <c r="D213" s="44" t="str">
        <f>ORÇAMENTO!B311</f>
        <v xml:space="preserve"> 95995 M </v>
      </c>
      <c r="E213" s="44" t="str">
        <f>ORÇAMENTO!C311</f>
        <v>PRÓPRIO</v>
      </c>
      <c r="F213" s="480" t="str">
        <f>ORÇAMENTO!D311</f>
        <v>CONSTRUÇÃO DE PAVIMENTO COM APLICAÇÃO CONCRETO BETUMINOSO USINADO A QUENTE (CBUQ), CAMADA DE ROLAMENTO - EXCLUSIVE TRANSPORTE E CARGA  AF_03/2017 (SEM MATERIAL)</v>
      </c>
      <c r="G213" s="44" t="str">
        <f>ORÇAMENTO!E311</f>
        <v>M³</v>
      </c>
      <c r="H213" s="44">
        <f>ORÇAMENTO!F311</f>
        <v>1.1533300978589978</v>
      </c>
      <c r="I213" s="44">
        <f>ORÇAMENTO!G311</f>
        <v>124.59</v>
      </c>
      <c r="J213" s="44">
        <f>ORÇAMENTO!H311</f>
        <v>0.2122</v>
      </c>
      <c r="K213" s="44">
        <f>ORÇAMENTO!I311</f>
        <v>151.03</v>
      </c>
      <c r="L213" s="44">
        <f>ORÇAMENTO!J311</f>
        <v>174.18</v>
      </c>
      <c r="M213" s="23">
        <f>ORÇAMENTO!K311</f>
        <v>6.1577850542612918E-6</v>
      </c>
      <c r="N213" s="23" t="str">
        <f t="shared" si="13"/>
        <v>OK!</v>
      </c>
      <c r="O213" s="23" t="str">
        <f t="shared" si="14"/>
        <v>OK!</v>
      </c>
      <c r="P213" s="23" t="str">
        <f t="shared" si="15"/>
        <v>OK!</v>
      </c>
    </row>
    <row r="214" spans="2:16" ht="43.5" x14ac:dyDescent="0.35">
      <c r="B214" s="43">
        <f t="shared" si="12"/>
        <v>34</v>
      </c>
      <c r="C214" s="44" t="str">
        <f>ORÇAMENTO!A416</f>
        <v>5.1.2.4.10</v>
      </c>
      <c r="D214" s="44" t="str">
        <f>ORÇAMENTO!B416</f>
        <v xml:space="preserve"> 95995 M </v>
      </c>
      <c r="E214" s="44" t="str">
        <f>ORÇAMENTO!C416</f>
        <v>PRÓPRIO</v>
      </c>
      <c r="F214" s="480" t="str">
        <f>ORÇAMENTO!D416</f>
        <v>CONSTRUÇÃO DE PAVIMENTO COM APLICAÇÃO CONCRETO BETUMINOSO USINADO A QUENTE (CBUQ), CAMADA DE ROLAMENTO - EXCLUSIVE TRANSPORTE E CARGA  AF_03/2017 (SEM MATERIAL)</v>
      </c>
      <c r="G214" s="44" t="str">
        <f>ORÇAMENTO!E416</f>
        <v>M³</v>
      </c>
      <c r="H214" s="44">
        <f>ORÇAMENTO!F416</f>
        <v>97.395269999999968</v>
      </c>
      <c r="I214" s="44">
        <f>ORÇAMENTO!G416</f>
        <v>124.59</v>
      </c>
      <c r="J214" s="44">
        <f>ORÇAMENTO!H416</f>
        <v>0.2122</v>
      </c>
      <c r="K214" s="44">
        <f>ORÇAMENTO!I416</f>
        <v>151.03</v>
      </c>
      <c r="L214" s="44">
        <f>ORÇAMENTO!J416</f>
        <v>14709.6</v>
      </c>
      <c r="M214" s="23">
        <f>ORÇAMENTO!K416</f>
        <v>5.2002844777909003E-4</v>
      </c>
      <c r="N214" s="23" t="str">
        <f t="shared" si="13"/>
        <v>OK!</v>
      </c>
      <c r="O214" s="23" t="str">
        <f t="shared" si="14"/>
        <v>OK!</v>
      </c>
      <c r="P214" s="23" t="str">
        <f t="shared" si="15"/>
        <v>OK!</v>
      </c>
    </row>
    <row r="215" spans="2:16" ht="43.5" x14ac:dyDescent="0.35">
      <c r="B215" s="43">
        <f t="shared" si="12"/>
        <v>34</v>
      </c>
      <c r="C215" s="44" t="str">
        <f>ORÇAMENTO!A469</f>
        <v>5.1.2.6.25</v>
      </c>
      <c r="D215" s="44" t="str">
        <f>ORÇAMENTO!B469</f>
        <v xml:space="preserve"> 95995 M </v>
      </c>
      <c r="E215" s="44" t="str">
        <f>ORÇAMENTO!C469</f>
        <v>PRÓPRIO</v>
      </c>
      <c r="F215" s="480" t="str">
        <f>ORÇAMENTO!D469</f>
        <v>CONSTRUÇÃO DE PAVIMENTO COM APLICAÇÃO CONCRETO BETUMINOSO USINADO A QUENTE (CBUQ), CAMADA DE ROLAMENTO - EXCLUSIVE TRANSPORTE E CARGA  AF_03/2017 (SEM MATERIAL)</v>
      </c>
      <c r="G215" s="44" t="str">
        <f>ORÇAMENTO!E469</f>
        <v>M³</v>
      </c>
      <c r="H215" s="44">
        <f>ORÇAMENTO!F469</f>
        <v>4.5</v>
      </c>
      <c r="I215" s="44">
        <f>ORÇAMENTO!G469</f>
        <v>124.59</v>
      </c>
      <c r="J215" s="44">
        <f>ORÇAMENTO!H469</f>
        <v>0.2122</v>
      </c>
      <c r="K215" s="44">
        <f>ORÇAMENTO!I469</f>
        <v>151.03</v>
      </c>
      <c r="L215" s="44">
        <f>ORÇAMENTO!J469</f>
        <v>679.63</v>
      </c>
      <c r="M215" s="23">
        <f>ORÇAMENTO!K469</f>
        <v>2.4026957494704339E-5</v>
      </c>
      <c r="N215" s="23" t="str">
        <f t="shared" si="13"/>
        <v>OK!</v>
      </c>
      <c r="O215" s="23" t="str">
        <f t="shared" si="14"/>
        <v>OK!</v>
      </c>
      <c r="P215" s="23" t="str">
        <f t="shared" si="15"/>
        <v>OK!</v>
      </c>
    </row>
    <row r="216" spans="2:16" ht="43.5" x14ac:dyDescent="0.35">
      <c r="B216" s="43">
        <f t="shared" si="12"/>
        <v>34</v>
      </c>
      <c r="C216" s="44" t="str">
        <f>ORÇAMENTO!A524</f>
        <v>5.4.7</v>
      </c>
      <c r="D216" s="44" t="str">
        <f>ORÇAMENTO!B524</f>
        <v xml:space="preserve"> 95995 M </v>
      </c>
      <c r="E216" s="44" t="str">
        <f>ORÇAMENTO!C524</f>
        <v>PRÓPRIO</v>
      </c>
      <c r="F216" s="480" t="str">
        <f>ORÇAMENTO!D524</f>
        <v>CONSTRUÇÃO DE PAVIMENTO COM APLICAÇÃO CONCRETO BETUMINOSO USINADO A QUENTE (CBUQ), CAMADA DE ROLAMENTO - EXCLUSIVE TRANSPORTE E CARGA  AF_03/2017 (SEM MATERIAL)</v>
      </c>
      <c r="G216" s="44" t="str">
        <f>ORÇAMENTO!E524</f>
        <v>M³</v>
      </c>
      <c r="H216" s="44">
        <f>ORÇAMENTO!F524</f>
        <v>0.35487079934123017</v>
      </c>
      <c r="I216" s="44">
        <f>ORÇAMENTO!G524</f>
        <v>124.59</v>
      </c>
      <c r="J216" s="44">
        <f>ORÇAMENTO!H524</f>
        <v>0.2122</v>
      </c>
      <c r="K216" s="44">
        <f>ORÇAMENTO!I524</f>
        <v>151.03</v>
      </c>
      <c r="L216" s="44">
        <f>ORÇAMENTO!J524</f>
        <v>53.59</v>
      </c>
      <c r="M216" s="23">
        <f>ORÇAMENTO!K524</f>
        <v>1.8945671205526619E-6</v>
      </c>
      <c r="N216" s="23" t="str">
        <f t="shared" si="13"/>
        <v>OK!</v>
      </c>
      <c r="O216" s="23" t="str">
        <f t="shared" si="14"/>
        <v>OK!</v>
      </c>
      <c r="P216" s="23" t="str">
        <f t="shared" si="15"/>
        <v>OK!</v>
      </c>
    </row>
    <row r="217" spans="2:16" ht="43.5" x14ac:dyDescent="0.35">
      <c r="B217" s="43">
        <f t="shared" si="12"/>
        <v>34</v>
      </c>
      <c r="C217" s="44" t="str">
        <f>ORÇAMENTO!A628</f>
        <v>6.1.2.4.10</v>
      </c>
      <c r="D217" s="44" t="str">
        <f>ORÇAMENTO!B628</f>
        <v xml:space="preserve"> 95995 M </v>
      </c>
      <c r="E217" s="44" t="str">
        <f>ORÇAMENTO!C628</f>
        <v>PRÓPRIO</v>
      </c>
      <c r="F217" s="480" t="str">
        <f>ORÇAMENTO!D628</f>
        <v>CONSTRUÇÃO DE PAVIMENTO COM APLICAÇÃO CONCRETO BETUMINOSO USINADO A QUENTE (CBUQ), CAMADA DE ROLAMENTO - EXCLUSIVE TRANSPORTE E CARGA  AF_03/2017 (SEM MATERIAL)</v>
      </c>
      <c r="G217" s="44" t="str">
        <f>ORÇAMENTO!E628</f>
        <v>M³</v>
      </c>
      <c r="H217" s="44">
        <f>ORÇAMENTO!F628</f>
        <v>36.90272383620686</v>
      </c>
      <c r="I217" s="44">
        <f>ORÇAMENTO!G628</f>
        <v>124.59</v>
      </c>
      <c r="J217" s="44">
        <f>ORÇAMENTO!H628</f>
        <v>0.2122</v>
      </c>
      <c r="K217" s="44">
        <f>ORÇAMENTO!I628</f>
        <v>151.03</v>
      </c>
      <c r="L217" s="44">
        <f>ORÇAMENTO!J628</f>
        <v>5573.41</v>
      </c>
      <c r="M217" s="23">
        <f>ORÇAMENTO!K628</f>
        <v>1.9703674818733738E-4</v>
      </c>
      <c r="N217" s="23" t="str">
        <f t="shared" si="13"/>
        <v>OK!</v>
      </c>
      <c r="O217" s="23" t="str">
        <f t="shared" si="14"/>
        <v>OK!</v>
      </c>
      <c r="P217" s="23" t="str">
        <f t="shared" si="15"/>
        <v>OK!</v>
      </c>
    </row>
    <row r="218" spans="2:16" ht="43.5" x14ac:dyDescent="0.35">
      <c r="B218" s="43">
        <f t="shared" si="12"/>
        <v>34</v>
      </c>
      <c r="C218" s="44" t="str">
        <f>ORÇAMENTO!A664</f>
        <v>6.1.2.6.17</v>
      </c>
      <c r="D218" s="44" t="str">
        <f>ORÇAMENTO!B664</f>
        <v xml:space="preserve"> 95995 M </v>
      </c>
      <c r="E218" s="44" t="str">
        <f>ORÇAMENTO!C664</f>
        <v>PRÓPRIO</v>
      </c>
      <c r="F218" s="480" t="str">
        <f>ORÇAMENTO!D664</f>
        <v>CONSTRUÇÃO DE PAVIMENTO COM APLICAÇÃO CONCRETO BETUMINOSO USINADO A QUENTE (CBUQ), CAMADA DE ROLAMENTO - EXCLUSIVE TRANSPORTE E CARGA  AF_03/2017 (SEM MATERIAL)</v>
      </c>
      <c r="G218" s="44" t="str">
        <f>ORÇAMENTO!E664</f>
        <v>M³</v>
      </c>
      <c r="H218" s="44">
        <f>ORÇAMENTO!F664</f>
        <v>1.42</v>
      </c>
      <c r="I218" s="44">
        <f>ORÇAMENTO!G664</f>
        <v>124.59</v>
      </c>
      <c r="J218" s="44">
        <f>ORÇAMENTO!H664</f>
        <v>0.2122</v>
      </c>
      <c r="K218" s="44">
        <f>ORÇAMENTO!I664</f>
        <v>151.03</v>
      </c>
      <c r="L218" s="44">
        <f>ORÇAMENTO!J664</f>
        <v>214.46</v>
      </c>
      <c r="M218" s="23">
        <f>ORÇAMENTO!K664</f>
        <v>7.5818037819317761E-6</v>
      </c>
      <c r="N218" s="23" t="str">
        <f t="shared" si="13"/>
        <v>OK!</v>
      </c>
      <c r="O218" s="23" t="str">
        <f t="shared" si="14"/>
        <v>OK!</v>
      </c>
      <c r="P218" s="23" t="str">
        <f t="shared" si="15"/>
        <v>OK!</v>
      </c>
    </row>
    <row r="219" spans="2:16" ht="43.5" x14ac:dyDescent="0.35">
      <c r="B219" s="43">
        <f t="shared" si="12"/>
        <v>34</v>
      </c>
      <c r="C219" s="44" t="str">
        <f>ORÇAMENTO!A716</f>
        <v>6.4.6</v>
      </c>
      <c r="D219" s="44" t="str">
        <f>ORÇAMENTO!B716</f>
        <v xml:space="preserve"> 95995 M </v>
      </c>
      <c r="E219" s="44" t="str">
        <f>ORÇAMENTO!C716</f>
        <v>PRÓPRIO</v>
      </c>
      <c r="F219" s="480" t="str">
        <f>ORÇAMENTO!D716</f>
        <v>CONSTRUÇÃO DE PAVIMENTO COM APLICAÇÃO CONCRETO BETUMINOSO USINADO A QUENTE (CBUQ), CAMADA DE ROLAMENTO - EXCLUSIVE TRANSPORTE E CARGA  AF_03/2017 (SEM MATERIAL)</v>
      </c>
      <c r="G219" s="44" t="str">
        <f>ORÇAMENTO!E716</f>
        <v>M³</v>
      </c>
      <c r="H219" s="44">
        <f>ORÇAMENTO!F716</f>
        <v>0.88717699835307551</v>
      </c>
      <c r="I219" s="44">
        <f>ORÇAMENTO!G716</f>
        <v>124.59</v>
      </c>
      <c r="J219" s="44">
        <f>ORÇAMENTO!H716</f>
        <v>0.2122</v>
      </c>
      <c r="K219" s="44">
        <f>ORÇAMENTO!I716</f>
        <v>151.03</v>
      </c>
      <c r="L219" s="44">
        <f>ORÇAMENTO!J716</f>
        <v>133.99</v>
      </c>
      <c r="M219" s="23">
        <f>ORÇAMENTO!K716</f>
        <v>4.736948096339824E-6</v>
      </c>
      <c r="N219" s="23" t="str">
        <f t="shared" si="13"/>
        <v>OK!</v>
      </c>
      <c r="O219" s="23" t="str">
        <f t="shared" si="14"/>
        <v>OK!</v>
      </c>
      <c r="P219" s="23" t="str">
        <f t="shared" si="15"/>
        <v>OK!</v>
      </c>
    </row>
    <row r="220" spans="2:16" ht="43.5" x14ac:dyDescent="0.35">
      <c r="B220" s="43">
        <f t="shared" si="12"/>
        <v>34</v>
      </c>
      <c r="C220" s="44" t="str">
        <f>ORÇAMENTO!A825</f>
        <v>7.1.2.4.10</v>
      </c>
      <c r="D220" s="44" t="str">
        <f>ORÇAMENTO!B825</f>
        <v xml:space="preserve"> 95995 M </v>
      </c>
      <c r="E220" s="44" t="str">
        <f>ORÇAMENTO!C825</f>
        <v>PRÓPRIO</v>
      </c>
      <c r="F220" s="480" t="str">
        <f>ORÇAMENTO!D825</f>
        <v>CONSTRUÇÃO DE PAVIMENTO COM APLICAÇÃO CONCRETO BETUMINOSO USINADO A QUENTE (CBUQ), CAMADA DE ROLAMENTO - EXCLUSIVE TRANSPORTE E CARGA  AF_03/2017 (SEM MATERIAL)</v>
      </c>
      <c r="G220" s="44" t="str">
        <f>ORÇAMENTO!E825</f>
        <v>M³</v>
      </c>
      <c r="H220" s="44">
        <f>ORÇAMENTO!F825</f>
        <v>108.95783999999998</v>
      </c>
      <c r="I220" s="44">
        <f>ORÇAMENTO!G825</f>
        <v>124.59</v>
      </c>
      <c r="J220" s="44">
        <f>ORÇAMENTO!H825</f>
        <v>0.2122</v>
      </c>
      <c r="K220" s="44">
        <f>ORÇAMENTO!I825</f>
        <v>151.03</v>
      </c>
      <c r="L220" s="44">
        <f>ORÇAMENTO!J825</f>
        <v>16455.900000000001</v>
      </c>
      <c r="M220" s="23">
        <f>ORÇAMENTO!K825</f>
        <v>5.8176538680915376E-4</v>
      </c>
      <c r="N220" s="23" t="str">
        <f t="shared" si="13"/>
        <v>OK!</v>
      </c>
      <c r="O220" s="23" t="str">
        <f t="shared" si="14"/>
        <v>OK!</v>
      </c>
      <c r="P220" s="23" t="str">
        <f t="shared" si="15"/>
        <v>OK!</v>
      </c>
    </row>
    <row r="221" spans="2:16" ht="43.5" x14ac:dyDescent="0.35">
      <c r="B221" s="43">
        <f t="shared" si="12"/>
        <v>34</v>
      </c>
      <c r="C221" s="44" t="str">
        <f>ORÇAMENTO!A877</f>
        <v>7.1.2.6.24</v>
      </c>
      <c r="D221" s="44" t="str">
        <f>ORÇAMENTO!B877</f>
        <v xml:space="preserve"> 95995 M </v>
      </c>
      <c r="E221" s="44" t="str">
        <f>ORÇAMENTO!C877</f>
        <v>PRÓPRIO</v>
      </c>
      <c r="F221" s="480" t="str">
        <f>ORÇAMENTO!D877</f>
        <v>CONSTRUÇÃO DE PAVIMENTO COM APLICAÇÃO CONCRETO BETUMINOSO USINADO A QUENTE (CBUQ), CAMADA DE ROLAMENTO - EXCLUSIVE TRANSPORTE E CARGA  AF_03/2017 (SEM MATERIAL)</v>
      </c>
      <c r="G221" s="44" t="str">
        <f>ORÇAMENTO!E877</f>
        <v>M³</v>
      </c>
      <c r="H221" s="44">
        <f>ORÇAMENTO!F877</f>
        <v>8.3000000000000007</v>
      </c>
      <c r="I221" s="44">
        <f>ORÇAMENTO!G877</f>
        <v>124.59</v>
      </c>
      <c r="J221" s="44">
        <f>ORÇAMENTO!H877</f>
        <v>0.2122</v>
      </c>
      <c r="K221" s="44">
        <f>ORÇAMENTO!I877</f>
        <v>151.03</v>
      </c>
      <c r="L221" s="44">
        <f>ORÇAMENTO!J877</f>
        <v>1253.54</v>
      </c>
      <c r="M221" s="23">
        <f>ORÇAMENTO!K877</f>
        <v>4.4316396124231826E-5</v>
      </c>
      <c r="N221" s="23" t="str">
        <f t="shared" si="13"/>
        <v>OK!</v>
      </c>
      <c r="O221" s="23" t="str">
        <f t="shared" si="14"/>
        <v>OK!</v>
      </c>
      <c r="P221" s="23" t="str">
        <f t="shared" si="15"/>
        <v>OK!</v>
      </c>
    </row>
    <row r="222" spans="2:16" ht="43.5" x14ac:dyDescent="0.35">
      <c r="B222" s="43">
        <f t="shared" si="12"/>
        <v>34</v>
      </c>
      <c r="C222" s="44" t="str">
        <f>ORÇAMENTO!A938</f>
        <v>7.4.6</v>
      </c>
      <c r="D222" s="44" t="str">
        <f>ORÇAMENTO!B938</f>
        <v xml:space="preserve"> 95995 M </v>
      </c>
      <c r="E222" s="44" t="str">
        <f>ORÇAMENTO!C938</f>
        <v>PRÓPRIO</v>
      </c>
      <c r="F222" s="636" t="str">
        <f>ORÇAMENTO!D938</f>
        <v>CONSTRUÇÃO DE PAVIMENTO COM APLICAÇÃO CONCRETO BETUMINOSO USINADO A QUENTE (CBUQ), CAMADA DE ROLAMENTO - EXCLUSIVE TRANSPORTE E CARGA  AF_03/2017 (SEM MATERIAL)</v>
      </c>
      <c r="G222" s="44" t="str">
        <f>ORÇAMENTO!E938</f>
        <v>M³</v>
      </c>
      <c r="H222" s="44">
        <f>ORÇAMENTO!F938</f>
        <v>0.70974159868246034</v>
      </c>
      <c r="I222" s="44">
        <f>ORÇAMENTO!G938</f>
        <v>124.59</v>
      </c>
      <c r="J222" s="44">
        <f>ORÇAMENTO!H938</f>
        <v>0.2122</v>
      </c>
      <c r="K222" s="44">
        <f>ORÇAMENTO!I938</f>
        <v>151.03</v>
      </c>
      <c r="L222" s="638">
        <f>ORÇAMENTO!J938</f>
        <v>107.19</v>
      </c>
      <c r="M222" s="23">
        <f>ORÇAMENTO!K938</f>
        <v>3.7894877710774363E-6</v>
      </c>
      <c r="N222" s="23" t="str">
        <f t="shared" si="13"/>
        <v>OK!</v>
      </c>
      <c r="O222" s="23" t="str">
        <f t="shared" si="14"/>
        <v>OK!</v>
      </c>
      <c r="P222" s="23" t="str">
        <f t="shared" si="15"/>
        <v>OK!</v>
      </c>
    </row>
    <row r="223" spans="2:16" ht="43.5" x14ac:dyDescent="0.35">
      <c r="B223" s="43">
        <f t="shared" si="12"/>
        <v>34</v>
      </c>
      <c r="C223" s="44" t="str">
        <f>ORÇAMENTO!A975</f>
        <v>7.5.4.7</v>
      </c>
      <c r="D223" s="44" t="str">
        <f>ORÇAMENTO!B975</f>
        <v xml:space="preserve"> 95995 M </v>
      </c>
      <c r="E223" s="44" t="str">
        <f>ORÇAMENTO!C975</f>
        <v>PRÓPRIO</v>
      </c>
      <c r="F223" s="636" t="str">
        <f>ORÇAMENTO!D975</f>
        <v>CONSTRUÇÃO DE PAVIMENTO COM APLICAÇÃO CONCRETO BETUMINOSO USINADO A QUENTE (CBUQ), CAMADA DE ROLAMENTO - EXCLUSIVE TRANSPORTE E CARGA  AF_03/2017 (SEM MATERIAL)</v>
      </c>
      <c r="G223" s="44" t="str">
        <f>ORÇAMENTO!E975</f>
        <v>M³</v>
      </c>
      <c r="H223" s="44">
        <f>ORÇAMENTO!F975</f>
        <v>163.04999999999998</v>
      </c>
      <c r="I223" s="44">
        <f>ORÇAMENTO!G975</f>
        <v>124.59</v>
      </c>
      <c r="J223" s="44">
        <f>ORÇAMENTO!H975</f>
        <v>0.2122</v>
      </c>
      <c r="K223" s="44">
        <f>ORÇAMENTO!I975</f>
        <v>151.03</v>
      </c>
      <c r="L223" s="638">
        <f>ORÇAMENTO!J975</f>
        <v>24625.439999999999</v>
      </c>
      <c r="M223" s="23">
        <f>ORÇAMENTO!K975</f>
        <v>8.7058311164661944E-4</v>
      </c>
      <c r="N223" s="23" t="str">
        <f t="shared" si="13"/>
        <v>OK!</v>
      </c>
      <c r="O223" s="23" t="str">
        <f t="shared" si="14"/>
        <v>OK!</v>
      </c>
      <c r="P223" s="23" t="str">
        <f t="shared" si="15"/>
        <v>OK!</v>
      </c>
    </row>
    <row r="224" spans="2:16" ht="43.5" x14ac:dyDescent="0.35">
      <c r="B224" s="43">
        <f t="shared" si="12"/>
        <v>35</v>
      </c>
      <c r="C224" s="44" t="str">
        <f>ORÇAMENTO!A118</f>
        <v>4.1.1.5.1</v>
      </c>
      <c r="D224" s="44" t="str">
        <f>ORÇAMENTO!B118</f>
        <v xml:space="preserve"> 05.002.0014-0 </v>
      </c>
      <c r="E224" s="44" t="str">
        <f>ORÇAMENTO!C118</f>
        <v>EMOP</v>
      </c>
      <c r="F224" s="480" t="str">
        <f>ORÇAMENTO!D118</f>
        <v>DEMOLICAO COM EQUIPAMENTO DE AR COMPRIMIDO,DE PASSEIO CIMENT ADO COM ESPESSURA ATE 10CM,INCLUSIVE EMPILHAMENTO LATERAL DE NTRO DO CANTEIRO DE SERVICO 3%-DESGASTE DE FERRAMENTAS E EPI</v>
      </c>
      <c r="G224" s="44" t="str">
        <f>ORÇAMENTO!E118</f>
        <v>M2</v>
      </c>
      <c r="H224" s="44">
        <f>ORÇAMENTO!F118</f>
        <v>325.26479999999992</v>
      </c>
      <c r="I224" s="44">
        <f>ORÇAMENTO!G118</f>
        <v>11.96</v>
      </c>
      <c r="J224" s="44">
        <f>ORÇAMENTO!H118</f>
        <v>0.2122</v>
      </c>
      <c r="K224" s="44">
        <f>ORÇAMENTO!I118</f>
        <v>14.5</v>
      </c>
      <c r="L224" s="44">
        <f>ORÇAMENTO!J118</f>
        <v>4716.33</v>
      </c>
      <c r="M224" s="23">
        <f>ORÇAMENTO!K118</f>
        <v>1.6673640133749087E-4</v>
      </c>
      <c r="N224" s="23" t="str">
        <f t="shared" si="13"/>
        <v>DIFERENTE</v>
      </c>
      <c r="O224" s="23" t="str">
        <f t="shared" si="14"/>
        <v>DIFERENTE</v>
      </c>
      <c r="P224" s="23" t="str">
        <f t="shared" si="15"/>
        <v>DIFERENTE</v>
      </c>
    </row>
    <row r="225" spans="2:16" ht="43.5" x14ac:dyDescent="0.35">
      <c r="B225" s="43">
        <f t="shared" si="12"/>
        <v>35</v>
      </c>
      <c r="C225" s="44" t="str">
        <f>ORÇAMENTO!A360</f>
        <v>5.1.1.5.1</v>
      </c>
      <c r="D225" s="44" t="str">
        <f>ORÇAMENTO!B360</f>
        <v xml:space="preserve"> 05.002.0014-0 </v>
      </c>
      <c r="E225" s="44" t="str">
        <f>ORÇAMENTO!C360</f>
        <v>EMOP</v>
      </c>
      <c r="F225" s="480" t="str">
        <f>ORÇAMENTO!D360</f>
        <v>DEMOLICAO COM EQUIPAMENTO DE AR COMPRIMIDO,DE PASSEIO CIMENT ADO COM ESPESSURA ATE 10CM,INCLUSIVE EMPILHAMENTO LATERAL DE NTRO DO CANTEIRO DE SERVICO 3%-DESGASTE DE FERRAMENTAS E EPI</v>
      </c>
      <c r="G225" s="44" t="str">
        <f>ORÇAMENTO!E360</f>
        <v>M2</v>
      </c>
      <c r="H225" s="44">
        <f>ORÇAMENTO!F360</f>
        <v>328.12079999999997</v>
      </c>
      <c r="I225" s="44">
        <f>ORÇAMENTO!G360</f>
        <v>11.96</v>
      </c>
      <c r="J225" s="44">
        <f>ORÇAMENTO!H360</f>
        <v>0.2122</v>
      </c>
      <c r="K225" s="44">
        <f>ORÇAMENTO!I360</f>
        <v>14.5</v>
      </c>
      <c r="L225" s="44">
        <f>ORÇAMENTO!J360</f>
        <v>4757.75</v>
      </c>
      <c r="M225" s="23">
        <f>ORÇAMENTO!K360</f>
        <v>1.6820072248198222E-4</v>
      </c>
      <c r="N225" s="23" t="str">
        <f t="shared" si="13"/>
        <v>OK!</v>
      </c>
      <c r="O225" s="23" t="str">
        <f t="shared" si="14"/>
        <v>OK!</v>
      </c>
      <c r="P225" s="23" t="str">
        <f t="shared" si="15"/>
        <v>OK!</v>
      </c>
    </row>
    <row r="226" spans="2:16" ht="43.5" x14ac:dyDescent="0.35">
      <c r="B226" s="43">
        <f t="shared" si="12"/>
        <v>35</v>
      </c>
      <c r="C226" s="44" t="str">
        <f>ORÇAMENTO!A572</f>
        <v>6.1.1.5.1</v>
      </c>
      <c r="D226" s="44" t="str">
        <f>ORÇAMENTO!B572</f>
        <v xml:space="preserve"> 05.002.0014-0 </v>
      </c>
      <c r="E226" s="44" t="str">
        <f>ORÇAMENTO!C572</f>
        <v>EMOP</v>
      </c>
      <c r="F226" s="480" t="str">
        <f>ORÇAMENTO!D572</f>
        <v>DEMOLICAO COM EQUIPAMENTO DE AR COMPRIMIDO,DE PASSEIO CIMENT ADO COM ESPESSURA ATE 10CM,INCLUSIVE EMPILHAMENTO LATERAL DE NTRO DO CANTEIRO DE SERVICO 3%-DESGASTE DE FERRAMENTAS E EPI</v>
      </c>
      <c r="G226" s="44" t="str">
        <f>ORÇAMENTO!E572</f>
        <v>M2</v>
      </c>
      <c r="H226" s="44">
        <f>ORÇAMENTO!F572</f>
        <v>190.76399999999998</v>
      </c>
      <c r="I226" s="44">
        <f>ORÇAMENTO!G572</f>
        <v>11.96</v>
      </c>
      <c r="J226" s="44">
        <f>ORÇAMENTO!H572</f>
        <v>0.2122</v>
      </c>
      <c r="K226" s="44">
        <f>ORÇAMENTO!I572</f>
        <v>14.5</v>
      </c>
      <c r="L226" s="44">
        <f>ORÇAMENTO!J572</f>
        <v>2766.07</v>
      </c>
      <c r="M226" s="23">
        <f>ORÇAMENTO!K572</f>
        <v>9.7788864996213877E-5</v>
      </c>
      <c r="N226" s="23" t="str">
        <f t="shared" si="13"/>
        <v>OK!</v>
      </c>
      <c r="O226" s="23" t="str">
        <f t="shared" si="14"/>
        <v>OK!</v>
      </c>
      <c r="P226" s="23" t="str">
        <f t="shared" si="15"/>
        <v>OK!</v>
      </c>
    </row>
    <row r="227" spans="2:16" ht="43.5" x14ac:dyDescent="0.35">
      <c r="B227" s="43">
        <f t="shared" si="12"/>
        <v>35</v>
      </c>
      <c r="C227" s="44" t="str">
        <f>ORÇAMENTO!A762</f>
        <v>7.1.1.5.1</v>
      </c>
      <c r="D227" s="44" t="str">
        <f>ORÇAMENTO!B762</f>
        <v xml:space="preserve"> 05.002.0014-0 </v>
      </c>
      <c r="E227" s="44" t="str">
        <f>ORÇAMENTO!C762</f>
        <v>EMOP</v>
      </c>
      <c r="F227" s="480" t="str">
        <f>ORÇAMENTO!D762</f>
        <v>DEMOLICAO COM EQUIPAMENTO DE AR COMPRIMIDO,DE PASSEIO CIMENT ADO COM ESPESSURA ATE 10CM,INCLUSIVE EMPILHAMENTO LATERAL DE NTRO DO CANTEIRO DE SERVICO 3%-DESGASTE DE FERRAMENTAS E EPI</v>
      </c>
      <c r="G227" s="44" t="str">
        <f>ORÇAMENTO!E762</f>
        <v>M2</v>
      </c>
      <c r="H227" s="44">
        <f>ORÇAMENTO!F762</f>
        <v>286.05359999999996</v>
      </c>
      <c r="I227" s="44">
        <f>ORÇAMENTO!G762</f>
        <v>11.96</v>
      </c>
      <c r="J227" s="44">
        <f>ORÇAMENTO!H762</f>
        <v>0.2122</v>
      </c>
      <c r="K227" s="44">
        <f>ORÇAMENTO!I762</f>
        <v>14.5</v>
      </c>
      <c r="L227" s="44">
        <f>ORÇAMENTO!J762</f>
        <v>4147.7700000000004</v>
      </c>
      <c r="M227" s="23">
        <f>ORÇAMENTO!K762</f>
        <v>1.4663610124304374E-4</v>
      </c>
      <c r="N227" s="23" t="str">
        <f t="shared" si="13"/>
        <v>OK!</v>
      </c>
      <c r="O227" s="23" t="str">
        <f t="shared" si="14"/>
        <v>OK!</v>
      </c>
      <c r="P227" s="23" t="str">
        <f t="shared" si="15"/>
        <v>OK!</v>
      </c>
    </row>
    <row r="228" spans="2:16" ht="29" x14ac:dyDescent="0.35">
      <c r="B228" s="43">
        <f t="shared" si="12"/>
        <v>36</v>
      </c>
      <c r="C228" s="44" t="str">
        <f>ORÇAMENTO!A108</f>
        <v>4.1.1.3.2</v>
      </c>
      <c r="D228" s="44" t="str">
        <f>ORÇAMENTO!B108</f>
        <v xml:space="preserve"> 97622 </v>
      </c>
      <c r="E228" s="44" t="str">
        <f>ORÇAMENTO!C108</f>
        <v>SINAPI</v>
      </c>
      <c r="F228" s="480" t="str">
        <f>ORÇAMENTO!D108</f>
        <v>DEMOLIÇÃO DE ALVENARIA DE BLOCO FURADO, DE FORMA MANUAL, SEM REAPROVEITAMENTO. AF_09/2023</v>
      </c>
      <c r="G228" s="44" t="str">
        <f>ORÇAMENTO!E108</f>
        <v>M³</v>
      </c>
      <c r="H228" s="44">
        <f>ORÇAMENTO!F108</f>
        <v>15.470000000000008</v>
      </c>
      <c r="I228" s="44">
        <f>ORÇAMENTO!G108</f>
        <v>62.38</v>
      </c>
      <c r="J228" s="44">
        <f>ORÇAMENTO!H108</f>
        <v>0.2122</v>
      </c>
      <c r="K228" s="44">
        <f>ORÇAMENTO!I108</f>
        <v>75.62</v>
      </c>
      <c r="L228" s="44">
        <f>ORÇAMENTO!J108</f>
        <v>1169.8399999999999</v>
      </c>
      <c r="M228" s="23">
        <f>ORÇAMENTO!K108</f>
        <v>4.1357350257647427E-5</v>
      </c>
      <c r="N228" s="23" t="str">
        <f t="shared" si="13"/>
        <v>DIFERENTE</v>
      </c>
      <c r="O228" s="23" t="str">
        <f t="shared" si="14"/>
        <v>DIFERENTE</v>
      </c>
      <c r="P228" s="23" t="str">
        <f t="shared" si="15"/>
        <v>DIFERENTE</v>
      </c>
    </row>
    <row r="229" spans="2:16" ht="29" x14ac:dyDescent="0.35">
      <c r="B229" s="43">
        <f t="shared" si="12"/>
        <v>36</v>
      </c>
      <c r="C229" s="44" t="str">
        <f>ORÇAMENTO!A127</f>
        <v>4.1.1.6.2</v>
      </c>
      <c r="D229" s="44" t="str">
        <f>ORÇAMENTO!B127</f>
        <v xml:space="preserve"> 97622 </v>
      </c>
      <c r="E229" s="44" t="str">
        <f>ORÇAMENTO!C127</f>
        <v>SINAPI</v>
      </c>
      <c r="F229" s="480" t="str">
        <f>ORÇAMENTO!D127</f>
        <v>DEMOLIÇÃO DE ALVENARIA DE BLOCO FURADO, DE FORMA MANUAL, SEM REAPROVEITAMENTO. AF_09/2023</v>
      </c>
      <c r="G229" s="44" t="str">
        <f>ORÇAMENTO!E127</f>
        <v>M³</v>
      </c>
      <c r="H229" s="44">
        <f>ORÇAMENTO!F127</f>
        <v>17.599999999999998</v>
      </c>
      <c r="I229" s="44">
        <f>ORÇAMENTO!G127</f>
        <v>62.38</v>
      </c>
      <c r="J229" s="44">
        <f>ORÇAMENTO!H127</f>
        <v>0.2122</v>
      </c>
      <c r="K229" s="44">
        <f>ORÇAMENTO!I127</f>
        <v>75.62</v>
      </c>
      <c r="L229" s="44">
        <f>ORÇAMENTO!J127</f>
        <v>1330.91</v>
      </c>
      <c r="M229" s="23">
        <f>ORÇAMENTO!K127</f>
        <v>4.7051657518468804E-5</v>
      </c>
      <c r="N229" s="23" t="str">
        <f t="shared" si="13"/>
        <v>OK!</v>
      </c>
      <c r="O229" s="23" t="str">
        <f t="shared" si="14"/>
        <v>OK!</v>
      </c>
      <c r="P229" s="23" t="str">
        <f t="shared" si="15"/>
        <v>OK!</v>
      </c>
    </row>
    <row r="230" spans="2:16" ht="29" x14ac:dyDescent="0.35">
      <c r="B230" s="43">
        <f t="shared" si="12"/>
        <v>36</v>
      </c>
      <c r="C230" s="44" t="str">
        <f>ORÇAMENTO!A350</f>
        <v>5.1.1.3.2</v>
      </c>
      <c r="D230" s="44" t="str">
        <f>ORÇAMENTO!B350</f>
        <v xml:space="preserve"> 97622 </v>
      </c>
      <c r="E230" s="44" t="str">
        <f>ORÇAMENTO!C350</f>
        <v>SINAPI</v>
      </c>
      <c r="F230" s="480" t="str">
        <f>ORÇAMENTO!D350</f>
        <v>DEMOLIÇÃO DE ALVENARIA DE BLOCO FURADO, DE FORMA MANUAL, SEM REAPROVEITAMENTO. AF_09/2023</v>
      </c>
      <c r="G230" s="44" t="str">
        <f>ORÇAMENTO!E350</f>
        <v>M³</v>
      </c>
      <c r="H230" s="44">
        <f>ORÇAMENTO!F350</f>
        <v>29.3475</v>
      </c>
      <c r="I230" s="44">
        <f>ORÇAMENTO!G350</f>
        <v>62.38</v>
      </c>
      <c r="J230" s="44">
        <f>ORÇAMENTO!H350</f>
        <v>0.2122</v>
      </c>
      <c r="K230" s="44">
        <f>ORÇAMENTO!I350</f>
        <v>75.62</v>
      </c>
      <c r="L230" s="44">
        <f>ORÇAMENTO!J350</f>
        <v>2219.25</v>
      </c>
      <c r="M230" s="23">
        <f>ORÇAMENTO!K350</f>
        <v>7.8457139061140042E-5</v>
      </c>
      <c r="N230" s="23" t="str">
        <f t="shared" si="13"/>
        <v>OK!</v>
      </c>
      <c r="O230" s="23" t="str">
        <f t="shared" si="14"/>
        <v>OK!</v>
      </c>
      <c r="P230" s="23" t="str">
        <f t="shared" si="15"/>
        <v>OK!</v>
      </c>
    </row>
    <row r="231" spans="2:16" ht="29" x14ac:dyDescent="0.35">
      <c r="B231" s="43">
        <f t="shared" si="12"/>
        <v>36</v>
      </c>
      <c r="C231" s="44" t="str">
        <f>ORÇAMENTO!A369</f>
        <v>5.1.1.6.2</v>
      </c>
      <c r="D231" s="44" t="str">
        <f>ORÇAMENTO!B369</f>
        <v xml:space="preserve"> 97622 </v>
      </c>
      <c r="E231" s="44" t="str">
        <f>ORÇAMENTO!C369</f>
        <v>SINAPI</v>
      </c>
      <c r="F231" s="480" t="str">
        <f>ORÇAMENTO!D369</f>
        <v>DEMOLIÇÃO DE ALVENARIA DE BLOCO FURADO, DE FORMA MANUAL, SEM REAPROVEITAMENTO. AF_09/2023</v>
      </c>
      <c r="G231" s="44" t="str">
        <f>ORÇAMENTO!E369</f>
        <v>M³</v>
      </c>
      <c r="H231" s="44">
        <f>ORÇAMENTO!F369</f>
        <v>30.958136000000021</v>
      </c>
      <c r="I231" s="44">
        <f>ORÇAMENTO!G369</f>
        <v>62.38</v>
      </c>
      <c r="J231" s="44">
        <f>ORÇAMENTO!H369</f>
        <v>0.2122</v>
      </c>
      <c r="K231" s="44">
        <f>ORÇAMENTO!I369</f>
        <v>75.62</v>
      </c>
      <c r="L231" s="44">
        <f>ORÇAMENTO!J369</f>
        <v>2341.0500000000002</v>
      </c>
      <c r="M231" s="23">
        <f>ORÇAMENTO!K369</f>
        <v>8.2763134121474323E-5</v>
      </c>
      <c r="N231" s="23" t="str">
        <f t="shared" si="13"/>
        <v>OK!</v>
      </c>
      <c r="O231" s="23" t="str">
        <f t="shared" si="14"/>
        <v>OK!</v>
      </c>
      <c r="P231" s="23" t="str">
        <f t="shared" si="15"/>
        <v>OK!</v>
      </c>
    </row>
    <row r="232" spans="2:16" ht="29" x14ac:dyDescent="0.35">
      <c r="B232" s="43">
        <f t="shared" si="12"/>
        <v>36</v>
      </c>
      <c r="C232" s="44" t="str">
        <f>ORÇAMENTO!A581</f>
        <v>6.1.1.6.2</v>
      </c>
      <c r="D232" s="44" t="str">
        <f>ORÇAMENTO!B581</f>
        <v xml:space="preserve"> 97622 </v>
      </c>
      <c r="E232" s="44" t="str">
        <f>ORÇAMENTO!C581</f>
        <v>SINAPI</v>
      </c>
      <c r="F232" s="480" t="str">
        <f>ORÇAMENTO!D581</f>
        <v>DEMOLIÇÃO DE ALVENARIA DE BLOCO FURADO, DE FORMA MANUAL, SEM REAPROVEITAMENTO. AF_09/2023</v>
      </c>
      <c r="G232" s="44" t="str">
        <f>ORÇAMENTO!E581</f>
        <v>M³</v>
      </c>
      <c r="H232" s="44">
        <f>ORÇAMENTO!F581</f>
        <v>0.65999999999996251</v>
      </c>
      <c r="I232" s="44">
        <f>ORÇAMENTO!G581</f>
        <v>62.38</v>
      </c>
      <c r="J232" s="44">
        <f>ORÇAMENTO!H581</f>
        <v>0.2122</v>
      </c>
      <c r="K232" s="44">
        <f>ORÇAMENTO!I581</f>
        <v>75.62</v>
      </c>
      <c r="L232" s="44">
        <f>ORÇAMENTO!J581</f>
        <v>49.9</v>
      </c>
      <c r="M232" s="23">
        <f>ORÇAMENTO!K581</f>
        <v>1.7641145608430272E-6</v>
      </c>
      <c r="N232" s="23" t="str">
        <f t="shared" si="13"/>
        <v>OK!</v>
      </c>
      <c r="O232" s="23" t="str">
        <f t="shared" si="14"/>
        <v>OK!</v>
      </c>
      <c r="P232" s="23" t="str">
        <f t="shared" si="15"/>
        <v>OK!</v>
      </c>
    </row>
    <row r="233" spans="2:16" ht="29" x14ac:dyDescent="0.35">
      <c r="B233" s="43">
        <f t="shared" si="12"/>
        <v>36</v>
      </c>
      <c r="C233" s="44" t="str">
        <f>ORÇAMENTO!A586</f>
        <v>6.1.1.7.1</v>
      </c>
      <c r="D233" s="44" t="str">
        <f>ORÇAMENTO!B586</f>
        <v xml:space="preserve"> 97622 </v>
      </c>
      <c r="E233" s="44" t="str">
        <f>ORÇAMENTO!C586</f>
        <v>SINAPI</v>
      </c>
      <c r="F233" s="480" t="str">
        <f>ORÇAMENTO!D586</f>
        <v>DEMOLIÇÃO DE ALVENARIA DE BLOCO FURADO, DE FORMA MANUAL, SEM REAPROVEITAMENTO. AF_09/2023</v>
      </c>
      <c r="G233" s="44" t="str">
        <f>ORÇAMENTO!E586</f>
        <v>M³</v>
      </c>
      <c r="H233" s="44">
        <f>ORÇAMENTO!F586</f>
        <v>56.769999999999953</v>
      </c>
      <c r="I233" s="44">
        <f>ORÇAMENTO!G586</f>
        <v>62.38</v>
      </c>
      <c r="J233" s="44">
        <f>ORÇAMENTO!H586</f>
        <v>0.2122</v>
      </c>
      <c r="K233" s="44">
        <f>ORÇAMENTO!I586</f>
        <v>75.62</v>
      </c>
      <c r="L233" s="44">
        <f>ORÇAMENTO!J586</f>
        <v>4292.9399999999996</v>
      </c>
      <c r="M233" s="23">
        <f>ORÇAMENTO!K586</f>
        <v>1.517682958482057E-4</v>
      </c>
      <c r="N233" s="23" t="str">
        <f t="shared" si="13"/>
        <v>OK!</v>
      </c>
      <c r="O233" s="23" t="str">
        <f t="shared" si="14"/>
        <v>OK!</v>
      </c>
      <c r="P233" s="23" t="str">
        <f t="shared" si="15"/>
        <v>OK!</v>
      </c>
    </row>
    <row r="234" spans="2:16" ht="29" x14ac:dyDescent="0.35">
      <c r="B234" s="43">
        <f t="shared" si="12"/>
        <v>36</v>
      </c>
      <c r="C234" s="44" t="str">
        <f>ORÇAMENTO!A771</f>
        <v>7.1.1.6.2</v>
      </c>
      <c r="D234" s="44" t="str">
        <f>ORÇAMENTO!B771</f>
        <v xml:space="preserve"> 97622 </v>
      </c>
      <c r="E234" s="44" t="str">
        <f>ORÇAMENTO!C771</f>
        <v>SINAPI</v>
      </c>
      <c r="F234" s="480" t="str">
        <f>ORÇAMENTO!D771</f>
        <v>DEMOLIÇÃO DE ALVENARIA DE BLOCO FURADO, DE FORMA MANUAL, SEM REAPROVEITAMENTO. AF_09/2023</v>
      </c>
      <c r="G234" s="44" t="str">
        <f>ORÇAMENTO!E771</f>
        <v>M³</v>
      </c>
      <c r="H234" s="44">
        <f>ORÇAMENTO!F771</f>
        <v>21.112850000000002</v>
      </c>
      <c r="I234" s="44">
        <f>ORÇAMENTO!G771</f>
        <v>62.38</v>
      </c>
      <c r="J234" s="44">
        <f>ORÇAMENTO!H771</f>
        <v>0.2122</v>
      </c>
      <c r="K234" s="44">
        <f>ORÇAMENTO!I771</f>
        <v>75.62</v>
      </c>
      <c r="L234" s="44">
        <f>ORÇAMENTO!J771</f>
        <v>1596.55</v>
      </c>
      <c r="M234" s="23">
        <f>ORÇAMENTO!K771</f>
        <v>5.6442827697674044E-5</v>
      </c>
      <c r="N234" s="23" t="str">
        <f t="shared" si="13"/>
        <v>OK!</v>
      </c>
      <c r="O234" s="23" t="str">
        <f t="shared" si="14"/>
        <v>OK!</v>
      </c>
      <c r="P234" s="23" t="str">
        <f t="shared" si="15"/>
        <v>OK!</v>
      </c>
    </row>
    <row r="235" spans="2:16" ht="29" x14ac:dyDescent="0.35">
      <c r="B235" s="43">
        <f t="shared" si="12"/>
        <v>36</v>
      </c>
      <c r="C235" s="44" t="str">
        <f>ORÇAMENTO!A776</f>
        <v>7.1.1.7.1</v>
      </c>
      <c r="D235" s="44" t="str">
        <f>ORÇAMENTO!B776</f>
        <v xml:space="preserve"> 97622 </v>
      </c>
      <c r="E235" s="44" t="str">
        <f>ORÇAMENTO!C776</f>
        <v>SINAPI</v>
      </c>
      <c r="F235" s="480" t="str">
        <f>ORÇAMENTO!D776</f>
        <v>DEMOLIÇÃO DE ALVENARIA DE BLOCO FURADO, DE FORMA MANUAL, SEM REAPROVEITAMENTO. AF_09/2023</v>
      </c>
      <c r="G235" s="44" t="str">
        <f>ORÇAMENTO!E776</f>
        <v>M³</v>
      </c>
      <c r="H235" s="44">
        <f>ORÇAMENTO!F776</f>
        <v>0.24513847475961159</v>
      </c>
      <c r="I235" s="44">
        <f>ORÇAMENTO!G776</f>
        <v>62.38</v>
      </c>
      <c r="J235" s="44">
        <f>ORÇAMENTO!H776</f>
        <v>0.2122</v>
      </c>
      <c r="K235" s="44">
        <f>ORÇAMENTO!I776</f>
        <v>75.62</v>
      </c>
      <c r="L235" s="44">
        <f>ORÇAMENTO!J776</f>
        <v>18.53</v>
      </c>
      <c r="M235" s="23">
        <f>ORÇAMENTO!K776</f>
        <v>6.5509103832507608E-7</v>
      </c>
      <c r="N235" s="23" t="str">
        <f t="shared" si="13"/>
        <v>OK!</v>
      </c>
      <c r="O235" s="23" t="str">
        <f t="shared" si="14"/>
        <v>OK!</v>
      </c>
      <c r="P235" s="23" t="str">
        <f t="shared" si="15"/>
        <v>OK!</v>
      </c>
    </row>
    <row r="236" spans="2:16" x14ac:dyDescent="0.35">
      <c r="B236" s="43">
        <f t="shared" si="12"/>
        <v>37</v>
      </c>
      <c r="C236" s="44" t="str">
        <f>ORÇAMENTO!A107</f>
        <v>4.1.1.3.1</v>
      </c>
      <c r="D236" s="44" t="str">
        <f>ORÇAMENTO!B107</f>
        <v xml:space="preserve"> 1600438 </v>
      </c>
      <c r="E236" s="44" t="str">
        <f>ORÇAMENTO!C107</f>
        <v>SICRO3</v>
      </c>
      <c r="F236" s="480" t="str">
        <f>ORÇAMENTO!D107</f>
        <v>DEMOLIÇÃO MANUAL DE CONCRETO ARMADO</v>
      </c>
      <c r="G236" s="44" t="str">
        <f>ORÇAMENTO!E107</f>
        <v>M³</v>
      </c>
      <c r="H236" s="44">
        <f>ORÇAMENTO!F107</f>
        <v>18.417769439846744</v>
      </c>
      <c r="I236" s="44">
        <f>ORÇAMENTO!G107</f>
        <v>626.30999999999995</v>
      </c>
      <c r="J236" s="44">
        <f>ORÇAMENTO!H107</f>
        <v>0.2122</v>
      </c>
      <c r="K236" s="44">
        <f>ORÇAMENTO!I107</f>
        <v>759.21</v>
      </c>
      <c r="L236" s="44">
        <f>ORÇAMENTO!J107</f>
        <v>13982.95</v>
      </c>
      <c r="M236" s="23">
        <f>ORÇAMENTO!K107</f>
        <v>4.9433919235551118E-4</v>
      </c>
      <c r="N236" s="23" t="str">
        <f t="shared" si="13"/>
        <v>DIFERENTE</v>
      </c>
      <c r="O236" s="23" t="str">
        <f t="shared" si="14"/>
        <v>DIFERENTE</v>
      </c>
      <c r="P236" s="23" t="str">
        <f t="shared" si="15"/>
        <v>DIFERENTE</v>
      </c>
    </row>
    <row r="237" spans="2:16" x14ac:dyDescent="0.35">
      <c r="B237" s="43">
        <f t="shared" si="12"/>
        <v>37</v>
      </c>
      <c r="C237" s="44" t="str">
        <f>ORÇAMENTO!A126</f>
        <v>4.1.1.6.1</v>
      </c>
      <c r="D237" s="44" t="str">
        <f>ORÇAMENTO!B126</f>
        <v xml:space="preserve"> 1600438 </v>
      </c>
      <c r="E237" s="44" t="str">
        <f>ORÇAMENTO!C126</f>
        <v>SICRO3</v>
      </c>
      <c r="F237" s="480" t="str">
        <f>ORÇAMENTO!D126</f>
        <v>DEMOLIÇÃO MANUAL DE CONCRETO ARMADO</v>
      </c>
      <c r="G237" s="44" t="str">
        <f>ORÇAMENTO!E126</f>
        <v>M³</v>
      </c>
      <c r="H237" s="44">
        <f>ORÇAMENTO!F126</f>
        <v>0.81600000000000028</v>
      </c>
      <c r="I237" s="44">
        <f>ORÇAMENTO!G126</f>
        <v>626.30999999999995</v>
      </c>
      <c r="J237" s="44">
        <f>ORÇAMENTO!H126</f>
        <v>0.2122</v>
      </c>
      <c r="K237" s="44">
        <f>ORÇAMENTO!I126</f>
        <v>759.21</v>
      </c>
      <c r="L237" s="44">
        <f>ORÇAMENTO!J126</f>
        <v>619.51</v>
      </c>
      <c r="M237" s="23">
        <f>ORÇAMENTO!K126</f>
        <v>2.1901535302362E-5</v>
      </c>
      <c r="N237" s="23" t="str">
        <f t="shared" si="13"/>
        <v>OK!</v>
      </c>
      <c r="O237" s="23" t="str">
        <f t="shared" si="14"/>
        <v>OK!</v>
      </c>
      <c r="P237" s="23" t="str">
        <f t="shared" si="15"/>
        <v>OK!</v>
      </c>
    </row>
    <row r="238" spans="2:16" x14ac:dyDescent="0.35">
      <c r="B238" s="43">
        <f t="shared" si="12"/>
        <v>37</v>
      </c>
      <c r="C238" s="44" t="str">
        <f>ORÇAMENTO!A349</f>
        <v>5.1.1.3.1</v>
      </c>
      <c r="D238" s="44" t="str">
        <f>ORÇAMENTO!B349</f>
        <v xml:space="preserve"> 1600438 </v>
      </c>
      <c r="E238" s="44" t="str">
        <f>ORÇAMENTO!C349</f>
        <v>SICRO3</v>
      </c>
      <c r="F238" s="480" t="str">
        <f>ORÇAMENTO!D349</f>
        <v>DEMOLIÇÃO MANUAL DE CONCRETO ARMADO</v>
      </c>
      <c r="G238" s="44" t="str">
        <f>ORÇAMENTO!E349</f>
        <v>M³</v>
      </c>
      <c r="H238" s="44">
        <f>ORÇAMENTO!F349</f>
        <v>27.202866984817941</v>
      </c>
      <c r="I238" s="44">
        <f>ORÇAMENTO!G349</f>
        <v>626.30999999999995</v>
      </c>
      <c r="J238" s="44">
        <f>ORÇAMENTO!H349</f>
        <v>0.2122</v>
      </c>
      <c r="K238" s="44">
        <f>ORÇAMENTO!I349</f>
        <v>759.21</v>
      </c>
      <c r="L238" s="44">
        <f>ORÇAMENTO!J349</f>
        <v>20652.68</v>
      </c>
      <c r="M238" s="23">
        <f>ORÇAMENTO!K349</f>
        <v>7.3013413844552242E-4</v>
      </c>
      <c r="N238" s="23" t="str">
        <f t="shared" si="13"/>
        <v>OK!</v>
      </c>
      <c r="O238" s="23" t="str">
        <f t="shared" si="14"/>
        <v>OK!</v>
      </c>
      <c r="P238" s="23" t="str">
        <f t="shared" si="15"/>
        <v>OK!</v>
      </c>
    </row>
    <row r="239" spans="2:16" x14ac:dyDescent="0.35">
      <c r="B239" s="43">
        <f t="shared" si="12"/>
        <v>37</v>
      </c>
      <c r="C239" s="44" t="str">
        <f>ORÇAMENTO!A368</f>
        <v>5.1.1.6.1</v>
      </c>
      <c r="D239" s="44" t="str">
        <f>ORÇAMENTO!B368</f>
        <v xml:space="preserve"> 1600438 </v>
      </c>
      <c r="E239" s="44" t="str">
        <f>ORÇAMENTO!C368</f>
        <v>SICRO3</v>
      </c>
      <c r="F239" s="480" t="str">
        <f>ORÇAMENTO!D368</f>
        <v>DEMOLIÇÃO MANUAL DE CONCRETO ARMADO</v>
      </c>
      <c r="G239" s="44" t="str">
        <f>ORÇAMENTO!E368</f>
        <v>M³</v>
      </c>
      <c r="H239" s="44">
        <f>ORÇAMENTO!F368</f>
        <v>1.5345190080000013</v>
      </c>
      <c r="I239" s="44">
        <f>ORÇAMENTO!G368</f>
        <v>626.30999999999995</v>
      </c>
      <c r="J239" s="44">
        <f>ORÇAMENTO!H368</f>
        <v>0.2122</v>
      </c>
      <c r="K239" s="44">
        <f>ORÇAMENTO!I368</f>
        <v>759.21</v>
      </c>
      <c r="L239" s="44">
        <f>ORÇAMENTO!J368</f>
        <v>1165.02</v>
      </c>
      <c r="M239" s="23">
        <f>ORÇAMENTO!K368</f>
        <v>4.1186948811089045E-5</v>
      </c>
      <c r="N239" s="23" t="str">
        <f t="shared" si="13"/>
        <v>OK!</v>
      </c>
      <c r="O239" s="23" t="str">
        <f t="shared" si="14"/>
        <v>OK!</v>
      </c>
      <c r="P239" s="23" t="str">
        <f t="shared" si="15"/>
        <v>OK!</v>
      </c>
    </row>
    <row r="240" spans="2:16" x14ac:dyDescent="0.35">
      <c r="B240" s="43">
        <f t="shared" si="12"/>
        <v>37</v>
      </c>
      <c r="C240" s="44" t="str">
        <f>ORÇAMENTO!A562</f>
        <v>6.1.1.3.1</v>
      </c>
      <c r="D240" s="44" t="str">
        <f>ORÇAMENTO!B562</f>
        <v xml:space="preserve"> 1600438 </v>
      </c>
      <c r="E240" s="44" t="str">
        <f>ORÇAMENTO!C562</f>
        <v>SICRO3</v>
      </c>
      <c r="F240" s="480" t="str">
        <f>ORÇAMENTO!D562</f>
        <v>DEMOLIÇÃO MANUAL DE CONCRETO ARMADO</v>
      </c>
      <c r="G240" s="44" t="str">
        <f>ORÇAMENTO!E562</f>
        <v>M³</v>
      </c>
      <c r="H240" s="44">
        <f>ORÇAMENTO!F562</f>
        <v>16.234851242947787</v>
      </c>
      <c r="I240" s="44">
        <f>ORÇAMENTO!G562</f>
        <v>626.30999999999995</v>
      </c>
      <c r="J240" s="44">
        <f>ORÇAMENTO!H562</f>
        <v>0.2122</v>
      </c>
      <c r="K240" s="44">
        <f>ORÇAMENTO!I562</f>
        <v>759.21</v>
      </c>
      <c r="L240" s="44">
        <f>ORÇAMENTO!J562</f>
        <v>12325.66</v>
      </c>
      <c r="M240" s="23">
        <f>ORÇAMENTO!K562</f>
        <v>4.3574902360722374E-4</v>
      </c>
      <c r="N240" s="23" t="str">
        <f t="shared" si="13"/>
        <v>OK!</v>
      </c>
      <c r="O240" s="23" t="str">
        <f t="shared" si="14"/>
        <v>OK!</v>
      </c>
      <c r="P240" s="23" t="str">
        <f t="shared" si="15"/>
        <v>OK!</v>
      </c>
    </row>
    <row r="241" spans="2:16" x14ac:dyDescent="0.35">
      <c r="B241" s="43">
        <f t="shared" si="12"/>
        <v>37</v>
      </c>
      <c r="C241" s="44" t="str">
        <f>ORÇAMENTO!A580</f>
        <v>6.1.1.6.1</v>
      </c>
      <c r="D241" s="44" t="str">
        <f>ORÇAMENTO!B580</f>
        <v xml:space="preserve"> 1600438 </v>
      </c>
      <c r="E241" s="44" t="str">
        <f>ORÇAMENTO!C580</f>
        <v>SICRO3</v>
      </c>
      <c r="F241" s="480" t="str">
        <f>ORÇAMENTO!D580</f>
        <v>DEMOLIÇÃO MANUAL DE CONCRETO ARMADO</v>
      </c>
      <c r="G241" s="44" t="str">
        <f>ORÇAMENTO!E580</f>
        <v>M³</v>
      </c>
      <c r="H241" s="44">
        <f>ORÇAMENTO!F580</f>
        <v>3.4679999999998608E-2</v>
      </c>
      <c r="I241" s="44">
        <f>ORÇAMENTO!G580</f>
        <v>626.30999999999995</v>
      </c>
      <c r="J241" s="44">
        <f>ORÇAMENTO!H580</f>
        <v>0.2122</v>
      </c>
      <c r="K241" s="44">
        <f>ORÇAMENTO!I580</f>
        <v>759.21</v>
      </c>
      <c r="L241" s="44">
        <f>ORÇAMENTO!J580</f>
        <v>26.32</v>
      </c>
      <c r="M241" s="23">
        <f>ORÇAMENTO!K580</f>
        <v>9.3049088660097146E-7</v>
      </c>
      <c r="N241" s="23" t="str">
        <f t="shared" si="13"/>
        <v>OK!</v>
      </c>
      <c r="O241" s="23" t="str">
        <f t="shared" si="14"/>
        <v>OK!</v>
      </c>
      <c r="P241" s="23" t="str">
        <f t="shared" si="15"/>
        <v>OK!</v>
      </c>
    </row>
    <row r="242" spans="2:16" x14ac:dyDescent="0.35">
      <c r="B242" s="43">
        <f t="shared" si="12"/>
        <v>37</v>
      </c>
      <c r="C242" s="44" t="str">
        <f>ORÇAMENTO!A752</f>
        <v>7.1.1.3.1</v>
      </c>
      <c r="D242" s="44" t="str">
        <f>ORÇAMENTO!B752</f>
        <v xml:space="preserve"> 1600438 </v>
      </c>
      <c r="E242" s="44" t="str">
        <f>ORÇAMENTO!C752</f>
        <v>SICRO3</v>
      </c>
      <c r="F242" s="480" t="str">
        <f>ORÇAMENTO!D752</f>
        <v>DEMOLIÇÃO MANUAL DE CONCRETO ARMADO</v>
      </c>
      <c r="G242" s="44" t="str">
        <f>ORÇAMENTO!E752</f>
        <v>M³</v>
      </c>
      <c r="H242" s="44">
        <f>ORÇAMENTO!F752</f>
        <v>73.703590075546302</v>
      </c>
      <c r="I242" s="44">
        <f>ORÇAMENTO!G752</f>
        <v>626.30999999999995</v>
      </c>
      <c r="J242" s="44">
        <f>ORÇAMENTO!H752</f>
        <v>0.2122</v>
      </c>
      <c r="K242" s="44">
        <f>ORÇAMENTO!I752</f>
        <v>759.21</v>
      </c>
      <c r="L242" s="44">
        <f>ORÇAMENTO!J752</f>
        <v>55956.5</v>
      </c>
      <c r="M242" s="23">
        <f>ORÇAMENTO!K752</f>
        <v>1.9782299884531633E-3</v>
      </c>
      <c r="N242" s="23" t="str">
        <f t="shared" si="13"/>
        <v>OK!</v>
      </c>
      <c r="O242" s="23" t="str">
        <f t="shared" si="14"/>
        <v>OK!</v>
      </c>
      <c r="P242" s="23" t="str">
        <f t="shared" si="15"/>
        <v>OK!</v>
      </c>
    </row>
    <row r="243" spans="2:16" x14ac:dyDescent="0.35">
      <c r="B243" s="43">
        <f t="shared" si="12"/>
        <v>37</v>
      </c>
      <c r="C243" s="44" t="str">
        <f>ORÇAMENTO!A770</f>
        <v>7.1.1.6.1</v>
      </c>
      <c r="D243" s="44" t="str">
        <f>ORÇAMENTO!B770</f>
        <v xml:space="preserve"> 1600438 </v>
      </c>
      <c r="E243" s="44" t="str">
        <f>ORÇAMENTO!C770</f>
        <v>SICRO3</v>
      </c>
      <c r="F243" s="480" t="str">
        <f>ORÇAMENTO!D770</f>
        <v>DEMOLIÇÃO MANUAL DE CONCRETO ARMADO</v>
      </c>
      <c r="G243" s="44" t="str">
        <f>ORÇAMENTO!E770</f>
        <v>M³</v>
      </c>
      <c r="H243" s="44">
        <f>ORÇAMENTO!F770</f>
        <v>1.0278947999999999</v>
      </c>
      <c r="I243" s="44">
        <f>ORÇAMENTO!G770</f>
        <v>626.30999999999995</v>
      </c>
      <c r="J243" s="44">
        <f>ORÇAMENTO!H770</f>
        <v>0.2122</v>
      </c>
      <c r="K243" s="44">
        <f>ORÇAMENTO!I770</f>
        <v>759.21</v>
      </c>
      <c r="L243" s="44">
        <f>ORÇAMENTO!J770</f>
        <v>780.38</v>
      </c>
      <c r="M243" s="23">
        <f>ORÇAMENTO!K770</f>
        <v>2.7588771963741114E-5</v>
      </c>
      <c r="N243" s="23" t="str">
        <f t="shared" si="13"/>
        <v>OK!</v>
      </c>
      <c r="O243" s="23" t="str">
        <f t="shared" si="14"/>
        <v>OK!</v>
      </c>
      <c r="P243" s="23" t="str">
        <f t="shared" si="15"/>
        <v>OK!</v>
      </c>
    </row>
    <row r="244" spans="2:16" ht="43.5" x14ac:dyDescent="0.35">
      <c r="B244" s="43">
        <f t="shared" si="12"/>
        <v>38</v>
      </c>
      <c r="C244" s="44" t="str">
        <f>ORÇAMENTO!A113</f>
        <v>4.1.1.4.1</v>
      </c>
      <c r="D244" s="44" t="str">
        <f>ORÇAMENTO!B113</f>
        <v xml:space="preserve"> 02.01.67 </v>
      </c>
      <c r="E244" s="44" t="str">
        <f>ORÇAMENTO!C113</f>
        <v>EMBASA</v>
      </c>
      <c r="F244" s="480" t="str">
        <f>ORÇAMENTO!D113</f>
        <v>DEMOLICAO MECANICA DE CONCRETO SIMPLES C/ COMPRESSOR E MARTELETE PNEUMATICO INCL. REMOCAO ECARREG. MANUAL DO EXPURGO</v>
      </c>
      <c r="G244" s="44" t="str">
        <f>ORÇAMENTO!E113</f>
        <v>M³</v>
      </c>
      <c r="H244" s="44">
        <f>ORÇAMENTO!F113</f>
        <v>244.23790377722153</v>
      </c>
      <c r="I244" s="44">
        <f>ORÇAMENTO!G113</f>
        <v>310.31</v>
      </c>
      <c r="J244" s="44">
        <f>ORÇAMENTO!H113</f>
        <v>0.2122</v>
      </c>
      <c r="K244" s="44">
        <f>ORÇAMENTO!I113</f>
        <v>376.16</v>
      </c>
      <c r="L244" s="44">
        <f>ORÇAMENTO!J113</f>
        <v>91872.52</v>
      </c>
      <c r="M244" s="23">
        <f>ORÇAMENTO!K113</f>
        <v>3.2479689433535519E-3</v>
      </c>
      <c r="N244" s="23" t="str">
        <f t="shared" si="13"/>
        <v>DIFERENTE</v>
      </c>
      <c r="O244" s="23" t="str">
        <f t="shared" si="14"/>
        <v>DIFERENTE</v>
      </c>
      <c r="P244" s="23" t="str">
        <f t="shared" si="15"/>
        <v>DIFERENTE</v>
      </c>
    </row>
    <row r="245" spans="2:16" ht="43.5" x14ac:dyDescent="0.35">
      <c r="B245" s="43">
        <f t="shared" si="12"/>
        <v>38</v>
      </c>
      <c r="C245" s="44" t="str">
        <f>ORÇAMENTO!A355</f>
        <v>5.1.1.4.1</v>
      </c>
      <c r="D245" s="44" t="str">
        <f>ORÇAMENTO!B355</f>
        <v xml:space="preserve"> 02.01.67 </v>
      </c>
      <c r="E245" s="44" t="str">
        <f>ORÇAMENTO!C355</f>
        <v>EMBASA</v>
      </c>
      <c r="F245" s="480" t="str">
        <f>ORÇAMENTO!D355</f>
        <v>DEMOLICAO MECANICA DE CONCRETO SIMPLES C/ COMPRESSOR E MARTELETE PNEUMATICO INCL. REMOCAO ECARREG. MANUAL DO EXPURGO</v>
      </c>
      <c r="G245" s="44" t="str">
        <f>ORÇAMENTO!E355</f>
        <v>M³</v>
      </c>
      <c r="H245" s="44">
        <f>ORÇAMENTO!F355</f>
        <v>319.74166187610786</v>
      </c>
      <c r="I245" s="44">
        <f>ORÇAMENTO!G355</f>
        <v>310.31</v>
      </c>
      <c r="J245" s="44">
        <f>ORÇAMENTO!H355</f>
        <v>0.2122</v>
      </c>
      <c r="K245" s="44">
        <f>ORÇAMENTO!I355</f>
        <v>376.16</v>
      </c>
      <c r="L245" s="44">
        <f>ORÇAMENTO!J355</f>
        <v>120274.02</v>
      </c>
      <c r="M245" s="23">
        <f>ORÇAMENTO!K355</f>
        <v>4.2520470936498094E-3</v>
      </c>
      <c r="N245" s="23" t="str">
        <f t="shared" si="13"/>
        <v>OK!</v>
      </c>
      <c r="O245" s="23" t="str">
        <f t="shared" si="14"/>
        <v>OK!</v>
      </c>
      <c r="P245" s="23" t="str">
        <f t="shared" si="15"/>
        <v>OK!</v>
      </c>
    </row>
    <row r="246" spans="2:16" ht="43.5" x14ac:dyDescent="0.35">
      <c r="B246" s="43">
        <f t="shared" si="12"/>
        <v>38</v>
      </c>
      <c r="C246" s="44" t="str">
        <f>ORÇAMENTO!A567</f>
        <v>6.1.1.4.1</v>
      </c>
      <c r="D246" s="44" t="str">
        <f>ORÇAMENTO!B567</f>
        <v xml:space="preserve"> 02.01.67 </v>
      </c>
      <c r="E246" s="44" t="str">
        <f>ORÇAMENTO!C567</f>
        <v>EMBASA</v>
      </c>
      <c r="F246" s="480" t="str">
        <f>ORÇAMENTO!D567</f>
        <v>DEMOLICAO MECANICA DE CONCRETO SIMPLES C/ COMPRESSOR E MARTELETE PNEUMATICO INCL. REMOCAO ECARREG. MANUAL DO EXPURGO</v>
      </c>
      <c r="G246" s="44" t="str">
        <f>ORÇAMENTO!E567</f>
        <v>M³</v>
      </c>
      <c r="H246" s="44">
        <f>ORÇAMENTO!F567</f>
        <v>93.569601024270938</v>
      </c>
      <c r="I246" s="44">
        <f>ORÇAMENTO!G567</f>
        <v>310.31</v>
      </c>
      <c r="J246" s="44">
        <f>ORÇAMENTO!H567</f>
        <v>0.2122</v>
      </c>
      <c r="K246" s="44">
        <f>ORÇAMENTO!I567</f>
        <v>376.16</v>
      </c>
      <c r="L246" s="44">
        <f>ORÇAMENTO!J567</f>
        <v>35197.14</v>
      </c>
      <c r="M246" s="23">
        <f>ORÇAMENTO!K567</f>
        <v>1.2443243922651412E-3</v>
      </c>
      <c r="N246" s="23" t="str">
        <f t="shared" si="13"/>
        <v>OK!</v>
      </c>
      <c r="O246" s="23" t="str">
        <f t="shared" si="14"/>
        <v>OK!</v>
      </c>
      <c r="P246" s="23" t="str">
        <f t="shared" si="15"/>
        <v>OK!</v>
      </c>
    </row>
    <row r="247" spans="2:16" ht="43.5" x14ac:dyDescent="0.35">
      <c r="B247" s="43">
        <f t="shared" si="12"/>
        <v>38</v>
      </c>
      <c r="C247" s="44" t="str">
        <f>ORÇAMENTO!A757</f>
        <v>7.1.1.4.1</v>
      </c>
      <c r="D247" s="44" t="str">
        <f>ORÇAMENTO!B757</f>
        <v xml:space="preserve"> 02.01.67 </v>
      </c>
      <c r="E247" s="44" t="str">
        <f>ORÇAMENTO!C757</f>
        <v>EMBASA</v>
      </c>
      <c r="F247" s="480" t="str">
        <f>ORÇAMENTO!D757</f>
        <v>DEMOLICAO MECANICA DE CONCRETO SIMPLES C/ COMPRESSOR E MARTELETE PNEUMATICO INCL. REMOCAO ECARREG. MANUAL DO EXPURGO</v>
      </c>
      <c r="G247" s="44" t="str">
        <f>ORÇAMENTO!E757</f>
        <v>M³</v>
      </c>
      <c r="H247" s="44">
        <f>ORÇAMENTO!F757</f>
        <v>487.26418415557913</v>
      </c>
      <c r="I247" s="44">
        <f>ORÇAMENTO!G757</f>
        <v>310.31</v>
      </c>
      <c r="J247" s="44">
        <f>ORÇAMENTO!H757</f>
        <v>0.2122</v>
      </c>
      <c r="K247" s="44">
        <f>ORÇAMENTO!I757</f>
        <v>376.16</v>
      </c>
      <c r="L247" s="44">
        <f>ORÇAMENTO!J757</f>
        <v>183289.29</v>
      </c>
      <c r="M247" s="23">
        <f>ORÇAMENTO!K757</f>
        <v>6.4798257582280618E-3</v>
      </c>
      <c r="N247" s="23" t="str">
        <f t="shared" si="13"/>
        <v>OK!</v>
      </c>
      <c r="O247" s="23" t="str">
        <f t="shared" si="14"/>
        <v>OK!</v>
      </c>
      <c r="P247" s="23" t="str">
        <f t="shared" si="15"/>
        <v>OK!</v>
      </c>
    </row>
    <row r="248" spans="2:16" ht="29" x14ac:dyDescent="0.35">
      <c r="B248" s="43">
        <f t="shared" si="12"/>
        <v>39</v>
      </c>
      <c r="C248" s="44" t="str">
        <f>ORÇAMENTO!A102</f>
        <v>4.1.1.2.1</v>
      </c>
      <c r="D248" s="44" t="str">
        <f>ORÇAMENTO!B102</f>
        <v xml:space="preserve"> 97636 </v>
      </c>
      <c r="E248" s="44" t="str">
        <f>ORÇAMENTO!C102</f>
        <v>SINAPI</v>
      </c>
      <c r="F248" s="480" t="str">
        <f>ORÇAMENTO!D102</f>
        <v>DEMOLIÇÃO PARCIAL DE PAVIMENTO ASFÁLTICO, DE FORMA MECANIZADA, SEM REAPROVEITAMENTO. AF_09/2023</v>
      </c>
      <c r="G248" s="44" t="str">
        <f>ORÇAMENTO!E102</f>
        <v>M²</v>
      </c>
      <c r="H248" s="44">
        <f>ORÇAMENTO!F102</f>
        <v>2097.2491630365098</v>
      </c>
      <c r="I248" s="44">
        <f>ORÇAMENTO!G102</f>
        <v>22.73</v>
      </c>
      <c r="J248" s="44">
        <f>ORÇAMENTO!H102</f>
        <v>0.2122</v>
      </c>
      <c r="K248" s="44">
        <f>ORÇAMENTO!I102</f>
        <v>27.55</v>
      </c>
      <c r="L248" s="44">
        <f>ORÇAMENTO!J102</f>
        <v>57779.21</v>
      </c>
      <c r="M248" s="23">
        <f>ORÇAMENTO!K102</f>
        <v>2.0426682500001409E-3</v>
      </c>
      <c r="N248" s="23" t="str">
        <f t="shared" si="13"/>
        <v>DIFERENTE</v>
      </c>
      <c r="O248" s="23" t="str">
        <f t="shared" si="14"/>
        <v>DIFERENTE</v>
      </c>
      <c r="P248" s="23" t="str">
        <f t="shared" si="15"/>
        <v>DIFERENTE</v>
      </c>
    </row>
    <row r="249" spans="2:16" ht="29" x14ac:dyDescent="0.35">
      <c r="B249" s="43">
        <f t="shared" si="12"/>
        <v>39</v>
      </c>
      <c r="C249" s="44" t="str">
        <f>ORÇAMENTO!A306</f>
        <v>4.4.2</v>
      </c>
      <c r="D249" s="44" t="str">
        <f>ORÇAMENTO!B306</f>
        <v xml:space="preserve"> 97636 </v>
      </c>
      <c r="E249" s="44" t="str">
        <f>ORÇAMENTO!C306</f>
        <v>SINAPI</v>
      </c>
      <c r="F249" s="480" t="str">
        <f>ORÇAMENTO!D306</f>
        <v>DEMOLIÇÃO PARCIAL DE PAVIMENTO ASFÁLTICO, DE FORMA MECANIZADA, SEM REAPROVEITAMENTO. AF_09/2023</v>
      </c>
      <c r="G249" s="44" t="str">
        <f>ORÇAMENTO!E306</f>
        <v>M²</v>
      </c>
      <c r="H249" s="44">
        <f>ORÇAMENTO!F306</f>
        <v>42.11999999999999</v>
      </c>
      <c r="I249" s="44">
        <f>ORÇAMENTO!G306</f>
        <v>22.73</v>
      </c>
      <c r="J249" s="44">
        <f>ORÇAMENTO!H306</f>
        <v>0.2122</v>
      </c>
      <c r="K249" s="44">
        <f>ORÇAMENTO!I306</f>
        <v>27.55</v>
      </c>
      <c r="L249" s="44">
        <f>ORÇAMENTO!J306</f>
        <v>1160.4000000000001</v>
      </c>
      <c r="M249" s="23">
        <f>ORÇAMENTO!K306</f>
        <v>4.1023617963972925E-5</v>
      </c>
      <c r="N249" s="23" t="str">
        <f t="shared" si="13"/>
        <v>OK!</v>
      </c>
      <c r="O249" s="23" t="str">
        <f t="shared" si="14"/>
        <v>OK!</v>
      </c>
      <c r="P249" s="23" t="str">
        <f t="shared" si="15"/>
        <v>OK!</v>
      </c>
    </row>
    <row r="250" spans="2:16" ht="29" x14ac:dyDescent="0.35">
      <c r="B250" s="43">
        <f t="shared" si="12"/>
        <v>39</v>
      </c>
      <c r="C250" s="44" t="str">
        <f>ORÇAMENTO!A344</f>
        <v>5.1.1.2.1</v>
      </c>
      <c r="D250" s="44" t="str">
        <f>ORÇAMENTO!B344</f>
        <v xml:space="preserve"> 97636 </v>
      </c>
      <c r="E250" s="44" t="str">
        <f>ORÇAMENTO!C344</f>
        <v>SINAPI</v>
      </c>
      <c r="F250" s="480" t="str">
        <f>ORÇAMENTO!D344</f>
        <v>DEMOLIÇÃO PARCIAL DE PAVIMENTO ASFÁLTICO, DE FORMA MECANIZADA, SEM REAPROVEITAMENTO. AF_09/2023</v>
      </c>
      <c r="G250" s="44" t="str">
        <f>ORÇAMENTO!E344</f>
        <v>M²</v>
      </c>
      <c r="H250" s="44">
        <f>ORÇAMENTO!F344</f>
        <v>3483.233999999999</v>
      </c>
      <c r="I250" s="44">
        <f>ORÇAMENTO!G344</f>
        <v>22.73</v>
      </c>
      <c r="J250" s="44">
        <f>ORÇAMENTO!H344</f>
        <v>0.2122</v>
      </c>
      <c r="K250" s="44">
        <f>ORÇAMENTO!I344</f>
        <v>27.55</v>
      </c>
      <c r="L250" s="44">
        <f>ORÇAMENTO!J344</f>
        <v>95963.09</v>
      </c>
      <c r="M250" s="23">
        <f>ORÇAMENTO!K344</f>
        <v>3.3925828531561099E-3</v>
      </c>
      <c r="N250" s="23" t="str">
        <f t="shared" si="13"/>
        <v>OK!</v>
      </c>
      <c r="O250" s="23" t="str">
        <f t="shared" si="14"/>
        <v>OK!</v>
      </c>
      <c r="P250" s="23" t="str">
        <f t="shared" si="15"/>
        <v>OK!</v>
      </c>
    </row>
    <row r="251" spans="2:16" ht="29" x14ac:dyDescent="0.35">
      <c r="B251" s="43">
        <f t="shared" si="12"/>
        <v>39</v>
      </c>
      <c r="C251" s="44" t="str">
        <f>ORÇAMENTO!A519</f>
        <v>5.4.2</v>
      </c>
      <c r="D251" s="44" t="str">
        <f>ORÇAMENTO!B519</f>
        <v xml:space="preserve"> 97636 </v>
      </c>
      <c r="E251" s="44" t="str">
        <f>ORÇAMENTO!C519</f>
        <v>SINAPI</v>
      </c>
      <c r="F251" s="480" t="str">
        <f>ORÇAMENTO!D519</f>
        <v>DEMOLIÇÃO PARCIAL DE PAVIMENTO ASFÁLTICO, DE FORMA MECANIZADA, SEM REAPROVEITAMENTO. AF_09/2023</v>
      </c>
      <c r="G251" s="44" t="str">
        <f>ORÇAMENTO!E519</f>
        <v>M²</v>
      </c>
      <c r="H251" s="44">
        <f>ORÇAMENTO!F519</f>
        <v>12.959999999999997</v>
      </c>
      <c r="I251" s="44">
        <f>ORÇAMENTO!G519</f>
        <v>22.73</v>
      </c>
      <c r="J251" s="44">
        <f>ORÇAMENTO!H519</f>
        <v>0.2122</v>
      </c>
      <c r="K251" s="44">
        <f>ORÇAMENTO!I519</f>
        <v>27.55</v>
      </c>
      <c r="L251" s="44">
        <f>ORÇAMENTO!J519</f>
        <v>357.04</v>
      </c>
      <c r="M251" s="23">
        <f>ORÇAMENTO!K519</f>
        <v>1.2622434124316523E-5</v>
      </c>
      <c r="N251" s="23" t="str">
        <f t="shared" si="13"/>
        <v>OK!</v>
      </c>
      <c r="O251" s="23" t="str">
        <f t="shared" si="14"/>
        <v>OK!</v>
      </c>
      <c r="P251" s="23" t="str">
        <f t="shared" si="15"/>
        <v>OK!</v>
      </c>
    </row>
    <row r="252" spans="2:16" ht="29" x14ac:dyDescent="0.35">
      <c r="B252" s="43">
        <f t="shared" si="12"/>
        <v>39</v>
      </c>
      <c r="C252" s="44" t="str">
        <f>ORÇAMENTO!A557</f>
        <v>6.1.1.2.1</v>
      </c>
      <c r="D252" s="44" t="str">
        <f>ORÇAMENTO!B557</f>
        <v xml:space="preserve"> 97636 </v>
      </c>
      <c r="E252" s="44" t="str">
        <f>ORÇAMENTO!C557</f>
        <v>SINAPI</v>
      </c>
      <c r="F252" s="480" t="str">
        <f>ORÇAMENTO!D557</f>
        <v>DEMOLIÇÃO PARCIAL DE PAVIMENTO ASFÁLTICO, DE FORMA MECANIZADA, SEM REAPROVEITAMENTO. AF_09/2023</v>
      </c>
      <c r="G252" s="44" t="str">
        <f>ORÇAMENTO!E557</f>
        <v>M²</v>
      </c>
      <c r="H252" s="44">
        <f>ORÇAMENTO!F557</f>
        <v>1230.0907945402287</v>
      </c>
      <c r="I252" s="44">
        <f>ORÇAMENTO!G557</f>
        <v>22.73</v>
      </c>
      <c r="J252" s="44">
        <f>ORÇAMENTO!H557</f>
        <v>0.2122</v>
      </c>
      <c r="K252" s="44">
        <f>ORÇAMENTO!I557</f>
        <v>27.55</v>
      </c>
      <c r="L252" s="44">
        <f>ORÇAMENTO!J557</f>
        <v>33889</v>
      </c>
      <c r="M252" s="23">
        <f>ORÇAMENTO!K557</f>
        <v>1.1980777224931732E-3</v>
      </c>
      <c r="N252" s="23" t="str">
        <f t="shared" si="13"/>
        <v>OK!</v>
      </c>
      <c r="O252" s="23" t="str">
        <f t="shared" si="14"/>
        <v>OK!</v>
      </c>
      <c r="P252" s="23" t="str">
        <f t="shared" si="15"/>
        <v>OK!</v>
      </c>
    </row>
    <row r="253" spans="2:16" ht="29" x14ac:dyDescent="0.35">
      <c r="B253" s="43">
        <f t="shared" si="12"/>
        <v>39</v>
      </c>
      <c r="C253" s="44" t="str">
        <f>ORÇAMENTO!A712</f>
        <v>6.4.2</v>
      </c>
      <c r="D253" s="44" t="str">
        <f>ORÇAMENTO!B712</f>
        <v xml:space="preserve"> 97636 </v>
      </c>
      <c r="E253" s="44" t="str">
        <f>ORÇAMENTO!C712</f>
        <v>SINAPI</v>
      </c>
      <c r="F253" s="480" t="str">
        <f>ORÇAMENTO!D712</f>
        <v>DEMOLIÇÃO PARCIAL DE PAVIMENTO ASFÁLTICO, DE FORMA MECANIZADA, SEM REAPROVEITAMENTO. AF_09/2023</v>
      </c>
      <c r="G253" s="44" t="str">
        <f>ORÇAMENTO!E712</f>
        <v>M²</v>
      </c>
      <c r="H253" s="44">
        <f>ORÇAMENTO!F712</f>
        <v>32.4</v>
      </c>
      <c r="I253" s="44">
        <f>ORÇAMENTO!G712</f>
        <v>22.73</v>
      </c>
      <c r="J253" s="44">
        <f>ORÇAMENTO!H712</f>
        <v>0.2122</v>
      </c>
      <c r="K253" s="44">
        <f>ORÇAMENTO!I712</f>
        <v>27.55</v>
      </c>
      <c r="L253" s="44">
        <f>ORÇAMENTO!J712</f>
        <v>892.62</v>
      </c>
      <c r="M253" s="23">
        <f>ORÇAMENTO!K712</f>
        <v>3.1556792370735527E-5</v>
      </c>
      <c r="N253" s="23" t="str">
        <f t="shared" si="13"/>
        <v>OK!</v>
      </c>
      <c r="O253" s="23" t="str">
        <f t="shared" si="14"/>
        <v>OK!</v>
      </c>
      <c r="P253" s="23" t="str">
        <f t="shared" si="15"/>
        <v>OK!</v>
      </c>
    </row>
    <row r="254" spans="2:16" ht="29" x14ac:dyDescent="0.35">
      <c r="B254" s="43">
        <f t="shared" si="12"/>
        <v>39</v>
      </c>
      <c r="C254" s="44" t="str">
        <f>ORÇAMENTO!A747</f>
        <v>7.1.1.2.1</v>
      </c>
      <c r="D254" s="44" t="str">
        <f>ORÇAMENTO!B747</f>
        <v xml:space="preserve"> 97636 </v>
      </c>
      <c r="E254" s="44" t="str">
        <f>ORÇAMENTO!C747</f>
        <v>SINAPI</v>
      </c>
      <c r="F254" s="480" t="str">
        <f>ORÇAMENTO!D747</f>
        <v>DEMOLIÇÃO PARCIAL DE PAVIMENTO ASFÁLTICO, DE FORMA MECANIZADA, SEM REAPROVEITAMENTO. AF_09/2023</v>
      </c>
      <c r="G254" s="44" t="str">
        <f>ORÇAMENTO!E747</f>
        <v>M²</v>
      </c>
      <c r="H254" s="44">
        <f>ORÇAMENTO!F747</f>
        <v>3993.4429999999993</v>
      </c>
      <c r="I254" s="44">
        <f>ORÇAMENTO!G747</f>
        <v>22.73</v>
      </c>
      <c r="J254" s="44">
        <f>ORÇAMENTO!H747</f>
        <v>0.2122</v>
      </c>
      <c r="K254" s="44">
        <f>ORÇAMENTO!I747</f>
        <v>27.55</v>
      </c>
      <c r="L254" s="44">
        <f>ORÇAMENTO!J747</f>
        <v>110019.35</v>
      </c>
      <c r="M254" s="23">
        <f>ORÇAMENTO!K747</f>
        <v>3.8895137737371805E-3</v>
      </c>
      <c r="N254" s="23" t="str">
        <f t="shared" si="13"/>
        <v>OK!</v>
      </c>
      <c r="O254" s="23" t="str">
        <f t="shared" si="14"/>
        <v>OK!</v>
      </c>
      <c r="P254" s="23" t="str">
        <f t="shared" si="15"/>
        <v>OK!</v>
      </c>
    </row>
    <row r="255" spans="2:16" ht="29" x14ac:dyDescent="0.35">
      <c r="B255" s="43">
        <f t="shared" si="12"/>
        <v>39</v>
      </c>
      <c r="C255" s="44" t="str">
        <f>ORÇAMENTO!A934</f>
        <v>7.4.2</v>
      </c>
      <c r="D255" s="44" t="str">
        <f>ORÇAMENTO!B934</f>
        <v xml:space="preserve"> 97636 </v>
      </c>
      <c r="E255" s="44" t="str">
        <f>ORÇAMENTO!C934</f>
        <v>SINAPI</v>
      </c>
      <c r="F255" s="636" t="str">
        <f>ORÇAMENTO!D934</f>
        <v>DEMOLIÇÃO PARCIAL DE PAVIMENTO ASFÁLTICO, DE FORMA MECANIZADA, SEM REAPROVEITAMENTO. AF_09/2023</v>
      </c>
      <c r="G255" s="44" t="str">
        <f>ORÇAMENTO!E934</f>
        <v>M²</v>
      </c>
      <c r="H255" s="44">
        <f>ORÇAMENTO!F934</f>
        <v>25.919999999999995</v>
      </c>
      <c r="I255" s="44">
        <f>ORÇAMENTO!G934</f>
        <v>22.73</v>
      </c>
      <c r="J255" s="44">
        <f>ORÇAMENTO!H934</f>
        <v>0.2122</v>
      </c>
      <c r="K255" s="44">
        <f>ORÇAMENTO!I934</f>
        <v>27.55</v>
      </c>
      <c r="L255" s="638">
        <f>ORÇAMENTO!J934</f>
        <v>714.09</v>
      </c>
      <c r="M255" s="23">
        <f>ORÇAMENTO!K934</f>
        <v>2.5245221778605158E-5</v>
      </c>
      <c r="N255" s="23" t="str">
        <f t="shared" si="13"/>
        <v>OK!</v>
      </c>
      <c r="O255" s="23" t="str">
        <f t="shared" si="14"/>
        <v>OK!</v>
      </c>
      <c r="P255" s="23" t="str">
        <f t="shared" si="15"/>
        <v>OK!</v>
      </c>
    </row>
    <row r="256" spans="2:16" ht="29" x14ac:dyDescent="0.35">
      <c r="B256" s="43">
        <f t="shared" si="12"/>
        <v>40</v>
      </c>
      <c r="C256" s="44" t="str">
        <f>ORÇAMENTO!A510</f>
        <v>5.2.2</v>
      </c>
      <c r="D256" s="44" t="str">
        <f>ORÇAMENTO!B510</f>
        <v xml:space="preserve"> 072200 </v>
      </c>
      <c r="E256" s="44" t="str">
        <f>ORÇAMENTO!C510</f>
        <v>SIURB INFRA</v>
      </c>
      <c r="F256" s="480" t="str">
        <f>ORÇAMENTO!D510</f>
        <v>DESASSOREAMENTO, LIMPEZA E REMOÇÃO DE MATERIAL DE GALERIA MOLDADA</v>
      </c>
      <c r="G256" s="44" t="str">
        <f>ORÇAMENTO!E510</f>
        <v>M³</v>
      </c>
      <c r="H256" s="44">
        <f>ORÇAMENTO!F510</f>
        <v>39.020000000000003</v>
      </c>
      <c r="I256" s="44">
        <f>ORÇAMENTO!G510</f>
        <v>223.83</v>
      </c>
      <c r="J256" s="44">
        <f>ORÇAMENTO!H510</f>
        <v>0.2122</v>
      </c>
      <c r="K256" s="44">
        <f>ORÇAMENTO!I510</f>
        <v>271.33</v>
      </c>
      <c r="L256" s="44">
        <f>ORÇAMENTO!J510</f>
        <v>10587.29</v>
      </c>
      <c r="M256" s="23">
        <f>ORÇAMENTO!K510</f>
        <v>3.7429243384504558E-4</v>
      </c>
      <c r="N256" s="23" t="str">
        <f t="shared" si="13"/>
        <v>DIFERENTE</v>
      </c>
      <c r="O256" s="23" t="str">
        <f t="shared" si="14"/>
        <v>DIFERENTE</v>
      </c>
      <c r="P256" s="23" t="str">
        <f t="shared" si="15"/>
        <v>DIFERENTE</v>
      </c>
    </row>
    <row r="257" spans="2:16" ht="29" x14ac:dyDescent="0.35">
      <c r="B257" s="43">
        <f t="shared" si="12"/>
        <v>40</v>
      </c>
      <c r="C257" s="44" t="str">
        <f>ORÇAMENTO!A705</f>
        <v>6.2.2</v>
      </c>
      <c r="D257" s="44" t="str">
        <f>ORÇAMENTO!B705</f>
        <v xml:space="preserve"> 072200 </v>
      </c>
      <c r="E257" s="44" t="str">
        <f>ORÇAMENTO!C705</f>
        <v>SIURB INFRA</v>
      </c>
      <c r="F257" s="480" t="str">
        <f>ORÇAMENTO!D705</f>
        <v>DESASSOREAMENTO, LIMPEZA E REMOÇÃO DE MATERIAL DE GALERIA MOLDADA</v>
      </c>
      <c r="G257" s="44" t="str">
        <f>ORÇAMENTO!E705</f>
        <v>M³</v>
      </c>
      <c r="H257" s="44">
        <f>ORÇAMENTO!F705</f>
        <v>2672.42</v>
      </c>
      <c r="I257" s="44">
        <f>ORÇAMENTO!G705</f>
        <v>223.83</v>
      </c>
      <c r="J257" s="44">
        <f>ORÇAMENTO!H705</f>
        <v>0.2122</v>
      </c>
      <c r="K257" s="44">
        <f>ORÇAMENTO!I705</f>
        <v>271.33</v>
      </c>
      <c r="L257" s="44">
        <f>ORÇAMENTO!J705</f>
        <v>725107.71</v>
      </c>
      <c r="M257" s="23">
        <f>ORÇAMENTO!K705</f>
        <v>2.5634730849509881E-2</v>
      </c>
      <c r="N257" s="23" t="str">
        <f t="shared" si="13"/>
        <v>OK!</v>
      </c>
      <c r="O257" s="23" t="str">
        <f t="shared" si="14"/>
        <v>OK!</v>
      </c>
      <c r="P257" s="23" t="str">
        <f t="shared" si="15"/>
        <v>OK!</v>
      </c>
    </row>
    <row r="258" spans="2:16" ht="29" x14ac:dyDescent="0.35">
      <c r="B258" s="43">
        <f t="shared" si="12"/>
        <v>40</v>
      </c>
      <c r="C258" s="44" t="str">
        <f>ORÇAMENTO!A925</f>
        <v>7.2.2</v>
      </c>
      <c r="D258" s="44" t="str">
        <f>ORÇAMENTO!B925</f>
        <v xml:space="preserve"> 072200 </v>
      </c>
      <c r="E258" s="44" t="str">
        <f>ORÇAMENTO!C925</f>
        <v>SIURB INFRA</v>
      </c>
      <c r="F258" s="480" t="str">
        <f>ORÇAMENTO!D925</f>
        <v>DESASSOREAMENTO, LIMPEZA E REMOÇÃO DE MATERIAL DE GALERIA MOLDADA</v>
      </c>
      <c r="G258" s="44" t="str">
        <f>ORÇAMENTO!E925</f>
        <v>M³</v>
      </c>
      <c r="H258" s="44">
        <f>ORÇAMENTO!F925</f>
        <v>61.13</v>
      </c>
      <c r="I258" s="44">
        <f>ORÇAMENTO!G925</f>
        <v>223.83</v>
      </c>
      <c r="J258" s="44">
        <f>ORÇAMENTO!H925</f>
        <v>0.2122</v>
      </c>
      <c r="K258" s="44">
        <f>ORÇAMENTO!I925</f>
        <v>271.33</v>
      </c>
      <c r="L258" s="44">
        <f>ORÇAMENTO!J925</f>
        <v>16586.400000000001</v>
      </c>
      <c r="M258" s="23">
        <f>ORÇAMENTO!K925</f>
        <v>5.8637895294522623E-4</v>
      </c>
      <c r="N258" s="23" t="str">
        <f t="shared" si="13"/>
        <v>OK!</v>
      </c>
      <c r="O258" s="23" t="str">
        <f t="shared" si="14"/>
        <v>OK!</v>
      </c>
      <c r="P258" s="23" t="str">
        <f t="shared" si="15"/>
        <v>OK!</v>
      </c>
    </row>
    <row r="259" spans="2:16" x14ac:dyDescent="0.35">
      <c r="B259" s="43">
        <f t="shared" ref="B259:B320" si="16">IF(EXACT(D258,D259),B258,B258+1)</f>
        <v>41</v>
      </c>
      <c r="C259" s="44" t="str">
        <f>ORÇAMENTO!A300</f>
        <v>4.3.1.1</v>
      </c>
      <c r="D259" s="44" t="str">
        <f>ORÇAMENTO!B300</f>
        <v xml:space="preserve"> 9068 </v>
      </c>
      <c r="E259" s="44" t="str">
        <f>ORÇAMENTO!C300</f>
        <v>ORSE</v>
      </c>
      <c r="F259" s="480" t="str">
        <f>ORÇAMENTO!D300</f>
        <v>DESOBSTRUÇÃO E LIMPEZA DE BOCA-DE-LOBO</v>
      </c>
      <c r="G259" s="44" t="str">
        <f>ORÇAMENTO!E300</f>
        <v>UN</v>
      </c>
      <c r="H259" s="44">
        <f>ORÇAMENTO!F300</f>
        <v>73</v>
      </c>
      <c r="I259" s="44">
        <f>ORÇAMENTO!G300</f>
        <v>35.1</v>
      </c>
      <c r="J259" s="44">
        <f>ORÇAMENTO!H300</f>
        <v>0.2122</v>
      </c>
      <c r="K259" s="44">
        <f>ORÇAMENTO!I300</f>
        <v>42.55</v>
      </c>
      <c r="L259" s="44">
        <f>ORÇAMENTO!J300</f>
        <v>3106.15</v>
      </c>
      <c r="M259" s="23">
        <f>ORÇAMENTO!K300</f>
        <v>1.0981171228782704E-4</v>
      </c>
      <c r="N259" s="23" t="str">
        <f t="shared" ref="N259:N320" si="17">IF(F259=F258,IF(G259=G258,"OK!","ERRADO"),"DIFERENTE")</f>
        <v>DIFERENTE</v>
      </c>
      <c r="O259" s="23" t="str">
        <f t="shared" ref="O259:O320" si="18">IF(F259=F258,IF(I259=I258,"OK!","ERRADO"),"DIFERENTE")</f>
        <v>DIFERENTE</v>
      </c>
      <c r="P259" s="23" t="str">
        <f t="shared" ref="P259:P320" si="19">IF(F259=F258,IF(D259=D258,"OK!","ERRADO"),"DIFERENTE")</f>
        <v>DIFERENTE</v>
      </c>
    </row>
    <row r="260" spans="2:16" x14ac:dyDescent="0.35">
      <c r="B260" s="43">
        <f t="shared" si="16"/>
        <v>41</v>
      </c>
      <c r="C260" s="44" t="str">
        <f>ORÇAMENTO!A513</f>
        <v>5.3.1.1</v>
      </c>
      <c r="D260" s="44" t="str">
        <f>ORÇAMENTO!B513</f>
        <v xml:space="preserve"> 9068 </v>
      </c>
      <c r="E260" s="44" t="str">
        <f>ORÇAMENTO!C513</f>
        <v>ORSE</v>
      </c>
      <c r="F260" s="480" t="str">
        <f>ORÇAMENTO!D513</f>
        <v>DESOBSTRUÇÃO E LIMPEZA DE BOCA-DE-LOBO</v>
      </c>
      <c r="G260" s="44" t="str">
        <f>ORÇAMENTO!E513</f>
        <v>UN</v>
      </c>
      <c r="H260" s="44">
        <f>ORÇAMENTO!F513</f>
        <v>64</v>
      </c>
      <c r="I260" s="44">
        <f>ORÇAMENTO!G513</f>
        <v>35.1</v>
      </c>
      <c r="J260" s="44">
        <f>ORÇAMENTO!H513</f>
        <v>0.2122</v>
      </c>
      <c r="K260" s="44">
        <f>ORÇAMENTO!I513</f>
        <v>42.55</v>
      </c>
      <c r="L260" s="44">
        <f>ORÇAMENTO!J513</f>
        <v>2723.2</v>
      </c>
      <c r="M260" s="23">
        <f>ORÇAMENTO!K513</f>
        <v>9.6273282005766156E-5</v>
      </c>
      <c r="N260" s="23" t="str">
        <f t="shared" si="17"/>
        <v>OK!</v>
      </c>
      <c r="O260" s="23" t="str">
        <f t="shared" si="18"/>
        <v>OK!</v>
      </c>
      <c r="P260" s="23" t="str">
        <f t="shared" si="19"/>
        <v>OK!</v>
      </c>
    </row>
    <row r="261" spans="2:16" x14ac:dyDescent="0.35">
      <c r="B261" s="43">
        <f t="shared" si="16"/>
        <v>41</v>
      </c>
      <c r="C261" s="44" t="str">
        <f>ORÇAMENTO!A707</f>
        <v>6.3.1</v>
      </c>
      <c r="D261" s="44" t="str">
        <f>ORÇAMENTO!B707</f>
        <v xml:space="preserve"> 9068 </v>
      </c>
      <c r="E261" s="44" t="str">
        <f>ORÇAMENTO!C707</f>
        <v>ORSE</v>
      </c>
      <c r="F261" s="480" t="str">
        <f>ORÇAMENTO!D707</f>
        <v>DESOBSTRUÇÃO E LIMPEZA DE BOCA-DE-LOBO</v>
      </c>
      <c r="G261" s="44" t="str">
        <f>ORÇAMENTO!E707</f>
        <v>UN</v>
      </c>
      <c r="H261" s="44">
        <f>ORÇAMENTO!F707</f>
        <v>81</v>
      </c>
      <c r="I261" s="44">
        <f>ORÇAMENTO!G707</f>
        <v>35.1</v>
      </c>
      <c r="J261" s="44">
        <f>ORÇAMENTO!H707</f>
        <v>0.2122</v>
      </c>
      <c r="K261" s="44">
        <f>ORÇAMENTO!I707</f>
        <v>42.55</v>
      </c>
      <c r="L261" s="44">
        <f>ORÇAMENTO!J707</f>
        <v>3446.55</v>
      </c>
      <c r="M261" s="23">
        <f>ORÇAMENTO!K707</f>
        <v>1.2184587253854781E-4</v>
      </c>
      <c r="N261" s="23" t="str">
        <f t="shared" si="17"/>
        <v>OK!</v>
      </c>
      <c r="O261" s="23" t="str">
        <f t="shared" si="18"/>
        <v>OK!</v>
      </c>
      <c r="P261" s="23" t="str">
        <f t="shared" si="19"/>
        <v>OK!</v>
      </c>
    </row>
    <row r="262" spans="2:16" x14ac:dyDescent="0.35">
      <c r="B262" s="43">
        <f t="shared" si="16"/>
        <v>41</v>
      </c>
      <c r="C262" s="44" t="str">
        <f>ORÇAMENTO!A928</f>
        <v>7.3.1.1</v>
      </c>
      <c r="D262" s="44" t="str">
        <f>ORÇAMENTO!B928</f>
        <v xml:space="preserve"> 9068 </v>
      </c>
      <c r="E262" s="44" t="str">
        <f>ORÇAMENTO!C928</f>
        <v>ORSE</v>
      </c>
      <c r="F262" s="480" t="str">
        <f>ORÇAMENTO!D928</f>
        <v>DESOBSTRUÇÃO E LIMPEZA DE BOCA-DE-LOBO</v>
      </c>
      <c r="G262" s="44" t="str">
        <f>ORÇAMENTO!E928</f>
        <v>UN</v>
      </c>
      <c r="H262" s="44">
        <f>ORÇAMENTO!F928</f>
        <v>135</v>
      </c>
      <c r="I262" s="44">
        <f>ORÇAMENTO!G928</f>
        <v>35.1</v>
      </c>
      <c r="J262" s="44">
        <f>ORÇAMENTO!H928</f>
        <v>0.2122</v>
      </c>
      <c r="K262" s="44">
        <f>ORÇAMENTO!I928</f>
        <v>42.55</v>
      </c>
      <c r="L262" s="44">
        <f>ORÇAMENTO!J928</f>
        <v>5744.25</v>
      </c>
      <c r="M262" s="23">
        <f>ORÇAMENTO!K928</f>
        <v>2.0307645423091301E-4</v>
      </c>
      <c r="N262" s="23" t="str">
        <f t="shared" si="17"/>
        <v>OK!</v>
      </c>
      <c r="O262" s="23" t="str">
        <f t="shared" si="18"/>
        <v>OK!</v>
      </c>
      <c r="P262" s="23" t="str">
        <f t="shared" si="19"/>
        <v>OK!</v>
      </c>
    </row>
    <row r="263" spans="2:16" ht="29" x14ac:dyDescent="0.35">
      <c r="B263" s="43">
        <f t="shared" si="16"/>
        <v>42</v>
      </c>
      <c r="C263" s="44" t="str">
        <f>ORÇAMENTO!A132</f>
        <v>4.1.1.7.1</v>
      </c>
      <c r="D263" s="44" t="str">
        <f>ORÇAMENTO!B132</f>
        <v xml:space="preserve"> 96.01.04 M </v>
      </c>
      <c r="E263" s="44" t="str">
        <f>ORÇAMENTO!C132</f>
        <v>PRÓPRIO</v>
      </c>
      <c r="F263" s="480" t="str">
        <f>ORÇAMENTO!D132</f>
        <v>DETERMINAÇÃO DA DENSIDADE IN SITU DAS MISTURAS ASFÁLTICAS COMPACTADAS (DNIT 431/2020-ME)</v>
      </c>
      <c r="G263" s="44" t="str">
        <f>ORÇAMENTO!E132</f>
        <v>UN</v>
      </c>
      <c r="H263" s="44">
        <f>ORÇAMENTO!F132</f>
        <v>14</v>
      </c>
      <c r="I263" s="44">
        <f>ORÇAMENTO!G132</f>
        <v>119.76</v>
      </c>
      <c r="J263" s="44">
        <f>ORÇAMENTO!H132</f>
        <v>0.111</v>
      </c>
      <c r="K263" s="44">
        <f>ORÇAMENTO!I132</f>
        <v>133.05000000000001</v>
      </c>
      <c r="L263" s="44">
        <f>ORÇAMENTO!J132</f>
        <v>1862.7</v>
      </c>
      <c r="M263" s="23">
        <f>ORÇAMENTO!K132</f>
        <v>6.5852027905457044E-5</v>
      </c>
      <c r="N263" s="23" t="str">
        <f t="shared" si="17"/>
        <v>DIFERENTE</v>
      </c>
      <c r="O263" s="23" t="str">
        <f t="shared" si="18"/>
        <v>DIFERENTE</v>
      </c>
      <c r="P263" s="23" t="str">
        <f t="shared" si="19"/>
        <v>DIFERENTE</v>
      </c>
    </row>
    <row r="264" spans="2:16" ht="29" x14ac:dyDescent="0.35">
      <c r="B264" s="43">
        <f t="shared" si="16"/>
        <v>42</v>
      </c>
      <c r="C264" s="44" t="str">
        <f>ORÇAMENTO!A374</f>
        <v>5.1.1.7.1</v>
      </c>
      <c r="D264" s="44" t="str">
        <f>ORÇAMENTO!B374</f>
        <v xml:space="preserve"> 96.01.04 M </v>
      </c>
      <c r="E264" s="44" t="str">
        <f>ORÇAMENTO!C374</f>
        <v>PRÓPRIO</v>
      </c>
      <c r="F264" s="480" t="str">
        <f>ORÇAMENTO!D374</f>
        <v>DETERMINAÇÃO DA DENSIDADE IN SITU DAS MISTURAS ASFÁLTICAS COMPACTADAS (DNIT 431/2020-ME)</v>
      </c>
      <c r="G264" s="44" t="str">
        <f>ORÇAMENTO!E374</f>
        <v>UN</v>
      </c>
      <c r="H264" s="44">
        <f>ORÇAMENTO!F374</f>
        <v>17</v>
      </c>
      <c r="I264" s="44">
        <f>ORÇAMENTO!G374</f>
        <v>119.76</v>
      </c>
      <c r="J264" s="44">
        <f>ORÇAMENTO!H374</f>
        <v>0.111</v>
      </c>
      <c r="K264" s="44">
        <f>ORÇAMENTO!I374</f>
        <v>133.05000000000001</v>
      </c>
      <c r="L264" s="44">
        <f>ORÇAMENTO!J374</f>
        <v>2261.85</v>
      </c>
      <c r="M264" s="23">
        <f>ORÇAMENTO!K374</f>
        <v>7.99631767423407E-5</v>
      </c>
      <c r="N264" s="23" t="str">
        <f t="shared" si="17"/>
        <v>OK!</v>
      </c>
      <c r="O264" s="23" t="str">
        <f t="shared" si="18"/>
        <v>OK!</v>
      </c>
      <c r="P264" s="23" t="str">
        <f t="shared" si="19"/>
        <v>OK!</v>
      </c>
    </row>
    <row r="265" spans="2:16" ht="29" x14ac:dyDescent="0.35">
      <c r="B265" s="43">
        <f t="shared" si="16"/>
        <v>42</v>
      </c>
      <c r="C265" s="44" t="str">
        <f>ORÇAMENTO!A591</f>
        <v>6.1.1.8.1</v>
      </c>
      <c r="D265" s="44" t="str">
        <f>ORÇAMENTO!B591</f>
        <v xml:space="preserve"> 96.01.04 M </v>
      </c>
      <c r="E265" s="44" t="str">
        <f>ORÇAMENTO!C591</f>
        <v>PRÓPRIO</v>
      </c>
      <c r="F265" s="480" t="str">
        <f>ORÇAMENTO!D591</f>
        <v>DETERMINAÇÃO DA DENSIDADE IN SITU DAS MISTURAS ASFÁLTICAS COMPACTADAS (DNIT 431/2020-ME)</v>
      </c>
      <c r="G265" s="44" t="str">
        <f>ORÇAMENTO!E591</f>
        <v>UN</v>
      </c>
      <c r="H265" s="44">
        <f>ORÇAMENTO!F591</f>
        <v>6</v>
      </c>
      <c r="I265" s="44">
        <f>ORÇAMENTO!G591</f>
        <v>119.76</v>
      </c>
      <c r="J265" s="44">
        <f>ORÇAMENTO!H591</f>
        <v>0.111</v>
      </c>
      <c r="K265" s="44">
        <f>ORÇAMENTO!I591</f>
        <v>133.05000000000001</v>
      </c>
      <c r="L265" s="44">
        <f>ORÇAMENTO!J591</f>
        <v>798.3</v>
      </c>
      <c r="M265" s="23">
        <f>ORÇAMENTO!K591</f>
        <v>2.8222297673767304E-5</v>
      </c>
      <c r="N265" s="23" t="str">
        <f t="shared" si="17"/>
        <v>OK!</v>
      </c>
      <c r="O265" s="23" t="str">
        <f t="shared" si="18"/>
        <v>OK!</v>
      </c>
      <c r="P265" s="23" t="str">
        <f t="shared" si="19"/>
        <v>OK!</v>
      </c>
    </row>
    <row r="266" spans="2:16" ht="29" x14ac:dyDescent="0.35">
      <c r="B266" s="43">
        <f t="shared" si="16"/>
        <v>42</v>
      </c>
      <c r="C266" s="44" t="str">
        <f>ORÇAMENTO!A781</f>
        <v>7.1.1.8.1</v>
      </c>
      <c r="D266" s="44" t="str">
        <f>ORÇAMENTO!B781</f>
        <v xml:space="preserve"> 96.01.04 M </v>
      </c>
      <c r="E266" s="44" t="str">
        <f>ORÇAMENTO!C781</f>
        <v>PRÓPRIO</v>
      </c>
      <c r="F266" s="480" t="str">
        <f>ORÇAMENTO!D781</f>
        <v>DETERMINAÇÃO DA DENSIDADE IN SITU DAS MISTURAS ASFÁLTICAS COMPACTADAS (DNIT 431/2020-ME)</v>
      </c>
      <c r="G266" s="44" t="str">
        <f>ORÇAMENTO!E781</f>
        <v>UN</v>
      </c>
      <c r="H266" s="44">
        <f>ORÇAMENTO!F781</f>
        <v>25</v>
      </c>
      <c r="I266" s="44">
        <f>ORÇAMENTO!G781</f>
        <v>119.76</v>
      </c>
      <c r="J266" s="44">
        <f>ORÇAMENTO!H781</f>
        <v>0.111</v>
      </c>
      <c r="K266" s="44">
        <f>ORÇAMENTO!I781</f>
        <v>133.05000000000001</v>
      </c>
      <c r="L266" s="44">
        <f>ORÇAMENTO!J781</f>
        <v>3326.25</v>
      </c>
      <c r="M266" s="23">
        <f>ORÇAMENTO!K781</f>
        <v>1.1759290697403045E-4</v>
      </c>
      <c r="N266" s="23" t="str">
        <f t="shared" si="17"/>
        <v>OK!</v>
      </c>
      <c r="O266" s="23" t="str">
        <f t="shared" si="18"/>
        <v>OK!</v>
      </c>
      <c r="P266" s="23" t="str">
        <f t="shared" si="19"/>
        <v>OK!</v>
      </c>
    </row>
    <row r="267" spans="2:16" x14ac:dyDescent="0.35">
      <c r="B267" s="43">
        <f t="shared" si="16"/>
        <v>43</v>
      </c>
      <c r="C267" s="44" t="str">
        <f>ORÇAMENTO!A173</f>
        <v>4.1.2.4.6</v>
      </c>
      <c r="D267" s="44" t="str">
        <f>ORÇAMENTO!B173</f>
        <v xml:space="preserve"> ANP-RR-1C </v>
      </c>
      <c r="E267" s="44" t="str">
        <f>ORÇAMENTO!C173</f>
        <v>PRÓPRIO</v>
      </c>
      <c r="F267" s="480" t="str">
        <f>ORÇAMENTO!D173</f>
        <v>EMULSÃO ASFÁLTICA - RR-1C - FORNECIMENTO E TRANSPORTE</v>
      </c>
      <c r="G267" s="44" t="str">
        <f>ORÇAMENTO!E173</f>
        <v>T</v>
      </c>
      <c r="H267" s="44">
        <f>ORÇAMENTO!F173</f>
        <v>0.8025453733664295</v>
      </c>
      <c r="I267" s="44">
        <f>ORÇAMENTO!G173</f>
        <v>4033.08</v>
      </c>
      <c r="J267" s="44">
        <f>ORÇAMENTO!H173</f>
        <v>0.111</v>
      </c>
      <c r="K267" s="44">
        <f>ORÇAMENTO!I173</f>
        <v>4480.75</v>
      </c>
      <c r="L267" s="44">
        <f>ORÇAMENTO!J173</f>
        <v>3596</v>
      </c>
      <c r="M267" s="23">
        <f>ORÇAMENTO!K173</f>
        <v>1.2712937797177407E-4</v>
      </c>
      <c r="N267" s="23" t="str">
        <f t="shared" si="17"/>
        <v>DIFERENTE</v>
      </c>
      <c r="O267" s="23" t="str">
        <f t="shared" si="18"/>
        <v>DIFERENTE</v>
      </c>
      <c r="P267" s="23" t="str">
        <f t="shared" si="19"/>
        <v>DIFERENTE</v>
      </c>
    </row>
    <row r="268" spans="2:16" x14ac:dyDescent="0.35">
      <c r="B268" s="43">
        <f t="shared" si="16"/>
        <v>43</v>
      </c>
      <c r="C268" s="44" t="str">
        <f>ORÇAMENTO!A228</f>
        <v>4.1.2.6.26</v>
      </c>
      <c r="D268" s="44" t="str">
        <f>ORÇAMENTO!B228</f>
        <v xml:space="preserve"> ANP-RR-1C </v>
      </c>
      <c r="E268" s="44" t="str">
        <f>ORÇAMENTO!C228</f>
        <v>PRÓPRIO</v>
      </c>
      <c r="F268" s="480" t="str">
        <f>ORÇAMENTO!D228</f>
        <v>EMULSÃO ASFÁLTICA - RR-1C - FORNECIMENTO E TRANSPORTE</v>
      </c>
      <c r="G268" s="44" t="str">
        <f>ORÇAMENTO!E228</f>
        <v>T</v>
      </c>
      <c r="H268" s="44">
        <f>ORÇAMENTO!F228</f>
        <v>0.1</v>
      </c>
      <c r="I268" s="44">
        <f>ORÇAMENTO!G228</f>
        <v>4033.08</v>
      </c>
      <c r="J268" s="44">
        <f>ORÇAMENTO!H228</f>
        <v>0.111</v>
      </c>
      <c r="K268" s="44">
        <f>ORÇAMENTO!I228</f>
        <v>4480.75</v>
      </c>
      <c r="L268" s="44">
        <f>ORÇAMENTO!J228</f>
        <v>448.07</v>
      </c>
      <c r="M268" s="23">
        <f>ORÇAMENTO!K228</f>
        <v>1.5840617460459621E-5</v>
      </c>
      <c r="N268" s="23" t="str">
        <f t="shared" si="17"/>
        <v>OK!</v>
      </c>
      <c r="O268" s="23" t="str">
        <f t="shared" si="18"/>
        <v>OK!</v>
      </c>
      <c r="P268" s="23" t="str">
        <f t="shared" si="19"/>
        <v>OK!</v>
      </c>
    </row>
    <row r="269" spans="2:16" x14ac:dyDescent="0.35">
      <c r="B269" s="43">
        <f t="shared" si="16"/>
        <v>43</v>
      </c>
      <c r="C269" s="44" t="str">
        <f>ORÇAMENTO!A290</f>
        <v>4.2.4.11</v>
      </c>
      <c r="D269" s="44" t="str">
        <f>ORÇAMENTO!B290</f>
        <v xml:space="preserve"> ANP-RR-1C </v>
      </c>
      <c r="E269" s="44" t="str">
        <f>ORÇAMENTO!C290</f>
        <v>PRÓPRIO</v>
      </c>
      <c r="F269" s="480" t="str">
        <f>ORÇAMENTO!D290</f>
        <v>EMULSÃO ASFÁLTICA - RR-1C - FORNECIMENTO E TRANSPORTE</v>
      </c>
      <c r="G269" s="44" t="str">
        <f>ORÇAMENTO!E290</f>
        <v>T</v>
      </c>
      <c r="H269" s="44">
        <f>ORÇAMENTO!F290</f>
        <v>1.7292000000000001</v>
      </c>
      <c r="I269" s="44">
        <f>ORÇAMENTO!G290</f>
        <v>4033.08</v>
      </c>
      <c r="J269" s="44">
        <f>ORÇAMENTO!H290</f>
        <v>0.111</v>
      </c>
      <c r="K269" s="44">
        <f>ORÇAMENTO!I290</f>
        <v>4480.75</v>
      </c>
      <c r="L269" s="44">
        <f>ORÇAMENTO!J290</f>
        <v>7748.11</v>
      </c>
      <c r="M269" s="23">
        <f>ORÇAMENTO!K290</f>
        <v>2.7391891122271474E-4</v>
      </c>
      <c r="N269" s="23" t="str">
        <f t="shared" si="17"/>
        <v>OK!</v>
      </c>
      <c r="O269" s="23" t="str">
        <f t="shared" si="18"/>
        <v>OK!</v>
      </c>
      <c r="P269" s="23" t="str">
        <f t="shared" si="19"/>
        <v>OK!</v>
      </c>
    </row>
    <row r="270" spans="2:16" x14ac:dyDescent="0.35">
      <c r="B270" s="43">
        <f t="shared" si="16"/>
        <v>43</v>
      </c>
      <c r="C270" s="44" t="str">
        <f>ORÇAMENTO!A324</f>
        <v>4.4.20</v>
      </c>
      <c r="D270" s="44" t="str">
        <f>ORÇAMENTO!B324</f>
        <v xml:space="preserve"> ANP-RR-1C </v>
      </c>
      <c r="E270" s="44" t="str">
        <f>ORÇAMENTO!C324</f>
        <v>PRÓPRIO</v>
      </c>
      <c r="F270" s="480" t="str">
        <f>ORÇAMENTO!D324</f>
        <v>EMULSÃO ASFÁLTICA - RR-1C - FORNECIMENTO E TRANSPORTE</v>
      </c>
      <c r="G270" s="44" t="str">
        <f>ORÇAMENTO!E324</f>
        <v>T</v>
      </c>
      <c r="H270" s="44">
        <f>ORÇAMENTO!F324</f>
        <v>1.7299951467884978E-2</v>
      </c>
      <c r="I270" s="44">
        <f>ORÇAMENTO!G324</f>
        <v>4033.08</v>
      </c>
      <c r="J270" s="44">
        <f>ORÇAMENTO!H324</f>
        <v>0.111</v>
      </c>
      <c r="K270" s="44">
        <f>ORÇAMENTO!I324</f>
        <v>4480.75</v>
      </c>
      <c r="L270" s="44">
        <f>ORÇAMENTO!J324</f>
        <v>77.510000000000005</v>
      </c>
      <c r="M270" s="23">
        <f>ORÇAMENTO!K324</f>
        <v>2.7402108138465541E-6</v>
      </c>
      <c r="N270" s="23" t="str">
        <f t="shared" si="17"/>
        <v>OK!</v>
      </c>
      <c r="O270" s="23" t="str">
        <f t="shared" si="18"/>
        <v>OK!</v>
      </c>
      <c r="P270" s="23" t="str">
        <f t="shared" si="19"/>
        <v>OK!</v>
      </c>
    </row>
    <row r="271" spans="2:16" x14ac:dyDescent="0.35">
      <c r="B271" s="43">
        <f t="shared" si="16"/>
        <v>43</v>
      </c>
      <c r="C271" s="44" t="str">
        <f>ORÇAMENTO!A412</f>
        <v>5.1.2.4.6</v>
      </c>
      <c r="D271" s="44" t="str">
        <f>ORÇAMENTO!B412</f>
        <v xml:space="preserve"> ANP-RR-1C </v>
      </c>
      <c r="E271" s="44" t="str">
        <f>ORÇAMENTO!C412</f>
        <v>PRÓPRIO</v>
      </c>
      <c r="F271" s="480" t="str">
        <f>ORÇAMENTO!D412</f>
        <v>EMULSÃO ASFÁLTICA - RR-1C - FORNECIMENTO E TRANSPORTE</v>
      </c>
      <c r="G271" s="44" t="str">
        <f>ORÇAMENTO!E412</f>
        <v>T</v>
      </c>
      <c r="H271" s="44">
        <f>ORÇAMENTO!F412</f>
        <v>1.46</v>
      </c>
      <c r="I271" s="44">
        <f>ORÇAMENTO!G412</f>
        <v>4033.08</v>
      </c>
      <c r="J271" s="44">
        <f>ORÇAMENTO!H412</f>
        <v>0.111</v>
      </c>
      <c r="K271" s="44">
        <f>ORÇAMENTO!I412</f>
        <v>4480.75</v>
      </c>
      <c r="L271" s="44">
        <f>ORÇAMENTO!J412</f>
        <v>6541.89</v>
      </c>
      <c r="M271" s="23">
        <f>ORÇAMENTO!K412</f>
        <v>2.3127541892652086E-4</v>
      </c>
      <c r="N271" s="23" t="str">
        <f t="shared" si="17"/>
        <v>OK!</v>
      </c>
      <c r="O271" s="23" t="str">
        <f t="shared" si="18"/>
        <v>OK!</v>
      </c>
      <c r="P271" s="23" t="str">
        <f t="shared" si="19"/>
        <v>OK!</v>
      </c>
    </row>
    <row r="272" spans="2:16" x14ac:dyDescent="0.35">
      <c r="B272" s="43">
        <f t="shared" si="16"/>
        <v>43</v>
      </c>
      <c r="C272" s="44" t="str">
        <f>ORÇAMENTO!A471</f>
        <v>5.1.2.6.27</v>
      </c>
      <c r="D272" s="44" t="str">
        <f>ORÇAMENTO!B471</f>
        <v xml:space="preserve"> ANP-RR-1C </v>
      </c>
      <c r="E272" s="44" t="str">
        <f>ORÇAMENTO!C471</f>
        <v>PRÓPRIO</v>
      </c>
      <c r="F272" s="480" t="str">
        <f>ORÇAMENTO!D471</f>
        <v>EMULSÃO ASFÁLTICA - RR-1C - FORNECIMENTO E TRANSPORTE</v>
      </c>
      <c r="G272" s="44" t="str">
        <f>ORÇAMENTO!E471</f>
        <v>T</v>
      </c>
      <c r="H272" s="44">
        <f>ORÇAMENTO!F471</f>
        <v>0.06</v>
      </c>
      <c r="I272" s="44">
        <f>ORÇAMENTO!G471</f>
        <v>4033.08</v>
      </c>
      <c r="J272" s="44">
        <f>ORÇAMENTO!H471</f>
        <v>0.111</v>
      </c>
      <c r="K272" s="44">
        <f>ORÇAMENTO!I471</f>
        <v>4480.75</v>
      </c>
      <c r="L272" s="44">
        <f>ORÇAMENTO!J471</f>
        <v>268.83999999999997</v>
      </c>
      <c r="M272" s="23">
        <f>ORÇAMENTO!K471</f>
        <v>9.5042997702813509E-6</v>
      </c>
      <c r="N272" s="23" t="str">
        <f t="shared" si="17"/>
        <v>OK!</v>
      </c>
      <c r="O272" s="23" t="str">
        <f t="shared" si="18"/>
        <v>OK!</v>
      </c>
      <c r="P272" s="23" t="str">
        <f t="shared" si="19"/>
        <v>OK!</v>
      </c>
    </row>
    <row r="273" spans="2:16" x14ac:dyDescent="0.35">
      <c r="B273" s="43">
        <f t="shared" si="16"/>
        <v>43</v>
      </c>
      <c r="C273" s="44" t="str">
        <f>ORÇAMENTO!A537</f>
        <v>5.4.20</v>
      </c>
      <c r="D273" s="44" t="str">
        <f>ORÇAMENTO!B537</f>
        <v xml:space="preserve"> ANP-RR-1C </v>
      </c>
      <c r="E273" s="44" t="str">
        <f>ORÇAMENTO!C537</f>
        <v>PRÓPRIO</v>
      </c>
      <c r="F273" s="480" t="str">
        <f>ORÇAMENTO!D537</f>
        <v>EMULSÃO ASFÁLTICA - RR-1C - FORNECIMENTO E TRANSPORTE</v>
      </c>
      <c r="G273" s="44" t="str">
        <f>ORÇAMENTO!E537</f>
        <v>T</v>
      </c>
      <c r="H273" s="44">
        <f>ORÇAMENTO!F537</f>
        <v>5.3230619901184538E-3</v>
      </c>
      <c r="I273" s="44">
        <f>ORÇAMENTO!G537</f>
        <v>4033.08</v>
      </c>
      <c r="J273" s="44">
        <f>ORÇAMENTO!H537</f>
        <v>0.111</v>
      </c>
      <c r="K273" s="44">
        <f>ORÇAMENTO!I537</f>
        <v>4480.75</v>
      </c>
      <c r="L273" s="44">
        <f>ORÇAMENTO!J537</f>
        <v>23.85</v>
      </c>
      <c r="M273" s="23">
        <f>ORÇAMENTO!K537</f>
        <v>8.431689834891022E-7</v>
      </c>
      <c r="N273" s="23" t="str">
        <f t="shared" si="17"/>
        <v>OK!</v>
      </c>
      <c r="O273" s="23" t="str">
        <f t="shared" si="18"/>
        <v>OK!</v>
      </c>
      <c r="P273" s="23" t="str">
        <f t="shared" si="19"/>
        <v>OK!</v>
      </c>
    </row>
    <row r="274" spans="2:16" x14ac:dyDescent="0.35">
      <c r="B274" s="43">
        <f t="shared" si="16"/>
        <v>43</v>
      </c>
      <c r="C274" s="44" t="str">
        <f>ORÇAMENTO!A624</f>
        <v>6.1.2.4.6</v>
      </c>
      <c r="D274" s="44" t="str">
        <f>ORÇAMENTO!B624</f>
        <v xml:space="preserve"> ANP-RR-1C </v>
      </c>
      <c r="E274" s="44" t="str">
        <f>ORÇAMENTO!C624</f>
        <v>PRÓPRIO</v>
      </c>
      <c r="F274" s="480" t="str">
        <f>ORÇAMENTO!D624</f>
        <v>EMULSÃO ASFÁLTICA - RR-1C - FORNECIMENTO E TRANSPORTE</v>
      </c>
      <c r="G274" s="44" t="str">
        <f>ORÇAMENTO!E624</f>
        <v>T</v>
      </c>
      <c r="H274" s="44">
        <f>ORÇAMENTO!F624</f>
        <v>0.47</v>
      </c>
      <c r="I274" s="44">
        <f>ORÇAMENTO!G624</f>
        <v>4033.08</v>
      </c>
      <c r="J274" s="44">
        <f>ORÇAMENTO!H624</f>
        <v>0.111</v>
      </c>
      <c r="K274" s="44">
        <f>ORÇAMENTO!I624</f>
        <v>4480.75</v>
      </c>
      <c r="L274" s="44">
        <f>ORÇAMENTO!J624</f>
        <v>2105.9499999999998</v>
      </c>
      <c r="M274" s="23">
        <f>ORÇAMENTO!K624</f>
        <v>7.4451644477101659E-5</v>
      </c>
      <c r="N274" s="23" t="str">
        <f t="shared" si="17"/>
        <v>OK!</v>
      </c>
      <c r="O274" s="23" t="str">
        <f t="shared" si="18"/>
        <v>OK!</v>
      </c>
      <c r="P274" s="23" t="str">
        <f t="shared" si="19"/>
        <v>OK!</v>
      </c>
    </row>
    <row r="275" spans="2:16" x14ac:dyDescent="0.35">
      <c r="B275" s="43">
        <f t="shared" si="16"/>
        <v>43</v>
      </c>
      <c r="C275" s="44" t="str">
        <f>ORÇAMENTO!A666</f>
        <v>6.1.2.6.19</v>
      </c>
      <c r="D275" s="44" t="str">
        <f>ORÇAMENTO!B666</f>
        <v xml:space="preserve"> ANP-RR-1C </v>
      </c>
      <c r="E275" s="44" t="str">
        <f>ORÇAMENTO!C666</f>
        <v>PRÓPRIO</v>
      </c>
      <c r="F275" s="480" t="str">
        <f>ORÇAMENTO!D666</f>
        <v>EMULSÃO ASFÁLTICA - RR-1C - FORNECIMENTO E TRANSPORTE</v>
      </c>
      <c r="G275" s="44" t="str">
        <f>ORÇAMENTO!E666</f>
        <v>T</v>
      </c>
      <c r="H275" s="44">
        <f>ORÇAMENTO!F666</f>
        <v>0.08</v>
      </c>
      <c r="I275" s="44">
        <f>ORÇAMENTO!G666</f>
        <v>4033.08</v>
      </c>
      <c r="J275" s="44">
        <f>ORÇAMENTO!H666</f>
        <v>0.111</v>
      </c>
      <c r="K275" s="44">
        <f>ORÇAMENTO!I666</f>
        <v>4480.75</v>
      </c>
      <c r="L275" s="44">
        <f>ORÇAMENTO!J666</f>
        <v>358.46</v>
      </c>
      <c r="M275" s="23">
        <f>ORÇAMENTO!K666</f>
        <v>1.2672635380356542E-5</v>
      </c>
      <c r="N275" s="23" t="str">
        <f t="shared" si="17"/>
        <v>OK!</v>
      </c>
      <c r="O275" s="23" t="str">
        <f t="shared" si="18"/>
        <v>OK!</v>
      </c>
      <c r="P275" s="23" t="str">
        <f t="shared" si="19"/>
        <v>OK!</v>
      </c>
    </row>
    <row r="276" spans="2:16" x14ac:dyDescent="0.35">
      <c r="B276" s="43">
        <f t="shared" si="16"/>
        <v>43</v>
      </c>
      <c r="C276" s="44" t="str">
        <f>ORÇAMENTO!A727</f>
        <v>6.4.17</v>
      </c>
      <c r="D276" s="44" t="str">
        <f>ORÇAMENTO!B727</f>
        <v xml:space="preserve"> ANP-RR-1C </v>
      </c>
      <c r="E276" s="44" t="str">
        <f>ORÇAMENTO!C727</f>
        <v>PRÓPRIO</v>
      </c>
      <c r="F276" s="480" t="str">
        <f>ORÇAMENTO!D727</f>
        <v>EMULSÃO ASFÁLTICA - RR-1C - FORNECIMENTO E TRANSPORTE</v>
      </c>
      <c r="G276" s="44" t="str">
        <f>ORÇAMENTO!E727</f>
        <v>T</v>
      </c>
      <c r="H276" s="44">
        <f>ORÇAMENTO!F727</f>
        <v>1.3307654975296138E-2</v>
      </c>
      <c r="I276" s="44">
        <f>ORÇAMENTO!G727</f>
        <v>4033.08</v>
      </c>
      <c r="J276" s="44">
        <f>ORÇAMENTO!H727</f>
        <v>0.111</v>
      </c>
      <c r="K276" s="44">
        <f>ORÇAMENTO!I727</f>
        <v>4480.75</v>
      </c>
      <c r="L276" s="44">
        <f>ORÇAMENTO!J727</f>
        <v>59.62</v>
      </c>
      <c r="M276" s="23">
        <f>ORÇAMENTO!K727</f>
        <v>2.1077456937366991E-6</v>
      </c>
      <c r="N276" s="23" t="str">
        <f t="shared" si="17"/>
        <v>OK!</v>
      </c>
      <c r="O276" s="23" t="str">
        <f t="shared" si="18"/>
        <v>OK!</v>
      </c>
      <c r="P276" s="23" t="str">
        <f t="shared" si="19"/>
        <v>OK!</v>
      </c>
    </row>
    <row r="277" spans="2:16" x14ac:dyDescent="0.35">
      <c r="B277" s="43">
        <f t="shared" si="16"/>
        <v>43</v>
      </c>
      <c r="C277" s="44" t="str">
        <f>ORÇAMENTO!A821</f>
        <v>7.1.2.4.6</v>
      </c>
      <c r="D277" s="44" t="str">
        <f>ORÇAMENTO!B821</f>
        <v xml:space="preserve"> ANP-RR-1C </v>
      </c>
      <c r="E277" s="44" t="str">
        <f>ORÇAMENTO!C821</f>
        <v>PRÓPRIO</v>
      </c>
      <c r="F277" s="480" t="str">
        <f>ORÇAMENTO!D821</f>
        <v>EMULSÃO ASFÁLTICA - RR-1C - FORNECIMENTO E TRANSPORTE</v>
      </c>
      <c r="G277" s="44" t="str">
        <f>ORÇAMENTO!E821</f>
        <v>T</v>
      </c>
      <c r="H277" s="44">
        <f>ORÇAMENTO!F821</f>
        <v>1.63</v>
      </c>
      <c r="I277" s="44">
        <f>ORÇAMENTO!G821</f>
        <v>4033.08</v>
      </c>
      <c r="J277" s="44">
        <f>ORÇAMENTO!H821</f>
        <v>0.111</v>
      </c>
      <c r="K277" s="44">
        <f>ORÇAMENTO!I821</f>
        <v>4480.75</v>
      </c>
      <c r="L277" s="44">
        <f>ORÇAMENTO!J821</f>
        <v>7303.62</v>
      </c>
      <c r="M277" s="23">
        <f>ORÇAMENTO!K821</f>
        <v>2.5820485749227152E-4</v>
      </c>
      <c r="N277" s="23" t="str">
        <f t="shared" si="17"/>
        <v>OK!</v>
      </c>
      <c r="O277" s="23" t="str">
        <f t="shared" si="18"/>
        <v>OK!</v>
      </c>
      <c r="P277" s="23" t="str">
        <f t="shared" si="19"/>
        <v>OK!</v>
      </c>
    </row>
    <row r="278" spans="2:16" x14ac:dyDescent="0.35">
      <c r="B278" s="43">
        <f t="shared" si="16"/>
        <v>43</v>
      </c>
      <c r="C278" s="44" t="str">
        <f>ORÇAMENTO!A879</f>
        <v>7.1.2.6.26</v>
      </c>
      <c r="D278" s="44" t="str">
        <f>ORÇAMENTO!B879</f>
        <v xml:space="preserve"> ANP-RR-1C </v>
      </c>
      <c r="E278" s="44" t="str">
        <f>ORÇAMENTO!C879</f>
        <v>PRÓPRIO</v>
      </c>
      <c r="F278" s="480" t="str">
        <f>ORÇAMENTO!D879</f>
        <v>EMULSÃO ASFÁLTICA - RR-1C - FORNECIMENTO E TRANSPORTE</v>
      </c>
      <c r="G278" s="44" t="str">
        <f>ORÇAMENTO!E879</f>
        <v>T</v>
      </c>
      <c r="H278" s="44">
        <f>ORÇAMENTO!F879</f>
        <v>0.12</v>
      </c>
      <c r="I278" s="44">
        <f>ORÇAMENTO!G879</f>
        <v>4033.08</v>
      </c>
      <c r="J278" s="44">
        <f>ORÇAMENTO!H879</f>
        <v>0.111</v>
      </c>
      <c r="K278" s="44">
        <f>ORÇAMENTO!I879</f>
        <v>4480.75</v>
      </c>
      <c r="L278" s="44">
        <f>ORÇAMENTO!J879</f>
        <v>537.69000000000005</v>
      </c>
      <c r="M278" s="23">
        <f>ORÇAMENTO!K879</f>
        <v>1.9008953070534817E-5</v>
      </c>
      <c r="N278" s="23" t="str">
        <f t="shared" si="17"/>
        <v>OK!</v>
      </c>
      <c r="O278" s="23" t="str">
        <f t="shared" si="18"/>
        <v>OK!</v>
      </c>
      <c r="P278" s="23" t="str">
        <f t="shared" si="19"/>
        <v>OK!</v>
      </c>
    </row>
    <row r="279" spans="2:16" x14ac:dyDescent="0.35">
      <c r="B279" s="43">
        <f t="shared" si="16"/>
        <v>43</v>
      </c>
      <c r="C279" s="44" t="str">
        <f>ORÇAMENTO!A951</f>
        <v>7.4.19</v>
      </c>
      <c r="D279" s="44" t="str">
        <f>ORÇAMENTO!B951</f>
        <v xml:space="preserve"> ANP-RR-1C </v>
      </c>
      <c r="E279" s="44" t="str">
        <f>ORÇAMENTO!C951</f>
        <v>PRÓPRIO</v>
      </c>
      <c r="F279" s="636" t="str">
        <f>ORÇAMENTO!D951</f>
        <v>EMULSÃO ASFÁLTICA - RR-1C - FORNECIMENTO E TRANSPORTE</v>
      </c>
      <c r="G279" s="44" t="str">
        <f>ORÇAMENTO!E951</f>
        <v>T</v>
      </c>
      <c r="H279" s="44">
        <f>ORÇAMENTO!F951</f>
        <v>1.0646123980236909E-2</v>
      </c>
      <c r="I279" s="44">
        <f>ORÇAMENTO!G951</f>
        <v>4033.08</v>
      </c>
      <c r="J279" s="44">
        <f>ORÇAMENTO!H951</f>
        <v>0.111</v>
      </c>
      <c r="K279" s="44">
        <f>ORÇAMENTO!I951</f>
        <v>4480.75</v>
      </c>
      <c r="L279" s="638">
        <f>ORÇAMENTO!J951</f>
        <v>47.7</v>
      </c>
      <c r="M279" s="23">
        <f>ORÇAMENTO!K951</f>
        <v>1.6863379669782044E-6</v>
      </c>
      <c r="N279" s="23" t="str">
        <f t="shared" si="17"/>
        <v>OK!</v>
      </c>
      <c r="O279" s="23" t="str">
        <f t="shared" si="18"/>
        <v>OK!</v>
      </c>
      <c r="P279" s="23" t="str">
        <f t="shared" si="19"/>
        <v>OK!</v>
      </c>
    </row>
    <row r="280" spans="2:16" x14ac:dyDescent="0.35">
      <c r="B280" s="43">
        <f t="shared" si="16"/>
        <v>43</v>
      </c>
      <c r="C280" s="44" t="str">
        <f>ORÇAMENTO!A979</f>
        <v>7.5.4.11</v>
      </c>
      <c r="D280" s="44" t="str">
        <f>ORÇAMENTO!B979</f>
        <v xml:space="preserve"> ANP-RR-1C </v>
      </c>
      <c r="E280" s="44" t="str">
        <f>ORÇAMENTO!C979</f>
        <v>PRÓPRIO</v>
      </c>
      <c r="F280" s="636" t="str">
        <f>ORÇAMENTO!D979</f>
        <v>EMULSÃO ASFÁLTICA - RR-1C - FORNECIMENTO E TRANSPORTE</v>
      </c>
      <c r="G280" s="44" t="str">
        <f>ORÇAMENTO!E979</f>
        <v>T</v>
      </c>
      <c r="H280" s="44">
        <f>ORÇAMENTO!F979</f>
        <v>2.4457499999999994</v>
      </c>
      <c r="I280" s="44">
        <f>ORÇAMENTO!G979</f>
        <v>4033.08</v>
      </c>
      <c r="J280" s="44">
        <f>ORÇAMENTO!H979</f>
        <v>0.111</v>
      </c>
      <c r="K280" s="44">
        <f>ORÇAMENTO!I979</f>
        <v>4480.75</v>
      </c>
      <c r="L280" s="638">
        <f>ORÇAMENTO!J979</f>
        <v>10958.79</v>
      </c>
      <c r="M280" s="23">
        <f>ORÇAMENTO!K979</f>
        <v>3.8742607230903724E-4</v>
      </c>
      <c r="N280" s="23" t="str">
        <f t="shared" si="17"/>
        <v>OK!</v>
      </c>
      <c r="O280" s="23" t="str">
        <f t="shared" si="18"/>
        <v>OK!</v>
      </c>
      <c r="P280" s="23" t="str">
        <f t="shared" si="19"/>
        <v>OK!</v>
      </c>
    </row>
    <row r="281" spans="2:16" x14ac:dyDescent="0.35">
      <c r="B281" s="43">
        <f t="shared" si="16"/>
        <v>44</v>
      </c>
      <c r="C281" s="44" t="str">
        <f>ORÇAMENTO!A175</f>
        <v>4.1.2.4.8</v>
      </c>
      <c r="D281" s="44" t="str">
        <f>ORÇAMENTO!B175</f>
        <v xml:space="preserve"> ANP-EMU </v>
      </c>
      <c r="E281" s="44" t="str">
        <f>ORÇAMENTO!C175</f>
        <v>PRÓPRIO</v>
      </c>
      <c r="F281" s="480" t="str">
        <f>ORÇAMENTO!D175</f>
        <v>EMULSÃO ASFÁLTICA PARA IMPRIMAÇÃO - FORNECIMENTO E TRANSPORTE</v>
      </c>
      <c r="G281" s="44" t="str">
        <f>ORÇAMENTO!E175</f>
        <v>T</v>
      </c>
      <c r="H281" s="44">
        <f>ORÇAMENTO!F175</f>
        <v>2.3184644119474629</v>
      </c>
      <c r="I281" s="44">
        <f>ORÇAMENTO!G175</f>
        <v>4291.21</v>
      </c>
      <c r="J281" s="44">
        <f>ORÇAMENTO!H175</f>
        <v>0.111</v>
      </c>
      <c r="K281" s="44">
        <f>ORÇAMENTO!I175</f>
        <v>4767.53</v>
      </c>
      <c r="L281" s="44">
        <f>ORÇAMENTO!J175</f>
        <v>11053.34</v>
      </c>
      <c r="M281" s="23">
        <f>ORÇAMENTO!K175</f>
        <v>3.9076869819536404E-4</v>
      </c>
      <c r="N281" s="23" t="str">
        <f t="shared" si="17"/>
        <v>DIFERENTE</v>
      </c>
      <c r="O281" s="23" t="str">
        <f t="shared" si="18"/>
        <v>DIFERENTE</v>
      </c>
      <c r="P281" s="23" t="str">
        <f t="shared" si="19"/>
        <v>DIFERENTE</v>
      </c>
    </row>
    <row r="282" spans="2:16" x14ac:dyDescent="0.35">
      <c r="B282" s="43">
        <f t="shared" si="16"/>
        <v>44</v>
      </c>
      <c r="C282" s="481" t="str">
        <f>ORÇAMENTO!A230</f>
        <v>4.1.2.6.28</v>
      </c>
      <c r="D282" s="481" t="str">
        <f>ORÇAMENTO!B230</f>
        <v xml:space="preserve"> ANP-EMU </v>
      </c>
      <c r="E282" s="481" t="str">
        <f>ORÇAMENTO!C230</f>
        <v>PRÓPRIO</v>
      </c>
      <c r="F282" s="482" t="str">
        <f>ORÇAMENTO!D230</f>
        <v>EMULSÃO ASFÁLTICA PARA IMPRIMAÇÃO - FORNECIMENTO E TRANSPORTE</v>
      </c>
      <c r="G282" s="481" t="str">
        <f>ORÇAMENTO!E230</f>
        <v>T</v>
      </c>
      <c r="H282" s="481">
        <f>ORÇAMENTO!F230</f>
        <v>0.28999999999999998</v>
      </c>
      <c r="I282" s="481">
        <f>ORÇAMENTO!G230</f>
        <v>4291.21</v>
      </c>
      <c r="J282" s="481">
        <f>ORÇAMENTO!H230</f>
        <v>0.111</v>
      </c>
      <c r="K282" s="481">
        <f>ORÇAMENTO!I230</f>
        <v>4767.53</v>
      </c>
      <c r="L282" s="481">
        <f>ORÇAMENTO!J230</f>
        <v>1382.58</v>
      </c>
      <c r="M282" s="23">
        <f>ORÇAMENTO!K230</f>
        <v>4.8878346884375799E-5</v>
      </c>
      <c r="N282" s="23" t="str">
        <f t="shared" si="17"/>
        <v>OK!</v>
      </c>
      <c r="O282" s="23" t="str">
        <f t="shared" si="18"/>
        <v>OK!</v>
      </c>
      <c r="P282" s="23" t="str">
        <f t="shared" si="19"/>
        <v>OK!</v>
      </c>
    </row>
    <row r="283" spans="2:16" x14ac:dyDescent="0.35">
      <c r="B283" s="43">
        <f t="shared" si="16"/>
        <v>44</v>
      </c>
      <c r="C283" s="44" t="str">
        <f>ORÇAMENTO!A291</f>
        <v>4.2.4.12</v>
      </c>
      <c r="D283" s="44" t="str">
        <f>ORÇAMENTO!B291</f>
        <v xml:space="preserve"> ANP-EMU </v>
      </c>
      <c r="E283" s="44" t="str">
        <f>ORÇAMENTO!C291</f>
        <v>PRÓPRIO</v>
      </c>
      <c r="F283" s="480" t="str">
        <f>ORÇAMENTO!D291</f>
        <v>EMULSÃO ASFÁLTICA PARA IMPRIMAÇÃO - FORNECIMENTO E TRANSPORTE</v>
      </c>
      <c r="G283" s="44" t="str">
        <f>ORÇAMENTO!E291</f>
        <v>T</v>
      </c>
      <c r="H283" s="44">
        <f>ORÇAMENTO!F291</f>
        <v>3.2387999999999999</v>
      </c>
      <c r="I283" s="44">
        <f>ORÇAMENTO!G291</f>
        <v>4291.21</v>
      </c>
      <c r="J283" s="44">
        <f>ORÇAMENTO!H291</f>
        <v>0.111</v>
      </c>
      <c r="K283" s="44">
        <f>ORÇAMENTO!I291</f>
        <v>4767.53</v>
      </c>
      <c r="L283" s="44">
        <f>ORÇAMENTO!J291</f>
        <v>15441.07</v>
      </c>
      <c r="M283" s="23">
        <f>ORÇAMENTO!K291</f>
        <v>5.4588810464922723E-4</v>
      </c>
      <c r="N283" s="23" t="str">
        <f t="shared" si="17"/>
        <v>OK!</v>
      </c>
      <c r="O283" s="23" t="str">
        <f t="shared" si="18"/>
        <v>OK!</v>
      </c>
      <c r="P283" s="23" t="str">
        <f t="shared" si="19"/>
        <v>OK!</v>
      </c>
    </row>
    <row r="284" spans="2:16" x14ac:dyDescent="0.35">
      <c r="B284" s="43">
        <f t="shared" si="16"/>
        <v>44</v>
      </c>
      <c r="C284" s="44" t="str">
        <f>ORÇAMENTO!A325</f>
        <v>4.4.21</v>
      </c>
      <c r="D284" s="44" t="str">
        <f>ORÇAMENTO!B325</f>
        <v xml:space="preserve"> ANP-EMU </v>
      </c>
      <c r="E284" s="44" t="str">
        <f>ORÇAMENTO!C325</f>
        <v>PRÓPRIO</v>
      </c>
      <c r="F284" s="480" t="str">
        <f>ORÇAMENTO!D325</f>
        <v>EMULSÃO ASFÁLTICA PARA IMPRIMAÇÃO - FORNECIMENTO E TRANSPORTE</v>
      </c>
      <c r="G284" s="44" t="str">
        <f>ORÇAMENTO!E325</f>
        <v>T</v>
      </c>
      <c r="H284" s="44">
        <f>ORÇAMENTO!F325</f>
        <v>4.997763757388992E-2</v>
      </c>
      <c r="I284" s="44">
        <f>ORÇAMENTO!G325</f>
        <v>4291.21</v>
      </c>
      <c r="J284" s="44">
        <f>ORÇAMENTO!H325</f>
        <v>0.111</v>
      </c>
      <c r="K284" s="44">
        <f>ORÇAMENTO!I325</f>
        <v>4767.53</v>
      </c>
      <c r="L284" s="44">
        <f>ORÇAMENTO!J325</f>
        <v>238.26</v>
      </c>
      <c r="M284" s="23">
        <f>ORÇAMENTO!K325</f>
        <v>8.4232051155603133E-6</v>
      </c>
      <c r="N284" s="23" t="str">
        <f t="shared" si="17"/>
        <v>OK!</v>
      </c>
      <c r="O284" s="23" t="str">
        <f t="shared" si="18"/>
        <v>OK!</v>
      </c>
      <c r="P284" s="23" t="str">
        <f t="shared" si="19"/>
        <v>OK!</v>
      </c>
    </row>
    <row r="285" spans="2:16" x14ac:dyDescent="0.35">
      <c r="B285" s="43">
        <f t="shared" si="16"/>
        <v>44</v>
      </c>
      <c r="C285" s="44" t="str">
        <f>ORÇAMENTO!A414</f>
        <v>5.1.2.4.8</v>
      </c>
      <c r="D285" s="44" t="str">
        <f>ORÇAMENTO!B414</f>
        <v xml:space="preserve"> ANP-EMU </v>
      </c>
      <c r="E285" s="44" t="str">
        <f>ORÇAMENTO!C414</f>
        <v>PRÓPRIO</v>
      </c>
      <c r="F285" s="480" t="str">
        <f>ORÇAMENTO!D414</f>
        <v>EMULSÃO ASFÁLTICA PARA IMPRIMAÇÃO - FORNECIMENTO E TRANSPORTE</v>
      </c>
      <c r="G285" s="44" t="str">
        <f>ORÇAMENTO!E414</f>
        <v>T</v>
      </c>
      <c r="H285" s="44">
        <f>ORÇAMENTO!F414</f>
        <v>4.22</v>
      </c>
      <c r="I285" s="44">
        <f>ORÇAMENTO!G414</f>
        <v>4291.21</v>
      </c>
      <c r="J285" s="44">
        <f>ORÇAMENTO!H414</f>
        <v>0.111</v>
      </c>
      <c r="K285" s="44">
        <f>ORÇAMENTO!I414</f>
        <v>4767.53</v>
      </c>
      <c r="L285" s="44">
        <f>ORÇAMENTO!J414</f>
        <v>20118.97</v>
      </c>
      <c r="M285" s="23">
        <f>ORÇAMENTO!K414</f>
        <v>7.1126589030388854E-4</v>
      </c>
      <c r="N285" s="23" t="str">
        <f t="shared" si="17"/>
        <v>OK!</v>
      </c>
      <c r="O285" s="23" t="str">
        <f t="shared" si="18"/>
        <v>OK!</v>
      </c>
      <c r="P285" s="23" t="str">
        <f t="shared" si="19"/>
        <v>OK!</v>
      </c>
    </row>
    <row r="286" spans="2:16" x14ac:dyDescent="0.35">
      <c r="B286" s="43">
        <f t="shared" si="16"/>
        <v>44</v>
      </c>
      <c r="C286" s="44" t="str">
        <f>ORÇAMENTO!A473</f>
        <v>5.1.2.6.29</v>
      </c>
      <c r="D286" s="44" t="str">
        <f>ORÇAMENTO!B473</f>
        <v xml:space="preserve"> ANP-EMU </v>
      </c>
      <c r="E286" s="44" t="str">
        <f>ORÇAMENTO!C473</f>
        <v>PRÓPRIO</v>
      </c>
      <c r="F286" s="480" t="str">
        <f>ORÇAMENTO!D473</f>
        <v>EMULSÃO ASFÁLTICA PARA IMPRIMAÇÃO - FORNECIMENTO E TRANSPORTE</v>
      </c>
      <c r="G286" s="44" t="str">
        <f>ORÇAMENTO!E473</f>
        <v>T</v>
      </c>
      <c r="H286" s="44">
        <f>ORÇAMENTO!F473</f>
        <v>0.18</v>
      </c>
      <c r="I286" s="44">
        <f>ORÇAMENTO!G473</f>
        <v>4291.21</v>
      </c>
      <c r="J286" s="44">
        <f>ORÇAMENTO!H473</f>
        <v>0.111</v>
      </c>
      <c r="K286" s="44">
        <f>ORÇAMENTO!I473</f>
        <v>4767.53</v>
      </c>
      <c r="L286" s="44">
        <f>ORÇAMENTO!J473</f>
        <v>858.15</v>
      </c>
      <c r="M286" s="23">
        <f>ORÇAMENTO!K473</f>
        <v>3.03381745568626E-5</v>
      </c>
      <c r="N286" s="23" t="str">
        <f t="shared" si="17"/>
        <v>OK!</v>
      </c>
      <c r="O286" s="23" t="str">
        <f t="shared" si="18"/>
        <v>OK!</v>
      </c>
      <c r="P286" s="23" t="str">
        <f t="shared" si="19"/>
        <v>OK!</v>
      </c>
    </row>
    <row r="287" spans="2:16" x14ac:dyDescent="0.35">
      <c r="B287" s="43">
        <f t="shared" si="16"/>
        <v>44</v>
      </c>
      <c r="C287" s="44" t="str">
        <f>ORÇAMENTO!A538</f>
        <v>5.4.21</v>
      </c>
      <c r="D287" s="44" t="str">
        <f>ORÇAMENTO!B538</f>
        <v xml:space="preserve"> ANP-EMU </v>
      </c>
      <c r="E287" s="44" t="str">
        <f>ORÇAMENTO!C538</f>
        <v>PRÓPRIO</v>
      </c>
      <c r="F287" s="480" t="str">
        <f>ORÇAMENTO!D538</f>
        <v>EMULSÃO ASFÁLTICA PARA IMPRIMAÇÃO - FORNECIMENTO E TRANSPORTE</v>
      </c>
      <c r="G287" s="44" t="str">
        <f>ORÇAMENTO!E538</f>
        <v>T</v>
      </c>
      <c r="H287" s="44">
        <f>ORÇAMENTO!F538</f>
        <v>1.5377734638119976E-2</v>
      </c>
      <c r="I287" s="44">
        <f>ORÇAMENTO!G538</f>
        <v>4291.21</v>
      </c>
      <c r="J287" s="44">
        <f>ORÇAMENTO!H538</f>
        <v>0.111</v>
      </c>
      <c r="K287" s="44">
        <f>ORÇAMENTO!I538</f>
        <v>4767.53</v>
      </c>
      <c r="L287" s="44">
        <f>ORÇAMENTO!J538</f>
        <v>73.31</v>
      </c>
      <c r="M287" s="23">
        <f>ORÇAMENTO!K538</f>
        <v>2.5917282255591649E-6</v>
      </c>
      <c r="N287" s="23" t="str">
        <f t="shared" si="17"/>
        <v>OK!</v>
      </c>
      <c r="O287" s="23" t="str">
        <f t="shared" si="18"/>
        <v>OK!</v>
      </c>
      <c r="P287" s="23" t="str">
        <f t="shared" si="19"/>
        <v>OK!</v>
      </c>
    </row>
    <row r="288" spans="2:16" x14ac:dyDescent="0.35">
      <c r="B288" s="43">
        <f t="shared" si="16"/>
        <v>44</v>
      </c>
      <c r="C288" s="44" t="str">
        <f>ORÇAMENTO!A626</f>
        <v>6.1.2.4.8</v>
      </c>
      <c r="D288" s="44" t="str">
        <f>ORÇAMENTO!B626</f>
        <v xml:space="preserve"> ANP-EMU </v>
      </c>
      <c r="E288" s="44" t="str">
        <f>ORÇAMENTO!C626</f>
        <v>PRÓPRIO</v>
      </c>
      <c r="F288" s="480" t="str">
        <f>ORÇAMENTO!D626</f>
        <v>EMULSÃO ASFÁLTICA PARA IMPRIMAÇÃO - FORNECIMENTO E TRANSPORTE</v>
      </c>
      <c r="G288" s="44" t="str">
        <f>ORÇAMENTO!E626</f>
        <v>T</v>
      </c>
      <c r="H288" s="44">
        <f>ORÇAMENTO!F626</f>
        <v>1.35</v>
      </c>
      <c r="I288" s="44">
        <f>ORÇAMENTO!G626</f>
        <v>4291.21</v>
      </c>
      <c r="J288" s="44">
        <f>ORÇAMENTO!H626</f>
        <v>0.111</v>
      </c>
      <c r="K288" s="44">
        <f>ORÇAMENTO!I626</f>
        <v>4767.53</v>
      </c>
      <c r="L288" s="44">
        <f>ORÇAMENTO!J626</f>
        <v>6436.16</v>
      </c>
      <c r="M288" s="23">
        <f>ORÇAMENTO!K626</f>
        <v>2.275375465313719E-4</v>
      </c>
      <c r="N288" s="23" t="str">
        <f t="shared" si="17"/>
        <v>OK!</v>
      </c>
      <c r="O288" s="23" t="str">
        <f t="shared" si="18"/>
        <v>OK!</v>
      </c>
      <c r="P288" s="23" t="str">
        <f t="shared" si="19"/>
        <v>OK!</v>
      </c>
    </row>
    <row r="289" spans="2:16" x14ac:dyDescent="0.35">
      <c r="B289" s="43">
        <f t="shared" si="16"/>
        <v>44</v>
      </c>
      <c r="C289" s="44" t="str">
        <f>ORÇAMENTO!A668</f>
        <v>6.1.2.6.21</v>
      </c>
      <c r="D289" s="44" t="str">
        <f>ORÇAMENTO!B668</f>
        <v xml:space="preserve"> ANP-EMU </v>
      </c>
      <c r="E289" s="44" t="str">
        <f>ORÇAMENTO!C668</f>
        <v>PRÓPRIO</v>
      </c>
      <c r="F289" s="480" t="str">
        <f>ORÇAMENTO!D668</f>
        <v>EMULSÃO ASFÁLTICA PARA IMPRIMAÇÃO - FORNECIMENTO E TRANSPORTE</v>
      </c>
      <c r="G289" s="44" t="str">
        <f>ORÇAMENTO!E668</f>
        <v>T</v>
      </c>
      <c r="H289" s="44">
        <f>ORÇAMENTO!F668</f>
        <v>0.24</v>
      </c>
      <c r="I289" s="44">
        <f>ORÇAMENTO!G668</f>
        <v>4291.21</v>
      </c>
      <c r="J289" s="44">
        <f>ORÇAMENTO!H668</f>
        <v>0.111</v>
      </c>
      <c r="K289" s="44">
        <f>ORÇAMENTO!I668</f>
        <v>4767.53</v>
      </c>
      <c r="L289" s="44">
        <f>ORÇAMENTO!J668</f>
        <v>1144.2</v>
      </c>
      <c r="M289" s="23">
        <f>ORÇAMENTO!K668</f>
        <v>4.0450899409150137E-5</v>
      </c>
      <c r="N289" s="23" t="str">
        <f t="shared" si="17"/>
        <v>OK!</v>
      </c>
      <c r="O289" s="23" t="str">
        <f t="shared" si="18"/>
        <v>OK!</v>
      </c>
      <c r="P289" s="23" t="str">
        <f t="shared" si="19"/>
        <v>OK!</v>
      </c>
    </row>
    <row r="290" spans="2:16" x14ac:dyDescent="0.35">
      <c r="B290" s="43">
        <f t="shared" si="16"/>
        <v>44</v>
      </c>
      <c r="C290" s="44" t="str">
        <f>ORÇAMENTO!A728</f>
        <v>6.4.18</v>
      </c>
      <c r="D290" s="44" t="str">
        <f>ORÇAMENTO!B728</f>
        <v xml:space="preserve"> ANP-EMU </v>
      </c>
      <c r="E290" s="44" t="str">
        <f>ORÇAMENTO!C728</f>
        <v>PRÓPRIO</v>
      </c>
      <c r="F290" s="480" t="str">
        <f>ORÇAMENTO!D728</f>
        <v>EMULSÃO ASFÁLTICA PARA IMPRIMAÇÃO - FORNECIMENTO E TRANSPORTE</v>
      </c>
      <c r="G290" s="44" t="str">
        <f>ORÇAMENTO!E728</f>
        <v>T</v>
      </c>
      <c r="H290" s="44">
        <f>ORÇAMENTO!F728</f>
        <v>3.8444336595299937E-2</v>
      </c>
      <c r="I290" s="44">
        <f>ORÇAMENTO!G728</f>
        <v>4291.21</v>
      </c>
      <c r="J290" s="44">
        <f>ORÇAMENTO!H728</f>
        <v>0.111</v>
      </c>
      <c r="K290" s="44">
        <f>ORÇAMENTO!I728</f>
        <v>4767.53</v>
      </c>
      <c r="L290" s="44">
        <f>ORÇAMENTO!J728</f>
        <v>183.28</v>
      </c>
      <c r="M290" s="23">
        <f>ORÇAMENTO!K728</f>
        <v>6.4794973288839687E-6</v>
      </c>
      <c r="N290" s="23" t="str">
        <f t="shared" si="17"/>
        <v>OK!</v>
      </c>
      <c r="O290" s="23" t="str">
        <f t="shared" si="18"/>
        <v>OK!</v>
      </c>
      <c r="P290" s="23" t="str">
        <f t="shared" si="19"/>
        <v>OK!</v>
      </c>
    </row>
    <row r="291" spans="2:16" x14ac:dyDescent="0.35">
      <c r="B291" s="43">
        <f t="shared" si="16"/>
        <v>44</v>
      </c>
      <c r="C291" s="44" t="str">
        <f>ORÇAMENTO!A823</f>
        <v>7.1.2.4.8</v>
      </c>
      <c r="D291" s="44" t="str">
        <f>ORÇAMENTO!B823</f>
        <v xml:space="preserve"> ANP-EMU </v>
      </c>
      <c r="E291" s="44" t="str">
        <f>ORÇAMENTO!C823</f>
        <v>PRÓPRIO</v>
      </c>
      <c r="F291" s="480" t="str">
        <f>ORÇAMENTO!D823</f>
        <v>EMULSÃO ASFÁLTICA PARA IMPRIMAÇÃO - FORNECIMENTO E TRANSPORTE</v>
      </c>
      <c r="G291" s="44" t="str">
        <f>ORÇAMENTO!E823</f>
        <v>T</v>
      </c>
      <c r="H291" s="44">
        <f>ORÇAMENTO!F823</f>
        <v>4.72</v>
      </c>
      <c r="I291" s="44">
        <f>ORÇAMENTO!G823</f>
        <v>4291.21</v>
      </c>
      <c r="J291" s="44">
        <f>ORÇAMENTO!H823</f>
        <v>0.111</v>
      </c>
      <c r="K291" s="44">
        <f>ORÇAMENTO!I823</f>
        <v>4767.53</v>
      </c>
      <c r="L291" s="44">
        <f>ORÇAMENTO!J823</f>
        <v>22502.74</v>
      </c>
      <c r="M291" s="23">
        <f>ORÇAMENTO!K823</f>
        <v>7.9553930446622898E-4</v>
      </c>
      <c r="N291" s="23" t="str">
        <f t="shared" si="17"/>
        <v>OK!</v>
      </c>
      <c r="O291" s="23" t="str">
        <f t="shared" si="18"/>
        <v>OK!</v>
      </c>
      <c r="P291" s="23" t="str">
        <f t="shared" si="19"/>
        <v>OK!</v>
      </c>
    </row>
    <row r="292" spans="2:16" x14ac:dyDescent="0.35">
      <c r="B292" s="43">
        <f t="shared" si="16"/>
        <v>44</v>
      </c>
      <c r="C292" s="44" t="str">
        <f>ORÇAMENTO!A881</f>
        <v>7.1.2.6.28</v>
      </c>
      <c r="D292" s="44" t="str">
        <f>ORÇAMENTO!B881</f>
        <v xml:space="preserve"> ANP-EMU </v>
      </c>
      <c r="E292" s="44" t="str">
        <f>ORÇAMENTO!C881</f>
        <v>PRÓPRIO</v>
      </c>
      <c r="F292" s="480" t="str">
        <f>ORÇAMENTO!D881</f>
        <v>EMULSÃO ASFÁLTICA PARA IMPRIMAÇÃO - FORNECIMENTO E TRANSPORTE</v>
      </c>
      <c r="G292" s="44" t="str">
        <f>ORÇAMENTO!E881</f>
        <v>T</v>
      </c>
      <c r="H292" s="44">
        <f>ORÇAMENTO!F881</f>
        <v>0.36</v>
      </c>
      <c r="I292" s="44">
        <f>ORÇAMENTO!G881</f>
        <v>4291.21</v>
      </c>
      <c r="J292" s="44">
        <f>ORÇAMENTO!H881</f>
        <v>0.111</v>
      </c>
      <c r="K292" s="44">
        <f>ORÇAMENTO!I881</f>
        <v>4767.53</v>
      </c>
      <c r="L292" s="44">
        <f>ORÇAMENTO!J881</f>
        <v>1716.31</v>
      </c>
      <c r="M292" s="23">
        <f>ORÇAMENTO!K881</f>
        <v>6.0676702643697308E-5</v>
      </c>
      <c r="N292" s="23" t="str">
        <f t="shared" si="17"/>
        <v>OK!</v>
      </c>
      <c r="O292" s="23" t="str">
        <f t="shared" si="18"/>
        <v>OK!</v>
      </c>
      <c r="P292" s="23" t="str">
        <f t="shared" si="19"/>
        <v>OK!</v>
      </c>
    </row>
    <row r="293" spans="2:16" x14ac:dyDescent="0.35">
      <c r="B293" s="43">
        <f t="shared" si="16"/>
        <v>44</v>
      </c>
      <c r="C293" s="44" t="str">
        <f>ORÇAMENTO!A952</f>
        <v>7.4.20</v>
      </c>
      <c r="D293" s="44" t="str">
        <f>ORÇAMENTO!B952</f>
        <v xml:space="preserve"> ANP-EMU </v>
      </c>
      <c r="E293" s="44" t="str">
        <f>ORÇAMENTO!C952</f>
        <v>PRÓPRIO</v>
      </c>
      <c r="F293" s="636" t="str">
        <f>ORÇAMENTO!D952</f>
        <v>EMULSÃO ASFÁLTICA PARA IMPRIMAÇÃO - FORNECIMENTO E TRANSPORTE</v>
      </c>
      <c r="G293" s="44" t="str">
        <f>ORÇAMENTO!E952</f>
        <v>T</v>
      </c>
      <c r="H293" s="44">
        <f>ORÇAMENTO!F952</f>
        <v>3.0755469276239952E-2</v>
      </c>
      <c r="I293" s="44">
        <f>ORÇAMENTO!G952</f>
        <v>4291.21</v>
      </c>
      <c r="J293" s="44">
        <f>ORÇAMENTO!H952</f>
        <v>0.111</v>
      </c>
      <c r="K293" s="44">
        <f>ORÇAMENTO!I952</f>
        <v>4767.53</v>
      </c>
      <c r="L293" s="638">
        <f>ORÇAMENTO!J952</f>
        <v>146.62</v>
      </c>
      <c r="M293" s="23">
        <f>ORÇAMENTO!K952</f>
        <v>5.1834564511183298E-6</v>
      </c>
      <c r="N293" s="23" t="str">
        <f t="shared" si="17"/>
        <v>OK!</v>
      </c>
      <c r="O293" s="23" t="str">
        <f t="shared" si="18"/>
        <v>OK!</v>
      </c>
      <c r="P293" s="23" t="str">
        <f t="shared" si="19"/>
        <v>OK!</v>
      </c>
    </row>
    <row r="294" spans="2:16" x14ac:dyDescent="0.35">
      <c r="B294" s="43">
        <f t="shared" si="16"/>
        <v>44</v>
      </c>
      <c r="C294" s="44" t="str">
        <f>ORÇAMENTO!A980</f>
        <v>7.5.4.12</v>
      </c>
      <c r="D294" s="44" t="str">
        <f>ORÇAMENTO!B980</f>
        <v xml:space="preserve"> ANP-EMU </v>
      </c>
      <c r="E294" s="44" t="str">
        <f>ORÇAMENTO!C980</f>
        <v>PRÓPRIO</v>
      </c>
      <c r="F294" s="636" t="str">
        <f>ORÇAMENTO!D980</f>
        <v>EMULSÃO ASFÁLTICA PARA IMPRIMAÇÃO - FORNECIMENTO E TRANSPORTE</v>
      </c>
      <c r="G294" s="44" t="str">
        <f>ORÇAMENTO!E980</f>
        <v>T</v>
      </c>
      <c r="H294" s="44">
        <f>ORÇAMENTO!F980</f>
        <v>7.0654999999999992</v>
      </c>
      <c r="I294" s="44">
        <f>ORÇAMENTO!G980</f>
        <v>4291.21</v>
      </c>
      <c r="J294" s="44">
        <f>ORÇAMENTO!H980</f>
        <v>0.111</v>
      </c>
      <c r="K294" s="44">
        <f>ORÇAMENTO!I980</f>
        <v>4767.53</v>
      </c>
      <c r="L294" s="638">
        <f>ORÇAMENTO!J980</f>
        <v>33684.980000000003</v>
      </c>
      <c r="M294" s="23">
        <f>ORÇAMENTO!K980</f>
        <v>1.1908650040021273E-3</v>
      </c>
      <c r="N294" s="23" t="str">
        <f t="shared" si="17"/>
        <v>OK!</v>
      </c>
      <c r="O294" s="23" t="str">
        <f t="shared" si="18"/>
        <v>OK!</v>
      </c>
      <c r="P294" s="23" t="str">
        <f t="shared" si="19"/>
        <v>OK!</v>
      </c>
    </row>
    <row r="295" spans="2:16" x14ac:dyDescent="0.35">
      <c r="B295" s="43">
        <f t="shared" si="16"/>
        <v>45</v>
      </c>
      <c r="C295" s="44" t="str">
        <f>ORÇAMENTO!A287</f>
        <v>4.2.4.8</v>
      </c>
      <c r="D295" s="44" t="str">
        <f>ORÇAMENTO!B287</f>
        <v xml:space="preserve"> 4413996 </v>
      </c>
      <c r="E295" s="44" t="str">
        <f>ORÇAMENTO!C287</f>
        <v>SICRO3</v>
      </c>
      <c r="F295" s="480" t="str">
        <f>ORÇAMENTO!D287</f>
        <v>ENLEIVAMENTO</v>
      </c>
      <c r="G295" s="44" t="str">
        <f>ORÇAMENTO!E287</f>
        <v>M²</v>
      </c>
      <c r="H295" s="44">
        <f>ORÇAMENTO!F287</f>
        <v>314.56</v>
      </c>
      <c r="I295" s="44">
        <f>ORÇAMENTO!G287</f>
        <v>10.38</v>
      </c>
      <c r="J295" s="44">
        <f>ORÇAMENTO!H287</f>
        <v>0.2122</v>
      </c>
      <c r="K295" s="44">
        <f>ORÇAMENTO!I287</f>
        <v>12.58</v>
      </c>
      <c r="L295" s="44">
        <f>ORÇAMENTO!J287</f>
        <v>3957.16</v>
      </c>
      <c r="M295" s="23">
        <f>ORÇAMENTO!K287</f>
        <v>1.3989746644460106E-4</v>
      </c>
      <c r="N295" s="23" t="str">
        <f t="shared" si="17"/>
        <v>DIFERENTE</v>
      </c>
      <c r="O295" s="23" t="str">
        <f t="shared" si="18"/>
        <v>DIFERENTE</v>
      </c>
      <c r="P295" s="23" t="str">
        <f t="shared" si="19"/>
        <v>DIFERENTE</v>
      </c>
    </row>
    <row r="296" spans="2:16" x14ac:dyDescent="0.35">
      <c r="B296" s="43">
        <f t="shared" si="16"/>
        <v>45</v>
      </c>
      <c r="C296" s="44" t="str">
        <f>ORÇAMENTO!A976</f>
        <v>7.5.4.8</v>
      </c>
      <c r="D296" s="44" t="str">
        <f>ORÇAMENTO!B976</f>
        <v xml:space="preserve"> 4413996 </v>
      </c>
      <c r="E296" s="44" t="str">
        <f>ORÇAMENTO!C976</f>
        <v>SICRO3</v>
      </c>
      <c r="F296" s="636" t="str">
        <f>ORÇAMENTO!D976</f>
        <v>ENLEIVAMENTO</v>
      </c>
      <c r="G296" s="44" t="str">
        <f>ORÇAMENTO!E976</f>
        <v>M²</v>
      </c>
      <c r="H296" s="44">
        <f>ORÇAMENTO!F976</f>
        <v>653.75</v>
      </c>
      <c r="I296" s="44">
        <f>ORÇAMENTO!G976</f>
        <v>10.38</v>
      </c>
      <c r="J296" s="44">
        <f>ORÇAMENTO!H976</f>
        <v>0.2122</v>
      </c>
      <c r="K296" s="44">
        <f>ORÇAMENTO!I976</f>
        <v>12.58</v>
      </c>
      <c r="L296" s="638">
        <f>ORÇAMENTO!J976</f>
        <v>8224.17</v>
      </c>
      <c r="M296" s="23">
        <f>ORÇAMENTO!K976</f>
        <v>2.907490590751182E-4</v>
      </c>
      <c r="N296" s="23" t="str">
        <f t="shared" si="17"/>
        <v>OK!</v>
      </c>
      <c r="O296" s="23" t="str">
        <f t="shared" si="18"/>
        <v>OK!</v>
      </c>
      <c r="P296" s="23" t="str">
        <f t="shared" si="19"/>
        <v>OK!</v>
      </c>
    </row>
    <row r="297" spans="2:16" x14ac:dyDescent="0.35">
      <c r="B297" s="43">
        <f t="shared" si="16"/>
        <v>45</v>
      </c>
      <c r="C297" s="44" t="str">
        <f>ORÇAMENTO!A1011</f>
        <v xml:space="preserve"> 8.4.10</v>
      </c>
      <c r="D297" s="44" t="str">
        <f>ORÇAMENTO!B1011</f>
        <v xml:space="preserve"> 4413996 </v>
      </c>
      <c r="E297" s="44" t="str">
        <f>ORÇAMENTO!C1011</f>
        <v>SICRO3</v>
      </c>
      <c r="F297" s="636" t="str">
        <f>ORÇAMENTO!D1011</f>
        <v>ENLEIVAMENTO</v>
      </c>
      <c r="G297" s="44" t="str">
        <f>ORÇAMENTO!E1011</f>
        <v>M²</v>
      </c>
      <c r="H297" s="44">
        <f>ORÇAMENTO!F1011</f>
        <v>2143.85</v>
      </c>
      <c r="I297" s="44">
        <f>ORÇAMENTO!G1011</f>
        <v>10.38</v>
      </c>
      <c r="J297" s="44">
        <f>ORÇAMENTO!H1011</f>
        <v>0.2122</v>
      </c>
      <c r="K297" s="44">
        <f>ORÇAMENTO!I1011</f>
        <v>12.58</v>
      </c>
      <c r="L297" s="638">
        <f>ORÇAMENTO!J1011</f>
        <v>26969.63</v>
      </c>
      <c r="M297" s="23">
        <f>ORÇAMENTO!K1011</f>
        <v>9.534572541793373E-4</v>
      </c>
      <c r="N297" s="23" t="str">
        <f t="shared" si="17"/>
        <v>OK!</v>
      </c>
      <c r="O297" s="23" t="str">
        <f t="shared" si="18"/>
        <v>OK!</v>
      </c>
      <c r="P297" s="23" t="str">
        <f t="shared" si="19"/>
        <v>OK!</v>
      </c>
    </row>
    <row r="298" spans="2:16" x14ac:dyDescent="0.35">
      <c r="B298" s="43">
        <f t="shared" si="16"/>
        <v>46</v>
      </c>
      <c r="C298" s="44" t="str">
        <f>ORÇAMENTO!A133</f>
        <v>4.1.1.7.2</v>
      </c>
      <c r="D298" s="44" t="str">
        <f>ORÇAMENTO!B133</f>
        <v xml:space="preserve"> 01.001.0275-0</v>
      </c>
      <c r="E298" s="44" t="str">
        <f>ORÇAMENTO!C133</f>
        <v>EMOP</v>
      </c>
      <c r="F298" s="480" t="str">
        <f>ORÇAMENTO!D133</f>
        <v>ENSAIO QUIMICO COMPLETO DE CAL</v>
      </c>
      <c r="G298" s="44" t="str">
        <f>ORÇAMENTO!E133</f>
        <v>UN</v>
      </c>
      <c r="H298" s="44">
        <f>ORÇAMENTO!F133</f>
        <v>14</v>
      </c>
      <c r="I298" s="44">
        <f>ORÇAMENTO!G133</f>
        <v>2241.29</v>
      </c>
      <c r="J298" s="44">
        <f>ORÇAMENTO!H133</f>
        <v>0.2122</v>
      </c>
      <c r="K298" s="44">
        <f>ORÇAMENTO!I133</f>
        <v>2716.89</v>
      </c>
      <c r="L298" s="44">
        <f>ORÇAMENTO!J133</f>
        <v>38036.46</v>
      </c>
      <c r="M298" s="23">
        <f>ORÇAMENTO!K133</f>
        <v>1.3447028643070816E-3</v>
      </c>
      <c r="N298" s="23" t="str">
        <f t="shared" si="17"/>
        <v>DIFERENTE</v>
      </c>
      <c r="O298" s="23" t="str">
        <f t="shared" si="18"/>
        <v>DIFERENTE</v>
      </c>
      <c r="P298" s="23" t="str">
        <f t="shared" si="19"/>
        <v>DIFERENTE</v>
      </c>
    </row>
    <row r="299" spans="2:16" x14ac:dyDescent="0.35">
      <c r="B299" s="43">
        <f t="shared" si="16"/>
        <v>46</v>
      </c>
      <c r="C299" s="44" t="str">
        <f>ORÇAMENTO!A375</f>
        <v>5.1.1.7.2</v>
      </c>
      <c r="D299" s="44" t="str">
        <f>ORÇAMENTO!B375</f>
        <v xml:space="preserve"> 01.001.0275-0</v>
      </c>
      <c r="E299" s="44" t="str">
        <f>ORÇAMENTO!C375</f>
        <v>EMOP</v>
      </c>
      <c r="F299" s="480" t="str">
        <f>ORÇAMENTO!D375</f>
        <v>ENSAIO QUIMICO COMPLETO DE CAL</v>
      </c>
      <c r="G299" s="44" t="str">
        <f>ORÇAMENTO!E375</f>
        <v>UN</v>
      </c>
      <c r="H299" s="44">
        <f>ORÇAMENTO!F375</f>
        <v>17</v>
      </c>
      <c r="I299" s="44">
        <f>ORÇAMENTO!G375</f>
        <v>2241.29</v>
      </c>
      <c r="J299" s="44">
        <f>ORÇAMENTO!H375</f>
        <v>0.2122</v>
      </c>
      <c r="K299" s="44">
        <f>ORÇAMENTO!I375</f>
        <v>2716.89</v>
      </c>
      <c r="L299" s="44">
        <f>ORÇAMENTO!J375</f>
        <v>46187.13</v>
      </c>
      <c r="M299" s="23">
        <f>ORÇAMENTO!K375</f>
        <v>1.6328534780871704E-3</v>
      </c>
      <c r="N299" s="23" t="str">
        <f t="shared" si="17"/>
        <v>OK!</v>
      </c>
      <c r="O299" s="23" t="str">
        <f t="shared" si="18"/>
        <v>OK!</v>
      </c>
      <c r="P299" s="23" t="str">
        <f t="shared" si="19"/>
        <v>OK!</v>
      </c>
    </row>
    <row r="300" spans="2:16" x14ac:dyDescent="0.35">
      <c r="B300" s="43">
        <f t="shared" si="16"/>
        <v>46</v>
      </c>
      <c r="C300" s="44" t="str">
        <f>ORÇAMENTO!A592</f>
        <v>6.1.1.8.2</v>
      </c>
      <c r="D300" s="44" t="str">
        <f>ORÇAMENTO!B592</f>
        <v xml:space="preserve"> 01.001.0275-0</v>
      </c>
      <c r="E300" s="44" t="str">
        <f>ORÇAMENTO!C592</f>
        <v>EMOP</v>
      </c>
      <c r="F300" s="480" t="str">
        <f>ORÇAMENTO!D592</f>
        <v>ENSAIO QUIMICO COMPLETO DE CAL</v>
      </c>
      <c r="G300" s="44" t="str">
        <f>ORÇAMENTO!E592</f>
        <v>UN</v>
      </c>
      <c r="H300" s="44">
        <f>ORÇAMENTO!F592</f>
        <v>6</v>
      </c>
      <c r="I300" s="44">
        <f>ORÇAMENTO!G592</f>
        <v>2241.29</v>
      </c>
      <c r="J300" s="44">
        <f>ORÇAMENTO!H592</f>
        <v>0.2122</v>
      </c>
      <c r="K300" s="44">
        <f>ORÇAMENTO!I592</f>
        <v>2716.89</v>
      </c>
      <c r="L300" s="44">
        <f>ORÇAMENTO!J592</f>
        <v>16301.34</v>
      </c>
      <c r="M300" s="23">
        <f>ORÇAMENTO!K592</f>
        <v>5.7630122756017782E-4</v>
      </c>
      <c r="N300" s="23" t="str">
        <f t="shared" si="17"/>
        <v>OK!</v>
      </c>
      <c r="O300" s="23" t="str">
        <f t="shared" si="18"/>
        <v>OK!</v>
      </c>
      <c r="P300" s="23" t="str">
        <f t="shared" si="19"/>
        <v>OK!</v>
      </c>
    </row>
    <row r="301" spans="2:16" x14ac:dyDescent="0.35">
      <c r="B301" s="43">
        <f t="shared" si="16"/>
        <v>46</v>
      </c>
      <c r="C301" s="44" t="str">
        <f>ORÇAMENTO!A782</f>
        <v>7.1.1.8.2</v>
      </c>
      <c r="D301" s="44" t="str">
        <f>ORÇAMENTO!B782</f>
        <v xml:space="preserve"> 01.001.0275-0</v>
      </c>
      <c r="E301" s="44" t="str">
        <f>ORÇAMENTO!C782</f>
        <v>EMOP</v>
      </c>
      <c r="F301" s="480" t="str">
        <f>ORÇAMENTO!D782</f>
        <v>ENSAIO QUIMICO COMPLETO DE CAL</v>
      </c>
      <c r="G301" s="44" t="str">
        <f>ORÇAMENTO!E782</f>
        <v>UN</v>
      </c>
      <c r="H301" s="44">
        <f>ORÇAMENTO!F782</f>
        <v>25</v>
      </c>
      <c r="I301" s="44">
        <f>ORÇAMENTO!G782</f>
        <v>2241.29</v>
      </c>
      <c r="J301" s="44">
        <f>ORÇAMENTO!H782</f>
        <v>0.2122</v>
      </c>
      <c r="K301" s="44">
        <f>ORÇAMENTO!I782</f>
        <v>2716.89</v>
      </c>
      <c r="L301" s="44">
        <f>ORÇAMENTO!J782</f>
        <v>67922.25</v>
      </c>
      <c r="M301" s="23">
        <f>ORÇAMENTO!K782</f>
        <v>2.4012551148340743E-3</v>
      </c>
      <c r="N301" s="23" t="str">
        <f t="shared" si="17"/>
        <v>OK!</v>
      </c>
      <c r="O301" s="23" t="str">
        <f t="shared" si="18"/>
        <v>OK!</v>
      </c>
      <c r="P301" s="23" t="str">
        <f t="shared" si="19"/>
        <v>OK!</v>
      </c>
    </row>
    <row r="302" spans="2:16" ht="29" x14ac:dyDescent="0.35">
      <c r="B302" s="43">
        <f t="shared" si="16"/>
        <v>47</v>
      </c>
      <c r="C302" s="44" t="str">
        <f>ORÇAMENTO!A342</f>
        <v>5.1.1.1.12</v>
      </c>
      <c r="D302" s="44" t="str">
        <f>ORÇAMENTO!B342</f>
        <v xml:space="preserve"> 8335 </v>
      </c>
      <c r="E302" s="44" t="str">
        <f>ORÇAMENTO!C342</f>
        <v>ORSE</v>
      </c>
      <c r="F302" s="480" t="str">
        <f>ORÇAMENTO!D342</f>
        <v>ESCADA DE MADEIRA PARA OBRA, EM TÁBUA DE CONSTRUÇÃO, LARGURA 1,00M</v>
      </c>
      <c r="G302" s="44" t="str">
        <f>ORÇAMENTO!E342</f>
        <v>M</v>
      </c>
      <c r="H302" s="44">
        <f>ORÇAMENTO!F342</f>
        <v>0</v>
      </c>
      <c r="I302" s="44">
        <f>ORÇAMENTO!G342</f>
        <v>300.70999999999998</v>
      </c>
      <c r="J302" s="44">
        <f>ORÇAMENTO!H342</f>
        <v>0.2122</v>
      </c>
      <c r="K302" s="44">
        <f>ORÇAMENTO!I342</f>
        <v>364.52</v>
      </c>
      <c r="L302" s="44">
        <f>ORÇAMENTO!J342</f>
        <v>0</v>
      </c>
      <c r="M302" s="23">
        <f>ORÇAMENTO!K342</f>
        <v>0</v>
      </c>
      <c r="N302" s="23" t="e">
        <f>IF(F302=#REF!,IF(G302=#REF!,"OK!","ERRADO"),"DIFERENTE")</f>
        <v>#REF!</v>
      </c>
      <c r="O302" s="23" t="e">
        <f>IF(F302=#REF!,IF(I302=#REF!,"OK!","ERRADO"),"DIFERENTE")</f>
        <v>#REF!</v>
      </c>
      <c r="P302" s="23" t="e">
        <f>IF(F302=#REF!,IF(D302=#REF!,"OK!","ERRADO"),"DIFERENTE")</f>
        <v>#REF!</v>
      </c>
    </row>
    <row r="303" spans="2:16" ht="29" x14ac:dyDescent="0.35">
      <c r="B303" s="43">
        <f t="shared" si="16"/>
        <v>47</v>
      </c>
      <c r="C303" s="44" t="str">
        <f>ORÇAMENTO!A450</f>
        <v>5.1.2.6.6</v>
      </c>
      <c r="D303" s="44" t="str">
        <f>ORÇAMENTO!B450</f>
        <v xml:space="preserve"> 8335 </v>
      </c>
      <c r="E303" s="44" t="str">
        <f>ORÇAMENTO!C450</f>
        <v>ORSE</v>
      </c>
      <c r="F303" s="480" t="str">
        <f>ORÇAMENTO!D450</f>
        <v>ESCADA DE MADEIRA PARA OBRA, EM TÁBUA DE CONSTRUÇÃO, LARGURA 1,00M</v>
      </c>
      <c r="G303" s="44" t="str">
        <f>ORÇAMENTO!E450</f>
        <v>M</v>
      </c>
      <c r="H303" s="44">
        <f>ORÇAMENTO!F450</f>
        <v>0</v>
      </c>
      <c r="I303" s="44">
        <f>ORÇAMENTO!G450</f>
        <v>300.70999999999998</v>
      </c>
      <c r="J303" s="44">
        <f>ORÇAMENTO!H450</f>
        <v>0.2122</v>
      </c>
      <c r="K303" s="44">
        <f>ORÇAMENTO!I450</f>
        <v>364.52</v>
      </c>
      <c r="L303" s="44">
        <f>ORÇAMENTO!J450</f>
        <v>0</v>
      </c>
      <c r="M303" s="23">
        <f>ORÇAMENTO!K450</f>
        <v>0</v>
      </c>
      <c r="N303" s="23" t="str">
        <f t="shared" si="17"/>
        <v>OK!</v>
      </c>
      <c r="O303" s="23" t="str">
        <f t="shared" si="18"/>
        <v>OK!</v>
      </c>
      <c r="P303" s="23" t="str">
        <f t="shared" si="19"/>
        <v>OK!</v>
      </c>
    </row>
    <row r="304" spans="2:16" ht="29" x14ac:dyDescent="0.35">
      <c r="B304" s="43">
        <f t="shared" si="16"/>
        <v>47</v>
      </c>
      <c r="C304" s="44" t="str">
        <f>ORÇAMENTO!A555</f>
        <v>6.1.1.1.12</v>
      </c>
      <c r="D304" s="44" t="str">
        <f>ORÇAMENTO!B555</f>
        <v xml:space="preserve"> 8335 </v>
      </c>
      <c r="E304" s="44" t="str">
        <f>ORÇAMENTO!C555</f>
        <v>ORSE</v>
      </c>
      <c r="F304" s="480" t="str">
        <f>ORÇAMENTO!D555</f>
        <v>ESCADA DE MADEIRA PARA OBRA, EM TÁBUA DE CONSTRUÇÃO, LARGURA 1,00M</v>
      </c>
      <c r="G304" s="44" t="str">
        <f>ORÇAMENTO!E555</f>
        <v>M</v>
      </c>
      <c r="H304" s="44">
        <f>ORÇAMENTO!F555</f>
        <v>0</v>
      </c>
      <c r="I304" s="44">
        <f>ORÇAMENTO!G555</f>
        <v>300.70999999999998</v>
      </c>
      <c r="J304" s="44">
        <f>ORÇAMENTO!H555</f>
        <v>0.2122</v>
      </c>
      <c r="K304" s="44">
        <f>ORÇAMENTO!I555</f>
        <v>364.52</v>
      </c>
      <c r="L304" s="44">
        <f>ORÇAMENTO!J555</f>
        <v>0</v>
      </c>
      <c r="M304" s="23">
        <f>ORÇAMENTO!K555</f>
        <v>0</v>
      </c>
      <c r="N304" s="23" t="str">
        <f t="shared" si="17"/>
        <v>OK!</v>
      </c>
      <c r="O304" s="23" t="str">
        <f t="shared" si="18"/>
        <v>OK!</v>
      </c>
      <c r="P304" s="23" t="str">
        <f t="shared" si="19"/>
        <v>OK!</v>
      </c>
    </row>
    <row r="305" spans="2:16" ht="29" x14ac:dyDescent="0.35">
      <c r="B305" s="43">
        <f t="shared" si="16"/>
        <v>47</v>
      </c>
      <c r="C305" s="44" t="str">
        <f>ORÇAMENTO!A649</f>
        <v>6.1.2.6.2</v>
      </c>
      <c r="D305" s="44" t="str">
        <f>ORÇAMENTO!B649</f>
        <v xml:space="preserve"> 8335 </v>
      </c>
      <c r="E305" s="44" t="str">
        <f>ORÇAMENTO!C649</f>
        <v>ORSE</v>
      </c>
      <c r="F305" s="480" t="str">
        <f>ORÇAMENTO!D649</f>
        <v>ESCADA DE MADEIRA PARA OBRA, EM TÁBUA DE CONSTRUÇÃO, LARGURA 1,00M</v>
      </c>
      <c r="G305" s="44" t="str">
        <f>ORÇAMENTO!E649</f>
        <v>M</v>
      </c>
      <c r="H305" s="44">
        <f>ORÇAMENTO!F649</f>
        <v>0</v>
      </c>
      <c r="I305" s="44">
        <f>ORÇAMENTO!G649</f>
        <v>300.70999999999998</v>
      </c>
      <c r="J305" s="44">
        <f>ORÇAMENTO!H649</f>
        <v>0.2122</v>
      </c>
      <c r="K305" s="44">
        <f>ORÇAMENTO!I649</f>
        <v>364.52</v>
      </c>
      <c r="L305" s="44">
        <f>ORÇAMENTO!J649</f>
        <v>0</v>
      </c>
      <c r="M305" s="23">
        <f>ORÇAMENTO!K649</f>
        <v>0</v>
      </c>
      <c r="N305" s="23" t="str">
        <f t="shared" si="17"/>
        <v>OK!</v>
      </c>
      <c r="O305" s="23" t="str">
        <f t="shared" si="18"/>
        <v>OK!</v>
      </c>
      <c r="P305" s="23" t="str">
        <f t="shared" si="19"/>
        <v>OK!</v>
      </c>
    </row>
    <row r="306" spans="2:16" ht="29" x14ac:dyDescent="0.35">
      <c r="B306" s="43">
        <f t="shared" si="16"/>
        <v>47</v>
      </c>
      <c r="C306" s="44" t="str">
        <f>ORÇAMENTO!A745</f>
        <v>7.1.1.1.12</v>
      </c>
      <c r="D306" s="44" t="str">
        <f>ORÇAMENTO!B745</f>
        <v xml:space="preserve"> 8335 </v>
      </c>
      <c r="E306" s="44" t="str">
        <f>ORÇAMENTO!C745</f>
        <v>ORSE</v>
      </c>
      <c r="F306" s="480" t="str">
        <f>ORÇAMENTO!D745</f>
        <v>ESCADA DE MADEIRA PARA OBRA, EM TÁBUA DE CONSTRUÇÃO, LARGURA 1,00M</v>
      </c>
      <c r="G306" s="44" t="str">
        <f>ORÇAMENTO!E745</f>
        <v>M</v>
      </c>
      <c r="H306" s="44">
        <f>ORÇAMENTO!F745</f>
        <v>0</v>
      </c>
      <c r="I306" s="44">
        <f>ORÇAMENTO!G745</f>
        <v>300.70999999999998</v>
      </c>
      <c r="J306" s="44">
        <f>ORÇAMENTO!H745</f>
        <v>0.2122</v>
      </c>
      <c r="K306" s="44">
        <f>ORÇAMENTO!I745</f>
        <v>364.52</v>
      </c>
      <c r="L306" s="44">
        <f>ORÇAMENTO!J745</f>
        <v>0</v>
      </c>
      <c r="M306" s="23">
        <f>ORÇAMENTO!K745</f>
        <v>0</v>
      </c>
      <c r="N306" s="23" t="str">
        <f t="shared" si="17"/>
        <v>OK!</v>
      </c>
      <c r="O306" s="23" t="str">
        <f t="shared" si="18"/>
        <v>OK!</v>
      </c>
      <c r="P306" s="23" t="str">
        <f t="shared" si="19"/>
        <v>OK!</v>
      </c>
    </row>
    <row r="307" spans="2:16" ht="29" x14ac:dyDescent="0.35">
      <c r="B307" s="43">
        <f t="shared" si="16"/>
        <v>47</v>
      </c>
      <c r="C307" s="44" t="str">
        <f>ORÇAMENTO!A859</f>
        <v>7.1.2.6.6</v>
      </c>
      <c r="D307" s="44" t="str">
        <f>ORÇAMENTO!B859</f>
        <v xml:space="preserve"> 8335 </v>
      </c>
      <c r="E307" s="44" t="str">
        <f>ORÇAMENTO!C859</f>
        <v>ORSE</v>
      </c>
      <c r="F307" s="480" t="str">
        <f>ORÇAMENTO!D859</f>
        <v>ESCADA DE MADEIRA PARA OBRA, EM TÁBUA DE CONSTRUÇÃO, LARGURA 1,00M</v>
      </c>
      <c r="G307" s="44" t="str">
        <f>ORÇAMENTO!E859</f>
        <v>M</v>
      </c>
      <c r="H307" s="44">
        <f>ORÇAMENTO!F859</f>
        <v>0</v>
      </c>
      <c r="I307" s="44">
        <f>ORÇAMENTO!G859</f>
        <v>300.70999999999998</v>
      </c>
      <c r="J307" s="44">
        <f>ORÇAMENTO!H859</f>
        <v>0.2122</v>
      </c>
      <c r="K307" s="44">
        <f>ORÇAMENTO!I859</f>
        <v>364.52</v>
      </c>
      <c r="L307" s="44">
        <f>ORÇAMENTO!J859</f>
        <v>0</v>
      </c>
      <c r="M307" s="23">
        <f>ORÇAMENTO!K859</f>
        <v>0</v>
      </c>
      <c r="N307" s="23" t="str">
        <f t="shared" si="17"/>
        <v>OK!</v>
      </c>
      <c r="O307" s="23" t="str">
        <f t="shared" si="18"/>
        <v>OK!</v>
      </c>
      <c r="P307" s="23" t="str">
        <f t="shared" si="19"/>
        <v>OK!</v>
      </c>
    </row>
    <row r="308" spans="2:16" ht="29" x14ac:dyDescent="0.35">
      <c r="B308" s="43">
        <f t="shared" si="16"/>
        <v>48</v>
      </c>
      <c r="C308" s="44" t="str">
        <f>ORÇAMENTO!A150</f>
        <v>4.1.2.1.15</v>
      </c>
      <c r="D308" s="44" t="str">
        <f>ORÇAMENTO!B150</f>
        <v xml:space="preserve"> C5012 </v>
      </c>
      <c r="E308" s="44" t="str">
        <f>ORÇAMENTO!C150</f>
        <v>SEINFRA</v>
      </c>
      <c r="F308" s="480" t="str">
        <f>ORÇAMENTO!D150</f>
        <v>ESCAVAÇÃO DE VALA EM MATERIAL DE 3ª CATEGORIA COM ESCAVADEIRA E ROMPEDOR HIDRÁULICO DE 1700KG</v>
      </c>
      <c r="G308" s="44" t="str">
        <f>ORÇAMENTO!E150</f>
        <v>M³</v>
      </c>
      <c r="H308" s="44">
        <f>ORÇAMENTO!F150</f>
        <v>406.58992602701767</v>
      </c>
      <c r="I308" s="44">
        <f>ORÇAMENTO!G150</f>
        <v>108.71</v>
      </c>
      <c r="J308" s="44">
        <f>ORÇAMENTO!H150</f>
        <v>0.2122</v>
      </c>
      <c r="K308" s="44">
        <f>ORÇAMENTO!I150</f>
        <v>131.78</v>
      </c>
      <c r="L308" s="44">
        <f>ORÇAMENTO!J150</f>
        <v>53580.42</v>
      </c>
      <c r="M308" s="23">
        <f>ORÇAMENTO!K150</f>
        <v>1.8942284388393776E-3</v>
      </c>
      <c r="N308" s="23" t="str">
        <f t="shared" si="17"/>
        <v>DIFERENTE</v>
      </c>
      <c r="O308" s="23" t="str">
        <f t="shared" si="18"/>
        <v>DIFERENTE</v>
      </c>
      <c r="P308" s="23" t="str">
        <f t="shared" si="19"/>
        <v>DIFERENTE</v>
      </c>
    </row>
    <row r="309" spans="2:16" ht="29" x14ac:dyDescent="0.35">
      <c r="B309" s="43">
        <f t="shared" si="16"/>
        <v>48</v>
      </c>
      <c r="C309" s="44" t="str">
        <f>ORÇAMENTO!A218</f>
        <v>4.1.2.6.16</v>
      </c>
      <c r="D309" s="44" t="str">
        <f>ORÇAMENTO!B218</f>
        <v xml:space="preserve"> C5012 </v>
      </c>
      <c r="E309" s="44" t="str">
        <f>ORÇAMENTO!C218</f>
        <v>SEINFRA</v>
      </c>
      <c r="F309" s="480" t="str">
        <f>ORÇAMENTO!D218</f>
        <v>ESCAVAÇÃO DE VALA EM MATERIAL DE 3ª CATEGORIA COM ESCAVADEIRA E ROMPEDOR HIDRÁULICO DE 1700KG</v>
      </c>
      <c r="G309" s="44" t="str">
        <f>ORÇAMENTO!E218</f>
        <v>M³</v>
      </c>
      <c r="H309" s="44">
        <f>ORÇAMENTO!F218</f>
        <v>17.690000000000001</v>
      </c>
      <c r="I309" s="44">
        <f>ORÇAMENTO!G218</f>
        <v>108.71</v>
      </c>
      <c r="J309" s="44">
        <f>ORÇAMENTO!H218</f>
        <v>0.2122</v>
      </c>
      <c r="K309" s="44">
        <f>ORÇAMENTO!I218</f>
        <v>131.78</v>
      </c>
      <c r="L309" s="44">
        <f>ORÇAMENTO!J218</f>
        <v>2331.1799999999998</v>
      </c>
      <c r="M309" s="23">
        <f>ORÇAMENTO!K218</f>
        <v>8.2414200038998957E-5</v>
      </c>
      <c r="N309" s="23" t="str">
        <f t="shared" si="17"/>
        <v>OK!</v>
      </c>
      <c r="O309" s="23" t="str">
        <f t="shared" si="18"/>
        <v>OK!</v>
      </c>
      <c r="P309" s="23" t="str">
        <f t="shared" si="19"/>
        <v>OK!</v>
      </c>
    </row>
    <row r="310" spans="2:16" ht="29" x14ac:dyDescent="0.35">
      <c r="B310" s="43">
        <f t="shared" si="16"/>
        <v>48</v>
      </c>
      <c r="C310" s="44" t="str">
        <f>ORÇAMENTO!A389</f>
        <v>5.1.2.1.12</v>
      </c>
      <c r="D310" s="44" t="str">
        <f>ORÇAMENTO!B389</f>
        <v xml:space="preserve"> C5012 </v>
      </c>
      <c r="E310" s="44" t="str">
        <f>ORÇAMENTO!C389</f>
        <v>SEINFRA</v>
      </c>
      <c r="F310" s="480" t="str">
        <f>ORÇAMENTO!D389</f>
        <v>ESCAVAÇÃO DE VALA EM MATERIAL DE 3ª CATEGORIA COM ESCAVADEIRA E ROMPEDOR HIDRÁULICO DE 1700KG</v>
      </c>
      <c r="G310" s="44" t="str">
        <f>ORÇAMENTO!E389</f>
        <v>M³</v>
      </c>
      <c r="H310" s="44">
        <f>ORÇAMENTO!F389</f>
        <v>222.18</v>
      </c>
      <c r="I310" s="44">
        <f>ORÇAMENTO!G389</f>
        <v>108.71</v>
      </c>
      <c r="J310" s="44">
        <f>ORÇAMENTO!H389</f>
        <v>0.2122</v>
      </c>
      <c r="K310" s="44">
        <f>ORÇAMENTO!I389</f>
        <v>131.78</v>
      </c>
      <c r="L310" s="44">
        <f>ORÇAMENTO!J389</f>
        <v>29278.880000000001</v>
      </c>
      <c r="M310" s="23">
        <f>ORÇAMENTO!K389</f>
        <v>1.0350961629894929E-3</v>
      </c>
      <c r="N310" s="23" t="str">
        <f t="shared" si="17"/>
        <v>OK!</v>
      </c>
      <c r="O310" s="23" t="str">
        <f t="shared" si="18"/>
        <v>OK!</v>
      </c>
      <c r="P310" s="23" t="str">
        <f t="shared" si="19"/>
        <v>OK!</v>
      </c>
    </row>
    <row r="311" spans="2:16" ht="29" x14ac:dyDescent="0.35">
      <c r="B311" s="43">
        <f t="shared" si="16"/>
        <v>48</v>
      </c>
      <c r="C311" s="44" t="str">
        <f>ORÇAMENTO!A461</f>
        <v>5.1.2.6.17</v>
      </c>
      <c r="D311" s="44" t="str">
        <f>ORÇAMENTO!B461</f>
        <v xml:space="preserve"> C5012 </v>
      </c>
      <c r="E311" s="44" t="str">
        <f>ORÇAMENTO!C461</f>
        <v>SEINFRA</v>
      </c>
      <c r="F311" s="480" t="str">
        <f>ORÇAMENTO!D461</f>
        <v>ESCAVAÇÃO DE VALA EM MATERIAL DE 3ª CATEGORIA COM ESCAVADEIRA E ROMPEDOR HIDRÁULICO DE 1700KG</v>
      </c>
      <c r="G311" s="44" t="str">
        <f>ORÇAMENTO!E461</f>
        <v>M³</v>
      </c>
      <c r="H311" s="44">
        <f>ORÇAMENTO!F461</f>
        <v>8.06</v>
      </c>
      <c r="I311" s="44">
        <f>ORÇAMENTO!G461</f>
        <v>108.71</v>
      </c>
      <c r="J311" s="44">
        <f>ORÇAMENTO!H461</f>
        <v>0.2122</v>
      </c>
      <c r="K311" s="44">
        <f>ORÇAMENTO!I461</f>
        <v>131.78</v>
      </c>
      <c r="L311" s="44">
        <f>ORÇAMENTO!J461</f>
        <v>1062.1400000000001</v>
      </c>
      <c r="M311" s="23">
        <f>ORÇAMENTO!K461</f>
        <v>3.7549832457992244E-5</v>
      </c>
      <c r="N311" s="23" t="str">
        <f t="shared" si="17"/>
        <v>OK!</v>
      </c>
      <c r="O311" s="23" t="str">
        <f t="shared" si="18"/>
        <v>OK!</v>
      </c>
      <c r="P311" s="23" t="str">
        <f t="shared" si="19"/>
        <v>OK!</v>
      </c>
    </row>
    <row r="312" spans="2:16" ht="29" x14ac:dyDescent="0.35">
      <c r="B312" s="43">
        <f t="shared" si="16"/>
        <v>48</v>
      </c>
      <c r="C312" s="44" t="str">
        <f>ORÇAMENTO!A602</f>
        <v>6.1.2.1.8</v>
      </c>
      <c r="D312" s="44" t="str">
        <f>ORÇAMENTO!B602</f>
        <v xml:space="preserve"> C5012 </v>
      </c>
      <c r="E312" s="44" t="str">
        <f>ORÇAMENTO!C602</f>
        <v>SEINFRA</v>
      </c>
      <c r="F312" s="480" t="str">
        <f>ORÇAMENTO!D602</f>
        <v>ESCAVAÇÃO DE VALA EM MATERIAL DE 3ª CATEGORIA COM ESCAVADEIRA E ROMPEDOR HIDRÁULICO DE 1700KG</v>
      </c>
      <c r="G312" s="44" t="str">
        <f>ORÇAMENTO!E602</f>
        <v>M³</v>
      </c>
      <c r="H312" s="44">
        <f>ORÇAMENTO!F602</f>
        <v>22.56</v>
      </c>
      <c r="I312" s="44">
        <f>ORÇAMENTO!G602</f>
        <v>108.71</v>
      </c>
      <c r="J312" s="44">
        <f>ORÇAMENTO!H602</f>
        <v>0.2122</v>
      </c>
      <c r="K312" s="44">
        <f>ORÇAMENTO!I602</f>
        <v>131.78</v>
      </c>
      <c r="L312" s="44">
        <f>ORÇAMENTO!J602</f>
        <v>2972.95</v>
      </c>
      <c r="M312" s="23">
        <f>ORÇAMENTO!K602</f>
        <v>1.0510269305928411E-4</v>
      </c>
      <c r="N312" s="23" t="str">
        <f t="shared" si="17"/>
        <v>OK!</v>
      </c>
      <c r="O312" s="23" t="str">
        <f t="shared" si="18"/>
        <v>OK!</v>
      </c>
      <c r="P312" s="23" t="str">
        <f t="shared" si="19"/>
        <v>OK!</v>
      </c>
    </row>
    <row r="313" spans="2:16" ht="29" x14ac:dyDescent="0.35">
      <c r="B313" s="43">
        <f t="shared" si="16"/>
        <v>48</v>
      </c>
      <c r="C313" s="44" t="str">
        <f>ORÇAMENTO!A656</f>
        <v>6.1.2.6.9</v>
      </c>
      <c r="D313" s="44" t="str">
        <f>ORÇAMENTO!B656</f>
        <v xml:space="preserve"> C5012 </v>
      </c>
      <c r="E313" s="44" t="str">
        <f>ORÇAMENTO!C656</f>
        <v>SEINFRA</v>
      </c>
      <c r="F313" s="480" t="str">
        <f>ORÇAMENTO!D656</f>
        <v>ESCAVAÇÃO DE VALA EM MATERIAL DE 3ª CATEGORIA COM ESCAVADEIRA E ROMPEDOR HIDRÁULICO DE 1700KG</v>
      </c>
      <c r="G313" s="44" t="str">
        <f>ORÇAMENTO!E656</f>
        <v>M³</v>
      </c>
      <c r="H313" s="44">
        <f>ORÇAMENTO!F656</f>
        <v>3.42</v>
      </c>
      <c r="I313" s="44">
        <f>ORÇAMENTO!G656</f>
        <v>108.71</v>
      </c>
      <c r="J313" s="44">
        <f>ORÇAMENTO!H656</f>
        <v>0.2122</v>
      </c>
      <c r="K313" s="44">
        <f>ORÇAMENTO!I656</f>
        <v>131.78</v>
      </c>
      <c r="L313" s="44">
        <f>ORÇAMENTO!J656</f>
        <v>450.68</v>
      </c>
      <c r="M313" s="23">
        <f>ORÇAMENTO!K656</f>
        <v>1.5932888783181071E-5</v>
      </c>
      <c r="N313" s="23" t="str">
        <f t="shared" si="17"/>
        <v>OK!</v>
      </c>
      <c r="O313" s="23" t="str">
        <f t="shared" si="18"/>
        <v>OK!</v>
      </c>
      <c r="P313" s="23" t="str">
        <f t="shared" si="19"/>
        <v>OK!</v>
      </c>
    </row>
    <row r="314" spans="2:16" ht="29" x14ac:dyDescent="0.35">
      <c r="B314" s="43">
        <f t="shared" si="16"/>
        <v>48</v>
      </c>
      <c r="C314" s="44" t="str">
        <f>ORÇAMENTO!A797</f>
        <v>7.1.2.1.13</v>
      </c>
      <c r="D314" s="44" t="str">
        <f>ORÇAMENTO!B797</f>
        <v xml:space="preserve"> C5012 </v>
      </c>
      <c r="E314" s="44" t="str">
        <f>ORÇAMENTO!C797</f>
        <v>SEINFRA</v>
      </c>
      <c r="F314" s="480" t="str">
        <f>ORÇAMENTO!D797</f>
        <v>ESCAVAÇÃO DE VALA EM MATERIAL DE 3ª CATEGORIA COM ESCAVADEIRA E ROMPEDOR HIDRÁULICO DE 1700KG</v>
      </c>
      <c r="G314" s="44" t="str">
        <f>ORÇAMENTO!E797</f>
        <v>M³</v>
      </c>
      <c r="H314" s="44">
        <f>ORÇAMENTO!F797</f>
        <v>690.01</v>
      </c>
      <c r="I314" s="44">
        <f>ORÇAMENTO!G797</f>
        <v>108.71</v>
      </c>
      <c r="J314" s="44">
        <f>ORÇAMENTO!H797</f>
        <v>0.2122</v>
      </c>
      <c r="K314" s="44">
        <f>ORÇAMENTO!I797</f>
        <v>131.78</v>
      </c>
      <c r="L314" s="44">
        <f>ORÇAMENTO!J797</f>
        <v>90929.51</v>
      </c>
      <c r="M314" s="23">
        <f>ORÇAMENTO!K797</f>
        <v>3.2146307134533394E-3</v>
      </c>
      <c r="N314" s="23" t="str">
        <f t="shared" si="17"/>
        <v>OK!</v>
      </c>
      <c r="O314" s="23" t="str">
        <f t="shared" si="18"/>
        <v>OK!</v>
      </c>
      <c r="P314" s="23" t="str">
        <f t="shared" si="19"/>
        <v>OK!</v>
      </c>
    </row>
    <row r="315" spans="2:16" ht="29" x14ac:dyDescent="0.35">
      <c r="B315" s="43">
        <f t="shared" si="16"/>
        <v>48</v>
      </c>
      <c r="C315" s="44" t="str">
        <f>ORÇAMENTO!A870</f>
        <v>7.1.2.6.17</v>
      </c>
      <c r="D315" s="44" t="str">
        <f>ORÇAMENTO!B870</f>
        <v xml:space="preserve"> C5012 </v>
      </c>
      <c r="E315" s="44" t="str">
        <f>ORÇAMENTO!C870</f>
        <v>SEINFRA</v>
      </c>
      <c r="F315" s="480" t="str">
        <f>ORÇAMENTO!D870</f>
        <v>ESCAVAÇÃO DE VALA EM MATERIAL DE 3ª CATEGORIA COM ESCAVADEIRA E ROMPEDOR HIDRÁULICO DE 1700KG</v>
      </c>
      <c r="G315" s="44" t="str">
        <f>ORÇAMENTO!E870</f>
        <v>M³</v>
      </c>
      <c r="H315" s="44">
        <f>ORÇAMENTO!F870</f>
        <v>13.87</v>
      </c>
      <c r="I315" s="44">
        <f>ORÇAMENTO!G870</f>
        <v>108.71</v>
      </c>
      <c r="J315" s="44">
        <f>ORÇAMENTO!H870</f>
        <v>0.2122</v>
      </c>
      <c r="K315" s="44">
        <f>ORÇAMENTO!I870</f>
        <v>131.78</v>
      </c>
      <c r="L315" s="44">
        <f>ORÇAMENTO!J870</f>
        <v>1827.78</v>
      </c>
      <c r="M315" s="23">
        <f>ORÇAMENTO!K870</f>
        <v>6.4617501242839046E-5</v>
      </c>
      <c r="N315" s="23" t="str">
        <f t="shared" si="17"/>
        <v>OK!</v>
      </c>
      <c r="O315" s="23" t="str">
        <f t="shared" si="18"/>
        <v>OK!</v>
      </c>
      <c r="P315" s="23" t="str">
        <f t="shared" si="19"/>
        <v>OK!</v>
      </c>
    </row>
    <row r="316" spans="2:16" ht="43.5" x14ac:dyDescent="0.35">
      <c r="B316" s="43">
        <f t="shared" si="16"/>
        <v>49</v>
      </c>
      <c r="C316" s="44" t="str">
        <f>ORÇAMENTO!A273</f>
        <v>4.2.2.1</v>
      </c>
      <c r="D316" s="44" t="str">
        <f>ORÇAMENTO!B273</f>
        <v xml:space="preserve"> 101146 </v>
      </c>
      <c r="E316" s="44" t="str">
        <f>ORÇAMENTO!C273</f>
        <v>SINAPI</v>
      </c>
      <c r="F316" s="480" t="str">
        <f>ORÇAMENTO!D273</f>
        <v>ESCAVAÇÃO HORIZONTAL, INCLUINDO CARGA, DESCARGA E TRANSPORTE EM SOLO DE 1A CATEGORIA COM TRATOR DE ESTEIRAS (170HP/LÂMINA: 5,20M3) E CAMINHÃO BASCULANTE DE 14M3, DMT ATÉ 200M. AF_07/2020</v>
      </c>
      <c r="G316" s="44" t="str">
        <f>ORÇAMENTO!E273</f>
        <v>M³</v>
      </c>
      <c r="H316" s="44">
        <f>ORÇAMENTO!F273</f>
        <v>3026.63</v>
      </c>
      <c r="I316" s="44">
        <f>ORÇAMENTO!G273</f>
        <v>13.23</v>
      </c>
      <c r="J316" s="44">
        <f>ORÇAMENTO!H273</f>
        <v>0.2122</v>
      </c>
      <c r="K316" s="44">
        <f>ORÇAMENTO!I273</f>
        <v>16.04</v>
      </c>
      <c r="L316" s="44">
        <f>ORÇAMENTO!J273</f>
        <v>48547.14</v>
      </c>
      <c r="M316" s="23">
        <f>ORÇAMENTO!K273</f>
        <v>1.7162869050357707E-3</v>
      </c>
      <c r="N316" s="23" t="str">
        <f t="shared" si="17"/>
        <v>DIFERENTE</v>
      </c>
      <c r="O316" s="23" t="str">
        <f t="shared" si="18"/>
        <v>DIFERENTE</v>
      </c>
      <c r="P316" s="23" t="str">
        <f t="shared" si="19"/>
        <v>DIFERENTE</v>
      </c>
    </row>
    <row r="317" spans="2:16" ht="43.5" x14ac:dyDescent="0.35">
      <c r="B317" s="43">
        <f t="shared" si="16"/>
        <v>49</v>
      </c>
      <c r="C317" s="44" t="str">
        <f>ORÇAMENTO!A962</f>
        <v>7.5.2.1</v>
      </c>
      <c r="D317" s="44" t="str">
        <f>ORÇAMENTO!B962</f>
        <v xml:space="preserve"> 101146 </v>
      </c>
      <c r="E317" s="44" t="str">
        <f>ORÇAMENTO!C962</f>
        <v>SINAPI</v>
      </c>
      <c r="F317" s="636" t="str">
        <f>ORÇAMENTO!D962</f>
        <v>ESCAVAÇÃO HORIZONTAL, INCLUINDO CARGA, DESCARGA E TRANSPORTE EM SOLO DE 1A CATEGORIA COM TRATOR DE ESTEIRAS (170HP/LÂMINA: 5,20M3) E CAMINHÃO BASCULANTE DE 14M3, DMT ATÉ 200M. AF_07/2020</v>
      </c>
      <c r="G317" s="44" t="str">
        <f>ORÇAMENTO!E962</f>
        <v>M³</v>
      </c>
      <c r="H317" s="44">
        <f>ORÇAMENTO!F962</f>
        <v>3674.01</v>
      </c>
      <c r="I317" s="44">
        <f>ORÇAMENTO!G962</f>
        <v>13.23</v>
      </c>
      <c r="J317" s="44">
        <f>ORÇAMENTO!H962</f>
        <v>0.2122</v>
      </c>
      <c r="K317" s="44">
        <f>ORÇAMENTO!I962</f>
        <v>16.04</v>
      </c>
      <c r="L317" s="638">
        <f>ORÇAMENTO!J962</f>
        <v>58931.12</v>
      </c>
      <c r="M317" s="23">
        <f>ORÇAMENTO!K962</f>
        <v>2.0833917210177902E-3</v>
      </c>
      <c r="N317" s="23" t="str">
        <f t="shared" si="17"/>
        <v>OK!</v>
      </c>
      <c r="O317" s="23" t="str">
        <f t="shared" si="18"/>
        <v>OK!</v>
      </c>
      <c r="P317" s="23" t="str">
        <f t="shared" si="19"/>
        <v>OK!</v>
      </c>
    </row>
    <row r="318" spans="2:16" ht="58" x14ac:dyDescent="0.35">
      <c r="B318" s="43">
        <f t="shared" si="16"/>
        <v>50</v>
      </c>
      <c r="C318" s="44" t="str">
        <f>ORÇAMENTO!A144</f>
        <v>4.1.2.1.9</v>
      </c>
      <c r="D318" s="44" t="str">
        <f>ORÇAMENTO!B144</f>
        <v xml:space="preserve"> 90082 </v>
      </c>
      <c r="E318" s="44" t="str">
        <f>ORÇAMENTO!C144</f>
        <v>SINAPI</v>
      </c>
      <c r="F318" s="480" t="str">
        <f>ORÇAMENTO!D144</f>
        <v>ESCAVAÇÃO MECANIZADA DE VALA COM PROF. ATÉ 1,5 M (MÉDIA MONTANTE E JUSANTE/UMA COMPOSIÇÃO POR TRECHO), ESCAVADEIRA (0,8 M3), LARG. DE 1,5 M A 2,5 M, EM SOLO DE 1A CATEGORIA, EM LOCAIS COM ALTO NÍVEL DE INTERFERÊNCIA. AF_09/2024</v>
      </c>
      <c r="G318" s="44" t="str">
        <f>ORÇAMENTO!E144</f>
        <v>M³</v>
      </c>
      <c r="H318" s="44">
        <f>ORÇAMENTO!F144</f>
        <v>846.15485589323043</v>
      </c>
      <c r="I318" s="44">
        <f>ORÇAMENTO!G144</f>
        <v>9.31</v>
      </c>
      <c r="J318" s="44">
        <f>ORÇAMENTO!H144</f>
        <v>0.2122</v>
      </c>
      <c r="K318" s="44">
        <f>ORÇAMENTO!I144</f>
        <v>11.29</v>
      </c>
      <c r="L318" s="44">
        <f>ORÇAMENTO!J144</f>
        <v>9553.08</v>
      </c>
      <c r="M318" s="23">
        <f>ORÇAMENTO!K144</f>
        <v>3.3773001059916446E-4</v>
      </c>
      <c r="N318" s="23" t="str">
        <f t="shared" si="17"/>
        <v>DIFERENTE</v>
      </c>
      <c r="O318" s="23" t="str">
        <f t="shared" si="18"/>
        <v>DIFERENTE</v>
      </c>
      <c r="P318" s="23" t="str">
        <f t="shared" si="19"/>
        <v>DIFERENTE</v>
      </c>
    </row>
    <row r="319" spans="2:16" ht="58" x14ac:dyDescent="0.35">
      <c r="B319" s="43">
        <f t="shared" si="16"/>
        <v>50</v>
      </c>
      <c r="C319" s="44" t="str">
        <f>ORÇAMENTO!A216</f>
        <v>4.1.2.6.14</v>
      </c>
      <c r="D319" s="44" t="str">
        <f>ORÇAMENTO!B216</f>
        <v xml:space="preserve"> 90082 </v>
      </c>
      <c r="E319" s="44" t="str">
        <f>ORÇAMENTO!C216</f>
        <v>SINAPI</v>
      </c>
      <c r="F319" s="480" t="str">
        <f>ORÇAMENTO!D216</f>
        <v>ESCAVAÇÃO MECANIZADA DE VALA COM PROF. ATÉ 1,5 M (MÉDIA MONTANTE E JUSANTE/UMA COMPOSIÇÃO POR TRECHO), ESCAVADEIRA (0,8 M3), LARG. DE 1,5 M A 2,5 M, EM SOLO DE 1A CATEGORIA, EM LOCAIS COM ALTO NÍVEL DE INTERFERÊNCIA. AF_09/2024</v>
      </c>
      <c r="G319" s="44" t="str">
        <f>ORÇAMENTO!E216</f>
        <v>M³</v>
      </c>
      <c r="H319" s="44">
        <f>ORÇAMENTO!F216</f>
        <v>459.5</v>
      </c>
      <c r="I319" s="44">
        <f>ORÇAMENTO!G216</f>
        <v>9.31</v>
      </c>
      <c r="J319" s="44">
        <f>ORÇAMENTO!H216</f>
        <v>0.2122</v>
      </c>
      <c r="K319" s="44">
        <f>ORÇAMENTO!I216</f>
        <v>11.29</v>
      </c>
      <c r="L319" s="44">
        <f>ORÇAMENTO!J216</f>
        <v>5187.75</v>
      </c>
      <c r="M319" s="23">
        <f>ORÇAMENTO!K216</f>
        <v>1.8340251128283396E-4</v>
      </c>
      <c r="N319" s="23" t="str">
        <f t="shared" si="17"/>
        <v>OK!</v>
      </c>
      <c r="O319" s="23" t="str">
        <f t="shared" si="18"/>
        <v>OK!</v>
      </c>
      <c r="P319" s="23" t="str">
        <f t="shared" si="19"/>
        <v>OK!</v>
      </c>
    </row>
    <row r="320" spans="2:16" ht="58" x14ac:dyDescent="0.35">
      <c r="B320" s="43">
        <f t="shared" si="16"/>
        <v>51</v>
      </c>
      <c r="C320" s="44" t="str">
        <f>ORÇAMENTO!A307</f>
        <v>4.4.3</v>
      </c>
      <c r="D320" s="44">
        <f>ORÇAMENTO!B307</f>
        <v>90082</v>
      </c>
      <c r="E320" s="44" t="str">
        <f>ORÇAMENTO!C307</f>
        <v>SINAPI</v>
      </c>
      <c r="F320" s="480" t="str">
        <f>ORÇAMENTO!D307</f>
        <v>ESCAVAÇÃO MECANIZADA DE VALA COM PROF. ATÉ 1,5 M (MÉDIA MONTANTE E JUSANTE/UMA COMPOSIÇÃO POR TRECHO), ESCAVADEIRA (0,8 M3), LARG. DE 1,5 M A 2,5 M, EM SOLO DE 1A CATEGORIA, EM LOCAIS COM ALTO NÍVEL DE INTERFERÊNCIA. AF_09/2024</v>
      </c>
      <c r="G320" s="44" t="str">
        <f>ORÇAMENTO!E307</f>
        <v>M³</v>
      </c>
      <c r="H320" s="44">
        <f>ORÇAMENTO!F307</f>
        <v>11.145599999999998</v>
      </c>
      <c r="I320" s="44">
        <f>ORÇAMENTO!G307</f>
        <v>9.31</v>
      </c>
      <c r="J320" s="44">
        <f>ORÇAMENTO!H307</f>
        <v>0.2122</v>
      </c>
      <c r="K320" s="44">
        <f>ORÇAMENTO!I307</f>
        <v>11.29</v>
      </c>
      <c r="L320" s="44">
        <f>ORÇAMENTO!J307</f>
        <v>125.83</v>
      </c>
      <c r="M320" s="23">
        <f>ORÇAMENTO!K307</f>
        <v>4.4484676390957536E-6</v>
      </c>
      <c r="N320" s="23" t="str">
        <f t="shared" si="17"/>
        <v>OK!</v>
      </c>
      <c r="O320" s="23" t="str">
        <f t="shared" si="18"/>
        <v>OK!</v>
      </c>
      <c r="P320" s="23" t="str">
        <f t="shared" si="19"/>
        <v>ERRADO</v>
      </c>
    </row>
    <row r="321" spans="2:16" ht="58" x14ac:dyDescent="0.35">
      <c r="B321" s="43">
        <f t="shared" ref="B321:B384" si="20">IF(EXACT(D320,D321),B320,B320+1)</f>
        <v>52</v>
      </c>
      <c r="C321" s="44" t="str">
        <f>ORÇAMENTO!A384</f>
        <v>5.1.2.1.7</v>
      </c>
      <c r="D321" s="44" t="str">
        <f>ORÇAMENTO!B384</f>
        <v xml:space="preserve"> 90082 </v>
      </c>
      <c r="E321" s="44" t="str">
        <f>ORÇAMENTO!C384</f>
        <v>SINAPI</v>
      </c>
      <c r="F321" s="480" t="str">
        <f>ORÇAMENTO!D384</f>
        <v>ESCAVAÇÃO MECANIZADA DE VALA COM PROF. ATÉ 1,5 M (MÉDIA MONTANTE E JUSANTE/UMA COMPOSIÇÃO POR TRECHO), ESCAVADEIRA (0,8 M3), LARG. DE 1,5 M A 2,5 M, EM SOLO DE 1A CATEGORIA, EM LOCAIS COM ALTO NÍVEL DE INTERFERÊNCIA. AF_09/2024</v>
      </c>
      <c r="G321" s="44" t="str">
        <f>ORÇAMENTO!E384</f>
        <v>M³</v>
      </c>
      <c r="H321" s="44">
        <f>ORÇAMENTO!F384</f>
        <v>3183.1514999999999</v>
      </c>
      <c r="I321" s="44">
        <f>ORÇAMENTO!G384</f>
        <v>9.31</v>
      </c>
      <c r="J321" s="44">
        <f>ORÇAMENTO!H384</f>
        <v>0.2122</v>
      </c>
      <c r="K321" s="44">
        <f>ORÇAMENTO!I384</f>
        <v>11.29</v>
      </c>
      <c r="L321" s="44">
        <f>ORÇAMENTO!J384</f>
        <v>35937.78</v>
      </c>
      <c r="M321" s="23">
        <f>ORÇAMENTO!K384</f>
        <v>1.2705082361197059E-3</v>
      </c>
      <c r="N321" s="23" t="str">
        <f t="shared" ref="N321:N384" si="21">IF(F321=F320,IF(G321=G320,"OK!","ERRADO"),"DIFERENTE")</f>
        <v>OK!</v>
      </c>
      <c r="O321" s="23" t="str">
        <f t="shared" ref="O321:O384" si="22">IF(F321=F320,IF(I321=I320,"OK!","ERRADO"),"DIFERENTE")</f>
        <v>OK!</v>
      </c>
      <c r="P321" s="23" t="str">
        <f t="shared" ref="P321:P384" si="23">IF(F321=F320,IF(D321=D320,"OK!","ERRADO"),"DIFERENTE")</f>
        <v>ERRADO</v>
      </c>
    </row>
    <row r="322" spans="2:16" ht="58" x14ac:dyDescent="0.35">
      <c r="B322" s="43">
        <f t="shared" si="20"/>
        <v>52</v>
      </c>
      <c r="C322" s="44" t="str">
        <f>ORÇAMENTO!A459</f>
        <v>5.1.2.6.15</v>
      </c>
      <c r="D322" s="44" t="str">
        <f>ORÇAMENTO!B459</f>
        <v xml:space="preserve"> 90082 </v>
      </c>
      <c r="E322" s="44" t="str">
        <f>ORÇAMENTO!C459</f>
        <v>SINAPI</v>
      </c>
      <c r="F322" s="480" t="str">
        <f>ORÇAMENTO!D459</f>
        <v>ESCAVAÇÃO MECANIZADA DE VALA COM PROF. ATÉ 1,5 M (MÉDIA MONTANTE E JUSANTE/UMA COMPOSIÇÃO POR TRECHO), ESCAVADEIRA (0,8 M3), LARG. DE 1,5 M A 2,5 M, EM SOLO DE 1A CATEGORIA, EM LOCAIS COM ALTO NÍVEL DE INTERFERÊNCIA. AF_09/2024</v>
      </c>
      <c r="G322" s="44" t="str">
        <f>ORÇAMENTO!E459</f>
        <v>M³</v>
      </c>
      <c r="H322" s="44">
        <f>ORÇAMENTO!F459</f>
        <v>568.17999999999995</v>
      </c>
      <c r="I322" s="44">
        <f>ORÇAMENTO!G459</f>
        <v>9.31</v>
      </c>
      <c r="J322" s="44">
        <f>ORÇAMENTO!H459</f>
        <v>0.2122</v>
      </c>
      <c r="K322" s="44">
        <f>ORÇAMENTO!I459</f>
        <v>11.29</v>
      </c>
      <c r="L322" s="44">
        <f>ORÇAMENTO!J459</f>
        <v>6414.75</v>
      </c>
      <c r="M322" s="23">
        <f>ORÇAMENTO!K459</f>
        <v>2.2678063886107832E-4</v>
      </c>
      <c r="N322" s="23" t="str">
        <f t="shared" si="21"/>
        <v>OK!</v>
      </c>
      <c r="O322" s="23" t="str">
        <f t="shared" si="22"/>
        <v>OK!</v>
      </c>
      <c r="P322" s="23" t="str">
        <f t="shared" si="23"/>
        <v>OK!</v>
      </c>
    </row>
    <row r="323" spans="2:16" ht="58" x14ac:dyDescent="0.35">
      <c r="B323" s="43">
        <f t="shared" si="20"/>
        <v>52</v>
      </c>
      <c r="C323" s="44" t="str">
        <f>ORÇAMENTO!A520</f>
        <v>5.4.3</v>
      </c>
      <c r="D323" s="44" t="str">
        <f>ORÇAMENTO!B520</f>
        <v xml:space="preserve"> 90082 </v>
      </c>
      <c r="E323" s="44" t="str">
        <f>ORÇAMENTO!C520</f>
        <v>SINAPI</v>
      </c>
      <c r="F323" s="480" t="str">
        <f>ORÇAMENTO!D520</f>
        <v>ESCAVAÇÃO MECANIZADA DE VALA COM PROF. ATÉ 1,5 M (MÉDIA MONTANTE E JUSANTE/UMA COMPOSIÇÃO POR TRECHO), ESCAVADEIRA (0,8 M3), LARG. DE 1,5 M A 2,5 M, EM SOLO DE 1A CATEGORIA, EM LOCAIS COM ALTO NÍVEL DE INTERFERÊNCIA. AF_09/2024</v>
      </c>
      <c r="G323" s="44" t="str">
        <f>ORÇAMENTO!E520</f>
        <v>M³</v>
      </c>
      <c r="H323" s="44">
        <f>ORÇAMENTO!F520</f>
        <v>0.61559999999999993</v>
      </c>
      <c r="I323" s="44">
        <f>ORÇAMENTO!G520</f>
        <v>9.31</v>
      </c>
      <c r="J323" s="44">
        <f>ORÇAMENTO!H520</f>
        <v>0.2122</v>
      </c>
      <c r="K323" s="44">
        <f>ORÇAMENTO!I520</f>
        <v>11.29</v>
      </c>
      <c r="L323" s="44">
        <f>ORÇAMENTO!J520</f>
        <v>6.95</v>
      </c>
      <c r="M323" s="23">
        <f>ORÇAMENTO!K520</f>
        <v>2.4570333061841764E-7</v>
      </c>
      <c r="N323" s="23" t="str">
        <f t="shared" si="21"/>
        <v>OK!</v>
      </c>
      <c r="O323" s="23" t="str">
        <f t="shared" si="22"/>
        <v>OK!</v>
      </c>
      <c r="P323" s="23" t="str">
        <f t="shared" si="23"/>
        <v>OK!</v>
      </c>
    </row>
    <row r="324" spans="2:16" ht="58" x14ac:dyDescent="0.35">
      <c r="B324" s="43">
        <f t="shared" si="20"/>
        <v>52</v>
      </c>
      <c r="C324" s="44" t="str">
        <f>ORÇAMENTO!A598</f>
        <v>6.1.2.1.4</v>
      </c>
      <c r="D324" s="44" t="str">
        <f>ORÇAMENTO!B598</f>
        <v xml:space="preserve"> 90082 </v>
      </c>
      <c r="E324" s="44" t="str">
        <f>ORÇAMENTO!C598</f>
        <v>SINAPI</v>
      </c>
      <c r="F324" s="480" t="str">
        <f>ORÇAMENTO!D598</f>
        <v>ESCAVAÇÃO MECANIZADA DE VALA COM PROF. ATÉ 1,5 M (MÉDIA MONTANTE E JUSANTE/UMA COMPOSIÇÃO POR TRECHO), ESCAVADEIRA (0,8 M3), LARG. DE 1,5 M A 2,5 M, EM SOLO DE 1A CATEGORIA, EM LOCAIS COM ALTO NÍVEL DE INTERFERÊNCIA. AF_09/2024</v>
      </c>
      <c r="G324" s="44" t="str">
        <f>ORÇAMENTO!E598</f>
        <v>M³</v>
      </c>
      <c r="H324" s="44">
        <f>ORÇAMENTO!F598</f>
        <v>115.8531506677528</v>
      </c>
      <c r="I324" s="44">
        <f>ORÇAMENTO!G598</f>
        <v>9.31</v>
      </c>
      <c r="J324" s="44">
        <f>ORÇAMENTO!H598</f>
        <v>0.2122</v>
      </c>
      <c r="K324" s="44">
        <f>ORÇAMENTO!I598</f>
        <v>11.29</v>
      </c>
      <c r="L324" s="44">
        <f>ORÇAMENTO!J598</f>
        <v>1307.98</v>
      </c>
      <c r="M324" s="23">
        <f>ORÇAMENTO!K598</f>
        <v>4.6241013292414085E-5</v>
      </c>
      <c r="N324" s="23" t="str">
        <f t="shared" si="21"/>
        <v>OK!</v>
      </c>
      <c r="O324" s="23" t="str">
        <f t="shared" si="22"/>
        <v>OK!</v>
      </c>
      <c r="P324" s="23" t="str">
        <f t="shared" si="23"/>
        <v>OK!</v>
      </c>
    </row>
    <row r="325" spans="2:16" ht="58" x14ac:dyDescent="0.35">
      <c r="B325" s="43">
        <f t="shared" si="20"/>
        <v>52</v>
      </c>
      <c r="C325" s="44" t="str">
        <f>ORÇAMENTO!A654</f>
        <v>6.1.2.6.7</v>
      </c>
      <c r="D325" s="44" t="str">
        <f>ORÇAMENTO!B654</f>
        <v xml:space="preserve"> 90082 </v>
      </c>
      <c r="E325" s="44" t="str">
        <f>ORÇAMENTO!C654</f>
        <v>SINAPI</v>
      </c>
      <c r="F325" s="480" t="str">
        <f>ORÇAMENTO!D654</f>
        <v>ESCAVAÇÃO MECANIZADA DE VALA COM PROF. ATÉ 1,5 M (MÉDIA MONTANTE E JUSANTE/UMA COMPOSIÇÃO POR TRECHO), ESCAVADEIRA (0,8 M3), LARG. DE 1,5 M A 2,5 M, EM SOLO DE 1A CATEGORIA, EM LOCAIS COM ALTO NÍVEL DE INTERFERÊNCIA. AF_09/2024</v>
      </c>
      <c r="G325" s="44" t="str">
        <f>ORÇAMENTO!E654</f>
        <v>M³</v>
      </c>
      <c r="H325" s="44">
        <f>ORÇAMENTO!F654</f>
        <v>362.94</v>
      </c>
      <c r="I325" s="44">
        <f>ORÇAMENTO!G654</f>
        <v>9.31</v>
      </c>
      <c r="J325" s="44">
        <f>ORÇAMENTO!H654</f>
        <v>0.2122</v>
      </c>
      <c r="K325" s="44">
        <f>ORÇAMENTO!I654</f>
        <v>11.29</v>
      </c>
      <c r="L325" s="44">
        <f>ORÇAMENTO!J654</f>
        <v>4097.59</v>
      </c>
      <c r="M325" s="23">
        <f>ORÇAMENTO!K654</f>
        <v>1.4486208784298156E-4</v>
      </c>
      <c r="N325" s="23" t="str">
        <f t="shared" si="21"/>
        <v>OK!</v>
      </c>
      <c r="O325" s="23" t="str">
        <f t="shared" si="22"/>
        <v>OK!</v>
      </c>
      <c r="P325" s="23" t="str">
        <f t="shared" si="23"/>
        <v>OK!</v>
      </c>
    </row>
    <row r="326" spans="2:16" ht="58" x14ac:dyDescent="0.35">
      <c r="B326" s="43">
        <f t="shared" si="20"/>
        <v>52</v>
      </c>
      <c r="C326" s="44" t="str">
        <f>ORÇAMENTO!A713</f>
        <v>6.4.3</v>
      </c>
      <c r="D326" s="44" t="str">
        <f>ORÇAMENTO!B713</f>
        <v xml:space="preserve"> 90082 </v>
      </c>
      <c r="E326" s="44" t="str">
        <f>ORÇAMENTO!C713</f>
        <v>SINAPI</v>
      </c>
      <c r="F326" s="480" t="str">
        <f>ORÇAMENTO!D713</f>
        <v>ESCAVAÇÃO MECANIZADA DE VALA COM PROF. ATÉ 1,5 M (MÉDIA MONTANTE E JUSANTE/UMA COMPOSIÇÃO POR TRECHO), ESCAVADEIRA (0,8 M3), LARG. DE 1,5 M A 2,5 M, EM SOLO DE 1A CATEGORIA, EM LOCAIS COM ALTO NÍVEL DE INTERFERÊNCIA. AF_09/2024</v>
      </c>
      <c r="G326" s="44" t="str">
        <f>ORÇAMENTO!E713</f>
        <v>M³</v>
      </c>
      <c r="H326" s="44">
        <f>ORÇAMENTO!F713</f>
        <v>5.0220000000000002</v>
      </c>
      <c r="I326" s="44">
        <f>ORÇAMENTO!G713</f>
        <v>9.31</v>
      </c>
      <c r="J326" s="44">
        <f>ORÇAMENTO!H713</f>
        <v>0.2122</v>
      </c>
      <c r="K326" s="44">
        <f>ORÇAMENTO!I713</f>
        <v>11.29</v>
      </c>
      <c r="L326" s="44">
        <f>ORÇAMENTO!J713</f>
        <v>56.69</v>
      </c>
      <c r="M326" s="23">
        <f>ORÇAMENTO!K713</f>
        <v>2.0041614119076395E-6</v>
      </c>
      <c r="N326" s="23" t="str">
        <f t="shared" si="21"/>
        <v>OK!</v>
      </c>
      <c r="O326" s="23" t="str">
        <f t="shared" si="22"/>
        <v>OK!</v>
      </c>
      <c r="P326" s="23" t="str">
        <f t="shared" si="23"/>
        <v>OK!</v>
      </c>
    </row>
    <row r="327" spans="2:16" ht="58" x14ac:dyDescent="0.35">
      <c r="B327" s="43">
        <f t="shared" si="20"/>
        <v>52</v>
      </c>
      <c r="C327" s="44" t="str">
        <f>ORÇAMENTO!A791</f>
        <v>7.1.2.1.7</v>
      </c>
      <c r="D327" s="44" t="str">
        <f>ORÇAMENTO!B791</f>
        <v xml:space="preserve"> 90082 </v>
      </c>
      <c r="E327" s="44" t="str">
        <f>ORÇAMENTO!C791</f>
        <v>SINAPI</v>
      </c>
      <c r="F327" s="480" t="str">
        <f>ORÇAMENTO!D791</f>
        <v>ESCAVAÇÃO MECANIZADA DE VALA COM PROF. ATÉ 1,5 M (MÉDIA MONTANTE E JUSANTE/UMA COMPOSIÇÃO POR TRECHO), ESCAVADEIRA (0,8 M3), LARG. DE 1,5 M A 2,5 M, EM SOLO DE 1A CATEGORIA, EM LOCAIS COM ALTO NÍVEL DE INTERFERÊNCIA. AF_09/2024</v>
      </c>
      <c r="G327" s="44" t="str">
        <f>ORÇAMENTO!E791</f>
        <v>M³</v>
      </c>
      <c r="H327" s="44">
        <f>ORÇAMENTO!F791</f>
        <v>2765.7449999999999</v>
      </c>
      <c r="I327" s="44">
        <f>ORÇAMENTO!G791</f>
        <v>9.31</v>
      </c>
      <c r="J327" s="44">
        <f>ORÇAMENTO!H791</f>
        <v>0.2122</v>
      </c>
      <c r="K327" s="44">
        <f>ORÇAMENTO!I791</f>
        <v>11.29</v>
      </c>
      <c r="L327" s="44">
        <f>ORÇAMENTO!J791</f>
        <v>31225.26</v>
      </c>
      <c r="M327" s="23">
        <f>ORÇAMENTO!K791</f>
        <v>1.1039065297015899E-3</v>
      </c>
      <c r="N327" s="23" t="str">
        <f t="shared" si="21"/>
        <v>OK!</v>
      </c>
      <c r="O327" s="23" t="str">
        <f t="shared" si="22"/>
        <v>OK!</v>
      </c>
      <c r="P327" s="23" t="str">
        <f t="shared" si="23"/>
        <v>OK!</v>
      </c>
    </row>
    <row r="328" spans="2:16" ht="58" x14ac:dyDescent="0.35">
      <c r="B328" s="43">
        <f t="shared" si="20"/>
        <v>52</v>
      </c>
      <c r="C328" s="44" t="str">
        <f>ORÇAMENTO!A868</f>
        <v>7.1.2.6.15</v>
      </c>
      <c r="D328" s="44" t="str">
        <f>ORÇAMENTO!B868</f>
        <v xml:space="preserve"> 90082 </v>
      </c>
      <c r="E328" s="44" t="str">
        <f>ORÇAMENTO!C868</f>
        <v>SINAPI</v>
      </c>
      <c r="F328" s="480" t="str">
        <f>ORÇAMENTO!D868</f>
        <v>ESCAVAÇÃO MECANIZADA DE VALA COM PROF. ATÉ 1,5 M (MÉDIA MONTANTE E JUSANTE/UMA COMPOSIÇÃO POR TRECHO), ESCAVADEIRA (0,8 M3), LARG. DE 1,5 M A 2,5 M, EM SOLO DE 1A CATEGORIA, EM LOCAIS COM ALTO NÍVEL DE INTERFERÊNCIA. AF_09/2024</v>
      </c>
      <c r="G328" s="44" t="str">
        <f>ORÇAMENTO!E868</f>
        <v>M³</v>
      </c>
      <c r="H328" s="44">
        <f>ORÇAMENTO!F868</f>
        <v>379.08</v>
      </c>
      <c r="I328" s="44">
        <f>ORÇAMENTO!G868</f>
        <v>9.31</v>
      </c>
      <c r="J328" s="44">
        <f>ORÇAMENTO!H868</f>
        <v>0.2122</v>
      </c>
      <c r="K328" s="44">
        <f>ORÇAMENTO!I868</f>
        <v>11.29</v>
      </c>
      <c r="L328" s="44">
        <f>ORÇAMENTO!J868</f>
        <v>4279.8100000000004</v>
      </c>
      <c r="M328" s="23">
        <f>ORÇAMENTO!K868</f>
        <v>1.5130411099482157E-4</v>
      </c>
      <c r="N328" s="23" t="str">
        <f t="shared" si="21"/>
        <v>OK!</v>
      </c>
      <c r="O328" s="23" t="str">
        <f t="shared" si="22"/>
        <v>OK!</v>
      </c>
      <c r="P328" s="23" t="str">
        <f t="shared" si="23"/>
        <v>OK!</v>
      </c>
    </row>
    <row r="329" spans="2:16" ht="58" x14ac:dyDescent="0.35">
      <c r="B329" s="43">
        <f t="shared" si="20"/>
        <v>52</v>
      </c>
      <c r="C329" s="44" t="str">
        <f>ORÇAMENTO!A935</f>
        <v>7.4.3</v>
      </c>
      <c r="D329" s="44" t="str">
        <f>ORÇAMENTO!B935</f>
        <v xml:space="preserve"> 90082 </v>
      </c>
      <c r="E329" s="44" t="str">
        <f>ORÇAMENTO!C935</f>
        <v>SINAPI</v>
      </c>
      <c r="F329" s="636" t="str">
        <f>ORÇAMENTO!D935</f>
        <v>ESCAVAÇÃO MECANIZADA DE VALA COM PROF. ATÉ 1,5 M (MÉDIA MONTANTE E JUSANTE/UMA COMPOSIÇÃO POR TRECHO), ESCAVADEIRA (0,8 M3), LARG. DE 1,5 M A 2,5 M, EM SOLO DE 1A CATEGORIA, EM LOCAIS COM ALTO NÍVEL DE INTERFERÊNCIA. AF_09/2024</v>
      </c>
      <c r="G329" s="44" t="str">
        <f>ORÇAMENTO!E935</f>
        <v>M³</v>
      </c>
      <c r="H329" s="44">
        <f>ORÇAMENTO!F935</f>
        <v>8.8452000000001316</v>
      </c>
      <c r="I329" s="44">
        <f>ORÇAMENTO!G935</f>
        <v>9.31</v>
      </c>
      <c r="J329" s="44">
        <f>ORÇAMENTO!H935</f>
        <v>0.2122</v>
      </c>
      <c r="K329" s="44">
        <f>ORÇAMENTO!I935</f>
        <v>11.29</v>
      </c>
      <c r="L329" s="638">
        <f>ORÇAMENTO!J935</f>
        <v>99.86</v>
      </c>
      <c r="M329" s="23">
        <f>ORÇAMENTO!K935</f>
        <v>3.5303503015187312E-6</v>
      </c>
      <c r="N329" s="23" t="str">
        <f t="shared" si="21"/>
        <v>OK!</v>
      </c>
      <c r="O329" s="23" t="str">
        <f t="shared" si="22"/>
        <v>OK!</v>
      </c>
      <c r="P329" s="23" t="str">
        <f t="shared" si="23"/>
        <v>OK!</v>
      </c>
    </row>
    <row r="330" spans="2:16" ht="58" x14ac:dyDescent="0.35">
      <c r="B330" s="43">
        <f t="shared" si="20"/>
        <v>53</v>
      </c>
      <c r="C330" s="44" t="str">
        <f>ORÇAMENTO!A138</f>
        <v>4.1.2.1.3</v>
      </c>
      <c r="D330" s="44" t="str">
        <f>ORÇAMENTO!B138</f>
        <v xml:space="preserve"> 102283 </v>
      </c>
      <c r="E330" s="44" t="str">
        <f>ORÇAMENTO!C138</f>
        <v>SINAPI</v>
      </c>
      <c r="F330" s="480" t="str">
        <f>ORÇAMENTO!D138</f>
        <v>ESCAVAÇÃO MECANIZADA DE VALA COM PROF. ATÉ 1,5 M (MÉDIA MONTANTE E JUSANTE/UMA COMPOSIÇÃO POR TRECHO), ESCAVADEIRA (0,8 M3), LARG. DE 1,5 M A 2,5 M, EM SOLO MOLE, EM LOCAIS COM ALTO NÍVEL DE INTERFERÊNCIA. AF_09/2024</v>
      </c>
      <c r="G330" s="44" t="str">
        <f>ORÇAMENTO!E138</f>
        <v>M³</v>
      </c>
      <c r="H330" s="44">
        <f>ORÇAMENTO!F138</f>
        <v>416.56334663021261</v>
      </c>
      <c r="I330" s="44">
        <f>ORÇAMENTO!G138</f>
        <v>12.18</v>
      </c>
      <c r="J330" s="44">
        <f>ORÇAMENTO!H138</f>
        <v>0.2122</v>
      </c>
      <c r="K330" s="44">
        <f>ORÇAMENTO!I138</f>
        <v>14.76</v>
      </c>
      <c r="L330" s="44">
        <f>ORÇAMENTO!J138</f>
        <v>6148.47</v>
      </c>
      <c r="M330" s="23">
        <f>ORÇAMENTO!K138</f>
        <v>2.1736684276365786E-4</v>
      </c>
      <c r="N330" s="23" t="str">
        <f t="shared" si="21"/>
        <v>DIFERENTE</v>
      </c>
      <c r="O330" s="23" t="str">
        <f t="shared" si="22"/>
        <v>DIFERENTE</v>
      </c>
      <c r="P330" s="23" t="str">
        <f t="shared" si="23"/>
        <v>DIFERENTE</v>
      </c>
    </row>
    <row r="331" spans="2:16" ht="58" x14ac:dyDescent="0.35">
      <c r="B331" s="43">
        <f t="shared" si="20"/>
        <v>53</v>
      </c>
      <c r="C331" s="44" t="str">
        <f>ORÇAMENTO!A211</f>
        <v>4.1.2.6.9</v>
      </c>
      <c r="D331" s="44" t="str">
        <f>ORÇAMENTO!B211</f>
        <v xml:space="preserve"> 102283 </v>
      </c>
      <c r="E331" s="44" t="str">
        <f>ORÇAMENTO!C211</f>
        <v>SINAPI</v>
      </c>
      <c r="F331" s="480" t="str">
        <f>ORÇAMENTO!D211</f>
        <v>ESCAVAÇÃO MECANIZADA DE VALA COM PROF. ATÉ 1,5 M (MÉDIA MONTANTE E JUSANTE/UMA COMPOSIÇÃO POR TRECHO), ESCAVADEIRA (0,8 M3), LARG. DE 1,5 M A 2,5 M, EM SOLO MOLE, EM LOCAIS COM ALTO NÍVEL DE INTERFERÊNCIA. AF_09/2024</v>
      </c>
      <c r="G331" s="44" t="str">
        <f>ORÇAMENTO!E211</f>
        <v>M³</v>
      </c>
      <c r="H331" s="44">
        <f>ORÇAMENTO!F211</f>
        <v>97.28</v>
      </c>
      <c r="I331" s="44">
        <f>ORÇAMENTO!G211</f>
        <v>12.18</v>
      </c>
      <c r="J331" s="44">
        <f>ORÇAMENTO!H211</f>
        <v>0.2122</v>
      </c>
      <c r="K331" s="44">
        <f>ORÇAMENTO!I211</f>
        <v>14.76</v>
      </c>
      <c r="L331" s="44">
        <f>ORÇAMENTO!J211</f>
        <v>1435.85</v>
      </c>
      <c r="M331" s="23">
        <f>ORÇAMENTO!K211</f>
        <v>5.0761601045820852E-5</v>
      </c>
      <c r="N331" s="23" t="str">
        <f t="shared" si="21"/>
        <v>OK!</v>
      </c>
      <c r="O331" s="23" t="str">
        <f t="shared" si="22"/>
        <v>OK!</v>
      </c>
      <c r="P331" s="23" t="str">
        <f t="shared" si="23"/>
        <v>OK!</v>
      </c>
    </row>
    <row r="332" spans="2:16" ht="58" x14ac:dyDescent="0.35">
      <c r="B332" s="43">
        <f t="shared" si="20"/>
        <v>53</v>
      </c>
      <c r="C332" s="44" t="str">
        <f>ORÇAMENTO!A378</f>
        <v>5.1.2.1.1</v>
      </c>
      <c r="D332" s="44" t="str">
        <f>ORÇAMENTO!B378</f>
        <v xml:space="preserve"> 102283 </v>
      </c>
      <c r="E332" s="44" t="str">
        <f>ORÇAMENTO!C378</f>
        <v>SINAPI</v>
      </c>
      <c r="F332" s="480" t="str">
        <f>ORÇAMENTO!D378</f>
        <v>ESCAVAÇÃO MECANIZADA DE VALA COM PROF. ATÉ 1,5 M (MÉDIA MONTANTE E JUSANTE/UMA COMPOSIÇÃO POR TRECHO), ESCAVADEIRA (0,8 M3), LARG. DE 1,5 M A 2,5 M, EM SOLO MOLE, EM LOCAIS COM ALTO NÍVEL DE INTERFERÊNCIA. AF_09/2024</v>
      </c>
      <c r="G332" s="44" t="str">
        <f>ORÇAMENTO!E378</f>
        <v>M³</v>
      </c>
      <c r="H332" s="44">
        <f>ORÇAMENTO!F378</f>
        <v>617.79899999999998</v>
      </c>
      <c r="I332" s="44">
        <f>ORÇAMENTO!G378</f>
        <v>12.18</v>
      </c>
      <c r="J332" s="44">
        <f>ORÇAMENTO!H378</f>
        <v>0.2122</v>
      </c>
      <c r="K332" s="44">
        <f>ORÇAMENTO!I378</f>
        <v>14.76</v>
      </c>
      <c r="L332" s="44">
        <f>ORÇAMENTO!J378</f>
        <v>9118.7099999999991</v>
      </c>
      <c r="M332" s="23">
        <f>ORÇAMENTO!K378</f>
        <v>3.2237372920049939E-4</v>
      </c>
      <c r="N332" s="23" t="str">
        <f t="shared" si="21"/>
        <v>OK!</v>
      </c>
      <c r="O332" s="23" t="str">
        <f t="shared" si="22"/>
        <v>OK!</v>
      </c>
      <c r="P332" s="23" t="str">
        <f t="shared" si="23"/>
        <v>OK!</v>
      </c>
    </row>
    <row r="333" spans="2:16" ht="58" x14ac:dyDescent="0.35">
      <c r="B333" s="43">
        <f t="shared" si="20"/>
        <v>53</v>
      </c>
      <c r="C333" s="44" t="str">
        <f>ORÇAMENTO!A454</f>
        <v>5.1.2.6.10</v>
      </c>
      <c r="D333" s="44" t="str">
        <f>ORÇAMENTO!B454</f>
        <v xml:space="preserve"> 102283 </v>
      </c>
      <c r="E333" s="44" t="str">
        <f>ORÇAMENTO!C454</f>
        <v>SINAPI</v>
      </c>
      <c r="F333" s="480" t="str">
        <f>ORÇAMENTO!D454</f>
        <v>ESCAVAÇÃO MECANIZADA DE VALA COM PROF. ATÉ 1,5 M (MÉDIA MONTANTE E JUSANTE/UMA COMPOSIÇÃO POR TRECHO), ESCAVADEIRA (0,8 M3), LARG. DE 1,5 M A 2,5 M, EM SOLO MOLE, EM LOCAIS COM ALTO NÍVEL DE INTERFERÊNCIA. AF_09/2024</v>
      </c>
      <c r="G333" s="44" t="str">
        <f>ORÇAMENTO!E454</f>
        <v>M³</v>
      </c>
      <c r="H333" s="44">
        <f>ORÇAMENTO!F454</f>
        <v>62.26</v>
      </c>
      <c r="I333" s="44">
        <f>ORÇAMENTO!G454</f>
        <v>12.18</v>
      </c>
      <c r="J333" s="44">
        <f>ORÇAMENTO!H454</f>
        <v>0.2122</v>
      </c>
      <c r="K333" s="44">
        <f>ORÇAMENTO!I454</f>
        <v>14.76</v>
      </c>
      <c r="L333" s="44">
        <f>ORÇAMENTO!J454</f>
        <v>918.95</v>
      </c>
      <c r="M333" s="23">
        <f>ORÇAMENTO!K454</f>
        <v>3.2487636787308616E-5</v>
      </c>
      <c r="N333" s="23" t="str">
        <f t="shared" si="21"/>
        <v>OK!</v>
      </c>
      <c r="O333" s="23" t="str">
        <f t="shared" si="22"/>
        <v>OK!</v>
      </c>
      <c r="P333" s="23" t="str">
        <f t="shared" si="23"/>
        <v>OK!</v>
      </c>
    </row>
    <row r="334" spans="2:16" ht="58" x14ac:dyDescent="0.35">
      <c r="B334" s="43">
        <f t="shared" si="20"/>
        <v>53</v>
      </c>
      <c r="C334" s="44" t="str">
        <f>ORÇAMENTO!A786</f>
        <v>7.1.2.1.2</v>
      </c>
      <c r="D334" s="44" t="str">
        <f>ORÇAMENTO!B786</f>
        <v xml:space="preserve"> 102283 </v>
      </c>
      <c r="E334" s="44" t="str">
        <f>ORÇAMENTO!C786</f>
        <v>SINAPI</v>
      </c>
      <c r="F334" s="480" t="str">
        <f>ORÇAMENTO!D786</f>
        <v>ESCAVAÇÃO MECANIZADA DE VALA COM PROF. ATÉ 1,5 M (MÉDIA MONTANTE E JUSANTE/UMA COMPOSIÇÃO POR TRECHO), ESCAVADEIRA (0,8 M3), LARG. DE 1,5 M A 2,5 M, EM SOLO MOLE, EM LOCAIS COM ALTO NÍVEL DE INTERFERÊNCIA. AF_09/2024</v>
      </c>
      <c r="G334" s="44" t="str">
        <f>ORÇAMENTO!E786</f>
        <v>M³</v>
      </c>
      <c r="H334" s="44">
        <f>ORÇAMENTO!F786</f>
        <v>42.042000000000002</v>
      </c>
      <c r="I334" s="44">
        <f>ORÇAMENTO!G786</f>
        <v>12.18</v>
      </c>
      <c r="J334" s="44">
        <f>ORÇAMENTO!H786</f>
        <v>0.2122</v>
      </c>
      <c r="K334" s="44">
        <f>ORÇAMENTO!I786</f>
        <v>14.76</v>
      </c>
      <c r="L334" s="44">
        <f>ORÇAMENTO!J786</f>
        <v>620.53</v>
      </c>
      <c r="M334" s="23">
        <f>ORÇAMENTO!K786</f>
        <v>2.1937595359517508E-5</v>
      </c>
      <c r="N334" s="23" t="str">
        <f t="shared" si="21"/>
        <v>OK!</v>
      </c>
      <c r="O334" s="23" t="str">
        <f t="shared" si="22"/>
        <v>OK!</v>
      </c>
      <c r="P334" s="23" t="str">
        <f t="shared" si="23"/>
        <v>OK!</v>
      </c>
    </row>
    <row r="335" spans="2:16" ht="58" x14ac:dyDescent="0.35">
      <c r="B335" s="43">
        <f t="shared" si="20"/>
        <v>53</v>
      </c>
      <c r="C335" s="44" t="str">
        <f>ORÇAMENTO!A863</f>
        <v>7.1.2.6.10</v>
      </c>
      <c r="D335" s="44" t="str">
        <f>ORÇAMENTO!B863</f>
        <v xml:space="preserve"> 102283 </v>
      </c>
      <c r="E335" s="44" t="str">
        <f>ORÇAMENTO!C863</f>
        <v>SINAPI</v>
      </c>
      <c r="F335" s="480" t="str">
        <f>ORÇAMENTO!D863</f>
        <v>ESCAVAÇÃO MECANIZADA DE VALA COM PROF. ATÉ 1,5 M (MÉDIA MONTANTE E JUSANTE/UMA COMPOSIÇÃO POR TRECHO), ESCAVADEIRA (0,8 M3), LARG. DE 1,5 M A 2,5 M, EM SOLO MOLE, EM LOCAIS COM ALTO NÍVEL DE INTERFERÊNCIA. AF_09/2024</v>
      </c>
      <c r="G335" s="44" t="str">
        <f>ORÇAMENTO!E863</f>
        <v>M³</v>
      </c>
      <c r="H335" s="44">
        <f>ORÇAMENTO!F863</f>
        <v>174.63</v>
      </c>
      <c r="I335" s="44">
        <f>ORÇAMENTO!G863</f>
        <v>12.18</v>
      </c>
      <c r="J335" s="44">
        <f>ORÇAMENTO!H863</f>
        <v>0.2122</v>
      </c>
      <c r="K335" s="44">
        <f>ORÇAMENTO!I863</f>
        <v>14.76</v>
      </c>
      <c r="L335" s="44">
        <f>ORÇAMENTO!J863</f>
        <v>2577.5300000000002</v>
      </c>
      <c r="M335" s="23">
        <f>ORÇAMENTO!K863</f>
        <v>9.1123410901998558E-5</v>
      </c>
      <c r="N335" s="23" t="str">
        <f t="shared" si="21"/>
        <v>OK!</v>
      </c>
      <c r="O335" s="23" t="str">
        <f t="shared" si="22"/>
        <v>OK!</v>
      </c>
      <c r="P335" s="23" t="str">
        <f t="shared" si="23"/>
        <v>OK!</v>
      </c>
    </row>
    <row r="336" spans="2:16" ht="58" x14ac:dyDescent="0.35">
      <c r="B336" s="43">
        <f t="shared" si="20"/>
        <v>54</v>
      </c>
      <c r="C336" s="44" t="str">
        <f>ORÇAMENTO!A142</f>
        <v>4.1.2.1.7</v>
      </c>
      <c r="D336" s="44" t="str">
        <f>ORÇAMENTO!B142</f>
        <v xml:space="preserve"> 102276 </v>
      </c>
      <c r="E336" s="44" t="str">
        <f>ORÇAMENTO!C142</f>
        <v>SINAPI</v>
      </c>
      <c r="F336" s="480" t="str">
        <f>ORÇAMENTO!D142</f>
        <v>ESCAVAÇÃO MECANIZADA DE VALA COM PROF. ATÉ 1,5 M (MÉDIA MONTANTE E JUSANTE/UMA COMPOSIÇÃO POR TRECHO), ESCAVADEIRA (0,8 M3), LARG. MENOR QUE 1,5 M, EM SOLO DE 1A CATEGORIA, EM LOCAIS COM ALTO NÍVEL DE INTERFERÊNCIA. AF_09/2024</v>
      </c>
      <c r="G336" s="44" t="str">
        <f>ORÇAMENTO!E142</f>
        <v>M³</v>
      </c>
      <c r="H336" s="44">
        <f>ORÇAMENTO!F142</f>
        <v>341.15000450026776</v>
      </c>
      <c r="I336" s="44">
        <f>ORÇAMENTO!G142</f>
        <v>10.49</v>
      </c>
      <c r="J336" s="44">
        <f>ORÇAMENTO!H142</f>
        <v>0.2122</v>
      </c>
      <c r="K336" s="44">
        <f>ORÇAMENTO!I142</f>
        <v>12.72</v>
      </c>
      <c r="L336" s="44">
        <f>ORÇAMENTO!J142</f>
        <v>4339.42</v>
      </c>
      <c r="M336" s="23">
        <f>ORÇAMENTO!K142</f>
        <v>1.5341150315858617E-4</v>
      </c>
      <c r="N336" s="23" t="str">
        <f t="shared" si="21"/>
        <v>DIFERENTE</v>
      </c>
      <c r="O336" s="23" t="str">
        <f t="shared" si="22"/>
        <v>DIFERENTE</v>
      </c>
      <c r="P336" s="23" t="str">
        <f t="shared" si="23"/>
        <v>DIFERENTE</v>
      </c>
    </row>
    <row r="337" spans="2:16" ht="58" x14ac:dyDescent="0.35">
      <c r="B337" s="43">
        <f t="shared" si="20"/>
        <v>54</v>
      </c>
      <c r="C337" s="44" t="str">
        <f>ORÇAMENTO!A213</f>
        <v>4.1.2.6.11</v>
      </c>
      <c r="D337" s="44" t="str">
        <f>ORÇAMENTO!B213</f>
        <v xml:space="preserve"> 102276 </v>
      </c>
      <c r="E337" s="44" t="str">
        <f>ORÇAMENTO!C213</f>
        <v>SINAPI</v>
      </c>
      <c r="F337" s="480" t="str">
        <f>ORÇAMENTO!D213</f>
        <v>ESCAVAÇÃO MECANIZADA DE VALA COM PROF. ATÉ 1,5 M (MÉDIA MONTANTE E JUSANTE/UMA COMPOSIÇÃO POR TRECHO), ESCAVADEIRA (0,8 M3), LARG. MENOR QUE 1,5 M, EM SOLO DE 1A CATEGORIA, EM LOCAIS COM ALTO NÍVEL DE INTERFERÊNCIA. AF_09/2024</v>
      </c>
      <c r="G337" s="44" t="str">
        <f>ORÇAMENTO!E213</f>
        <v>M³</v>
      </c>
      <c r="H337" s="44">
        <f>ORÇAMENTO!F213</f>
        <v>260.39999999999998</v>
      </c>
      <c r="I337" s="44">
        <f>ORÇAMENTO!G213</f>
        <v>10.49</v>
      </c>
      <c r="J337" s="44">
        <f>ORÇAMENTO!H213</f>
        <v>0.2122</v>
      </c>
      <c r="K337" s="44">
        <f>ORÇAMENTO!I213</f>
        <v>12.72</v>
      </c>
      <c r="L337" s="44">
        <f>ORÇAMENTO!J213</f>
        <v>3312.28</v>
      </c>
      <c r="M337" s="23">
        <f>ORÇAMENTO!K213</f>
        <v>1.1709902560298883E-4</v>
      </c>
      <c r="N337" s="23" t="str">
        <f t="shared" si="21"/>
        <v>OK!</v>
      </c>
      <c r="O337" s="23" t="str">
        <f t="shared" si="22"/>
        <v>OK!</v>
      </c>
      <c r="P337" s="23" t="str">
        <f t="shared" si="23"/>
        <v>OK!</v>
      </c>
    </row>
    <row r="338" spans="2:16" ht="58" x14ac:dyDescent="0.35">
      <c r="B338" s="43">
        <f t="shared" si="20"/>
        <v>54</v>
      </c>
      <c r="C338" s="44" t="str">
        <f>ORÇAMENTO!A382</f>
        <v>5.1.2.1.5</v>
      </c>
      <c r="D338" s="44" t="str">
        <f>ORÇAMENTO!B382</f>
        <v xml:space="preserve"> 102276 </v>
      </c>
      <c r="E338" s="44" t="str">
        <f>ORÇAMENTO!C382</f>
        <v>SINAPI</v>
      </c>
      <c r="F338" s="480" t="str">
        <f>ORÇAMENTO!D382</f>
        <v>ESCAVAÇÃO MECANIZADA DE VALA COM PROF. ATÉ 1,5 M (MÉDIA MONTANTE E JUSANTE/UMA COMPOSIÇÃO POR TRECHO), ESCAVADEIRA (0,8 M3), LARG. MENOR QUE 1,5 M, EM SOLO DE 1A CATEGORIA, EM LOCAIS COM ALTO NÍVEL DE INTERFERÊNCIA. AF_09/2024</v>
      </c>
      <c r="G338" s="44" t="str">
        <f>ORÇAMENTO!E382</f>
        <v>M³</v>
      </c>
      <c r="H338" s="44">
        <f>ORÇAMENTO!F382</f>
        <v>1091.9789999999998</v>
      </c>
      <c r="I338" s="44">
        <f>ORÇAMENTO!G382</f>
        <v>10.49</v>
      </c>
      <c r="J338" s="44">
        <f>ORÇAMENTO!H382</f>
        <v>0.2122</v>
      </c>
      <c r="K338" s="44">
        <f>ORÇAMENTO!I382</f>
        <v>12.72</v>
      </c>
      <c r="L338" s="44">
        <f>ORÇAMENTO!J382</f>
        <v>13889.97</v>
      </c>
      <c r="M338" s="23">
        <f>ORÇAMENTO!K382</f>
        <v>4.9105207067480603E-4</v>
      </c>
      <c r="N338" s="23" t="str">
        <f t="shared" si="21"/>
        <v>OK!</v>
      </c>
      <c r="O338" s="23" t="str">
        <f t="shared" si="22"/>
        <v>OK!</v>
      </c>
      <c r="P338" s="23" t="str">
        <f t="shared" si="23"/>
        <v>OK!</v>
      </c>
    </row>
    <row r="339" spans="2:16" ht="58" x14ac:dyDescent="0.35">
      <c r="B339" s="43">
        <f t="shared" si="20"/>
        <v>54</v>
      </c>
      <c r="C339" s="44" t="str">
        <f>ORÇAMENTO!A456</f>
        <v>5.1.2.6.12</v>
      </c>
      <c r="D339" s="44" t="str">
        <f>ORÇAMENTO!B456</f>
        <v xml:space="preserve"> 102276 </v>
      </c>
      <c r="E339" s="44" t="str">
        <f>ORÇAMENTO!C456</f>
        <v>SINAPI</v>
      </c>
      <c r="F339" s="480" t="str">
        <f>ORÇAMENTO!D456</f>
        <v>ESCAVAÇÃO MECANIZADA DE VALA COM PROF. ATÉ 1,5 M (MÉDIA MONTANTE E JUSANTE/UMA COMPOSIÇÃO POR TRECHO), ESCAVADEIRA (0,8 M3), LARG. MENOR QUE 1,5 M, EM SOLO DE 1A CATEGORIA, EM LOCAIS COM ALTO NÍVEL DE INTERFERÊNCIA. AF_09/2024</v>
      </c>
      <c r="G339" s="44" t="str">
        <f>ORÇAMENTO!E456</f>
        <v>M³</v>
      </c>
      <c r="H339" s="44">
        <f>ORÇAMENTO!F456</f>
        <v>184.7</v>
      </c>
      <c r="I339" s="44">
        <f>ORÇAMENTO!G456</f>
        <v>10.49</v>
      </c>
      <c r="J339" s="44">
        <f>ORÇAMENTO!H456</f>
        <v>0.2122</v>
      </c>
      <c r="K339" s="44">
        <f>ORÇAMENTO!I456</f>
        <v>12.72</v>
      </c>
      <c r="L339" s="44">
        <f>ORÇAMENTO!J456</f>
        <v>2349.38</v>
      </c>
      <c r="M339" s="23">
        <f>ORÇAMENTO!K456</f>
        <v>8.3057624588244312E-5</v>
      </c>
      <c r="N339" s="23" t="str">
        <f t="shared" si="21"/>
        <v>OK!</v>
      </c>
      <c r="O339" s="23" t="str">
        <f t="shared" si="22"/>
        <v>OK!</v>
      </c>
      <c r="P339" s="23" t="str">
        <f t="shared" si="23"/>
        <v>OK!</v>
      </c>
    </row>
    <row r="340" spans="2:16" ht="58" x14ac:dyDescent="0.35">
      <c r="B340" s="43">
        <f t="shared" si="20"/>
        <v>54</v>
      </c>
      <c r="C340" s="44" t="str">
        <f>ORÇAMENTO!A596</f>
        <v>6.1.2.1.2</v>
      </c>
      <c r="D340" s="44" t="str">
        <f>ORÇAMENTO!B596</f>
        <v xml:space="preserve"> 102276 </v>
      </c>
      <c r="E340" s="44" t="str">
        <f>ORÇAMENTO!C596</f>
        <v>SINAPI</v>
      </c>
      <c r="F340" s="480" t="str">
        <f>ORÇAMENTO!D596</f>
        <v>ESCAVAÇÃO MECANIZADA DE VALA COM PROF. ATÉ 1,5 M (MÉDIA MONTANTE E JUSANTE/UMA COMPOSIÇÃO POR TRECHO), ESCAVADEIRA (0,8 M3), LARG. MENOR QUE 1,5 M, EM SOLO DE 1A CATEGORIA, EM LOCAIS COM ALTO NÍVEL DE INTERFERÊNCIA. AF_09/2024</v>
      </c>
      <c r="G340" s="44" t="str">
        <f>ORÇAMENTO!E596</f>
        <v>M³</v>
      </c>
      <c r="H340" s="44">
        <f>ORÇAMENTO!F596</f>
        <v>1058.3999999985729</v>
      </c>
      <c r="I340" s="44">
        <f>ORÇAMENTO!G596</f>
        <v>10.49</v>
      </c>
      <c r="J340" s="44">
        <f>ORÇAMENTO!H596</f>
        <v>0.2122</v>
      </c>
      <c r="K340" s="44">
        <f>ORÇAMENTO!I596</f>
        <v>12.72</v>
      </c>
      <c r="L340" s="44">
        <f>ORÇAMENTO!J596</f>
        <v>13462.84</v>
      </c>
      <c r="M340" s="23">
        <f>ORÇAMENTO!K596</f>
        <v>4.7595174497595068E-4</v>
      </c>
      <c r="N340" s="23" t="str">
        <f t="shared" si="21"/>
        <v>OK!</v>
      </c>
      <c r="O340" s="23" t="str">
        <f t="shared" si="22"/>
        <v>OK!</v>
      </c>
      <c r="P340" s="23" t="str">
        <f t="shared" si="23"/>
        <v>OK!</v>
      </c>
    </row>
    <row r="341" spans="2:16" ht="58" x14ac:dyDescent="0.35">
      <c r="B341" s="43">
        <f t="shared" si="20"/>
        <v>54</v>
      </c>
      <c r="C341" s="44" t="str">
        <f>ORÇAMENTO!A651</f>
        <v>6.1.2.6.4</v>
      </c>
      <c r="D341" s="44" t="str">
        <f>ORÇAMENTO!B651</f>
        <v xml:space="preserve"> 102276 </v>
      </c>
      <c r="E341" s="44" t="str">
        <f>ORÇAMENTO!C651</f>
        <v>SINAPI</v>
      </c>
      <c r="F341" s="480" t="str">
        <f>ORÇAMENTO!D651</f>
        <v>ESCAVAÇÃO MECANIZADA DE VALA COM PROF. ATÉ 1,5 M (MÉDIA MONTANTE E JUSANTE/UMA COMPOSIÇÃO POR TRECHO), ESCAVADEIRA (0,8 M3), LARG. MENOR QUE 1,5 M, EM SOLO DE 1A CATEGORIA, EM LOCAIS COM ALTO NÍVEL DE INTERFERÊNCIA. AF_09/2024</v>
      </c>
      <c r="G341" s="44" t="str">
        <f>ORÇAMENTO!E651</f>
        <v>M³</v>
      </c>
      <c r="H341" s="44">
        <f>ORÇAMENTO!F651</f>
        <v>281.58999999999997</v>
      </c>
      <c r="I341" s="44">
        <f>ORÇAMENTO!G651</f>
        <v>10.49</v>
      </c>
      <c r="J341" s="44">
        <f>ORÇAMENTO!H651</f>
        <v>0.2122</v>
      </c>
      <c r="K341" s="44">
        <f>ORÇAMENTO!I651</f>
        <v>12.72</v>
      </c>
      <c r="L341" s="44">
        <f>ORÇAMENTO!J651</f>
        <v>3581.82</v>
      </c>
      <c r="M341" s="23">
        <f>ORÇAMENTO!K651</f>
        <v>1.2662807247131808E-4</v>
      </c>
      <c r="N341" s="23" t="str">
        <f t="shared" si="21"/>
        <v>OK!</v>
      </c>
      <c r="O341" s="23" t="str">
        <f t="shared" si="22"/>
        <v>OK!</v>
      </c>
      <c r="P341" s="23" t="str">
        <f t="shared" si="23"/>
        <v>OK!</v>
      </c>
    </row>
    <row r="342" spans="2:16" ht="58" x14ac:dyDescent="0.35">
      <c r="B342" s="43">
        <f t="shared" si="20"/>
        <v>54</v>
      </c>
      <c r="C342" s="44" t="str">
        <f>ORÇAMENTO!A789</f>
        <v>7.1.2.1.5</v>
      </c>
      <c r="D342" s="44" t="str">
        <f>ORÇAMENTO!B789</f>
        <v xml:space="preserve"> 102276 </v>
      </c>
      <c r="E342" s="44" t="str">
        <f>ORÇAMENTO!C789</f>
        <v>SINAPI</v>
      </c>
      <c r="F342" s="480" t="str">
        <f>ORÇAMENTO!D789</f>
        <v>ESCAVAÇÃO MECANIZADA DE VALA COM PROF. ATÉ 1,5 M (MÉDIA MONTANTE E JUSANTE/UMA COMPOSIÇÃO POR TRECHO), ESCAVADEIRA (0,8 M3), LARG. MENOR QUE 1,5 M, EM SOLO DE 1A CATEGORIA, EM LOCAIS COM ALTO NÍVEL DE INTERFERÊNCIA. AF_09/2024</v>
      </c>
      <c r="G342" s="44" t="str">
        <f>ORÇAMENTO!E789</f>
        <v>M³</v>
      </c>
      <c r="H342" s="44">
        <f>ORÇAMENTO!F789</f>
        <v>291.73199999999997</v>
      </c>
      <c r="I342" s="44">
        <f>ORÇAMENTO!G789</f>
        <v>10.49</v>
      </c>
      <c r="J342" s="44">
        <f>ORÇAMENTO!H789</f>
        <v>0.2122</v>
      </c>
      <c r="K342" s="44">
        <f>ORÇAMENTO!I789</f>
        <v>12.72</v>
      </c>
      <c r="L342" s="44">
        <f>ORÇAMENTO!J789</f>
        <v>3710.83</v>
      </c>
      <c r="M342" s="23">
        <f>ORÇAMENTO!K789</f>
        <v>1.3118896264154571E-4</v>
      </c>
      <c r="N342" s="23" t="str">
        <f t="shared" si="21"/>
        <v>OK!</v>
      </c>
      <c r="O342" s="23" t="str">
        <f t="shared" si="22"/>
        <v>OK!</v>
      </c>
      <c r="P342" s="23" t="str">
        <f t="shared" si="23"/>
        <v>OK!</v>
      </c>
    </row>
    <row r="343" spans="2:16" ht="58" x14ac:dyDescent="0.35">
      <c r="B343" s="43">
        <f t="shared" si="20"/>
        <v>54</v>
      </c>
      <c r="C343" s="44" t="str">
        <f>ORÇAMENTO!A865</f>
        <v>7.1.2.6.12</v>
      </c>
      <c r="D343" s="44" t="str">
        <f>ORÇAMENTO!B865</f>
        <v xml:space="preserve"> 102276 </v>
      </c>
      <c r="E343" s="44" t="str">
        <f>ORÇAMENTO!C865</f>
        <v>SINAPI</v>
      </c>
      <c r="F343" s="480" t="str">
        <f>ORÇAMENTO!D865</f>
        <v>ESCAVAÇÃO MECANIZADA DE VALA COM PROF. ATÉ 1,5 M (MÉDIA MONTANTE E JUSANTE/UMA COMPOSIÇÃO POR TRECHO), ESCAVADEIRA (0,8 M3), LARG. MENOR QUE 1,5 M, EM SOLO DE 1A CATEGORIA, EM LOCAIS COM ALTO NÍVEL DE INTERFERÊNCIA. AF_09/2024</v>
      </c>
      <c r="G343" s="44" t="str">
        <f>ORÇAMENTO!E865</f>
        <v>M³</v>
      </c>
      <c r="H343" s="44">
        <f>ORÇAMENTO!F865</f>
        <v>235.58</v>
      </c>
      <c r="I343" s="44">
        <f>ORÇAMENTO!G865</f>
        <v>10.49</v>
      </c>
      <c r="J343" s="44">
        <f>ORÇAMENTO!H865</f>
        <v>0.2122</v>
      </c>
      <c r="K343" s="44">
        <f>ORÇAMENTO!I865</f>
        <v>12.72</v>
      </c>
      <c r="L343" s="44">
        <f>ORÇAMENTO!J865</f>
        <v>2996.57</v>
      </c>
      <c r="M343" s="23">
        <f>ORÇAMENTO!K865</f>
        <v>1.0593773085341464E-4</v>
      </c>
      <c r="N343" s="23" t="str">
        <f t="shared" si="21"/>
        <v>OK!</v>
      </c>
      <c r="O343" s="23" t="str">
        <f t="shared" si="22"/>
        <v>OK!</v>
      </c>
      <c r="P343" s="23" t="str">
        <f t="shared" si="23"/>
        <v>OK!</v>
      </c>
    </row>
    <row r="344" spans="2:16" ht="58" x14ac:dyDescent="0.35">
      <c r="B344" s="43">
        <f t="shared" si="20"/>
        <v>55</v>
      </c>
      <c r="C344" s="44" t="str">
        <f>ORÇAMENTO!A208</f>
        <v>4.1.2.6.6</v>
      </c>
      <c r="D344" s="44" t="str">
        <f>ORÇAMENTO!B208</f>
        <v xml:space="preserve"> 102282 </v>
      </c>
      <c r="E344" s="44" t="str">
        <f>ORÇAMENTO!C208</f>
        <v>SINAPI</v>
      </c>
      <c r="F344" s="480" t="str">
        <f>ORÇAMENTO!D208</f>
        <v>ESCAVAÇÃO MECANIZADA DE VALA COM PROF. ATÉ 1,5 M (MÉDIA MONTANTE E JUSANTE/UMA COMPOSIÇÃO POR TRECHO), ESCAVADEIRA (0,8 M3),LARG. MENOR QUE 1,5 M, EM SOLO DE MOLE, EM LOCAIS COM ALTO NÍVEL DE INTERFERÊNCIA. AF_09/2024</v>
      </c>
      <c r="G344" s="44" t="str">
        <f>ORÇAMENTO!E208</f>
        <v>M³</v>
      </c>
      <c r="H344" s="44">
        <f>ORÇAMENTO!F208</f>
        <v>91.31</v>
      </c>
      <c r="I344" s="44">
        <f>ORÇAMENTO!G208</f>
        <v>13.71</v>
      </c>
      <c r="J344" s="44">
        <f>ORÇAMENTO!H208</f>
        <v>0.2122</v>
      </c>
      <c r="K344" s="44">
        <f>ORÇAMENTO!I208</f>
        <v>16.62</v>
      </c>
      <c r="L344" s="44">
        <f>ORÇAMENTO!J208</f>
        <v>1517.57</v>
      </c>
      <c r="M344" s="23">
        <f>ORÇAMENTO!K208</f>
        <v>5.3650647977926906E-5</v>
      </c>
      <c r="N344" s="23" t="str">
        <f t="shared" si="21"/>
        <v>DIFERENTE</v>
      </c>
      <c r="O344" s="23" t="str">
        <f t="shared" si="22"/>
        <v>DIFERENTE</v>
      </c>
      <c r="P344" s="23" t="str">
        <f t="shared" si="23"/>
        <v>DIFERENTE</v>
      </c>
    </row>
    <row r="345" spans="2:16" ht="58" x14ac:dyDescent="0.35">
      <c r="B345" s="43">
        <f t="shared" si="20"/>
        <v>55</v>
      </c>
      <c r="C345" s="44" t="str">
        <f>ORÇAMENTO!A451</f>
        <v>5.1.2.6.7</v>
      </c>
      <c r="D345" s="44" t="str">
        <f>ORÇAMENTO!B451</f>
        <v xml:space="preserve"> 102282 </v>
      </c>
      <c r="E345" s="44" t="str">
        <f>ORÇAMENTO!C451</f>
        <v>SINAPI</v>
      </c>
      <c r="F345" s="480" t="str">
        <f>ORÇAMENTO!D451</f>
        <v>ESCAVAÇÃO MECANIZADA DE VALA COM PROF. ATÉ 1,5 M (MÉDIA MONTANTE E JUSANTE/UMA COMPOSIÇÃO POR TRECHO), ESCAVADEIRA (0,8 M3),LARG. MENOR QUE 1,5 M, EM SOLO DE MOLE, EM LOCAIS COM ALTO NÍVEL DE INTERFERÊNCIA. AF_09/2024</v>
      </c>
      <c r="G345" s="44" t="str">
        <f>ORÇAMENTO!E451</f>
        <v>M³</v>
      </c>
      <c r="H345" s="44">
        <f>ORÇAMENTO!F451</f>
        <v>40.44</v>
      </c>
      <c r="I345" s="44">
        <f>ORÇAMENTO!G451</f>
        <v>13.71</v>
      </c>
      <c r="J345" s="44">
        <f>ORÇAMENTO!H451</f>
        <v>0.2122</v>
      </c>
      <c r="K345" s="44">
        <f>ORÇAMENTO!I451</f>
        <v>16.62</v>
      </c>
      <c r="L345" s="44">
        <f>ORÇAMENTO!J451</f>
        <v>672.11</v>
      </c>
      <c r="M345" s="23">
        <f>ORÇAMENTO!K451</f>
        <v>2.3761102955675491E-5</v>
      </c>
      <c r="N345" s="23" t="str">
        <f t="shared" si="21"/>
        <v>OK!</v>
      </c>
      <c r="O345" s="23" t="str">
        <f t="shared" si="22"/>
        <v>OK!</v>
      </c>
      <c r="P345" s="23" t="str">
        <f t="shared" si="23"/>
        <v>OK!</v>
      </c>
    </row>
    <row r="346" spans="2:16" ht="58" x14ac:dyDescent="0.35">
      <c r="B346" s="43">
        <f t="shared" si="20"/>
        <v>55</v>
      </c>
      <c r="C346" s="44" t="str">
        <f>ORÇAMENTO!A860</f>
        <v>7.1.2.6.7</v>
      </c>
      <c r="D346" s="44" t="str">
        <f>ORÇAMENTO!B860</f>
        <v xml:space="preserve"> 102282 </v>
      </c>
      <c r="E346" s="44" t="str">
        <f>ORÇAMENTO!C860</f>
        <v>SINAPI</v>
      </c>
      <c r="F346" s="480" t="str">
        <f>ORÇAMENTO!D860</f>
        <v>ESCAVAÇÃO MECANIZADA DE VALA COM PROF. ATÉ 1,5 M (MÉDIA MONTANTE E JUSANTE/UMA COMPOSIÇÃO POR TRECHO), ESCAVADEIRA (0,8 M3),LARG. MENOR QUE 1,5 M, EM SOLO DE MOLE, EM LOCAIS COM ALTO NÍVEL DE INTERFERÊNCIA. AF_09/2024</v>
      </c>
      <c r="G346" s="44" t="str">
        <f>ORÇAMENTO!E860</f>
        <v>M³</v>
      </c>
      <c r="H346" s="44">
        <f>ORÇAMENTO!F860</f>
        <v>179.18</v>
      </c>
      <c r="I346" s="44">
        <f>ORÇAMENTO!G860</f>
        <v>13.71</v>
      </c>
      <c r="J346" s="44">
        <f>ORÇAMENTO!H860</f>
        <v>0.2122</v>
      </c>
      <c r="K346" s="44">
        <f>ORÇAMENTO!I860</f>
        <v>16.62</v>
      </c>
      <c r="L346" s="44">
        <f>ORÇAMENTO!J860</f>
        <v>2977.97</v>
      </c>
      <c r="M346" s="23">
        <f>ORÇAMENTO!K860</f>
        <v>1.0528016510528476E-4</v>
      </c>
      <c r="N346" s="23" t="str">
        <f t="shared" si="21"/>
        <v>OK!</v>
      </c>
      <c r="O346" s="23" t="str">
        <f t="shared" si="22"/>
        <v>OK!</v>
      </c>
      <c r="P346" s="23" t="str">
        <f t="shared" si="23"/>
        <v>OK!</v>
      </c>
    </row>
    <row r="347" spans="2:16" ht="58" x14ac:dyDescent="0.35">
      <c r="B347" s="43">
        <f t="shared" si="20"/>
        <v>56</v>
      </c>
      <c r="C347" s="44" t="str">
        <f>ORÇAMENTO!A140</f>
        <v>4.1.2.1.5</v>
      </c>
      <c r="D347" s="44" t="str">
        <f>ORÇAMENTO!B140</f>
        <v xml:space="preserve"> 102288 </v>
      </c>
      <c r="E347" s="44" t="str">
        <f>ORÇAMENTO!C140</f>
        <v>SINAPI</v>
      </c>
      <c r="F347" s="480" t="str">
        <f>ORÇAMENTO!D140</f>
        <v>ESCAVAÇÃO MECANIZADA DE VALA COM PROF. DE 3,0 M ATÉ 4,5 M (MÉDIA MONTANTE E JUSANTE/UMA COMPOSIÇÃO POR TRECHO), ESCAVADEIRA (1,2 M3), LARG. DE 1,5 M A 2,5 M, EM SOLO MOLE, EM LOCAIS COM ALTO NÍVEL DE INTERFERÊNCIA. AF_09/2024</v>
      </c>
      <c r="G347" s="44" t="str">
        <f>ORÇAMENTO!E140</f>
        <v>M³</v>
      </c>
      <c r="H347" s="44">
        <f>ORÇAMENTO!F140</f>
        <v>287.59993300917779</v>
      </c>
      <c r="I347" s="44">
        <f>ORÇAMENTO!G140</f>
        <v>10.96</v>
      </c>
      <c r="J347" s="44">
        <f>ORÇAMENTO!H140</f>
        <v>0.2122</v>
      </c>
      <c r="K347" s="44">
        <f>ORÇAMENTO!I140</f>
        <v>13.29</v>
      </c>
      <c r="L347" s="44">
        <f>ORÇAMENTO!J140</f>
        <v>3822.2</v>
      </c>
      <c r="M347" s="23">
        <f>ORÇAMENTO!K140</f>
        <v>1.351262259409663E-4</v>
      </c>
      <c r="N347" s="23" t="str">
        <f t="shared" si="21"/>
        <v>DIFERENTE</v>
      </c>
      <c r="O347" s="23" t="str">
        <f t="shared" si="22"/>
        <v>DIFERENTE</v>
      </c>
      <c r="P347" s="23" t="str">
        <f t="shared" si="23"/>
        <v>DIFERENTE</v>
      </c>
    </row>
    <row r="348" spans="2:16" ht="58" x14ac:dyDescent="0.35">
      <c r="B348" s="43">
        <f t="shared" si="20"/>
        <v>56</v>
      </c>
      <c r="C348" s="44" t="str">
        <f>ORÇAMENTO!A380</f>
        <v>5.1.2.1.3</v>
      </c>
      <c r="D348" s="44" t="str">
        <f>ORÇAMENTO!B380</f>
        <v xml:space="preserve"> 102288 </v>
      </c>
      <c r="E348" s="44" t="str">
        <f>ORÇAMENTO!C380</f>
        <v>SINAPI</v>
      </c>
      <c r="F348" s="480" t="str">
        <f>ORÇAMENTO!D380</f>
        <v>ESCAVAÇÃO MECANIZADA DE VALA COM PROF. DE 3,0 M ATÉ 4,5 M (MÉDIA MONTANTE E JUSANTE/UMA COMPOSIÇÃO POR TRECHO), ESCAVADEIRA (1,2 M3), LARG. DE 1,5 M A 2,5 M, EM SOLO MOLE, EM LOCAIS COM ALTO NÍVEL DE INTERFERÊNCIA. AF_09/2024</v>
      </c>
      <c r="G348" s="44" t="str">
        <f>ORÇAMENTO!E380</f>
        <v>M³</v>
      </c>
      <c r="H348" s="44">
        <f>ORÇAMENTO!F380</f>
        <v>465.59627999999998</v>
      </c>
      <c r="I348" s="44">
        <f>ORÇAMENTO!G380</f>
        <v>10.96</v>
      </c>
      <c r="J348" s="44">
        <f>ORÇAMENTO!H380</f>
        <v>0.2122</v>
      </c>
      <c r="K348" s="44">
        <f>ORÇAMENTO!I380</f>
        <v>13.29</v>
      </c>
      <c r="L348" s="44">
        <f>ORÇAMENTO!J380</f>
        <v>6187.77</v>
      </c>
      <c r="M348" s="23">
        <f>ORÇAMENTO!K380</f>
        <v>2.187562155540613E-4</v>
      </c>
      <c r="N348" s="23" t="str">
        <f t="shared" si="21"/>
        <v>OK!</v>
      </c>
      <c r="O348" s="23" t="str">
        <f t="shared" si="22"/>
        <v>OK!</v>
      </c>
      <c r="P348" s="23" t="str">
        <f t="shared" si="23"/>
        <v>OK!</v>
      </c>
    </row>
    <row r="349" spans="2:16" ht="58" x14ac:dyDescent="0.35">
      <c r="B349" s="43">
        <f t="shared" si="20"/>
        <v>56</v>
      </c>
      <c r="C349" s="44" t="str">
        <f>ORÇAMENTO!A788</f>
        <v>7.1.2.1.4</v>
      </c>
      <c r="D349" s="44" t="str">
        <f>ORÇAMENTO!B788</f>
        <v xml:space="preserve"> 102288 </v>
      </c>
      <c r="E349" s="44" t="str">
        <f>ORÇAMENTO!C788</f>
        <v>SINAPI</v>
      </c>
      <c r="F349" s="480" t="str">
        <f>ORÇAMENTO!D788</f>
        <v>ESCAVAÇÃO MECANIZADA DE VALA COM PROF. DE 3,0 M ATÉ 4,5 M (MÉDIA MONTANTE E JUSANTE/UMA COMPOSIÇÃO POR TRECHO), ESCAVADEIRA (1,2 M3), LARG. DE 1,5 M A 2,5 M, EM SOLO MOLE, EM LOCAIS COM ALTO NÍVEL DE INTERFERÊNCIA. AF_09/2024</v>
      </c>
      <c r="G349" s="44" t="str">
        <f>ORÇAMENTO!E788</f>
        <v>M³</v>
      </c>
      <c r="H349" s="44">
        <f>ORÇAMENTO!F788</f>
        <v>230.05680000000001</v>
      </c>
      <c r="I349" s="44">
        <f>ORÇAMENTO!G788</f>
        <v>10.96</v>
      </c>
      <c r="J349" s="44">
        <f>ORÇAMENTO!H788</f>
        <v>0.2122</v>
      </c>
      <c r="K349" s="44">
        <f>ORÇAMENTO!I788</f>
        <v>13.29</v>
      </c>
      <c r="L349" s="44">
        <f>ORÇAMENTO!J788</f>
        <v>3057.45</v>
      </c>
      <c r="M349" s="23">
        <f>ORÇAMENTO!K788</f>
        <v>1.0809002132363753E-4</v>
      </c>
      <c r="N349" s="23" t="str">
        <f t="shared" si="21"/>
        <v>OK!</v>
      </c>
      <c r="O349" s="23" t="str">
        <f t="shared" si="22"/>
        <v>OK!</v>
      </c>
      <c r="P349" s="23" t="str">
        <f t="shared" si="23"/>
        <v>OK!</v>
      </c>
    </row>
    <row r="350" spans="2:16" ht="58" x14ac:dyDescent="0.35">
      <c r="B350" s="43">
        <f t="shared" si="20"/>
        <v>57</v>
      </c>
      <c r="C350" s="44" t="str">
        <f>ORÇAMENTO!A146</f>
        <v>4.1.2.1.11</v>
      </c>
      <c r="D350" s="44" t="str">
        <f>ORÇAMENTO!B146</f>
        <v xml:space="preserve"> 90087 </v>
      </c>
      <c r="E350" s="44" t="str">
        <f>ORÇAMENTO!C146</f>
        <v>SINAPI</v>
      </c>
      <c r="F350" s="480" t="str">
        <f>ORÇAMENTO!D146</f>
        <v>ESCAVAÇÃO MECANIZADA DE VALA COM PROF. DE 3,0 M ATÉ 4,5 M(MÉDIA MONTANTE E JUSANTE/UMA COMPOSIÇÃO POR TRECHO), ESCAVADEIRA (1,2 M3), LARG. DE 1,5 M A 2,5 M, EM SOLO DE 1A CATEGORIA, EM LOCAIS COM ALTO NÍVEL DE INTERFERÊNCIA. AF_09/2024</v>
      </c>
      <c r="G350" s="44" t="str">
        <f>ORÇAMENTO!E146</f>
        <v>M³</v>
      </c>
      <c r="H350" s="44">
        <f>ORÇAMENTO!F146</f>
        <v>49.898110681382072</v>
      </c>
      <c r="I350" s="44">
        <f>ORÇAMENTO!G146</f>
        <v>8.36</v>
      </c>
      <c r="J350" s="44">
        <f>ORÇAMENTO!H146</f>
        <v>0.2122</v>
      </c>
      <c r="K350" s="44">
        <f>ORÇAMENTO!I146</f>
        <v>10.130000000000001</v>
      </c>
      <c r="L350" s="44">
        <f>ORÇAMENTO!J146</f>
        <v>505.46</v>
      </c>
      <c r="M350" s="23">
        <f>ORÇAMENTO!K146</f>
        <v>1.7869525970415159E-5</v>
      </c>
      <c r="N350" s="23" t="str">
        <f t="shared" si="21"/>
        <v>DIFERENTE</v>
      </c>
      <c r="O350" s="23" t="str">
        <f t="shared" si="22"/>
        <v>DIFERENTE</v>
      </c>
      <c r="P350" s="23" t="str">
        <f t="shared" si="23"/>
        <v>DIFERENTE</v>
      </c>
    </row>
    <row r="351" spans="2:16" ht="58" x14ac:dyDescent="0.35">
      <c r="B351" s="43">
        <f t="shared" si="20"/>
        <v>57</v>
      </c>
      <c r="C351" s="44" t="str">
        <f>ORÇAMENTO!A386</f>
        <v>5.1.2.1.9</v>
      </c>
      <c r="D351" s="44" t="str">
        <f>ORÇAMENTO!B386</f>
        <v xml:space="preserve"> 90087 </v>
      </c>
      <c r="E351" s="44" t="str">
        <f>ORÇAMENTO!C386</f>
        <v>SINAPI</v>
      </c>
      <c r="F351" s="480" t="str">
        <f>ORÇAMENTO!D386</f>
        <v>ESCAVAÇÃO MECANIZADA DE VALA COM PROF. DE 3,0 M ATÉ 4,5 M(MÉDIA MONTANTE E JUSANTE/UMA COMPOSIÇÃO POR TRECHO), ESCAVADEIRA (1,2 M3), LARG. DE 1,5 M A 2,5 M, EM SOLO DE 1A CATEGORIA, EM LOCAIS COM ALTO NÍVEL DE INTERFERÊNCIA. AF_09/2024</v>
      </c>
      <c r="G351" s="44" t="str">
        <f>ORÇAMENTO!E386</f>
        <v>M³</v>
      </c>
      <c r="H351" s="44">
        <f>ORÇAMENTO!F386</f>
        <v>515.67360938614024</v>
      </c>
      <c r="I351" s="44">
        <f>ORÇAMENTO!G386</f>
        <v>8.36</v>
      </c>
      <c r="J351" s="44">
        <f>ORÇAMENTO!H386</f>
        <v>0.2122</v>
      </c>
      <c r="K351" s="44">
        <f>ORÇAMENTO!I386</f>
        <v>10.130000000000001</v>
      </c>
      <c r="L351" s="44">
        <f>ORÇAMENTO!J386</f>
        <v>5223.7700000000004</v>
      </c>
      <c r="M351" s="23">
        <f>ORÇAMENTO!K386</f>
        <v>1.8467592624238439E-4</v>
      </c>
      <c r="N351" s="23" t="str">
        <f t="shared" si="21"/>
        <v>OK!</v>
      </c>
      <c r="O351" s="23" t="str">
        <f t="shared" si="22"/>
        <v>OK!</v>
      </c>
      <c r="P351" s="23" t="str">
        <f t="shared" si="23"/>
        <v>OK!</v>
      </c>
    </row>
    <row r="352" spans="2:16" ht="58" x14ac:dyDescent="0.35">
      <c r="B352" s="43">
        <f t="shared" si="20"/>
        <v>57</v>
      </c>
      <c r="C352" s="44" t="str">
        <f>ORÇAMENTO!A793</f>
        <v>7.1.2.1.9</v>
      </c>
      <c r="D352" s="44" t="str">
        <f>ORÇAMENTO!B793</f>
        <v xml:space="preserve"> 90087 </v>
      </c>
      <c r="E352" s="44" t="str">
        <f>ORÇAMENTO!C793</f>
        <v>SINAPI</v>
      </c>
      <c r="F352" s="480" t="str">
        <f>ORÇAMENTO!D793</f>
        <v>ESCAVAÇÃO MECANIZADA DE VALA COM PROF. DE 3,0 M ATÉ 4,5 M(MÉDIA MONTANTE E JUSANTE/UMA COMPOSIÇÃO POR TRECHO), ESCAVADEIRA (1,2 M3), LARG. DE 1,5 M A 2,5 M, EM SOLO DE 1A CATEGORIA, EM LOCAIS COM ALTO NÍVEL DE INTERFERÊNCIA. AF_09/2024</v>
      </c>
      <c r="G352" s="44" t="str">
        <f>ORÇAMENTO!E793</f>
        <v>M³</v>
      </c>
      <c r="H352" s="44">
        <f>ORÇAMENTO!F793</f>
        <v>525.52090244431474</v>
      </c>
      <c r="I352" s="44">
        <f>ORÇAMENTO!G793</f>
        <v>8.36</v>
      </c>
      <c r="J352" s="44">
        <f>ORÇAMENTO!H793</f>
        <v>0.2122</v>
      </c>
      <c r="K352" s="44">
        <f>ORÇAMENTO!I793</f>
        <v>10.130000000000001</v>
      </c>
      <c r="L352" s="44">
        <f>ORÇAMENTO!J793</f>
        <v>5323.52</v>
      </c>
      <c r="M352" s="23">
        <f>ORÇAMENTO!K793</f>
        <v>1.8820238771420988E-4</v>
      </c>
      <c r="N352" s="23" t="str">
        <f t="shared" si="21"/>
        <v>OK!</v>
      </c>
      <c r="O352" s="23" t="str">
        <f t="shared" si="22"/>
        <v>OK!</v>
      </c>
      <c r="P352" s="23" t="str">
        <f t="shared" si="23"/>
        <v>OK!</v>
      </c>
    </row>
    <row r="353" spans="2:16" ht="58" x14ac:dyDescent="0.35">
      <c r="B353" s="43">
        <f t="shared" si="20"/>
        <v>58</v>
      </c>
      <c r="C353" s="44" t="str">
        <f>ORÇAMENTO!A143</f>
        <v>4.1.2.1.8</v>
      </c>
      <c r="D353" s="44" t="str">
        <f>ORÇAMENTO!B143</f>
        <v xml:space="preserve"> 90084 </v>
      </c>
      <c r="E353" s="44" t="str">
        <f>ORÇAMENTO!C143</f>
        <v>SINAPI</v>
      </c>
      <c r="F353" s="480" t="str">
        <f>ORÇAMENTO!D143</f>
        <v>ESCAVAÇÃO MECANIZADA DE VALA COM PROF. MAIOR QUE 1,5 M ATÉ 3,0 M (MÉDIA MONTANTE E JUSANTE/UMA COMPOSIÇÃO POR TRECHO), ESCAVADEIRA (0,8 M3), LARGURA ATÉ 1,5 M, EM SOLO DE 1A CATEGORIA, EM LOCAIS COM ALTO NÍVEL DE INTERFERÊNCIA. AF_09/2024</v>
      </c>
      <c r="G353" s="44" t="str">
        <f>ORÇAMENTO!E143</f>
        <v>M³</v>
      </c>
      <c r="H353" s="44">
        <f>ORÇAMENTO!F143</f>
        <v>135.90484442746086</v>
      </c>
      <c r="I353" s="44">
        <f>ORÇAMENTO!G143</f>
        <v>9.01</v>
      </c>
      <c r="J353" s="44">
        <f>ORÇAMENTO!H143</f>
        <v>0.2122</v>
      </c>
      <c r="K353" s="44">
        <f>ORÇAMENTO!I143</f>
        <v>10.92</v>
      </c>
      <c r="L353" s="44">
        <f>ORÇAMENTO!J143</f>
        <v>1484.08</v>
      </c>
      <c r="M353" s="23">
        <f>ORÇAMENTO!K143</f>
        <v>5.2466676101321036E-5</v>
      </c>
      <c r="N353" s="23" t="str">
        <f t="shared" si="21"/>
        <v>DIFERENTE</v>
      </c>
      <c r="O353" s="23" t="str">
        <f t="shared" si="22"/>
        <v>DIFERENTE</v>
      </c>
      <c r="P353" s="23" t="str">
        <f t="shared" si="23"/>
        <v>DIFERENTE</v>
      </c>
    </row>
    <row r="354" spans="2:16" ht="58" x14ac:dyDescent="0.35">
      <c r="B354" s="43">
        <f t="shared" si="20"/>
        <v>58</v>
      </c>
      <c r="C354" s="44" t="str">
        <f>ORÇAMENTO!A214</f>
        <v>4.1.2.6.12</v>
      </c>
      <c r="D354" s="44" t="str">
        <f>ORÇAMENTO!B214</f>
        <v xml:space="preserve"> 90084 </v>
      </c>
      <c r="E354" s="44" t="str">
        <f>ORÇAMENTO!C214</f>
        <v>SINAPI</v>
      </c>
      <c r="F354" s="480" t="str">
        <f>ORÇAMENTO!D214</f>
        <v>ESCAVAÇÃO MECANIZADA DE VALA COM PROF. MAIOR QUE 1,5 M ATÉ 3,0 M (MÉDIA MONTANTE E JUSANTE/UMA COMPOSIÇÃO POR TRECHO), ESCAVADEIRA (0,8 M3), LARGURA ATÉ 1,5 M, EM SOLO DE 1A CATEGORIA, EM LOCAIS COM ALTO NÍVEL DE INTERFERÊNCIA. AF_09/2024</v>
      </c>
      <c r="G354" s="44" t="str">
        <f>ORÇAMENTO!E214</f>
        <v>M³</v>
      </c>
      <c r="H354" s="44">
        <f>ORÇAMENTO!F214</f>
        <v>116.59</v>
      </c>
      <c r="I354" s="44">
        <f>ORÇAMENTO!G214</f>
        <v>9.01</v>
      </c>
      <c r="J354" s="44">
        <f>ORÇAMENTO!H214</f>
        <v>0.2122</v>
      </c>
      <c r="K354" s="44">
        <f>ORÇAMENTO!I214</f>
        <v>10.92</v>
      </c>
      <c r="L354" s="44">
        <f>ORÇAMENTO!J214</f>
        <v>1273.1600000000001</v>
      </c>
      <c r="M354" s="23">
        <f>ORÇAMENTO!K214</f>
        <v>4.5010021929517207E-5</v>
      </c>
      <c r="N354" s="23" t="str">
        <f t="shared" si="21"/>
        <v>OK!</v>
      </c>
      <c r="O354" s="23" t="str">
        <f t="shared" si="22"/>
        <v>OK!</v>
      </c>
      <c r="P354" s="23" t="str">
        <f t="shared" si="23"/>
        <v>OK!</v>
      </c>
    </row>
    <row r="355" spans="2:16" ht="58" x14ac:dyDescent="0.35">
      <c r="B355" s="43">
        <f t="shared" si="20"/>
        <v>58</v>
      </c>
      <c r="C355" s="44" t="str">
        <f>ORÇAMENTO!A383</f>
        <v>5.1.2.1.6</v>
      </c>
      <c r="D355" s="44" t="str">
        <f>ORÇAMENTO!B383</f>
        <v xml:space="preserve"> 90084 </v>
      </c>
      <c r="E355" s="44" t="str">
        <f>ORÇAMENTO!C383</f>
        <v>SINAPI</v>
      </c>
      <c r="F355" s="480" t="str">
        <f>ORÇAMENTO!D383</f>
        <v>ESCAVAÇÃO MECANIZADA DE VALA COM PROF. MAIOR QUE 1,5 M ATÉ 3,0 M (MÉDIA MONTANTE E JUSANTE/UMA COMPOSIÇÃO POR TRECHO), ESCAVADEIRA (0,8 M3), LARGURA ATÉ 1,5 M, EM SOLO DE 1A CATEGORIA, EM LOCAIS COM ALTO NÍVEL DE INTERFERÊNCIA. AF_09/2024</v>
      </c>
      <c r="G355" s="44" t="str">
        <f>ORÇAMENTO!E383</f>
        <v>M³</v>
      </c>
      <c r="H355" s="44">
        <f>ORÇAMENTO!F383</f>
        <v>773.3958752627691</v>
      </c>
      <c r="I355" s="44">
        <f>ORÇAMENTO!G383</f>
        <v>9.01</v>
      </c>
      <c r="J355" s="44">
        <f>ORÇAMENTO!H383</f>
        <v>0.2122</v>
      </c>
      <c r="K355" s="44">
        <f>ORÇAMENTO!I383</f>
        <v>10.92</v>
      </c>
      <c r="L355" s="44">
        <f>ORÇAMENTO!J383</f>
        <v>8445.48</v>
      </c>
      <c r="M355" s="23">
        <f>ORÇAMENTO!K383</f>
        <v>2.9857303088794726E-4</v>
      </c>
      <c r="N355" s="23" t="str">
        <f t="shared" si="21"/>
        <v>OK!</v>
      </c>
      <c r="O355" s="23" t="str">
        <f t="shared" si="22"/>
        <v>OK!</v>
      </c>
      <c r="P355" s="23" t="str">
        <f t="shared" si="23"/>
        <v>OK!</v>
      </c>
    </row>
    <row r="356" spans="2:16" ht="58" x14ac:dyDescent="0.35">
      <c r="B356" s="43">
        <f t="shared" si="20"/>
        <v>58</v>
      </c>
      <c r="C356" s="44" t="str">
        <f>ORÇAMENTO!A457</f>
        <v>5.1.2.6.13</v>
      </c>
      <c r="D356" s="44" t="str">
        <f>ORÇAMENTO!B457</f>
        <v xml:space="preserve"> 90084 </v>
      </c>
      <c r="E356" s="44" t="str">
        <f>ORÇAMENTO!C457</f>
        <v>SINAPI</v>
      </c>
      <c r="F356" s="480" t="str">
        <f>ORÇAMENTO!D457</f>
        <v>ESCAVAÇÃO MECANIZADA DE VALA COM PROF. MAIOR QUE 1,5 M ATÉ 3,0 M (MÉDIA MONTANTE E JUSANTE/UMA COMPOSIÇÃO POR TRECHO), ESCAVADEIRA (0,8 M3), LARGURA ATÉ 1,5 M, EM SOLO DE 1A CATEGORIA, EM LOCAIS COM ALTO NÍVEL DE INTERFERÊNCIA. AF_09/2024</v>
      </c>
      <c r="G356" s="44" t="str">
        <f>ORÇAMENTO!E457</f>
        <v>M³</v>
      </c>
      <c r="H356" s="44">
        <f>ORÇAMENTO!F457</f>
        <v>112</v>
      </c>
      <c r="I356" s="44">
        <f>ORÇAMENTO!G457</f>
        <v>9.01</v>
      </c>
      <c r="J356" s="44">
        <f>ORÇAMENTO!H457</f>
        <v>0.2122</v>
      </c>
      <c r="K356" s="44">
        <f>ORÇAMENTO!I457</f>
        <v>10.92</v>
      </c>
      <c r="L356" s="44">
        <f>ORÇAMENTO!J457</f>
        <v>1223.04</v>
      </c>
      <c r="M356" s="23">
        <f>ORÇAMENTO!K457</f>
        <v>4.3238129709287692E-5</v>
      </c>
      <c r="N356" s="23" t="str">
        <f t="shared" si="21"/>
        <v>OK!</v>
      </c>
      <c r="O356" s="23" t="str">
        <f t="shared" si="22"/>
        <v>OK!</v>
      </c>
      <c r="P356" s="23" t="str">
        <f t="shared" si="23"/>
        <v>OK!</v>
      </c>
    </row>
    <row r="357" spans="2:16" ht="58" x14ac:dyDescent="0.35">
      <c r="B357" s="43">
        <f t="shared" si="20"/>
        <v>58</v>
      </c>
      <c r="C357" s="44" t="str">
        <f>ORÇAMENTO!A597</f>
        <v>6.1.2.1.3</v>
      </c>
      <c r="D357" s="44" t="str">
        <f>ORÇAMENTO!B597</f>
        <v xml:space="preserve"> 90084 </v>
      </c>
      <c r="E357" s="44" t="str">
        <f>ORÇAMENTO!C597</f>
        <v>SINAPI</v>
      </c>
      <c r="F357" s="480" t="str">
        <f>ORÇAMENTO!D597</f>
        <v>ESCAVAÇÃO MECANIZADA DE VALA COM PROF. MAIOR QUE 1,5 M ATÉ 3,0 M (MÉDIA MONTANTE E JUSANTE/UMA COMPOSIÇÃO POR TRECHO), ESCAVADEIRA (0,8 M3), LARGURA ATÉ 1,5 M, EM SOLO DE 1A CATEGORIA, EM LOCAIS COM ALTO NÍVEL DE INTERFERÊNCIA. AF_09/2024</v>
      </c>
      <c r="G357" s="44" t="str">
        <f>ORÇAMENTO!E597</f>
        <v>M³</v>
      </c>
      <c r="H357" s="44">
        <f>ORÇAMENTO!F597</f>
        <v>308.1919693233811</v>
      </c>
      <c r="I357" s="44">
        <f>ORÇAMENTO!G597</f>
        <v>9.01</v>
      </c>
      <c r="J357" s="44">
        <f>ORÇAMENTO!H597</f>
        <v>0.2122</v>
      </c>
      <c r="K357" s="44">
        <f>ORÇAMENTO!I597</f>
        <v>10.92</v>
      </c>
      <c r="L357" s="44">
        <f>ORÇAMENTO!J597</f>
        <v>3365.45</v>
      </c>
      <c r="M357" s="23">
        <f>ORÇAMENTO!K597</f>
        <v>1.1897874446471273E-4</v>
      </c>
      <c r="N357" s="23" t="str">
        <f t="shared" si="21"/>
        <v>OK!</v>
      </c>
      <c r="O357" s="23" t="str">
        <f t="shared" si="22"/>
        <v>OK!</v>
      </c>
      <c r="P357" s="23" t="str">
        <f t="shared" si="23"/>
        <v>OK!</v>
      </c>
    </row>
    <row r="358" spans="2:16" ht="58" x14ac:dyDescent="0.35">
      <c r="B358" s="43">
        <f t="shared" si="20"/>
        <v>58</v>
      </c>
      <c r="C358" s="44" t="str">
        <f>ORÇAMENTO!A652</f>
        <v>6.1.2.6.5</v>
      </c>
      <c r="D358" s="44" t="str">
        <f>ORÇAMENTO!B652</f>
        <v xml:space="preserve"> 90084 </v>
      </c>
      <c r="E358" s="44" t="str">
        <f>ORÇAMENTO!C652</f>
        <v>SINAPI</v>
      </c>
      <c r="F358" s="480" t="str">
        <f>ORÇAMENTO!D652</f>
        <v>ESCAVAÇÃO MECANIZADA DE VALA COM PROF. MAIOR QUE 1,5 M ATÉ 3,0 M (MÉDIA MONTANTE E JUSANTE/UMA COMPOSIÇÃO POR TRECHO), ESCAVADEIRA (0,8 M3), LARGURA ATÉ 1,5 M, EM SOLO DE 1A CATEGORIA, EM LOCAIS COM ALTO NÍVEL DE INTERFERÊNCIA. AF_09/2024</v>
      </c>
      <c r="G358" s="44" t="str">
        <f>ORÇAMENTO!E652</f>
        <v>M³</v>
      </c>
      <c r="H358" s="44">
        <f>ORÇAMENTO!F652</f>
        <v>139.35</v>
      </c>
      <c r="I358" s="44">
        <f>ORÇAMENTO!G652</f>
        <v>9.01</v>
      </c>
      <c r="J358" s="44">
        <f>ORÇAMENTO!H652</f>
        <v>0.2122</v>
      </c>
      <c r="K358" s="44">
        <f>ORÇAMENTO!I652</f>
        <v>10.92</v>
      </c>
      <c r="L358" s="44">
        <f>ORÇAMENTO!J652</f>
        <v>1521.7</v>
      </c>
      <c r="M358" s="23">
        <f>ORÇAMENTO!K652</f>
        <v>5.379665585640951E-5</v>
      </c>
      <c r="N358" s="23" t="str">
        <f t="shared" si="21"/>
        <v>OK!</v>
      </c>
      <c r="O358" s="23" t="str">
        <f t="shared" si="22"/>
        <v>OK!</v>
      </c>
      <c r="P358" s="23" t="str">
        <f t="shared" si="23"/>
        <v>OK!</v>
      </c>
    </row>
    <row r="359" spans="2:16" ht="58" x14ac:dyDescent="0.35">
      <c r="B359" s="43">
        <f t="shared" si="20"/>
        <v>58</v>
      </c>
      <c r="C359" s="44" t="str">
        <f>ORÇAMENTO!A790</f>
        <v>7.1.2.1.6</v>
      </c>
      <c r="D359" s="44" t="str">
        <f>ORÇAMENTO!B790</f>
        <v xml:space="preserve"> 90084 </v>
      </c>
      <c r="E359" s="44" t="str">
        <f>ORÇAMENTO!C790</f>
        <v>SINAPI</v>
      </c>
      <c r="F359" s="480" t="str">
        <f>ORÇAMENTO!D790</f>
        <v>ESCAVAÇÃO MECANIZADA DE VALA COM PROF. MAIOR QUE 1,5 M ATÉ 3,0 M (MÉDIA MONTANTE E JUSANTE/UMA COMPOSIÇÃO POR TRECHO), ESCAVADEIRA (0,8 M3), LARGURA ATÉ 1,5 M, EM SOLO DE 1A CATEGORIA, EM LOCAIS COM ALTO NÍVEL DE INTERFERÊNCIA. AF_09/2024</v>
      </c>
      <c r="G359" s="44" t="str">
        <f>ORÇAMENTO!E790</f>
        <v>M³</v>
      </c>
      <c r="H359" s="44">
        <f>ORÇAMENTO!F790</f>
        <v>219.67647430020764</v>
      </c>
      <c r="I359" s="44">
        <f>ORÇAMENTO!G790</f>
        <v>9.01</v>
      </c>
      <c r="J359" s="44">
        <f>ORÇAMENTO!H790</f>
        <v>0.2122</v>
      </c>
      <c r="K359" s="44">
        <f>ORÇAMENTO!I790</f>
        <v>10.92</v>
      </c>
      <c r="L359" s="44">
        <f>ORÇAMENTO!J790</f>
        <v>2398.86</v>
      </c>
      <c r="M359" s="23">
        <f>ORÇAMENTO!K790</f>
        <v>8.4806890890258606E-5</v>
      </c>
      <c r="N359" s="23" t="str">
        <f t="shared" si="21"/>
        <v>OK!</v>
      </c>
      <c r="O359" s="23" t="str">
        <f t="shared" si="22"/>
        <v>OK!</v>
      </c>
      <c r="P359" s="23" t="str">
        <f t="shared" si="23"/>
        <v>OK!</v>
      </c>
    </row>
    <row r="360" spans="2:16" ht="58" x14ac:dyDescent="0.35">
      <c r="B360" s="43">
        <f t="shared" si="20"/>
        <v>58</v>
      </c>
      <c r="C360" s="44" t="str">
        <f>ORÇAMENTO!A866</f>
        <v>7.1.2.6.13</v>
      </c>
      <c r="D360" s="44" t="str">
        <f>ORÇAMENTO!B866</f>
        <v xml:space="preserve"> 90084 </v>
      </c>
      <c r="E360" s="44" t="str">
        <f>ORÇAMENTO!C866</f>
        <v>SINAPI</v>
      </c>
      <c r="F360" s="480" t="str">
        <f>ORÇAMENTO!D866</f>
        <v>ESCAVAÇÃO MECANIZADA DE VALA COM PROF. MAIOR QUE 1,5 M ATÉ 3,0 M (MÉDIA MONTANTE E JUSANTE/UMA COMPOSIÇÃO POR TRECHO), ESCAVADEIRA (0,8 M3), LARGURA ATÉ 1,5 M, EM SOLO DE 1A CATEGORIA, EM LOCAIS COM ALTO NÍVEL DE INTERFERÊNCIA. AF_09/2024</v>
      </c>
      <c r="G360" s="44" t="str">
        <f>ORÇAMENTO!E866</f>
        <v>M³</v>
      </c>
      <c r="H360" s="44">
        <f>ORÇAMENTO!F866</f>
        <v>169.4</v>
      </c>
      <c r="I360" s="44">
        <f>ORÇAMENTO!G866</f>
        <v>9.01</v>
      </c>
      <c r="J360" s="44">
        <f>ORÇAMENTO!H866</f>
        <v>0.2122</v>
      </c>
      <c r="K360" s="44">
        <f>ORÇAMENTO!I866</f>
        <v>10.92</v>
      </c>
      <c r="L360" s="44">
        <f>ORÇAMENTO!J866</f>
        <v>1849.84</v>
      </c>
      <c r="M360" s="23">
        <f>ORÇAMENTO!K866</f>
        <v>6.5397388361319948E-5</v>
      </c>
      <c r="N360" s="23" t="str">
        <f t="shared" si="21"/>
        <v>OK!</v>
      </c>
      <c r="O360" s="23" t="str">
        <f t="shared" si="22"/>
        <v>OK!</v>
      </c>
      <c r="P360" s="23" t="str">
        <f t="shared" si="23"/>
        <v>OK!</v>
      </c>
    </row>
    <row r="361" spans="2:16" ht="58" x14ac:dyDescent="0.35">
      <c r="B361" s="43">
        <f t="shared" si="20"/>
        <v>59</v>
      </c>
      <c r="C361" s="44" t="str">
        <f>ORÇAMENTO!A136</f>
        <v>4.1.2.1.1</v>
      </c>
      <c r="D361" s="44" t="str">
        <f>ORÇAMENTO!B136</f>
        <v xml:space="preserve"> 102284 </v>
      </c>
      <c r="E361" s="44" t="str">
        <f>ORÇAMENTO!C136</f>
        <v>SINAPI</v>
      </c>
      <c r="F361" s="480" t="str">
        <f>ORÇAMENTO!D136</f>
        <v>ESCAVAÇÃO MECANIZADA DE VALA COM PROF. MAIOR QUE 1,5 M ATÉ 3,0 M (MÉDIA MONTANTE E JUSANTE/UMA COMPOSIÇÃO POR TRECHO), ESCAVADEIRA (0,8 M3), LARGURA ATÉ 1,5 M, EM SOLO MOLE, EM LOCAIS COM ALTO NÍVEL DE INTERFERÊNCIA. AF_09/2024</v>
      </c>
      <c r="G361" s="44" t="str">
        <f>ORÇAMENTO!E136</f>
        <v>M³</v>
      </c>
      <c r="H361" s="44">
        <f>ORÇAMENTO!F136</f>
        <v>64.960000000006957</v>
      </c>
      <c r="I361" s="44">
        <f>ORÇAMENTO!G136</f>
        <v>11.8</v>
      </c>
      <c r="J361" s="44">
        <f>ORÇAMENTO!H136</f>
        <v>0.2122</v>
      </c>
      <c r="K361" s="44">
        <f>ORÇAMENTO!I136</f>
        <v>14.3</v>
      </c>
      <c r="L361" s="44">
        <f>ORÇAMENTO!J136</f>
        <v>928.92</v>
      </c>
      <c r="M361" s="23">
        <f>ORÇAMENTO!K136</f>
        <v>3.2840106169505103E-5</v>
      </c>
      <c r="N361" s="23" t="str">
        <f t="shared" si="21"/>
        <v>DIFERENTE</v>
      </c>
      <c r="O361" s="23" t="str">
        <f t="shared" si="22"/>
        <v>DIFERENTE</v>
      </c>
      <c r="P361" s="23" t="str">
        <f t="shared" si="23"/>
        <v>DIFERENTE</v>
      </c>
    </row>
    <row r="362" spans="2:16" ht="58" x14ac:dyDescent="0.35">
      <c r="B362" s="43">
        <f t="shared" si="20"/>
        <v>59</v>
      </c>
      <c r="C362" s="44" t="str">
        <f>ORÇAMENTO!A209</f>
        <v>4.1.2.6.7</v>
      </c>
      <c r="D362" s="44" t="str">
        <f>ORÇAMENTO!B209</f>
        <v xml:space="preserve"> 102284 </v>
      </c>
      <c r="E362" s="44" t="str">
        <f>ORÇAMENTO!C209</f>
        <v>SINAPI</v>
      </c>
      <c r="F362" s="480" t="str">
        <f>ORÇAMENTO!D209</f>
        <v>ESCAVAÇÃO MECANIZADA DE VALA COM PROF. MAIOR QUE 1,5 M ATÉ 3,0 M (MÉDIA MONTANTE E JUSANTE/UMA COMPOSIÇÃO POR TRECHO), ESCAVADEIRA (0,8 M3), LARGURA ATÉ 1,5 M, EM SOLO MOLE, EM LOCAIS COM ALTO NÍVEL DE INTERFERÊNCIA. AF_09/2024</v>
      </c>
      <c r="G362" s="44" t="str">
        <f>ORÇAMENTO!E209</f>
        <v>M³</v>
      </c>
      <c r="H362" s="44">
        <f>ORÇAMENTO!F209</f>
        <v>82.73</v>
      </c>
      <c r="I362" s="44">
        <f>ORÇAMENTO!G209</f>
        <v>11.8</v>
      </c>
      <c r="J362" s="44">
        <f>ORÇAMENTO!H209</f>
        <v>0.2122</v>
      </c>
      <c r="K362" s="44">
        <f>ORÇAMENTO!I209</f>
        <v>14.3</v>
      </c>
      <c r="L362" s="44">
        <f>ORÇAMENTO!J209</f>
        <v>1183.03</v>
      </c>
      <c r="M362" s="23">
        <f>ORÇAMENTO!K209</f>
        <v>4.1823656290864253E-5</v>
      </c>
      <c r="N362" s="23" t="str">
        <f t="shared" si="21"/>
        <v>OK!</v>
      </c>
      <c r="O362" s="23" t="str">
        <f t="shared" si="22"/>
        <v>OK!</v>
      </c>
      <c r="P362" s="23" t="str">
        <f t="shared" si="23"/>
        <v>OK!</v>
      </c>
    </row>
    <row r="363" spans="2:16" ht="58" x14ac:dyDescent="0.35">
      <c r="B363" s="43">
        <f t="shared" si="20"/>
        <v>59</v>
      </c>
      <c r="C363" s="44" t="str">
        <f>ORÇAMENTO!A452</f>
        <v>5.1.2.6.8</v>
      </c>
      <c r="D363" s="44" t="str">
        <f>ORÇAMENTO!B452</f>
        <v xml:space="preserve"> 102284 </v>
      </c>
      <c r="E363" s="44" t="str">
        <f>ORÇAMENTO!C452</f>
        <v>SINAPI</v>
      </c>
      <c r="F363" s="480" t="str">
        <f>ORÇAMENTO!D452</f>
        <v>ESCAVAÇÃO MECANIZADA DE VALA COM PROF. MAIOR QUE 1,5 M ATÉ 3,0 M (MÉDIA MONTANTE E JUSANTE/UMA COMPOSIÇÃO POR TRECHO), ESCAVADEIRA (0,8 M3), LARGURA ATÉ 1,5 M, EM SOLO MOLE, EM LOCAIS COM ALTO NÍVEL DE INTERFERÊNCIA. AF_09/2024</v>
      </c>
      <c r="G363" s="44" t="str">
        <f>ORÇAMENTO!E452</f>
        <v>M³</v>
      </c>
      <c r="H363" s="44">
        <f>ORÇAMENTO!F452</f>
        <v>31.49</v>
      </c>
      <c r="I363" s="44">
        <f>ORÇAMENTO!G452</f>
        <v>11.8</v>
      </c>
      <c r="J363" s="44">
        <f>ORÇAMENTO!H452</f>
        <v>0.2122</v>
      </c>
      <c r="K363" s="44">
        <f>ORÇAMENTO!I452</f>
        <v>14.3</v>
      </c>
      <c r="L363" s="44">
        <f>ORÇAMENTO!J452</f>
        <v>450.3</v>
      </c>
      <c r="M363" s="23">
        <f>ORÇAMENTO!K452</f>
        <v>1.5919454644240784E-5</v>
      </c>
      <c r="N363" s="23" t="str">
        <f t="shared" si="21"/>
        <v>OK!</v>
      </c>
      <c r="O363" s="23" t="str">
        <f t="shared" si="22"/>
        <v>OK!</v>
      </c>
      <c r="P363" s="23" t="str">
        <f t="shared" si="23"/>
        <v>OK!</v>
      </c>
    </row>
    <row r="364" spans="2:16" ht="58" x14ac:dyDescent="0.35">
      <c r="B364" s="43">
        <f t="shared" si="20"/>
        <v>59</v>
      </c>
      <c r="C364" s="44" t="str">
        <f>ORÇAMENTO!A595</f>
        <v>6.1.2.1.1</v>
      </c>
      <c r="D364" s="44" t="str">
        <f>ORÇAMENTO!B595</f>
        <v xml:space="preserve"> 102284 </v>
      </c>
      <c r="E364" s="44" t="str">
        <f>ORÇAMENTO!C595</f>
        <v>SINAPI</v>
      </c>
      <c r="F364" s="480" t="str">
        <f>ORÇAMENTO!D595</f>
        <v>ESCAVAÇÃO MECANIZADA DE VALA COM PROF. MAIOR QUE 1,5 M ATÉ 3,0 M (MÉDIA MONTANTE E JUSANTE/UMA COMPOSIÇÃO POR TRECHO), ESCAVADEIRA (0,8 M3), LARGURA ATÉ 1,5 M, EM SOLO MOLE, EM LOCAIS COM ALTO NÍVEL DE INTERFERÊNCIA. AF_09/2024</v>
      </c>
      <c r="G364" s="44" t="str">
        <f>ORÇAMENTO!E595</f>
        <v>M³</v>
      </c>
      <c r="H364" s="44">
        <f>ORÇAMENTO!F595</f>
        <v>38.091200000000001</v>
      </c>
      <c r="I364" s="44">
        <f>ORÇAMENTO!G595</f>
        <v>11.8</v>
      </c>
      <c r="J364" s="44">
        <f>ORÇAMENTO!H595</f>
        <v>0.2122</v>
      </c>
      <c r="K364" s="44">
        <f>ORÇAMENTO!I595</f>
        <v>14.3</v>
      </c>
      <c r="L364" s="44">
        <f>ORÇAMENTO!J595</f>
        <v>544.70000000000005</v>
      </c>
      <c r="M364" s="23">
        <f>ORÇAMENTO!K595</f>
        <v>1.9256777580985911E-5</v>
      </c>
      <c r="N364" s="23" t="str">
        <f t="shared" si="21"/>
        <v>OK!</v>
      </c>
      <c r="O364" s="23" t="str">
        <f t="shared" si="22"/>
        <v>OK!</v>
      </c>
      <c r="P364" s="23" t="str">
        <f t="shared" si="23"/>
        <v>OK!</v>
      </c>
    </row>
    <row r="365" spans="2:16" ht="58" x14ac:dyDescent="0.35">
      <c r="B365" s="43">
        <f t="shared" si="20"/>
        <v>59</v>
      </c>
      <c r="C365" s="44" t="str">
        <f>ORÇAMENTO!A785</f>
        <v>7.1.2.1.1</v>
      </c>
      <c r="D365" s="44" t="str">
        <f>ORÇAMENTO!B785</f>
        <v xml:space="preserve"> 102284 </v>
      </c>
      <c r="E365" s="44" t="str">
        <f>ORÇAMENTO!C785</f>
        <v>SINAPI</v>
      </c>
      <c r="F365" s="480" t="str">
        <f>ORÇAMENTO!D785</f>
        <v>ESCAVAÇÃO MECANIZADA DE VALA COM PROF. MAIOR QUE 1,5 M ATÉ 3,0 M (MÉDIA MONTANTE E JUSANTE/UMA COMPOSIÇÃO POR TRECHO), ESCAVADEIRA (0,8 M3), LARGURA ATÉ 1,5 M, EM SOLO MOLE, EM LOCAIS COM ALTO NÍVEL DE INTERFERÊNCIA. AF_09/2024</v>
      </c>
      <c r="G365" s="44" t="str">
        <f>ORÇAMENTO!E785</f>
        <v>M³</v>
      </c>
      <c r="H365" s="44">
        <f>ORÇAMENTO!F785</f>
        <v>39.9056</v>
      </c>
      <c r="I365" s="44">
        <f>ORÇAMENTO!G785</f>
        <v>11.8</v>
      </c>
      <c r="J365" s="44">
        <f>ORÇAMENTO!H785</f>
        <v>0.2122</v>
      </c>
      <c r="K365" s="44">
        <f>ORÇAMENTO!I785</f>
        <v>14.3</v>
      </c>
      <c r="L365" s="44">
        <f>ORÇAMENTO!J785</f>
        <v>570.65</v>
      </c>
      <c r="M365" s="23">
        <f>ORÇAMENTO!K785</f>
        <v>2.0174187858618706E-5</v>
      </c>
      <c r="N365" s="23" t="str">
        <f t="shared" si="21"/>
        <v>OK!</v>
      </c>
      <c r="O365" s="23" t="str">
        <f t="shared" si="22"/>
        <v>OK!</v>
      </c>
      <c r="P365" s="23" t="str">
        <f t="shared" si="23"/>
        <v>OK!</v>
      </c>
    </row>
    <row r="366" spans="2:16" ht="58" x14ac:dyDescent="0.35">
      <c r="B366" s="43">
        <f t="shared" si="20"/>
        <v>59</v>
      </c>
      <c r="C366" s="44" t="str">
        <f>ORÇAMENTO!A861</f>
        <v>7.1.2.6.8</v>
      </c>
      <c r="D366" s="44" t="str">
        <f>ORÇAMENTO!B861</f>
        <v xml:space="preserve"> 102284 </v>
      </c>
      <c r="E366" s="44" t="str">
        <f>ORÇAMENTO!C861</f>
        <v>SINAPI</v>
      </c>
      <c r="F366" s="480" t="str">
        <f>ORÇAMENTO!D861</f>
        <v>ESCAVAÇÃO MECANIZADA DE VALA COM PROF. MAIOR QUE 1,5 M ATÉ 3,0 M (MÉDIA MONTANTE E JUSANTE/UMA COMPOSIÇÃO POR TRECHO), ESCAVADEIRA (0,8 M3), LARGURA ATÉ 1,5 M, EM SOLO MOLE, EM LOCAIS COM ALTO NÍVEL DE INTERFERÊNCIA. AF_09/2024</v>
      </c>
      <c r="G366" s="44" t="str">
        <f>ORÇAMENTO!E861</f>
        <v>M³</v>
      </c>
      <c r="H366" s="44">
        <f>ORÇAMENTO!F861</f>
        <v>139.91</v>
      </c>
      <c r="I366" s="44">
        <f>ORÇAMENTO!G861</f>
        <v>11.8</v>
      </c>
      <c r="J366" s="44">
        <f>ORÇAMENTO!H861</f>
        <v>0.2122</v>
      </c>
      <c r="K366" s="44">
        <f>ORÇAMENTO!I861</f>
        <v>14.3</v>
      </c>
      <c r="L366" s="44">
        <f>ORÇAMENTO!J861</f>
        <v>2000.71</v>
      </c>
      <c r="M366" s="23">
        <f>ORÇAMENTO!K861</f>
        <v>7.0731095050586228E-5</v>
      </c>
      <c r="N366" s="23" t="str">
        <f t="shared" si="21"/>
        <v>OK!</v>
      </c>
      <c r="O366" s="23" t="str">
        <f t="shared" si="22"/>
        <v>OK!</v>
      </c>
      <c r="P366" s="23" t="str">
        <f t="shared" si="23"/>
        <v>OK!</v>
      </c>
    </row>
    <row r="367" spans="2:16" ht="58" x14ac:dyDescent="0.35">
      <c r="B367" s="43">
        <f t="shared" si="20"/>
        <v>60</v>
      </c>
      <c r="C367" s="44" t="str">
        <f>ORÇAMENTO!A137</f>
        <v>4.1.2.1.2</v>
      </c>
      <c r="D367" s="44" t="str">
        <f>ORÇAMENTO!B137</f>
        <v xml:space="preserve"> 102301 </v>
      </c>
      <c r="E367" s="44" t="str">
        <f>ORÇAMENTO!C137</f>
        <v>SINAPI</v>
      </c>
      <c r="F367" s="480" t="str">
        <f>ORÇAMENTO!D137</f>
        <v>ESCAVAÇÃO MECANIZADA DE VALA COM PROF. MAIOR QUE 1,5 M ATÉ 3,0 M (MÉDIA MONTANTE E JUSANTE/UMA COMPOSIÇÃO POR TRECHO), RETROESCAV. (0,26 M3), LARG. DE 0,8 M A 1,5 M, EM SOLO MOLE, EM LOCAIS COM ALTO NÍVEL DE INTERFERÊNCIA. AF_09/2024</v>
      </c>
      <c r="G367" s="44" t="str">
        <f>ORÇAMENTO!E137</f>
        <v>M³</v>
      </c>
      <c r="H367" s="44">
        <f>ORÇAMENTO!F137</f>
        <v>3.6133345332620621</v>
      </c>
      <c r="I367" s="44">
        <f>ORÇAMENTO!G137</f>
        <v>14.94</v>
      </c>
      <c r="J367" s="44">
        <f>ORÇAMENTO!H137</f>
        <v>0.2122</v>
      </c>
      <c r="K367" s="44">
        <f>ORÇAMENTO!I137</f>
        <v>18.11</v>
      </c>
      <c r="L367" s="44">
        <f>ORÇAMENTO!J137</f>
        <v>65.430000000000007</v>
      </c>
      <c r="M367" s="23">
        <f>ORÇAMENTO!K137</f>
        <v>2.3131466075342539E-6</v>
      </c>
      <c r="N367" s="23" t="str">
        <f t="shared" si="21"/>
        <v>DIFERENTE</v>
      </c>
      <c r="O367" s="23" t="str">
        <f t="shared" si="22"/>
        <v>DIFERENTE</v>
      </c>
      <c r="P367" s="23" t="str">
        <f t="shared" si="23"/>
        <v>DIFERENTE</v>
      </c>
    </row>
    <row r="368" spans="2:16" ht="58" x14ac:dyDescent="0.35">
      <c r="B368" s="43">
        <f t="shared" si="20"/>
        <v>61</v>
      </c>
      <c r="C368" s="44" t="str">
        <f>ORÇAMENTO!A139</f>
        <v>4.1.2.1.4</v>
      </c>
      <c r="D368" s="44" t="str">
        <f>ORÇAMENTO!B139</f>
        <v xml:space="preserve"> 102287 </v>
      </c>
      <c r="E368" s="44" t="str">
        <f>ORÇAMENTO!C139</f>
        <v>SINAPI</v>
      </c>
      <c r="F368" s="480" t="str">
        <f>ORÇAMENTO!D139</f>
        <v>ESCAVAÇÃO MECANIZADA DE VALA COM PROF. MAIOR QUE 1,5 M ATÉ 3,0 M (MÉDIA MONTANTE E JUSANTE/UMA COMPOSIÇÃO POR TRECHO),COM ESCAVADEIRA (1,2 M3),LARG. DE 1,5 M A 2,5 M, EM SOLO MOLE, EM LOCAIS COM ALTO NÍVEL DE INTERFERÊNCIA. AF_09/2024</v>
      </c>
      <c r="G368" s="44" t="str">
        <f>ORÇAMENTO!E139</f>
        <v>M³</v>
      </c>
      <c r="H368" s="44">
        <f>ORÇAMENTO!F139</f>
        <v>416.56334663021261</v>
      </c>
      <c r="I368" s="44">
        <f>ORÇAMENTO!G139</f>
        <v>11.39</v>
      </c>
      <c r="J368" s="44">
        <f>ORÇAMENTO!H139</f>
        <v>0.2122</v>
      </c>
      <c r="K368" s="44">
        <f>ORÇAMENTO!I139</f>
        <v>13.81</v>
      </c>
      <c r="L368" s="44">
        <f>ORÇAMENTO!J139</f>
        <v>5752.73</v>
      </c>
      <c r="M368" s="23">
        <f>ORÇAMENTO!K139</f>
        <v>2.0337624764726466E-4</v>
      </c>
      <c r="N368" s="23" t="str">
        <f t="shared" si="21"/>
        <v>DIFERENTE</v>
      </c>
      <c r="O368" s="23" t="str">
        <f t="shared" si="22"/>
        <v>DIFERENTE</v>
      </c>
      <c r="P368" s="23" t="str">
        <f t="shared" si="23"/>
        <v>DIFERENTE</v>
      </c>
    </row>
    <row r="369" spans="2:16" ht="58" x14ac:dyDescent="0.35">
      <c r="B369" s="43">
        <f t="shared" si="20"/>
        <v>61</v>
      </c>
      <c r="C369" s="44" t="str">
        <f>ORÇAMENTO!A212</f>
        <v>4.1.2.6.10</v>
      </c>
      <c r="D369" s="44" t="str">
        <f>ORÇAMENTO!B212</f>
        <v xml:space="preserve"> 102287 </v>
      </c>
      <c r="E369" s="44" t="str">
        <f>ORÇAMENTO!C212</f>
        <v>SINAPI</v>
      </c>
      <c r="F369" s="480" t="str">
        <f>ORÇAMENTO!D212</f>
        <v>ESCAVAÇÃO MECANIZADA DE VALA COM PROF. MAIOR QUE 1,5 M ATÉ 3,0 M (MÉDIA MONTANTE E JUSANTE/UMA COMPOSIÇÃO POR TRECHO),COM ESCAVADEIRA (1,2 M3),LARG. DE 1,5 M A 2,5 M, EM SOLO MOLE, EM LOCAIS COM ALTO NÍVEL DE INTERFERÊNCIA. AF_09/2024</v>
      </c>
      <c r="G369" s="44" t="str">
        <f>ORÇAMENTO!E212</f>
        <v>M³</v>
      </c>
      <c r="H369" s="44">
        <f>ORÇAMENTO!F212</f>
        <v>84.95</v>
      </c>
      <c r="I369" s="44">
        <f>ORÇAMENTO!G212</f>
        <v>11.39</v>
      </c>
      <c r="J369" s="44">
        <f>ORÇAMENTO!H212</f>
        <v>0.2122</v>
      </c>
      <c r="K369" s="44">
        <f>ORÇAMENTO!I212</f>
        <v>13.81</v>
      </c>
      <c r="L369" s="44">
        <f>ORÇAMENTO!J212</f>
        <v>1173.1500000000001</v>
      </c>
      <c r="M369" s="23">
        <f>ORÇAMENTO!K212</f>
        <v>4.1474368678416785E-5</v>
      </c>
      <c r="N369" s="23" t="str">
        <f t="shared" si="21"/>
        <v>OK!</v>
      </c>
      <c r="O369" s="23" t="str">
        <f t="shared" si="22"/>
        <v>OK!</v>
      </c>
      <c r="P369" s="23" t="str">
        <f t="shared" si="23"/>
        <v>OK!</v>
      </c>
    </row>
    <row r="370" spans="2:16" ht="58" x14ac:dyDescent="0.35">
      <c r="B370" s="43">
        <f t="shared" si="20"/>
        <v>61</v>
      </c>
      <c r="C370" s="44" t="str">
        <f>ORÇAMENTO!A379</f>
        <v>5.1.2.1.2</v>
      </c>
      <c r="D370" s="44" t="str">
        <f>ORÇAMENTO!B379</f>
        <v xml:space="preserve"> 102287 </v>
      </c>
      <c r="E370" s="44" t="str">
        <f>ORÇAMENTO!C379</f>
        <v>SINAPI</v>
      </c>
      <c r="F370" s="480" t="str">
        <f>ORÇAMENTO!D379</f>
        <v>ESCAVAÇÃO MECANIZADA DE VALA COM PROF. MAIOR QUE 1,5 M ATÉ 3,0 M (MÉDIA MONTANTE E JUSANTE/UMA COMPOSIÇÃO POR TRECHO),COM ESCAVADEIRA (1,2 M3),LARG. DE 1,5 M A 2,5 M, EM SOLO MOLE, EM LOCAIS COM ALTO NÍVEL DE INTERFERÊNCIA. AF_09/2024</v>
      </c>
      <c r="G370" s="44" t="str">
        <f>ORÇAMENTO!E379</f>
        <v>M³</v>
      </c>
      <c r="H370" s="44">
        <f>ORÇAMENTO!F379</f>
        <v>717.279</v>
      </c>
      <c r="I370" s="44">
        <f>ORÇAMENTO!G379</f>
        <v>11.39</v>
      </c>
      <c r="J370" s="44">
        <f>ORÇAMENTO!H379</f>
        <v>0.2122</v>
      </c>
      <c r="K370" s="44">
        <f>ORÇAMENTO!I379</f>
        <v>13.81</v>
      </c>
      <c r="L370" s="44">
        <f>ORÇAMENTO!J379</f>
        <v>9905.6200000000008</v>
      </c>
      <c r="M370" s="23">
        <f>ORÇAMENTO!K379</f>
        <v>3.501933562360302E-4</v>
      </c>
      <c r="N370" s="23" t="str">
        <f t="shared" si="21"/>
        <v>OK!</v>
      </c>
      <c r="O370" s="23" t="str">
        <f t="shared" si="22"/>
        <v>OK!</v>
      </c>
      <c r="P370" s="23" t="str">
        <f t="shared" si="23"/>
        <v>OK!</v>
      </c>
    </row>
    <row r="371" spans="2:16" ht="58" x14ac:dyDescent="0.35">
      <c r="B371" s="43">
        <f t="shared" si="20"/>
        <v>61</v>
      </c>
      <c r="C371" s="44" t="str">
        <f>ORÇAMENTO!A455</f>
        <v>5.1.2.6.11</v>
      </c>
      <c r="D371" s="44" t="str">
        <f>ORÇAMENTO!B455</f>
        <v xml:space="preserve"> 102287 </v>
      </c>
      <c r="E371" s="44" t="str">
        <f>ORÇAMENTO!C455</f>
        <v>SINAPI</v>
      </c>
      <c r="F371" s="480" t="str">
        <f>ORÇAMENTO!D455</f>
        <v>ESCAVAÇÃO MECANIZADA DE VALA COM PROF. MAIOR QUE 1,5 M ATÉ 3,0 M (MÉDIA MONTANTE E JUSANTE/UMA COMPOSIÇÃO POR TRECHO),COM ESCAVADEIRA (1,2 M3),LARG. DE 1,5 M A 2,5 M, EM SOLO MOLE, EM LOCAIS COM ALTO NÍVEL DE INTERFERÊNCIA. AF_09/2024</v>
      </c>
      <c r="G371" s="44" t="str">
        <f>ORÇAMENTO!E455</f>
        <v>M³</v>
      </c>
      <c r="H371" s="44">
        <f>ORÇAMENTO!F455</f>
        <v>48.59</v>
      </c>
      <c r="I371" s="44">
        <f>ORÇAMENTO!G455</f>
        <v>11.39</v>
      </c>
      <c r="J371" s="44">
        <f>ORÇAMENTO!H455</f>
        <v>0.2122</v>
      </c>
      <c r="K371" s="44">
        <f>ORÇAMENTO!I455</f>
        <v>13.81</v>
      </c>
      <c r="L371" s="44">
        <f>ORÇAMENTO!J455</f>
        <v>671.02</v>
      </c>
      <c r="M371" s="23">
        <f>ORÇAMENTO!K455</f>
        <v>2.3722568188715191E-5</v>
      </c>
      <c r="N371" s="23" t="str">
        <f t="shared" si="21"/>
        <v>OK!</v>
      </c>
      <c r="O371" s="23" t="str">
        <f t="shared" si="22"/>
        <v>OK!</v>
      </c>
      <c r="P371" s="23" t="str">
        <f t="shared" si="23"/>
        <v>OK!</v>
      </c>
    </row>
    <row r="372" spans="2:16" ht="58" x14ac:dyDescent="0.35">
      <c r="B372" s="43">
        <f t="shared" si="20"/>
        <v>61</v>
      </c>
      <c r="C372" s="44" t="str">
        <f>ORÇAMENTO!A650</f>
        <v>6.1.2.6.3</v>
      </c>
      <c r="D372" s="44" t="str">
        <f>ORÇAMENTO!B650</f>
        <v xml:space="preserve"> 102287 </v>
      </c>
      <c r="E372" s="44" t="str">
        <f>ORÇAMENTO!C650</f>
        <v>SINAPI</v>
      </c>
      <c r="F372" s="480" t="str">
        <f>ORÇAMENTO!D650</f>
        <v>ESCAVAÇÃO MECANIZADA DE VALA COM PROF. MAIOR QUE 1,5 M ATÉ 3,0 M (MÉDIA MONTANTE E JUSANTE/UMA COMPOSIÇÃO POR TRECHO),COM ESCAVADEIRA (1,2 M3),LARG. DE 1,5 M A 2,5 M, EM SOLO MOLE, EM LOCAIS COM ALTO NÍVEL DE INTERFERÊNCIA. AF_09/2024</v>
      </c>
      <c r="G372" s="44" t="str">
        <f>ORÇAMENTO!E650</f>
        <v>M³</v>
      </c>
      <c r="H372" s="44">
        <f>ORÇAMENTO!F650</f>
        <v>1.46</v>
      </c>
      <c r="I372" s="44">
        <f>ORÇAMENTO!G650</f>
        <v>11.39</v>
      </c>
      <c r="J372" s="44">
        <f>ORÇAMENTO!H650</f>
        <v>0.2122</v>
      </c>
      <c r="K372" s="44">
        <f>ORÇAMENTO!I650</f>
        <v>13.81</v>
      </c>
      <c r="L372" s="44">
        <f>ORÇAMENTO!J650</f>
        <v>20.16</v>
      </c>
      <c r="M372" s="23">
        <f>ORÇAMENTO!K650</f>
        <v>7.127164237794675E-7</v>
      </c>
      <c r="N372" s="23" t="str">
        <f t="shared" si="21"/>
        <v>OK!</v>
      </c>
      <c r="O372" s="23" t="str">
        <f t="shared" si="22"/>
        <v>OK!</v>
      </c>
      <c r="P372" s="23" t="str">
        <f t="shared" si="23"/>
        <v>OK!</v>
      </c>
    </row>
    <row r="373" spans="2:16" ht="58" x14ac:dyDescent="0.35">
      <c r="B373" s="43">
        <f t="shared" si="20"/>
        <v>61</v>
      </c>
      <c r="C373" s="44" t="str">
        <f>ORÇAMENTO!A787</f>
        <v>7.1.2.1.3</v>
      </c>
      <c r="D373" s="44" t="str">
        <f>ORÇAMENTO!B787</f>
        <v xml:space="preserve"> 102287 </v>
      </c>
      <c r="E373" s="44" t="str">
        <f>ORÇAMENTO!C787</f>
        <v>SINAPI</v>
      </c>
      <c r="F373" s="480" t="str">
        <f>ORÇAMENTO!D787</f>
        <v>ESCAVAÇÃO MECANIZADA DE VALA COM PROF. MAIOR QUE 1,5 M ATÉ 3,0 M (MÉDIA MONTANTE E JUSANTE/UMA COMPOSIÇÃO POR TRECHO),COM ESCAVADEIRA (1,2 M3),LARG. DE 1,5 M A 2,5 M, EM SOLO MOLE, EM LOCAIS COM ALTO NÍVEL DE INTERFERÊNCIA. AF_09/2024</v>
      </c>
      <c r="G373" s="44" t="str">
        <f>ORÇAMENTO!E787</f>
        <v>M³</v>
      </c>
      <c r="H373" s="44">
        <f>ORÇAMENTO!F787</f>
        <v>171.81100000000001</v>
      </c>
      <c r="I373" s="44">
        <f>ORÇAMENTO!G787</f>
        <v>11.39</v>
      </c>
      <c r="J373" s="44">
        <f>ORÇAMENTO!H787</f>
        <v>0.2122</v>
      </c>
      <c r="K373" s="44">
        <f>ORÇAMENTO!I787</f>
        <v>13.81</v>
      </c>
      <c r="L373" s="44">
        <f>ORÇAMENTO!J787</f>
        <v>2372.6999999999998</v>
      </c>
      <c r="M373" s="23">
        <f>ORÇAMENTO!K787</f>
        <v>8.3882056483211426E-5</v>
      </c>
      <c r="N373" s="23" t="str">
        <f t="shared" si="21"/>
        <v>OK!</v>
      </c>
      <c r="O373" s="23" t="str">
        <f t="shared" si="22"/>
        <v>OK!</v>
      </c>
      <c r="P373" s="23" t="str">
        <f t="shared" si="23"/>
        <v>OK!</v>
      </c>
    </row>
    <row r="374" spans="2:16" ht="58" x14ac:dyDescent="0.35">
      <c r="B374" s="43">
        <f t="shared" si="20"/>
        <v>61</v>
      </c>
      <c r="C374" s="44" t="str">
        <f>ORÇAMENTO!A864</f>
        <v>7.1.2.6.11</v>
      </c>
      <c r="D374" s="44" t="str">
        <f>ORÇAMENTO!B864</f>
        <v xml:space="preserve"> 102287 </v>
      </c>
      <c r="E374" s="44" t="str">
        <f>ORÇAMENTO!C864</f>
        <v>SINAPI</v>
      </c>
      <c r="F374" s="480" t="str">
        <f>ORÇAMENTO!D864</f>
        <v>ESCAVAÇÃO MECANIZADA DE VALA COM PROF. MAIOR QUE 1,5 M ATÉ 3,0 M (MÉDIA MONTANTE E JUSANTE/UMA COMPOSIÇÃO POR TRECHO),COM ESCAVADEIRA (1,2 M3),LARG. DE 1,5 M A 2,5 M, EM SOLO MOLE, EM LOCAIS COM ALTO NÍVEL DE INTERFERÊNCIA. AF_09/2024</v>
      </c>
      <c r="G374" s="44" t="str">
        <f>ORÇAMENTO!E864</f>
        <v>M³</v>
      </c>
      <c r="H374" s="44">
        <f>ORÇAMENTO!F864</f>
        <v>128.35</v>
      </c>
      <c r="I374" s="44">
        <f>ORÇAMENTO!G864</f>
        <v>11.39</v>
      </c>
      <c r="J374" s="44">
        <f>ORÇAMENTO!H864</f>
        <v>0.2122</v>
      </c>
      <c r="K374" s="44">
        <f>ORÇAMENTO!I864</f>
        <v>13.81</v>
      </c>
      <c r="L374" s="44">
        <f>ORÇAMENTO!J864</f>
        <v>1772.51</v>
      </c>
      <c r="M374" s="23">
        <f>ORÇAMENTO!K864</f>
        <v>6.2663541086971418E-5</v>
      </c>
      <c r="N374" s="23" t="str">
        <f t="shared" si="21"/>
        <v>OK!</v>
      </c>
      <c r="O374" s="23" t="str">
        <f t="shared" si="22"/>
        <v>OK!</v>
      </c>
      <c r="P374" s="23" t="str">
        <f t="shared" si="23"/>
        <v>OK!</v>
      </c>
    </row>
    <row r="375" spans="2:16" ht="58" x14ac:dyDescent="0.35">
      <c r="B375" s="43">
        <f t="shared" si="20"/>
        <v>62</v>
      </c>
      <c r="C375" s="44" t="str">
        <f>ORÇAMENTO!A145</f>
        <v>4.1.2.1.10</v>
      </c>
      <c r="D375" s="44" t="str">
        <f>ORÇAMENTO!B145</f>
        <v xml:space="preserve"> 102278 </v>
      </c>
      <c r="E375" s="44" t="str">
        <f>ORÇAMENTO!C145</f>
        <v>SINAPI</v>
      </c>
      <c r="F375" s="480" t="str">
        <f>ORÇAMENTO!D145</f>
        <v>ESCAVAÇÃO MECANIZADA DE VALA COM PROF. MAIOR QUE 1,50 M ATÉ 3,0 M (MÉDIA MONTANTE E JUSANTE/UMA COMPOSIÇÃO POR TRECHO), ESCAVADEIRA (1,2 M3), LARG. DE 1,5 M A 2,5 M, EM SOLO DE 1A CATEGORIA, EM LOCAIS COM ALTO NÍVEL DE INTERFERÊNCIA. AF_09/2024</v>
      </c>
      <c r="G375" s="44" t="str">
        <f>ORÇAMENTO!E145</f>
        <v>M³</v>
      </c>
      <c r="H375" s="44">
        <f>ORÇAMENTO!F145</f>
        <v>764.29939691022128</v>
      </c>
      <c r="I375" s="44">
        <f>ORÇAMENTO!G145</f>
        <v>8.6999999999999993</v>
      </c>
      <c r="J375" s="44">
        <f>ORÇAMENTO!H145</f>
        <v>0.2122</v>
      </c>
      <c r="K375" s="44">
        <f>ORÇAMENTO!I145</f>
        <v>10.55</v>
      </c>
      <c r="L375" s="44">
        <f>ORÇAMENTO!J145</f>
        <v>8063.35</v>
      </c>
      <c r="M375" s="23">
        <f>ORÇAMENTO!K145</f>
        <v>2.8506359006359966E-4</v>
      </c>
      <c r="N375" s="23" t="str">
        <f t="shared" si="21"/>
        <v>DIFERENTE</v>
      </c>
      <c r="O375" s="23" t="str">
        <f t="shared" si="22"/>
        <v>DIFERENTE</v>
      </c>
      <c r="P375" s="23" t="str">
        <f t="shared" si="23"/>
        <v>DIFERENTE</v>
      </c>
    </row>
    <row r="376" spans="2:16" ht="58" x14ac:dyDescent="0.35">
      <c r="B376" s="43">
        <f t="shared" si="20"/>
        <v>62</v>
      </c>
      <c r="C376" s="44" t="str">
        <f>ORÇAMENTO!A217</f>
        <v>4.1.2.6.15</v>
      </c>
      <c r="D376" s="44" t="str">
        <f>ORÇAMENTO!B217</f>
        <v xml:space="preserve"> 102278 </v>
      </c>
      <c r="E376" s="44" t="str">
        <f>ORÇAMENTO!C217</f>
        <v>SINAPI</v>
      </c>
      <c r="F376" s="480" t="str">
        <f>ORÇAMENTO!D217</f>
        <v>ESCAVAÇÃO MECANIZADA DE VALA COM PROF. MAIOR QUE 1,50 M ATÉ 3,0 M (MÉDIA MONTANTE E JUSANTE/UMA COMPOSIÇÃO POR TRECHO), ESCAVADEIRA (1,2 M3), LARG. DE 1,5 M A 2,5 M, EM SOLO DE 1A CATEGORIA, EM LOCAIS COM ALTO NÍVEL DE INTERFERÊNCIA. AF_09/2024</v>
      </c>
      <c r="G376" s="44" t="str">
        <f>ORÇAMENTO!E217</f>
        <v>M³</v>
      </c>
      <c r="H376" s="44">
        <f>ORÇAMENTO!F217</f>
        <v>179.3</v>
      </c>
      <c r="I376" s="44">
        <f>ORÇAMENTO!G217</f>
        <v>8.6999999999999993</v>
      </c>
      <c r="J376" s="44">
        <f>ORÇAMENTO!H217</f>
        <v>0.2122</v>
      </c>
      <c r="K376" s="44">
        <f>ORÇAMENTO!I217</f>
        <v>10.55</v>
      </c>
      <c r="L376" s="44">
        <f>ORÇAMENTO!J217</f>
        <v>1891.61</v>
      </c>
      <c r="M376" s="23">
        <f>ORÇAMENTO!K217</f>
        <v>6.6874083054835237E-5</v>
      </c>
      <c r="N376" s="23" t="str">
        <f t="shared" si="21"/>
        <v>OK!</v>
      </c>
      <c r="O376" s="23" t="str">
        <f t="shared" si="22"/>
        <v>OK!</v>
      </c>
      <c r="P376" s="23" t="str">
        <f t="shared" si="23"/>
        <v>OK!</v>
      </c>
    </row>
    <row r="377" spans="2:16" ht="58" x14ac:dyDescent="0.35">
      <c r="B377" s="43">
        <f t="shared" si="20"/>
        <v>62</v>
      </c>
      <c r="C377" s="44" t="str">
        <f>ORÇAMENTO!A308</f>
        <v>4.4.4</v>
      </c>
      <c r="D377" s="44" t="str">
        <f>ORÇAMENTO!B308</f>
        <v xml:space="preserve"> 102278 </v>
      </c>
      <c r="E377" s="44" t="str">
        <f>ORÇAMENTO!C308</f>
        <v>SINAPI</v>
      </c>
      <c r="F377" s="480" t="str">
        <f>ORÇAMENTO!D308</f>
        <v>ESCAVAÇÃO MECANIZADA DE VALA COM PROF. MAIOR QUE 1,50 M ATÉ 3,0 M (MÉDIA MONTANTE E JUSANTE/UMA COMPOSIÇÃO POR TRECHO), ESCAVADEIRA (1,2 M3), LARG. DE 1,5 M A 2,5 M, EM SOLO DE 1A CATEGORIA, EM LOCAIS COM ALTO NÍVEL DE INTERFERÊNCIA. AF_09/2024</v>
      </c>
      <c r="G377" s="44" t="str">
        <f>ORÇAMENTO!E308</f>
        <v>M³</v>
      </c>
      <c r="H377" s="44">
        <f>ORÇAMENTO!F308</f>
        <v>27.462240000000001</v>
      </c>
      <c r="I377" s="44">
        <f>ORÇAMENTO!G308</f>
        <v>8.6999999999999993</v>
      </c>
      <c r="J377" s="44">
        <f>ORÇAMENTO!H308</f>
        <v>0.2122</v>
      </c>
      <c r="K377" s="44">
        <f>ORÇAMENTO!I308</f>
        <v>10.55</v>
      </c>
      <c r="L377" s="44">
        <f>ORÇAMENTO!J308</f>
        <v>289.72000000000003</v>
      </c>
      <c r="M377" s="23">
        <f>ORÇAMENTO!K308</f>
        <v>1.0242470352052943E-5</v>
      </c>
      <c r="N377" s="23" t="str">
        <f t="shared" si="21"/>
        <v>OK!</v>
      </c>
      <c r="O377" s="23" t="str">
        <f t="shared" si="22"/>
        <v>OK!</v>
      </c>
      <c r="P377" s="23" t="str">
        <f t="shared" si="23"/>
        <v>OK!</v>
      </c>
    </row>
    <row r="378" spans="2:16" ht="58" x14ac:dyDescent="0.35">
      <c r="B378" s="43">
        <f t="shared" si="20"/>
        <v>62</v>
      </c>
      <c r="C378" s="44" t="str">
        <f>ORÇAMENTO!A385</f>
        <v>5.1.2.1.8</v>
      </c>
      <c r="D378" s="44" t="str">
        <f>ORÇAMENTO!B385</f>
        <v xml:space="preserve"> 102278 </v>
      </c>
      <c r="E378" s="44" t="str">
        <f>ORÇAMENTO!C385</f>
        <v>SINAPI</v>
      </c>
      <c r="F378" s="480" t="str">
        <f>ORÇAMENTO!D385</f>
        <v>ESCAVAÇÃO MECANIZADA DE VALA COM PROF. MAIOR QUE 1,50 M ATÉ 3,0 M (MÉDIA MONTANTE E JUSANTE/UMA COMPOSIÇÃO POR TRECHO), ESCAVADEIRA (1,2 M3), LARG. DE 1,5 M A 2,5 M, EM SOLO DE 1A CATEGORIA, EM LOCAIS COM ALTO NÍVEL DE INTERFERÊNCIA. AF_09/2024</v>
      </c>
      <c r="G378" s="44" t="str">
        <f>ORÇAMENTO!E385</f>
        <v>M³</v>
      </c>
      <c r="H378" s="44">
        <f>ORÇAMENTO!F385</f>
        <v>2400.794770174291</v>
      </c>
      <c r="I378" s="44">
        <f>ORÇAMENTO!G385</f>
        <v>8.6999999999999993</v>
      </c>
      <c r="J378" s="44">
        <f>ORÇAMENTO!H385</f>
        <v>0.2122</v>
      </c>
      <c r="K378" s="44">
        <f>ORÇAMENTO!I385</f>
        <v>10.55</v>
      </c>
      <c r="L378" s="44">
        <f>ORÇAMENTO!J385</f>
        <v>25328.38</v>
      </c>
      <c r="M378" s="23">
        <f>ORÇAMENTO!K385</f>
        <v>8.9543414750631887E-4</v>
      </c>
      <c r="N378" s="23" t="str">
        <f t="shared" si="21"/>
        <v>OK!</v>
      </c>
      <c r="O378" s="23" t="str">
        <f t="shared" si="22"/>
        <v>OK!</v>
      </c>
      <c r="P378" s="23" t="str">
        <f t="shared" si="23"/>
        <v>OK!</v>
      </c>
    </row>
    <row r="379" spans="2:16" ht="58" x14ac:dyDescent="0.35">
      <c r="B379" s="43">
        <f t="shared" si="20"/>
        <v>62</v>
      </c>
      <c r="C379" s="44" t="str">
        <f>ORÇAMENTO!A460</f>
        <v>5.1.2.6.16</v>
      </c>
      <c r="D379" s="44" t="str">
        <f>ORÇAMENTO!B460</f>
        <v xml:space="preserve"> 102278 </v>
      </c>
      <c r="E379" s="44" t="str">
        <f>ORÇAMENTO!C460</f>
        <v>SINAPI</v>
      </c>
      <c r="F379" s="480" t="str">
        <f>ORÇAMENTO!D460</f>
        <v>ESCAVAÇÃO MECANIZADA DE VALA COM PROF. MAIOR QUE 1,50 M ATÉ 3,0 M (MÉDIA MONTANTE E JUSANTE/UMA COMPOSIÇÃO POR TRECHO), ESCAVADEIRA (1,2 M3), LARG. DE 1,5 M A 2,5 M, EM SOLO DE 1A CATEGORIA, EM LOCAIS COM ALTO NÍVEL DE INTERFERÊNCIA. AF_09/2024</v>
      </c>
      <c r="G379" s="44" t="str">
        <f>ORÇAMENTO!E460</f>
        <v>M³</v>
      </c>
      <c r="H379" s="44">
        <f>ORÇAMENTO!F460</f>
        <v>253.41</v>
      </c>
      <c r="I379" s="44">
        <f>ORÇAMENTO!G460</f>
        <v>8.6999999999999993</v>
      </c>
      <c r="J379" s="44">
        <f>ORÇAMENTO!H460</f>
        <v>0.2122</v>
      </c>
      <c r="K379" s="44">
        <f>ORÇAMENTO!I460</f>
        <v>10.55</v>
      </c>
      <c r="L379" s="44">
        <f>ORÇAMENTO!J460</f>
        <v>2673.47</v>
      </c>
      <c r="M379" s="23">
        <f>ORÇAMENTO!K460</f>
        <v>9.4515177454449043E-5</v>
      </c>
      <c r="N379" s="23" t="str">
        <f t="shared" si="21"/>
        <v>OK!</v>
      </c>
      <c r="O379" s="23" t="str">
        <f t="shared" si="22"/>
        <v>OK!</v>
      </c>
      <c r="P379" s="23" t="str">
        <f t="shared" si="23"/>
        <v>OK!</v>
      </c>
    </row>
    <row r="380" spans="2:16" ht="58" x14ac:dyDescent="0.35">
      <c r="B380" s="43">
        <f t="shared" si="20"/>
        <v>62</v>
      </c>
      <c r="C380" s="44" t="str">
        <f>ORÇAMENTO!A521</f>
        <v>5.4.4</v>
      </c>
      <c r="D380" s="44" t="str">
        <f>ORÇAMENTO!B521</f>
        <v xml:space="preserve"> 102278 </v>
      </c>
      <c r="E380" s="44" t="str">
        <f>ORÇAMENTO!C521</f>
        <v>SINAPI</v>
      </c>
      <c r="F380" s="480" t="str">
        <f>ORÇAMENTO!D521</f>
        <v>ESCAVAÇÃO MECANIZADA DE VALA COM PROF. MAIOR QUE 1,50 M ATÉ 3,0 M (MÉDIA MONTANTE E JUSANTE/UMA COMPOSIÇÃO POR TRECHO), ESCAVADEIRA (1,2 M3), LARG. DE 1,5 M A 2,5 M, EM SOLO DE 1A CATEGORIA, EM LOCAIS COM ALTO NÍVEL DE INTERFERÊNCIA. AF_09/2024</v>
      </c>
      <c r="G380" s="44" t="str">
        <f>ORÇAMENTO!E521</f>
        <v>M³</v>
      </c>
      <c r="H380" s="44">
        <f>ORÇAMENTO!F521</f>
        <v>16.718399999999999</v>
      </c>
      <c r="I380" s="44">
        <f>ORÇAMENTO!G521</f>
        <v>8.6999999999999993</v>
      </c>
      <c r="J380" s="44">
        <f>ORÇAMENTO!H521</f>
        <v>0.2122</v>
      </c>
      <c r="K380" s="44">
        <f>ORÇAMENTO!I521</f>
        <v>10.55</v>
      </c>
      <c r="L380" s="44">
        <f>ORÇAMENTO!J521</f>
        <v>176.37</v>
      </c>
      <c r="M380" s="23">
        <f>ORÇAMENTO!K521</f>
        <v>6.2352081181540025E-6</v>
      </c>
      <c r="N380" s="23" t="str">
        <f t="shared" si="21"/>
        <v>OK!</v>
      </c>
      <c r="O380" s="23" t="str">
        <f t="shared" si="22"/>
        <v>OK!</v>
      </c>
      <c r="P380" s="23" t="str">
        <f t="shared" si="23"/>
        <v>OK!</v>
      </c>
    </row>
    <row r="381" spans="2:16" ht="58" x14ac:dyDescent="0.35">
      <c r="B381" s="43">
        <f t="shared" si="20"/>
        <v>62</v>
      </c>
      <c r="C381" s="44" t="str">
        <f>ORÇAMENTO!A599</f>
        <v>6.1.2.1.5</v>
      </c>
      <c r="D381" s="44" t="str">
        <f>ORÇAMENTO!B599</f>
        <v xml:space="preserve"> 102278 </v>
      </c>
      <c r="E381" s="44" t="str">
        <f>ORÇAMENTO!C599</f>
        <v>SINAPI</v>
      </c>
      <c r="F381" s="480" t="str">
        <f>ORÇAMENTO!D599</f>
        <v>ESCAVAÇÃO MECANIZADA DE VALA COM PROF. MAIOR QUE 1,50 M ATÉ 3,0 M (MÉDIA MONTANTE E JUSANTE/UMA COMPOSIÇÃO POR TRECHO), ESCAVADEIRA (1,2 M3), LARG. DE 1,5 M A 2,5 M, EM SOLO DE 1A CATEGORIA, EM LOCAIS COM ALTO NÍVEL DE INTERFERÊNCIA. AF_09/2024</v>
      </c>
      <c r="G381" s="44" t="str">
        <f>ORÇAMENTO!E599</f>
        <v>M³</v>
      </c>
      <c r="H381" s="44">
        <f>ORÇAMENTO!F599</f>
        <v>88.280165286461624</v>
      </c>
      <c r="I381" s="44">
        <f>ORÇAMENTO!G599</f>
        <v>8.6999999999999993</v>
      </c>
      <c r="J381" s="44">
        <f>ORÇAMENTO!H599</f>
        <v>0.2122</v>
      </c>
      <c r="K381" s="44">
        <f>ORÇAMENTO!I599</f>
        <v>10.55</v>
      </c>
      <c r="L381" s="44">
        <f>ORÇAMENTO!J599</f>
        <v>931.35</v>
      </c>
      <c r="M381" s="23">
        <f>ORÇAMENTO!K599</f>
        <v>3.2926013952728522E-5</v>
      </c>
      <c r="N381" s="23" t="str">
        <f t="shared" si="21"/>
        <v>OK!</v>
      </c>
      <c r="O381" s="23" t="str">
        <f t="shared" si="22"/>
        <v>OK!</v>
      </c>
      <c r="P381" s="23" t="str">
        <f t="shared" si="23"/>
        <v>OK!</v>
      </c>
    </row>
    <row r="382" spans="2:16" ht="58" x14ac:dyDescent="0.35">
      <c r="B382" s="43">
        <f t="shared" si="20"/>
        <v>62</v>
      </c>
      <c r="C382" s="44" t="str">
        <f>ORÇAMENTO!A655</f>
        <v>6.1.2.6.8</v>
      </c>
      <c r="D382" s="44" t="str">
        <f>ORÇAMENTO!B655</f>
        <v xml:space="preserve"> 102278 </v>
      </c>
      <c r="E382" s="44" t="str">
        <f>ORÇAMENTO!C655</f>
        <v>SINAPI</v>
      </c>
      <c r="F382" s="480" t="str">
        <f>ORÇAMENTO!D655</f>
        <v>ESCAVAÇÃO MECANIZADA DE VALA COM PROF. MAIOR QUE 1,50 M ATÉ 3,0 M (MÉDIA MONTANTE E JUSANTE/UMA COMPOSIÇÃO POR TRECHO), ESCAVADEIRA (1,2 M3), LARG. DE 1,5 M A 2,5 M, EM SOLO DE 1A CATEGORIA, EM LOCAIS COM ALTO NÍVEL DE INTERFERÊNCIA. AF_09/2024</v>
      </c>
      <c r="G382" s="44" t="str">
        <f>ORÇAMENTO!E655</f>
        <v>M³</v>
      </c>
      <c r="H382" s="44">
        <f>ORÇAMENTO!F655</f>
        <v>109.39</v>
      </c>
      <c r="I382" s="44">
        <f>ORÇAMENTO!G655</f>
        <v>8.6999999999999993</v>
      </c>
      <c r="J382" s="44">
        <f>ORÇAMENTO!H655</f>
        <v>0.2122</v>
      </c>
      <c r="K382" s="44">
        <f>ORÇAMENTO!I655</f>
        <v>10.55</v>
      </c>
      <c r="L382" s="44">
        <f>ORÇAMENTO!J655</f>
        <v>1154.06</v>
      </c>
      <c r="M382" s="23">
        <f>ORÇAMENTO!K655</f>
        <v>4.0799479961653382E-5</v>
      </c>
      <c r="N382" s="23" t="str">
        <f t="shared" si="21"/>
        <v>OK!</v>
      </c>
      <c r="O382" s="23" t="str">
        <f t="shared" si="22"/>
        <v>OK!</v>
      </c>
      <c r="P382" s="23" t="str">
        <f t="shared" si="23"/>
        <v>OK!</v>
      </c>
    </row>
    <row r="383" spans="2:16" ht="58" x14ac:dyDescent="0.35">
      <c r="B383" s="43">
        <f t="shared" si="20"/>
        <v>62</v>
      </c>
      <c r="C383" s="44" t="str">
        <f>ORÇAMENTO!A792</f>
        <v>7.1.2.1.8</v>
      </c>
      <c r="D383" s="44" t="str">
        <f>ORÇAMENTO!B792</f>
        <v xml:space="preserve"> 102278 </v>
      </c>
      <c r="E383" s="44" t="str">
        <f>ORÇAMENTO!C792</f>
        <v>SINAPI</v>
      </c>
      <c r="F383" s="480" t="str">
        <f>ORÇAMENTO!D792</f>
        <v>ESCAVAÇÃO MECANIZADA DE VALA COM PROF. MAIOR QUE 1,50 M ATÉ 3,0 M (MÉDIA MONTANTE E JUSANTE/UMA COMPOSIÇÃO POR TRECHO), ESCAVADEIRA (1,2 M3), LARG. DE 1,5 M A 2,5 M, EM SOLO DE 1A CATEGORIA, EM LOCAIS COM ALTO NÍVEL DE INTERFERÊNCIA. AF_09/2024</v>
      </c>
      <c r="G383" s="44" t="str">
        <f>ORÇAMENTO!E792</f>
        <v>M³</v>
      </c>
      <c r="H383" s="44">
        <f>ORÇAMENTO!F792</f>
        <v>2240.4834881977054</v>
      </c>
      <c r="I383" s="44">
        <f>ORÇAMENTO!G792</f>
        <v>8.6999999999999993</v>
      </c>
      <c r="J383" s="44">
        <f>ORÇAMENTO!H792</f>
        <v>0.2122</v>
      </c>
      <c r="K383" s="44">
        <f>ORÇAMENTO!I792</f>
        <v>10.55</v>
      </c>
      <c r="L383" s="44">
        <f>ORÇAMENTO!J792</f>
        <v>23637.1</v>
      </c>
      <c r="M383" s="23">
        <f>ORÇAMENTO!K792</f>
        <v>8.3564233038281989E-4</v>
      </c>
      <c r="N383" s="23" t="str">
        <f t="shared" si="21"/>
        <v>OK!</v>
      </c>
      <c r="O383" s="23" t="str">
        <f t="shared" si="22"/>
        <v>OK!</v>
      </c>
      <c r="P383" s="23" t="str">
        <f t="shared" si="23"/>
        <v>OK!</v>
      </c>
    </row>
    <row r="384" spans="2:16" ht="58" x14ac:dyDescent="0.35">
      <c r="B384" s="43">
        <f t="shared" si="20"/>
        <v>62</v>
      </c>
      <c r="C384" s="44" t="str">
        <f>ORÇAMENTO!A869</f>
        <v>7.1.2.6.16</v>
      </c>
      <c r="D384" s="44" t="str">
        <f>ORÇAMENTO!B869</f>
        <v xml:space="preserve"> 102278 </v>
      </c>
      <c r="E384" s="44" t="str">
        <f>ORÇAMENTO!C869</f>
        <v>SINAPI</v>
      </c>
      <c r="F384" s="480" t="str">
        <f>ORÇAMENTO!D869</f>
        <v>ESCAVAÇÃO MECANIZADA DE VALA COM PROF. MAIOR QUE 1,50 M ATÉ 3,0 M (MÉDIA MONTANTE E JUSANTE/UMA COMPOSIÇÃO POR TRECHO), ESCAVADEIRA (1,2 M3), LARG. DE 1,5 M A 2,5 M, EM SOLO DE 1A CATEGORIA, EM LOCAIS COM ALTO NÍVEL DE INTERFERÊNCIA. AF_09/2024</v>
      </c>
      <c r="G384" s="44" t="str">
        <f>ORÇAMENTO!E869</f>
        <v>M³</v>
      </c>
      <c r="H384" s="44">
        <f>ORÇAMENTO!F869</f>
        <v>175.97</v>
      </c>
      <c r="I384" s="44">
        <f>ORÇAMENTO!G869</f>
        <v>8.6999999999999993</v>
      </c>
      <c r="J384" s="44">
        <f>ORÇAMENTO!H869</f>
        <v>0.2122</v>
      </c>
      <c r="K384" s="44">
        <f>ORÇAMENTO!I869</f>
        <v>10.55</v>
      </c>
      <c r="L384" s="44">
        <f>ORÇAMENTO!J869</f>
        <v>1856.48</v>
      </c>
      <c r="M384" s="23">
        <f>ORÇAMENTO!K869</f>
        <v>6.5632132262802867E-5</v>
      </c>
      <c r="N384" s="23" t="str">
        <f t="shared" si="21"/>
        <v>OK!</v>
      </c>
      <c r="O384" s="23" t="str">
        <f t="shared" si="22"/>
        <v>OK!</v>
      </c>
      <c r="P384" s="23" t="str">
        <f t="shared" si="23"/>
        <v>OK!</v>
      </c>
    </row>
    <row r="385" spans="2:16" ht="58" x14ac:dyDescent="0.35">
      <c r="B385" s="43">
        <f t="shared" ref="B385:B448" si="24">IF(EXACT(D384,D385),B384,B384+1)</f>
        <v>63</v>
      </c>
      <c r="C385" s="44" t="str">
        <f>ORÇAMENTO!A210</f>
        <v>4.1.2.6.8</v>
      </c>
      <c r="D385" s="44" t="str">
        <f>ORÇAMENTO!B210</f>
        <v xml:space="preserve"> 102285 </v>
      </c>
      <c r="E385" s="44" t="str">
        <f>ORÇAMENTO!C210</f>
        <v>SINAPI</v>
      </c>
      <c r="F385" s="480" t="str">
        <f>ORÇAMENTO!D210</f>
        <v>ESCAVAÇÃO MECANIZADA DE VALA COM PROF. MAIOR QUE 3,0 M ATÉ 4,5 M (MÉDIA MONTANTE E JUSANTE/UMA COMPOSIÇÃO POR TRECHO), ESCAVADEIRA (0,8 M3), LARG. MENOR QUE 1,5 M, EM SOLO MOLE, EM LOCAIS COM ALTO NÍVEL DE INTERFERÊNCIA. AF_09/2024</v>
      </c>
      <c r="G385" s="44" t="str">
        <f>ORÇAMENTO!E210</f>
        <v>M³</v>
      </c>
      <c r="H385" s="44">
        <f>ORÇAMENTO!F210</f>
        <v>42.13</v>
      </c>
      <c r="I385" s="44">
        <f>ORÇAMENTO!G210</f>
        <v>11.17</v>
      </c>
      <c r="J385" s="44">
        <f>ORÇAMENTO!H210</f>
        <v>0.2122</v>
      </c>
      <c r="K385" s="44">
        <f>ORÇAMENTO!I210</f>
        <v>13.54</v>
      </c>
      <c r="L385" s="44">
        <f>ORÇAMENTO!J210</f>
        <v>570.44000000000005</v>
      </c>
      <c r="M385" s="23">
        <f>ORÇAMENTO!K210</f>
        <v>2.0166763729204339E-5</v>
      </c>
      <c r="N385" s="23" t="str">
        <f t="shared" ref="N385:N448" si="25">IF(F385=F384,IF(G385=G384,"OK!","ERRADO"),"DIFERENTE")</f>
        <v>DIFERENTE</v>
      </c>
      <c r="O385" s="23" t="str">
        <f t="shared" ref="O385:O448" si="26">IF(F385=F384,IF(I385=I384,"OK!","ERRADO"),"DIFERENTE")</f>
        <v>DIFERENTE</v>
      </c>
      <c r="P385" s="23" t="str">
        <f t="shared" ref="P385:P448" si="27">IF(F385=F384,IF(D385=D384,"OK!","ERRADO"),"DIFERENTE")</f>
        <v>DIFERENTE</v>
      </c>
    </row>
    <row r="386" spans="2:16" ht="58" x14ac:dyDescent="0.35">
      <c r="B386" s="43">
        <f t="shared" si="24"/>
        <v>63</v>
      </c>
      <c r="C386" s="44" t="str">
        <f>ORÇAMENTO!A453</f>
        <v>5.1.2.6.9</v>
      </c>
      <c r="D386" s="44" t="str">
        <f>ORÇAMENTO!B453</f>
        <v xml:space="preserve"> 102285 </v>
      </c>
      <c r="E386" s="44" t="str">
        <f>ORÇAMENTO!C453</f>
        <v>SINAPI</v>
      </c>
      <c r="F386" s="480" t="str">
        <f>ORÇAMENTO!D453</f>
        <v>ESCAVAÇÃO MECANIZADA DE VALA COM PROF. MAIOR QUE 3,0 M ATÉ 4,5 M (MÉDIA MONTANTE E JUSANTE/UMA COMPOSIÇÃO POR TRECHO), ESCAVADEIRA (0,8 M3), LARG. MENOR QUE 1,5 M, EM SOLO MOLE, EM LOCAIS COM ALTO NÍVEL DE INTERFERÊNCIA. AF_09/2024</v>
      </c>
      <c r="G386" s="44" t="str">
        <f>ORÇAMENTO!E453</f>
        <v>M³</v>
      </c>
      <c r="H386" s="44">
        <f>ORÇAMENTO!F453</f>
        <v>8.86</v>
      </c>
      <c r="I386" s="44">
        <f>ORÇAMENTO!G453</f>
        <v>11.17</v>
      </c>
      <c r="J386" s="44">
        <f>ORÇAMENTO!H453</f>
        <v>0.2122</v>
      </c>
      <c r="K386" s="44">
        <f>ORÇAMENTO!I453</f>
        <v>13.54</v>
      </c>
      <c r="L386" s="44">
        <f>ORÇAMENTO!J453</f>
        <v>119.96</v>
      </c>
      <c r="M386" s="23">
        <f>ORÇAMENTO!K453</f>
        <v>4.2409455454655215E-6</v>
      </c>
      <c r="N386" s="23" t="str">
        <f t="shared" si="25"/>
        <v>OK!</v>
      </c>
      <c r="O386" s="23" t="str">
        <f t="shared" si="26"/>
        <v>OK!</v>
      </c>
      <c r="P386" s="23" t="str">
        <f t="shared" si="27"/>
        <v>OK!</v>
      </c>
    </row>
    <row r="387" spans="2:16" ht="58" x14ac:dyDescent="0.35">
      <c r="B387" s="43">
        <f t="shared" si="24"/>
        <v>63</v>
      </c>
      <c r="C387" s="44" t="str">
        <f>ORÇAMENTO!A862</f>
        <v>7.1.2.6.9</v>
      </c>
      <c r="D387" s="44" t="str">
        <f>ORÇAMENTO!B862</f>
        <v xml:space="preserve"> 102285 </v>
      </c>
      <c r="E387" s="44" t="str">
        <f>ORÇAMENTO!C862</f>
        <v>SINAPI</v>
      </c>
      <c r="F387" s="480" t="str">
        <f>ORÇAMENTO!D862</f>
        <v>ESCAVAÇÃO MECANIZADA DE VALA COM PROF. MAIOR QUE 3,0 M ATÉ 4,5 M (MÉDIA MONTANTE E JUSANTE/UMA COMPOSIÇÃO POR TRECHO), ESCAVADEIRA (0,8 M3), LARG. MENOR QUE 1,5 M, EM SOLO MOLE, EM LOCAIS COM ALTO NÍVEL DE INTERFERÊNCIA. AF_09/2024</v>
      </c>
      <c r="G387" s="44" t="str">
        <f>ORÇAMENTO!E862</f>
        <v>M³</v>
      </c>
      <c r="H387" s="44">
        <f>ORÇAMENTO!F862</f>
        <v>25.97</v>
      </c>
      <c r="I387" s="44">
        <f>ORÇAMENTO!G862</f>
        <v>11.17</v>
      </c>
      <c r="J387" s="44">
        <f>ORÇAMENTO!H862</f>
        <v>0.2122</v>
      </c>
      <c r="K387" s="44">
        <f>ORÇAMENTO!I862</f>
        <v>13.54</v>
      </c>
      <c r="L387" s="44">
        <f>ORÇAMENTO!J862</f>
        <v>351.63</v>
      </c>
      <c r="M387" s="23">
        <f>ORÇAMENTO!K862</f>
        <v>1.2431174409403479E-5</v>
      </c>
      <c r="N387" s="23" t="str">
        <f t="shared" si="25"/>
        <v>OK!</v>
      </c>
      <c r="O387" s="23" t="str">
        <f t="shared" si="26"/>
        <v>OK!</v>
      </c>
      <c r="P387" s="23" t="str">
        <f t="shared" si="27"/>
        <v>OK!</v>
      </c>
    </row>
    <row r="388" spans="2:16" ht="58" x14ac:dyDescent="0.35">
      <c r="B388" s="43">
        <f t="shared" si="24"/>
        <v>64</v>
      </c>
      <c r="C388" s="44" t="str">
        <f>ORÇAMENTO!A215</f>
        <v>4.1.2.6.13</v>
      </c>
      <c r="D388" s="44" t="str">
        <f>ORÇAMENTO!B215</f>
        <v xml:space="preserve"> 90086 </v>
      </c>
      <c r="E388" s="44" t="str">
        <f>ORÇAMENTO!C215</f>
        <v>SINAPI</v>
      </c>
      <c r="F388" s="480" t="str">
        <f>ORÇAMENTO!D215</f>
        <v>ESCAVAÇÃO MECANIZADA DE VALA COM PROF. MAIOR QUE 3,0 M ATÉ 4,5 M(MÉDIA MONTANTE E JUSANTE/UMA COMPOSIÇÃO POR TRECHO), ESCAVADEIRA (0,8 M3), LARG. MENOR QUE 1,5 M, EM SOLO DE 1A CATEGORIA, EM LOCAIS COM ALTO NÍVEL DE INTERFERÊNCIA. AF_09/2024</v>
      </c>
      <c r="G388" s="44" t="str">
        <f>ORÇAMENTO!E215</f>
        <v>M³</v>
      </c>
      <c r="H388" s="44">
        <f>ORÇAMENTO!F215</f>
        <v>1.18</v>
      </c>
      <c r="I388" s="44">
        <f>ORÇAMENTO!G215</f>
        <v>8.5299999999999994</v>
      </c>
      <c r="J388" s="44">
        <f>ORÇAMENTO!H215</f>
        <v>0.2122</v>
      </c>
      <c r="K388" s="44">
        <f>ORÇAMENTO!I215</f>
        <v>10.34</v>
      </c>
      <c r="L388" s="44">
        <f>ORÇAMENTO!J215</f>
        <v>12.2</v>
      </c>
      <c r="M388" s="23">
        <f>ORÇAMENTO!K215</f>
        <v>4.3130656597765389E-7</v>
      </c>
      <c r="N388" s="23" t="str">
        <f t="shared" si="25"/>
        <v>DIFERENTE</v>
      </c>
      <c r="O388" s="23" t="str">
        <f t="shared" si="26"/>
        <v>DIFERENTE</v>
      </c>
      <c r="P388" s="23" t="str">
        <f t="shared" si="27"/>
        <v>DIFERENTE</v>
      </c>
    </row>
    <row r="389" spans="2:16" ht="58" x14ac:dyDescent="0.35">
      <c r="B389" s="43">
        <f t="shared" si="24"/>
        <v>64</v>
      </c>
      <c r="C389" s="44" t="str">
        <f>ORÇAMENTO!A458</f>
        <v>5.1.2.6.14</v>
      </c>
      <c r="D389" s="44" t="str">
        <f>ORÇAMENTO!B458</f>
        <v xml:space="preserve"> 90086 </v>
      </c>
      <c r="E389" s="44" t="str">
        <f>ORÇAMENTO!C458</f>
        <v>SINAPI</v>
      </c>
      <c r="F389" s="480" t="str">
        <f>ORÇAMENTO!D458</f>
        <v>ESCAVAÇÃO MECANIZADA DE VALA COM PROF. MAIOR QUE 3,0 M ATÉ 4,5 M(MÉDIA MONTANTE E JUSANTE/UMA COMPOSIÇÃO POR TRECHO), ESCAVADEIRA (0,8 M3), LARG. MENOR QUE 1,5 M, EM SOLO DE 1A CATEGORIA, EM LOCAIS COM ALTO NÍVEL DE INTERFERÊNCIA. AF_09/2024</v>
      </c>
      <c r="G389" s="44" t="str">
        <f>ORÇAMENTO!E458</f>
        <v>M³</v>
      </c>
      <c r="H389" s="44">
        <f>ORÇAMENTO!F458</f>
        <v>2.2999999999999998</v>
      </c>
      <c r="I389" s="44">
        <f>ORÇAMENTO!G458</f>
        <v>8.5299999999999994</v>
      </c>
      <c r="J389" s="44">
        <f>ORÇAMENTO!H458</f>
        <v>0.2122</v>
      </c>
      <c r="K389" s="44">
        <f>ORÇAMENTO!I458</f>
        <v>10.34</v>
      </c>
      <c r="L389" s="44">
        <f>ORÇAMENTO!J458</f>
        <v>23.78</v>
      </c>
      <c r="M389" s="23">
        <f>ORÇAMENTO!K458</f>
        <v>8.4069427368431234E-7</v>
      </c>
      <c r="N389" s="23" t="str">
        <f t="shared" si="25"/>
        <v>OK!</v>
      </c>
      <c r="O389" s="23" t="str">
        <f t="shared" si="26"/>
        <v>OK!</v>
      </c>
      <c r="P389" s="23" t="str">
        <f t="shared" si="27"/>
        <v>OK!</v>
      </c>
    </row>
    <row r="390" spans="2:16" ht="58" x14ac:dyDescent="0.35">
      <c r="B390" s="43">
        <f t="shared" si="24"/>
        <v>64</v>
      </c>
      <c r="C390" s="44" t="str">
        <f>ORÇAMENTO!A653</f>
        <v>6.1.2.6.6</v>
      </c>
      <c r="D390" s="44" t="str">
        <f>ORÇAMENTO!B653</f>
        <v xml:space="preserve"> 90086 </v>
      </c>
      <c r="E390" s="44" t="str">
        <f>ORÇAMENTO!C653</f>
        <v>SINAPI</v>
      </c>
      <c r="F390" s="480" t="str">
        <f>ORÇAMENTO!D653</f>
        <v>ESCAVAÇÃO MECANIZADA DE VALA COM PROF. MAIOR QUE 3,0 M ATÉ 4,5 M(MÉDIA MONTANTE E JUSANTE/UMA COMPOSIÇÃO POR TRECHO), ESCAVADEIRA (0,8 M3), LARG. MENOR QUE 1,5 M, EM SOLO DE 1A CATEGORIA, EM LOCAIS COM ALTO NÍVEL DE INTERFERÊNCIA. AF_09/2024</v>
      </c>
      <c r="G390" s="44" t="str">
        <f>ORÇAMENTO!E653</f>
        <v>M³</v>
      </c>
      <c r="H390" s="44">
        <f>ORÇAMENTO!F653</f>
        <v>0.1</v>
      </c>
      <c r="I390" s="44">
        <f>ORÇAMENTO!G653</f>
        <v>8.5299999999999994</v>
      </c>
      <c r="J390" s="44">
        <f>ORÇAMENTO!H653</f>
        <v>0.2122</v>
      </c>
      <c r="K390" s="44">
        <f>ORÇAMENTO!I653</f>
        <v>10.34</v>
      </c>
      <c r="L390" s="44">
        <f>ORÇAMENTO!J653</f>
        <v>1.03</v>
      </c>
      <c r="M390" s="23">
        <f>ORÇAMENTO!K653</f>
        <v>3.6413587127621602E-8</v>
      </c>
      <c r="N390" s="23" t="str">
        <f t="shared" si="25"/>
        <v>OK!</v>
      </c>
      <c r="O390" s="23" t="str">
        <f t="shared" si="26"/>
        <v>OK!</v>
      </c>
      <c r="P390" s="23" t="str">
        <f t="shared" si="27"/>
        <v>OK!</v>
      </c>
    </row>
    <row r="391" spans="2:16" ht="58" x14ac:dyDescent="0.35">
      <c r="B391" s="43">
        <f t="shared" si="24"/>
        <v>64</v>
      </c>
      <c r="C391" s="44" t="str">
        <f>ORÇAMENTO!A867</f>
        <v>7.1.2.6.14</v>
      </c>
      <c r="D391" s="44" t="str">
        <f>ORÇAMENTO!B867</f>
        <v xml:space="preserve"> 90086 </v>
      </c>
      <c r="E391" s="44" t="str">
        <f>ORÇAMENTO!C867</f>
        <v>SINAPI</v>
      </c>
      <c r="F391" s="480" t="str">
        <f>ORÇAMENTO!D867</f>
        <v>ESCAVAÇÃO MECANIZADA DE VALA COM PROF. MAIOR QUE 3,0 M ATÉ 4,5 M(MÉDIA MONTANTE E JUSANTE/UMA COMPOSIÇÃO POR TRECHO), ESCAVADEIRA (0,8 M3), LARG. MENOR QUE 1,5 M, EM SOLO DE 1A CATEGORIA, EM LOCAIS COM ALTO NÍVEL DE INTERFERÊNCIA. AF_09/2024</v>
      </c>
      <c r="G391" s="44" t="str">
        <f>ORÇAMENTO!E867</f>
        <v>M³</v>
      </c>
      <c r="H391" s="44">
        <f>ORÇAMENTO!F867</f>
        <v>15.57</v>
      </c>
      <c r="I391" s="44">
        <f>ORÇAMENTO!G867</f>
        <v>8.5299999999999994</v>
      </c>
      <c r="J391" s="44">
        <f>ORÇAMENTO!H867</f>
        <v>0.2122</v>
      </c>
      <c r="K391" s="44">
        <f>ORÇAMENTO!I867</f>
        <v>10.34</v>
      </c>
      <c r="L391" s="44">
        <f>ORÇAMENTO!J867</f>
        <v>160.99</v>
      </c>
      <c r="M391" s="23">
        <f>ORÇAMENTO!K867</f>
        <v>5.691479021044468E-6</v>
      </c>
      <c r="N391" s="23" t="str">
        <f t="shared" si="25"/>
        <v>OK!</v>
      </c>
      <c r="O391" s="23" t="str">
        <f t="shared" si="26"/>
        <v>OK!</v>
      </c>
      <c r="P391" s="23" t="str">
        <f t="shared" si="27"/>
        <v>OK!</v>
      </c>
    </row>
    <row r="392" spans="2:16" ht="58" x14ac:dyDescent="0.35">
      <c r="B392" s="43">
        <f t="shared" si="24"/>
        <v>65</v>
      </c>
      <c r="C392" s="44" t="str">
        <f>ORÇAMENTO!A141</f>
        <v>4.1.2.1.6</v>
      </c>
      <c r="D392" s="44" t="str">
        <f>ORÇAMENTO!B141</f>
        <v xml:space="preserve"> 102289 </v>
      </c>
      <c r="E392" s="44" t="str">
        <f>ORÇAMENTO!C141</f>
        <v>SINAPI</v>
      </c>
      <c r="F392" s="480" t="str">
        <f>ORÇAMENTO!D141</f>
        <v>ESCAVAÇÃO MECANIZADA DE VALA COM PROF. MAIOR QUE 4,5 M ATÉ 6,0 M (MÉDIA MONTANTE E JUSANTE/UMA COMPOSIÇÃO POR TRECHO), ESCAVADEIRA (1,2 M3), LARG. DE 1,5 M A 2,5 M, EM SOLO MOLE, EM LOCAIS COM ALTO NÍVEL DE INTERFERÊNCIA. AF_09/2024</v>
      </c>
      <c r="G392" s="44" t="str">
        <f>ORÇAMENTO!E141</f>
        <v>M³</v>
      </c>
      <c r="H392" s="44">
        <f>ORÇAMENTO!F141</f>
        <v>148.49079890181946</v>
      </c>
      <c r="I392" s="44">
        <f>ORÇAMENTO!G141</f>
        <v>10.73</v>
      </c>
      <c r="J392" s="44">
        <f>ORÇAMENTO!H141</f>
        <v>0.2122</v>
      </c>
      <c r="K392" s="44">
        <f>ORÇAMENTO!I141</f>
        <v>13.01</v>
      </c>
      <c r="L392" s="44">
        <f>ORÇAMENTO!J141</f>
        <v>1931.86</v>
      </c>
      <c r="M392" s="23">
        <f>ORÇAMENTO!K141</f>
        <v>6.8297041192589379E-5</v>
      </c>
      <c r="N392" s="23" t="str">
        <f t="shared" si="25"/>
        <v>DIFERENTE</v>
      </c>
      <c r="O392" s="23" t="str">
        <f t="shared" si="26"/>
        <v>DIFERENTE</v>
      </c>
      <c r="P392" s="23" t="str">
        <f t="shared" si="27"/>
        <v>DIFERENTE</v>
      </c>
    </row>
    <row r="393" spans="2:16" ht="58" x14ac:dyDescent="0.35">
      <c r="B393" s="43">
        <f t="shared" si="24"/>
        <v>65</v>
      </c>
      <c r="C393" s="44" t="str">
        <f>ORÇAMENTO!A381</f>
        <v>5.1.2.1.4</v>
      </c>
      <c r="D393" s="44" t="str">
        <f>ORÇAMENTO!B381</f>
        <v xml:space="preserve"> 102289 </v>
      </c>
      <c r="E393" s="44" t="str">
        <f>ORÇAMENTO!C381</f>
        <v>SINAPI</v>
      </c>
      <c r="F393" s="480" t="str">
        <f>ORÇAMENTO!D381</f>
        <v>ESCAVAÇÃO MECANIZADA DE VALA COM PROF. MAIOR QUE 4,5 M ATÉ 6,0 M (MÉDIA MONTANTE E JUSANTE/UMA COMPOSIÇÃO POR TRECHO), ESCAVADEIRA (1,2 M3), LARG. DE 1,5 M A 2,5 M, EM SOLO MOLE, EM LOCAIS COM ALTO NÍVEL DE INTERFERÊNCIA. AF_09/2024</v>
      </c>
      <c r="G393" s="44" t="str">
        <f>ORÇAMENTO!E381</f>
        <v>M³</v>
      </c>
      <c r="H393" s="44">
        <f>ORÇAMENTO!F381</f>
        <v>14.040000000000035</v>
      </c>
      <c r="I393" s="44">
        <f>ORÇAMENTO!G381</f>
        <v>10.73</v>
      </c>
      <c r="J393" s="44">
        <f>ORÇAMENTO!H381</f>
        <v>0.2122</v>
      </c>
      <c r="K393" s="44">
        <f>ORÇAMENTO!I381</f>
        <v>13.01</v>
      </c>
      <c r="L393" s="44">
        <f>ORÇAMENTO!J381</f>
        <v>182.66</v>
      </c>
      <c r="M393" s="23">
        <f>ORÇAMENTO!K381</f>
        <v>6.4575784706129722E-6</v>
      </c>
      <c r="N393" s="23" t="str">
        <f t="shared" si="25"/>
        <v>OK!</v>
      </c>
      <c r="O393" s="23" t="str">
        <f t="shared" si="26"/>
        <v>OK!</v>
      </c>
      <c r="P393" s="23" t="str">
        <f t="shared" si="27"/>
        <v>OK!</v>
      </c>
    </row>
    <row r="394" spans="2:16" ht="43.5" x14ac:dyDescent="0.35">
      <c r="B394" s="43">
        <f t="shared" si="24"/>
        <v>66</v>
      </c>
      <c r="C394" s="44" t="str">
        <f>ORÇAMENTO!A149</f>
        <v>4.1.2.1.14</v>
      </c>
      <c r="D394" s="44" t="str">
        <f>ORÇAMENTO!B149</f>
        <v xml:space="preserve"> 00000005 </v>
      </c>
      <c r="E394" s="44" t="str">
        <f>ORÇAMENTO!C149</f>
        <v>PRÓPRIO</v>
      </c>
      <c r="F394" s="480" t="str">
        <f>ORÇAMENTO!D149</f>
        <v>ESCAVAÇÃO MECANIZADA DE VALAS EM MATERIAL DE 1ª E/OU 2ª CATEGORIAS, LARGURA MAIOR QUE 2,5M E ACIMA DE 4,00 M E ATÉ 6,00 M DE PROFUNDIDADE.</v>
      </c>
      <c r="G394" s="44" t="str">
        <f>ORÇAMENTO!E149</f>
        <v>M³</v>
      </c>
      <c r="H394" s="44">
        <f>ORÇAMENTO!F149</f>
        <v>125.4469271791038</v>
      </c>
      <c r="I394" s="44">
        <f>ORÇAMENTO!G149</f>
        <v>26.13</v>
      </c>
      <c r="J394" s="44">
        <f>ORÇAMENTO!H149</f>
        <v>0.2122</v>
      </c>
      <c r="K394" s="44">
        <f>ORÇAMENTO!I149</f>
        <v>31.67</v>
      </c>
      <c r="L394" s="44">
        <f>ORÇAMENTO!J149</f>
        <v>3972.9</v>
      </c>
      <c r="M394" s="23">
        <f>ORÇAMENTO!K149</f>
        <v>1.4045392262070666E-4</v>
      </c>
      <c r="N394" s="23" t="str">
        <f t="shared" si="25"/>
        <v>DIFERENTE</v>
      </c>
      <c r="O394" s="23" t="str">
        <f t="shared" si="26"/>
        <v>DIFERENTE</v>
      </c>
      <c r="P394" s="23" t="str">
        <f t="shared" si="27"/>
        <v>DIFERENTE</v>
      </c>
    </row>
    <row r="395" spans="2:16" ht="43.5" x14ac:dyDescent="0.35">
      <c r="B395" s="43">
        <f t="shared" si="24"/>
        <v>66</v>
      </c>
      <c r="C395" s="44" t="str">
        <f>ORÇAMENTO!A796</f>
        <v>7.1.2.1.12</v>
      </c>
      <c r="D395" s="44" t="str">
        <f>ORÇAMENTO!B796</f>
        <v xml:space="preserve"> 00000005 </v>
      </c>
      <c r="E395" s="44" t="str">
        <f>ORÇAMENTO!C796</f>
        <v>PRÓPRIO</v>
      </c>
      <c r="F395" s="480" t="str">
        <f>ORÇAMENTO!D796</f>
        <v>ESCAVAÇÃO MECANIZADA DE VALAS EM MATERIAL DE 1ª E/OU 2ª CATEGORIAS, LARGURA MAIOR QUE 2,5M E ACIMA DE 4,00 M E ATÉ 6,00 M DE PROFUNDIDADE.</v>
      </c>
      <c r="G395" s="44" t="str">
        <f>ORÇAMENTO!E796</f>
        <v>M³</v>
      </c>
      <c r="H395" s="44">
        <f>ORÇAMENTO!F796</f>
        <v>338.82929999540391</v>
      </c>
      <c r="I395" s="44">
        <f>ORÇAMENTO!G796</f>
        <v>26.13</v>
      </c>
      <c r="J395" s="44">
        <f>ORÇAMENTO!H796</f>
        <v>0.2122</v>
      </c>
      <c r="K395" s="44">
        <f>ORÇAMENTO!I796</f>
        <v>31.67</v>
      </c>
      <c r="L395" s="44">
        <f>ORÇAMENTO!J796</f>
        <v>10730.72</v>
      </c>
      <c r="M395" s="23">
        <f>ORÇAMENTO!K796</f>
        <v>3.7936311423505985E-4</v>
      </c>
      <c r="N395" s="23" t="str">
        <f t="shared" si="25"/>
        <v>OK!</v>
      </c>
      <c r="O395" s="23" t="str">
        <f t="shared" si="26"/>
        <v>OK!</v>
      </c>
      <c r="P395" s="23" t="str">
        <f t="shared" si="27"/>
        <v>OK!</v>
      </c>
    </row>
    <row r="396" spans="2:16" s="483" customFormat="1" ht="29" x14ac:dyDescent="0.35">
      <c r="B396" s="43">
        <f t="shared" si="24"/>
        <v>67</v>
      </c>
      <c r="C396" s="44" t="str">
        <f>ORÇAMENTO!A147</f>
        <v>4.1.2.1.12</v>
      </c>
      <c r="D396" s="44" t="str">
        <f>ORÇAMENTO!B147</f>
        <v xml:space="preserve"> 00000003 </v>
      </c>
      <c r="E396" s="44" t="str">
        <f>ORÇAMENTO!C147</f>
        <v>PRÓPRIO</v>
      </c>
      <c r="F396" s="480" t="str">
        <f>ORÇAMENTO!D147</f>
        <v>ESCAVAÇÃO MECANIZADA DE VALAS EM MATERIAL DE 1ª E/OU 2ª CATEGORIAS, LARGURA MAIOR QUE 2,5M E ATÉ 2,00 M DE PROFUNDIDADE</v>
      </c>
      <c r="G396" s="44" t="str">
        <f>ORÇAMENTO!E147</f>
        <v>M³</v>
      </c>
      <c r="H396" s="44">
        <f>ORÇAMENTO!F147</f>
        <v>1983.7951788816897</v>
      </c>
      <c r="I396" s="44">
        <f>ORÇAMENTO!G147</f>
        <v>13.06</v>
      </c>
      <c r="J396" s="44">
        <f>ORÇAMENTO!H147</f>
        <v>0.2122</v>
      </c>
      <c r="K396" s="44">
        <f>ORÇAMENTO!I147</f>
        <v>15.83</v>
      </c>
      <c r="L396" s="44">
        <f>ORÇAMENTO!J147</f>
        <v>31403.47</v>
      </c>
      <c r="M396" s="23">
        <f>ORÇAMENTO!K147</f>
        <v>1.1102067873346127E-3</v>
      </c>
      <c r="N396" s="23" t="str">
        <f t="shared" si="25"/>
        <v>DIFERENTE</v>
      </c>
      <c r="O396" s="23" t="str">
        <f t="shared" si="26"/>
        <v>DIFERENTE</v>
      </c>
      <c r="P396" s="23" t="str">
        <f t="shared" si="27"/>
        <v>DIFERENTE</v>
      </c>
    </row>
    <row r="397" spans="2:16" ht="29" x14ac:dyDescent="0.35">
      <c r="B397" s="43">
        <f t="shared" si="24"/>
        <v>67</v>
      </c>
      <c r="C397" s="44" t="str">
        <f>ORÇAMENTO!A387</f>
        <v>5.1.2.1.10</v>
      </c>
      <c r="D397" s="44" t="str">
        <f>ORÇAMENTO!B387</f>
        <v xml:space="preserve"> 00000003 </v>
      </c>
      <c r="E397" s="44" t="str">
        <f>ORÇAMENTO!C387</f>
        <v>PRÓPRIO</v>
      </c>
      <c r="F397" s="480" t="str">
        <f>ORÇAMENTO!D387</f>
        <v>ESCAVAÇÃO MECANIZADA DE VALAS EM MATERIAL DE 1ª E/OU 2ª CATEGORIAS, LARGURA MAIOR QUE 2,5M E ATÉ 2,00 M DE PROFUNDIDADE</v>
      </c>
      <c r="G397" s="44" t="str">
        <f>ORÇAMENTO!E387</f>
        <v>M³</v>
      </c>
      <c r="H397" s="44">
        <f>ORÇAMENTO!F387</f>
        <v>792.846</v>
      </c>
      <c r="I397" s="44">
        <f>ORÇAMENTO!G387</f>
        <v>13.06</v>
      </c>
      <c r="J397" s="44">
        <f>ORÇAMENTO!H387</f>
        <v>0.2122</v>
      </c>
      <c r="K397" s="44">
        <f>ORÇAMENTO!I387</f>
        <v>15.83</v>
      </c>
      <c r="L397" s="44">
        <f>ORÇAMENTO!J387</f>
        <v>12550.75</v>
      </c>
      <c r="M397" s="23">
        <f>ORÇAMENTO!K387</f>
        <v>4.4370662974951147E-4</v>
      </c>
      <c r="N397" s="23" t="str">
        <f t="shared" si="25"/>
        <v>OK!</v>
      </c>
      <c r="O397" s="23" t="str">
        <f t="shared" si="26"/>
        <v>OK!</v>
      </c>
      <c r="P397" s="23" t="str">
        <f t="shared" si="27"/>
        <v>OK!</v>
      </c>
    </row>
    <row r="398" spans="2:16" ht="29" x14ac:dyDescent="0.35">
      <c r="B398" s="43">
        <f t="shared" si="24"/>
        <v>67</v>
      </c>
      <c r="C398" s="44" t="str">
        <f>ORÇAMENTO!A600</f>
        <v>6.1.2.1.6</v>
      </c>
      <c r="D398" s="44" t="str">
        <f>ORÇAMENTO!B600</f>
        <v xml:space="preserve"> 00000003 </v>
      </c>
      <c r="E398" s="44" t="str">
        <f>ORÇAMENTO!C600</f>
        <v>PRÓPRIO</v>
      </c>
      <c r="F398" s="480" t="str">
        <f>ORÇAMENTO!D600</f>
        <v>ESCAVAÇÃO MECANIZADA DE VALAS EM MATERIAL DE 1ª E/OU 2ª CATEGORIAS, LARGURA MAIOR QUE 2,5M E ATÉ 2,00 M DE PROFUNDIDADE</v>
      </c>
      <c r="G398" s="44" t="str">
        <f>ORÇAMENTO!E600</f>
        <v>M³</v>
      </c>
      <c r="H398" s="44">
        <f>ORÇAMENTO!F600</f>
        <v>518.82072152535636</v>
      </c>
      <c r="I398" s="44">
        <f>ORÇAMENTO!G600</f>
        <v>13.06</v>
      </c>
      <c r="J398" s="44">
        <f>ORÇAMENTO!H600</f>
        <v>0.2122</v>
      </c>
      <c r="K398" s="44">
        <f>ORÇAMENTO!I600</f>
        <v>15.83</v>
      </c>
      <c r="L398" s="44">
        <f>ORÇAMENTO!J600</f>
        <v>8212.93</v>
      </c>
      <c r="M398" s="23">
        <f>ORÇAMENTO!K600</f>
        <v>2.9035169138646338E-4</v>
      </c>
      <c r="N398" s="23" t="str">
        <f t="shared" si="25"/>
        <v>OK!</v>
      </c>
      <c r="O398" s="23" t="str">
        <f t="shared" si="26"/>
        <v>OK!</v>
      </c>
      <c r="P398" s="23" t="str">
        <f t="shared" si="27"/>
        <v>OK!</v>
      </c>
    </row>
    <row r="399" spans="2:16" ht="29" x14ac:dyDescent="0.35">
      <c r="B399" s="43">
        <f t="shared" si="24"/>
        <v>67</v>
      </c>
      <c r="C399" s="44" t="str">
        <f>ORÇAMENTO!A794</f>
        <v>7.1.2.1.10</v>
      </c>
      <c r="D399" s="44" t="str">
        <f>ORÇAMENTO!B794</f>
        <v xml:space="preserve"> 00000003 </v>
      </c>
      <c r="E399" s="44" t="str">
        <f>ORÇAMENTO!C794</f>
        <v>PRÓPRIO</v>
      </c>
      <c r="F399" s="480" t="str">
        <f>ORÇAMENTO!D794</f>
        <v>ESCAVAÇÃO MECANIZADA DE VALAS EM MATERIAL DE 1ª E/OU 2ª CATEGORIAS, LARGURA MAIOR QUE 2,5M E ATÉ 2,00 M DE PROFUNDIDADE</v>
      </c>
      <c r="G399" s="44" t="str">
        <f>ORÇAMENTO!E794</f>
        <v>M³</v>
      </c>
      <c r="H399" s="44">
        <f>ORÇAMENTO!F794</f>
        <v>4208.420000000001</v>
      </c>
      <c r="I399" s="44">
        <f>ORÇAMENTO!G794</f>
        <v>13.06</v>
      </c>
      <c r="J399" s="44">
        <f>ORÇAMENTO!H794</f>
        <v>0.2122</v>
      </c>
      <c r="K399" s="44">
        <f>ORÇAMENTO!I794</f>
        <v>15.83</v>
      </c>
      <c r="L399" s="44">
        <f>ORÇAMENTO!J794</f>
        <v>66619.28</v>
      </c>
      <c r="M399" s="23">
        <f>ORÇAMENTO!K794</f>
        <v>2.3551912200576886E-3</v>
      </c>
      <c r="N399" s="23" t="str">
        <f t="shared" si="25"/>
        <v>OK!</v>
      </c>
      <c r="O399" s="23" t="str">
        <f t="shared" si="26"/>
        <v>OK!</v>
      </c>
      <c r="P399" s="23" t="str">
        <f t="shared" si="27"/>
        <v>OK!</v>
      </c>
    </row>
    <row r="400" spans="2:16" ht="43.5" x14ac:dyDescent="0.35">
      <c r="B400" s="43">
        <f t="shared" si="24"/>
        <v>68</v>
      </c>
      <c r="C400" s="44" t="str">
        <f>ORÇAMENTO!A148</f>
        <v>4.1.2.1.13</v>
      </c>
      <c r="D400" s="44" t="str">
        <f>ORÇAMENTO!B148</f>
        <v xml:space="preserve"> 00000004 </v>
      </c>
      <c r="E400" s="44" t="str">
        <f>ORÇAMENTO!C148</f>
        <v>PRÓPRIO</v>
      </c>
      <c r="F400" s="480" t="str">
        <f>ORÇAMENTO!D148</f>
        <v>ESCAVAÇÃO MECANIZADA DE VALAS EM MATERIAL DE 1ª E/OU 2ª CATEGORIAS, LARGURA MAIOR QUE 2,5M EACIMA DE 2,00 M  E ATÉ 4,00 M DE PROFUNDIDADE.</v>
      </c>
      <c r="G400" s="44" t="str">
        <f>ORÇAMENTO!E148</f>
        <v>M³</v>
      </c>
      <c r="H400" s="44">
        <f>ORÇAMENTO!F148</f>
        <v>1131.6166220623754</v>
      </c>
      <c r="I400" s="44">
        <f>ORÇAMENTO!G148</f>
        <v>17.96</v>
      </c>
      <c r="J400" s="44">
        <f>ORÇAMENTO!H148</f>
        <v>0.2122</v>
      </c>
      <c r="K400" s="44">
        <f>ORÇAMENTO!I148</f>
        <v>21.77</v>
      </c>
      <c r="L400" s="44">
        <f>ORÇAMENTO!J148</f>
        <v>24635.29</v>
      </c>
      <c r="M400" s="23">
        <f>ORÇAMENTO!K148</f>
        <v>8.7093133866915069E-4</v>
      </c>
      <c r="N400" s="23" t="str">
        <f t="shared" si="25"/>
        <v>DIFERENTE</v>
      </c>
      <c r="O400" s="23" t="str">
        <f t="shared" si="26"/>
        <v>DIFERENTE</v>
      </c>
      <c r="P400" s="23" t="str">
        <f t="shared" si="27"/>
        <v>DIFERENTE</v>
      </c>
    </row>
    <row r="401" spans="2:16" ht="43.5" x14ac:dyDescent="0.35">
      <c r="B401" s="43">
        <f t="shared" si="24"/>
        <v>68</v>
      </c>
      <c r="C401" s="44" t="str">
        <f>ORÇAMENTO!A388</f>
        <v>5.1.2.1.11</v>
      </c>
      <c r="D401" s="44" t="str">
        <f>ORÇAMENTO!B388</f>
        <v xml:space="preserve"> 00000004 </v>
      </c>
      <c r="E401" s="44" t="str">
        <f>ORÇAMENTO!C388</f>
        <v>PRÓPRIO</v>
      </c>
      <c r="F401" s="480" t="str">
        <f>ORÇAMENTO!D388</f>
        <v>ESCAVAÇÃO MECANIZADA DE VALAS EM MATERIAL DE 1ª E/OU 2ª CATEGORIAS, LARGURA MAIOR QUE 2,5M EACIMA DE 2,00 M  E ATÉ 4,00 M DE PROFUNDIDADE.</v>
      </c>
      <c r="G401" s="44" t="str">
        <f>ORÇAMENTO!E388</f>
        <v>M³</v>
      </c>
      <c r="H401" s="44">
        <f>ORÇAMENTO!F388</f>
        <v>332.83466560515706</v>
      </c>
      <c r="I401" s="44">
        <f>ORÇAMENTO!G388</f>
        <v>17.96</v>
      </c>
      <c r="J401" s="44">
        <f>ORÇAMENTO!H388</f>
        <v>0.2122</v>
      </c>
      <c r="K401" s="44">
        <f>ORÇAMENTO!I388</f>
        <v>21.77</v>
      </c>
      <c r="L401" s="44">
        <f>ORÇAMENTO!J388</f>
        <v>7245.81</v>
      </c>
      <c r="M401" s="23">
        <f>ORÇAMENTO!K388</f>
        <v>2.5616110072348725E-4</v>
      </c>
      <c r="N401" s="23" t="str">
        <f t="shared" si="25"/>
        <v>OK!</v>
      </c>
      <c r="O401" s="23" t="str">
        <f t="shared" si="26"/>
        <v>OK!</v>
      </c>
      <c r="P401" s="23" t="str">
        <f t="shared" si="27"/>
        <v>OK!</v>
      </c>
    </row>
    <row r="402" spans="2:16" ht="43.5" x14ac:dyDescent="0.35">
      <c r="B402" s="43">
        <f t="shared" si="24"/>
        <v>68</v>
      </c>
      <c r="C402" s="44" t="str">
        <f>ORÇAMENTO!A601</f>
        <v>6.1.2.1.7</v>
      </c>
      <c r="D402" s="44" t="str">
        <f>ORÇAMENTO!B601</f>
        <v xml:space="preserve"> 00000004 </v>
      </c>
      <c r="E402" s="44" t="str">
        <f>ORÇAMENTO!C601</f>
        <v>PRÓPRIO</v>
      </c>
      <c r="F402" s="480" t="str">
        <f>ORÇAMENTO!D601</f>
        <v>ESCAVAÇÃO MECANIZADA DE VALAS EM MATERIAL DE 1ª E/OU 2ª CATEGORIAS, LARGURA MAIOR QUE 2,5M EACIMA DE 2,00 M  E ATÉ 4,00 M DE PROFUNDIDADE.</v>
      </c>
      <c r="G402" s="44" t="str">
        <f>ORÇAMENTO!E601</f>
        <v>M³</v>
      </c>
      <c r="H402" s="44">
        <f>ORÇAMENTO!F601</f>
        <v>112.65387743670635</v>
      </c>
      <c r="I402" s="44">
        <f>ORÇAMENTO!G601</f>
        <v>17.96</v>
      </c>
      <c r="J402" s="44">
        <f>ORÇAMENTO!H601</f>
        <v>0.2122</v>
      </c>
      <c r="K402" s="44">
        <f>ORÇAMENTO!I601</f>
        <v>21.77</v>
      </c>
      <c r="L402" s="44">
        <f>ORÇAMENTO!J601</f>
        <v>2452.4699999999998</v>
      </c>
      <c r="M402" s="23">
        <f>ORÇAMENTO!K601</f>
        <v>8.6702165070755483E-5</v>
      </c>
      <c r="N402" s="23" t="str">
        <f t="shared" si="25"/>
        <v>OK!</v>
      </c>
      <c r="O402" s="23" t="str">
        <f t="shared" si="26"/>
        <v>OK!</v>
      </c>
      <c r="P402" s="23" t="str">
        <f t="shared" si="27"/>
        <v>OK!</v>
      </c>
    </row>
    <row r="403" spans="2:16" ht="43.5" x14ac:dyDescent="0.35">
      <c r="B403" s="43">
        <f t="shared" si="24"/>
        <v>68</v>
      </c>
      <c r="C403" s="44" t="str">
        <f>ORÇAMENTO!A795</f>
        <v>7.1.2.1.11</v>
      </c>
      <c r="D403" s="44" t="str">
        <f>ORÇAMENTO!B795</f>
        <v xml:space="preserve"> 00000004 </v>
      </c>
      <c r="E403" s="44" t="str">
        <f>ORÇAMENTO!C795</f>
        <v>PRÓPRIO</v>
      </c>
      <c r="F403" s="480" t="str">
        <f>ORÇAMENTO!D795</f>
        <v>ESCAVAÇÃO MECANIZADA DE VALAS EM MATERIAL DE 1ª E/OU 2ª CATEGORIAS, LARGURA MAIOR QUE 2,5M EACIMA DE 2,00 M  E ATÉ 4,00 M DE PROFUNDIDADE.</v>
      </c>
      <c r="G403" s="44" t="str">
        <f>ORÇAMENTO!E795</f>
        <v>M³</v>
      </c>
      <c r="H403" s="44">
        <f>ORÇAMENTO!F795</f>
        <v>3440.1770603340765</v>
      </c>
      <c r="I403" s="44">
        <f>ORÇAMENTO!G795</f>
        <v>17.96</v>
      </c>
      <c r="J403" s="44">
        <f>ORÇAMENTO!H795</f>
        <v>0.2122</v>
      </c>
      <c r="K403" s="44">
        <f>ORÇAMENTO!I795</f>
        <v>21.77</v>
      </c>
      <c r="L403" s="44">
        <f>ORÇAMENTO!J795</f>
        <v>74892.649999999994</v>
      </c>
      <c r="M403" s="23">
        <f>ORÇAMENTO!K795</f>
        <v>2.6476796465956017E-3</v>
      </c>
      <c r="N403" s="23" t="str">
        <f t="shared" si="25"/>
        <v>OK!</v>
      </c>
      <c r="O403" s="23" t="str">
        <f t="shared" si="26"/>
        <v>OK!</v>
      </c>
      <c r="P403" s="23" t="str">
        <f t="shared" si="27"/>
        <v>OK!</v>
      </c>
    </row>
    <row r="404" spans="2:16" ht="43.5" x14ac:dyDescent="0.35">
      <c r="B404" s="43">
        <f t="shared" si="24"/>
        <v>69</v>
      </c>
      <c r="C404" s="44" t="str">
        <f>ORÇAMENTO!A995</f>
        <v xml:space="preserve"> 8.2.1 </v>
      </c>
      <c r="D404" s="44" t="str">
        <f>ORÇAMENTO!B995</f>
        <v xml:space="preserve"> 5502899 </v>
      </c>
      <c r="E404" s="44" t="str">
        <f>ORÇAMENTO!C995</f>
        <v>SICRO3</v>
      </c>
      <c r="F404" s="636" t="str">
        <f>ORÇAMENTO!D995</f>
        <v>ESCAVAÇÃO, CARGA E TRANSPORTE DE SOLOS MOLES - DMT DE 50 A 200 M - CAMINHO DE SERVIÇO EM LEITO NATURAL - COM CAMINHÃOBASCULANTE DE 14 M³</v>
      </c>
      <c r="G404" s="44" t="str">
        <f>ORÇAMENTO!E995</f>
        <v>M³</v>
      </c>
      <c r="H404" s="44">
        <f>ORÇAMENTO!F995</f>
        <v>24527.94</v>
      </c>
      <c r="I404" s="44">
        <f>ORÇAMENTO!G995</f>
        <v>17.829999999999998</v>
      </c>
      <c r="J404" s="44">
        <f>ORÇAMENTO!H995</f>
        <v>0.2122</v>
      </c>
      <c r="K404" s="44">
        <f>ORÇAMENTO!I995</f>
        <v>21.61</v>
      </c>
      <c r="L404" s="638">
        <f>ORÇAMENTO!J995</f>
        <v>530048.78</v>
      </c>
      <c r="M404" s="23">
        <f>ORÇAMENTO!K995</f>
        <v>1.8738813041184015E-2</v>
      </c>
      <c r="N404" s="23" t="str">
        <f t="shared" si="25"/>
        <v>DIFERENTE</v>
      </c>
      <c r="O404" s="23" t="str">
        <f t="shared" si="26"/>
        <v>DIFERENTE</v>
      </c>
      <c r="P404" s="23" t="str">
        <f t="shared" si="27"/>
        <v>DIFERENTE</v>
      </c>
    </row>
    <row r="405" spans="2:16" ht="29" x14ac:dyDescent="0.35">
      <c r="B405" s="43">
        <f t="shared" si="24"/>
        <v>70</v>
      </c>
      <c r="C405" s="44" t="str">
        <f>ORÇAMENTO!A262</f>
        <v>4.1.2.7.10</v>
      </c>
      <c r="D405" s="44" t="str">
        <f>ORÇAMENTO!B262</f>
        <v xml:space="preserve"> 101792 </v>
      </c>
      <c r="E405" s="44" t="str">
        <f>ORÇAMENTO!C262</f>
        <v>SINAPI</v>
      </c>
      <c r="F405" s="480" t="str">
        <f>ORÇAMENTO!D262</f>
        <v>ESCORAMENTO DE FÔRMAS DE LAJE EM MADEIRA NÃO APARELHADA, PÉ-DIREITO SIMPLES, INCLUSO TRAVAMENTO, 4 UTILIZAÇÕES. AF_09/2020</v>
      </c>
      <c r="G405" s="44" t="str">
        <f>ORÇAMENTO!E262</f>
        <v>M³</v>
      </c>
      <c r="H405" s="44">
        <f>ORÇAMENTO!F262</f>
        <v>238.82</v>
      </c>
      <c r="I405" s="44">
        <f>ORÇAMENTO!G262</f>
        <v>17.05</v>
      </c>
      <c r="J405" s="44">
        <f>ORÇAMENTO!H262</f>
        <v>0.2122</v>
      </c>
      <c r="K405" s="44">
        <f>ORÇAMENTO!I262</f>
        <v>20.67</v>
      </c>
      <c r="L405" s="44">
        <f>ORÇAMENTO!J262</f>
        <v>4936.3999999999996</v>
      </c>
      <c r="M405" s="23">
        <f>ORÇAMENTO!K262</f>
        <v>1.7451653543377793E-4</v>
      </c>
      <c r="N405" s="23" t="str">
        <f t="shared" si="25"/>
        <v>DIFERENTE</v>
      </c>
      <c r="O405" s="23" t="str">
        <f t="shared" si="26"/>
        <v>DIFERENTE</v>
      </c>
      <c r="P405" s="23" t="str">
        <f t="shared" si="27"/>
        <v>DIFERENTE</v>
      </c>
    </row>
    <row r="406" spans="2:16" ht="29" x14ac:dyDescent="0.35">
      <c r="B406" s="43">
        <f t="shared" si="24"/>
        <v>70</v>
      </c>
      <c r="C406" s="44" t="str">
        <f>ORÇAMENTO!A505</f>
        <v>5.1.2.7.10</v>
      </c>
      <c r="D406" s="44" t="str">
        <f>ORÇAMENTO!B505</f>
        <v xml:space="preserve"> 101792 </v>
      </c>
      <c r="E406" s="44" t="str">
        <f>ORÇAMENTO!C505</f>
        <v>SINAPI</v>
      </c>
      <c r="F406" s="480" t="str">
        <f>ORÇAMENTO!D505</f>
        <v>ESCORAMENTO DE FÔRMAS DE LAJE EM MADEIRA NÃO APARELHADA, PÉ-DIREITO SIMPLES, INCLUSO TRAVAMENTO, 4 UTILIZAÇÕES. AF_09/2020</v>
      </c>
      <c r="G406" s="44" t="str">
        <f>ORÇAMENTO!E505</f>
        <v>M³</v>
      </c>
      <c r="H406" s="44">
        <f>ORÇAMENTO!F505</f>
        <v>264.11</v>
      </c>
      <c r="I406" s="44">
        <f>ORÇAMENTO!G505</f>
        <v>17.05</v>
      </c>
      <c r="J406" s="44">
        <f>ORÇAMENTO!H505</f>
        <v>0.2122</v>
      </c>
      <c r="K406" s="44">
        <f>ORÇAMENTO!I505</f>
        <v>20.67</v>
      </c>
      <c r="L406" s="44">
        <f>ORÇAMENTO!J505</f>
        <v>5459.15</v>
      </c>
      <c r="M406" s="23">
        <f>ORÇAMENTO!K505</f>
        <v>1.9299731472597617E-4</v>
      </c>
      <c r="N406" s="23" t="str">
        <f t="shared" si="25"/>
        <v>OK!</v>
      </c>
      <c r="O406" s="23" t="str">
        <f t="shared" si="26"/>
        <v>OK!</v>
      </c>
      <c r="P406" s="23" t="str">
        <f t="shared" si="27"/>
        <v>OK!</v>
      </c>
    </row>
    <row r="407" spans="2:16" ht="29" x14ac:dyDescent="0.35">
      <c r="B407" s="43">
        <f t="shared" si="24"/>
        <v>70</v>
      </c>
      <c r="C407" s="44" t="str">
        <f>ORÇAMENTO!A700</f>
        <v>6.1.2.7.10</v>
      </c>
      <c r="D407" s="44" t="str">
        <f>ORÇAMENTO!B700</f>
        <v xml:space="preserve"> 101792 </v>
      </c>
      <c r="E407" s="44" t="str">
        <f>ORÇAMENTO!C700</f>
        <v>SINAPI</v>
      </c>
      <c r="F407" s="480" t="str">
        <f>ORÇAMENTO!D700</f>
        <v>ESCORAMENTO DE FÔRMAS DE LAJE EM MADEIRA NÃO APARELHADA, PÉ-DIREITO SIMPLES, INCLUSO TRAVAMENTO, 4 UTILIZAÇÕES. AF_09/2020</v>
      </c>
      <c r="G407" s="44" t="str">
        <f>ORÇAMENTO!E700</f>
        <v>M³</v>
      </c>
      <c r="H407" s="44">
        <f>ORÇAMENTO!F700</f>
        <v>54.86</v>
      </c>
      <c r="I407" s="44">
        <f>ORÇAMENTO!G700</f>
        <v>17.05</v>
      </c>
      <c r="J407" s="44">
        <f>ORÇAMENTO!H700</f>
        <v>0.2122</v>
      </c>
      <c r="K407" s="44">
        <f>ORÇAMENTO!I700</f>
        <v>20.67</v>
      </c>
      <c r="L407" s="44">
        <f>ORÇAMENTO!J700</f>
        <v>1133.95</v>
      </c>
      <c r="M407" s="23">
        <f>ORÇAMENTO!K700</f>
        <v>4.0088531187734484E-5</v>
      </c>
      <c r="N407" s="23" t="str">
        <f t="shared" si="25"/>
        <v>OK!</v>
      </c>
      <c r="O407" s="23" t="str">
        <f t="shared" si="26"/>
        <v>OK!</v>
      </c>
      <c r="P407" s="23" t="str">
        <f t="shared" si="27"/>
        <v>OK!</v>
      </c>
    </row>
    <row r="408" spans="2:16" ht="29" x14ac:dyDescent="0.35">
      <c r="B408" s="43">
        <f t="shared" si="24"/>
        <v>70</v>
      </c>
      <c r="C408" s="44" t="str">
        <f>ORÇAMENTO!A913</f>
        <v>7.1.2.7.10</v>
      </c>
      <c r="D408" s="44" t="str">
        <f>ORÇAMENTO!B913</f>
        <v xml:space="preserve"> 101792 </v>
      </c>
      <c r="E408" s="44" t="str">
        <f>ORÇAMENTO!C913</f>
        <v>SINAPI</v>
      </c>
      <c r="F408" s="480" t="str">
        <f>ORÇAMENTO!D913</f>
        <v>ESCORAMENTO DE FÔRMAS DE LAJE EM MADEIRA NÃO APARELHADA, PÉ-DIREITO SIMPLES, INCLUSO TRAVAMENTO, 4 UTILIZAÇÕES. AF_09/2020</v>
      </c>
      <c r="G408" s="44" t="str">
        <f>ORÇAMENTO!E913</f>
        <v>M³</v>
      </c>
      <c r="H408" s="44">
        <f>ORÇAMENTO!F913</f>
        <v>317.91000000000003</v>
      </c>
      <c r="I408" s="44">
        <f>ORÇAMENTO!G913</f>
        <v>17.05</v>
      </c>
      <c r="J408" s="44">
        <f>ORÇAMENTO!H913</f>
        <v>0.2122</v>
      </c>
      <c r="K408" s="44">
        <f>ORÇAMENTO!I913</f>
        <v>20.67</v>
      </c>
      <c r="L408" s="44">
        <f>ORÇAMENTO!J913</f>
        <v>6571.19</v>
      </c>
      <c r="M408" s="23">
        <f>ORÇAMENTO!K913</f>
        <v>2.3231126174481145E-4</v>
      </c>
      <c r="N408" s="23" t="str">
        <f t="shared" si="25"/>
        <v>OK!</v>
      </c>
      <c r="O408" s="23" t="str">
        <f t="shared" si="26"/>
        <v>OK!</v>
      </c>
      <c r="P408" s="23" t="str">
        <f t="shared" si="27"/>
        <v>OK!</v>
      </c>
    </row>
    <row r="409" spans="2:16" ht="43.5" x14ac:dyDescent="0.35">
      <c r="B409" s="43">
        <f t="shared" si="24"/>
        <v>71</v>
      </c>
      <c r="C409" s="44" t="str">
        <f>ORÇAMENTO!A160</f>
        <v>4.1.2.3.3</v>
      </c>
      <c r="D409" s="44" t="str">
        <f>ORÇAMENTO!B160</f>
        <v xml:space="preserve"> 07.93.32 </v>
      </c>
      <c r="E409" s="44" t="str">
        <f>ORÇAMENTO!C160</f>
        <v>EMBASA</v>
      </c>
      <c r="F409" s="480" t="str">
        <f>ORÇAMENTO!D160</f>
        <v>ESCORAMENTO DE VALA, TIPO BLINDADEM, COM PROFUNDIDADE DE 0 A 1,5 M, LARGURA MAIOR OU IGUAL A 1,5 M EMENOR QUE 2,5 M - EXECUÇÃO E FORNECIMENTO, INCLUI MATERIAL (ESCAVAÇÃO EXTERNA AO BLINDADO)</v>
      </c>
      <c r="G409" s="44" t="str">
        <f>ORÇAMENTO!E160</f>
        <v>M²</v>
      </c>
      <c r="H409" s="44">
        <f>ORÇAMENTO!F160</f>
        <v>868.50518978211539</v>
      </c>
      <c r="I409" s="44">
        <f>ORÇAMENTO!G160</f>
        <v>32.4</v>
      </c>
      <c r="J409" s="44">
        <f>ORÇAMENTO!H160</f>
        <v>0.2122</v>
      </c>
      <c r="K409" s="44">
        <f>ORÇAMENTO!I160</f>
        <v>39.28</v>
      </c>
      <c r="L409" s="44">
        <f>ORÇAMENTO!J160</f>
        <v>34114.879999999997</v>
      </c>
      <c r="M409" s="23">
        <f>ORÇAMENTO!K160</f>
        <v>1.2060632575032579E-3</v>
      </c>
      <c r="N409" s="23" t="str">
        <f t="shared" si="25"/>
        <v>DIFERENTE</v>
      </c>
      <c r="O409" s="23" t="str">
        <f t="shared" si="26"/>
        <v>DIFERENTE</v>
      </c>
      <c r="P409" s="23" t="str">
        <f t="shared" si="27"/>
        <v>DIFERENTE</v>
      </c>
    </row>
    <row r="410" spans="2:16" ht="43.5" x14ac:dyDescent="0.35">
      <c r="B410" s="43">
        <f t="shared" si="24"/>
        <v>71</v>
      </c>
      <c r="C410" s="44" t="str">
        <f>ORÇAMENTO!A222</f>
        <v>4.1.2.6.20</v>
      </c>
      <c r="D410" s="44" t="str">
        <f>ORÇAMENTO!B222</f>
        <v xml:space="preserve"> 07.93.32 </v>
      </c>
      <c r="E410" s="44" t="str">
        <f>ORÇAMENTO!C222</f>
        <v>EMBASA</v>
      </c>
      <c r="F410" s="480" t="str">
        <f>ORÇAMENTO!D222</f>
        <v>ESCORAMENTO DE VALA, TIPO BLINDADEM, COM PROFUNDIDADE DE 0 A 1,5 M, LARGURA MAIOR OU IGUAL A 1,5 M EMENOR QUE 2,5 M - EXECUÇÃO E FORNECIMENTO, INCLUI MATERIAL (ESCAVAÇÃO EXTERNA AO BLINDADO)</v>
      </c>
      <c r="G410" s="44" t="str">
        <f>ORÇAMENTO!E222</f>
        <v>M²</v>
      </c>
      <c r="H410" s="44">
        <f>ORÇAMENTO!F222</f>
        <v>510.81</v>
      </c>
      <c r="I410" s="44">
        <f>ORÇAMENTO!G222</f>
        <v>32.4</v>
      </c>
      <c r="J410" s="44">
        <f>ORÇAMENTO!H222</f>
        <v>0.2122</v>
      </c>
      <c r="K410" s="44">
        <f>ORÇAMENTO!I222</f>
        <v>39.28</v>
      </c>
      <c r="L410" s="44">
        <f>ORÇAMENTO!J222</f>
        <v>20064.61</v>
      </c>
      <c r="M410" s="23">
        <f>ORÇAMENTO!K222</f>
        <v>7.0934410137548319E-4</v>
      </c>
      <c r="N410" s="23" t="str">
        <f t="shared" si="25"/>
        <v>OK!</v>
      </c>
      <c r="O410" s="23" t="str">
        <f t="shared" si="26"/>
        <v>OK!</v>
      </c>
      <c r="P410" s="23" t="str">
        <f t="shared" si="27"/>
        <v>OK!</v>
      </c>
    </row>
    <row r="411" spans="2:16" ht="43.5" x14ac:dyDescent="0.35">
      <c r="B411" s="43">
        <f t="shared" si="24"/>
        <v>71</v>
      </c>
      <c r="C411" s="44" t="str">
        <f>ORÇAMENTO!A400</f>
        <v>5.1.2.3.4</v>
      </c>
      <c r="D411" s="44" t="str">
        <f>ORÇAMENTO!B400</f>
        <v xml:space="preserve"> 07.93.32 </v>
      </c>
      <c r="E411" s="44" t="str">
        <f>ORÇAMENTO!C400</f>
        <v>EMBASA</v>
      </c>
      <c r="F411" s="480" t="str">
        <f>ORÇAMENTO!D400</f>
        <v>ESCORAMENTO DE VALA, TIPO BLINDADEM, COM PROFUNDIDADE DE 0 A 1,5 M, LARGURA MAIOR OU IGUAL A 1,5 M EMENOR QUE 2,5 M - EXECUÇÃO E FORNECIMENTO, INCLUI MATERIAL (ESCAVAÇÃO EXTERNA AO BLINDADO)</v>
      </c>
      <c r="G411" s="44" t="str">
        <f>ORÇAMENTO!E400</f>
        <v>M²</v>
      </c>
      <c r="H411" s="44">
        <f>ORÇAMENTO!F400</f>
        <v>3185.6399999999994</v>
      </c>
      <c r="I411" s="44">
        <f>ORÇAMENTO!G400</f>
        <v>32.4</v>
      </c>
      <c r="J411" s="44">
        <f>ORÇAMENTO!H400</f>
        <v>0.2122</v>
      </c>
      <c r="K411" s="44">
        <f>ORÇAMENTO!I400</f>
        <v>39.28</v>
      </c>
      <c r="L411" s="44">
        <f>ORÇAMENTO!J400</f>
        <v>125131.93</v>
      </c>
      <c r="M411" s="23">
        <f>ORÇAMENTO!K400</f>
        <v>4.4237887723324728E-3</v>
      </c>
      <c r="N411" s="23" t="str">
        <f t="shared" si="25"/>
        <v>OK!</v>
      </c>
      <c r="O411" s="23" t="str">
        <f t="shared" si="26"/>
        <v>OK!</v>
      </c>
      <c r="P411" s="23" t="str">
        <f t="shared" si="27"/>
        <v>OK!</v>
      </c>
    </row>
    <row r="412" spans="2:16" ht="43.5" x14ac:dyDescent="0.35">
      <c r="B412" s="43">
        <f t="shared" si="24"/>
        <v>71</v>
      </c>
      <c r="C412" s="44" t="str">
        <f>ORÇAMENTO!A465</f>
        <v>5.1.2.6.21</v>
      </c>
      <c r="D412" s="44" t="str">
        <f>ORÇAMENTO!B465</f>
        <v xml:space="preserve"> 07.93.32 </v>
      </c>
      <c r="E412" s="44" t="str">
        <f>ORÇAMENTO!C465</f>
        <v>EMBASA</v>
      </c>
      <c r="F412" s="480" t="str">
        <f>ORÇAMENTO!D465</f>
        <v>ESCORAMENTO DE VALA, TIPO BLINDADEM, COM PROFUNDIDADE DE 0 A 1,5 M, LARGURA MAIOR OU IGUAL A 1,5 M EMENOR QUE 2,5 M - EXECUÇÃO E FORNECIMENTO, INCLUI MATERIAL (ESCAVAÇÃO EXTERNA AO BLINDADO)</v>
      </c>
      <c r="G412" s="44" t="str">
        <f>ORÇAMENTO!E465</f>
        <v>M²</v>
      </c>
      <c r="H412" s="44">
        <f>ORÇAMENTO!F465</f>
        <v>578.39</v>
      </c>
      <c r="I412" s="44">
        <f>ORÇAMENTO!G465</f>
        <v>32.4</v>
      </c>
      <c r="J412" s="44">
        <f>ORÇAMENTO!H465</f>
        <v>0.2122</v>
      </c>
      <c r="K412" s="44">
        <f>ORÇAMENTO!I465</f>
        <v>39.28</v>
      </c>
      <c r="L412" s="44">
        <f>ORÇAMENTO!J465</f>
        <v>22719.15</v>
      </c>
      <c r="M412" s="23">
        <f>ORÇAMENTO!K465</f>
        <v>8.0319004659272269E-4</v>
      </c>
      <c r="N412" s="23" t="str">
        <f t="shared" si="25"/>
        <v>OK!</v>
      </c>
      <c r="O412" s="23" t="str">
        <f t="shared" si="26"/>
        <v>OK!</v>
      </c>
      <c r="P412" s="23" t="str">
        <f t="shared" si="27"/>
        <v>OK!</v>
      </c>
    </row>
    <row r="413" spans="2:16" ht="43.5" x14ac:dyDescent="0.35">
      <c r="B413" s="43">
        <f t="shared" si="24"/>
        <v>71</v>
      </c>
      <c r="C413" s="44" t="str">
        <f>ORÇAMENTO!A612</f>
        <v>6.1.2.3.3</v>
      </c>
      <c r="D413" s="44" t="str">
        <f>ORÇAMENTO!B612</f>
        <v xml:space="preserve"> 07.93.32 </v>
      </c>
      <c r="E413" s="44" t="str">
        <f>ORÇAMENTO!C612</f>
        <v>EMBASA</v>
      </c>
      <c r="F413" s="480" t="str">
        <f>ORÇAMENTO!D612</f>
        <v>ESCORAMENTO DE VALA, TIPO BLINDADEM, COM PROFUNDIDADE DE 0 A 1,5 M, LARGURA MAIOR OU IGUAL A 1,5 M EMENOR QUE 2,5 M - EXECUÇÃO E FORNECIMENTO, INCLUI MATERIAL (ESCAVAÇÃO EXTERNA AO BLINDADO)</v>
      </c>
      <c r="G413" s="44" t="str">
        <f>ORÇAMENTO!E612</f>
        <v>M²</v>
      </c>
      <c r="H413" s="44">
        <f>ORÇAMENTO!F612</f>
        <v>105.32104606159345</v>
      </c>
      <c r="I413" s="44">
        <f>ORÇAMENTO!G612</f>
        <v>32.4</v>
      </c>
      <c r="J413" s="44">
        <f>ORÇAMENTO!H612</f>
        <v>0.2122</v>
      </c>
      <c r="K413" s="44">
        <f>ORÇAMENTO!I612</f>
        <v>39.28</v>
      </c>
      <c r="L413" s="44">
        <f>ORÇAMENTO!J612</f>
        <v>4137.01</v>
      </c>
      <c r="M413" s="23">
        <f>ORÇAMENTO!K612</f>
        <v>1.4625570299305033E-4</v>
      </c>
      <c r="N413" s="23" t="str">
        <f t="shared" si="25"/>
        <v>OK!</v>
      </c>
      <c r="O413" s="23" t="str">
        <f t="shared" si="26"/>
        <v>OK!</v>
      </c>
      <c r="P413" s="23" t="str">
        <f t="shared" si="27"/>
        <v>OK!</v>
      </c>
    </row>
    <row r="414" spans="2:16" ht="43.5" x14ac:dyDescent="0.35">
      <c r="B414" s="43">
        <f t="shared" si="24"/>
        <v>71</v>
      </c>
      <c r="C414" s="44" t="str">
        <f>ORÇAMENTO!A660</f>
        <v>6.1.2.6.13</v>
      </c>
      <c r="D414" s="44" t="str">
        <f>ORÇAMENTO!B660</f>
        <v xml:space="preserve"> 07.93.32 </v>
      </c>
      <c r="E414" s="44" t="str">
        <f>ORÇAMENTO!C660</f>
        <v>EMBASA</v>
      </c>
      <c r="F414" s="480" t="str">
        <f>ORÇAMENTO!D660</f>
        <v>ESCORAMENTO DE VALA, TIPO BLINDADEM, COM PROFUNDIDADE DE 0 A 1,5 M, LARGURA MAIOR OU IGUAL A 1,5 M EMENOR QUE 2,5 M - EXECUÇÃO E FORNECIMENTO, INCLUI MATERIAL (ESCAVAÇÃO EXTERNA AO BLINDADO)</v>
      </c>
      <c r="G414" s="44" t="str">
        <f>ORÇAMENTO!E660</f>
        <v>M²</v>
      </c>
      <c r="H414" s="44">
        <f>ORÇAMENTO!F660</f>
        <v>332.97</v>
      </c>
      <c r="I414" s="44">
        <f>ORÇAMENTO!G660</f>
        <v>32.4</v>
      </c>
      <c r="J414" s="44">
        <f>ORÇAMENTO!H660</f>
        <v>0.2122</v>
      </c>
      <c r="K414" s="44">
        <f>ORÇAMENTO!I660</f>
        <v>39.28</v>
      </c>
      <c r="L414" s="44">
        <f>ORÇAMENTO!J660</f>
        <v>13079.06</v>
      </c>
      <c r="M414" s="23">
        <f>ORÇAMENTO!K660</f>
        <v>4.6238397170620445E-4</v>
      </c>
      <c r="N414" s="23" t="str">
        <f t="shared" si="25"/>
        <v>OK!</v>
      </c>
      <c r="O414" s="23" t="str">
        <f t="shared" si="26"/>
        <v>OK!</v>
      </c>
      <c r="P414" s="23" t="str">
        <f t="shared" si="27"/>
        <v>OK!</v>
      </c>
    </row>
    <row r="415" spans="2:16" ht="43.5" x14ac:dyDescent="0.35">
      <c r="B415" s="43">
        <f t="shared" si="24"/>
        <v>71</v>
      </c>
      <c r="C415" s="44" t="str">
        <f>ORÇAMENTO!A808</f>
        <v>7.1.2.3.4</v>
      </c>
      <c r="D415" s="44" t="str">
        <f>ORÇAMENTO!B808</f>
        <v xml:space="preserve"> 07.93.32 </v>
      </c>
      <c r="E415" s="44" t="str">
        <f>ORÇAMENTO!C808</f>
        <v>EMBASA</v>
      </c>
      <c r="F415" s="480" t="str">
        <f>ORÇAMENTO!D808</f>
        <v>ESCORAMENTO DE VALA, TIPO BLINDADEM, COM PROFUNDIDADE DE 0 A 1,5 M, LARGURA MAIOR OU IGUAL A 1,5 M EMENOR QUE 2,5 M - EXECUÇÃO E FORNECIMENTO, INCLUI MATERIAL (ESCAVAÇÃO EXTERNA AO BLINDADO)</v>
      </c>
      <c r="G415" s="44" t="str">
        <f>ORÇAMENTO!E808</f>
        <v>M²</v>
      </c>
      <c r="H415" s="44">
        <f>ORÇAMENTO!F808</f>
        <v>2778.1199999999994</v>
      </c>
      <c r="I415" s="44">
        <f>ORÇAMENTO!G808</f>
        <v>32.4</v>
      </c>
      <c r="J415" s="44">
        <f>ORÇAMENTO!H808</f>
        <v>0.2122</v>
      </c>
      <c r="K415" s="44">
        <f>ORÇAMENTO!I808</f>
        <v>39.28</v>
      </c>
      <c r="L415" s="44">
        <f>ORÇAMENTO!J808</f>
        <v>109124.55</v>
      </c>
      <c r="M415" s="23">
        <f>ORÇAMENTO!K808</f>
        <v>3.8578799118325242E-3</v>
      </c>
      <c r="N415" s="23" t="str">
        <f t="shared" si="25"/>
        <v>OK!</v>
      </c>
      <c r="O415" s="23" t="str">
        <f t="shared" si="26"/>
        <v>OK!</v>
      </c>
      <c r="P415" s="23" t="str">
        <f t="shared" si="27"/>
        <v>OK!</v>
      </c>
    </row>
    <row r="416" spans="2:16" ht="43.5" x14ac:dyDescent="0.35">
      <c r="B416" s="43">
        <f t="shared" si="24"/>
        <v>71</v>
      </c>
      <c r="C416" s="44" t="str">
        <f>ORÇAMENTO!A874</f>
        <v>7.1.2.6.21</v>
      </c>
      <c r="D416" s="44" t="str">
        <f>ORÇAMENTO!B874</f>
        <v xml:space="preserve"> 07.93.32 </v>
      </c>
      <c r="E416" s="44" t="str">
        <f>ORÇAMENTO!C874</f>
        <v>EMBASA</v>
      </c>
      <c r="F416" s="480" t="str">
        <f>ORÇAMENTO!D874</f>
        <v>ESCORAMENTO DE VALA, TIPO BLINDADEM, COM PROFUNDIDADE DE 0 A 1,5 M, LARGURA MAIOR OU IGUAL A 1,5 M EMENOR QUE 2,5 M - EXECUÇÃO E FORNECIMENTO, INCLUI MATERIAL (ESCAVAÇÃO EXTERNA AO BLINDADO)</v>
      </c>
      <c r="G416" s="44" t="str">
        <f>ORÇAMENTO!E874</f>
        <v>M²</v>
      </c>
      <c r="H416" s="44">
        <f>ORÇAMENTO!F874</f>
        <v>508.76</v>
      </c>
      <c r="I416" s="44">
        <f>ORÇAMENTO!G874</f>
        <v>32.4</v>
      </c>
      <c r="J416" s="44">
        <f>ORÇAMENTO!H874</f>
        <v>0.2122</v>
      </c>
      <c r="K416" s="44">
        <f>ORÇAMENTO!I874</f>
        <v>39.28</v>
      </c>
      <c r="L416" s="44">
        <f>ORÇAMENTO!J874</f>
        <v>19984.09</v>
      </c>
      <c r="M416" s="23">
        <f>ORÇAMENTO!K874</f>
        <v>7.0649747804003068E-4</v>
      </c>
      <c r="N416" s="23" t="str">
        <f t="shared" si="25"/>
        <v>OK!</v>
      </c>
      <c r="O416" s="23" t="str">
        <f t="shared" si="26"/>
        <v>OK!</v>
      </c>
      <c r="P416" s="23" t="str">
        <f t="shared" si="27"/>
        <v>OK!</v>
      </c>
    </row>
    <row r="417" spans="2:16" ht="43.5" x14ac:dyDescent="0.35">
      <c r="B417" s="43">
        <f t="shared" si="24"/>
        <v>72</v>
      </c>
      <c r="C417" s="44" t="str">
        <f>ORÇAMENTO!A163</f>
        <v>4.1.2.3.6</v>
      </c>
      <c r="D417" s="44" t="str">
        <f>ORÇAMENTO!B163</f>
        <v xml:space="preserve"> 07.93.42 </v>
      </c>
      <c r="E417" s="44" t="str">
        <f>ORÇAMENTO!C163</f>
        <v>EMBASA</v>
      </c>
      <c r="F417" s="480" t="str">
        <f>ORÇAMENTO!D163</f>
        <v>ESCORAMENTO DE VALA, TIPO BLINDADEM, COM PROFUNDIDADE DE 0 A 1,5 M, LARGURA MAIOR OU IGUAL A 2,5 M EMENOR QUE 3,5 M - EXECUÇÃO E FORNECIMENTO, INCLUI MATERIAL (ESCAVAÇÃO EXTERNA AO BLINDADO)</v>
      </c>
      <c r="G417" s="44" t="str">
        <f>ORÇAMENTO!E163</f>
        <v>M²</v>
      </c>
      <c r="H417" s="44">
        <f>ORÇAMENTO!F163</f>
        <v>1464.930562147292</v>
      </c>
      <c r="I417" s="44">
        <f>ORÇAMENTO!G163</f>
        <v>47.36</v>
      </c>
      <c r="J417" s="44">
        <f>ORÇAMENTO!H163</f>
        <v>0.2122</v>
      </c>
      <c r="K417" s="44">
        <f>ORÇAMENTO!I163</f>
        <v>57.41</v>
      </c>
      <c r="L417" s="44">
        <f>ORÇAMENTO!J163</f>
        <v>84101.66</v>
      </c>
      <c r="M417" s="23">
        <f>ORÇAMENTO!K163</f>
        <v>2.9732457514442803E-3</v>
      </c>
      <c r="N417" s="23" t="str">
        <f t="shared" si="25"/>
        <v>DIFERENTE</v>
      </c>
      <c r="O417" s="23" t="str">
        <f t="shared" si="26"/>
        <v>DIFERENTE</v>
      </c>
      <c r="P417" s="23" t="str">
        <f t="shared" si="27"/>
        <v>DIFERENTE</v>
      </c>
    </row>
    <row r="418" spans="2:16" ht="43.5" x14ac:dyDescent="0.35">
      <c r="B418" s="43">
        <f t="shared" si="24"/>
        <v>72</v>
      </c>
      <c r="C418" s="44" t="str">
        <f>ORÇAMENTO!A403</f>
        <v>5.1.2.3.7</v>
      </c>
      <c r="D418" s="44" t="str">
        <f>ORÇAMENTO!B403</f>
        <v xml:space="preserve"> 07.93.42 </v>
      </c>
      <c r="E418" s="44" t="str">
        <f>ORÇAMENTO!C403</f>
        <v>EMBASA</v>
      </c>
      <c r="F418" s="480" t="str">
        <f>ORÇAMENTO!D403</f>
        <v>ESCORAMENTO DE VALA, TIPO BLINDADEM, COM PROFUNDIDADE DE 0 A 1,5 M, LARGURA MAIOR OU IGUAL A 2,5 M EMENOR QUE 3,5 M - EXECUÇÃO E FORNECIMENTO, INCLUI MATERIAL (ESCAVAÇÃO EXTERNA AO BLINDADO)</v>
      </c>
      <c r="G418" s="44" t="str">
        <f>ORÇAMENTO!E403</f>
        <v>M²</v>
      </c>
      <c r="H418" s="44">
        <f>ORÇAMENTO!F403</f>
        <v>932.64</v>
      </c>
      <c r="I418" s="44">
        <f>ORÇAMENTO!G403</f>
        <v>47.36</v>
      </c>
      <c r="J418" s="44">
        <f>ORÇAMENTO!H403</f>
        <v>0.2122</v>
      </c>
      <c r="K418" s="44">
        <f>ORÇAMENTO!I403</f>
        <v>57.41</v>
      </c>
      <c r="L418" s="44">
        <f>ORÇAMENTO!J403</f>
        <v>53542.86</v>
      </c>
      <c r="M418" s="23">
        <f>ORÇAMENTO!K403</f>
        <v>1.892900580264122E-3</v>
      </c>
      <c r="N418" s="23" t="str">
        <f t="shared" si="25"/>
        <v>OK!</v>
      </c>
      <c r="O418" s="23" t="str">
        <f t="shared" si="26"/>
        <v>OK!</v>
      </c>
      <c r="P418" s="23" t="str">
        <f t="shared" si="27"/>
        <v>OK!</v>
      </c>
    </row>
    <row r="419" spans="2:16" ht="43.5" x14ac:dyDescent="0.35">
      <c r="B419" s="43">
        <f t="shared" si="24"/>
        <v>72</v>
      </c>
      <c r="C419" s="44" t="str">
        <f>ORÇAMENTO!A615</f>
        <v>6.1.2.3.6</v>
      </c>
      <c r="D419" s="44" t="str">
        <f>ORÇAMENTO!B615</f>
        <v xml:space="preserve"> 07.93.42 </v>
      </c>
      <c r="E419" s="44" t="str">
        <f>ORÇAMENTO!C615</f>
        <v>EMBASA</v>
      </c>
      <c r="F419" s="480" t="str">
        <f>ORÇAMENTO!D615</f>
        <v>ESCORAMENTO DE VALA, TIPO BLINDADEM, COM PROFUNDIDADE DE 0 A 1,5 M, LARGURA MAIOR OU IGUAL A 2,5 M EMENOR QUE 3,5 M - EXECUÇÃO E FORNECIMENTO, INCLUI MATERIAL (ESCAVAÇÃO EXTERNA AO BLINDADO)</v>
      </c>
      <c r="G419" s="44" t="str">
        <f>ORÇAMENTO!E615</f>
        <v>M²</v>
      </c>
      <c r="H419" s="44">
        <f>ORÇAMENTO!F615</f>
        <v>299.31964703385944</v>
      </c>
      <c r="I419" s="44">
        <f>ORÇAMENTO!G615</f>
        <v>47.36</v>
      </c>
      <c r="J419" s="44">
        <f>ORÇAMENTO!H615</f>
        <v>0.2122</v>
      </c>
      <c r="K419" s="44">
        <f>ORÇAMENTO!I615</f>
        <v>57.41</v>
      </c>
      <c r="L419" s="44">
        <f>ORÇAMENTO!J615</f>
        <v>17183.939999999999</v>
      </c>
      <c r="M419" s="23">
        <f>ORÇAMENTO!K615</f>
        <v>6.0750378289885622E-4</v>
      </c>
      <c r="N419" s="23" t="str">
        <f t="shared" si="25"/>
        <v>OK!</v>
      </c>
      <c r="O419" s="23" t="str">
        <f t="shared" si="26"/>
        <v>OK!</v>
      </c>
      <c r="P419" s="23" t="str">
        <f t="shared" si="27"/>
        <v>OK!</v>
      </c>
    </row>
    <row r="420" spans="2:16" ht="43.5" x14ac:dyDescent="0.35">
      <c r="B420" s="43">
        <f t="shared" si="24"/>
        <v>72</v>
      </c>
      <c r="C420" s="44" t="str">
        <f>ORÇAMENTO!A811</f>
        <v>7.1.2.3.7</v>
      </c>
      <c r="D420" s="44" t="str">
        <f>ORÇAMENTO!B811</f>
        <v xml:space="preserve"> 07.93.42 </v>
      </c>
      <c r="E420" s="44" t="str">
        <f>ORÇAMENTO!C811</f>
        <v>EMBASA</v>
      </c>
      <c r="F420" s="480" t="str">
        <f>ORÇAMENTO!D811</f>
        <v>ESCORAMENTO DE VALA, TIPO BLINDADEM, COM PROFUNDIDADE DE 0 A 1,5 M, LARGURA MAIOR OU IGUAL A 2,5 M EMENOR QUE 3,5 M - EXECUÇÃO E FORNECIMENTO, INCLUI MATERIAL (ESCAVAÇÃO EXTERNA AO BLINDADO)</v>
      </c>
      <c r="G420" s="44" t="str">
        <f>ORÇAMENTO!E811</f>
        <v>M²</v>
      </c>
      <c r="H420" s="44">
        <f>ORÇAMENTO!F811</f>
        <v>2349.87</v>
      </c>
      <c r="I420" s="44">
        <f>ORÇAMENTO!G811</f>
        <v>47.36</v>
      </c>
      <c r="J420" s="44">
        <f>ORÇAMENTO!H811</f>
        <v>0.2122</v>
      </c>
      <c r="K420" s="44">
        <f>ORÇAMENTO!I811</f>
        <v>57.41</v>
      </c>
      <c r="L420" s="44">
        <f>ORÇAMENTO!J811</f>
        <v>134906.03</v>
      </c>
      <c r="M420" s="23">
        <f>ORÇAMENTO!K811</f>
        <v>4.7693325023752753E-3</v>
      </c>
      <c r="N420" s="23" t="str">
        <f t="shared" si="25"/>
        <v>OK!</v>
      </c>
      <c r="O420" s="23" t="str">
        <f t="shared" si="26"/>
        <v>OK!</v>
      </c>
      <c r="P420" s="23" t="str">
        <f t="shared" si="27"/>
        <v>OK!</v>
      </c>
    </row>
    <row r="421" spans="2:16" ht="43.5" x14ac:dyDescent="0.35">
      <c r="B421" s="43">
        <f t="shared" si="24"/>
        <v>73</v>
      </c>
      <c r="C421" s="44" t="str">
        <f>ORÇAMENTO!A158</f>
        <v>4.1.2.3.1</v>
      </c>
      <c r="D421" s="44" t="str">
        <f>ORÇAMENTO!B158</f>
        <v xml:space="preserve"> 07.93.30 </v>
      </c>
      <c r="E421" s="44" t="str">
        <f>ORÇAMENTO!C158</f>
        <v>EMBASA</v>
      </c>
      <c r="F421" s="480" t="str">
        <f>ORÇAMENTO!D158</f>
        <v>ESCORAMENTO DE VALA, TIPO BLINDAGEM, COM PROFUNDIDADE DE 0 A 1,5 M, LARGURA MENOR QUE 1,5 M - EXECUÇÃO E FORNECIMENTO, INCLUI MATERIAL (ESCAVAÇÃO EXTERNA AO BLINDADO)</v>
      </c>
      <c r="G421" s="44" t="str">
        <f>ORÇAMENTO!E158</f>
        <v>M²</v>
      </c>
      <c r="H421" s="44">
        <f>ORÇAMENTO!F158</f>
        <v>487.3571492860969</v>
      </c>
      <c r="I421" s="44">
        <f>ORÇAMENTO!G158</f>
        <v>23.05</v>
      </c>
      <c r="J421" s="44">
        <f>ORÇAMENTO!H158</f>
        <v>0.2122</v>
      </c>
      <c r="K421" s="44">
        <f>ORÇAMENTO!I158</f>
        <v>27.94</v>
      </c>
      <c r="L421" s="44">
        <f>ORÇAMENTO!J158</f>
        <v>13616.75</v>
      </c>
      <c r="M421" s="23">
        <f>ORÇAMENTO!K158</f>
        <v>4.8139292477673926E-4</v>
      </c>
      <c r="N421" s="23" t="str">
        <f t="shared" si="25"/>
        <v>DIFERENTE</v>
      </c>
      <c r="O421" s="23" t="str">
        <f t="shared" si="26"/>
        <v>DIFERENTE</v>
      </c>
      <c r="P421" s="23" t="str">
        <f t="shared" si="27"/>
        <v>DIFERENTE</v>
      </c>
    </row>
    <row r="422" spans="2:16" ht="43.5" x14ac:dyDescent="0.35">
      <c r="B422" s="43">
        <f t="shared" si="24"/>
        <v>73</v>
      </c>
      <c r="C422" s="44" t="str">
        <f>ORÇAMENTO!A219</f>
        <v>4.1.2.6.17</v>
      </c>
      <c r="D422" s="44" t="str">
        <f>ORÇAMENTO!B219</f>
        <v xml:space="preserve"> 07.93.30 </v>
      </c>
      <c r="E422" s="44" t="str">
        <f>ORÇAMENTO!C219</f>
        <v>EMBASA</v>
      </c>
      <c r="F422" s="480" t="str">
        <f>ORÇAMENTO!D219</f>
        <v>ESCORAMENTO DE VALA, TIPO BLINDAGEM, COM PROFUNDIDADE DE 0 A 1,5 M, LARGURA MENOR QUE 1,5 M - EXECUÇÃO E FORNECIMENTO, INCLUI MATERIAL (ESCAVAÇÃO EXTERNA AO BLINDADO)</v>
      </c>
      <c r="G422" s="44" t="str">
        <f>ORÇAMENTO!E219</f>
        <v>M²</v>
      </c>
      <c r="H422" s="44">
        <f>ORÇAMENTO!F219</f>
        <v>1682.62</v>
      </c>
      <c r="I422" s="44">
        <f>ORÇAMENTO!G219</f>
        <v>23.05</v>
      </c>
      <c r="J422" s="44">
        <f>ORÇAMENTO!H219</f>
        <v>0.2122</v>
      </c>
      <c r="K422" s="44">
        <f>ORÇAMENTO!I219</f>
        <v>27.94</v>
      </c>
      <c r="L422" s="44">
        <f>ORÇAMENTO!J219</f>
        <v>47012.4</v>
      </c>
      <c r="M422" s="23">
        <f>ORÇAMENTO!K219</f>
        <v>1.662029246095726E-3</v>
      </c>
      <c r="N422" s="23" t="str">
        <f t="shared" si="25"/>
        <v>OK!</v>
      </c>
      <c r="O422" s="23" t="str">
        <f t="shared" si="26"/>
        <v>OK!</v>
      </c>
      <c r="P422" s="23" t="str">
        <f t="shared" si="27"/>
        <v>OK!</v>
      </c>
    </row>
    <row r="423" spans="2:16" ht="43.5" x14ac:dyDescent="0.35">
      <c r="B423" s="43">
        <f t="shared" si="24"/>
        <v>73</v>
      </c>
      <c r="C423" s="481" t="str">
        <f>ORÇAMENTO!A397</f>
        <v>5.1.2.3.1</v>
      </c>
      <c r="D423" s="481" t="str">
        <f>ORÇAMENTO!B397</f>
        <v xml:space="preserve"> 07.93.30 </v>
      </c>
      <c r="E423" s="481" t="str">
        <f>ORÇAMENTO!C397</f>
        <v>EMBASA</v>
      </c>
      <c r="F423" s="482" t="str">
        <f>ORÇAMENTO!D397</f>
        <v>ESCORAMENTO DE VALA, TIPO BLINDAGEM, COM PROFUNDIDADE DE 0 A 1,5 M, LARGURA MENOR QUE 1,5 M - EXECUÇÃO E FORNECIMENTO, INCLUI MATERIAL (ESCAVAÇÃO EXTERNA AO BLINDADO)</v>
      </c>
      <c r="G423" s="481" t="str">
        <f>ORÇAMENTO!E397</f>
        <v>M²</v>
      </c>
      <c r="H423" s="481">
        <f>ORÇAMENTO!F397</f>
        <v>1559.97</v>
      </c>
      <c r="I423" s="481">
        <f>ORÇAMENTO!G397</f>
        <v>23.05</v>
      </c>
      <c r="J423" s="481">
        <f>ORÇAMENTO!H397</f>
        <v>0.2122</v>
      </c>
      <c r="K423" s="481">
        <f>ORÇAMENTO!I397</f>
        <v>27.94</v>
      </c>
      <c r="L423" s="481">
        <f>ORÇAMENTO!J397</f>
        <v>43585.56</v>
      </c>
      <c r="M423" s="23">
        <f>ORÇAMENTO!K397</f>
        <v>1.5408801811322126E-3</v>
      </c>
      <c r="N423" s="23" t="str">
        <f t="shared" si="25"/>
        <v>OK!</v>
      </c>
      <c r="O423" s="23" t="str">
        <f t="shared" si="26"/>
        <v>OK!</v>
      </c>
      <c r="P423" s="23" t="str">
        <f t="shared" si="27"/>
        <v>OK!</v>
      </c>
    </row>
    <row r="424" spans="2:16" ht="43.5" x14ac:dyDescent="0.35">
      <c r="B424" s="43">
        <f t="shared" si="24"/>
        <v>73</v>
      </c>
      <c r="C424" s="44" t="str">
        <f>ORÇAMENTO!A462</f>
        <v>5.1.2.6.18</v>
      </c>
      <c r="D424" s="44" t="str">
        <f>ORÇAMENTO!B462</f>
        <v xml:space="preserve"> 07.93.30 </v>
      </c>
      <c r="E424" s="44" t="str">
        <f>ORÇAMENTO!C462</f>
        <v>EMBASA</v>
      </c>
      <c r="F424" s="480" t="str">
        <f>ORÇAMENTO!D462</f>
        <v>ESCORAMENTO DE VALA, TIPO BLINDAGEM, COM PROFUNDIDADE DE 0 A 1,5 M, LARGURA MENOR QUE 1,5 M - EXECUÇÃO E FORNECIMENTO, INCLUI MATERIAL (ESCAVAÇÃO EXTERNA AO BLINDADO)</v>
      </c>
      <c r="G424" s="44" t="str">
        <f>ORÇAMENTO!E462</f>
        <v>M²</v>
      </c>
      <c r="H424" s="44">
        <f>ORÇAMENTO!F462</f>
        <v>1252.76</v>
      </c>
      <c r="I424" s="44">
        <f>ORÇAMENTO!G462</f>
        <v>23.05</v>
      </c>
      <c r="J424" s="44">
        <f>ORÇAMENTO!H462</f>
        <v>0.2122</v>
      </c>
      <c r="K424" s="44">
        <f>ORÇAMENTO!I462</f>
        <v>27.94</v>
      </c>
      <c r="L424" s="44">
        <f>ORÇAMENTO!J462</f>
        <v>35002.11</v>
      </c>
      <c r="M424" s="23">
        <f>ORÇAMENTO!K462</f>
        <v>1.2374294972190246E-3</v>
      </c>
      <c r="N424" s="23" t="str">
        <f t="shared" si="25"/>
        <v>OK!</v>
      </c>
      <c r="O424" s="23" t="str">
        <f t="shared" si="26"/>
        <v>OK!</v>
      </c>
      <c r="P424" s="23" t="str">
        <f t="shared" si="27"/>
        <v>OK!</v>
      </c>
    </row>
    <row r="425" spans="2:16" ht="43.5" x14ac:dyDescent="0.35">
      <c r="B425" s="43">
        <f t="shared" si="24"/>
        <v>73</v>
      </c>
      <c r="C425" s="44" t="str">
        <f>ORÇAMENTO!A610</f>
        <v>6.1.2.3.1</v>
      </c>
      <c r="D425" s="44" t="str">
        <f>ORÇAMENTO!B610</f>
        <v xml:space="preserve"> 07.93.30 </v>
      </c>
      <c r="E425" s="44" t="str">
        <f>ORÇAMENTO!C610</f>
        <v>EMBASA</v>
      </c>
      <c r="F425" s="480" t="str">
        <f>ORÇAMENTO!D610</f>
        <v>ESCORAMENTO DE VALA, TIPO BLINDAGEM, COM PROFUNDIDADE DE 0 A 1,5 M, LARGURA MENOR QUE 1,5 M - EXECUÇÃO E FORNECIMENTO, INCLUI MATERIAL (ESCAVAÇÃO EXTERNA AO BLINDADO)</v>
      </c>
      <c r="G425" s="44" t="str">
        <f>ORÇAMENTO!E610</f>
        <v>M²</v>
      </c>
      <c r="H425" s="44">
        <f>ORÇAMENTO!F610</f>
        <v>1511.9999999979614</v>
      </c>
      <c r="I425" s="44">
        <f>ORÇAMENTO!G610</f>
        <v>23.05</v>
      </c>
      <c r="J425" s="44">
        <f>ORÇAMENTO!H610</f>
        <v>0.2122</v>
      </c>
      <c r="K425" s="44">
        <f>ORÇAMENTO!I610</f>
        <v>27.94</v>
      </c>
      <c r="L425" s="44">
        <f>ORÇAMENTO!J610</f>
        <v>42245.27</v>
      </c>
      <c r="M425" s="23">
        <f>ORÇAMENTO!K610</f>
        <v>1.4934969124999018E-3</v>
      </c>
      <c r="N425" s="23" t="str">
        <f t="shared" si="25"/>
        <v>OK!</v>
      </c>
      <c r="O425" s="23" t="str">
        <f t="shared" si="26"/>
        <v>OK!</v>
      </c>
      <c r="P425" s="23" t="str">
        <f t="shared" si="27"/>
        <v>OK!</v>
      </c>
    </row>
    <row r="426" spans="2:16" ht="43.5" x14ac:dyDescent="0.35">
      <c r="B426" s="43">
        <f t="shared" si="24"/>
        <v>73</v>
      </c>
      <c r="C426" s="44" t="str">
        <f>ORÇAMENTO!A657</f>
        <v>6.1.2.6.10</v>
      </c>
      <c r="D426" s="44" t="str">
        <f>ORÇAMENTO!B657</f>
        <v xml:space="preserve"> 07.93.30 </v>
      </c>
      <c r="E426" s="44" t="str">
        <f>ORÇAMENTO!C657</f>
        <v>EMBASA</v>
      </c>
      <c r="F426" s="480" t="str">
        <f>ORÇAMENTO!D657</f>
        <v>ESCORAMENTO DE VALA, TIPO BLINDAGEM, COM PROFUNDIDADE DE 0 A 1,5 M, LARGURA MENOR QUE 1,5 M - EXECUÇÃO E FORNECIMENTO, INCLUI MATERIAL (ESCAVAÇÃO EXTERNA AO BLINDADO)</v>
      </c>
      <c r="G426" s="44" t="str">
        <f>ORÇAMENTO!E657</f>
        <v>M²</v>
      </c>
      <c r="H426" s="44">
        <f>ORÇAMENTO!F657</f>
        <v>663.56</v>
      </c>
      <c r="I426" s="44">
        <f>ORÇAMENTO!G657</f>
        <v>23.05</v>
      </c>
      <c r="J426" s="44">
        <f>ORÇAMENTO!H657</f>
        <v>0.2122</v>
      </c>
      <c r="K426" s="44">
        <f>ORÇAMENTO!I657</f>
        <v>27.94</v>
      </c>
      <c r="L426" s="44">
        <f>ORÇAMENTO!J657</f>
        <v>18539.86</v>
      </c>
      <c r="M426" s="23">
        <f>ORÇAMENTO!K657</f>
        <v>6.5543961887757924E-4</v>
      </c>
      <c r="N426" s="23" t="str">
        <f t="shared" si="25"/>
        <v>OK!</v>
      </c>
      <c r="O426" s="23" t="str">
        <f t="shared" si="26"/>
        <v>OK!</v>
      </c>
      <c r="P426" s="23" t="str">
        <f t="shared" si="27"/>
        <v>OK!</v>
      </c>
    </row>
    <row r="427" spans="2:16" ht="43.5" x14ac:dyDescent="0.35">
      <c r="B427" s="43">
        <f t="shared" si="24"/>
        <v>73</v>
      </c>
      <c r="C427" s="44" t="str">
        <f>ORÇAMENTO!A805</f>
        <v>7.1.2.3.1</v>
      </c>
      <c r="D427" s="44" t="str">
        <f>ORÇAMENTO!B805</f>
        <v xml:space="preserve"> 07.93.30 </v>
      </c>
      <c r="E427" s="44" t="str">
        <f>ORÇAMENTO!C805</f>
        <v>EMBASA</v>
      </c>
      <c r="F427" s="480" t="str">
        <f>ORÇAMENTO!D805</f>
        <v>ESCORAMENTO DE VALA, TIPO BLINDAGEM, COM PROFUNDIDADE DE 0 A 1,5 M, LARGURA MENOR QUE 1,5 M - EXECUÇÃO E FORNECIMENTO, INCLUI MATERIAL (ESCAVAÇÃO EXTERNA AO BLINDADO)</v>
      </c>
      <c r="G427" s="44" t="str">
        <f>ORÇAMENTO!E805</f>
        <v>M²</v>
      </c>
      <c r="H427" s="44">
        <f>ORÇAMENTO!F805</f>
        <v>416.76</v>
      </c>
      <c r="I427" s="44">
        <f>ORÇAMENTO!G805</f>
        <v>23.05</v>
      </c>
      <c r="J427" s="44">
        <f>ORÇAMENTO!H805</f>
        <v>0.2122</v>
      </c>
      <c r="K427" s="44">
        <f>ORÇAMENTO!I805</f>
        <v>27.94</v>
      </c>
      <c r="L427" s="44">
        <f>ORÇAMENTO!J805</f>
        <v>11644.27</v>
      </c>
      <c r="M427" s="23">
        <f>ORÇAMENTO!K805</f>
        <v>4.1165984483742759E-4</v>
      </c>
      <c r="N427" s="23" t="str">
        <f t="shared" si="25"/>
        <v>OK!</v>
      </c>
      <c r="O427" s="23" t="str">
        <f t="shared" si="26"/>
        <v>OK!</v>
      </c>
      <c r="P427" s="23" t="str">
        <f t="shared" si="27"/>
        <v>OK!</v>
      </c>
    </row>
    <row r="428" spans="2:16" ht="43.5" x14ac:dyDescent="0.35">
      <c r="B428" s="43">
        <f t="shared" si="24"/>
        <v>73</v>
      </c>
      <c r="C428" s="44" t="str">
        <f>ORÇAMENTO!A871</f>
        <v>7.1.2.6.18</v>
      </c>
      <c r="D428" s="44" t="str">
        <f>ORÇAMENTO!B871</f>
        <v xml:space="preserve"> 07.93.30 </v>
      </c>
      <c r="E428" s="44" t="str">
        <f>ORÇAMENTO!C871</f>
        <v>EMBASA</v>
      </c>
      <c r="F428" s="480" t="str">
        <f>ORÇAMENTO!D871</f>
        <v>ESCORAMENTO DE VALA, TIPO BLINDAGEM, COM PROFUNDIDADE DE 0 A 1,5 M, LARGURA MENOR QUE 1,5 M - EXECUÇÃO E FORNECIMENTO, INCLUI MATERIAL (ESCAVAÇÃO EXTERNA AO BLINDADO)</v>
      </c>
      <c r="G428" s="44" t="str">
        <f>ORÇAMENTO!E871</f>
        <v>M²</v>
      </c>
      <c r="H428" s="44">
        <f>ORÇAMENTO!F871</f>
        <v>1802.3</v>
      </c>
      <c r="I428" s="44">
        <f>ORÇAMENTO!G871</f>
        <v>23.05</v>
      </c>
      <c r="J428" s="44">
        <f>ORÇAMENTO!H871</f>
        <v>0.2122</v>
      </c>
      <c r="K428" s="44">
        <f>ORÇAMENTO!I871</f>
        <v>27.94</v>
      </c>
      <c r="L428" s="44">
        <f>ORÇAMENTO!J871</f>
        <v>50356.26</v>
      </c>
      <c r="M428" s="23">
        <f>ORÇAMENTO!K871</f>
        <v>1.7802447193506472E-3</v>
      </c>
      <c r="N428" s="23" t="str">
        <f t="shared" si="25"/>
        <v>OK!</v>
      </c>
      <c r="O428" s="23" t="str">
        <f t="shared" si="26"/>
        <v>OK!</v>
      </c>
      <c r="P428" s="23" t="str">
        <f t="shared" si="27"/>
        <v>OK!</v>
      </c>
    </row>
    <row r="429" spans="2:16" ht="43.5" x14ac:dyDescent="0.35">
      <c r="B429" s="43">
        <f t="shared" si="24"/>
        <v>74</v>
      </c>
      <c r="C429" s="44" t="str">
        <f>ORÇAMENTO!A161</f>
        <v>4.1.2.3.4</v>
      </c>
      <c r="D429" s="44" t="str">
        <f>ORÇAMENTO!B161</f>
        <v xml:space="preserve"> 07.93.37 </v>
      </c>
      <c r="E429" s="44" t="str">
        <f>ORÇAMENTO!C161</f>
        <v>EMBASA</v>
      </c>
      <c r="F429" s="480" t="str">
        <f>ORÇAMENTO!D161</f>
        <v>ESCORAMENTO DE VALA, TIPO BLINDAGEM, COM PROFUNDIDADE DE 1,5 A 3,0 M, LARGURA DE 1,5 A 2,5 M - EXECUÇÃO E FORNECIMENTO, INCLUI MATERIAL (ESCAVAÇÃO INTERNA AO BLINDADO)</v>
      </c>
      <c r="G429" s="44" t="str">
        <f>ORÇAMENTO!E161</f>
        <v>M²</v>
      </c>
      <c r="H429" s="44">
        <f>ORÇAMENTO!F161</f>
        <v>862.011251518579</v>
      </c>
      <c r="I429" s="44">
        <f>ORÇAMENTO!G161</f>
        <v>41.58</v>
      </c>
      <c r="J429" s="44">
        <f>ORÇAMENTO!H161</f>
        <v>0.2122</v>
      </c>
      <c r="K429" s="44">
        <f>ORÇAMENTO!I161</f>
        <v>50.4</v>
      </c>
      <c r="L429" s="44">
        <f>ORÇAMENTO!J161</f>
        <v>43445.36</v>
      </c>
      <c r="M429" s="23">
        <f>ORÇAMENTO!K161</f>
        <v>1.5359236909231909E-3</v>
      </c>
      <c r="N429" s="23" t="str">
        <f t="shared" si="25"/>
        <v>DIFERENTE</v>
      </c>
      <c r="O429" s="23" t="str">
        <f t="shared" si="26"/>
        <v>DIFERENTE</v>
      </c>
      <c r="P429" s="23" t="str">
        <f t="shared" si="27"/>
        <v>DIFERENTE</v>
      </c>
    </row>
    <row r="430" spans="2:16" ht="43.5" x14ac:dyDescent="0.35">
      <c r="B430" s="43">
        <f t="shared" si="24"/>
        <v>74</v>
      </c>
      <c r="C430" s="44" t="str">
        <f>ORÇAMENTO!A223</f>
        <v>4.1.2.6.21</v>
      </c>
      <c r="D430" s="44" t="str">
        <f>ORÇAMENTO!B223</f>
        <v xml:space="preserve"> 07.93.37 </v>
      </c>
      <c r="E430" s="44" t="str">
        <f>ORÇAMENTO!C223</f>
        <v>EMBASA</v>
      </c>
      <c r="F430" s="480" t="str">
        <f>ORÇAMENTO!D223</f>
        <v>ESCORAMENTO DE VALA, TIPO BLINDAGEM, COM PROFUNDIDADE DE 1,5 A 3,0 M, LARGURA DE 1,5 A 2,5 M -EXECUÇÃO E FORNECIMENTO, INCLUI MATERIAL (ESCAVAÇÃO INTERNA AO BLINDADO)</v>
      </c>
      <c r="G430" s="44" t="str">
        <f>ORÇAMENTO!E223</f>
        <v>M²</v>
      </c>
      <c r="H430" s="44">
        <f>ORÇAMENTO!F223</f>
        <v>249.06</v>
      </c>
      <c r="I430" s="44">
        <f>ORÇAMENTO!G223</f>
        <v>41.58</v>
      </c>
      <c r="J430" s="44">
        <f>ORÇAMENTO!H223</f>
        <v>0.2122</v>
      </c>
      <c r="K430" s="44">
        <f>ORÇAMENTO!I223</f>
        <v>50.4</v>
      </c>
      <c r="L430" s="44">
        <f>ORÇAMENTO!J223</f>
        <v>12552.62</v>
      </c>
      <c r="M430" s="23">
        <f>ORÇAMENTO!K223</f>
        <v>4.4377273985429664E-4</v>
      </c>
      <c r="N430" s="23" t="str">
        <f t="shared" si="25"/>
        <v>DIFERENTE</v>
      </c>
      <c r="O430" s="23" t="str">
        <f t="shared" si="26"/>
        <v>DIFERENTE</v>
      </c>
      <c r="P430" s="23" t="str">
        <f t="shared" si="27"/>
        <v>DIFERENTE</v>
      </c>
    </row>
    <row r="431" spans="2:16" ht="43.5" x14ac:dyDescent="0.35">
      <c r="B431" s="43">
        <f t="shared" si="24"/>
        <v>74</v>
      </c>
      <c r="C431" s="44" t="str">
        <f>ORÇAMENTO!A401</f>
        <v>5.1.2.3.5</v>
      </c>
      <c r="D431" s="44" t="str">
        <f>ORÇAMENTO!B401</f>
        <v xml:space="preserve"> 07.93.37 </v>
      </c>
      <c r="E431" s="44" t="str">
        <f>ORÇAMENTO!C401</f>
        <v>EMBASA</v>
      </c>
      <c r="F431" s="480" t="str">
        <f>ORÇAMENTO!D401</f>
        <v>ESCORAMENTO DE VALA, TIPO BLINDAGEM, COM PROFUNDIDADE DE 1,5 A 3,0 M, LARGURA DE 1,5 A 2,5 M -EXECUÇÃO E FORNECIMENTO, INCLUI MATERIAL (ESCAVAÇÃO INTERNA AO BLINDADO)</v>
      </c>
      <c r="G431" s="44" t="str">
        <f>ORÇAMENTO!E401</f>
        <v>M²</v>
      </c>
      <c r="H431" s="44">
        <f>ORÇAMENTO!F401</f>
        <v>2755.7893000000004</v>
      </c>
      <c r="I431" s="44">
        <f>ORÇAMENTO!G401</f>
        <v>41.58</v>
      </c>
      <c r="J431" s="44">
        <f>ORÇAMENTO!H401</f>
        <v>0.2122</v>
      </c>
      <c r="K431" s="44">
        <f>ORÇAMENTO!I401</f>
        <v>50.4</v>
      </c>
      <c r="L431" s="44">
        <f>ORÇAMENTO!J401</f>
        <v>138891.78</v>
      </c>
      <c r="M431" s="23">
        <f>ORÇAMENTO!K401</f>
        <v>4.9102407110101472E-3</v>
      </c>
      <c r="N431" s="23" t="str">
        <f t="shared" si="25"/>
        <v>OK!</v>
      </c>
      <c r="O431" s="23" t="str">
        <f t="shared" si="26"/>
        <v>OK!</v>
      </c>
      <c r="P431" s="23" t="str">
        <f t="shared" si="27"/>
        <v>OK!</v>
      </c>
    </row>
    <row r="432" spans="2:16" ht="43.5" x14ac:dyDescent="0.35">
      <c r="B432" s="43">
        <f t="shared" si="24"/>
        <v>74</v>
      </c>
      <c r="C432" s="44" t="str">
        <f>ORÇAMENTO!A466</f>
        <v>5.1.2.6.22</v>
      </c>
      <c r="D432" s="44" t="str">
        <f>ORÇAMENTO!B466</f>
        <v xml:space="preserve"> 07.93.37 </v>
      </c>
      <c r="E432" s="44" t="str">
        <f>ORÇAMENTO!C466</f>
        <v>EMBASA</v>
      </c>
      <c r="F432" s="480" t="str">
        <f>ORÇAMENTO!D466</f>
        <v>ESCORAMENTO DE VALA, TIPO BLINDAGEM, COM PROFUNDIDADE DE 1,5 A 3,0 M, LARGURA DE 1,5 A 2,5 M -EXECUÇÃO E FORNECIMENTO, INCLUI MATERIAL (ESCAVAÇÃO INTERNA AO BLINDADO)</v>
      </c>
      <c r="G432" s="44" t="str">
        <f>ORÇAMENTO!E466</f>
        <v>M²</v>
      </c>
      <c r="H432" s="44">
        <f>ORÇAMENTO!F466</f>
        <v>278.41000000000003</v>
      </c>
      <c r="I432" s="44">
        <f>ORÇAMENTO!G466</f>
        <v>41.58</v>
      </c>
      <c r="J432" s="44">
        <f>ORÇAMENTO!H466</f>
        <v>0.2122</v>
      </c>
      <c r="K432" s="44">
        <f>ORÇAMENTO!I466</f>
        <v>50.4</v>
      </c>
      <c r="L432" s="44">
        <f>ORÇAMENTO!J466</f>
        <v>14031.86</v>
      </c>
      <c r="M432" s="23">
        <f>ORÇAMENTO!K466</f>
        <v>4.96068307449115E-4</v>
      </c>
      <c r="N432" s="23" t="str">
        <f t="shared" si="25"/>
        <v>OK!</v>
      </c>
      <c r="O432" s="23" t="str">
        <f t="shared" si="26"/>
        <v>OK!</v>
      </c>
      <c r="P432" s="23" t="str">
        <f t="shared" si="27"/>
        <v>OK!</v>
      </c>
    </row>
    <row r="433" spans="2:16" ht="43.5" x14ac:dyDescent="0.35">
      <c r="B433" s="43">
        <f t="shared" si="24"/>
        <v>74</v>
      </c>
      <c r="C433" s="44" t="str">
        <f>ORÇAMENTO!A613</f>
        <v>6.1.2.3.4</v>
      </c>
      <c r="D433" s="44" t="str">
        <f>ORÇAMENTO!B613</f>
        <v xml:space="preserve"> 07.93.37 </v>
      </c>
      <c r="E433" s="44" t="str">
        <f>ORÇAMENTO!C613</f>
        <v>EMBASA</v>
      </c>
      <c r="F433" s="480" t="str">
        <f>ORÇAMENTO!D613</f>
        <v>ESCORAMENTO DE VALA, TIPO BLINDAGEM, COM PROFUNDIDADE DE 1,5 A 3,0 M, LARGURA DE 1,5 A 2,5 M -EXECUÇÃO E FORNECIMENTO, INCLUI MATERIAL (ESCAVAÇÃO INTERNA AO BLINDADO)</v>
      </c>
      <c r="G433" s="44" t="str">
        <f>ORÇAMENTO!E613</f>
        <v>M²</v>
      </c>
      <c r="H433" s="44">
        <f>ORÇAMENTO!F613</f>
        <v>105.32104606159345</v>
      </c>
      <c r="I433" s="44">
        <f>ORÇAMENTO!G613</f>
        <v>41.58</v>
      </c>
      <c r="J433" s="44">
        <f>ORÇAMENTO!H613</f>
        <v>0.2122</v>
      </c>
      <c r="K433" s="44">
        <f>ORÇAMENTO!I613</f>
        <v>50.4</v>
      </c>
      <c r="L433" s="44">
        <f>ORÇAMENTO!J613</f>
        <v>5308.18</v>
      </c>
      <c r="M433" s="23">
        <f>ORÇAMENTO!K613</f>
        <v>1.876600727369888E-4</v>
      </c>
      <c r="N433" s="23" t="str">
        <f t="shared" si="25"/>
        <v>OK!</v>
      </c>
      <c r="O433" s="23" t="str">
        <f t="shared" si="26"/>
        <v>OK!</v>
      </c>
      <c r="P433" s="23" t="str">
        <f t="shared" si="27"/>
        <v>OK!</v>
      </c>
    </row>
    <row r="434" spans="2:16" ht="43.5" x14ac:dyDescent="0.35">
      <c r="B434" s="43">
        <f t="shared" si="24"/>
        <v>74</v>
      </c>
      <c r="C434" s="44" t="str">
        <f>ORÇAMENTO!A661</f>
        <v>6.1.2.6.14</v>
      </c>
      <c r="D434" s="44" t="str">
        <f>ORÇAMENTO!B661</f>
        <v xml:space="preserve"> 07.93.37 </v>
      </c>
      <c r="E434" s="44" t="str">
        <f>ORÇAMENTO!C661</f>
        <v>EMBASA</v>
      </c>
      <c r="F434" s="480" t="str">
        <f>ORÇAMENTO!D661</f>
        <v>ESCORAMENTO DE VALA, TIPO BLINDAGEM, COM PROFUNDIDADE DE 1,5 A 3,0 M, LARGURA DE 1,5 A 2,5 M -EXECUÇÃO E FORNECIMENTO, INCLUI MATERIAL (ESCAVAÇÃO INTERNA AO BLINDADO)</v>
      </c>
      <c r="G434" s="44" t="str">
        <f>ORÇAMENTO!E661</f>
        <v>M²</v>
      </c>
      <c r="H434" s="44">
        <f>ORÇAMENTO!F661</f>
        <v>102.03</v>
      </c>
      <c r="I434" s="44">
        <f>ORÇAMENTO!G661</f>
        <v>41.58</v>
      </c>
      <c r="J434" s="44">
        <f>ORÇAMENTO!H661</f>
        <v>0.2122</v>
      </c>
      <c r="K434" s="44">
        <f>ORÇAMENTO!I661</f>
        <v>50.4</v>
      </c>
      <c r="L434" s="44">
        <f>ORÇAMENTO!J661</f>
        <v>5142.3100000000004</v>
      </c>
      <c r="M434" s="23">
        <f>ORÇAMENTO!K661</f>
        <v>1.8179607108955326E-4</v>
      </c>
      <c r="N434" s="23" t="str">
        <f t="shared" si="25"/>
        <v>OK!</v>
      </c>
      <c r="O434" s="23" t="str">
        <f t="shared" si="26"/>
        <v>OK!</v>
      </c>
      <c r="P434" s="23" t="str">
        <f t="shared" si="27"/>
        <v>OK!</v>
      </c>
    </row>
    <row r="435" spans="2:16" ht="43.5" x14ac:dyDescent="0.35">
      <c r="B435" s="43">
        <f t="shared" si="24"/>
        <v>74</v>
      </c>
      <c r="C435" s="44" t="str">
        <f>ORÇAMENTO!A809</f>
        <v>7.1.2.3.5</v>
      </c>
      <c r="D435" s="44" t="str">
        <f>ORÇAMENTO!B809</f>
        <v xml:space="preserve"> 07.93.37 </v>
      </c>
      <c r="E435" s="44" t="str">
        <f>ORÇAMENTO!C809</f>
        <v>EMBASA</v>
      </c>
      <c r="F435" s="480" t="str">
        <f>ORÇAMENTO!D809</f>
        <v>ESCORAMENTO DE VALA, TIPO BLINDAGEM, COM PROFUNDIDADE DE 1,5 A 3,0 M, LARGURA DE 1,5 A 2,5 M -EXECUÇÃO E FORNECIMENTO, INCLUI MATERIAL (ESCAVAÇÃO INTERNA AO BLINDADO)</v>
      </c>
      <c r="G435" s="44" t="str">
        <f>ORÇAMENTO!E809</f>
        <v>M²</v>
      </c>
      <c r="H435" s="44">
        <f>ORÇAMENTO!F809</f>
        <v>2432.9435999999996</v>
      </c>
      <c r="I435" s="44">
        <f>ORÇAMENTO!G809</f>
        <v>41.58</v>
      </c>
      <c r="J435" s="44">
        <f>ORÇAMENTO!H809</f>
        <v>0.2122</v>
      </c>
      <c r="K435" s="44">
        <f>ORÇAMENTO!I809</f>
        <v>50.4</v>
      </c>
      <c r="L435" s="44">
        <f>ORÇAMENTO!J809</f>
        <v>122620.35</v>
      </c>
      <c r="M435" s="23">
        <f>ORÇAMENTO!K809</f>
        <v>4.3349968915965594E-3</v>
      </c>
      <c r="N435" s="23" t="str">
        <f t="shared" si="25"/>
        <v>OK!</v>
      </c>
      <c r="O435" s="23" t="str">
        <f t="shared" si="26"/>
        <v>OK!</v>
      </c>
      <c r="P435" s="23" t="str">
        <f t="shared" si="27"/>
        <v>OK!</v>
      </c>
    </row>
    <row r="436" spans="2:16" ht="43.5" x14ac:dyDescent="0.35">
      <c r="B436" s="43">
        <f t="shared" si="24"/>
        <v>74</v>
      </c>
      <c r="C436" s="44" t="str">
        <f>ORÇAMENTO!A875</f>
        <v>7.1.2.6.22</v>
      </c>
      <c r="D436" s="44" t="str">
        <f>ORÇAMENTO!B875</f>
        <v xml:space="preserve"> 07.93.37 </v>
      </c>
      <c r="E436" s="44" t="str">
        <f>ORÇAMENTO!C875</f>
        <v>EMBASA</v>
      </c>
      <c r="F436" s="480" t="str">
        <f>ORÇAMENTO!D875</f>
        <v>ESCORAMENTO DE VALA, TIPO BLINDAGEM, COM PROFUNDIDADE DE 1,5 A 3,0 M, LARGURA DE 1,5 A 2,5 M -EXECUÇÃO E FORNECIMENTO, INCLUI MATERIAL (ESCAVAÇÃO INTERNA AO BLINDADO)</v>
      </c>
      <c r="G436" s="44" t="str">
        <f>ORÇAMENTO!E875</f>
        <v>M²</v>
      </c>
      <c r="H436" s="44">
        <f>ORÇAMENTO!F875</f>
        <v>291.14999999999998</v>
      </c>
      <c r="I436" s="44">
        <f>ORÇAMENTO!G875</f>
        <v>41.58</v>
      </c>
      <c r="J436" s="44">
        <f>ORÇAMENTO!H875</f>
        <v>0.2122</v>
      </c>
      <c r="K436" s="44">
        <f>ORÇAMENTO!I875</f>
        <v>50.4</v>
      </c>
      <c r="L436" s="44">
        <f>ORÇAMENTO!J875</f>
        <v>14673.96</v>
      </c>
      <c r="M436" s="23">
        <f>ORÇAMENTO!K875</f>
        <v>5.1876846695847988E-4</v>
      </c>
      <c r="N436" s="23" t="str">
        <f t="shared" si="25"/>
        <v>OK!</v>
      </c>
      <c r="O436" s="23" t="str">
        <f t="shared" si="26"/>
        <v>OK!</v>
      </c>
      <c r="P436" s="23" t="str">
        <f t="shared" si="27"/>
        <v>OK!</v>
      </c>
    </row>
    <row r="437" spans="2:16" ht="43.5" x14ac:dyDescent="0.35">
      <c r="B437" s="43">
        <f t="shared" si="24"/>
        <v>75</v>
      </c>
      <c r="C437" s="44" t="str">
        <f>ORÇAMENTO!A164</f>
        <v>4.1.2.3.7</v>
      </c>
      <c r="D437" s="44" t="str">
        <f>ORÇAMENTO!B164</f>
        <v xml:space="preserve"> 07.93.45 </v>
      </c>
      <c r="E437" s="44" t="str">
        <f>ORÇAMENTO!C164</f>
        <v>EMBASA</v>
      </c>
      <c r="F437" s="480" t="str">
        <f>ORÇAMENTO!D164</f>
        <v>ESCORAMENTO DE VALA, TIPO BLINDAGEM, COM PROFUNDIDADE DE 1,5 A 3,0 M, LARGURA DE 2,5 A 3,5 M -EXECUÇÃO E FORNECIMENTO, INCLUI MATERIAL (ESCAVAÇÃO INTERNA AO BLINDADO)</v>
      </c>
      <c r="G437" s="44" t="str">
        <f>ORÇAMENTO!E164</f>
        <v>M²</v>
      </c>
      <c r="H437" s="44">
        <f>ORÇAMENTO!F164</f>
        <v>1464.930562147292</v>
      </c>
      <c r="I437" s="44">
        <f>ORÇAMENTO!G164</f>
        <v>59.71</v>
      </c>
      <c r="J437" s="44">
        <f>ORÇAMENTO!H164</f>
        <v>0.2122</v>
      </c>
      <c r="K437" s="44">
        <f>ORÇAMENTO!I164</f>
        <v>72.38</v>
      </c>
      <c r="L437" s="44">
        <f>ORÇAMENTO!J164</f>
        <v>106031.67</v>
      </c>
      <c r="M437" s="23">
        <f>ORÇAMENTO!K164</f>
        <v>3.7485373338176906E-3</v>
      </c>
      <c r="N437" s="23" t="str">
        <f t="shared" si="25"/>
        <v>DIFERENTE</v>
      </c>
      <c r="O437" s="23" t="str">
        <f t="shared" si="26"/>
        <v>DIFERENTE</v>
      </c>
      <c r="P437" s="23" t="str">
        <f t="shared" si="27"/>
        <v>DIFERENTE</v>
      </c>
    </row>
    <row r="438" spans="2:16" ht="43.5" x14ac:dyDescent="0.35">
      <c r="B438" s="43">
        <f t="shared" si="24"/>
        <v>75</v>
      </c>
      <c r="C438" s="44" t="str">
        <f>ORÇAMENTO!A404</f>
        <v>5.1.2.3.8</v>
      </c>
      <c r="D438" s="44" t="str">
        <f>ORÇAMENTO!B404</f>
        <v xml:space="preserve"> 07.93.45 </v>
      </c>
      <c r="E438" s="44" t="str">
        <f>ORÇAMENTO!C404</f>
        <v>EMBASA</v>
      </c>
      <c r="F438" s="480" t="str">
        <f>ORÇAMENTO!D404</f>
        <v>ESCORAMENTO DE VALA, TIPO BLINDAGEM, COM PROFUNDIDADE DE 1,5 A 3,0 M, LARGURA DE 2,5 A 3,5 M -EXECUÇÃO E FORNECIMENTO, INCLUI MATERIAL (ESCAVAÇÃO INTERNA AO BLINDADO)</v>
      </c>
      <c r="G438" s="44" t="str">
        <f>ORÇAMENTO!E404</f>
        <v>M²</v>
      </c>
      <c r="H438" s="44">
        <f>ORÇAMENTO!F404</f>
        <v>932.64</v>
      </c>
      <c r="I438" s="44">
        <f>ORÇAMENTO!G404</f>
        <v>59.71</v>
      </c>
      <c r="J438" s="44">
        <f>ORÇAMENTO!H404</f>
        <v>0.2122</v>
      </c>
      <c r="K438" s="44">
        <f>ORÇAMENTO!I404</f>
        <v>72.38</v>
      </c>
      <c r="L438" s="44">
        <f>ORÇAMENTO!J404</f>
        <v>67504.479999999996</v>
      </c>
      <c r="M438" s="23">
        <f>ORÇAMENTO!K404</f>
        <v>2.3864856931891162E-3</v>
      </c>
      <c r="N438" s="23" t="str">
        <f t="shared" si="25"/>
        <v>OK!</v>
      </c>
      <c r="O438" s="23" t="str">
        <f t="shared" si="26"/>
        <v>OK!</v>
      </c>
      <c r="P438" s="23" t="str">
        <f t="shared" si="27"/>
        <v>OK!</v>
      </c>
    </row>
    <row r="439" spans="2:16" ht="43.5" x14ac:dyDescent="0.35">
      <c r="B439" s="43">
        <f t="shared" si="24"/>
        <v>75</v>
      </c>
      <c r="C439" s="44" t="str">
        <f>ORÇAMENTO!A616</f>
        <v>6.1.2.3.7</v>
      </c>
      <c r="D439" s="44" t="str">
        <f>ORÇAMENTO!B616</f>
        <v xml:space="preserve"> 07.93.45 </v>
      </c>
      <c r="E439" s="44" t="str">
        <f>ORÇAMENTO!C616</f>
        <v>EMBASA</v>
      </c>
      <c r="F439" s="480" t="str">
        <f>ORÇAMENTO!D616</f>
        <v>ESCORAMENTO DE VALA, TIPO BLINDAGEM, COM PROFUNDIDADE DE 1,5 A 3,0 M, LARGURA DE 2,5 A 3,5 M -EXECUÇÃO E FORNECIMENTO, INCLUI MATERIAL (ESCAVAÇÃO INTERNA AO BLINDADO)</v>
      </c>
      <c r="G439" s="44" t="str">
        <f>ORÇAMENTO!E616</f>
        <v>M²</v>
      </c>
      <c r="H439" s="44">
        <f>ORÇAMENTO!F616</f>
        <v>279.18456475551534</v>
      </c>
      <c r="I439" s="44">
        <f>ORÇAMENTO!G616</f>
        <v>59.71</v>
      </c>
      <c r="J439" s="44">
        <f>ORÇAMENTO!H616</f>
        <v>0.2122</v>
      </c>
      <c r="K439" s="44">
        <f>ORÇAMENTO!I616</f>
        <v>72.38</v>
      </c>
      <c r="L439" s="44">
        <f>ORÇAMENTO!J616</f>
        <v>20207.37</v>
      </c>
      <c r="M439" s="23">
        <f>ORÇAMENTO!K616</f>
        <v>7.1439109525736589E-4</v>
      </c>
      <c r="N439" s="23" t="str">
        <f t="shared" si="25"/>
        <v>OK!</v>
      </c>
      <c r="O439" s="23" t="str">
        <f t="shared" si="26"/>
        <v>OK!</v>
      </c>
      <c r="P439" s="23" t="str">
        <f t="shared" si="27"/>
        <v>OK!</v>
      </c>
    </row>
    <row r="440" spans="2:16" ht="43.5" x14ac:dyDescent="0.35">
      <c r="B440" s="43">
        <f t="shared" si="24"/>
        <v>75</v>
      </c>
      <c r="C440" s="44" t="str">
        <f>ORÇAMENTO!A812</f>
        <v>7.1.2.3.8</v>
      </c>
      <c r="D440" s="44" t="str">
        <f>ORÇAMENTO!B812</f>
        <v xml:space="preserve"> 07.93.45 </v>
      </c>
      <c r="E440" s="44" t="str">
        <f>ORÇAMENTO!C812</f>
        <v>EMBASA</v>
      </c>
      <c r="F440" s="480" t="str">
        <f>ORÇAMENTO!D812</f>
        <v>ESCORAMENTO DE VALA, TIPO BLINDAGEM, COM PROFUNDIDADE DE 1,5 A 3,0 M, LARGURA DE 2,5 A 3,5 M -EXECUÇÃO E FORNECIMENTO, INCLUI MATERIAL (ESCAVAÇÃO INTERNA AO BLINDADO)</v>
      </c>
      <c r="G440" s="44" t="str">
        <f>ORÇAMENTO!E812</f>
        <v>M²</v>
      </c>
      <c r="H440" s="44">
        <f>ORÇAMENTO!F812</f>
        <v>2316.5812000000005</v>
      </c>
      <c r="I440" s="44">
        <f>ORÇAMENTO!G812</f>
        <v>59.71</v>
      </c>
      <c r="J440" s="44">
        <f>ORÇAMENTO!H812</f>
        <v>0.2122</v>
      </c>
      <c r="K440" s="44">
        <f>ORÇAMENTO!I812</f>
        <v>72.38</v>
      </c>
      <c r="L440" s="44">
        <f>ORÇAMENTO!J812</f>
        <v>167674.14000000001</v>
      </c>
      <c r="M440" s="23">
        <f>ORÇAMENTO!K812</f>
        <v>5.9277834038242942E-3</v>
      </c>
      <c r="N440" s="23" t="str">
        <f t="shared" si="25"/>
        <v>OK!</v>
      </c>
      <c r="O440" s="23" t="str">
        <f t="shared" si="26"/>
        <v>OK!</v>
      </c>
      <c r="P440" s="23" t="str">
        <f t="shared" si="27"/>
        <v>OK!</v>
      </c>
    </row>
    <row r="441" spans="2:16" ht="43.5" x14ac:dyDescent="0.35">
      <c r="B441" s="43">
        <f t="shared" si="24"/>
        <v>76</v>
      </c>
      <c r="C441" s="44" t="str">
        <f>ORÇAMENTO!A159</f>
        <v>4.1.2.3.2</v>
      </c>
      <c r="D441" s="44" t="str">
        <f>ORÇAMENTO!B159</f>
        <v xml:space="preserve"> 07.93.35 </v>
      </c>
      <c r="E441" s="44" t="str">
        <f>ORÇAMENTO!C159</f>
        <v>EMBASA</v>
      </c>
      <c r="F441" s="480" t="str">
        <f>ORÇAMENTO!D159</f>
        <v>ESCORAMENTO DE VALA, TIPO BLINDAGEM, COM PROFUNDIDADE DE 1,5 A 3,0 M, LARGURA MENOR QUE 1,5 M - EXECUÇÃO E FORNECIMENTO, INCLUI MATERIAL (ESCAVAÇÃO INTERNA AO BLINDADO)</v>
      </c>
      <c r="G441" s="44" t="str">
        <f>ORÇAMENTO!E159</f>
        <v>M²</v>
      </c>
      <c r="H441" s="44">
        <f>ORÇAMENTO!F159</f>
        <v>223.31316137011868</v>
      </c>
      <c r="I441" s="44">
        <f>ORÇAMENTO!G159</f>
        <v>30.02</v>
      </c>
      <c r="J441" s="44">
        <f>ORÇAMENTO!H159</f>
        <v>0.2122</v>
      </c>
      <c r="K441" s="44">
        <f>ORÇAMENTO!I159</f>
        <v>36.39</v>
      </c>
      <c r="L441" s="44">
        <f>ORÇAMENTO!J159</f>
        <v>8126.36</v>
      </c>
      <c r="M441" s="23">
        <f>ORÇAMENTO!K159</f>
        <v>2.8729118241788257E-4</v>
      </c>
      <c r="N441" s="23" t="str">
        <f t="shared" si="25"/>
        <v>DIFERENTE</v>
      </c>
      <c r="O441" s="23" t="str">
        <f t="shared" si="26"/>
        <v>DIFERENTE</v>
      </c>
      <c r="P441" s="23" t="str">
        <f t="shared" si="27"/>
        <v>DIFERENTE</v>
      </c>
    </row>
    <row r="442" spans="2:16" ht="43.5" x14ac:dyDescent="0.35">
      <c r="B442" s="43">
        <f t="shared" si="24"/>
        <v>76</v>
      </c>
      <c r="C442" s="44" t="str">
        <f>ORÇAMENTO!A220</f>
        <v>4.1.2.6.18</v>
      </c>
      <c r="D442" s="44" t="str">
        <f>ORÇAMENTO!B220</f>
        <v xml:space="preserve"> 07.93.35 </v>
      </c>
      <c r="E442" s="44" t="str">
        <f>ORÇAMENTO!C220</f>
        <v>EMBASA</v>
      </c>
      <c r="F442" s="480" t="str">
        <f>ORÇAMENTO!D220</f>
        <v>ESCORAMENTO DE VALA, TIPO BLINDAGEM, COM PROFUNDIDADE DE 1,5 A 3,0 M, LARGURA MENOR QUE 1,5 M - EXECUÇÃO E FORNECIMENTO, INCLUI MATERIAL (ESCAVAÇÃO INTERNA AO BLINDADO)</v>
      </c>
      <c r="G442" s="44" t="str">
        <f>ORÇAMENTO!E220</f>
        <v>M²</v>
      </c>
      <c r="H442" s="44">
        <f>ORÇAMENTO!F220</f>
        <v>1142.47</v>
      </c>
      <c r="I442" s="44">
        <f>ORÇAMENTO!G220</f>
        <v>30.02</v>
      </c>
      <c r="J442" s="44">
        <f>ORÇAMENTO!H220</f>
        <v>0.2122</v>
      </c>
      <c r="K442" s="44">
        <f>ORÇAMENTO!I220</f>
        <v>36.39</v>
      </c>
      <c r="L442" s="44">
        <f>ORÇAMENTO!J220</f>
        <v>41574.480000000003</v>
      </c>
      <c r="M442" s="23">
        <f>ORÇAMENTO!K220</f>
        <v>1.4697824755005456E-3</v>
      </c>
      <c r="N442" s="23" t="str">
        <f t="shared" si="25"/>
        <v>OK!</v>
      </c>
      <c r="O442" s="23" t="str">
        <f t="shared" si="26"/>
        <v>OK!</v>
      </c>
      <c r="P442" s="23" t="str">
        <f t="shared" si="27"/>
        <v>OK!</v>
      </c>
    </row>
    <row r="443" spans="2:16" ht="43.5" x14ac:dyDescent="0.35">
      <c r="B443" s="43">
        <f t="shared" si="24"/>
        <v>76</v>
      </c>
      <c r="C443" s="44" t="str">
        <f>ORÇAMENTO!A398</f>
        <v>5.1.2.3.2</v>
      </c>
      <c r="D443" s="44" t="str">
        <f>ORÇAMENTO!B398</f>
        <v xml:space="preserve"> 07.93.35 </v>
      </c>
      <c r="E443" s="44" t="str">
        <f>ORÇAMENTO!C398</f>
        <v>EMBASA</v>
      </c>
      <c r="F443" s="480" t="str">
        <f>ORÇAMENTO!D398</f>
        <v>ESCORAMENTO DE VALA, TIPO BLINDAGEM, COM PROFUNDIDADE DE 1,5 A 3,0 M, LARGURA MENOR QUE 1,5 M - EXECUÇÃO E FORNECIMENTO, INCLUI MATERIAL (ESCAVAÇÃO INTERNA AO BLINDADO)</v>
      </c>
      <c r="G443" s="44" t="str">
        <f>ORÇAMENTO!E398</f>
        <v>M²</v>
      </c>
      <c r="H443" s="44">
        <f>ORÇAMENTO!F398</f>
        <v>1126.3936000000001</v>
      </c>
      <c r="I443" s="44">
        <f>ORÇAMENTO!G398</f>
        <v>30.02</v>
      </c>
      <c r="J443" s="44">
        <f>ORÇAMENTO!H398</f>
        <v>0.2122</v>
      </c>
      <c r="K443" s="44">
        <f>ORÇAMENTO!I398</f>
        <v>36.39</v>
      </c>
      <c r="L443" s="44">
        <f>ORÇAMENTO!J398</f>
        <v>40989.46</v>
      </c>
      <c r="M443" s="23">
        <f>ORÇAMENTO!K398</f>
        <v>1.4491002650720004E-3</v>
      </c>
      <c r="N443" s="23" t="str">
        <f t="shared" si="25"/>
        <v>OK!</v>
      </c>
      <c r="O443" s="23" t="str">
        <f t="shared" si="26"/>
        <v>OK!</v>
      </c>
      <c r="P443" s="23" t="str">
        <f t="shared" si="27"/>
        <v>OK!</v>
      </c>
    </row>
    <row r="444" spans="2:16" ht="43.5" x14ac:dyDescent="0.35">
      <c r="B444" s="43">
        <f t="shared" si="24"/>
        <v>76</v>
      </c>
      <c r="C444" s="44" t="str">
        <f>ORÇAMENTO!A463</f>
        <v>5.1.2.6.19</v>
      </c>
      <c r="D444" s="44" t="str">
        <f>ORÇAMENTO!B463</f>
        <v xml:space="preserve"> 07.93.35 </v>
      </c>
      <c r="E444" s="44" t="str">
        <f>ORÇAMENTO!C463</f>
        <v>EMBASA</v>
      </c>
      <c r="F444" s="480" t="str">
        <f>ORÇAMENTO!D463</f>
        <v>ESCORAMENTO DE VALA, TIPO BLINDAGEM, COM PROFUNDIDADE DE 1,5 A 3,0 M, LARGURA MENOR QUE 1,5 M - EXECUÇÃO E FORNECIMENTO, INCLUI MATERIAL (ESCAVAÇÃO INTERNA AO BLINDADO)</v>
      </c>
      <c r="G444" s="44" t="str">
        <f>ORÇAMENTO!E463</f>
        <v>M²</v>
      </c>
      <c r="H444" s="44">
        <f>ORÇAMENTO!F463</f>
        <v>789.81</v>
      </c>
      <c r="I444" s="44">
        <f>ORÇAMENTO!G463</f>
        <v>30.02</v>
      </c>
      <c r="J444" s="44">
        <f>ORÇAMENTO!H463</f>
        <v>0.2122</v>
      </c>
      <c r="K444" s="44">
        <f>ORÇAMENTO!I463</f>
        <v>36.39</v>
      </c>
      <c r="L444" s="44">
        <f>ORÇAMENTO!J463</f>
        <v>28741.18</v>
      </c>
      <c r="M444" s="23">
        <f>ORÇAMENTO!K463</f>
        <v>1.0160868563889858E-3</v>
      </c>
      <c r="N444" s="23" t="str">
        <f t="shared" si="25"/>
        <v>OK!</v>
      </c>
      <c r="O444" s="23" t="str">
        <f t="shared" si="26"/>
        <v>OK!</v>
      </c>
      <c r="P444" s="23" t="str">
        <f t="shared" si="27"/>
        <v>OK!</v>
      </c>
    </row>
    <row r="445" spans="2:16" ht="43.5" x14ac:dyDescent="0.35">
      <c r="B445" s="43">
        <f t="shared" si="24"/>
        <v>76</v>
      </c>
      <c r="C445" s="44" t="str">
        <f>ORÇAMENTO!A611</f>
        <v>6.1.2.3.2</v>
      </c>
      <c r="D445" s="44" t="str">
        <f>ORÇAMENTO!B611</f>
        <v xml:space="preserve"> 07.93.35 </v>
      </c>
      <c r="E445" s="44" t="str">
        <f>ORÇAMENTO!C611</f>
        <v>EMBASA</v>
      </c>
      <c r="F445" s="480" t="str">
        <f>ORÇAMENTO!D611</f>
        <v>ESCORAMENTO DE VALA, TIPO BLINDAGEM, COM PROFUNDIDADE DE 1,5 A 3,0 M, LARGURA MENOR QUE 1,5 M - EXECUÇÃO E FORNECIMENTO, INCLUI MATERIAL (ESCAVAÇÃO INTERNA AO BLINDADO)</v>
      </c>
      <c r="G445" s="44" t="str">
        <f>ORÇAMENTO!E611</f>
        <v>M²</v>
      </c>
      <c r="H445" s="44">
        <f>ORÇAMENTO!F611</f>
        <v>518.22859999922434</v>
      </c>
      <c r="I445" s="44">
        <f>ORÇAMENTO!G611</f>
        <v>30.02</v>
      </c>
      <c r="J445" s="44">
        <f>ORÇAMENTO!H611</f>
        <v>0.2122</v>
      </c>
      <c r="K445" s="44">
        <f>ORÇAMENTO!I611</f>
        <v>36.39</v>
      </c>
      <c r="L445" s="44">
        <f>ORÇAMENTO!J611</f>
        <v>18858.330000000002</v>
      </c>
      <c r="M445" s="23">
        <f>ORÇAMENTO!K611</f>
        <v>6.666984878994567E-4</v>
      </c>
      <c r="N445" s="23" t="str">
        <f t="shared" si="25"/>
        <v>OK!</v>
      </c>
      <c r="O445" s="23" t="str">
        <f t="shared" si="26"/>
        <v>OK!</v>
      </c>
      <c r="P445" s="23" t="str">
        <f t="shared" si="27"/>
        <v>OK!</v>
      </c>
    </row>
    <row r="446" spans="2:16" ht="43.5" x14ac:dyDescent="0.35">
      <c r="B446" s="43">
        <f t="shared" si="24"/>
        <v>76</v>
      </c>
      <c r="C446" s="44" t="str">
        <f>ORÇAMENTO!A658</f>
        <v>6.1.2.6.11</v>
      </c>
      <c r="D446" s="44" t="str">
        <f>ORÇAMENTO!B658</f>
        <v xml:space="preserve"> 07.93.35 </v>
      </c>
      <c r="E446" s="44" t="str">
        <f>ORÇAMENTO!C658</f>
        <v>EMBASA</v>
      </c>
      <c r="F446" s="480" t="str">
        <f>ORÇAMENTO!D658</f>
        <v>ESCORAMENTO DE VALA, TIPO BLINDAGEM, COM PROFUNDIDADE DE 1,5 A 3,0 M, LARGURA MENOR QUE 1,5 M - EXECUÇÃO E FORNECIMENTO, INCLUI MATERIAL (ESCAVAÇÃO INTERNA AO BLINDADO)</v>
      </c>
      <c r="G446" s="44" t="str">
        <f>ORÇAMENTO!E658</f>
        <v>M²</v>
      </c>
      <c r="H446" s="44">
        <f>ORÇAMENTO!F658</f>
        <v>307.67</v>
      </c>
      <c r="I446" s="44">
        <f>ORÇAMENTO!G658</f>
        <v>30.02</v>
      </c>
      <c r="J446" s="44">
        <f>ORÇAMENTO!H658</f>
        <v>0.2122</v>
      </c>
      <c r="K446" s="44">
        <f>ORÇAMENTO!I658</f>
        <v>36.39</v>
      </c>
      <c r="L446" s="44">
        <f>ORÇAMENTO!J658</f>
        <v>11196.11</v>
      </c>
      <c r="M446" s="23">
        <f>ORÇAMENTO!K658</f>
        <v>3.9581604560721896E-4</v>
      </c>
      <c r="N446" s="23" t="str">
        <f t="shared" si="25"/>
        <v>OK!</v>
      </c>
      <c r="O446" s="23" t="str">
        <f t="shared" si="26"/>
        <v>OK!</v>
      </c>
      <c r="P446" s="23" t="str">
        <f t="shared" si="27"/>
        <v>OK!</v>
      </c>
    </row>
    <row r="447" spans="2:16" ht="43.5" x14ac:dyDescent="0.35">
      <c r="B447" s="43">
        <f t="shared" si="24"/>
        <v>76</v>
      </c>
      <c r="C447" s="44" t="str">
        <f>ORÇAMENTO!A806</f>
        <v>7.1.2.3.2</v>
      </c>
      <c r="D447" s="44" t="str">
        <f>ORÇAMENTO!B806</f>
        <v xml:space="preserve"> 07.93.35 </v>
      </c>
      <c r="E447" s="44" t="str">
        <f>ORÇAMENTO!C806</f>
        <v>EMBASA</v>
      </c>
      <c r="F447" s="480" t="str">
        <f>ORÇAMENTO!D806</f>
        <v>ESCORAMENTO DE VALA, TIPO BLINDAGEM, COM PROFUNDIDADE DE 1,5 A 3,0 M, LARGURA MENOR QUE 1,5 M - EXECUÇÃO E FORNECIMENTO, INCLUI MATERIAL (ESCAVAÇÃO INTERNA AO BLINDADO)</v>
      </c>
      <c r="G447" s="44" t="str">
        <f>ORÇAMENTO!E806</f>
        <v>M²</v>
      </c>
      <c r="H447" s="44">
        <f>ORÇAMENTO!F806</f>
        <v>326.61610000000002</v>
      </c>
      <c r="I447" s="44">
        <f>ORÇAMENTO!G806</f>
        <v>30.02</v>
      </c>
      <c r="J447" s="44">
        <f>ORÇAMENTO!H806</f>
        <v>0.2122</v>
      </c>
      <c r="K447" s="44">
        <f>ORÇAMENTO!I806</f>
        <v>36.39</v>
      </c>
      <c r="L447" s="44">
        <f>ORÇAMENTO!J806</f>
        <v>11885.55</v>
      </c>
      <c r="M447" s="23">
        <f>ORÇAMENTO!K806</f>
        <v>4.2018981600456596E-4</v>
      </c>
      <c r="N447" s="23" t="str">
        <f t="shared" si="25"/>
        <v>OK!</v>
      </c>
      <c r="O447" s="23" t="str">
        <f t="shared" si="26"/>
        <v>OK!</v>
      </c>
      <c r="P447" s="23" t="str">
        <f t="shared" si="27"/>
        <v>OK!</v>
      </c>
    </row>
    <row r="448" spans="2:16" ht="43.5" x14ac:dyDescent="0.35">
      <c r="B448" s="43">
        <f t="shared" si="24"/>
        <v>76</v>
      </c>
      <c r="C448" s="44" t="str">
        <f>ORÇAMENTO!A872</f>
        <v>7.1.2.6.19</v>
      </c>
      <c r="D448" s="44" t="str">
        <f>ORÇAMENTO!B872</f>
        <v xml:space="preserve"> 07.93.35 </v>
      </c>
      <c r="E448" s="44" t="str">
        <f>ORÇAMENTO!C872</f>
        <v>EMBASA</v>
      </c>
      <c r="F448" s="480" t="str">
        <f>ORÇAMENTO!D872</f>
        <v>ESCORAMENTO DE VALA, TIPO BLINDAGEM, COM PROFUNDIDADE DE 1,5 A 3,0 M, LARGURA MENOR QUE 1,5 M - EXECUÇÃO E FORNECIMENTO, INCLUI MATERIAL (ESCAVAÇÃO INTERNA AO BLINDADO)</v>
      </c>
      <c r="G448" s="44" t="str">
        <f>ORÇAMENTO!E872</f>
        <v>M²</v>
      </c>
      <c r="H448" s="44">
        <f>ORÇAMENTO!F872</f>
        <v>1279.8699999999999</v>
      </c>
      <c r="I448" s="44">
        <f>ORÇAMENTO!G872</f>
        <v>30.02</v>
      </c>
      <c r="J448" s="44">
        <f>ORÇAMENTO!H872</f>
        <v>0.2122</v>
      </c>
      <c r="K448" s="44">
        <f>ORÇAMENTO!I872</f>
        <v>36.39</v>
      </c>
      <c r="L448" s="44">
        <f>ORÇAMENTO!J872</f>
        <v>46574.46</v>
      </c>
      <c r="M448" s="23">
        <f>ORÇAMENTO!K872</f>
        <v>1.6465467544970168E-3</v>
      </c>
      <c r="N448" s="23" t="str">
        <f t="shared" si="25"/>
        <v>OK!</v>
      </c>
      <c r="O448" s="23" t="str">
        <f t="shared" si="26"/>
        <v>OK!</v>
      </c>
      <c r="P448" s="23" t="str">
        <f t="shared" si="27"/>
        <v>OK!</v>
      </c>
    </row>
    <row r="449" spans="2:16" ht="43.5" x14ac:dyDescent="0.35">
      <c r="B449" s="43">
        <f t="shared" ref="B449:B512" si="28">IF(EXACT(D448,D449),B448,B448+1)</f>
        <v>77</v>
      </c>
      <c r="C449" s="44" t="str">
        <f>ORÇAMENTO!A162</f>
        <v>4.1.2.3.5</v>
      </c>
      <c r="D449" s="44" t="str">
        <f>ORÇAMENTO!B162</f>
        <v xml:space="preserve"> 07.93.40 </v>
      </c>
      <c r="E449" s="44" t="str">
        <f>ORÇAMENTO!C162</f>
        <v>EMBASA</v>
      </c>
      <c r="F449" s="480" t="str">
        <f>ORÇAMENTO!D162</f>
        <v>ESCORAMENTO DE VALA, TIPO BLINDAGEM, COM PROFUNDIDADE DE 3,0 A 4,5 M, LARGURA MAIOR OU IGUAL A 1,5 M EMENOR QUE 2,5 M - EXECUÇÃO E FORNECIMENTO, INCLUI MATERIAL (ESCAVAÇÃO EXTERNA AO BLINDADO)</v>
      </c>
      <c r="G449" s="44" t="str">
        <f>ORÇAMENTO!E162</f>
        <v>M²</v>
      </c>
      <c r="H449" s="44">
        <f>ORÇAMENTO!F162</f>
        <v>83.231363532681556</v>
      </c>
      <c r="I449" s="44">
        <f>ORÇAMENTO!G162</f>
        <v>23.69</v>
      </c>
      <c r="J449" s="44">
        <f>ORÇAMENTO!H162</f>
        <v>0.2122</v>
      </c>
      <c r="K449" s="44">
        <f>ORÇAMENTO!I162</f>
        <v>28.72</v>
      </c>
      <c r="L449" s="44">
        <f>ORÇAMENTO!J162</f>
        <v>2390.4</v>
      </c>
      <c r="M449" s="23">
        <f>ORÇAMENTO!K162</f>
        <v>8.4507804533851143E-5</v>
      </c>
      <c r="N449" s="23" t="str">
        <f t="shared" ref="N449:N512" si="29">IF(F449=F448,IF(G449=G448,"OK!","ERRADO"),"DIFERENTE")</f>
        <v>DIFERENTE</v>
      </c>
      <c r="O449" s="23" t="str">
        <f t="shared" ref="O449:O512" si="30">IF(F449=F448,IF(I449=I448,"OK!","ERRADO"),"DIFERENTE")</f>
        <v>DIFERENTE</v>
      </c>
      <c r="P449" s="23" t="str">
        <f t="shared" ref="P449:P512" si="31">IF(F449=F448,IF(D449=D448,"OK!","ERRADO"),"DIFERENTE")</f>
        <v>DIFERENTE</v>
      </c>
    </row>
    <row r="450" spans="2:16" ht="43.5" x14ac:dyDescent="0.35">
      <c r="B450" s="43">
        <f t="shared" si="28"/>
        <v>77</v>
      </c>
      <c r="C450" s="44" t="str">
        <f>ORÇAMENTO!A402</f>
        <v>5.1.2.3.6</v>
      </c>
      <c r="D450" s="44" t="str">
        <f>ORÇAMENTO!B402</f>
        <v xml:space="preserve"> 07.93.40 </v>
      </c>
      <c r="E450" s="44" t="str">
        <f>ORÇAMENTO!C402</f>
        <v>EMBASA</v>
      </c>
      <c r="F450" s="480" t="str">
        <f>ORÇAMENTO!D402</f>
        <v>ESCORAMENTO DE VALA, TIPO BLINDAGEM, COM PROFUNDIDADE DE 3,0 A 4,5 M, LARGURA MAIOR OU IGUAL A 1,5 M EMENOR QUE 2,5 M - EXECUÇÃO E FORNECIMENTO, INCLUI MATERIAL (ESCAVAÇÃO EXTERNA AO BLINDADO)</v>
      </c>
      <c r="G450" s="44" t="str">
        <f>ORÇAMENTO!E402</f>
        <v>M²</v>
      </c>
      <c r="H450" s="44">
        <f>ORÇAMENTO!F402</f>
        <v>696.10670000000005</v>
      </c>
      <c r="I450" s="44">
        <f>ORÇAMENTO!G402</f>
        <v>23.69</v>
      </c>
      <c r="J450" s="44">
        <f>ORÇAMENTO!H402</f>
        <v>0.2122</v>
      </c>
      <c r="K450" s="44">
        <f>ORÇAMENTO!I402</f>
        <v>28.72</v>
      </c>
      <c r="L450" s="44">
        <f>ORÇAMENTO!J402</f>
        <v>19992.18</v>
      </c>
      <c r="M450" s="23">
        <f>ORÇAMENTO!K402</f>
        <v>7.0678348378746994E-4</v>
      </c>
      <c r="N450" s="23" t="str">
        <f t="shared" si="29"/>
        <v>OK!</v>
      </c>
      <c r="O450" s="23" t="str">
        <f t="shared" si="30"/>
        <v>OK!</v>
      </c>
      <c r="P450" s="23" t="str">
        <f t="shared" si="31"/>
        <v>OK!</v>
      </c>
    </row>
    <row r="451" spans="2:16" ht="43.5" x14ac:dyDescent="0.35">
      <c r="B451" s="43">
        <f t="shared" si="28"/>
        <v>77</v>
      </c>
      <c r="C451" s="44" t="str">
        <f>ORÇAMENTO!A614</f>
        <v>6.1.2.3.5</v>
      </c>
      <c r="D451" s="44" t="str">
        <f>ORÇAMENTO!B614</f>
        <v xml:space="preserve"> 07.93.40 </v>
      </c>
      <c r="E451" s="44" t="str">
        <f>ORÇAMENTO!C614</f>
        <v>EMBASA</v>
      </c>
      <c r="F451" s="480" t="str">
        <f>ORÇAMENTO!D614</f>
        <v>ESCORAMENTO DE VALA, TIPO BLINDAGEM, COM PROFUNDIDADE DE 3,0 A 4,5 M, LARGURA MAIOR OU IGUAL A 1,5 M EMENOR QUE 2,5 M - EXECUÇÃO E FORNECIMENTO, INCLUI MATERIAL (ESCAVAÇÃO EXTERNA AO BLINDADO)</v>
      </c>
      <c r="G451" s="44" t="str">
        <f>ORÇAMENTO!E614</f>
        <v>M²</v>
      </c>
      <c r="H451" s="44">
        <f>ORÇAMENTO!F614</f>
        <v>2.8085612283091299</v>
      </c>
      <c r="I451" s="44">
        <f>ORÇAMENTO!G614</f>
        <v>23.69</v>
      </c>
      <c r="J451" s="44">
        <f>ORÇAMENTO!H614</f>
        <v>0.2122</v>
      </c>
      <c r="K451" s="44">
        <f>ORÇAMENTO!I614</f>
        <v>28.72</v>
      </c>
      <c r="L451" s="44">
        <f>ORÇAMENTO!J614</f>
        <v>80.66</v>
      </c>
      <c r="M451" s="23">
        <f>ORÇAMENTO!K614</f>
        <v>2.8515727550620955E-6</v>
      </c>
      <c r="N451" s="23" t="str">
        <f t="shared" si="29"/>
        <v>OK!</v>
      </c>
      <c r="O451" s="23" t="str">
        <f t="shared" si="30"/>
        <v>OK!</v>
      </c>
      <c r="P451" s="23" t="str">
        <f t="shared" si="31"/>
        <v>OK!</v>
      </c>
    </row>
    <row r="452" spans="2:16" ht="43.5" x14ac:dyDescent="0.35">
      <c r="B452" s="43">
        <f t="shared" si="28"/>
        <v>77</v>
      </c>
      <c r="C452" s="44" t="str">
        <f>ORÇAMENTO!A810</f>
        <v>7.1.2.3.6</v>
      </c>
      <c r="D452" s="44" t="str">
        <f>ORÇAMENTO!B810</f>
        <v xml:space="preserve"> 07.93.40 </v>
      </c>
      <c r="E452" s="44" t="str">
        <f>ORÇAMENTO!C810</f>
        <v>EMBASA</v>
      </c>
      <c r="F452" s="480" t="str">
        <f>ORÇAMENTO!D810</f>
        <v>ESCORAMENTO DE VALA, TIPO BLINDAGEM, COM PROFUNDIDADE DE 3,0 A 4,5 M, LARGURA MAIOR OU IGUAL A 1,5 M EMENOR QUE 2,5 M - EXECUÇÃO E FORNECIMENTO, INCLUI MATERIAL (ESCAVAÇÃO EXTERNA AO BLINDADO)</v>
      </c>
      <c r="G452" s="44" t="str">
        <f>ORÇAMENTO!E810</f>
        <v>M²</v>
      </c>
      <c r="H452" s="44">
        <f>ORÇAMENTO!F810</f>
        <v>714.64520000000039</v>
      </c>
      <c r="I452" s="44">
        <f>ORÇAMENTO!G810</f>
        <v>23.69</v>
      </c>
      <c r="J452" s="44">
        <f>ORÇAMENTO!H810</f>
        <v>0.2122</v>
      </c>
      <c r="K452" s="44">
        <f>ORÇAMENTO!I810</f>
        <v>28.72</v>
      </c>
      <c r="L452" s="44">
        <f>ORÇAMENTO!J810</f>
        <v>20524.61</v>
      </c>
      <c r="M452" s="23">
        <f>ORÇAMENTO!K810</f>
        <v>7.2560648009267347E-4</v>
      </c>
      <c r="N452" s="23" t="str">
        <f t="shared" si="29"/>
        <v>OK!</v>
      </c>
      <c r="O452" s="23" t="str">
        <f t="shared" si="30"/>
        <v>OK!</v>
      </c>
      <c r="P452" s="23" t="str">
        <f t="shared" si="31"/>
        <v>OK!</v>
      </c>
    </row>
    <row r="453" spans="2:16" ht="43.5" x14ac:dyDescent="0.35">
      <c r="B453" s="43">
        <f t="shared" si="28"/>
        <v>78</v>
      </c>
      <c r="C453" s="44" t="str">
        <f>ORÇAMENTO!A165</f>
        <v>4.1.2.3.8</v>
      </c>
      <c r="D453" s="44" t="str">
        <f>ORÇAMENTO!B165</f>
        <v xml:space="preserve"> 07.93.46 </v>
      </c>
      <c r="E453" s="44" t="str">
        <f>ORÇAMENTO!C165</f>
        <v>EMBASA</v>
      </c>
      <c r="F453" s="480" t="str">
        <f>ORÇAMENTO!D165</f>
        <v>ESCORAMENTO DE VALA, TIPO BLINDAGEM, COM PROFUNDIDADE DE 3,0 A 4,5 M, LARGURA MAIOR OU IGUAL A 2,5 M EMENOR QUE 3,5 M - EXECUÇÃO E FORNECIMENTO, INCLUI MATERIAL (ESCAVAÇÃO EXTERNA AO BLINDADO)</v>
      </c>
      <c r="G453" s="44" t="str">
        <f>ORÇAMENTO!E165</f>
        <v>M²</v>
      </c>
      <c r="H453" s="44">
        <f>ORÇAMENTO!F165</f>
        <v>900.66899225701604</v>
      </c>
      <c r="I453" s="44">
        <f>ORÇAMENTO!G165</f>
        <v>38.700000000000003</v>
      </c>
      <c r="J453" s="44">
        <f>ORÇAMENTO!H165</f>
        <v>0.2122</v>
      </c>
      <c r="K453" s="44">
        <f>ORÇAMENTO!I165</f>
        <v>46.91</v>
      </c>
      <c r="L453" s="44">
        <f>ORÇAMENTO!J165</f>
        <v>42250.38</v>
      </c>
      <c r="M453" s="23">
        <f>ORÇAMENTO!K165</f>
        <v>1.4936775663156516E-3</v>
      </c>
      <c r="N453" s="23" t="str">
        <f t="shared" si="29"/>
        <v>DIFERENTE</v>
      </c>
      <c r="O453" s="23" t="str">
        <f t="shared" si="30"/>
        <v>DIFERENTE</v>
      </c>
      <c r="P453" s="23" t="str">
        <f t="shared" si="31"/>
        <v>DIFERENTE</v>
      </c>
    </row>
    <row r="454" spans="2:16" ht="43.5" x14ac:dyDescent="0.35">
      <c r="B454" s="43">
        <f t="shared" si="28"/>
        <v>78</v>
      </c>
      <c r="C454" s="44" t="str">
        <f>ORÇAMENTO!A405</f>
        <v>5.1.2.3.9</v>
      </c>
      <c r="D454" s="44" t="str">
        <f>ORÇAMENTO!B405</f>
        <v xml:space="preserve"> 07.93.46 </v>
      </c>
      <c r="E454" s="44" t="str">
        <f>ORÇAMENTO!C405</f>
        <v>EMBASA</v>
      </c>
      <c r="F454" s="480" t="str">
        <f>ORÇAMENTO!D405</f>
        <v>ESCORAMENTO DE VALA, TIPO BLINDAGEM, COM PROFUNDIDADE DE 3,0 A 4,5 M, LARGURA MAIOR OU IGUAL A 2,5 M EMENOR QUE 3,5 M - EXECUÇÃO E FORNECIMENTO, INCLUI MATERIAL (ESCAVAÇÃO EXTERNA AO BLINDADO)</v>
      </c>
      <c r="G454" s="44" t="str">
        <f>ORÇAMENTO!E405</f>
        <v>M²</v>
      </c>
      <c r="H454" s="44">
        <f>ORÇAMENTO!F405</f>
        <v>321.0483999999999</v>
      </c>
      <c r="I454" s="44">
        <f>ORÇAMENTO!G405</f>
        <v>38.700000000000003</v>
      </c>
      <c r="J454" s="44">
        <f>ORÇAMENTO!H405</f>
        <v>0.2122</v>
      </c>
      <c r="K454" s="44">
        <f>ORÇAMENTO!I405</f>
        <v>46.91</v>
      </c>
      <c r="L454" s="44">
        <f>ORÇAMENTO!J405</f>
        <v>15060.38</v>
      </c>
      <c r="M454" s="23">
        <f>ORÇAMENTO!K405</f>
        <v>5.3242957214086394E-4</v>
      </c>
      <c r="N454" s="23" t="str">
        <f t="shared" si="29"/>
        <v>OK!</v>
      </c>
      <c r="O454" s="23" t="str">
        <f t="shared" si="30"/>
        <v>OK!</v>
      </c>
      <c r="P454" s="23" t="str">
        <f t="shared" si="31"/>
        <v>OK!</v>
      </c>
    </row>
    <row r="455" spans="2:16" ht="43.5" x14ac:dyDescent="0.35">
      <c r="B455" s="43">
        <f t="shared" si="28"/>
        <v>78</v>
      </c>
      <c r="C455" s="44" t="str">
        <f>ORÇAMENTO!A617</f>
        <v>6.1.2.3.8</v>
      </c>
      <c r="D455" s="44" t="str">
        <f>ORÇAMENTO!B617</f>
        <v xml:space="preserve"> 07.93.46 </v>
      </c>
      <c r="E455" s="44" t="str">
        <f>ORÇAMENTO!C617</f>
        <v>EMBASA</v>
      </c>
      <c r="F455" s="480" t="str">
        <f>ORÇAMENTO!D617</f>
        <v>ESCORAMENTO DE VALA, TIPO BLINDAGEM, COM PROFUNDIDADE DE 3,0 A 4,5 M, LARGURA MAIOR OU IGUAL A 2,5 M EMENOR QUE 3,5 M - EXECUÇÃO E FORNECIMENTO, INCLUI MATERIAL (ESCAVAÇÃO EXTERNA AO BLINDADO)</v>
      </c>
      <c r="G455" s="44" t="str">
        <f>ORÇAMENTO!E617</f>
        <v>M²</v>
      </c>
      <c r="H455" s="44">
        <f>ORÇAMENTO!F617</f>
        <v>9.0209770841779271</v>
      </c>
      <c r="I455" s="44">
        <f>ORÇAMENTO!G617</f>
        <v>38.700000000000003</v>
      </c>
      <c r="J455" s="44">
        <f>ORÇAMENTO!H617</f>
        <v>0.2122</v>
      </c>
      <c r="K455" s="44">
        <f>ORÇAMENTO!I617</f>
        <v>46.91</v>
      </c>
      <c r="L455" s="44">
        <f>ORÇAMENTO!J617</f>
        <v>423.17</v>
      </c>
      <c r="M455" s="23">
        <f>ORÇAMENTO!K617</f>
        <v>1.4960327829898674E-5</v>
      </c>
      <c r="N455" s="23" t="str">
        <f t="shared" si="29"/>
        <v>OK!</v>
      </c>
      <c r="O455" s="23" t="str">
        <f t="shared" si="30"/>
        <v>OK!</v>
      </c>
      <c r="P455" s="23" t="str">
        <f t="shared" si="31"/>
        <v>OK!</v>
      </c>
    </row>
    <row r="456" spans="2:16" ht="43.5" x14ac:dyDescent="0.35">
      <c r="B456" s="43">
        <f t="shared" si="28"/>
        <v>78</v>
      </c>
      <c r="C456" s="44" t="str">
        <f>ORÇAMENTO!A813</f>
        <v>7.1.2.3.9</v>
      </c>
      <c r="D456" s="44" t="str">
        <f>ORÇAMENTO!B813</f>
        <v xml:space="preserve"> 07.93.46 </v>
      </c>
      <c r="E456" s="44" t="str">
        <f>ORÇAMENTO!C813</f>
        <v>EMBASA</v>
      </c>
      <c r="F456" s="480" t="str">
        <f>ORÇAMENTO!D813</f>
        <v>ESCORAMENTO DE VALA, TIPO BLINDAGEM, COM PROFUNDIDADE DE 3,0 A 4,5 M, LARGURA MAIOR OU IGUAL A 2,5 M EMENOR QUE 3,5 M - EXECUÇÃO E FORNECIMENTO, INCLUI MATERIAL (ESCAVAÇÃO EXTERNA AO BLINDADO)</v>
      </c>
      <c r="G456" s="44" t="str">
        <f>ORÇAMENTO!E813</f>
        <v>M²</v>
      </c>
      <c r="H456" s="44">
        <f>ORÇAMENTO!F813</f>
        <v>1666.5231000000001</v>
      </c>
      <c r="I456" s="44">
        <f>ORÇAMENTO!G813</f>
        <v>38.700000000000003</v>
      </c>
      <c r="J456" s="44">
        <f>ORÇAMENTO!H813</f>
        <v>0.2122</v>
      </c>
      <c r="K456" s="44">
        <f>ORÇAMENTO!I813</f>
        <v>46.91</v>
      </c>
      <c r="L456" s="44">
        <f>ORÇAMENTO!J813</f>
        <v>78176.59</v>
      </c>
      <c r="M456" s="23">
        <f>ORÇAMENTO!K813</f>
        <v>2.7637767682576228E-3</v>
      </c>
      <c r="N456" s="23" t="str">
        <f t="shared" si="29"/>
        <v>OK!</v>
      </c>
      <c r="O456" s="23" t="str">
        <f t="shared" si="30"/>
        <v>OK!</v>
      </c>
      <c r="P456" s="23" t="str">
        <f t="shared" si="31"/>
        <v>OK!</v>
      </c>
    </row>
    <row r="457" spans="2:16" ht="43.5" x14ac:dyDescent="0.35">
      <c r="B457" s="43">
        <f t="shared" si="28"/>
        <v>79</v>
      </c>
      <c r="C457" s="44" t="str">
        <f>ORÇAMENTO!A399</f>
        <v>5.1.2.3.3</v>
      </c>
      <c r="D457" s="44" t="str">
        <f>ORÇAMENTO!B399</f>
        <v xml:space="preserve"> 07.93.39 </v>
      </c>
      <c r="E457" s="44" t="str">
        <f>ORÇAMENTO!C399</f>
        <v>EMBASA</v>
      </c>
      <c r="F457" s="480" t="str">
        <f>ORÇAMENTO!D399</f>
        <v>ESCORAMENTO DE VALA, TIPO BLINDAGEM, COM PROFUNDIDADE DE 3,0 A 4,5 M, LARGURA MENOR QUE 1,5 M - EXECUÇÃO E FORNECIMENTO, INCLUI MATERIAL (ESCAVAÇÃO INTERNA AO BLINDADO)</v>
      </c>
      <c r="G457" s="44" t="str">
        <f>ORÇAMENTO!E399</f>
        <v>M²</v>
      </c>
      <c r="H457" s="44">
        <f>ORÇAMENTO!F399</f>
        <v>242.74000000000009</v>
      </c>
      <c r="I457" s="44">
        <f>ORÇAMENTO!G399</f>
        <v>20.14</v>
      </c>
      <c r="J457" s="44">
        <f>ORÇAMENTO!H399</f>
        <v>0.2122</v>
      </c>
      <c r="K457" s="44">
        <f>ORÇAMENTO!I399</f>
        <v>24.41</v>
      </c>
      <c r="L457" s="44">
        <f>ORÇAMENTO!J399</f>
        <v>5925.28</v>
      </c>
      <c r="M457" s="23">
        <f>ORÇAMENTO!K399</f>
        <v>2.0947640731607158E-4</v>
      </c>
      <c r="N457" s="23" t="str">
        <f t="shared" si="29"/>
        <v>DIFERENTE</v>
      </c>
      <c r="O457" s="23" t="str">
        <f t="shared" si="30"/>
        <v>DIFERENTE</v>
      </c>
      <c r="P457" s="23" t="str">
        <f t="shared" si="31"/>
        <v>DIFERENTE</v>
      </c>
    </row>
    <row r="458" spans="2:16" ht="43.5" x14ac:dyDescent="0.35">
      <c r="B458" s="43">
        <f t="shared" si="28"/>
        <v>80</v>
      </c>
      <c r="C458" s="44" t="str">
        <f>ORÇAMENTO!A221</f>
        <v>4.1.2.6.19</v>
      </c>
      <c r="D458" s="44" t="str">
        <f>ORÇAMENTO!B221</f>
        <v xml:space="preserve"> 07.93.38 </v>
      </c>
      <c r="E458" s="44" t="str">
        <f>ORÇAMENTO!C221</f>
        <v>EMBASA</v>
      </c>
      <c r="F458" s="480" t="str">
        <f>ORÇAMENTO!D221</f>
        <v>ESCORAMENTO DE VALA, TIPO BLINDAGEM, COM PROFUNDIDADE DE 3,0 A 4,5 M, LARGURA MENOR QUE 1,5 M -EXECUÇÃO E FORNECIMENTO, INCLUI MATERIAL (ESCAVAÇÃO EXTERNA AO BLINDADO)</v>
      </c>
      <c r="G458" s="44" t="str">
        <f>ORÇAMENTO!E221</f>
        <v>M²</v>
      </c>
      <c r="H458" s="44">
        <f>ORÇAMENTO!F221</f>
        <v>207.2</v>
      </c>
      <c r="I458" s="44">
        <f>ORÇAMENTO!G221</f>
        <v>14.37</v>
      </c>
      <c r="J458" s="44">
        <f>ORÇAMENTO!H221</f>
        <v>0.2122</v>
      </c>
      <c r="K458" s="44">
        <f>ORÇAMENTO!I221</f>
        <v>17.420000000000002</v>
      </c>
      <c r="L458" s="44">
        <f>ORÇAMENTO!J221</f>
        <v>3609.42</v>
      </c>
      <c r="M458" s="23">
        <f>ORÇAMENTO!K221</f>
        <v>1.2760381519434947E-4</v>
      </c>
      <c r="N458" s="23" t="str">
        <f t="shared" si="29"/>
        <v>DIFERENTE</v>
      </c>
      <c r="O458" s="23" t="str">
        <f t="shared" si="30"/>
        <v>DIFERENTE</v>
      </c>
      <c r="P458" s="23" t="str">
        <f t="shared" si="31"/>
        <v>DIFERENTE</v>
      </c>
    </row>
    <row r="459" spans="2:16" ht="43.5" x14ac:dyDescent="0.35">
      <c r="B459" s="43">
        <f t="shared" si="28"/>
        <v>80</v>
      </c>
      <c r="C459" s="44" t="str">
        <f>ORÇAMENTO!A464</f>
        <v>5.1.2.6.20</v>
      </c>
      <c r="D459" s="44" t="str">
        <f>ORÇAMENTO!B464</f>
        <v xml:space="preserve"> 07.93.38 </v>
      </c>
      <c r="E459" s="44" t="str">
        <f>ORÇAMENTO!C464</f>
        <v>EMBASA</v>
      </c>
      <c r="F459" s="480" t="str">
        <f>ORÇAMENTO!D464</f>
        <v>ESCORAMENTO DE VALA, TIPO BLINDAGEM, COM PROFUNDIDADE DE 3,0 A 4,5 M, LARGURA MENOR QUE 1,5 M -EXECUÇÃO E FORNECIMENTO, INCLUI MATERIAL (ESCAVAÇÃO EXTERNA AO BLINDADO)</v>
      </c>
      <c r="G459" s="44" t="str">
        <f>ORÇAMENTO!E464</f>
        <v>M²</v>
      </c>
      <c r="H459" s="44">
        <f>ORÇAMENTO!F464</f>
        <v>45.65</v>
      </c>
      <c r="I459" s="44">
        <f>ORÇAMENTO!G464</f>
        <v>14.37</v>
      </c>
      <c r="J459" s="44">
        <f>ORÇAMENTO!H464</f>
        <v>0.2122</v>
      </c>
      <c r="K459" s="44">
        <f>ORÇAMENTO!I464</f>
        <v>17.420000000000002</v>
      </c>
      <c r="L459" s="44">
        <f>ORÇAMENTO!J464</f>
        <v>795.22</v>
      </c>
      <c r="M459" s="23">
        <f>ORÇAMENTO!K464</f>
        <v>2.8113410442356555E-5</v>
      </c>
      <c r="N459" s="23" t="str">
        <f t="shared" si="29"/>
        <v>OK!</v>
      </c>
      <c r="O459" s="23" t="str">
        <f t="shared" si="30"/>
        <v>OK!</v>
      </c>
      <c r="P459" s="23" t="str">
        <f t="shared" si="31"/>
        <v>OK!</v>
      </c>
    </row>
    <row r="460" spans="2:16" ht="43.5" x14ac:dyDescent="0.35">
      <c r="B460" s="43">
        <f t="shared" si="28"/>
        <v>80</v>
      </c>
      <c r="C460" s="44" t="str">
        <f>ORÇAMENTO!A659</f>
        <v>6.1.2.6.12</v>
      </c>
      <c r="D460" s="44" t="str">
        <f>ORÇAMENTO!B659</f>
        <v xml:space="preserve"> 07.93.38 </v>
      </c>
      <c r="E460" s="44" t="str">
        <f>ORÇAMENTO!C659</f>
        <v>EMBASA</v>
      </c>
      <c r="F460" s="480" t="str">
        <f>ORÇAMENTO!D659</f>
        <v>ESCORAMENTO DE VALA, TIPO BLINDAGEM, COM PROFUNDIDADE DE 3,0 A 4,5 M, LARGURA MENOR QUE 1,5 M -EXECUÇÃO E FORNECIMENTO, INCLUI MATERIAL (ESCAVAÇÃO EXTERNA AO BLINDADO)</v>
      </c>
      <c r="G460" s="44" t="str">
        <f>ORÇAMENTO!E659</f>
        <v>M²</v>
      </c>
      <c r="H460" s="44">
        <f>ORÇAMENTO!F659</f>
        <v>0.43</v>
      </c>
      <c r="I460" s="44">
        <f>ORÇAMENTO!G659</f>
        <v>14.37</v>
      </c>
      <c r="J460" s="44">
        <f>ORÇAMENTO!H659</f>
        <v>0.2122</v>
      </c>
      <c r="K460" s="44">
        <f>ORÇAMENTO!I659</f>
        <v>17.420000000000002</v>
      </c>
      <c r="L460" s="44">
        <f>ORÇAMENTO!J659</f>
        <v>7.49</v>
      </c>
      <c r="M460" s="23">
        <f>ORÇAMENTO!K659</f>
        <v>2.647939491125105E-7</v>
      </c>
      <c r="N460" s="23" t="str">
        <f t="shared" si="29"/>
        <v>OK!</v>
      </c>
      <c r="O460" s="23" t="str">
        <f t="shared" si="30"/>
        <v>OK!</v>
      </c>
      <c r="P460" s="23" t="str">
        <f t="shared" si="31"/>
        <v>OK!</v>
      </c>
    </row>
    <row r="461" spans="2:16" ht="43.5" x14ac:dyDescent="0.35">
      <c r="B461" s="43">
        <f t="shared" si="28"/>
        <v>80</v>
      </c>
      <c r="C461" s="44" t="str">
        <f>ORÇAMENTO!A807</f>
        <v>7.1.2.3.3</v>
      </c>
      <c r="D461" s="44" t="str">
        <f>ORÇAMENTO!B807</f>
        <v xml:space="preserve"> 07.93.38 </v>
      </c>
      <c r="E461" s="44" t="str">
        <f>ORÇAMENTO!C807</f>
        <v>EMBASA</v>
      </c>
      <c r="F461" s="480" t="str">
        <f>ORÇAMENTO!D807</f>
        <v>ESCORAMENTO DE VALA, TIPO BLINDAGEM, COM PROFUNDIDADE DE 3,0 A 4,5 M, LARGURA MENOR QUE 1,5 M -EXECUÇÃO E FORNECIMENTO, INCLUI MATERIAL (ESCAVAÇÃO EXTERNA AO BLINDADO)</v>
      </c>
      <c r="G461" s="44" t="str">
        <f>ORÇAMENTO!E807</f>
        <v>M²</v>
      </c>
      <c r="H461" s="44">
        <f>ORÇAMENTO!F807</f>
        <v>27.740600000000068</v>
      </c>
      <c r="I461" s="44">
        <f>ORÇAMENTO!G807</f>
        <v>14.37</v>
      </c>
      <c r="J461" s="44">
        <f>ORÇAMENTO!H807</f>
        <v>0.2122</v>
      </c>
      <c r="K461" s="44">
        <f>ORÇAMENTO!I807</f>
        <v>17.420000000000002</v>
      </c>
      <c r="L461" s="44">
        <f>ORÇAMENTO!J807</f>
        <v>483.24</v>
      </c>
      <c r="M461" s="23">
        <f>ORÇAMENTO!K807</f>
        <v>1.7083982372380449E-5</v>
      </c>
      <c r="N461" s="23" t="str">
        <f t="shared" si="29"/>
        <v>OK!</v>
      </c>
      <c r="O461" s="23" t="str">
        <f t="shared" si="30"/>
        <v>OK!</v>
      </c>
      <c r="P461" s="23" t="str">
        <f t="shared" si="31"/>
        <v>OK!</v>
      </c>
    </row>
    <row r="462" spans="2:16" ht="43.5" x14ac:dyDescent="0.35">
      <c r="B462" s="43">
        <f t="shared" si="28"/>
        <v>80</v>
      </c>
      <c r="C462" s="44" t="str">
        <f>ORÇAMENTO!A873</f>
        <v>7.1.2.6.20</v>
      </c>
      <c r="D462" s="44" t="str">
        <f>ORÇAMENTO!B873</f>
        <v xml:space="preserve"> 07.93.38 </v>
      </c>
      <c r="E462" s="44" t="str">
        <f>ORÇAMENTO!C873</f>
        <v>EMBASA</v>
      </c>
      <c r="F462" s="480" t="str">
        <f>ORÇAMENTO!D873</f>
        <v>ESCORAMENTO DE VALA, TIPO BLINDAGEM, COM PROFUNDIDADE DE 3,0 A 4,5 M, LARGURA MENOR QUE 1,5 M -EXECUÇÃO E FORNECIMENTO, INCLUI MATERIAL (ESCAVAÇÃO EXTERNA AO BLINDADO)</v>
      </c>
      <c r="G462" s="44" t="str">
        <f>ORÇAMENTO!E873</f>
        <v>M²</v>
      </c>
      <c r="H462" s="44">
        <f>ORÇAMENTO!F873</f>
        <v>160.19999999999999</v>
      </c>
      <c r="I462" s="44">
        <f>ORÇAMENTO!G873</f>
        <v>14.37</v>
      </c>
      <c r="J462" s="44">
        <f>ORÇAMENTO!H873</f>
        <v>0.2122</v>
      </c>
      <c r="K462" s="44">
        <f>ORÇAMENTO!I873</f>
        <v>17.420000000000002</v>
      </c>
      <c r="L462" s="44">
        <f>ORÇAMENTO!J873</f>
        <v>2790.68</v>
      </c>
      <c r="M462" s="23">
        <f>ORÇAMENTO!K873</f>
        <v>9.8658902257583536E-5</v>
      </c>
      <c r="N462" s="23" t="str">
        <f t="shared" si="29"/>
        <v>OK!</v>
      </c>
      <c r="O462" s="23" t="str">
        <f t="shared" si="30"/>
        <v>OK!</v>
      </c>
      <c r="P462" s="23" t="str">
        <f t="shared" si="31"/>
        <v>OK!</v>
      </c>
    </row>
    <row r="463" spans="2:16" ht="43.5" x14ac:dyDescent="0.35">
      <c r="B463" s="43">
        <f t="shared" si="28"/>
        <v>81</v>
      </c>
      <c r="C463" s="44" t="str">
        <f>ORÇAMENTO!A166</f>
        <v>4.1.2.3.9</v>
      </c>
      <c r="D463" s="44" t="str">
        <f>ORÇAMENTO!B166</f>
        <v xml:space="preserve"> 07.93.52 </v>
      </c>
      <c r="E463" s="44" t="str">
        <f>ORÇAMENTO!C166</f>
        <v>EMBASA</v>
      </c>
      <c r="F463" s="480" t="str">
        <f>ORÇAMENTO!D166</f>
        <v>ESCORAMENTO DE VALA, TIPO BLINDAGEM, COM PROFUNDIDADE DE 4,5 A 6,0 M, LARGURA MAIOR OU IGUAL A 2,5 M EMENOR QUE 3,5 M - EXECUÇÃO E FORNECIMENTO, INCLUI MATERIAL (ESCAVAÇÃO EXTERNA AO BLINDADO)</v>
      </c>
      <c r="G463" s="44" t="str">
        <f>ORÇAMENTO!E166</f>
        <v>M²</v>
      </c>
      <c r="H463" s="44">
        <f>ORÇAMENTO!F166</f>
        <v>48.860714877843591</v>
      </c>
      <c r="I463" s="44">
        <f>ORÇAMENTO!G166</f>
        <v>35.18</v>
      </c>
      <c r="J463" s="44">
        <f>ORÇAMENTO!H166</f>
        <v>0.2122</v>
      </c>
      <c r="K463" s="44">
        <f>ORÇAMENTO!I166</f>
        <v>42.65</v>
      </c>
      <c r="L463" s="44">
        <f>ORÇAMENTO!J166</f>
        <v>2083.9</v>
      </c>
      <c r="M463" s="23">
        <f>ORÇAMENTO!K166</f>
        <v>7.3672110888592873E-5</v>
      </c>
      <c r="N463" s="23" t="str">
        <f t="shared" si="29"/>
        <v>DIFERENTE</v>
      </c>
      <c r="O463" s="23" t="str">
        <f t="shared" si="30"/>
        <v>DIFERENTE</v>
      </c>
      <c r="P463" s="23" t="str">
        <f t="shared" si="31"/>
        <v>DIFERENTE</v>
      </c>
    </row>
    <row r="464" spans="2:16" ht="43.5" x14ac:dyDescent="0.35">
      <c r="B464" s="43">
        <f t="shared" si="28"/>
        <v>81</v>
      </c>
      <c r="C464" s="44" t="str">
        <f>ORÇAMENTO!A814</f>
        <v>7.1.2.3.10</v>
      </c>
      <c r="D464" s="44" t="str">
        <f>ORÇAMENTO!B814</f>
        <v xml:space="preserve"> 07.93.52 </v>
      </c>
      <c r="E464" s="44" t="str">
        <f>ORÇAMENTO!C814</f>
        <v>EMBASA</v>
      </c>
      <c r="F464" s="480" t="str">
        <f>ORÇAMENTO!D814</f>
        <v>ESCORAMENTO DE VALA, TIPO BLINDAGEM, COM PROFUNDIDADE DE 4,5 A 6,0 M, LARGURA MAIOR OU IGUAL A 2,5 M EMENOR QUE 3,5 M - EXECUÇÃO E FORNECIMENTO, INCLUI MATERIAL (ESCAVAÇÃO EXTERNA AO BLINDADO)</v>
      </c>
      <c r="G464" s="44" t="str">
        <f>ORÇAMENTO!E814</f>
        <v>M²</v>
      </c>
      <c r="H464" s="44">
        <f>ORÇAMENTO!F814</f>
        <v>125.00240000000031</v>
      </c>
      <c r="I464" s="44">
        <f>ORÇAMENTO!G814</f>
        <v>35.18</v>
      </c>
      <c r="J464" s="44">
        <f>ORÇAMENTO!H814</f>
        <v>0.2122</v>
      </c>
      <c r="K464" s="44">
        <f>ORÇAMENTO!I814</f>
        <v>42.65</v>
      </c>
      <c r="L464" s="44">
        <f>ORÇAMENTO!J814</f>
        <v>5331.35</v>
      </c>
      <c r="M464" s="23">
        <f>ORÇAMENTO!K814</f>
        <v>1.8847920168237422E-4</v>
      </c>
      <c r="N464" s="23" t="str">
        <f t="shared" si="29"/>
        <v>OK!</v>
      </c>
      <c r="O464" s="23" t="str">
        <f t="shared" si="30"/>
        <v>OK!</v>
      </c>
      <c r="P464" s="23" t="str">
        <f t="shared" si="31"/>
        <v>OK!</v>
      </c>
    </row>
    <row r="465" spans="2:16" x14ac:dyDescent="0.35">
      <c r="B465" s="43">
        <f t="shared" si="28"/>
        <v>82</v>
      </c>
      <c r="C465" s="44" t="str">
        <f>ORÇAMENTO!A156</f>
        <v>4.1.2.2.1</v>
      </c>
      <c r="D465" s="44" t="str">
        <f>ORÇAMENTO!B156</f>
        <v xml:space="preserve"> 2003864 </v>
      </c>
      <c r="E465" s="44" t="str">
        <f>ORÇAMENTO!C156</f>
        <v>SICRO3</v>
      </c>
      <c r="F465" s="480" t="str">
        <f>ORÇAMENTO!D156</f>
        <v>ESGOTAMENTO DE ÁGUA COM BOMBA SUBMERSA</v>
      </c>
      <c r="G465" s="44" t="str">
        <f>ORÇAMENTO!E156</f>
        <v>H</v>
      </c>
      <c r="H465" s="44">
        <f>ORÇAMENTO!F156</f>
        <v>12.189321557942453</v>
      </c>
      <c r="I465" s="44">
        <f>ORÇAMENTO!G156</f>
        <v>13.66</v>
      </c>
      <c r="J465" s="44">
        <f>ORÇAMENTO!H156</f>
        <v>0.2122</v>
      </c>
      <c r="K465" s="44">
        <f>ORÇAMENTO!I156</f>
        <v>16.559999999999999</v>
      </c>
      <c r="L465" s="44">
        <f>ORÇAMENTO!J156</f>
        <v>201.85</v>
      </c>
      <c r="M465" s="23">
        <f>ORÇAMENTO!K156</f>
        <v>7.1360024870974954E-6</v>
      </c>
      <c r="N465" s="23" t="str">
        <f t="shared" si="29"/>
        <v>DIFERENTE</v>
      </c>
      <c r="O465" s="23" t="str">
        <f t="shared" si="30"/>
        <v>DIFERENTE</v>
      </c>
      <c r="P465" s="23" t="str">
        <f t="shared" si="31"/>
        <v>DIFERENTE</v>
      </c>
    </row>
    <row r="466" spans="2:16" x14ac:dyDescent="0.35">
      <c r="B466" s="43">
        <f t="shared" si="28"/>
        <v>82</v>
      </c>
      <c r="C466" s="44" t="str">
        <f>ORÇAMENTO!A224</f>
        <v>4.1.2.6.22</v>
      </c>
      <c r="D466" s="44" t="str">
        <f>ORÇAMENTO!B224</f>
        <v xml:space="preserve"> 2003864 </v>
      </c>
      <c r="E466" s="44" t="str">
        <f>ORÇAMENTO!C224</f>
        <v>SICRO3</v>
      </c>
      <c r="F466" s="480" t="str">
        <f>ORÇAMENTO!D224</f>
        <v>ESGOTAMENTO DE ÁGUA COM BOMBA SUBMERSA</v>
      </c>
      <c r="G466" s="44" t="str">
        <f>ORÇAMENTO!E224</f>
        <v>H</v>
      </c>
      <c r="H466" s="44">
        <f>ORÇAMENTO!F224</f>
        <v>3.1</v>
      </c>
      <c r="I466" s="44">
        <f>ORÇAMENTO!G224</f>
        <v>13.66</v>
      </c>
      <c r="J466" s="44">
        <f>ORÇAMENTO!H224</f>
        <v>0.2122</v>
      </c>
      <c r="K466" s="44">
        <f>ORÇAMENTO!I224</f>
        <v>16.559999999999999</v>
      </c>
      <c r="L466" s="44">
        <f>ORÇAMENTO!J224</f>
        <v>51.33</v>
      </c>
      <c r="M466" s="23">
        <f>ORÇAMENTO!K224</f>
        <v>1.8146693468551619E-6</v>
      </c>
      <c r="N466" s="23" t="str">
        <f t="shared" si="29"/>
        <v>OK!</v>
      </c>
      <c r="O466" s="23" t="str">
        <f t="shared" si="30"/>
        <v>OK!</v>
      </c>
      <c r="P466" s="23" t="str">
        <f t="shared" si="31"/>
        <v>OK!</v>
      </c>
    </row>
    <row r="467" spans="2:16" x14ac:dyDescent="0.35">
      <c r="B467" s="43">
        <f t="shared" si="28"/>
        <v>82</v>
      </c>
      <c r="C467" s="44" t="str">
        <f>ORÇAMENTO!A395</f>
        <v>5.1.2.2.1</v>
      </c>
      <c r="D467" s="44" t="str">
        <f>ORÇAMENTO!B395</f>
        <v xml:space="preserve"> 2003864 </v>
      </c>
      <c r="E467" s="44" t="str">
        <f>ORÇAMENTO!C395</f>
        <v>SICRO3</v>
      </c>
      <c r="F467" s="480" t="str">
        <f>ORÇAMENTO!D395</f>
        <v>ESGOTAMENTO DE ÁGUA COM BOMBA SUBMERSA</v>
      </c>
      <c r="G467" s="44" t="str">
        <f>ORÇAMENTO!E395</f>
        <v>H</v>
      </c>
      <c r="H467" s="44">
        <f>ORÇAMENTO!F395</f>
        <v>13.241074666666666</v>
      </c>
      <c r="I467" s="44">
        <f>ORÇAMENTO!G395</f>
        <v>13.66</v>
      </c>
      <c r="J467" s="44">
        <f>ORÇAMENTO!H395</f>
        <v>0.2122</v>
      </c>
      <c r="K467" s="44">
        <f>ORÇAMENTO!I395</f>
        <v>16.559999999999999</v>
      </c>
      <c r="L467" s="44">
        <f>ORÇAMENTO!J395</f>
        <v>219.27</v>
      </c>
      <c r="M467" s="23">
        <f>ORÇAMENTO!K395</f>
        <v>7.7518516985180481E-6</v>
      </c>
      <c r="N467" s="23" t="str">
        <f t="shared" si="29"/>
        <v>OK!</v>
      </c>
      <c r="O467" s="23" t="str">
        <f t="shared" si="30"/>
        <v>OK!</v>
      </c>
      <c r="P467" s="23" t="str">
        <f t="shared" si="31"/>
        <v>OK!</v>
      </c>
    </row>
    <row r="468" spans="2:16" x14ac:dyDescent="0.35">
      <c r="B468" s="43">
        <f t="shared" si="28"/>
        <v>82</v>
      </c>
      <c r="C468" s="44" t="str">
        <f>ORÇAMENTO!A467</f>
        <v>5.1.2.6.23</v>
      </c>
      <c r="D468" s="44" t="str">
        <f>ORÇAMENTO!B467</f>
        <v xml:space="preserve"> 2003864 </v>
      </c>
      <c r="E468" s="44" t="str">
        <f>ORÇAMENTO!C467</f>
        <v>SICRO3</v>
      </c>
      <c r="F468" s="480" t="str">
        <f>ORÇAMENTO!D467</f>
        <v>ESGOTAMENTO DE ÁGUA COM BOMBA SUBMERSA</v>
      </c>
      <c r="G468" s="44" t="str">
        <f>ORÇAMENTO!E467</f>
        <v>H</v>
      </c>
      <c r="H468" s="44">
        <f>ORÇAMENTO!F467</f>
        <v>1.02</v>
      </c>
      <c r="I468" s="44">
        <f>ORÇAMENTO!G467</f>
        <v>13.66</v>
      </c>
      <c r="J468" s="44">
        <f>ORÇAMENTO!H467</f>
        <v>0.2122</v>
      </c>
      <c r="K468" s="44">
        <f>ORÇAMENTO!I467</f>
        <v>16.559999999999999</v>
      </c>
      <c r="L468" s="44">
        <f>ORÇAMENTO!J467</f>
        <v>16.89</v>
      </c>
      <c r="M468" s="23">
        <f>ORÇAMENTO!K467</f>
        <v>5.9711212289857173E-7</v>
      </c>
      <c r="N468" s="23" t="str">
        <f t="shared" si="29"/>
        <v>OK!</v>
      </c>
      <c r="O468" s="23" t="str">
        <f t="shared" si="30"/>
        <v>OK!</v>
      </c>
      <c r="P468" s="23" t="str">
        <f t="shared" si="31"/>
        <v>OK!</v>
      </c>
    </row>
    <row r="469" spans="2:16" x14ac:dyDescent="0.35">
      <c r="B469" s="43">
        <f t="shared" si="28"/>
        <v>82</v>
      </c>
      <c r="C469" s="44" t="str">
        <f>ORÇAMENTO!A608</f>
        <v>6.1.2.2.1</v>
      </c>
      <c r="D469" s="44" t="str">
        <f>ORÇAMENTO!B608</f>
        <v xml:space="preserve"> 2003864 </v>
      </c>
      <c r="E469" s="44" t="str">
        <f>ORÇAMENTO!C608</f>
        <v>SICRO3</v>
      </c>
      <c r="F469" s="480" t="str">
        <f>ORÇAMENTO!D608</f>
        <v>ESGOTAMENTO DE ÁGUA COM BOMBA SUBMERSA</v>
      </c>
      <c r="G469" s="44" t="str">
        <f>ORÇAMENTO!E608</f>
        <v>H</v>
      </c>
      <c r="H469" s="44">
        <f>ORÇAMENTO!F608</f>
        <v>4.1826852966510426</v>
      </c>
      <c r="I469" s="44">
        <f>ORÇAMENTO!G608</f>
        <v>13.66</v>
      </c>
      <c r="J469" s="44">
        <f>ORÇAMENTO!H608</f>
        <v>0.2122</v>
      </c>
      <c r="K469" s="44">
        <f>ORÇAMENTO!I608</f>
        <v>16.559999999999999</v>
      </c>
      <c r="L469" s="44">
        <f>ORÇAMENTO!J608</f>
        <v>69.260000000000005</v>
      </c>
      <c r="M469" s="23">
        <f>ORÇAMENTO!K608</f>
        <v>2.4485485868534685E-6</v>
      </c>
      <c r="N469" s="23" t="str">
        <f t="shared" si="29"/>
        <v>OK!</v>
      </c>
      <c r="O469" s="23" t="str">
        <f t="shared" si="30"/>
        <v>OK!</v>
      </c>
      <c r="P469" s="23" t="str">
        <f t="shared" si="31"/>
        <v>OK!</v>
      </c>
    </row>
    <row r="470" spans="2:16" x14ac:dyDescent="0.35">
      <c r="B470" s="43">
        <f t="shared" si="28"/>
        <v>82</v>
      </c>
      <c r="C470" s="44" t="str">
        <f>ORÇAMENTO!A662</f>
        <v>6.1.2.6.15</v>
      </c>
      <c r="D470" s="44" t="str">
        <f>ORÇAMENTO!B662</f>
        <v xml:space="preserve"> 2003864 </v>
      </c>
      <c r="E470" s="44" t="str">
        <f>ORÇAMENTO!C662</f>
        <v>SICRO3</v>
      </c>
      <c r="F470" s="480" t="str">
        <f>ORÇAMENTO!D662</f>
        <v>ESGOTAMENTO DE ÁGUA COM BOMBA SUBMERSA</v>
      </c>
      <c r="G470" s="44" t="str">
        <f>ORÇAMENTO!E662</f>
        <v>H</v>
      </c>
      <c r="H470" s="44">
        <f>ORÇAMENTO!F662</f>
        <v>0.16</v>
      </c>
      <c r="I470" s="44">
        <f>ORÇAMENTO!G662</f>
        <v>13.66</v>
      </c>
      <c r="J470" s="44">
        <f>ORÇAMENTO!H662</f>
        <v>0.2122</v>
      </c>
      <c r="K470" s="44">
        <f>ORÇAMENTO!I662</f>
        <v>16.559999999999999</v>
      </c>
      <c r="L470" s="44">
        <f>ORÇAMENTO!J662</f>
        <v>2.64</v>
      </c>
      <c r="M470" s="23">
        <f>ORÇAMENTO!K662</f>
        <v>9.333191263778741E-8</v>
      </c>
      <c r="N470" s="23" t="str">
        <f t="shared" si="29"/>
        <v>OK!</v>
      </c>
      <c r="O470" s="23" t="str">
        <f t="shared" si="30"/>
        <v>OK!</v>
      </c>
      <c r="P470" s="23" t="str">
        <f t="shared" si="31"/>
        <v>OK!</v>
      </c>
    </row>
    <row r="471" spans="2:16" x14ac:dyDescent="0.35">
      <c r="B471" s="43">
        <f t="shared" si="28"/>
        <v>82</v>
      </c>
      <c r="C471" s="44" t="str">
        <f>ORÇAMENTO!A803</f>
        <v>7.1.2.2.1</v>
      </c>
      <c r="D471" s="44" t="str">
        <f>ORÇAMENTO!B803</f>
        <v xml:space="preserve"> 2003864 </v>
      </c>
      <c r="E471" s="44" t="str">
        <f>ORÇAMENTO!C803</f>
        <v>SICRO3</v>
      </c>
      <c r="F471" s="480" t="str">
        <f>ORÇAMENTO!D803</f>
        <v>ESGOTAMENTO DE ÁGUA COM BOMBA SUBMERSA</v>
      </c>
      <c r="G471" s="44" t="str">
        <f>ORÇAMENTO!E803</f>
        <v>H</v>
      </c>
      <c r="H471" s="44">
        <f>ORÇAMENTO!F803</f>
        <v>0.25721866666666809</v>
      </c>
      <c r="I471" s="44">
        <f>ORÇAMENTO!G803</f>
        <v>13.66</v>
      </c>
      <c r="J471" s="44">
        <f>ORÇAMENTO!H803</f>
        <v>0.2122</v>
      </c>
      <c r="K471" s="44">
        <f>ORÇAMENTO!I803</f>
        <v>16.559999999999999</v>
      </c>
      <c r="L471" s="44">
        <f>ORÇAMENTO!J803</f>
        <v>4.25</v>
      </c>
      <c r="M471" s="23">
        <f>ORÇAMENTO!K803</f>
        <v>1.5025023814795321E-7</v>
      </c>
      <c r="N471" s="23" t="str">
        <f t="shared" si="29"/>
        <v>OK!</v>
      </c>
      <c r="O471" s="23" t="str">
        <f t="shared" si="30"/>
        <v>OK!</v>
      </c>
      <c r="P471" s="23" t="str">
        <f t="shared" si="31"/>
        <v>OK!</v>
      </c>
    </row>
    <row r="472" spans="2:16" x14ac:dyDescent="0.35">
      <c r="B472" s="43">
        <f t="shared" si="28"/>
        <v>83</v>
      </c>
      <c r="C472" s="44" t="str">
        <f>ORÇAMENTO!A154</f>
        <v>4.1.2.1.19</v>
      </c>
      <c r="D472" s="44" t="str">
        <f>ORÇAMENTO!B154</f>
        <v xml:space="preserve"> 100574 </v>
      </c>
      <c r="E472" s="44" t="str">
        <f>ORÇAMENTO!C154</f>
        <v>SINAPI</v>
      </c>
      <c r="F472" s="480" t="str">
        <f>ORÇAMENTO!D154</f>
        <v>ESPALHAMENTO DE MATERIAL COM TRATOR DE ESTEIRAS. AF_09/2024</v>
      </c>
      <c r="G472" s="44" t="str">
        <f>ORÇAMENTO!E154</f>
        <v>M³</v>
      </c>
      <c r="H472" s="44">
        <f>ORÇAMENTO!F154</f>
        <v>1744.3806857317095</v>
      </c>
      <c r="I472" s="44">
        <f>ORÇAMENTO!G154</f>
        <v>1.37</v>
      </c>
      <c r="J472" s="44">
        <f>ORÇAMENTO!H154</f>
        <v>0.2122</v>
      </c>
      <c r="K472" s="44">
        <f>ORÇAMENTO!I154</f>
        <v>1.66</v>
      </c>
      <c r="L472" s="44">
        <f>ORÇAMENTO!J154</f>
        <v>2895.67</v>
      </c>
      <c r="M472" s="23">
        <f>ORÇAMENTO!K154</f>
        <v>1.0237061343479616E-4</v>
      </c>
      <c r="N472" s="23" t="str">
        <f t="shared" si="29"/>
        <v>DIFERENTE</v>
      </c>
      <c r="O472" s="23" t="str">
        <f t="shared" si="30"/>
        <v>DIFERENTE</v>
      </c>
      <c r="P472" s="23" t="str">
        <f t="shared" si="31"/>
        <v>DIFERENTE</v>
      </c>
    </row>
    <row r="473" spans="2:16" x14ac:dyDescent="0.35">
      <c r="B473" s="43">
        <f t="shared" si="28"/>
        <v>83</v>
      </c>
      <c r="C473" s="44" t="str">
        <f>ORÇAMENTO!A241</f>
        <v>4.1.2.6.39</v>
      </c>
      <c r="D473" s="44" t="str">
        <f>ORÇAMENTO!B241</f>
        <v xml:space="preserve"> 100574 </v>
      </c>
      <c r="E473" s="44" t="str">
        <f>ORÇAMENTO!C241</f>
        <v>SINAPI</v>
      </c>
      <c r="F473" s="480" t="str">
        <f>ORÇAMENTO!D241</f>
        <v>ESPALHAMENTO DE MATERIAL COM TRATOR DE ESTEIRAS. AF_09/2024</v>
      </c>
      <c r="G473" s="44" t="str">
        <f>ORÇAMENTO!E241</f>
        <v>M³</v>
      </c>
      <c r="H473" s="44">
        <f>ORÇAMENTO!F241</f>
        <v>589.56733195999982</v>
      </c>
      <c r="I473" s="44">
        <f>ORÇAMENTO!G241</f>
        <v>1.37</v>
      </c>
      <c r="J473" s="44">
        <f>ORÇAMENTO!H241</f>
        <v>0.2122</v>
      </c>
      <c r="K473" s="44">
        <f>ORÇAMENTO!I241</f>
        <v>1.66</v>
      </c>
      <c r="L473" s="44">
        <f>ORÇAMENTO!J241</f>
        <v>978.68</v>
      </c>
      <c r="M473" s="23">
        <f>ORÇAMENTO!K241</f>
        <v>3.459927131073855E-5</v>
      </c>
      <c r="N473" s="23" t="str">
        <f t="shared" si="29"/>
        <v>OK!</v>
      </c>
      <c r="O473" s="23" t="str">
        <f t="shared" si="30"/>
        <v>OK!</v>
      </c>
      <c r="P473" s="23" t="str">
        <f t="shared" si="31"/>
        <v>OK!</v>
      </c>
    </row>
    <row r="474" spans="2:16" x14ac:dyDescent="0.35">
      <c r="B474" s="43">
        <f t="shared" si="28"/>
        <v>83</v>
      </c>
      <c r="C474" s="44" t="str">
        <f>ORÇAMENTO!A271</f>
        <v>4.2.1.5</v>
      </c>
      <c r="D474" s="44" t="str">
        <f>ORÇAMENTO!B271</f>
        <v xml:space="preserve"> 100574 </v>
      </c>
      <c r="E474" s="44" t="str">
        <f>ORÇAMENTO!C271</f>
        <v>SINAPI</v>
      </c>
      <c r="F474" s="480" t="str">
        <f>ORÇAMENTO!D271</f>
        <v>ESPALHAMENTO DE MATERIAL COM TRATOR DE ESTEIRAS. AF_09/2024</v>
      </c>
      <c r="G474" s="44" t="str">
        <f>ORÇAMENTO!E271</f>
        <v>M³</v>
      </c>
      <c r="H474" s="44">
        <f>ORÇAMENTO!F271</f>
        <v>1202.2</v>
      </c>
      <c r="I474" s="44">
        <f>ORÇAMENTO!G271</f>
        <v>1.37</v>
      </c>
      <c r="J474" s="44">
        <f>ORÇAMENTO!H271</f>
        <v>0.2122</v>
      </c>
      <c r="K474" s="44">
        <f>ORÇAMENTO!I271</f>
        <v>1.66</v>
      </c>
      <c r="L474" s="44">
        <f>ORÇAMENTO!J271</f>
        <v>1995.65</v>
      </c>
      <c r="M474" s="23">
        <f>ORÇAMENTO!K271</f>
        <v>7.0552208884697135E-5</v>
      </c>
      <c r="N474" s="23" t="str">
        <f t="shared" si="29"/>
        <v>OK!</v>
      </c>
      <c r="O474" s="23" t="str">
        <f t="shared" si="30"/>
        <v>OK!</v>
      </c>
      <c r="P474" s="23" t="str">
        <f t="shared" si="31"/>
        <v>OK!</v>
      </c>
    </row>
    <row r="475" spans="2:16" x14ac:dyDescent="0.35">
      <c r="B475" s="43">
        <f t="shared" si="28"/>
        <v>83</v>
      </c>
      <c r="C475" s="44" t="str">
        <f>ORÇAMENTO!A276</f>
        <v>4.2.2.4</v>
      </c>
      <c r="D475" s="44" t="str">
        <f>ORÇAMENTO!B276</f>
        <v xml:space="preserve"> 100574 </v>
      </c>
      <c r="E475" s="44" t="str">
        <f>ORÇAMENTO!C276</f>
        <v>SINAPI</v>
      </c>
      <c r="F475" s="480" t="str">
        <f>ORÇAMENTO!D276</f>
        <v>ESPALHAMENTO DE MATERIAL COM TRATOR DE ESTEIRAS. AF_09/2024</v>
      </c>
      <c r="G475" s="44" t="str">
        <f>ORÇAMENTO!E276</f>
        <v>M³</v>
      </c>
      <c r="H475" s="44">
        <f>ORÇAMENTO!F276</f>
        <v>2669.03</v>
      </c>
      <c r="I475" s="44">
        <f>ORÇAMENTO!G276</f>
        <v>1.37</v>
      </c>
      <c r="J475" s="44">
        <f>ORÇAMENTO!H276</f>
        <v>0.2122</v>
      </c>
      <c r="K475" s="44">
        <f>ORÇAMENTO!I276</f>
        <v>1.66</v>
      </c>
      <c r="L475" s="44">
        <f>ORÇAMENTO!J276</f>
        <v>4430.58</v>
      </c>
      <c r="M475" s="23">
        <f>ORÇAMENTO!K276</f>
        <v>1.5663428238436671E-4</v>
      </c>
      <c r="N475" s="23" t="str">
        <f t="shared" si="29"/>
        <v>OK!</v>
      </c>
      <c r="O475" s="23" t="str">
        <f t="shared" si="30"/>
        <v>OK!</v>
      </c>
      <c r="P475" s="23" t="str">
        <f t="shared" si="31"/>
        <v>OK!</v>
      </c>
    </row>
    <row r="476" spans="2:16" x14ac:dyDescent="0.35">
      <c r="B476" s="43">
        <f t="shared" si="28"/>
        <v>83</v>
      </c>
      <c r="C476" s="44" t="str">
        <f>ORÇAMENTO!A393</f>
        <v>5.1.2.1.16</v>
      </c>
      <c r="D476" s="44" t="str">
        <f>ORÇAMENTO!B393</f>
        <v xml:space="preserve"> 100574 </v>
      </c>
      <c r="E476" s="44" t="str">
        <f>ORÇAMENTO!C393</f>
        <v>SINAPI</v>
      </c>
      <c r="F476" s="480" t="str">
        <f>ORÇAMENTO!D393</f>
        <v>ESPALHAMENTO DE MATERIAL COM TRATOR DE ESTEIRAS. AF_09/2024</v>
      </c>
      <c r="G476" s="44" t="str">
        <f>ORÇAMENTO!E393</f>
        <v>M³</v>
      </c>
      <c r="H476" s="44">
        <f>ORÇAMENTO!F393</f>
        <v>2036.89428</v>
      </c>
      <c r="I476" s="44">
        <f>ORÇAMENTO!G393</f>
        <v>1.37</v>
      </c>
      <c r="J476" s="44">
        <f>ORÇAMENTO!H393</f>
        <v>0.2122</v>
      </c>
      <c r="K476" s="44">
        <f>ORÇAMENTO!I393</f>
        <v>1.66</v>
      </c>
      <c r="L476" s="44">
        <f>ORÇAMENTO!J393</f>
        <v>3381.24</v>
      </c>
      <c r="M476" s="23">
        <f>ORÇAMENTO!K393</f>
        <v>1.195369682906789E-4</v>
      </c>
      <c r="N476" s="23" t="str">
        <f t="shared" si="29"/>
        <v>OK!</v>
      </c>
      <c r="O476" s="23" t="str">
        <f t="shared" si="30"/>
        <v>OK!</v>
      </c>
      <c r="P476" s="23" t="str">
        <f t="shared" si="31"/>
        <v>OK!</v>
      </c>
    </row>
    <row r="477" spans="2:16" x14ac:dyDescent="0.35">
      <c r="B477" s="43">
        <f t="shared" si="28"/>
        <v>83</v>
      </c>
      <c r="C477" s="44" t="str">
        <f>ORÇAMENTO!A484</f>
        <v>5.1.2.6.40</v>
      </c>
      <c r="D477" s="44" t="str">
        <f>ORÇAMENTO!B484</f>
        <v xml:space="preserve"> 100574 </v>
      </c>
      <c r="E477" s="44" t="str">
        <f>ORÇAMENTO!C484</f>
        <v>SINAPI</v>
      </c>
      <c r="F477" s="480" t="str">
        <f>ORÇAMENTO!D484</f>
        <v>ESPALHAMENTO DE MATERIAL COM TRATOR DE ESTEIRAS. AF_09/2024</v>
      </c>
      <c r="G477" s="44" t="str">
        <f>ORÇAMENTO!E484</f>
        <v>M³</v>
      </c>
      <c r="H477" s="44">
        <f>ORÇAMENTO!F484</f>
        <v>308.53463810208677</v>
      </c>
      <c r="I477" s="44">
        <f>ORÇAMENTO!G484</f>
        <v>1.37</v>
      </c>
      <c r="J477" s="44">
        <f>ORÇAMENTO!H484</f>
        <v>0.2122</v>
      </c>
      <c r="K477" s="44">
        <f>ORÇAMENTO!I484</f>
        <v>1.66</v>
      </c>
      <c r="L477" s="44">
        <f>ORÇAMENTO!J484</f>
        <v>512.16</v>
      </c>
      <c r="M477" s="23">
        <f>ORÇAMENTO!K484</f>
        <v>1.8106391051730757E-5</v>
      </c>
      <c r="N477" s="23" t="str">
        <f t="shared" si="29"/>
        <v>OK!</v>
      </c>
      <c r="O477" s="23" t="str">
        <f t="shared" si="30"/>
        <v>OK!</v>
      </c>
      <c r="P477" s="23" t="str">
        <f t="shared" si="31"/>
        <v>OK!</v>
      </c>
    </row>
    <row r="478" spans="2:16" x14ac:dyDescent="0.35">
      <c r="B478" s="43">
        <f t="shared" si="28"/>
        <v>83</v>
      </c>
      <c r="C478" s="44" t="str">
        <f>ORÇAMENTO!A606</f>
        <v>6.1.2.1.12</v>
      </c>
      <c r="D478" s="44" t="str">
        <f>ORÇAMENTO!B606</f>
        <v xml:space="preserve"> 100574 </v>
      </c>
      <c r="E478" s="44" t="str">
        <f>ORÇAMENTO!C606</f>
        <v>SINAPI</v>
      </c>
      <c r="F478" s="480" t="str">
        <f>ORÇAMENTO!D606</f>
        <v>ESPALHAMENTO DE MATERIAL COM TRATOR DE ESTEIRAS. AF_09/2024</v>
      </c>
      <c r="G478" s="44" t="str">
        <f>ORÇAMENTO!E606</f>
        <v>M³</v>
      </c>
      <c r="H478" s="44">
        <f>ORÇAMENTO!F606</f>
        <v>453.90722392076123</v>
      </c>
      <c r="I478" s="44">
        <f>ORÇAMENTO!G606</f>
        <v>1.37</v>
      </c>
      <c r="J478" s="44">
        <f>ORÇAMENTO!H606</f>
        <v>0.2122</v>
      </c>
      <c r="K478" s="44">
        <f>ORÇAMENTO!I606</f>
        <v>1.66</v>
      </c>
      <c r="L478" s="44">
        <f>ORÇAMENTO!J606</f>
        <v>753.48</v>
      </c>
      <c r="M478" s="23">
        <f>ORÇAMENTO!K606</f>
        <v>2.6637776338757599E-5</v>
      </c>
      <c r="N478" s="23" t="str">
        <f t="shared" si="29"/>
        <v>OK!</v>
      </c>
      <c r="O478" s="23" t="str">
        <f t="shared" si="30"/>
        <v>OK!</v>
      </c>
      <c r="P478" s="23" t="str">
        <f t="shared" si="31"/>
        <v>OK!</v>
      </c>
    </row>
    <row r="479" spans="2:16" x14ac:dyDescent="0.35">
      <c r="B479" s="43">
        <f t="shared" si="28"/>
        <v>83</v>
      </c>
      <c r="C479" s="44" t="str">
        <f>ORÇAMENTO!A679</f>
        <v>6.1.2.6.32</v>
      </c>
      <c r="D479" s="44" t="str">
        <f>ORÇAMENTO!B679</f>
        <v xml:space="preserve"> 100574 </v>
      </c>
      <c r="E479" s="44" t="str">
        <f>ORÇAMENTO!C679</f>
        <v>SINAPI</v>
      </c>
      <c r="F479" s="480" t="str">
        <f>ORÇAMENTO!D679</f>
        <v>ESPALHAMENTO DE MATERIAL COM TRATOR DE ESTEIRAS. AF_09/2024</v>
      </c>
      <c r="G479" s="44" t="str">
        <f>ORÇAMENTO!E679</f>
        <v>M³</v>
      </c>
      <c r="H479" s="44">
        <f>ORÇAMENTO!F679</f>
        <v>242.76849024054289</v>
      </c>
      <c r="I479" s="44">
        <f>ORÇAMENTO!G679</f>
        <v>1.37</v>
      </c>
      <c r="J479" s="44">
        <f>ORÇAMENTO!H679</f>
        <v>0.2122</v>
      </c>
      <c r="K479" s="44">
        <f>ORÇAMENTO!I679</f>
        <v>1.66</v>
      </c>
      <c r="L479" s="44">
        <f>ORÇAMENTO!J679</f>
        <v>402.99</v>
      </c>
      <c r="M479" s="23">
        <f>ORÇAMENTO!K679</f>
        <v>1.4246904346174981E-5</v>
      </c>
      <c r="N479" s="23" t="str">
        <f t="shared" si="29"/>
        <v>OK!</v>
      </c>
      <c r="O479" s="23" t="str">
        <f t="shared" si="30"/>
        <v>OK!</v>
      </c>
      <c r="P479" s="23" t="str">
        <f t="shared" si="31"/>
        <v>OK!</v>
      </c>
    </row>
    <row r="480" spans="2:16" x14ac:dyDescent="0.35">
      <c r="B480" s="43">
        <f t="shared" si="28"/>
        <v>83</v>
      </c>
      <c r="C480" s="44" t="str">
        <f>ORÇAMENTO!A801</f>
        <v>7.1.2.1.17</v>
      </c>
      <c r="D480" s="44" t="str">
        <f>ORÇAMENTO!B801</f>
        <v xml:space="preserve"> 100574 </v>
      </c>
      <c r="E480" s="44" t="str">
        <f>ORÇAMENTO!C801</f>
        <v>SINAPI</v>
      </c>
      <c r="F480" s="480" t="str">
        <f>ORÇAMENTO!D801</f>
        <v>ESPALHAMENTO DE MATERIAL COM TRATOR DE ESTEIRAS. AF_09/2024</v>
      </c>
      <c r="G480" s="44" t="str">
        <f>ORÇAMENTO!E801</f>
        <v>M³</v>
      </c>
      <c r="H480" s="44">
        <f>ORÇAMENTO!F801</f>
        <v>2307.9058658322156</v>
      </c>
      <c r="I480" s="44">
        <f>ORÇAMENTO!G801</f>
        <v>1.37</v>
      </c>
      <c r="J480" s="44">
        <f>ORÇAMENTO!H801</f>
        <v>0.2122</v>
      </c>
      <c r="K480" s="44">
        <f>ORÇAMENTO!I801</f>
        <v>1.66</v>
      </c>
      <c r="L480" s="44">
        <f>ORÇAMENTO!J801</f>
        <v>3831.12</v>
      </c>
      <c r="M480" s="23">
        <f>ORÇAMENTO!K801</f>
        <v>1.3544157467609095E-4</v>
      </c>
      <c r="N480" s="23" t="str">
        <f t="shared" si="29"/>
        <v>OK!</v>
      </c>
      <c r="O480" s="23" t="str">
        <f t="shared" si="30"/>
        <v>OK!</v>
      </c>
      <c r="P480" s="23" t="str">
        <f t="shared" si="31"/>
        <v>OK!</v>
      </c>
    </row>
    <row r="481" spans="2:16" x14ac:dyDescent="0.35">
      <c r="B481" s="43">
        <f t="shared" si="28"/>
        <v>83</v>
      </c>
      <c r="C481" s="44" t="str">
        <f>ORÇAMENTO!A892</f>
        <v>7.1.2.6.39</v>
      </c>
      <c r="D481" s="44" t="str">
        <f>ORÇAMENTO!B892</f>
        <v xml:space="preserve"> 100574 </v>
      </c>
      <c r="E481" s="44" t="str">
        <f>ORÇAMENTO!C892</f>
        <v>SINAPI</v>
      </c>
      <c r="F481" s="480" t="str">
        <f>ORÇAMENTO!D892</f>
        <v>ESPALHAMENTO DE MATERIAL COM TRATOR DE ESTEIRAS. AF_09/2024</v>
      </c>
      <c r="G481" s="44" t="str">
        <f>ORÇAMENTO!E892</f>
        <v>M³</v>
      </c>
      <c r="H481" s="44">
        <f>ORÇAMENTO!F892</f>
        <v>719.93437935999918</v>
      </c>
      <c r="I481" s="44">
        <f>ORÇAMENTO!G892</f>
        <v>1.37</v>
      </c>
      <c r="J481" s="44">
        <f>ORÇAMENTO!H892</f>
        <v>0.2122</v>
      </c>
      <c r="K481" s="44">
        <f>ORÇAMENTO!I892</f>
        <v>1.66</v>
      </c>
      <c r="L481" s="44">
        <f>ORÇAMENTO!J892</f>
        <v>1195.0899999999999</v>
      </c>
      <c r="M481" s="23">
        <f>ORÇAMENTO!K892</f>
        <v>4.2250013437232328E-5</v>
      </c>
      <c r="N481" s="23" t="str">
        <f t="shared" si="29"/>
        <v>OK!</v>
      </c>
      <c r="O481" s="23" t="str">
        <f t="shared" si="30"/>
        <v>OK!</v>
      </c>
      <c r="P481" s="23" t="str">
        <f t="shared" si="31"/>
        <v>OK!</v>
      </c>
    </row>
    <row r="482" spans="2:16" x14ac:dyDescent="0.35">
      <c r="B482" s="43">
        <f t="shared" si="28"/>
        <v>83</v>
      </c>
      <c r="C482" s="44" t="str">
        <f>ORÇAMENTO!A960</f>
        <v>7.5.1.5</v>
      </c>
      <c r="D482" s="44" t="str">
        <f>ORÇAMENTO!B960</f>
        <v xml:space="preserve"> 100574 </v>
      </c>
      <c r="E482" s="44" t="str">
        <f>ORÇAMENTO!C960</f>
        <v>SINAPI</v>
      </c>
      <c r="F482" s="636" t="str">
        <f>ORÇAMENTO!D960</f>
        <v>ESPALHAMENTO DE MATERIAL COM TRATOR DE ESTEIRAS. AF_09/2024</v>
      </c>
      <c r="G482" s="44" t="str">
        <f>ORÇAMENTO!E960</f>
        <v>M³</v>
      </c>
      <c r="H482" s="44">
        <f>ORÇAMENTO!F960</f>
        <v>1700.34</v>
      </c>
      <c r="I482" s="44">
        <f>ORÇAMENTO!G960</f>
        <v>1.37</v>
      </c>
      <c r="J482" s="44">
        <f>ORÇAMENTO!H960</f>
        <v>0.2122</v>
      </c>
      <c r="K482" s="44">
        <f>ORÇAMENTO!I960</f>
        <v>1.66</v>
      </c>
      <c r="L482" s="638">
        <f>ORÇAMENTO!J960</f>
        <v>2822.56</v>
      </c>
      <c r="M482" s="23">
        <f>ORÇAMENTO!K960</f>
        <v>9.9785955808679255E-5</v>
      </c>
      <c r="N482" s="23" t="str">
        <f t="shared" si="29"/>
        <v>OK!</v>
      </c>
      <c r="O482" s="23" t="str">
        <f t="shared" si="30"/>
        <v>OK!</v>
      </c>
      <c r="P482" s="23" t="str">
        <f t="shared" si="31"/>
        <v>OK!</v>
      </c>
    </row>
    <row r="483" spans="2:16" x14ac:dyDescent="0.35">
      <c r="B483" s="43">
        <f t="shared" si="28"/>
        <v>83</v>
      </c>
      <c r="C483" s="44" t="str">
        <f>ORÇAMENTO!A965</f>
        <v>7.5.2.4</v>
      </c>
      <c r="D483" s="44" t="str">
        <f>ORÇAMENTO!B965</f>
        <v xml:space="preserve"> 100574 </v>
      </c>
      <c r="E483" s="44" t="str">
        <f>ORÇAMENTO!C965</f>
        <v>SINAPI</v>
      </c>
      <c r="F483" s="636" t="str">
        <f>ORÇAMENTO!D965</f>
        <v>ESPALHAMENTO DE MATERIAL COM TRATOR DE ESTEIRAS. AF_09/2024</v>
      </c>
      <c r="G483" s="44" t="str">
        <f>ORÇAMENTO!E965</f>
        <v>M³</v>
      </c>
      <c r="H483" s="44">
        <f>ORÇAMENTO!F965</f>
        <v>4132.6000000000004</v>
      </c>
      <c r="I483" s="44">
        <f>ORÇAMENTO!G965</f>
        <v>1.37</v>
      </c>
      <c r="J483" s="44">
        <f>ORÇAMENTO!H965</f>
        <v>0.2122</v>
      </c>
      <c r="K483" s="44">
        <f>ORÇAMENTO!I965</f>
        <v>1.66</v>
      </c>
      <c r="L483" s="638">
        <f>ORÇAMENTO!J965</f>
        <v>6860.11</v>
      </c>
      <c r="M483" s="23">
        <f>ORÇAMENTO!K965</f>
        <v>2.4252544969909537E-4</v>
      </c>
      <c r="N483" s="23" t="str">
        <f t="shared" si="29"/>
        <v>OK!</v>
      </c>
      <c r="O483" s="23" t="str">
        <f t="shared" si="30"/>
        <v>OK!</v>
      </c>
      <c r="P483" s="23" t="str">
        <f t="shared" si="31"/>
        <v>OK!</v>
      </c>
    </row>
    <row r="484" spans="2:16" x14ac:dyDescent="0.35">
      <c r="B484" s="43">
        <f t="shared" si="28"/>
        <v>83</v>
      </c>
      <c r="C484" s="44" t="str">
        <f>ORÇAMENTO!A993</f>
        <v xml:space="preserve"> 8.1.5</v>
      </c>
      <c r="D484" s="44" t="str">
        <f>ORÇAMENTO!B993</f>
        <v xml:space="preserve"> 100574 </v>
      </c>
      <c r="E484" s="44" t="str">
        <f>ORÇAMENTO!C993</f>
        <v>SINAPI</v>
      </c>
      <c r="F484" s="636" t="str">
        <f>ORÇAMENTO!D993</f>
        <v>ESPALHAMENTO DE MATERIAL COM TRATOR DE ESTEIRAS. AF_09/2024</v>
      </c>
      <c r="G484" s="44" t="str">
        <f>ORÇAMENTO!E993</f>
        <v>M³</v>
      </c>
      <c r="H484" s="44">
        <f>ORÇAMENTO!F993</f>
        <v>1785</v>
      </c>
      <c r="I484" s="44">
        <f>ORÇAMENTO!G993</f>
        <v>1.37</v>
      </c>
      <c r="J484" s="44">
        <f>ORÇAMENTO!H993</f>
        <v>0.2122</v>
      </c>
      <c r="K484" s="44">
        <f>ORÇAMENTO!I993</f>
        <v>1.66</v>
      </c>
      <c r="L484" s="638">
        <f>ORÇAMENTO!J993</f>
        <v>2963.1</v>
      </c>
      <c r="M484" s="23">
        <f>ORÇAMENTO!K993</f>
        <v>1.0475446603675298E-4</v>
      </c>
      <c r="N484" s="23" t="str">
        <f t="shared" si="29"/>
        <v>OK!</v>
      </c>
      <c r="O484" s="23" t="str">
        <f t="shared" si="30"/>
        <v>OK!</v>
      </c>
      <c r="P484" s="23" t="str">
        <f t="shared" si="31"/>
        <v>OK!</v>
      </c>
    </row>
    <row r="485" spans="2:16" x14ac:dyDescent="0.35">
      <c r="B485" s="43">
        <f t="shared" si="28"/>
        <v>83</v>
      </c>
      <c r="C485" s="44" t="str">
        <f>ORÇAMENTO!A998</f>
        <v xml:space="preserve"> 8.2.4</v>
      </c>
      <c r="D485" s="44" t="str">
        <f>ORÇAMENTO!B998</f>
        <v xml:space="preserve"> 100574 </v>
      </c>
      <c r="E485" s="44" t="str">
        <f>ORÇAMENTO!C998</f>
        <v>SINAPI</v>
      </c>
      <c r="F485" s="636" t="str">
        <f>ORÇAMENTO!D998</f>
        <v>ESPALHAMENTO DE MATERIAL COM TRATOR DE ESTEIRAS. AF_09/2024</v>
      </c>
      <c r="G485" s="44" t="str">
        <f>ORÇAMENTO!E998</f>
        <v>M³</v>
      </c>
      <c r="H485" s="44">
        <f>ORÇAMENTO!F998</f>
        <v>25287.21</v>
      </c>
      <c r="I485" s="44">
        <f>ORÇAMENTO!G998</f>
        <v>1.37</v>
      </c>
      <c r="J485" s="44">
        <f>ORÇAMENTO!H998</f>
        <v>0.2122</v>
      </c>
      <c r="K485" s="44">
        <f>ORÇAMENTO!I998</f>
        <v>1.66</v>
      </c>
      <c r="L485" s="638">
        <f>ORÇAMENTO!J998</f>
        <v>41976.76</v>
      </c>
      <c r="M485" s="23">
        <f>ORÇAMENTO!K998</f>
        <v>1.4840042792187004E-3</v>
      </c>
      <c r="N485" s="23" t="str">
        <f t="shared" si="29"/>
        <v>OK!</v>
      </c>
      <c r="O485" s="23" t="str">
        <f t="shared" si="30"/>
        <v>OK!</v>
      </c>
      <c r="P485" s="23" t="str">
        <f t="shared" si="31"/>
        <v>OK!</v>
      </c>
    </row>
    <row r="486" spans="2:16" ht="43.5" x14ac:dyDescent="0.35">
      <c r="B486" s="43">
        <f t="shared" si="28"/>
        <v>84</v>
      </c>
      <c r="C486" s="44" t="str">
        <f>ORÇAMENTO!A119</f>
        <v>4.1.1.5.2</v>
      </c>
      <c r="D486" s="44" t="str">
        <f>ORÇAMENTO!B119</f>
        <v xml:space="preserve"> 94990 </v>
      </c>
      <c r="E486" s="44" t="str">
        <f>ORÇAMENTO!C119</f>
        <v>SINAPI</v>
      </c>
      <c r="F486" s="480" t="str">
        <f>ORÇAMENTO!D119</f>
        <v>EXECUÇÃO DE PASSEIO (CALÇADA) OU PISO DE CONCRETO COM CONCRETO MOLDADO IN LOCO, FEITO EM OBRA, ACABAMENTO CONVENCIONAL, NÃO ARMADO. AF_08/2022</v>
      </c>
      <c r="G486" s="44" t="str">
        <f>ORÇAMENTO!E119</f>
        <v>M³</v>
      </c>
      <c r="H486" s="44">
        <f>ORÇAMENTO!F119</f>
        <v>10.127558000000004</v>
      </c>
      <c r="I486" s="44">
        <f>ORÇAMENTO!G119</f>
        <v>767.76</v>
      </c>
      <c r="J486" s="44">
        <f>ORÇAMENTO!H119</f>
        <v>0.2122</v>
      </c>
      <c r="K486" s="44">
        <f>ORÇAMENTO!I119</f>
        <v>930.68</v>
      </c>
      <c r="L486" s="44">
        <f>ORÇAMENTO!J119</f>
        <v>9425.51</v>
      </c>
      <c r="M486" s="23">
        <f>ORÇAMENTO!K119</f>
        <v>3.3322002874492106E-4</v>
      </c>
      <c r="N486" s="23" t="str">
        <f t="shared" si="29"/>
        <v>DIFERENTE</v>
      </c>
      <c r="O486" s="23" t="str">
        <f t="shared" si="30"/>
        <v>DIFERENTE</v>
      </c>
      <c r="P486" s="23" t="str">
        <f t="shared" si="31"/>
        <v>DIFERENTE</v>
      </c>
    </row>
    <row r="487" spans="2:16" ht="43.5" x14ac:dyDescent="0.35">
      <c r="B487" s="43">
        <f t="shared" si="28"/>
        <v>84</v>
      </c>
      <c r="C487" s="44" t="str">
        <f>ORÇAMENTO!A361</f>
        <v>5.1.1.5.2</v>
      </c>
      <c r="D487" s="44" t="str">
        <f>ORÇAMENTO!B361</f>
        <v xml:space="preserve"> 94990 </v>
      </c>
      <c r="E487" s="44" t="str">
        <f>ORÇAMENTO!C361</f>
        <v>SINAPI</v>
      </c>
      <c r="F487" s="480" t="str">
        <f>ORÇAMENTO!D361</f>
        <v>EXECUÇÃO DE PASSEIO (CALÇADA) OU PISO DE CONCRETO COM CONCRETO MOLDADO IN LOCO, FEITO EM OBRA, ACABAMENTO CONVENCIONAL, NÃO ARMADO. AF_08/2022</v>
      </c>
      <c r="G487" s="44" t="str">
        <f>ORÇAMENTO!E361</f>
        <v>M³</v>
      </c>
      <c r="H487" s="44">
        <f>ORÇAMENTO!F361</f>
        <v>10.387650000000004</v>
      </c>
      <c r="I487" s="44">
        <f>ORÇAMENTO!G361</f>
        <v>767.76</v>
      </c>
      <c r="J487" s="44">
        <f>ORÇAMENTO!H361</f>
        <v>0.2122</v>
      </c>
      <c r="K487" s="44">
        <f>ORÇAMENTO!I361</f>
        <v>930.68</v>
      </c>
      <c r="L487" s="44">
        <f>ORÇAMENTO!J361</f>
        <v>9667.57</v>
      </c>
      <c r="M487" s="23">
        <f>ORÇAMENTO!K361</f>
        <v>3.4177757524988422E-4</v>
      </c>
      <c r="N487" s="23" t="str">
        <f t="shared" si="29"/>
        <v>OK!</v>
      </c>
      <c r="O487" s="23" t="str">
        <f t="shared" si="30"/>
        <v>OK!</v>
      </c>
      <c r="P487" s="23" t="str">
        <f t="shared" si="31"/>
        <v>OK!</v>
      </c>
    </row>
    <row r="488" spans="2:16" ht="43.5" x14ac:dyDescent="0.35">
      <c r="B488" s="43">
        <f t="shared" si="28"/>
        <v>84</v>
      </c>
      <c r="C488" s="44" t="str">
        <f>ORÇAMENTO!A573</f>
        <v>6.1.1.5.2</v>
      </c>
      <c r="D488" s="44" t="str">
        <f>ORÇAMENTO!B573</f>
        <v xml:space="preserve"> 94990 </v>
      </c>
      <c r="E488" s="44" t="str">
        <f>ORÇAMENTO!C573</f>
        <v>SINAPI</v>
      </c>
      <c r="F488" s="480" t="str">
        <f>ORÇAMENTO!D573</f>
        <v>EXECUÇÃO DE PASSEIO (CALÇADA) OU PISO DE CONCRETO COM CONCRETO MOLDADO IN LOCO, FEITO EM OBRA, ACABAMENTO CONVENCIONAL, NÃO ARMADO. AF_08/2022</v>
      </c>
      <c r="G488" s="44" t="str">
        <f>ORÇAMENTO!E573</f>
        <v>M³</v>
      </c>
      <c r="H488" s="44">
        <f>ORÇAMENTO!F573</f>
        <v>6.5761500000000011</v>
      </c>
      <c r="I488" s="44">
        <f>ORÇAMENTO!G573</f>
        <v>767.76</v>
      </c>
      <c r="J488" s="44">
        <f>ORÇAMENTO!H573</f>
        <v>0.2122</v>
      </c>
      <c r="K488" s="44">
        <f>ORÇAMENTO!I573</f>
        <v>930.68</v>
      </c>
      <c r="L488" s="44">
        <f>ORÇAMENTO!J573</f>
        <v>6120.29</v>
      </c>
      <c r="M488" s="23">
        <f>ORÇAMENTO!K573</f>
        <v>2.163705953022439E-4</v>
      </c>
      <c r="N488" s="23" t="str">
        <f t="shared" si="29"/>
        <v>OK!</v>
      </c>
      <c r="O488" s="23" t="str">
        <f t="shared" si="30"/>
        <v>OK!</v>
      </c>
      <c r="P488" s="23" t="str">
        <f t="shared" si="31"/>
        <v>OK!</v>
      </c>
    </row>
    <row r="489" spans="2:16" ht="43.5" x14ac:dyDescent="0.35">
      <c r="B489" s="43">
        <f t="shared" si="28"/>
        <v>84</v>
      </c>
      <c r="C489" s="44" t="str">
        <f>ORÇAMENTO!A763</f>
        <v>7.1.1.5.2</v>
      </c>
      <c r="D489" s="44" t="str">
        <f>ORÇAMENTO!B763</f>
        <v xml:space="preserve"> 94990 </v>
      </c>
      <c r="E489" s="44" t="str">
        <f>ORÇAMENTO!C763</f>
        <v>SINAPI</v>
      </c>
      <c r="F489" s="480" t="str">
        <f>ORÇAMENTO!D763</f>
        <v>EXECUÇÃO DE PASSEIO (CALÇADA) OU PISO DE CONCRETO COM CONCRETO MOLDADO IN LOCO, FEITO EM OBRA, ACABAMENTO CONVENCIONAL, NÃO ARMADO. AF_08/2022</v>
      </c>
      <c r="G489" s="44" t="str">
        <f>ORÇAMENTO!E763</f>
        <v>M³</v>
      </c>
      <c r="H489" s="44">
        <f>ORÇAMENTO!F763</f>
        <v>9.8416500000000031</v>
      </c>
      <c r="I489" s="44">
        <f>ORÇAMENTO!G763</f>
        <v>767.76</v>
      </c>
      <c r="J489" s="44">
        <f>ORÇAMENTO!H763</f>
        <v>0.2122</v>
      </c>
      <c r="K489" s="44">
        <f>ORÇAMENTO!I763</f>
        <v>930.68</v>
      </c>
      <c r="L489" s="44">
        <f>ORÇAMENTO!J763</f>
        <v>9159.42</v>
      </c>
      <c r="M489" s="23">
        <f>ORÇAMENTO!K763</f>
        <v>3.2381294971697074E-4</v>
      </c>
      <c r="N489" s="23" t="str">
        <f t="shared" si="29"/>
        <v>OK!</v>
      </c>
      <c r="O489" s="23" t="str">
        <f t="shared" si="30"/>
        <v>OK!</v>
      </c>
      <c r="P489" s="23" t="str">
        <f t="shared" si="31"/>
        <v>OK!</v>
      </c>
    </row>
    <row r="490" spans="2:16" ht="29" x14ac:dyDescent="0.35">
      <c r="B490" s="43">
        <f t="shared" si="28"/>
        <v>85</v>
      </c>
      <c r="C490" s="44" t="str">
        <f>ORÇAMENTO!A242</f>
        <v>4.1.2.6.40</v>
      </c>
      <c r="D490" s="44" t="str">
        <f>ORÇAMENTO!B242</f>
        <v xml:space="preserve"> 94285 </v>
      </c>
      <c r="E490" s="44" t="str">
        <f>ORÇAMENTO!C242</f>
        <v>SINAPI</v>
      </c>
      <c r="F490" s="480" t="str">
        <f>ORÇAMENTO!D242</f>
        <v>EXECUÇÃO DE SARJETA DE CONCRETO USINADO, MOLDADA  IN LOCO  EM TRECHO RETO, 60 CM BASE X 15 CM ALTURA. AF_01/2024</v>
      </c>
      <c r="G490" s="44" t="str">
        <f>ORÇAMENTO!E242</f>
        <v>M</v>
      </c>
      <c r="H490" s="44">
        <f>ORÇAMENTO!F242</f>
        <v>175.64999999999986</v>
      </c>
      <c r="I490" s="44">
        <f>ORÇAMENTO!G242</f>
        <v>77.209999999999994</v>
      </c>
      <c r="J490" s="44">
        <f>ORÇAMENTO!H242</f>
        <v>0.2122</v>
      </c>
      <c r="K490" s="44">
        <f>ORÇAMENTO!I242</f>
        <v>93.59</v>
      </c>
      <c r="L490" s="44">
        <f>ORÇAMENTO!J242</f>
        <v>16439.080000000002</v>
      </c>
      <c r="M490" s="23">
        <f>ORÇAMENTO!K242</f>
        <v>5.8117074939605996E-4</v>
      </c>
      <c r="N490" s="23" t="str">
        <f t="shared" si="29"/>
        <v>DIFERENTE</v>
      </c>
      <c r="O490" s="23" t="str">
        <f t="shared" si="30"/>
        <v>DIFERENTE</v>
      </c>
      <c r="P490" s="23" t="str">
        <f t="shared" si="31"/>
        <v>DIFERENTE</v>
      </c>
    </row>
    <row r="491" spans="2:16" ht="29" x14ac:dyDescent="0.35">
      <c r="B491" s="43">
        <f t="shared" si="28"/>
        <v>85</v>
      </c>
      <c r="C491" s="44" t="str">
        <f>ORÇAMENTO!A485</f>
        <v>5.1.2.6.41</v>
      </c>
      <c r="D491" s="44" t="str">
        <f>ORÇAMENTO!B485</f>
        <v xml:space="preserve"> 94285 </v>
      </c>
      <c r="E491" s="44" t="str">
        <f>ORÇAMENTO!C485</f>
        <v>SINAPI</v>
      </c>
      <c r="F491" s="480" t="str">
        <f>ORÇAMENTO!D485</f>
        <v>EXECUÇÃO DE SARJETA DE CONCRETO USINADO, MOLDADA  IN LOCO  EM TRECHO RETO, 60 CM BASE X 15 CM ALTURA. AF_01/2024</v>
      </c>
      <c r="G491" s="44" t="str">
        <f>ORÇAMENTO!E485</f>
        <v>M</v>
      </c>
      <c r="H491" s="44">
        <f>ORÇAMENTO!F485</f>
        <v>195.09</v>
      </c>
      <c r="I491" s="44">
        <f>ORÇAMENTO!G485</f>
        <v>77.209999999999994</v>
      </c>
      <c r="J491" s="44">
        <f>ORÇAMENTO!H485</f>
        <v>0.2122</v>
      </c>
      <c r="K491" s="44">
        <f>ORÇAMENTO!I485</f>
        <v>93.59</v>
      </c>
      <c r="L491" s="44">
        <f>ORÇAMENTO!J485</f>
        <v>18258.47</v>
      </c>
      <c r="M491" s="23">
        <f>ORÇAMENTO!K485</f>
        <v>6.4549163899229635E-4</v>
      </c>
      <c r="N491" s="23" t="str">
        <f t="shared" si="29"/>
        <v>OK!</v>
      </c>
      <c r="O491" s="23" t="str">
        <f t="shared" si="30"/>
        <v>OK!</v>
      </c>
      <c r="P491" s="23" t="str">
        <f t="shared" si="31"/>
        <v>OK!</v>
      </c>
    </row>
    <row r="492" spans="2:16" ht="29" x14ac:dyDescent="0.35">
      <c r="B492" s="43">
        <f t="shared" si="28"/>
        <v>85</v>
      </c>
      <c r="C492" s="44" t="str">
        <f>ORÇAMENTO!A680</f>
        <v>6.1.2.6.33</v>
      </c>
      <c r="D492" s="44" t="str">
        <f>ORÇAMENTO!B680</f>
        <v xml:space="preserve"> 94285 </v>
      </c>
      <c r="E492" s="44" t="str">
        <f>ORÇAMENTO!C680</f>
        <v>SINAPI</v>
      </c>
      <c r="F492" s="480" t="str">
        <f>ORÇAMENTO!D680</f>
        <v>EXECUÇÃO DE SARJETA DE CONCRETO USINADO, MOLDADA  IN LOCO  EM TRECHO RETO, 60 CM BASE X 15 CM ALTURA. AF_01/2024</v>
      </c>
      <c r="G492" s="44" t="str">
        <f>ORÇAMENTO!E680</f>
        <v>M</v>
      </c>
      <c r="H492" s="44">
        <f>ORÇAMENTO!F680</f>
        <v>113.54</v>
      </c>
      <c r="I492" s="44">
        <f>ORÇAMENTO!G680</f>
        <v>77.209999999999994</v>
      </c>
      <c r="J492" s="44">
        <f>ORÇAMENTO!H680</f>
        <v>0.2122</v>
      </c>
      <c r="K492" s="44">
        <f>ORÇAMENTO!I680</f>
        <v>93.59</v>
      </c>
      <c r="L492" s="44">
        <f>ORÇAMENTO!J680</f>
        <v>10626.2</v>
      </c>
      <c r="M492" s="23">
        <f>ORÇAMENTO!K680</f>
        <v>3.7566801896653657E-4</v>
      </c>
      <c r="N492" s="23" t="str">
        <f t="shared" si="29"/>
        <v>OK!</v>
      </c>
      <c r="O492" s="23" t="str">
        <f t="shared" si="30"/>
        <v>OK!</v>
      </c>
      <c r="P492" s="23" t="str">
        <f t="shared" si="31"/>
        <v>OK!</v>
      </c>
    </row>
    <row r="493" spans="2:16" ht="29" x14ac:dyDescent="0.35">
      <c r="B493" s="43">
        <f t="shared" si="28"/>
        <v>85</v>
      </c>
      <c r="C493" s="44" t="str">
        <f>ORÇAMENTO!A893</f>
        <v>7.1.2.6.40</v>
      </c>
      <c r="D493" s="44" t="str">
        <f>ORÇAMENTO!B893</f>
        <v xml:space="preserve"> 94285 </v>
      </c>
      <c r="E493" s="44" t="str">
        <f>ORÇAMENTO!C893</f>
        <v>SINAPI</v>
      </c>
      <c r="F493" s="480" t="str">
        <f>ORÇAMENTO!D893</f>
        <v>EXECUÇÃO DE SARJETA DE CONCRETO USINADO, MOLDADA  IN LOCO  EM TRECHO RETO, 60 CM BASE X 15 CM ALTURA. AF_01/2024</v>
      </c>
      <c r="G493" s="44" t="str">
        <f>ORÇAMENTO!E893</f>
        <v>M</v>
      </c>
      <c r="H493" s="44">
        <f>ORÇAMENTO!F893</f>
        <v>170.03</v>
      </c>
      <c r="I493" s="44">
        <f>ORÇAMENTO!G893</f>
        <v>77.209999999999994</v>
      </c>
      <c r="J493" s="44">
        <f>ORÇAMENTO!H893</f>
        <v>0.2122</v>
      </c>
      <c r="K493" s="44">
        <f>ORÇAMENTO!I893</f>
        <v>93.59</v>
      </c>
      <c r="L493" s="44">
        <f>ORÇAMENTO!J893</f>
        <v>15913.1</v>
      </c>
      <c r="M493" s="23">
        <f>ORÇAMENTO!K893</f>
        <v>5.6257577992286929E-4</v>
      </c>
      <c r="N493" s="23" t="str">
        <f t="shared" si="29"/>
        <v>OK!</v>
      </c>
      <c r="O493" s="23" t="str">
        <f t="shared" si="30"/>
        <v>OK!</v>
      </c>
      <c r="P493" s="23" t="str">
        <f t="shared" si="31"/>
        <v>OK!</v>
      </c>
    </row>
    <row r="494" spans="2:16" ht="43.5" x14ac:dyDescent="0.35">
      <c r="B494" s="43">
        <f t="shared" si="28"/>
        <v>86</v>
      </c>
      <c r="C494" s="44" t="str">
        <f>ORÇAMENTO!A170</f>
        <v>4.1.2.4.3</v>
      </c>
      <c r="D494" s="44" t="str">
        <f>ORÇAMENTO!B170</f>
        <v xml:space="preserve"> 96390 M </v>
      </c>
      <c r="E494" s="44" t="str">
        <f>ORÇAMENTO!C170</f>
        <v>PRÓPRIO</v>
      </c>
      <c r="F494" s="480" t="str">
        <f>ORÇAMENTO!D170</f>
        <v>EXECUÇÃO E COMPACTAÇÃO DE BASE E OU SUB BASE PARA PAVIMENTAÇÃO DE SOLO (PREDOMINANTEMENTE ARENOSO) COM CAL (TEOR DE 4%) - EXCLUSIVE SOLO, ESCAVAÇÃO, CARGA E TRANSPORTE.</v>
      </c>
      <c r="G494" s="44" t="str">
        <f>ORÇAMENTO!E170</f>
        <v>M³</v>
      </c>
      <c r="H494" s="44">
        <f>ORÇAMENTO!F170</f>
        <v>267.51512445547655</v>
      </c>
      <c r="I494" s="44">
        <f>ORÇAMENTO!G170</f>
        <v>15.45</v>
      </c>
      <c r="J494" s="44">
        <f>ORÇAMENTO!H170</f>
        <v>0.2122</v>
      </c>
      <c r="K494" s="44">
        <f>ORÇAMENTO!I170</f>
        <v>18.73</v>
      </c>
      <c r="L494" s="44">
        <f>ORÇAMENTO!J170</f>
        <v>5010.55</v>
      </c>
      <c r="M494" s="23">
        <f>ORÇAMENTO!K170</f>
        <v>1.7713796017699459E-4</v>
      </c>
      <c r="N494" s="23" t="str">
        <f t="shared" si="29"/>
        <v>DIFERENTE</v>
      </c>
      <c r="O494" s="23" t="str">
        <f t="shared" si="30"/>
        <v>DIFERENTE</v>
      </c>
      <c r="P494" s="23" t="str">
        <f t="shared" si="31"/>
        <v>DIFERENTE</v>
      </c>
    </row>
    <row r="495" spans="2:16" ht="43.5" x14ac:dyDescent="0.35">
      <c r="B495" s="43">
        <f t="shared" si="28"/>
        <v>86</v>
      </c>
      <c r="C495" s="44" t="str">
        <f>ORÇAMENTO!A233</f>
        <v>4.1.2.6.31</v>
      </c>
      <c r="D495" s="44" t="str">
        <f>ORÇAMENTO!B233</f>
        <v xml:space="preserve"> 96390 M </v>
      </c>
      <c r="E495" s="44" t="str">
        <f>ORÇAMENTO!C233</f>
        <v>PRÓPRIO</v>
      </c>
      <c r="F495" s="480" t="str">
        <f>ORÇAMENTO!D233</f>
        <v>EXECUÇÃO E COMPACTAÇÃO DE BASE E OU SUB BASE PARA PAVIMENTAÇÃO DE SOLO (PREDOMINANTEMENTE ARENOSO) COM CAL (TEOR DE 4%) - EXCLUSIVE SOLO, ESCAVAÇÃO, CARGA E TRANSPORTE.</v>
      </c>
      <c r="G495" s="44" t="str">
        <f>ORÇAMENTO!E233</f>
        <v>M³</v>
      </c>
      <c r="H495" s="44">
        <f>ORÇAMENTO!F233</f>
        <v>33.9</v>
      </c>
      <c r="I495" s="44">
        <f>ORÇAMENTO!G233</f>
        <v>15.45</v>
      </c>
      <c r="J495" s="44">
        <f>ORÇAMENTO!H233</f>
        <v>0.2122</v>
      </c>
      <c r="K495" s="44">
        <f>ORÇAMENTO!I233</f>
        <v>18.73</v>
      </c>
      <c r="L495" s="44">
        <f>ORÇAMENTO!J233</f>
        <v>634.94000000000005</v>
      </c>
      <c r="M495" s="23">
        <f>ORÇAMENTO!K233</f>
        <v>2.2447032049332098E-5</v>
      </c>
      <c r="N495" s="23" t="str">
        <f t="shared" si="29"/>
        <v>OK!</v>
      </c>
      <c r="O495" s="23" t="str">
        <f t="shared" si="30"/>
        <v>OK!</v>
      </c>
      <c r="P495" s="23" t="str">
        <f t="shared" si="31"/>
        <v>OK!</v>
      </c>
    </row>
    <row r="496" spans="2:16" ht="43.5" x14ac:dyDescent="0.35">
      <c r="B496" s="43">
        <f t="shared" si="28"/>
        <v>86</v>
      </c>
      <c r="C496" s="44" t="str">
        <f>ORÇAMENTO!A282</f>
        <v>4.2.4.3</v>
      </c>
      <c r="D496" s="44" t="str">
        <f>ORÇAMENTO!B282</f>
        <v xml:space="preserve"> 96390 M </v>
      </c>
      <c r="E496" s="44" t="str">
        <f>ORÇAMENTO!C282</f>
        <v>PRÓPRIO</v>
      </c>
      <c r="F496" s="480" t="str">
        <f>ORÇAMENTO!D282</f>
        <v>EXECUÇÃO E COMPACTAÇÃO DE BASE E OU SUB BASE PARA PAVIMENTAÇÃO DE SOLO (PREDOMINANTEMENTE ARENOSO) COM CAL (TEOR DE 4%) - EXCLUSIVE SOLO, ESCAVAÇÃO, CARGA E TRANSPORTE.</v>
      </c>
      <c r="G496" s="44" t="str">
        <f>ORÇAMENTO!E282</f>
        <v>M³</v>
      </c>
      <c r="H496" s="44">
        <f>ORÇAMENTO!F282</f>
        <v>601.09999999999991</v>
      </c>
      <c r="I496" s="44">
        <f>ORÇAMENTO!G282</f>
        <v>15.45</v>
      </c>
      <c r="J496" s="44">
        <f>ORÇAMENTO!H282</f>
        <v>0.2122</v>
      </c>
      <c r="K496" s="44">
        <f>ORÇAMENTO!I282</f>
        <v>18.73</v>
      </c>
      <c r="L496" s="44">
        <f>ORÇAMENTO!J282</f>
        <v>11258.6</v>
      </c>
      <c r="M496" s="23">
        <f>ORÇAMENTO!K282</f>
        <v>3.9802525440295203E-4</v>
      </c>
      <c r="N496" s="23" t="str">
        <f t="shared" si="29"/>
        <v>OK!</v>
      </c>
      <c r="O496" s="23" t="str">
        <f t="shared" si="30"/>
        <v>OK!</v>
      </c>
      <c r="P496" s="23" t="str">
        <f t="shared" si="31"/>
        <v>OK!</v>
      </c>
    </row>
    <row r="497" spans="2:16" ht="43.5" x14ac:dyDescent="0.35">
      <c r="B497" s="43">
        <f t="shared" si="28"/>
        <v>86</v>
      </c>
      <c r="C497" s="44" t="str">
        <f>ORÇAMENTO!A315</f>
        <v>4.4.11</v>
      </c>
      <c r="D497" s="44" t="str">
        <f>ORÇAMENTO!B315</f>
        <v xml:space="preserve"> 96390 M </v>
      </c>
      <c r="E497" s="44" t="str">
        <f>ORÇAMENTO!C315</f>
        <v>PRÓPRIO</v>
      </c>
      <c r="F497" s="480" t="str">
        <f>ORÇAMENTO!D315</f>
        <v>EXECUÇÃO E COMPACTAÇÃO DE BASE E OU SUB BASE PARA PAVIMENTAÇÃO DE SOLO (PREDOMINANTEMENTE ARENOSO) COM CAL (TEOR DE 4%) - EXCLUSIVE SOLO, ESCAVAÇÃO, CARGA E TRANSPORTE.</v>
      </c>
      <c r="G497" s="44" t="str">
        <f>ORÇAMENTO!E315</f>
        <v>M³</v>
      </c>
      <c r="H497" s="44">
        <f>ORÇAMENTO!F315</f>
        <v>3.5487079934123029</v>
      </c>
      <c r="I497" s="44">
        <f>ORÇAMENTO!G315</f>
        <v>15.45</v>
      </c>
      <c r="J497" s="44">
        <f>ORÇAMENTO!H315</f>
        <v>0.2122</v>
      </c>
      <c r="K497" s="44">
        <f>ORÇAMENTO!I315</f>
        <v>18.73</v>
      </c>
      <c r="L497" s="44">
        <f>ORÇAMENTO!J315</f>
        <v>66.459999999999994</v>
      </c>
      <c r="M497" s="23">
        <f>ORÇAMENTO!K315</f>
        <v>2.3495601946618751E-6</v>
      </c>
      <c r="N497" s="23" t="str">
        <f t="shared" si="29"/>
        <v>OK!</v>
      </c>
      <c r="O497" s="23" t="str">
        <f t="shared" si="30"/>
        <v>OK!</v>
      </c>
      <c r="P497" s="23" t="str">
        <f t="shared" si="31"/>
        <v>OK!</v>
      </c>
    </row>
    <row r="498" spans="2:16" ht="43.5" x14ac:dyDescent="0.35">
      <c r="B498" s="43">
        <f t="shared" si="28"/>
        <v>86</v>
      </c>
      <c r="C498" s="44" t="str">
        <f>ORÇAMENTO!A409</f>
        <v>5.1.2.4.3</v>
      </c>
      <c r="D498" s="44" t="str">
        <f>ORÇAMENTO!B409</f>
        <v xml:space="preserve"> 96390 M </v>
      </c>
      <c r="E498" s="44" t="str">
        <f>ORÇAMENTO!C409</f>
        <v>PRÓPRIO</v>
      </c>
      <c r="F498" s="480" t="str">
        <f>ORÇAMENTO!D409</f>
        <v>EXECUÇÃO E COMPACTAÇÃO DE BASE E OU SUB BASE PARA PAVIMENTAÇÃO DE SOLO (PREDOMINANTEMENTE ARENOSO) COM CAL (TEOR DE 4%) - EXCLUSIVE SOLO, ESCAVAÇÃO, CARGA E TRANSPORTE.</v>
      </c>
      <c r="G498" s="44" t="str">
        <f>ORÇAMENTO!E409</f>
        <v>M³</v>
      </c>
      <c r="H498" s="44">
        <f>ORÇAMENTO!F409</f>
        <v>486.97635000000002</v>
      </c>
      <c r="I498" s="44">
        <f>ORÇAMENTO!G409</f>
        <v>15.45</v>
      </c>
      <c r="J498" s="44">
        <f>ORÇAMENTO!H409</f>
        <v>0.2122</v>
      </c>
      <c r="K498" s="44">
        <f>ORÇAMENTO!I409</f>
        <v>18.73</v>
      </c>
      <c r="L498" s="44">
        <f>ORÇAMENTO!J409</f>
        <v>9121.06</v>
      </c>
      <c r="M498" s="23">
        <f>ORÇAMENTO!K409</f>
        <v>3.2245680874394588E-4</v>
      </c>
      <c r="N498" s="23" t="str">
        <f t="shared" si="29"/>
        <v>OK!</v>
      </c>
      <c r="O498" s="23" t="str">
        <f t="shared" si="30"/>
        <v>OK!</v>
      </c>
      <c r="P498" s="23" t="str">
        <f t="shared" si="31"/>
        <v>OK!</v>
      </c>
    </row>
    <row r="499" spans="2:16" ht="43.5" x14ac:dyDescent="0.35">
      <c r="B499" s="43">
        <f t="shared" si="28"/>
        <v>86</v>
      </c>
      <c r="C499" s="44" t="str">
        <f>ORÇAMENTO!A476</f>
        <v>5.1.2.6.32</v>
      </c>
      <c r="D499" s="44" t="str">
        <f>ORÇAMENTO!B476</f>
        <v xml:space="preserve"> 96390 M </v>
      </c>
      <c r="E499" s="44" t="str">
        <f>ORÇAMENTO!C476</f>
        <v>PRÓPRIO</v>
      </c>
      <c r="F499" s="480" t="str">
        <f>ORÇAMENTO!D476</f>
        <v>EXECUÇÃO E COMPACTAÇÃO DE BASE E OU SUB BASE PARA PAVIMENTAÇÃO DE SOLO (PREDOMINANTEMENTE ARENOSO) COM CAL (TEOR DE 4%) - EXCLUSIVE SOLO, ESCAVAÇÃO, CARGA E TRANSPORTE.</v>
      </c>
      <c r="G499" s="44" t="str">
        <f>ORÇAMENTO!E476</f>
        <v>M³</v>
      </c>
      <c r="H499" s="44">
        <f>ORÇAMENTO!F476</f>
        <v>22.51</v>
      </c>
      <c r="I499" s="44">
        <f>ORÇAMENTO!G476</f>
        <v>15.45</v>
      </c>
      <c r="J499" s="44">
        <f>ORÇAMENTO!H476</f>
        <v>0.2122</v>
      </c>
      <c r="K499" s="44">
        <f>ORÇAMENTO!I476</f>
        <v>18.73</v>
      </c>
      <c r="L499" s="44">
        <f>ORÇAMENTO!J476</f>
        <v>421.61</v>
      </c>
      <c r="M499" s="23">
        <f>ORÇAMENTO!K476</f>
        <v>1.4905177154249072E-5</v>
      </c>
      <c r="N499" s="23" t="str">
        <f t="shared" si="29"/>
        <v>OK!</v>
      </c>
      <c r="O499" s="23" t="str">
        <f t="shared" si="30"/>
        <v>OK!</v>
      </c>
      <c r="P499" s="23" t="str">
        <f t="shared" si="31"/>
        <v>OK!</v>
      </c>
    </row>
    <row r="500" spans="2:16" ht="43.5" x14ac:dyDescent="0.35">
      <c r="B500" s="43">
        <f t="shared" si="28"/>
        <v>86</v>
      </c>
      <c r="C500" s="44" t="str">
        <f>ORÇAMENTO!A528</f>
        <v>5.4.11</v>
      </c>
      <c r="D500" s="44" t="str">
        <f>ORÇAMENTO!B528</f>
        <v xml:space="preserve"> 96390 M </v>
      </c>
      <c r="E500" s="44" t="str">
        <f>ORÇAMENTO!C528</f>
        <v>PRÓPRIO</v>
      </c>
      <c r="F500" s="480" t="str">
        <f>ORÇAMENTO!D528</f>
        <v>EXECUÇÃO E COMPACTAÇÃO DE BASE E OU SUB BASE PARA PAVIMENTAÇÃO DE SOLO (PREDOMINANTEMENTE ARENOSO) COM CAL (TEOR DE 4%) - EXCLUSIVE SOLO, ESCAVAÇÃO, CARGA E TRANSPORTE.</v>
      </c>
      <c r="G500" s="44" t="str">
        <f>ORÇAMENTO!E528</f>
        <v>M³</v>
      </c>
      <c r="H500" s="44">
        <f>ORÇAMENTO!F528</f>
        <v>1.4490557639766901</v>
      </c>
      <c r="I500" s="44">
        <f>ORÇAMENTO!G528</f>
        <v>15.45</v>
      </c>
      <c r="J500" s="44">
        <f>ORÇAMENTO!H528</f>
        <v>0.2122</v>
      </c>
      <c r="K500" s="44">
        <f>ORÇAMENTO!I528</f>
        <v>18.73</v>
      </c>
      <c r="L500" s="44">
        <f>ORÇAMENTO!J528</f>
        <v>27.14</v>
      </c>
      <c r="M500" s="23">
        <f>ORÇAMENTO!K528</f>
        <v>9.5948034431422354E-7</v>
      </c>
      <c r="N500" s="23" t="str">
        <f t="shared" si="29"/>
        <v>OK!</v>
      </c>
      <c r="O500" s="23" t="str">
        <f t="shared" si="30"/>
        <v>OK!</v>
      </c>
      <c r="P500" s="23" t="str">
        <f t="shared" si="31"/>
        <v>OK!</v>
      </c>
    </row>
    <row r="501" spans="2:16" ht="43.5" x14ac:dyDescent="0.35">
      <c r="B501" s="43">
        <f t="shared" si="28"/>
        <v>86</v>
      </c>
      <c r="C501" s="44" t="str">
        <f>ORÇAMENTO!A621</f>
        <v>6.1.2.4.3</v>
      </c>
      <c r="D501" s="44" t="str">
        <f>ORÇAMENTO!B621</f>
        <v xml:space="preserve"> 96390 M </v>
      </c>
      <c r="E501" s="44" t="str">
        <f>ORÇAMENTO!C621</f>
        <v>PRÓPRIO</v>
      </c>
      <c r="F501" s="480" t="str">
        <f>ORÇAMENTO!D621</f>
        <v>EXECUÇÃO E COMPACTAÇÃO DE BASE E OU SUB BASE PARA PAVIMENTAÇÃO DE SOLO (PREDOMINANTEMENTE ARENOSO) COM CAL (TEOR DE 4%) - EXCLUSIVE SOLO, ESCAVAÇÃO, CARGA E TRANSPORTE.</v>
      </c>
      <c r="G501" s="44" t="str">
        <f>ORÇAMENTO!E621</f>
        <v>M³</v>
      </c>
      <c r="H501" s="44">
        <f>ORÇAMENTO!F621</f>
        <v>156.33686918103427</v>
      </c>
      <c r="I501" s="44">
        <f>ORÇAMENTO!G621</f>
        <v>15.45</v>
      </c>
      <c r="J501" s="44">
        <f>ORÇAMENTO!H621</f>
        <v>0.2122</v>
      </c>
      <c r="K501" s="44">
        <f>ORÇAMENTO!I621</f>
        <v>18.73</v>
      </c>
      <c r="L501" s="44">
        <f>ORÇAMENTO!J621</f>
        <v>2928.18</v>
      </c>
      <c r="M501" s="23">
        <f>ORÇAMENTO!K621</f>
        <v>1.0351993937413497E-4</v>
      </c>
      <c r="N501" s="23" t="str">
        <f t="shared" si="29"/>
        <v>OK!</v>
      </c>
      <c r="O501" s="23" t="str">
        <f t="shared" si="30"/>
        <v>OK!</v>
      </c>
      <c r="P501" s="23" t="str">
        <f t="shared" si="31"/>
        <v>OK!</v>
      </c>
    </row>
    <row r="502" spans="2:16" ht="43.5" x14ac:dyDescent="0.35">
      <c r="B502" s="43">
        <f t="shared" si="28"/>
        <v>86</v>
      </c>
      <c r="C502" s="44" t="str">
        <f>ORÇAMENTO!A671</f>
        <v>6.1.2.6.24</v>
      </c>
      <c r="D502" s="44" t="str">
        <f>ORÇAMENTO!B671</f>
        <v xml:space="preserve"> 96390 M </v>
      </c>
      <c r="E502" s="44" t="str">
        <f>ORÇAMENTO!C671</f>
        <v>PRÓPRIO</v>
      </c>
      <c r="F502" s="480" t="str">
        <f>ORÇAMENTO!D671</f>
        <v>EXECUÇÃO E COMPACTAÇÃO DE BASE E OU SUB BASE PARA PAVIMENTAÇÃO DE SOLO (PREDOMINANTEMENTE ARENOSO) COM CAL (TEOR DE 4%) - EXCLUSIVE SOLO, ESCAVAÇÃO, CARGA E TRANSPORTE.</v>
      </c>
      <c r="G502" s="44" t="str">
        <f>ORÇAMENTO!E671</f>
        <v>M³</v>
      </c>
      <c r="H502" s="44">
        <f>ORÇAMENTO!F671</f>
        <v>7.12</v>
      </c>
      <c r="I502" s="44">
        <f>ORÇAMENTO!G671</f>
        <v>15.45</v>
      </c>
      <c r="J502" s="44">
        <f>ORÇAMENTO!H671</f>
        <v>0.2122</v>
      </c>
      <c r="K502" s="44">
        <f>ORÇAMENTO!I671</f>
        <v>18.73</v>
      </c>
      <c r="L502" s="44">
        <f>ORÇAMENTO!J671</f>
        <v>133.35</v>
      </c>
      <c r="M502" s="23">
        <f>ORÇAMENTO!K671</f>
        <v>4.7143221781246025E-6</v>
      </c>
      <c r="N502" s="23" t="str">
        <f t="shared" si="29"/>
        <v>OK!</v>
      </c>
      <c r="O502" s="23" t="str">
        <f t="shared" si="30"/>
        <v>OK!</v>
      </c>
      <c r="P502" s="23" t="str">
        <f t="shared" si="31"/>
        <v>OK!</v>
      </c>
    </row>
    <row r="503" spans="2:16" ht="43.5" x14ac:dyDescent="0.35">
      <c r="B503" s="43">
        <f t="shared" si="28"/>
        <v>86</v>
      </c>
      <c r="C503" s="44" t="str">
        <f>ORÇAMENTO!A720</f>
        <v>6.4.10</v>
      </c>
      <c r="D503" s="44" t="str">
        <f>ORÇAMENTO!B720</f>
        <v xml:space="preserve"> 96390 M </v>
      </c>
      <c r="E503" s="44" t="str">
        <f>ORÇAMENTO!C720</f>
        <v>PRÓPRIO</v>
      </c>
      <c r="F503" s="480" t="str">
        <f>ORÇAMENTO!D720</f>
        <v>EXECUÇÃO E COMPACTAÇÃO DE BASE E OU SUB BASE PARA PAVIMENTAÇÃO DE SOLO (PREDOMINANTEMENTE ARENOSO) COM CAL (TEOR DE 4%) - EXCLUSIVE SOLO, ESCAVAÇÃO, CARGA E TRANSPORTE.</v>
      </c>
      <c r="G503" s="44" t="str">
        <f>ORÇAMENTO!E720</f>
        <v>M³</v>
      </c>
      <c r="H503" s="44">
        <f>ORÇAMENTO!F720</f>
        <v>0.82803186512953841</v>
      </c>
      <c r="I503" s="44">
        <f>ORÇAMENTO!G720</f>
        <v>15.45</v>
      </c>
      <c r="J503" s="44">
        <f>ORÇAMENTO!H720</f>
        <v>0.2122</v>
      </c>
      <c r="K503" s="44">
        <f>ORÇAMENTO!I720</f>
        <v>18.73</v>
      </c>
      <c r="L503" s="44">
        <f>ORÇAMENTO!J720</f>
        <v>15.5</v>
      </c>
      <c r="M503" s="23">
        <f>ORÇAMENTO!K720</f>
        <v>5.4797145677488818E-7</v>
      </c>
      <c r="N503" s="23" t="str">
        <f t="shared" si="29"/>
        <v>OK!</v>
      </c>
      <c r="O503" s="23" t="str">
        <f t="shared" si="30"/>
        <v>OK!</v>
      </c>
      <c r="P503" s="23" t="str">
        <f t="shared" si="31"/>
        <v>OK!</v>
      </c>
    </row>
    <row r="504" spans="2:16" ht="43.5" x14ac:dyDescent="0.35">
      <c r="B504" s="43">
        <f t="shared" si="28"/>
        <v>86</v>
      </c>
      <c r="C504" s="44" t="str">
        <f>ORÇAMENTO!A818</f>
        <v>7.1.2.4.3</v>
      </c>
      <c r="D504" s="44" t="str">
        <f>ORÇAMENTO!B818</f>
        <v xml:space="preserve"> 96390 M </v>
      </c>
      <c r="E504" s="44" t="str">
        <f>ORÇAMENTO!C818</f>
        <v>PRÓPRIO</v>
      </c>
      <c r="F504" s="480" t="str">
        <f>ORÇAMENTO!D818</f>
        <v>EXECUÇÃO E COMPACTAÇÃO DE BASE E OU SUB BASE PARA PAVIMENTAÇÃO DE SOLO (PREDOMINANTEMENTE ARENOSO) COM CAL (TEOR DE 4%) - EXCLUSIVE SOLO, ESCAVAÇÃO, CARGA E TRANSPORTE.</v>
      </c>
      <c r="G504" s="44" t="str">
        <f>ORÇAMENTO!E818</f>
        <v>M³</v>
      </c>
      <c r="H504" s="44">
        <f>ORÇAMENTO!F818</f>
        <v>544.78920000000005</v>
      </c>
      <c r="I504" s="44">
        <f>ORÇAMENTO!G818</f>
        <v>15.45</v>
      </c>
      <c r="J504" s="44">
        <f>ORÇAMENTO!H818</f>
        <v>0.2122</v>
      </c>
      <c r="K504" s="44">
        <f>ORÇAMENTO!I818</f>
        <v>18.73</v>
      </c>
      <c r="L504" s="44">
        <f>ORÇAMENTO!J818</f>
        <v>10203.9</v>
      </c>
      <c r="M504" s="23">
        <f>ORÇAMENTO!K818</f>
        <v>3.607384482442117E-4</v>
      </c>
      <c r="N504" s="23" t="str">
        <f t="shared" si="29"/>
        <v>OK!</v>
      </c>
      <c r="O504" s="23" t="str">
        <f t="shared" si="30"/>
        <v>OK!</v>
      </c>
      <c r="P504" s="23" t="str">
        <f t="shared" si="31"/>
        <v>OK!</v>
      </c>
    </row>
    <row r="505" spans="2:16" ht="43.5" x14ac:dyDescent="0.35">
      <c r="B505" s="43">
        <f t="shared" si="28"/>
        <v>86</v>
      </c>
      <c r="C505" s="44" t="str">
        <f>ORÇAMENTO!A884</f>
        <v>7.1.2.6.31</v>
      </c>
      <c r="D505" s="44" t="str">
        <f>ORÇAMENTO!B884</f>
        <v xml:space="preserve"> 96390 M </v>
      </c>
      <c r="E505" s="44" t="str">
        <f>ORÇAMENTO!C884</f>
        <v>PRÓPRIO</v>
      </c>
      <c r="F505" s="480" t="str">
        <f>ORÇAMENTO!D884</f>
        <v>EXECUÇÃO E COMPACTAÇÃO DE BASE E OU SUB BASE PARA PAVIMENTAÇÃO DE SOLO (PREDOMINANTEMENTE ARENOSO) COM CAL (TEOR DE 4%) - EXCLUSIVE SOLO, ESCAVAÇÃO, CARGA E TRANSPORTE.</v>
      </c>
      <c r="G505" s="44" t="str">
        <f>ORÇAMENTO!E884</f>
        <v>M³</v>
      </c>
      <c r="H505" s="44">
        <f>ORÇAMENTO!F884</f>
        <v>41.48</v>
      </c>
      <c r="I505" s="44">
        <f>ORÇAMENTO!G884</f>
        <v>15.45</v>
      </c>
      <c r="J505" s="44">
        <f>ORÇAMENTO!H884</f>
        <v>0.2122</v>
      </c>
      <c r="K505" s="44">
        <f>ORÇAMENTO!I884</f>
        <v>18.73</v>
      </c>
      <c r="L505" s="44">
        <f>ORÇAMENTO!J884</f>
        <v>776.92</v>
      </c>
      <c r="M505" s="23">
        <f>ORÇAMENTO!K884</f>
        <v>2.7466450593390072E-5</v>
      </c>
      <c r="N505" s="23" t="str">
        <f t="shared" si="29"/>
        <v>OK!</v>
      </c>
      <c r="O505" s="23" t="str">
        <f t="shared" si="30"/>
        <v>OK!</v>
      </c>
      <c r="P505" s="23" t="str">
        <f t="shared" si="31"/>
        <v>OK!</v>
      </c>
    </row>
    <row r="506" spans="2:16" ht="43.5" x14ac:dyDescent="0.35">
      <c r="B506" s="43">
        <f t="shared" si="28"/>
        <v>86</v>
      </c>
      <c r="C506" s="44" t="str">
        <f>ORÇAMENTO!A942</f>
        <v>7.4.10</v>
      </c>
      <c r="D506" s="44" t="str">
        <f>ORÇAMENTO!B942</f>
        <v xml:space="preserve"> 96390 M </v>
      </c>
      <c r="E506" s="44" t="str">
        <f>ORÇAMENTO!C942</f>
        <v>PRÓPRIO</v>
      </c>
      <c r="F506" s="636" t="str">
        <f>ORÇAMENTO!D942</f>
        <v>EXECUÇÃO E COMPACTAÇÃO DE BASE E OU SUB BASE PARA PAVIMENTAÇÃO DE SOLO (PREDOMINANTEMENTE ARENOSO) COM CAL (TEOR DE 4%) - EXCLUSIVE SOLO, ESCAVAÇÃO, CARGA E TRANSPORTE.</v>
      </c>
      <c r="G506" s="44" t="str">
        <f>ORÇAMENTO!E942</f>
        <v>M³</v>
      </c>
      <c r="H506" s="44">
        <f>ORÇAMENTO!F942</f>
        <v>1.3307654975296135</v>
      </c>
      <c r="I506" s="44">
        <f>ORÇAMENTO!G942</f>
        <v>15.45</v>
      </c>
      <c r="J506" s="44">
        <f>ORÇAMENTO!H942</f>
        <v>0.2122</v>
      </c>
      <c r="K506" s="44">
        <f>ORÇAMENTO!I942</f>
        <v>18.73</v>
      </c>
      <c r="L506" s="638">
        <f>ORÇAMENTO!J942</f>
        <v>24.92</v>
      </c>
      <c r="M506" s="23">
        <f>ORÇAMENTO!K942</f>
        <v>8.8099669050517519E-7</v>
      </c>
      <c r="N506" s="23" t="str">
        <f t="shared" si="29"/>
        <v>OK!</v>
      </c>
      <c r="O506" s="23" t="str">
        <f t="shared" si="30"/>
        <v>OK!</v>
      </c>
      <c r="P506" s="23" t="str">
        <f t="shared" si="31"/>
        <v>OK!</v>
      </c>
    </row>
    <row r="507" spans="2:16" ht="43.5" x14ac:dyDescent="0.35">
      <c r="B507" s="43">
        <f t="shared" si="28"/>
        <v>86</v>
      </c>
      <c r="C507" s="44" t="str">
        <f>ORÇAMENTO!A971</f>
        <v>7.5.4.3</v>
      </c>
      <c r="D507" s="44" t="str">
        <f>ORÇAMENTO!B971</f>
        <v xml:space="preserve"> 96390 M </v>
      </c>
      <c r="E507" s="44" t="str">
        <f>ORÇAMENTO!C971</f>
        <v>PRÓPRIO</v>
      </c>
      <c r="F507" s="636" t="str">
        <f>ORÇAMENTO!D971</f>
        <v>EXECUÇÃO E COMPACTAÇÃO DE BASE E OU SUB BASE PARA PAVIMENTAÇÃO DE SOLO (PREDOMINANTEMENTE ARENOSO) COM CAL (TEOR DE 4%) - EXCLUSIVE SOLO, ESCAVAÇÃO, CARGA E TRANSPORTE.</v>
      </c>
      <c r="G507" s="44" t="str">
        <f>ORÇAMENTO!E971</f>
        <v>M³</v>
      </c>
      <c r="H507" s="44">
        <f>ORÇAMENTO!F971</f>
        <v>850.18000000000006</v>
      </c>
      <c r="I507" s="44">
        <f>ORÇAMENTO!G971</f>
        <v>15.45</v>
      </c>
      <c r="J507" s="44">
        <f>ORÇAMENTO!H971</f>
        <v>0.2122</v>
      </c>
      <c r="K507" s="44">
        <f>ORÇAMENTO!I971</f>
        <v>18.73</v>
      </c>
      <c r="L507" s="638">
        <f>ORÇAMENTO!J971</f>
        <v>15923.87</v>
      </c>
      <c r="M507" s="23">
        <f>ORÇAMENTO!K971</f>
        <v>5.6295653170283474E-4</v>
      </c>
      <c r="N507" s="23" t="str">
        <f t="shared" si="29"/>
        <v>OK!</v>
      </c>
      <c r="O507" s="23" t="str">
        <f t="shared" si="30"/>
        <v>OK!</v>
      </c>
      <c r="P507" s="23" t="str">
        <f t="shared" si="31"/>
        <v>OK!</v>
      </c>
    </row>
    <row r="508" spans="2:16" ht="58" x14ac:dyDescent="0.35">
      <c r="B508" s="43">
        <f t="shared" si="28"/>
        <v>87</v>
      </c>
      <c r="C508" s="44" t="str">
        <f>ORÇAMENTO!A278</f>
        <v>4.2.3.1</v>
      </c>
      <c r="D508" s="44" t="str">
        <f>ORÇAMENTO!B278</f>
        <v xml:space="preserve"> 96385 </v>
      </c>
      <c r="E508" s="44" t="str">
        <f>ORÇAMENTO!C278</f>
        <v>SINAPI</v>
      </c>
      <c r="F508" s="480" t="str">
        <f>ORÇAMENTO!D278</f>
        <v>EXECUÇÃO E COMPACTAÇÃO DE CORPO DE ATERRO DE ATERRO (95% DE ENERGIA DO PROCTOR NORMAL) COM SOLO PREDOMINANTEMENTE ARGILOSO ESPESSURA 15 CM - EXCLUSIVE MATERIAL, ESCAVAÇÃO, CARGA E TRANSPORTE. AF_09/2024</v>
      </c>
      <c r="G508" s="44" t="str">
        <f>ORÇAMENTO!E278</f>
        <v>M³</v>
      </c>
      <c r="H508" s="44">
        <f>ORÇAMENTO!F278</f>
        <v>26.21</v>
      </c>
      <c r="I508" s="44">
        <f>ORÇAMENTO!G278</f>
        <v>12.17</v>
      </c>
      <c r="J508" s="44">
        <f>ORÇAMENTO!H278</f>
        <v>0.2122</v>
      </c>
      <c r="K508" s="44">
        <f>ORÇAMENTO!I278</f>
        <v>14.75</v>
      </c>
      <c r="L508" s="44">
        <f>ORÇAMENTO!J278</f>
        <v>386.59</v>
      </c>
      <c r="M508" s="23">
        <f>ORÇAMENTO!K278</f>
        <v>1.3667115191909937E-5</v>
      </c>
      <c r="N508" s="23" t="str">
        <f t="shared" si="29"/>
        <v>DIFERENTE</v>
      </c>
      <c r="O508" s="23" t="str">
        <f t="shared" si="30"/>
        <v>DIFERENTE</v>
      </c>
      <c r="P508" s="23" t="str">
        <f t="shared" si="31"/>
        <v>DIFERENTE</v>
      </c>
    </row>
    <row r="509" spans="2:16" ht="58" x14ac:dyDescent="0.35">
      <c r="B509" s="43">
        <f t="shared" si="28"/>
        <v>87</v>
      </c>
      <c r="C509" s="44" t="str">
        <f>ORÇAMENTO!A967</f>
        <v>7.5.3.1</v>
      </c>
      <c r="D509" s="44" t="str">
        <f>ORÇAMENTO!B967</f>
        <v xml:space="preserve"> 96385 </v>
      </c>
      <c r="E509" s="44" t="str">
        <f>ORÇAMENTO!C967</f>
        <v>SINAPI</v>
      </c>
      <c r="F509" s="636" t="str">
        <f>ORÇAMENTO!D967</f>
        <v>EXECUÇÃO E COMPACTAÇÃO DE CORPO DE ATERRO DE ATERRO (95% DE ENERGIA DO PROCTOR NORMAL) COM SOLO PREDOMINANTEMENTE ARGILOSO ESPESSURA 15 CM - EXCLUSIVE MATERIAL, ESCAVAÇÃO, CARGA E TRANSPORTE. AF_09/2024</v>
      </c>
      <c r="G509" s="44" t="str">
        <f>ORÇAMENTO!E967</f>
        <v>M³</v>
      </c>
      <c r="H509" s="44">
        <f>ORÇAMENTO!F967</f>
        <v>92.51</v>
      </c>
      <c r="I509" s="44">
        <f>ORÇAMENTO!G967</f>
        <v>12.17</v>
      </c>
      <c r="J509" s="44">
        <f>ORÇAMENTO!H967</f>
        <v>0.2122</v>
      </c>
      <c r="K509" s="44">
        <f>ORÇAMENTO!I967</f>
        <v>14.75</v>
      </c>
      <c r="L509" s="638">
        <f>ORÇAMENTO!J967</f>
        <v>1364.52</v>
      </c>
      <c r="M509" s="23">
        <f>ORÇAMENTO!K967</f>
        <v>4.8239871754740027E-5</v>
      </c>
      <c r="N509" s="23" t="str">
        <f t="shared" si="29"/>
        <v>OK!</v>
      </c>
      <c r="O509" s="23" t="str">
        <f t="shared" si="30"/>
        <v>OK!</v>
      </c>
      <c r="P509" s="23" t="str">
        <f t="shared" si="31"/>
        <v>OK!</v>
      </c>
    </row>
    <row r="510" spans="2:16" ht="58" x14ac:dyDescent="0.35">
      <c r="B510" s="43">
        <f t="shared" si="28"/>
        <v>87</v>
      </c>
      <c r="C510" s="44" t="str">
        <f>ORÇAMENTO!A1000</f>
        <v xml:space="preserve"> 8.3.1 </v>
      </c>
      <c r="D510" s="44" t="str">
        <f>ORÇAMENTO!B1000</f>
        <v xml:space="preserve"> 96385 </v>
      </c>
      <c r="E510" s="44" t="str">
        <f>ORÇAMENTO!C1000</f>
        <v>SINAPI</v>
      </c>
      <c r="F510" s="636" t="str">
        <f>ORÇAMENTO!D1000</f>
        <v>EXECUÇÃO E COMPACTAÇÃO DE CORPO DE ATERRO DE ATERRO (95% DE ENERGIA DO PROCTOR NORMAL) COM SOLO PREDOMINANTEMENTE ARGILOSO ESPESSURA 15 CM - EXCLUSIVE MATERIAL, ESCAVAÇÃO, CARGA E TRANSPORTE. AF_09/2024</v>
      </c>
      <c r="G510" s="44" t="str">
        <f>ORÇAMENTO!E1000</f>
        <v>M³</v>
      </c>
      <c r="H510" s="44">
        <f>ORÇAMENTO!F1000</f>
        <v>2919.92</v>
      </c>
      <c r="I510" s="44">
        <f>ORÇAMENTO!G1000</f>
        <v>12.17</v>
      </c>
      <c r="J510" s="44">
        <f>ORÇAMENTO!H1000</f>
        <v>0.2122</v>
      </c>
      <c r="K510" s="44">
        <f>ORÇAMENTO!I1000</f>
        <v>14.75</v>
      </c>
      <c r="L510" s="638">
        <f>ORÇAMENTO!J1000</f>
        <v>43068.82</v>
      </c>
      <c r="M510" s="23">
        <f>ORÇAMENTO!K1000</f>
        <v>1.5226118733532542E-3</v>
      </c>
      <c r="N510" s="23" t="str">
        <f t="shared" si="29"/>
        <v>OK!</v>
      </c>
      <c r="O510" s="23" t="str">
        <f t="shared" si="30"/>
        <v>OK!</v>
      </c>
      <c r="P510" s="23" t="str">
        <f t="shared" si="31"/>
        <v>OK!</v>
      </c>
    </row>
    <row r="511" spans="2:16" ht="43.5" x14ac:dyDescent="0.35">
      <c r="B511" s="43">
        <f t="shared" si="28"/>
        <v>88</v>
      </c>
      <c r="C511" s="44" t="str">
        <f>ORÇAMENTO!A920</f>
        <v>7.1.2.8.6</v>
      </c>
      <c r="D511" s="44" t="str">
        <f>ORÇAMENTO!B920</f>
        <v xml:space="preserve"> 102727 </v>
      </c>
      <c r="E511" s="44" t="str">
        <f>ORÇAMENTO!C920</f>
        <v>SINAPI</v>
      </c>
      <c r="F511" s="480" t="str">
        <f>ORÇAMENTO!D920</f>
        <v>FABRICAÇÃO, MONTAGEM E DESMONTAGEM DE FÔRMA PARA BOCA PARA BUEIRO, EM CHAPA DE MADEIRA COMPENSADA RESINADA, E = 17 MM, 2 UTILIZAÇÕES. AF_07/2021</v>
      </c>
      <c r="G511" s="44" t="str">
        <f>ORÇAMENTO!E920</f>
        <v>M²</v>
      </c>
      <c r="H511" s="44">
        <f>ORÇAMENTO!F920</f>
        <v>4199.21</v>
      </c>
      <c r="I511" s="44">
        <f>ORÇAMENTO!G920</f>
        <v>94.68</v>
      </c>
      <c r="J511" s="44">
        <f>ORÇAMENTO!H920</f>
        <v>0.2122</v>
      </c>
      <c r="K511" s="44">
        <f>ORÇAMENTO!I920</f>
        <v>114.77</v>
      </c>
      <c r="L511" s="44">
        <f>ORÇAMENTO!J920</f>
        <v>481943.33</v>
      </c>
      <c r="M511" s="23">
        <f>ORÇAMENTO!K920</f>
        <v>1.7038141201486497E-2</v>
      </c>
      <c r="N511" s="23" t="str">
        <f t="shared" si="29"/>
        <v>DIFERENTE</v>
      </c>
      <c r="O511" s="23" t="str">
        <f t="shared" si="30"/>
        <v>DIFERENTE</v>
      </c>
      <c r="P511" s="23" t="str">
        <f t="shared" si="31"/>
        <v>DIFERENTE</v>
      </c>
    </row>
    <row r="512" spans="2:16" ht="29" x14ac:dyDescent="0.35">
      <c r="B512" s="43">
        <f t="shared" si="28"/>
        <v>89</v>
      </c>
      <c r="C512" s="44" t="str">
        <f>ORÇAMENTO!A246</f>
        <v>4.1.2.6.44</v>
      </c>
      <c r="D512" s="44" t="str">
        <f>ORÇAMENTO!B246</f>
        <v xml:space="preserve"> 3108000 </v>
      </c>
      <c r="E512" s="44" t="str">
        <f>ORÇAMENTO!C246</f>
        <v>SICRO3</v>
      </c>
      <c r="F512" s="480" t="str">
        <f>ORÇAMENTO!D246</f>
        <v>FÔRMAS DE COMPENSADO RESINADO 12 MM - USO GERAL - UTILIZAÇÃO DE 2 VEZES - CONFECÇÃO, INSTALAÇÃO E RETIRADA</v>
      </c>
      <c r="G512" s="44" t="str">
        <f>ORÇAMENTO!E246</f>
        <v>M²</v>
      </c>
      <c r="H512" s="44">
        <f>ORÇAMENTO!F246</f>
        <v>1008.42</v>
      </c>
      <c r="I512" s="44">
        <f>ORÇAMENTO!G246</f>
        <v>93.65</v>
      </c>
      <c r="J512" s="44">
        <f>ORÇAMENTO!H246</f>
        <v>0.2122</v>
      </c>
      <c r="K512" s="44">
        <f>ORÇAMENTO!I246</f>
        <v>113.52</v>
      </c>
      <c r="L512" s="44">
        <f>ORÇAMENTO!J246</f>
        <v>114475.83</v>
      </c>
      <c r="M512" s="23">
        <f>ORÇAMENTO!K246</f>
        <v>4.0470636987493197E-3</v>
      </c>
      <c r="N512" s="23" t="str">
        <f t="shared" si="29"/>
        <v>DIFERENTE</v>
      </c>
      <c r="O512" s="23" t="str">
        <f t="shared" si="30"/>
        <v>DIFERENTE</v>
      </c>
      <c r="P512" s="23" t="str">
        <f t="shared" si="31"/>
        <v>DIFERENTE</v>
      </c>
    </row>
    <row r="513" spans="2:16" ht="29" x14ac:dyDescent="0.35">
      <c r="B513" s="43">
        <f t="shared" ref="B513:B576" si="32">IF(EXACT(D512,D513),B512,B512+1)</f>
        <v>89</v>
      </c>
      <c r="C513" s="44" t="str">
        <f>ORÇAMENTO!A489</f>
        <v>5.1.2.6.45</v>
      </c>
      <c r="D513" s="44" t="str">
        <f>ORÇAMENTO!B489</f>
        <v xml:space="preserve"> 3108000 </v>
      </c>
      <c r="E513" s="44" t="str">
        <f>ORÇAMENTO!C489</f>
        <v>SICRO3</v>
      </c>
      <c r="F513" s="480" t="str">
        <f>ORÇAMENTO!D489</f>
        <v>FÔRMAS DE COMPENSADO RESINADO 12 MM - USO GERAL - UTILIZAÇÃO DE 2 VEZES - CONFECÇÃO, INSTALAÇÃO E RETIRADA</v>
      </c>
      <c r="G513" s="44" t="str">
        <f>ORÇAMENTO!E489</f>
        <v>M²</v>
      </c>
      <c r="H513" s="44">
        <f>ORÇAMENTO!F489</f>
        <v>1148.94</v>
      </c>
      <c r="I513" s="44">
        <f>ORÇAMENTO!G489</f>
        <v>93.65</v>
      </c>
      <c r="J513" s="44">
        <f>ORÇAMENTO!H489</f>
        <v>0.2122</v>
      </c>
      <c r="K513" s="44">
        <f>ORÇAMENTO!I489</f>
        <v>113.52</v>
      </c>
      <c r="L513" s="44">
        <f>ORÇAMENTO!J489</f>
        <v>130427.66</v>
      </c>
      <c r="M513" s="23">
        <f>ORÇAMENTO!K489</f>
        <v>4.6110087002541817E-3</v>
      </c>
      <c r="N513" s="23" t="str">
        <f t="shared" ref="N513:N576" si="33">IF(F513=F512,IF(G513=G512,"OK!","ERRADO"),"DIFERENTE")</f>
        <v>OK!</v>
      </c>
      <c r="O513" s="23" t="str">
        <f t="shared" ref="O513:O576" si="34">IF(F513=F512,IF(I513=I512,"OK!","ERRADO"),"DIFERENTE")</f>
        <v>OK!</v>
      </c>
      <c r="P513" s="23" t="str">
        <f t="shared" ref="P513:P576" si="35">IF(F513=F512,IF(D513=D512,"OK!","ERRADO"),"DIFERENTE")</f>
        <v>OK!</v>
      </c>
    </row>
    <row r="514" spans="2:16" ht="29" x14ac:dyDescent="0.35">
      <c r="B514" s="43">
        <f t="shared" si="32"/>
        <v>89</v>
      </c>
      <c r="C514" s="44" t="str">
        <f>ORÇAMENTO!A684</f>
        <v>6.1.2.6.37</v>
      </c>
      <c r="D514" s="44" t="str">
        <f>ORÇAMENTO!B684</f>
        <v xml:space="preserve"> 3108000 </v>
      </c>
      <c r="E514" s="44" t="str">
        <f>ORÇAMENTO!C684</f>
        <v>SICRO3</v>
      </c>
      <c r="F514" s="480" t="str">
        <f>ORÇAMENTO!D684</f>
        <v>FÔRMAS DE COMPENSADO RESINADO 12 MM - USO GERAL - UTILIZAÇÃO DE 2 VEZES - CONFECÇÃO, INSTALAÇÃO E RETIRADA</v>
      </c>
      <c r="G514" s="44" t="str">
        <f>ORÇAMENTO!E684</f>
        <v>M²</v>
      </c>
      <c r="H514" s="44">
        <f>ORÇAMENTO!F684</f>
        <v>597.54</v>
      </c>
      <c r="I514" s="44">
        <f>ORÇAMENTO!G684</f>
        <v>93.65</v>
      </c>
      <c r="J514" s="44">
        <f>ORÇAMENTO!H684</f>
        <v>0.2122</v>
      </c>
      <c r="K514" s="44">
        <f>ORÇAMENTO!I684</f>
        <v>113.52</v>
      </c>
      <c r="L514" s="44">
        <f>ORÇAMENTO!J684</f>
        <v>67832.740000000005</v>
      </c>
      <c r="M514" s="23">
        <f>ORÇAMENTO!K684</f>
        <v>2.3980906680536925E-3</v>
      </c>
      <c r="N514" s="23" t="str">
        <f t="shared" si="33"/>
        <v>OK!</v>
      </c>
      <c r="O514" s="23" t="str">
        <f t="shared" si="34"/>
        <v>OK!</v>
      </c>
      <c r="P514" s="23" t="str">
        <f t="shared" si="35"/>
        <v>OK!</v>
      </c>
    </row>
    <row r="515" spans="2:16" ht="29" x14ac:dyDescent="0.35">
      <c r="B515" s="43">
        <f t="shared" si="32"/>
        <v>89</v>
      </c>
      <c r="C515" s="44" t="str">
        <f>ORÇAMENTO!A897</f>
        <v>7.1.2.6.44</v>
      </c>
      <c r="D515" s="44" t="str">
        <f>ORÇAMENTO!B897</f>
        <v xml:space="preserve"> 3108000 </v>
      </c>
      <c r="E515" s="44" t="str">
        <f>ORÇAMENTO!C897</f>
        <v>SICRO3</v>
      </c>
      <c r="F515" s="480" t="str">
        <f>ORÇAMENTO!D897</f>
        <v>FÔRMAS DE COMPENSADO RESINADO 12 MM - USO GERAL - UTILIZAÇÃO DE 2 VEZES - CONFECÇÃO, INSTALAÇÃO E RETIRADA</v>
      </c>
      <c r="G515" s="44" t="str">
        <f>ORÇAMENTO!E897</f>
        <v>M²</v>
      </c>
      <c r="H515" s="44">
        <f>ORÇAMENTO!F897</f>
        <v>1082.8699999999999</v>
      </c>
      <c r="I515" s="44">
        <f>ORÇAMENTO!G897</f>
        <v>93.65</v>
      </c>
      <c r="J515" s="44">
        <f>ORÇAMENTO!H897</f>
        <v>0.2122</v>
      </c>
      <c r="K515" s="44">
        <f>ORÇAMENTO!I897</f>
        <v>113.52</v>
      </c>
      <c r="L515" s="44">
        <f>ORÇAMENTO!J897</f>
        <v>122927.4</v>
      </c>
      <c r="M515" s="23">
        <f>ORÇAMENTO!K897</f>
        <v>4.3458520293902835E-3</v>
      </c>
      <c r="N515" s="23" t="str">
        <f t="shared" si="33"/>
        <v>OK!</v>
      </c>
      <c r="O515" s="23" t="str">
        <f t="shared" si="34"/>
        <v>OK!</v>
      </c>
      <c r="P515" s="23" t="str">
        <f t="shared" si="35"/>
        <v>OK!</v>
      </c>
    </row>
    <row r="516" spans="2:16" ht="29" x14ac:dyDescent="0.35">
      <c r="B516" s="43">
        <f t="shared" si="32"/>
        <v>90</v>
      </c>
      <c r="C516" s="44" t="str">
        <f>ORÇAMENTO!A258</f>
        <v>4.1.2.7.6</v>
      </c>
      <c r="D516" s="44" t="str">
        <f>ORÇAMENTO!B258</f>
        <v xml:space="preserve"> 3103302 </v>
      </c>
      <c r="E516" s="44" t="str">
        <f>ORÇAMENTO!C258</f>
        <v>SICRO3</v>
      </c>
      <c r="F516" s="480" t="str">
        <f>ORÇAMENTO!D258</f>
        <v>FÔRMAS DE TÁBUAS DE PINHO PARA DISPOSITIVOS DE DRENAGEM - UTILIZAÇÃO DE 3 VEZES - CONFECÇÃO, INSTALAÇÃO E RETIRADA</v>
      </c>
      <c r="G516" s="44" t="str">
        <f>ORÇAMENTO!E258</f>
        <v>M²</v>
      </c>
      <c r="H516" s="44">
        <f>ORÇAMENTO!F258</f>
        <v>872.54</v>
      </c>
      <c r="I516" s="44">
        <f>ORÇAMENTO!G258</f>
        <v>77.569999999999993</v>
      </c>
      <c r="J516" s="44">
        <f>ORÇAMENTO!H258</f>
        <v>0.2122</v>
      </c>
      <c r="K516" s="44">
        <f>ORÇAMENTO!I258</f>
        <v>94.03</v>
      </c>
      <c r="L516" s="44">
        <f>ORÇAMENTO!J258</f>
        <v>82044.929999999993</v>
      </c>
      <c r="M516" s="23">
        <f>ORÇAMENTO!K258</f>
        <v>2.9005341814899175E-3</v>
      </c>
      <c r="N516" s="23" t="str">
        <f t="shared" si="33"/>
        <v>DIFERENTE</v>
      </c>
      <c r="O516" s="23" t="str">
        <f t="shared" si="34"/>
        <v>DIFERENTE</v>
      </c>
      <c r="P516" s="23" t="str">
        <f t="shared" si="35"/>
        <v>DIFERENTE</v>
      </c>
    </row>
    <row r="517" spans="2:16" ht="29" x14ac:dyDescent="0.35">
      <c r="B517" s="43">
        <f t="shared" si="32"/>
        <v>90</v>
      </c>
      <c r="C517" s="44" t="str">
        <f>ORÇAMENTO!A501</f>
        <v>5.1.2.7.6</v>
      </c>
      <c r="D517" s="44" t="str">
        <f>ORÇAMENTO!B501</f>
        <v xml:space="preserve"> 3103302 </v>
      </c>
      <c r="E517" s="44" t="str">
        <f>ORÇAMENTO!C501</f>
        <v>SICRO3</v>
      </c>
      <c r="F517" s="480" t="str">
        <f>ORÇAMENTO!D501</f>
        <v>FÔRMAS DE TÁBUAS DE PINHO PARA DISPOSITIVOS DE DRENAGEM - UTILIZAÇÃO DE 3 VEZES - CONFECÇÃO, INSTALAÇÃO E RETIRADA</v>
      </c>
      <c r="G517" s="44" t="str">
        <f>ORÇAMENTO!E501</f>
        <v>M²</v>
      </c>
      <c r="H517" s="44">
        <f>ORÇAMENTO!F501</f>
        <v>1050.3399999999999</v>
      </c>
      <c r="I517" s="44">
        <f>ORÇAMENTO!G501</f>
        <v>77.569999999999993</v>
      </c>
      <c r="J517" s="44">
        <f>ORÇAMENTO!H501</f>
        <v>0.2122</v>
      </c>
      <c r="K517" s="44">
        <f>ORÇAMENTO!I501</f>
        <v>94.03</v>
      </c>
      <c r="L517" s="44">
        <f>ORÇAMENTO!J501</f>
        <v>98763.47</v>
      </c>
      <c r="M517" s="23">
        <f>ORÇAMENTO!K501</f>
        <v>3.491584679486643E-3</v>
      </c>
      <c r="N517" s="23" t="str">
        <f t="shared" si="33"/>
        <v>OK!</v>
      </c>
      <c r="O517" s="23" t="str">
        <f t="shared" si="34"/>
        <v>OK!</v>
      </c>
      <c r="P517" s="23" t="str">
        <f t="shared" si="35"/>
        <v>OK!</v>
      </c>
    </row>
    <row r="518" spans="2:16" ht="29" x14ac:dyDescent="0.35">
      <c r="B518" s="43">
        <f t="shared" si="32"/>
        <v>90</v>
      </c>
      <c r="C518" s="44" t="str">
        <f>ORÇAMENTO!A696</f>
        <v>6.1.2.7.6</v>
      </c>
      <c r="D518" s="44" t="str">
        <f>ORÇAMENTO!B696</f>
        <v xml:space="preserve"> 3103302 </v>
      </c>
      <c r="E518" s="44" t="str">
        <f>ORÇAMENTO!C696</f>
        <v>SICRO3</v>
      </c>
      <c r="F518" s="480" t="str">
        <f>ORÇAMENTO!D696</f>
        <v>FÔRMAS DE TÁBUAS DE PINHO PARA DISPOSITIVOS DE DRENAGEM - UTILIZAÇÃO DE 3 VEZES - CONFECÇÃO, INSTALAÇÃO E RETIRADA</v>
      </c>
      <c r="G518" s="44" t="str">
        <f>ORÇAMENTO!E696</f>
        <v>M²</v>
      </c>
      <c r="H518" s="44">
        <f>ORÇAMENTO!F696</f>
        <v>157.24</v>
      </c>
      <c r="I518" s="44">
        <f>ORÇAMENTO!G696</f>
        <v>77.569999999999993</v>
      </c>
      <c r="J518" s="44">
        <f>ORÇAMENTO!H696</f>
        <v>0.2122</v>
      </c>
      <c r="K518" s="44">
        <f>ORÇAMENTO!I696</f>
        <v>94.03</v>
      </c>
      <c r="L518" s="44">
        <f>ORÇAMENTO!J696</f>
        <v>14785.27</v>
      </c>
      <c r="M518" s="23">
        <f>ORÇAMENTO!K696</f>
        <v>5.2270360907806783E-4</v>
      </c>
      <c r="N518" s="23" t="str">
        <f t="shared" si="33"/>
        <v>OK!</v>
      </c>
      <c r="O518" s="23" t="str">
        <f t="shared" si="34"/>
        <v>OK!</v>
      </c>
      <c r="P518" s="23" t="str">
        <f t="shared" si="35"/>
        <v>OK!</v>
      </c>
    </row>
    <row r="519" spans="2:16" ht="29" x14ac:dyDescent="0.35">
      <c r="B519" s="43">
        <f t="shared" si="32"/>
        <v>90</v>
      </c>
      <c r="C519" s="44" t="str">
        <f>ORÇAMENTO!A909</f>
        <v>7.1.2.7.6</v>
      </c>
      <c r="D519" s="44" t="str">
        <f>ORÇAMENTO!B909</f>
        <v xml:space="preserve"> 3103302 </v>
      </c>
      <c r="E519" s="44" t="str">
        <f>ORÇAMENTO!C909</f>
        <v>SICRO3</v>
      </c>
      <c r="F519" s="480" t="str">
        <f>ORÇAMENTO!D909</f>
        <v>FÔRMAS DE TÁBUAS DE PINHO PARA DISPOSITIVOS DE DRENAGEM - UTILIZAÇÃO DE 3 VEZES - CONFECÇÃO, INSTALAÇÃO E RETIRADA</v>
      </c>
      <c r="G519" s="44" t="str">
        <f>ORÇAMENTO!E909</f>
        <v>M²</v>
      </c>
      <c r="H519" s="44">
        <f>ORÇAMENTO!F909</f>
        <v>1270.72</v>
      </c>
      <c r="I519" s="44">
        <f>ORÇAMENTO!G909</f>
        <v>77.569999999999993</v>
      </c>
      <c r="J519" s="44">
        <f>ORÇAMENTO!H909</f>
        <v>0.2122</v>
      </c>
      <c r="K519" s="44">
        <f>ORÇAMENTO!I909</f>
        <v>94.03</v>
      </c>
      <c r="L519" s="44">
        <f>ORÇAMENTO!J909</f>
        <v>119485.8</v>
      </c>
      <c r="M519" s="23">
        <f>ORÇAMENTO!K909</f>
        <v>4.2241811541879311E-3</v>
      </c>
      <c r="N519" s="23" t="str">
        <f t="shared" si="33"/>
        <v>OK!</v>
      </c>
      <c r="O519" s="23" t="str">
        <f t="shared" si="34"/>
        <v>OK!</v>
      </c>
      <c r="P519" s="23" t="str">
        <f t="shared" si="35"/>
        <v>OK!</v>
      </c>
    </row>
    <row r="520" spans="2:16" ht="29" x14ac:dyDescent="0.35">
      <c r="B520" s="43">
        <f t="shared" si="32"/>
        <v>90</v>
      </c>
      <c r="C520" s="44" t="str">
        <f>ORÇAMENTO!A1015</f>
        <v xml:space="preserve"> 8.5.3</v>
      </c>
      <c r="D520" s="44" t="str">
        <f>ORÇAMENTO!B1015</f>
        <v xml:space="preserve"> 3103302 </v>
      </c>
      <c r="E520" s="44" t="str">
        <f>ORÇAMENTO!C1015</f>
        <v>SICRO3</v>
      </c>
      <c r="F520" s="636" t="str">
        <f>ORÇAMENTO!D1015</f>
        <v>FÔRMAS DE TÁBUAS DE PINHO PARA DISPOSITIVOS DE DRENAGEM - UTILIZAÇÃO DE 3 VEZES - CONFECÇÃO, INSTALAÇÃO E RETIRADA</v>
      </c>
      <c r="G520" s="44" t="str">
        <f>ORÇAMENTO!E1015</f>
        <v>M²</v>
      </c>
      <c r="H520" s="44">
        <f>ORÇAMENTO!F1015</f>
        <v>190.5</v>
      </c>
      <c r="I520" s="44">
        <f>ORÇAMENTO!G1015</f>
        <v>77.569999999999993</v>
      </c>
      <c r="J520" s="44">
        <f>ORÇAMENTO!H1015</f>
        <v>0.2122</v>
      </c>
      <c r="K520" s="44">
        <f>ORÇAMENTO!I1015</f>
        <v>94.03</v>
      </c>
      <c r="L520" s="638">
        <f>ORÇAMENTO!J1015</f>
        <v>17912.71</v>
      </c>
      <c r="M520" s="23">
        <f>ORÇAMENTO!K1015</f>
        <v>6.33267986676523E-4</v>
      </c>
      <c r="N520" s="23" t="str">
        <f t="shared" si="33"/>
        <v>OK!</v>
      </c>
      <c r="O520" s="23" t="str">
        <f t="shared" si="34"/>
        <v>OK!</v>
      </c>
      <c r="P520" s="23" t="str">
        <f t="shared" si="35"/>
        <v>OK!</v>
      </c>
    </row>
    <row r="521" spans="2:16" ht="29" x14ac:dyDescent="0.35">
      <c r="B521" s="43">
        <f t="shared" si="32"/>
        <v>90</v>
      </c>
      <c r="C521" s="44" t="str">
        <f>ORÇAMENTO!A1021</f>
        <v xml:space="preserve"> 8.6.4</v>
      </c>
      <c r="D521" s="44" t="str">
        <f>ORÇAMENTO!B1021</f>
        <v xml:space="preserve"> 3103302 </v>
      </c>
      <c r="E521" s="44" t="str">
        <f>ORÇAMENTO!C1021</f>
        <v>SICRO3</v>
      </c>
      <c r="F521" s="636" t="str">
        <f>ORÇAMENTO!D1021</f>
        <v>FÔRMAS DE TÁBUAS DE PINHO PARA DISPOSITIVOS DE DRENAGEM - UTILIZAÇÃO DE 3 VEZES - CONFECÇÃO, INSTALAÇÃO E RETIRADA</v>
      </c>
      <c r="G521" s="44" t="str">
        <f>ORÇAMENTO!E1021</f>
        <v>M²</v>
      </c>
      <c r="H521" s="44">
        <f>ORÇAMENTO!F1021</f>
        <v>90.594999999999999</v>
      </c>
      <c r="I521" s="44">
        <f>ORÇAMENTO!G1021</f>
        <v>77.569999999999993</v>
      </c>
      <c r="J521" s="44">
        <f>ORÇAMENTO!H1021</f>
        <v>0.2122</v>
      </c>
      <c r="K521" s="44">
        <f>ORÇAMENTO!I1021</f>
        <v>94.03</v>
      </c>
      <c r="L521" s="638">
        <f>ORÇAMENTO!J1021</f>
        <v>8518.64</v>
      </c>
      <c r="M521" s="23">
        <f>ORÇAMENTO!K1021</f>
        <v>3.0115945616392473E-4</v>
      </c>
      <c r="N521" s="23" t="str">
        <f t="shared" si="33"/>
        <v>OK!</v>
      </c>
      <c r="O521" s="23" t="str">
        <f t="shared" si="34"/>
        <v>OK!</v>
      </c>
      <c r="P521" s="23" t="str">
        <f t="shared" si="35"/>
        <v>OK!</v>
      </c>
    </row>
    <row r="522" spans="2:16" ht="29" x14ac:dyDescent="0.35">
      <c r="B522" s="43">
        <f t="shared" si="32"/>
        <v>90</v>
      </c>
      <c r="C522" s="44" t="str">
        <f>ORÇAMENTO!A1033</f>
        <v xml:space="preserve"> 8.7.4</v>
      </c>
      <c r="D522" s="44" t="str">
        <f>ORÇAMENTO!B1033</f>
        <v xml:space="preserve"> 3103302 </v>
      </c>
      <c r="E522" s="44" t="str">
        <f>ORÇAMENTO!C1033</f>
        <v>SICRO3</v>
      </c>
      <c r="F522" s="636" t="str">
        <f>ORÇAMENTO!D1033</f>
        <v>FÔRMAS DE TÁBUAS DE PINHO PARA DISPOSITIVOS DE DRENAGEM - UTILIZAÇÃO DE 3 VEZES - CONFECÇÃO, INSTALAÇÃO E RETIRADA</v>
      </c>
      <c r="G522" s="44" t="str">
        <f>ORÇAMENTO!E1033</f>
        <v>M²</v>
      </c>
      <c r="H522" s="44">
        <f>ORÇAMENTO!F1033</f>
        <v>73.8</v>
      </c>
      <c r="I522" s="44">
        <f>ORÇAMENTO!G1033</f>
        <v>77.569999999999993</v>
      </c>
      <c r="J522" s="44">
        <f>ORÇAMENTO!H1033</f>
        <v>0.2122</v>
      </c>
      <c r="K522" s="44">
        <f>ORÇAMENTO!I1033</f>
        <v>94.03</v>
      </c>
      <c r="L522" s="638">
        <f>ORÇAMENTO!J1033</f>
        <v>6939.41</v>
      </c>
      <c r="M522" s="23">
        <f>ORÇAMENTO!K1033</f>
        <v>2.453289423779501E-4</v>
      </c>
      <c r="N522" s="23" t="str">
        <f t="shared" si="33"/>
        <v>OK!</v>
      </c>
      <c r="O522" s="23" t="str">
        <f t="shared" si="34"/>
        <v>OK!</v>
      </c>
      <c r="P522" s="23" t="str">
        <f t="shared" si="35"/>
        <v>OK!</v>
      </c>
    </row>
    <row r="523" spans="2:16" ht="43.5" x14ac:dyDescent="0.35">
      <c r="B523" s="43">
        <f t="shared" si="32"/>
        <v>91</v>
      </c>
      <c r="C523" s="44" t="str">
        <f>ORÇAMENTO!A1008</f>
        <v xml:space="preserve"> 8.4.7</v>
      </c>
      <c r="D523" s="44" t="str">
        <f>ORÇAMENTO!B1008</f>
        <v xml:space="preserve"> 3083 </v>
      </c>
      <c r="E523" s="44" t="str">
        <f>ORÇAMENTO!C1008</f>
        <v>ORSE</v>
      </c>
      <c r="F523" s="636" t="str">
        <f>ORÇAMENTO!D1008</f>
        <v>FORNECIMENTO E APLICAÇÃO DE MANTA GEOTEXTIL RT-10, RESISTENCIA A TRAÇÃO=10KN/M (ANTIGO BIDIM OP-20 OU SIMILAR) EM COLCHÕES DRENANTES</v>
      </c>
      <c r="G523" s="44" t="str">
        <f>ORÇAMENTO!E1008</f>
        <v>M²</v>
      </c>
      <c r="H523" s="44">
        <f>ORÇAMENTO!F1008</f>
        <v>4807.18</v>
      </c>
      <c r="I523" s="44">
        <f>ORÇAMENTO!G1008</f>
        <v>16.190000000000001</v>
      </c>
      <c r="J523" s="44">
        <f>ORÇAMENTO!H1008</f>
        <v>0.2122</v>
      </c>
      <c r="K523" s="44">
        <f>ORÇAMENTO!I1008</f>
        <v>19.63</v>
      </c>
      <c r="L523" s="638">
        <f>ORÇAMENTO!J1008</f>
        <v>94364.94</v>
      </c>
      <c r="M523" s="23">
        <f>ORÇAMENTO!K1008</f>
        <v>3.3360834606628981E-3</v>
      </c>
      <c r="N523" s="23" t="str">
        <f t="shared" si="33"/>
        <v>DIFERENTE</v>
      </c>
      <c r="O523" s="23" t="str">
        <f t="shared" si="34"/>
        <v>DIFERENTE</v>
      </c>
      <c r="P523" s="23" t="str">
        <f t="shared" si="35"/>
        <v>DIFERENTE</v>
      </c>
    </row>
    <row r="524" spans="2:16" ht="43.5" x14ac:dyDescent="0.35">
      <c r="B524" s="43">
        <f t="shared" si="32"/>
        <v>92</v>
      </c>
      <c r="C524" s="44" t="str">
        <f>ORÇAMENTO!A1009</f>
        <v xml:space="preserve"> 8.4.8</v>
      </c>
      <c r="D524" s="44" t="str">
        <f>ORÇAMENTO!B1009</f>
        <v xml:space="preserve"> 9154 </v>
      </c>
      <c r="E524" s="44" t="str">
        <f>ORÇAMENTO!C1009</f>
        <v>ORSE</v>
      </c>
      <c r="F524" s="636" t="str">
        <f>ORÇAMENTO!D1009</f>
        <v>FORNECIMENTO E APLICAÇÃO DE MANTA GEOTÉXTIL RT-21, RESISTENCIA A TRAÇÃO=21 KN/M (ANTIGO BIDIM OP-40 OU SIMILAR) EM COLCHÕES DRENANTES</v>
      </c>
      <c r="G524" s="44" t="str">
        <f>ORÇAMENTO!E1009</f>
        <v>M²</v>
      </c>
      <c r="H524" s="44">
        <f>ORÇAMENTO!F1009</f>
        <v>8864.1</v>
      </c>
      <c r="I524" s="44">
        <f>ORÇAMENTO!G1009</f>
        <v>24.25</v>
      </c>
      <c r="J524" s="44">
        <f>ORÇAMENTO!H1009</f>
        <v>0.2122</v>
      </c>
      <c r="K524" s="44">
        <f>ORÇAMENTO!I1009</f>
        <v>29.4</v>
      </c>
      <c r="L524" s="638">
        <f>ORÇAMENTO!J1009</f>
        <v>260604.54</v>
      </c>
      <c r="M524" s="23">
        <f>ORÇAMENTO!K1009</f>
        <v>9.2131515758677174E-3</v>
      </c>
      <c r="N524" s="23" t="str">
        <f t="shared" si="33"/>
        <v>DIFERENTE</v>
      </c>
      <c r="O524" s="23" t="str">
        <f t="shared" si="34"/>
        <v>DIFERENTE</v>
      </c>
      <c r="P524" s="23" t="str">
        <f t="shared" si="35"/>
        <v>DIFERENTE</v>
      </c>
    </row>
    <row r="525" spans="2:16" ht="29" x14ac:dyDescent="0.35">
      <c r="B525" s="43">
        <f t="shared" si="32"/>
        <v>93</v>
      </c>
      <c r="C525" s="44" t="str">
        <f>ORÇAMENTO!A310</f>
        <v>4.4.6</v>
      </c>
      <c r="D525" s="44" t="str">
        <f>ORÇAMENTO!B310</f>
        <v xml:space="preserve"> 6380 </v>
      </c>
      <c r="E525" s="44" t="str">
        <f>ORÇAMENTO!C310</f>
        <v>ORSE</v>
      </c>
      <c r="F525" s="480" t="str">
        <f>ORÇAMENTO!D310</f>
        <v>FORNECIMENTO E ASSENTAMENTO DE TAMPÃO CIRCULAR PARA DRENAGEM, EM FERRO FUNDIDO, DIÂMETRO = 0,6 M</v>
      </c>
      <c r="G525" s="44" t="str">
        <f>ORÇAMENTO!E310</f>
        <v>UN</v>
      </c>
      <c r="H525" s="44">
        <f>ORÇAMENTO!F310</f>
        <v>13</v>
      </c>
      <c r="I525" s="44">
        <f>ORÇAMENTO!G310</f>
        <v>541.14</v>
      </c>
      <c r="J525" s="44">
        <f>ORÇAMENTO!H310</f>
        <v>0.2122</v>
      </c>
      <c r="K525" s="44">
        <f>ORÇAMENTO!I310</f>
        <v>655.97</v>
      </c>
      <c r="L525" s="44">
        <f>ORÇAMENTO!J310</f>
        <v>8527.61</v>
      </c>
      <c r="M525" s="23">
        <f>ORÇAMENTO!K310</f>
        <v>3.0147657254890999E-4</v>
      </c>
      <c r="N525" s="23" t="str">
        <f t="shared" si="33"/>
        <v>DIFERENTE</v>
      </c>
      <c r="O525" s="23" t="str">
        <f t="shared" si="34"/>
        <v>DIFERENTE</v>
      </c>
      <c r="P525" s="23" t="str">
        <f t="shared" si="35"/>
        <v>DIFERENTE</v>
      </c>
    </row>
    <row r="526" spans="2:16" ht="29" x14ac:dyDescent="0.35">
      <c r="B526" s="43">
        <f t="shared" si="32"/>
        <v>93</v>
      </c>
      <c r="C526" s="44" t="str">
        <f>ORÇAMENTO!A523</f>
        <v>5.4.6</v>
      </c>
      <c r="D526" s="44" t="str">
        <f>ORÇAMENTO!B523</f>
        <v xml:space="preserve"> 6380 </v>
      </c>
      <c r="E526" s="44" t="str">
        <f>ORÇAMENTO!C523</f>
        <v>ORSE</v>
      </c>
      <c r="F526" s="480" t="str">
        <f>ORÇAMENTO!D523</f>
        <v>FORNECIMENTO E ASSENTAMENTO DE TAMPÃO CIRCULAR PARA DRENAGEM, EM FERRO FUNDIDO, DIÂMETRO = 0,6 M</v>
      </c>
      <c r="G526" s="44" t="str">
        <f>ORÇAMENTO!E523</f>
        <v>UN</v>
      </c>
      <c r="H526" s="44">
        <f>ORÇAMENTO!F523</f>
        <v>4</v>
      </c>
      <c r="I526" s="44">
        <f>ORÇAMENTO!G523</f>
        <v>541.14</v>
      </c>
      <c r="J526" s="44">
        <f>ORÇAMENTO!H523</f>
        <v>0.2122</v>
      </c>
      <c r="K526" s="44">
        <f>ORÇAMENTO!I523</f>
        <v>655.97</v>
      </c>
      <c r="L526" s="44">
        <f>ORÇAMENTO!J523</f>
        <v>2623.88</v>
      </c>
      <c r="M526" s="23">
        <f>ORÇAMENTO!K523</f>
        <v>9.2762022322741532E-5</v>
      </c>
      <c r="N526" s="23" t="str">
        <f t="shared" si="33"/>
        <v>OK!</v>
      </c>
      <c r="O526" s="23" t="str">
        <f t="shared" si="34"/>
        <v>OK!</v>
      </c>
      <c r="P526" s="23" t="str">
        <f t="shared" si="35"/>
        <v>OK!</v>
      </c>
    </row>
    <row r="527" spans="2:16" ht="29" x14ac:dyDescent="0.35">
      <c r="B527" s="43">
        <f t="shared" si="32"/>
        <v>93</v>
      </c>
      <c r="C527" s="44" t="str">
        <f>ORÇAMENTO!A715</f>
        <v>6.4.5</v>
      </c>
      <c r="D527" s="44" t="str">
        <f>ORÇAMENTO!B715</f>
        <v xml:space="preserve"> 6380 </v>
      </c>
      <c r="E527" s="44" t="str">
        <f>ORÇAMENTO!C715</f>
        <v>ORSE</v>
      </c>
      <c r="F527" s="480" t="str">
        <f>ORÇAMENTO!D715</f>
        <v>FORNECIMENTO E ASSENTAMENTO DE TAMPÃO CIRCULAR PARA DRENAGEM, EM FERRO FUNDIDO, DIÂMETRO = 0,6 M</v>
      </c>
      <c r="G527" s="44" t="str">
        <f>ORÇAMENTO!E715</f>
        <v>UN</v>
      </c>
      <c r="H527" s="44">
        <f>ORÇAMENTO!F715</f>
        <v>10</v>
      </c>
      <c r="I527" s="44">
        <f>ORÇAMENTO!G715</f>
        <v>541.14</v>
      </c>
      <c r="J527" s="44">
        <f>ORÇAMENTO!H715</f>
        <v>0.2122</v>
      </c>
      <c r="K527" s="44">
        <f>ORÇAMENTO!I715</f>
        <v>655.97</v>
      </c>
      <c r="L527" s="44">
        <f>ORÇAMENTO!J715</f>
        <v>6559.7</v>
      </c>
      <c r="M527" s="23">
        <f>ORÇAMENTO!K715</f>
        <v>2.3190505580685382E-4</v>
      </c>
      <c r="N527" s="23" t="str">
        <f t="shared" si="33"/>
        <v>OK!</v>
      </c>
      <c r="O527" s="23" t="str">
        <f t="shared" si="34"/>
        <v>OK!</v>
      </c>
      <c r="P527" s="23" t="str">
        <f t="shared" si="35"/>
        <v>OK!</v>
      </c>
    </row>
    <row r="528" spans="2:16" ht="29" x14ac:dyDescent="0.35">
      <c r="B528" s="43">
        <f t="shared" si="32"/>
        <v>93</v>
      </c>
      <c r="C528" s="44" t="str">
        <f>ORÇAMENTO!A937</f>
        <v>7.4.5</v>
      </c>
      <c r="D528" s="44" t="str">
        <f>ORÇAMENTO!B937</f>
        <v xml:space="preserve"> 6380 </v>
      </c>
      <c r="E528" s="44" t="str">
        <f>ORÇAMENTO!C937</f>
        <v>ORSE</v>
      </c>
      <c r="F528" s="636" t="str">
        <f>ORÇAMENTO!D937</f>
        <v>FORNECIMENTO E ASSENTAMENTO DE TAMPÃO CIRCULAR PARA DRENAGEM, EM FERRO FUNDIDO, DIÂMETRO = 0,6 M</v>
      </c>
      <c r="G528" s="44" t="str">
        <f>ORÇAMENTO!E937</f>
        <v>UN</v>
      </c>
      <c r="H528" s="44">
        <f>ORÇAMENTO!F937</f>
        <v>8</v>
      </c>
      <c r="I528" s="44">
        <f>ORÇAMENTO!G937</f>
        <v>541.14</v>
      </c>
      <c r="J528" s="44">
        <f>ORÇAMENTO!H937</f>
        <v>0.2122</v>
      </c>
      <c r="K528" s="44">
        <f>ORÇAMENTO!I937</f>
        <v>655.97</v>
      </c>
      <c r="L528" s="638">
        <f>ORÇAMENTO!J937</f>
        <v>5247.76</v>
      </c>
      <c r="M528" s="23">
        <f>ORÇAMENTO!K937</f>
        <v>1.8552404464548306E-4</v>
      </c>
      <c r="N528" s="23" t="str">
        <f t="shared" si="33"/>
        <v>OK!</v>
      </c>
      <c r="O528" s="23" t="str">
        <f t="shared" si="34"/>
        <v>OK!</v>
      </c>
      <c r="P528" s="23" t="str">
        <f t="shared" si="35"/>
        <v>OK!</v>
      </c>
    </row>
    <row r="529" spans="2:16" ht="29" x14ac:dyDescent="0.35">
      <c r="B529" s="43">
        <f t="shared" si="32"/>
        <v>94</v>
      </c>
      <c r="C529" s="44" t="str">
        <f>ORÇAMENTO!A1027</f>
        <v xml:space="preserve"> 8.6.10</v>
      </c>
      <c r="D529" s="44" t="str">
        <f>ORÇAMENTO!B1027</f>
        <v xml:space="preserve"> 33.02.03U </v>
      </c>
      <c r="E529" s="44" t="str">
        <f>ORÇAMENTO!C1027</f>
        <v>COMPESA</v>
      </c>
      <c r="F529" s="636" t="str">
        <f>ORÇAMENTO!D1027</f>
        <v>FORNECIMENTO E COLOCAÇÃO DE GRADE DE FERRO PARA PROTEÇÃO EM PISO.</v>
      </c>
      <c r="G529" s="44" t="str">
        <f>ORÇAMENTO!E1027</f>
        <v>M²</v>
      </c>
      <c r="H529" s="44">
        <f>ORÇAMENTO!F1027</f>
        <v>10.3</v>
      </c>
      <c r="I529" s="44">
        <f>ORÇAMENTO!G1027</f>
        <v>578.89</v>
      </c>
      <c r="J529" s="44">
        <f>ORÇAMENTO!H1027</f>
        <v>0.2122</v>
      </c>
      <c r="K529" s="44">
        <f>ORÇAMENTO!I1027</f>
        <v>701.73</v>
      </c>
      <c r="L529" s="638">
        <f>ORÇAMENTO!J1027</f>
        <v>7227.81</v>
      </c>
      <c r="M529" s="23">
        <f>ORÇAMENTO!K1027</f>
        <v>2.5552474677368421E-4</v>
      </c>
      <c r="N529" s="23" t="str">
        <f t="shared" si="33"/>
        <v>DIFERENTE</v>
      </c>
      <c r="O529" s="23" t="str">
        <f t="shared" si="34"/>
        <v>DIFERENTE</v>
      </c>
      <c r="P529" s="23" t="str">
        <f t="shared" si="35"/>
        <v>DIFERENTE</v>
      </c>
    </row>
    <row r="530" spans="2:16" ht="29" x14ac:dyDescent="0.35">
      <c r="B530" s="43">
        <f t="shared" si="32"/>
        <v>95</v>
      </c>
      <c r="C530" s="44" t="str">
        <f>ORÇAMENTO!A1002</f>
        <v xml:space="preserve"> 8.4.1 </v>
      </c>
      <c r="D530" s="44" t="str">
        <f>ORÇAMENTO!B1002</f>
        <v xml:space="preserve"> 3205864 </v>
      </c>
      <c r="E530" s="44" t="str">
        <f>ORÇAMENTO!C1002</f>
        <v>SICRO3</v>
      </c>
      <c r="F530" s="636" t="str">
        <f>ORÇAMENTO!D1002</f>
        <v>GABIÃO CAIXA 2 X 1 X 0,50 M - ZN/AL + PVC - D = 2,4 MM - PEDRA DE MÃO COMERCIAL - FORNECIMENTO E ASSENTAMENTO</v>
      </c>
      <c r="G530" s="44" t="str">
        <f>ORÇAMENTO!E1002</f>
        <v>M³</v>
      </c>
      <c r="H530" s="44">
        <f>ORÇAMENTO!F1002</f>
        <v>16.5</v>
      </c>
      <c r="I530" s="44">
        <f>ORÇAMENTO!G1002</f>
        <v>1035.27</v>
      </c>
      <c r="J530" s="44">
        <f>ORÇAMENTO!H1002</f>
        <v>0.2122</v>
      </c>
      <c r="K530" s="44">
        <f>ORÇAMENTO!I1002</f>
        <v>1254.95</v>
      </c>
      <c r="L530" s="638">
        <f>ORÇAMENTO!J1002</f>
        <v>20706.669999999998</v>
      </c>
      <c r="M530" s="23">
        <f>ORÇAMENTO!K1002</f>
        <v>7.320428467649596E-4</v>
      </c>
      <c r="N530" s="23" t="str">
        <f t="shared" si="33"/>
        <v>DIFERENTE</v>
      </c>
      <c r="O530" s="23" t="str">
        <f t="shared" si="34"/>
        <v>DIFERENTE</v>
      </c>
      <c r="P530" s="23" t="str">
        <f t="shared" si="35"/>
        <v>DIFERENTE</v>
      </c>
    </row>
    <row r="531" spans="2:16" ht="29" x14ac:dyDescent="0.35">
      <c r="B531" s="43">
        <f t="shared" si="32"/>
        <v>96</v>
      </c>
      <c r="C531" s="44" t="str">
        <f>ORÇAMENTO!A1003</f>
        <v xml:space="preserve"> 8.4.2</v>
      </c>
      <c r="D531" s="44" t="str">
        <f>ORÇAMENTO!B1003</f>
        <v xml:space="preserve"> 3205866 </v>
      </c>
      <c r="E531" s="44" t="str">
        <f>ORÇAMENTO!C1003</f>
        <v>SICRO3</v>
      </c>
      <c r="F531" s="636" t="str">
        <f>ORÇAMENTO!D1003</f>
        <v>GABIÃO CAIXA 2 X 1 X 1,00 M - ZN/AL + PVC - D = 2,4 MM - PEDRA DE MÃO COMERCIAL - FORNECIMENTO E ASSENTAMENTO</v>
      </c>
      <c r="G531" s="44" t="str">
        <f>ORÇAMENTO!E1003</f>
        <v>M³</v>
      </c>
      <c r="H531" s="44">
        <f>ORÇAMENTO!F1003</f>
        <v>963.45</v>
      </c>
      <c r="I531" s="44">
        <f>ORÇAMENTO!G1003</f>
        <v>789.58</v>
      </c>
      <c r="J531" s="44">
        <f>ORÇAMENTO!H1003</f>
        <v>0.2122</v>
      </c>
      <c r="K531" s="44">
        <f>ORÇAMENTO!I1003</f>
        <v>957.13</v>
      </c>
      <c r="L531" s="638">
        <f>ORÇAMENTO!J1003</f>
        <v>922146.89</v>
      </c>
      <c r="M531" s="23">
        <f>ORÇAMENTO!K1003</f>
        <v>3.2600656430563389E-2</v>
      </c>
      <c r="N531" s="23" t="str">
        <f t="shared" si="33"/>
        <v>DIFERENTE</v>
      </c>
      <c r="O531" s="23" t="str">
        <f t="shared" si="34"/>
        <v>DIFERENTE</v>
      </c>
      <c r="P531" s="23" t="str">
        <f t="shared" si="35"/>
        <v>DIFERENTE</v>
      </c>
    </row>
    <row r="532" spans="2:16" ht="29" x14ac:dyDescent="0.35">
      <c r="B532" s="43">
        <f t="shared" si="32"/>
        <v>97</v>
      </c>
      <c r="C532" s="44" t="str">
        <f>ORÇAMENTO!A1004</f>
        <v xml:space="preserve"> 8.4.3</v>
      </c>
      <c r="D532" s="44" t="str">
        <f>ORÇAMENTO!B1004</f>
        <v xml:space="preserve"> 3205874 </v>
      </c>
      <c r="E532" s="44" t="str">
        <f>ORÇAMENTO!C1004</f>
        <v>SICRO3</v>
      </c>
      <c r="F532" s="636" t="str">
        <f>ORÇAMENTO!D1004</f>
        <v>GABIÃO COLCHÃO ESPESSURA 0,23 M - ZN/AL + PVC - D = 2,0 MM - PEDRA DE MÃO COMERCIAL - FORNECIMENTO E ASSENTAMENTO</v>
      </c>
      <c r="G532" s="44" t="str">
        <f>ORÇAMENTO!E1004</f>
        <v>M²</v>
      </c>
      <c r="H532" s="44">
        <f>ORÇAMENTO!F1004</f>
        <v>131.69799999999998</v>
      </c>
      <c r="I532" s="44">
        <f>ORÇAMENTO!G1004</f>
        <v>284.33999999999997</v>
      </c>
      <c r="J532" s="44">
        <f>ORÇAMENTO!H1004</f>
        <v>0.2122</v>
      </c>
      <c r="K532" s="44">
        <f>ORÇAMENTO!I1004</f>
        <v>344.68</v>
      </c>
      <c r="L532" s="638">
        <f>ORÇAMENTO!J1004</f>
        <v>45393.66</v>
      </c>
      <c r="M532" s="23">
        <f>ORÇAMENTO!K1004</f>
        <v>1.6048019353899338E-3</v>
      </c>
      <c r="N532" s="23" t="str">
        <f t="shared" si="33"/>
        <v>DIFERENTE</v>
      </c>
      <c r="O532" s="23" t="str">
        <f t="shared" si="34"/>
        <v>DIFERENTE</v>
      </c>
      <c r="P532" s="23" t="str">
        <f t="shared" si="35"/>
        <v>DIFERENTE</v>
      </c>
    </row>
    <row r="533" spans="2:16" ht="29" x14ac:dyDescent="0.35">
      <c r="B533" s="43">
        <f t="shared" si="32"/>
        <v>98</v>
      </c>
      <c r="C533" s="44" t="str">
        <f>ORÇAMENTO!A1010</f>
        <v xml:space="preserve"> 8.4.9</v>
      </c>
      <c r="D533" s="44" t="str">
        <f>ORÇAMENTO!B1010</f>
        <v xml:space="preserve"> 1516298 </v>
      </c>
      <c r="E533" s="44" t="str">
        <f>ORÇAMENTO!C1010</f>
        <v>SICRO3</v>
      </c>
      <c r="F533" s="636" t="str">
        <f>ORÇAMENTO!D1010</f>
        <v>GEOGRELHA COM RESISTÊNCIA À TRAÇÃO DE 45 KN/M - FORNECIMENTO E INSTALAÇÃO</v>
      </c>
      <c r="G533" s="44" t="str">
        <f>ORÇAMENTO!E1010</f>
        <v>M²</v>
      </c>
      <c r="H533" s="44">
        <f>ORÇAMENTO!F1010</f>
        <v>8025.59</v>
      </c>
      <c r="I533" s="44">
        <f>ORÇAMENTO!G1010</f>
        <v>30.77</v>
      </c>
      <c r="J533" s="44">
        <f>ORÇAMENTO!H1010</f>
        <v>0.2122</v>
      </c>
      <c r="K533" s="44">
        <f>ORÇAMENTO!I1010</f>
        <v>37.299999999999997</v>
      </c>
      <c r="L533" s="638">
        <f>ORÇAMENTO!J1010</f>
        <v>299354.5</v>
      </c>
      <c r="M533" s="23">
        <f>ORÇAMENTO!K1010</f>
        <v>1.058307880368505E-2</v>
      </c>
      <c r="N533" s="23" t="str">
        <f t="shared" si="33"/>
        <v>DIFERENTE</v>
      </c>
      <c r="O533" s="23" t="str">
        <f t="shared" si="34"/>
        <v>DIFERENTE</v>
      </c>
      <c r="P533" s="23" t="str">
        <f t="shared" si="35"/>
        <v>DIFERENTE</v>
      </c>
    </row>
    <row r="534" spans="2:16" x14ac:dyDescent="0.35">
      <c r="B534" s="43">
        <f t="shared" si="32"/>
        <v>99</v>
      </c>
      <c r="C534" s="44" t="str">
        <f>ORÇAMENTO!A174</f>
        <v>4.1.2.4.7</v>
      </c>
      <c r="D534" s="44" t="str">
        <f>ORÇAMENTO!B174</f>
        <v xml:space="preserve"> 4011352 M </v>
      </c>
      <c r="E534" s="44" t="str">
        <f>ORÇAMENTO!C174</f>
        <v>PRÓPRIO</v>
      </c>
      <c r="F534" s="480" t="str">
        <f>ORÇAMENTO!D174</f>
        <v>IMPRIMAÇÃO COM EMULSÃO ASFÁLTICA (SEM MATERIAL)</v>
      </c>
      <c r="G534" s="44" t="str">
        <f>ORÇAMENTO!E174</f>
        <v>M²</v>
      </c>
      <c r="H534" s="44">
        <f>ORÇAMENTO!F174</f>
        <v>1783.43416303651</v>
      </c>
      <c r="I534" s="44">
        <f>ORÇAMENTO!G174</f>
        <v>0.4</v>
      </c>
      <c r="J534" s="44">
        <f>ORÇAMENTO!H174</f>
        <v>0.2122</v>
      </c>
      <c r="K534" s="44">
        <f>ORÇAMENTO!I174</f>
        <v>0.48</v>
      </c>
      <c r="L534" s="44">
        <f>ORÇAMENTO!J174</f>
        <v>856.04</v>
      </c>
      <c r="M534" s="23">
        <f>ORÇAMENTO!K174</f>
        <v>3.0263579732746792E-5</v>
      </c>
      <c r="N534" s="23" t="str">
        <f t="shared" si="33"/>
        <v>DIFERENTE</v>
      </c>
      <c r="O534" s="23" t="str">
        <f t="shared" si="34"/>
        <v>DIFERENTE</v>
      </c>
      <c r="P534" s="23" t="str">
        <f t="shared" si="35"/>
        <v>DIFERENTE</v>
      </c>
    </row>
    <row r="535" spans="2:16" x14ac:dyDescent="0.35">
      <c r="B535" s="43">
        <f t="shared" si="32"/>
        <v>99</v>
      </c>
      <c r="C535" s="481" t="str">
        <f>ORÇAMENTO!A229</f>
        <v>4.1.2.6.27</v>
      </c>
      <c r="D535" s="481" t="str">
        <f>ORÇAMENTO!B229</f>
        <v xml:space="preserve"> 4011352 M </v>
      </c>
      <c r="E535" s="481" t="str">
        <f>ORÇAMENTO!C229</f>
        <v>PRÓPRIO</v>
      </c>
      <c r="F535" s="482" t="str">
        <f>ORÇAMENTO!D229</f>
        <v>IMPRIMAÇÃO COM EMULSÃO ASFÁLTICA (SEM MATERIAL)</v>
      </c>
      <c r="G535" s="481" t="str">
        <f>ORÇAMENTO!E229</f>
        <v>M²</v>
      </c>
      <c r="H535" s="481">
        <f>ORÇAMENTO!F229</f>
        <v>225.99</v>
      </c>
      <c r="I535" s="481">
        <f>ORÇAMENTO!G229</f>
        <v>0.4</v>
      </c>
      <c r="J535" s="481">
        <f>ORÇAMENTO!H229</f>
        <v>0.2122</v>
      </c>
      <c r="K535" s="481">
        <f>ORÇAMENTO!I229</f>
        <v>0.48</v>
      </c>
      <c r="L535" s="481">
        <f>ORÇAMENTO!J229</f>
        <v>108.47</v>
      </c>
      <c r="M535" s="23">
        <f>ORÇAMENTO!K229</f>
        <v>3.8347396075078785E-6</v>
      </c>
      <c r="N535" s="23" t="str">
        <f t="shared" si="33"/>
        <v>OK!</v>
      </c>
      <c r="O535" s="23" t="str">
        <f t="shared" si="34"/>
        <v>OK!</v>
      </c>
      <c r="P535" s="23" t="str">
        <f t="shared" si="35"/>
        <v>OK!</v>
      </c>
    </row>
    <row r="536" spans="2:16" x14ac:dyDescent="0.35">
      <c r="B536" s="43">
        <f t="shared" si="32"/>
        <v>99</v>
      </c>
      <c r="C536" s="44" t="str">
        <f>ORÇAMENTO!A285</f>
        <v>4.2.4.6</v>
      </c>
      <c r="D536" s="44" t="str">
        <f>ORÇAMENTO!B285</f>
        <v xml:space="preserve"> 4011352 M </v>
      </c>
      <c r="E536" s="44" t="str">
        <f>ORÇAMENTO!C285</f>
        <v>PRÓPRIO</v>
      </c>
      <c r="F536" s="480" t="str">
        <f>ORÇAMENTO!D285</f>
        <v>IMPRIMAÇÃO COM EMULSÃO ASFÁLTICA (SEM MATERIAL)</v>
      </c>
      <c r="G536" s="44" t="str">
        <f>ORÇAMENTO!E285</f>
        <v>M²</v>
      </c>
      <c r="H536" s="44">
        <f>ORÇAMENTO!F285</f>
        <v>3842.6666666666661</v>
      </c>
      <c r="I536" s="44">
        <f>ORÇAMENTO!G285</f>
        <v>0.4</v>
      </c>
      <c r="J536" s="44">
        <f>ORÇAMENTO!H285</f>
        <v>0.2122</v>
      </c>
      <c r="K536" s="44">
        <f>ORÇAMENTO!I285</f>
        <v>0.48</v>
      </c>
      <c r="L536" s="44">
        <f>ORÇAMENTO!J285</f>
        <v>1844.48</v>
      </c>
      <c r="M536" s="23">
        <f>ORÇAMENTO!K285</f>
        <v>6.5207896296267471E-5</v>
      </c>
      <c r="N536" s="23" t="str">
        <f t="shared" si="33"/>
        <v>OK!</v>
      </c>
      <c r="O536" s="23" t="str">
        <f t="shared" si="34"/>
        <v>OK!</v>
      </c>
      <c r="P536" s="23" t="str">
        <f t="shared" si="35"/>
        <v>OK!</v>
      </c>
    </row>
    <row r="537" spans="2:16" x14ac:dyDescent="0.35">
      <c r="B537" s="43">
        <f t="shared" si="32"/>
        <v>99</v>
      </c>
      <c r="C537" s="44" t="str">
        <f>ORÇAMENTO!A313</f>
        <v>4.4.9</v>
      </c>
      <c r="D537" s="44" t="str">
        <f>ORÇAMENTO!B313</f>
        <v xml:space="preserve"> 4011352 M </v>
      </c>
      <c r="E537" s="44" t="str">
        <f>ORÇAMENTO!C313</f>
        <v>PRÓPRIO</v>
      </c>
      <c r="F537" s="480" t="str">
        <f>ORÇAMENTO!D313</f>
        <v>IMPRIMAÇÃO COM EMULSÃO ASFÁLTICA (SEM MATERIAL)</v>
      </c>
      <c r="G537" s="44" t="str">
        <f>ORÇAMENTO!E313</f>
        <v>M²</v>
      </c>
      <c r="H537" s="44">
        <f>ORÇAMENTO!F313</f>
        <v>38.444336595299951</v>
      </c>
      <c r="I537" s="44">
        <f>ORÇAMENTO!G313</f>
        <v>0.4</v>
      </c>
      <c r="J537" s="44">
        <f>ORÇAMENTO!H313</f>
        <v>0.2122</v>
      </c>
      <c r="K537" s="44">
        <f>ORÇAMENTO!I313</f>
        <v>0.48</v>
      </c>
      <c r="L537" s="44">
        <f>ORÇAMENTO!J313</f>
        <v>18.45</v>
      </c>
      <c r="M537" s="23">
        <f>ORÇAMENTO!K313</f>
        <v>6.5226279854817339E-7</v>
      </c>
      <c r="N537" s="23" t="str">
        <f t="shared" si="33"/>
        <v>OK!</v>
      </c>
      <c r="O537" s="23" t="str">
        <f t="shared" si="34"/>
        <v>OK!</v>
      </c>
      <c r="P537" s="23" t="str">
        <f t="shared" si="35"/>
        <v>OK!</v>
      </c>
    </row>
    <row r="538" spans="2:16" x14ac:dyDescent="0.35">
      <c r="B538" s="43">
        <f t="shared" si="32"/>
        <v>99</v>
      </c>
      <c r="C538" s="44" t="str">
        <f>ORÇAMENTO!A413</f>
        <v>5.1.2.4.7</v>
      </c>
      <c r="D538" s="44" t="str">
        <f>ORÇAMENTO!B413</f>
        <v xml:space="preserve"> 4011352 M </v>
      </c>
      <c r="E538" s="44" t="str">
        <f>ORÇAMENTO!C413</f>
        <v>PRÓPRIO</v>
      </c>
      <c r="F538" s="480" t="str">
        <f>ORÇAMENTO!D413</f>
        <v>IMPRIMAÇÃO COM EMULSÃO ASFÁLTICA (SEM MATERIAL)</v>
      </c>
      <c r="G538" s="44" t="str">
        <f>ORÇAMENTO!E413</f>
        <v>M²</v>
      </c>
      <c r="H538" s="44">
        <f>ORÇAMENTO!F413</f>
        <v>3246.5089999999991</v>
      </c>
      <c r="I538" s="44">
        <f>ORÇAMENTO!G413</f>
        <v>0.4</v>
      </c>
      <c r="J538" s="44">
        <f>ORÇAMENTO!H413</f>
        <v>0.2122</v>
      </c>
      <c r="K538" s="44">
        <f>ORÇAMENTO!I413</f>
        <v>0.48</v>
      </c>
      <c r="L538" s="44">
        <f>ORÇAMENTO!J413</f>
        <v>1558.32</v>
      </c>
      <c r="M538" s="23">
        <f>ORÇAMENTO!K413</f>
        <v>5.5091282614286694E-5</v>
      </c>
      <c r="N538" s="23" t="str">
        <f t="shared" si="33"/>
        <v>OK!</v>
      </c>
      <c r="O538" s="23" t="str">
        <f t="shared" si="34"/>
        <v>OK!</v>
      </c>
      <c r="P538" s="23" t="str">
        <f t="shared" si="35"/>
        <v>OK!</v>
      </c>
    </row>
    <row r="539" spans="2:16" s="483" customFormat="1" x14ac:dyDescent="0.35">
      <c r="B539" s="43">
        <f t="shared" si="32"/>
        <v>99</v>
      </c>
      <c r="C539" s="44" t="str">
        <f>ORÇAMENTO!A472</f>
        <v>5.1.2.6.28</v>
      </c>
      <c r="D539" s="44" t="str">
        <f>ORÇAMENTO!B472</f>
        <v xml:space="preserve"> 4011352 M </v>
      </c>
      <c r="E539" s="44" t="str">
        <f>ORÇAMENTO!C472</f>
        <v>PRÓPRIO</v>
      </c>
      <c r="F539" s="480" t="str">
        <f>ORÇAMENTO!D472</f>
        <v>IMPRIMAÇÃO COM EMULSÃO ASFÁLTICA (SEM MATERIAL)</v>
      </c>
      <c r="G539" s="44" t="str">
        <f>ORÇAMENTO!E472</f>
        <v>M²</v>
      </c>
      <c r="H539" s="44">
        <f>ORÇAMENTO!F472</f>
        <v>139.18</v>
      </c>
      <c r="I539" s="44">
        <f>ORÇAMENTO!G472</f>
        <v>0.4</v>
      </c>
      <c r="J539" s="44">
        <f>ORÇAMENTO!H472</f>
        <v>0.2122</v>
      </c>
      <c r="K539" s="44">
        <f>ORÇAMENTO!I472</f>
        <v>0.48</v>
      </c>
      <c r="L539" s="44">
        <f>ORÇAMENTO!J472</f>
        <v>66.8</v>
      </c>
      <c r="M539" s="23">
        <f>ORÇAMENTO!K472</f>
        <v>2.3615802137137117E-6</v>
      </c>
      <c r="N539" s="23" t="str">
        <f t="shared" si="33"/>
        <v>OK!</v>
      </c>
      <c r="O539" s="23" t="str">
        <f t="shared" si="34"/>
        <v>OK!</v>
      </c>
      <c r="P539" s="23" t="str">
        <f t="shared" si="35"/>
        <v>OK!</v>
      </c>
    </row>
    <row r="540" spans="2:16" x14ac:dyDescent="0.35">
      <c r="B540" s="43">
        <f t="shared" si="32"/>
        <v>99</v>
      </c>
      <c r="C540" s="44" t="str">
        <f>ORÇAMENTO!A526</f>
        <v>5.4.9</v>
      </c>
      <c r="D540" s="44" t="str">
        <f>ORÇAMENTO!B526</f>
        <v xml:space="preserve"> 4011352 M </v>
      </c>
      <c r="E540" s="44" t="str">
        <f>ORÇAMENTO!C526</f>
        <v>PRÓPRIO</v>
      </c>
      <c r="F540" s="480" t="str">
        <f>ORÇAMENTO!D526</f>
        <v>IMPRIMAÇÃO COM EMULSÃO ASFÁLTICA (SEM MATERIAL)</v>
      </c>
      <c r="G540" s="44" t="str">
        <f>ORÇAMENTO!E526</f>
        <v>M²</v>
      </c>
      <c r="H540" s="44">
        <f>ORÇAMENTO!F526</f>
        <v>11.829026644707675</v>
      </c>
      <c r="I540" s="44">
        <f>ORÇAMENTO!G526</f>
        <v>0.4</v>
      </c>
      <c r="J540" s="44">
        <f>ORÇAMENTO!H526</f>
        <v>0.2122</v>
      </c>
      <c r="K540" s="44">
        <f>ORÇAMENTO!I526</f>
        <v>0.48</v>
      </c>
      <c r="L540" s="44">
        <f>ORÇAMENTO!J526</f>
        <v>5.67</v>
      </c>
      <c r="M540" s="23">
        <f>ORÇAMENTO!K526</f>
        <v>2.0045149418797524E-7</v>
      </c>
      <c r="N540" s="23" t="str">
        <f t="shared" si="33"/>
        <v>OK!</v>
      </c>
      <c r="O540" s="23" t="str">
        <f t="shared" si="34"/>
        <v>OK!</v>
      </c>
      <c r="P540" s="23" t="str">
        <f t="shared" si="35"/>
        <v>OK!</v>
      </c>
    </row>
    <row r="541" spans="2:16" x14ac:dyDescent="0.35">
      <c r="B541" s="43">
        <f t="shared" si="32"/>
        <v>99</v>
      </c>
      <c r="C541" s="44" t="str">
        <f>ORÇAMENTO!A625</f>
        <v>6.1.2.4.7</v>
      </c>
      <c r="D541" s="44" t="str">
        <f>ORÇAMENTO!B625</f>
        <v xml:space="preserve"> 4011352 M </v>
      </c>
      <c r="E541" s="44" t="str">
        <f>ORÇAMENTO!C625</f>
        <v>PRÓPRIO</v>
      </c>
      <c r="F541" s="480" t="str">
        <f>ORÇAMENTO!D625</f>
        <v>IMPRIMAÇÃO COM EMULSÃO ASFÁLTICA (SEM MATERIAL)</v>
      </c>
      <c r="G541" s="44" t="str">
        <f>ORÇAMENTO!E625</f>
        <v>M²</v>
      </c>
      <c r="H541" s="44">
        <f>ORÇAMENTO!F625</f>
        <v>1042.2457945402286</v>
      </c>
      <c r="I541" s="44">
        <f>ORÇAMENTO!G625</f>
        <v>0.4</v>
      </c>
      <c r="J541" s="44">
        <f>ORÇAMENTO!H625</f>
        <v>0.2122</v>
      </c>
      <c r="K541" s="44">
        <f>ORÇAMENTO!I625</f>
        <v>0.48</v>
      </c>
      <c r="L541" s="44">
        <f>ORÇAMENTO!J625</f>
        <v>500.27</v>
      </c>
      <c r="M541" s="23">
        <f>ORÇAMENTO!K625</f>
        <v>1.7686043914888602E-5</v>
      </c>
      <c r="N541" s="23" t="str">
        <f t="shared" si="33"/>
        <v>OK!</v>
      </c>
      <c r="O541" s="23" t="str">
        <f t="shared" si="34"/>
        <v>OK!</v>
      </c>
      <c r="P541" s="23" t="str">
        <f t="shared" si="35"/>
        <v>OK!</v>
      </c>
    </row>
    <row r="542" spans="2:16" x14ac:dyDescent="0.35">
      <c r="B542" s="43">
        <f t="shared" si="32"/>
        <v>99</v>
      </c>
      <c r="C542" s="44" t="str">
        <f>ORÇAMENTO!A667</f>
        <v>6.1.2.6.20</v>
      </c>
      <c r="D542" s="44" t="str">
        <f>ORÇAMENTO!B667</f>
        <v xml:space="preserve"> 4011352 M </v>
      </c>
      <c r="E542" s="44" t="str">
        <f>ORÇAMENTO!C667</f>
        <v>PRÓPRIO</v>
      </c>
      <c r="F542" s="480" t="str">
        <f>ORÇAMENTO!D667</f>
        <v>IMPRIMAÇÃO COM EMULSÃO ASFÁLTICA (SEM MATERIAL)</v>
      </c>
      <c r="G542" s="44" t="str">
        <f>ORÇAMENTO!E667</f>
        <v>M²</v>
      </c>
      <c r="H542" s="44">
        <f>ORÇAMENTO!F667</f>
        <v>187.85</v>
      </c>
      <c r="I542" s="44">
        <f>ORÇAMENTO!G667</f>
        <v>0.4</v>
      </c>
      <c r="J542" s="44">
        <f>ORÇAMENTO!H667</f>
        <v>0.2122</v>
      </c>
      <c r="K542" s="44">
        <f>ORÇAMENTO!I667</f>
        <v>0.48</v>
      </c>
      <c r="L542" s="44">
        <f>ORÇAMENTO!J667</f>
        <v>90.16</v>
      </c>
      <c r="M542" s="23">
        <f>ORÇAMENTO!K667</f>
        <v>3.1874262285692849E-6</v>
      </c>
      <c r="N542" s="23" t="str">
        <f t="shared" si="33"/>
        <v>OK!</v>
      </c>
      <c r="O542" s="23" t="str">
        <f t="shared" si="34"/>
        <v>OK!</v>
      </c>
      <c r="P542" s="23" t="str">
        <f t="shared" si="35"/>
        <v>OK!</v>
      </c>
    </row>
    <row r="543" spans="2:16" x14ac:dyDescent="0.35">
      <c r="B543" s="43">
        <f t="shared" si="32"/>
        <v>99</v>
      </c>
      <c r="C543" s="44" t="str">
        <f>ORÇAMENTO!A718</f>
        <v>6.4.8</v>
      </c>
      <c r="D543" s="44" t="str">
        <f>ORÇAMENTO!B718</f>
        <v xml:space="preserve"> 4011352 M </v>
      </c>
      <c r="E543" s="44" t="str">
        <f>ORÇAMENTO!C718</f>
        <v>PRÓPRIO</v>
      </c>
      <c r="F543" s="480" t="str">
        <f>ORÇAMENTO!D718</f>
        <v>IMPRIMAÇÃO COM EMULSÃO ASFÁLTICA (SEM MATERIAL)</v>
      </c>
      <c r="G543" s="44" t="str">
        <f>ORÇAMENTO!E718</f>
        <v>M²</v>
      </c>
      <c r="H543" s="44">
        <f>ORÇAMENTO!F718</f>
        <v>29.57256661176919</v>
      </c>
      <c r="I543" s="44">
        <f>ORÇAMENTO!G718</f>
        <v>0.4</v>
      </c>
      <c r="J543" s="44">
        <f>ORÇAMENTO!H718</f>
        <v>0.2122</v>
      </c>
      <c r="K543" s="44">
        <f>ORÇAMENTO!I718</f>
        <v>0.48</v>
      </c>
      <c r="L543" s="44">
        <f>ORÇAMENTO!J718</f>
        <v>14.19</v>
      </c>
      <c r="M543" s="23">
        <f>ORÇAMENTO!K718</f>
        <v>5.0165903042810732E-7</v>
      </c>
      <c r="N543" s="23" t="str">
        <f t="shared" si="33"/>
        <v>OK!</v>
      </c>
      <c r="O543" s="23" t="str">
        <f t="shared" si="34"/>
        <v>OK!</v>
      </c>
      <c r="P543" s="23" t="str">
        <f t="shared" si="35"/>
        <v>OK!</v>
      </c>
    </row>
    <row r="544" spans="2:16" x14ac:dyDescent="0.35">
      <c r="B544" s="43">
        <f t="shared" si="32"/>
        <v>99</v>
      </c>
      <c r="C544" s="44" t="str">
        <f>ORÇAMENTO!A822</f>
        <v>7.1.2.4.7</v>
      </c>
      <c r="D544" s="44" t="str">
        <f>ORÇAMENTO!B822</f>
        <v xml:space="preserve"> 4011352 M </v>
      </c>
      <c r="E544" s="44" t="str">
        <f>ORÇAMENTO!C822</f>
        <v>PRÓPRIO</v>
      </c>
      <c r="F544" s="480" t="str">
        <f>ORÇAMENTO!D822</f>
        <v>IMPRIMAÇÃO COM EMULSÃO ASFÁLTICA (SEM MATERIAL)</v>
      </c>
      <c r="G544" s="44" t="str">
        <f>ORÇAMENTO!E822</f>
        <v>M²</v>
      </c>
      <c r="H544" s="44">
        <f>ORÇAMENTO!F822</f>
        <v>3631.9279999999994</v>
      </c>
      <c r="I544" s="44">
        <f>ORÇAMENTO!G822</f>
        <v>0.4</v>
      </c>
      <c r="J544" s="44">
        <f>ORÇAMENTO!H822</f>
        <v>0.2122</v>
      </c>
      <c r="K544" s="44">
        <f>ORÇAMENTO!I822</f>
        <v>0.48</v>
      </c>
      <c r="L544" s="44">
        <f>ORÇAMENTO!J822</f>
        <v>1743.32</v>
      </c>
      <c r="M544" s="23">
        <f>ORÇAMENTO!K822</f>
        <v>6.1631587098374073E-5</v>
      </c>
      <c r="N544" s="23" t="str">
        <f t="shared" si="33"/>
        <v>OK!</v>
      </c>
      <c r="O544" s="23" t="str">
        <f t="shared" si="34"/>
        <v>OK!</v>
      </c>
      <c r="P544" s="23" t="str">
        <f t="shared" si="35"/>
        <v>OK!</v>
      </c>
    </row>
    <row r="545" spans="2:16" x14ac:dyDescent="0.35">
      <c r="B545" s="43">
        <f t="shared" si="32"/>
        <v>99</v>
      </c>
      <c r="C545" s="44" t="str">
        <f>ORÇAMENTO!A880</f>
        <v>7.1.2.6.27</v>
      </c>
      <c r="D545" s="44" t="str">
        <f>ORÇAMENTO!B880</f>
        <v xml:space="preserve"> 4011352 M </v>
      </c>
      <c r="E545" s="44" t="str">
        <f>ORÇAMENTO!C880</f>
        <v>PRÓPRIO</v>
      </c>
      <c r="F545" s="480" t="str">
        <f>ORÇAMENTO!D880</f>
        <v>IMPRIMAÇÃO COM EMULSÃO ASFÁLTICA (SEM MATERIAL)</v>
      </c>
      <c r="G545" s="44" t="str">
        <f>ORÇAMENTO!E880</f>
        <v>M²</v>
      </c>
      <c r="H545" s="44">
        <f>ORÇAMENTO!F880</f>
        <v>276.5</v>
      </c>
      <c r="I545" s="44">
        <f>ORÇAMENTO!G880</f>
        <v>0.4</v>
      </c>
      <c r="J545" s="44">
        <f>ORÇAMENTO!H880</f>
        <v>0.2122</v>
      </c>
      <c r="K545" s="44">
        <f>ORÇAMENTO!I880</f>
        <v>0.48</v>
      </c>
      <c r="L545" s="44">
        <f>ORÇAMENTO!J880</f>
        <v>132.72</v>
      </c>
      <c r="M545" s="23">
        <f>ORÇAMENTO!K880</f>
        <v>4.6920497898814939E-6</v>
      </c>
      <c r="N545" s="23" t="str">
        <f t="shared" si="33"/>
        <v>OK!</v>
      </c>
      <c r="O545" s="23" t="str">
        <f t="shared" si="34"/>
        <v>OK!</v>
      </c>
      <c r="P545" s="23" t="str">
        <f t="shared" si="35"/>
        <v>OK!</v>
      </c>
    </row>
    <row r="546" spans="2:16" x14ac:dyDescent="0.35">
      <c r="B546" s="43">
        <f t="shared" si="32"/>
        <v>99</v>
      </c>
      <c r="C546" s="44" t="str">
        <f>ORÇAMENTO!A940</f>
        <v>7.4.8</v>
      </c>
      <c r="D546" s="44" t="str">
        <f>ORÇAMENTO!B940</f>
        <v xml:space="preserve"> 4011352 M </v>
      </c>
      <c r="E546" s="44" t="str">
        <f>ORÇAMENTO!C940</f>
        <v>PRÓPRIO</v>
      </c>
      <c r="F546" s="636" t="str">
        <f>ORÇAMENTO!D940</f>
        <v>IMPRIMAÇÃO COM EMULSÃO ASFÁLTICA (SEM MATERIAL)</v>
      </c>
      <c r="G546" s="44" t="str">
        <f>ORÇAMENTO!E940</f>
        <v>M²</v>
      </c>
      <c r="H546" s="44">
        <f>ORÇAMENTO!F940</f>
        <v>23.658053289415349</v>
      </c>
      <c r="I546" s="44">
        <f>ORÇAMENTO!G940</f>
        <v>0.4</v>
      </c>
      <c r="J546" s="44">
        <f>ORÇAMENTO!H940</f>
        <v>0.2122</v>
      </c>
      <c r="K546" s="44">
        <f>ORÇAMENTO!I940</f>
        <v>0.48</v>
      </c>
      <c r="L546" s="638">
        <f>ORÇAMENTO!J940</f>
        <v>11.35</v>
      </c>
      <c r="M546" s="23">
        <f>ORÇAMENTO!K940</f>
        <v>4.0125651834806326E-7</v>
      </c>
      <c r="N546" s="23" t="str">
        <f t="shared" si="33"/>
        <v>OK!</v>
      </c>
      <c r="O546" s="23" t="str">
        <f t="shared" si="34"/>
        <v>OK!</v>
      </c>
      <c r="P546" s="23" t="str">
        <f t="shared" si="35"/>
        <v>OK!</v>
      </c>
    </row>
    <row r="547" spans="2:16" x14ac:dyDescent="0.35">
      <c r="B547" s="43">
        <f t="shared" si="32"/>
        <v>99</v>
      </c>
      <c r="C547" s="44" t="str">
        <f>ORÇAMENTO!A974</f>
        <v>7.5.4.6</v>
      </c>
      <c r="D547" s="44" t="str">
        <f>ORÇAMENTO!B974</f>
        <v xml:space="preserve"> 4011352 M </v>
      </c>
      <c r="E547" s="44" t="str">
        <f>ORÇAMENTO!C974</f>
        <v>PRÓPRIO</v>
      </c>
      <c r="F547" s="636" t="str">
        <f>ORÇAMENTO!D974</f>
        <v>IMPRIMAÇÃO COM EMULSÃO ASFÁLTICA (SEM MATERIAL)</v>
      </c>
      <c r="G547" s="44" t="str">
        <f>ORÇAMENTO!E974</f>
        <v>M²</v>
      </c>
      <c r="H547" s="44">
        <f>ORÇAMENTO!F974</f>
        <v>5435</v>
      </c>
      <c r="I547" s="44">
        <f>ORÇAMENTO!G974</f>
        <v>0.4</v>
      </c>
      <c r="J547" s="44">
        <f>ORÇAMENTO!H974</f>
        <v>0.2122</v>
      </c>
      <c r="K547" s="44">
        <f>ORÇAMENTO!I974</f>
        <v>0.48</v>
      </c>
      <c r="L547" s="638">
        <f>ORÇAMENTO!J974</f>
        <v>2608.8000000000002</v>
      </c>
      <c r="M547" s="23">
        <f>ORÇAMENTO!K974</f>
        <v>9.2228899124795381E-5</v>
      </c>
      <c r="N547" s="23" t="str">
        <f t="shared" si="33"/>
        <v>OK!</v>
      </c>
      <c r="O547" s="23" t="str">
        <f t="shared" si="34"/>
        <v>OK!</v>
      </c>
      <c r="P547" s="23" t="str">
        <f t="shared" si="35"/>
        <v>OK!</v>
      </c>
    </row>
    <row r="548" spans="2:16" ht="29" x14ac:dyDescent="0.35">
      <c r="B548" s="43">
        <f t="shared" si="32"/>
        <v>100</v>
      </c>
      <c r="C548" s="44" t="str">
        <f>ORÇAMENTO!A248</f>
        <v>4.1.2.6.46</v>
      </c>
      <c r="D548" s="44" t="str">
        <f>ORÇAMENTO!B248</f>
        <v xml:space="preserve"> 103670 </v>
      </c>
      <c r="E548" s="44" t="str">
        <f>ORÇAMENTO!C248</f>
        <v>SINAPI</v>
      </c>
      <c r="F548" s="480" t="str">
        <f>ORÇAMENTO!D248</f>
        <v>LANÇAMENTO COM USO DE BALDES, ADENSAMENTO E ACABAMENTO DE CONCRETO EM ESTRUTURAS. AF_02/2022</v>
      </c>
      <c r="G548" s="44" t="str">
        <f>ORÇAMENTO!E248</f>
        <v>M³</v>
      </c>
      <c r="H548" s="44">
        <f>ORÇAMENTO!F248</f>
        <v>83.38</v>
      </c>
      <c r="I548" s="44">
        <f>ORÇAMENTO!G248</f>
        <v>326.63</v>
      </c>
      <c r="J548" s="44">
        <f>ORÇAMENTO!H248</f>
        <v>0.2122</v>
      </c>
      <c r="K548" s="44">
        <f>ORÇAMENTO!I248</f>
        <v>395.94</v>
      </c>
      <c r="L548" s="44">
        <f>ORÇAMENTO!J248</f>
        <v>33013.47</v>
      </c>
      <c r="M548" s="23">
        <f>ORÇAMENTO!K248</f>
        <v>1.1671251128447786E-3</v>
      </c>
      <c r="N548" s="23" t="str">
        <f t="shared" si="33"/>
        <v>DIFERENTE</v>
      </c>
      <c r="O548" s="23" t="str">
        <f t="shared" si="34"/>
        <v>DIFERENTE</v>
      </c>
      <c r="P548" s="23" t="str">
        <f t="shared" si="35"/>
        <v>DIFERENTE</v>
      </c>
    </row>
    <row r="549" spans="2:16" ht="29" x14ac:dyDescent="0.35">
      <c r="B549" s="43">
        <f t="shared" si="32"/>
        <v>100</v>
      </c>
      <c r="C549" s="44" t="str">
        <f>ORÇAMENTO!A259</f>
        <v>4.1.2.7.7</v>
      </c>
      <c r="D549" s="44" t="str">
        <f>ORÇAMENTO!B259</f>
        <v xml:space="preserve"> 103670 </v>
      </c>
      <c r="E549" s="44" t="str">
        <f>ORÇAMENTO!C259</f>
        <v>SINAPI</v>
      </c>
      <c r="F549" s="480" t="str">
        <f>ORÇAMENTO!D259</f>
        <v>LANÇAMENTO COM USO DE BALDES, ADENSAMENTO E ACABAMENTO DE CONCRETO EM ESTRUTURAS. AF_02/2022</v>
      </c>
      <c r="G549" s="44" t="str">
        <f>ORÇAMENTO!E259</f>
        <v>M³</v>
      </c>
      <c r="H549" s="44">
        <f>ORÇAMENTO!F259</f>
        <v>96.59</v>
      </c>
      <c r="I549" s="44">
        <f>ORÇAMENTO!G259</f>
        <v>326.63</v>
      </c>
      <c r="J549" s="44">
        <f>ORÇAMENTO!H259</f>
        <v>0.2122</v>
      </c>
      <c r="K549" s="44">
        <f>ORÇAMENTO!I259</f>
        <v>395.94</v>
      </c>
      <c r="L549" s="44">
        <f>ORÇAMENTO!J259</f>
        <v>38243.839999999997</v>
      </c>
      <c r="M549" s="23">
        <f>ORÇAMENTO!K259</f>
        <v>1.3520343688687574E-3</v>
      </c>
      <c r="N549" s="23" t="str">
        <f t="shared" si="33"/>
        <v>OK!</v>
      </c>
      <c r="O549" s="23" t="str">
        <f t="shared" si="34"/>
        <v>OK!</v>
      </c>
      <c r="P549" s="23" t="str">
        <f t="shared" si="35"/>
        <v>OK!</v>
      </c>
    </row>
    <row r="550" spans="2:16" ht="29" x14ac:dyDescent="0.35">
      <c r="B550" s="43">
        <f t="shared" si="32"/>
        <v>100</v>
      </c>
      <c r="C550" s="44" t="str">
        <f>ORÇAMENTO!A491</f>
        <v>5.1.2.6.47</v>
      </c>
      <c r="D550" s="44" t="str">
        <f>ORÇAMENTO!B491</f>
        <v xml:space="preserve"> 103670 </v>
      </c>
      <c r="E550" s="44" t="str">
        <f>ORÇAMENTO!C491</f>
        <v>SINAPI</v>
      </c>
      <c r="F550" s="480" t="str">
        <f>ORÇAMENTO!D491</f>
        <v>LANÇAMENTO COM USO DE BALDES, ADENSAMENTO E ACABAMENTO DE CONCRETO EM ESTRUTURAS. AF_02/2022</v>
      </c>
      <c r="G550" s="44" t="str">
        <f>ORÇAMENTO!E491</f>
        <v>M³</v>
      </c>
      <c r="H550" s="44">
        <f>ORÇAMENTO!F491</f>
        <v>96.21</v>
      </c>
      <c r="I550" s="44">
        <f>ORÇAMENTO!G491</f>
        <v>326.63</v>
      </c>
      <c r="J550" s="44">
        <f>ORÇAMENTO!H491</f>
        <v>0.2122</v>
      </c>
      <c r="K550" s="44">
        <f>ORÇAMENTO!I491</f>
        <v>395.94</v>
      </c>
      <c r="L550" s="44">
        <f>ORÇAMENTO!J491</f>
        <v>38093.379999999997</v>
      </c>
      <c r="M550" s="23">
        <f>ORÇAMENTO!K491</f>
        <v>1.3467151569083477E-3</v>
      </c>
      <c r="N550" s="23" t="str">
        <f t="shared" si="33"/>
        <v>OK!</v>
      </c>
      <c r="O550" s="23" t="str">
        <f t="shared" si="34"/>
        <v>OK!</v>
      </c>
      <c r="P550" s="23" t="str">
        <f t="shared" si="35"/>
        <v>OK!</v>
      </c>
    </row>
    <row r="551" spans="2:16" ht="29" x14ac:dyDescent="0.35">
      <c r="B551" s="43">
        <f t="shared" si="32"/>
        <v>100</v>
      </c>
      <c r="C551" s="44" t="str">
        <f>ORÇAMENTO!A502</f>
        <v>5.1.2.7.7</v>
      </c>
      <c r="D551" s="44" t="str">
        <f>ORÇAMENTO!B502</f>
        <v xml:space="preserve"> 103670 </v>
      </c>
      <c r="E551" s="44" t="str">
        <f>ORÇAMENTO!C502</f>
        <v>SINAPI</v>
      </c>
      <c r="F551" s="480" t="str">
        <f>ORÇAMENTO!D502</f>
        <v>LANÇAMENTO COM USO DE BALDES, ADENSAMENTO E ACABAMENTO DE CONCRETO EM ESTRUTURAS. AF_02/2022</v>
      </c>
      <c r="G551" s="44" t="str">
        <f>ORÇAMENTO!E502</f>
        <v>M³</v>
      </c>
      <c r="H551" s="44">
        <f>ORÇAMENTO!F502</f>
        <v>114.79</v>
      </c>
      <c r="I551" s="44">
        <f>ORÇAMENTO!G502</f>
        <v>326.63</v>
      </c>
      <c r="J551" s="44">
        <f>ORÇAMENTO!H502</f>
        <v>0.2122</v>
      </c>
      <c r="K551" s="44">
        <f>ORÇAMENTO!I502</f>
        <v>395.94</v>
      </c>
      <c r="L551" s="44">
        <f>ORÇAMENTO!J502</f>
        <v>45449.95</v>
      </c>
      <c r="M551" s="23">
        <f>ORÇAMENTO!K502</f>
        <v>1.6067919556029566E-3</v>
      </c>
      <c r="N551" s="23" t="str">
        <f t="shared" si="33"/>
        <v>OK!</v>
      </c>
      <c r="O551" s="23" t="str">
        <f t="shared" si="34"/>
        <v>OK!</v>
      </c>
      <c r="P551" s="23" t="str">
        <f t="shared" si="35"/>
        <v>OK!</v>
      </c>
    </row>
    <row r="552" spans="2:16" ht="29" x14ac:dyDescent="0.35">
      <c r="B552" s="43">
        <f t="shared" si="32"/>
        <v>100</v>
      </c>
      <c r="C552" s="44" t="str">
        <f>ORÇAMENTO!A686</f>
        <v>6.1.2.6.39</v>
      </c>
      <c r="D552" s="44" t="str">
        <f>ORÇAMENTO!B686</f>
        <v xml:space="preserve"> 103670 </v>
      </c>
      <c r="E552" s="44" t="str">
        <f>ORÇAMENTO!C686</f>
        <v>SINAPI</v>
      </c>
      <c r="F552" s="480" t="str">
        <f>ORÇAMENTO!D686</f>
        <v>LANÇAMENTO COM USO DE BALDES, ADENSAMENTO E ACABAMENTO DE CONCRETO EM ESTRUTURAS. AF_02/2022</v>
      </c>
      <c r="G552" s="44" t="str">
        <f>ORÇAMENTO!E686</f>
        <v>M³</v>
      </c>
      <c r="H552" s="44">
        <f>ORÇAMENTO!F686</f>
        <v>50.74</v>
      </c>
      <c r="I552" s="44">
        <f>ORÇAMENTO!G686</f>
        <v>326.63</v>
      </c>
      <c r="J552" s="44">
        <f>ORÇAMENTO!H686</f>
        <v>0.2122</v>
      </c>
      <c r="K552" s="44">
        <f>ORÇAMENTO!I686</f>
        <v>395.94</v>
      </c>
      <c r="L552" s="44">
        <f>ORÇAMENTO!J686</f>
        <v>20089.990000000002</v>
      </c>
      <c r="M552" s="23">
        <f>ORÇAMENTO!K686</f>
        <v>7.1024136044470557E-4</v>
      </c>
      <c r="N552" s="23" t="str">
        <f t="shared" si="33"/>
        <v>OK!</v>
      </c>
      <c r="O552" s="23" t="str">
        <f t="shared" si="34"/>
        <v>OK!</v>
      </c>
      <c r="P552" s="23" t="str">
        <f t="shared" si="35"/>
        <v>OK!</v>
      </c>
    </row>
    <row r="553" spans="2:16" ht="29" x14ac:dyDescent="0.35">
      <c r="B553" s="43">
        <f t="shared" si="32"/>
        <v>100</v>
      </c>
      <c r="C553" s="44" t="str">
        <f>ORÇAMENTO!A697</f>
        <v>6.1.2.7.7</v>
      </c>
      <c r="D553" s="44" t="str">
        <f>ORÇAMENTO!B697</f>
        <v xml:space="preserve"> 103670 </v>
      </c>
      <c r="E553" s="44" t="str">
        <f>ORÇAMENTO!C697</f>
        <v>SINAPI</v>
      </c>
      <c r="F553" s="480" t="str">
        <f>ORÇAMENTO!D697</f>
        <v>LANÇAMENTO COM USO DE BALDES, ADENSAMENTO E ACABAMENTO DE CONCRETO EM ESTRUTURAS. AF_02/2022</v>
      </c>
      <c r="G553" s="44" t="str">
        <f>ORÇAMENTO!E697</f>
        <v>M³</v>
      </c>
      <c r="H553" s="44">
        <f>ORÇAMENTO!F697</f>
        <v>17.079999999999998</v>
      </c>
      <c r="I553" s="44">
        <f>ORÇAMENTO!G697</f>
        <v>326.63</v>
      </c>
      <c r="J553" s="44">
        <f>ORÇAMENTO!H697</f>
        <v>0.2122</v>
      </c>
      <c r="K553" s="44">
        <f>ORÇAMENTO!I697</f>
        <v>395.94</v>
      </c>
      <c r="L553" s="44">
        <f>ORÇAMENTO!J697</f>
        <v>6762.65</v>
      </c>
      <c r="M553" s="23">
        <f>ORÇAMENTO!K697</f>
        <v>2.390799465908837E-4</v>
      </c>
      <c r="N553" s="23" t="str">
        <f t="shared" si="33"/>
        <v>OK!</v>
      </c>
      <c r="O553" s="23" t="str">
        <f t="shared" si="34"/>
        <v>OK!</v>
      </c>
      <c r="P553" s="23" t="str">
        <f t="shared" si="35"/>
        <v>OK!</v>
      </c>
    </row>
    <row r="554" spans="2:16" ht="29" x14ac:dyDescent="0.35">
      <c r="B554" s="43">
        <f t="shared" si="32"/>
        <v>100</v>
      </c>
      <c r="C554" s="44" t="str">
        <f>ORÇAMENTO!A899</f>
        <v>7.1.2.6.46</v>
      </c>
      <c r="D554" s="44" t="str">
        <f>ORÇAMENTO!B899</f>
        <v xml:space="preserve"> 103670 </v>
      </c>
      <c r="E554" s="44" t="str">
        <f>ORÇAMENTO!C899</f>
        <v>SINAPI</v>
      </c>
      <c r="F554" s="480" t="str">
        <f>ORÇAMENTO!D899</f>
        <v>LANÇAMENTO COM USO DE BALDES, ADENSAMENTO E ACABAMENTO DE CONCRETO EM ESTRUTURAS. AF_02/2022</v>
      </c>
      <c r="G554" s="44" t="str">
        <f>ORÇAMENTO!E899</f>
        <v>M³</v>
      </c>
      <c r="H554" s="44">
        <f>ORÇAMENTO!F899</f>
        <v>84.42</v>
      </c>
      <c r="I554" s="44">
        <f>ORÇAMENTO!G899</f>
        <v>326.63</v>
      </c>
      <c r="J554" s="44">
        <f>ORÇAMENTO!H899</f>
        <v>0.2122</v>
      </c>
      <c r="K554" s="44">
        <f>ORÇAMENTO!I899</f>
        <v>395.94</v>
      </c>
      <c r="L554" s="44">
        <f>ORÇAMENTO!J899</f>
        <v>33425.25</v>
      </c>
      <c r="M554" s="23">
        <f>ORÇAMENTO!K899</f>
        <v>1.1816827700364407E-3</v>
      </c>
      <c r="N554" s="23" t="str">
        <f t="shared" si="33"/>
        <v>OK!</v>
      </c>
      <c r="O554" s="23" t="str">
        <f t="shared" si="34"/>
        <v>OK!</v>
      </c>
      <c r="P554" s="23" t="str">
        <f t="shared" si="35"/>
        <v>OK!</v>
      </c>
    </row>
    <row r="555" spans="2:16" ht="29" x14ac:dyDescent="0.35">
      <c r="B555" s="43">
        <f t="shared" si="32"/>
        <v>100</v>
      </c>
      <c r="C555" s="44" t="str">
        <f>ORÇAMENTO!A910</f>
        <v>7.1.2.7.7</v>
      </c>
      <c r="D555" s="44" t="str">
        <f>ORÇAMENTO!B910</f>
        <v xml:space="preserve"> 103670 </v>
      </c>
      <c r="E555" s="44" t="str">
        <f>ORÇAMENTO!C910</f>
        <v>SINAPI</v>
      </c>
      <c r="F555" s="480" t="str">
        <f>ORÇAMENTO!D910</f>
        <v>LANÇAMENTO COM USO DE BALDES, ADENSAMENTO E ACABAMENTO DE CONCRETO EM ESTRUTURAS. AF_02/2022</v>
      </c>
      <c r="G555" s="44" t="str">
        <f>ORÇAMENTO!E910</f>
        <v>M³</v>
      </c>
      <c r="H555" s="44">
        <f>ORÇAMENTO!F910</f>
        <v>141.72</v>
      </c>
      <c r="I555" s="44">
        <f>ORÇAMENTO!G910</f>
        <v>326.63</v>
      </c>
      <c r="J555" s="44">
        <f>ORÇAMENTO!H910</f>
        <v>0.2122</v>
      </c>
      <c r="K555" s="44">
        <f>ORÇAMENTO!I910</f>
        <v>395.94</v>
      </c>
      <c r="L555" s="44">
        <f>ORÇAMENTO!J910</f>
        <v>56112.61</v>
      </c>
      <c r="M555" s="23">
        <f>ORÇAMENTO!K910</f>
        <v>1.9837489448478168E-3</v>
      </c>
      <c r="N555" s="23" t="str">
        <f t="shared" si="33"/>
        <v>OK!</v>
      </c>
      <c r="O555" s="23" t="str">
        <f t="shared" si="34"/>
        <v>OK!</v>
      </c>
      <c r="P555" s="23" t="str">
        <f t="shared" si="35"/>
        <v>OK!</v>
      </c>
    </row>
    <row r="556" spans="2:16" ht="29" x14ac:dyDescent="0.35">
      <c r="B556" s="43">
        <f t="shared" si="32"/>
        <v>100</v>
      </c>
      <c r="C556" s="44" t="str">
        <f>ORÇAMENTO!A918</f>
        <v>7.1.2.8.4</v>
      </c>
      <c r="D556" s="44" t="str">
        <f>ORÇAMENTO!B918</f>
        <v xml:space="preserve"> 103670 </v>
      </c>
      <c r="E556" s="44" t="str">
        <f>ORÇAMENTO!C918</f>
        <v>SINAPI</v>
      </c>
      <c r="F556" s="480" t="str">
        <f>ORÇAMENTO!D918</f>
        <v>LANÇAMENTO COM USO DE BALDES, ADENSAMENTO E ACABAMENTO DE CONCRETO EM ESTRUTURAS. AF_02/2022</v>
      </c>
      <c r="G556" s="44" t="str">
        <f>ORÇAMENTO!E918</f>
        <v>M³</v>
      </c>
      <c r="H556" s="44">
        <f>ORÇAMENTO!F918</f>
        <v>480.47</v>
      </c>
      <c r="I556" s="44">
        <f>ORÇAMENTO!G918</f>
        <v>326.63</v>
      </c>
      <c r="J556" s="44">
        <f>ORÇAMENTO!H918</f>
        <v>0.2122</v>
      </c>
      <c r="K556" s="44">
        <f>ORÇAMENTO!I918</f>
        <v>395.94</v>
      </c>
      <c r="L556" s="44">
        <f>ORÇAMENTO!J918</f>
        <v>190237.29</v>
      </c>
      <c r="M556" s="23">
        <f>ORÇAMENTO!K918</f>
        <v>6.7254583828520566E-3</v>
      </c>
      <c r="N556" s="23" t="str">
        <f t="shared" si="33"/>
        <v>OK!</v>
      </c>
      <c r="O556" s="23" t="str">
        <f t="shared" si="34"/>
        <v>OK!</v>
      </c>
      <c r="P556" s="23" t="str">
        <f t="shared" si="35"/>
        <v>OK!</v>
      </c>
    </row>
    <row r="557" spans="2:16" ht="29" x14ac:dyDescent="0.35">
      <c r="B557" s="43">
        <f t="shared" si="32"/>
        <v>100</v>
      </c>
      <c r="C557" s="44" t="str">
        <f>ORÇAMENTO!A1014</f>
        <v xml:space="preserve"> 8.5.2</v>
      </c>
      <c r="D557" s="44" t="str">
        <f>ORÇAMENTO!B1014</f>
        <v xml:space="preserve"> 103670 </v>
      </c>
      <c r="E557" s="44" t="str">
        <f>ORÇAMENTO!C1014</f>
        <v>SINAPI</v>
      </c>
      <c r="F557" s="636" t="str">
        <f>ORÇAMENTO!D1014</f>
        <v>LANÇAMENTO COM USO DE BALDES, ADENSAMENTO E ACABAMENTO DE CONCRETO EM ESTRUTURAS. AF_02/2022</v>
      </c>
      <c r="G557" s="44" t="str">
        <f>ORÇAMENTO!E1014</f>
        <v>M³</v>
      </c>
      <c r="H557" s="44">
        <f>ORÇAMENTO!F1014</f>
        <v>19.05</v>
      </c>
      <c r="I557" s="44">
        <f>ORÇAMENTO!G1014</f>
        <v>326.63</v>
      </c>
      <c r="J557" s="44">
        <f>ORÇAMENTO!H1014</f>
        <v>0.2122</v>
      </c>
      <c r="K557" s="44">
        <f>ORÇAMENTO!I1014</f>
        <v>395.94</v>
      </c>
      <c r="L557" s="638">
        <f>ORÇAMENTO!J1014</f>
        <v>7542.65</v>
      </c>
      <c r="M557" s="23">
        <f>ORÇAMENTO!K1014</f>
        <v>2.6665528441568455E-4</v>
      </c>
      <c r="N557" s="23" t="str">
        <f t="shared" si="33"/>
        <v>OK!</v>
      </c>
      <c r="O557" s="23" t="str">
        <f t="shared" si="34"/>
        <v>OK!</v>
      </c>
      <c r="P557" s="23" t="str">
        <f t="shared" si="35"/>
        <v>OK!</v>
      </c>
    </row>
    <row r="558" spans="2:16" ht="29" x14ac:dyDescent="0.35">
      <c r="B558" s="43">
        <f t="shared" si="32"/>
        <v>100</v>
      </c>
      <c r="C558" s="44" t="str">
        <f>ORÇAMENTO!A1020</f>
        <v xml:space="preserve"> 8.6.3</v>
      </c>
      <c r="D558" s="44" t="str">
        <f>ORÇAMENTO!B1020</f>
        <v xml:space="preserve"> 103670 </v>
      </c>
      <c r="E558" s="44" t="str">
        <f>ORÇAMENTO!C1020</f>
        <v>SINAPI</v>
      </c>
      <c r="F558" s="636" t="str">
        <f>ORÇAMENTO!D1020</f>
        <v>LANÇAMENTO COM USO DE BALDES, ADENSAMENTO E ACABAMENTO DE CONCRETO EM ESTRUTURAS. AF_02/2022</v>
      </c>
      <c r="G558" s="44" t="str">
        <f>ORÇAMENTO!E1020</f>
        <v>M³</v>
      </c>
      <c r="H558" s="44">
        <f>ORÇAMENTO!F1020</f>
        <v>19.352000000000004</v>
      </c>
      <c r="I558" s="44">
        <f>ORÇAMENTO!G1020</f>
        <v>326.63</v>
      </c>
      <c r="J558" s="44">
        <f>ORÇAMENTO!H1020</f>
        <v>0.2122</v>
      </c>
      <c r="K558" s="44">
        <f>ORÇAMENTO!I1020</f>
        <v>395.94</v>
      </c>
      <c r="L558" s="638">
        <f>ORÇAMENTO!J1020</f>
        <v>7662.23</v>
      </c>
      <c r="M558" s="23">
        <f>ORÇAMENTO!K1020</f>
        <v>2.7088279582220974E-4</v>
      </c>
      <c r="N558" s="23" t="str">
        <f t="shared" si="33"/>
        <v>OK!</v>
      </c>
      <c r="O558" s="23" t="str">
        <f t="shared" si="34"/>
        <v>OK!</v>
      </c>
      <c r="P558" s="23" t="str">
        <f t="shared" si="35"/>
        <v>OK!</v>
      </c>
    </row>
    <row r="559" spans="2:16" ht="29" x14ac:dyDescent="0.35">
      <c r="B559" s="43">
        <f t="shared" si="32"/>
        <v>100</v>
      </c>
      <c r="C559" s="44" t="str">
        <f>ORÇAMENTO!A1034</f>
        <v xml:space="preserve"> 8.7.5</v>
      </c>
      <c r="D559" s="44" t="str">
        <f>ORÇAMENTO!B1034</f>
        <v xml:space="preserve"> 103670 </v>
      </c>
      <c r="E559" s="44" t="str">
        <f>ORÇAMENTO!C1034</f>
        <v>SINAPI</v>
      </c>
      <c r="F559" s="636" t="str">
        <f>ORÇAMENTO!D1034</f>
        <v>LANÇAMENTO COM USO DE BALDES, ADENSAMENTO E ACABAMENTO DE CONCRETO EM ESTRUTURAS. AF_02/2022</v>
      </c>
      <c r="G559" s="44" t="str">
        <f>ORÇAMENTO!E1034</f>
        <v>M³</v>
      </c>
      <c r="H559" s="44">
        <f>ORÇAMENTO!F1034</f>
        <v>8.6300000000000008</v>
      </c>
      <c r="I559" s="44">
        <f>ORÇAMENTO!G1034</f>
        <v>326.63</v>
      </c>
      <c r="J559" s="44">
        <f>ORÇAMENTO!H1034</f>
        <v>0.2122</v>
      </c>
      <c r="K559" s="44">
        <f>ORÇAMENTO!I1034</f>
        <v>395.94</v>
      </c>
      <c r="L559" s="638">
        <f>ORÇAMENTO!J1034</f>
        <v>3416.96</v>
      </c>
      <c r="M559" s="23">
        <f>ORÇAMENTO!K1034</f>
        <v>1.2079977735106593E-4</v>
      </c>
      <c r="N559" s="23" t="str">
        <f t="shared" si="33"/>
        <v>OK!</v>
      </c>
      <c r="O559" s="23" t="str">
        <f t="shared" si="34"/>
        <v>OK!</v>
      </c>
      <c r="P559" s="23" t="str">
        <f t="shared" si="35"/>
        <v>OK!</v>
      </c>
    </row>
    <row r="560" spans="2:16" x14ac:dyDescent="0.35">
      <c r="B560" s="43">
        <f t="shared" si="32"/>
        <v>101</v>
      </c>
      <c r="C560" s="44" t="str">
        <f>ORÇAMENTO!A1006</f>
        <v xml:space="preserve"> 8.4.5</v>
      </c>
      <c r="D560" s="44" t="str">
        <f>ORÇAMENTO!B1006</f>
        <v xml:space="preserve"> 2003868 </v>
      </c>
      <c r="E560" s="44" t="str">
        <f>ORÇAMENTO!C1006</f>
        <v>SICRO3</v>
      </c>
      <c r="F560" s="636" t="str">
        <f>ORÇAMENTO!D1006</f>
        <v>LASTRO DE PEDRA DE MÃO OU RACHÃO - ESPALHAMENTO MANUAL</v>
      </c>
      <c r="G560" s="44" t="str">
        <f>ORÇAMENTO!E1006</f>
        <v>M³</v>
      </c>
      <c r="H560" s="44">
        <f>ORÇAMENTO!F1006</f>
        <v>4285.5358499999993</v>
      </c>
      <c r="I560" s="44">
        <f>ORÇAMENTO!G1006</f>
        <v>130.54</v>
      </c>
      <c r="J560" s="44">
        <f>ORÇAMENTO!H1006</f>
        <v>0.2122</v>
      </c>
      <c r="K560" s="44">
        <f>ORÇAMENTO!I1006</f>
        <v>158.24</v>
      </c>
      <c r="L560" s="638">
        <f>ORÇAMENTO!J1006</f>
        <v>678143.19</v>
      </c>
      <c r="M560" s="23">
        <f>ORÇAMENTO!K1006</f>
        <v>2.397439430492063E-2</v>
      </c>
      <c r="N560" s="23" t="str">
        <f t="shared" si="33"/>
        <v>DIFERENTE</v>
      </c>
      <c r="O560" s="23" t="str">
        <f t="shared" si="34"/>
        <v>DIFERENTE</v>
      </c>
      <c r="P560" s="23" t="str">
        <f t="shared" si="35"/>
        <v>DIFERENTE</v>
      </c>
    </row>
    <row r="561" spans="2:16" x14ac:dyDescent="0.35">
      <c r="B561" s="43">
        <f t="shared" si="32"/>
        <v>102</v>
      </c>
      <c r="C561" s="44" t="str">
        <f>ORÇAMENTO!A264</f>
        <v>4.1.2.8.1</v>
      </c>
      <c r="D561" s="44" t="str">
        <f>ORÇAMENTO!B264</f>
        <v xml:space="preserve"> 27.01.06U </v>
      </c>
      <c r="E561" s="44" t="str">
        <f>ORÇAMENTO!C264</f>
        <v>COMPESA</v>
      </c>
      <c r="F561" s="480" t="str">
        <f>ORÇAMENTO!D264</f>
        <v>LIMPEZA E TESTE DE REDES DE DRENAGEM</v>
      </c>
      <c r="G561" s="44" t="str">
        <f>ORÇAMENTO!E264</f>
        <v>M</v>
      </c>
      <c r="H561" s="44">
        <f>ORÇAMENTO!F264</f>
        <v>940.26</v>
      </c>
      <c r="I561" s="44">
        <f>ORÇAMENTO!G264</f>
        <v>5.19</v>
      </c>
      <c r="J561" s="44">
        <f>ORÇAMENTO!H264</f>
        <v>0.2122</v>
      </c>
      <c r="K561" s="44">
        <f>ORÇAMENTO!I264</f>
        <v>6.29</v>
      </c>
      <c r="L561" s="44">
        <f>ORÇAMENTO!J264</f>
        <v>5914.23</v>
      </c>
      <c r="M561" s="23">
        <f>ORÇAMENTO!K264</f>
        <v>2.0908575669688689E-4</v>
      </c>
      <c r="N561" s="23" t="str">
        <f t="shared" si="33"/>
        <v>DIFERENTE</v>
      </c>
      <c r="O561" s="23" t="str">
        <f t="shared" si="34"/>
        <v>DIFERENTE</v>
      </c>
      <c r="P561" s="23" t="str">
        <f t="shared" si="35"/>
        <v>DIFERENTE</v>
      </c>
    </row>
    <row r="562" spans="2:16" x14ac:dyDescent="0.35">
      <c r="B562" s="43">
        <f t="shared" si="32"/>
        <v>102</v>
      </c>
      <c r="C562" s="44" t="str">
        <f>ORÇAMENTO!A507</f>
        <v>5.1.2.8.1</v>
      </c>
      <c r="D562" s="44" t="str">
        <f>ORÇAMENTO!B507</f>
        <v xml:space="preserve"> 27.01.06U </v>
      </c>
      <c r="E562" s="44" t="str">
        <f>ORÇAMENTO!C507</f>
        <v>COMPESA</v>
      </c>
      <c r="F562" s="480" t="str">
        <f>ORÇAMENTO!D507</f>
        <v>LIMPEZA E TESTE DE REDES DE DRENAGEM</v>
      </c>
      <c r="G562" s="44" t="str">
        <f>ORÇAMENTO!E507</f>
        <v>M</v>
      </c>
      <c r="H562" s="44">
        <f>ORÇAMENTO!F507</f>
        <v>1892.75</v>
      </c>
      <c r="I562" s="44">
        <f>ORÇAMENTO!G507</f>
        <v>5.19</v>
      </c>
      <c r="J562" s="44">
        <f>ORÇAMENTO!H507</f>
        <v>0.2122</v>
      </c>
      <c r="K562" s="44">
        <f>ORÇAMENTO!I507</f>
        <v>6.29</v>
      </c>
      <c r="L562" s="44">
        <f>ORÇAMENTO!J507</f>
        <v>11905.39</v>
      </c>
      <c r="M562" s="23">
        <f>ORÇAMENTO!K507</f>
        <v>4.2089121946923782E-4</v>
      </c>
      <c r="N562" s="23" t="str">
        <f t="shared" si="33"/>
        <v>OK!</v>
      </c>
      <c r="O562" s="23" t="str">
        <f t="shared" si="34"/>
        <v>OK!</v>
      </c>
      <c r="P562" s="23" t="str">
        <f t="shared" si="35"/>
        <v>OK!</v>
      </c>
    </row>
    <row r="563" spans="2:16" x14ac:dyDescent="0.35">
      <c r="B563" s="43">
        <f t="shared" si="32"/>
        <v>102</v>
      </c>
      <c r="C563" s="44" t="str">
        <f>ORÇAMENTO!A702</f>
        <v>6.1.2.8.1</v>
      </c>
      <c r="D563" s="44" t="str">
        <f>ORÇAMENTO!B702</f>
        <v xml:space="preserve"> 27.01.06U </v>
      </c>
      <c r="E563" s="44" t="str">
        <f>ORÇAMENTO!C702</f>
        <v>COMPESA</v>
      </c>
      <c r="F563" s="480" t="str">
        <f>ORÇAMENTO!D702</f>
        <v>LIMPEZA E TESTE DE REDES DE DRENAGEM</v>
      </c>
      <c r="G563" s="44" t="str">
        <f>ORÇAMENTO!E702</f>
        <v>M</v>
      </c>
      <c r="H563" s="44">
        <f>ORÇAMENTO!F702</f>
        <v>638.88</v>
      </c>
      <c r="I563" s="44">
        <f>ORÇAMENTO!G702</f>
        <v>5.19</v>
      </c>
      <c r="J563" s="44">
        <f>ORÇAMENTO!H702</f>
        <v>0.2122</v>
      </c>
      <c r="K563" s="44">
        <f>ORÇAMENTO!I702</f>
        <v>6.29</v>
      </c>
      <c r="L563" s="44">
        <f>ORÇAMENTO!J702</f>
        <v>4018.55</v>
      </c>
      <c r="M563" s="23">
        <f>ORÇAMENTO!K702</f>
        <v>1.4206778694340175E-4</v>
      </c>
      <c r="N563" s="23" t="str">
        <f t="shared" si="33"/>
        <v>OK!</v>
      </c>
      <c r="O563" s="23" t="str">
        <f t="shared" si="34"/>
        <v>OK!</v>
      </c>
      <c r="P563" s="23" t="str">
        <f t="shared" si="35"/>
        <v>OK!</v>
      </c>
    </row>
    <row r="564" spans="2:16" x14ac:dyDescent="0.35">
      <c r="B564" s="43">
        <f t="shared" si="32"/>
        <v>102</v>
      </c>
      <c r="C564" s="44" t="str">
        <f>ORÇAMENTO!A922</f>
        <v>7.1.2.9.1</v>
      </c>
      <c r="D564" s="44" t="str">
        <f>ORÇAMENTO!B922</f>
        <v xml:space="preserve"> 27.01.06U </v>
      </c>
      <c r="E564" s="44" t="str">
        <f>ORÇAMENTO!C922</f>
        <v>COMPESA</v>
      </c>
      <c r="F564" s="480" t="str">
        <f>ORÇAMENTO!D922</f>
        <v>LIMPEZA E TESTE DE REDES DE DRENAGEM</v>
      </c>
      <c r="G564" s="44" t="str">
        <f>ORÇAMENTO!E922</f>
        <v>M</v>
      </c>
      <c r="H564" s="44">
        <f>ORÇAMENTO!F922</f>
        <v>1848.25</v>
      </c>
      <c r="I564" s="44">
        <f>ORÇAMENTO!G922</f>
        <v>5.19</v>
      </c>
      <c r="J564" s="44">
        <f>ORÇAMENTO!H922</f>
        <v>0.2122</v>
      </c>
      <c r="K564" s="44">
        <f>ORÇAMENTO!I922</f>
        <v>6.29</v>
      </c>
      <c r="L564" s="44">
        <f>ORÇAMENTO!J922</f>
        <v>11625.49</v>
      </c>
      <c r="M564" s="23">
        <f>ORÇAMENTO!K922</f>
        <v>4.1099591554979965E-4</v>
      </c>
      <c r="N564" s="23" t="str">
        <f t="shared" si="33"/>
        <v>OK!</v>
      </c>
      <c r="O564" s="23" t="str">
        <f t="shared" si="34"/>
        <v>OK!</v>
      </c>
      <c r="P564" s="23" t="str">
        <f t="shared" si="35"/>
        <v>OK!</v>
      </c>
    </row>
    <row r="565" spans="2:16" x14ac:dyDescent="0.35">
      <c r="B565" s="43">
        <f t="shared" si="32"/>
        <v>103</v>
      </c>
      <c r="C565" s="44" t="str">
        <f>ORÇAMENTO!A509</f>
        <v>5.2.1</v>
      </c>
      <c r="D565" s="44" t="str">
        <f>ORÇAMENTO!B509</f>
        <v xml:space="preserve"> 98524 </v>
      </c>
      <c r="E565" s="44" t="str">
        <f>ORÇAMENTO!C509</f>
        <v>SINAPI</v>
      </c>
      <c r="F565" s="480" t="str">
        <f>ORÇAMENTO!D509</f>
        <v>LIMPEZA MANUAL DE VEGETAÇÃO EM TERRENO COM ENXADA. AF_03/2024</v>
      </c>
      <c r="G565" s="44" t="str">
        <f>ORÇAMENTO!E509</f>
        <v>M²</v>
      </c>
      <c r="H565" s="44">
        <f>ORÇAMENTO!F509</f>
        <v>107.07</v>
      </c>
      <c r="I565" s="44">
        <f>ORÇAMENTO!G509</f>
        <v>4.9800000000000004</v>
      </c>
      <c r="J565" s="44">
        <f>ORÇAMENTO!H509</f>
        <v>0.2122</v>
      </c>
      <c r="K565" s="44">
        <f>ORÇAMENTO!I509</f>
        <v>6.04</v>
      </c>
      <c r="L565" s="44">
        <f>ORÇAMENTO!J509</f>
        <v>646.70000000000005</v>
      </c>
      <c r="M565" s="23">
        <f>ORÇAMENTO!K509</f>
        <v>2.286278329653679E-5</v>
      </c>
      <c r="N565" s="23" t="str">
        <f t="shared" si="33"/>
        <v>DIFERENTE</v>
      </c>
      <c r="O565" s="23" t="str">
        <f t="shared" si="34"/>
        <v>DIFERENTE</v>
      </c>
      <c r="P565" s="23" t="str">
        <f t="shared" si="35"/>
        <v>DIFERENTE</v>
      </c>
    </row>
    <row r="566" spans="2:16" x14ac:dyDescent="0.35">
      <c r="B566" s="43">
        <f t="shared" si="32"/>
        <v>103</v>
      </c>
      <c r="C566" s="44" t="str">
        <f>ORÇAMENTO!A704</f>
        <v>6.2.1</v>
      </c>
      <c r="D566" s="44" t="str">
        <f>ORÇAMENTO!B704</f>
        <v xml:space="preserve"> 98524 </v>
      </c>
      <c r="E566" s="44" t="str">
        <f>ORÇAMENTO!C704</f>
        <v>SINAPI</v>
      </c>
      <c r="F566" s="480" t="str">
        <f>ORÇAMENTO!D704</f>
        <v>LIMPEZA MANUAL DE VEGETAÇÃO EM TERRENO COM ENXADA. AF_03/2024</v>
      </c>
      <c r="G566" s="44" t="str">
        <f>ORÇAMENTO!E704</f>
        <v>M²</v>
      </c>
      <c r="H566" s="44">
        <f>ORÇAMENTO!F704</f>
        <v>2961.07</v>
      </c>
      <c r="I566" s="44">
        <f>ORÇAMENTO!G704</f>
        <v>4.9800000000000004</v>
      </c>
      <c r="J566" s="44">
        <f>ORÇAMENTO!H704</f>
        <v>0.2122</v>
      </c>
      <c r="K566" s="44">
        <f>ORÇAMENTO!I704</f>
        <v>6.04</v>
      </c>
      <c r="L566" s="44">
        <f>ORÇAMENTO!J704</f>
        <v>17884.86</v>
      </c>
      <c r="M566" s="23">
        <f>ORÇAMENTO!K704</f>
        <v>6.3228340570418886E-4</v>
      </c>
      <c r="N566" s="23" t="str">
        <f t="shared" si="33"/>
        <v>OK!</v>
      </c>
      <c r="O566" s="23" t="str">
        <f t="shared" si="34"/>
        <v>OK!</v>
      </c>
      <c r="P566" s="23" t="str">
        <f t="shared" si="35"/>
        <v>OK!</v>
      </c>
    </row>
    <row r="567" spans="2:16" x14ac:dyDescent="0.35">
      <c r="B567" s="43">
        <f t="shared" si="32"/>
        <v>103</v>
      </c>
      <c r="C567" s="44" t="str">
        <f>ORÇAMENTO!A924</f>
        <v>7.2.1</v>
      </c>
      <c r="D567" s="44" t="str">
        <f>ORÇAMENTO!B924</f>
        <v xml:space="preserve"> 98524 </v>
      </c>
      <c r="E567" s="44" t="str">
        <f>ORÇAMENTO!C924</f>
        <v>SINAPI</v>
      </c>
      <c r="F567" s="480" t="str">
        <f>ORÇAMENTO!D924</f>
        <v>LIMPEZA MANUAL DE VEGETAÇÃO EM TERRENO COM ENXADA. AF_03/2024</v>
      </c>
      <c r="G567" s="44" t="str">
        <f>ORÇAMENTO!E924</f>
        <v>M²</v>
      </c>
      <c r="H567" s="44">
        <f>ORÇAMENTO!F924</f>
        <v>184.35</v>
      </c>
      <c r="I567" s="44">
        <f>ORÇAMENTO!G924</f>
        <v>4.9800000000000004</v>
      </c>
      <c r="J567" s="44">
        <f>ORÇAMENTO!H924</f>
        <v>0.2122</v>
      </c>
      <c r="K567" s="44">
        <f>ORÇAMENTO!I924</f>
        <v>6.04</v>
      </c>
      <c r="L567" s="44">
        <f>ORÇAMENTO!J924</f>
        <v>1113.47</v>
      </c>
      <c r="M567" s="23">
        <f>ORÇAMENTO!K924</f>
        <v>3.9364501804847401E-5</v>
      </c>
      <c r="N567" s="23" t="str">
        <f t="shared" si="33"/>
        <v>OK!</v>
      </c>
      <c r="O567" s="23" t="str">
        <f t="shared" si="34"/>
        <v>OK!</v>
      </c>
      <c r="P567" s="23" t="str">
        <f t="shared" si="35"/>
        <v>OK!</v>
      </c>
    </row>
    <row r="568" spans="2:16" ht="43.5" x14ac:dyDescent="0.35">
      <c r="B568" s="43">
        <f t="shared" si="32"/>
        <v>104</v>
      </c>
      <c r="C568" s="44" t="str">
        <f>ORÇAMENTO!A267</f>
        <v>4.2.1.1</v>
      </c>
      <c r="D568" s="44" t="str">
        <f>ORÇAMENTO!B267</f>
        <v xml:space="preserve"> 98525 </v>
      </c>
      <c r="E568" s="44" t="str">
        <f>ORÇAMENTO!C267</f>
        <v>SINAPI</v>
      </c>
      <c r="F568" s="480" t="str">
        <f>ORÇAMENTO!D267</f>
        <v>LIMPEZA MECANIZADA DE CAMADA VEGETAL, VEGETAÇÃO E PEQUENAS ÁRVORES (DIÂMETRO DE TRONCO MENOR QUE 0,20 M), COM TRATOR DE ESTEIRAS. AF_03/2024</v>
      </c>
      <c r="G568" s="44" t="str">
        <f>ORÇAMENTO!E267</f>
        <v>M²</v>
      </c>
      <c r="H568" s="44">
        <f>ORÇAMENTO!F267</f>
        <v>4007.34</v>
      </c>
      <c r="I568" s="44">
        <f>ORÇAMENTO!G267</f>
        <v>0.65</v>
      </c>
      <c r="J568" s="44">
        <f>ORÇAMENTO!H267</f>
        <v>0.2122</v>
      </c>
      <c r="K568" s="44">
        <f>ORÇAMENTO!I267</f>
        <v>0.79</v>
      </c>
      <c r="L568" s="44">
        <f>ORÇAMENTO!J267</f>
        <v>3165.79</v>
      </c>
      <c r="M568" s="23">
        <f>ORÇAMENTO!K267</f>
        <v>1.1192016504150795E-4</v>
      </c>
      <c r="N568" s="23" t="str">
        <f t="shared" si="33"/>
        <v>DIFERENTE</v>
      </c>
      <c r="O568" s="23" t="str">
        <f t="shared" si="34"/>
        <v>DIFERENTE</v>
      </c>
      <c r="P568" s="23" t="str">
        <f t="shared" si="35"/>
        <v>DIFERENTE</v>
      </c>
    </row>
    <row r="569" spans="2:16" ht="43.5" x14ac:dyDescent="0.35">
      <c r="B569" s="43">
        <f t="shared" si="32"/>
        <v>104</v>
      </c>
      <c r="C569" s="44" t="str">
        <f>ORÇAMENTO!A956</f>
        <v>7.5.1.1</v>
      </c>
      <c r="D569" s="44" t="str">
        <f>ORÇAMENTO!B956</f>
        <v xml:space="preserve"> 98525 </v>
      </c>
      <c r="E569" s="44" t="str">
        <f>ORÇAMENTO!C956</f>
        <v>SINAPI</v>
      </c>
      <c r="F569" s="636" t="str">
        <f>ORÇAMENTO!D956</f>
        <v>LIMPEZA MECANIZADA DE CAMADA VEGETAL, VEGETAÇÃO E PEQUENAS ÁRVORES (DIÂMETRO DE TRONCO MENOR QUE 0,20 M), COM TRATOR DE ESTEIRAS. AF_03/2024</v>
      </c>
      <c r="G569" s="44" t="str">
        <f>ORÇAMENTO!E956</f>
        <v>M²</v>
      </c>
      <c r="H569" s="44">
        <f>ORÇAMENTO!F956</f>
        <v>5667.79</v>
      </c>
      <c r="I569" s="44">
        <f>ORÇAMENTO!G956</f>
        <v>0.65</v>
      </c>
      <c r="J569" s="44">
        <f>ORÇAMENTO!H956</f>
        <v>0.2122</v>
      </c>
      <c r="K569" s="44">
        <f>ORÇAMENTO!I956</f>
        <v>0.79</v>
      </c>
      <c r="L569" s="638">
        <f>ORÇAMENTO!J956</f>
        <v>4477.55</v>
      </c>
      <c r="M569" s="23">
        <f>ORÇAMENTO!K956</f>
        <v>1.5829481266338069E-4</v>
      </c>
      <c r="N569" s="23" t="str">
        <f t="shared" si="33"/>
        <v>OK!</v>
      </c>
      <c r="O569" s="23" t="str">
        <f t="shared" si="34"/>
        <v>OK!</v>
      </c>
      <c r="P569" s="23" t="str">
        <f t="shared" si="35"/>
        <v>OK!</v>
      </c>
    </row>
    <row r="570" spans="2:16" ht="43.5" x14ac:dyDescent="0.35">
      <c r="B570" s="43">
        <f t="shared" si="32"/>
        <v>104</v>
      </c>
      <c r="C570" s="44" t="str">
        <f>ORÇAMENTO!A989</f>
        <v xml:space="preserve"> 8.1.1 </v>
      </c>
      <c r="D570" s="44" t="str">
        <f>ORÇAMENTO!B989</f>
        <v xml:space="preserve"> 98525 </v>
      </c>
      <c r="E570" s="44" t="str">
        <f>ORÇAMENTO!C989</f>
        <v>SINAPI</v>
      </c>
      <c r="F570" s="636" t="str">
        <f>ORÇAMENTO!D989</f>
        <v>LIMPEZA MECANIZADA DE CAMADA VEGETAL, VEGETAÇÃO E PEQUENAS ÁRVORES (DIÂMETRO DE TRONCO MENOR QUE 0,20 M), COM TRATOR DE ESTEIRAS. AF_03/2024</v>
      </c>
      <c r="G570" s="44" t="str">
        <f>ORÇAMENTO!E989</f>
        <v>M²</v>
      </c>
      <c r="H570" s="44">
        <f>ORÇAMENTO!F989</f>
        <v>5950</v>
      </c>
      <c r="I570" s="44">
        <f>ORÇAMENTO!G989</f>
        <v>0.65</v>
      </c>
      <c r="J570" s="44">
        <f>ORÇAMENTO!H989</f>
        <v>0.2122</v>
      </c>
      <c r="K570" s="44">
        <f>ORÇAMENTO!I989</f>
        <v>0.79</v>
      </c>
      <c r="L570" s="638">
        <f>ORÇAMENTO!J989</f>
        <v>4700.5</v>
      </c>
      <c r="M570" s="23">
        <f>ORÇAMENTO!K989</f>
        <v>1.6617676339163626E-4</v>
      </c>
      <c r="N570" s="23" t="str">
        <f t="shared" si="33"/>
        <v>OK!</v>
      </c>
      <c r="O570" s="23" t="str">
        <f t="shared" si="34"/>
        <v>OK!</v>
      </c>
      <c r="P570" s="23" t="str">
        <f t="shared" si="35"/>
        <v>OK!</v>
      </c>
    </row>
    <row r="571" spans="2:16" x14ac:dyDescent="0.35">
      <c r="B571" s="43">
        <f t="shared" si="32"/>
        <v>105</v>
      </c>
      <c r="C571" s="44" t="str">
        <f>ORÇAMENTO!A303</f>
        <v>4.3.2.2</v>
      </c>
      <c r="D571" s="44" t="str">
        <f>ORÇAMENTO!B303</f>
        <v xml:space="preserve"> 25.14.10 </v>
      </c>
      <c r="E571" s="44" t="str">
        <f>ORÇAMENTO!C303</f>
        <v>EMBASA</v>
      </c>
      <c r="F571" s="480" t="str">
        <f>ORÇAMENTO!D303</f>
        <v>LIMPEZA PV</v>
      </c>
      <c r="G571" s="44" t="str">
        <f>ORÇAMENTO!E303</f>
        <v>UN</v>
      </c>
      <c r="H571" s="44">
        <f>ORÇAMENTO!F303</f>
        <v>55</v>
      </c>
      <c r="I571" s="44">
        <f>ORÇAMENTO!G303</f>
        <v>27.02</v>
      </c>
      <c r="J571" s="44">
        <f>ORÇAMENTO!H303</f>
        <v>0.2122</v>
      </c>
      <c r="K571" s="44">
        <f>ORÇAMENTO!I303</f>
        <v>32.75</v>
      </c>
      <c r="L571" s="44">
        <f>ORÇAMENTO!J303</f>
        <v>1801.25</v>
      </c>
      <c r="M571" s="23">
        <f>ORÇAMENTO!K303</f>
        <v>6.3679586226823701E-5</v>
      </c>
      <c r="N571" s="23" t="str">
        <f t="shared" si="33"/>
        <v>DIFERENTE</v>
      </c>
      <c r="O571" s="23" t="str">
        <f t="shared" si="34"/>
        <v>DIFERENTE</v>
      </c>
      <c r="P571" s="23" t="str">
        <f t="shared" si="35"/>
        <v>DIFERENTE</v>
      </c>
    </row>
    <row r="572" spans="2:16" x14ac:dyDescent="0.35">
      <c r="B572" s="43">
        <f t="shared" si="32"/>
        <v>105</v>
      </c>
      <c r="C572" s="44" t="str">
        <f>ORÇAMENTO!A516</f>
        <v>5.3.2.2</v>
      </c>
      <c r="D572" s="44" t="str">
        <f>ORÇAMENTO!B516</f>
        <v xml:space="preserve"> 25.14.10 </v>
      </c>
      <c r="E572" s="44" t="str">
        <f>ORÇAMENTO!C516</f>
        <v>EMBASA</v>
      </c>
      <c r="F572" s="480" t="str">
        <f>ORÇAMENTO!D516</f>
        <v>LIMPEZA PV</v>
      </c>
      <c r="G572" s="44" t="str">
        <f>ORÇAMENTO!E516</f>
        <v>UN</v>
      </c>
      <c r="H572" s="44">
        <f>ORÇAMENTO!F516</f>
        <v>35</v>
      </c>
      <c r="I572" s="44">
        <f>ORÇAMENTO!G516</f>
        <v>27.02</v>
      </c>
      <c r="J572" s="44">
        <f>ORÇAMENTO!H516</f>
        <v>0.2122</v>
      </c>
      <c r="K572" s="44">
        <f>ORÇAMENTO!I516</f>
        <v>32.75</v>
      </c>
      <c r="L572" s="44">
        <f>ORÇAMENTO!J516</f>
        <v>1146.25</v>
      </c>
      <c r="M572" s="23">
        <f>ORÇAMENTO!K516</f>
        <v>4.0523373053433263E-5</v>
      </c>
      <c r="N572" s="23" t="str">
        <f t="shared" si="33"/>
        <v>OK!</v>
      </c>
      <c r="O572" s="23" t="str">
        <f t="shared" si="34"/>
        <v>OK!</v>
      </c>
      <c r="P572" s="23" t="str">
        <f t="shared" si="35"/>
        <v>OK!</v>
      </c>
    </row>
    <row r="573" spans="2:16" x14ac:dyDescent="0.35">
      <c r="B573" s="43">
        <f t="shared" si="32"/>
        <v>105</v>
      </c>
      <c r="C573" s="44" t="str">
        <f>ORÇAMENTO!A709</f>
        <v>6.3.3</v>
      </c>
      <c r="D573" s="44" t="str">
        <f>ORÇAMENTO!B709</f>
        <v xml:space="preserve"> 25.14.10 </v>
      </c>
      <c r="E573" s="44" t="str">
        <f>ORÇAMENTO!C709</f>
        <v>EMBASA</v>
      </c>
      <c r="F573" s="480" t="str">
        <f>ORÇAMENTO!D709</f>
        <v>LIMPEZA PV</v>
      </c>
      <c r="G573" s="44" t="str">
        <f>ORÇAMENTO!E709</f>
        <v>UN</v>
      </c>
      <c r="H573" s="44">
        <f>ORÇAMENTO!F709</f>
        <v>68</v>
      </c>
      <c r="I573" s="44">
        <f>ORÇAMENTO!G709</f>
        <v>27.02</v>
      </c>
      <c r="J573" s="44">
        <f>ORÇAMENTO!H709</f>
        <v>0.2122</v>
      </c>
      <c r="K573" s="44">
        <f>ORÇAMENTO!I709</f>
        <v>32.75</v>
      </c>
      <c r="L573" s="44">
        <f>ORÇAMENTO!J709</f>
        <v>2227</v>
      </c>
      <c r="M573" s="23">
        <f>ORÇAMENTO!K709</f>
        <v>7.8731124789527482E-5</v>
      </c>
      <c r="N573" s="23" t="str">
        <f t="shared" si="33"/>
        <v>OK!</v>
      </c>
      <c r="O573" s="23" t="str">
        <f t="shared" si="34"/>
        <v>OK!</v>
      </c>
      <c r="P573" s="23" t="str">
        <f t="shared" si="35"/>
        <v>OK!</v>
      </c>
    </row>
    <row r="574" spans="2:16" x14ac:dyDescent="0.35">
      <c r="B574" s="43">
        <f t="shared" si="32"/>
        <v>105</v>
      </c>
      <c r="C574" s="44" t="str">
        <f>ORÇAMENTO!A931</f>
        <v>7.3.2.2</v>
      </c>
      <c r="D574" s="44" t="str">
        <f>ORÇAMENTO!B931</f>
        <v xml:space="preserve"> 25.14.10 </v>
      </c>
      <c r="E574" s="44" t="str">
        <f>ORÇAMENTO!C931</f>
        <v>EMBASA</v>
      </c>
      <c r="F574" s="480" t="str">
        <f>ORÇAMENTO!D931</f>
        <v>LIMPEZA PV</v>
      </c>
      <c r="G574" s="44" t="str">
        <f>ORÇAMENTO!E931</f>
        <v>UN</v>
      </c>
      <c r="H574" s="44">
        <f>ORÇAMENTO!F931</f>
        <v>38</v>
      </c>
      <c r="I574" s="44">
        <f>ORÇAMENTO!G931</f>
        <v>27.02</v>
      </c>
      <c r="J574" s="44">
        <f>ORÇAMENTO!H931</f>
        <v>0.2122</v>
      </c>
      <c r="K574" s="44">
        <f>ORÇAMENTO!I931</f>
        <v>32.75</v>
      </c>
      <c r="L574" s="44">
        <f>ORÇAMENTO!J931</f>
        <v>1244.5</v>
      </c>
      <c r="M574" s="23">
        <f>ORÇAMENTO!K931</f>
        <v>4.3996805029441827E-5</v>
      </c>
      <c r="N574" s="23" t="str">
        <f t="shared" si="33"/>
        <v>OK!</v>
      </c>
      <c r="O574" s="23" t="str">
        <f t="shared" si="34"/>
        <v>OK!</v>
      </c>
      <c r="P574" s="23" t="str">
        <f t="shared" si="35"/>
        <v>OK!</v>
      </c>
    </row>
    <row r="575" spans="2:16" x14ac:dyDescent="0.35">
      <c r="B575" s="43">
        <f t="shared" si="32"/>
        <v>106</v>
      </c>
      <c r="C575" s="44" t="str">
        <f>ORÇAMENTO!A91</f>
        <v>4.1.1.1.2</v>
      </c>
      <c r="D575" s="44" t="str">
        <f>ORÇAMENTO!B91</f>
        <v xml:space="preserve"> 99063 </v>
      </c>
      <c r="E575" s="44" t="str">
        <f>ORÇAMENTO!C91</f>
        <v>SINAPI</v>
      </c>
      <c r="F575" s="480" t="str">
        <f>ORÇAMENTO!D91</f>
        <v>LOCAÇÃO DE REDE DE DRENAGEM</v>
      </c>
      <c r="G575" s="44" t="str">
        <f>ORÇAMENTO!E91</f>
        <v>M</v>
      </c>
      <c r="H575" s="44">
        <f>ORÇAMENTO!F91</f>
        <v>940.26430040516811</v>
      </c>
      <c r="I575" s="44">
        <f>ORÇAMENTO!G91</f>
        <v>9.66</v>
      </c>
      <c r="J575" s="44">
        <f>ORÇAMENTO!H91</f>
        <v>0.2122</v>
      </c>
      <c r="K575" s="44">
        <f>ORÇAMENTO!I91</f>
        <v>11.71</v>
      </c>
      <c r="L575" s="44">
        <f>ORÇAMENTO!J91</f>
        <v>11010.49</v>
      </c>
      <c r="M575" s="23">
        <f>ORÇAMENTO!K91</f>
        <v>3.8925382226486058E-4</v>
      </c>
      <c r="N575" s="23" t="str">
        <f t="shared" si="33"/>
        <v>DIFERENTE</v>
      </c>
      <c r="O575" s="23" t="str">
        <f t="shared" si="34"/>
        <v>DIFERENTE</v>
      </c>
      <c r="P575" s="23" t="str">
        <f t="shared" si="35"/>
        <v>DIFERENTE</v>
      </c>
    </row>
    <row r="576" spans="2:16" x14ac:dyDescent="0.35">
      <c r="B576" s="43">
        <f t="shared" si="32"/>
        <v>106</v>
      </c>
      <c r="C576" s="44" t="str">
        <f>ORÇAMENTO!A203</f>
        <v>4.1.2.6.1</v>
      </c>
      <c r="D576" s="44" t="str">
        <f>ORÇAMENTO!B203</f>
        <v xml:space="preserve"> 99063 </v>
      </c>
      <c r="E576" s="44" t="str">
        <f>ORÇAMENTO!C203</f>
        <v>SINAPI</v>
      </c>
      <c r="F576" s="480" t="str">
        <f>ORÇAMENTO!D203</f>
        <v>LOCAÇÃO DE REDE DE DRENAGEM</v>
      </c>
      <c r="G576" s="44" t="str">
        <f>ORÇAMENTO!E203</f>
        <v>M</v>
      </c>
      <c r="H576" s="44">
        <f>ORÇAMENTO!F203</f>
        <v>225.99</v>
      </c>
      <c r="I576" s="44">
        <f>ORÇAMENTO!G203</f>
        <v>9.66</v>
      </c>
      <c r="J576" s="44">
        <f>ORÇAMENTO!H203</f>
        <v>0.2122</v>
      </c>
      <c r="K576" s="44">
        <f>ORÇAMENTO!I203</f>
        <v>11.71</v>
      </c>
      <c r="L576" s="44">
        <f>ORÇAMENTO!J203</f>
        <v>2646.34</v>
      </c>
      <c r="M576" s="23">
        <f>ORÇAMENTO!K203</f>
        <v>9.3556050640106946E-5</v>
      </c>
      <c r="N576" s="23" t="str">
        <f t="shared" si="33"/>
        <v>OK!</v>
      </c>
      <c r="O576" s="23" t="str">
        <f t="shared" si="34"/>
        <v>OK!</v>
      </c>
      <c r="P576" s="23" t="str">
        <f t="shared" si="35"/>
        <v>OK!</v>
      </c>
    </row>
    <row r="577" spans="2:16" x14ac:dyDescent="0.35">
      <c r="B577" s="43">
        <f t="shared" ref="B577:B640" si="36">IF(EXACT(D576,D577),B576,B576+1)</f>
        <v>106</v>
      </c>
      <c r="C577" s="44" t="str">
        <f>ORÇAMENTO!A332</f>
        <v>5.1.1.1.2</v>
      </c>
      <c r="D577" s="44" t="str">
        <f>ORÇAMENTO!B332</f>
        <v xml:space="preserve"> 99063 </v>
      </c>
      <c r="E577" s="44" t="str">
        <f>ORÇAMENTO!C332</f>
        <v>SINAPI</v>
      </c>
      <c r="F577" s="480" t="str">
        <f>ORÇAMENTO!D332</f>
        <v>LOCAÇÃO DE REDE DE DRENAGEM</v>
      </c>
      <c r="G577" s="44" t="str">
        <f>ORÇAMENTO!E332</f>
        <v>M</v>
      </c>
      <c r="H577" s="44">
        <f>ORÇAMENTO!F332</f>
        <v>1892.75</v>
      </c>
      <c r="I577" s="44">
        <f>ORÇAMENTO!G332</f>
        <v>9.66</v>
      </c>
      <c r="J577" s="44">
        <f>ORÇAMENTO!H332</f>
        <v>0.2122</v>
      </c>
      <c r="K577" s="44">
        <f>ORÇAMENTO!I332</f>
        <v>11.71</v>
      </c>
      <c r="L577" s="44">
        <f>ORÇAMENTO!J332</f>
        <v>22164.1</v>
      </c>
      <c r="M577" s="23">
        <f>ORÇAMENTO!K332</f>
        <v>7.835673654905999E-4</v>
      </c>
      <c r="N577" s="23" t="str">
        <f t="shared" ref="N577:N640" si="37">IF(F577=F576,IF(G577=G576,"OK!","ERRADO"),"DIFERENTE")</f>
        <v>OK!</v>
      </c>
      <c r="O577" s="23" t="str">
        <f t="shared" ref="O577:O640" si="38">IF(F577=F576,IF(I577=I576,"OK!","ERRADO"),"DIFERENTE")</f>
        <v>OK!</v>
      </c>
      <c r="P577" s="23" t="str">
        <f t="shared" ref="P577:P640" si="39">IF(F577=F576,IF(D577=D576,"OK!","ERRADO"),"DIFERENTE")</f>
        <v>OK!</v>
      </c>
    </row>
    <row r="578" spans="2:16" x14ac:dyDescent="0.35">
      <c r="B578" s="43">
        <f t="shared" si="36"/>
        <v>106</v>
      </c>
      <c r="C578" s="44" t="str">
        <f>ORÇAMENTO!A445</f>
        <v>5.1.2.6.1</v>
      </c>
      <c r="D578" s="44" t="str">
        <f>ORÇAMENTO!B445</f>
        <v xml:space="preserve"> 99063 </v>
      </c>
      <c r="E578" s="44" t="str">
        <f>ORÇAMENTO!C445</f>
        <v>SINAPI</v>
      </c>
      <c r="F578" s="480" t="str">
        <f>ORÇAMENTO!D445</f>
        <v>LOCAÇÃO DE REDE DE DRENAGEM</v>
      </c>
      <c r="G578" s="44" t="str">
        <f>ORÇAMENTO!E445</f>
        <v>M</v>
      </c>
      <c r="H578" s="44">
        <f>ORÇAMENTO!F445</f>
        <v>139.18</v>
      </c>
      <c r="I578" s="44">
        <f>ORÇAMENTO!G445</f>
        <v>9.66</v>
      </c>
      <c r="J578" s="44">
        <f>ORÇAMENTO!H445</f>
        <v>0.2122</v>
      </c>
      <c r="K578" s="44">
        <f>ORÇAMENTO!I445</f>
        <v>11.71</v>
      </c>
      <c r="L578" s="44">
        <f>ORÇAMENTO!J445</f>
        <v>1629.79</v>
      </c>
      <c r="M578" s="23">
        <f>ORÇAMENTO!K445</f>
        <v>5.7617961324977095E-5</v>
      </c>
      <c r="N578" s="23" t="str">
        <f t="shared" si="37"/>
        <v>OK!</v>
      </c>
      <c r="O578" s="23" t="str">
        <f t="shared" si="38"/>
        <v>OK!</v>
      </c>
      <c r="P578" s="23" t="str">
        <f t="shared" si="39"/>
        <v>OK!</v>
      </c>
    </row>
    <row r="579" spans="2:16" x14ac:dyDescent="0.35">
      <c r="B579" s="43">
        <f t="shared" si="36"/>
        <v>106</v>
      </c>
      <c r="C579" s="44" t="str">
        <f>ORÇAMENTO!A545</f>
        <v>6.1.1.1.2</v>
      </c>
      <c r="D579" s="44" t="str">
        <f>ORÇAMENTO!B545</f>
        <v xml:space="preserve"> 99063 </v>
      </c>
      <c r="E579" s="44" t="str">
        <f>ORÇAMENTO!C545</f>
        <v>SINAPI</v>
      </c>
      <c r="F579" s="480" t="str">
        <f>ORÇAMENTO!D545</f>
        <v>LOCAÇÃO DE REDE DE DRENAGEM</v>
      </c>
      <c r="G579" s="44" t="str">
        <f>ORÇAMENTO!E545</f>
        <v>M</v>
      </c>
      <c r="H579" s="44">
        <f>ORÇAMENTO!F545</f>
        <v>638.88023103113801</v>
      </c>
      <c r="I579" s="44">
        <f>ORÇAMENTO!G545</f>
        <v>9.66</v>
      </c>
      <c r="J579" s="44">
        <f>ORÇAMENTO!H545</f>
        <v>0.2122</v>
      </c>
      <c r="K579" s="44">
        <f>ORÇAMENTO!I545</f>
        <v>11.71</v>
      </c>
      <c r="L579" s="44">
        <f>ORÇAMENTO!J545</f>
        <v>7481.28</v>
      </c>
      <c r="M579" s="23">
        <f>ORÇAMENTO!K545</f>
        <v>2.6448567097682809E-4</v>
      </c>
      <c r="N579" s="23" t="str">
        <f t="shared" si="37"/>
        <v>OK!</v>
      </c>
      <c r="O579" s="23" t="str">
        <f t="shared" si="38"/>
        <v>OK!</v>
      </c>
      <c r="P579" s="23" t="str">
        <f t="shared" si="39"/>
        <v>OK!</v>
      </c>
    </row>
    <row r="580" spans="2:16" x14ac:dyDescent="0.35">
      <c r="B580" s="43">
        <f t="shared" si="36"/>
        <v>106</v>
      </c>
      <c r="C580" s="44" t="str">
        <f>ORÇAMENTO!A648</f>
        <v>6.1.2.6.1</v>
      </c>
      <c r="D580" s="44" t="str">
        <f>ORÇAMENTO!B648</f>
        <v xml:space="preserve"> 99063 </v>
      </c>
      <c r="E580" s="44" t="str">
        <f>ORÇAMENTO!C648</f>
        <v>SINAPI</v>
      </c>
      <c r="F580" s="480" t="str">
        <f>ORÇAMENTO!D648</f>
        <v>LOCAÇÃO DE REDE DE DRENAGEM</v>
      </c>
      <c r="G580" s="44" t="str">
        <f>ORÇAMENTO!E648</f>
        <v>M</v>
      </c>
      <c r="H580" s="44">
        <f>ORÇAMENTO!F648</f>
        <v>187.85</v>
      </c>
      <c r="I580" s="44">
        <f>ORÇAMENTO!G648</f>
        <v>9.66</v>
      </c>
      <c r="J580" s="44">
        <f>ORÇAMENTO!H648</f>
        <v>0.2122</v>
      </c>
      <c r="K580" s="44">
        <f>ORÇAMENTO!I648</f>
        <v>11.71</v>
      </c>
      <c r="L580" s="44">
        <f>ORÇAMENTO!J648</f>
        <v>2199.7199999999998</v>
      </c>
      <c r="M580" s="23">
        <f>ORÇAMENTO!K648</f>
        <v>7.776669502560368E-5</v>
      </c>
      <c r="N580" s="23" t="str">
        <f t="shared" si="37"/>
        <v>OK!</v>
      </c>
      <c r="O580" s="23" t="str">
        <f t="shared" si="38"/>
        <v>OK!</v>
      </c>
      <c r="P580" s="23" t="str">
        <f t="shared" si="39"/>
        <v>OK!</v>
      </c>
    </row>
    <row r="581" spans="2:16" x14ac:dyDescent="0.35">
      <c r="B581" s="43">
        <f t="shared" si="36"/>
        <v>106</v>
      </c>
      <c r="C581" s="44" t="str">
        <f>ORÇAMENTO!A735</f>
        <v>7.1.1.1.2</v>
      </c>
      <c r="D581" s="44" t="str">
        <f>ORÇAMENTO!B735</f>
        <v xml:space="preserve"> 99063 </v>
      </c>
      <c r="E581" s="44" t="str">
        <f>ORÇAMENTO!C735</f>
        <v>SINAPI</v>
      </c>
      <c r="F581" s="480" t="str">
        <f>ORÇAMENTO!D735</f>
        <v>LOCAÇÃO DE REDE DE DRENAGEM</v>
      </c>
      <c r="G581" s="44" t="str">
        <f>ORÇAMENTO!E735</f>
        <v>M</v>
      </c>
      <c r="H581" s="44">
        <f>ORÇAMENTO!F735</f>
        <v>1848.2500000000005</v>
      </c>
      <c r="I581" s="44">
        <f>ORÇAMENTO!G735</f>
        <v>9.66</v>
      </c>
      <c r="J581" s="44">
        <f>ORÇAMENTO!H735</f>
        <v>0.2122</v>
      </c>
      <c r="K581" s="44">
        <f>ORÇAMENTO!I735</f>
        <v>11.71</v>
      </c>
      <c r="L581" s="44">
        <f>ORÇAMENTO!J735</f>
        <v>21643</v>
      </c>
      <c r="M581" s="23">
        <f>ORÇAMENTO!K735</f>
        <v>7.6514491864380029E-4</v>
      </c>
      <c r="N581" s="23" t="str">
        <f t="shared" si="37"/>
        <v>OK!</v>
      </c>
      <c r="O581" s="23" t="str">
        <f t="shared" si="38"/>
        <v>OK!</v>
      </c>
      <c r="P581" s="23" t="str">
        <f t="shared" si="39"/>
        <v>OK!</v>
      </c>
    </row>
    <row r="582" spans="2:16" x14ac:dyDescent="0.35">
      <c r="B582" s="43">
        <f t="shared" si="36"/>
        <v>106</v>
      </c>
      <c r="C582" s="44" t="str">
        <f>ORÇAMENTO!A854</f>
        <v>7.1.2.6.1</v>
      </c>
      <c r="D582" s="44" t="str">
        <f>ORÇAMENTO!B854</f>
        <v xml:space="preserve"> 99063 </v>
      </c>
      <c r="E582" s="44" t="str">
        <f>ORÇAMENTO!C854</f>
        <v>SINAPI</v>
      </c>
      <c r="F582" s="480" t="str">
        <f>ORÇAMENTO!D854</f>
        <v>LOCAÇÃO DE REDE DE DRENAGEM</v>
      </c>
      <c r="G582" s="44" t="str">
        <f>ORÇAMENTO!E854</f>
        <v>M</v>
      </c>
      <c r="H582" s="44">
        <f>ORÇAMENTO!F854</f>
        <v>276.5</v>
      </c>
      <c r="I582" s="44">
        <f>ORÇAMENTO!G854</f>
        <v>9.66</v>
      </c>
      <c r="J582" s="44">
        <f>ORÇAMENTO!H854</f>
        <v>0.2122</v>
      </c>
      <c r="K582" s="44">
        <f>ORÇAMENTO!I854</f>
        <v>11.71</v>
      </c>
      <c r="L582" s="44">
        <f>ORÇAMENTO!J854</f>
        <v>3237.81</v>
      </c>
      <c r="M582" s="23">
        <f>ORÇAMENTO!K854</f>
        <v>1.1446628790066456E-4</v>
      </c>
      <c r="N582" s="23" t="str">
        <f t="shared" si="37"/>
        <v>OK!</v>
      </c>
      <c r="O582" s="23" t="str">
        <f t="shared" si="38"/>
        <v>OK!</v>
      </c>
      <c r="P582" s="23" t="str">
        <f t="shared" si="39"/>
        <v>OK!</v>
      </c>
    </row>
    <row r="583" spans="2:16" ht="29" x14ac:dyDescent="0.35">
      <c r="B583" s="43">
        <f t="shared" si="36"/>
        <v>107</v>
      </c>
      <c r="C583" s="44" t="str">
        <f>ORÇAMENTO!A93</f>
        <v>4.1.1.1.4</v>
      </c>
      <c r="D583" s="44" t="str">
        <f>ORÇAMENTO!B93</f>
        <v xml:space="preserve"> 01.04.02U </v>
      </c>
      <c r="E583" s="44" t="str">
        <f>ORÇAMENTO!C93</f>
        <v>COMPESA</v>
      </c>
      <c r="F583" s="480" t="str">
        <f>ORÇAMENTO!D93</f>
        <v>PASSARELA, EM MADEIRA, PARA COBERTA DE VALAS PARA PASSAGEM DE PEDESTRES.</v>
      </c>
      <c r="G583" s="44" t="str">
        <f>ORÇAMENTO!E93</f>
        <v>M²</v>
      </c>
      <c r="H583" s="44">
        <f>ORÇAMENTO!F93</f>
        <v>10</v>
      </c>
      <c r="I583" s="44">
        <f>ORÇAMENTO!G93</f>
        <v>11.96</v>
      </c>
      <c r="J583" s="44">
        <f>ORÇAMENTO!H93</f>
        <v>0.2122</v>
      </c>
      <c r="K583" s="44">
        <f>ORÇAMENTO!I93</f>
        <v>14.5</v>
      </c>
      <c r="L583" s="44">
        <f>ORÇAMENTO!J93</f>
        <v>145</v>
      </c>
      <c r="M583" s="23">
        <f>ORÇAMENTO!K93</f>
        <v>5.1261845956360509E-6</v>
      </c>
      <c r="N583" s="23" t="str">
        <f t="shared" si="37"/>
        <v>DIFERENTE</v>
      </c>
      <c r="O583" s="23" t="str">
        <f t="shared" si="38"/>
        <v>DIFERENTE</v>
      </c>
      <c r="P583" s="23" t="str">
        <f t="shared" si="39"/>
        <v>DIFERENTE</v>
      </c>
    </row>
    <row r="584" spans="2:16" ht="29" x14ac:dyDescent="0.35">
      <c r="B584" s="43">
        <f t="shared" si="36"/>
        <v>107</v>
      </c>
      <c r="C584" s="44" t="str">
        <f>ORÇAMENTO!A204</f>
        <v>4.1.2.6.2</v>
      </c>
      <c r="D584" s="44" t="str">
        <f>ORÇAMENTO!B204</f>
        <v xml:space="preserve"> 01.04.02U </v>
      </c>
      <c r="E584" s="44" t="str">
        <f>ORÇAMENTO!C204</f>
        <v>COMPESA</v>
      </c>
      <c r="F584" s="480" t="str">
        <f>ORÇAMENTO!D204</f>
        <v>PASSARELA, EM MADEIRA, PARA COBERTA DE VALAS PARA PASSAGEM DE PEDESTRES.</v>
      </c>
      <c r="G584" s="44" t="str">
        <f>ORÇAMENTO!E204</f>
        <v>M²</v>
      </c>
      <c r="H584" s="44">
        <f>ORÇAMENTO!F204</f>
        <v>2</v>
      </c>
      <c r="I584" s="44">
        <f>ORÇAMENTO!G204</f>
        <v>11.96</v>
      </c>
      <c r="J584" s="44">
        <f>ORÇAMENTO!H204</f>
        <v>0.2122</v>
      </c>
      <c r="K584" s="44">
        <f>ORÇAMENTO!I204</f>
        <v>14.5</v>
      </c>
      <c r="L584" s="44">
        <f>ORÇAMENTO!J204</f>
        <v>29</v>
      </c>
      <c r="M584" s="23">
        <f>ORÇAMENTO!K204</f>
        <v>1.0252369191272101E-6</v>
      </c>
      <c r="N584" s="23" t="str">
        <f t="shared" si="37"/>
        <v>OK!</v>
      </c>
      <c r="O584" s="23" t="str">
        <f t="shared" si="38"/>
        <v>OK!</v>
      </c>
      <c r="P584" s="23" t="str">
        <f t="shared" si="39"/>
        <v>OK!</v>
      </c>
    </row>
    <row r="585" spans="2:16" ht="29" x14ac:dyDescent="0.35">
      <c r="B585" s="43">
        <f t="shared" si="36"/>
        <v>107</v>
      </c>
      <c r="C585" s="44" t="str">
        <f>ORÇAMENTO!A334</f>
        <v>5.1.1.1.4</v>
      </c>
      <c r="D585" s="44" t="str">
        <f>ORÇAMENTO!B334</f>
        <v xml:space="preserve"> 01.04.02U </v>
      </c>
      <c r="E585" s="44" t="str">
        <f>ORÇAMENTO!C334</f>
        <v>COMPESA</v>
      </c>
      <c r="F585" s="480" t="str">
        <f>ORÇAMENTO!D334</f>
        <v>PASSARELA, EM MADEIRA, PARA COBERTA DE VALAS PARA PASSAGEM DE PEDESTRES.</v>
      </c>
      <c r="G585" s="44" t="str">
        <f>ORÇAMENTO!E334</f>
        <v>M²</v>
      </c>
      <c r="H585" s="44">
        <f>ORÇAMENTO!F334</f>
        <v>20</v>
      </c>
      <c r="I585" s="44">
        <f>ORÇAMENTO!G334</f>
        <v>11.96</v>
      </c>
      <c r="J585" s="44">
        <f>ORÇAMENTO!H334</f>
        <v>0.2122</v>
      </c>
      <c r="K585" s="44">
        <f>ORÇAMENTO!I334</f>
        <v>14.5</v>
      </c>
      <c r="L585" s="44">
        <f>ORÇAMENTO!J334</f>
        <v>290</v>
      </c>
      <c r="M585" s="23">
        <f>ORÇAMENTO!K334</f>
        <v>1.0252369191272102E-5</v>
      </c>
      <c r="N585" s="23" t="str">
        <f t="shared" si="37"/>
        <v>OK!</v>
      </c>
      <c r="O585" s="23" t="str">
        <f t="shared" si="38"/>
        <v>OK!</v>
      </c>
      <c r="P585" s="23" t="str">
        <f t="shared" si="39"/>
        <v>OK!</v>
      </c>
    </row>
    <row r="586" spans="2:16" ht="29" x14ac:dyDescent="0.35">
      <c r="B586" s="43">
        <f t="shared" si="36"/>
        <v>107</v>
      </c>
      <c r="C586" s="44" t="str">
        <f>ORÇAMENTO!A446</f>
        <v>5.1.2.6.2</v>
      </c>
      <c r="D586" s="44" t="str">
        <f>ORÇAMENTO!B446</f>
        <v xml:space="preserve"> 01.04.02U </v>
      </c>
      <c r="E586" s="44" t="str">
        <f>ORÇAMENTO!C446</f>
        <v>COMPESA</v>
      </c>
      <c r="F586" s="480" t="str">
        <f>ORÇAMENTO!D446</f>
        <v>PASSARELA, EM MADEIRA, PARA COBERTA DE VALAS PARA PASSAGEM DE PEDESTRES.</v>
      </c>
      <c r="G586" s="44" t="str">
        <f>ORÇAMENTO!E446</f>
        <v>M²</v>
      </c>
      <c r="H586" s="44">
        <f>ORÇAMENTO!F446</f>
        <v>2</v>
      </c>
      <c r="I586" s="44">
        <f>ORÇAMENTO!G446</f>
        <v>11.96</v>
      </c>
      <c r="J586" s="44">
        <f>ORÇAMENTO!H446</f>
        <v>0.2122</v>
      </c>
      <c r="K586" s="44">
        <f>ORÇAMENTO!I446</f>
        <v>14.5</v>
      </c>
      <c r="L586" s="44">
        <f>ORÇAMENTO!J446</f>
        <v>29</v>
      </c>
      <c r="M586" s="23">
        <f>ORÇAMENTO!K446</f>
        <v>1.0252369191272101E-6</v>
      </c>
      <c r="N586" s="23" t="str">
        <f t="shared" si="37"/>
        <v>OK!</v>
      </c>
      <c r="O586" s="23" t="str">
        <f t="shared" si="38"/>
        <v>OK!</v>
      </c>
      <c r="P586" s="23" t="str">
        <f t="shared" si="39"/>
        <v>OK!</v>
      </c>
    </row>
    <row r="587" spans="2:16" ht="29" x14ac:dyDescent="0.35">
      <c r="B587" s="43">
        <f t="shared" si="36"/>
        <v>107</v>
      </c>
      <c r="C587" s="44" t="str">
        <f>ORÇAMENTO!A547</f>
        <v>6.1.1.1.4</v>
      </c>
      <c r="D587" s="44" t="str">
        <f>ORÇAMENTO!B547</f>
        <v xml:space="preserve"> 01.04.02U </v>
      </c>
      <c r="E587" s="44" t="str">
        <f>ORÇAMENTO!C547</f>
        <v>COMPESA</v>
      </c>
      <c r="F587" s="480" t="str">
        <f>ORÇAMENTO!D547</f>
        <v>PASSARELA, EM MADEIRA, PARA COBERTA DE VALAS PARA PASSAGEM DE PEDESTRES.</v>
      </c>
      <c r="G587" s="44" t="str">
        <f>ORÇAMENTO!E547</f>
        <v>M²</v>
      </c>
      <c r="H587" s="44">
        <f>ORÇAMENTO!F547</f>
        <v>8</v>
      </c>
      <c r="I587" s="44">
        <f>ORÇAMENTO!G547</f>
        <v>11.96</v>
      </c>
      <c r="J587" s="44">
        <f>ORÇAMENTO!H547</f>
        <v>0.2122</v>
      </c>
      <c r="K587" s="44">
        <f>ORÇAMENTO!I547</f>
        <v>14.5</v>
      </c>
      <c r="L587" s="44">
        <f>ORÇAMENTO!J547</f>
        <v>116</v>
      </c>
      <c r="M587" s="23">
        <f>ORÇAMENTO!K547</f>
        <v>4.1009476765088404E-6</v>
      </c>
      <c r="N587" s="23" t="str">
        <f t="shared" si="37"/>
        <v>OK!</v>
      </c>
      <c r="O587" s="23" t="str">
        <f t="shared" si="38"/>
        <v>OK!</v>
      </c>
      <c r="P587" s="23" t="str">
        <f t="shared" si="39"/>
        <v>OK!</v>
      </c>
    </row>
    <row r="588" spans="2:16" ht="29" x14ac:dyDescent="0.35">
      <c r="B588" s="43">
        <f t="shared" si="36"/>
        <v>107</v>
      </c>
      <c r="C588" s="44" t="str">
        <f>ORÇAMENTO!A737</f>
        <v>7.1.1.1.4</v>
      </c>
      <c r="D588" s="44" t="str">
        <f>ORÇAMENTO!B737</f>
        <v xml:space="preserve"> 01.04.02U </v>
      </c>
      <c r="E588" s="44" t="str">
        <f>ORÇAMENTO!C737</f>
        <v>COMPESA</v>
      </c>
      <c r="F588" s="480" t="str">
        <f>ORÇAMENTO!D737</f>
        <v>PASSARELA, EM MADEIRA, PARA COBERTA DE VALAS PARA PASSAGEM DE PEDESTRES.</v>
      </c>
      <c r="G588" s="44" t="str">
        <f>ORÇAMENTO!E737</f>
        <v>M²</v>
      </c>
      <c r="H588" s="44">
        <f>ORÇAMENTO!F737</f>
        <v>20</v>
      </c>
      <c r="I588" s="44">
        <f>ORÇAMENTO!G737</f>
        <v>11.96</v>
      </c>
      <c r="J588" s="44">
        <f>ORÇAMENTO!H737</f>
        <v>0.2122</v>
      </c>
      <c r="K588" s="44">
        <f>ORÇAMENTO!I737</f>
        <v>14.5</v>
      </c>
      <c r="L588" s="44">
        <f>ORÇAMENTO!J737</f>
        <v>290</v>
      </c>
      <c r="M588" s="23">
        <f>ORÇAMENTO!K737</f>
        <v>1.0252369191272102E-5</v>
      </c>
      <c r="N588" s="23" t="str">
        <f t="shared" si="37"/>
        <v>OK!</v>
      </c>
      <c r="O588" s="23" t="str">
        <f t="shared" si="38"/>
        <v>OK!</v>
      </c>
      <c r="P588" s="23" t="str">
        <f t="shared" si="39"/>
        <v>OK!</v>
      </c>
    </row>
    <row r="589" spans="2:16" ht="29" x14ac:dyDescent="0.35">
      <c r="B589" s="43">
        <f t="shared" si="36"/>
        <v>107</v>
      </c>
      <c r="C589" s="44" t="str">
        <f>ORÇAMENTO!A855</f>
        <v>7.1.2.6.2</v>
      </c>
      <c r="D589" s="44" t="str">
        <f>ORÇAMENTO!B855</f>
        <v xml:space="preserve"> 01.04.02U </v>
      </c>
      <c r="E589" s="44" t="str">
        <f>ORÇAMENTO!C855</f>
        <v>COMPESA</v>
      </c>
      <c r="F589" s="480" t="str">
        <f>ORÇAMENTO!D855</f>
        <v>PASSARELA, EM MADEIRA, PARA COBERTA DE VALAS PARA PASSAGEM DE PEDESTRES.</v>
      </c>
      <c r="G589" s="44" t="str">
        <f>ORÇAMENTO!E855</f>
        <v>M²</v>
      </c>
      <c r="H589" s="44">
        <f>ORÇAMENTO!F855</f>
        <v>2</v>
      </c>
      <c r="I589" s="44">
        <f>ORÇAMENTO!G855</f>
        <v>11.96</v>
      </c>
      <c r="J589" s="44">
        <f>ORÇAMENTO!H855</f>
        <v>0.2122</v>
      </c>
      <c r="K589" s="44">
        <f>ORÇAMENTO!I855</f>
        <v>14.5</v>
      </c>
      <c r="L589" s="44">
        <f>ORÇAMENTO!J855</f>
        <v>29</v>
      </c>
      <c r="M589" s="23">
        <f>ORÇAMENTO!K855</f>
        <v>1.0252369191272101E-6</v>
      </c>
      <c r="N589" s="23" t="str">
        <f t="shared" si="37"/>
        <v>OK!</v>
      </c>
      <c r="O589" s="23" t="str">
        <f t="shared" si="38"/>
        <v>OK!</v>
      </c>
      <c r="P589" s="23" t="str">
        <f t="shared" si="39"/>
        <v>OK!</v>
      </c>
    </row>
    <row r="590" spans="2:16" ht="29" x14ac:dyDescent="0.35">
      <c r="B590" s="43">
        <f t="shared" si="36"/>
        <v>108</v>
      </c>
      <c r="C590" s="44" t="str">
        <f>ORÇAMENTO!A92</f>
        <v>4.1.1.1.3</v>
      </c>
      <c r="D590" s="44" t="str">
        <f>ORÇAMENTO!B92</f>
        <v xml:space="preserve"> 01.04.01U </v>
      </c>
      <c r="E590" s="44" t="str">
        <f>ORÇAMENTO!C92</f>
        <v>COMPESA</v>
      </c>
      <c r="F590" s="480" t="str">
        <f>ORÇAMENTO!D92</f>
        <v>PASSARELA, EM MADEIRA, PARA COBERTA DE VALAS PARA PASSAGEM DE VEÍCULOS.</v>
      </c>
      <c r="G590" s="44" t="str">
        <f>ORÇAMENTO!E92</f>
        <v>M²</v>
      </c>
      <c r="H590" s="44">
        <f>ORÇAMENTO!F92</f>
        <v>8</v>
      </c>
      <c r="I590" s="44">
        <f>ORÇAMENTO!G92</f>
        <v>17.21</v>
      </c>
      <c r="J590" s="44">
        <f>ORÇAMENTO!H92</f>
        <v>0.2122</v>
      </c>
      <c r="K590" s="44">
        <f>ORÇAMENTO!I92</f>
        <v>20.86</v>
      </c>
      <c r="L590" s="44">
        <f>ORÇAMENTO!J92</f>
        <v>166.88</v>
      </c>
      <c r="M590" s="23">
        <f>ORÇAMENTO!K92</f>
        <v>5.8997081746189251E-6</v>
      </c>
      <c r="N590" s="23" t="str">
        <f t="shared" si="37"/>
        <v>DIFERENTE</v>
      </c>
      <c r="O590" s="23" t="str">
        <f t="shared" si="38"/>
        <v>DIFERENTE</v>
      </c>
      <c r="P590" s="23" t="str">
        <f t="shared" si="39"/>
        <v>DIFERENTE</v>
      </c>
    </row>
    <row r="591" spans="2:16" ht="29" x14ac:dyDescent="0.35">
      <c r="B591" s="43">
        <f t="shared" si="36"/>
        <v>108</v>
      </c>
      <c r="C591" s="44" t="str">
        <f>ORÇAMENTO!A333</f>
        <v>5.1.1.1.3</v>
      </c>
      <c r="D591" s="44" t="str">
        <f>ORÇAMENTO!B333</f>
        <v xml:space="preserve"> 01.04.01U </v>
      </c>
      <c r="E591" s="44" t="str">
        <f>ORÇAMENTO!C333</f>
        <v>COMPESA</v>
      </c>
      <c r="F591" s="480" t="str">
        <f>ORÇAMENTO!D333</f>
        <v>PASSARELA, EM MADEIRA, PARA COBERTA DE VALAS PARA PASSAGEM DE VEÍCULOS.</v>
      </c>
      <c r="G591" s="44" t="str">
        <f>ORÇAMENTO!E333</f>
        <v>M²</v>
      </c>
      <c r="H591" s="44">
        <f>ORÇAMENTO!F333</f>
        <v>16</v>
      </c>
      <c r="I591" s="44">
        <f>ORÇAMENTO!G333</f>
        <v>17.21</v>
      </c>
      <c r="J591" s="44">
        <f>ORÇAMENTO!H333</f>
        <v>0.2122</v>
      </c>
      <c r="K591" s="44">
        <f>ORÇAMENTO!I333</f>
        <v>20.86</v>
      </c>
      <c r="L591" s="44">
        <f>ORÇAMENTO!J333</f>
        <v>333.76</v>
      </c>
      <c r="M591" s="23">
        <f>ORÇAMENTO!K333</f>
        <v>1.179941634923785E-5</v>
      </c>
      <c r="N591" s="23" t="str">
        <f t="shared" si="37"/>
        <v>OK!</v>
      </c>
      <c r="O591" s="23" t="str">
        <f t="shared" si="38"/>
        <v>OK!</v>
      </c>
      <c r="P591" s="23" t="str">
        <f t="shared" si="39"/>
        <v>OK!</v>
      </c>
    </row>
    <row r="592" spans="2:16" ht="29" x14ac:dyDescent="0.35">
      <c r="B592" s="43">
        <f t="shared" si="36"/>
        <v>108</v>
      </c>
      <c r="C592" s="44" t="str">
        <f>ORÇAMENTO!A546</f>
        <v>6.1.1.1.3</v>
      </c>
      <c r="D592" s="44" t="str">
        <f>ORÇAMENTO!B546</f>
        <v xml:space="preserve"> 01.04.01U </v>
      </c>
      <c r="E592" s="44" t="str">
        <f>ORÇAMENTO!C546</f>
        <v>COMPESA</v>
      </c>
      <c r="F592" s="480" t="str">
        <f>ORÇAMENTO!D546</f>
        <v>PASSARELA, EM MADEIRA, PARA COBERTA DE VALAS PARA PASSAGEM DE VEÍCULOS.</v>
      </c>
      <c r="G592" s="44" t="str">
        <f>ORÇAMENTO!E546</f>
        <v>M²</v>
      </c>
      <c r="H592" s="44">
        <f>ORÇAMENTO!F546</f>
        <v>8</v>
      </c>
      <c r="I592" s="44">
        <f>ORÇAMENTO!G546</f>
        <v>17.21</v>
      </c>
      <c r="J592" s="44">
        <f>ORÇAMENTO!H546</f>
        <v>0.2122</v>
      </c>
      <c r="K592" s="44">
        <f>ORÇAMENTO!I546</f>
        <v>20.86</v>
      </c>
      <c r="L592" s="44">
        <f>ORÇAMENTO!J546</f>
        <v>166.88</v>
      </c>
      <c r="M592" s="23">
        <f>ORÇAMENTO!K546</f>
        <v>5.8997081746189251E-6</v>
      </c>
      <c r="N592" s="23" t="str">
        <f t="shared" si="37"/>
        <v>OK!</v>
      </c>
      <c r="O592" s="23" t="str">
        <f t="shared" si="38"/>
        <v>OK!</v>
      </c>
      <c r="P592" s="23" t="str">
        <f t="shared" si="39"/>
        <v>OK!</v>
      </c>
    </row>
    <row r="593" spans="2:16" ht="29" x14ac:dyDescent="0.35">
      <c r="B593" s="43">
        <f t="shared" si="36"/>
        <v>108</v>
      </c>
      <c r="C593" s="44" t="str">
        <f>ORÇAMENTO!A736</f>
        <v>7.1.1.1.3</v>
      </c>
      <c r="D593" s="44" t="str">
        <f>ORÇAMENTO!B736</f>
        <v xml:space="preserve"> 01.04.01U </v>
      </c>
      <c r="E593" s="44" t="str">
        <f>ORÇAMENTO!C736</f>
        <v>COMPESA</v>
      </c>
      <c r="F593" s="480" t="str">
        <f>ORÇAMENTO!D736</f>
        <v>PASSARELA, EM MADEIRA, PARA COBERTA DE VALAS PARA PASSAGEM DE VEÍCULOS.</v>
      </c>
      <c r="G593" s="44" t="str">
        <f>ORÇAMENTO!E736</f>
        <v>M²</v>
      </c>
      <c r="H593" s="44">
        <f>ORÇAMENTO!F736</f>
        <v>16</v>
      </c>
      <c r="I593" s="44">
        <f>ORÇAMENTO!G736</f>
        <v>17.21</v>
      </c>
      <c r="J593" s="44">
        <f>ORÇAMENTO!H736</f>
        <v>0.2122</v>
      </c>
      <c r="K593" s="44">
        <f>ORÇAMENTO!I736</f>
        <v>20.86</v>
      </c>
      <c r="L593" s="44">
        <f>ORÇAMENTO!J736</f>
        <v>333.76</v>
      </c>
      <c r="M593" s="23">
        <f>ORÇAMENTO!K736</f>
        <v>1.179941634923785E-5</v>
      </c>
      <c r="N593" s="23" t="str">
        <f t="shared" si="37"/>
        <v>OK!</v>
      </c>
      <c r="O593" s="23" t="str">
        <f t="shared" si="38"/>
        <v>OK!</v>
      </c>
      <c r="P593" s="23" t="str">
        <f t="shared" si="39"/>
        <v>OK!</v>
      </c>
    </row>
    <row r="594" spans="2:16" ht="29" x14ac:dyDescent="0.35">
      <c r="B594" s="43">
        <f t="shared" si="36"/>
        <v>109</v>
      </c>
      <c r="C594" s="44" t="str">
        <f>ORÇAMENTO!A254</f>
        <v>4.1.2.7.2</v>
      </c>
      <c r="D594" s="44" t="str">
        <f>ORÇAMENTO!B254</f>
        <v xml:space="preserve"> 97733 </v>
      </c>
      <c r="E594" s="44" t="str">
        <f>ORÇAMENTO!C254</f>
        <v>SINAPI</v>
      </c>
      <c r="F594" s="480" t="str">
        <f>ORÇAMENTO!D254</f>
        <v>PEÇA RETANGULAR PRÉ-MOLDADA, VOLUME DE CONCRETO DE ATÉ 10 LITROS, TAXA DE AÇO APROXIMADA DE 30KG/M³. AF_03/2024</v>
      </c>
      <c r="G594" s="44" t="str">
        <f>ORÇAMENTO!E254</f>
        <v>M³</v>
      </c>
      <c r="H594" s="44">
        <f>ORÇAMENTO!F254</f>
        <v>1.27</v>
      </c>
      <c r="I594" s="44">
        <f>ORÇAMENTO!G254</f>
        <v>3512.27</v>
      </c>
      <c r="J594" s="44">
        <f>ORÇAMENTO!H254</f>
        <v>0.2122</v>
      </c>
      <c r="K594" s="44">
        <f>ORÇAMENTO!I254</f>
        <v>4257.57</v>
      </c>
      <c r="L594" s="44">
        <f>ORÇAMENTO!J254</f>
        <v>5407.11</v>
      </c>
      <c r="M594" s="23">
        <f>ORÇAMENTO!K254</f>
        <v>1.9115754475110101E-4</v>
      </c>
      <c r="N594" s="23" t="str">
        <f t="shared" si="37"/>
        <v>DIFERENTE</v>
      </c>
      <c r="O594" s="23" t="str">
        <f t="shared" si="38"/>
        <v>DIFERENTE</v>
      </c>
      <c r="P594" s="23" t="str">
        <f t="shared" si="39"/>
        <v>DIFERENTE</v>
      </c>
    </row>
    <row r="595" spans="2:16" ht="29" x14ac:dyDescent="0.35">
      <c r="B595" s="43">
        <f t="shared" si="36"/>
        <v>109</v>
      </c>
      <c r="C595" s="44" t="str">
        <f>ORÇAMENTO!A497</f>
        <v>5.1.2.7.2</v>
      </c>
      <c r="D595" s="44" t="str">
        <f>ORÇAMENTO!B497</f>
        <v xml:space="preserve"> 97733 </v>
      </c>
      <c r="E595" s="44" t="str">
        <f>ORÇAMENTO!C497</f>
        <v>SINAPI</v>
      </c>
      <c r="F595" s="480" t="str">
        <f>ORÇAMENTO!D497</f>
        <v>PEÇA RETANGULAR PRÉ-MOLDADA, VOLUME DE CONCRETO DE ATÉ 10 LITROS, TAXA DE AÇO APROXIMADA DE 30KG/M³. AF_03/2024</v>
      </c>
      <c r="G595" s="44" t="str">
        <f>ORÇAMENTO!E497</f>
        <v>M³</v>
      </c>
      <c r="H595" s="44">
        <f>ORÇAMENTO!F497</f>
        <v>3.03</v>
      </c>
      <c r="I595" s="44">
        <f>ORÇAMENTO!G497</f>
        <v>3512.27</v>
      </c>
      <c r="J595" s="44">
        <f>ORÇAMENTO!H497</f>
        <v>0.2122</v>
      </c>
      <c r="K595" s="44">
        <f>ORÇAMENTO!I497</f>
        <v>4257.57</v>
      </c>
      <c r="L595" s="44">
        <f>ORÇAMENTO!J497</f>
        <v>12900.43</v>
      </c>
      <c r="M595" s="23">
        <f>ORÇAMENTO!K497</f>
        <v>4.5606886581435295E-4</v>
      </c>
      <c r="N595" s="23" t="str">
        <f t="shared" si="37"/>
        <v>OK!</v>
      </c>
      <c r="O595" s="23" t="str">
        <f t="shared" si="38"/>
        <v>OK!</v>
      </c>
      <c r="P595" s="23" t="str">
        <f t="shared" si="39"/>
        <v>OK!</v>
      </c>
    </row>
    <row r="596" spans="2:16" ht="29" x14ac:dyDescent="0.35">
      <c r="B596" s="43">
        <f t="shared" si="36"/>
        <v>109</v>
      </c>
      <c r="C596" s="44" t="str">
        <f>ORÇAMENTO!A692</f>
        <v>6.1.2.7.2</v>
      </c>
      <c r="D596" s="44" t="str">
        <f>ORÇAMENTO!B692</f>
        <v xml:space="preserve"> 97733 </v>
      </c>
      <c r="E596" s="44" t="str">
        <f>ORÇAMENTO!C692</f>
        <v>SINAPI</v>
      </c>
      <c r="F596" s="480" t="str">
        <f>ORÇAMENTO!D692</f>
        <v>PEÇA RETANGULAR PRÉ-MOLDADA, VOLUME DE CONCRETO DE ATÉ 10 LITROS, TAXA DE AÇO APROXIMADA DE 30KG/M³. AF_03/2024</v>
      </c>
      <c r="G596" s="44" t="str">
        <f>ORÇAMENTO!E692</f>
        <v>M³</v>
      </c>
      <c r="H596" s="44">
        <f>ORÇAMENTO!F692</f>
        <v>1.8</v>
      </c>
      <c r="I596" s="44">
        <f>ORÇAMENTO!G692</f>
        <v>3512.27</v>
      </c>
      <c r="J596" s="44">
        <f>ORÇAMENTO!H692</f>
        <v>0.2122</v>
      </c>
      <c r="K596" s="44">
        <f>ORÇAMENTO!I692</f>
        <v>4257.57</v>
      </c>
      <c r="L596" s="44">
        <f>ORÇAMENTO!J692</f>
        <v>7663.62</v>
      </c>
      <c r="M596" s="23">
        <f>ORÇAMENTO!K692</f>
        <v>2.7093193648833347E-4</v>
      </c>
      <c r="N596" s="23" t="str">
        <f t="shared" si="37"/>
        <v>OK!</v>
      </c>
      <c r="O596" s="23" t="str">
        <f t="shared" si="38"/>
        <v>OK!</v>
      </c>
      <c r="P596" s="23" t="str">
        <f t="shared" si="39"/>
        <v>OK!</v>
      </c>
    </row>
    <row r="597" spans="2:16" ht="29" x14ac:dyDescent="0.35">
      <c r="B597" s="43">
        <f t="shared" si="36"/>
        <v>109</v>
      </c>
      <c r="C597" s="44" t="str">
        <f>ORÇAMENTO!A905</f>
        <v>7.1.2.7.2</v>
      </c>
      <c r="D597" s="44" t="str">
        <f>ORÇAMENTO!B905</f>
        <v xml:space="preserve"> 97733 </v>
      </c>
      <c r="E597" s="44" t="str">
        <f>ORÇAMENTO!C905</f>
        <v>SINAPI</v>
      </c>
      <c r="F597" s="480" t="str">
        <f>ORÇAMENTO!D905</f>
        <v>PEÇA RETANGULAR PRÉ-MOLDADA, VOLUME DE CONCRETO DE ATÉ 10 LITROS, TAXA DE AÇO APROXIMADA DE 30KG/M³. AF_03/2024</v>
      </c>
      <c r="G597" s="44" t="str">
        <f>ORÇAMENTO!E905</f>
        <v>M³</v>
      </c>
      <c r="H597" s="44">
        <f>ORÇAMENTO!F905</f>
        <v>1.56</v>
      </c>
      <c r="I597" s="44">
        <f>ORÇAMENTO!G905</f>
        <v>3512.27</v>
      </c>
      <c r="J597" s="44">
        <f>ORÇAMENTO!H905</f>
        <v>0.2122</v>
      </c>
      <c r="K597" s="44">
        <f>ORÇAMENTO!I905</f>
        <v>4257.57</v>
      </c>
      <c r="L597" s="44">
        <f>ORÇAMENTO!J905</f>
        <v>6641.8</v>
      </c>
      <c r="M597" s="23">
        <f>ORÇAMENTO!K905</f>
        <v>2.3480753687790017E-4</v>
      </c>
      <c r="N597" s="23" t="str">
        <f t="shared" si="37"/>
        <v>OK!</v>
      </c>
      <c r="O597" s="23" t="str">
        <f t="shared" si="38"/>
        <v>OK!</v>
      </c>
      <c r="P597" s="23" t="str">
        <f t="shared" si="39"/>
        <v>OK!</v>
      </c>
    </row>
    <row r="598" spans="2:16" ht="29" x14ac:dyDescent="0.35">
      <c r="B598" s="43">
        <f t="shared" si="36"/>
        <v>110</v>
      </c>
      <c r="C598" s="44" t="str">
        <f>ORÇAMENTO!A297</f>
        <v>4.2.5.3</v>
      </c>
      <c r="D598" s="44" t="str">
        <f>ORÇAMENTO!B297</f>
        <v xml:space="preserve"> 5213408 </v>
      </c>
      <c r="E598" s="44" t="str">
        <f>ORÇAMENTO!C297</f>
        <v>SICRO3</v>
      </c>
      <c r="F598" s="480" t="str">
        <f>ORÇAMENTO!D297</f>
        <v>PINTURA DE FAIXA COM TERMOPLÁSTICO POR ASPERSÃO - ESPESSURA DE 1,5 MM</v>
      </c>
      <c r="G598" s="44" t="str">
        <f>ORÇAMENTO!E297</f>
        <v>M²</v>
      </c>
      <c r="H598" s="44">
        <f>ORÇAMENTO!F297</f>
        <v>1568.08</v>
      </c>
      <c r="I598" s="44">
        <f>ORÇAMENTO!G297</f>
        <v>47.66</v>
      </c>
      <c r="J598" s="44">
        <f>ORÇAMENTO!H297</f>
        <v>0.2122</v>
      </c>
      <c r="K598" s="44">
        <f>ORÇAMENTO!I297</f>
        <v>57.77</v>
      </c>
      <c r="L598" s="44">
        <f>ORÇAMENTO!J297</f>
        <v>90587.98</v>
      </c>
      <c r="M598" s="23">
        <f>ORÇAMENTO!K297</f>
        <v>3.2025566043157698E-3</v>
      </c>
      <c r="N598" s="23" t="str">
        <f t="shared" si="37"/>
        <v>DIFERENTE</v>
      </c>
      <c r="O598" s="23" t="str">
        <f t="shared" si="38"/>
        <v>DIFERENTE</v>
      </c>
      <c r="P598" s="23" t="str">
        <f t="shared" si="39"/>
        <v>DIFERENTE</v>
      </c>
    </row>
    <row r="599" spans="2:16" ht="29" x14ac:dyDescent="0.35">
      <c r="B599" s="43">
        <f t="shared" si="36"/>
        <v>110</v>
      </c>
      <c r="C599" s="44" t="str">
        <f>ORÇAMENTO!A986</f>
        <v>7.5.5.3</v>
      </c>
      <c r="D599" s="44" t="str">
        <f>ORÇAMENTO!B986</f>
        <v xml:space="preserve"> 5213408 </v>
      </c>
      <c r="E599" s="44" t="str">
        <f>ORÇAMENTO!C986</f>
        <v>SICRO3</v>
      </c>
      <c r="F599" s="636" t="str">
        <f>ORÇAMENTO!D986</f>
        <v>PINTURA DE FAIXA COM TERMOPLÁSTICO POR ASPERSÃO - ESPESSURA DE 1,5 MM</v>
      </c>
      <c r="G599" s="44" t="str">
        <f>ORÇAMENTO!E986</f>
        <v>M²</v>
      </c>
      <c r="H599" s="44">
        <f>ORÇAMENTO!F986</f>
        <v>2500.04</v>
      </c>
      <c r="I599" s="44">
        <f>ORÇAMENTO!G986</f>
        <v>47.66</v>
      </c>
      <c r="J599" s="44">
        <f>ORÇAMENTO!H986</f>
        <v>0.2122</v>
      </c>
      <c r="K599" s="44">
        <f>ORÇAMENTO!I986</f>
        <v>57.77</v>
      </c>
      <c r="L599" s="638">
        <f>ORÇAMENTO!J986</f>
        <v>144427.31</v>
      </c>
      <c r="M599" s="23">
        <f>ORÇAMENTO!K986</f>
        <v>5.1059382876631207E-3</v>
      </c>
      <c r="N599" s="23" t="str">
        <f t="shared" si="37"/>
        <v>OK!</v>
      </c>
      <c r="O599" s="23" t="str">
        <f t="shared" si="38"/>
        <v>OK!</v>
      </c>
      <c r="P599" s="23" t="str">
        <f t="shared" si="39"/>
        <v>OK!</v>
      </c>
    </row>
    <row r="600" spans="2:16" x14ac:dyDescent="0.35">
      <c r="B600" s="43">
        <f t="shared" si="36"/>
        <v>111</v>
      </c>
      <c r="C600" s="44" t="str">
        <f>ORÇAMENTO!A172</f>
        <v>4.1.2.4.5</v>
      </c>
      <c r="D600" s="44" t="str">
        <f>ORÇAMENTO!B172</f>
        <v xml:space="preserve"> 4011353 M </v>
      </c>
      <c r="E600" s="44" t="str">
        <f>ORÇAMENTO!C172</f>
        <v>PRÓPRIO</v>
      </c>
      <c r="F600" s="480" t="str">
        <f>ORÇAMENTO!D172</f>
        <v>PINTURA DE LIGAÇÃO (SEM MATERIAL)</v>
      </c>
      <c r="G600" s="44" t="str">
        <f>ORÇAMENTO!E172</f>
        <v>M²</v>
      </c>
      <c r="H600" s="44">
        <f>ORÇAMENTO!F172</f>
        <v>1783.43416303651</v>
      </c>
      <c r="I600" s="44">
        <f>ORÇAMENTO!G172</f>
        <v>0.28000000000000003</v>
      </c>
      <c r="J600" s="44">
        <f>ORÇAMENTO!H172</f>
        <v>0.2122</v>
      </c>
      <c r="K600" s="44">
        <f>ORÇAMENTO!I172</f>
        <v>0.34</v>
      </c>
      <c r="L600" s="44">
        <f>ORÇAMENTO!J172</f>
        <v>606.36</v>
      </c>
      <c r="M600" s="23">
        <f>ORÇAMENTO!K172</f>
        <v>2.1436643389033625E-5</v>
      </c>
      <c r="N600" s="23" t="str">
        <f t="shared" si="37"/>
        <v>DIFERENTE</v>
      </c>
      <c r="O600" s="23" t="str">
        <f t="shared" si="38"/>
        <v>DIFERENTE</v>
      </c>
      <c r="P600" s="23" t="str">
        <f t="shared" si="39"/>
        <v>DIFERENTE</v>
      </c>
    </row>
    <row r="601" spans="2:16" x14ac:dyDescent="0.35">
      <c r="B601" s="43">
        <f t="shared" si="36"/>
        <v>111</v>
      </c>
      <c r="C601" s="44" t="str">
        <f>ORÇAMENTO!A227</f>
        <v>4.1.2.6.25</v>
      </c>
      <c r="D601" s="44" t="str">
        <f>ORÇAMENTO!B227</f>
        <v xml:space="preserve"> 4011353 M </v>
      </c>
      <c r="E601" s="44" t="str">
        <f>ORÇAMENTO!C227</f>
        <v>PRÓPRIO</v>
      </c>
      <c r="F601" s="480" t="str">
        <f>ORÇAMENTO!D227</f>
        <v>PINTURA DE LIGAÇÃO (SEM MATERIAL)</v>
      </c>
      <c r="G601" s="44" t="str">
        <f>ORÇAMENTO!E227</f>
        <v>M²</v>
      </c>
      <c r="H601" s="44">
        <f>ORÇAMENTO!F227</f>
        <v>225.99</v>
      </c>
      <c r="I601" s="44">
        <f>ORÇAMENTO!G227</f>
        <v>0.28000000000000003</v>
      </c>
      <c r="J601" s="44">
        <f>ORÇAMENTO!H227</f>
        <v>0.2122</v>
      </c>
      <c r="K601" s="44">
        <f>ORÇAMENTO!I227</f>
        <v>0.34</v>
      </c>
      <c r="L601" s="44">
        <f>ORÇAMENTO!J227</f>
        <v>76.83</v>
      </c>
      <c r="M601" s="23">
        <f>ORÇAMENTO!K227</f>
        <v>2.7161707757428813E-6</v>
      </c>
      <c r="N601" s="23" t="str">
        <f t="shared" si="37"/>
        <v>OK!</v>
      </c>
      <c r="O601" s="23" t="str">
        <f t="shared" si="38"/>
        <v>OK!</v>
      </c>
      <c r="P601" s="23" t="str">
        <f t="shared" si="39"/>
        <v>OK!</v>
      </c>
    </row>
    <row r="602" spans="2:16" x14ac:dyDescent="0.35">
      <c r="B602" s="43">
        <f t="shared" si="36"/>
        <v>111</v>
      </c>
      <c r="C602" s="44" t="str">
        <f>ORÇAMENTO!A284</f>
        <v>4.2.4.5</v>
      </c>
      <c r="D602" s="44" t="str">
        <f>ORÇAMENTO!B284</f>
        <v xml:space="preserve"> 4011353 M </v>
      </c>
      <c r="E602" s="44" t="str">
        <f>ORÇAMENTO!C284</f>
        <v>PRÓPRIO</v>
      </c>
      <c r="F602" s="480" t="str">
        <f>ORÇAMENTO!D284</f>
        <v>PINTURA DE LIGAÇÃO (SEM MATERIAL)</v>
      </c>
      <c r="G602" s="44" t="str">
        <f>ORÇAMENTO!E284</f>
        <v>M²</v>
      </c>
      <c r="H602" s="44">
        <f>ORÇAMENTO!F284</f>
        <v>3842.6666666666661</v>
      </c>
      <c r="I602" s="44">
        <f>ORÇAMENTO!G284</f>
        <v>0.28000000000000003</v>
      </c>
      <c r="J602" s="44">
        <f>ORÇAMENTO!H284</f>
        <v>0.2122</v>
      </c>
      <c r="K602" s="44">
        <f>ORÇAMENTO!I284</f>
        <v>0.34</v>
      </c>
      <c r="L602" s="44">
        <f>ORÇAMENTO!J284</f>
        <v>1306.5</v>
      </c>
      <c r="M602" s="23">
        <f>ORÇAMENTO!K284</f>
        <v>4.618869085654138E-5</v>
      </c>
      <c r="N602" s="23" t="str">
        <f t="shared" si="37"/>
        <v>OK!</v>
      </c>
      <c r="O602" s="23" t="str">
        <f t="shared" si="38"/>
        <v>OK!</v>
      </c>
      <c r="P602" s="23" t="str">
        <f t="shared" si="39"/>
        <v>OK!</v>
      </c>
    </row>
    <row r="603" spans="2:16" x14ac:dyDescent="0.35">
      <c r="B603" s="43">
        <f t="shared" si="36"/>
        <v>111</v>
      </c>
      <c r="C603" s="44" t="str">
        <f>ORÇAMENTO!A312</f>
        <v>4.4.8</v>
      </c>
      <c r="D603" s="44" t="str">
        <f>ORÇAMENTO!B312</f>
        <v xml:space="preserve"> 4011353 M </v>
      </c>
      <c r="E603" s="44" t="str">
        <f>ORÇAMENTO!C312</f>
        <v>PRÓPRIO</v>
      </c>
      <c r="F603" s="480" t="str">
        <f>ORÇAMENTO!D312</f>
        <v>PINTURA DE LIGAÇÃO (SEM MATERIAL)</v>
      </c>
      <c r="G603" s="44" t="str">
        <f>ORÇAMENTO!E312</f>
        <v>M²</v>
      </c>
      <c r="H603" s="44">
        <f>ORÇAMENTO!F312</f>
        <v>38.444336595299951</v>
      </c>
      <c r="I603" s="44">
        <f>ORÇAMENTO!G312</f>
        <v>0.28000000000000003</v>
      </c>
      <c r="J603" s="44">
        <f>ORÇAMENTO!H312</f>
        <v>0.2122</v>
      </c>
      <c r="K603" s="44">
        <f>ORÇAMENTO!I312</f>
        <v>0.34</v>
      </c>
      <c r="L603" s="44">
        <f>ORÇAMENTO!J312</f>
        <v>13.07</v>
      </c>
      <c r="M603" s="23">
        <f>ORÇAMENTO!K312</f>
        <v>4.6206367355147026E-7</v>
      </c>
      <c r="N603" s="23" t="str">
        <f t="shared" si="37"/>
        <v>OK!</v>
      </c>
      <c r="O603" s="23" t="str">
        <f t="shared" si="38"/>
        <v>OK!</v>
      </c>
      <c r="P603" s="23" t="str">
        <f t="shared" si="39"/>
        <v>OK!</v>
      </c>
    </row>
    <row r="604" spans="2:16" x14ac:dyDescent="0.35">
      <c r="B604" s="43">
        <f t="shared" si="36"/>
        <v>111</v>
      </c>
      <c r="C604" s="44" t="str">
        <f>ORÇAMENTO!A411</f>
        <v>5.1.2.4.5</v>
      </c>
      <c r="D604" s="44" t="str">
        <f>ORÇAMENTO!B411</f>
        <v xml:space="preserve"> 4011353 M </v>
      </c>
      <c r="E604" s="44" t="str">
        <f>ORÇAMENTO!C411</f>
        <v>PRÓPRIO</v>
      </c>
      <c r="F604" s="480" t="str">
        <f>ORÇAMENTO!D411</f>
        <v>PINTURA DE LIGAÇÃO (SEM MATERIAL)</v>
      </c>
      <c r="G604" s="44" t="str">
        <f>ORÇAMENTO!E411</f>
        <v>M²</v>
      </c>
      <c r="H604" s="44">
        <f>ORÇAMENTO!F411</f>
        <v>3246.5089999999991</v>
      </c>
      <c r="I604" s="44">
        <f>ORÇAMENTO!G411</f>
        <v>0.28000000000000003</v>
      </c>
      <c r="J604" s="44">
        <f>ORÇAMENTO!H411</f>
        <v>0.2122</v>
      </c>
      <c r="K604" s="44">
        <f>ORÇAMENTO!I411</f>
        <v>0.34</v>
      </c>
      <c r="L604" s="44">
        <f>ORÇAMENTO!J411</f>
        <v>1103.81</v>
      </c>
      <c r="M604" s="23">
        <f>ORÇAMENTO!K411</f>
        <v>3.9022991851786406E-5</v>
      </c>
      <c r="N604" s="23" t="str">
        <f t="shared" si="37"/>
        <v>OK!</v>
      </c>
      <c r="O604" s="23" t="str">
        <f t="shared" si="38"/>
        <v>OK!</v>
      </c>
      <c r="P604" s="23" t="str">
        <f t="shared" si="39"/>
        <v>OK!</v>
      </c>
    </row>
    <row r="605" spans="2:16" x14ac:dyDescent="0.35">
      <c r="B605" s="43">
        <f t="shared" si="36"/>
        <v>111</v>
      </c>
      <c r="C605" s="44" t="str">
        <f>ORÇAMENTO!A470</f>
        <v>5.1.2.6.26</v>
      </c>
      <c r="D605" s="44" t="str">
        <f>ORÇAMENTO!B470</f>
        <v xml:space="preserve"> 4011353 M </v>
      </c>
      <c r="E605" s="44" t="str">
        <f>ORÇAMENTO!C470</f>
        <v>PRÓPRIO</v>
      </c>
      <c r="F605" s="480" t="str">
        <f>ORÇAMENTO!D470</f>
        <v>PINTURA DE LIGAÇÃO (SEM MATERIAL)</v>
      </c>
      <c r="G605" s="44" t="str">
        <f>ORÇAMENTO!E470</f>
        <v>M²</v>
      </c>
      <c r="H605" s="44">
        <f>ORÇAMENTO!F470</f>
        <v>139.18</v>
      </c>
      <c r="I605" s="44">
        <f>ORÇAMENTO!G470</f>
        <v>0.28000000000000003</v>
      </c>
      <c r="J605" s="44">
        <f>ORÇAMENTO!H470</f>
        <v>0.2122</v>
      </c>
      <c r="K605" s="44">
        <f>ORÇAMENTO!I470</f>
        <v>0.34</v>
      </c>
      <c r="L605" s="44">
        <f>ORÇAMENTO!J470</f>
        <v>47.32</v>
      </c>
      <c r="M605" s="23">
        <f>ORÇAMENTO!K470</f>
        <v>1.6729038280379168E-6</v>
      </c>
      <c r="N605" s="23" t="str">
        <f t="shared" si="37"/>
        <v>OK!</v>
      </c>
      <c r="O605" s="23" t="str">
        <f t="shared" si="38"/>
        <v>OK!</v>
      </c>
      <c r="P605" s="23" t="str">
        <f t="shared" si="39"/>
        <v>OK!</v>
      </c>
    </row>
    <row r="606" spans="2:16" x14ac:dyDescent="0.35">
      <c r="B606" s="43">
        <f t="shared" si="36"/>
        <v>111</v>
      </c>
      <c r="C606" s="44" t="str">
        <f>ORÇAMENTO!A525</f>
        <v>5.4.8</v>
      </c>
      <c r="D606" s="44" t="str">
        <f>ORÇAMENTO!B525</f>
        <v xml:space="preserve"> 4011353 M </v>
      </c>
      <c r="E606" s="44" t="str">
        <f>ORÇAMENTO!C525</f>
        <v>PRÓPRIO</v>
      </c>
      <c r="F606" s="480" t="str">
        <f>ORÇAMENTO!D525</f>
        <v>PINTURA DE LIGAÇÃO (SEM MATERIAL)</v>
      </c>
      <c r="G606" s="44" t="str">
        <f>ORÇAMENTO!E525</f>
        <v>M²</v>
      </c>
      <c r="H606" s="44">
        <f>ORÇAMENTO!F525</f>
        <v>11.829026644707675</v>
      </c>
      <c r="I606" s="44">
        <f>ORÇAMENTO!G525</f>
        <v>0.28000000000000003</v>
      </c>
      <c r="J606" s="44">
        <f>ORÇAMENTO!H525</f>
        <v>0.2122</v>
      </c>
      <c r="K606" s="44">
        <f>ORÇAMENTO!I525</f>
        <v>0.34</v>
      </c>
      <c r="L606" s="44">
        <f>ORÇAMENTO!J525</f>
        <v>4.0199999999999996</v>
      </c>
      <c r="M606" s="23">
        <f>ORÇAMENTO!K525</f>
        <v>1.421190487893581E-7</v>
      </c>
      <c r="N606" s="23" t="str">
        <f t="shared" si="37"/>
        <v>OK!</v>
      </c>
      <c r="O606" s="23" t="str">
        <f t="shared" si="38"/>
        <v>OK!</v>
      </c>
      <c r="P606" s="23" t="str">
        <f t="shared" si="39"/>
        <v>OK!</v>
      </c>
    </row>
    <row r="607" spans="2:16" x14ac:dyDescent="0.35">
      <c r="B607" s="43">
        <f t="shared" si="36"/>
        <v>111</v>
      </c>
      <c r="C607" s="44" t="str">
        <f>ORÇAMENTO!A623</f>
        <v>6.1.2.4.5</v>
      </c>
      <c r="D607" s="44" t="str">
        <f>ORÇAMENTO!B623</f>
        <v xml:space="preserve"> 4011353 M </v>
      </c>
      <c r="E607" s="44" t="str">
        <f>ORÇAMENTO!C623</f>
        <v>PRÓPRIO</v>
      </c>
      <c r="F607" s="480" t="str">
        <f>ORÇAMENTO!D623</f>
        <v>PINTURA DE LIGAÇÃO (SEM MATERIAL)</v>
      </c>
      <c r="G607" s="44" t="str">
        <f>ORÇAMENTO!E623</f>
        <v>M²</v>
      </c>
      <c r="H607" s="44">
        <f>ORÇAMENTO!F623</f>
        <v>1042.2457945402286</v>
      </c>
      <c r="I607" s="44">
        <f>ORÇAMENTO!G623</f>
        <v>0.28000000000000003</v>
      </c>
      <c r="J607" s="44">
        <f>ORÇAMENTO!H623</f>
        <v>0.2122</v>
      </c>
      <c r="K607" s="44">
        <f>ORÇAMENTO!I623</f>
        <v>0.34</v>
      </c>
      <c r="L607" s="44">
        <f>ORÇAMENTO!J623</f>
        <v>354.36</v>
      </c>
      <c r="M607" s="23">
        <f>ORÇAMENTO!K623</f>
        <v>1.2527688091790283E-5</v>
      </c>
      <c r="N607" s="23" t="str">
        <f t="shared" si="37"/>
        <v>OK!</v>
      </c>
      <c r="O607" s="23" t="str">
        <f t="shared" si="38"/>
        <v>OK!</v>
      </c>
      <c r="P607" s="23" t="str">
        <f t="shared" si="39"/>
        <v>OK!</v>
      </c>
    </row>
    <row r="608" spans="2:16" x14ac:dyDescent="0.35">
      <c r="B608" s="43">
        <f t="shared" si="36"/>
        <v>111</v>
      </c>
      <c r="C608" s="44" t="str">
        <f>ORÇAMENTO!A665</f>
        <v>6.1.2.6.18</v>
      </c>
      <c r="D608" s="44" t="str">
        <f>ORÇAMENTO!B665</f>
        <v xml:space="preserve"> 4011353 M </v>
      </c>
      <c r="E608" s="44" t="str">
        <f>ORÇAMENTO!C665</f>
        <v>PRÓPRIO</v>
      </c>
      <c r="F608" s="480" t="str">
        <f>ORÇAMENTO!D665</f>
        <v>PINTURA DE LIGAÇÃO (SEM MATERIAL)</v>
      </c>
      <c r="G608" s="44" t="str">
        <f>ORÇAMENTO!E665</f>
        <v>M²</v>
      </c>
      <c r="H608" s="44">
        <f>ORÇAMENTO!F665</f>
        <v>187.85</v>
      </c>
      <c r="I608" s="44">
        <f>ORÇAMENTO!G665</f>
        <v>0.28000000000000003</v>
      </c>
      <c r="J608" s="44">
        <f>ORÇAMENTO!H665</f>
        <v>0.2122</v>
      </c>
      <c r="K608" s="44">
        <f>ORÇAMENTO!I665</f>
        <v>0.34</v>
      </c>
      <c r="L608" s="44">
        <f>ORÇAMENTO!J665</f>
        <v>63.86</v>
      </c>
      <c r="M608" s="23">
        <f>ORÇAMENTO!K665</f>
        <v>2.2576424019125393E-6</v>
      </c>
      <c r="N608" s="23" t="str">
        <f t="shared" si="37"/>
        <v>OK!</v>
      </c>
      <c r="O608" s="23" t="str">
        <f t="shared" si="38"/>
        <v>OK!</v>
      </c>
      <c r="P608" s="23" t="str">
        <f t="shared" si="39"/>
        <v>OK!</v>
      </c>
    </row>
    <row r="609" spans="2:16" x14ac:dyDescent="0.35">
      <c r="B609" s="43">
        <f t="shared" si="36"/>
        <v>111</v>
      </c>
      <c r="C609" s="44" t="str">
        <f>ORÇAMENTO!A717</f>
        <v>6.4.7</v>
      </c>
      <c r="D609" s="44" t="str">
        <f>ORÇAMENTO!B717</f>
        <v xml:space="preserve"> 4011353 M </v>
      </c>
      <c r="E609" s="44" t="str">
        <f>ORÇAMENTO!C717</f>
        <v>PRÓPRIO</v>
      </c>
      <c r="F609" s="480" t="str">
        <f>ORÇAMENTO!D717</f>
        <v>PINTURA DE LIGAÇÃO (SEM MATERIAL)</v>
      </c>
      <c r="G609" s="44" t="str">
        <f>ORÇAMENTO!E717</f>
        <v>M²</v>
      </c>
      <c r="H609" s="44">
        <f>ORÇAMENTO!F717</f>
        <v>29.57256661176919</v>
      </c>
      <c r="I609" s="44">
        <f>ORÇAMENTO!G717</f>
        <v>0.28000000000000003</v>
      </c>
      <c r="J609" s="44">
        <f>ORÇAMENTO!H717</f>
        <v>0.2122</v>
      </c>
      <c r="K609" s="44">
        <f>ORÇAMENTO!I717</f>
        <v>0.34</v>
      </c>
      <c r="L609" s="44">
        <f>ORÇAMENTO!J717</f>
        <v>10.050000000000001</v>
      </c>
      <c r="M609" s="23">
        <f>ORÇAMENTO!K717</f>
        <v>3.5529762197339529E-7</v>
      </c>
      <c r="N609" s="23" t="str">
        <f t="shared" si="37"/>
        <v>OK!</v>
      </c>
      <c r="O609" s="23" t="str">
        <f t="shared" si="38"/>
        <v>OK!</v>
      </c>
      <c r="P609" s="23" t="str">
        <f t="shared" si="39"/>
        <v>OK!</v>
      </c>
    </row>
    <row r="610" spans="2:16" x14ac:dyDescent="0.35">
      <c r="B610" s="43">
        <f t="shared" si="36"/>
        <v>111</v>
      </c>
      <c r="C610" s="44" t="str">
        <f>ORÇAMENTO!A820</f>
        <v>7.1.2.4.5</v>
      </c>
      <c r="D610" s="44" t="str">
        <f>ORÇAMENTO!B820</f>
        <v xml:space="preserve"> 4011353 M </v>
      </c>
      <c r="E610" s="44" t="str">
        <f>ORÇAMENTO!C820</f>
        <v>PRÓPRIO</v>
      </c>
      <c r="F610" s="480" t="str">
        <f>ORÇAMENTO!D820</f>
        <v>PINTURA DE LIGAÇÃO (SEM MATERIAL)</v>
      </c>
      <c r="G610" s="44" t="str">
        <f>ORÇAMENTO!E820</f>
        <v>M²</v>
      </c>
      <c r="H610" s="44">
        <f>ORÇAMENTO!F820</f>
        <v>3631.9279999999994</v>
      </c>
      <c r="I610" s="44">
        <f>ORÇAMENTO!G820</f>
        <v>0.28000000000000003</v>
      </c>
      <c r="J610" s="44">
        <f>ORÇAMENTO!H820</f>
        <v>0.2122</v>
      </c>
      <c r="K610" s="44">
        <f>ORÇAMENTO!I820</f>
        <v>0.34</v>
      </c>
      <c r="L610" s="44">
        <f>ORÇAMENTO!J820</f>
        <v>1234.8499999999999</v>
      </c>
      <c r="M610" s="23">
        <f>ORÇAMENTO!K820</f>
        <v>4.3655648606352947E-5</v>
      </c>
      <c r="N610" s="23" t="str">
        <f t="shared" si="37"/>
        <v>OK!</v>
      </c>
      <c r="O610" s="23" t="str">
        <f t="shared" si="38"/>
        <v>OK!</v>
      </c>
      <c r="P610" s="23" t="str">
        <f t="shared" si="39"/>
        <v>OK!</v>
      </c>
    </row>
    <row r="611" spans="2:16" x14ac:dyDescent="0.35">
      <c r="B611" s="43">
        <f t="shared" si="36"/>
        <v>111</v>
      </c>
      <c r="C611" s="44" t="str">
        <f>ORÇAMENTO!A878</f>
        <v>7.1.2.6.25</v>
      </c>
      <c r="D611" s="44" t="str">
        <f>ORÇAMENTO!B878</f>
        <v xml:space="preserve"> 4011353 M </v>
      </c>
      <c r="E611" s="44" t="str">
        <f>ORÇAMENTO!C878</f>
        <v>PRÓPRIO</v>
      </c>
      <c r="F611" s="480" t="str">
        <f>ORÇAMENTO!D878</f>
        <v>PINTURA DE LIGAÇÃO (SEM MATERIAL)</v>
      </c>
      <c r="G611" s="44" t="str">
        <f>ORÇAMENTO!E878</f>
        <v>M²</v>
      </c>
      <c r="H611" s="44">
        <f>ORÇAMENTO!F878</f>
        <v>276.5</v>
      </c>
      <c r="I611" s="44">
        <f>ORÇAMENTO!G878</f>
        <v>0.28000000000000003</v>
      </c>
      <c r="J611" s="44">
        <f>ORÇAMENTO!H878</f>
        <v>0.2122</v>
      </c>
      <c r="K611" s="44">
        <f>ORÇAMENTO!I878</f>
        <v>0.34</v>
      </c>
      <c r="L611" s="44">
        <f>ORÇAMENTO!J878</f>
        <v>94.01</v>
      </c>
      <c r="M611" s="23">
        <f>ORÇAMENTO!K878</f>
        <v>3.3235352678327255E-6</v>
      </c>
      <c r="N611" s="23" t="str">
        <f t="shared" si="37"/>
        <v>OK!</v>
      </c>
      <c r="O611" s="23" t="str">
        <f t="shared" si="38"/>
        <v>OK!</v>
      </c>
      <c r="P611" s="23" t="str">
        <f t="shared" si="39"/>
        <v>OK!</v>
      </c>
    </row>
    <row r="612" spans="2:16" x14ac:dyDescent="0.35">
      <c r="B612" s="43">
        <f t="shared" si="36"/>
        <v>111</v>
      </c>
      <c r="C612" s="44" t="str">
        <f>ORÇAMENTO!A939</f>
        <v>7.4.7</v>
      </c>
      <c r="D612" s="44" t="str">
        <f>ORÇAMENTO!B939</f>
        <v xml:space="preserve"> 4011353 M </v>
      </c>
      <c r="E612" s="44" t="str">
        <f>ORÇAMENTO!C939</f>
        <v>PRÓPRIO</v>
      </c>
      <c r="F612" s="636" t="str">
        <f>ORÇAMENTO!D939</f>
        <v>PINTURA DE LIGAÇÃO (SEM MATERIAL)</v>
      </c>
      <c r="G612" s="44" t="str">
        <f>ORÇAMENTO!E939</f>
        <v>M²</v>
      </c>
      <c r="H612" s="44">
        <f>ORÇAMENTO!F939</f>
        <v>23.658053289415349</v>
      </c>
      <c r="I612" s="44">
        <f>ORÇAMENTO!G939</f>
        <v>0.28000000000000003</v>
      </c>
      <c r="J612" s="44">
        <f>ORÇAMENTO!H939</f>
        <v>0.2122</v>
      </c>
      <c r="K612" s="44">
        <f>ORÇAMENTO!I939</f>
        <v>0.34</v>
      </c>
      <c r="L612" s="638">
        <f>ORÇAMENTO!J939</f>
        <v>8.0399999999999991</v>
      </c>
      <c r="M612" s="23">
        <f>ORÇAMENTO!K939</f>
        <v>2.8423809757871619E-7</v>
      </c>
      <c r="N612" s="23" t="str">
        <f t="shared" si="37"/>
        <v>OK!</v>
      </c>
      <c r="O612" s="23" t="str">
        <f t="shared" si="38"/>
        <v>OK!</v>
      </c>
      <c r="P612" s="23" t="str">
        <f t="shared" si="39"/>
        <v>OK!</v>
      </c>
    </row>
    <row r="613" spans="2:16" x14ac:dyDescent="0.35">
      <c r="B613" s="43">
        <f t="shared" si="36"/>
        <v>111</v>
      </c>
      <c r="C613" s="44" t="str">
        <f>ORÇAMENTO!A973</f>
        <v>7.5.4.5</v>
      </c>
      <c r="D613" s="44" t="str">
        <f>ORÇAMENTO!B973</f>
        <v xml:space="preserve"> 4011353 M </v>
      </c>
      <c r="E613" s="44" t="str">
        <f>ORÇAMENTO!C973</f>
        <v>PRÓPRIO</v>
      </c>
      <c r="F613" s="636" t="str">
        <f>ORÇAMENTO!D973</f>
        <v>PINTURA DE LIGAÇÃO (SEM MATERIAL)</v>
      </c>
      <c r="G613" s="44" t="str">
        <f>ORÇAMENTO!E973</f>
        <v>M²</v>
      </c>
      <c r="H613" s="44">
        <f>ORÇAMENTO!F973</f>
        <v>5435</v>
      </c>
      <c r="I613" s="44">
        <f>ORÇAMENTO!G973</f>
        <v>0.28000000000000003</v>
      </c>
      <c r="J613" s="44">
        <f>ORÇAMENTO!H973</f>
        <v>0.2122</v>
      </c>
      <c r="K613" s="44">
        <f>ORÇAMENTO!I973</f>
        <v>0.34</v>
      </c>
      <c r="L613" s="638">
        <f>ORÇAMENTO!J973</f>
        <v>1847.9</v>
      </c>
      <c r="M613" s="23">
        <f>ORÇAMENTO!K973</f>
        <v>6.5328803546730059E-5</v>
      </c>
      <c r="N613" s="23" t="str">
        <f t="shared" si="37"/>
        <v>OK!</v>
      </c>
      <c r="O613" s="23" t="str">
        <f t="shared" si="38"/>
        <v>OK!</v>
      </c>
      <c r="P613" s="23" t="str">
        <f t="shared" si="39"/>
        <v>OK!</v>
      </c>
    </row>
    <row r="614" spans="2:16" ht="43.5" x14ac:dyDescent="0.35">
      <c r="B614" s="43">
        <f t="shared" si="36"/>
        <v>112</v>
      </c>
      <c r="C614" s="44" t="str">
        <f>ORÇAMENTO!A97</f>
        <v>4.1.1.1.8</v>
      </c>
      <c r="D614" s="44" t="str">
        <f>ORÇAMENTO!B97</f>
        <v xml:space="preserve"> 5212560 </v>
      </c>
      <c r="E614" s="44" t="str">
        <f>ORÇAMENTO!C97</f>
        <v>SICRO3</v>
      </c>
      <c r="F614" s="480" t="str">
        <f>ORÇAMENTO!D97</f>
        <v>PLACA DE ADVERTÊNCIA PARA SINALIZAÇÃO DE OBRAS MONTADA EM SUPORTE METÁLICO MÓVEL, LADO 1,00 M - UTILIZAÇÃO DE 600 CICLOS - FORNECIMENTO, 01 IMPLANTAÇÃO E 01 RETIRADA DIÁRIA</v>
      </c>
      <c r="G614" s="44" t="str">
        <f>ORÇAMENTO!E97</f>
        <v>UN.DIA</v>
      </c>
      <c r="H614" s="44">
        <f>ORÇAMENTO!F97</f>
        <v>443</v>
      </c>
      <c r="I614" s="44">
        <f>ORÇAMENTO!G97</f>
        <v>3.95</v>
      </c>
      <c r="J614" s="44">
        <f>ORÇAMENTO!H97</f>
        <v>0.2122</v>
      </c>
      <c r="K614" s="44">
        <f>ORÇAMENTO!I97</f>
        <v>4.79</v>
      </c>
      <c r="L614" s="44">
        <f>ORÇAMENTO!J97</f>
        <v>2121.9699999999998</v>
      </c>
      <c r="M614" s="23">
        <f>ORÇAMENTO!K97</f>
        <v>7.5017999492426408E-5</v>
      </c>
      <c r="N614" s="23" t="str">
        <f t="shared" si="37"/>
        <v>DIFERENTE</v>
      </c>
      <c r="O614" s="23" t="str">
        <f t="shared" si="38"/>
        <v>DIFERENTE</v>
      </c>
      <c r="P614" s="23" t="str">
        <f t="shared" si="39"/>
        <v>DIFERENTE</v>
      </c>
    </row>
    <row r="615" spans="2:16" ht="43.5" x14ac:dyDescent="0.35">
      <c r="B615" s="43">
        <f t="shared" si="36"/>
        <v>112</v>
      </c>
      <c r="C615" s="44" t="str">
        <f>ORÇAMENTO!A338</f>
        <v>5.1.1.1.8</v>
      </c>
      <c r="D615" s="44" t="str">
        <f>ORÇAMENTO!B338</f>
        <v xml:space="preserve"> 5212560 </v>
      </c>
      <c r="E615" s="44" t="str">
        <f>ORÇAMENTO!C338</f>
        <v>SICRO3</v>
      </c>
      <c r="F615" s="480" t="str">
        <f>ORÇAMENTO!D338</f>
        <v>PLACA DE ADVERTÊNCIA PARA SINALIZAÇÃO DE OBRAS MONTADA EM SUPORTE METÁLICO MÓVEL, LADO 1,00 M - UTILIZAÇÃO DE 600 CICLOS - FORNECIMENTO, 01 IMPLANTAÇÃO E 01 RETIRADA DIÁRIA</v>
      </c>
      <c r="G615" s="44" t="str">
        <f>ORÇAMENTO!E338</f>
        <v>UN.DIA</v>
      </c>
      <c r="H615" s="44">
        <f>ORÇAMENTO!F338</f>
        <v>769</v>
      </c>
      <c r="I615" s="44">
        <f>ORÇAMENTO!G338</f>
        <v>3.95</v>
      </c>
      <c r="J615" s="44">
        <f>ORÇAMENTO!H338</f>
        <v>0.2122</v>
      </c>
      <c r="K615" s="44">
        <f>ORÇAMENTO!I338</f>
        <v>4.79</v>
      </c>
      <c r="L615" s="44">
        <f>ORÇAMENTO!J338</f>
        <v>3683.51</v>
      </c>
      <c r="M615" s="23">
        <f>ORÇAMENTO!K338</f>
        <v>1.3022311875773344E-4</v>
      </c>
      <c r="N615" s="23" t="str">
        <f t="shared" si="37"/>
        <v>OK!</v>
      </c>
      <c r="O615" s="23" t="str">
        <f t="shared" si="38"/>
        <v>OK!</v>
      </c>
      <c r="P615" s="23" t="str">
        <f t="shared" si="39"/>
        <v>OK!</v>
      </c>
    </row>
    <row r="616" spans="2:16" ht="43.5" x14ac:dyDescent="0.35">
      <c r="B616" s="43">
        <f t="shared" si="36"/>
        <v>112</v>
      </c>
      <c r="C616" s="44" t="str">
        <f>ORÇAMENTO!A551</f>
        <v>6.1.1.1.8</v>
      </c>
      <c r="D616" s="44" t="str">
        <f>ORÇAMENTO!B551</f>
        <v xml:space="preserve"> 5212560 </v>
      </c>
      <c r="E616" s="44" t="str">
        <f>ORÇAMENTO!C551</f>
        <v>SICRO3</v>
      </c>
      <c r="F616" s="480" t="str">
        <f>ORÇAMENTO!D551</f>
        <v>PLACA DE ADVERTÊNCIA PARA SINALIZAÇÃO DE OBRAS MONTADA EM SUPORTE METÁLICO MÓVEL, LADO 1,00 M - UTILIZAÇÃO DE 600 CICLOS - FORNECIMENTO, 01 IMPLANTAÇÃO E 01 RETIRADA DIÁRIA</v>
      </c>
      <c r="G616" s="44" t="str">
        <f>ORÇAMENTO!E551</f>
        <v>UN.DIA</v>
      </c>
      <c r="H616" s="44">
        <f>ORÇAMENTO!F551</f>
        <v>257</v>
      </c>
      <c r="I616" s="44">
        <f>ORÇAMENTO!G551</f>
        <v>3.95</v>
      </c>
      <c r="J616" s="44">
        <f>ORÇAMENTO!H551</f>
        <v>0.2122</v>
      </c>
      <c r="K616" s="44">
        <f>ORÇAMENTO!I551</f>
        <v>4.79</v>
      </c>
      <c r="L616" s="44">
        <f>ORÇAMENTO!J551</f>
        <v>1231.03</v>
      </c>
      <c r="M616" s="23">
        <f>ORÇAMENTO!K551</f>
        <v>4.3520600157005842E-5</v>
      </c>
      <c r="N616" s="23" t="str">
        <f t="shared" si="37"/>
        <v>OK!</v>
      </c>
      <c r="O616" s="23" t="str">
        <f t="shared" si="38"/>
        <v>OK!</v>
      </c>
      <c r="P616" s="23" t="str">
        <f t="shared" si="39"/>
        <v>OK!</v>
      </c>
    </row>
    <row r="617" spans="2:16" ht="43.5" x14ac:dyDescent="0.35">
      <c r="B617" s="43">
        <f t="shared" si="36"/>
        <v>112</v>
      </c>
      <c r="C617" s="44" t="str">
        <f>ORÇAMENTO!A741</f>
        <v>7.1.1.1.8</v>
      </c>
      <c r="D617" s="44" t="str">
        <f>ORÇAMENTO!B741</f>
        <v xml:space="preserve"> 5212560 </v>
      </c>
      <c r="E617" s="44" t="str">
        <f>ORÇAMENTO!C741</f>
        <v>SICRO3</v>
      </c>
      <c r="F617" s="480" t="str">
        <f>ORÇAMENTO!D741</f>
        <v>PLACA DE ADVERTÊNCIA PARA SINALIZAÇÃO DE OBRAS MONTADA EM SUPORTE METÁLICO MÓVEL, LADO 1,00 M - UTILIZAÇÃO DE 600 CICLOS - FORNECIMENTO, 01 IMPLANTAÇÃO E 01 RETIRADA DIÁRIA</v>
      </c>
      <c r="G617" s="44" t="str">
        <f>ORÇAMENTO!E741</f>
        <v>UN.DIA</v>
      </c>
      <c r="H617" s="44">
        <f>ORÇAMENTO!F741</f>
        <v>936</v>
      </c>
      <c r="I617" s="44">
        <f>ORÇAMENTO!G741</f>
        <v>3.95</v>
      </c>
      <c r="J617" s="44">
        <f>ORÇAMENTO!H741</f>
        <v>0.2122</v>
      </c>
      <c r="K617" s="44">
        <f>ORÇAMENTO!I741</f>
        <v>4.79</v>
      </c>
      <c r="L617" s="44">
        <f>ORÇAMENTO!J741</f>
        <v>4483.4399999999996</v>
      </c>
      <c r="M617" s="23">
        <f>ORÇAMENTO!K741</f>
        <v>1.5850304181695514E-4</v>
      </c>
      <c r="N617" s="23" t="str">
        <f t="shared" si="37"/>
        <v>OK!</v>
      </c>
      <c r="O617" s="23" t="str">
        <f t="shared" si="38"/>
        <v>OK!</v>
      </c>
      <c r="P617" s="23" t="str">
        <f t="shared" si="39"/>
        <v>OK!</v>
      </c>
    </row>
    <row r="618" spans="2:16" ht="43.5" x14ac:dyDescent="0.35">
      <c r="B618" s="43">
        <f t="shared" si="36"/>
        <v>112</v>
      </c>
      <c r="C618" s="44" t="str">
        <f>ORÇAMENTO!A1041</f>
        <v xml:space="preserve"> 8.8.5</v>
      </c>
      <c r="D618" s="44" t="str">
        <f>ORÇAMENTO!B1041</f>
        <v xml:space="preserve"> 5212560 </v>
      </c>
      <c r="E618" s="44" t="str">
        <f>ORÇAMENTO!C1041</f>
        <v>SICRO3</v>
      </c>
      <c r="F618" s="636" t="str">
        <f>ORÇAMENTO!D1041</f>
        <v>PLACA DE ADVERTÊNCIA PARA SINALIZAÇÃO DE OBRAS MONTADA EM SUPORTE METÁLICO MÓVEL, LADO 1,00 M - UTILIZAÇÃO DE 600 CICLOS - FORNECIMENTO, 01 IMPLANTAÇÃO E 01 RETIRADA DIÁRIA</v>
      </c>
      <c r="G618" s="44" t="str">
        <f>ORÇAMENTO!E1041</f>
        <v>UN.DIA</v>
      </c>
      <c r="H618" s="44">
        <f>ORÇAMENTO!F1041</f>
        <v>20</v>
      </c>
      <c r="I618" s="44">
        <f>ORÇAMENTO!G1041</f>
        <v>3.95</v>
      </c>
      <c r="J618" s="44">
        <f>ORÇAMENTO!H1041</f>
        <v>0.2122</v>
      </c>
      <c r="K618" s="44">
        <f>ORÇAMENTO!I1041</f>
        <v>4.79</v>
      </c>
      <c r="L618" s="638">
        <f>ORÇAMENTO!J1041</f>
        <v>95.8</v>
      </c>
      <c r="M618" s="23">
        <f>ORÇAMENTO!K1041</f>
        <v>3.3868171328409218E-6</v>
      </c>
      <c r="N618" s="23" t="str">
        <f t="shared" si="37"/>
        <v>OK!</v>
      </c>
      <c r="O618" s="23" t="str">
        <f t="shared" si="38"/>
        <v>OK!</v>
      </c>
      <c r="P618" s="23" t="str">
        <f t="shared" si="39"/>
        <v>OK!</v>
      </c>
    </row>
    <row r="619" spans="2:16" x14ac:dyDescent="0.35">
      <c r="B619" s="43">
        <f t="shared" si="36"/>
        <v>113</v>
      </c>
      <c r="C619" s="44" t="str">
        <f>ORÇAMENTO!A90</f>
        <v>4.1.1.1.1</v>
      </c>
      <c r="D619" s="44" t="str">
        <f>ORÇAMENTO!B90</f>
        <v xml:space="preserve"> 74209/1 M </v>
      </c>
      <c r="E619" s="44" t="str">
        <f>ORÇAMENTO!C90</f>
        <v>PRÓPRIO</v>
      </c>
      <c r="F619" s="480" t="str">
        <f>ORÇAMENTO!D90</f>
        <v>PLACA DE OBRA EM CHAPA DE ACO GALVANIZADO</v>
      </c>
      <c r="G619" s="44" t="str">
        <f>ORÇAMENTO!E90</f>
        <v>M²</v>
      </c>
      <c r="H619" s="44">
        <f>ORÇAMENTO!F90</f>
        <v>12</v>
      </c>
      <c r="I619" s="44">
        <f>ORÇAMENTO!G90</f>
        <v>521.92999999999995</v>
      </c>
      <c r="J619" s="44">
        <f>ORÇAMENTO!H90</f>
        <v>0.2122</v>
      </c>
      <c r="K619" s="44">
        <f>ORÇAMENTO!I90</f>
        <v>632.67999999999995</v>
      </c>
      <c r="L619" s="44">
        <f>ORÇAMENTO!J90</f>
        <v>7592.16</v>
      </c>
      <c r="M619" s="23">
        <f>ORÇAMENTO!K90</f>
        <v>2.6840561130761514E-4</v>
      </c>
      <c r="N619" s="23" t="str">
        <f t="shared" si="37"/>
        <v>DIFERENTE</v>
      </c>
      <c r="O619" s="23" t="str">
        <f t="shared" si="38"/>
        <v>DIFERENTE</v>
      </c>
      <c r="P619" s="23" t="str">
        <f t="shared" si="39"/>
        <v>DIFERENTE</v>
      </c>
    </row>
    <row r="620" spans="2:16" x14ac:dyDescent="0.35">
      <c r="B620" s="43">
        <f t="shared" si="36"/>
        <v>113</v>
      </c>
      <c r="C620" s="44" t="str">
        <f>ORÇAMENTO!A331</f>
        <v>5.1.1.1.1</v>
      </c>
      <c r="D620" s="44" t="str">
        <f>ORÇAMENTO!B331</f>
        <v xml:space="preserve"> 74209/1 M </v>
      </c>
      <c r="E620" s="44" t="str">
        <f>ORÇAMENTO!C331</f>
        <v>PRÓPRIO</v>
      </c>
      <c r="F620" s="480" t="str">
        <f>ORÇAMENTO!D331</f>
        <v>PLACA DE OBRA EM CHAPA DE ACO GALVANIZADO</v>
      </c>
      <c r="G620" s="44" t="str">
        <f>ORÇAMENTO!E331</f>
        <v>M²</v>
      </c>
      <c r="H620" s="44">
        <f>ORÇAMENTO!F331</f>
        <v>12</v>
      </c>
      <c r="I620" s="44">
        <f>ORÇAMENTO!G331</f>
        <v>521.92999999999995</v>
      </c>
      <c r="J620" s="44">
        <f>ORÇAMENTO!H331</f>
        <v>0.2122</v>
      </c>
      <c r="K620" s="44">
        <f>ORÇAMENTO!I331</f>
        <v>632.67999999999995</v>
      </c>
      <c r="L620" s="44">
        <f>ORÇAMENTO!J331</f>
        <v>7592.16</v>
      </c>
      <c r="M620" s="23">
        <f>ORÇAMENTO!K331</f>
        <v>2.6840561130761514E-4</v>
      </c>
      <c r="N620" s="23" t="str">
        <f t="shared" si="37"/>
        <v>OK!</v>
      </c>
      <c r="O620" s="23" t="str">
        <f t="shared" si="38"/>
        <v>OK!</v>
      </c>
      <c r="P620" s="23" t="str">
        <f t="shared" si="39"/>
        <v>OK!</v>
      </c>
    </row>
    <row r="621" spans="2:16" x14ac:dyDescent="0.35">
      <c r="B621" s="43">
        <f t="shared" si="36"/>
        <v>113</v>
      </c>
      <c r="C621" s="44" t="str">
        <f>ORÇAMENTO!A544</f>
        <v>6.1.1.1.1</v>
      </c>
      <c r="D621" s="44" t="str">
        <f>ORÇAMENTO!B544</f>
        <v xml:space="preserve"> 74209/1 M </v>
      </c>
      <c r="E621" s="44" t="str">
        <f>ORÇAMENTO!C544</f>
        <v>PRÓPRIO</v>
      </c>
      <c r="F621" s="480" t="str">
        <f>ORÇAMENTO!D544</f>
        <v>PLACA DE OBRA EM CHAPA DE ACO GALVANIZADO</v>
      </c>
      <c r="G621" s="44" t="str">
        <f>ORÇAMENTO!E544</f>
        <v>M²</v>
      </c>
      <c r="H621" s="44">
        <f>ORÇAMENTO!F544</f>
        <v>12</v>
      </c>
      <c r="I621" s="44">
        <f>ORÇAMENTO!G544</f>
        <v>521.92999999999995</v>
      </c>
      <c r="J621" s="44">
        <f>ORÇAMENTO!H544</f>
        <v>0.2122</v>
      </c>
      <c r="K621" s="44">
        <f>ORÇAMENTO!I544</f>
        <v>632.67999999999995</v>
      </c>
      <c r="L621" s="44">
        <f>ORÇAMENTO!J544</f>
        <v>7592.16</v>
      </c>
      <c r="M621" s="23">
        <f>ORÇAMENTO!K544</f>
        <v>2.6840561130761514E-4</v>
      </c>
      <c r="N621" s="23" t="str">
        <f t="shared" si="37"/>
        <v>OK!</v>
      </c>
      <c r="O621" s="23" t="str">
        <f t="shared" si="38"/>
        <v>OK!</v>
      </c>
      <c r="P621" s="23" t="str">
        <f t="shared" si="39"/>
        <v>OK!</v>
      </c>
    </row>
    <row r="622" spans="2:16" x14ac:dyDescent="0.35">
      <c r="B622" s="43">
        <f t="shared" si="36"/>
        <v>113</v>
      </c>
      <c r="C622" s="44" t="str">
        <f>ORÇAMENTO!A734</f>
        <v>7.1.1.1.1</v>
      </c>
      <c r="D622" s="44" t="str">
        <f>ORÇAMENTO!B734</f>
        <v xml:space="preserve"> 74209/1 M </v>
      </c>
      <c r="E622" s="44" t="str">
        <f>ORÇAMENTO!C734</f>
        <v>PRÓPRIO</v>
      </c>
      <c r="F622" s="480" t="str">
        <f>ORÇAMENTO!D734</f>
        <v>PLACA DE OBRA EM CHAPA DE ACO GALVANIZADO</v>
      </c>
      <c r="G622" s="44" t="str">
        <f>ORÇAMENTO!E734</f>
        <v>M²</v>
      </c>
      <c r="H622" s="44">
        <f>ORÇAMENTO!F734</f>
        <v>12</v>
      </c>
      <c r="I622" s="44">
        <f>ORÇAMENTO!G734</f>
        <v>521.92999999999995</v>
      </c>
      <c r="J622" s="44">
        <f>ORÇAMENTO!H734</f>
        <v>0.2122</v>
      </c>
      <c r="K622" s="44">
        <f>ORÇAMENTO!I734</f>
        <v>632.67999999999995</v>
      </c>
      <c r="L622" s="44">
        <f>ORÇAMENTO!J734</f>
        <v>7592.16</v>
      </c>
      <c r="M622" s="23">
        <f>ORÇAMENTO!K734</f>
        <v>2.6840561130761514E-4</v>
      </c>
      <c r="N622" s="23" t="str">
        <f t="shared" si="37"/>
        <v>OK!</v>
      </c>
      <c r="O622" s="23" t="str">
        <f t="shared" si="38"/>
        <v>OK!</v>
      </c>
      <c r="P622" s="23" t="str">
        <f t="shared" si="39"/>
        <v>OK!</v>
      </c>
    </row>
    <row r="623" spans="2:16" x14ac:dyDescent="0.35">
      <c r="B623" s="43">
        <f t="shared" si="36"/>
        <v>113</v>
      </c>
      <c r="C623" s="44" t="str">
        <f>ORÇAMENTO!A1037</f>
        <v xml:space="preserve"> 8.8.1 </v>
      </c>
      <c r="D623" s="44" t="str">
        <f>ORÇAMENTO!B1037</f>
        <v xml:space="preserve"> 74209/1 M </v>
      </c>
      <c r="E623" s="44" t="str">
        <f>ORÇAMENTO!C1037</f>
        <v>PRÓPRIO</v>
      </c>
      <c r="F623" s="636" t="str">
        <f>ORÇAMENTO!D1037</f>
        <v>PLACA DE OBRA EM CHAPA DE ACO GALVANIZADO</v>
      </c>
      <c r="G623" s="44" t="str">
        <f>ORÇAMENTO!E1037</f>
        <v>M²</v>
      </c>
      <c r="H623" s="44">
        <f>ORÇAMENTO!F1037</f>
        <v>6</v>
      </c>
      <c r="I623" s="44">
        <f>ORÇAMENTO!G1037</f>
        <v>521.92999999999995</v>
      </c>
      <c r="J623" s="44">
        <f>ORÇAMENTO!H1037</f>
        <v>0.2122</v>
      </c>
      <c r="K623" s="44">
        <f>ORÇAMENTO!I1037</f>
        <v>632.67999999999995</v>
      </c>
      <c r="L623" s="638">
        <f>ORÇAMENTO!J1037</f>
        <v>3796.08</v>
      </c>
      <c r="M623" s="23">
        <f>ORÇAMENTO!K1037</f>
        <v>1.3420280565380757E-4</v>
      </c>
      <c r="N623" s="23" t="str">
        <f t="shared" si="37"/>
        <v>OK!</v>
      </c>
      <c r="O623" s="23" t="str">
        <f t="shared" si="38"/>
        <v>OK!</v>
      </c>
      <c r="P623" s="23" t="str">
        <f t="shared" si="39"/>
        <v>OK!</v>
      </c>
    </row>
    <row r="624" spans="2:16" ht="29" x14ac:dyDescent="0.35">
      <c r="B624" s="43">
        <f t="shared" si="36"/>
        <v>114</v>
      </c>
      <c r="C624" s="44" t="str">
        <f>ORÇAMENTO!A206</f>
        <v>4.1.2.6.4</v>
      </c>
      <c r="D624" s="44" t="str">
        <f>ORÇAMENTO!B206</f>
        <v xml:space="preserve"> 01.03.09U </v>
      </c>
      <c r="E624" s="44" t="str">
        <f>ORÇAMENTO!C206</f>
        <v>COMPESA</v>
      </c>
      <c r="F624" s="480" t="str">
        <f>ORÇAMENTO!D206</f>
        <v>PLACA DE SINALIZAÇÃO E ADVERTÊNCIA EM CHAPA DE AÇO GALVANIZADA Nº 16 (FORNECIMENTO E FIXAÇÃO)</v>
      </c>
      <c r="G624" s="44" t="str">
        <f>ORÇAMENTO!E206</f>
        <v>UN</v>
      </c>
      <c r="H624" s="44">
        <f>ORÇAMENTO!F206</f>
        <v>5</v>
      </c>
      <c r="I624" s="44">
        <f>ORÇAMENTO!G206</f>
        <v>7.15</v>
      </c>
      <c r="J624" s="44">
        <f>ORÇAMENTO!H206</f>
        <v>0.2122</v>
      </c>
      <c r="K624" s="44">
        <f>ORÇAMENTO!I206</f>
        <v>8.67</v>
      </c>
      <c r="L624" s="44">
        <f>ORÇAMENTO!J206</f>
        <v>43.35</v>
      </c>
      <c r="M624" s="23">
        <f>ORÇAMENTO!K206</f>
        <v>1.5325524291091229E-6</v>
      </c>
      <c r="N624" s="23" t="str">
        <f t="shared" si="37"/>
        <v>DIFERENTE</v>
      </c>
      <c r="O624" s="23" t="str">
        <f t="shared" si="38"/>
        <v>DIFERENTE</v>
      </c>
      <c r="P624" s="23" t="str">
        <f t="shared" si="39"/>
        <v>DIFERENTE</v>
      </c>
    </row>
    <row r="625" spans="2:16" ht="29" x14ac:dyDescent="0.35">
      <c r="B625" s="43">
        <f t="shared" si="36"/>
        <v>114</v>
      </c>
      <c r="C625" s="44" t="str">
        <f>ORÇAMENTO!A448</f>
        <v>5.1.2.6.4</v>
      </c>
      <c r="D625" s="44" t="str">
        <f>ORÇAMENTO!B448</f>
        <v xml:space="preserve"> 01.03.09U </v>
      </c>
      <c r="E625" s="44" t="str">
        <f>ORÇAMENTO!C448</f>
        <v>COMPESA</v>
      </c>
      <c r="F625" s="480" t="str">
        <f>ORÇAMENTO!D448</f>
        <v>PLACA DE SINALIZAÇÃO E ADVERTÊNCIA EM CHAPA DE AÇO GALVANIZADA Nº 16 (FORNECIMENTO E FIXAÇÃO)</v>
      </c>
      <c r="G625" s="44" t="str">
        <f>ORÇAMENTO!E448</f>
        <v>UN</v>
      </c>
      <c r="H625" s="44">
        <f>ORÇAMENTO!F448</f>
        <v>3</v>
      </c>
      <c r="I625" s="44">
        <f>ORÇAMENTO!G448</f>
        <v>7.15</v>
      </c>
      <c r="J625" s="44">
        <f>ORÇAMENTO!H448</f>
        <v>0.2122</v>
      </c>
      <c r="K625" s="44">
        <f>ORÇAMENTO!I448</f>
        <v>8.67</v>
      </c>
      <c r="L625" s="44">
        <f>ORÇAMENTO!J448</f>
        <v>26.01</v>
      </c>
      <c r="M625" s="23">
        <f>ORÇAMENTO!K448</f>
        <v>9.1953145746547374E-7</v>
      </c>
      <c r="N625" s="23" t="str">
        <f t="shared" si="37"/>
        <v>OK!</v>
      </c>
      <c r="O625" s="23" t="str">
        <f t="shared" si="38"/>
        <v>OK!</v>
      </c>
      <c r="P625" s="23" t="str">
        <f t="shared" si="39"/>
        <v>OK!</v>
      </c>
    </row>
    <row r="626" spans="2:16" ht="29" x14ac:dyDescent="0.35">
      <c r="B626" s="43">
        <f t="shared" si="36"/>
        <v>114</v>
      </c>
      <c r="C626" s="44" t="str">
        <f>ORÇAMENTO!A857</f>
        <v>7.1.2.6.4</v>
      </c>
      <c r="D626" s="44" t="str">
        <f>ORÇAMENTO!B857</f>
        <v xml:space="preserve"> 01.03.09U </v>
      </c>
      <c r="E626" s="44" t="str">
        <f>ORÇAMENTO!C857</f>
        <v>COMPESA</v>
      </c>
      <c r="F626" s="480" t="str">
        <f>ORÇAMENTO!D857</f>
        <v>PLACA DE SINALIZAÇÃO E ADVERTÊNCIA EM CHAPA DE AÇO GALVANIZADA Nº 16 (FORNECIMENTO E FIXAÇÃO)</v>
      </c>
      <c r="G626" s="44" t="str">
        <f>ORÇAMENTO!E857</f>
        <v>UN</v>
      </c>
      <c r="H626" s="44">
        <f>ORÇAMENTO!F857</f>
        <v>6</v>
      </c>
      <c r="I626" s="44">
        <f>ORÇAMENTO!G857</f>
        <v>7.15</v>
      </c>
      <c r="J626" s="44">
        <f>ORÇAMENTO!H857</f>
        <v>0.2122</v>
      </c>
      <c r="K626" s="44">
        <f>ORÇAMENTO!I857</f>
        <v>8.67</v>
      </c>
      <c r="L626" s="44">
        <f>ORÇAMENTO!J857</f>
        <v>52.02</v>
      </c>
      <c r="M626" s="23">
        <f>ORÇAMENTO!K857</f>
        <v>1.8390629149309475E-6</v>
      </c>
      <c r="N626" s="23" t="str">
        <f t="shared" si="37"/>
        <v>OK!</v>
      </c>
      <c r="O626" s="23" t="str">
        <f t="shared" si="38"/>
        <v>OK!</v>
      </c>
      <c r="P626" s="23" t="str">
        <f t="shared" si="39"/>
        <v>OK!</v>
      </c>
    </row>
    <row r="627" spans="2:16" x14ac:dyDescent="0.35">
      <c r="B627" s="43">
        <f t="shared" si="36"/>
        <v>115</v>
      </c>
      <c r="C627" s="44" t="str">
        <f>ORÇAMENTO!A295</f>
        <v>4.2.5.1</v>
      </c>
      <c r="D627" s="44" t="str">
        <f>ORÇAMENTO!B295</f>
        <v xml:space="preserve"> 5213571 </v>
      </c>
      <c r="E627" s="44" t="str">
        <f>ORÇAMENTO!C295</f>
        <v>SICRO3</v>
      </c>
      <c r="F627" s="480" t="str">
        <f>ORÇAMENTO!D295</f>
        <v>PLACA EM AÇO - PELÍCULA I + III - FORNECIMENTO E IMPLANTAÇÃO</v>
      </c>
      <c r="G627" s="44" t="str">
        <f>ORÇAMENTO!E295</f>
        <v>M²</v>
      </c>
      <c r="H627" s="44">
        <f>ORÇAMENTO!F295</f>
        <v>1.1100000000000001</v>
      </c>
      <c r="I627" s="44">
        <f>ORÇAMENTO!G295</f>
        <v>501.28</v>
      </c>
      <c r="J627" s="44">
        <f>ORÇAMENTO!H295</f>
        <v>0.2122</v>
      </c>
      <c r="K627" s="44">
        <f>ORÇAMENTO!I295</f>
        <v>607.65</v>
      </c>
      <c r="L627" s="44">
        <f>ORÇAMENTO!J295</f>
        <v>674.49</v>
      </c>
      <c r="M627" s="23">
        <f>ORÇAMENTO!K295</f>
        <v>2.3845243089038346E-5</v>
      </c>
      <c r="N627" s="23" t="str">
        <f t="shared" si="37"/>
        <v>DIFERENTE</v>
      </c>
      <c r="O627" s="23" t="str">
        <f t="shared" si="38"/>
        <v>DIFERENTE</v>
      </c>
      <c r="P627" s="23" t="str">
        <f t="shared" si="39"/>
        <v>DIFERENTE</v>
      </c>
    </row>
    <row r="628" spans="2:16" x14ac:dyDescent="0.35">
      <c r="B628" s="43">
        <f t="shared" si="36"/>
        <v>115</v>
      </c>
      <c r="C628" s="44" t="str">
        <f>ORÇAMENTO!A984</f>
        <v>7.5.5.1</v>
      </c>
      <c r="D628" s="44" t="str">
        <f>ORÇAMENTO!B984</f>
        <v xml:space="preserve"> 5213571 </v>
      </c>
      <c r="E628" s="44" t="str">
        <f>ORÇAMENTO!C984</f>
        <v>SICRO3</v>
      </c>
      <c r="F628" s="636" t="str">
        <f>ORÇAMENTO!D984</f>
        <v>PLACA EM AÇO - PELÍCULA I + III - FORNECIMENTO E IMPLANTAÇÃO</v>
      </c>
      <c r="G628" s="44" t="str">
        <f>ORÇAMENTO!E984</f>
        <v>M²</v>
      </c>
      <c r="H628" s="44">
        <f>ORÇAMENTO!F984</f>
        <v>1.77</v>
      </c>
      <c r="I628" s="44">
        <f>ORÇAMENTO!G984</f>
        <v>501.28</v>
      </c>
      <c r="J628" s="44">
        <f>ORÇAMENTO!H984</f>
        <v>0.2122</v>
      </c>
      <c r="K628" s="44">
        <f>ORÇAMENTO!I984</f>
        <v>607.65</v>
      </c>
      <c r="L628" s="638">
        <f>ORÇAMENTO!J984</f>
        <v>1075.54</v>
      </c>
      <c r="M628" s="23">
        <f>ORÇAMENTO!K984</f>
        <v>3.8023562620623435E-5</v>
      </c>
      <c r="N628" s="23" t="str">
        <f t="shared" si="37"/>
        <v>OK!</v>
      </c>
      <c r="O628" s="23" t="str">
        <f t="shared" si="38"/>
        <v>OK!</v>
      </c>
      <c r="P628" s="23" t="str">
        <f t="shared" si="39"/>
        <v>OK!</v>
      </c>
    </row>
    <row r="629" spans="2:16" ht="43.5" x14ac:dyDescent="0.35">
      <c r="B629" s="43">
        <f t="shared" si="36"/>
        <v>116</v>
      </c>
      <c r="C629" s="44" t="str">
        <f>ORÇAMENTO!A96</f>
        <v>4.1.1.1.7</v>
      </c>
      <c r="D629" s="44" t="str">
        <f>ORÇAMENTO!B96</f>
        <v xml:space="preserve"> 5212556 </v>
      </c>
      <c r="E629" s="44" t="str">
        <f>ORÇAMENTO!C96</f>
        <v>SICRO3</v>
      </c>
      <c r="F629" s="480" t="str">
        <f>ORÇAMENTO!D96</f>
        <v>PLACA PARA SINALIZAÇÃO DE OBRAS MONTADA EM CAVALETE METÁLICO - 1,00 X 1,00 M - UTILIZAÇÃO DE 600 CICLOS - FORNECIMENTO, 01 IMPLANTAÇÃO E 01 RETIRADA DIÁRIA</v>
      </c>
      <c r="G629" s="44" t="str">
        <f>ORÇAMENTO!E96</f>
        <v>UN.DIA</v>
      </c>
      <c r="H629" s="44">
        <f>ORÇAMENTO!F96</f>
        <v>665</v>
      </c>
      <c r="I629" s="44">
        <f>ORÇAMENTO!G96</f>
        <v>1.96</v>
      </c>
      <c r="J629" s="44">
        <f>ORÇAMENTO!H96</f>
        <v>0.2122</v>
      </c>
      <c r="K629" s="44">
        <f>ORÇAMENTO!I96</f>
        <v>2.38</v>
      </c>
      <c r="L629" s="44">
        <f>ORÇAMENTO!J96</f>
        <v>1582.7</v>
      </c>
      <c r="M629" s="23">
        <f>ORÇAMENTO!K96</f>
        <v>5.5953188686297778E-5</v>
      </c>
      <c r="N629" s="23" t="str">
        <f t="shared" si="37"/>
        <v>DIFERENTE</v>
      </c>
      <c r="O629" s="23" t="str">
        <f t="shared" si="38"/>
        <v>DIFERENTE</v>
      </c>
      <c r="P629" s="23" t="str">
        <f t="shared" si="39"/>
        <v>DIFERENTE</v>
      </c>
    </row>
    <row r="630" spans="2:16" ht="43.5" x14ac:dyDescent="0.35">
      <c r="B630" s="43">
        <f t="shared" si="36"/>
        <v>116</v>
      </c>
      <c r="C630" s="44" t="str">
        <f>ORÇAMENTO!A337</f>
        <v>5.1.1.1.7</v>
      </c>
      <c r="D630" s="44" t="str">
        <f>ORÇAMENTO!B337</f>
        <v xml:space="preserve"> 5212556 </v>
      </c>
      <c r="E630" s="44" t="str">
        <f>ORÇAMENTO!C337</f>
        <v>SICRO3</v>
      </c>
      <c r="F630" s="480" t="str">
        <f>ORÇAMENTO!D337</f>
        <v>PLACA PARA SINALIZAÇÃO DE OBRAS MONTADA EM CAVALETE METÁLICO - 1,00 X 1,00 M - UTILIZAÇÃO DE 600 CICLOS - FORNECIMENTO, 01IMPLANTAÇÃO E 01 RETIRADA DIÁRIA</v>
      </c>
      <c r="G630" s="44" t="str">
        <f>ORÇAMENTO!E337</f>
        <v>UN.DIA</v>
      </c>
      <c r="H630" s="44">
        <f>ORÇAMENTO!F337</f>
        <v>1154</v>
      </c>
      <c r="I630" s="44">
        <f>ORÇAMENTO!G337</f>
        <v>1.96</v>
      </c>
      <c r="J630" s="44">
        <f>ORÇAMENTO!H337</f>
        <v>0.2122</v>
      </c>
      <c r="K630" s="44">
        <f>ORÇAMENTO!I337</f>
        <v>2.38</v>
      </c>
      <c r="L630" s="44">
        <f>ORÇAMENTO!J337</f>
        <v>2746.52</v>
      </c>
      <c r="M630" s="23">
        <f>ORÇAMENTO!K337</f>
        <v>9.7097713900733284E-5</v>
      </c>
      <c r="N630" s="23" t="str">
        <f t="shared" si="37"/>
        <v>DIFERENTE</v>
      </c>
      <c r="O630" s="23" t="str">
        <f t="shared" si="38"/>
        <v>DIFERENTE</v>
      </c>
      <c r="P630" s="23" t="str">
        <f t="shared" si="39"/>
        <v>DIFERENTE</v>
      </c>
    </row>
    <row r="631" spans="2:16" ht="43.5" x14ac:dyDescent="0.35">
      <c r="B631" s="43">
        <f t="shared" si="36"/>
        <v>116</v>
      </c>
      <c r="C631" s="44" t="str">
        <f>ORÇAMENTO!A550</f>
        <v>6.1.1.1.7</v>
      </c>
      <c r="D631" s="44" t="str">
        <f>ORÇAMENTO!B550</f>
        <v xml:space="preserve"> 5212556 </v>
      </c>
      <c r="E631" s="44" t="str">
        <f>ORÇAMENTO!C550</f>
        <v>SICRO3</v>
      </c>
      <c r="F631" s="480" t="str">
        <f>ORÇAMENTO!D550</f>
        <v>PLACA PARA SINALIZAÇÃO DE OBRAS MONTADA EM CAVALETE METÁLICO - 1,00 X 1,00 M - UTILIZAÇÃO DE 600 CICLOS - FORNECIMENTO, 01IMPLANTAÇÃO E 01 RETIRADA DIÁRIA</v>
      </c>
      <c r="G631" s="44" t="str">
        <f>ORÇAMENTO!E550</f>
        <v>UN.DIA</v>
      </c>
      <c r="H631" s="44">
        <f>ORÇAMENTO!F550</f>
        <v>386</v>
      </c>
      <c r="I631" s="44">
        <f>ORÇAMENTO!G550</f>
        <v>1.96</v>
      </c>
      <c r="J631" s="44">
        <f>ORÇAMENTO!H550</f>
        <v>0.2122</v>
      </c>
      <c r="K631" s="44">
        <f>ORÇAMENTO!I550</f>
        <v>2.38</v>
      </c>
      <c r="L631" s="44">
        <f>ORÇAMENTO!J550</f>
        <v>918.68</v>
      </c>
      <c r="M631" s="23">
        <f>ORÇAMENTO!K550</f>
        <v>3.2478091478061565E-5</v>
      </c>
      <c r="N631" s="23" t="str">
        <f t="shared" si="37"/>
        <v>OK!</v>
      </c>
      <c r="O631" s="23" t="str">
        <f t="shared" si="38"/>
        <v>OK!</v>
      </c>
      <c r="P631" s="23" t="str">
        <f t="shared" si="39"/>
        <v>OK!</v>
      </c>
    </row>
    <row r="632" spans="2:16" ht="43.5" x14ac:dyDescent="0.35">
      <c r="B632" s="43">
        <f t="shared" si="36"/>
        <v>116</v>
      </c>
      <c r="C632" s="44" t="str">
        <f>ORÇAMENTO!A740</f>
        <v>7.1.1.1.7</v>
      </c>
      <c r="D632" s="44" t="str">
        <f>ORÇAMENTO!B740</f>
        <v xml:space="preserve"> 5212556 </v>
      </c>
      <c r="E632" s="44" t="str">
        <f>ORÇAMENTO!C740</f>
        <v>SICRO3</v>
      </c>
      <c r="F632" s="480" t="str">
        <f>ORÇAMENTO!D740</f>
        <v>PLACA PARA SINALIZAÇÃO DE OBRAS MONTADA EM CAVALETE METÁLICO - 1,00 X 1,00 M - UTILIZAÇÃO DE 600 CICLOS - FORNECIMENTO, 01IMPLANTAÇÃO E 01 RETIRADA DIÁRIA</v>
      </c>
      <c r="G632" s="44" t="str">
        <f>ORÇAMENTO!E740</f>
        <v>UN.DIA</v>
      </c>
      <c r="H632" s="44">
        <f>ORÇAMENTO!F740</f>
        <v>1404</v>
      </c>
      <c r="I632" s="44">
        <f>ORÇAMENTO!G740</f>
        <v>1.96</v>
      </c>
      <c r="J632" s="44">
        <f>ORÇAMENTO!H740</f>
        <v>0.2122</v>
      </c>
      <c r="K632" s="44">
        <f>ORÇAMENTO!I740</f>
        <v>2.38</v>
      </c>
      <c r="L632" s="44">
        <f>ORÇAMENTO!J740</f>
        <v>3341.52</v>
      </c>
      <c r="M632" s="23">
        <f>ORÇAMENTO!K740</f>
        <v>1.1813274724144674E-4</v>
      </c>
      <c r="N632" s="23" t="str">
        <f t="shared" si="37"/>
        <v>OK!</v>
      </c>
      <c r="O632" s="23" t="str">
        <f t="shared" si="38"/>
        <v>OK!</v>
      </c>
      <c r="P632" s="23" t="str">
        <f t="shared" si="39"/>
        <v>OK!</v>
      </c>
    </row>
    <row r="633" spans="2:16" ht="43.5" x14ac:dyDescent="0.35">
      <c r="B633" s="43">
        <f t="shared" si="36"/>
        <v>116</v>
      </c>
      <c r="C633" s="44" t="str">
        <f>ORÇAMENTO!A1040</f>
        <v xml:space="preserve"> 8.8.4</v>
      </c>
      <c r="D633" s="44" t="str">
        <f>ORÇAMENTO!B1040</f>
        <v xml:space="preserve"> 5212556 </v>
      </c>
      <c r="E633" s="44" t="str">
        <f>ORÇAMENTO!C1040</f>
        <v>SICRO3</v>
      </c>
      <c r="F633" s="636" t="str">
        <f>ORÇAMENTO!D1040</f>
        <v>PLACA PARA SINALIZAÇÃO DE OBRAS MONTADA EM CAVALETE METÁLICO - 1,00 X 1,00 M - UTILIZAÇÃO DE 600 CICLOS - FORNECIMENTO, 01IMPLANTAÇÃO E 01 RETIRADA DIÁRIA</v>
      </c>
      <c r="G633" s="44" t="str">
        <f>ORÇAMENTO!E1040</f>
        <v>UN.DIA</v>
      </c>
      <c r="H633" s="44">
        <f>ORÇAMENTO!F1040</f>
        <v>20</v>
      </c>
      <c r="I633" s="44">
        <f>ORÇAMENTO!G1040</f>
        <v>1.96</v>
      </c>
      <c r="J633" s="44">
        <f>ORÇAMENTO!H1040</f>
        <v>0.2122</v>
      </c>
      <c r="K633" s="44">
        <f>ORÇAMENTO!I1040</f>
        <v>2.38</v>
      </c>
      <c r="L633" s="638">
        <f>ORÇAMENTO!J1040</f>
        <v>47.6</v>
      </c>
      <c r="M633" s="23">
        <f>ORÇAMENTO!K1040</f>
        <v>1.682802667257076E-6</v>
      </c>
      <c r="N633" s="23" t="str">
        <f t="shared" si="37"/>
        <v>OK!</v>
      </c>
      <c r="O633" s="23" t="str">
        <f t="shared" si="38"/>
        <v>OK!</v>
      </c>
      <c r="P633" s="23" t="str">
        <f t="shared" si="39"/>
        <v>OK!</v>
      </c>
    </row>
    <row r="634" spans="2:16" ht="58" x14ac:dyDescent="0.35">
      <c r="B634" s="43">
        <f t="shared" si="36"/>
        <v>117</v>
      </c>
      <c r="C634" s="44" t="str">
        <f>ORÇAMENTO!A1046</f>
        <v xml:space="preserve"> 8.8.10</v>
      </c>
      <c r="D634" s="44" t="str">
        <f>ORÇAMENTO!B1046</f>
        <v xml:space="preserve"> 32.04.01U </v>
      </c>
      <c r="E634" s="44" t="str">
        <f>ORÇAMENTO!C1046</f>
        <v>COMPESA</v>
      </c>
      <c r="F634" s="636" t="str">
        <f>ORÇAMENTO!D1046</f>
        <v>PORTÃO TUBULAR, EM FERRO GALVANIZADO DE 1 1/2", COM CONTRAVENTAMENTO EM TUBO DE FERRO GALVANIZADO DE 1" E COM TELA ARAMADA # 1" COM FIO Nº 10, INCLUSIVE DOBRADIÇAS, BATEDOR, FECHO, PINTURA E ASSENTAMENTO EM ESTRUTURA DE CONCRETO.</v>
      </c>
      <c r="G634" s="44" t="str">
        <f>ORÇAMENTO!E1046</f>
        <v>M²</v>
      </c>
      <c r="H634" s="44">
        <f>ORÇAMENTO!F1046</f>
        <v>11.5</v>
      </c>
      <c r="I634" s="44">
        <f>ORÇAMENTO!G1046</f>
        <v>1232.32</v>
      </c>
      <c r="J634" s="44">
        <f>ORÇAMENTO!H1046</f>
        <v>0.2122</v>
      </c>
      <c r="K634" s="44">
        <f>ORÇAMENTO!I1046</f>
        <v>1493.82</v>
      </c>
      <c r="L634" s="638">
        <f>ORÇAMENTO!J1046</f>
        <v>17178.93</v>
      </c>
      <c r="M634" s="23">
        <f>ORÇAMENTO!K1046</f>
        <v>6.0732666438282777E-4</v>
      </c>
      <c r="N634" s="23" t="str">
        <f t="shared" si="37"/>
        <v>DIFERENTE</v>
      </c>
      <c r="O634" s="23" t="str">
        <f t="shared" si="38"/>
        <v>DIFERENTE</v>
      </c>
      <c r="P634" s="23" t="str">
        <f t="shared" si="39"/>
        <v>DIFERENTE</v>
      </c>
    </row>
    <row r="635" spans="2:16" ht="43.5" x14ac:dyDescent="0.35">
      <c r="B635" s="43">
        <f t="shared" si="36"/>
        <v>118</v>
      </c>
      <c r="C635" s="44" t="str">
        <f>ORÇAMENTO!A169</f>
        <v>4.1.2.4.2</v>
      </c>
      <c r="D635" s="44" t="str">
        <f>ORÇAMENTO!B169</f>
        <v xml:space="preserve"> 101624 </v>
      </c>
      <c r="E635" s="44" t="str">
        <f>ORÇAMENTO!C169</f>
        <v>SINAPI</v>
      </c>
      <c r="F635" s="480" t="str">
        <f>ORÇAMENTO!D169</f>
        <v>PREPARO DE FUNDO DE VALA COM LARGURA MAIOR OU IGUAL A 1,5 M E MENOR QUE 2,5 M, COM CAMADA DE BRITA, LANÇAMENTO MECANIZADO. AF_08/2020</v>
      </c>
      <c r="G635" s="44" t="str">
        <f>ORÇAMENTO!E169</f>
        <v>M³</v>
      </c>
      <c r="H635" s="44">
        <f>ORÇAMENTO!F169</f>
        <v>332.33178302823859</v>
      </c>
      <c r="I635" s="44">
        <f>ORÇAMENTO!G169</f>
        <v>224.67</v>
      </c>
      <c r="J635" s="44">
        <f>ORÇAMENTO!H169</f>
        <v>0.2122</v>
      </c>
      <c r="K635" s="44">
        <f>ORÇAMENTO!I169</f>
        <v>272.33999999999997</v>
      </c>
      <c r="L635" s="44">
        <f>ORÇAMENTO!J169</f>
        <v>90507.23</v>
      </c>
      <c r="M635" s="23">
        <f>ORÇAMENTO!K169</f>
        <v>3.1997018497909586E-3</v>
      </c>
      <c r="N635" s="23" t="str">
        <f t="shared" si="37"/>
        <v>DIFERENTE</v>
      </c>
      <c r="O635" s="23" t="str">
        <f t="shared" si="38"/>
        <v>DIFERENTE</v>
      </c>
      <c r="P635" s="23" t="str">
        <f t="shared" si="39"/>
        <v>DIFERENTE</v>
      </c>
    </row>
    <row r="636" spans="2:16" ht="43.5" x14ac:dyDescent="0.35">
      <c r="B636" s="43">
        <f t="shared" si="36"/>
        <v>118</v>
      </c>
      <c r="C636" s="44" t="str">
        <f>ORÇAMENTO!A408</f>
        <v>5.1.2.4.2</v>
      </c>
      <c r="D636" s="44" t="str">
        <f>ORÇAMENTO!B408</f>
        <v xml:space="preserve"> 101624 </v>
      </c>
      <c r="E636" s="44" t="str">
        <f>ORÇAMENTO!C408</f>
        <v>SINAPI</v>
      </c>
      <c r="F636" s="480" t="str">
        <f>ORÇAMENTO!D408</f>
        <v>PREPARO DE FUNDO DE VALA COM LARGURA MAIOR OU IGUAL A 1,5 M E MENOR QUE 2,5 M, COM CAMADA DE BRITA, LANÇAMENTO MECANIZADO. AF_08/2020</v>
      </c>
      <c r="G636" s="44" t="str">
        <f>ORÇAMENTO!E408</f>
        <v>M³</v>
      </c>
      <c r="H636" s="44">
        <f>ORÇAMENTO!F408</f>
        <v>466.29710000000006</v>
      </c>
      <c r="I636" s="44">
        <f>ORÇAMENTO!G408</f>
        <v>224.67</v>
      </c>
      <c r="J636" s="44">
        <f>ORÇAMENTO!H408</f>
        <v>0.2122</v>
      </c>
      <c r="K636" s="44">
        <f>ORÇAMENTO!I408</f>
        <v>272.33999999999997</v>
      </c>
      <c r="L636" s="44">
        <f>ORÇAMENTO!J408</f>
        <v>126991.35</v>
      </c>
      <c r="M636" s="23">
        <f>ORÇAMENTO!K408</f>
        <v>4.4895248424070772E-3</v>
      </c>
      <c r="N636" s="23" t="str">
        <f t="shared" si="37"/>
        <v>OK!</v>
      </c>
      <c r="O636" s="23" t="str">
        <f t="shared" si="38"/>
        <v>OK!</v>
      </c>
      <c r="P636" s="23" t="str">
        <f t="shared" si="39"/>
        <v>OK!</v>
      </c>
    </row>
    <row r="637" spans="2:16" ht="43.5" x14ac:dyDescent="0.35">
      <c r="B637" s="43">
        <f t="shared" si="36"/>
        <v>118</v>
      </c>
      <c r="C637" s="44" t="str">
        <f>ORÇAMENTO!A620</f>
        <v>6.1.2.4.2</v>
      </c>
      <c r="D637" s="44" t="str">
        <f>ORÇAMENTO!B620</f>
        <v xml:space="preserve"> 101624 </v>
      </c>
      <c r="E637" s="44" t="str">
        <f>ORÇAMENTO!C620</f>
        <v>SINAPI</v>
      </c>
      <c r="F637" s="480" t="str">
        <f>ORÇAMENTO!D620</f>
        <v>PREPARO DE FUNDO DE VALA COM LARGURA MAIOR OU IGUAL A 1,5 M E MENOR QUE 2,5 M, COM CAMADA DE BRITA, LANÇAMENTO MECANIZADO. AF_08/2020</v>
      </c>
      <c r="G637" s="44" t="str">
        <f>ORÇAMENTO!E620</f>
        <v>M³</v>
      </c>
      <c r="H637" s="44">
        <f>ORÇAMENTO!F620</f>
        <v>63.467387219310922</v>
      </c>
      <c r="I637" s="44">
        <f>ORÇAMENTO!G620</f>
        <v>224.67</v>
      </c>
      <c r="J637" s="44">
        <f>ORÇAMENTO!H620</f>
        <v>0.2122</v>
      </c>
      <c r="K637" s="44">
        <f>ORÇAMENTO!I620</f>
        <v>272.33999999999997</v>
      </c>
      <c r="L637" s="44">
        <f>ORÇAMENTO!J620</f>
        <v>17284.7</v>
      </c>
      <c r="M637" s="23">
        <f>ORÇAMENTO!K620</f>
        <v>6.1106595089786516E-4</v>
      </c>
      <c r="N637" s="23" t="str">
        <f t="shared" si="37"/>
        <v>OK!</v>
      </c>
      <c r="O637" s="23" t="str">
        <f t="shared" si="38"/>
        <v>OK!</v>
      </c>
      <c r="P637" s="23" t="str">
        <f t="shared" si="39"/>
        <v>OK!</v>
      </c>
    </row>
    <row r="638" spans="2:16" ht="43.5" x14ac:dyDescent="0.35">
      <c r="B638" s="43">
        <f t="shared" si="36"/>
        <v>118</v>
      </c>
      <c r="C638" s="44" t="str">
        <f>ORÇAMENTO!A817</f>
        <v>7.1.2.4.2</v>
      </c>
      <c r="D638" s="44" t="str">
        <f>ORÇAMENTO!B817</f>
        <v xml:space="preserve"> 101624 </v>
      </c>
      <c r="E638" s="44" t="str">
        <f>ORÇAMENTO!C817</f>
        <v>SINAPI</v>
      </c>
      <c r="F638" s="480" t="str">
        <f>ORÇAMENTO!D817</f>
        <v>PREPARO DE FUNDO DE VALA COM LARGURA MAIOR OU IGUAL A 1,5 M E MENOR QUE 2,5 M, COM CAMADA DE BRITA, LANÇAMENTO MECANIZADO. AF_08/2020</v>
      </c>
      <c r="G638" s="44" t="str">
        <f>ORÇAMENTO!E817</f>
        <v>M³</v>
      </c>
      <c r="H638" s="44">
        <f>ORÇAMENTO!F817</f>
        <v>708.8128999999999</v>
      </c>
      <c r="I638" s="44">
        <f>ORÇAMENTO!G817</f>
        <v>224.67</v>
      </c>
      <c r="J638" s="44">
        <f>ORÇAMENTO!H817</f>
        <v>0.2122</v>
      </c>
      <c r="K638" s="44">
        <f>ORÇAMENTO!I817</f>
        <v>272.33999999999997</v>
      </c>
      <c r="L638" s="44">
        <f>ORÇAMENTO!J817</f>
        <v>193038.1</v>
      </c>
      <c r="M638" s="23">
        <f>ORÇAMENTO!K817</f>
        <v>6.8244754109713906E-3</v>
      </c>
      <c r="N638" s="23" t="str">
        <f t="shared" si="37"/>
        <v>OK!</v>
      </c>
      <c r="O638" s="23" t="str">
        <f t="shared" si="38"/>
        <v>OK!</v>
      </c>
      <c r="P638" s="23" t="str">
        <f t="shared" si="39"/>
        <v>OK!</v>
      </c>
    </row>
    <row r="639" spans="2:16" ht="29" x14ac:dyDescent="0.35">
      <c r="B639" s="43">
        <f t="shared" si="36"/>
        <v>119</v>
      </c>
      <c r="C639" s="44" t="str">
        <f>ORÇAMENTO!A168</f>
        <v>4.1.2.4.1</v>
      </c>
      <c r="D639" s="44" t="str">
        <f>ORÇAMENTO!B168</f>
        <v xml:space="preserve"> 101623 </v>
      </c>
      <c r="E639" s="44" t="str">
        <f>ORÇAMENTO!C168</f>
        <v>SINAPI</v>
      </c>
      <c r="F639" s="480" t="str">
        <f>ORÇAMENTO!D168</f>
        <v>PREPARO DE FUNDO DE VALA COM LARGURA MENOR QUE 1,5 M, COM CAMADA DE BRITA, LANÇAMENTO MECANIZADO. AF_08/2020</v>
      </c>
      <c r="G639" s="44" t="str">
        <f>ORÇAMENTO!E168</f>
        <v>M³</v>
      </c>
      <c r="H639" s="44">
        <f>ORÇAMENTO!F168</f>
        <v>22.743333633351188</v>
      </c>
      <c r="I639" s="44">
        <f>ORÇAMENTO!G168</f>
        <v>271.92</v>
      </c>
      <c r="J639" s="44">
        <f>ORÇAMENTO!H168</f>
        <v>0.2122</v>
      </c>
      <c r="K639" s="44">
        <f>ORÇAMENTO!I168</f>
        <v>329.62</v>
      </c>
      <c r="L639" s="44">
        <f>ORÇAMENTO!J168</f>
        <v>7496.65</v>
      </c>
      <c r="M639" s="23">
        <f>ORÇAMENTO!K168</f>
        <v>2.6502904654396553E-4</v>
      </c>
      <c r="N639" s="23" t="str">
        <f t="shared" si="37"/>
        <v>DIFERENTE</v>
      </c>
      <c r="O639" s="23" t="str">
        <f t="shared" si="38"/>
        <v>DIFERENTE</v>
      </c>
      <c r="P639" s="23" t="str">
        <f t="shared" si="39"/>
        <v>DIFERENTE</v>
      </c>
    </row>
    <row r="640" spans="2:16" ht="29" x14ac:dyDescent="0.35">
      <c r="B640" s="43">
        <f t="shared" si="36"/>
        <v>119</v>
      </c>
      <c r="C640" s="44" t="str">
        <f>ORÇAMENTO!A225</f>
        <v>4.1.2.6.23</v>
      </c>
      <c r="D640" s="44" t="str">
        <f>ORÇAMENTO!B225</f>
        <v xml:space="preserve"> 101623 </v>
      </c>
      <c r="E640" s="44" t="str">
        <f>ORÇAMENTO!C225</f>
        <v>SINAPI</v>
      </c>
      <c r="F640" s="480" t="str">
        <f>ORÇAMENTO!D225</f>
        <v>PREPARO DE FUNDO DE VALA COM LARGURA MENOR QUE 1,5 M, COM CAMADA DE BRITA, LANÇAMENTO MECANIZADO. AF_08/2020</v>
      </c>
      <c r="G640" s="44" t="str">
        <f>ORÇAMENTO!E225</f>
        <v>M³</v>
      </c>
      <c r="H640" s="44">
        <f>ORÇAMENTO!F225</f>
        <v>11.8</v>
      </c>
      <c r="I640" s="44">
        <f>ORÇAMENTO!G225</f>
        <v>271.92</v>
      </c>
      <c r="J640" s="44">
        <f>ORÇAMENTO!H225</f>
        <v>0.2122</v>
      </c>
      <c r="K640" s="44">
        <f>ORÇAMENTO!I225</f>
        <v>329.62</v>
      </c>
      <c r="L640" s="44">
        <f>ORÇAMENTO!J225</f>
        <v>3889.51</v>
      </c>
      <c r="M640" s="23">
        <f>ORÇAMENTO!K225</f>
        <v>1.3750583618325779E-4</v>
      </c>
      <c r="N640" s="23" t="str">
        <f t="shared" si="37"/>
        <v>OK!</v>
      </c>
      <c r="O640" s="23" t="str">
        <f t="shared" si="38"/>
        <v>OK!</v>
      </c>
      <c r="P640" s="23" t="str">
        <f t="shared" si="39"/>
        <v>OK!</v>
      </c>
    </row>
    <row r="641" spans="2:16" ht="29" x14ac:dyDescent="0.35">
      <c r="B641" s="43">
        <f t="shared" ref="B641:B704" si="40">IF(EXACT(D640,D641),B640,B640+1)</f>
        <v>119</v>
      </c>
      <c r="C641" s="44" t="str">
        <f>ORÇAMENTO!A407</f>
        <v>5.1.2.4.1</v>
      </c>
      <c r="D641" s="44" t="str">
        <f>ORÇAMENTO!B407</f>
        <v xml:space="preserve"> 101623 </v>
      </c>
      <c r="E641" s="44" t="str">
        <f>ORÇAMENTO!C407</f>
        <v>SINAPI</v>
      </c>
      <c r="F641" s="480" t="str">
        <f>ORÇAMENTO!D407</f>
        <v>PREPARO DE FUNDO DE VALA COM LARGURA MENOR QUE 1,5 M, COM CAMADA DE BRITA, LANÇAMENTO MECANIZADO. AF_08/2020</v>
      </c>
      <c r="G641" s="44" t="str">
        <f>ORÇAMENTO!E407</f>
        <v>M³</v>
      </c>
      <c r="H641" s="44">
        <f>ORÇAMENTO!F407</f>
        <v>72.798600000000008</v>
      </c>
      <c r="I641" s="44">
        <f>ORÇAMENTO!G407</f>
        <v>271.92</v>
      </c>
      <c r="J641" s="44">
        <f>ORÇAMENTO!H407</f>
        <v>0.2122</v>
      </c>
      <c r="K641" s="44">
        <f>ORÇAMENTO!I407</f>
        <v>329.62</v>
      </c>
      <c r="L641" s="44">
        <f>ORÇAMENTO!J407</f>
        <v>23995.87</v>
      </c>
      <c r="M641" s="23">
        <f>ORÇAMENTO!K407</f>
        <v>8.4832592519231201E-4</v>
      </c>
      <c r="N641" s="23" t="str">
        <f t="shared" ref="N641:N704" si="41">IF(F641=F640,IF(G641=G640,"OK!","ERRADO"),"DIFERENTE")</f>
        <v>OK!</v>
      </c>
      <c r="O641" s="23" t="str">
        <f t="shared" ref="O641:O704" si="42">IF(F641=F640,IF(I641=I640,"OK!","ERRADO"),"DIFERENTE")</f>
        <v>OK!</v>
      </c>
      <c r="P641" s="23" t="str">
        <f t="shared" ref="P641:P704" si="43">IF(F641=F640,IF(D641=D640,"OK!","ERRADO"),"DIFERENTE")</f>
        <v>OK!</v>
      </c>
    </row>
    <row r="642" spans="2:16" ht="29" x14ac:dyDescent="0.35">
      <c r="B642" s="43">
        <f t="shared" si="40"/>
        <v>119</v>
      </c>
      <c r="C642" s="44" t="str">
        <f>ORÇAMENTO!A468</f>
        <v>5.1.2.6.24</v>
      </c>
      <c r="D642" s="44" t="str">
        <f>ORÇAMENTO!B468</f>
        <v xml:space="preserve"> 101623 </v>
      </c>
      <c r="E642" s="44" t="str">
        <f>ORÇAMENTO!C468</f>
        <v>SINAPI</v>
      </c>
      <c r="F642" s="480" t="str">
        <f>ORÇAMENTO!D468</f>
        <v>PREPARO DE FUNDO DE VALA COM LARGURA MENOR QUE 1,5 M, COM CAMADA DE BRITA, LANÇAMENTO MECANIZADO. AF_08/2020</v>
      </c>
      <c r="G642" s="44" t="str">
        <f>ORÇAMENTO!E468</f>
        <v>M³</v>
      </c>
      <c r="H642" s="44">
        <f>ORÇAMENTO!F468</f>
        <v>6.96</v>
      </c>
      <c r="I642" s="44">
        <f>ORÇAMENTO!G468</f>
        <v>271.92</v>
      </c>
      <c r="J642" s="44">
        <f>ORÇAMENTO!H468</f>
        <v>0.2122</v>
      </c>
      <c r="K642" s="44">
        <f>ORÇAMENTO!I468</f>
        <v>329.62</v>
      </c>
      <c r="L642" s="44">
        <f>ORÇAMENTO!J468</f>
        <v>2294.15</v>
      </c>
      <c r="M642" s="23">
        <f>ORÇAMENTO!K468</f>
        <v>8.1105078552265146E-5</v>
      </c>
      <c r="N642" s="23" t="str">
        <f t="shared" si="41"/>
        <v>OK!</v>
      </c>
      <c r="O642" s="23" t="str">
        <f t="shared" si="42"/>
        <v>OK!</v>
      </c>
      <c r="P642" s="23" t="str">
        <f t="shared" si="43"/>
        <v>OK!</v>
      </c>
    </row>
    <row r="643" spans="2:16" ht="29" x14ac:dyDescent="0.35">
      <c r="B643" s="43">
        <f t="shared" si="40"/>
        <v>119</v>
      </c>
      <c r="C643" s="44" t="str">
        <f>ORÇAMENTO!A619</f>
        <v>6.1.2.4.1</v>
      </c>
      <c r="D643" s="44" t="str">
        <f>ORÇAMENTO!B619</f>
        <v xml:space="preserve"> 101623 </v>
      </c>
      <c r="E643" s="44" t="str">
        <f>ORÇAMENTO!C619</f>
        <v>SINAPI</v>
      </c>
      <c r="F643" s="480" t="str">
        <f>ORÇAMENTO!D619</f>
        <v>PREPARO DE FUNDO DE VALA COM LARGURA MENOR QUE 1,5 M, COM CAMADA DE BRITA, LANÇAMENTO MECANIZADO. AF_08/2020</v>
      </c>
      <c r="G643" s="44" t="str">
        <f>ORÇAMENTO!E619</f>
        <v>M³</v>
      </c>
      <c r="H643" s="44">
        <f>ORÇAMENTO!F619</f>
        <v>70.559999999904861</v>
      </c>
      <c r="I643" s="44">
        <f>ORÇAMENTO!G619</f>
        <v>271.92</v>
      </c>
      <c r="J643" s="44">
        <f>ORÇAMENTO!H619</f>
        <v>0.2122</v>
      </c>
      <c r="K643" s="44">
        <f>ORÇAMENTO!I619</f>
        <v>329.62</v>
      </c>
      <c r="L643" s="44">
        <f>ORÇAMENTO!J619</f>
        <v>23257.98</v>
      </c>
      <c r="M643" s="23">
        <f>ORÇAMENTO!K619</f>
        <v>8.2223930208007829E-4</v>
      </c>
      <c r="N643" s="23" t="str">
        <f t="shared" si="41"/>
        <v>OK!</v>
      </c>
      <c r="O643" s="23" t="str">
        <f t="shared" si="42"/>
        <v>OK!</v>
      </c>
      <c r="P643" s="23" t="str">
        <f t="shared" si="43"/>
        <v>OK!</v>
      </c>
    </row>
    <row r="644" spans="2:16" ht="29" x14ac:dyDescent="0.35">
      <c r="B644" s="43">
        <f t="shared" si="40"/>
        <v>119</v>
      </c>
      <c r="C644" s="44" t="str">
        <f>ORÇAMENTO!A663</f>
        <v>6.1.2.6.16</v>
      </c>
      <c r="D644" s="44" t="str">
        <f>ORÇAMENTO!B663</f>
        <v xml:space="preserve"> 101623 </v>
      </c>
      <c r="E644" s="44" t="str">
        <f>ORÇAMENTO!C663</f>
        <v>SINAPI</v>
      </c>
      <c r="F644" s="480" t="str">
        <f>ORÇAMENTO!D663</f>
        <v>PREPARO DE FUNDO DE VALA COM LARGURA MENOR QUE 1,5 M, COM CAMADA DE BRITA, LANÇAMENTO MECANIZADO. AF_08/2020</v>
      </c>
      <c r="G644" s="44" t="str">
        <f>ORÇAMENTO!E663</f>
        <v>M³</v>
      </c>
      <c r="H644" s="44">
        <f>ORÇAMENTO!F663</f>
        <v>9.39</v>
      </c>
      <c r="I644" s="44">
        <f>ORÇAMENTO!G663</f>
        <v>271.92</v>
      </c>
      <c r="J644" s="44">
        <f>ORÇAMENTO!H663</f>
        <v>0.2122</v>
      </c>
      <c r="K644" s="44">
        <f>ORÇAMENTO!I663</f>
        <v>329.62</v>
      </c>
      <c r="L644" s="44">
        <f>ORÇAMENTO!J663</f>
        <v>3095.13</v>
      </c>
      <c r="M644" s="23">
        <f>ORÇAMENTO!K663</f>
        <v>1.0942212225855869E-4</v>
      </c>
      <c r="N644" s="23" t="str">
        <f t="shared" si="41"/>
        <v>OK!</v>
      </c>
      <c r="O644" s="23" t="str">
        <f t="shared" si="42"/>
        <v>OK!</v>
      </c>
      <c r="P644" s="23" t="str">
        <f t="shared" si="43"/>
        <v>OK!</v>
      </c>
    </row>
    <row r="645" spans="2:16" ht="29" x14ac:dyDescent="0.35">
      <c r="B645" s="43">
        <f t="shared" si="40"/>
        <v>119</v>
      </c>
      <c r="C645" s="44" t="str">
        <f>ORÇAMENTO!A816</f>
        <v>7.1.2.4.1</v>
      </c>
      <c r="D645" s="44" t="str">
        <f>ORÇAMENTO!B816</f>
        <v xml:space="preserve"> 101623 </v>
      </c>
      <c r="E645" s="44" t="str">
        <f>ORÇAMENTO!C816</f>
        <v>SINAPI</v>
      </c>
      <c r="F645" s="480" t="str">
        <f>ORÇAMENTO!D816</f>
        <v>PREPARO DE FUNDO DE VALA COM LARGURA MENOR QUE 1,5 M, COM CAMADA DE BRITA, LANÇAMENTO MECANIZADO. AF_08/2020</v>
      </c>
      <c r="G645" s="44" t="str">
        <f>ORÇAMENTO!E816</f>
        <v>M³</v>
      </c>
      <c r="H645" s="44">
        <f>ORÇAMENTO!F816</f>
        <v>19.448799999999999</v>
      </c>
      <c r="I645" s="44">
        <f>ORÇAMENTO!G816</f>
        <v>271.92</v>
      </c>
      <c r="J645" s="44">
        <f>ORÇAMENTO!H816</f>
        <v>0.2122</v>
      </c>
      <c r="K645" s="44">
        <f>ORÇAMENTO!I816</f>
        <v>329.62</v>
      </c>
      <c r="L645" s="44">
        <f>ORÇAMENTO!J816</f>
        <v>6410.71</v>
      </c>
      <c r="M645" s="23">
        <f>ORÇAMENTO!K816</f>
        <v>2.2663781275234475E-4</v>
      </c>
      <c r="N645" s="23" t="str">
        <f t="shared" si="41"/>
        <v>OK!</v>
      </c>
      <c r="O645" s="23" t="str">
        <f t="shared" si="42"/>
        <v>OK!</v>
      </c>
      <c r="P645" s="23" t="str">
        <f t="shared" si="43"/>
        <v>OK!</v>
      </c>
    </row>
    <row r="646" spans="2:16" ht="29" x14ac:dyDescent="0.35">
      <c r="B646" s="43">
        <f t="shared" si="40"/>
        <v>119</v>
      </c>
      <c r="C646" s="44" t="str">
        <f>ORÇAMENTO!A876</f>
        <v>7.1.2.6.23</v>
      </c>
      <c r="D646" s="44" t="str">
        <f>ORÇAMENTO!B876</f>
        <v xml:space="preserve"> 101623 </v>
      </c>
      <c r="E646" s="44" t="str">
        <f>ORÇAMENTO!C876</f>
        <v>SINAPI</v>
      </c>
      <c r="F646" s="480" t="str">
        <f>ORÇAMENTO!D876</f>
        <v>PREPARO DE FUNDO DE VALA COM LARGURA MENOR QUE 1,5 M, COM CAMADA DE BRITA, LANÇAMENTO MECANIZADO. AF_08/2020</v>
      </c>
      <c r="G646" s="44" t="str">
        <f>ORÇAMENTO!E876</f>
        <v>M³</v>
      </c>
      <c r="H646" s="44">
        <f>ORÇAMENTO!F876</f>
        <v>13.83</v>
      </c>
      <c r="I646" s="44">
        <f>ORÇAMENTO!G876</f>
        <v>271.92</v>
      </c>
      <c r="J646" s="44">
        <f>ORÇAMENTO!H876</f>
        <v>0.2122</v>
      </c>
      <c r="K646" s="44">
        <f>ORÇAMENTO!I876</f>
        <v>329.62</v>
      </c>
      <c r="L646" s="44">
        <f>ORÇAMENTO!J876</f>
        <v>4558.6400000000003</v>
      </c>
      <c r="M646" s="23">
        <f>ORÇAMENTO!K876</f>
        <v>1.6116158720724366E-4</v>
      </c>
      <c r="N646" s="23" t="str">
        <f t="shared" si="41"/>
        <v>OK!</v>
      </c>
      <c r="O646" s="23" t="str">
        <f t="shared" si="42"/>
        <v>OK!</v>
      </c>
      <c r="P646" s="23" t="str">
        <f t="shared" si="43"/>
        <v>OK!</v>
      </c>
    </row>
    <row r="647" spans="2:16" ht="29" x14ac:dyDescent="0.35">
      <c r="B647" s="43">
        <f t="shared" si="40"/>
        <v>120</v>
      </c>
      <c r="C647" s="44" t="str">
        <f>ORÇAMENTO!A181</f>
        <v>4.1.2.4.14</v>
      </c>
      <c r="D647" s="44" t="str">
        <f>ORÇAMENTO!B181</f>
        <v xml:space="preserve"> 02.05.04U </v>
      </c>
      <c r="E647" s="44" t="str">
        <f>ORÇAMENTO!C181</f>
        <v>COMPESA</v>
      </c>
      <c r="F647" s="480" t="str">
        <f>ORÇAMENTO!D181</f>
        <v>REATERRO COMPACTADO MECANICAMENTE EM CAMADAS DE 0,20 M COM APROVEITAMENTO DO MATERIAL ESCAVADO.</v>
      </c>
      <c r="G647" s="44" t="str">
        <f>ORÇAMENTO!E181</f>
        <v>M³</v>
      </c>
      <c r="H647" s="44">
        <f>ORÇAMENTO!F181</f>
        <v>3556.2080331943398</v>
      </c>
      <c r="I647" s="44">
        <f>ORÇAMENTO!G181</f>
        <v>11.09</v>
      </c>
      <c r="J647" s="44">
        <f>ORÇAMENTO!H181</f>
        <v>0.2122</v>
      </c>
      <c r="K647" s="44">
        <f>ORÇAMENTO!I181</f>
        <v>13.44</v>
      </c>
      <c r="L647" s="44">
        <f>ORÇAMENTO!J181</f>
        <v>47795.43</v>
      </c>
      <c r="M647" s="23">
        <f>ORÇAMENTO!K181</f>
        <v>1.6897117035020771E-3</v>
      </c>
      <c r="N647" s="23" t="str">
        <f t="shared" si="41"/>
        <v>DIFERENTE</v>
      </c>
      <c r="O647" s="23" t="str">
        <f t="shared" si="42"/>
        <v>DIFERENTE</v>
      </c>
      <c r="P647" s="23" t="str">
        <f t="shared" si="43"/>
        <v>DIFERENTE</v>
      </c>
    </row>
    <row r="648" spans="2:16" ht="29" x14ac:dyDescent="0.35">
      <c r="B648" s="43">
        <f t="shared" si="40"/>
        <v>120</v>
      </c>
      <c r="C648" s="44" t="str">
        <f>ORÇAMENTO!A237</f>
        <v>4.1.2.6.35</v>
      </c>
      <c r="D648" s="44" t="str">
        <f>ORÇAMENTO!B237</f>
        <v xml:space="preserve"> 02.05.04U </v>
      </c>
      <c r="E648" s="44" t="str">
        <f>ORÇAMENTO!C237</f>
        <v>COMPESA</v>
      </c>
      <c r="F648" s="480" t="str">
        <f>ORÇAMENTO!D237</f>
        <v>REATERRO COMPACTADO MECANICAMENTE EM CAMADAS DE 0,20 M COM APROVEITAMENTO DO MATERIAL ESCAVADO.</v>
      </c>
      <c r="G648" s="44" t="str">
        <f>ORÇAMENTO!E237</f>
        <v>M³</v>
      </c>
      <c r="H648" s="44">
        <f>ORÇAMENTO!F237</f>
        <v>674.02</v>
      </c>
      <c r="I648" s="44">
        <f>ORÇAMENTO!G237</f>
        <v>11.09</v>
      </c>
      <c r="J648" s="44">
        <f>ORÇAMENTO!H237</f>
        <v>0.2122</v>
      </c>
      <c r="K648" s="44">
        <f>ORÇAMENTO!I237</f>
        <v>13.44</v>
      </c>
      <c r="L648" s="44">
        <f>ORÇAMENTO!J237</f>
        <v>9058.82</v>
      </c>
      <c r="M648" s="23">
        <f>ORÇAMENTO!K237</f>
        <v>3.2025643819751564E-4</v>
      </c>
      <c r="N648" s="23" t="str">
        <f t="shared" si="41"/>
        <v>OK!</v>
      </c>
      <c r="O648" s="23" t="str">
        <f t="shared" si="42"/>
        <v>OK!</v>
      </c>
      <c r="P648" s="23" t="str">
        <f t="shared" si="43"/>
        <v>OK!</v>
      </c>
    </row>
    <row r="649" spans="2:16" ht="29" x14ac:dyDescent="0.35">
      <c r="B649" s="43">
        <f t="shared" si="40"/>
        <v>120</v>
      </c>
      <c r="C649" s="44" t="str">
        <f>ORÇAMENTO!A420</f>
        <v>5.1.2.4.14</v>
      </c>
      <c r="D649" s="44" t="str">
        <f>ORÇAMENTO!B420</f>
        <v xml:space="preserve"> 02.05.04U </v>
      </c>
      <c r="E649" s="44" t="str">
        <f>ORÇAMENTO!C420</f>
        <v>COMPESA</v>
      </c>
      <c r="F649" s="480" t="str">
        <f>ORÇAMENTO!D420</f>
        <v>REATERRO COMPACTADO MECANICAMENTE EM CAMADAS DE 0,20 M COM APROVEITAMENTO DO MATERIAL ESCAVADO.</v>
      </c>
      <c r="G649" s="44" t="str">
        <f>ORÇAMENTO!E420</f>
        <v>M³</v>
      </c>
      <c r="H649" s="44">
        <f>ORÇAMENTO!F420</f>
        <v>5392.0377449999996</v>
      </c>
      <c r="I649" s="44">
        <f>ORÇAMENTO!G420</f>
        <v>11.09</v>
      </c>
      <c r="J649" s="44">
        <f>ORÇAMENTO!H420</f>
        <v>0.2122</v>
      </c>
      <c r="K649" s="44">
        <f>ORÇAMENTO!I420</f>
        <v>13.44</v>
      </c>
      <c r="L649" s="44">
        <f>ORÇAMENTO!J420</f>
        <v>72468.98</v>
      </c>
      <c r="M649" s="23">
        <f>ORÇAMENTO!K420</f>
        <v>2.5619956478445311E-3</v>
      </c>
      <c r="N649" s="23" t="str">
        <f t="shared" si="41"/>
        <v>OK!</v>
      </c>
      <c r="O649" s="23" t="str">
        <f t="shared" si="42"/>
        <v>OK!</v>
      </c>
      <c r="P649" s="23" t="str">
        <f t="shared" si="43"/>
        <v>OK!</v>
      </c>
    </row>
    <row r="650" spans="2:16" ht="29" x14ac:dyDescent="0.35">
      <c r="B650" s="43">
        <f t="shared" si="40"/>
        <v>120</v>
      </c>
      <c r="C650" s="44" t="str">
        <f>ORÇAMENTO!A480</f>
        <v>5.1.2.6.36</v>
      </c>
      <c r="D650" s="44" t="str">
        <f>ORÇAMENTO!B480</f>
        <v xml:space="preserve"> 02.05.04U </v>
      </c>
      <c r="E650" s="44" t="str">
        <f>ORÇAMENTO!C480</f>
        <v>COMPESA</v>
      </c>
      <c r="F650" s="480" t="str">
        <f>ORÇAMENTO!D480</f>
        <v>REATERRO COMPACTADO MECANICAMENTE EM CAMADAS DE 0,20 M COM APROVEITAMENTO DO MATERIAL ESCAVADO.</v>
      </c>
      <c r="G650" s="44" t="str">
        <f>ORÇAMENTO!E480</f>
        <v>M³</v>
      </c>
      <c r="H650" s="44">
        <f>ORÇAMENTO!F480</f>
        <v>698.24</v>
      </c>
      <c r="I650" s="44">
        <f>ORÇAMENTO!G480</f>
        <v>11.09</v>
      </c>
      <c r="J650" s="44">
        <f>ORÇAMENTO!H480</f>
        <v>0.2122</v>
      </c>
      <c r="K650" s="44">
        <f>ORÇAMENTO!I480</f>
        <v>13.44</v>
      </c>
      <c r="L650" s="44">
        <f>ORÇAMENTO!J480</f>
        <v>9384.34</v>
      </c>
      <c r="M650" s="23">
        <f>ORÇAMENTO!K480</f>
        <v>3.3176454584973256E-4</v>
      </c>
      <c r="N650" s="23" t="str">
        <f t="shared" si="41"/>
        <v>OK!</v>
      </c>
      <c r="O650" s="23" t="str">
        <f t="shared" si="42"/>
        <v>OK!</v>
      </c>
      <c r="P650" s="23" t="str">
        <f t="shared" si="43"/>
        <v>OK!</v>
      </c>
    </row>
    <row r="651" spans="2:16" ht="29" x14ac:dyDescent="0.35">
      <c r="B651" s="43">
        <f t="shared" si="40"/>
        <v>120</v>
      </c>
      <c r="C651" s="44" t="str">
        <f>ORÇAMENTO!A632</f>
        <v>6.1.2.4.14</v>
      </c>
      <c r="D651" s="44" t="str">
        <f>ORÇAMENTO!B632</f>
        <v xml:space="preserve"> 02.05.04U </v>
      </c>
      <c r="E651" s="44" t="str">
        <f>ORÇAMENTO!C632</f>
        <v>COMPESA</v>
      </c>
      <c r="F651" s="480" t="str">
        <f>ORÇAMENTO!D632</f>
        <v>REATERRO COMPACTADO MECANICAMENTE EM CAMADAS DE 0,20 M COM APROVEITAMENTO DO MATERIAL ESCAVADO.</v>
      </c>
      <c r="G651" s="44" t="str">
        <f>ORÇAMENTO!E632</f>
        <v>M³</v>
      </c>
      <c r="H651" s="44">
        <f>ORÇAMENTO!F632</f>
        <v>793.2967585992925</v>
      </c>
      <c r="I651" s="44">
        <f>ORÇAMENTO!G632</f>
        <v>11.09</v>
      </c>
      <c r="J651" s="44">
        <f>ORÇAMENTO!H632</f>
        <v>0.2122</v>
      </c>
      <c r="K651" s="44">
        <f>ORÇAMENTO!I632</f>
        <v>13.44</v>
      </c>
      <c r="L651" s="44">
        <f>ORÇAMENTO!J632</f>
        <v>10661.9</v>
      </c>
      <c r="M651" s="23">
        <f>ORÇAMENTO!K632</f>
        <v>3.7693012096697936E-4</v>
      </c>
      <c r="N651" s="23" t="str">
        <f t="shared" si="41"/>
        <v>OK!</v>
      </c>
      <c r="O651" s="23" t="str">
        <f t="shared" si="42"/>
        <v>OK!</v>
      </c>
      <c r="P651" s="23" t="str">
        <f t="shared" si="43"/>
        <v>OK!</v>
      </c>
    </row>
    <row r="652" spans="2:16" ht="29" x14ac:dyDescent="0.35">
      <c r="B652" s="43">
        <f t="shared" si="40"/>
        <v>120</v>
      </c>
      <c r="C652" s="44" t="str">
        <f>ORÇAMENTO!A675</f>
        <v>6.1.2.6.28</v>
      </c>
      <c r="D652" s="44" t="str">
        <f>ORÇAMENTO!B675</f>
        <v xml:space="preserve"> 02.05.04U </v>
      </c>
      <c r="E652" s="44" t="str">
        <f>ORÇAMENTO!C675</f>
        <v>COMPESA</v>
      </c>
      <c r="F652" s="480" t="str">
        <f>ORÇAMENTO!D675</f>
        <v>REATERRO COMPACTADO MECANICAMENTE EM CAMADAS DE 0,20 M COM APROVEITAMENTO DO MATERIAL ESCAVADO.</v>
      </c>
      <c r="G652" s="44" t="str">
        <f>ORÇAMENTO!E675</f>
        <v>M³</v>
      </c>
      <c r="H652" s="44">
        <f>ORÇAMENTO!F675</f>
        <v>540.48</v>
      </c>
      <c r="I652" s="44">
        <f>ORÇAMENTO!G675</f>
        <v>11.09</v>
      </c>
      <c r="J652" s="44">
        <f>ORÇAMENTO!H675</f>
        <v>0.2122</v>
      </c>
      <c r="K652" s="44">
        <f>ORÇAMENTO!I675</f>
        <v>13.44</v>
      </c>
      <c r="L652" s="44">
        <f>ORÇAMENTO!J675</f>
        <v>7264.05</v>
      </c>
      <c r="M652" s="23">
        <f>ORÇAMENTO!K675</f>
        <v>2.5680593939262107E-4</v>
      </c>
      <c r="N652" s="23" t="str">
        <f t="shared" si="41"/>
        <v>OK!</v>
      </c>
      <c r="O652" s="23" t="str">
        <f t="shared" si="42"/>
        <v>OK!</v>
      </c>
      <c r="P652" s="23" t="str">
        <f t="shared" si="43"/>
        <v>OK!</v>
      </c>
    </row>
    <row r="653" spans="2:16" ht="29" x14ac:dyDescent="0.35">
      <c r="B653" s="43">
        <f t="shared" si="40"/>
        <v>120</v>
      </c>
      <c r="C653" s="44" t="str">
        <f>ORÇAMENTO!A829</f>
        <v>7.1.2.4.14</v>
      </c>
      <c r="D653" s="44" t="str">
        <f>ORÇAMENTO!B829</f>
        <v xml:space="preserve"> 02.05.04U </v>
      </c>
      <c r="E653" s="44" t="str">
        <f>ORÇAMENTO!C829</f>
        <v>COMPESA</v>
      </c>
      <c r="F653" s="480" t="str">
        <f>ORÇAMENTO!D829</f>
        <v>REATERRO COMPACTADO MECANICAMENTE EM CAMADAS DE 0,20 M COM APROVEITAMENTO DO MATERIAL ESCAVADO.</v>
      </c>
      <c r="G653" s="44" t="str">
        <f>ORÇAMENTO!E829</f>
        <v>M³</v>
      </c>
      <c r="H653" s="44">
        <f>ORÇAMENTO!F829</f>
        <v>8304.8526500000025</v>
      </c>
      <c r="I653" s="44">
        <f>ORÇAMENTO!G829</f>
        <v>11.09</v>
      </c>
      <c r="J653" s="44">
        <f>ORÇAMENTO!H829</f>
        <v>0.2122</v>
      </c>
      <c r="K653" s="44">
        <f>ORÇAMENTO!I829</f>
        <v>13.44</v>
      </c>
      <c r="L653" s="44">
        <f>ORÇAMENTO!J829</f>
        <v>111617.21</v>
      </c>
      <c r="M653" s="23">
        <f>ORÇAMENTO!K829</f>
        <v>3.9460029138612017E-3</v>
      </c>
      <c r="N653" s="23" t="str">
        <f t="shared" si="41"/>
        <v>OK!</v>
      </c>
      <c r="O653" s="23" t="str">
        <f t="shared" si="42"/>
        <v>OK!</v>
      </c>
      <c r="P653" s="23" t="str">
        <f t="shared" si="43"/>
        <v>OK!</v>
      </c>
    </row>
    <row r="654" spans="2:16" ht="29" x14ac:dyDescent="0.35">
      <c r="B654" s="43">
        <f t="shared" si="40"/>
        <v>120</v>
      </c>
      <c r="C654" s="44" t="str">
        <f>ORÇAMENTO!A888</f>
        <v>7.1.2.6.35</v>
      </c>
      <c r="D654" s="44" t="str">
        <f>ORÇAMENTO!B888</f>
        <v xml:space="preserve"> 02.05.04U </v>
      </c>
      <c r="E654" s="44" t="str">
        <f>ORÇAMENTO!C888</f>
        <v>COMPESA</v>
      </c>
      <c r="F654" s="480" t="str">
        <f>ORÇAMENTO!D888</f>
        <v>REATERRO COMPACTADO MECANICAMENTE EM CAMADAS DE 0,20 M COM APROVEITAMENTO DO MATERIAL ESCAVADO.</v>
      </c>
      <c r="G654" s="44" t="str">
        <f>ORÇAMENTO!E888</f>
        <v>M³</v>
      </c>
      <c r="H654" s="44">
        <f>ORÇAMENTO!F888</f>
        <v>717.28</v>
      </c>
      <c r="I654" s="44">
        <f>ORÇAMENTO!G888</f>
        <v>11.09</v>
      </c>
      <c r="J654" s="44">
        <f>ORÇAMENTO!H888</f>
        <v>0.2122</v>
      </c>
      <c r="K654" s="44">
        <f>ORÇAMENTO!I888</f>
        <v>13.44</v>
      </c>
      <c r="L654" s="44">
        <f>ORÇAMENTO!J888</f>
        <v>9640.24</v>
      </c>
      <c r="M654" s="23">
        <f>ORÇAMENTO!K888</f>
        <v>3.4081137783609986E-4</v>
      </c>
      <c r="N654" s="23" t="str">
        <f t="shared" si="41"/>
        <v>OK!</v>
      </c>
      <c r="O654" s="23" t="str">
        <f t="shared" si="42"/>
        <v>OK!</v>
      </c>
      <c r="P654" s="23" t="str">
        <f t="shared" si="43"/>
        <v>OK!</v>
      </c>
    </row>
    <row r="655" spans="2:16" x14ac:dyDescent="0.35">
      <c r="B655" s="43">
        <f t="shared" si="40"/>
        <v>121</v>
      </c>
      <c r="C655" s="44" t="str">
        <f>ORÇAMENTO!A180</f>
        <v>4.1.2.4.13</v>
      </c>
      <c r="D655" s="44" t="str">
        <f>ORÇAMENTO!B180</f>
        <v xml:space="preserve"> 0401001113 </v>
      </c>
      <c r="E655" s="44" t="str">
        <f>ORÇAMENTO!C180</f>
        <v>AGESUL</v>
      </c>
      <c r="F655" s="480" t="str">
        <f>ORÇAMENTO!D180</f>
        <v>REATERRO MANUAL APILOADO COM SOQUETE</v>
      </c>
      <c r="G655" s="44" t="str">
        <f>ORÇAMENTO!E180</f>
        <v>M³</v>
      </c>
      <c r="H655" s="44">
        <f>ORÇAMENTO!F180</f>
        <v>2086.2191290741885</v>
      </c>
      <c r="I655" s="44">
        <f>ORÇAMENTO!G180</f>
        <v>56.12</v>
      </c>
      <c r="J655" s="44">
        <f>ORÇAMENTO!H180</f>
        <v>0.2122</v>
      </c>
      <c r="K655" s="44">
        <f>ORÇAMENTO!I180</f>
        <v>68.03</v>
      </c>
      <c r="L655" s="44">
        <f>ORÇAMENTO!J180</f>
        <v>141925.48000000001</v>
      </c>
      <c r="M655" s="23">
        <f>ORÇAMENTO!K180</f>
        <v>5.0174910986500168E-3</v>
      </c>
      <c r="N655" s="23" t="str">
        <f t="shared" si="41"/>
        <v>DIFERENTE</v>
      </c>
      <c r="O655" s="23" t="str">
        <f t="shared" si="42"/>
        <v>DIFERENTE</v>
      </c>
      <c r="P655" s="23" t="str">
        <f t="shared" si="43"/>
        <v>DIFERENTE</v>
      </c>
    </row>
    <row r="656" spans="2:16" x14ac:dyDescent="0.35">
      <c r="B656" s="43">
        <f t="shared" si="40"/>
        <v>121</v>
      </c>
      <c r="C656" s="44" t="str">
        <f>ORÇAMENTO!A236</f>
        <v>4.1.2.6.34</v>
      </c>
      <c r="D656" s="44" t="str">
        <f>ORÇAMENTO!B236</f>
        <v xml:space="preserve"> 0401001113 </v>
      </c>
      <c r="E656" s="44" t="str">
        <f>ORÇAMENTO!C236</f>
        <v>AGESUL</v>
      </c>
      <c r="F656" s="480" t="str">
        <f>ORÇAMENTO!D236</f>
        <v>REATERRO MANUAL APILOADO COM SOQUETE</v>
      </c>
      <c r="G656" s="44" t="str">
        <f>ORÇAMENTO!E236</f>
        <v>M³</v>
      </c>
      <c r="H656" s="44">
        <f>ORÇAMENTO!F236</f>
        <v>135.58000000000001</v>
      </c>
      <c r="I656" s="44">
        <f>ORÇAMENTO!G236</f>
        <v>56.12</v>
      </c>
      <c r="J656" s="44">
        <f>ORÇAMENTO!H236</f>
        <v>0.2122</v>
      </c>
      <c r="K656" s="44">
        <f>ORÇAMENTO!I236</f>
        <v>68.03</v>
      </c>
      <c r="L656" s="44">
        <f>ORÇAMENTO!J236</f>
        <v>9223.5</v>
      </c>
      <c r="M656" s="23">
        <f>ORÇAMENTO!K236</f>
        <v>3.2607836977826974E-4</v>
      </c>
      <c r="N656" s="23" t="str">
        <f t="shared" si="41"/>
        <v>OK!</v>
      </c>
      <c r="O656" s="23" t="str">
        <f t="shared" si="42"/>
        <v>OK!</v>
      </c>
      <c r="P656" s="23" t="str">
        <f t="shared" si="43"/>
        <v>OK!</v>
      </c>
    </row>
    <row r="657" spans="2:16" x14ac:dyDescent="0.35">
      <c r="B657" s="43">
        <f t="shared" si="40"/>
        <v>121</v>
      </c>
      <c r="C657" s="44" t="str">
        <f>ORÇAMENTO!A316</f>
        <v>4.4.12</v>
      </c>
      <c r="D657" s="44" t="str">
        <f>ORÇAMENTO!B316</f>
        <v xml:space="preserve"> 0401001113 </v>
      </c>
      <c r="E657" s="44" t="str">
        <f>ORÇAMENTO!C316</f>
        <v>AGESUL</v>
      </c>
      <c r="F657" s="480" t="str">
        <f>ORÇAMENTO!D316</f>
        <v>REATERRO MANUAL APILOADO COM SOQUETE</v>
      </c>
      <c r="G657" s="44" t="str">
        <f>ORÇAMENTO!E316</f>
        <v>M³</v>
      </c>
      <c r="H657" s="44">
        <f>ORÇAMENTO!F316</f>
        <v>26.721771190394634</v>
      </c>
      <c r="I657" s="44">
        <f>ORÇAMENTO!G316</f>
        <v>56.12</v>
      </c>
      <c r="J657" s="44">
        <f>ORÇAMENTO!H316</f>
        <v>0.2122</v>
      </c>
      <c r="K657" s="44">
        <f>ORÇAMENTO!I316</f>
        <v>68.03</v>
      </c>
      <c r="L657" s="44">
        <f>ORÇAMENTO!J316</f>
        <v>1817.88</v>
      </c>
      <c r="M657" s="23">
        <f>ORÇAMENTO!K316</f>
        <v>6.4267506570447346E-5</v>
      </c>
      <c r="N657" s="23" t="str">
        <f t="shared" si="41"/>
        <v>OK!</v>
      </c>
      <c r="O657" s="23" t="str">
        <f t="shared" si="42"/>
        <v>OK!</v>
      </c>
      <c r="P657" s="23" t="str">
        <f t="shared" si="43"/>
        <v>OK!</v>
      </c>
    </row>
    <row r="658" spans="2:16" x14ac:dyDescent="0.35">
      <c r="B658" s="43">
        <f t="shared" si="40"/>
        <v>121</v>
      </c>
      <c r="C658" s="44" t="str">
        <f>ORÇAMENTO!A419</f>
        <v>5.1.2.4.13</v>
      </c>
      <c r="D658" s="44" t="str">
        <f>ORÇAMENTO!B419</f>
        <v xml:space="preserve"> 0401001113 </v>
      </c>
      <c r="E658" s="44" t="str">
        <f>ORÇAMENTO!C419</f>
        <v>AGESUL</v>
      </c>
      <c r="F658" s="480" t="str">
        <f>ORÇAMENTO!D419</f>
        <v>REATERRO MANUAL APILOADO COM SOQUETE</v>
      </c>
      <c r="G658" s="44" t="str">
        <f>ORÇAMENTO!E419</f>
        <v>M³</v>
      </c>
      <c r="H658" s="44">
        <f>ORÇAMENTO!F419</f>
        <v>3351.2372152277189</v>
      </c>
      <c r="I658" s="44">
        <f>ORÇAMENTO!G419</f>
        <v>56.12</v>
      </c>
      <c r="J658" s="44">
        <f>ORÇAMENTO!H419</f>
        <v>0.2122</v>
      </c>
      <c r="K658" s="44">
        <f>ORÇAMENTO!I419</f>
        <v>68.03</v>
      </c>
      <c r="L658" s="44">
        <f>ORÇAMENTO!J419</f>
        <v>227984.66</v>
      </c>
      <c r="M658" s="23">
        <f>ORÇAMENTO!K419</f>
        <v>8.0599410491953277E-3</v>
      </c>
      <c r="N658" s="23" t="str">
        <f t="shared" si="41"/>
        <v>OK!</v>
      </c>
      <c r="O658" s="23" t="str">
        <f t="shared" si="42"/>
        <v>OK!</v>
      </c>
      <c r="P658" s="23" t="str">
        <f t="shared" si="43"/>
        <v>OK!</v>
      </c>
    </row>
    <row r="659" spans="2:16" x14ac:dyDescent="0.35">
      <c r="B659" s="43">
        <f t="shared" si="40"/>
        <v>121</v>
      </c>
      <c r="C659" s="44" t="str">
        <f>ORÇAMENTO!A479</f>
        <v>5.1.2.6.35</v>
      </c>
      <c r="D659" s="44" t="str">
        <f>ORÇAMENTO!B479</f>
        <v xml:space="preserve"> 0401001113 </v>
      </c>
      <c r="E659" s="44" t="str">
        <f>ORÇAMENTO!C479</f>
        <v>AGESUL</v>
      </c>
      <c r="F659" s="480" t="str">
        <f>ORÇAMENTO!D479</f>
        <v>REATERRO MANUAL APILOADO COM SOQUETE</v>
      </c>
      <c r="G659" s="44" t="str">
        <f>ORÇAMENTO!E479</f>
        <v>M³</v>
      </c>
      <c r="H659" s="44">
        <f>ORÇAMENTO!F479</f>
        <v>86.2</v>
      </c>
      <c r="I659" s="44">
        <f>ORÇAMENTO!G479</f>
        <v>56.12</v>
      </c>
      <c r="J659" s="44">
        <f>ORÇAMENTO!H479</f>
        <v>0.2122</v>
      </c>
      <c r="K659" s="44">
        <f>ORÇAMENTO!I479</f>
        <v>68.03</v>
      </c>
      <c r="L659" s="44">
        <f>ORÇAMENTO!J479</f>
        <v>5864.18</v>
      </c>
      <c r="M659" s="23">
        <f>ORÇAMENTO!K479</f>
        <v>2.0731633918646218E-4</v>
      </c>
      <c r="N659" s="23" t="str">
        <f t="shared" si="41"/>
        <v>OK!</v>
      </c>
      <c r="O659" s="23" t="str">
        <f t="shared" si="42"/>
        <v>OK!</v>
      </c>
      <c r="P659" s="23" t="str">
        <f t="shared" si="43"/>
        <v>OK!</v>
      </c>
    </row>
    <row r="660" spans="2:16" x14ac:dyDescent="0.35">
      <c r="B660" s="43">
        <f t="shared" si="40"/>
        <v>121</v>
      </c>
      <c r="C660" s="44" t="str">
        <f>ORÇAMENTO!A529</f>
        <v>5.4.12</v>
      </c>
      <c r="D660" s="44" t="str">
        <f>ORÇAMENTO!B529</f>
        <v xml:space="preserve"> 0401001113 </v>
      </c>
      <c r="E660" s="44" t="str">
        <f>ORÇAMENTO!C529</f>
        <v>AGESUL</v>
      </c>
      <c r="F660" s="480" t="str">
        <f>ORÇAMENTO!D529</f>
        <v>REATERRO MANUAL APILOADO COM SOQUETE</v>
      </c>
      <c r="G660" s="44" t="str">
        <f>ORÇAMENTO!E529</f>
        <v>M³</v>
      </c>
      <c r="H660" s="44">
        <f>ORÇAMENTO!F529</f>
        <v>12.59791337661367</v>
      </c>
      <c r="I660" s="44">
        <f>ORÇAMENTO!G529</f>
        <v>56.12</v>
      </c>
      <c r="J660" s="44">
        <f>ORÇAMENTO!H529</f>
        <v>0.2122</v>
      </c>
      <c r="K660" s="44">
        <f>ORÇAMENTO!I529</f>
        <v>68.03</v>
      </c>
      <c r="L660" s="44">
        <f>ORÇAMENTO!J529</f>
        <v>857.03</v>
      </c>
      <c r="M660" s="23">
        <f>ORÇAMENTO!K529</f>
        <v>3.0298579199985964E-5</v>
      </c>
      <c r="N660" s="23" t="str">
        <f t="shared" si="41"/>
        <v>OK!</v>
      </c>
      <c r="O660" s="23" t="str">
        <f t="shared" si="42"/>
        <v>OK!</v>
      </c>
      <c r="P660" s="23" t="str">
        <f t="shared" si="43"/>
        <v>OK!</v>
      </c>
    </row>
    <row r="661" spans="2:16" x14ac:dyDescent="0.35">
      <c r="B661" s="43">
        <f t="shared" si="40"/>
        <v>121</v>
      </c>
      <c r="C661" s="44" t="str">
        <f>ORÇAMENTO!A631</f>
        <v>6.1.2.4.13</v>
      </c>
      <c r="D661" s="44" t="str">
        <f>ORÇAMENTO!B631</f>
        <v xml:space="preserve"> 0401001113 </v>
      </c>
      <c r="E661" s="44" t="str">
        <f>ORÇAMENTO!C631</f>
        <v>AGESUL</v>
      </c>
      <c r="F661" s="480" t="str">
        <f>ORÇAMENTO!D631</f>
        <v>REATERRO MANUAL APILOADO COM SOQUETE</v>
      </c>
      <c r="G661" s="44" t="str">
        <f>ORÇAMENTO!E631</f>
        <v>M³</v>
      </c>
      <c r="H661" s="44">
        <f>ORÇAMENTO!F631</f>
        <v>859.31023253714272</v>
      </c>
      <c r="I661" s="44">
        <f>ORÇAMENTO!G631</f>
        <v>56.12</v>
      </c>
      <c r="J661" s="44">
        <f>ORÇAMENTO!H631</f>
        <v>0.2122</v>
      </c>
      <c r="K661" s="44">
        <f>ORÇAMENTO!I631</f>
        <v>68.03</v>
      </c>
      <c r="L661" s="44">
        <f>ORÇAMENTO!J631</f>
        <v>58458.87</v>
      </c>
      <c r="M661" s="23">
        <f>ORÇAMENTO!K631</f>
        <v>2.0666962680847621E-3</v>
      </c>
      <c r="N661" s="23" t="str">
        <f t="shared" si="41"/>
        <v>OK!</v>
      </c>
      <c r="O661" s="23" t="str">
        <f t="shared" si="42"/>
        <v>OK!</v>
      </c>
      <c r="P661" s="23" t="str">
        <f t="shared" si="43"/>
        <v>OK!</v>
      </c>
    </row>
    <row r="662" spans="2:16" x14ac:dyDescent="0.35">
      <c r="B662" s="43">
        <f t="shared" si="40"/>
        <v>121</v>
      </c>
      <c r="C662" s="44" t="str">
        <f>ORÇAMENTO!A674</f>
        <v>6.1.2.6.27</v>
      </c>
      <c r="D662" s="44" t="str">
        <f>ORÇAMENTO!B674</f>
        <v xml:space="preserve"> 0401001113 </v>
      </c>
      <c r="E662" s="44" t="str">
        <f>ORÇAMENTO!C674</f>
        <v>AGESUL</v>
      </c>
      <c r="F662" s="480" t="str">
        <f>ORÇAMENTO!D674</f>
        <v>REATERRO MANUAL APILOADO COM SOQUETE</v>
      </c>
      <c r="G662" s="44" t="str">
        <f>ORÇAMENTO!E674</f>
        <v>M³</v>
      </c>
      <c r="H662" s="44">
        <f>ORÇAMENTO!F674</f>
        <v>107.89</v>
      </c>
      <c r="I662" s="44">
        <f>ORÇAMENTO!G674</f>
        <v>56.12</v>
      </c>
      <c r="J662" s="44">
        <f>ORÇAMENTO!H674</f>
        <v>0.2122</v>
      </c>
      <c r="K662" s="44">
        <f>ORÇAMENTO!I674</f>
        <v>68.03</v>
      </c>
      <c r="L662" s="44">
        <f>ORÇAMENTO!J674</f>
        <v>7339.75</v>
      </c>
      <c r="M662" s="23">
        <f>ORÇAMENTO!K674</f>
        <v>2.5948216128151522E-4</v>
      </c>
      <c r="N662" s="23" t="str">
        <f t="shared" si="41"/>
        <v>OK!</v>
      </c>
      <c r="O662" s="23" t="str">
        <f t="shared" si="42"/>
        <v>OK!</v>
      </c>
      <c r="P662" s="23" t="str">
        <f t="shared" si="43"/>
        <v>OK!</v>
      </c>
    </row>
    <row r="663" spans="2:16" x14ac:dyDescent="0.35">
      <c r="B663" s="43">
        <f t="shared" si="40"/>
        <v>121</v>
      </c>
      <c r="C663" s="44" t="str">
        <f>ORÇAMENTO!A828</f>
        <v>7.1.2.4.13</v>
      </c>
      <c r="D663" s="44" t="str">
        <f>ORÇAMENTO!B828</f>
        <v xml:space="preserve"> 0401001113 </v>
      </c>
      <c r="E663" s="44" t="str">
        <f>ORÇAMENTO!C828</f>
        <v>AGESUL</v>
      </c>
      <c r="F663" s="480" t="str">
        <f>ORÇAMENTO!D828</f>
        <v>REATERRO MANUAL APILOADO COM SOQUETE</v>
      </c>
      <c r="G663" s="44" t="str">
        <f>ORÇAMENTO!E828</f>
        <v>M³</v>
      </c>
      <c r="H663" s="44">
        <f>ORÇAMENTO!F828</f>
        <v>4046.8619094394926</v>
      </c>
      <c r="I663" s="44">
        <f>ORÇAMENTO!G828</f>
        <v>56.12</v>
      </c>
      <c r="J663" s="44">
        <f>ORÇAMENTO!H828</f>
        <v>0.2122</v>
      </c>
      <c r="K663" s="44">
        <f>ORÇAMENTO!I828</f>
        <v>68.03</v>
      </c>
      <c r="L663" s="44">
        <f>ORÇAMENTO!J828</f>
        <v>275308.01</v>
      </c>
      <c r="M663" s="23">
        <f>ORÇAMENTO!K828</f>
        <v>9.7329633097739034E-3</v>
      </c>
      <c r="N663" s="23" t="str">
        <f t="shared" si="41"/>
        <v>OK!</v>
      </c>
      <c r="O663" s="23" t="str">
        <f t="shared" si="42"/>
        <v>OK!</v>
      </c>
      <c r="P663" s="23" t="str">
        <f t="shared" si="43"/>
        <v>OK!</v>
      </c>
    </row>
    <row r="664" spans="2:16" x14ac:dyDescent="0.35">
      <c r="B664" s="43">
        <f t="shared" si="40"/>
        <v>121</v>
      </c>
      <c r="C664" s="44" t="str">
        <f>ORÇAMENTO!A887</f>
        <v>7.1.2.6.34</v>
      </c>
      <c r="D664" s="44" t="str">
        <f>ORÇAMENTO!B887</f>
        <v xml:space="preserve"> 0401001113 </v>
      </c>
      <c r="E664" s="44" t="str">
        <f>ORÇAMENTO!C887</f>
        <v>AGESUL</v>
      </c>
      <c r="F664" s="480" t="str">
        <f>ORÇAMENTO!D887</f>
        <v>REATERRO MANUAL APILOADO COM SOQUETE</v>
      </c>
      <c r="G664" s="44" t="str">
        <f>ORÇAMENTO!E887</f>
        <v>M³</v>
      </c>
      <c r="H664" s="44">
        <f>ORÇAMENTO!F887</f>
        <v>158.80000000000001</v>
      </c>
      <c r="I664" s="44">
        <f>ORÇAMENTO!G887</f>
        <v>56.12</v>
      </c>
      <c r="J664" s="44">
        <f>ORÇAMENTO!H887</f>
        <v>0.2122</v>
      </c>
      <c r="K664" s="44">
        <f>ORÇAMENTO!I887</f>
        <v>68.03</v>
      </c>
      <c r="L664" s="44">
        <f>ORÇAMENTO!J887</f>
        <v>10803.16</v>
      </c>
      <c r="M664" s="23">
        <f>ORÇAMENTO!K887</f>
        <v>3.8192408535304523E-4</v>
      </c>
      <c r="N664" s="23" t="str">
        <f t="shared" si="41"/>
        <v>OK!</v>
      </c>
      <c r="O664" s="23" t="str">
        <f t="shared" si="42"/>
        <v>OK!</v>
      </c>
      <c r="P664" s="23" t="str">
        <f t="shared" si="43"/>
        <v>OK!</v>
      </c>
    </row>
    <row r="665" spans="2:16" x14ac:dyDescent="0.35">
      <c r="B665" s="43">
        <f t="shared" si="40"/>
        <v>121</v>
      </c>
      <c r="C665" s="44" t="str">
        <f>ORÇAMENTO!A943</f>
        <v>7.4.11</v>
      </c>
      <c r="D665" s="44" t="str">
        <f>ORÇAMENTO!B943</f>
        <v xml:space="preserve"> 0401001113 </v>
      </c>
      <c r="E665" s="44" t="str">
        <f>ORÇAMENTO!C943</f>
        <v>AGESUL</v>
      </c>
      <c r="F665" s="636" t="str">
        <f>ORÇAMENTO!D943</f>
        <v>REATERRO MANUAL APILOADO COM SOQUETE</v>
      </c>
      <c r="G665" s="44" t="str">
        <f>ORÇAMENTO!E943</f>
        <v>M³</v>
      </c>
      <c r="H665" s="44">
        <f>ORÇAMENTO!F943</f>
        <v>3.6374256932477298</v>
      </c>
      <c r="I665" s="44">
        <f>ORÇAMENTO!G943</f>
        <v>56.12</v>
      </c>
      <c r="J665" s="44">
        <f>ORÇAMENTO!H943</f>
        <v>0.2122</v>
      </c>
      <c r="K665" s="44">
        <f>ORÇAMENTO!I943</f>
        <v>68.03</v>
      </c>
      <c r="L665" s="638">
        <f>ORÇAMENTO!J943</f>
        <v>247.45</v>
      </c>
      <c r="M665" s="23">
        <f>ORÇAMENTO!K943</f>
        <v>8.7480991599320049E-6</v>
      </c>
      <c r="N665" s="23" t="str">
        <f t="shared" si="41"/>
        <v>OK!</v>
      </c>
      <c r="O665" s="23" t="str">
        <f t="shared" si="42"/>
        <v>OK!</v>
      </c>
      <c r="P665" s="23" t="str">
        <f t="shared" si="43"/>
        <v>OK!</v>
      </c>
    </row>
    <row r="666" spans="2:16" x14ac:dyDescent="0.35">
      <c r="B666" s="43">
        <f t="shared" si="40"/>
        <v>122</v>
      </c>
      <c r="C666" s="44" t="str">
        <f>ORÇAMENTO!A121</f>
        <v>4.1.1.5.4</v>
      </c>
      <c r="D666" s="44" t="str">
        <f>ORÇAMENTO!B121</f>
        <v xml:space="preserve"> 020214 </v>
      </c>
      <c r="E666" s="44" t="str">
        <f>ORÇAMENTO!C121</f>
        <v>SBC</v>
      </c>
      <c r="F666" s="480" t="str">
        <f>ORÇAMENTO!D121</f>
        <v>RECONSTRUCAO DE MEIO-FIO EM CONCRETO 10CM MOLDADO NO LOCAL</v>
      </c>
      <c r="G666" s="44" t="str">
        <f>ORÇAMENTO!E121</f>
        <v>M</v>
      </c>
      <c r="H666" s="44">
        <f>ORÇAMENTO!F121</f>
        <v>49</v>
      </c>
      <c r="I666" s="44">
        <f>ORÇAMENTO!G121</f>
        <v>69.680000000000007</v>
      </c>
      <c r="J666" s="44">
        <f>ORÇAMENTO!H121</f>
        <v>0.2122</v>
      </c>
      <c r="K666" s="44">
        <f>ORÇAMENTO!I121</f>
        <v>84.47</v>
      </c>
      <c r="L666" s="44">
        <f>ORÇAMENTO!J121</f>
        <v>4139.03</v>
      </c>
      <c r="M666" s="23">
        <f>ORÇAMENTO!K121</f>
        <v>1.4632711604741712E-4</v>
      </c>
      <c r="N666" s="23" t="str">
        <f t="shared" si="41"/>
        <v>DIFERENTE</v>
      </c>
      <c r="O666" s="23" t="str">
        <f t="shared" si="42"/>
        <v>DIFERENTE</v>
      </c>
      <c r="P666" s="23" t="str">
        <f t="shared" si="43"/>
        <v>DIFERENTE</v>
      </c>
    </row>
    <row r="667" spans="2:16" x14ac:dyDescent="0.35">
      <c r="B667" s="43">
        <f t="shared" si="40"/>
        <v>122</v>
      </c>
      <c r="C667" s="44" t="str">
        <f>ORÇAMENTO!A363</f>
        <v>5.1.1.5.4</v>
      </c>
      <c r="D667" s="44" t="str">
        <f>ORÇAMENTO!B363</f>
        <v xml:space="preserve"> 020214 </v>
      </c>
      <c r="E667" s="44" t="str">
        <f>ORÇAMENTO!C363</f>
        <v>SBC</v>
      </c>
      <c r="F667" s="480" t="str">
        <f>ORÇAMENTO!D363</f>
        <v>RECONSTRUCAO DE MEIO-FIO EM CONCRETO 10CM MOLDADO NO LOCAL</v>
      </c>
      <c r="G667" s="44" t="str">
        <f>ORÇAMENTO!E363</f>
        <v>M</v>
      </c>
      <c r="H667" s="44">
        <f>ORÇAMENTO!F363</f>
        <v>43</v>
      </c>
      <c r="I667" s="44">
        <f>ORÇAMENTO!G363</f>
        <v>69.680000000000007</v>
      </c>
      <c r="J667" s="44">
        <f>ORÇAMENTO!H363</f>
        <v>0.2122</v>
      </c>
      <c r="K667" s="44">
        <f>ORÇAMENTO!I363</f>
        <v>84.47</v>
      </c>
      <c r="L667" s="44">
        <f>ORÇAMENTO!J363</f>
        <v>3632.21</v>
      </c>
      <c r="M667" s="23">
        <f>ORÇAMENTO!K363</f>
        <v>1.2840951000079462E-4</v>
      </c>
      <c r="N667" s="23" t="str">
        <f t="shared" si="41"/>
        <v>OK!</v>
      </c>
      <c r="O667" s="23" t="str">
        <f t="shared" si="42"/>
        <v>OK!</v>
      </c>
      <c r="P667" s="23" t="str">
        <f t="shared" si="43"/>
        <v>OK!</v>
      </c>
    </row>
    <row r="668" spans="2:16" x14ac:dyDescent="0.35">
      <c r="B668" s="43">
        <f t="shared" si="40"/>
        <v>122</v>
      </c>
      <c r="C668" s="44" t="str">
        <f>ORÇAMENTO!A575</f>
        <v>6.1.1.5.4</v>
      </c>
      <c r="D668" s="44" t="str">
        <f>ORÇAMENTO!B575</f>
        <v xml:space="preserve"> 020214 </v>
      </c>
      <c r="E668" s="44" t="str">
        <f>ORÇAMENTO!C575</f>
        <v>SBC</v>
      </c>
      <c r="F668" s="480" t="str">
        <f>ORÇAMENTO!D575</f>
        <v>RECONSTRUCAO DE MEIO-FIO EM CONCRETO 10CM MOLDADO NO LOCAL</v>
      </c>
      <c r="G668" s="44" t="str">
        <f>ORÇAMENTO!E575</f>
        <v>M</v>
      </c>
      <c r="H668" s="44">
        <f>ORÇAMENTO!F575</f>
        <v>31.5</v>
      </c>
      <c r="I668" s="44">
        <f>ORÇAMENTO!G575</f>
        <v>69.680000000000007</v>
      </c>
      <c r="J668" s="44">
        <f>ORÇAMENTO!H575</f>
        <v>0.2122</v>
      </c>
      <c r="K668" s="44">
        <f>ORÇAMENTO!I575</f>
        <v>84.47</v>
      </c>
      <c r="L668" s="44">
        <f>ORÇAMENTO!J575</f>
        <v>2660.8</v>
      </c>
      <c r="M668" s="23">
        <f>ORÇAMENTO!K575</f>
        <v>9.4067254979782099E-5</v>
      </c>
      <c r="N668" s="23" t="str">
        <f t="shared" si="41"/>
        <v>OK!</v>
      </c>
      <c r="O668" s="23" t="str">
        <f t="shared" si="42"/>
        <v>OK!</v>
      </c>
      <c r="P668" s="23" t="str">
        <f t="shared" si="43"/>
        <v>OK!</v>
      </c>
    </row>
    <row r="669" spans="2:16" x14ac:dyDescent="0.35">
      <c r="B669" s="43">
        <f t="shared" si="40"/>
        <v>122</v>
      </c>
      <c r="C669" s="44" t="str">
        <f>ORÇAMENTO!A765</f>
        <v>7.1.1.5.4</v>
      </c>
      <c r="D669" s="44" t="str">
        <f>ORÇAMENTO!B765</f>
        <v xml:space="preserve"> 020214 </v>
      </c>
      <c r="E669" s="44" t="str">
        <f>ORÇAMENTO!C765</f>
        <v>SBC</v>
      </c>
      <c r="F669" s="480" t="str">
        <f>ORÇAMENTO!D765</f>
        <v>RECONSTRUCAO DE MEIO-FIO EM CONCRETO 10CM MOLDADO NO LOCAL</v>
      </c>
      <c r="G669" s="44" t="str">
        <f>ORÇAMENTO!E765</f>
        <v>M</v>
      </c>
      <c r="H669" s="44">
        <f>ORÇAMENTO!F765</f>
        <v>47</v>
      </c>
      <c r="I669" s="44">
        <f>ORÇAMENTO!G765</f>
        <v>69.680000000000007</v>
      </c>
      <c r="J669" s="44">
        <f>ORÇAMENTO!H765</f>
        <v>0.2122</v>
      </c>
      <c r="K669" s="44">
        <f>ORÇAMENTO!I765</f>
        <v>84.47</v>
      </c>
      <c r="L669" s="44">
        <f>ORÇAMENTO!J765</f>
        <v>3970.09</v>
      </c>
      <c r="M669" s="23">
        <f>ORÇAMENTO!K765</f>
        <v>1.4035458069854297E-4</v>
      </c>
      <c r="N669" s="23" t="str">
        <f t="shared" si="41"/>
        <v>OK!</v>
      </c>
      <c r="O669" s="23" t="str">
        <f t="shared" si="42"/>
        <v>OK!</v>
      </c>
      <c r="P669" s="23" t="str">
        <f t="shared" si="43"/>
        <v>OK!</v>
      </c>
    </row>
    <row r="670" spans="2:16" x14ac:dyDescent="0.35">
      <c r="B670" s="43">
        <f t="shared" si="40"/>
        <v>123</v>
      </c>
      <c r="C670" s="44" t="str">
        <f>ORÇAMENTO!A280</f>
        <v>4.2.4.1</v>
      </c>
      <c r="D670" s="44" t="str">
        <f>ORÇAMENTO!B280</f>
        <v xml:space="preserve"> 4011209 </v>
      </c>
      <c r="E670" s="44" t="str">
        <f>ORÇAMENTO!C280</f>
        <v>SICRO3</v>
      </c>
      <c r="F670" s="480" t="str">
        <f>ORÇAMENTO!D280</f>
        <v>REGULARIZAÇÃO DO SUBLEITO</v>
      </c>
      <c r="G670" s="44" t="str">
        <f>ORÇAMENTO!E280</f>
        <v>M²</v>
      </c>
      <c r="H670" s="44">
        <f>ORÇAMENTO!F280</f>
        <v>4007.8900000000003</v>
      </c>
      <c r="I670" s="44">
        <f>ORÇAMENTO!G280</f>
        <v>1.1399999999999999</v>
      </c>
      <c r="J670" s="44">
        <f>ORÇAMENTO!H280</f>
        <v>0.2122</v>
      </c>
      <c r="K670" s="44">
        <f>ORÇAMENTO!I280</f>
        <v>1.38</v>
      </c>
      <c r="L670" s="44">
        <f>ORÇAMENTO!J280</f>
        <v>5530.88</v>
      </c>
      <c r="M670" s="23">
        <f>ORÇAMENTO!K280</f>
        <v>1.9553318521594153E-4</v>
      </c>
      <c r="N670" s="23" t="str">
        <f t="shared" si="41"/>
        <v>DIFERENTE</v>
      </c>
      <c r="O670" s="23" t="str">
        <f t="shared" si="42"/>
        <v>DIFERENTE</v>
      </c>
      <c r="P670" s="23" t="str">
        <f t="shared" si="43"/>
        <v>DIFERENTE</v>
      </c>
    </row>
    <row r="671" spans="2:16" x14ac:dyDescent="0.35">
      <c r="B671" s="43">
        <f t="shared" si="40"/>
        <v>123</v>
      </c>
      <c r="C671" s="44" t="str">
        <f>ORÇAMENTO!A969</f>
        <v>7.5.4.1</v>
      </c>
      <c r="D671" s="44" t="str">
        <f>ORÇAMENTO!B969</f>
        <v xml:space="preserve"> 4011209 </v>
      </c>
      <c r="E671" s="44" t="str">
        <f>ORÇAMENTO!C969</f>
        <v>SICRO3</v>
      </c>
      <c r="F671" s="636" t="str">
        <f>ORÇAMENTO!D969</f>
        <v>REGULARIZAÇÃO DO SUBLEITO</v>
      </c>
      <c r="G671" s="44" t="str">
        <f>ORÇAMENTO!E969</f>
        <v>M²</v>
      </c>
      <c r="H671" s="44">
        <f>ORÇAMENTO!F969</f>
        <v>5615.4599999999991</v>
      </c>
      <c r="I671" s="44">
        <f>ORÇAMENTO!G969</f>
        <v>1.1399999999999999</v>
      </c>
      <c r="J671" s="44">
        <f>ORÇAMENTO!H969</f>
        <v>0.2122</v>
      </c>
      <c r="K671" s="44">
        <f>ORÇAMENTO!I969</f>
        <v>1.38</v>
      </c>
      <c r="L671" s="638">
        <f>ORÇAMENTO!J969</f>
        <v>7749.33</v>
      </c>
      <c r="M671" s="23">
        <f>ORÇAMENTO!K969</f>
        <v>2.7396204187931251E-4</v>
      </c>
      <c r="N671" s="23" t="str">
        <f t="shared" si="41"/>
        <v>OK!</v>
      </c>
      <c r="O671" s="23" t="str">
        <f t="shared" si="42"/>
        <v>OK!</v>
      </c>
      <c r="P671" s="23" t="str">
        <f t="shared" si="43"/>
        <v>OK!</v>
      </c>
    </row>
    <row r="672" spans="2:16" x14ac:dyDescent="0.35">
      <c r="B672" s="43">
        <f t="shared" si="40"/>
        <v>124</v>
      </c>
      <c r="C672" s="44" t="str">
        <f>ORÇAMENTO!A120</f>
        <v>4.1.1.5.3</v>
      </c>
      <c r="D672" s="44" t="str">
        <f>ORÇAMENTO!B120</f>
        <v xml:space="preserve"> 022520 </v>
      </c>
      <c r="E672" s="44" t="str">
        <f>ORÇAMENTO!C120</f>
        <v>SBC</v>
      </c>
      <c r="F672" s="480" t="str">
        <f>ORÇAMENTO!D120</f>
        <v>RETIRADA MEIO-FIO EM CONCRETO</v>
      </c>
      <c r="G672" s="44" t="str">
        <f>ORÇAMENTO!E120</f>
        <v>M</v>
      </c>
      <c r="H672" s="44">
        <f>ORÇAMENTO!F120</f>
        <v>193.60999999999996</v>
      </c>
      <c r="I672" s="44">
        <f>ORÇAMENTO!G120</f>
        <v>82.29</v>
      </c>
      <c r="J672" s="44">
        <f>ORÇAMENTO!H120</f>
        <v>0.2122</v>
      </c>
      <c r="K672" s="44">
        <f>ORÇAMENTO!I120</f>
        <v>99.75</v>
      </c>
      <c r="L672" s="44">
        <f>ORÇAMENTO!J120</f>
        <v>19312.59</v>
      </c>
      <c r="M672" s="23">
        <f>ORÇAMENTO!K120</f>
        <v>6.8275794041265409E-4</v>
      </c>
      <c r="N672" s="23" t="str">
        <f t="shared" si="41"/>
        <v>DIFERENTE</v>
      </c>
      <c r="O672" s="23" t="str">
        <f t="shared" si="42"/>
        <v>DIFERENTE</v>
      </c>
      <c r="P672" s="23" t="str">
        <f t="shared" si="43"/>
        <v>DIFERENTE</v>
      </c>
    </row>
    <row r="673" spans="2:16" x14ac:dyDescent="0.35">
      <c r="B673" s="43">
        <f t="shared" si="40"/>
        <v>124</v>
      </c>
      <c r="C673" s="44" t="str">
        <f>ORÇAMENTO!A362</f>
        <v>5.1.1.5.3</v>
      </c>
      <c r="D673" s="44" t="str">
        <f>ORÇAMENTO!B362</f>
        <v xml:space="preserve"> 022520 </v>
      </c>
      <c r="E673" s="44" t="str">
        <f>ORÇAMENTO!C362</f>
        <v>SBC</v>
      </c>
      <c r="F673" s="480" t="str">
        <f>ORÇAMENTO!D362</f>
        <v>RETIRADA MEIO-FIO EM CONCRETO</v>
      </c>
      <c r="G673" s="44" t="str">
        <f>ORÇAMENTO!E362</f>
        <v>M</v>
      </c>
      <c r="H673" s="44">
        <f>ORÇAMENTO!F362</f>
        <v>195.31</v>
      </c>
      <c r="I673" s="44">
        <f>ORÇAMENTO!G362</f>
        <v>82.29</v>
      </c>
      <c r="J673" s="44">
        <f>ORÇAMENTO!H362</f>
        <v>0.2122</v>
      </c>
      <c r="K673" s="44">
        <f>ORÇAMENTO!I362</f>
        <v>99.75</v>
      </c>
      <c r="L673" s="44">
        <f>ORÇAMENTO!J362</f>
        <v>19482.169999999998</v>
      </c>
      <c r="M673" s="23">
        <f>ORÇAMENTO!K362</f>
        <v>6.8875310167974336E-4</v>
      </c>
      <c r="N673" s="23" t="str">
        <f t="shared" si="41"/>
        <v>OK!</v>
      </c>
      <c r="O673" s="23" t="str">
        <f t="shared" si="42"/>
        <v>OK!</v>
      </c>
      <c r="P673" s="23" t="str">
        <f t="shared" si="43"/>
        <v>OK!</v>
      </c>
    </row>
    <row r="674" spans="2:16" x14ac:dyDescent="0.35">
      <c r="B674" s="43">
        <f t="shared" si="40"/>
        <v>124</v>
      </c>
      <c r="C674" s="44" t="str">
        <f>ORÇAMENTO!A574</f>
        <v>6.1.1.5.3</v>
      </c>
      <c r="D674" s="44" t="str">
        <f>ORÇAMENTO!B574</f>
        <v xml:space="preserve"> 022520 </v>
      </c>
      <c r="E674" s="44" t="str">
        <f>ORÇAMENTO!C574</f>
        <v>SBC</v>
      </c>
      <c r="F674" s="480" t="str">
        <f>ORÇAMENTO!D574</f>
        <v>RETIRADA MEIO-FIO EM CONCRETO</v>
      </c>
      <c r="G674" s="44" t="str">
        <f>ORÇAMENTO!E574</f>
        <v>M</v>
      </c>
      <c r="H674" s="44">
        <f>ORÇAMENTO!F574</f>
        <v>113.55</v>
      </c>
      <c r="I674" s="44">
        <f>ORÇAMENTO!G574</f>
        <v>82.29</v>
      </c>
      <c r="J674" s="44">
        <f>ORÇAMENTO!H574</f>
        <v>0.2122</v>
      </c>
      <c r="K674" s="44">
        <f>ORÇAMENTO!I574</f>
        <v>99.75</v>
      </c>
      <c r="L674" s="44">
        <f>ORÇAMENTO!J574</f>
        <v>11326.61</v>
      </c>
      <c r="M674" s="23">
        <f>ORÇAMENTO!K574</f>
        <v>4.0042961174329138E-4</v>
      </c>
      <c r="N674" s="23" t="str">
        <f t="shared" si="41"/>
        <v>OK!</v>
      </c>
      <c r="O674" s="23" t="str">
        <f t="shared" si="42"/>
        <v>OK!</v>
      </c>
      <c r="P674" s="23" t="str">
        <f t="shared" si="43"/>
        <v>OK!</v>
      </c>
    </row>
    <row r="675" spans="2:16" x14ac:dyDescent="0.35">
      <c r="B675" s="43">
        <f t="shared" si="40"/>
        <v>124</v>
      </c>
      <c r="C675" s="44" t="str">
        <f>ORÇAMENTO!A764</f>
        <v>7.1.1.5.3</v>
      </c>
      <c r="D675" s="44" t="str">
        <f>ORÇAMENTO!B764</f>
        <v xml:space="preserve"> 022520 </v>
      </c>
      <c r="E675" s="44" t="str">
        <f>ORÇAMENTO!C764</f>
        <v>SBC</v>
      </c>
      <c r="F675" s="480" t="str">
        <f>ORÇAMENTO!D764</f>
        <v>RETIRADA MEIO-FIO EM CONCRETO</v>
      </c>
      <c r="G675" s="44" t="str">
        <f>ORÇAMENTO!E764</f>
        <v>M</v>
      </c>
      <c r="H675" s="44">
        <f>ORÇAMENTO!F764</f>
        <v>170.27</v>
      </c>
      <c r="I675" s="44">
        <f>ORÇAMENTO!G764</f>
        <v>82.29</v>
      </c>
      <c r="J675" s="44">
        <f>ORÇAMENTO!H764</f>
        <v>0.2122</v>
      </c>
      <c r="K675" s="44">
        <f>ORÇAMENTO!I764</f>
        <v>99.75</v>
      </c>
      <c r="L675" s="44">
        <f>ORÇAMENTO!J764</f>
        <v>16984.43</v>
      </c>
      <c r="M675" s="23">
        <f>ORÇAMENTO!K764</f>
        <v>6.0045050642523322E-4</v>
      </c>
      <c r="N675" s="23" t="str">
        <f t="shared" si="41"/>
        <v>OK!</v>
      </c>
      <c r="O675" s="23" t="str">
        <f t="shared" si="42"/>
        <v>OK!</v>
      </c>
      <c r="P675" s="23" t="str">
        <f t="shared" si="43"/>
        <v>OK!</v>
      </c>
    </row>
    <row r="676" spans="2:16" x14ac:dyDescent="0.35">
      <c r="B676" s="43">
        <f t="shared" si="40"/>
        <v>125</v>
      </c>
      <c r="C676" s="44" t="str">
        <f>ORÇAMENTO!A253</f>
        <v>4.1.2.7.1</v>
      </c>
      <c r="D676" s="44" t="str">
        <f>ORÇAMENTO!B253</f>
        <v xml:space="preserve"> 18.95.04 </v>
      </c>
      <c r="E676" s="44" t="str">
        <f>ORÇAMENTO!C253</f>
        <v>EMBASA</v>
      </c>
      <c r="F676" s="480" t="str">
        <f>ORÇAMENTO!D253</f>
        <v>REVEST. PRIMARIO C CASCALHO OU SAIBRO C\ COMPACTACAO</v>
      </c>
      <c r="G676" s="44" t="str">
        <f>ORÇAMENTO!E253</f>
        <v>M³</v>
      </c>
      <c r="H676" s="44">
        <f>ORÇAMENTO!F253</f>
        <v>13.67</v>
      </c>
      <c r="I676" s="44">
        <f>ORÇAMENTO!G253</f>
        <v>262.95</v>
      </c>
      <c r="J676" s="44">
        <f>ORÇAMENTO!H253</f>
        <v>0.2122</v>
      </c>
      <c r="K676" s="44">
        <f>ORÇAMENTO!I253</f>
        <v>318.75</v>
      </c>
      <c r="L676" s="44">
        <f>ORÇAMENTO!J253</f>
        <v>4357.3100000000004</v>
      </c>
      <c r="M676" s="23">
        <f>ORÇAMENTO!K253</f>
        <v>1.5404396827869602E-4</v>
      </c>
      <c r="N676" s="23" t="str">
        <f t="shared" si="41"/>
        <v>DIFERENTE</v>
      </c>
      <c r="O676" s="23" t="str">
        <f t="shared" si="42"/>
        <v>DIFERENTE</v>
      </c>
      <c r="P676" s="23" t="str">
        <f t="shared" si="43"/>
        <v>DIFERENTE</v>
      </c>
    </row>
    <row r="677" spans="2:16" x14ac:dyDescent="0.35">
      <c r="B677" s="43">
        <f t="shared" si="40"/>
        <v>125</v>
      </c>
      <c r="C677" s="44" t="str">
        <f>ORÇAMENTO!A496</f>
        <v>5.1.2.7.1</v>
      </c>
      <c r="D677" s="44" t="str">
        <f>ORÇAMENTO!B496</f>
        <v xml:space="preserve"> 18.95.04 </v>
      </c>
      <c r="E677" s="44" t="str">
        <f>ORÇAMENTO!C496</f>
        <v>EMBASA</v>
      </c>
      <c r="F677" s="480" t="str">
        <f>ORÇAMENTO!D496</f>
        <v>REVEST. PRIMARIO C CASCALHO OU SAIBRO C\ COMPACTACAO</v>
      </c>
      <c r="G677" s="44" t="str">
        <f>ORÇAMENTO!E496</f>
        <v>M³</v>
      </c>
      <c r="H677" s="44">
        <f>ORÇAMENTO!F496</f>
        <v>18.77</v>
      </c>
      <c r="I677" s="44">
        <f>ORÇAMENTO!G496</f>
        <v>262.95</v>
      </c>
      <c r="J677" s="44">
        <f>ORÇAMENTO!H496</f>
        <v>0.2122</v>
      </c>
      <c r="K677" s="44">
        <f>ORÇAMENTO!I496</f>
        <v>318.75</v>
      </c>
      <c r="L677" s="44">
        <f>ORÇAMENTO!J496</f>
        <v>5982.93</v>
      </c>
      <c r="M677" s="23">
        <f>ORÇAMENTO!K496</f>
        <v>2.1151450760530205E-4</v>
      </c>
      <c r="N677" s="23" t="str">
        <f t="shared" si="41"/>
        <v>OK!</v>
      </c>
      <c r="O677" s="23" t="str">
        <f t="shared" si="42"/>
        <v>OK!</v>
      </c>
      <c r="P677" s="23" t="str">
        <f t="shared" si="43"/>
        <v>OK!</v>
      </c>
    </row>
    <row r="678" spans="2:16" x14ac:dyDescent="0.35">
      <c r="B678" s="43">
        <f t="shared" si="40"/>
        <v>125</v>
      </c>
      <c r="C678" s="44" t="str">
        <f>ORÇAMENTO!A691</f>
        <v>6.1.2.7.1</v>
      </c>
      <c r="D678" s="44" t="str">
        <f>ORÇAMENTO!B691</f>
        <v xml:space="preserve"> 18.95.04 </v>
      </c>
      <c r="E678" s="44" t="str">
        <f>ORÇAMENTO!C691</f>
        <v>EMBASA</v>
      </c>
      <c r="F678" s="480" t="str">
        <f>ORÇAMENTO!D691</f>
        <v>REVEST. PRIMARIO C CASCALHO OU SAIBRO C\ COMPACTACAO</v>
      </c>
      <c r="G678" s="44" t="str">
        <f>ORÇAMENTO!E691</f>
        <v>M³</v>
      </c>
      <c r="H678" s="44">
        <f>ORÇAMENTO!F691</f>
        <v>4.3099999999999996</v>
      </c>
      <c r="I678" s="44">
        <f>ORÇAMENTO!G691</f>
        <v>262.95</v>
      </c>
      <c r="J678" s="44">
        <f>ORÇAMENTO!H691</f>
        <v>0.2122</v>
      </c>
      <c r="K678" s="44">
        <f>ORÇAMENTO!I691</f>
        <v>318.75</v>
      </c>
      <c r="L678" s="44">
        <f>ORÇAMENTO!J691</f>
        <v>1373.81</v>
      </c>
      <c r="M678" s="23">
        <f>ORÇAMENTO!K691</f>
        <v>4.8568301098832844E-5</v>
      </c>
      <c r="N678" s="23" t="str">
        <f t="shared" si="41"/>
        <v>OK!</v>
      </c>
      <c r="O678" s="23" t="str">
        <f t="shared" si="42"/>
        <v>OK!</v>
      </c>
      <c r="P678" s="23" t="str">
        <f t="shared" si="43"/>
        <v>OK!</v>
      </c>
    </row>
    <row r="679" spans="2:16" x14ac:dyDescent="0.35">
      <c r="B679" s="43">
        <f t="shared" si="40"/>
        <v>125</v>
      </c>
      <c r="C679" s="44" t="str">
        <f>ORÇAMENTO!A904</f>
        <v>7.1.2.7.1</v>
      </c>
      <c r="D679" s="44" t="str">
        <f>ORÇAMENTO!B904</f>
        <v xml:space="preserve"> 18.95.04 </v>
      </c>
      <c r="E679" s="44" t="str">
        <f>ORÇAMENTO!C904</f>
        <v>EMBASA</v>
      </c>
      <c r="F679" s="480" t="str">
        <f>ORÇAMENTO!D904</f>
        <v>REVEST. PRIMARIO C CASCALHO OU SAIBRO C\ COMPACTACAO</v>
      </c>
      <c r="G679" s="44" t="str">
        <f>ORÇAMENTO!E904</f>
        <v>M³</v>
      </c>
      <c r="H679" s="44">
        <f>ORÇAMENTO!F904</f>
        <v>19.8</v>
      </c>
      <c r="I679" s="44">
        <f>ORÇAMENTO!G904</f>
        <v>262.95</v>
      </c>
      <c r="J679" s="44">
        <f>ORÇAMENTO!H904</f>
        <v>0.2122</v>
      </c>
      <c r="K679" s="44">
        <f>ORÇAMENTO!I904</f>
        <v>318.75</v>
      </c>
      <c r="L679" s="44">
        <f>ORÇAMENTO!J904</f>
        <v>6311.25</v>
      </c>
      <c r="M679" s="23">
        <f>ORÇAMENTO!K904</f>
        <v>2.2312160364971052E-4</v>
      </c>
      <c r="N679" s="23" t="str">
        <f t="shared" si="41"/>
        <v>OK!</v>
      </c>
      <c r="O679" s="23" t="str">
        <f t="shared" si="42"/>
        <v>OK!</v>
      </c>
      <c r="P679" s="23" t="str">
        <f t="shared" si="43"/>
        <v>OK!</v>
      </c>
    </row>
    <row r="680" spans="2:16" x14ac:dyDescent="0.35">
      <c r="B680" s="43">
        <f t="shared" si="40"/>
        <v>125</v>
      </c>
      <c r="C680" s="44" t="str">
        <f>ORÇAMENTO!A915</f>
        <v>7.1.2.8.1</v>
      </c>
      <c r="D680" s="44" t="str">
        <f>ORÇAMENTO!B915</f>
        <v xml:space="preserve"> 18.95.04 </v>
      </c>
      <c r="E680" s="44" t="str">
        <f>ORÇAMENTO!C915</f>
        <v>EMBASA</v>
      </c>
      <c r="F680" s="480" t="str">
        <f>ORÇAMENTO!D915</f>
        <v>REVEST. PRIMARIO C CASCALHO OU SAIBRO C\ COMPACTACAO</v>
      </c>
      <c r="G680" s="44" t="str">
        <f>ORÇAMENTO!E915</f>
        <v>M³</v>
      </c>
      <c r="H680" s="44">
        <f>ORÇAMENTO!F915</f>
        <v>159.16</v>
      </c>
      <c r="I680" s="44">
        <f>ORÇAMENTO!G915</f>
        <v>262.95</v>
      </c>
      <c r="J680" s="44">
        <f>ORÇAMENTO!H915</f>
        <v>0.2122</v>
      </c>
      <c r="K680" s="44">
        <f>ORÇAMENTO!I915</f>
        <v>318.75</v>
      </c>
      <c r="L680" s="44">
        <f>ORÇAMENTO!J915</f>
        <v>50732.25</v>
      </c>
      <c r="M680" s="23">
        <f>ORÇAMENTO!K915</f>
        <v>1.7935370927721175E-3</v>
      </c>
      <c r="N680" s="23" t="str">
        <f t="shared" si="41"/>
        <v>OK!</v>
      </c>
      <c r="O680" s="23" t="str">
        <f t="shared" si="42"/>
        <v>OK!</v>
      </c>
      <c r="P680" s="23" t="str">
        <f t="shared" si="43"/>
        <v>OK!</v>
      </c>
    </row>
    <row r="681" spans="2:16" x14ac:dyDescent="0.35">
      <c r="B681" s="43">
        <f t="shared" si="40"/>
        <v>125</v>
      </c>
      <c r="C681" s="44" t="str">
        <f>ORÇAMENTO!A1030</f>
        <v xml:space="preserve"> 8.7.1 </v>
      </c>
      <c r="D681" s="44" t="str">
        <f>ORÇAMENTO!B1030</f>
        <v xml:space="preserve"> 18.95.04 </v>
      </c>
      <c r="E681" s="44" t="str">
        <f>ORÇAMENTO!C1030</f>
        <v>EMBASA</v>
      </c>
      <c r="F681" s="636" t="str">
        <f>ORÇAMENTO!D1030</f>
        <v>REVEST. PRIMARIO C CASCALHO OU SAIBRO C\ COMPACTACAO</v>
      </c>
      <c r="G681" s="44" t="str">
        <f>ORÇAMENTO!E1030</f>
        <v>M³</v>
      </c>
      <c r="H681" s="44">
        <f>ORÇAMENTO!F1030</f>
        <v>1</v>
      </c>
      <c r="I681" s="44">
        <f>ORÇAMENTO!G1030</f>
        <v>262.95</v>
      </c>
      <c r="J681" s="44">
        <f>ORÇAMENTO!H1030</f>
        <v>0.2122</v>
      </c>
      <c r="K681" s="44">
        <f>ORÇAMENTO!I1030</f>
        <v>318.75</v>
      </c>
      <c r="L681" s="638">
        <f>ORÇAMENTO!J1030</f>
        <v>318.75</v>
      </c>
      <c r="M681" s="23">
        <f>ORÇAMENTO!K1030</f>
        <v>1.126876786109649E-5</v>
      </c>
      <c r="N681" s="23" t="str">
        <f t="shared" si="41"/>
        <v>OK!</v>
      </c>
      <c r="O681" s="23" t="str">
        <f t="shared" si="42"/>
        <v>OK!</v>
      </c>
      <c r="P681" s="23" t="str">
        <f t="shared" si="43"/>
        <v>OK!</v>
      </c>
    </row>
    <row r="682" spans="2:16" x14ac:dyDescent="0.35">
      <c r="B682" s="43">
        <f t="shared" si="40"/>
        <v>126</v>
      </c>
      <c r="C682" s="44" t="str">
        <f>ORÇAMENTO!A1005</f>
        <v xml:space="preserve"> 8.4.4</v>
      </c>
      <c r="D682" s="44" t="str">
        <f>ORÇAMENTO!B1005</f>
        <v xml:space="preserve"> 4816119 </v>
      </c>
      <c r="E682" s="44" t="str">
        <f>ORÇAMENTO!C1005</f>
        <v>SICRO3</v>
      </c>
      <c r="F682" s="636" t="str">
        <f>ORÇAMENTO!D1005</f>
        <v>SELO DE ARGILA APILOADO</v>
      </c>
      <c r="G682" s="44" t="str">
        <f>ORÇAMENTO!E1005</f>
        <v>M³</v>
      </c>
      <c r="H682" s="44">
        <f>ORÇAMENTO!F1005</f>
        <v>2362.9850000000001</v>
      </c>
      <c r="I682" s="44">
        <f>ORÇAMENTO!G1005</f>
        <v>39.78</v>
      </c>
      <c r="J682" s="44">
        <f>ORÇAMENTO!H1005</f>
        <v>0.2122</v>
      </c>
      <c r="K682" s="44">
        <f>ORÇAMENTO!I1005</f>
        <v>48.22</v>
      </c>
      <c r="L682" s="638">
        <f>ORÇAMENTO!J1005</f>
        <v>113943.13</v>
      </c>
      <c r="M682" s="23">
        <f>ORÇAMENTO!K1005</f>
        <v>4.0282311571348687E-3</v>
      </c>
      <c r="N682" s="23" t="str">
        <f t="shared" si="41"/>
        <v>DIFERENTE</v>
      </c>
      <c r="O682" s="23" t="str">
        <f t="shared" si="42"/>
        <v>DIFERENTE</v>
      </c>
      <c r="P682" s="23" t="str">
        <f t="shared" si="43"/>
        <v>DIFERENTE</v>
      </c>
    </row>
    <row r="683" spans="2:16" x14ac:dyDescent="0.35">
      <c r="B683" s="43">
        <f t="shared" si="40"/>
        <v>127</v>
      </c>
      <c r="C683" s="44" t="str">
        <f>ORÇAMENTO!A95</f>
        <v>4.1.1.1.6</v>
      </c>
      <c r="D683" s="44" t="str">
        <f>ORÇAMENTO!B95</f>
        <v xml:space="preserve"> 01.03.16U </v>
      </c>
      <c r="E683" s="44" t="str">
        <f>ORÇAMENTO!C95</f>
        <v>COMPESA</v>
      </c>
      <c r="F683" s="480" t="str">
        <f>ORÇAMENTO!D95</f>
        <v>SINALIZADOR ELETRÔNICO</v>
      </c>
      <c r="G683" s="44" t="str">
        <f>ORÇAMENTO!E95</f>
        <v>UN</v>
      </c>
      <c r="H683" s="44">
        <f>ORÇAMENTO!F95</f>
        <v>19</v>
      </c>
      <c r="I683" s="44">
        <f>ORÇAMENTO!G95</f>
        <v>2.76</v>
      </c>
      <c r="J683" s="44">
        <f>ORÇAMENTO!H95</f>
        <v>0.2122</v>
      </c>
      <c r="K683" s="44">
        <f>ORÇAMENTO!I95</f>
        <v>3.35</v>
      </c>
      <c r="L683" s="44">
        <f>ORÇAMENTO!J95</f>
        <v>63.65</v>
      </c>
      <c r="M683" s="23">
        <f>ORÇAMENTO!K95</f>
        <v>2.25021827249817E-6</v>
      </c>
      <c r="N683" s="23" t="str">
        <f t="shared" si="41"/>
        <v>DIFERENTE</v>
      </c>
      <c r="O683" s="23" t="str">
        <f t="shared" si="42"/>
        <v>DIFERENTE</v>
      </c>
      <c r="P683" s="23" t="str">
        <f t="shared" si="43"/>
        <v>DIFERENTE</v>
      </c>
    </row>
    <row r="684" spans="2:16" x14ac:dyDescent="0.35">
      <c r="B684" s="43">
        <f t="shared" si="40"/>
        <v>127</v>
      </c>
      <c r="C684" s="44" t="str">
        <f>ORÇAMENTO!A207</f>
        <v>4.1.2.6.5</v>
      </c>
      <c r="D684" s="44" t="str">
        <f>ORÇAMENTO!B207</f>
        <v xml:space="preserve"> 01.03.16U </v>
      </c>
      <c r="E684" s="44" t="str">
        <f>ORÇAMENTO!C207</f>
        <v>COMPESA</v>
      </c>
      <c r="F684" s="480" t="str">
        <f>ORÇAMENTO!D207</f>
        <v>SINALIZADOR ELETRÔNICO</v>
      </c>
      <c r="G684" s="44" t="str">
        <f>ORÇAMENTO!E207</f>
        <v>UN</v>
      </c>
      <c r="H684" s="44">
        <f>ORÇAMENTO!F207</f>
        <v>5</v>
      </c>
      <c r="I684" s="44">
        <f>ORÇAMENTO!G207</f>
        <v>2.76</v>
      </c>
      <c r="J684" s="44">
        <f>ORÇAMENTO!H207</f>
        <v>0.2122</v>
      </c>
      <c r="K684" s="44">
        <f>ORÇAMENTO!I207</f>
        <v>3.35</v>
      </c>
      <c r="L684" s="44">
        <f>ORÇAMENTO!J207</f>
        <v>16.75</v>
      </c>
      <c r="M684" s="23">
        <f>ORÇAMENTO!K207</f>
        <v>5.9216270328899212E-7</v>
      </c>
      <c r="N684" s="23" t="str">
        <f t="shared" si="41"/>
        <v>OK!</v>
      </c>
      <c r="O684" s="23" t="str">
        <f t="shared" si="42"/>
        <v>OK!</v>
      </c>
      <c r="P684" s="23" t="str">
        <f t="shared" si="43"/>
        <v>OK!</v>
      </c>
    </row>
    <row r="685" spans="2:16" x14ac:dyDescent="0.35">
      <c r="B685" s="43">
        <f t="shared" si="40"/>
        <v>127</v>
      </c>
      <c r="C685" s="44" t="str">
        <f>ORÇAMENTO!A336</f>
        <v>5.1.1.1.6</v>
      </c>
      <c r="D685" s="44" t="str">
        <f>ORÇAMENTO!B336</f>
        <v xml:space="preserve"> 01.03.16U </v>
      </c>
      <c r="E685" s="44" t="str">
        <f>ORÇAMENTO!C336</f>
        <v>COMPESA</v>
      </c>
      <c r="F685" s="480" t="str">
        <f>ORÇAMENTO!D336</f>
        <v>SINALIZADOR ELETRÔNICO</v>
      </c>
      <c r="G685" s="44" t="str">
        <f>ORÇAMENTO!E336</f>
        <v>UN</v>
      </c>
      <c r="H685" s="44">
        <f>ORÇAMENTO!F336</f>
        <v>38</v>
      </c>
      <c r="I685" s="44">
        <f>ORÇAMENTO!G336</f>
        <v>2.76</v>
      </c>
      <c r="J685" s="44">
        <f>ORÇAMENTO!H336</f>
        <v>0.2122</v>
      </c>
      <c r="K685" s="44">
        <f>ORÇAMENTO!I336</f>
        <v>3.35</v>
      </c>
      <c r="L685" s="44">
        <f>ORÇAMENTO!J336</f>
        <v>127.3</v>
      </c>
      <c r="M685" s="23">
        <f>ORÇAMENTO!K336</f>
        <v>4.50043654499634E-6</v>
      </c>
      <c r="N685" s="23" t="str">
        <f t="shared" si="41"/>
        <v>OK!</v>
      </c>
      <c r="O685" s="23" t="str">
        <f t="shared" si="42"/>
        <v>OK!</v>
      </c>
      <c r="P685" s="23" t="str">
        <f t="shared" si="43"/>
        <v>OK!</v>
      </c>
    </row>
    <row r="686" spans="2:16" x14ac:dyDescent="0.35">
      <c r="B686" s="43">
        <f t="shared" si="40"/>
        <v>127</v>
      </c>
      <c r="C686" s="44" t="str">
        <f>ORÇAMENTO!A449</f>
        <v>5.1.2.6.5</v>
      </c>
      <c r="D686" s="44" t="str">
        <f>ORÇAMENTO!B449</f>
        <v xml:space="preserve"> 01.03.16U </v>
      </c>
      <c r="E686" s="44" t="str">
        <f>ORÇAMENTO!C449</f>
        <v>COMPESA</v>
      </c>
      <c r="F686" s="480" t="str">
        <f>ORÇAMENTO!D449</f>
        <v>SINALIZADOR ELETRÔNICO</v>
      </c>
      <c r="G686" s="44" t="str">
        <f>ORÇAMENTO!E449</f>
        <v>UN</v>
      </c>
      <c r="H686" s="44">
        <f>ORÇAMENTO!F449</f>
        <v>3</v>
      </c>
      <c r="I686" s="44">
        <f>ORÇAMENTO!G449</f>
        <v>2.76</v>
      </c>
      <c r="J686" s="44">
        <f>ORÇAMENTO!H449</f>
        <v>0.2122</v>
      </c>
      <c r="K686" s="44">
        <f>ORÇAMENTO!I449</f>
        <v>3.35</v>
      </c>
      <c r="L686" s="44">
        <f>ORÇAMENTO!J449</f>
        <v>10.050000000000001</v>
      </c>
      <c r="M686" s="23">
        <f>ORÇAMENTO!K449</f>
        <v>3.5529762197339529E-7</v>
      </c>
      <c r="N686" s="23" t="str">
        <f t="shared" si="41"/>
        <v>OK!</v>
      </c>
      <c r="O686" s="23" t="str">
        <f t="shared" si="42"/>
        <v>OK!</v>
      </c>
      <c r="P686" s="23" t="str">
        <f t="shared" si="43"/>
        <v>OK!</v>
      </c>
    </row>
    <row r="687" spans="2:16" x14ac:dyDescent="0.35">
      <c r="B687" s="43">
        <f t="shared" si="40"/>
        <v>127</v>
      </c>
      <c r="C687" s="44" t="str">
        <f>ORÇAMENTO!A549</f>
        <v>6.1.1.1.6</v>
      </c>
      <c r="D687" s="44" t="str">
        <f>ORÇAMENTO!B549</f>
        <v xml:space="preserve"> 01.03.16U </v>
      </c>
      <c r="E687" s="44" t="str">
        <f>ORÇAMENTO!C549</f>
        <v>COMPESA</v>
      </c>
      <c r="F687" s="480" t="str">
        <f>ORÇAMENTO!D549</f>
        <v>SINALIZADOR ELETRÔNICO</v>
      </c>
      <c r="G687" s="44" t="str">
        <f>ORÇAMENTO!E549</f>
        <v>UN</v>
      </c>
      <c r="H687" s="44">
        <f>ORÇAMENTO!F549</f>
        <v>13</v>
      </c>
      <c r="I687" s="44">
        <f>ORÇAMENTO!G549</f>
        <v>2.76</v>
      </c>
      <c r="J687" s="44">
        <f>ORÇAMENTO!H549</f>
        <v>0.2122</v>
      </c>
      <c r="K687" s="44">
        <f>ORÇAMENTO!I549</f>
        <v>3.35</v>
      </c>
      <c r="L687" s="44">
        <f>ORÇAMENTO!J549</f>
        <v>43.55</v>
      </c>
      <c r="M687" s="23">
        <f>ORÇAMENTO!K549</f>
        <v>1.5396230285513792E-6</v>
      </c>
      <c r="N687" s="23" t="str">
        <f t="shared" si="41"/>
        <v>OK!</v>
      </c>
      <c r="O687" s="23" t="str">
        <f t="shared" si="42"/>
        <v>OK!</v>
      </c>
      <c r="P687" s="23" t="str">
        <f t="shared" si="43"/>
        <v>OK!</v>
      </c>
    </row>
    <row r="688" spans="2:16" x14ac:dyDescent="0.35">
      <c r="B688" s="43">
        <f t="shared" si="40"/>
        <v>127</v>
      </c>
      <c r="C688" s="44" t="str">
        <f>ORÇAMENTO!A739</f>
        <v>7.1.1.1.6</v>
      </c>
      <c r="D688" s="44" t="str">
        <f>ORÇAMENTO!B739</f>
        <v xml:space="preserve"> 01.03.16U </v>
      </c>
      <c r="E688" s="44" t="str">
        <f>ORÇAMENTO!C739</f>
        <v>COMPESA</v>
      </c>
      <c r="F688" s="480" t="str">
        <f>ORÇAMENTO!D739</f>
        <v>SINALIZADOR ELETRÔNICO</v>
      </c>
      <c r="G688" s="44" t="str">
        <f>ORÇAMENTO!E739</f>
        <v>UN</v>
      </c>
      <c r="H688" s="44">
        <f>ORÇAMENTO!F739</f>
        <v>37</v>
      </c>
      <c r="I688" s="44">
        <f>ORÇAMENTO!G739</f>
        <v>2.76</v>
      </c>
      <c r="J688" s="44">
        <f>ORÇAMENTO!H739</f>
        <v>0.2122</v>
      </c>
      <c r="K688" s="44">
        <f>ORÇAMENTO!I739</f>
        <v>3.35</v>
      </c>
      <c r="L688" s="44">
        <f>ORÇAMENTO!J739</f>
        <v>123.95</v>
      </c>
      <c r="M688" s="23">
        <f>ORÇAMENTO!K739</f>
        <v>4.3820040043385415E-6</v>
      </c>
      <c r="N688" s="23" t="str">
        <f t="shared" si="41"/>
        <v>OK!</v>
      </c>
      <c r="O688" s="23" t="str">
        <f t="shared" si="42"/>
        <v>OK!</v>
      </c>
      <c r="P688" s="23" t="str">
        <f t="shared" si="43"/>
        <v>OK!</v>
      </c>
    </row>
    <row r="689" spans="2:16" x14ac:dyDescent="0.35">
      <c r="B689" s="43">
        <f t="shared" si="40"/>
        <v>127</v>
      </c>
      <c r="C689" s="44" t="str">
        <f>ORÇAMENTO!A858</f>
        <v>7.1.2.6.5</v>
      </c>
      <c r="D689" s="44" t="str">
        <f>ORÇAMENTO!B858</f>
        <v xml:space="preserve"> 01.03.16U </v>
      </c>
      <c r="E689" s="44" t="str">
        <f>ORÇAMENTO!C858</f>
        <v>COMPESA</v>
      </c>
      <c r="F689" s="480" t="str">
        <f>ORÇAMENTO!D858</f>
        <v>SINALIZADOR ELETRÔNICO</v>
      </c>
      <c r="G689" s="44" t="str">
        <f>ORÇAMENTO!E858</f>
        <v>UN</v>
      </c>
      <c r="H689" s="44">
        <f>ORÇAMENTO!F858</f>
        <v>6</v>
      </c>
      <c r="I689" s="44">
        <f>ORÇAMENTO!G858</f>
        <v>2.76</v>
      </c>
      <c r="J689" s="44">
        <f>ORÇAMENTO!H858</f>
        <v>0.2122</v>
      </c>
      <c r="K689" s="44">
        <f>ORÇAMENTO!I858</f>
        <v>3.35</v>
      </c>
      <c r="L689" s="44">
        <f>ORÇAMENTO!J858</f>
        <v>20.100000000000001</v>
      </c>
      <c r="M689" s="23">
        <f>ORÇAMENTO!K858</f>
        <v>7.1059524394679058E-7</v>
      </c>
      <c r="N689" s="23" t="str">
        <f t="shared" si="41"/>
        <v>OK!</v>
      </c>
      <c r="O689" s="23" t="str">
        <f t="shared" si="42"/>
        <v>OK!</v>
      </c>
      <c r="P689" s="23" t="str">
        <f t="shared" si="43"/>
        <v>OK!</v>
      </c>
    </row>
    <row r="690" spans="2:16" x14ac:dyDescent="0.35">
      <c r="B690" s="43">
        <f t="shared" si="40"/>
        <v>127</v>
      </c>
      <c r="C690" s="44" t="str">
        <f>ORÇAMENTO!A1039</f>
        <v xml:space="preserve"> 8.8.3</v>
      </c>
      <c r="D690" s="44" t="str">
        <f>ORÇAMENTO!B1039</f>
        <v xml:space="preserve"> 01.03.16U </v>
      </c>
      <c r="E690" s="44" t="str">
        <f>ORÇAMENTO!C1039</f>
        <v>COMPESA</v>
      </c>
      <c r="F690" s="636" t="str">
        <f>ORÇAMENTO!D1039</f>
        <v>SINALIZADOR ELETRÔNICO</v>
      </c>
      <c r="G690" s="44" t="str">
        <f>ORÇAMENTO!E1039</f>
        <v>UN</v>
      </c>
      <c r="H690" s="44">
        <f>ORÇAMENTO!F1039</f>
        <v>8</v>
      </c>
      <c r="I690" s="44">
        <f>ORÇAMENTO!G1039</f>
        <v>2.76</v>
      </c>
      <c r="J690" s="44">
        <f>ORÇAMENTO!H1039</f>
        <v>0.2122</v>
      </c>
      <c r="K690" s="44">
        <f>ORÇAMENTO!I1039</f>
        <v>3.35</v>
      </c>
      <c r="L690" s="638">
        <f>ORÇAMENTO!J1039</f>
        <v>26.8</v>
      </c>
      <c r="M690" s="23">
        <f>ORÇAMENTO!K1039</f>
        <v>9.474603252623873E-7</v>
      </c>
      <c r="N690" s="23" t="str">
        <f t="shared" si="41"/>
        <v>OK!</v>
      </c>
      <c r="O690" s="23" t="str">
        <f t="shared" si="42"/>
        <v>OK!</v>
      </c>
      <c r="P690" s="23" t="str">
        <f t="shared" si="43"/>
        <v>OK!</v>
      </c>
    </row>
    <row r="691" spans="2:16" ht="43.5" x14ac:dyDescent="0.35">
      <c r="B691" s="43">
        <f t="shared" si="40"/>
        <v>128</v>
      </c>
      <c r="C691" s="44" t="str">
        <f>ORÇAMENTO!A296</f>
        <v>4.2.5.2</v>
      </c>
      <c r="D691" s="44" t="str">
        <f>ORÇAMENTO!B296</f>
        <v xml:space="preserve"> 5213865 </v>
      </c>
      <c r="E691" s="44" t="str">
        <f>ORÇAMENTO!C296</f>
        <v>SICRO3</v>
      </c>
      <c r="F691" s="480" t="str">
        <f>ORÇAMENTO!D296</f>
        <v>SUPORTE METÁLICO GALVANIZADO PARA PLACA DE ADVERTÊNCIA OU REGULAMENTAÇÃO - LADO OU DIÂMETRO DE 1,00 M - FORNECIMENTO E IMPLANTAÇÃO</v>
      </c>
      <c r="G691" s="44" t="str">
        <f>ORÇAMENTO!E296</f>
        <v>UN</v>
      </c>
      <c r="H691" s="44">
        <f>ORÇAMENTO!F296</f>
        <v>5</v>
      </c>
      <c r="I691" s="44">
        <f>ORÇAMENTO!G296</f>
        <v>509.43</v>
      </c>
      <c r="J691" s="44">
        <f>ORÇAMENTO!H296</f>
        <v>0.2122</v>
      </c>
      <c r="K691" s="44">
        <f>ORÇAMENTO!I296</f>
        <v>617.53</v>
      </c>
      <c r="L691" s="44">
        <f>ORÇAMENTO!J296</f>
        <v>3087.65</v>
      </c>
      <c r="M691" s="23">
        <f>ORÇAMENTO!K296</f>
        <v>1.091576818394183E-4</v>
      </c>
      <c r="N691" s="23" t="str">
        <f t="shared" si="41"/>
        <v>DIFERENTE</v>
      </c>
      <c r="O691" s="23" t="str">
        <f t="shared" si="42"/>
        <v>DIFERENTE</v>
      </c>
      <c r="P691" s="23" t="str">
        <f t="shared" si="43"/>
        <v>DIFERENTE</v>
      </c>
    </row>
    <row r="692" spans="2:16" ht="43.5" x14ac:dyDescent="0.35">
      <c r="B692" s="43">
        <f t="shared" si="40"/>
        <v>128</v>
      </c>
      <c r="C692" s="44" t="str">
        <f>ORÇAMENTO!A985</f>
        <v>7.5.5.2</v>
      </c>
      <c r="D692" s="44" t="str">
        <f>ORÇAMENTO!B985</f>
        <v xml:space="preserve"> 5213865 </v>
      </c>
      <c r="E692" s="44" t="str">
        <f>ORÇAMENTO!C985</f>
        <v>SICRO3</v>
      </c>
      <c r="F692" s="636" t="str">
        <f>ORÇAMENTO!D985</f>
        <v>SUPORTE METÁLICO GALVANIZADO PARA PLACA DE ADVERTÊNCIA OU REGULAMENTAÇÃO - LADO OU DIÂMETRO DE 1,00 M - FORNECIMENTO E IMPLANTAÇÃO</v>
      </c>
      <c r="G692" s="44" t="str">
        <f>ORÇAMENTO!E985</f>
        <v>UN</v>
      </c>
      <c r="H692" s="44">
        <f>ORÇAMENTO!F985</f>
        <v>8</v>
      </c>
      <c r="I692" s="44">
        <f>ORÇAMENTO!G985</f>
        <v>509.43</v>
      </c>
      <c r="J692" s="44">
        <f>ORÇAMENTO!H985</f>
        <v>0.2122</v>
      </c>
      <c r="K692" s="44">
        <f>ORÇAMENTO!I985</f>
        <v>617.53</v>
      </c>
      <c r="L692" s="638">
        <f>ORÇAMENTO!J985</f>
        <v>4940.24</v>
      </c>
      <c r="M692" s="23">
        <f>ORÇAMENTO!K985</f>
        <v>1.7465229094306927E-4</v>
      </c>
      <c r="N692" s="23" t="str">
        <f t="shared" si="41"/>
        <v>OK!</v>
      </c>
      <c r="O692" s="23" t="str">
        <f t="shared" si="42"/>
        <v>OK!</v>
      </c>
      <c r="P692" s="23" t="str">
        <f t="shared" si="43"/>
        <v>OK!</v>
      </c>
    </row>
    <row r="693" spans="2:16" ht="29" x14ac:dyDescent="0.35">
      <c r="B693" s="43">
        <f t="shared" si="40"/>
        <v>129</v>
      </c>
      <c r="C693" s="44" t="str">
        <f>ORÇAMENTO!A94</f>
        <v>4.1.1.1.5</v>
      </c>
      <c r="D693" s="44" t="str">
        <f>ORÇAMENTO!B94</f>
        <v xml:space="preserve"> 01.03.12U </v>
      </c>
      <c r="E693" s="44" t="str">
        <f>ORÇAMENTO!C94</f>
        <v>COMPESA</v>
      </c>
      <c r="F693" s="480" t="str">
        <f>ORÇAMENTO!D94</f>
        <v>TELA TAPUME, COR LARANJA, COM SUPORTE A CADA 2M (FORNECIMENTO E INSTALAÇÃO)</v>
      </c>
      <c r="G693" s="44" t="str">
        <f>ORÇAMENTO!E94</f>
        <v>M</v>
      </c>
      <c r="H693" s="44">
        <f>ORÇAMENTO!F94</f>
        <v>1880.5286008103362</v>
      </c>
      <c r="I693" s="44">
        <f>ORÇAMENTO!G94</f>
        <v>3.25</v>
      </c>
      <c r="J693" s="44">
        <f>ORÇAMENTO!H94</f>
        <v>0.2122</v>
      </c>
      <c r="K693" s="44">
        <f>ORÇAMENTO!I94</f>
        <v>3.94</v>
      </c>
      <c r="L693" s="44">
        <f>ORÇAMENTO!J94</f>
        <v>7409.28</v>
      </c>
      <c r="M693" s="23">
        <f>ORÇAMENTO!K94</f>
        <v>2.6194025517761569E-4</v>
      </c>
      <c r="N693" s="23" t="str">
        <f t="shared" si="41"/>
        <v>DIFERENTE</v>
      </c>
      <c r="O693" s="23" t="str">
        <f t="shared" si="42"/>
        <v>DIFERENTE</v>
      </c>
      <c r="P693" s="23" t="str">
        <f t="shared" si="43"/>
        <v>DIFERENTE</v>
      </c>
    </row>
    <row r="694" spans="2:16" ht="29" x14ac:dyDescent="0.35">
      <c r="B694" s="43">
        <f t="shared" si="40"/>
        <v>129</v>
      </c>
      <c r="C694" s="44" t="str">
        <f>ORÇAMENTO!A205</f>
        <v>4.1.2.6.3</v>
      </c>
      <c r="D694" s="44" t="str">
        <f>ORÇAMENTO!B205</f>
        <v xml:space="preserve"> 01.03.12U </v>
      </c>
      <c r="E694" s="44" t="str">
        <f>ORÇAMENTO!C205</f>
        <v>COMPESA</v>
      </c>
      <c r="F694" s="480" t="str">
        <f>ORÇAMENTO!D205</f>
        <v>TELA TAPUME, COR LARANJA, COM SUPORTE A CADA 2M (FORNECIMENTO E INSTALAÇÃO)</v>
      </c>
      <c r="G694" s="44" t="str">
        <f>ORÇAMENTO!E205</f>
        <v>M</v>
      </c>
      <c r="H694" s="44">
        <f>ORÇAMENTO!F205</f>
        <v>451.98</v>
      </c>
      <c r="I694" s="44">
        <f>ORÇAMENTO!G205</f>
        <v>3.25</v>
      </c>
      <c r="J694" s="44">
        <f>ORÇAMENTO!H205</f>
        <v>0.2122</v>
      </c>
      <c r="K694" s="44">
        <f>ORÇAMENTO!I205</f>
        <v>3.94</v>
      </c>
      <c r="L694" s="44">
        <f>ORÇAMENTO!J205</f>
        <v>1780.8</v>
      </c>
      <c r="M694" s="23">
        <f>ORÇAMENTO!K205</f>
        <v>6.2956617433852958E-5</v>
      </c>
      <c r="N694" s="23" t="str">
        <f t="shared" si="41"/>
        <v>OK!</v>
      </c>
      <c r="O694" s="23" t="str">
        <f t="shared" si="42"/>
        <v>OK!</v>
      </c>
      <c r="P694" s="23" t="str">
        <f t="shared" si="43"/>
        <v>OK!</v>
      </c>
    </row>
    <row r="695" spans="2:16" ht="29" x14ac:dyDescent="0.35">
      <c r="B695" s="43">
        <f t="shared" si="40"/>
        <v>129</v>
      </c>
      <c r="C695" s="44" t="str">
        <f>ORÇAMENTO!A305</f>
        <v>4.4.1</v>
      </c>
      <c r="D695" s="44" t="str">
        <f>ORÇAMENTO!B305</f>
        <v xml:space="preserve"> 01.03.12U </v>
      </c>
      <c r="E695" s="44" t="str">
        <f>ORÇAMENTO!C305</f>
        <v>COMPESA</v>
      </c>
      <c r="F695" s="480" t="str">
        <f>ORÇAMENTO!D305</f>
        <v>TELA TAPUME, COR LARANJA, COM SUPORTE A CADA 2M (FORNECIMENTO E INSTALAÇÃO)</v>
      </c>
      <c r="G695" s="44" t="str">
        <f>ORÇAMENTO!E305</f>
        <v>M</v>
      </c>
      <c r="H695" s="44">
        <f>ORÇAMENTO!F305</f>
        <v>93.6</v>
      </c>
      <c r="I695" s="44">
        <f>ORÇAMENTO!G305</f>
        <v>3.25</v>
      </c>
      <c r="J695" s="44">
        <f>ORÇAMENTO!H305</f>
        <v>0.2122</v>
      </c>
      <c r="K695" s="44">
        <f>ORÇAMENTO!I305</f>
        <v>3.94</v>
      </c>
      <c r="L695" s="44">
        <f>ORÇAMENTO!J305</f>
        <v>368.78</v>
      </c>
      <c r="M695" s="23">
        <f>ORÇAMENTO!K305</f>
        <v>1.3037478311576983E-5</v>
      </c>
      <c r="N695" s="23" t="str">
        <f t="shared" si="41"/>
        <v>OK!</v>
      </c>
      <c r="O695" s="23" t="str">
        <f t="shared" si="42"/>
        <v>OK!</v>
      </c>
      <c r="P695" s="23" t="str">
        <f t="shared" si="43"/>
        <v>OK!</v>
      </c>
    </row>
    <row r="696" spans="2:16" ht="29" x14ac:dyDescent="0.35">
      <c r="B696" s="43">
        <f t="shared" si="40"/>
        <v>129</v>
      </c>
      <c r="C696" s="44" t="str">
        <f>ORÇAMENTO!A335</f>
        <v>5.1.1.1.5</v>
      </c>
      <c r="D696" s="44" t="str">
        <f>ORÇAMENTO!B335</f>
        <v xml:space="preserve"> 01.03.12U </v>
      </c>
      <c r="E696" s="44" t="str">
        <f>ORÇAMENTO!C335</f>
        <v>COMPESA</v>
      </c>
      <c r="F696" s="480" t="str">
        <f>ORÇAMENTO!D335</f>
        <v>TELA TAPUME, COR LARANJA, COM SUPORTE A CADA 2M (FORNECIMENTO E INSTALAÇÃO)</v>
      </c>
      <c r="G696" s="44" t="str">
        <f>ORÇAMENTO!E335</f>
        <v>M</v>
      </c>
      <c r="H696" s="44">
        <f>ORÇAMENTO!F335</f>
        <v>3785.5</v>
      </c>
      <c r="I696" s="44">
        <f>ORÇAMENTO!G335</f>
        <v>3.25</v>
      </c>
      <c r="J696" s="44">
        <f>ORÇAMENTO!H335</f>
        <v>0.2122</v>
      </c>
      <c r="K696" s="44">
        <f>ORÇAMENTO!I335</f>
        <v>3.94</v>
      </c>
      <c r="L696" s="44">
        <f>ORÇAMENTO!J335</f>
        <v>14914.87</v>
      </c>
      <c r="M696" s="23">
        <f>ORÇAMENTO!K335</f>
        <v>5.2728535751665013E-4</v>
      </c>
      <c r="N696" s="23" t="str">
        <f t="shared" si="41"/>
        <v>OK!</v>
      </c>
      <c r="O696" s="23" t="str">
        <f t="shared" si="42"/>
        <v>OK!</v>
      </c>
      <c r="P696" s="23" t="str">
        <f t="shared" si="43"/>
        <v>OK!</v>
      </c>
    </row>
    <row r="697" spans="2:16" ht="29" x14ac:dyDescent="0.35">
      <c r="B697" s="43">
        <f t="shared" si="40"/>
        <v>129</v>
      </c>
      <c r="C697" s="44" t="str">
        <f>ORÇAMENTO!A447</f>
        <v>5.1.2.6.3</v>
      </c>
      <c r="D697" s="44" t="str">
        <f>ORÇAMENTO!B447</f>
        <v xml:space="preserve"> 01.03.12U </v>
      </c>
      <c r="E697" s="44" t="str">
        <f>ORÇAMENTO!C447</f>
        <v>COMPESA</v>
      </c>
      <c r="F697" s="480" t="str">
        <f>ORÇAMENTO!D447</f>
        <v>TELA TAPUME, COR LARANJA, COM SUPORTE A CADA 2M (FORNECIMENTO E INSTALAÇÃO)</v>
      </c>
      <c r="G697" s="44" t="str">
        <f>ORÇAMENTO!E447</f>
        <v>M</v>
      </c>
      <c r="H697" s="44">
        <f>ORÇAMENTO!F447</f>
        <v>278.36</v>
      </c>
      <c r="I697" s="44">
        <f>ORÇAMENTO!G447</f>
        <v>3.25</v>
      </c>
      <c r="J697" s="44">
        <f>ORÇAMENTO!H447</f>
        <v>0.2122</v>
      </c>
      <c r="K697" s="44">
        <f>ORÇAMENTO!I447</f>
        <v>3.94</v>
      </c>
      <c r="L697" s="44">
        <f>ORÇAMENTO!J447</f>
        <v>1096.73</v>
      </c>
      <c r="M697" s="23">
        <f>ORÇAMENTO!K447</f>
        <v>3.8772692631530527E-5</v>
      </c>
      <c r="N697" s="23" t="str">
        <f t="shared" si="41"/>
        <v>OK!</v>
      </c>
      <c r="O697" s="23" t="str">
        <f t="shared" si="42"/>
        <v>OK!</v>
      </c>
      <c r="P697" s="23" t="str">
        <f t="shared" si="43"/>
        <v>OK!</v>
      </c>
    </row>
    <row r="698" spans="2:16" ht="29" x14ac:dyDescent="0.35">
      <c r="B698" s="43">
        <f t="shared" si="40"/>
        <v>129</v>
      </c>
      <c r="C698" s="44" t="str">
        <f>ORÇAMENTO!A518</f>
        <v>5.4.1</v>
      </c>
      <c r="D698" s="44" t="str">
        <f>ORÇAMENTO!B518</f>
        <v xml:space="preserve"> 01.03.12U </v>
      </c>
      <c r="E698" s="44" t="str">
        <f>ORÇAMENTO!C518</f>
        <v>COMPESA</v>
      </c>
      <c r="F698" s="480" t="str">
        <f>ORÇAMENTO!D518</f>
        <v>TELA TAPUME, COR LARANJA, COM SUPORTE A CADA 2M (FORNECIMENTO E INSTALAÇÃO)</v>
      </c>
      <c r="G698" s="44" t="str">
        <f>ORÇAMENTO!E518</f>
        <v>M</v>
      </c>
      <c r="H698" s="44">
        <f>ORÇAMENTO!F518</f>
        <v>28.799999999999997</v>
      </c>
      <c r="I698" s="44">
        <f>ORÇAMENTO!G518</f>
        <v>3.25</v>
      </c>
      <c r="J698" s="44">
        <f>ORÇAMENTO!H518</f>
        <v>0.2122</v>
      </c>
      <c r="K698" s="44">
        <f>ORÇAMENTO!I518</f>
        <v>3.94</v>
      </c>
      <c r="L698" s="44">
        <f>ORÇAMENTO!J518</f>
        <v>113.47</v>
      </c>
      <c r="M698" s="23">
        <f>ORÇAMENTO!K518</f>
        <v>4.0115045935642947E-6</v>
      </c>
      <c r="N698" s="23" t="str">
        <f t="shared" si="41"/>
        <v>OK!</v>
      </c>
      <c r="O698" s="23" t="str">
        <f t="shared" si="42"/>
        <v>OK!</v>
      </c>
      <c r="P698" s="23" t="str">
        <f t="shared" si="43"/>
        <v>OK!</v>
      </c>
    </row>
    <row r="699" spans="2:16" ht="29" x14ac:dyDescent="0.35">
      <c r="B699" s="43">
        <f t="shared" si="40"/>
        <v>129</v>
      </c>
      <c r="C699" s="44" t="str">
        <f>ORÇAMENTO!A548</f>
        <v>6.1.1.1.5</v>
      </c>
      <c r="D699" s="44" t="str">
        <f>ORÇAMENTO!B548</f>
        <v xml:space="preserve"> 01.03.12U </v>
      </c>
      <c r="E699" s="44" t="str">
        <f>ORÇAMENTO!C548</f>
        <v>COMPESA</v>
      </c>
      <c r="F699" s="480" t="str">
        <f>ORÇAMENTO!D548</f>
        <v>TELA TAPUME, COR LARANJA, COM SUPORTE A CADA 2M (FORNECIMENTO E INSTALAÇÃO)</v>
      </c>
      <c r="G699" s="44" t="str">
        <f>ORÇAMENTO!E548</f>
        <v>M</v>
      </c>
      <c r="H699" s="44">
        <f>ORÇAMENTO!F548</f>
        <v>1277.760462062276</v>
      </c>
      <c r="I699" s="44">
        <f>ORÇAMENTO!G548</f>
        <v>3.25</v>
      </c>
      <c r="J699" s="44">
        <f>ORÇAMENTO!H548</f>
        <v>0.2122</v>
      </c>
      <c r="K699" s="44">
        <f>ORÇAMENTO!I548</f>
        <v>3.94</v>
      </c>
      <c r="L699" s="44">
        <f>ORÇAMENTO!J548</f>
        <v>5034.37</v>
      </c>
      <c r="M699" s="23">
        <f>ORÇAMENTO!K548</f>
        <v>1.7798006857056733E-4</v>
      </c>
      <c r="N699" s="23" t="str">
        <f t="shared" si="41"/>
        <v>OK!</v>
      </c>
      <c r="O699" s="23" t="str">
        <f t="shared" si="42"/>
        <v>OK!</v>
      </c>
      <c r="P699" s="23" t="str">
        <f t="shared" si="43"/>
        <v>OK!</v>
      </c>
    </row>
    <row r="700" spans="2:16" ht="29" x14ac:dyDescent="0.35">
      <c r="B700" s="43">
        <f t="shared" si="40"/>
        <v>129</v>
      </c>
      <c r="C700" s="44" t="str">
        <f>ORÇAMENTO!A711</f>
        <v>6.4.1</v>
      </c>
      <c r="D700" s="44" t="str">
        <f>ORÇAMENTO!B711</f>
        <v xml:space="preserve"> 01.03.12U </v>
      </c>
      <c r="E700" s="44" t="str">
        <f>ORÇAMENTO!C711</f>
        <v>COMPESA</v>
      </c>
      <c r="F700" s="480" t="str">
        <f>ORÇAMENTO!D711</f>
        <v>TELA TAPUME, COR LARANJA, COM SUPORTE A CADA 2M (FORNECIMENTO E INSTALAÇÃO)</v>
      </c>
      <c r="G700" s="44" t="str">
        <f>ORÇAMENTO!E711</f>
        <v>M</v>
      </c>
      <c r="H700" s="44">
        <f>ORÇAMENTO!F711</f>
        <v>72</v>
      </c>
      <c r="I700" s="44">
        <f>ORÇAMENTO!G711</f>
        <v>3.25</v>
      </c>
      <c r="J700" s="44">
        <f>ORÇAMENTO!H711</f>
        <v>0.2122</v>
      </c>
      <c r="K700" s="44">
        <f>ORÇAMENTO!I711</f>
        <v>3.94</v>
      </c>
      <c r="L700" s="44">
        <f>ORÇAMENTO!J711</f>
        <v>283.68</v>
      </c>
      <c r="M700" s="23">
        <f>ORÇAMENTO!K711</f>
        <v>1.0028938248896793E-5</v>
      </c>
      <c r="N700" s="23" t="str">
        <f t="shared" si="41"/>
        <v>OK!</v>
      </c>
      <c r="O700" s="23" t="str">
        <f t="shared" si="42"/>
        <v>OK!</v>
      </c>
      <c r="P700" s="23" t="str">
        <f t="shared" si="43"/>
        <v>OK!</v>
      </c>
    </row>
    <row r="701" spans="2:16" ht="29" x14ac:dyDescent="0.35">
      <c r="B701" s="43">
        <f t="shared" si="40"/>
        <v>129</v>
      </c>
      <c r="C701" s="44" t="str">
        <f>ORÇAMENTO!A738</f>
        <v>7.1.1.1.5</v>
      </c>
      <c r="D701" s="44" t="str">
        <f>ORÇAMENTO!B738</f>
        <v xml:space="preserve"> 01.03.12U </v>
      </c>
      <c r="E701" s="44" t="str">
        <f>ORÇAMENTO!C738</f>
        <v>COMPESA</v>
      </c>
      <c r="F701" s="480" t="str">
        <f>ORÇAMENTO!D738</f>
        <v>TELA TAPUME, COR LARANJA, COM SUPORTE A CADA 2M (FORNECIMENTO E INSTALAÇÃO)</v>
      </c>
      <c r="G701" s="44" t="str">
        <f>ORÇAMENTO!E738</f>
        <v>M</v>
      </c>
      <c r="H701" s="44">
        <f>ORÇAMENTO!F738</f>
        <v>3696.5000000000009</v>
      </c>
      <c r="I701" s="44">
        <f>ORÇAMENTO!G738</f>
        <v>3.25</v>
      </c>
      <c r="J701" s="44">
        <f>ORÇAMENTO!H738</f>
        <v>0.2122</v>
      </c>
      <c r="K701" s="44">
        <f>ORÇAMENTO!I738</f>
        <v>3.94</v>
      </c>
      <c r="L701" s="44">
        <f>ORÇAMENTO!J738</f>
        <v>14564.21</v>
      </c>
      <c r="M701" s="23">
        <f>ORÇAMENTO!K738</f>
        <v>5.148884755145415E-4</v>
      </c>
      <c r="N701" s="23" t="str">
        <f t="shared" si="41"/>
        <v>OK!</v>
      </c>
      <c r="O701" s="23" t="str">
        <f t="shared" si="42"/>
        <v>OK!</v>
      </c>
      <c r="P701" s="23" t="str">
        <f t="shared" si="43"/>
        <v>OK!</v>
      </c>
    </row>
    <row r="702" spans="2:16" ht="29" x14ac:dyDescent="0.35">
      <c r="B702" s="43">
        <f t="shared" si="40"/>
        <v>129</v>
      </c>
      <c r="C702" s="44" t="str">
        <f>ORÇAMENTO!A856</f>
        <v>7.1.2.6.3</v>
      </c>
      <c r="D702" s="44" t="str">
        <f>ORÇAMENTO!B856</f>
        <v xml:space="preserve"> 01.03.12U </v>
      </c>
      <c r="E702" s="44" t="str">
        <f>ORÇAMENTO!C856</f>
        <v>COMPESA</v>
      </c>
      <c r="F702" s="480" t="str">
        <f>ORÇAMENTO!D856</f>
        <v>TELA TAPUME, COR LARANJA, COM SUPORTE A CADA 2M (FORNECIMENTO E INSTALAÇÃO)</v>
      </c>
      <c r="G702" s="44" t="str">
        <f>ORÇAMENTO!E856</f>
        <v>M</v>
      </c>
      <c r="H702" s="44">
        <f>ORÇAMENTO!F856</f>
        <v>553</v>
      </c>
      <c r="I702" s="44">
        <f>ORÇAMENTO!G856</f>
        <v>3.25</v>
      </c>
      <c r="J702" s="44">
        <f>ORÇAMENTO!H856</f>
        <v>0.2122</v>
      </c>
      <c r="K702" s="44">
        <f>ORÇAMENTO!I856</f>
        <v>3.94</v>
      </c>
      <c r="L702" s="44">
        <f>ORÇAMENTO!J856</f>
        <v>2178.8200000000002</v>
      </c>
      <c r="M702" s="23">
        <f>ORÇAMENTO!K856</f>
        <v>7.7027817383887876E-5</v>
      </c>
      <c r="N702" s="23" t="str">
        <f t="shared" si="41"/>
        <v>OK!</v>
      </c>
      <c r="O702" s="23" t="str">
        <f t="shared" si="42"/>
        <v>OK!</v>
      </c>
      <c r="P702" s="23" t="str">
        <f t="shared" si="43"/>
        <v>OK!</v>
      </c>
    </row>
    <row r="703" spans="2:16" ht="29" x14ac:dyDescent="0.35">
      <c r="B703" s="43">
        <f t="shared" si="40"/>
        <v>129</v>
      </c>
      <c r="C703" s="44" t="str">
        <f>ORÇAMENTO!A933</f>
        <v>7.4.1</v>
      </c>
      <c r="D703" s="44" t="str">
        <f>ORÇAMENTO!B933</f>
        <v xml:space="preserve"> 01.03.12U </v>
      </c>
      <c r="E703" s="44" t="str">
        <f>ORÇAMENTO!C933</f>
        <v>COMPESA</v>
      </c>
      <c r="F703" s="480" t="str">
        <f>ORÇAMENTO!D933</f>
        <v>TELA TAPUME, COR LARANJA, COM SUPORTE A CADA 2M (FORNECIMENTO E INSTALAÇÃO)</v>
      </c>
      <c r="G703" s="44" t="str">
        <f>ORÇAMENTO!E933</f>
        <v>M</v>
      </c>
      <c r="H703" s="44">
        <f>ORÇAMENTO!F933</f>
        <v>57.599999999999994</v>
      </c>
      <c r="I703" s="44">
        <f>ORÇAMENTO!G933</f>
        <v>3.25</v>
      </c>
      <c r="J703" s="44">
        <f>ORÇAMENTO!H933</f>
        <v>0.2122</v>
      </c>
      <c r="K703" s="44">
        <f>ORÇAMENTO!I933</f>
        <v>3.94</v>
      </c>
      <c r="L703" s="44">
        <f>ORÇAMENTO!J933</f>
        <v>226.94</v>
      </c>
      <c r="M703" s="23">
        <f>ORÇAMENTO!K933</f>
        <v>8.0230091871285894E-6</v>
      </c>
      <c r="N703" s="23" t="str">
        <f t="shared" si="41"/>
        <v>OK!</v>
      </c>
      <c r="O703" s="23" t="str">
        <f t="shared" si="42"/>
        <v>OK!</v>
      </c>
      <c r="P703" s="23" t="str">
        <f t="shared" si="43"/>
        <v>OK!</v>
      </c>
    </row>
    <row r="704" spans="2:16" ht="29" x14ac:dyDescent="0.35">
      <c r="B704" s="43">
        <f t="shared" si="40"/>
        <v>129</v>
      </c>
      <c r="C704" s="44" t="str">
        <f>ORÇAMENTO!A1038</f>
        <v xml:space="preserve"> 8.8.2</v>
      </c>
      <c r="D704" s="44" t="str">
        <f>ORÇAMENTO!B1038</f>
        <v xml:space="preserve"> 01.03.12U </v>
      </c>
      <c r="E704" s="44" t="str">
        <f>ORÇAMENTO!C1038</f>
        <v>COMPESA</v>
      </c>
      <c r="F704" s="636" t="str">
        <f>ORÇAMENTO!D1038</f>
        <v>TELA TAPUME, COR LARANJA, COM SUPORTE A CADA 2M (FORNECIMENTO E INSTALAÇÃO)</v>
      </c>
      <c r="G704" s="44" t="str">
        <f>ORÇAMENTO!E1038</f>
        <v>M</v>
      </c>
      <c r="H704" s="44">
        <f>ORÇAMENTO!F1038</f>
        <v>380</v>
      </c>
      <c r="I704" s="44">
        <f>ORÇAMENTO!G1038</f>
        <v>3.25</v>
      </c>
      <c r="J704" s="44">
        <f>ORÇAMENTO!H1038</f>
        <v>0.2122</v>
      </c>
      <c r="K704" s="44">
        <f>ORÇAMENTO!I1038</f>
        <v>3.94</v>
      </c>
      <c r="L704" s="638">
        <f>ORÇAMENTO!J1038</f>
        <v>1497.2</v>
      </c>
      <c r="M704" s="23">
        <f>ORÇAMENTO!K1038</f>
        <v>5.2930507424733074E-5</v>
      </c>
      <c r="N704" s="23" t="str">
        <f t="shared" si="41"/>
        <v>OK!</v>
      </c>
      <c r="O704" s="23" t="str">
        <f t="shared" si="42"/>
        <v>OK!</v>
      </c>
      <c r="P704" s="23" t="str">
        <f t="shared" si="43"/>
        <v>OK!</v>
      </c>
    </row>
    <row r="705" spans="2:16" ht="43.5" x14ac:dyDescent="0.35">
      <c r="B705" s="43">
        <f t="shared" ref="B705:B768" si="44">IF(EXACT(D704,D705),B704,B704+1)</f>
        <v>130</v>
      </c>
      <c r="C705" s="44" t="str">
        <f>ORÇAMENTO!A105</f>
        <v>4.1.1.2.4</v>
      </c>
      <c r="D705" s="44" t="str">
        <f>ORÇAMENTO!B105</f>
        <v xml:space="preserve"> 93593 </v>
      </c>
      <c r="E705" s="44" t="str">
        <f>ORÇAMENTO!C105</f>
        <v>SINAPI</v>
      </c>
      <c r="F705" s="480" t="str">
        <f>ORÇAMENTO!D105</f>
        <v>TRANSPORTE COM CAMINHÃO BASCULANTE DE 14 M³, EM VIA URBANA PAVIMENTADA, ADICIONAL PARA DMT EXCEDENTE A 30 KM (UNIDADE: M3XKM). AF_07/2020</v>
      </c>
      <c r="G705" s="44" t="str">
        <f>ORÇAMENTO!E105</f>
        <v>M3XKM</v>
      </c>
      <c r="H705" s="44">
        <f>ORÇAMENTO!F105</f>
        <v>2818.7028751210687</v>
      </c>
      <c r="I705" s="44">
        <f>ORÇAMENTO!G105</f>
        <v>0.85</v>
      </c>
      <c r="J705" s="44">
        <f>ORÇAMENTO!H105</f>
        <v>0.2122</v>
      </c>
      <c r="K705" s="44">
        <f>ORÇAMENTO!I105</f>
        <v>1.03</v>
      </c>
      <c r="L705" s="44">
        <f>ORÇAMENTO!J105</f>
        <v>2903.26</v>
      </c>
      <c r="M705" s="23">
        <f>ORÇAMENTO!K105</f>
        <v>1.0263894268362981E-4</v>
      </c>
      <c r="N705" s="23" t="str">
        <f t="shared" ref="N705:N768" si="45">IF(F705=F704,IF(G705=G704,"OK!","ERRADO"),"DIFERENTE")</f>
        <v>DIFERENTE</v>
      </c>
      <c r="O705" s="23" t="str">
        <f t="shared" ref="O705:O768" si="46">IF(F705=F704,IF(I705=I704,"OK!","ERRADO"),"DIFERENTE")</f>
        <v>DIFERENTE</v>
      </c>
      <c r="P705" s="23" t="str">
        <f t="shared" ref="P705:P768" si="47">IF(F705=F704,IF(D705=D704,"OK!","ERRADO"),"DIFERENTE")</f>
        <v>DIFERENTE</v>
      </c>
    </row>
    <row r="706" spans="2:16" ht="43.5" x14ac:dyDescent="0.35">
      <c r="B706" s="43">
        <f t="shared" si="44"/>
        <v>130</v>
      </c>
      <c r="C706" s="44" t="str">
        <f>ORÇAMENTO!A111</f>
        <v>4.1.1.3.5</v>
      </c>
      <c r="D706" s="44" t="str">
        <f>ORÇAMENTO!B111</f>
        <v xml:space="preserve"> 93593 </v>
      </c>
      <c r="E706" s="44" t="str">
        <f>ORÇAMENTO!C111</f>
        <v>SINAPI</v>
      </c>
      <c r="F706" s="480" t="str">
        <f>ORÇAMENTO!D111</f>
        <v>TRANSPORTE COM CAMINHÃO BASCULANTE DE 14 M³, EM VIA URBANA PAVIMENTADA, ADICIONAL PARA DMT EXCEDENTE A 30 KM (UNIDADE: M3XKM). AF_07/2020</v>
      </c>
      <c r="G706" s="44" t="str">
        <f>ORÇAMENTO!E111</f>
        <v>M3XKM</v>
      </c>
      <c r="H706" s="44">
        <f>ORÇAMENTO!F111</f>
        <v>1518.1720709051342</v>
      </c>
      <c r="I706" s="44">
        <f>ORÇAMENTO!G111</f>
        <v>0.85</v>
      </c>
      <c r="J706" s="44">
        <f>ORÇAMENTO!H111</f>
        <v>0.2122</v>
      </c>
      <c r="K706" s="44">
        <f>ORÇAMENTO!I111</f>
        <v>1.03</v>
      </c>
      <c r="L706" s="44">
        <f>ORÇAMENTO!J111</f>
        <v>1563.71</v>
      </c>
      <c r="M706" s="23">
        <f>ORÇAMENTO!K111</f>
        <v>5.528183526925551E-5</v>
      </c>
      <c r="N706" s="23" t="str">
        <f t="shared" si="45"/>
        <v>OK!</v>
      </c>
      <c r="O706" s="23" t="str">
        <f t="shared" si="46"/>
        <v>OK!</v>
      </c>
      <c r="P706" s="23" t="str">
        <f t="shared" si="47"/>
        <v>OK!</v>
      </c>
    </row>
    <row r="707" spans="2:16" ht="43.5" x14ac:dyDescent="0.35">
      <c r="B707" s="43">
        <f t="shared" si="44"/>
        <v>130</v>
      </c>
      <c r="C707" s="44" t="str">
        <f>ORÇAMENTO!A116</f>
        <v>4.1.1.4.4</v>
      </c>
      <c r="D707" s="44" t="str">
        <f>ORÇAMENTO!B116</f>
        <v xml:space="preserve"> 93593 </v>
      </c>
      <c r="E707" s="44" t="str">
        <f>ORÇAMENTO!C116</f>
        <v>SINAPI</v>
      </c>
      <c r="F707" s="480" t="str">
        <f>ORÇAMENTO!D116</f>
        <v>TRANSPORTE COM CAMINHÃO BASCULANTE DE 14 M³, EM VIA URBANA PAVIMENTADA, ADICIONAL PARA DMT EXCEDENTE A 30 KM (UNIDADE: M3XKM). AF_07/2020</v>
      </c>
      <c r="G707" s="44" t="str">
        <f>ORÇAMENTO!E116</f>
        <v>M3XKM</v>
      </c>
      <c r="H707" s="44">
        <f>ORÇAMENTO!F116</f>
        <v>10941.858089219524</v>
      </c>
      <c r="I707" s="44">
        <f>ORÇAMENTO!G116</f>
        <v>0.85</v>
      </c>
      <c r="J707" s="44">
        <f>ORÇAMENTO!H116</f>
        <v>0.2122</v>
      </c>
      <c r="K707" s="44">
        <f>ORÇAMENTO!I116</f>
        <v>1.03</v>
      </c>
      <c r="L707" s="44">
        <f>ORÇAMENTO!J116</f>
        <v>11270.11</v>
      </c>
      <c r="M707" s="23">
        <f>ORÇAMENTO!K116</f>
        <v>3.9843216740085392E-4</v>
      </c>
      <c r="N707" s="23" t="str">
        <f t="shared" si="45"/>
        <v>OK!</v>
      </c>
      <c r="O707" s="23" t="str">
        <f t="shared" si="46"/>
        <v>OK!</v>
      </c>
      <c r="P707" s="23" t="str">
        <f t="shared" si="47"/>
        <v>OK!</v>
      </c>
    </row>
    <row r="708" spans="2:16" ht="43.5" x14ac:dyDescent="0.35">
      <c r="B708" s="43">
        <f t="shared" si="44"/>
        <v>130</v>
      </c>
      <c r="C708" s="44" t="str">
        <f>ORÇAMENTO!A124</f>
        <v>4.1.1.5.7</v>
      </c>
      <c r="D708" s="44" t="str">
        <f>ORÇAMENTO!B124</f>
        <v xml:space="preserve"> 93593 </v>
      </c>
      <c r="E708" s="44" t="str">
        <f>ORÇAMENTO!C124</f>
        <v>SINAPI</v>
      </c>
      <c r="F708" s="480" t="str">
        <f>ORÇAMENTO!D124</f>
        <v>TRANSPORTE COM CAMINHÃO BASCULANTE DE 14 M³, EM VIA URBANA PAVIMENTADA, ADICIONAL PARA DMT EXCEDENTE A 30 KM (UNIDADE: M3XKM). AF_07/2020</v>
      </c>
      <c r="G708" s="44" t="str">
        <f>ORÇAMENTO!E124</f>
        <v>M3XKM</v>
      </c>
      <c r="H708" s="44">
        <f>ORÇAMENTO!F124</f>
        <v>1118.9469312000001</v>
      </c>
      <c r="I708" s="44">
        <f>ORÇAMENTO!G124</f>
        <v>0.85</v>
      </c>
      <c r="J708" s="44">
        <f>ORÇAMENTO!H124</f>
        <v>0.2122</v>
      </c>
      <c r="K708" s="44">
        <f>ORÇAMENTO!I124</f>
        <v>1.03</v>
      </c>
      <c r="L708" s="44">
        <f>ORÇAMENTO!J124</f>
        <v>1152.51</v>
      </c>
      <c r="M708" s="23">
        <f>ORÇAMENTO!K124</f>
        <v>4.0744682815975895E-5</v>
      </c>
      <c r="N708" s="23" t="str">
        <f t="shared" si="45"/>
        <v>OK!</v>
      </c>
      <c r="O708" s="23" t="str">
        <f t="shared" si="46"/>
        <v>OK!</v>
      </c>
      <c r="P708" s="23" t="str">
        <f t="shared" si="47"/>
        <v>OK!</v>
      </c>
    </row>
    <row r="709" spans="2:16" ht="43.5" x14ac:dyDescent="0.35">
      <c r="B709" s="43">
        <f t="shared" si="44"/>
        <v>130</v>
      </c>
      <c r="C709" s="44" t="str">
        <f>ORÇAMENTO!A130</f>
        <v>4.1.1.6.5</v>
      </c>
      <c r="D709" s="44" t="str">
        <f>ORÇAMENTO!B130</f>
        <v xml:space="preserve"> 93593 </v>
      </c>
      <c r="E709" s="44" t="str">
        <f>ORÇAMENTO!C130</f>
        <v>SINAPI</v>
      </c>
      <c r="F709" s="480" t="str">
        <f>ORÇAMENTO!D130</f>
        <v>TRANSPORTE COM CAMINHÃO BASCULANTE DE 14 M³, EM VIA URBANA PAVIMENTADA, ADICIONAL PARA DMT EXCEDENTE A 30 KM (UNIDADE: M3XKM). AF_07/2020</v>
      </c>
      <c r="G709" s="44" t="str">
        <f>ORÇAMENTO!E130</f>
        <v>M3XKM</v>
      </c>
      <c r="H709" s="44">
        <f>ORÇAMENTO!F130</f>
        <v>825.03679999999986</v>
      </c>
      <c r="I709" s="44">
        <f>ORÇAMENTO!G130</f>
        <v>0.85</v>
      </c>
      <c r="J709" s="44">
        <f>ORÇAMENTO!H130</f>
        <v>0.2122</v>
      </c>
      <c r="K709" s="44">
        <f>ORÇAMENTO!I130</f>
        <v>1.03</v>
      </c>
      <c r="L709" s="44">
        <f>ORÇAMENTO!J130</f>
        <v>849.78</v>
      </c>
      <c r="M709" s="23">
        <f>ORÇAMENTO!K130</f>
        <v>3.0042269970204159E-5</v>
      </c>
      <c r="N709" s="23" t="str">
        <f t="shared" si="45"/>
        <v>OK!</v>
      </c>
      <c r="O709" s="23" t="str">
        <f t="shared" si="46"/>
        <v>OK!</v>
      </c>
      <c r="P709" s="23" t="str">
        <f t="shared" si="47"/>
        <v>OK!</v>
      </c>
    </row>
    <row r="710" spans="2:16" ht="43.5" x14ac:dyDescent="0.35">
      <c r="B710" s="43">
        <f t="shared" si="44"/>
        <v>130</v>
      </c>
      <c r="C710" s="44" t="str">
        <f>ORÇAMENTO!A153</f>
        <v>4.1.2.1.18</v>
      </c>
      <c r="D710" s="44" t="str">
        <f>ORÇAMENTO!B153</f>
        <v xml:space="preserve"> 93593 </v>
      </c>
      <c r="E710" s="44" t="str">
        <f>ORÇAMENTO!C153</f>
        <v>SINAPI</v>
      </c>
      <c r="F710" s="480" t="str">
        <f>ORÇAMENTO!D153</f>
        <v>TRANSPORTE COM CAMINHÃO BASCULANTE DE 14 M³, EM VIA URBANA PAVIMENTADA, ADICIONAL PARA DMT EXCEDENTE A 30 KM (UNIDADE: M3XKM). AF_07/2020</v>
      </c>
      <c r="G710" s="44" t="str">
        <f>ORÇAMENTO!E153</f>
        <v>M3XKM</v>
      </c>
      <c r="H710" s="44">
        <f>ORÇAMENTO!F153</f>
        <v>37211.857473817014</v>
      </c>
      <c r="I710" s="44">
        <f>ORÇAMENTO!G153</f>
        <v>0.85</v>
      </c>
      <c r="J710" s="44">
        <f>ORÇAMENTO!H153</f>
        <v>0.2122</v>
      </c>
      <c r="K710" s="44">
        <f>ORÇAMENTO!I153</f>
        <v>1.03</v>
      </c>
      <c r="L710" s="44">
        <f>ORÇAMENTO!J153</f>
        <v>38328.21</v>
      </c>
      <c r="M710" s="23">
        <f>ORÇAMENTO!K153</f>
        <v>1.3550171012434733E-3</v>
      </c>
      <c r="N710" s="23" t="str">
        <f t="shared" si="45"/>
        <v>OK!</v>
      </c>
      <c r="O710" s="23" t="str">
        <f t="shared" si="46"/>
        <v>OK!</v>
      </c>
      <c r="P710" s="23" t="str">
        <f t="shared" si="47"/>
        <v>OK!</v>
      </c>
    </row>
    <row r="711" spans="2:16" ht="43.5" x14ac:dyDescent="0.35">
      <c r="B711" s="43">
        <f t="shared" si="44"/>
        <v>130</v>
      </c>
      <c r="C711" s="44" t="str">
        <f>ORÇAMENTO!A240</f>
        <v>4.1.2.6.38</v>
      </c>
      <c r="D711" s="44" t="str">
        <f>ORÇAMENTO!B240</f>
        <v xml:space="preserve"> 93593 </v>
      </c>
      <c r="E711" s="44" t="str">
        <f>ORÇAMENTO!C240</f>
        <v>SINAPI</v>
      </c>
      <c r="F711" s="480" t="str">
        <f>ORÇAMENTO!D240</f>
        <v>TRANSPORTE COM CAMINHÃO BASCULANTE DE 14 M³, EM VIA URBANA PAVIMENTADA, ADICIONAL PARA DMT EXCEDENTE A 30 KM (UNIDADE: M3XKM). AF_07/2020</v>
      </c>
      <c r="G711" s="44" t="str">
        <f>ORÇAMENTO!E240</f>
        <v>M3XKM</v>
      </c>
      <c r="H711" s="44">
        <f>ORÇAMENTO!F240</f>
        <v>8913.0409818319986</v>
      </c>
      <c r="I711" s="44">
        <f>ORÇAMENTO!G240</f>
        <v>0.85</v>
      </c>
      <c r="J711" s="44">
        <f>ORÇAMENTO!H240</f>
        <v>0.2122</v>
      </c>
      <c r="K711" s="44">
        <f>ORÇAMENTO!I240</f>
        <v>1.03</v>
      </c>
      <c r="L711" s="44">
        <f>ORÇAMENTO!J240</f>
        <v>9180.43</v>
      </c>
      <c r="M711" s="23">
        <f>ORÇAMENTO!K240</f>
        <v>3.2455571618837979E-4</v>
      </c>
      <c r="N711" s="23" t="str">
        <f t="shared" si="45"/>
        <v>OK!</v>
      </c>
      <c r="O711" s="23" t="str">
        <f t="shared" si="46"/>
        <v>OK!</v>
      </c>
      <c r="P711" s="23" t="str">
        <f t="shared" si="47"/>
        <v>OK!</v>
      </c>
    </row>
    <row r="712" spans="2:16" ht="43.5" x14ac:dyDescent="0.35">
      <c r="B712" s="43">
        <f t="shared" si="44"/>
        <v>130</v>
      </c>
      <c r="C712" s="44" t="str">
        <f>ORÇAMENTO!A270</f>
        <v>4.2.1.4</v>
      </c>
      <c r="D712" s="44" t="str">
        <f>ORÇAMENTO!B270</f>
        <v xml:space="preserve"> 93593 </v>
      </c>
      <c r="E712" s="44" t="str">
        <f>ORÇAMENTO!C270</f>
        <v>SINAPI</v>
      </c>
      <c r="F712" s="480" t="str">
        <f>ORÇAMENTO!D270</f>
        <v>TRANSPORTE COM CAMINHÃO BASCULANTE DE 14 M³, EM VIA URBANA PAVIMENTADA, ADICIONAL PARA DMT EXCEDENTE A 30 KM (UNIDADE: M3XKM). AF_07/2020</v>
      </c>
      <c r="G712" s="44" t="str">
        <f>ORÇAMENTO!E270</f>
        <v>M3XKM</v>
      </c>
      <c r="H712" s="44">
        <f>ORÇAMENTO!F270</f>
        <v>54099.02</v>
      </c>
      <c r="I712" s="44">
        <f>ORÇAMENTO!G270</f>
        <v>0.85</v>
      </c>
      <c r="J712" s="44">
        <f>ORÇAMENTO!H270</f>
        <v>0.2122</v>
      </c>
      <c r="K712" s="44">
        <f>ORÇAMENTO!I270</f>
        <v>1.03</v>
      </c>
      <c r="L712" s="44">
        <f>ORÇAMENTO!J270</f>
        <v>55721.99</v>
      </c>
      <c r="M712" s="23">
        <f>ORÇAMENTO!K270</f>
        <v>1.9699393570771452E-3</v>
      </c>
      <c r="N712" s="23" t="str">
        <f t="shared" si="45"/>
        <v>OK!</v>
      </c>
      <c r="O712" s="23" t="str">
        <f t="shared" si="46"/>
        <v>OK!</v>
      </c>
      <c r="P712" s="23" t="str">
        <f t="shared" si="47"/>
        <v>OK!</v>
      </c>
    </row>
    <row r="713" spans="2:16" ht="43.5" x14ac:dyDescent="0.35">
      <c r="B713" s="43">
        <f t="shared" si="44"/>
        <v>130</v>
      </c>
      <c r="C713" s="44" t="str">
        <f>ORÇAMENTO!A275</f>
        <v>4.2.2.3</v>
      </c>
      <c r="D713" s="44" t="str">
        <f>ORÇAMENTO!B275</f>
        <v xml:space="preserve"> 93593 </v>
      </c>
      <c r="E713" s="44" t="str">
        <f>ORÇAMENTO!C275</f>
        <v>SINAPI</v>
      </c>
      <c r="F713" s="480" t="str">
        <f>ORÇAMENTO!D275</f>
        <v>TRANSPORTE COM CAMINHÃO BASCULANTE DE 14 M³, EM VIA URBANA PAVIMENTADA, ADICIONAL PARA DMT EXCEDENTE A 30 KM (UNIDADE: M3XKM). AF_07/2020</v>
      </c>
      <c r="G713" s="44" t="str">
        <f>ORÇAMENTO!E275</f>
        <v>M3XKM</v>
      </c>
      <c r="H713" s="44">
        <f>ORÇAMENTO!F275</f>
        <v>37900.243969520656</v>
      </c>
      <c r="I713" s="44">
        <f>ORÇAMENTO!G275</f>
        <v>0.85</v>
      </c>
      <c r="J713" s="44">
        <f>ORÇAMENTO!H275</f>
        <v>0.2122</v>
      </c>
      <c r="K713" s="44">
        <f>ORÇAMENTO!I275</f>
        <v>1.03</v>
      </c>
      <c r="L713" s="44">
        <f>ORÇAMENTO!J275</f>
        <v>39037.25</v>
      </c>
      <c r="M713" s="23">
        <f>ORÇAMENTO!K275</f>
        <v>1.3800837903861615E-3</v>
      </c>
      <c r="N713" s="23" t="str">
        <f t="shared" si="45"/>
        <v>OK!</v>
      </c>
      <c r="O713" s="23" t="str">
        <f t="shared" si="46"/>
        <v>OK!</v>
      </c>
      <c r="P713" s="23" t="str">
        <f t="shared" si="47"/>
        <v>OK!</v>
      </c>
    </row>
    <row r="714" spans="2:16" ht="43.5" x14ac:dyDescent="0.35">
      <c r="B714" s="43">
        <f t="shared" si="44"/>
        <v>130</v>
      </c>
      <c r="C714" s="44" t="str">
        <f>ORÇAMENTO!A321</f>
        <v>4.4.17</v>
      </c>
      <c r="D714" s="44" t="str">
        <f>ORÇAMENTO!B321</f>
        <v xml:space="preserve"> 93593 </v>
      </c>
      <c r="E714" s="44" t="str">
        <f>ORÇAMENTO!C321</f>
        <v>SINAPI</v>
      </c>
      <c r="F714" s="480" t="str">
        <f>ORÇAMENTO!D321</f>
        <v>TRANSPORTE COM CAMINHÃO BASCULANTE DE 14 M³, EM VIA URBANA PAVIMENTADA, ADICIONAL PARA DMT EXCEDENTE A 30 KM (UNIDADE: M3XKM). AF_07/2020</v>
      </c>
      <c r="G714" s="44" t="str">
        <f>ORÇAMENTO!E321</f>
        <v>M3XKM</v>
      </c>
      <c r="H714" s="44">
        <f>ORÇAMENTO!F321</f>
        <v>174.99980358994142</v>
      </c>
      <c r="I714" s="44">
        <f>ORÇAMENTO!G321</f>
        <v>0.85</v>
      </c>
      <c r="J714" s="44">
        <f>ORÇAMENTO!H321</f>
        <v>0.2122</v>
      </c>
      <c r="K714" s="44">
        <f>ORÇAMENTO!I321</f>
        <v>1.03</v>
      </c>
      <c r="L714" s="44">
        <f>ORÇAMENTO!J321</f>
        <v>180.24</v>
      </c>
      <c r="M714" s="23">
        <f>ORÇAMENTO!K321</f>
        <v>6.372024217361668E-6</v>
      </c>
      <c r="N714" s="23" t="str">
        <f t="shared" si="45"/>
        <v>OK!</v>
      </c>
      <c r="O714" s="23" t="str">
        <f t="shared" si="46"/>
        <v>OK!</v>
      </c>
      <c r="P714" s="23" t="str">
        <f t="shared" si="47"/>
        <v>OK!</v>
      </c>
    </row>
    <row r="715" spans="2:16" ht="43.5" x14ac:dyDescent="0.35">
      <c r="B715" s="43">
        <f t="shared" si="44"/>
        <v>130</v>
      </c>
      <c r="C715" s="44" t="str">
        <f>ORÇAMENTO!A347</f>
        <v>5.1.1.2.4</v>
      </c>
      <c r="D715" s="44" t="str">
        <f>ORÇAMENTO!B347</f>
        <v xml:space="preserve"> 93593 </v>
      </c>
      <c r="E715" s="44" t="str">
        <f>ORÇAMENTO!C347</f>
        <v>SINAPI</v>
      </c>
      <c r="F715" s="480" t="str">
        <f>ORÇAMENTO!D347</f>
        <v>TRANSPORTE COM CAMINHÃO BASCULANTE DE 14 M³, EM VIA URBANA PAVIMENTADA, ADICIONAL PARA DMT EXCEDENTE A 30 KM (UNIDADE: M3XKM). AF_07/2020</v>
      </c>
      <c r="G715" s="44" t="str">
        <f>ORÇAMENTO!E347</f>
        <v>M3XKM</v>
      </c>
      <c r="H715" s="44">
        <f>ORÇAMENTO!F347</f>
        <v>4681.4664959999982</v>
      </c>
      <c r="I715" s="44">
        <f>ORÇAMENTO!G347</f>
        <v>0.85</v>
      </c>
      <c r="J715" s="44">
        <f>ORÇAMENTO!H347</f>
        <v>0.2122</v>
      </c>
      <c r="K715" s="44">
        <f>ORÇAMENTO!I347</f>
        <v>1.03</v>
      </c>
      <c r="L715" s="44">
        <f>ORÇAMENTO!J347</f>
        <v>4821.91</v>
      </c>
      <c r="M715" s="23">
        <f>ORÇAMENTO!K347</f>
        <v>1.7046897078305814E-4</v>
      </c>
      <c r="N715" s="23" t="str">
        <f t="shared" si="45"/>
        <v>OK!</v>
      </c>
      <c r="O715" s="23" t="str">
        <f t="shared" si="46"/>
        <v>OK!</v>
      </c>
      <c r="P715" s="23" t="str">
        <f t="shared" si="47"/>
        <v>OK!</v>
      </c>
    </row>
    <row r="716" spans="2:16" ht="43.5" x14ac:dyDescent="0.35">
      <c r="B716" s="43">
        <f t="shared" si="44"/>
        <v>130</v>
      </c>
      <c r="C716" s="44" t="str">
        <f>ORÇAMENTO!A353</f>
        <v>5.1.1.3.5</v>
      </c>
      <c r="D716" s="44" t="str">
        <f>ORÇAMENTO!B353</f>
        <v xml:space="preserve"> 93593 </v>
      </c>
      <c r="E716" s="44" t="str">
        <f>ORÇAMENTO!C353</f>
        <v>SINAPI</v>
      </c>
      <c r="F716" s="480" t="str">
        <f>ORÇAMENTO!D353</f>
        <v>TRANSPORTE COM CAMINHÃO BASCULANTE DE 14 M³, EM VIA URBANA PAVIMENTADA, ADICIONAL PARA DMT EXCEDENTE A 30 KM (UNIDADE: M3XKM). AF_07/2020</v>
      </c>
      <c r="G716" s="44" t="str">
        <f>ORÇAMENTO!E353</f>
        <v>M3XKM</v>
      </c>
      <c r="H716" s="44">
        <f>ORÇAMENTO!F353</f>
        <v>2533.4564409198438</v>
      </c>
      <c r="I716" s="44">
        <f>ORÇAMENTO!G353</f>
        <v>0.85</v>
      </c>
      <c r="J716" s="44">
        <f>ORÇAMENTO!H353</f>
        <v>0.2122</v>
      </c>
      <c r="K716" s="44">
        <f>ORÇAMENTO!I353</f>
        <v>1.03</v>
      </c>
      <c r="L716" s="44">
        <f>ORÇAMENTO!J353</f>
        <v>2609.46</v>
      </c>
      <c r="M716" s="23">
        <f>ORÇAMENTO!K353</f>
        <v>9.2252232102954827E-5</v>
      </c>
      <c r="N716" s="23" t="str">
        <f t="shared" si="45"/>
        <v>OK!</v>
      </c>
      <c r="O716" s="23" t="str">
        <f t="shared" si="46"/>
        <v>OK!</v>
      </c>
      <c r="P716" s="23" t="str">
        <f t="shared" si="47"/>
        <v>OK!</v>
      </c>
    </row>
    <row r="717" spans="2:16" ht="43.5" x14ac:dyDescent="0.35">
      <c r="B717" s="43">
        <f t="shared" si="44"/>
        <v>130</v>
      </c>
      <c r="C717" s="44" t="str">
        <f>ORÇAMENTO!A358</f>
        <v>5.1.1.4.4</v>
      </c>
      <c r="D717" s="44" t="str">
        <f>ORÇAMENTO!B358</f>
        <v xml:space="preserve"> 93593 </v>
      </c>
      <c r="E717" s="44" t="str">
        <f>ORÇAMENTO!C358</f>
        <v>SINAPI</v>
      </c>
      <c r="F717" s="480" t="str">
        <f>ORÇAMENTO!D358</f>
        <v>TRANSPORTE COM CAMINHÃO BASCULANTE DE 14 M³, EM VIA URBANA PAVIMENTADA, ADICIONAL PARA DMT EXCEDENTE A 30 KM (UNIDADE: M3XKM). AF_07/2020</v>
      </c>
      <c r="G717" s="44" t="str">
        <f>ORÇAMENTO!E358</f>
        <v>M3XKM</v>
      </c>
      <c r="H717" s="44">
        <f>ORÇAMENTO!F358</f>
        <v>14324.426452049631</v>
      </c>
      <c r="I717" s="44">
        <f>ORÇAMENTO!G358</f>
        <v>0.85</v>
      </c>
      <c r="J717" s="44">
        <f>ORÇAMENTO!H358</f>
        <v>0.2122</v>
      </c>
      <c r="K717" s="44">
        <f>ORÇAMENTO!I358</f>
        <v>1.03</v>
      </c>
      <c r="L717" s="44">
        <f>ORÇAMENTO!J358</f>
        <v>14754.15</v>
      </c>
      <c r="M717" s="23">
        <f>ORÇAMENTO!K358</f>
        <v>5.2160342380485269E-4</v>
      </c>
      <c r="N717" s="23" t="str">
        <f t="shared" si="45"/>
        <v>OK!</v>
      </c>
      <c r="O717" s="23" t="str">
        <f t="shared" si="46"/>
        <v>OK!</v>
      </c>
      <c r="P717" s="23" t="str">
        <f t="shared" si="47"/>
        <v>OK!</v>
      </c>
    </row>
    <row r="718" spans="2:16" ht="43.5" x14ac:dyDescent="0.35">
      <c r="B718" s="43">
        <f t="shared" si="44"/>
        <v>130</v>
      </c>
      <c r="C718" s="44" t="str">
        <f>ORÇAMENTO!A366</f>
        <v>5.1.1.5.7</v>
      </c>
      <c r="D718" s="44" t="str">
        <f>ORÇAMENTO!B366</f>
        <v xml:space="preserve"> 93593 </v>
      </c>
      <c r="E718" s="44" t="str">
        <f>ORÇAMENTO!C366</f>
        <v>SINAPI</v>
      </c>
      <c r="F718" s="480" t="str">
        <f>ORÇAMENTO!D366</f>
        <v>TRANSPORTE COM CAMINHÃO BASCULANTE DE 14 M³, EM VIA URBANA PAVIMENTADA, ADICIONAL PARA DMT EXCEDENTE A 30 KM (UNIDADE: M3XKM). AF_07/2020</v>
      </c>
      <c r="G718" s="44" t="str">
        <f>ORÇAMENTO!E366</f>
        <v>M3XKM</v>
      </c>
      <c r="H718" s="44">
        <f>ORÇAMENTO!F366</f>
        <v>1160.2351487999999</v>
      </c>
      <c r="I718" s="44">
        <f>ORÇAMENTO!G366</f>
        <v>0.85</v>
      </c>
      <c r="J718" s="44">
        <f>ORÇAMENTO!H366</f>
        <v>0.2122</v>
      </c>
      <c r="K718" s="44">
        <f>ORÇAMENTO!I366</f>
        <v>1.03</v>
      </c>
      <c r="L718" s="44">
        <f>ORÇAMENTO!J366</f>
        <v>1195.04</v>
      </c>
      <c r="M718" s="23">
        <f>ORÇAMENTO!K366</f>
        <v>4.2248245787371764E-5</v>
      </c>
      <c r="N718" s="23" t="str">
        <f t="shared" si="45"/>
        <v>OK!</v>
      </c>
      <c r="O718" s="23" t="str">
        <f t="shared" si="46"/>
        <v>OK!</v>
      </c>
      <c r="P718" s="23" t="str">
        <f t="shared" si="47"/>
        <v>OK!</v>
      </c>
    </row>
    <row r="719" spans="2:16" ht="43.5" x14ac:dyDescent="0.35">
      <c r="B719" s="43">
        <f t="shared" si="44"/>
        <v>130</v>
      </c>
      <c r="C719" s="44" t="str">
        <f>ORÇAMENTO!A372</f>
        <v>5.1.1.6.5</v>
      </c>
      <c r="D719" s="44" t="str">
        <f>ORÇAMENTO!B372</f>
        <v xml:space="preserve"> 93593 </v>
      </c>
      <c r="E719" s="44" t="str">
        <f>ORÇAMENTO!C372</f>
        <v>SINAPI</v>
      </c>
      <c r="F719" s="480" t="str">
        <f>ORÇAMENTO!D372</f>
        <v>TRANSPORTE COM CAMINHÃO BASCULANTE DE 14 M³, EM VIA URBANA PAVIMENTADA, ADICIONAL PARA DMT EXCEDENTE A 30 KM (UNIDADE: M3XKM). AF_07/2020</v>
      </c>
      <c r="G719" s="44" t="str">
        <f>ORÇAMENTO!E372</f>
        <v>M3XKM</v>
      </c>
      <c r="H719" s="44">
        <f>ORÇAMENTO!F372</f>
        <v>1386.924492800001</v>
      </c>
      <c r="I719" s="44">
        <f>ORÇAMENTO!G372</f>
        <v>0.85</v>
      </c>
      <c r="J719" s="44">
        <f>ORÇAMENTO!H372</f>
        <v>0.2122</v>
      </c>
      <c r="K719" s="44">
        <f>ORÇAMENTO!I372</f>
        <v>1.03</v>
      </c>
      <c r="L719" s="44">
        <f>ORÇAMENTO!J372</f>
        <v>1428.53</v>
      </c>
      <c r="M719" s="23">
        <f>ORÇAMENTO!K372</f>
        <v>5.0502817106234256E-5</v>
      </c>
      <c r="N719" s="23" t="str">
        <f t="shared" si="45"/>
        <v>OK!</v>
      </c>
      <c r="O719" s="23" t="str">
        <f t="shared" si="46"/>
        <v>OK!</v>
      </c>
      <c r="P719" s="23" t="str">
        <f t="shared" si="47"/>
        <v>OK!</v>
      </c>
    </row>
    <row r="720" spans="2:16" ht="43.5" x14ac:dyDescent="0.35">
      <c r="B720" s="43">
        <f t="shared" si="44"/>
        <v>130</v>
      </c>
      <c r="C720" s="44" t="str">
        <f>ORÇAMENTO!A392</f>
        <v>5.1.2.1.15</v>
      </c>
      <c r="D720" s="44" t="str">
        <f>ORÇAMENTO!B392</f>
        <v xml:space="preserve"> 93593 </v>
      </c>
      <c r="E720" s="44" t="str">
        <f>ORÇAMENTO!C392</f>
        <v>SINAPI</v>
      </c>
      <c r="F720" s="480" t="str">
        <f>ORÇAMENTO!D392</f>
        <v>TRANSPORTE COM CAMINHÃO BASCULANTE DE 14 M³, EM VIA URBANA PAVIMENTADA, ADICIONAL PARA DMT EXCEDENTE A 30 KM (UNIDADE: M3XKM). AF_07/2020</v>
      </c>
      <c r="G720" s="44" t="str">
        <f>ORÇAMENTO!E392</f>
        <v>M3XKM</v>
      </c>
      <c r="H720" s="44">
        <f>ORÇAMENTO!F392</f>
        <v>35722.606776000001</v>
      </c>
      <c r="I720" s="44">
        <f>ORÇAMENTO!G392</f>
        <v>0.85</v>
      </c>
      <c r="J720" s="44">
        <f>ORÇAMENTO!H392</f>
        <v>0.2122</v>
      </c>
      <c r="K720" s="44">
        <f>ORÇAMENTO!I392</f>
        <v>1.03</v>
      </c>
      <c r="L720" s="44">
        <f>ORÇAMENTO!J392</f>
        <v>36794.28</v>
      </c>
      <c r="M720" s="23">
        <f>ORÇAMENTO!K392</f>
        <v>1.3007880782311698E-3</v>
      </c>
      <c r="N720" s="23" t="str">
        <f t="shared" si="45"/>
        <v>OK!</v>
      </c>
      <c r="O720" s="23" t="str">
        <f t="shared" si="46"/>
        <v>OK!</v>
      </c>
      <c r="P720" s="23" t="str">
        <f t="shared" si="47"/>
        <v>OK!</v>
      </c>
    </row>
    <row r="721" spans="2:16" ht="43.5" x14ac:dyDescent="0.35">
      <c r="B721" s="43">
        <f t="shared" si="44"/>
        <v>130</v>
      </c>
      <c r="C721" s="44" t="str">
        <f>ORÇAMENTO!A483</f>
        <v>5.1.2.6.39</v>
      </c>
      <c r="D721" s="44" t="str">
        <f>ORÇAMENTO!B483</f>
        <v xml:space="preserve"> 93593 </v>
      </c>
      <c r="E721" s="44" t="str">
        <f>ORÇAMENTO!C483</f>
        <v>SINAPI</v>
      </c>
      <c r="F721" s="480" t="str">
        <f>ORÇAMENTO!D483</f>
        <v>TRANSPORTE COM CAMINHÃO BASCULANTE DE 14 M³, EM VIA URBANA PAVIMENTADA, ADICIONAL PARA DMT EXCEDENTE A 30 KM (UNIDADE: M3XKM). AF_07/2020</v>
      </c>
      <c r="G721" s="44" t="str">
        <f>ORÇAMENTO!E483</f>
        <v>M3XKM</v>
      </c>
      <c r="H721" s="44">
        <f>ORÇAMENTO!F483</f>
        <v>4548.9407826496326</v>
      </c>
      <c r="I721" s="44">
        <f>ORÇAMENTO!G483</f>
        <v>0.85</v>
      </c>
      <c r="J721" s="44">
        <f>ORÇAMENTO!H483</f>
        <v>0.2122</v>
      </c>
      <c r="K721" s="44">
        <f>ORÇAMENTO!I483</f>
        <v>1.03</v>
      </c>
      <c r="L721" s="44">
        <f>ORÇAMENTO!J483</f>
        <v>4685.3999999999996</v>
      </c>
      <c r="M721" s="23">
        <f>ORÇAMENTO!K483</f>
        <v>1.6564293313374586E-4</v>
      </c>
      <c r="N721" s="23" t="str">
        <f t="shared" si="45"/>
        <v>OK!</v>
      </c>
      <c r="O721" s="23" t="str">
        <f t="shared" si="46"/>
        <v>OK!</v>
      </c>
      <c r="P721" s="23" t="str">
        <f t="shared" si="47"/>
        <v>OK!</v>
      </c>
    </row>
    <row r="722" spans="2:16" ht="43.5" x14ac:dyDescent="0.35">
      <c r="B722" s="43">
        <f t="shared" si="44"/>
        <v>130</v>
      </c>
      <c r="C722" s="44" t="str">
        <f>ORÇAMENTO!A534</f>
        <v>5.4.17</v>
      </c>
      <c r="D722" s="44" t="str">
        <f>ORÇAMENTO!B534</f>
        <v xml:space="preserve"> 93593 </v>
      </c>
      <c r="E722" s="44" t="str">
        <f>ORÇAMENTO!C534</f>
        <v>SINAPI</v>
      </c>
      <c r="F722" s="480" t="str">
        <f>ORÇAMENTO!D534</f>
        <v>TRANSPORTE COM CAMINHÃO BASCULANTE DE 14 M³, EM VIA URBANA PAVIMENTADA, ADICIONAL PARA DMT EXCEDENTE A 30 KM (UNIDADE: M3XKM). AF_07/2020</v>
      </c>
      <c r="G722" s="44" t="str">
        <f>ORÇAMENTO!E534</f>
        <v>M3XKM</v>
      </c>
      <c r="H722" s="44">
        <f>ORÇAMENTO!F534</f>
        <v>64.094078203616888</v>
      </c>
      <c r="I722" s="44">
        <f>ORÇAMENTO!G534</f>
        <v>0.85</v>
      </c>
      <c r="J722" s="44">
        <f>ORÇAMENTO!H534</f>
        <v>0.2122</v>
      </c>
      <c r="K722" s="44">
        <f>ORÇAMENTO!I534</f>
        <v>1.03</v>
      </c>
      <c r="L722" s="44">
        <f>ORÇAMENTO!J534</f>
        <v>66.010000000000005</v>
      </c>
      <c r="M722" s="23">
        <f>ORÇAMENTO!K534</f>
        <v>2.3336513459167982E-6</v>
      </c>
      <c r="N722" s="23" t="str">
        <f t="shared" si="45"/>
        <v>OK!</v>
      </c>
      <c r="O722" s="23" t="str">
        <f t="shared" si="46"/>
        <v>OK!</v>
      </c>
      <c r="P722" s="23" t="str">
        <f t="shared" si="47"/>
        <v>OK!</v>
      </c>
    </row>
    <row r="723" spans="2:16" ht="43.5" x14ac:dyDescent="0.35">
      <c r="B723" s="43">
        <f t="shared" si="44"/>
        <v>130</v>
      </c>
      <c r="C723" s="44" t="str">
        <f>ORÇAMENTO!A560</f>
        <v>6.1.1.2.4</v>
      </c>
      <c r="D723" s="44" t="str">
        <f>ORÇAMENTO!B560</f>
        <v xml:space="preserve"> 93593 </v>
      </c>
      <c r="E723" s="44" t="str">
        <f>ORÇAMENTO!C560</f>
        <v>SINAPI</v>
      </c>
      <c r="F723" s="480" t="str">
        <f>ORÇAMENTO!D560</f>
        <v>TRANSPORTE COM CAMINHÃO BASCULANTE DE 14 M³, EM VIA URBANA PAVIMENTADA, ADICIONAL PARA DMT EXCEDENTE A 30 KM (UNIDADE: M3XKM). AF_07/2020</v>
      </c>
      <c r="G723" s="44" t="str">
        <f>ORÇAMENTO!E560</f>
        <v>M3XKM</v>
      </c>
      <c r="H723" s="44">
        <f>ORÇAMENTO!F560</f>
        <v>1653.2420278620673</v>
      </c>
      <c r="I723" s="44">
        <f>ORÇAMENTO!G560</f>
        <v>0.85</v>
      </c>
      <c r="J723" s="44">
        <f>ORÇAMENTO!H560</f>
        <v>0.2122</v>
      </c>
      <c r="K723" s="44">
        <f>ORÇAMENTO!I560</f>
        <v>1.03</v>
      </c>
      <c r="L723" s="44">
        <f>ORÇAMENTO!J560</f>
        <v>1702.83</v>
      </c>
      <c r="M723" s="23">
        <f>ORÇAMENTO!K560</f>
        <v>6.0200144241289214E-5</v>
      </c>
      <c r="N723" s="23" t="str">
        <f t="shared" si="45"/>
        <v>OK!</v>
      </c>
      <c r="O723" s="23" t="str">
        <f t="shared" si="46"/>
        <v>OK!</v>
      </c>
      <c r="P723" s="23" t="str">
        <f t="shared" si="47"/>
        <v>OK!</v>
      </c>
    </row>
    <row r="724" spans="2:16" ht="43.5" x14ac:dyDescent="0.35">
      <c r="B724" s="43">
        <f t="shared" si="44"/>
        <v>130</v>
      </c>
      <c r="C724" s="44" t="str">
        <f>ORÇAMENTO!A565</f>
        <v>6.1.1.3.4</v>
      </c>
      <c r="D724" s="44" t="str">
        <f>ORÇAMENTO!B565</f>
        <v xml:space="preserve"> 93593 </v>
      </c>
      <c r="E724" s="44" t="str">
        <f>ORÇAMENTO!C565</f>
        <v>SINAPI</v>
      </c>
      <c r="F724" s="480" t="str">
        <f>ORÇAMENTO!D565</f>
        <v>TRANSPORTE COM CAMINHÃO BASCULANTE DE 14 M³, EM VIA URBANA PAVIMENTADA, ADICIONAL PARA DMT EXCEDENTE A 30 KM (UNIDADE: M3XKM). AF_07/2020</v>
      </c>
      <c r="G724" s="44" t="str">
        <f>ORÇAMENTO!E565</f>
        <v>M3XKM</v>
      </c>
      <c r="H724" s="44">
        <f>ORÇAMENTO!F565</f>
        <v>727.32133568406084</v>
      </c>
      <c r="I724" s="44">
        <f>ORÇAMENTO!G565</f>
        <v>0.85</v>
      </c>
      <c r="J724" s="44">
        <f>ORÇAMENTO!H565</f>
        <v>0.2122</v>
      </c>
      <c r="K724" s="44">
        <f>ORÇAMENTO!I565</f>
        <v>1.03</v>
      </c>
      <c r="L724" s="44">
        <f>ORÇAMENTO!J565</f>
        <v>749.14</v>
      </c>
      <c r="M724" s="23">
        <f>ORÇAMENTO!K565</f>
        <v>2.6484344330860627E-5</v>
      </c>
      <c r="N724" s="23" t="str">
        <f t="shared" si="45"/>
        <v>OK!</v>
      </c>
      <c r="O724" s="23" t="str">
        <f t="shared" si="46"/>
        <v>OK!</v>
      </c>
      <c r="P724" s="23" t="str">
        <f t="shared" si="47"/>
        <v>OK!</v>
      </c>
    </row>
    <row r="725" spans="2:16" ht="43.5" x14ac:dyDescent="0.35">
      <c r="B725" s="43">
        <f t="shared" si="44"/>
        <v>130</v>
      </c>
      <c r="C725" s="44" t="str">
        <f>ORÇAMENTO!A570</f>
        <v>6.1.1.4.4</v>
      </c>
      <c r="D725" s="44" t="str">
        <f>ORÇAMENTO!B570</f>
        <v xml:space="preserve"> 93593 </v>
      </c>
      <c r="E725" s="44" t="str">
        <f>ORÇAMENTO!C570</f>
        <v>SINAPI</v>
      </c>
      <c r="F725" s="480" t="str">
        <f>ORÇAMENTO!D570</f>
        <v>TRANSPORTE COM CAMINHÃO BASCULANTE DE 14 M³, EM VIA URBANA PAVIMENTADA, ADICIONAL PARA DMT EXCEDENTE A 30 KM (UNIDADE: M3XKM). AF_07/2020</v>
      </c>
      <c r="G725" s="44" t="str">
        <f>ORÇAMENTO!E570</f>
        <v>M3XKM</v>
      </c>
      <c r="H725" s="44">
        <f>ORÇAMENTO!F570</f>
        <v>4191.9181258873377</v>
      </c>
      <c r="I725" s="44">
        <f>ORÇAMENTO!G570</f>
        <v>0.85</v>
      </c>
      <c r="J725" s="44">
        <f>ORÇAMENTO!H570</f>
        <v>0.2122</v>
      </c>
      <c r="K725" s="44">
        <f>ORÇAMENTO!I570</f>
        <v>1.03</v>
      </c>
      <c r="L725" s="44">
        <f>ORÇAMENTO!J570</f>
        <v>4317.67</v>
      </c>
      <c r="M725" s="23">
        <f>ORÇAMENTO!K570</f>
        <v>1.5264257546924073E-4</v>
      </c>
      <c r="N725" s="23" t="str">
        <f t="shared" si="45"/>
        <v>OK!</v>
      </c>
      <c r="O725" s="23" t="str">
        <f t="shared" si="46"/>
        <v>OK!</v>
      </c>
      <c r="P725" s="23" t="str">
        <f t="shared" si="47"/>
        <v>OK!</v>
      </c>
    </row>
    <row r="726" spans="2:16" ht="43.5" x14ac:dyDescent="0.35">
      <c r="B726" s="43">
        <f t="shared" si="44"/>
        <v>130</v>
      </c>
      <c r="C726" s="44" t="str">
        <f>ORÇAMENTO!A578</f>
        <v>6.1.1.5.7</v>
      </c>
      <c r="D726" s="44" t="str">
        <f>ORÇAMENTO!B578</f>
        <v xml:space="preserve"> 93593 </v>
      </c>
      <c r="E726" s="44" t="str">
        <f>ORÇAMENTO!C578</f>
        <v>SINAPI</v>
      </c>
      <c r="F726" s="480" t="str">
        <f>ORÇAMENTO!D578</f>
        <v>TRANSPORTE COM CAMINHÃO BASCULANTE DE 14 M³, EM VIA URBANA PAVIMENTADA, ADICIONAL PARA DMT EXCEDENTE A 30 KM (UNIDADE: M3XKM). AF_07/2020</v>
      </c>
      <c r="G726" s="44" t="str">
        <f>ORÇAMENTO!E578</f>
        <v>M3XKM</v>
      </c>
      <c r="H726" s="44">
        <f>ORÇAMENTO!F578</f>
        <v>674.54150399999992</v>
      </c>
      <c r="I726" s="44">
        <f>ORÇAMENTO!G578</f>
        <v>0.85</v>
      </c>
      <c r="J726" s="44">
        <f>ORÇAMENTO!H578</f>
        <v>0.2122</v>
      </c>
      <c r="K726" s="44">
        <f>ORÇAMENTO!I578</f>
        <v>1.03</v>
      </c>
      <c r="L726" s="44">
        <f>ORÇAMENTO!J578</f>
        <v>694.77</v>
      </c>
      <c r="M726" s="23">
        <f>ORÇAMENTO!K578</f>
        <v>2.4562201872483166E-5</v>
      </c>
      <c r="N726" s="23" t="str">
        <f t="shared" si="45"/>
        <v>OK!</v>
      </c>
      <c r="O726" s="23" t="str">
        <f t="shared" si="46"/>
        <v>OK!</v>
      </c>
      <c r="P726" s="23" t="str">
        <f t="shared" si="47"/>
        <v>OK!</v>
      </c>
    </row>
    <row r="727" spans="2:16" ht="43.5" x14ac:dyDescent="0.35">
      <c r="B727" s="43">
        <f t="shared" si="44"/>
        <v>130</v>
      </c>
      <c r="C727" s="44" t="str">
        <f>ORÇAMENTO!A584</f>
        <v>6.1.1.6.5</v>
      </c>
      <c r="D727" s="44" t="str">
        <f>ORÇAMENTO!B584</f>
        <v xml:space="preserve"> 93593 </v>
      </c>
      <c r="E727" s="44" t="str">
        <f>ORÇAMENTO!C584</f>
        <v>SINAPI</v>
      </c>
      <c r="F727" s="480" t="str">
        <f>ORÇAMENTO!D584</f>
        <v>TRANSPORTE COM CAMINHÃO BASCULANTE DE 14 M³, EM VIA URBANA PAVIMENTADA, ADICIONAL PARA DMT EXCEDENTE A 30 KM (UNIDADE: M3XKM). AF_07/2020</v>
      </c>
      <c r="G727" s="44" t="str">
        <f>ORÇAMENTO!E584</f>
        <v>M3XKM</v>
      </c>
      <c r="H727" s="44">
        <f>ORÇAMENTO!F584</f>
        <v>31.121663999998255</v>
      </c>
      <c r="I727" s="44">
        <f>ORÇAMENTO!G584</f>
        <v>0.85</v>
      </c>
      <c r="J727" s="44">
        <f>ORÇAMENTO!H584</f>
        <v>0.2122</v>
      </c>
      <c r="K727" s="44">
        <f>ORÇAMENTO!I584</f>
        <v>1.03</v>
      </c>
      <c r="L727" s="44">
        <f>ORÇAMENTO!J584</f>
        <v>32.049999999999997</v>
      </c>
      <c r="M727" s="23">
        <f>ORÇAMENTO!K584</f>
        <v>1.1330635606216235E-6</v>
      </c>
      <c r="N727" s="23" t="str">
        <f t="shared" si="45"/>
        <v>OK!</v>
      </c>
      <c r="O727" s="23" t="str">
        <f t="shared" si="46"/>
        <v>OK!</v>
      </c>
      <c r="P727" s="23" t="str">
        <f t="shared" si="47"/>
        <v>OK!</v>
      </c>
    </row>
    <row r="728" spans="2:16" ht="43.5" x14ac:dyDescent="0.35">
      <c r="B728" s="43">
        <f t="shared" si="44"/>
        <v>130</v>
      </c>
      <c r="C728" s="44" t="str">
        <f>ORÇAMENTO!A589</f>
        <v>6.1.1.7.4</v>
      </c>
      <c r="D728" s="44" t="str">
        <f>ORÇAMENTO!B589</f>
        <v xml:space="preserve"> 93593 </v>
      </c>
      <c r="E728" s="44" t="str">
        <f>ORÇAMENTO!C589</f>
        <v>SINAPI</v>
      </c>
      <c r="F728" s="480" t="str">
        <f>ORÇAMENTO!D589</f>
        <v>TRANSPORTE COM CAMINHÃO BASCULANTE DE 14 M³, EM VIA URBANA PAVIMENTADA, ADICIONAL PARA DMT EXCEDENTE A 30 KM (UNIDADE: M3XKM). AF_07/2020</v>
      </c>
      <c r="G728" s="44" t="str">
        <f>ORÇAMENTO!E589</f>
        <v>M3XKM</v>
      </c>
      <c r="H728" s="44">
        <f>ORÇAMENTO!F589</f>
        <v>2543.2959999999975</v>
      </c>
      <c r="I728" s="44">
        <f>ORÇAMENTO!G589</f>
        <v>0.85</v>
      </c>
      <c r="J728" s="44">
        <f>ORÇAMENTO!H589</f>
        <v>0.2122</v>
      </c>
      <c r="K728" s="44">
        <f>ORÇAMENTO!I589</f>
        <v>1.03</v>
      </c>
      <c r="L728" s="44">
        <f>ORÇAMENTO!J589</f>
        <v>2619.59</v>
      </c>
      <c r="M728" s="23">
        <f>ORÇAMENTO!K589</f>
        <v>9.2610357964705128E-5</v>
      </c>
      <c r="N728" s="23" t="str">
        <f t="shared" si="45"/>
        <v>OK!</v>
      </c>
      <c r="O728" s="23" t="str">
        <f t="shared" si="46"/>
        <v>OK!</v>
      </c>
      <c r="P728" s="23" t="str">
        <f t="shared" si="47"/>
        <v>OK!</v>
      </c>
    </row>
    <row r="729" spans="2:16" ht="43.5" x14ac:dyDescent="0.35">
      <c r="B729" s="43">
        <f t="shared" si="44"/>
        <v>130</v>
      </c>
      <c r="C729" s="44" t="str">
        <f>ORÇAMENTO!A605</f>
        <v>6.1.2.1.11</v>
      </c>
      <c r="D729" s="44" t="str">
        <f>ORÇAMENTO!B605</f>
        <v xml:space="preserve"> 93593 </v>
      </c>
      <c r="E729" s="44" t="str">
        <f>ORÇAMENTO!C605</f>
        <v>SINAPI</v>
      </c>
      <c r="F729" s="480" t="str">
        <f>ORÇAMENTO!D605</f>
        <v>TRANSPORTE COM CAMINHÃO BASCULANTE DE 14 M³, EM VIA URBANA PAVIMENTADA, ADICIONAL PARA DMT EXCEDENTE A 30 KM (UNIDADE: M3XKM). AF_07/2020</v>
      </c>
      <c r="G729" s="44" t="str">
        <f>ORÇAMENTO!E605</f>
        <v>M3XKM</v>
      </c>
      <c r="H729" s="44">
        <f>ORÇAMENTO!F605</f>
        <v>7135.8185796748103</v>
      </c>
      <c r="I729" s="44">
        <f>ORÇAMENTO!G605</f>
        <v>0.85</v>
      </c>
      <c r="J729" s="44">
        <f>ORÇAMENTO!H605</f>
        <v>0.2122</v>
      </c>
      <c r="K729" s="44">
        <f>ORÇAMENTO!I605</f>
        <v>1.03</v>
      </c>
      <c r="L729" s="44">
        <f>ORÇAMENTO!J605</f>
        <v>7349.89</v>
      </c>
      <c r="M729" s="23">
        <f>ORÇAMENTO!K605</f>
        <v>2.5984064067323761E-4</v>
      </c>
      <c r="N729" s="23" t="str">
        <f t="shared" si="45"/>
        <v>OK!</v>
      </c>
      <c r="O729" s="23" t="str">
        <f t="shared" si="46"/>
        <v>OK!</v>
      </c>
      <c r="P729" s="23" t="str">
        <f t="shared" si="47"/>
        <v>OK!</v>
      </c>
    </row>
    <row r="730" spans="2:16" ht="43.5" x14ac:dyDescent="0.35">
      <c r="B730" s="43">
        <f t="shared" si="44"/>
        <v>130</v>
      </c>
      <c r="C730" s="44" t="str">
        <f>ORÇAMENTO!A678</f>
        <v>6.1.2.6.31</v>
      </c>
      <c r="D730" s="44" t="str">
        <f>ORÇAMENTO!B678</f>
        <v xml:space="preserve"> 93593 </v>
      </c>
      <c r="E730" s="44" t="str">
        <f>ORÇAMENTO!C678</f>
        <v>SINAPI</v>
      </c>
      <c r="F730" s="480" t="str">
        <f>ORÇAMENTO!D678</f>
        <v>TRANSPORTE COM CAMINHÃO BASCULANTE DE 14 M³, EM VIA URBANA PAVIMENTADA, ADICIONAL PARA DMT EXCEDENTE A 30 KM (UNIDADE: M3XKM). AF_07/2020</v>
      </c>
      <c r="G730" s="44" t="str">
        <f>ORÇAMENTO!E678</f>
        <v>M3XKM</v>
      </c>
      <c r="H730" s="44">
        <f>ORÇAMENTO!F678</f>
        <v>3551.8761886157304</v>
      </c>
      <c r="I730" s="44">
        <f>ORÇAMENTO!G678</f>
        <v>0.85</v>
      </c>
      <c r="J730" s="44">
        <f>ORÇAMENTO!H678</f>
        <v>0.2122</v>
      </c>
      <c r="K730" s="44">
        <f>ORÇAMENTO!I678</f>
        <v>1.03</v>
      </c>
      <c r="L730" s="44">
        <f>ORÇAMENTO!J678</f>
        <v>3658.43</v>
      </c>
      <c r="M730" s="23">
        <f>ORÇAMENTO!K678</f>
        <v>1.2933646558767445E-4</v>
      </c>
      <c r="N730" s="23" t="str">
        <f t="shared" si="45"/>
        <v>OK!</v>
      </c>
      <c r="O730" s="23" t="str">
        <f t="shared" si="46"/>
        <v>OK!</v>
      </c>
      <c r="P730" s="23" t="str">
        <f t="shared" si="47"/>
        <v>OK!</v>
      </c>
    </row>
    <row r="731" spans="2:16" ht="43.5" x14ac:dyDescent="0.35">
      <c r="B731" s="43">
        <f t="shared" si="44"/>
        <v>130</v>
      </c>
      <c r="C731" s="44" t="str">
        <f>ORÇAMENTO!A724</f>
        <v>6.4.14</v>
      </c>
      <c r="D731" s="44" t="str">
        <f>ORÇAMENTO!B724</f>
        <v xml:space="preserve"> 93593 </v>
      </c>
      <c r="E731" s="44" t="str">
        <f>ORÇAMENTO!C724</f>
        <v>SINAPI</v>
      </c>
      <c r="F731" s="480" t="str">
        <f>ORÇAMENTO!D724</f>
        <v>TRANSPORTE COM CAMINHÃO BASCULANTE DE 14 M³, EM VIA URBANA PAVIMENTADA, ADICIONAL PARA DMT EXCEDENTE A 30 KM (UNIDADE: M3XKM). AF_07/2020</v>
      </c>
      <c r="G731" s="44" t="str">
        <f>ORÇAMENTO!E724</f>
        <v>M3XKM</v>
      </c>
      <c r="H731" s="44">
        <f>ORÇAMENTO!F724</f>
        <v>103.09994751516055</v>
      </c>
      <c r="I731" s="44">
        <f>ORÇAMENTO!G724</f>
        <v>0.85</v>
      </c>
      <c r="J731" s="44">
        <f>ORÇAMENTO!H724</f>
        <v>0.2122</v>
      </c>
      <c r="K731" s="44">
        <f>ORÇAMENTO!I724</f>
        <v>1.03</v>
      </c>
      <c r="L731" s="44">
        <f>ORÇAMENTO!J724</f>
        <v>106.19</v>
      </c>
      <c r="M731" s="23">
        <f>ORÇAMENTO!K724</f>
        <v>3.7541347738661535E-6</v>
      </c>
      <c r="N731" s="23" t="str">
        <f t="shared" si="45"/>
        <v>OK!</v>
      </c>
      <c r="O731" s="23" t="str">
        <f t="shared" si="46"/>
        <v>OK!</v>
      </c>
      <c r="P731" s="23" t="str">
        <f t="shared" si="47"/>
        <v>OK!</v>
      </c>
    </row>
    <row r="732" spans="2:16" ht="43.5" x14ac:dyDescent="0.35">
      <c r="B732" s="43">
        <f t="shared" si="44"/>
        <v>130</v>
      </c>
      <c r="C732" s="44" t="str">
        <f>ORÇAMENTO!A750</f>
        <v>7.1.1.2.4</v>
      </c>
      <c r="D732" s="44" t="str">
        <f>ORÇAMENTO!B750</f>
        <v xml:space="preserve"> 93593 </v>
      </c>
      <c r="E732" s="44" t="str">
        <f>ORÇAMENTO!C750</f>
        <v>SINAPI</v>
      </c>
      <c r="F732" s="480" t="str">
        <f>ORÇAMENTO!D750</f>
        <v>TRANSPORTE COM CAMINHÃO BASCULANTE DE 14 M³, EM VIA URBANA PAVIMENTADA, ADICIONAL PARA DMT EXCEDENTE A 30 KM (UNIDADE: M3XKM). AF_07/2020</v>
      </c>
      <c r="G732" s="44" t="str">
        <f>ORÇAMENTO!E750</f>
        <v>M3XKM</v>
      </c>
      <c r="H732" s="44">
        <f>ORÇAMENTO!F750</f>
        <v>5367.1873919999989</v>
      </c>
      <c r="I732" s="44">
        <f>ORÇAMENTO!G750</f>
        <v>0.85</v>
      </c>
      <c r="J732" s="44">
        <f>ORÇAMENTO!H750</f>
        <v>0.2122</v>
      </c>
      <c r="K732" s="44">
        <f>ORÇAMENTO!I750</f>
        <v>1.03</v>
      </c>
      <c r="L732" s="44">
        <f>ORÇAMENTO!J750</f>
        <v>5528.2</v>
      </c>
      <c r="M732" s="23">
        <f>ORÇAMENTO!K750</f>
        <v>1.9543843918341528E-4</v>
      </c>
      <c r="N732" s="23" t="str">
        <f t="shared" si="45"/>
        <v>OK!</v>
      </c>
      <c r="O732" s="23" t="str">
        <f t="shared" si="46"/>
        <v>OK!</v>
      </c>
      <c r="P732" s="23" t="str">
        <f t="shared" si="47"/>
        <v>OK!</v>
      </c>
    </row>
    <row r="733" spans="2:16" ht="43.5" x14ac:dyDescent="0.35">
      <c r="B733" s="43">
        <f t="shared" si="44"/>
        <v>130</v>
      </c>
      <c r="C733" s="44" t="str">
        <f>ORÇAMENTO!A755</f>
        <v>7.1.1.3.4</v>
      </c>
      <c r="D733" s="44" t="str">
        <f>ORÇAMENTO!B755</f>
        <v xml:space="preserve"> 93593 </v>
      </c>
      <c r="E733" s="44" t="str">
        <f>ORÇAMENTO!C755</f>
        <v>SINAPI</v>
      </c>
      <c r="F733" s="480" t="str">
        <f>ORÇAMENTO!D755</f>
        <v>TRANSPORTE COM CAMINHÃO BASCULANTE DE 14 M³, EM VIA URBANA PAVIMENTADA, ADICIONAL PARA DMT EXCEDENTE A 30 KM (UNIDADE: M3XKM). AF_07/2020</v>
      </c>
      <c r="G733" s="44" t="str">
        <f>ORÇAMENTO!E755</f>
        <v>M3XKM</v>
      </c>
      <c r="H733" s="44">
        <f>ORÇAMENTO!F755</f>
        <v>3301.9208353844742</v>
      </c>
      <c r="I733" s="44">
        <f>ORÇAMENTO!G755</f>
        <v>0.85</v>
      </c>
      <c r="J733" s="44">
        <f>ORÇAMENTO!H755</f>
        <v>0.2122</v>
      </c>
      <c r="K733" s="44">
        <f>ORÇAMENTO!I755</f>
        <v>1.03</v>
      </c>
      <c r="L733" s="44">
        <f>ORÇAMENTO!J755</f>
        <v>3400.97</v>
      </c>
      <c r="M733" s="23">
        <f>ORÇAMENTO!K755</f>
        <v>1.2023448292565751E-4</v>
      </c>
      <c r="N733" s="23" t="str">
        <f t="shared" si="45"/>
        <v>OK!</v>
      </c>
      <c r="O733" s="23" t="str">
        <f t="shared" si="46"/>
        <v>OK!</v>
      </c>
      <c r="P733" s="23" t="str">
        <f t="shared" si="47"/>
        <v>OK!</v>
      </c>
    </row>
    <row r="734" spans="2:16" ht="43.5" x14ac:dyDescent="0.35">
      <c r="B734" s="43">
        <f t="shared" si="44"/>
        <v>130</v>
      </c>
      <c r="C734" s="44" t="str">
        <f>ORÇAMENTO!A760</f>
        <v>7.1.1.4.4</v>
      </c>
      <c r="D734" s="44" t="str">
        <f>ORÇAMENTO!B760</f>
        <v xml:space="preserve"> 93593 </v>
      </c>
      <c r="E734" s="44" t="str">
        <f>ORÇAMENTO!C760</f>
        <v>SINAPI</v>
      </c>
      <c r="F734" s="480" t="str">
        <f>ORÇAMENTO!D760</f>
        <v>TRANSPORTE COM CAMINHÃO BASCULANTE DE 14 M³, EM VIA URBANA PAVIMENTADA, ADICIONAL PARA DMT EXCEDENTE A 30 KM (UNIDADE: M3XKM). AF_07/2020</v>
      </c>
      <c r="G734" s="44" t="str">
        <f>ORÇAMENTO!E760</f>
        <v>M3XKM</v>
      </c>
      <c r="H734" s="44">
        <f>ORÇAMENTO!F760</f>
        <v>21829.435450169945</v>
      </c>
      <c r="I734" s="44">
        <f>ORÇAMENTO!G760</f>
        <v>0.85</v>
      </c>
      <c r="J734" s="44">
        <f>ORÇAMENTO!H760</f>
        <v>0.2122</v>
      </c>
      <c r="K734" s="44">
        <f>ORÇAMENTO!I760</f>
        <v>1.03</v>
      </c>
      <c r="L734" s="44">
        <f>ORÇAMENTO!J760</f>
        <v>22484.31</v>
      </c>
      <c r="M734" s="23">
        <f>ORÇAMENTO!K760</f>
        <v>7.9488774872762502E-4</v>
      </c>
      <c r="N734" s="23" t="str">
        <f t="shared" si="45"/>
        <v>OK!</v>
      </c>
      <c r="O734" s="23" t="str">
        <f t="shared" si="46"/>
        <v>OK!</v>
      </c>
      <c r="P734" s="23" t="str">
        <f t="shared" si="47"/>
        <v>OK!</v>
      </c>
    </row>
    <row r="735" spans="2:16" s="483" customFormat="1" ht="43.5" x14ac:dyDescent="0.35">
      <c r="B735" s="43">
        <f t="shared" si="44"/>
        <v>130</v>
      </c>
      <c r="C735" s="44" t="str">
        <f>ORÇAMENTO!A768</f>
        <v>7.1.1.5.7</v>
      </c>
      <c r="D735" s="44" t="str">
        <f>ORÇAMENTO!B768</f>
        <v xml:space="preserve"> 93593 </v>
      </c>
      <c r="E735" s="44" t="str">
        <f>ORÇAMENTO!C768</f>
        <v>SINAPI</v>
      </c>
      <c r="F735" s="480" t="str">
        <f>ORÇAMENTO!D768</f>
        <v>TRANSPORTE COM CAMINHÃO BASCULANTE DE 14 M³, EM VIA URBANA PAVIMENTADA, ADICIONAL PARA DMT EXCEDENTE A 30 KM (UNIDADE: M3XKM). AF_07/2020</v>
      </c>
      <c r="G735" s="44" t="str">
        <f>ORÇAMENTO!E768</f>
        <v>M3XKM</v>
      </c>
      <c r="H735" s="44">
        <f>ORÇAMENTO!F768</f>
        <v>1011.4855296000001</v>
      </c>
      <c r="I735" s="44">
        <f>ORÇAMENTO!G768</f>
        <v>0.85</v>
      </c>
      <c r="J735" s="44">
        <f>ORÇAMENTO!H768</f>
        <v>0.2122</v>
      </c>
      <c r="K735" s="44">
        <f>ORÇAMENTO!I768</f>
        <v>1.03</v>
      </c>
      <c r="L735" s="44">
        <f>ORÇAMENTO!J768</f>
        <v>1041.83</v>
      </c>
      <c r="M735" s="23">
        <f>ORÇAMENTO!K768</f>
        <v>3.6831813084631078E-5</v>
      </c>
      <c r="N735" s="23" t="str">
        <f t="shared" si="45"/>
        <v>OK!</v>
      </c>
      <c r="O735" s="23" t="str">
        <f t="shared" si="46"/>
        <v>OK!</v>
      </c>
      <c r="P735" s="23" t="str">
        <f t="shared" si="47"/>
        <v>OK!</v>
      </c>
    </row>
    <row r="736" spans="2:16" s="483" customFormat="1" ht="43.5" x14ac:dyDescent="0.35">
      <c r="B736" s="43">
        <f t="shared" si="44"/>
        <v>130</v>
      </c>
      <c r="C736" s="44" t="str">
        <f>ORÇAMENTO!A774</f>
        <v>7.1.1.6.5</v>
      </c>
      <c r="D736" s="44" t="str">
        <f>ORÇAMENTO!B774</f>
        <v xml:space="preserve"> 93593 </v>
      </c>
      <c r="E736" s="44" t="str">
        <f>ORÇAMENTO!C774</f>
        <v>SINAPI</v>
      </c>
      <c r="F736" s="480" t="str">
        <f>ORÇAMENTO!D774</f>
        <v>TRANSPORTE COM CAMINHÃO BASCULANTE DE 14 M³, EM VIA URBANA PAVIMENTADA, ADICIONAL PARA DMT EXCEDENTE A 30 KM (UNIDADE: M3XKM). AF_07/2020</v>
      </c>
      <c r="G736" s="44" t="str">
        <f>ORÇAMENTO!E774</f>
        <v>M3XKM</v>
      </c>
      <c r="H736" s="44">
        <f>ORÇAMENTO!F774</f>
        <v>991.90536703999999</v>
      </c>
      <c r="I736" s="44">
        <f>ORÇAMENTO!G774</f>
        <v>0.85</v>
      </c>
      <c r="J736" s="44">
        <f>ORÇAMENTO!H774</f>
        <v>0.2122</v>
      </c>
      <c r="K736" s="44">
        <f>ORÇAMENTO!I774</f>
        <v>1.03</v>
      </c>
      <c r="L736" s="44">
        <f>ORÇAMENTO!J774</f>
        <v>1021.66</v>
      </c>
      <c r="M736" s="23">
        <f>ORÇAMENTO!K774</f>
        <v>3.61187431308795E-5</v>
      </c>
      <c r="N736" s="23" t="str">
        <f t="shared" si="45"/>
        <v>OK!</v>
      </c>
      <c r="O736" s="23" t="str">
        <f t="shared" si="46"/>
        <v>OK!</v>
      </c>
      <c r="P736" s="23" t="str">
        <f t="shared" si="47"/>
        <v>OK!</v>
      </c>
    </row>
    <row r="737" spans="2:16" ht="43.5" x14ac:dyDescent="0.35">
      <c r="B737" s="43">
        <f t="shared" si="44"/>
        <v>130</v>
      </c>
      <c r="C737" s="44" t="str">
        <f>ORÇAMENTO!A779</f>
        <v>7.1.1.7.4</v>
      </c>
      <c r="D737" s="44" t="str">
        <f>ORÇAMENTO!B779</f>
        <v xml:space="preserve"> 93593 </v>
      </c>
      <c r="E737" s="44" t="str">
        <f>ORÇAMENTO!C779</f>
        <v>SINAPI</v>
      </c>
      <c r="F737" s="480" t="str">
        <f>ORÇAMENTO!D779</f>
        <v>TRANSPORTE COM CAMINHÃO BASCULANTE DE 14 M³, EM VIA URBANA PAVIMENTADA, ADICIONAL PARA DMT EXCEDENTE A 30 KM (UNIDADE: M3XKM). AF_07/2020</v>
      </c>
      <c r="G737" s="44" t="str">
        <f>ORÇAMENTO!E779</f>
        <v>M3XKM</v>
      </c>
      <c r="H737" s="44">
        <f>ORÇAMENTO!F779</f>
        <v>10.982203669230598</v>
      </c>
      <c r="I737" s="44">
        <f>ORÇAMENTO!G779</f>
        <v>0.85</v>
      </c>
      <c r="J737" s="44">
        <f>ORÇAMENTO!H779</f>
        <v>0.2122</v>
      </c>
      <c r="K737" s="44">
        <f>ORÇAMENTO!I779</f>
        <v>1.03</v>
      </c>
      <c r="L737" s="44">
        <f>ORÇAMENTO!J779</f>
        <v>11.31</v>
      </c>
      <c r="M737" s="23">
        <f>ORÇAMENTO!K779</f>
        <v>3.9984239845961196E-7</v>
      </c>
      <c r="N737" s="23" t="str">
        <f t="shared" si="45"/>
        <v>OK!</v>
      </c>
      <c r="O737" s="23" t="str">
        <f t="shared" si="46"/>
        <v>OK!</v>
      </c>
      <c r="P737" s="23" t="str">
        <f t="shared" si="47"/>
        <v>OK!</v>
      </c>
    </row>
    <row r="738" spans="2:16" ht="43.5" x14ac:dyDescent="0.35">
      <c r="B738" s="43">
        <f t="shared" si="44"/>
        <v>130</v>
      </c>
      <c r="C738" s="44" t="str">
        <f>ORÇAMENTO!A800</f>
        <v>7.1.2.1.16</v>
      </c>
      <c r="D738" s="44" t="str">
        <f>ORÇAMENTO!B800</f>
        <v xml:space="preserve"> 93593 </v>
      </c>
      <c r="E738" s="44" t="str">
        <f>ORÇAMENTO!C800</f>
        <v>SINAPI</v>
      </c>
      <c r="F738" s="480" t="str">
        <f>ORÇAMENTO!D800</f>
        <v>TRANSPORTE COM CAMINHÃO BASCULANTE DE 14 M³, EM VIA URBANA PAVIMENTADA, ADICIONAL PARA DMT EXCEDENTE A 30 KM (UNIDADE: M3XKM). AF_07/2020</v>
      </c>
      <c r="G738" s="44" t="str">
        <f>ORÇAMENTO!E800</f>
        <v>M3XKM</v>
      </c>
      <c r="H738" s="44">
        <f>ORÇAMENTO!F800</f>
        <v>30912.447999999997</v>
      </c>
      <c r="I738" s="44">
        <f>ORÇAMENTO!G800</f>
        <v>0.85</v>
      </c>
      <c r="J738" s="44">
        <f>ORÇAMENTO!H800</f>
        <v>0.2122</v>
      </c>
      <c r="K738" s="44">
        <f>ORÇAMENTO!I800</f>
        <v>1.03</v>
      </c>
      <c r="L738" s="44">
        <f>ORÇAMENTO!J800</f>
        <v>31839.82</v>
      </c>
      <c r="M738" s="23">
        <f>ORÇAMENTO!K800</f>
        <v>1.1256330676677562E-3</v>
      </c>
      <c r="N738" s="23" t="str">
        <f t="shared" si="45"/>
        <v>OK!</v>
      </c>
      <c r="O738" s="23" t="str">
        <f t="shared" si="46"/>
        <v>OK!</v>
      </c>
      <c r="P738" s="23" t="str">
        <f t="shared" si="47"/>
        <v>OK!</v>
      </c>
    </row>
    <row r="739" spans="2:16" ht="43.5" x14ac:dyDescent="0.35">
      <c r="B739" s="43">
        <f t="shared" si="44"/>
        <v>130</v>
      </c>
      <c r="C739" s="44" t="str">
        <f>ORÇAMENTO!A891</f>
        <v>7.1.2.6.38</v>
      </c>
      <c r="D739" s="44" t="str">
        <f>ORÇAMENTO!B891</f>
        <v xml:space="preserve"> 93593 </v>
      </c>
      <c r="E739" s="44" t="str">
        <f>ORÇAMENTO!C891</f>
        <v>SINAPI</v>
      </c>
      <c r="F739" s="480" t="str">
        <f>ORÇAMENTO!D891</f>
        <v>TRANSPORTE COM CAMINHÃO BASCULANTE DE 14 M³, EM VIA URBANA PAVIMENTADA, ADICIONAL PARA DMT EXCEDENTE A 30 KM (UNIDADE: M3XKM). AF_07/2020</v>
      </c>
      <c r="G739" s="44" t="str">
        <f>ORÇAMENTO!E891</f>
        <v>M3XKM</v>
      </c>
      <c r="H739" s="44">
        <f>ORÇAMENTO!F891</f>
        <v>10647.53119091199</v>
      </c>
      <c r="I739" s="44">
        <f>ORÇAMENTO!G891</f>
        <v>0.85</v>
      </c>
      <c r="J739" s="44">
        <f>ORÇAMENTO!H891</f>
        <v>0.2122</v>
      </c>
      <c r="K739" s="44">
        <f>ORÇAMENTO!I891</f>
        <v>1.03</v>
      </c>
      <c r="L739" s="44">
        <f>ORÇAMENTO!J891</f>
        <v>10966.95</v>
      </c>
      <c r="M739" s="23">
        <f>ORÇAMENTO!K891</f>
        <v>3.8771455276628131E-4</v>
      </c>
      <c r="N739" s="23" t="str">
        <f t="shared" si="45"/>
        <v>OK!</v>
      </c>
      <c r="O739" s="23" t="str">
        <f t="shared" si="46"/>
        <v>OK!</v>
      </c>
      <c r="P739" s="23" t="str">
        <f t="shared" si="47"/>
        <v>OK!</v>
      </c>
    </row>
    <row r="740" spans="2:16" ht="43.5" x14ac:dyDescent="0.35">
      <c r="B740" s="43">
        <f t="shared" si="44"/>
        <v>130</v>
      </c>
      <c r="C740" s="44" t="str">
        <f>ORÇAMENTO!A948</f>
        <v>7.4.16</v>
      </c>
      <c r="D740" s="44" t="str">
        <f>ORÇAMENTO!B948</f>
        <v xml:space="preserve"> 93593 </v>
      </c>
      <c r="E740" s="44" t="str">
        <f>ORÇAMENTO!C948</f>
        <v>SINAPI</v>
      </c>
      <c r="F740" s="636" t="str">
        <f>ORÇAMENTO!D948</f>
        <v>TRANSPORTE COM CAMINHÃO BASCULANTE DE 14 M³, EM VIA URBANA PAVIMENTADA, ADICIONAL PARA DMT EXCEDENTE A 30 KM (UNIDADE: M3XKM). AF_07/2020</v>
      </c>
      <c r="G740" s="44" t="str">
        <f>ORÇAMENTO!E948</f>
        <v>M3XKM</v>
      </c>
      <c r="H740" s="44">
        <f>ORÇAMENTO!F948</f>
        <v>89.890005090963598</v>
      </c>
      <c r="I740" s="44">
        <f>ORÇAMENTO!G948</f>
        <v>0.85</v>
      </c>
      <c r="J740" s="44">
        <f>ORÇAMENTO!H948</f>
        <v>0.2122</v>
      </c>
      <c r="K740" s="44">
        <f>ORÇAMENTO!I948</f>
        <v>1.03</v>
      </c>
      <c r="L740" s="638">
        <f>ORÇAMENTO!J948</f>
        <v>92.58</v>
      </c>
      <c r="M740" s="23">
        <f>ORÇAMENTO!K948</f>
        <v>3.2729804818205903E-6</v>
      </c>
      <c r="N740" s="23" t="str">
        <f t="shared" si="45"/>
        <v>OK!</v>
      </c>
      <c r="O740" s="23" t="str">
        <f t="shared" si="46"/>
        <v>OK!</v>
      </c>
      <c r="P740" s="23" t="str">
        <f t="shared" si="47"/>
        <v>OK!</v>
      </c>
    </row>
    <row r="741" spans="2:16" ht="43.5" x14ac:dyDescent="0.35">
      <c r="B741" s="43">
        <f t="shared" si="44"/>
        <v>130</v>
      </c>
      <c r="C741" s="44" t="str">
        <f>ORÇAMENTO!A959</f>
        <v>7.5.1.4</v>
      </c>
      <c r="D741" s="44" t="str">
        <f>ORÇAMENTO!B959</f>
        <v xml:space="preserve"> 93593 </v>
      </c>
      <c r="E741" s="44" t="str">
        <f>ORÇAMENTO!C959</f>
        <v>SINAPI</v>
      </c>
      <c r="F741" s="636" t="str">
        <f>ORÇAMENTO!D959</f>
        <v>TRANSPORTE COM CAMINHÃO BASCULANTE DE 14 M³, EM VIA URBANA PAVIMENTADA, ADICIONAL PARA DMT EXCEDENTE A 30 KM (UNIDADE: M3XKM). AF_07/2020</v>
      </c>
      <c r="G741" s="44" t="str">
        <f>ORÇAMENTO!E959</f>
        <v>M3XKM</v>
      </c>
      <c r="H741" s="44">
        <f>ORÇAMENTO!F959</f>
        <v>76175.14</v>
      </c>
      <c r="I741" s="44">
        <f>ORÇAMENTO!G959</f>
        <v>0.85</v>
      </c>
      <c r="J741" s="44">
        <f>ORÇAMENTO!H959</f>
        <v>0.2122</v>
      </c>
      <c r="K741" s="44">
        <f>ORÇAMENTO!I959</f>
        <v>1.03</v>
      </c>
      <c r="L741" s="638">
        <f>ORÇAMENTO!J959</f>
        <v>78460.39</v>
      </c>
      <c r="M741" s="23">
        <f>ORÇAMENTO!K959</f>
        <v>2.7738099488661852E-3</v>
      </c>
      <c r="N741" s="23" t="str">
        <f t="shared" si="45"/>
        <v>OK!</v>
      </c>
      <c r="O741" s="23" t="str">
        <f t="shared" si="46"/>
        <v>OK!</v>
      </c>
      <c r="P741" s="23" t="str">
        <f t="shared" si="47"/>
        <v>OK!</v>
      </c>
    </row>
    <row r="742" spans="2:16" ht="43.5" x14ac:dyDescent="0.35">
      <c r="B742" s="43">
        <f t="shared" si="44"/>
        <v>130</v>
      </c>
      <c r="C742" s="44" t="str">
        <f>ORÇAMENTO!A964</f>
        <v>7.5.2.3</v>
      </c>
      <c r="D742" s="44" t="str">
        <f>ORÇAMENTO!B964</f>
        <v xml:space="preserve"> 93593 </v>
      </c>
      <c r="E742" s="44" t="str">
        <f>ORÇAMENTO!C964</f>
        <v>SINAPI</v>
      </c>
      <c r="F742" s="636" t="str">
        <f>ORÇAMENTO!D964</f>
        <v>TRANSPORTE COM CAMINHÃO BASCULANTE DE 14 M³, EM VIA URBANA PAVIMENTADA, ADICIONAL PARA DMT EXCEDENTE A 30 KM (UNIDADE: M3XKM). AF_07/2020</v>
      </c>
      <c r="G742" s="44" t="str">
        <f>ORÇAMENTO!E964</f>
        <v>M3XKM</v>
      </c>
      <c r="H742" s="44">
        <f>ORÇAMENTO!F964</f>
        <v>58682.941300000006</v>
      </c>
      <c r="I742" s="44">
        <f>ORÇAMENTO!G964</f>
        <v>0.85</v>
      </c>
      <c r="J742" s="44">
        <f>ORÇAMENTO!H964</f>
        <v>0.2122</v>
      </c>
      <c r="K742" s="44">
        <f>ORÇAMENTO!I964</f>
        <v>1.03</v>
      </c>
      <c r="L742" s="638">
        <f>ORÇAMENTO!J964</f>
        <v>60443.42</v>
      </c>
      <c r="M742" s="23">
        <f>ORÇAMENTO!K964</f>
        <v>2.1368560587004138E-3</v>
      </c>
      <c r="N742" s="23" t="str">
        <f t="shared" si="45"/>
        <v>OK!</v>
      </c>
      <c r="O742" s="23" t="str">
        <f t="shared" si="46"/>
        <v>OK!</v>
      </c>
      <c r="P742" s="23" t="str">
        <f t="shared" si="47"/>
        <v>OK!</v>
      </c>
    </row>
    <row r="743" spans="2:16" ht="43.5" x14ac:dyDescent="0.35">
      <c r="B743" s="43">
        <f t="shared" si="44"/>
        <v>130</v>
      </c>
      <c r="C743" s="44" t="str">
        <f>ORÇAMENTO!A992</f>
        <v xml:space="preserve"> 8.1.4</v>
      </c>
      <c r="D743" s="44" t="str">
        <f>ORÇAMENTO!B992</f>
        <v xml:space="preserve"> 93593 </v>
      </c>
      <c r="E743" s="44" t="str">
        <f>ORÇAMENTO!C992</f>
        <v>SINAPI</v>
      </c>
      <c r="F743" s="636" t="str">
        <f>ORÇAMENTO!D992</f>
        <v>TRANSPORTE COM CAMINHÃO BASCULANTE DE 14 M³, EM VIA URBANA PAVIMENTADA, ADICIONAL PARA DMT EXCEDENTE A 30 KM (UNIDADE: M3XKM). AF_07/2020</v>
      </c>
      <c r="G743" s="44" t="str">
        <f>ORÇAMENTO!E992</f>
        <v>M3XKM</v>
      </c>
      <c r="H743" s="44">
        <f>ORÇAMENTO!F992</f>
        <v>80325</v>
      </c>
      <c r="I743" s="44">
        <f>ORÇAMENTO!G992</f>
        <v>0.85</v>
      </c>
      <c r="J743" s="44">
        <f>ORÇAMENTO!H992</f>
        <v>0.2122</v>
      </c>
      <c r="K743" s="44">
        <f>ORÇAMENTO!I992</f>
        <v>1.03</v>
      </c>
      <c r="L743" s="638">
        <f>ORÇAMENTO!J992</f>
        <v>82734.75</v>
      </c>
      <c r="M743" s="23">
        <f>ORÇAMENTO!K992</f>
        <v>2.9249213860262054E-3</v>
      </c>
      <c r="N743" s="23" t="str">
        <f t="shared" si="45"/>
        <v>OK!</v>
      </c>
      <c r="O743" s="23" t="str">
        <f t="shared" si="46"/>
        <v>OK!</v>
      </c>
      <c r="P743" s="23" t="str">
        <f t="shared" si="47"/>
        <v>OK!</v>
      </c>
    </row>
    <row r="744" spans="2:16" ht="43.5" x14ac:dyDescent="0.35">
      <c r="B744" s="43">
        <f t="shared" si="44"/>
        <v>130</v>
      </c>
      <c r="C744" s="44" t="str">
        <f>ORÇAMENTO!A997</f>
        <v xml:space="preserve"> 8.2.3</v>
      </c>
      <c r="D744" s="44" t="str">
        <f>ORÇAMENTO!B997</f>
        <v xml:space="preserve"> 93593 </v>
      </c>
      <c r="E744" s="44" t="str">
        <f>ORÇAMENTO!C997</f>
        <v>SINAPI</v>
      </c>
      <c r="F744" s="636" t="str">
        <f>ORÇAMENTO!D997</f>
        <v>TRANSPORTE COM CAMINHÃO BASCULANTE DE 14 M³, EM VIA URBANA PAVIMENTADA, ADICIONAL PARA DMT EXCEDENTE A 30 KM (UNIDADE: M3XKM). AF_07/2020</v>
      </c>
      <c r="G744" s="44" t="str">
        <f>ORÇAMENTO!E997</f>
        <v>M3XKM</v>
      </c>
      <c r="H744" s="44">
        <f>ORÇAMENTO!F997</f>
        <v>354020.95399999991</v>
      </c>
      <c r="I744" s="44">
        <f>ORÇAMENTO!G997</f>
        <v>0.85</v>
      </c>
      <c r="J744" s="44">
        <f>ORÇAMENTO!H997</f>
        <v>0.2122</v>
      </c>
      <c r="K744" s="44">
        <f>ORÇAMENTO!I997</f>
        <v>1.03</v>
      </c>
      <c r="L744" s="638">
        <f>ORÇAMENTO!J997</f>
        <v>364641.58</v>
      </c>
      <c r="M744" s="23">
        <f>ORÇAMENTO!K997</f>
        <v>1.2891172760857867E-2</v>
      </c>
      <c r="N744" s="23" t="str">
        <f t="shared" si="45"/>
        <v>OK!</v>
      </c>
      <c r="O744" s="23" t="str">
        <f t="shared" si="46"/>
        <v>OK!</v>
      </c>
      <c r="P744" s="23" t="str">
        <f t="shared" si="47"/>
        <v>OK!</v>
      </c>
    </row>
    <row r="745" spans="2:16" ht="29" x14ac:dyDescent="0.35">
      <c r="B745" s="43">
        <f t="shared" si="44"/>
        <v>131</v>
      </c>
      <c r="C745" s="44" t="str">
        <f>ORÇAMENTO!A104</f>
        <v>4.1.1.2.3</v>
      </c>
      <c r="D745" s="44" t="str">
        <f>ORÇAMENTO!B104</f>
        <v xml:space="preserve"> 95876 </v>
      </c>
      <c r="E745" s="44" t="str">
        <f>ORÇAMENTO!C104</f>
        <v>SINAPI</v>
      </c>
      <c r="F745" s="480" t="str">
        <f>ORÇAMENTO!D104</f>
        <v>TRANSPORTE COM CAMINHÃO BASCULANTE DE 14 M³, EM VIA URBANA PAVIMENTADA, DMT ATÉ 30 KM (UNIDADE: M3XKM). AF_07/2020</v>
      </c>
      <c r="G745" s="44" t="str">
        <f>ORÇAMENTO!E104</f>
        <v>M3XKM</v>
      </c>
      <c r="H745" s="44">
        <f>ORÇAMENTO!F104</f>
        <v>1887.5242467328587</v>
      </c>
      <c r="I745" s="44">
        <f>ORÇAMENTO!G104</f>
        <v>2.1</v>
      </c>
      <c r="J745" s="44">
        <f>ORÇAMENTO!H104</f>
        <v>0.2122</v>
      </c>
      <c r="K745" s="44">
        <f>ORÇAMENTO!I104</f>
        <v>2.5499999999999998</v>
      </c>
      <c r="L745" s="44">
        <f>ORÇAMENTO!J104</f>
        <v>4813.18</v>
      </c>
      <c r="M745" s="23">
        <f>ORÇAMENTO!K104</f>
        <v>1.7016033911740366E-4</v>
      </c>
      <c r="N745" s="23" t="str">
        <f t="shared" si="45"/>
        <v>DIFERENTE</v>
      </c>
      <c r="O745" s="23" t="str">
        <f t="shared" si="46"/>
        <v>DIFERENTE</v>
      </c>
      <c r="P745" s="23" t="str">
        <f t="shared" si="47"/>
        <v>DIFERENTE</v>
      </c>
    </row>
    <row r="746" spans="2:16" ht="29" x14ac:dyDescent="0.35">
      <c r="B746" s="43">
        <f t="shared" si="44"/>
        <v>131</v>
      </c>
      <c r="C746" s="44" t="str">
        <f>ORÇAMENTO!A110</f>
        <v>4.1.1.3.4</v>
      </c>
      <c r="D746" s="44" t="str">
        <f>ORÇAMENTO!B110</f>
        <v xml:space="preserve"> 95876 </v>
      </c>
      <c r="E746" s="44" t="str">
        <f>ORÇAMENTO!C110</f>
        <v>SINAPI</v>
      </c>
      <c r="F746" s="480" t="str">
        <f>ORÇAMENTO!D110</f>
        <v>TRANSPORTE COM CAMINHÃO BASCULANTE DE 14 M³, EM VIA URBANA PAVIMENTADA, DMT ATÉ 30 KM (UNIDADE: M3XKM). AF_07/2020</v>
      </c>
      <c r="G746" s="44" t="str">
        <f>ORÇAMENTO!E110</f>
        <v>M3XKM</v>
      </c>
      <c r="H746" s="44">
        <f>ORÇAMENTO!F110</f>
        <v>1016.6330831954025</v>
      </c>
      <c r="I746" s="44">
        <f>ORÇAMENTO!G110</f>
        <v>2.1</v>
      </c>
      <c r="J746" s="44">
        <f>ORÇAMENTO!H110</f>
        <v>0.2122</v>
      </c>
      <c r="K746" s="44">
        <f>ORÇAMENTO!I110</f>
        <v>2.5499999999999998</v>
      </c>
      <c r="L746" s="44">
        <f>ORÇAMENTO!J110</f>
        <v>2592.41</v>
      </c>
      <c r="M746" s="23">
        <f>ORÇAMENTO!K110</f>
        <v>9.164946350050244E-5</v>
      </c>
      <c r="N746" s="23" t="str">
        <f t="shared" si="45"/>
        <v>OK!</v>
      </c>
      <c r="O746" s="23" t="str">
        <f t="shared" si="46"/>
        <v>OK!</v>
      </c>
      <c r="P746" s="23" t="str">
        <f t="shared" si="47"/>
        <v>OK!</v>
      </c>
    </row>
    <row r="747" spans="2:16" ht="29" x14ac:dyDescent="0.35">
      <c r="B747" s="43">
        <f t="shared" si="44"/>
        <v>131</v>
      </c>
      <c r="C747" s="25" t="str">
        <f>ORÇAMENTO!A115</f>
        <v>4.1.1.4.3</v>
      </c>
      <c r="D747" s="25" t="str">
        <f>ORÇAMENTO!B115</f>
        <v xml:space="preserve"> 95876 </v>
      </c>
      <c r="E747" s="25" t="str">
        <f>ORÇAMENTO!C115</f>
        <v>SINAPI</v>
      </c>
      <c r="F747" s="637" t="str">
        <f>ORÇAMENTO!D115</f>
        <v>TRANSPORTE COM CAMINHÃO BASCULANTE DE 14 M³, EM VIA URBANA PAVIMENTADA, DMT ATÉ 30 KM (UNIDADE: M3XKM). AF_07/2020</v>
      </c>
      <c r="G747" s="25" t="str">
        <f>ORÇAMENTO!E115</f>
        <v>M3XKM</v>
      </c>
      <c r="H747" s="25">
        <f>ORÇAMENTO!F115</f>
        <v>7327.1371133166458</v>
      </c>
      <c r="I747" s="25">
        <f>ORÇAMENTO!G115</f>
        <v>2.1</v>
      </c>
      <c r="J747" s="25">
        <f>ORÇAMENTO!H115</f>
        <v>0.2122</v>
      </c>
      <c r="K747" s="25">
        <f>ORÇAMENTO!I115</f>
        <v>2.5499999999999998</v>
      </c>
      <c r="L747" s="25">
        <f>ORÇAMENTO!J115</f>
        <v>18684.189999999999</v>
      </c>
      <c r="M747" s="23">
        <f>ORÇAMENTO!K115</f>
        <v>6.6054211696508374E-4</v>
      </c>
      <c r="N747" s="23" t="str">
        <f t="shared" si="45"/>
        <v>OK!</v>
      </c>
      <c r="O747" s="23" t="str">
        <f t="shared" si="46"/>
        <v>OK!</v>
      </c>
      <c r="P747" s="23" t="str">
        <f t="shared" si="47"/>
        <v>OK!</v>
      </c>
    </row>
    <row r="748" spans="2:16" ht="29" x14ac:dyDescent="0.35">
      <c r="B748" s="43">
        <f t="shared" si="44"/>
        <v>131</v>
      </c>
      <c r="C748" s="25" t="str">
        <f>ORÇAMENTO!A123</f>
        <v>4.1.1.5.6</v>
      </c>
      <c r="D748" s="25" t="str">
        <f>ORÇAMENTO!B123</f>
        <v xml:space="preserve"> 95876 </v>
      </c>
      <c r="E748" s="25" t="str">
        <f>ORÇAMENTO!C123</f>
        <v>SINAPI</v>
      </c>
      <c r="F748" s="637" t="str">
        <f>ORÇAMENTO!D123</f>
        <v>TRANSPORTE COM CAMINHÃO BASCULANTE DE 14 M³, EM VIA URBANA PAVIMENTADA, DMT ATÉ 30 KM (UNIDADE: M3XKM). AF_07/2020</v>
      </c>
      <c r="G748" s="25" t="str">
        <f>ORÇAMENTO!E123</f>
        <v>M3XKM</v>
      </c>
      <c r="H748" s="25">
        <f>ORÇAMENTO!F123</f>
        <v>749.29482000000007</v>
      </c>
      <c r="I748" s="25">
        <f>ORÇAMENTO!G123</f>
        <v>2.1</v>
      </c>
      <c r="J748" s="25">
        <f>ORÇAMENTO!H123</f>
        <v>0.2122</v>
      </c>
      <c r="K748" s="25">
        <f>ORÇAMENTO!I123</f>
        <v>2.5499999999999998</v>
      </c>
      <c r="L748" s="25">
        <f>ORÇAMENTO!J123</f>
        <v>1910.7</v>
      </c>
      <c r="M748" s="23">
        <f>ORÇAMENTO!K123</f>
        <v>6.754897177159864E-5</v>
      </c>
      <c r="N748" s="23" t="str">
        <f t="shared" si="45"/>
        <v>OK!</v>
      </c>
      <c r="O748" s="23" t="str">
        <f t="shared" si="46"/>
        <v>OK!</v>
      </c>
      <c r="P748" s="23" t="str">
        <f t="shared" si="47"/>
        <v>OK!</v>
      </c>
    </row>
    <row r="749" spans="2:16" ht="29" x14ac:dyDescent="0.35">
      <c r="B749" s="43">
        <f t="shared" si="44"/>
        <v>131</v>
      </c>
      <c r="C749" s="25" t="str">
        <f>ORÇAMENTO!A129</f>
        <v>4.1.1.6.4</v>
      </c>
      <c r="D749" s="25" t="str">
        <f>ORÇAMENTO!B129</f>
        <v xml:space="preserve"> 95876 </v>
      </c>
      <c r="E749" s="25" t="str">
        <f>ORÇAMENTO!C129</f>
        <v>SINAPI</v>
      </c>
      <c r="F749" s="637" t="str">
        <f>ORÇAMENTO!D129</f>
        <v>TRANSPORTE COM CAMINHÃO BASCULANTE DE 14 M³, EM VIA URBANA PAVIMENTADA, DMT ATÉ 30 KM (UNIDADE: M3XKM). AF_07/2020</v>
      </c>
      <c r="G749" s="25" t="str">
        <f>ORÇAMENTO!E129</f>
        <v>M3XKM</v>
      </c>
      <c r="H749" s="25">
        <f>ORÇAMENTO!F129</f>
        <v>552.4799999999999</v>
      </c>
      <c r="I749" s="25">
        <f>ORÇAMENTO!G129</f>
        <v>2.1</v>
      </c>
      <c r="J749" s="25">
        <f>ORÇAMENTO!H129</f>
        <v>0.2122</v>
      </c>
      <c r="K749" s="25">
        <f>ORÇAMENTO!I129</f>
        <v>2.5499999999999998</v>
      </c>
      <c r="L749" s="25">
        <f>ORÇAMENTO!J129</f>
        <v>1408.82</v>
      </c>
      <c r="M749" s="23">
        <f>ORÇAMENTO!K129</f>
        <v>4.9806009531199869E-5</v>
      </c>
      <c r="N749" s="23" t="str">
        <f t="shared" si="45"/>
        <v>OK!</v>
      </c>
      <c r="O749" s="23" t="str">
        <f t="shared" si="46"/>
        <v>OK!</v>
      </c>
      <c r="P749" s="23" t="str">
        <f t="shared" si="47"/>
        <v>OK!</v>
      </c>
    </row>
    <row r="750" spans="2:16" ht="29" x14ac:dyDescent="0.35">
      <c r="B750" s="43">
        <f t="shared" si="44"/>
        <v>131</v>
      </c>
      <c r="C750" s="25" t="str">
        <f>ORÇAMENTO!A152</f>
        <v>4.1.2.1.17</v>
      </c>
      <c r="D750" s="25" t="str">
        <f>ORÇAMENTO!B152</f>
        <v xml:space="preserve"> 95876 </v>
      </c>
      <c r="E750" s="25" t="str">
        <f>ORÇAMENTO!C152</f>
        <v>SINAPI</v>
      </c>
      <c r="F750" s="637" t="str">
        <f>ORÇAMENTO!D152</f>
        <v>TRANSPORTE COM CAMINHÃO BASCULANTE DE 14 M³, EM VIA URBANA PAVIMENTADA, DMT ATÉ 30 KM (UNIDADE: M3XKM). AF_07/2020</v>
      </c>
      <c r="G750" s="25" t="str">
        <f>ORÇAMENTO!E152</f>
        <v>M3XKM</v>
      </c>
      <c r="H750" s="25">
        <f>ORÇAMENTO!F152</f>
        <v>52331.420571951283</v>
      </c>
      <c r="I750" s="25">
        <f>ORÇAMENTO!G152</f>
        <v>2.1</v>
      </c>
      <c r="J750" s="25">
        <f>ORÇAMENTO!H152</f>
        <v>0.2122</v>
      </c>
      <c r="K750" s="25">
        <f>ORÇAMENTO!I152</f>
        <v>2.5499999999999998</v>
      </c>
      <c r="L750" s="25">
        <f>ORÇAMENTO!J152</f>
        <v>133445.12</v>
      </c>
      <c r="M750" s="23">
        <f>ORÇAMENTO!K152</f>
        <v>4.71768495521934E-3</v>
      </c>
      <c r="N750" s="23" t="str">
        <f t="shared" si="45"/>
        <v>OK!</v>
      </c>
      <c r="O750" s="23" t="str">
        <f t="shared" si="46"/>
        <v>OK!</v>
      </c>
      <c r="P750" s="23" t="str">
        <f t="shared" si="47"/>
        <v>OK!</v>
      </c>
    </row>
    <row r="751" spans="2:16" ht="29" x14ac:dyDescent="0.35">
      <c r="B751" s="43">
        <f t="shared" si="44"/>
        <v>131</v>
      </c>
      <c r="C751" s="25" t="str">
        <f>ORÇAMENTO!A183</f>
        <v>4.1.2.4.16</v>
      </c>
      <c r="D751" s="25" t="str">
        <f>ORÇAMENTO!B183</f>
        <v xml:space="preserve"> 95876 </v>
      </c>
      <c r="E751" s="25" t="str">
        <f>ORÇAMENTO!C183</f>
        <v>SINAPI</v>
      </c>
      <c r="F751" s="637" t="str">
        <f>ORÇAMENTO!D183</f>
        <v>TRANSPORTE COM CAMINHÃO BASCULANTE DE 14 M³, EM VIA URBANA PAVIMENTADA, DMT ATÉ 30 KM (UNIDADE: M3XKM). AF_07/2020</v>
      </c>
      <c r="G751" s="25" t="str">
        <f>ORÇAMENTO!E183</f>
        <v>M3XKM</v>
      </c>
      <c r="H751" s="25">
        <f>ORÇAMENTO!F183</f>
        <v>9196.0611240937706</v>
      </c>
      <c r="I751" s="25">
        <f>ORÇAMENTO!G183</f>
        <v>2.1</v>
      </c>
      <c r="J751" s="25">
        <f>ORÇAMENTO!H183</f>
        <v>0.2122</v>
      </c>
      <c r="K751" s="25">
        <f>ORÇAMENTO!I183</f>
        <v>2.5499999999999998</v>
      </c>
      <c r="L751" s="25">
        <f>ORÇAMENTO!J183</f>
        <v>23449.95</v>
      </c>
      <c r="M751" s="23">
        <f>ORÇAMENTO!K183</f>
        <v>8.2902601695472838E-4</v>
      </c>
      <c r="N751" s="23" t="str">
        <f t="shared" si="45"/>
        <v>OK!</v>
      </c>
      <c r="O751" s="23" t="str">
        <f t="shared" si="46"/>
        <v>OK!</v>
      </c>
      <c r="P751" s="23" t="str">
        <f t="shared" si="47"/>
        <v>OK!</v>
      </c>
    </row>
    <row r="752" spans="2:16" ht="29" x14ac:dyDescent="0.35">
      <c r="B752" s="43">
        <f t="shared" si="44"/>
        <v>131</v>
      </c>
      <c r="C752" s="25" t="str">
        <f>ORÇAMENTO!A239</f>
        <v>4.1.2.6.37</v>
      </c>
      <c r="D752" s="25" t="str">
        <f>ORÇAMENTO!B239</f>
        <v xml:space="preserve"> 95876 </v>
      </c>
      <c r="E752" s="25" t="str">
        <f>ORÇAMENTO!C239</f>
        <v>SINAPI</v>
      </c>
      <c r="F752" s="637" t="str">
        <f>ORÇAMENTO!D239</f>
        <v>TRANSPORTE COM CAMINHÃO BASCULANTE DE 14 M³, EM VIA URBANA PAVIMENTADA, DMT ATÉ 30 KM (UNIDADE: M3XKM). AF_07/2020</v>
      </c>
      <c r="G752" s="25" t="str">
        <f>ORÇAMENTO!E239</f>
        <v>M3XKM</v>
      </c>
      <c r="H752" s="25">
        <f>ORÇAMENTO!F239</f>
        <v>18011.615008141292</v>
      </c>
      <c r="I752" s="25">
        <f>ORÇAMENTO!G239</f>
        <v>2.1</v>
      </c>
      <c r="J752" s="25">
        <f>ORÇAMENTO!H239</f>
        <v>0.2122</v>
      </c>
      <c r="K752" s="25">
        <f>ORÇAMENTO!I239</f>
        <v>2.5499999999999998</v>
      </c>
      <c r="L752" s="25">
        <f>ORÇAMENTO!J239</f>
        <v>45929.61</v>
      </c>
      <c r="M752" s="23">
        <f>ORÇAMENTO!K239</f>
        <v>1.6237493742453208E-3</v>
      </c>
      <c r="N752" s="23" t="str">
        <f t="shared" si="45"/>
        <v>OK!</v>
      </c>
      <c r="O752" s="23" t="str">
        <f t="shared" si="46"/>
        <v>OK!</v>
      </c>
      <c r="P752" s="23" t="str">
        <f t="shared" si="47"/>
        <v>OK!</v>
      </c>
    </row>
    <row r="753" spans="2:16" ht="29" x14ac:dyDescent="0.35">
      <c r="B753" s="43">
        <f t="shared" si="44"/>
        <v>131</v>
      </c>
      <c r="C753" s="25" t="str">
        <f>ORÇAMENTO!A269</f>
        <v>4.2.1.3</v>
      </c>
      <c r="D753" s="25" t="str">
        <f>ORÇAMENTO!B269</f>
        <v xml:space="preserve"> 95876 </v>
      </c>
      <c r="E753" s="25" t="str">
        <f>ORÇAMENTO!C269</f>
        <v>SINAPI</v>
      </c>
      <c r="F753" s="637" t="str">
        <f>ORÇAMENTO!D269</f>
        <v>TRANSPORTE COM CAMINHÃO BASCULANTE DE 14 M³, EM VIA URBANA PAVIMENTADA, DMT ATÉ 30 KM (UNIDADE: M3XKM). AF_07/2020</v>
      </c>
      <c r="G753" s="25" t="str">
        <f>ORÇAMENTO!E269</f>
        <v>M3XKM</v>
      </c>
      <c r="H753" s="25">
        <f>ORÇAMENTO!F269</f>
        <v>36066.019999999997</v>
      </c>
      <c r="I753" s="25">
        <f>ORÇAMENTO!G269</f>
        <v>2.1</v>
      </c>
      <c r="J753" s="25">
        <f>ORÇAMENTO!H269</f>
        <v>0.2122</v>
      </c>
      <c r="K753" s="25">
        <f>ORÇAMENTO!I269</f>
        <v>2.5499999999999998</v>
      </c>
      <c r="L753" s="25">
        <f>ORÇAMENTO!J269</f>
        <v>91968.35</v>
      </c>
      <c r="M753" s="23">
        <f>ORÇAMENTO!K269</f>
        <v>3.2513568210763093E-3</v>
      </c>
      <c r="N753" s="23" t="str">
        <f t="shared" si="45"/>
        <v>OK!</v>
      </c>
      <c r="O753" s="23" t="str">
        <f t="shared" si="46"/>
        <v>OK!</v>
      </c>
      <c r="P753" s="23" t="str">
        <f t="shared" si="47"/>
        <v>OK!</v>
      </c>
    </row>
    <row r="754" spans="2:16" ht="29" x14ac:dyDescent="0.35">
      <c r="B754" s="43">
        <f t="shared" si="44"/>
        <v>131</v>
      </c>
      <c r="C754" s="25" t="str">
        <f>ORÇAMENTO!A274</f>
        <v>4.2.2.2</v>
      </c>
      <c r="D754" s="25" t="str">
        <f>ORÇAMENTO!B274</f>
        <v xml:space="preserve"> 95876 </v>
      </c>
      <c r="E754" s="25" t="str">
        <f>ORÇAMENTO!C274</f>
        <v>SINAPI</v>
      </c>
      <c r="F754" s="637" t="str">
        <f>ORÇAMENTO!D274</f>
        <v>TRANSPORTE COM CAMINHÃO BASCULANTE DE 14 M³, EM VIA URBANA PAVIMENTADA, DMT ATÉ 30 KM (UNIDADE: M3XKM). AF_07/2020</v>
      </c>
      <c r="G754" s="25" t="str">
        <f>ORÇAMENTO!E274</f>
        <v>M3XKM</v>
      </c>
      <c r="H754" s="25">
        <f>ORÇAMENTO!F274</f>
        <v>80228.0146106842</v>
      </c>
      <c r="I754" s="25">
        <f>ORÇAMENTO!G274</f>
        <v>2.1</v>
      </c>
      <c r="J754" s="25">
        <f>ORÇAMENTO!H274</f>
        <v>0.2122</v>
      </c>
      <c r="K754" s="25">
        <f>ORÇAMENTO!I274</f>
        <v>2.5499999999999998</v>
      </c>
      <c r="L754" s="25">
        <f>ORÇAMENTO!J274</f>
        <v>204581.43</v>
      </c>
      <c r="M754" s="23">
        <f>ORÇAMENTO!K274</f>
        <v>7.2325667242703106E-3</v>
      </c>
      <c r="N754" s="23" t="str">
        <f t="shared" si="45"/>
        <v>OK!</v>
      </c>
      <c r="O754" s="23" t="str">
        <f t="shared" si="46"/>
        <v>OK!</v>
      </c>
      <c r="P754" s="23" t="str">
        <f t="shared" si="47"/>
        <v>OK!</v>
      </c>
    </row>
    <row r="755" spans="2:16" ht="29" x14ac:dyDescent="0.35">
      <c r="B755" s="43">
        <f t="shared" si="44"/>
        <v>131</v>
      </c>
      <c r="C755" s="25" t="str">
        <f>ORÇAMENTO!A320</f>
        <v>4.4.16</v>
      </c>
      <c r="D755" s="25" t="str">
        <f>ORÇAMENTO!B320</f>
        <v xml:space="preserve"> 95876 </v>
      </c>
      <c r="E755" s="25" t="str">
        <f>ORÇAMENTO!C320</f>
        <v>SINAPI</v>
      </c>
      <c r="F755" s="637" t="str">
        <f>ORÇAMENTO!D320</f>
        <v>TRANSPORTE COM CAMINHÃO BASCULANTE DE 14 M³, EM VIA URBANA PAVIMENTADA, DMT ATÉ 30 KM (UNIDADE: M3XKM). AF_07/2020</v>
      </c>
      <c r="G755" s="25" t="str">
        <f>ORÇAMENTO!E320</f>
        <v>M3XKM</v>
      </c>
      <c r="H755" s="25">
        <f>ORÇAMENTO!F320</f>
        <v>288.02882448579174</v>
      </c>
      <c r="I755" s="25">
        <f>ORÇAMENTO!G320</f>
        <v>2.1</v>
      </c>
      <c r="J755" s="25">
        <f>ORÇAMENTO!H320</f>
        <v>0.2122</v>
      </c>
      <c r="K755" s="25">
        <f>ORÇAMENTO!I320</f>
        <v>2.5499999999999998</v>
      </c>
      <c r="L755" s="25">
        <f>ORÇAMENTO!J320</f>
        <v>734.47</v>
      </c>
      <c r="M755" s="23">
        <f>ORÇAMENTO!K320</f>
        <v>2.5965715861771106E-5</v>
      </c>
      <c r="N755" s="23" t="str">
        <f t="shared" si="45"/>
        <v>OK!</v>
      </c>
      <c r="O755" s="23" t="str">
        <f t="shared" si="46"/>
        <v>OK!</v>
      </c>
      <c r="P755" s="23" t="str">
        <f t="shared" si="47"/>
        <v>OK!</v>
      </c>
    </row>
    <row r="756" spans="2:16" ht="29" x14ac:dyDescent="0.35">
      <c r="B756" s="43">
        <f t="shared" si="44"/>
        <v>131</v>
      </c>
      <c r="C756" s="25" t="str">
        <f>ORÇAMENTO!A346</f>
        <v>5.1.1.2.3</v>
      </c>
      <c r="D756" s="25" t="str">
        <f>ORÇAMENTO!B346</f>
        <v xml:space="preserve"> 95876 </v>
      </c>
      <c r="E756" s="25" t="str">
        <f>ORÇAMENTO!C346</f>
        <v>SINAPI</v>
      </c>
      <c r="F756" s="637" t="str">
        <f>ORÇAMENTO!D346</f>
        <v>TRANSPORTE COM CAMINHÃO BASCULANTE DE 14 M³, EM VIA URBANA PAVIMENTADA, DMT ATÉ 30 KM (UNIDADE: M3XKM). AF_07/2020</v>
      </c>
      <c r="G756" s="25" t="str">
        <f>ORÇAMENTO!E346</f>
        <v>M3XKM</v>
      </c>
      <c r="H756" s="25">
        <f>ORÇAMENTO!F346</f>
        <v>3134.9105999999988</v>
      </c>
      <c r="I756" s="25">
        <f>ORÇAMENTO!G346</f>
        <v>2.1</v>
      </c>
      <c r="J756" s="25">
        <f>ORÇAMENTO!H346</f>
        <v>0.2122</v>
      </c>
      <c r="K756" s="25">
        <f>ORÇAMENTO!I346</f>
        <v>2.5499999999999998</v>
      </c>
      <c r="L756" s="25">
        <f>ORÇAMENTO!J346</f>
        <v>7994.02</v>
      </c>
      <c r="M756" s="23">
        <f>ORÇAMENTO!K346</f>
        <v>2.8261256676694144E-4</v>
      </c>
      <c r="N756" s="23" t="str">
        <f t="shared" si="45"/>
        <v>OK!</v>
      </c>
      <c r="O756" s="23" t="str">
        <f t="shared" si="46"/>
        <v>OK!</v>
      </c>
      <c r="P756" s="23" t="str">
        <f t="shared" si="47"/>
        <v>OK!</v>
      </c>
    </row>
    <row r="757" spans="2:16" ht="29" x14ac:dyDescent="0.35">
      <c r="B757" s="43">
        <f t="shared" si="44"/>
        <v>131</v>
      </c>
      <c r="C757" s="25" t="str">
        <f>ORÇAMENTO!A352</f>
        <v>5.1.1.3.4</v>
      </c>
      <c r="D757" s="25" t="str">
        <f>ORÇAMENTO!B352</f>
        <v xml:space="preserve"> 95876 </v>
      </c>
      <c r="E757" s="25" t="str">
        <f>ORÇAMENTO!C352</f>
        <v>SINAPI</v>
      </c>
      <c r="F757" s="637" t="str">
        <f>ORÇAMENTO!D352</f>
        <v>TRANSPORTE COM CAMINHÃO BASCULANTE DE 14 M³, EM VIA URBANA PAVIMENTADA, DMT ATÉ 30 KM (UNIDADE: M3XKM). AF_07/2020</v>
      </c>
      <c r="G757" s="25" t="str">
        <f>ORÇAMENTO!E352</f>
        <v>M3XKM</v>
      </c>
      <c r="H757" s="25">
        <f>ORÇAMENTO!F352</f>
        <v>1696.5110095445382</v>
      </c>
      <c r="I757" s="25">
        <f>ORÇAMENTO!G352</f>
        <v>2.1</v>
      </c>
      <c r="J757" s="25">
        <f>ORÇAMENTO!H352</f>
        <v>0.2122</v>
      </c>
      <c r="K757" s="25">
        <f>ORÇAMENTO!I352</f>
        <v>2.5499999999999998</v>
      </c>
      <c r="L757" s="25">
        <f>ORÇAMENTO!J352</f>
        <v>4326.1000000000004</v>
      </c>
      <c r="M757" s="23">
        <f>ORÇAMENTO!K352</f>
        <v>1.5294060123573186E-4</v>
      </c>
      <c r="N757" s="23" t="str">
        <f t="shared" si="45"/>
        <v>OK!</v>
      </c>
      <c r="O757" s="23" t="str">
        <f t="shared" si="46"/>
        <v>OK!</v>
      </c>
      <c r="P757" s="23" t="str">
        <f t="shared" si="47"/>
        <v>OK!</v>
      </c>
    </row>
    <row r="758" spans="2:16" ht="29" x14ac:dyDescent="0.35">
      <c r="B758" s="43">
        <f t="shared" si="44"/>
        <v>131</v>
      </c>
      <c r="C758" s="25" t="str">
        <f>ORÇAMENTO!A357</f>
        <v>5.1.1.4.3</v>
      </c>
      <c r="D758" s="25" t="str">
        <f>ORÇAMENTO!B357</f>
        <v xml:space="preserve"> 95876 </v>
      </c>
      <c r="E758" s="25" t="str">
        <f>ORÇAMENTO!C357</f>
        <v>SINAPI</v>
      </c>
      <c r="F758" s="637" t="str">
        <f>ORÇAMENTO!D357</f>
        <v>TRANSPORTE COM CAMINHÃO BASCULANTE DE 14 M³, EM VIA URBANA PAVIMENTADA, DMT ATÉ 30 KM (UNIDADE: M3XKM). AF_07/2020</v>
      </c>
      <c r="G758" s="25" t="str">
        <f>ORÇAMENTO!E357</f>
        <v>M3XKM</v>
      </c>
      <c r="H758" s="25">
        <f>ORÇAMENTO!F357</f>
        <v>9592.2498562832352</v>
      </c>
      <c r="I758" s="25">
        <f>ORÇAMENTO!G357</f>
        <v>2.1</v>
      </c>
      <c r="J758" s="25">
        <f>ORÇAMENTO!H357</f>
        <v>0.2122</v>
      </c>
      <c r="K758" s="25">
        <f>ORÇAMENTO!I357</f>
        <v>2.5499999999999998</v>
      </c>
      <c r="L758" s="25">
        <f>ORÇAMENTO!J357</f>
        <v>24460.23</v>
      </c>
      <c r="M758" s="23">
        <f>ORÇAMENTO!K357</f>
        <v>8.6474244297734344E-4</v>
      </c>
      <c r="N758" s="23" t="str">
        <f t="shared" si="45"/>
        <v>OK!</v>
      </c>
      <c r="O758" s="23" t="str">
        <f t="shared" si="46"/>
        <v>OK!</v>
      </c>
      <c r="P758" s="23" t="str">
        <f t="shared" si="47"/>
        <v>OK!</v>
      </c>
    </row>
    <row r="759" spans="2:16" ht="29" x14ac:dyDescent="0.35">
      <c r="B759" s="43">
        <f t="shared" si="44"/>
        <v>131</v>
      </c>
      <c r="C759" s="25" t="str">
        <f>ORÇAMENTO!A365</f>
        <v>5.1.1.5.6</v>
      </c>
      <c r="D759" s="25" t="str">
        <f>ORÇAMENTO!B365</f>
        <v xml:space="preserve"> 95876 </v>
      </c>
      <c r="E759" s="25" t="str">
        <f>ORÇAMENTO!C365</f>
        <v>SINAPI</v>
      </c>
      <c r="F759" s="637" t="str">
        <f>ORÇAMENTO!D365</f>
        <v>TRANSPORTE COM CAMINHÃO BASCULANTE DE 14 M³, EM VIA URBANA PAVIMENTADA, DMT ATÉ 30 KM (UNIDADE: M3XKM). AF_07/2020</v>
      </c>
      <c r="G759" s="25" t="str">
        <f>ORÇAMENTO!E365</f>
        <v>M3XKM</v>
      </c>
      <c r="H759" s="25">
        <f>ORÇAMENTO!F365</f>
        <v>776.9431800000001</v>
      </c>
      <c r="I759" s="25">
        <f>ORÇAMENTO!G365</f>
        <v>2.1</v>
      </c>
      <c r="J759" s="25">
        <f>ORÇAMENTO!H365</f>
        <v>0.2122</v>
      </c>
      <c r="K759" s="25">
        <f>ORÇAMENTO!I365</f>
        <v>2.5499999999999998</v>
      </c>
      <c r="L759" s="25">
        <f>ORÇAMENTO!J365</f>
        <v>1981.2</v>
      </c>
      <c r="M759" s="23">
        <f>ORÇAMENTO!K365</f>
        <v>7.0041358074994097E-5</v>
      </c>
      <c r="N759" s="23" t="str">
        <f t="shared" si="45"/>
        <v>OK!</v>
      </c>
      <c r="O759" s="23" t="str">
        <f t="shared" si="46"/>
        <v>OK!</v>
      </c>
      <c r="P759" s="23" t="str">
        <f t="shared" si="47"/>
        <v>OK!</v>
      </c>
    </row>
    <row r="760" spans="2:16" ht="29" x14ac:dyDescent="0.35">
      <c r="B760" s="43">
        <f t="shared" si="44"/>
        <v>131</v>
      </c>
      <c r="C760" s="25" t="str">
        <f>ORÇAMENTO!A371</f>
        <v>5.1.1.6.4</v>
      </c>
      <c r="D760" s="25" t="str">
        <f>ORÇAMENTO!B371</f>
        <v xml:space="preserve"> 95876 </v>
      </c>
      <c r="E760" s="25" t="str">
        <f>ORÇAMENTO!C371</f>
        <v>SINAPI</v>
      </c>
      <c r="F760" s="637" t="str">
        <f>ORÇAMENTO!D371</f>
        <v>TRANSPORTE COM CAMINHÃO BASCULANTE DE 14 M³, EM VIA URBANA PAVIMENTADA, DMT ATÉ 30 KM (UNIDADE: M3XKM). AF_07/2020</v>
      </c>
      <c r="G760" s="25" t="str">
        <f>ORÇAMENTO!E371</f>
        <v>M3XKM</v>
      </c>
      <c r="H760" s="25">
        <f>ORÇAMENTO!F371</f>
        <v>928.74408000000062</v>
      </c>
      <c r="I760" s="25">
        <f>ORÇAMENTO!G371</f>
        <v>2.1</v>
      </c>
      <c r="J760" s="25">
        <f>ORÇAMENTO!H371</f>
        <v>0.2122</v>
      </c>
      <c r="K760" s="25">
        <f>ORÇAMENTO!I371</f>
        <v>2.5499999999999998</v>
      </c>
      <c r="L760" s="25">
        <f>ORÇAMENTO!J371</f>
        <v>2368.29</v>
      </c>
      <c r="M760" s="23">
        <f>ORÇAMENTO!K371</f>
        <v>8.3726149765509677E-5</v>
      </c>
      <c r="N760" s="23" t="str">
        <f t="shared" si="45"/>
        <v>OK!</v>
      </c>
      <c r="O760" s="23" t="str">
        <f t="shared" si="46"/>
        <v>OK!</v>
      </c>
      <c r="P760" s="23" t="str">
        <f t="shared" si="47"/>
        <v>OK!</v>
      </c>
    </row>
    <row r="761" spans="2:16" ht="29" x14ac:dyDescent="0.35">
      <c r="B761" s="43">
        <f t="shared" si="44"/>
        <v>131</v>
      </c>
      <c r="C761" s="25" t="str">
        <f>ORÇAMENTO!A391</f>
        <v>5.1.2.1.14</v>
      </c>
      <c r="D761" s="25" t="str">
        <f>ORÇAMENTO!B391</f>
        <v xml:space="preserve"> 95876 </v>
      </c>
      <c r="E761" s="25" t="str">
        <f>ORÇAMENTO!C391</f>
        <v>SINAPI</v>
      </c>
      <c r="F761" s="637" t="str">
        <f>ORÇAMENTO!D391</f>
        <v>TRANSPORTE COM CAMINHÃO BASCULANTE DE 14 M³, EM VIA URBANA PAVIMENTADA, DMT ATÉ 30 KM (UNIDADE: M3XKM). AF_07/2020</v>
      </c>
      <c r="G761" s="25" t="str">
        <f>ORÇAMENTO!E391</f>
        <v>M3XKM</v>
      </c>
      <c r="H761" s="25">
        <f>ORÇAMENTO!F391</f>
        <v>61106.828399999999</v>
      </c>
      <c r="I761" s="25">
        <f>ORÇAMENTO!G391</f>
        <v>2.1</v>
      </c>
      <c r="J761" s="25">
        <f>ORÇAMENTO!H391</f>
        <v>0.2122</v>
      </c>
      <c r="K761" s="25">
        <f>ORÇAMENTO!I391</f>
        <v>2.5499999999999998</v>
      </c>
      <c r="L761" s="25">
        <f>ORÇAMENTO!J391</f>
        <v>155822.41</v>
      </c>
      <c r="M761" s="23">
        <f>ORÇAMENTO!K391</f>
        <v>5.5087892261854133E-3</v>
      </c>
      <c r="N761" s="23" t="str">
        <f t="shared" si="45"/>
        <v>OK!</v>
      </c>
      <c r="O761" s="23" t="str">
        <f t="shared" si="46"/>
        <v>OK!</v>
      </c>
      <c r="P761" s="23" t="str">
        <f t="shared" si="47"/>
        <v>OK!</v>
      </c>
    </row>
    <row r="762" spans="2:16" ht="29" x14ac:dyDescent="0.35">
      <c r="B762" s="43">
        <f t="shared" si="44"/>
        <v>131</v>
      </c>
      <c r="C762" s="25" t="str">
        <f>ORÇAMENTO!A422</f>
        <v>5.1.2.4.16</v>
      </c>
      <c r="D762" s="25" t="str">
        <f>ORÇAMENTO!B422</f>
        <v xml:space="preserve"> 95876 </v>
      </c>
      <c r="E762" s="25" t="str">
        <f>ORÇAMENTO!C422</f>
        <v>SINAPI</v>
      </c>
      <c r="F762" s="637" t="str">
        <f>ORÇAMENTO!D422</f>
        <v>TRANSPORTE COM CAMINHÃO BASCULANTE DE 14 M³, EM VIA URBANA PAVIMENTADA, DMT ATÉ 30 KM (UNIDADE: M3XKM). AF_07/2020</v>
      </c>
      <c r="G762" s="25" t="str">
        <f>ORÇAMENTO!E422</f>
        <v>M3XKM</v>
      </c>
      <c r="H762" s="25">
        <f>ORÇAMENTO!F422</f>
        <v>14067.625797375909</v>
      </c>
      <c r="I762" s="25">
        <f>ORÇAMENTO!G422</f>
        <v>2.1</v>
      </c>
      <c r="J762" s="25">
        <f>ORÇAMENTO!H422</f>
        <v>0.2122</v>
      </c>
      <c r="K762" s="25">
        <f>ORÇAMENTO!I422</f>
        <v>2.5499999999999998</v>
      </c>
      <c r="L762" s="25">
        <f>ORÇAMENTO!J422</f>
        <v>35872.44</v>
      </c>
      <c r="M762" s="23">
        <f>ORÇAMENTO!K422</f>
        <v>1.2681982712819207E-3</v>
      </c>
      <c r="N762" s="23" t="str">
        <f t="shared" si="45"/>
        <v>OK!</v>
      </c>
      <c r="O762" s="23" t="str">
        <f t="shared" si="46"/>
        <v>OK!</v>
      </c>
      <c r="P762" s="23" t="str">
        <f t="shared" si="47"/>
        <v>OK!</v>
      </c>
    </row>
    <row r="763" spans="2:16" ht="29" x14ac:dyDescent="0.35">
      <c r="B763" s="43">
        <f t="shared" si="44"/>
        <v>131</v>
      </c>
      <c r="C763" s="25" t="str">
        <f>ORÇAMENTO!A482</f>
        <v>5.1.2.6.38</v>
      </c>
      <c r="D763" s="25" t="str">
        <f>ORÇAMENTO!B482</f>
        <v xml:space="preserve"> 95876 </v>
      </c>
      <c r="E763" s="25" t="str">
        <f>ORÇAMENTO!C482</f>
        <v>SINAPI</v>
      </c>
      <c r="F763" s="637" t="str">
        <f>ORÇAMENTO!D482</f>
        <v>TRANSPORTE COM CAMINHÃO BASCULANTE DE 14 M³, EM VIA URBANA PAVIMENTADA, DMT ATÉ 30 KM (UNIDADE: M3XKM). AF_07/2020</v>
      </c>
      <c r="G763" s="25" t="str">
        <f>ORÇAMENTO!E482</f>
        <v>M3XKM</v>
      </c>
      <c r="H763" s="25">
        <f>ORÇAMENTO!F482</f>
        <v>9487.1537722775138</v>
      </c>
      <c r="I763" s="25">
        <f>ORÇAMENTO!G482</f>
        <v>2.1</v>
      </c>
      <c r="J763" s="25">
        <f>ORÇAMENTO!H482</f>
        <v>0.2122</v>
      </c>
      <c r="K763" s="25">
        <f>ORÇAMENTO!I482</f>
        <v>2.5499999999999998</v>
      </c>
      <c r="L763" s="25">
        <f>ORÇAMENTO!J482</f>
        <v>24192.240000000002</v>
      </c>
      <c r="M763" s="23">
        <f>ORÇAMENTO!K482</f>
        <v>8.5526819325469172E-4</v>
      </c>
      <c r="N763" s="23" t="str">
        <f t="shared" si="45"/>
        <v>OK!</v>
      </c>
      <c r="O763" s="23" t="str">
        <f t="shared" si="46"/>
        <v>OK!</v>
      </c>
      <c r="P763" s="23" t="str">
        <f t="shared" si="47"/>
        <v>OK!</v>
      </c>
    </row>
    <row r="764" spans="2:16" ht="29" x14ac:dyDescent="0.35">
      <c r="B764" s="43">
        <f t="shared" si="44"/>
        <v>131</v>
      </c>
      <c r="C764" s="25" t="str">
        <f>ORÇAMENTO!A533</f>
        <v>5.4.16</v>
      </c>
      <c r="D764" s="25" t="str">
        <f>ORÇAMENTO!B533</f>
        <v xml:space="preserve"> 95876 </v>
      </c>
      <c r="E764" s="25" t="str">
        <f>ORÇAMENTO!C533</f>
        <v>SINAPI</v>
      </c>
      <c r="F764" s="637" t="str">
        <f>ORÇAMENTO!D533</f>
        <v>TRANSPORTE COM CAMINHÃO BASCULANTE DE 14 M³, EM VIA URBANA PAVIMENTADA, DMT ATÉ 30 KM (UNIDADE: M3XKM). AF_07/2020</v>
      </c>
      <c r="G764" s="25" t="str">
        <f>ORÇAMENTO!E533</f>
        <v>M3XKM</v>
      </c>
      <c r="H764" s="25">
        <f>ORÇAMENTO!F533</f>
        <v>110.2749257822892</v>
      </c>
      <c r="I764" s="25">
        <f>ORÇAMENTO!G533</f>
        <v>2.1</v>
      </c>
      <c r="J764" s="25">
        <f>ORÇAMENTO!H533</f>
        <v>0.2122</v>
      </c>
      <c r="K764" s="25">
        <f>ORÇAMENTO!I533</f>
        <v>2.5499999999999998</v>
      </c>
      <c r="L764" s="25">
        <f>ORÇAMENTO!J533</f>
        <v>281.2</v>
      </c>
      <c r="M764" s="23">
        <f>ORÇAMENTO!K533</f>
        <v>9.9412628158128106E-6</v>
      </c>
      <c r="N764" s="23" t="str">
        <f t="shared" si="45"/>
        <v>OK!</v>
      </c>
      <c r="O764" s="23" t="str">
        <f t="shared" si="46"/>
        <v>OK!</v>
      </c>
      <c r="P764" s="23" t="str">
        <f t="shared" si="47"/>
        <v>OK!</v>
      </c>
    </row>
    <row r="765" spans="2:16" ht="29" x14ac:dyDescent="0.35">
      <c r="B765" s="43">
        <f t="shared" si="44"/>
        <v>131</v>
      </c>
      <c r="C765" s="25" t="str">
        <f>ORÇAMENTO!A559</f>
        <v>6.1.1.2.3</v>
      </c>
      <c r="D765" s="25" t="str">
        <f>ORÇAMENTO!B559</f>
        <v xml:space="preserve"> 95876 </v>
      </c>
      <c r="E765" s="25" t="str">
        <f>ORÇAMENTO!C559</f>
        <v>SINAPI</v>
      </c>
      <c r="F765" s="637" t="str">
        <f>ORÇAMENTO!D559</f>
        <v>TRANSPORTE COM CAMINHÃO BASCULANTE DE 14 M³, EM VIA URBANA PAVIMENTADA, DMT ATÉ 30 KM (UNIDADE: M3XKM). AF_07/2020</v>
      </c>
      <c r="G765" s="25" t="str">
        <f>ORÇAMENTO!E559</f>
        <v>M3XKM</v>
      </c>
      <c r="H765" s="25">
        <f>ORÇAMENTO!F559</f>
        <v>1107.0817150862058</v>
      </c>
      <c r="I765" s="25">
        <f>ORÇAMENTO!G559</f>
        <v>2.1</v>
      </c>
      <c r="J765" s="25">
        <f>ORÇAMENTO!H559</f>
        <v>0.2122</v>
      </c>
      <c r="K765" s="25">
        <f>ORÇAMENTO!I559</f>
        <v>2.5499999999999998</v>
      </c>
      <c r="L765" s="25">
        <f>ORÇAMENTO!J559</f>
        <v>2823.05</v>
      </c>
      <c r="M765" s="23">
        <f>ORÇAMENTO!K559</f>
        <v>9.9803278777312791E-5</v>
      </c>
      <c r="N765" s="23" t="str">
        <f t="shared" si="45"/>
        <v>OK!</v>
      </c>
      <c r="O765" s="23" t="str">
        <f t="shared" si="46"/>
        <v>OK!</v>
      </c>
      <c r="P765" s="23" t="str">
        <f t="shared" si="47"/>
        <v>OK!</v>
      </c>
    </row>
    <row r="766" spans="2:16" ht="29" x14ac:dyDescent="0.35">
      <c r="B766" s="43">
        <f t="shared" si="44"/>
        <v>131</v>
      </c>
      <c r="C766" s="25" t="str">
        <f>ORÇAMENTO!A564</f>
        <v>6.1.1.3.3</v>
      </c>
      <c r="D766" s="25" t="str">
        <f>ORÇAMENTO!B564</f>
        <v xml:space="preserve"> 95876 </v>
      </c>
      <c r="E766" s="25" t="str">
        <f>ORÇAMENTO!C564</f>
        <v>SINAPI</v>
      </c>
      <c r="F766" s="637" t="str">
        <f>ORÇAMENTO!D564</f>
        <v>TRANSPORTE COM CAMINHÃO BASCULANTE DE 14 M³, EM VIA URBANA PAVIMENTADA, DMT ATÉ 30 KM (UNIDADE: M3XKM). AF_07/2020</v>
      </c>
      <c r="G766" s="25" t="str">
        <f>ORÇAMENTO!E564</f>
        <v>M3XKM</v>
      </c>
      <c r="H766" s="25">
        <f>ORÇAMENTO!F564</f>
        <v>487.04553728843359</v>
      </c>
      <c r="I766" s="25">
        <f>ORÇAMENTO!G564</f>
        <v>2.1</v>
      </c>
      <c r="J766" s="25">
        <f>ORÇAMENTO!H564</f>
        <v>0.2122</v>
      </c>
      <c r="K766" s="25">
        <f>ORÇAMENTO!I564</f>
        <v>2.5499999999999998</v>
      </c>
      <c r="L766" s="25">
        <f>ORÇAMENTO!J564</f>
        <v>1241.96</v>
      </c>
      <c r="M766" s="23">
        <f>ORÇAMENTO!K564</f>
        <v>4.3907008416525172E-5</v>
      </c>
      <c r="N766" s="23" t="str">
        <f t="shared" si="45"/>
        <v>OK!</v>
      </c>
      <c r="O766" s="23" t="str">
        <f t="shared" si="46"/>
        <v>OK!</v>
      </c>
      <c r="P766" s="23" t="str">
        <f t="shared" si="47"/>
        <v>OK!</v>
      </c>
    </row>
    <row r="767" spans="2:16" ht="29" x14ac:dyDescent="0.35">
      <c r="B767" s="43">
        <f t="shared" si="44"/>
        <v>131</v>
      </c>
      <c r="C767" s="25" t="str">
        <f>ORÇAMENTO!A569</f>
        <v>6.1.1.4.3</v>
      </c>
      <c r="D767" s="25" t="str">
        <f>ORÇAMENTO!B569</f>
        <v xml:space="preserve"> 95876 </v>
      </c>
      <c r="E767" s="25" t="str">
        <f>ORÇAMENTO!C569</f>
        <v>SINAPI</v>
      </c>
      <c r="F767" s="637" t="str">
        <f>ORÇAMENTO!D569</f>
        <v>TRANSPORTE COM CAMINHÃO BASCULANTE DE 14 M³, EM VIA URBANA PAVIMENTADA, DMT ATÉ 30 KM (UNIDADE: M3XKM). AF_07/2020</v>
      </c>
      <c r="G767" s="25" t="str">
        <f>ORÇAMENTO!E569</f>
        <v>M3XKM</v>
      </c>
      <c r="H767" s="25">
        <f>ORÇAMENTO!F569</f>
        <v>2807.0880307281282</v>
      </c>
      <c r="I767" s="25">
        <f>ORÇAMENTO!G569</f>
        <v>2.1</v>
      </c>
      <c r="J767" s="25">
        <f>ORÇAMENTO!H569</f>
        <v>0.2122</v>
      </c>
      <c r="K767" s="25">
        <f>ORÇAMENTO!I569</f>
        <v>2.5499999999999998</v>
      </c>
      <c r="L767" s="25">
        <f>ORÇAMENTO!J569</f>
        <v>7158.07</v>
      </c>
      <c r="M767" s="23">
        <f>ORÇAMENTO!K569</f>
        <v>2.5305922874816926E-4</v>
      </c>
      <c r="N767" s="23" t="str">
        <f t="shared" si="45"/>
        <v>OK!</v>
      </c>
      <c r="O767" s="23" t="str">
        <f t="shared" si="46"/>
        <v>OK!</v>
      </c>
      <c r="P767" s="23" t="str">
        <f t="shared" si="47"/>
        <v>OK!</v>
      </c>
    </row>
    <row r="768" spans="2:16" ht="29" x14ac:dyDescent="0.35">
      <c r="B768" s="43">
        <f t="shared" si="44"/>
        <v>131</v>
      </c>
      <c r="C768" s="25" t="str">
        <f>ORÇAMENTO!A577</f>
        <v>6.1.1.5.6</v>
      </c>
      <c r="D768" s="25" t="str">
        <f>ORÇAMENTO!B577</f>
        <v xml:space="preserve"> 95876 </v>
      </c>
      <c r="E768" s="25" t="str">
        <f>ORÇAMENTO!C577</f>
        <v>SINAPI</v>
      </c>
      <c r="F768" s="637" t="str">
        <f>ORÇAMENTO!D577</f>
        <v>TRANSPORTE COM CAMINHÃO BASCULANTE DE 14 M³, EM VIA URBANA PAVIMENTADA, DMT ATÉ 30 KM (UNIDADE: M3XKM). AF_07/2020</v>
      </c>
      <c r="G768" s="25" t="str">
        <f>ORÇAMENTO!E577</f>
        <v>M3XKM</v>
      </c>
      <c r="H768" s="25">
        <f>ORÇAMENTO!F577</f>
        <v>451.70190000000002</v>
      </c>
      <c r="I768" s="25">
        <f>ORÇAMENTO!G577</f>
        <v>2.1</v>
      </c>
      <c r="J768" s="25">
        <f>ORÇAMENTO!H577</f>
        <v>0.2122</v>
      </c>
      <c r="K768" s="25">
        <f>ORÇAMENTO!I577</f>
        <v>2.5499999999999998</v>
      </c>
      <c r="L768" s="25">
        <f>ORÇAMENTO!J577</f>
        <v>1151.83</v>
      </c>
      <c r="M768" s="23">
        <f>ORÇAMENTO!K577</f>
        <v>4.0720642777872218E-5</v>
      </c>
      <c r="N768" s="23" t="str">
        <f t="shared" si="45"/>
        <v>OK!</v>
      </c>
      <c r="O768" s="23" t="str">
        <f t="shared" si="46"/>
        <v>OK!</v>
      </c>
      <c r="P768" s="23" t="str">
        <f t="shared" si="47"/>
        <v>OK!</v>
      </c>
    </row>
    <row r="769" spans="2:16" ht="29" x14ac:dyDescent="0.35">
      <c r="B769" s="43">
        <f t="shared" ref="B769:B832" si="48">IF(EXACT(D768,D769),B768,B768+1)</f>
        <v>131</v>
      </c>
      <c r="C769" s="25" t="str">
        <f>ORÇAMENTO!A583</f>
        <v>6.1.1.6.4</v>
      </c>
      <c r="D769" s="25" t="str">
        <f>ORÇAMENTO!B583</f>
        <v xml:space="preserve"> 95876 </v>
      </c>
      <c r="E769" s="25" t="str">
        <f>ORÇAMENTO!C583</f>
        <v>SINAPI</v>
      </c>
      <c r="F769" s="637" t="str">
        <f>ORÇAMENTO!D583</f>
        <v>TRANSPORTE COM CAMINHÃO BASCULANTE DE 14 M³, EM VIA URBANA PAVIMENTADA, DMT ATÉ 30 KM (UNIDADE: M3XKM). AF_07/2020</v>
      </c>
      <c r="G769" s="25" t="str">
        <f>ORÇAMENTO!E583</f>
        <v>M3XKM</v>
      </c>
      <c r="H769" s="25">
        <f>ORÇAMENTO!F583</f>
        <v>20.840399999998834</v>
      </c>
      <c r="I769" s="25">
        <f>ORÇAMENTO!G583</f>
        <v>2.1</v>
      </c>
      <c r="J769" s="25">
        <f>ORÇAMENTO!H583</f>
        <v>0.2122</v>
      </c>
      <c r="K769" s="25">
        <f>ORÇAMENTO!I583</f>
        <v>2.5499999999999998</v>
      </c>
      <c r="L769" s="25">
        <f>ORÇAMENTO!J583</f>
        <v>53.14</v>
      </c>
      <c r="M769" s="23">
        <f>ORÇAMENTO!K583</f>
        <v>1.8786582718075843E-6</v>
      </c>
      <c r="N769" s="23" t="str">
        <f t="shared" ref="N769:N832" si="49">IF(F769=F768,IF(G769=G768,"OK!","ERRADO"),"DIFERENTE")</f>
        <v>OK!</v>
      </c>
      <c r="O769" s="23" t="str">
        <f t="shared" ref="O769:O832" si="50">IF(F769=F768,IF(I769=I768,"OK!","ERRADO"),"DIFERENTE")</f>
        <v>OK!</v>
      </c>
      <c r="P769" s="23" t="str">
        <f t="shared" ref="P769:P832" si="51">IF(F769=F768,IF(D769=D768,"OK!","ERRADO"),"DIFERENTE")</f>
        <v>OK!</v>
      </c>
    </row>
    <row r="770" spans="2:16" ht="29" x14ac:dyDescent="0.35">
      <c r="B770" s="43">
        <f t="shared" si="48"/>
        <v>131</v>
      </c>
      <c r="C770" s="25" t="str">
        <f>ORÇAMENTO!A588</f>
        <v>6.1.1.7.3</v>
      </c>
      <c r="D770" s="25" t="str">
        <f>ORÇAMENTO!B588</f>
        <v xml:space="preserve"> 95876 </v>
      </c>
      <c r="E770" s="25" t="str">
        <f>ORÇAMENTO!C588</f>
        <v>SINAPI</v>
      </c>
      <c r="F770" s="637" t="str">
        <f>ORÇAMENTO!D588</f>
        <v>TRANSPORTE COM CAMINHÃO BASCULANTE DE 14 M³, EM VIA URBANA PAVIMENTADA, DMT ATÉ 30 KM (UNIDADE: M3XKM). AF_07/2020</v>
      </c>
      <c r="G770" s="25" t="str">
        <f>ORÇAMENTO!E588</f>
        <v>M3XKM</v>
      </c>
      <c r="H770" s="25">
        <f>ORÇAMENTO!F588</f>
        <v>1703.0999999999985</v>
      </c>
      <c r="I770" s="25">
        <f>ORÇAMENTO!G588</f>
        <v>2.1</v>
      </c>
      <c r="J770" s="25">
        <f>ORÇAMENTO!H588</f>
        <v>0.2122</v>
      </c>
      <c r="K770" s="25">
        <f>ORÇAMENTO!I588</f>
        <v>2.5499999999999998</v>
      </c>
      <c r="L770" s="25">
        <f>ORÇAMENTO!J588</f>
        <v>4342.8999999999996</v>
      </c>
      <c r="M770" s="23">
        <f>ORÇAMENTO!K588</f>
        <v>1.535345315888814E-4</v>
      </c>
      <c r="N770" s="23" t="str">
        <f t="shared" si="49"/>
        <v>OK!</v>
      </c>
      <c r="O770" s="23" t="str">
        <f t="shared" si="50"/>
        <v>OK!</v>
      </c>
      <c r="P770" s="23" t="str">
        <f t="shared" si="51"/>
        <v>OK!</v>
      </c>
    </row>
    <row r="771" spans="2:16" ht="29" x14ac:dyDescent="0.35">
      <c r="B771" s="43">
        <f t="shared" si="48"/>
        <v>131</v>
      </c>
      <c r="C771" s="25" t="str">
        <f>ORÇAMENTO!A604</f>
        <v>6.1.2.1.10</v>
      </c>
      <c r="D771" s="25" t="str">
        <f>ORÇAMENTO!B604</f>
        <v xml:space="preserve"> 95876 </v>
      </c>
      <c r="E771" s="25" t="str">
        <f>ORÇAMENTO!C604</f>
        <v>SINAPI</v>
      </c>
      <c r="F771" s="637" t="str">
        <f>ORÇAMENTO!D604</f>
        <v>TRANSPORTE COM CAMINHÃO BASCULANTE DE 14 M³, EM VIA URBANA PAVIMENTADA, DMT ATÉ 30 KM (UNIDADE: M3XKM). AF_07/2020</v>
      </c>
      <c r="G771" s="25" t="str">
        <f>ORÇAMENTO!E604</f>
        <v>M3XKM</v>
      </c>
      <c r="H771" s="25">
        <f>ORÇAMENTO!F604</f>
        <v>13617.216717622836</v>
      </c>
      <c r="I771" s="25">
        <f>ORÇAMENTO!G604</f>
        <v>2.1</v>
      </c>
      <c r="J771" s="25">
        <f>ORÇAMENTO!H604</f>
        <v>0.2122</v>
      </c>
      <c r="K771" s="25">
        <f>ORÇAMENTO!I604</f>
        <v>2.5499999999999998</v>
      </c>
      <c r="L771" s="25">
        <f>ORÇAMENTO!J604</f>
        <v>34723.9</v>
      </c>
      <c r="M771" s="23">
        <f>ORÇAMENTO!K604</f>
        <v>1.2275939398648736E-3</v>
      </c>
      <c r="N771" s="23" t="str">
        <f t="shared" si="49"/>
        <v>OK!</v>
      </c>
      <c r="O771" s="23" t="str">
        <f t="shared" si="50"/>
        <v>OK!</v>
      </c>
      <c r="P771" s="23" t="str">
        <f t="shared" si="51"/>
        <v>OK!</v>
      </c>
    </row>
    <row r="772" spans="2:16" ht="29" x14ac:dyDescent="0.35">
      <c r="B772" s="43">
        <f t="shared" si="48"/>
        <v>131</v>
      </c>
      <c r="C772" s="25" t="str">
        <f>ORÇAMENTO!A634</f>
        <v>6.1.2.4.16</v>
      </c>
      <c r="D772" s="25" t="str">
        <f>ORÇAMENTO!B634</f>
        <v xml:space="preserve"> 95876 </v>
      </c>
      <c r="E772" s="25" t="str">
        <f>ORÇAMENTO!C634</f>
        <v>SINAPI</v>
      </c>
      <c r="F772" s="637" t="str">
        <f>ORÇAMENTO!D634</f>
        <v>TRANSPORTE COM CAMINHÃO BASCULANTE DE 14 M³, EM VIA URBANA PAVIMENTADA, DMT ATÉ 30 KM (UNIDADE: M3XKM). AF_07/2020</v>
      </c>
      <c r="G772" s="25" t="str">
        <f>ORÇAMENTO!E634</f>
        <v>M3XKM</v>
      </c>
      <c r="H772" s="25">
        <f>ORÇAMENTO!F634</f>
        <v>3431.8210414889527</v>
      </c>
      <c r="I772" s="25">
        <f>ORÇAMENTO!G634</f>
        <v>2.1</v>
      </c>
      <c r="J772" s="25">
        <f>ORÇAMENTO!H634</f>
        <v>0.2122</v>
      </c>
      <c r="K772" s="25">
        <f>ORÇAMENTO!I634</f>
        <v>2.5499999999999998</v>
      </c>
      <c r="L772" s="25">
        <f>ORÇAMENTO!J634</f>
        <v>8751.14</v>
      </c>
      <c r="M772" s="23">
        <f>ORÇAMENTO!K634</f>
        <v>3.0937902801554803E-4</v>
      </c>
      <c r="N772" s="23" t="str">
        <f t="shared" si="49"/>
        <v>OK!</v>
      </c>
      <c r="O772" s="23" t="str">
        <f t="shared" si="50"/>
        <v>OK!</v>
      </c>
      <c r="P772" s="23" t="str">
        <f t="shared" si="51"/>
        <v>OK!</v>
      </c>
    </row>
    <row r="773" spans="2:16" ht="29" x14ac:dyDescent="0.35">
      <c r="B773" s="43">
        <f t="shared" si="48"/>
        <v>131</v>
      </c>
      <c r="C773" s="25" t="str">
        <f>ORÇAMENTO!A677</f>
        <v>6.1.2.6.30</v>
      </c>
      <c r="D773" s="25" t="str">
        <f>ORÇAMENTO!B677</f>
        <v xml:space="preserve"> 95876 </v>
      </c>
      <c r="E773" s="25" t="str">
        <f>ORÇAMENTO!C677</f>
        <v>SINAPI</v>
      </c>
      <c r="F773" s="637" t="str">
        <f>ORÇAMENTO!D677</f>
        <v>TRANSPORTE COM CAMINHÃO BASCULANTE DE 14 M³, EM VIA URBANA PAVIMENTADA, DMT ATÉ 30 KM (UNIDADE: M3XKM). AF_07/2020</v>
      </c>
      <c r="G773" s="25" t="str">
        <f>ORÇAMENTO!E677</f>
        <v>M3XKM</v>
      </c>
      <c r="H773" s="25">
        <f>ORÇAMENTO!F677</f>
        <v>7523.7646400441317</v>
      </c>
      <c r="I773" s="25">
        <f>ORÇAMENTO!G677</f>
        <v>2.1</v>
      </c>
      <c r="J773" s="25">
        <f>ORÇAMENTO!H677</f>
        <v>0.2122</v>
      </c>
      <c r="K773" s="25">
        <f>ORÇAMENTO!I677</f>
        <v>2.5499999999999998</v>
      </c>
      <c r="L773" s="25">
        <f>ORÇAMENTO!J677</f>
        <v>19185.59</v>
      </c>
      <c r="M773" s="23">
        <f>ORÇAMENTO!K677</f>
        <v>6.7826810976682106E-4</v>
      </c>
      <c r="N773" s="23" t="str">
        <f t="shared" si="49"/>
        <v>OK!</v>
      </c>
      <c r="O773" s="23" t="str">
        <f t="shared" si="50"/>
        <v>OK!</v>
      </c>
      <c r="P773" s="23" t="str">
        <f t="shared" si="51"/>
        <v>OK!</v>
      </c>
    </row>
    <row r="774" spans="2:16" ht="29" x14ac:dyDescent="0.35">
      <c r="B774" s="43">
        <f t="shared" si="48"/>
        <v>131</v>
      </c>
      <c r="C774" s="25" t="str">
        <f>ORÇAMENTO!A723</f>
        <v>6.4.13</v>
      </c>
      <c r="D774" s="25" t="str">
        <f>ORÇAMENTO!B723</f>
        <v xml:space="preserve"> 95876 </v>
      </c>
      <c r="E774" s="25" t="str">
        <f>ORÇAMENTO!C723</f>
        <v>SINAPI</v>
      </c>
      <c r="F774" s="637" t="str">
        <f>ORÇAMENTO!D723</f>
        <v>TRANSPORTE COM CAMINHÃO BASCULANTE DE 14 M³, EM VIA URBANA PAVIMENTADA, DMT ATÉ 30 KM (UNIDADE: M3XKM). AF_07/2020</v>
      </c>
      <c r="G774" s="25" t="str">
        <f>ORÇAMENTO!E723</f>
        <v>M3XKM</v>
      </c>
      <c r="H774" s="25">
        <f>ORÇAMENTO!F723</f>
        <v>154.97904404611384</v>
      </c>
      <c r="I774" s="25">
        <f>ORÇAMENTO!G723</f>
        <v>2.1</v>
      </c>
      <c r="J774" s="25">
        <f>ORÇAMENTO!H723</f>
        <v>0.2122</v>
      </c>
      <c r="K774" s="25">
        <f>ORÇAMENTO!I723</f>
        <v>2.5499999999999998</v>
      </c>
      <c r="L774" s="25">
        <f>ORÇAMENTO!J723</f>
        <v>395.19</v>
      </c>
      <c r="M774" s="23">
        <f>ORÇAMENTO!K723</f>
        <v>1.3971150967926972E-5</v>
      </c>
      <c r="N774" s="23" t="str">
        <f t="shared" si="49"/>
        <v>OK!</v>
      </c>
      <c r="O774" s="23" t="str">
        <f t="shared" si="50"/>
        <v>OK!</v>
      </c>
      <c r="P774" s="23" t="str">
        <f t="shared" si="51"/>
        <v>OK!</v>
      </c>
    </row>
    <row r="775" spans="2:16" ht="29" x14ac:dyDescent="0.35">
      <c r="B775" s="43">
        <f t="shared" si="48"/>
        <v>131</v>
      </c>
      <c r="C775" s="25" t="str">
        <f>ORÇAMENTO!A749</f>
        <v>7.1.1.2.3</v>
      </c>
      <c r="D775" s="25" t="str">
        <f>ORÇAMENTO!B749</f>
        <v xml:space="preserve"> 95876 </v>
      </c>
      <c r="E775" s="25" t="str">
        <f>ORÇAMENTO!C749</f>
        <v>SINAPI</v>
      </c>
      <c r="F775" s="637" t="str">
        <f>ORÇAMENTO!D749</f>
        <v>TRANSPORTE COM CAMINHÃO BASCULANTE DE 14 M³, EM VIA URBANA PAVIMENTADA, DMT ATÉ 30 KM (UNIDADE: M3XKM). AF_07/2020</v>
      </c>
      <c r="G775" s="25" t="str">
        <f>ORÇAMENTO!E749</f>
        <v>M3XKM</v>
      </c>
      <c r="H775" s="25">
        <f>ORÇAMENTO!F749</f>
        <v>3594.0986999999991</v>
      </c>
      <c r="I775" s="25">
        <f>ORÇAMENTO!G749</f>
        <v>2.1</v>
      </c>
      <c r="J775" s="25">
        <f>ORÇAMENTO!H749</f>
        <v>0.2122</v>
      </c>
      <c r="K775" s="25">
        <f>ORÇAMENTO!I749</f>
        <v>2.5499999999999998</v>
      </c>
      <c r="L775" s="25">
        <f>ORÇAMENTO!J749</f>
        <v>9164.9500000000007</v>
      </c>
      <c r="M775" s="23">
        <f>ORÇAMENTO!K749</f>
        <v>3.2400845179154914E-4</v>
      </c>
      <c r="N775" s="23" t="str">
        <f t="shared" si="49"/>
        <v>OK!</v>
      </c>
      <c r="O775" s="23" t="str">
        <f t="shared" si="50"/>
        <v>OK!</v>
      </c>
      <c r="P775" s="23" t="str">
        <f t="shared" si="51"/>
        <v>OK!</v>
      </c>
    </row>
    <row r="776" spans="2:16" ht="29" x14ac:dyDescent="0.35">
      <c r="B776" s="43">
        <f t="shared" si="48"/>
        <v>131</v>
      </c>
      <c r="C776" s="25" t="str">
        <f>ORÇAMENTO!A754</f>
        <v>7.1.1.3.3</v>
      </c>
      <c r="D776" s="25" t="str">
        <f>ORÇAMENTO!B754</f>
        <v xml:space="preserve"> 95876 </v>
      </c>
      <c r="E776" s="25" t="str">
        <f>ORÇAMENTO!C754</f>
        <v>SINAPI</v>
      </c>
      <c r="F776" s="637" t="str">
        <f>ORÇAMENTO!D754</f>
        <v>TRANSPORTE COM CAMINHÃO BASCULANTE DE 14 M³, EM VIA URBANA PAVIMENTADA, DMT ATÉ 30 KM (UNIDADE: M3XKM). AF_07/2020</v>
      </c>
      <c r="G776" s="25" t="str">
        <f>ORÇAMENTO!E754</f>
        <v>M3XKM</v>
      </c>
      <c r="H776" s="25">
        <f>ORÇAMENTO!F754</f>
        <v>2211.107702266389</v>
      </c>
      <c r="I776" s="25">
        <f>ORÇAMENTO!G754</f>
        <v>2.1</v>
      </c>
      <c r="J776" s="25">
        <f>ORÇAMENTO!H754</f>
        <v>0.2122</v>
      </c>
      <c r="K776" s="25">
        <f>ORÇAMENTO!I754</f>
        <v>2.5499999999999998</v>
      </c>
      <c r="L776" s="25">
        <f>ORÇAMENTO!J754</f>
        <v>5638.32</v>
      </c>
      <c r="M776" s="23">
        <f>ORÇAMENTO!K754</f>
        <v>1.9933151123632177E-4</v>
      </c>
      <c r="N776" s="23" t="str">
        <f t="shared" si="49"/>
        <v>OK!</v>
      </c>
      <c r="O776" s="23" t="str">
        <f t="shared" si="50"/>
        <v>OK!</v>
      </c>
      <c r="P776" s="23" t="str">
        <f t="shared" si="51"/>
        <v>OK!</v>
      </c>
    </row>
    <row r="777" spans="2:16" ht="29" x14ac:dyDescent="0.35">
      <c r="B777" s="43">
        <f t="shared" si="48"/>
        <v>131</v>
      </c>
      <c r="C777" s="25" t="str">
        <f>ORÇAMENTO!A759</f>
        <v>7.1.1.4.3</v>
      </c>
      <c r="D777" s="25" t="str">
        <f>ORÇAMENTO!B759</f>
        <v xml:space="preserve"> 95876 </v>
      </c>
      <c r="E777" s="25" t="str">
        <f>ORÇAMENTO!C759</f>
        <v>SINAPI</v>
      </c>
      <c r="F777" s="637" t="str">
        <f>ORÇAMENTO!D759</f>
        <v>TRANSPORTE COM CAMINHÃO BASCULANTE DE 14 M³, EM VIA URBANA PAVIMENTADA, DMT ATÉ 30 KM (UNIDADE: M3XKM). AF_07/2020</v>
      </c>
      <c r="G777" s="25" t="str">
        <f>ORÇAMENTO!E759</f>
        <v>M3XKM</v>
      </c>
      <c r="H777" s="25">
        <f>ORÇAMENTO!F759</f>
        <v>14617.925524667375</v>
      </c>
      <c r="I777" s="25">
        <f>ORÇAMENTO!G759</f>
        <v>2.1</v>
      </c>
      <c r="J777" s="25">
        <f>ORÇAMENTO!H759</f>
        <v>0.2122</v>
      </c>
      <c r="K777" s="25">
        <f>ORÇAMENTO!I759</f>
        <v>2.5499999999999998</v>
      </c>
      <c r="L777" s="25">
        <f>ORÇAMENTO!J759</f>
        <v>37275.71</v>
      </c>
      <c r="M777" s="23">
        <f>ORÇAMENTO!K759</f>
        <v>1.3178080716785979E-3</v>
      </c>
      <c r="N777" s="23" t="str">
        <f t="shared" si="49"/>
        <v>OK!</v>
      </c>
      <c r="O777" s="23" t="str">
        <f t="shared" si="50"/>
        <v>OK!</v>
      </c>
      <c r="P777" s="23" t="str">
        <f t="shared" si="51"/>
        <v>OK!</v>
      </c>
    </row>
    <row r="778" spans="2:16" ht="29" x14ac:dyDescent="0.35">
      <c r="B778" s="43">
        <f t="shared" si="48"/>
        <v>131</v>
      </c>
      <c r="C778" s="25" t="str">
        <f>ORÇAMENTO!A767</f>
        <v>7.1.1.5.6</v>
      </c>
      <c r="D778" s="25" t="str">
        <f>ORÇAMENTO!B767</f>
        <v xml:space="preserve"> 95876 </v>
      </c>
      <c r="E778" s="25" t="str">
        <f>ORÇAMENTO!C767</f>
        <v>SINAPI</v>
      </c>
      <c r="F778" s="637" t="str">
        <f>ORÇAMENTO!D767</f>
        <v>TRANSPORTE COM CAMINHÃO BASCULANTE DE 14 M³, EM VIA URBANA PAVIMENTADA, DMT ATÉ 30 KM (UNIDADE: M3XKM). AF_07/2020</v>
      </c>
      <c r="G778" s="25" t="str">
        <f>ORÇAMENTO!E767</f>
        <v>M3XKM</v>
      </c>
      <c r="H778" s="25">
        <f>ORÇAMENTO!F767</f>
        <v>677.33406000000002</v>
      </c>
      <c r="I778" s="25">
        <f>ORÇAMENTO!G767</f>
        <v>2.1</v>
      </c>
      <c r="J778" s="25">
        <f>ORÇAMENTO!H767</f>
        <v>0.2122</v>
      </c>
      <c r="K778" s="25">
        <f>ORÇAMENTO!I767</f>
        <v>2.5499999999999998</v>
      </c>
      <c r="L778" s="25">
        <f>ORÇAMENTO!J767</f>
        <v>1727.2</v>
      </c>
      <c r="M778" s="23">
        <f>ORÇAMENTO!K767</f>
        <v>6.1061696783328183E-5</v>
      </c>
      <c r="N778" s="23" t="str">
        <f t="shared" si="49"/>
        <v>OK!</v>
      </c>
      <c r="O778" s="23" t="str">
        <f t="shared" si="50"/>
        <v>OK!</v>
      </c>
      <c r="P778" s="23" t="str">
        <f t="shared" si="51"/>
        <v>OK!</v>
      </c>
    </row>
    <row r="779" spans="2:16" ht="29" x14ac:dyDescent="0.35">
      <c r="B779" s="43">
        <f t="shared" si="48"/>
        <v>131</v>
      </c>
      <c r="C779" s="25" t="str">
        <f>ORÇAMENTO!A773</f>
        <v>7.1.1.6.4</v>
      </c>
      <c r="D779" s="25" t="str">
        <f>ORÇAMENTO!B773</f>
        <v xml:space="preserve"> 95876 </v>
      </c>
      <c r="E779" s="25" t="str">
        <f>ORÇAMENTO!C773</f>
        <v>SINAPI</v>
      </c>
      <c r="F779" s="637" t="str">
        <f>ORÇAMENTO!D773</f>
        <v>TRANSPORTE COM CAMINHÃO BASCULANTE DE 14 M³, EM VIA URBANA PAVIMENTADA, DMT ATÉ 30 KM (UNIDADE: M3XKM). AF_07/2020</v>
      </c>
      <c r="G779" s="25" t="str">
        <f>ORÇAMENTO!E773</f>
        <v>M3XKM</v>
      </c>
      <c r="H779" s="25">
        <f>ORÇAMENTO!F773</f>
        <v>664.22234400000002</v>
      </c>
      <c r="I779" s="25">
        <f>ORÇAMENTO!G773</f>
        <v>2.1</v>
      </c>
      <c r="J779" s="25">
        <f>ORÇAMENTO!H773</f>
        <v>0.2122</v>
      </c>
      <c r="K779" s="25">
        <f>ORÇAMENTO!I773</f>
        <v>2.5499999999999998</v>
      </c>
      <c r="L779" s="25">
        <f>ORÇAMENTO!J773</f>
        <v>1693.76</v>
      </c>
      <c r="M779" s="23">
        <f>ORÇAMENTO!K773</f>
        <v>5.9879492556582876E-5</v>
      </c>
      <c r="N779" s="23" t="str">
        <f t="shared" si="49"/>
        <v>OK!</v>
      </c>
      <c r="O779" s="23" t="str">
        <f t="shared" si="50"/>
        <v>OK!</v>
      </c>
      <c r="P779" s="23" t="str">
        <f t="shared" si="51"/>
        <v>OK!</v>
      </c>
    </row>
    <row r="780" spans="2:16" ht="29" x14ac:dyDescent="0.35">
      <c r="B780" s="43">
        <f t="shared" si="48"/>
        <v>131</v>
      </c>
      <c r="C780" s="25" t="str">
        <f>ORÇAMENTO!A778</f>
        <v>7.1.1.7.3</v>
      </c>
      <c r="D780" s="25" t="str">
        <f>ORÇAMENTO!B778</f>
        <v xml:space="preserve"> 95876 </v>
      </c>
      <c r="E780" s="25" t="str">
        <f>ORÇAMENTO!C778</f>
        <v>SINAPI</v>
      </c>
      <c r="F780" s="637" t="str">
        <f>ORÇAMENTO!D778</f>
        <v>TRANSPORTE COM CAMINHÃO BASCULANTE DE 14 M³, EM VIA URBANA PAVIMENTADA, DMT ATÉ 30 KM (UNIDADE: M3XKM). AF_07/2020</v>
      </c>
      <c r="G780" s="25" t="str">
        <f>ORÇAMENTO!E778</f>
        <v>M3XKM</v>
      </c>
      <c r="H780" s="25">
        <f>ORÇAMENTO!F778</f>
        <v>7.354154242788348</v>
      </c>
      <c r="I780" s="25">
        <f>ORÇAMENTO!G778</f>
        <v>2.1</v>
      </c>
      <c r="J780" s="25">
        <f>ORÇAMENTO!H778</f>
        <v>0.2122</v>
      </c>
      <c r="K780" s="25">
        <f>ORÇAMENTO!I778</f>
        <v>2.5499999999999998</v>
      </c>
      <c r="L780" s="25">
        <f>ORÇAMENTO!J778</f>
        <v>18.75</v>
      </c>
      <c r="M780" s="23">
        <f>ORÇAMENTO!K778</f>
        <v>6.6286869771155828E-7</v>
      </c>
      <c r="N780" s="23" t="str">
        <f t="shared" si="49"/>
        <v>OK!</v>
      </c>
      <c r="O780" s="23" t="str">
        <f t="shared" si="50"/>
        <v>OK!</v>
      </c>
      <c r="P780" s="23" t="str">
        <f t="shared" si="51"/>
        <v>OK!</v>
      </c>
    </row>
    <row r="781" spans="2:16" ht="29" x14ac:dyDescent="0.35">
      <c r="B781" s="43">
        <f t="shared" si="48"/>
        <v>131</v>
      </c>
      <c r="C781" s="25" t="str">
        <f>ORÇAMENTO!A799</f>
        <v>7.1.2.1.15</v>
      </c>
      <c r="D781" s="25" t="str">
        <f>ORÇAMENTO!B799</f>
        <v xml:space="preserve"> 95876 </v>
      </c>
      <c r="E781" s="25" t="str">
        <f>ORÇAMENTO!C799</f>
        <v>SINAPI</v>
      </c>
      <c r="F781" s="637" t="str">
        <f>ORÇAMENTO!D799</f>
        <v>TRANSPORTE COM CAMINHÃO BASCULANTE DE 14 M³, EM VIA URBANA PAVIMENTADA, DMT ATÉ 30 KM (UNIDADE: M3XKM). AF_07/2020</v>
      </c>
      <c r="G781" s="25" t="str">
        <f>ORÇAMENTO!E799</f>
        <v>M3XKM</v>
      </c>
      <c r="H781" s="25">
        <f>ORÇAMENTO!F799</f>
        <v>60497.998585044552</v>
      </c>
      <c r="I781" s="25">
        <f>ORÇAMENTO!G799</f>
        <v>2.1</v>
      </c>
      <c r="J781" s="25">
        <f>ORÇAMENTO!H799</f>
        <v>0.2122</v>
      </c>
      <c r="K781" s="25">
        <f>ORÇAMENTO!I799</f>
        <v>2.5499999999999998</v>
      </c>
      <c r="L781" s="25">
        <f>ORÇAMENTO!J799</f>
        <v>154269.89000000001</v>
      </c>
      <c r="M781" s="23">
        <f>ORÇAMENTO!K799</f>
        <v>5.4539029909549527E-3</v>
      </c>
      <c r="N781" s="23" t="str">
        <f t="shared" si="49"/>
        <v>OK!</v>
      </c>
      <c r="O781" s="23" t="str">
        <f t="shared" si="50"/>
        <v>OK!</v>
      </c>
      <c r="P781" s="23" t="str">
        <f t="shared" si="51"/>
        <v>OK!</v>
      </c>
    </row>
    <row r="782" spans="2:16" ht="29" x14ac:dyDescent="0.35">
      <c r="B782" s="43">
        <f t="shared" si="48"/>
        <v>131</v>
      </c>
      <c r="C782" s="25" t="str">
        <f>ORÇAMENTO!A831</f>
        <v>7.1.2.4.16</v>
      </c>
      <c r="D782" s="25" t="str">
        <f>ORÇAMENTO!B831</f>
        <v xml:space="preserve"> 95876 </v>
      </c>
      <c r="E782" s="25" t="str">
        <f>ORÇAMENTO!C831</f>
        <v>SINAPI</v>
      </c>
      <c r="F782" s="637" t="str">
        <f>ORÇAMENTO!D831</f>
        <v>TRANSPORTE COM CAMINHÃO BASCULANTE DE 14 M³, EM VIA URBANA PAVIMENTADA, DMT ATÉ 30 KM (UNIDADE: M3XKM). AF_07/2020</v>
      </c>
      <c r="G782" s="25" t="str">
        <f>ORÇAMENTO!E831</f>
        <v>M3XKM</v>
      </c>
      <c r="H782" s="25">
        <f>ORÇAMENTO!F831</f>
        <v>19454.999509659989</v>
      </c>
      <c r="I782" s="25">
        <f>ORÇAMENTO!G831</f>
        <v>2.1</v>
      </c>
      <c r="J782" s="25">
        <f>ORÇAMENTO!H831</f>
        <v>0.2122</v>
      </c>
      <c r="K782" s="25">
        <f>ORÇAMENTO!I831</f>
        <v>2.5499999999999998</v>
      </c>
      <c r="L782" s="25">
        <f>ORÇAMENTO!J831</f>
        <v>49610.239999999998</v>
      </c>
      <c r="M782" s="23">
        <f>ORÇAMENTO!K831</f>
        <v>1.7538706763710857E-3</v>
      </c>
      <c r="N782" s="23" t="str">
        <f t="shared" si="49"/>
        <v>OK!</v>
      </c>
      <c r="O782" s="23" t="str">
        <f t="shared" si="50"/>
        <v>OK!</v>
      </c>
      <c r="P782" s="23" t="str">
        <f t="shared" si="51"/>
        <v>OK!</v>
      </c>
    </row>
    <row r="783" spans="2:16" ht="29" x14ac:dyDescent="0.35">
      <c r="B783" s="43">
        <f t="shared" si="48"/>
        <v>131</v>
      </c>
      <c r="C783" s="25" t="str">
        <f>ORÇAMENTO!A890</f>
        <v>7.1.2.6.37</v>
      </c>
      <c r="D783" s="25" t="str">
        <f>ORÇAMENTO!B890</f>
        <v xml:space="preserve"> 95876 </v>
      </c>
      <c r="E783" s="25" t="str">
        <f>ORÇAMENTO!C890</f>
        <v>SINAPI</v>
      </c>
      <c r="F783" s="637" t="str">
        <f>ORÇAMENTO!D890</f>
        <v>TRANSPORTE COM CAMINHÃO BASCULANTE DE 14 M³, EM VIA URBANA PAVIMENTADA, DMT ATÉ 30 KM (UNIDADE: M3XKM). AF_07/2020</v>
      </c>
      <c r="G783" s="25" t="str">
        <f>ORÇAMENTO!E890</f>
        <v>M3XKM</v>
      </c>
      <c r="H783" s="25">
        <f>ORÇAMENTO!F890</f>
        <v>21985.457371870172</v>
      </c>
      <c r="I783" s="25">
        <f>ORÇAMENTO!G890</f>
        <v>2.1</v>
      </c>
      <c r="J783" s="25">
        <f>ORÇAMENTO!H890</f>
        <v>0.2122</v>
      </c>
      <c r="K783" s="25">
        <f>ORÇAMENTO!I890</f>
        <v>2.5499999999999998</v>
      </c>
      <c r="L783" s="25">
        <f>ORÇAMENTO!J890</f>
        <v>56062.91</v>
      </c>
      <c r="M783" s="23">
        <f>ORÇAMENTO!K890</f>
        <v>1.981991900886416E-3</v>
      </c>
      <c r="N783" s="23" t="str">
        <f t="shared" si="49"/>
        <v>OK!</v>
      </c>
      <c r="O783" s="23" t="str">
        <f t="shared" si="50"/>
        <v>OK!</v>
      </c>
      <c r="P783" s="23" t="str">
        <f t="shared" si="51"/>
        <v>OK!</v>
      </c>
    </row>
    <row r="784" spans="2:16" ht="29" x14ac:dyDescent="0.35">
      <c r="B784" s="43">
        <f t="shared" si="48"/>
        <v>131</v>
      </c>
      <c r="C784" s="25" t="str">
        <f>ORÇAMENTO!A947</f>
        <v>7.4.15</v>
      </c>
      <c r="D784" s="25" t="str">
        <f>ORÇAMENTO!B947</f>
        <v xml:space="preserve"> 95876 </v>
      </c>
      <c r="E784" s="25" t="str">
        <f>ORÇAMENTO!C947</f>
        <v>SINAPI</v>
      </c>
      <c r="F784" s="26" t="str">
        <f>ORÇAMENTO!D947</f>
        <v>TRANSPORTE COM CAMINHÃO BASCULANTE DE 14 M³, EM VIA URBANA PAVIMENTADA, DMT ATÉ 30 KM (UNIDADE: M3XKM). AF_07/2020</v>
      </c>
      <c r="G784" s="25" t="str">
        <f>ORÇAMENTO!E947</f>
        <v>M3XKM</v>
      </c>
      <c r="H784" s="25">
        <f>ORÇAMENTO!F947</f>
        <v>139.63826427668366</v>
      </c>
      <c r="I784" s="25">
        <f>ORÇAMENTO!G947</f>
        <v>2.1</v>
      </c>
      <c r="J784" s="25">
        <f>ORÇAMENTO!H947</f>
        <v>0.2122</v>
      </c>
      <c r="K784" s="25">
        <f>ORÇAMENTO!I947</f>
        <v>2.5499999999999998</v>
      </c>
      <c r="L784" s="45">
        <f>ORÇAMENTO!J947</f>
        <v>356.07</v>
      </c>
      <c r="M784" s="23">
        <f>ORÇAMENTO!K947</f>
        <v>1.2588141717021577E-5</v>
      </c>
      <c r="N784" s="23" t="str">
        <f t="shared" si="49"/>
        <v>OK!</v>
      </c>
      <c r="O784" s="23" t="str">
        <f t="shared" si="50"/>
        <v>OK!</v>
      </c>
      <c r="P784" s="23" t="str">
        <f t="shared" si="51"/>
        <v>OK!</v>
      </c>
    </row>
    <row r="785" spans="2:16" ht="29" x14ac:dyDescent="0.35">
      <c r="B785" s="43">
        <f t="shared" si="48"/>
        <v>131</v>
      </c>
      <c r="C785" s="25" t="str">
        <f>ORÇAMENTO!A958</f>
        <v>7.5.1.3</v>
      </c>
      <c r="D785" s="25" t="str">
        <f>ORÇAMENTO!B958</f>
        <v xml:space="preserve"> 95876 </v>
      </c>
      <c r="E785" s="25" t="str">
        <f>ORÇAMENTO!C958</f>
        <v>SINAPI</v>
      </c>
      <c r="F785" s="26" t="str">
        <f>ORÇAMENTO!D958</f>
        <v>TRANSPORTE COM CAMINHÃO BASCULANTE DE 14 M³, EM VIA URBANA PAVIMENTADA, DMT ATÉ 30 KM (UNIDADE: M3XKM). AF_07/2020</v>
      </c>
      <c r="G785" s="25" t="str">
        <f>ORÇAMENTO!E958</f>
        <v>M3XKM</v>
      </c>
      <c r="H785" s="25">
        <f>ORÇAMENTO!F958</f>
        <v>51010.14</v>
      </c>
      <c r="I785" s="25">
        <f>ORÇAMENTO!G958</f>
        <v>2.1</v>
      </c>
      <c r="J785" s="25">
        <f>ORÇAMENTO!H958</f>
        <v>0.2122</v>
      </c>
      <c r="K785" s="25">
        <f>ORÇAMENTO!I958</f>
        <v>2.5499999999999998</v>
      </c>
      <c r="L785" s="45">
        <f>ORÇAMENTO!J958</f>
        <v>130075.85</v>
      </c>
      <c r="M785" s="23">
        <f>ORÇAMENTO!K958</f>
        <v>4.5985711623052804E-3</v>
      </c>
      <c r="N785" s="23" t="str">
        <f t="shared" si="49"/>
        <v>OK!</v>
      </c>
      <c r="O785" s="23" t="str">
        <f t="shared" si="50"/>
        <v>OK!</v>
      </c>
      <c r="P785" s="23" t="str">
        <f t="shared" si="51"/>
        <v>OK!</v>
      </c>
    </row>
    <row r="786" spans="2:16" ht="29" x14ac:dyDescent="0.35">
      <c r="B786" s="43">
        <f t="shared" si="48"/>
        <v>131</v>
      </c>
      <c r="C786" s="25" t="str">
        <f>ORÇAMENTO!A963</f>
        <v>7.5.2.2</v>
      </c>
      <c r="D786" s="25" t="str">
        <f>ORÇAMENTO!B963</f>
        <v xml:space="preserve"> 95876 </v>
      </c>
      <c r="E786" s="25" t="str">
        <f>ORÇAMENTO!C963</f>
        <v>SINAPI</v>
      </c>
      <c r="F786" s="26" t="str">
        <f>ORÇAMENTO!D963</f>
        <v>TRANSPORTE COM CAMINHÃO BASCULANTE DE 14 M³, EM VIA URBANA PAVIMENTADA, DMT ATÉ 30 KM (UNIDADE: M3XKM). AF_07/2020</v>
      </c>
      <c r="G786" s="25" t="str">
        <f>ORÇAMENTO!E963</f>
        <v>M3XKM</v>
      </c>
      <c r="H786" s="25">
        <f>ORÇAMENTO!F963</f>
        <v>123978.045</v>
      </c>
      <c r="I786" s="25">
        <f>ORÇAMENTO!G963</f>
        <v>2.1</v>
      </c>
      <c r="J786" s="25">
        <f>ORÇAMENTO!H963</f>
        <v>0.2122</v>
      </c>
      <c r="K786" s="25">
        <f>ORÇAMENTO!I963</f>
        <v>2.5499999999999998</v>
      </c>
      <c r="L786" s="45">
        <f>ORÇAMENTO!J963</f>
        <v>316144.01</v>
      </c>
      <c r="M786" s="23">
        <f>ORÇAMENTO!K963</f>
        <v>1.1176638303893859E-2</v>
      </c>
      <c r="N786" s="23" t="str">
        <f t="shared" si="49"/>
        <v>OK!</v>
      </c>
      <c r="O786" s="23" t="str">
        <f t="shared" si="50"/>
        <v>OK!</v>
      </c>
      <c r="P786" s="23" t="str">
        <f t="shared" si="51"/>
        <v>OK!</v>
      </c>
    </row>
    <row r="787" spans="2:16" ht="29" x14ac:dyDescent="0.35">
      <c r="B787" s="43">
        <f t="shared" si="48"/>
        <v>131</v>
      </c>
      <c r="C787" s="25" t="str">
        <f>ORÇAMENTO!A991</f>
        <v xml:space="preserve"> 8.1.3</v>
      </c>
      <c r="D787" s="25" t="str">
        <f>ORÇAMENTO!B991</f>
        <v xml:space="preserve"> 95876 </v>
      </c>
      <c r="E787" s="25" t="str">
        <f>ORÇAMENTO!C991</f>
        <v>SINAPI</v>
      </c>
      <c r="F787" s="26" t="str">
        <f>ORÇAMENTO!D991</f>
        <v>TRANSPORTE COM CAMINHÃO BASCULANTE DE 14 M³, EM VIA URBANA PAVIMENTADA, DMT ATÉ 30 KM (UNIDADE: M3XKM). AF_07/2020</v>
      </c>
      <c r="G787" s="25" t="str">
        <f>ORÇAMENTO!E991</f>
        <v>M3XKM</v>
      </c>
      <c r="H787" s="25">
        <f>ORÇAMENTO!F991</f>
        <v>53550</v>
      </c>
      <c r="I787" s="25">
        <f>ORÇAMENTO!G991</f>
        <v>2.1</v>
      </c>
      <c r="J787" s="25">
        <f>ORÇAMENTO!H991</f>
        <v>0.2122</v>
      </c>
      <c r="K787" s="25">
        <f>ORÇAMENTO!I991</f>
        <v>2.5499999999999998</v>
      </c>
      <c r="L787" s="45">
        <f>ORÇAMENTO!J991</f>
        <v>136552.5</v>
      </c>
      <c r="M787" s="23">
        <f>ORÇAMENTO!K991</f>
        <v>4.8275401516937365E-3</v>
      </c>
      <c r="N787" s="23" t="str">
        <f t="shared" si="49"/>
        <v>OK!</v>
      </c>
      <c r="O787" s="23" t="str">
        <f t="shared" si="50"/>
        <v>OK!</v>
      </c>
      <c r="P787" s="23" t="str">
        <f t="shared" si="51"/>
        <v>OK!</v>
      </c>
    </row>
    <row r="788" spans="2:16" ht="29" x14ac:dyDescent="0.35">
      <c r="B788" s="43">
        <f t="shared" si="48"/>
        <v>131</v>
      </c>
      <c r="C788" s="25" t="str">
        <f>ORÇAMENTO!A996</f>
        <v xml:space="preserve"> 8.2.2</v>
      </c>
      <c r="D788" s="25" t="str">
        <f>ORÇAMENTO!B996</f>
        <v xml:space="preserve"> 95876 </v>
      </c>
      <c r="E788" s="25" t="str">
        <f>ORÇAMENTO!C996</f>
        <v>SINAPI</v>
      </c>
      <c r="F788" s="26" t="str">
        <f>ORÇAMENTO!D996</f>
        <v>TRANSPORTE COM CAMINHÃO BASCULANTE DE 14 M³, EM VIA URBANA PAVIMENTADA, DMT ATÉ 30 KM (UNIDADE: M3XKM). AF_07/2020</v>
      </c>
      <c r="G788" s="25" t="str">
        <f>ORÇAMENTO!E996</f>
        <v>M3XKM</v>
      </c>
      <c r="H788" s="25">
        <f>ORÇAMENTO!F996</f>
        <v>758616.32999999984</v>
      </c>
      <c r="I788" s="25">
        <f>ORÇAMENTO!G996</f>
        <v>2.1</v>
      </c>
      <c r="J788" s="25">
        <f>ORÇAMENTO!H996</f>
        <v>0.2122</v>
      </c>
      <c r="K788" s="25">
        <f>ORÇAMENTO!I996</f>
        <v>2.5499999999999998</v>
      </c>
      <c r="L788" s="45">
        <f>ORÇAMENTO!J996</f>
        <v>1934471.64</v>
      </c>
      <c r="M788" s="23">
        <f>ORÇAMENTO!K996</f>
        <v>6.8389370494226262E-2</v>
      </c>
      <c r="N788" s="23" t="str">
        <f t="shared" si="49"/>
        <v>OK!</v>
      </c>
      <c r="O788" s="23" t="str">
        <f t="shared" si="50"/>
        <v>OK!</v>
      </c>
      <c r="P788" s="23" t="str">
        <f t="shared" si="51"/>
        <v>OK!</v>
      </c>
    </row>
    <row r="789" spans="2:16" ht="43.5" x14ac:dyDescent="0.35">
      <c r="B789" s="43">
        <f t="shared" si="48"/>
        <v>132</v>
      </c>
      <c r="C789" s="25" t="str">
        <f>ORÇAMENTO!A190</f>
        <v>4.1.2.5.1</v>
      </c>
      <c r="D789" s="25" t="str">
        <f>ORÇAMENTO!B190</f>
        <v xml:space="preserve"> 100952 </v>
      </c>
      <c r="E789" s="25" t="str">
        <f>ORÇAMENTO!C190</f>
        <v>SINAPI</v>
      </c>
      <c r="F789" s="637" t="str">
        <f>ORÇAMENTO!D190</f>
        <v>TRANSPORTE COM CAMINHÃO CARROCERIA COM GUINDAUTO (MUNCK),  MOMENTO MÁXIMO DE CARGA 11,7 TM, EM VIA URBANA PAVIMENTADA, DMT ATÉ 30KM (UNIDADE: TXKM). AF_07/2020</v>
      </c>
      <c r="G789" s="25" t="str">
        <f>ORÇAMENTO!E190</f>
        <v>TXKM</v>
      </c>
      <c r="H789" s="25">
        <f>ORÇAMENTO!F190</f>
        <v>48212.903970230022</v>
      </c>
      <c r="I789" s="25">
        <f>ORÇAMENTO!G190</f>
        <v>2.71</v>
      </c>
      <c r="J789" s="25">
        <f>ORÇAMENTO!H190</f>
        <v>0.2122</v>
      </c>
      <c r="K789" s="25">
        <f>ORÇAMENTO!I190</f>
        <v>3.29</v>
      </c>
      <c r="L789" s="25">
        <f>ORÇAMENTO!J190</f>
        <v>158620.45000000001</v>
      </c>
      <c r="M789" s="23">
        <f>ORÇAMENTO!K190</f>
        <v>5.6077083265024721E-3</v>
      </c>
      <c r="N789" s="23" t="str">
        <f t="shared" si="49"/>
        <v>DIFERENTE</v>
      </c>
      <c r="O789" s="23" t="str">
        <f t="shared" si="50"/>
        <v>DIFERENTE</v>
      </c>
      <c r="P789" s="23" t="str">
        <f t="shared" si="51"/>
        <v>DIFERENTE</v>
      </c>
    </row>
    <row r="790" spans="2:16" ht="43.5" x14ac:dyDescent="0.35">
      <c r="B790" s="43">
        <f t="shared" si="48"/>
        <v>132</v>
      </c>
      <c r="C790" s="25" t="str">
        <f>ORÇAMENTO!A429</f>
        <v>5.1.2.5.1</v>
      </c>
      <c r="D790" s="25" t="str">
        <f>ORÇAMENTO!B429</f>
        <v xml:space="preserve"> 100952 </v>
      </c>
      <c r="E790" s="25" t="str">
        <f>ORÇAMENTO!C429</f>
        <v>SINAPI</v>
      </c>
      <c r="F790" s="637" t="str">
        <f>ORÇAMENTO!D429</f>
        <v>TRANSPORTE COM CAMINHÃO CARROCERIA COM GUINDAUTO (MUNCK),  MOMENTO MÁXIMO DE CARGA 11,7 TM, EM VIA URBANA PAVIMENTADA, DMT ATÉ 30KM (UNIDADE: TXKM). AF_07/2020</v>
      </c>
      <c r="G790" s="25" t="str">
        <f>ORÇAMENTO!E429</f>
        <v>TXKM</v>
      </c>
      <c r="H790" s="25">
        <f>ORÇAMENTO!F429</f>
        <v>73252.762600000002</v>
      </c>
      <c r="I790" s="25">
        <f>ORÇAMENTO!G429</f>
        <v>2.71</v>
      </c>
      <c r="J790" s="25">
        <f>ORÇAMENTO!H429</f>
        <v>0.2122</v>
      </c>
      <c r="K790" s="25">
        <f>ORÇAMENTO!I429</f>
        <v>3.29</v>
      </c>
      <c r="L790" s="25">
        <f>ORÇAMENTO!J429</f>
        <v>241001.58</v>
      </c>
      <c r="M790" s="23">
        <f>ORÇAMENTO!K429</f>
        <v>8.5201281856548232E-3</v>
      </c>
      <c r="N790" s="23" t="str">
        <f t="shared" si="49"/>
        <v>OK!</v>
      </c>
      <c r="O790" s="23" t="str">
        <f t="shared" si="50"/>
        <v>OK!</v>
      </c>
      <c r="P790" s="23" t="str">
        <f t="shared" si="51"/>
        <v>OK!</v>
      </c>
    </row>
    <row r="791" spans="2:16" ht="43.5" x14ac:dyDescent="0.35">
      <c r="B791" s="43">
        <f t="shared" si="48"/>
        <v>132</v>
      </c>
      <c r="C791" s="25" t="str">
        <f>ORÇAMENTO!A639</f>
        <v>6.1.2.5.1</v>
      </c>
      <c r="D791" s="25" t="str">
        <f>ORÇAMENTO!B639</f>
        <v xml:space="preserve"> 100952 </v>
      </c>
      <c r="E791" s="25" t="str">
        <f>ORÇAMENTO!C639</f>
        <v>SINAPI</v>
      </c>
      <c r="F791" s="637" t="str">
        <f>ORÇAMENTO!D639</f>
        <v>TRANSPORTE COM CAMINHÃO CARROCERIA COM GUINDAUTO (MUNCK),  MOMENTO MÁXIMO DE CARGA 11,7 TM, EM VIA URBANA PAVIMENTADA, DMT ATÉ 30KM (UNIDADE: TXKM). AF_07/2020</v>
      </c>
      <c r="G791" s="25" t="str">
        <f>ORÇAMENTO!E639</f>
        <v>TXKM</v>
      </c>
      <c r="H791" s="25">
        <f>ORÇAMENTO!F639</f>
        <v>17523.399896135252</v>
      </c>
      <c r="I791" s="25">
        <f>ORÇAMENTO!G639</f>
        <v>2.71</v>
      </c>
      <c r="J791" s="25">
        <f>ORÇAMENTO!H639</f>
        <v>0.2122</v>
      </c>
      <c r="K791" s="25">
        <f>ORÇAMENTO!I639</f>
        <v>3.29</v>
      </c>
      <c r="L791" s="25">
        <f>ORÇAMENTO!J639</f>
        <v>57651.98</v>
      </c>
      <c r="M791" s="23">
        <f>ORÇAMENTO!K639</f>
        <v>2.0381702881649495E-3</v>
      </c>
      <c r="N791" s="23" t="str">
        <f t="shared" si="49"/>
        <v>OK!</v>
      </c>
      <c r="O791" s="23" t="str">
        <f t="shared" si="50"/>
        <v>OK!</v>
      </c>
      <c r="P791" s="23" t="str">
        <f t="shared" si="51"/>
        <v>OK!</v>
      </c>
    </row>
    <row r="792" spans="2:16" ht="43.5" x14ac:dyDescent="0.35">
      <c r="B792" s="43">
        <f t="shared" si="48"/>
        <v>132</v>
      </c>
      <c r="C792" s="25" t="str">
        <f>ORÇAMENTO!A838</f>
        <v>7.1.2.5.1</v>
      </c>
      <c r="D792" s="25" t="str">
        <f>ORÇAMENTO!B838</f>
        <v xml:space="preserve"> 100952 </v>
      </c>
      <c r="E792" s="25" t="str">
        <f>ORÇAMENTO!C838</f>
        <v>SINAPI</v>
      </c>
      <c r="F792" s="637" t="str">
        <f>ORÇAMENTO!D838</f>
        <v>TRANSPORTE COM CAMINHÃO CARROCERIA COM GUINDAUTO (MUNCK),  MOMENTO MÁXIMO DE CARGA 11,7 TM, EM VIA URBANA PAVIMENTADA, DMT ATÉ 30KM (UNIDADE: TXKM). AF_07/2020</v>
      </c>
      <c r="G792" s="25" t="str">
        <f>ORÇAMENTO!E838</f>
        <v>TXKM</v>
      </c>
      <c r="H792" s="25">
        <f>ORÇAMENTO!F838</f>
        <v>66324.584599999987</v>
      </c>
      <c r="I792" s="25">
        <f>ORÇAMENTO!G838</f>
        <v>2.71</v>
      </c>
      <c r="J792" s="25">
        <f>ORÇAMENTO!H838</f>
        <v>0.2122</v>
      </c>
      <c r="K792" s="25">
        <f>ORÇAMENTO!I838</f>
        <v>3.29</v>
      </c>
      <c r="L792" s="25">
        <f>ORÇAMENTO!J838</f>
        <v>218207.88</v>
      </c>
      <c r="M792" s="23">
        <f>ORÇAMENTO!K838</f>
        <v>7.7143025731199995E-3</v>
      </c>
      <c r="N792" s="23" t="str">
        <f t="shared" si="49"/>
        <v>OK!</v>
      </c>
      <c r="O792" s="23" t="str">
        <f t="shared" si="50"/>
        <v>OK!</v>
      </c>
      <c r="P792" s="23" t="str">
        <f t="shared" si="51"/>
        <v>OK!</v>
      </c>
    </row>
    <row r="793" spans="2:16" ht="43.5" x14ac:dyDescent="0.35">
      <c r="B793" s="43">
        <f t="shared" si="48"/>
        <v>132</v>
      </c>
      <c r="C793" s="25" t="str">
        <f>ORÇAMENTO!A1023</f>
        <v xml:space="preserve"> 8.6.6</v>
      </c>
      <c r="D793" s="25" t="str">
        <f>ORÇAMENTO!B1023</f>
        <v xml:space="preserve"> 100952 </v>
      </c>
      <c r="E793" s="25" t="str">
        <f>ORÇAMENTO!C1023</f>
        <v>SINAPI</v>
      </c>
      <c r="F793" s="26" t="str">
        <f>ORÇAMENTO!D1023</f>
        <v>TRANSPORTE COM CAMINHÃO CARROCERIA COM GUINDAUTO (MUNCK),  MOMENTO MÁXIMO DE CARGA 11,7 TM, EM VIA URBANA PAVIMENTADA, DMT ATÉ 30KM (UNIDADE: TXKM). AF_07/2020</v>
      </c>
      <c r="G793" s="25" t="str">
        <f>ORÇAMENTO!E1023</f>
        <v>TXKM</v>
      </c>
      <c r="H793" s="25">
        <f>ORÇAMENTO!F1023</f>
        <v>519.67999999999995</v>
      </c>
      <c r="I793" s="25">
        <f>ORÇAMENTO!G1023</f>
        <v>2.71</v>
      </c>
      <c r="J793" s="25">
        <f>ORÇAMENTO!H1023</f>
        <v>0.2122</v>
      </c>
      <c r="K793" s="25">
        <f>ORÇAMENTO!I1023</f>
        <v>3.29</v>
      </c>
      <c r="L793" s="45">
        <f>ORÇAMENTO!J1023</f>
        <v>1709.74</v>
      </c>
      <c r="M793" s="23">
        <f>ORÇAMENTO!K1023</f>
        <v>6.0444433452019184E-5</v>
      </c>
      <c r="N793" s="23" t="str">
        <f t="shared" si="49"/>
        <v>OK!</v>
      </c>
      <c r="O793" s="23" t="str">
        <f t="shared" si="50"/>
        <v>OK!</v>
      </c>
      <c r="P793" s="23" t="str">
        <f t="shared" si="51"/>
        <v>OK!</v>
      </c>
    </row>
    <row r="794" spans="2:16" ht="29" x14ac:dyDescent="0.35">
      <c r="B794" s="43">
        <f t="shared" si="48"/>
        <v>133</v>
      </c>
      <c r="C794" s="25" t="str">
        <f>ORÇAMENTO!A192</f>
        <v>4.1.2.5.3</v>
      </c>
      <c r="D794" s="25" t="str">
        <f>ORÇAMENTO!B192</f>
        <v xml:space="preserve"> 00007725 </v>
      </c>
      <c r="E794" s="25" t="str">
        <f>ORÇAMENTO!C192</f>
        <v>SINAPI</v>
      </c>
      <c r="F794" s="637" t="str">
        <f>ORÇAMENTO!D192</f>
        <v>TUBO DE CONCRETO ARMADO PARA AGUAS PLUVIAIS, CLASSE PA-1, COM ENCAIXE PONTA E BOLSA, DIAMETRO NOMINAL DE = 600 MM</v>
      </c>
      <c r="G794" s="25" t="str">
        <f>ORÇAMENTO!E192</f>
        <v>M</v>
      </c>
      <c r="H794" s="25">
        <f>ORÇAMENTO!F192</f>
        <v>162.4523830953656</v>
      </c>
      <c r="I794" s="25">
        <f>ORÇAMENTO!G192</f>
        <v>241.33</v>
      </c>
      <c r="J794" s="25">
        <f>ORÇAMENTO!H192</f>
        <v>0.111</v>
      </c>
      <c r="K794" s="25">
        <f>ORÇAMENTO!I192</f>
        <v>268.12</v>
      </c>
      <c r="L794" s="25">
        <f>ORÇAMENTO!J192</f>
        <v>43556.73</v>
      </c>
      <c r="M794" s="23">
        <f>ORÇAMENTO!K192</f>
        <v>1.5398609542226114E-3</v>
      </c>
      <c r="N794" s="23" t="str">
        <f t="shared" si="49"/>
        <v>DIFERENTE</v>
      </c>
      <c r="O794" s="23" t="str">
        <f t="shared" si="50"/>
        <v>DIFERENTE</v>
      </c>
      <c r="P794" s="23" t="str">
        <f t="shared" si="51"/>
        <v>DIFERENTE</v>
      </c>
    </row>
    <row r="795" spans="2:16" ht="29" x14ac:dyDescent="0.35">
      <c r="B795" s="43">
        <f t="shared" si="48"/>
        <v>133</v>
      </c>
      <c r="C795" s="25" t="str">
        <f>ORÇAMENTO!A431</f>
        <v>5.1.2.5.3</v>
      </c>
      <c r="D795" s="25" t="str">
        <f>ORÇAMENTO!B431</f>
        <v xml:space="preserve"> 00007725 </v>
      </c>
      <c r="E795" s="25" t="str">
        <f>ORÇAMENTO!C431</f>
        <v>SINAPI</v>
      </c>
      <c r="F795" s="637" t="str">
        <f>ORÇAMENTO!D431</f>
        <v>TUBO DE CONCRETO ARMADO PARA AGUAS PLUVIAIS, CLASSE PA-1, COM ENCAIXE PONTA E BOLSA, DIAMETRO NOMINAL DE = 600 MM</v>
      </c>
      <c r="G795" s="25" t="str">
        <f>ORÇAMENTO!E431</f>
        <v>M</v>
      </c>
      <c r="H795" s="25">
        <f>ORÇAMENTO!F431</f>
        <v>179.99</v>
      </c>
      <c r="I795" s="25">
        <f>ORÇAMENTO!G431</f>
        <v>241.33</v>
      </c>
      <c r="J795" s="25">
        <f>ORÇAMENTO!H431</f>
        <v>0.111</v>
      </c>
      <c r="K795" s="25">
        <f>ORÇAMENTO!I431</f>
        <v>268.12</v>
      </c>
      <c r="L795" s="25">
        <f>ORÇAMENTO!J431</f>
        <v>48258.91</v>
      </c>
      <c r="M795" s="23">
        <f>ORÇAMENTO!K431</f>
        <v>1.7060971106495626E-3</v>
      </c>
      <c r="N795" s="23" t="str">
        <f t="shared" si="49"/>
        <v>OK!</v>
      </c>
      <c r="O795" s="23" t="str">
        <f t="shared" si="50"/>
        <v>OK!</v>
      </c>
      <c r="P795" s="23" t="str">
        <f t="shared" si="51"/>
        <v>OK!</v>
      </c>
    </row>
    <row r="796" spans="2:16" ht="29" x14ac:dyDescent="0.35">
      <c r="B796" s="43">
        <f t="shared" si="48"/>
        <v>133</v>
      </c>
      <c r="C796" s="25" t="str">
        <f>ORÇAMENTO!A641</f>
        <v>6.1.2.5.3</v>
      </c>
      <c r="D796" s="25" t="str">
        <f>ORÇAMENTO!B641</f>
        <v xml:space="preserve"> 00007725 </v>
      </c>
      <c r="E796" s="25" t="str">
        <f>ORÇAMENTO!C641</f>
        <v>SINAPI</v>
      </c>
      <c r="F796" s="637" t="str">
        <f>ORÇAMENTO!D641</f>
        <v>TUBO DE CONCRETO ARMADO PARA AGUAS PLUVIAIS, CLASSE PA-1, COM ENCAIXE PONTA E BOLSA, DIAMETRO NOMINAL DE = 600 MM</v>
      </c>
      <c r="G796" s="25" t="str">
        <f>ORÇAMENTO!E641</f>
        <v>M</v>
      </c>
      <c r="H796" s="25">
        <f>ORÇAMENTO!F641</f>
        <v>503.99999999932044</v>
      </c>
      <c r="I796" s="25">
        <f>ORÇAMENTO!G641</f>
        <v>241.33</v>
      </c>
      <c r="J796" s="25">
        <f>ORÇAMENTO!H641</f>
        <v>0.111</v>
      </c>
      <c r="K796" s="25">
        <f>ORÇAMENTO!I641</f>
        <v>268.12</v>
      </c>
      <c r="L796" s="25">
        <f>ORÇAMENTO!J641</f>
        <v>135132.47</v>
      </c>
      <c r="M796" s="23">
        <f>ORÇAMENTO!K641</f>
        <v>4.777337835063798E-3</v>
      </c>
      <c r="N796" s="23" t="str">
        <f t="shared" si="49"/>
        <v>OK!</v>
      </c>
      <c r="O796" s="23" t="str">
        <f t="shared" si="50"/>
        <v>OK!</v>
      </c>
      <c r="P796" s="23" t="str">
        <f t="shared" si="51"/>
        <v>OK!</v>
      </c>
    </row>
    <row r="797" spans="2:16" ht="29" x14ac:dyDescent="0.35">
      <c r="B797" s="43">
        <f t="shared" si="48"/>
        <v>133</v>
      </c>
      <c r="C797" s="25" t="str">
        <f>ORÇAMENTO!A840</f>
        <v>7.1.2.5.3</v>
      </c>
      <c r="D797" s="25" t="str">
        <f>ORÇAMENTO!B840</f>
        <v xml:space="preserve"> 00007725 </v>
      </c>
      <c r="E797" s="25" t="str">
        <f>ORÇAMENTO!C840</f>
        <v>SINAPI</v>
      </c>
      <c r="F797" s="637" t="str">
        <f>ORÇAMENTO!D840</f>
        <v>TUBO DE CONCRETO ARMADO PARA AGUAS PLUVIAIS, CLASSE PA-1, COM ENCAIXE PONTA E BOLSA, DIAMETRO NOMINAL DE = 600 MM</v>
      </c>
      <c r="G797" s="25" t="str">
        <f>ORÇAMENTO!E840</f>
        <v>M</v>
      </c>
      <c r="H797" s="25">
        <f>ORÇAMENTO!F840</f>
        <v>71.260000000000005</v>
      </c>
      <c r="I797" s="25">
        <f>ORÇAMENTO!G840</f>
        <v>241.33</v>
      </c>
      <c r="J797" s="25">
        <f>ORÇAMENTO!H840</f>
        <v>0.111</v>
      </c>
      <c r="K797" s="25">
        <f>ORÇAMENTO!I840</f>
        <v>268.12</v>
      </c>
      <c r="L797" s="25">
        <f>ORÇAMENTO!J840</f>
        <v>19106.23</v>
      </c>
      <c r="M797" s="23">
        <f>ORÇAMENTO!K840</f>
        <v>6.7546249590813361E-4</v>
      </c>
      <c r="N797" s="23" t="str">
        <f t="shared" si="49"/>
        <v>OK!</v>
      </c>
      <c r="O797" s="23" t="str">
        <f t="shared" si="50"/>
        <v>OK!</v>
      </c>
      <c r="P797" s="23" t="str">
        <f t="shared" si="51"/>
        <v>OK!</v>
      </c>
    </row>
    <row r="798" spans="2:16" ht="29" x14ac:dyDescent="0.35">
      <c r="B798" s="43">
        <f t="shared" si="48"/>
        <v>134</v>
      </c>
      <c r="C798" s="25" t="str">
        <f>ORÇAMENTO!A196</f>
        <v>4.1.2.5.7</v>
      </c>
      <c r="D798" s="25" t="str">
        <f>ORÇAMENTO!B196</f>
        <v xml:space="preserve"> 00007753 </v>
      </c>
      <c r="E798" s="25" t="str">
        <f>ORÇAMENTO!C196</f>
        <v>SINAPI</v>
      </c>
      <c r="F798" s="637" t="str">
        <f>ORÇAMENTO!D196</f>
        <v>TUBO DE CONCRETO ARMADO PARA AGUAS PLUVIAIS, CLASSE PA-1, COM ENCAIXE PONTA E BOLSA, DIAMETRO NOMINAL DE 1000 MM</v>
      </c>
      <c r="G798" s="25" t="str">
        <f>ORÇAMENTO!E196</f>
        <v>M</v>
      </c>
      <c r="H798" s="25">
        <f>ORÇAMENTO!F196</f>
        <v>36.499999999964693</v>
      </c>
      <c r="I798" s="25">
        <f>ORÇAMENTO!G196</f>
        <v>470.49</v>
      </c>
      <c r="J798" s="25">
        <f>ORÇAMENTO!H196</f>
        <v>0.111</v>
      </c>
      <c r="K798" s="25">
        <f>ORÇAMENTO!I196</f>
        <v>522.71</v>
      </c>
      <c r="L798" s="25">
        <f>ORÇAMENTO!J196</f>
        <v>19078.91</v>
      </c>
      <c r="M798" s="23">
        <f>ORÇAMENTO!K196</f>
        <v>6.7449665202432138E-4</v>
      </c>
      <c r="N798" s="23" t="str">
        <f t="shared" si="49"/>
        <v>DIFERENTE</v>
      </c>
      <c r="O798" s="23" t="str">
        <f t="shared" si="50"/>
        <v>DIFERENTE</v>
      </c>
      <c r="P798" s="23" t="str">
        <f t="shared" si="51"/>
        <v>DIFERENTE</v>
      </c>
    </row>
    <row r="799" spans="2:16" ht="29" x14ac:dyDescent="0.35">
      <c r="B799" s="43">
        <f t="shared" si="48"/>
        <v>134</v>
      </c>
      <c r="C799" s="25" t="str">
        <f>ORÇAMENTO!A437</f>
        <v>5.1.2.5.9</v>
      </c>
      <c r="D799" s="25" t="str">
        <f>ORÇAMENTO!B437</f>
        <v xml:space="preserve"> 00007753 </v>
      </c>
      <c r="E799" s="25" t="str">
        <f>ORÇAMENTO!C437</f>
        <v>SINAPI</v>
      </c>
      <c r="F799" s="637" t="str">
        <f>ORÇAMENTO!D437</f>
        <v>TUBO DE CONCRETO ARMADO PARA AGUAS PLUVIAIS, CLASSE PA-1, COM ENCAIXE PONTA E BOLSA, DIAMETRO NOMINAL DE 1000 MM</v>
      </c>
      <c r="G799" s="25" t="str">
        <f>ORÇAMENTO!E437</f>
        <v>M</v>
      </c>
      <c r="H799" s="25">
        <f>ORÇAMENTO!F437</f>
        <v>236.84</v>
      </c>
      <c r="I799" s="25">
        <f>ORÇAMENTO!G437</f>
        <v>470.49</v>
      </c>
      <c r="J799" s="25">
        <f>ORÇAMENTO!H437</f>
        <v>0.111</v>
      </c>
      <c r="K799" s="25">
        <f>ORÇAMENTO!I437</f>
        <v>522.71</v>
      </c>
      <c r="L799" s="25">
        <f>ORÇAMENTO!J437</f>
        <v>123798.63</v>
      </c>
      <c r="M799" s="23">
        <f>ORÇAMENTO!K437</f>
        <v>4.3766526211506699E-3</v>
      </c>
      <c r="N799" s="23" t="str">
        <f t="shared" si="49"/>
        <v>OK!</v>
      </c>
      <c r="O799" s="23" t="str">
        <f t="shared" si="50"/>
        <v>OK!</v>
      </c>
      <c r="P799" s="23" t="str">
        <f t="shared" si="51"/>
        <v>OK!</v>
      </c>
    </row>
    <row r="800" spans="2:16" ht="29" x14ac:dyDescent="0.35">
      <c r="B800" s="43">
        <f t="shared" si="48"/>
        <v>134</v>
      </c>
      <c r="C800" s="25" t="str">
        <f>ORÇAMENTO!A846</f>
        <v>7.1.2.5.9</v>
      </c>
      <c r="D800" s="25" t="str">
        <f>ORÇAMENTO!B846</f>
        <v xml:space="preserve"> 00007753 </v>
      </c>
      <c r="E800" s="25" t="str">
        <f>ORÇAMENTO!C846</f>
        <v>SINAPI</v>
      </c>
      <c r="F800" s="637" t="str">
        <f>ORÇAMENTO!D846</f>
        <v>TUBO DE CONCRETO ARMADO PARA AGUAS PLUVIAIS, CLASSE PA-1, COM ENCAIXE PONTA E BOLSA, DIAMETRO NOMINAL DE 1000 MM</v>
      </c>
      <c r="G800" s="25" t="str">
        <f>ORÇAMENTO!E846</f>
        <v>M</v>
      </c>
      <c r="H800" s="25">
        <f>ORÇAMENTO!F846</f>
        <v>342.56999999999994</v>
      </c>
      <c r="I800" s="25">
        <f>ORÇAMENTO!G846</f>
        <v>470.49</v>
      </c>
      <c r="J800" s="25">
        <f>ORÇAMENTO!H846</f>
        <v>0.111</v>
      </c>
      <c r="K800" s="25">
        <f>ORÇAMENTO!I846</f>
        <v>522.71</v>
      </c>
      <c r="L800" s="25">
        <f>ORÇAMENTO!J846</f>
        <v>179064.76</v>
      </c>
      <c r="M800" s="23">
        <f>ORÇAMENTO!K846</f>
        <v>6.3304759609190799E-3</v>
      </c>
      <c r="N800" s="23" t="str">
        <f t="shared" si="49"/>
        <v>OK!</v>
      </c>
      <c r="O800" s="23" t="str">
        <f t="shared" si="50"/>
        <v>OK!</v>
      </c>
      <c r="P800" s="23" t="str">
        <f t="shared" si="51"/>
        <v>OK!</v>
      </c>
    </row>
    <row r="801" spans="2:16" ht="29" x14ac:dyDescent="0.35">
      <c r="B801" s="43">
        <f t="shared" si="48"/>
        <v>135</v>
      </c>
      <c r="C801" s="25" t="str">
        <f>ORÇAMENTO!A199</f>
        <v>4.1.2.5.10</v>
      </c>
      <c r="D801" s="25" t="str">
        <f>ORÇAMENTO!B199</f>
        <v xml:space="preserve"> 00007757 </v>
      </c>
      <c r="E801" s="25" t="str">
        <f>ORÇAMENTO!C199</f>
        <v>SINAPI</v>
      </c>
      <c r="F801" s="637" t="str">
        <f>ORÇAMENTO!D199</f>
        <v>TUBO DE CONCRETO ARMADO PARA AGUAS PLUVIAIS, CLASSE PA-1, COM ENCAIXE PONTA E BOLSA, DIAMETRO NOMINAL DE 1200 MM</v>
      </c>
      <c r="G801" s="25" t="str">
        <f>ORÇAMENTO!E199</f>
        <v>M</v>
      </c>
      <c r="H801" s="25">
        <f>ORÇAMENTO!F199</f>
        <v>34.998887036138747</v>
      </c>
      <c r="I801" s="25">
        <f>ORÇAMENTO!G199</f>
        <v>702.69</v>
      </c>
      <c r="J801" s="25">
        <f>ORÇAMENTO!H199</f>
        <v>0.111</v>
      </c>
      <c r="K801" s="25">
        <f>ORÇAMENTO!I199</f>
        <v>780.69</v>
      </c>
      <c r="L801" s="25">
        <f>ORÇAMENTO!J199</f>
        <v>27323.279999999999</v>
      </c>
      <c r="M801" s="23">
        <f>ORÇAMENTO!K199</f>
        <v>9.6595984164310749E-4</v>
      </c>
      <c r="N801" s="23" t="str">
        <f t="shared" si="49"/>
        <v>DIFERENTE</v>
      </c>
      <c r="O801" s="23" t="str">
        <f t="shared" si="50"/>
        <v>DIFERENTE</v>
      </c>
      <c r="P801" s="23" t="str">
        <f t="shared" si="51"/>
        <v>DIFERENTE</v>
      </c>
    </row>
    <row r="802" spans="2:16" ht="29" x14ac:dyDescent="0.35">
      <c r="B802" s="43">
        <f t="shared" si="48"/>
        <v>135</v>
      </c>
      <c r="C802" s="25" t="str">
        <f>ORÇAMENTO!A440</f>
        <v>5.1.2.5.12</v>
      </c>
      <c r="D802" s="25" t="str">
        <f>ORÇAMENTO!B440</f>
        <v xml:space="preserve"> 00007757 </v>
      </c>
      <c r="E802" s="25" t="str">
        <f>ORÇAMENTO!C440</f>
        <v>SINAPI</v>
      </c>
      <c r="F802" s="637" t="str">
        <f>ORÇAMENTO!D440</f>
        <v>TUBO DE CONCRETO ARMADO PARA AGUAS PLUVIAIS, CLASSE PA-1, COM ENCAIXE PONTA E BOLSA, DIAMETRO NOMINAL DE 1200 MM</v>
      </c>
      <c r="G802" s="25" t="str">
        <f>ORÇAMENTO!E440</f>
        <v>M</v>
      </c>
      <c r="H802" s="25">
        <f>ORÇAMENTO!F440</f>
        <v>182.04</v>
      </c>
      <c r="I802" s="25">
        <f>ORÇAMENTO!G440</f>
        <v>702.69</v>
      </c>
      <c r="J802" s="25">
        <f>ORÇAMENTO!H440</f>
        <v>0.111</v>
      </c>
      <c r="K802" s="25">
        <f>ORÇAMENTO!I440</f>
        <v>780.69</v>
      </c>
      <c r="L802" s="25">
        <f>ORÇAMENTO!J440</f>
        <v>142116.79999999999</v>
      </c>
      <c r="M802" s="23">
        <f>ORÇAMENTO!K440</f>
        <v>5.0242548340764786E-3</v>
      </c>
      <c r="N802" s="23" t="str">
        <f t="shared" si="49"/>
        <v>OK!</v>
      </c>
      <c r="O802" s="23" t="str">
        <f t="shared" si="50"/>
        <v>OK!</v>
      </c>
      <c r="P802" s="23" t="str">
        <f t="shared" si="51"/>
        <v>OK!</v>
      </c>
    </row>
    <row r="803" spans="2:16" ht="29" x14ac:dyDescent="0.35">
      <c r="B803" s="43">
        <f t="shared" si="48"/>
        <v>135</v>
      </c>
      <c r="C803" s="25" t="str">
        <f>ORÇAMENTO!A849</f>
        <v>7.1.2.5.12</v>
      </c>
      <c r="D803" s="25" t="str">
        <f>ORÇAMENTO!B849</f>
        <v xml:space="preserve"> 00007757 </v>
      </c>
      <c r="E803" s="25" t="str">
        <f>ORÇAMENTO!C849</f>
        <v>SINAPI</v>
      </c>
      <c r="F803" s="637" t="str">
        <f>ORÇAMENTO!D849</f>
        <v>TUBO DE CONCRETO ARMADO PARA AGUAS PLUVIAIS, CLASSE PA-1, COM ENCAIXE PONTA E BOLSA, DIAMETRO NOMINAL DE 1200 MM</v>
      </c>
      <c r="G803" s="25" t="str">
        <f>ORÇAMENTO!E849</f>
        <v>M</v>
      </c>
      <c r="H803" s="25">
        <f>ORÇAMENTO!F849</f>
        <v>60.34</v>
      </c>
      <c r="I803" s="25">
        <f>ORÇAMENTO!G849</f>
        <v>702.69</v>
      </c>
      <c r="J803" s="25">
        <f>ORÇAMENTO!H849</f>
        <v>0.111</v>
      </c>
      <c r="K803" s="25">
        <f>ORÇAMENTO!I849</f>
        <v>780.69</v>
      </c>
      <c r="L803" s="25">
        <f>ORÇAMENTO!J849</f>
        <v>47106.83</v>
      </c>
      <c r="M803" s="23">
        <f>ORÇAMENTO!K849</f>
        <v>1.6653676296223875E-3</v>
      </c>
      <c r="N803" s="23" t="str">
        <f t="shared" si="49"/>
        <v>OK!</v>
      </c>
      <c r="O803" s="23" t="str">
        <f t="shared" si="50"/>
        <v>OK!</v>
      </c>
      <c r="P803" s="23" t="str">
        <f t="shared" si="51"/>
        <v>OK!</v>
      </c>
    </row>
    <row r="804" spans="2:16" ht="29" x14ac:dyDescent="0.35">
      <c r="B804" s="43">
        <f t="shared" si="48"/>
        <v>135</v>
      </c>
      <c r="C804" s="25" t="str">
        <f>ORÇAMENTO!A1025</f>
        <v xml:space="preserve"> 8.6.8</v>
      </c>
      <c r="D804" s="25" t="str">
        <f>ORÇAMENTO!B1025</f>
        <v xml:space="preserve"> 00007757 </v>
      </c>
      <c r="E804" s="25" t="str">
        <f>ORÇAMENTO!C1025</f>
        <v>SINAPI</v>
      </c>
      <c r="F804" s="26" t="str">
        <f>ORÇAMENTO!D1025</f>
        <v>TUBO DE CONCRETO ARMADO PARA AGUAS PLUVIAIS, CLASSE PA-1, COM ENCAIXE PONTA E BOLSA, DIAMETRO NOMINAL DE 1200 MM</v>
      </c>
      <c r="G804" s="25" t="str">
        <f>ORÇAMENTO!E1025</f>
        <v>M</v>
      </c>
      <c r="H804" s="25">
        <f>ORÇAMENTO!F1025</f>
        <v>11.2</v>
      </c>
      <c r="I804" s="25">
        <f>ORÇAMENTO!G1025</f>
        <v>702.69</v>
      </c>
      <c r="J804" s="25">
        <f>ORÇAMENTO!H1025</f>
        <v>0.111</v>
      </c>
      <c r="K804" s="25">
        <f>ORÇAMENTO!I1025</f>
        <v>780.69</v>
      </c>
      <c r="L804" s="45">
        <f>ORÇAMENTO!J1025</f>
        <v>8743.7199999999993</v>
      </c>
      <c r="M804" s="23">
        <f>ORÇAMENTO!K1025</f>
        <v>3.0911670877624035E-4</v>
      </c>
      <c r="N804" s="23" t="str">
        <f t="shared" si="49"/>
        <v>OK!</v>
      </c>
      <c r="O804" s="23" t="str">
        <f t="shared" si="50"/>
        <v>OK!</v>
      </c>
      <c r="P804" s="23" t="str">
        <f t="shared" si="51"/>
        <v>OK!</v>
      </c>
    </row>
    <row r="805" spans="2:16" ht="29" x14ac:dyDescent="0.35">
      <c r="B805" s="43">
        <f t="shared" si="48"/>
        <v>136</v>
      </c>
      <c r="C805" s="25" t="str">
        <f>ORÇAMENTO!A645</f>
        <v>6.1.2.5.7</v>
      </c>
      <c r="D805" s="25" t="str">
        <f>ORÇAMENTO!B645</f>
        <v xml:space="preserve"> 00007758 </v>
      </c>
      <c r="E805" s="25" t="str">
        <f>ORÇAMENTO!C645</f>
        <v>SINAPI</v>
      </c>
      <c r="F805" s="637" t="str">
        <f>ORÇAMENTO!D645</f>
        <v>TUBO DE CONCRETO ARMADO PARA AGUAS PLUVIAIS, CLASSE PA-1, COM ENCAIXE PONTA E BOLSA, DIAMETRO NOMINAL DE 1500 MM</v>
      </c>
      <c r="G805" s="25" t="str">
        <f>ORÇAMENTO!E645</f>
        <v>M</v>
      </c>
      <c r="H805" s="25">
        <f>ORÇAMENTO!F645</f>
        <v>53.981453829334242</v>
      </c>
      <c r="I805" s="25">
        <f>ORÇAMENTO!G645</f>
        <v>1018.04</v>
      </c>
      <c r="J805" s="25">
        <f>ORÇAMENTO!H645</f>
        <v>0.111</v>
      </c>
      <c r="K805" s="25">
        <f>ORÇAMENTO!I645</f>
        <v>1131.04</v>
      </c>
      <c r="L805" s="25">
        <f>ORÇAMENTO!J645</f>
        <v>61055.18</v>
      </c>
      <c r="M805" s="23">
        <f>ORÇAMENTO!K645</f>
        <v>2.1584836082743884E-3</v>
      </c>
      <c r="N805" s="23" t="str">
        <f t="shared" si="49"/>
        <v>DIFERENTE</v>
      </c>
      <c r="O805" s="23" t="str">
        <f t="shared" si="50"/>
        <v>DIFERENTE</v>
      </c>
      <c r="P805" s="23" t="str">
        <f t="shared" si="51"/>
        <v>DIFERENTE</v>
      </c>
    </row>
    <row r="806" spans="2:16" ht="29" x14ac:dyDescent="0.35">
      <c r="B806" s="43">
        <f t="shared" si="48"/>
        <v>137</v>
      </c>
      <c r="C806" s="25" t="str">
        <f>ORÇAMENTO!A434</f>
        <v>5.1.2.5.6</v>
      </c>
      <c r="D806" s="25" t="str">
        <f>ORÇAMENTO!B434</f>
        <v xml:space="preserve"> 00007750 </v>
      </c>
      <c r="E806" s="25" t="str">
        <f>ORÇAMENTO!C434</f>
        <v>SINAPI</v>
      </c>
      <c r="F806" s="637" t="str">
        <f>ORÇAMENTO!D434</f>
        <v>TUBO DE CONCRETO ARMADO PARA AGUAS PLUVIAIS, CLASSE PA-1, COM ENCAIXE PONTA E BOLSA, DIAMETRO NOMINAL DE 800 MM</v>
      </c>
      <c r="G806" s="25" t="str">
        <f>ORÇAMENTO!E434</f>
        <v>M</v>
      </c>
      <c r="H806" s="25">
        <f>ORÇAMENTO!F434</f>
        <v>110.89</v>
      </c>
      <c r="I806" s="25">
        <f>ORÇAMENTO!G434</f>
        <v>401.54</v>
      </c>
      <c r="J806" s="25">
        <f>ORÇAMENTO!H434</f>
        <v>0.111</v>
      </c>
      <c r="K806" s="25">
        <f>ORÇAMENTO!I434</f>
        <v>446.11</v>
      </c>
      <c r="L806" s="25">
        <f>ORÇAMENTO!J434</f>
        <v>49469.13</v>
      </c>
      <c r="M806" s="23">
        <f>ORÇAMENTO!K434</f>
        <v>1.7488820149346015E-3</v>
      </c>
      <c r="N806" s="23" t="str">
        <f t="shared" si="49"/>
        <v>DIFERENTE</v>
      </c>
      <c r="O806" s="23" t="str">
        <f t="shared" si="50"/>
        <v>DIFERENTE</v>
      </c>
      <c r="P806" s="23" t="str">
        <f t="shared" si="51"/>
        <v>DIFERENTE</v>
      </c>
    </row>
    <row r="807" spans="2:16" ht="29" x14ac:dyDescent="0.35">
      <c r="B807" s="43">
        <f t="shared" si="48"/>
        <v>137</v>
      </c>
      <c r="C807" s="25" t="str">
        <f>ORÇAMENTO!A843</f>
        <v>7.1.2.5.6</v>
      </c>
      <c r="D807" s="25" t="str">
        <f>ORÇAMENTO!B843</f>
        <v xml:space="preserve"> 00007750 </v>
      </c>
      <c r="E807" s="25" t="str">
        <f>ORÇAMENTO!C843</f>
        <v>SINAPI</v>
      </c>
      <c r="F807" s="637" t="str">
        <f>ORÇAMENTO!D843</f>
        <v>TUBO DE CONCRETO ARMADO PARA AGUAS PLUVIAIS, CLASSE PA-1, COM ENCAIXE PONTA E BOLSA, DIAMETRO NOMINAL DE 800 MM</v>
      </c>
      <c r="G807" s="25" t="str">
        <f>ORÇAMENTO!E843</f>
        <v>M</v>
      </c>
      <c r="H807" s="25">
        <f>ORÇAMENTO!F843</f>
        <v>73.400000000000006</v>
      </c>
      <c r="I807" s="25">
        <f>ORÇAMENTO!G843</f>
        <v>401.54</v>
      </c>
      <c r="J807" s="25">
        <f>ORÇAMENTO!H843</f>
        <v>0.111</v>
      </c>
      <c r="K807" s="25">
        <f>ORÇAMENTO!I843</f>
        <v>446.11</v>
      </c>
      <c r="L807" s="25">
        <f>ORÇAMENTO!J843</f>
        <v>32744.47</v>
      </c>
      <c r="M807" s="23">
        <f>ORÇAMENTO!K843</f>
        <v>1.1576151565949435E-3</v>
      </c>
      <c r="N807" s="23" t="str">
        <f t="shared" si="49"/>
        <v>OK!</v>
      </c>
      <c r="O807" s="23" t="str">
        <f t="shared" si="50"/>
        <v>OK!</v>
      </c>
      <c r="P807" s="23" t="str">
        <f t="shared" si="51"/>
        <v>OK!</v>
      </c>
    </row>
    <row r="808" spans="2:16" ht="29" x14ac:dyDescent="0.35">
      <c r="B808" s="43">
        <f t="shared" si="48"/>
        <v>138</v>
      </c>
      <c r="C808" s="25" t="str">
        <f>ORÇAMENTO!A197</f>
        <v>4.1.2.5.8</v>
      </c>
      <c r="D808" s="25" t="str">
        <f>ORÇAMENTO!B197</f>
        <v xml:space="preserve"> 00007765 </v>
      </c>
      <c r="E808" s="25" t="str">
        <f>ORÇAMENTO!C197</f>
        <v>SINAPI</v>
      </c>
      <c r="F808" s="637" t="str">
        <f>ORÇAMENTO!D197</f>
        <v>TUBO DE CONCRETO ARMADO PARA AGUAS PLUVIAIS, CLASSE PA-2, COM ENCAIXE PONTA E BOLSA, DIAMETRO NOMINAL DE 1000 MM</v>
      </c>
      <c r="G808" s="25" t="str">
        <f>ORÇAMENTO!E197</f>
        <v>M</v>
      </c>
      <c r="H808" s="25">
        <f>ORÇAMENTO!F197</f>
        <v>145.00284289187596</v>
      </c>
      <c r="I808" s="25">
        <f>ORÇAMENTO!G197</f>
        <v>517.13</v>
      </c>
      <c r="J808" s="25">
        <f>ORÇAMENTO!H197</f>
        <v>0.111</v>
      </c>
      <c r="K808" s="25">
        <f>ORÇAMENTO!I197</f>
        <v>574.53</v>
      </c>
      <c r="L808" s="25">
        <f>ORÇAMENTO!J197</f>
        <v>83308.479999999996</v>
      </c>
      <c r="M808" s="23">
        <f>ORÇAMENTO!K197</f>
        <v>2.9452044611162345E-3</v>
      </c>
      <c r="N808" s="23" t="str">
        <f t="shared" si="49"/>
        <v>DIFERENTE</v>
      </c>
      <c r="O808" s="23" t="str">
        <f t="shared" si="50"/>
        <v>DIFERENTE</v>
      </c>
      <c r="P808" s="23" t="str">
        <f t="shared" si="51"/>
        <v>DIFERENTE</v>
      </c>
    </row>
    <row r="809" spans="2:16" ht="29" x14ac:dyDescent="0.35">
      <c r="B809" s="43">
        <f t="shared" si="48"/>
        <v>138</v>
      </c>
      <c r="C809" s="25" t="str">
        <f>ORÇAMENTO!A438</f>
        <v>5.1.2.5.10</v>
      </c>
      <c r="D809" s="25" t="str">
        <f>ORÇAMENTO!B438</f>
        <v xml:space="preserve"> 00007765 </v>
      </c>
      <c r="E809" s="25" t="str">
        <f>ORÇAMENTO!C438</f>
        <v>SINAPI</v>
      </c>
      <c r="F809" s="637" t="str">
        <f>ORÇAMENTO!D438</f>
        <v>TUBO DE CONCRETO ARMADO PARA AGUAS PLUVIAIS, CLASSE PA-2, COM ENCAIXE PONTA E BOLSA, DIAMETRO NOMINAL DE 1000 MM</v>
      </c>
      <c r="G809" s="25" t="str">
        <f>ORÇAMENTO!E438</f>
        <v>M</v>
      </c>
      <c r="H809" s="25">
        <f>ORÇAMENTO!F438</f>
        <v>431.11</v>
      </c>
      <c r="I809" s="25">
        <f>ORÇAMENTO!G438</f>
        <v>517.13</v>
      </c>
      <c r="J809" s="25">
        <f>ORÇAMENTO!H438</f>
        <v>0.111</v>
      </c>
      <c r="K809" s="25">
        <f>ORÇAMENTO!I438</f>
        <v>574.53</v>
      </c>
      <c r="L809" s="25">
        <f>ORÇAMENTO!J438</f>
        <v>247685.62</v>
      </c>
      <c r="M809" s="23">
        <f>ORÇAMENTO!K438</f>
        <v>8.7564290331349284E-3</v>
      </c>
      <c r="N809" s="23" t="str">
        <f t="shared" si="49"/>
        <v>OK!</v>
      </c>
      <c r="O809" s="23" t="str">
        <f t="shared" si="50"/>
        <v>OK!</v>
      </c>
      <c r="P809" s="23" t="str">
        <f t="shared" si="51"/>
        <v>OK!</v>
      </c>
    </row>
    <row r="810" spans="2:16" ht="29" x14ac:dyDescent="0.35">
      <c r="B810" s="43">
        <f t="shared" si="48"/>
        <v>138</v>
      </c>
      <c r="C810" s="25" t="str">
        <f>ORÇAMENTO!A847</f>
        <v>7.1.2.5.10</v>
      </c>
      <c r="D810" s="25" t="str">
        <f>ORÇAMENTO!B847</f>
        <v xml:space="preserve"> 00007765 </v>
      </c>
      <c r="E810" s="25" t="str">
        <f>ORÇAMENTO!C847</f>
        <v>SINAPI</v>
      </c>
      <c r="F810" s="637" t="str">
        <f>ORÇAMENTO!D847</f>
        <v>TUBO DE CONCRETO ARMADO PARA AGUAS PLUVIAIS, CLASSE PA-2, COM ENCAIXE PONTA E BOLSA, DIAMETRO NOMINAL DE 1000 MM</v>
      </c>
      <c r="G810" s="25" t="str">
        <f>ORÇAMENTO!E847</f>
        <v>M</v>
      </c>
      <c r="H810" s="25">
        <f>ORÇAMENTO!F847</f>
        <v>133.88</v>
      </c>
      <c r="I810" s="25">
        <f>ORÇAMENTO!G847</f>
        <v>517.13</v>
      </c>
      <c r="J810" s="25">
        <f>ORÇAMENTO!H847</f>
        <v>0.111</v>
      </c>
      <c r="K810" s="25">
        <f>ORÇAMENTO!I847</f>
        <v>574.53</v>
      </c>
      <c r="L810" s="25">
        <f>ORÇAMENTO!J847</f>
        <v>76918.070000000007</v>
      </c>
      <c r="M810" s="23">
        <f>ORÇAMENTO!K847</f>
        <v>2.7192843142072793E-3</v>
      </c>
      <c r="N810" s="23" t="str">
        <f t="shared" si="49"/>
        <v>OK!</v>
      </c>
      <c r="O810" s="23" t="str">
        <f t="shared" si="50"/>
        <v>OK!</v>
      </c>
      <c r="P810" s="23" t="str">
        <f t="shared" si="51"/>
        <v>OK!</v>
      </c>
    </row>
    <row r="811" spans="2:16" ht="29" x14ac:dyDescent="0.35">
      <c r="B811" s="43">
        <f t="shared" si="48"/>
        <v>139</v>
      </c>
      <c r="C811" s="25" t="str">
        <f>ORÇAMENTO!A441</f>
        <v>5.1.2.5.13</v>
      </c>
      <c r="D811" s="25" t="str">
        <f>ORÇAMENTO!B441</f>
        <v xml:space="preserve"> 00007766 </v>
      </c>
      <c r="E811" s="25" t="str">
        <f>ORÇAMENTO!C441</f>
        <v>SINAPI</v>
      </c>
      <c r="F811" s="637" t="str">
        <f>ORÇAMENTO!D441</f>
        <v>TUBO DE CONCRETO ARMADO PARA AGUAS PLUVIAIS, CLASSE PA-2, COM ENCAIXE PONTA E BOLSA, DIAMETRO NOMINAL DE 1200 MM</v>
      </c>
      <c r="G811" s="25" t="str">
        <f>ORÇAMENTO!E441</f>
        <v>M</v>
      </c>
      <c r="H811" s="25">
        <f>ORÇAMENTO!F441</f>
        <v>51</v>
      </c>
      <c r="I811" s="25">
        <f>ORÇAMENTO!G441</f>
        <v>758.46</v>
      </c>
      <c r="J811" s="25">
        <f>ORÇAMENTO!H441</f>
        <v>0.111</v>
      </c>
      <c r="K811" s="25">
        <f>ORÇAMENTO!I441</f>
        <v>842.65</v>
      </c>
      <c r="L811" s="25">
        <f>ORÇAMENTO!J441</f>
        <v>42975.15</v>
      </c>
      <c r="M811" s="23">
        <f>ORÇAMENTO!K441</f>
        <v>1.5193003581044733E-3</v>
      </c>
      <c r="N811" s="23" t="str">
        <f t="shared" si="49"/>
        <v>DIFERENTE</v>
      </c>
      <c r="O811" s="23" t="str">
        <f t="shared" si="50"/>
        <v>DIFERENTE</v>
      </c>
      <c r="P811" s="23" t="str">
        <f t="shared" si="51"/>
        <v>DIFERENTE</v>
      </c>
    </row>
    <row r="812" spans="2:16" ht="29" x14ac:dyDescent="0.35">
      <c r="B812" s="43">
        <f t="shared" si="48"/>
        <v>139</v>
      </c>
      <c r="C812" s="25" t="str">
        <f>ORÇAMENTO!A643</f>
        <v>6.1.2.5.5</v>
      </c>
      <c r="D812" s="25" t="str">
        <f>ORÇAMENTO!B643</f>
        <v xml:space="preserve"> 00007766 </v>
      </c>
      <c r="E812" s="25" t="str">
        <f>ORÇAMENTO!C643</f>
        <v>SINAPI</v>
      </c>
      <c r="F812" s="637" t="str">
        <f>ORÇAMENTO!D643</f>
        <v>TUBO DE CONCRETO ARMADO PARA AGUAS PLUVIAIS, CLASSE PA-2, COM ENCAIXE PONTA E BOLSA, DIAMETRO NOMINAL DE 1200 MM</v>
      </c>
      <c r="G812" s="25" t="str">
        <f>ORÇAMENTO!E643</f>
        <v>M</v>
      </c>
      <c r="H812" s="25">
        <f>ORÇAMENTO!F643</f>
        <v>35.107015353864483</v>
      </c>
      <c r="I812" s="25">
        <f>ORÇAMENTO!G643</f>
        <v>758.46</v>
      </c>
      <c r="J812" s="25">
        <f>ORÇAMENTO!H643</f>
        <v>0.111</v>
      </c>
      <c r="K812" s="25">
        <f>ORÇAMENTO!I643</f>
        <v>842.65</v>
      </c>
      <c r="L812" s="25">
        <f>ORÇAMENTO!J643</f>
        <v>29582.92</v>
      </c>
      <c r="M812" s="23">
        <f>ORÇAMENTO!K643</f>
        <v>1.0458448882616112E-3</v>
      </c>
      <c r="N812" s="23" t="str">
        <f t="shared" si="49"/>
        <v>OK!</v>
      </c>
      <c r="O812" s="23" t="str">
        <f t="shared" si="50"/>
        <v>OK!</v>
      </c>
      <c r="P812" s="23" t="str">
        <f t="shared" si="51"/>
        <v>OK!</v>
      </c>
    </row>
    <row r="813" spans="2:16" ht="29" x14ac:dyDescent="0.35">
      <c r="B813" s="43">
        <f t="shared" si="48"/>
        <v>139</v>
      </c>
      <c r="C813" s="25" t="str">
        <f>ORÇAMENTO!A850</f>
        <v>7.1.2.5.13</v>
      </c>
      <c r="D813" s="25" t="str">
        <f>ORÇAMENTO!B850</f>
        <v xml:space="preserve"> 00007766 </v>
      </c>
      <c r="E813" s="25" t="str">
        <f>ORÇAMENTO!C850</f>
        <v>SINAPI</v>
      </c>
      <c r="F813" s="637" t="str">
        <f>ORÇAMENTO!D850</f>
        <v>TUBO DE CONCRETO ARMADO PARA AGUAS PLUVIAIS, CLASSE PA-2, COM ENCAIXE PONTA E BOLSA, DIAMETRO NOMINAL DE 1200 MM</v>
      </c>
      <c r="G813" s="25" t="str">
        <f>ORÇAMENTO!E850</f>
        <v>M</v>
      </c>
      <c r="H813" s="25">
        <f>ORÇAMENTO!F850</f>
        <v>248.96999999999997</v>
      </c>
      <c r="I813" s="25">
        <f>ORÇAMENTO!G850</f>
        <v>758.46</v>
      </c>
      <c r="J813" s="25">
        <f>ORÇAMENTO!H850</f>
        <v>0.111</v>
      </c>
      <c r="K813" s="25">
        <f>ORÇAMENTO!I850</f>
        <v>842.65</v>
      </c>
      <c r="L813" s="25">
        <f>ORÇAMENTO!J850</f>
        <v>209794.57</v>
      </c>
      <c r="M813" s="23">
        <f>ORÇAMENTO!K850</f>
        <v>7.4168668481523394E-3</v>
      </c>
      <c r="N813" s="23" t="str">
        <f t="shared" si="49"/>
        <v>OK!</v>
      </c>
      <c r="O813" s="23" t="str">
        <f t="shared" si="50"/>
        <v>OK!</v>
      </c>
      <c r="P813" s="23" t="str">
        <f t="shared" si="51"/>
        <v>OK!</v>
      </c>
    </row>
    <row r="814" spans="2:16" ht="29" x14ac:dyDescent="0.35">
      <c r="B814" s="43">
        <f t="shared" si="48"/>
        <v>140</v>
      </c>
      <c r="C814" s="25" t="str">
        <f>ORÇAMENTO!A201</f>
        <v>4.1.2.5.12</v>
      </c>
      <c r="D814" s="25" t="str">
        <f>ORÇAMENTO!B201</f>
        <v xml:space="preserve"> 00007767 </v>
      </c>
      <c r="E814" s="25" t="str">
        <f>ORÇAMENTO!C201</f>
        <v>SINAPI</v>
      </c>
      <c r="F814" s="637" t="str">
        <f>ORÇAMENTO!D201</f>
        <v>TUBO DE CONCRETO ARMADO PARA AGUAS PLUVIAIS, CLASSE PA-2, COM ENCAIXE PONTA E BOLSA, DIAMETRO NOMINAL DE 1500 MM</v>
      </c>
      <c r="G814" s="25" t="str">
        <f>ORÇAMENTO!E201</f>
        <v>M</v>
      </c>
      <c r="H814" s="25">
        <f>ORÇAMENTO!F201</f>
        <v>488.31018738243068</v>
      </c>
      <c r="I814" s="25">
        <f>ORÇAMENTO!G201</f>
        <v>1089.02</v>
      </c>
      <c r="J814" s="25">
        <f>ORÇAMENTO!H201</f>
        <v>0.111</v>
      </c>
      <c r="K814" s="25">
        <f>ORÇAMENTO!I201</f>
        <v>1209.9000000000001</v>
      </c>
      <c r="L814" s="25">
        <f>ORÇAMENTO!J201</f>
        <v>590806.49</v>
      </c>
      <c r="M814" s="23">
        <f>ORÇAMENTO!K201</f>
        <v>2.088678019337796E-2</v>
      </c>
      <c r="N814" s="23" t="str">
        <f t="shared" si="49"/>
        <v>DIFERENTE</v>
      </c>
      <c r="O814" s="23" t="str">
        <f t="shared" si="50"/>
        <v>DIFERENTE</v>
      </c>
      <c r="P814" s="23" t="str">
        <f t="shared" si="51"/>
        <v>DIFERENTE</v>
      </c>
    </row>
    <row r="815" spans="2:16" ht="29" x14ac:dyDescent="0.35">
      <c r="B815" s="43">
        <f t="shared" si="48"/>
        <v>140</v>
      </c>
      <c r="C815" s="25" t="str">
        <f>ORÇAMENTO!A443</f>
        <v>5.1.2.5.15</v>
      </c>
      <c r="D815" s="25" t="str">
        <f>ORÇAMENTO!B443</f>
        <v xml:space="preserve"> 00007767 </v>
      </c>
      <c r="E815" s="25" t="str">
        <f>ORÇAMENTO!C443</f>
        <v>SINAPI</v>
      </c>
      <c r="F815" s="637" t="str">
        <f>ORÇAMENTO!D443</f>
        <v>TUBO DE CONCRETO ARMADO PARA AGUAS PLUVIAIS, CLASSE PA-2, COM ENCAIXE PONTA E BOLSA, DIAMETRO NOMINAL DE 1500 MM</v>
      </c>
      <c r="G815" s="25" t="str">
        <f>ORÇAMENTO!E443</f>
        <v>M</v>
      </c>
      <c r="H815" s="25">
        <f>ORÇAMENTO!F443</f>
        <v>310.88</v>
      </c>
      <c r="I815" s="25">
        <f>ORÇAMENTO!G443</f>
        <v>1089.02</v>
      </c>
      <c r="J815" s="25">
        <f>ORÇAMENTO!H443</f>
        <v>0.111</v>
      </c>
      <c r="K815" s="25">
        <f>ORÇAMENTO!I443</f>
        <v>1209.9000000000001</v>
      </c>
      <c r="L815" s="25">
        <f>ORÇAMENTO!J443</f>
        <v>376133.71</v>
      </c>
      <c r="M815" s="23">
        <f>ORÇAMENTO!K443</f>
        <v>1.3297454000699571E-2</v>
      </c>
      <c r="N815" s="23" t="str">
        <f t="shared" si="49"/>
        <v>OK!</v>
      </c>
      <c r="O815" s="23" t="str">
        <f t="shared" si="50"/>
        <v>OK!</v>
      </c>
      <c r="P815" s="23" t="str">
        <f t="shared" si="51"/>
        <v>OK!</v>
      </c>
    </row>
    <row r="816" spans="2:16" ht="29" x14ac:dyDescent="0.35">
      <c r="B816" s="43">
        <f t="shared" si="48"/>
        <v>140</v>
      </c>
      <c r="C816" s="25" t="str">
        <f>ORÇAMENTO!A646</f>
        <v>6.1.2.5.8</v>
      </c>
      <c r="D816" s="25" t="str">
        <f>ORÇAMENTO!B646</f>
        <v xml:space="preserve"> 00007767 </v>
      </c>
      <c r="E816" s="25" t="str">
        <f>ORÇAMENTO!C646</f>
        <v>SINAPI</v>
      </c>
      <c r="F816" s="637" t="str">
        <f>ORÇAMENTO!D646</f>
        <v>TUBO DE CONCRETO ARMADO PARA AGUAS PLUVIAIS, CLASSE PA-2, COM ENCAIXE PONTA E BOLSA, DIAMETRO NOMINAL DE 1500 MM</v>
      </c>
      <c r="G816" s="25" t="str">
        <f>ORÇAMENTO!E646</f>
        <v>M</v>
      </c>
      <c r="H816" s="25">
        <f>ORÇAMENTO!F646</f>
        <v>45.791761848618904</v>
      </c>
      <c r="I816" s="25">
        <f>ORÇAMENTO!G646</f>
        <v>1089.02</v>
      </c>
      <c r="J816" s="25">
        <f>ORÇAMENTO!H646</f>
        <v>0.111</v>
      </c>
      <c r="K816" s="25">
        <f>ORÇAMENTO!I646</f>
        <v>1209.9000000000001</v>
      </c>
      <c r="L816" s="25">
        <f>ORÇAMENTO!J646</f>
        <v>55403.45</v>
      </c>
      <c r="M816" s="23">
        <f>ORÇAMENTO!K646</f>
        <v>1.9586780133454629E-3</v>
      </c>
      <c r="N816" s="23" t="str">
        <f t="shared" si="49"/>
        <v>OK!</v>
      </c>
      <c r="O816" s="23" t="str">
        <f t="shared" si="50"/>
        <v>OK!</v>
      </c>
      <c r="P816" s="23" t="str">
        <f t="shared" si="51"/>
        <v>OK!</v>
      </c>
    </row>
    <row r="817" spans="2:16" ht="29" x14ac:dyDescent="0.35">
      <c r="B817" s="43">
        <f t="shared" si="48"/>
        <v>140</v>
      </c>
      <c r="C817" s="25" t="str">
        <f>ORÇAMENTO!A852</f>
        <v>7.1.2.5.15</v>
      </c>
      <c r="D817" s="25" t="str">
        <f>ORÇAMENTO!B852</f>
        <v xml:space="preserve"> 00007767 </v>
      </c>
      <c r="E817" s="25" t="str">
        <f>ORÇAMENTO!C852</f>
        <v>SINAPI</v>
      </c>
      <c r="F817" s="637" t="str">
        <f>ORÇAMENTO!D852</f>
        <v>TUBO DE CONCRETO ARMADO PARA AGUAS PLUVIAIS, CLASSE PA-2, COM ENCAIXE PONTA E BOLSA, DIAMETRO NOMINAL DE 1500 MM</v>
      </c>
      <c r="G817" s="25" t="str">
        <f>ORÇAMENTO!E852</f>
        <v>M</v>
      </c>
      <c r="H817" s="25">
        <f>ORÇAMENTO!F852</f>
        <v>375.19999999999993</v>
      </c>
      <c r="I817" s="25">
        <f>ORÇAMENTO!G852</f>
        <v>1089.02</v>
      </c>
      <c r="J817" s="25">
        <f>ORÇAMENTO!H852</f>
        <v>0.111</v>
      </c>
      <c r="K817" s="25">
        <f>ORÇAMENTO!I852</f>
        <v>1209.9000000000001</v>
      </c>
      <c r="L817" s="25">
        <f>ORÇAMENTO!J852</f>
        <v>453954.48</v>
      </c>
      <c r="M817" s="23">
        <f>ORÇAMENTO!K852</f>
        <v>1.6048651465489474E-2</v>
      </c>
      <c r="N817" s="23" t="str">
        <f t="shared" si="49"/>
        <v>OK!</v>
      </c>
      <c r="O817" s="23" t="str">
        <f t="shared" si="50"/>
        <v>OK!</v>
      </c>
      <c r="P817" s="23" t="str">
        <f t="shared" si="51"/>
        <v>OK!</v>
      </c>
    </row>
    <row r="818" spans="2:16" ht="29" x14ac:dyDescent="0.35">
      <c r="B818" s="43">
        <f t="shared" si="48"/>
        <v>141</v>
      </c>
      <c r="C818" s="25" t="str">
        <f>ORÇAMENTO!A432</f>
        <v>5.1.2.5.4</v>
      </c>
      <c r="D818" s="25" t="str">
        <f>ORÇAMENTO!B432</f>
        <v xml:space="preserve"> 00007762 </v>
      </c>
      <c r="E818" s="25" t="str">
        <f>ORÇAMENTO!C432</f>
        <v>SINAPI</v>
      </c>
      <c r="F818" s="637" t="str">
        <f>ORÇAMENTO!D432</f>
        <v>TUBO DE CONCRETO ARMADO PARA AGUAS PLUVIAIS, CLASSE PA-2, COM ENCAIXE PONTA E BOLSA, DIAMETRO NOMINAL DE 600 MM</v>
      </c>
      <c r="G818" s="25" t="str">
        <f>ORÇAMENTO!E432</f>
        <v>M</v>
      </c>
      <c r="H818" s="25">
        <f>ORÇAMENTO!F432</f>
        <v>340</v>
      </c>
      <c r="I818" s="25">
        <f>ORÇAMENTO!G432</f>
        <v>209.38</v>
      </c>
      <c r="J818" s="25">
        <f>ORÇAMENTO!H432</f>
        <v>0.111</v>
      </c>
      <c r="K818" s="25">
        <f>ORÇAMENTO!I432</f>
        <v>232.62</v>
      </c>
      <c r="L818" s="25">
        <f>ORÇAMENTO!J432</f>
        <v>79090.8</v>
      </c>
      <c r="M818" s="23">
        <f>ORÇAMENTO!K432</f>
        <v>2.7960968318381501E-3</v>
      </c>
      <c r="N818" s="23" t="str">
        <f t="shared" si="49"/>
        <v>DIFERENTE</v>
      </c>
      <c r="O818" s="23" t="str">
        <f t="shared" si="50"/>
        <v>DIFERENTE</v>
      </c>
      <c r="P818" s="23" t="str">
        <f t="shared" si="51"/>
        <v>DIFERENTE</v>
      </c>
    </row>
    <row r="819" spans="2:16" ht="29" x14ac:dyDescent="0.35">
      <c r="B819" s="43">
        <f t="shared" si="48"/>
        <v>141</v>
      </c>
      <c r="C819" s="25" t="str">
        <f>ORÇAMENTO!A841</f>
        <v>7.1.2.5.4</v>
      </c>
      <c r="D819" s="25" t="str">
        <f>ORÇAMENTO!B841</f>
        <v xml:space="preserve"> 00007762 </v>
      </c>
      <c r="E819" s="25" t="str">
        <f>ORÇAMENTO!C841</f>
        <v>SINAPI</v>
      </c>
      <c r="F819" s="637" t="str">
        <f>ORÇAMENTO!D841</f>
        <v>TUBO DE CONCRETO ARMADO PARA AGUAS PLUVIAIS, CLASSE PA-2, COM ENCAIXE PONTA E BOLSA, DIAMETRO NOMINAL DE 600 MM</v>
      </c>
      <c r="G819" s="25" t="str">
        <f>ORÇAMENTO!E841</f>
        <v>M</v>
      </c>
      <c r="H819" s="25">
        <f>ORÇAMENTO!F841</f>
        <v>67.66</v>
      </c>
      <c r="I819" s="25">
        <f>ORÇAMENTO!G841</f>
        <v>209.38</v>
      </c>
      <c r="J819" s="25">
        <f>ORÇAMENTO!H841</f>
        <v>0.111</v>
      </c>
      <c r="K819" s="25">
        <f>ORÇAMENTO!I841</f>
        <v>232.62</v>
      </c>
      <c r="L819" s="25">
        <f>ORÇAMENTO!J841</f>
        <v>15739.06</v>
      </c>
      <c r="M819" s="23">
        <f>ORÇAMENTO!K841</f>
        <v>5.5642294428821749E-4</v>
      </c>
      <c r="N819" s="23" t="str">
        <f t="shared" si="49"/>
        <v>OK!</v>
      </c>
      <c r="O819" s="23" t="str">
        <f t="shared" si="50"/>
        <v>OK!</v>
      </c>
      <c r="P819" s="23" t="str">
        <f t="shared" si="51"/>
        <v>OK!</v>
      </c>
    </row>
    <row r="820" spans="2:16" ht="29" x14ac:dyDescent="0.35">
      <c r="B820" s="43">
        <f t="shared" si="48"/>
        <v>142</v>
      </c>
      <c r="C820" s="25" t="str">
        <f>ORÇAMENTO!A194</f>
        <v>4.1.2.5.5</v>
      </c>
      <c r="D820" s="25" t="str">
        <f>ORÇAMENTO!B194</f>
        <v xml:space="preserve"> 00007763 </v>
      </c>
      <c r="E820" s="25" t="str">
        <f>ORÇAMENTO!C194</f>
        <v>SINAPI</v>
      </c>
      <c r="F820" s="637" t="str">
        <f>ORÇAMENTO!D194</f>
        <v>TUBO DE CONCRETO ARMADO PARA AGUAS PLUVIAIS, CLASSE PA-2, COM ENCAIXE PONTA E BOLSA, DIAMETRO NOMINAL DE 800 MM</v>
      </c>
      <c r="G820" s="25" t="str">
        <f>ORÇAMENTO!E194</f>
        <v>M</v>
      </c>
      <c r="H820" s="25">
        <f>ORÇAMENTO!F194</f>
        <v>72.999999999392372</v>
      </c>
      <c r="I820" s="25">
        <f>ORÇAMENTO!G194</f>
        <v>390.38</v>
      </c>
      <c r="J820" s="25">
        <f>ORÇAMENTO!H194</f>
        <v>0.111</v>
      </c>
      <c r="K820" s="25">
        <f>ORÇAMENTO!I194</f>
        <v>433.71</v>
      </c>
      <c r="L820" s="25">
        <f>ORÇAMENTO!J194</f>
        <v>31660.82</v>
      </c>
      <c r="M820" s="23">
        <f>ORÇAMENTO!K194</f>
        <v>1.1193048811669365E-3</v>
      </c>
      <c r="N820" s="23" t="str">
        <f t="shared" si="49"/>
        <v>DIFERENTE</v>
      </c>
      <c r="O820" s="23" t="str">
        <f t="shared" si="50"/>
        <v>DIFERENTE</v>
      </c>
      <c r="P820" s="23" t="str">
        <f t="shared" si="51"/>
        <v>DIFERENTE</v>
      </c>
    </row>
    <row r="821" spans="2:16" ht="29" x14ac:dyDescent="0.35">
      <c r="B821" s="43">
        <f t="shared" si="48"/>
        <v>142</v>
      </c>
      <c r="C821" s="25" t="str">
        <f>ORÇAMENTO!A435</f>
        <v>5.1.2.5.7</v>
      </c>
      <c r="D821" s="25" t="str">
        <f>ORÇAMENTO!B435</f>
        <v xml:space="preserve"> 00007763 </v>
      </c>
      <c r="E821" s="25" t="str">
        <f>ORÇAMENTO!C435</f>
        <v>SINAPI</v>
      </c>
      <c r="F821" s="637" t="str">
        <f>ORÇAMENTO!D435</f>
        <v>TUBO DE CONCRETO ARMADO PARA AGUAS PLUVIAIS, CLASSE PA-2, COM ENCAIXE PONTA E BOLSA, DIAMETRO NOMINAL DE 800 MM</v>
      </c>
      <c r="G821" s="25" t="str">
        <f>ORÇAMENTO!E435</f>
        <v>M</v>
      </c>
      <c r="H821" s="25">
        <f>ORÇAMENTO!F435</f>
        <v>50</v>
      </c>
      <c r="I821" s="25">
        <f>ORÇAMENTO!G435</f>
        <v>390.38</v>
      </c>
      <c r="J821" s="25">
        <f>ORÇAMENTO!H435</f>
        <v>0.111</v>
      </c>
      <c r="K821" s="25">
        <f>ORÇAMENTO!I435</f>
        <v>433.71</v>
      </c>
      <c r="L821" s="25">
        <f>ORÇAMENTO!J435</f>
        <v>21685.5</v>
      </c>
      <c r="M821" s="23">
        <f>ORÇAMENTO!K435</f>
        <v>7.6664742102527982E-4</v>
      </c>
      <c r="N821" s="23" t="str">
        <f t="shared" si="49"/>
        <v>OK!</v>
      </c>
      <c r="O821" s="23" t="str">
        <f t="shared" si="50"/>
        <v>OK!</v>
      </c>
      <c r="P821" s="23" t="str">
        <f t="shared" si="51"/>
        <v>OK!</v>
      </c>
    </row>
    <row r="822" spans="2:16" ht="29" x14ac:dyDescent="0.35">
      <c r="B822" s="43">
        <f t="shared" si="48"/>
        <v>142</v>
      </c>
      <c r="C822" s="25" t="str">
        <f>ORÇAMENTO!A844</f>
        <v>7.1.2.5.7</v>
      </c>
      <c r="D822" s="25" t="str">
        <f>ORÇAMENTO!B844</f>
        <v xml:space="preserve"> 00007763 </v>
      </c>
      <c r="E822" s="25" t="str">
        <f>ORÇAMENTO!C844</f>
        <v>SINAPI</v>
      </c>
      <c r="F822" s="637" t="str">
        <f>ORÇAMENTO!D844</f>
        <v>TUBO DE CONCRETO ARMADO PARA AGUAS PLUVIAIS, CLASSE PA-2, COM ENCAIXE PONTA E BOLSA, DIAMETRO NOMINAL DE 800 MM</v>
      </c>
      <c r="G822" s="25" t="str">
        <f>ORÇAMENTO!E844</f>
        <v>M</v>
      </c>
      <c r="H822" s="25">
        <f>ORÇAMENTO!F844</f>
        <v>66.88</v>
      </c>
      <c r="I822" s="25">
        <f>ORÇAMENTO!G844</f>
        <v>390.38</v>
      </c>
      <c r="J822" s="25">
        <f>ORÇAMENTO!H844</f>
        <v>0.111</v>
      </c>
      <c r="K822" s="25">
        <f>ORÇAMENTO!I844</f>
        <v>433.71</v>
      </c>
      <c r="L822" s="25">
        <f>ORÇAMENTO!J844</f>
        <v>29006.52</v>
      </c>
      <c r="M822" s="23">
        <f>ORÇAMENTO!K844</f>
        <v>1.0254674206690278E-3</v>
      </c>
      <c r="N822" s="23" t="str">
        <f t="shared" si="49"/>
        <v>OK!</v>
      </c>
      <c r="O822" s="23" t="str">
        <f t="shared" si="50"/>
        <v>OK!</v>
      </c>
      <c r="P822" s="23" t="str">
        <f t="shared" si="51"/>
        <v>OK!</v>
      </c>
    </row>
    <row r="823" spans="2:16" ht="29" x14ac:dyDescent="0.35">
      <c r="B823" s="43">
        <f t="shared" si="48"/>
        <v>143</v>
      </c>
      <c r="C823" s="25" t="str">
        <f>ORÇAMENTO!A249</f>
        <v>4.1.2.6.47</v>
      </c>
      <c r="D823" s="25" t="str">
        <f>ORÇAMENTO!B249</f>
        <v xml:space="preserve"> 00007781 </v>
      </c>
      <c r="E823" s="25" t="str">
        <f>ORÇAMENTO!C249</f>
        <v>SINAPI</v>
      </c>
      <c r="F823" s="637" t="str">
        <f>ORÇAMENTO!D249</f>
        <v>TUBO DE CONCRETO SIMPLES PARA AGUAS PLUVIAIS, CLASSE PS1, COM ENCAIXE PONTA E BOLSA, DIAMETRO NOMINAL DE 400 MM</v>
      </c>
      <c r="G823" s="25" t="str">
        <f>ORÇAMENTO!E249</f>
        <v>M</v>
      </c>
      <c r="H823" s="25">
        <f>ORÇAMENTO!F249</f>
        <v>67.95</v>
      </c>
      <c r="I823" s="25">
        <f>ORÇAMENTO!G249</f>
        <v>62.21</v>
      </c>
      <c r="J823" s="25">
        <f>ORÇAMENTO!H249</f>
        <v>0.111</v>
      </c>
      <c r="K823" s="25">
        <f>ORÇAMENTO!I249</f>
        <v>69.12</v>
      </c>
      <c r="L823" s="25">
        <f>ORÇAMENTO!J249</f>
        <v>4696.7</v>
      </c>
      <c r="M823" s="23">
        <f>ORÇAMENTO!K249</f>
        <v>1.6604242200223338E-4</v>
      </c>
      <c r="N823" s="23" t="str">
        <f t="shared" si="49"/>
        <v>DIFERENTE</v>
      </c>
      <c r="O823" s="23" t="str">
        <f t="shared" si="50"/>
        <v>DIFERENTE</v>
      </c>
      <c r="P823" s="23" t="str">
        <f t="shared" si="51"/>
        <v>DIFERENTE</v>
      </c>
    </row>
    <row r="824" spans="2:16" ht="29" x14ac:dyDescent="0.35">
      <c r="B824" s="43">
        <f t="shared" si="48"/>
        <v>143</v>
      </c>
      <c r="C824" s="25" t="str">
        <f>ORÇAMENTO!A492</f>
        <v>5.1.2.6.48</v>
      </c>
      <c r="D824" s="25" t="str">
        <f>ORÇAMENTO!B492</f>
        <v xml:space="preserve"> 00007781 </v>
      </c>
      <c r="E824" s="25" t="str">
        <f>ORÇAMENTO!C492</f>
        <v>SINAPI</v>
      </c>
      <c r="F824" s="637" t="str">
        <f>ORÇAMENTO!D492</f>
        <v>TUBO DE CONCRETO SIMPLES PARA AGUAS PLUVIAIS, CLASSE PS1, COM ENCAIXE PONTA E BOLSA, DIAMETRO NOMINAL DE 400 MM</v>
      </c>
      <c r="G824" s="25" t="str">
        <f>ORÇAMENTO!E492</f>
        <v>M</v>
      </c>
      <c r="H824" s="25">
        <f>ORÇAMENTO!F492</f>
        <v>63.97</v>
      </c>
      <c r="I824" s="25">
        <f>ORÇAMENTO!G492</f>
        <v>62.21</v>
      </c>
      <c r="J824" s="25">
        <f>ORÇAMENTO!H492</f>
        <v>0.111</v>
      </c>
      <c r="K824" s="25">
        <f>ORÇAMENTO!I492</f>
        <v>69.12</v>
      </c>
      <c r="L824" s="25">
        <f>ORÇAMENTO!J492</f>
        <v>4421.6000000000004</v>
      </c>
      <c r="M824" s="23">
        <f>ORÇAMENTO!K492</f>
        <v>1.5631681246940942E-4</v>
      </c>
      <c r="N824" s="23" t="str">
        <f t="shared" si="49"/>
        <v>OK!</v>
      </c>
      <c r="O824" s="23" t="str">
        <f t="shared" si="50"/>
        <v>OK!</v>
      </c>
      <c r="P824" s="23" t="str">
        <f t="shared" si="51"/>
        <v>OK!</v>
      </c>
    </row>
    <row r="825" spans="2:16" ht="29" x14ac:dyDescent="0.35">
      <c r="B825" s="43">
        <f t="shared" si="48"/>
        <v>143</v>
      </c>
      <c r="C825" s="25" t="str">
        <f>ORÇAMENTO!A687</f>
        <v>6.1.2.6.40</v>
      </c>
      <c r="D825" s="25" t="str">
        <f>ORÇAMENTO!B687</f>
        <v xml:space="preserve"> 00007781 </v>
      </c>
      <c r="E825" s="25" t="str">
        <f>ORÇAMENTO!C687</f>
        <v>SINAPI</v>
      </c>
      <c r="F825" s="637" t="str">
        <f>ORÇAMENTO!D687</f>
        <v>TUBO DE CONCRETO SIMPLES PARA AGUAS PLUVIAIS, CLASSE PS1, COM ENCAIXE PONTA E BOLSA, DIAMETRO NOMINAL DE 400 MM</v>
      </c>
      <c r="G825" s="25" t="str">
        <f>ORÇAMENTO!E687</f>
        <v>M</v>
      </c>
      <c r="H825" s="25">
        <f>ORÇAMENTO!F687</f>
        <v>38.340000000000003</v>
      </c>
      <c r="I825" s="25">
        <f>ORÇAMENTO!G687</f>
        <v>62.21</v>
      </c>
      <c r="J825" s="25">
        <f>ORÇAMENTO!H687</f>
        <v>0.111</v>
      </c>
      <c r="K825" s="25">
        <f>ORÇAMENTO!I687</f>
        <v>69.12</v>
      </c>
      <c r="L825" s="25">
        <f>ORÇAMENTO!J687</f>
        <v>2650.06</v>
      </c>
      <c r="M825" s="23">
        <f>ORÇAMENTO!K687</f>
        <v>9.3687563789732916E-5</v>
      </c>
      <c r="N825" s="23" t="str">
        <f t="shared" si="49"/>
        <v>OK!</v>
      </c>
      <c r="O825" s="23" t="str">
        <f t="shared" si="50"/>
        <v>OK!</v>
      </c>
      <c r="P825" s="23" t="str">
        <f t="shared" si="51"/>
        <v>OK!</v>
      </c>
    </row>
    <row r="826" spans="2:16" ht="29" x14ac:dyDescent="0.35">
      <c r="B826" s="43">
        <f t="shared" si="48"/>
        <v>143</v>
      </c>
      <c r="C826" s="25" t="str">
        <f>ORÇAMENTO!A900</f>
        <v>7.1.2.6.47</v>
      </c>
      <c r="D826" s="25" t="str">
        <f>ORÇAMENTO!B900</f>
        <v xml:space="preserve"> 00007781 </v>
      </c>
      <c r="E826" s="25" t="str">
        <f>ORÇAMENTO!C900</f>
        <v>SINAPI</v>
      </c>
      <c r="F826" s="637" t="str">
        <f>ORÇAMENTO!D900</f>
        <v>TUBO DE CONCRETO SIMPLES PARA AGUAS PLUVIAIS, CLASSE PS1, COM ENCAIXE PONTA E BOLSA, DIAMETRO NOMINAL DE 400 MM</v>
      </c>
      <c r="G826" s="25" t="str">
        <f>ORÇAMENTO!E900</f>
        <v>M</v>
      </c>
      <c r="H826" s="25">
        <f>ORÇAMENTO!F900</f>
        <v>20.329999999999998</v>
      </c>
      <c r="I826" s="25">
        <f>ORÇAMENTO!G900</f>
        <v>62.21</v>
      </c>
      <c r="J826" s="25">
        <f>ORÇAMENTO!H900</f>
        <v>0.111</v>
      </c>
      <c r="K826" s="25">
        <f>ORÇAMENTO!I900</f>
        <v>69.12</v>
      </c>
      <c r="L826" s="25">
        <f>ORÇAMENTO!J900</f>
        <v>1405.2</v>
      </c>
      <c r="M826" s="23">
        <f>ORÇAMENTO!K900</f>
        <v>4.9678031681295026E-5</v>
      </c>
      <c r="N826" s="23" t="str">
        <f t="shared" si="49"/>
        <v>OK!</v>
      </c>
      <c r="O826" s="23" t="str">
        <f t="shared" si="50"/>
        <v>OK!</v>
      </c>
      <c r="P826" s="23" t="str">
        <f t="shared" si="51"/>
        <v>OK!</v>
      </c>
    </row>
    <row r="827" spans="2:16" ht="29" x14ac:dyDescent="0.35">
      <c r="B827" s="43">
        <f t="shared" si="48"/>
        <v>144</v>
      </c>
      <c r="C827" s="25" t="str">
        <f>ORÇAMENTO!A250</f>
        <v>4.1.2.6.48</v>
      </c>
      <c r="D827" s="25" t="str">
        <f>ORÇAMENTO!B250</f>
        <v xml:space="preserve"> 00007785 </v>
      </c>
      <c r="E827" s="25" t="str">
        <f>ORÇAMENTO!C250</f>
        <v>SINAPI</v>
      </c>
      <c r="F827" s="637" t="str">
        <f>ORÇAMENTO!D250</f>
        <v>TUBO DE CONCRETO SIMPLES PARA AGUAS PLUVIAIS, CLASSE PS2, COM ENCAIXE PONTA E BOLSA, DIAMETRO NOMINAL DE 400 MM</v>
      </c>
      <c r="G827" s="25" t="str">
        <f>ORÇAMENTO!E250</f>
        <v>M</v>
      </c>
      <c r="H827" s="25">
        <f>ORÇAMENTO!F250</f>
        <v>92.75</v>
      </c>
      <c r="I827" s="25">
        <f>ORÇAMENTO!G250</f>
        <v>68.3</v>
      </c>
      <c r="J827" s="25">
        <f>ORÇAMENTO!H250</f>
        <v>0.111</v>
      </c>
      <c r="K827" s="25">
        <f>ORÇAMENTO!I250</f>
        <v>75.88</v>
      </c>
      <c r="L827" s="25">
        <f>ORÇAMENTO!J250</f>
        <v>7037.87</v>
      </c>
      <c r="M827" s="23">
        <f>ORÇAMENTO!K250</f>
        <v>2.4880979848337307E-4</v>
      </c>
      <c r="N827" s="23" t="str">
        <f t="shared" si="49"/>
        <v>DIFERENTE</v>
      </c>
      <c r="O827" s="23" t="str">
        <f t="shared" si="50"/>
        <v>DIFERENTE</v>
      </c>
      <c r="P827" s="23" t="str">
        <f t="shared" si="51"/>
        <v>DIFERENTE</v>
      </c>
    </row>
    <row r="828" spans="2:16" ht="29" x14ac:dyDescent="0.35">
      <c r="B828" s="43">
        <f t="shared" si="48"/>
        <v>144</v>
      </c>
      <c r="C828" s="25" t="str">
        <f>ORÇAMENTO!A493</f>
        <v>5.1.2.6.49</v>
      </c>
      <c r="D828" s="25" t="str">
        <f>ORÇAMENTO!B493</f>
        <v xml:space="preserve"> 00007785 </v>
      </c>
      <c r="E828" s="25" t="str">
        <f>ORÇAMENTO!C493</f>
        <v>SINAPI</v>
      </c>
      <c r="F828" s="637" t="str">
        <f>ORÇAMENTO!D493</f>
        <v>TUBO DE CONCRETO SIMPLES PARA AGUAS PLUVIAIS, CLASSE PS2, COM ENCAIXE PONTA E BOLSA, DIAMETRO NOMINAL DE 400 MM</v>
      </c>
      <c r="G828" s="25" t="str">
        <f>ORÇAMENTO!E493</f>
        <v>M</v>
      </c>
      <c r="H828" s="25">
        <f>ORÇAMENTO!F493</f>
        <v>265.87</v>
      </c>
      <c r="I828" s="25">
        <f>ORÇAMENTO!G493</f>
        <v>68.3</v>
      </c>
      <c r="J828" s="25">
        <f>ORÇAMENTO!H493</f>
        <v>0.111</v>
      </c>
      <c r="K828" s="25">
        <f>ORÇAMENTO!I493</f>
        <v>75.88</v>
      </c>
      <c r="L828" s="25">
        <f>ORÇAMENTO!J493</f>
        <v>20174.21</v>
      </c>
      <c r="M828" s="23">
        <f>ORÇAMENTO!K493</f>
        <v>7.1321878986983973E-4</v>
      </c>
      <c r="N828" s="23" t="str">
        <f t="shared" si="49"/>
        <v>OK!</v>
      </c>
      <c r="O828" s="23" t="str">
        <f t="shared" si="50"/>
        <v>OK!</v>
      </c>
      <c r="P828" s="23" t="str">
        <f t="shared" si="51"/>
        <v>OK!</v>
      </c>
    </row>
    <row r="829" spans="2:16" ht="29" x14ac:dyDescent="0.35">
      <c r="B829" s="43">
        <f t="shared" si="48"/>
        <v>144</v>
      </c>
      <c r="C829" s="25" t="str">
        <f>ORÇAMENTO!A688</f>
        <v>6.1.2.6.41</v>
      </c>
      <c r="D829" s="25" t="str">
        <f>ORÇAMENTO!B688</f>
        <v xml:space="preserve"> 00007785 </v>
      </c>
      <c r="E829" s="25" t="str">
        <f>ORÇAMENTO!C688</f>
        <v>SINAPI</v>
      </c>
      <c r="F829" s="637" t="str">
        <f>ORÇAMENTO!D688</f>
        <v>TUBO DE CONCRETO SIMPLES PARA AGUAS PLUVIAIS, CLASSE PS2, COM ENCAIXE PONTA E BOLSA, DIAMETRO NOMINAL DE 400 MM</v>
      </c>
      <c r="G829" s="25" t="str">
        <f>ORÇAMENTO!E688</f>
        <v>M</v>
      </c>
      <c r="H829" s="25">
        <f>ORÇAMENTO!F688</f>
        <v>126.49</v>
      </c>
      <c r="I829" s="25">
        <f>ORÇAMENTO!G688</f>
        <v>68.3</v>
      </c>
      <c r="J829" s="25">
        <f>ORÇAMENTO!H688</f>
        <v>0.111</v>
      </c>
      <c r="K829" s="25">
        <f>ORÇAMENTO!I688</f>
        <v>75.88</v>
      </c>
      <c r="L829" s="25">
        <f>ORÇAMENTO!J688</f>
        <v>9598.06</v>
      </c>
      <c r="M829" s="23">
        <f>ORÇAMENTO!K688</f>
        <v>3.3932018841372792E-4</v>
      </c>
      <c r="N829" s="23" t="str">
        <f t="shared" si="49"/>
        <v>OK!</v>
      </c>
      <c r="O829" s="23" t="str">
        <f t="shared" si="50"/>
        <v>OK!</v>
      </c>
      <c r="P829" s="23" t="str">
        <f t="shared" si="51"/>
        <v>OK!</v>
      </c>
    </row>
    <row r="830" spans="2:16" ht="29" x14ac:dyDescent="0.35">
      <c r="B830" s="43">
        <f t="shared" si="48"/>
        <v>144</v>
      </c>
      <c r="C830" s="25" t="str">
        <f>ORÇAMENTO!A901</f>
        <v>7.1.2.6.48</v>
      </c>
      <c r="D830" s="25" t="str">
        <f>ORÇAMENTO!B901</f>
        <v xml:space="preserve"> 00007785 </v>
      </c>
      <c r="E830" s="25" t="str">
        <f>ORÇAMENTO!C901</f>
        <v>SINAPI</v>
      </c>
      <c r="F830" s="637" t="str">
        <f>ORÇAMENTO!D901</f>
        <v>TUBO DE CONCRETO SIMPLES PARA AGUAS PLUVIAIS, CLASSE PS2, COM ENCAIXE PONTA E BOLSA, DIAMETRO NOMINAL DE 400 MM</v>
      </c>
      <c r="G830" s="25" t="str">
        <f>ORÇAMENTO!E901</f>
        <v>M</v>
      </c>
      <c r="H830" s="25">
        <f>ORÇAMENTO!F901</f>
        <v>242.72</v>
      </c>
      <c r="I830" s="25">
        <f>ORÇAMENTO!G901</f>
        <v>68.3</v>
      </c>
      <c r="J830" s="25">
        <f>ORÇAMENTO!H901</f>
        <v>0.111</v>
      </c>
      <c r="K830" s="25">
        <f>ORÇAMENTO!I901</f>
        <v>75.88</v>
      </c>
      <c r="L830" s="25">
        <f>ORÇAMENTO!J901</f>
        <v>18417.59</v>
      </c>
      <c r="M830" s="23">
        <f>ORÇAMENTO!K901</f>
        <v>6.5111700790855564E-4</v>
      </c>
      <c r="N830" s="23" t="str">
        <f t="shared" si="49"/>
        <v>OK!</v>
      </c>
      <c r="O830" s="23" t="str">
        <f t="shared" si="50"/>
        <v>OK!</v>
      </c>
      <c r="P830" s="23" t="str">
        <f t="shared" si="51"/>
        <v>OK!</v>
      </c>
    </row>
    <row r="831" spans="2:16" ht="29" x14ac:dyDescent="0.35">
      <c r="B831" s="43">
        <f t="shared" si="48"/>
        <v>145</v>
      </c>
      <c r="C831" s="25" t="str">
        <f>ORÇAMENTO!A178</f>
        <v>4.1.2.4.11</v>
      </c>
      <c r="D831" s="25" t="str">
        <f>ORÇAMENTO!B178</f>
        <v xml:space="preserve"> 101023 M </v>
      </c>
      <c r="E831" s="25" t="str">
        <f>ORÇAMENTO!C178</f>
        <v>PRÓPRIO</v>
      </c>
      <c r="F831" s="637" t="str">
        <f>ORÇAMENTO!D178</f>
        <v>USINAGEM DE CBUQ SEM  CAP 50/70, PARA CAPA DE ROLAMENTO (SEM MATERIAL  E TRANSPORTE)</v>
      </c>
      <c r="G831" s="25" t="str">
        <f>ORÇAMENTO!E178</f>
        <v>T</v>
      </c>
      <c r="H831" s="25">
        <f>ORÇAMENTO!F178</f>
        <v>128.40725973862871</v>
      </c>
      <c r="I831" s="25">
        <f>ORÇAMENTO!G178</f>
        <v>188.17</v>
      </c>
      <c r="J831" s="25">
        <f>ORÇAMENTO!H178</f>
        <v>0.2122</v>
      </c>
      <c r="K831" s="25">
        <f>ORÇAMENTO!I178</f>
        <v>228.1</v>
      </c>
      <c r="L831" s="25">
        <f>ORÇAMENTO!J178</f>
        <v>29289.69</v>
      </c>
      <c r="M831" s="23">
        <f>ORÇAMENTO!K178</f>
        <v>1.0354783288893468E-3</v>
      </c>
      <c r="N831" s="23" t="str">
        <f t="shared" si="49"/>
        <v>DIFERENTE</v>
      </c>
      <c r="O831" s="23" t="str">
        <f t="shared" si="50"/>
        <v>DIFERENTE</v>
      </c>
      <c r="P831" s="23" t="str">
        <f t="shared" si="51"/>
        <v>DIFERENTE</v>
      </c>
    </row>
    <row r="832" spans="2:16" ht="29" x14ac:dyDescent="0.35">
      <c r="B832" s="43">
        <f t="shared" si="48"/>
        <v>145</v>
      </c>
      <c r="C832" s="25" t="str">
        <f>ORÇAMENTO!A231</f>
        <v>4.1.2.6.29</v>
      </c>
      <c r="D832" s="25" t="str">
        <f>ORÇAMENTO!B231</f>
        <v xml:space="preserve"> 101023 M </v>
      </c>
      <c r="E832" s="25" t="str">
        <f>ORÇAMENTO!C231</f>
        <v>PRÓPRIO</v>
      </c>
      <c r="F832" s="637" t="str">
        <f>ORÇAMENTO!D231</f>
        <v>USINAGEM DE CBUQ SEM  CAP 50/70, PARA CAPA DE ROLAMENTO (SEM MATERIAL  E TRANSPORTE)</v>
      </c>
      <c r="G832" s="25" t="str">
        <f>ORÇAMENTO!E231</f>
        <v>T</v>
      </c>
      <c r="H832" s="25">
        <f>ORÇAMENTO!F231</f>
        <v>16.27</v>
      </c>
      <c r="I832" s="25">
        <f>ORÇAMENTO!G231</f>
        <v>188.17</v>
      </c>
      <c r="J832" s="25">
        <f>ORÇAMENTO!H231</f>
        <v>0.2122</v>
      </c>
      <c r="K832" s="25">
        <f>ORÇAMENTO!I231</f>
        <v>228.1</v>
      </c>
      <c r="L832" s="25">
        <f>ORÇAMENTO!J231</f>
        <v>3711.18</v>
      </c>
      <c r="M832" s="23">
        <f>ORÇAMENTO!K231</f>
        <v>1.3120133619056964E-4</v>
      </c>
      <c r="N832" s="23" t="str">
        <f t="shared" si="49"/>
        <v>OK!</v>
      </c>
      <c r="O832" s="23" t="str">
        <f t="shared" si="50"/>
        <v>OK!</v>
      </c>
      <c r="P832" s="23" t="str">
        <f t="shared" si="51"/>
        <v>OK!</v>
      </c>
    </row>
    <row r="833" spans="2:16" ht="29" x14ac:dyDescent="0.35">
      <c r="B833" s="43">
        <f t="shared" ref="B833:B844" si="52">IF(EXACT(D832,D833),B832,B832+1)</f>
        <v>145</v>
      </c>
      <c r="C833" s="25" t="str">
        <f>ORÇAMENTO!A288</f>
        <v>4.2.4.9</v>
      </c>
      <c r="D833" s="25" t="str">
        <f>ORÇAMENTO!B288</f>
        <v xml:space="preserve"> 101023 M </v>
      </c>
      <c r="E833" s="25" t="str">
        <f>ORÇAMENTO!C288</f>
        <v>PRÓPRIO</v>
      </c>
      <c r="F833" s="637" t="str">
        <f>ORÇAMENTO!D288</f>
        <v>USINAGEM DE CBUQ SEM  CAP 50/70, PARA CAPA DE ROLAMENTO (SEM MATERIAL  E TRANSPORTE)</v>
      </c>
      <c r="G833" s="25" t="str">
        <f>ORÇAMENTO!E288</f>
        <v>T</v>
      </c>
      <c r="H833" s="25">
        <f>ORÇAMENTO!F288</f>
        <v>276.67199999999997</v>
      </c>
      <c r="I833" s="25">
        <f>ORÇAMENTO!G288</f>
        <v>188.17</v>
      </c>
      <c r="J833" s="25">
        <f>ORÇAMENTO!H288</f>
        <v>0.2122</v>
      </c>
      <c r="K833" s="25">
        <f>ORÇAMENTO!I288</f>
        <v>228.1</v>
      </c>
      <c r="L833" s="25">
        <f>ORÇAMENTO!J288</f>
        <v>63108.88</v>
      </c>
      <c r="M833" s="23">
        <f>ORÇAMENTO!K288</f>
        <v>2.2310880586472004E-3</v>
      </c>
      <c r="N833" s="23" t="str">
        <f t="shared" ref="N833:N844" si="53">IF(F833=F832,IF(G833=G832,"OK!","ERRADO"),"DIFERENTE")</f>
        <v>OK!</v>
      </c>
      <c r="O833" s="23" t="str">
        <f t="shared" ref="O833:O844" si="54">IF(F833=F832,IF(I833=I832,"OK!","ERRADO"),"DIFERENTE")</f>
        <v>OK!</v>
      </c>
      <c r="P833" s="23" t="str">
        <f t="shared" ref="P833:P844" si="55">IF(F833=F832,IF(D833=D832,"OK!","ERRADO"),"DIFERENTE")</f>
        <v>OK!</v>
      </c>
    </row>
    <row r="834" spans="2:16" ht="29" x14ac:dyDescent="0.35">
      <c r="B834" s="43">
        <f t="shared" si="52"/>
        <v>145</v>
      </c>
      <c r="C834" s="25" t="str">
        <f>ORÇAMENTO!A322</f>
        <v>4.4.18</v>
      </c>
      <c r="D834" s="25" t="str">
        <f>ORÇAMENTO!B322</f>
        <v xml:space="preserve"> 101023 M </v>
      </c>
      <c r="E834" s="25" t="str">
        <f>ORÇAMENTO!C322</f>
        <v>PRÓPRIO</v>
      </c>
      <c r="F834" s="637" t="str">
        <f>ORÇAMENTO!D322</f>
        <v>USINAGEM DE CBUQ SEM  CAP 50/70, PARA CAPA DE ROLAMENTO (SEM MATERIAL  E TRANSPORTE)</v>
      </c>
      <c r="G834" s="25" t="str">
        <f>ORÇAMENTO!E322</f>
        <v>T</v>
      </c>
      <c r="H834" s="25">
        <f>ORÇAMENTO!F322</f>
        <v>2.7679922348615946</v>
      </c>
      <c r="I834" s="25">
        <f>ORÇAMENTO!G322</f>
        <v>188.17</v>
      </c>
      <c r="J834" s="25">
        <f>ORÇAMENTO!H322</f>
        <v>0.2122</v>
      </c>
      <c r="K834" s="25">
        <f>ORÇAMENTO!I322</f>
        <v>228.1</v>
      </c>
      <c r="L834" s="25">
        <f>ORÇAMENTO!J322</f>
        <v>631.37</v>
      </c>
      <c r="M834" s="23">
        <f>ORÇAMENTO!K322</f>
        <v>2.2320821849287816E-5</v>
      </c>
      <c r="N834" s="23" t="str">
        <f t="shared" si="53"/>
        <v>OK!</v>
      </c>
      <c r="O834" s="23" t="str">
        <f t="shared" si="54"/>
        <v>OK!</v>
      </c>
      <c r="P834" s="23" t="str">
        <f t="shared" si="55"/>
        <v>OK!</v>
      </c>
    </row>
    <row r="835" spans="2:16" ht="29" x14ac:dyDescent="0.35">
      <c r="B835" s="43">
        <f t="shared" si="52"/>
        <v>145</v>
      </c>
      <c r="C835" s="25" t="str">
        <f>ORÇAMENTO!A417</f>
        <v>5.1.2.4.11</v>
      </c>
      <c r="D835" s="25" t="str">
        <f>ORÇAMENTO!B417</f>
        <v xml:space="preserve"> 101023 M </v>
      </c>
      <c r="E835" s="25" t="str">
        <f>ORÇAMENTO!C417</f>
        <v>PRÓPRIO</v>
      </c>
      <c r="F835" s="637" t="str">
        <f>ORÇAMENTO!D417</f>
        <v>USINAGEM DE CBUQ SEM  CAP 50/70, PARA CAPA DE ROLAMENTO (SEM MATERIAL  E TRANSPORTE)</v>
      </c>
      <c r="G835" s="25" t="str">
        <f>ORÇAMENTO!E417</f>
        <v>T</v>
      </c>
      <c r="H835" s="25">
        <f>ORÇAMENTO!F417</f>
        <v>233.74864799999992</v>
      </c>
      <c r="I835" s="25">
        <f>ORÇAMENTO!G417</f>
        <v>188.17</v>
      </c>
      <c r="J835" s="25">
        <f>ORÇAMENTO!H417</f>
        <v>0.2122</v>
      </c>
      <c r="K835" s="25">
        <f>ORÇAMENTO!I417</f>
        <v>228.1</v>
      </c>
      <c r="L835" s="25">
        <f>ORÇAMENTO!J417</f>
        <v>53318.06</v>
      </c>
      <c r="M835" s="23">
        <f>ORÇAMENTO!K417</f>
        <v>1.8849532264910253E-3</v>
      </c>
      <c r="N835" s="23" t="str">
        <f t="shared" si="53"/>
        <v>OK!</v>
      </c>
      <c r="O835" s="23" t="str">
        <f t="shared" si="54"/>
        <v>OK!</v>
      </c>
      <c r="P835" s="23" t="str">
        <f t="shared" si="55"/>
        <v>OK!</v>
      </c>
    </row>
    <row r="836" spans="2:16" ht="29" x14ac:dyDescent="0.35">
      <c r="B836" s="43">
        <f t="shared" si="52"/>
        <v>145</v>
      </c>
      <c r="C836" s="25" t="str">
        <f>ORÇAMENTO!A474</f>
        <v>5.1.2.6.30</v>
      </c>
      <c r="D836" s="25" t="str">
        <f>ORÇAMENTO!B474</f>
        <v xml:space="preserve"> 101023 M </v>
      </c>
      <c r="E836" s="25" t="str">
        <f>ORÇAMENTO!C474</f>
        <v>PRÓPRIO</v>
      </c>
      <c r="F836" s="637" t="str">
        <f>ORÇAMENTO!D474</f>
        <v>USINAGEM DE CBUQ SEM  CAP 50/70, PARA CAPA DE ROLAMENTO (SEM MATERIAL  E TRANSPORTE)</v>
      </c>
      <c r="G836" s="25" t="str">
        <f>ORÇAMENTO!E474</f>
        <v>T</v>
      </c>
      <c r="H836" s="25">
        <f>ORÇAMENTO!F474</f>
        <v>10.81</v>
      </c>
      <c r="I836" s="25">
        <f>ORÇAMENTO!G474</f>
        <v>188.17</v>
      </c>
      <c r="J836" s="25">
        <f>ORÇAMENTO!H474</f>
        <v>0.2122</v>
      </c>
      <c r="K836" s="25">
        <f>ORÇAMENTO!I474</f>
        <v>228.1</v>
      </c>
      <c r="L836" s="25">
        <f>ORÇAMENTO!J474</f>
        <v>2465.7600000000002</v>
      </c>
      <c r="M836" s="23">
        <f>ORÇAMENTO!K474</f>
        <v>8.7172006403693451E-5</v>
      </c>
      <c r="N836" s="23" t="str">
        <f t="shared" si="53"/>
        <v>OK!</v>
      </c>
      <c r="O836" s="23" t="str">
        <f t="shared" si="54"/>
        <v>OK!</v>
      </c>
      <c r="P836" s="23" t="str">
        <f t="shared" si="55"/>
        <v>OK!</v>
      </c>
    </row>
    <row r="837" spans="2:16" ht="29" x14ac:dyDescent="0.35">
      <c r="B837" s="43">
        <f t="shared" si="52"/>
        <v>145</v>
      </c>
      <c r="C837" s="25" t="str">
        <f>ORÇAMENTO!A535</f>
        <v>5.4.18</v>
      </c>
      <c r="D837" s="25" t="str">
        <f>ORÇAMENTO!B535</f>
        <v xml:space="preserve"> 101023 M </v>
      </c>
      <c r="E837" s="25" t="str">
        <f>ORÇAMENTO!C535</f>
        <v>PRÓPRIO</v>
      </c>
      <c r="F837" s="637" t="str">
        <f>ORÇAMENTO!D535</f>
        <v>USINAGEM DE CBUQ SEM  CAP 50/70, PARA CAPA DE ROLAMENTO (SEM MATERIAL  E TRANSPORTE)</v>
      </c>
      <c r="G837" s="25" t="str">
        <f>ORÇAMENTO!E535</f>
        <v>T</v>
      </c>
      <c r="H837" s="25">
        <f>ORÇAMENTO!F535</f>
        <v>0.85168991841895236</v>
      </c>
      <c r="I837" s="25">
        <f>ORÇAMENTO!G535</f>
        <v>188.17</v>
      </c>
      <c r="J837" s="25">
        <f>ORÇAMENTO!H535</f>
        <v>0.2122</v>
      </c>
      <c r="K837" s="25">
        <f>ORÇAMENTO!I535</f>
        <v>228.1</v>
      </c>
      <c r="L837" s="25">
        <f>ORÇAMENTO!J535</f>
        <v>194.27</v>
      </c>
      <c r="M837" s="23">
        <f>ORÇAMENTO!K535</f>
        <v>6.8680267682359697E-6</v>
      </c>
      <c r="N837" s="23" t="str">
        <f t="shared" si="53"/>
        <v>OK!</v>
      </c>
      <c r="O837" s="23" t="str">
        <f t="shared" si="54"/>
        <v>OK!</v>
      </c>
      <c r="P837" s="23" t="str">
        <f t="shared" si="55"/>
        <v>OK!</v>
      </c>
    </row>
    <row r="838" spans="2:16" ht="29" x14ac:dyDescent="0.35">
      <c r="B838" s="43">
        <f t="shared" si="52"/>
        <v>145</v>
      </c>
      <c r="C838" s="25" t="str">
        <f>ORÇAMENTO!A629</f>
        <v>6.1.2.4.11</v>
      </c>
      <c r="D838" s="25" t="str">
        <f>ORÇAMENTO!B629</f>
        <v xml:space="preserve"> 101023 M </v>
      </c>
      <c r="E838" s="25" t="str">
        <f>ORÇAMENTO!C629</f>
        <v>PRÓPRIO</v>
      </c>
      <c r="F838" s="637" t="str">
        <f>ORÇAMENTO!D629</f>
        <v>USINAGEM DE CBUQ SEM  CAP 50/70, PARA CAPA DE ROLAMENTO (SEM MATERIAL  E TRANSPORTE)</v>
      </c>
      <c r="G838" s="25" t="str">
        <f>ORÇAMENTO!E629</f>
        <v>T</v>
      </c>
      <c r="H838" s="25">
        <f>ORÇAMENTO!F629</f>
        <v>88.566537206896456</v>
      </c>
      <c r="I838" s="25">
        <f>ORÇAMENTO!G629</f>
        <v>188.17</v>
      </c>
      <c r="J838" s="25">
        <f>ORÇAMENTO!H629</f>
        <v>0.2122</v>
      </c>
      <c r="K838" s="25">
        <f>ORÇAMENTO!I629</f>
        <v>228.1</v>
      </c>
      <c r="L838" s="25">
        <f>ORÇAMENTO!J629</f>
        <v>20202.02</v>
      </c>
      <c r="M838" s="23">
        <f>ORÇAMENTO!K629</f>
        <v>7.1420195672228562E-4</v>
      </c>
      <c r="N838" s="23" t="str">
        <f t="shared" si="53"/>
        <v>OK!</v>
      </c>
      <c r="O838" s="23" t="str">
        <f t="shared" si="54"/>
        <v>OK!</v>
      </c>
      <c r="P838" s="23" t="str">
        <f t="shared" si="55"/>
        <v>OK!</v>
      </c>
    </row>
    <row r="839" spans="2:16" ht="29" x14ac:dyDescent="0.35">
      <c r="B839" s="43">
        <f t="shared" si="52"/>
        <v>145</v>
      </c>
      <c r="C839" s="25" t="str">
        <f>ORÇAMENTO!A669</f>
        <v>6.1.2.6.22</v>
      </c>
      <c r="D839" s="25" t="str">
        <f>ORÇAMENTO!B669</f>
        <v xml:space="preserve"> 101023 M </v>
      </c>
      <c r="E839" s="25" t="str">
        <f>ORÇAMENTO!C669</f>
        <v>PRÓPRIO</v>
      </c>
      <c r="F839" s="637" t="str">
        <f>ORÇAMENTO!D669</f>
        <v>USINAGEM DE CBUQ SEM  CAP 50/70, PARA CAPA DE ROLAMENTO (SEM MATERIAL  E TRANSPORTE)</v>
      </c>
      <c r="G839" s="25" t="str">
        <f>ORÇAMENTO!E669</f>
        <v>T</v>
      </c>
      <c r="H839" s="25">
        <f>ORÇAMENTO!F669</f>
        <v>3.42</v>
      </c>
      <c r="I839" s="25">
        <f>ORÇAMENTO!G669</f>
        <v>188.17</v>
      </c>
      <c r="J839" s="25">
        <f>ORÇAMENTO!H669</f>
        <v>0.2122</v>
      </c>
      <c r="K839" s="25">
        <f>ORÇAMENTO!I669</f>
        <v>228.1</v>
      </c>
      <c r="L839" s="25">
        <f>ORÇAMENTO!J669</f>
        <v>780.1</v>
      </c>
      <c r="M839" s="23">
        <f>ORÇAMENTO!K669</f>
        <v>2.7578873124521955E-5</v>
      </c>
      <c r="N839" s="23" t="str">
        <f t="shared" si="53"/>
        <v>OK!</v>
      </c>
      <c r="O839" s="23" t="str">
        <f t="shared" si="54"/>
        <v>OK!</v>
      </c>
      <c r="P839" s="23" t="str">
        <f t="shared" si="55"/>
        <v>OK!</v>
      </c>
    </row>
    <row r="840" spans="2:16" ht="29" x14ac:dyDescent="0.35">
      <c r="B840" s="43">
        <f t="shared" si="52"/>
        <v>145</v>
      </c>
      <c r="C840" s="25" t="str">
        <f>ORÇAMENTO!A725</f>
        <v>6.4.15</v>
      </c>
      <c r="D840" s="25" t="str">
        <f>ORÇAMENTO!B725</f>
        <v xml:space="preserve"> 101023 M </v>
      </c>
      <c r="E840" s="25" t="str">
        <f>ORÇAMENTO!C725</f>
        <v>PRÓPRIO</v>
      </c>
      <c r="F840" s="637" t="str">
        <f>ORÇAMENTO!D725</f>
        <v>USINAGEM DE CBUQ SEM  CAP 50/70, PARA CAPA DE ROLAMENTO (SEM MATERIAL  E TRANSPORTE)</v>
      </c>
      <c r="G840" s="25" t="str">
        <f>ORÇAMENTO!E725</f>
        <v>T</v>
      </c>
      <c r="H840" s="25">
        <f>ORÇAMENTO!F725</f>
        <v>2.1292247960473811</v>
      </c>
      <c r="I840" s="25">
        <f>ORÇAMENTO!G725</f>
        <v>188.17</v>
      </c>
      <c r="J840" s="25">
        <f>ORÇAMENTO!H725</f>
        <v>0.2122</v>
      </c>
      <c r="K840" s="25">
        <f>ORÇAMENTO!I725</f>
        <v>228.1</v>
      </c>
      <c r="L840" s="25">
        <f>ORÇAMENTO!J725</f>
        <v>485.67</v>
      </c>
      <c r="M840" s="23">
        <f>ORÇAMENTO!K725</f>
        <v>1.7169890155603868E-5</v>
      </c>
      <c r="N840" s="23" t="str">
        <f t="shared" si="53"/>
        <v>OK!</v>
      </c>
      <c r="O840" s="23" t="str">
        <f t="shared" si="54"/>
        <v>OK!</v>
      </c>
      <c r="P840" s="23" t="str">
        <f t="shared" si="55"/>
        <v>OK!</v>
      </c>
    </row>
    <row r="841" spans="2:16" ht="29" x14ac:dyDescent="0.35">
      <c r="B841" s="43">
        <f t="shared" si="52"/>
        <v>145</v>
      </c>
      <c r="C841" s="25" t="str">
        <f>ORÇAMENTO!A826</f>
        <v>7.1.2.4.11</v>
      </c>
      <c r="D841" s="25" t="str">
        <f>ORÇAMENTO!B826</f>
        <v xml:space="preserve"> 101023 M </v>
      </c>
      <c r="E841" s="25" t="str">
        <f>ORÇAMENTO!C826</f>
        <v>PRÓPRIO</v>
      </c>
      <c r="F841" s="637" t="str">
        <f>ORÇAMENTO!D826</f>
        <v>USINAGEM DE CBUQ SEM  CAP 50/70, PARA CAPA DE ROLAMENTO (SEM MATERIAL  E TRANSPORTE)</v>
      </c>
      <c r="G841" s="25" t="str">
        <f>ORÇAMENTO!E826</f>
        <v>T</v>
      </c>
      <c r="H841" s="25">
        <f>ORÇAMENTO!F826</f>
        <v>261.49881599999992</v>
      </c>
      <c r="I841" s="25">
        <f>ORÇAMENTO!G826</f>
        <v>188.17</v>
      </c>
      <c r="J841" s="25">
        <f>ORÇAMENTO!H826</f>
        <v>0.2122</v>
      </c>
      <c r="K841" s="25">
        <f>ORÇAMENTO!I826</f>
        <v>228.1</v>
      </c>
      <c r="L841" s="25">
        <f>ORÇAMENTO!J826</f>
        <v>59647.87</v>
      </c>
      <c r="M841" s="23">
        <f>ORÇAMENTO!K826</f>
        <v>2.1087309817689774E-3</v>
      </c>
      <c r="N841" s="23" t="str">
        <f t="shared" si="53"/>
        <v>OK!</v>
      </c>
      <c r="O841" s="23" t="str">
        <f t="shared" si="54"/>
        <v>OK!</v>
      </c>
      <c r="P841" s="23" t="str">
        <f t="shared" si="55"/>
        <v>OK!</v>
      </c>
    </row>
    <row r="842" spans="2:16" ht="29" x14ac:dyDescent="0.35">
      <c r="B842" s="43">
        <f t="shared" si="52"/>
        <v>145</v>
      </c>
      <c r="C842" s="25" t="str">
        <f>ORÇAMENTO!A882</f>
        <v>7.1.2.6.29</v>
      </c>
      <c r="D842" s="25" t="str">
        <f>ORÇAMENTO!B882</f>
        <v xml:space="preserve"> 101023 M </v>
      </c>
      <c r="E842" s="25" t="str">
        <f>ORÇAMENTO!C882</f>
        <v>PRÓPRIO</v>
      </c>
      <c r="F842" s="637" t="str">
        <f>ORÇAMENTO!D882</f>
        <v>USINAGEM DE CBUQ SEM  CAP 50/70, PARA CAPA DE ROLAMENTO (SEM MATERIAL  E TRANSPORTE)</v>
      </c>
      <c r="G842" s="25" t="str">
        <f>ORÇAMENTO!E882</f>
        <v>T</v>
      </c>
      <c r="H842" s="25">
        <f>ORÇAMENTO!F882</f>
        <v>19.91</v>
      </c>
      <c r="I842" s="25">
        <f>ORÇAMENTO!G882</f>
        <v>188.17</v>
      </c>
      <c r="J842" s="25">
        <f>ORÇAMENTO!H882</f>
        <v>0.2122</v>
      </c>
      <c r="K842" s="25">
        <f>ORÇAMENTO!I882</f>
        <v>228.1</v>
      </c>
      <c r="L842" s="25">
        <f>ORÇAMENTO!J882</f>
        <v>4541.47</v>
      </c>
      <c r="M842" s="23">
        <f>ORÇAMENTO!K882</f>
        <v>1.605545762451259E-4</v>
      </c>
      <c r="N842" s="23" t="str">
        <f t="shared" si="53"/>
        <v>OK!</v>
      </c>
      <c r="O842" s="23" t="str">
        <f t="shared" si="54"/>
        <v>OK!</v>
      </c>
      <c r="P842" s="23" t="str">
        <f t="shared" si="55"/>
        <v>OK!</v>
      </c>
    </row>
    <row r="843" spans="2:16" ht="29" x14ac:dyDescent="0.35">
      <c r="B843" s="43">
        <f t="shared" si="52"/>
        <v>145</v>
      </c>
      <c r="C843" s="25" t="str">
        <f>ORÇAMENTO!A949</f>
        <v>7.4.17</v>
      </c>
      <c r="D843" s="25" t="str">
        <f>ORÇAMENTO!B949</f>
        <v xml:space="preserve"> 101023 M </v>
      </c>
      <c r="E843" s="25" t="str">
        <f>ORÇAMENTO!C949</f>
        <v>PRÓPRIO</v>
      </c>
      <c r="F843" s="26" t="str">
        <f>ORÇAMENTO!D949</f>
        <v>USINAGEM DE CBUQ SEM  CAP 50/70, PARA CAPA DE ROLAMENTO (SEM MATERIAL  E TRANSPORTE)</v>
      </c>
      <c r="G843" s="25" t="str">
        <f>ORÇAMENTO!E949</f>
        <v>T</v>
      </c>
      <c r="H843" s="25">
        <f>ORÇAMENTO!F949</f>
        <v>1.7033798368379047</v>
      </c>
      <c r="I843" s="25">
        <f>ORÇAMENTO!G949</f>
        <v>188.17</v>
      </c>
      <c r="J843" s="25">
        <f>ORÇAMENTO!H949</f>
        <v>0.2122</v>
      </c>
      <c r="K843" s="25">
        <f>ORÇAMENTO!I949</f>
        <v>228.1</v>
      </c>
      <c r="L843" s="45">
        <f>ORÇAMENTO!J949</f>
        <v>388.54</v>
      </c>
      <c r="M843" s="23">
        <f>ORÇAMENTO!K949</f>
        <v>1.3736053536471939E-5</v>
      </c>
      <c r="N843" s="23" t="str">
        <f t="shared" si="53"/>
        <v>OK!</v>
      </c>
      <c r="O843" s="23" t="str">
        <f t="shared" si="54"/>
        <v>OK!</v>
      </c>
      <c r="P843" s="23" t="str">
        <f t="shared" si="55"/>
        <v>OK!</v>
      </c>
    </row>
    <row r="844" spans="2:16" ht="29" x14ac:dyDescent="0.35">
      <c r="B844" s="43">
        <f t="shared" si="52"/>
        <v>145</v>
      </c>
      <c r="C844" s="25" t="str">
        <f>ORÇAMENTO!A977</f>
        <v>7.5.4.9</v>
      </c>
      <c r="D844" s="25" t="str">
        <f>ORÇAMENTO!B977</f>
        <v xml:space="preserve"> 101023 M </v>
      </c>
      <c r="E844" s="25" t="str">
        <f>ORÇAMENTO!C977</f>
        <v>PRÓPRIO</v>
      </c>
      <c r="F844" s="26" t="str">
        <f>ORÇAMENTO!D977</f>
        <v>USINAGEM DE CBUQ SEM  CAP 50/70, PARA CAPA DE ROLAMENTO (SEM MATERIAL  E TRANSPORTE)</v>
      </c>
      <c r="G844" s="25" t="str">
        <f>ORÇAMENTO!E977</f>
        <v>T</v>
      </c>
      <c r="H844" s="25">
        <f>ORÇAMENTO!F977</f>
        <v>391.31999999999994</v>
      </c>
      <c r="I844" s="25">
        <f>ORÇAMENTO!G977</f>
        <v>188.17</v>
      </c>
      <c r="J844" s="25">
        <f>ORÇAMENTO!H977</f>
        <v>0.2122</v>
      </c>
      <c r="K844" s="25">
        <f>ORÇAMENTO!I977</f>
        <v>228.1</v>
      </c>
      <c r="L844" s="45">
        <f>ORÇAMENTO!J977</f>
        <v>89260.09</v>
      </c>
      <c r="M844" s="23">
        <f>ORÇAMENTO!K977</f>
        <v>3.1556117128488793E-3</v>
      </c>
      <c r="N844" s="23" t="str">
        <f t="shared" si="53"/>
        <v>OK!</v>
      </c>
      <c r="O844" s="23" t="str">
        <f t="shared" si="54"/>
        <v>OK!</v>
      </c>
      <c r="P844" s="23" t="str">
        <f t="shared" si="55"/>
        <v>OK!</v>
      </c>
    </row>
  </sheetData>
  <autoFilter ref="B1:P844" xr:uid="{339507EE-C47A-4925-9A09-ED6316B2574C}"/>
  <sortState xmlns:xlrd2="http://schemas.microsoft.com/office/spreadsheetml/2017/richdata2" ref="B1:M844">
    <sortCondition ref="F1:F844"/>
  </sortState>
  <printOptions horizontalCentered="1" verticalCentered="1"/>
  <pageMargins left="0.51181102362204722" right="0.51181102362204722" top="0.78740157480314965" bottom="0.78740157480314965" header="0.31496062992125984" footer="0.31496062992125984"/>
  <pageSetup paperSize="9" scale="65" orientation="landscape"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E8858-7AC9-4DF9-81CC-E988018D15FB}">
  <sheetPr>
    <pageSetUpPr fitToPage="1"/>
  </sheetPr>
  <dimension ref="A1:J5340"/>
  <sheetViews>
    <sheetView view="pageBreakPreview" topLeftCell="A5310" zoomScaleNormal="100" zoomScaleSheetLayoutView="100" workbookViewId="0">
      <selection activeCell="A5310" sqref="A1:XFD1048576"/>
    </sheetView>
  </sheetViews>
  <sheetFormatPr defaultRowHeight="14" x14ac:dyDescent="0.3"/>
  <cols>
    <col min="1" max="1" width="10.5" style="4" customWidth="1"/>
    <col min="2" max="2" width="12" style="4" bestFit="1" customWidth="1"/>
    <col min="3" max="3" width="10" style="4" bestFit="1" customWidth="1"/>
    <col min="4" max="4" width="60" style="5" bestFit="1" customWidth="1"/>
    <col min="5" max="5" width="18.58203125" style="5" customWidth="1"/>
    <col min="6" max="6" width="14.58203125" style="5" customWidth="1"/>
    <col min="7" max="9" width="12" style="5" bestFit="1" customWidth="1"/>
    <col min="10" max="10" width="14" style="5" bestFit="1" customWidth="1"/>
    <col min="11" max="11" width="14" bestFit="1" customWidth="1"/>
  </cols>
  <sheetData>
    <row r="1" spans="1:10" x14ac:dyDescent="0.3">
      <c r="A1" s="2"/>
      <c r="B1" s="2"/>
      <c r="C1" s="913" t="s">
        <v>2429</v>
      </c>
      <c r="D1" s="913"/>
      <c r="E1" s="914" t="s">
        <v>1</v>
      </c>
      <c r="F1" s="914"/>
      <c r="G1" s="914" t="s">
        <v>10</v>
      </c>
      <c r="H1" s="914"/>
      <c r="I1" s="527" t="s">
        <v>11</v>
      </c>
      <c r="J1" s="70"/>
    </row>
    <row r="2" spans="1:10" ht="130" customHeight="1" x14ac:dyDescent="0.3">
      <c r="A2" s="3"/>
      <c r="B2" s="3"/>
      <c r="C2" s="910" t="s">
        <v>17042</v>
      </c>
      <c r="D2" s="910"/>
      <c r="E2" s="914" t="s">
        <v>4452</v>
      </c>
      <c r="F2" s="914"/>
      <c r="G2" s="910" t="s">
        <v>12</v>
      </c>
      <c r="H2" s="910"/>
      <c r="I2" s="915" t="s">
        <v>16941</v>
      </c>
      <c r="J2" s="915"/>
    </row>
    <row r="3" spans="1:10" x14ac:dyDescent="0.3">
      <c r="A3" s="911"/>
      <c r="B3" s="912"/>
      <c r="C3" s="912"/>
      <c r="D3" s="912"/>
      <c r="E3" s="912"/>
      <c r="F3" s="912"/>
      <c r="G3" s="912"/>
      <c r="H3" s="912"/>
      <c r="I3" s="912"/>
      <c r="J3" s="912"/>
    </row>
    <row r="4" spans="1:10" x14ac:dyDescent="0.3">
      <c r="A4" s="917" t="s">
        <v>2430</v>
      </c>
      <c r="B4" s="917"/>
      <c r="C4" s="917"/>
      <c r="D4" s="917"/>
      <c r="E4" s="917"/>
      <c r="F4" s="917"/>
      <c r="G4" s="917"/>
      <c r="H4" s="917"/>
      <c r="I4" s="917"/>
      <c r="J4" s="917"/>
    </row>
    <row r="5" spans="1:10" x14ac:dyDescent="0.3">
      <c r="A5" s="639"/>
      <c r="B5" s="640" t="s">
        <v>15</v>
      </c>
      <c r="C5" s="639" t="s">
        <v>16</v>
      </c>
      <c r="D5" s="639" t="s">
        <v>17</v>
      </c>
      <c r="E5" s="916" t="s">
        <v>2431</v>
      </c>
      <c r="F5" s="916"/>
      <c r="G5" s="641" t="s">
        <v>18</v>
      </c>
      <c r="H5" s="640" t="s">
        <v>19</v>
      </c>
      <c r="I5" s="640" t="s">
        <v>20</v>
      </c>
      <c r="J5" s="640" t="s">
        <v>23</v>
      </c>
    </row>
    <row r="6" spans="1:10" s="358" customFormat="1" ht="25" x14ac:dyDescent="0.3">
      <c r="A6" s="642" t="s">
        <v>2432</v>
      </c>
      <c r="B6" s="643" t="s">
        <v>31</v>
      </c>
      <c r="C6" s="642" t="s">
        <v>32</v>
      </c>
      <c r="D6" s="642" t="s">
        <v>33</v>
      </c>
      <c r="E6" s="906" t="s">
        <v>2433</v>
      </c>
      <c r="F6" s="906"/>
      <c r="G6" s="644" t="s">
        <v>34</v>
      </c>
      <c r="H6" s="645">
        <v>1</v>
      </c>
      <c r="I6" s="646">
        <v>34812.769999999997</v>
      </c>
      <c r="J6" s="646">
        <v>34812.769999999997</v>
      </c>
    </row>
    <row r="7" spans="1:10" ht="25" x14ac:dyDescent="0.3">
      <c r="A7" s="519" t="s">
        <v>2434</v>
      </c>
      <c r="B7" s="520" t="s">
        <v>2435</v>
      </c>
      <c r="C7" s="519" t="s">
        <v>32</v>
      </c>
      <c r="D7" s="519" t="s">
        <v>2436</v>
      </c>
      <c r="E7" s="905" t="s">
        <v>2433</v>
      </c>
      <c r="F7" s="905"/>
      <c r="G7" s="521" t="s">
        <v>34</v>
      </c>
      <c r="H7" s="522">
        <v>1</v>
      </c>
      <c r="I7" s="523">
        <v>431.87</v>
      </c>
      <c r="J7" s="523">
        <v>431.87</v>
      </c>
    </row>
    <row r="8" spans="1:10" x14ac:dyDescent="0.3">
      <c r="A8" s="519" t="s">
        <v>2437</v>
      </c>
      <c r="B8" s="520" t="s">
        <v>2438</v>
      </c>
      <c r="C8" s="519" t="s">
        <v>32</v>
      </c>
      <c r="D8" s="519" t="s">
        <v>2439</v>
      </c>
      <c r="E8" s="905" t="s">
        <v>2440</v>
      </c>
      <c r="F8" s="905"/>
      <c r="G8" s="521" t="s">
        <v>34</v>
      </c>
      <c r="H8" s="522">
        <v>1</v>
      </c>
      <c r="I8" s="523">
        <v>33978.99</v>
      </c>
      <c r="J8" s="523">
        <v>33978.99</v>
      </c>
    </row>
    <row r="9" spans="1:10" ht="25" x14ac:dyDescent="0.3">
      <c r="A9" s="519" t="s">
        <v>2437</v>
      </c>
      <c r="B9" s="520" t="s">
        <v>2441</v>
      </c>
      <c r="C9" s="519" t="s">
        <v>32</v>
      </c>
      <c r="D9" s="519" t="s">
        <v>4240</v>
      </c>
      <c r="E9" s="905" t="s">
        <v>2442</v>
      </c>
      <c r="F9" s="905"/>
      <c r="G9" s="521" t="s">
        <v>34</v>
      </c>
      <c r="H9" s="522">
        <v>1</v>
      </c>
      <c r="I9" s="523">
        <v>252.08</v>
      </c>
      <c r="J9" s="523">
        <v>252.08</v>
      </c>
    </row>
    <row r="10" spans="1:10" ht="25" x14ac:dyDescent="0.3">
      <c r="A10" s="519" t="s">
        <v>2437</v>
      </c>
      <c r="B10" s="520" t="s">
        <v>2443</v>
      </c>
      <c r="C10" s="519" t="s">
        <v>32</v>
      </c>
      <c r="D10" s="519" t="s">
        <v>4241</v>
      </c>
      <c r="E10" s="905" t="s">
        <v>2442</v>
      </c>
      <c r="F10" s="905"/>
      <c r="G10" s="521" t="s">
        <v>34</v>
      </c>
      <c r="H10" s="522">
        <v>1</v>
      </c>
      <c r="I10" s="523">
        <v>7.31</v>
      </c>
      <c r="J10" s="523">
        <v>7.31</v>
      </c>
    </row>
    <row r="11" spans="1:10" ht="25" x14ac:dyDescent="0.3">
      <c r="A11" s="519" t="s">
        <v>2437</v>
      </c>
      <c r="B11" s="520" t="s">
        <v>2444</v>
      </c>
      <c r="C11" s="519" t="s">
        <v>32</v>
      </c>
      <c r="D11" s="519" t="s">
        <v>2445</v>
      </c>
      <c r="E11" s="905" t="s">
        <v>2446</v>
      </c>
      <c r="F11" s="905"/>
      <c r="G11" s="521" t="s">
        <v>34</v>
      </c>
      <c r="H11" s="522">
        <v>1</v>
      </c>
      <c r="I11" s="523">
        <v>2.29</v>
      </c>
      <c r="J11" s="523">
        <v>2.29</v>
      </c>
    </row>
    <row r="12" spans="1:10" ht="25.5" thickBot="1" x14ac:dyDescent="0.35">
      <c r="A12" s="519" t="s">
        <v>2437</v>
      </c>
      <c r="B12" s="520" t="s">
        <v>2447</v>
      </c>
      <c r="C12" s="519" t="s">
        <v>32</v>
      </c>
      <c r="D12" s="519" t="s">
        <v>2448</v>
      </c>
      <c r="E12" s="905" t="s">
        <v>2446</v>
      </c>
      <c r="F12" s="905"/>
      <c r="G12" s="521" t="s">
        <v>34</v>
      </c>
      <c r="H12" s="522">
        <v>1</v>
      </c>
      <c r="I12" s="523">
        <v>140.22999999999999</v>
      </c>
      <c r="J12" s="523">
        <v>140.22999999999999</v>
      </c>
    </row>
    <row r="13" spans="1:10" s="358" customFormat="1" ht="14.5" thickTop="1" x14ac:dyDescent="0.3">
      <c r="A13" s="647"/>
      <c r="B13" s="647"/>
      <c r="C13" s="647"/>
      <c r="D13" s="647"/>
      <c r="E13" s="647"/>
      <c r="F13" s="647"/>
      <c r="G13" s="647"/>
      <c r="H13" s="647"/>
      <c r="I13" s="647"/>
      <c r="J13" s="647"/>
    </row>
    <row r="14" spans="1:10" x14ac:dyDescent="0.3">
      <c r="A14" s="516"/>
      <c r="B14" s="517" t="s">
        <v>15</v>
      </c>
      <c r="C14" s="516" t="s">
        <v>16</v>
      </c>
      <c r="D14" s="516" t="s">
        <v>17</v>
      </c>
      <c r="E14" s="904" t="s">
        <v>2431</v>
      </c>
      <c r="F14" s="904"/>
      <c r="G14" s="518" t="s">
        <v>18</v>
      </c>
      <c r="H14" s="517" t="s">
        <v>19</v>
      </c>
      <c r="I14" s="517" t="s">
        <v>20</v>
      </c>
      <c r="J14" s="517" t="s">
        <v>23</v>
      </c>
    </row>
    <row r="15" spans="1:10" s="358" customFormat="1" ht="25" x14ac:dyDescent="0.3">
      <c r="A15" s="642" t="s">
        <v>2432</v>
      </c>
      <c r="B15" s="643" t="s">
        <v>35</v>
      </c>
      <c r="C15" s="642" t="s">
        <v>32</v>
      </c>
      <c r="D15" s="642" t="s">
        <v>36</v>
      </c>
      <c r="E15" s="906" t="s">
        <v>2433</v>
      </c>
      <c r="F15" s="906"/>
      <c r="G15" s="644" t="s">
        <v>34</v>
      </c>
      <c r="H15" s="645">
        <v>1</v>
      </c>
      <c r="I15" s="646">
        <v>24859.48</v>
      </c>
      <c r="J15" s="646">
        <v>24859.48</v>
      </c>
    </row>
    <row r="16" spans="1:10" ht="25" x14ac:dyDescent="0.3">
      <c r="A16" s="519" t="s">
        <v>2434</v>
      </c>
      <c r="B16" s="520" t="s">
        <v>2449</v>
      </c>
      <c r="C16" s="519" t="s">
        <v>32</v>
      </c>
      <c r="D16" s="519" t="s">
        <v>2450</v>
      </c>
      <c r="E16" s="905" t="s">
        <v>2433</v>
      </c>
      <c r="F16" s="905"/>
      <c r="G16" s="521" t="s">
        <v>34</v>
      </c>
      <c r="H16" s="522">
        <v>1</v>
      </c>
      <c r="I16" s="523">
        <v>306.95</v>
      </c>
      <c r="J16" s="523">
        <v>306.95</v>
      </c>
    </row>
    <row r="17" spans="1:10" x14ac:dyDescent="0.3">
      <c r="A17" s="519" t="s">
        <v>2437</v>
      </c>
      <c r="B17" s="520" t="s">
        <v>2451</v>
      </c>
      <c r="C17" s="519" t="s">
        <v>32</v>
      </c>
      <c r="D17" s="519" t="s">
        <v>2452</v>
      </c>
      <c r="E17" s="905" t="s">
        <v>2440</v>
      </c>
      <c r="F17" s="905"/>
      <c r="G17" s="521" t="s">
        <v>34</v>
      </c>
      <c r="H17" s="522">
        <v>1</v>
      </c>
      <c r="I17" s="523">
        <v>24150.62</v>
      </c>
      <c r="J17" s="523">
        <v>24150.62</v>
      </c>
    </row>
    <row r="18" spans="1:10" ht="25" x14ac:dyDescent="0.3">
      <c r="A18" s="519" t="s">
        <v>2437</v>
      </c>
      <c r="B18" s="520" t="s">
        <v>2441</v>
      </c>
      <c r="C18" s="519" t="s">
        <v>32</v>
      </c>
      <c r="D18" s="519" t="s">
        <v>4240</v>
      </c>
      <c r="E18" s="905" t="s">
        <v>2442</v>
      </c>
      <c r="F18" s="905"/>
      <c r="G18" s="521" t="s">
        <v>34</v>
      </c>
      <c r="H18" s="522">
        <v>1</v>
      </c>
      <c r="I18" s="523">
        <v>252.08</v>
      </c>
      <c r="J18" s="523">
        <v>252.08</v>
      </c>
    </row>
    <row r="19" spans="1:10" ht="25" x14ac:dyDescent="0.3">
      <c r="A19" s="519" t="s">
        <v>2437</v>
      </c>
      <c r="B19" s="520" t="s">
        <v>2443</v>
      </c>
      <c r="C19" s="519" t="s">
        <v>32</v>
      </c>
      <c r="D19" s="519" t="s">
        <v>4241</v>
      </c>
      <c r="E19" s="905" t="s">
        <v>2442</v>
      </c>
      <c r="F19" s="905"/>
      <c r="G19" s="521" t="s">
        <v>34</v>
      </c>
      <c r="H19" s="522">
        <v>1</v>
      </c>
      <c r="I19" s="523">
        <v>7.31</v>
      </c>
      <c r="J19" s="523">
        <v>7.31</v>
      </c>
    </row>
    <row r="20" spans="1:10" ht="25" x14ac:dyDescent="0.3">
      <c r="A20" s="519" t="s">
        <v>2437</v>
      </c>
      <c r="B20" s="520" t="s">
        <v>2444</v>
      </c>
      <c r="C20" s="519" t="s">
        <v>32</v>
      </c>
      <c r="D20" s="519" t="s">
        <v>2445</v>
      </c>
      <c r="E20" s="905" t="s">
        <v>2446</v>
      </c>
      <c r="F20" s="905"/>
      <c r="G20" s="521" t="s">
        <v>34</v>
      </c>
      <c r="H20" s="522">
        <v>1</v>
      </c>
      <c r="I20" s="523">
        <v>2.29</v>
      </c>
      <c r="J20" s="523">
        <v>2.29</v>
      </c>
    </row>
    <row r="21" spans="1:10" ht="25.5" thickBot="1" x14ac:dyDescent="0.35">
      <c r="A21" s="519" t="s">
        <v>2437</v>
      </c>
      <c r="B21" s="520" t="s">
        <v>2447</v>
      </c>
      <c r="C21" s="519" t="s">
        <v>32</v>
      </c>
      <c r="D21" s="519" t="s">
        <v>2448</v>
      </c>
      <c r="E21" s="905" t="s">
        <v>2446</v>
      </c>
      <c r="F21" s="905"/>
      <c r="G21" s="521" t="s">
        <v>34</v>
      </c>
      <c r="H21" s="522">
        <v>1</v>
      </c>
      <c r="I21" s="523">
        <v>140.22999999999999</v>
      </c>
      <c r="J21" s="523">
        <v>140.22999999999999</v>
      </c>
    </row>
    <row r="22" spans="1:10" s="358" customFormat="1" ht="14.5" thickTop="1" x14ac:dyDescent="0.3">
      <c r="A22" s="647"/>
      <c r="B22" s="647"/>
      <c r="C22" s="647"/>
      <c r="D22" s="647"/>
      <c r="E22" s="647"/>
      <c r="F22" s="647"/>
      <c r="G22" s="647"/>
      <c r="H22" s="647"/>
      <c r="I22" s="647"/>
      <c r="J22" s="647"/>
    </row>
    <row r="23" spans="1:10" x14ac:dyDescent="0.3">
      <c r="A23" s="516"/>
      <c r="B23" s="517" t="s">
        <v>15</v>
      </c>
      <c r="C23" s="516" t="s">
        <v>16</v>
      </c>
      <c r="D23" s="516" t="s">
        <v>17</v>
      </c>
      <c r="E23" s="904" t="s">
        <v>2431</v>
      </c>
      <c r="F23" s="904"/>
      <c r="G23" s="518" t="s">
        <v>18</v>
      </c>
      <c r="H23" s="517" t="s">
        <v>19</v>
      </c>
      <c r="I23" s="517" t="s">
        <v>20</v>
      </c>
      <c r="J23" s="517" t="s">
        <v>23</v>
      </c>
    </row>
    <row r="24" spans="1:10" s="358" customFormat="1" ht="15" customHeight="1" x14ac:dyDescent="0.3">
      <c r="A24" s="642" t="s">
        <v>2432</v>
      </c>
      <c r="B24" s="643" t="s">
        <v>37</v>
      </c>
      <c r="C24" s="642" t="s">
        <v>32</v>
      </c>
      <c r="D24" s="642" t="s">
        <v>38</v>
      </c>
      <c r="E24" s="906" t="s">
        <v>2433</v>
      </c>
      <c r="F24" s="906"/>
      <c r="G24" s="644" t="s">
        <v>34</v>
      </c>
      <c r="H24" s="645">
        <v>1</v>
      </c>
      <c r="I24" s="646">
        <v>3536.93</v>
      </c>
      <c r="J24" s="646">
        <v>3536.93</v>
      </c>
    </row>
    <row r="25" spans="1:10" ht="25" x14ac:dyDescent="0.3">
      <c r="A25" s="519" t="s">
        <v>2434</v>
      </c>
      <c r="B25" s="520" t="s">
        <v>2453</v>
      </c>
      <c r="C25" s="519" t="s">
        <v>32</v>
      </c>
      <c r="D25" s="519" t="s">
        <v>2454</v>
      </c>
      <c r="E25" s="905" t="s">
        <v>2433</v>
      </c>
      <c r="F25" s="905"/>
      <c r="G25" s="521" t="s">
        <v>34</v>
      </c>
      <c r="H25" s="522">
        <v>1</v>
      </c>
      <c r="I25" s="523">
        <v>47.57</v>
      </c>
      <c r="J25" s="523">
        <v>47.57</v>
      </c>
    </row>
    <row r="26" spans="1:10" ht="25" x14ac:dyDescent="0.3">
      <c r="A26" s="519" t="s">
        <v>2437</v>
      </c>
      <c r="B26" s="520" t="s">
        <v>2441</v>
      </c>
      <c r="C26" s="519" t="s">
        <v>32</v>
      </c>
      <c r="D26" s="519" t="s">
        <v>4240</v>
      </c>
      <c r="E26" s="905" t="s">
        <v>2442</v>
      </c>
      <c r="F26" s="905"/>
      <c r="G26" s="521" t="s">
        <v>34</v>
      </c>
      <c r="H26" s="522">
        <v>1</v>
      </c>
      <c r="I26" s="523">
        <v>252.08</v>
      </c>
      <c r="J26" s="523">
        <v>252.08</v>
      </c>
    </row>
    <row r="27" spans="1:10" ht="25" x14ac:dyDescent="0.3">
      <c r="A27" s="519" t="s">
        <v>2437</v>
      </c>
      <c r="B27" s="520" t="s">
        <v>2443</v>
      </c>
      <c r="C27" s="519" t="s">
        <v>32</v>
      </c>
      <c r="D27" s="519" t="s">
        <v>4241</v>
      </c>
      <c r="E27" s="905" t="s">
        <v>2442</v>
      </c>
      <c r="F27" s="905"/>
      <c r="G27" s="521" t="s">
        <v>34</v>
      </c>
      <c r="H27" s="522">
        <v>1</v>
      </c>
      <c r="I27" s="523">
        <v>7.31</v>
      </c>
      <c r="J27" s="523">
        <v>7.31</v>
      </c>
    </row>
    <row r="28" spans="1:10" x14ac:dyDescent="0.3">
      <c r="A28" s="519" t="s">
        <v>2437</v>
      </c>
      <c r="B28" s="520" t="s">
        <v>2455</v>
      </c>
      <c r="C28" s="519" t="s">
        <v>32</v>
      </c>
      <c r="D28" s="519" t="s">
        <v>2456</v>
      </c>
      <c r="E28" s="905" t="s">
        <v>2440</v>
      </c>
      <c r="F28" s="905"/>
      <c r="G28" s="521" t="s">
        <v>34</v>
      </c>
      <c r="H28" s="522">
        <v>1</v>
      </c>
      <c r="I28" s="523">
        <v>3071.04</v>
      </c>
      <c r="J28" s="523">
        <v>3071.04</v>
      </c>
    </row>
    <row r="29" spans="1:10" ht="25" x14ac:dyDescent="0.3">
      <c r="A29" s="519" t="s">
        <v>2437</v>
      </c>
      <c r="B29" s="520" t="s">
        <v>2457</v>
      </c>
      <c r="C29" s="519" t="s">
        <v>32</v>
      </c>
      <c r="D29" s="519" t="s">
        <v>2458</v>
      </c>
      <c r="E29" s="905" t="s">
        <v>2446</v>
      </c>
      <c r="F29" s="905"/>
      <c r="G29" s="521" t="s">
        <v>34</v>
      </c>
      <c r="H29" s="522">
        <v>1</v>
      </c>
      <c r="I29" s="523">
        <v>10.89</v>
      </c>
      <c r="J29" s="523">
        <v>10.89</v>
      </c>
    </row>
    <row r="30" spans="1:10" ht="25.5" thickBot="1" x14ac:dyDescent="0.35">
      <c r="A30" s="519" t="s">
        <v>2437</v>
      </c>
      <c r="B30" s="520" t="s">
        <v>2459</v>
      </c>
      <c r="C30" s="519" t="s">
        <v>32</v>
      </c>
      <c r="D30" s="519" t="s">
        <v>2460</v>
      </c>
      <c r="E30" s="905" t="s">
        <v>2446</v>
      </c>
      <c r="F30" s="905"/>
      <c r="G30" s="521" t="s">
        <v>34</v>
      </c>
      <c r="H30" s="522">
        <v>1</v>
      </c>
      <c r="I30" s="523">
        <v>148.04</v>
      </c>
      <c r="J30" s="523">
        <v>148.04</v>
      </c>
    </row>
    <row r="31" spans="1:10" s="358" customFormat="1" ht="14.5" thickTop="1" x14ac:dyDescent="0.3">
      <c r="A31" s="647"/>
      <c r="B31" s="647"/>
      <c r="C31" s="647"/>
      <c r="D31" s="647"/>
      <c r="E31" s="647"/>
      <c r="F31" s="647"/>
      <c r="G31" s="647"/>
      <c r="H31" s="647"/>
      <c r="I31" s="647"/>
      <c r="J31" s="647"/>
    </row>
    <row r="32" spans="1:10" x14ac:dyDescent="0.3">
      <c r="A32" s="516"/>
      <c r="B32" s="517" t="s">
        <v>15</v>
      </c>
      <c r="C32" s="516" t="s">
        <v>16</v>
      </c>
      <c r="D32" s="516" t="s">
        <v>17</v>
      </c>
      <c r="E32" s="904" t="s">
        <v>2431</v>
      </c>
      <c r="F32" s="904"/>
      <c r="G32" s="518" t="s">
        <v>18</v>
      </c>
      <c r="H32" s="517" t="s">
        <v>19</v>
      </c>
      <c r="I32" s="517" t="s">
        <v>20</v>
      </c>
      <c r="J32" s="517" t="s">
        <v>23</v>
      </c>
    </row>
    <row r="33" spans="1:10" s="358" customFormat="1" ht="25" x14ac:dyDescent="0.3">
      <c r="A33" s="642" t="s">
        <v>2432</v>
      </c>
      <c r="B33" s="643" t="s">
        <v>4209</v>
      </c>
      <c r="C33" s="642" t="s">
        <v>39</v>
      </c>
      <c r="D33" s="642" t="s">
        <v>4211</v>
      </c>
      <c r="E33" s="906" t="s">
        <v>2433</v>
      </c>
      <c r="F33" s="906"/>
      <c r="G33" s="644" t="s">
        <v>40</v>
      </c>
      <c r="H33" s="645">
        <v>1</v>
      </c>
      <c r="I33" s="646">
        <v>6723.27</v>
      </c>
      <c r="J33" s="646">
        <v>6723.27</v>
      </c>
    </row>
    <row r="34" spans="1:10" ht="25" x14ac:dyDescent="0.3">
      <c r="A34" s="519" t="s">
        <v>2437</v>
      </c>
      <c r="B34" s="520" t="s">
        <v>2461</v>
      </c>
      <c r="C34" s="519" t="s">
        <v>32</v>
      </c>
      <c r="D34" s="519" t="s">
        <v>2462</v>
      </c>
      <c r="E34" s="905" t="s">
        <v>2446</v>
      </c>
      <c r="F34" s="905"/>
      <c r="G34" s="521" t="s">
        <v>34</v>
      </c>
      <c r="H34" s="522">
        <v>1</v>
      </c>
      <c r="I34" s="523">
        <v>12.77</v>
      </c>
      <c r="J34" s="523">
        <v>12.77</v>
      </c>
    </row>
    <row r="35" spans="1:10" ht="25" x14ac:dyDescent="0.3">
      <c r="A35" s="519" t="s">
        <v>2437</v>
      </c>
      <c r="B35" s="520" t="s">
        <v>2463</v>
      </c>
      <c r="C35" s="519" t="s">
        <v>32</v>
      </c>
      <c r="D35" s="519" t="s">
        <v>2464</v>
      </c>
      <c r="E35" s="905" t="s">
        <v>2446</v>
      </c>
      <c r="F35" s="905"/>
      <c r="G35" s="521" t="s">
        <v>34</v>
      </c>
      <c r="H35" s="522">
        <v>1</v>
      </c>
      <c r="I35" s="523">
        <v>132.94</v>
      </c>
      <c r="J35" s="523">
        <v>132.94</v>
      </c>
    </row>
    <row r="36" spans="1:10" ht="25" x14ac:dyDescent="0.3">
      <c r="A36" s="519" t="s">
        <v>2437</v>
      </c>
      <c r="B36" s="520" t="s">
        <v>2441</v>
      </c>
      <c r="C36" s="519" t="s">
        <v>32</v>
      </c>
      <c r="D36" s="519" t="s">
        <v>4240</v>
      </c>
      <c r="E36" s="905" t="s">
        <v>2442</v>
      </c>
      <c r="F36" s="905"/>
      <c r="G36" s="521" t="s">
        <v>34</v>
      </c>
      <c r="H36" s="522">
        <v>1</v>
      </c>
      <c r="I36" s="523">
        <v>252.08</v>
      </c>
      <c r="J36" s="523">
        <v>252.08</v>
      </c>
    </row>
    <row r="37" spans="1:10" ht="25" x14ac:dyDescent="0.3">
      <c r="A37" s="519" t="s">
        <v>2437</v>
      </c>
      <c r="B37" s="520" t="s">
        <v>2443</v>
      </c>
      <c r="C37" s="519" t="s">
        <v>32</v>
      </c>
      <c r="D37" s="519" t="s">
        <v>4241</v>
      </c>
      <c r="E37" s="905" t="s">
        <v>2442</v>
      </c>
      <c r="F37" s="905"/>
      <c r="G37" s="521" t="s">
        <v>34</v>
      </c>
      <c r="H37" s="522">
        <v>1</v>
      </c>
      <c r="I37" s="523">
        <v>7.31</v>
      </c>
      <c r="J37" s="523">
        <v>7.31</v>
      </c>
    </row>
    <row r="38" spans="1:10" ht="25" x14ac:dyDescent="0.3">
      <c r="A38" s="519" t="s">
        <v>2437</v>
      </c>
      <c r="B38" s="520" t="s">
        <v>4453</v>
      </c>
      <c r="C38" s="519" t="s">
        <v>39</v>
      </c>
      <c r="D38" s="519" t="s">
        <v>4242</v>
      </c>
      <c r="E38" s="905" t="s">
        <v>2440</v>
      </c>
      <c r="F38" s="905"/>
      <c r="G38" s="521" t="s">
        <v>40</v>
      </c>
      <c r="H38" s="522">
        <v>1</v>
      </c>
      <c r="I38" s="523">
        <v>3682.16</v>
      </c>
      <c r="J38" s="523">
        <v>3682.16</v>
      </c>
    </row>
    <row r="39" spans="1:10" ht="25" x14ac:dyDescent="0.3">
      <c r="A39" s="519" t="s">
        <v>2437</v>
      </c>
      <c r="B39" s="520" t="s">
        <v>4453</v>
      </c>
      <c r="C39" s="519" t="s">
        <v>39</v>
      </c>
      <c r="D39" s="519" t="s">
        <v>4242</v>
      </c>
      <c r="E39" s="905" t="s">
        <v>2440</v>
      </c>
      <c r="F39" s="905"/>
      <c r="G39" s="521" t="s">
        <v>40</v>
      </c>
      <c r="H39" s="522">
        <v>1.549E-2</v>
      </c>
      <c r="I39" s="523">
        <v>3682.16</v>
      </c>
      <c r="J39" s="523">
        <v>57.03</v>
      </c>
    </row>
    <row r="40" spans="1:10" ht="25.5" thickBot="1" x14ac:dyDescent="0.35">
      <c r="A40" s="519" t="s">
        <v>2437</v>
      </c>
      <c r="B40" s="520" t="s">
        <v>4453</v>
      </c>
      <c r="C40" s="519" t="s">
        <v>39</v>
      </c>
      <c r="D40" s="519" t="s">
        <v>4242</v>
      </c>
      <c r="E40" s="905" t="s">
        <v>2440</v>
      </c>
      <c r="F40" s="905"/>
      <c r="G40" s="521" t="s">
        <v>40</v>
      </c>
      <c r="H40" s="522">
        <v>0.70040000000000002</v>
      </c>
      <c r="I40" s="523">
        <v>3682.16</v>
      </c>
      <c r="J40" s="523">
        <v>2578.98</v>
      </c>
    </row>
    <row r="41" spans="1:10" s="358" customFormat="1" ht="14.5" thickTop="1" x14ac:dyDescent="0.3">
      <c r="A41" s="647"/>
      <c r="B41" s="647"/>
      <c r="C41" s="647"/>
      <c r="D41" s="647"/>
      <c r="E41" s="647"/>
      <c r="F41" s="647"/>
      <c r="G41" s="647"/>
      <c r="H41" s="647"/>
      <c r="I41" s="647"/>
      <c r="J41" s="647"/>
    </row>
    <row r="42" spans="1:10" x14ac:dyDescent="0.3">
      <c r="A42" s="516"/>
      <c r="B42" s="517" t="s">
        <v>15</v>
      </c>
      <c r="C42" s="516" t="s">
        <v>16</v>
      </c>
      <c r="D42" s="516" t="s">
        <v>17</v>
      </c>
      <c r="E42" s="904" t="s">
        <v>2431</v>
      </c>
      <c r="F42" s="904"/>
      <c r="G42" s="518" t="s">
        <v>18</v>
      </c>
      <c r="H42" s="517" t="s">
        <v>19</v>
      </c>
      <c r="I42" s="517" t="s">
        <v>20</v>
      </c>
      <c r="J42" s="517" t="s">
        <v>23</v>
      </c>
    </row>
    <row r="43" spans="1:10" s="358" customFormat="1" ht="25.5" customHeight="1" x14ac:dyDescent="0.3">
      <c r="A43" s="642" t="s">
        <v>2432</v>
      </c>
      <c r="B43" s="643" t="s">
        <v>44</v>
      </c>
      <c r="C43" s="642" t="s">
        <v>39</v>
      </c>
      <c r="D43" s="642" t="s">
        <v>45</v>
      </c>
      <c r="E43" s="906" t="s">
        <v>2465</v>
      </c>
      <c r="F43" s="906"/>
      <c r="G43" s="644" t="s">
        <v>40</v>
      </c>
      <c r="H43" s="645">
        <v>1</v>
      </c>
      <c r="I43" s="646">
        <v>2727.71</v>
      </c>
      <c r="J43" s="646">
        <v>2727.71</v>
      </c>
    </row>
    <row r="44" spans="1:10" ht="15" customHeight="1" x14ac:dyDescent="0.3">
      <c r="A44" s="904" t="s">
        <v>2418</v>
      </c>
      <c r="B44" s="903" t="s">
        <v>15</v>
      </c>
      <c r="C44" s="904" t="s">
        <v>16</v>
      </c>
      <c r="D44" s="904" t="s">
        <v>2466</v>
      </c>
      <c r="E44" s="903" t="s">
        <v>2467</v>
      </c>
      <c r="F44" s="908" t="s">
        <v>2468</v>
      </c>
      <c r="G44" s="903"/>
      <c r="H44" s="518" t="s">
        <v>2469</v>
      </c>
      <c r="I44" s="903" t="s">
        <v>2470</v>
      </c>
      <c r="J44"/>
    </row>
    <row r="45" spans="1:10" x14ac:dyDescent="0.3">
      <c r="A45" s="903"/>
      <c r="B45" s="903"/>
      <c r="C45" s="903"/>
      <c r="D45" s="903"/>
      <c r="E45" s="903"/>
      <c r="F45" s="517" t="s">
        <v>2471</v>
      </c>
      <c r="G45" s="517" t="s">
        <v>2472</v>
      </c>
      <c r="H45" s="517" t="s">
        <v>2471</v>
      </c>
      <c r="I45" s="903"/>
      <c r="J45"/>
    </row>
    <row r="46" spans="1:10" x14ac:dyDescent="0.3">
      <c r="A46" s="519" t="s">
        <v>2437</v>
      </c>
      <c r="B46" s="520" t="s">
        <v>2473</v>
      </c>
      <c r="C46" s="519" t="s">
        <v>125</v>
      </c>
      <c r="D46" s="519" t="s">
        <v>2474</v>
      </c>
      <c r="E46" s="522">
        <v>1</v>
      </c>
      <c r="F46" s="523">
        <v>44</v>
      </c>
      <c r="G46" s="523">
        <v>176</v>
      </c>
      <c r="H46" s="524">
        <v>36.5379</v>
      </c>
      <c r="I46" s="524">
        <v>2727.7139999999999</v>
      </c>
      <c r="J46"/>
    </row>
    <row r="47" spans="1:10" ht="14.25" customHeight="1" x14ac:dyDescent="0.3">
      <c r="A47" s="902"/>
      <c r="B47" s="902"/>
      <c r="C47" s="902"/>
      <c r="D47" s="902"/>
      <c r="E47" s="902"/>
      <c r="F47" s="902" t="s">
        <v>2475</v>
      </c>
      <c r="G47" s="902"/>
      <c r="H47" s="902"/>
      <c r="I47" s="525">
        <v>2727.7139999999999</v>
      </c>
      <c r="J47"/>
    </row>
    <row r="48" spans="1:10" ht="14.25" customHeight="1" x14ac:dyDescent="0.3">
      <c r="A48" s="902"/>
      <c r="B48" s="902"/>
      <c r="C48" s="902"/>
      <c r="D48" s="902"/>
      <c r="E48" s="902"/>
      <c r="F48" s="902" t="s">
        <v>2476</v>
      </c>
      <c r="G48" s="902"/>
      <c r="H48" s="902"/>
      <c r="I48" s="525">
        <v>2727.7139999999999</v>
      </c>
      <c r="J48"/>
    </row>
    <row r="49" spans="1:10" ht="14.25" customHeight="1" x14ac:dyDescent="0.3">
      <c r="A49" s="902"/>
      <c r="B49" s="902"/>
      <c r="C49" s="902"/>
      <c r="D49" s="902"/>
      <c r="E49" s="902"/>
      <c r="F49" s="902" t="s">
        <v>2477</v>
      </c>
      <c r="G49" s="902"/>
      <c r="H49" s="902"/>
      <c r="I49" s="525">
        <v>0</v>
      </c>
      <c r="J49"/>
    </row>
    <row r="50" spans="1:10" x14ac:dyDescent="0.3">
      <c r="A50" s="902"/>
      <c r="B50" s="902"/>
      <c r="C50" s="902"/>
      <c r="D50" s="902"/>
      <c r="E50" s="902"/>
      <c r="F50" s="902" t="s">
        <v>2478</v>
      </c>
      <c r="G50" s="902"/>
      <c r="H50" s="902"/>
      <c r="I50" s="525">
        <v>0</v>
      </c>
      <c r="J50"/>
    </row>
    <row r="51" spans="1:10" ht="14.25" customHeight="1" x14ac:dyDescent="0.3">
      <c r="A51" s="902"/>
      <c r="B51" s="902"/>
      <c r="C51" s="902"/>
      <c r="D51" s="902"/>
      <c r="E51" s="902"/>
      <c r="F51" s="902" t="s">
        <v>2479</v>
      </c>
      <c r="G51" s="902"/>
      <c r="H51" s="902"/>
      <c r="I51" s="525">
        <v>1</v>
      </c>
      <c r="J51"/>
    </row>
    <row r="52" spans="1:10" ht="14.25" customHeight="1" x14ac:dyDescent="0.3">
      <c r="A52" s="902"/>
      <c r="B52" s="902"/>
      <c r="C52" s="902"/>
      <c r="D52" s="902"/>
      <c r="E52" s="902"/>
      <c r="F52" s="902" t="s">
        <v>2480</v>
      </c>
      <c r="G52" s="902"/>
      <c r="H52" s="902"/>
      <c r="I52" s="525">
        <v>2727.7139999999999</v>
      </c>
      <c r="J52"/>
    </row>
    <row r="53" spans="1:10" x14ac:dyDescent="0.3">
      <c r="A53" s="910" t="s">
        <v>4243</v>
      </c>
      <c r="B53" s="910"/>
      <c r="C53" s="910"/>
      <c r="D53" s="910"/>
      <c r="E53" s="910"/>
      <c r="F53" s="910"/>
      <c r="G53" s="910"/>
      <c r="H53" s="910"/>
      <c r="I53" s="910"/>
      <c r="J53"/>
    </row>
    <row r="54" spans="1:10" ht="15" customHeight="1" thickBot="1" x14ac:dyDescent="0.35">
      <c r="A54" s="909" t="s">
        <v>4244</v>
      </c>
      <c r="B54" s="909"/>
      <c r="C54" s="909"/>
      <c r="D54" s="909"/>
      <c r="E54" s="909"/>
      <c r="F54" s="909"/>
      <c r="G54" s="909"/>
      <c r="H54" s="909"/>
      <c r="I54" s="909"/>
      <c r="J54"/>
    </row>
    <row r="55" spans="1:10" s="358" customFormat="1" ht="14.5" thickTop="1" x14ac:dyDescent="0.3">
      <c r="A55" s="647"/>
      <c r="B55" s="647"/>
      <c r="C55" s="647"/>
      <c r="D55" s="647"/>
      <c r="E55" s="647"/>
      <c r="F55" s="647"/>
      <c r="G55" s="647"/>
      <c r="H55" s="647"/>
      <c r="I55" s="647"/>
      <c r="J55" s="647"/>
    </row>
    <row r="56" spans="1:10" x14ac:dyDescent="0.3">
      <c r="A56" s="516"/>
      <c r="B56" s="517" t="s">
        <v>15</v>
      </c>
      <c r="C56" s="516" t="s">
        <v>16</v>
      </c>
      <c r="D56" s="516" t="s">
        <v>17</v>
      </c>
      <c r="E56" s="904" t="s">
        <v>2431</v>
      </c>
      <c r="F56" s="904"/>
      <c r="G56" s="518" t="s">
        <v>18</v>
      </c>
      <c r="H56" s="517" t="s">
        <v>19</v>
      </c>
      <c r="I56" s="517" t="s">
        <v>20</v>
      </c>
      <c r="J56" s="517" t="s">
        <v>23</v>
      </c>
    </row>
    <row r="57" spans="1:10" s="358" customFormat="1" ht="15" customHeight="1" x14ac:dyDescent="0.3">
      <c r="A57" s="642" t="s">
        <v>2432</v>
      </c>
      <c r="B57" s="643" t="s">
        <v>49</v>
      </c>
      <c r="C57" s="642" t="s">
        <v>32</v>
      </c>
      <c r="D57" s="642" t="s">
        <v>50</v>
      </c>
      <c r="E57" s="906" t="s">
        <v>2433</v>
      </c>
      <c r="F57" s="906"/>
      <c r="G57" s="644" t="s">
        <v>34</v>
      </c>
      <c r="H57" s="645">
        <v>1</v>
      </c>
      <c r="I57" s="646">
        <v>5032.17</v>
      </c>
      <c r="J57" s="646">
        <v>5032.17</v>
      </c>
    </row>
    <row r="58" spans="1:10" ht="25" x14ac:dyDescent="0.3">
      <c r="A58" s="519" t="s">
        <v>2434</v>
      </c>
      <c r="B58" s="520" t="s">
        <v>2481</v>
      </c>
      <c r="C58" s="519" t="s">
        <v>32</v>
      </c>
      <c r="D58" s="519" t="s">
        <v>2482</v>
      </c>
      <c r="E58" s="905" t="s">
        <v>2433</v>
      </c>
      <c r="F58" s="905"/>
      <c r="G58" s="521" t="s">
        <v>34</v>
      </c>
      <c r="H58" s="522">
        <v>1</v>
      </c>
      <c r="I58" s="523">
        <v>20.12</v>
      </c>
      <c r="J58" s="523">
        <v>20.12</v>
      </c>
    </row>
    <row r="59" spans="1:10" x14ac:dyDescent="0.3">
      <c r="A59" s="519" t="s">
        <v>2437</v>
      </c>
      <c r="B59" s="520" t="s">
        <v>2483</v>
      </c>
      <c r="C59" s="519" t="s">
        <v>32</v>
      </c>
      <c r="D59" s="519" t="s">
        <v>2484</v>
      </c>
      <c r="E59" s="905" t="s">
        <v>2440</v>
      </c>
      <c r="F59" s="905"/>
      <c r="G59" s="521" t="s">
        <v>34</v>
      </c>
      <c r="H59" s="522">
        <v>1</v>
      </c>
      <c r="I59" s="523">
        <v>4593.7299999999996</v>
      </c>
      <c r="J59" s="523">
        <v>4593.7299999999996</v>
      </c>
    </row>
    <row r="60" spans="1:10" ht="25" x14ac:dyDescent="0.3">
      <c r="A60" s="519" t="s">
        <v>2437</v>
      </c>
      <c r="B60" s="520" t="s">
        <v>2441</v>
      </c>
      <c r="C60" s="519" t="s">
        <v>32</v>
      </c>
      <c r="D60" s="519" t="s">
        <v>4240</v>
      </c>
      <c r="E60" s="905" t="s">
        <v>2442</v>
      </c>
      <c r="F60" s="905"/>
      <c r="G60" s="521" t="s">
        <v>34</v>
      </c>
      <c r="H60" s="522">
        <v>1</v>
      </c>
      <c r="I60" s="523">
        <v>252.08</v>
      </c>
      <c r="J60" s="523">
        <v>252.08</v>
      </c>
    </row>
    <row r="61" spans="1:10" ht="25" x14ac:dyDescent="0.3">
      <c r="A61" s="519" t="s">
        <v>2437</v>
      </c>
      <c r="B61" s="520" t="s">
        <v>2443</v>
      </c>
      <c r="C61" s="519" t="s">
        <v>32</v>
      </c>
      <c r="D61" s="519" t="s">
        <v>4241</v>
      </c>
      <c r="E61" s="905" t="s">
        <v>2442</v>
      </c>
      <c r="F61" s="905"/>
      <c r="G61" s="521" t="s">
        <v>34</v>
      </c>
      <c r="H61" s="522">
        <v>1</v>
      </c>
      <c r="I61" s="523">
        <v>7.31</v>
      </c>
      <c r="J61" s="523">
        <v>7.31</v>
      </c>
    </row>
    <row r="62" spans="1:10" ht="25" x14ac:dyDescent="0.3">
      <c r="A62" s="519" t="s">
        <v>2437</v>
      </c>
      <c r="B62" s="520" t="s">
        <v>2457</v>
      </c>
      <c r="C62" s="519" t="s">
        <v>32</v>
      </c>
      <c r="D62" s="519" t="s">
        <v>2458</v>
      </c>
      <c r="E62" s="905" t="s">
        <v>2446</v>
      </c>
      <c r="F62" s="905"/>
      <c r="G62" s="521" t="s">
        <v>34</v>
      </c>
      <c r="H62" s="522">
        <v>1</v>
      </c>
      <c r="I62" s="523">
        <v>10.89</v>
      </c>
      <c r="J62" s="523">
        <v>10.89</v>
      </c>
    </row>
    <row r="63" spans="1:10" ht="25.5" thickBot="1" x14ac:dyDescent="0.35">
      <c r="A63" s="519" t="s">
        <v>2437</v>
      </c>
      <c r="B63" s="520" t="s">
        <v>2459</v>
      </c>
      <c r="C63" s="519" t="s">
        <v>32</v>
      </c>
      <c r="D63" s="519" t="s">
        <v>2460</v>
      </c>
      <c r="E63" s="905" t="s">
        <v>2446</v>
      </c>
      <c r="F63" s="905"/>
      <c r="G63" s="521" t="s">
        <v>34</v>
      </c>
      <c r="H63" s="522">
        <v>1</v>
      </c>
      <c r="I63" s="523">
        <v>148.04</v>
      </c>
      <c r="J63" s="523">
        <v>148.04</v>
      </c>
    </row>
    <row r="64" spans="1:10" s="358" customFormat="1" ht="14.5" thickTop="1" x14ac:dyDescent="0.3">
      <c r="A64" s="647"/>
      <c r="B64" s="647"/>
      <c r="C64" s="647"/>
      <c r="D64" s="647"/>
      <c r="E64" s="647"/>
      <c r="F64" s="647"/>
      <c r="G64" s="647"/>
      <c r="H64" s="647"/>
      <c r="I64" s="647"/>
      <c r="J64" s="647"/>
    </row>
    <row r="65" spans="1:10" x14ac:dyDescent="0.3">
      <c r="A65" s="516"/>
      <c r="B65" s="517" t="s">
        <v>15</v>
      </c>
      <c r="C65" s="516" t="s">
        <v>16</v>
      </c>
      <c r="D65" s="516" t="s">
        <v>17</v>
      </c>
      <c r="E65" s="904" t="s">
        <v>2431</v>
      </c>
      <c r="F65" s="904"/>
      <c r="G65" s="518" t="s">
        <v>18</v>
      </c>
      <c r="H65" s="517" t="s">
        <v>19</v>
      </c>
      <c r="I65" s="517" t="s">
        <v>20</v>
      </c>
      <c r="J65" s="517" t="s">
        <v>23</v>
      </c>
    </row>
    <row r="66" spans="1:10" s="358" customFormat="1" ht="25" x14ac:dyDescent="0.3">
      <c r="A66" s="642" t="s">
        <v>2432</v>
      </c>
      <c r="B66" s="643" t="s">
        <v>51</v>
      </c>
      <c r="C66" s="642" t="s">
        <v>39</v>
      </c>
      <c r="D66" s="642" t="s">
        <v>52</v>
      </c>
      <c r="E66" s="906" t="s">
        <v>2485</v>
      </c>
      <c r="F66" s="906"/>
      <c r="G66" s="644" t="s">
        <v>40</v>
      </c>
      <c r="H66" s="645">
        <v>1</v>
      </c>
      <c r="I66" s="646">
        <v>5590.7</v>
      </c>
      <c r="J66" s="646">
        <v>5590.7</v>
      </c>
    </row>
    <row r="67" spans="1:10" ht="25" x14ac:dyDescent="0.3">
      <c r="A67" s="519" t="s">
        <v>2434</v>
      </c>
      <c r="B67" s="520" t="s">
        <v>53</v>
      </c>
      <c r="C67" s="519" t="s">
        <v>32</v>
      </c>
      <c r="D67" s="519" t="s">
        <v>54</v>
      </c>
      <c r="E67" s="905" t="s">
        <v>2433</v>
      </c>
      <c r="F67" s="905"/>
      <c r="G67" s="521" t="s">
        <v>34</v>
      </c>
      <c r="H67" s="522">
        <v>1</v>
      </c>
      <c r="I67" s="523">
        <v>4376.49</v>
      </c>
      <c r="J67" s="523">
        <v>4376.49</v>
      </c>
    </row>
    <row r="68" spans="1:10" ht="25" x14ac:dyDescent="0.3">
      <c r="A68" s="519" t="s">
        <v>2434</v>
      </c>
      <c r="B68" s="520" t="s">
        <v>2486</v>
      </c>
      <c r="C68" s="519" t="s">
        <v>39</v>
      </c>
      <c r="D68" s="519" t="s">
        <v>2487</v>
      </c>
      <c r="E68" s="905" t="s">
        <v>2433</v>
      </c>
      <c r="F68" s="905"/>
      <c r="G68" s="521" t="s">
        <v>89</v>
      </c>
      <c r="H68" s="522">
        <v>1</v>
      </c>
      <c r="I68" s="523">
        <v>822.45</v>
      </c>
      <c r="J68" s="523">
        <v>822.45</v>
      </c>
    </row>
    <row r="69" spans="1:10" ht="25.5" thickBot="1" x14ac:dyDescent="0.35">
      <c r="A69" s="519" t="s">
        <v>2434</v>
      </c>
      <c r="B69" s="520" t="s">
        <v>2488</v>
      </c>
      <c r="C69" s="519" t="s">
        <v>39</v>
      </c>
      <c r="D69" s="519" t="s">
        <v>2489</v>
      </c>
      <c r="E69" s="905" t="s">
        <v>2433</v>
      </c>
      <c r="F69" s="905"/>
      <c r="G69" s="521" t="s">
        <v>89</v>
      </c>
      <c r="H69" s="522">
        <v>1</v>
      </c>
      <c r="I69" s="523">
        <v>391.76</v>
      </c>
      <c r="J69" s="523">
        <v>391.76</v>
      </c>
    </row>
    <row r="70" spans="1:10" s="358" customFormat="1" ht="14.5" thickTop="1" x14ac:dyDescent="0.3">
      <c r="A70" s="647"/>
      <c r="B70" s="647"/>
      <c r="C70" s="647"/>
      <c r="D70" s="647"/>
      <c r="E70" s="647"/>
      <c r="F70" s="647"/>
      <c r="G70" s="647"/>
      <c r="H70" s="647"/>
      <c r="I70" s="647"/>
      <c r="J70" s="647"/>
    </row>
    <row r="71" spans="1:10" x14ac:dyDescent="0.3">
      <c r="A71" s="516"/>
      <c r="B71" s="517" t="s">
        <v>15</v>
      </c>
      <c r="C71" s="516" t="s">
        <v>16</v>
      </c>
      <c r="D71" s="516" t="s">
        <v>17</v>
      </c>
      <c r="E71" s="904" t="s">
        <v>2431</v>
      </c>
      <c r="F71" s="904"/>
      <c r="G71" s="518" t="s">
        <v>18</v>
      </c>
      <c r="H71" s="517" t="s">
        <v>19</v>
      </c>
      <c r="I71" s="517" t="s">
        <v>20</v>
      </c>
      <c r="J71" s="517" t="s">
        <v>23</v>
      </c>
    </row>
    <row r="72" spans="1:10" s="358" customFormat="1" ht="15" customHeight="1" x14ac:dyDescent="0.3">
      <c r="A72" s="642" t="s">
        <v>2432</v>
      </c>
      <c r="B72" s="643" t="s">
        <v>53</v>
      </c>
      <c r="C72" s="642" t="s">
        <v>32</v>
      </c>
      <c r="D72" s="642" t="s">
        <v>54</v>
      </c>
      <c r="E72" s="906" t="s">
        <v>2433</v>
      </c>
      <c r="F72" s="906"/>
      <c r="G72" s="644" t="s">
        <v>34</v>
      </c>
      <c r="H72" s="645">
        <v>1</v>
      </c>
      <c r="I72" s="646">
        <v>4376.49</v>
      </c>
      <c r="J72" s="646">
        <v>4376.49</v>
      </c>
    </row>
    <row r="73" spans="1:10" ht="25" x14ac:dyDescent="0.3">
      <c r="A73" s="519" t="s">
        <v>2434</v>
      </c>
      <c r="B73" s="520" t="s">
        <v>2490</v>
      </c>
      <c r="C73" s="519" t="s">
        <v>32</v>
      </c>
      <c r="D73" s="519" t="s">
        <v>2491</v>
      </c>
      <c r="E73" s="905" t="s">
        <v>2433</v>
      </c>
      <c r="F73" s="905"/>
      <c r="G73" s="521" t="s">
        <v>34</v>
      </c>
      <c r="H73" s="522">
        <v>1</v>
      </c>
      <c r="I73" s="523">
        <v>12</v>
      </c>
      <c r="J73" s="523">
        <v>12</v>
      </c>
    </row>
    <row r="74" spans="1:10" ht="25" x14ac:dyDescent="0.3">
      <c r="A74" s="519" t="s">
        <v>2437</v>
      </c>
      <c r="B74" s="520" t="s">
        <v>2492</v>
      </c>
      <c r="C74" s="519" t="s">
        <v>32</v>
      </c>
      <c r="D74" s="519" t="s">
        <v>4245</v>
      </c>
      <c r="E74" s="905" t="s">
        <v>2442</v>
      </c>
      <c r="F74" s="905"/>
      <c r="G74" s="521" t="s">
        <v>34</v>
      </c>
      <c r="H74" s="522">
        <v>1</v>
      </c>
      <c r="I74" s="523">
        <v>282.98</v>
      </c>
      <c r="J74" s="523">
        <v>282.98</v>
      </c>
    </row>
    <row r="75" spans="1:10" ht="25" x14ac:dyDescent="0.3">
      <c r="A75" s="519" t="s">
        <v>2437</v>
      </c>
      <c r="B75" s="520" t="s">
        <v>2493</v>
      </c>
      <c r="C75" s="519" t="s">
        <v>32</v>
      </c>
      <c r="D75" s="519" t="s">
        <v>4246</v>
      </c>
      <c r="E75" s="905" t="s">
        <v>2442</v>
      </c>
      <c r="F75" s="905"/>
      <c r="G75" s="521" t="s">
        <v>34</v>
      </c>
      <c r="H75" s="522">
        <v>1</v>
      </c>
      <c r="I75" s="523">
        <v>715.63</v>
      </c>
      <c r="J75" s="523">
        <v>715.63</v>
      </c>
    </row>
    <row r="76" spans="1:10" ht="25" x14ac:dyDescent="0.3">
      <c r="A76" s="519" t="s">
        <v>2437</v>
      </c>
      <c r="B76" s="520" t="s">
        <v>2441</v>
      </c>
      <c r="C76" s="519" t="s">
        <v>32</v>
      </c>
      <c r="D76" s="519" t="s">
        <v>4240</v>
      </c>
      <c r="E76" s="905" t="s">
        <v>2442</v>
      </c>
      <c r="F76" s="905"/>
      <c r="G76" s="521" t="s">
        <v>34</v>
      </c>
      <c r="H76" s="522">
        <v>1</v>
      </c>
      <c r="I76" s="523">
        <v>252.08</v>
      </c>
      <c r="J76" s="523">
        <v>252.08</v>
      </c>
    </row>
    <row r="77" spans="1:10" ht="25" x14ac:dyDescent="0.3">
      <c r="A77" s="519" t="s">
        <v>2437</v>
      </c>
      <c r="B77" s="520" t="s">
        <v>2443</v>
      </c>
      <c r="C77" s="519" t="s">
        <v>32</v>
      </c>
      <c r="D77" s="519" t="s">
        <v>4241</v>
      </c>
      <c r="E77" s="905" t="s">
        <v>2442</v>
      </c>
      <c r="F77" s="905"/>
      <c r="G77" s="521" t="s">
        <v>34</v>
      </c>
      <c r="H77" s="522">
        <v>1</v>
      </c>
      <c r="I77" s="523">
        <v>7.31</v>
      </c>
      <c r="J77" s="523">
        <v>7.31</v>
      </c>
    </row>
    <row r="78" spans="1:10" x14ac:dyDescent="0.3">
      <c r="A78" s="519" t="s">
        <v>2437</v>
      </c>
      <c r="B78" s="520" t="s">
        <v>2494</v>
      </c>
      <c r="C78" s="519" t="s">
        <v>32</v>
      </c>
      <c r="D78" s="519" t="s">
        <v>2495</v>
      </c>
      <c r="E78" s="905" t="s">
        <v>2440</v>
      </c>
      <c r="F78" s="905"/>
      <c r="G78" s="521" t="s">
        <v>34</v>
      </c>
      <c r="H78" s="522">
        <v>1</v>
      </c>
      <c r="I78" s="523">
        <v>2741.53</v>
      </c>
      <c r="J78" s="523">
        <v>2741.53</v>
      </c>
    </row>
    <row r="79" spans="1:10" ht="25" x14ac:dyDescent="0.3">
      <c r="A79" s="519" t="s">
        <v>2437</v>
      </c>
      <c r="B79" s="520" t="s">
        <v>2496</v>
      </c>
      <c r="C79" s="519" t="s">
        <v>32</v>
      </c>
      <c r="D79" s="519" t="s">
        <v>2497</v>
      </c>
      <c r="E79" s="905" t="s">
        <v>2446</v>
      </c>
      <c r="F79" s="905"/>
      <c r="G79" s="521" t="s">
        <v>34</v>
      </c>
      <c r="H79" s="522">
        <v>1</v>
      </c>
      <c r="I79" s="523">
        <v>114.72</v>
      </c>
      <c r="J79" s="523">
        <v>114.72</v>
      </c>
    </row>
    <row r="80" spans="1:10" ht="25.5" thickBot="1" x14ac:dyDescent="0.35">
      <c r="A80" s="519" t="s">
        <v>2437</v>
      </c>
      <c r="B80" s="520" t="s">
        <v>2498</v>
      </c>
      <c r="C80" s="519" t="s">
        <v>32</v>
      </c>
      <c r="D80" s="519" t="s">
        <v>2499</v>
      </c>
      <c r="E80" s="905" t="s">
        <v>2446</v>
      </c>
      <c r="F80" s="905"/>
      <c r="G80" s="521" t="s">
        <v>34</v>
      </c>
      <c r="H80" s="522">
        <v>1</v>
      </c>
      <c r="I80" s="523">
        <v>250.24</v>
      </c>
      <c r="J80" s="523">
        <v>250.24</v>
      </c>
    </row>
    <row r="81" spans="1:10" s="358" customFormat="1" ht="14.5" thickTop="1" x14ac:dyDescent="0.3">
      <c r="A81" s="647"/>
      <c r="B81" s="647"/>
      <c r="C81" s="647"/>
      <c r="D81" s="647"/>
      <c r="E81" s="647"/>
      <c r="F81" s="647"/>
      <c r="G81" s="647"/>
      <c r="H81" s="647"/>
      <c r="I81" s="647"/>
      <c r="J81" s="647"/>
    </row>
    <row r="82" spans="1:10" x14ac:dyDescent="0.3">
      <c r="A82" s="516"/>
      <c r="B82" s="517" t="s">
        <v>15</v>
      </c>
      <c r="C82" s="516" t="s">
        <v>16</v>
      </c>
      <c r="D82" s="516" t="s">
        <v>17</v>
      </c>
      <c r="E82" s="904" t="s">
        <v>2431</v>
      </c>
      <c r="F82" s="904"/>
      <c r="G82" s="518" t="s">
        <v>18</v>
      </c>
      <c r="H82" s="517" t="s">
        <v>19</v>
      </c>
      <c r="I82" s="517" t="s">
        <v>20</v>
      </c>
      <c r="J82" s="517" t="s">
        <v>23</v>
      </c>
    </row>
    <row r="83" spans="1:10" s="358" customFormat="1" ht="25" x14ac:dyDescent="0.3">
      <c r="A83" s="642" t="s">
        <v>2432</v>
      </c>
      <c r="B83" s="643" t="s">
        <v>58</v>
      </c>
      <c r="C83" s="642" t="s">
        <v>32</v>
      </c>
      <c r="D83" s="642" t="s">
        <v>59</v>
      </c>
      <c r="E83" s="906" t="s">
        <v>2433</v>
      </c>
      <c r="F83" s="906"/>
      <c r="G83" s="644" t="s">
        <v>34</v>
      </c>
      <c r="H83" s="645">
        <v>1</v>
      </c>
      <c r="I83" s="646">
        <v>4472.0200000000004</v>
      </c>
      <c r="J83" s="646">
        <v>4472.0200000000004</v>
      </c>
    </row>
    <row r="84" spans="1:10" ht="25" x14ac:dyDescent="0.3">
      <c r="A84" s="519" t="s">
        <v>2434</v>
      </c>
      <c r="B84" s="520" t="s">
        <v>2500</v>
      </c>
      <c r="C84" s="519" t="s">
        <v>32</v>
      </c>
      <c r="D84" s="519" t="s">
        <v>2501</v>
      </c>
      <c r="E84" s="905" t="s">
        <v>2433</v>
      </c>
      <c r="F84" s="905"/>
      <c r="G84" s="521" t="s">
        <v>34</v>
      </c>
      <c r="H84" s="522">
        <v>1</v>
      </c>
      <c r="I84" s="523">
        <v>70.97</v>
      </c>
      <c r="J84" s="523">
        <v>70.97</v>
      </c>
    </row>
    <row r="85" spans="1:10" x14ac:dyDescent="0.3">
      <c r="A85" s="519" t="s">
        <v>2437</v>
      </c>
      <c r="B85" s="520" t="s">
        <v>2502</v>
      </c>
      <c r="C85" s="519" t="s">
        <v>32</v>
      </c>
      <c r="D85" s="519" t="s">
        <v>2503</v>
      </c>
      <c r="E85" s="905" t="s">
        <v>2440</v>
      </c>
      <c r="F85" s="905"/>
      <c r="G85" s="521" t="s">
        <v>34</v>
      </c>
      <c r="H85" s="522">
        <v>1</v>
      </c>
      <c r="I85" s="523">
        <v>3886.77</v>
      </c>
      <c r="J85" s="523">
        <v>3886.77</v>
      </c>
    </row>
    <row r="86" spans="1:10" ht="25" x14ac:dyDescent="0.3">
      <c r="A86" s="519" t="s">
        <v>2437</v>
      </c>
      <c r="B86" s="520" t="s">
        <v>2441</v>
      </c>
      <c r="C86" s="519" t="s">
        <v>32</v>
      </c>
      <c r="D86" s="519" t="s">
        <v>4240</v>
      </c>
      <c r="E86" s="905" t="s">
        <v>2442</v>
      </c>
      <c r="F86" s="905"/>
      <c r="G86" s="521" t="s">
        <v>34</v>
      </c>
      <c r="H86" s="522">
        <v>1</v>
      </c>
      <c r="I86" s="523">
        <v>252.08</v>
      </c>
      <c r="J86" s="523">
        <v>252.08</v>
      </c>
    </row>
    <row r="87" spans="1:10" ht="25" x14ac:dyDescent="0.3">
      <c r="A87" s="519" t="s">
        <v>2437</v>
      </c>
      <c r="B87" s="520" t="s">
        <v>2443</v>
      </c>
      <c r="C87" s="519" t="s">
        <v>32</v>
      </c>
      <c r="D87" s="519" t="s">
        <v>4241</v>
      </c>
      <c r="E87" s="905" t="s">
        <v>2442</v>
      </c>
      <c r="F87" s="905"/>
      <c r="G87" s="521" t="s">
        <v>34</v>
      </c>
      <c r="H87" s="522">
        <v>1</v>
      </c>
      <c r="I87" s="523">
        <v>7.31</v>
      </c>
      <c r="J87" s="523">
        <v>7.31</v>
      </c>
    </row>
    <row r="88" spans="1:10" ht="25" x14ac:dyDescent="0.3">
      <c r="A88" s="519" t="s">
        <v>2437</v>
      </c>
      <c r="B88" s="520" t="s">
        <v>2504</v>
      </c>
      <c r="C88" s="519" t="s">
        <v>32</v>
      </c>
      <c r="D88" s="519" t="s">
        <v>2505</v>
      </c>
      <c r="E88" s="905" t="s">
        <v>2446</v>
      </c>
      <c r="F88" s="905"/>
      <c r="G88" s="521" t="s">
        <v>34</v>
      </c>
      <c r="H88" s="522">
        <v>1</v>
      </c>
      <c r="I88" s="523">
        <v>18.73</v>
      </c>
      <c r="J88" s="523">
        <v>18.73</v>
      </c>
    </row>
    <row r="89" spans="1:10" ht="25.5" thickBot="1" x14ac:dyDescent="0.35">
      <c r="A89" s="519" t="s">
        <v>2437</v>
      </c>
      <c r="B89" s="520" t="s">
        <v>2506</v>
      </c>
      <c r="C89" s="519" t="s">
        <v>32</v>
      </c>
      <c r="D89" s="519" t="s">
        <v>2507</v>
      </c>
      <c r="E89" s="905" t="s">
        <v>2446</v>
      </c>
      <c r="F89" s="905"/>
      <c r="G89" s="521" t="s">
        <v>34</v>
      </c>
      <c r="H89" s="522">
        <v>1</v>
      </c>
      <c r="I89" s="523">
        <v>236.16</v>
      </c>
      <c r="J89" s="523">
        <v>236.16</v>
      </c>
    </row>
    <row r="90" spans="1:10" s="358" customFormat="1" ht="14.5" thickTop="1" x14ac:dyDescent="0.3">
      <c r="A90" s="647"/>
      <c r="B90" s="647"/>
      <c r="C90" s="647"/>
      <c r="D90" s="647"/>
      <c r="E90" s="647"/>
      <c r="F90" s="647"/>
      <c r="G90" s="647"/>
      <c r="H90" s="647"/>
      <c r="I90" s="647"/>
      <c r="J90" s="647"/>
    </row>
    <row r="91" spans="1:10" x14ac:dyDescent="0.3">
      <c r="A91" s="516"/>
      <c r="B91" s="517" t="s">
        <v>15</v>
      </c>
      <c r="C91" s="516" t="s">
        <v>16</v>
      </c>
      <c r="D91" s="516" t="s">
        <v>17</v>
      </c>
      <c r="E91" s="904" t="s">
        <v>2431</v>
      </c>
      <c r="F91" s="904"/>
      <c r="G91" s="518" t="s">
        <v>18</v>
      </c>
      <c r="H91" s="517" t="s">
        <v>19</v>
      </c>
      <c r="I91" s="517" t="s">
        <v>20</v>
      </c>
      <c r="J91" s="517" t="s">
        <v>23</v>
      </c>
    </row>
    <row r="92" spans="1:10" s="358" customFormat="1" ht="15" customHeight="1" x14ac:dyDescent="0.3">
      <c r="A92" s="642" t="s">
        <v>2432</v>
      </c>
      <c r="B92" s="643" t="s">
        <v>60</v>
      </c>
      <c r="C92" s="642" t="s">
        <v>32</v>
      </c>
      <c r="D92" s="642" t="s">
        <v>61</v>
      </c>
      <c r="E92" s="906" t="s">
        <v>2433</v>
      </c>
      <c r="F92" s="906"/>
      <c r="G92" s="644" t="s">
        <v>34</v>
      </c>
      <c r="H92" s="645">
        <v>1</v>
      </c>
      <c r="I92" s="646">
        <v>6409.08</v>
      </c>
      <c r="J92" s="646">
        <v>6409.08</v>
      </c>
    </row>
    <row r="93" spans="1:10" ht="25" x14ac:dyDescent="0.3">
      <c r="A93" s="519" t="s">
        <v>2434</v>
      </c>
      <c r="B93" s="520" t="s">
        <v>2508</v>
      </c>
      <c r="C93" s="519" t="s">
        <v>32</v>
      </c>
      <c r="D93" s="519" t="s">
        <v>2509</v>
      </c>
      <c r="E93" s="905" t="s">
        <v>2433</v>
      </c>
      <c r="F93" s="905"/>
      <c r="G93" s="521" t="s">
        <v>34</v>
      </c>
      <c r="H93" s="522">
        <v>1</v>
      </c>
      <c r="I93" s="523">
        <v>107.42</v>
      </c>
      <c r="J93" s="523">
        <v>107.42</v>
      </c>
    </row>
    <row r="94" spans="1:10" x14ac:dyDescent="0.3">
      <c r="A94" s="519" t="s">
        <v>2437</v>
      </c>
      <c r="B94" s="520" t="s">
        <v>2510</v>
      </c>
      <c r="C94" s="519" t="s">
        <v>32</v>
      </c>
      <c r="D94" s="519" t="s">
        <v>2511</v>
      </c>
      <c r="E94" s="905" t="s">
        <v>2440</v>
      </c>
      <c r="F94" s="905"/>
      <c r="G94" s="521" t="s">
        <v>34</v>
      </c>
      <c r="H94" s="522">
        <v>1</v>
      </c>
      <c r="I94" s="523">
        <v>5883.34</v>
      </c>
      <c r="J94" s="523">
        <v>5883.34</v>
      </c>
    </row>
    <row r="95" spans="1:10" ht="25" x14ac:dyDescent="0.3">
      <c r="A95" s="519" t="s">
        <v>2437</v>
      </c>
      <c r="B95" s="520" t="s">
        <v>2441</v>
      </c>
      <c r="C95" s="519" t="s">
        <v>32</v>
      </c>
      <c r="D95" s="519" t="s">
        <v>4240</v>
      </c>
      <c r="E95" s="905" t="s">
        <v>2442</v>
      </c>
      <c r="F95" s="905"/>
      <c r="G95" s="521" t="s">
        <v>34</v>
      </c>
      <c r="H95" s="522">
        <v>1</v>
      </c>
      <c r="I95" s="523">
        <v>252.08</v>
      </c>
      <c r="J95" s="523">
        <v>252.08</v>
      </c>
    </row>
    <row r="96" spans="1:10" ht="25" x14ac:dyDescent="0.3">
      <c r="A96" s="519" t="s">
        <v>2437</v>
      </c>
      <c r="B96" s="520" t="s">
        <v>2443</v>
      </c>
      <c r="C96" s="519" t="s">
        <v>32</v>
      </c>
      <c r="D96" s="519" t="s">
        <v>4241</v>
      </c>
      <c r="E96" s="905" t="s">
        <v>2442</v>
      </c>
      <c r="F96" s="905"/>
      <c r="G96" s="521" t="s">
        <v>34</v>
      </c>
      <c r="H96" s="522">
        <v>1</v>
      </c>
      <c r="I96" s="523">
        <v>7.31</v>
      </c>
      <c r="J96" s="523">
        <v>7.31</v>
      </c>
    </row>
    <row r="97" spans="1:10" ht="25" x14ac:dyDescent="0.3">
      <c r="A97" s="519" t="s">
        <v>2437</v>
      </c>
      <c r="B97" s="520" t="s">
        <v>2457</v>
      </c>
      <c r="C97" s="519" t="s">
        <v>32</v>
      </c>
      <c r="D97" s="519" t="s">
        <v>2458</v>
      </c>
      <c r="E97" s="905" t="s">
        <v>2446</v>
      </c>
      <c r="F97" s="905"/>
      <c r="G97" s="521" t="s">
        <v>34</v>
      </c>
      <c r="H97" s="522">
        <v>1</v>
      </c>
      <c r="I97" s="523">
        <v>10.89</v>
      </c>
      <c r="J97" s="523">
        <v>10.89</v>
      </c>
    </row>
    <row r="98" spans="1:10" ht="25.5" thickBot="1" x14ac:dyDescent="0.35">
      <c r="A98" s="519" t="s">
        <v>2437</v>
      </c>
      <c r="B98" s="520" t="s">
        <v>2459</v>
      </c>
      <c r="C98" s="519" t="s">
        <v>32</v>
      </c>
      <c r="D98" s="519" t="s">
        <v>2460</v>
      </c>
      <c r="E98" s="905" t="s">
        <v>2446</v>
      </c>
      <c r="F98" s="905"/>
      <c r="G98" s="521" t="s">
        <v>34</v>
      </c>
      <c r="H98" s="522">
        <v>1</v>
      </c>
      <c r="I98" s="523">
        <v>148.04</v>
      </c>
      <c r="J98" s="523">
        <v>148.04</v>
      </c>
    </row>
    <row r="99" spans="1:10" s="358" customFormat="1" ht="14.5" thickTop="1" x14ac:dyDescent="0.3">
      <c r="A99" s="647"/>
      <c r="B99" s="647"/>
      <c r="C99" s="647"/>
      <c r="D99" s="647"/>
      <c r="E99" s="647"/>
      <c r="F99" s="647"/>
      <c r="G99" s="647"/>
      <c r="H99" s="647"/>
      <c r="I99" s="647"/>
      <c r="J99" s="647"/>
    </row>
    <row r="100" spans="1:10" x14ac:dyDescent="0.3">
      <c r="A100" s="516"/>
      <c r="B100" s="517" t="s">
        <v>15</v>
      </c>
      <c r="C100" s="516" t="s">
        <v>16</v>
      </c>
      <c r="D100" s="516" t="s">
        <v>17</v>
      </c>
      <c r="E100" s="904" t="s">
        <v>2431</v>
      </c>
      <c r="F100" s="904"/>
      <c r="G100" s="518" t="s">
        <v>18</v>
      </c>
      <c r="H100" s="517" t="s">
        <v>19</v>
      </c>
      <c r="I100" s="517" t="s">
        <v>20</v>
      </c>
      <c r="J100" s="517" t="s">
        <v>23</v>
      </c>
    </row>
    <row r="101" spans="1:10" s="358" customFormat="1" ht="15" customHeight="1" x14ac:dyDescent="0.3">
      <c r="A101" s="642" t="s">
        <v>2432</v>
      </c>
      <c r="B101" s="643" t="s">
        <v>62</v>
      </c>
      <c r="C101" s="642" t="s">
        <v>32</v>
      </c>
      <c r="D101" s="642" t="s">
        <v>63</v>
      </c>
      <c r="E101" s="906" t="s">
        <v>2433</v>
      </c>
      <c r="F101" s="906"/>
      <c r="G101" s="644" t="s">
        <v>34</v>
      </c>
      <c r="H101" s="645">
        <v>1</v>
      </c>
      <c r="I101" s="646">
        <v>6625.31</v>
      </c>
      <c r="J101" s="646">
        <v>6625.31</v>
      </c>
    </row>
    <row r="102" spans="1:10" ht="25" x14ac:dyDescent="0.3">
      <c r="A102" s="519" t="s">
        <v>2434</v>
      </c>
      <c r="B102" s="520" t="s">
        <v>2512</v>
      </c>
      <c r="C102" s="519" t="s">
        <v>32</v>
      </c>
      <c r="D102" s="519" t="s">
        <v>2513</v>
      </c>
      <c r="E102" s="905" t="s">
        <v>2433</v>
      </c>
      <c r="F102" s="905"/>
      <c r="G102" s="521" t="s">
        <v>34</v>
      </c>
      <c r="H102" s="522">
        <v>1</v>
      </c>
      <c r="I102" s="523">
        <v>27.06</v>
      </c>
      <c r="J102" s="523">
        <v>27.06</v>
      </c>
    </row>
    <row r="103" spans="1:10" x14ac:dyDescent="0.3">
      <c r="A103" s="519" t="s">
        <v>2437</v>
      </c>
      <c r="B103" s="520" t="s">
        <v>2514</v>
      </c>
      <c r="C103" s="519" t="s">
        <v>32</v>
      </c>
      <c r="D103" s="519" t="s">
        <v>2515</v>
      </c>
      <c r="E103" s="905" t="s">
        <v>2440</v>
      </c>
      <c r="F103" s="905"/>
      <c r="G103" s="521" t="s">
        <v>34</v>
      </c>
      <c r="H103" s="522">
        <v>1</v>
      </c>
      <c r="I103" s="523">
        <v>6179.93</v>
      </c>
      <c r="J103" s="523">
        <v>6179.93</v>
      </c>
    </row>
    <row r="104" spans="1:10" ht="25" x14ac:dyDescent="0.3">
      <c r="A104" s="519" t="s">
        <v>2437</v>
      </c>
      <c r="B104" s="520" t="s">
        <v>2441</v>
      </c>
      <c r="C104" s="519" t="s">
        <v>32</v>
      </c>
      <c r="D104" s="519" t="s">
        <v>4240</v>
      </c>
      <c r="E104" s="905" t="s">
        <v>2442</v>
      </c>
      <c r="F104" s="905"/>
      <c r="G104" s="521" t="s">
        <v>34</v>
      </c>
      <c r="H104" s="522">
        <v>1</v>
      </c>
      <c r="I104" s="523">
        <v>252.08</v>
      </c>
      <c r="J104" s="523">
        <v>252.08</v>
      </c>
    </row>
    <row r="105" spans="1:10" ht="25" x14ac:dyDescent="0.3">
      <c r="A105" s="519" t="s">
        <v>2437</v>
      </c>
      <c r="B105" s="520" t="s">
        <v>2443</v>
      </c>
      <c r="C105" s="519" t="s">
        <v>32</v>
      </c>
      <c r="D105" s="519" t="s">
        <v>4241</v>
      </c>
      <c r="E105" s="905" t="s">
        <v>2442</v>
      </c>
      <c r="F105" s="905"/>
      <c r="G105" s="521" t="s">
        <v>34</v>
      </c>
      <c r="H105" s="522">
        <v>1</v>
      </c>
      <c r="I105" s="523">
        <v>7.31</v>
      </c>
      <c r="J105" s="523">
        <v>7.31</v>
      </c>
    </row>
    <row r="106" spans="1:10" ht="25" x14ac:dyDescent="0.3">
      <c r="A106" s="519" t="s">
        <v>2437</v>
      </c>
      <c r="B106" s="520" t="s">
        <v>2457</v>
      </c>
      <c r="C106" s="519" t="s">
        <v>32</v>
      </c>
      <c r="D106" s="519" t="s">
        <v>2458</v>
      </c>
      <c r="E106" s="905" t="s">
        <v>2446</v>
      </c>
      <c r="F106" s="905"/>
      <c r="G106" s="521" t="s">
        <v>34</v>
      </c>
      <c r="H106" s="522">
        <v>1</v>
      </c>
      <c r="I106" s="523">
        <v>10.89</v>
      </c>
      <c r="J106" s="523">
        <v>10.89</v>
      </c>
    </row>
    <row r="107" spans="1:10" ht="25.5" thickBot="1" x14ac:dyDescent="0.35">
      <c r="A107" s="519" t="s">
        <v>2437</v>
      </c>
      <c r="B107" s="520" t="s">
        <v>2459</v>
      </c>
      <c r="C107" s="519" t="s">
        <v>32</v>
      </c>
      <c r="D107" s="519" t="s">
        <v>2460</v>
      </c>
      <c r="E107" s="905" t="s">
        <v>2446</v>
      </c>
      <c r="F107" s="905"/>
      <c r="G107" s="521" t="s">
        <v>34</v>
      </c>
      <c r="H107" s="522">
        <v>1</v>
      </c>
      <c r="I107" s="523">
        <v>148.04</v>
      </c>
      <c r="J107" s="523">
        <v>148.04</v>
      </c>
    </row>
    <row r="108" spans="1:10" s="358" customFormat="1" ht="14.5" thickTop="1" x14ac:dyDescent="0.3">
      <c r="A108" s="647"/>
      <c r="B108" s="647"/>
      <c r="C108" s="647"/>
      <c r="D108" s="647"/>
      <c r="E108" s="647"/>
      <c r="F108" s="647"/>
      <c r="G108" s="647"/>
      <c r="H108" s="647"/>
      <c r="I108" s="647"/>
      <c r="J108" s="647"/>
    </row>
    <row r="109" spans="1:10" x14ac:dyDescent="0.3">
      <c r="A109" s="516"/>
      <c r="B109" s="517" t="s">
        <v>15</v>
      </c>
      <c r="C109" s="516" t="s">
        <v>16</v>
      </c>
      <c r="D109" s="516" t="s">
        <v>17</v>
      </c>
      <c r="E109" s="904" t="s">
        <v>2431</v>
      </c>
      <c r="F109" s="904"/>
      <c r="G109" s="518" t="s">
        <v>18</v>
      </c>
      <c r="H109" s="517" t="s">
        <v>19</v>
      </c>
      <c r="I109" s="517" t="s">
        <v>20</v>
      </c>
      <c r="J109" s="517" t="s">
        <v>23</v>
      </c>
    </row>
    <row r="110" spans="1:10" s="358" customFormat="1" ht="15" customHeight="1" x14ac:dyDescent="0.3">
      <c r="A110" s="642" t="s">
        <v>2432</v>
      </c>
      <c r="B110" s="643" t="s">
        <v>64</v>
      </c>
      <c r="C110" s="642" t="s">
        <v>32</v>
      </c>
      <c r="D110" s="642" t="s">
        <v>65</v>
      </c>
      <c r="E110" s="906" t="s">
        <v>2433</v>
      </c>
      <c r="F110" s="906"/>
      <c r="G110" s="644" t="s">
        <v>34</v>
      </c>
      <c r="H110" s="645">
        <v>1</v>
      </c>
      <c r="I110" s="646">
        <v>3141.1</v>
      </c>
      <c r="J110" s="646">
        <v>3141.1</v>
      </c>
    </row>
    <row r="111" spans="1:10" ht="25" x14ac:dyDescent="0.3">
      <c r="A111" s="519" t="s">
        <v>2434</v>
      </c>
      <c r="B111" s="520" t="s">
        <v>2516</v>
      </c>
      <c r="C111" s="519" t="s">
        <v>32</v>
      </c>
      <c r="D111" s="519" t="s">
        <v>2517</v>
      </c>
      <c r="E111" s="905" t="s">
        <v>2433</v>
      </c>
      <c r="F111" s="905"/>
      <c r="G111" s="521" t="s">
        <v>34</v>
      </c>
      <c r="H111" s="522">
        <v>1</v>
      </c>
      <c r="I111" s="523">
        <v>11.87</v>
      </c>
      <c r="J111" s="523">
        <v>11.87</v>
      </c>
    </row>
    <row r="112" spans="1:10" ht="25" x14ac:dyDescent="0.3">
      <c r="A112" s="519" t="s">
        <v>2437</v>
      </c>
      <c r="B112" s="520" t="s">
        <v>2441</v>
      </c>
      <c r="C112" s="519" t="s">
        <v>32</v>
      </c>
      <c r="D112" s="519" t="s">
        <v>4240</v>
      </c>
      <c r="E112" s="905" t="s">
        <v>2442</v>
      </c>
      <c r="F112" s="905"/>
      <c r="G112" s="521" t="s">
        <v>34</v>
      </c>
      <c r="H112" s="522">
        <v>1</v>
      </c>
      <c r="I112" s="523">
        <v>252.08</v>
      </c>
      <c r="J112" s="523">
        <v>252.08</v>
      </c>
    </row>
    <row r="113" spans="1:10" ht="25" x14ac:dyDescent="0.3">
      <c r="A113" s="519" t="s">
        <v>2437</v>
      </c>
      <c r="B113" s="520" t="s">
        <v>2443</v>
      </c>
      <c r="C113" s="519" t="s">
        <v>32</v>
      </c>
      <c r="D113" s="519" t="s">
        <v>4241</v>
      </c>
      <c r="E113" s="905" t="s">
        <v>2442</v>
      </c>
      <c r="F113" s="905"/>
      <c r="G113" s="521" t="s">
        <v>34</v>
      </c>
      <c r="H113" s="522">
        <v>1</v>
      </c>
      <c r="I113" s="523">
        <v>7.31</v>
      </c>
      <c r="J113" s="523">
        <v>7.31</v>
      </c>
    </row>
    <row r="114" spans="1:10" x14ac:dyDescent="0.3">
      <c r="A114" s="519" t="s">
        <v>2437</v>
      </c>
      <c r="B114" s="520" t="s">
        <v>4454</v>
      </c>
      <c r="C114" s="519" t="s">
        <v>32</v>
      </c>
      <c r="D114" s="519" t="s">
        <v>4455</v>
      </c>
      <c r="E114" s="905" t="s">
        <v>2440</v>
      </c>
      <c r="F114" s="905"/>
      <c r="G114" s="521" t="s">
        <v>34</v>
      </c>
      <c r="H114" s="522">
        <v>1</v>
      </c>
      <c r="I114" s="523">
        <v>2710.91</v>
      </c>
      <c r="J114" s="523">
        <v>2710.91</v>
      </c>
    </row>
    <row r="115" spans="1:10" ht="25" x14ac:dyDescent="0.3">
      <c r="A115" s="519" t="s">
        <v>2437</v>
      </c>
      <c r="B115" s="520" t="s">
        <v>2457</v>
      </c>
      <c r="C115" s="519" t="s">
        <v>32</v>
      </c>
      <c r="D115" s="519" t="s">
        <v>2458</v>
      </c>
      <c r="E115" s="905" t="s">
        <v>2446</v>
      </c>
      <c r="F115" s="905"/>
      <c r="G115" s="521" t="s">
        <v>34</v>
      </c>
      <c r="H115" s="522">
        <v>1</v>
      </c>
      <c r="I115" s="523">
        <v>10.89</v>
      </c>
      <c r="J115" s="523">
        <v>10.89</v>
      </c>
    </row>
    <row r="116" spans="1:10" ht="25.5" thickBot="1" x14ac:dyDescent="0.35">
      <c r="A116" s="519" t="s">
        <v>2437</v>
      </c>
      <c r="B116" s="520" t="s">
        <v>2459</v>
      </c>
      <c r="C116" s="519" t="s">
        <v>32</v>
      </c>
      <c r="D116" s="519" t="s">
        <v>2460</v>
      </c>
      <c r="E116" s="905" t="s">
        <v>2446</v>
      </c>
      <c r="F116" s="905"/>
      <c r="G116" s="521" t="s">
        <v>34</v>
      </c>
      <c r="H116" s="522">
        <v>1</v>
      </c>
      <c r="I116" s="523">
        <v>148.04</v>
      </c>
      <c r="J116" s="523">
        <v>148.04</v>
      </c>
    </row>
    <row r="117" spans="1:10" s="358" customFormat="1" ht="14.5" thickTop="1" x14ac:dyDescent="0.3">
      <c r="A117" s="647"/>
      <c r="B117" s="647"/>
      <c r="C117" s="647"/>
      <c r="D117" s="647"/>
      <c r="E117" s="647"/>
      <c r="F117" s="647"/>
      <c r="G117" s="647"/>
      <c r="H117" s="647"/>
      <c r="I117" s="647"/>
      <c r="J117" s="647"/>
    </row>
    <row r="118" spans="1:10" x14ac:dyDescent="0.3">
      <c r="A118" s="516"/>
      <c r="B118" s="517" t="s">
        <v>15</v>
      </c>
      <c r="C118" s="516" t="s">
        <v>16</v>
      </c>
      <c r="D118" s="516" t="s">
        <v>17</v>
      </c>
      <c r="E118" s="904" t="s">
        <v>2431</v>
      </c>
      <c r="F118" s="904"/>
      <c r="G118" s="518" t="s">
        <v>18</v>
      </c>
      <c r="H118" s="517" t="s">
        <v>19</v>
      </c>
      <c r="I118" s="517" t="s">
        <v>20</v>
      </c>
      <c r="J118" s="517" t="s">
        <v>23</v>
      </c>
    </row>
    <row r="119" spans="1:10" s="358" customFormat="1" ht="15" customHeight="1" x14ac:dyDescent="0.3">
      <c r="A119" s="642" t="s">
        <v>2432</v>
      </c>
      <c r="B119" s="643" t="s">
        <v>71</v>
      </c>
      <c r="C119" s="642" t="s">
        <v>32</v>
      </c>
      <c r="D119" s="642" t="s">
        <v>72</v>
      </c>
      <c r="E119" s="906" t="s">
        <v>2433</v>
      </c>
      <c r="F119" s="906"/>
      <c r="G119" s="644" t="s">
        <v>34</v>
      </c>
      <c r="H119" s="645">
        <v>1</v>
      </c>
      <c r="I119" s="646">
        <v>4319.6899999999996</v>
      </c>
      <c r="J119" s="646">
        <v>4319.6899999999996</v>
      </c>
    </row>
    <row r="120" spans="1:10" ht="25" x14ac:dyDescent="0.3">
      <c r="A120" s="519" t="s">
        <v>2434</v>
      </c>
      <c r="B120" s="520" t="s">
        <v>2518</v>
      </c>
      <c r="C120" s="519" t="s">
        <v>32</v>
      </c>
      <c r="D120" s="519" t="s">
        <v>2519</v>
      </c>
      <c r="E120" s="905" t="s">
        <v>2433</v>
      </c>
      <c r="F120" s="905"/>
      <c r="G120" s="521" t="s">
        <v>34</v>
      </c>
      <c r="H120" s="522">
        <v>1</v>
      </c>
      <c r="I120" s="523">
        <v>27.82</v>
      </c>
      <c r="J120" s="523">
        <v>27.82</v>
      </c>
    </row>
    <row r="121" spans="1:10" x14ac:dyDescent="0.3">
      <c r="A121" s="519" t="s">
        <v>2437</v>
      </c>
      <c r="B121" s="520" t="s">
        <v>2520</v>
      </c>
      <c r="C121" s="519" t="s">
        <v>32</v>
      </c>
      <c r="D121" s="519" t="s">
        <v>2521</v>
      </c>
      <c r="E121" s="905" t="s">
        <v>2440</v>
      </c>
      <c r="F121" s="905"/>
      <c r="G121" s="521" t="s">
        <v>34</v>
      </c>
      <c r="H121" s="522">
        <v>1</v>
      </c>
      <c r="I121" s="523">
        <v>3886.77</v>
      </c>
      <c r="J121" s="523">
        <v>3886.77</v>
      </c>
    </row>
    <row r="122" spans="1:10" ht="25" x14ac:dyDescent="0.3">
      <c r="A122" s="519" t="s">
        <v>2437</v>
      </c>
      <c r="B122" s="520" t="s">
        <v>2441</v>
      </c>
      <c r="C122" s="519" t="s">
        <v>32</v>
      </c>
      <c r="D122" s="519" t="s">
        <v>4240</v>
      </c>
      <c r="E122" s="905" t="s">
        <v>2442</v>
      </c>
      <c r="F122" s="905"/>
      <c r="G122" s="521" t="s">
        <v>34</v>
      </c>
      <c r="H122" s="522">
        <v>1</v>
      </c>
      <c r="I122" s="523">
        <v>252.08</v>
      </c>
      <c r="J122" s="523">
        <v>252.08</v>
      </c>
    </row>
    <row r="123" spans="1:10" ht="25" x14ac:dyDescent="0.3">
      <c r="A123" s="519" t="s">
        <v>2437</v>
      </c>
      <c r="B123" s="520" t="s">
        <v>2443</v>
      </c>
      <c r="C123" s="519" t="s">
        <v>32</v>
      </c>
      <c r="D123" s="519" t="s">
        <v>4241</v>
      </c>
      <c r="E123" s="905" t="s">
        <v>2442</v>
      </c>
      <c r="F123" s="905"/>
      <c r="G123" s="521" t="s">
        <v>34</v>
      </c>
      <c r="H123" s="522">
        <v>1</v>
      </c>
      <c r="I123" s="523">
        <v>7.31</v>
      </c>
      <c r="J123" s="523">
        <v>7.31</v>
      </c>
    </row>
    <row r="124" spans="1:10" ht="25" x14ac:dyDescent="0.3">
      <c r="A124" s="519" t="s">
        <v>2437</v>
      </c>
      <c r="B124" s="520" t="s">
        <v>2461</v>
      </c>
      <c r="C124" s="519" t="s">
        <v>32</v>
      </c>
      <c r="D124" s="519" t="s">
        <v>2462</v>
      </c>
      <c r="E124" s="905" t="s">
        <v>2446</v>
      </c>
      <c r="F124" s="905"/>
      <c r="G124" s="521" t="s">
        <v>34</v>
      </c>
      <c r="H124" s="522">
        <v>1</v>
      </c>
      <c r="I124" s="523">
        <v>12.77</v>
      </c>
      <c r="J124" s="523">
        <v>12.77</v>
      </c>
    </row>
    <row r="125" spans="1:10" ht="25.5" thickBot="1" x14ac:dyDescent="0.35">
      <c r="A125" s="519" t="s">
        <v>2437</v>
      </c>
      <c r="B125" s="520" t="s">
        <v>2463</v>
      </c>
      <c r="C125" s="519" t="s">
        <v>32</v>
      </c>
      <c r="D125" s="519" t="s">
        <v>2464</v>
      </c>
      <c r="E125" s="905" t="s">
        <v>2446</v>
      </c>
      <c r="F125" s="905"/>
      <c r="G125" s="521" t="s">
        <v>34</v>
      </c>
      <c r="H125" s="522">
        <v>1</v>
      </c>
      <c r="I125" s="523">
        <v>132.94</v>
      </c>
      <c r="J125" s="523">
        <v>132.94</v>
      </c>
    </row>
    <row r="126" spans="1:10" s="358" customFormat="1" ht="14.5" thickTop="1" x14ac:dyDescent="0.3">
      <c r="A126" s="647"/>
      <c r="B126" s="647"/>
      <c r="C126" s="647"/>
      <c r="D126" s="647"/>
      <c r="E126" s="647"/>
      <c r="F126" s="647"/>
      <c r="G126" s="647"/>
      <c r="H126" s="647"/>
      <c r="I126" s="647"/>
      <c r="J126" s="647"/>
    </row>
    <row r="127" spans="1:10" x14ac:dyDescent="0.3">
      <c r="A127" s="516"/>
      <c r="B127" s="517" t="s">
        <v>15</v>
      </c>
      <c r="C127" s="516" t="s">
        <v>16</v>
      </c>
      <c r="D127" s="516" t="s">
        <v>17</v>
      </c>
      <c r="E127" s="904" t="s">
        <v>2431</v>
      </c>
      <c r="F127" s="904"/>
      <c r="G127" s="518" t="s">
        <v>18</v>
      </c>
      <c r="H127" s="517" t="s">
        <v>19</v>
      </c>
      <c r="I127" s="517" t="s">
        <v>20</v>
      </c>
      <c r="J127" s="517" t="s">
        <v>23</v>
      </c>
    </row>
    <row r="128" spans="1:10" s="358" customFormat="1" ht="15" customHeight="1" x14ac:dyDescent="0.3">
      <c r="A128" s="642" t="s">
        <v>2432</v>
      </c>
      <c r="B128" s="643" t="s">
        <v>74</v>
      </c>
      <c r="C128" s="642" t="s">
        <v>32</v>
      </c>
      <c r="D128" s="642" t="s">
        <v>75</v>
      </c>
      <c r="E128" s="906" t="s">
        <v>2433</v>
      </c>
      <c r="F128" s="906"/>
      <c r="G128" s="644" t="s">
        <v>34</v>
      </c>
      <c r="H128" s="645">
        <v>1</v>
      </c>
      <c r="I128" s="646">
        <v>2166.77</v>
      </c>
      <c r="J128" s="646">
        <v>2166.77</v>
      </c>
    </row>
    <row r="129" spans="1:10" ht="25" x14ac:dyDescent="0.3">
      <c r="A129" s="519" t="s">
        <v>2434</v>
      </c>
      <c r="B129" s="520" t="s">
        <v>2522</v>
      </c>
      <c r="C129" s="519" t="s">
        <v>32</v>
      </c>
      <c r="D129" s="519" t="s">
        <v>2523</v>
      </c>
      <c r="E129" s="905" t="s">
        <v>2433</v>
      </c>
      <c r="F129" s="905"/>
      <c r="G129" s="521" t="s">
        <v>34</v>
      </c>
      <c r="H129" s="522">
        <v>1</v>
      </c>
      <c r="I129" s="523">
        <v>12.52</v>
      </c>
      <c r="J129" s="523">
        <v>12.52</v>
      </c>
    </row>
    <row r="130" spans="1:10" ht="25" x14ac:dyDescent="0.3">
      <c r="A130" s="519" t="s">
        <v>2437</v>
      </c>
      <c r="B130" s="520" t="s">
        <v>2441</v>
      </c>
      <c r="C130" s="519" t="s">
        <v>32</v>
      </c>
      <c r="D130" s="519" t="s">
        <v>4240</v>
      </c>
      <c r="E130" s="905" t="s">
        <v>2442</v>
      </c>
      <c r="F130" s="905"/>
      <c r="G130" s="521" t="s">
        <v>34</v>
      </c>
      <c r="H130" s="522">
        <v>1</v>
      </c>
      <c r="I130" s="523">
        <v>252.08</v>
      </c>
      <c r="J130" s="523">
        <v>252.08</v>
      </c>
    </row>
    <row r="131" spans="1:10" ht="25" x14ac:dyDescent="0.3">
      <c r="A131" s="519" t="s">
        <v>2437</v>
      </c>
      <c r="B131" s="520" t="s">
        <v>2443</v>
      </c>
      <c r="C131" s="519" t="s">
        <v>32</v>
      </c>
      <c r="D131" s="519" t="s">
        <v>4241</v>
      </c>
      <c r="E131" s="905" t="s">
        <v>2442</v>
      </c>
      <c r="F131" s="905"/>
      <c r="G131" s="521" t="s">
        <v>34</v>
      </c>
      <c r="H131" s="522">
        <v>1</v>
      </c>
      <c r="I131" s="523">
        <v>7.31</v>
      </c>
      <c r="J131" s="523">
        <v>7.31</v>
      </c>
    </row>
    <row r="132" spans="1:10" x14ac:dyDescent="0.3">
      <c r="A132" s="519" t="s">
        <v>2437</v>
      </c>
      <c r="B132" s="520" t="s">
        <v>2524</v>
      </c>
      <c r="C132" s="519" t="s">
        <v>32</v>
      </c>
      <c r="D132" s="519" t="s">
        <v>2525</v>
      </c>
      <c r="E132" s="905" t="s">
        <v>2440</v>
      </c>
      <c r="F132" s="905"/>
      <c r="G132" s="521" t="s">
        <v>34</v>
      </c>
      <c r="H132" s="522">
        <v>1</v>
      </c>
      <c r="I132" s="523">
        <v>1749.15</v>
      </c>
      <c r="J132" s="523">
        <v>1749.15</v>
      </c>
    </row>
    <row r="133" spans="1:10" ht="25" x14ac:dyDescent="0.3">
      <c r="A133" s="519" t="s">
        <v>2437</v>
      </c>
      <c r="B133" s="520" t="s">
        <v>2461</v>
      </c>
      <c r="C133" s="519" t="s">
        <v>32</v>
      </c>
      <c r="D133" s="519" t="s">
        <v>2462</v>
      </c>
      <c r="E133" s="905" t="s">
        <v>2446</v>
      </c>
      <c r="F133" s="905"/>
      <c r="G133" s="521" t="s">
        <v>34</v>
      </c>
      <c r="H133" s="522">
        <v>1</v>
      </c>
      <c r="I133" s="523">
        <v>12.77</v>
      </c>
      <c r="J133" s="523">
        <v>12.77</v>
      </c>
    </row>
    <row r="134" spans="1:10" ht="25.5" thickBot="1" x14ac:dyDescent="0.35">
      <c r="A134" s="519" t="s">
        <v>2437</v>
      </c>
      <c r="B134" s="520" t="s">
        <v>2463</v>
      </c>
      <c r="C134" s="519" t="s">
        <v>32</v>
      </c>
      <c r="D134" s="519" t="s">
        <v>2464</v>
      </c>
      <c r="E134" s="905" t="s">
        <v>2446</v>
      </c>
      <c r="F134" s="905"/>
      <c r="G134" s="521" t="s">
        <v>34</v>
      </c>
      <c r="H134" s="522">
        <v>1</v>
      </c>
      <c r="I134" s="523">
        <v>132.94</v>
      </c>
      <c r="J134" s="523">
        <v>132.94</v>
      </c>
    </row>
    <row r="135" spans="1:10" s="358" customFormat="1" ht="14.5" thickTop="1" x14ac:dyDescent="0.3">
      <c r="A135" s="647"/>
      <c r="B135" s="647"/>
      <c r="C135" s="647"/>
      <c r="D135" s="647"/>
      <c r="E135" s="647"/>
      <c r="F135" s="647"/>
      <c r="G135" s="647"/>
      <c r="H135" s="647"/>
      <c r="I135" s="647"/>
      <c r="J135" s="647"/>
    </row>
    <row r="136" spans="1:10" x14ac:dyDescent="0.3">
      <c r="A136" s="516"/>
      <c r="B136" s="517" t="s">
        <v>15</v>
      </c>
      <c r="C136" s="516" t="s">
        <v>16</v>
      </c>
      <c r="D136" s="516" t="s">
        <v>17</v>
      </c>
      <c r="E136" s="904" t="s">
        <v>2431</v>
      </c>
      <c r="F136" s="904"/>
      <c r="G136" s="518" t="s">
        <v>18</v>
      </c>
      <c r="H136" s="517" t="s">
        <v>19</v>
      </c>
      <c r="I136" s="517" t="s">
        <v>20</v>
      </c>
      <c r="J136" s="517" t="s">
        <v>23</v>
      </c>
    </row>
    <row r="137" spans="1:10" s="358" customFormat="1" ht="25.5" customHeight="1" x14ac:dyDescent="0.3">
      <c r="A137" s="642" t="s">
        <v>2432</v>
      </c>
      <c r="B137" s="643" t="s">
        <v>4212</v>
      </c>
      <c r="C137" s="642" t="s">
        <v>39</v>
      </c>
      <c r="D137" s="642" t="s">
        <v>79</v>
      </c>
      <c r="E137" s="906" t="s">
        <v>2465</v>
      </c>
      <c r="F137" s="906"/>
      <c r="G137" s="644" t="s">
        <v>40</v>
      </c>
      <c r="H137" s="645">
        <v>1</v>
      </c>
      <c r="I137" s="646">
        <v>11551.5</v>
      </c>
      <c r="J137" s="646">
        <v>11551.5</v>
      </c>
    </row>
    <row r="138" spans="1:10" ht="15" customHeight="1" x14ac:dyDescent="0.3">
      <c r="A138" s="904" t="s">
        <v>2418</v>
      </c>
      <c r="B138" s="903" t="s">
        <v>15</v>
      </c>
      <c r="C138" s="904" t="s">
        <v>16</v>
      </c>
      <c r="D138" s="904" t="s">
        <v>2466</v>
      </c>
      <c r="E138" s="903" t="s">
        <v>2467</v>
      </c>
      <c r="F138" s="908" t="s">
        <v>2468</v>
      </c>
      <c r="G138" s="903"/>
      <c r="H138" s="518" t="s">
        <v>2469</v>
      </c>
      <c r="I138" s="903" t="s">
        <v>2470</v>
      </c>
      <c r="J138"/>
    </row>
    <row r="139" spans="1:10" x14ac:dyDescent="0.3">
      <c r="A139" s="903"/>
      <c r="B139" s="903"/>
      <c r="C139" s="903"/>
      <c r="D139" s="903"/>
      <c r="E139" s="903"/>
      <c r="F139" s="517" t="s">
        <v>2471</v>
      </c>
      <c r="G139" s="517" t="s">
        <v>2472</v>
      </c>
      <c r="H139" s="517" t="s">
        <v>2471</v>
      </c>
      <c r="I139" s="903"/>
      <c r="J139"/>
    </row>
    <row r="140" spans="1:10" x14ac:dyDescent="0.3">
      <c r="A140" s="519" t="s">
        <v>2437</v>
      </c>
      <c r="B140" s="520" t="s">
        <v>2526</v>
      </c>
      <c r="C140" s="519" t="s">
        <v>125</v>
      </c>
      <c r="D140" s="519" t="s">
        <v>2527</v>
      </c>
      <c r="E140" s="522">
        <v>1</v>
      </c>
      <c r="F140" s="523">
        <v>44</v>
      </c>
      <c r="G140" s="523">
        <v>176</v>
      </c>
      <c r="H140" s="524">
        <v>81.808599999999998</v>
      </c>
      <c r="I140" s="524">
        <v>11551.504800000001</v>
      </c>
      <c r="J140"/>
    </row>
    <row r="141" spans="1:10" ht="14.25" customHeight="1" x14ac:dyDescent="0.3">
      <c r="A141" s="902"/>
      <c r="B141" s="902"/>
      <c r="C141" s="902"/>
      <c r="D141" s="902"/>
      <c r="E141" s="902"/>
      <c r="F141" s="902" t="s">
        <v>2475</v>
      </c>
      <c r="G141" s="902"/>
      <c r="H141" s="902"/>
      <c r="I141" s="525">
        <v>11551.504800000001</v>
      </c>
      <c r="J141"/>
    </row>
    <row r="142" spans="1:10" ht="14.25" customHeight="1" x14ac:dyDescent="0.3">
      <c r="A142" s="902"/>
      <c r="B142" s="902"/>
      <c r="C142" s="902"/>
      <c r="D142" s="902"/>
      <c r="E142" s="902"/>
      <c r="F142" s="902" t="s">
        <v>2476</v>
      </c>
      <c r="G142" s="902"/>
      <c r="H142" s="902"/>
      <c r="I142" s="525">
        <v>11551.504800000001</v>
      </c>
      <c r="J142"/>
    </row>
    <row r="143" spans="1:10" ht="14.25" customHeight="1" x14ac:dyDescent="0.3">
      <c r="A143" s="902"/>
      <c r="B143" s="902"/>
      <c r="C143" s="902"/>
      <c r="D143" s="902"/>
      <c r="E143" s="902"/>
      <c r="F143" s="902" t="s">
        <v>2477</v>
      </c>
      <c r="G143" s="902"/>
      <c r="H143" s="902"/>
      <c r="I143" s="525">
        <v>0</v>
      </c>
      <c r="J143"/>
    </row>
    <row r="144" spans="1:10" x14ac:dyDescent="0.3">
      <c r="A144" s="902"/>
      <c r="B144" s="902"/>
      <c r="C144" s="902"/>
      <c r="D144" s="902"/>
      <c r="E144" s="902"/>
      <c r="F144" s="902" t="s">
        <v>2478</v>
      </c>
      <c r="G144" s="902"/>
      <c r="H144" s="902"/>
      <c r="I144" s="525">
        <v>0</v>
      </c>
      <c r="J144"/>
    </row>
    <row r="145" spans="1:10" ht="14.25" customHeight="1" x14ac:dyDescent="0.3">
      <c r="A145" s="902"/>
      <c r="B145" s="902"/>
      <c r="C145" s="902"/>
      <c r="D145" s="902"/>
      <c r="E145" s="902"/>
      <c r="F145" s="902" t="s">
        <v>2479</v>
      </c>
      <c r="G145" s="902"/>
      <c r="H145" s="902"/>
      <c r="I145" s="525">
        <v>1</v>
      </c>
      <c r="J145"/>
    </row>
    <row r="146" spans="1:10" ht="14.25" customHeight="1" x14ac:dyDescent="0.3">
      <c r="A146" s="902"/>
      <c r="B146" s="902"/>
      <c r="C146" s="902"/>
      <c r="D146" s="902"/>
      <c r="E146" s="902"/>
      <c r="F146" s="902" t="s">
        <v>2480</v>
      </c>
      <c r="G146" s="902"/>
      <c r="H146" s="902"/>
      <c r="I146" s="525">
        <v>11551.504800000001</v>
      </c>
      <c r="J146"/>
    </row>
    <row r="147" spans="1:10" x14ac:dyDescent="0.3">
      <c r="A147" s="910" t="s">
        <v>4243</v>
      </c>
      <c r="B147" s="910"/>
      <c r="C147" s="910"/>
      <c r="D147" s="910"/>
      <c r="E147" s="910"/>
      <c r="F147" s="910"/>
      <c r="G147" s="910"/>
      <c r="H147" s="910"/>
      <c r="I147" s="910"/>
      <c r="J147"/>
    </row>
    <row r="148" spans="1:10" ht="15" customHeight="1" thickBot="1" x14ac:dyDescent="0.35">
      <c r="A148" s="909" t="s">
        <v>4247</v>
      </c>
      <c r="B148" s="909"/>
      <c r="C148" s="909"/>
      <c r="D148" s="909"/>
      <c r="E148" s="909"/>
      <c r="F148" s="909"/>
      <c r="G148" s="909"/>
      <c r="H148" s="909"/>
      <c r="I148" s="909"/>
      <c r="J148"/>
    </row>
    <row r="149" spans="1:10" s="358" customFormat="1" ht="14.5" thickTop="1" x14ac:dyDescent="0.3">
      <c r="A149" s="647"/>
      <c r="B149" s="647"/>
      <c r="C149" s="647"/>
      <c r="D149" s="647"/>
      <c r="E149" s="647"/>
      <c r="F149" s="647"/>
      <c r="G149" s="647"/>
      <c r="H149" s="647"/>
      <c r="I149" s="647"/>
      <c r="J149" s="647"/>
    </row>
    <row r="150" spans="1:10" x14ac:dyDescent="0.3">
      <c r="A150" s="516"/>
      <c r="B150" s="517" t="s">
        <v>15</v>
      </c>
      <c r="C150" s="516" t="s">
        <v>16</v>
      </c>
      <c r="D150" s="516" t="s">
        <v>17</v>
      </c>
      <c r="E150" s="904" t="s">
        <v>2431</v>
      </c>
      <c r="F150" s="904"/>
      <c r="G150" s="518" t="s">
        <v>18</v>
      </c>
      <c r="H150" s="517" t="s">
        <v>19</v>
      </c>
      <c r="I150" s="517" t="s">
        <v>20</v>
      </c>
      <c r="J150" s="517" t="s">
        <v>23</v>
      </c>
    </row>
    <row r="151" spans="1:10" s="358" customFormat="1" ht="15" customHeight="1" x14ac:dyDescent="0.3">
      <c r="A151" s="642" t="s">
        <v>2432</v>
      </c>
      <c r="B151" s="643" t="s">
        <v>84</v>
      </c>
      <c r="C151" s="642" t="s">
        <v>32</v>
      </c>
      <c r="D151" s="642" t="s">
        <v>85</v>
      </c>
      <c r="E151" s="906" t="s">
        <v>2433</v>
      </c>
      <c r="F151" s="906"/>
      <c r="G151" s="644" t="s">
        <v>34</v>
      </c>
      <c r="H151" s="645">
        <v>1</v>
      </c>
      <c r="I151" s="646">
        <v>3263.02</v>
      </c>
      <c r="J151" s="646">
        <v>3263.02</v>
      </c>
    </row>
    <row r="152" spans="1:10" ht="25" x14ac:dyDescent="0.3">
      <c r="A152" s="519" t="s">
        <v>2434</v>
      </c>
      <c r="B152" s="520" t="s">
        <v>2528</v>
      </c>
      <c r="C152" s="519" t="s">
        <v>32</v>
      </c>
      <c r="D152" s="519" t="s">
        <v>2529</v>
      </c>
      <c r="E152" s="905" t="s">
        <v>2433</v>
      </c>
      <c r="F152" s="905"/>
      <c r="G152" s="521" t="s">
        <v>34</v>
      </c>
      <c r="H152" s="522">
        <v>1</v>
      </c>
      <c r="I152" s="523">
        <v>12.46</v>
      </c>
      <c r="J152" s="523">
        <v>12.46</v>
      </c>
    </row>
    <row r="153" spans="1:10" x14ac:dyDescent="0.3">
      <c r="A153" s="519" t="s">
        <v>2437</v>
      </c>
      <c r="B153" s="520" t="s">
        <v>4456</v>
      </c>
      <c r="C153" s="519" t="s">
        <v>32</v>
      </c>
      <c r="D153" s="519" t="s">
        <v>4457</v>
      </c>
      <c r="E153" s="905" t="s">
        <v>2440</v>
      </c>
      <c r="F153" s="905"/>
      <c r="G153" s="521" t="s">
        <v>34</v>
      </c>
      <c r="H153" s="522">
        <v>1</v>
      </c>
      <c r="I153" s="523">
        <v>2845.46</v>
      </c>
      <c r="J153" s="523">
        <v>2845.46</v>
      </c>
    </row>
    <row r="154" spans="1:10" ht="25" x14ac:dyDescent="0.3">
      <c r="A154" s="519" t="s">
        <v>2437</v>
      </c>
      <c r="B154" s="520" t="s">
        <v>2441</v>
      </c>
      <c r="C154" s="519" t="s">
        <v>32</v>
      </c>
      <c r="D154" s="519" t="s">
        <v>4240</v>
      </c>
      <c r="E154" s="905" t="s">
        <v>2442</v>
      </c>
      <c r="F154" s="905"/>
      <c r="G154" s="521" t="s">
        <v>34</v>
      </c>
      <c r="H154" s="522">
        <v>1</v>
      </c>
      <c r="I154" s="523">
        <v>252.08</v>
      </c>
      <c r="J154" s="523">
        <v>252.08</v>
      </c>
    </row>
    <row r="155" spans="1:10" ht="25" x14ac:dyDescent="0.3">
      <c r="A155" s="519" t="s">
        <v>2437</v>
      </c>
      <c r="B155" s="520" t="s">
        <v>2443</v>
      </c>
      <c r="C155" s="519" t="s">
        <v>32</v>
      </c>
      <c r="D155" s="519" t="s">
        <v>4241</v>
      </c>
      <c r="E155" s="905" t="s">
        <v>2442</v>
      </c>
      <c r="F155" s="905"/>
      <c r="G155" s="521" t="s">
        <v>34</v>
      </c>
      <c r="H155" s="522">
        <v>1</v>
      </c>
      <c r="I155" s="523">
        <v>7.31</v>
      </c>
      <c r="J155" s="523">
        <v>7.31</v>
      </c>
    </row>
    <row r="156" spans="1:10" ht="25" x14ac:dyDescent="0.3">
      <c r="A156" s="519" t="s">
        <v>2437</v>
      </c>
      <c r="B156" s="520" t="s">
        <v>2461</v>
      </c>
      <c r="C156" s="519" t="s">
        <v>32</v>
      </c>
      <c r="D156" s="519" t="s">
        <v>2462</v>
      </c>
      <c r="E156" s="905" t="s">
        <v>2446</v>
      </c>
      <c r="F156" s="905"/>
      <c r="G156" s="521" t="s">
        <v>34</v>
      </c>
      <c r="H156" s="522">
        <v>1</v>
      </c>
      <c r="I156" s="523">
        <v>12.77</v>
      </c>
      <c r="J156" s="523">
        <v>12.77</v>
      </c>
    </row>
    <row r="157" spans="1:10" ht="25.5" thickBot="1" x14ac:dyDescent="0.35">
      <c r="A157" s="519" t="s">
        <v>2437</v>
      </c>
      <c r="B157" s="520" t="s">
        <v>2463</v>
      </c>
      <c r="C157" s="519" t="s">
        <v>32</v>
      </c>
      <c r="D157" s="519" t="s">
        <v>2464</v>
      </c>
      <c r="E157" s="905" t="s">
        <v>2446</v>
      </c>
      <c r="F157" s="905"/>
      <c r="G157" s="521" t="s">
        <v>34</v>
      </c>
      <c r="H157" s="522">
        <v>1</v>
      </c>
      <c r="I157" s="523">
        <v>132.94</v>
      </c>
      <c r="J157" s="523">
        <v>132.94</v>
      </c>
    </row>
    <row r="158" spans="1:10" s="358" customFormat="1" ht="14.5" thickTop="1" x14ac:dyDescent="0.3">
      <c r="A158" s="647"/>
      <c r="B158" s="647"/>
      <c r="C158" s="647"/>
      <c r="D158" s="647"/>
      <c r="E158" s="647"/>
      <c r="F158" s="647"/>
      <c r="G158" s="647"/>
      <c r="H158" s="647"/>
      <c r="I158" s="647"/>
      <c r="J158" s="647"/>
    </row>
    <row r="159" spans="1:10" x14ac:dyDescent="0.3">
      <c r="A159" s="516"/>
      <c r="B159" s="517" t="s">
        <v>15</v>
      </c>
      <c r="C159" s="516" t="s">
        <v>16</v>
      </c>
      <c r="D159" s="516" t="s">
        <v>17</v>
      </c>
      <c r="E159" s="904" t="s">
        <v>2431</v>
      </c>
      <c r="F159" s="904"/>
      <c r="G159" s="518" t="s">
        <v>18</v>
      </c>
      <c r="H159" s="517" t="s">
        <v>19</v>
      </c>
      <c r="I159" s="517" t="s">
        <v>20</v>
      </c>
      <c r="J159" s="517" t="s">
        <v>23</v>
      </c>
    </row>
    <row r="160" spans="1:10" s="358" customFormat="1" ht="15" customHeight="1" x14ac:dyDescent="0.3">
      <c r="A160" s="642" t="s">
        <v>2432</v>
      </c>
      <c r="B160" s="643" t="s">
        <v>93</v>
      </c>
      <c r="C160" s="642" t="s">
        <v>39</v>
      </c>
      <c r="D160" s="642" t="s">
        <v>94</v>
      </c>
      <c r="E160" s="906" t="s">
        <v>2485</v>
      </c>
      <c r="F160" s="906"/>
      <c r="G160" s="644" t="s">
        <v>40</v>
      </c>
      <c r="H160" s="645">
        <v>1</v>
      </c>
      <c r="I160" s="646">
        <v>2096.44</v>
      </c>
      <c r="J160" s="646">
        <v>2096.44</v>
      </c>
    </row>
    <row r="161" spans="1:10" ht="25" x14ac:dyDescent="0.3">
      <c r="A161" s="519" t="s">
        <v>2437</v>
      </c>
      <c r="B161" s="520" t="s">
        <v>2530</v>
      </c>
      <c r="C161" s="519" t="s">
        <v>32</v>
      </c>
      <c r="D161" s="519" t="s">
        <v>2531</v>
      </c>
      <c r="E161" s="905" t="s">
        <v>2442</v>
      </c>
      <c r="F161" s="905"/>
      <c r="G161" s="521" t="s">
        <v>2532</v>
      </c>
      <c r="H161" s="522">
        <v>2833.03</v>
      </c>
      <c r="I161" s="523">
        <v>0.74</v>
      </c>
      <c r="J161" s="523">
        <v>2096.44</v>
      </c>
    </row>
    <row r="162" spans="1:10" x14ac:dyDescent="0.3">
      <c r="A162" s="910" t="s">
        <v>4243</v>
      </c>
      <c r="B162" s="910"/>
      <c r="C162" s="910"/>
      <c r="D162" s="910"/>
      <c r="E162" s="910"/>
      <c r="F162" s="910"/>
      <c r="G162" s="910"/>
      <c r="H162" s="910"/>
      <c r="I162" s="910"/>
      <c r="J162"/>
    </row>
    <row r="163" spans="1:10" ht="15" customHeight="1" thickBot="1" x14ac:dyDescent="0.35">
      <c r="A163" s="909" t="s">
        <v>4248</v>
      </c>
      <c r="B163" s="909"/>
      <c r="C163" s="909"/>
      <c r="D163" s="909"/>
      <c r="E163" s="909"/>
      <c r="F163" s="909"/>
      <c r="G163" s="909"/>
      <c r="H163" s="909"/>
      <c r="I163" s="909"/>
      <c r="J163"/>
    </row>
    <row r="164" spans="1:10" s="358" customFormat="1" ht="14.5" thickTop="1" x14ac:dyDescent="0.3">
      <c r="A164" s="647"/>
      <c r="B164" s="647"/>
      <c r="C164" s="647"/>
      <c r="D164" s="647"/>
      <c r="E164" s="647"/>
      <c r="F164" s="647"/>
      <c r="G164" s="647"/>
      <c r="H164" s="647"/>
      <c r="I164" s="647"/>
      <c r="J164" s="647"/>
    </row>
    <row r="165" spans="1:10" x14ac:dyDescent="0.3">
      <c r="A165" s="516"/>
      <c r="B165" s="517" t="s">
        <v>15</v>
      </c>
      <c r="C165" s="516" t="s">
        <v>16</v>
      </c>
      <c r="D165" s="516" t="s">
        <v>17</v>
      </c>
      <c r="E165" s="904" t="s">
        <v>2431</v>
      </c>
      <c r="F165" s="904"/>
      <c r="G165" s="518" t="s">
        <v>18</v>
      </c>
      <c r="H165" s="517" t="s">
        <v>19</v>
      </c>
      <c r="I165" s="517" t="s">
        <v>20</v>
      </c>
      <c r="J165" s="517" t="s">
        <v>23</v>
      </c>
    </row>
    <row r="166" spans="1:10" s="358" customFormat="1" ht="15" customHeight="1" x14ac:dyDescent="0.3">
      <c r="A166" s="642" t="s">
        <v>2432</v>
      </c>
      <c r="B166" s="643" t="s">
        <v>96</v>
      </c>
      <c r="C166" s="642" t="s">
        <v>39</v>
      </c>
      <c r="D166" s="642" t="s">
        <v>97</v>
      </c>
      <c r="E166" s="906" t="s">
        <v>2485</v>
      </c>
      <c r="F166" s="906"/>
      <c r="G166" s="644" t="s">
        <v>40</v>
      </c>
      <c r="H166" s="645">
        <v>1</v>
      </c>
      <c r="I166" s="646">
        <v>1386</v>
      </c>
      <c r="J166" s="646">
        <v>1386</v>
      </c>
    </row>
    <row r="167" spans="1:10" x14ac:dyDescent="0.3">
      <c r="A167" s="519" t="s">
        <v>2437</v>
      </c>
      <c r="B167" s="520" t="s">
        <v>2533</v>
      </c>
      <c r="C167" s="519" t="s">
        <v>32</v>
      </c>
      <c r="D167" s="519" t="s">
        <v>2534</v>
      </c>
      <c r="E167" s="905" t="s">
        <v>2535</v>
      </c>
      <c r="F167" s="905"/>
      <c r="G167" s="521" t="s">
        <v>118</v>
      </c>
      <c r="H167" s="522">
        <v>99</v>
      </c>
      <c r="I167" s="523">
        <v>14</v>
      </c>
      <c r="J167" s="523">
        <v>1386</v>
      </c>
    </row>
    <row r="168" spans="1:10" x14ac:dyDescent="0.3">
      <c r="A168" s="910" t="s">
        <v>4243</v>
      </c>
      <c r="B168" s="910"/>
      <c r="C168" s="910"/>
      <c r="D168" s="910"/>
      <c r="E168" s="910"/>
      <c r="F168" s="910"/>
      <c r="G168" s="910"/>
      <c r="H168" s="910"/>
      <c r="I168" s="910"/>
      <c r="J168"/>
    </row>
    <row r="169" spans="1:10" ht="15" customHeight="1" thickBot="1" x14ac:dyDescent="0.35">
      <c r="A169" s="909" t="s">
        <v>4249</v>
      </c>
      <c r="B169" s="909"/>
      <c r="C169" s="909"/>
      <c r="D169" s="909"/>
      <c r="E169" s="909"/>
      <c r="F169" s="909"/>
      <c r="G169" s="909"/>
      <c r="H169" s="909"/>
      <c r="I169" s="909"/>
      <c r="J169"/>
    </row>
    <row r="170" spans="1:10" s="358" customFormat="1" ht="14.5" thickTop="1" x14ac:dyDescent="0.3">
      <c r="A170" s="647"/>
      <c r="B170" s="647"/>
      <c r="C170" s="647"/>
      <c r="D170" s="647"/>
      <c r="E170" s="647"/>
      <c r="F170" s="647"/>
      <c r="G170" s="647"/>
      <c r="H170" s="647"/>
      <c r="I170" s="647"/>
      <c r="J170" s="647"/>
    </row>
    <row r="171" spans="1:10" x14ac:dyDescent="0.3">
      <c r="A171" s="516"/>
      <c r="B171" s="517" t="s">
        <v>15</v>
      </c>
      <c r="C171" s="516" t="s">
        <v>16</v>
      </c>
      <c r="D171" s="516" t="s">
        <v>17</v>
      </c>
      <c r="E171" s="904" t="s">
        <v>2431</v>
      </c>
      <c r="F171" s="904"/>
      <c r="G171" s="518" t="s">
        <v>18</v>
      </c>
      <c r="H171" s="517" t="s">
        <v>19</v>
      </c>
      <c r="I171" s="517" t="s">
        <v>20</v>
      </c>
      <c r="J171" s="517" t="s">
        <v>23</v>
      </c>
    </row>
    <row r="172" spans="1:10" s="358" customFormat="1" ht="50" x14ac:dyDescent="0.3">
      <c r="A172" s="642" t="s">
        <v>2432</v>
      </c>
      <c r="B172" s="643" t="s">
        <v>101</v>
      </c>
      <c r="C172" s="642" t="s">
        <v>32</v>
      </c>
      <c r="D172" s="642" t="s">
        <v>102</v>
      </c>
      <c r="E172" s="906" t="s">
        <v>2465</v>
      </c>
      <c r="F172" s="906"/>
      <c r="G172" s="644" t="s">
        <v>103</v>
      </c>
      <c r="H172" s="645">
        <v>1</v>
      </c>
      <c r="I172" s="646">
        <v>241.54</v>
      </c>
      <c r="J172" s="646">
        <v>241.54</v>
      </c>
    </row>
    <row r="173" spans="1:10" ht="50" x14ac:dyDescent="0.3">
      <c r="A173" s="519" t="s">
        <v>2434</v>
      </c>
      <c r="B173" s="520" t="s">
        <v>2536</v>
      </c>
      <c r="C173" s="519" t="s">
        <v>32</v>
      </c>
      <c r="D173" s="519" t="s">
        <v>2537</v>
      </c>
      <c r="E173" s="905" t="s">
        <v>2465</v>
      </c>
      <c r="F173" s="905"/>
      <c r="G173" s="521" t="s">
        <v>1901</v>
      </c>
      <c r="H173" s="522">
        <v>1</v>
      </c>
      <c r="I173" s="523">
        <v>36.880000000000003</v>
      </c>
      <c r="J173" s="523">
        <v>36.880000000000003</v>
      </c>
    </row>
    <row r="174" spans="1:10" ht="50" x14ac:dyDescent="0.3">
      <c r="A174" s="519" t="s">
        <v>2434</v>
      </c>
      <c r="B174" s="520" t="s">
        <v>2538</v>
      </c>
      <c r="C174" s="519" t="s">
        <v>32</v>
      </c>
      <c r="D174" s="519" t="s">
        <v>2539</v>
      </c>
      <c r="E174" s="905" t="s">
        <v>2465</v>
      </c>
      <c r="F174" s="905"/>
      <c r="G174" s="521" t="s">
        <v>1901</v>
      </c>
      <c r="H174" s="522">
        <v>1</v>
      </c>
      <c r="I174" s="523">
        <v>142.9</v>
      </c>
      <c r="J174" s="523">
        <v>142.9</v>
      </c>
    </row>
    <row r="175" spans="1:10" ht="25" x14ac:dyDescent="0.3">
      <c r="A175" s="519" t="s">
        <v>2434</v>
      </c>
      <c r="B175" s="520" t="s">
        <v>2540</v>
      </c>
      <c r="C175" s="519" t="s">
        <v>32</v>
      </c>
      <c r="D175" s="519" t="s">
        <v>2541</v>
      </c>
      <c r="E175" s="905" t="s">
        <v>2433</v>
      </c>
      <c r="F175" s="905"/>
      <c r="G175" s="521" t="s">
        <v>1901</v>
      </c>
      <c r="H175" s="522">
        <v>1</v>
      </c>
      <c r="I175" s="523">
        <v>29.5</v>
      </c>
      <c r="J175" s="523">
        <v>29.5</v>
      </c>
    </row>
    <row r="176" spans="1:10" ht="50" x14ac:dyDescent="0.3">
      <c r="A176" s="519" t="s">
        <v>2434</v>
      </c>
      <c r="B176" s="520" t="s">
        <v>2542</v>
      </c>
      <c r="C176" s="519" t="s">
        <v>32</v>
      </c>
      <c r="D176" s="519" t="s">
        <v>2543</v>
      </c>
      <c r="E176" s="905" t="s">
        <v>2465</v>
      </c>
      <c r="F176" s="905"/>
      <c r="G176" s="521" t="s">
        <v>1901</v>
      </c>
      <c r="H176" s="522">
        <v>1</v>
      </c>
      <c r="I176" s="523">
        <v>20.99</v>
      </c>
      <c r="J176" s="523">
        <v>20.99</v>
      </c>
    </row>
    <row r="177" spans="1:10" ht="38.25" customHeight="1" x14ac:dyDescent="0.3">
      <c r="A177" s="519" t="s">
        <v>2434</v>
      </c>
      <c r="B177" s="520" t="s">
        <v>2544</v>
      </c>
      <c r="C177" s="519" t="s">
        <v>32</v>
      </c>
      <c r="D177" s="519" t="s">
        <v>2545</v>
      </c>
      <c r="E177" s="905" t="s">
        <v>2465</v>
      </c>
      <c r="F177" s="905"/>
      <c r="G177" s="521" t="s">
        <v>1901</v>
      </c>
      <c r="H177" s="522">
        <v>1</v>
      </c>
      <c r="I177" s="523">
        <v>8.0299999999999994</v>
      </c>
      <c r="J177" s="523">
        <v>8.0299999999999994</v>
      </c>
    </row>
    <row r="178" spans="1:10" ht="50.5" thickBot="1" x14ac:dyDescent="0.35">
      <c r="A178" s="519" t="s">
        <v>2434</v>
      </c>
      <c r="B178" s="520" t="s">
        <v>2546</v>
      </c>
      <c r="C178" s="519" t="s">
        <v>32</v>
      </c>
      <c r="D178" s="519" t="s">
        <v>2547</v>
      </c>
      <c r="E178" s="905" t="s">
        <v>2465</v>
      </c>
      <c r="F178" s="905"/>
      <c r="G178" s="521" t="s">
        <v>1901</v>
      </c>
      <c r="H178" s="522">
        <v>1</v>
      </c>
      <c r="I178" s="523">
        <v>3.24</v>
      </c>
      <c r="J178" s="523">
        <v>3.24</v>
      </c>
    </row>
    <row r="179" spans="1:10" s="358" customFormat="1" ht="14.5" thickTop="1" x14ac:dyDescent="0.3">
      <c r="A179" s="647"/>
      <c r="B179" s="647"/>
      <c r="C179" s="647"/>
      <c r="D179" s="647"/>
      <c r="E179" s="647"/>
      <c r="F179" s="647"/>
      <c r="G179" s="647"/>
      <c r="H179" s="647"/>
      <c r="I179" s="647"/>
      <c r="J179" s="647"/>
    </row>
    <row r="180" spans="1:10" x14ac:dyDescent="0.3">
      <c r="A180" s="516"/>
      <c r="B180" s="517" t="s">
        <v>15</v>
      </c>
      <c r="C180" s="516" t="s">
        <v>16</v>
      </c>
      <c r="D180" s="516" t="s">
        <v>17</v>
      </c>
      <c r="E180" s="904" t="s">
        <v>2431</v>
      </c>
      <c r="F180" s="904"/>
      <c r="G180" s="518" t="s">
        <v>18</v>
      </c>
      <c r="H180" s="517" t="s">
        <v>19</v>
      </c>
      <c r="I180" s="517" t="s">
        <v>20</v>
      </c>
      <c r="J180" s="517" t="s">
        <v>23</v>
      </c>
    </row>
    <row r="181" spans="1:10" s="358" customFormat="1" ht="25.5" customHeight="1" x14ac:dyDescent="0.3">
      <c r="A181" s="642" t="s">
        <v>2432</v>
      </c>
      <c r="B181" s="643" t="s">
        <v>105</v>
      </c>
      <c r="C181" s="642" t="s">
        <v>32</v>
      </c>
      <c r="D181" s="642" t="s">
        <v>106</v>
      </c>
      <c r="E181" s="906" t="s">
        <v>2465</v>
      </c>
      <c r="F181" s="906"/>
      <c r="G181" s="644" t="s">
        <v>103</v>
      </c>
      <c r="H181" s="645">
        <v>1</v>
      </c>
      <c r="I181" s="646">
        <v>174.49</v>
      </c>
      <c r="J181" s="646">
        <v>174.49</v>
      </c>
    </row>
    <row r="182" spans="1:10" ht="25.5" customHeight="1" x14ac:dyDescent="0.3">
      <c r="A182" s="519" t="s">
        <v>2434</v>
      </c>
      <c r="B182" s="520" t="s">
        <v>2548</v>
      </c>
      <c r="C182" s="519" t="s">
        <v>32</v>
      </c>
      <c r="D182" s="519" t="s">
        <v>2549</v>
      </c>
      <c r="E182" s="905" t="s">
        <v>2465</v>
      </c>
      <c r="F182" s="905"/>
      <c r="G182" s="521" t="s">
        <v>1901</v>
      </c>
      <c r="H182" s="522">
        <v>1</v>
      </c>
      <c r="I182" s="523">
        <v>7.15</v>
      </c>
      <c r="J182" s="523">
        <v>7.15</v>
      </c>
    </row>
    <row r="183" spans="1:10" ht="25.5" customHeight="1" x14ac:dyDescent="0.3">
      <c r="A183" s="519" t="s">
        <v>2434</v>
      </c>
      <c r="B183" s="520" t="s">
        <v>2550</v>
      </c>
      <c r="C183" s="519" t="s">
        <v>32</v>
      </c>
      <c r="D183" s="519" t="s">
        <v>2551</v>
      </c>
      <c r="E183" s="905" t="s">
        <v>2465</v>
      </c>
      <c r="F183" s="905"/>
      <c r="G183" s="521" t="s">
        <v>1901</v>
      </c>
      <c r="H183" s="522">
        <v>1</v>
      </c>
      <c r="I183" s="523">
        <v>6.38</v>
      </c>
      <c r="J183" s="523">
        <v>6.38</v>
      </c>
    </row>
    <row r="184" spans="1:10" ht="26.25" customHeight="1" thickBot="1" x14ac:dyDescent="0.35">
      <c r="A184" s="519" t="s">
        <v>2434</v>
      </c>
      <c r="B184" s="520" t="s">
        <v>2552</v>
      </c>
      <c r="C184" s="519" t="s">
        <v>32</v>
      </c>
      <c r="D184" s="519" t="s">
        <v>2553</v>
      </c>
      <c r="E184" s="905" t="s">
        <v>2465</v>
      </c>
      <c r="F184" s="905"/>
      <c r="G184" s="521" t="s">
        <v>1901</v>
      </c>
      <c r="H184" s="522">
        <v>1</v>
      </c>
      <c r="I184" s="523">
        <v>160.96</v>
      </c>
      <c r="J184" s="523">
        <v>160.96</v>
      </c>
    </row>
    <row r="185" spans="1:10" s="358" customFormat="1" ht="14.5" thickTop="1" x14ac:dyDescent="0.3">
      <c r="A185" s="647"/>
      <c r="B185" s="647"/>
      <c r="C185" s="647"/>
      <c r="D185" s="647"/>
      <c r="E185" s="647"/>
      <c r="F185" s="647"/>
      <c r="G185" s="647"/>
      <c r="H185" s="647"/>
      <c r="I185" s="647"/>
      <c r="J185" s="647"/>
    </row>
    <row r="186" spans="1:10" x14ac:dyDescent="0.3">
      <c r="A186" s="516"/>
      <c r="B186" s="517" t="s">
        <v>15</v>
      </c>
      <c r="C186" s="516" t="s">
        <v>16</v>
      </c>
      <c r="D186" s="516" t="s">
        <v>17</v>
      </c>
      <c r="E186" s="904" t="s">
        <v>2431</v>
      </c>
      <c r="F186" s="904"/>
      <c r="G186" s="518" t="s">
        <v>18</v>
      </c>
      <c r="H186" s="517" t="s">
        <v>19</v>
      </c>
      <c r="I186" s="517" t="s">
        <v>20</v>
      </c>
      <c r="J186" s="517" t="s">
        <v>23</v>
      </c>
    </row>
    <row r="187" spans="1:10" s="358" customFormat="1" ht="25.5" customHeight="1" x14ac:dyDescent="0.3">
      <c r="A187" s="642" t="s">
        <v>2432</v>
      </c>
      <c r="B187" s="643" t="s">
        <v>108</v>
      </c>
      <c r="C187" s="642" t="s">
        <v>32</v>
      </c>
      <c r="D187" s="642" t="s">
        <v>109</v>
      </c>
      <c r="E187" s="906" t="s">
        <v>2465</v>
      </c>
      <c r="F187" s="906"/>
      <c r="G187" s="644" t="s">
        <v>110</v>
      </c>
      <c r="H187" s="645">
        <v>1</v>
      </c>
      <c r="I187" s="646">
        <v>8.6</v>
      </c>
      <c r="J187" s="646">
        <v>8.6</v>
      </c>
    </row>
    <row r="188" spans="1:10" ht="25.5" customHeight="1" x14ac:dyDescent="0.3">
      <c r="A188" s="519" t="s">
        <v>2434</v>
      </c>
      <c r="B188" s="520" t="s">
        <v>2554</v>
      </c>
      <c r="C188" s="519" t="s">
        <v>32</v>
      </c>
      <c r="D188" s="519" t="s">
        <v>2555</v>
      </c>
      <c r="E188" s="905" t="s">
        <v>2465</v>
      </c>
      <c r="F188" s="905"/>
      <c r="G188" s="521" t="s">
        <v>1901</v>
      </c>
      <c r="H188" s="522">
        <v>1</v>
      </c>
      <c r="I188" s="523">
        <v>6.36</v>
      </c>
      <c r="J188" s="523">
        <v>6.36</v>
      </c>
    </row>
    <row r="189" spans="1:10" ht="26.25" customHeight="1" thickBot="1" x14ac:dyDescent="0.35">
      <c r="A189" s="519" t="s">
        <v>2434</v>
      </c>
      <c r="B189" s="520" t="s">
        <v>2556</v>
      </c>
      <c r="C189" s="519" t="s">
        <v>32</v>
      </c>
      <c r="D189" s="519" t="s">
        <v>2557</v>
      </c>
      <c r="E189" s="905" t="s">
        <v>2465</v>
      </c>
      <c r="F189" s="905"/>
      <c r="G189" s="521" t="s">
        <v>1901</v>
      </c>
      <c r="H189" s="522">
        <v>1</v>
      </c>
      <c r="I189" s="523">
        <v>2.2400000000000002</v>
      </c>
      <c r="J189" s="523">
        <v>2.2400000000000002</v>
      </c>
    </row>
    <row r="190" spans="1:10" s="358" customFormat="1" ht="14.5" thickTop="1" x14ac:dyDescent="0.3">
      <c r="A190" s="647"/>
      <c r="B190" s="647"/>
      <c r="C190" s="647"/>
      <c r="D190" s="647"/>
      <c r="E190" s="647"/>
      <c r="F190" s="647"/>
      <c r="G190" s="647"/>
      <c r="H190" s="647"/>
      <c r="I190" s="647"/>
      <c r="J190" s="647"/>
    </row>
    <row r="191" spans="1:10" x14ac:dyDescent="0.3">
      <c r="A191" s="516"/>
      <c r="B191" s="517" t="s">
        <v>15</v>
      </c>
      <c r="C191" s="516" t="s">
        <v>16</v>
      </c>
      <c r="D191" s="516" t="s">
        <v>17</v>
      </c>
      <c r="E191" s="904" t="s">
        <v>2431</v>
      </c>
      <c r="F191" s="904"/>
      <c r="G191" s="518" t="s">
        <v>18</v>
      </c>
      <c r="H191" s="517" t="s">
        <v>19</v>
      </c>
      <c r="I191" s="517" t="s">
        <v>20</v>
      </c>
      <c r="J191" s="517" t="s">
        <v>23</v>
      </c>
    </row>
    <row r="192" spans="1:10" s="358" customFormat="1" ht="25" x14ac:dyDescent="0.3">
      <c r="A192" s="642" t="s">
        <v>2432</v>
      </c>
      <c r="B192" s="643" t="s">
        <v>114</v>
      </c>
      <c r="C192" s="642" t="s">
        <v>32</v>
      </c>
      <c r="D192" s="642" t="s">
        <v>4213</v>
      </c>
      <c r="E192" s="906" t="s">
        <v>2558</v>
      </c>
      <c r="F192" s="906"/>
      <c r="G192" s="644" t="s">
        <v>115</v>
      </c>
      <c r="H192" s="645">
        <v>1</v>
      </c>
      <c r="I192" s="646">
        <v>3.07</v>
      </c>
      <c r="J192" s="646">
        <v>3.07</v>
      </c>
    </row>
    <row r="193" spans="1:10" ht="25" x14ac:dyDescent="0.3">
      <c r="A193" s="519" t="s">
        <v>2434</v>
      </c>
      <c r="B193" s="520" t="s">
        <v>2559</v>
      </c>
      <c r="C193" s="519" t="s">
        <v>32</v>
      </c>
      <c r="D193" s="519" t="s">
        <v>2560</v>
      </c>
      <c r="E193" s="905" t="s">
        <v>2433</v>
      </c>
      <c r="F193" s="905"/>
      <c r="G193" s="521" t="s">
        <v>1901</v>
      </c>
      <c r="H193" s="522">
        <v>3.3700000000000001E-2</v>
      </c>
      <c r="I193" s="523">
        <v>25.36</v>
      </c>
      <c r="J193" s="523">
        <v>0.85</v>
      </c>
    </row>
    <row r="194" spans="1:10" ht="25.5" thickBot="1" x14ac:dyDescent="0.35">
      <c r="A194" s="519" t="s">
        <v>2434</v>
      </c>
      <c r="B194" s="520" t="s">
        <v>2561</v>
      </c>
      <c r="C194" s="519" t="s">
        <v>32</v>
      </c>
      <c r="D194" s="519" t="s">
        <v>2562</v>
      </c>
      <c r="E194" s="905" t="s">
        <v>2433</v>
      </c>
      <c r="F194" s="905"/>
      <c r="G194" s="521" t="s">
        <v>1901</v>
      </c>
      <c r="H194" s="522">
        <v>9.5200000000000007E-2</v>
      </c>
      <c r="I194" s="523">
        <v>23.4</v>
      </c>
      <c r="J194" s="523">
        <v>2.2200000000000002</v>
      </c>
    </row>
    <row r="195" spans="1:10" s="358" customFormat="1" ht="14.5" thickTop="1" x14ac:dyDescent="0.3">
      <c r="A195" s="647"/>
      <c r="B195" s="647"/>
      <c r="C195" s="647"/>
      <c r="D195" s="647"/>
      <c r="E195" s="647"/>
      <c r="F195" s="647"/>
      <c r="G195" s="647"/>
      <c r="H195" s="647"/>
      <c r="I195" s="647"/>
      <c r="J195" s="647"/>
    </row>
    <row r="196" spans="1:10" x14ac:dyDescent="0.3">
      <c r="A196" s="516"/>
      <c r="B196" s="517" t="s">
        <v>15</v>
      </c>
      <c r="C196" s="516" t="s">
        <v>16</v>
      </c>
      <c r="D196" s="516" t="s">
        <v>17</v>
      </c>
      <c r="E196" s="904" t="s">
        <v>2431</v>
      </c>
      <c r="F196" s="904"/>
      <c r="G196" s="518" t="s">
        <v>18</v>
      </c>
      <c r="H196" s="517" t="s">
        <v>19</v>
      </c>
      <c r="I196" s="517" t="s">
        <v>20</v>
      </c>
      <c r="J196" s="517" t="s">
        <v>23</v>
      </c>
    </row>
    <row r="197" spans="1:10" s="358" customFormat="1" ht="50" x14ac:dyDescent="0.3">
      <c r="A197" s="642" t="s">
        <v>2432</v>
      </c>
      <c r="B197" s="643" t="s">
        <v>116</v>
      </c>
      <c r="C197" s="642" t="s">
        <v>32</v>
      </c>
      <c r="D197" s="642" t="s">
        <v>117</v>
      </c>
      <c r="E197" s="906" t="s">
        <v>2563</v>
      </c>
      <c r="F197" s="906"/>
      <c r="G197" s="644" t="s">
        <v>118</v>
      </c>
      <c r="H197" s="645">
        <v>1</v>
      </c>
      <c r="I197" s="646">
        <v>8.81</v>
      </c>
      <c r="J197" s="646">
        <v>8.81</v>
      </c>
    </row>
    <row r="198" spans="1:10" ht="25.5" customHeight="1" x14ac:dyDescent="0.3">
      <c r="A198" s="519" t="s">
        <v>2434</v>
      </c>
      <c r="B198" s="520" t="s">
        <v>2564</v>
      </c>
      <c r="C198" s="519" t="s">
        <v>32</v>
      </c>
      <c r="D198" s="519" t="s">
        <v>2565</v>
      </c>
      <c r="E198" s="905" t="s">
        <v>2465</v>
      </c>
      <c r="F198" s="905"/>
      <c r="G198" s="521" t="s">
        <v>103</v>
      </c>
      <c r="H198" s="522">
        <v>8.3000000000000001E-3</v>
      </c>
      <c r="I198" s="523">
        <v>204.43</v>
      </c>
      <c r="J198" s="523">
        <v>1.69</v>
      </c>
    </row>
    <row r="199" spans="1:10" ht="25.5" customHeight="1" x14ac:dyDescent="0.3">
      <c r="A199" s="519" t="s">
        <v>2434</v>
      </c>
      <c r="B199" s="520" t="s">
        <v>2566</v>
      </c>
      <c r="C199" s="519" t="s">
        <v>32</v>
      </c>
      <c r="D199" s="519" t="s">
        <v>2567</v>
      </c>
      <c r="E199" s="905" t="s">
        <v>2465</v>
      </c>
      <c r="F199" s="905"/>
      <c r="G199" s="521" t="s">
        <v>110</v>
      </c>
      <c r="H199" s="522">
        <v>8.5000000000000006E-3</v>
      </c>
      <c r="I199" s="523">
        <v>88.26</v>
      </c>
      <c r="J199" s="523">
        <v>0.75</v>
      </c>
    </row>
    <row r="200" spans="1:10" ht="50" x14ac:dyDescent="0.3">
      <c r="A200" s="519" t="s">
        <v>2434</v>
      </c>
      <c r="B200" s="520" t="s">
        <v>2568</v>
      </c>
      <c r="C200" s="519" t="s">
        <v>32</v>
      </c>
      <c r="D200" s="519" t="s">
        <v>2569</v>
      </c>
      <c r="E200" s="905" t="s">
        <v>2465</v>
      </c>
      <c r="F200" s="905"/>
      <c r="G200" s="521" t="s">
        <v>103</v>
      </c>
      <c r="H200" s="522">
        <v>1.6899999999999998E-2</v>
      </c>
      <c r="I200" s="523">
        <v>318.89</v>
      </c>
      <c r="J200" s="523">
        <v>5.38</v>
      </c>
    </row>
    <row r="201" spans="1:10" ht="50.5" thickBot="1" x14ac:dyDescent="0.35">
      <c r="A201" s="519" t="s">
        <v>2434</v>
      </c>
      <c r="B201" s="520" t="s">
        <v>2570</v>
      </c>
      <c r="C201" s="519" t="s">
        <v>32</v>
      </c>
      <c r="D201" s="519" t="s">
        <v>2571</v>
      </c>
      <c r="E201" s="905" t="s">
        <v>2465</v>
      </c>
      <c r="F201" s="905"/>
      <c r="G201" s="521" t="s">
        <v>110</v>
      </c>
      <c r="H201" s="522">
        <v>1.0999999999999999E-2</v>
      </c>
      <c r="I201" s="523">
        <v>90.58</v>
      </c>
      <c r="J201" s="523">
        <v>0.99</v>
      </c>
    </row>
    <row r="202" spans="1:10" s="358" customFormat="1" ht="14.5" thickTop="1" x14ac:dyDescent="0.3">
      <c r="A202" s="647"/>
      <c r="B202" s="647"/>
      <c r="C202" s="647"/>
      <c r="D202" s="647"/>
      <c r="E202" s="647"/>
      <c r="F202" s="647"/>
      <c r="G202" s="647"/>
      <c r="H202" s="647"/>
      <c r="I202" s="647"/>
      <c r="J202" s="647"/>
    </row>
    <row r="203" spans="1:10" x14ac:dyDescent="0.3">
      <c r="A203" s="516"/>
      <c r="B203" s="517" t="s">
        <v>15</v>
      </c>
      <c r="C203" s="516" t="s">
        <v>16</v>
      </c>
      <c r="D203" s="516" t="s">
        <v>17</v>
      </c>
      <c r="E203" s="904" t="s">
        <v>2431</v>
      </c>
      <c r="F203" s="904"/>
      <c r="G203" s="518" t="s">
        <v>18</v>
      </c>
      <c r="H203" s="517" t="s">
        <v>19</v>
      </c>
      <c r="I203" s="517" t="s">
        <v>20</v>
      </c>
      <c r="J203" s="517" t="s">
        <v>23</v>
      </c>
    </row>
    <row r="204" spans="1:10" s="358" customFormat="1" ht="25.5" customHeight="1" x14ac:dyDescent="0.3">
      <c r="A204" s="642" t="s">
        <v>2432</v>
      </c>
      <c r="B204" s="643" t="s">
        <v>119</v>
      </c>
      <c r="C204" s="642" t="s">
        <v>32</v>
      </c>
      <c r="D204" s="642" t="s">
        <v>120</v>
      </c>
      <c r="E204" s="906" t="s">
        <v>2563</v>
      </c>
      <c r="F204" s="906"/>
      <c r="G204" s="644" t="s">
        <v>121</v>
      </c>
      <c r="H204" s="645">
        <v>1</v>
      </c>
      <c r="I204" s="646">
        <v>2.1</v>
      </c>
      <c r="J204" s="646">
        <v>2.1</v>
      </c>
    </row>
    <row r="205" spans="1:10" ht="50" x14ac:dyDescent="0.3">
      <c r="A205" s="519" t="s">
        <v>2434</v>
      </c>
      <c r="B205" s="520" t="s">
        <v>2568</v>
      </c>
      <c r="C205" s="519" t="s">
        <v>32</v>
      </c>
      <c r="D205" s="519" t="s">
        <v>2569</v>
      </c>
      <c r="E205" s="905" t="s">
        <v>2465</v>
      </c>
      <c r="F205" s="905"/>
      <c r="G205" s="521" t="s">
        <v>103</v>
      </c>
      <c r="H205" s="522">
        <v>5.8999999999999999E-3</v>
      </c>
      <c r="I205" s="523">
        <v>318.89</v>
      </c>
      <c r="J205" s="523">
        <v>1.88</v>
      </c>
    </row>
    <row r="206" spans="1:10" ht="50.5" thickBot="1" x14ac:dyDescent="0.35">
      <c r="A206" s="519" t="s">
        <v>2434</v>
      </c>
      <c r="B206" s="520" t="s">
        <v>2570</v>
      </c>
      <c r="C206" s="519" t="s">
        <v>32</v>
      </c>
      <c r="D206" s="519" t="s">
        <v>2571</v>
      </c>
      <c r="E206" s="905" t="s">
        <v>2465</v>
      </c>
      <c r="F206" s="905"/>
      <c r="G206" s="521" t="s">
        <v>110</v>
      </c>
      <c r="H206" s="522">
        <v>2.5000000000000001E-3</v>
      </c>
      <c r="I206" s="523">
        <v>90.58</v>
      </c>
      <c r="J206" s="523">
        <v>0.22</v>
      </c>
    </row>
    <row r="207" spans="1:10" s="358" customFormat="1" ht="14.5" thickTop="1" x14ac:dyDescent="0.3">
      <c r="A207" s="647"/>
      <c r="B207" s="647"/>
      <c r="C207" s="647"/>
      <c r="D207" s="647"/>
      <c r="E207" s="647"/>
      <c r="F207" s="647"/>
      <c r="G207" s="647"/>
      <c r="H207" s="647"/>
      <c r="I207" s="647"/>
      <c r="J207" s="647"/>
    </row>
    <row r="208" spans="1:10" x14ac:dyDescent="0.3">
      <c r="A208" s="516"/>
      <c r="B208" s="517" t="s">
        <v>15</v>
      </c>
      <c r="C208" s="516" t="s">
        <v>16</v>
      </c>
      <c r="D208" s="516" t="s">
        <v>17</v>
      </c>
      <c r="E208" s="904" t="s">
        <v>2431</v>
      </c>
      <c r="F208" s="904"/>
      <c r="G208" s="518" t="s">
        <v>18</v>
      </c>
      <c r="H208" s="517" t="s">
        <v>19</v>
      </c>
      <c r="I208" s="517" t="s">
        <v>20</v>
      </c>
      <c r="J208" s="517" t="s">
        <v>23</v>
      </c>
    </row>
    <row r="209" spans="1:10" s="358" customFormat="1" ht="38.25" customHeight="1" x14ac:dyDescent="0.3">
      <c r="A209" s="642" t="s">
        <v>2432</v>
      </c>
      <c r="B209" s="643" t="s">
        <v>122</v>
      </c>
      <c r="C209" s="642" t="s">
        <v>32</v>
      </c>
      <c r="D209" s="642" t="s">
        <v>123</v>
      </c>
      <c r="E209" s="906" t="s">
        <v>2563</v>
      </c>
      <c r="F209" s="906"/>
      <c r="G209" s="644" t="s">
        <v>121</v>
      </c>
      <c r="H209" s="645">
        <v>1</v>
      </c>
      <c r="I209" s="646">
        <v>0.85</v>
      </c>
      <c r="J209" s="646">
        <v>0.85</v>
      </c>
    </row>
    <row r="210" spans="1:10" ht="50" x14ac:dyDescent="0.3">
      <c r="A210" s="519" t="s">
        <v>2434</v>
      </c>
      <c r="B210" s="520" t="s">
        <v>2568</v>
      </c>
      <c r="C210" s="519" t="s">
        <v>32</v>
      </c>
      <c r="D210" s="519" t="s">
        <v>2569</v>
      </c>
      <c r="E210" s="905" t="s">
        <v>2465</v>
      </c>
      <c r="F210" s="905"/>
      <c r="G210" s="521" t="s">
        <v>103</v>
      </c>
      <c r="H210" s="522">
        <v>2.3999999999999998E-3</v>
      </c>
      <c r="I210" s="523">
        <v>318.89</v>
      </c>
      <c r="J210" s="523">
        <v>0.76</v>
      </c>
    </row>
    <row r="211" spans="1:10" ht="50.5" thickBot="1" x14ac:dyDescent="0.35">
      <c r="A211" s="519" t="s">
        <v>2434</v>
      </c>
      <c r="B211" s="520" t="s">
        <v>2570</v>
      </c>
      <c r="C211" s="519" t="s">
        <v>32</v>
      </c>
      <c r="D211" s="519" t="s">
        <v>2571</v>
      </c>
      <c r="E211" s="905" t="s">
        <v>2465</v>
      </c>
      <c r="F211" s="905"/>
      <c r="G211" s="521" t="s">
        <v>110</v>
      </c>
      <c r="H211" s="522">
        <v>1E-3</v>
      </c>
      <c r="I211" s="523">
        <v>90.58</v>
      </c>
      <c r="J211" s="523">
        <v>0.09</v>
      </c>
    </row>
    <row r="212" spans="1:10" s="358" customFormat="1" ht="14.5" thickTop="1" x14ac:dyDescent="0.3">
      <c r="A212" s="647"/>
      <c r="B212" s="647"/>
      <c r="C212" s="647"/>
      <c r="D212" s="647"/>
      <c r="E212" s="647"/>
      <c r="F212" s="647"/>
      <c r="G212" s="647"/>
      <c r="H212" s="647"/>
      <c r="I212" s="647"/>
      <c r="J212" s="647"/>
    </row>
    <row r="213" spans="1:10" x14ac:dyDescent="0.3">
      <c r="A213" s="516"/>
      <c r="B213" s="517" t="s">
        <v>15</v>
      </c>
      <c r="C213" s="516" t="s">
        <v>16</v>
      </c>
      <c r="D213" s="516" t="s">
        <v>17</v>
      </c>
      <c r="E213" s="904" t="s">
        <v>2431</v>
      </c>
      <c r="F213" s="904"/>
      <c r="G213" s="518" t="s">
        <v>18</v>
      </c>
      <c r="H213" s="517" t="s">
        <v>19</v>
      </c>
      <c r="I213" s="517" t="s">
        <v>20</v>
      </c>
      <c r="J213" s="517" t="s">
        <v>23</v>
      </c>
    </row>
    <row r="214" spans="1:10" s="358" customFormat="1" x14ac:dyDescent="0.3">
      <c r="A214" s="642" t="s">
        <v>2432</v>
      </c>
      <c r="B214" s="643" t="s">
        <v>124</v>
      </c>
      <c r="C214" s="642" t="s">
        <v>125</v>
      </c>
      <c r="D214" s="642" t="s">
        <v>126</v>
      </c>
      <c r="E214" s="906" t="s">
        <v>1328</v>
      </c>
      <c r="F214" s="906"/>
      <c r="G214" s="644" t="s">
        <v>118</v>
      </c>
      <c r="H214" s="645">
        <v>1</v>
      </c>
      <c r="I214" s="646">
        <v>7.29</v>
      </c>
      <c r="J214" s="646">
        <v>7.29</v>
      </c>
    </row>
    <row r="215" spans="1:10" ht="15" customHeight="1" x14ac:dyDescent="0.3">
      <c r="A215" s="904" t="s">
        <v>2418</v>
      </c>
      <c r="B215" s="903" t="s">
        <v>15</v>
      </c>
      <c r="C215" s="904" t="s">
        <v>16</v>
      </c>
      <c r="D215" s="904" t="s">
        <v>2466</v>
      </c>
      <c r="E215" s="903" t="s">
        <v>2467</v>
      </c>
      <c r="F215" s="908" t="s">
        <v>2468</v>
      </c>
      <c r="G215" s="903"/>
      <c r="H215" s="518" t="s">
        <v>2469</v>
      </c>
      <c r="I215" s="903" t="s">
        <v>2470</v>
      </c>
      <c r="J215"/>
    </row>
    <row r="216" spans="1:10" x14ac:dyDescent="0.3">
      <c r="A216" s="903"/>
      <c r="B216" s="903"/>
      <c r="C216" s="903"/>
      <c r="D216" s="903"/>
      <c r="E216" s="903"/>
      <c r="F216" s="517" t="s">
        <v>2471</v>
      </c>
      <c r="G216" s="517" t="s">
        <v>2472</v>
      </c>
      <c r="H216" s="517" t="s">
        <v>2471</v>
      </c>
      <c r="I216" s="903"/>
      <c r="J216"/>
    </row>
    <row r="217" spans="1:10" x14ac:dyDescent="0.3">
      <c r="A217" s="519" t="s">
        <v>2437</v>
      </c>
      <c r="B217" s="520" t="s">
        <v>2572</v>
      </c>
      <c r="C217" s="519" t="s">
        <v>125</v>
      </c>
      <c r="D217" s="519" t="s">
        <v>2573</v>
      </c>
      <c r="E217" s="522">
        <v>1</v>
      </c>
      <c r="F217" s="523">
        <v>1</v>
      </c>
      <c r="G217" s="523">
        <v>0</v>
      </c>
      <c r="H217" s="524">
        <v>283.4787</v>
      </c>
      <c r="I217" s="524">
        <v>283.4787</v>
      </c>
      <c r="J217"/>
    </row>
    <row r="218" spans="1:10" ht="14.25" customHeight="1" x14ac:dyDescent="0.3">
      <c r="A218" s="902"/>
      <c r="B218" s="902"/>
      <c r="C218" s="902"/>
      <c r="D218" s="902"/>
      <c r="E218" s="902"/>
      <c r="F218" s="902" t="s">
        <v>2475</v>
      </c>
      <c r="G218" s="902"/>
      <c r="H218" s="902"/>
      <c r="I218" s="525">
        <v>283.4787</v>
      </c>
      <c r="J218"/>
    </row>
    <row r="219" spans="1:10" ht="14.25" customHeight="1" x14ac:dyDescent="0.3">
      <c r="A219" s="902"/>
      <c r="B219" s="902"/>
      <c r="C219" s="902"/>
      <c r="D219" s="902"/>
      <c r="E219" s="902"/>
      <c r="F219" s="902" t="s">
        <v>2476</v>
      </c>
      <c r="G219" s="902"/>
      <c r="H219" s="902"/>
      <c r="I219" s="525">
        <v>283.4787</v>
      </c>
      <c r="J219"/>
    </row>
    <row r="220" spans="1:10" ht="14.25" customHeight="1" x14ac:dyDescent="0.3">
      <c r="A220" s="902"/>
      <c r="B220" s="902"/>
      <c r="C220" s="902"/>
      <c r="D220" s="902"/>
      <c r="E220" s="902"/>
      <c r="F220" s="902" t="s">
        <v>2477</v>
      </c>
      <c r="G220" s="902"/>
      <c r="H220" s="902"/>
      <c r="I220" s="525">
        <v>2.24E-2</v>
      </c>
      <c r="J220"/>
    </row>
    <row r="221" spans="1:10" x14ac:dyDescent="0.3">
      <c r="A221" s="902"/>
      <c r="B221" s="902"/>
      <c r="C221" s="902"/>
      <c r="D221" s="902"/>
      <c r="E221" s="902"/>
      <c r="F221" s="902" t="s">
        <v>2478</v>
      </c>
      <c r="G221" s="902"/>
      <c r="H221" s="902"/>
      <c r="I221" s="525">
        <v>2.7799999999999998E-2</v>
      </c>
      <c r="J221"/>
    </row>
    <row r="222" spans="1:10" ht="14.25" customHeight="1" x14ac:dyDescent="0.3">
      <c r="A222" s="902"/>
      <c r="B222" s="902"/>
      <c r="C222" s="902"/>
      <c r="D222" s="902"/>
      <c r="E222" s="902"/>
      <c r="F222" s="902" t="s">
        <v>2479</v>
      </c>
      <c r="G222" s="902"/>
      <c r="H222" s="902"/>
      <c r="I222" s="525">
        <v>228.21</v>
      </c>
      <c r="J222"/>
    </row>
    <row r="223" spans="1:10" ht="14.25" customHeight="1" x14ac:dyDescent="0.3">
      <c r="A223" s="902"/>
      <c r="B223" s="902"/>
      <c r="C223" s="902"/>
      <c r="D223" s="902"/>
      <c r="E223" s="902"/>
      <c r="F223" s="902" t="s">
        <v>2480</v>
      </c>
      <c r="G223" s="902"/>
      <c r="H223" s="902"/>
      <c r="I223" s="525">
        <v>1.2422</v>
      </c>
      <c r="J223"/>
    </row>
    <row r="224" spans="1:10" ht="15" customHeight="1" x14ac:dyDescent="0.3">
      <c r="A224" s="516" t="s">
        <v>2574</v>
      </c>
      <c r="B224" s="517" t="s">
        <v>16</v>
      </c>
      <c r="C224" s="516" t="s">
        <v>15</v>
      </c>
      <c r="D224" s="516" t="s">
        <v>2575</v>
      </c>
      <c r="E224" s="517" t="s">
        <v>2467</v>
      </c>
      <c r="F224" s="517" t="s">
        <v>2576</v>
      </c>
      <c r="G224" s="903" t="s">
        <v>2577</v>
      </c>
      <c r="H224" s="903"/>
      <c r="I224" s="517" t="s">
        <v>2470</v>
      </c>
      <c r="J224"/>
    </row>
    <row r="225" spans="1:10" ht="25" x14ac:dyDescent="0.3">
      <c r="A225" s="519" t="s">
        <v>2578</v>
      </c>
      <c r="B225" s="520" t="s">
        <v>32</v>
      </c>
      <c r="C225" s="519">
        <v>88316</v>
      </c>
      <c r="D225" s="519" t="s">
        <v>2562</v>
      </c>
      <c r="E225" s="522">
        <v>1.75277E-2</v>
      </c>
      <c r="F225" s="521" t="s">
        <v>1901</v>
      </c>
      <c r="G225" s="907">
        <v>23.4</v>
      </c>
      <c r="H225" s="907"/>
      <c r="I225" s="524">
        <v>0.41010000000000002</v>
      </c>
      <c r="J225"/>
    </row>
    <row r="226" spans="1:10" ht="14.25" customHeight="1" x14ac:dyDescent="0.3">
      <c r="A226" s="902"/>
      <c r="B226" s="902"/>
      <c r="C226" s="902"/>
      <c r="D226" s="902"/>
      <c r="E226" s="902"/>
      <c r="F226" s="902" t="s">
        <v>2579</v>
      </c>
      <c r="G226" s="902"/>
      <c r="H226" s="902"/>
      <c r="I226" s="525">
        <v>0.41010000000000002</v>
      </c>
      <c r="J226"/>
    </row>
    <row r="227" spans="1:10" ht="15" customHeight="1" x14ac:dyDescent="0.3">
      <c r="A227" s="516" t="s">
        <v>2580</v>
      </c>
      <c r="B227" s="517" t="s">
        <v>16</v>
      </c>
      <c r="C227" s="516" t="s">
        <v>2437</v>
      </c>
      <c r="D227" s="516" t="s">
        <v>2581</v>
      </c>
      <c r="E227" s="517" t="s">
        <v>15</v>
      </c>
      <c r="F227" s="517" t="s">
        <v>2467</v>
      </c>
      <c r="G227" s="518" t="s">
        <v>2576</v>
      </c>
      <c r="H227" s="517" t="s">
        <v>2577</v>
      </c>
      <c r="I227" s="517" t="s">
        <v>2470</v>
      </c>
      <c r="J227"/>
    </row>
    <row r="228" spans="1:10" ht="25" x14ac:dyDescent="0.3">
      <c r="A228" s="519" t="s">
        <v>2582</v>
      </c>
      <c r="B228" s="520" t="s">
        <v>125</v>
      </c>
      <c r="C228" s="519" t="s">
        <v>2583</v>
      </c>
      <c r="D228" s="519" t="s">
        <v>2584</v>
      </c>
      <c r="E228" s="520">
        <v>5915399</v>
      </c>
      <c r="F228" s="522">
        <v>2.0630000000000002</v>
      </c>
      <c r="G228" s="521" t="s">
        <v>374</v>
      </c>
      <c r="H228" s="524">
        <v>2.72</v>
      </c>
      <c r="I228" s="524">
        <v>5.6113999999999997</v>
      </c>
      <c r="J228"/>
    </row>
    <row r="229" spans="1:10" ht="14.25" customHeight="1" x14ac:dyDescent="0.3">
      <c r="A229" s="902"/>
      <c r="B229" s="902"/>
      <c r="C229" s="902"/>
      <c r="D229" s="902"/>
      <c r="E229" s="902"/>
      <c r="F229" s="902" t="s">
        <v>2585</v>
      </c>
      <c r="G229" s="902"/>
      <c r="H229" s="902"/>
      <c r="I229" s="525">
        <v>5.6113999999999997</v>
      </c>
      <c r="J229"/>
    </row>
    <row r="230" spans="1:10" ht="15" customHeight="1" x14ac:dyDescent="0.3">
      <c r="A230" s="516" t="s">
        <v>2586</v>
      </c>
      <c r="B230" s="517" t="s">
        <v>16</v>
      </c>
      <c r="C230" s="516" t="s">
        <v>2437</v>
      </c>
      <c r="D230" s="516" t="s">
        <v>2587</v>
      </c>
      <c r="E230" s="517" t="s">
        <v>2467</v>
      </c>
      <c r="F230" s="517" t="s">
        <v>2576</v>
      </c>
      <c r="G230" s="908" t="s">
        <v>2588</v>
      </c>
      <c r="H230" s="903"/>
      <c r="I230" s="517" t="s">
        <v>2470</v>
      </c>
      <c r="J230"/>
    </row>
    <row r="231" spans="1:10" x14ac:dyDescent="0.3">
      <c r="A231" s="518"/>
      <c r="B231" s="518"/>
      <c r="C231" s="518"/>
      <c r="D231" s="518"/>
      <c r="E231" s="518"/>
      <c r="F231" s="518"/>
      <c r="G231" s="518" t="s">
        <v>2589</v>
      </c>
      <c r="H231" s="518" t="s">
        <v>2590</v>
      </c>
      <c r="I231" s="518"/>
      <c r="J231"/>
    </row>
    <row r="232" spans="1:10" ht="37.5" x14ac:dyDescent="0.3">
      <c r="A232" s="519" t="s">
        <v>2587</v>
      </c>
      <c r="B232" s="520" t="s">
        <v>125</v>
      </c>
      <c r="C232" s="519" t="s">
        <v>2583</v>
      </c>
      <c r="D232" s="519" t="s">
        <v>2591</v>
      </c>
      <c r="E232" s="522">
        <v>2.0630000000000002</v>
      </c>
      <c r="F232" s="521" t="s">
        <v>2592</v>
      </c>
      <c r="G232" s="520" t="s">
        <v>4458</v>
      </c>
      <c r="H232" s="520" t="s">
        <v>4459</v>
      </c>
      <c r="I232" s="524">
        <v>0</v>
      </c>
      <c r="J232"/>
    </row>
    <row r="233" spans="1:10" ht="15" customHeight="1" thickBot="1" x14ac:dyDescent="0.35">
      <c r="A233" s="902"/>
      <c r="B233" s="902"/>
      <c r="C233" s="902"/>
      <c r="D233" s="902"/>
      <c r="E233" s="902"/>
      <c r="F233" s="902" t="s">
        <v>2593</v>
      </c>
      <c r="G233" s="902"/>
      <c r="H233" s="902"/>
      <c r="I233" s="525">
        <v>0</v>
      </c>
      <c r="J233"/>
    </row>
    <row r="234" spans="1:10" s="358" customFormat="1" ht="14.5" thickTop="1" x14ac:dyDescent="0.3">
      <c r="A234" s="647"/>
      <c r="B234" s="647"/>
      <c r="C234" s="647"/>
      <c r="D234" s="647"/>
      <c r="E234" s="647"/>
      <c r="F234" s="647"/>
      <c r="G234" s="647"/>
      <c r="H234" s="647"/>
      <c r="I234" s="647"/>
      <c r="J234" s="647"/>
    </row>
    <row r="235" spans="1:10" x14ac:dyDescent="0.3">
      <c r="A235" s="516"/>
      <c r="B235" s="517" t="s">
        <v>15</v>
      </c>
      <c r="C235" s="516" t="s">
        <v>16</v>
      </c>
      <c r="D235" s="516" t="s">
        <v>17</v>
      </c>
      <c r="E235" s="904" t="s">
        <v>2431</v>
      </c>
      <c r="F235" s="904"/>
      <c r="G235" s="518" t="s">
        <v>18</v>
      </c>
      <c r="H235" s="517" t="s">
        <v>19</v>
      </c>
      <c r="I235" s="517" t="s">
        <v>20</v>
      </c>
      <c r="J235" s="517" t="s">
        <v>23</v>
      </c>
    </row>
    <row r="236" spans="1:10" s="358" customFormat="1" ht="50" x14ac:dyDescent="0.3">
      <c r="A236" s="642" t="s">
        <v>2432</v>
      </c>
      <c r="B236" s="643" t="s">
        <v>127</v>
      </c>
      <c r="C236" s="642" t="s">
        <v>32</v>
      </c>
      <c r="D236" s="642" t="s">
        <v>128</v>
      </c>
      <c r="E236" s="906" t="s">
        <v>2563</v>
      </c>
      <c r="F236" s="906"/>
      <c r="G236" s="644" t="s">
        <v>118</v>
      </c>
      <c r="H236" s="645">
        <v>1</v>
      </c>
      <c r="I236" s="646">
        <v>6.53</v>
      </c>
      <c r="J236" s="646">
        <v>6.53</v>
      </c>
    </row>
    <row r="237" spans="1:10" ht="25.5" customHeight="1" x14ac:dyDescent="0.3">
      <c r="A237" s="519" t="s">
        <v>2434</v>
      </c>
      <c r="B237" s="520" t="s">
        <v>2594</v>
      </c>
      <c r="C237" s="519" t="s">
        <v>32</v>
      </c>
      <c r="D237" s="519" t="s">
        <v>2595</v>
      </c>
      <c r="E237" s="905" t="s">
        <v>2465</v>
      </c>
      <c r="F237" s="905"/>
      <c r="G237" s="521" t="s">
        <v>103</v>
      </c>
      <c r="H237" s="522">
        <v>4.1999999999999997E-3</v>
      </c>
      <c r="I237" s="523">
        <v>242.79</v>
      </c>
      <c r="J237" s="523">
        <v>1.01</v>
      </c>
    </row>
    <row r="238" spans="1:10" ht="25.5" customHeight="1" x14ac:dyDescent="0.3">
      <c r="A238" s="519" t="s">
        <v>2434</v>
      </c>
      <c r="B238" s="520" t="s">
        <v>2596</v>
      </c>
      <c r="C238" s="519" t="s">
        <v>32</v>
      </c>
      <c r="D238" s="519" t="s">
        <v>2597</v>
      </c>
      <c r="E238" s="905" t="s">
        <v>2465</v>
      </c>
      <c r="F238" s="905"/>
      <c r="G238" s="521" t="s">
        <v>110</v>
      </c>
      <c r="H238" s="522">
        <v>6.7000000000000002E-3</v>
      </c>
      <c r="I238" s="523">
        <v>95.97</v>
      </c>
      <c r="J238" s="523">
        <v>0.64</v>
      </c>
    </row>
    <row r="239" spans="1:10" ht="50" x14ac:dyDescent="0.3">
      <c r="A239" s="519" t="s">
        <v>2434</v>
      </c>
      <c r="B239" s="520" t="s">
        <v>2568</v>
      </c>
      <c r="C239" s="519" t="s">
        <v>32</v>
      </c>
      <c r="D239" s="519" t="s">
        <v>2569</v>
      </c>
      <c r="E239" s="905" t="s">
        <v>2465</v>
      </c>
      <c r="F239" s="905"/>
      <c r="G239" s="521" t="s">
        <v>103</v>
      </c>
      <c r="H239" s="522">
        <v>1.2699999999999999E-2</v>
      </c>
      <c r="I239" s="523">
        <v>318.89</v>
      </c>
      <c r="J239" s="523">
        <v>4.04</v>
      </c>
    </row>
    <row r="240" spans="1:10" ht="50.5" thickBot="1" x14ac:dyDescent="0.35">
      <c r="A240" s="519" t="s">
        <v>2434</v>
      </c>
      <c r="B240" s="520" t="s">
        <v>2570</v>
      </c>
      <c r="C240" s="519" t="s">
        <v>32</v>
      </c>
      <c r="D240" s="519" t="s">
        <v>2571</v>
      </c>
      <c r="E240" s="905" t="s">
        <v>2465</v>
      </c>
      <c r="F240" s="905"/>
      <c r="G240" s="521" t="s">
        <v>110</v>
      </c>
      <c r="H240" s="522">
        <v>9.2999999999999992E-3</v>
      </c>
      <c r="I240" s="523">
        <v>90.58</v>
      </c>
      <c r="J240" s="523">
        <v>0.84</v>
      </c>
    </row>
    <row r="241" spans="1:10" s="358" customFormat="1" ht="14.5" thickTop="1" x14ac:dyDescent="0.3">
      <c r="A241" s="647"/>
      <c r="B241" s="647"/>
      <c r="C241" s="647"/>
      <c r="D241" s="647"/>
      <c r="E241" s="647"/>
      <c r="F241" s="647"/>
      <c r="G241" s="647"/>
      <c r="H241" s="647"/>
      <c r="I241" s="647"/>
      <c r="J241" s="647"/>
    </row>
    <row r="242" spans="1:10" x14ac:dyDescent="0.3">
      <c r="A242" s="516"/>
      <c r="B242" s="517" t="s">
        <v>15</v>
      </c>
      <c r="C242" s="516" t="s">
        <v>16</v>
      </c>
      <c r="D242" s="516" t="s">
        <v>17</v>
      </c>
      <c r="E242" s="904" t="s">
        <v>2431</v>
      </c>
      <c r="F242" s="904"/>
      <c r="G242" s="518" t="s">
        <v>18</v>
      </c>
      <c r="H242" s="517" t="s">
        <v>19</v>
      </c>
      <c r="I242" s="517" t="s">
        <v>20</v>
      </c>
      <c r="J242" s="517" t="s">
        <v>23</v>
      </c>
    </row>
    <row r="243" spans="1:10" s="358" customFormat="1" x14ac:dyDescent="0.3">
      <c r="A243" s="642" t="s">
        <v>2432</v>
      </c>
      <c r="B243" s="643" t="s">
        <v>129</v>
      </c>
      <c r="C243" s="642" t="s">
        <v>125</v>
      </c>
      <c r="D243" s="642" t="s">
        <v>130</v>
      </c>
      <c r="E243" s="906" t="s">
        <v>1328</v>
      </c>
      <c r="F243" s="906"/>
      <c r="G243" s="644" t="s">
        <v>118</v>
      </c>
      <c r="H243" s="645">
        <v>1</v>
      </c>
      <c r="I243" s="646">
        <v>1.97</v>
      </c>
      <c r="J243" s="646">
        <v>1.97</v>
      </c>
    </row>
    <row r="244" spans="1:10" ht="15" customHeight="1" x14ac:dyDescent="0.3">
      <c r="A244" s="904" t="s">
        <v>2418</v>
      </c>
      <c r="B244" s="903" t="s">
        <v>15</v>
      </c>
      <c r="C244" s="904" t="s">
        <v>16</v>
      </c>
      <c r="D244" s="904" t="s">
        <v>2466</v>
      </c>
      <c r="E244" s="903" t="s">
        <v>2467</v>
      </c>
      <c r="F244" s="908" t="s">
        <v>2468</v>
      </c>
      <c r="G244" s="903"/>
      <c r="H244" s="518" t="s">
        <v>2469</v>
      </c>
      <c r="I244" s="903" t="s">
        <v>2470</v>
      </c>
      <c r="J244"/>
    </row>
    <row r="245" spans="1:10" x14ac:dyDescent="0.3">
      <c r="A245" s="903"/>
      <c r="B245" s="903"/>
      <c r="C245" s="903"/>
      <c r="D245" s="903"/>
      <c r="E245" s="903"/>
      <c r="F245" s="517" t="s">
        <v>2471</v>
      </c>
      <c r="G245" s="517" t="s">
        <v>2472</v>
      </c>
      <c r="H245" s="517" t="s">
        <v>2471</v>
      </c>
      <c r="I245" s="903"/>
      <c r="J245"/>
    </row>
    <row r="246" spans="1:10" x14ac:dyDescent="0.3">
      <c r="A246" s="519" t="s">
        <v>2437</v>
      </c>
      <c r="B246" s="520" t="s">
        <v>2598</v>
      </c>
      <c r="C246" s="519" t="s">
        <v>125</v>
      </c>
      <c r="D246" s="519" t="s">
        <v>2599</v>
      </c>
      <c r="E246" s="522">
        <v>1</v>
      </c>
      <c r="F246" s="523">
        <v>1</v>
      </c>
      <c r="G246" s="523">
        <v>0</v>
      </c>
      <c r="H246" s="524">
        <v>318.10449999999997</v>
      </c>
      <c r="I246" s="524">
        <v>318.10449999999997</v>
      </c>
      <c r="J246"/>
    </row>
    <row r="247" spans="1:10" ht="14.25" customHeight="1" x14ac:dyDescent="0.3">
      <c r="A247" s="902"/>
      <c r="B247" s="902"/>
      <c r="C247" s="902"/>
      <c r="D247" s="902"/>
      <c r="E247" s="902"/>
      <c r="F247" s="902" t="s">
        <v>2475</v>
      </c>
      <c r="G247" s="902"/>
      <c r="H247" s="902"/>
      <c r="I247" s="525">
        <v>318.10449999999997</v>
      </c>
      <c r="J247"/>
    </row>
    <row r="248" spans="1:10" ht="14.25" customHeight="1" x14ac:dyDescent="0.3">
      <c r="A248" s="902"/>
      <c r="B248" s="902"/>
      <c r="C248" s="902"/>
      <c r="D248" s="902"/>
      <c r="E248" s="902"/>
      <c r="F248" s="902" t="s">
        <v>2476</v>
      </c>
      <c r="G248" s="902"/>
      <c r="H248" s="902"/>
      <c r="I248" s="525">
        <v>318.10449999999997</v>
      </c>
      <c r="J248"/>
    </row>
    <row r="249" spans="1:10" ht="14.25" customHeight="1" x14ac:dyDescent="0.3">
      <c r="A249" s="902"/>
      <c r="B249" s="902"/>
      <c r="C249" s="902"/>
      <c r="D249" s="902"/>
      <c r="E249" s="902"/>
      <c r="F249" s="902" t="s">
        <v>2477</v>
      </c>
      <c r="G249" s="902"/>
      <c r="H249" s="902"/>
      <c r="I249" s="525">
        <v>2.24E-2</v>
      </c>
      <c r="J249"/>
    </row>
    <row r="250" spans="1:10" x14ac:dyDescent="0.3">
      <c r="A250" s="902"/>
      <c r="B250" s="902"/>
      <c r="C250" s="902"/>
      <c r="D250" s="902"/>
      <c r="E250" s="902"/>
      <c r="F250" s="902" t="s">
        <v>2478</v>
      </c>
      <c r="G250" s="902"/>
      <c r="H250" s="902"/>
      <c r="I250" s="525">
        <v>4.0300000000000002E-2</v>
      </c>
      <c r="J250"/>
    </row>
    <row r="251" spans="1:10" ht="14.25" customHeight="1" x14ac:dyDescent="0.3">
      <c r="A251" s="902"/>
      <c r="B251" s="902"/>
      <c r="C251" s="902"/>
      <c r="D251" s="902"/>
      <c r="E251" s="902"/>
      <c r="F251" s="902" t="s">
        <v>2479</v>
      </c>
      <c r="G251" s="902"/>
      <c r="H251" s="902"/>
      <c r="I251" s="525">
        <v>176.81</v>
      </c>
      <c r="J251"/>
    </row>
    <row r="252" spans="1:10" ht="14.25" customHeight="1" x14ac:dyDescent="0.3">
      <c r="A252" s="902"/>
      <c r="B252" s="902"/>
      <c r="C252" s="902"/>
      <c r="D252" s="902"/>
      <c r="E252" s="902"/>
      <c r="F252" s="902" t="s">
        <v>2480</v>
      </c>
      <c r="G252" s="902"/>
      <c r="H252" s="902"/>
      <c r="I252" s="525">
        <v>1.7990999999999999</v>
      </c>
      <c r="J252"/>
    </row>
    <row r="253" spans="1:10" ht="15" customHeight="1" x14ac:dyDescent="0.3">
      <c r="A253" s="516" t="s">
        <v>2574</v>
      </c>
      <c r="B253" s="517" t="s">
        <v>16</v>
      </c>
      <c r="C253" s="516" t="s">
        <v>15</v>
      </c>
      <c r="D253" s="516" t="s">
        <v>2575</v>
      </c>
      <c r="E253" s="517" t="s">
        <v>2467</v>
      </c>
      <c r="F253" s="517" t="s">
        <v>2576</v>
      </c>
      <c r="G253" s="903" t="s">
        <v>2577</v>
      </c>
      <c r="H253" s="903"/>
      <c r="I253" s="517" t="s">
        <v>2470</v>
      </c>
      <c r="J253"/>
    </row>
    <row r="254" spans="1:10" ht="25" x14ac:dyDescent="0.3">
      <c r="A254" s="519" t="s">
        <v>2578</v>
      </c>
      <c r="B254" s="520" t="s">
        <v>32</v>
      </c>
      <c r="C254" s="519">
        <v>88316</v>
      </c>
      <c r="D254" s="519" t="s">
        <v>2562</v>
      </c>
      <c r="E254" s="522">
        <v>5.6557999999999999E-3</v>
      </c>
      <c r="F254" s="521" t="s">
        <v>1901</v>
      </c>
      <c r="G254" s="907">
        <v>23.4</v>
      </c>
      <c r="H254" s="907"/>
      <c r="I254" s="524">
        <v>0.1323</v>
      </c>
      <c r="J254"/>
    </row>
    <row r="255" spans="1:10" ht="15" customHeight="1" thickBot="1" x14ac:dyDescent="0.35">
      <c r="A255" s="902"/>
      <c r="B255" s="902"/>
      <c r="C255" s="902"/>
      <c r="D255" s="902"/>
      <c r="E255" s="902"/>
      <c r="F255" s="902" t="s">
        <v>2579</v>
      </c>
      <c r="G255" s="902"/>
      <c r="H255" s="902"/>
      <c r="I255" s="525">
        <v>0.1323</v>
      </c>
      <c r="J255"/>
    </row>
    <row r="256" spans="1:10" s="358" customFormat="1" ht="14.5" thickTop="1" x14ac:dyDescent="0.3">
      <c r="A256" s="647"/>
      <c r="B256" s="647"/>
      <c r="C256" s="647"/>
      <c r="D256" s="647"/>
      <c r="E256" s="647"/>
      <c r="F256" s="647"/>
      <c r="G256" s="647"/>
      <c r="H256" s="647"/>
      <c r="I256" s="647"/>
      <c r="J256" s="647"/>
    </row>
    <row r="257" spans="1:10" x14ac:dyDescent="0.3">
      <c r="A257" s="516"/>
      <c r="B257" s="517" t="s">
        <v>15</v>
      </c>
      <c r="C257" s="516" t="s">
        <v>16</v>
      </c>
      <c r="D257" s="516" t="s">
        <v>17</v>
      </c>
      <c r="E257" s="904" t="s">
        <v>2431</v>
      </c>
      <c r="F257" s="904"/>
      <c r="G257" s="518" t="s">
        <v>18</v>
      </c>
      <c r="H257" s="517" t="s">
        <v>19</v>
      </c>
      <c r="I257" s="517" t="s">
        <v>20</v>
      </c>
      <c r="J257" s="517" t="s">
        <v>23</v>
      </c>
    </row>
    <row r="258" spans="1:10" s="358" customFormat="1" x14ac:dyDescent="0.3">
      <c r="A258" s="642" t="s">
        <v>2432</v>
      </c>
      <c r="B258" s="643" t="s">
        <v>131</v>
      </c>
      <c r="C258" s="642" t="s">
        <v>32</v>
      </c>
      <c r="D258" s="642" t="s">
        <v>4401</v>
      </c>
      <c r="E258" s="906" t="s">
        <v>2600</v>
      </c>
      <c r="F258" s="906"/>
      <c r="G258" s="644" t="s">
        <v>115</v>
      </c>
      <c r="H258" s="645">
        <v>1</v>
      </c>
      <c r="I258" s="646">
        <v>4.04</v>
      </c>
      <c r="J258" s="646">
        <v>4.04</v>
      </c>
    </row>
    <row r="259" spans="1:10" ht="25" x14ac:dyDescent="0.3">
      <c r="A259" s="519" t="s">
        <v>2434</v>
      </c>
      <c r="B259" s="520" t="s">
        <v>2561</v>
      </c>
      <c r="C259" s="519" t="s">
        <v>32</v>
      </c>
      <c r="D259" s="519" t="s">
        <v>2562</v>
      </c>
      <c r="E259" s="905" t="s">
        <v>2433</v>
      </c>
      <c r="F259" s="905"/>
      <c r="G259" s="521" t="s">
        <v>1901</v>
      </c>
      <c r="H259" s="522">
        <v>0.14000000000000001</v>
      </c>
      <c r="I259" s="523">
        <v>23.4</v>
      </c>
      <c r="J259" s="523">
        <v>3.27</v>
      </c>
    </row>
    <row r="260" spans="1:10" ht="25.5" thickBot="1" x14ac:dyDescent="0.35">
      <c r="A260" s="519" t="s">
        <v>2434</v>
      </c>
      <c r="B260" s="520" t="s">
        <v>2601</v>
      </c>
      <c r="C260" s="519" t="s">
        <v>32</v>
      </c>
      <c r="D260" s="519" t="s">
        <v>2602</v>
      </c>
      <c r="E260" s="905" t="s">
        <v>2433</v>
      </c>
      <c r="F260" s="905"/>
      <c r="G260" s="521" t="s">
        <v>1901</v>
      </c>
      <c r="H260" s="522">
        <v>2.8000000000000001E-2</v>
      </c>
      <c r="I260" s="523">
        <v>27.63</v>
      </c>
      <c r="J260" s="523">
        <v>0.77</v>
      </c>
    </row>
    <row r="261" spans="1:10" s="358" customFormat="1" ht="14.5" thickTop="1" x14ac:dyDescent="0.3">
      <c r="A261" s="647"/>
      <c r="B261" s="647"/>
      <c r="C261" s="647"/>
      <c r="D261" s="647"/>
      <c r="E261" s="647"/>
      <c r="F261" s="647"/>
      <c r="G261" s="647"/>
      <c r="H261" s="647"/>
      <c r="I261" s="647"/>
      <c r="J261" s="647"/>
    </row>
    <row r="262" spans="1:10" x14ac:dyDescent="0.3">
      <c r="A262" s="516"/>
      <c r="B262" s="517" t="s">
        <v>15</v>
      </c>
      <c r="C262" s="516" t="s">
        <v>16</v>
      </c>
      <c r="D262" s="516" t="s">
        <v>17</v>
      </c>
      <c r="E262" s="904" t="s">
        <v>2431</v>
      </c>
      <c r="F262" s="904"/>
      <c r="G262" s="518" t="s">
        <v>18</v>
      </c>
      <c r="H262" s="517" t="s">
        <v>19</v>
      </c>
      <c r="I262" s="517" t="s">
        <v>20</v>
      </c>
      <c r="J262" s="517" t="s">
        <v>23</v>
      </c>
    </row>
    <row r="263" spans="1:10" s="358" customFormat="1" x14ac:dyDescent="0.3">
      <c r="A263" s="642" t="s">
        <v>2432</v>
      </c>
      <c r="B263" s="643" t="s">
        <v>132</v>
      </c>
      <c r="C263" s="642" t="s">
        <v>32</v>
      </c>
      <c r="D263" s="642" t="s">
        <v>4402</v>
      </c>
      <c r="E263" s="906" t="s">
        <v>2600</v>
      </c>
      <c r="F263" s="906"/>
      <c r="G263" s="644" t="s">
        <v>115</v>
      </c>
      <c r="H263" s="645">
        <v>1</v>
      </c>
      <c r="I263" s="646">
        <v>5.38</v>
      </c>
      <c r="J263" s="646">
        <v>5.38</v>
      </c>
    </row>
    <row r="264" spans="1:10" ht="25" x14ac:dyDescent="0.3">
      <c r="A264" s="519" t="s">
        <v>2434</v>
      </c>
      <c r="B264" s="520" t="s">
        <v>2561</v>
      </c>
      <c r="C264" s="519" t="s">
        <v>32</v>
      </c>
      <c r="D264" s="519" t="s">
        <v>2562</v>
      </c>
      <c r="E264" s="905" t="s">
        <v>2433</v>
      </c>
      <c r="F264" s="905"/>
      <c r="G264" s="521" t="s">
        <v>1901</v>
      </c>
      <c r="H264" s="522">
        <v>5.5800000000000002E-2</v>
      </c>
      <c r="I264" s="523">
        <v>23.4</v>
      </c>
      <c r="J264" s="523">
        <v>1.3</v>
      </c>
    </row>
    <row r="265" spans="1:10" ht="25" x14ac:dyDescent="0.3">
      <c r="A265" s="519" t="s">
        <v>2434</v>
      </c>
      <c r="B265" s="520" t="s">
        <v>2601</v>
      </c>
      <c r="C265" s="519" t="s">
        <v>32</v>
      </c>
      <c r="D265" s="519" t="s">
        <v>2602</v>
      </c>
      <c r="E265" s="905" t="s">
        <v>2433</v>
      </c>
      <c r="F265" s="905"/>
      <c r="G265" s="521" t="s">
        <v>1901</v>
      </c>
      <c r="H265" s="522">
        <v>1.12E-2</v>
      </c>
      <c r="I265" s="523">
        <v>27.63</v>
      </c>
      <c r="J265" s="523">
        <v>0.3</v>
      </c>
    </row>
    <row r="266" spans="1:10" x14ac:dyDescent="0.3">
      <c r="A266" s="519" t="s">
        <v>2437</v>
      </c>
      <c r="B266" s="520" t="s">
        <v>2603</v>
      </c>
      <c r="C266" s="519" t="s">
        <v>32</v>
      </c>
      <c r="D266" s="519" t="s">
        <v>2604</v>
      </c>
      <c r="E266" s="905" t="s">
        <v>2442</v>
      </c>
      <c r="F266" s="905"/>
      <c r="G266" s="521" t="s">
        <v>1369</v>
      </c>
      <c r="H266" s="522">
        <v>0.125</v>
      </c>
      <c r="I266" s="523">
        <v>3.14</v>
      </c>
      <c r="J266" s="523">
        <v>0.39</v>
      </c>
    </row>
    <row r="267" spans="1:10" ht="14.5" thickBot="1" x14ac:dyDescent="0.35">
      <c r="A267" s="519" t="s">
        <v>2437</v>
      </c>
      <c r="B267" s="520" t="s">
        <v>2605</v>
      </c>
      <c r="C267" s="519" t="s">
        <v>32</v>
      </c>
      <c r="D267" s="519" t="s">
        <v>2606</v>
      </c>
      <c r="E267" s="905" t="s">
        <v>2442</v>
      </c>
      <c r="F267" s="905"/>
      <c r="G267" s="521" t="s">
        <v>1369</v>
      </c>
      <c r="H267" s="522">
        <v>2.6526000000000001</v>
      </c>
      <c r="I267" s="523">
        <v>1.28</v>
      </c>
      <c r="J267" s="523">
        <v>3.39</v>
      </c>
    </row>
    <row r="268" spans="1:10" s="358" customFormat="1" ht="14.5" thickTop="1" x14ac:dyDescent="0.3">
      <c r="A268" s="647"/>
      <c r="B268" s="647"/>
      <c r="C268" s="647"/>
      <c r="D268" s="647"/>
      <c r="E268" s="647"/>
      <c r="F268" s="647"/>
      <c r="G268" s="647"/>
      <c r="H268" s="647"/>
      <c r="I268" s="647"/>
      <c r="J268" s="647"/>
    </row>
    <row r="269" spans="1:10" x14ac:dyDescent="0.3">
      <c r="A269" s="516"/>
      <c r="B269" s="517" t="s">
        <v>15</v>
      </c>
      <c r="C269" s="516" t="s">
        <v>16</v>
      </c>
      <c r="D269" s="516" t="s">
        <v>17</v>
      </c>
      <c r="E269" s="904" t="s">
        <v>2431</v>
      </c>
      <c r="F269" s="904"/>
      <c r="G269" s="518" t="s">
        <v>18</v>
      </c>
      <c r="H269" s="517" t="s">
        <v>19</v>
      </c>
      <c r="I269" s="517" t="s">
        <v>20</v>
      </c>
      <c r="J269" s="517" t="s">
        <v>23</v>
      </c>
    </row>
    <row r="270" spans="1:10" s="358" customFormat="1" ht="25" x14ac:dyDescent="0.3">
      <c r="A270" s="642" t="s">
        <v>2432</v>
      </c>
      <c r="B270" s="643" t="s">
        <v>133</v>
      </c>
      <c r="C270" s="642" t="s">
        <v>32</v>
      </c>
      <c r="D270" s="642" t="s">
        <v>4403</v>
      </c>
      <c r="E270" s="906" t="s">
        <v>2600</v>
      </c>
      <c r="F270" s="906"/>
      <c r="G270" s="644" t="s">
        <v>115</v>
      </c>
      <c r="H270" s="645">
        <v>1</v>
      </c>
      <c r="I270" s="646">
        <v>0.4</v>
      </c>
      <c r="J270" s="646">
        <v>0.4</v>
      </c>
    </row>
    <row r="271" spans="1:10" ht="25" x14ac:dyDescent="0.3">
      <c r="A271" s="519" t="s">
        <v>2434</v>
      </c>
      <c r="B271" s="520" t="s">
        <v>2561</v>
      </c>
      <c r="C271" s="519" t="s">
        <v>32</v>
      </c>
      <c r="D271" s="519" t="s">
        <v>2562</v>
      </c>
      <c r="E271" s="905" t="s">
        <v>2433</v>
      </c>
      <c r="F271" s="905"/>
      <c r="G271" s="521" t="s">
        <v>1901</v>
      </c>
      <c r="H271" s="522">
        <v>1.1599999999999999E-2</v>
      </c>
      <c r="I271" s="523">
        <v>23.4</v>
      </c>
      <c r="J271" s="523">
        <v>0.27</v>
      </c>
    </row>
    <row r="272" spans="1:10" ht="25" x14ac:dyDescent="0.3">
      <c r="A272" s="519" t="s">
        <v>2434</v>
      </c>
      <c r="B272" s="520" t="s">
        <v>2601</v>
      </c>
      <c r="C272" s="519" t="s">
        <v>32</v>
      </c>
      <c r="D272" s="519" t="s">
        <v>2602</v>
      </c>
      <c r="E272" s="905" t="s">
        <v>2433</v>
      </c>
      <c r="F272" s="905"/>
      <c r="G272" s="521" t="s">
        <v>1901</v>
      </c>
      <c r="H272" s="522">
        <v>2.3E-3</v>
      </c>
      <c r="I272" s="523">
        <v>27.63</v>
      </c>
      <c r="J272" s="523">
        <v>0.06</v>
      </c>
    </row>
    <row r="273" spans="1:10" ht="25.5" thickBot="1" x14ac:dyDescent="0.35">
      <c r="A273" s="519" t="s">
        <v>2437</v>
      </c>
      <c r="B273" s="520" t="s">
        <v>2607</v>
      </c>
      <c r="C273" s="519" t="s">
        <v>32</v>
      </c>
      <c r="D273" s="519" t="s">
        <v>2608</v>
      </c>
      <c r="E273" s="905" t="s">
        <v>2442</v>
      </c>
      <c r="F273" s="905"/>
      <c r="G273" s="521" t="s">
        <v>1369</v>
      </c>
      <c r="H273" s="522">
        <v>0.25</v>
      </c>
      <c r="I273" s="523">
        <v>0.3</v>
      </c>
      <c r="J273" s="523">
        <v>7.0000000000000007E-2</v>
      </c>
    </row>
    <row r="274" spans="1:10" s="358" customFormat="1" ht="14.5" thickTop="1" x14ac:dyDescent="0.3">
      <c r="A274" s="647"/>
      <c r="B274" s="647"/>
      <c r="C274" s="647"/>
      <c r="D274" s="647"/>
      <c r="E274" s="647"/>
      <c r="F274" s="647"/>
      <c r="G274" s="647"/>
      <c r="H274" s="647"/>
      <c r="I274" s="647"/>
      <c r="J274" s="647"/>
    </row>
    <row r="275" spans="1:10" x14ac:dyDescent="0.3">
      <c r="A275" s="516"/>
      <c r="B275" s="517" t="s">
        <v>15</v>
      </c>
      <c r="C275" s="516" t="s">
        <v>16</v>
      </c>
      <c r="D275" s="516" t="s">
        <v>17</v>
      </c>
      <c r="E275" s="904" t="s">
        <v>2431</v>
      </c>
      <c r="F275" s="904"/>
      <c r="G275" s="518" t="s">
        <v>18</v>
      </c>
      <c r="H275" s="517" t="s">
        <v>19</v>
      </c>
      <c r="I275" s="517" t="s">
        <v>20</v>
      </c>
      <c r="J275" s="517" t="s">
        <v>23</v>
      </c>
    </row>
    <row r="276" spans="1:10" s="358" customFormat="1" x14ac:dyDescent="0.3">
      <c r="A276" s="642" t="s">
        <v>2432</v>
      </c>
      <c r="B276" s="643" t="s">
        <v>134</v>
      </c>
      <c r="C276" s="642" t="s">
        <v>32</v>
      </c>
      <c r="D276" s="642" t="s">
        <v>4404</v>
      </c>
      <c r="E276" s="906" t="s">
        <v>2600</v>
      </c>
      <c r="F276" s="906"/>
      <c r="G276" s="644" t="s">
        <v>115</v>
      </c>
      <c r="H276" s="645">
        <v>1</v>
      </c>
      <c r="I276" s="646">
        <v>16.14</v>
      </c>
      <c r="J276" s="646">
        <v>16.14</v>
      </c>
    </row>
    <row r="277" spans="1:10" ht="25" x14ac:dyDescent="0.3">
      <c r="A277" s="519" t="s">
        <v>2434</v>
      </c>
      <c r="B277" s="520" t="s">
        <v>2561</v>
      </c>
      <c r="C277" s="519" t="s">
        <v>32</v>
      </c>
      <c r="D277" s="519" t="s">
        <v>2562</v>
      </c>
      <c r="E277" s="905" t="s">
        <v>2433</v>
      </c>
      <c r="F277" s="905"/>
      <c r="G277" s="521" t="s">
        <v>1901</v>
      </c>
      <c r="H277" s="522">
        <v>0.1386</v>
      </c>
      <c r="I277" s="523">
        <v>23.4</v>
      </c>
      <c r="J277" s="523">
        <v>3.24</v>
      </c>
    </row>
    <row r="278" spans="1:10" ht="25" x14ac:dyDescent="0.3">
      <c r="A278" s="519" t="s">
        <v>2434</v>
      </c>
      <c r="B278" s="520" t="s">
        <v>2601</v>
      </c>
      <c r="C278" s="519" t="s">
        <v>32</v>
      </c>
      <c r="D278" s="519" t="s">
        <v>2602</v>
      </c>
      <c r="E278" s="905" t="s">
        <v>2433</v>
      </c>
      <c r="F278" s="905"/>
      <c r="G278" s="521" t="s">
        <v>1901</v>
      </c>
      <c r="H278" s="522">
        <v>2.7699999999999999E-2</v>
      </c>
      <c r="I278" s="523">
        <v>27.63</v>
      </c>
      <c r="J278" s="523">
        <v>0.76</v>
      </c>
    </row>
    <row r="279" spans="1:10" ht="14.5" thickBot="1" x14ac:dyDescent="0.35">
      <c r="A279" s="519" t="s">
        <v>2437</v>
      </c>
      <c r="B279" s="520" t="s">
        <v>2609</v>
      </c>
      <c r="C279" s="519" t="s">
        <v>32</v>
      </c>
      <c r="D279" s="519" t="s">
        <v>2610</v>
      </c>
      <c r="E279" s="905" t="s">
        <v>2442</v>
      </c>
      <c r="F279" s="905"/>
      <c r="G279" s="521" t="s">
        <v>115</v>
      </c>
      <c r="H279" s="522">
        <v>1</v>
      </c>
      <c r="I279" s="523">
        <v>12.14</v>
      </c>
      <c r="J279" s="523">
        <v>12.14</v>
      </c>
    </row>
    <row r="280" spans="1:10" s="358" customFormat="1" ht="14.5" thickTop="1" x14ac:dyDescent="0.3">
      <c r="A280" s="647"/>
      <c r="B280" s="647"/>
      <c r="C280" s="647"/>
      <c r="D280" s="647"/>
      <c r="E280" s="647"/>
      <c r="F280" s="647"/>
      <c r="G280" s="647"/>
      <c r="H280" s="647"/>
      <c r="I280" s="647"/>
      <c r="J280" s="647"/>
    </row>
    <row r="281" spans="1:10" x14ac:dyDescent="0.3">
      <c r="A281" s="516"/>
      <c r="B281" s="517" t="s">
        <v>15</v>
      </c>
      <c r="C281" s="516" t="s">
        <v>16</v>
      </c>
      <c r="D281" s="516" t="s">
        <v>17</v>
      </c>
      <c r="E281" s="904" t="s">
        <v>2431</v>
      </c>
      <c r="F281" s="904"/>
      <c r="G281" s="518" t="s">
        <v>18</v>
      </c>
      <c r="H281" s="517" t="s">
        <v>19</v>
      </c>
      <c r="I281" s="517" t="s">
        <v>20</v>
      </c>
      <c r="J281" s="517" t="s">
        <v>23</v>
      </c>
    </row>
    <row r="282" spans="1:10" s="358" customFormat="1" ht="37.5" x14ac:dyDescent="0.3">
      <c r="A282" s="642" t="s">
        <v>2432</v>
      </c>
      <c r="B282" s="643" t="s">
        <v>145</v>
      </c>
      <c r="C282" s="642" t="s">
        <v>32</v>
      </c>
      <c r="D282" s="642" t="s">
        <v>4405</v>
      </c>
      <c r="E282" s="906" t="s">
        <v>2600</v>
      </c>
      <c r="F282" s="906"/>
      <c r="G282" s="644" t="s">
        <v>115</v>
      </c>
      <c r="H282" s="645">
        <v>1</v>
      </c>
      <c r="I282" s="646">
        <v>0.65</v>
      </c>
      <c r="J282" s="646">
        <v>0.65</v>
      </c>
    </row>
    <row r="283" spans="1:10" ht="25" x14ac:dyDescent="0.3">
      <c r="A283" s="519" t="s">
        <v>2434</v>
      </c>
      <c r="B283" s="520" t="s">
        <v>2601</v>
      </c>
      <c r="C283" s="519" t="s">
        <v>32</v>
      </c>
      <c r="D283" s="519" t="s">
        <v>2602</v>
      </c>
      <c r="E283" s="905" t="s">
        <v>2433</v>
      </c>
      <c r="F283" s="905"/>
      <c r="G283" s="521" t="s">
        <v>1901</v>
      </c>
      <c r="H283" s="522">
        <v>4.5999999999999999E-3</v>
      </c>
      <c r="I283" s="523">
        <v>27.63</v>
      </c>
      <c r="J283" s="523">
        <v>0.12</v>
      </c>
    </row>
    <row r="284" spans="1:10" ht="25.5" customHeight="1" x14ac:dyDescent="0.3">
      <c r="A284" s="519" t="s">
        <v>2434</v>
      </c>
      <c r="B284" s="520" t="s">
        <v>2611</v>
      </c>
      <c r="C284" s="519" t="s">
        <v>32</v>
      </c>
      <c r="D284" s="519" t="s">
        <v>2612</v>
      </c>
      <c r="E284" s="905" t="s">
        <v>2465</v>
      </c>
      <c r="F284" s="905"/>
      <c r="G284" s="521" t="s">
        <v>110</v>
      </c>
      <c r="H284" s="522">
        <v>2.8999999999999998E-3</v>
      </c>
      <c r="I284" s="523">
        <v>74.150000000000006</v>
      </c>
      <c r="J284" s="523">
        <v>0.21</v>
      </c>
    </row>
    <row r="285" spans="1:10" ht="25.5" customHeight="1" thickBot="1" x14ac:dyDescent="0.35">
      <c r="A285" s="519" t="s">
        <v>2434</v>
      </c>
      <c r="B285" s="520" t="s">
        <v>2613</v>
      </c>
      <c r="C285" s="519" t="s">
        <v>32</v>
      </c>
      <c r="D285" s="519" t="s">
        <v>2614</v>
      </c>
      <c r="E285" s="905" t="s">
        <v>2465</v>
      </c>
      <c r="F285" s="905"/>
      <c r="G285" s="521" t="s">
        <v>103</v>
      </c>
      <c r="H285" s="522">
        <v>1.6999999999999999E-3</v>
      </c>
      <c r="I285" s="523">
        <v>190.63</v>
      </c>
      <c r="J285" s="523">
        <v>0.32</v>
      </c>
    </row>
    <row r="286" spans="1:10" ht="26.25" customHeight="1" thickTop="1" x14ac:dyDescent="0.3">
      <c r="A286" s="647"/>
      <c r="B286" s="647"/>
      <c r="C286" s="647"/>
      <c r="D286" s="647"/>
      <c r="E286" s="647"/>
      <c r="F286" s="647"/>
      <c r="G286" s="647"/>
      <c r="H286" s="647"/>
      <c r="I286" s="647"/>
      <c r="J286" s="647"/>
    </row>
    <row r="287" spans="1:10" s="358" customFormat="1" x14ac:dyDescent="0.3">
      <c r="A287" s="516"/>
      <c r="B287" s="517" t="s">
        <v>15</v>
      </c>
      <c r="C287" s="516" t="s">
        <v>16</v>
      </c>
      <c r="D287" s="516" t="s">
        <v>17</v>
      </c>
      <c r="E287" s="904" t="s">
        <v>2431</v>
      </c>
      <c r="F287" s="904"/>
      <c r="G287" s="518" t="s">
        <v>18</v>
      </c>
      <c r="H287" s="517" t="s">
        <v>19</v>
      </c>
      <c r="I287" s="517" t="s">
        <v>20</v>
      </c>
      <c r="J287" s="517" t="s">
        <v>23</v>
      </c>
    </row>
    <row r="288" spans="1:10" ht="14.25" customHeight="1" x14ac:dyDescent="0.3">
      <c r="A288" s="642" t="s">
        <v>2432</v>
      </c>
      <c r="B288" s="643" t="s">
        <v>190</v>
      </c>
      <c r="C288" s="642" t="s">
        <v>39</v>
      </c>
      <c r="D288" s="642" t="s">
        <v>146</v>
      </c>
      <c r="E288" s="906" t="s">
        <v>2485</v>
      </c>
      <c r="F288" s="906"/>
      <c r="G288" s="644" t="s">
        <v>115</v>
      </c>
      <c r="H288" s="645">
        <v>1</v>
      </c>
      <c r="I288" s="646">
        <v>521.92999999999995</v>
      </c>
      <c r="J288" s="646">
        <v>521.92999999999995</v>
      </c>
    </row>
    <row r="289" spans="1:10" s="358" customFormat="1" ht="25" x14ac:dyDescent="0.3">
      <c r="A289" s="519" t="s">
        <v>2434</v>
      </c>
      <c r="B289" s="520" t="s">
        <v>2618</v>
      </c>
      <c r="C289" s="519" t="s">
        <v>32</v>
      </c>
      <c r="D289" s="519" t="s">
        <v>2619</v>
      </c>
      <c r="E289" s="905" t="s">
        <v>2433</v>
      </c>
      <c r="F289" s="905"/>
      <c r="G289" s="521" t="s">
        <v>1901</v>
      </c>
      <c r="H289" s="522">
        <v>1</v>
      </c>
      <c r="I289" s="523">
        <v>30.71</v>
      </c>
      <c r="J289" s="523">
        <v>30.71</v>
      </c>
    </row>
    <row r="290" spans="1:10" ht="25" x14ac:dyDescent="0.3">
      <c r="A290" s="519" t="s">
        <v>2434</v>
      </c>
      <c r="B290" s="520" t="s">
        <v>2561</v>
      </c>
      <c r="C290" s="519" t="s">
        <v>32</v>
      </c>
      <c r="D290" s="519" t="s">
        <v>2562</v>
      </c>
      <c r="E290" s="905" t="s">
        <v>2433</v>
      </c>
      <c r="F290" s="905"/>
      <c r="G290" s="521" t="s">
        <v>1901</v>
      </c>
      <c r="H290" s="522">
        <v>2</v>
      </c>
      <c r="I290" s="523">
        <v>23.4</v>
      </c>
      <c r="J290" s="523">
        <v>46.8</v>
      </c>
    </row>
    <row r="291" spans="1:10" ht="37.5" x14ac:dyDescent="0.3">
      <c r="A291" s="519" t="s">
        <v>2434</v>
      </c>
      <c r="B291" s="520" t="s">
        <v>2615</v>
      </c>
      <c r="C291" s="519" t="s">
        <v>32</v>
      </c>
      <c r="D291" s="519" t="s">
        <v>2616</v>
      </c>
      <c r="E291" s="905" t="s">
        <v>2617</v>
      </c>
      <c r="F291" s="905"/>
      <c r="G291" s="521" t="s">
        <v>118</v>
      </c>
      <c r="H291" s="522">
        <v>0.01</v>
      </c>
      <c r="I291" s="523">
        <v>407.78</v>
      </c>
      <c r="J291" s="523">
        <v>4.07</v>
      </c>
    </row>
    <row r="292" spans="1:10" ht="37.5" x14ac:dyDescent="0.3">
      <c r="A292" s="519" t="s">
        <v>2437</v>
      </c>
      <c r="B292" s="520" t="s">
        <v>2626</v>
      </c>
      <c r="C292" s="519" t="s">
        <v>32</v>
      </c>
      <c r="D292" s="519" t="s">
        <v>4250</v>
      </c>
      <c r="E292" s="905" t="s">
        <v>2442</v>
      </c>
      <c r="F292" s="905"/>
      <c r="G292" s="521" t="s">
        <v>194</v>
      </c>
      <c r="H292" s="522">
        <v>1</v>
      </c>
      <c r="I292" s="523">
        <v>7.05</v>
      </c>
      <c r="J292" s="523">
        <v>7.05</v>
      </c>
    </row>
    <row r="293" spans="1:10" ht="25" x14ac:dyDescent="0.3">
      <c r="A293" s="519" t="s">
        <v>2437</v>
      </c>
      <c r="B293" s="520" t="s">
        <v>2622</v>
      </c>
      <c r="C293" s="519" t="s">
        <v>32</v>
      </c>
      <c r="D293" s="519" t="s">
        <v>2623</v>
      </c>
      <c r="E293" s="905" t="s">
        <v>2442</v>
      </c>
      <c r="F293" s="905"/>
      <c r="G293" s="521" t="s">
        <v>194</v>
      </c>
      <c r="H293" s="522">
        <v>4</v>
      </c>
      <c r="I293" s="523">
        <v>7.78</v>
      </c>
      <c r="J293" s="523">
        <v>31.12</v>
      </c>
    </row>
    <row r="294" spans="1:10" ht="25" x14ac:dyDescent="0.3">
      <c r="A294" s="519" t="s">
        <v>2437</v>
      </c>
      <c r="B294" s="520" t="s">
        <v>2620</v>
      </c>
      <c r="C294" s="519" t="s">
        <v>32</v>
      </c>
      <c r="D294" s="519" t="s">
        <v>2621</v>
      </c>
      <c r="E294" s="905" t="s">
        <v>2442</v>
      </c>
      <c r="F294" s="905"/>
      <c r="G294" s="521" t="s">
        <v>115</v>
      </c>
      <c r="H294" s="522">
        <v>1</v>
      </c>
      <c r="I294" s="523">
        <v>400</v>
      </c>
      <c r="J294" s="523">
        <v>400</v>
      </c>
    </row>
    <row r="295" spans="1:10" ht="14.5" thickBot="1" x14ac:dyDescent="0.35">
      <c r="A295" s="519" t="s">
        <v>2437</v>
      </c>
      <c r="B295" s="520" t="s">
        <v>2624</v>
      </c>
      <c r="C295" s="519" t="s">
        <v>32</v>
      </c>
      <c r="D295" s="519" t="s">
        <v>2625</v>
      </c>
      <c r="E295" s="905" t="s">
        <v>2442</v>
      </c>
      <c r="F295" s="905"/>
      <c r="G295" s="521" t="s">
        <v>1369</v>
      </c>
      <c r="H295" s="522">
        <v>0.11</v>
      </c>
      <c r="I295" s="523">
        <v>19.84</v>
      </c>
      <c r="J295" s="523">
        <v>2.1800000000000002</v>
      </c>
    </row>
    <row r="296" spans="1:10" ht="14.5" thickTop="1" x14ac:dyDescent="0.3">
      <c r="A296" s="647"/>
      <c r="B296" s="647"/>
      <c r="C296" s="647"/>
      <c r="D296" s="647"/>
      <c r="E296" s="647"/>
      <c r="F296" s="647"/>
      <c r="G296" s="647"/>
      <c r="H296" s="647"/>
      <c r="I296" s="647"/>
      <c r="J296" s="647"/>
    </row>
    <row r="297" spans="1:10" s="358" customFormat="1" x14ac:dyDescent="0.3">
      <c r="A297" s="516"/>
      <c r="B297" s="517" t="s">
        <v>15</v>
      </c>
      <c r="C297" s="516" t="s">
        <v>16</v>
      </c>
      <c r="D297" s="516" t="s">
        <v>17</v>
      </c>
      <c r="E297" s="904" t="s">
        <v>2431</v>
      </c>
      <c r="F297" s="904"/>
      <c r="G297" s="518" t="s">
        <v>18</v>
      </c>
      <c r="H297" s="517" t="s">
        <v>19</v>
      </c>
      <c r="I297" s="517" t="s">
        <v>20</v>
      </c>
      <c r="J297" s="517" t="s">
        <v>23</v>
      </c>
    </row>
    <row r="298" spans="1:10" ht="14.25" customHeight="1" x14ac:dyDescent="0.3">
      <c r="A298" s="642" t="s">
        <v>2432</v>
      </c>
      <c r="B298" s="643" t="s">
        <v>147</v>
      </c>
      <c r="C298" s="642" t="s">
        <v>32</v>
      </c>
      <c r="D298" s="642" t="s">
        <v>4406</v>
      </c>
      <c r="E298" s="906" t="s">
        <v>2485</v>
      </c>
      <c r="F298" s="906"/>
      <c r="G298" s="644" t="s">
        <v>115</v>
      </c>
      <c r="H298" s="645">
        <v>1</v>
      </c>
      <c r="I298" s="646">
        <v>89.42</v>
      </c>
      <c r="J298" s="646">
        <v>89.42</v>
      </c>
    </row>
    <row r="299" spans="1:10" s="358" customFormat="1" ht="25" x14ac:dyDescent="0.3">
      <c r="A299" s="519" t="s">
        <v>2434</v>
      </c>
      <c r="B299" s="520" t="s">
        <v>2627</v>
      </c>
      <c r="C299" s="519" t="s">
        <v>32</v>
      </c>
      <c r="D299" s="519" t="s">
        <v>2628</v>
      </c>
      <c r="E299" s="905" t="s">
        <v>2433</v>
      </c>
      <c r="F299" s="905"/>
      <c r="G299" s="521" t="s">
        <v>1901</v>
      </c>
      <c r="H299" s="522">
        <v>0.49199999999999999</v>
      </c>
      <c r="I299" s="523">
        <v>24.12</v>
      </c>
      <c r="J299" s="523">
        <v>11.86</v>
      </c>
    </row>
    <row r="300" spans="1:10" ht="25" x14ac:dyDescent="0.3">
      <c r="A300" s="519" t="s">
        <v>2434</v>
      </c>
      <c r="B300" s="520" t="s">
        <v>2618</v>
      </c>
      <c r="C300" s="519" t="s">
        <v>32</v>
      </c>
      <c r="D300" s="519" t="s">
        <v>2619</v>
      </c>
      <c r="E300" s="905" t="s">
        <v>2433</v>
      </c>
      <c r="F300" s="905"/>
      <c r="G300" s="521" t="s">
        <v>1901</v>
      </c>
      <c r="H300" s="522">
        <v>0.73499999999999999</v>
      </c>
      <c r="I300" s="523">
        <v>30.71</v>
      </c>
      <c r="J300" s="523">
        <v>22.57</v>
      </c>
    </row>
    <row r="301" spans="1:10" ht="25.5" customHeight="1" x14ac:dyDescent="0.3">
      <c r="A301" s="519" t="s">
        <v>2434</v>
      </c>
      <c r="B301" s="520" t="s">
        <v>2629</v>
      </c>
      <c r="C301" s="519" t="s">
        <v>32</v>
      </c>
      <c r="D301" s="519" t="s">
        <v>2630</v>
      </c>
      <c r="E301" s="905" t="s">
        <v>2465</v>
      </c>
      <c r="F301" s="905"/>
      <c r="G301" s="521" t="s">
        <v>103</v>
      </c>
      <c r="H301" s="522">
        <v>6.6E-3</v>
      </c>
      <c r="I301" s="523">
        <v>26.94</v>
      </c>
      <c r="J301" s="523">
        <v>0.17</v>
      </c>
    </row>
    <row r="302" spans="1:10" ht="25.5" customHeight="1" x14ac:dyDescent="0.3">
      <c r="A302" s="519" t="s">
        <v>2434</v>
      </c>
      <c r="B302" s="520" t="s">
        <v>2631</v>
      </c>
      <c r="C302" s="519" t="s">
        <v>32</v>
      </c>
      <c r="D302" s="519" t="s">
        <v>2632</v>
      </c>
      <c r="E302" s="905" t="s">
        <v>2465</v>
      </c>
      <c r="F302" s="905"/>
      <c r="G302" s="521" t="s">
        <v>110</v>
      </c>
      <c r="H302" s="522">
        <v>2.64E-2</v>
      </c>
      <c r="I302" s="523">
        <v>25.9</v>
      </c>
      <c r="J302" s="523">
        <v>0.68</v>
      </c>
    </row>
    <row r="303" spans="1:10" ht="25.5" customHeight="1" x14ac:dyDescent="0.3">
      <c r="A303" s="519" t="s">
        <v>2434</v>
      </c>
      <c r="B303" s="520" t="s">
        <v>2633</v>
      </c>
      <c r="C303" s="519" t="s">
        <v>32</v>
      </c>
      <c r="D303" s="519" t="s">
        <v>2634</v>
      </c>
      <c r="E303" s="905" t="s">
        <v>2617</v>
      </c>
      <c r="F303" s="905"/>
      <c r="G303" s="521" t="s">
        <v>118</v>
      </c>
      <c r="H303" s="522">
        <v>6.1000000000000004E-3</v>
      </c>
      <c r="I303" s="523">
        <v>470.61</v>
      </c>
      <c r="J303" s="523">
        <v>2.87</v>
      </c>
    </row>
    <row r="304" spans="1:10" ht="25" x14ac:dyDescent="0.3">
      <c r="A304" s="519" t="s">
        <v>2437</v>
      </c>
      <c r="B304" s="520" t="s">
        <v>2622</v>
      </c>
      <c r="C304" s="519" t="s">
        <v>32</v>
      </c>
      <c r="D304" s="519" t="s">
        <v>2623</v>
      </c>
      <c r="E304" s="905" t="s">
        <v>2442</v>
      </c>
      <c r="F304" s="905"/>
      <c r="G304" s="521" t="s">
        <v>194</v>
      </c>
      <c r="H304" s="522">
        <v>1.2273000000000001</v>
      </c>
      <c r="I304" s="523">
        <v>7.78</v>
      </c>
      <c r="J304" s="523">
        <v>9.5399999999999991</v>
      </c>
    </row>
    <row r="305" spans="1:10" x14ac:dyDescent="0.3">
      <c r="A305" s="519" t="s">
        <v>2437</v>
      </c>
      <c r="B305" s="520" t="s">
        <v>2637</v>
      </c>
      <c r="C305" s="519" t="s">
        <v>32</v>
      </c>
      <c r="D305" s="519" t="s">
        <v>2638</v>
      </c>
      <c r="E305" s="905" t="s">
        <v>2442</v>
      </c>
      <c r="F305" s="905"/>
      <c r="G305" s="521" t="s">
        <v>1369</v>
      </c>
      <c r="H305" s="522">
        <v>6.8000000000000005E-2</v>
      </c>
      <c r="I305" s="523">
        <v>19.5</v>
      </c>
      <c r="J305" s="523">
        <v>1.32</v>
      </c>
    </row>
    <row r="306" spans="1:10" ht="25" x14ac:dyDescent="0.3">
      <c r="A306" s="519" t="s">
        <v>2437</v>
      </c>
      <c r="B306" s="520" t="s">
        <v>4460</v>
      </c>
      <c r="C306" s="519" t="s">
        <v>32</v>
      </c>
      <c r="D306" s="519" t="s">
        <v>4461</v>
      </c>
      <c r="E306" s="905" t="s">
        <v>2442</v>
      </c>
      <c r="F306" s="905"/>
      <c r="G306" s="521" t="s">
        <v>194</v>
      </c>
      <c r="H306" s="522">
        <v>2</v>
      </c>
      <c r="I306" s="523">
        <v>5.55</v>
      </c>
      <c r="J306" s="523">
        <v>11.1</v>
      </c>
    </row>
    <row r="307" spans="1:10" ht="38" thickBot="1" x14ac:dyDescent="0.35">
      <c r="A307" s="519" t="s">
        <v>2437</v>
      </c>
      <c r="B307" s="520" t="s">
        <v>2639</v>
      </c>
      <c r="C307" s="519" t="s">
        <v>32</v>
      </c>
      <c r="D307" s="519" t="s">
        <v>2640</v>
      </c>
      <c r="E307" s="905" t="s">
        <v>2442</v>
      </c>
      <c r="F307" s="905"/>
      <c r="G307" s="521" t="s">
        <v>115</v>
      </c>
      <c r="H307" s="522">
        <v>0.58530000000000004</v>
      </c>
      <c r="I307" s="523">
        <v>50.09</v>
      </c>
      <c r="J307" s="523">
        <v>29.31</v>
      </c>
    </row>
    <row r="308" spans="1:10" ht="14.5" thickTop="1" x14ac:dyDescent="0.3">
      <c r="A308" s="647"/>
      <c r="B308" s="647"/>
      <c r="C308" s="647"/>
      <c r="D308" s="647"/>
      <c r="E308" s="647"/>
      <c r="F308" s="647"/>
      <c r="G308" s="647"/>
      <c r="H308" s="647"/>
      <c r="I308" s="647"/>
      <c r="J308" s="647"/>
    </row>
    <row r="309" spans="1:10" s="358" customFormat="1" x14ac:dyDescent="0.3">
      <c r="A309" s="516"/>
      <c r="B309" s="517" t="s">
        <v>15</v>
      </c>
      <c r="C309" s="516" t="s">
        <v>16</v>
      </c>
      <c r="D309" s="516" t="s">
        <v>17</v>
      </c>
      <c r="E309" s="904" t="s">
        <v>2431</v>
      </c>
      <c r="F309" s="904"/>
      <c r="G309" s="518" t="s">
        <v>18</v>
      </c>
      <c r="H309" s="517" t="s">
        <v>19</v>
      </c>
      <c r="I309" s="517" t="s">
        <v>20</v>
      </c>
      <c r="J309" s="517" t="s">
        <v>23</v>
      </c>
    </row>
    <row r="310" spans="1:10" ht="25.5" customHeight="1" x14ac:dyDescent="0.3">
      <c r="A310" s="642" t="s">
        <v>2432</v>
      </c>
      <c r="B310" s="643" t="s">
        <v>4218</v>
      </c>
      <c r="C310" s="642" t="s">
        <v>39</v>
      </c>
      <c r="D310" s="642" t="s">
        <v>148</v>
      </c>
      <c r="E310" s="906" t="s">
        <v>2641</v>
      </c>
      <c r="F310" s="906"/>
      <c r="G310" s="644" t="s">
        <v>89</v>
      </c>
      <c r="H310" s="645">
        <v>1</v>
      </c>
      <c r="I310" s="646">
        <v>853.51</v>
      </c>
      <c r="J310" s="646">
        <v>853.51</v>
      </c>
    </row>
    <row r="311" spans="1:10" s="358" customFormat="1" ht="25.5" customHeight="1" x14ac:dyDescent="0.3">
      <c r="A311" s="519" t="s">
        <v>2434</v>
      </c>
      <c r="B311" s="520" t="s">
        <v>2561</v>
      </c>
      <c r="C311" s="519" t="s">
        <v>32</v>
      </c>
      <c r="D311" s="519" t="s">
        <v>2562</v>
      </c>
      <c r="E311" s="905" t="s">
        <v>2433</v>
      </c>
      <c r="F311" s="905"/>
      <c r="G311" s="521" t="s">
        <v>1901</v>
      </c>
      <c r="H311" s="522">
        <v>6.2</v>
      </c>
      <c r="I311" s="523">
        <v>23.4</v>
      </c>
      <c r="J311" s="523">
        <v>145.08000000000001</v>
      </c>
    </row>
    <row r="312" spans="1:10" ht="25" x14ac:dyDescent="0.3">
      <c r="A312" s="519" t="s">
        <v>2434</v>
      </c>
      <c r="B312" s="520" t="s">
        <v>2642</v>
      </c>
      <c r="C312" s="519" t="s">
        <v>32</v>
      </c>
      <c r="D312" s="519" t="s">
        <v>2643</v>
      </c>
      <c r="E312" s="905" t="s">
        <v>2433</v>
      </c>
      <c r="F312" s="905"/>
      <c r="G312" s="521" t="s">
        <v>1901</v>
      </c>
      <c r="H312" s="522">
        <v>6.2</v>
      </c>
      <c r="I312" s="523">
        <v>31.81</v>
      </c>
      <c r="J312" s="523">
        <v>197.22</v>
      </c>
    </row>
    <row r="313" spans="1:10" ht="25" x14ac:dyDescent="0.3">
      <c r="A313" s="519" t="s">
        <v>2437</v>
      </c>
      <c r="B313" s="520" t="s">
        <v>2644</v>
      </c>
      <c r="C313" s="519" t="s">
        <v>32</v>
      </c>
      <c r="D313" s="519" t="s">
        <v>4253</v>
      </c>
      <c r="E313" s="905" t="s">
        <v>2442</v>
      </c>
      <c r="F313" s="905"/>
      <c r="G313" s="521" t="s">
        <v>194</v>
      </c>
      <c r="H313" s="522">
        <v>1.6</v>
      </c>
      <c r="I313" s="523">
        <v>13.6</v>
      </c>
      <c r="J313" s="523">
        <v>21.76</v>
      </c>
    </row>
    <row r="314" spans="1:10" ht="25" x14ac:dyDescent="0.3">
      <c r="A314" s="519" t="s">
        <v>2437</v>
      </c>
      <c r="B314" s="520" t="s">
        <v>2649</v>
      </c>
      <c r="C314" s="519" t="s">
        <v>32</v>
      </c>
      <c r="D314" s="519" t="s">
        <v>2650</v>
      </c>
      <c r="E314" s="905" t="s">
        <v>2442</v>
      </c>
      <c r="F314" s="905"/>
      <c r="G314" s="521" t="s">
        <v>194</v>
      </c>
      <c r="H314" s="522">
        <v>9</v>
      </c>
      <c r="I314" s="523">
        <v>18.97</v>
      </c>
      <c r="J314" s="523">
        <v>170.73</v>
      </c>
    </row>
    <row r="315" spans="1:10" x14ac:dyDescent="0.3">
      <c r="A315" s="519" t="s">
        <v>2437</v>
      </c>
      <c r="B315" s="520" t="s">
        <v>2645</v>
      </c>
      <c r="C315" s="519" t="s">
        <v>32</v>
      </c>
      <c r="D315" s="519" t="s">
        <v>2646</v>
      </c>
      <c r="E315" s="905" t="s">
        <v>2442</v>
      </c>
      <c r="F315" s="905"/>
      <c r="G315" s="521" t="s">
        <v>1369</v>
      </c>
      <c r="H315" s="522">
        <v>0.3</v>
      </c>
      <c r="I315" s="523">
        <v>46.12</v>
      </c>
      <c r="J315" s="523">
        <v>13.83</v>
      </c>
    </row>
    <row r="316" spans="1:10" ht="25" x14ac:dyDescent="0.3">
      <c r="A316" s="519" t="s">
        <v>2437</v>
      </c>
      <c r="B316" s="520" t="s">
        <v>2647</v>
      </c>
      <c r="C316" s="519" t="s">
        <v>32</v>
      </c>
      <c r="D316" s="519" t="s">
        <v>2648</v>
      </c>
      <c r="E316" s="905" t="s">
        <v>2442</v>
      </c>
      <c r="F316" s="905"/>
      <c r="G316" s="521" t="s">
        <v>194</v>
      </c>
      <c r="H316" s="522">
        <v>8</v>
      </c>
      <c r="I316" s="523">
        <v>32.35</v>
      </c>
      <c r="J316" s="523">
        <v>258.8</v>
      </c>
    </row>
    <row r="317" spans="1:10" x14ac:dyDescent="0.3">
      <c r="A317" s="519" t="s">
        <v>2437</v>
      </c>
      <c r="B317" s="520" t="s">
        <v>2651</v>
      </c>
      <c r="C317" s="519" t="s">
        <v>125</v>
      </c>
      <c r="D317" s="519" t="s">
        <v>2652</v>
      </c>
      <c r="E317" s="905" t="s">
        <v>2442</v>
      </c>
      <c r="F317" s="905"/>
      <c r="G317" s="521" t="s">
        <v>384</v>
      </c>
      <c r="H317" s="522">
        <v>0.56000000000000005</v>
      </c>
      <c r="I317" s="523">
        <v>6.3659999999999997</v>
      </c>
      <c r="J317" s="523">
        <v>3.56</v>
      </c>
    </row>
    <row r="318" spans="1:10" ht="37.5" x14ac:dyDescent="0.3">
      <c r="A318" s="519" t="s">
        <v>2437</v>
      </c>
      <c r="B318" s="520" t="s">
        <v>2653</v>
      </c>
      <c r="C318" s="519" t="s">
        <v>32</v>
      </c>
      <c r="D318" s="519" t="s">
        <v>2654</v>
      </c>
      <c r="E318" s="905" t="s">
        <v>2442</v>
      </c>
      <c r="F318" s="905"/>
      <c r="G318" s="521" t="s">
        <v>89</v>
      </c>
      <c r="H318" s="522">
        <v>1</v>
      </c>
      <c r="I318" s="523">
        <v>42.53</v>
      </c>
      <c r="J318" s="523">
        <v>42.53</v>
      </c>
    </row>
    <row r="319" spans="1:10" x14ac:dyDescent="0.3">
      <c r="A319" s="910" t="s">
        <v>4243</v>
      </c>
      <c r="B319" s="910"/>
      <c r="C319" s="910"/>
      <c r="D319" s="910"/>
      <c r="E319" s="910"/>
      <c r="F319" s="910"/>
      <c r="G319" s="910"/>
      <c r="H319" s="910"/>
      <c r="I319" s="910"/>
      <c r="J319"/>
    </row>
    <row r="320" spans="1:10" ht="15" customHeight="1" thickBot="1" x14ac:dyDescent="0.35">
      <c r="A320" s="909" t="s">
        <v>4254</v>
      </c>
      <c r="B320" s="909"/>
      <c r="C320" s="909"/>
      <c r="D320" s="909"/>
      <c r="E320" s="909"/>
      <c r="F320" s="909"/>
      <c r="G320" s="909"/>
      <c r="H320" s="909"/>
      <c r="I320" s="909"/>
      <c r="J320"/>
    </row>
    <row r="321" spans="1:10" ht="15" customHeight="1" thickTop="1" x14ac:dyDescent="0.3">
      <c r="A321" s="647"/>
      <c r="B321" s="647"/>
      <c r="C321" s="647"/>
      <c r="D321" s="647"/>
      <c r="E321" s="647"/>
      <c r="F321" s="647"/>
      <c r="G321" s="647"/>
      <c r="H321" s="647"/>
      <c r="I321" s="647"/>
      <c r="J321" s="647"/>
    </row>
    <row r="322" spans="1:10" s="358" customFormat="1" x14ac:dyDescent="0.3">
      <c r="A322" s="516"/>
      <c r="B322" s="517" t="s">
        <v>15</v>
      </c>
      <c r="C322" s="516" t="s">
        <v>16</v>
      </c>
      <c r="D322" s="516" t="s">
        <v>17</v>
      </c>
      <c r="E322" s="904" t="s">
        <v>2431</v>
      </c>
      <c r="F322" s="904"/>
      <c r="G322" s="518" t="s">
        <v>18</v>
      </c>
      <c r="H322" s="517" t="s">
        <v>19</v>
      </c>
      <c r="I322" s="517" t="s">
        <v>20</v>
      </c>
      <c r="J322" s="517" t="s">
        <v>23</v>
      </c>
    </row>
    <row r="323" spans="1:10" ht="25.5" customHeight="1" x14ac:dyDescent="0.3">
      <c r="A323" s="642" t="s">
        <v>2432</v>
      </c>
      <c r="B323" s="643" t="s">
        <v>4219</v>
      </c>
      <c r="C323" s="642" t="s">
        <v>39</v>
      </c>
      <c r="D323" s="642" t="s">
        <v>149</v>
      </c>
      <c r="E323" s="906" t="s">
        <v>2641</v>
      </c>
      <c r="F323" s="906"/>
      <c r="G323" s="644" t="s">
        <v>89</v>
      </c>
      <c r="H323" s="645">
        <v>1</v>
      </c>
      <c r="I323" s="646">
        <v>1927.88</v>
      </c>
      <c r="J323" s="646">
        <v>1927.88</v>
      </c>
    </row>
    <row r="324" spans="1:10" s="358" customFormat="1" ht="25.5" customHeight="1" x14ac:dyDescent="0.3">
      <c r="A324" s="519" t="s">
        <v>2434</v>
      </c>
      <c r="B324" s="520" t="s">
        <v>2561</v>
      </c>
      <c r="C324" s="519" t="s">
        <v>32</v>
      </c>
      <c r="D324" s="519" t="s">
        <v>2562</v>
      </c>
      <c r="E324" s="905" t="s">
        <v>2433</v>
      </c>
      <c r="F324" s="905"/>
      <c r="G324" s="521" t="s">
        <v>1901</v>
      </c>
      <c r="H324" s="522">
        <v>10</v>
      </c>
      <c r="I324" s="523">
        <v>23.4</v>
      </c>
      <c r="J324" s="523">
        <v>234</v>
      </c>
    </row>
    <row r="325" spans="1:10" ht="25" x14ac:dyDescent="0.3">
      <c r="A325" s="519" t="s">
        <v>2434</v>
      </c>
      <c r="B325" s="520" t="s">
        <v>2642</v>
      </c>
      <c r="C325" s="519" t="s">
        <v>32</v>
      </c>
      <c r="D325" s="519" t="s">
        <v>2643</v>
      </c>
      <c r="E325" s="905" t="s">
        <v>2433</v>
      </c>
      <c r="F325" s="905"/>
      <c r="G325" s="521" t="s">
        <v>1901</v>
      </c>
      <c r="H325" s="522">
        <v>10</v>
      </c>
      <c r="I325" s="523">
        <v>31.81</v>
      </c>
      <c r="J325" s="523">
        <v>318.10000000000002</v>
      </c>
    </row>
    <row r="326" spans="1:10" ht="25" x14ac:dyDescent="0.3">
      <c r="A326" s="519" t="s">
        <v>2437</v>
      </c>
      <c r="B326" s="520" t="s">
        <v>2644</v>
      </c>
      <c r="C326" s="519" t="s">
        <v>32</v>
      </c>
      <c r="D326" s="519" t="s">
        <v>4253</v>
      </c>
      <c r="E326" s="905" t="s">
        <v>2442</v>
      </c>
      <c r="F326" s="905"/>
      <c r="G326" s="521" t="s">
        <v>194</v>
      </c>
      <c r="H326" s="522">
        <v>1.2</v>
      </c>
      <c r="I326" s="523">
        <v>13.6</v>
      </c>
      <c r="J326" s="523">
        <v>16.32</v>
      </c>
    </row>
    <row r="327" spans="1:10" ht="25" x14ac:dyDescent="0.3">
      <c r="A327" s="519" t="s">
        <v>2437</v>
      </c>
      <c r="B327" s="520" t="s">
        <v>2649</v>
      </c>
      <c r="C327" s="519" t="s">
        <v>32</v>
      </c>
      <c r="D327" s="519" t="s">
        <v>2650</v>
      </c>
      <c r="E327" s="905" t="s">
        <v>2442</v>
      </c>
      <c r="F327" s="905"/>
      <c r="G327" s="521" t="s">
        <v>194</v>
      </c>
      <c r="H327" s="522">
        <v>28</v>
      </c>
      <c r="I327" s="523">
        <v>18.97</v>
      </c>
      <c r="J327" s="523">
        <v>531.16</v>
      </c>
    </row>
    <row r="328" spans="1:10" ht="25" x14ac:dyDescent="0.3">
      <c r="A328" s="519" t="s">
        <v>2437</v>
      </c>
      <c r="B328" s="520" t="s">
        <v>2655</v>
      </c>
      <c r="C328" s="519" t="s">
        <v>32</v>
      </c>
      <c r="D328" s="519" t="s">
        <v>2656</v>
      </c>
      <c r="E328" s="905" t="s">
        <v>2442</v>
      </c>
      <c r="F328" s="905"/>
      <c r="G328" s="521" t="s">
        <v>194</v>
      </c>
      <c r="H328" s="522">
        <v>13</v>
      </c>
      <c r="I328" s="523">
        <v>44.89</v>
      </c>
      <c r="J328" s="523">
        <v>583.57000000000005</v>
      </c>
    </row>
    <row r="329" spans="1:10" x14ac:dyDescent="0.3">
      <c r="A329" s="519" t="s">
        <v>2437</v>
      </c>
      <c r="B329" s="520" t="s">
        <v>2645</v>
      </c>
      <c r="C329" s="519" t="s">
        <v>32</v>
      </c>
      <c r="D329" s="519" t="s">
        <v>2646</v>
      </c>
      <c r="E329" s="905" t="s">
        <v>2442</v>
      </c>
      <c r="F329" s="905"/>
      <c r="G329" s="521" t="s">
        <v>1369</v>
      </c>
      <c r="H329" s="522">
        <v>0.8</v>
      </c>
      <c r="I329" s="523">
        <v>46.12</v>
      </c>
      <c r="J329" s="523">
        <v>36.89</v>
      </c>
    </row>
    <row r="330" spans="1:10" ht="25" x14ac:dyDescent="0.3">
      <c r="A330" s="519" t="s">
        <v>2437</v>
      </c>
      <c r="B330" s="520" t="s">
        <v>2647</v>
      </c>
      <c r="C330" s="519" t="s">
        <v>32</v>
      </c>
      <c r="D330" s="519" t="s">
        <v>2648</v>
      </c>
      <c r="E330" s="905" t="s">
        <v>2442</v>
      </c>
      <c r="F330" s="905"/>
      <c r="G330" s="521" t="s">
        <v>194</v>
      </c>
      <c r="H330" s="522">
        <v>5</v>
      </c>
      <c r="I330" s="523">
        <v>32.35</v>
      </c>
      <c r="J330" s="523">
        <v>161.75</v>
      </c>
    </row>
    <row r="331" spans="1:10" ht="37.5" x14ac:dyDescent="0.3">
      <c r="A331" s="519" t="s">
        <v>2437</v>
      </c>
      <c r="B331" s="520" t="s">
        <v>2653</v>
      </c>
      <c r="C331" s="519" t="s">
        <v>32</v>
      </c>
      <c r="D331" s="519" t="s">
        <v>2654</v>
      </c>
      <c r="E331" s="905" t="s">
        <v>2442</v>
      </c>
      <c r="F331" s="905"/>
      <c r="G331" s="521" t="s">
        <v>89</v>
      </c>
      <c r="H331" s="522">
        <v>1</v>
      </c>
      <c r="I331" s="523">
        <v>42.53</v>
      </c>
      <c r="J331" s="523">
        <v>42.53</v>
      </c>
    </row>
    <row r="332" spans="1:10" x14ac:dyDescent="0.3">
      <c r="A332" s="519" t="s">
        <v>2437</v>
      </c>
      <c r="B332" s="520" t="s">
        <v>2651</v>
      </c>
      <c r="C332" s="519" t="s">
        <v>125</v>
      </c>
      <c r="D332" s="519" t="s">
        <v>2652</v>
      </c>
      <c r="E332" s="905" t="s">
        <v>2442</v>
      </c>
      <c r="F332" s="905"/>
      <c r="G332" s="521" t="s">
        <v>384</v>
      </c>
      <c r="H332" s="522">
        <v>0.56000000000000005</v>
      </c>
      <c r="I332" s="523">
        <v>6.3659999999999997</v>
      </c>
      <c r="J332" s="523">
        <v>3.56</v>
      </c>
    </row>
    <row r="333" spans="1:10" x14ac:dyDescent="0.3">
      <c r="A333" s="910" t="s">
        <v>4243</v>
      </c>
      <c r="B333" s="910"/>
      <c r="C333" s="910"/>
      <c r="D333" s="910"/>
      <c r="E333" s="910"/>
      <c r="F333" s="910"/>
      <c r="G333" s="910"/>
      <c r="H333" s="910"/>
      <c r="I333" s="910"/>
      <c r="J333"/>
    </row>
    <row r="334" spans="1:10" ht="15" customHeight="1" thickBot="1" x14ac:dyDescent="0.35">
      <c r="A334" s="909" t="s">
        <v>4255</v>
      </c>
      <c r="B334" s="909"/>
      <c r="C334" s="909"/>
      <c r="D334" s="909"/>
      <c r="E334" s="909"/>
      <c r="F334" s="909"/>
      <c r="G334" s="909"/>
      <c r="H334" s="909"/>
      <c r="I334" s="909"/>
      <c r="J334"/>
    </row>
    <row r="335" spans="1:10" ht="15" customHeight="1" thickTop="1" x14ac:dyDescent="0.3">
      <c r="A335" s="647"/>
      <c r="B335" s="647"/>
      <c r="C335" s="647"/>
      <c r="D335" s="647"/>
      <c r="E335" s="647"/>
      <c r="F335" s="647"/>
      <c r="G335" s="647"/>
      <c r="H335" s="647"/>
      <c r="I335" s="647"/>
      <c r="J335" s="647"/>
    </row>
    <row r="336" spans="1:10" s="358" customFormat="1" x14ac:dyDescent="0.3">
      <c r="A336" s="516"/>
      <c r="B336" s="517" t="s">
        <v>15</v>
      </c>
      <c r="C336" s="516" t="s">
        <v>16</v>
      </c>
      <c r="D336" s="516" t="s">
        <v>17</v>
      </c>
      <c r="E336" s="904" t="s">
        <v>2431</v>
      </c>
      <c r="F336" s="904"/>
      <c r="G336" s="518" t="s">
        <v>18</v>
      </c>
      <c r="H336" s="517" t="s">
        <v>19</v>
      </c>
      <c r="I336" s="517" t="s">
        <v>20</v>
      </c>
      <c r="J336" s="517" t="s">
        <v>23</v>
      </c>
    </row>
    <row r="337" spans="1:10" ht="25" x14ac:dyDescent="0.3">
      <c r="A337" s="642" t="s">
        <v>2432</v>
      </c>
      <c r="B337" s="643" t="s">
        <v>150</v>
      </c>
      <c r="C337" s="642" t="s">
        <v>32</v>
      </c>
      <c r="D337" s="642" t="s">
        <v>151</v>
      </c>
      <c r="E337" s="906" t="s">
        <v>2485</v>
      </c>
      <c r="F337" s="906"/>
      <c r="G337" s="644" t="s">
        <v>115</v>
      </c>
      <c r="H337" s="645">
        <v>1</v>
      </c>
      <c r="I337" s="646">
        <v>956.67</v>
      </c>
      <c r="J337" s="646">
        <v>956.67</v>
      </c>
    </row>
    <row r="338" spans="1:10" s="358" customFormat="1" ht="62.5" x14ac:dyDescent="0.3">
      <c r="A338" s="519" t="s">
        <v>2434</v>
      </c>
      <c r="B338" s="520" t="s">
        <v>2657</v>
      </c>
      <c r="C338" s="519" t="s">
        <v>32</v>
      </c>
      <c r="D338" s="519" t="s">
        <v>2658</v>
      </c>
      <c r="E338" s="905" t="s">
        <v>2641</v>
      </c>
      <c r="F338" s="905"/>
      <c r="G338" s="521" t="s">
        <v>115</v>
      </c>
      <c r="H338" s="522">
        <v>0.19309999999999999</v>
      </c>
      <c r="I338" s="523">
        <v>793.12</v>
      </c>
      <c r="J338" s="523">
        <v>153.15</v>
      </c>
    </row>
    <row r="339" spans="1:10" ht="25.5" customHeight="1" x14ac:dyDescent="0.3">
      <c r="A339" s="519" t="s">
        <v>2434</v>
      </c>
      <c r="B339" s="520" t="s">
        <v>2659</v>
      </c>
      <c r="C339" s="519" t="s">
        <v>32</v>
      </c>
      <c r="D339" s="519" t="s">
        <v>2660</v>
      </c>
      <c r="E339" s="905" t="s">
        <v>2661</v>
      </c>
      <c r="F339" s="905"/>
      <c r="G339" s="521" t="s">
        <v>89</v>
      </c>
      <c r="H339" s="522">
        <v>0.19309999999999999</v>
      </c>
      <c r="I339" s="523">
        <v>18.989999999999998</v>
      </c>
      <c r="J339" s="523">
        <v>3.66</v>
      </c>
    </row>
    <row r="340" spans="1:10" ht="25.5" customHeight="1" x14ac:dyDescent="0.3">
      <c r="A340" s="519" t="s">
        <v>2434</v>
      </c>
      <c r="B340" s="520" t="s">
        <v>2662</v>
      </c>
      <c r="C340" s="519" t="s">
        <v>32</v>
      </c>
      <c r="D340" s="519" t="s">
        <v>4256</v>
      </c>
      <c r="E340" s="905" t="s">
        <v>2663</v>
      </c>
      <c r="F340" s="905"/>
      <c r="G340" s="521" t="s">
        <v>115</v>
      </c>
      <c r="H340" s="522">
        <v>3.7181000000000002</v>
      </c>
      <c r="I340" s="523">
        <v>13.83</v>
      </c>
      <c r="J340" s="523">
        <v>51.42</v>
      </c>
    </row>
    <row r="341" spans="1:10" ht="37.5" x14ac:dyDescent="0.3">
      <c r="A341" s="519" t="s">
        <v>2434</v>
      </c>
      <c r="B341" s="520" t="s">
        <v>2664</v>
      </c>
      <c r="C341" s="519" t="s">
        <v>32</v>
      </c>
      <c r="D341" s="519" t="s">
        <v>2665</v>
      </c>
      <c r="E341" s="905" t="s">
        <v>2641</v>
      </c>
      <c r="F341" s="905"/>
      <c r="G341" s="521" t="s">
        <v>89</v>
      </c>
      <c r="H341" s="522">
        <v>0.19309999999999999</v>
      </c>
      <c r="I341" s="523">
        <v>398.03</v>
      </c>
      <c r="J341" s="523">
        <v>76.849999999999994</v>
      </c>
    </row>
    <row r="342" spans="1:10" ht="50" x14ac:dyDescent="0.3">
      <c r="A342" s="519" t="s">
        <v>2434</v>
      </c>
      <c r="B342" s="520" t="s">
        <v>2666</v>
      </c>
      <c r="C342" s="519" t="s">
        <v>32</v>
      </c>
      <c r="D342" s="519" t="s">
        <v>4257</v>
      </c>
      <c r="E342" s="905" t="s">
        <v>2667</v>
      </c>
      <c r="F342" s="905"/>
      <c r="G342" s="521" t="s">
        <v>194</v>
      </c>
      <c r="H342" s="522">
        <v>0.21240000000000001</v>
      </c>
      <c r="I342" s="523">
        <v>10.73</v>
      </c>
      <c r="J342" s="523">
        <v>2.27</v>
      </c>
    </row>
    <row r="343" spans="1:10" ht="50" x14ac:dyDescent="0.3">
      <c r="A343" s="519" t="s">
        <v>2434</v>
      </c>
      <c r="B343" s="520" t="s">
        <v>2668</v>
      </c>
      <c r="C343" s="519" t="s">
        <v>32</v>
      </c>
      <c r="D343" s="519" t="s">
        <v>4258</v>
      </c>
      <c r="E343" s="905" t="s">
        <v>2667</v>
      </c>
      <c r="F343" s="905"/>
      <c r="G343" s="521" t="s">
        <v>194</v>
      </c>
      <c r="H343" s="522">
        <v>0.47299999999999998</v>
      </c>
      <c r="I343" s="523">
        <v>4</v>
      </c>
      <c r="J343" s="523">
        <v>1.89</v>
      </c>
    </row>
    <row r="344" spans="1:10" ht="38.25" customHeight="1" x14ac:dyDescent="0.3">
      <c r="A344" s="519" t="s">
        <v>2434</v>
      </c>
      <c r="B344" s="520" t="s">
        <v>2669</v>
      </c>
      <c r="C344" s="519" t="s">
        <v>32</v>
      </c>
      <c r="D344" s="519" t="s">
        <v>4259</v>
      </c>
      <c r="E344" s="905" t="s">
        <v>2661</v>
      </c>
      <c r="F344" s="905"/>
      <c r="G344" s="521" t="s">
        <v>194</v>
      </c>
      <c r="H344" s="522">
        <v>0.19309999999999999</v>
      </c>
      <c r="I344" s="523">
        <v>9.9499999999999993</v>
      </c>
      <c r="J344" s="523">
        <v>1.92</v>
      </c>
    </row>
    <row r="345" spans="1:10" ht="38.25" customHeight="1" x14ac:dyDescent="0.3">
      <c r="A345" s="519" t="s">
        <v>2434</v>
      </c>
      <c r="B345" s="520" t="s">
        <v>2670</v>
      </c>
      <c r="C345" s="519" t="s">
        <v>32</v>
      </c>
      <c r="D345" s="519" t="s">
        <v>4260</v>
      </c>
      <c r="E345" s="905" t="s">
        <v>2661</v>
      </c>
      <c r="F345" s="905"/>
      <c r="G345" s="521" t="s">
        <v>194</v>
      </c>
      <c r="H345" s="522">
        <v>0.21240000000000001</v>
      </c>
      <c r="I345" s="523">
        <v>10.85</v>
      </c>
      <c r="J345" s="523">
        <v>2.2999999999999998</v>
      </c>
    </row>
    <row r="346" spans="1:10" ht="38.25" customHeight="1" x14ac:dyDescent="0.3">
      <c r="A346" s="519" t="s">
        <v>2434</v>
      </c>
      <c r="B346" s="520" t="s">
        <v>2671</v>
      </c>
      <c r="C346" s="519" t="s">
        <v>32</v>
      </c>
      <c r="D346" s="519" t="s">
        <v>4261</v>
      </c>
      <c r="E346" s="905" t="s">
        <v>2661</v>
      </c>
      <c r="F346" s="905"/>
      <c r="G346" s="521" t="s">
        <v>194</v>
      </c>
      <c r="H346" s="522">
        <v>0.48259999999999997</v>
      </c>
      <c r="I346" s="523">
        <v>14.11</v>
      </c>
      <c r="J346" s="523">
        <v>6.8</v>
      </c>
    </row>
    <row r="347" spans="1:10" ht="38.25" customHeight="1" x14ac:dyDescent="0.3">
      <c r="A347" s="519" t="s">
        <v>2434</v>
      </c>
      <c r="B347" s="520" t="s">
        <v>2672</v>
      </c>
      <c r="C347" s="519" t="s">
        <v>32</v>
      </c>
      <c r="D347" s="519" t="s">
        <v>4262</v>
      </c>
      <c r="E347" s="905" t="s">
        <v>2661</v>
      </c>
      <c r="F347" s="905"/>
      <c r="G347" s="521" t="s">
        <v>194</v>
      </c>
      <c r="H347" s="522">
        <v>2.1429</v>
      </c>
      <c r="I347" s="523">
        <v>5.0999999999999996</v>
      </c>
      <c r="J347" s="523">
        <v>10.92</v>
      </c>
    </row>
    <row r="348" spans="1:10" ht="38.25" customHeight="1" x14ac:dyDescent="0.3">
      <c r="A348" s="519" t="s">
        <v>2434</v>
      </c>
      <c r="B348" s="520" t="s">
        <v>2673</v>
      </c>
      <c r="C348" s="519" t="s">
        <v>32</v>
      </c>
      <c r="D348" s="519" t="s">
        <v>4263</v>
      </c>
      <c r="E348" s="905" t="s">
        <v>2661</v>
      </c>
      <c r="F348" s="905"/>
      <c r="G348" s="521" t="s">
        <v>89</v>
      </c>
      <c r="H348" s="522">
        <v>0.19309999999999999</v>
      </c>
      <c r="I348" s="523">
        <v>76.37</v>
      </c>
      <c r="J348" s="523">
        <v>14.74</v>
      </c>
    </row>
    <row r="349" spans="1:10" ht="38.25" customHeight="1" x14ac:dyDescent="0.3">
      <c r="A349" s="519" t="s">
        <v>2434</v>
      </c>
      <c r="B349" s="520" t="s">
        <v>2674</v>
      </c>
      <c r="C349" s="519" t="s">
        <v>32</v>
      </c>
      <c r="D349" s="519" t="s">
        <v>2675</v>
      </c>
      <c r="E349" s="905" t="s">
        <v>2676</v>
      </c>
      <c r="F349" s="905"/>
      <c r="G349" s="521" t="s">
        <v>115</v>
      </c>
      <c r="H349" s="522">
        <v>1.5965</v>
      </c>
      <c r="I349" s="523">
        <v>23.44</v>
      </c>
      <c r="J349" s="523">
        <v>37.42</v>
      </c>
    </row>
    <row r="350" spans="1:10" ht="50" x14ac:dyDescent="0.3">
      <c r="A350" s="519" t="s">
        <v>2434</v>
      </c>
      <c r="B350" s="520" t="s">
        <v>2677</v>
      </c>
      <c r="C350" s="519" t="s">
        <v>32</v>
      </c>
      <c r="D350" s="519" t="s">
        <v>2678</v>
      </c>
      <c r="E350" s="905" t="s">
        <v>2676</v>
      </c>
      <c r="F350" s="905"/>
      <c r="G350" s="521" t="s">
        <v>115</v>
      </c>
      <c r="H350" s="522">
        <v>1.5965</v>
      </c>
      <c r="I350" s="523">
        <v>44.7</v>
      </c>
      <c r="J350" s="523">
        <v>71.36</v>
      </c>
    </row>
    <row r="351" spans="1:10" ht="25" x14ac:dyDescent="0.3">
      <c r="A351" s="519" t="s">
        <v>2434</v>
      </c>
      <c r="B351" s="520" t="s">
        <v>2679</v>
      </c>
      <c r="C351" s="519" t="s">
        <v>32</v>
      </c>
      <c r="D351" s="519" t="s">
        <v>2680</v>
      </c>
      <c r="E351" s="905" t="s">
        <v>2617</v>
      </c>
      <c r="F351" s="905"/>
      <c r="G351" s="521" t="s">
        <v>115</v>
      </c>
      <c r="H351" s="522">
        <v>1.8263</v>
      </c>
      <c r="I351" s="523">
        <v>19.77</v>
      </c>
      <c r="J351" s="523">
        <v>36.1</v>
      </c>
    </row>
    <row r="352" spans="1:10" ht="38.25" customHeight="1" x14ac:dyDescent="0.3">
      <c r="A352" s="519" t="s">
        <v>2434</v>
      </c>
      <c r="B352" s="520" t="s">
        <v>2681</v>
      </c>
      <c r="C352" s="519" t="s">
        <v>32</v>
      </c>
      <c r="D352" s="519" t="s">
        <v>4264</v>
      </c>
      <c r="E352" s="905" t="s">
        <v>2661</v>
      </c>
      <c r="F352" s="905"/>
      <c r="G352" s="521" t="s">
        <v>89</v>
      </c>
      <c r="H352" s="522">
        <v>0.3861</v>
      </c>
      <c r="I352" s="523">
        <v>20.95</v>
      </c>
      <c r="J352" s="523">
        <v>8.08</v>
      </c>
    </row>
    <row r="353" spans="1:10" ht="38.25" customHeight="1" x14ac:dyDescent="0.3">
      <c r="A353" s="519" t="s">
        <v>2434</v>
      </c>
      <c r="B353" s="520" t="s">
        <v>2682</v>
      </c>
      <c r="C353" s="519" t="s">
        <v>32</v>
      </c>
      <c r="D353" s="519" t="s">
        <v>2683</v>
      </c>
      <c r="E353" s="905" t="s">
        <v>2661</v>
      </c>
      <c r="F353" s="905"/>
      <c r="G353" s="521" t="s">
        <v>89</v>
      </c>
      <c r="H353" s="522">
        <v>0.19309999999999999</v>
      </c>
      <c r="I353" s="523">
        <v>131.19999999999999</v>
      </c>
      <c r="J353" s="523">
        <v>25.33</v>
      </c>
    </row>
    <row r="354" spans="1:10" ht="38.25" customHeight="1" x14ac:dyDescent="0.3">
      <c r="A354" s="519" t="s">
        <v>2434</v>
      </c>
      <c r="B354" s="520" t="s">
        <v>2684</v>
      </c>
      <c r="C354" s="519" t="s">
        <v>32</v>
      </c>
      <c r="D354" s="519" t="s">
        <v>2685</v>
      </c>
      <c r="E354" s="905" t="s">
        <v>2686</v>
      </c>
      <c r="F354" s="905"/>
      <c r="G354" s="521" t="s">
        <v>89</v>
      </c>
      <c r="H354" s="522">
        <v>0.19309999999999999</v>
      </c>
      <c r="I354" s="523">
        <v>36.81</v>
      </c>
      <c r="J354" s="523">
        <v>7.1</v>
      </c>
    </row>
    <row r="355" spans="1:10" ht="37.5" x14ac:dyDescent="0.3">
      <c r="A355" s="519" t="s">
        <v>2434</v>
      </c>
      <c r="B355" s="520" t="s">
        <v>2687</v>
      </c>
      <c r="C355" s="519" t="s">
        <v>32</v>
      </c>
      <c r="D355" s="519" t="s">
        <v>2688</v>
      </c>
      <c r="E355" s="905" t="s">
        <v>2485</v>
      </c>
      <c r="F355" s="905"/>
      <c r="G355" s="521" t="s">
        <v>115</v>
      </c>
      <c r="H355" s="522">
        <v>0.754</v>
      </c>
      <c r="I355" s="523">
        <v>86.04</v>
      </c>
      <c r="J355" s="523">
        <v>64.87</v>
      </c>
    </row>
    <row r="356" spans="1:10" ht="37.5" x14ac:dyDescent="0.3">
      <c r="A356" s="519" t="s">
        <v>2434</v>
      </c>
      <c r="B356" s="520" t="s">
        <v>2689</v>
      </c>
      <c r="C356" s="519" t="s">
        <v>32</v>
      </c>
      <c r="D356" s="519" t="s">
        <v>2690</v>
      </c>
      <c r="E356" s="905" t="s">
        <v>2485</v>
      </c>
      <c r="F356" s="905"/>
      <c r="G356" s="521" t="s">
        <v>115</v>
      </c>
      <c r="H356" s="522">
        <v>0.86780000000000002</v>
      </c>
      <c r="I356" s="523">
        <v>141.79</v>
      </c>
      <c r="J356" s="523">
        <v>123.04</v>
      </c>
    </row>
    <row r="357" spans="1:10" ht="37.5" x14ac:dyDescent="0.3">
      <c r="A357" s="519" t="s">
        <v>2434</v>
      </c>
      <c r="B357" s="520" t="s">
        <v>2691</v>
      </c>
      <c r="C357" s="519" t="s">
        <v>32</v>
      </c>
      <c r="D357" s="519" t="s">
        <v>2692</v>
      </c>
      <c r="E357" s="905" t="s">
        <v>2485</v>
      </c>
      <c r="F357" s="905"/>
      <c r="G357" s="521" t="s">
        <v>115</v>
      </c>
      <c r="H357" s="522">
        <v>1.1778999999999999</v>
      </c>
      <c r="I357" s="523">
        <v>102.51</v>
      </c>
      <c r="J357" s="523">
        <v>120.74</v>
      </c>
    </row>
    <row r="358" spans="1:10" ht="37.5" x14ac:dyDescent="0.3">
      <c r="A358" s="519" t="s">
        <v>2434</v>
      </c>
      <c r="B358" s="520" t="s">
        <v>2693</v>
      </c>
      <c r="C358" s="519" t="s">
        <v>32</v>
      </c>
      <c r="D358" s="519" t="s">
        <v>2694</v>
      </c>
      <c r="E358" s="905" t="s">
        <v>2485</v>
      </c>
      <c r="F358" s="905"/>
      <c r="G358" s="521" t="s">
        <v>115</v>
      </c>
      <c r="H358" s="522">
        <v>0.91839999999999999</v>
      </c>
      <c r="I358" s="523">
        <v>133.46</v>
      </c>
      <c r="J358" s="523">
        <v>122.56</v>
      </c>
    </row>
    <row r="359" spans="1:10" ht="50.5" thickBot="1" x14ac:dyDescent="0.35">
      <c r="A359" s="519" t="s">
        <v>2437</v>
      </c>
      <c r="B359" s="520" t="s">
        <v>2695</v>
      </c>
      <c r="C359" s="519" t="s">
        <v>32</v>
      </c>
      <c r="D359" s="519" t="s">
        <v>2696</v>
      </c>
      <c r="E359" s="905" t="s">
        <v>2442</v>
      </c>
      <c r="F359" s="905"/>
      <c r="G359" s="521" t="s">
        <v>2697</v>
      </c>
      <c r="H359" s="522">
        <v>0.19309999999999999</v>
      </c>
      <c r="I359" s="523">
        <v>73.319999999999993</v>
      </c>
      <c r="J359" s="523">
        <v>14.15</v>
      </c>
    </row>
    <row r="360" spans="1:10" ht="14.5" thickTop="1" x14ac:dyDescent="0.3">
      <c r="A360" s="647"/>
      <c r="B360" s="647"/>
      <c r="C360" s="647"/>
      <c r="D360" s="647"/>
      <c r="E360" s="647"/>
      <c r="F360" s="647"/>
      <c r="G360" s="647"/>
      <c r="H360" s="647"/>
      <c r="I360" s="647"/>
      <c r="J360" s="647"/>
    </row>
    <row r="361" spans="1:10" s="358" customFormat="1" x14ac:dyDescent="0.3">
      <c r="A361" s="516"/>
      <c r="B361" s="517" t="s">
        <v>15</v>
      </c>
      <c r="C361" s="516" t="s">
        <v>16</v>
      </c>
      <c r="D361" s="516" t="s">
        <v>17</v>
      </c>
      <c r="E361" s="904" t="s">
        <v>2431</v>
      </c>
      <c r="F361" s="904"/>
      <c r="G361" s="518" t="s">
        <v>18</v>
      </c>
      <c r="H361" s="517" t="s">
        <v>19</v>
      </c>
      <c r="I361" s="517" t="s">
        <v>20</v>
      </c>
      <c r="J361" s="517" t="s">
        <v>23</v>
      </c>
    </row>
    <row r="362" spans="1:10" ht="25" x14ac:dyDescent="0.3">
      <c r="A362" s="642" t="s">
        <v>2432</v>
      </c>
      <c r="B362" s="643" t="s">
        <v>158</v>
      </c>
      <c r="C362" s="642" t="s">
        <v>32</v>
      </c>
      <c r="D362" s="642" t="s">
        <v>159</v>
      </c>
      <c r="E362" s="906" t="s">
        <v>2485</v>
      </c>
      <c r="F362" s="906"/>
      <c r="G362" s="644" t="s">
        <v>115</v>
      </c>
      <c r="H362" s="645">
        <v>1</v>
      </c>
      <c r="I362" s="646">
        <v>755.68</v>
      </c>
      <c r="J362" s="646">
        <v>755.68</v>
      </c>
    </row>
    <row r="363" spans="1:10" s="358" customFormat="1" ht="37.5" x14ac:dyDescent="0.3">
      <c r="A363" s="519" t="s">
        <v>2434</v>
      </c>
      <c r="B363" s="520" t="s">
        <v>2698</v>
      </c>
      <c r="C363" s="519" t="s">
        <v>32</v>
      </c>
      <c r="D363" s="519" t="s">
        <v>2699</v>
      </c>
      <c r="E363" s="905" t="s">
        <v>2617</v>
      </c>
      <c r="F363" s="905"/>
      <c r="G363" s="521" t="s">
        <v>118</v>
      </c>
      <c r="H363" s="522">
        <v>4.1700000000000001E-2</v>
      </c>
      <c r="I363" s="523">
        <v>1099.54</v>
      </c>
      <c r="J363" s="523">
        <v>45.85</v>
      </c>
    </row>
    <row r="364" spans="1:10" ht="25" x14ac:dyDescent="0.3">
      <c r="A364" s="519" t="s">
        <v>2434</v>
      </c>
      <c r="B364" s="520" t="s">
        <v>2662</v>
      </c>
      <c r="C364" s="519" t="s">
        <v>32</v>
      </c>
      <c r="D364" s="519" t="s">
        <v>4256</v>
      </c>
      <c r="E364" s="905" t="s">
        <v>2663</v>
      </c>
      <c r="F364" s="905"/>
      <c r="G364" s="521" t="s">
        <v>115</v>
      </c>
      <c r="H364" s="522">
        <v>5.0648999999999997</v>
      </c>
      <c r="I364" s="523">
        <v>13.83</v>
      </c>
      <c r="J364" s="523">
        <v>70.040000000000006</v>
      </c>
    </row>
    <row r="365" spans="1:10" ht="50" x14ac:dyDescent="0.3">
      <c r="A365" s="519" t="s">
        <v>2434</v>
      </c>
      <c r="B365" s="520" t="s">
        <v>2666</v>
      </c>
      <c r="C365" s="519" t="s">
        <v>32</v>
      </c>
      <c r="D365" s="519" t="s">
        <v>4257</v>
      </c>
      <c r="E365" s="905" t="s">
        <v>2667</v>
      </c>
      <c r="F365" s="905"/>
      <c r="G365" s="521" t="s">
        <v>194</v>
      </c>
      <c r="H365" s="522">
        <v>0.13250000000000001</v>
      </c>
      <c r="I365" s="523">
        <v>10.73</v>
      </c>
      <c r="J365" s="523">
        <v>1.42</v>
      </c>
    </row>
    <row r="366" spans="1:10" ht="50" x14ac:dyDescent="0.3">
      <c r="A366" s="519" t="s">
        <v>2434</v>
      </c>
      <c r="B366" s="520" t="s">
        <v>2668</v>
      </c>
      <c r="C366" s="519" t="s">
        <v>32</v>
      </c>
      <c r="D366" s="519" t="s">
        <v>4258</v>
      </c>
      <c r="E366" s="905" t="s">
        <v>2667</v>
      </c>
      <c r="F366" s="905"/>
      <c r="G366" s="521" t="s">
        <v>194</v>
      </c>
      <c r="H366" s="522">
        <v>0.17219999999999999</v>
      </c>
      <c r="I366" s="523">
        <v>4</v>
      </c>
      <c r="J366" s="523">
        <v>0.68</v>
      </c>
    </row>
    <row r="367" spans="1:10" ht="37.5" x14ac:dyDescent="0.3">
      <c r="A367" s="519" t="s">
        <v>2434</v>
      </c>
      <c r="B367" s="520" t="s">
        <v>2700</v>
      </c>
      <c r="C367" s="519" t="s">
        <v>32</v>
      </c>
      <c r="D367" s="519" t="s">
        <v>2701</v>
      </c>
      <c r="E367" s="905" t="s">
        <v>2641</v>
      </c>
      <c r="F367" s="905"/>
      <c r="G367" s="521" t="s">
        <v>115</v>
      </c>
      <c r="H367" s="522">
        <v>0.153</v>
      </c>
      <c r="I367" s="523">
        <v>619.99</v>
      </c>
      <c r="J367" s="523">
        <v>94.85</v>
      </c>
    </row>
    <row r="368" spans="1:10" ht="38.25" customHeight="1" x14ac:dyDescent="0.3">
      <c r="A368" s="519" t="s">
        <v>2434</v>
      </c>
      <c r="B368" s="520" t="s">
        <v>2669</v>
      </c>
      <c r="C368" s="519" t="s">
        <v>32</v>
      </c>
      <c r="D368" s="519" t="s">
        <v>4259</v>
      </c>
      <c r="E368" s="905" t="s">
        <v>2661</v>
      </c>
      <c r="F368" s="905"/>
      <c r="G368" s="521" t="s">
        <v>194</v>
      </c>
      <c r="H368" s="522">
        <v>6.6199999999999995E-2</v>
      </c>
      <c r="I368" s="523">
        <v>9.9499999999999993</v>
      </c>
      <c r="J368" s="523">
        <v>0.65</v>
      </c>
    </row>
    <row r="369" spans="1:10" ht="38.25" customHeight="1" x14ac:dyDescent="0.3">
      <c r="A369" s="519" t="s">
        <v>2434</v>
      </c>
      <c r="B369" s="520" t="s">
        <v>2670</v>
      </c>
      <c r="C369" s="519" t="s">
        <v>32</v>
      </c>
      <c r="D369" s="519" t="s">
        <v>4260</v>
      </c>
      <c r="E369" s="905" t="s">
        <v>2661</v>
      </c>
      <c r="F369" s="905"/>
      <c r="G369" s="521" t="s">
        <v>194</v>
      </c>
      <c r="H369" s="522">
        <v>0.13250000000000001</v>
      </c>
      <c r="I369" s="523">
        <v>10.85</v>
      </c>
      <c r="J369" s="523">
        <v>1.43</v>
      </c>
    </row>
    <row r="370" spans="1:10" ht="38.25" customHeight="1" x14ac:dyDescent="0.3">
      <c r="A370" s="519" t="s">
        <v>2434</v>
      </c>
      <c r="B370" s="520" t="s">
        <v>2671</v>
      </c>
      <c r="C370" s="519" t="s">
        <v>32</v>
      </c>
      <c r="D370" s="519" t="s">
        <v>4261</v>
      </c>
      <c r="E370" s="905" t="s">
        <v>2661</v>
      </c>
      <c r="F370" s="905"/>
      <c r="G370" s="521" t="s">
        <v>194</v>
      </c>
      <c r="H370" s="522">
        <v>0.17219999999999999</v>
      </c>
      <c r="I370" s="523">
        <v>14.11</v>
      </c>
      <c r="J370" s="523">
        <v>2.42</v>
      </c>
    </row>
    <row r="371" spans="1:10" ht="38.25" customHeight="1" x14ac:dyDescent="0.3">
      <c r="A371" s="519" t="s">
        <v>2434</v>
      </c>
      <c r="B371" s="520" t="s">
        <v>2702</v>
      </c>
      <c r="C371" s="519" t="s">
        <v>32</v>
      </c>
      <c r="D371" s="519" t="s">
        <v>4265</v>
      </c>
      <c r="E371" s="905" t="s">
        <v>2661</v>
      </c>
      <c r="F371" s="905"/>
      <c r="G371" s="521" t="s">
        <v>194</v>
      </c>
      <c r="H371" s="522">
        <v>0.67549999999999999</v>
      </c>
      <c r="I371" s="523">
        <v>3.49</v>
      </c>
      <c r="J371" s="523">
        <v>2.35</v>
      </c>
    </row>
    <row r="372" spans="1:10" ht="38.25" customHeight="1" x14ac:dyDescent="0.3">
      <c r="A372" s="519" t="s">
        <v>2434</v>
      </c>
      <c r="B372" s="520" t="s">
        <v>2703</v>
      </c>
      <c r="C372" s="519" t="s">
        <v>32</v>
      </c>
      <c r="D372" s="519" t="s">
        <v>4266</v>
      </c>
      <c r="E372" s="905" t="s">
        <v>2661</v>
      </c>
      <c r="F372" s="905"/>
      <c r="G372" s="521" t="s">
        <v>89</v>
      </c>
      <c r="H372" s="522">
        <v>6.6199999999999995E-2</v>
      </c>
      <c r="I372" s="523">
        <v>58.26</v>
      </c>
      <c r="J372" s="523">
        <v>3.85</v>
      </c>
    </row>
    <row r="373" spans="1:10" ht="38.25" customHeight="1" x14ac:dyDescent="0.3">
      <c r="A373" s="519" t="s">
        <v>2434</v>
      </c>
      <c r="B373" s="520" t="s">
        <v>2674</v>
      </c>
      <c r="C373" s="519" t="s">
        <v>32</v>
      </c>
      <c r="D373" s="519" t="s">
        <v>2675</v>
      </c>
      <c r="E373" s="905" t="s">
        <v>2676</v>
      </c>
      <c r="F373" s="905"/>
      <c r="G373" s="521" t="s">
        <v>115</v>
      </c>
      <c r="H373" s="522">
        <v>1.7192000000000001</v>
      </c>
      <c r="I373" s="523">
        <v>23.44</v>
      </c>
      <c r="J373" s="523">
        <v>40.29</v>
      </c>
    </row>
    <row r="374" spans="1:10" ht="25" x14ac:dyDescent="0.3">
      <c r="A374" s="519" t="s">
        <v>2434</v>
      </c>
      <c r="B374" s="520" t="s">
        <v>2704</v>
      </c>
      <c r="C374" s="519" t="s">
        <v>32</v>
      </c>
      <c r="D374" s="519" t="s">
        <v>2705</v>
      </c>
      <c r="E374" s="905" t="s">
        <v>2706</v>
      </c>
      <c r="F374" s="905"/>
      <c r="G374" s="521" t="s">
        <v>118</v>
      </c>
      <c r="H374" s="522">
        <v>4.0399999999999998E-2</v>
      </c>
      <c r="I374" s="523">
        <v>92.56</v>
      </c>
      <c r="J374" s="523">
        <v>3.73</v>
      </c>
    </row>
    <row r="375" spans="1:10" ht="25" x14ac:dyDescent="0.3">
      <c r="A375" s="519" t="s">
        <v>2434</v>
      </c>
      <c r="B375" s="520" t="s">
        <v>2707</v>
      </c>
      <c r="C375" s="519" t="s">
        <v>32</v>
      </c>
      <c r="D375" s="519" t="s">
        <v>2708</v>
      </c>
      <c r="E375" s="905" t="s">
        <v>2706</v>
      </c>
      <c r="F375" s="905"/>
      <c r="G375" s="521" t="s">
        <v>118</v>
      </c>
      <c r="H375" s="522">
        <v>1.06E-2</v>
      </c>
      <c r="I375" s="523">
        <v>26.63</v>
      </c>
      <c r="J375" s="523">
        <v>0.28000000000000003</v>
      </c>
    </row>
    <row r="376" spans="1:10" ht="50" x14ac:dyDescent="0.3">
      <c r="A376" s="519" t="s">
        <v>2434</v>
      </c>
      <c r="B376" s="520" t="s">
        <v>2677</v>
      </c>
      <c r="C376" s="519" t="s">
        <v>32</v>
      </c>
      <c r="D376" s="519" t="s">
        <v>2678</v>
      </c>
      <c r="E376" s="905" t="s">
        <v>2676</v>
      </c>
      <c r="F376" s="905"/>
      <c r="G376" s="521" t="s">
        <v>115</v>
      </c>
      <c r="H376" s="522">
        <v>1.7192000000000001</v>
      </c>
      <c r="I376" s="523">
        <v>44.7</v>
      </c>
      <c r="J376" s="523">
        <v>76.84</v>
      </c>
    </row>
    <row r="377" spans="1:10" ht="50" x14ac:dyDescent="0.3">
      <c r="A377" s="519" t="s">
        <v>2434</v>
      </c>
      <c r="B377" s="520" t="s">
        <v>2709</v>
      </c>
      <c r="C377" s="519" t="s">
        <v>32</v>
      </c>
      <c r="D377" s="519" t="s">
        <v>2710</v>
      </c>
      <c r="E377" s="905" t="s">
        <v>2641</v>
      </c>
      <c r="F377" s="905"/>
      <c r="G377" s="521" t="s">
        <v>115</v>
      </c>
      <c r="H377" s="522">
        <v>6.6199999999999995E-2</v>
      </c>
      <c r="I377" s="523">
        <v>717.44</v>
      </c>
      <c r="J377" s="523">
        <v>47.49</v>
      </c>
    </row>
    <row r="378" spans="1:10" ht="25" x14ac:dyDescent="0.3">
      <c r="A378" s="519" t="s">
        <v>2434</v>
      </c>
      <c r="B378" s="520" t="s">
        <v>2679</v>
      </c>
      <c r="C378" s="519" t="s">
        <v>32</v>
      </c>
      <c r="D378" s="519" t="s">
        <v>2680</v>
      </c>
      <c r="E378" s="905" t="s">
        <v>2617</v>
      </c>
      <c r="F378" s="905"/>
      <c r="G378" s="521" t="s">
        <v>115</v>
      </c>
      <c r="H378" s="522">
        <v>9.2999999999999992E-3</v>
      </c>
      <c r="I378" s="523">
        <v>19.77</v>
      </c>
      <c r="J378" s="523">
        <v>0.18</v>
      </c>
    </row>
    <row r="379" spans="1:10" ht="25" x14ac:dyDescent="0.3">
      <c r="A379" s="519" t="s">
        <v>2434</v>
      </c>
      <c r="B379" s="520" t="s">
        <v>2711</v>
      </c>
      <c r="C379" s="519" t="s">
        <v>32</v>
      </c>
      <c r="D379" s="519" t="s">
        <v>2712</v>
      </c>
      <c r="E379" s="905" t="s">
        <v>2617</v>
      </c>
      <c r="F379" s="905"/>
      <c r="G379" s="521" t="s">
        <v>115</v>
      </c>
      <c r="H379" s="522">
        <v>1.5109999999999999</v>
      </c>
      <c r="I379" s="523">
        <v>37.880000000000003</v>
      </c>
      <c r="J379" s="523">
        <v>57.23</v>
      </c>
    </row>
    <row r="380" spans="1:10" ht="38.25" customHeight="1" x14ac:dyDescent="0.3">
      <c r="A380" s="519" t="s">
        <v>2434</v>
      </c>
      <c r="B380" s="520" t="s">
        <v>2713</v>
      </c>
      <c r="C380" s="519" t="s">
        <v>32</v>
      </c>
      <c r="D380" s="519" t="s">
        <v>4267</v>
      </c>
      <c r="E380" s="905" t="s">
        <v>2661</v>
      </c>
      <c r="F380" s="905"/>
      <c r="G380" s="521" t="s">
        <v>89</v>
      </c>
      <c r="H380" s="522">
        <v>0.13250000000000001</v>
      </c>
      <c r="I380" s="523">
        <v>25.24</v>
      </c>
      <c r="J380" s="523">
        <v>3.34</v>
      </c>
    </row>
    <row r="381" spans="1:10" ht="38.25" customHeight="1" x14ac:dyDescent="0.3">
      <c r="A381" s="519" t="s">
        <v>2434</v>
      </c>
      <c r="B381" s="520" t="s">
        <v>2714</v>
      </c>
      <c r="C381" s="519" t="s">
        <v>32</v>
      </c>
      <c r="D381" s="519" t="s">
        <v>2715</v>
      </c>
      <c r="E381" s="905" t="s">
        <v>2661</v>
      </c>
      <c r="F381" s="905"/>
      <c r="G381" s="521" t="s">
        <v>89</v>
      </c>
      <c r="H381" s="522">
        <v>6.6199999999999995E-2</v>
      </c>
      <c r="I381" s="523">
        <v>120.19</v>
      </c>
      <c r="J381" s="523">
        <v>7.95</v>
      </c>
    </row>
    <row r="382" spans="1:10" ht="38.25" customHeight="1" x14ac:dyDescent="0.3">
      <c r="A382" s="519" t="s">
        <v>2434</v>
      </c>
      <c r="B382" s="520" t="s">
        <v>2687</v>
      </c>
      <c r="C382" s="519" t="s">
        <v>32</v>
      </c>
      <c r="D382" s="519" t="s">
        <v>2688</v>
      </c>
      <c r="E382" s="905" t="s">
        <v>2485</v>
      </c>
      <c r="F382" s="905"/>
      <c r="G382" s="521" t="s">
        <v>115</v>
      </c>
      <c r="H382" s="522">
        <v>0.51359999999999995</v>
      </c>
      <c r="I382" s="523">
        <v>86.04</v>
      </c>
      <c r="J382" s="523">
        <v>44.19</v>
      </c>
    </row>
    <row r="383" spans="1:10" ht="37.5" x14ac:dyDescent="0.3">
      <c r="A383" s="519" t="s">
        <v>2434</v>
      </c>
      <c r="B383" s="520" t="s">
        <v>2689</v>
      </c>
      <c r="C383" s="519" t="s">
        <v>32</v>
      </c>
      <c r="D383" s="519" t="s">
        <v>2690</v>
      </c>
      <c r="E383" s="905" t="s">
        <v>2485</v>
      </c>
      <c r="F383" s="905"/>
      <c r="G383" s="521" t="s">
        <v>115</v>
      </c>
      <c r="H383" s="522">
        <v>0.59109999999999996</v>
      </c>
      <c r="I383" s="523">
        <v>141.79</v>
      </c>
      <c r="J383" s="523">
        <v>83.81</v>
      </c>
    </row>
    <row r="384" spans="1:10" ht="37.5" x14ac:dyDescent="0.3">
      <c r="A384" s="519" t="s">
        <v>2434</v>
      </c>
      <c r="B384" s="520" t="s">
        <v>2691</v>
      </c>
      <c r="C384" s="519" t="s">
        <v>32</v>
      </c>
      <c r="D384" s="519" t="s">
        <v>2692</v>
      </c>
      <c r="E384" s="905" t="s">
        <v>2485</v>
      </c>
      <c r="F384" s="905"/>
      <c r="G384" s="521" t="s">
        <v>115</v>
      </c>
      <c r="H384" s="522">
        <v>0.80230000000000001</v>
      </c>
      <c r="I384" s="523">
        <v>102.51</v>
      </c>
      <c r="J384" s="523">
        <v>82.24</v>
      </c>
    </row>
    <row r="385" spans="1:10" ht="37.5" x14ac:dyDescent="0.3">
      <c r="A385" s="519" t="s">
        <v>2434</v>
      </c>
      <c r="B385" s="520" t="s">
        <v>2693</v>
      </c>
      <c r="C385" s="519" t="s">
        <v>32</v>
      </c>
      <c r="D385" s="519" t="s">
        <v>2694</v>
      </c>
      <c r="E385" s="905" t="s">
        <v>2485</v>
      </c>
      <c r="F385" s="905"/>
      <c r="G385" s="521" t="s">
        <v>115</v>
      </c>
      <c r="H385" s="522">
        <v>0.62549999999999994</v>
      </c>
      <c r="I385" s="523">
        <v>133.46</v>
      </c>
      <c r="J385" s="523">
        <v>83.47</v>
      </c>
    </row>
    <row r="386" spans="1:10" ht="38" thickBot="1" x14ac:dyDescent="0.35">
      <c r="A386" s="519" t="s">
        <v>2437</v>
      </c>
      <c r="B386" s="520" t="s">
        <v>2716</v>
      </c>
      <c r="C386" s="519" t="s">
        <v>32</v>
      </c>
      <c r="D386" s="519" t="s">
        <v>2717</v>
      </c>
      <c r="E386" s="905" t="s">
        <v>2442</v>
      </c>
      <c r="F386" s="905"/>
      <c r="G386" s="521" t="s">
        <v>89</v>
      </c>
      <c r="H386" s="522">
        <v>6.6199999999999995E-2</v>
      </c>
      <c r="I386" s="523">
        <v>16.75</v>
      </c>
      <c r="J386" s="523">
        <v>1.1000000000000001</v>
      </c>
    </row>
    <row r="387" spans="1:10" ht="14.5" thickTop="1" x14ac:dyDescent="0.3">
      <c r="A387" s="647"/>
      <c r="B387" s="647"/>
      <c r="C387" s="647"/>
      <c r="D387" s="647"/>
      <c r="E387" s="647"/>
      <c r="F387" s="647"/>
      <c r="G387" s="647"/>
      <c r="H387" s="647"/>
      <c r="I387" s="647"/>
      <c r="J387" s="647"/>
    </row>
    <row r="388" spans="1:10" s="358" customFormat="1" x14ac:dyDescent="0.3">
      <c r="A388" s="516"/>
      <c r="B388" s="517" t="s">
        <v>15</v>
      </c>
      <c r="C388" s="516" t="s">
        <v>16</v>
      </c>
      <c r="D388" s="516" t="s">
        <v>17</v>
      </c>
      <c r="E388" s="904" t="s">
        <v>2431</v>
      </c>
      <c r="F388" s="904"/>
      <c r="G388" s="518" t="s">
        <v>18</v>
      </c>
      <c r="H388" s="517" t="s">
        <v>19</v>
      </c>
      <c r="I388" s="517" t="s">
        <v>20</v>
      </c>
      <c r="J388" s="517" t="s">
        <v>23</v>
      </c>
    </row>
    <row r="389" spans="1:10" ht="37.5" x14ac:dyDescent="0.3">
      <c r="A389" s="642" t="s">
        <v>2432</v>
      </c>
      <c r="B389" s="643" t="s">
        <v>160</v>
      </c>
      <c r="C389" s="642" t="s">
        <v>32</v>
      </c>
      <c r="D389" s="642" t="s">
        <v>161</v>
      </c>
      <c r="E389" s="906" t="s">
        <v>2485</v>
      </c>
      <c r="F389" s="906"/>
      <c r="G389" s="644" t="s">
        <v>115</v>
      </c>
      <c r="H389" s="645">
        <v>1</v>
      </c>
      <c r="I389" s="646">
        <v>448.79</v>
      </c>
      <c r="J389" s="646">
        <v>448.79</v>
      </c>
    </row>
    <row r="390" spans="1:10" s="358" customFormat="1" ht="38.25" customHeight="1" x14ac:dyDescent="0.3">
      <c r="A390" s="519" t="s">
        <v>2434</v>
      </c>
      <c r="B390" s="520" t="s">
        <v>2718</v>
      </c>
      <c r="C390" s="519" t="s">
        <v>32</v>
      </c>
      <c r="D390" s="519" t="s">
        <v>2719</v>
      </c>
      <c r="E390" s="905" t="s">
        <v>2661</v>
      </c>
      <c r="F390" s="905"/>
      <c r="G390" s="521" t="s">
        <v>89</v>
      </c>
      <c r="H390" s="522">
        <v>9.6600000000000005E-2</v>
      </c>
      <c r="I390" s="523">
        <v>135.4</v>
      </c>
      <c r="J390" s="523">
        <v>13.07</v>
      </c>
    </row>
    <row r="391" spans="1:10" ht="38.25" customHeight="1" x14ac:dyDescent="0.3">
      <c r="A391" s="519" t="s">
        <v>2434</v>
      </c>
      <c r="B391" s="520" t="s">
        <v>2720</v>
      </c>
      <c r="C391" s="519" t="s">
        <v>32</v>
      </c>
      <c r="D391" s="519" t="s">
        <v>2721</v>
      </c>
      <c r="E391" s="905" t="s">
        <v>2661</v>
      </c>
      <c r="F391" s="905"/>
      <c r="G391" s="521" t="s">
        <v>89</v>
      </c>
      <c r="H391" s="522">
        <v>0.28989999999999999</v>
      </c>
      <c r="I391" s="523">
        <v>37.85</v>
      </c>
      <c r="J391" s="523">
        <v>10.97</v>
      </c>
    </row>
    <row r="392" spans="1:10" ht="25.5" customHeight="1" x14ac:dyDescent="0.3">
      <c r="A392" s="519" t="s">
        <v>2434</v>
      </c>
      <c r="B392" s="520" t="s">
        <v>2662</v>
      </c>
      <c r="C392" s="519" t="s">
        <v>32</v>
      </c>
      <c r="D392" s="519" t="s">
        <v>4256</v>
      </c>
      <c r="E392" s="905" t="s">
        <v>2663</v>
      </c>
      <c r="F392" s="905"/>
      <c r="G392" s="521" t="s">
        <v>115</v>
      </c>
      <c r="H392" s="522">
        <v>0.47610000000000002</v>
      </c>
      <c r="I392" s="523">
        <v>13.83</v>
      </c>
      <c r="J392" s="523">
        <v>6.58</v>
      </c>
    </row>
    <row r="393" spans="1:10" ht="50" x14ac:dyDescent="0.3">
      <c r="A393" s="519" t="s">
        <v>2434</v>
      </c>
      <c r="B393" s="520" t="s">
        <v>2666</v>
      </c>
      <c r="C393" s="519" t="s">
        <v>32</v>
      </c>
      <c r="D393" s="519" t="s">
        <v>4257</v>
      </c>
      <c r="E393" s="905" t="s">
        <v>2667</v>
      </c>
      <c r="F393" s="905"/>
      <c r="G393" s="521" t="s">
        <v>194</v>
      </c>
      <c r="H393" s="522">
        <v>0.42509999999999998</v>
      </c>
      <c r="I393" s="523">
        <v>10.73</v>
      </c>
      <c r="J393" s="523">
        <v>4.5599999999999996</v>
      </c>
    </row>
    <row r="394" spans="1:10" ht="50" x14ac:dyDescent="0.3">
      <c r="A394" s="519" t="s">
        <v>2434</v>
      </c>
      <c r="B394" s="520" t="s">
        <v>2668</v>
      </c>
      <c r="C394" s="519" t="s">
        <v>32</v>
      </c>
      <c r="D394" s="519" t="s">
        <v>4258</v>
      </c>
      <c r="E394" s="905" t="s">
        <v>2667</v>
      </c>
      <c r="F394" s="905"/>
      <c r="G394" s="521" t="s">
        <v>194</v>
      </c>
      <c r="H394" s="522">
        <v>0.46379999999999999</v>
      </c>
      <c r="I394" s="523">
        <v>4</v>
      </c>
      <c r="J394" s="523">
        <v>1.85</v>
      </c>
    </row>
    <row r="395" spans="1:10" ht="38.25" customHeight="1" x14ac:dyDescent="0.3">
      <c r="A395" s="519" t="s">
        <v>2434</v>
      </c>
      <c r="B395" s="520" t="s">
        <v>2670</v>
      </c>
      <c r="C395" s="519" t="s">
        <v>32</v>
      </c>
      <c r="D395" s="519" t="s">
        <v>4260</v>
      </c>
      <c r="E395" s="905" t="s">
        <v>2661</v>
      </c>
      <c r="F395" s="905"/>
      <c r="G395" s="521" t="s">
        <v>194</v>
      </c>
      <c r="H395" s="522">
        <v>0.42509999999999998</v>
      </c>
      <c r="I395" s="523">
        <v>10.85</v>
      </c>
      <c r="J395" s="523">
        <v>4.6100000000000003</v>
      </c>
    </row>
    <row r="396" spans="1:10" ht="38.25" customHeight="1" x14ac:dyDescent="0.3">
      <c r="A396" s="519" t="s">
        <v>2434</v>
      </c>
      <c r="B396" s="520" t="s">
        <v>2671</v>
      </c>
      <c r="C396" s="519" t="s">
        <v>32</v>
      </c>
      <c r="D396" s="519" t="s">
        <v>4261</v>
      </c>
      <c r="E396" s="905" t="s">
        <v>2661</v>
      </c>
      <c r="F396" s="905"/>
      <c r="G396" s="521" t="s">
        <v>194</v>
      </c>
      <c r="H396" s="522">
        <v>0.46379999999999999</v>
      </c>
      <c r="I396" s="523">
        <v>14.11</v>
      </c>
      <c r="J396" s="523">
        <v>6.54</v>
      </c>
    </row>
    <row r="397" spans="1:10" ht="38.25" customHeight="1" x14ac:dyDescent="0.3">
      <c r="A397" s="519" t="s">
        <v>2434</v>
      </c>
      <c r="B397" s="520" t="s">
        <v>2702</v>
      </c>
      <c r="C397" s="519" t="s">
        <v>32</v>
      </c>
      <c r="D397" s="519" t="s">
        <v>4265</v>
      </c>
      <c r="E397" s="905" t="s">
        <v>2661</v>
      </c>
      <c r="F397" s="905"/>
      <c r="G397" s="521" t="s">
        <v>194</v>
      </c>
      <c r="H397" s="522">
        <v>1.0821000000000001</v>
      </c>
      <c r="I397" s="523">
        <v>3.49</v>
      </c>
      <c r="J397" s="523">
        <v>3.77</v>
      </c>
    </row>
    <row r="398" spans="1:10" ht="38.25" customHeight="1" x14ac:dyDescent="0.3">
      <c r="A398" s="519" t="s">
        <v>2434</v>
      </c>
      <c r="B398" s="520" t="s">
        <v>2672</v>
      </c>
      <c r="C398" s="519" t="s">
        <v>32</v>
      </c>
      <c r="D398" s="519" t="s">
        <v>4262</v>
      </c>
      <c r="E398" s="905" t="s">
        <v>2661</v>
      </c>
      <c r="F398" s="905"/>
      <c r="G398" s="521" t="s">
        <v>194</v>
      </c>
      <c r="H398" s="522">
        <v>2.0870000000000002</v>
      </c>
      <c r="I398" s="523">
        <v>5.0999999999999996</v>
      </c>
      <c r="J398" s="523">
        <v>10.64</v>
      </c>
    </row>
    <row r="399" spans="1:10" ht="38.25" customHeight="1" x14ac:dyDescent="0.3">
      <c r="A399" s="519" t="s">
        <v>2434</v>
      </c>
      <c r="B399" s="520" t="s">
        <v>2722</v>
      </c>
      <c r="C399" s="519" t="s">
        <v>32</v>
      </c>
      <c r="D399" s="519" t="s">
        <v>4268</v>
      </c>
      <c r="E399" s="905" t="s">
        <v>2661</v>
      </c>
      <c r="F399" s="905"/>
      <c r="G399" s="521" t="s">
        <v>89</v>
      </c>
      <c r="H399" s="522">
        <v>0.28989999999999999</v>
      </c>
      <c r="I399" s="523">
        <v>55.79</v>
      </c>
      <c r="J399" s="523">
        <v>16.170000000000002</v>
      </c>
    </row>
    <row r="400" spans="1:10" ht="25.5" customHeight="1" x14ac:dyDescent="0.3">
      <c r="A400" s="519" t="s">
        <v>2434</v>
      </c>
      <c r="B400" s="520" t="s">
        <v>2703</v>
      </c>
      <c r="C400" s="519" t="s">
        <v>32</v>
      </c>
      <c r="D400" s="519" t="s">
        <v>4266</v>
      </c>
      <c r="E400" s="905" t="s">
        <v>2661</v>
      </c>
      <c r="F400" s="905"/>
      <c r="G400" s="521" t="s">
        <v>89</v>
      </c>
      <c r="H400" s="522">
        <v>9.6600000000000005E-2</v>
      </c>
      <c r="I400" s="523">
        <v>58.26</v>
      </c>
      <c r="J400" s="523">
        <v>5.62</v>
      </c>
    </row>
    <row r="401" spans="1:10" ht="38.25" customHeight="1" x14ac:dyDescent="0.3">
      <c r="A401" s="519" t="s">
        <v>2434</v>
      </c>
      <c r="B401" s="520" t="s">
        <v>2674</v>
      </c>
      <c r="C401" s="519" t="s">
        <v>32</v>
      </c>
      <c r="D401" s="519" t="s">
        <v>2675</v>
      </c>
      <c r="E401" s="905" t="s">
        <v>2676</v>
      </c>
      <c r="F401" s="905"/>
      <c r="G401" s="521" t="s">
        <v>115</v>
      </c>
      <c r="H401" s="522">
        <v>1.9256</v>
      </c>
      <c r="I401" s="523">
        <v>23.44</v>
      </c>
      <c r="J401" s="523">
        <v>45.13</v>
      </c>
    </row>
    <row r="402" spans="1:10" ht="25.5" customHeight="1" x14ac:dyDescent="0.3">
      <c r="A402" s="519" t="s">
        <v>2434</v>
      </c>
      <c r="B402" s="520" t="s">
        <v>2723</v>
      </c>
      <c r="C402" s="519" t="s">
        <v>32</v>
      </c>
      <c r="D402" s="519" t="s">
        <v>2724</v>
      </c>
      <c r="E402" s="905" t="s">
        <v>2661</v>
      </c>
      <c r="F402" s="905"/>
      <c r="G402" s="521" t="s">
        <v>194</v>
      </c>
      <c r="H402" s="522">
        <v>0.48309999999999997</v>
      </c>
      <c r="I402" s="523">
        <v>19.3</v>
      </c>
      <c r="J402" s="523">
        <v>9.32</v>
      </c>
    </row>
    <row r="403" spans="1:10" ht="25.5" customHeight="1" x14ac:dyDescent="0.3">
      <c r="A403" s="519" t="s">
        <v>2434</v>
      </c>
      <c r="B403" s="520" t="s">
        <v>2704</v>
      </c>
      <c r="C403" s="519" t="s">
        <v>32</v>
      </c>
      <c r="D403" s="519" t="s">
        <v>2705</v>
      </c>
      <c r="E403" s="905" t="s">
        <v>2706</v>
      </c>
      <c r="F403" s="905"/>
      <c r="G403" s="521" t="s">
        <v>118</v>
      </c>
      <c r="H403" s="522">
        <v>7.7999999999999996E-3</v>
      </c>
      <c r="I403" s="523">
        <v>92.56</v>
      </c>
      <c r="J403" s="523">
        <v>0.72</v>
      </c>
    </row>
    <row r="404" spans="1:10" ht="50" x14ac:dyDescent="0.3">
      <c r="A404" s="519" t="s">
        <v>2434</v>
      </c>
      <c r="B404" s="520" t="s">
        <v>2677</v>
      </c>
      <c r="C404" s="519" t="s">
        <v>32</v>
      </c>
      <c r="D404" s="519" t="s">
        <v>2678</v>
      </c>
      <c r="E404" s="905" t="s">
        <v>2676</v>
      </c>
      <c r="F404" s="905"/>
      <c r="G404" s="521" t="s">
        <v>115</v>
      </c>
      <c r="H404" s="522">
        <v>1.9256</v>
      </c>
      <c r="I404" s="523">
        <v>44.7</v>
      </c>
      <c r="J404" s="523">
        <v>86.07</v>
      </c>
    </row>
    <row r="405" spans="1:10" ht="25" x14ac:dyDescent="0.3">
      <c r="A405" s="519" t="s">
        <v>2434</v>
      </c>
      <c r="B405" s="520" t="s">
        <v>2711</v>
      </c>
      <c r="C405" s="519" t="s">
        <v>32</v>
      </c>
      <c r="D405" s="519" t="s">
        <v>2712</v>
      </c>
      <c r="E405" s="905" t="s">
        <v>2617</v>
      </c>
      <c r="F405" s="905"/>
      <c r="G405" s="521" t="s">
        <v>115</v>
      </c>
      <c r="H405" s="522">
        <v>1.9256</v>
      </c>
      <c r="I405" s="523">
        <v>37.880000000000003</v>
      </c>
      <c r="J405" s="523">
        <v>72.94</v>
      </c>
    </row>
    <row r="406" spans="1:10" ht="38.25" customHeight="1" x14ac:dyDescent="0.3">
      <c r="A406" s="519" t="s">
        <v>2434</v>
      </c>
      <c r="B406" s="520" t="s">
        <v>2713</v>
      </c>
      <c r="C406" s="519" t="s">
        <v>32</v>
      </c>
      <c r="D406" s="519" t="s">
        <v>4267</v>
      </c>
      <c r="E406" s="905" t="s">
        <v>2661</v>
      </c>
      <c r="F406" s="905"/>
      <c r="G406" s="521" t="s">
        <v>89</v>
      </c>
      <c r="H406" s="522">
        <v>0.38650000000000001</v>
      </c>
      <c r="I406" s="523">
        <v>25.24</v>
      </c>
      <c r="J406" s="523">
        <v>9.75</v>
      </c>
    </row>
    <row r="407" spans="1:10" ht="38.25" customHeight="1" x14ac:dyDescent="0.3">
      <c r="A407" s="519" t="s">
        <v>2434</v>
      </c>
      <c r="B407" s="520" t="s">
        <v>2725</v>
      </c>
      <c r="C407" s="519" t="s">
        <v>32</v>
      </c>
      <c r="D407" s="519" t="s">
        <v>4269</v>
      </c>
      <c r="E407" s="905" t="s">
        <v>2661</v>
      </c>
      <c r="F407" s="905"/>
      <c r="G407" s="521" t="s">
        <v>89</v>
      </c>
      <c r="H407" s="522">
        <v>9.6600000000000005E-2</v>
      </c>
      <c r="I407" s="523">
        <v>73.819999999999993</v>
      </c>
      <c r="J407" s="523">
        <v>7.13</v>
      </c>
    </row>
    <row r="408" spans="1:10" ht="25.5" customHeight="1" x14ac:dyDescent="0.3">
      <c r="A408" s="519" t="s">
        <v>2434</v>
      </c>
      <c r="B408" s="520" t="s">
        <v>2714</v>
      </c>
      <c r="C408" s="519" t="s">
        <v>32</v>
      </c>
      <c r="D408" s="519" t="s">
        <v>2715</v>
      </c>
      <c r="E408" s="905" t="s">
        <v>2661</v>
      </c>
      <c r="F408" s="905"/>
      <c r="G408" s="521" t="s">
        <v>89</v>
      </c>
      <c r="H408" s="522">
        <v>0.19320000000000001</v>
      </c>
      <c r="I408" s="523">
        <v>120.19</v>
      </c>
      <c r="J408" s="523">
        <v>23.22</v>
      </c>
    </row>
    <row r="409" spans="1:10" ht="38.25" customHeight="1" x14ac:dyDescent="0.3">
      <c r="A409" s="519" t="s">
        <v>2434</v>
      </c>
      <c r="B409" s="520" t="s">
        <v>2726</v>
      </c>
      <c r="C409" s="519" t="s">
        <v>32</v>
      </c>
      <c r="D409" s="519" t="s">
        <v>2727</v>
      </c>
      <c r="E409" s="905" t="s">
        <v>2661</v>
      </c>
      <c r="F409" s="905"/>
      <c r="G409" s="521" t="s">
        <v>89</v>
      </c>
      <c r="H409" s="522">
        <v>9.6600000000000005E-2</v>
      </c>
      <c r="I409" s="523">
        <v>172.94</v>
      </c>
      <c r="J409" s="523">
        <v>16.7</v>
      </c>
    </row>
    <row r="410" spans="1:10" ht="38.25" customHeight="1" x14ac:dyDescent="0.3">
      <c r="A410" s="519" t="s">
        <v>2434</v>
      </c>
      <c r="B410" s="520" t="s">
        <v>2687</v>
      </c>
      <c r="C410" s="519" t="s">
        <v>32</v>
      </c>
      <c r="D410" s="519" t="s">
        <v>2688</v>
      </c>
      <c r="E410" s="905" t="s">
        <v>2485</v>
      </c>
      <c r="F410" s="905"/>
      <c r="G410" s="521" t="s">
        <v>115</v>
      </c>
      <c r="H410" s="522">
        <v>9.6600000000000005E-2</v>
      </c>
      <c r="I410" s="523">
        <v>86.04</v>
      </c>
      <c r="J410" s="523">
        <v>8.31</v>
      </c>
    </row>
    <row r="411" spans="1:10" ht="37.5" x14ac:dyDescent="0.3">
      <c r="A411" s="519" t="s">
        <v>2434</v>
      </c>
      <c r="B411" s="520" t="s">
        <v>2689</v>
      </c>
      <c r="C411" s="519" t="s">
        <v>32</v>
      </c>
      <c r="D411" s="519" t="s">
        <v>2690</v>
      </c>
      <c r="E411" s="905" t="s">
        <v>2485</v>
      </c>
      <c r="F411" s="905"/>
      <c r="G411" s="521" t="s">
        <v>115</v>
      </c>
      <c r="H411" s="522">
        <v>0.1111</v>
      </c>
      <c r="I411" s="523">
        <v>141.79</v>
      </c>
      <c r="J411" s="523">
        <v>15.75</v>
      </c>
    </row>
    <row r="412" spans="1:10" ht="37.5" x14ac:dyDescent="0.3">
      <c r="A412" s="519" t="s">
        <v>2434</v>
      </c>
      <c r="B412" s="520" t="s">
        <v>2691</v>
      </c>
      <c r="C412" s="519" t="s">
        <v>32</v>
      </c>
      <c r="D412" s="519" t="s">
        <v>2692</v>
      </c>
      <c r="E412" s="905" t="s">
        <v>2485</v>
      </c>
      <c r="F412" s="905"/>
      <c r="G412" s="521" t="s">
        <v>115</v>
      </c>
      <c r="H412" s="522">
        <v>0.15079999999999999</v>
      </c>
      <c r="I412" s="523">
        <v>102.51</v>
      </c>
      <c r="J412" s="523">
        <v>15.45</v>
      </c>
    </row>
    <row r="413" spans="1:10" ht="37.5" x14ac:dyDescent="0.3">
      <c r="A413" s="519" t="s">
        <v>2434</v>
      </c>
      <c r="B413" s="520" t="s">
        <v>2693</v>
      </c>
      <c r="C413" s="519" t="s">
        <v>32</v>
      </c>
      <c r="D413" s="519" t="s">
        <v>2694</v>
      </c>
      <c r="E413" s="905" t="s">
        <v>2485</v>
      </c>
      <c r="F413" s="905"/>
      <c r="G413" s="521" t="s">
        <v>115</v>
      </c>
      <c r="H413" s="522">
        <v>0.1176</v>
      </c>
      <c r="I413" s="523">
        <v>133.46</v>
      </c>
      <c r="J413" s="523">
        <v>15.69</v>
      </c>
    </row>
    <row r="414" spans="1:10" ht="25" x14ac:dyDescent="0.3">
      <c r="A414" s="519" t="s">
        <v>2437</v>
      </c>
      <c r="B414" s="520" t="s">
        <v>2728</v>
      </c>
      <c r="C414" s="519" t="s">
        <v>32</v>
      </c>
      <c r="D414" s="519" t="s">
        <v>2729</v>
      </c>
      <c r="E414" s="905" t="s">
        <v>2442</v>
      </c>
      <c r="F414" s="905"/>
      <c r="G414" s="521" t="s">
        <v>89</v>
      </c>
      <c r="H414" s="522">
        <v>9.6600000000000005E-2</v>
      </c>
      <c r="I414" s="523">
        <v>201.25</v>
      </c>
      <c r="J414" s="523">
        <v>19.440000000000001</v>
      </c>
    </row>
    <row r="415" spans="1:10" ht="25.5" thickBot="1" x14ac:dyDescent="0.35">
      <c r="A415" s="519" t="s">
        <v>2437</v>
      </c>
      <c r="B415" s="520" t="s">
        <v>2730</v>
      </c>
      <c r="C415" s="519" t="s">
        <v>32</v>
      </c>
      <c r="D415" s="519" t="s">
        <v>2731</v>
      </c>
      <c r="E415" s="905" t="s">
        <v>2442</v>
      </c>
      <c r="F415" s="905"/>
      <c r="G415" s="521" t="s">
        <v>89</v>
      </c>
      <c r="H415" s="522">
        <v>9.6600000000000005E-2</v>
      </c>
      <c r="I415" s="523">
        <v>194.61</v>
      </c>
      <c r="J415" s="523">
        <v>18.79</v>
      </c>
    </row>
    <row r="416" spans="1:10" ht="14.5" thickTop="1" x14ac:dyDescent="0.3">
      <c r="A416" s="647"/>
      <c r="B416" s="647"/>
      <c r="C416" s="647"/>
      <c r="D416" s="647"/>
      <c r="E416" s="647"/>
      <c r="F416" s="647"/>
      <c r="G416" s="647"/>
      <c r="H416" s="647"/>
      <c r="I416" s="647"/>
      <c r="J416" s="647"/>
    </row>
    <row r="417" spans="1:10" s="358" customFormat="1" x14ac:dyDescent="0.3">
      <c r="A417" s="516"/>
      <c r="B417" s="517" t="s">
        <v>15</v>
      </c>
      <c r="C417" s="516" t="s">
        <v>16</v>
      </c>
      <c r="D417" s="516" t="s">
        <v>17</v>
      </c>
      <c r="E417" s="904" t="s">
        <v>2431</v>
      </c>
      <c r="F417" s="904"/>
      <c r="G417" s="518" t="s">
        <v>18</v>
      </c>
      <c r="H417" s="517" t="s">
        <v>19</v>
      </c>
      <c r="I417" s="517" t="s">
        <v>20</v>
      </c>
      <c r="J417" s="517" t="s">
        <v>23</v>
      </c>
    </row>
    <row r="418" spans="1:10" ht="25" x14ac:dyDescent="0.3">
      <c r="A418" s="642" t="s">
        <v>2432</v>
      </c>
      <c r="B418" s="643" t="s">
        <v>162</v>
      </c>
      <c r="C418" s="642" t="s">
        <v>32</v>
      </c>
      <c r="D418" s="642" t="s">
        <v>163</v>
      </c>
      <c r="E418" s="906" t="s">
        <v>2485</v>
      </c>
      <c r="F418" s="906"/>
      <c r="G418" s="644" t="s">
        <v>115</v>
      </c>
      <c r="H418" s="645">
        <v>1</v>
      </c>
      <c r="I418" s="646">
        <v>256.52</v>
      </c>
      <c r="J418" s="646">
        <v>256.52</v>
      </c>
    </row>
    <row r="419" spans="1:10" s="358" customFormat="1" ht="38.25" customHeight="1" x14ac:dyDescent="0.3">
      <c r="A419" s="519" t="s">
        <v>2434</v>
      </c>
      <c r="B419" s="520" t="s">
        <v>2718</v>
      </c>
      <c r="C419" s="519" t="s">
        <v>32</v>
      </c>
      <c r="D419" s="519" t="s">
        <v>2719</v>
      </c>
      <c r="E419" s="905" t="s">
        <v>2661</v>
      </c>
      <c r="F419" s="905"/>
      <c r="G419" s="521" t="s">
        <v>89</v>
      </c>
      <c r="H419" s="522">
        <v>1.66E-2</v>
      </c>
      <c r="I419" s="523">
        <v>135.4</v>
      </c>
      <c r="J419" s="523">
        <v>2.2400000000000002</v>
      </c>
    </row>
    <row r="420" spans="1:10" ht="38.25" customHeight="1" x14ac:dyDescent="0.3">
      <c r="A420" s="519" t="s">
        <v>2434</v>
      </c>
      <c r="B420" s="520" t="s">
        <v>2720</v>
      </c>
      <c r="C420" s="519" t="s">
        <v>32</v>
      </c>
      <c r="D420" s="519" t="s">
        <v>2721</v>
      </c>
      <c r="E420" s="905" t="s">
        <v>2661</v>
      </c>
      <c r="F420" s="905"/>
      <c r="G420" s="521" t="s">
        <v>89</v>
      </c>
      <c r="H420" s="522">
        <v>8.2799999999999999E-2</v>
      </c>
      <c r="I420" s="523">
        <v>37.85</v>
      </c>
      <c r="J420" s="523">
        <v>3.13</v>
      </c>
    </row>
    <row r="421" spans="1:10" ht="25.5" customHeight="1" x14ac:dyDescent="0.3">
      <c r="A421" s="519" t="s">
        <v>2434</v>
      </c>
      <c r="B421" s="520" t="s">
        <v>2662</v>
      </c>
      <c r="C421" s="519" t="s">
        <v>32</v>
      </c>
      <c r="D421" s="519" t="s">
        <v>4256</v>
      </c>
      <c r="E421" s="905" t="s">
        <v>2663</v>
      </c>
      <c r="F421" s="905"/>
      <c r="G421" s="521" t="s">
        <v>115</v>
      </c>
      <c r="H421" s="522">
        <v>0.48370000000000002</v>
      </c>
      <c r="I421" s="523">
        <v>13.83</v>
      </c>
      <c r="J421" s="523">
        <v>6.68</v>
      </c>
    </row>
    <row r="422" spans="1:10" ht="50" x14ac:dyDescent="0.3">
      <c r="A422" s="519" t="s">
        <v>2434</v>
      </c>
      <c r="B422" s="520" t="s">
        <v>2666</v>
      </c>
      <c r="C422" s="519" t="s">
        <v>32</v>
      </c>
      <c r="D422" s="519" t="s">
        <v>4257</v>
      </c>
      <c r="E422" s="905" t="s">
        <v>2667</v>
      </c>
      <c r="F422" s="905"/>
      <c r="G422" s="521" t="s">
        <v>194</v>
      </c>
      <c r="H422" s="522">
        <v>0.22189999999999999</v>
      </c>
      <c r="I422" s="523">
        <v>10.73</v>
      </c>
      <c r="J422" s="523">
        <v>2.38</v>
      </c>
    </row>
    <row r="423" spans="1:10" ht="38.25" customHeight="1" x14ac:dyDescent="0.3">
      <c r="A423" s="519" t="s">
        <v>2434</v>
      </c>
      <c r="B423" s="520" t="s">
        <v>2670</v>
      </c>
      <c r="C423" s="519" t="s">
        <v>32</v>
      </c>
      <c r="D423" s="519" t="s">
        <v>4260</v>
      </c>
      <c r="E423" s="905" t="s">
        <v>2661</v>
      </c>
      <c r="F423" s="905"/>
      <c r="G423" s="521" t="s">
        <v>194</v>
      </c>
      <c r="H423" s="522">
        <v>0.3397</v>
      </c>
      <c r="I423" s="523">
        <v>10.85</v>
      </c>
      <c r="J423" s="523">
        <v>3.68</v>
      </c>
    </row>
    <row r="424" spans="1:10" ht="38.25" customHeight="1" x14ac:dyDescent="0.3">
      <c r="A424" s="519" t="s">
        <v>2434</v>
      </c>
      <c r="B424" s="520" t="s">
        <v>2671</v>
      </c>
      <c r="C424" s="519" t="s">
        <v>32</v>
      </c>
      <c r="D424" s="519" t="s">
        <v>4261</v>
      </c>
      <c r="E424" s="905" t="s">
        <v>2661</v>
      </c>
      <c r="F424" s="905"/>
      <c r="G424" s="521" t="s">
        <v>194</v>
      </c>
      <c r="H424" s="522">
        <v>0.22189999999999999</v>
      </c>
      <c r="I424" s="523">
        <v>14.11</v>
      </c>
      <c r="J424" s="523">
        <v>3.13</v>
      </c>
    </row>
    <row r="425" spans="1:10" ht="38.25" customHeight="1" x14ac:dyDescent="0.3">
      <c r="A425" s="519" t="s">
        <v>2434</v>
      </c>
      <c r="B425" s="520" t="s">
        <v>2702</v>
      </c>
      <c r="C425" s="519" t="s">
        <v>32</v>
      </c>
      <c r="D425" s="519" t="s">
        <v>4265</v>
      </c>
      <c r="E425" s="905" t="s">
        <v>2661</v>
      </c>
      <c r="F425" s="905"/>
      <c r="G425" s="521" t="s">
        <v>194</v>
      </c>
      <c r="H425" s="522">
        <v>0.93340000000000001</v>
      </c>
      <c r="I425" s="523">
        <v>3.49</v>
      </c>
      <c r="J425" s="523">
        <v>3.25</v>
      </c>
    </row>
    <row r="426" spans="1:10" ht="38.25" customHeight="1" x14ac:dyDescent="0.3">
      <c r="A426" s="519" t="s">
        <v>2434</v>
      </c>
      <c r="B426" s="520" t="s">
        <v>2672</v>
      </c>
      <c r="C426" s="519" t="s">
        <v>32</v>
      </c>
      <c r="D426" s="519" t="s">
        <v>4262</v>
      </c>
      <c r="E426" s="905" t="s">
        <v>2661</v>
      </c>
      <c r="F426" s="905"/>
      <c r="G426" s="521" t="s">
        <v>194</v>
      </c>
      <c r="H426" s="522">
        <v>0.94720000000000004</v>
      </c>
      <c r="I426" s="523">
        <v>5.0999999999999996</v>
      </c>
      <c r="J426" s="523">
        <v>4.83</v>
      </c>
    </row>
    <row r="427" spans="1:10" ht="38.25" customHeight="1" x14ac:dyDescent="0.3">
      <c r="A427" s="519" t="s">
        <v>2434</v>
      </c>
      <c r="B427" s="520" t="s">
        <v>2732</v>
      </c>
      <c r="C427" s="519" t="s">
        <v>32</v>
      </c>
      <c r="D427" s="519" t="s">
        <v>4270</v>
      </c>
      <c r="E427" s="905" t="s">
        <v>2661</v>
      </c>
      <c r="F427" s="905"/>
      <c r="G427" s="521" t="s">
        <v>89</v>
      </c>
      <c r="H427" s="522">
        <v>1.66E-2</v>
      </c>
      <c r="I427" s="523">
        <v>52.36</v>
      </c>
      <c r="J427" s="523">
        <v>0.86</v>
      </c>
    </row>
    <row r="428" spans="1:10" ht="25.5" customHeight="1" x14ac:dyDescent="0.3">
      <c r="A428" s="519" t="s">
        <v>2434</v>
      </c>
      <c r="B428" s="520" t="s">
        <v>2733</v>
      </c>
      <c r="C428" s="519" t="s">
        <v>32</v>
      </c>
      <c r="D428" s="519" t="s">
        <v>4271</v>
      </c>
      <c r="E428" s="905" t="s">
        <v>2661</v>
      </c>
      <c r="F428" s="905"/>
      <c r="G428" s="521" t="s">
        <v>89</v>
      </c>
      <c r="H428" s="522">
        <v>3.3099999999999997E-2</v>
      </c>
      <c r="I428" s="523">
        <v>36.01</v>
      </c>
      <c r="J428" s="523">
        <v>1.19</v>
      </c>
    </row>
    <row r="429" spans="1:10" ht="25.5" customHeight="1" x14ac:dyDescent="0.3">
      <c r="A429" s="519" t="s">
        <v>2434</v>
      </c>
      <c r="B429" s="520" t="s">
        <v>2734</v>
      </c>
      <c r="C429" s="519" t="s">
        <v>32</v>
      </c>
      <c r="D429" s="519" t="s">
        <v>4272</v>
      </c>
      <c r="E429" s="905" t="s">
        <v>2661</v>
      </c>
      <c r="F429" s="905"/>
      <c r="G429" s="521" t="s">
        <v>89</v>
      </c>
      <c r="H429" s="522">
        <v>3.3099999999999997E-2</v>
      </c>
      <c r="I429" s="523">
        <v>38.729999999999997</v>
      </c>
      <c r="J429" s="523">
        <v>1.28</v>
      </c>
    </row>
    <row r="430" spans="1:10" ht="25.5" customHeight="1" x14ac:dyDescent="0.3">
      <c r="A430" s="519" t="s">
        <v>2434</v>
      </c>
      <c r="B430" s="520" t="s">
        <v>2674</v>
      </c>
      <c r="C430" s="519" t="s">
        <v>32</v>
      </c>
      <c r="D430" s="519" t="s">
        <v>2675</v>
      </c>
      <c r="E430" s="905" t="s">
        <v>2676</v>
      </c>
      <c r="F430" s="905"/>
      <c r="G430" s="521" t="s">
        <v>115</v>
      </c>
      <c r="H430" s="522">
        <v>1.2466999999999999</v>
      </c>
      <c r="I430" s="523">
        <v>23.44</v>
      </c>
      <c r="J430" s="523">
        <v>29.22</v>
      </c>
    </row>
    <row r="431" spans="1:10" ht="25.5" customHeight="1" x14ac:dyDescent="0.3">
      <c r="A431" s="519" t="s">
        <v>2434</v>
      </c>
      <c r="B431" s="520" t="s">
        <v>2723</v>
      </c>
      <c r="C431" s="519" t="s">
        <v>32</v>
      </c>
      <c r="D431" s="519" t="s">
        <v>2724</v>
      </c>
      <c r="E431" s="905" t="s">
        <v>2661</v>
      </c>
      <c r="F431" s="905"/>
      <c r="G431" s="521" t="s">
        <v>194</v>
      </c>
      <c r="H431" s="522">
        <v>0.1656</v>
      </c>
      <c r="I431" s="523">
        <v>19.3</v>
      </c>
      <c r="J431" s="523">
        <v>3.19</v>
      </c>
    </row>
    <row r="432" spans="1:10" ht="25.5" customHeight="1" x14ac:dyDescent="0.3">
      <c r="A432" s="519" t="s">
        <v>2434</v>
      </c>
      <c r="B432" s="520" t="s">
        <v>2704</v>
      </c>
      <c r="C432" s="519" t="s">
        <v>32</v>
      </c>
      <c r="D432" s="519" t="s">
        <v>2705</v>
      </c>
      <c r="E432" s="905" t="s">
        <v>2706</v>
      </c>
      <c r="F432" s="905"/>
      <c r="G432" s="521" t="s">
        <v>118</v>
      </c>
      <c r="H432" s="522">
        <v>1.2999999999999999E-3</v>
      </c>
      <c r="I432" s="523">
        <v>92.56</v>
      </c>
      <c r="J432" s="523">
        <v>0.12</v>
      </c>
    </row>
    <row r="433" spans="1:10" ht="50" x14ac:dyDescent="0.3">
      <c r="A433" s="519" t="s">
        <v>2434</v>
      </c>
      <c r="B433" s="520" t="s">
        <v>2677</v>
      </c>
      <c r="C433" s="519" t="s">
        <v>32</v>
      </c>
      <c r="D433" s="519" t="s">
        <v>2678</v>
      </c>
      <c r="E433" s="905" t="s">
        <v>2676</v>
      </c>
      <c r="F433" s="905"/>
      <c r="G433" s="521" t="s">
        <v>115</v>
      </c>
      <c r="H433" s="522">
        <v>1.2466999999999999</v>
      </c>
      <c r="I433" s="523">
        <v>44.7</v>
      </c>
      <c r="J433" s="523">
        <v>55.72</v>
      </c>
    </row>
    <row r="434" spans="1:10" ht="25" x14ac:dyDescent="0.3">
      <c r="A434" s="519" t="s">
        <v>2434</v>
      </c>
      <c r="B434" s="520" t="s">
        <v>2711</v>
      </c>
      <c r="C434" s="519" t="s">
        <v>32</v>
      </c>
      <c r="D434" s="519" t="s">
        <v>2712</v>
      </c>
      <c r="E434" s="905" t="s">
        <v>2617</v>
      </c>
      <c r="F434" s="905"/>
      <c r="G434" s="521" t="s">
        <v>115</v>
      </c>
      <c r="H434" s="522">
        <v>1.2466999999999999</v>
      </c>
      <c r="I434" s="523">
        <v>37.880000000000003</v>
      </c>
      <c r="J434" s="523">
        <v>47.22</v>
      </c>
    </row>
    <row r="435" spans="1:10" ht="38.25" customHeight="1" x14ac:dyDescent="0.3">
      <c r="A435" s="519" t="s">
        <v>2434</v>
      </c>
      <c r="B435" s="520" t="s">
        <v>2713</v>
      </c>
      <c r="C435" s="519" t="s">
        <v>32</v>
      </c>
      <c r="D435" s="519" t="s">
        <v>4267</v>
      </c>
      <c r="E435" s="905" t="s">
        <v>2661</v>
      </c>
      <c r="F435" s="905"/>
      <c r="G435" s="521" t="s">
        <v>89</v>
      </c>
      <c r="H435" s="522">
        <v>6.6199999999999995E-2</v>
      </c>
      <c r="I435" s="523">
        <v>25.24</v>
      </c>
      <c r="J435" s="523">
        <v>1.67</v>
      </c>
    </row>
    <row r="436" spans="1:10" ht="38.25" customHeight="1" x14ac:dyDescent="0.3">
      <c r="A436" s="519" t="s">
        <v>2434</v>
      </c>
      <c r="B436" s="520" t="s">
        <v>2725</v>
      </c>
      <c r="C436" s="519" t="s">
        <v>32</v>
      </c>
      <c r="D436" s="519" t="s">
        <v>4269</v>
      </c>
      <c r="E436" s="905" t="s">
        <v>2661</v>
      </c>
      <c r="F436" s="905"/>
      <c r="G436" s="521" t="s">
        <v>89</v>
      </c>
      <c r="H436" s="522">
        <v>3.3099999999999997E-2</v>
      </c>
      <c r="I436" s="523">
        <v>73.819999999999993</v>
      </c>
      <c r="J436" s="523">
        <v>2.44</v>
      </c>
    </row>
    <row r="437" spans="1:10" ht="25.5" customHeight="1" x14ac:dyDescent="0.3">
      <c r="A437" s="519" t="s">
        <v>2434</v>
      </c>
      <c r="B437" s="520" t="s">
        <v>2714</v>
      </c>
      <c r="C437" s="519" t="s">
        <v>32</v>
      </c>
      <c r="D437" s="519" t="s">
        <v>2715</v>
      </c>
      <c r="E437" s="905" t="s">
        <v>2661</v>
      </c>
      <c r="F437" s="905"/>
      <c r="G437" s="521" t="s">
        <v>89</v>
      </c>
      <c r="H437" s="522">
        <v>0.13250000000000001</v>
      </c>
      <c r="I437" s="523">
        <v>120.19</v>
      </c>
      <c r="J437" s="523">
        <v>15.92</v>
      </c>
    </row>
    <row r="438" spans="1:10" ht="38.25" customHeight="1" x14ac:dyDescent="0.3">
      <c r="A438" s="519" t="s">
        <v>2434</v>
      </c>
      <c r="B438" s="520" t="s">
        <v>2726</v>
      </c>
      <c r="C438" s="519" t="s">
        <v>32</v>
      </c>
      <c r="D438" s="519" t="s">
        <v>2727</v>
      </c>
      <c r="E438" s="905" t="s">
        <v>2661</v>
      </c>
      <c r="F438" s="905"/>
      <c r="G438" s="521" t="s">
        <v>89</v>
      </c>
      <c r="H438" s="522">
        <v>3.3099999999999997E-2</v>
      </c>
      <c r="I438" s="523">
        <v>172.94</v>
      </c>
      <c r="J438" s="523">
        <v>5.72</v>
      </c>
    </row>
    <row r="439" spans="1:10" ht="38.25" customHeight="1" x14ac:dyDescent="0.3">
      <c r="A439" s="519" t="s">
        <v>2434</v>
      </c>
      <c r="B439" s="520" t="s">
        <v>2687</v>
      </c>
      <c r="C439" s="519" t="s">
        <v>32</v>
      </c>
      <c r="D439" s="519" t="s">
        <v>2688</v>
      </c>
      <c r="E439" s="905" t="s">
        <v>2485</v>
      </c>
      <c r="F439" s="905"/>
      <c r="G439" s="521" t="s">
        <v>115</v>
      </c>
      <c r="H439" s="522">
        <v>9.8100000000000007E-2</v>
      </c>
      <c r="I439" s="523">
        <v>86.04</v>
      </c>
      <c r="J439" s="523">
        <v>8.44</v>
      </c>
    </row>
    <row r="440" spans="1:10" ht="37.5" x14ac:dyDescent="0.3">
      <c r="A440" s="519" t="s">
        <v>2434</v>
      </c>
      <c r="B440" s="520" t="s">
        <v>2689</v>
      </c>
      <c r="C440" s="519" t="s">
        <v>32</v>
      </c>
      <c r="D440" s="519" t="s">
        <v>2690</v>
      </c>
      <c r="E440" s="905" t="s">
        <v>2485</v>
      </c>
      <c r="F440" s="905"/>
      <c r="G440" s="521" t="s">
        <v>115</v>
      </c>
      <c r="H440" s="522">
        <v>0.1129</v>
      </c>
      <c r="I440" s="523">
        <v>141.79</v>
      </c>
      <c r="J440" s="523">
        <v>16</v>
      </c>
    </row>
    <row r="441" spans="1:10" ht="37.5" x14ac:dyDescent="0.3">
      <c r="A441" s="519" t="s">
        <v>2434</v>
      </c>
      <c r="B441" s="520" t="s">
        <v>2691</v>
      </c>
      <c r="C441" s="519" t="s">
        <v>32</v>
      </c>
      <c r="D441" s="519" t="s">
        <v>2692</v>
      </c>
      <c r="E441" s="905" t="s">
        <v>2485</v>
      </c>
      <c r="F441" s="905"/>
      <c r="G441" s="521" t="s">
        <v>115</v>
      </c>
      <c r="H441" s="522">
        <v>0.1532</v>
      </c>
      <c r="I441" s="523">
        <v>102.51</v>
      </c>
      <c r="J441" s="523">
        <v>15.7</v>
      </c>
    </row>
    <row r="442" spans="1:10" ht="37.5" x14ac:dyDescent="0.3">
      <c r="A442" s="519" t="s">
        <v>2434</v>
      </c>
      <c r="B442" s="520" t="s">
        <v>2693</v>
      </c>
      <c r="C442" s="519" t="s">
        <v>32</v>
      </c>
      <c r="D442" s="519" t="s">
        <v>2694</v>
      </c>
      <c r="E442" s="905" t="s">
        <v>2485</v>
      </c>
      <c r="F442" s="905"/>
      <c r="G442" s="521" t="s">
        <v>115</v>
      </c>
      <c r="H442" s="522">
        <v>0.1195</v>
      </c>
      <c r="I442" s="523">
        <v>133.46</v>
      </c>
      <c r="J442" s="523">
        <v>15.94</v>
      </c>
    </row>
    <row r="443" spans="1:10" ht="25" x14ac:dyDescent="0.3">
      <c r="A443" s="519" t="s">
        <v>2437</v>
      </c>
      <c r="B443" s="520" t="s">
        <v>2728</v>
      </c>
      <c r="C443" s="519" t="s">
        <v>32</v>
      </c>
      <c r="D443" s="519" t="s">
        <v>2729</v>
      </c>
      <c r="E443" s="905" t="s">
        <v>2442</v>
      </c>
      <c r="F443" s="905"/>
      <c r="G443" s="521" t="s">
        <v>89</v>
      </c>
      <c r="H443" s="522">
        <v>1.66E-2</v>
      </c>
      <c r="I443" s="523">
        <v>201.25</v>
      </c>
      <c r="J443" s="523">
        <v>3.34</v>
      </c>
    </row>
    <row r="444" spans="1:10" ht="25.5" thickBot="1" x14ac:dyDescent="0.35">
      <c r="A444" s="519" t="s">
        <v>2437</v>
      </c>
      <c r="B444" s="520" t="s">
        <v>2730</v>
      </c>
      <c r="C444" s="519" t="s">
        <v>32</v>
      </c>
      <c r="D444" s="519" t="s">
        <v>2731</v>
      </c>
      <c r="E444" s="905" t="s">
        <v>2442</v>
      </c>
      <c r="F444" s="905"/>
      <c r="G444" s="521" t="s">
        <v>89</v>
      </c>
      <c r="H444" s="522">
        <v>1.66E-2</v>
      </c>
      <c r="I444" s="523">
        <v>194.61</v>
      </c>
      <c r="J444" s="523">
        <v>3.23</v>
      </c>
    </row>
    <row r="445" spans="1:10" ht="14.5" thickTop="1" x14ac:dyDescent="0.3">
      <c r="A445" s="647"/>
      <c r="B445" s="647"/>
      <c r="C445" s="647"/>
      <c r="D445" s="647"/>
      <c r="E445" s="647"/>
      <c r="F445" s="647"/>
      <c r="G445" s="647"/>
      <c r="H445" s="647"/>
      <c r="I445" s="647"/>
      <c r="J445" s="647"/>
    </row>
    <row r="446" spans="1:10" s="358" customFormat="1" x14ac:dyDescent="0.3">
      <c r="A446" s="516"/>
      <c r="B446" s="517" t="s">
        <v>15</v>
      </c>
      <c r="C446" s="516" t="s">
        <v>16</v>
      </c>
      <c r="D446" s="516" t="s">
        <v>17</v>
      </c>
      <c r="E446" s="904" t="s">
        <v>2431</v>
      </c>
      <c r="F446" s="904"/>
      <c r="G446" s="518" t="s">
        <v>18</v>
      </c>
      <c r="H446" s="517" t="s">
        <v>19</v>
      </c>
      <c r="I446" s="517" t="s">
        <v>20</v>
      </c>
      <c r="J446" s="517" t="s">
        <v>23</v>
      </c>
    </row>
    <row r="447" spans="1:10" ht="37.5" x14ac:dyDescent="0.3">
      <c r="A447" s="642" t="s">
        <v>2432</v>
      </c>
      <c r="B447" s="643" t="s">
        <v>164</v>
      </c>
      <c r="C447" s="642" t="s">
        <v>32</v>
      </c>
      <c r="D447" s="642" t="s">
        <v>4220</v>
      </c>
      <c r="E447" s="906" t="s">
        <v>2485</v>
      </c>
      <c r="F447" s="906"/>
      <c r="G447" s="644" t="s">
        <v>89</v>
      </c>
      <c r="H447" s="645">
        <v>1</v>
      </c>
      <c r="I447" s="646">
        <v>6679.79</v>
      </c>
      <c r="J447" s="646">
        <v>6679.79</v>
      </c>
    </row>
    <row r="448" spans="1:10" s="358" customFormat="1" ht="37.5" x14ac:dyDescent="0.3">
      <c r="A448" s="519" t="s">
        <v>2434</v>
      </c>
      <c r="B448" s="520" t="s">
        <v>2735</v>
      </c>
      <c r="C448" s="519" t="s">
        <v>32</v>
      </c>
      <c r="D448" s="519" t="s">
        <v>2736</v>
      </c>
      <c r="E448" s="905" t="s">
        <v>2667</v>
      </c>
      <c r="F448" s="905"/>
      <c r="G448" s="521" t="s">
        <v>89</v>
      </c>
      <c r="H448" s="522">
        <v>3</v>
      </c>
      <c r="I448" s="523">
        <v>9.32</v>
      </c>
      <c r="J448" s="523">
        <v>27.96</v>
      </c>
    </row>
    <row r="449" spans="1:10" ht="37.5" x14ac:dyDescent="0.3">
      <c r="A449" s="519" t="s">
        <v>2434</v>
      </c>
      <c r="B449" s="520" t="s">
        <v>2737</v>
      </c>
      <c r="C449" s="519" t="s">
        <v>32</v>
      </c>
      <c r="D449" s="519" t="s">
        <v>2738</v>
      </c>
      <c r="E449" s="905" t="s">
        <v>2667</v>
      </c>
      <c r="F449" s="905"/>
      <c r="G449" s="521" t="s">
        <v>89</v>
      </c>
      <c r="H449" s="522">
        <v>1</v>
      </c>
      <c r="I449" s="523">
        <v>57.67</v>
      </c>
      <c r="J449" s="523">
        <v>57.67</v>
      </c>
    </row>
    <row r="450" spans="1:10" ht="37.5" x14ac:dyDescent="0.3">
      <c r="A450" s="519" t="s">
        <v>2434</v>
      </c>
      <c r="B450" s="520" t="s">
        <v>2739</v>
      </c>
      <c r="C450" s="519" t="s">
        <v>32</v>
      </c>
      <c r="D450" s="519" t="s">
        <v>2740</v>
      </c>
      <c r="E450" s="905" t="s">
        <v>2667</v>
      </c>
      <c r="F450" s="905"/>
      <c r="G450" s="521" t="s">
        <v>194</v>
      </c>
      <c r="H450" s="522">
        <v>19</v>
      </c>
      <c r="I450" s="523">
        <v>7.04</v>
      </c>
      <c r="J450" s="523">
        <v>133.76</v>
      </c>
    </row>
    <row r="451" spans="1:10" ht="37.5" x14ac:dyDescent="0.3">
      <c r="A451" s="519" t="s">
        <v>2434</v>
      </c>
      <c r="B451" s="520" t="s">
        <v>2741</v>
      </c>
      <c r="C451" s="519" t="s">
        <v>32</v>
      </c>
      <c r="D451" s="519" t="s">
        <v>2742</v>
      </c>
      <c r="E451" s="905" t="s">
        <v>2667</v>
      </c>
      <c r="F451" s="905"/>
      <c r="G451" s="521" t="s">
        <v>89</v>
      </c>
      <c r="H451" s="522">
        <v>2</v>
      </c>
      <c r="I451" s="523">
        <v>7.14</v>
      </c>
      <c r="J451" s="523">
        <v>14.28</v>
      </c>
    </row>
    <row r="452" spans="1:10" ht="50" x14ac:dyDescent="0.3">
      <c r="A452" s="519" t="s">
        <v>2434</v>
      </c>
      <c r="B452" s="520" t="s">
        <v>2743</v>
      </c>
      <c r="C452" s="519" t="s">
        <v>32</v>
      </c>
      <c r="D452" s="519" t="s">
        <v>2744</v>
      </c>
      <c r="E452" s="905" t="s">
        <v>2667</v>
      </c>
      <c r="F452" s="905"/>
      <c r="G452" s="521" t="s">
        <v>89</v>
      </c>
      <c r="H452" s="522">
        <v>1</v>
      </c>
      <c r="I452" s="523">
        <v>20.62</v>
      </c>
      <c r="J452" s="523">
        <v>20.62</v>
      </c>
    </row>
    <row r="453" spans="1:10" ht="25" x14ac:dyDescent="0.3">
      <c r="A453" s="519" t="s">
        <v>2434</v>
      </c>
      <c r="B453" s="520" t="s">
        <v>2745</v>
      </c>
      <c r="C453" s="519" t="s">
        <v>32</v>
      </c>
      <c r="D453" s="519" t="s">
        <v>2746</v>
      </c>
      <c r="E453" s="905" t="s">
        <v>2667</v>
      </c>
      <c r="F453" s="905"/>
      <c r="G453" s="521" t="s">
        <v>89</v>
      </c>
      <c r="H453" s="522">
        <v>1</v>
      </c>
      <c r="I453" s="523">
        <v>67.61</v>
      </c>
      <c r="J453" s="523">
        <v>67.61</v>
      </c>
    </row>
    <row r="454" spans="1:10" ht="25" x14ac:dyDescent="0.3">
      <c r="A454" s="519" t="s">
        <v>2434</v>
      </c>
      <c r="B454" s="520" t="s">
        <v>166</v>
      </c>
      <c r="C454" s="519" t="s">
        <v>32</v>
      </c>
      <c r="D454" s="519" t="s">
        <v>4407</v>
      </c>
      <c r="E454" s="905" t="s">
        <v>2485</v>
      </c>
      <c r="F454" s="905"/>
      <c r="G454" s="521" t="s">
        <v>89</v>
      </c>
      <c r="H454" s="522">
        <v>1</v>
      </c>
      <c r="I454" s="523">
        <v>5847.66</v>
      </c>
      <c r="J454" s="523">
        <v>5847.66</v>
      </c>
    </row>
    <row r="455" spans="1:10" ht="25.5" thickBot="1" x14ac:dyDescent="0.35">
      <c r="A455" s="519" t="s">
        <v>2437</v>
      </c>
      <c r="B455" s="520" t="s">
        <v>2747</v>
      </c>
      <c r="C455" s="519" t="s">
        <v>32</v>
      </c>
      <c r="D455" s="519" t="s">
        <v>4273</v>
      </c>
      <c r="E455" s="905" t="s">
        <v>2442</v>
      </c>
      <c r="F455" s="905"/>
      <c r="G455" s="521" t="s">
        <v>89</v>
      </c>
      <c r="H455" s="522">
        <v>1</v>
      </c>
      <c r="I455" s="523">
        <v>510.23</v>
      </c>
      <c r="J455" s="523">
        <v>510.23</v>
      </c>
    </row>
    <row r="456" spans="1:10" ht="14.5" thickTop="1" x14ac:dyDescent="0.3">
      <c r="A456" s="647"/>
      <c r="B456" s="647"/>
      <c r="C456" s="647"/>
      <c r="D456" s="647"/>
      <c r="E456" s="647"/>
      <c r="F456" s="647"/>
      <c r="G456" s="647"/>
      <c r="H456" s="647"/>
      <c r="I456" s="647"/>
      <c r="J456" s="647"/>
    </row>
    <row r="457" spans="1:10" s="358" customFormat="1" x14ac:dyDescent="0.3">
      <c r="A457" s="516"/>
      <c r="B457" s="517" t="s">
        <v>15</v>
      </c>
      <c r="C457" s="516" t="s">
        <v>16</v>
      </c>
      <c r="D457" s="516" t="s">
        <v>17</v>
      </c>
      <c r="E457" s="904" t="s">
        <v>2431</v>
      </c>
      <c r="F457" s="904"/>
      <c r="G457" s="518" t="s">
        <v>18</v>
      </c>
      <c r="H457" s="517" t="s">
        <v>19</v>
      </c>
      <c r="I457" s="517" t="s">
        <v>20</v>
      </c>
      <c r="J457" s="517" t="s">
        <v>23</v>
      </c>
    </row>
    <row r="458" spans="1:10" ht="37.5" x14ac:dyDescent="0.3">
      <c r="A458" s="642" t="s">
        <v>2432</v>
      </c>
      <c r="B458" s="643" t="s">
        <v>165</v>
      </c>
      <c r="C458" s="642" t="s">
        <v>32</v>
      </c>
      <c r="D458" s="642" t="s">
        <v>4221</v>
      </c>
      <c r="E458" s="906" t="s">
        <v>2485</v>
      </c>
      <c r="F458" s="906"/>
      <c r="G458" s="644" t="s">
        <v>89</v>
      </c>
      <c r="H458" s="645">
        <v>1</v>
      </c>
      <c r="I458" s="646">
        <v>11616.82</v>
      </c>
      <c r="J458" s="646">
        <v>11616.82</v>
      </c>
    </row>
    <row r="459" spans="1:10" s="358" customFormat="1" ht="37.5" x14ac:dyDescent="0.3">
      <c r="A459" s="519" t="s">
        <v>2434</v>
      </c>
      <c r="B459" s="520" t="s">
        <v>2735</v>
      </c>
      <c r="C459" s="519" t="s">
        <v>32</v>
      </c>
      <c r="D459" s="519" t="s">
        <v>2736</v>
      </c>
      <c r="E459" s="905" t="s">
        <v>2667</v>
      </c>
      <c r="F459" s="905"/>
      <c r="G459" s="521" t="s">
        <v>89</v>
      </c>
      <c r="H459" s="522">
        <v>3</v>
      </c>
      <c r="I459" s="523">
        <v>9.32</v>
      </c>
      <c r="J459" s="523">
        <v>27.96</v>
      </c>
    </row>
    <row r="460" spans="1:10" ht="37.5" x14ac:dyDescent="0.3">
      <c r="A460" s="519" t="s">
        <v>2434</v>
      </c>
      <c r="B460" s="520" t="s">
        <v>2737</v>
      </c>
      <c r="C460" s="519" t="s">
        <v>32</v>
      </c>
      <c r="D460" s="519" t="s">
        <v>2738</v>
      </c>
      <c r="E460" s="905" t="s">
        <v>2667</v>
      </c>
      <c r="F460" s="905"/>
      <c r="G460" s="521" t="s">
        <v>89</v>
      </c>
      <c r="H460" s="522">
        <v>1</v>
      </c>
      <c r="I460" s="523">
        <v>57.67</v>
      </c>
      <c r="J460" s="523">
        <v>57.67</v>
      </c>
    </row>
    <row r="461" spans="1:10" ht="37.5" x14ac:dyDescent="0.3">
      <c r="A461" s="519" t="s">
        <v>2434</v>
      </c>
      <c r="B461" s="520" t="s">
        <v>2739</v>
      </c>
      <c r="C461" s="519" t="s">
        <v>32</v>
      </c>
      <c r="D461" s="519" t="s">
        <v>2740</v>
      </c>
      <c r="E461" s="905" t="s">
        <v>2667</v>
      </c>
      <c r="F461" s="905"/>
      <c r="G461" s="521" t="s">
        <v>194</v>
      </c>
      <c r="H461" s="522">
        <v>20</v>
      </c>
      <c r="I461" s="523">
        <v>7.04</v>
      </c>
      <c r="J461" s="523">
        <v>140.80000000000001</v>
      </c>
    </row>
    <row r="462" spans="1:10" ht="37.5" x14ac:dyDescent="0.3">
      <c r="A462" s="519" t="s">
        <v>2434</v>
      </c>
      <c r="B462" s="520" t="s">
        <v>2741</v>
      </c>
      <c r="C462" s="519" t="s">
        <v>32</v>
      </c>
      <c r="D462" s="519" t="s">
        <v>2742</v>
      </c>
      <c r="E462" s="905" t="s">
        <v>2667</v>
      </c>
      <c r="F462" s="905"/>
      <c r="G462" s="521" t="s">
        <v>89</v>
      </c>
      <c r="H462" s="522">
        <v>2</v>
      </c>
      <c r="I462" s="523">
        <v>7.14</v>
      </c>
      <c r="J462" s="523">
        <v>14.28</v>
      </c>
    </row>
    <row r="463" spans="1:10" ht="50" x14ac:dyDescent="0.3">
      <c r="A463" s="519" t="s">
        <v>2434</v>
      </c>
      <c r="B463" s="520" t="s">
        <v>2743</v>
      </c>
      <c r="C463" s="519" t="s">
        <v>32</v>
      </c>
      <c r="D463" s="519" t="s">
        <v>2744</v>
      </c>
      <c r="E463" s="905" t="s">
        <v>2667</v>
      </c>
      <c r="F463" s="905"/>
      <c r="G463" s="521" t="s">
        <v>89</v>
      </c>
      <c r="H463" s="522">
        <v>1</v>
      </c>
      <c r="I463" s="523">
        <v>20.62</v>
      </c>
      <c r="J463" s="523">
        <v>20.62</v>
      </c>
    </row>
    <row r="464" spans="1:10" ht="25" x14ac:dyDescent="0.3">
      <c r="A464" s="519" t="s">
        <v>2434</v>
      </c>
      <c r="B464" s="520" t="s">
        <v>2745</v>
      </c>
      <c r="C464" s="519" t="s">
        <v>32</v>
      </c>
      <c r="D464" s="519" t="s">
        <v>2746</v>
      </c>
      <c r="E464" s="905" t="s">
        <v>2667</v>
      </c>
      <c r="F464" s="905"/>
      <c r="G464" s="521" t="s">
        <v>89</v>
      </c>
      <c r="H464" s="522">
        <v>1</v>
      </c>
      <c r="I464" s="523">
        <v>67.61</v>
      </c>
      <c r="J464" s="523">
        <v>67.61</v>
      </c>
    </row>
    <row r="465" spans="1:10" ht="25" x14ac:dyDescent="0.3">
      <c r="A465" s="519" t="s">
        <v>2434</v>
      </c>
      <c r="B465" s="520" t="s">
        <v>167</v>
      </c>
      <c r="C465" s="519" t="s">
        <v>32</v>
      </c>
      <c r="D465" s="519" t="s">
        <v>4408</v>
      </c>
      <c r="E465" s="905" t="s">
        <v>2485</v>
      </c>
      <c r="F465" s="905"/>
      <c r="G465" s="521" t="s">
        <v>89</v>
      </c>
      <c r="H465" s="522">
        <v>1</v>
      </c>
      <c r="I465" s="523">
        <v>9951.9599999999991</v>
      </c>
      <c r="J465" s="523">
        <v>9951.9599999999991</v>
      </c>
    </row>
    <row r="466" spans="1:10" ht="25.5" thickBot="1" x14ac:dyDescent="0.35">
      <c r="A466" s="519" t="s">
        <v>2437</v>
      </c>
      <c r="B466" s="520" t="s">
        <v>2748</v>
      </c>
      <c r="C466" s="519" t="s">
        <v>32</v>
      </c>
      <c r="D466" s="519" t="s">
        <v>4274</v>
      </c>
      <c r="E466" s="905" t="s">
        <v>2442</v>
      </c>
      <c r="F466" s="905"/>
      <c r="G466" s="521" t="s">
        <v>89</v>
      </c>
      <c r="H466" s="522">
        <v>1</v>
      </c>
      <c r="I466" s="523">
        <v>1335.92</v>
      </c>
      <c r="J466" s="523">
        <v>1335.92</v>
      </c>
    </row>
    <row r="467" spans="1:10" ht="14.5" thickTop="1" x14ac:dyDescent="0.3">
      <c r="A467" s="647"/>
      <c r="B467" s="647"/>
      <c r="C467" s="647"/>
      <c r="D467" s="647"/>
      <c r="E467" s="647"/>
      <c r="F467" s="647"/>
      <c r="G467" s="647"/>
      <c r="H467" s="647"/>
      <c r="I467" s="647"/>
      <c r="J467" s="647"/>
    </row>
    <row r="468" spans="1:10" s="358" customFormat="1" x14ac:dyDescent="0.3">
      <c r="A468" s="516"/>
      <c r="B468" s="517" t="s">
        <v>15</v>
      </c>
      <c r="C468" s="516" t="s">
        <v>16</v>
      </c>
      <c r="D468" s="516" t="s">
        <v>17</v>
      </c>
      <c r="E468" s="904" t="s">
        <v>2431</v>
      </c>
      <c r="F468" s="904"/>
      <c r="G468" s="518" t="s">
        <v>18</v>
      </c>
      <c r="H468" s="517" t="s">
        <v>19</v>
      </c>
      <c r="I468" s="517" t="s">
        <v>20</v>
      </c>
      <c r="J468" s="517" t="s">
        <v>23</v>
      </c>
    </row>
    <row r="469" spans="1:10" ht="25" x14ac:dyDescent="0.3">
      <c r="A469" s="642" t="s">
        <v>2432</v>
      </c>
      <c r="B469" s="643" t="s">
        <v>166</v>
      </c>
      <c r="C469" s="642" t="s">
        <v>32</v>
      </c>
      <c r="D469" s="642" t="s">
        <v>4407</v>
      </c>
      <c r="E469" s="906" t="s">
        <v>2485</v>
      </c>
      <c r="F469" s="906"/>
      <c r="G469" s="644" t="s">
        <v>89</v>
      </c>
      <c r="H469" s="645">
        <v>1</v>
      </c>
      <c r="I469" s="646">
        <v>5847.66</v>
      </c>
      <c r="J469" s="646">
        <v>5847.66</v>
      </c>
    </row>
    <row r="470" spans="1:10" s="358" customFormat="1" ht="25" x14ac:dyDescent="0.3">
      <c r="A470" s="519" t="s">
        <v>2434</v>
      </c>
      <c r="B470" s="520" t="s">
        <v>2627</v>
      </c>
      <c r="C470" s="519" t="s">
        <v>32</v>
      </c>
      <c r="D470" s="519" t="s">
        <v>2628</v>
      </c>
      <c r="E470" s="905" t="s">
        <v>2433</v>
      </c>
      <c r="F470" s="905"/>
      <c r="G470" s="521" t="s">
        <v>1901</v>
      </c>
      <c r="H470" s="522">
        <v>24.263000000000002</v>
      </c>
      <c r="I470" s="523">
        <v>24.12</v>
      </c>
      <c r="J470" s="523">
        <v>585.22</v>
      </c>
    </row>
    <row r="471" spans="1:10" ht="25" x14ac:dyDescent="0.3">
      <c r="A471" s="519" t="s">
        <v>2434</v>
      </c>
      <c r="B471" s="520" t="s">
        <v>2618</v>
      </c>
      <c r="C471" s="519" t="s">
        <v>32</v>
      </c>
      <c r="D471" s="519" t="s">
        <v>2619</v>
      </c>
      <c r="E471" s="905" t="s">
        <v>2433</v>
      </c>
      <c r="F471" s="905"/>
      <c r="G471" s="521" t="s">
        <v>1901</v>
      </c>
      <c r="H471" s="522">
        <v>36.331000000000003</v>
      </c>
      <c r="I471" s="523">
        <v>30.71</v>
      </c>
      <c r="J471" s="523">
        <v>1115.72</v>
      </c>
    </row>
    <row r="472" spans="1:10" ht="25.5" customHeight="1" x14ac:dyDescent="0.3">
      <c r="A472" s="519" t="s">
        <v>2434</v>
      </c>
      <c r="B472" s="520" t="s">
        <v>2629</v>
      </c>
      <c r="C472" s="519" t="s">
        <v>32</v>
      </c>
      <c r="D472" s="519" t="s">
        <v>2630</v>
      </c>
      <c r="E472" s="905" t="s">
        <v>2465</v>
      </c>
      <c r="F472" s="905"/>
      <c r="G472" s="521" t="s">
        <v>103</v>
      </c>
      <c r="H472" s="522">
        <v>0.1263</v>
      </c>
      <c r="I472" s="523">
        <v>26.94</v>
      </c>
      <c r="J472" s="523">
        <v>3.4</v>
      </c>
    </row>
    <row r="473" spans="1:10" ht="25.5" customHeight="1" x14ac:dyDescent="0.3">
      <c r="A473" s="519" t="s">
        <v>2434</v>
      </c>
      <c r="B473" s="520" t="s">
        <v>2631</v>
      </c>
      <c r="C473" s="519" t="s">
        <v>32</v>
      </c>
      <c r="D473" s="519" t="s">
        <v>2632</v>
      </c>
      <c r="E473" s="905" t="s">
        <v>2465</v>
      </c>
      <c r="F473" s="905"/>
      <c r="G473" s="521" t="s">
        <v>110</v>
      </c>
      <c r="H473" s="522">
        <v>0.50749999999999995</v>
      </c>
      <c r="I473" s="523">
        <v>25.9</v>
      </c>
      <c r="J473" s="523">
        <v>13.14</v>
      </c>
    </row>
    <row r="474" spans="1:10" ht="25.5" customHeight="1" x14ac:dyDescent="0.3">
      <c r="A474" s="519" t="s">
        <v>2437</v>
      </c>
      <c r="B474" s="520" t="s">
        <v>4462</v>
      </c>
      <c r="C474" s="519" t="s">
        <v>32</v>
      </c>
      <c r="D474" s="519" t="s">
        <v>4463</v>
      </c>
      <c r="E474" s="905" t="s">
        <v>2442</v>
      </c>
      <c r="F474" s="905"/>
      <c r="G474" s="521" t="s">
        <v>115</v>
      </c>
      <c r="H474" s="522">
        <v>4.2</v>
      </c>
      <c r="I474" s="523">
        <v>44.03</v>
      </c>
      <c r="J474" s="523">
        <v>184.92</v>
      </c>
    </row>
    <row r="475" spans="1:10" ht="25" x14ac:dyDescent="0.3">
      <c r="A475" s="519" t="s">
        <v>2437</v>
      </c>
      <c r="B475" s="520" t="s">
        <v>4464</v>
      </c>
      <c r="C475" s="519" t="s">
        <v>32</v>
      </c>
      <c r="D475" s="519" t="s">
        <v>4465</v>
      </c>
      <c r="E475" s="905" t="s">
        <v>2442</v>
      </c>
      <c r="F475" s="905"/>
      <c r="G475" s="521" t="s">
        <v>194</v>
      </c>
      <c r="H475" s="522">
        <v>59.4</v>
      </c>
      <c r="I475" s="523">
        <v>35.04</v>
      </c>
      <c r="J475" s="523">
        <v>2081.37</v>
      </c>
    </row>
    <row r="476" spans="1:10" ht="25" x14ac:dyDescent="0.3">
      <c r="A476" s="519" t="s">
        <v>2437</v>
      </c>
      <c r="B476" s="520" t="s">
        <v>2622</v>
      </c>
      <c r="C476" s="519" t="s">
        <v>32</v>
      </c>
      <c r="D476" s="519" t="s">
        <v>2623</v>
      </c>
      <c r="E476" s="905" t="s">
        <v>2442</v>
      </c>
      <c r="F476" s="905"/>
      <c r="G476" s="521" t="s">
        <v>194</v>
      </c>
      <c r="H476" s="522">
        <v>25.96</v>
      </c>
      <c r="I476" s="523">
        <v>7.78</v>
      </c>
      <c r="J476" s="523">
        <v>201.96</v>
      </c>
    </row>
    <row r="477" spans="1:10" x14ac:dyDescent="0.3">
      <c r="A477" s="519" t="s">
        <v>2437</v>
      </c>
      <c r="B477" s="520" t="s">
        <v>2637</v>
      </c>
      <c r="C477" s="519" t="s">
        <v>32</v>
      </c>
      <c r="D477" s="519" t="s">
        <v>2638</v>
      </c>
      <c r="E477" s="905" t="s">
        <v>2442</v>
      </c>
      <c r="F477" s="905"/>
      <c r="G477" s="521" t="s">
        <v>1369</v>
      </c>
      <c r="H477" s="522">
        <v>1.292</v>
      </c>
      <c r="I477" s="523">
        <v>19.5</v>
      </c>
      <c r="J477" s="523">
        <v>25.19</v>
      </c>
    </row>
    <row r="478" spans="1:10" ht="25" x14ac:dyDescent="0.3">
      <c r="A478" s="519" t="s">
        <v>2437</v>
      </c>
      <c r="B478" s="520" t="s">
        <v>4460</v>
      </c>
      <c r="C478" s="519" t="s">
        <v>32</v>
      </c>
      <c r="D478" s="519" t="s">
        <v>4461</v>
      </c>
      <c r="E478" s="905" t="s">
        <v>2442</v>
      </c>
      <c r="F478" s="905"/>
      <c r="G478" s="521" t="s">
        <v>194</v>
      </c>
      <c r="H478" s="522">
        <v>17.600000000000001</v>
      </c>
      <c r="I478" s="523">
        <v>5.55</v>
      </c>
      <c r="J478" s="523">
        <v>97.68</v>
      </c>
    </row>
    <row r="479" spans="1:10" ht="25" x14ac:dyDescent="0.3">
      <c r="A479" s="519" t="s">
        <v>2437</v>
      </c>
      <c r="B479" s="520" t="s">
        <v>4466</v>
      </c>
      <c r="C479" s="519" t="s">
        <v>32</v>
      </c>
      <c r="D479" s="519" t="s">
        <v>4467</v>
      </c>
      <c r="E479" s="905" t="s">
        <v>2442</v>
      </c>
      <c r="F479" s="905"/>
      <c r="G479" s="521" t="s">
        <v>194</v>
      </c>
      <c r="H479" s="522">
        <v>89.1</v>
      </c>
      <c r="I479" s="523">
        <v>12.9</v>
      </c>
      <c r="J479" s="523">
        <v>1149.3900000000001</v>
      </c>
    </row>
    <row r="480" spans="1:10" ht="38" thickBot="1" x14ac:dyDescent="0.35">
      <c r="A480" s="519" t="s">
        <v>2437</v>
      </c>
      <c r="B480" s="520" t="s">
        <v>2749</v>
      </c>
      <c r="C480" s="519" t="s">
        <v>32</v>
      </c>
      <c r="D480" s="519" t="s">
        <v>2750</v>
      </c>
      <c r="E480" s="905" t="s">
        <v>2442</v>
      </c>
      <c r="F480" s="905"/>
      <c r="G480" s="521" t="s">
        <v>118</v>
      </c>
      <c r="H480" s="522">
        <v>0.82909999999999995</v>
      </c>
      <c r="I480" s="523">
        <v>470</v>
      </c>
      <c r="J480" s="523">
        <v>389.67</v>
      </c>
    </row>
    <row r="481" spans="1:10" ht="14.5" thickTop="1" x14ac:dyDescent="0.3">
      <c r="A481" s="647"/>
      <c r="B481" s="647"/>
      <c r="C481" s="647"/>
      <c r="D481" s="647"/>
      <c r="E481" s="647"/>
      <c r="F481" s="647"/>
      <c r="G481" s="647"/>
      <c r="H481" s="647"/>
      <c r="I481" s="647"/>
      <c r="J481" s="647"/>
    </row>
    <row r="482" spans="1:10" s="358" customFormat="1" x14ac:dyDescent="0.3">
      <c r="A482" s="516"/>
      <c r="B482" s="517" t="s">
        <v>15</v>
      </c>
      <c r="C482" s="516" t="s">
        <v>16</v>
      </c>
      <c r="D482" s="516" t="s">
        <v>17</v>
      </c>
      <c r="E482" s="904" t="s">
        <v>2431</v>
      </c>
      <c r="F482" s="904"/>
      <c r="G482" s="518" t="s">
        <v>18</v>
      </c>
      <c r="H482" s="517" t="s">
        <v>19</v>
      </c>
      <c r="I482" s="517" t="s">
        <v>20</v>
      </c>
      <c r="J482" s="517" t="s">
        <v>23</v>
      </c>
    </row>
    <row r="483" spans="1:10" ht="25" x14ac:dyDescent="0.3">
      <c r="A483" s="642" t="s">
        <v>2432</v>
      </c>
      <c r="B483" s="643" t="s">
        <v>167</v>
      </c>
      <c r="C483" s="642" t="s">
        <v>32</v>
      </c>
      <c r="D483" s="642" t="s">
        <v>4408</v>
      </c>
      <c r="E483" s="906" t="s">
        <v>2485</v>
      </c>
      <c r="F483" s="906"/>
      <c r="G483" s="644" t="s">
        <v>89</v>
      </c>
      <c r="H483" s="645">
        <v>1</v>
      </c>
      <c r="I483" s="646">
        <v>9951.9599999999991</v>
      </c>
      <c r="J483" s="646">
        <v>9951.9599999999991</v>
      </c>
    </row>
    <row r="484" spans="1:10" s="358" customFormat="1" ht="25" x14ac:dyDescent="0.3">
      <c r="A484" s="519" t="s">
        <v>2434</v>
      </c>
      <c r="B484" s="520" t="s">
        <v>2627</v>
      </c>
      <c r="C484" s="519" t="s">
        <v>32</v>
      </c>
      <c r="D484" s="519" t="s">
        <v>2628</v>
      </c>
      <c r="E484" s="905" t="s">
        <v>2433</v>
      </c>
      <c r="F484" s="905"/>
      <c r="G484" s="521" t="s">
        <v>1901</v>
      </c>
      <c r="H484" s="522">
        <v>42.304000000000002</v>
      </c>
      <c r="I484" s="523">
        <v>24.12</v>
      </c>
      <c r="J484" s="523">
        <v>1020.37</v>
      </c>
    </row>
    <row r="485" spans="1:10" ht="25" x14ac:dyDescent="0.3">
      <c r="A485" s="519" t="s">
        <v>2434</v>
      </c>
      <c r="B485" s="520" t="s">
        <v>2618</v>
      </c>
      <c r="C485" s="519" t="s">
        <v>32</v>
      </c>
      <c r="D485" s="519" t="s">
        <v>2619</v>
      </c>
      <c r="E485" s="905" t="s">
        <v>2433</v>
      </c>
      <c r="F485" s="905"/>
      <c r="G485" s="521" t="s">
        <v>1901</v>
      </c>
      <c r="H485" s="522">
        <v>63.392000000000003</v>
      </c>
      <c r="I485" s="523">
        <v>30.71</v>
      </c>
      <c r="J485" s="523">
        <v>1946.76</v>
      </c>
    </row>
    <row r="486" spans="1:10" ht="25.5" customHeight="1" x14ac:dyDescent="0.3">
      <c r="A486" s="519" t="s">
        <v>2434</v>
      </c>
      <c r="B486" s="520" t="s">
        <v>2629</v>
      </c>
      <c r="C486" s="519" t="s">
        <v>32</v>
      </c>
      <c r="D486" s="519" t="s">
        <v>2630</v>
      </c>
      <c r="E486" s="905" t="s">
        <v>2465</v>
      </c>
      <c r="F486" s="905"/>
      <c r="G486" s="521" t="s">
        <v>103</v>
      </c>
      <c r="H486" s="522">
        <v>0.1275</v>
      </c>
      <c r="I486" s="523">
        <v>26.94</v>
      </c>
      <c r="J486" s="523">
        <v>3.43</v>
      </c>
    </row>
    <row r="487" spans="1:10" ht="25.5" customHeight="1" x14ac:dyDescent="0.3">
      <c r="A487" s="519" t="s">
        <v>2434</v>
      </c>
      <c r="B487" s="520" t="s">
        <v>2631</v>
      </c>
      <c r="C487" s="519" t="s">
        <v>32</v>
      </c>
      <c r="D487" s="519" t="s">
        <v>2632</v>
      </c>
      <c r="E487" s="905" t="s">
        <v>2465</v>
      </c>
      <c r="F487" s="905"/>
      <c r="G487" s="521" t="s">
        <v>110</v>
      </c>
      <c r="H487" s="522">
        <v>0.51229999999999998</v>
      </c>
      <c r="I487" s="523">
        <v>25.9</v>
      </c>
      <c r="J487" s="523">
        <v>13.26</v>
      </c>
    </row>
    <row r="488" spans="1:10" ht="25.5" customHeight="1" x14ac:dyDescent="0.3">
      <c r="A488" s="519" t="s">
        <v>2437</v>
      </c>
      <c r="B488" s="520" t="s">
        <v>4462</v>
      </c>
      <c r="C488" s="519" t="s">
        <v>32</v>
      </c>
      <c r="D488" s="519" t="s">
        <v>4463</v>
      </c>
      <c r="E488" s="905" t="s">
        <v>2442</v>
      </c>
      <c r="F488" s="905"/>
      <c r="G488" s="521" t="s">
        <v>115</v>
      </c>
      <c r="H488" s="522">
        <v>9.4499999999999993</v>
      </c>
      <c r="I488" s="523">
        <v>44.03</v>
      </c>
      <c r="J488" s="523">
        <v>416.08</v>
      </c>
    </row>
    <row r="489" spans="1:10" ht="25" x14ac:dyDescent="0.3">
      <c r="A489" s="519" t="s">
        <v>2437</v>
      </c>
      <c r="B489" s="520" t="s">
        <v>4464</v>
      </c>
      <c r="C489" s="519" t="s">
        <v>32</v>
      </c>
      <c r="D489" s="519" t="s">
        <v>4465</v>
      </c>
      <c r="E489" s="905" t="s">
        <v>2442</v>
      </c>
      <c r="F489" s="905"/>
      <c r="G489" s="521" t="s">
        <v>194</v>
      </c>
      <c r="H489" s="522">
        <v>105.6</v>
      </c>
      <c r="I489" s="523">
        <v>35.04</v>
      </c>
      <c r="J489" s="523">
        <v>3700.22</v>
      </c>
    </row>
    <row r="490" spans="1:10" ht="25" x14ac:dyDescent="0.3">
      <c r="A490" s="519" t="s">
        <v>2437</v>
      </c>
      <c r="B490" s="520" t="s">
        <v>2622</v>
      </c>
      <c r="C490" s="519" t="s">
        <v>32</v>
      </c>
      <c r="D490" s="519" t="s">
        <v>2623</v>
      </c>
      <c r="E490" s="905" t="s">
        <v>2442</v>
      </c>
      <c r="F490" s="905"/>
      <c r="G490" s="521" t="s">
        <v>194</v>
      </c>
      <c r="H490" s="522">
        <v>48.84</v>
      </c>
      <c r="I490" s="523">
        <v>7.78</v>
      </c>
      <c r="J490" s="523">
        <v>379.97</v>
      </c>
    </row>
    <row r="491" spans="1:10" x14ac:dyDescent="0.3">
      <c r="A491" s="519" t="s">
        <v>2437</v>
      </c>
      <c r="B491" s="520" t="s">
        <v>2637</v>
      </c>
      <c r="C491" s="519" t="s">
        <v>32</v>
      </c>
      <c r="D491" s="519" t="s">
        <v>2638</v>
      </c>
      <c r="E491" s="905" t="s">
        <v>2442</v>
      </c>
      <c r="F491" s="905"/>
      <c r="G491" s="521" t="s">
        <v>1369</v>
      </c>
      <c r="H491" s="522">
        <v>1.871</v>
      </c>
      <c r="I491" s="523">
        <v>19.5</v>
      </c>
      <c r="J491" s="523">
        <v>36.479999999999997</v>
      </c>
    </row>
    <row r="492" spans="1:10" ht="25" x14ac:dyDescent="0.3">
      <c r="A492" s="519" t="s">
        <v>2437</v>
      </c>
      <c r="B492" s="520" t="s">
        <v>4460</v>
      </c>
      <c r="C492" s="519" t="s">
        <v>32</v>
      </c>
      <c r="D492" s="519" t="s">
        <v>4461</v>
      </c>
      <c r="E492" s="905" t="s">
        <v>2442</v>
      </c>
      <c r="F492" s="905"/>
      <c r="G492" s="521" t="s">
        <v>194</v>
      </c>
      <c r="H492" s="522">
        <v>26.4</v>
      </c>
      <c r="I492" s="523">
        <v>5.55</v>
      </c>
      <c r="J492" s="523">
        <v>146.52000000000001</v>
      </c>
    </row>
    <row r="493" spans="1:10" ht="25" x14ac:dyDescent="0.3">
      <c r="A493" s="519" t="s">
        <v>2437</v>
      </c>
      <c r="B493" s="520" t="s">
        <v>4466</v>
      </c>
      <c r="C493" s="519" t="s">
        <v>32</v>
      </c>
      <c r="D493" s="519" t="s">
        <v>4467</v>
      </c>
      <c r="E493" s="905" t="s">
        <v>2442</v>
      </c>
      <c r="F493" s="905"/>
      <c r="G493" s="521" t="s">
        <v>194</v>
      </c>
      <c r="H493" s="522">
        <v>123.72799999999999</v>
      </c>
      <c r="I493" s="523">
        <v>12.9</v>
      </c>
      <c r="J493" s="523">
        <v>1596.09</v>
      </c>
    </row>
    <row r="494" spans="1:10" ht="38" thickBot="1" x14ac:dyDescent="0.35">
      <c r="A494" s="519" t="s">
        <v>2437</v>
      </c>
      <c r="B494" s="520" t="s">
        <v>2749</v>
      </c>
      <c r="C494" s="519" t="s">
        <v>32</v>
      </c>
      <c r="D494" s="519" t="s">
        <v>2750</v>
      </c>
      <c r="E494" s="905" t="s">
        <v>2442</v>
      </c>
      <c r="F494" s="905"/>
      <c r="G494" s="521" t="s">
        <v>118</v>
      </c>
      <c r="H494" s="522">
        <v>1.474</v>
      </c>
      <c r="I494" s="523">
        <v>470</v>
      </c>
      <c r="J494" s="523">
        <v>692.78</v>
      </c>
    </row>
    <row r="495" spans="1:10" ht="14.5" thickTop="1" x14ac:dyDescent="0.3">
      <c r="A495" s="647"/>
      <c r="B495" s="647"/>
      <c r="C495" s="647"/>
      <c r="D495" s="647"/>
      <c r="E495" s="647"/>
      <c r="F495" s="647"/>
      <c r="G495" s="647"/>
      <c r="H495" s="647"/>
      <c r="I495" s="647"/>
      <c r="J495" s="647"/>
    </row>
    <row r="496" spans="1:10" s="358" customFormat="1" x14ac:dyDescent="0.3">
      <c r="A496" s="516"/>
      <c r="B496" s="517" t="s">
        <v>15</v>
      </c>
      <c r="C496" s="516" t="s">
        <v>16</v>
      </c>
      <c r="D496" s="516" t="s">
        <v>17</v>
      </c>
      <c r="E496" s="904" t="s">
        <v>2431</v>
      </c>
      <c r="F496" s="904"/>
      <c r="G496" s="518" t="s">
        <v>18</v>
      </c>
      <c r="H496" s="517" t="s">
        <v>19</v>
      </c>
      <c r="I496" s="517" t="s">
        <v>20</v>
      </c>
      <c r="J496" s="517" t="s">
        <v>23</v>
      </c>
    </row>
    <row r="497" spans="1:10" ht="37.5" x14ac:dyDescent="0.3">
      <c r="A497" s="642" t="s">
        <v>2432</v>
      </c>
      <c r="B497" s="643" t="s">
        <v>168</v>
      </c>
      <c r="C497" s="642" t="s">
        <v>32</v>
      </c>
      <c r="D497" s="642" t="s">
        <v>4222</v>
      </c>
      <c r="E497" s="906" t="s">
        <v>2667</v>
      </c>
      <c r="F497" s="906"/>
      <c r="G497" s="644" t="s">
        <v>89</v>
      </c>
      <c r="H497" s="645">
        <v>1</v>
      </c>
      <c r="I497" s="646">
        <v>4692.53</v>
      </c>
      <c r="J497" s="646">
        <v>4692.53</v>
      </c>
    </row>
    <row r="498" spans="1:10" s="358" customFormat="1" ht="37.5" x14ac:dyDescent="0.3">
      <c r="A498" s="519" t="s">
        <v>2434</v>
      </c>
      <c r="B498" s="520" t="s">
        <v>360</v>
      </c>
      <c r="C498" s="519" t="s">
        <v>32</v>
      </c>
      <c r="D498" s="519" t="s">
        <v>361</v>
      </c>
      <c r="E498" s="905" t="s">
        <v>2706</v>
      </c>
      <c r="F498" s="905"/>
      <c r="G498" s="521" t="s">
        <v>118</v>
      </c>
      <c r="H498" s="522">
        <v>0.37330000000000002</v>
      </c>
      <c r="I498" s="523">
        <v>224.67</v>
      </c>
      <c r="J498" s="523">
        <v>83.86</v>
      </c>
    </row>
    <row r="499" spans="1:10" ht="50" x14ac:dyDescent="0.3">
      <c r="A499" s="519" t="s">
        <v>2434</v>
      </c>
      <c r="B499" s="520" t="s">
        <v>2753</v>
      </c>
      <c r="C499" s="519" t="s">
        <v>32</v>
      </c>
      <c r="D499" s="519" t="s">
        <v>2754</v>
      </c>
      <c r="E499" s="905" t="s">
        <v>2465</v>
      </c>
      <c r="F499" s="905"/>
      <c r="G499" s="521" t="s">
        <v>103</v>
      </c>
      <c r="H499" s="522">
        <v>0.50749999999999995</v>
      </c>
      <c r="I499" s="523">
        <v>139.99</v>
      </c>
      <c r="J499" s="523">
        <v>71.040000000000006</v>
      </c>
    </row>
    <row r="500" spans="1:10" ht="50" x14ac:dyDescent="0.3">
      <c r="A500" s="519" t="s">
        <v>2434</v>
      </c>
      <c r="B500" s="520" t="s">
        <v>2755</v>
      </c>
      <c r="C500" s="519" t="s">
        <v>32</v>
      </c>
      <c r="D500" s="519" t="s">
        <v>2756</v>
      </c>
      <c r="E500" s="905" t="s">
        <v>2465</v>
      </c>
      <c r="F500" s="905"/>
      <c r="G500" s="521" t="s">
        <v>110</v>
      </c>
      <c r="H500" s="522">
        <v>1.0343</v>
      </c>
      <c r="I500" s="523">
        <v>61.95</v>
      </c>
      <c r="J500" s="523">
        <v>64.069999999999993</v>
      </c>
    </row>
    <row r="501" spans="1:10" ht="25" x14ac:dyDescent="0.3">
      <c r="A501" s="519" t="s">
        <v>2434</v>
      </c>
      <c r="B501" s="520" t="s">
        <v>2757</v>
      </c>
      <c r="C501" s="519" t="s">
        <v>32</v>
      </c>
      <c r="D501" s="519" t="s">
        <v>2758</v>
      </c>
      <c r="E501" s="905" t="s">
        <v>2433</v>
      </c>
      <c r="F501" s="905"/>
      <c r="G501" s="521" t="s">
        <v>1901</v>
      </c>
      <c r="H501" s="522">
        <v>2.4573</v>
      </c>
      <c r="I501" s="523">
        <v>31.1</v>
      </c>
      <c r="J501" s="523">
        <v>76.42</v>
      </c>
    </row>
    <row r="502" spans="1:10" ht="25" x14ac:dyDescent="0.3">
      <c r="A502" s="519" t="s">
        <v>2434</v>
      </c>
      <c r="B502" s="520" t="s">
        <v>2561</v>
      </c>
      <c r="C502" s="519" t="s">
        <v>32</v>
      </c>
      <c r="D502" s="519" t="s">
        <v>2562</v>
      </c>
      <c r="E502" s="905" t="s">
        <v>2433</v>
      </c>
      <c r="F502" s="905"/>
      <c r="G502" s="521" t="s">
        <v>1901</v>
      </c>
      <c r="H502" s="522">
        <v>1.9307000000000001</v>
      </c>
      <c r="I502" s="523">
        <v>23.4</v>
      </c>
      <c r="J502" s="523">
        <v>45.17</v>
      </c>
    </row>
    <row r="503" spans="1:10" ht="25" x14ac:dyDescent="0.3">
      <c r="A503" s="519" t="s">
        <v>2434</v>
      </c>
      <c r="B503" s="520" t="s">
        <v>2759</v>
      </c>
      <c r="C503" s="519" t="s">
        <v>32</v>
      </c>
      <c r="D503" s="519" t="s">
        <v>2760</v>
      </c>
      <c r="E503" s="905" t="s">
        <v>2433</v>
      </c>
      <c r="F503" s="905"/>
      <c r="G503" s="521" t="s">
        <v>118</v>
      </c>
      <c r="H503" s="522">
        <v>8.5800000000000001E-2</v>
      </c>
      <c r="I503" s="523">
        <v>524.29</v>
      </c>
      <c r="J503" s="523">
        <v>44.98</v>
      </c>
    </row>
    <row r="504" spans="1:10" ht="37.5" x14ac:dyDescent="0.3">
      <c r="A504" s="519" t="s">
        <v>2434</v>
      </c>
      <c r="B504" s="520" t="s">
        <v>2761</v>
      </c>
      <c r="C504" s="519" t="s">
        <v>32</v>
      </c>
      <c r="D504" s="519" t="s">
        <v>4275</v>
      </c>
      <c r="E504" s="905" t="s">
        <v>2617</v>
      </c>
      <c r="F504" s="905"/>
      <c r="G504" s="521" t="s">
        <v>118</v>
      </c>
      <c r="H504" s="522">
        <v>1.54E-2</v>
      </c>
      <c r="I504" s="523">
        <v>3853.89</v>
      </c>
      <c r="J504" s="523">
        <v>59.34</v>
      </c>
    </row>
    <row r="505" spans="1:10" ht="25" x14ac:dyDescent="0.3">
      <c r="A505" s="519" t="s">
        <v>2434</v>
      </c>
      <c r="B505" s="520" t="s">
        <v>2762</v>
      </c>
      <c r="C505" s="519" t="s">
        <v>32</v>
      </c>
      <c r="D505" s="519" t="s">
        <v>2763</v>
      </c>
      <c r="E505" s="905" t="s">
        <v>2617</v>
      </c>
      <c r="F505" s="905"/>
      <c r="G505" s="521" t="s">
        <v>118</v>
      </c>
      <c r="H505" s="522">
        <v>0.24</v>
      </c>
      <c r="I505" s="523">
        <v>1971.05</v>
      </c>
      <c r="J505" s="523">
        <v>473.05</v>
      </c>
    </row>
    <row r="506" spans="1:10" ht="38" thickBot="1" x14ac:dyDescent="0.35">
      <c r="A506" s="519" t="s">
        <v>2437</v>
      </c>
      <c r="B506" s="520" t="s">
        <v>2764</v>
      </c>
      <c r="C506" s="519" t="s">
        <v>32</v>
      </c>
      <c r="D506" s="519" t="s">
        <v>2765</v>
      </c>
      <c r="E506" s="905" t="s">
        <v>2442</v>
      </c>
      <c r="F506" s="905"/>
      <c r="G506" s="521" t="s">
        <v>89</v>
      </c>
      <c r="H506" s="522">
        <v>5</v>
      </c>
      <c r="I506" s="523">
        <v>754.92</v>
      </c>
      <c r="J506" s="523">
        <v>3774.6</v>
      </c>
    </row>
    <row r="507" spans="1:10" ht="14.5" thickTop="1" x14ac:dyDescent="0.3">
      <c r="A507" s="647"/>
      <c r="B507" s="647"/>
      <c r="C507" s="647"/>
      <c r="D507" s="647"/>
      <c r="E507" s="647"/>
      <c r="F507" s="647"/>
      <c r="G507" s="647"/>
      <c r="H507" s="647"/>
      <c r="I507" s="647"/>
      <c r="J507" s="647"/>
    </row>
    <row r="508" spans="1:10" s="358" customFormat="1" x14ac:dyDescent="0.3">
      <c r="A508" s="516"/>
      <c r="B508" s="517" t="s">
        <v>15</v>
      </c>
      <c r="C508" s="516" t="s">
        <v>16</v>
      </c>
      <c r="D508" s="516" t="s">
        <v>17</v>
      </c>
      <c r="E508" s="904" t="s">
        <v>2431</v>
      </c>
      <c r="F508" s="904"/>
      <c r="G508" s="518" t="s">
        <v>18</v>
      </c>
      <c r="H508" s="517" t="s">
        <v>19</v>
      </c>
      <c r="I508" s="517" t="s">
        <v>20</v>
      </c>
      <c r="J508" s="517" t="s">
        <v>23</v>
      </c>
    </row>
    <row r="509" spans="1:10" ht="25" x14ac:dyDescent="0.3">
      <c r="A509" s="642" t="s">
        <v>2432</v>
      </c>
      <c r="B509" s="643" t="s">
        <v>4223</v>
      </c>
      <c r="C509" s="642" t="s">
        <v>39</v>
      </c>
      <c r="D509" s="642" t="s">
        <v>169</v>
      </c>
      <c r="E509" s="906" t="s">
        <v>2558</v>
      </c>
      <c r="F509" s="906"/>
      <c r="G509" s="644" t="s">
        <v>89</v>
      </c>
      <c r="H509" s="645">
        <v>1</v>
      </c>
      <c r="I509" s="646">
        <v>2854.5</v>
      </c>
      <c r="J509" s="646">
        <v>2854.5</v>
      </c>
    </row>
    <row r="510" spans="1:10" s="358" customFormat="1" ht="25" x14ac:dyDescent="0.3">
      <c r="A510" s="519" t="s">
        <v>2434</v>
      </c>
      <c r="B510" s="520" t="s">
        <v>2766</v>
      </c>
      <c r="C510" s="519" t="s">
        <v>32</v>
      </c>
      <c r="D510" s="519" t="s">
        <v>2767</v>
      </c>
      <c r="E510" s="905" t="s">
        <v>2433</v>
      </c>
      <c r="F510" s="905"/>
      <c r="G510" s="521" t="s">
        <v>1901</v>
      </c>
      <c r="H510" s="522">
        <v>24</v>
      </c>
      <c r="I510" s="523">
        <v>31.49</v>
      </c>
      <c r="J510" s="523">
        <v>755.76</v>
      </c>
    </row>
    <row r="511" spans="1:10" ht="25" x14ac:dyDescent="0.3">
      <c r="A511" s="519" t="s">
        <v>2434</v>
      </c>
      <c r="B511" s="520" t="s">
        <v>2561</v>
      </c>
      <c r="C511" s="519" t="s">
        <v>32</v>
      </c>
      <c r="D511" s="519" t="s">
        <v>2562</v>
      </c>
      <c r="E511" s="905" t="s">
        <v>2433</v>
      </c>
      <c r="F511" s="905"/>
      <c r="G511" s="521" t="s">
        <v>1901</v>
      </c>
      <c r="H511" s="522">
        <v>24</v>
      </c>
      <c r="I511" s="523">
        <v>23.4</v>
      </c>
      <c r="J511" s="523">
        <v>561.6</v>
      </c>
    </row>
    <row r="512" spans="1:10" ht="25" x14ac:dyDescent="0.3">
      <c r="A512" s="519" t="s">
        <v>2437</v>
      </c>
      <c r="B512" s="520" t="s">
        <v>2768</v>
      </c>
      <c r="C512" s="519" t="s">
        <v>32</v>
      </c>
      <c r="D512" s="519" t="s">
        <v>2769</v>
      </c>
      <c r="E512" s="905" t="s">
        <v>2442</v>
      </c>
      <c r="F512" s="905"/>
      <c r="G512" s="521" t="s">
        <v>89</v>
      </c>
      <c r="H512" s="522">
        <v>1</v>
      </c>
      <c r="I512" s="523">
        <v>1.79</v>
      </c>
      <c r="J512" s="523">
        <v>1.79</v>
      </c>
    </row>
    <row r="513" spans="1:10" ht="25" x14ac:dyDescent="0.3">
      <c r="A513" s="519" t="s">
        <v>2437</v>
      </c>
      <c r="B513" s="520" t="s">
        <v>2770</v>
      </c>
      <c r="C513" s="519" t="s">
        <v>32</v>
      </c>
      <c r="D513" s="519" t="s">
        <v>2771</v>
      </c>
      <c r="E513" s="905" t="s">
        <v>2442</v>
      </c>
      <c r="F513" s="905"/>
      <c r="G513" s="521" t="s">
        <v>194</v>
      </c>
      <c r="H513" s="522">
        <v>20</v>
      </c>
      <c r="I513" s="523">
        <v>18.059999999999999</v>
      </c>
      <c r="J513" s="523">
        <v>361.2</v>
      </c>
    </row>
    <row r="514" spans="1:10" ht="25" x14ac:dyDescent="0.3">
      <c r="A514" s="519" t="s">
        <v>2437</v>
      </c>
      <c r="B514" s="520" t="s">
        <v>2774</v>
      </c>
      <c r="C514" s="519" t="s">
        <v>32</v>
      </c>
      <c r="D514" s="519" t="s">
        <v>2775</v>
      </c>
      <c r="E514" s="905" t="s">
        <v>2442</v>
      </c>
      <c r="F514" s="905"/>
      <c r="G514" s="521" t="s">
        <v>89</v>
      </c>
      <c r="H514" s="522">
        <v>2</v>
      </c>
      <c r="I514" s="523">
        <v>6.29</v>
      </c>
      <c r="J514" s="523">
        <v>12.58</v>
      </c>
    </row>
    <row r="515" spans="1:10" x14ac:dyDescent="0.3">
      <c r="A515" s="519" t="s">
        <v>2437</v>
      </c>
      <c r="B515" s="520" t="s">
        <v>2772</v>
      </c>
      <c r="C515" s="519" t="s">
        <v>32</v>
      </c>
      <c r="D515" s="519" t="s">
        <v>2773</v>
      </c>
      <c r="E515" s="905" t="s">
        <v>2442</v>
      </c>
      <c r="F515" s="905"/>
      <c r="G515" s="521" t="s">
        <v>194</v>
      </c>
      <c r="H515" s="522">
        <v>12</v>
      </c>
      <c r="I515" s="523">
        <v>4.8899999999999997</v>
      </c>
      <c r="J515" s="523">
        <v>58.68</v>
      </c>
    </row>
    <row r="516" spans="1:10" ht="25" x14ac:dyDescent="0.3">
      <c r="A516" s="519" t="s">
        <v>2437</v>
      </c>
      <c r="B516" s="520" t="s">
        <v>2780</v>
      </c>
      <c r="C516" s="519" t="s">
        <v>32</v>
      </c>
      <c r="D516" s="519" t="s">
        <v>2781</v>
      </c>
      <c r="E516" s="905" t="s">
        <v>2442</v>
      </c>
      <c r="F516" s="905"/>
      <c r="G516" s="521" t="s">
        <v>89</v>
      </c>
      <c r="H516" s="522">
        <v>4</v>
      </c>
      <c r="I516" s="523">
        <v>23.91</v>
      </c>
      <c r="J516" s="523">
        <v>95.64</v>
      </c>
    </row>
    <row r="517" spans="1:10" ht="37.5" x14ac:dyDescent="0.3">
      <c r="A517" s="519" t="s">
        <v>2437</v>
      </c>
      <c r="B517" s="520" t="s">
        <v>2784</v>
      </c>
      <c r="C517" s="519" t="s">
        <v>32</v>
      </c>
      <c r="D517" s="519" t="s">
        <v>4276</v>
      </c>
      <c r="E517" s="905" t="s">
        <v>2442</v>
      </c>
      <c r="F517" s="905"/>
      <c r="G517" s="521" t="s">
        <v>194</v>
      </c>
      <c r="H517" s="522">
        <v>6</v>
      </c>
      <c r="I517" s="523">
        <v>53.02</v>
      </c>
      <c r="J517" s="523">
        <v>318.12</v>
      </c>
    </row>
    <row r="518" spans="1:10" ht="25" x14ac:dyDescent="0.3">
      <c r="A518" s="519" t="s">
        <v>2437</v>
      </c>
      <c r="B518" s="520" t="s">
        <v>2782</v>
      </c>
      <c r="C518" s="519" t="s">
        <v>32</v>
      </c>
      <c r="D518" s="519" t="s">
        <v>2783</v>
      </c>
      <c r="E518" s="905" t="s">
        <v>2442</v>
      </c>
      <c r="F518" s="905"/>
      <c r="G518" s="521" t="s">
        <v>194</v>
      </c>
      <c r="H518" s="522">
        <v>2</v>
      </c>
      <c r="I518" s="523">
        <v>93.33</v>
      </c>
      <c r="J518" s="523">
        <v>186.66</v>
      </c>
    </row>
    <row r="519" spans="1:10" x14ac:dyDescent="0.3">
      <c r="A519" s="519" t="s">
        <v>2437</v>
      </c>
      <c r="B519" s="520" t="s">
        <v>2776</v>
      </c>
      <c r="C519" s="519" t="s">
        <v>32</v>
      </c>
      <c r="D519" s="519" t="s">
        <v>2777</v>
      </c>
      <c r="E519" s="905" t="s">
        <v>2442</v>
      </c>
      <c r="F519" s="905"/>
      <c r="G519" s="521" t="s">
        <v>194</v>
      </c>
      <c r="H519" s="522">
        <v>1</v>
      </c>
      <c r="I519" s="523">
        <v>23.7</v>
      </c>
      <c r="J519" s="523">
        <v>23.7</v>
      </c>
    </row>
    <row r="520" spans="1:10" ht="25" x14ac:dyDescent="0.3">
      <c r="A520" s="519" t="s">
        <v>2437</v>
      </c>
      <c r="B520" s="520" t="s">
        <v>2778</v>
      </c>
      <c r="C520" s="519" t="s">
        <v>32</v>
      </c>
      <c r="D520" s="519" t="s">
        <v>2779</v>
      </c>
      <c r="E520" s="905" t="s">
        <v>2442</v>
      </c>
      <c r="F520" s="905"/>
      <c r="G520" s="521" t="s">
        <v>89</v>
      </c>
      <c r="H520" s="522">
        <v>3</v>
      </c>
      <c r="I520" s="523">
        <v>5.49</v>
      </c>
      <c r="J520" s="523">
        <v>16.47</v>
      </c>
    </row>
    <row r="521" spans="1:10" ht="25" x14ac:dyDescent="0.3">
      <c r="A521" s="519" t="s">
        <v>2437</v>
      </c>
      <c r="B521" s="520" t="s">
        <v>4277</v>
      </c>
      <c r="C521" s="519" t="s">
        <v>257</v>
      </c>
      <c r="D521" s="519" t="s">
        <v>4278</v>
      </c>
      <c r="E521" s="905" t="s">
        <v>2442</v>
      </c>
      <c r="F521" s="905"/>
      <c r="G521" s="521" t="s">
        <v>89</v>
      </c>
      <c r="H521" s="522">
        <v>1</v>
      </c>
      <c r="I521" s="523">
        <v>462.3</v>
      </c>
      <c r="J521" s="523">
        <v>462.3</v>
      </c>
    </row>
    <row r="522" spans="1:10" x14ac:dyDescent="0.3">
      <c r="A522" s="910" t="s">
        <v>4243</v>
      </c>
      <c r="B522" s="910"/>
      <c r="C522" s="910"/>
      <c r="D522" s="910"/>
      <c r="E522" s="910"/>
      <c r="F522" s="910"/>
      <c r="G522" s="910"/>
      <c r="H522" s="910"/>
      <c r="I522" s="910"/>
      <c r="J522"/>
    </row>
    <row r="523" spans="1:10" ht="15" customHeight="1" thickBot="1" x14ac:dyDescent="0.35">
      <c r="A523" s="909" t="s">
        <v>4279</v>
      </c>
      <c r="B523" s="909"/>
      <c r="C523" s="909"/>
      <c r="D523" s="909"/>
      <c r="E523" s="909"/>
      <c r="F523" s="909"/>
      <c r="G523" s="909"/>
      <c r="H523" s="909"/>
      <c r="I523" s="909"/>
      <c r="J523"/>
    </row>
    <row r="524" spans="1:10" ht="15" customHeight="1" thickTop="1" x14ac:dyDescent="0.3">
      <c r="A524" s="647"/>
      <c r="B524" s="647"/>
      <c r="C524" s="647"/>
      <c r="D524" s="647"/>
      <c r="E524" s="647"/>
      <c r="F524" s="647"/>
      <c r="G524" s="647"/>
      <c r="H524" s="647"/>
      <c r="I524" s="647"/>
      <c r="J524" s="647"/>
    </row>
    <row r="525" spans="1:10" s="358" customFormat="1" x14ac:dyDescent="0.3">
      <c r="A525" s="516"/>
      <c r="B525" s="517" t="s">
        <v>15</v>
      </c>
      <c r="C525" s="516" t="s">
        <v>16</v>
      </c>
      <c r="D525" s="516" t="s">
        <v>17</v>
      </c>
      <c r="E525" s="904" t="s">
        <v>2431</v>
      </c>
      <c r="F525" s="904"/>
      <c r="G525" s="518" t="s">
        <v>18</v>
      </c>
      <c r="H525" s="517" t="s">
        <v>19</v>
      </c>
      <c r="I525" s="517" t="s">
        <v>20</v>
      </c>
      <c r="J525" s="517" t="s">
        <v>23</v>
      </c>
    </row>
    <row r="526" spans="1:10" ht="25" x14ac:dyDescent="0.3">
      <c r="A526" s="642" t="s">
        <v>2432</v>
      </c>
      <c r="B526" s="643" t="s">
        <v>170</v>
      </c>
      <c r="C526" s="642" t="s">
        <v>39</v>
      </c>
      <c r="D526" s="642" t="s">
        <v>171</v>
      </c>
      <c r="E526" s="906" t="s">
        <v>2667</v>
      </c>
      <c r="F526" s="906"/>
      <c r="G526" s="644" t="s">
        <v>89</v>
      </c>
      <c r="H526" s="645">
        <v>1</v>
      </c>
      <c r="I526" s="646">
        <v>3977.11</v>
      </c>
      <c r="J526" s="646">
        <v>3977.11</v>
      </c>
    </row>
    <row r="527" spans="1:10" s="358" customFormat="1" ht="25" x14ac:dyDescent="0.3">
      <c r="A527" s="519" t="s">
        <v>2434</v>
      </c>
      <c r="B527" s="520" t="s">
        <v>2786</v>
      </c>
      <c r="C527" s="519" t="s">
        <v>32</v>
      </c>
      <c r="D527" s="519" t="s">
        <v>2787</v>
      </c>
      <c r="E527" s="905" t="s">
        <v>2433</v>
      </c>
      <c r="F527" s="905"/>
      <c r="G527" s="521" t="s">
        <v>1901</v>
      </c>
      <c r="H527" s="522">
        <v>2.1</v>
      </c>
      <c r="I527" s="523">
        <v>30.33</v>
      </c>
      <c r="J527" s="523">
        <v>63.69</v>
      </c>
    </row>
    <row r="528" spans="1:10" ht="25" x14ac:dyDescent="0.3">
      <c r="A528" s="519" t="s">
        <v>2434</v>
      </c>
      <c r="B528" s="520" t="s">
        <v>2757</v>
      </c>
      <c r="C528" s="519" t="s">
        <v>32</v>
      </c>
      <c r="D528" s="519" t="s">
        <v>2758</v>
      </c>
      <c r="E528" s="905" t="s">
        <v>2433</v>
      </c>
      <c r="F528" s="905"/>
      <c r="G528" s="521" t="s">
        <v>1901</v>
      </c>
      <c r="H528" s="522">
        <v>4.2</v>
      </c>
      <c r="I528" s="523">
        <v>31.1</v>
      </c>
      <c r="J528" s="523">
        <v>130.62</v>
      </c>
    </row>
    <row r="529" spans="1:10" ht="25" x14ac:dyDescent="0.3">
      <c r="A529" s="519" t="s">
        <v>2434</v>
      </c>
      <c r="B529" s="520" t="s">
        <v>2788</v>
      </c>
      <c r="C529" s="519" t="s">
        <v>32</v>
      </c>
      <c r="D529" s="519" t="s">
        <v>2789</v>
      </c>
      <c r="E529" s="905" t="s">
        <v>2433</v>
      </c>
      <c r="F529" s="905"/>
      <c r="G529" s="521" t="s">
        <v>1901</v>
      </c>
      <c r="H529" s="522">
        <v>4.2</v>
      </c>
      <c r="I529" s="523">
        <v>23.24</v>
      </c>
      <c r="J529" s="523">
        <v>97.6</v>
      </c>
    </row>
    <row r="530" spans="1:10" ht="25" x14ac:dyDescent="0.3">
      <c r="A530" s="519" t="s">
        <v>2434</v>
      </c>
      <c r="B530" s="520" t="s">
        <v>2790</v>
      </c>
      <c r="C530" s="519" t="s">
        <v>32</v>
      </c>
      <c r="D530" s="519" t="s">
        <v>2791</v>
      </c>
      <c r="E530" s="905" t="s">
        <v>2433</v>
      </c>
      <c r="F530" s="905"/>
      <c r="G530" s="521" t="s">
        <v>1901</v>
      </c>
      <c r="H530" s="522">
        <v>0.52500000000000002</v>
      </c>
      <c r="I530" s="523">
        <v>24.15</v>
      </c>
      <c r="J530" s="523">
        <v>12.67</v>
      </c>
    </row>
    <row r="531" spans="1:10" ht="25" x14ac:dyDescent="0.3">
      <c r="A531" s="519" t="s">
        <v>2434</v>
      </c>
      <c r="B531" s="520" t="s">
        <v>2561</v>
      </c>
      <c r="C531" s="519" t="s">
        <v>32</v>
      </c>
      <c r="D531" s="519" t="s">
        <v>2562</v>
      </c>
      <c r="E531" s="905" t="s">
        <v>2433</v>
      </c>
      <c r="F531" s="905"/>
      <c r="G531" s="521" t="s">
        <v>1901</v>
      </c>
      <c r="H531" s="522">
        <v>4.2</v>
      </c>
      <c r="I531" s="523">
        <v>23.4</v>
      </c>
      <c r="J531" s="523">
        <v>98.28</v>
      </c>
    </row>
    <row r="532" spans="1:10" x14ac:dyDescent="0.3">
      <c r="A532" s="519" t="s">
        <v>2437</v>
      </c>
      <c r="B532" s="520" t="s">
        <v>2792</v>
      </c>
      <c r="C532" s="519" t="s">
        <v>125</v>
      </c>
      <c r="D532" s="519" t="s">
        <v>2793</v>
      </c>
      <c r="E532" s="905" t="s">
        <v>2442</v>
      </c>
      <c r="F532" s="905"/>
      <c r="G532" s="521" t="s">
        <v>118</v>
      </c>
      <c r="H532" s="522">
        <v>1.89E-2</v>
      </c>
      <c r="I532" s="523">
        <v>139.642</v>
      </c>
      <c r="J532" s="523">
        <v>2.63</v>
      </c>
    </row>
    <row r="533" spans="1:10" x14ac:dyDescent="0.3">
      <c r="A533" s="519" t="s">
        <v>2437</v>
      </c>
      <c r="B533" s="520" t="s">
        <v>2794</v>
      </c>
      <c r="C533" s="519" t="s">
        <v>32</v>
      </c>
      <c r="D533" s="519" t="s">
        <v>2795</v>
      </c>
      <c r="E533" s="905" t="s">
        <v>2442</v>
      </c>
      <c r="F533" s="905"/>
      <c r="G533" s="521" t="s">
        <v>1369</v>
      </c>
      <c r="H533" s="522">
        <v>3</v>
      </c>
      <c r="I533" s="523">
        <v>21.96</v>
      </c>
      <c r="J533" s="523">
        <v>65.88</v>
      </c>
    </row>
    <row r="534" spans="1:10" x14ac:dyDescent="0.3">
      <c r="A534" s="519" t="s">
        <v>2437</v>
      </c>
      <c r="B534" s="520" t="s">
        <v>2796</v>
      </c>
      <c r="C534" s="519" t="s">
        <v>32</v>
      </c>
      <c r="D534" s="519" t="s">
        <v>2797</v>
      </c>
      <c r="E534" s="905" t="s">
        <v>2442</v>
      </c>
      <c r="F534" s="905"/>
      <c r="G534" s="521" t="s">
        <v>194</v>
      </c>
      <c r="H534" s="522">
        <v>5</v>
      </c>
      <c r="I534" s="523">
        <v>41.42</v>
      </c>
      <c r="J534" s="523">
        <v>207.1</v>
      </c>
    </row>
    <row r="535" spans="1:10" x14ac:dyDescent="0.3">
      <c r="A535" s="519" t="s">
        <v>2437</v>
      </c>
      <c r="B535" s="520" t="s">
        <v>2798</v>
      </c>
      <c r="C535" s="519" t="s">
        <v>32</v>
      </c>
      <c r="D535" s="519" t="s">
        <v>2799</v>
      </c>
      <c r="E535" s="905" t="s">
        <v>2442</v>
      </c>
      <c r="F535" s="905"/>
      <c r="G535" s="521" t="s">
        <v>89</v>
      </c>
      <c r="H535" s="522">
        <v>30</v>
      </c>
      <c r="I535" s="523">
        <v>1.76</v>
      </c>
      <c r="J535" s="523">
        <v>52.8</v>
      </c>
    </row>
    <row r="536" spans="1:10" ht="37.5" x14ac:dyDescent="0.3">
      <c r="A536" s="519" t="s">
        <v>2437</v>
      </c>
      <c r="B536" s="520" t="s">
        <v>2635</v>
      </c>
      <c r="C536" s="519" t="s">
        <v>32</v>
      </c>
      <c r="D536" s="519" t="s">
        <v>4251</v>
      </c>
      <c r="E536" s="905" t="s">
        <v>2442</v>
      </c>
      <c r="F536" s="905"/>
      <c r="G536" s="521" t="s">
        <v>194</v>
      </c>
      <c r="H536" s="522">
        <v>10</v>
      </c>
      <c r="I536" s="523">
        <v>30.09</v>
      </c>
      <c r="J536" s="523">
        <v>300.89999999999998</v>
      </c>
    </row>
    <row r="537" spans="1:10" ht="25" x14ac:dyDescent="0.3">
      <c r="A537" s="519" t="s">
        <v>2437</v>
      </c>
      <c r="B537" s="520" t="s">
        <v>2622</v>
      </c>
      <c r="C537" s="519" t="s">
        <v>32</v>
      </c>
      <c r="D537" s="519" t="s">
        <v>2623</v>
      </c>
      <c r="E537" s="905" t="s">
        <v>2442</v>
      </c>
      <c r="F537" s="905"/>
      <c r="G537" s="521" t="s">
        <v>194</v>
      </c>
      <c r="H537" s="522">
        <v>7</v>
      </c>
      <c r="I537" s="523">
        <v>7.78</v>
      </c>
      <c r="J537" s="523">
        <v>54.46</v>
      </c>
    </row>
    <row r="538" spans="1:10" ht="25" x14ac:dyDescent="0.3">
      <c r="A538" s="519" t="s">
        <v>2437</v>
      </c>
      <c r="B538" s="520" t="s">
        <v>2782</v>
      </c>
      <c r="C538" s="519" t="s">
        <v>32</v>
      </c>
      <c r="D538" s="519" t="s">
        <v>2783</v>
      </c>
      <c r="E538" s="905" t="s">
        <v>2442</v>
      </c>
      <c r="F538" s="905"/>
      <c r="G538" s="521" t="s">
        <v>194</v>
      </c>
      <c r="H538" s="522">
        <v>20</v>
      </c>
      <c r="I538" s="523">
        <v>93.33</v>
      </c>
      <c r="J538" s="523">
        <v>1866.6</v>
      </c>
    </row>
    <row r="539" spans="1:10" ht="37.5" x14ac:dyDescent="0.3">
      <c r="A539" s="519" t="s">
        <v>2437</v>
      </c>
      <c r="B539" s="520" t="s">
        <v>2800</v>
      </c>
      <c r="C539" s="519" t="s">
        <v>32</v>
      </c>
      <c r="D539" s="519" t="s">
        <v>4280</v>
      </c>
      <c r="E539" s="905" t="s">
        <v>2442</v>
      </c>
      <c r="F539" s="905"/>
      <c r="G539" s="521" t="s">
        <v>89</v>
      </c>
      <c r="H539" s="522">
        <v>1</v>
      </c>
      <c r="I539" s="523">
        <v>13.52</v>
      </c>
      <c r="J539" s="523">
        <v>13.52</v>
      </c>
    </row>
    <row r="540" spans="1:10" ht="25" x14ac:dyDescent="0.3">
      <c r="A540" s="519" t="s">
        <v>2437</v>
      </c>
      <c r="B540" s="520" t="s">
        <v>2801</v>
      </c>
      <c r="C540" s="519" t="s">
        <v>32</v>
      </c>
      <c r="D540" s="519" t="s">
        <v>2802</v>
      </c>
      <c r="E540" s="905" t="s">
        <v>2442</v>
      </c>
      <c r="F540" s="905"/>
      <c r="G540" s="521" t="s">
        <v>89</v>
      </c>
      <c r="H540" s="522">
        <v>1</v>
      </c>
      <c r="I540" s="523">
        <v>378.16</v>
      </c>
      <c r="J540" s="523">
        <v>378.16</v>
      </c>
    </row>
    <row r="541" spans="1:10" ht="37.5" x14ac:dyDescent="0.3">
      <c r="A541" s="519" t="s">
        <v>2437</v>
      </c>
      <c r="B541" s="520" t="s">
        <v>2803</v>
      </c>
      <c r="C541" s="519" t="s">
        <v>32</v>
      </c>
      <c r="D541" s="519" t="s">
        <v>2804</v>
      </c>
      <c r="E541" s="905" t="s">
        <v>2442</v>
      </c>
      <c r="F541" s="905"/>
      <c r="G541" s="521" t="s">
        <v>89</v>
      </c>
      <c r="H541" s="522">
        <v>1</v>
      </c>
      <c r="I541" s="523">
        <v>121.97</v>
      </c>
      <c r="J541" s="523">
        <v>121.97</v>
      </c>
    </row>
    <row r="542" spans="1:10" ht="25" x14ac:dyDescent="0.3">
      <c r="A542" s="519" t="s">
        <v>2437</v>
      </c>
      <c r="B542" s="520" t="s">
        <v>2747</v>
      </c>
      <c r="C542" s="519" t="s">
        <v>32</v>
      </c>
      <c r="D542" s="519" t="s">
        <v>4273</v>
      </c>
      <c r="E542" s="905" t="s">
        <v>2442</v>
      </c>
      <c r="F542" s="905"/>
      <c r="G542" s="521" t="s">
        <v>89</v>
      </c>
      <c r="H542" s="522">
        <v>1</v>
      </c>
      <c r="I542" s="523">
        <v>510.23</v>
      </c>
      <c r="J542" s="523">
        <v>510.23</v>
      </c>
    </row>
    <row r="543" spans="1:10" x14ac:dyDescent="0.3">
      <c r="A543" s="910" t="s">
        <v>4243</v>
      </c>
      <c r="B543" s="910"/>
      <c r="C543" s="910"/>
      <c r="D543" s="910"/>
      <c r="E543" s="910"/>
      <c r="F543" s="910"/>
      <c r="G543" s="910"/>
      <c r="H543" s="910"/>
      <c r="I543" s="910"/>
      <c r="J543"/>
    </row>
    <row r="544" spans="1:10" ht="15" customHeight="1" thickBot="1" x14ac:dyDescent="0.35">
      <c r="A544" s="909" t="s">
        <v>4281</v>
      </c>
      <c r="B544" s="909"/>
      <c r="C544" s="909"/>
      <c r="D544" s="909"/>
      <c r="E544" s="909"/>
      <c r="F544" s="909"/>
      <c r="G544" s="909"/>
      <c r="H544" s="909"/>
      <c r="I544" s="909"/>
      <c r="J544"/>
    </row>
    <row r="545" spans="1:10" ht="15" customHeight="1" thickTop="1" x14ac:dyDescent="0.3">
      <c r="A545" s="647"/>
      <c r="B545" s="647"/>
      <c r="C545" s="647"/>
      <c r="D545" s="647"/>
      <c r="E545" s="647"/>
      <c r="F545" s="647"/>
      <c r="G545" s="647"/>
      <c r="H545" s="647"/>
      <c r="I545" s="647"/>
      <c r="J545" s="647"/>
    </row>
    <row r="546" spans="1:10" s="358" customFormat="1" x14ac:dyDescent="0.3">
      <c r="A546" s="516"/>
      <c r="B546" s="517" t="s">
        <v>15</v>
      </c>
      <c r="C546" s="516" t="s">
        <v>16</v>
      </c>
      <c r="D546" s="516" t="s">
        <v>17</v>
      </c>
      <c r="E546" s="904" t="s">
        <v>2431</v>
      </c>
      <c r="F546" s="904"/>
      <c r="G546" s="518" t="s">
        <v>18</v>
      </c>
      <c r="H546" s="517" t="s">
        <v>19</v>
      </c>
      <c r="I546" s="517" t="s">
        <v>20</v>
      </c>
      <c r="J546" s="517" t="s">
        <v>23</v>
      </c>
    </row>
    <row r="547" spans="1:10" ht="25" x14ac:dyDescent="0.3">
      <c r="A547" s="642" t="s">
        <v>2432</v>
      </c>
      <c r="B547" s="643" t="s">
        <v>172</v>
      </c>
      <c r="C547" s="642" t="s">
        <v>125</v>
      </c>
      <c r="D547" s="642" t="s">
        <v>173</v>
      </c>
      <c r="E547" s="906" t="s">
        <v>1328</v>
      </c>
      <c r="F547" s="906"/>
      <c r="G547" s="644" t="s">
        <v>118</v>
      </c>
      <c r="H547" s="645">
        <v>1</v>
      </c>
      <c r="I547" s="646">
        <v>141.58000000000001</v>
      </c>
      <c r="J547" s="646">
        <v>141.58000000000001</v>
      </c>
    </row>
    <row r="548" spans="1:10" s="358" customFormat="1" ht="15" customHeight="1" x14ac:dyDescent="0.3">
      <c r="A548" s="904" t="s">
        <v>2418</v>
      </c>
      <c r="B548" s="903" t="s">
        <v>15</v>
      </c>
      <c r="C548" s="904" t="s">
        <v>16</v>
      </c>
      <c r="D548" s="904" t="s">
        <v>2466</v>
      </c>
      <c r="E548" s="903" t="s">
        <v>2467</v>
      </c>
      <c r="F548" s="908" t="s">
        <v>2468</v>
      </c>
      <c r="G548" s="903"/>
      <c r="H548" s="518" t="s">
        <v>2469</v>
      </c>
      <c r="I548" s="903" t="s">
        <v>2470</v>
      </c>
      <c r="J548"/>
    </row>
    <row r="549" spans="1:10" ht="15" customHeight="1" x14ac:dyDescent="0.3">
      <c r="A549" s="903"/>
      <c r="B549" s="903"/>
      <c r="C549" s="903"/>
      <c r="D549" s="903"/>
      <c r="E549" s="903"/>
      <c r="F549" s="517" t="s">
        <v>2471</v>
      </c>
      <c r="G549" s="517" t="s">
        <v>2472</v>
      </c>
      <c r="H549" s="517" t="s">
        <v>2471</v>
      </c>
      <c r="I549" s="903"/>
      <c r="J549"/>
    </row>
    <row r="550" spans="1:10" x14ac:dyDescent="0.3">
      <c r="A550" s="519" t="s">
        <v>2437</v>
      </c>
      <c r="B550" s="520" t="s">
        <v>2805</v>
      </c>
      <c r="C550" s="519" t="s">
        <v>125</v>
      </c>
      <c r="D550" s="519" t="s">
        <v>2806</v>
      </c>
      <c r="E550" s="522">
        <v>1</v>
      </c>
      <c r="F550" s="523">
        <v>1</v>
      </c>
      <c r="G550" s="523">
        <v>0</v>
      </c>
      <c r="H550" s="524">
        <v>9.6046999999999993</v>
      </c>
      <c r="I550" s="524">
        <v>9.6046999999999993</v>
      </c>
      <c r="J550"/>
    </row>
    <row r="551" spans="1:10" ht="14.25" customHeight="1" x14ac:dyDescent="0.3">
      <c r="A551" s="902"/>
      <c r="B551" s="902"/>
      <c r="C551" s="902"/>
      <c r="D551" s="902"/>
      <c r="E551" s="902"/>
      <c r="F551" s="902" t="s">
        <v>2475</v>
      </c>
      <c r="G551" s="902"/>
      <c r="H551" s="902"/>
      <c r="I551" s="525">
        <v>9.6046999999999993</v>
      </c>
      <c r="J551"/>
    </row>
    <row r="552" spans="1:10" ht="14.25" customHeight="1" x14ac:dyDescent="0.3">
      <c r="A552" s="902"/>
      <c r="B552" s="902"/>
      <c r="C552" s="902"/>
      <c r="D552" s="902"/>
      <c r="E552" s="902"/>
      <c r="F552" s="902" t="s">
        <v>2476</v>
      </c>
      <c r="G552" s="902"/>
      <c r="H552" s="902"/>
      <c r="I552" s="525">
        <v>9.6046999999999993</v>
      </c>
      <c r="J552"/>
    </row>
    <row r="553" spans="1:10" ht="14.25" customHeight="1" x14ac:dyDescent="0.3">
      <c r="A553" s="902"/>
      <c r="B553" s="902"/>
      <c r="C553" s="902"/>
      <c r="D553" s="902"/>
      <c r="E553" s="902"/>
      <c r="F553" s="902" t="s">
        <v>2477</v>
      </c>
      <c r="G553" s="902"/>
      <c r="H553" s="902"/>
      <c r="I553" s="525">
        <v>7.4999999999999997E-3</v>
      </c>
      <c r="J553"/>
    </row>
    <row r="554" spans="1:10" ht="14.25" customHeight="1" x14ac:dyDescent="0.3">
      <c r="A554" s="902"/>
      <c r="B554" s="902"/>
      <c r="C554" s="902"/>
      <c r="D554" s="902"/>
      <c r="E554" s="902"/>
      <c r="F554" s="902" t="s">
        <v>2478</v>
      </c>
      <c r="G554" s="902"/>
      <c r="H554" s="902"/>
      <c r="I554" s="525">
        <v>0.02</v>
      </c>
      <c r="J554"/>
    </row>
    <row r="555" spans="1:10" ht="14.25" customHeight="1" x14ac:dyDescent="0.3">
      <c r="A555" s="902"/>
      <c r="B555" s="902"/>
      <c r="C555" s="902"/>
      <c r="D555" s="902"/>
      <c r="E555" s="902"/>
      <c r="F555" s="902" t="s">
        <v>2479</v>
      </c>
      <c r="G555" s="902"/>
      <c r="H555" s="902"/>
      <c r="I555" s="525">
        <v>3.5794000000000001</v>
      </c>
      <c r="J555"/>
    </row>
    <row r="556" spans="1:10" ht="14.25" customHeight="1" x14ac:dyDescent="0.3">
      <c r="A556" s="902"/>
      <c r="B556" s="902"/>
      <c r="C556" s="902"/>
      <c r="D556" s="902"/>
      <c r="E556" s="902"/>
      <c r="F556" s="902" t="s">
        <v>2480</v>
      </c>
      <c r="G556" s="902"/>
      <c r="H556" s="902"/>
      <c r="I556" s="525">
        <v>2.6833</v>
      </c>
      <c r="J556"/>
    </row>
    <row r="557" spans="1:10" ht="14.25" customHeight="1" x14ac:dyDescent="0.3">
      <c r="A557" s="516" t="s">
        <v>2420</v>
      </c>
      <c r="B557" s="517" t="s">
        <v>16</v>
      </c>
      <c r="C557" s="516" t="s">
        <v>15</v>
      </c>
      <c r="D557" s="516" t="s">
        <v>2442</v>
      </c>
      <c r="E557" s="517" t="s">
        <v>2467</v>
      </c>
      <c r="F557" s="517" t="s">
        <v>2576</v>
      </c>
      <c r="G557" s="903" t="s">
        <v>2577</v>
      </c>
      <c r="H557" s="903"/>
      <c r="I557" s="517" t="s">
        <v>2470</v>
      </c>
      <c r="J557"/>
    </row>
    <row r="558" spans="1:10" ht="15" customHeight="1" x14ac:dyDescent="0.3">
      <c r="A558" s="519" t="s">
        <v>2437</v>
      </c>
      <c r="B558" s="520" t="s">
        <v>125</v>
      </c>
      <c r="C558" s="519" t="s">
        <v>2807</v>
      </c>
      <c r="D558" s="519" t="s">
        <v>2808</v>
      </c>
      <c r="E558" s="522">
        <v>1.05</v>
      </c>
      <c r="F558" s="521" t="s">
        <v>118</v>
      </c>
      <c r="G558" s="907">
        <v>120.2563</v>
      </c>
      <c r="H558" s="907"/>
      <c r="I558" s="524">
        <v>126.26909999999999</v>
      </c>
      <c r="J558"/>
    </row>
    <row r="559" spans="1:10" ht="14.25" customHeight="1" x14ac:dyDescent="0.3">
      <c r="A559" s="902"/>
      <c r="B559" s="902"/>
      <c r="C559" s="902"/>
      <c r="D559" s="902"/>
      <c r="E559" s="902"/>
      <c r="F559" s="902" t="s">
        <v>2809</v>
      </c>
      <c r="G559" s="902"/>
      <c r="H559" s="902"/>
      <c r="I559" s="525">
        <v>126.26909999999999</v>
      </c>
      <c r="J559"/>
    </row>
    <row r="560" spans="1:10" ht="14.25" customHeight="1" x14ac:dyDescent="0.3">
      <c r="A560" s="516" t="s">
        <v>2574</v>
      </c>
      <c r="B560" s="517" t="s">
        <v>16</v>
      </c>
      <c r="C560" s="516" t="s">
        <v>15</v>
      </c>
      <c r="D560" s="516" t="s">
        <v>2575</v>
      </c>
      <c r="E560" s="517" t="s">
        <v>2467</v>
      </c>
      <c r="F560" s="517" t="s">
        <v>2576</v>
      </c>
      <c r="G560" s="903" t="s">
        <v>2577</v>
      </c>
      <c r="H560" s="903"/>
      <c r="I560" s="517" t="s">
        <v>2470</v>
      </c>
      <c r="J560"/>
    </row>
    <row r="561" spans="1:10" ht="15" customHeight="1" x14ac:dyDescent="0.3">
      <c r="A561" s="519" t="s">
        <v>2578</v>
      </c>
      <c r="B561" s="520" t="s">
        <v>32</v>
      </c>
      <c r="C561" s="519">
        <v>88316</v>
      </c>
      <c r="D561" s="519" t="s">
        <v>2562</v>
      </c>
      <c r="E561" s="522">
        <v>0.41906700000000002</v>
      </c>
      <c r="F561" s="521" t="s">
        <v>1901</v>
      </c>
      <c r="G561" s="907">
        <v>23.4</v>
      </c>
      <c r="H561" s="907"/>
      <c r="I561" s="524">
        <v>9.8062000000000005</v>
      </c>
      <c r="J561"/>
    </row>
    <row r="562" spans="1:10" ht="14.25" customHeight="1" x14ac:dyDescent="0.3">
      <c r="A562" s="902"/>
      <c r="B562" s="902"/>
      <c r="C562" s="902"/>
      <c r="D562" s="902"/>
      <c r="E562" s="902"/>
      <c r="F562" s="902" t="s">
        <v>2579</v>
      </c>
      <c r="G562" s="902"/>
      <c r="H562" s="902"/>
      <c r="I562" s="525">
        <v>9.8062000000000005</v>
      </c>
      <c r="J562"/>
    </row>
    <row r="563" spans="1:10" ht="14.25" customHeight="1" x14ac:dyDescent="0.3">
      <c r="A563" s="516" t="s">
        <v>2580</v>
      </c>
      <c r="B563" s="517" t="s">
        <v>16</v>
      </c>
      <c r="C563" s="516" t="s">
        <v>2437</v>
      </c>
      <c r="D563" s="516" t="s">
        <v>2581</v>
      </c>
      <c r="E563" s="517" t="s">
        <v>15</v>
      </c>
      <c r="F563" s="517" t="s">
        <v>2467</v>
      </c>
      <c r="G563" s="518" t="s">
        <v>2576</v>
      </c>
      <c r="H563" s="517" t="s">
        <v>2577</v>
      </c>
      <c r="I563" s="517" t="s">
        <v>2470</v>
      </c>
      <c r="J563"/>
    </row>
    <row r="564" spans="1:10" ht="15" customHeight="1" x14ac:dyDescent="0.3">
      <c r="A564" s="519" t="s">
        <v>2582</v>
      </c>
      <c r="B564" s="520" t="s">
        <v>125</v>
      </c>
      <c r="C564" s="519" t="s">
        <v>2807</v>
      </c>
      <c r="D564" s="519" t="s">
        <v>2810</v>
      </c>
      <c r="E564" s="520">
        <v>5914647</v>
      </c>
      <c r="F564" s="522">
        <v>1.575</v>
      </c>
      <c r="G564" s="521" t="s">
        <v>374</v>
      </c>
      <c r="H564" s="524">
        <v>1.78</v>
      </c>
      <c r="I564" s="524">
        <v>2.8035000000000001</v>
      </c>
      <c r="J564"/>
    </row>
    <row r="565" spans="1:10" ht="14.25" customHeight="1" x14ac:dyDescent="0.3">
      <c r="A565" s="902"/>
      <c r="B565" s="902"/>
      <c r="C565" s="902"/>
      <c r="D565" s="902"/>
      <c r="E565" s="902"/>
      <c r="F565" s="902" t="s">
        <v>2585</v>
      </c>
      <c r="G565" s="902"/>
      <c r="H565" s="902"/>
      <c r="I565" s="525">
        <v>2.8035000000000001</v>
      </c>
      <c r="J565"/>
    </row>
    <row r="566" spans="1:10" ht="14.25" customHeight="1" x14ac:dyDescent="0.3">
      <c r="A566" s="516" t="s">
        <v>2586</v>
      </c>
      <c r="B566" s="517" t="s">
        <v>16</v>
      </c>
      <c r="C566" s="516" t="s">
        <v>2437</v>
      </c>
      <c r="D566" s="516" t="s">
        <v>2587</v>
      </c>
      <c r="E566" s="517" t="s">
        <v>2467</v>
      </c>
      <c r="F566" s="517" t="s">
        <v>2576</v>
      </c>
      <c r="G566" s="908" t="s">
        <v>2588</v>
      </c>
      <c r="H566" s="903"/>
      <c r="I566" s="517" t="s">
        <v>2470</v>
      </c>
      <c r="J566"/>
    </row>
    <row r="567" spans="1:10" ht="15" customHeight="1" x14ac:dyDescent="0.3">
      <c r="A567" s="518"/>
      <c r="B567" s="518"/>
      <c r="C567" s="518"/>
      <c r="D567" s="518"/>
      <c r="E567" s="518"/>
      <c r="F567" s="518"/>
      <c r="G567" s="518" t="s">
        <v>2589</v>
      </c>
      <c r="H567" s="518" t="s">
        <v>2590</v>
      </c>
      <c r="I567" s="518"/>
      <c r="J567"/>
    </row>
    <row r="568" spans="1:10" ht="37.5" x14ac:dyDescent="0.3">
      <c r="A568" s="519" t="s">
        <v>2587</v>
      </c>
      <c r="B568" s="520" t="s">
        <v>125</v>
      </c>
      <c r="C568" s="519" t="s">
        <v>2807</v>
      </c>
      <c r="D568" s="519" t="s">
        <v>2811</v>
      </c>
      <c r="E568" s="522">
        <v>1.575</v>
      </c>
      <c r="F568" s="521" t="s">
        <v>2592</v>
      </c>
      <c r="G568" s="520" t="s">
        <v>4468</v>
      </c>
      <c r="H568" s="520" t="s">
        <v>4469</v>
      </c>
      <c r="I568" s="524">
        <v>0</v>
      </c>
      <c r="J568"/>
    </row>
    <row r="569" spans="1:10" ht="15" customHeight="1" thickBot="1" x14ac:dyDescent="0.35">
      <c r="A569" s="902"/>
      <c r="B569" s="902"/>
      <c r="C569" s="902"/>
      <c r="D569" s="902"/>
      <c r="E569" s="902"/>
      <c r="F569" s="902" t="s">
        <v>2593</v>
      </c>
      <c r="G569" s="902"/>
      <c r="H569" s="902"/>
      <c r="I569" s="525">
        <v>0</v>
      </c>
      <c r="J569"/>
    </row>
    <row r="570" spans="1:10" ht="15" customHeight="1" thickTop="1" x14ac:dyDescent="0.3">
      <c r="A570" s="647"/>
      <c r="B570" s="647"/>
      <c r="C570" s="647"/>
      <c r="D570" s="647"/>
      <c r="E570" s="647"/>
      <c r="F570" s="647"/>
      <c r="G570" s="647"/>
      <c r="H570" s="647"/>
      <c r="I570" s="647"/>
      <c r="J570" s="647"/>
    </row>
    <row r="571" spans="1:10" s="358" customFormat="1" x14ac:dyDescent="0.3">
      <c r="A571" s="516"/>
      <c r="B571" s="517" t="s">
        <v>15</v>
      </c>
      <c r="C571" s="516" t="s">
        <v>16</v>
      </c>
      <c r="D571" s="516" t="s">
        <v>17</v>
      </c>
      <c r="E571" s="904" t="s">
        <v>2431</v>
      </c>
      <c r="F571" s="904"/>
      <c r="G571" s="518" t="s">
        <v>18</v>
      </c>
      <c r="H571" s="517" t="s">
        <v>19</v>
      </c>
      <c r="I571" s="517" t="s">
        <v>20</v>
      </c>
      <c r="J571" s="517" t="s">
        <v>23</v>
      </c>
    </row>
    <row r="572" spans="1:10" ht="37.5" x14ac:dyDescent="0.3">
      <c r="A572" s="642" t="s">
        <v>2432</v>
      </c>
      <c r="B572" s="643" t="s">
        <v>174</v>
      </c>
      <c r="C572" s="642" t="s">
        <v>32</v>
      </c>
      <c r="D572" s="642" t="s">
        <v>175</v>
      </c>
      <c r="E572" s="906" t="s">
        <v>2617</v>
      </c>
      <c r="F572" s="906"/>
      <c r="G572" s="644" t="s">
        <v>118</v>
      </c>
      <c r="H572" s="645">
        <v>1</v>
      </c>
      <c r="I572" s="646">
        <v>403.4</v>
      </c>
      <c r="J572" s="646">
        <v>403.4</v>
      </c>
    </row>
    <row r="573" spans="1:10" s="358" customFormat="1" ht="25" x14ac:dyDescent="0.3">
      <c r="A573" s="519" t="s">
        <v>2434</v>
      </c>
      <c r="B573" s="520" t="s">
        <v>2561</v>
      </c>
      <c r="C573" s="519" t="s">
        <v>32</v>
      </c>
      <c r="D573" s="519" t="s">
        <v>2562</v>
      </c>
      <c r="E573" s="905" t="s">
        <v>2433</v>
      </c>
      <c r="F573" s="905"/>
      <c r="G573" s="521" t="s">
        <v>1901</v>
      </c>
      <c r="H573" s="522">
        <v>2.1057999999999999</v>
      </c>
      <c r="I573" s="523">
        <v>23.4</v>
      </c>
      <c r="J573" s="523">
        <v>49.27</v>
      </c>
    </row>
    <row r="574" spans="1:10" ht="25" x14ac:dyDescent="0.3">
      <c r="A574" s="519" t="s">
        <v>2434</v>
      </c>
      <c r="B574" s="520" t="s">
        <v>2812</v>
      </c>
      <c r="C574" s="519" t="s">
        <v>32</v>
      </c>
      <c r="D574" s="519" t="s">
        <v>2813</v>
      </c>
      <c r="E574" s="905" t="s">
        <v>2433</v>
      </c>
      <c r="F574" s="905"/>
      <c r="G574" s="521" t="s">
        <v>1901</v>
      </c>
      <c r="H574" s="522">
        <v>1.3314999999999999</v>
      </c>
      <c r="I574" s="523">
        <v>25.72</v>
      </c>
      <c r="J574" s="523">
        <v>34.24</v>
      </c>
    </row>
    <row r="575" spans="1:10" ht="38.25" customHeight="1" x14ac:dyDescent="0.3">
      <c r="A575" s="519" t="s">
        <v>2434</v>
      </c>
      <c r="B575" s="520" t="s">
        <v>2814</v>
      </c>
      <c r="C575" s="519" t="s">
        <v>32</v>
      </c>
      <c r="D575" s="519" t="s">
        <v>4282</v>
      </c>
      <c r="E575" s="905" t="s">
        <v>2465</v>
      </c>
      <c r="F575" s="905"/>
      <c r="G575" s="521" t="s">
        <v>103</v>
      </c>
      <c r="H575" s="522">
        <v>0.68530000000000002</v>
      </c>
      <c r="I575" s="523">
        <v>4.9400000000000004</v>
      </c>
      <c r="J575" s="523">
        <v>3.38</v>
      </c>
    </row>
    <row r="576" spans="1:10" ht="38.25" customHeight="1" x14ac:dyDescent="0.3">
      <c r="A576" s="519" t="s">
        <v>2434</v>
      </c>
      <c r="B576" s="520" t="s">
        <v>2815</v>
      </c>
      <c r="C576" s="519" t="s">
        <v>32</v>
      </c>
      <c r="D576" s="519" t="s">
        <v>4283</v>
      </c>
      <c r="E576" s="905" t="s">
        <v>2465</v>
      </c>
      <c r="F576" s="905"/>
      <c r="G576" s="521" t="s">
        <v>110</v>
      </c>
      <c r="H576" s="522">
        <v>0.6462</v>
      </c>
      <c r="I576" s="523">
        <v>1.66</v>
      </c>
      <c r="J576" s="523">
        <v>1.07</v>
      </c>
    </row>
    <row r="577" spans="1:10" ht="38.25" customHeight="1" x14ac:dyDescent="0.3">
      <c r="A577" s="519" t="s">
        <v>2437</v>
      </c>
      <c r="B577" s="520" t="s">
        <v>2816</v>
      </c>
      <c r="C577" s="519" t="s">
        <v>125</v>
      </c>
      <c r="D577" s="519" t="s">
        <v>2817</v>
      </c>
      <c r="E577" s="905" t="s">
        <v>2442</v>
      </c>
      <c r="F577" s="905"/>
      <c r="G577" s="521" t="s">
        <v>118</v>
      </c>
      <c r="H577" s="522">
        <v>0.83250000000000002</v>
      </c>
      <c r="I577" s="523">
        <v>149.36019999999999</v>
      </c>
      <c r="J577" s="523">
        <v>124.34</v>
      </c>
    </row>
    <row r="578" spans="1:10" x14ac:dyDescent="0.3">
      <c r="A578" s="519" t="s">
        <v>2437</v>
      </c>
      <c r="B578" s="520" t="s">
        <v>4470</v>
      </c>
      <c r="C578" s="519" t="s">
        <v>125</v>
      </c>
      <c r="D578" s="519" t="s">
        <v>4471</v>
      </c>
      <c r="E578" s="905" t="s">
        <v>2442</v>
      </c>
      <c r="F578" s="905"/>
      <c r="G578" s="521" t="s">
        <v>384</v>
      </c>
      <c r="H578" s="522">
        <v>213.45310000000001</v>
      </c>
      <c r="I578" s="523">
        <v>0.56679999999999997</v>
      </c>
      <c r="J578" s="523">
        <v>120.98</v>
      </c>
    </row>
    <row r="579" spans="1:10" ht="14.5" thickBot="1" x14ac:dyDescent="0.35">
      <c r="A579" s="519" t="s">
        <v>2437</v>
      </c>
      <c r="B579" s="520" t="s">
        <v>2818</v>
      </c>
      <c r="C579" s="519" t="s">
        <v>125</v>
      </c>
      <c r="D579" s="519" t="s">
        <v>2819</v>
      </c>
      <c r="E579" s="905" t="s">
        <v>2442</v>
      </c>
      <c r="F579" s="905"/>
      <c r="G579" s="521" t="s">
        <v>118</v>
      </c>
      <c r="H579" s="522">
        <v>0.58209999999999995</v>
      </c>
      <c r="I579" s="523">
        <v>120.4661</v>
      </c>
      <c r="J579" s="523">
        <v>70.12</v>
      </c>
    </row>
    <row r="580" spans="1:10" ht="14.5" thickTop="1" x14ac:dyDescent="0.3">
      <c r="A580" s="647"/>
      <c r="B580" s="647"/>
      <c r="C580" s="647"/>
      <c r="D580" s="647"/>
      <c r="E580" s="647"/>
      <c r="F580" s="647"/>
      <c r="G580" s="647"/>
      <c r="H580" s="647"/>
      <c r="I580" s="647"/>
      <c r="J580" s="647"/>
    </row>
    <row r="581" spans="1:10" s="358" customFormat="1" x14ac:dyDescent="0.3">
      <c r="A581" s="516"/>
      <c r="B581" s="517" t="s">
        <v>15</v>
      </c>
      <c r="C581" s="516" t="s">
        <v>16</v>
      </c>
      <c r="D581" s="516" t="s">
        <v>17</v>
      </c>
      <c r="E581" s="904" t="s">
        <v>2431</v>
      </c>
      <c r="F581" s="904"/>
      <c r="G581" s="518" t="s">
        <v>18</v>
      </c>
      <c r="H581" s="517" t="s">
        <v>19</v>
      </c>
      <c r="I581" s="517" t="s">
        <v>20</v>
      </c>
      <c r="J581" s="517" t="s">
        <v>23</v>
      </c>
    </row>
    <row r="582" spans="1:10" ht="37.5" x14ac:dyDescent="0.3">
      <c r="A582" s="642" t="s">
        <v>2432</v>
      </c>
      <c r="B582" s="643" t="s">
        <v>176</v>
      </c>
      <c r="C582" s="642" t="s">
        <v>32</v>
      </c>
      <c r="D582" s="642" t="s">
        <v>177</v>
      </c>
      <c r="E582" s="906" t="s">
        <v>2617</v>
      </c>
      <c r="F582" s="906"/>
      <c r="G582" s="644" t="s">
        <v>118</v>
      </c>
      <c r="H582" s="645">
        <v>1</v>
      </c>
      <c r="I582" s="646">
        <v>470.06</v>
      </c>
      <c r="J582" s="646">
        <v>470.06</v>
      </c>
    </row>
    <row r="583" spans="1:10" s="358" customFormat="1" ht="25" x14ac:dyDescent="0.3">
      <c r="A583" s="519" t="s">
        <v>2434</v>
      </c>
      <c r="B583" s="520" t="s">
        <v>2561</v>
      </c>
      <c r="C583" s="519" t="s">
        <v>32</v>
      </c>
      <c r="D583" s="519" t="s">
        <v>2562</v>
      </c>
      <c r="E583" s="905" t="s">
        <v>2433</v>
      </c>
      <c r="F583" s="905"/>
      <c r="G583" s="521" t="s">
        <v>1901</v>
      </c>
      <c r="H583" s="522">
        <v>1.9792000000000001</v>
      </c>
      <c r="I583" s="523">
        <v>23.4</v>
      </c>
      <c r="J583" s="523">
        <v>46.31</v>
      </c>
    </row>
    <row r="584" spans="1:10" ht="25" x14ac:dyDescent="0.3">
      <c r="A584" s="519" t="s">
        <v>2434</v>
      </c>
      <c r="B584" s="520" t="s">
        <v>2812</v>
      </c>
      <c r="C584" s="519" t="s">
        <v>32</v>
      </c>
      <c r="D584" s="519" t="s">
        <v>2813</v>
      </c>
      <c r="E584" s="905" t="s">
        <v>2433</v>
      </c>
      <c r="F584" s="905"/>
      <c r="G584" s="521" t="s">
        <v>1901</v>
      </c>
      <c r="H584" s="522">
        <v>1.2501</v>
      </c>
      <c r="I584" s="523">
        <v>25.72</v>
      </c>
      <c r="J584" s="523">
        <v>32.15</v>
      </c>
    </row>
    <row r="585" spans="1:10" ht="38.25" customHeight="1" x14ac:dyDescent="0.3">
      <c r="A585" s="519" t="s">
        <v>2434</v>
      </c>
      <c r="B585" s="520" t="s">
        <v>2814</v>
      </c>
      <c r="C585" s="519" t="s">
        <v>32</v>
      </c>
      <c r="D585" s="519" t="s">
        <v>4282</v>
      </c>
      <c r="E585" s="905" t="s">
        <v>2465</v>
      </c>
      <c r="F585" s="905"/>
      <c r="G585" s="521" t="s">
        <v>103</v>
      </c>
      <c r="H585" s="522">
        <v>0.64339999999999997</v>
      </c>
      <c r="I585" s="523">
        <v>4.9400000000000004</v>
      </c>
      <c r="J585" s="523">
        <v>3.17</v>
      </c>
    </row>
    <row r="586" spans="1:10" ht="38.25" customHeight="1" x14ac:dyDescent="0.3">
      <c r="A586" s="519" t="s">
        <v>2434</v>
      </c>
      <c r="B586" s="520" t="s">
        <v>2815</v>
      </c>
      <c r="C586" s="519" t="s">
        <v>32</v>
      </c>
      <c r="D586" s="519" t="s">
        <v>4283</v>
      </c>
      <c r="E586" s="905" t="s">
        <v>2465</v>
      </c>
      <c r="F586" s="905"/>
      <c r="G586" s="521" t="s">
        <v>110</v>
      </c>
      <c r="H586" s="522">
        <v>0.60670000000000002</v>
      </c>
      <c r="I586" s="523">
        <v>1.66</v>
      </c>
      <c r="J586" s="523">
        <v>1</v>
      </c>
    </row>
    <row r="587" spans="1:10" ht="38.25" customHeight="1" x14ac:dyDescent="0.3">
      <c r="A587" s="519" t="s">
        <v>2437</v>
      </c>
      <c r="B587" s="520" t="s">
        <v>2816</v>
      </c>
      <c r="C587" s="519" t="s">
        <v>125</v>
      </c>
      <c r="D587" s="519" t="s">
        <v>2817</v>
      </c>
      <c r="E587" s="905" t="s">
        <v>2442</v>
      </c>
      <c r="F587" s="905"/>
      <c r="G587" s="521" t="s">
        <v>118</v>
      </c>
      <c r="H587" s="522">
        <v>0.72750000000000004</v>
      </c>
      <c r="I587" s="523">
        <v>149.36019999999999</v>
      </c>
      <c r="J587" s="523">
        <v>108.65</v>
      </c>
    </row>
    <row r="588" spans="1:10" x14ac:dyDescent="0.3">
      <c r="A588" s="519" t="s">
        <v>2437</v>
      </c>
      <c r="B588" s="520" t="s">
        <v>4470</v>
      </c>
      <c r="C588" s="519" t="s">
        <v>125</v>
      </c>
      <c r="D588" s="519" t="s">
        <v>4471</v>
      </c>
      <c r="E588" s="905" t="s">
        <v>2442</v>
      </c>
      <c r="F588" s="905"/>
      <c r="G588" s="521" t="s">
        <v>384</v>
      </c>
      <c r="H588" s="522">
        <v>364.94330000000002</v>
      </c>
      <c r="I588" s="523">
        <v>0.56679999999999997</v>
      </c>
      <c r="J588" s="523">
        <v>206.84</v>
      </c>
    </row>
    <row r="589" spans="1:10" ht="14.5" thickBot="1" x14ac:dyDescent="0.35">
      <c r="A589" s="519" t="s">
        <v>2437</v>
      </c>
      <c r="B589" s="520" t="s">
        <v>2818</v>
      </c>
      <c r="C589" s="519" t="s">
        <v>125</v>
      </c>
      <c r="D589" s="519" t="s">
        <v>2819</v>
      </c>
      <c r="E589" s="905" t="s">
        <v>2442</v>
      </c>
      <c r="F589" s="905"/>
      <c r="G589" s="521" t="s">
        <v>118</v>
      </c>
      <c r="H589" s="522">
        <v>0.59719999999999995</v>
      </c>
      <c r="I589" s="523">
        <v>120.4661</v>
      </c>
      <c r="J589" s="523">
        <v>71.94</v>
      </c>
    </row>
    <row r="590" spans="1:10" ht="14.5" thickTop="1" x14ac:dyDescent="0.3">
      <c r="A590" s="647"/>
      <c r="B590" s="647"/>
      <c r="C590" s="647"/>
      <c r="D590" s="647"/>
      <c r="E590" s="647"/>
      <c r="F590" s="647"/>
      <c r="G590" s="647"/>
      <c r="H590" s="647"/>
      <c r="I590" s="647"/>
      <c r="J590" s="647"/>
    </row>
    <row r="591" spans="1:10" s="358" customFormat="1" x14ac:dyDescent="0.3">
      <c r="A591" s="516"/>
      <c r="B591" s="517" t="s">
        <v>15</v>
      </c>
      <c r="C591" s="516" t="s">
        <v>16</v>
      </c>
      <c r="D591" s="516" t="s">
        <v>17</v>
      </c>
      <c r="E591" s="904" t="s">
        <v>2431</v>
      </c>
      <c r="F591" s="904"/>
      <c r="G591" s="518" t="s">
        <v>18</v>
      </c>
      <c r="H591" s="517" t="s">
        <v>19</v>
      </c>
      <c r="I591" s="517" t="s">
        <v>20</v>
      </c>
      <c r="J591" s="517" t="s">
        <v>23</v>
      </c>
    </row>
    <row r="592" spans="1:10" ht="25" x14ac:dyDescent="0.3">
      <c r="A592" s="642" t="s">
        <v>2432</v>
      </c>
      <c r="B592" s="643" t="s">
        <v>178</v>
      </c>
      <c r="C592" s="642" t="s">
        <v>125</v>
      </c>
      <c r="D592" s="642" t="s">
        <v>179</v>
      </c>
      <c r="E592" s="906" t="s">
        <v>1328</v>
      </c>
      <c r="F592" s="906"/>
      <c r="G592" s="644" t="s">
        <v>115</v>
      </c>
      <c r="H592" s="645">
        <v>1</v>
      </c>
      <c r="I592" s="646">
        <v>76.72</v>
      </c>
      <c r="J592" s="646">
        <v>76.72</v>
      </c>
    </row>
    <row r="593" spans="1:10" s="358" customFormat="1" ht="15" customHeight="1" x14ac:dyDescent="0.3">
      <c r="A593" s="904" t="s">
        <v>2418</v>
      </c>
      <c r="B593" s="903" t="s">
        <v>15</v>
      </c>
      <c r="C593" s="904" t="s">
        <v>16</v>
      </c>
      <c r="D593" s="904" t="s">
        <v>2466</v>
      </c>
      <c r="E593" s="903" t="s">
        <v>2467</v>
      </c>
      <c r="F593" s="908" t="s">
        <v>2468</v>
      </c>
      <c r="G593" s="903"/>
      <c r="H593" s="518" t="s">
        <v>2469</v>
      </c>
      <c r="I593" s="903" t="s">
        <v>2470</v>
      </c>
      <c r="J593"/>
    </row>
    <row r="594" spans="1:10" ht="15" customHeight="1" x14ac:dyDescent="0.3">
      <c r="A594" s="903"/>
      <c r="B594" s="903"/>
      <c r="C594" s="903"/>
      <c r="D594" s="903"/>
      <c r="E594" s="903"/>
      <c r="F594" s="517" t="s">
        <v>2471</v>
      </c>
      <c r="G594" s="517" t="s">
        <v>2472</v>
      </c>
      <c r="H594" s="517" t="s">
        <v>2471</v>
      </c>
      <c r="I594" s="903"/>
      <c r="J594"/>
    </row>
    <row r="595" spans="1:10" x14ac:dyDescent="0.3">
      <c r="A595" s="519" t="s">
        <v>2437</v>
      </c>
      <c r="B595" s="520" t="s">
        <v>2820</v>
      </c>
      <c r="C595" s="519" t="s">
        <v>125</v>
      </c>
      <c r="D595" s="519" t="s">
        <v>4284</v>
      </c>
      <c r="E595" s="522">
        <v>4.0160000000000001E-2</v>
      </c>
      <c r="F595" s="523">
        <v>1</v>
      </c>
      <c r="G595" s="523">
        <v>0</v>
      </c>
      <c r="H595" s="524">
        <v>18.346599999999999</v>
      </c>
      <c r="I595" s="524">
        <v>0.73680000000000001</v>
      </c>
      <c r="J595"/>
    </row>
    <row r="596" spans="1:10" x14ac:dyDescent="0.3">
      <c r="A596" s="519" t="s">
        <v>2437</v>
      </c>
      <c r="B596" s="520" t="s">
        <v>2821</v>
      </c>
      <c r="C596" s="519" t="s">
        <v>125</v>
      </c>
      <c r="D596" s="519" t="s">
        <v>2822</v>
      </c>
      <c r="E596" s="522">
        <v>4.0160000000000001E-2</v>
      </c>
      <c r="F596" s="523">
        <v>1</v>
      </c>
      <c r="G596" s="523">
        <v>0</v>
      </c>
      <c r="H596" s="524">
        <v>26.159800000000001</v>
      </c>
      <c r="I596" s="524">
        <v>1.0506</v>
      </c>
      <c r="J596"/>
    </row>
    <row r="597" spans="1:10" ht="14.25" customHeight="1" x14ac:dyDescent="0.3">
      <c r="A597" s="902"/>
      <c r="B597" s="902"/>
      <c r="C597" s="902"/>
      <c r="D597" s="902"/>
      <c r="E597" s="902"/>
      <c r="F597" s="902" t="s">
        <v>2475</v>
      </c>
      <c r="G597" s="902"/>
      <c r="H597" s="902"/>
      <c r="I597" s="525">
        <v>1.7874000000000001</v>
      </c>
      <c r="J597"/>
    </row>
    <row r="598" spans="1:10" ht="14.25" customHeight="1" x14ac:dyDescent="0.3">
      <c r="A598" s="902"/>
      <c r="B598" s="902"/>
      <c r="C598" s="902"/>
      <c r="D598" s="902"/>
      <c r="E598" s="902"/>
      <c r="F598" s="902" t="s">
        <v>2476</v>
      </c>
      <c r="G598" s="902"/>
      <c r="H598" s="902"/>
      <c r="I598" s="525">
        <v>1.7874000000000001</v>
      </c>
      <c r="J598"/>
    </row>
    <row r="599" spans="1:10" ht="14.25" customHeight="1" x14ac:dyDescent="0.3">
      <c r="A599" s="902"/>
      <c r="B599" s="902"/>
      <c r="C599" s="902"/>
      <c r="D599" s="902"/>
      <c r="E599" s="902"/>
      <c r="F599" s="902" t="s">
        <v>2477</v>
      </c>
      <c r="G599" s="902"/>
      <c r="H599" s="902"/>
      <c r="I599" s="525">
        <v>0</v>
      </c>
      <c r="J599"/>
    </row>
    <row r="600" spans="1:10" ht="14.25" customHeight="1" x14ac:dyDescent="0.3">
      <c r="A600" s="902"/>
      <c r="B600" s="902"/>
      <c r="C600" s="902"/>
      <c r="D600" s="902"/>
      <c r="E600" s="902"/>
      <c r="F600" s="902" t="s">
        <v>2478</v>
      </c>
      <c r="G600" s="902"/>
      <c r="H600" s="902"/>
      <c r="I600" s="525">
        <v>0</v>
      </c>
      <c r="J600"/>
    </row>
    <row r="601" spans="1:10" ht="14.25" customHeight="1" x14ac:dyDescent="0.3">
      <c r="A601" s="902"/>
      <c r="B601" s="902"/>
      <c r="C601" s="902"/>
      <c r="D601" s="902"/>
      <c r="E601" s="902"/>
      <c r="F601" s="902" t="s">
        <v>2479</v>
      </c>
      <c r="G601" s="902"/>
      <c r="H601" s="902"/>
      <c r="I601" s="525">
        <v>1</v>
      </c>
      <c r="J601"/>
    </row>
    <row r="602" spans="1:10" ht="14.25" customHeight="1" x14ac:dyDescent="0.3">
      <c r="A602" s="902"/>
      <c r="B602" s="902"/>
      <c r="C602" s="902"/>
      <c r="D602" s="902"/>
      <c r="E602" s="902"/>
      <c r="F602" s="902" t="s">
        <v>2480</v>
      </c>
      <c r="G602" s="902"/>
      <c r="H602" s="902"/>
      <c r="I602" s="525">
        <v>1.7874000000000001</v>
      </c>
      <c r="J602"/>
    </row>
    <row r="603" spans="1:10" ht="14.25" customHeight="1" x14ac:dyDescent="0.3">
      <c r="A603" s="516" t="s">
        <v>2420</v>
      </c>
      <c r="B603" s="517" t="s">
        <v>16</v>
      </c>
      <c r="C603" s="516" t="s">
        <v>15</v>
      </c>
      <c r="D603" s="516" t="s">
        <v>2442</v>
      </c>
      <c r="E603" s="517" t="s">
        <v>2467</v>
      </c>
      <c r="F603" s="517" t="s">
        <v>2576</v>
      </c>
      <c r="G603" s="903" t="s">
        <v>2577</v>
      </c>
      <c r="H603" s="903"/>
      <c r="I603" s="517" t="s">
        <v>2470</v>
      </c>
      <c r="J603"/>
    </row>
    <row r="604" spans="1:10" ht="15" customHeight="1" x14ac:dyDescent="0.3">
      <c r="A604" s="519" t="s">
        <v>2437</v>
      </c>
      <c r="B604" s="520" t="s">
        <v>125</v>
      </c>
      <c r="C604" s="519" t="s">
        <v>2823</v>
      </c>
      <c r="D604" s="519" t="s">
        <v>2824</v>
      </c>
      <c r="E604" s="522">
        <v>0.44922000000000001</v>
      </c>
      <c r="F604" s="521" t="s">
        <v>222</v>
      </c>
      <c r="G604" s="907">
        <v>13.201499999999999</v>
      </c>
      <c r="H604" s="907"/>
      <c r="I604" s="524">
        <v>5.9303999999999997</v>
      </c>
      <c r="J604"/>
    </row>
    <row r="605" spans="1:10" x14ac:dyDescent="0.3">
      <c r="A605" s="519" t="s">
        <v>2437</v>
      </c>
      <c r="B605" s="520" t="s">
        <v>125</v>
      </c>
      <c r="C605" s="519" t="s">
        <v>2825</v>
      </c>
      <c r="D605" s="519" t="s">
        <v>2826</v>
      </c>
      <c r="E605" s="522">
        <v>0.40429999999999999</v>
      </c>
      <c r="F605" s="521" t="s">
        <v>115</v>
      </c>
      <c r="G605" s="907">
        <v>25.9331</v>
      </c>
      <c r="H605" s="907"/>
      <c r="I605" s="524">
        <v>10.4848</v>
      </c>
      <c r="J605"/>
    </row>
    <row r="606" spans="1:10" x14ac:dyDescent="0.3">
      <c r="A606" s="519" t="s">
        <v>2437</v>
      </c>
      <c r="B606" s="520" t="s">
        <v>125</v>
      </c>
      <c r="C606" s="519" t="s">
        <v>2827</v>
      </c>
      <c r="D606" s="519" t="s">
        <v>2828</v>
      </c>
      <c r="E606" s="522">
        <v>1.8519999999999998E-2</v>
      </c>
      <c r="F606" s="521" t="s">
        <v>2829</v>
      </c>
      <c r="G606" s="907">
        <v>13.312900000000001</v>
      </c>
      <c r="H606" s="907"/>
      <c r="I606" s="524">
        <v>0.24660000000000001</v>
      </c>
      <c r="J606"/>
    </row>
    <row r="607" spans="1:10" x14ac:dyDescent="0.3">
      <c r="A607" s="519" t="s">
        <v>2437</v>
      </c>
      <c r="B607" s="520" t="s">
        <v>125</v>
      </c>
      <c r="C607" s="519" t="s">
        <v>2830</v>
      </c>
      <c r="D607" s="519" t="s">
        <v>2831</v>
      </c>
      <c r="E607" s="522">
        <v>0.19908000000000001</v>
      </c>
      <c r="F607" s="521" t="s">
        <v>222</v>
      </c>
      <c r="G607" s="907">
        <v>4.0178000000000003</v>
      </c>
      <c r="H607" s="907"/>
      <c r="I607" s="524">
        <v>0.79990000000000006</v>
      </c>
      <c r="J607"/>
    </row>
    <row r="608" spans="1:10" x14ac:dyDescent="0.3">
      <c r="A608" s="519" t="s">
        <v>2437</v>
      </c>
      <c r="B608" s="520" t="s">
        <v>125</v>
      </c>
      <c r="C608" s="519" t="s">
        <v>2832</v>
      </c>
      <c r="D608" s="519" t="s">
        <v>2833</v>
      </c>
      <c r="E608" s="522">
        <v>0.20394999999999999</v>
      </c>
      <c r="F608" s="521" t="s">
        <v>384</v>
      </c>
      <c r="G608" s="907">
        <v>18.600000000000001</v>
      </c>
      <c r="H608" s="907"/>
      <c r="I608" s="524">
        <v>3.7934999999999999</v>
      </c>
      <c r="J608"/>
    </row>
    <row r="609" spans="1:10" x14ac:dyDescent="0.3">
      <c r="A609" s="519" t="s">
        <v>2437</v>
      </c>
      <c r="B609" s="520" t="s">
        <v>125</v>
      </c>
      <c r="C609" s="519" t="s">
        <v>2834</v>
      </c>
      <c r="D609" s="519" t="s">
        <v>2835</v>
      </c>
      <c r="E609" s="522">
        <v>2.0900300000000001</v>
      </c>
      <c r="F609" s="521" t="s">
        <v>222</v>
      </c>
      <c r="G609" s="907">
        <v>4.5</v>
      </c>
      <c r="H609" s="907"/>
      <c r="I609" s="524">
        <v>9.4050999999999991</v>
      </c>
      <c r="J609"/>
    </row>
    <row r="610" spans="1:10" x14ac:dyDescent="0.3">
      <c r="A610" s="519" t="s">
        <v>2437</v>
      </c>
      <c r="B610" s="520" t="s">
        <v>125</v>
      </c>
      <c r="C610" s="519" t="s">
        <v>2836</v>
      </c>
      <c r="D610" s="519" t="s">
        <v>2837</v>
      </c>
      <c r="E610" s="522">
        <v>0.35937999999999998</v>
      </c>
      <c r="F610" s="521" t="s">
        <v>222</v>
      </c>
      <c r="G610" s="907">
        <v>14.931699999999999</v>
      </c>
      <c r="H610" s="907"/>
      <c r="I610" s="524">
        <v>5.3662000000000001</v>
      </c>
      <c r="J610"/>
    </row>
    <row r="611" spans="1:10" ht="14.25" customHeight="1" x14ac:dyDescent="0.3">
      <c r="A611" s="902"/>
      <c r="B611" s="902"/>
      <c r="C611" s="902"/>
      <c r="D611" s="902"/>
      <c r="E611" s="902"/>
      <c r="F611" s="902" t="s">
        <v>2809</v>
      </c>
      <c r="G611" s="902"/>
      <c r="H611" s="902"/>
      <c r="I611" s="525">
        <v>36.026499999999999</v>
      </c>
      <c r="J611"/>
    </row>
    <row r="612" spans="1:10" ht="14.25" customHeight="1" x14ac:dyDescent="0.3">
      <c r="A612" s="516" t="s">
        <v>2574</v>
      </c>
      <c r="B612" s="517" t="s">
        <v>16</v>
      </c>
      <c r="C612" s="516" t="s">
        <v>15</v>
      </c>
      <c r="D612" s="516" t="s">
        <v>2575</v>
      </c>
      <c r="E612" s="517" t="s">
        <v>2467</v>
      </c>
      <c r="F612" s="517" t="s">
        <v>2576</v>
      </c>
      <c r="G612" s="903" t="s">
        <v>2577</v>
      </c>
      <c r="H612" s="903"/>
      <c r="I612" s="517" t="s">
        <v>2470</v>
      </c>
      <c r="J612"/>
    </row>
    <row r="613" spans="1:10" ht="15" customHeight="1" x14ac:dyDescent="0.3">
      <c r="A613" s="519" t="s">
        <v>2578</v>
      </c>
      <c r="B613" s="520" t="s">
        <v>32</v>
      </c>
      <c r="C613" s="519">
        <v>88241</v>
      </c>
      <c r="D613" s="519" t="s">
        <v>2791</v>
      </c>
      <c r="E613" s="522">
        <v>0.7</v>
      </c>
      <c r="F613" s="521" t="s">
        <v>1901</v>
      </c>
      <c r="G613" s="907">
        <v>24.15</v>
      </c>
      <c r="H613" s="907"/>
      <c r="I613" s="524">
        <v>16.905000000000001</v>
      </c>
      <c r="J613"/>
    </row>
    <row r="614" spans="1:10" ht="25" x14ac:dyDescent="0.3">
      <c r="A614" s="519" t="s">
        <v>2578</v>
      </c>
      <c r="B614" s="520" t="s">
        <v>32</v>
      </c>
      <c r="C614" s="519">
        <v>88262</v>
      </c>
      <c r="D614" s="519" t="s">
        <v>2619</v>
      </c>
      <c r="E614" s="522">
        <v>0.7</v>
      </c>
      <c r="F614" s="521" t="s">
        <v>1901</v>
      </c>
      <c r="G614" s="907">
        <v>30.71</v>
      </c>
      <c r="H614" s="907"/>
      <c r="I614" s="524">
        <v>21.497</v>
      </c>
      <c r="J614"/>
    </row>
    <row r="615" spans="1:10" ht="14.25" customHeight="1" x14ac:dyDescent="0.3">
      <c r="A615" s="902"/>
      <c r="B615" s="902"/>
      <c r="C615" s="902"/>
      <c r="D615" s="902"/>
      <c r="E615" s="902"/>
      <c r="F615" s="902" t="s">
        <v>2579</v>
      </c>
      <c r="G615" s="902"/>
      <c r="H615" s="902"/>
      <c r="I615" s="525">
        <v>38.402000000000001</v>
      </c>
      <c r="J615"/>
    </row>
    <row r="616" spans="1:10" ht="14.25" customHeight="1" x14ac:dyDescent="0.3">
      <c r="A616" s="516" t="s">
        <v>2580</v>
      </c>
      <c r="B616" s="517" t="s">
        <v>16</v>
      </c>
      <c r="C616" s="516" t="s">
        <v>2437</v>
      </c>
      <c r="D616" s="516" t="s">
        <v>2581</v>
      </c>
      <c r="E616" s="517" t="s">
        <v>15</v>
      </c>
      <c r="F616" s="517" t="s">
        <v>2467</v>
      </c>
      <c r="G616" s="518" t="s">
        <v>2576</v>
      </c>
      <c r="H616" s="517" t="s">
        <v>2577</v>
      </c>
      <c r="I616" s="517" t="s">
        <v>2470</v>
      </c>
      <c r="J616"/>
    </row>
    <row r="617" spans="1:10" ht="15" customHeight="1" x14ac:dyDescent="0.3">
      <c r="A617" s="519" t="s">
        <v>2582</v>
      </c>
      <c r="B617" s="520" t="s">
        <v>125</v>
      </c>
      <c r="C617" s="519" t="s">
        <v>2823</v>
      </c>
      <c r="D617" s="519" t="s">
        <v>2838</v>
      </c>
      <c r="E617" s="520">
        <v>5914655</v>
      </c>
      <c r="F617" s="522">
        <v>2.5300000000000001E-3</v>
      </c>
      <c r="G617" s="521" t="s">
        <v>374</v>
      </c>
      <c r="H617" s="524">
        <v>33.159999999999997</v>
      </c>
      <c r="I617" s="524">
        <v>8.3900000000000002E-2</v>
      </c>
      <c r="J617"/>
    </row>
    <row r="618" spans="1:10" ht="25" x14ac:dyDescent="0.3">
      <c r="A618" s="519" t="s">
        <v>2582</v>
      </c>
      <c r="B618" s="520" t="s">
        <v>125</v>
      </c>
      <c r="C618" s="519" t="s">
        <v>2825</v>
      </c>
      <c r="D618" s="519" t="s">
        <v>2838</v>
      </c>
      <c r="E618" s="520">
        <v>5914655</v>
      </c>
      <c r="F618" s="522">
        <v>4.0400000000000002E-3</v>
      </c>
      <c r="G618" s="521" t="s">
        <v>374</v>
      </c>
      <c r="H618" s="524">
        <v>33.159999999999997</v>
      </c>
      <c r="I618" s="524">
        <v>0.13400000000000001</v>
      </c>
      <c r="J618"/>
    </row>
    <row r="619" spans="1:10" ht="25" x14ac:dyDescent="0.3">
      <c r="A619" s="519" t="s">
        <v>2582</v>
      </c>
      <c r="B619" s="520" t="s">
        <v>125</v>
      </c>
      <c r="C619" s="519" t="s">
        <v>2827</v>
      </c>
      <c r="D619" s="519" t="s">
        <v>2838</v>
      </c>
      <c r="E619" s="520">
        <v>5914655</v>
      </c>
      <c r="F619" s="522">
        <v>2.0000000000000002E-5</v>
      </c>
      <c r="G619" s="521" t="s">
        <v>374</v>
      </c>
      <c r="H619" s="524">
        <v>33.159999999999997</v>
      </c>
      <c r="I619" s="524">
        <v>6.9999999999999999E-4</v>
      </c>
      <c r="J619"/>
    </row>
    <row r="620" spans="1:10" ht="25" x14ac:dyDescent="0.3">
      <c r="A620" s="519" t="s">
        <v>2582</v>
      </c>
      <c r="B620" s="520" t="s">
        <v>125</v>
      </c>
      <c r="C620" s="519" t="s">
        <v>2830</v>
      </c>
      <c r="D620" s="519" t="s">
        <v>2838</v>
      </c>
      <c r="E620" s="520">
        <v>5914655</v>
      </c>
      <c r="F620" s="522">
        <v>3.6999999999999999E-4</v>
      </c>
      <c r="G620" s="521" t="s">
        <v>374</v>
      </c>
      <c r="H620" s="524">
        <v>33.159999999999997</v>
      </c>
      <c r="I620" s="524">
        <v>1.23E-2</v>
      </c>
      <c r="J620"/>
    </row>
    <row r="621" spans="1:10" ht="25" x14ac:dyDescent="0.3">
      <c r="A621" s="519" t="s">
        <v>2582</v>
      </c>
      <c r="B621" s="520" t="s">
        <v>125</v>
      </c>
      <c r="C621" s="519" t="s">
        <v>2832</v>
      </c>
      <c r="D621" s="519" t="s">
        <v>2838</v>
      </c>
      <c r="E621" s="520">
        <v>5914655</v>
      </c>
      <c r="F621" s="522">
        <v>2.0000000000000001E-4</v>
      </c>
      <c r="G621" s="521" t="s">
        <v>374</v>
      </c>
      <c r="H621" s="524">
        <v>33.159999999999997</v>
      </c>
      <c r="I621" s="524">
        <v>6.6E-3</v>
      </c>
      <c r="J621"/>
    </row>
    <row r="622" spans="1:10" ht="25" x14ac:dyDescent="0.3">
      <c r="A622" s="519" t="s">
        <v>2582</v>
      </c>
      <c r="B622" s="520" t="s">
        <v>125</v>
      </c>
      <c r="C622" s="519" t="s">
        <v>2834</v>
      </c>
      <c r="D622" s="519" t="s">
        <v>2838</v>
      </c>
      <c r="E622" s="520">
        <v>5914655</v>
      </c>
      <c r="F622" s="522">
        <v>5.2300000000000003E-3</v>
      </c>
      <c r="G622" s="521" t="s">
        <v>374</v>
      </c>
      <c r="H622" s="524">
        <v>33.159999999999997</v>
      </c>
      <c r="I622" s="524">
        <v>0.1734</v>
      </c>
      <c r="J622"/>
    </row>
    <row r="623" spans="1:10" ht="25" x14ac:dyDescent="0.3">
      <c r="A623" s="519" t="s">
        <v>2582</v>
      </c>
      <c r="B623" s="520" t="s">
        <v>125</v>
      </c>
      <c r="C623" s="519" t="s">
        <v>2836</v>
      </c>
      <c r="D623" s="519" t="s">
        <v>2838</v>
      </c>
      <c r="E623" s="520">
        <v>5914655</v>
      </c>
      <c r="F623" s="522">
        <v>2.7000000000000001E-3</v>
      </c>
      <c r="G623" s="521" t="s">
        <v>374</v>
      </c>
      <c r="H623" s="524">
        <v>33.159999999999997</v>
      </c>
      <c r="I623" s="524">
        <v>8.9499999999999996E-2</v>
      </c>
      <c r="J623"/>
    </row>
    <row r="624" spans="1:10" ht="14.25" customHeight="1" x14ac:dyDescent="0.3">
      <c r="A624" s="902"/>
      <c r="B624" s="902"/>
      <c r="C624" s="902"/>
      <c r="D624" s="902"/>
      <c r="E624" s="902"/>
      <c r="F624" s="902" t="s">
        <v>2585</v>
      </c>
      <c r="G624" s="902"/>
      <c r="H624" s="902"/>
      <c r="I624" s="525">
        <v>0.50039999999999996</v>
      </c>
      <c r="J624"/>
    </row>
    <row r="625" spans="1:10" ht="14.25" customHeight="1" x14ac:dyDescent="0.3">
      <c r="A625" s="516" t="s">
        <v>2586</v>
      </c>
      <c r="B625" s="517" t="s">
        <v>16</v>
      </c>
      <c r="C625" s="516" t="s">
        <v>2437</v>
      </c>
      <c r="D625" s="516" t="s">
        <v>2587</v>
      </c>
      <c r="E625" s="517" t="s">
        <v>2467</v>
      </c>
      <c r="F625" s="517" t="s">
        <v>2576</v>
      </c>
      <c r="G625" s="908" t="s">
        <v>2588</v>
      </c>
      <c r="H625" s="903"/>
      <c r="I625" s="517" t="s">
        <v>2470</v>
      </c>
      <c r="J625"/>
    </row>
    <row r="626" spans="1:10" ht="15" customHeight="1" x14ac:dyDescent="0.3">
      <c r="A626" s="518"/>
      <c r="B626" s="518"/>
      <c r="C626" s="518"/>
      <c r="D626" s="518"/>
      <c r="E626" s="518"/>
      <c r="F626" s="518"/>
      <c r="G626" s="518" t="s">
        <v>2589</v>
      </c>
      <c r="H626" s="518" t="s">
        <v>2590</v>
      </c>
      <c r="I626" s="518"/>
      <c r="J626"/>
    </row>
    <row r="627" spans="1:10" ht="37.5" x14ac:dyDescent="0.3">
      <c r="A627" s="519" t="s">
        <v>2587</v>
      </c>
      <c r="B627" s="520" t="s">
        <v>125</v>
      </c>
      <c r="C627" s="519" t="s">
        <v>2823</v>
      </c>
      <c r="D627" s="519" t="s">
        <v>2839</v>
      </c>
      <c r="E627" s="522">
        <v>2.5300000000000001E-3</v>
      </c>
      <c r="F627" s="521" t="s">
        <v>2592</v>
      </c>
      <c r="G627" s="520" t="s">
        <v>4472</v>
      </c>
      <c r="H627" s="520" t="s">
        <v>4473</v>
      </c>
      <c r="I627" s="524">
        <v>0</v>
      </c>
      <c r="J627"/>
    </row>
    <row r="628" spans="1:10" ht="37.5" x14ac:dyDescent="0.3">
      <c r="A628" s="519" t="s">
        <v>2587</v>
      </c>
      <c r="B628" s="520" t="s">
        <v>125</v>
      </c>
      <c r="C628" s="519" t="s">
        <v>2825</v>
      </c>
      <c r="D628" s="519" t="s">
        <v>2840</v>
      </c>
      <c r="E628" s="522">
        <v>4.0400000000000002E-3</v>
      </c>
      <c r="F628" s="521" t="s">
        <v>2592</v>
      </c>
      <c r="G628" s="520" t="s">
        <v>4472</v>
      </c>
      <c r="H628" s="520" t="s">
        <v>4473</v>
      </c>
      <c r="I628" s="524">
        <v>0</v>
      </c>
      <c r="J628"/>
    </row>
    <row r="629" spans="1:10" ht="37.5" x14ac:dyDescent="0.3">
      <c r="A629" s="519" t="s">
        <v>2587</v>
      </c>
      <c r="B629" s="520" t="s">
        <v>125</v>
      </c>
      <c r="C629" s="519" t="s">
        <v>2827</v>
      </c>
      <c r="D629" s="519" t="s">
        <v>2841</v>
      </c>
      <c r="E629" s="522">
        <v>2.0000000000000002E-5</v>
      </c>
      <c r="F629" s="521" t="s">
        <v>2592</v>
      </c>
      <c r="G629" s="520" t="s">
        <v>4472</v>
      </c>
      <c r="H629" s="520" t="s">
        <v>4473</v>
      </c>
      <c r="I629" s="524">
        <v>0</v>
      </c>
      <c r="J629"/>
    </row>
    <row r="630" spans="1:10" ht="37.5" x14ac:dyDescent="0.3">
      <c r="A630" s="519" t="s">
        <v>2587</v>
      </c>
      <c r="B630" s="520" t="s">
        <v>125</v>
      </c>
      <c r="C630" s="519" t="s">
        <v>2830</v>
      </c>
      <c r="D630" s="519" t="s">
        <v>2842</v>
      </c>
      <c r="E630" s="522">
        <v>3.6999999999999999E-4</v>
      </c>
      <c r="F630" s="521" t="s">
        <v>2592</v>
      </c>
      <c r="G630" s="520" t="s">
        <v>4472</v>
      </c>
      <c r="H630" s="520" t="s">
        <v>4473</v>
      </c>
      <c r="I630" s="524">
        <v>0</v>
      </c>
      <c r="J630"/>
    </row>
    <row r="631" spans="1:10" ht="37.5" x14ac:dyDescent="0.3">
      <c r="A631" s="519" t="s">
        <v>2587</v>
      </c>
      <c r="B631" s="520" t="s">
        <v>125</v>
      </c>
      <c r="C631" s="519" t="s">
        <v>2832</v>
      </c>
      <c r="D631" s="519" t="s">
        <v>2843</v>
      </c>
      <c r="E631" s="522">
        <v>2.0000000000000001E-4</v>
      </c>
      <c r="F631" s="521" t="s">
        <v>2592</v>
      </c>
      <c r="G631" s="520" t="s">
        <v>4472</v>
      </c>
      <c r="H631" s="520" t="s">
        <v>4473</v>
      </c>
      <c r="I631" s="524">
        <v>0</v>
      </c>
      <c r="J631"/>
    </row>
    <row r="632" spans="1:10" ht="37.5" x14ac:dyDescent="0.3">
      <c r="A632" s="519" t="s">
        <v>2587</v>
      </c>
      <c r="B632" s="520" t="s">
        <v>125</v>
      </c>
      <c r="C632" s="519" t="s">
        <v>2834</v>
      </c>
      <c r="D632" s="519" t="s">
        <v>2844</v>
      </c>
      <c r="E632" s="522">
        <v>5.2300000000000003E-3</v>
      </c>
      <c r="F632" s="521" t="s">
        <v>2592</v>
      </c>
      <c r="G632" s="520" t="s">
        <v>4472</v>
      </c>
      <c r="H632" s="520" t="s">
        <v>4473</v>
      </c>
      <c r="I632" s="524">
        <v>0</v>
      </c>
      <c r="J632"/>
    </row>
    <row r="633" spans="1:10" ht="37.5" x14ac:dyDescent="0.3">
      <c r="A633" s="519" t="s">
        <v>2587</v>
      </c>
      <c r="B633" s="520" t="s">
        <v>125</v>
      </c>
      <c r="C633" s="519" t="s">
        <v>2836</v>
      </c>
      <c r="D633" s="519" t="s">
        <v>2845</v>
      </c>
      <c r="E633" s="522">
        <v>2.7000000000000001E-3</v>
      </c>
      <c r="F633" s="521" t="s">
        <v>2592</v>
      </c>
      <c r="G633" s="520" t="s">
        <v>4472</v>
      </c>
      <c r="H633" s="520" t="s">
        <v>4473</v>
      </c>
      <c r="I633" s="524">
        <v>0</v>
      </c>
      <c r="J633"/>
    </row>
    <row r="634" spans="1:10" ht="15" customHeight="1" thickBot="1" x14ac:dyDescent="0.35">
      <c r="A634" s="902"/>
      <c r="B634" s="902"/>
      <c r="C634" s="902"/>
      <c r="D634" s="902"/>
      <c r="E634" s="902"/>
      <c r="F634" s="902" t="s">
        <v>2593</v>
      </c>
      <c r="G634" s="902"/>
      <c r="H634" s="902"/>
      <c r="I634" s="525">
        <v>0</v>
      </c>
      <c r="J634"/>
    </row>
    <row r="635" spans="1:10" ht="15" customHeight="1" thickTop="1" x14ac:dyDescent="0.3">
      <c r="A635" s="647"/>
      <c r="B635" s="647"/>
      <c r="C635" s="647"/>
      <c r="D635" s="647"/>
      <c r="E635" s="647"/>
      <c r="F635" s="647"/>
      <c r="G635" s="647"/>
      <c r="H635" s="647"/>
      <c r="I635" s="647"/>
      <c r="J635" s="647"/>
    </row>
    <row r="636" spans="1:10" s="358" customFormat="1" x14ac:dyDescent="0.3">
      <c r="A636" s="516"/>
      <c r="B636" s="517" t="s">
        <v>15</v>
      </c>
      <c r="C636" s="516" t="s">
        <v>16</v>
      </c>
      <c r="D636" s="516" t="s">
        <v>17</v>
      </c>
      <c r="E636" s="904" t="s">
        <v>2431</v>
      </c>
      <c r="F636" s="904"/>
      <c r="G636" s="518" t="s">
        <v>18</v>
      </c>
      <c r="H636" s="517" t="s">
        <v>19</v>
      </c>
      <c r="I636" s="517" t="s">
        <v>20</v>
      </c>
      <c r="J636" s="517" t="s">
        <v>23</v>
      </c>
    </row>
    <row r="637" spans="1:10" ht="25" x14ac:dyDescent="0.3">
      <c r="A637" s="642" t="s">
        <v>2432</v>
      </c>
      <c r="B637" s="643" t="s">
        <v>180</v>
      </c>
      <c r="C637" s="642" t="s">
        <v>32</v>
      </c>
      <c r="D637" s="642" t="s">
        <v>181</v>
      </c>
      <c r="E637" s="906" t="s">
        <v>2617</v>
      </c>
      <c r="F637" s="906"/>
      <c r="G637" s="644" t="s">
        <v>118</v>
      </c>
      <c r="H637" s="645">
        <v>1</v>
      </c>
      <c r="I637" s="646">
        <v>326.63</v>
      </c>
      <c r="J637" s="646">
        <v>326.63</v>
      </c>
    </row>
    <row r="638" spans="1:10" s="358" customFormat="1" ht="25" x14ac:dyDescent="0.3">
      <c r="A638" s="519" t="s">
        <v>2434</v>
      </c>
      <c r="B638" s="520" t="s">
        <v>2618</v>
      </c>
      <c r="C638" s="519" t="s">
        <v>32</v>
      </c>
      <c r="D638" s="519" t="s">
        <v>2619</v>
      </c>
      <c r="E638" s="905" t="s">
        <v>2433</v>
      </c>
      <c r="F638" s="905"/>
      <c r="G638" s="521" t="s">
        <v>1901</v>
      </c>
      <c r="H638" s="522">
        <v>2.4590000000000001</v>
      </c>
      <c r="I638" s="523">
        <v>30.71</v>
      </c>
      <c r="J638" s="523">
        <v>75.510000000000005</v>
      </c>
    </row>
    <row r="639" spans="1:10" ht="25" x14ac:dyDescent="0.3">
      <c r="A639" s="519" t="s">
        <v>2434</v>
      </c>
      <c r="B639" s="520" t="s">
        <v>2757</v>
      </c>
      <c r="C639" s="519" t="s">
        <v>32</v>
      </c>
      <c r="D639" s="519" t="s">
        <v>2758</v>
      </c>
      <c r="E639" s="905" t="s">
        <v>2433</v>
      </c>
      <c r="F639" s="905"/>
      <c r="G639" s="521" t="s">
        <v>1901</v>
      </c>
      <c r="H639" s="522">
        <v>2.4590000000000001</v>
      </c>
      <c r="I639" s="523">
        <v>31.1</v>
      </c>
      <c r="J639" s="523">
        <v>76.47</v>
      </c>
    </row>
    <row r="640" spans="1:10" ht="25" x14ac:dyDescent="0.3">
      <c r="A640" s="519" t="s">
        <v>2434</v>
      </c>
      <c r="B640" s="520" t="s">
        <v>2561</v>
      </c>
      <c r="C640" s="519" t="s">
        <v>32</v>
      </c>
      <c r="D640" s="519" t="s">
        <v>2562</v>
      </c>
      <c r="E640" s="905" t="s">
        <v>2433</v>
      </c>
      <c r="F640" s="905"/>
      <c r="G640" s="521" t="s">
        <v>1901</v>
      </c>
      <c r="H640" s="522">
        <v>7.3769999999999998</v>
      </c>
      <c r="I640" s="523">
        <v>23.4</v>
      </c>
      <c r="J640" s="523">
        <v>172.62</v>
      </c>
    </row>
    <row r="641" spans="1:10" ht="25.5" customHeight="1" x14ac:dyDescent="0.3">
      <c r="A641" s="519" t="s">
        <v>2434</v>
      </c>
      <c r="B641" s="520" t="s">
        <v>2846</v>
      </c>
      <c r="C641" s="519" t="s">
        <v>32</v>
      </c>
      <c r="D641" s="519" t="s">
        <v>2847</v>
      </c>
      <c r="E641" s="905" t="s">
        <v>2465</v>
      </c>
      <c r="F641" s="905"/>
      <c r="G641" s="521" t="s">
        <v>103</v>
      </c>
      <c r="H641" s="522">
        <v>1.042</v>
      </c>
      <c r="I641" s="523">
        <v>1.23</v>
      </c>
      <c r="J641" s="523">
        <v>1.28</v>
      </c>
    </row>
    <row r="642" spans="1:10" ht="25.5" customHeight="1" thickBot="1" x14ac:dyDescent="0.35">
      <c r="A642" s="519" t="s">
        <v>2434</v>
      </c>
      <c r="B642" s="520" t="s">
        <v>2848</v>
      </c>
      <c r="C642" s="519" t="s">
        <v>32</v>
      </c>
      <c r="D642" s="519" t="s">
        <v>2849</v>
      </c>
      <c r="E642" s="905" t="s">
        <v>2465</v>
      </c>
      <c r="F642" s="905"/>
      <c r="G642" s="521" t="s">
        <v>110</v>
      </c>
      <c r="H642" s="522">
        <v>1.417</v>
      </c>
      <c r="I642" s="523">
        <v>0.53</v>
      </c>
      <c r="J642" s="523">
        <v>0.75</v>
      </c>
    </row>
    <row r="643" spans="1:10" ht="26.25" customHeight="1" thickTop="1" x14ac:dyDescent="0.3">
      <c r="A643" s="647"/>
      <c r="B643" s="647"/>
      <c r="C643" s="647"/>
      <c r="D643" s="647"/>
      <c r="E643" s="647"/>
      <c r="F643" s="647"/>
      <c r="G643" s="647"/>
      <c r="H643" s="647"/>
      <c r="I643" s="647"/>
      <c r="J643" s="647"/>
    </row>
    <row r="644" spans="1:10" s="358" customFormat="1" x14ac:dyDescent="0.3">
      <c r="A644" s="516"/>
      <c r="B644" s="517" t="s">
        <v>15</v>
      </c>
      <c r="C644" s="516" t="s">
        <v>16</v>
      </c>
      <c r="D644" s="516" t="s">
        <v>17</v>
      </c>
      <c r="E644" s="904" t="s">
        <v>2431</v>
      </c>
      <c r="F644" s="904"/>
      <c r="G644" s="518" t="s">
        <v>18</v>
      </c>
      <c r="H644" s="517" t="s">
        <v>19</v>
      </c>
      <c r="I644" s="517" t="s">
        <v>20</v>
      </c>
      <c r="J644" s="517" t="s">
        <v>23</v>
      </c>
    </row>
    <row r="645" spans="1:10" ht="14.25" customHeight="1" x14ac:dyDescent="0.3">
      <c r="A645" s="642" t="s">
        <v>2432</v>
      </c>
      <c r="B645" s="643" t="s">
        <v>192</v>
      </c>
      <c r="C645" s="642" t="s">
        <v>32</v>
      </c>
      <c r="D645" s="642" t="s">
        <v>4474</v>
      </c>
      <c r="E645" s="906" t="s">
        <v>2850</v>
      </c>
      <c r="F645" s="906"/>
      <c r="G645" s="644" t="s">
        <v>194</v>
      </c>
      <c r="H645" s="645">
        <v>1</v>
      </c>
      <c r="I645" s="646">
        <v>9.66</v>
      </c>
      <c r="J645" s="646">
        <v>9.66</v>
      </c>
    </row>
    <row r="646" spans="1:10" s="358" customFormat="1" ht="25" x14ac:dyDescent="0.3">
      <c r="A646" s="519" t="s">
        <v>2434</v>
      </c>
      <c r="B646" s="520" t="s">
        <v>2627</v>
      </c>
      <c r="C646" s="519" t="s">
        <v>32</v>
      </c>
      <c r="D646" s="519" t="s">
        <v>2628</v>
      </c>
      <c r="E646" s="905" t="s">
        <v>2433</v>
      </c>
      <c r="F646" s="905"/>
      <c r="G646" s="521" t="s">
        <v>1901</v>
      </c>
      <c r="H646" s="522">
        <v>0.11840000000000001</v>
      </c>
      <c r="I646" s="523">
        <v>24.12</v>
      </c>
      <c r="J646" s="523">
        <v>2.85</v>
      </c>
    </row>
    <row r="647" spans="1:10" ht="25" x14ac:dyDescent="0.3">
      <c r="A647" s="519" t="s">
        <v>2434</v>
      </c>
      <c r="B647" s="520" t="s">
        <v>2618</v>
      </c>
      <c r="C647" s="519" t="s">
        <v>32</v>
      </c>
      <c r="D647" s="519" t="s">
        <v>2619</v>
      </c>
      <c r="E647" s="905" t="s">
        <v>2433</v>
      </c>
      <c r="F647" s="905"/>
      <c r="G647" s="521" t="s">
        <v>1901</v>
      </c>
      <c r="H647" s="522">
        <v>0.11840000000000001</v>
      </c>
      <c r="I647" s="523">
        <v>30.71</v>
      </c>
      <c r="J647" s="523">
        <v>3.63</v>
      </c>
    </row>
    <row r="648" spans="1:10" s="358" customFormat="1" ht="25.5" customHeight="1" x14ac:dyDescent="0.3">
      <c r="A648" s="519" t="s">
        <v>2434</v>
      </c>
      <c r="B648" s="520" t="s">
        <v>2629</v>
      </c>
      <c r="C648" s="519" t="s">
        <v>32</v>
      </c>
      <c r="D648" s="519" t="s">
        <v>2630</v>
      </c>
      <c r="E648" s="905" t="s">
        <v>2465</v>
      </c>
      <c r="F648" s="905"/>
      <c r="G648" s="521" t="s">
        <v>103</v>
      </c>
      <c r="H648" s="522">
        <v>5.0000000000000001E-4</v>
      </c>
      <c r="I648" s="523">
        <v>26.94</v>
      </c>
      <c r="J648" s="523">
        <v>0.01</v>
      </c>
    </row>
    <row r="649" spans="1:10" ht="25.5" customHeight="1" x14ac:dyDescent="0.3">
      <c r="A649" s="519" t="s">
        <v>2434</v>
      </c>
      <c r="B649" s="520" t="s">
        <v>2631</v>
      </c>
      <c r="C649" s="519" t="s">
        <v>32</v>
      </c>
      <c r="D649" s="519" t="s">
        <v>2632</v>
      </c>
      <c r="E649" s="905" t="s">
        <v>2465</v>
      </c>
      <c r="F649" s="905"/>
      <c r="G649" s="521" t="s">
        <v>110</v>
      </c>
      <c r="H649" s="522">
        <v>2.0999999999999999E-3</v>
      </c>
      <c r="I649" s="523">
        <v>25.9</v>
      </c>
      <c r="J649" s="523">
        <v>0.05</v>
      </c>
    </row>
    <row r="650" spans="1:10" s="358" customFormat="1" ht="25" x14ac:dyDescent="0.3">
      <c r="A650" s="519" t="s">
        <v>2434</v>
      </c>
      <c r="B650" s="520" t="s">
        <v>526</v>
      </c>
      <c r="C650" s="519" t="s">
        <v>32</v>
      </c>
      <c r="D650" s="519" t="s">
        <v>4442</v>
      </c>
      <c r="E650" s="905" t="s">
        <v>2617</v>
      </c>
      <c r="F650" s="905"/>
      <c r="G650" s="521" t="s">
        <v>118</v>
      </c>
      <c r="H650" s="522">
        <v>5.0000000000000001E-4</v>
      </c>
      <c r="I650" s="523">
        <v>3512.27</v>
      </c>
      <c r="J650" s="523">
        <v>1.75</v>
      </c>
    </row>
    <row r="651" spans="1:10" ht="37.5" x14ac:dyDescent="0.3">
      <c r="A651" s="519" t="s">
        <v>2437</v>
      </c>
      <c r="B651" s="520" t="s">
        <v>2626</v>
      </c>
      <c r="C651" s="519" t="s">
        <v>32</v>
      </c>
      <c r="D651" s="519" t="s">
        <v>4250</v>
      </c>
      <c r="E651" s="905" t="s">
        <v>2442</v>
      </c>
      <c r="F651" s="905"/>
      <c r="G651" s="521" t="s">
        <v>194</v>
      </c>
      <c r="H651" s="522">
        <v>4.1300000000000003E-2</v>
      </c>
      <c r="I651" s="523">
        <v>7.05</v>
      </c>
      <c r="J651" s="523">
        <v>0.28999999999999998</v>
      </c>
    </row>
    <row r="652" spans="1:10" ht="37.5" x14ac:dyDescent="0.3">
      <c r="A652" s="519" t="s">
        <v>2437</v>
      </c>
      <c r="B652" s="520" t="s">
        <v>2636</v>
      </c>
      <c r="C652" s="519" t="s">
        <v>32</v>
      </c>
      <c r="D652" s="519" t="s">
        <v>4252</v>
      </c>
      <c r="E652" s="905" t="s">
        <v>2442</v>
      </c>
      <c r="F652" s="905"/>
      <c r="G652" s="521" t="s">
        <v>194</v>
      </c>
      <c r="H652" s="522">
        <v>4.1300000000000003E-2</v>
      </c>
      <c r="I652" s="523">
        <v>25.36</v>
      </c>
      <c r="J652" s="523">
        <v>1.04</v>
      </c>
    </row>
    <row r="653" spans="1:10" x14ac:dyDescent="0.3">
      <c r="A653" s="519" t="s">
        <v>2437</v>
      </c>
      <c r="B653" s="520" t="s">
        <v>2912</v>
      </c>
      <c r="C653" s="519" t="s">
        <v>32</v>
      </c>
      <c r="D653" s="519" t="s">
        <v>2913</v>
      </c>
      <c r="E653" s="905" t="s">
        <v>2442</v>
      </c>
      <c r="F653" s="905"/>
      <c r="G653" s="521" t="s">
        <v>1369</v>
      </c>
      <c r="H653" s="522">
        <v>6.9999999999999999E-4</v>
      </c>
      <c r="I653" s="523">
        <v>19.84</v>
      </c>
      <c r="J653" s="523">
        <v>0.01</v>
      </c>
    </row>
    <row r="654" spans="1:10" ht="14.5" thickBot="1" x14ac:dyDescent="0.35">
      <c r="A654" s="519" t="s">
        <v>2437</v>
      </c>
      <c r="B654" s="520" t="s">
        <v>3284</v>
      </c>
      <c r="C654" s="519" t="s">
        <v>32</v>
      </c>
      <c r="D654" s="519" t="s">
        <v>3285</v>
      </c>
      <c r="E654" s="905" t="s">
        <v>2442</v>
      </c>
      <c r="F654" s="905"/>
      <c r="G654" s="521" t="s">
        <v>2900</v>
      </c>
      <c r="H654" s="522">
        <v>1.1000000000000001E-3</v>
      </c>
      <c r="I654" s="523">
        <v>31.77</v>
      </c>
      <c r="J654" s="523">
        <v>0.03</v>
      </c>
    </row>
    <row r="655" spans="1:10" s="358" customFormat="1" ht="14.5" thickTop="1" x14ac:dyDescent="0.3">
      <c r="A655" s="647"/>
      <c r="B655" s="647"/>
      <c r="C655" s="647"/>
      <c r="D655" s="647"/>
      <c r="E655" s="647"/>
      <c r="F655" s="647"/>
      <c r="G655" s="647"/>
      <c r="H655" s="647"/>
      <c r="I655" s="647"/>
      <c r="J655" s="647"/>
    </row>
    <row r="656" spans="1:10" x14ac:dyDescent="0.3">
      <c r="A656" s="516"/>
      <c r="B656" s="517" t="s">
        <v>15</v>
      </c>
      <c r="C656" s="516" t="s">
        <v>16</v>
      </c>
      <c r="D656" s="516" t="s">
        <v>17</v>
      </c>
      <c r="E656" s="904" t="s">
        <v>2431</v>
      </c>
      <c r="F656" s="904"/>
      <c r="G656" s="518" t="s">
        <v>18</v>
      </c>
      <c r="H656" s="517" t="s">
        <v>19</v>
      </c>
      <c r="I656" s="517" t="s">
        <v>20</v>
      </c>
      <c r="J656" s="517" t="s">
        <v>23</v>
      </c>
    </row>
    <row r="657" spans="1:10" s="358" customFormat="1" ht="25" x14ac:dyDescent="0.3">
      <c r="A657" s="642" t="s">
        <v>2432</v>
      </c>
      <c r="B657" s="643" t="s">
        <v>196</v>
      </c>
      <c r="C657" s="642" t="s">
        <v>197</v>
      </c>
      <c r="D657" s="642" t="s">
        <v>198</v>
      </c>
      <c r="E657" s="906" t="s">
        <v>1328</v>
      </c>
      <c r="F657" s="906"/>
      <c r="G657" s="644" t="s">
        <v>115</v>
      </c>
      <c r="H657" s="645">
        <v>1</v>
      </c>
      <c r="I657" s="646">
        <v>17.21</v>
      </c>
      <c r="J657" s="646">
        <v>17.21</v>
      </c>
    </row>
    <row r="658" spans="1:10" ht="25" x14ac:dyDescent="0.3">
      <c r="A658" s="519" t="s">
        <v>2434</v>
      </c>
      <c r="B658" s="520" t="s">
        <v>2561</v>
      </c>
      <c r="C658" s="519" t="s">
        <v>32</v>
      </c>
      <c r="D658" s="519" t="s">
        <v>2562</v>
      </c>
      <c r="E658" s="905" t="s">
        <v>2433</v>
      </c>
      <c r="F658" s="905"/>
      <c r="G658" s="521" t="s">
        <v>1901</v>
      </c>
      <c r="H658" s="522">
        <v>0.12</v>
      </c>
      <c r="I658" s="523">
        <v>23.4</v>
      </c>
      <c r="J658" s="523">
        <v>2.8</v>
      </c>
    </row>
    <row r="659" spans="1:10" ht="25" x14ac:dyDescent="0.3">
      <c r="A659" s="519" t="s">
        <v>2434</v>
      </c>
      <c r="B659" s="520" t="s">
        <v>2618</v>
      </c>
      <c r="C659" s="519" t="s">
        <v>32</v>
      </c>
      <c r="D659" s="519" t="s">
        <v>2619</v>
      </c>
      <c r="E659" s="905" t="s">
        <v>2433</v>
      </c>
      <c r="F659" s="905"/>
      <c r="G659" s="521" t="s">
        <v>1901</v>
      </c>
      <c r="H659" s="522">
        <v>0.12</v>
      </c>
      <c r="I659" s="523">
        <v>30.71</v>
      </c>
      <c r="J659" s="523">
        <v>3.68</v>
      </c>
    </row>
    <row r="660" spans="1:10" ht="25" x14ac:dyDescent="0.3">
      <c r="A660" s="519" t="s">
        <v>2437</v>
      </c>
      <c r="B660" s="520" t="s">
        <v>2851</v>
      </c>
      <c r="C660" s="519" t="s">
        <v>32</v>
      </c>
      <c r="D660" s="519" t="s">
        <v>2852</v>
      </c>
      <c r="E660" s="905" t="s">
        <v>2442</v>
      </c>
      <c r="F660" s="905"/>
      <c r="G660" s="521" t="s">
        <v>118</v>
      </c>
      <c r="H660" s="522">
        <v>6.0000000000000001E-3</v>
      </c>
      <c r="I660" s="523">
        <v>1751.07</v>
      </c>
      <c r="J660" s="523">
        <v>10.5</v>
      </c>
    </row>
    <row r="661" spans="1:10" ht="14.5" thickBot="1" x14ac:dyDescent="0.35">
      <c r="A661" s="519" t="s">
        <v>2437</v>
      </c>
      <c r="B661" s="520" t="s">
        <v>2637</v>
      </c>
      <c r="C661" s="519" t="s">
        <v>32</v>
      </c>
      <c r="D661" s="519" t="s">
        <v>2638</v>
      </c>
      <c r="E661" s="905" t="s">
        <v>2442</v>
      </c>
      <c r="F661" s="905"/>
      <c r="G661" s="521" t="s">
        <v>1369</v>
      </c>
      <c r="H661" s="522">
        <v>1.2E-2</v>
      </c>
      <c r="I661" s="523">
        <v>19.5</v>
      </c>
      <c r="J661" s="523">
        <v>0.23</v>
      </c>
    </row>
    <row r="662" spans="1:10" s="358" customFormat="1" ht="14.5" thickTop="1" x14ac:dyDescent="0.3">
      <c r="A662" s="647"/>
      <c r="B662" s="647"/>
      <c r="C662" s="647"/>
      <c r="D662" s="647"/>
      <c r="E662" s="647"/>
      <c r="F662" s="647"/>
      <c r="G662" s="647"/>
      <c r="H662" s="647"/>
      <c r="I662" s="647"/>
      <c r="J662" s="647"/>
    </row>
    <row r="663" spans="1:10" x14ac:dyDescent="0.3">
      <c r="A663" s="516"/>
      <c r="B663" s="517" t="s">
        <v>15</v>
      </c>
      <c r="C663" s="516" t="s">
        <v>16</v>
      </c>
      <c r="D663" s="516" t="s">
        <v>17</v>
      </c>
      <c r="E663" s="904" t="s">
        <v>2431</v>
      </c>
      <c r="F663" s="904"/>
      <c r="G663" s="518" t="s">
        <v>18</v>
      </c>
      <c r="H663" s="517" t="s">
        <v>19</v>
      </c>
      <c r="I663" s="517" t="s">
        <v>20</v>
      </c>
      <c r="J663" s="517" t="s">
        <v>23</v>
      </c>
    </row>
    <row r="664" spans="1:10" s="358" customFormat="1" ht="25" x14ac:dyDescent="0.3">
      <c r="A664" s="642" t="s">
        <v>2432</v>
      </c>
      <c r="B664" s="643" t="s">
        <v>200</v>
      </c>
      <c r="C664" s="642" t="s">
        <v>197</v>
      </c>
      <c r="D664" s="642" t="s">
        <v>201</v>
      </c>
      <c r="E664" s="906" t="s">
        <v>1328</v>
      </c>
      <c r="F664" s="906"/>
      <c r="G664" s="644" t="s">
        <v>115</v>
      </c>
      <c r="H664" s="645">
        <v>1</v>
      </c>
      <c r="I664" s="646">
        <v>11.96</v>
      </c>
      <c r="J664" s="646">
        <v>11.96</v>
      </c>
    </row>
    <row r="665" spans="1:10" ht="25" x14ac:dyDescent="0.3">
      <c r="A665" s="519" t="s">
        <v>2434</v>
      </c>
      <c r="B665" s="520" t="s">
        <v>2561</v>
      </c>
      <c r="C665" s="519" t="s">
        <v>32</v>
      </c>
      <c r="D665" s="519" t="s">
        <v>2562</v>
      </c>
      <c r="E665" s="905" t="s">
        <v>2433</v>
      </c>
      <c r="F665" s="905"/>
      <c r="G665" s="521" t="s">
        <v>1901</v>
      </c>
      <c r="H665" s="522">
        <v>0.12</v>
      </c>
      <c r="I665" s="523">
        <v>23.4</v>
      </c>
      <c r="J665" s="523">
        <v>2.8</v>
      </c>
    </row>
    <row r="666" spans="1:10" ht="25" x14ac:dyDescent="0.3">
      <c r="A666" s="519" t="s">
        <v>2434</v>
      </c>
      <c r="B666" s="520" t="s">
        <v>2618</v>
      </c>
      <c r="C666" s="519" t="s">
        <v>32</v>
      </c>
      <c r="D666" s="519" t="s">
        <v>2619</v>
      </c>
      <c r="E666" s="905" t="s">
        <v>2433</v>
      </c>
      <c r="F666" s="905"/>
      <c r="G666" s="521" t="s">
        <v>1901</v>
      </c>
      <c r="H666" s="522">
        <v>0.12</v>
      </c>
      <c r="I666" s="523">
        <v>30.71</v>
      </c>
      <c r="J666" s="523">
        <v>3.68</v>
      </c>
    </row>
    <row r="667" spans="1:10" ht="25" x14ac:dyDescent="0.3">
      <c r="A667" s="519" t="s">
        <v>2437</v>
      </c>
      <c r="B667" s="520" t="s">
        <v>2851</v>
      </c>
      <c r="C667" s="519" t="s">
        <v>32</v>
      </c>
      <c r="D667" s="519" t="s">
        <v>2852</v>
      </c>
      <c r="E667" s="905" t="s">
        <v>2442</v>
      </c>
      <c r="F667" s="905"/>
      <c r="G667" s="521" t="s">
        <v>118</v>
      </c>
      <c r="H667" s="522">
        <v>3.0000000000000001E-3</v>
      </c>
      <c r="I667" s="523">
        <v>1751.07</v>
      </c>
      <c r="J667" s="523">
        <v>5.25</v>
      </c>
    </row>
    <row r="668" spans="1:10" s="358" customFormat="1" ht="14.5" thickBot="1" x14ac:dyDescent="0.35">
      <c r="A668" s="519" t="s">
        <v>2437</v>
      </c>
      <c r="B668" s="520" t="s">
        <v>2637</v>
      </c>
      <c r="C668" s="519" t="s">
        <v>32</v>
      </c>
      <c r="D668" s="519" t="s">
        <v>2638</v>
      </c>
      <c r="E668" s="905" t="s">
        <v>2442</v>
      </c>
      <c r="F668" s="905"/>
      <c r="G668" s="521" t="s">
        <v>1369</v>
      </c>
      <c r="H668" s="522">
        <v>1.2E-2</v>
      </c>
      <c r="I668" s="523">
        <v>19.5</v>
      </c>
      <c r="J668" s="523">
        <v>0.23</v>
      </c>
    </row>
    <row r="669" spans="1:10" ht="14.5" thickTop="1" x14ac:dyDescent="0.3">
      <c r="A669" s="647"/>
      <c r="B669" s="647"/>
      <c r="C669" s="647"/>
      <c r="D669" s="647"/>
      <c r="E669" s="647"/>
      <c r="F669" s="647"/>
      <c r="G669" s="647"/>
      <c r="H669" s="647"/>
      <c r="I669" s="647"/>
      <c r="J669" s="647"/>
    </row>
    <row r="670" spans="1:10" s="358" customFormat="1" x14ac:dyDescent="0.3">
      <c r="A670" s="516"/>
      <c r="B670" s="517" t="s">
        <v>15</v>
      </c>
      <c r="C670" s="516" t="s">
        <v>16</v>
      </c>
      <c r="D670" s="516" t="s">
        <v>17</v>
      </c>
      <c r="E670" s="904" t="s">
        <v>2431</v>
      </c>
      <c r="F670" s="904"/>
      <c r="G670" s="518" t="s">
        <v>18</v>
      </c>
      <c r="H670" s="517" t="s">
        <v>19</v>
      </c>
      <c r="I670" s="517" t="s">
        <v>20</v>
      </c>
      <c r="J670" s="517" t="s">
        <v>23</v>
      </c>
    </row>
    <row r="671" spans="1:10" ht="25" x14ac:dyDescent="0.3">
      <c r="A671" s="642" t="s">
        <v>2432</v>
      </c>
      <c r="B671" s="643" t="s">
        <v>203</v>
      </c>
      <c r="C671" s="642" t="s">
        <v>197</v>
      </c>
      <c r="D671" s="642" t="s">
        <v>4475</v>
      </c>
      <c r="E671" s="906" t="s">
        <v>1328</v>
      </c>
      <c r="F671" s="906"/>
      <c r="G671" s="644" t="s">
        <v>194</v>
      </c>
      <c r="H671" s="645">
        <v>1</v>
      </c>
      <c r="I671" s="646">
        <v>3.25</v>
      </c>
      <c r="J671" s="646">
        <v>3.25</v>
      </c>
    </row>
    <row r="672" spans="1:10" ht="25" x14ac:dyDescent="0.3">
      <c r="A672" s="519" t="s">
        <v>2434</v>
      </c>
      <c r="B672" s="520" t="s">
        <v>2561</v>
      </c>
      <c r="C672" s="519" t="s">
        <v>32</v>
      </c>
      <c r="D672" s="519" t="s">
        <v>2562</v>
      </c>
      <c r="E672" s="905" t="s">
        <v>2433</v>
      </c>
      <c r="F672" s="905"/>
      <c r="G672" s="521" t="s">
        <v>1901</v>
      </c>
      <c r="H672" s="522">
        <v>8.3299999999999999E-2</v>
      </c>
      <c r="I672" s="523">
        <v>23.4</v>
      </c>
      <c r="J672" s="523">
        <v>1.94</v>
      </c>
    </row>
    <row r="673" spans="1:10" ht="25" x14ac:dyDescent="0.3">
      <c r="A673" s="519" t="s">
        <v>2437</v>
      </c>
      <c r="B673" s="520" t="s">
        <v>2853</v>
      </c>
      <c r="C673" s="519" t="s">
        <v>32</v>
      </c>
      <c r="D673" s="519" t="s">
        <v>2854</v>
      </c>
      <c r="E673" s="905" t="s">
        <v>2442</v>
      </c>
      <c r="F673" s="905"/>
      <c r="G673" s="521" t="s">
        <v>194</v>
      </c>
      <c r="H673" s="522">
        <v>0.1</v>
      </c>
      <c r="I673" s="523">
        <v>2.48</v>
      </c>
      <c r="J673" s="523">
        <v>0.24</v>
      </c>
    </row>
    <row r="674" spans="1:10" s="358" customFormat="1" ht="14.5" thickBot="1" x14ac:dyDescent="0.35">
      <c r="A674" s="519" t="s">
        <v>2437</v>
      </c>
      <c r="B674" s="520" t="s">
        <v>4476</v>
      </c>
      <c r="C674" s="519" t="s">
        <v>197</v>
      </c>
      <c r="D674" s="519" t="s">
        <v>2855</v>
      </c>
      <c r="E674" s="905" t="s">
        <v>2442</v>
      </c>
      <c r="F674" s="905"/>
      <c r="G674" s="521" t="s">
        <v>89</v>
      </c>
      <c r="H674" s="522">
        <v>6.3720000000000001E-3</v>
      </c>
      <c r="I674" s="523">
        <v>169.1</v>
      </c>
      <c r="J674" s="523">
        <v>1.07</v>
      </c>
    </row>
    <row r="675" spans="1:10" ht="14.5" thickTop="1" x14ac:dyDescent="0.3">
      <c r="A675" s="647"/>
      <c r="B675" s="647"/>
      <c r="C675" s="647"/>
      <c r="D675" s="647"/>
      <c r="E675" s="647"/>
      <c r="F675" s="647"/>
      <c r="G675" s="647"/>
      <c r="H675" s="647"/>
      <c r="I675" s="647"/>
      <c r="J675" s="647"/>
    </row>
    <row r="676" spans="1:10" s="358" customFormat="1" x14ac:dyDescent="0.3">
      <c r="A676" s="516"/>
      <c r="B676" s="517" t="s">
        <v>15</v>
      </c>
      <c r="C676" s="516" t="s">
        <v>16</v>
      </c>
      <c r="D676" s="516" t="s">
        <v>17</v>
      </c>
      <c r="E676" s="904" t="s">
        <v>2431</v>
      </c>
      <c r="F676" s="904"/>
      <c r="G676" s="518" t="s">
        <v>18</v>
      </c>
      <c r="H676" s="517" t="s">
        <v>19</v>
      </c>
      <c r="I676" s="517" t="s">
        <v>20</v>
      </c>
      <c r="J676" s="517" t="s">
        <v>23</v>
      </c>
    </row>
    <row r="677" spans="1:10" ht="14.25" customHeight="1" x14ac:dyDescent="0.3">
      <c r="A677" s="642" t="s">
        <v>2432</v>
      </c>
      <c r="B677" s="643" t="s">
        <v>206</v>
      </c>
      <c r="C677" s="642" t="s">
        <v>197</v>
      </c>
      <c r="D677" s="642" t="s">
        <v>4477</v>
      </c>
      <c r="E677" s="906" t="s">
        <v>1328</v>
      </c>
      <c r="F677" s="906"/>
      <c r="G677" s="644" t="s">
        <v>89</v>
      </c>
      <c r="H677" s="645">
        <v>1</v>
      </c>
      <c r="I677" s="646">
        <v>2.76</v>
      </c>
      <c r="J677" s="646">
        <v>2.76</v>
      </c>
    </row>
    <row r="678" spans="1:10" ht="14.25" customHeight="1" x14ac:dyDescent="0.3">
      <c r="A678" s="519" t="s">
        <v>2434</v>
      </c>
      <c r="B678" s="520" t="s">
        <v>2857</v>
      </c>
      <c r="C678" s="519" t="s">
        <v>32</v>
      </c>
      <c r="D678" s="519" t="s">
        <v>2858</v>
      </c>
      <c r="E678" s="905" t="s">
        <v>2433</v>
      </c>
      <c r="F678" s="905"/>
      <c r="G678" s="521" t="s">
        <v>1901</v>
      </c>
      <c r="H678" s="522">
        <v>0.04</v>
      </c>
      <c r="I678" s="523">
        <v>24.65</v>
      </c>
      <c r="J678" s="523">
        <v>0.98</v>
      </c>
    </row>
    <row r="679" spans="1:10" ht="25" x14ac:dyDescent="0.3">
      <c r="A679" s="519" t="s">
        <v>2434</v>
      </c>
      <c r="B679" s="520" t="s">
        <v>2766</v>
      </c>
      <c r="C679" s="519" t="s">
        <v>32</v>
      </c>
      <c r="D679" s="519" t="s">
        <v>2767</v>
      </c>
      <c r="E679" s="905" t="s">
        <v>2433</v>
      </c>
      <c r="F679" s="905"/>
      <c r="G679" s="521" t="s">
        <v>1901</v>
      </c>
      <c r="H679" s="522">
        <v>0.02</v>
      </c>
      <c r="I679" s="523">
        <v>31.49</v>
      </c>
      <c r="J679" s="523">
        <v>0.62</v>
      </c>
    </row>
    <row r="680" spans="1:10" ht="14.25" customHeight="1" thickBot="1" x14ac:dyDescent="0.35">
      <c r="A680" s="519" t="s">
        <v>2437</v>
      </c>
      <c r="B680" s="520" t="s">
        <v>4478</v>
      </c>
      <c r="C680" s="519" t="s">
        <v>197</v>
      </c>
      <c r="D680" s="519" t="s">
        <v>2859</v>
      </c>
      <c r="E680" s="905" t="s">
        <v>2442</v>
      </c>
      <c r="F680" s="905"/>
      <c r="G680" s="521" t="s">
        <v>89</v>
      </c>
      <c r="H680" s="522">
        <v>6.3720000000000001E-3</v>
      </c>
      <c r="I680" s="523">
        <v>182.31</v>
      </c>
      <c r="J680" s="523">
        <v>1.1599999999999999</v>
      </c>
    </row>
    <row r="681" spans="1:10" ht="14.25" customHeight="1" thickTop="1" x14ac:dyDescent="0.3">
      <c r="A681" s="647"/>
      <c r="B681" s="647"/>
      <c r="C681" s="647"/>
      <c r="D681" s="647"/>
      <c r="E681" s="647"/>
      <c r="F681" s="647"/>
      <c r="G681" s="647"/>
      <c r="H681" s="647"/>
      <c r="I681" s="647"/>
      <c r="J681" s="647"/>
    </row>
    <row r="682" spans="1:10" ht="15" customHeight="1" x14ac:dyDescent="0.3">
      <c r="A682" s="516"/>
      <c r="B682" s="517" t="s">
        <v>15</v>
      </c>
      <c r="C682" s="516" t="s">
        <v>16</v>
      </c>
      <c r="D682" s="516" t="s">
        <v>17</v>
      </c>
      <c r="E682" s="904" t="s">
        <v>2431</v>
      </c>
      <c r="F682" s="904"/>
      <c r="G682" s="518" t="s">
        <v>18</v>
      </c>
      <c r="H682" s="517" t="s">
        <v>19</v>
      </c>
      <c r="I682" s="517" t="s">
        <v>20</v>
      </c>
      <c r="J682" s="517" t="s">
        <v>23</v>
      </c>
    </row>
    <row r="683" spans="1:10" ht="25" x14ac:dyDescent="0.3">
      <c r="A683" s="642" t="s">
        <v>2432</v>
      </c>
      <c r="B683" s="643" t="s">
        <v>209</v>
      </c>
      <c r="C683" s="642" t="s">
        <v>125</v>
      </c>
      <c r="D683" s="642" t="s">
        <v>4479</v>
      </c>
      <c r="E683" s="906" t="s">
        <v>1328</v>
      </c>
      <c r="F683" s="906"/>
      <c r="G683" s="644" t="s">
        <v>210</v>
      </c>
      <c r="H683" s="645">
        <v>1</v>
      </c>
      <c r="I683" s="646">
        <v>1.96</v>
      </c>
      <c r="J683" s="646">
        <v>1.96</v>
      </c>
    </row>
    <row r="684" spans="1:10" ht="14.25" customHeight="1" x14ac:dyDescent="0.3">
      <c r="A684" s="902"/>
      <c r="B684" s="902"/>
      <c r="C684" s="902"/>
      <c r="D684" s="902"/>
      <c r="E684" s="902"/>
      <c r="F684" s="902" t="s">
        <v>2476</v>
      </c>
      <c r="G684" s="902"/>
      <c r="H684" s="902"/>
      <c r="I684" s="525">
        <v>0</v>
      </c>
      <c r="J684"/>
    </row>
    <row r="685" spans="1:10" ht="15" customHeight="1" x14ac:dyDescent="0.3">
      <c r="A685" s="902"/>
      <c r="B685" s="902"/>
      <c r="C685" s="902"/>
      <c r="D685" s="902"/>
      <c r="E685" s="902"/>
      <c r="F685" s="902" t="s">
        <v>2477</v>
      </c>
      <c r="G685" s="902"/>
      <c r="H685" s="902"/>
      <c r="I685" s="525">
        <v>0</v>
      </c>
      <c r="J685"/>
    </row>
    <row r="686" spans="1:10" x14ac:dyDescent="0.3">
      <c r="A686" s="902"/>
      <c r="B686" s="902"/>
      <c r="C686" s="902"/>
      <c r="D686" s="902"/>
      <c r="E686" s="902"/>
      <c r="F686" s="902" t="s">
        <v>2478</v>
      </c>
      <c r="G686" s="902"/>
      <c r="H686" s="902"/>
      <c r="I686" s="525">
        <v>0</v>
      </c>
      <c r="J686"/>
    </row>
    <row r="687" spans="1:10" ht="14.25" customHeight="1" x14ac:dyDescent="0.3">
      <c r="A687" s="902"/>
      <c r="B687" s="902"/>
      <c r="C687" s="902"/>
      <c r="D687" s="902"/>
      <c r="E687" s="902"/>
      <c r="F687" s="902" t="s">
        <v>2479</v>
      </c>
      <c r="G687" s="902"/>
      <c r="H687" s="902"/>
      <c r="I687" s="525">
        <v>1</v>
      </c>
      <c r="J687"/>
    </row>
    <row r="688" spans="1:10" ht="14.25" customHeight="1" x14ac:dyDescent="0.3">
      <c r="A688" s="902"/>
      <c r="B688" s="902"/>
      <c r="C688" s="902"/>
      <c r="D688" s="902"/>
      <c r="E688" s="902"/>
      <c r="F688" s="902" t="s">
        <v>2480</v>
      </c>
      <c r="G688" s="902"/>
      <c r="H688" s="902"/>
      <c r="I688" s="525">
        <v>0</v>
      </c>
      <c r="J688"/>
    </row>
    <row r="689" spans="1:10" ht="15" customHeight="1" x14ac:dyDescent="0.3">
      <c r="A689" s="516" t="s">
        <v>2420</v>
      </c>
      <c r="B689" s="517" t="s">
        <v>16</v>
      </c>
      <c r="C689" s="516" t="s">
        <v>15</v>
      </c>
      <c r="D689" s="516" t="s">
        <v>2442</v>
      </c>
      <c r="E689" s="517" t="s">
        <v>2467</v>
      </c>
      <c r="F689" s="517" t="s">
        <v>2576</v>
      </c>
      <c r="G689" s="903" t="s">
        <v>2577</v>
      </c>
      <c r="H689" s="903"/>
      <c r="I689" s="517" t="s">
        <v>2470</v>
      </c>
      <c r="J689"/>
    </row>
    <row r="690" spans="1:10" ht="25" x14ac:dyDescent="0.3">
      <c r="A690" s="519" t="s">
        <v>2437</v>
      </c>
      <c r="B690" s="520" t="s">
        <v>125</v>
      </c>
      <c r="C690" s="519" t="s">
        <v>2860</v>
      </c>
      <c r="D690" s="519" t="s">
        <v>2861</v>
      </c>
      <c r="E690" s="522">
        <v>1.333E-2</v>
      </c>
      <c r="F690" s="521" t="s">
        <v>600</v>
      </c>
      <c r="G690" s="907">
        <v>0.52810000000000001</v>
      </c>
      <c r="H690" s="907"/>
      <c r="I690" s="524">
        <v>7.0000000000000001E-3</v>
      </c>
      <c r="J690"/>
    </row>
    <row r="691" spans="1:10" ht="14.25" customHeight="1" x14ac:dyDescent="0.3">
      <c r="A691" s="902"/>
      <c r="B691" s="902"/>
      <c r="C691" s="902"/>
      <c r="D691" s="902"/>
      <c r="E691" s="902"/>
      <c r="F691" s="902" t="s">
        <v>2809</v>
      </c>
      <c r="G691" s="902"/>
      <c r="H691" s="902"/>
      <c r="I691" s="525">
        <v>7.0000000000000001E-3</v>
      </c>
      <c r="J691"/>
    </row>
    <row r="692" spans="1:10" ht="15" customHeight="1" x14ac:dyDescent="0.3">
      <c r="A692" s="516" t="s">
        <v>2574</v>
      </c>
      <c r="B692" s="517" t="s">
        <v>16</v>
      </c>
      <c r="C692" s="516" t="s">
        <v>15</v>
      </c>
      <c r="D692" s="516" t="s">
        <v>2575</v>
      </c>
      <c r="E692" s="517" t="s">
        <v>2467</v>
      </c>
      <c r="F692" s="517" t="s">
        <v>2576</v>
      </c>
      <c r="G692" s="903" t="s">
        <v>2577</v>
      </c>
      <c r="H692" s="903"/>
      <c r="I692" s="517" t="s">
        <v>2470</v>
      </c>
      <c r="J692"/>
    </row>
    <row r="693" spans="1:10" ht="14.25" customHeight="1" x14ac:dyDescent="0.3">
      <c r="A693" s="519" t="s">
        <v>2578</v>
      </c>
      <c r="B693" s="520" t="s">
        <v>125</v>
      </c>
      <c r="C693" s="519">
        <v>5213416</v>
      </c>
      <c r="D693" s="519" t="s">
        <v>2862</v>
      </c>
      <c r="E693" s="522">
        <v>1.67E-3</v>
      </c>
      <c r="F693" s="521" t="s">
        <v>115</v>
      </c>
      <c r="G693" s="907">
        <v>405.93</v>
      </c>
      <c r="H693" s="907"/>
      <c r="I693" s="524">
        <v>0.67789999999999995</v>
      </c>
      <c r="J693"/>
    </row>
    <row r="694" spans="1:10" ht="15" customHeight="1" x14ac:dyDescent="0.3">
      <c r="A694" s="519" t="s">
        <v>2578</v>
      </c>
      <c r="B694" s="520" t="s">
        <v>125</v>
      </c>
      <c r="C694" s="519">
        <v>5219544</v>
      </c>
      <c r="D694" s="519" t="s">
        <v>2863</v>
      </c>
      <c r="E694" s="522">
        <v>1.67E-3</v>
      </c>
      <c r="F694" s="521" t="s">
        <v>600</v>
      </c>
      <c r="G694" s="907">
        <v>233.51</v>
      </c>
      <c r="H694" s="907"/>
      <c r="I694" s="524">
        <v>0.39</v>
      </c>
      <c r="J694"/>
    </row>
    <row r="695" spans="1:10" ht="14.25" customHeight="1" x14ac:dyDescent="0.3">
      <c r="A695" s="902"/>
      <c r="B695" s="902"/>
      <c r="C695" s="902"/>
      <c r="D695" s="902"/>
      <c r="E695" s="902"/>
      <c r="F695" s="902" t="s">
        <v>2579</v>
      </c>
      <c r="G695" s="902"/>
      <c r="H695" s="902"/>
      <c r="I695" s="525">
        <v>1.0679000000000001</v>
      </c>
      <c r="J695"/>
    </row>
    <row r="696" spans="1:10" ht="15" customHeight="1" x14ac:dyDescent="0.3">
      <c r="A696" s="516" t="s">
        <v>2580</v>
      </c>
      <c r="B696" s="517" t="s">
        <v>16</v>
      </c>
      <c r="C696" s="516" t="s">
        <v>2437</v>
      </c>
      <c r="D696" s="516" t="s">
        <v>2581</v>
      </c>
      <c r="E696" s="517" t="s">
        <v>15</v>
      </c>
      <c r="F696" s="517" t="s">
        <v>2467</v>
      </c>
      <c r="G696" s="518" t="s">
        <v>2576</v>
      </c>
      <c r="H696" s="517" t="s">
        <v>2577</v>
      </c>
      <c r="I696" s="517" t="s">
        <v>2470</v>
      </c>
      <c r="J696"/>
    </row>
    <row r="697" spans="1:10" ht="25" x14ac:dyDescent="0.3">
      <c r="A697" s="519" t="s">
        <v>2582</v>
      </c>
      <c r="B697" s="520" t="s">
        <v>125</v>
      </c>
      <c r="C697" s="519">
        <v>5219544</v>
      </c>
      <c r="D697" s="519" t="s">
        <v>2838</v>
      </c>
      <c r="E697" s="520">
        <v>5914655</v>
      </c>
      <c r="F697" s="522">
        <v>1.4149999999999999E-2</v>
      </c>
      <c r="G697" s="521" t="s">
        <v>374</v>
      </c>
      <c r="H697" s="524">
        <v>33.159999999999997</v>
      </c>
      <c r="I697" s="524">
        <v>0.46920000000000001</v>
      </c>
      <c r="J697"/>
    </row>
    <row r="698" spans="1:10" ht="25" x14ac:dyDescent="0.3">
      <c r="A698" s="519" t="s">
        <v>2582</v>
      </c>
      <c r="B698" s="520" t="s">
        <v>125</v>
      </c>
      <c r="C698" s="519">
        <v>5213416</v>
      </c>
      <c r="D698" s="519" t="s">
        <v>2838</v>
      </c>
      <c r="E698" s="520">
        <v>5914655</v>
      </c>
      <c r="F698" s="522">
        <v>1.24E-2</v>
      </c>
      <c r="G698" s="521" t="s">
        <v>374</v>
      </c>
      <c r="H698" s="524">
        <v>33.159999999999997</v>
      </c>
      <c r="I698" s="524">
        <v>0.41120000000000001</v>
      </c>
      <c r="J698"/>
    </row>
    <row r="699" spans="1:10" ht="15" customHeight="1" x14ac:dyDescent="0.3">
      <c r="A699" s="519" t="s">
        <v>2582</v>
      </c>
      <c r="B699" s="520" t="s">
        <v>125</v>
      </c>
      <c r="C699" s="519" t="s">
        <v>2860</v>
      </c>
      <c r="D699" s="519" t="s">
        <v>2838</v>
      </c>
      <c r="E699" s="520">
        <v>5914655</v>
      </c>
      <c r="F699" s="522">
        <v>8.0000000000000007E-5</v>
      </c>
      <c r="G699" s="521" t="s">
        <v>374</v>
      </c>
      <c r="H699" s="524">
        <v>33.159999999999997</v>
      </c>
      <c r="I699" s="524">
        <v>2.7000000000000001E-3</v>
      </c>
      <c r="J699"/>
    </row>
    <row r="700" spans="1:10" s="358" customFormat="1" ht="15" customHeight="1" x14ac:dyDescent="0.3">
      <c r="A700" s="902"/>
      <c r="B700" s="902"/>
      <c r="C700" s="902"/>
      <c r="D700" s="902"/>
      <c r="E700" s="902"/>
      <c r="F700" s="902" t="s">
        <v>2585</v>
      </c>
      <c r="G700" s="902"/>
      <c r="H700" s="902"/>
      <c r="I700" s="525">
        <v>0.8831</v>
      </c>
      <c r="J700"/>
    </row>
    <row r="701" spans="1:10" ht="15" customHeight="1" x14ac:dyDescent="0.3">
      <c r="A701" s="516" t="s">
        <v>2586</v>
      </c>
      <c r="B701" s="517" t="s">
        <v>16</v>
      </c>
      <c r="C701" s="516" t="s">
        <v>2437</v>
      </c>
      <c r="D701" s="516" t="s">
        <v>2587</v>
      </c>
      <c r="E701" s="517" t="s">
        <v>2467</v>
      </c>
      <c r="F701" s="517" t="s">
        <v>2576</v>
      </c>
      <c r="G701" s="908" t="s">
        <v>2588</v>
      </c>
      <c r="H701" s="903"/>
      <c r="I701" s="517" t="s">
        <v>2470</v>
      </c>
      <c r="J701"/>
    </row>
    <row r="702" spans="1:10" s="358" customFormat="1" x14ac:dyDescent="0.3">
      <c r="A702" s="518"/>
      <c r="B702" s="518"/>
      <c r="C702" s="518"/>
      <c r="D702" s="518"/>
      <c r="E702" s="518"/>
      <c r="F702" s="518"/>
      <c r="G702" s="518" t="s">
        <v>2589</v>
      </c>
      <c r="H702" s="518" t="s">
        <v>2590</v>
      </c>
      <c r="I702" s="518"/>
      <c r="J702"/>
    </row>
    <row r="703" spans="1:10" ht="14.25" customHeight="1" x14ac:dyDescent="0.3">
      <c r="A703" s="519" t="s">
        <v>2587</v>
      </c>
      <c r="B703" s="520" t="s">
        <v>125</v>
      </c>
      <c r="C703" s="519">
        <v>5219544</v>
      </c>
      <c r="D703" s="519" t="s">
        <v>2864</v>
      </c>
      <c r="E703" s="522">
        <v>1.4149999999999999E-2</v>
      </c>
      <c r="F703" s="521" t="s">
        <v>2592</v>
      </c>
      <c r="G703" s="520" t="s">
        <v>4472</v>
      </c>
      <c r="H703" s="520" t="s">
        <v>4473</v>
      </c>
      <c r="I703" s="524">
        <v>0</v>
      </c>
      <c r="J703"/>
    </row>
    <row r="704" spans="1:10" ht="14.25" customHeight="1" x14ac:dyDescent="0.3">
      <c r="A704" s="519" t="s">
        <v>2587</v>
      </c>
      <c r="B704" s="520" t="s">
        <v>125</v>
      </c>
      <c r="C704" s="519">
        <v>5213416</v>
      </c>
      <c r="D704" s="519" t="s">
        <v>2865</v>
      </c>
      <c r="E704" s="522">
        <v>1.24E-2</v>
      </c>
      <c r="F704" s="521" t="s">
        <v>2592</v>
      </c>
      <c r="G704" s="520" t="s">
        <v>4472</v>
      </c>
      <c r="H704" s="520" t="s">
        <v>4473</v>
      </c>
      <c r="I704" s="524">
        <v>0</v>
      </c>
      <c r="J704"/>
    </row>
    <row r="705" spans="1:10" ht="37.5" x14ac:dyDescent="0.3">
      <c r="A705" s="519" t="s">
        <v>2587</v>
      </c>
      <c r="B705" s="520" t="s">
        <v>125</v>
      </c>
      <c r="C705" s="519" t="s">
        <v>2860</v>
      </c>
      <c r="D705" s="519" t="s">
        <v>2866</v>
      </c>
      <c r="E705" s="522">
        <v>8.0000000000000007E-5</v>
      </c>
      <c r="F705" s="521" t="s">
        <v>2592</v>
      </c>
      <c r="G705" s="520" t="s">
        <v>4472</v>
      </c>
      <c r="H705" s="520" t="s">
        <v>4473</v>
      </c>
      <c r="I705" s="524">
        <v>0</v>
      </c>
      <c r="J705"/>
    </row>
    <row r="706" spans="1:10" ht="14.25" customHeight="1" thickBot="1" x14ac:dyDescent="0.35">
      <c r="A706" s="902"/>
      <c r="B706" s="902"/>
      <c r="C706" s="902"/>
      <c r="D706" s="902"/>
      <c r="E706" s="902"/>
      <c r="F706" s="902" t="s">
        <v>2593</v>
      </c>
      <c r="G706" s="902"/>
      <c r="H706" s="902"/>
      <c r="I706" s="525">
        <v>0</v>
      </c>
      <c r="J706"/>
    </row>
    <row r="707" spans="1:10" ht="14.25" customHeight="1" thickTop="1" x14ac:dyDescent="0.3">
      <c r="A707" s="647"/>
      <c r="B707" s="647"/>
      <c r="C707" s="647"/>
      <c r="D707" s="647"/>
      <c r="E707" s="647"/>
      <c r="F707" s="647"/>
      <c r="G707" s="647"/>
      <c r="H707" s="647"/>
      <c r="I707" s="647"/>
      <c r="J707" s="647"/>
    </row>
    <row r="708" spans="1:10" ht="15" customHeight="1" x14ac:dyDescent="0.3">
      <c r="A708" s="516"/>
      <c r="B708" s="517" t="s">
        <v>15</v>
      </c>
      <c r="C708" s="516" t="s">
        <v>16</v>
      </c>
      <c r="D708" s="516" t="s">
        <v>17</v>
      </c>
      <c r="E708" s="904" t="s">
        <v>2431</v>
      </c>
      <c r="F708" s="904"/>
      <c r="G708" s="518" t="s">
        <v>18</v>
      </c>
      <c r="H708" s="517" t="s">
        <v>19</v>
      </c>
      <c r="I708" s="517" t="s">
        <v>20</v>
      </c>
      <c r="J708" s="517" t="s">
        <v>23</v>
      </c>
    </row>
    <row r="709" spans="1:10" ht="37.5" x14ac:dyDescent="0.3">
      <c r="A709" s="642" t="s">
        <v>2432</v>
      </c>
      <c r="B709" s="643" t="s">
        <v>212</v>
      </c>
      <c r="C709" s="642" t="s">
        <v>125</v>
      </c>
      <c r="D709" s="642" t="s">
        <v>4480</v>
      </c>
      <c r="E709" s="906" t="s">
        <v>1328</v>
      </c>
      <c r="F709" s="906"/>
      <c r="G709" s="644" t="s">
        <v>210</v>
      </c>
      <c r="H709" s="645">
        <v>1</v>
      </c>
      <c r="I709" s="646">
        <v>3.95</v>
      </c>
      <c r="J709" s="646">
        <v>3.95</v>
      </c>
    </row>
    <row r="710" spans="1:10" ht="14.25" customHeight="1" x14ac:dyDescent="0.3">
      <c r="A710" s="902"/>
      <c r="B710" s="902"/>
      <c r="C710" s="902"/>
      <c r="D710" s="902"/>
      <c r="E710" s="902"/>
      <c r="F710" s="902" t="s">
        <v>2476</v>
      </c>
      <c r="G710" s="902"/>
      <c r="H710" s="902"/>
      <c r="I710" s="525">
        <v>0</v>
      </c>
      <c r="J710"/>
    </row>
    <row r="711" spans="1:10" ht="15" customHeight="1" x14ac:dyDescent="0.3">
      <c r="A711" s="902"/>
      <c r="B711" s="902"/>
      <c r="C711" s="902"/>
      <c r="D711" s="902"/>
      <c r="E711" s="902"/>
      <c r="F711" s="902" t="s">
        <v>2477</v>
      </c>
      <c r="G711" s="902"/>
      <c r="H711" s="902"/>
      <c r="I711" s="525">
        <v>0</v>
      </c>
      <c r="J711"/>
    </row>
    <row r="712" spans="1:10" x14ac:dyDescent="0.3">
      <c r="A712" s="902"/>
      <c r="B712" s="902"/>
      <c r="C712" s="902"/>
      <c r="D712" s="902"/>
      <c r="E712" s="902"/>
      <c r="F712" s="902" t="s">
        <v>2478</v>
      </c>
      <c r="G712" s="902"/>
      <c r="H712" s="902"/>
      <c r="I712" s="525">
        <v>0</v>
      </c>
      <c r="J712"/>
    </row>
    <row r="713" spans="1:10" ht="14.25" customHeight="1" x14ac:dyDescent="0.3">
      <c r="A713" s="902"/>
      <c r="B713" s="902"/>
      <c r="C713" s="902"/>
      <c r="D713" s="902"/>
      <c r="E713" s="902"/>
      <c r="F713" s="902" t="s">
        <v>2479</v>
      </c>
      <c r="G713" s="902"/>
      <c r="H713" s="902"/>
      <c r="I713" s="525">
        <v>1</v>
      </c>
      <c r="J713"/>
    </row>
    <row r="714" spans="1:10" ht="14.25" customHeight="1" x14ac:dyDescent="0.3">
      <c r="A714" s="902"/>
      <c r="B714" s="902"/>
      <c r="C714" s="902"/>
      <c r="D714" s="902"/>
      <c r="E714" s="902"/>
      <c r="F714" s="902" t="s">
        <v>2480</v>
      </c>
      <c r="G714" s="902"/>
      <c r="H714" s="902"/>
      <c r="I714" s="525">
        <v>0</v>
      </c>
      <c r="J714"/>
    </row>
    <row r="715" spans="1:10" ht="15" customHeight="1" x14ac:dyDescent="0.3">
      <c r="A715" s="516" t="s">
        <v>2420</v>
      </c>
      <c r="B715" s="517" t="s">
        <v>16</v>
      </c>
      <c r="C715" s="516" t="s">
        <v>15</v>
      </c>
      <c r="D715" s="516" t="s">
        <v>2442</v>
      </c>
      <c r="E715" s="517" t="s">
        <v>2467</v>
      </c>
      <c r="F715" s="517" t="s">
        <v>2576</v>
      </c>
      <c r="G715" s="903" t="s">
        <v>2577</v>
      </c>
      <c r="H715" s="903"/>
      <c r="I715" s="517" t="s">
        <v>2470</v>
      </c>
      <c r="J715"/>
    </row>
    <row r="716" spans="1:10" ht="25" x14ac:dyDescent="0.3">
      <c r="A716" s="519" t="s">
        <v>2437</v>
      </c>
      <c r="B716" s="520" t="s">
        <v>125</v>
      </c>
      <c r="C716" s="519" t="s">
        <v>2867</v>
      </c>
      <c r="D716" s="519" t="s">
        <v>2868</v>
      </c>
      <c r="E716" s="522">
        <v>1.16E-3</v>
      </c>
      <c r="F716" s="521" t="s">
        <v>384</v>
      </c>
      <c r="G716" s="907">
        <v>28.6631</v>
      </c>
      <c r="H716" s="907"/>
      <c r="I716" s="524">
        <v>3.32E-2</v>
      </c>
      <c r="J716"/>
    </row>
    <row r="717" spans="1:10" ht="14.25" customHeight="1" x14ac:dyDescent="0.3">
      <c r="A717" s="902"/>
      <c r="B717" s="902"/>
      <c r="C717" s="902"/>
      <c r="D717" s="902"/>
      <c r="E717" s="902"/>
      <c r="F717" s="902" t="s">
        <v>2809</v>
      </c>
      <c r="G717" s="902"/>
      <c r="H717" s="902"/>
      <c r="I717" s="525">
        <v>3.32E-2</v>
      </c>
      <c r="J717"/>
    </row>
    <row r="718" spans="1:10" ht="15" customHeight="1" x14ac:dyDescent="0.3">
      <c r="A718" s="516" t="s">
        <v>2574</v>
      </c>
      <c r="B718" s="517" t="s">
        <v>16</v>
      </c>
      <c r="C718" s="516" t="s">
        <v>15</v>
      </c>
      <c r="D718" s="516" t="s">
        <v>2575</v>
      </c>
      <c r="E718" s="517" t="s">
        <v>2467</v>
      </c>
      <c r="F718" s="517" t="s">
        <v>2576</v>
      </c>
      <c r="G718" s="903" t="s">
        <v>2577</v>
      </c>
      <c r="H718" s="903"/>
      <c r="I718" s="517" t="s">
        <v>2470</v>
      </c>
      <c r="J718"/>
    </row>
    <row r="719" spans="1:10" ht="14.25" customHeight="1" x14ac:dyDescent="0.3">
      <c r="A719" s="519" t="s">
        <v>2578</v>
      </c>
      <c r="B719" s="520" t="s">
        <v>125</v>
      </c>
      <c r="C719" s="519">
        <v>5213416</v>
      </c>
      <c r="D719" s="519" t="s">
        <v>2862</v>
      </c>
      <c r="E719" s="522">
        <v>1.67E-3</v>
      </c>
      <c r="F719" s="521" t="s">
        <v>115</v>
      </c>
      <c r="G719" s="907">
        <v>405.93</v>
      </c>
      <c r="H719" s="907"/>
      <c r="I719" s="524">
        <v>0.67789999999999995</v>
      </c>
      <c r="J719"/>
    </row>
    <row r="720" spans="1:10" ht="15" customHeight="1" x14ac:dyDescent="0.3">
      <c r="A720" s="519" t="s">
        <v>2578</v>
      </c>
      <c r="B720" s="520" t="s">
        <v>125</v>
      </c>
      <c r="C720" s="519">
        <v>5219546</v>
      </c>
      <c r="D720" s="519" t="s">
        <v>2869</v>
      </c>
      <c r="E720" s="522">
        <v>1.67E-3</v>
      </c>
      <c r="F720" s="521" t="s">
        <v>600</v>
      </c>
      <c r="G720" s="907">
        <v>338.68</v>
      </c>
      <c r="H720" s="907"/>
      <c r="I720" s="524">
        <v>0.56559999999999999</v>
      </c>
      <c r="J720"/>
    </row>
    <row r="721" spans="1:10" ht="14.25" customHeight="1" x14ac:dyDescent="0.3">
      <c r="A721" s="902"/>
      <c r="B721" s="902"/>
      <c r="C721" s="902"/>
      <c r="D721" s="902"/>
      <c r="E721" s="902"/>
      <c r="F721" s="902" t="s">
        <v>2579</v>
      </c>
      <c r="G721" s="902"/>
      <c r="H721" s="902"/>
      <c r="I721" s="525">
        <v>1.2435</v>
      </c>
      <c r="J721"/>
    </row>
    <row r="722" spans="1:10" ht="15" customHeight="1" x14ac:dyDescent="0.3">
      <c r="A722" s="516" t="s">
        <v>2580</v>
      </c>
      <c r="B722" s="517" t="s">
        <v>16</v>
      </c>
      <c r="C722" s="516" t="s">
        <v>2437</v>
      </c>
      <c r="D722" s="516" t="s">
        <v>2581</v>
      </c>
      <c r="E722" s="517" t="s">
        <v>15</v>
      </c>
      <c r="F722" s="517" t="s">
        <v>2467</v>
      </c>
      <c r="G722" s="518" t="s">
        <v>2576</v>
      </c>
      <c r="H722" s="517" t="s">
        <v>2577</v>
      </c>
      <c r="I722" s="517" t="s">
        <v>2470</v>
      </c>
      <c r="J722"/>
    </row>
    <row r="723" spans="1:10" ht="25" x14ac:dyDescent="0.3">
      <c r="A723" s="519" t="s">
        <v>2582</v>
      </c>
      <c r="B723" s="520" t="s">
        <v>125</v>
      </c>
      <c r="C723" s="519">
        <v>5213416</v>
      </c>
      <c r="D723" s="519" t="s">
        <v>2838</v>
      </c>
      <c r="E723" s="520">
        <v>5914655</v>
      </c>
      <c r="F723" s="522">
        <v>1.24E-2</v>
      </c>
      <c r="G723" s="521" t="s">
        <v>374</v>
      </c>
      <c r="H723" s="524">
        <v>33.159999999999997</v>
      </c>
      <c r="I723" s="524">
        <v>0.41120000000000001</v>
      </c>
      <c r="J723"/>
    </row>
    <row r="724" spans="1:10" ht="25" x14ac:dyDescent="0.3">
      <c r="A724" s="519" t="s">
        <v>2582</v>
      </c>
      <c r="B724" s="520" t="s">
        <v>125</v>
      </c>
      <c r="C724" s="519">
        <v>5219546</v>
      </c>
      <c r="D724" s="519" t="s">
        <v>2838</v>
      </c>
      <c r="E724" s="520">
        <v>5914655</v>
      </c>
      <c r="F724" s="522">
        <v>6.7379999999999995E-2</v>
      </c>
      <c r="G724" s="521" t="s">
        <v>374</v>
      </c>
      <c r="H724" s="524">
        <v>33.159999999999997</v>
      </c>
      <c r="I724" s="524">
        <v>2.2343000000000002</v>
      </c>
      <c r="J724"/>
    </row>
    <row r="725" spans="1:10" ht="15" customHeight="1" x14ac:dyDescent="0.3">
      <c r="A725" s="519" t="s">
        <v>2582</v>
      </c>
      <c r="B725" s="520" t="s">
        <v>125</v>
      </c>
      <c r="C725" s="519" t="s">
        <v>2867</v>
      </c>
      <c r="D725" s="519" t="s">
        <v>2838</v>
      </c>
      <c r="E725" s="520">
        <v>5914655</v>
      </c>
      <c r="F725" s="522">
        <v>6.9999999999999999E-4</v>
      </c>
      <c r="G725" s="521" t="s">
        <v>374</v>
      </c>
      <c r="H725" s="524">
        <v>33.159999999999997</v>
      </c>
      <c r="I725" s="524">
        <v>2.3199999999999998E-2</v>
      </c>
      <c r="J725"/>
    </row>
    <row r="726" spans="1:10" s="358" customFormat="1" ht="15" customHeight="1" x14ac:dyDescent="0.3">
      <c r="A726" s="902"/>
      <c r="B726" s="902"/>
      <c r="C726" s="902"/>
      <c r="D726" s="902"/>
      <c r="E726" s="902"/>
      <c r="F726" s="902" t="s">
        <v>2585</v>
      </c>
      <c r="G726" s="902"/>
      <c r="H726" s="902"/>
      <c r="I726" s="525">
        <v>2.6686999999999999</v>
      </c>
      <c r="J726"/>
    </row>
    <row r="727" spans="1:10" ht="15" customHeight="1" x14ac:dyDescent="0.3">
      <c r="A727" s="516" t="s">
        <v>2586</v>
      </c>
      <c r="B727" s="517" t="s">
        <v>16</v>
      </c>
      <c r="C727" s="516" t="s">
        <v>2437</v>
      </c>
      <c r="D727" s="516" t="s">
        <v>2587</v>
      </c>
      <c r="E727" s="517" t="s">
        <v>2467</v>
      </c>
      <c r="F727" s="517" t="s">
        <v>2576</v>
      </c>
      <c r="G727" s="908" t="s">
        <v>2588</v>
      </c>
      <c r="H727" s="903"/>
      <c r="I727" s="517" t="s">
        <v>2470</v>
      </c>
      <c r="J727"/>
    </row>
    <row r="728" spans="1:10" s="358" customFormat="1" x14ac:dyDescent="0.3">
      <c r="A728" s="518"/>
      <c r="B728" s="518"/>
      <c r="C728" s="518"/>
      <c r="D728" s="518"/>
      <c r="E728" s="518"/>
      <c r="F728" s="518"/>
      <c r="G728" s="518" t="s">
        <v>2589</v>
      </c>
      <c r="H728" s="518" t="s">
        <v>2590</v>
      </c>
      <c r="I728" s="518"/>
      <c r="J728"/>
    </row>
    <row r="729" spans="1:10" ht="14.25" customHeight="1" x14ac:dyDescent="0.3">
      <c r="A729" s="519" t="s">
        <v>2587</v>
      </c>
      <c r="B729" s="520" t="s">
        <v>125</v>
      </c>
      <c r="C729" s="519">
        <v>5213416</v>
      </c>
      <c r="D729" s="519" t="s">
        <v>2865</v>
      </c>
      <c r="E729" s="522">
        <v>1.24E-2</v>
      </c>
      <c r="F729" s="521" t="s">
        <v>2592</v>
      </c>
      <c r="G729" s="520" t="s">
        <v>4472</v>
      </c>
      <c r="H729" s="520" t="s">
        <v>4473</v>
      </c>
      <c r="I729" s="524">
        <v>0</v>
      </c>
      <c r="J729"/>
    </row>
    <row r="730" spans="1:10" ht="14.25" customHeight="1" x14ac:dyDescent="0.3">
      <c r="A730" s="519" t="s">
        <v>2587</v>
      </c>
      <c r="B730" s="520" t="s">
        <v>125</v>
      </c>
      <c r="C730" s="519">
        <v>5219546</v>
      </c>
      <c r="D730" s="519" t="s">
        <v>2870</v>
      </c>
      <c r="E730" s="522">
        <v>6.7379999999999995E-2</v>
      </c>
      <c r="F730" s="521" t="s">
        <v>2592</v>
      </c>
      <c r="G730" s="520" t="s">
        <v>4472</v>
      </c>
      <c r="H730" s="520" t="s">
        <v>4473</v>
      </c>
      <c r="I730" s="524">
        <v>0</v>
      </c>
      <c r="J730"/>
    </row>
    <row r="731" spans="1:10" ht="37.5" x14ac:dyDescent="0.3">
      <c r="A731" s="519" t="s">
        <v>2587</v>
      </c>
      <c r="B731" s="520" t="s">
        <v>125</v>
      </c>
      <c r="C731" s="519" t="s">
        <v>2867</v>
      </c>
      <c r="D731" s="519" t="s">
        <v>2871</v>
      </c>
      <c r="E731" s="522">
        <v>6.9999999999999999E-4</v>
      </c>
      <c r="F731" s="521" t="s">
        <v>2592</v>
      </c>
      <c r="G731" s="520" t="s">
        <v>4472</v>
      </c>
      <c r="H731" s="520" t="s">
        <v>4473</v>
      </c>
      <c r="I731" s="524">
        <v>0</v>
      </c>
      <c r="J731"/>
    </row>
    <row r="732" spans="1:10" ht="14.25" customHeight="1" thickBot="1" x14ac:dyDescent="0.35">
      <c r="A732" s="902"/>
      <c r="B732" s="902"/>
      <c r="C732" s="902"/>
      <c r="D732" s="902"/>
      <c r="E732" s="902"/>
      <c r="F732" s="902" t="s">
        <v>2593</v>
      </c>
      <c r="G732" s="902"/>
      <c r="H732" s="902"/>
      <c r="I732" s="525">
        <v>0</v>
      </c>
      <c r="J732"/>
    </row>
    <row r="733" spans="1:10" ht="14.25" customHeight="1" thickTop="1" x14ac:dyDescent="0.3">
      <c r="A733" s="647"/>
      <c r="B733" s="647"/>
      <c r="C733" s="647"/>
      <c r="D733" s="647"/>
      <c r="E733" s="647"/>
      <c r="F733" s="647"/>
      <c r="G733" s="647"/>
      <c r="H733" s="647"/>
      <c r="I733" s="647"/>
      <c r="J733" s="647"/>
    </row>
    <row r="734" spans="1:10" ht="15" customHeight="1" x14ac:dyDescent="0.3">
      <c r="A734" s="516"/>
      <c r="B734" s="517" t="s">
        <v>15</v>
      </c>
      <c r="C734" s="516" t="s">
        <v>16</v>
      </c>
      <c r="D734" s="516" t="s">
        <v>17</v>
      </c>
      <c r="E734" s="904" t="s">
        <v>2431</v>
      </c>
      <c r="F734" s="904"/>
      <c r="G734" s="518" t="s">
        <v>18</v>
      </c>
      <c r="H734" s="517" t="s">
        <v>19</v>
      </c>
      <c r="I734" s="517" t="s">
        <v>20</v>
      </c>
      <c r="J734" s="517" t="s">
        <v>23</v>
      </c>
    </row>
    <row r="735" spans="1:10" ht="25" x14ac:dyDescent="0.3">
      <c r="A735" s="642" t="s">
        <v>2432</v>
      </c>
      <c r="B735" s="643" t="s">
        <v>214</v>
      </c>
      <c r="C735" s="642" t="s">
        <v>125</v>
      </c>
      <c r="D735" s="642" t="s">
        <v>4481</v>
      </c>
      <c r="E735" s="906" t="s">
        <v>1328</v>
      </c>
      <c r="F735" s="906"/>
      <c r="G735" s="644" t="s">
        <v>210</v>
      </c>
      <c r="H735" s="645">
        <v>1</v>
      </c>
      <c r="I735" s="646">
        <v>8.06</v>
      </c>
      <c r="J735" s="646">
        <v>8.06</v>
      </c>
    </row>
    <row r="736" spans="1:10" ht="14.25" customHeight="1" x14ac:dyDescent="0.3">
      <c r="A736" s="902"/>
      <c r="B736" s="902"/>
      <c r="C736" s="902"/>
      <c r="D736" s="902"/>
      <c r="E736" s="902"/>
      <c r="F736" s="902" t="s">
        <v>2476</v>
      </c>
      <c r="G736" s="902"/>
      <c r="H736" s="902"/>
      <c r="I736" s="525">
        <v>0</v>
      </c>
      <c r="J736"/>
    </row>
    <row r="737" spans="1:10" ht="15" customHeight="1" x14ac:dyDescent="0.3">
      <c r="A737" s="902"/>
      <c r="B737" s="902"/>
      <c r="C737" s="902"/>
      <c r="D737" s="902"/>
      <c r="E737" s="902"/>
      <c r="F737" s="902" t="s">
        <v>2477</v>
      </c>
      <c r="G737" s="902"/>
      <c r="H737" s="902"/>
      <c r="I737" s="525">
        <v>0</v>
      </c>
      <c r="J737"/>
    </row>
    <row r="738" spans="1:10" x14ac:dyDescent="0.3">
      <c r="A738" s="902"/>
      <c r="B738" s="902"/>
      <c r="C738" s="902"/>
      <c r="D738" s="902"/>
      <c r="E738" s="902"/>
      <c r="F738" s="902" t="s">
        <v>2478</v>
      </c>
      <c r="G738" s="902"/>
      <c r="H738" s="902"/>
      <c r="I738" s="525">
        <v>0</v>
      </c>
      <c r="J738"/>
    </row>
    <row r="739" spans="1:10" ht="14.25" customHeight="1" x14ac:dyDescent="0.3">
      <c r="A739" s="902"/>
      <c r="B739" s="902"/>
      <c r="C739" s="902"/>
      <c r="D739" s="902"/>
      <c r="E739" s="902"/>
      <c r="F739" s="902" t="s">
        <v>2479</v>
      </c>
      <c r="G739" s="902"/>
      <c r="H739" s="902"/>
      <c r="I739" s="525">
        <v>1</v>
      </c>
      <c r="J739"/>
    </row>
    <row r="740" spans="1:10" ht="15" customHeight="1" x14ac:dyDescent="0.3">
      <c r="A740" s="902"/>
      <c r="B740" s="902"/>
      <c r="C740" s="902"/>
      <c r="D740" s="902"/>
      <c r="E740" s="902"/>
      <c r="F740" s="902" t="s">
        <v>2480</v>
      </c>
      <c r="G740" s="902"/>
      <c r="H740" s="902"/>
      <c r="I740" s="525">
        <v>0</v>
      </c>
      <c r="J740"/>
    </row>
    <row r="741" spans="1:10" ht="15" customHeight="1" x14ac:dyDescent="0.3">
      <c r="A741" s="516" t="s">
        <v>2574</v>
      </c>
      <c r="B741" s="517" t="s">
        <v>16</v>
      </c>
      <c r="C741" s="516" t="s">
        <v>15</v>
      </c>
      <c r="D741" s="516" t="s">
        <v>2575</v>
      </c>
      <c r="E741" s="517" t="s">
        <v>2467</v>
      </c>
      <c r="F741" s="517" t="s">
        <v>2576</v>
      </c>
      <c r="G741" s="903" t="s">
        <v>2577</v>
      </c>
      <c r="H741" s="903"/>
      <c r="I741" s="517" t="s">
        <v>2470</v>
      </c>
      <c r="J741"/>
    </row>
    <row r="742" spans="1:10" ht="25" x14ac:dyDescent="0.3">
      <c r="A742" s="519" t="s">
        <v>2578</v>
      </c>
      <c r="B742" s="520" t="s">
        <v>125</v>
      </c>
      <c r="C742" s="519">
        <v>5213387</v>
      </c>
      <c r="D742" s="519" t="s">
        <v>2872</v>
      </c>
      <c r="E742" s="522">
        <v>6.6699999999999997E-3</v>
      </c>
      <c r="F742" s="521" t="s">
        <v>600</v>
      </c>
      <c r="G742" s="907">
        <v>837.99</v>
      </c>
      <c r="H742" s="907"/>
      <c r="I742" s="524">
        <v>5.5894000000000004</v>
      </c>
      <c r="J742"/>
    </row>
    <row r="743" spans="1:10" ht="15" customHeight="1" x14ac:dyDescent="0.3">
      <c r="A743" s="902"/>
      <c r="B743" s="902"/>
      <c r="C743" s="902"/>
      <c r="D743" s="902"/>
      <c r="E743" s="902"/>
      <c r="F743" s="902" t="s">
        <v>2579</v>
      </c>
      <c r="G743" s="902"/>
      <c r="H743" s="902"/>
      <c r="I743" s="525">
        <v>5.5894000000000004</v>
      </c>
      <c r="J743"/>
    </row>
    <row r="744" spans="1:10" s="358" customFormat="1" ht="15" customHeight="1" x14ac:dyDescent="0.3">
      <c r="A744" s="516" t="s">
        <v>2580</v>
      </c>
      <c r="B744" s="517" t="s">
        <v>16</v>
      </c>
      <c r="C744" s="516" t="s">
        <v>2437</v>
      </c>
      <c r="D744" s="516" t="s">
        <v>2581</v>
      </c>
      <c r="E744" s="517" t="s">
        <v>15</v>
      </c>
      <c r="F744" s="517" t="s">
        <v>2467</v>
      </c>
      <c r="G744" s="518" t="s">
        <v>2576</v>
      </c>
      <c r="H744" s="517" t="s">
        <v>2577</v>
      </c>
      <c r="I744" s="517" t="s">
        <v>2470</v>
      </c>
      <c r="J744"/>
    </row>
    <row r="745" spans="1:10" ht="25" x14ac:dyDescent="0.3">
      <c r="A745" s="519" t="s">
        <v>2582</v>
      </c>
      <c r="B745" s="520" t="s">
        <v>125</v>
      </c>
      <c r="C745" s="519">
        <v>5213387</v>
      </c>
      <c r="D745" s="519" t="s">
        <v>2838</v>
      </c>
      <c r="E745" s="520">
        <v>5914655</v>
      </c>
      <c r="F745" s="522">
        <v>7.4370000000000006E-2</v>
      </c>
      <c r="G745" s="521" t="s">
        <v>374</v>
      </c>
      <c r="H745" s="524">
        <v>33.159999999999997</v>
      </c>
      <c r="I745" s="524">
        <v>2.4661</v>
      </c>
      <c r="J745"/>
    </row>
    <row r="746" spans="1:10" s="358" customFormat="1" ht="15" customHeight="1" x14ac:dyDescent="0.3">
      <c r="A746" s="902"/>
      <c r="B746" s="902"/>
      <c r="C746" s="902"/>
      <c r="D746" s="902"/>
      <c r="E746" s="902"/>
      <c r="F746" s="902" t="s">
        <v>2585</v>
      </c>
      <c r="G746" s="902"/>
      <c r="H746" s="902"/>
      <c r="I746" s="525">
        <v>2.4661</v>
      </c>
      <c r="J746"/>
    </row>
    <row r="747" spans="1:10" ht="14.25" customHeight="1" x14ac:dyDescent="0.3">
      <c r="A747" s="516" t="s">
        <v>2586</v>
      </c>
      <c r="B747" s="517" t="s">
        <v>16</v>
      </c>
      <c r="C747" s="516" t="s">
        <v>2437</v>
      </c>
      <c r="D747" s="516" t="s">
        <v>2587</v>
      </c>
      <c r="E747" s="517" t="s">
        <v>2467</v>
      </c>
      <c r="F747" s="517" t="s">
        <v>2576</v>
      </c>
      <c r="G747" s="908" t="s">
        <v>2588</v>
      </c>
      <c r="H747" s="903"/>
      <c r="I747" s="517" t="s">
        <v>2470</v>
      </c>
      <c r="J747"/>
    </row>
    <row r="748" spans="1:10" ht="14.25" customHeight="1" x14ac:dyDescent="0.3">
      <c r="A748" s="518"/>
      <c r="B748" s="518"/>
      <c r="C748" s="518"/>
      <c r="D748" s="518"/>
      <c r="E748" s="518"/>
      <c r="F748" s="518"/>
      <c r="G748" s="518" t="s">
        <v>2589</v>
      </c>
      <c r="H748" s="518" t="s">
        <v>2590</v>
      </c>
      <c r="I748" s="518"/>
      <c r="J748"/>
    </row>
    <row r="749" spans="1:10" ht="37.5" x14ac:dyDescent="0.3">
      <c r="A749" s="519" t="s">
        <v>2587</v>
      </c>
      <c r="B749" s="520" t="s">
        <v>125</v>
      </c>
      <c r="C749" s="519">
        <v>5213387</v>
      </c>
      <c r="D749" s="519" t="s">
        <v>2873</v>
      </c>
      <c r="E749" s="522">
        <v>0.62395999999999996</v>
      </c>
      <c r="F749" s="521" t="s">
        <v>2592</v>
      </c>
      <c r="G749" s="520" t="s">
        <v>4472</v>
      </c>
      <c r="H749" s="520" t="s">
        <v>4473</v>
      </c>
      <c r="I749" s="524">
        <v>0</v>
      </c>
      <c r="J749"/>
    </row>
    <row r="750" spans="1:10" ht="14.25" customHeight="1" thickBot="1" x14ac:dyDescent="0.35">
      <c r="A750" s="902"/>
      <c r="B750" s="902"/>
      <c r="C750" s="902"/>
      <c r="D750" s="902"/>
      <c r="E750" s="902"/>
      <c r="F750" s="902" t="s">
        <v>2593</v>
      </c>
      <c r="G750" s="902"/>
      <c r="H750" s="902"/>
      <c r="I750" s="525">
        <v>0</v>
      </c>
      <c r="J750"/>
    </row>
    <row r="751" spans="1:10" ht="14.25" customHeight="1" thickTop="1" x14ac:dyDescent="0.3">
      <c r="A751" s="647"/>
      <c r="B751" s="647"/>
      <c r="C751" s="647"/>
      <c r="D751" s="647"/>
      <c r="E751" s="647"/>
      <c r="F751" s="647"/>
      <c r="G751" s="647"/>
      <c r="H751" s="647"/>
      <c r="I751" s="647"/>
      <c r="J751" s="647"/>
    </row>
    <row r="752" spans="1:10" ht="15" customHeight="1" x14ac:dyDescent="0.3">
      <c r="A752" s="516"/>
      <c r="B752" s="517" t="s">
        <v>15</v>
      </c>
      <c r="C752" s="516" t="s">
        <v>16</v>
      </c>
      <c r="D752" s="516" t="s">
        <v>17</v>
      </c>
      <c r="E752" s="904" t="s">
        <v>2431</v>
      </c>
      <c r="F752" s="904"/>
      <c r="G752" s="518" t="s">
        <v>18</v>
      </c>
      <c r="H752" s="517" t="s">
        <v>19</v>
      </c>
      <c r="I752" s="517" t="s">
        <v>20</v>
      </c>
      <c r="J752" s="517" t="s">
        <v>23</v>
      </c>
    </row>
    <row r="753" spans="1:10" ht="25" x14ac:dyDescent="0.3">
      <c r="A753" s="642" t="s">
        <v>2432</v>
      </c>
      <c r="B753" s="643" t="s">
        <v>216</v>
      </c>
      <c r="C753" s="642" t="s">
        <v>125</v>
      </c>
      <c r="D753" s="642" t="s">
        <v>217</v>
      </c>
      <c r="E753" s="906" t="s">
        <v>1328</v>
      </c>
      <c r="F753" s="906"/>
      <c r="G753" s="644" t="s">
        <v>210</v>
      </c>
      <c r="H753" s="645">
        <v>1</v>
      </c>
      <c r="I753" s="646">
        <v>0.78</v>
      </c>
      <c r="J753" s="646">
        <v>0.78</v>
      </c>
    </row>
    <row r="754" spans="1:10" ht="14.25" customHeight="1" x14ac:dyDescent="0.3">
      <c r="A754" s="902"/>
      <c r="B754" s="902"/>
      <c r="C754" s="902"/>
      <c r="D754" s="902"/>
      <c r="E754" s="902"/>
      <c r="F754" s="902" t="s">
        <v>2476</v>
      </c>
      <c r="G754" s="902"/>
      <c r="H754" s="902"/>
      <c r="I754" s="525">
        <v>0</v>
      </c>
      <c r="J754"/>
    </row>
    <row r="755" spans="1:10" ht="15" customHeight="1" x14ac:dyDescent="0.3">
      <c r="A755" s="902"/>
      <c r="B755" s="902"/>
      <c r="C755" s="902"/>
      <c r="D755" s="902"/>
      <c r="E755" s="902"/>
      <c r="F755" s="902" t="s">
        <v>2477</v>
      </c>
      <c r="G755" s="902"/>
      <c r="H755" s="902"/>
      <c r="I755" s="525">
        <v>0</v>
      </c>
      <c r="J755"/>
    </row>
    <row r="756" spans="1:10" x14ac:dyDescent="0.3">
      <c r="A756" s="902"/>
      <c r="B756" s="902"/>
      <c r="C756" s="902"/>
      <c r="D756" s="902"/>
      <c r="E756" s="902"/>
      <c r="F756" s="902" t="s">
        <v>2478</v>
      </c>
      <c r="G756" s="902"/>
      <c r="H756" s="902"/>
      <c r="I756" s="525">
        <v>0</v>
      </c>
      <c r="J756"/>
    </row>
    <row r="757" spans="1:10" ht="14.25" customHeight="1" x14ac:dyDescent="0.3">
      <c r="A757" s="902"/>
      <c r="B757" s="902"/>
      <c r="C757" s="902"/>
      <c r="D757" s="902"/>
      <c r="E757" s="902"/>
      <c r="F757" s="902" t="s">
        <v>2479</v>
      </c>
      <c r="G757" s="902"/>
      <c r="H757" s="902"/>
      <c r="I757" s="525">
        <v>1</v>
      </c>
      <c r="J757"/>
    </row>
    <row r="758" spans="1:10" ht="15" customHeight="1" x14ac:dyDescent="0.3">
      <c r="A758" s="902"/>
      <c r="B758" s="902"/>
      <c r="C758" s="902"/>
      <c r="D758" s="902"/>
      <c r="E758" s="902"/>
      <c r="F758" s="902" t="s">
        <v>2480</v>
      </c>
      <c r="G758" s="902"/>
      <c r="H758" s="902"/>
      <c r="I758" s="525">
        <v>0</v>
      </c>
      <c r="J758"/>
    </row>
    <row r="759" spans="1:10" ht="15" customHeight="1" x14ac:dyDescent="0.3">
      <c r="A759" s="516" t="s">
        <v>2420</v>
      </c>
      <c r="B759" s="517" t="s">
        <v>16</v>
      </c>
      <c r="C759" s="516" t="s">
        <v>15</v>
      </c>
      <c r="D759" s="516" t="s">
        <v>2442</v>
      </c>
      <c r="E759" s="517" t="s">
        <v>2467</v>
      </c>
      <c r="F759" s="517" t="s">
        <v>2576</v>
      </c>
      <c r="G759" s="903" t="s">
        <v>2577</v>
      </c>
      <c r="H759" s="903"/>
      <c r="I759" s="517" t="s">
        <v>2470</v>
      </c>
      <c r="J759"/>
    </row>
    <row r="760" spans="1:10" x14ac:dyDescent="0.3">
      <c r="A760" s="519" t="s">
        <v>2437</v>
      </c>
      <c r="B760" s="520" t="s">
        <v>125</v>
      </c>
      <c r="C760" s="519" t="s">
        <v>2874</v>
      </c>
      <c r="D760" s="519" t="s">
        <v>2875</v>
      </c>
      <c r="E760" s="522">
        <v>6.6699999999999997E-3</v>
      </c>
      <c r="F760" s="521" t="s">
        <v>600</v>
      </c>
      <c r="G760" s="907">
        <v>97.660499999999999</v>
      </c>
      <c r="H760" s="907"/>
      <c r="I760" s="524">
        <v>0.65139999999999998</v>
      </c>
      <c r="J760"/>
    </row>
    <row r="761" spans="1:10" ht="15" customHeight="1" x14ac:dyDescent="0.3">
      <c r="A761" s="902"/>
      <c r="B761" s="902"/>
      <c r="C761" s="902"/>
      <c r="D761" s="902"/>
      <c r="E761" s="902"/>
      <c r="F761" s="902" t="s">
        <v>2809</v>
      </c>
      <c r="G761" s="902"/>
      <c r="H761" s="902"/>
      <c r="I761" s="525">
        <v>0.65139999999999998</v>
      </c>
      <c r="J761"/>
    </row>
    <row r="762" spans="1:10" s="358" customFormat="1" ht="15" customHeight="1" x14ac:dyDescent="0.3">
      <c r="A762" s="516" t="s">
        <v>2580</v>
      </c>
      <c r="B762" s="517" t="s">
        <v>16</v>
      </c>
      <c r="C762" s="516" t="s">
        <v>2437</v>
      </c>
      <c r="D762" s="516" t="s">
        <v>2581</v>
      </c>
      <c r="E762" s="517" t="s">
        <v>15</v>
      </c>
      <c r="F762" s="517" t="s">
        <v>2467</v>
      </c>
      <c r="G762" s="518" t="s">
        <v>2576</v>
      </c>
      <c r="H762" s="517" t="s">
        <v>2577</v>
      </c>
      <c r="I762" s="517" t="s">
        <v>2470</v>
      </c>
      <c r="J762"/>
    </row>
    <row r="763" spans="1:10" ht="25" x14ac:dyDescent="0.3">
      <c r="A763" s="519" t="s">
        <v>2582</v>
      </c>
      <c r="B763" s="520" t="s">
        <v>125</v>
      </c>
      <c r="C763" s="519" t="s">
        <v>2874</v>
      </c>
      <c r="D763" s="519" t="s">
        <v>2838</v>
      </c>
      <c r="E763" s="520">
        <v>5914655</v>
      </c>
      <c r="F763" s="522">
        <v>4.0000000000000001E-3</v>
      </c>
      <c r="G763" s="521" t="s">
        <v>374</v>
      </c>
      <c r="H763" s="524">
        <v>33.159999999999997</v>
      </c>
      <c r="I763" s="524">
        <v>0.1326</v>
      </c>
      <c r="J763"/>
    </row>
    <row r="764" spans="1:10" s="358" customFormat="1" ht="15" customHeight="1" x14ac:dyDescent="0.3">
      <c r="A764" s="902"/>
      <c r="B764" s="902"/>
      <c r="C764" s="902"/>
      <c r="D764" s="902"/>
      <c r="E764" s="902"/>
      <c r="F764" s="902" t="s">
        <v>2585</v>
      </c>
      <c r="G764" s="902"/>
      <c r="H764" s="902"/>
      <c r="I764" s="525">
        <v>0.1326</v>
      </c>
      <c r="J764"/>
    </row>
    <row r="765" spans="1:10" ht="14.25" customHeight="1" x14ac:dyDescent="0.3">
      <c r="A765" s="516" t="s">
        <v>2586</v>
      </c>
      <c r="B765" s="517" t="s">
        <v>16</v>
      </c>
      <c r="C765" s="516" t="s">
        <v>2437</v>
      </c>
      <c r="D765" s="516" t="s">
        <v>2587</v>
      </c>
      <c r="E765" s="517" t="s">
        <v>2467</v>
      </c>
      <c r="F765" s="517" t="s">
        <v>2576</v>
      </c>
      <c r="G765" s="908" t="s">
        <v>2588</v>
      </c>
      <c r="H765" s="903"/>
      <c r="I765" s="517" t="s">
        <v>2470</v>
      </c>
      <c r="J765"/>
    </row>
    <row r="766" spans="1:10" ht="14.25" customHeight="1" x14ac:dyDescent="0.3">
      <c r="A766" s="518"/>
      <c r="B766" s="518"/>
      <c r="C766" s="518"/>
      <c r="D766" s="518"/>
      <c r="E766" s="518"/>
      <c r="F766" s="518"/>
      <c r="G766" s="518" t="s">
        <v>2589</v>
      </c>
      <c r="H766" s="518" t="s">
        <v>2590</v>
      </c>
      <c r="I766" s="518"/>
      <c r="J766"/>
    </row>
    <row r="767" spans="1:10" ht="37.5" x14ac:dyDescent="0.3">
      <c r="A767" s="519" t="s">
        <v>2587</v>
      </c>
      <c r="B767" s="520" t="s">
        <v>125</v>
      </c>
      <c r="C767" s="519" t="s">
        <v>2874</v>
      </c>
      <c r="D767" s="519" t="s">
        <v>2876</v>
      </c>
      <c r="E767" s="522">
        <v>6.5700000000000003E-3</v>
      </c>
      <c r="F767" s="521" t="s">
        <v>2592</v>
      </c>
      <c r="G767" s="520" t="s">
        <v>4472</v>
      </c>
      <c r="H767" s="520" t="s">
        <v>4473</v>
      </c>
      <c r="I767" s="524">
        <v>0</v>
      </c>
      <c r="J767"/>
    </row>
    <row r="768" spans="1:10" ht="14.25" customHeight="1" thickBot="1" x14ac:dyDescent="0.35">
      <c r="A768" s="902"/>
      <c r="B768" s="902"/>
      <c r="C768" s="902"/>
      <c r="D768" s="902"/>
      <c r="E768" s="902"/>
      <c r="F768" s="902" t="s">
        <v>2593</v>
      </c>
      <c r="G768" s="902"/>
      <c r="H768" s="902"/>
      <c r="I768" s="525">
        <v>0</v>
      </c>
      <c r="J768"/>
    </row>
    <row r="769" spans="1:10" ht="14.25" customHeight="1" thickTop="1" x14ac:dyDescent="0.3">
      <c r="A769" s="647"/>
      <c r="B769" s="647"/>
      <c r="C769" s="647"/>
      <c r="D769" s="647"/>
      <c r="E769" s="647"/>
      <c r="F769" s="647"/>
      <c r="G769" s="647"/>
      <c r="H769" s="647"/>
      <c r="I769" s="647"/>
      <c r="J769" s="647"/>
    </row>
    <row r="770" spans="1:10" ht="15" customHeight="1" x14ac:dyDescent="0.3">
      <c r="A770" s="516"/>
      <c r="B770" s="517" t="s">
        <v>15</v>
      </c>
      <c r="C770" s="516" t="s">
        <v>16</v>
      </c>
      <c r="D770" s="516" t="s">
        <v>17</v>
      </c>
      <c r="E770" s="904" t="s">
        <v>2431</v>
      </c>
      <c r="F770" s="904"/>
      <c r="G770" s="518" t="s">
        <v>18</v>
      </c>
      <c r="H770" s="517" t="s">
        <v>19</v>
      </c>
      <c r="I770" s="517" t="s">
        <v>20</v>
      </c>
      <c r="J770" s="517" t="s">
        <v>23</v>
      </c>
    </row>
    <row r="771" spans="1:10" ht="25" x14ac:dyDescent="0.3">
      <c r="A771" s="642" t="s">
        <v>2432</v>
      </c>
      <c r="B771" s="643" t="s">
        <v>219</v>
      </c>
      <c r="C771" s="642" t="s">
        <v>125</v>
      </c>
      <c r="D771" s="642" t="s">
        <v>4482</v>
      </c>
      <c r="E771" s="906" t="s">
        <v>1328</v>
      </c>
      <c r="F771" s="906"/>
      <c r="G771" s="644" t="s">
        <v>210</v>
      </c>
      <c r="H771" s="645">
        <v>1</v>
      </c>
      <c r="I771" s="646">
        <v>1.25</v>
      </c>
      <c r="J771" s="646">
        <v>1.25</v>
      </c>
    </row>
    <row r="772" spans="1:10" ht="14.25" customHeight="1" x14ac:dyDescent="0.3">
      <c r="A772" s="902"/>
      <c r="B772" s="902"/>
      <c r="C772" s="902"/>
      <c r="D772" s="902"/>
      <c r="E772" s="902"/>
      <c r="F772" s="902" t="s">
        <v>2476</v>
      </c>
      <c r="G772" s="902"/>
      <c r="H772" s="902"/>
      <c r="I772" s="525">
        <v>0</v>
      </c>
      <c r="J772"/>
    </row>
    <row r="773" spans="1:10" ht="15" customHeight="1" x14ac:dyDescent="0.3">
      <c r="A773" s="902"/>
      <c r="B773" s="902"/>
      <c r="C773" s="902"/>
      <c r="D773" s="902"/>
      <c r="E773" s="902"/>
      <c r="F773" s="902" t="s">
        <v>2477</v>
      </c>
      <c r="G773" s="902"/>
      <c r="H773" s="902"/>
      <c r="I773" s="525">
        <v>0</v>
      </c>
      <c r="J773"/>
    </row>
    <row r="774" spans="1:10" x14ac:dyDescent="0.3">
      <c r="A774" s="902"/>
      <c r="B774" s="902"/>
      <c r="C774" s="902"/>
      <c r="D774" s="902"/>
      <c r="E774" s="902"/>
      <c r="F774" s="902" t="s">
        <v>2478</v>
      </c>
      <c r="G774" s="902"/>
      <c r="H774" s="902"/>
      <c r="I774" s="525">
        <v>0</v>
      </c>
      <c r="J774"/>
    </row>
    <row r="775" spans="1:10" ht="14.25" customHeight="1" x14ac:dyDescent="0.3">
      <c r="A775" s="902"/>
      <c r="B775" s="902"/>
      <c r="C775" s="902"/>
      <c r="D775" s="902"/>
      <c r="E775" s="902"/>
      <c r="F775" s="902" t="s">
        <v>2479</v>
      </c>
      <c r="G775" s="902"/>
      <c r="H775" s="902"/>
      <c r="I775" s="525">
        <v>1</v>
      </c>
      <c r="J775"/>
    </row>
    <row r="776" spans="1:10" ht="15" customHeight="1" x14ac:dyDescent="0.3">
      <c r="A776" s="902"/>
      <c r="B776" s="902"/>
      <c r="C776" s="902"/>
      <c r="D776" s="902"/>
      <c r="E776" s="902"/>
      <c r="F776" s="902" t="s">
        <v>2480</v>
      </c>
      <c r="G776" s="902"/>
      <c r="H776" s="902"/>
      <c r="I776" s="525">
        <v>0</v>
      </c>
      <c r="J776"/>
    </row>
    <row r="777" spans="1:10" ht="15" customHeight="1" x14ac:dyDescent="0.3">
      <c r="A777" s="516" t="s">
        <v>2420</v>
      </c>
      <c r="B777" s="517" t="s">
        <v>16</v>
      </c>
      <c r="C777" s="516" t="s">
        <v>15</v>
      </c>
      <c r="D777" s="516" t="s">
        <v>2442</v>
      </c>
      <c r="E777" s="517" t="s">
        <v>2467</v>
      </c>
      <c r="F777" s="517" t="s">
        <v>2576</v>
      </c>
      <c r="G777" s="903" t="s">
        <v>2577</v>
      </c>
      <c r="H777" s="903"/>
      <c r="I777" s="517" t="s">
        <v>2470</v>
      </c>
      <c r="J777"/>
    </row>
    <row r="778" spans="1:10" ht="25" x14ac:dyDescent="0.3">
      <c r="A778" s="519" t="s">
        <v>2437</v>
      </c>
      <c r="B778" s="520" t="s">
        <v>125</v>
      </c>
      <c r="C778" s="519" t="s">
        <v>2877</v>
      </c>
      <c r="D778" s="519" t="s">
        <v>2878</v>
      </c>
      <c r="E778" s="522">
        <v>6.6699999999999997E-3</v>
      </c>
      <c r="F778" s="521" t="s">
        <v>600</v>
      </c>
      <c r="G778" s="907">
        <v>158.2124</v>
      </c>
      <c r="H778" s="907"/>
      <c r="I778" s="524">
        <v>1.0552999999999999</v>
      </c>
      <c r="J778"/>
    </row>
    <row r="779" spans="1:10" ht="15" customHeight="1" x14ac:dyDescent="0.3">
      <c r="A779" s="902"/>
      <c r="B779" s="902"/>
      <c r="C779" s="902"/>
      <c r="D779" s="902"/>
      <c r="E779" s="902"/>
      <c r="F779" s="902" t="s">
        <v>2809</v>
      </c>
      <c r="G779" s="902"/>
      <c r="H779" s="902"/>
      <c r="I779" s="525">
        <v>1.0552999999999999</v>
      </c>
      <c r="J779"/>
    </row>
    <row r="780" spans="1:10" s="358" customFormat="1" ht="15" customHeight="1" x14ac:dyDescent="0.3">
      <c r="A780" s="516" t="s">
        <v>2580</v>
      </c>
      <c r="B780" s="517" t="s">
        <v>16</v>
      </c>
      <c r="C780" s="516" t="s">
        <v>2437</v>
      </c>
      <c r="D780" s="516" t="s">
        <v>2581</v>
      </c>
      <c r="E780" s="517" t="s">
        <v>15</v>
      </c>
      <c r="F780" s="517" t="s">
        <v>2467</v>
      </c>
      <c r="G780" s="518" t="s">
        <v>2576</v>
      </c>
      <c r="H780" s="517" t="s">
        <v>2577</v>
      </c>
      <c r="I780" s="517" t="s">
        <v>2470</v>
      </c>
      <c r="J780"/>
    </row>
    <row r="781" spans="1:10" ht="25" x14ac:dyDescent="0.3">
      <c r="A781" s="519" t="s">
        <v>2582</v>
      </c>
      <c r="B781" s="520" t="s">
        <v>125</v>
      </c>
      <c r="C781" s="519" t="s">
        <v>2877</v>
      </c>
      <c r="D781" s="519" t="s">
        <v>2838</v>
      </c>
      <c r="E781" s="520">
        <v>5914655</v>
      </c>
      <c r="F781" s="522">
        <v>6.0000000000000001E-3</v>
      </c>
      <c r="G781" s="521" t="s">
        <v>374</v>
      </c>
      <c r="H781" s="524">
        <v>33.159999999999997</v>
      </c>
      <c r="I781" s="524">
        <v>0.19900000000000001</v>
      </c>
      <c r="J781"/>
    </row>
    <row r="782" spans="1:10" s="358" customFormat="1" ht="15" customHeight="1" x14ac:dyDescent="0.3">
      <c r="A782" s="902"/>
      <c r="B782" s="902"/>
      <c r="C782" s="902"/>
      <c r="D782" s="902"/>
      <c r="E782" s="902"/>
      <c r="F782" s="902" t="s">
        <v>2585</v>
      </c>
      <c r="G782" s="902"/>
      <c r="H782" s="902"/>
      <c r="I782" s="525">
        <v>0.19900000000000001</v>
      </c>
      <c r="J782"/>
    </row>
    <row r="783" spans="1:10" ht="15" customHeight="1" x14ac:dyDescent="0.3">
      <c r="A783" s="516" t="s">
        <v>2586</v>
      </c>
      <c r="B783" s="517" t="s">
        <v>16</v>
      </c>
      <c r="C783" s="516" t="s">
        <v>2437</v>
      </c>
      <c r="D783" s="516" t="s">
        <v>2587</v>
      </c>
      <c r="E783" s="517" t="s">
        <v>2467</v>
      </c>
      <c r="F783" s="517" t="s">
        <v>2576</v>
      </c>
      <c r="G783" s="908" t="s">
        <v>2588</v>
      </c>
      <c r="H783" s="903"/>
      <c r="I783" s="517" t="s">
        <v>2470</v>
      </c>
      <c r="J783"/>
    </row>
    <row r="784" spans="1:10" x14ac:dyDescent="0.3">
      <c r="A784" s="518"/>
      <c r="B784" s="518"/>
      <c r="C784" s="518"/>
      <c r="D784" s="518"/>
      <c r="E784" s="518"/>
      <c r="F784" s="518"/>
      <c r="G784" s="518" t="s">
        <v>2589</v>
      </c>
      <c r="H784" s="518" t="s">
        <v>2590</v>
      </c>
      <c r="I784" s="518"/>
      <c r="J784"/>
    </row>
    <row r="785" spans="1:10" ht="37.5" x14ac:dyDescent="0.3">
      <c r="A785" s="519" t="s">
        <v>2587</v>
      </c>
      <c r="B785" s="520" t="s">
        <v>125</v>
      </c>
      <c r="C785" s="519" t="s">
        <v>2877</v>
      </c>
      <c r="D785" s="519" t="s">
        <v>2879</v>
      </c>
      <c r="E785" s="522">
        <v>0.11345</v>
      </c>
      <c r="F785" s="521" t="s">
        <v>2592</v>
      </c>
      <c r="G785" s="520" t="s">
        <v>4472</v>
      </c>
      <c r="H785" s="520" t="s">
        <v>4473</v>
      </c>
      <c r="I785" s="524">
        <v>0</v>
      </c>
      <c r="J785"/>
    </row>
    <row r="786" spans="1:10" ht="15" customHeight="1" thickBot="1" x14ac:dyDescent="0.35">
      <c r="A786" s="902"/>
      <c r="B786" s="902"/>
      <c r="C786" s="902"/>
      <c r="D786" s="902"/>
      <c r="E786" s="902"/>
      <c r="F786" s="902" t="s">
        <v>2593</v>
      </c>
      <c r="G786" s="902"/>
      <c r="H786" s="902"/>
      <c r="I786" s="525">
        <v>0</v>
      </c>
      <c r="J786"/>
    </row>
    <row r="787" spans="1:10" ht="14.5" thickTop="1" x14ac:dyDescent="0.3">
      <c r="A787" s="647"/>
      <c r="B787" s="647"/>
      <c r="C787" s="647"/>
      <c r="D787" s="647"/>
      <c r="E787" s="647"/>
      <c r="F787" s="647"/>
      <c r="G787" s="647"/>
      <c r="H787" s="647"/>
      <c r="I787" s="647"/>
      <c r="J787" s="647"/>
    </row>
    <row r="788" spans="1:10" ht="13.5" customHeight="1" x14ac:dyDescent="0.3">
      <c r="A788" s="516"/>
      <c r="B788" s="517" t="s">
        <v>15</v>
      </c>
      <c r="C788" s="516" t="s">
        <v>16</v>
      </c>
      <c r="D788" s="516" t="s">
        <v>17</v>
      </c>
      <c r="E788" s="904" t="s">
        <v>2431</v>
      </c>
      <c r="F788" s="904"/>
      <c r="G788" s="518" t="s">
        <v>18</v>
      </c>
      <c r="H788" s="517" t="s">
        <v>19</v>
      </c>
      <c r="I788" s="517" t="s">
        <v>20</v>
      </c>
      <c r="J788" s="517" t="s">
        <v>23</v>
      </c>
    </row>
    <row r="789" spans="1:10" ht="25" x14ac:dyDescent="0.3">
      <c r="A789" s="519" t="s">
        <v>2434</v>
      </c>
      <c r="B789" s="520" t="s">
        <v>2561</v>
      </c>
      <c r="C789" s="519" t="s">
        <v>32</v>
      </c>
      <c r="D789" s="519" t="s">
        <v>2562</v>
      </c>
      <c r="E789" s="905" t="s">
        <v>2433</v>
      </c>
      <c r="F789" s="905"/>
      <c r="G789" s="521" t="s">
        <v>1901</v>
      </c>
      <c r="H789" s="522">
        <v>1.1499999999999999</v>
      </c>
      <c r="I789" s="523">
        <v>23.4</v>
      </c>
      <c r="J789" s="523">
        <v>26.91</v>
      </c>
    </row>
    <row r="790" spans="1:10" s="358" customFormat="1" ht="25" x14ac:dyDescent="0.3">
      <c r="A790" s="519" t="s">
        <v>2434</v>
      </c>
      <c r="B790" s="520" t="s">
        <v>2618</v>
      </c>
      <c r="C790" s="519" t="s">
        <v>32</v>
      </c>
      <c r="D790" s="519" t="s">
        <v>2619</v>
      </c>
      <c r="E790" s="905" t="s">
        <v>2433</v>
      </c>
      <c r="F790" s="905"/>
      <c r="G790" s="521" t="s">
        <v>1901</v>
      </c>
      <c r="H790" s="522">
        <v>2.2999999999999998</v>
      </c>
      <c r="I790" s="523">
        <v>30.71</v>
      </c>
      <c r="J790" s="523">
        <v>70.63</v>
      </c>
    </row>
    <row r="791" spans="1:10" ht="25.5" customHeight="1" x14ac:dyDescent="0.3">
      <c r="A791" s="519" t="s">
        <v>2437</v>
      </c>
      <c r="B791" s="520" t="s">
        <v>2880</v>
      </c>
      <c r="C791" s="519" t="s">
        <v>32</v>
      </c>
      <c r="D791" s="519" t="s">
        <v>2881</v>
      </c>
      <c r="E791" s="905" t="s">
        <v>2442</v>
      </c>
      <c r="F791" s="905"/>
      <c r="G791" s="521" t="s">
        <v>194</v>
      </c>
      <c r="H791" s="522">
        <v>2.9</v>
      </c>
      <c r="I791" s="523">
        <v>3.3</v>
      </c>
      <c r="J791" s="523">
        <v>9.57</v>
      </c>
    </row>
    <row r="792" spans="1:10" ht="25.5" customHeight="1" x14ac:dyDescent="0.3">
      <c r="A792" s="519" t="s">
        <v>2437</v>
      </c>
      <c r="B792" s="520" t="s">
        <v>4483</v>
      </c>
      <c r="C792" s="519" t="s">
        <v>125</v>
      </c>
      <c r="D792" s="519" t="s">
        <v>2822</v>
      </c>
      <c r="E792" s="905" t="s">
        <v>2446</v>
      </c>
      <c r="F792" s="905"/>
      <c r="G792" s="521" t="s">
        <v>89</v>
      </c>
      <c r="H792" s="522">
        <v>0.8</v>
      </c>
      <c r="I792" s="523">
        <v>26.159800000000001</v>
      </c>
      <c r="J792" s="523">
        <v>20.92</v>
      </c>
    </row>
    <row r="793" spans="1:10" x14ac:dyDescent="0.3">
      <c r="A793" s="519" t="s">
        <v>2437</v>
      </c>
      <c r="B793" s="520" t="s">
        <v>2912</v>
      </c>
      <c r="C793" s="519" t="s">
        <v>32</v>
      </c>
      <c r="D793" s="519" t="s">
        <v>2913</v>
      </c>
      <c r="E793" s="905" t="s">
        <v>2442</v>
      </c>
      <c r="F793" s="905"/>
      <c r="G793" s="521" t="s">
        <v>1369</v>
      </c>
      <c r="H793" s="522">
        <v>7.4999999999999997E-2</v>
      </c>
      <c r="I793" s="523">
        <v>19.84</v>
      </c>
      <c r="J793" s="523">
        <v>1.48</v>
      </c>
    </row>
    <row r="794" spans="1:10" ht="38" thickBot="1" x14ac:dyDescent="0.35">
      <c r="A794" s="519" t="s">
        <v>2437</v>
      </c>
      <c r="B794" s="520" t="s">
        <v>2882</v>
      </c>
      <c r="C794" s="519" t="s">
        <v>32</v>
      </c>
      <c r="D794" s="519" t="s">
        <v>4285</v>
      </c>
      <c r="E794" s="905" t="s">
        <v>2442</v>
      </c>
      <c r="F794" s="905"/>
      <c r="G794" s="521" t="s">
        <v>194</v>
      </c>
      <c r="H794" s="522">
        <v>6.4</v>
      </c>
      <c r="I794" s="523">
        <v>26.75</v>
      </c>
      <c r="J794" s="523">
        <v>171.2</v>
      </c>
    </row>
    <row r="795" spans="1:10" ht="14.5" thickTop="1" x14ac:dyDescent="0.3">
      <c r="A795" s="647"/>
      <c r="B795" s="647"/>
      <c r="C795" s="647"/>
      <c r="D795" s="647"/>
      <c r="E795" s="647"/>
      <c r="F795" s="647"/>
      <c r="G795" s="647"/>
      <c r="H795" s="647"/>
      <c r="I795" s="647"/>
      <c r="J795" s="647"/>
    </row>
    <row r="796" spans="1:10" s="358" customFormat="1" x14ac:dyDescent="0.3">
      <c r="A796" s="516"/>
      <c r="B796" s="517" t="s">
        <v>15</v>
      </c>
      <c r="C796" s="516" t="s">
        <v>16</v>
      </c>
      <c r="D796" s="516" t="s">
        <v>17</v>
      </c>
      <c r="E796" s="904" t="s">
        <v>2431</v>
      </c>
      <c r="F796" s="904"/>
      <c r="G796" s="518" t="s">
        <v>18</v>
      </c>
      <c r="H796" s="517" t="s">
        <v>19</v>
      </c>
      <c r="I796" s="517" t="s">
        <v>20</v>
      </c>
      <c r="J796" s="517" t="s">
        <v>23</v>
      </c>
    </row>
    <row r="797" spans="1:10" ht="25" x14ac:dyDescent="0.3">
      <c r="A797" s="642" t="s">
        <v>2432</v>
      </c>
      <c r="B797" s="643" t="s">
        <v>226</v>
      </c>
      <c r="C797" s="642" t="s">
        <v>32</v>
      </c>
      <c r="D797" s="642" t="s">
        <v>4227</v>
      </c>
      <c r="E797" s="906" t="s">
        <v>2558</v>
      </c>
      <c r="F797" s="906"/>
      <c r="G797" s="644" t="s">
        <v>115</v>
      </c>
      <c r="H797" s="645">
        <v>1</v>
      </c>
      <c r="I797" s="646">
        <v>22.73</v>
      </c>
      <c r="J797" s="646">
        <v>22.73</v>
      </c>
    </row>
    <row r="798" spans="1:10" s="358" customFormat="1" ht="25.5" customHeight="1" x14ac:dyDescent="0.3">
      <c r="A798" s="519" t="s">
        <v>2434</v>
      </c>
      <c r="B798" s="520" t="s">
        <v>2564</v>
      </c>
      <c r="C798" s="519" t="s">
        <v>32</v>
      </c>
      <c r="D798" s="519" t="s">
        <v>2565</v>
      </c>
      <c r="E798" s="905" t="s">
        <v>2465</v>
      </c>
      <c r="F798" s="905"/>
      <c r="G798" s="521" t="s">
        <v>103</v>
      </c>
      <c r="H798" s="522">
        <v>3.2599999999999997E-2</v>
      </c>
      <c r="I798" s="523">
        <v>204.43</v>
      </c>
      <c r="J798" s="523">
        <v>6.66</v>
      </c>
    </row>
    <row r="799" spans="1:10" ht="15" customHeight="1" x14ac:dyDescent="0.3">
      <c r="A799" s="519" t="s">
        <v>2434</v>
      </c>
      <c r="B799" s="520" t="s">
        <v>2566</v>
      </c>
      <c r="C799" s="519" t="s">
        <v>32</v>
      </c>
      <c r="D799" s="519" t="s">
        <v>2567</v>
      </c>
      <c r="E799" s="905" t="s">
        <v>2465</v>
      </c>
      <c r="F799" s="905"/>
      <c r="G799" s="521" t="s">
        <v>110</v>
      </c>
      <c r="H799" s="522">
        <v>8.9599999999999999E-2</v>
      </c>
      <c r="I799" s="523">
        <v>88.26</v>
      </c>
      <c r="J799" s="523">
        <v>7.9</v>
      </c>
    </row>
    <row r="800" spans="1:10" ht="25" x14ac:dyDescent="0.3">
      <c r="A800" s="519" t="s">
        <v>2434</v>
      </c>
      <c r="B800" s="520" t="s">
        <v>2757</v>
      </c>
      <c r="C800" s="519" t="s">
        <v>32</v>
      </c>
      <c r="D800" s="519" t="s">
        <v>2758</v>
      </c>
      <c r="E800" s="905" t="s">
        <v>2433</v>
      </c>
      <c r="F800" s="905"/>
      <c r="G800" s="521" t="s">
        <v>1901</v>
      </c>
      <c r="H800" s="522">
        <v>0.24329999999999999</v>
      </c>
      <c r="I800" s="523">
        <v>31.1</v>
      </c>
      <c r="J800" s="523">
        <v>7.56</v>
      </c>
    </row>
    <row r="801" spans="1:10" ht="50" x14ac:dyDescent="0.3">
      <c r="A801" s="519" t="s">
        <v>2434</v>
      </c>
      <c r="B801" s="520" t="s">
        <v>2883</v>
      </c>
      <c r="C801" s="519" t="s">
        <v>32</v>
      </c>
      <c r="D801" s="519" t="s">
        <v>2884</v>
      </c>
      <c r="E801" s="905" t="s">
        <v>2465</v>
      </c>
      <c r="F801" s="905"/>
      <c r="G801" s="521" t="s">
        <v>103</v>
      </c>
      <c r="H801" s="522">
        <v>5.2400000000000002E-2</v>
      </c>
      <c r="I801" s="523">
        <v>10.050000000000001</v>
      </c>
      <c r="J801" s="523">
        <v>0.52</v>
      </c>
    </row>
    <row r="802" spans="1:10" ht="14.25" customHeight="1" thickBot="1" x14ac:dyDescent="0.35">
      <c r="A802" s="519" t="s">
        <v>2434</v>
      </c>
      <c r="B802" s="520" t="s">
        <v>2885</v>
      </c>
      <c r="C802" s="519" t="s">
        <v>32</v>
      </c>
      <c r="D802" s="519" t="s">
        <v>2886</v>
      </c>
      <c r="E802" s="905" t="s">
        <v>2465</v>
      </c>
      <c r="F802" s="905"/>
      <c r="G802" s="521" t="s">
        <v>110</v>
      </c>
      <c r="H802" s="522">
        <v>8.3599999999999994E-2</v>
      </c>
      <c r="I802" s="523">
        <v>1.1000000000000001</v>
      </c>
      <c r="J802" s="523">
        <v>0.09</v>
      </c>
    </row>
    <row r="803" spans="1:10" ht="14.25" customHeight="1" thickTop="1" x14ac:dyDescent="0.3">
      <c r="A803" s="647"/>
      <c r="B803" s="647"/>
      <c r="C803" s="647"/>
      <c r="D803" s="647"/>
      <c r="E803" s="647"/>
      <c r="F803" s="647"/>
      <c r="G803" s="647"/>
      <c r="H803" s="647"/>
      <c r="I803" s="647"/>
      <c r="J803" s="647"/>
    </row>
    <row r="804" spans="1:10" ht="14.25" customHeight="1" x14ac:dyDescent="0.3">
      <c r="A804" s="516"/>
      <c r="B804" s="517" t="s">
        <v>15</v>
      </c>
      <c r="C804" s="516" t="s">
        <v>16</v>
      </c>
      <c r="D804" s="516" t="s">
        <v>17</v>
      </c>
      <c r="E804" s="904" t="s">
        <v>2431</v>
      </c>
      <c r="F804" s="904"/>
      <c r="G804" s="518" t="s">
        <v>18</v>
      </c>
      <c r="H804" s="517" t="s">
        <v>19</v>
      </c>
      <c r="I804" s="517" t="s">
        <v>20</v>
      </c>
      <c r="J804" s="517" t="s">
        <v>23</v>
      </c>
    </row>
    <row r="805" spans="1:10" x14ac:dyDescent="0.3">
      <c r="A805" s="642" t="s">
        <v>2432</v>
      </c>
      <c r="B805" s="643" t="s">
        <v>233</v>
      </c>
      <c r="C805" s="642" t="s">
        <v>125</v>
      </c>
      <c r="D805" s="642" t="s">
        <v>4484</v>
      </c>
      <c r="E805" s="906" t="s">
        <v>2930</v>
      </c>
      <c r="F805" s="906"/>
      <c r="G805" s="644" t="s">
        <v>118</v>
      </c>
      <c r="H805" s="645">
        <v>1</v>
      </c>
      <c r="I805" s="646">
        <v>626.30999999999995</v>
      </c>
      <c r="J805" s="646">
        <v>626.30999999999995</v>
      </c>
    </row>
    <row r="806" spans="1:10" ht="14.25" customHeight="1" x14ac:dyDescent="0.3">
      <c r="A806" s="904" t="s">
        <v>2418</v>
      </c>
      <c r="B806" s="903" t="s">
        <v>15</v>
      </c>
      <c r="C806" s="904" t="s">
        <v>16</v>
      </c>
      <c r="D806" s="904" t="s">
        <v>2466</v>
      </c>
      <c r="E806" s="903" t="s">
        <v>2467</v>
      </c>
      <c r="F806" s="908" t="s">
        <v>2468</v>
      </c>
      <c r="G806" s="903"/>
      <c r="H806" s="518" t="s">
        <v>2469</v>
      </c>
      <c r="I806" s="903" t="s">
        <v>2470</v>
      </c>
      <c r="J806"/>
    </row>
    <row r="807" spans="1:10" ht="14.25" customHeight="1" x14ac:dyDescent="0.3">
      <c r="A807" s="903"/>
      <c r="B807" s="903"/>
      <c r="C807" s="903"/>
      <c r="D807" s="903"/>
      <c r="E807" s="903"/>
      <c r="F807" s="517" t="s">
        <v>2471</v>
      </c>
      <c r="G807" s="517" t="s">
        <v>2472</v>
      </c>
      <c r="H807" s="517" t="s">
        <v>2471</v>
      </c>
      <c r="I807" s="903"/>
      <c r="J807"/>
    </row>
    <row r="808" spans="1:10" ht="15" customHeight="1" x14ac:dyDescent="0.3">
      <c r="A808" s="519" t="s">
        <v>2437</v>
      </c>
      <c r="B808" s="520" t="s">
        <v>2887</v>
      </c>
      <c r="C808" s="519" t="s">
        <v>125</v>
      </c>
      <c r="D808" s="519" t="s">
        <v>2888</v>
      </c>
      <c r="E808" s="522">
        <v>6.096E-2</v>
      </c>
      <c r="F808" s="523">
        <v>1</v>
      </c>
      <c r="G808" s="523">
        <v>0</v>
      </c>
      <c r="H808" s="524">
        <v>0.68179999999999996</v>
      </c>
      <c r="I808" s="524">
        <v>4.1599999999999998E-2</v>
      </c>
      <c r="J808"/>
    </row>
    <row r="809" spans="1:10" ht="14.25" customHeight="1" x14ac:dyDescent="0.3">
      <c r="A809" s="902"/>
      <c r="B809" s="902"/>
      <c r="C809" s="902"/>
      <c r="D809" s="902"/>
      <c r="E809" s="902"/>
      <c r="F809" s="902" t="s">
        <v>2475</v>
      </c>
      <c r="G809" s="902"/>
      <c r="H809" s="902"/>
      <c r="I809" s="525">
        <v>4.1599999999999998E-2</v>
      </c>
      <c r="J809"/>
    </row>
    <row r="810" spans="1:10" ht="14.25" customHeight="1" x14ac:dyDescent="0.3">
      <c r="A810" s="902"/>
      <c r="B810" s="902"/>
      <c r="C810" s="902"/>
      <c r="D810" s="902"/>
      <c r="E810" s="902"/>
      <c r="F810" s="902" t="s">
        <v>2476</v>
      </c>
      <c r="G810" s="902"/>
      <c r="H810" s="902"/>
      <c r="I810" s="525">
        <v>4.1599999999999998E-2</v>
      </c>
      <c r="J810"/>
    </row>
    <row r="811" spans="1:10" ht="15" customHeight="1" x14ac:dyDescent="0.3">
      <c r="A811" s="902"/>
      <c r="B811" s="902"/>
      <c r="C811" s="902"/>
      <c r="D811" s="902"/>
      <c r="E811" s="902"/>
      <c r="F811" s="902" t="s">
        <v>2477</v>
      </c>
      <c r="G811" s="902"/>
      <c r="H811" s="902"/>
      <c r="I811" s="525">
        <v>0</v>
      </c>
      <c r="J811"/>
    </row>
    <row r="812" spans="1:10" x14ac:dyDescent="0.3">
      <c r="A812" s="902"/>
      <c r="B812" s="902"/>
      <c r="C812" s="902"/>
      <c r="D812" s="902"/>
      <c r="E812" s="902"/>
      <c r="F812" s="902" t="s">
        <v>2478</v>
      </c>
      <c r="G812" s="902"/>
      <c r="H812" s="902"/>
      <c r="I812" s="525">
        <v>0</v>
      </c>
      <c r="J812"/>
    </row>
    <row r="813" spans="1:10" ht="14.25" customHeight="1" x14ac:dyDescent="0.3">
      <c r="A813" s="902"/>
      <c r="B813" s="902"/>
      <c r="C813" s="902"/>
      <c r="D813" s="902"/>
      <c r="E813" s="902"/>
      <c r="F813" s="902" t="s">
        <v>2479</v>
      </c>
      <c r="G813" s="902"/>
      <c r="H813" s="902"/>
      <c r="I813" s="525">
        <v>4.5999999999999999E-2</v>
      </c>
      <c r="J813"/>
    </row>
    <row r="814" spans="1:10" ht="15" customHeight="1" x14ac:dyDescent="0.3">
      <c r="A814" s="902"/>
      <c r="B814" s="902"/>
      <c r="C814" s="902"/>
      <c r="D814" s="902"/>
      <c r="E814" s="902"/>
      <c r="F814" s="902" t="s">
        <v>2480</v>
      </c>
      <c r="G814" s="902"/>
      <c r="H814" s="902"/>
      <c r="I814" s="525">
        <v>0.90490000000000004</v>
      </c>
      <c r="J814"/>
    </row>
    <row r="815" spans="1:10" ht="15" customHeight="1" x14ac:dyDescent="0.3">
      <c r="A815" s="516" t="s">
        <v>2574</v>
      </c>
      <c r="B815" s="517" t="s">
        <v>16</v>
      </c>
      <c r="C815" s="516" t="s">
        <v>15</v>
      </c>
      <c r="D815" s="516" t="s">
        <v>2575</v>
      </c>
      <c r="E815" s="517" t="s">
        <v>2467</v>
      </c>
      <c r="F815" s="517" t="s">
        <v>2576</v>
      </c>
      <c r="G815" s="903" t="s">
        <v>2577</v>
      </c>
      <c r="H815" s="903"/>
      <c r="I815" s="517" t="s">
        <v>2470</v>
      </c>
      <c r="J815"/>
    </row>
    <row r="816" spans="1:10" ht="25" x14ac:dyDescent="0.3">
      <c r="A816" s="519" t="s">
        <v>2578</v>
      </c>
      <c r="B816" s="520" t="s">
        <v>32</v>
      </c>
      <c r="C816" s="519">
        <v>88316</v>
      </c>
      <c r="D816" s="519" t="s">
        <v>2562</v>
      </c>
      <c r="E816" s="522">
        <v>23.079399599999999</v>
      </c>
      <c r="F816" s="521" t="s">
        <v>1901</v>
      </c>
      <c r="G816" s="907">
        <v>23.4</v>
      </c>
      <c r="H816" s="907"/>
      <c r="I816" s="524">
        <v>540.05799999999999</v>
      </c>
      <c r="J816"/>
    </row>
    <row r="817" spans="1:10" ht="15" customHeight="1" x14ac:dyDescent="0.3">
      <c r="A817" s="902"/>
      <c r="B817" s="902"/>
      <c r="C817" s="902"/>
      <c r="D817" s="902"/>
      <c r="E817" s="902"/>
      <c r="F817" s="902" t="s">
        <v>2579</v>
      </c>
      <c r="G817" s="902"/>
      <c r="H817" s="902"/>
      <c r="I817" s="525">
        <v>540.05799999999999</v>
      </c>
      <c r="J817"/>
    </row>
    <row r="818" spans="1:10" s="358" customFormat="1" ht="15" customHeight="1" x14ac:dyDescent="0.3">
      <c r="A818" s="516" t="s">
        <v>2580</v>
      </c>
      <c r="B818" s="517" t="s">
        <v>16</v>
      </c>
      <c r="C818" s="516" t="s">
        <v>2437</v>
      </c>
      <c r="D818" s="516" t="s">
        <v>2581</v>
      </c>
      <c r="E818" s="517" t="s">
        <v>15</v>
      </c>
      <c r="F818" s="517" t="s">
        <v>2467</v>
      </c>
      <c r="G818" s="518" t="s">
        <v>2576</v>
      </c>
      <c r="H818" s="517" t="s">
        <v>2577</v>
      </c>
      <c r="I818" s="517" t="s">
        <v>2470</v>
      </c>
      <c r="J818"/>
    </row>
    <row r="819" spans="1:10" ht="25" x14ac:dyDescent="0.3">
      <c r="A819" s="519" t="s">
        <v>2582</v>
      </c>
      <c r="B819" s="520" t="s">
        <v>125</v>
      </c>
      <c r="C819" s="519" t="s">
        <v>2889</v>
      </c>
      <c r="D819" s="519" t="s">
        <v>2890</v>
      </c>
      <c r="E819" s="520">
        <v>5915433</v>
      </c>
      <c r="F819" s="522">
        <v>2.5</v>
      </c>
      <c r="G819" s="521" t="s">
        <v>374</v>
      </c>
      <c r="H819" s="524">
        <v>34.14</v>
      </c>
      <c r="I819" s="524">
        <v>85.35</v>
      </c>
      <c r="J819"/>
    </row>
    <row r="820" spans="1:10" s="358" customFormat="1" ht="15" customHeight="1" x14ac:dyDescent="0.3">
      <c r="A820" s="902"/>
      <c r="B820" s="902"/>
      <c r="C820" s="902"/>
      <c r="D820" s="902"/>
      <c r="E820" s="902"/>
      <c r="F820" s="902" t="s">
        <v>2585</v>
      </c>
      <c r="G820" s="902"/>
      <c r="H820" s="902"/>
      <c r="I820" s="525">
        <v>85.35</v>
      </c>
      <c r="J820"/>
    </row>
    <row r="821" spans="1:10" ht="15" customHeight="1" x14ac:dyDescent="0.3">
      <c r="A821" s="516" t="s">
        <v>2586</v>
      </c>
      <c r="B821" s="517" t="s">
        <v>16</v>
      </c>
      <c r="C821" s="516" t="s">
        <v>2437</v>
      </c>
      <c r="D821" s="516" t="s">
        <v>2587</v>
      </c>
      <c r="E821" s="517" t="s">
        <v>2467</v>
      </c>
      <c r="F821" s="517" t="s">
        <v>2576</v>
      </c>
      <c r="G821" s="908" t="s">
        <v>2588</v>
      </c>
      <c r="H821" s="903"/>
      <c r="I821" s="517" t="s">
        <v>2470</v>
      </c>
      <c r="J821"/>
    </row>
    <row r="822" spans="1:10" x14ac:dyDescent="0.3">
      <c r="A822" s="518"/>
      <c r="B822" s="518"/>
      <c r="C822" s="518"/>
      <c r="D822" s="518"/>
      <c r="E822" s="518"/>
      <c r="F822" s="518"/>
      <c r="G822" s="518" t="s">
        <v>2589</v>
      </c>
      <c r="H822" s="518" t="s">
        <v>2590</v>
      </c>
      <c r="I822" s="518"/>
      <c r="J822"/>
    </row>
    <row r="823" spans="1:10" s="358" customFormat="1" ht="37.5" x14ac:dyDescent="0.3">
      <c r="A823" s="519" t="s">
        <v>2587</v>
      </c>
      <c r="B823" s="520" t="s">
        <v>125</v>
      </c>
      <c r="C823" s="519" t="s">
        <v>2889</v>
      </c>
      <c r="D823" s="519" t="s">
        <v>2891</v>
      </c>
      <c r="E823" s="522">
        <v>2.5</v>
      </c>
      <c r="F823" s="521" t="s">
        <v>2592</v>
      </c>
      <c r="G823" s="520" t="s">
        <v>4458</v>
      </c>
      <c r="H823" s="520" t="s">
        <v>4459</v>
      </c>
      <c r="I823" s="524">
        <v>0</v>
      </c>
      <c r="J823"/>
    </row>
    <row r="824" spans="1:10" ht="15" customHeight="1" thickBot="1" x14ac:dyDescent="0.35">
      <c r="A824" s="902"/>
      <c r="B824" s="902"/>
      <c r="C824" s="902"/>
      <c r="D824" s="902"/>
      <c r="E824" s="902"/>
      <c r="F824" s="902" t="s">
        <v>2593</v>
      </c>
      <c r="G824" s="902"/>
      <c r="H824" s="902"/>
      <c r="I824" s="525">
        <v>0</v>
      </c>
      <c r="J824"/>
    </row>
    <row r="825" spans="1:10" s="358" customFormat="1" ht="14.5" thickTop="1" x14ac:dyDescent="0.3">
      <c r="A825" s="647"/>
      <c r="B825" s="647"/>
      <c r="C825" s="647"/>
      <c r="D825" s="647"/>
      <c r="E825" s="647"/>
      <c r="F825" s="647"/>
      <c r="G825" s="647"/>
      <c r="H825" s="647"/>
      <c r="I825" s="647"/>
      <c r="J825" s="647"/>
    </row>
    <row r="826" spans="1:10" x14ac:dyDescent="0.3">
      <c r="A826" s="516"/>
      <c r="B826" s="517" t="s">
        <v>15</v>
      </c>
      <c r="C826" s="516" t="s">
        <v>16</v>
      </c>
      <c r="D826" s="516" t="s">
        <v>17</v>
      </c>
      <c r="E826" s="904" t="s">
        <v>2431</v>
      </c>
      <c r="F826" s="904"/>
      <c r="G826" s="518" t="s">
        <v>18</v>
      </c>
      <c r="H826" s="517" t="s">
        <v>19</v>
      </c>
      <c r="I826" s="517" t="s">
        <v>20</v>
      </c>
      <c r="J826" s="517" t="s">
        <v>23</v>
      </c>
    </row>
    <row r="827" spans="1:10" ht="25" x14ac:dyDescent="0.3">
      <c r="A827" s="642" t="s">
        <v>2432</v>
      </c>
      <c r="B827" s="643" t="s">
        <v>235</v>
      </c>
      <c r="C827" s="642" t="s">
        <v>32</v>
      </c>
      <c r="D827" s="642" t="s">
        <v>4228</v>
      </c>
      <c r="E827" s="906" t="s">
        <v>2558</v>
      </c>
      <c r="F827" s="906"/>
      <c r="G827" s="644" t="s">
        <v>118</v>
      </c>
      <c r="H827" s="645">
        <v>1</v>
      </c>
      <c r="I827" s="646">
        <v>62.38</v>
      </c>
      <c r="J827" s="646">
        <v>62.38</v>
      </c>
    </row>
    <row r="828" spans="1:10" ht="25" x14ac:dyDescent="0.3">
      <c r="A828" s="519" t="s">
        <v>2434</v>
      </c>
      <c r="B828" s="520" t="s">
        <v>2757</v>
      </c>
      <c r="C828" s="519" t="s">
        <v>32</v>
      </c>
      <c r="D828" s="519" t="s">
        <v>2758</v>
      </c>
      <c r="E828" s="905" t="s">
        <v>2433</v>
      </c>
      <c r="F828" s="905"/>
      <c r="G828" s="521" t="s">
        <v>1901</v>
      </c>
      <c r="H828" s="522">
        <v>0.35410000000000003</v>
      </c>
      <c r="I828" s="523">
        <v>31.1</v>
      </c>
      <c r="J828" s="523">
        <v>11.01</v>
      </c>
    </row>
    <row r="829" spans="1:10" ht="38.25" customHeight="1" thickBot="1" x14ac:dyDescent="0.35">
      <c r="A829" s="519" t="s">
        <v>2434</v>
      </c>
      <c r="B829" s="520" t="s">
        <v>2561</v>
      </c>
      <c r="C829" s="519" t="s">
        <v>32</v>
      </c>
      <c r="D829" s="519" t="s">
        <v>2562</v>
      </c>
      <c r="E829" s="905" t="s">
        <v>2433</v>
      </c>
      <c r="F829" s="905"/>
      <c r="G829" s="521" t="s">
        <v>1901</v>
      </c>
      <c r="H829" s="522">
        <v>2.1957</v>
      </c>
      <c r="I829" s="523">
        <v>23.4</v>
      </c>
      <c r="J829" s="523">
        <v>51.37</v>
      </c>
    </row>
    <row r="830" spans="1:10" ht="25.5" customHeight="1" thickTop="1" x14ac:dyDescent="0.3">
      <c r="A830" s="647"/>
      <c r="B830" s="647"/>
      <c r="C830" s="647"/>
      <c r="D830" s="647"/>
      <c r="E830" s="647"/>
      <c r="F830" s="647"/>
      <c r="G830" s="647"/>
      <c r="H830" s="647"/>
      <c r="I830" s="647"/>
      <c r="J830" s="647"/>
    </row>
    <row r="831" spans="1:10" x14ac:dyDescent="0.3">
      <c r="A831" s="516"/>
      <c r="B831" s="517" t="s">
        <v>15</v>
      </c>
      <c r="C831" s="516" t="s">
        <v>16</v>
      </c>
      <c r="D831" s="516" t="s">
        <v>17</v>
      </c>
      <c r="E831" s="904" t="s">
        <v>2431</v>
      </c>
      <c r="F831" s="904"/>
      <c r="G831" s="518" t="s">
        <v>18</v>
      </c>
      <c r="H831" s="517" t="s">
        <v>19</v>
      </c>
      <c r="I831" s="517" t="s">
        <v>20</v>
      </c>
      <c r="J831" s="517" t="s">
        <v>23</v>
      </c>
    </row>
    <row r="832" spans="1:10" s="358" customFormat="1" ht="37.5" x14ac:dyDescent="0.3">
      <c r="A832" s="642" t="s">
        <v>2432</v>
      </c>
      <c r="B832" s="643" t="s">
        <v>242</v>
      </c>
      <c r="C832" s="642" t="s">
        <v>243</v>
      </c>
      <c r="D832" s="642" t="s">
        <v>4409</v>
      </c>
      <c r="E832" s="906">
        <v>201</v>
      </c>
      <c r="F832" s="906"/>
      <c r="G832" s="644" t="s">
        <v>118</v>
      </c>
      <c r="H832" s="645">
        <v>1</v>
      </c>
      <c r="I832" s="646">
        <v>310.31</v>
      </c>
      <c r="J832" s="646">
        <v>310.31</v>
      </c>
    </row>
    <row r="833" spans="1:10" ht="25" x14ac:dyDescent="0.3">
      <c r="A833" s="519" t="s">
        <v>2434</v>
      </c>
      <c r="B833" s="520" t="s">
        <v>2892</v>
      </c>
      <c r="C833" s="519" t="s">
        <v>243</v>
      </c>
      <c r="D833" s="519" t="s">
        <v>2893</v>
      </c>
      <c r="E833" s="905">
        <v>6</v>
      </c>
      <c r="F833" s="905"/>
      <c r="G833" s="521" t="s">
        <v>118</v>
      </c>
      <c r="H833" s="522">
        <v>2</v>
      </c>
      <c r="I833" s="523">
        <v>35.1</v>
      </c>
      <c r="J833" s="523">
        <v>70.2</v>
      </c>
    </row>
    <row r="834" spans="1:10" s="358" customFormat="1" ht="25" x14ac:dyDescent="0.3">
      <c r="A834" s="519" t="s">
        <v>2434</v>
      </c>
      <c r="B834" s="520" t="s">
        <v>2561</v>
      </c>
      <c r="C834" s="519" t="s">
        <v>32</v>
      </c>
      <c r="D834" s="519" t="s">
        <v>2562</v>
      </c>
      <c r="E834" s="905" t="s">
        <v>2433</v>
      </c>
      <c r="F834" s="905"/>
      <c r="G834" s="521" t="s">
        <v>1901</v>
      </c>
      <c r="H834" s="522">
        <v>1</v>
      </c>
      <c r="I834" s="523">
        <v>23.4</v>
      </c>
      <c r="J834" s="523">
        <v>23.4</v>
      </c>
    </row>
    <row r="835" spans="1:10" ht="25" x14ac:dyDescent="0.3">
      <c r="A835" s="519" t="s">
        <v>2434</v>
      </c>
      <c r="B835" s="520" t="s">
        <v>2894</v>
      </c>
      <c r="C835" s="519" t="s">
        <v>32</v>
      </c>
      <c r="D835" s="519" t="s">
        <v>2895</v>
      </c>
      <c r="E835" s="905" t="s">
        <v>2433</v>
      </c>
      <c r="F835" s="905"/>
      <c r="G835" s="521" t="s">
        <v>1901</v>
      </c>
      <c r="H835" s="522">
        <v>2</v>
      </c>
      <c r="I835" s="523">
        <v>25.72</v>
      </c>
      <c r="J835" s="523">
        <v>51.44</v>
      </c>
    </row>
    <row r="836" spans="1:10" ht="38.25" customHeight="1" x14ac:dyDescent="0.3">
      <c r="A836" s="519" t="s">
        <v>2434</v>
      </c>
      <c r="B836" s="520" t="s">
        <v>2896</v>
      </c>
      <c r="C836" s="519" t="s">
        <v>32</v>
      </c>
      <c r="D836" s="519" t="s">
        <v>2897</v>
      </c>
      <c r="E836" s="905" t="s">
        <v>2465</v>
      </c>
      <c r="F836" s="905"/>
      <c r="G836" s="521" t="s">
        <v>103</v>
      </c>
      <c r="H836" s="522">
        <v>1</v>
      </c>
      <c r="I836" s="523">
        <v>72.709999999999994</v>
      </c>
      <c r="J836" s="523">
        <v>72.709999999999994</v>
      </c>
    </row>
    <row r="837" spans="1:10" ht="25.5" customHeight="1" x14ac:dyDescent="0.3">
      <c r="A837" s="519" t="s">
        <v>2434</v>
      </c>
      <c r="B837" s="520" t="s">
        <v>2898</v>
      </c>
      <c r="C837" s="519" t="s">
        <v>32</v>
      </c>
      <c r="D837" s="519" t="s">
        <v>2899</v>
      </c>
      <c r="E837" s="905" t="s">
        <v>2465</v>
      </c>
      <c r="F837" s="905"/>
      <c r="G837" s="521" t="s">
        <v>103</v>
      </c>
      <c r="H837" s="522">
        <v>2</v>
      </c>
      <c r="I837" s="523">
        <v>30.06</v>
      </c>
      <c r="J837" s="523">
        <v>60.12</v>
      </c>
    </row>
    <row r="838" spans="1:10" s="358" customFormat="1" ht="14.5" thickBot="1" x14ac:dyDescent="0.35">
      <c r="A838" s="519" t="s">
        <v>2437</v>
      </c>
      <c r="B838" s="520" t="s">
        <v>4485</v>
      </c>
      <c r="C838" s="519" t="s">
        <v>125</v>
      </c>
      <c r="D838" s="519" t="s">
        <v>4486</v>
      </c>
      <c r="E838" s="905" t="s">
        <v>2442</v>
      </c>
      <c r="F838" s="905"/>
      <c r="G838" s="521" t="s">
        <v>2829</v>
      </c>
      <c r="H838" s="522">
        <v>6</v>
      </c>
      <c r="I838" s="523">
        <v>5.4069000000000003</v>
      </c>
      <c r="J838" s="523">
        <v>32.44</v>
      </c>
    </row>
    <row r="839" spans="1:10" ht="14.5" thickTop="1" x14ac:dyDescent="0.3">
      <c r="A839" s="647"/>
      <c r="B839" s="647"/>
      <c r="C839" s="647"/>
      <c r="D839" s="647"/>
      <c r="E839" s="647"/>
      <c r="F839" s="647"/>
      <c r="G839" s="647"/>
      <c r="H839" s="647"/>
      <c r="I839" s="647"/>
      <c r="J839" s="647"/>
    </row>
    <row r="840" spans="1:10" s="358" customFormat="1" x14ac:dyDescent="0.3">
      <c r="A840" s="516"/>
      <c r="B840" s="517" t="s">
        <v>15</v>
      </c>
      <c r="C840" s="516" t="s">
        <v>16</v>
      </c>
      <c r="D840" s="516" t="s">
        <v>17</v>
      </c>
      <c r="E840" s="904" t="s">
        <v>2431</v>
      </c>
      <c r="F840" s="904"/>
      <c r="G840" s="518" t="s">
        <v>18</v>
      </c>
      <c r="H840" s="517" t="s">
        <v>19</v>
      </c>
      <c r="I840" s="517" t="s">
        <v>20</v>
      </c>
      <c r="J840" s="517" t="s">
        <v>23</v>
      </c>
    </row>
    <row r="841" spans="1:10" ht="50" x14ac:dyDescent="0.3">
      <c r="A841" s="642" t="s">
        <v>2432</v>
      </c>
      <c r="B841" s="643" t="s">
        <v>250</v>
      </c>
      <c r="C841" s="642" t="s">
        <v>251</v>
      </c>
      <c r="D841" s="642" t="s">
        <v>4410</v>
      </c>
      <c r="E841" s="906">
        <v>5</v>
      </c>
      <c r="F841" s="906"/>
      <c r="G841" s="644" t="s">
        <v>252</v>
      </c>
      <c r="H841" s="645">
        <v>1</v>
      </c>
      <c r="I841" s="646">
        <v>11.96</v>
      </c>
      <c r="J841" s="646">
        <v>11.96</v>
      </c>
    </row>
    <row r="842" spans="1:10" ht="25" x14ac:dyDescent="0.3">
      <c r="A842" s="519" t="s">
        <v>2434</v>
      </c>
      <c r="B842" s="520" t="s">
        <v>2901</v>
      </c>
      <c r="C842" s="519" t="s">
        <v>32</v>
      </c>
      <c r="D842" s="519" t="s">
        <v>2902</v>
      </c>
      <c r="E842" s="905" t="s">
        <v>2433</v>
      </c>
      <c r="F842" s="905"/>
      <c r="G842" s="521" t="s">
        <v>1901</v>
      </c>
      <c r="H842" s="522">
        <v>6.25E-2</v>
      </c>
      <c r="I842" s="523">
        <v>25.78</v>
      </c>
      <c r="J842" s="523">
        <v>1.61</v>
      </c>
    </row>
    <row r="843" spans="1:10" ht="25" x14ac:dyDescent="0.3">
      <c r="A843" s="519" t="s">
        <v>2434</v>
      </c>
      <c r="B843" s="520" t="s">
        <v>2561</v>
      </c>
      <c r="C843" s="519" t="s">
        <v>32</v>
      </c>
      <c r="D843" s="519" t="s">
        <v>2562</v>
      </c>
      <c r="E843" s="905" t="s">
        <v>2433</v>
      </c>
      <c r="F843" s="905"/>
      <c r="G843" s="521" t="s">
        <v>1901</v>
      </c>
      <c r="H843" s="522">
        <v>0.125</v>
      </c>
      <c r="I843" s="523">
        <v>23.4</v>
      </c>
      <c r="J843" s="523">
        <v>2.92</v>
      </c>
    </row>
    <row r="844" spans="1:10" ht="25.5" customHeight="1" x14ac:dyDescent="0.3">
      <c r="A844" s="519" t="s">
        <v>2434</v>
      </c>
      <c r="B844" s="520" t="s">
        <v>2898</v>
      </c>
      <c r="C844" s="519" t="s">
        <v>32</v>
      </c>
      <c r="D844" s="519" t="s">
        <v>2899</v>
      </c>
      <c r="E844" s="905" t="s">
        <v>2465</v>
      </c>
      <c r="F844" s="905"/>
      <c r="G844" s="521" t="s">
        <v>103</v>
      </c>
      <c r="H844" s="522">
        <v>0.1</v>
      </c>
      <c r="I844" s="523">
        <v>30.06</v>
      </c>
      <c r="J844" s="523">
        <v>3</v>
      </c>
    </row>
    <row r="845" spans="1:10" ht="25.5" customHeight="1" x14ac:dyDescent="0.3">
      <c r="A845" s="519" t="s">
        <v>2434</v>
      </c>
      <c r="B845" s="520" t="s">
        <v>2919</v>
      </c>
      <c r="C845" s="519" t="s">
        <v>32</v>
      </c>
      <c r="D845" s="519" t="s">
        <v>2920</v>
      </c>
      <c r="E845" s="905" t="s">
        <v>2465</v>
      </c>
      <c r="F845" s="905"/>
      <c r="G845" s="521" t="s">
        <v>110</v>
      </c>
      <c r="H845" s="522">
        <v>2.5000000000000001E-2</v>
      </c>
      <c r="I845" s="523">
        <v>27.87</v>
      </c>
      <c r="J845" s="523">
        <v>0.69</v>
      </c>
    </row>
    <row r="846" spans="1:10" ht="38.25" customHeight="1" x14ac:dyDescent="0.3">
      <c r="A846" s="519" t="s">
        <v>2434</v>
      </c>
      <c r="B846" s="520" t="s">
        <v>4487</v>
      </c>
      <c r="C846" s="519" t="s">
        <v>32</v>
      </c>
      <c r="D846" s="519" t="s">
        <v>4488</v>
      </c>
      <c r="E846" s="905" t="s">
        <v>2465</v>
      </c>
      <c r="F846" s="905"/>
      <c r="G846" s="521" t="s">
        <v>110</v>
      </c>
      <c r="H846" s="522">
        <v>1.2500000000000001E-2</v>
      </c>
      <c r="I846" s="523">
        <v>9.0299999999999994</v>
      </c>
      <c r="J846" s="523">
        <v>0.11</v>
      </c>
    </row>
    <row r="847" spans="1:10" ht="39" customHeight="1" thickBot="1" x14ac:dyDescent="0.35">
      <c r="A847" s="519" t="s">
        <v>2434</v>
      </c>
      <c r="B847" s="520" t="s">
        <v>2896</v>
      </c>
      <c r="C847" s="519" t="s">
        <v>32</v>
      </c>
      <c r="D847" s="519" t="s">
        <v>2897</v>
      </c>
      <c r="E847" s="905" t="s">
        <v>2465</v>
      </c>
      <c r="F847" s="905"/>
      <c r="G847" s="521" t="s">
        <v>103</v>
      </c>
      <c r="H847" s="522">
        <v>0.05</v>
      </c>
      <c r="I847" s="523">
        <v>72.709999999999994</v>
      </c>
      <c r="J847" s="523">
        <v>3.63</v>
      </c>
    </row>
    <row r="848" spans="1:10" ht="14.5" thickTop="1" x14ac:dyDescent="0.3">
      <c r="A848" s="647"/>
      <c r="B848" s="647"/>
      <c r="C848" s="647"/>
      <c r="D848" s="647"/>
      <c r="E848" s="647"/>
      <c r="F848" s="647"/>
      <c r="G848" s="647"/>
      <c r="H848" s="647"/>
      <c r="I848" s="647"/>
      <c r="J848" s="647"/>
    </row>
    <row r="849" spans="1:10" s="358" customFormat="1" x14ac:dyDescent="0.3">
      <c r="A849" s="516"/>
      <c r="B849" s="517" t="s">
        <v>15</v>
      </c>
      <c r="C849" s="516" t="s">
        <v>16</v>
      </c>
      <c r="D849" s="516" t="s">
        <v>17</v>
      </c>
      <c r="E849" s="904" t="s">
        <v>2431</v>
      </c>
      <c r="F849" s="904"/>
      <c r="G849" s="518" t="s">
        <v>18</v>
      </c>
      <c r="H849" s="517" t="s">
        <v>19</v>
      </c>
      <c r="I849" s="517" t="s">
        <v>20</v>
      </c>
      <c r="J849" s="517" t="s">
        <v>23</v>
      </c>
    </row>
    <row r="850" spans="1:10" ht="37.5" x14ac:dyDescent="0.3">
      <c r="A850" s="642" t="s">
        <v>2432</v>
      </c>
      <c r="B850" s="643" t="s">
        <v>254</v>
      </c>
      <c r="C850" s="642" t="s">
        <v>32</v>
      </c>
      <c r="D850" s="642" t="s">
        <v>4229</v>
      </c>
      <c r="E850" s="906" t="s">
        <v>2903</v>
      </c>
      <c r="F850" s="906"/>
      <c r="G850" s="644" t="s">
        <v>118</v>
      </c>
      <c r="H850" s="645">
        <v>1</v>
      </c>
      <c r="I850" s="646">
        <v>767.76</v>
      </c>
      <c r="J850" s="646">
        <v>767.76</v>
      </c>
    </row>
    <row r="851" spans="1:10" s="358" customFormat="1" ht="25" x14ac:dyDescent="0.3">
      <c r="A851" s="519" t="s">
        <v>2434</v>
      </c>
      <c r="B851" s="520" t="s">
        <v>2618</v>
      </c>
      <c r="C851" s="519" t="s">
        <v>32</v>
      </c>
      <c r="D851" s="519" t="s">
        <v>2619</v>
      </c>
      <c r="E851" s="905" t="s">
        <v>2433</v>
      </c>
      <c r="F851" s="905"/>
      <c r="G851" s="521" t="s">
        <v>1901</v>
      </c>
      <c r="H851" s="522">
        <v>1.6268</v>
      </c>
      <c r="I851" s="523">
        <v>30.71</v>
      </c>
      <c r="J851" s="523">
        <v>49.95</v>
      </c>
    </row>
    <row r="852" spans="1:10" ht="25" x14ac:dyDescent="0.3">
      <c r="A852" s="519" t="s">
        <v>2434</v>
      </c>
      <c r="B852" s="520" t="s">
        <v>2757</v>
      </c>
      <c r="C852" s="519" t="s">
        <v>32</v>
      </c>
      <c r="D852" s="519" t="s">
        <v>2758</v>
      </c>
      <c r="E852" s="905" t="s">
        <v>2433</v>
      </c>
      <c r="F852" s="905"/>
      <c r="G852" s="521" t="s">
        <v>1901</v>
      </c>
      <c r="H852" s="522">
        <v>1.4149</v>
      </c>
      <c r="I852" s="523">
        <v>31.1</v>
      </c>
      <c r="J852" s="523">
        <v>44</v>
      </c>
    </row>
    <row r="853" spans="1:10" s="358" customFormat="1" ht="25" x14ac:dyDescent="0.3">
      <c r="A853" s="519" t="s">
        <v>2434</v>
      </c>
      <c r="B853" s="520" t="s">
        <v>2561</v>
      </c>
      <c r="C853" s="519" t="s">
        <v>32</v>
      </c>
      <c r="D853" s="519" t="s">
        <v>2562</v>
      </c>
      <c r="E853" s="905" t="s">
        <v>2433</v>
      </c>
      <c r="F853" s="905"/>
      <c r="G853" s="521" t="s">
        <v>1901</v>
      </c>
      <c r="H853" s="522">
        <v>3.0417000000000001</v>
      </c>
      <c r="I853" s="523">
        <v>23.4</v>
      </c>
      <c r="J853" s="523">
        <v>71.17</v>
      </c>
    </row>
    <row r="854" spans="1:10" ht="37.5" x14ac:dyDescent="0.3">
      <c r="A854" s="519" t="s">
        <v>2434</v>
      </c>
      <c r="B854" s="520" t="s">
        <v>2904</v>
      </c>
      <c r="C854" s="519" t="s">
        <v>32</v>
      </c>
      <c r="D854" s="519" t="s">
        <v>2905</v>
      </c>
      <c r="E854" s="905" t="s">
        <v>2617</v>
      </c>
      <c r="F854" s="905"/>
      <c r="G854" s="521" t="s">
        <v>118</v>
      </c>
      <c r="H854" s="522">
        <v>1.2315</v>
      </c>
      <c r="I854" s="523">
        <v>468.89</v>
      </c>
      <c r="J854" s="523">
        <v>577.42999999999995</v>
      </c>
    </row>
    <row r="855" spans="1:10" s="358" customFormat="1" ht="25" x14ac:dyDescent="0.3">
      <c r="A855" s="519" t="s">
        <v>2437</v>
      </c>
      <c r="B855" s="520" t="s">
        <v>2906</v>
      </c>
      <c r="C855" s="519" t="s">
        <v>32</v>
      </c>
      <c r="D855" s="519" t="s">
        <v>2907</v>
      </c>
      <c r="E855" s="905" t="s">
        <v>2442</v>
      </c>
      <c r="F855" s="905"/>
      <c r="G855" s="521" t="s">
        <v>2900</v>
      </c>
      <c r="H855" s="522">
        <v>2.1299999999999999E-2</v>
      </c>
      <c r="I855" s="523">
        <v>7.96</v>
      </c>
      <c r="J855" s="523">
        <v>0.16</v>
      </c>
    </row>
    <row r="856" spans="1:10" ht="25" x14ac:dyDescent="0.3">
      <c r="A856" s="519" t="s">
        <v>2437</v>
      </c>
      <c r="B856" s="520" t="s">
        <v>2908</v>
      </c>
      <c r="C856" s="519" t="s">
        <v>32</v>
      </c>
      <c r="D856" s="519" t="s">
        <v>2909</v>
      </c>
      <c r="E856" s="905" t="s">
        <v>2442</v>
      </c>
      <c r="F856" s="905"/>
      <c r="G856" s="521" t="s">
        <v>194</v>
      </c>
      <c r="H856" s="522">
        <v>3.125</v>
      </c>
      <c r="I856" s="523">
        <v>3.94</v>
      </c>
      <c r="J856" s="523">
        <v>12.31</v>
      </c>
    </row>
    <row r="857" spans="1:10" ht="25" x14ac:dyDescent="0.3">
      <c r="A857" s="519" t="s">
        <v>2437</v>
      </c>
      <c r="B857" s="520" t="s">
        <v>2910</v>
      </c>
      <c r="C857" s="519" t="s">
        <v>32</v>
      </c>
      <c r="D857" s="519" t="s">
        <v>2911</v>
      </c>
      <c r="E857" s="905" t="s">
        <v>2442</v>
      </c>
      <c r="F857" s="905"/>
      <c r="G857" s="521" t="s">
        <v>194</v>
      </c>
      <c r="H857" s="522">
        <v>2.5</v>
      </c>
      <c r="I857" s="523">
        <v>2.72</v>
      </c>
      <c r="J857" s="523">
        <v>6.8</v>
      </c>
    </row>
    <row r="858" spans="1:10" ht="14.5" thickBot="1" x14ac:dyDescent="0.35">
      <c r="A858" s="519" t="s">
        <v>2437</v>
      </c>
      <c r="B858" s="520" t="s">
        <v>2912</v>
      </c>
      <c r="C858" s="519" t="s">
        <v>32</v>
      </c>
      <c r="D858" s="519" t="s">
        <v>2913</v>
      </c>
      <c r="E858" s="905" t="s">
        <v>2442</v>
      </c>
      <c r="F858" s="905"/>
      <c r="G858" s="521" t="s">
        <v>1369</v>
      </c>
      <c r="H858" s="522">
        <v>0.2994</v>
      </c>
      <c r="I858" s="523">
        <v>19.84</v>
      </c>
      <c r="J858" s="523">
        <v>5.94</v>
      </c>
    </row>
    <row r="859" spans="1:10" ht="14.5" thickTop="1" x14ac:dyDescent="0.3">
      <c r="A859" s="647"/>
      <c r="B859" s="647"/>
      <c r="C859" s="647"/>
      <c r="D859" s="647"/>
      <c r="E859" s="647"/>
      <c r="F859" s="647"/>
      <c r="G859" s="647"/>
      <c r="H859" s="647"/>
      <c r="I859" s="647"/>
      <c r="J859" s="647"/>
    </row>
    <row r="860" spans="1:10" x14ac:dyDescent="0.3">
      <c r="A860" s="516"/>
      <c r="B860" s="517" t="s">
        <v>15</v>
      </c>
      <c r="C860" s="516" t="s">
        <v>16</v>
      </c>
      <c r="D860" s="516" t="s">
        <v>17</v>
      </c>
      <c r="E860" s="904" t="s">
        <v>2431</v>
      </c>
      <c r="F860" s="904"/>
      <c r="G860" s="518" t="s">
        <v>18</v>
      </c>
      <c r="H860" s="517" t="s">
        <v>19</v>
      </c>
      <c r="I860" s="517" t="s">
        <v>20</v>
      </c>
      <c r="J860" s="517" t="s">
        <v>23</v>
      </c>
    </row>
    <row r="861" spans="1:10" x14ac:dyDescent="0.3">
      <c r="A861" s="642" t="s">
        <v>2432</v>
      </c>
      <c r="B861" s="643" t="s">
        <v>256</v>
      </c>
      <c r="C861" s="642" t="s">
        <v>257</v>
      </c>
      <c r="D861" s="642" t="s">
        <v>258</v>
      </c>
      <c r="E861" s="906" t="s">
        <v>2914</v>
      </c>
      <c r="F861" s="906"/>
      <c r="G861" s="644" t="s">
        <v>194</v>
      </c>
      <c r="H861" s="645">
        <v>1</v>
      </c>
      <c r="I861" s="646">
        <v>82.29</v>
      </c>
      <c r="J861" s="646">
        <v>82.29</v>
      </c>
    </row>
    <row r="862" spans="1:10" ht="25.5" thickBot="1" x14ac:dyDescent="0.35">
      <c r="A862" s="519" t="s">
        <v>2434</v>
      </c>
      <c r="B862" s="520" t="s">
        <v>2561</v>
      </c>
      <c r="C862" s="519" t="s">
        <v>32</v>
      </c>
      <c r="D862" s="519" t="s">
        <v>2562</v>
      </c>
      <c r="E862" s="905" t="s">
        <v>2433</v>
      </c>
      <c r="F862" s="905"/>
      <c r="G862" s="521" t="s">
        <v>1901</v>
      </c>
      <c r="H862" s="522">
        <v>3.5169999999999999</v>
      </c>
      <c r="I862" s="523">
        <v>23.4</v>
      </c>
      <c r="J862" s="523">
        <v>82.29</v>
      </c>
    </row>
    <row r="863" spans="1:10" s="358" customFormat="1" ht="14.5" thickTop="1" x14ac:dyDescent="0.3">
      <c r="A863" s="647"/>
      <c r="B863" s="647"/>
      <c r="C863" s="647"/>
      <c r="D863" s="647"/>
      <c r="E863" s="647"/>
      <c r="F863" s="647"/>
      <c r="G863" s="647"/>
      <c r="H863" s="647"/>
      <c r="I863" s="647"/>
      <c r="J863" s="647"/>
    </row>
    <row r="864" spans="1:10" x14ac:dyDescent="0.3">
      <c r="A864" s="516"/>
      <c r="B864" s="517" t="s">
        <v>15</v>
      </c>
      <c r="C864" s="516" t="s">
        <v>16</v>
      </c>
      <c r="D864" s="516" t="s">
        <v>17</v>
      </c>
      <c r="E864" s="904" t="s">
        <v>2431</v>
      </c>
      <c r="F864" s="904"/>
      <c r="G864" s="518" t="s">
        <v>18</v>
      </c>
      <c r="H864" s="517" t="s">
        <v>19</v>
      </c>
      <c r="I864" s="517" t="s">
        <v>20</v>
      </c>
      <c r="J864" s="517" t="s">
        <v>23</v>
      </c>
    </row>
    <row r="865" spans="1:10" s="358" customFormat="1" ht="25" x14ac:dyDescent="0.3">
      <c r="A865" s="642" t="s">
        <v>2432</v>
      </c>
      <c r="B865" s="643" t="s">
        <v>260</v>
      </c>
      <c r="C865" s="642" t="s">
        <v>257</v>
      </c>
      <c r="D865" s="642" t="s">
        <v>261</v>
      </c>
      <c r="E865" s="906" t="s">
        <v>2915</v>
      </c>
      <c r="F865" s="906"/>
      <c r="G865" s="644" t="s">
        <v>194</v>
      </c>
      <c r="H865" s="645">
        <v>1</v>
      </c>
      <c r="I865" s="646">
        <v>69.680000000000007</v>
      </c>
      <c r="J865" s="646">
        <v>69.680000000000007</v>
      </c>
    </row>
    <row r="866" spans="1:10" ht="25" x14ac:dyDescent="0.3">
      <c r="A866" s="519" t="s">
        <v>2434</v>
      </c>
      <c r="B866" s="520" t="s">
        <v>2757</v>
      </c>
      <c r="C866" s="519" t="s">
        <v>32</v>
      </c>
      <c r="D866" s="519" t="s">
        <v>2758</v>
      </c>
      <c r="E866" s="905" t="s">
        <v>2433</v>
      </c>
      <c r="F866" s="905"/>
      <c r="G866" s="521" t="s">
        <v>1901</v>
      </c>
      <c r="H866" s="522">
        <v>0.35199999999999998</v>
      </c>
      <c r="I866" s="523">
        <v>31.1</v>
      </c>
      <c r="J866" s="523">
        <v>10.94</v>
      </c>
    </row>
    <row r="867" spans="1:10" s="358" customFormat="1" ht="25" x14ac:dyDescent="0.3">
      <c r="A867" s="519" t="s">
        <v>2434</v>
      </c>
      <c r="B867" s="520" t="s">
        <v>2561</v>
      </c>
      <c r="C867" s="519" t="s">
        <v>32</v>
      </c>
      <c r="D867" s="519" t="s">
        <v>2562</v>
      </c>
      <c r="E867" s="905" t="s">
        <v>2433</v>
      </c>
      <c r="F867" s="905"/>
      <c r="G867" s="521" t="s">
        <v>1901</v>
      </c>
      <c r="H867" s="522">
        <v>0.46800000000000003</v>
      </c>
      <c r="I867" s="523">
        <v>23.4</v>
      </c>
      <c r="J867" s="523">
        <v>10.95</v>
      </c>
    </row>
    <row r="868" spans="1:10" x14ac:dyDescent="0.3">
      <c r="A868" s="519" t="s">
        <v>2437</v>
      </c>
      <c r="B868" s="520" t="s">
        <v>2916</v>
      </c>
      <c r="C868" s="519" t="s">
        <v>125</v>
      </c>
      <c r="D868" s="519" t="s">
        <v>2917</v>
      </c>
      <c r="E868" s="905" t="s">
        <v>2442</v>
      </c>
      <c r="F868" s="905"/>
      <c r="G868" s="521" t="s">
        <v>118</v>
      </c>
      <c r="H868" s="522">
        <v>6.7000000000000004E-2</v>
      </c>
      <c r="I868" s="523">
        <v>137.15989999999999</v>
      </c>
      <c r="J868" s="523">
        <v>9.18</v>
      </c>
    </row>
    <row r="869" spans="1:10" s="358" customFormat="1" x14ac:dyDescent="0.3">
      <c r="A869" s="519" t="s">
        <v>2437</v>
      </c>
      <c r="B869" s="520" t="s">
        <v>2818</v>
      </c>
      <c r="C869" s="519" t="s">
        <v>125</v>
      </c>
      <c r="D869" s="519" t="s">
        <v>2819</v>
      </c>
      <c r="E869" s="905" t="s">
        <v>2442</v>
      </c>
      <c r="F869" s="905"/>
      <c r="G869" s="521" t="s">
        <v>118</v>
      </c>
      <c r="H869" s="522">
        <v>8.1000000000000003E-2</v>
      </c>
      <c r="I869" s="523">
        <v>120.4661</v>
      </c>
      <c r="J869" s="523">
        <v>9.75</v>
      </c>
    </row>
    <row r="870" spans="1:10" ht="25.5" customHeight="1" x14ac:dyDescent="0.3">
      <c r="A870" s="519" t="s">
        <v>2437</v>
      </c>
      <c r="B870" s="520" t="s">
        <v>2918</v>
      </c>
      <c r="C870" s="519" t="s">
        <v>32</v>
      </c>
      <c r="D870" s="519" t="s">
        <v>4286</v>
      </c>
      <c r="E870" s="905" t="s">
        <v>2442</v>
      </c>
      <c r="F870" s="905"/>
      <c r="G870" s="521" t="s">
        <v>194</v>
      </c>
      <c r="H870" s="522">
        <v>0.39800000000000002</v>
      </c>
      <c r="I870" s="523">
        <v>18.329999999999998</v>
      </c>
      <c r="J870" s="523">
        <v>7.29</v>
      </c>
    </row>
    <row r="871" spans="1:10" ht="25.5" customHeight="1" x14ac:dyDescent="0.3">
      <c r="A871" s="519" t="s">
        <v>2437</v>
      </c>
      <c r="B871" s="520" t="s">
        <v>2622</v>
      </c>
      <c r="C871" s="519" t="s">
        <v>32</v>
      </c>
      <c r="D871" s="519" t="s">
        <v>2623</v>
      </c>
      <c r="E871" s="905" t="s">
        <v>2442</v>
      </c>
      <c r="F871" s="905"/>
      <c r="G871" s="521" t="s">
        <v>194</v>
      </c>
      <c r="H871" s="522">
        <v>0.13600000000000001</v>
      </c>
      <c r="I871" s="523">
        <v>7.78</v>
      </c>
      <c r="J871" s="523">
        <v>1.05</v>
      </c>
    </row>
    <row r="872" spans="1:10" ht="14.5" thickBot="1" x14ac:dyDescent="0.35">
      <c r="A872" s="519" t="s">
        <v>2437</v>
      </c>
      <c r="B872" s="520" t="s">
        <v>4489</v>
      </c>
      <c r="C872" s="519" t="s">
        <v>257</v>
      </c>
      <c r="D872" s="519" t="s">
        <v>4490</v>
      </c>
      <c r="E872" s="905" t="s">
        <v>2442</v>
      </c>
      <c r="F872" s="905"/>
      <c r="G872" s="521" t="s">
        <v>1369</v>
      </c>
      <c r="H872" s="522">
        <v>31.1</v>
      </c>
      <c r="I872" s="523">
        <v>0.66</v>
      </c>
      <c r="J872" s="523">
        <v>20.52</v>
      </c>
    </row>
    <row r="873" spans="1:10" s="358" customFormat="1" ht="14.5" thickTop="1" x14ac:dyDescent="0.3">
      <c r="A873" s="647"/>
      <c r="B873" s="647"/>
      <c r="C873" s="647"/>
      <c r="D873" s="647"/>
      <c r="E873" s="647"/>
      <c r="F873" s="647"/>
      <c r="G873" s="647"/>
      <c r="H873" s="647"/>
      <c r="I873" s="647"/>
      <c r="J873" s="647"/>
    </row>
    <row r="874" spans="1:10" x14ac:dyDescent="0.3">
      <c r="A874" s="516"/>
      <c r="B874" s="517" t="s">
        <v>15</v>
      </c>
      <c r="C874" s="516" t="s">
        <v>16</v>
      </c>
      <c r="D874" s="516" t="s">
        <v>17</v>
      </c>
      <c r="E874" s="904" t="s">
        <v>2431</v>
      </c>
      <c r="F874" s="904"/>
      <c r="G874" s="518" t="s">
        <v>18</v>
      </c>
      <c r="H874" s="517" t="s">
        <v>19</v>
      </c>
      <c r="I874" s="517" t="s">
        <v>20</v>
      </c>
      <c r="J874" s="517" t="s">
        <v>23</v>
      </c>
    </row>
    <row r="875" spans="1:10" s="358" customFormat="1" ht="25" x14ac:dyDescent="0.3">
      <c r="A875" s="642" t="s">
        <v>2432</v>
      </c>
      <c r="B875" s="643" t="s">
        <v>4491</v>
      </c>
      <c r="C875" s="642" t="s">
        <v>251</v>
      </c>
      <c r="D875" s="642" t="s">
        <v>278</v>
      </c>
      <c r="E875" s="906">
        <v>1</v>
      </c>
      <c r="F875" s="906"/>
      <c r="G875" s="644" t="s">
        <v>89</v>
      </c>
      <c r="H875" s="645">
        <v>1</v>
      </c>
      <c r="I875" s="646">
        <v>2241.29</v>
      </c>
      <c r="J875" s="646">
        <v>2241.29</v>
      </c>
    </row>
    <row r="876" spans="1:10" ht="25.5" thickBot="1" x14ac:dyDescent="0.35">
      <c r="A876" s="519" t="s">
        <v>2434</v>
      </c>
      <c r="B876" s="520" t="s">
        <v>4492</v>
      </c>
      <c r="C876" s="519" t="s">
        <v>251</v>
      </c>
      <c r="D876" s="519" t="s">
        <v>4493</v>
      </c>
      <c r="E876" s="905">
        <v>55</v>
      </c>
      <c r="F876" s="905"/>
      <c r="G876" s="521" t="s">
        <v>89</v>
      </c>
      <c r="H876" s="522">
        <v>13.5434</v>
      </c>
      <c r="I876" s="523">
        <v>165.49</v>
      </c>
      <c r="J876" s="523">
        <v>2241.29</v>
      </c>
    </row>
    <row r="877" spans="1:10" ht="14.5" thickTop="1" x14ac:dyDescent="0.3">
      <c r="A877" s="647"/>
      <c r="B877" s="647"/>
      <c r="C877" s="647"/>
      <c r="D877" s="647"/>
      <c r="E877" s="647"/>
      <c r="F877" s="647"/>
      <c r="G877" s="647"/>
      <c r="H877" s="647"/>
      <c r="I877" s="647"/>
      <c r="J877" s="647"/>
    </row>
    <row r="878" spans="1:10" x14ac:dyDescent="0.3">
      <c r="A878" s="516"/>
      <c r="B878" s="517" t="s">
        <v>15</v>
      </c>
      <c r="C878" s="516" t="s">
        <v>16</v>
      </c>
      <c r="D878" s="516" t="s">
        <v>17</v>
      </c>
      <c r="E878" s="904" t="s">
        <v>2431</v>
      </c>
      <c r="F878" s="904"/>
      <c r="G878" s="518" t="s">
        <v>18</v>
      </c>
      <c r="H878" s="517" t="s">
        <v>19</v>
      </c>
      <c r="I878" s="517" t="s">
        <v>20</v>
      </c>
      <c r="J878" s="517" t="s">
        <v>23</v>
      </c>
    </row>
    <row r="879" spans="1:10" s="358" customFormat="1" ht="50" x14ac:dyDescent="0.3">
      <c r="A879" s="642" t="s">
        <v>2432</v>
      </c>
      <c r="B879" s="643" t="s">
        <v>284</v>
      </c>
      <c r="C879" s="642" t="s">
        <v>32</v>
      </c>
      <c r="D879" s="642" t="s">
        <v>4411</v>
      </c>
      <c r="E879" s="906" t="s">
        <v>2706</v>
      </c>
      <c r="F879" s="906"/>
      <c r="G879" s="644" t="s">
        <v>118</v>
      </c>
      <c r="H879" s="645">
        <v>1</v>
      </c>
      <c r="I879" s="646">
        <v>11.8</v>
      </c>
      <c r="J879" s="646">
        <v>11.8</v>
      </c>
    </row>
    <row r="880" spans="1:10" ht="25.5" customHeight="1" x14ac:dyDescent="0.3">
      <c r="A880" s="519" t="s">
        <v>2434</v>
      </c>
      <c r="B880" s="520" t="s">
        <v>2564</v>
      </c>
      <c r="C880" s="519" t="s">
        <v>32</v>
      </c>
      <c r="D880" s="519" t="s">
        <v>2565</v>
      </c>
      <c r="E880" s="905" t="s">
        <v>2465</v>
      </c>
      <c r="F880" s="905"/>
      <c r="G880" s="521" t="s">
        <v>103</v>
      </c>
      <c r="H880" s="522">
        <v>3.74122E-2</v>
      </c>
      <c r="I880" s="523">
        <v>204.43</v>
      </c>
      <c r="J880" s="523">
        <v>7.64</v>
      </c>
    </row>
    <row r="881" spans="1:10" s="358" customFormat="1" ht="25.5" customHeight="1" x14ac:dyDescent="0.3">
      <c r="A881" s="519" t="s">
        <v>2434</v>
      </c>
      <c r="B881" s="520" t="s">
        <v>2566</v>
      </c>
      <c r="C881" s="519" t="s">
        <v>32</v>
      </c>
      <c r="D881" s="519" t="s">
        <v>2567</v>
      </c>
      <c r="E881" s="905" t="s">
        <v>2465</v>
      </c>
      <c r="F881" s="905"/>
      <c r="G881" s="521" t="s">
        <v>110</v>
      </c>
      <c r="H881" s="522">
        <v>2.94699E-2</v>
      </c>
      <c r="I881" s="523">
        <v>88.26</v>
      </c>
      <c r="J881" s="523">
        <v>2.6</v>
      </c>
    </row>
    <row r="882" spans="1:10" ht="25.5" customHeight="1" thickBot="1" x14ac:dyDescent="0.35">
      <c r="A882" s="519" t="s">
        <v>2434</v>
      </c>
      <c r="B882" s="520" t="s">
        <v>2561</v>
      </c>
      <c r="C882" s="519" t="s">
        <v>32</v>
      </c>
      <c r="D882" s="519" t="s">
        <v>2562</v>
      </c>
      <c r="E882" s="905" t="s">
        <v>2433</v>
      </c>
      <c r="F882" s="905"/>
      <c r="G882" s="521" t="s">
        <v>1901</v>
      </c>
      <c r="H882" s="522">
        <v>6.68821E-2</v>
      </c>
      <c r="I882" s="523">
        <v>23.4</v>
      </c>
      <c r="J882" s="523">
        <v>1.56</v>
      </c>
    </row>
    <row r="883" spans="1:10" ht="25.5" customHeight="1" thickTop="1" x14ac:dyDescent="0.3">
      <c r="A883" s="647"/>
      <c r="B883" s="647"/>
      <c r="C883" s="647"/>
      <c r="D883" s="647"/>
      <c r="E883" s="647"/>
      <c r="F883" s="647"/>
      <c r="G883" s="647"/>
      <c r="H883" s="647"/>
      <c r="I883" s="647"/>
      <c r="J883" s="647"/>
    </row>
    <row r="884" spans="1:10" x14ac:dyDescent="0.3">
      <c r="A884" s="516"/>
      <c r="B884" s="517" t="s">
        <v>15</v>
      </c>
      <c r="C884" s="516" t="s">
        <v>16</v>
      </c>
      <c r="D884" s="516" t="s">
        <v>17</v>
      </c>
      <c r="E884" s="904" t="s">
        <v>2431</v>
      </c>
      <c r="F884" s="904"/>
      <c r="G884" s="518" t="s">
        <v>18</v>
      </c>
      <c r="H884" s="517" t="s">
        <v>19</v>
      </c>
      <c r="I884" s="517" t="s">
        <v>20</v>
      </c>
      <c r="J884" s="517" t="s">
        <v>23</v>
      </c>
    </row>
    <row r="885" spans="1:10" s="358" customFormat="1" ht="50" x14ac:dyDescent="0.3">
      <c r="A885" s="642" t="s">
        <v>2432</v>
      </c>
      <c r="B885" s="643" t="s">
        <v>287</v>
      </c>
      <c r="C885" s="642" t="s">
        <v>32</v>
      </c>
      <c r="D885" s="642" t="s">
        <v>4412</v>
      </c>
      <c r="E885" s="906" t="s">
        <v>2706</v>
      </c>
      <c r="F885" s="906"/>
      <c r="G885" s="644" t="s">
        <v>118</v>
      </c>
      <c r="H885" s="645">
        <v>1</v>
      </c>
      <c r="I885" s="646">
        <v>14.94</v>
      </c>
      <c r="J885" s="646">
        <v>14.94</v>
      </c>
    </row>
    <row r="886" spans="1:10" ht="50" x14ac:dyDescent="0.3">
      <c r="A886" s="519" t="s">
        <v>2434</v>
      </c>
      <c r="B886" s="520" t="s">
        <v>2753</v>
      </c>
      <c r="C886" s="519" t="s">
        <v>32</v>
      </c>
      <c r="D886" s="519" t="s">
        <v>2754</v>
      </c>
      <c r="E886" s="905" t="s">
        <v>2465</v>
      </c>
      <c r="F886" s="905"/>
      <c r="G886" s="521" t="s">
        <v>103</v>
      </c>
      <c r="H886" s="522">
        <v>5.7630599999999997E-2</v>
      </c>
      <c r="I886" s="523">
        <v>139.99</v>
      </c>
      <c r="J886" s="523">
        <v>8.06</v>
      </c>
    </row>
    <row r="887" spans="1:10" s="358" customFormat="1" ht="50" x14ac:dyDescent="0.3">
      <c r="A887" s="519" t="s">
        <v>2434</v>
      </c>
      <c r="B887" s="520" t="s">
        <v>2755</v>
      </c>
      <c r="C887" s="519" t="s">
        <v>32</v>
      </c>
      <c r="D887" s="519" t="s">
        <v>2756</v>
      </c>
      <c r="E887" s="905" t="s">
        <v>2465</v>
      </c>
      <c r="F887" s="905"/>
      <c r="G887" s="521" t="s">
        <v>110</v>
      </c>
      <c r="H887" s="522">
        <v>6.5006599999999998E-2</v>
      </c>
      <c r="I887" s="523">
        <v>61.95</v>
      </c>
      <c r="J887" s="523">
        <v>4.0199999999999996</v>
      </c>
    </row>
    <row r="888" spans="1:10" ht="25.5" thickBot="1" x14ac:dyDescent="0.35">
      <c r="A888" s="519" t="s">
        <v>2434</v>
      </c>
      <c r="B888" s="520" t="s">
        <v>2561</v>
      </c>
      <c r="C888" s="519" t="s">
        <v>32</v>
      </c>
      <c r="D888" s="519" t="s">
        <v>2562</v>
      </c>
      <c r="E888" s="905" t="s">
        <v>2433</v>
      </c>
      <c r="F888" s="905"/>
      <c r="G888" s="521" t="s">
        <v>1901</v>
      </c>
      <c r="H888" s="522">
        <v>0.1226372</v>
      </c>
      <c r="I888" s="523">
        <v>23.4</v>
      </c>
      <c r="J888" s="523">
        <v>2.86</v>
      </c>
    </row>
    <row r="889" spans="1:10" ht="25.5" customHeight="1" thickTop="1" x14ac:dyDescent="0.3">
      <c r="A889" s="647"/>
      <c r="B889" s="647"/>
      <c r="C889" s="647"/>
      <c r="D889" s="647"/>
      <c r="E889" s="647"/>
      <c r="F889" s="647"/>
      <c r="G889" s="647"/>
      <c r="H889" s="647"/>
      <c r="I889" s="647"/>
      <c r="J889" s="647"/>
    </row>
    <row r="890" spans="1:10" ht="26.25" customHeight="1" x14ac:dyDescent="0.3">
      <c r="A890" s="516"/>
      <c r="B890" s="517" t="s">
        <v>15</v>
      </c>
      <c r="C890" s="516" t="s">
        <v>16</v>
      </c>
      <c r="D890" s="516" t="s">
        <v>17</v>
      </c>
      <c r="E890" s="904" t="s">
        <v>2431</v>
      </c>
      <c r="F890" s="904"/>
      <c r="G890" s="518" t="s">
        <v>18</v>
      </c>
      <c r="H890" s="517" t="s">
        <v>19</v>
      </c>
      <c r="I890" s="517" t="s">
        <v>20</v>
      </c>
      <c r="J890" s="517" t="s">
        <v>23</v>
      </c>
    </row>
    <row r="891" spans="1:10" s="358" customFormat="1" ht="50" x14ac:dyDescent="0.3">
      <c r="A891" s="642" t="s">
        <v>2432</v>
      </c>
      <c r="B891" s="643" t="s">
        <v>289</v>
      </c>
      <c r="C891" s="642" t="s">
        <v>32</v>
      </c>
      <c r="D891" s="642" t="s">
        <v>4413</v>
      </c>
      <c r="E891" s="906" t="s">
        <v>2706</v>
      </c>
      <c r="F891" s="906"/>
      <c r="G891" s="644" t="s">
        <v>118</v>
      </c>
      <c r="H891" s="645">
        <v>1</v>
      </c>
      <c r="I891" s="646">
        <v>12.18</v>
      </c>
      <c r="J891" s="646">
        <v>12.18</v>
      </c>
    </row>
    <row r="892" spans="1:10" ht="25.5" customHeight="1" x14ac:dyDescent="0.3">
      <c r="A892" s="519" t="s">
        <v>2434</v>
      </c>
      <c r="B892" s="520" t="s">
        <v>2564</v>
      </c>
      <c r="C892" s="519" t="s">
        <v>32</v>
      </c>
      <c r="D892" s="519" t="s">
        <v>2565</v>
      </c>
      <c r="E892" s="905" t="s">
        <v>2465</v>
      </c>
      <c r="F892" s="905"/>
      <c r="G892" s="521" t="s">
        <v>103</v>
      </c>
      <c r="H892" s="522">
        <v>3.8626899999999999E-2</v>
      </c>
      <c r="I892" s="523">
        <v>204.43</v>
      </c>
      <c r="J892" s="523">
        <v>7.89</v>
      </c>
    </row>
    <row r="893" spans="1:10" s="358" customFormat="1" ht="25.5" customHeight="1" x14ac:dyDescent="0.3">
      <c r="A893" s="519" t="s">
        <v>2434</v>
      </c>
      <c r="B893" s="520" t="s">
        <v>2566</v>
      </c>
      <c r="C893" s="519" t="s">
        <v>32</v>
      </c>
      <c r="D893" s="519" t="s">
        <v>2567</v>
      </c>
      <c r="E893" s="905" t="s">
        <v>2465</v>
      </c>
      <c r="F893" s="905"/>
      <c r="G893" s="521" t="s">
        <v>110</v>
      </c>
      <c r="H893" s="522">
        <v>3.04268E-2</v>
      </c>
      <c r="I893" s="523">
        <v>88.26</v>
      </c>
      <c r="J893" s="523">
        <v>2.68</v>
      </c>
    </row>
    <row r="894" spans="1:10" ht="25.5" thickBot="1" x14ac:dyDescent="0.35">
      <c r="A894" s="519" t="s">
        <v>2434</v>
      </c>
      <c r="B894" s="520" t="s">
        <v>2561</v>
      </c>
      <c r="C894" s="519" t="s">
        <v>32</v>
      </c>
      <c r="D894" s="519" t="s">
        <v>2562</v>
      </c>
      <c r="E894" s="905" t="s">
        <v>2433</v>
      </c>
      <c r="F894" s="905"/>
      <c r="G894" s="521" t="s">
        <v>1901</v>
      </c>
      <c r="H894" s="522">
        <v>6.9053699999999996E-2</v>
      </c>
      <c r="I894" s="523">
        <v>23.4</v>
      </c>
      <c r="J894" s="523">
        <v>1.61</v>
      </c>
    </row>
    <row r="895" spans="1:10" ht="25.5" customHeight="1" thickTop="1" x14ac:dyDescent="0.3">
      <c r="A895" s="647"/>
      <c r="B895" s="647"/>
      <c r="C895" s="647"/>
      <c r="D895" s="647"/>
      <c r="E895" s="647"/>
      <c r="F895" s="647"/>
      <c r="G895" s="647"/>
      <c r="H895" s="647"/>
      <c r="I895" s="647"/>
      <c r="J895" s="647"/>
    </row>
    <row r="896" spans="1:10" ht="26.25" customHeight="1" x14ac:dyDescent="0.3">
      <c r="A896" s="516"/>
      <c r="B896" s="517" t="s">
        <v>15</v>
      </c>
      <c r="C896" s="516" t="s">
        <v>16</v>
      </c>
      <c r="D896" s="516" t="s">
        <v>17</v>
      </c>
      <c r="E896" s="904" t="s">
        <v>2431</v>
      </c>
      <c r="F896" s="904"/>
      <c r="G896" s="518" t="s">
        <v>18</v>
      </c>
      <c r="H896" s="517" t="s">
        <v>19</v>
      </c>
      <c r="I896" s="517" t="s">
        <v>20</v>
      </c>
      <c r="J896" s="517" t="s">
        <v>23</v>
      </c>
    </row>
    <row r="897" spans="1:10" s="358" customFormat="1" ht="62.5" x14ac:dyDescent="0.3">
      <c r="A897" s="642" t="s">
        <v>2432</v>
      </c>
      <c r="B897" s="643" t="s">
        <v>292</v>
      </c>
      <c r="C897" s="642" t="s">
        <v>32</v>
      </c>
      <c r="D897" s="642" t="s">
        <v>4414</v>
      </c>
      <c r="E897" s="906" t="s">
        <v>2706</v>
      </c>
      <c r="F897" s="906"/>
      <c r="G897" s="644" t="s">
        <v>118</v>
      </c>
      <c r="H897" s="645">
        <v>1</v>
      </c>
      <c r="I897" s="646">
        <v>11.39</v>
      </c>
      <c r="J897" s="646">
        <v>11.39</v>
      </c>
    </row>
    <row r="898" spans="1:10" ht="25" x14ac:dyDescent="0.3">
      <c r="A898" s="519" t="s">
        <v>2434</v>
      </c>
      <c r="B898" s="520" t="s">
        <v>2561</v>
      </c>
      <c r="C898" s="519" t="s">
        <v>32</v>
      </c>
      <c r="D898" s="519" t="s">
        <v>2562</v>
      </c>
      <c r="E898" s="905" t="s">
        <v>2433</v>
      </c>
      <c r="F898" s="905"/>
      <c r="G898" s="521" t="s">
        <v>1901</v>
      </c>
      <c r="H898" s="522">
        <v>5.6591500000000003E-2</v>
      </c>
      <c r="I898" s="523">
        <v>23.4</v>
      </c>
      <c r="J898" s="523">
        <v>1.32</v>
      </c>
    </row>
    <row r="899" spans="1:10" s="358" customFormat="1" ht="25.5" customHeight="1" x14ac:dyDescent="0.3">
      <c r="A899" s="519" t="s">
        <v>2434</v>
      </c>
      <c r="B899" s="520" t="s">
        <v>2594</v>
      </c>
      <c r="C899" s="519" t="s">
        <v>32</v>
      </c>
      <c r="D899" s="519" t="s">
        <v>2595</v>
      </c>
      <c r="E899" s="905" t="s">
        <v>2465</v>
      </c>
      <c r="F899" s="905"/>
      <c r="G899" s="521" t="s">
        <v>103</v>
      </c>
      <c r="H899" s="522">
        <v>3.1655900000000001E-2</v>
      </c>
      <c r="I899" s="523">
        <v>242.79</v>
      </c>
      <c r="J899" s="523">
        <v>7.68</v>
      </c>
    </row>
    <row r="900" spans="1:10" ht="26.25" customHeight="1" thickBot="1" x14ac:dyDescent="0.35">
      <c r="A900" s="519" t="s">
        <v>2434</v>
      </c>
      <c r="B900" s="520" t="s">
        <v>2596</v>
      </c>
      <c r="C900" s="519" t="s">
        <v>32</v>
      </c>
      <c r="D900" s="519" t="s">
        <v>2597</v>
      </c>
      <c r="E900" s="905" t="s">
        <v>2465</v>
      </c>
      <c r="F900" s="905"/>
      <c r="G900" s="521" t="s">
        <v>110</v>
      </c>
      <c r="H900" s="522">
        <v>2.4935599999999999E-2</v>
      </c>
      <c r="I900" s="523">
        <v>95.97</v>
      </c>
      <c r="J900" s="523">
        <v>2.39</v>
      </c>
    </row>
    <row r="901" spans="1:10" ht="25.5" customHeight="1" thickTop="1" x14ac:dyDescent="0.3">
      <c r="A901" s="647"/>
      <c r="B901" s="647"/>
      <c r="C901" s="647"/>
      <c r="D901" s="647"/>
      <c r="E901" s="647"/>
      <c r="F901" s="647"/>
      <c r="G901" s="647"/>
      <c r="H901" s="647"/>
      <c r="I901" s="647"/>
      <c r="J901" s="647"/>
    </row>
    <row r="902" spans="1:10" ht="26.25" customHeight="1" x14ac:dyDescent="0.3">
      <c r="A902" s="516"/>
      <c r="B902" s="517" t="s">
        <v>15</v>
      </c>
      <c r="C902" s="516" t="s">
        <v>16</v>
      </c>
      <c r="D902" s="516" t="s">
        <v>17</v>
      </c>
      <c r="E902" s="904" t="s">
        <v>2431</v>
      </c>
      <c r="F902" s="904"/>
      <c r="G902" s="518" t="s">
        <v>18</v>
      </c>
      <c r="H902" s="517" t="s">
        <v>19</v>
      </c>
      <c r="I902" s="517" t="s">
        <v>20</v>
      </c>
      <c r="J902" s="517" t="s">
        <v>23</v>
      </c>
    </row>
    <row r="903" spans="1:10" s="358" customFormat="1" ht="50" x14ac:dyDescent="0.3">
      <c r="A903" s="642" t="s">
        <v>2432</v>
      </c>
      <c r="B903" s="643" t="s">
        <v>294</v>
      </c>
      <c r="C903" s="642" t="s">
        <v>32</v>
      </c>
      <c r="D903" s="642" t="s">
        <v>4415</v>
      </c>
      <c r="E903" s="906" t="s">
        <v>2706</v>
      </c>
      <c r="F903" s="906"/>
      <c r="G903" s="644" t="s">
        <v>118</v>
      </c>
      <c r="H903" s="645">
        <v>1</v>
      </c>
      <c r="I903" s="646">
        <v>10.96</v>
      </c>
      <c r="J903" s="646">
        <v>10.96</v>
      </c>
    </row>
    <row r="904" spans="1:10" ht="25" x14ac:dyDescent="0.3">
      <c r="A904" s="519" t="s">
        <v>2434</v>
      </c>
      <c r="B904" s="520" t="s">
        <v>2561</v>
      </c>
      <c r="C904" s="519" t="s">
        <v>32</v>
      </c>
      <c r="D904" s="519" t="s">
        <v>2562</v>
      </c>
      <c r="E904" s="905" t="s">
        <v>2433</v>
      </c>
      <c r="F904" s="905"/>
      <c r="G904" s="521" t="s">
        <v>1901</v>
      </c>
      <c r="H904" s="522">
        <v>5.44199E-2</v>
      </c>
      <c r="I904" s="523">
        <v>23.4</v>
      </c>
      <c r="J904" s="523">
        <v>1.27</v>
      </c>
    </row>
    <row r="905" spans="1:10" s="358" customFormat="1" ht="25.5" customHeight="1" x14ac:dyDescent="0.3">
      <c r="A905" s="519" t="s">
        <v>2434</v>
      </c>
      <c r="B905" s="520" t="s">
        <v>2594</v>
      </c>
      <c r="C905" s="519" t="s">
        <v>32</v>
      </c>
      <c r="D905" s="519" t="s">
        <v>2595</v>
      </c>
      <c r="E905" s="905" t="s">
        <v>2465</v>
      </c>
      <c r="F905" s="905"/>
      <c r="G905" s="521" t="s">
        <v>103</v>
      </c>
      <c r="H905" s="522">
        <v>3.0441099999999999E-2</v>
      </c>
      <c r="I905" s="523">
        <v>242.79</v>
      </c>
      <c r="J905" s="523">
        <v>7.39</v>
      </c>
    </row>
    <row r="906" spans="1:10" ht="25.5" customHeight="1" thickBot="1" x14ac:dyDescent="0.35">
      <c r="A906" s="519" t="s">
        <v>2434</v>
      </c>
      <c r="B906" s="520" t="s">
        <v>2596</v>
      </c>
      <c r="C906" s="519" t="s">
        <v>32</v>
      </c>
      <c r="D906" s="519" t="s">
        <v>2597</v>
      </c>
      <c r="E906" s="905" t="s">
        <v>2465</v>
      </c>
      <c r="F906" s="905"/>
      <c r="G906" s="521" t="s">
        <v>110</v>
      </c>
      <c r="H906" s="522">
        <v>2.3978800000000002E-2</v>
      </c>
      <c r="I906" s="523">
        <v>95.97</v>
      </c>
      <c r="J906" s="523">
        <v>2.2999999999999998</v>
      </c>
    </row>
    <row r="907" spans="1:10" ht="25.5" customHeight="1" thickTop="1" x14ac:dyDescent="0.3">
      <c r="A907" s="647"/>
      <c r="B907" s="647"/>
      <c r="C907" s="647"/>
      <c r="D907" s="647"/>
      <c r="E907" s="647"/>
      <c r="F907" s="647"/>
      <c r="G907" s="647"/>
      <c r="H907" s="647"/>
      <c r="I907" s="647"/>
      <c r="J907" s="647"/>
    </row>
    <row r="908" spans="1:10" x14ac:dyDescent="0.3">
      <c r="A908" s="516"/>
      <c r="B908" s="517" t="s">
        <v>15</v>
      </c>
      <c r="C908" s="516" t="s">
        <v>16</v>
      </c>
      <c r="D908" s="516" t="s">
        <v>17</v>
      </c>
      <c r="E908" s="904" t="s">
        <v>2431</v>
      </c>
      <c r="F908" s="904"/>
      <c r="G908" s="518" t="s">
        <v>18</v>
      </c>
      <c r="H908" s="517" t="s">
        <v>19</v>
      </c>
      <c r="I908" s="517" t="s">
        <v>20</v>
      </c>
      <c r="J908" s="517" t="s">
        <v>23</v>
      </c>
    </row>
    <row r="909" spans="1:10" s="358" customFormat="1" ht="50" x14ac:dyDescent="0.3">
      <c r="A909" s="642" t="s">
        <v>2432</v>
      </c>
      <c r="B909" s="643" t="s">
        <v>296</v>
      </c>
      <c r="C909" s="642" t="s">
        <v>32</v>
      </c>
      <c r="D909" s="642" t="s">
        <v>4416</v>
      </c>
      <c r="E909" s="906" t="s">
        <v>2706</v>
      </c>
      <c r="F909" s="906"/>
      <c r="G909" s="644" t="s">
        <v>118</v>
      </c>
      <c r="H909" s="645">
        <v>1</v>
      </c>
      <c r="I909" s="646">
        <v>10.73</v>
      </c>
      <c r="J909" s="646">
        <v>10.73</v>
      </c>
    </row>
    <row r="910" spans="1:10" ht="25" x14ac:dyDescent="0.3">
      <c r="A910" s="519" t="s">
        <v>2434</v>
      </c>
      <c r="B910" s="520" t="s">
        <v>2561</v>
      </c>
      <c r="C910" s="519" t="s">
        <v>32</v>
      </c>
      <c r="D910" s="519" t="s">
        <v>2562</v>
      </c>
      <c r="E910" s="905" t="s">
        <v>2433</v>
      </c>
      <c r="F910" s="905"/>
      <c r="G910" s="521" t="s">
        <v>1901</v>
      </c>
      <c r="H910" s="522">
        <v>5.3334100000000002E-2</v>
      </c>
      <c r="I910" s="523">
        <v>23.4</v>
      </c>
      <c r="J910" s="523">
        <v>1.24</v>
      </c>
    </row>
    <row r="911" spans="1:10" s="358" customFormat="1" ht="25.5" customHeight="1" x14ac:dyDescent="0.3">
      <c r="A911" s="519" t="s">
        <v>2434</v>
      </c>
      <c r="B911" s="520" t="s">
        <v>2594</v>
      </c>
      <c r="C911" s="519" t="s">
        <v>32</v>
      </c>
      <c r="D911" s="519" t="s">
        <v>2595</v>
      </c>
      <c r="E911" s="905" t="s">
        <v>2465</v>
      </c>
      <c r="F911" s="905"/>
      <c r="G911" s="521" t="s">
        <v>103</v>
      </c>
      <c r="H911" s="522">
        <v>2.9833800000000001E-2</v>
      </c>
      <c r="I911" s="523">
        <v>242.79</v>
      </c>
      <c r="J911" s="523">
        <v>7.24</v>
      </c>
    </row>
    <row r="912" spans="1:10" ht="25.5" customHeight="1" thickBot="1" x14ac:dyDescent="0.35">
      <c r="A912" s="519" t="s">
        <v>2434</v>
      </c>
      <c r="B912" s="520" t="s">
        <v>2596</v>
      </c>
      <c r="C912" s="519" t="s">
        <v>32</v>
      </c>
      <c r="D912" s="519" t="s">
        <v>2597</v>
      </c>
      <c r="E912" s="905" t="s">
        <v>2465</v>
      </c>
      <c r="F912" s="905"/>
      <c r="G912" s="521" t="s">
        <v>110</v>
      </c>
      <c r="H912" s="522">
        <v>2.3500299999999998E-2</v>
      </c>
      <c r="I912" s="523">
        <v>95.97</v>
      </c>
      <c r="J912" s="523">
        <v>2.25</v>
      </c>
    </row>
    <row r="913" spans="1:10" ht="25.5" customHeight="1" thickTop="1" x14ac:dyDescent="0.3">
      <c r="A913" s="647"/>
      <c r="B913" s="647"/>
      <c r="C913" s="647"/>
      <c r="D913" s="647"/>
      <c r="E913" s="647"/>
      <c r="F913" s="647"/>
      <c r="G913" s="647"/>
      <c r="H913" s="647"/>
      <c r="I913" s="647"/>
      <c r="J913" s="647"/>
    </row>
    <row r="914" spans="1:10" x14ac:dyDescent="0.3">
      <c r="A914" s="516"/>
      <c r="B914" s="517" t="s">
        <v>15</v>
      </c>
      <c r="C914" s="516" t="s">
        <v>16</v>
      </c>
      <c r="D914" s="516" t="s">
        <v>17</v>
      </c>
      <c r="E914" s="904" t="s">
        <v>2431</v>
      </c>
      <c r="F914" s="904"/>
      <c r="G914" s="518" t="s">
        <v>18</v>
      </c>
      <c r="H914" s="517" t="s">
        <v>19</v>
      </c>
      <c r="I914" s="517" t="s">
        <v>20</v>
      </c>
      <c r="J914" s="517" t="s">
        <v>23</v>
      </c>
    </row>
    <row r="915" spans="1:10" s="358" customFormat="1" ht="62.5" x14ac:dyDescent="0.3">
      <c r="A915" s="642" t="s">
        <v>2432</v>
      </c>
      <c r="B915" s="643" t="s">
        <v>299</v>
      </c>
      <c r="C915" s="642" t="s">
        <v>32</v>
      </c>
      <c r="D915" s="642" t="s">
        <v>4417</v>
      </c>
      <c r="E915" s="906" t="s">
        <v>2706</v>
      </c>
      <c r="F915" s="906"/>
      <c r="G915" s="644" t="s">
        <v>118</v>
      </c>
      <c r="H915" s="645">
        <v>1</v>
      </c>
      <c r="I915" s="646">
        <v>10.49</v>
      </c>
      <c r="J915" s="646">
        <v>10.49</v>
      </c>
    </row>
    <row r="916" spans="1:10" ht="25.5" customHeight="1" x14ac:dyDescent="0.3">
      <c r="A916" s="519" t="s">
        <v>2434</v>
      </c>
      <c r="B916" s="520" t="s">
        <v>2564</v>
      </c>
      <c r="C916" s="519" t="s">
        <v>32</v>
      </c>
      <c r="D916" s="519" t="s">
        <v>2565</v>
      </c>
      <c r="E916" s="905" t="s">
        <v>2465</v>
      </c>
      <c r="F916" s="905"/>
      <c r="G916" s="521" t="s">
        <v>103</v>
      </c>
      <c r="H916" s="522">
        <v>3.3240699999999998E-2</v>
      </c>
      <c r="I916" s="523">
        <v>204.43</v>
      </c>
      <c r="J916" s="523">
        <v>6.79</v>
      </c>
    </row>
    <row r="917" spans="1:10" s="358" customFormat="1" ht="25.5" customHeight="1" x14ac:dyDescent="0.3">
      <c r="A917" s="519" t="s">
        <v>2434</v>
      </c>
      <c r="B917" s="520" t="s">
        <v>2566</v>
      </c>
      <c r="C917" s="519" t="s">
        <v>32</v>
      </c>
      <c r="D917" s="519" t="s">
        <v>2567</v>
      </c>
      <c r="E917" s="905" t="s">
        <v>2465</v>
      </c>
      <c r="F917" s="905"/>
      <c r="G917" s="521" t="s">
        <v>110</v>
      </c>
      <c r="H917" s="522">
        <v>2.6183999999999999E-2</v>
      </c>
      <c r="I917" s="523">
        <v>88.26</v>
      </c>
      <c r="J917" s="523">
        <v>2.31</v>
      </c>
    </row>
    <row r="918" spans="1:10" ht="25.5" customHeight="1" thickBot="1" x14ac:dyDescent="0.35">
      <c r="A918" s="519" t="s">
        <v>2434</v>
      </c>
      <c r="B918" s="520" t="s">
        <v>2561</v>
      </c>
      <c r="C918" s="519" t="s">
        <v>32</v>
      </c>
      <c r="D918" s="519" t="s">
        <v>2562</v>
      </c>
      <c r="E918" s="905" t="s">
        <v>2433</v>
      </c>
      <c r="F918" s="905"/>
      <c r="G918" s="521" t="s">
        <v>1901</v>
      </c>
      <c r="H918" s="522">
        <v>5.94248E-2</v>
      </c>
      <c r="I918" s="523">
        <v>23.4</v>
      </c>
      <c r="J918" s="523">
        <v>1.39</v>
      </c>
    </row>
    <row r="919" spans="1:10" ht="25.5" customHeight="1" thickTop="1" x14ac:dyDescent="0.3">
      <c r="A919" s="647"/>
      <c r="B919" s="647"/>
      <c r="C919" s="647"/>
      <c r="D919" s="647"/>
      <c r="E919" s="647"/>
      <c r="F919" s="647"/>
      <c r="G919" s="647"/>
      <c r="H919" s="647"/>
      <c r="I919" s="647"/>
      <c r="J919" s="647"/>
    </row>
    <row r="920" spans="1:10" x14ac:dyDescent="0.3">
      <c r="A920" s="516"/>
      <c r="B920" s="517" t="s">
        <v>15</v>
      </c>
      <c r="C920" s="516" t="s">
        <v>16</v>
      </c>
      <c r="D920" s="516" t="s">
        <v>17</v>
      </c>
      <c r="E920" s="904" t="s">
        <v>2431</v>
      </c>
      <c r="F920" s="904"/>
      <c r="G920" s="518" t="s">
        <v>18</v>
      </c>
      <c r="H920" s="517" t="s">
        <v>19</v>
      </c>
      <c r="I920" s="517" t="s">
        <v>20</v>
      </c>
      <c r="J920" s="517" t="s">
        <v>23</v>
      </c>
    </row>
    <row r="921" spans="1:10" s="358" customFormat="1" ht="62.5" x14ac:dyDescent="0.3">
      <c r="A921" s="642" t="s">
        <v>2432</v>
      </c>
      <c r="B921" s="643" t="s">
        <v>301</v>
      </c>
      <c r="C921" s="642" t="s">
        <v>32</v>
      </c>
      <c r="D921" s="642" t="s">
        <v>4418</v>
      </c>
      <c r="E921" s="906" t="s">
        <v>2706</v>
      </c>
      <c r="F921" s="906"/>
      <c r="G921" s="644" t="s">
        <v>118</v>
      </c>
      <c r="H921" s="645">
        <v>1</v>
      </c>
      <c r="I921" s="646">
        <v>9.01</v>
      </c>
      <c r="J921" s="646">
        <v>9.01</v>
      </c>
    </row>
    <row r="922" spans="1:10" ht="25.5" customHeight="1" x14ac:dyDescent="0.3">
      <c r="A922" s="519" t="s">
        <v>2434</v>
      </c>
      <c r="B922" s="520" t="s">
        <v>2564</v>
      </c>
      <c r="C922" s="519" t="s">
        <v>32</v>
      </c>
      <c r="D922" s="519" t="s">
        <v>2565</v>
      </c>
      <c r="E922" s="905" t="s">
        <v>2465</v>
      </c>
      <c r="F922" s="905"/>
      <c r="G922" s="521" t="s">
        <v>103</v>
      </c>
      <c r="H922" s="522">
        <v>2.8597999999999998E-2</v>
      </c>
      <c r="I922" s="523">
        <v>204.43</v>
      </c>
      <c r="J922" s="523">
        <v>5.84</v>
      </c>
    </row>
    <row r="923" spans="1:10" s="358" customFormat="1" ht="25.5" customHeight="1" x14ac:dyDescent="0.3">
      <c r="A923" s="519" t="s">
        <v>2434</v>
      </c>
      <c r="B923" s="520" t="s">
        <v>2566</v>
      </c>
      <c r="C923" s="519" t="s">
        <v>32</v>
      </c>
      <c r="D923" s="519" t="s">
        <v>2567</v>
      </c>
      <c r="E923" s="905" t="s">
        <v>2465</v>
      </c>
      <c r="F923" s="905"/>
      <c r="G923" s="521" t="s">
        <v>110</v>
      </c>
      <c r="H923" s="522">
        <v>2.2526899999999999E-2</v>
      </c>
      <c r="I923" s="523">
        <v>88.26</v>
      </c>
      <c r="J923" s="523">
        <v>1.98</v>
      </c>
    </row>
    <row r="924" spans="1:10" ht="25.5" thickBot="1" x14ac:dyDescent="0.35">
      <c r="A924" s="519" t="s">
        <v>2434</v>
      </c>
      <c r="B924" s="520" t="s">
        <v>2561</v>
      </c>
      <c r="C924" s="519" t="s">
        <v>32</v>
      </c>
      <c r="D924" s="519" t="s">
        <v>2562</v>
      </c>
      <c r="E924" s="905" t="s">
        <v>2433</v>
      </c>
      <c r="F924" s="905"/>
      <c r="G924" s="521" t="s">
        <v>1901</v>
      </c>
      <c r="H924" s="522">
        <v>5.1124900000000001E-2</v>
      </c>
      <c r="I924" s="523">
        <v>23.4</v>
      </c>
      <c r="J924" s="523">
        <v>1.19</v>
      </c>
    </row>
    <row r="925" spans="1:10" ht="25.5" customHeight="1" thickTop="1" x14ac:dyDescent="0.3">
      <c r="A925" s="647"/>
      <c r="B925" s="647"/>
      <c r="C925" s="647"/>
      <c r="D925" s="647"/>
      <c r="E925" s="647"/>
      <c r="F925" s="647"/>
      <c r="G925" s="647"/>
      <c r="H925" s="647"/>
      <c r="I925" s="647"/>
      <c r="J925" s="647"/>
    </row>
    <row r="926" spans="1:10" ht="26.25" customHeight="1" x14ac:dyDescent="0.3">
      <c r="A926" s="516"/>
      <c r="B926" s="517" t="s">
        <v>15</v>
      </c>
      <c r="C926" s="516" t="s">
        <v>16</v>
      </c>
      <c r="D926" s="516" t="s">
        <v>17</v>
      </c>
      <c r="E926" s="904" t="s">
        <v>2431</v>
      </c>
      <c r="F926" s="904"/>
      <c r="G926" s="518" t="s">
        <v>18</v>
      </c>
      <c r="H926" s="517" t="s">
        <v>19</v>
      </c>
      <c r="I926" s="517" t="s">
        <v>20</v>
      </c>
      <c r="J926" s="517" t="s">
        <v>23</v>
      </c>
    </row>
    <row r="927" spans="1:10" s="358" customFormat="1" ht="62.5" x14ac:dyDescent="0.3">
      <c r="A927" s="642" t="s">
        <v>2432</v>
      </c>
      <c r="B927" s="643" t="s">
        <v>303</v>
      </c>
      <c r="C927" s="642" t="s">
        <v>32</v>
      </c>
      <c r="D927" s="642" t="s">
        <v>4419</v>
      </c>
      <c r="E927" s="906" t="s">
        <v>2706</v>
      </c>
      <c r="F927" s="906"/>
      <c r="G927" s="644" t="s">
        <v>118</v>
      </c>
      <c r="H927" s="645">
        <v>1</v>
      </c>
      <c r="I927" s="646">
        <v>9.31</v>
      </c>
      <c r="J927" s="646">
        <v>9.31</v>
      </c>
    </row>
    <row r="928" spans="1:10" ht="25.5" customHeight="1" x14ac:dyDescent="0.3">
      <c r="A928" s="519" t="s">
        <v>2434</v>
      </c>
      <c r="B928" s="520" t="s">
        <v>2564</v>
      </c>
      <c r="C928" s="519" t="s">
        <v>32</v>
      </c>
      <c r="D928" s="519" t="s">
        <v>2565</v>
      </c>
      <c r="E928" s="905" t="s">
        <v>2465</v>
      </c>
      <c r="F928" s="905"/>
      <c r="G928" s="521" t="s">
        <v>103</v>
      </c>
      <c r="H928" s="522">
        <v>2.9526500000000001E-2</v>
      </c>
      <c r="I928" s="523">
        <v>204.43</v>
      </c>
      <c r="J928" s="523">
        <v>6.03</v>
      </c>
    </row>
    <row r="929" spans="1:10" s="358" customFormat="1" ht="25.5" customHeight="1" x14ac:dyDescent="0.3">
      <c r="A929" s="519" t="s">
        <v>2434</v>
      </c>
      <c r="B929" s="520" t="s">
        <v>2566</v>
      </c>
      <c r="C929" s="519" t="s">
        <v>32</v>
      </c>
      <c r="D929" s="519" t="s">
        <v>2567</v>
      </c>
      <c r="E929" s="905" t="s">
        <v>2465</v>
      </c>
      <c r="F929" s="905"/>
      <c r="G929" s="521" t="s">
        <v>110</v>
      </c>
      <c r="H929" s="522">
        <v>2.3258299999999999E-2</v>
      </c>
      <c r="I929" s="523">
        <v>88.26</v>
      </c>
      <c r="J929" s="523">
        <v>2.0499999999999998</v>
      </c>
    </row>
    <row r="930" spans="1:10" ht="25.5" thickBot="1" x14ac:dyDescent="0.35">
      <c r="A930" s="519" t="s">
        <v>2434</v>
      </c>
      <c r="B930" s="520" t="s">
        <v>2561</v>
      </c>
      <c r="C930" s="519" t="s">
        <v>32</v>
      </c>
      <c r="D930" s="519" t="s">
        <v>2562</v>
      </c>
      <c r="E930" s="905" t="s">
        <v>2433</v>
      </c>
      <c r="F930" s="905"/>
      <c r="G930" s="521" t="s">
        <v>1901</v>
      </c>
      <c r="H930" s="522">
        <v>5.2784900000000003E-2</v>
      </c>
      <c r="I930" s="523">
        <v>23.4</v>
      </c>
      <c r="J930" s="523">
        <v>1.23</v>
      </c>
    </row>
    <row r="931" spans="1:10" ht="25.5" customHeight="1" thickTop="1" x14ac:dyDescent="0.3">
      <c r="A931" s="647"/>
      <c r="B931" s="647"/>
      <c r="C931" s="647"/>
      <c r="D931" s="647"/>
      <c r="E931" s="647"/>
      <c r="F931" s="647"/>
      <c r="G931" s="647"/>
      <c r="H931" s="647"/>
      <c r="I931" s="647"/>
      <c r="J931" s="647"/>
    </row>
    <row r="932" spans="1:10" ht="26.25" customHeight="1" x14ac:dyDescent="0.3">
      <c r="A932" s="516"/>
      <c r="B932" s="517" t="s">
        <v>15</v>
      </c>
      <c r="C932" s="516" t="s">
        <v>16</v>
      </c>
      <c r="D932" s="516" t="s">
        <v>17</v>
      </c>
      <c r="E932" s="904" t="s">
        <v>2431</v>
      </c>
      <c r="F932" s="904"/>
      <c r="G932" s="518" t="s">
        <v>18</v>
      </c>
      <c r="H932" s="517" t="s">
        <v>19</v>
      </c>
      <c r="I932" s="517" t="s">
        <v>20</v>
      </c>
      <c r="J932" s="517" t="s">
        <v>23</v>
      </c>
    </row>
    <row r="933" spans="1:10" s="358" customFormat="1" ht="62.5" x14ac:dyDescent="0.3">
      <c r="A933" s="642" t="s">
        <v>2432</v>
      </c>
      <c r="B933" s="643" t="s">
        <v>305</v>
      </c>
      <c r="C933" s="642" t="s">
        <v>32</v>
      </c>
      <c r="D933" s="642" t="s">
        <v>4420</v>
      </c>
      <c r="E933" s="906" t="s">
        <v>2706</v>
      </c>
      <c r="F933" s="906"/>
      <c r="G933" s="644" t="s">
        <v>118</v>
      </c>
      <c r="H933" s="645">
        <v>1</v>
      </c>
      <c r="I933" s="646">
        <v>8.6999999999999993</v>
      </c>
      <c r="J933" s="646">
        <v>8.6999999999999993</v>
      </c>
    </row>
    <row r="934" spans="1:10" ht="25" x14ac:dyDescent="0.3">
      <c r="A934" s="519" t="s">
        <v>2434</v>
      </c>
      <c r="B934" s="520" t="s">
        <v>2561</v>
      </c>
      <c r="C934" s="519" t="s">
        <v>32</v>
      </c>
      <c r="D934" s="519" t="s">
        <v>2562</v>
      </c>
      <c r="E934" s="905" t="s">
        <v>2433</v>
      </c>
      <c r="F934" s="905"/>
      <c r="G934" s="521" t="s">
        <v>1901</v>
      </c>
      <c r="H934" s="522">
        <v>4.3258699999999997E-2</v>
      </c>
      <c r="I934" s="523">
        <v>23.4</v>
      </c>
      <c r="J934" s="523">
        <v>1.01</v>
      </c>
    </row>
    <row r="935" spans="1:10" s="358" customFormat="1" ht="25.5" customHeight="1" x14ac:dyDescent="0.3">
      <c r="A935" s="519" t="s">
        <v>2434</v>
      </c>
      <c r="B935" s="520" t="s">
        <v>2594</v>
      </c>
      <c r="C935" s="519" t="s">
        <v>32</v>
      </c>
      <c r="D935" s="519" t="s">
        <v>2595</v>
      </c>
      <c r="E935" s="905" t="s">
        <v>2465</v>
      </c>
      <c r="F935" s="905"/>
      <c r="G935" s="521" t="s">
        <v>103</v>
      </c>
      <c r="H935" s="522">
        <v>2.4197799999999998E-2</v>
      </c>
      <c r="I935" s="523">
        <v>242.79</v>
      </c>
      <c r="J935" s="523">
        <v>5.87</v>
      </c>
    </row>
    <row r="936" spans="1:10" ht="26.25" customHeight="1" thickBot="1" x14ac:dyDescent="0.35">
      <c r="A936" s="519" t="s">
        <v>2434</v>
      </c>
      <c r="B936" s="520" t="s">
        <v>2596</v>
      </c>
      <c r="C936" s="519" t="s">
        <v>32</v>
      </c>
      <c r="D936" s="519" t="s">
        <v>2597</v>
      </c>
      <c r="E936" s="905" t="s">
        <v>2465</v>
      </c>
      <c r="F936" s="905"/>
      <c r="G936" s="521" t="s">
        <v>110</v>
      </c>
      <c r="H936" s="522">
        <v>1.9060899999999999E-2</v>
      </c>
      <c r="I936" s="523">
        <v>95.97</v>
      </c>
      <c r="J936" s="523">
        <v>1.82</v>
      </c>
    </row>
    <row r="937" spans="1:10" ht="14.5" thickTop="1" x14ac:dyDescent="0.3">
      <c r="A937" s="647"/>
      <c r="B937" s="647"/>
      <c r="C937" s="647"/>
      <c r="D937" s="647"/>
      <c r="E937" s="647"/>
      <c r="F937" s="647"/>
      <c r="G937" s="647"/>
      <c r="H937" s="647"/>
      <c r="I937" s="647"/>
      <c r="J937" s="647"/>
    </row>
    <row r="938" spans="1:10" x14ac:dyDescent="0.3">
      <c r="A938" s="516"/>
      <c r="B938" s="517" t="s">
        <v>15</v>
      </c>
      <c r="C938" s="516" t="s">
        <v>16</v>
      </c>
      <c r="D938" s="516" t="s">
        <v>17</v>
      </c>
      <c r="E938" s="904" t="s">
        <v>2431</v>
      </c>
      <c r="F938" s="904"/>
      <c r="G938" s="518" t="s">
        <v>18</v>
      </c>
      <c r="H938" s="517" t="s">
        <v>19</v>
      </c>
      <c r="I938" s="517" t="s">
        <v>20</v>
      </c>
      <c r="J938" s="517" t="s">
        <v>23</v>
      </c>
    </row>
    <row r="939" spans="1:10" ht="15" customHeight="1" x14ac:dyDescent="0.3">
      <c r="A939" s="642" t="s">
        <v>2432</v>
      </c>
      <c r="B939" s="643" t="s">
        <v>308</v>
      </c>
      <c r="C939" s="642" t="s">
        <v>32</v>
      </c>
      <c r="D939" s="642" t="s">
        <v>4421</v>
      </c>
      <c r="E939" s="906" t="s">
        <v>2706</v>
      </c>
      <c r="F939" s="906"/>
      <c r="G939" s="644" t="s">
        <v>118</v>
      </c>
      <c r="H939" s="645">
        <v>1</v>
      </c>
      <c r="I939" s="646">
        <v>8.36</v>
      </c>
      <c r="J939" s="646">
        <v>8.36</v>
      </c>
    </row>
    <row r="940" spans="1:10" s="358" customFormat="1" ht="25" x14ac:dyDescent="0.3">
      <c r="A940" s="519" t="s">
        <v>2434</v>
      </c>
      <c r="B940" s="520" t="s">
        <v>2561</v>
      </c>
      <c r="C940" s="519" t="s">
        <v>32</v>
      </c>
      <c r="D940" s="519" t="s">
        <v>2562</v>
      </c>
      <c r="E940" s="905" t="s">
        <v>2433</v>
      </c>
      <c r="F940" s="905"/>
      <c r="G940" s="521" t="s">
        <v>1901</v>
      </c>
      <c r="H940" s="522">
        <v>4.1598700000000002E-2</v>
      </c>
      <c r="I940" s="523">
        <v>23.4</v>
      </c>
      <c r="J940" s="523">
        <v>0.97</v>
      </c>
    </row>
    <row r="941" spans="1:10" ht="25.5" customHeight="1" x14ac:dyDescent="0.3">
      <c r="A941" s="519" t="s">
        <v>2434</v>
      </c>
      <c r="B941" s="520" t="s">
        <v>2594</v>
      </c>
      <c r="C941" s="519" t="s">
        <v>32</v>
      </c>
      <c r="D941" s="519" t="s">
        <v>2595</v>
      </c>
      <c r="E941" s="905" t="s">
        <v>2465</v>
      </c>
      <c r="F941" s="905"/>
      <c r="G941" s="521" t="s">
        <v>103</v>
      </c>
      <c r="H941" s="522">
        <v>2.32693E-2</v>
      </c>
      <c r="I941" s="523">
        <v>242.79</v>
      </c>
      <c r="J941" s="523">
        <v>5.64</v>
      </c>
    </row>
    <row r="942" spans="1:10" s="358" customFormat="1" ht="26.25" customHeight="1" thickBot="1" x14ac:dyDescent="0.35">
      <c r="A942" s="519" t="s">
        <v>2434</v>
      </c>
      <c r="B942" s="520" t="s">
        <v>2596</v>
      </c>
      <c r="C942" s="519" t="s">
        <v>32</v>
      </c>
      <c r="D942" s="519" t="s">
        <v>2597</v>
      </c>
      <c r="E942" s="905" t="s">
        <v>2465</v>
      </c>
      <c r="F942" s="905"/>
      <c r="G942" s="521" t="s">
        <v>110</v>
      </c>
      <c r="H942" s="522">
        <v>1.8329399999999999E-2</v>
      </c>
      <c r="I942" s="523">
        <v>95.97</v>
      </c>
      <c r="J942" s="523">
        <v>1.75</v>
      </c>
    </row>
    <row r="943" spans="1:10" ht="14.5" thickTop="1" x14ac:dyDescent="0.3">
      <c r="A943" s="647"/>
      <c r="B943" s="647"/>
      <c r="C943" s="647"/>
      <c r="D943" s="647"/>
      <c r="E943" s="647"/>
      <c r="F943" s="647"/>
      <c r="G943" s="647"/>
      <c r="H943" s="647"/>
      <c r="I943" s="647"/>
      <c r="J943" s="647"/>
    </row>
    <row r="944" spans="1:10" x14ac:dyDescent="0.3">
      <c r="A944" s="516"/>
      <c r="B944" s="517" t="s">
        <v>15</v>
      </c>
      <c r="C944" s="516" t="s">
        <v>16</v>
      </c>
      <c r="D944" s="516" t="s">
        <v>17</v>
      </c>
      <c r="E944" s="904" t="s">
        <v>2431</v>
      </c>
      <c r="F944" s="904"/>
      <c r="G944" s="518" t="s">
        <v>18</v>
      </c>
      <c r="H944" s="517" t="s">
        <v>19</v>
      </c>
      <c r="I944" s="517" t="s">
        <v>20</v>
      </c>
      <c r="J944" s="517" t="s">
        <v>23</v>
      </c>
    </row>
    <row r="945" spans="1:10" ht="37.5" x14ac:dyDescent="0.3">
      <c r="A945" s="642" t="s">
        <v>2432</v>
      </c>
      <c r="B945" s="643" t="s">
        <v>310</v>
      </c>
      <c r="C945" s="642" t="s">
        <v>39</v>
      </c>
      <c r="D945" s="642" t="s">
        <v>311</v>
      </c>
      <c r="E945" s="906" t="s">
        <v>2706</v>
      </c>
      <c r="F945" s="906"/>
      <c r="G945" s="644" t="s">
        <v>268</v>
      </c>
      <c r="H945" s="645">
        <v>1</v>
      </c>
      <c r="I945" s="646">
        <v>13.06</v>
      </c>
      <c r="J945" s="646">
        <v>13.06</v>
      </c>
    </row>
    <row r="946" spans="1:10" ht="15" customHeight="1" x14ac:dyDescent="0.3">
      <c r="A946" s="519" t="s">
        <v>2434</v>
      </c>
      <c r="B946" s="520" t="s">
        <v>2753</v>
      </c>
      <c r="C946" s="519" t="s">
        <v>32</v>
      </c>
      <c r="D946" s="519" t="s">
        <v>2754</v>
      </c>
      <c r="E946" s="905" t="s">
        <v>2465</v>
      </c>
      <c r="F946" s="905"/>
      <c r="G946" s="521" t="s">
        <v>103</v>
      </c>
      <c r="H946" s="522">
        <v>0.08</v>
      </c>
      <c r="I946" s="523">
        <v>139.99</v>
      </c>
      <c r="J946" s="523">
        <v>11.19</v>
      </c>
    </row>
    <row r="947" spans="1:10" s="358" customFormat="1" ht="25" x14ac:dyDescent="0.3">
      <c r="A947" s="519" t="s">
        <v>2434</v>
      </c>
      <c r="B947" s="520" t="s">
        <v>2561</v>
      </c>
      <c r="C947" s="519" t="s">
        <v>32</v>
      </c>
      <c r="D947" s="519" t="s">
        <v>2562</v>
      </c>
      <c r="E947" s="905" t="s">
        <v>2433</v>
      </c>
      <c r="F947" s="905"/>
      <c r="G947" s="521" t="s">
        <v>1901</v>
      </c>
      <c r="H947" s="522">
        <v>0.08</v>
      </c>
      <c r="I947" s="523">
        <v>23.4</v>
      </c>
      <c r="J947" s="523">
        <v>1.87</v>
      </c>
    </row>
    <row r="948" spans="1:10" x14ac:dyDescent="0.3">
      <c r="A948" s="910" t="s">
        <v>4243</v>
      </c>
      <c r="B948" s="910"/>
      <c r="C948" s="910"/>
      <c r="D948" s="910"/>
      <c r="E948" s="910"/>
      <c r="F948" s="910"/>
      <c r="G948" s="910"/>
      <c r="H948" s="910"/>
      <c r="I948" s="910"/>
      <c r="J948"/>
    </row>
    <row r="949" spans="1:10" s="358" customFormat="1" ht="15.75" customHeight="1" thickBot="1" x14ac:dyDescent="0.35">
      <c r="A949" s="909" t="s">
        <v>4287</v>
      </c>
      <c r="B949" s="909"/>
      <c r="C949" s="909"/>
      <c r="D949" s="909"/>
      <c r="E949" s="909"/>
      <c r="F949" s="909"/>
      <c r="G949" s="909"/>
      <c r="H949" s="909"/>
      <c r="I949" s="909"/>
      <c r="J949"/>
    </row>
    <row r="950" spans="1:10" ht="14.5" thickTop="1" x14ac:dyDescent="0.3">
      <c r="A950" s="647"/>
      <c r="B950" s="647"/>
      <c r="C950" s="647"/>
      <c r="D950" s="647"/>
      <c r="E950" s="647"/>
      <c r="F950" s="647"/>
      <c r="G950" s="647"/>
      <c r="H950" s="647"/>
      <c r="I950" s="647"/>
      <c r="J950" s="647"/>
    </row>
    <row r="951" spans="1:10" x14ac:dyDescent="0.3">
      <c r="A951" s="516"/>
      <c r="B951" s="517" t="s">
        <v>15</v>
      </c>
      <c r="C951" s="516" t="s">
        <v>16</v>
      </c>
      <c r="D951" s="516" t="s">
        <v>17</v>
      </c>
      <c r="E951" s="904" t="s">
        <v>2431</v>
      </c>
      <c r="F951" s="904"/>
      <c r="G951" s="518" t="s">
        <v>18</v>
      </c>
      <c r="H951" s="517" t="s">
        <v>19</v>
      </c>
      <c r="I951" s="517" t="s">
        <v>20</v>
      </c>
      <c r="J951" s="517" t="s">
        <v>23</v>
      </c>
    </row>
    <row r="952" spans="1:10" ht="37.5" x14ac:dyDescent="0.3">
      <c r="A952" s="642" t="s">
        <v>2432</v>
      </c>
      <c r="B952" s="643" t="s">
        <v>313</v>
      </c>
      <c r="C952" s="642" t="s">
        <v>39</v>
      </c>
      <c r="D952" s="642" t="s">
        <v>314</v>
      </c>
      <c r="E952" s="906" t="s">
        <v>2706</v>
      </c>
      <c r="F952" s="906"/>
      <c r="G952" s="644" t="s">
        <v>268</v>
      </c>
      <c r="H952" s="645">
        <v>1</v>
      </c>
      <c r="I952" s="646">
        <v>17.96</v>
      </c>
      <c r="J952" s="646">
        <v>17.96</v>
      </c>
    </row>
    <row r="953" spans="1:10" ht="15" customHeight="1" x14ac:dyDescent="0.3">
      <c r="A953" s="519" t="s">
        <v>2434</v>
      </c>
      <c r="B953" s="520" t="s">
        <v>2753</v>
      </c>
      <c r="C953" s="519" t="s">
        <v>32</v>
      </c>
      <c r="D953" s="519" t="s">
        <v>2754</v>
      </c>
      <c r="E953" s="905" t="s">
        <v>2465</v>
      </c>
      <c r="F953" s="905"/>
      <c r="G953" s="521" t="s">
        <v>103</v>
      </c>
      <c r="H953" s="522">
        <v>0.11</v>
      </c>
      <c r="I953" s="523">
        <v>139.99</v>
      </c>
      <c r="J953" s="523">
        <v>15.39</v>
      </c>
    </row>
    <row r="954" spans="1:10" s="358" customFormat="1" ht="25" x14ac:dyDescent="0.3">
      <c r="A954" s="519" t="s">
        <v>2434</v>
      </c>
      <c r="B954" s="520" t="s">
        <v>2561</v>
      </c>
      <c r="C954" s="519" t="s">
        <v>32</v>
      </c>
      <c r="D954" s="519" t="s">
        <v>2562</v>
      </c>
      <c r="E954" s="905" t="s">
        <v>2433</v>
      </c>
      <c r="F954" s="905"/>
      <c r="G954" s="521" t="s">
        <v>1901</v>
      </c>
      <c r="H954" s="522">
        <v>0.11</v>
      </c>
      <c r="I954" s="523">
        <v>23.4</v>
      </c>
      <c r="J954" s="523">
        <v>2.57</v>
      </c>
    </row>
    <row r="955" spans="1:10" x14ac:dyDescent="0.3">
      <c r="A955" s="910" t="s">
        <v>4243</v>
      </c>
      <c r="B955" s="910"/>
      <c r="C955" s="910"/>
      <c r="D955" s="910"/>
      <c r="E955" s="910"/>
      <c r="F955" s="910"/>
      <c r="G955" s="910"/>
      <c r="H955" s="910"/>
      <c r="I955" s="910"/>
      <c r="J955"/>
    </row>
    <row r="956" spans="1:10" s="358" customFormat="1" ht="15.75" customHeight="1" thickBot="1" x14ac:dyDescent="0.35">
      <c r="A956" s="909" t="s">
        <v>4288</v>
      </c>
      <c r="B956" s="909"/>
      <c r="C956" s="909"/>
      <c r="D956" s="909"/>
      <c r="E956" s="909"/>
      <c r="F956" s="909"/>
      <c r="G956" s="909"/>
      <c r="H956" s="909"/>
      <c r="I956" s="909"/>
      <c r="J956"/>
    </row>
    <row r="957" spans="1:10" ht="25.5" customHeight="1" thickTop="1" x14ac:dyDescent="0.3">
      <c r="A957" s="647"/>
      <c r="B957" s="647"/>
      <c r="C957" s="647"/>
      <c r="D957" s="647"/>
      <c r="E957" s="647"/>
      <c r="F957" s="647"/>
      <c r="G957" s="647"/>
      <c r="H957" s="647"/>
      <c r="I957" s="647"/>
      <c r="J957" s="647"/>
    </row>
    <row r="958" spans="1:10" ht="25.5" customHeight="1" x14ac:dyDescent="0.3">
      <c r="A958" s="516"/>
      <c r="B958" s="517" t="s">
        <v>15</v>
      </c>
      <c r="C958" s="516" t="s">
        <v>16</v>
      </c>
      <c r="D958" s="516" t="s">
        <v>17</v>
      </c>
      <c r="E958" s="904" t="s">
        <v>2431</v>
      </c>
      <c r="F958" s="904"/>
      <c r="G958" s="518" t="s">
        <v>18</v>
      </c>
      <c r="H958" s="517" t="s">
        <v>19</v>
      </c>
      <c r="I958" s="517" t="s">
        <v>20</v>
      </c>
      <c r="J958" s="517" t="s">
        <v>23</v>
      </c>
    </row>
    <row r="959" spans="1:10" ht="38.25" customHeight="1" x14ac:dyDescent="0.3">
      <c r="A959" s="642" t="s">
        <v>2432</v>
      </c>
      <c r="B959" s="643" t="s">
        <v>316</v>
      </c>
      <c r="C959" s="642" t="s">
        <v>39</v>
      </c>
      <c r="D959" s="642" t="s">
        <v>317</v>
      </c>
      <c r="E959" s="906" t="s">
        <v>2706</v>
      </c>
      <c r="F959" s="906"/>
      <c r="G959" s="644" t="s">
        <v>268</v>
      </c>
      <c r="H959" s="645">
        <v>1</v>
      </c>
      <c r="I959" s="646">
        <v>26.13</v>
      </c>
      <c r="J959" s="646">
        <v>26.13</v>
      </c>
    </row>
    <row r="960" spans="1:10" ht="39" customHeight="1" x14ac:dyDescent="0.3">
      <c r="A960" s="519" t="s">
        <v>2434</v>
      </c>
      <c r="B960" s="520" t="s">
        <v>2753</v>
      </c>
      <c r="C960" s="519" t="s">
        <v>32</v>
      </c>
      <c r="D960" s="519" t="s">
        <v>2754</v>
      </c>
      <c r="E960" s="905" t="s">
        <v>2465</v>
      </c>
      <c r="F960" s="905"/>
      <c r="G960" s="521" t="s">
        <v>103</v>
      </c>
      <c r="H960" s="522">
        <v>0.16</v>
      </c>
      <c r="I960" s="523">
        <v>139.99</v>
      </c>
      <c r="J960" s="523">
        <v>22.39</v>
      </c>
    </row>
    <row r="961" spans="1:10" s="358" customFormat="1" ht="25" x14ac:dyDescent="0.3">
      <c r="A961" s="519" t="s">
        <v>2434</v>
      </c>
      <c r="B961" s="520" t="s">
        <v>2561</v>
      </c>
      <c r="C961" s="519" t="s">
        <v>32</v>
      </c>
      <c r="D961" s="519" t="s">
        <v>2562</v>
      </c>
      <c r="E961" s="905" t="s">
        <v>2433</v>
      </c>
      <c r="F961" s="905"/>
      <c r="G961" s="521" t="s">
        <v>1901</v>
      </c>
      <c r="H961" s="522">
        <v>0.16</v>
      </c>
      <c r="I961" s="523">
        <v>23.4</v>
      </c>
      <c r="J961" s="523">
        <v>3.74</v>
      </c>
    </row>
    <row r="962" spans="1:10" x14ac:dyDescent="0.3">
      <c r="A962" s="910" t="s">
        <v>4243</v>
      </c>
      <c r="B962" s="910"/>
      <c r="C962" s="910"/>
      <c r="D962" s="910"/>
      <c r="E962" s="910"/>
      <c r="F962" s="910"/>
      <c r="G962" s="910"/>
      <c r="H962" s="910"/>
      <c r="I962" s="910"/>
      <c r="J962"/>
    </row>
    <row r="963" spans="1:10" s="358" customFormat="1" ht="15.75" customHeight="1" thickBot="1" x14ac:dyDescent="0.35">
      <c r="A963" s="909" t="s">
        <v>4289</v>
      </c>
      <c r="B963" s="909"/>
      <c r="C963" s="909"/>
      <c r="D963" s="909"/>
      <c r="E963" s="909"/>
      <c r="F963" s="909"/>
      <c r="G963" s="909"/>
      <c r="H963" s="909"/>
      <c r="I963" s="909"/>
      <c r="J963"/>
    </row>
    <row r="964" spans="1:10" ht="38.25" customHeight="1" thickTop="1" x14ac:dyDescent="0.3">
      <c r="A964" s="647"/>
      <c r="B964" s="647"/>
      <c r="C964" s="647"/>
      <c r="D964" s="647"/>
      <c r="E964" s="647"/>
      <c r="F964" s="647"/>
      <c r="G964" s="647"/>
      <c r="H964" s="647"/>
      <c r="I964" s="647"/>
      <c r="J964" s="647"/>
    </row>
    <row r="965" spans="1:10" ht="38.25" customHeight="1" x14ac:dyDescent="0.3">
      <c r="A965" s="516"/>
      <c r="B965" s="517" t="s">
        <v>15</v>
      </c>
      <c r="C965" s="516" t="s">
        <v>16</v>
      </c>
      <c r="D965" s="516" t="s">
        <v>17</v>
      </c>
      <c r="E965" s="904" t="s">
        <v>2431</v>
      </c>
      <c r="F965" s="904"/>
      <c r="G965" s="518" t="s">
        <v>18</v>
      </c>
      <c r="H965" s="517" t="s">
        <v>19</v>
      </c>
      <c r="I965" s="517" t="s">
        <v>20</v>
      </c>
      <c r="J965" s="517" t="s">
        <v>23</v>
      </c>
    </row>
    <row r="966" spans="1:10" ht="37.5" x14ac:dyDescent="0.3">
      <c r="A966" s="642" t="s">
        <v>2432</v>
      </c>
      <c r="B966" s="643" t="s">
        <v>319</v>
      </c>
      <c r="C966" s="642" t="s">
        <v>32</v>
      </c>
      <c r="D966" s="642" t="s">
        <v>4494</v>
      </c>
      <c r="E966" s="906" t="s">
        <v>2706</v>
      </c>
      <c r="F966" s="906"/>
      <c r="G966" s="644" t="s">
        <v>118</v>
      </c>
      <c r="H966" s="645">
        <v>1</v>
      </c>
      <c r="I966" s="646">
        <v>185.07</v>
      </c>
      <c r="J966" s="646">
        <v>185.07</v>
      </c>
    </row>
    <row r="967" spans="1:10" s="358" customFormat="1" ht="25.5" customHeight="1" x14ac:dyDescent="0.3">
      <c r="A967" s="519" t="s">
        <v>2434</v>
      </c>
      <c r="B967" s="520" t="s">
        <v>2898</v>
      </c>
      <c r="C967" s="519" t="s">
        <v>32</v>
      </c>
      <c r="D967" s="519" t="s">
        <v>2899</v>
      </c>
      <c r="E967" s="905" t="s">
        <v>2465</v>
      </c>
      <c r="F967" s="905"/>
      <c r="G967" s="521" t="s">
        <v>103</v>
      </c>
      <c r="H967" s="522">
        <v>1.3422000000000001</v>
      </c>
      <c r="I967" s="523">
        <v>30.06</v>
      </c>
      <c r="J967" s="523">
        <v>40.340000000000003</v>
      </c>
    </row>
    <row r="968" spans="1:10" ht="25.5" customHeight="1" x14ac:dyDescent="0.3">
      <c r="A968" s="519" t="s">
        <v>2434</v>
      </c>
      <c r="B968" s="520" t="s">
        <v>2919</v>
      </c>
      <c r="C968" s="519" t="s">
        <v>32</v>
      </c>
      <c r="D968" s="519" t="s">
        <v>2920</v>
      </c>
      <c r="E968" s="905" t="s">
        <v>2465</v>
      </c>
      <c r="F968" s="905"/>
      <c r="G968" s="521" t="s">
        <v>110</v>
      </c>
      <c r="H968" s="522">
        <v>2.0108000000000001</v>
      </c>
      <c r="I968" s="523">
        <v>27.87</v>
      </c>
      <c r="J968" s="523">
        <v>56.04</v>
      </c>
    </row>
    <row r="969" spans="1:10" s="358" customFormat="1" ht="38.25" customHeight="1" x14ac:dyDescent="0.3">
      <c r="A969" s="519" t="s">
        <v>2434</v>
      </c>
      <c r="B969" s="520" t="s">
        <v>2921</v>
      </c>
      <c r="C969" s="519" t="s">
        <v>32</v>
      </c>
      <c r="D969" s="519" t="s">
        <v>2922</v>
      </c>
      <c r="E969" s="905" t="s">
        <v>2465</v>
      </c>
      <c r="F969" s="905"/>
      <c r="G969" s="521" t="s">
        <v>103</v>
      </c>
      <c r="H969" s="522">
        <v>1.3422000000000001</v>
      </c>
      <c r="I969" s="523">
        <v>55.99</v>
      </c>
      <c r="J969" s="523">
        <v>75.14</v>
      </c>
    </row>
    <row r="970" spans="1:10" ht="15" customHeight="1" thickBot="1" x14ac:dyDescent="0.35">
      <c r="A970" s="519" t="s">
        <v>2434</v>
      </c>
      <c r="B970" s="520" t="s">
        <v>2923</v>
      </c>
      <c r="C970" s="519" t="s">
        <v>32</v>
      </c>
      <c r="D970" s="519" t="s">
        <v>2924</v>
      </c>
      <c r="E970" s="905" t="s">
        <v>2465</v>
      </c>
      <c r="F970" s="905"/>
      <c r="G970" s="521" t="s">
        <v>110</v>
      </c>
      <c r="H970" s="522">
        <v>2.0108000000000001</v>
      </c>
      <c r="I970" s="523">
        <v>6.74</v>
      </c>
      <c r="J970" s="523">
        <v>13.55</v>
      </c>
    </row>
    <row r="971" spans="1:10" ht="14.5" thickTop="1" x14ac:dyDescent="0.3">
      <c r="A971" s="647"/>
      <c r="B971" s="647"/>
      <c r="C971" s="647"/>
      <c r="D971" s="647"/>
      <c r="E971" s="647"/>
      <c r="F971" s="647"/>
      <c r="G971" s="647"/>
      <c r="H971" s="647"/>
      <c r="I971" s="647"/>
      <c r="J971" s="647"/>
    </row>
    <row r="972" spans="1:10" x14ac:dyDescent="0.3">
      <c r="A972" s="516"/>
      <c r="B972" s="517" t="s">
        <v>15</v>
      </c>
      <c r="C972" s="516" t="s">
        <v>16</v>
      </c>
      <c r="D972" s="516" t="s">
        <v>17</v>
      </c>
      <c r="E972" s="904" t="s">
        <v>2431</v>
      </c>
      <c r="F972" s="904"/>
      <c r="G972" s="518" t="s">
        <v>18</v>
      </c>
      <c r="H972" s="517" t="s">
        <v>19</v>
      </c>
      <c r="I972" s="517" t="s">
        <v>20</v>
      </c>
      <c r="J972" s="517" t="s">
        <v>23</v>
      </c>
    </row>
    <row r="973" spans="1:10" ht="14.25" customHeight="1" x14ac:dyDescent="0.3">
      <c r="A973" s="642" t="s">
        <v>2432</v>
      </c>
      <c r="B973" s="643" t="s">
        <v>324</v>
      </c>
      <c r="C973" s="642" t="s">
        <v>32</v>
      </c>
      <c r="D973" s="642" t="s">
        <v>4422</v>
      </c>
      <c r="E973" s="906" t="s">
        <v>2925</v>
      </c>
      <c r="F973" s="906"/>
      <c r="G973" s="644" t="s">
        <v>118</v>
      </c>
      <c r="H973" s="645">
        <v>1</v>
      </c>
      <c r="I973" s="646">
        <v>1.37</v>
      </c>
      <c r="J973" s="646">
        <v>1.37</v>
      </c>
    </row>
    <row r="974" spans="1:10" ht="14.25" customHeight="1" x14ac:dyDescent="0.3">
      <c r="A974" s="519" t="s">
        <v>2434</v>
      </c>
      <c r="B974" s="520" t="s">
        <v>2926</v>
      </c>
      <c r="C974" s="519" t="s">
        <v>32</v>
      </c>
      <c r="D974" s="519" t="s">
        <v>2927</v>
      </c>
      <c r="E974" s="905" t="s">
        <v>2465</v>
      </c>
      <c r="F974" s="905"/>
      <c r="G974" s="521" t="s">
        <v>103</v>
      </c>
      <c r="H974" s="522">
        <v>2.5225999999999998E-3</v>
      </c>
      <c r="I974" s="523">
        <v>251.06</v>
      </c>
      <c r="J974" s="523">
        <v>0.63</v>
      </c>
    </row>
    <row r="975" spans="1:10" ht="14.25" customHeight="1" x14ac:dyDescent="0.3">
      <c r="A975" s="519" t="s">
        <v>2434</v>
      </c>
      <c r="B975" s="520" t="s">
        <v>2928</v>
      </c>
      <c r="C975" s="519" t="s">
        <v>32</v>
      </c>
      <c r="D975" s="519" t="s">
        <v>2929</v>
      </c>
      <c r="E975" s="905" t="s">
        <v>2465</v>
      </c>
      <c r="F975" s="905"/>
      <c r="G975" s="521" t="s">
        <v>110</v>
      </c>
      <c r="H975" s="522">
        <v>6.1034000000000001E-3</v>
      </c>
      <c r="I975" s="523">
        <v>88.5</v>
      </c>
      <c r="J975" s="523">
        <v>0.54</v>
      </c>
    </row>
    <row r="976" spans="1:10" ht="14.25" customHeight="1" thickBot="1" x14ac:dyDescent="0.35">
      <c r="A976" s="519" t="s">
        <v>2434</v>
      </c>
      <c r="B976" s="520" t="s">
        <v>2561</v>
      </c>
      <c r="C976" s="519" t="s">
        <v>32</v>
      </c>
      <c r="D976" s="519" t="s">
        <v>2562</v>
      </c>
      <c r="E976" s="905" t="s">
        <v>2433</v>
      </c>
      <c r="F976" s="905"/>
      <c r="G976" s="521" t="s">
        <v>1901</v>
      </c>
      <c r="H976" s="522">
        <v>8.626E-3</v>
      </c>
      <c r="I976" s="523">
        <v>23.4</v>
      </c>
      <c r="J976" s="523">
        <v>0.2</v>
      </c>
    </row>
    <row r="977" spans="1:10" ht="14.5" thickTop="1" x14ac:dyDescent="0.3">
      <c r="A977" s="647"/>
      <c r="B977" s="647"/>
      <c r="C977" s="647"/>
      <c r="D977" s="647"/>
      <c r="E977" s="647"/>
      <c r="F977" s="647"/>
      <c r="G977" s="647"/>
      <c r="H977" s="647"/>
      <c r="I977" s="647"/>
      <c r="J977" s="647"/>
    </row>
    <row r="978" spans="1:10" ht="14.25" customHeight="1" x14ac:dyDescent="0.3">
      <c r="A978" s="516"/>
      <c r="B978" s="517" t="s">
        <v>15</v>
      </c>
      <c r="C978" s="516" t="s">
        <v>16</v>
      </c>
      <c r="D978" s="516" t="s">
        <v>17</v>
      </c>
      <c r="E978" s="904" t="s">
        <v>2431</v>
      </c>
      <c r="F978" s="904"/>
      <c r="G978" s="518" t="s">
        <v>18</v>
      </c>
      <c r="H978" s="517" t="s">
        <v>19</v>
      </c>
      <c r="I978" s="517" t="s">
        <v>20</v>
      </c>
      <c r="J978" s="517" t="s">
        <v>23</v>
      </c>
    </row>
    <row r="979" spans="1:10" ht="14.25" customHeight="1" x14ac:dyDescent="0.3">
      <c r="A979" s="642" t="s">
        <v>2432</v>
      </c>
      <c r="B979" s="643" t="s">
        <v>328</v>
      </c>
      <c r="C979" s="642" t="s">
        <v>125</v>
      </c>
      <c r="D979" s="642" t="s">
        <v>4290</v>
      </c>
      <c r="E979" s="906" t="s">
        <v>1328</v>
      </c>
      <c r="F979" s="906"/>
      <c r="G979" s="644" t="s">
        <v>330</v>
      </c>
      <c r="H979" s="645">
        <v>1</v>
      </c>
      <c r="I979" s="646">
        <v>13.66</v>
      </c>
      <c r="J979" s="646">
        <v>13.66</v>
      </c>
    </row>
    <row r="980" spans="1:10" ht="15" customHeight="1" x14ac:dyDescent="0.3">
      <c r="A980" s="904" t="s">
        <v>2418</v>
      </c>
      <c r="B980" s="903" t="s">
        <v>15</v>
      </c>
      <c r="C980" s="904" t="s">
        <v>16</v>
      </c>
      <c r="D980" s="904" t="s">
        <v>2466</v>
      </c>
      <c r="E980" s="903" t="s">
        <v>2467</v>
      </c>
      <c r="F980" s="908" t="s">
        <v>2468</v>
      </c>
      <c r="G980" s="903"/>
      <c r="H980" s="518" t="s">
        <v>2469</v>
      </c>
      <c r="I980" s="903" t="s">
        <v>2470</v>
      </c>
      <c r="J980"/>
    </row>
    <row r="981" spans="1:10" x14ac:dyDescent="0.3">
      <c r="A981" s="903"/>
      <c r="B981" s="903"/>
      <c r="C981" s="903"/>
      <c r="D981" s="903"/>
      <c r="E981" s="903"/>
      <c r="F981" s="517" t="s">
        <v>2471</v>
      </c>
      <c r="G981" s="517" t="s">
        <v>2472</v>
      </c>
      <c r="H981" s="517" t="s">
        <v>2471</v>
      </c>
      <c r="I981" s="903"/>
      <c r="J981"/>
    </row>
    <row r="982" spans="1:10" x14ac:dyDescent="0.3">
      <c r="A982" s="519" t="s">
        <v>2437</v>
      </c>
      <c r="B982" s="520" t="s">
        <v>2931</v>
      </c>
      <c r="C982" s="519" t="s">
        <v>125</v>
      </c>
      <c r="D982" s="519" t="s">
        <v>2932</v>
      </c>
      <c r="E982" s="522">
        <v>1</v>
      </c>
      <c r="F982" s="523">
        <v>1</v>
      </c>
      <c r="G982" s="523">
        <v>0</v>
      </c>
      <c r="H982" s="524">
        <v>0.98719999999999997</v>
      </c>
      <c r="I982" s="524">
        <v>0.98719999999999997</v>
      </c>
      <c r="J982"/>
    </row>
    <row r="983" spans="1:10" ht="15" customHeight="1" x14ac:dyDescent="0.3">
      <c r="A983" s="519" t="s">
        <v>2437</v>
      </c>
      <c r="B983" s="520" t="s">
        <v>2933</v>
      </c>
      <c r="C983" s="519" t="s">
        <v>125</v>
      </c>
      <c r="D983" s="519" t="s">
        <v>2934</v>
      </c>
      <c r="E983" s="522">
        <v>1</v>
      </c>
      <c r="F983" s="523">
        <v>1</v>
      </c>
      <c r="G983" s="523">
        <v>0</v>
      </c>
      <c r="H983" s="524">
        <v>10.8424</v>
      </c>
      <c r="I983" s="524">
        <v>10.8424</v>
      </c>
      <c r="J983"/>
    </row>
    <row r="984" spans="1:10" s="358" customFormat="1" ht="15" customHeight="1" x14ac:dyDescent="0.3">
      <c r="A984" s="902"/>
      <c r="B984" s="902"/>
      <c r="C984" s="902"/>
      <c r="D984" s="902"/>
      <c r="E984" s="902"/>
      <c r="F984" s="902" t="s">
        <v>2475</v>
      </c>
      <c r="G984" s="902"/>
      <c r="H984" s="902"/>
      <c r="I984" s="525">
        <v>11.829599999999999</v>
      </c>
      <c r="J984"/>
    </row>
    <row r="985" spans="1:10" ht="14.25" customHeight="1" x14ac:dyDescent="0.3">
      <c r="A985" s="902"/>
      <c r="B985" s="902"/>
      <c r="C985" s="902"/>
      <c r="D985" s="902"/>
      <c r="E985" s="902"/>
      <c r="F985" s="902" t="s">
        <v>2476</v>
      </c>
      <c r="G985" s="902"/>
      <c r="H985" s="902"/>
      <c r="I985" s="525">
        <v>11.829599999999999</v>
      </c>
      <c r="J985"/>
    </row>
    <row r="986" spans="1:10" s="358" customFormat="1" ht="15" customHeight="1" x14ac:dyDescent="0.3">
      <c r="A986" s="902"/>
      <c r="B986" s="902"/>
      <c r="C986" s="902"/>
      <c r="D986" s="902"/>
      <c r="E986" s="902"/>
      <c r="F986" s="902" t="s">
        <v>2477</v>
      </c>
      <c r="G986" s="902"/>
      <c r="H986" s="902"/>
      <c r="I986" s="525">
        <v>0</v>
      </c>
      <c r="J986"/>
    </row>
    <row r="987" spans="1:10" x14ac:dyDescent="0.3">
      <c r="A987" s="902"/>
      <c r="B987" s="902"/>
      <c r="C987" s="902"/>
      <c r="D987" s="902"/>
      <c r="E987" s="902"/>
      <c r="F987" s="902" t="s">
        <v>2478</v>
      </c>
      <c r="G987" s="902"/>
      <c r="H987" s="902"/>
      <c r="I987" s="525">
        <v>0</v>
      </c>
      <c r="J987"/>
    </row>
    <row r="988" spans="1:10" ht="14.25" customHeight="1" x14ac:dyDescent="0.3">
      <c r="A988" s="902"/>
      <c r="B988" s="902"/>
      <c r="C988" s="902"/>
      <c r="D988" s="902"/>
      <c r="E988" s="902"/>
      <c r="F988" s="902" t="s">
        <v>2479</v>
      </c>
      <c r="G988" s="902"/>
      <c r="H988" s="902"/>
      <c r="I988" s="525">
        <v>1</v>
      </c>
      <c r="J988"/>
    </row>
    <row r="989" spans="1:10" ht="25.5" customHeight="1" x14ac:dyDescent="0.3">
      <c r="A989" s="902"/>
      <c r="B989" s="902"/>
      <c r="C989" s="902"/>
      <c r="D989" s="902"/>
      <c r="E989" s="902"/>
      <c r="F989" s="902" t="s">
        <v>2480</v>
      </c>
      <c r="G989" s="902"/>
      <c r="H989" s="902"/>
      <c r="I989" s="525">
        <v>11.829599999999999</v>
      </c>
      <c r="J989"/>
    </row>
    <row r="990" spans="1:10" ht="39" customHeight="1" x14ac:dyDescent="0.3">
      <c r="A990" s="516" t="s">
        <v>2574</v>
      </c>
      <c r="B990" s="517" t="s">
        <v>16</v>
      </c>
      <c r="C990" s="516" t="s">
        <v>15</v>
      </c>
      <c r="D990" s="516" t="s">
        <v>2575</v>
      </c>
      <c r="E990" s="517" t="s">
        <v>2467</v>
      </c>
      <c r="F990" s="517" t="s">
        <v>2576</v>
      </c>
      <c r="G990" s="903" t="s">
        <v>2577</v>
      </c>
      <c r="H990" s="903"/>
      <c r="I990" s="517" t="s">
        <v>2470</v>
      </c>
      <c r="J990"/>
    </row>
    <row r="991" spans="1:10" s="358" customFormat="1" ht="25" x14ac:dyDescent="0.3">
      <c r="A991" s="519" t="s">
        <v>2578</v>
      </c>
      <c r="B991" s="520" t="s">
        <v>32</v>
      </c>
      <c r="C991" s="519">
        <v>88267</v>
      </c>
      <c r="D991" s="519" t="s">
        <v>2787</v>
      </c>
      <c r="E991" s="522">
        <v>0.05</v>
      </c>
      <c r="F991" s="521" t="s">
        <v>1901</v>
      </c>
      <c r="G991" s="907">
        <v>30.33</v>
      </c>
      <c r="H991" s="907"/>
      <c r="I991" s="524">
        <v>1.5165</v>
      </c>
      <c r="J991"/>
    </row>
    <row r="992" spans="1:10" ht="25" x14ac:dyDescent="0.3">
      <c r="A992" s="519" t="s">
        <v>2578</v>
      </c>
      <c r="B992" s="520" t="s">
        <v>32</v>
      </c>
      <c r="C992" s="519">
        <v>88264</v>
      </c>
      <c r="D992" s="519" t="s">
        <v>2767</v>
      </c>
      <c r="E992" s="522">
        <v>0.01</v>
      </c>
      <c r="F992" s="521" t="s">
        <v>1901</v>
      </c>
      <c r="G992" s="907">
        <v>31.49</v>
      </c>
      <c r="H992" s="907"/>
      <c r="I992" s="524">
        <v>0.31490000000000001</v>
      </c>
      <c r="J992"/>
    </row>
    <row r="993" spans="1:10" s="358" customFormat="1" ht="15.75" customHeight="1" thickBot="1" x14ac:dyDescent="0.35">
      <c r="A993" s="902"/>
      <c r="B993" s="902"/>
      <c r="C993" s="902"/>
      <c r="D993" s="902"/>
      <c r="E993" s="902"/>
      <c r="F993" s="902" t="s">
        <v>2579</v>
      </c>
      <c r="G993" s="902"/>
      <c r="H993" s="902"/>
      <c r="I993" s="525">
        <v>1.8313999999999999</v>
      </c>
      <c r="J993"/>
    </row>
    <row r="994" spans="1:10" ht="14.5" thickTop="1" x14ac:dyDescent="0.3">
      <c r="A994" s="647"/>
      <c r="B994" s="647"/>
      <c r="C994" s="647"/>
      <c r="D994" s="647"/>
      <c r="E994" s="647"/>
      <c r="F994" s="647"/>
      <c r="G994" s="647"/>
      <c r="H994" s="647"/>
      <c r="I994" s="647"/>
      <c r="J994" s="647"/>
    </row>
    <row r="995" spans="1:10" x14ac:dyDescent="0.3">
      <c r="A995" s="516"/>
      <c r="B995" s="517" t="s">
        <v>15</v>
      </c>
      <c r="C995" s="516" t="s">
        <v>16</v>
      </c>
      <c r="D995" s="516" t="s">
        <v>17</v>
      </c>
      <c r="E995" s="904" t="s">
        <v>2431</v>
      </c>
      <c r="F995" s="904"/>
      <c r="G995" s="518" t="s">
        <v>18</v>
      </c>
      <c r="H995" s="517" t="s">
        <v>19</v>
      </c>
      <c r="I995" s="517" t="s">
        <v>20</v>
      </c>
      <c r="J995" s="517" t="s">
        <v>23</v>
      </c>
    </row>
    <row r="996" spans="1:10" ht="25.5" customHeight="1" x14ac:dyDescent="0.3">
      <c r="A996" s="642" t="s">
        <v>2432</v>
      </c>
      <c r="B996" s="643" t="s">
        <v>334</v>
      </c>
      <c r="C996" s="642" t="s">
        <v>243</v>
      </c>
      <c r="D996" s="642" t="s">
        <v>4495</v>
      </c>
      <c r="E996" s="906">
        <v>793</v>
      </c>
      <c r="F996" s="906"/>
      <c r="G996" s="644" t="s">
        <v>115</v>
      </c>
      <c r="H996" s="645">
        <v>1</v>
      </c>
      <c r="I996" s="646">
        <v>23.05</v>
      </c>
      <c r="J996" s="646">
        <v>23.05</v>
      </c>
    </row>
    <row r="997" spans="1:10" ht="39" customHeight="1" x14ac:dyDescent="0.3">
      <c r="A997" s="519" t="s">
        <v>2434</v>
      </c>
      <c r="B997" s="520" t="s">
        <v>2935</v>
      </c>
      <c r="C997" s="519" t="s">
        <v>243</v>
      </c>
      <c r="D997" s="519" t="s">
        <v>4496</v>
      </c>
      <c r="E997" s="905">
        <v>9</v>
      </c>
      <c r="F997" s="905"/>
      <c r="G997" s="521" t="s">
        <v>89</v>
      </c>
      <c r="H997" s="522">
        <v>1E-4</v>
      </c>
      <c r="I997" s="523">
        <v>45123.01</v>
      </c>
      <c r="J997" s="523">
        <v>4.51</v>
      </c>
    </row>
    <row r="998" spans="1:10" s="358" customFormat="1" ht="25" x14ac:dyDescent="0.3">
      <c r="A998" s="519" t="s">
        <v>2434</v>
      </c>
      <c r="B998" s="520" t="s">
        <v>2561</v>
      </c>
      <c r="C998" s="519" t="s">
        <v>32</v>
      </c>
      <c r="D998" s="519" t="s">
        <v>2562</v>
      </c>
      <c r="E998" s="905" t="s">
        <v>2433</v>
      </c>
      <c r="F998" s="905"/>
      <c r="G998" s="521" t="s">
        <v>1901</v>
      </c>
      <c r="H998" s="522">
        <v>0.32900000000000001</v>
      </c>
      <c r="I998" s="523">
        <v>23.4</v>
      </c>
      <c r="J998" s="523">
        <v>7.69</v>
      </c>
    </row>
    <row r="999" spans="1:10" ht="25.5" customHeight="1" x14ac:dyDescent="0.3">
      <c r="A999" s="519" t="s">
        <v>2434</v>
      </c>
      <c r="B999" s="520" t="s">
        <v>2564</v>
      </c>
      <c r="C999" s="519" t="s">
        <v>32</v>
      </c>
      <c r="D999" s="519" t="s">
        <v>2565</v>
      </c>
      <c r="E999" s="905" t="s">
        <v>2465</v>
      </c>
      <c r="F999" s="905"/>
      <c r="G999" s="521" t="s">
        <v>103</v>
      </c>
      <c r="H999" s="522">
        <v>3.7100000000000001E-2</v>
      </c>
      <c r="I999" s="523">
        <v>204.43</v>
      </c>
      <c r="J999" s="523">
        <v>7.58</v>
      </c>
    </row>
    <row r="1000" spans="1:10" s="358" customFormat="1" ht="26.25" customHeight="1" thickBot="1" x14ac:dyDescent="0.35">
      <c r="A1000" s="519" t="s">
        <v>2434</v>
      </c>
      <c r="B1000" s="520" t="s">
        <v>2566</v>
      </c>
      <c r="C1000" s="519" t="s">
        <v>32</v>
      </c>
      <c r="D1000" s="519" t="s">
        <v>2567</v>
      </c>
      <c r="E1000" s="905" t="s">
        <v>2465</v>
      </c>
      <c r="F1000" s="905"/>
      <c r="G1000" s="521" t="s">
        <v>110</v>
      </c>
      <c r="H1000" s="522">
        <v>3.7100000000000001E-2</v>
      </c>
      <c r="I1000" s="523">
        <v>88.26</v>
      </c>
      <c r="J1000" s="523">
        <v>3.27</v>
      </c>
    </row>
    <row r="1001" spans="1:10" ht="14.5" thickTop="1" x14ac:dyDescent="0.3">
      <c r="A1001" s="647"/>
      <c r="B1001" s="647"/>
      <c r="C1001" s="647"/>
      <c r="D1001" s="647"/>
      <c r="E1001" s="647"/>
      <c r="F1001" s="647"/>
      <c r="G1001" s="647"/>
      <c r="H1001" s="647"/>
      <c r="I1001" s="647"/>
      <c r="J1001" s="647"/>
    </row>
    <row r="1002" spans="1:10" x14ac:dyDescent="0.3">
      <c r="A1002" s="516"/>
      <c r="B1002" s="517" t="s">
        <v>15</v>
      </c>
      <c r="C1002" s="516" t="s">
        <v>16</v>
      </c>
      <c r="D1002" s="516" t="s">
        <v>17</v>
      </c>
      <c r="E1002" s="904" t="s">
        <v>2431</v>
      </c>
      <c r="F1002" s="904"/>
      <c r="G1002" s="518" t="s">
        <v>18</v>
      </c>
      <c r="H1002" s="517" t="s">
        <v>19</v>
      </c>
      <c r="I1002" s="517" t="s">
        <v>20</v>
      </c>
      <c r="J1002" s="517" t="s">
        <v>23</v>
      </c>
    </row>
    <row r="1003" spans="1:10" ht="25.5" customHeight="1" x14ac:dyDescent="0.3">
      <c r="A1003" s="642" t="s">
        <v>2432</v>
      </c>
      <c r="B1003" s="643" t="s">
        <v>337</v>
      </c>
      <c r="C1003" s="642" t="s">
        <v>243</v>
      </c>
      <c r="D1003" s="642" t="s">
        <v>4497</v>
      </c>
      <c r="E1003" s="906">
        <v>793</v>
      </c>
      <c r="F1003" s="906"/>
      <c r="G1003" s="644" t="s">
        <v>115</v>
      </c>
      <c r="H1003" s="645">
        <v>1</v>
      </c>
      <c r="I1003" s="646">
        <v>30.02</v>
      </c>
      <c r="J1003" s="646">
        <v>30.02</v>
      </c>
    </row>
    <row r="1004" spans="1:10" ht="39" customHeight="1" x14ac:dyDescent="0.3">
      <c r="A1004" s="519" t="s">
        <v>2434</v>
      </c>
      <c r="B1004" s="520" t="s">
        <v>2936</v>
      </c>
      <c r="C1004" s="519" t="s">
        <v>243</v>
      </c>
      <c r="D1004" s="519" t="s">
        <v>4498</v>
      </c>
      <c r="E1004" s="905">
        <v>9</v>
      </c>
      <c r="F1004" s="905"/>
      <c r="G1004" s="521" t="s">
        <v>89</v>
      </c>
      <c r="H1004" s="522">
        <v>1E-4</v>
      </c>
      <c r="I1004" s="523">
        <v>81375.740000000005</v>
      </c>
      <c r="J1004" s="523">
        <v>8.1300000000000008</v>
      </c>
    </row>
    <row r="1005" spans="1:10" s="358" customFormat="1" ht="25" x14ac:dyDescent="0.3">
      <c r="A1005" s="519" t="s">
        <v>2434</v>
      </c>
      <c r="B1005" s="520" t="s">
        <v>2561</v>
      </c>
      <c r="C1005" s="519" t="s">
        <v>32</v>
      </c>
      <c r="D1005" s="519" t="s">
        <v>2562</v>
      </c>
      <c r="E1005" s="905" t="s">
        <v>2433</v>
      </c>
      <c r="F1005" s="905"/>
      <c r="G1005" s="521" t="s">
        <v>1901</v>
      </c>
      <c r="H1005" s="522">
        <v>0.28499999999999998</v>
      </c>
      <c r="I1005" s="523">
        <v>23.4</v>
      </c>
      <c r="J1005" s="523">
        <v>6.66</v>
      </c>
    </row>
    <row r="1006" spans="1:10" ht="25.5" customHeight="1" x14ac:dyDescent="0.3">
      <c r="A1006" s="519" t="s">
        <v>2434</v>
      </c>
      <c r="B1006" s="520" t="s">
        <v>2564</v>
      </c>
      <c r="C1006" s="519" t="s">
        <v>32</v>
      </c>
      <c r="D1006" s="519" t="s">
        <v>2565</v>
      </c>
      <c r="E1006" s="905" t="s">
        <v>2465</v>
      </c>
      <c r="F1006" s="905"/>
      <c r="G1006" s="521" t="s">
        <v>103</v>
      </c>
      <c r="H1006" s="522">
        <v>0.04</v>
      </c>
      <c r="I1006" s="523">
        <v>204.43</v>
      </c>
      <c r="J1006" s="523">
        <v>8.17</v>
      </c>
    </row>
    <row r="1007" spans="1:10" s="358" customFormat="1" ht="26.25" customHeight="1" thickBot="1" x14ac:dyDescent="0.35">
      <c r="A1007" s="519" t="s">
        <v>2434</v>
      </c>
      <c r="B1007" s="520" t="s">
        <v>2566</v>
      </c>
      <c r="C1007" s="519" t="s">
        <v>32</v>
      </c>
      <c r="D1007" s="519" t="s">
        <v>2567</v>
      </c>
      <c r="E1007" s="905" t="s">
        <v>2465</v>
      </c>
      <c r="F1007" s="905"/>
      <c r="G1007" s="521" t="s">
        <v>110</v>
      </c>
      <c r="H1007" s="522">
        <v>0.08</v>
      </c>
      <c r="I1007" s="523">
        <v>88.26</v>
      </c>
      <c r="J1007" s="523">
        <v>7.06</v>
      </c>
    </row>
    <row r="1008" spans="1:10" ht="14.5" thickTop="1" x14ac:dyDescent="0.3">
      <c r="A1008" s="647"/>
      <c r="B1008" s="647"/>
      <c r="C1008" s="647"/>
      <c r="D1008" s="647"/>
      <c r="E1008" s="647"/>
      <c r="F1008" s="647"/>
      <c r="G1008" s="647"/>
      <c r="H1008" s="647"/>
      <c r="I1008" s="647"/>
      <c r="J1008" s="647"/>
    </row>
    <row r="1009" spans="1:10" x14ac:dyDescent="0.3">
      <c r="A1009" s="516"/>
      <c r="B1009" s="517" t="s">
        <v>15</v>
      </c>
      <c r="C1009" s="516" t="s">
        <v>16</v>
      </c>
      <c r="D1009" s="516" t="s">
        <v>17</v>
      </c>
      <c r="E1009" s="904" t="s">
        <v>2431</v>
      </c>
      <c r="F1009" s="904"/>
      <c r="G1009" s="518" t="s">
        <v>18</v>
      </c>
      <c r="H1009" s="517" t="s">
        <v>19</v>
      </c>
      <c r="I1009" s="517" t="s">
        <v>20</v>
      </c>
      <c r="J1009" s="517" t="s">
        <v>23</v>
      </c>
    </row>
    <row r="1010" spans="1:10" ht="25.5" customHeight="1" x14ac:dyDescent="0.3">
      <c r="A1010" s="642" t="s">
        <v>2432</v>
      </c>
      <c r="B1010" s="643" t="s">
        <v>340</v>
      </c>
      <c r="C1010" s="642" t="s">
        <v>243</v>
      </c>
      <c r="D1010" s="642" t="s">
        <v>4423</v>
      </c>
      <c r="E1010" s="906">
        <v>793</v>
      </c>
      <c r="F1010" s="906"/>
      <c r="G1010" s="644" t="s">
        <v>115</v>
      </c>
      <c r="H1010" s="645">
        <v>1</v>
      </c>
      <c r="I1010" s="646">
        <v>32.4</v>
      </c>
      <c r="J1010" s="646">
        <v>32.4</v>
      </c>
    </row>
    <row r="1011" spans="1:10" ht="39" customHeight="1" x14ac:dyDescent="0.3">
      <c r="A1011" s="519" t="s">
        <v>2434</v>
      </c>
      <c r="B1011" s="520" t="s">
        <v>2937</v>
      </c>
      <c r="C1011" s="519" t="s">
        <v>243</v>
      </c>
      <c r="D1011" s="519" t="s">
        <v>4499</v>
      </c>
      <c r="E1011" s="905">
        <v>9</v>
      </c>
      <c r="F1011" s="905"/>
      <c r="G1011" s="521" t="s">
        <v>89</v>
      </c>
      <c r="H1011" s="522">
        <v>1E-4</v>
      </c>
      <c r="I1011" s="523">
        <v>49753.760000000002</v>
      </c>
      <c r="J1011" s="523">
        <v>4.97</v>
      </c>
    </row>
    <row r="1012" spans="1:10" s="358" customFormat="1" ht="25" x14ac:dyDescent="0.3">
      <c r="A1012" s="519" t="s">
        <v>2434</v>
      </c>
      <c r="B1012" s="520" t="s">
        <v>2561</v>
      </c>
      <c r="C1012" s="519" t="s">
        <v>32</v>
      </c>
      <c r="D1012" s="519" t="s">
        <v>2562</v>
      </c>
      <c r="E1012" s="905" t="s">
        <v>2433</v>
      </c>
      <c r="F1012" s="905"/>
      <c r="G1012" s="521" t="s">
        <v>1901</v>
      </c>
      <c r="H1012" s="522">
        <v>0.48599999999999999</v>
      </c>
      <c r="I1012" s="523">
        <v>23.4</v>
      </c>
      <c r="J1012" s="523">
        <v>11.37</v>
      </c>
    </row>
    <row r="1013" spans="1:10" ht="25.5" customHeight="1" x14ac:dyDescent="0.3">
      <c r="A1013" s="519" t="s">
        <v>2434</v>
      </c>
      <c r="B1013" s="520" t="s">
        <v>2564</v>
      </c>
      <c r="C1013" s="519" t="s">
        <v>32</v>
      </c>
      <c r="D1013" s="519" t="s">
        <v>2565</v>
      </c>
      <c r="E1013" s="905" t="s">
        <v>2465</v>
      </c>
      <c r="F1013" s="905"/>
      <c r="G1013" s="521" t="s">
        <v>103</v>
      </c>
      <c r="H1013" s="522">
        <v>5.4899999999999997E-2</v>
      </c>
      <c r="I1013" s="523">
        <v>204.43</v>
      </c>
      <c r="J1013" s="523">
        <v>11.22</v>
      </c>
    </row>
    <row r="1014" spans="1:10" s="358" customFormat="1" ht="26.25" customHeight="1" thickBot="1" x14ac:dyDescent="0.35">
      <c r="A1014" s="519" t="s">
        <v>2434</v>
      </c>
      <c r="B1014" s="520" t="s">
        <v>2566</v>
      </c>
      <c r="C1014" s="519" t="s">
        <v>32</v>
      </c>
      <c r="D1014" s="519" t="s">
        <v>2567</v>
      </c>
      <c r="E1014" s="905" t="s">
        <v>2465</v>
      </c>
      <c r="F1014" s="905"/>
      <c r="G1014" s="521" t="s">
        <v>110</v>
      </c>
      <c r="H1014" s="522">
        <v>5.4899999999999997E-2</v>
      </c>
      <c r="I1014" s="523">
        <v>88.26</v>
      </c>
      <c r="J1014" s="523">
        <v>4.84</v>
      </c>
    </row>
    <row r="1015" spans="1:10" ht="14.5" thickTop="1" x14ac:dyDescent="0.3">
      <c r="A1015" s="647"/>
      <c r="B1015" s="647"/>
      <c r="C1015" s="647"/>
      <c r="D1015" s="647"/>
      <c r="E1015" s="647"/>
      <c r="F1015" s="647"/>
      <c r="G1015" s="647"/>
      <c r="H1015" s="647"/>
      <c r="I1015" s="647"/>
      <c r="J1015" s="647"/>
    </row>
    <row r="1016" spans="1:10" x14ac:dyDescent="0.3">
      <c r="A1016" s="516"/>
      <c r="B1016" s="517" t="s">
        <v>15</v>
      </c>
      <c r="C1016" s="516" t="s">
        <v>16</v>
      </c>
      <c r="D1016" s="516" t="s">
        <v>17</v>
      </c>
      <c r="E1016" s="904" t="s">
        <v>2431</v>
      </c>
      <c r="F1016" s="904"/>
      <c r="G1016" s="518" t="s">
        <v>18</v>
      </c>
      <c r="H1016" s="517" t="s">
        <v>19</v>
      </c>
      <c r="I1016" s="517" t="s">
        <v>20</v>
      </c>
      <c r="J1016" s="517" t="s">
        <v>23</v>
      </c>
    </row>
    <row r="1017" spans="1:10" ht="25.5" customHeight="1" x14ac:dyDescent="0.3">
      <c r="A1017" s="642" t="s">
        <v>2432</v>
      </c>
      <c r="B1017" s="643" t="s">
        <v>342</v>
      </c>
      <c r="C1017" s="642" t="s">
        <v>243</v>
      </c>
      <c r="D1017" s="642" t="s">
        <v>4424</v>
      </c>
      <c r="E1017" s="906">
        <v>793</v>
      </c>
      <c r="F1017" s="906"/>
      <c r="G1017" s="644" t="s">
        <v>115</v>
      </c>
      <c r="H1017" s="645">
        <v>1</v>
      </c>
      <c r="I1017" s="646">
        <v>41.58</v>
      </c>
      <c r="J1017" s="646">
        <v>41.58</v>
      </c>
    </row>
    <row r="1018" spans="1:10" ht="39" customHeight="1" x14ac:dyDescent="0.3">
      <c r="A1018" s="519" t="s">
        <v>2434</v>
      </c>
      <c r="B1018" s="520" t="s">
        <v>2938</v>
      </c>
      <c r="C1018" s="519" t="s">
        <v>243</v>
      </c>
      <c r="D1018" s="519" t="s">
        <v>4500</v>
      </c>
      <c r="E1018" s="905">
        <v>9</v>
      </c>
      <c r="F1018" s="905"/>
      <c r="G1018" s="521" t="s">
        <v>89</v>
      </c>
      <c r="H1018" s="522">
        <v>1E-4</v>
      </c>
      <c r="I1018" s="523">
        <v>86644.36</v>
      </c>
      <c r="J1018" s="523">
        <v>8.66</v>
      </c>
    </row>
    <row r="1019" spans="1:10" s="358" customFormat="1" ht="25" x14ac:dyDescent="0.3">
      <c r="A1019" s="519" t="s">
        <v>2434</v>
      </c>
      <c r="B1019" s="520" t="s">
        <v>2561</v>
      </c>
      <c r="C1019" s="519" t="s">
        <v>32</v>
      </c>
      <c r="D1019" s="519" t="s">
        <v>2562</v>
      </c>
      <c r="E1019" s="905" t="s">
        <v>2433</v>
      </c>
      <c r="F1019" s="905"/>
      <c r="G1019" s="521" t="s">
        <v>1901</v>
      </c>
      <c r="H1019" s="522">
        <v>0.45600000000000002</v>
      </c>
      <c r="I1019" s="523">
        <v>23.4</v>
      </c>
      <c r="J1019" s="523">
        <v>10.67</v>
      </c>
    </row>
    <row r="1020" spans="1:10" ht="25.5" customHeight="1" x14ac:dyDescent="0.3">
      <c r="A1020" s="519" t="s">
        <v>2434</v>
      </c>
      <c r="B1020" s="520" t="s">
        <v>2564</v>
      </c>
      <c r="C1020" s="519" t="s">
        <v>32</v>
      </c>
      <c r="D1020" s="519" t="s">
        <v>2565</v>
      </c>
      <c r="E1020" s="905" t="s">
        <v>2465</v>
      </c>
      <c r="F1020" s="905"/>
      <c r="G1020" s="521" t="s">
        <v>103</v>
      </c>
      <c r="H1020" s="522">
        <v>7.0000000000000007E-2</v>
      </c>
      <c r="I1020" s="523">
        <v>204.43</v>
      </c>
      <c r="J1020" s="523">
        <v>14.31</v>
      </c>
    </row>
    <row r="1021" spans="1:10" s="358" customFormat="1" ht="26.25" customHeight="1" thickBot="1" x14ac:dyDescent="0.35">
      <c r="A1021" s="519" t="s">
        <v>2434</v>
      </c>
      <c r="B1021" s="520" t="s">
        <v>2566</v>
      </c>
      <c r="C1021" s="519" t="s">
        <v>32</v>
      </c>
      <c r="D1021" s="519" t="s">
        <v>2567</v>
      </c>
      <c r="E1021" s="905" t="s">
        <v>2465</v>
      </c>
      <c r="F1021" s="905"/>
      <c r="G1021" s="521" t="s">
        <v>110</v>
      </c>
      <c r="H1021" s="522">
        <v>0.09</v>
      </c>
      <c r="I1021" s="523">
        <v>88.26</v>
      </c>
      <c r="J1021" s="523">
        <v>7.94</v>
      </c>
    </row>
    <row r="1022" spans="1:10" ht="14.5" thickTop="1" x14ac:dyDescent="0.3">
      <c r="A1022" s="647"/>
      <c r="B1022" s="647"/>
      <c r="C1022" s="647"/>
      <c r="D1022" s="647"/>
      <c r="E1022" s="647"/>
      <c r="F1022" s="647"/>
      <c r="G1022" s="647"/>
      <c r="H1022" s="647"/>
      <c r="I1022" s="647"/>
      <c r="J1022" s="647"/>
    </row>
    <row r="1023" spans="1:10" x14ac:dyDescent="0.3">
      <c r="A1023" s="516"/>
      <c r="B1023" s="517" t="s">
        <v>15</v>
      </c>
      <c r="C1023" s="516" t="s">
        <v>16</v>
      </c>
      <c r="D1023" s="516" t="s">
        <v>17</v>
      </c>
      <c r="E1023" s="904" t="s">
        <v>2431</v>
      </c>
      <c r="F1023" s="904"/>
      <c r="G1023" s="518" t="s">
        <v>18</v>
      </c>
      <c r="H1023" s="517" t="s">
        <v>19</v>
      </c>
      <c r="I1023" s="517" t="s">
        <v>20</v>
      </c>
      <c r="J1023" s="517" t="s">
        <v>23</v>
      </c>
    </row>
    <row r="1024" spans="1:10" ht="25.5" customHeight="1" x14ac:dyDescent="0.3">
      <c r="A1024" s="642" t="s">
        <v>2432</v>
      </c>
      <c r="B1024" s="643" t="s">
        <v>345</v>
      </c>
      <c r="C1024" s="642" t="s">
        <v>243</v>
      </c>
      <c r="D1024" s="642" t="s">
        <v>4425</v>
      </c>
      <c r="E1024" s="906">
        <v>793</v>
      </c>
      <c r="F1024" s="906"/>
      <c r="G1024" s="644" t="s">
        <v>115</v>
      </c>
      <c r="H1024" s="645">
        <v>1</v>
      </c>
      <c r="I1024" s="646">
        <v>23.69</v>
      </c>
      <c r="J1024" s="646">
        <v>23.69</v>
      </c>
    </row>
    <row r="1025" spans="1:10" ht="39" customHeight="1" x14ac:dyDescent="0.3">
      <c r="A1025" s="519" t="s">
        <v>2434</v>
      </c>
      <c r="B1025" s="520" t="s">
        <v>2939</v>
      </c>
      <c r="C1025" s="519" t="s">
        <v>243</v>
      </c>
      <c r="D1025" s="519" t="s">
        <v>4501</v>
      </c>
      <c r="E1025" s="905">
        <v>9</v>
      </c>
      <c r="F1025" s="905"/>
      <c r="G1025" s="521" t="s">
        <v>89</v>
      </c>
      <c r="H1025" s="522">
        <v>1E-4</v>
      </c>
      <c r="I1025" s="523">
        <v>58223.29</v>
      </c>
      <c r="J1025" s="523">
        <v>5.82</v>
      </c>
    </row>
    <row r="1026" spans="1:10" s="358" customFormat="1" ht="25" x14ac:dyDescent="0.3">
      <c r="A1026" s="519" t="s">
        <v>2434</v>
      </c>
      <c r="B1026" s="520" t="s">
        <v>2561</v>
      </c>
      <c r="C1026" s="519" t="s">
        <v>32</v>
      </c>
      <c r="D1026" s="519" t="s">
        <v>2562</v>
      </c>
      <c r="E1026" s="905" t="s">
        <v>2433</v>
      </c>
      <c r="F1026" s="905"/>
      <c r="G1026" s="521" t="s">
        <v>1901</v>
      </c>
      <c r="H1026" s="522">
        <v>0.317</v>
      </c>
      <c r="I1026" s="523">
        <v>23.4</v>
      </c>
      <c r="J1026" s="523">
        <v>7.41</v>
      </c>
    </row>
    <row r="1027" spans="1:10" ht="25.5" customHeight="1" x14ac:dyDescent="0.3">
      <c r="A1027" s="519" t="s">
        <v>2434</v>
      </c>
      <c r="B1027" s="520" t="s">
        <v>2564</v>
      </c>
      <c r="C1027" s="519" t="s">
        <v>32</v>
      </c>
      <c r="D1027" s="519" t="s">
        <v>2565</v>
      </c>
      <c r="E1027" s="905" t="s">
        <v>2465</v>
      </c>
      <c r="F1027" s="905"/>
      <c r="G1027" s="521" t="s">
        <v>103</v>
      </c>
      <c r="H1027" s="522">
        <v>3.5799999999999998E-2</v>
      </c>
      <c r="I1027" s="523">
        <v>204.43</v>
      </c>
      <c r="J1027" s="523">
        <v>7.31</v>
      </c>
    </row>
    <row r="1028" spans="1:10" s="358" customFormat="1" ht="26.25" customHeight="1" thickBot="1" x14ac:dyDescent="0.35">
      <c r="A1028" s="519" t="s">
        <v>2434</v>
      </c>
      <c r="B1028" s="520" t="s">
        <v>2566</v>
      </c>
      <c r="C1028" s="519" t="s">
        <v>32</v>
      </c>
      <c r="D1028" s="519" t="s">
        <v>2567</v>
      </c>
      <c r="E1028" s="905" t="s">
        <v>2465</v>
      </c>
      <c r="F1028" s="905"/>
      <c r="G1028" s="521" t="s">
        <v>110</v>
      </c>
      <c r="H1028" s="522">
        <v>3.5799999999999998E-2</v>
      </c>
      <c r="I1028" s="523">
        <v>88.26</v>
      </c>
      <c r="J1028" s="523">
        <v>3.15</v>
      </c>
    </row>
    <row r="1029" spans="1:10" ht="14.5" thickTop="1" x14ac:dyDescent="0.3">
      <c r="A1029" s="647"/>
      <c r="B1029" s="647"/>
      <c r="C1029" s="647"/>
      <c r="D1029" s="647"/>
      <c r="E1029" s="647"/>
      <c r="F1029" s="647"/>
      <c r="G1029" s="647"/>
      <c r="H1029" s="647"/>
      <c r="I1029" s="647"/>
      <c r="J1029" s="647"/>
    </row>
    <row r="1030" spans="1:10" x14ac:dyDescent="0.3">
      <c r="A1030" s="516"/>
      <c r="B1030" s="517" t="s">
        <v>15</v>
      </c>
      <c r="C1030" s="516" t="s">
        <v>16</v>
      </c>
      <c r="D1030" s="516" t="s">
        <v>17</v>
      </c>
      <c r="E1030" s="904" t="s">
        <v>2431</v>
      </c>
      <c r="F1030" s="904"/>
      <c r="G1030" s="518" t="s">
        <v>18</v>
      </c>
      <c r="H1030" s="517" t="s">
        <v>19</v>
      </c>
      <c r="I1030" s="517" t="s">
        <v>20</v>
      </c>
      <c r="J1030" s="517" t="s">
        <v>23</v>
      </c>
    </row>
    <row r="1031" spans="1:10" ht="25.5" customHeight="1" x14ac:dyDescent="0.3">
      <c r="A1031" s="642" t="s">
        <v>2432</v>
      </c>
      <c r="B1031" s="643" t="s">
        <v>347</v>
      </c>
      <c r="C1031" s="642" t="s">
        <v>243</v>
      </c>
      <c r="D1031" s="642" t="s">
        <v>4426</v>
      </c>
      <c r="E1031" s="906">
        <v>793</v>
      </c>
      <c r="F1031" s="906"/>
      <c r="G1031" s="644" t="s">
        <v>115</v>
      </c>
      <c r="H1031" s="645">
        <v>1</v>
      </c>
      <c r="I1031" s="646">
        <v>47.36</v>
      </c>
      <c r="J1031" s="646">
        <v>47.36</v>
      </c>
    </row>
    <row r="1032" spans="1:10" ht="39" customHeight="1" x14ac:dyDescent="0.3">
      <c r="A1032" s="519" t="s">
        <v>2434</v>
      </c>
      <c r="B1032" s="520" t="s">
        <v>2937</v>
      </c>
      <c r="C1032" s="519" t="s">
        <v>243</v>
      </c>
      <c r="D1032" s="519" t="s">
        <v>4499</v>
      </c>
      <c r="E1032" s="905">
        <v>9</v>
      </c>
      <c r="F1032" s="905"/>
      <c r="G1032" s="521" t="s">
        <v>89</v>
      </c>
      <c r="H1032" s="522">
        <v>1E-4</v>
      </c>
      <c r="I1032" s="523">
        <v>49753.760000000002</v>
      </c>
      <c r="J1032" s="523">
        <v>4.97</v>
      </c>
    </row>
    <row r="1033" spans="1:10" s="358" customFormat="1" ht="25" x14ac:dyDescent="0.3">
      <c r="A1033" s="519" t="s">
        <v>2434</v>
      </c>
      <c r="B1033" s="520" t="s">
        <v>2561</v>
      </c>
      <c r="C1033" s="519" t="s">
        <v>32</v>
      </c>
      <c r="D1033" s="519" t="s">
        <v>2562</v>
      </c>
      <c r="E1033" s="905" t="s">
        <v>2433</v>
      </c>
      <c r="F1033" s="905"/>
      <c r="G1033" s="521" t="s">
        <v>1901</v>
      </c>
      <c r="H1033" s="522">
        <v>0.749</v>
      </c>
      <c r="I1033" s="523">
        <v>23.4</v>
      </c>
      <c r="J1033" s="523">
        <v>17.52</v>
      </c>
    </row>
    <row r="1034" spans="1:10" ht="25.5" customHeight="1" x14ac:dyDescent="0.3">
      <c r="A1034" s="519" t="s">
        <v>2434</v>
      </c>
      <c r="B1034" s="520" t="s">
        <v>2564</v>
      </c>
      <c r="C1034" s="519" t="s">
        <v>32</v>
      </c>
      <c r="D1034" s="519" t="s">
        <v>2565</v>
      </c>
      <c r="E1034" s="905" t="s">
        <v>2465</v>
      </c>
      <c r="F1034" s="905"/>
      <c r="G1034" s="521" t="s">
        <v>103</v>
      </c>
      <c r="H1034" s="522">
        <v>8.5000000000000006E-2</v>
      </c>
      <c r="I1034" s="523">
        <v>204.43</v>
      </c>
      <c r="J1034" s="523">
        <v>17.37</v>
      </c>
    </row>
    <row r="1035" spans="1:10" s="358" customFormat="1" ht="26.25" customHeight="1" thickBot="1" x14ac:dyDescent="0.35">
      <c r="A1035" s="519" t="s">
        <v>2434</v>
      </c>
      <c r="B1035" s="520" t="s">
        <v>2566</v>
      </c>
      <c r="C1035" s="519" t="s">
        <v>32</v>
      </c>
      <c r="D1035" s="519" t="s">
        <v>2567</v>
      </c>
      <c r="E1035" s="905" t="s">
        <v>2465</v>
      </c>
      <c r="F1035" s="905"/>
      <c r="G1035" s="521" t="s">
        <v>110</v>
      </c>
      <c r="H1035" s="522">
        <v>8.5000000000000006E-2</v>
      </c>
      <c r="I1035" s="523">
        <v>88.26</v>
      </c>
      <c r="J1035" s="523">
        <v>7.5</v>
      </c>
    </row>
    <row r="1036" spans="1:10" ht="14.5" thickTop="1" x14ac:dyDescent="0.3">
      <c r="A1036" s="647"/>
      <c r="B1036" s="647"/>
      <c r="C1036" s="647"/>
      <c r="D1036" s="647"/>
      <c r="E1036" s="647"/>
      <c r="F1036" s="647"/>
      <c r="G1036" s="647"/>
      <c r="H1036" s="647"/>
      <c r="I1036" s="647"/>
      <c r="J1036" s="647"/>
    </row>
    <row r="1037" spans="1:10" x14ac:dyDescent="0.3">
      <c r="A1037" s="516"/>
      <c r="B1037" s="517" t="s">
        <v>15</v>
      </c>
      <c r="C1037" s="516" t="s">
        <v>16</v>
      </c>
      <c r="D1037" s="516" t="s">
        <v>17</v>
      </c>
      <c r="E1037" s="904" t="s">
        <v>2431</v>
      </c>
      <c r="F1037" s="904"/>
      <c r="G1037" s="518" t="s">
        <v>18</v>
      </c>
      <c r="H1037" s="517" t="s">
        <v>19</v>
      </c>
      <c r="I1037" s="517" t="s">
        <v>20</v>
      </c>
      <c r="J1037" s="517" t="s">
        <v>23</v>
      </c>
    </row>
    <row r="1038" spans="1:10" ht="25.5" customHeight="1" x14ac:dyDescent="0.3">
      <c r="A1038" s="642" t="s">
        <v>2432</v>
      </c>
      <c r="B1038" s="643" t="s">
        <v>349</v>
      </c>
      <c r="C1038" s="642" t="s">
        <v>243</v>
      </c>
      <c r="D1038" s="642" t="s">
        <v>4427</v>
      </c>
      <c r="E1038" s="906">
        <v>793</v>
      </c>
      <c r="F1038" s="906"/>
      <c r="G1038" s="644" t="s">
        <v>115</v>
      </c>
      <c r="H1038" s="645">
        <v>1</v>
      </c>
      <c r="I1038" s="646">
        <v>59.71</v>
      </c>
      <c r="J1038" s="646">
        <v>59.71</v>
      </c>
    </row>
    <row r="1039" spans="1:10" ht="39" customHeight="1" x14ac:dyDescent="0.3">
      <c r="A1039" s="519" t="s">
        <v>2434</v>
      </c>
      <c r="B1039" s="520" t="s">
        <v>2938</v>
      </c>
      <c r="C1039" s="519" t="s">
        <v>243</v>
      </c>
      <c r="D1039" s="519" t="s">
        <v>4500</v>
      </c>
      <c r="E1039" s="905">
        <v>9</v>
      </c>
      <c r="F1039" s="905"/>
      <c r="G1039" s="521" t="s">
        <v>89</v>
      </c>
      <c r="H1039" s="522">
        <v>1E-4</v>
      </c>
      <c r="I1039" s="523">
        <v>86644.36</v>
      </c>
      <c r="J1039" s="523">
        <v>8.66</v>
      </c>
    </row>
    <row r="1040" spans="1:10" s="358" customFormat="1" ht="25" x14ac:dyDescent="0.3">
      <c r="A1040" s="519" t="s">
        <v>2434</v>
      </c>
      <c r="B1040" s="520" t="s">
        <v>2561</v>
      </c>
      <c r="C1040" s="519" t="s">
        <v>32</v>
      </c>
      <c r="D1040" s="519" t="s">
        <v>2562</v>
      </c>
      <c r="E1040" s="905" t="s">
        <v>2433</v>
      </c>
      <c r="F1040" s="905"/>
      <c r="G1040" s="521" t="s">
        <v>1901</v>
      </c>
      <c r="H1040" s="522">
        <v>0.74199999999999999</v>
      </c>
      <c r="I1040" s="523">
        <v>23.4</v>
      </c>
      <c r="J1040" s="523">
        <v>17.36</v>
      </c>
    </row>
    <row r="1041" spans="1:10" ht="25.5" customHeight="1" x14ac:dyDescent="0.3">
      <c r="A1041" s="519" t="s">
        <v>2434</v>
      </c>
      <c r="B1041" s="520" t="s">
        <v>2564</v>
      </c>
      <c r="C1041" s="519" t="s">
        <v>32</v>
      </c>
      <c r="D1041" s="519" t="s">
        <v>2565</v>
      </c>
      <c r="E1041" s="905" t="s">
        <v>2465</v>
      </c>
      <c r="F1041" s="905"/>
      <c r="G1041" s="521" t="s">
        <v>103</v>
      </c>
      <c r="H1041" s="522">
        <v>0.1125</v>
      </c>
      <c r="I1041" s="523">
        <v>204.43</v>
      </c>
      <c r="J1041" s="523">
        <v>22.99</v>
      </c>
    </row>
    <row r="1042" spans="1:10" s="358" customFormat="1" ht="26.25" customHeight="1" thickBot="1" x14ac:dyDescent="0.35">
      <c r="A1042" s="519" t="s">
        <v>2434</v>
      </c>
      <c r="B1042" s="520" t="s">
        <v>2566</v>
      </c>
      <c r="C1042" s="519" t="s">
        <v>32</v>
      </c>
      <c r="D1042" s="519" t="s">
        <v>2567</v>
      </c>
      <c r="E1042" s="905" t="s">
        <v>2465</v>
      </c>
      <c r="F1042" s="905"/>
      <c r="G1042" s="521" t="s">
        <v>110</v>
      </c>
      <c r="H1042" s="522">
        <v>0.12130000000000001</v>
      </c>
      <c r="I1042" s="523">
        <v>88.26</v>
      </c>
      <c r="J1042" s="523">
        <v>10.7</v>
      </c>
    </row>
    <row r="1043" spans="1:10" ht="14.5" thickTop="1" x14ac:dyDescent="0.3">
      <c r="A1043" s="647"/>
      <c r="B1043" s="647"/>
      <c r="C1043" s="647"/>
      <c r="D1043" s="647"/>
      <c r="E1043" s="647"/>
      <c r="F1043" s="647"/>
      <c r="G1043" s="647"/>
      <c r="H1043" s="647"/>
      <c r="I1043" s="647"/>
      <c r="J1043" s="647"/>
    </row>
    <row r="1044" spans="1:10" x14ac:dyDescent="0.3">
      <c r="A1044" s="516"/>
      <c r="B1044" s="517" t="s">
        <v>15</v>
      </c>
      <c r="C1044" s="516" t="s">
        <v>16</v>
      </c>
      <c r="D1044" s="516" t="s">
        <v>17</v>
      </c>
      <c r="E1044" s="904" t="s">
        <v>2431</v>
      </c>
      <c r="F1044" s="904"/>
      <c r="G1044" s="518" t="s">
        <v>18</v>
      </c>
      <c r="H1044" s="517" t="s">
        <v>19</v>
      </c>
      <c r="I1044" s="517" t="s">
        <v>20</v>
      </c>
      <c r="J1044" s="517" t="s">
        <v>23</v>
      </c>
    </row>
    <row r="1045" spans="1:10" ht="25.5" customHeight="1" x14ac:dyDescent="0.3">
      <c r="A1045" s="642" t="s">
        <v>2432</v>
      </c>
      <c r="B1045" s="643" t="s">
        <v>351</v>
      </c>
      <c r="C1045" s="642" t="s">
        <v>243</v>
      </c>
      <c r="D1045" s="642" t="s">
        <v>4428</v>
      </c>
      <c r="E1045" s="906">
        <v>793</v>
      </c>
      <c r="F1045" s="906"/>
      <c r="G1045" s="644" t="s">
        <v>115</v>
      </c>
      <c r="H1045" s="645">
        <v>1</v>
      </c>
      <c r="I1045" s="646">
        <v>38.700000000000003</v>
      </c>
      <c r="J1045" s="646">
        <v>38.700000000000003</v>
      </c>
    </row>
    <row r="1046" spans="1:10" ht="39" customHeight="1" x14ac:dyDescent="0.3">
      <c r="A1046" s="519" t="s">
        <v>2434</v>
      </c>
      <c r="B1046" s="520" t="s">
        <v>2939</v>
      </c>
      <c r="C1046" s="519" t="s">
        <v>243</v>
      </c>
      <c r="D1046" s="519" t="s">
        <v>4501</v>
      </c>
      <c r="E1046" s="905">
        <v>9</v>
      </c>
      <c r="F1046" s="905"/>
      <c r="G1046" s="521" t="s">
        <v>89</v>
      </c>
      <c r="H1046" s="522">
        <v>1E-4</v>
      </c>
      <c r="I1046" s="523">
        <v>58223.29</v>
      </c>
      <c r="J1046" s="523">
        <v>5.82</v>
      </c>
    </row>
    <row r="1047" spans="1:10" s="358" customFormat="1" ht="25" x14ac:dyDescent="0.3">
      <c r="A1047" s="519" t="s">
        <v>2434</v>
      </c>
      <c r="B1047" s="520" t="s">
        <v>2561</v>
      </c>
      <c r="C1047" s="519" t="s">
        <v>32</v>
      </c>
      <c r="D1047" s="519" t="s">
        <v>2562</v>
      </c>
      <c r="E1047" s="905" t="s">
        <v>2433</v>
      </c>
      <c r="F1047" s="905"/>
      <c r="G1047" s="521" t="s">
        <v>1901</v>
      </c>
      <c r="H1047" s="522">
        <v>0.57999999999999996</v>
      </c>
      <c r="I1047" s="523">
        <v>23.4</v>
      </c>
      <c r="J1047" s="523">
        <v>13.57</v>
      </c>
    </row>
    <row r="1048" spans="1:10" ht="25.5" customHeight="1" x14ac:dyDescent="0.3">
      <c r="A1048" s="519" t="s">
        <v>2434</v>
      </c>
      <c r="B1048" s="520" t="s">
        <v>2564</v>
      </c>
      <c r="C1048" s="519" t="s">
        <v>32</v>
      </c>
      <c r="D1048" s="519" t="s">
        <v>2565</v>
      </c>
      <c r="E1048" s="905" t="s">
        <v>2465</v>
      </c>
      <c r="F1048" s="905"/>
      <c r="G1048" s="521" t="s">
        <v>103</v>
      </c>
      <c r="H1048" s="522">
        <v>6.6000000000000003E-2</v>
      </c>
      <c r="I1048" s="523">
        <v>204.43</v>
      </c>
      <c r="J1048" s="523">
        <v>13.49</v>
      </c>
    </row>
    <row r="1049" spans="1:10" s="358" customFormat="1" ht="26.25" customHeight="1" thickBot="1" x14ac:dyDescent="0.35">
      <c r="A1049" s="519" t="s">
        <v>2434</v>
      </c>
      <c r="B1049" s="520" t="s">
        <v>2566</v>
      </c>
      <c r="C1049" s="519" t="s">
        <v>32</v>
      </c>
      <c r="D1049" s="519" t="s">
        <v>2567</v>
      </c>
      <c r="E1049" s="905" t="s">
        <v>2465</v>
      </c>
      <c r="F1049" s="905"/>
      <c r="G1049" s="521" t="s">
        <v>110</v>
      </c>
      <c r="H1049" s="522">
        <v>6.6000000000000003E-2</v>
      </c>
      <c r="I1049" s="523">
        <v>88.26</v>
      </c>
      <c r="J1049" s="523">
        <v>5.82</v>
      </c>
    </row>
    <row r="1050" spans="1:10" ht="14.5" thickTop="1" x14ac:dyDescent="0.3">
      <c r="A1050" s="647"/>
      <c r="B1050" s="647"/>
      <c r="C1050" s="647"/>
      <c r="D1050" s="647"/>
      <c r="E1050" s="647"/>
      <c r="F1050" s="647"/>
      <c r="G1050" s="647"/>
      <c r="H1050" s="647"/>
      <c r="I1050" s="647"/>
      <c r="J1050" s="647"/>
    </row>
    <row r="1051" spans="1:10" x14ac:dyDescent="0.3">
      <c r="A1051" s="516"/>
      <c r="B1051" s="517" t="s">
        <v>15</v>
      </c>
      <c r="C1051" s="516" t="s">
        <v>16</v>
      </c>
      <c r="D1051" s="516" t="s">
        <v>17</v>
      </c>
      <c r="E1051" s="904" t="s">
        <v>2431</v>
      </c>
      <c r="F1051" s="904"/>
      <c r="G1051" s="518" t="s">
        <v>18</v>
      </c>
      <c r="H1051" s="517" t="s">
        <v>19</v>
      </c>
      <c r="I1051" s="517" t="s">
        <v>20</v>
      </c>
      <c r="J1051" s="517" t="s">
        <v>23</v>
      </c>
    </row>
    <row r="1052" spans="1:10" ht="50" x14ac:dyDescent="0.3">
      <c r="A1052" s="642" t="s">
        <v>2432</v>
      </c>
      <c r="B1052" s="643" t="s">
        <v>353</v>
      </c>
      <c r="C1052" s="642" t="s">
        <v>243</v>
      </c>
      <c r="D1052" s="642" t="s">
        <v>4429</v>
      </c>
      <c r="E1052" s="906">
        <v>793</v>
      </c>
      <c r="F1052" s="906"/>
      <c r="G1052" s="644" t="s">
        <v>115</v>
      </c>
      <c r="H1052" s="645">
        <v>1</v>
      </c>
      <c r="I1052" s="646">
        <v>35.18</v>
      </c>
      <c r="J1052" s="646">
        <v>35.18</v>
      </c>
    </row>
    <row r="1053" spans="1:10" ht="25" x14ac:dyDescent="0.3">
      <c r="A1053" s="519" t="s">
        <v>2434</v>
      </c>
      <c r="B1053" s="520" t="s">
        <v>2938</v>
      </c>
      <c r="C1053" s="519" t="s">
        <v>243</v>
      </c>
      <c r="D1053" s="519" t="s">
        <v>4500</v>
      </c>
      <c r="E1053" s="905">
        <v>9</v>
      </c>
      <c r="F1053" s="905"/>
      <c r="G1053" s="521" t="s">
        <v>89</v>
      </c>
      <c r="H1053" s="522">
        <v>1E-4</v>
      </c>
      <c r="I1053" s="523">
        <v>86644.36</v>
      </c>
      <c r="J1053" s="523">
        <v>8.66</v>
      </c>
    </row>
    <row r="1054" spans="1:10" ht="25.5" customHeight="1" x14ac:dyDescent="0.3">
      <c r="A1054" s="519" t="s">
        <v>2434</v>
      </c>
      <c r="B1054" s="520" t="s">
        <v>2561</v>
      </c>
      <c r="C1054" s="519" t="s">
        <v>32</v>
      </c>
      <c r="D1054" s="519" t="s">
        <v>2562</v>
      </c>
      <c r="E1054" s="905" t="s">
        <v>2433</v>
      </c>
      <c r="F1054" s="905"/>
      <c r="G1054" s="521" t="s">
        <v>1901</v>
      </c>
      <c r="H1054" s="522">
        <v>0.47099999999999997</v>
      </c>
      <c r="I1054" s="523">
        <v>23.4</v>
      </c>
      <c r="J1054" s="523">
        <v>11.02</v>
      </c>
    </row>
    <row r="1055" spans="1:10" ht="25.5" customHeight="1" x14ac:dyDescent="0.3">
      <c r="A1055" s="519" t="s">
        <v>2434</v>
      </c>
      <c r="B1055" s="520" t="s">
        <v>2564</v>
      </c>
      <c r="C1055" s="519" t="s">
        <v>32</v>
      </c>
      <c r="D1055" s="519" t="s">
        <v>2565</v>
      </c>
      <c r="E1055" s="905" t="s">
        <v>2465</v>
      </c>
      <c r="F1055" s="905"/>
      <c r="G1055" s="521" t="s">
        <v>103</v>
      </c>
      <c r="H1055" s="522">
        <v>5.2999999999999999E-2</v>
      </c>
      <c r="I1055" s="523">
        <v>204.43</v>
      </c>
      <c r="J1055" s="523">
        <v>10.83</v>
      </c>
    </row>
    <row r="1056" spans="1:10" ht="26.25" customHeight="1" thickBot="1" x14ac:dyDescent="0.35">
      <c r="A1056" s="519" t="s">
        <v>2434</v>
      </c>
      <c r="B1056" s="520" t="s">
        <v>2566</v>
      </c>
      <c r="C1056" s="519" t="s">
        <v>32</v>
      </c>
      <c r="D1056" s="519" t="s">
        <v>2567</v>
      </c>
      <c r="E1056" s="905" t="s">
        <v>2465</v>
      </c>
      <c r="F1056" s="905"/>
      <c r="G1056" s="521" t="s">
        <v>110</v>
      </c>
      <c r="H1056" s="522">
        <v>5.2999999999999999E-2</v>
      </c>
      <c r="I1056" s="523">
        <v>88.26</v>
      </c>
      <c r="J1056" s="523">
        <v>4.67</v>
      </c>
    </row>
    <row r="1057" spans="1:10" s="358" customFormat="1" ht="14.5" thickTop="1" x14ac:dyDescent="0.3">
      <c r="A1057" s="647"/>
      <c r="B1057" s="647"/>
      <c r="C1057" s="647"/>
      <c r="D1057" s="647"/>
      <c r="E1057" s="647"/>
      <c r="F1057" s="647"/>
      <c r="G1057" s="647"/>
      <c r="H1057" s="647"/>
      <c r="I1057" s="647"/>
      <c r="J1057" s="647"/>
    </row>
    <row r="1058" spans="1:10" x14ac:dyDescent="0.3">
      <c r="A1058" s="516"/>
      <c r="B1058" s="517" t="s">
        <v>15</v>
      </c>
      <c r="C1058" s="516" t="s">
        <v>16</v>
      </c>
      <c r="D1058" s="516" t="s">
        <v>17</v>
      </c>
      <c r="E1058" s="904" t="s">
        <v>2431</v>
      </c>
      <c r="F1058" s="904"/>
      <c r="G1058" s="518" t="s">
        <v>18</v>
      </c>
      <c r="H1058" s="517" t="s">
        <v>19</v>
      </c>
      <c r="I1058" s="517" t="s">
        <v>20</v>
      </c>
      <c r="J1058" s="517" t="s">
        <v>23</v>
      </c>
    </row>
    <row r="1059" spans="1:10" s="358" customFormat="1" ht="25" x14ac:dyDescent="0.3">
      <c r="A1059" s="642" t="s">
        <v>2432</v>
      </c>
      <c r="B1059" s="643" t="s">
        <v>357</v>
      </c>
      <c r="C1059" s="642" t="s">
        <v>32</v>
      </c>
      <c r="D1059" s="642" t="s">
        <v>358</v>
      </c>
      <c r="E1059" s="906" t="s">
        <v>2706</v>
      </c>
      <c r="F1059" s="906"/>
      <c r="G1059" s="644" t="s">
        <v>118</v>
      </c>
      <c r="H1059" s="645">
        <v>1</v>
      </c>
      <c r="I1059" s="646">
        <v>271.92</v>
      </c>
      <c r="J1059" s="646">
        <v>271.92</v>
      </c>
    </row>
    <row r="1060" spans="1:10" ht="50" x14ac:dyDescent="0.3">
      <c r="A1060" s="519" t="s">
        <v>2434</v>
      </c>
      <c r="B1060" s="520" t="s">
        <v>2753</v>
      </c>
      <c r="C1060" s="519" t="s">
        <v>32</v>
      </c>
      <c r="D1060" s="519" t="s">
        <v>2754</v>
      </c>
      <c r="E1060" s="905" t="s">
        <v>2465</v>
      </c>
      <c r="F1060" s="905"/>
      <c r="G1060" s="521" t="s">
        <v>103</v>
      </c>
      <c r="H1060" s="522">
        <v>0.128</v>
      </c>
      <c r="I1060" s="523">
        <v>139.99</v>
      </c>
      <c r="J1060" s="523">
        <v>17.91</v>
      </c>
    </row>
    <row r="1061" spans="1:10" ht="50" x14ac:dyDescent="0.3">
      <c r="A1061" s="519" t="s">
        <v>2434</v>
      </c>
      <c r="B1061" s="520" t="s">
        <v>2755</v>
      </c>
      <c r="C1061" s="519" t="s">
        <v>32</v>
      </c>
      <c r="D1061" s="519" t="s">
        <v>2756</v>
      </c>
      <c r="E1061" s="905" t="s">
        <v>2465</v>
      </c>
      <c r="F1061" s="905"/>
      <c r="G1061" s="521" t="s">
        <v>110</v>
      </c>
      <c r="H1061" s="522">
        <v>0.63980000000000004</v>
      </c>
      <c r="I1061" s="523">
        <v>61.95</v>
      </c>
      <c r="J1061" s="523">
        <v>39.630000000000003</v>
      </c>
    </row>
    <row r="1062" spans="1:10" ht="25" x14ac:dyDescent="0.3">
      <c r="A1062" s="519" t="s">
        <v>2434</v>
      </c>
      <c r="B1062" s="520" t="s">
        <v>2757</v>
      </c>
      <c r="C1062" s="519" t="s">
        <v>32</v>
      </c>
      <c r="D1062" s="519" t="s">
        <v>2758</v>
      </c>
      <c r="E1062" s="905" t="s">
        <v>2433</v>
      </c>
      <c r="F1062" s="905"/>
      <c r="G1062" s="521" t="s">
        <v>1901</v>
      </c>
      <c r="H1062" s="522">
        <v>0.92130000000000001</v>
      </c>
      <c r="I1062" s="523">
        <v>31.1</v>
      </c>
      <c r="J1062" s="523">
        <v>28.65</v>
      </c>
    </row>
    <row r="1063" spans="1:10" ht="25" x14ac:dyDescent="0.3">
      <c r="A1063" s="519" t="s">
        <v>2434</v>
      </c>
      <c r="B1063" s="520" t="s">
        <v>2561</v>
      </c>
      <c r="C1063" s="519" t="s">
        <v>32</v>
      </c>
      <c r="D1063" s="519" t="s">
        <v>2562</v>
      </c>
      <c r="E1063" s="905" t="s">
        <v>2433</v>
      </c>
      <c r="F1063" s="905"/>
      <c r="G1063" s="521" t="s">
        <v>1901</v>
      </c>
      <c r="H1063" s="522">
        <v>1.3818999999999999</v>
      </c>
      <c r="I1063" s="523">
        <v>23.4</v>
      </c>
      <c r="J1063" s="523">
        <v>32.33</v>
      </c>
    </row>
    <row r="1064" spans="1:10" ht="25.5" customHeight="1" x14ac:dyDescent="0.3">
      <c r="A1064" s="519" t="s">
        <v>2434</v>
      </c>
      <c r="B1064" s="520" t="s">
        <v>2940</v>
      </c>
      <c r="C1064" s="519" t="s">
        <v>32</v>
      </c>
      <c r="D1064" s="519" t="s">
        <v>2941</v>
      </c>
      <c r="E1064" s="905" t="s">
        <v>2465</v>
      </c>
      <c r="F1064" s="905"/>
      <c r="G1064" s="521" t="s">
        <v>103</v>
      </c>
      <c r="H1064" s="522">
        <v>7.1800000000000003E-2</v>
      </c>
      <c r="I1064" s="523">
        <v>33.549999999999997</v>
      </c>
      <c r="J1064" s="523">
        <v>2.4</v>
      </c>
    </row>
    <row r="1065" spans="1:10" ht="25.5" customHeight="1" x14ac:dyDescent="0.3">
      <c r="A1065" s="519" t="s">
        <v>2434</v>
      </c>
      <c r="B1065" s="520" t="s">
        <v>2942</v>
      </c>
      <c r="C1065" s="519" t="s">
        <v>32</v>
      </c>
      <c r="D1065" s="519" t="s">
        <v>2943</v>
      </c>
      <c r="E1065" s="905" t="s">
        <v>2465</v>
      </c>
      <c r="F1065" s="905"/>
      <c r="G1065" s="521" t="s">
        <v>110</v>
      </c>
      <c r="H1065" s="522">
        <v>6.6600000000000006E-2</v>
      </c>
      <c r="I1065" s="523">
        <v>26.89</v>
      </c>
      <c r="J1065" s="523">
        <v>1.79</v>
      </c>
    </row>
    <row r="1066" spans="1:10" ht="14.5" thickBot="1" x14ac:dyDescent="0.35">
      <c r="A1066" s="519" t="s">
        <v>2437</v>
      </c>
      <c r="B1066" s="520" t="s">
        <v>2944</v>
      </c>
      <c r="C1066" s="519" t="s">
        <v>125</v>
      </c>
      <c r="D1066" s="519" t="s">
        <v>2945</v>
      </c>
      <c r="E1066" s="905" t="s">
        <v>2442</v>
      </c>
      <c r="F1066" s="905"/>
      <c r="G1066" s="521" t="s">
        <v>118</v>
      </c>
      <c r="H1066" s="522">
        <v>1.1000000000000001</v>
      </c>
      <c r="I1066" s="523">
        <v>135.64580000000001</v>
      </c>
      <c r="J1066" s="523">
        <v>149.21</v>
      </c>
    </row>
    <row r="1067" spans="1:10" s="358" customFormat="1" ht="14.5" thickTop="1" x14ac:dyDescent="0.3">
      <c r="A1067" s="647"/>
      <c r="B1067" s="647"/>
      <c r="C1067" s="647"/>
      <c r="D1067" s="647"/>
      <c r="E1067" s="647"/>
      <c r="F1067" s="647"/>
      <c r="G1067" s="647"/>
      <c r="H1067" s="647"/>
      <c r="I1067" s="647"/>
      <c r="J1067" s="647"/>
    </row>
    <row r="1068" spans="1:10" x14ac:dyDescent="0.3">
      <c r="A1068" s="516"/>
      <c r="B1068" s="517" t="s">
        <v>15</v>
      </c>
      <c r="C1068" s="516" t="s">
        <v>16</v>
      </c>
      <c r="D1068" s="516" t="s">
        <v>17</v>
      </c>
      <c r="E1068" s="904" t="s">
        <v>2431</v>
      </c>
      <c r="F1068" s="904"/>
      <c r="G1068" s="518" t="s">
        <v>18</v>
      </c>
      <c r="H1068" s="517" t="s">
        <v>19</v>
      </c>
      <c r="I1068" s="517" t="s">
        <v>20</v>
      </c>
      <c r="J1068" s="517" t="s">
        <v>23</v>
      </c>
    </row>
    <row r="1069" spans="1:10" s="358" customFormat="1" ht="37.5" x14ac:dyDescent="0.3">
      <c r="A1069" s="642" t="s">
        <v>2432</v>
      </c>
      <c r="B1069" s="643" t="s">
        <v>360</v>
      </c>
      <c r="C1069" s="642" t="s">
        <v>32</v>
      </c>
      <c r="D1069" s="642" t="s">
        <v>361</v>
      </c>
      <c r="E1069" s="906" t="s">
        <v>2706</v>
      </c>
      <c r="F1069" s="906"/>
      <c r="G1069" s="644" t="s">
        <v>118</v>
      </c>
      <c r="H1069" s="645">
        <v>1</v>
      </c>
      <c r="I1069" s="646">
        <v>224.67</v>
      </c>
      <c r="J1069" s="646">
        <v>224.67</v>
      </c>
    </row>
    <row r="1070" spans="1:10" ht="50" x14ac:dyDescent="0.3">
      <c r="A1070" s="519" t="s">
        <v>2434</v>
      </c>
      <c r="B1070" s="520" t="s">
        <v>2753</v>
      </c>
      <c r="C1070" s="519" t="s">
        <v>32</v>
      </c>
      <c r="D1070" s="519" t="s">
        <v>2754</v>
      </c>
      <c r="E1070" s="905" t="s">
        <v>2465</v>
      </c>
      <c r="F1070" s="905"/>
      <c r="G1070" s="521" t="s">
        <v>103</v>
      </c>
      <c r="H1070" s="522">
        <v>7.9399999999999998E-2</v>
      </c>
      <c r="I1070" s="523">
        <v>139.99</v>
      </c>
      <c r="J1070" s="523">
        <v>11.11</v>
      </c>
    </row>
    <row r="1071" spans="1:10" ht="50" x14ac:dyDescent="0.3">
      <c r="A1071" s="519" t="s">
        <v>2434</v>
      </c>
      <c r="B1071" s="520" t="s">
        <v>2755</v>
      </c>
      <c r="C1071" s="519" t="s">
        <v>32</v>
      </c>
      <c r="D1071" s="519" t="s">
        <v>2756</v>
      </c>
      <c r="E1071" s="905" t="s">
        <v>2465</v>
      </c>
      <c r="F1071" s="905"/>
      <c r="G1071" s="521" t="s">
        <v>110</v>
      </c>
      <c r="H1071" s="522">
        <v>0.3972</v>
      </c>
      <c r="I1071" s="523">
        <v>61.95</v>
      </c>
      <c r="J1071" s="523">
        <v>24.6</v>
      </c>
    </row>
    <row r="1072" spans="1:10" ht="25" x14ac:dyDescent="0.3">
      <c r="A1072" s="519" t="s">
        <v>2434</v>
      </c>
      <c r="B1072" s="520" t="s">
        <v>2757</v>
      </c>
      <c r="C1072" s="519" t="s">
        <v>32</v>
      </c>
      <c r="D1072" s="519" t="s">
        <v>2758</v>
      </c>
      <c r="E1072" s="905" t="s">
        <v>2433</v>
      </c>
      <c r="F1072" s="905"/>
      <c r="G1072" s="521" t="s">
        <v>1901</v>
      </c>
      <c r="H1072" s="522">
        <v>0.57199999999999995</v>
      </c>
      <c r="I1072" s="523">
        <v>31.1</v>
      </c>
      <c r="J1072" s="523">
        <v>17.78</v>
      </c>
    </row>
    <row r="1073" spans="1:10" ht="25" x14ac:dyDescent="0.3">
      <c r="A1073" s="519" t="s">
        <v>2434</v>
      </c>
      <c r="B1073" s="520" t="s">
        <v>2561</v>
      </c>
      <c r="C1073" s="519" t="s">
        <v>32</v>
      </c>
      <c r="D1073" s="519" t="s">
        <v>2562</v>
      </c>
      <c r="E1073" s="905" t="s">
        <v>2433</v>
      </c>
      <c r="F1073" s="905"/>
      <c r="G1073" s="521" t="s">
        <v>1901</v>
      </c>
      <c r="H1073" s="522">
        <v>0.8579</v>
      </c>
      <c r="I1073" s="523">
        <v>23.4</v>
      </c>
      <c r="J1073" s="523">
        <v>20.07</v>
      </c>
    </row>
    <row r="1074" spans="1:10" ht="25.5" customHeight="1" x14ac:dyDescent="0.3">
      <c r="A1074" s="519" t="s">
        <v>2434</v>
      </c>
      <c r="B1074" s="520" t="s">
        <v>2940</v>
      </c>
      <c r="C1074" s="519" t="s">
        <v>32</v>
      </c>
      <c r="D1074" s="519" t="s">
        <v>2941</v>
      </c>
      <c r="E1074" s="905" t="s">
        <v>2465</v>
      </c>
      <c r="F1074" s="905"/>
      <c r="G1074" s="521" t="s">
        <v>103</v>
      </c>
      <c r="H1074" s="522">
        <v>3.2500000000000001E-2</v>
      </c>
      <c r="I1074" s="523">
        <v>33.549999999999997</v>
      </c>
      <c r="J1074" s="523">
        <v>1.0900000000000001</v>
      </c>
    </row>
    <row r="1075" spans="1:10" ht="25.5" customHeight="1" x14ac:dyDescent="0.3">
      <c r="A1075" s="519" t="s">
        <v>2434</v>
      </c>
      <c r="B1075" s="520" t="s">
        <v>2942</v>
      </c>
      <c r="C1075" s="519" t="s">
        <v>32</v>
      </c>
      <c r="D1075" s="519" t="s">
        <v>2943</v>
      </c>
      <c r="E1075" s="905" t="s">
        <v>2465</v>
      </c>
      <c r="F1075" s="905"/>
      <c r="G1075" s="521" t="s">
        <v>110</v>
      </c>
      <c r="H1075" s="522">
        <v>3.0200000000000001E-2</v>
      </c>
      <c r="I1075" s="523">
        <v>26.89</v>
      </c>
      <c r="J1075" s="523">
        <v>0.81</v>
      </c>
    </row>
    <row r="1076" spans="1:10" ht="38.25" customHeight="1" thickBot="1" x14ac:dyDescent="0.35">
      <c r="A1076" s="519" t="s">
        <v>2437</v>
      </c>
      <c r="B1076" s="520" t="s">
        <v>2944</v>
      </c>
      <c r="C1076" s="519" t="s">
        <v>125</v>
      </c>
      <c r="D1076" s="519" t="s">
        <v>2945</v>
      </c>
      <c r="E1076" s="905" t="s">
        <v>2442</v>
      </c>
      <c r="F1076" s="905"/>
      <c r="G1076" s="521" t="s">
        <v>118</v>
      </c>
      <c r="H1076" s="522">
        <v>1.1000000000000001</v>
      </c>
      <c r="I1076" s="523">
        <v>135.64580000000001</v>
      </c>
      <c r="J1076" s="523">
        <v>149.21</v>
      </c>
    </row>
    <row r="1077" spans="1:10" ht="38.25" customHeight="1" thickTop="1" x14ac:dyDescent="0.3">
      <c r="A1077" s="647"/>
      <c r="B1077" s="647"/>
      <c r="C1077" s="647"/>
      <c r="D1077" s="647"/>
      <c r="E1077" s="647"/>
      <c r="F1077" s="647"/>
      <c r="G1077" s="647"/>
      <c r="H1077" s="647"/>
      <c r="I1077" s="647"/>
      <c r="J1077" s="647"/>
    </row>
    <row r="1078" spans="1:10" x14ac:dyDescent="0.3">
      <c r="A1078" s="516"/>
      <c r="B1078" s="517" t="s">
        <v>15</v>
      </c>
      <c r="C1078" s="516" t="s">
        <v>16</v>
      </c>
      <c r="D1078" s="516" t="s">
        <v>17</v>
      </c>
      <c r="E1078" s="904" t="s">
        <v>2431</v>
      </c>
      <c r="F1078" s="904"/>
      <c r="G1078" s="518" t="s">
        <v>18</v>
      </c>
      <c r="H1078" s="517" t="s">
        <v>19</v>
      </c>
      <c r="I1078" s="517" t="s">
        <v>20</v>
      </c>
      <c r="J1078" s="517" t="s">
        <v>23</v>
      </c>
    </row>
    <row r="1079" spans="1:10" ht="25.5" customHeight="1" x14ac:dyDescent="0.3">
      <c r="A1079" s="642" t="s">
        <v>2432</v>
      </c>
      <c r="B1079" s="643" t="s">
        <v>363</v>
      </c>
      <c r="C1079" s="642" t="s">
        <v>39</v>
      </c>
      <c r="D1079" s="642" t="s">
        <v>364</v>
      </c>
      <c r="E1079" s="906" t="s">
        <v>2925</v>
      </c>
      <c r="F1079" s="906"/>
      <c r="G1079" s="644" t="s">
        <v>118</v>
      </c>
      <c r="H1079" s="645">
        <v>1</v>
      </c>
      <c r="I1079" s="646">
        <v>15.45</v>
      </c>
      <c r="J1079" s="646">
        <v>15.45</v>
      </c>
    </row>
    <row r="1080" spans="1:10" ht="25.5" customHeight="1" x14ac:dyDescent="0.3">
      <c r="A1080" s="519" t="s">
        <v>2434</v>
      </c>
      <c r="B1080" s="520" t="s">
        <v>2946</v>
      </c>
      <c r="C1080" s="519" t="s">
        <v>32</v>
      </c>
      <c r="D1080" s="519" t="s">
        <v>2947</v>
      </c>
      <c r="E1080" s="905" t="s">
        <v>2465</v>
      </c>
      <c r="F1080" s="905"/>
      <c r="G1080" s="521" t="s">
        <v>103</v>
      </c>
      <c r="H1080" s="522">
        <v>6.0000000000000001E-3</v>
      </c>
      <c r="I1080" s="523">
        <v>158.11000000000001</v>
      </c>
      <c r="J1080" s="523">
        <v>0.94</v>
      </c>
    </row>
    <row r="1081" spans="1:10" ht="38.25" customHeight="1" x14ac:dyDescent="0.3">
      <c r="A1081" s="519" t="s">
        <v>2434</v>
      </c>
      <c r="B1081" s="520" t="s">
        <v>2948</v>
      </c>
      <c r="C1081" s="519" t="s">
        <v>32</v>
      </c>
      <c r="D1081" s="519" t="s">
        <v>2949</v>
      </c>
      <c r="E1081" s="905" t="s">
        <v>2465</v>
      </c>
      <c r="F1081" s="905"/>
      <c r="G1081" s="521" t="s">
        <v>110</v>
      </c>
      <c r="H1081" s="522">
        <v>0.02</v>
      </c>
      <c r="I1081" s="523">
        <v>66.37</v>
      </c>
      <c r="J1081" s="523">
        <v>1.32</v>
      </c>
    </row>
    <row r="1082" spans="1:10" ht="39" customHeight="1" x14ac:dyDescent="0.3">
      <c r="A1082" s="519" t="s">
        <v>2434</v>
      </c>
      <c r="B1082" s="520" t="s">
        <v>2950</v>
      </c>
      <c r="C1082" s="519" t="s">
        <v>32</v>
      </c>
      <c r="D1082" s="519" t="s">
        <v>2951</v>
      </c>
      <c r="E1082" s="905" t="s">
        <v>2465</v>
      </c>
      <c r="F1082" s="905"/>
      <c r="G1082" s="521" t="s">
        <v>103</v>
      </c>
      <c r="H1082" s="522">
        <v>4.0000000000000001E-3</v>
      </c>
      <c r="I1082" s="523">
        <v>299.89999999999998</v>
      </c>
      <c r="J1082" s="523">
        <v>1.19</v>
      </c>
    </row>
    <row r="1083" spans="1:10" s="358" customFormat="1" ht="50" x14ac:dyDescent="0.3">
      <c r="A1083" s="519" t="s">
        <v>2434</v>
      </c>
      <c r="B1083" s="520" t="s">
        <v>2952</v>
      </c>
      <c r="C1083" s="519" t="s">
        <v>32</v>
      </c>
      <c r="D1083" s="519" t="s">
        <v>2953</v>
      </c>
      <c r="E1083" s="905" t="s">
        <v>2465</v>
      </c>
      <c r="F1083" s="905"/>
      <c r="G1083" s="521" t="s">
        <v>110</v>
      </c>
      <c r="H1083" s="522">
        <v>2.1999999999999999E-2</v>
      </c>
      <c r="I1083" s="523">
        <v>74.400000000000006</v>
      </c>
      <c r="J1083" s="523">
        <v>1.63</v>
      </c>
    </row>
    <row r="1084" spans="1:10" ht="25.5" customHeight="1" x14ac:dyDescent="0.3">
      <c r="A1084" s="519" t="s">
        <v>2434</v>
      </c>
      <c r="B1084" s="520" t="s">
        <v>2954</v>
      </c>
      <c r="C1084" s="519" t="s">
        <v>32</v>
      </c>
      <c r="D1084" s="519" t="s">
        <v>2955</v>
      </c>
      <c r="E1084" s="905" t="s">
        <v>2465</v>
      </c>
      <c r="F1084" s="905"/>
      <c r="G1084" s="521" t="s">
        <v>103</v>
      </c>
      <c r="H1084" s="522">
        <v>6.0000000000000001E-3</v>
      </c>
      <c r="I1084" s="523">
        <v>4.96</v>
      </c>
      <c r="J1084" s="523">
        <v>0.02</v>
      </c>
    </row>
    <row r="1085" spans="1:10" s="358" customFormat="1" ht="25.5" customHeight="1" x14ac:dyDescent="0.3">
      <c r="A1085" s="519" t="s">
        <v>2434</v>
      </c>
      <c r="B1085" s="520" t="s">
        <v>2956</v>
      </c>
      <c r="C1085" s="519" t="s">
        <v>32</v>
      </c>
      <c r="D1085" s="519" t="s">
        <v>2957</v>
      </c>
      <c r="E1085" s="905" t="s">
        <v>2465</v>
      </c>
      <c r="F1085" s="905"/>
      <c r="G1085" s="521" t="s">
        <v>110</v>
      </c>
      <c r="H1085" s="522">
        <v>0.02</v>
      </c>
      <c r="I1085" s="523">
        <v>3.21</v>
      </c>
      <c r="J1085" s="523">
        <v>0.06</v>
      </c>
    </row>
    <row r="1086" spans="1:10" ht="15" customHeight="1" x14ac:dyDescent="0.3">
      <c r="A1086" s="519" t="s">
        <v>2434</v>
      </c>
      <c r="B1086" s="520" t="s">
        <v>2958</v>
      </c>
      <c r="C1086" s="519" t="s">
        <v>32</v>
      </c>
      <c r="D1086" s="519" t="s">
        <v>2959</v>
      </c>
      <c r="E1086" s="905" t="s">
        <v>2465</v>
      </c>
      <c r="F1086" s="905"/>
      <c r="G1086" s="521" t="s">
        <v>103</v>
      </c>
      <c r="H1086" s="522">
        <v>8.0000000000000002E-3</v>
      </c>
      <c r="I1086" s="523">
        <v>254.07</v>
      </c>
      <c r="J1086" s="523">
        <v>2.0299999999999998</v>
      </c>
    </row>
    <row r="1087" spans="1:10" ht="38.25" customHeight="1" x14ac:dyDescent="0.3">
      <c r="A1087" s="519" t="s">
        <v>2434</v>
      </c>
      <c r="B1087" s="520" t="s">
        <v>2960</v>
      </c>
      <c r="C1087" s="519" t="s">
        <v>32</v>
      </c>
      <c r="D1087" s="519" t="s">
        <v>2961</v>
      </c>
      <c r="E1087" s="905" t="s">
        <v>2465</v>
      </c>
      <c r="F1087" s="905"/>
      <c r="G1087" s="521" t="s">
        <v>110</v>
      </c>
      <c r="H1087" s="522">
        <v>1.9E-2</v>
      </c>
      <c r="I1087" s="523">
        <v>103.2</v>
      </c>
      <c r="J1087" s="523">
        <v>1.96</v>
      </c>
    </row>
    <row r="1088" spans="1:10" ht="25" x14ac:dyDescent="0.3">
      <c r="A1088" s="519" t="s">
        <v>2434</v>
      </c>
      <c r="B1088" s="520" t="s">
        <v>2561</v>
      </c>
      <c r="C1088" s="519" t="s">
        <v>32</v>
      </c>
      <c r="D1088" s="519" t="s">
        <v>2562</v>
      </c>
      <c r="E1088" s="905" t="s">
        <v>2433</v>
      </c>
      <c r="F1088" s="905"/>
      <c r="G1088" s="521" t="s">
        <v>1901</v>
      </c>
      <c r="H1088" s="522">
        <v>0.105</v>
      </c>
      <c r="I1088" s="523">
        <v>23.4</v>
      </c>
      <c r="J1088" s="523">
        <v>2.4500000000000002</v>
      </c>
    </row>
    <row r="1089" spans="1:10" ht="25.5" customHeight="1" x14ac:dyDescent="0.3">
      <c r="A1089" s="519" t="s">
        <v>2434</v>
      </c>
      <c r="B1089" s="520" t="s">
        <v>2962</v>
      </c>
      <c r="C1089" s="519" t="s">
        <v>32</v>
      </c>
      <c r="D1089" s="519" t="s">
        <v>2963</v>
      </c>
      <c r="E1089" s="905" t="s">
        <v>2465</v>
      </c>
      <c r="F1089" s="905"/>
      <c r="G1089" s="521" t="s">
        <v>103</v>
      </c>
      <c r="H1089" s="522">
        <v>5.0000000000000001E-3</v>
      </c>
      <c r="I1089" s="523">
        <v>121.21</v>
      </c>
      <c r="J1089" s="523">
        <v>0.6</v>
      </c>
    </row>
    <row r="1090" spans="1:10" ht="25.5" customHeight="1" x14ac:dyDescent="0.3">
      <c r="A1090" s="519" t="s">
        <v>2434</v>
      </c>
      <c r="B1090" s="520" t="s">
        <v>2964</v>
      </c>
      <c r="C1090" s="519" t="s">
        <v>32</v>
      </c>
      <c r="D1090" s="519" t="s">
        <v>2965</v>
      </c>
      <c r="E1090" s="905" t="s">
        <v>2465</v>
      </c>
      <c r="F1090" s="905"/>
      <c r="G1090" s="521" t="s">
        <v>110</v>
      </c>
      <c r="H1090" s="522">
        <v>5.0000000000000001E-3</v>
      </c>
      <c r="I1090" s="523">
        <v>44.33</v>
      </c>
      <c r="J1090" s="523">
        <v>0.22</v>
      </c>
    </row>
    <row r="1091" spans="1:10" ht="38.25" customHeight="1" x14ac:dyDescent="0.3">
      <c r="A1091" s="519" t="s">
        <v>2434</v>
      </c>
      <c r="B1091" s="520" t="s">
        <v>2966</v>
      </c>
      <c r="C1091" s="519" t="s">
        <v>32</v>
      </c>
      <c r="D1091" s="519" t="s">
        <v>2967</v>
      </c>
      <c r="E1091" s="905" t="s">
        <v>2465</v>
      </c>
      <c r="F1091" s="905"/>
      <c r="G1091" s="521" t="s">
        <v>103</v>
      </c>
      <c r="H1091" s="522">
        <v>5.0000000000000001E-3</v>
      </c>
      <c r="I1091" s="523">
        <v>217.4</v>
      </c>
      <c r="J1091" s="523">
        <v>1.08</v>
      </c>
    </row>
    <row r="1092" spans="1:10" ht="14.25" customHeight="1" thickBot="1" x14ac:dyDescent="0.35">
      <c r="A1092" s="519" t="s">
        <v>2434</v>
      </c>
      <c r="B1092" s="520" t="s">
        <v>2968</v>
      </c>
      <c r="C1092" s="519" t="s">
        <v>32</v>
      </c>
      <c r="D1092" s="519" t="s">
        <v>2969</v>
      </c>
      <c r="E1092" s="905" t="s">
        <v>2465</v>
      </c>
      <c r="F1092" s="905"/>
      <c r="G1092" s="521" t="s">
        <v>110</v>
      </c>
      <c r="H1092" s="522">
        <v>2.1000000000000001E-2</v>
      </c>
      <c r="I1092" s="523">
        <v>93.16</v>
      </c>
      <c r="J1092" s="523">
        <v>1.95</v>
      </c>
    </row>
    <row r="1093" spans="1:10" ht="14.25" customHeight="1" thickTop="1" x14ac:dyDescent="0.3">
      <c r="A1093" s="647"/>
      <c r="B1093" s="647"/>
      <c r="C1093" s="647"/>
      <c r="D1093" s="647"/>
      <c r="E1093" s="647"/>
      <c r="F1093" s="647"/>
      <c r="G1093" s="647"/>
      <c r="H1093" s="647"/>
      <c r="I1093" s="647"/>
      <c r="J1093" s="647"/>
    </row>
    <row r="1094" spans="1:10" ht="14.25" customHeight="1" x14ac:dyDescent="0.3">
      <c r="A1094" s="516"/>
      <c r="B1094" s="517" t="s">
        <v>15</v>
      </c>
      <c r="C1094" s="516" t="s">
        <v>16</v>
      </c>
      <c r="D1094" s="516" t="s">
        <v>17</v>
      </c>
      <c r="E1094" s="904" t="s">
        <v>2431</v>
      </c>
      <c r="F1094" s="904"/>
      <c r="G1094" s="518" t="s">
        <v>18</v>
      </c>
      <c r="H1094" s="517" t="s">
        <v>19</v>
      </c>
      <c r="I1094" s="517" t="s">
        <v>20</v>
      </c>
      <c r="J1094" s="517" t="s">
        <v>23</v>
      </c>
    </row>
    <row r="1095" spans="1:10" x14ac:dyDescent="0.3">
      <c r="A1095" s="642" t="s">
        <v>2432</v>
      </c>
      <c r="B1095" s="643" t="s">
        <v>366</v>
      </c>
      <c r="C1095" s="642" t="s">
        <v>125</v>
      </c>
      <c r="D1095" s="642" t="s">
        <v>367</v>
      </c>
      <c r="E1095" s="906" t="s">
        <v>1328</v>
      </c>
      <c r="F1095" s="906"/>
      <c r="G1095" s="644" t="s">
        <v>118</v>
      </c>
      <c r="H1095" s="645">
        <v>1</v>
      </c>
      <c r="I1095" s="646">
        <v>208.42</v>
      </c>
      <c r="J1095" s="646">
        <v>208.42</v>
      </c>
    </row>
    <row r="1096" spans="1:10" ht="14.25" customHeight="1" x14ac:dyDescent="0.3">
      <c r="A1096" s="904" t="s">
        <v>2418</v>
      </c>
      <c r="B1096" s="903" t="s">
        <v>15</v>
      </c>
      <c r="C1096" s="904" t="s">
        <v>16</v>
      </c>
      <c r="D1096" s="904" t="s">
        <v>2466</v>
      </c>
      <c r="E1096" s="903" t="s">
        <v>2467</v>
      </c>
      <c r="F1096" s="908" t="s">
        <v>2468</v>
      </c>
      <c r="G1096" s="903"/>
      <c r="H1096" s="518" t="s">
        <v>2469</v>
      </c>
      <c r="I1096" s="903" t="s">
        <v>2470</v>
      </c>
      <c r="J1096"/>
    </row>
    <row r="1097" spans="1:10" ht="14.25" customHeight="1" x14ac:dyDescent="0.3">
      <c r="A1097" s="903"/>
      <c r="B1097" s="903"/>
      <c r="C1097" s="903"/>
      <c r="D1097" s="903"/>
      <c r="E1097" s="903"/>
      <c r="F1097" s="517" t="s">
        <v>2471</v>
      </c>
      <c r="G1097" s="517" t="s">
        <v>2472</v>
      </c>
      <c r="H1097" s="517" t="s">
        <v>2471</v>
      </c>
      <c r="I1097" s="903"/>
      <c r="J1097"/>
    </row>
    <row r="1098" spans="1:10" ht="15" customHeight="1" x14ac:dyDescent="0.3">
      <c r="A1098" s="519" t="s">
        <v>2437</v>
      </c>
      <c r="B1098" s="520" t="s">
        <v>2970</v>
      </c>
      <c r="C1098" s="519" t="s">
        <v>125</v>
      </c>
      <c r="D1098" s="519" t="s">
        <v>2971</v>
      </c>
      <c r="E1098" s="522">
        <v>1</v>
      </c>
      <c r="F1098" s="523">
        <v>0.34</v>
      </c>
      <c r="G1098" s="523">
        <v>0.66</v>
      </c>
      <c r="H1098" s="524">
        <v>318.66019999999997</v>
      </c>
      <c r="I1098" s="524">
        <v>160.3159</v>
      </c>
      <c r="J1098"/>
    </row>
    <row r="1099" spans="1:10" x14ac:dyDescent="0.3">
      <c r="A1099" s="519" t="s">
        <v>2437</v>
      </c>
      <c r="B1099" s="520" t="s">
        <v>2972</v>
      </c>
      <c r="C1099" s="519" t="s">
        <v>125</v>
      </c>
      <c r="D1099" s="519" t="s">
        <v>2973</v>
      </c>
      <c r="E1099" s="522">
        <v>1</v>
      </c>
      <c r="F1099" s="523">
        <v>1</v>
      </c>
      <c r="G1099" s="523">
        <v>0</v>
      </c>
      <c r="H1099" s="524">
        <v>285.46710000000002</v>
      </c>
      <c r="I1099" s="524">
        <v>285.46710000000002</v>
      </c>
      <c r="J1099"/>
    </row>
    <row r="1100" spans="1:10" x14ac:dyDescent="0.3">
      <c r="A1100" s="519" t="s">
        <v>2437</v>
      </c>
      <c r="B1100" s="520" t="s">
        <v>2974</v>
      </c>
      <c r="C1100" s="519" t="s">
        <v>125</v>
      </c>
      <c r="D1100" s="519" t="s">
        <v>2975</v>
      </c>
      <c r="E1100" s="522">
        <v>1</v>
      </c>
      <c r="F1100" s="523">
        <v>0.65</v>
      </c>
      <c r="G1100" s="523">
        <v>0.35</v>
      </c>
      <c r="H1100" s="524">
        <v>251.39009999999999</v>
      </c>
      <c r="I1100" s="524">
        <v>205.7791</v>
      </c>
      <c r="J1100"/>
    </row>
    <row r="1101" spans="1:10" ht="14.25" customHeight="1" x14ac:dyDescent="0.3">
      <c r="A1101" s="519" t="s">
        <v>2437</v>
      </c>
      <c r="B1101" s="520" t="s">
        <v>2976</v>
      </c>
      <c r="C1101" s="519" t="s">
        <v>125</v>
      </c>
      <c r="D1101" s="519" t="s">
        <v>2977</v>
      </c>
      <c r="E1101" s="522">
        <v>1</v>
      </c>
      <c r="F1101" s="523">
        <v>0.52</v>
      </c>
      <c r="G1101" s="523">
        <v>0.48</v>
      </c>
      <c r="H1101" s="524">
        <v>254.8211</v>
      </c>
      <c r="I1101" s="524">
        <v>185.0531</v>
      </c>
      <c r="J1101"/>
    </row>
    <row r="1102" spans="1:10" ht="15" customHeight="1" x14ac:dyDescent="0.3">
      <c r="A1102" s="902"/>
      <c r="B1102" s="902"/>
      <c r="C1102" s="902"/>
      <c r="D1102" s="902"/>
      <c r="E1102" s="902"/>
      <c r="F1102" s="902" t="s">
        <v>2475</v>
      </c>
      <c r="G1102" s="902"/>
      <c r="H1102" s="902"/>
      <c r="I1102" s="525">
        <v>836.61519999999996</v>
      </c>
      <c r="J1102"/>
    </row>
    <row r="1103" spans="1:10" ht="14.25" customHeight="1" x14ac:dyDescent="0.3">
      <c r="A1103" s="902"/>
      <c r="B1103" s="902"/>
      <c r="C1103" s="902"/>
      <c r="D1103" s="902"/>
      <c r="E1103" s="902"/>
      <c r="F1103" s="902" t="s">
        <v>2476</v>
      </c>
      <c r="G1103" s="902"/>
      <c r="H1103" s="902"/>
      <c r="I1103" s="525">
        <v>836.61519999999996</v>
      </c>
      <c r="J1103"/>
    </row>
    <row r="1104" spans="1:10" ht="14.25" customHeight="1" x14ac:dyDescent="0.3">
      <c r="A1104" s="902"/>
      <c r="B1104" s="902"/>
      <c r="C1104" s="902"/>
      <c r="D1104" s="902"/>
      <c r="E1104" s="902"/>
      <c r="F1104" s="902" t="s">
        <v>2477</v>
      </c>
      <c r="G1104" s="902"/>
      <c r="H1104" s="902"/>
      <c r="I1104" s="525">
        <v>7.4999999999999997E-3</v>
      </c>
      <c r="J1104"/>
    </row>
    <row r="1105" spans="1:10" ht="15" customHeight="1" x14ac:dyDescent="0.3">
      <c r="A1105" s="902"/>
      <c r="B1105" s="902"/>
      <c r="C1105" s="902"/>
      <c r="D1105" s="902"/>
      <c r="E1105" s="902"/>
      <c r="F1105" s="902" t="s">
        <v>2478</v>
      </c>
      <c r="G1105" s="902"/>
      <c r="H1105" s="902"/>
      <c r="I1105" s="525">
        <v>5.5100000000000003E-2</v>
      </c>
      <c r="J1105"/>
    </row>
    <row r="1106" spans="1:10" ht="14.25" customHeight="1" x14ac:dyDescent="0.3">
      <c r="A1106" s="902"/>
      <c r="B1106" s="902"/>
      <c r="C1106" s="902"/>
      <c r="D1106" s="902"/>
      <c r="E1106" s="902"/>
      <c r="F1106" s="902" t="s">
        <v>2479</v>
      </c>
      <c r="G1106" s="902"/>
      <c r="H1106" s="902"/>
      <c r="I1106" s="525">
        <v>113.18</v>
      </c>
      <c r="J1106"/>
    </row>
    <row r="1107" spans="1:10" ht="14.25" customHeight="1" x14ac:dyDescent="0.3">
      <c r="A1107" s="902"/>
      <c r="B1107" s="902"/>
      <c r="C1107" s="902"/>
      <c r="D1107" s="902"/>
      <c r="E1107" s="902"/>
      <c r="F1107" s="902" t="s">
        <v>2480</v>
      </c>
      <c r="G1107" s="902"/>
      <c r="H1107" s="902"/>
      <c r="I1107" s="525">
        <v>7.3918999999999997</v>
      </c>
      <c r="J1107"/>
    </row>
    <row r="1108" spans="1:10" ht="15" customHeight="1" x14ac:dyDescent="0.3">
      <c r="A1108" s="516" t="s">
        <v>2574</v>
      </c>
      <c r="B1108" s="517" t="s">
        <v>16</v>
      </c>
      <c r="C1108" s="516" t="s">
        <v>15</v>
      </c>
      <c r="D1108" s="516" t="s">
        <v>2575</v>
      </c>
      <c r="E1108" s="517" t="s">
        <v>2467</v>
      </c>
      <c r="F1108" s="517" t="s">
        <v>2576</v>
      </c>
      <c r="G1108" s="903" t="s">
        <v>2577</v>
      </c>
      <c r="H1108" s="903"/>
      <c r="I1108" s="517" t="s">
        <v>2470</v>
      </c>
      <c r="J1108"/>
    </row>
    <row r="1109" spans="1:10" s="358" customFormat="1" ht="25" x14ac:dyDescent="0.3">
      <c r="A1109" s="519" t="s">
        <v>2578</v>
      </c>
      <c r="B1109" s="520" t="s">
        <v>125</v>
      </c>
      <c r="C1109" s="519">
        <v>6416040</v>
      </c>
      <c r="D1109" s="519" t="s">
        <v>2978</v>
      </c>
      <c r="E1109" s="522">
        <v>1</v>
      </c>
      <c r="F1109" s="521" t="s">
        <v>118</v>
      </c>
      <c r="G1109" s="907">
        <v>193.22</v>
      </c>
      <c r="H1109" s="907"/>
      <c r="I1109" s="524">
        <v>193.22</v>
      </c>
      <c r="J1109"/>
    </row>
    <row r="1110" spans="1:10" ht="25" x14ac:dyDescent="0.3">
      <c r="A1110" s="519" t="s">
        <v>2578</v>
      </c>
      <c r="B1110" s="520" t="s">
        <v>32</v>
      </c>
      <c r="C1110" s="519">
        <v>88316</v>
      </c>
      <c r="D1110" s="519" t="s">
        <v>2562</v>
      </c>
      <c r="E1110" s="522">
        <v>8.8354999999999996E-3</v>
      </c>
      <c r="F1110" s="521" t="s">
        <v>1901</v>
      </c>
      <c r="G1110" s="907">
        <v>23.4</v>
      </c>
      <c r="H1110" s="907"/>
      <c r="I1110" s="524">
        <v>0.20680000000000001</v>
      </c>
      <c r="J1110"/>
    </row>
    <row r="1111" spans="1:10" s="358" customFormat="1" ht="15" customHeight="1" x14ac:dyDescent="0.3">
      <c r="A1111" s="902"/>
      <c r="B1111" s="902"/>
      <c r="C1111" s="902"/>
      <c r="D1111" s="902"/>
      <c r="E1111" s="902"/>
      <c r="F1111" s="902" t="s">
        <v>2579</v>
      </c>
      <c r="G1111" s="902"/>
      <c r="H1111" s="902"/>
      <c r="I1111" s="525">
        <v>193.42679999999999</v>
      </c>
      <c r="J1111"/>
    </row>
    <row r="1112" spans="1:10" ht="15" customHeight="1" x14ac:dyDescent="0.3">
      <c r="A1112" s="516" t="s">
        <v>2580</v>
      </c>
      <c r="B1112" s="517" t="s">
        <v>16</v>
      </c>
      <c r="C1112" s="516" t="s">
        <v>2437</v>
      </c>
      <c r="D1112" s="516" t="s">
        <v>2581</v>
      </c>
      <c r="E1112" s="517" t="s">
        <v>15</v>
      </c>
      <c r="F1112" s="517" t="s">
        <v>2467</v>
      </c>
      <c r="G1112" s="518" t="s">
        <v>2576</v>
      </c>
      <c r="H1112" s="517" t="s">
        <v>2577</v>
      </c>
      <c r="I1112" s="517" t="s">
        <v>2470</v>
      </c>
      <c r="J1112"/>
    </row>
    <row r="1113" spans="1:10" ht="25" x14ac:dyDescent="0.3">
      <c r="A1113" s="519" t="s">
        <v>2582</v>
      </c>
      <c r="B1113" s="520" t="s">
        <v>125</v>
      </c>
      <c r="C1113" s="519">
        <v>6416040</v>
      </c>
      <c r="D1113" s="519" t="s">
        <v>2979</v>
      </c>
      <c r="E1113" s="520">
        <v>5914652</v>
      </c>
      <c r="F1113" s="522">
        <v>2.2000000000000002</v>
      </c>
      <c r="G1113" s="521" t="s">
        <v>374</v>
      </c>
      <c r="H1113" s="524">
        <v>3.43</v>
      </c>
      <c r="I1113" s="524">
        <v>7.5460000000000003</v>
      </c>
      <c r="J1113"/>
    </row>
    <row r="1114" spans="1:10" ht="14.25" customHeight="1" x14ac:dyDescent="0.3">
      <c r="A1114" s="902"/>
      <c r="B1114" s="902"/>
      <c r="C1114" s="902"/>
      <c r="D1114" s="902"/>
      <c r="E1114" s="902"/>
      <c r="F1114" s="902" t="s">
        <v>2585</v>
      </c>
      <c r="G1114" s="902"/>
      <c r="H1114" s="902"/>
      <c r="I1114" s="525">
        <v>7.5460000000000003</v>
      </c>
      <c r="J1114"/>
    </row>
    <row r="1115" spans="1:10" ht="15" customHeight="1" x14ac:dyDescent="0.3">
      <c r="A1115" s="516" t="s">
        <v>2586</v>
      </c>
      <c r="B1115" s="517" t="s">
        <v>16</v>
      </c>
      <c r="C1115" s="516" t="s">
        <v>2437</v>
      </c>
      <c r="D1115" s="516" t="s">
        <v>2587</v>
      </c>
      <c r="E1115" s="517" t="s">
        <v>2467</v>
      </c>
      <c r="F1115" s="517" t="s">
        <v>2576</v>
      </c>
      <c r="G1115" s="908" t="s">
        <v>2588</v>
      </c>
      <c r="H1115" s="903"/>
      <c r="I1115" s="517" t="s">
        <v>2470</v>
      </c>
      <c r="J1115"/>
    </row>
    <row r="1116" spans="1:10" ht="14.25" customHeight="1" x14ac:dyDescent="0.3">
      <c r="A1116" s="518"/>
      <c r="B1116" s="518"/>
      <c r="C1116" s="518"/>
      <c r="D1116" s="518"/>
      <c r="E1116" s="518"/>
      <c r="F1116" s="518"/>
      <c r="G1116" s="518" t="s">
        <v>2589</v>
      </c>
      <c r="H1116" s="518" t="s">
        <v>2590</v>
      </c>
      <c r="I1116" s="518"/>
      <c r="J1116"/>
    </row>
    <row r="1117" spans="1:10" ht="14.25" customHeight="1" x14ac:dyDescent="0.3">
      <c r="A1117" s="519" t="s">
        <v>2587</v>
      </c>
      <c r="B1117" s="520" t="s">
        <v>125</v>
      </c>
      <c r="C1117" s="519">
        <v>6416040</v>
      </c>
      <c r="D1117" s="519" t="s">
        <v>2980</v>
      </c>
      <c r="E1117" s="522">
        <v>2.2000000000000002</v>
      </c>
      <c r="F1117" s="521" t="s">
        <v>2592</v>
      </c>
      <c r="G1117" s="520" t="s">
        <v>4468</v>
      </c>
      <c r="H1117" s="520" t="s">
        <v>4469</v>
      </c>
      <c r="I1117" s="524">
        <v>0</v>
      </c>
      <c r="J1117"/>
    </row>
    <row r="1118" spans="1:10" ht="14.25" customHeight="1" thickBot="1" x14ac:dyDescent="0.35">
      <c r="A1118" s="902"/>
      <c r="B1118" s="902"/>
      <c r="C1118" s="902"/>
      <c r="D1118" s="902"/>
      <c r="E1118" s="902"/>
      <c r="F1118" s="902" t="s">
        <v>2593</v>
      </c>
      <c r="G1118" s="902"/>
      <c r="H1118" s="902"/>
      <c r="I1118" s="525">
        <v>0</v>
      </c>
      <c r="J1118"/>
    </row>
    <row r="1119" spans="1:10" ht="14.5" thickTop="1" x14ac:dyDescent="0.3">
      <c r="A1119" s="647"/>
      <c r="B1119" s="647"/>
      <c r="C1119" s="647"/>
      <c r="D1119" s="647"/>
      <c r="E1119" s="647"/>
      <c r="F1119" s="647"/>
      <c r="G1119" s="647"/>
      <c r="H1119" s="647"/>
      <c r="I1119" s="647"/>
      <c r="J1119" s="647"/>
    </row>
    <row r="1120" spans="1:10" ht="14.25" customHeight="1" x14ac:dyDescent="0.3">
      <c r="A1120" s="516"/>
      <c r="B1120" s="517" t="s">
        <v>15</v>
      </c>
      <c r="C1120" s="516" t="s">
        <v>16</v>
      </c>
      <c r="D1120" s="516" t="s">
        <v>17</v>
      </c>
      <c r="E1120" s="904" t="s">
        <v>2431</v>
      </c>
      <c r="F1120" s="904"/>
      <c r="G1120" s="518" t="s">
        <v>18</v>
      </c>
      <c r="H1120" s="517" t="s">
        <v>19</v>
      </c>
      <c r="I1120" s="517" t="s">
        <v>20</v>
      </c>
      <c r="J1120" s="517" t="s">
        <v>23</v>
      </c>
    </row>
    <row r="1121" spans="1:10" ht="14.25" customHeight="1" x14ac:dyDescent="0.3">
      <c r="A1121" s="642" t="s">
        <v>2432</v>
      </c>
      <c r="B1121" s="643" t="s">
        <v>369</v>
      </c>
      <c r="C1121" s="642" t="s">
        <v>39</v>
      </c>
      <c r="D1121" s="642" t="s">
        <v>370</v>
      </c>
      <c r="E1121" s="906" t="s">
        <v>2600</v>
      </c>
      <c r="F1121" s="906"/>
      <c r="G1121" s="644" t="s">
        <v>115</v>
      </c>
      <c r="H1121" s="645">
        <v>1</v>
      </c>
      <c r="I1121" s="646">
        <v>0.28000000000000003</v>
      </c>
      <c r="J1121" s="646">
        <v>0.28000000000000003</v>
      </c>
    </row>
    <row r="1122" spans="1:10" ht="15" customHeight="1" x14ac:dyDescent="0.3">
      <c r="A1122" s="904" t="s">
        <v>2418</v>
      </c>
      <c r="B1122" s="903" t="s">
        <v>15</v>
      </c>
      <c r="C1122" s="904" t="s">
        <v>16</v>
      </c>
      <c r="D1122" s="904" t="s">
        <v>2466</v>
      </c>
      <c r="E1122" s="903" t="s">
        <v>2467</v>
      </c>
      <c r="F1122" s="908" t="s">
        <v>2468</v>
      </c>
      <c r="G1122" s="903"/>
      <c r="H1122" s="518" t="s">
        <v>2469</v>
      </c>
      <c r="I1122" s="903" t="s">
        <v>2470</v>
      </c>
      <c r="J1122"/>
    </row>
    <row r="1123" spans="1:10" x14ac:dyDescent="0.3">
      <c r="A1123" s="903"/>
      <c r="B1123" s="903"/>
      <c r="C1123" s="903"/>
      <c r="D1123" s="903"/>
      <c r="E1123" s="903"/>
      <c r="F1123" s="517" t="s">
        <v>2471</v>
      </c>
      <c r="G1123" s="517" t="s">
        <v>2472</v>
      </c>
      <c r="H1123" s="517" t="s">
        <v>2471</v>
      </c>
      <c r="I1123" s="903"/>
      <c r="J1123"/>
    </row>
    <row r="1124" spans="1:10" ht="15" customHeight="1" x14ac:dyDescent="0.3">
      <c r="A1124" s="519" t="s">
        <v>2437</v>
      </c>
      <c r="B1124" s="520" t="s">
        <v>2981</v>
      </c>
      <c r="C1124" s="519" t="s">
        <v>125</v>
      </c>
      <c r="D1124" s="519" t="s">
        <v>2982</v>
      </c>
      <c r="E1124" s="522">
        <v>1</v>
      </c>
      <c r="F1124" s="523">
        <v>1</v>
      </c>
      <c r="G1124" s="523">
        <v>0</v>
      </c>
      <c r="H1124" s="524">
        <v>256.77929999999998</v>
      </c>
      <c r="I1124" s="524">
        <v>256.77929999999998</v>
      </c>
      <c r="J1124"/>
    </row>
    <row r="1125" spans="1:10" s="358" customFormat="1" x14ac:dyDescent="0.3">
      <c r="A1125" s="519" t="s">
        <v>2437</v>
      </c>
      <c r="B1125" s="520" t="s">
        <v>2983</v>
      </c>
      <c r="C1125" s="519" t="s">
        <v>125</v>
      </c>
      <c r="D1125" s="519" t="s">
        <v>2984</v>
      </c>
      <c r="E1125" s="522">
        <v>2</v>
      </c>
      <c r="F1125" s="523">
        <v>1</v>
      </c>
      <c r="G1125" s="523">
        <v>0</v>
      </c>
      <c r="H1125" s="524">
        <v>56.223399999999998</v>
      </c>
      <c r="I1125" s="524">
        <v>112.4468</v>
      </c>
      <c r="J1125"/>
    </row>
    <row r="1126" spans="1:10" ht="14.25" customHeight="1" x14ac:dyDescent="0.3">
      <c r="A1126" s="902"/>
      <c r="B1126" s="902"/>
      <c r="C1126" s="902"/>
      <c r="D1126" s="902"/>
      <c r="E1126" s="902"/>
      <c r="F1126" s="902" t="s">
        <v>2475</v>
      </c>
      <c r="G1126" s="902"/>
      <c r="H1126" s="902"/>
      <c r="I1126" s="525">
        <v>369.22609999999997</v>
      </c>
      <c r="J1126"/>
    </row>
    <row r="1127" spans="1:10" s="358" customFormat="1" ht="15" customHeight="1" x14ac:dyDescent="0.3">
      <c r="A1127" s="902"/>
      <c r="B1127" s="902"/>
      <c r="C1127" s="902"/>
      <c r="D1127" s="902"/>
      <c r="E1127" s="902"/>
      <c r="F1127" s="902" t="s">
        <v>2476</v>
      </c>
      <c r="G1127" s="902"/>
      <c r="H1127" s="902"/>
      <c r="I1127" s="525">
        <v>369.22609999999997</v>
      </c>
      <c r="J1127"/>
    </row>
    <row r="1128" spans="1:10" ht="15" customHeight="1" x14ac:dyDescent="0.3">
      <c r="A1128" s="902"/>
      <c r="B1128" s="902"/>
      <c r="C1128" s="902"/>
      <c r="D1128" s="902"/>
      <c r="E1128" s="902"/>
      <c r="F1128" s="902" t="s">
        <v>2477</v>
      </c>
      <c r="G1128" s="902"/>
      <c r="H1128" s="902"/>
      <c r="I1128" s="525">
        <v>2.7000000000000001E-3</v>
      </c>
      <c r="J1128"/>
    </row>
    <row r="1129" spans="1:10" x14ac:dyDescent="0.3">
      <c r="A1129" s="902"/>
      <c r="B1129" s="902"/>
      <c r="C1129" s="902"/>
      <c r="D1129" s="902"/>
      <c r="E1129" s="902"/>
      <c r="F1129" s="902" t="s">
        <v>2478</v>
      </c>
      <c r="G1129" s="902"/>
      <c r="H1129" s="902"/>
      <c r="I1129" s="525">
        <v>6.9999999999999999E-4</v>
      </c>
      <c r="J1129"/>
    </row>
    <row r="1130" spans="1:10" ht="14.25" customHeight="1" x14ac:dyDescent="0.3">
      <c r="A1130" s="902"/>
      <c r="B1130" s="902"/>
      <c r="C1130" s="902"/>
      <c r="D1130" s="902"/>
      <c r="E1130" s="902"/>
      <c r="F1130" s="902" t="s">
        <v>2479</v>
      </c>
      <c r="G1130" s="902"/>
      <c r="H1130" s="902"/>
      <c r="I1130" s="525">
        <v>1500</v>
      </c>
      <c r="J1130"/>
    </row>
    <row r="1131" spans="1:10" ht="14.25" customHeight="1" x14ac:dyDescent="0.3">
      <c r="A1131" s="902"/>
      <c r="B1131" s="902"/>
      <c r="C1131" s="902"/>
      <c r="D1131" s="902"/>
      <c r="E1131" s="902"/>
      <c r="F1131" s="902" t="s">
        <v>2480</v>
      </c>
      <c r="G1131" s="902"/>
      <c r="H1131" s="902"/>
      <c r="I1131" s="525">
        <v>0.2462</v>
      </c>
      <c r="J1131"/>
    </row>
    <row r="1132" spans="1:10" ht="14.25" customHeight="1" x14ac:dyDescent="0.3">
      <c r="A1132" s="516" t="s">
        <v>2574</v>
      </c>
      <c r="B1132" s="517" t="s">
        <v>16</v>
      </c>
      <c r="C1132" s="516" t="s">
        <v>15</v>
      </c>
      <c r="D1132" s="516" t="s">
        <v>2575</v>
      </c>
      <c r="E1132" s="517" t="s">
        <v>2467</v>
      </c>
      <c r="F1132" s="517" t="s">
        <v>2576</v>
      </c>
      <c r="G1132" s="903" t="s">
        <v>2577</v>
      </c>
      <c r="H1132" s="903"/>
      <c r="I1132" s="517" t="s">
        <v>2470</v>
      </c>
      <c r="J1132"/>
    </row>
    <row r="1133" spans="1:10" ht="14.25" customHeight="1" x14ac:dyDescent="0.3">
      <c r="A1133" s="519" t="s">
        <v>2578</v>
      </c>
      <c r="B1133" s="520" t="s">
        <v>32</v>
      </c>
      <c r="C1133" s="519">
        <v>88316</v>
      </c>
      <c r="D1133" s="519" t="s">
        <v>2562</v>
      </c>
      <c r="E1133" s="522">
        <v>1.3332999999999999E-3</v>
      </c>
      <c r="F1133" s="521" t="s">
        <v>1901</v>
      </c>
      <c r="G1133" s="907">
        <v>23.4</v>
      </c>
      <c r="H1133" s="907"/>
      <c r="I1133" s="524">
        <v>3.1199999999999999E-2</v>
      </c>
      <c r="J1133"/>
    </row>
    <row r="1134" spans="1:10" ht="14.25" customHeight="1" thickBot="1" x14ac:dyDescent="0.35">
      <c r="A1134" s="902"/>
      <c r="B1134" s="902"/>
      <c r="C1134" s="902"/>
      <c r="D1134" s="902"/>
      <c r="E1134" s="902"/>
      <c r="F1134" s="902" t="s">
        <v>2579</v>
      </c>
      <c r="G1134" s="902"/>
      <c r="H1134" s="902"/>
      <c r="I1134" s="525">
        <v>3.1199999999999999E-2</v>
      </c>
      <c r="J1134"/>
    </row>
    <row r="1135" spans="1:10" ht="14.5" thickTop="1" x14ac:dyDescent="0.3">
      <c r="A1135" s="647"/>
      <c r="B1135" s="647"/>
      <c r="C1135" s="647"/>
      <c r="D1135" s="647"/>
      <c r="E1135" s="647"/>
      <c r="F1135" s="647"/>
      <c r="G1135" s="647"/>
      <c r="H1135" s="647"/>
      <c r="I1135" s="647"/>
      <c r="J1135" s="647"/>
    </row>
    <row r="1136" spans="1:10" ht="14.25" customHeight="1" x14ac:dyDescent="0.3">
      <c r="A1136" s="516"/>
      <c r="B1136" s="517" t="s">
        <v>15</v>
      </c>
      <c r="C1136" s="516" t="s">
        <v>16</v>
      </c>
      <c r="D1136" s="516" t="s">
        <v>17</v>
      </c>
      <c r="E1136" s="904" t="s">
        <v>2431</v>
      </c>
      <c r="F1136" s="904"/>
      <c r="G1136" s="518" t="s">
        <v>18</v>
      </c>
      <c r="H1136" s="517" t="s">
        <v>19</v>
      </c>
      <c r="I1136" s="517" t="s">
        <v>20</v>
      </c>
      <c r="J1136" s="517" t="s">
        <v>23</v>
      </c>
    </row>
    <row r="1137" spans="1:10" ht="14.25" customHeight="1" x14ac:dyDescent="0.3">
      <c r="A1137" s="642" t="s">
        <v>2432</v>
      </c>
      <c r="B1137" s="643" t="s">
        <v>376</v>
      </c>
      <c r="C1137" s="642" t="s">
        <v>39</v>
      </c>
      <c r="D1137" s="642" t="s">
        <v>377</v>
      </c>
      <c r="E1137" s="906" t="s">
        <v>2600</v>
      </c>
      <c r="F1137" s="906"/>
      <c r="G1137" s="644" t="s">
        <v>115</v>
      </c>
      <c r="H1137" s="645">
        <v>1</v>
      </c>
      <c r="I1137" s="646">
        <v>0.4</v>
      </c>
      <c r="J1137" s="646">
        <v>0.4</v>
      </c>
    </row>
    <row r="1138" spans="1:10" ht="15" customHeight="1" x14ac:dyDescent="0.3">
      <c r="A1138" s="904" t="s">
        <v>2418</v>
      </c>
      <c r="B1138" s="903" t="s">
        <v>15</v>
      </c>
      <c r="C1138" s="904" t="s">
        <v>16</v>
      </c>
      <c r="D1138" s="904" t="s">
        <v>2466</v>
      </c>
      <c r="E1138" s="903" t="s">
        <v>2467</v>
      </c>
      <c r="F1138" s="908" t="s">
        <v>2468</v>
      </c>
      <c r="G1138" s="903"/>
      <c r="H1138" s="518" t="s">
        <v>2469</v>
      </c>
      <c r="I1138" s="903" t="s">
        <v>2470</v>
      </c>
      <c r="J1138"/>
    </row>
    <row r="1139" spans="1:10" x14ac:dyDescent="0.3">
      <c r="A1139" s="903"/>
      <c r="B1139" s="903"/>
      <c r="C1139" s="903"/>
      <c r="D1139" s="903"/>
      <c r="E1139" s="903"/>
      <c r="F1139" s="517" t="s">
        <v>2471</v>
      </c>
      <c r="G1139" s="517" t="s">
        <v>2472</v>
      </c>
      <c r="H1139" s="517" t="s">
        <v>2471</v>
      </c>
      <c r="I1139" s="903"/>
      <c r="J1139"/>
    </row>
    <row r="1140" spans="1:10" ht="15" customHeight="1" x14ac:dyDescent="0.3">
      <c r="A1140" s="519" t="s">
        <v>2437</v>
      </c>
      <c r="B1140" s="520" t="s">
        <v>2981</v>
      </c>
      <c r="C1140" s="519" t="s">
        <v>125</v>
      </c>
      <c r="D1140" s="519" t="s">
        <v>2982</v>
      </c>
      <c r="E1140" s="522">
        <v>1</v>
      </c>
      <c r="F1140" s="523">
        <v>1</v>
      </c>
      <c r="G1140" s="523">
        <v>0</v>
      </c>
      <c r="H1140" s="524">
        <v>256.77929999999998</v>
      </c>
      <c r="I1140" s="524">
        <v>256.77929999999998</v>
      </c>
      <c r="J1140"/>
    </row>
    <row r="1141" spans="1:10" s="358" customFormat="1" x14ac:dyDescent="0.3">
      <c r="A1141" s="519" t="s">
        <v>2437</v>
      </c>
      <c r="B1141" s="520" t="s">
        <v>2983</v>
      </c>
      <c r="C1141" s="519" t="s">
        <v>125</v>
      </c>
      <c r="D1141" s="519" t="s">
        <v>2984</v>
      </c>
      <c r="E1141" s="522">
        <v>2</v>
      </c>
      <c r="F1141" s="523">
        <v>1</v>
      </c>
      <c r="G1141" s="523">
        <v>0</v>
      </c>
      <c r="H1141" s="524">
        <v>56.223399999999998</v>
      </c>
      <c r="I1141" s="524">
        <v>112.4468</v>
      </c>
      <c r="J1141"/>
    </row>
    <row r="1142" spans="1:10" ht="14.25" customHeight="1" x14ac:dyDescent="0.3">
      <c r="A1142" s="902"/>
      <c r="B1142" s="902"/>
      <c r="C1142" s="902"/>
      <c r="D1142" s="902"/>
      <c r="E1142" s="902"/>
      <c r="F1142" s="902" t="s">
        <v>2475</v>
      </c>
      <c r="G1142" s="902"/>
      <c r="H1142" s="902"/>
      <c r="I1142" s="525">
        <v>369.22609999999997</v>
      </c>
      <c r="J1142"/>
    </row>
    <row r="1143" spans="1:10" s="358" customFormat="1" ht="15" customHeight="1" x14ac:dyDescent="0.3">
      <c r="A1143" s="902"/>
      <c r="B1143" s="902"/>
      <c r="C1143" s="902"/>
      <c r="D1143" s="902"/>
      <c r="E1143" s="902"/>
      <c r="F1143" s="902" t="s">
        <v>2476</v>
      </c>
      <c r="G1143" s="902"/>
      <c r="H1143" s="902"/>
      <c r="I1143" s="525">
        <v>369.22609999999997</v>
      </c>
      <c r="J1143"/>
    </row>
    <row r="1144" spans="1:10" ht="14.25" customHeight="1" x14ac:dyDescent="0.3">
      <c r="A1144" s="902"/>
      <c r="B1144" s="902"/>
      <c r="C1144" s="902"/>
      <c r="D1144" s="902"/>
      <c r="E1144" s="902"/>
      <c r="F1144" s="902" t="s">
        <v>2477</v>
      </c>
      <c r="G1144" s="902"/>
      <c r="H1144" s="902"/>
      <c r="I1144" s="525">
        <v>2.7000000000000001E-3</v>
      </c>
      <c r="J1144"/>
    </row>
    <row r="1145" spans="1:10" x14ac:dyDescent="0.3">
      <c r="A1145" s="902"/>
      <c r="B1145" s="902"/>
      <c r="C1145" s="902"/>
      <c r="D1145" s="902"/>
      <c r="E1145" s="902"/>
      <c r="F1145" s="902" t="s">
        <v>2478</v>
      </c>
      <c r="G1145" s="902"/>
      <c r="H1145" s="902"/>
      <c r="I1145" s="525">
        <v>1E-3</v>
      </c>
      <c r="J1145"/>
    </row>
    <row r="1146" spans="1:10" s="358" customFormat="1" ht="15" customHeight="1" x14ac:dyDescent="0.3">
      <c r="A1146" s="902"/>
      <c r="B1146" s="902"/>
      <c r="C1146" s="902"/>
      <c r="D1146" s="902"/>
      <c r="E1146" s="902"/>
      <c r="F1146" s="902" t="s">
        <v>2479</v>
      </c>
      <c r="G1146" s="902"/>
      <c r="H1146" s="902"/>
      <c r="I1146" s="525">
        <v>1038.46</v>
      </c>
      <c r="J1146"/>
    </row>
    <row r="1147" spans="1:10" ht="14.25" customHeight="1" x14ac:dyDescent="0.3">
      <c r="A1147" s="902"/>
      <c r="B1147" s="902"/>
      <c r="C1147" s="902"/>
      <c r="D1147" s="902"/>
      <c r="E1147" s="902"/>
      <c r="F1147" s="902" t="s">
        <v>2480</v>
      </c>
      <c r="G1147" s="902"/>
      <c r="H1147" s="902"/>
      <c r="I1147" s="525">
        <v>0.35560000000000003</v>
      </c>
      <c r="J1147"/>
    </row>
    <row r="1148" spans="1:10" s="358" customFormat="1" ht="15" customHeight="1" x14ac:dyDescent="0.3">
      <c r="A1148" s="516" t="s">
        <v>2574</v>
      </c>
      <c r="B1148" s="517" t="s">
        <v>16</v>
      </c>
      <c r="C1148" s="516" t="s">
        <v>15</v>
      </c>
      <c r="D1148" s="516" t="s">
        <v>2575</v>
      </c>
      <c r="E1148" s="517" t="s">
        <v>2467</v>
      </c>
      <c r="F1148" s="517" t="s">
        <v>2576</v>
      </c>
      <c r="G1148" s="903" t="s">
        <v>2577</v>
      </c>
      <c r="H1148" s="903"/>
      <c r="I1148" s="517" t="s">
        <v>2470</v>
      </c>
      <c r="J1148"/>
    </row>
    <row r="1149" spans="1:10" ht="38.25" customHeight="1" x14ac:dyDescent="0.3">
      <c r="A1149" s="519" t="s">
        <v>2578</v>
      </c>
      <c r="B1149" s="520" t="s">
        <v>32</v>
      </c>
      <c r="C1149" s="519">
        <v>88316</v>
      </c>
      <c r="D1149" s="519" t="s">
        <v>2562</v>
      </c>
      <c r="E1149" s="522">
        <v>1.9258999999999999E-3</v>
      </c>
      <c r="F1149" s="521" t="s">
        <v>1901</v>
      </c>
      <c r="G1149" s="907">
        <v>23.4</v>
      </c>
      <c r="H1149" s="907"/>
      <c r="I1149" s="524">
        <v>4.5100000000000001E-2</v>
      </c>
      <c r="J1149"/>
    </row>
    <row r="1150" spans="1:10" ht="38.25" customHeight="1" thickBot="1" x14ac:dyDescent="0.35">
      <c r="A1150" s="902"/>
      <c r="B1150" s="902"/>
      <c r="C1150" s="902"/>
      <c r="D1150" s="902"/>
      <c r="E1150" s="902"/>
      <c r="F1150" s="902" t="s">
        <v>2579</v>
      </c>
      <c r="G1150" s="902"/>
      <c r="H1150" s="902"/>
      <c r="I1150" s="525">
        <v>4.5100000000000001E-2</v>
      </c>
      <c r="J1150"/>
    </row>
    <row r="1151" spans="1:10" ht="25.5" customHeight="1" thickTop="1" x14ac:dyDescent="0.3">
      <c r="A1151" s="647"/>
      <c r="B1151" s="647"/>
      <c r="C1151" s="647"/>
      <c r="D1151" s="647"/>
      <c r="E1151" s="647"/>
      <c r="F1151" s="647"/>
      <c r="G1151" s="647"/>
      <c r="H1151" s="647"/>
      <c r="I1151" s="647"/>
      <c r="J1151" s="647"/>
    </row>
    <row r="1152" spans="1:10" x14ac:dyDescent="0.3">
      <c r="A1152" s="516"/>
      <c r="B1152" s="517" t="s">
        <v>15</v>
      </c>
      <c r="C1152" s="516" t="s">
        <v>16</v>
      </c>
      <c r="D1152" s="516" t="s">
        <v>17</v>
      </c>
      <c r="E1152" s="904" t="s">
        <v>2431</v>
      </c>
      <c r="F1152" s="904"/>
      <c r="G1152" s="518" t="s">
        <v>18</v>
      </c>
      <c r="H1152" s="517" t="s">
        <v>19</v>
      </c>
      <c r="I1152" s="517" t="s">
        <v>20</v>
      </c>
      <c r="J1152" s="517" t="s">
        <v>23</v>
      </c>
    </row>
    <row r="1153" spans="1:10" ht="37.5" x14ac:dyDescent="0.3">
      <c r="A1153" s="642" t="s">
        <v>2432</v>
      </c>
      <c r="B1153" s="643" t="s">
        <v>386</v>
      </c>
      <c r="C1153" s="642" t="s">
        <v>39</v>
      </c>
      <c r="D1153" s="642" t="s">
        <v>387</v>
      </c>
      <c r="E1153" s="906" t="s">
        <v>2925</v>
      </c>
      <c r="F1153" s="906"/>
      <c r="G1153" s="644" t="s">
        <v>268</v>
      </c>
      <c r="H1153" s="645">
        <v>1</v>
      </c>
      <c r="I1153" s="646">
        <v>124.59</v>
      </c>
      <c r="J1153" s="646">
        <v>124.59</v>
      </c>
    </row>
    <row r="1154" spans="1:10" ht="25.5" customHeight="1" x14ac:dyDescent="0.3">
      <c r="A1154" s="519" t="s">
        <v>2434</v>
      </c>
      <c r="B1154" s="520" t="s">
        <v>2985</v>
      </c>
      <c r="C1154" s="519" t="s">
        <v>32</v>
      </c>
      <c r="D1154" s="519" t="s">
        <v>2986</v>
      </c>
      <c r="E1154" s="905" t="s">
        <v>2925</v>
      </c>
      <c r="F1154" s="905"/>
      <c r="G1154" s="521" t="s">
        <v>118</v>
      </c>
      <c r="H1154" s="522">
        <v>1</v>
      </c>
      <c r="I1154" s="523">
        <v>1785.21</v>
      </c>
      <c r="J1154" s="523">
        <v>1785.21</v>
      </c>
    </row>
    <row r="1155" spans="1:10" ht="25.5" customHeight="1" thickBot="1" x14ac:dyDescent="0.35">
      <c r="A1155" s="519" t="s">
        <v>2437</v>
      </c>
      <c r="B1155" s="520" t="s">
        <v>2987</v>
      </c>
      <c r="C1155" s="519" t="s">
        <v>32</v>
      </c>
      <c r="D1155" s="519" t="s">
        <v>2988</v>
      </c>
      <c r="E1155" s="905" t="s">
        <v>2442</v>
      </c>
      <c r="F1155" s="905"/>
      <c r="G1155" s="521" t="s">
        <v>381</v>
      </c>
      <c r="H1155" s="522">
        <v>-2.5548000000000002</v>
      </c>
      <c r="I1155" s="523">
        <v>650</v>
      </c>
      <c r="J1155" s="523">
        <v>-1660.62</v>
      </c>
    </row>
    <row r="1156" spans="1:10" ht="25.5" customHeight="1" thickTop="1" x14ac:dyDescent="0.3">
      <c r="A1156" s="647"/>
      <c r="B1156" s="647"/>
      <c r="C1156" s="647"/>
      <c r="D1156" s="647"/>
      <c r="E1156" s="647"/>
      <c r="F1156" s="647"/>
      <c r="G1156" s="647"/>
      <c r="H1156" s="647"/>
      <c r="I1156" s="647"/>
      <c r="J1156" s="647"/>
    </row>
    <row r="1157" spans="1:10" ht="25.5" customHeight="1" x14ac:dyDescent="0.3">
      <c r="A1157" s="516"/>
      <c r="B1157" s="517" t="s">
        <v>15</v>
      </c>
      <c r="C1157" s="516" t="s">
        <v>16</v>
      </c>
      <c r="D1157" s="516" t="s">
        <v>17</v>
      </c>
      <c r="E1157" s="904" t="s">
        <v>2431</v>
      </c>
      <c r="F1157" s="904"/>
      <c r="G1157" s="518" t="s">
        <v>18</v>
      </c>
      <c r="H1157" s="517" t="s">
        <v>19</v>
      </c>
      <c r="I1157" s="517" t="s">
        <v>20</v>
      </c>
      <c r="J1157" s="517" t="s">
        <v>23</v>
      </c>
    </row>
    <row r="1158" spans="1:10" ht="25" x14ac:dyDescent="0.3">
      <c r="A1158" s="642" t="s">
        <v>2432</v>
      </c>
      <c r="B1158" s="643" t="s">
        <v>389</v>
      </c>
      <c r="C1158" s="642" t="s">
        <v>39</v>
      </c>
      <c r="D1158" s="642" t="s">
        <v>390</v>
      </c>
      <c r="E1158" s="906" t="s">
        <v>2925</v>
      </c>
      <c r="F1158" s="906"/>
      <c r="G1158" s="644" t="s">
        <v>381</v>
      </c>
      <c r="H1158" s="645">
        <v>1</v>
      </c>
      <c r="I1158" s="646">
        <v>188.17</v>
      </c>
      <c r="J1158" s="646">
        <v>188.17</v>
      </c>
    </row>
    <row r="1159" spans="1:10" ht="38.25" customHeight="1" x14ac:dyDescent="0.3">
      <c r="A1159" s="519" t="s">
        <v>2434</v>
      </c>
      <c r="B1159" s="520" t="s">
        <v>2989</v>
      </c>
      <c r="C1159" s="519" t="s">
        <v>32</v>
      </c>
      <c r="D1159" s="519" t="s">
        <v>2990</v>
      </c>
      <c r="E1159" s="905" t="s">
        <v>2465</v>
      </c>
      <c r="F1159" s="905"/>
      <c r="G1159" s="521" t="s">
        <v>103</v>
      </c>
      <c r="H1159" s="522">
        <v>4.7999999999999996E-3</v>
      </c>
      <c r="I1159" s="523">
        <v>160.65</v>
      </c>
      <c r="J1159" s="523">
        <v>0.77</v>
      </c>
    </row>
    <row r="1160" spans="1:10" ht="38.25" customHeight="1" x14ac:dyDescent="0.3">
      <c r="A1160" s="519" t="s">
        <v>2434</v>
      </c>
      <c r="B1160" s="520" t="s">
        <v>2991</v>
      </c>
      <c r="C1160" s="519" t="s">
        <v>32</v>
      </c>
      <c r="D1160" s="519" t="s">
        <v>2992</v>
      </c>
      <c r="E1160" s="905" t="s">
        <v>2465</v>
      </c>
      <c r="F1160" s="905"/>
      <c r="G1160" s="521" t="s">
        <v>110</v>
      </c>
      <c r="H1160" s="522">
        <v>8.3000000000000001E-3</v>
      </c>
      <c r="I1160" s="523">
        <v>72.8</v>
      </c>
      <c r="J1160" s="523">
        <v>0.6</v>
      </c>
    </row>
    <row r="1161" spans="1:10" ht="25.5" customHeight="1" x14ac:dyDescent="0.3">
      <c r="A1161" s="519" t="s">
        <v>2434</v>
      </c>
      <c r="B1161" s="520" t="s">
        <v>2993</v>
      </c>
      <c r="C1161" s="519" t="s">
        <v>32</v>
      </c>
      <c r="D1161" s="519" t="s">
        <v>4291</v>
      </c>
      <c r="E1161" s="905" t="s">
        <v>2465</v>
      </c>
      <c r="F1161" s="905"/>
      <c r="G1161" s="521" t="s">
        <v>103</v>
      </c>
      <c r="H1161" s="522">
        <v>2.6200000000000001E-2</v>
      </c>
      <c r="I1161" s="523">
        <v>243.96</v>
      </c>
      <c r="J1161" s="523">
        <v>6.39</v>
      </c>
    </row>
    <row r="1162" spans="1:10" s="358" customFormat="1" ht="25" x14ac:dyDescent="0.3">
      <c r="A1162" s="519" t="s">
        <v>2434</v>
      </c>
      <c r="B1162" s="520" t="s">
        <v>2561</v>
      </c>
      <c r="C1162" s="519" t="s">
        <v>32</v>
      </c>
      <c r="D1162" s="519" t="s">
        <v>2562</v>
      </c>
      <c r="E1162" s="905" t="s">
        <v>2433</v>
      </c>
      <c r="F1162" s="905"/>
      <c r="G1162" s="521" t="s">
        <v>1901</v>
      </c>
      <c r="H1162" s="522">
        <v>2.6200000000000001E-2</v>
      </c>
      <c r="I1162" s="523">
        <v>23.4</v>
      </c>
      <c r="J1162" s="523">
        <v>0.61</v>
      </c>
    </row>
    <row r="1163" spans="1:10" ht="25" x14ac:dyDescent="0.3">
      <c r="A1163" s="519" t="s">
        <v>2434</v>
      </c>
      <c r="B1163" s="520" t="s">
        <v>2994</v>
      </c>
      <c r="C1163" s="519" t="s">
        <v>32</v>
      </c>
      <c r="D1163" s="519" t="s">
        <v>2995</v>
      </c>
      <c r="E1163" s="905" t="s">
        <v>2433</v>
      </c>
      <c r="F1163" s="905"/>
      <c r="G1163" s="521" t="s">
        <v>1901</v>
      </c>
      <c r="H1163" s="522">
        <v>1.3100000000000001E-2</v>
      </c>
      <c r="I1163" s="523">
        <v>25.09</v>
      </c>
      <c r="J1163" s="523">
        <v>0.32</v>
      </c>
    </row>
    <row r="1164" spans="1:10" s="358" customFormat="1" ht="25.5" customHeight="1" x14ac:dyDescent="0.3">
      <c r="A1164" s="519" t="s">
        <v>2434</v>
      </c>
      <c r="B1164" s="520" t="s">
        <v>2996</v>
      </c>
      <c r="C1164" s="519" t="s">
        <v>32</v>
      </c>
      <c r="D1164" s="519" t="s">
        <v>2997</v>
      </c>
      <c r="E1164" s="905" t="s">
        <v>2465</v>
      </c>
      <c r="F1164" s="905"/>
      <c r="G1164" s="521" t="s">
        <v>103</v>
      </c>
      <c r="H1164" s="522">
        <v>1.01E-2</v>
      </c>
      <c r="I1164" s="523">
        <v>269.60000000000002</v>
      </c>
      <c r="J1164" s="523">
        <v>2.72</v>
      </c>
    </row>
    <row r="1165" spans="1:10" ht="25.5" customHeight="1" x14ac:dyDescent="0.3">
      <c r="A1165" s="519" t="s">
        <v>2434</v>
      </c>
      <c r="B1165" s="520" t="s">
        <v>2998</v>
      </c>
      <c r="C1165" s="519" t="s">
        <v>32</v>
      </c>
      <c r="D1165" s="519" t="s">
        <v>2999</v>
      </c>
      <c r="E1165" s="905" t="s">
        <v>2465</v>
      </c>
      <c r="F1165" s="905"/>
      <c r="G1165" s="521" t="s">
        <v>110</v>
      </c>
      <c r="H1165" s="522">
        <v>2.8999999999999998E-3</v>
      </c>
      <c r="I1165" s="523">
        <v>13.75</v>
      </c>
      <c r="J1165" s="523">
        <v>0.03</v>
      </c>
    </row>
    <row r="1166" spans="1:10" s="358" customFormat="1" ht="25.5" customHeight="1" x14ac:dyDescent="0.3">
      <c r="A1166" s="519" t="s">
        <v>2434</v>
      </c>
      <c r="B1166" s="520" t="s">
        <v>3000</v>
      </c>
      <c r="C1166" s="519" t="s">
        <v>32</v>
      </c>
      <c r="D1166" s="519" t="s">
        <v>3001</v>
      </c>
      <c r="E1166" s="905" t="s">
        <v>2465</v>
      </c>
      <c r="F1166" s="905"/>
      <c r="G1166" s="521" t="s">
        <v>103</v>
      </c>
      <c r="H1166" s="522">
        <v>1.01E-2</v>
      </c>
      <c r="I1166" s="523">
        <v>4427.25</v>
      </c>
      <c r="J1166" s="523">
        <v>44.71</v>
      </c>
    </row>
    <row r="1167" spans="1:10" ht="25.5" customHeight="1" x14ac:dyDescent="0.3">
      <c r="A1167" s="519" t="s">
        <v>2434</v>
      </c>
      <c r="B1167" s="520" t="s">
        <v>3002</v>
      </c>
      <c r="C1167" s="519" t="s">
        <v>32</v>
      </c>
      <c r="D1167" s="519" t="s">
        <v>3003</v>
      </c>
      <c r="E1167" s="905" t="s">
        <v>2465</v>
      </c>
      <c r="F1167" s="905"/>
      <c r="G1167" s="521" t="s">
        <v>110</v>
      </c>
      <c r="H1167" s="522">
        <v>2.8999999999999998E-3</v>
      </c>
      <c r="I1167" s="523">
        <v>292.55</v>
      </c>
      <c r="J1167" s="523">
        <v>0.84</v>
      </c>
    </row>
    <row r="1168" spans="1:10" s="358" customFormat="1" x14ac:dyDescent="0.3">
      <c r="A1168" s="519" t="s">
        <v>2437</v>
      </c>
      <c r="B1168" s="520" t="s">
        <v>2816</v>
      </c>
      <c r="C1168" s="519" t="s">
        <v>125</v>
      </c>
      <c r="D1168" s="519" t="s">
        <v>2817</v>
      </c>
      <c r="E1168" s="905" t="s">
        <v>2442</v>
      </c>
      <c r="F1168" s="905"/>
      <c r="G1168" s="521" t="s">
        <v>118</v>
      </c>
      <c r="H1168" s="522">
        <v>0.32479999999999998</v>
      </c>
      <c r="I1168" s="523">
        <v>149.36019999999999</v>
      </c>
      <c r="J1168" s="523">
        <v>48.51</v>
      </c>
    </row>
    <row r="1169" spans="1:10" x14ac:dyDescent="0.3">
      <c r="A1169" s="519" t="s">
        <v>2437</v>
      </c>
      <c r="B1169" s="520" t="s">
        <v>4292</v>
      </c>
      <c r="C1169" s="519" t="s">
        <v>125</v>
      </c>
      <c r="D1169" s="519" t="s">
        <v>4293</v>
      </c>
      <c r="E1169" s="905" t="s">
        <v>2442</v>
      </c>
      <c r="F1169" s="905"/>
      <c r="G1169" s="521" t="s">
        <v>384</v>
      </c>
      <c r="H1169" s="522">
        <v>56.2</v>
      </c>
      <c r="I1169" s="523">
        <v>0.85509999999999997</v>
      </c>
      <c r="J1169" s="523">
        <v>48.05</v>
      </c>
    </row>
    <row r="1170" spans="1:10" ht="39" customHeight="1" x14ac:dyDescent="0.3">
      <c r="A1170" s="519" t="s">
        <v>2437</v>
      </c>
      <c r="B1170" s="520" t="s">
        <v>2944</v>
      </c>
      <c r="C1170" s="519" t="s">
        <v>125</v>
      </c>
      <c r="D1170" s="519" t="s">
        <v>2945</v>
      </c>
      <c r="E1170" s="905" t="s">
        <v>2442</v>
      </c>
      <c r="F1170" s="905"/>
      <c r="G1170" s="521" t="s">
        <v>118</v>
      </c>
      <c r="H1170" s="522">
        <v>0.19980000000000001</v>
      </c>
      <c r="I1170" s="523">
        <v>135.64580000000001</v>
      </c>
      <c r="J1170" s="523">
        <v>27.1</v>
      </c>
    </row>
    <row r="1171" spans="1:10" s="358" customFormat="1" ht="14.5" thickBot="1" x14ac:dyDescent="0.35">
      <c r="A1171" s="519" t="s">
        <v>2437</v>
      </c>
      <c r="B1171" s="520" t="s">
        <v>2818</v>
      </c>
      <c r="C1171" s="519" t="s">
        <v>125</v>
      </c>
      <c r="D1171" s="519" t="s">
        <v>2819</v>
      </c>
      <c r="E1171" s="905" t="s">
        <v>2442</v>
      </c>
      <c r="F1171" s="905"/>
      <c r="G1171" s="521" t="s">
        <v>118</v>
      </c>
      <c r="H1171" s="522">
        <v>6.25E-2</v>
      </c>
      <c r="I1171" s="523">
        <v>120.4661</v>
      </c>
      <c r="J1171" s="523">
        <v>7.52</v>
      </c>
    </row>
    <row r="1172" spans="1:10" ht="14.5" thickTop="1" x14ac:dyDescent="0.3">
      <c r="A1172" s="647"/>
      <c r="B1172" s="647"/>
      <c r="C1172" s="647"/>
      <c r="D1172" s="647"/>
      <c r="E1172" s="647"/>
      <c r="F1172" s="647"/>
      <c r="G1172" s="647"/>
      <c r="H1172" s="647"/>
      <c r="I1172" s="647"/>
      <c r="J1172" s="647"/>
    </row>
    <row r="1173" spans="1:10" s="358" customFormat="1" x14ac:dyDescent="0.3">
      <c r="A1173" s="516"/>
      <c r="B1173" s="517" t="s">
        <v>15</v>
      </c>
      <c r="C1173" s="516" t="s">
        <v>16</v>
      </c>
      <c r="D1173" s="516" t="s">
        <v>17</v>
      </c>
      <c r="E1173" s="904" t="s">
        <v>2431</v>
      </c>
      <c r="F1173" s="904"/>
      <c r="G1173" s="518" t="s">
        <v>18</v>
      </c>
      <c r="H1173" s="517" t="s">
        <v>19</v>
      </c>
      <c r="I1173" s="517" t="s">
        <v>20</v>
      </c>
      <c r="J1173" s="517" t="s">
        <v>23</v>
      </c>
    </row>
    <row r="1174" spans="1:10" ht="25.5" customHeight="1" x14ac:dyDescent="0.3">
      <c r="A1174" s="642" t="s">
        <v>2432</v>
      </c>
      <c r="B1174" s="643" t="s">
        <v>4234</v>
      </c>
      <c r="C1174" s="642" t="s">
        <v>4235</v>
      </c>
      <c r="D1174" s="642" t="s">
        <v>4430</v>
      </c>
      <c r="E1174" s="906">
        <v>4</v>
      </c>
      <c r="F1174" s="906"/>
      <c r="G1174" s="644" t="s">
        <v>268</v>
      </c>
      <c r="H1174" s="645">
        <v>1</v>
      </c>
      <c r="I1174" s="646">
        <v>56.12</v>
      </c>
      <c r="J1174" s="646">
        <v>56.12</v>
      </c>
    </row>
    <row r="1175" spans="1:10" ht="25.5" customHeight="1" thickBot="1" x14ac:dyDescent="0.35">
      <c r="A1175" s="519" t="s">
        <v>2434</v>
      </c>
      <c r="B1175" s="520" t="s">
        <v>2561</v>
      </c>
      <c r="C1175" s="519" t="s">
        <v>32</v>
      </c>
      <c r="D1175" s="519" t="s">
        <v>2562</v>
      </c>
      <c r="E1175" s="905" t="s">
        <v>2433</v>
      </c>
      <c r="F1175" s="905"/>
      <c r="G1175" s="521" t="s">
        <v>1901</v>
      </c>
      <c r="H1175" s="522">
        <v>2.3986000000000001</v>
      </c>
      <c r="I1175" s="523">
        <v>23.4</v>
      </c>
      <c r="J1175" s="523">
        <v>56.12</v>
      </c>
    </row>
    <row r="1176" spans="1:10" ht="14.5" thickTop="1" x14ac:dyDescent="0.3">
      <c r="A1176" s="647"/>
      <c r="B1176" s="647"/>
      <c r="C1176" s="647"/>
      <c r="D1176" s="647"/>
      <c r="E1176" s="647"/>
      <c r="F1176" s="647"/>
      <c r="G1176" s="647"/>
      <c r="H1176" s="647"/>
      <c r="I1176" s="647"/>
      <c r="J1176" s="647"/>
    </row>
    <row r="1177" spans="1:10" x14ac:dyDescent="0.3">
      <c r="A1177" s="516"/>
      <c r="B1177" s="517" t="s">
        <v>15</v>
      </c>
      <c r="C1177" s="516" t="s">
        <v>16</v>
      </c>
      <c r="D1177" s="516" t="s">
        <v>17</v>
      </c>
      <c r="E1177" s="904" t="s">
        <v>2431</v>
      </c>
      <c r="F1177" s="904"/>
      <c r="G1177" s="518" t="s">
        <v>18</v>
      </c>
      <c r="H1177" s="517" t="s">
        <v>19</v>
      </c>
      <c r="I1177" s="517" t="s">
        <v>20</v>
      </c>
      <c r="J1177" s="517" t="s">
        <v>23</v>
      </c>
    </row>
    <row r="1178" spans="1:10" ht="25" x14ac:dyDescent="0.3">
      <c r="A1178" s="642" t="s">
        <v>2432</v>
      </c>
      <c r="B1178" s="643" t="s">
        <v>397</v>
      </c>
      <c r="C1178" s="642" t="s">
        <v>197</v>
      </c>
      <c r="D1178" s="642" t="s">
        <v>398</v>
      </c>
      <c r="E1178" s="906" t="s">
        <v>1328</v>
      </c>
      <c r="F1178" s="906"/>
      <c r="G1178" s="644" t="s">
        <v>118</v>
      </c>
      <c r="H1178" s="645">
        <v>1</v>
      </c>
      <c r="I1178" s="646">
        <v>11.09</v>
      </c>
      <c r="J1178" s="646">
        <v>11.09</v>
      </c>
    </row>
    <row r="1179" spans="1:10" s="358" customFormat="1" ht="25" x14ac:dyDescent="0.3">
      <c r="A1179" s="519" t="s">
        <v>2434</v>
      </c>
      <c r="B1179" s="520" t="s">
        <v>2561</v>
      </c>
      <c r="C1179" s="519" t="s">
        <v>32</v>
      </c>
      <c r="D1179" s="519" t="s">
        <v>2562</v>
      </c>
      <c r="E1179" s="905" t="s">
        <v>2433</v>
      </c>
      <c r="F1179" s="905"/>
      <c r="G1179" s="521" t="s">
        <v>1901</v>
      </c>
      <c r="H1179" s="522">
        <v>0.45</v>
      </c>
      <c r="I1179" s="523">
        <v>23.4</v>
      </c>
      <c r="J1179" s="523">
        <v>10.53</v>
      </c>
    </row>
    <row r="1180" spans="1:10" ht="39" customHeight="1" thickBot="1" x14ac:dyDescent="0.35">
      <c r="A1180" s="519" t="s">
        <v>2434</v>
      </c>
      <c r="B1180" s="520" t="s">
        <v>3004</v>
      </c>
      <c r="C1180" s="519" t="s">
        <v>32</v>
      </c>
      <c r="D1180" s="519" t="s">
        <v>3005</v>
      </c>
      <c r="E1180" s="905" t="s">
        <v>2465</v>
      </c>
      <c r="F1180" s="905"/>
      <c r="G1180" s="521" t="s">
        <v>103</v>
      </c>
      <c r="H1180" s="522">
        <v>6.0999999999999999E-2</v>
      </c>
      <c r="I1180" s="523">
        <v>9.27</v>
      </c>
      <c r="J1180" s="523">
        <v>0.56000000000000005</v>
      </c>
    </row>
    <row r="1181" spans="1:10" s="358" customFormat="1" ht="14.5" thickTop="1" x14ac:dyDescent="0.3">
      <c r="A1181" s="647"/>
      <c r="B1181" s="647"/>
      <c r="C1181" s="647"/>
      <c r="D1181" s="647"/>
      <c r="E1181" s="647"/>
      <c r="F1181" s="647"/>
      <c r="G1181" s="647"/>
      <c r="H1181" s="647"/>
      <c r="I1181" s="647"/>
      <c r="J1181" s="647"/>
    </row>
    <row r="1182" spans="1:10" ht="25.5" customHeight="1" x14ac:dyDescent="0.3">
      <c r="A1182" s="516"/>
      <c r="B1182" s="517" t="s">
        <v>15</v>
      </c>
      <c r="C1182" s="516" t="s">
        <v>16</v>
      </c>
      <c r="D1182" s="516" t="s">
        <v>17</v>
      </c>
      <c r="E1182" s="904" t="s">
        <v>2431</v>
      </c>
      <c r="F1182" s="904"/>
      <c r="G1182" s="518" t="s">
        <v>18</v>
      </c>
      <c r="H1182" s="517" t="s">
        <v>19</v>
      </c>
      <c r="I1182" s="517" t="s">
        <v>20</v>
      </c>
      <c r="J1182" s="517" t="s">
        <v>23</v>
      </c>
    </row>
    <row r="1183" spans="1:10" ht="25.5" customHeight="1" x14ac:dyDescent="0.3">
      <c r="A1183" s="642" t="s">
        <v>2432</v>
      </c>
      <c r="B1183" s="643" t="s">
        <v>402</v>
      </c>
      <c r="C1183" s="642" t="s">
        <v>32</v>
      </c>
      <c r="D1183" s="642" t="s">
        <v>4431</v>
      </c>
      <c r="E1183" s="906" t="s">
        <v>3006</v>
      </c>
      <c r="F1183" s="906"/>
      <c r="G1183" s="644" t="s">
        <v>194</v>
      </c>
      <c r="H1183" s="645">
        <v>1</v>
      </c>
      <c r="I1183" s="646">
        <v>60.45</v>
      </c>
      <c r="J1183" s="646">
        <v>60.45</v>
      </c>
    </row>
    <row r="1184" spans="1:10" ht="25.5" customHeight="1" x14ac:dyDescent="0.3">
      <c r="A1184" s="519" t="s">
        <v>2434</v>
      </c>
      <c r="B1184" s="520" t="s">
        <v>2564</v>
      </c>
      <c r="C1184" s="519" t="s">
        <v>32</v>
      </c>
      <c r="D1184" s="519" t="s">
        <v>2565</v>
      </c>
      <c r="E1184" s="905" t="s">
        <v>2465</v>
      </c>
      <c r="F1184" s="905"/>
      <c r="G1184" s="521" t="s">
        <v>103</v>
      </c>
      <c r="H1184" s="522">
        <v>8.2400000000000001E-2</v>
      </c>
      <c r="I1184" s="523">
        <v>204.43</v>
      </c>
      <c r="J1184" s="523">
        <v>16.84</v>
      </c>
    </row>
    <row r="1185" spans="1:10" ht="25.5" customHeight="1" x14ac:dyDescent="0.3">
      <c r="A1185" s="519" t="s">
        <v>2434</v>
      </c>
      <c r="B1185" s="520" t="s">
        <v>2566</v>
      </c>
      <c r="C1185" s="519" t="s">
        <v>32</v>
      </c>
      <c r="D1185" s="519" t="s">
        <v>2567</v>
      </c>
      <c r="E1185" s="905" t="s">
        <v>2465</v>
      </c>
      <c r="F1185" s="905"/>
      <c r="G1185" s="521" t="s">
        <v>110</v>
      </c>
      <c r="H1185" s="522">
        <v>0.16</v>
      </c>
      <c r="I1185" s="523">
        <v>88.26</v>
      </c>
      <c r="J1185" s="523">
        <v>14.12</v>
      </c>
    </row>
    <row r="1186" spans="1:10" ht="25" x14ac:dyDescent="0.3">
      <c r="A1186" s="519" t="s">
        <v>2434</v>
      </c>
      <c r="B1186" s="520" t="s">
        <v>3007</v>
      </c>
      <c r="C1186" s="519" t="s">
        <v>32</v>
      </c>
      <c r="D1186" s="519" t="s">
        <v>3008</v>
      </c>
      <c r="E1186" s="905" t="s">
        <v>2433</v>
      </c>
      <c r="F1186" s="905"/>
      <c r="G1186" s="521" t="s">
        <v>1901</v>
      </c>
      <c r="H1186" s="522">
        <v>0.36840000000000001</v>
      </c>
      <c r="I1186" s="523">
        <v>25.19</v>
      </c>
      <c r="J1186" s="523">
        <v>9.27</v>
      </c>
    </row>
    <row r="1187" spans="1:10" s="358" customFormat="1" ht="25" x14ac:dyDescent="0.3">
      <c r="A1187" s="519" t="s">
        <v>2434</v>
      </c>
      <c r="B1187" s="520" t="s">
        <v>2561</v>
      </c>
      <c r="C1187" s="519" t="s">
        <v>32</v>
      </c>
      <c r="D1187" s="519" t="s">
        <v>2562</v>
      </c>
      <c r="E1187" s="905" t="s">
        <v>2433</v>
      </c>
      <c r="F1187" s="905"/>
      <c r="G1187" s="521" t="s">
        <v>1901</v>
      </c>
      <c r="H1187" s="522">
        <v>0.73680000000000001</v>
      </c>
      <c r="I1187" s="523">
        <v>23.4</v>
      </c>
      <c r="J1187" s="523">
        <v>17.239999999999998</v>
      </c>
    </row>
    <row r="1188" spans="1:10" ht="25.5" thickBot="1" x14ac:dyDescent="0.35">
      <c r="A1188" s="519" t="s">
        <v>2434</v>
      </c>
      <c r="B1188" s="520" t="s">
        <v>3009</v>
      </c>
      <c r="C1188" s="519" t="s">
        <v>32</v>
      </c>
      <c r="D1188" s="519" t="s">
        <v>3010</v>
      </c>
      <c r="E1188" s="905" t="s">
        <v>2433</v>
      </c>
      <c r="F1188" s="905"/>
      <c r="G1188" s="521" t="s">
        <v>118</v>
      </c>
      <c r="H1188" s="522">
        <v>4.7000000000000002E-3</v>
      </c>
      <c r="I1188" s="523">
        <v>634.08000000000004</v>
      </c>
      <c r="J1188" s="523">
        <v>2.98</v>
      </c>
    </row>
    <row r="1189" spans="1:10" s="358" customFormat="1" ht="14.5" thickTop="1" x14ac:dyDescent="0.3">
      <c r="A1189" s="647"/>
      <c r="B1189" s="647"/>
      <c r="C1189" s="647"/>
      <c r="D1189" s="647"/>
      <c r="E1189" s="647"/>
      <c r="F1189" s="647"/>
      <c r="G1189" s="647"/>
      <c r="H1189" s="647"/>
      <c r="I1189" s="647"/>
      <c r="J1189" s="647"/>
    </row>
    <row r="1190" spans="1:10" ht="25.5" customHeight="1" x14ac:dyDescent="0.3">
      <c r="A1190" s="516"/>
      <c r="B1190" s="517" t="s">
        <v>15</v>
      </c>
      <c r="C1190" s="516" t="s">
        <v>16</v>
      </c>
      <c r="D1190" s="516" t="s">
        <v>17</v>
      </c>
      <c r="E1190" s="904" t="s">
        <v>2431</v>
      </c>
      <c r="F1190" s="904"/>
      <c r="G1190" s="518" t="s">
        <v>18</v>
      </c>
      <c r="H1190" s="517" t="s">
        <v>19</v>
      </c>
      <c r="I1190" s="517" t="s">
        <v>20</v>
      </c>
      <c r="J1190" s="517" t="s">
        <v>23</v>
      </c>
    </row>
    <row r="1191" spans="1:10" ht="25.5" customHeight="1" x14ac:dyDescent="0.3">
      <c r="A1191" s="642" t="s">
        <v>2432</v>
      </c>
      <c r="B1191" s="643" t="s">
        <v>404</v>
      </c>
      <c r="C1191" s="642" t="s">
        <v>32</v>
      </c>
      <c r="D1191" s="642" t="s">
        <v>4432</v>
      </c>
      <c r="E1191" s="906" t="s">
        <v>3006</v>
      </c>
      <c r="F1191" s="906"/>
      <c r="G1191" s="644" t="s">
        <v>194</v>
      </c>
      <c r="H1191" s="645">
        <v>1</v>
      </c>
      <c r="I1191" s="646">
        <v>83.73</v>
      </c>
      <c r="J1191" s="646">
        <v>83.73</v>
      </c>
    </row>
    <row r="1192" spans="1:10" ht="25.5" customHeight="1" x14ac:dyDescent="0.3">
      <c r="A1192" s="519" t="s">
        <v>2434</v>
      </c>
      <c r="B1192" s="520" t="s">
        <v>2564</v>
      </c>
      <c r="C1192" s="519" t="s">
        <v>32</v>
      </c>
      <c r="D1192" s="519" t="s">
        <v>2565</v>
      </c>
      <c r="E1192" s="905" t="s">
        <v>2465</v>
      </c>
      <c r="F1192" s="905"/>
      <c r="G1192" s="521" t="s">
        <v>103</v>
      </c>
      <c r="H1192" s="522">
        <v>0.1116</v>
      </c>
      <c r="I1192" s="523">
        <v>204.43</v>
      </c>
      <c r="J1192" s="523">
        <v>22.81</v>
      </c>
    </row>
    <row r="1193" spans="1:10" ht="25.5" customHeight="1" x14ac:dyDescent="0.3">
      <c r="A1193" s="519" t="s">
        <v>2434</v>
      </c>
      <c r="B1193" s="520" t="s">
        <v>2566</v>
      </c>
      <c r="C1193" s="519" t="s">
        <v>32</v>
      </c>
      <c r="D1193" s="519" t="s">
        <v>2567</v>
      </c>
      <c r="E1193" s="905" t="s">
        <v>2465</v>
      </c>
      <c r="F1193" s="905"/>
      <c r="G1193" s="521" t="s">
        <v>110</v>
      </c>
      <c r="H1193" s="522">
        <v>0.2167</v>
      </c>
      <c r="I1193" s="523">
        <v>88.26</v>
      </c>
      <c r="J1193" s="523">
        <v>19.12</v>
      </c>
    </row>
    <row r="1194" spans="1:10" ht="25" x14ac:dyDescent="0.3">
      <c r="A1194" s="519" t="s">
        <v>2434</v>
      </c>
      <c r="B1194" s="520" t="s">
        <v>3007</v>
      </c>
      <c r="C1194" s="519" t="s">
        <v>32</v>
      </c>
      <c r="D1194" s="519" t="s">
        <v>3008</v>
      </c>
      <c r="E1194" s="905" t="s">
        <v>2433</v>
      </c>
      <c r="F1194" s="905"/>
      <c r="G1194" s="521" t="s">
        <v>1901</v>
      </c>
      <c r="H1194" s="522">
        <v>0.499</v>
      </c>
      <c r="I1194" s="523">
        <v>25.19</v>
      </c>
      <c r="J1194" s="523">
        <v>12.56</v>
      </c>
    </row>
    <row r="1195" spans="1:10" s="358" customFormat="1" ht="25" x14ac:dyDescent="0.3">
      <c r="A1195" s="519" t="s">
        <v>2434</v>
      </c>
      <c r="B1195" s="520" t="s">
        <v>2561</v>
      </c>
      <c r="C1195" s="519" t="s">
        <v>32</v>
      </c>
      <c r="D1195" s="519" t="s">
        <v>2562</v>
      </c>
      <c r="E1195" s="905" t="s">
        <v>2433</v>
      </c>
      <c r="F1195" s="905"/>
      <c r="G1195" s="521" t="s">
        <v>1901</v>
      </c>
      <c r="H1195" s="522">
        <v>0.998</v>
      </c>
      <c r="I1195" s="523">
        <v>23.4</v>
      </c>
      <c r="J1195" s="523">
        <v>23.35</v>
      </c>
    </row>
    <row r="1196" spans="1:10" ht="25.5" thickBot="1" x14ac:dyDescent="0.35">
      <c r="A1196" s="519" t="s">
        <v>2434</v>
      </c>
      <c r="B1196" s="520" t="s">
        <v>3009</v>
      </c>
      <c r="C1196" s="519" t="s">
        <v>32</v>
      </c>
      <c r="D1196" s="519" t="s">
        <v>3010</v>
      </c>
      <c r="E1196" s="905" t="s">
        <v>2433</v>
      </c>
      <c r="F1196" s="905"/>
      <c r="G1196" s="521" t="s">
        <v>118</v>
      </c>
      <c r="H1196" s="522">
        <v>9.2999999999999992E-3</v>
      </c>
      <c r="I1196" s="523">
        <v>634.08000000000004</v>
      </c>
      <c r="J1196" s="523">
        <v>5.89</v>
      </c>
    </row>
    <row r="1197" spans="1:10" s="358" customFormat="1" ht="14.5" thickTop="1" x14ac:dyDescent="0.3">
      <c r="A1197" s="647"/>
      <c r="B1197" s="647"/>
      <c r="C1197" s="647"/>
      <c r="D1197" s="647"/>
      <c r="E1197" s="647"/>
      <c r="F1197" s="647"/>
      <c r="G1197" s="647"/>
      <c r="H1197" s="647"/>
      <c r="I1197" s="647"/>
      <c r="J1197" s="647"/>
    </row>
    <row r="1198" spans="1:10" ht="25.5" customHeight="1" x14ac:dyDescent="0.3">
      <c r="A1198" s="516"/>
      <c r="B1198" s="517" t="s">
        <v>15</v>
      </c>
      <c r="C1198" s="516" t="s">
        <v>16</v>
      </c>
      <c r="D1198" s="516" t="s">
        <v>17</v>
      </c>
      <c r="E1198" s="904" t="s">
        <v>2431</v>
      </c>
      <c r="F1198" s="904"/>
      <c r="G1198" s="518" t="s">
        <v>18</v>
      </c>
      <c r="H1198" s="517" t="s">
        <v>19</v>
      </c>
      <c r="I1198" s="517" t="s">
        <v>20</v>
      </c>
      <c r="J1198" s="517" t="s">
        <v>23</v>
      </c>
    </row>
    <row r="1199" spans="1:10" ht="25.5" customHeight="1" x14ac:dyDescent="0.3">
      <c r="A1199" s="642" t="s">
        <v>2432</v>
      </c>
      <c r="B1199" s="643" t="s">
        <v>406</v>
      </c>
      <c r="C1199" s="642" t="s">
        <v>32</v>
      </c>
      <c r="D1199" s="642" t="s">
        <v>4433</v>
      </c>
      <c r="E1199" s="906" t="s">
        <v>3006</v>
      </c>
      <c r="F1199" s="906"/>
      <c r="G1199" s="644" t="s">
        <v>194</v>
      </c>
      <c r="H1199" s="645">
        <v>1</v>
      </c>
      <c r="I1199" s="646">
        <v>108</v>
      </c>
      <c r="J1199" s="646">
        <v>108</v>
      </c>
    </row>
    <row r="1200" spans="1:10" ht="25.5" customHeight="1" x14ac:dyDescent="0.3">
      <c r="A1200" s="519" t="s">
        <v>2434</v>
      </c>
      <c r="B1200" s="520" t="s">
        <v>2564</v>
      </c>
      <c r="C1200" s="519" t="s">
        <v>32</v>
      </c>
      <c r="D1200" s="519" t="s">
        <v>2565</v>
      </c>
      <c r="E1200" s="905" t="s">
        <v>2465</v>
      </c>
      <c r="F1200" s="905"/>
      <c r="G1200" s="521" t="s">
        <v>103</v>
      </c>
      <c r="H1200" s="522">
        <v>0.1409</v>
      </c>
      <c r="I1200" s="523">
        <v>204.43</v>
      </c>
      <c r="J1200" s="523">
        <v>28.8</v>
      </c>
    </row>
    <row r="1201" spans="1:10" ht="25.5" customHeight="1" x14ac:dyDescent="0.3">
      <c r="A1201" s="519" t="s">
        <v>2434</v>
      </c>
      <c r="B1201" s="520" t="s">
        <v>2566</v>
      </c>
      <c r="C1201" s="519" t="s">
        <v>32</v>
      </c>
      <c r="D1201" s="519" t="s">
        <v>2567</v>
      </c>
      <c r="E1201" s="905" t="s">
        <v>2465</v>
      </c>
      <c r="F1201" s="905"/>
      <c r="G1201" s="521" t="s">
        <v>110</v>
      </c>
      <c r="H1201" s="522">
        <v>0.27339999999999998</v>
      </c>
      <c r="I1201" s="523">
        <v>88.26</v>
      </c>
      <c r="J1201" s="523">
        <v>24.13</v>
      </c>
    </row>
    <row r="1202" spans="1:10" ht="25" x14ac:dyDescent="0.3">
      <c r="A1202" s="519" t="s">
        <v>2434</v>
      </c>
      <c r="B1202" s="520" t="s">
        <v>3007</v>
      </c>
      <c r="C1202" s="519" t="s">
        <v>32</v>
      </c>
      <c r="D1202" s="519" t="s">
        <v>3008</v>
      </c>
      <c r="E1202" s="905" t="s">
        <v>2433</v>
      </c>
      <c r="F1202" s="905"/>
      <c r="G1202" s="521" t="s">
        <v>1901</v>
      </c>
      <c r="H1202" s="522">
        <v>0.62949999999999995</v>
      </c>
      <c r="I1202" s="523">
        <v>25.19</v>
      </c>
      <c r="J1202" s="523">
        <v>15.85</v>
      </c>
    </row>
    <row r="1203" spans="1:10" s="358" customFormat="1" ht="25" x14ac:dyDescent="0.3">
      <c r="A1203" s="519" t="s">
        <v>2434</v>
      </c>
      <c r="B1203" s="520" t="s">
        <v>2561</v>
      </c>
      <c r="C1203" s="519" t="s">
        <v>32</v>
      </c>
      <c r="D1203" s="519" t="s">
        <v>2562</v>
      </c>
      <c r="E1203" s="905" t="s">
        <v>2433</v>
      </c>
      <c r="F1203" s="905"/>
      <c r="G1203" s="521" t="s">
        <v>1901</v>
      </c>
      <c r="H1203" s="522">
        <v>1.2591000000000001</v>
      </c>
      <c r="I1203" s="523">
        <v>23.4</v>
      </c>
      <c r="J1203" s="523">
        <v>29.46</v>
      </c>
    </row>
    <row r="1204" spans="1:10" ht="25.5" thickBot="1" x14ac:dyDescent="0.35">
      <c r="A1204" s="519" t="s">
        <v>2434</v>
      </c>
      <c r="B1204" s="520" t="s">
        <v>3009</v>
      </c>
      <c r="C1204" s="519" t="s">
        <v>32</v>
      </c>
      <c r="D1204" s="519" t="s">
        <v>3010</v>
      </c>
      <c r="E1204" s="905" t="s">
        <v>2433</v>
      </c>
      <c r="F1204" s="905"/>
      <c r="G1204" s="521" t="s">
        <v>118</v>
      </c>
      <c r="H1204" s="522">
        <v>1.54E-2</v>
      </c>
      <c r="I1204" s="523">
        <v>634.08000000000004</v>
      </c>
      <c r="J1204" s="523">
        <v>9.76</v>
      </c>
    </row>
    <row r="1205" spans="1:10" s="358" customFormat="1" ht="14.5" thickTop="1" x14ac:dyDescent="0.3">
      <c r="A1205" s="647"/>
      <c r="B1205" s="647"/>
      <c r="C1205" s="647"/>
      <c r="D1205" s="647"/>
      <c r="E1205" s="647"/>
      <c r="F1205" s="647"/>
      <c r="G1205" s="647"/>
      <c r="H1205" s="647"/>
      <c r="I1205" s="647"/>
      <c r="J1205" s="647"/>
    </row>
    <row r="1206" spans="1:10" ht="25.5" customHeight="1" x14ac:dyDescent="0.3">
      <c r="A1206" s="516"/>
      <c r="B1206" s="517" t="s">
        <v>15</v>
      </c>
      <c r="C1206" s="516" t="s">
        <v>16</v>
      </c>
      <c r="D1206" s="516" t="s">
        <v>17</v>
      </c>
      <c r="E1206" s="904" t="s">
        <v>2431</v>
      </c>
      <c r="F1206" s="904"/>
      <c r="G1206" s="518" t="s">
        <v>18</v>
      </c>
      <c r="H1206" s="517" t="s">
        <v>19</v>
      </c>
      <c r="I1206" s="517" t="s">
        <v>20</v>
      </c>
      <c r="J1206" s="517" t="s">
        <v>23</v>
      </c>
    </row>
    <row r="1207" spans="1:10" ht="25.5" customHeight="1" x14ac:dyDescent="0.3">
      <c r="A1207" s="642" t="s">
        <v>2432</v>
      </c>
      <c r="B1207" s="643" t="s">
        <v>408</v>
      </c>
      <c r="C1207" s="642" t="s">
        <v>32</v>
      </c>
      <c r="D1207" s="642" t="s">
        <v>4434</v>
      </c>
      <c r="E1207" s="906" t="s">
        <v>3006</v>
      </c>
      <c r="F1207" s="906"/>
      <c r="G1207" s="644" t="s">
        <v>194</v>
      </c>
      <c r="H1207" s="645">
        <v>1</v>
      </c>
      <c r="I1207" s="646">
        <v>133.19</v>
      </c>
      <c r="J1207" s="646">
        <v>133.19</v>
      </c>
    </row>
    <row r="1208" spans="1:10" ht="25.5" customHeight="1" x14ac:dyDescent="0.3">
      <c r="A1208" s="519" t="s">
        <v>2434</v>
      </c>
      <c r="B1208" s="520" t="s">
        <v>2564</v>
      </c>
      <c r="C1208" s="519" t="s">
        <v>32</v>
      </c>
      <c r="D1208" s="519" t="s">
        <v>2565</v>
      </c>
      <c r="E1208" s="905" t="s">
        <v>2465</v>
      </c>
      <c r="F1208" s="905"/>
      <c r="G1208" s="521" t="s">
        <v>103</v>
      </c>
      <c r="H1208" s="522">
        <v>0.1701</v>
      </c>
      <c r="I1208" s="523">
        <v>204.43</v>
      </c>
      <c r="J1208" s="523">
        <v>34.770000000000003</v>
      </c>
    </row>
    <row r="1209" spans="1:10" ht="25.5" customHeight="1" x14ac:dyDescent="0.3">
      <c r="A1209" s="519" t="s">
        <v>2434</v>
      </c>
      <c r="B1209" s="520" t="s">
        <v>2566</v>
      </c>
      <c r="C1209" s="519" t="s">
        <v>32</v>
      </c>
      <c r="D1209" s="519" t="s">
        <v>2567</v>
      </c>
      <c r="E1209" s="905" t="s">
        <v>2465</v>
      </c>
      <c r="F1209" s="905"/>
      <c r="G1209" s="521" t="s">
        <v>110</v>
      </c>
      <c r="H1209" s="522">
        <v>0.3301</v>
      </c>
      <c r="I1209" s="523">
        <v>88.26</v>
      </c>
      <c r="J1209" s="523">
        <v>29.13</v>
      </c>
    </row>
    <row r="1210" spans="1:10" ht="25" x14ac:dyDescent="0.3">
      <c r="A1210" s="519" t="s">
        <v>2434</v>
      </c>
      <c r="B1210" s="520" t="s">
        <v>3007</v>
      </c>
      <c r="C1210" s="519" t="s">
        <v>32</v>
      </c>
      <c r="D1210" s="519" t="s">
        <v>3008</v>
      </c>
      <c r="E1210" s="905" t="s">
        <v>2433</v>
      </c>
      <c r="F1210" s="905"/>
      <c r="G1210" s="521" t="s">
        <v>1901</v>
      </c>
      <c r="H1210" s="522">
        <v>0.7601</v>
      </c>
      <c r="I1210" s="523">
        <v>25.19</v>
      </c>
      <c r="J1210" s="523">
        <v>19.14</v>
      </c>
    </row>
    <row r="1211" spans="1:10" s="358" customFormat="1" ht="25" x14ac:dyDescent="0.3">
      <c r="A1211" s="519" t="s">
        <v>2434</v>
      </c>
      <c r="B1211" s="520" t="s">
        <v>2561</v>
      </c>
      <c r="C1211" s="519" t="s">
        <v>32</v>
      </c>
      <c r="D1211" s="519" t="s">
        <v>2562</v>
      </c>
      <c r="E1211" s="905" t="s">
        <v>2433</v>
      </c>
      <c r="F1211" s="905"/>
      <c r="G1211" s="521" t="s">
        <v>1901</v>
      </c>
      <c r="H1211" s="522">
        <v>1.5202</v>
      </c>
      <c r="I1211" s="523">
        <v>23.4</v>
      </c>
      <c r="J1211" s="523">
        <v>35.57</v>
      </c>
    </row>
    <row r="1212" spans="1:10" ht="25.5" thickBot="1" x14ac:dyDescent="0.35">
      <c r="A1212" s="519" t="s">
        <v>2434</v>
      </c>
      <c r="B1212" s="520" t="s">
        <v>3009</v>
      </c>
      <c r="C1212" s="519" t="s">
        <v>32</v>
      </c>
      <c r="D1212" s="519" t="s">
        <v>3010</v>
      </c>
      <c r="E1212" s="905" t="s">
        <v>2433</v>
      </c>
      <c r="F1212" s="905"/>
      <c r="G1212" s="521" t="s">
        <v>118</v>
      </c>
      <c r="H1212" s="522">
        <v>2.3E-2</v>
      </c>
      <c r="I1212" s="523">
        <v>634.08000000000004</v>
      </c>
      <c r="J1212" s="523">
        <v>14.58</v>
      </c>
    </row>
    <row r="1213" spans="1:10" s="358" customFormat="1" ht="38.25" customHeight="1" thickTop="1" x14ac:dyDescent="0.3">
      <c r="A1213" s="647"/>
      <c r="B1213" s="647"/>
      <c r="C1213" s="647"/>
      <c r="D1213" s="647"/>
      <c r="E1213" s="647"/>
      <c r="F1213" s="647"/>
      <c r="G1213" s="647"/>
      <c r="H1213" s="647"/>
      <c r="I1213" s="647"/>
      <c r="J1213" s="647"/>
    </row>
    <row r="1214" spans="1:10" x14ac:dyDescent="0.3">
      <c r="A1214" s="516"/>
      <c r="B1214" s="517" t="s">
        <v>15</v>
      </c>
      <c r="C1214" s="516" t="s">
        <v>16</v>
      </c>
      <c r="D1214" s="516" t="s">
        <v>17</v>
      </c>
      <c r="E1214" s="904" t="s">
        <v>2431</v>
      </c>
      <c r="F1214" s="904"/>
      <c r="G1214" s="518" t="s">
        <v>18</v>
      </c>
      <c r="H1214" s="517" t="s">
        <v>19</v>
      </c>
      <c r="I1214" s="517" t="s">
        <v>20</v>
      </c>
      <c r="J1214" s="517" t="s">
        <v>23</v>
      </c>
    </row>
    <row r="1215" spans="1:10" ht="50" x14ac:dyDescent="0.3">
      <c r="A1215" s="642" t="s">
        <v>2432</v>
      </c>
      <c r="B1215" s="643" t="s">
        <v>410</v>
      </c>
      <c r="C1215" s="642" t="s">
        <v>32</v>
      </c>
      <c r="D1215" s="642" t="s">
        <v>4435</v>
      </c>
      <c r="E1215" s="906" t="s">
        <v>3006</v>
      </c>
      <c r="F1215" s="906"/>
      <c r="G1215" s="644" t="s">
        <v>194</v>
      </c>
      <c r="H1215" s="645">
        <v>1</v>
      </c>
      <c r="I1215" s="646">
        <v>172.74</v>
      </c>
      <c r="J1215" s="646">
        <v>172.74</v>
      </c>
    </row>
    <row r="1216" spans="1:10" s="358" customFormat="1" ht="25.5" customHeight="1" x14ac:dyDescent="0.3">
      <c r="A1216" s="519" t="s">
        <v>2434</v>
      </c>
      <c r="B1216" s="520" t="s">
        <v>2564</v>
      </c>
      <c r="C1216" s="519" t="s">
        <v>32</v>
      </c>
      <c r="D1216" s="519" t="s">
        <v>2565</v>
      </c>
      <c r="E1216" s="905" t="s">
        <v>2465</v>
      </c>
      <c r="F1216" s="905"/>
      <c r="G1216" s="521" t="s">
        <v>103</v>
      </c>
      <c r="H1216" s="522">
        <v>0.21390000000000001</v>
      </c>
      <c r="I1216" s="523">
        <v>204.43</v>
      </c>
      <c r="J1216" s="523">
        <v>43.72</v>
      </c>
    </row>
    <row r="1217" spans="1:10" ht="25.5" customHeight="1" x14ac:dyDescent="0.3">
      <c r="A1217" s="519" t="s">
        <v>2434</v>
      </c>
      <c r="B1217" s="520" t="s">
        <v>2566</v>
      </c>
      <c r="C1217" s="519" t="s">
        <v>32</v>
      </c>
      <c r="D1217" s="519" t="s">
        <v>2567</v>
      </c>
      <c r="E1217" s="905" t="s">
        <v>2465</v>
      </c>
      <c r="F1217" s="905"/>
      <c r="G1217" s="521" t="s">
        <v>110</v>
      </c>
      <c r="H1217" s="522">
        <v>0.41520000000000001</v>
      </c>
      <c r="I1217" s="523">
        <v>88.26</v>
      </c>
      <c r="J1217" s="523">
        <v>36.64</v>
      </c>
    </row>
    <row r="1218" spans="1:10" s="358" customFormat="1" ht="38.25" customHeight="1" x14ac:dyDescent="0.3">
      <c r="A1218" s="519" t="s">
        <v>2434</v>
      </c>
      <c r="B1218" s="520" t="s">
        <v>3007</v>
      </c>
      <c r="C1218" s="519" t="s">
        <v>32</v>
      </c>
      <c r="D1218" s="519" t="s">
        <v>3008</v>
      </c>
      <c r="E1218" s="905" t="s">
        <v>2433</v>
      </c>
      <c r="F1218" s="905"/>
      <c r="G1218" s="521" t="s">
        <v>1901</v>
      </c>
      <c r="H1218" s="522">
        <v>0.95589999999999997</v>
      </c>
      <c r="I1218" s="523">
        <v>25.19</v>
      </c>
      <c r="J1218" s="523">
        <v>24.07</v>
      </c>
    </row>
    <row r="1219" spans="1:10" ht="25" x14ac:dyDescent="0.3">
      <c r="A1219" s="519" t="s">
        <v>2434</v>
      </c>
      <c r="B1219" s="520" t="s">
        <v>2561</v>
      </c>
      <c r="C1219" s="519" t="s">
        <v>32</v>
      </c>
      <c r="D1219" s="519" t="s">
        <v>2562</v>
      </c>
      <c r="E1219" s="905" t="s">
        <v>2433</v>
      </c>
      <c r="F1219" s="905"/>
      <c r="G1219" s="521" t="s">
        <v>1901</v>
      </c>
      <c r="H1219" s="522">
        <v>1.9117999999999999</v>
      </c>
      <c r="I1219" s="523">
        <v>23.4</v>
      </c>
      <c r="J1219" s="523">
        <v>44.73</v>
      </c>
    </row>
    <row r="1220" spans="1:10" ht="25.5" thickBot="1" x14ac:dyDescent="0.35">
      <c r="A1220" s="519" t="s">
        <v>2434</v>
      </c>
      <c r="B1220" s="520" t="s">
        <v>3009</v>
      </c>
      <c r="C1220" s="519" t="s">
        <v>32</v>
      </c>
      <c r="D1220" s="519" t="s">
        <v>3010</v>
      </c>
      <c r="E1220" s="905" t="s">
        <v>2433</v>
      </c>
      <c r="F1220" s="905"/>
      <c r="G1220" s="521" t="s">
        <v>118</v>
      </c>
      <c r="H1220" s="522">
        <v>3.7199999999999997E-2</v>
      </c>
      <c r="I1220" s="523">
        <v>634.08000000000004</v>
      </c>
      <c r="J1220" s="523">
        <v>23.58</v>
      </c>
    </row>
    <row r="1221" spans="1:10" ht="14.5" thickTop="1" x14ac:dyDescent="0.3">
      <c r="A1221" s="647"/>
      <c r="B1221" s="647"/>
      <c r="C1221" s="647"/>
      <c r="D1221" s="647"/>
      <c r="E1221" s="647"/>
      <c r="F1221" s="647"/>
      <c r="G1221" s="647"/>
      <c r="H1221" s="647"/>
      <c r="I1221" s="647"/>
      <c r="J1221" s="647"/>
    </row>
    <row r="1222" spans="1:10" s="358" customFormat="1" x14ac:dyDescent="0.3">
      <c r="A1222" s="516"/>
      <c r="B1222" s="517" t="s">
        <v>15</v>
      </c>
      <c r="C1222" s="516" t="s">
        <v>16</v>
      </c>
      <c r="D1222" s="516" t="s">
        <v>17</v>
      </c>
      <c r="E1222" s="904" t="s">
        <v>2431</v>
      </c>
      <c r="F1222" s="904"/>
      <c r="G1222" s="518" t="s">
        <v>18</v>
      </c>
      <c r="H1222" s="517" t="s">
        <v>19</v>
      </c>
      <c r="I1222" s="517" t="s">
        <v>20</v>
      </c>
      <c r="J1222" s="517" t="s">
        <v>23</v>
      </c>
    </row>
    <row r="1223" spans="1:10" ht="38.25" customHeight="1" x14ac:dyDescent="0.3">
      <c r="A1223" s="642" t="s">
        <v>2432</v>
      </c>
      <c r="B1223" s="643" t="s">
        <v>414</v>
      </c>
      <c r="C1223" s="642" t="s">
        <v>32</v>
      </c>
      <c r="D1223" s="642" t="s">
        <v>415</v>
      </c>
      <c r="E1223" s="906" t="s">
        <v>2563</v>
      </c>
      <c r="F1223" s="906"/>
      <c r="G1223" s="644" t="s">
        <v>416</v>
      </c>
      <c r="H1223" s="645">
        <v>1</v>
      </c>
      <c r="I1223" s="646">
        <v>2.71</v>
      </c>
      <c r="J1223" s="646">
        <v>2.71</v>
      </c>
    </row>
    <row r="1224" spans="1:10" s="358" customFormat="1" ht="38.25" customHeight="1" x14ac:dyDescent="0.3">
      <c r="A1224" s="519" t="s">
        <v>2434</v>
      </c>
      <c r="B1224" s="520" t="s">
        <v>3011</v>
      </c>
      <c r="C1224" s="519" t="s">
        <v>32</v>
      </c>
      <c r="D1224" s="519" t="s">
        <v>3012</v>
      </c>
      <c r="E1224" s="905" t="s">
        <v>2465</v>
      </c>
      <c r="F1224" s="905"/>
      <c r="G1224" s="521" t="s">
        <v>103</v>
      </c>
      <c r="H1224" s="522">
        <v>9.2999999999999992E-3</v>
      </c>
      <c r="I1224" s="523">
        <v>261.58999999999997</v>
      </c>
      <c r="J1224" s="523">
        <v>2.4300000000000002</v>
      </c>
    </row>
    <row r="1225" spans="1:10" ht="50.5" thickBot="1" x14ac:dyDescent="0.35">
      <c r="A1225" s="519" t="s">
        <v>2434</v>
      </c>
      <c r="B1225" s="520" t="s">
        <v>3013</v>
      </c>
      <c r="C1225" s="519" t="s">
        <v>32</v>
      </c>
      <c r="D1225" s="519" t="s">
        <v>3014</v>
      </c>
      <c r="E1225" s="905" t="s">
        <v>2465</v>
      </c>
      <c r="F1225" s="905"/>
      <c r="G1225" s="521" t="s">
        <v>110</v>
      </c>
      <c r="H1225" s="522">
        <v>4.0000000000000001E-3</v>
      </c>
      <c r="I1225" s="523">
        <v>72.45</v>
      </c>
      <c r="J1225" s="523">
        <v>0.28000000000000003</v>
      </c>
    </row>
    <row r="1226" spans="1:10" ht="14.5" thickTop="1" x14ac:dyDescent="0.3">
      <c r="A1226" s="647"/>
      <c r="B1226" s="647"/>
      <c r="C1226" s="647"/>
      <c r="D1226" s="647"/>
      <c r="E1226" s="647"/>
      <c r="F1226" s="647"/>
      <c r="G1226" s="647"/>
      <c r="H1226" s="647"/>
      <c r="I1226" s="647"/>
      <c r="J1226" s="647"/>
    </row>
    <row r="1227" spans="1:10" x14ac:dyDescent="0.3">
      <c r="A1227" s="516"/>
      <c r="B1227" s="517" t="s">
        <v>15</v>
      </c>
      <c r="C1227" s="516" t="s">
        <v>16</v>
      </c>
      <c r="D1227" s="516" t="s">
        <v>17</v>
      </c>
      <c r="E1227" s="904" t="s">
        <v>2431</v>
      </c>
      <c r="F1227" s="904"/>
      <c r="G1227" s="518" t="s">
        <v>18</v>
      </c>
      <c r="H1227" s="517" t="s">
        <v>19</v>
      </c>
      <c r="I1227" s="517" t="s">
        <v>20</v>
      </c>
      <c r="J1227" s="517" t="s">
        <v>23</v>
      </c>
    </row>
    <row r="1228" spans="1:10" s="358" customFormat="1" ht="38.25" customHeight="1" x14ac:dyDescent="0.3">
      <c r="A1228" s="642" t="s">
        <v>2432</v>
      </c>
      <c r="B1228" s="643" t="s">
        <v>418</v>
      </c>
      <c r="C1228" s="642" t="s">
        <v>32</v>
      </c>
      <c r="D1228" s="642" t="s">
        <v>419</v>
      </c>
      <c r="E1228" s="906" t="s">
        <v>2563</v>
      </c>
      <c r="F1228" s="906"/>
      <c r="G1228" s="644" t="s">
        <v>381</v>
      </c>
      <c r="H1228" s="645">
        <v>1</v>
      </c>
      <c r="I1228" s="646">
        <v>44.31</v>
      </c>
      <c r="J1228" s="646">
        <v>44.31</v>
      </c>
    </row>
    <row r="1229" spans="1:10" ht="50" x14ac:dyDescent="0.3">
      <c r="A1229" s="519" t="s">
        <v>2434</v>
      </c>
      <c r="B1229" s="520" t="s">
        <v>3011</v>
      </c>
      <c r="C1229" s="519" t="s">
        <v>32</v>
      </c>
      <c r="D1229" s="519" t="s">
        <v>3012</v>
      </c>
      <c r="E1229" s="905" t="s">
        <v>2465</v>
      </c>
      <c r="F1229" s="905"/>
      <c r="G1229" s="521" t="s">
        <v>103</v>
      </c>
      <c r="H1229" s="522">
        <v>0.12330000000000001</v>
      </c>
      <c r="I1229" s="523">
        <v>261.58999999999997</v>
      </c>
      <c r="J1229" s="523">
        <v>32.25</v>
      </c>
    </row>
    <row r="1230" spans="1:10" s="358" customFormat="1" ht="38.25" customHeight="1" x14ac:dyDescent="0.3">
      <c r="A1230" s="519" t="s">
        <v>2434</v>
      </c>
      <c r="B1230" s="520" t="s">
        <v>3013</v>
      </c>
      <c r="C1230" s="519" t="s">
        <v>32</v>
      </c>
      <c r="D1230" s="519" t="s">
        <v>3014</v>
      </c>
      <c r="E1230" s="905" t="s">
        <v>2465</v>
      </c>
      <c r="F1230" s="905"/>
      <c r="G1230" s="521" t="s">
        <v>110</v>
      </c>
      <c r="H1230" s="522">
        <v>5.28E-2</v>
      </c>
      <c r="I1230" s="523">
        <v>72.45</v>
      </c>
      <c r="J1230" s="523">
        <v>3.82</v>
      </c>
    </row>
    <row r="1231" spans="1:10" ht="25.5" thickBot="1" x14ac:dyDescent="0.35">
      <c r="A1231" s="519" t="s">
        <v>2434</v>
      </c>
      <c r="B1231" s="520" t="s">
        <v>2561</v>
      </c>
      <c r="C1231" s="519" t="s">
        <v>32</v>
      </c>
      <c r="D1231" s="519" t="s">
        <v>2562</v>
      </c>
      <c r="E1231" s="905" t="s">
        <v>2433</v>
      </c>
      <c r="F1231" s="905"/>
      <c r="G1231" s="521" t="s">
        <v>1901</v>
      </c>
      <c r="H1231" s="522">
        <v>0.35220000000000001</v>
      </c>
      <c r="I1231" s="523">
        <v>23.4</v>
      </c>
      <c r="J1231" s="523">
        <v>8.24</v>
      </c>
    </row>
    <row r="1232" spans="1:10" ht="14.5" thickTop="1" x14ac:dyDescent="0.3">
      <c r="A1232" s="647"/>
      <c r="B1232" s="647"/>
      <c r="C1232" s="647"/>
      <c r="D1232" s="647"/>
      <c r="E1232" s="647"/>
      <c r="F1232" s="647"/>
      <c r="G1232" s="647"/>
      <c r="H1232" s="647"/>
      <c r="I1232" s="647"/>
      <c r="J1232" s="647"/>
    </row>
    <row r="1233" spans="1:10" x14ac:dyDescent="0.3">
      <c r="A1233" s="516"/>
      <c r="B1233" s="517" t="s">
        <v>15</v>
      </c>
      <c r="C1233" s="516" t="s">
        <v>16</v>
      </c>
      <c r="D1233" s="516" t="s">
        <v>17</v>
      </c>
      <c r="E1233" s="904" t="s">
        <v>2431</v>
      </c>
      <c r="F1233" s="904"/>
      <c r="G1233" s="518" t="s">
        <v>18</v>
      </c>
      <c r="H1233" s="517" t="s">
        <v>19</v>
      </c>
      <c r="I1233" s="517" t="s">
        <v>20</v>
      </c>
      <c r="J1233" s="517" t="s">
        <v>23</v>
      </c>
    </row>
    <row r="1234" spans="1:10" s="358" customFormat="1" ht="38.25" customHeight="1" x14ac:dyDescent="0.3">
      <c r="A1234" s="642" t="s">
        <v>2432</v>
      </c>
      <c r="B1234" s="643" t="s">
        <v>424</v>
      </c>
      <c r="C1234" s="642" t="s">
        <v>32</v>
      </c>
      <c r="D1234" s="642" t="s">
        <v>425</v>
      </c>
      <c r="E1234" s="906" t="s">
        <v>2563</v>
      </c>
      <c r="F1234" s="906"/>
      <c r="G1234" s="644" t="s">
        <v>381</v>
      </c>
      <c r="H1234" s="645">
        <v>1</v>
      </c>
      <c r="I1234" s="646">
        <v>26.01</v>
      </c>
      <c r="J1234" s="646">
        <v>26.01</v>
      </c>
    </row>
    <row r="1235" spans="1:10" ht="50" x14ac:dyDescent="0.3">
      <c r="A1235" s="519" t="s">
        <v>2434</v>
      </c>
      <c r="B1235" s="520" t="s">
        <v>3011</v>
      </c>
      <c r="C1235" s="519" t="s">
        <v>32</v>
      </c>
      <c r="D1235" s="519" t="s">
        <v>3012</v>
      </c>
      <c r="E1235" s="905" t="s">
        <v>2465</v>
      </c>
      <c r="F1235" s="905"/>
      <c r="G1235" s="521" t="s">
        <v>103</v>
      </c>
      <c r="H1235" s="522">
        <v>7.2400000000000006E-2</v>
      </c>
      <c r="I1235" s="523">
        <v>261.58999999999997</v>
      </c>
      <c r="J1235" s="523">
        <v>18.93</v>
      </c>
    </row>
    <row r="1236" spans="1:10" s="358" customFormat="1" ht="38.25" customHeight="1" x14ac:dyDescent="0.3">
      <c r="A1236" s="519" t="s">
        <v>2434</v>
      </c>
      <c r="B1236" s="520" t="s">
        <v>3013</v>
      </c>
      <c r="C1236" s="519" t="s">
        <v>32</v>
      </c>
      <c r="D1236" s="519" t="s">
        <v>3014</v>
      </c>
      <c r="E1236" s="905" t="s">
        <v>2465</v>
      </c>
      <c r="F1236" s="905"/>
      <c r="G1236" s="521" t="s">
        <v>110</v>
      </c>
      <c r="H1236" s="522">
        <v>3.1E-2</v>
      </c>
      <c r="I1236" s="523">
        <v>72.45</v>
      </c>
      <c r="J1236" s="523">
        <v>2.2400000000000002</v>
      </c>
    </row>
    <row r="1237" spans="1:10" ht="25.5" thickBot="1" x14ac:dyDescent="0.35">
      <c r="A1237" s="519" t="s">
        <v>2434</v>
      </c>
      <c r="B1237" s="520" t="s">
        <v>2561</v>
      </c>
      <c r="C1237" s="519" t="s">
        <v>32</v>
      </c>
      <c r="D1237" s="519" t="s">
        <v>2562</v>
      </c>
      <c r="E1237" s="905" t="s">
        <v>2433</v>
      </c>
      <c r="F1237" s="905"/>
      <c r="G1237" s="521" t="s">
        <v>1901</v>
      </c>
      <c r="H1237" s="522">
        <v>0.2069</v>
      </c>
      <c r="I1237" s="523">
        <v>23.4</v>
      </c>
      <c r="J1237" s="523">
        <v>4.84</v>
      </c>
    </row>
    <row r="1238" spans="1:10" ht="14.5" thickTop="1" x14ac:dyDescent="0.3">
      <c r="A1238" s="647"/>
      <c r="B1238" s="647"/>
      <c r="C1238" s="647"/>
      <c r="D1238" s="647"/>
      <c r="E1238" s="647"/>
      <c r="F1238" s="647"/>
      <c r="G1238" s="647"/>
      <c r="H1238" s="647"/>
      <c r="I1238" s="647"/>
      <c r="J1238" s="647"/>
    </row>
    <row r="1239" spans="1:10" x14ac:dyDescent="0.3">
      <c r="A1239" s="516"/>
      <c r="B1239" s="517" t="s">
        <v>15</v>
      </c>
      <c r="C1239" s="516" t="s">
        <v>16</v>
      </c>
      <c r="D1239" s="516" t="s">
        <v>17</v>
      </c>
      <c r="E1239" s="904" t="s">
        <v>2431</v>
      </c>
      <c r="F1239" s="904"/>
      <c r="G1239" s="518" t="s">
        <v>18</v>
      </c>
      <c r="H1239" s="517" t="s">
        <v>19</v>
      </c>
      <c r="I1239" s="517" t="s">
        <v>20</v>
      </c>
      <c r="J1239" s="517" t="s">
        <v>23</v>
      </c>
    </row>
    <row r="1240" spans="1:10" s="358" customFormat="1" ht="38.25" customHeight="1" x14ac:dyDescent="0.3">
      <c r="A1240" s="642" t="s">
        <v>2432</v>
      </c>
      <c r="B1240" s="643" t="s">
        <v>430</v>
      </c>
      <c r="C1240" s="642" t="s">
        <v>32</v>
      </c>
      <c r="D1240" s="642" t="s">
        <v>431</v>
      </c>
      <c r="E1240" s="906" t="s">
        <v>2563</v>
      </c>
      <c r="F1240" s="906"/>
      <c r="G1240" s="644" t="s">
        <v>381</v>
      </c>
      <c r="H1240" s="645">
        <v>1</v>
      </c>
      <c r="I1240" s="646">
        <v>17.7</v>
      </c>
      <c r="J1240" s="646">
        <v>17.7</v>
      </c>
    </row>
    <row r="1241" spans="1:10" ht="50" x14ac:dyDescent="0.3">
      <c r="A1241" s="519" t="s">
        <v>2434</v>
      </c>
      <c r="B1241" s="520" t="s">
        <v>3011</v>
      </c>
      <c r="C1241" s="519" t="s">
        <v>32</v>
      </c>
      <c r="D1241" s="519" t="s">
        <v>3012</v>
      </c>
      <c r="E1241" s="905" t="s">
        <v>2465</v>
      </c>
      <c r="F1241" s="905"/>
      <c r="G1241" s="521" t="s">
        <v>103</v>
      </c>
      <c r="H1241" s="522">
        <v>4.9299999999999997E-2</v>
      </c>
      <c r="I1241" s="523">
        <v>261.58999999999997</v>
      </c>
      <c r="J1241" s="523">
        <v>12.89</v>
      </c>
    </row>
    <row r="1242" spans="1:10" s="358" customFormat="1" ht="25.5" customHeight="1" x14ac:dyDescent="0.3">
      <c r="A1242" s="519" t="s">
        <v>2434</v>
      </c>
      <c r="B1242" s="520" t="s">
        <v>3013</v>
      </c>
      <c r="C1242" s="519" t="s">
        <v>32</v>
      </c>
      <c r="D1242" s="519" t="s">
        <v>3014</v>
      </c>
      <c r="E1242" s="905" t="s">
        <v>2465</v>
      </c>
      <c r="F1242" s="905"/>
      <c r="G1242" s="521" t="s">
        <v>110</v>
      </c>
      <c r="H1242" s="522">
        <v>2.1100000000000001E-2</v>
      </c>
      <c r="I1242" s="523">
        <v>72.45</v>
      </c>
      <c r="J1242" s="523">
        <v>1.52</v>
      </c>
    </row>
    <row r="1243" spans="1:10" ht="38.25" customHeight="1" thickBot="1" x14ac:dyDescent="0.35">
      <c r="A1243" s="519" t="s">
        <v>2434</v>
      </c>
      <c r="B1243" s="520" t="s">
        <v>2561</v>
      </c>
      <c r="C1243" s="519" t="s">
        <v>32</v>
      </c>
      <c r="D1243" s="519" t="s">
        <v>2562</v>
      </c>
      <c r="E1243" s="905" t="s">
        <v>2433</v>
      </c>
      <c r="F1243" s="905"/>
      <c r="G1243" s="521" t="s">
        <v>1901</v>
      </c>
      <c r="H1243" s="522">
        <v>0.14099999999999999</v>
      </c>
      <c r="I1243" s="523">
        <v>23.4</v>
      </c>
      <c r="J1243" s="523">
        <v>3.29</v>
      </c>
    </row>
    <row r="1244" spans="1:10" ht="14.5" thickTop="1" x14ac:dyDescent="0.3">
      <c r="A1244" s="647"/>
      <c r="B1244" s="647"/>
      <c r="C1244" s="647"/>
      <c r="D1244" s="647"/>
      <c r="E1244" s="647"/>
      <c r="F1244" s="647"/>
      <c r="G1244" s="647"/>
      <c r="H1244" s="647"/>
      <c r="I1244" s="647"/>
      <c r="J1244" s="647"/>
    </row>
    <row r="1245" spans="1:10" s="358" customFormat="1" x14ac:dyDescent="0.3">
      <c r="A1245" s="516"/>
      <c r="B1245" s="517" t="s">
        <v>15</v>
      </c>
      <c r="C1245" s="516" t="s">
        <v>16</v>
      </c>
      <c r="D1245" s="516" t="s">
        <v>17</v>
      </c>
      <c r="E1245" s="904" t="s">
        <v>2431</v>
      </c>
      <c r="F1245" s="904"/>
      <c r="G1245" s="518" t="s">
        <v>18</v>
      </c>
      <c r="H1245" s="517" t="s">
        <v>19</v>
      </c>
      <c r="I1245" s="517" t="s">
        <v>20</v>
      </c>
      <c r="J1245" s="517" t="s">
        <v>23</v>
      </c>
    </row>
    <row r="1246" spans="1:10" ht="38.25" customHeight="1" x14ac:dyDescent="0.3">
      <c r="A1246" s="642" t="s">
        <v>2432</v>
      </c>
      <c r="B1246" s="643" t="s">
        <v>439</v>
      </c>
      <c r="C1246" s="642" t="s">
        <v>32</v>
      </c>
      <c r="D1246" s="642" t="s">
        <v>440</v>
      </c>
      <c r="E1246" s="906" t="s">
        <v>2563</v>
      </c>
      <c r="F1246" s="906"/>
      <c r="G1246" s="644" t="s">
        <v>381</v>
      </c>
      <c r="H1246" s="645">
        <v>1</v>
      </c>
      <c r="I1246" s="646">
        <v>16.190000000000001</v>
      </c>
      <c r="J1246" s="646">
        <v>16.190000000000001</v>
      </c>
    </row>
    <row r="1247" spans="1:10" s="358" customFormat="1" ht="50" x14ac:dyDescent="0.3">
      <c r="A1247" s="519" t="s">
        <v>2434</v>
      </c>
      <c r="B1247" s="520" t="s">
        <v>3011</v>
      </c>
      <c r="C1247" s="519" t="s">
        <v>32</v>
      </c>
      <c r="D1247" s="519" t="s">
        <v>3012</v>
      </c>
      <c r="E1247" s="905" t="s">
        <v>2465</v>
      </c>
      <c r="F1247" s="905"/>
      <c r="G1247" s="521" t="s">
        <v>103</v>
      </c>
      <c r="H1247" s="522">
        <v>4.5100000000000001E-2</v>
      </c>
      <c r="I1247" s="523">
        <v>261.58999999999997</v>
      </c>
      <c r="J1247" s="523">
        <v>11.79</v>
      </c>
    </row>
    <row r="1248" spans="1:10" ht="50" x14ac:dyDescent="0.3">
      <c r="A1248" s="519" t="s">
        <v>2434</v>
      </c>
      <c r="B1248" s="520" t="s">
        <v>3013</v>
      </c>
      <c r="C1248" s="519" t="s">
        <v>32</v>
      </c>
      <c r="D1248" s="519" t="s">
        <v>3014</v>
      </c>
      <c r="E1248" s="905" t="s">
        <v>2465</v>
      </c>
      <c r="F1248" s="905"/>
      <c r="G1248" s="521" t="s">
        <v>110</v>
      </c>
      <c r="H1248" s="522">
        <v>1.9300000000000001E-2</v>
      </c>
      <c r="I1248" s="523">
        <v>72.45</v>
      </c>
      <c r="J1248" s="523">
        <v>1.39</v>
      </c>
    </row>
    <row r="1249" spans="1:10" ht="25.5" thickBot="1" x14ac:dyDescent="0.35">
      <c r="A1249" s="519" t="s">
        <v>2434</v>
      </c>
      <c r="B1249" s="520" t="s">
        <v>2561</v>
      </c>
      <c r="C1249" s="519" t="s">
        <v>32</v>
      </c>
      <c r="D1249" s="519" t="s">
        <v>2562</v>
      </c>
      <c r="E1249" s="905" t="s">
        <v>2433</v>
      </c>
      <c r="F1249" s="905"/>
      <c r="G1249" s="521" t="s">
        <v>1901</v>
      </c>
      <c r="H1249" s="522">
        <v>0.12889999999999999</v>
      </c>
      <c r="I1249" s="523">
        <v>23.4</v>
      </c>
      <c r="J1249" s="523">
        <v>3.01</v>
      </c>
    </row>
    <row r="1250" spans="1:10" ht="14.5" thickTop="1" x14ac:dyDescent="0.3">
      <c r="A1250" s="647"/>
      <c r="B1250" s="647"/>
      <c r="C1250" s="647"/>
      <c r="D1250" s="647"/>
      <c r="E1250" s="647"/>
      <c r="F1250" s="647"/>
      <c r="G1250" s="647"/>
      <c r="H1250" s="647"/>
      <c r="I1250" s="647"/>
      <c r="J1250" s="647"/>
    </row>
    <row r="1251" spans="1:10" x14ac:dyDescent="0.3">
      <c r="A1251" s="516"/>
      <c r="B1251" s="517" t="s">
        <v>15</v>
      </c>
      <c r="C1251" s="516" t="s">
        <v>16</v>
      </c>
      <c r="D1251" s="516" t="s">
        <v>17</v>
      </c>
      <c r="E1251" s="904" t="s">
        <v>2431</v>
      </c>
      <c r="F1251" s="904"/>
      <c r="G1251" s="518" t="s">
        <v>18</v>
      </c>
      <c r="H1251" s="517" t="s">
        <v>19</v>
      </c>
      <c r="I1251" s="517" t="s">
        <v>20</v>
      </c>
      <c r="J1251" s="517" t="s">
        <v>23</v>
      </c>
    </row>
    <row r="1252" spans="1:10" ht="25.5" customHeight="1" x14ac:dyDescent="0.3">
      <c r="A1252" s="642" t="s">
        <v>2432</v>
      </c>
      <c r="B1252" s="643" t="s">
        <v>445</v>
      </c>
      <c r="C1252" s="642" t="s">
        <v>446</v>
      </c>
      <c r="D1252" s="642" t="s">
        <v>769</v>
      </c>
      <c r="E1252" s="906" t="s">
        <v>3015</v>
      </c>
      <c r="F1252" s="906"/>
      <c r="G1252" s="644" t="s">
        <v>381</v>
      </c>
      <c r="H1252" s="645">
        <v>1</v>
      </c>
      <c r="I1252" s="646">
        <v>94.99</v>
      </c>
      <c r="J1252" s="646">
        <v>94.99</v>
      </c>
    </row>
    <row r="1253" spans="1:10" ht="38.25" customHeight="1" x14ac:dyDescent="0.3">
      <c r="A1253" s="519" t="s">
        <v>2434</v>
      </c>
      <c r="B1253" s="520" t="s">
        <v>3016</v>
      </c>
      <c r="C1253" s="519" t="s">
        <v>32</v>
      </c>
      <c r="D1253" s="519" t="s">
        <v>3017</v>
      </c>
      <c r="E1253" s="905" t="s">
        <v>2465</v>
      </c>
      <c r="F1253" s="905"/>
      <c r="G1253" s="521" t="s">
        <v>103</v>
      </c>
      <c r="H1253" s="522">
        <v>0.4</v>
      </c>
      <c r="I1253" s="523">
        <v>214.09</v>
      </c>
      <c r="J1253" s="523">
        <v>85.63</v>
      </c>
    </row>
    <row r="1254" spans="1:10" ht="25.5" thickBot="1" x14ac:dyDescent="0.35">
      <c r="A1254" s="519" t="s">
        <v>2434</v>
      </c>
      <c r="B1254" s="520" t="s">
        <v>2561</v>
      </c>
      <c r="C1254" s="519" t="s">
        <v>32</v>
      </c>
      <c r="D1254" s="519" t="s">
        <v>2562</v>
      </c>
      <c r="E1254" s="905" t="s">
        <v>2433</v>
      </c>
      <c r="F1254" s="905"/>
      <c r="G1254" s="521" t="s">
        <v>1901</v>
      </c>
      <c r="H1254" s="522">
        <v>0.4</v>
      </c>
      <c r="I1254" s="523">
        <v>23.4</v>
      </c>
      <c r="J1254" s="523">
        <v>9.36</v>
      </c>
    </row>
    <row r="1255" spans="1:10" ht="14.5" thickTop="1" x14ac:dyDescent="0.3">
      <c r="A1255" s="647"/>
      <c r="B1255" s="647"/>
      <c r="C1255" s="647"/>
      <c r="D1255" s="647"/>
      <c r="E1255" s="647"/>
      <c r="F1255" s="647"/>
      <c r="G1255" s="647"/>
      <c r="H1255" s="647"/>
      <c r="I1255" s="647"/>
      <c r="J1255" s="647"/>
    </row>
    <row r="1256" spans="1:10" x14ac:dyDescent="0.3">
      <c r="A1256" s="516"/>
      <c r="B1256" s="517" t="s">
        <v>15</v>
      </c>
      <c r="C1256" s="516" t="s">
        <v>16</v>
      </c>
      <c r="D1256" s="516" t="s">
        <v>17</v>
      </c>
      <c r="E1256" s="904" t="s">
        <v>2431</v>
      </c>
      <c r="F1256" s="904"/>
      <c r="G1256" s="518" t="s">
        <v>18</v>
      </c>
      <c r="H1256" s="517" t="s">
        <v>19</v>
      </c>
      <c r="I1256" s="517" t="s">
        <v>20</v>
      </c>
      <c r="J1256" s="517" t="s">
        <v>23</v>
      </c>
    </row>
    <row r="1257" spans="1:10" s="358" customFormat="1" ht="37.5" x14ac:dyDescent="0.3">
      <c r="A1257" s="642" t="s">
        <v>2432</v>
      </c>
      <c r="B1257" s="643" t="s">
        <v>456</v>
      </c>
      <c r="C1257" s="642" t="s">
        <v>197</v>
      </c>
      <c r="D1257" s="642" t="s">
        <v>4502</v>
      </c>
      <c r="E1257" s="906" t="s">
        <v>1328</v>
      </c>
      <c r="F1257" s="906"/>
      <c r="G1257" s="644" t="s">
        <v>89</v>
      </c>
      <c r="H1257" s="645">
        <v>1</v>
      </c>
      <c r="I1257" s="646">
        <v>7.15</v>
      </c>
      <c r="J1257" s="646">
        <v>7.15</v>
      </c>
    </row>
    <row r="1258" spans="1:10" ht="25" x14ac:dyDescent="0.3">
      <c r="A1258" s="519" t="s">
        <v>2434</v>
      </c>
      <c r="B1258" s="520" t="s">
        <v>2561</v>
      </c>
      <c r="C1258" s="519" t="s">
        <v>32</v>
      </c>
      <c r="D1258" s="519" t="s">
        <v>2562</v>
      </c>
      <c r="E1258" s="905" t="s">
        <v>2433</v>
      </c>
      <c r="F1258" s="905"/>
      <c r="G1258" s="521" t="s">
        <v>1901</v>
      </c>
      <c r="H1258" s="522">
        <v>1.2500000000000001E-2</v>
      </c>
      <c r="I1258" s="523">
        <v>23.4</v>
      </c>
      <c r="J1258" s="523">
        <v>0.28999999999999998</v>
      </c>
    </row>
    <row r="1259" spans="1:10" s="358" customFormat="1" ht="25" x14ac:dyDescent="0.3">
      <c r="A1259" s="519" t="s">
        <v>2434</v>
      </c>
      <c r="B1259" s="520" t="s">
        <v>3018</v>
      </c>
      <c r="C1259" s="519" t="s">
        <v>32</v>
      </c>
      <c r="D1259" s="519" t="s">
        <v>3019</v>
      </c>
      <c r="E1259" s="905" t="s">
        <v>2433</v>
      </c>
      <c r="F1259" s="905"/>
      <c r="G1259" s="521" t="s">
        <v>1901</v>
      </c>
      <c r="H1259" s="522">
        <v>2E-3</v>
      </c>
      <c r="I1259" s="523">
        <v>29.49</v>
      </c>
      <c r="J1259" s="523">
        <v>0.05</v>
      </c>
    </row>
    <row r="1260" spans="1:10" ht="25.5" customHeight="1" x14ac:dyDescent="0.3">
      <c r="A1260" s="519" t="s">
        <v>2434</v>
      </c>
      <c r="B1260" s="520" t="s">
        <v>2757</v>
      </c>
      <c r="C1260" s="519" t="s">
        <v>32</v>
      </c>
      <c r="D1260" s="519" t="s">
        <v>2758</v>
      </c>
      <c r="E1260" s="905" t="s">
        <v>2433</v>
      </c>
      <c r="F1260" s="905"/>
      <c r="G1260" s="521" t="s">
        <v>1901</v>
      </c>
      <c r="H1260" s="522">
        <v>7.4999999999999997E-3</v>
      </c>
      <c r="I1260" s="523">
        <v>31.1</v>
      </c>
      <c r="J1260" s="523">
        <v>0.23</v>
      </c>
    </row>
    <row r="1261" spans="1:10" ht="25.5" customHeight="1" x14ac:dyDescent="0.3">
      <c r="A1261" s="519" t="s">
        <v>2434</v>
      </c>
      <c r="B1261" s="520" t="s">
        <v>3020</v>
      </c>
      <c r="C1261" s="519" t="s">
        <v>32</v>
      </c>
      <c r="D1261" s="519" t="s">
        <v>3021</v>
      </c>
      <c r="E1261" s="905" t="s">
        <v>2433</v>
      </c>
      <c r="F1261" s="905"/>
      <c r="G1261" s="521" t="s">
        <v>1901</v>
      </c>
      <c r="H1261" s="522">
        <v>4.0000000000000001E-3</v>
      </c>
      <c r="I1261" s="523">
        <v>32.58</v>
      </c>
      <c r="J1261" s="523">
        <v>0.13</v>
      </c>
    </row>
    <row r="1262" spans="1:10" ht="37.5" x14ac:dyDescent="0.3">
      <c r="A1262" s="519" t="s">
        <v>2434</v>
      </c>
      <c r="B1262" s="520" t="s">
        <v>3022</v>
      </c>
      <c r="C1262" s="519" t="s">
        <v>32</v>
      </c>
      <c r="D1262" s="519" t="s">
        <v>3023</v>
      </c>
      <c r="E1262" s="905" t="s">
        <v>2617</v>
      </c>
      <c r="F1262" s="905"/>
      <c r="G1262" s="521" t="s">
        <v>118</v>
      </c>
      <c r="H1262" s="522">
        <v>5.8609999999999999E-3</v>
      </c>
      <c r="I1262" s="523">
        <v>817.03</v>
      </c>
      <c r="J1262" s="523">
        <v>4.78</v>
      </c>
    </row>
    <row r="1263" spans="1:10" s="358" customFormat="1" ht="25" x14ac:dyDescent="0.3">
      <c r="A1263" s="519" t="s">
        <v>2437</v>
      </c>
      <c r="B1263" s="520" t="s">
        <v>4503</v>
      </c>
      <c r="C1263" s="519" t="s">
        <v>32</v>
      </c>
      <c r="D1263" s="519" t="s">
        <v>4504</v>
      </c>
      <c r="E1263" s="905" t="s">
        <v>2442</v>
      </c>
      <c r="F1263" s="905"/>
      <c r="G1263" s="521" t="s">
        <v>1369</v>
      </c>
      <c r="H1263" s="522">
        <v>6.2000000000000006E-2</v>
      </c>
      <c r="I1263" s="523">
        <v>10.46</v>
      </c>
      <c r="J1263" s="523">
        <v>0.64</v>
      </c>
    </row>
    <row r="1264" spans="1:10" ht="25" x14ac:dyDescent="0.3">
      <c r="A1264" s="519" t="s">
        <v>2437</v>
      </c>
      <c r="B1264" s="520" t="s">
        <v>2622</v>
      </c>
      <c r="C1264" s="519" t="s">
        <v>32</v>
      </c>
      <c r="D1264" s="519" t="s">
        <v>2623</v>
      </c>
      <c r="E1264" s="905" t="s">
        <v>2442</v>
      </c>
      <c r="F1264" s="905"/>
      <c r="G1264" s="521" t="s">
        <v>194</v>
      </c>
      <c r="H1264" s="522">
        <v>7.0400000000000004E-2</v>
      </c>
      <c r="I1264" s="523">
        <v>7.78</v>
      </c>
      <c r="J1264" s="523">
        <v>0.54</v>
      </c>
    </row>
    <row r="1265" spans="1:10" s="358" customFormat="1" ht="25" x14ac:dyDescent="0.3">
      <c r="A1265" s="519" t="s">
        <v>2437</v>
      </c>
      <c r="B1265" s="520" t="s">
        <v>3024</v>
      </c>
      <c r="C1265" s="519" t="s">
        <v>32</v>
      </c>
      <c r="D1265" s="519" t="s">
        <v>3025</v>
      </c>
      <c r="E1265" s="905" t="s">
        <v>2442</v>
      </c>
      <c r="F1265" s="905"/>
      <c r="G1265" s="521" t="s">
        <v>89</v>
      </c>
      <c r="H1265" s="522">
        <v>0.04</v>
      </c>
      <c r="I1265" s="523">
        <v>5.04</v>
      </c>
      <c r="J1265" s="523">
        <v>0.2</v>
      </c>
    </row>
    <row r="1266" spans="1:10" ht="25.5" customHeight="1" thickBot="1" x14ac:dyDescent="0.35">
      <c r="A1266" s="519" t="s">
        <v>2437</v>
      </c>
      <c r="B1266" s="520" t="s">
        <v>3026</v>
      </c>
      <c r="C1266" s="519" t="s">
        <v>32</v>
      </c>
      <c r="D1266" s="519" t="s">
        <v>3027</v>
      </c>
      <c r="E1266" s="905" t="s">
        <v>2442</v>
      </c>
      <c r="F1266" s="905"/>
      <c r="G1266" s="521" t="s">
        <v>2900</v>
      </c>
      <c r="H1266" s="522">
        <v>6.5000000000000006E-3</v>
      </c>
      <c r="I1266" s="523">
        <v>45.88</v>
      </c>
      <c r="J1266" s="523">
        <v>0.28999999999999998</v>
      </c>
    </row>
    <row r="1267" spans="1:10" ht="25.5" customHeight="1" thickTop="1" x14ac:dyDescent="0.3">
      <c r="A1267" s="647"/>
      <c r="B1267" s="647"/>
      <c r="C1267" s="647"/>
      <c r="D1267" s="647"/>
      <c r="E1267" s="647"/>
      <c r="F1267" s="647"/>
      <c r="G1267" s="647"/>
      <c r="H1267" s="647"/>
      <c r="I1267" s="647"/>
      <c r="J1267" s="647"/>
    </row>
    <row r="1268" spans="1:10" x14ac:dyDescent="0.3">
      <c r="A1268" s="516"/>
      <c r="B1268" s="517" t="s">
        <v>15</v>
      </c>
      <c r="C1268" s="516" t="s">
        <v>16</v>
      </c>
      <c r="D1268" s="516" t="s">
        <v>17</v>
      </c>
      <c r="E1268" s="904" t="s">
        <v>2431</v>
      </c>
      <c r="F1268" s="904"/>
      <c r="G1268" s="518" t="s">
        <v>18</v>
      </c>
      <c r="H1268" s="517" t="s">
        <v>19</v>
      </c>
      <c r="I1268" s="517" t="s">
        <v>20</v>
      </c>
      <c r="J1268" s="517" t="s">
        <v>23</v>
      </c>
    </row>
    <row r="1269" spans="1:10" s="358" customFormat="1" ht="50" x14ac:dyDescent="0.3">
      <c r="A1269" s="642" t="s">
        <v>2432</v>
      </c>
      <c r="B1269" s="643" t="s">
        <v>460</v>
      </c>
      <c r="C1269" s="642" t="s">
        <v>32</v>
      </c>
      <c r="D1269" s="642" t="s">
        <v>4436</v>
      </c>
      <c r="E1269" s="906" t="s">
        <v>2706</v>
      </c>
      <c r="F1269" s="906"/>
      <c r="G1269" s="644" t="s">
        <v>118</v>
      </c>
      <c r="H1269" s="645">
        <v>1</v>
      </c>
      <c r="I1269" s="646">
        <v>13.71</v>
      </c>
      <c r="J1269" s="646">
        <v>13.71</v>
      </c>
    </row>
    <row r="1270" spans="1:10" ht="25.5" customHeight="1" x14ac:dyDescent="0.3">
      <c r="A1270" s="519" t="s">
        <v>2434</v>
      </c>
      <c r="B1270" s="520" t="s">
        <v>2564</v>
      </c>
      <c r="C1270" s="519" t="s">
        <v>32</v>
      </c>
      <c r="D1270" s="519" t="s">
        <v>2565</v>
      </c>
      <c r="E1270" s="905" t="s">
        <v>2465</v>
      </c>
      <c r="F1270" s="905"/>
      <c r="G1270" s="521" t="s">
        <v>103</v>
      </c>
      <c r="H1270" s="522">
        <v>4.3485900000000001E-2</v>
      </c>
      <c r="I1270" s="523">
        <v>204.43</v>
      </c>
      <c r="J1270" s="523">
        <v>8.8800000000000008</v>
      </c>
    </row>
    <row r="1271" spans="1:10" s="358" customFormat="1" ht="25.5" customHeight="1" x14ac:dyDescent="0.3">
      <c r="A1271" s="519" t="s">
        <v>2434</v>
      </c>
      <c r="B1271" s="520" t="s">
        <v>2566</v>
      </c>
      <c r="C1271" s="519" t="s">
        <v>32</v>
      </c>
      <c r="D1271" s="519" t="s">
        <v>2567</v>
      </c>
      <c r="E1271" s="905" t="s">
        <v>2465</v>
      </c>
      <c r="F1271" s="905"/>
      <c r="G1271" s="521" t="s">
        <v>110</v>
      </c>
      <c r="H1271" s="522">
        <v>3.4254199999999999E-2</v>
      </c>
      <c r="I1271" s="523">
        <v>88.26</v>
      </c>
      <c r="J1271" s="523">
        <v>3.02</v>
      </c>
    </row>
    <row r="1272" spans="1:10" ht="25.5" customHeight="1" thickBot="1" x14ac:dyDescent="0.35">
      <c r="A1272" s="519" t="s">
        <v>2434</v>
      </c>
      <c r="B1272" s="520" t="s">
        <v>2561</v>
      </c>
      <c r="C1272" s="519" t="s">
        <v>32</v>
      </c>
      <c r="D1272" s="519" t="s">
        <v>2562</v>
      </c>
      <c r="E1272" s="905" t="s">
        <v>2433</v>
      </c>
      <c r="F1272" s="905"/>
      <c r="G1272" s="521" t="s">
        <v>1901</v>
      </c>
      <c r="H1272" s="522">
        <v>7.7740100000000006E-2</v>
      </c>
      <c r="I1272" s="523">
        <v>23.4</v>
      </c>
      <c r="J1272" s="523">
        <v>1.81</v>
      </c>
    </row>
    <row r="1273" spans="1:10" ht="25.5" customHeight="1" thickTop="1" x14ac:dyDescent="0.3">
      <c r="A1273" s="647"/>
      <c r="B1273" s="647"/>
      <c r="C1273" s="647"/>
      <c r="D1273" s="647"/>
      <c r="E1273" s="647"/>
      <c r="F1273" s="647"/>
      <c r="G1273" s="647"/>
      <c r="H1273" s="647"/>
      <c r="I1273" s="647"/>
      <c r="J1273" s="647"/>
    </row>
    <row r="1274" spans="1:10" x14ac:dyDescent="0.3">
      <c r="A1274" s="516"/>
      <c r="B1274" s="517" t="s">
        <v>15</v>
      </c>
      <c r="C1274" s="516" t="s">
        <v>16</v>
      </c>
      <c r="D1274" s="516" t="s">
        <v>17</v>
      </c>
      <c r="E1274" s="904" t="s">
        <v>2431</v>
      </c>
      <c r="F1274" s="904"/>
      <c r="G1274" s="518" t="s">
        <v>18</v>
      </c>
      <c r="H1274" s="517" t="s">
        <v>19</v>
      </c>
      <c r="I1274" s="517" t="s">
        <v>20</v>
      </c>
      <c r="J1274" s="517" t="s">
        <v>23</v>
      </c>
    </row>
    <row r="1275" spans="1:10" s="358" customFormat="1" ht="50" x14ac:dyDescent="0.3">
      <c r="A1275" s="642" t="s">
        <v>2432</v>
      </c>
      <c r="B1275" s="643" t="s">
        <v>464</v>
      </c>
      <c r="C1275" s="642" t="s">
        <v>32</v>
      </c>
      <c r="D1275" s="642" t="s">
        <v>4437</v>
      </c>
      <c r="E1275" s="906" t="s">
        <v>2706</v>
      </c>
      <c r="F1275" s="906"/>
      <c r="G1275" s="644" t="s">
        <v>118</v>
      </c>
      <c r="H1275" s="645">
        <v>1</v>
      </c>
      <c r="I1275" s="646">
        <v>11.17</v>
      </c>
      <c r="J1275" s="646">
        <v>11.17</v>
      </c>
    </row>
    <row r="1276" spans="1:10" ht="25.5" customHeight="1" x14ac:dyDescent="0.3">
      <c r="A1276" s="519" t="s">
        <v>2434</v>
      </c>
      <c r="B1276" s="520" t="s">
        <v>2564</v>
      </c>
      <c r="C1276" s="519" t="s">
        <v>32</v>
      </c>
      <c r="D1276" s="519" t="s">
        <v>2565</v>
      </c>
      <c r="E1276" s="905" t="s">
        <v>2465</v>
      </c>
      <c r="F1276" s="905"/>
      <c r="G1276" s="521" t="s">
        <v>103</v>
      </c>
      <c r="H1276" s="522">
        <v>3.5387599999999998E-2</v>
      </c>
      <c r="I1276" s="523">
        <v>204.43</v>
      </c>
      <c r="J1276" s="523">
        <v>7.23</v>
      </c>
    </row>
    <row r="1277" spans="1:10" s="358" customFormat="1" ht="25.5" customHeight="1" x14ac:dyDescent="0.3">
      <c r="A1277" s="519" t="s">
        <v>2434</v>
      </c>
      <c r="B1277" s="520" t="s">
        <v>2566</v>
      </c>
      <c r="C1277" s="519" t="s">
        <v>32</v>
      </c>
      <c r="D1277" s="519" t="s">
        <v>2567</v>
      </c>
      <c r="E1277" s="905" t="s">
        <v>2465</v>
      </c>
      <c r="F1277" s="905"/>
      <c r="G1277" s="521" t="s">
        <v>110</v>
      </c>
      <c r="H1277" s="522">
        <v>2.7875199999999999E-2</v>
      </c>
      <c r="I1277" s="523">
        <v>88.26</v>
      </c>
      <c r="J1277" s="523">
        <v>2.46</v>
      </c>
    </row>
    <row r="1278" spans="1:10" ht="25.5" thickBot="1" x14ac:dyDescent="0.35">
      <c r="A1278" s="519" t="s">
        <v>2434</v>
      </c>
      <c r="B1278" s="520" t="s">
        <v>2561</v>
      </c>
      <c r="C1278" s="519" t="s">
        <v>32</v>
      </c>
      <c r="D1278" s="519" t="s">
        <v>2562</v>
      </c>
      <c r="E1278" s="905" t="s">
        <v>2433</v>
      </c>
      <c r="F1278" s="905"/>
      <c r="G1278" s="521" t="s">
        <v>1901</v>
      </c>
      <c r="H1278" s="522">
        <v>6.3262799999999994E-2</v>
      </c>
      <c r="I1278" s="523">
        <v>23.4</v>
      </c>
      <c r="J1278" s="523">
        <v>1.48</v>
      </c>
    </row>
    <row r="1279" spans="1:10" ht="14.5" thickTop="1" x14ac:dyDescent="0.3">
      <c r="A1279" s="647"/>
      <c r="B1279" s="647"/>
      <c r="C1279" s="647"/>
      <c r="D1279" s="647"/>
      <c r="E1279" s="647"/>
      <c r="F1279" s="647"/>
      <c r="G1279" s="647"/>
      <c r="H1279" s="647"/>
      <c r="I1279" s="647"/>
      <c r="J1279" s="647"/>
    </row>
    <row r="1280" spans="1:10" ht="25.5" customHeight="1" x14ac:dyDescent="0.3">
      <c r="A1280" s="516"/>
      <c r="B1280" s="517" t="s">
        <v>15</v>
      </c>
      <c r="C1280" s="516" t="s">
        <v>16</v>
      </c>
      <c r="D1280" s="516" t="s">
        <v>17</v>
      </c>
      <c r="E1280" s="904" t="s">
        <v>2431</v>
      </c>
      <c r="F1280" s="904"/>
      <c r="G1280" s="518" t="s">
        <v>18</v>
      </c>
      <c r="H1280" s="517" t="s">
        <v>19</v>
      </c>
      <c r="I1280" s="517" t="s">
        <v>20</v>
      </c>
      <c r="J1280" s="517" t="s">
        <v>23</v>
      </c>
    </row>
    <row r="1281" spans="1:10" ht="39" customHeight="1" x14ac:dyDescent="0.3">
      <c r="A1281" s="642" t="s">
        <v>2432</v>
      </c>
      <c r="B1281" s="643" t="s">
        <v>471</v>
      </c>
      <c r="C1281" s="642" t="s">
        <v>32</v>
      </c>
      <c r="D1281" s="642" t="s">
        <v>4438</v>
      </c>
      <c r="E1281" s="906" t="s">
        <v>2706</v>
      </c>
      <c r="F1281" s="906"/>
      <c r="G1281" s="644" t="s">
        <v>118</v>
      </c>
      <c r="H1281" s="645">
        <v>1</v>
      </c>
      <c r="I1281" s="646">
        <v>8.5299999999999994</v>
      </c>
      <c r="J1281" s="646">
        <v>8.5299999999999994</v>
      </c>
    </row>
    <row r="1282" spans="1:10" s="358" customFormat="1" ht="25.5" customHeight="1" x14ac:dyDescent="0.3">
      <c r="A1282" s="519" t="s">
        <v>2434</v>
      </c>
      <c r="B1282" s="520" t="s">
        <v>2564</v>
      </c>
      <c r="C1282" s="519" t="s">
        <v>32</v>
      </c>
      <c r="D1282" s="519" t="s">
        <v>2565</v>
      </c>
      <c r="E1282" s="905" t="s">
        <v>2465</v>
      </c>
      <c r="F1282" s="905"/>
      <c r="G1282" s="521" t="s">
        <v>103</v>
      </c>
      <c r="H1282" s="522">
        <v>2.7050399999999999E-2</v>
      </c>
      <c r="I1282" s="523">
        <v>204.43</v>
      </c>
      <c r="J1282" s="523">
        <v>5.52</v>
      </c>
    </row>
    <row r="1283" spans="1:10" ht="25.5" customHeight="1" x14ac:dyDescent="0.3">
      <c r="A1283" s="519" t="s">
        <v>2434</v>
      </c>
      <c r="B1283" s="520" t="s">
        <v>2566</v>
      </c>
      <c r="C1283" s="519" t="s">
        <v>32</v>
      </c>
      <c r="D1283" s="519" t="s">
        <v>2567</v>
      </c>
      <c r="E1283" s="905" t="s">
        <v>2465</v>
      </c>
      <c r="F1283" s="905"/>
      <c r="G1283" s="521" t="s">
        <v>110</v>
      </c>
      <c r="H1283" s="522">
        <v>2.1307900000000001E-2</v>
      </c>
      <c r="I1283" s="523">
        <v>88.26</v>
      </c>
      <c r="J1283" s="523">
        <v>1.88</v>
      </c>
    </row>
    <row r="1284" spans="1:10" s="358" customFormat="1" ht="25.5" customHeight="1" thickBot="1" x14ac:dyDescent="0.35">
      <c r="A1284" s="519" t="s">
        <v>2434</v>
      </c>
      <c r="B1284" s="520" t="s">
        <v>2561</v>
      </c>
      <c r="C1284" s="519" t="s">
        <v>32</v>
      </c>
      <c r="D1284" s="519" t="s">
        <v>2562</v>
      </c>
      <c r="E1284" s="905" t="s">
        <v>2433</v>
      </c>
      <c r="F1284" s="905"/>
      <c r="G1284" s="521" t="s">
        <v>1901</v>
      </c>
      <c r="H1284" s="522">
        <v>4.83583E-2</v>
      </c>
      <c r="I1284" s="523">
        <v>23.4</v>
      </c>
      <c r="J1284" s="523">
        <v>1.1299999999999999</v>
      </c>
    </row>
    <row r="1285" spans="1:10" ht="14.5" thickTop="1" x14ac:dyDescent="0.3">
      <c r="A1285" s="647"/>
      <c r="B1285" s="647"/>
      <c r="C1285" s="647"/>
      <c r="D1285" s="647"/>
      <c r="E1285" s="647"/>
      <c r="F1285" s="647"/>
      <c r="G1285" s="647"/>
      <c r="H1285" s="647"/>
      <c r="I1285" s="647"/>
      <c r="J1285" s="647"/>
    </row>
    <row r="1286" spans="1:10" x14ac:dyDescent="0.3">
      <c r="A1286" s="516"/>
      <c r="B1286" s="517" t="s">
        <v>15</v>
      </c>
      <c r="C1286" s="516" t="s">
        <v>16</v>
      </c>
      <c r="D1286" s="516" t="s">
        <v>17</v>
      </c>
      <c r="E1286" s="904" t="s">
        <v>2431</v>
      </c>
      <c r="F1286" s="904"/>
      <c r="G1286" s="518" t="s">
        <v>18</v>
      </c>
      <c r="H1286" s="517" t="s">
        <v>19</v>
      </c>
      <c r="I1286" s="517" t="s">
        <v>20</v>
      </c>
      <c r="J1286" s="517" t="s">
        <v>23</v>
      </c>
    </row>
    <row r="1287" spans="1:10" ht="50" x14ac:dyDescent="0.3">
      <c r="A1287" s="642" t="s">
        <v>2432</v>
      </c>
      <c r="B1287" s="643" t="s">
        <v>478</v>
      </c>
      <c r="C1287" s="642" t="s">
        <v>243</v>
      </c>
      <c r="D1287" s="642" t="s">
        <v>4439</v>
      </c>
      <c r="E1287" s="906">
        <v>793</v>
      </c>
      <c r="F1287" s="906"/>
      <c r="G1287" s="644" t="s">
        <v>115</v>
      </c>
      <c r="H1287" s="645">
        <v>1</v>
      </c>
      <c r="I1287" s="646">
        <v>14.37</v>
      </c>
      <c r="J1287" s="646">
        <v>14.37</v>
      </c>
    </row>
    <row r="1288" spans="1:10" ht="25" x14ac:dyDescent="0.3">
      <c r="A1288" s="519" t="s">
        <v>2434</v>
      </c>
      <c r="B1288" s="520" t="s">
        <v>3028</v>
      </c>
      <c r="C1288" s="519" t="s">
        <v>243</v>
      </c>
      <c r="D1288" s="519" t="s">
        <v>4505</v>
      </c>
      <c r="E1288" s="905">
        <v>9</v>
      </c>
      <c r="F1288" s="905"/>
      <c r="G1288" s="521" t="s">
        <v>89</v>
      </c>
      <c r="H1288" s="522">
        <v>1E-4</v>
      </c>
      <c r="I1288" s="523">
        <v>53811.75</v>
      </c>
      <c r="J1288" s="523">
        <v>5.38</v>
      </c>
    </row>
    <row r="1289" spans="1:10" ht="25" x14ac:dyDescent="0.3">
      <c r="A1289" s="519" t="s">
        <v>2434</v>
      </c>
      <c r="B1289" s="520" t="s">
        <v>2561</v>
      </c>
      <c r="C1289" s="519" t="s">
        <v>32</v>
      </c>
      <c r="D1289" s="519" t="s">
        <v>2562</v>
      </c>
      <c r="E1289" s="905" t="s">
        <v>2433</v>
      </c>
      <c r="F1289" s="905"/>
      <c r="G1289" s="521" t="s">
        <v>1901</v>
      </c>
      <c r="H1289" s="522">
        <v>0.16</v>
      </c>
      <c r="I1289" s="523">
        <v>23.4</v>
      </c>
      <c r="J1289" s="523">
        <v>3.74</v>
      </c>
    </row>
    <row r="1290" spans="1:10" ht="25.5" customHeight="1" x14ac:dyDescent="0.3">
      <c r="A1290" s="519" t="s">
        <v>2434</v>
      </c>
      <c r="B1290" s="520" t="s">
        <v>2564</v>
      </c>
      <c r="C1290" s="519" t="s">
        <v>32</v>
      </c>
      <c r="D1290" s="519" t="s">
        <v>2565</v>
      </c>
      <c r="E1290" s="905" t="s">
        <v>2465</v>
      </c>
      <c r="F1290" s="905"/>
      <c r="G1290" s="521" t="s">
        <v>103</v>
      </c>
      <c r="H1290" s="522">
        <v>1.7999999999999999E-2</v>
      </c>
      <c r="I1290" s="523">
        <v>204.43</v>
      </c>
      <c r="J1290" s="523">
        <v>3.67</v>
      </c>
    </row>
    <row r="1291" spans="1:10" s="358" customFormat="1" ht="26.25" customHeight="1" thickBot="1" x14ac:dyDescent="0.35">
      <c r="A1291" s="519" t="s">
        <v>2434</v>
      </c>
      <c r="B1291" s="520" t="s">
        <v>2566</v>
      </c>
      <c r="C1291" s="519" t="s">
        <v>32</v>
      </c>
      <c r="D1291" s="519" t="s">
        <v>2567</v>
      </c>
      <c r="E1291" s="905" t="s">
        <v>2465</v>
      </c>
      <c r="F1291" s="905"/>
      <c r="G1291" s="521" t="s">
        <v>110</v>
      </c>
      <c r="H1291" s="522">
        <v>1.7999999999999999E-2</v>
      </c>
      <c r="I1291" s="523">
        <v>88.26</v>
      </c>
      <c r="J1291" s="523">
        <v>1.58</v>
      </c>
    </row>
    <row r="1292" spans="1:10" ht="14.5" thickTop="1" x14ac:dyDescent="0.3">
      <c r="A1292" s="647"/>
      <c r="B1292" s="647"/>
      <c r="C1292" s="647"/>
      <c r="D1292" s="647"/>
      <c r="E1292" s="647"/>
      <c r="F1292" s="647"/>
      <c r="G1292" s="647"/>
      <c r="H1292" s="647"/>
      <c r="I1292" s="647"/>
      <c r="J1292" s="647"/>
    </row>
    <row r="1293" spans="1:10" s="358" customFormat="1" x14ac:dyDescent="0.3">
      <c r="A1293" s="516"/>
      <c r="B1293" s="517" t="s">
        <v>15</v>
      </c>
      <c r="C1293" s="516" t="s">
        <v>16</v>
      </c>
      <c r="D1293" s="516" t="s">
        <v>17</v>
      </c>
      <c r="E1293" s="904" t="s">
        <v>2431</v>
      </c>
      <c r="F1293" s="904"/>
      <c r="G1293" s="518" t="s">
        <v>18</v>
      </c>
      <c r="H1293" s="517" t="s">
        <v>19</v>
      </c>
      <c r="I1293" s="517" t="s">
        <v>20</v>
      </c>
      <c r="J1293" s="517" t="s">
        <v>23</v>
      </c>
    </row>
    <row r="1294" spans="1:10" ht="14.25" customHeight="1" x14ac:dyDescent="0.3">
      <c r="A1294" s="642" t="s">
        <v>2432</v>
      </c>
      <c r="B1294" s="643" t="s">
        <v>500</v>
      </c>
      <c r="C1294" s="642" t="s">
        <v>32</v>
      </c>
      <c r="D1294" s="642" t="s">
        <v>4440</v>
      </c>
      <c r="E1294" s="906" t="s">
        <v>3029</v>
      </c>
      <c r="F1294" s="906"/>
      <c r="G1294" s="644" t="s">
        <v>194</v>
      </c>
      <c r="H1294" s="645">
        <v>1</v>
      </c>
      <c r="I1294" s="646">
        <v>77.209999999999994</v>
      </c>
      <c r="J1294" s="646">
        <v>77.209999999999994</v>
      </c>
    </row>
    <row r="1295" spans="1:10" ht="14.25" customHeight="1" x14ac:dyDescent="0.3">
      <c r="A1295" s="519" t="s">
        <v>2434</v>
      </c>
      <c r="B1295" s="520" t="s">
        <v>2757</v>
      </c>
      <c r="C1295" s="519" t="s">
        <v>32</v>
      </c>
      <c r="D1295" s="519" t="s">
        <v>2758</v>
      </c>
      <c r="E1295" s="905" t="s">
        <v>2433</v>
      </c>
      <c r="F1295" s="905"/>
      <c r="G1295" s="521" t="s">
        <v>1901</v>
      </c>
      <c r="H1295" s="522">
        <v>0.35149999999999998</v>
      </c>
      <c r="I1295" s="523">
        <v>31.1</v>
      </c>
      <c r="J1295" s="523">
        <v>10.93</v>
      </c>
    </row>
    <row r="1296" spans="1:10" ht="25" x14ac:dyDescent="0.3">
      <c r="A1296" s="519" t="s">
        <v>2434</v>
      </c>
      <c r="B1296" s="520" t="s">
        <v>2561</v>
      </c>
      <c r="C1296" s="519" t="s">
        <v>32</v>
      </c>
      <c r="D1296" s="519" t="s">
        <v>2562</v>
      </c>
      <c r="E1296" s="905" t="s">
        <v>2433</v>
      </c>
      <c r="F1296" s="905"/>
      <c r="G1296" s="521" t="s">
        <v>1901</v>
      </c>
      <c r="H1296" s="522">
        <v>0.35149999999999998</v>
      </c>
      <c r="I1296" s="523">
        <v>23.4</v>
      </c>
      <c r="J1296" s="523">
        <v>8.2200000000000006</v>
      </c>
    </row>
    <row r="1297" spans="1:10" ht="14.25" customHeight="1" x14ac:dyDescent="0.3">
      <c r="A1297" s="519" t="s">
        <v>2437</v>
      </c>
      <c r="B1297" s="520" t="s">
        <v>2816</v>
      </c>
      <c r="C1297" s="519" t="s">
        <v>125</v>
      </c>
      <c r="D1297" s="519" t="s">
        <v>2817</v>
      </c>
      <c r="E1297" s="905" t="s">
        <v>2442</v>
      </c>
      <c r="F1297" s="905"/>
      <c r="G1297" s="521" t="s">
        <v>118</v>
      </c>
      <c r="H1297" s="522">
        <v>1.9800000000000002E-2</v>
      </c>
      <c r="I1297" s="523">
        <v>149.36019999999999</v>
      </c>
      <c r="J1297" s="523">
        <v>2.95</v>
      </c>
    </row>
    <row r="1298" spans="1:10" ht="14.25" customHeight="1" x14ac:dyDescent="0.3">
      <c r="A1298" s="519" t="s">
        <v>2437</v>
      </c>
      <c r="B1298" s="520" t="s">
        <v>2910</v>
      </c>
      <c r="C1298" s="519" t="s">
        <v>32</v>
      </c>
      <c r="D1298" s="519" t="s">
        <v>2911</v>
      </c>
      <c r="E1298" s="905" t="s">
        <v>2442</v>
      </c>
      <c r="F1298" s="905"/>
      <c r="G1298" s="521" t="s">
        <v>194</v>
      </c>
      <c r="H1298" s="522">
        <v>0.2</v>
      </c>
      <c r="I1298" s="523">
        <v>2.72</v>
      </c>
      <c r="J1298" s="523">
        <v>0.54</v>
      </c>
    </row>
    <row r="1299" spans="1:10" ht="15" customHeight="1" x14ac:dyDescent="0.3">
      <c r="A1299" s="519" t="s">
        <v>2437</v>
      </c>
      <c r="B1299" s="520" t="s">
        <v>4466</v>
      </c>
      <c r="C1299" s="519" t="s">
        <v>32</v>
      </c>
      <c r="D1299" s="519" t="s">
        <v>4467</v>
      </c>
      <c r="E1299" s="905" t="s">
        <v>2442</v>
      </c>
      <c r="F1299" s="905"/>
      <c r="G1299" s="521" t="s">
        <v>194</v>
      </c>
      <c r="H1299" s="522">
        <v>0.125</v>
      </c>
      <c r="I1299" s="523">
        <v>12.9</v>
      </c>
      <c r="J1299" s="523">
        <v>1.61</v>
      </c>
    </row>
    <row r="1300" spans="1:10" ht="38" thickBot="1" x14ac:dyDescent="0.35">
      <c r="A1300" s="519" t="s">
        <v>2437</v>
      </c>
      <c r="B1300" s="520" t="s">
        <v>2749</v>
      </c>
      <c r="C1300" s="519" t="s">
        <v>32</v>
      </c>
      <c r="D1300" s="519" t="s">
        <v>2750</v>
      </c>
      <c r="E1300" s="905" t="s">
        <v>2442</v>
      </c>
      <c r="F1300" s="905"/>
      <c r="G1300" s="521" t="s">
        <v>118</v>
      </c>
      <c r="H1300" s="522">
        <v>0.11269999999999999</v>
      </c>
      <c r="I1300" s="523">
        <v>470</v>
      </c>
      <c r="J1300" s="523">
        <v>52.96</v>
      </c>
    </row>
    <row r="1301" spans="1:10" ht="14.5" thickTop="1" x14ac:dyDescent="0.3">
      <c r="A1301" s="647"/>
      <c r="B1301" s="647"/>
      <c r="C1301" s="647"/>
      <c r="D1301" s="647"/>
      <c r="E1301" s="647"/>
      <c r="F1301" s="647"/>
      <c r="G1301" s="647"/>
      <c r="H1301" s="647"/>
      <c r="I1301" s="647"/>
      <c r="J1301" s="647"/>
    </row>
    <row r="1302" spans="1:10" ht="14.25" customHeight="1" x14ac:dyDescent="0.3">
      <c r="A1302" s="516"/>
      <c r="B1302" s="517" t="s">
        <v>15</v>
      </c>
      <c r="C1302" s="516" t="s">
        <v>16</v>
      </c>
      <c r="D1302" s="516" t="s">
        <v>17</v>
      </c>
      <c r="E1302" s="904" t="s">
        <v>2431</v>
      </c>
      <c r="F1302" s="904"/>
      <c r="G1302" s="518" t="s">
        <v>18</v>
      </c>
      <c r="H1302" s="517" t="s">
        <v>19</v>
      </c>
      <c r="I1302" s="517" t="s">
        <v>20</v>
      </c>
      <c r="J1302" s="517" t="s">
        <v>23</v>
      </c>
    </row>
    <row r="1303" spans="1:10" ht="15" customHeight="1" x14ac:dyDescent="0.3">
      <c r="A1303" s="642" t="s">
        <v>2432</v>
      </c>
      <c r="B1303" s="643" t="s">
        <v>503</v>
      </c>
      <c r="C1303" s="642" t="s">
        <v>125</v>
      </c>
      <c r="D1303" s="642" t="s">
        <v>504</v>
      </c>
      <c r="E1303" s="906" t="s">
        <v>1328</v>
      </c>
      <c r="F1303" s="906"/>
      <c r="G1303" s="644" t="s">
        <v>384</v>
      </c>
      <c r="H1303" s="645">
        <v>1</v>
      </c>
      <c r="I1303" s="646">
        <v>12.15</v>
      </c>
      <c r="J1303" s="646">
        <v>12.15</v>
      </c>
    </row>
    <row r="1304" spans="1:10" ht="14.25" customHeight="1" x14ac:dyDescent="0.3">
      <c r="A1304" s="902"/>
      <c r="B1304" s="902"/>
      <c r="C1304" s="902"/>
      <c r="D1304" s="902"/>
      <c r="E1304" s="902"/>
      <c r="F1304" s="902" t="s">
        <v>2476</v>
      </c>
      <c r="G1304" s="902"/>
      <c r="H1304" s="902"/>
      <c r="I1304" s="525">
        <v>0</v>
      </c>
      <c r="J1304"/>
    </row>
    <row r="1305" spans="1:10" ht="14.25" customHeight="1" x14ac:dyDescent="0.3">
      <c r="A1305" s="902"/>
      <c r="B1305" s="902"/>
      <c r="C1305" s="902"/>
      <c r="D1305" s="902"/>
      <c r="E1305" s="902"/>
      <c r="F1305" s="902" t="s">
        <v>2477</v>
      </c>
      <c r="G1305" s="902"/>
      <c r="H1305" s="902"/>
      <c r="I1305" s="525">
        <v>0</v>
      </c>
      <c r="J1305"/>
    </row>
    <row r="1306" spans="1:10" ht="14.25" customHeight="1" x14ac:dyDescent="0.3">
      <c r="A1306" s="902"/>
      <c r="B1306" s="902"/>
      <c r="C1306" s="902"/>
      <c r="D1306" s="902"/>
      <c r="E1306" s="902"/>
      <c r="F1306" s="902" t="s">
        <v>2478</v>
      </c>
      <c r="G1306" s="902"/>
      <c r="H1306" s="902"/>
      <c r="I1306" s="525">
        <v>0</v>
      </c>
      <c r="J1306"/>
    </row>
    <row r="1307" spans="1:10" ht="15" customHeight="1" x14ac:dyDescent="0.3">
      <c r="A1307" s="902"/>
      <c r="B1307" s="902"/>
      <c r="C1307" s="902"/>
      <c r="D1307" s="902"/>
      <c r="E1307" s="902"/>
      <c r="F1307" s="902" t="s">
        <v>2479</v>
      </c>
      <c r="G1307" s="902"/>
      <c r="H1307" s="902"/>
      <c r="I1307" s="525">
        <v>1</v>
      </c>
      <c r="J1307"/>
    </row>
    <row r="1308" spans="1:10" ht="14.25" customHeight="1" x14ac:dyDescent="0.3">
      <c r="A1308" s="902"/>
      <c r="B1308" s="902"/>
      <c r="C1308" s="902"/>
      <c r="D1308" s="902"/>
      <c r="E1308" s="902"/>
      <c r="F1308" s="902" t="s">
        <v>2480</v>
      </c>
      <c r="G1308" s="902"/>
      <c r="H1308" s="902"/>
      <c r="I1308" s="525">
        <v>0</v>
      </c>
      <c r="J1308"/>
    </row>
    <row r="1309" spans="1:10" ht="15" customHeight="1" x14ac:dyDescent="0.3">
      <c r="A1309" s="516" t="s">
        <v>2420</v>
      </c>
      <c r="B1309" s="517" t="s">
        <v>16</v>
      </c>
      <c r="C1309" s="516" t="s">
        <v>15</v>
      </c>
      <c r="D1309" s="516" t="s">
        <v>2442</v>
      </c>
      <c r="E1309" s="517" t="s">
        <v>2467</v>
      </c>
      <c r="F1309" s="517" t="s">
        <v>2576</v>
      </c>
      <c r="G1309" s="903" t="s">
        <v>2577</v>
      </c>
      <c r="H1309" s="903"/>
      <c r="I1309" s="517" t="s">
        <v>2470</v>
      </c>
      <c r="J1309"/>
    </row>
    <row r="1310" spans="1:10" ht="14.25" customHeight="1" x14ac:dyDescent="0.3">
      <c r="A1310" s="519" t="s">
        <v>2437</v>
      </c>
      <c r="B1310" s="520" t="s">
        <v>125</v>
      </c>
      <c r="C1310" s="519" t="s">
        <v>3030</v>
      </c>
      <c r="D1310" s="519" t="s">
        <v>2652</v>
      </c>
      <c r="E1310" s="522">
        <v>1.1000000000000001</v>
      </c>
      <c r="F1310" s="521" t="s">
        <v>384</v>
      </c>
      <c r="G1310" s="907">
        <v>6.3659999999999997</v>
      </c>
      <c r="H1310" s="907"/>
      <c r="I1310" s="524">
        <v>7.0026000000000002</v>
      </c>
      <c r="J1310"/>
    </row>
    <row r="1311" spans="1:10" ht="15" customHeight="1" x14ac:dyDescent="0.3">
      <c r="A1311" s="519" t="s">
        <v>2437</v>
      </c>
      <c r="B1311" s="520" t="s">
        <v>125</v>
      </c>
      <c r="C1311" s="519" t="s">
        <v>3031</v>
      </c>
      <c r="D1311" s="519" t="s">
        <v>3032</v>
      </c>
      <c r="E1311" s="522">
        <v>1.4999999999999999E-2</v>
      </c>
      <c r="F1311" s="521" t="s">
        <v>384</v>
      </c>
      <c r="G1311" s="907">
        <v>10.594200000000001</v>
      </c>
      <c r="H1311" s="907"/>
      <c r="I1311" s="524">
        <v>0.15890000000000001</v>
      </c>
      <c r="J1311"/>
    </row>
    <row r="1312" spans="1:10" ht="14.25" customHeight="1" x14ac:dyDescent="0.3">
      <c r="A1312" s="902"/>
      <c r="B1312" s="902"/>
      <c r="C1312" s="902"/>
      <c r="D1312" s="902"/>
      <c r="E1312" s="902"/>
      <c r="F1312" s="902" t="s">
        <v>2809</v>
      </c>
      <c r="G1312" s="902"/>
      <c r="H1312" s="902"/>
      <c r="I1312" s="525">
        <v>7.1615000000000002</v>
      </c>
      <c r="J1312"/>
    </row>
    <row r="1313" spans="1:10" ht="15" customHeight="1" x14ac:dyDescent="0.3">
      <c r="A1313" s="516" t="s">
        <v>2574</v>
      </c>
      <c r="B1313" s="517" t="s">
        <v>16</v>
      </c>
      <c r="C1313" s="516" t="s">
        <v>15</v>
      </c>
      <c r="D1313" s="516" t="s">
        <v>2575</v>
      </c>
      <c r="E1313" s="517" t="s">
        <v>2467</v>
      </c>
      <c r="F1313" s="517" t="s">
        <v>2576</v>
      </c>
      <c r="G1313" s="903" t="s">
        <v>2577</v>
      </c>
      <c r="H1313" s="903"/>
      <c r="I1313" s="517" t="s">
        <v>2470</v>
      </c>
      <c r="J1313"/>
    </row>
    <row r="1314" spans="1:10" ht="25" x14ac:dyDescent="0.3">
      <c r="A1314" s="519" t="s">
        <v>2578</v>
      </c>
      <c r="B1314" s="520" t="s">
        <v>32</v>
      </c>
      <c r="C1314" s="519">
        <v>88241</v>
      </c>
      <c r="D1314" s="519" t="s">
        <v>2791</v>
      </c>
      <c r="E1314" s="522">
        <v>0.09</v>
      </c>
      <c r="F1314" s="521" t="s">
        <v>1901</v>
      </c>
      <c r="G1314" s="907">
        <v>24.15</v>
      </c>
      <c r="H1314" s="907"/>
      <c r="I1314" s="524">
        <v>2.1735000000000002</v>
      </c>
      <c r="J1314"/>
    </row>
    <row r="1315" spans="1:10" ht="15" customHeight="1" x14ac:dyDescent="0.3">
      <c r="A1315" s="519" t="s">
        <v>2578</v>
      </c>
      <c r="B1315" s="520" t="s">
        <v>32</v>
      </c>
      <c r="C1315" s="519">
        <v>88245</v>
      </c>
      <c r="D1315" s="519" t="s">
        <v>3033</v>
      </c>
      <c r="E1315" s="522">
        <v>0.09</v>
      </c>
      <c r="F1315" s="521" t="s">
        <v>1901</v>
      </c>
      <c r="G1315" s="907">
        <v>30.85</v>
      </c>
      <c r="H1315" s="907"/>
      <c r="I1315" s="524">
        <v>2.7765</v>
      </c>
      <c r="J1315"/>
    </row>
    <row r="1316" spans="1:10" s="358" customFormat="1" ht="15" customHeight="1" x14ac:dyDescent="0.3">
      <c r="A1316" s="902"/>
      <c r="B1316" s="902"/>
      <c r="C1316" s="902"/>
      <c r="D1316" s="902"/>
      <c r="E1316" s="902"/>
      <c r="F1316" s="902" t="s">
        <v>2579</v>
      </c>
      <c r="G1316" s="902"/>
      <c r="H1316" s="902"/>
      <c r="I1316" s="525">
        <v>4.95</v>
      </c>
      <c r="J1316"/>
    </row>
    <row r="1317" spans="1:10" ht="15" customHeight="1" x14ac:dyDescent="0.3">
      <c r="A1317" s="516" t="s">
        <v>2580</v>
      </c>
      <c r="B1317" s="517" t="s">
        <v>16</v>
      </c>
      <c r="C1317" s="516" t="s">
        <v>2437</v>
      </c>
      <c r="D1317" s="516" t="s">
        <v>2581</v>
      </c>
      <c r="E1317" s="517" t="s">
        <v>15</v>
      </c>
      <c r="F1317" s="517" t="s">
        <v>2467</v>
      </c>
      <c r="G1317" s="518" t="s">
        <v>2576</v>
      </c>
      <c r="H1317" s="517" t="s">
        <v>2577</v>
      </c>
      <c r="I1317" s="517" t="s">
        <v>2470</v>
      </c>
      <c r="J1317"/>
    </row>
    <row r="1318" spans="1:10" s="358" customFormat="1" ht="25" x14ac:dyDescent="0.3">
      <c r="A1318" s="519" t="s">
        <v>2582</v>
      </c>
      <c r="B1318" s="520" t="s">
        <v>125</v>
      </c>
      <c r="C1318" s="519" t="s">
        <v>3030</v>
      </c>
      <c r="D1318" s="519" t="s">
        <v>2838</v>
      </c>
      <c r="E1318" s="520">
        <v>5914655</v>
      </c>
      <c r="F1318" s="522">
        <v>1.1000000000000001E-3</v>
      </c>
      <c r="G1318" s="521" t="s">
        <v>374</v>
      </c>
      <c r="H1318" s="524">
        <v>33.159999999999997</v>
      </c>
      <c r="I1318" s="524">
        <v>3.6499999999999998E-2</v>
      </c>
      <c r="J1318"/>
    </row>
    <row r="1319" spans="1:10" ht="25" x14ac:dyDescent="0.3">
      <c r="A1319" s="519" t="s">
        <v>2582</v>
      </c>
      <c r="B1319" s="520" t="s">
        <v>125</v>
      </c>
      <c r="C1319" s="519" t="s">
        <v>3031</v>
      </c>
      <c r="D1319" s="519" t="s">
        <v>2838</v>
      </c>
      <c r="E1319" s="520">
        <v>5914655</v>
      </c>
      <c r="F1319" s="522">
        <v>2.0000000000000002E-5</v>
      </c>
      <c r="G1319" s="521" t="s">
        <v>374</v>
      </c>
      <c r="H1319" s="524">
        <v>33.159999999999997</v>
      </c>
      <c r="I1319" s="524">
        <v>6.9999999999999999E-4</v>
      </c>
      <c r="J1319"/>
    </row>
    <row r="1320" spans="1:10" ht="14.25" customHeight="1" x14ac:dyDescent="0.3">
      <c r="A1320" s="902"/>
      <c r="B1320" s="902"/>
      <c r="C1320" s="902"/>
      <c r="D1320" s="902"/>
      <c r="E1320" s="902"/>
      <c r="F1320" s="902" t="s">
        <v>2585</v>
      </c>
      <c r="G1320" s="902"/>
      <c r="H1320" s="902"/>
      <c r="I1320" s="525">
        <v>3.7199999999999997E-2</v>
      </c>
      <c r="J1320"/>
    </row>
    <row r="1321" spans="1:10" ht="15" customHeight="1" x14ac:dyDescent="0.3">
      <c r="A1321" s="516" t="s">
        <v>2586</v>
      </c>
      <c r="B1321" s="517" t="s">
        <v>16</v>
      </c>
      <c r="C1321" s="516" t="s">
        <v>2437</v>
      </c>
      <c r="D1321" s="516" t="s">
        <v>2587</v>
      </c>
      <c r="E1321" s="517" t="s">
        <v>2467</v>
      </c>
      <c r="F1321" s="517" t="s">
        <v>2576</v>
      </c>
      <c r="G1321" s="908" t="s">
        <v>2588</v>
      </c>
      <c r="H1321" s="903"/>
      <c r="I1321" s="517" t="s">
        <v>2470</v>
      </c>
      <c r="J1321"/>
    </row>
    <row r="1322" spans="1:10" x14ac:dyDescent="0.3">
      <c r="A1322" s="518"/>
      <c r="B1322" s="518"/>
      <c r="C1322" s="518"/>
      <c r="D1322" s="518"/>
      <c r="E1322" s="518"/>
      <c r="F1322" s="518"/>
      <c r="G1322" s="518" t="s">
        <v>2589</v>
      </c>
      <c r="H1322" s="518" t="s">
        <v>2590</v>
      </c>
      <c r="I1322" s="518"/>
      <c r="J1322"/>
    </row>
    <row r="1323" spans="1:10" ht="37.5" x14ac:dyDescent="0.3">
      <c r="A1323" s="519" t="s">
        <v>2587</v>
      </c>
      <c r="B1323" s="520" t="s">
        <v>125</v>
      </c>
      <c r="C1323" s="519" t="s">
        <v>3030</v>
      </c>
      <c r="D1323" s="519" t="s">
        <v>3034</v>
      </c>
      <c r="E1323" s="522">
        <v>1.1000000000000001E-3</v>
      </c>
      <c r="F1323" s="521" t="s">
        <v>2592</v>
      </c>
      <c r="G1323" s="520" t="s">
        <v>4472</v>
      </c>
      <c r="H1323" s="520" t="s">
        <v>4473</v>
      </c>
      <c r="I1323" s="524">
        <v>0</v>
      </c>
      <c r="J1323"/>
    </row>
    <row r="1324" spans="1:10" ht="37.5" x14ac:dyDescent="0.3">
      <c r="A1324" s="519" t="s">
        <v>2587</v>
      </c>
      <c r="B1324" s="520" t="s">
        <v>125</v>
      </c>
      <c r="C1324" s="519" t="s">
        <v>3031</v>
      </c>
      <c r="D1324" s="519" t="s">
        <v>3035</v>
      </c>
      <c r="E1324" s="522">
        <v>2.0000000000000002E-5</v>
      </c>
      <c r="F1324" s="521" t="s">
        <v>2592</v>
      </c>
      <c r="G1324" s="520" t="s">
        <v>4472</v>
      </c>
      <c r="H1324" s="520" t="s">
        <v>4473</v>
      </c>
      <c r="I1324" s="524">
        <v>0</v>
      </c>
      <c r="J1324"/>
    </row>
    <row r="1325" spans="1:10" s="358" customFormat="1" ht="15.75" customHeight="1" thickBot="1" x14ac:dyDescent="0.35">
      <c r="A1325" s="902"/>
      <c r="B1325" s="902"/>
      <c r="C1325" s="902"/>
      <c r="D1325" s="902"/>
      <c r="E1325" s="902"/>
      <c r="F1325" s="902" t="s">
        <v>2593</v>
      </c>
      <c r="G1325" s="902"/>
      <c r="H1325" s="902"/>
      <c r="I1325" s="525">
        <v>0</v>
      </c>
      <c r="J1325"/>
    </row>
    <row r="1326" spans="1:10" ht="14.5" thickTop="1" x14ac:dyDescent="0.3">
      <c r="A1326" s="647"/>
      <c r="B1326" s="647"/>
      <c r="C1326" s="647"/>
      <c r="D1326" s="647"/>
      <c r="E1326" s="647"/>
      <c r="F1326" s="647"/>
      <c r="G1326" s="647"/>
      <c r="H1326" s="647"/>
      <c r="I1326" s="647"/>
      <c r="J1326" s="647"/>
    </row>
    <row r="1327" spans="1:10" s="358" customFormat="1" x14ac:dyDescent="0.3">
      <c r="A1327" s="516"/>
      <c r="B1327" s="517" t="s">
        <v>15</v>
      </c>
      <c r="C1327" s="516" t="s">
        <v>16</v>
      </c>
      <c r="D1327" s="516" t="s">
        <v>17</v>
      </c>
      <c r="E1327" s="904" t="s">
        <v>2431</v>
      </c>
      <c r="F1327" s="904"/>
      <c r="G1327" s="518" t="s">
        <v>18</v>
      </c>
      <c r="H1327" s="517" t="s">
        <v>19</v>
      </c>
      <c r="I1327" s="517" t="s">
        <v>20</v>
      </c>
      <c r="J1327" s="517" t="s">
        <v>23</v>
      </c>
    </row>
    <row r="1328" spans="1:10" ht="15" customHeight="1" x14ac:dyDescent="0.3">
      <c r="A1328" s="642" t="s">
        <v>2432</v>
      </c>
      <c r="B1328" s="643" t="s">
        <v>506</v>
      </c>
      <c r="C1328" s="642" t="s">
        <v>32</v>
      </c>
      <c r="D1328" s="642" t="s">
        <v>507</v>
      </c>
      <c r="E1328" s="906" t="s">
        <v>3036</v>
      </c>
      <c r="F1328" s="906"/>
      <c r="G1328" s="644" t="s">
        <v>115</v>
      </c>
      <c r="H1328" s="645">
        <v>1</v>
      </c>
      <c r="I1328" s="646">
        <v>133.38</v>
      </c>
      <c r="J1328" s="646">
        <v>133.38</v>
      </c>
    </row>
    <row r="1329" spans="1:10" ht="50" x14ac:dyDescent="0.3">
      <c r="A1329" s="519" t="s">
        <v>2434</v>
      </c>
      <c r="B1329" s="520" t="s">
        <v>3037</v>
      </c>
      <c r="C1329" s="519" t="s">
        <v>32</v>
      </c>
      <c r="D1329" s="519" t="s">
        <v>3038</v>
      </c>
      <c r="E1329" s="905" t="s">
        <v>2433</v>
      </c>
      <c r="F1329" s="905"/>
      <c r="G1329" s="521" t="s">
        <v>118</v>
      </c>
      <c r="H1329" s="522">
        <v>1.2800000000000001E-2</v>
      </c>
      <c r="I1329" s="523">
        <v>498.8</v>
      </c>
      <c r="J1329" s="523">
        <v>6.38</v>
      </c>
    </row>
    <row r="1330" spans="1:10" ht="25" x14ac:dyDescent="0.3">
      <c r="A1330" s="519" t="s">
        <v>2434</v>
      </c>
      <c r="B1330" s="520" t="s">
        <v>2757</v>
      </c>
      <c r="C1330" s="519" t="s">
        <v>32</v>
      </c>
      <c r="D1330" s="519" t="s">
        <v>2758</v>
      </c>
      <c r="E1330" s="905" t="s">
        <v>2433</v>
      </c>
      <c r="F1330" s="905"/>
      <c r="G1330" s="521" t="s">
        <v>1901</v>
      </c>
      <c r="H1330" s="522">
        <v>1.1299999999999999</v>
      </c>
      <c r="I1330" s="523">
        <v>31.1</v>
      </c>
      <c r="J1330" s="523">
        <v>35.14</v>
      </c>
    </row>
    <row r="1331" spans="1:10" ht="25" x14ac:dyDescent="0.3">
      <c r="A1331" s="519" t="s">
        <v>2434</v>
      </c>
      <c r="B1331" s="520" t="s">
        <v>2561</v>
      </c>
      <c r="C1331" s="519" t="s">
        <v>32</v>
      </c>
      <c r="D1331" s="519" t="s">
        <v>2562</v>
      </c>
      <c r="E1331" s="905" t="s">
        <v>2433</v>
      </c>
      <c r="F1331" s="905"/>
      <c r="G1331" s="521" t="s">
        <v>1901</v>
      </c>
      <c r="H1331" s="522">
        <v>0.56499999999999995</v>
      </c>
      <c r="I1331" s="523">
        <v>23.4</v>
      </c>
      <c r="J1331" s="523">
        <v>13.22</v>
      </c>
    </row>
    <row r="1332" spans="1:10" ht="14.25" customHeight="1" x14ac:dyDescent="0.3">
      <c r="A1332" s="519" t="s">
        <v>2437</v>
      </c>
      <c r="B1332" s="520" t="s">
        <v>3039</v>
      </c>
      <c r="C1332" s="519" t="s">
        <v>32</v>
      </c>
      <c r="D1332" s="519" t="s">
        <v>3040</v>
      </c>
      <c r="E1332" s="905" t="s">
        <v>2442</v>
      </c>
      <c r="F1332" s="905"/>
      <c r="G1332" s="521" t="s">
        <v>89</v>
      </c>
      <c r="H1332" s="522">
        <v>13.6</v>
      </c>
      <c r="I1332" s="523">
        <v>5.56</v>
      </c>
      <c r="J1332" s="523">
        <v>75.61</v>
      </c>
    </row>
    <row r="1333" spans="1:10" ht="14.25" customHeight="1" x14ac:dyDescent="0.3">
      <c r="A1333" s="519" t="s">
        <v>2437</v>
      </c>
      <c r="B1333" s="520" t="s">
        <v>3041</v>
      </c>
      <c r="C1333" s="519" t="s">
        <v>32</v>
      </c>
      <c r="D1333" s="519" t="s">
        <v>3042</v>
      </c>
      <c r="E1333" s="905" t="s">
        <v>2442</v>
      </c>
      <c r="F1333" s="905"/>
      <c r="G1333" s="521" t="s">
        <v>194</v>
      </c>
      <c r="H1333" s="522">
        <v>0.42</v>
      </c>
      <c r="I1333" s="523">
        <v>6.17</v>
      </c>
      <c r="J1333" s="523">
        <v>2.59</v>
      </c>
    </row>
    <row r="1334" spans="1:10" ht="14.25" customHeight="1" thickBot="1" x14ac:dyDescent="0.35">
      <c r="A1334" s="519" t="s">
        <v>2437</v>
      </c>
      <c r="B1334" s="520" t="s">
        <v>3043</v>
      </c>
      <c r="C1334" s="519" t="s">
        <v>32</v>
      </c>
      <c r="D1334" s="519" t="s">
        <v>3044</v>
      </c>
      <c r="E1334" s="905" t="s">
        <v>2442</v>
      </c>
      <c r="F1334" s="905"/>
      <c r="G1334" s="521" t="s">
        <v>3045</v>
      </c>
      <c r="H1334" s="522">
        <v>0.01</v>
      </c>
      <c r="I1334" s="523">
        <v>44.28</v>
      </c>
      <c r="J1334" s="523">
        <v>0.44</v>
      </c>
    </row>
    <row r="1335" spans="1:10" ht="14.5" thickTop="1" x14ac:dyDescent="0.3">
      <c r="A1335" s="647"/>
      <c r="B1335" s="647"/>
      <c r="C1335" s="647"/>
      <c r="D1335" s="647"/>
      <c r="E1335" s="647"/>
      <c r="F1335" s="647"/>
      <c r="G1335" s="647"/>
      <c r="H1335" s="647"/>
      <c r="I1335" s="647"/>
      <c r="J1335" s="647"/>
    </row>
    <row r="1336" spans="1:10" ht="14.25" customHeight="1" x14ac:dyDescent="0.3">
      <c r="A1336" s="516"/>
      <c r="B1336" s="517" t="s">
        <v>15</v>
      </c>
      <c r="C1336" s="516" t="s">
        <v>16</v>
      </c>
      <c r="D1336" s="516" t="s">
        <v>17</v>
      </c>
      <c r="E1336" s="904" t="s">
        <v>2431</v>
      </c>
      <c r="F1336" s="904"/>
      <c r="G1336" s="518" t="s">
        <v>18</v>
      </c>
      <c r="H1336" s="517" t="s">
        <v>19</v>
      </c>
      <c r="I1336" s="517" t="s">
        <v>20</v>
      </c>
      <c r="J1336" s="517" t="s">
        <v>23</v>
      </c>
    </row>
    <row r="1337" spans="1:10" ht="14.25" customHeight="1" x14ac:dyDescent="0.3">
      <c r="A1337" s="642" t="s">
        <v>2432</v>
      </c>
      <c r="B1337" s="643" t="s">
        <v>509</v>
      </c>
      <c r="C1337" s="642" t="s">
        <v>125</v>
      </c>
      <c r="D1337" s="642" t="s">
        <v>510</v>
      </c>
      <c r="E1337" s="906" t="s">
        <v>1328</v>
      </c>
      <c r="F1337" s="906"/>
      <c r="G1337" s="644" t="s">
        <v>115</v>
      </c>
      <c r="H1337" s="645">
        <v>1</v>
      </c>
      <c r="I1337" s="646">
        <v>93.65</v>
      </c>
      <c r="J1337" s="646">
        <v>93.65</v>
      </c>
    </row>
    <row r="1338" spans="1:10" ht="15" customHeight="1" x14ac:dyDescent="0.3">
      <c r="A1338" s="904" t="s">
        <v>2418</v>
      </c>
      <c r="B1338" s="903" t="s">
        <v>15</v>
      </c>
      <c r="C1338" s="904" t="s">
        <v>16</v>
      </c>
      <c r="D1338" s="904" t="s">
        <v>2466</v>
      </c>
      <c r="E1338" s="903" t="s">
        <v>2467</v>
      </c>
      <c r="F1338" s="908" t="s">
        <v>2468</v>
      </c>
      <c r="G1338" s="903"/>
      <c r="H1338" s="518" t="s">
        <v>2469</v>
      </c>
      <c r="I1338" s="903" t="s">
        <v>2470</v>
      </c>
      <c r="J1338"/>
    </row>
    <row r="1339" spans="1:10" x14ac:dyDescent="0.3">
      <c r="A1339" s="903"/>
      <c r="B1339" s="903"/>
      <c r="C1339" s="903"/>
      <c r="D1339" s="903"/>
      <c r="E1339" s="903"/>
      <c r="F1339" s="517" t="s">
        <v>2471</v>
      </c>
      <c r="G1339" s="517" t="s">
        <v>2472</v>
      </c>
      <c r="H1339" s="517" t="s">
        <v>2471</v>
      </c>
      <c r="I1339" s="903"/>
      <c r="J1339"/>
    </row>
    <row r="1340" spans="1:10" x14ac:dyDescent="0.3">
      <c r="A1340" s="519" t="s">
        <v>2437</v>
      </c>
      <c r="B1340" s="520" t="s">
        <v>2820</v>
      </c>
      <c r="C1340" s="519" t="s">
        <v>125</v>
      </c>
      <c r="D1340" s="519" t="s">
        <v>4284</v>
      </c>
      <c r="E1340" s="522">
        <v>6.0240000000000002E-2</v>
      </c>
      <c r="F1340" s="523">
        <v>1</v>
      </c>
      <c r="G1340" s="523">
        <v>0</v>
      </c>
      <c r="H1340" s="524">
        <v>18.346599999999999</v>
      </c>
      <c r="I1340" s="524">
        <v>1.1052</v>
      </c>
      <c r="J1340"/>
    </row>
    <row r="1341" spans="1:10" x14ac:dyDescent="0.3">
      <c r="A1341" s="519" t="s">
        <v>2437</v>
      </c>
      <c r="B1341" s="520" t="s">
        <v>2821</v>
      </c>
      <c r="C1341" s="519" t="s">
        <v>125</v>
      </c>
      <c r="D1341" s="519" t="s">
        <v>2822</v>
      </c>
      <c r="E1341" s="522">
        <v>6.0240000000000002E-2</v>
      </c>
      <c r="F1341" s="523">
        <v>1</v>
      </c>
      <c r="G1341" s="523">
        <v>0</v>
      </c>
      <c r="H1341" s="524">
        <v>26.159800000000001</v>
      </c>
      <c r="I1341" s="524">
        <v>1.5759000000000001</v>
      </c>
      <c r="J1341"/>
    </row>
    <row r="1342" spans="1:10" ht="14.25" customHeight="1" x14ac:dyDescent="0.3">
      <c r="A1342" s="902"/>
      <c r="B1342" s="902"/>
      <c r="C1342" s="902"/>
      <c r="D1342" s="902"/>
      <c r="E1342" s="902"/>
      <c r="F1342" s="902" t="s">
        <v>2475</v>
      </c>
      <c r="G1342" s="902"/>
      <c r="H1342" s="902"/>
      <c r="I1342" s="525">
        <v>2.6810999999999998</v>
      </c>
      <c r="J1342"/>
    </row>
    <row r="1343" spans="1:10" ht="14.25" customHeight="1" x14ac:dyDescent="0.3">
      <c r="A1343" s="902"/>
      <c r="B1343" s="902"/>
      <c r="C1343" s="902"/>
      <c r="D1343" s="902"/>
      <c r="E1343" s="902"/>
      <c r="F1343" s="902" t="s">
        <v>2476</v>
      </c>
      <c r="G1343" s="902"/>
      <c r="H1343" s="902"/>
      <c r="I1343" s="525">
        <v>2.6810999999999998</v>
      </c>
      <c r="J1343"/>
    </row>
    <row r="1344" spans="1:10" ht="14.25" customHeight="1" x14ac:dyDescent="0.3">
      <c r="A1344" s="902"/>
      <c r="B1344" s="902"/>
      <c r="C1344" s="902"/>
      <c r="D1344" s="902"/>
      <c r="E1344" s="902"/>
      <c r="F1344" s="902" t="s">
        <v>2477</v>
      </c>
      <c r="G1344" s="902"/>
      <c r="H1344" s="902"/>
      <c r="I1344" s="525">
        <v>0</v>
      </c>
      <c r="J1344"/>
    </row>
    <row r="1345" spans="1:10" x14ac:dyDescent="0.3">
      <c r="A1345" s="902"/>
      <c r="B1345" s="902"/>
      <c r="C1345" s="902"/>
      <c r="D1345" s="902"/>
      <c r="E1345" s="902"/>
      <c r="F1345" s="902" t="s">
        <v>2478</v>
      </c>
      <c r="G1345" s="902"/>
      <c r="H1345" s="902"/>
      <c r="I1345" s="525">
        <v>0</v>
      </c>
      <c r="J1345"/>
    </row>
    <row r="1346" spans="1:10" ht="14.25" customHeight="1" x14ac:dyDescent="0.3">
      <c r="A1346" s="902"/>
      <c r="B1346" s="902"/>
      <c r="C1346" s="902"/>
      <c r="D1346" s="902"/>
      <c r="E1346" s="902"/>
      <c r="F1346" s="902" t="s">
        <v>2479</v>
      </c>
      <c r="G1346" s="902"/>
      <c r="H1346" s="902"/>
      <c r="I1346" s="525">
        <v>1</v>
      </c>
      <c r="J1346"/>
    </row>
    <row r="1347" spans="1:10" ht="15" customHeight="1" x14ac:dyDescent="0.3">
      <c r="A1347" s="902"/>
      <c r="B1347" s="902"/>
      <c r="C1347" s="902"/>
      <c r="D1347" s="902"/>
      <c r="E1347" s="902"/>
      <c r="F1347" s="902" t="s">
        <v>2480</v>
      </c>
      <c r="G1347" s="902"/>
      <c r="H1347" s="902"/>
      <c r="I1347" s="525">
        <v>2.6810999999999998</v>
      </c>
      <c r="J1347"/>
    </row>
    <row r="1348" spans="1:10" ht="15" customHeight="1" x14ac:dyDescent="0.3">
      <c r="A1348" s="516" t="s">
        <v>2420</v>
      </c>
      <c r="B1348" s="517" t="s">
        <v>16</v>
      </c>
      <c r="C1348" s="516" t="s">
        <v>15</v>
      </c>
      <c r="D1348" s="516" t="s">
        <v>2442</v>
      </c>
      <c r="E1348" s="517" t="s">
        <v>2467</v>
      </c>
      <c r="F1348" s="517" t="s">
        <v>2576</v>
      </c>
      <c r="G1348" s="903" t="s">
        <v>2577</v>
      </c>
      <c r="H1348" s="903"/>
      <c r="I1348" s="517" t="s">
        <v>2470</v>
      </c>
      <c r="J1348"/>
    </row>
    <row r="1349" spans="1:10" x14ac:dyDescent="0.3">
      <c r="A1349" s="519" t="s">
        <v>2437</v>
      </c>
      <c r="B1349" s="520" t="s">
        <v>125</v>
      </c>
      <c r="C1349" s="519" t="s">
        <v>2823</v>
      </c>
      <c r="D1349" s="519" t="s">
        <v>2824</v>
      </c>
      <c r="E1349" s="522">
        <v>0.64166000000000001</v>
      </c>
      <c r="F1349" s="521" t="s">
        <v>222</v>
      </c>
      <c r="G1349" s="907">
        <v>13.201499999999999</v>
      </c>
      <c r="H1349" s="907"/>
      <c r="I1349" s="524">
        <v>8.4709000000000003</v>
      </c>
      <c r="J1349"/>
    </row>
    <row r="1350" spans="1:10" ht="14.25" customHeight="1" x14ac:dyDescent="0.3">
      <c r="A1350" s="519" t="s">
        <v>2437</v>
      </c>
      <c r="B1350" s="520" t="s">
        <v>125</v>
      </c>
      <c r="C1350" s="519" t="s">
        <v>3046</v>
      </c>
      <c r="D1350" s="519" t="s">
        <v>3047</v>
      </c>
      <c r="E1350" s="522">
        <v>0.57750000000000001</v>
      </c>
      <c r="F1350" s="521" t="s">
        <v>115</v>
      </c>
      <c r="G1350" s="907">
        <v>34.323300000000003</v>
      </c>
      <c r="H1350" s="907"/>
      <c r="I1350" s="524">
        <v>19.8217</v>
      </c>
      <c r="J1350"/>
    </row>
    <row r="1351" spans="1:10" ht="15" customHeight="1" x14ac:dyDescent="0.3">
      <c r="A1351" s="519" t="s">
        <v>2437</v>
      </c>
      <c r="B1351" s="520" t="s">
        <v>125</v>
      </c>
      <c r="C1351" s="519" t="s">
        <v>2827</v>
      </c>
      <c r="D1351" s="519" t="s">
        <v>2828</v>
      </c>
      <c r="E1351" s="522">
        <v>1.754E-2</v>
      </c>
      <c r="F1351" s="521" t="s">
        <v>2829</v>
      </c>
      <c r="G1351" s="907">
        <v>13.312900000000001</v>
      </c>
      <c r="H1351" s="907"/>
      <c r="I1351" s="524">
        <v>0.23350000000000001</v>
      </c>
      <c r="J1351"/>
    </row>
    <row r="1352" spans="1:10" x14ac:dyDescent="0.3">
      <c r="A1352" s="519" t="s">
        <v>2437</v>
      </c>
      <c r="B1352" s="520" t="s">
        <v>125</v>
      </c>
      <c r="C1352" s="519" t="s">
        <v>2830</v>
      </c>
      <c r="D1352" s="519" t="s">
        <v>2831</v>
      </c>
      <c r="E1352" s="522">
        <v>0.28436</v>
      </c>
      <c r="F1352" s="521" t="s">
        <v>222</v>
      </c>
      <c r="G1352" s="907">
        <v>4.0178000000000003</v>
      </c>
      <c r="H1352" s="907"/>
      <c r="I1352" s="524">
        <v>1.1425000000000001</v>
      </c>
      <c r="J1352"/>
    </row>
    <row r="1353" spans="1:10" x14ac:dyDescent="0.3">
      <c r="A1353" s="519" t="s">
        <v>2437</v>
      </c>
      <c r="B1353" s="520" t="s">
        <v>125</v>
      </c>
      <c r="C1353" s="519" t="s">
        <v>2832</v>
      </c>
      <c r="D1353" s="519" t="s">
        <v>2833</v>
      </c>
      <c r="E1353" s="522">
        <v>0.20394999999999999</v>
      </c>
      <c r="F1353" s="521" t="s">
        <v>384</v>
      </c>
      <c r="G1353" s="907">
        <v>18.600000000000001</v>
      </c>
      <c r="H1353" s="907"/>
      <c r="I1353" s="524">
        <v>3.7934999999999999</v>
      </c>
      <c r="J1353"/>
    </row>
    <row r="1354" spans="1:10" x14ac:dyDescent="0.3">
      <c r="A1354" s="519" t="s">
        <v>2437</v>
      </c>
      <c r="B1354" s="520" t="s">
        <v>125</v>
      </c>
      <c r="C1354" s="519" t="s">
        <v>2834</v>
      </c>
      <c r="D1354" s="519" t="s">
        <v>2835</v>
      </c>
      <c r="E1354" s="522">
        <v>2.9853900000000002</v>
      </c>
      <c r="F1354" s="521" t="s">
        <v>222</v>
      </c>
      <c r="G1354" s="907">
        <v>4.5</v>
      </c>
      <c r="H1354" s="907"/>
      <c r="I1354" s="524">
        <v>13.4343</v>
      </c>
      <c r="J1354"/>
    </row>
    <row r="1355" spans="1:10" x14ac:dyDescent="0.3">
      <c r="A1355" s="519" t="s">
        <v>2437</v>
      </c>
      <c r="B1355" s="520" t="s">
        <v>125</v>
      </c>
      <c r="C1355" s="519" t="s">
        <v>2836</v>
      </c>
      <c r="D1355" s="519" t="s">
        <v>2837</v>
      </c>
      <c r="E1355" s="522">
        <v>0.51334000000000002</v>
      </c>
      <c r="F1355" s="521" t="s">
        <v>222</v>
      </c>
      <c r="G1355" s="907">
        <v>14.931699999999999</v>
      </c>
      <c r="H1355" s="907"/>
      <c r="I1355" s="524">
        <v>7.665</v>
      </c>
      <c r="J1355"/>
    </row>
    <row r="1356" spans="1:10" ht="14.25" customHeight="1" x14ac:dyDescent="0.3">
      <c r="A1356" s="902"/>
      <c r="B1356" s="902"/>
      <c r="C1356" s="902"/>
      <c r="D1356" s="902"/>
      <c r="E1356" s="902"/>
      <c r="F1356" s="902" t="s">
        <v>2809</v>
      </c>
      <c r="G1356" s="902"/>
      <c r="H1356" s="902"/>
      <c r="I1356" s="525">
        <v>54.561399999999999</v>
      </c>
      <c r="J1356"/>
    </row>
    <row r="1357" spans="1:10" ht="15" customHeight="1" x14ac:dyDescent="0.3">
      <c r="A1357" s="516" t="s">
        <v>2574</v>
      </c>
      <c r="B1357" s="517" t="s">
        <v>16</v>
      </c>
      <c r="C1357" s="516" t="s">
        <v>15</v>
      </c>
      <c r="D1357" s="516" t="s">
        <v>2575</v>
      </c>
      <c r="E1357" s="517" t="s">
        <v>2467</v>
      </c>
      <c r="F1357" s="517" t="s">
        <v>2576</v>
      </c>
      <c r="G1357" s="903" t="s">
        <v>2577</v>
      </c>
      <c r="H1357" s="903"/>
      <c r="I1357" s="517" t="s">
        <v>2470</v>
      </c>
      <c r="J1357"/>
    </row>
    <row r="1358" spans="1:10" ht="25" x14ac:dyDescent="0.3">
      <c r="A1358" s="519" t="s">
        <v>2578</v>
      </c>
      <c r="B1358" s="520" t="s">
        <v>32</v>
      </c>
      <c r="C1358" s="519">
        <v>88241</v>
      </c>
      <c r="D1358" s="519" t="s">
        <v>2791</v>
      </c>
      <c r="E1358" s="522">
        <v>0.65</v>
      </c>
      <c r="F1358" s="521" t="s">
        <v>1901</v>
      </c>
      <c r="G1358" s="907">
        <v>24.15</v>
      </c>
      <c r="H1358" s="907"/>
      <c r="I1358" s="524">
        <v>15.6975</v>
      </c>
      <c r="J1358"/>
    </row>
    <row r="1359" spans="1:10" ht="14.25" customHeight="1" x14ac:dyDescent="0.3">
      <c r="A1359" s="519" t="s">
        <v>2578</v>
      </c>
      <c r="B1359" s="520" t="s">
        <v>32</v>
      </c>
      <c r="C1359" s="519">
        <v>88262</v>
      </c>
      <c r="D1359" s="519" t="s">
        <v>2619</v>
      </c>
      <c r="E1359" s="522">
        <v>0.65</v>
      </c>
      <c r="F1359" s="521" t="s">
        <v>1901</v>
      </c>
      <c r="G1359" s="907">
        <v>30.71</v>
      </c>
      <c r="H1359" s="907"/>
      <c r="I1359" s="524">
        <v>19.961500000000001</v>
      </c>
      <c r="J1359"/>
    </row>
    <row r="1360" spans="1:10" ht="15" customHeight="1" x14ac:dyDescent="0.3">
      <c r="A1360" s="902"/>
      <c r="B1360" s="902"/>
      <c r="C1360" s="902"/>
      <c r="D1360" s="902"/>
      <c r="E1360" s="902"/>
      <c r="F1360" s="902" t="s">
        <v>2579</v>
      </c>
      <c r="G1360" s="902"/>
      <c r="H1360" s="902"/>
      <c r="I1360" s="525">
        <v>35.658999999999999</v>
      </c>
      <c r="J1360"/>
    </row>
    <row r="1361" spans="1:10" ht="15" customHeight="1" x14ac:dyDescent="0.3">
      <c r="A1361" s="516" t="s">
        <v>2580</v>
      </c>
      <c r="B1361" s="517" t="s">
        <v>16</v>
      </c>
      <c r="C1361" s="516" t="s">
        <v>2437</v>
      </c>
      <c r="D1361" s="516" t="s">
        <v>2581</v>
      </c>
      <c r="E1361" s="517" t="s">
        <v>15</v>
      </c>
      <c r="F1361" s="517" t="s">
        <v>2467</v>
      </c>
      <c r="G1361" s="518" t="s">
        <v>2576</v>
      </c>
      <c r="H1361" s="517" t="s">
        <v>2577</v>
      </c>
      <c r="I1361" s="517" t="s">
        <v>2470</v>
      </c>
      <c r="J1361"/>
    </row>
    <row r="1362" spans="1:10" ht="25" x14ac:dyDescent="0.3">
      <c r="A1362" s="519" t="s">
        <v>2582</v>
      </c>
      <c r="B1362" s="520" t="s">
        <v>125</v>
      </c>
      <c r="C1362" s="519" t="s">
        <v>2823</v>
      </c>
      <c r="D1362" s="519" t="s">
        <v>2838</v>
      </c>
      <c r="E1362" s="520">
        <v>5914655</v>
      </c>
      <c r="F1362" s="522">
        <v>3.6099999999999999E-3</v>
      </c>
      <c r="G1362" s="521" t="s">
        <v>374</v>
      </c>
      <c r="H1362" s="524">
        <v>33.159999999999997</v>
      </c>
      <c r="I1362" s="524">
        <v>0.1197</v>
      </c>
      <c r="J1362"/>
    </row>
    <row r="1363" spans="1:10" ht="25" x14ac:dyDescent="0.3">
      <c r="A1363" s="519" t="s">
        <v>2582</v>
      </c>
      <c r="B1363" s="520" t="s">
        <v>125</v>
      </c>
      <c r="C1363" s="519" t="s">
        <v>3046</v>
      </c>
      <c r="D1363" s="519" t="s">
        <v>2838</v>
      </c>
      <c r="E1363" s="520">
        <v>5914655</v>
      </c>
      <c r="F1363" s="522">
        <v>6.9300000000000004E-3</v>
      </c>
      <c r="G1363" s="521" t="s">
        <v>374</v>
      </c>
      <c r="H1363" s="524">
        <v>33.159999999999997</v>
      </c>
      <c r="I1363" s="524">
        <v>0.2298</v>
      </c>
      <c r="J1363"/>
    </row>
    <row r="1364" spans="1:10" ht="25" x14ac:dyDescent="0.3">
      <c r="A1364" s="519" t="s">
        <v>2582</v>
      </c>
      <c r="B1364" s="520" t="s">
        <v>125</v>
      </c>
      <c r="C1364" s="519" t="s">
        <v>2827</v>
      </c>
      <c r="D1364" s="519" t="s">
        <v>2838</v>
      </c>
      <c r="E1364" s="520">
        <v>5914655</v>
      </c>
      <c r="F1364" s="522">
        <v>2.0000000000000002E-5</v>
      </c>
      <c r="G1364" s="521" t="s">
        <v>374</v>
      </c>
      <c r="H1364" s="524">
        <v>33.159999999999997</v>
      </c>
      <c r="I1364" s="524">
        <v>6.9999999999999999E-4</v>
      </c>
      <c r="J1364"/>
    </row>
    <row r="1365" spans="1:10" ht="25" x14ac:dyDescent="0.3">
      <c r="A1365" s="519" t="s">
        <v>2582</v>
      </c>
      <c r="B1365" s="520" t="s">
        <v>125</v>
      </c>
      <c r="C1365" s="519" t="s">
        <v>2830</v>
      </c>
      <c r="D1365" s="519" t="s">
        <v>2838</v>
      </c>
      <c r="E1365" s="520">
        <v>5914655</v>
      </c>
      <c r="F1365" s="522">
        <v>5.2999999999999998E-4</v>
      </c>
      <c r="G1365" s="521" t="s">
        <v>374</v>
      </c>
      <c r="H1365" s="524">
        <v>33.159999999999997</v>
      </c>
      <c r="I1365" s="524">
        <v>1.7600000000000001E-2</v>
      </c>
      <c r="J1365"/>
    </row>
    <row r="1366" spans="1:10" ht="25" x14ac:dyDescent="0.3">
      <c r="A1366" s="519" t="s">
        <v>2582</v>
      </c>
      <c r="B1366" s="520" t="s">
        <v>125</v>
      </c>
      <c r="C1366" s="519" t="s">
        <v>2832</v>
      </c>
      <c r="D1366" s="519" t="s">
        <v>2838</v>
      </c>
      <c r="E1366" s="520">
        <v>5914655</v>
      </c>
      <c r="F1366" s="522">
        <v>2.0000000000000001E-4</v>
      </c>
      <c r="G1366" s="521" t="s">
        <v>374</v>
      </c>
      <c r="H1366" s="524">
        <v>33.159999999999997</v>
      </c>
      <c r="I1366" s="524">
        <v>6.6E-3</v>
      </c>
      <c r="J1366"/>
    </row>
    <row r="1367" spans="1:10" ht="25" x14ac:dyDescent="0.3">
      <c r="A1367" s="519" t="s">
        <v>2582</v>
      </c>
      <c r="B1367" s="520" t="s">
        <v>125</v>
      </c>
      <c r="C1367" s="519" t="s">
        <v>2834</v>
      </c>
      <c r="D1367" s="519" t="s">
        <v>2838</v>
      </c>
      <c r="E1367" s="520">
        <v>5914655</v>
      </c>
      <c r="F1367" s="522">
        <v>7.4599999999999996E-3</v>
      </c>
      <c r="G1367" s="521" t="s">
        <v>374</v>
      </c>
      <c r="H1367" s="524">
        <v>33.159999999999997</v>
      </c>
      <c r="I1367" s="524">
        <v>0.24740000000000001</v>
      </c>
      <c r="J1367"/>
    </row>
    <row r="1368" spans="1:10" ht="25" x14ac:dyDescent="0.3">
      <c r="A1368" s="519" t="s">
        <v>2582</v>
      </c>
      <c r="B1368" s="520" t="s">
        <v>125</v>
      </c>
      <c r="C1368" s="519" t="s">
        <v>2836</v>
      </c>
      <c r="D1368" s="519" t="s">
        <v>2838</v>
      </c>
      <c r="E1368" s="520">
        <v>5914655</v>
      </c>
      <c r="F1368" s="522">
        <v>3.8500000000000001E-3</v>
      </c>
      <c r="G1368" s="521" t="s">
        <v>374</v>
      </c>
      <c r="H1368" s="524">
        <v>33.159999999999997</v>
      </c>
      <c r="I1368" s="524">
        <v>0.12770000000000001</v>
      </c>
      <c r="J1368"/>
    </row>
    <row r="1369" spans="1:10" ht="15" customHeight="1" x14ac:dyDescent="0.3">
      <c r="A1369" s="902"/>
      <c r="B1369" s="902"/>
      <c r="C1369" s="902"/>
      <c r="D1369" s="902"/>
      <c r="E1369" s="902"/>
      <c r="F1369" s="902" t="s">
        <v>2585</v>
      </c>
      <c r="G1369" s="902"/>
      <c r="H1369" s="902"/>
      <c r="I1369" s="525">
        <v>0.74950000000000006</v>
      </c>
      <c r="J1369"/>
    </row>
    <row r="1370" spans="1:10" s="358" customFormat="1" ht="15" customHeight="1" x14ac:dyDescent="0.3">
      <c r="A1370" s="516" t="s">
        <v>2586</v>
      </c>
      <c r="B1370" s="517" t="s">
        <v>16</v>
      </c>
      <c r="C1370" s="516" t="s">
        <v>2437</v>
      </c>
      <c r="D1370" s="516" t="s">
        <v>2587</v>
      </c>
      <c r="E1370" s="517" t="s">
        <v>2467</v>
      </c>
      <c r="F1370" s="517" t="s">
        <v>2576</v>
      </c>
      <c r="G1370" s="908" t="s">
        <v>2588</v>
      </c>
      <c r="H1370" s="903"/>
      <c r="I1370" s="517" t="s">
        <v>2470</v>
      </c>
      <c r="J1370"/>
    </row>
    <row r="1371" spans="1:10" x14ac:dyDescent="0.3">
      <c r="A1371" s="518"/>
      <c r="B1371" s="518"/>
      <c r="C1371" s="518"/>
      <c r="D1371" s="518"/>
      <c r="E1371" s="518"/>
      <c r="F1371" s="518"/>
      <c r="G1371" s="518" t="s">
        <v>2589</v>
      </c>
      <c r="H1371" s="518" t="s">
        <v>2590</v>
      </c>
      <c r="I1371" s="518"/>
      <c r="J1371"/>
    </row>
    <row r="1372" spans="1:10" s="358" customFormat="1" ht="37.5" x14ac:dyDescent="0.3">
      <c r="A1372" s="519" t="s">
        <v>2587</v>
      </c>
      <c r="B1372" s="520" t="s">
        <v>125</v>
      </c>
      <c r="C1372" s="519" t="s">
        <v>2823</v>
      </c>
      <c r="D1372" s="519" t="s">
        <v>2839</v>
      </c>
      <c r="E1372" s="522">
        <v>3.6099999999999999E-3</v>
      </c>
      <c r="F1372" s="521" t="s">
        <v>2592</v>
      </c>
      <c r="G1372" s="520" t="s">
        <v>4472</v>
      </c>
      <c r="H1372" s="520" t="s">
        <v>4473</v>
      </c>
      <c r="I1372" s="524">
        <v>0</v>
      </c>
      <c r="J1372"/>
    </row>
    <row r="1373" spans="1:10" ht="25.5" customHeight="1" x14ac:dyDescent="0.3">
      <c r="A1373" s="519" t="s">
        <v>2587</v>
      </c>
      <c r="B1373" s="520" t="s">
        <v>125</v>
      </c>
      <c r="C1373" s="519" t="s">
        <v>3046</v>
      </c>
      <c r="D1373" s="519" t="s">
        <v>3048</v>
      </c>
      <c r="E1373" s="522">
        <v>6.9300000000000004E-3</v>
      </c>
      <c r="F1373" s="521" t="s">
        <v>2592</v>
      </c>
      <c r="G1373" s="520" t="s">
        <v>4472</v>
      </c>
      <c r="H1373" s="520" t="s">
        <v>4473</v>
      </c>
      <c r="I1373" s="524">
        <v>0</v>
      </c>
      <c r="J1373"/>
    </row>
    <row r="1374" spans="1:10" ht="25.5" customHeight="1" x14ac:dyDescent="0.3">
      <c r="A1374" s="519" t="s">
        <v>2587</v>
      </c>
      <c r="B1374" s="520" t="s">
        <v>125</v>
      </c>
      <c r="C1374" s="519" t="s">
        <v>2827</v>
      </c>
      <c r="D1374" s="519" t="s">
        <v>2841</v>
      </c>
      <c r="E1374" s="522">
        <v>2.0000000000000002E-5</v>
      </c>
      <c r="F1374" s="521" t="s">
        <v>2592</v>
      </c>
      <c r="G1374" s="520" t="s">
        <v>4472</v>
      </c>
      <c r="H1374" s="520" t="s">
        <v>4473</v>
      </c>
      <c r="I1374" s="524">
        <v>0</v>
      </c>
      <c r="J1374"/>
    </row>
    <row r="1375" spans="1:10" ht="37.5" x14ac:dyDescent="0.3">
      <c r="A1375" s="519" t="s">
        <v>2587</v>
      </c>
      <c r="B1375" s="520" t="s">
        <v>125</v>
      </c>
      <c r="C1375" s="519" t="s">
        <v>2830</v>
      </c>
      <c r="D1375" s="519" t="s">
        <v>2842</v>
      </c>
      <c r="E1375" s="522">
        <v>5.2999999999999998E-4</v>
      </c>
      <c r="F1375" s="521" t="s">
        <v>2592</v>
      </c>
      <c r="G1375" s="520" t="s">
        <v>4472</v>
      </c>
      <c r="H1375" s="520" t="s">
        <v>4473</v>
      </c>
      <c r="I1375" s="524">
        <v>0</v>
      </c>
      <c r="J1375"/>
    </row>
    <row r="1376" spans="1:10" ht="37.5" x14ac:dyDescent="0.3">
      <c r="A1376" s="519" t="s">
        <v>2587</v>
      </c>
      <c r="B1376" s="520" t="s">
        <v>125</v>
      </c>
      <c r="C1376" s="519" t="s">
        <v>2832</v>
      </c>
      <c r="D1376" s="519" t="s">
        <v>2843</v>
      </c>
      <c r="E1376" s="522">
        <v>2.0000000000000001E-4</v>
      </c>
      <c r="F1376" s="521" t="s">
        <v>2592</v>
      </c>
      <c r="G1376" s="520" t="s">
        <v>4472</v>
      </c>
      <c r="H1376" s="520" t="s">
        <v>4473</v>
      </c>
      <c r="I1376" s="524">
        <v>0</v>
      </c>
      <c r="J1376"/>
    </row>
    <row r="1377" spans="1:10" ht="37.5" x14ac:dyDescent="0.3">
      <c r="A1377" s="519" t="s">
        <v>2587</v>
      </c>
      <c r="B1377" s="520" t="s">
        <v>125</v>
      </c>
      <c r="C1377" s="519" t="s">
        <v>2834</v>
      </c>
      <c r="D1377" s="519" t="s">
        <v>2844</v>
      </c>
      <c r="E1377" s="522">
        <v>7.4599999999999996E-3</v>
      </c>
      <c r="F1377" s="521" t="s">
        <v>2592</v>
      </c>
      <c r="G1377" s="520" t="s">
        <v>4472</v>
      </c>
      <c r="H1377" s="520" t="s">
        <v>4473</v>
      </c>
      <c r="I1377" s="524">
        <v>0</v>
      </c>
      <c r="J1377"/>
    </row>
    <row r="1378" spans="1:10" s="358" customFormat="1" ht="37.5" x14ac:dyDescent="0.3">
      <c r="A1378" s="519" t="s">
        <v>2587</v>
      </c>
      <c r="B1378" s="520" t="s">
        <v>125</v>
      </c>
      <c r="C1378" s="519" t="s">
        <v>2836</v>
      </c>
      <c r="D1378" s="519" t="s">
        <v>2845</v>
      </c>
      <c r="E1378" s="522">
        <v>3.8500000000000001E-3</v>
      </c>
      <c r="F1378" s="521" t="s">
        <v>2592</v>
      </c>
      <c r="G1378" s="520" t="s">
        <v>4472</v>
      </c>
      <c r="H1378" s="520" t="s">
        <v>4473</v>
      </c>
      <c r="I1378" s="524">
        <v>0</v>
      </c>
      <c r="J1378"/>
    </row>
    <row r="1379" spans="1:10" ht="15" customHeight="1" thickBot="1" x14ac:dyDescent="0.35">
      <c r="A1379" s="902"/>
      <c r="B1379" s="902"/>
      <c r="C1379" s="902"/>
      <c r="D1379" s="902"/>
      <c r="E1379" s="902"/>
      <c r="F1379" s="902" t="s">
        <v>2593</v>
      </c>
      <c r="G1379" s="902"/>
      <c r="H1379" s="902"/>
      <c r="I1379" s="525">
        <v>0</v>
      </c>
      <c r="J1379"/>
    </row>
    <row r="1380" spans="1:10" s="358" customFormat="1" ht="14.5" thickTop="1" x14ac:dyDescent="0.3">
      <c r="A1380" s="647"/>
      <c r="B1380" s="647"/>
      <c r="C1380" s="647"/>
      <c r="D1380" s="647"/>
      <c r="E1380" s="647"/>
      <c r="F1380" s="647"/>
      <c r="G1380" s="647"/>
      <c r="H1380" s="647"/>
      <c r="I1380" s="647"/>
      <c r="J1380" s="647"/>
    </row>
    <row r="1381" spans="1:10" ht="38.25" customHeight="1" x14ac:dyDescent="0.3">
      <c r="A1381" s="516"/>
      <c r="B1381" s="517" t="s">
        <v>15</v>
      </c>
      <c r="C1381" s="516" t="s">
        <v>16</v>
      </c>
      <c r="D1381" s="516" t="s">
        <v>17</v>
      </c>
      <c r="E1381" s="904" t="s">
        <v>2431</v>
      </c>
      <c r="F1381" s="904"/>
      <c r="G1381" s="518" t="s">
        <v>18</v>
      </c>
      <c r="H1381" s="517" t="s">
        <v>19</v>
      </c>
      <c r="I1381" s="517" t="s">
        <v>20</v>
      </c>
      <c r="J1381" s="517" t="s">
        <v>23</v>
      </c>
    </row>
    <row r="1382" spans="1:10" ht="38.25" customHeight="1" x14ac:dyDescent="0.3">
      <c r="A1382" s="642" t="s">
        <v>2432</v>
      </c>
      <c r="B1382" s="643" t="s">
        <v>519</v>
      </c>
      <c r="C1382" s="642" t="s">
        <v>32</v>
      </c>
      <c r="D1382" s="642" t="s">
        <v>4441</v>
      </c>
      <c r="E1382" s="906" t="s">
        <v>3006</v>
      </c>
      <c r="F1382" s="906"/>
      <c r="G1382" s="644" t="s">
        <v>194</v>
      </c>
      <c r="H1382" s="645">
        <v>1</v>
      </c>
      <c r="I1382" s="646">
        <v>38.11</v>
      </c>
      <c r="J1382" s="646">
        <v>38.11</v>
      </c>
    </row>
    <row r="1383" spans="1:10" ht="25.5" customHeight="1" x14ac:dyDescent="0.3">
      <c r="A1383" s="519" t="s">
        <v>2434</v>
      </c>
      <c r="B1383" s="520" t="s">
        <v>2564</v>
      </c>
      <c r="C1383" s="519" t="s">
        <v>32</v>
      </c>
      <c r="D1383" s="519" t="s">
        <v>2565</v>
      </c>
      <c r="E1383" s="905" t="s">
        <v>2465</v>
      </c>
      <c r="F1383" s="905"/>
      <c r="G1383" s="521" t="s">
        <v>103</v>
      </c>
      <c r="H1383" s="522">
        <v>5.3199999999999997E-2</v>
      </c>
      <c r="I1383" s="523">
        <v>204.43</v>
      </c>
      <c r="J1383" s="523">
        <v>10.87</v>
      </c>
    </row>
    <row r="1384" spans="1:10" ht="25.5" customHeight="1" x14ac:dyDescent="0.3">
      <c r="A1384" s="519" t="s">
        <v>2434</v>
      </c>
      <c r="B1384" s="520" t="s">
        <v>2566</v>
      </c>
      <c r="C1384" s="519" t="s">
        <v>32</v>
      </c>
      <c r="D1384" s="519" t="s">
        <v>2567</v>
      </c>
      <c r="E1384" s="905" t="s">
        <v>2465</v>
      </c>
      <c r="F1384" s="905"/>
      <c r="G1384" s="521" t="s">
        <v>110</v>
      </c>
      <c r="H1384" s="522">
        <v>0.1033</v>
      </c>
      <c r="I1384" s="523">
        <v>88.26</v>
      </c>
      <c r="J1384" s="523">
        <v>9.11</v>
      </c>
    </row>
    <row r="1385" spans="1:10" ht="25" x14ac:dyDescent="0.3">
      <c r="A1385" s="519" t="s">
        <v>2434</v>
      </c>
      <c r="B1385" s="520" t="s">
        <v>3007</v>
      </c>
      <c r="C1385" s="519" t="s">
        <v>32</v>
      </c>
      <c r="D1385" s="519" t="s">
        <v>3008</v>
      </c>
      <c r="E1385" s="905" t="s">
        <v>2433</v>
      </c>
      <c r="F1385" s="905"/>
      <c r="G1385" s="521" t="s">
        <v>1901</v>
      </c>
      <c r="H1385" s="522">
        <v>0.2379</v>
      </c>
      <c r="I1385" s="523">
        <v>25.19</v>
      </c>
      <c r="J1385" s="523">
        <v>5.99</v>
      </c>
    </row>
    <row r="1386" spans="1:10" ht="25" x14ac:dyDescent="0.3">
      <c r="A1386" s="519" t="s">
        <v>2434</v>
      </c>
      <c r="B1386" s="520" t="s">
        <v>2561</v>
      </c>
      <c r="C1386" s="519" t="s">
        <v>32</v>
      </c>
      <c r="D1386" s="519" t="s">
        <v>2562</v>
      </c>
      <c r="E1386" s="905" t="s">
        <v>2433</v>
      </c>
      <c r="F1386" s="905"/>
      <c r="G1386" s="521" t="s">
        <v>1901</v>
      </c>
      <c r="H1386" s="522">
        <v>0.47570000000000001</v>
      </c>
      <c r="I1386" s="523">
        <v>23.4</v>
      </c>
      <c r="J1386" s="523">
        <v>11.13</v>
      </c>
    </row>
    <row r="1387" spans="1:10" ht="25.5" thickBot="1" x14ac:dyDescent="0.35">
      <c r="A1387" s="519" t="s">
        <v>2434</v>
      </c>
      <c r="B1387" s="520" t="s">
        <v>3009</v>
      </c>
      <c r="C1387" s="519" t="s">
        <v>32</v>
      </c>
      <c r="D1387" s="519" t="s">
        <v>3010</v>
      </c>
      <c r="E1387" s="905" t="s">
        <v>2433</v>
      </c>
      <c r="F1387" s="905"/>
      <c r="G1387" s="521" t="s">
        <v>118</v>
      </c>
      <c r="H1387" s="522">
        <v>1.6000000000000001E-3</v>
      </c>
      <c r="I1387" s="523">
        <v>634.08000000000004</v>
      </c>
      <c r="J1387" s="523">
        <v>1.01</v>
      </c>
    </row>
    <row r="1388" spans="1:10" s="358" customFormat="1" ht="14.5" thickTop="1" x14ac:dyDescent="0.3">
      <c r="A1388" s="647"/>
      <c r="B1388" s="647"/>
      <c r="C1388" s="647"/>
      <c r="D1388" s="647"/>
      <c r="E1388" s="647"/>
      <c r="F1388" s="647"/>
      <c r="G1388" s="647"/>
      <c r="H1388" s="647"/>
      <c r="I1388" s="647"/>
      <c r="J1388" s="647"/>
    </row>
    <row r="1389" spans="1:10" x14ac:dyDescent="0.3">
      <c r="A1389" s="516"/>
      <c r="B1389" s="517" t="s">
        <v>15</v>
      </c>
      <c r="C1389" s="516" t="s">
        <v>16</v>
      </c>
      <c r="D1389" s="516" t="s">
        <v>17</v>
      </c>
      <c r="E1389" s="904" t="s">
        <v>2431</v>
      </c>
      <c r="F1389" s="904"/>
      <c r="G1389" s="518" t="s">
        <v>18</v>
      </c>
      <c r="H1389" s="517" t="s">
        <v>19</v>
      </c>
      <c r="I1389" s="517" t="s">
        <v>20</v>
      </c>
      <c r="J1389" s="517" t="s">
        <v>23</v>
      </c>
    </row>
    <row r="1390" spans="1:10" s="358" customFormat="1" x14ac:dyDescent="0.3">
      <c r="A1390" s="642" t="s">
        <v>2432</v>
      </c>
      <c r="B1390" s="643" t="s">
        <v>523</v>
      </c>
      <c r="C1390" s="642" t="s">
        <v>243</v>
      </c>
      <c r="D1390" s="642" t="s">
        <v>524</v>
      </c>
      <c r="E1390" s="906">
        <v>1895</v>
      </c>
      <c r="F1390" s="906"/>
      <c r="G1390" s="644" t="s">
        <v>118</v>
      </c>
      <c r="H1390" s="645">
        <v>1</v>
      </c>
      <c r="I1390" s="646">
        <v>262.95</v>
      </c>
      <c r="J1390" s="646">
        <v>262.95</v>
      </c>
    </row>
    <row r="1391" spans="1:10" ht="38.25" customHeight="1" x14ac:dyDescent="0.3">
      <c r="A1391" s="519" t="s">
        <v>2434</v>
      </c>
      <c r="B1391" s="520" t="s">
        <v>3049</v>
      </c>
      <c r="C1391" s="519" t="s">
        <v>32</v>
      </c>
      <c r="D1391" s="519" t="s">
        <v>3050</v>
      </c>
      <c r="E1391" s="905" t="s">
        <v>2465</v>
      </c>
      <c r="F1391" s="905"/>
      <c r="G1391" s="521" t="s">
        <v>103</v>
      </c>
      <c r="H1391" s="522">
        <v>5.0000000000000001E-3</v>
      </c>
      <c r="I1391" s="523">
        <v>24.36</v>
      </c>
      <c r="J1391" s="523">
        <v>0.12</v>
      </c>
    </row>
    <row r="1392" spans="1:10" ht="38.25" customHeight="1" x14ac:dyDescent="0.3">
      <c r="A1392" s="519" t="s">
        <v>2434</v>
      </c>
      <c r="B1392" s="520" t="s">
        <v>2958</v>
      </c>
      <c r="C1392" s="519" t="s">
        <v>32</v>
      </c>
      <c r="D1392" s="519" t="s">
        <v>2959</v>
      </c>
      <c r="E1392" s="905" t="s">
        <v>2465</v>
      </c>
      <c r="F1392" s="905"/>
      <c r="G1392" s="521" t="s">
        <v>103</v>
      </c>
      <c r="H1392" s="522">
        <v>5.0000000000000001E-3</v>
      </c>
      <c r="I1392" s="523">
        <v>254.07</v>
      </c>
      <c r="J1392" s="523">
        <v>1.27</v>
      </c>
    </row>
    <row r="1393" spans="1:10" x14ac:dyDescent="0.3">
      <c r="A1393" s="519" t="s">
        <v>2437</v>
      </c>
      <c r="B1393" s="520" t="s">
        <v>3055</v>
      </c>
      <c r="C1393" s="519" t="s">
        <v>125</v>
      </c>
      <c r="D1393" s="519" t="s">
        <v>3056</v>
      </c>
      <c r="E1393" s="905" t="s">
        <v>2446</v>
      </c>
      <c r="F1393" s="905"/>
      <c r="G1393" s="521" t="s">
        <v>1901</v>
      </c>
      <c r="H1393" s="522">
        <v>0.01</v>
      </c>
      <c r="I1393" s="523">
        <v>251.39699999999999</v>
      </c>
      <c r="J1393" s="523">
        <v>2.5099999999999998</v>
      </c>
    </row>
    <row r="1394" spans="1:10" x14ac:dyDescent="0.3">
      <c r="A1394" s="519" t="s">
        <v>2437</v>
      </c>
      <c r="B1394" s="520" t="s">
        <v>3057</v>
      </c>
      <c r="C1394" s="519" t="s">
        <v>125</v>
      </c>
      <c r="D1394" s="519" t="s">
        <v>3058</v>
      </c>
      <c r="E1394" s="905" t="s">
        <v>2446</v>
      </c>
      <c r="F1394" s="905"/>
      <c r="G1394" s="521" t="s">
        <v>89</v>
      </c>
      <c r="H1394" s="522">
        <v>0.01</v>
      </c>
      <c r="I1394" s="523">
        <v>4.9696999999999996</v>
      </c>
      <c r="J1394" s="523">
        <v>0.04</v>
      </c>
    </row>
    <row r="1395" spans="1:10" ht="25.5" customHeight="1" x14ac:dyDescent="0.3">
      <c r="A1395" s="519" t="s">
        <v>2437</v>
      </c>
      <c r="B1395" s="520" t="s">
        <v>3051</v>
      </c>
      <c r="C1395" s="519" t="s">
        <v>125</v>
      </c>
      <c r="D1395" s="519" t="s">
        <v>3052</v>
      </c>
      <c r="E1395" s="905" t="s">
        <v>2446</v>
      </c>
      <c r="F1395" s="905"/>
      <c r="G1395" s="521" t="s">
        <v>89</v>
      </c>
      <c r="H1395" s="522">
        <v>0.01</v>
      </c>
      <c r="I1395" s="523">
        <v>220.7818</v>
      </c>
      <c r="J1395" s="523">
        <v>2.2000000000000002</v>
      </c>
    </row>
    <row r="1396" spans="1:10" ht="25.5" customHeight="1" x14ac:dyDescent="0.3">
      <c r="A1396" s="519" t="s">
        <v>2437</v>
      </c>
      <c r="B1396" s="520" t="s">
        <v>3053</v>
      </c>
      <c r="C1396" s="519" t="s">
        <v>125</v>
      </c>
      <c r="D1396" s="519" t="s">
        <v>3054</v>
      </c>
      <c r="E1396" s="905" t="s">
        <v>2446</v>
      </c>
      <c r="F1396" s="905"/>
      <c r="G1396" s="521" t="s">
        <v>89</v>
      </c>
      <c r="H1396" s="522">
        <v>0.01</v>
      </c>
      <c r="I1396" s="523">
        <v>151.00700000000001</v>
      </c>
      <c r="J1396" s="523">
        <v>1.51</v>
      </c>
    </row>
    <row r="1397" spans="1:10" ht="25.5" customHeight="1" thickBot="1" x14ac:dyDescent="0.35">
      <c r="A1397" s="519" t="s">
        <v>2437</v>
      </c>
      <c r="B1397" s="520" t="s">
        <v>4506</v>
      </c>
      <c r="C1397" s="519" t="s">
        <v>257</v>
      </c>
      <c r="D1397" s="519" t="s">
        <v>4507</v>
      </c>
      <c r="E1397" s="905" t="s">
        <v>2442</v>
      </c>
      <c r="F1397" s="905"/>
      <c r="G1397" s="521" t="s">
        <v>118</v>
      </c>
      <c r="H1397" s="522">
        <v>1.2</v>
      </c>
      <c r="I1397" s="523">
        <v>212.75</v>
      </c>
      <c r="J1397" s="523">
        <v>255.3</v>
      </c>
    </row>
    <row r="1398" spans="1:10" ht="25.5" customHeight="1" thickTop="1" x14ac:dyDescent="0.3">
      <c r="A1398" s="647"/>
      <c r="B1398" s="647"/>
      <c r="C1398" s="647"/>
      <c r="D1398" s="647"/>
      <c r="E1398" s="647"/>
      <c r="F1398" s="647"/>
      <c r="G1398" s="647"/>
      <c r="H1398" s="647"/>
      <c r="I1398" s="647"/>
      <c r="J1398" s="647"/>
    </row>
    <row r="1399" spans="1:10" x14ac:dyDescent="0.3">
      <c r="A1399" s="516"/>
      <c r="B1399" s="517" t="s">
        <v>15</v>
      </c>
      <c r="C1399" s="516" t="s">
        <v>16</v>
      </c>
      <c r="D1399" s="516" t="s">
        <v>17</v>
      </c>
      <c r="E1399" s="904" t="s">
        <v>2431</v>
      </c>
      <c r="F1399" s="904"/>
      <c r="G1399" s="518" t="s">
        <v>18</v>
      </c>
      <c r="H1399" s="517" t="s">
        <v>19</v>
      </c>
      <c r="I1399" s="517" t="s">
        <v>20</v>
      </c>
      <c r="J1399" s="517" t="s">
        <v>23</v>
      </c>
    </row>
    <row r="1400" spans="1:10" ht="25" x14ac:dyDescent="0.3">
      <c r="A1400" s="642" t="s">
        <v>2432</v>
      </c>
      <c r="B1400" s="643" t="s">
        <v>526</v>
      </c>
      <c r="C1400" s="642" t="s">
        <v>32</v>
      </c>
      <c r="D1400" s="642" t="s">
        <v>4442</v>
      </c>
      <c r="E1400" s="906" t="s">
        <v>2617</v>
      </c>
      <c r="F1400" s="906"/>
      <c r="G1400" s="644" t="s">
        <v>118</v>
      </c>
      <c r="H1400" s="645">
        <v>1</v>
      </c>
      <c r="I1400" s="646">
        <v>3512.27</v>
      </c>
      <c r="J1400" s="646">
        <v>3512.27</v>
      </c>
    </row>
    <row r="1401" spans="1:10" ht="25" x14ac:dyDescent="0.3">
      <c r="A1401" s="519" t="s">
        <v>2434</v>
      </c>
      <c r="B1401" s="520" t="s">
        <v>2627</v>
      </c>
      <c r="C1401" s="519" t="s">
        <v>32</v>
      </c>
      <c r="D1401" s="519" t="s">
        <v>2628</v>
      </c>
      <c r="E1401" s="905" t="s">
        <v>2433</v>
      </c>
      <c r="F1401" s="905"/>
      <c r="G1401" s="521" t="s">
        <v>1901</v>
      </c>
      <c r="H1401" s="522">
        <v>1.8137000000000001</v>
      </c>
      <c r="I1401" s="523">
        <v>24.12</v>
      </c>
      <c r="J1401" s="523">
        <v>43.74</v>
      </c>
    </row>
    <row r="1402" spans="1:10" ht="25" x14ac:dyDescent="0.3">
      <c r="A1402" s="519" t="s">
        <v>2434</v>
      </c>
      <c r="B1402" s="520" t="s">
        <v>3018</v>
      </c>
      <c r="C1402" s="519" t="s">
        <v>32</v>
      </c>
      <c r="D1402" s="519" t="s">
        <v>3019</v>
      </c>
      <c r="E1402" s="905" t="s">
        <v>2433</v>
      </c>
      <c r="F1402" s="905"/>
      <c r="G1402" s="521" t="s">
        <v>1901</v>
      </c>
      <c r="H1402" s="522">
        <v>9.0685000000000002</v>
      </c>
      <c r="I1402" s="523">
        <v>29.49</v>
      </c>
      <c r="J1402" s="523">
        <v>267.43</v>
      </c>
    </row>
    <row r="1403" spans="1:10" ht="25" x14ac:dyDescent="0.3">
      <c r="A1403" s="519" t="s">
        <v>2434</v>
      </c>
      <c r="B1403" s="520" t="s">
        <v>2757</v>
      </c>
      <c r="C1403" s="519" t="s">
        <v>32</v>
      </c>
      <c r="D1403" s="519" t="s">
        <v>2758</v>
      </c>
      <c r="E1403" s="905" t="s">
        <v>2433</v>
      </c>
      <c r="F1403" s="905"/>
      <c r="G1403" s="521" t="s">
        <v>1901</v>
      </c>
      <c r="H1403" s="522">
        <v>31.992999999999999</v>
      </c>
      <c r="I1403" s="523">
        <v>31.1</v>
      </c>
      <c r="J1403" s="523">
        <v>994.98</v>
      </c>
    </row>
    <row r="1404" spans="1:10" s="358" customFormat="1" ht="25" x14ac:dyDescent="0.3">
      <c r="A1404" s="519" t="s">
        <v>2434</v>
      </c>
      <c r="B1404" s="520" t="s">
        <v>2561</v>
      </c>
      <c r="C1404" s="519" t="s">
        <v>32</v>
      </c>
      <c r="D1404" s="519" t="s">
        <v>2562</v>
      </c>
      <c r="E1404" s="905" t="s">
        <v>2433</v>
      </c>
      <c r="F1404" s="905"/>
      <c r="G1404" s="521" t="s">
        <v>1901</v>
      </c>
      <c r="H1404" s="522">
        <v>31.992999999999999</v>
      </c>
      <c r="I1404" s="523">
        <v>23.4</v>
      </c>
      <c r="J1404" s="523">
        <v>748.63</v>
      </c>
    </row>
    <row r="1405" spans="1:10" ht="25.5" customHeight="1" x14ac:dyDescent="0.3">
      <c r="A1405" s="519" t="s">
        <v>2434</v>
      </c>
      <c r="B1405" s="520" t="s">
        <v>2846</v>
      </c>
      <c r="C1405" s="519" t="s">
        <v>32</v>
      </c>
      <c r="D1405" s="519" t="s">
        <v>2847</v>
      </c>
      <c r="E1405" s="905" t="s">
        <v>2465</v>
      </c>
      <c r="F1405" s="905"/>
      <c r="G1405" s="521" t="s">
        <v>103</v>
      </c>
      <c r="H1405" s="522">
        <v>6.6349999999999998</v>
      </c>
      <c r="I1405" s="523">
        <v>1.23</v>
      </c>
      <c r="J1405" s="523">
        <v>8.16</v>
      </c>
    </row>
    <row r="1406" spans="1:10" s="358" customFormat="1" ht="25.5" customHeight="1" x14ac:dyDescent="0.3">
      <c r="A1406" s="519" t="s">
        <v>2434</v>
      </c>
      <c r="B1406" s="520" t="s">
        <v>2848</v>
      </c>
      <c r="C1406" s="519" t="s">
        <v>32</v>
      </c>
      <c r="D1406" s="519" t="s">
        <v>2849</v>
      </c>
      <c r="E1406" s="905" t="s">
        <v>2465</v>
      </c>
      <c r="F1406" s="905"/>
      <c r="G1406" s="521" t="s">
        <v>110</v>
      </c>
      <c r="H1406" s="522">
        <v>18.091699999999999</v>
      </c>
      <c r="I1406" s="523">
        <v>0.53</v>
      </c>
      <c r="J1406" s="523">
        <v>9.58</v>
      </c>
    </row>
    <row r="1407" spans="1:10" ht="25.5" customHeight="1" x14ac:dyDescent="0.3">
      <c r="A1407" s="519" t="s">
        <v>2434</v>
      </c>
      <c r="B1407" s="520" t="s">
        <v>2629</v>
      </c>
      <c r="C1407" s="519" t="s">
        <v>32</v>
      </c>
      <c r="D1407" s="519" t="s">
        <v>2630</v>
      </c>
      <c r="E1407" s="905" t="s">
        <v>2465</v>
      </c>
      <c r="F1407" s="905"/>
      <c r="G1407" s="521" t="s">
        <v>103</v>
      </c>
      <c r="H1407" s="522">
        <v>0.77359999999999995</v>
      </c>
      <c r="I1407" s="523">
        <v>26.94</v>
      </c>
      <c r="J1407" s="523">
        <v>20.84</v>
      </c>
    </row>
    <row r="1408" spans="1:10" ht="25.5" customHeight="1" x14ac:dyDescent="0.3">
      <c r="A1408" s="519" t="s">
        <v>2434</v>
      </c>
      <c r="B1408" s="520" t="s">
        <v>2631</v>
      </c>
      <c r="C1408" s="519" t="s">
        <v>32</v>
      </c>
      <c r="D1408" s="519" t="s">
        <v>2632</v>
      </c>
      <c r="E1408" s="905" t="s">
        <v>2465</v>
      </c>
      <c r="F1408" s="905"/>
      <c r="G1408" s="521" t="s">
        <v>110</v>
      </c>
      <c r="H1408" s="522">
        <v>1.0401</v>
      </c>
      <c r="I1408" s="523">
        <v>25.9</v>
      </c>
      <c r="J1408" s="523">
        <v>26.93</v>
      </c>
    </row>
    <row r="1409" spans="1:10" ht="38.25" customHeight="1" x14ac:dyDescent="0.3">
      <c r="A1409" s="519" t="s">
        <v>2434</v>
      </c>
      <c r="B1409" s="520" t="s">
        <v>3059</v>
      </c>
      <c r="C1409" s="519" t="s">
        <v>32</v>
      </c>
      <c r="D1409" s="519" t="s">
        <v>3060</v>
      </c>
      <c r="E1409" s="905" t="s">
        <v>2617</v>
      </c>
      <c r="F1409" s="905"/>
      <c r="G1409" s="521" t="s">
        <v>1369</v>
      </c>
      <c r="H1409" s="522">
        <v>42.646299999999997</v>
      </c>
      <c r="I1409" s="523">
        <v>16.54</v>
      </c>
      <c r="J1409" s="523">
        <v>705.36</v>
      </c>
    </row>
    <row r="1410" spans="1:10" ht="38.25" customHeight="1" x14ac:dyDescent="0.3">
      <c r="A1410" s="519" t="s">
        <v>2434</v>
      </c>
      <c r="B1410" s="520" t="s">
        <v>176</v>
      </c>
      <c r="C1410" s="519" t="s">
        <v>32</v>
      </c>
      <c r="D1410" s="519" t="s">
        <v>177</v>
      </c>
      <c r="E1410" s="905" t="s">
        <v>2617</v>
      </c>
      <c r="F1410" s="905"/>
      <c r="G1410" s="521" t="s">
        <v>118</v>
      </c>
      <c r="H1410" s="522">
        <v>1.2</v>
      </c>
      <c r="I1410" s="523">
        <v>470.06</v>
      </c>
      <c r="J1410" s="523">
        <v>564.07000000000005</v>
      </c>
    </row>
    <row r="1411" spans="1:10" ht="37.5" x14ac:dyDescent="0.3">
      <c r="A1411" s="519" t="s">
        <v>2437</v>
      </c>
      <c r="B1411" s="520" t="s">
        <v>3061</v>
      </c>
      <c r="C1411" s="519" t="s">
        <v>32</v>
      </c>
      <c r="D1411" s="519" t="s">
        <v>3062</v>
      </c>
      <c r="E1411" s="905" t="s">
        <v>2442</v>
      </c>
      <c r="F1411" s="905"/>
      <c r="G1411" s="521" t="s">
        <v>115</v>
      </c>
      <c r="H1411" s="522">
        <v>2.9790000000000001</v>
      </c>
      <c r="I1411" s="523">
        <v>36.07</v>
      </c>
      <c r="J1411" s="523">
        <v>107.45</v>
      </c>
    </row>
    <row r="1412" spans="1:10" ht="25" x14ac:dyDescent="0.3">
      <c r="A1412" s="519" t="s">
        <v>2437</v>
      </c>
      <c r="B1412" s="520" t="s">
        <v>2906</v>
      </c>
      <c r="C1412" s="519" t="s">
        <v>32</v>
      </c>
      <c r="D1412" s="519" t="s">
        <v>2907</v>
      </c>
      <c r="E1412" s="905" t="s">
        <v>2442</v>
      </c>
      <c r="F1412" s="905"/>
      <c r="G1412" s="521" t="s">
        <v>2900</v>
      </c>
      <c r="H1412" s="522">
        <v>0.12</v>
      </c>
      <c r="I1412" s="523">
        <v>7.96</v>
      </c>
      <c r="J1412" s="523">
        <v>0.95</v>
      </c>
    </row>
    <row r="1413" spans="1:10" ht="14.5" thickBot="1" x14ac:dyDescent="0.35">
      <c r="A1413" s="519" t="s">
        <v>2437</v>
      </c>
      <c r="B1413" s="520" t="s">
        <v>2794</v>
      </c>
      <c r="C1413" s="519" t="s">
        <v>32</v>
      </c>
      <c r="D1413" s="519" t="s">
        <v>2795</v>
      </c>
      <c r="E1413" s="905" t="s">
        <v>2442</v>
      </c>
      <c r="F1413" s="905"/>
      <c r="G1413" s="521" t="s">
        <v>1369</v>
      </c>
      <c r="H1413" s="522">
        <v>0.64449999999999996</v>
      </c>
      <c r="I1413" s="523">
        <v>21.96</v>
      </c>
      <c r="J1413" s="523">
        <v>14.15</v>
      </c>
    </row>
    <row r="1414" spans="1:10" s="358" customFormat="1" ht="14.5" thickTop="1" x14ac:dyDescent="0.3">
      <c r="A1414" s="647"/>
      <c r="B1414" s="647"/>
      <c r="C1414" s="647"/>
      <c r="D1414" s="647"/>
      <c r="E1414" s="647"/>
      <c r="F1414" s="647"/>
      <c r="G1414" s="647"/>
      <c r="H1414" s="647"/>
      <c r="I1414" s="647"/>
      <c r="J1414" s="647"/>
    </row>
    <row r="1415" spans="1:10" x14ac:dyDescent="0.3">
      <c r="A1415" s="516"/>
      <c r="B1415" s="517" t="s">
        <v>15</v>
      </c>
      <c r="C1415" s="516" t="s">
        <v>16</v>
      </c>
      <c r="D1415" s="516" t="s">
        <v>17</v>
      </c>
      <c r="E1415" s="904" t="s">
        <v>2431</v>
      </c>
      <c r="F1415" s="904"/>
      <c r="G1415" s="518" t="s">
        <v>18</v>
      </c>
      <c r="H1415" s="517" t="s">
        <v>19</v>
      </c>
      <c r="I1415" s="517" t="s">
        <v>20</v>
      </c>
      <c r="J1415" s="517" t="s">
        <v>23</v>
      </c>
    </row>
    <row r="1416" spans="1:10" s="358" customFormat="1" ht="37.5" x14ac:dyDescent="0.3">
      <c r="A1416" s="642" t="s">
        <v>2432</v>
      </c>
      <c r="B1416" s="643" t="s">
        <v>529</v>
      </c>
      <c r="C1416" s="642" t="s">
        <v>32</v>
      </c>
      <c r="D1416" s="642" t="s">
        <v>530</v>
      </c>
      <c r="E1416" s="906" t="s">
        <v>2617</v>
      </c>
      <c r="F1416" s="906"/>
      <c r="G1416" s="644" t="s">
        <v>118</v>
      </c>
      <c r="H1416" s="645">
        <v>1</v>
      </c>
      <c r="I1416" s="646">
        <v>430.64</v>
      </c>
      <c r="J1416" s="646">
        <v>430.64</v>
      </c>
    </row>
    <row r="1417" spans="1:10" ht="15" customHeight="1" x14ac:dyDescent="0.3">
      <c r="A1417" s="519" t="s">
        <v>2434</v>
      </c>
      <c r="B1417" s="520" t="s">
        <v>2561</v>
      </c>
      <c r="C1417" s="519" t="s">
        <v>32</v>
      </c>
      <c r="D1417" s="519" t="s">
        <v>2562</v>
      </c>
      <c r="E1417" s="905" t="s">
        <v>2433</v>
      </c>
      <c r="F1417" s="905"/>
      <c r="G1417" s="521" t="s">
        <v>1901</v>
      </c>
      <c r="H1417" s="522">
        <v>2.0266999999999999</v>
      </c>
      <c r="I1417" s="523">
        <v>23.4</v>
      </c>
      <c r="J1417" s="523">
        <v>47.42</v>
      </c>
    </row>
    <row r="1418" spans="1:10" ht="25" x14ac:dyDescent="0.3">
      <c r="A1418" s="519" t="s">
        <v>2434</v>
      </c>
      <c r="B1418" s="520" t="s">
        <v>2812</v>
      </c>
      <c r="C1418" s="519" t="s">
        <v>32</v>
      </c>
      <c r="D1418" s="519" t="s">
        <v>2813</v>
      </c>
      <c r="E1418" s="905" t="s">
        <v>2433</v>
      </c>
      <c r="F1418" s="905"/>
      <c r="G1418" s="521" t="s">
        <v>1901</v>
      </c>
      <c r="H1418" s="522">
        <v>1.2822</v>
      </c>
      <c r="I1418" s="523">
        <v>25.72</v>
      </c>
      <c r="J1418" s="523">
        <v>32.97</v>
      </c>
    </row>
    <row r="1419" spans="1:10" ht="38.25" customHeight="1" x14ac:dyDescent="0.3">
      <c r="A1419" s="519" t="s">
        <v>2434</v>
      </c>
      <c r="B1419" s="520" t="s">
        <v>2814</v>
      </c>
      <c r="C1419" s="519" t="s">
        <v>32</v>
      </c>
      <c r="D1419" s="519" t="s">
        <v>4282</v>
      </c>
      <c r="E1419" s="905" t="s">
        <v>2465</v>
      </c>
      <c r="F1419" s="905"/>
      <c r="G1419" s="521" t="s">
        <v>103</v>
      </c>
      <c r="H1419" s="522">
        <v>0.65990000000000004</v>
      </c>
      <c r="I1419" s="523">
        <v>4.9400000000000004</v>
      </c>
      <c r="J1419" s="523">
        <v>3.25</v>
      </c>
    </row>
    <row r="1420" spans="1:10" ht="38.25" customHeight="1" x14ac:dyDescent="0.3">
      <c r="A1420" s="519" t="s">
        <v>2434</v>
      </c>
      <c r="B1420" s="520" t="s">
        <v>2815</v>
      </c>
      <c r="C1420" s="519" t="s">
        <v>32</v>
      </c>
      <c r="D1420" s="519" t="s">
        <v>4283</v>
      </c>
      <c r="E1420" s="905" t="s">
        <v>2465</v>
      </c>
      <c r="F1420" s="905"/>
      <c r="G1420" s="521" t="s">
        <v>110</v>
      </c>
      <c r="H1420" s="522">
        <v>0.62229999999999996</v>
      </c>
      <c r="I1420" s="523">
        <v>1.66</v>
      </c>
      <c r="J1420" s="523">
        <v>1.03</v>
      </c>
    </row>
    <row r="1421" spans="1:10" ht="14.25" customHeight="1" x14ac:dyDescent="0.3">
      <c r="A1421" s="519" t="s">
        <v>2437</v>
      </c>
      <c r="B1421" s="520" t="s">
        <v>2816</v>
      </c>
      <c r="C1421" s="519" t="s">
        <v>125</v>
      </c>
      <c r="D1421" s="519" t="s">
        <v>2817</v>
      </c>
      <c r="E1421" s="905" t="s">
        <v>2442</v>
      </c>
      <c r="F1421" s="905"/>
      <c r="G1421" s="521" t="s">
        <v>118</v>
      </c>
      <c r="H1421" s="522">
        <v>0.80759999999999998</v>
      </c>
      <c r="I1421" s="523">
        <v>149.36019999999999</v>
      </c>
      <c r="J1421" s="523">
        <v>120.62</v>
      </c>
    </row>
    <row r="1422" spans="1:10" ht="14.25" customHeight="1" x14ac:dyDescent="0.3">
      <c r="A1422" s="519" t="s">
        <v>2437</v>
      </c>
      <c r="B1422" s="520" t="s">
        <v>4470</v>
      </c>
      <c r="C1422" s="519" t="s">
        <v>125</v>
      </c>
      <c r="D1422" s="519" t="s">
        <v>4471</v>
      </c>
      <c r="E1422" s="905" t="s">
        <v>2442</v>
      </c>
      <c r="F1422" s="905"/>
      <c r="G1422" s="521" t="s">
        <v>384</v>
      </c>
      <c r="H1422" s="522">
        <v>274.06349999999998</v>
      </c>
      <c r="I1422" s="523">
        <v>0.56679999999999997</v>
      </c>
      <c r="J1422" s="523">
        <v>155.33000000000001</v>
      </c>
    </row>
    <row r="1423" spans="1:10" ht="14.25" customHeight="1" thickBot="1" x14ac:dyDescent="0.35">
      <c r="A1423" s="519" t="s">
        <v>2437</v>
      </c>
      <c r="B1423" s="520" t="s">
        <v>2818</v>
      </c>
      <c r="C1423" s="519" t="s">
        <v>125</v>
      </c>
      <c r="D1423" s="519" t="s">
        <v>2819</v>
      </c>
      <c r="E1423" s="905" t="s">
        <v>2442</v>
      </c>
      <c r="F1423" s="905"/>
      <c r="G1423" s="521" t="s">
        <v>118</v>
      </c>
      <c r="H1423" s="522">
        <v>0.58130000000000004</v>
      </c>
      <c r="I1423" s="523">
        <v>120.4661</v>
      </c>
      <c r="J1423" s="523">
        <v>70.02</v>
      </c>
    </row>
    <row r="1424" spans="1:10" ht="14.5" thickTop="1" x14ac:dyDescent="0.3">
      <c r="A1424" s="647"/>
      <c r="B1424" s="647"/>
      <c r="C1424" s="647"/>
      <c r="D1424" s="647"/>
      <c r="E1424" s="647"/>
      <c r="F1424" s="647"/>
      <c r="G1424" s="647"/>
      <c r="H1424" s="647"/>
      <c r="I1424" s="647"/>
      <c r="J1424" s="647"/>
    </row>
    <row r="1425" spans="1:10" ht="14.25" customHeight="1" x14ac:dyDescent="0.3">
      <c r="A1425" s="516"/>
      <c r="B1425" s="517" t="s">
        <v>15</v>
      </c>
      <c r="C1425" s="516" t="s">
        <v>16</v>
      </c>
      <c r="D1425" s="516" t="s">
        <v>17</v>
      </c>
      <c r="E1425" s="904" t="s">
        <v>2431</v>
      </c>
      <c r="F1425" s="904"/>
      <c r="G1425" s="518" t="s">
        <v>18</v>
      </c>
      <c r="H1425" s="517" t="s">
        <v>19</v>
      </c>
      <c r="I1425" s="517" t="s">
        <v>20</v>
      </c>
      <c r="J1425" s="517" t="s">
        <v>23</v>
      </c>
    </row>
    <row r="1426" spans="1:10" ht="14.25" customHeight="1" x14ac:dyDescent="0.3">
      <c r="A1426" s="642" t="s">
        <v>2432</v>
      </c>
      <c r="B1426" s="643" t="s">
        <v>533</v>
      </c>
      <c r="C1426" s="642" t="s">
        <v>125</v>
      </c>
      <c r="D1426" s="642" t="s">
        <v>534</v>
      </c>
      <c r="E1426" s="906" t="s">
        <v>1328</v>
      </c>
      <c r="F1426" s="906"/>
      <c r="G1426" s="644" t="s">
        <v>115</v>
      </c>
      <c r="H1426" s="645">
        <v>1</v>
      </c>
      <c r="I1426" s="646">
        <v>77.569999999999993</v>
      </c>
      <c r="J1426" s="646">
        <v>77.569999999999993</v>
      </c>
    </row>
    <row r="1427" spans="1:10" ht="15" customHeight="1" x14ac:dyDescent="0.3">
      <c r="A1427" s="904" t="s">
        <v>2418</v>
      </c>
      <c r="B1427" s="903" t="s">
        <v>15</v>
      </c>
      <c r="C1427" s="904" t="s">
        <v>16</v>
      </c>
      <c r="D1427" s="904" t="s">
        <v>2466</v>
      </c>
      <c r="E1427" s="903" t="s">
        <v>2467</v>
      </c>
      <c r="F1427" s="908" t="s">
        <v>2468</v>
      </c>
      <c r="G1427" s="903"/>
      <c r="H1427" s="518" t="s">
        <v>2469</v>
      </c>
      <c r="I1427" s="903" t="s">
        <v>2470</v>
      </c>
      <c r="J1427"/>
    </row>
    <row r="1428" spans="1:10" x14ac:dyDescent="0.3">
      <c r="A1428" s="903"/>
      <c r="B1428" s="903"/>
      <c r="C1428" s="903"/>
      <c r="D1428" s="903"/>
      <c r="E1428" s="903"/>
      <c r="F1428" s="517" t="s">
        <v>2471</v>
      </c>
      <c r="G1428" s="517" t="s">
        <v>2472</v>
      </c>
      <c r="H1428" s="517" t="s">
        <v>2471</v>
      </c>
      <c r="I1428" s="903"/>
      <c r="J1428"/>
    </row>
    <row r="1429" spans="1:10" x14ac:dyDescent="0.3">
      <c r="A1429" s="519" t="s">
        <v>2437</v>
      </c>
      <c r="B1429" s="520" t="s">
        <v>2820</v>
      </c>
      <c r="C1429" s="519" t="s">
        <v>125</v>
      </c>
      <c r="D1429" s="519" t="s">
        <v>4284</v>
      </c>
      <c r="E1429" s="522">
        <v>9.3719999999999998E-2</v>
      </c>
      <c r="F1429" s="523">
        <v>1</v>
      </c>
      <c r="G1429" s="523">
        <v>0</v>
      </c>
      <c r="H1429" s="524">
        <v>18.346599999999999</v>
      </c>
      <c r="I1429" s="524">
        <v>1.7194</v>
      </c>
      <c r="J1429"/>
    </row>
    <row r="1430" spans="1:10" x14ac:dyDescent="0.3">
      <c r="A1430" s="519" t="s">
        <v>2437</v>
      </c>
      <c r="B1430" s="520" t="s">
        <v>2821</v>
      </c>
      <c r="C1430" s="519" t="s">
        <v>125</v>
      </c>
      <c r="D1430" s="519" t="s">
        <v>2822</v>
      </c>
      <c r="E1430" s="522">
        <v>9.3719999999999998E-2</v>
      </c>
      <c r="F1430" s="523">
        <v>1</v>
      </c>
      <c r="G1430" s="523">
        <v>0</v>
      </c>
      <c r="H1430" s="524">
        <v>26.159800000000001</v>
      </c>
      <c r="I1430" s="524">
        <v>2.4517000000000002</v>
      </c>
      <c r="J1430"/>
    </row>
    <row r="1431" spans="1:10" ht="14.25" customHeight="1" x14ac:dyDescent="0.3">
      <c r="A1431" s="902"/>
      <c r="B1431" s="902"/>
      <c r="C1431" s="902"/>
      <c r="D1431" s="902"/>
      <c r="E1431" s="902"/>
      <c r="F1431" s="902" t="s">
        <v>2475</v>
      </c>
      <c r="G1431" s="902"/>
      <c r="H1431" s="902"/>
      <c r="I1431" s="525">
        <v>4.1711</v>
      </c>
      <c r="J1431"/>
    </row>
    <row r="1432" spans="1:10" ht="14.25" customHeight="1" x14ac:dyDescent="0.3">
      <c r="A1432" s="902"/>
      <c r="B1432" s="902"/>
      <c r="C1432" s="902"/>
      <c r="D1432" s="902"/>
      <c r="E1432" s="902"/>
      <c r="F1432" s="902" t="s">
        <v>2476</v>
      </c>
      <c r="G1432" s="902"/>
      <c r="H1432" s="902"/>
      <c r="I1432" s="525">
        <v>4.1711</v>
      </c>
      <c r="J1432"/>
    </row>
    <row r="1433" spans="1:10" ht="15" customHeight="1" x14ac:dyDescent="0.3">
      <c r="A1433" s="902"/>
      <c r="B1433" s="902"/>
      <c r="C1433" s="902"/>
      <c r="D1433" s="902"/>
      <c r="E1433" s="902"/>
      <c r="F1433" s="902" t="s">
        <v>2477</v>
      </c>
      <c r="G1433" s="902"/>
      <c r="H1433" s="902"/>
      <c r="I1433" s="525">
        <v>0</v>
      </c>
      <c r="J1433"/>
    </row>
    <row r="1434" spans="1:10" x14ac:dyDescent="0.3">
      <c r="A1434" s="902"/>
      <c r="B1434" s="902"/>
      <c r="C1434" s="902"/>
      <c r="D1434" s="902"/>
      <c r="E1434" s="902"/>
      <c r="F1434" s="902" t="s">
        <v>2478</v>
      </c>
      <c r="G1434" s="902"/>
      <c r="H1434" s="902"/>
      <c r="I1434" s="525">
        <v>0</v>
      </c>
      <c r="J1434"/>
    </row>
    <row r="1435" spans="1:10" ht="14.25" customHeight="1" x14ac:dyDescent="0.3">
      <c r="A1435" s="902"/>
      <c r="B1435" s="902"/>
      <c r="C1435" s="902"/>
      <c r="D1435" s="902"/>
      <c r="E1435" s="902"/>
      <c r="F1435" s="902" t="s">
        <v>2479</v>
      </c>
      <c r="G1435" s="902"/>
      <c r="H1435" s="902"/>
      <c r="I1435" s="525">
        <v>1</v>
      </c>
      <c r="J1435"/>
    </row>
    <row r="1436" spans="1:10" ht="14.25" customHeight="1" x14ac:dyDescent="0.3">
      <c r="A1436" s="902"/>
      <c r="B1436" s="902"/>
      <c r="C1436" s="902"/>
      <c r="D1436" s="902"/>
      <c r="E1436" s="902"/>
      <c r="F1436" s="902" t="s">
        <v>2480</v>
      </c>
      <c r="G1436" s="902"/>
      <c r="H1436" s="902"/>
      <c r="I1436" s="525">
        <v>4.1711</v>
      </c>
      <c r="J1436"/>
    </row>
    <row r="1437" spans="1:10" ht="15" customHeight="1" x14ac:dyDescent="0.3">
      <c r="A1437" s="516" t="s">
        <v>2420</v>
      </c>
      <c r="B1437" s="517" t="s">
        <v>16</v>
      </c>
      <c r="C1437" s="516" t="s">
        <v>15</v>
      </c>
      <c r="D1437" s="516" t="s">
        <v>2442</v>
      </c>
      <c r="E1437" s="517" t="s">
        <v>2467</v>
      </c>
      <c r="F1437" s="517" t="s">
        <v>2576</v>
      </c>
      <c r="G1437" s="903" t="s">
        <v>2577</v>
      </c>
      <c r="H1437" s="903"/>
      <c r="I1437" s="517" t="s">
        <v>2470</v>
      </c>
      <c r="J1437"/>
    </row>
    <row r="1438" spans="1:10" x14ac:dyDescent="0.3">
      <c r="A1438" s="519" t="s">
        <v>2437</v>
      </c>
      <c r="B1438" s="520" t="s">
        <v>125</v>
      </c>
      <c r="C1438" s="519" t="s">
        <v>2827</v>
      </c>
      <c r="D1438" s="519" t="s">
        <v>2828</v>
      </c>
      <c r="E1438" s="522">
        <v>1.8519999999999998E-2</v>
      </c>
      <c r="F1438" s="521" t="s">
        <v>2829</v>
      </c>
      <c r="G1438" s="907">
        <v>13.312900000000001</v>
      </c>
      <c r="H1438" s="907"/>
      <c r="I1438" s="524">
        <v>0.24660000000000001</v>
      </c>
      <c r="J1438"/>
    </row>
    <row r="1439" spans="1:10" x14ac:dyDescent="0.3">
      <c r="A1439" s="519" t="s">
        <v>2437</v>
      </c>
      <c r="B1439" s="520" t="s">
        <v>125</v>
      </c>
      <c r="C1439" s="519" t="s">
        <v>2832</v>
      </c>
      <c r="D1439" s="519" t="s">
        <v>2833</v>
      </c>
      <c r="E1439" s="522">
        <v>2.3650000000000001E-2</v>
      </c>
      <c r="F1439" s="521" t="s">
        <v>384</v>
      </c>
      <c r="G1439" s="907">
        <v>18.600000000000001</v>
      </c>
      <c r="H1439" s="907"/>
      <c r="I1439" s="524">
        <v>0.43990000000000001</v>
      </c>
      <c r="J1439"/>
    </row>
    <row r="1440" spans="1:10" x14ac:dyDescent="0.3">
      <c r="A1440" s="519" t="s">
        <v>2437</v>
      </c>
      <c r="B1440" s="520" t="s">
        <v>125</v>
      </c>
      <c r="C1440" s="519" t="s">
        <v>2834</v>
      </c>
      <c r="D1440" s="519" t="s">
        <v>2835</v>
      </c>
      <c r="E1440" s="522">
        <v>1.21489</v>
      </c>
      <c r="F1440" s="521" t="s">
        <v>222</v>
      </c>
      <c r="G1440" s="907">
        <v>4.5</v>
      </c>
      <c r="H1440" s="907"/>
      <c r="I1440" s="524">
        <v>5.4669999999999996</v>
      </c>
      <c r="J1440"/>
    </row>
    <row r="1441" spans="1:10" x14ac:dyDescent="0.3">
      <c r="A1441" s="519" t="s">
        <v>2437</v>
      </c>
      <c r="B1441" s="520" t="s">
        <v>125</v>
      </c>
      <c r="C1441" s="519" t="s">
        <v>3063</v>
      </c>
      <c r="D1441" s="519" t="s">
        <v>3064</v>
      </c>
      <c r="E1441" s="522">
        <v>0.40429999999999999</v>
      </c>
      <c r="F1441" s="521" t="s">
        <v>115</v>
      </c>
      <c r="G1441" s="907">
        <v>43.125</v>
      </c>
      <c r="H1441" s="907"/>
      <c r="I1441" s="524">
        <v>17.435400000000001</v>
      </c>
      <c r="J1441"/>
    </row>
    <row r="1442" spans="1:10" ht="14.25" customHeight="1" x14ac:dyDescent="0.3">
      <c r="A1442" s="902"/>
      <c r="B1442" s="902"/>
      <c r="C1442" s="902"/>
      <c r="D1442" s="902"/>
      <c r="E1442" s="902"/>
      <c r="F1442" s="902" t="s">
        <v>2809</v>
      </c>
      <c r="G1442" s="902"/>
      <c r="H1442" s="902"/>
      <c r="I1442" s="525">
        <v>23.588899999999999</v>
      </c>
      <c r="J1442"/>
    </row>
    <row r="1443" spans="1:10" ht="15" customHeight="1" x14ac:dyDescent="0.3">
      <c r="A1443" s="516" t="s">
        <v>2574</v>
      </c>
      <c r="B1443" s="517" t="s">
        <v>16</v>
      </c>
      <c r="C1443" s="516" t="s">
        <v>15</v>
      </c>
      <c r="D1443" s="516" t="s">
        <v>2575</v>
      </c>
      <c r="E1443" s="517" t="s">
        <v>2467</v>
      </c>
      <c r="F1443" s="517" t="s">
        <v>2576</v>
      </c>
      <c r="G1443" s="903" t="s">
        <v>2577</v>
      </c>
      <c r="H1443" s="903"/>
      <c r="I1443" s="517" t="s">
        <v>2470</v>
      </c>
      <c r="J1443"/>
    </row>
    <row r="1444" spans="1:10" ht="25" x14ac:dyDescent="0.3">
      <c r="A1444" s="519" t="s">
        <v>2578</v>
      </c>
      <c r="B1444" s="520" t="s">
        <v>32</v>
      </c>
      <c r="C1444" s="519">
        <v>88241</v>
      </c>
      <c r="D1444" s="519" t="s">
        <v>2791</v>
      </c>
      <c r="E1444" s="522">
        <v>0.9</v>
      </c>
      <c r="F1444" s="521" t="s">
        <v>1901</v>
      </c>
      <c r="G1444" s="907">
        <v>24.15</v>
      </c>
      <c r="H1444" s="907"/>
      <c r="I1444" s="524">
        <v>21.734999999999999</v>
      </c>
      <c r="J1444"/>
    </row>
    <row r="1445" spans="1:10" ht="25" x14ac:dyDescent="0.3">
      <c r="A1445" s="519" t="s">
        <v>2578</v>
      </c>
      <c r="B1445" s="520" t="s">
        <v>32</v>
      </c>
      <c r="C1445" s="519">
        <v>88262</v>
      </c>
      <c r="D1445" s="519" t="s">
        <v>2619</v>
      </c>
      <c r="E1445" s="522">
        <v>0.9</v>
      </c>
      <c r="F1445" s="521" t="s">
        <v>1901</v>
      </c>
      <c r="G1445" s="907">
        <v>30.71</v>
      </c>
      <c r="H1445" s="907"/>
      <c r="I1445" s="524">
        <v>27.638999999999999</v>
      </c>
      <c r="J1445"/>
    </row>
    <row r="1446" spans="1:10" ht="14.25" customHeight="1" x14ac:dyDescent="0.3">
      <c r="A1446" s="902"/>
      <c r="B1446" s="902"/>
      <c r="C1446" s="902"/>
      <c r="D1446" s="902"/>
      <c r="E1446" s="902"/>
      <c r="F1446" s="902" t="s">
        <v>2579</v>
      </c>
      <c r="G1446" s="902"/>
      <c r="H1446" s="902"/>
      <c r="I1446" s="525">
        <v>49.374000000000002</v>
      </c>
      <c r="J1446"/>
    </row>
    <row r="1447" spans="1:10" ht="15" customHeight="1" x14ac:dyDescent="0.3">
      <c r="A1447" s="516" t="s">
        <v>2580</v>
      </c>
      <c r="B1447" s="517" t="s">
        <v>16</v>
      </c>
      <c r="C1447" s="516" t="s">
        <v>2437</v>
      </c>
      <c r="D1447" s="516" t="s">
        <v>2581</v>
      </c>
      <c r="E1447" s="517" t="s">
        <v>15</v>
      </c>
      <c r="F1447" s="517" t="s">
        <v>2467</v>
      </c>
      <c r="G1447" s="518" t="s">
        <v>2576</v>
      </c>
      <c r="H1447" s="517" t="s">
        <v>2577</v>
      </c>
      <c r="I1447" s="517" t="s">
        <v>2470</v>
      </c>
      <c r="J1447"/>
    </row>
    <row r="1448" spans="1:10" ht="25" x14ac:dyDescent="0.3">
      <c r="A1448" s="519" t="s">
        <v>2582</v>
      </c>
      <c r="B1448" s="520" t="s">
        <v>125</v>
      </c>
      <c r="C1448" s="519" t="s">
        <v>2827</v>
      </c>
      <c r="D1448" s="519" t="s">
        <v>2838</v>
      </c>
      <c r="E1448" s="520">
        <v>5914655</v>
      </c>
      <c r="F1448" s="522">
        <v>2.0000000000000002E-5</v>
      </c>
      <c r="G1448" s="521" t="s">
        <v>374</v>
      </c>
      <c r="H1448" s="524">
        <v>33.159999999999997</v>
      </c>
      <c r="I1448" s="524">
        <v>6.9999999999999999E-4</v>
      </c>
      <c r="J1448"/>
    </row>
    <row r="1449" spans="1:10" ht="15" customHeight="1" x14ac:dyDescent="0.3">
      <c r="A1449" s="519" t="s">
        <v>2582</v>
      </c>
      <c r="B1449" s="520" t="s">
        <v>125</v>
      </c>
      <c r="C1449" s="519" t="s">
        <v>2832</v>
      </c>
      <c r="D1449" s="519" t="s">
        <v>2838</v>
      </c>
      <c r="E1449" s="520">
        <v>5914655</v>
      </c>
      <c r="F1449" s="522">
        <v>2.0000000000000002E-5</v>
      </c>
      <c r="G1449" s="521" t="s">
        <v>374</v>
      </c>
      <c r="H1449" s="524">
        <v>33.159999999999997</v>
      </c>
      <c r="I1449" s="524">
        <v>6.9999999999999999E-4</v>
      </c>
      <c r="J1449"/>
    </row>
    <row r="1450" spans="1:10" s="358" customFormat="1" ht="25" x14ac:dyDescent="0.3">
      <c r="A1450" s="519" t="s">
        <v>2582</v>
      </c>
      <c r="B1450" s="520" t="s">
        <v>125</v>
      </c>
      <c r="C1450" s="519" t="s">
        <v>2834</v>
      </c>
      <c r="D1450" s="519" t="s">
        <v>2838</v>
      </c>
      <c r="E1450" s="520">
        <v>5914655</v>
      </c>
      <c r="F1450" s="522">
        <v>3.0400000000000002E-3</v>
      </c>
      <c r="G1450" s="521" t="s">
        <v>374</v>
      </c>
      <c r="H1450" s="524">
        <v>33.159999999999997</v>
      </c>
      <c r="I1450" s="524">
        <v>0.1008</v>
      </c>
      <c r="J1450"/>
    </row>
    <row r="1451" spans="1:10" ht="25" x14ac:dyDescent="0.3">
      <c r="A1451" s="519" t="s">
        <v>2582</v>
      </c>
      <c r="B1451" s="520" t="s">
        <v>125</v>
      </c>
      <c r="C1451" s="519" t="s">
        <v>3063</v>
      </c>
      <c r="D1451" s="519" t="s">
        <v>2838</v>
      </c>
      <c r="E1451" s="520">
        <v>5914655</v>
      </c>
      <c r="F1451" s="522">
        <v>1.0109999999999999E-2</v>
      </c>
      <c r="G1451" s="521" t="s">
        <v>374</v>
      </c>
      <c r="H1451" s="524">
        <v>33.159999999999997</v>
      </c>
      <c r="I1451" s="524">
        <v>0.3352</v>
      </c>
      <c r="J1451"/>
    </row>
    <row r="1452" spans="1:10" s="358" customFormat="1" ht="25.5" customHeight="1" x14ac:dyDescent="0.3">
      <c r="A1452" s="902"/>
      <c r="B1452" s="902"/>
      <c r="C1452" s="902"/>
      <c r="D1452" s="902"/>
      <c r="E1452" s="902"/>
      <c r="F1452" s="902" t="s">
        <v>2585</v>
      </c>
      <c r="G1452" s="902"/>
      <c r="H1452" s="902"/>
      <c r="I1452" s="525">
        <v>0.43740000000000001</v>
      </c>
      <c r="J1452"/>
    </row>
    <row r="1453" spans="1:10" ht="15" customHeight="1" x14ac:dyDescent="0.3">
      <c r="A1453" s="516" t="s">
        <v>2586</v>
      </c>
      <c r="B1453" s="517" t="s">
        <v>16</v>
      </c>
      <c r="C1453" s="516" t="s">
        <v>2437</v>
      </c>
      <c r="D1453" s="516" t="s">
        <v>2587</v>
      </c>
      <c r="E1453" s="517" t="s">
        <v>2467</v>
      </c>
      <c r="F1453" s="517" t="s">
        <v>2576</v>
      </c>
      <c r="G1453" s="908" t="s">
        <v>2588</v>
      </c>
      <c r="H1453" s="903"/>
      <c r="I1453" s="517" t="s">
        <v>2470</v>
      </c>
      <c r="J1453"/>
    </row>
    <row r="1454" spans="1:10" x14ac:dyDescent="0.3">
      <c r="A1454" s="518"/>
      <c r="B1454" s="518"/>
      <c r="C1454" s="518"/>
      <c r="D1454" s="518"/>
      <c r="E1454" s="518"/>
      <c r="F1454" s="518"/>
      <c r="G1454" s="518" t="s">
        <v>2589</v>
      </c>
      <c r="H1454" s="518" t="s">
        <v>2590</v>
      </c>
      <c r="I1454" s="518"/>
      <c r="J1454"/>
    </row>
    <row r="1455" spans="1:10" ht="37.5" x14ac:dyDescent="0.3">
      <c r="A1455" s="519" t="s">
        <v>2587</v>
      </c>
      <c r="B1455" s="520" t="s">
        <v>125</v>
      </c>
      <c r="C1455" s="519" t="s">
        <v>2827</v>
      </c>
      <c r="D1455" s="519" t="s">
        <v>2841</v>
      </c>
      <c r="E1455" s="522">
        <v>2.0000000000000002E-5</v>
      </c>
      <c r="F1455" s="521" t="s">
        <v>2592</v>
      </c>
      <c r="G1455" s="520" t="s">
        <v>4472</v>
      </c>
      <c r="H1455" s="520" t="s">
        <v>4473</v>
      </c>
      <c r="I1455" s="524">
        <v>0</v>
      </c>
      <c r="J1455"/>
    </row>
    <row r="1456" spans="1:10" ht="37.5" x14ac:dyDescent="0.3">
      <c r="A1456" s="519" t="s">
        <v>2587</v>
      </c>
      <c r="B1456" s="520" t="s">
        <v>125</v>
      </c>
      <c r="C1456" s="519" t="s">
        <v>2832</v>
      </c>
      <c r="D1456" s="519" t="s">
        <v>2843</v>
      </c>
      <c r="E1456" s="522">
        <v>2.0000000000000002E-5</v>
      </c>
      <c r="F1456" s="521" t="s">
        <v>2592</v>
      </c>
      <c r="G1456" s="520" t="s">
        <v>4472</v>
      </c>
      <c r="H1456" s="520" t="s">
        <v>4473</v>
      </c>
      <c r="I1456" s="524">
        <v>0</v>
      </c>
      <c r="J1456"/>
    </row>
    <row r="1457" spans="1:10" ht="37.5" x14ac:dyDescent="0.3">
      <c r="A1457" s="519" t="s">
        <v>2587</v>
      </c>
      <c r="B1457" s="520" t="s">
        <v>125</v>
      </c>
      <c r="C1457" s="519" t="s">
        <v>2834</v>
      </c>
      <c r="D1457" s="519" t="s">
        <v>2844</v>
      </c>
      <c r="E1457" s="522">
        <v>3.0400000000000002E-3</v>
      </c>
      <c r="F1457" s="521" t="s">
        <v>2592</v>
      </c>
      <c r="G1457" s="520" t="s">
        <v>4472</v>
      </c>
      <c r="H1457" s="520" t="s">
        <v>4473</v>
      </c>
      <c r="I1457" s="524">
        <v>0</v>
      </c>
      <c r="J1457"/>
    </row>
    <row r="1458" spans="1:10" ht="37.5" x14ac:dyDescent="0.3">
      <c r="A1458" s="519" t="s">
        <v>2587</v>
      </c>
      <c r="B1458" s="520" t="s">
        <v>125</v>
      </c>
      <c r="C1458" s="519" t="s">
        <v>3063</v>
      </c>
      <c r="D1458" s="519" t="s">
        <v>3065</v>
      </c>
      <c r="E1458" s="522">
        <v>1.0109999999999999E-2</v>
      </c>
      <c r="F1458" s="521" t="s">
        <v>2592</v>
      </c>
      <c r="G1458" s="520" t="s">
        <v>4472</v>
      </c>
      <c r="H1458" s="520" t="s">
        <v>4473</v>
      </c>
      <c r="I1458" s="524">
        <v>0</v>
      </c>
      <c r="J1458"/>
    </row>
    <row r="1459" spans="1:10" s="358" customFormat="1" ht="15.75" customHeight="1" thickBot="1" x14ac:dyDescent="0.35">
      <c r="A1459" s="902"/>
      <c r="B1459" s="902"/>
      <c r="C1459" s="902"/>
      <c r="D1459" s="902"/>
      <c r="E1459" s="902"/>
      <c r="F1459" s="902" t="s">
        <v>2593</v>
      </c>
      <c r="G1459" s="902"/>
      <c r="H1459" s="902"/>
      <c r="I1459" s="525">
        <v>0</v>
      </c>
      <c r="J1459"/>
    </row>
    <row r="1460" spans="1:10" ht="14.5" thickTop="1" x14ac:dyDescent="0.3">
      <c r="A1460" s="647"/>
      <c r="B1460" s="647"/>
      <c r="C1460" s="647"/>
      <c r="D1460" s="647"/>
      <c r="E1460" s="647"/>
      <c r="F1460" s="647"/>
      <c r="G1460" s="647"/>
      <c r="H1460" s="647"/>
      <c r="I1460" s="647"/>
      <c r="J1460" s="647"/>
    </row>
    <row r="1461" spans="1:10" s="358" customFormat="1" x14ac:dyDescent="0.3">
      <c r="A1461" s="516"/>
      <c r="B1461" s="517" t="s">
        <v>15</v>
      </c>
      <c r="C1461" s="516" t="s">
        <v>16</v>
      </c>
      <c r="D1461" s="516" t="s">
        <v>17</v>
      </c>
      <c r="E1461" s="904" t="s">
        <v>2431</v>
      </c>
      <c r="F1461" s="904"/>
      <c r="G1461" s="518" t="s">
        <v>18</v>
      </c>
      <c r="H1461" s="517" t="s">
        <v>19</v>
      </c>
      <c r="I1461" s="517" t="s">
        <v>20</v>
      </c>
      <c r="J1461" s="517" t="s">
        <v>23</v>
      </c>
    </row>
    <row r="1462" spans="1:10" ht="25.5" customHeight="1" x14ac:dyDescent="0.3">
      <c r="A1462" s="642" t="s">
        <v>2432</v>
      </c>
      <c r="B1462" s="643" t="s">
        <v>539</v>
      </c>
      <c r="C1462" s="642" t="s">
        <v>32</v>
      </c>
      <c r="D1462" s="642" t="s">
        <v>540</v>
      </c>
      <c r="E1462" s="906" t="s">
        <v>3029</v>
      </c>
      <c r="F1462" s="906"/>
      <c r="G1462" s="644" t="s">
        <v>194</v>
      </c>
      <c r="H1462" s="645">
        <v>1</v>
      </c>
      <c r="I1462" s="646">
        <v>300.54000000000002</v>
      </c>
      <c r="J1462" s="646">
        <v>300.54000000000002</v>
      </c>
    </row>
    <row r="1463" spans="1:10" ht="50" x14ac:dyDescent="0.3">
      <c r="A1463" s="519" t="s">
        <v>2434</v>
      </c>
      <c r="B1463" s="520" t="s">
        <v>2753</v>
      </c>
      <c r="C1463" s="519" t="s">
        <v>32</v>
      </c>
      <c r="D1463" s="519" t="s">
        <v>2754</v>
      </c>
      <c r="E1463" s="905" t="s">
        <v>2465</v>
      </c>
      <c r="F1463" s="905"/>
      <c r="G1463" s="521" t="s">
        <v>103</v>
      </c>
      <c r="H1463" s="522">
        <v>7.4200000000000002E-2</v>
      </c>
      <c r="I1463" s="523">
        <v>139.99</v>
      </c>
      <c r="J1463" s="523">
        <v>10.38</v>
      </c>
    </row>
    <row r="1464" spans="1:10" ht="50" x14ac:dyDescent="0.3">
      <c r="A1464" s="519" t="s">
        <v>2434</v>
      </c>
      <c r="B1464" s="520" t="s">
        <v>2755</v>
      </c>
      <c r="C1464" s="519" t="s">
        <v>32</v>
      </c>
      <c r="D1464" s="519" t="s">
        <v>2756</v>
      </c>
      <c r="E1464" s="905" t="s">
        <v>2465</v>
      </c>
      <c r="F1464" s="905"/>
      <c r="G1464" s="521" t="s">
        <v>110</v>
      </c>
      <c r="H1464" s="522">
        <v>0.1512</v>
      </c>
      <c r="I1464" s="523">
        <v>61.95</v>
      </c>
      <c r="J1464" s="523">
        <v>9.36</v>
      </c>
    </row>
    <row r="1465" spans="1:10" ht="25" x14ac:dyDescent="0.3">
      <c r="A1465" s="519" t="s">
        <v>2434</v>
      </c>
      <c r="B1465" s="520" t="s">
        <v>2757</v>
      </c>
      <c r="C1465" s="519" t="s">
        <v>32</v>
      </c>
      <c r="D1465" s="519" t="s">
        <v>2758</v>
      </c>
      <c r="E1465" s="905" t="s">
        <v>2433</v>
      </c>
      <c r="F1465" s="905"/>
      <c r="G1465" s="521" t="s">
        <v>1901</v>
      </c>
      <c r="H1465" s="522">
        <v>0.2999</v>
      </c>
      <c r="I1465" s="523">
        <v>31.1</v>
      </c>
      <c r="J1465" s="523">
        <v>9.32</v>
      </c>
    </row>
    <row r="1466" spans="1:10" ht="25" x14ac:dyDescent="0.3">
      <c r="A1466" s="519" t="s">
        <v>2434</v>
      </c>
      <c r="B1466" s="520" t="s">
        <v>2561</v>
      </c>
      <c r="C1466" s="519" t="s">
        <v>32</v>
      </c>
      <c r="D1466" s="519" t="s">
        <v>2562</v>
      </c>
      <c r="E1466" s="905" t="s">
        <v>2433</v>
      </c>
      <c r="F1466" s="905"/>
      <c r="G1466" s="521" t="s">
        <v>1901</v>
      </c>
      <c r="H1466" s="522">
        <v>0.2356</v>
      </c>
      <c r="I1466" s="523">
        <v>23.4</v>
      </c>
      <c r="J1466" s="523">
        <v>5.51</v>
      </c>
    </row>
    <row r="1467" spans="1:10" s="358" customFormat="1" ht="25" x14ac:dyDescent="0.3">
      <c r="A1467" s="519" t="s">
        <v>2434</v>
      </c>
      <c r="B1467" s="520" t="s">
        <v>2759</v>
      </c>
      <c r="C1467" s="519" t="s">
        <v>32</v>
      </c>
      <c r="D1467" s="519" t="s">
        <v>2760</v>
      </c>
      <c r="E1467" s="905" t="s">
        <v>2433</v>
      </c>
      <c r="F1467" s="905"/>
      <c r="G1467" s="521" t="s">
        <v>118</v>
      </c>
      <c r="H1467" s="522">
        <v>6.1999999999999998E-3</v>
      </c>
      <c r="I1467" s="523">
        <v>524.29</v>
      </c>
      <c r="J1467" s="523">
        <v>3.25</v>
      </c>
    </row>
    <row r="1468" spans="1:10" ht="25.5" thickBot="1" x14ac:dyDescent="0.35">
      <c r="A1468" s="519" t="s">
        <v>2437</v>
      </c>
      <c r="B1468" s="520" t="s">
        <v>3066</v>
      </c>
      <c r="C1468" s="519" t="s">
        <v>32</v>
      </c>
      <c r="D1468" s="519" t="s">
        <v>3067</v>
      </c>
      <c r="E1468" s="905" t="s">
        <v>2442</v>
      </c>
      <c r="F1468" s="905"/>
      <c r="G1468" s="521" t="s">
        <v>89</v>
      </c>
      <c r="H1468" s="522">
        <v>2</v>
      </c>
      <c r="I1468" s="523">
        <v>131.36000000000001</v>
      </c>
      <c r="J1468" s="523">
        <v>262.72000000000003</v>
      </c>
    </row>
    <row r="1469" spans="1:10" s="358" customFormat="1" ht="14.5" thickTop="1" x14ac:dyDescent="0.3">
      <c r="A1469" s="647"/>
      <c r="B1469" s="647"/>
      <c r="C1469" s="647"/>
      <c r="D1469" s="647"/>
      <c r="E1469" s="647"/>
      <c r="F1469" s="647"/>
      <c r="G1469" s="647"/>
      <c r="H1469" s="647"/>
      <c r="I1469" s="647"/>
      <c r="J1469" s="647"/>
    </row>
    <row r="1470" spans="1:10" x14ac:dyDescent="0.3">
      <c r="A1470" s="516"/>
      <c r="B1470" s="517" t="s">
        <v>15</v>
      </c>
      <c r="C1470" s="516" t="s">
        <v>16</v>
      </c>
      <c r="D1470" s="516" t="s">
        <v>17</v>
      </c>
      <c r="E1470" s="904" t="s">
        <v>2431</v>
      </c>
      <c r="F1470" s="904"/>
      <c r="G1470" s="518" t="s">
        <v>18</v>
      </c>
      <c r="H1470" s="517" t="s">
        <v>19</v>
      </c>
      <c r="I1470" s="517" t="s">
        <v>20</v>
      </c>
      <c r="J1470" s="517" t="s">
        <v>23</v>
      </c>
    </row>
    <row r="1471" spans="1:10" ht="37.5" x14ac:dyDescent="0.3">
      <c r="A1471" s="642" t="s">
        <v>2432</v>
      </c>
      <c r="B1471" s="643" t="s">
        <v>542</v>
      </c>
      <c r="C1471" s="642" t="s">
        <v>32</v>
      </c>
      <c r="D1471" s="642" t="s">
        <v>543</v>
      </c>
      <c r="E1471" s="906" t="s">
        <v>2617</v>
      </c>
      <c r="F1471" s="906"/>
      <c r="G1471" s="644" t="s">
        <v>118</v>
      </c>
      <c r="H1471" s="645">
        <v>1</v>
      </c>
      <c r="I1471" s="646">
        <v>17.05</v>
      </c>
      <c r="J1471" s="646">
        <v>17.05</v>
      </c>
    </row>
    <row r="1472" spans="1:10" ht="25" x14ac:dyDescent="0.3">
      <c r="A1472" s="519" t="s">
        <v>2434</v>
      </c>
      <c r="B1472" s="520" t="s">
        <v>2627</v>
      </c>
      <c r="C1472" s="519" t="s">
        <v>32</v>
      </c>
      <c r="D1472" s="519" t="s">
        <v>2628</v>
      </c>
      <c r="E1472" s="905" t="s">
        <v>2433</v>
      </c>
      <c r="F1472" s="905"/>
      <c r="G1472" s="521" t="s">
        <v>1901</v>
      </c>
      <c r="H1472" s="522">
        <v>0.09</v>
      </c>
      <c r="I1472" s="523">
        <v>24.12</v>
      </c>
      <c r="J1472" s="523">
        <v>2.17</v>
      </c>
    </row>
    <row r="1473" spans="1:10" s="358" customFormat="1" ht="25" x14ac:dyDescent="0.3">
      <c r="A1473" s="519" t="s">
        <v>2434</v>
      </c>
      <c r="B1473" s="520" t="s">
        <v>2618</v>
      </c>
      <c r="C1473" s="519" t="s">
        <v>32</v>
      </c>
      <c r="D1473" s="519" t="s">
        <v>2619</v>
      </c>
      <c r="E1473" s="905" t="s">
        <v>2433</v>
      </c>
      <c r="F1473" s="905"/>
      <c r="G1473" s="521" t="s">
        <v>1901</v>
      </c>
      <c r="H1473" s="522">
        <v>0.127</v>
      </c>
      <c r="I1473" s="523">
        <v>30.71</v>
      </c>
      <c r="J1473" s="523">
        <v>3.9</v>
      </c>
    </row>
    <row r="1474" spans="1:10" ht="25" x14ac:dyDescent="0.3">
      <c r="A1474" s="519" t="s">
        <v>2434</v>
      </c>
      <c r="B1474" s="520" t="s">
        <v>3068</v>
      </c>
      <c r="C1474" s="519" t="s">
        <v>32</v>
      </c>
      <c r="D1474" s="519" t="s">
        <v>3069</v>
      </c>
      <c r="E1474" s="905" t="s">
        <v>2617</v>
      </c>
      <c r="F1474" s="905"/>
      <c r="G1474" s="521" t="s">
        <v>194</v>
      </c>
      <c r="H1474" s="522">
        <v>0.54500000000000004</v>
      </c>
      <c r="I1474" s="523">
        <v>14.88</v>
      </c>
      <c r="J1474" s="523">
        <v>8.1</v>
      </c>
    </row>
    <row r="1475" spans="1:10" s="358" customFormat="1" ht="37.5" x14ac:dyDescent="0.3">
      <c r="A1475" s="519" t="s">
        <v>2437</v>
      </c>
      <c r="B1475" s="520" t="s">
        <v>2918</v>
      </c>
      <c r="C1475" s="519" t="s">
        <v>32</v>
      </c>
      <c r="D1475" s="519" t="s">
        <v>4286</v>
      </c>
      <c r="E1475" s="905" t="s">
        <v>2442</v>
      </c>
      <c r="F1475" s="905"/>
      <c r="G1475" s="521" t="s">
        <v>194</v>
      </c>
      <c r="H1475" s="522">
        <v>0.14299999999999999</v>
      </c>
      <c r="I1475" s="523">
        <v>18.329999999999998</v>
      </c>
      <c r="J1475" s="523">
        <v>2.62</v>
      </c>
    </row>
    <row r="1476" spans="1:10" ht="14.5" thickBot="1" x14ac:dyDescent="0.35">
      <c r="A1476" s="519" t="s">
        <v>2437</v>
      </c>
      <c r="B1476" s="520" t="s">
        <v>3070</v>
      </c>
      <c r="C1476" s="519" t="s">
        <v>32</v>
      </c>
      <c r="D1476" s="519" t="s">
        <v>3071</v>
      </c>
      <c r="E1476" s="905" t="s">
        <v>2442</v>
      </c>
      <c r="F1476" s="905"/>
      <c r="G1476" s="521" t="s">
        <v>1369</v>
      </c>
      <c r="H1476" s="522">
        <v>1.0999999999999999E-2</v>
      </c>
      <c r="I1476" s="523">
        <v>24.48</v>
      </c>
      <c r="J1476" s="523">
        <v>0.26</v>
      </c>
    </row>
    <row r="1477" spans="1:10" ht="25.5" customHeight="1" thickTop="1" x14ac:dyDescent="0.3">
      <c r="A1477" s="647"/>
      <c r="B1477" s="647"/>
      <c r="C1477" s="647"/>
      <c r="D1477" s="647"/>
      <c r="E1477" s="647"/>
      <c r="F1477" s="647"/>
      <c r="G1477" s="647"/>
      <c r="H1477" s="647"/>
      <c r="I1477" s="647"/>
      <c r="J1477" s="647"/>
    </row>
    <row r="1478" spans="1:10" ht="25.5" customHeight="1" x14ac:dyDescent="0.3">
      <c r="A1478" s="516"/>
      <c r="B1478" s="517" t="s">
        <v>15</v>
      </c>
      <c r="C1478" s="516" t="s">
        <v>16</v>
      </c>
      <c r="D1478" s="516" t="s">
        <v>17</v>
      </c>
      <c r="E1478" s="904" t="s">
        <v>2431</v>
      </c>
      <c r="F1478" s="904"/>
      <c r="G1478" s="518" t="s">
        <v>18</v>
      </c>
      <c r="H1478" s="517" t="s">
        <v>19</v>
      </c>
      <c r="I1478" s="517" t="s">
        <v>20</v>
      </c>
      <c r="J1478" s="517" t="s">
        <v>23</v>
      </c>
    </row>
    <row r="1479" spans="1:10" x14ac:dyDescent="0.3">
      <c r="A1479" s="642" t="s">
        <v>2432</v>
      </c>
      <c r="B1479" s="643" t="s">
        <v>547</v>
      </c>
      <c r="C1479" s="642" t="s">
        <v>197</v>
      </c>
      <c r="D1479" s="642" t="s">
        <v>4508</v>
      </c>
      <c r="E1479" s="906" t="s">
        <v>1328</v>
      </c>
      <c r="F1479" s="906"/>
      <c r="G1479" s="644" t="s">
        <v>194</v>
      </c>
      <c r="H1479" s="645">
        <v>1</v>
      </c>
      <c r="I1479" s="646">
        <v>5.19</v>
      </c>
      <c r="J1479" s="646">
        <v>5.19</v>
      </c>
    </row>
    <row r="1480" spans="1:10" ht="26.25" customHeight="1" x14ac:dyDescent="0.3">
      <c r="A1480" s="519" t="s">
        <v>2434</v>
      </c>
      <c r="B1480" s="520" t="s">
        <v>3007</v>
      </c>
      <c r="C1480" s="519" t="s">
        <v>32</v>
      </c>
      <c r="D1480" s="519" t="s">
        <v>3008</v>
      </c>
      <c r="E1480" s="905" t="s">
        <v>2433</v>
      </c>
      <c r="F1480" s="905"/>
      <c r="G1480" s="521" t="s">
        <v>1901</v>
      </c>
      <c r="H1480" s="522">
        <v>0.03</v>
      </c>
      <c r="I1480" s="523">
        <v>25.19</v>
      </c>
      <c r="J1480" s="523">
        <v>0.75</v>
      </c>
    </row>
    <row r="1481" spans="1:10" s="358" customFormat="1" ht="25" x14ac:dyDescent="0.3">
      <c r="A1481" s="519" t="s">
        <v>2434</v>
      </c>
      <c r="B1481" s="520" t="s">
        <v>2561</v>
      </c>
      <c r="C1481" s="519" t="s">
        <v>32</v>
      </c>
      <c r="D1481" s="519" t="s">
        <v>2562</v>
      </c>
      <c r="E1481" s="905" t="s">
        <v>2433</v>
      </c>
      <c r="F1481" s="905"/>
      <c r="G1481" s="521" t="s">
        <v>1901</v>
      </c>
      <c r="H1481" s="522">
        <v>0.06</v>
      </c>
      <c r="I1481" s="523">
        <v>23.4</v>
      </c>
      <c r="J1481" s="523">
        <v>1.4</v>
      </c>
    </row>
    <row r="1482" spans="1:10" ht="63" thickBot="1" x14ac:dyDescent="0.35">
      <c r="A1482" s="519" t="s">
        <v>2434</v>
      </c>
      <c r="B1482" s="520" t="s">
        <v>3072</v>
      </c>
      <c r="C1482" s="519" t="s">
        <v>32</v>
      </c>
      <c r="D1482" s="519" t="s">
        <v>4294</v>
      </c>
      <c r="E1482" s="905" t="s">
        <v>2465</v>
      </c>
      <c r="F1482" s="905"/>
      <c r="G1482" s="521" t="s">
        <v>103</v>
      </c>
      <c r="H1482" s="522">
        <v>8.9999999999999993E-3</v>
      </c>
      <c r="I1482" s="523">
        <v>338.68</v>
      </c>
      <c r="J1482" s="523">
        <v>3.04</v>
      </c>
    </row>
    <row r="1483" spans="1:10" s="358" customFormat="1" ht="14.5" thickTop="1" x14ac:dyDescent="0.3">
      <c r="A1483" s="647"/>
      <c r="B1483" s="647"/>
      <c r="C1483" s="647"/>
      <c r="D1483" s="647"/>
      <c r="E1483" s="647"/>
      <c r="F1483" s="647"/>
      <c r="G1483" s="647"/>
      <c r="H1483" s="647"/>
      <c r="I1483" s="647"/>
      <c r="J1483" s="647"/>
    </row>
    <row r="1484" spans="1:10" x14ac:dyDescent="0.3">
      <c r="A1484" s="516"/>
      <c r="B1484" s="517" t="s">
        <v>15</v>
      </c>
      <c r="C1484" s="516" t="s">
        <v>16</v>
      </c>
      <c r="D1484" s="516" t="s">
        <v>17</v>
      </c>
      <c r="E1484" s="904" t="s">
        <v>2431</v>
      </c>
      <c r="F1484" s="904"/>
      <c r="G1484" s="518" t="s">
        <v>18</v>
      </c>
      <c r="H1484" s="517" t="s">
        <v>19</v>
      </c>
      <c r="I1484" s="517" t="s">
        <v>20</v>
      </c>
      <c r="J1484" s="517" t="s">
        <v>23</v>
      </c>
    </row>
    <row r="1485" spans="1:10" ht="50" x14ac:dyDescent="0.3">
      <c r="A1485" s="642" t="s">
        <v>2432</v>
      </c>
      <c r="B1485" s="643" t="s">
        <v>561</v>
      </c>
      <c r="C1485" s="642" t="s">
        <v>32</v>
      </c>
      <c r="D1485" s="642" t="s">
        <v>562</v>
      </c>
      <c r="E1485" s="906" t="s">
        <v>2706</v>
      </c>
      <c r="F1485" s="906"/>
      <c r="G1485" s="644" t="s">
        <v>118</v>
      </c>
      <c r="H1485" s="645">
        <v>1</v>
      </c>
      <c r="I1485" s="646">
        <v>13.23</v>
      </c>
      <c r="J1485" s="646">
        <v>13.23</v>
      </c>
    </row>
    <row r="1486" spans="1:10" ht="38.25" customHeight="1" x14ac:dyDescent="0.3">
      <c r="A1486" s="519" t="s">
        <v>2434</v>
      </c>
      <c r="B1486" s="520" t="s">
        <v>3073</v>
      </c>
      <c r="C1486" s="519" t="s">
        <v>32</v>
      </c>
      <c r="D1486" s="519" t="s">
        <v>3074</v>
      </c>
      <c r="E1486" s="905" t="s">
        <v>2563</v>
      </c>
      <c r="F1486" s="905"/>
      <c r="G1486" s="521" t="s">
        <v>118</v>
      </c>
      <c r="H1486" s="522">
        <v>1.25</v>
      </c>
      <c r="I1486" s="523">
        <v>8.31</v>
      </c>
      <c r="J1486" s="523">
        <v>10.38</v>
      </c>
    </row>
    <row r="1487" spans="1:10" ht="38.25" customHeight="1" x14ac:dyDescent="0.3">
      <c r="A1487" s="519" t="s">
        <v>2434</v>
      </c>
      <c r="B1487" s="520" t="s">
        <v>3075</v>
      </c>
      <c r="C1487" s="519" t="s">
        <v>32</v>
      </c>
      <c r="D1487" s="519" t="s">
        <v>3076</v>
      </c>
      <c r="E1487" s="905" t="s">
        <v>2465</v>
      </c>
      <c r="F1487" s="905"/>
      <c r="G1487" s="521" t="s">
        <v>103</v>
      </c>
      <c r="H1487" s="522">
        <v>4.7999999999999996E-3</v>
      </c>
      <c r="I1487" s="523">
        <v>261.49</v>
      </c>
      <c r="J1487" s="523">
        <v>1.25</v>
      </c>
    </row>
    <row r="1488" spans="1:10" ht="38.25" customHeight="1" x14ac:dyDescent="0.3">
      <c r="A1488" s="519" t="s">
        <v>2434</v>
      </c>
      <c r="B1488" s="520" t="s">
        <v>3077</v>
      </c>
      <c r="C1488" s="519" t="s">
        <v>32</v>
      </c>
      <c r="D1488" s="519" t="s">
        <v>3078</v>
      </c>
      <c r="E1488" s="905" t="s">
        <v>2465</v>
      </c>
      <c r="F1488" s="905"/>
      <c r="G1488" s="521" t="s">
        <v>110</v>
      </c>
      <c r="H1488" s="522">
        <v>8.2000000000000007E-3</v>
      </c>
      <c r="I1488" s="523">
        <v>88.11</v>
      </c>
      <c r="J1488" s="523">
        <v>0.72</v>
      </c>
    </row>
    <row r="1489" spans="1:10" ht="25" x14ac:dyDescent="0.3">
      <c r="A1489" s="519" t="s">
        <v>2434</v>
      </c>
      <c r="B1489" s="520" t="s">
        <v>2561</v>
      </c>
      <c r="C1489" s="519" t="s">
        <v>32</v>
      </c>
      <c r="D1489" s="519" t="s">
        <v>2562</v>
      </c>
      <c r="E1489" s="905" t="s">
        <v>2433</v>
      </c>
      <c r="F1489" s="905"/>
      <c r="G1489" s="521" t="s">
        <v>1901</v>
      </c>
      <c r="H1489" s="522">
        <v>1.3100000000000001E-2</v>
      </c>
      <c r="I1489" s="523">
        <v>23.4</v>
      </c>
      <c r="J1489" s="523">
        <v>0.3</v>
      </c>
    </row>
    <row r="1490" spans="1:10" ht="39" customHeight="1" thickBot="1" x14ac:dyDescent="0.35">
      <c r="A1490" s="519" t="s">
        <v>2434</v>
      </c>
      <c r="B1490" s="520" t="s">
        <v>3079</v>
      </c>
      <c r="C1490" s="519" t="s">
        <v>32</v>
      </c>
      <c r="D1490" s="519" t="s">
        <v>3080</v>
      </c>
      <c r="E1490" s="905" t="s">
        <v>2563</v>
      </c>
      <c r="F1490" s="905"/>
      <c r="G1490" s="521" t="s">
        <v>121</v>
      </c>
      <c r="H1490" s="522">
        <v>0.25</v>
      </c>
      <c r="I1490" s="523">
        <v>2.3199999999999998</v>
      </c>
      <c r="J1490" s="523">
        <v>0.57999999999999996</v>
      </c>
    </row>
    <row r="1491" spans="1:10" s="358" customFormat="1" ht="14.5" thickTop="1" x14ac:dyDescent="0.3">
      <c r="A1491" s="647"/>
      <c r="B1491" s="647"/>
      <c r="C1491" s="647"/>
      <c r="D1491" s="647"/>
      <c r="E1491" s="647"/>
      <c r="F1491" s="647"/>
      <c r="G1491" s="647"/>
      <c r="H1491" s="647"/>
      <c r="I1491" s="647"/>
      <c r="J1491" s="647"/>
    </row>
    <row r="1492" spans="1:10" x14ac:dyDescent="0.3">
      <c r="A1492" s="516"/>
      <c r="B1492" s="517" t="s">
        <v>15</v>
      </c>
      <c r="C1492" s="516" t="s">
        <v>16</v>
      </c>
      <c r="D1492" s="516" t="s">
        <v>17</v>
      </c>
      <c r="E1492" s="904" t="s">
        <v>2431</v>
      </c>
      <c r="F1492" s="904"/>
      <c r="G1492" s="518" t="s">
        <v>18</v>
      </c>
      <c r="H1492" s="517" t="s">
        <v>19</v>
      </c>
      <c r="I1492" s="517" t="s">
        <v>20</v>
      </c>
      <c r="J1492" s="517" t="s">
        <v>23</v>
      </c>
    </row>
    <row r="1493" spans="1:10" s="358" customFormat="1" ht="50" x14ac:dyDescent="0.3">
      <c r="A1493" s="642" t="s">
        <v>2432</v>
      </c>
      <c r="B1493" s="643" t="s">
        <v>569</v>
      </c>
      <c r="C1493" s="642" t="s">
        <v>32</v>
      </c>
      <c r="D1493" s="642" t="s">
        <v>4443</v>
      </c>
      <c r="E1493" s="906" t="s">
        <v>2706</v>
      </c>
      <c r="F1493" s="906"/>
      <c r="G1493" s="644" t="s">
        <v>118</v>
      </c>
      <c r="H1493" s="645">
        <v>1</v>
      </c>
      <c r="I1493" s="646">
        <v>12.17</v>
      </c>
      <c r="J1493" s="646">
        <v>12.17</v>
      </c>
    </row>
    <row r="1494" spans="1:10" ht="15" customHeight="1" x14ac:dyDescent="0.3">
      <c r="A1494" s="519" t="s">
        <v>2434</v>
      </c>
      <c r="B1494" s="520" t="s">
        <v>2950</v>
      </c>
      <c r="C1494" s="519" t="s">
        <v>32</v>
      </c>
      <c r="D1494" s="519" t="s">
        <v>2951</v>
      </c>
      <c r="E1494" s="905" t="s">
        <v>2465</v>
      </c>
      <c r="F1494" s="905"/>
      <c r="G1494" s="521" t="s">
        <v>103</v>
      </c>
      <c r="H1494" s="522">
        <v>4.2570000000000004E-3</v>
      </c>
      <c r="I1494" s="523">
        <v>299.89999999999998</v>
      </c>
      <c r="J1494" s="523">
        <v>1.27</v>
      </c>
    </row>
    <row r="1495" spans="1:10" ht="50" x14ac:dyDescent="0.3">
      <c r="A1495" s="519" t="s">
        <v>2434</v>
      </c>
      <c r="B1495" s="520" t="s">
        <v>2952</v>
      </c>
      <c r="C1495" s="519" t="s">
        <v>32</v>
      </c>
      <c r="D1495" s="519" t="s">
        <v>2953</v>
      </c>
      <c r="E1495" s="905" t="s">
        <v>2465</v>
      </c>
      <c r="F1495" s="905"/>
      <c r="G1495" s="521" t="s">
        <v>110</v>
      </c>
      <c r="H1495" s="522">
        <v>3.14119E-2</v>
      </c>
      <c r="I1495" s="523">
        <v>74.400000000000006</v>
      </c>
      <c r="J1495" s="523">
        <v>2.33</v>
      </c>
    </row>
    <row r="1496" spans="1:10" ht="38.25" customHeight="1" x14ac:dyDescent="0.3">
      <c r="A1496" s="519" t="s">
        <v>2434</v>
      </c>
      <c r="B1496" s="520" t="s">
        <v>2958</v>
      </c>
      <c r="C1496" s="519" t="s">
        <v>32</v>
      </c>
      <c r="D1496" s="519" t="s">
        <v>2959</v>
      </c>
      <c r="E1496" s="905" t="s">
        <v>2465</v>
      </c>
      <c r="F1496" s="905"/>
      <c r="G1496" s="521" t="s">
        <v>103</v>
      </c>
      <c r="H1496" s="522">
        <v>4.5111999999999999E-3</v>
      </c>
      <c r="I1496" s="523">
        <v>254.07</v>
      </c>
      <c r="J1496" s="523">
        <v>1.1399999999999999</v>
      </c>
    </row>
    <row r="1497" spans="1:10" ht="38.25" customHeight="1" x14ac:dyDescent="0.3">
      <c r="A1497" s="519" t="s">
        <v>2434</v>
      </c>
      <c r="B1497" s="520" t="s">
        <v>2960</v>
      </c>
      <c r="C1497" s="519" t="s">
        <v>32</v>
      </c>
      <c r="D1497" s="519" t="s">
        <v>2961</v>
      </c>
      <c r="E1497" s="905" t="s">
        <v>2465</v>
      </c>
      <c r="F1497" s="905"/>
      <c r="G1497" s="521" t="s">
        <v>110</v>
      </c>
      <c r="H1497" s="522">
        <v>3.11577E-2</v>
      </c>
      <c r="I1497" s="523">
        <v>103.2</v>
      </c>
      <c r="J1497" s="523">
        <v>3.21</v>
      </c>
    </row>
    <row r="1498" spans="1:10" ht="38.25" customHeight="1" x14ac:dyDescent="0.3">
      <c r="A1498" s="519" t="s">
        <v>2434</v>
      </c>
      <c r="B1498" s="520" t="s">
        <v>3081</v>
      </c>
      <c r="C1498" s="519" t="s">
        <v>32</v>
      </c>
      <c r="D1498" s="519" t="s">
        <v>3082</v>
      </c>
      <c r="E1498" s="905" t="s">
        <v>2465</v>
      </c>
      <c r="F1498" s="905"/>
      <c r="G1498" s="521" t="s">
        <v>103</v>
      </c>
      <c r="H1498" s="522">
        <v>1.04312E-2</v>
      </c>
      <c r="I1498" s="523">
        <v>161.38999999999999</v>
      </c>
      <c r="J1498" s="523">
        <v>1.68</v>
      </c>
    </row>
    <row r="1499" spans="1:10" ht="25" x14ac:dyDescent="0.3">
      <c r="A1499" s="519" t="s">
        <v>2434</v>
      </c>
      <c r="B1499" s="520" t="s">
        <v>2561</v>
      </c>
      <c r="C1499" s="519" t="s">
        <v>32</v>
      </c>
      <c r="D1499" s="519" t="s">
        <v>2562</v>
      </c>
      <c r="E1499" s="905" t="s">
        <v>2433</v>
      </c>
      <c r="F1499" s="905"/>
      <c r="G1499" s="521" t="s">
        <v>1901</v>
      </c>
      <c r="H1499" s="522">
        <v>3.5668900000000003E-2</v>
      </c>
      <c r="I1499" s="523">
        <v>23.4</v>
      </c>
      <c r="J1499" s="523">
        <v>0.83</v>
      </c>
    </row>
    <row r="1500" spans="1:10" ht="39" customHeight="1" thickBot="1" x14ac:dyDescent="0.35">
      <c r="A1500" s="519" t="s">
        <v>2434</v>
      </c>
      <c r="B1500" s="520" t="s">
        <v>3083</v>
      </c>
      <c r="C1500" s="519" t="s">
        <v>32</v>
      </c>
      <c r="D1500" s="519" t="s">
        <v>3084</v>
      </c>
      <c r="E1500" s="905" t="s">
        <v>2465</v>
      </c>
      <c r="F1500" s="905"/>
      <c r="G1500" s="521" t="s">
        <v>110</v>
      </c>
      <c r="H1500" s="522">
        <v>2.5237800000000001E-2</v>
      </c>
      <c r="I1500" s="523">
        <v>68.05</v>
      </c>
      <c r="J1500" s="523">
        <v>1.71</v>
      </c>
    </row>
    <row r="1501" spans="1:10" ht="14.5" thickTop="1" x14ac:dyDescent="0.3">
      <c r="A1501" s="647"/>
      <c r="B1501" s="647"/>
      <c r="C1501" s="647"/>
      <c r="D1501" s="647"/>
      <c r="E1501" s="647"/>
      <c r="F1501" s="647"/>
      <c r="G1501" s="647"/>
      <c r="H1501" s="647"/>
      <c r="I1501" s="647"/>
      <c r="J1501" s="647"/>
    </row>
    <row r="1502" spans="1:10" ht="14.25" customHeight="1" x14ac:dyDescent="0.3">
      <c r="A1502" s="516"/>
      <c r="B1502" s="517" t="s">
        <v>15</v>
      </c>
      <c r="C1502" s="516" t="s">
        <v>16</v>
      </c>
      <c r="D1502" s="516" t="s">
        <v>17</v>
      </c>
      <c r="E1502" s="904" t="s">
        <v>2431</v>
      </c>
      <c r="F1502" s="904"/>
      <c r="G1502" s="518" t="s">
        <v>18</v>
      </c>
      <c r="H1502" s="517" t="s">
        <v>19</v>
      </c>
      <c r="I1502" s="517" t="s">
        <v>20</v>
      </c>
      <c r="J1502" s="517" t="s">
        <v>23</v>
      </c>
    </row>
    <row r="1503" spans="1:10" ht="14.25" customHeight="1" x14ac:dyDescent="0.3">
      <c r="A1503" s="642" t="s">
        <v>2432</v>
      </c>
      <c r="B1503" s="643" t="s">
        <v>573</v>
      </c>
      <c r="C1503" s="642" t="s">
        <v>125</v>
      </c>
      <c r="D1503" s="642" t="s">
        <v>574</v>
      </c>
      <c r="E1503" s="906" t="s">
        <v>1328</v>
      </c>
      <c r="F1503" s="906"/>
      <c r="G1503" s="644" t="s">
        <v>115</v>
      </c>
      <c r="H1503" s="645">
        <v>1</v>
      </c>
      <c r="I1503" s="646">
        <v>1.1399999999999999</v>
      </c>
      <c r="J1503" s="646">
        <v>1.1399999999999999</v>
      </c>
    </row>
    <row r="1504" spans="1:10" ht="14.25" customHeight="1" x14ac:dyDescent="0.3">
      <c r="A1504" s="904" t="s">
        <v>2418</v>
      </c>
      <c r="B1504" s="903" t="s">
        <v>15</v>
      </c>
      <c r="C1504" s="904" t="s">
        <v>16</v>
      </c>
      <c r="D1504" s="904" t="s">
        <v>2466</v>
      </c>
      <c r="E1504" s="903" t="s">
        <v>2467</v>
      </c>
      <c r="F1504" s="908" t="s">
        <v>2468</v>
      </c>
      <c r="G1504" s="903"/>
      <c r="H1504" s="518" t="s">
        <v>2469</v>
      </c>
      <c r="I1504" s="903" t="s">
        <v>2470</v>
      </c>
      <c r="J1504"/>
    </row>
    <row r="1505" spans="1:10" x14ac:dyDescent="0.3">
      <c r="A1505" s="903"/>
      <c r="B1505" s="903"/>
      <c r="C1505" s="903"/>
      <c r="D1505" s="903"/>
      <c r="E1505" s="903"/>
      <c r="F1505" s="517" t="s">
        <v>2471</v>
      </c>
      <c r="G1505" s="517" t="s">
        <v>2472</v>
      </c>
      <c r="H1505" s="517" t="s">
        <v>2471</v>
      </c>
      <c r="I1505" s="903"/>
      <c r="J1505"/>
    </row>
    <row r="1506" spans="1:10" ht="14.25" customHeight="1" x14ac:dyDescent="0.3">
      <c r="A1506" s="519" t="s">
        <v>2437</v>
      </c>
      <c r="B1506" s="520" t="s">
        <v>2970</v>
      </c>
      <c r="C1506" s="519" t="s">
        <v>125</v>
      </c>
      <c r="D1506" s="519" t="s">
        <v>2971</v>
      </c>
      <c r="E1506" s="522">
        <v>2</v>
      </c>
      <c r="F1506" s="523">
        <v>0.51</v>
      </c>
      <c r="G1506" s="523">
        <v>0.49</v>
      </c>
      <c r="H1506" s="524">
        <v>318.66019999999997</v>
      </c>
      <c r="I1506" s="524">
        <v>402.20310000000001</v>
      </c>
      <c r="J1506"/>
    </row>
    <row r="1507" spans="1:10" ht="14.25" customHeight="1" x14ac:dyDescent="0.3">
      <c r="A1507" s="519" t="s">
        <v>2437</v>
      </c>
      <c r="B1507" s="520" t="s">
        <v>3085</v>
      </c>
      <c r="C1507" s="519" t="s">
        <v>125</v>
      </c>
      <c r="D1507" s="519" t="s">
        <v>3058</v>
      </c>
      <c r="E1507" s="522">
        <v>1</v>
      </c>
      <c r="F1507" s="523">
        <v>0.69</v>
      </c>
      <c r="G1507" s="523">
        <v>0.31</v>
      </c>
      <c r="H1507" s="524">
        <v>4.9696999999999996</v>
      </c>
      <c r="I1507" s="524">
        <v>4.5019</v>
      </c>
      <c r="J1507"/>
    </row>
    <row r="1508" spans="1:10" ht="15" customHeight="1" x14ac:dyDescent="0.3">
      <c r="A1508" s="519" t="s">
        <v>2437</v>
      </c>
      <c r="B1508" s="520" t="s">
        <v>2572</v>
      </c>
      <c r="C1508" s="519" t="s">
        <v>125</v>
      </c>
      <c r="D1508" s="519" t="s">
        <v>2573</v>
      </c>
      <c r="E1508" s="522">
        <v>1</v>
      </c>
      <c r="F1508" s="523">
        <v>0.71</v>
      </c>
      <c r="G1508" s="523">
        <v>0.28999999999999998</v>
      </c>
      <c r="H1508" s="524">
        <v>283.4787</v>
      </c>
      <c r="I1508" s="524">
        <v>236.64699999999999</v>
      </c>
      <c r="J1508"/>
    </row>
    <row r="1509" spans="1:10" x14ac:dyDescent="0.3">
      <c r="A1509" s="519" t="s">
        <v>2437</v>
      </c>
      <c r="B1509" s="520" t="s">
        <v>2974</v>
      </c>
      <c r="C1509" s="519" t="s">
        <v>125</v>
      </c>
      <c r="D1509" s="519" t="s">
        <v>2975</v>
      </c>
      <c r="E1509" s="522">
        <v>1</v>
      </c>
      <c r="F1509" s="523">
        <v>0.96</v>
      </c>
      <c r="G1509" s="523">
        <v>0.04</v>
      </c>
      <c r="H1509" s="524">
        <v>251.39009999999999</v>
      </c>
      <c r="I1509" s="524">
        <v>246.17740000000001</v>
      </c>
      <c r="J1509"/>
    </row>
    <row r="1510" spans="1:10" ht="15" customHeight="1" x14ac:dyDescent="0.3">
      <c r="A1510" s="519" t="s">
        <v>2437</v>
      </c>
      <c r="B1510" s="520" t="s">
        <v>3086</v>
      </c>
      <c r="C1510" s="519" t="s">
        <v>125</v>
      </c>
      <c r="D1510" s="519" t="s">
        <v>3052</v>
      </c>
      <c r="E1510" s="522">
        <v>1</v>
      </c>
      <c r="F1510" s="523">
        <v>1</v>
      </c>
      <c r="G1510" s="523">
        <v>0</v>
      </c>
      <c r="H1510" s="524">
        <v>220.7818</v>
      </c>
      <c r="I1510" s="524">
        <v>220.7818</v>
      </c>
      <c r="J1510"/>
    </row>
    <row r="1511" spans="1:10" s="358" customFormat="1" x14ac:dyDescent="0.3">
      <c r="A1511" s="519" t="s">
        <v>2437</v>
      </c>
      <c r="B1511" s="520" t="s">
        <v>3087</v>
      </c>
      <c r="C1511" s="519" t="s">
        <v>125</v>
      </c>
      <c r="D1511" s="519" t="s">
        <v>3054</v>
      </c>
      <c r="E1511" s="522">
        <v>1</v>
      </c>
      <c r="F1511" s="523">
        <v>0.69</v>
      </c>
      <c r="G1511" s="523">
        <v>0.31</v>
      </c>
      <c r="H1511" s="524">
        <v>151.00700000000001</v>
      </c>
      <c r="I1511" s="524">
        <v>121.32559999999999</v>
      </c>
      <c r="J1511"/>
    </row>
    <row r="1512" spans="1:10" ht="14.25" customHeight="1" x14ac:dyDescent="0.3">
      <c r="A1512" s="902"/>
      <c r="B1512" s="902"/>
      <c r="C1512" s="902"/>
      <c r="D1512" s="902"/>
      <c r="E1512" s="902"/>
      <c r="F1512" s="902" t="s">
        <v>2475</v>
      </c>
      <c r="G1512" s="902"/>
      <c r="H1512" s="902"/>
      <c r="I1512" s="525">
        <v>1231.6368</v>
      </c>
      <c r="J1512"/>
    </row>
    <row r="1513" spans="1:10" s="358" customFormat="1" ht="15" customHeight="1" x14ac:dyDescent="0.3">
      <c r="A1513" s="902"/>
      <c r="B1513" s="902"/>
      <c r="C1513" s="902"/>
      <c r="D1513" s="902"/>
      <c r="E1513" s="902"/>
      <c r="F1513" s="902" t="s">
        <v>2476</v>
      </c>
      <c r="G1513" s="902"/>
      <c r="H1513" s="902"/>
      <c r="I1513" s="525">
        <v>1231.6368</v>
      </c>
      <c r="J1513"/>
    </row>
    <row r="1514" spans="1:10" ht="15" customHeight="1" x14ac:dyDescent="0.3">
      <c r="A1514" s="902"/>
      <c r="B1514" s="902"/>
      <c r="C1514" s="902"/>
      <c r="D1514" s="902"/>
      <c r="E1514" s="902"/>
      <c r="F1514" s="902" t="s">
        <v>2477</v>
      </c>
      <c r="G1514" s="902"/>
      <c r="H1514" s="902"/>
      <c r="I1514" s="525">
        <v>2.24E-2</v>
      </c>
      <c r="J1514"/>
    </row>
    <row r="1515" spans="1:10" x14ac:dyDescent="0.3">
      <c r="A1515" s="902"/>
      <c r="B1515" s="902"/>
      <c r="C1515" s="902"/>
      <c r="D1515" s="902"/>
      <c r="E1515" s="902"/>
      <c r="F1515" s="902" t="s">
        <v>2478</v>
      </c>
      <c r="G1515" s="902"/>
      <c r="H1515" s="902"/>
      <c r="I1515" s="525">
        <v>2.46E-2</v>
      </c>
      <c r="J1515"/>
    </row>
    <row r="1516" spans="1:10" ht="14.25" customHeight="1" x14ac:dyDescent="0.3">
      <c r="A1516" s="902"/>
      <c r="B1516" s="902"/>
      <c r="C1516" s="902"/>
      <c r="D1516" s="902"/>
      <c r="E1516" s="902"/>
      <c r="F1516" s="902" t="s">
        <v>2479</v>
      </c>
      <c r="G1516" s="902"/>
      <c r="H1516" s="902"/>
      <c r="I1516" s="525">
        <v>1121.33</v>
      </c>
      <c r="J1516"/>
    </row>
    <row r="1517" spans="1:10" ht="14.25" customHeight="1" x14ac:dyDescent="0.3">
      <c r="A1517" s="902"/>
      <c r="B1517" s="902"/>
      <c r="C1517" s="902"/>
      <c r="D1517" s="902"/>
      <c r="E1517" s="902"/>
      <c r="F1517" s="902" t="s">
        <v>2480</v>
      </c>
      <c r="G1517" s="902"/>
      <c r="H1517" s="902"/>
      <c r="I1517" s="525">
        <v>1.0984</v>
      </c>
      <c r="J1517"/>
    </row>
    <row r="1518" spans="1:10" ht="15" customHeight="1" x14ac:dyDescent="0.3">
      <c r="A1518" s="516" t="s">
        <v>2574</v>
      </c>
      <c r="B1518" s="517" t="s">
        <v>16</v>
      </c>
      <c r="C1518" s="516" t="s">
        <v>15</v>
      </c>
      <c r="D1518" s="516" t="s">
        <v>2575</v>
      </c>
      <c r="E1518" s="517" t="s">
        <v>2467</v>
      </c>
      <c r="F1518" s="517" t="s">
        <v>2576</v>
      </c>
      <c r="G1518" s="903" t="s">
        <v>2577</v>
      </c>
      <c r="H1518" s="903"/>
      <c r="I1518" s="517" t="s">
        <v>2470</v>
      </c>
      <c r="J1518"/>
    </row>
    <row r="1519" spans="1:10" ht="25" x14ac:dyDescent="0.3">
      <c r="A1519" s="519" t="s">
        <v>2578</v>
      </c>
      <c r="B1519" s="520" t="s">
        <v>32</v>
      </c>
      <c r="C1519" s="519">
        <v>88316</v>
      </c>
      <c r="D1519" s="519" t="s">
        <v>2562</v>
      </c>
      <c r="E1519" s="522">
        <v>8.9179999999999999E-4</v>
      </c>
      <c r="F1519" s="521" t="s">
        <v>1901</v>
      </c>
      <c r="G1519" s="907">
        <v>23.4</v>
      </c>
      <c r="H1519" s="907"/>
      <c r="I1519" s="524">
        <v>2.0899999999999998E-2</v>
      </c>
      <c r="J1519"/>
    </row>
    <row r="1520" spans="1:10" ht="15" customHeight="1" thickBot="1" x14ac:dyDescent="0.35">
      <c r="A1520" s="902"/>
      <c r="B1520" s="902"/>
      <c r="C1520" s="902"/>
      <c r="D1520" s="902"/>
      <c r="E1520" s="902"/>
      <c r="F1520" s="902" t="s">
        <v>2579</v>
      </c>
      <c r="G1520" s="902"/>
      <c r="H1520" s="902"/>
      <c r="I1520" s="525">
        <v>2.0899999999999998E-2</v>
      </c>
      <c r="J1520"/>
    </row>
    <row r="1521" spans="1:10" ht="14.25" customHeight="1" thickTop="1" x14ac:dyDescent="0.3">
      <c r="A1521" s="647"/>
      <c r="B1521" s="647"/>
      <c r="C1521" s="647"/>
      <c r="D1521" s="647"/>
      <c r="E1521" s="647"/>
      <c r="F1521" s="647"/>
      <c r="G1521" s="647"/>
      <c r="H1521" s="647"/>
      <c r="I1521" s="647"/>
      <c r="J1521" s="647"/>
    </row>
    <row r="1522" spans="1:10" ht="14.25" customHeight="1" x14ac:dyDescent="0.3">
      <c r="A1522" s="516"/>
      <c r="B1522" s="517" t="s">
        <v>15</v>
      </c>
      <c r="C1522" s="516" t="s">
        <v>16</v>
      </c>
      <c r="D1522" s="516" t="s">
        <v>17</v>
      </c>
      <c r="E1522" s="904" t="s">
        <v>2431</v>
      </c>
      <c r="F1522" s="904"/>
      <c r="G1522" s="518" t="s">
        <v>18</v>
      </c>
      <c r="H1522" s="517" t="s">
        <v>19</v>
      </c>
      <c r="I1522" s="517" t="s">
        <v>20</v>
      </c>
      <c r="J1522" s="517" t="s">
        <v>23</v>
      </c>
    </row>
    <row r="1523" spans="1:10" ht="14.25" customHeight="1" x14ac:dyDescent="0.3">
      <c r="A1523" s="642" t="s">
        <v>2432</v>
      </c>
      <c r="B1523" s="643" t="s">
        <v>576</v>
      </c>
      <c r="C1523" s="642" t="s">
        <v>125</v>
      </c>
      <c r="D1523" s="642" t="s">
        <v>577</v>
      </c>
      <c r="E1523" s="906" t="s">
        <v>1328</v>
      </c>
      <c r="F1523" s="906"/>
      <c r="G1523" s="644" t="s">
        <v>118</v>
      </c>
      <c r="H1523" s="645">
        <v>1</v>
      </c>
      <c r="I1523" s="646">
        <v>8.59</v>
      </c>
      <c r="J1523" s="646">
        <v>8.59</v>
      </c>
    </row>
    <row r="1524" spans="1:10" ht="15" customHeight="1" x14ac:dyDescent="0.3">
      <c r="A1524" s="904" t="s">
        <v>2418</v>
      </c>
      <c r="B1524" s="903" t="s">
        <v>15</v>
      </c>
      <c r="C1524" s="904" t="s">
        <v>16</v>
      </c>
      <c r="D1524" s="904" t="s">
        <v>2466</v>
      </c>
      <c r="E1524" s="903" t="s">
        <v>2467</v>
      </c>
      <c r="F1524" s="908" t="s">
        <v>2468</v>
      </c>
      <c r="G1524" s="903"/>
      <c r="H1524" s="518" t="s">
        <v>2469</v>
      </c>
      <c r="I1524" s="903" t="s">
        <v>2470</v>
      </c>
      <c r="J1524"/>
    </row>
    <row r="1525" spans="1:10" ht="14.25" customHeight="1" x14ac:dyDescent="0.3">
      <c r="A1525" s="903"/>
      <c r="B1525" s="903"/>
      <c r="C1525" s="903"/>
      <c r="D1525" s="903"/>
      <c r="E1525" s="903"/>
      <c r="F1525" s="517" t="s">
        <v>2471</v>
      </c>
      <c r="G1525" s="517" t="s">
        <v>2472</v>
      </c>
      <c r="H1525" s="517" t="s">
        <v>2471</v>
      </c>
      <c r="I1525" s="903"/>
      <c r="J1525"/>
    </row>
    <row r="1526" spans="1:10" ht="14.25" customHeight="1" x14ac:dyDescent="0.3">
      <c r="A1526" s="519" t="s">
        <v>2437</v>
      </c>
      <c r="B1526" s="520" t="s">
        <v>2970</v>
      </c>
      <c r="C1526" s="519" t="s">
        <v>125</v>
      </c>
      <c r="D1526" s="519" t="s">
        <v>2971</v>
      </c>
      <c r="E1526" s="522">
        <v>1</v>
      </c>
      <c r="F1526" s="523">
        <v>0.41</v>
      </c>
      <c r="G1526" s="523">
        <v>0.59</v>
      </c>
      <c r="H1526" s="524">
        <v>318.66019999999997</v>
      </c>
      <c r="I1526" s="524">
        <v>177.11</v>
      </c>
      <c r="J1526"/>
    </row>
    <row r="1527" spans="1:10" ht="15" customHeight="1" x14ac:dyDescent="0.3">
      <c r="A1527" s="519" t="s">
        <v>2437</v>
      </c>
      <c r="B1527" s="520" t="s">
        <v>3085</v>
      </c>
      <c r="C1527" s="519" t="s">
        <v>125</v>
      </c>
      <c r="D1527" s="519" t="s">
        <v>3058</v>
      </c>
      <c r="E1527" s="522">
        <v>1</v>
      </c>
      <c r="F1527" s="523">
        <v>0.24</v>
      </c>
      <c r="G1527" s="523">
        <v>0.76</v>
      </c>
      <c r="H1527" s="524">
        <v>4.9696999999999996</v>
      </c>
      <c r="I1527" s="524">
        <v>3.8229000000000002</v>
      </c>
      <c r="J1527"/>
    </row>
    <row r="1528" spans="1:10" x14ac:dyDescent="0.3">
      <c r="A1528" s="519" t="s">
        <v>2437</v>
      </c>
      <c r="B1528" s="520" t="s">
        <v>2572</v>
      </c>
      <c r="C1528" s="519" t="s">
        <v>125</v>
      </c>
      <c r="D1528" s="519" t="s">
        <v>2573</v>
      </c>
      <c r="E1528" s="522">
        <v>1</v>
      </c>
      <c r="F1528" s="523">
        <v>0.13</v>
      </c>
      <c r="G1528" s="523">
        <v>0.87</v>
      </c>
      <c r="H1528" s="524">
        <v>283.4787</v>
      </c>
      <c r="I1528" s="524">
        <v>142.98349999999999</v>
      </c>
      <c r="J1528"/>
    </row>
    <row r="1529" spans="1:10" ht="15" customHeight="1" x14ac:dyDescent="0.3">
      <c r="A1529" s="519" t="s">
        <v>2437</v>
      </c>
      <c r="B1529" s="520" t="s">
        <v>3086</v>
      </c>
      <c r="C1529" s="519" t="s">
        <v>125</v>
      </c>
      <c r="D1529" s="519" t="s">
        <v>3052</v>
      </c>
      <c r="E1529" s="522">
        <v>1</v>
      </c>
      <c r="F1529" s="523">
        <v>1</v>
      </c>
      <c r="G1529" s="523">
        <v>0</v>
      </c>
      <c r="H1529" s="524">
        <v>220.7818</v>
      </c>
      <c r="I1529" s="524">
        <v>220.7818</v>
      </c>
      <c r="J1529"/>
    </row>
    <row r="1530" spans="1:10" s="358" customFormat="1" x14ac:dyDescent="0.3">
      <c r="A1530" s="519" t="s">
        <v>2437</v>
      </c>
      <c r="B1530" s="520" t="s">
        <v>3087</v>
      </c>
      <c r="C1530" s="519" t="s">
        <v>125</v>
      </c>
      <c r="D1530" s="519" t="s">
        <v>3054</v>
      </c>
      <c r="E1530" s="522">
        <v>1</v>
      </c>
      <c r="F1530" s="523">
        <v>0.24</v>
      </c>
      <c r="G1530" s="523">
        <v>0.76</v>
      </c>
      <c r="H1530" s="524">
        <v>151.00700000000001</v>
      </c>
      <c r="I1530" s="524">
        <v>78.239699999999999</v>
      </c>
      <c r="J1530"/>
    </row>
    <row r="1531" spans="1:10" ht="14.25" customHeight="1" x14ac:dyDescent="0.3">
      <c r="A1531" s="902"/>
      <c r="B1531" s="902"/>
      <c r="C1531" s="902"/>
      <c r="D1531" s="902"/>
      <c r="E1531" s="902"/>
      <c r="F1531" s="902" t="s">
        <v>2475</v>
      </c>
      <c r="G1531" s="902"/>
      <c r="H1531" s="902"/>
      <c r="I1531" s="525">
        <v>622.93790000000001</v>
      </c>
      <c r="J1531"/>
    </row>
    <row r="1532" spans="1:10" s="358" customFormat="1" ht="15" customHeight="1" x14ac:dyDescent="0.3">
      <c r="A1532" s="902"/>
      <c r="B1532" s="902"/>
      <c r="C1532" s="902"/>
      <c r="D1532" s="902"/>
      <c r="E1532" s="902"/>
      <c r="F1532" s="902" t="s">
        <v>2476</v>
      </c>
      <c r="G1532" s="902"/>
      <c r="H1532" s="902"/>
      <c r="I1532" s="525">
        <v>622.93790000000001</v>
      </c>
      <c r="J1532"/>
    </row>
    <row r="1533" spans="1:10" ht="14.25" customHeight="1" x14ac:dyDescent="0.3">
      <c r="A1533" s="902"/>
      <c r="B1533" s="902"/>
      <c r="C1533" s="902"/>
      <c r="D1533" s="902"/>
      <c r="E1533" s="902"/>
      <c r="F1533" s="902" t="s">
        <v>2477</v>
      </c>
      <c r="G1533" s="902"/>
      <c r="H1533" s="902"/>
      <c r="I1533" s="525">
        <v>2.24E-2</v>
      </c>
      <c r="J1533"/>
    </row>
    <row r="1534" spans="1:10" ht="14.25" customHeight="1" x14ac:dyDescent="0.3">
      <c r="A1534" s="902"/>
      <c r="B1534" s="902"/>
      <c r="C1534" s="902"/>
      <c r="D1534" s="902"/>
      <c r="E1534" s="902"/>
      <c r="F1534" s="902" t="s">
        <v>2478</v>
      </c>
      <c r="G1534" s="902"/>
      <c r="H1534" s="902"/>
      <c r="I1534" s="525">
        <v>0.18149999999999999</v>
      </c>
      <c r="J1534"/>
    </row>
    <row r="1535" spans="1:10" ht="14.25" customHeight="1" x14ac:dyDescent="0.3">
      <c r="A1535" s="902"/>
      <c r="B1535" s="902"/>
      <c r="C1535" s="902"/>
      <c r="D1535" s="902"/>
      <c r="E1535" s="902"/>
      <c r="F1535" s="902" t="s">
        <v>2479</v>
      </c>
      <c r="G1535" s="902"/>
      <c r="H1535" s="902"/>
      <c r="I1535" s="525">
        <v>76.89</v>
      </c>
      <c r="J1535"/>
    </row>
    <row r="1536" spans="1:10" ht="14.25" customHeight="1" x14ac:dyDescent="0.3">
      <c r="A1536" s="902"/>
      <c r="B1536" s="902"/>
      <c r="C1536" s="902"/>
      <c r="D1536" s="902"/>
      <c r="E1536" s="902"/>
      <c r="F1536" s="902" t="s">
        <v>2480</v>
      </c>
      <c r="G1536" s="902"/>
      <c r="H1536" s="902"/>
      <c r="I1536" s="525">
        <v>8.1016999999999992</v>
      </c>
      <c r="J1536"/>
    </row>
    <row r="1537" spans="1:10" ht="14.25" customHeight="1" x14ac:dyDescent="0.3">
      <c r="A1537" s="516" t="s">
        <v>2574</v>
      </c>
      <c r="B1537" s="517" t="s">
        <v>16</v>
      </c>
      <c r="C1537" s="516" t="s">
        <v>15</v>
      </c>
      <c r="D1537" s="516" t="s">
        <v>2575</v>
      </c>
      <c r="E1537" s="517" t="s">
        <v>2467</v>
      </c>
      <c r="F1537" s="517" t="s">
        <v>2576</v>
      </c>
      <c r="G1537" s="903" t="s">
        <v>2577</v>
      </c>
      <c r="H1537" s="903"/>
      <c r="I1537" s="517" t="s">
        <v>2470</v>
      </c>
      <c r="J1537"/>
    </row>
    <row r="1538" spans="1:10" ht="15" customHeight="1" x14ac:dyDescent="0.3">
      <c r="A1538" s="519" t="s">
        <v>2578</v>
      </c>
      <c r="B1538" s="520" t="s">
        <v>32</v>
      </c>
      <c r="C1538" s="519">
        <v>88316</v>
      </c>
      <c r="D1538" s="519" t="s">
        <v>2562</v>
      </c>
      <c r="E1538" s="522">
        <v>1.3005600000000001E-2</v>
      </c>
      <c r="F1538" s="521" t="s">
        <v>1901</v>
      </c>
      <c r="G1538" s="907">
        <v>23.4</v>
      </c>
      <c r="H1538" s="907"/>
      <c r="I1538" s="524">
        <v>0.30430000000000001</v>
      </c>
      <c r="J1538"/>
    </row>
    <row r="1539" spans="1:10" ht="15" customHeight="1" thickBot="1" x14ac:dyDescent="0.35">
      <c r="A1539" s="902"/>
      <c r="B1539" s="902"/>
      <c r="C1539" s="902"/>
      <c r="D1539" s="902"/>
      <c r="E1539" s="902"/>
      <c r="F1539" s="902" t="s">
        <v>2579</v>
      </c>
      <c r="G1539" s="902"/>
      <c r="H1539" s="902"/>
      <c r="I1539" s="525">
        <v>0.30430000000000001</v>
      </c>
      <c r="J1539"/>
    </row>
    <row r="1540" spans="1:10" ht="14.5" thickTop="1" x14ac:dyDescent="0.3">
      <c r="A1540" s="647"/>
      <c r="B1540" s="647"/>
      <c r="C1540" s="647"/>
      <c r="D1540" s="647"/>
      <c r="E1540" s="647"/>
      <c r="F1540" s="647"/>
      <c r="G1540" s="647"/>
      <c r="H1540" s="647"/>
      <c r="I1540" s="647"/>
      <c r="J1540" s="647"/>
    </row>
    <row r="1541" spans="1:10" x14ac:dyDescent="0.3">
      <c r="A1541" s="516"/>
      <c r="B1541" s="517" t="s">
        <v>15</v>
      </c>
      <c r="C1541" s="516" t="s">
        <v>16</v>
      </c>
      <c r="D1541" s="516" t="s">
        <v>17</v>
      </c>
      <c r="E1541" s="904" t="s">
        <v>2431</v>
      </c>
      <c r="F1541" s="904"/>
      <c r="G1541" s="518" t="s">
        <v>18</v>
      </c>
      <c r="H1541" s="517" t="s">
        <v>19</v>
      </c>
      <c r="I1541" s="517" t="s">
        <v>20</v>
      </c>
      <c r="J1541" s="517" t="s">
        <v>23</v>
      </c>
    </row>
    <row r="1542" spans="1:10" x14ac:dyDescent="0.3">
      <c r="A1542" s="642" t="s">
        <v>2432</v>
      </c>
      <c r="B1542" s="643" t="s">
        <v>584</v>
      </c>
      <c r="C1542" s="642" t="s">
        <v>125</v>
      </c>
      <c r="D1542" s="642" t="s">
        <v>585</v>
      </c>
      <c r="E1542" s="906" t="s">
        <v>1328</v>
      </c>
      <c r="F1542" s="906"/>
      <c r="G1542" s="644" t="s">
        <v>115</v>
      </c>
      <c r="H1542" s="645">
        <v>1</v>
      </c>
      <c r="I1542" s="646">
        <v>10.38</v>
      </c>
      <c r="J1542" s="646">
        <v>10.38</v>
      </c>
    </row>
    <row r="1543" spans="1:10" ht="14.25" customHeight="1" x14ac:dyDescent="0.3">
      <c r="A1543" s="902"/>
      <c r="B1543" s="902"/>
      <c r="C1543" s="902"/>
      <c r="D1543" s="902"/>
      <c r="E1543" s="902"/>
      <c r="F1543" s="902" t="s">
        <v>2476</v>
      </c>
      <c r="G1543" s="902"/>
      <c r="H1543" s="902"/>
      <c r="I1543" s="525">
        <v>0</v>
      </c>
      <c r="J1543"/>
    </row>
    <row r="1544" spans="1:10" ht="14.25" customHeight="1" x14ac:dyDescent="0.3">
      <c r="A1544" s="902"/>
      <c r="B1544" s="902"/>
      <c r="C1544" s="902"/>
      <c r="D1544" s="902"/>
      <c r="E1544" s="902"/>
      <c r="F1544" s="902" t="s">
        <v>2477</v>
      </c>
      <c r="G1544" s="902"/>
      <c r="H1544" s="902"/>
      <c r="I1544" s="525">
        <v>0</v>
      </c>
      <c r="J1544"/>
    </row>
    <row r="1545" spans="1:10" ht="15" customHeight="1" x14ac:dyDescent="0.3">
      <c r="A1545" s="902"/>
      <c r="B1545" s="902"/>
      <c r="C1545" s="902"/>
      <c r="D1545" s="902"/>
      <c r="E1545" s="902"/>
      <c r="F1545" s="902" t="s">
        <v>2478</v>
      </c>
      <c r="G1545" s="902"/>
      <c r="H1545" s="902"/>
      <c r="I1545" s="525">
        <v>0</v>
      </c>
      <c r="J1545"/>
    </row>
    <row r="1546" spans="1:10" ht="14.25" customHeight="1" x14ac:dyDescent="0.3">
      <c r="A1546" s="902"/>
      <c r="B1546" s="902"/>
      <c r="C1546" s="902"/>
      <c r="D1546" s="902"/>
      <c r="E1546" s="902"/>
      <c r="F1546" s="902" t="s">
        <v>2479</v>
      </c>
      <c r="G1546" s="902"/>
      <c r="H1546" s="902"/>
      <c r="I1546" s="525">
        <v>50</v>
      </c>
      <c r="J1546"/>
    </row>
    <row r="1547" spans="1:10" ht="14.25" customHeight="1" x14ac:dyDescent="0.3">
      <c r="A1547" s="902"/>
      <c r="B1547" s="902"/>
      <c r="C1547" s="902"/>
      <c r="D1547" s="902"/>
      <c r="E1547" s="902"/>
      <c r="F1547" s="902" t="s">
        <v>2480</v>
      </c>
      <c r="G1547" s="902"/>
      <c r="H1547" s="902"/>
      <c r="I1547" s="525">
        <v>0</v>
      </c>
      <c r="J1547"/>
    </row>
    <row r="1548" spans="1:10" ht="14.25" customHeight="1" x14ac:dyDescent="0.3">
      <c r="A1548" s="516" t="s">
        <v>2420</v>
      </c>
      <c r="B1548" s="517" t="s">
        <v>16</v>
      </c>
      <c r="C1548" s="516" t="s">
        <v>15</v>
      </c>
      <c r="D1548" s="516" t="s">
        <v>2442</v>
      </c>
      <c r="E1548" s="517" t="s">
        <v>2467</v>
      </c>
      <c r="F1548" s="517" t="s">
        <v>2576</v>
      </c>
      <c r="G1548" s="903" t="s">
        <v>2577</v>
      </c>
      <c r="H1548" s="903"/>
      <c r="I1548" s="517" t="s">
        <v>2470</v>
      </c>
      <c r="J1548"/>
    </row>
    <row r="1549" spans="1:10" ht="15" customHeight="1" x14ac:dyDescent="0.3">
      <c r="A1549" s="519" t="s">
        <v>2437</v>
      </c>
      <c r="B1549" s="520" t="s">
        <v>125</v>
      </c>
      <c r="C1549" s="519" t="s">
        <v>3088</v>
      </c>
      <c r="D1549" s="519" t="s">
        <v>3089</v>
      </c>
      <c r="E1549" s="522">
        <v>0.06</v>
      </c>
      <c r="F1549" s="521" t="s">
        <v>384</v>
      </c>
      <c r="G1549" s="907">
        <v>3.7061999999999999</v>
      </c>
      <c r="H1549" s="907"/>
      <c r="I1549" s="524">
        <v>0.22239999999999999</v>
      </c>
      <c r="J1549"/>
    </row>
    <row r="1550" spans="1:10" x14ac:dyDescent="0.3">
      <c r="A1550" s="519" t="s">
        <v>2437</v>
      </c>
      <c r="B1550" s="520" t="s">
        <v>125</v>
      </c>
      <c r="C1550" s="519" t="s">
        <v>3090</v>
      </c>
      <c r="D1550" s="519" t="s">
        <v>3091</v>
      </c>
      <c r="E1550" s="522">
        <v>0.2</v>
      </c>
      <c r="F1550" s="521" t="s">
        <v>384</v>
      </c>
      <c r="G1550" s="907">
        <v>0.2863</v>
      </c>
      <c r="H1550" s="907"/>
      <c r="I1550" s="524">
        <v>5.7299999999999997E-2</v>
      </c>
      <c r="J1550"/>
    </row>
    <row r="1551" spans="1:10" x14ac:dyDescent="0.3">
      <c r="A1551" s="519" t="s">
        <v>2437</v>
      </c>
      <c r="B1551" s="520" t="s">
        <v>125</v>
      </c>
      <c r="C1551" s="519" t="s">
        <v>3092</v>
      </c>
      <c r="D1551" s="519" t="s">
        <v>3093</v>
      </c>
      <c r="E1551" s="522">
        <v>3.0000000000000001E-3</v>
      </c>
      <c r="F1551" s="521" t="s">
        <v>384</v>
      </c>
      <c r="G1551" s="907">
        <v>3.9861</v>
      </c>
      <c r="H1551" s="907"/>
      <c r="I1551" s="524">
        <v>1.2E-2</v>
      </c>
      <c r="J1551"/>
    </row>
    <row r="1552" spans="1:10" x14ac:dyDescent="0.3">
      <c r="A1552" s="519" t="s">
        <v>2437</v>
      </c>
      <c r="B1552" s="520" t="s">
        <v>125</v>
      </c>
      <c r="C1552" s="519" t="s">
        <v>3094</v>
      </c>
      <c r="D1552" s="519" t="s">
        <v>3095</v>
      </c>
      <c r="E1552" s="522">
        <v>0.17499999999999999</v>
      </c>
      <c r="F1552" s="521" t="s">
        <v>384</v>
      </c>
      <c r="G1552" s="907">
        <v>0.18240000000000001</v>
      </c>
      <c r="H1552" s="907"/>
      <c r="I1552" s="524">
        <v>3.1899999999999998E-2</v>
      </c>
      <c r="J1552"/>
    </row>
    <row r="1553" spans="1:10" x14ac:dyDescent="0.3">
      <c r="A1553" s="519" t="s">
        <v>2437</v>
      </c>
      <c r="B1553" s="520" t="s">
        <v>125</v>
      </c>
      <c r="C1553" s="519" t="s">
        <v>3096</v>
      </c>
      <c r="D1553" s="519" t="s">
        <v>3097</v>
      </c>
      <c r="E1553" s="522">
        <v>0.6</v>
      </c>
      <c r="F1553" s="521" t="s">
        <v>222</v>
      </c>
      <c r="G1553" s="907">
        <v>2.4834000000000001</v>
      </c>
      <c r="H1553" s="907"/>
      <c r="I1553" s="524">
        <v>1.49</v>
      </c>
      <c r="J1553"/>
    </row>
    <row r="1554" spans="1:10" ht="14.25" customHeight="1" x14ac:dyDescent="0.3">
      <c r="A1554" s="902"/>
      <c r="B1554" s="902"/>
      <c r="C1554" s="902"/>
      <c r="D1554" s="902"/>
      <c r="E1554" s="902"/>
      <c r="F1554" s="902" t="s">
        <v>2809</v>
      </c>
      <c r="G1554" s="902"/>
      <c r="H1554" s="902"/>
      <c r="I1554" s="525">
        <v>1.8136000000000001</v>
      </c>
      <c r="J1554"/>
    </row>
    <row r="1555" spans="1:10" ht="14.25" customHeight="1" x14ac:dyDescent="0.3">
      <c r="A1555" s="516" t="s">
        <v>2574</v>
      </c>
      <c r="B1555" s="517" t="s">
        <v>16</v>
      </c>
      <c r="C1555" s="516" t="s">
        <v>15</v>
      </c>
      <c r="D1555" s="516" t="s">
        <v>2575</v>
      </c>
      <c r="E1555" s="517" t="s">
        <v>2467</v>
      </c>
      <c r="F1555" s="517" t="s">
        <v>2576</v>
      </c>
      <c r="G1555" s="903" t="s">
        <v>2577</v>
      </c>
      <c r="H1555" s="903"/>
      <c r="I1555" s="517" t="s">
        <v>2470</v>
      </c>
      <c r="J1555"/>
    </row>
    <row r="1556" spans="1:10" ht="15" customHeight="1" x14ac:dyDescent="0.3">
      <c r="A1556" s="519" t="s">
        <v>2578</v>
      </c>
      <c r="B1556" s="520" t="s">
        <v>125</v>
      </c>
      <c r="C1556" s="519">
        <v>4413995</v>
      </c>
      <c r="D1556" s="519" t="s">
        <v>3098</v>
      </c>
      <c r="E1556" s="522">
        <v>1</v>
      </c>
      <c r="F1556" s="521" t="s">
        <v>115</v>
      </c>
      <c r="G1556" s="907">
        <v>3.08</v>
      </c>
      <c r="H1556" s="907"/>
      <c r="I1556" s="524">
        <v>3.08</v>
      </c>
      <c r="J1556"/>
    </row>
    <row r="1557" spans="1:10" ht="25" x14ac:dyDescent="0.3">
      <c r="A1557" s="519" t="s">
        <v>2578</v>
      </c>
      <c r="B1557" s="520" t="s">
        <v>32</v>
      </c>
      <c r="C1557" s="519">
        <v>88316</v>
      </c>
      <c r="D1557" s="519" t="s">
        <v>2562</v>
      </c>
      <c r="E1557" s="522">
        <v>0.2</v>
      </c>
      <c r="F1557" s="521" t="s">
        <v>1901</v>
      </c>
      <c r="G1557" s="907">
        <v>23.4</v>
      </c>
      <c r="H1557" s="907"/>
      <c r="I1557" s="524">
        <v>4.68</v>
      </c>
      <c r="J1557"/>
    </row>
    <row r="1558" spans="1:10" ht="14.25" customHeight="1" x14ac:dyDescent="0.3">
      <c r="A1558" s="902"/>
      <c r="B1558" s="902"/>
      <c r="C1558" s="902"/>
      <c r="D1558" s="902"/>
      <c r="E1558" s="902"/>
      <c r="F1558" s="902" t="s">
        <v>2579</v>
      </c>
      <c r="G1558" s="902"/>
      <c r="H1558" s="902"/>
      <c r="I1558" s="525">
        <v>7.76</v>
      </c>
      <c r="J1558"/>
    </row>
    <row r="1559" spans="1:10" ht="15" customHeight="1" x14ac:dyDescent="0.3">
      <c r="A1559" s="516" t="s">
        <v>2580</v>
      </c>
      <c r="B1559" s="517" t="s">
        <v>16</v>
      </c>
      <c r="C1559" s="516" t="s">
        <v>2437</v>
      </c>
      <c r="D1559" s="516" t="s">
        <v>2581</v>
      </c>
      <c r="E1559" s="517" t="s">
        <v>15</v>
      </c>
      <c r="F1559" s="517" t="s">
        <v>2467</v>
      </c>
      <c r="G1559" s="518" t="s">
        <v>2576</v>
      </c>
      <c r="H1559" s="517" t="s">
        <v>2577</v>
      </c>
      <c r="I1559" s="517" t="s">
        <v>2470</v>
      </c>
      <c r="J1559"/>
    </row>
    <row r="1560" spans="1:10" ht="25" x14ac:dyDescent="0.3">
      <c r="A1560" s="519" t="s">
        <v>2582</v>
      </c>
      <c r="B1560" s="520" t="s">
        <v>125</v>
      </c>
      <c r="C1560" s="519">
        <v>4413995</v>
      </c>
      <c r="D1560" s="519" t="s">
        <v>2838</v>
      </c>
      <c r="E1560" s="520">
        <v>5914655</v>
      </c>
      <c r="F1560" s="522">
        <v>2.3E-2</v>
      </c>
      <c r="G1560" s="521" t="s">
        <v>374</v>
      </c>
      <c r="H1560" s="524">
        <v>33.159999999999997</v>
      </c>
      <c r="I1560" s="524">
        <v>0.76270000000000004</v>
      </c>
      <c r="J1560"/>
    </row>
    <row r="1561" spans="1:10" ht="25" x14ac:dyDescent="0.3">
      <c r="A1561" s="519" t="s">
        <v>2582</v>
      </c>
      <c r="B1561" s="520" t="s">
        <v>125</v>
      </c>
      <c r="C1561" s="519" t="s">
        <v>3088</v>
      </c>
      <c r="D1561" s="519" t="s">
        <v>2838</v>
      </c>
      <c r="E1561" s="520">
        <v>5914655</v>
      </c>
      <c r="F1561" s="522">
        <v>6.0000000000000002E-5</v>
      </c>
      <c r="G1561" s="521" t="s">
        <v>374</v>
      </c>
      <c r="H1561" s="524">
        <v>33.159999999999997</v>
      </c>
      <c r="I1561" s="524">
        <v>2E-3</v>
      </c>
      <c r="J1561"/>
    </row>
    <row r="1562" spans="1:10" ht="25" x14ac:dyDescent="0.3">
      <c r="A1562" s="519" t="s">
        <v>2582</v>
      </c>
      <c r="B1562" s="520" t="s">
        <v>125</v>
      </c>
      <c r="C1562" s="519" t="s">
        <v>3090</v>
      </c>
      <c r="D1562" s="519" t="s">
        <v>2838</v>
      </c>
      <c r="E1562" s="520">
        <v>5914655</v>
      </c>
      <c r="F1562" s="522">
        <v>2.0000000000000001E-4</v>
      </c>
      <c r="G1562" s="521" t="s">
        <v>374</v>
      </c>
      <c r="H1562" s="524">
        <v>33.159999999999997</v>
      </c>
      <c r="I1562" s="524">
        <v>6.6E-3</v>
      </c>
      <c r="J1562"/>
    </row>
    <row r="1563" spans="1:10" ht="15" customHeight="1" x14ac:dyDescent="0.3">
      <c r="A1563" s="519" t="s">
        <v>2582</v>
      </c>
      <c r="B1563" s="520" t="s">
        <v>125</v>
      </c>
      <c r="C1563" s="519" t="s">
        <v>3094</v>
      </c>
      <c r="D1563" s="519" t="s">
        <v>2838</v>
      </c>
      <c r="E1563" s="520">
        <v>5914655</v>
      </c>
      <c r="F1563" s="522">
        <v>1.8000000000000001E-4</v>
      </c>
      <c r="G1563" s="521" t="s">
        <v>374</v>
      </c>
      <c r="H1563" s="524">
        <v>33.159999999999997</v>
      </c>
      <c r="I1563" s="524">
        <v>6.0000000000000001E-3</v>
      </c>
      <c r="J1563"/>
    </row>
    <row r="1564" spans="1:10" s="358" customFormat="1" ht="25" x14ac:dyDescent="0.3">
      <c r="A1564" s="519" t="s">
        <v>2582</v>
      </c>
      <c r="B1564" s="520" t="s">
        <v>125</v>
      </c>
      <c r="C1564" s="519" t="s">
        <v>3096</v>
      </c>
      <c r="D1564" s="519" t="s">
        <v>2838</v>
      </c>
      <c r="E1564" s="520">
        <v>5914655</v>
      </c>
      <c r="F1564" s="522">
        <v>7.5000000000000002E-4</v>
      </c>
      <c r="G1564" s="521" t="s">
        <v>374</v>
      </c>
      <c r="H1564" s="524">
        <v>33.159999999999997</v>
      </c>
      <c r="I1564" s="524">
        <v>2.4899999999999999E-2</v>
      </c>
      <c r="J1564"/>
    </row>
    <row r="1565" spans="1:10" ht="14.25" customHeight="1" x14ac:dyDescent="0.3">
      <c r="A1565" s="902"/>
      <c r="B1565" s="902"/>
      <c r="C1565" s="902"/>
      <c r="D1565" s="902"/>
      <c r="E1565" s="902"/>
      <c r="F1565" s="902" t="s">
        <v>2585</v>
      </c>
      <c r="G1565" s="902"/>
      <c r="H1565" s="902"/>
      <c r="I1565" s="525">
        <v>0.80220000000000002</v>
      </c>
      <c r="J1565"/>
    </row>
    <row r="1566" spans="1:10" s="358" customFormat="1" ht="51" customHeight="1" x14ac:dyDescent="0.3">
      <c r="A1566" s="516" t="s">
        <v>2586</v>
      </c>
      <c r="B1566" s="517" t="s">
        <v>16</v>
      </c>
      <c r="C1566" s="516" t="s">
        <v>2437</v>
      </c>
      <c r="D1566" s="516" t="s">
        <v>2587</v>
      </c>
      <c r="E1566" s="517" t="s">
        <v>2467</v>
      </c>
      <c r="F1566" s="517" t="s">
        <v>2576</v>
      </c>
      <c r="G1566" s="908" t="s">
        <v>2588</v>
      </c>
      <c r="H1566" s="903"/>
      <c r="I1566" s="517" t="s">
        <v>2470</v>
      </c>
      <c r="J1566"/>
    </row>
    <row r="1567" spans="1:10" x14ac:dyDescent="0.3">
      <c r="A1567" s="518"/>
      <c r="B1567" s="518"/>
      <c r="C1567" s="518"/>
      <c r="D1567" s="518"/>
      <c r="E1567" s="518"/>
      <c r="F1567" s="518"/>
      <c r="G1567" s="518" t="s">
        <v>2589</v>
      </c>
      <c r="H1567" s="518" t="s">
        <v>2590</v>
      </c>
      <c r="I1567" s="518"/>
      <c r="J1567"/>
    </row>
    <row r="1568" spans="1:10" ht="37.5" x14ac:dyDescent="0.3">
      <c r="A1568" s="519" t="s">
        <v>2587</v>
      </c>
      <c r="B1568" s="520" t="s">
        <v>125</v>
      </c>
      <c r="C1568" s="519">
        <v>4413995</v>
      </c>
      <c r="D1568" s="519" t="s">
        <v>3099</v>
      </c>
      <c r="E1568" s="522">
        <v>2.3E-2</v>
      </c>
      <c r="F1568" s="521" t="s">
        <v>2592</v>
      </c>
      <c r="G1568" s="520" t="s">
        <v>4472</v>
      </c>
      <c r="H1568" s="520" t="s">
        <v>4473</v>
      </c>
      <c r="I1568" s="524">
        <v>0</v>
      </c>
      <c r="J1568"/>
    </row>
    <row r="1569" spans="1:10" ht="37.5" x14ac:dyDescent="0.3">
      <c r="A1569" s="519" t="s">
        <v>2587</v>
      </c>
      <c r="B1569" s="520" t="s">
        <v>125</v>
      </c>
      <c r="C1569" s="519" t="s">
        <v>3088</v>
      </c>
      <c r="D1569" s="519" t="s">
        <v>3100</v>
      </c>
      <c r="E1569" s="522">
        <v>6.0000000000000002E-5</v>
      </c>
      <c r="F1569" s="521" t="s">
        <v>2592</v>
      </c>
      <c r="G1569" s="520" t="s">
        <v>4472</v>
      </c>
      <c r="H1569" s="520" t="s">
        <v>4473</v>
      </c>
      <c r="I1569" s="524">
        <v>0</v>
      </c>
      <c r="J1569"/>
    </row>
    <row r="1570" spans="1:10" ht="37.5" x14ac:dyDescent="0.3">
      <c r="A1570" s="519" t="s">
        <v>2587</v>
      </c>
      <c r="B1570" s="520" t="s">
        <v>125</v>
      </c>
      <c r="C1570" s="519" t="s">
        <v>3090</v>
      </c>
      <c r="D1570" s="519" t="s">
        <v>3101</v>
      </c>
      <c r="E1570" s="522">
        <v>2.0000000000000001E-4</v>
      </c>
      <c r="F1570" s="521" t="s">
        <v>2592</v>
      </c>
      <c r="G1570" s="520" t="s">
        <v>4472</v>
      </c>
      <c r="H1570" s="520" t="s">
        <v>4473</v>
      </c>
      <c r="I1570" s="524">
        <v>0</v>
      </c>
      <c r="J1570"/>
    </row>
    <row r="1571" spans="1:10" ht="37.5" x14ac:dyDescent="0.3">
      <c r="A1571" s="519" t="s">
        <v>2587</v>
      </c>
      <c r="B1571" s="520" t="s">
        <v>125</v>
      </c>
      <c r="C1571" s="519" t="s">
        <v>3094</v>
      </c>
      <c r="D1571" s="519" t="s">
        <v>3102</v>
      </c>
      <c r="E1571" s="522">
        <v>1.8000000000000001E-4</v>
      </c>
      <c r="F1571" s="521" t="s">
        <v>2592</v>
      </c>
      <c r="G1571" s="520" t="s">
        <v>4472</v>
      </c>
      <c r="H1571" s="520" t="s">
        <v>4473</v>
      </c>
      <c r="I1571" s="524">
        <v>0</v>
      </c>
      <c r="J1571"/>
    </row>
    <row r="1572" spans="1:10" s="358" customFormat="1" ht="37.5" x14ac:dyDescent="0.3">
      <c r="A1572" s="519" t="s">
        <v>2587</v>
      </c>
      <c r="B1572" s="520" t="s">
        <v>125</v>
      </c>
      <c r="C1572" s="519" t="s">
        <v>3096</v>
      </c>
      <c r="D1572" s="519" t="s">
        <v>3103</v>
      </c>
      <c r="E1572" s="522">
        <v>7.5000000000000002E-4</v>
      </c>
      <c r="F1572" s="521" t="s">
        <v>2592</v>
      </c>
      <c r="G1572" s="520" t="s">
        <v>4472</v>
      </c>
      <c r="H1572" s="520" t="s">
        <v>4473</v>
      </c>
      <c r="I1572" s="524">
        <v>0</v>
      </c>
      <c r="J1572"/>
    </row>
    <row r="1573" spans="1:10" ht="15" customHeight="1" thickBot="1" x14ac:dyDescent="0.35">
      <c r="A1573" s="902"/>
      <c r="B1573" s="902"/>
      <c r="C1573" s="902"/>
      <c r="D1573" s="902"/>
      <c r="E1573" s="902"/>
      <c r="F1573" s="902" t="s">
        <v>2593</v>
      </c>
      <c r="G1573" s="902"/>
      <c r="H1573" s="902"/>
      <c r="I1573" s="525">
        <v>0</v>
      </c>
      <c r="J1573"/>
    </row>
    <row r="1574" spans="1:10" s="358" customFormat="1" ht="14.5" thickTop="1" x14ac:dyDescent="0.3">
      <c r="A1574" s="647"/>
      <c r="B1574" s="647"/>
      <c r="C1574" s="647"/>
      <c r="D1574" s="647"/>
      <c r="E1574" s="647"/>
      <c r="F1574" s="647"/>
      <c r="G1574" s="647"/>
      <c r="H1574" s="647"/>
      <c r="I1574" s="647"/>
      <c r="J1574" s="647"/>
    </row>
    <row r="1575" spans="1:10" ht="15" customHeight="1" x14ac:dyDescent="0.3">
      <c r="A1575" s="516"/>
      <c r="B1575" s="517" t="s">
        <v>15</v>
      </c>
      <c r="C1575" s="516" t="s">
        <v>16</v>
      </c>
      <c r="D1575" s="516" t="s">
        <v>17</v>
      </c>
      <c r="E1575" s="904" t="s">
        <v>2431</v>
      </c>
      <c r="F1575" s="904"/>
      <c r="G1575" s="518" t="s">
        <v>18</v>
      </c>
      <c r="H1575" s="517" t="s">
        <v>19</v>
      </c>
      <c r="I1575" s="517" t="s">
        <v>20</v>
      </c>
      <c r="J1575" s="517" t="s">
        <v>23</v>
      </c>
    </row>
    <row r="1576" spans="1:10" ht="51" customHeight="1" x14ac:dyDescent="0.3">
      <c r="A1576" s="642" t="s">
        <v>2432</v>
      </c>
      <c r="B1576" s="643" t="s">
        <v>592</v>
      </c>
      <c r="C1576" s="642" t="s">
        <v>32</v>
      </c>
      <c r="D1576" s="642" t="s">
        <v>4444</v>
      </c>
      <c r="E1576" s="906" t="s">
        <v>3029</v>
      </c>
      <c r="F1576" s="906"/>
      <c r="G1576" s="644" t="s">
        <v>194</v>
      </c>
      <c r="H1576" s="645">
        <v>1</v>
      </c>
      <c r="I1576" s="646">
        <v>48.36</v>
      </c>
      <c r="J1576" s="646">
        <v>48.36</v>
      </c>
    </row>
    <row r="1577" spans="1:10" ht="25" x14ac:dyDescent="0.3">
      <c r="A1577" s="519" t="s">
        <v>2434</v>
      </c>
      <c r="B1577" s="520" t="s">
        <v>2757</v>
      </c>
      <c r="C1577" s="519" t="s">
        <v>32</v>
      </c>
      <c r="D1577" s="519" t="s">
        <v>2758</v>
      </c>
      <c r="E1577" s="905" t="s">
        <v>2433</v>
      </c>
      <c r="F1577" s="905"/>
      <c r="G1577" s="521" t="s">
        <v>1901</v>
      </c>
      <c r="H1577" s="522">
        <v>0.2296</v>
      </c>
      <c r="I1577" s="523">
        <v>31.1</v>
      </c>
      <c r="J1577" s="523">
        <v>7.14</v>
      </c>
    </row>
    <row r="1578" spans="1:10" ht="14.25" customHeight="1" x14ac:dyDescent="0.3">
      <c r="A1578" s="519" t="s">
        <v>2434</v>
      </c>
      <c r="B1578" s="520" t="s">
        <v>2561</v>
      </c>
      <c r="C1578" s="519" t="s">
        <v>32</v>
      </c>
      <c r="D1578" s="519" t="s">
        <v>2562</v>
      </c>
      <c r="E1578" s="905" t="s">
        <v>2433</v>
      </c>
      <c r="F1578" s="905"/>
      <c r="G1578" s="521" t="s">
        <v>1901</v>
      </c>
      <c r="H1578" s="522">
        <v>0.2296</v>
      </c>
      <c r="I1578" s="523">
        <v>23.4</v>
      </c>
      <c r="J1578" s="523">
        <v>5.37</v>
      </c>
    </row>
    <row r="1579" spans="1:10" ht="14.25" customHeight="1" x14ac:dyDescent="0.3">
      <c r="A1579" s="519" t="s">
        <v>2434</v>
      </c>
      <c r="B1579" s="520" t="s">
        <v>3009</v>
      </c>
      <c r="C1579" s="519" t="s">
        <v>32</v>
      </c>
      <c r="D1579" s="519" t="s">
        <v>3010</v>
      </c>
      <c r="E1579" s="905" t="s">
        <v>2433</v>
      </c>
      <c r="F1579" s="905"/>
      <c r="G1579" s="521" t="s">
        <v>118</v>
      </c>
      <c r="H1579" s="522">
        <v>1.8E-3</v>
      </c>
      <c r="I1579" s="523">
        <v>634.08000000000004</v>
      </c>
      <c r="J1579" s="523">
        <v>1.1399999999999999</v>
      </c>
    </row>
    <row r="1580" spans="1:10" ht="14.25" customHeight="1" x14ac:dyDescent="0.3">
      <c r="A1580" s="519" t="s">
        <v>2437</v>
      </c>
      <c r="B1580" s="520" t="s">
        <v>2816</v>
      </c>
      <c r="C1580" s="519" t="s">
        <v>125</v>
      </c>
      <c r="D1580" s="519" t="s">
        <v>2817</v>
      </c>
      <c r="E1580" s="905" t="s">
        <v>2442</v>
      </c>
      <c r="F1580" s="905"/>
      <c r="G1580" s="521" t="s">
        <v>118</v>
      </c>
      <c r="H1580" s="522">
        <v>6.6E-3</v>
      </c>
      <c r="I1580" s="523">
        <v>149.36019999999999</v>
      </c>
      <c r="J1580" s="523">
        <v>0.98</v>
      </c>
    </row>
    <row r="1581" spans="1:10" ht="25.5" thickBot="1" x14ac:dyDescent="0.35">
      <c r="A1581" s="519" t="s">
        <v>2437</v>
      </c>
      <c r="B1581" s="520" t="s">
        <v>3104</v>
      </c>
      <c r="C1581" s="519" t="s">
        <v>32</v>
      </c>
      <c r="D1581" s="519" t="s">
        <v>3105</v>
      </c>
      <c r="E1581" s="905" t="s">
        <v>2442</v>
      </c>
      <c r="F1581" s="905"/>
      <c r="G1581" s="521" t="s">
        <v>194</v>
      </c>
      <c r="H1581" s="522">
        <v>1.0049999999999999</v>
      </c>
      <c r="I1581" s="523">
        <v>33.57</v>
      </c>
      <c r="J1581" s="523">
        <v>33.729999999999997</v>
      </c>
    </row>
    <row r="1582" spans="1:10" ht="14.25" customHeight="1" thickTop="1" x14ac:dyDescent="0.3">
      <c r="A1582" s="647"/>
      <c r="B1582" s="647"/>
      <c r="C1582" s="647"/>
      <c r="D1582" s="647"/>
      <c r="E1582" s="647"/>
      <c r="F1582" s="647"/>
      <c r="G1582" s="647"/>
      <c r="H1582" s="647"/>
      <c r="I1582" s="647"/>
      <c r="J1582" s="647"/>
    </row>
    <row r="1583" spans="1:10" ht="14.25" customHeight="1" x14ac:dyDescent="0.3">
      <c r="A1583" s="516"/>
      <c r="B1583" s="517" t="s">
        <v>15</v>
      </c>
      <c r="C1583" s="516" t="s">
        <v>16</v>
      </c>
      <c r="D1583" s="516" t="s">
        <v>17</v>
      </c>
      <c r="E1583" s="904" t="s">
        <v>2431</v>
      </c>
      <c r="F1583" s="904"/>
      <c r="G1583" s="518" t="s">
        <v>18</v>
      </c>
      <c r="H1583" s="517" t="s">
        <v>19</v>
      </c>
      <c r="I1583" s="517" t="s">
        <v>20</v>
      </c>
      <c r="J1583" s="517" t="s">
        <v>23</v>
      </c>
    </row>
    <row r="1584" spans="1:10" ht="15" customHeight="1" x14ac:dyDescent="0.3">
      <c r="A1584" s="642" t="s">
        <v>2432</v>
      </c>
      <c r="B1584" s="643" t="s">
        <v>596</v>
      </c>
      <c r="C1584" s="642" t="s">
        <v>125</v>
      </c>
      <c r="D1584" s="642" t="s">
        <v>597</v>
      </c>
      <c r="E1584" s="906" t="s">
        <v>1328</v>
      </c>
      <c r="F1584" s="906"/>
      <c r="G1584" s="644" t="s">
        <v>115</v>
      </c>
      <c r="H1584" s="645">
        <v>1</v>
      </c>
      <c r="I1584" s="646">
        <v>501.28</v>
      </c>
      <c r="J1584" s="646">
        <v>501.28</v>
      </c>
    </row>
    <row r="1585" spans="1:10" ht="15" customHeight="1" x14ac:dyDescent="0.3">
      <c r="A1585" s="904" t="s">
        <v>2418</v>
      </c>
      <c r="B1585" s="903" t="s">
        <v>15</v>
      </c>
      <c r="C1585" s="904" t="s">
        <v>16</v>
      </c>
      <c r="D1585" s="904" t="s">
        <v>2466</v>
      </c>
      <c r="E1585" s="903" t="s">
        <v>2467</v>
      </c>
      <c r="F1585" s="908" t="s">
        <v>2468</v>
      </c>
      <c r="G1585" s="903"/>
      <c r="H1585" s="518" t="s">
        <v>2469</v>
      </c>
      <c r="I1585" s="903" t="s">
        <v>2470</v>
      </c>
      <c r="J1585"/>
    </row>
    <row r="1586" spans="1:10" x14ac:dyDescent="0.3">
      <c r="A1586" s="903"/>
      <c r="B1586" s="903"/>
      <c r="C1586" s="903"/>
      <c r="D1586" s="903"/>
      <c r="E1586" s="903"/>
      <c r="F1586" s="517" t="s">
        <v>2471</v>
      </c>
      <c r="G1586" s="517" t="s">
        <v>2472</v>
      </c>
      <c r="H1586" s="517" t="s">
        <v>2471</v>
      </c>
      <c r="I1586" s="903"/>
      <c r="J1586"/>
    </row>
    <row r="1587" spans="1:10" x14ac:dyDescent="0.3">
      <c r="A1587" s="519" t="s">
        <v>2437</v>
      </c>
      <c r="B1587" s="520" t="s">
        <v>3106</v>
      </c>
      <c r="C1587" s="519" t="s">
        <v>125</v>
      </c>
      <c r="D1587" s="519" t="s">
        <v>3107</v>
      </c>
      <c r="E1587" s="522">
        <v>1</v>
      </c>
      <c r="F1587" s="523">
        <v>0.3</v>
      </c>
      <c r="G1587" s="523">
        <v>0.7</v>
      </c>
      <c r="H1587" s="524">
        <v>142.7852</v>
      </c>
      <c r="I1587" s="524">
        <v>81.444599999999994</v>
      </c>
      <c r="J1587"/>
    </row>
    <row r="1588" spans="1:10" ht="15" customHeight="1" x14ac:dyDescent="0.3">
      <c r="A1588" s="902"/>
      <c r="B1588" s="902"/>
      <c r="C1588" s="902"/>
      <c r="D1588" s="902"/>
      <c r="E1588" s="902"/>
      <c r="F1588" s="902" t="s">
        <v>2475</v>
      </c>
      <c r="G1588" s="902"/>
      <c r="H1588" s="902"/>
      <c r="I1588" s="525">
        <v>81.444599999999994</v>
      </c>
      <c r="J1588"/>
    </row>
    <row r="1589" spans="1:10" s="358" customFormat="1" ht="15" customHeight="1" x14ac:dyDescent="0.3">
      <c r="A1589" s="902"/>
      <c r="B1589" s="902"/>
      <c r="C1589" s="902"/>
      <c r="D1589" s="902"/>
      <c r="E1589" s="902"/>
      <c r="F1589" s="902" t="s">
        <v>2476</v>
      </c>
      <c r="G1589" s="902"/>
      <c r="H1589" s="902"/>
      <c r="I1589" s="525">
        <v>81.444599999999994</v>
      </c>
      <c r="J1589"/>
    </row>
    <row r="1590" spans="1:10" ht="14.25" customHeight="1" x14ac:dyDescent="0.3">
      <c r="A1590" s="902"/>
      <c r="B1590" s="902"/>
      <c r="C1590" s="902"/>
      <c r="D1590" s="902"/>
      <c r="E1590" s="902"/>
      <c r="F1590" s="902" t="s">
        <v>2477</v>
      </c>
      <c r="G1590" s="902"/>
      <c r="H1590" s="902"/>
      <c r="I1590" s="525">
        <v>0</v>
      </c>
      <c r="J1590"/>
    </row>
    <row r="1591" spans="1:10" s="358" customFormat="1" x14ac:dyDescent="0.3">
      <c r="A1591" s="902"/>
      <c r="B1591" s="902"/>
      <c r="C1591" s="902"/>
      <c r="D1591" s="902"/>
      <c r="E1591" s="902"/>
      <c r="F1591" s="902" t="s">
        <v>2478</v>
      </c>
      <c r="G1591" s="902"/>
      <c r="H1591" s="902"/>
      <c r="I1591" s="525">
        <v>0</v>
      </c>
      <c r="J1591"/>
    </row>
    <row r="1592" spans="1:10" ht="15" customHeight="1" x14ac:dyDescent="0.3">
      <c r="A1592" s="902"/>
      <c r="B1592" s="902"/>
      <c r="C1592" s="902"/>
      <c r="D1592" s="902"/>
      <c r="E1592" s="902"/>
      <c r="F1592" s="902" t="s">
        <v>2479</v>
      </c>
      <c r="G1592" s="902"/>
      <c r="H1592" s="902"/>
      <c r="I1592" s="525">
        <v>3</v>
      </c>
      <c r="J1592"/>
    </row>
    <row r="1593" spans="1:10" ht="14.25" customHeight="1" x14ac:dyDescent="0.3">
      <c r="A1593" s="902"/>
      <c r="B1593" s="902"/>
      <c r="C1593" s="902"/>
      <c r="D1593" s="902"/>
      <c r="E1593" s="902"/>
      <c r="F1593" s="902" t="s">
        <v>2480</v>
      </c>
      <c r="G1593" s="902"/>
      <c r="H1593" s="902"/>
      <c r="I1593" s="525">
        <v>27.148199999999999</v>
      </c>
      <c r="J1593"/>
    </row>
    <row r="1594" spans="1:10" ht="15" customHeight="1" x14ac:dyDescent="0.3">
      <c r="A1594" s="516" t="s">
        <v>2574</v>
      </c>
      <c r="B1594" s="517" t="s">
        <v>16</v>
      </c>
      <c r="C1594" s="516" t="s">
        <v>15</v>
      </c>
      <c r="D1594" s="516" t="s">
        <v>2575</v>
      </c>
      <c r="E1594" s="517" t="s">
        <v>2467</v>
      </c>
      <c r="F1594" s="517" t="s">
        <v>2576</v>
      </c>
      <c r="G1594" s="903" t="s">
        <v>2577</v>
      </c>
      <c r="H1594" s="903"/>
      <c r="I1594" s="517" t="s">
        <v>2470</v>
      </c>
      <c r="J1594"/>
    </row>
    <row r="1595" spans="1:10" ht="14.25" customHeight="1" x14ac:dyDescent="0.3">
      <c r="A1595" s="519" t="s">
        <v>2578</v>
      </c>
      <c r="B1595" s="520" t="s">
        <v>125</v>
      </c>
      <c r="C1595" s="519">
        <v>5213417</v>
      </c>
      <c r="D1595" s="519" t="s">
        <v>3108</v>
      </c>
      <c r="E1595" s="522">
        <v>1</v>
      </c>
      <c r="F1595" s="521" t="s">
        <v>115</v>
      </c>
      <c r="G1595" s="907">
        <v>450.08</v>
      </c>
      <c r="H1595" s="907"/>
      <c r="I1595" s="524">
        <v>450.08</v>
      </c>
      <c r="J1595"/>
    </row>
    <row r="1596" spans="1:10" ht="14.25" customHeight="1" x14ac:dyDescent="0.3">
      <c r="A1596" s="519" t="s">
        <v>2578</v>
      </c>
      <c r="B1596" s="520" t="s">
        <v>32</v>
      </c>
      <c r="C1596" s="519">
        <v>88316</v>
      </c>
      <c r="D1596" s="519" t="s">
        <v>2562</v>
      </c>
      <c r="E1596" s="522">
        <v>0.66666669999999995</v>
      </c>
      <c r="F1596" s="521" t="s">
        <v>1901</v>
      </c>
      <c r="G1596" s="907">
        <v>23.4</v>
      </c>
      <c r="H1596" s="907"/>
      <c r="I1596" s="524">
        <v>15.6</v>
      </c>
      <c r="J1596"/>
    </row>
    <row r="1597" spans="1:10" ht="14.25" customHeight="1" x14ac:dyDescent="0.3">
      <c r="A1597" s="519" t="s">
        <v>2578</v>
      </c>
      <c r="B1597" s="520" t="s">
        <v>32</v>
      </c>
      <c r="C1597" s="519">
        <v>88278</v>
      </c>
      <c r="D1597" s="519" t="s">
        <v>2560</v>
      </c>
      <c r="E1597" s="522">
        <v>0.3333333</v>
      </c>
      <c r="F1597" s="521" t="s">
        <v>1901</v>
      </c>
      <c r="G1597" s="907">
        <v>25.36</v>
      </c>
      <c r="H1597" s="907"/>
      <c r="I1597" s="524">
        <v>8.4533000000000005</v>
      </c>
      <c r="J1597"/>
    </row>
    <row r="1598" spans="1:10" ht="15" customHeight="1" thickBot="1" x14ac:dyDescent="0.35">
      <c r="A1598" s="902"/>
      <c r="B1598" s="902"/>
      <c r="C1598" s="902"/>
      <c r="D1598" s="902"/>
      <c r="E1598" s="902"/>
      <c r="F1598" s="902" t="s">
        <v>2579</v>
      </c>
      <c r="G1598" s="902"/>
      <c r="H1598" s="902"/>
      <c r="I1598" s="525">
        <v>474.13330000000002</v>
      </c>
      <c r="J1598"/>
    </row>
    <row r="1599" spans="1:10" ht="14.25" customHeight="1" thickTop="1" x14ac:dyDescent="0.3">
      <c r="A1599" s="647"/>
      <c r="B1599" s="647"/>
      <c r="C1599" s="647"/>
      <c r="D1599" s="647"/>
      <c r="E1599" s="647"/>
      <c r="F1599" s="647"/>
      <c r="G1599" s="647"/>
      <c r="H1599" s="647"/>
      <c r="I1599" s="647"/>
      <c r="J1599" s="647"/>
    </row>
    <row r="1600" spans="1:10" ht="14.25" customHeight="1" x14ac:dyDescent="0.3">
      <c r="A1600" s="516"/>
      <c r="B1600" s="517" t="s">
        <v>15</v>
      </c>
      <c r="C1600" s="516" t="s">
        <v>16</v>
      </c>
      <c r="D1600" s="516" t="s">
        <v>17</v>
      </c>
      <c r="E1600" s="904" t="s">
        <v>2431</v>
      </c>
      <c r="F1600" s="904"/>
      <c r="G1600" s="518" t="s">
        <v>18</v>
      </c>
      <c r="H1600" s="517" t="s">
        <v>19</v>
      </c>
      <c r="I1600" s="517" t="s">
        <v>20</v>
      </c>
      <c r="J1600" s="517" t="s">
        <v>23</v>
      </c>
    </row>
    <row r="1601" spans="1:10" ht="15" customHeight="1" x14ac:dyDescent="0.3">
      <c r="A1601" s="642" t="s">
        <v>2432</v>
      </c>
      <c r="B1601" s="643" t="s">
        <v>599</v>
      </c>
      <c r="C1601" s="642" t="s">
        <v>125</v>
      </c>
      <c r="D1601" s="642" t="s">
        <v>4509</v>
      </c>
      <c r="E1601" s="906" t="s">
        <v>1328</v>
      </c>
      <c r="F1601" s="906"/>
      <c r="G1601" s="644" t="s">
        <v>600</v>
      </c>
      <c r="H1601" s="645">
        <v>1</v>
      </c>
      <c r="I1601" s="646">
        <v>509.43</v>
      </c>
      <c r="J1601" s="646">
        <v>509.43</v>
      </c>
    </row>
    <row r="1602" spans="1:10" ht="15" customHeight="1" x14ac:dyDescent="0.3">
      <c r="A1602" s="904" t="s">
        <v>2418</v>
      </c>
      <c r="B1602" s="903" t="s">
        <v>15</v>
      </c>
      <c r="C1602" s="904" t="s">
        <v>16</v>
      </c>
      <c r="D1602" s="904" t="s">
        <v>2466</v>
      </c>
      <c r="E1602" s="903" t="s">
        <v>2467</v>
      </c>
      <c r="F1602" s="908" t="s">
        <v>2468</v>
      </c>
      <c r="G1602" s="903"/>
      <c r="H1602" s="518" t="s">
        <v>2469</v>
      </c>
      <c r="I1602" s="903" t="s">
        <v>2470</v>
      </c>
      <c r="J1602"/>
    </row>
    <row r="1603" spans="1:10" x14ac:dyDescent="0.3">
      <c r="A1603" s="903"/>
      <c r="B1603" s="903"/>
      <c r="C1603" s="903"/>
      <c r="D1603" s="903"/>
      <c r="E1603" s="903"/>
      <c r="F1603" s="517" t="s">
        <v>2471</v>
      </c>
      <c r="G1603" s="517" t="s">
        <v>2472</v>
      </c>
      <c r="H1603" s="517" t="s">
        <v>2471</v>
      </c>
      <c r="I1603" s="903"/>
      <c r="J1603"/>
    </row>
    <row r="1604" spans="1:10" ht="14.25" customHeight="1" x14ac:dyDescent="0.3">
      <c r="A1604" s="519" t="s">
        <v>2437</v>
      </c>
      <c r="B1604" s="520" t="s">
        <v>3106</v>
      </c>
      <c r="C1604" s="519" t="s">
        <v>125</v>
      </c>
      <c r="D1604" s="519" t="s">
        <v>3107</v>
      </c>
      <c r="E1604" s="522">
        <v>1</v>
      </c>
      <c r="F1604" s="523">
        <v>0.3</v>
      </c>
      <c r="G1604" s="523">
        <v>0.7</v>
      </c>
      <c r="H1604" s="524">
        <v>142.7852</v>
      </c>
      <c r="I1604" s="524">
        <v>81.444599999999994</v>
      </c>
      <c r="J1604"/>
    </row>
    <row r="1605" spans="1:10" ht="15" customHeight="1" x14ac:dyDescent="0.3">
      <c r="A1605" s="902"/>
      <c r="B1605" s="902"/>
      <c r="C1605" s="902"/>
      <c r="D1605" s="902"/>
      <c r="E1605" s="902"/>
      <c r="F1605" s="902" t="s">
        <v>2475</v>
      </c>
      <c r="G1605" s="902"/>
      <c r="H1605" s="902"/>
      <c r="I1605" s="525">
        <v>81.444599999999994</v>
      </c>
      <c r="J1605"/>
    </row>
    <row r="1606" spans="1:10" ht="14.25" customHeight="1" x14ac:dyDescent="0.3">
      <c r="A1606" s="902"/>
      <c r="B1606" s="902"/>
      <c r="C1606" s="902"/>
      <c r="D1606" s="902"/>
      <c r="E1606" s="902"/>
      <c r="F1606" s="902" t="s">
        <v>2476</v>
      </c>
      <c r="G1606" s="902"/>
      <c r="H1606" s="902"/>
      <c r="I1606" s="525">
        <v>81.444599999999994</v>
      </c>
      <c r="J1606"/>
    </row>
    <row r="1607" spans="1:10" ht="14.25" customHeight="1" x14ac:dyDescent="0.3">
      <c r="A1607" s="902"/>
      <c r="B1607" s="902"/>
      <c r="C1607" s="902"/>
      <c r="D1607" s="902"/>
      <c r="E1607" s="902"/>
      <c r="F1607" s="902" t="s">
        <v>2477</v>
      </c>
      <c r="G1607" s="902"/>
      <c r="H1607" s="902"/>
      <c r="I1607" s="525">
        <v>0</v>
      </c>
      <c r="J1607"/>
    </row>
    <row r="1608" spans="1:10" x14ac:dyDescent="0.3">
      <c r="A1608" s="902"/>
      <c r="B1608" s="902"/>
      <c r="C1608" s="902"/>
      <c r="D1608" s="902"/>
      <c r="E1608" s="902"/>
      <c r="F1608" s="902" t="s">
        <v>2478</v>
      </c>
      <c r="G1608" s="902"/>
      <c r="H1608" s="902"/>
      <c r="I1608" s="525">
        <v>0</v>
      </c>
      <c r="J1608"/>
    </row>
    <row r="1609" spans="1:10" ht="14.25" customHeight="1" x14ac:dyDescent="0.3">
      <c r="A1609" s="902"/>
      <c r="B1609" s="902"/>
      <c r="C1609" s="902"/>
      <c r="D1609" s="902"/>
      <c r="E1609" s="902"/>
      <c r="F1609" s="902" t="s">
        <v>2479</v>
      </c>
      <c r="G1609" s="902"/>
      <c r="H1609" s="902"/>
      <c r="I1609" s="525">
        <v>3.7</v>
      </c>
      <c r="J1609"/>
    </row>
    <row r="1610" spans="1:10" ht="14.25" customHeight="1" x14ac:dyDescent="0.3">
      <c r="A1610" s="902"/>
      <c r="B1610" s="902"/>
      <c r="C1610" s="902"/>
      <c r="D1610" s="902"/>
      <c r="E1610" s="902"/>
      <c r="F1610" s="902" t="s">
        <v>2480</v>
      </c>
      <c r="G1610" s="902"/>
      <c r="H1610" s="902"/>
      <c r="I1610" s="525">
        <v>22.0121</v>
      </c>
      <c r="J1610"/>
    </row>
    <row r="1611" spans="1:10" ht="15" customHeight="1" x14ac:dyDescent="0.3">
      <c r="A1611" s="516" t="s">
        <v>2420</v>
      </c>
      <c r="B1611" s="517" t="s">
        <v>16</v>
      </c>
      <c r="C1611" s="516" t="s">
        <v>15</v>
      </c>
      <c r="D1611" s="516" t="s">
        <v>2442</v>
      </c>
      <c r="E1611" s="517" t="s">
        <v>2467</v>
      </c>
      <c r="F1611" s="517" t="s">
        <v>2576</v>
      </c>
      <c r="G1611" s="903" t="s">
        <v>2577</v>
      </c>
      <c r="H1611" s="903"/>
      <c r="I1611" s="517" t="s">
        <v>2470</v>
      </c>
      <c r="J1611"/>
    </row>
    <row r="1612" spans="1:10" ht="25" x14ac:dyDescent="0.3">
      <c r="A1612" s="519" t="s">
        <v>2437</v>
      </c>
      <c r="B1612" s="520" t="s">
        <v>125</v>
      </c>
      <c r="C1612" s="519" t="s">
        <v>2867</v>
      </c>
      <c r="D1612" s="519" t="s">
        <v>2868</v>
      </c>
      <c r="E1612" s="522">
        <v>0.69699999999999995</v>
      </c>
      <c r="F1612" s="521" t="s">
        <v>384</v>
      </c>
      <c r="G1612" s="907">
        <v>28.6631</v>
      </c>
      <c r="H1612" s="907"/>
      <c r="I1612" s="524">
        <v>19.978200000000001</v>
      </c>
      <c r="J1612"/>
    </row>
    <row r="1613" spans="1:10" x14ac:dyDescent="0.3">
      <c r="A1613" s="519" t="s">
        <v>2437</v>
      </c>
      <c r="B1613" s="520" t="s">
        <v>125</v>
      </c>
      <c r="C1613" s="519" t="s">
        <v>3109</v>
      </c>
      <c r="D1613" s="519" t="s">
        <v>3110</v>
      </c>
      <c r="E1613" s="522">
        <v>14.601000000000001</v>
      </c>
      <c r="F1613" s="521" t="s">
        <v>384</v>
      </c>
      <c r="G1613" s="907">
        <v>29.3703</v>
      </c>
      <c r="H1613" s="907"/>
      <c r="I1613" s="524">
        <v>428.83580000000001</v>
      </c>
      <c r="J1613"/>
    </row>
    <row r="1614" spans="1:10" ht="14.25" customHeight="1" x14ac:dyDescent="0.3">
      <c r="A1614" s="902"/>
      <c r="B1614" s="902"/>
      <c r="C1614" s="902"/>
      <c r="D1614" s="902"/>
      <c r="E1614" s="902"/>
      <c r="F1614" s="902" t="s">
        <v>2809</v>
      </c>
      <c r="G1614" s="902"/>
      <c r="H1614" s="902"/>
      <c r="I1614" s="525">
        <v>448.81400000000002</v>
      </c>
      <c r="J1614"/>
    </row>
    <row r="1615" spans="1:10" ht="15" customHeight="1" x14ac:dyDescent="0.3">
      <c r="A1615" s="516" t="s">
        <v>2574</v>
      </c>
      <c r="B1615" s="517" t="s">
        <v>16</v>
      </c>
      <c r="C1615" s="516" t="s">
        <v>15</v>
      </c>
      <c r="D1615" s="516" t="s">
        <v>2575</v>
      </c>
      <c r="E1615" s="517" t="s">
        <v>2467</v>
      </c>
      <c r="F1615" s="517" t="s">
        <v>2576</v>
      </c>
      <c r="G1615" s="903" t="s">
        <v>2577</v>
      </c>
      <c r="H1615" s="903"/>
      <c r="I1615" s="517" t="s">
        <v>2470</v>
      </c>
      <c r="J1615"/>
    </row>
    <row r="1616" spans="1:10" ht="25" x14ac:dyDescent="0.3">
      <c r="A1616" s="519" t="s">
        <v>2578</v>
      </c>
      <c r="B1616" s="520" t="s">
        <v>125</v>
      </c>
      <c r="C1616" s="519">
        <v>1107892</v>
      </c>
      <c r="D1616" s="519" t="s">
        <v>3111</v>
      </c>
      <c r="E1616" s="522">
        <v>5.0270000000000002E-2</v>
      </c>
      <c r="F1616" s="521" t="s">
        <v>118</v>
      </c>
      <c r="G1616" s="907">
        <v>448.91</v>
      </c>
      <c r="H1616" s="907"/>
      <c r="I1616" s="524">
        <v>22.566700000000001</v>
      </c>
      <c r="J1616"/>
    </row>
    <row r="1617" spans="1:10" ht="25" x14ac:dyDescent="0.3">
      <c r="A1617" s="519" t="s">
        <v>2578</v>
      </c>
      <c r="B1617" s="520" t="s">
        <v>125</v>
      </c>
      <c r="C1617" s="519">
        <v>4805750</v>
      </c>
      <c r="D1617" s="519" t="s">
        <v>3112</v>
      </c>
      <c r="E1617" s="522">
        <v>5.0270000000000002E-2</v>
      </c>
      <c r="F1617" s="521" t="s">
        <v>118</v>
      </c>
      <c r="G1617" s="907">
        <v>46.8</v>
      </c>
      <c r="H1617" s="907"/>
      <c r="I1617" s="524">
        <v>2.3525999999999998</v>
      </c>
      <c r="J1617"/>
    </row>
    <row r="1618" spans="1:10" ht="25" x14ac:dyDescent="0.3">
      <c r="A1618" s="519" t="s">
        <v>2578</v>
      </c>
      <c r="B1618" s="520" t="s">
        <v>32</v>
      </c>
      <c r="C1618" s="519">
        <v>88316</v>
      </c>
      <c r="D1618" s="519" t="s">
        <v>2562</v>
      </c>
      <c r="E1618" s="522">
        <v>0.27027030000000002</v>
      </c>
      <c r="F1618" s="521" t="s">
        <v>1901</v>
      </c>
      <c r="G1618" s="907">
        <v>23.4</v>
      </c>
      <c r="H1618" s="907"/>
      <c r="I1618" s="524">
        <v>6.3243</v>
      </c>
      <c r="J1618"/>
    </row>
    <row r="1619" spans="1:10" ht="15" customHeight="1" x14ac:dyDescent="0.3">
      <c r="A1619" s="519" t="s">
        <v>2578</v>
      </c>
      <c r="B1619" s="520" t="s">
        <v>32</v>
      </c>
      <c r="C1619" s="519">
        <v>88278</v>
      </c>
      <c r="D1619" s="519" t="s">
        <v>2560</v>
      </c>
      <c r="E1619" s="522">
        <v>0.27027030000000002</v>
      </c>
      <c r="F1619" s="521" t="s">
        <v>1901</v>
      </c>
      <c r="G1619" s="907">
        <v>25.36</v>
      </c>
      <c r="H1619" s="907"/>
      <c r="I1619" s="524">
        <v>6.8540999999999999</v>
      </c>
      <c r="J1619"/>
    </row>
    <row r="1620" spans="1:10" s="358" customFormat="1" ht="15" customHeight="1" x14ac:dyDescent="0.3">
      <c r="A1620" s="902"/>
      <c r="B1620" s="902"/>
      <c r="C1620" s="902"/>
      <c r="D1620" s="902"/>
      <c r="E1620" s="902"/>
      <c r="F1620" s="902" t="s">
        <v>2579</v>
      </c>
      <c r="G1620" s="902"/>
      <c r="H1620" s="902"/>
      <c r="I1620" s="525">
        <v>38.097700000000003</v>
      </c>
      <c r="J1620"/>
    </row>
    <row r="1621" spans="1:10" ht="15" customHeight="1" x14ac:dyDescent="0.3">
      <c r="A1621" s="516" t="s">
        <v>2580</v>
      </c>
      <c r="B1621" s="517" t="s">
        <v>16</v>
      </c>
      <c r="C1621" s="516" t="s">
        <v>2437</v>
      </c>
      <c r="D1621" s="516" t="s">
        <v>2581</v>
      </c>
      <c r="E1621" s="517" t="s">
        <v>15</v>
      </c>
      <c r="F1621" s="517" t="s">
        <v>2467</v>
      </c>
      <c r="G1621" s="518" t="s">
        <v>2576</v>
      </c>
      <c r="H1621" s="517" t="s">
        <v>2577</v>
      </c>
      <c r="I1621" s="517" t="s">
        <v>2470</v>
      </c>
      <c r="J1621"/>
    </row>
    <row r="1622" spans="1:10" s="358" customFormat="1" ht="25" x14ac:dyDescent="0.3">
      <c r="A1622" s="519" t="s">
        <v>2582</v>
      </c>
      <c r="B1622" s="520" t="s">
        <v>125</v>
      </c>
      <c r="C1622" s="519" t="s">
        <v>2867</v>
      </c>
      <c r="D1622" s="519" t="s">
        <v>2838</v>
      </c>
      <c r="E1622" s="520">
        <v>5914655</v>
      </c>
      <c r="F1622" s="522">
        <v>6.9999999999999999E-4</v>
      </c>
      <c r="G1622" s="521" t="s">
        <v>374</v>
      </c>
      <c r="H1622" s="524">
        <v>33.159999999999997</v>
      </c>
      <c r="I1622" s="524">
        <v>2.3199999999999998E-2</v>
      </c>
      <c r="J1622"/>
    </row>
    <row r="1623" spans="1:10" ht="15" customHeight="1" x14ac:dyDescent="0.3">
      <c r="A1623" s="519" t="s">
        <v>2582</v>
      </c>
      <c r="B1623" s="520" t="s">
        <v>125</v>
      </c>
      <c r="C1623" s="519" t="s">
        <v>3109</v>
      </c>
      <c r="D1623" s="519" t="s">
        <v>2838</v>
      </c>
      <c r="E1623" s="520">
        <v>5914655</v>
      </c>
      <c r="F1623" s="522">
        <v>1.46E-2</v>
      </c>
      <c r="G1623" s="521" t="s">
        <v>374</v>
      </c>
      <c r="H1623" s="524">
        <v>33.159999999999997</v>
      </c>
      <c r="I1623" s="524">
        <v>0.48409999999999997</v>
      </c>
      <c r="J1623"/>
    </row>
    <row r="1624" spans="1:10" ht="14.25" customHeight="1" x14ac:dyDescent="0.3">
      <c r="A1624" s="902"/>
      <c r="B1624" s="902"/>
      <c r="C1624" s="902"/>
      <c r="D1624" s="902"/>
      <c r="E1624" s="902"/>
      <c r="F1624" s="902" t="s">
        <v>2585</v>
      </c>
      <c r="G1624" s="902"/>
      <c r="H1624" s="902"/>
      <c r="I1624" s="525">
        <v>0.50729999999999997</v>
      </c>
      <c r="J1624"/>
    </row>
    <row r="1625" spans="1:10" ht="15" customHeight="1" x14ac:dyDescent="0.3">
      <c r="A1625" s="516" t="s">
        <v>2586</v>
      </c>
      <c r="B1625" s="517" t="s">
        <v>16</v>
      </c>
      <c r="C1625" s="516" t="s">
        <v>2437</v>
      </c>
      <c r="D1625" s="516" t="s">
        <v>2587</v>
      </c>
      <c r="E1625" s="517" t="s">
        <v>2467</v>
      </c>
      <c r="F1625" s="517" t="s">
        <v>2576</v>
      </c>
      <c r="G1625" s="908" t="s">
        <v>2588</v>
      </c>
      <c r="H1625" s="903"/>
      <c r="I1625" s="517" t="s">
        <v>2470</v>
      </c>
      <c r="J1625"/>
    </row>
    <row r="1626" spans="1:10" ht="14.25" customHeight="1" x14ac:dyDescent="0.3">
      <c r="A1626" s="518"/>
      <c r="B1626" s="518"/>
      <c r="C1626" s="518"/>
      <c r="D1626" s="518"/>
      <c r="E1626" s="518"/>
      <c r="F1626" s="518"/>
      <c r="G1626" s="518" t="s">
        <v>2589</v>
      </c>
      <c r="H1626" s="518" t="s">
        <v>2590</v>
      </c>
      <c r="I1626" s="518"/>
      <c r="J1626"/>
    </row>
    <row r="1627" spans="1:10" ht="14.25" customHeight="1" x14ac:dyDescent="0.3">
      <c r="A1627" s="519" t="s">
        <v>2587</v>
      </c>
      <c r="B1627" s="520" t="s">
        <v>125</v>
      </c>
      <c r="C1627" s="519" t="s">
        <v>2867</v>
      </c>
      <c r="D1627" s="519" t="s">
        <v>2871</v>
      </c>
      <c r="E1627" s="522">
        <v>6.9999999999999999E-4</v>
      </c>
      <c r="F1627" s="521" t="s">
        <v>2592</v>
      </c>
      <c r="G1627" s="520" t="s">
        <v>4472</v>
      </c>
      <c r="H1627" s="520" t="s">
        <v>4473</v>
      </c>
      <c r="I1627" s="524">
        <v>0</v>
      </c>
      <c r="J1627"/>
    </row>
    <row r="1628" spans="1:10" ht="14.25" customHeight="1" x14ac:dyDescent="0.3">
      <c r="A1628" s="519" t="s">
        <v>2587</v>
      </c>
      <c r="B1628" s="520" t="s">
        <v>125</v>
      </c>
      <c r="C1628" s="519" t="s">
        <v>3109</v>
      </c>
      <c r="D1628" s="519" t="s">
        <v>3113</v>
      </c>
      <c r="E1628" s="522">
        <v>1.46E-2</v>
      </c>
      <c r="F1628" s="521" t="s">
        <v>2592</v>
      </c>
      <c r="G1628" s="520" t="s">
        <v>4472</v>
      </c>
      <c r="H1628" s="520" t="s">
        <v>4473</v>
      </c>
      <c r="I1628" s="524">
        <v>0</v>
      </c>
      <c r="J1628"/>
    </row>
    <row r="1629" spans="1:10" ht="15" customHeight="1" thickBot="1" x14ac:dyDescent="0.35">
      <c r="A1629" s="902"/>
      <c r="B1629" s="902"/>
      <c r="C1629" s="902"/>
      <c r="D1629" s="902"/>
      <c r="E1629" s="902"/>
      <c r="F1629" s="902" t="s">
        <v>2593</v>
      </c>
      <c r="G1629" s="902"/>
      <c r="H1629" s="902"/>
      <c r="I1629" s="525">
        <v>0</v>
      </c>
      <c r="J1629"/>
    </row>
    <row r="1630" spans="1:10" ht="14.25" customHeight="1" thickTop="1" x14ac:dyDescent="0.3">
      <c r="A1630" s="647"/>
      <c r="B1630" s="647"/>
      <c r="C1630" s="647"/>
      <c r="D1630" s="647"/>
      <c r="E1630" s="647"/>
      <c r="F1630" s="647"/>
      <c r="G1630" s="647"/>
      <c r="H1630" s="647"/>
      <c r="I1630" s="647"/>
      <c r="J1630" s="647"/>
    </row>
    <row r="1631" spans="1:10" ht="14.25" customHeight="1" x14ac:dyDescent="0.3">
      <c r="A1631" s="516"/>
      <c r="B1631" s="517" t="s">
        <v>15</v>
      </c>
      <c r="C1631" s="516" t="s">
        <v>16</v>
      </c>
      <c r="D1631" s="516" t="s">
        <v>17</v>
      </c>
      <c r="E1631" s="904" t="s">
        <v>2431</v>
      </c>
      <c r="F1631" s="904"/>
      <c r="G1631" s="518" t="s">
        <v>18</v>
      </c>
      <c r="H1631" s="517" t="s">
        <v>19</v>
      </c>
      <c r="I1631" s="517" t="s">
        <v>20</v>
      </c>
      <c r="J1631" s="517" t="s">
        <v>23</v>
      </c>
    </row>
    <row r="1632" spans="1:10" ht="15" customHeight="1" x14ac:dyDescent="0.3">
      <c r="A1632" s="642" t="s">
        <v>2432</v>
      </c>
      <c r="B1632" s="643" t="s">
        <v>602</v>
      </c>
      <c r="C1632" s="642" t="s">
        <v>125</v>
      </c>
      <c r="D1632" s="642" t="s">
        <v>603</v>
      </c>
      <c r="E1632" s="906" t="s">
        <v>1328</v>
      </c>
      <c r="F1632" s="906"/>
      <c r="G1632" s="644" t="s">
        <v>115</v>
      </c>
      <c r="H1632" s="645">
        <v>1</v>
      </c>
      <c r="I1632" s="646">
        <v>47.66</v>
      </c>
      <c r="J1632" s="646">
        <v>47.66</v>
      </c>
    </row>
    <row r="1633" spans="1:10" ht="15" customHeight="1" x14ac:dyDescent="0.3">
      <c r="A1633" s="904" t="s">
        <v>2418</v>
      </c>
      <c r="B1633" s="903" t="s">
        <v>15</v>
      </c>
      <c r="C1633" s="904" t="s">
        <v>16</v>
      </c>
      <c r="D1633" s="904" t="s">
        <v>2466</v>
      </c>
      <c r="E1633" s="903" t="s">
        <v>2467</v>
      </c>
      <c r="F1633" s="908" t="s">
        <v>2468</v>
      </c>
      <c r="G1633" s="903"/>
      <c r="H1633" s="518" t="s">
        <v>2469</v>
      </c>
      <c r="I1633" s="903" t="s">
        <v>2470</v>
      </c>
      <c r="J1633"/>
    </row>
    <row r="1634" spans="1:10" x14ac:dyDescent="0.3">
      <c r="A1634" s="903"/>
      <c r="B1634" s="903"/>
      <c r="C1634" s="903"/>
      <c r="D1634" s="903"/>
      <c r="E1634" s="903"/>
      <c r="F1634" s="517" t="s">
        <v>2471</v>
      </c>
      <c r="G1634" s="517" t="s">
        <v>2472</v>
      </c>
      <c r="H1634" s="517" t="s">
        <v>2471</v>
      </c>
      <c r="I1634" s="903"/>
      <c r="J1634"/>
    </row>
    <row r="1635" spans="1:10" ht="25" x14ac:dyDescent="0.3">
      <c r="A1635" s="519" t="s">
        <v>2437</v>
      </c>
      <c r="B1635" s="520" t="s">
        <v>3114</v>
      </c>
      <c r="C1635" s="519" t="s">
        <v>125</v>
      </c>
      <c r="D1635" s="519" t="s">
        <v>3115</v>
      </c>
      <c r="E1635" s="522">
        <v>1</v>
      </c>
      <c r="F1635" s="523">
        <v>1</v>
      </c>
      <c r="G1635" s="523">
        <v>0</v>
      </c>
      <c r="H1635" s="524">
        <v>558.59780000000001</v>
      </c>
      <c r="I1635" s="524">
        <v>558.59780000000001</v>
      </c>
      <c r="J1635"/>
    </row>
    <row r="1636" spans="1:10" ht="14.25" customHeight="1" x14ac:dyDescent="0.3">
      <c r="A1636" s="902"/>
      <c r="B1636" s="902"/>
      <c r="C1636" s="902"/>
      <c r="D1636" s="902"/>
      <c r="E1636" s="902"/>
      <c r="F1636" s="902" t="s">
        <v>2475</v>
      </c>
      <c r="G1636" s="902"/>
      <c r="H1636" s="902"/>
      <c r="I1636" s="525">
        <v>558.59780000000001</v>
      </c>
      <c r="J1636"/>
    </row>
    <row r="1637" spans="1:10" ht="15" customHeight="1" x14ac:dyDescent="0.3">
      <c r="A1637" s="902"/>
      <c r="B1637" s="902"/>
      <c r="C1637" s="902"/>
      <c r="D1637" s="902"/>
      <c r="E1637" s="902"/>
      <c r="F1637" s="902" t="s">
        <v>2476</v>
      </c>
      <c r="G1637" s="902"/>
      <c r="H1637" s="902"/>
      <c r="I1637" s="525">
        <v>558.59780000000001</v>
      </c>
      <c r="J1637"/>
    </row>
    <row r="1638" spans="1:10" ht="14.25" customHeight="1" x14ac:dyDescent="0.3">
      <c r="A1638" s="902"/>
      <c r="B1638" s="902"/>
      <c r="C1638" s="902"/>
      <c r="D1638" s="902"/>
      <c r="E1638" s="902"/>
      <c r="F1638" s="902" t="s">
        <v>2477</v>
      </c>
      <c r="G1638" s="902"/>
      <c r="H1638" s="902"/>
      <c r="I1638" s="525">
        <v>0</v>
      </c>
      <c r="J1638"/>
    </row>
    <row r="1639" spans="1:10" x14ac:dyDescent="0.3">
      <c r="A1639" s="902"/>
      <c r="B1639" s="902"/>
      <c r="C1639" s="902"/>
      <c r="D1639" s="902"/>
      <c r="E1639" s="902"/>
      <c r="F1639" s="902" t="s">
        <v>2478</v>
      </c>
      <c r="G1639" s="902"/>
      <c r="H1639" s="902"/>
      <c r="I1639" s="525">
        <v>0</v>
      </c>
      <c r="J1639"/>
    </row>
    <row r="1640" spans="1:10" ht="14.25" customHeight="1" x14ac:dyDescent="0.3">
      <c r="A1640" s="902"/>
      <c r="B1640" s="902"/>
      <c r="C1640" s="902"/>
      <c r="D1640" s="902"/>
      <c r="E1640" s="902"/>
      <c r="F1640" s="902" t="s">
        <v>2479</v>
      </c>
      <c r="G1640" s="902"/>
      <c r="H1640" s="902"/>
      <c r="I1640" s="525">
        <v>95.4</v>
      </c>
      <c r="J1640"/>
    </row>
    <row r="1641" spans="1:10" ht="15" customHeight="1" x14ac:dyDescent="0.3">
      <c r="A1641" s="902"/>
      <c r="B1641" s="902"/>
      <c r="C1641" s="902"/>
      <c r="D1641" s="902"/>
      <c r="E1641" s="902"/>
      <c r="F1641" s="902" t="s">
        <v>2480</v>
      </c>
      <c r="G1641" s="902"/>
      <c r="H1641" s="902"/>
      <c r="I1641" s="525">
        <v>5.8552999999999997</v>
      </c>
      <c r="J1641"/>
    </row>
    <row r="1642" spans="1:10" ht="15" customHeight="1" x14ac:dyDescent="0.3">
      <c r="A1642" s="516" t="s">
        <v>2420</v>
      </c>
      <c r="B1642" s="517" t="s">
        <v>16</v>
      </c>
      <c r="C1642" s="516" t="s">
        <v>15</v>
      </c>
      <c r="D1642" s="516" t="s">
        <v>2442</v>
      </c>
      <c r="E1642" s="517" t="s">
        <v>2467</v>
      </c>
      <c r="F1642" s="517" t="s">
        <v>2576</v>
      </c>
      <c r="G1642" s="903" t="s">
        <v>2577</v>
      </c>
      <c r="H1642" s="903"/>
      <c r="I1642" s="517" t="s">
        <v>2470</v>
      </c>
      <c r="J1642"/>
    </row>
    <row r="1643" spans="1:10" x14ac:dyDescent="0.3">
      <c r="A1643" s="519" t="s">
        <v>2437</v>
      </c>
      <c r="B1643" s="520" t="s">
        <v>125</v>
      </c>
      <c r="C1643" s="519" t="s">
        <v>3116</v>
      </c>
      <c r="D1643" s="519" t="s">
        <v>3117</v>
      </c>
      <c r="E1643" s="522">
        <v>3.0750000000000002</v>
      </c>
      <c r="F1643" s="521" t="s">
        <v>384</v>
      </c>
      <c r="G1643" s="907">
        <v>11.798299999999999</v>
      </c>
      <c r="H1643" s="907"/>
      <c r="I1643" s="524">
        <v>36.279800000000002</v>
      </c>
      <c r="J1643"/>
    </row>
    <row r="1644" spans="1:10" ht="14.25" customHeight="1" x14ac:dyDescent="0.3">
      <c r="A1644" s="519" t="s">
        <v>2437</v>
      </c>
      <c r="B1644" s="520" t="s">
        <v>125</v>
      </c>
      <c r="C1644" s="519" t="s">
        <v>3118</v>
      </c>
      <c r="D1644" s="519" t="s">
        <v>3119</v>
      </c>
      <c r="E1644" s="522">
        <v>0.4</v>
      </c>
      <c r="F1644" s="521" t="s">
        <v>384</v>
      </c>
      <c r="G1644" s="907">
        <v>9.5541999999999998</v>
      </c>
      <c r="H1644" s="907"/>
      <c r="I1644" s="524">
        <v>3.8216999999999999</v>
      </c>
      <c r="J1644"/>
    </row>
    <row r="1645" spans="1:10" ht="15" customHeight="1" x14ac:dyDescent="0.3">
      <c r="A1645" s="519" t="s">
        <v>2437</v>
      </c>
      <c r="B1645" s="520" t="s">
        <v>125</v>
      </c>
      <c r="C1645" s="519" t="s">
        <v>3120</v>
      </c>
      <c r="D1645" s="519" t="s">
        <v>3121</v>
      </c>
      <c r="E1645" s="522">
        <v>9.7000000000000005E-4</v>
      </c>
      <c r="F1645" s="521" t="s">
        <v>2829</v>
      </c>
      <c r="G1645" s="907">
        <v>22.376000000000001</v>
      </c>
      <c r="H1645" s="907"/>
      <c r="I1645" s="524">
        <v>2.1700000000000001E-2</v>
      </c>
      <c r="J1645"/>
    </row>
    <row r="1646" spans="1:10" ht="14.25" customHeight="1" x14ac:dyDescent="0.3">
      <c r="A1646" s="902"/>
      <c r="B1646" s="902"/>
      <c r="C1646" s="902"/>
      <c r="D1646" s="902"/>
      <c r="E1646" s="902"/>
      <c r="F1646" s="902" t="s">
        <v>2809</v>
      </c>
      <c r="G1646" s="902"/>
      <c r="H1646" s="902"/>
      <c r="I1646" s="525">
        <v>40.123199999999997</v>
      </c>
      <c r="J1646"/>
    </row>
    <row r="1647" spans="1:10" ht="15" customHeight="1" x14ac:dyDescent="0.3">
      <c r="A1647" s="516" t="s">
        <v>2574</v>
      </c>
      <c r="B1647" s="517" t="s">
        <v>16</v>
      </c>
      <c r="C1647" s="516" t="s">
        <v>15</v>
      </c>
      <c r="D1647" s="516" t="s">
        <v>2575</v>
      </c>
      <c r="E1647" s="517" t="s">
        <v>2467</v>
      </c>
      <c r="F1647" s="517" t="s">
        <v>2576</v>
      </c>
      <c r="G1647" s="903" t="s">
        <v>2577</v>
      </c>
      <c r="H1647" s="903"/>
      <c r="I1647" s="517" t="s">
        <v>2470</v>
      </c>
      <c r="J1647"/>
    </row>
    <row r="1648" spans="1:10" ht="25" x14ac:dyDescent="0.3">
      <c r="A1648" s="519" t="s">
        <v>2578</v>
      </c>
      <c r="B1648" s="520" t="s">
        <v>32</v>
      </c>
      <c r="C1648" s="519">
        <v>88316</v>
      </c>
      <c r="D1648" s="519" t="s">
        <v>2562</v>
      </c>
      <c r="E1648" s="522">
        <v>5.2410900000000003E-2</v>
      </c>
      <c r="F1648" s="521" t="s">
        <v>1901</v>
      </c>
      <c r="G1648" s="907">
        <v>23.4</v>
      </c>
      <c r="H1648" s="907"/>
      <c r="I1648" s="524">
        <v>1.2263999999999999</v>
      </c>
      <c r="J1648"/>
    </row>
    <row r="1649" spans="1:10" ht="15" customHeight="1" x14ac:dyDescent="0.3">
      <c r="A1649" s="519" t="s">
        <v>2578</v>
      </c>
      <c r="B1649" s="520" t="s">
        <v>32</v>
      </c>
      <c r="C1649" s="519">
        <v>88310</v>
      </c>
      <c r="D1649" s="519" t="s">
        <v>3021</v>
      </c>
      <c r="E1649" s="522">
        <v>1.0482200000000001E-2</v>
      </c>
      <c r="F1649" s="521" t="s">
        <v>1901</v>
      </c>
      <c r="G1649" s="907">
        <v>32.58</v>
      </c>
      <c r="H1649" s="907"/>
      <c r="I1649" s="524">
        <v>0.34150000000000003</v>
      </c>
      <c r="J1649"/>
    </row>
    <row r="1650" spans="1:10" s="358" customFormat="1" ht="15" customHeight="1" x14ac:dyDescent="0.3">
      <c r="A1650" s="902"/>
      <c r="B1650" s="902"/>
      <c r="C1650" s="902"/>
      <c r="D1650" s="902"/>
      <c r="E1650" s="902"/>
      <c r="F1650" s="902" t="s">
        <v>2579</v>
      </c>
      <c r="G1650" s="902"/>
      <c r="H1650" s="902"/>
      <c r="I1650" s="525">
        <v>1.5679000000000001</v>
      </c>
      <c r="J1650"/>
    </row>
    <row r="1651" spans="1:10" ht="15" customHeight="1" x14ac:dyDescent="0.3">
      <c r="A1651" s="516" t="s">
        <v>2580</v>
      </c>
      <c r="B1651" s="517" t="s">
        <v>16</v>
      </c>
      <c r="C1651" s="516" t="s">
        <v>2437</v>
      </c>
      <c r="D1651" s="516" t="s">
        <v>2581</v>
      </c>
      <c r="E1651" s="517" t="s">
        <v>15</v>
      </c>
      <c r="F1651" s="517" t="s">
        <v>2467</v>
      </c>
      <c r="G1651" s="518" t="s">
        <v>2576</v>
      </c>
      <c r="H1651" s="517" t="s">
        <v>2577</v>
      </c>
      <c r="I1651" s="517" t="s">
        <v>2470</v>
      </c>
      <c r="J1651"/>
    </row>
    <row r="1652" spans="1:10" s="358" customFormat="1" ht="25" x14ac:dyDescent="0.3">
      <c r="A1652" s="519" t="s">
        <v>2582</v>
      </c>
      <c r="B1652" s="520" t="s">
        <v>125</v>
      </c>
      <c r="C1652" s="519" t="s">
        <v>3116</v>
      </c>
      <c r="D1652" s="519" t="s">
        <v>2838</v>
      </c>
      <c r="E1652" s="520">
        <v>5914655</v>
      </c>
      <c r="F1652" s="522">
        <v>3.0799999999999998E-3</v>
      </c>
      <c r="G1652" s="521" t="s">
        <v>374</v>
      </c>
      <c r="H1652" s="524">
        <v>33.159999999999997</v>
      </c>
      <c r="I1652" s="524">
        <v>0.1021</v>
      </c>
      <c r="J1652"/>
    </row>
    <row r="1653" spans="1:10" ht="25" x14ac:dyDescent="0.3">
      <c r="A1653" s="519" t="s">
        <v>2582</v>
      </c>
      <c r="B1653" s="520" t="s">
        <v>125</v>
      </c>
      <c r="C1653" s="519" t="s">
        <v>3118</v>
      </c>
      <c r="D1653" s="519" t="s">
        <v>2838</v>
      </c>
      <c r="E1653" s="520">
        <v>5914655</v>
      </c>
      <c r="F1653" s="522">
        <v>4.0000000000000002E-4</v>
      </c>
      <c r="G1653" s="521" t="s">
        <v>374</v>
      </c>
      <c r="H1653" s="524">
        <v>33.159999999999997</v>
      </c>
      <c r="I1653" s="524">
        <v>1.3299999999999999E-2</v>
      </c>
      <c r="J1653"/>
    </row>
    <row r="1654" spans="1:10" s="358" customFormat="1" ht="15" customHeight="1" x14ac:dyDescent="0.3">
      <c r="A1654" s="902"/>
      <c r="B1654" s="902"/>
      <c r="C1654" s="902"/>
      <c r="D1654" s="902"/>
      <c r="E1654" s="902"/>
      <c r="F1654" s="902" t="s">
        <v>2585</v>
      </c>
      <c r="G1654" s="902"/>
      <c r="H1654" s="902"/>
      <c r="I1654" s="525">
        <v>0.1154</v>
      </c>
      <c r="J1654"/>
    </row>
    <row r="1655" spans="1:10" ht="15" customHeight="1" x14ac:dyDescent="0.3">
      <c r="A1655" s="516" t="s">
        <v>2586</v>
      </c>
      <c r="B1655" s="517" t="s">
        <v>16</v>
      </c>
      <c r="C1655" s="516" t="s">
        <v>2437</v>
      </c>
      <c r="D1655" s="516" t="s">
        <v>2587</v>
      </c>
      <c r="E1655" s="517" t="s">
        <v>2467</v>
      </c>
      <c r="F1655" s="517" t="s">
        <v>2576</v>
      </c>
      <c r="G1655" s="908" t="s">
        <v>2588</v>
      </c>
      <c r="H1655" s="903"/>
      <c r="I1655" s="517" t="s">
        <v>2470</v>
      </c>
      <c r="J1655"/>
    </row>
    <row r="1656" spans="1:10" s="358" customFormat="1" x14ac:dyDescent="0.3">
      <c r="A1656" s="518"/>
      <c r="B1656" s="518"/>
      <c r="C1656" s="518"/>
      <c r="D1656" s="518"/>
      <c r="E1656" s="518"/>
      <c r="F1656" s="518"/>
      <c r="G1656" s="518" t="s">
        <v>2589</v>
      </c>
      <c r="H1656" s="518" t="s">
        <v>2590</v>
      </c>
      <c r="I1656" s="518"/>
      <c r="J1656"/>
    </row>
    <row r="1657" spans="1:10" ht="37.5" x14ac:dyDescent="0.3">
      <c r="A1657" s="519" t="s">
        <v>2587</v>
      </c>
      <c r="B1657" s="520" t="s">
        <v>125</v>
      </c>
      <c r="C1657" s="519" t="s">
        <v>3116</v>
      </c>
      <c r="D1657" s="519" t="s">
        <v>3122</v>
      </c>
      <c r="E1657" s="522">
        <v>3.0799999999999998E-3</v>
      </c>
      <c r="F1657" s="521" t="s">
        <v>2592</v>
      </c>
      <c r="G1657" s="520" t="s">
        <v>4472</v>
      </c>
      <c r="H1657" s="520" t="s">
        <v>4473</v>
      </c>
      <c r="I1657" s="524">
        <v>0</v>
      </c>
      <c r="J1657"/>
    </row>
    <row r="1658" spans="1:10" s="358" customFormat="1" ht="37.5" x14ac:dyDescent="0.3">
      <c r="A1658" s="519" t="s">
        <v>2587</v>
      </c>
      <c r="B1658" s="520" t="s">
        <v>125</v>
      </c>
      <c r="C1658" s="519" t="s">
        <v>3118</v>
      </c>
      <c r="D1658" s="519" t="s">
        <v>3123</v>
      </c>
      <c r="E1658" s="522">
        <v>4.0000000000000002E-4</v>
      </c>
      <c r="F1658" s="521" t="s">
        <v>2592</v>
      </c>
      <c r="G1658" s="520" t="s">
        <v>4472</v>
      </c>
      <c r="H1658" s="520" t="s">
        <v>4473</v>
      </c>
      <c r="I1658" s="524">
        <v>0</v>
      </c>
      <c r="J1658"/>
    </row>
    <row r="1659" spans="1:10" ht="15" customHeight="1" thickBot="1" x14ac:dyDescent="0.35">
      <c r="A1659" s="902"/>
      <c r="B1659" s="902"/>
      <c r="C1659" s="902"/>
      <c r="D1659" s="902"/>
      <c r="E1659" s="902"/>
      <c r="F1659" s="902" t="s">
        <v>2593</v>
      </c>
      <c r="G1659" s="902"/>
      <c r="H1659" s="902"/>
      <c r="I1659" s="525">
        <v>0</v>
      </c>
      <c r="J1659"/>
    </row>
    <row r="1660" spans="1:10" s="358" customFormat="1" ht="14.5" thickTop="1" x14ac:dyDescent="0.3">
      <c r="A1660" s="647"/>
      <c r="B1660" s="647"/>
      <c r="C1660" s="647"/>
      <c r="D1660" s="647"/>
      <c r="E1660" s="647"/>
      <c r="F1660" s="647"/>
      <c r="G1660" s="647"/>
      <c r="H1660" s="647"/>
      <c r="I1660" s="647"/>
      <c r="J1660" s="647"/>
    </row>
    <row r="1661" spans="1:10" x14ac:dyDescent="0.3">
      <c r="A1661" s="516"/>
      <c r="B1661" s="517" t="s">
        <v>15</v>
      </c>
      <c r="C1661" s="516" t="s">
        <v>16</v>
      </c>
      <c r="D1661" s="516" t="s">
        <v>17</v>
      </c>
      <c r="E1661" s="904" t="s">
        <v>2431</v>
      </c>
      <c r="F1661" s="904"/>
      <c r="G1661" s="518" t="s">
        <v>18</v>
      </c>
      <c r="H1661" s="517" t="s">
        <v>19</v>
      </c>
      <c r="I1661" s="517" t="s">
        <v>20</v>
      </c>
      <c r="J1661" s="517" t="s">
        <v>23</v>
      </c>
    </row>
    <row r="1662" spans="1:10" s="358" customFormat="1" x14ac:dyDescent="0.3">
      <c r="A1662" s="642" t="s">
        <v>2432</v>
      </c>
      <c r="B1662" s="643" t="s">
        <v>609</v>
      </c>
      <c r="C1662" s="642" t="s">
        <v>221</v>
      </c>
      <c r="D1662" s="642" t="s">
        <v>4295</v>
      </c>
      <c r="E1662" s="906" t="s">
        <v>3124</v>
      </c>
      <c r="F1662" s="906"/>
      <c r="G1662" s="644" t="s">
        <v>600</v>
      </c>
      <c r="H1662" s="645">
        <v>1</v>
      </c>
      <c r="I1662" s="646">
        <v>35.1</v>
      </c>
      <c r="J1662" s="646">
        <v>35.1</v>
      </c>
    </row>
    <row r="1663" spans="1:10" ht="25.5" thickBot="1" x14ac:dyDescent="0.35">
      <c r="A1663" s="519" t="s">
        <v>2434</v>
      </c>
      <c r="B1663" s="520" t="s">
        <v>2561</v>
      </c>
      <c r="C1663" s="519" t="s">
        <v>32</v>
      </c>
      <c r="D1663" s="519" t="s">
        <v>2562</v>
      </c>
      <c r="E1663" s="905" t="s">
        <v>2433</v>
      </c>
      <c r="F1663" s="905"/>
      <c r="G1663" s="521" t="s">
        <v>1901</v>
      </c>
      <c r="H1663" s="522">
        <v>1.5</v>
      </c>
      <c r="I1663" s="523">
        <v>23.4</v>
      </c>
      <c r="J1663" s="523">
        <v>35.1</v>
      </c>
    </row>
    <row r="1664" spans="1:10" s="358" customFormat="1" ht="14.5" thickTop="1" x14ac:dyDescent="0.3">
      <c r="A1664" s="647"/>
      <c r="B1664" s="647"/>
      <c r="C1664" s="647"/>
      <c r="D1664" s="647"/>
      <c r="E1664" s="647"/>
      <c r="F1664" s="647"/>
      <c r="G1664" s="647"/>
      <c r="H1664" s="647"/>
      <c r="I1664" s="647"/>
      <c r="J1664" s="647"/>
    </row>
    <row r="1665" spans="1:10" x14ac:dyDescent="0.3">
      <c r="A1665" s="516"/>
      <c r="B1665" s="517" t="s">
        <v>15</v>
      </c>
      <c r="C1665" s="516" t="s">
        <v>16</v>
      </c>
      <c r="D1665" s="516" t="s">
        <v>17</v>
      </c>
      <c r="E1665" s="904" t="s">
        <v>2431</v>
      </c>
      <c r="F1665" s="904"/>
      <c r="G1665" s="518" t="s">
        <v>18</v>
      </c>
      <c r="H1665" s="517" t="s">
        <v>19</v>
      </c>
      <c r="I1665" s="517" t="s">
        <v>20</v>
      </c>
      <c r="J1665" s="517" t="s">
        <v>23</v>
      </c>
    </row>
    <row r="1666" spans="1:10" x14ac:dyDescent="0.3">
      <c r="A1666" s="642" t="s">
        <v>2432</v>
      </c>
      <c r="B1666" s="643" t="s">
        <v>614</v>
      </c>
      <c r="C1666" s="642" t="s">
        <v>243</v>
      </c>
      <c r="D1666" s="642" t="s">
        <v>4510</v>
      </c>
      <c r="E1666" s="906">
        <v>2514</v>
      </c>
      <c r="F1666" s="906"/>
      <c r="G1666" s="644" t="s">
        <v>89</v>
      </c>
      <c r="H1666" s="645">
        <v>1</v>
      </c>
      <c r="I1666" s="646">
        <v>165.13</v>
      </c>
      <c r="J1666" s="646">
        <v>165.13</v>
      </c>
    </row>
    <row r="1667" spans="1:10" ht="25.5" thickBot="1" x14ac:dyDescent="0.35">
      <c r="A1667" s="519" t="s">
        <v>2434</v>
      </c>
      <c r="B1667" s="520" t="s">
        <v>3125</v>
      </c>
      <c r="C1667" s="519" t="s">
        <v>243</v>
      </c>
      <c r="D1667" s="519" t="s">
        <v>3126</v>
      </c>
      <c r="E1667" s="905">
        <v>81</v>
      </c>
      <c r="F1667" s="905"/>
      <c r="G1667" s="521" t="s">
        <v>3127</v>
      </c>
      <c r="H1667" s="522">
        <v>2.2000000000000002</v>
      </c>
      <c r="I1667" s="523">
        <v>75.06</v>
      </c>
      <c r="J1667" s="523">
        <v>165.13</v>
      </c>
    </row>
    <row r="1668" spans="1:10" ht="14.5" thickTop="1" x14ac:dyDescent="0.3">
      <c r="A1668" s="647"/>
      <c r="B1668" s="647"/>
      <c r="C1668" s="647"/>
      <c r="D1668" s="647"/>
      <c r="E1668" s="647"/>
      <c r="F1668" s="647"/>
      <c r="G1668" s="647"/>
      <c r="H1668" s="647"/>
      <c r="I1668" s="647"/>
      <c r="J1668" s="647"/>
    </row>
    <row r="1669" spans="1:10" x14ac:dyDescent="0.3">
      <c r="A1669" s="516"/>
      <c r="B1669" s="517" t="s">
        <v>15</v>
      </c>
      <c r="C1669" s="516" t="s">
        <v>16</v>
      </c>
      <c r="D1669" s="516" t="s">
        <v>17</v>
      </c>
      <c r="E1669" s="904" t="s">
        <v>2431</v>
      </c>
      <c r="F1669" s="904"/>
      <c r="G1669" s="518" t="s">
        <v>18</v>
      </c>
      <c r="H1669" s="517" t="s">
        <v>19</v>
      </c>
      <c r="I1669" s="517" t="s">
        <v>20</v>
      </c>
      <c r="J1669" s="517" t="s">
        <v>23</v>
      </c>
    </row>
    <row r="1670" spans="1:10" s="358" customFormat="1" x14ac:dyDescent="0.3">
      <c r="A1670" s="642" t="s">
        <v>2432</v>
      </c>
      <c r="B1670" s="643" t="s">
        <v>617</v>
      </c>
      <c r="C1670" s="642" t="s">
        <v>243</v>
      </c>
      <c r="D1670" s="642" t="s">
        <v>4511</v>
      </c>
      <c r="E1670" s="906">
        <v>2514</v>
      </c>
      <c r="F1670" s="906"/>
      <c r="G1670" s="644" t="s">
        <v>89</v>
      </c>
      <c r="H1670" s="645">
        <v>1</v>
      </c>
      <c r="I1670" s="646">
        <v>27.02</v>
      </c>
      <c r="J1670" s="646">
        <v>27.02</v>
      </c>
    </row>
    <row r="1671" spans="1:10" ht="25.5" thickBot="1" x14ac:dyDescent="0.35">
      <c r="A1671" s="519" t="s">
        <v>2434</v>
      </c>
      <c r="B1671" s="520" t="s">
        <v>3125</v>
      </c>
      <c r="C1671" s="519" t="s">
        <v>243</v>
      </c>
      <c r="D1671" s="519" t="s">
        <v>3126</v>
      </c>
      <c r="E1671" s="905">
        <v>81</v>
      </c>
      <c r="F1671" s="905"/>
      <c r="G1671" s="521" t="s">
        <v>3127</v>
      </c>
      <c r="H1671" s="522">
        <v>0.36</v>
      </c>
      <c r="I1671" s="523">
        <v>75.06</v>
      </c>
      <c r="J1671" s="523">
        <v>27.02</v>
      </c>
    </row>
    <row r="1672" spans="1:10" s="358" customFormat="1" ht="14.5" thickTop="1" x14ac:dyDescent="0.3">
      <c r="A1672" s="647"/>
      <c r="B1672" s="647"/>
      <c r="C1672" s="647"/>
      <c r="D1672" s="647"/>
      <c r="E1672" s="647"/>
      <c r="F1672" s="647"/>
      <c r="G1672" s="647"/>
      <c r="H1672" s="647"/>
      <c r="I1672" s="647"/>
      <c r="J1672" s="647"/>
    </row>
    <row r="1673" spans="1:10" x14ac:dyDescent="0.3">
      <c r="A1673" s="516"/>
      <c r="B1673" s="517" t="s">
        <v>15</v>
      </c>
      <c r="C1673" s="516" t="s">
        <v>16</v>
      </c>
      <c r="D1673" s="516" t="s">
        <v>17</v>
      </c>
      <c r="E1673" s="904" t="s">
        <v>2431</v>
      </c>
      <c r="F1673" s="904"/>
      <c r="G1673" s="518" t="s">
        <v>18</v>
      </c>
      <c r="H1673" s="517" t="s">
        <v>19</v>
      </c>
      <c r="I1673" s="517" t="s">
        <v>20</v>
      </c>
      <c r="J1673" s="517" t="s">
        <v>23</v>
      </c>
    </row>
    <row r="1674" spans="1:10" ht="25" x14ac:dyDescent="0.3">
      <c r="A1674" s="642" t="s">
        <v>2432</v>
      </c>
      <c r="B1674" s="643" t="s">
        <v>627</v>
      </c>
      <c r="C1674" s="642" t="s">
        <v>221</v>
      </c>
      <c r="D1674" s="642" t="s">
        <v>4512</v>
      </c>
      <c r="E1674" s="906" t="s">
        <v>3128</v>
      </c>
      <c r="F1674" s="906"/>
      <c r="G1674" s="644" t="s">
        <v>600</v>
      </c>
      <c r="H1674" s="645">
        <v>1</v>
      </c>
      <c r="I1674" s="646">
        <v>541.14</v>
      </c>
      <c r="J1674" s="646">
        <v>541.14</v>
      </c>
    </row>
    <row r="1675" spans="1:10" ht="25.5" customHeight="1" x14ac:dyDescent="0.3">
      <c r="A1675" s="519" t="s">
        <v>2434</v>
      </c>
      <c r="B1675" s="520" t="s">
        <v>3129</v>
      </c>
      <c r="C1675" s="519" t="s">
        <v>221</v>
      </c>
      <c r="D1675" s="519" t="s">
        <v>3130</v>
      </c>
      <c r="E1675" s="905" t="s">
        <v>3131</v>
      </c>
      <c r="F1675" s="905"/>
      <c r="G1675" s="521" t="s">
        <v>115</v>
      </c>
      <c r="H1675" s="522">
        <v>0.189</v>
      </c>
      <c r="I1675" s="523">
        <v>124.29</v>
      </c>
      <c r="J1675" s="523">
        <v>23.49</v>
      </c>
    </row>
    <row r="1676" spans="1:10" ht="39" customHeight="1" x14ac:dyDescent="0.3">
      <c r="A1676" s="519" t="s">
        <v>2434</v>
      </c>
      <c r="B1676" s="520" t="s">
        <v>3132</v>
      </c>
      <c r="C1676" s="519" t="s">
        <v>221</v>
      </c>
      <c r="D1676" s="519" t="s">
        <v>3133</v>
      </c>
      <c r="E1676" s="905" t="s">
        <v>3134</v>
      </c>
      <c r="F1676" s="905"/>
      <c r="G1676" s="521" t="s">
        <v>118</v>
      </c>
      <c r="H1676" s="522">
        <v>1E-3</v>
      </c>
      <c r="I1676" s="523">
        <v>511.2</v>
      </c>
      <c r="J1676" s="523">
        <v>0.51</v>
      </c>
    </row>
    <row r="1677" spans="1:10" s="358" customFormat="1" ht="25" x14ac:dyDescent="0.3">
      <c r="A1677" s="519" t="s">
        <v>2434</v>
      </c>
      <c r="B1677" s="520" t="s">
        <v>2757</v>
      </c>
      <c r="C1677" s="519" t="s">
        <v>32</v>
      </c>
      <c r="D1677" s="519" t="s">
        <v>2758</v>
      </c>
      <c r="E1677" s="905" t="s">
        <v>2433</v>
      </c>
      <c r="F1677" s="905"/>
      <c r="G1677" s="521" t="s">
        <v>1901</v>
      </c>
      <c r="H1677" s="522">
        <v>0.5</v>
      </c>
      <c r="I1677" s="523">
        <v>31.1</v>
      </c>
      <c r="J1677" s="523">
        <v>15.55</v>
      </c>
    </row>
    <row r="1678" spans="1:10" ht="25" x14ac:dyDescent="0.3">
      <c r="A1678" s="519" t="s">
        <v>2434</v>
      </c>
      <c r="B1678" s="520" t="s">
        <v>2561</v>
      </c>
      <c r="C1678" s="519" t="s">
        <v>32</v>
      </c>
      <c r="D1678" s="519" t="s">
        <v>2562</v>
      </c>
      <c r="E1678" s="905" t="s">
        <v>2433</v>
      </c>
      <c r="F1678" s="905"/>
      <c r="G1678" s="521" t="s">
        <v>1901</v>
      </c>
      <c r="H1678" s="522">
        <v>0.5</v>
      </c>
      <c r="I1678" s="523">
        <v>23.4</v>
      </c>
      <c r="J1678" s="523">
        <v>11.7</v>
      </c>
    </row>
    <row r="1679" spans="1:10" s="358" customFormat="1" ht="38" thickBot="1" x14ac:dyDescent="0.35">
      <c r="A1679" s="519" t="s">
        <v>2437</v>
      </c>
      <c r="B1679" s="520" t="s">
        <v>3135</v>
      </c>
      <c r="C1679" s="519" t="s">
        <v>32</v>
      </c>
      <c r="D1679" s="519" t="s">
        <v>4513</v>
      </c>
      <c r="E1679" s="905" t="s">
        <v>2442</v>
      </c>
      <c r="F1679" s="905"/>
      <c r="G1679" s="521" t="s">
        <v>89</v>
      </c>
      <c r="H1679" s="522">
        <v>1</v>
      </c>
      <c r="I1679" s="523">
        <v>489.89</v>
      </c>
      <c r="J1679" s="523">
        <v>489.89</v>
      </c>
    </row>
    <row r="1680" spans="1:10" ht="14.5" thickTop="1" x14ac:dyDescent="0.3">
      <c r="A1680" s="647"/>
      <c r="B1680" s="647"/>
      <c r="C1680" s="647"/>
      <c r="D1680" s="647"/>
      <c r="E1680" s="647"/>
      <c r="F1680" s="647"/>
      <c r="G1680" s="647"/>
      <c r="H1680" s="647"/>
      <c r="I1680" s="647"/>
      <c r="J1680" s="647"/>
    </row>
    <row r="1681" spans="1:10" x14ac:dyDescent="0.3">
      <c r="A1681" s="516"/>
      <c r="B1681" s="517" t="s">
        <v>15</v>
      </c>
      <c r="C1681" s="516" t="s">
        <v>16</v>
      </c>
      <c r="D1681" s="516" t="s">
        <v>17</v>
      </c>
      <c r="E1681" s="904" t="s">
        <v>2431</v>
      </c>
      <c r="F1681" s="904"/>
      <c r="G1681" s="518" t="s">
        <v>18</v>
      </c>
      <c r="H1681" s="517" t="s">
        <v>19</v>
      </c>
      <c r="I1681" s="517" t="s">
        <v>20</v>
      </c>
      <c r="J1681" s="517" t="s">
        <v>23</v>
      </c>
    </row>
    <row r="1682" spans="1:10" s="358" customFormat="1" ht="50" x14ac:dyDescent="0.3">
      <c r="A1682" s="642" t="s">
        <v>2432</v>
      </c>
      <c r="B1682" s="643" t="s">
        <v>718</v>
      </c>
      <c r="C1682" s="642" t="s">
        <v>243</v>
      </c>
      <c r="D1682" s="642" t="s">
        <v>4514</v>
      </c>
      <c r="E1682" s="906">
        <v>793</v>
      </c>
      <c r="F1682" s="906"/>
      <c r="G1682" s="644" t="s">
        <v>115</v>
      </c>
      <c r="H1682" s="645">
        <v>1</v>
      </c>
      <c r="I1682" s="646">
        <v>20.14</v>
      </c>
      <c r="J1682" s="646">
        <v>20.14</v>
      </c>
    </row>
    <row r="1683" spans="1:10" ht="25" x14ac:dyDescent="0.3">
      <c r="A1683" s="519" t="s">
        <v>2434</v>
      </c>
      <c r="B1683" s="520" t="s">
        <v>3028</v>
      </c>
      <c r="C1683" s="519" t="s">
        <v>243</v>
      </c>
      <c r="D1683" s="519" t="s">
        <v>4505</v>
      </c>
      <c r="E1683" s="905">
        <v>9</v>
      </c>
      <c r="F1683" s="905"/>
      <c r="G1683" s="521" t="s">
        <v>89</v>
      </c>
      <c r="H1683" s="522">
        <v>1E-4</v>
      </c>
      <c r="I1683" s="523">
        <v>53811.75</v>
      </c>
      <c r="J1683" s="523">
        <v>5.38</v>
      </c>
    </row>
    <row r="1684" spans="1:10" s="358" customFormat="1" ht="25" x14ac:dyDescent="0.3">
      <c r="A1684" s="519" t="s">
        <v>2434</v>
      </c>
      <c r="B1684" s="520" t="s">
        <v>2561</v>
      </c>
      <c r="C1684" s="519" t="s">
        <v>32</v>
      </c>
      <c r="D1684" s="519" t="s">
        <v>2562</v>
      </c>
      <c r="E1684" s="905" t="s">
        <v>2433</v>
      </c>
      <c r="F1684" s="905"/>
      <c r="G1684" s="521" t="s">
        <v>1901</v>
      </c>
      <c r="H1684" s="522">
        <v>0.19800000000000001</v>
      </c>
      <c r="I1684" s="523">
        <v>23.4</v>
      </c>
      <c r="J1684" s="523">
        <v>4.63</v>
      </c>
    </row>
    <row r="1685" spans="1:10" ht="38.25" customHeight="1" x14ac:dyDescent="0.3">
      <c r="A1685" s="519" t="s">
        <v>2434</v>
      </c>
      <c r="B1685" s="520" t="s">
        <v>2564</v>
      </c>
      <c r="C1685" s="519" t="s">
        <v>32</v>
      </c>
      <c r="D1685" s="519" t="s">
        <v>2565</v>
      </c>
      <c r="E1685" s="905" t="s">
        <v>2465</v>
      </c>
      <c r="F1685" s="905"/>
      <c r="G1685" s="521" t="s">
        <v>103</v>
      </c>
      <c r="H1685" s="522">
        <v>2.7E-2</v>
      </c>
      <c r="I1685" s="523">
        <v>204.43</v>
      </c>
      <c r="J1685" s="523">
        <v>5.51</v>
      </c>
    </row>
    <row r="1686" spans="1:10" ht="38.25" customHeight="1" thickBot="1" x14ac:dyDescent="0.35">
      <c r="A1686" s="519" t="s">
        <v>2434</v>
      </c>
      <c r="B1686" s="520" t="s">
        <v>2566</v>
      </c>
      <c r="C1686" s="519" t="s">
        <v>32</v>
      </c>
      <c r="D1686" s="519" t="s">
        <v>2567</v>
      </c>
      <c r="E1686" s="905" t="s">
        <v>2465</v>
      </c>
      <c r="F1686" s="905"/>
      <c r="G1686" s="521" t="s">
        <v>110</v>
      </c>
      <c r="H1686" s="522">
        <v>5.2400000000000002E-2</v>
      </c>
      <c r="I1686" s="523">
        <v>88.26</v>
      </c>
      <c r="J1686" s="523">
        <v>4.62</v>
      </c>
    </row>
    <row r="1687" spans="1:10" ht="14.5" thickTop="1" x14ac:dyDescent="0.3">
      <c r="A1687" s="647"/>
      <c r="B1687" s="647"/>
      <c r="C1687" s="647"/>
      <c r="D1687" s="647"/>
      <c r="E1687" s="647"/>
      <c r="F1687" s="647"/>
      <c r="G1687" s="647"/>
      <c r="H1687" s="647"/>
      <c r="I1687" s="647"/>
      <c r="J1687" s="647"/>
    </row>
    <row r="1688" spans="1:10" s="358" customFormat="1" x14ac:dyDescent="0.3">
      <c r="A1688" s="516"/>
      <c r="B1688" s="517" t="s">
        <v>15</v>
      </c>
      <c r="C1688" s="516" t="s">
        <v>16</v>
      </c>
      <c r="D1688" s="516" t="s">
        <v>17</v>
      </c>
      <c r="E1688" s="904" t="s">
        <v>2431</v>
      </c>
      <c r="F1688" s="904"/>
      <c r="G1688" s="518" t="s">
        <v>18</v>
      </c>
      <c r="H1688" s="517" t="s">
        <v>19</v>
      </c>
      <c r="I1688" s="517" t="s">
        <v>20</v>
      </c>
      <c r="J1688" s="517" t="s">
        <v>23</v>
      </c>
    </row>
    <row r="1689" spans="1:10" ht="25" x14ac:dyDescent="0.3">
      <c r="A1689" s="642" t="s">
        <v>2432</v>
      </c>
      <c r="B1689" s="643" t="s">
        <v>839</v>
      </c>
      <c r="C1689" s="642" t="s">
        <v>32</v>
      </c>
      <c r="D1689" s="642" t="s">
        <v>4445</v>
      </c>
      <c r="E1689" s="906" t="s">
        <v>2600</v>
      </c>
      <c r="F1689" s="906"/>
      <c r="G1689" s="644" t="s">
        <v>115</v>
      </c>
      <c r="H1689" s="645">
        <v>1</v>
      </c>
      <c r="I1689" s="646">
        <v>4.9800000000000004</v>
      </c>
      <c r="J1689" s="646">
        <v>4.9800000000000004</v>
      </c>
    </row>
    <row r="1690" spans="1:10" s="358" customFormat="1" ht="38.25" customHeight="1" thickBot="1" x14ac:dyDescent="0.35">
      <c r="A1690" s="519" t="s">
        <v>2434</v>
      </c>
      <c r="B1690" s="520" t="s">
        <v>2561</v>
      </c>
      <c r="C1690" s="519" t="s">
        <v>32</v>
      </c>
      <c r="D1690" s="519" t="s">
        <v>2562</v>
      </c>
      <c r="E1690" s="905" t="s">
        <v>2433</v>
      </c>
      <c r="F1690" s="905"/>
      <c r="G1690" s="521" t="s">
        <v>1901</v>
      </c>
      <c r="H1690" s="522">
        <v>0.2132</v>
      </c>
      <c r="I1690" s="523">
        <v>23.4</v>
      </c>
      <c r="J1690" s="523">
        <v>4.9800000000000004</v>
      </c>
    </row>
    <row r="1691" spans="1:10" ht="14.5" thickTop="1" x14ac:dyDescent="0.3">
      <c r="A1691" s="647"/>
      <c r="B1691" s="647"/>
      <c r="C1691" s="647"/>
      <c r="D1691" s="647"/>
      <c r="E1691" s="647"/>
      <c r="F1691" s="647"/>
      <c r="G1691" s="647"/>
      <c r="H1691" s="647"/>
      <c r="I1691" s="647"/>
      <c r="J1691" s="647"/>
    </row>
    <row r="1692" spans="1:10" x14ac:dyDescent="0.3">
      <c r="A1692" s="516"/>
      <c r="B1692" s="517" t="s">
        <v>15</v>
      </c>
      <c r="C1692" s="516" t="s">
        <v>16</v>
      </c>
      <c r="D1692" s="516" t="s">
        <v>17</v>
      </c>
      <c r="E1692" s="904" t="s">
        <v>2431</v>
      </c>
      <c r="F1692" s="904"/>
      <c r="G1692" s="518" t="s">
        <v>18</v>
      </c>
      <c r="H1692" s="517" t="s">
        <v>19</v>
      </c>
      <c r="I1692" s="517" t="s">
        <v>20</v>
      </c>
      <c r="J1692" s="517" t="s">
        <v>23</v>
      </c>
    </row>
    <row r="1693" spans="1:10" ht="25.5" customHeight="1" x14ac:dyDescent="0.3">
      <c r="A1693" s="642" t="s">
        <v>2432</v>
      </c>
      <c r="B1693" s="643" t="s">
        <v>841</v>
      </c>
      <c r="C1693" s="642" t="s">
        <v>842</v>
      </c>
      <c r="D1693" s="642" t="s">
        <v>843</v>
      </c>
      <c r="E1693" s="906" t="s">
        <v>3136</v>
      </c>
      <c r="F1693" s="906"/>
      <c r="G1693" s="644" t="s">
        <v>118</v>
      </c>
      <c r="H1693" s="645">
        <v>1</v>
      </c>
      <c r="I1693" s="646">
        <v>223.83</v>
      </c>
      <c r="J1693" s="646">
        <v>223.83</v>
      </c>
    </row>
    <row r="1694" spans="1:10" ht="25.5" customHeight="1" x14ac:dyDescent="0.3">
      <c r="A1694" s="519" t="s">
        <v>2434</v>
      </c>
      <c r="B1694" s="520" t="s">
        <v>2989</v>
      </c>
      <c r="C1694" s="519" t="s">
        <v>32</v>
      </c>
      <c r="D1694" s="519" t="s">
        <v>2990</v>
      </c>
      <c r="E1694" s="905" t="s">
        <v>2465</v>
      </c>
      <c r="F1694" s="905"/>
      <c r="G1694" s="521" t="s">
        <v>103</v>
      </c>
      <c r="H1694" s="522">
        <v>1.4999999999999999E-2</v>
      </c>
      <c r="I1694" s="523">
        <v>160.65</v>
      </c>
      <c r="J1694" s="523">
        <v>2.4</v>
      </c>
    </row>
    <row r="1695" spans="1:10" ht="38.25" customHeight="1" x14ac:dyDescent="0.3">
      <c r="A1695" s="519" t="s">
        <v>2434</v>
      </c>
      <c r="B1695" s="520" t="s">
        <v>4296</v>
      </c>
      <c r="C1695" s="519" t="s">
        <v>32</v>
      </c>
      <c r="D1695" s="519" t="s">
        <v>4297</v>
      </c>
      <c r="E1695" s="905" t="s">
        <v>2465</v>
      </c>
      <c r="F1695" s="905"/>
      <c r="G1695" s="521" t="s">
        <v>103</v>
      </c>
      <c r="H1695" s="522">
        <v>0.22</v>
      </c>
      <c r="I1695" s="523">
        <v>196.07</v>
      </c>
      <c r="J1695" s="523">
        <v>43.13</v>
      </c>
    </row>
    <row r="1696" spans="1:10" ht="25.5" thickBot="1" x14ac:dyDescent="0.35">
      <c r="A1696" s="519" t="s">
        <v>2434</v>
      </c>
      <c r="B1696" s="520" t="s">
        <v>2561</v>
      </c>
      <c r="C1696" s="519" t="s">
        <v>32</v>
      </c>
      <c r="D1696" s="519" t="s">
        <v>2562</v>
      </c>
      <c r="E1696" s="905" t="s">
        <v>2433</v>
      </c>
      <c r="F1696" s="905"/>
      <c r="G1696" s="521" t="s">
        <v>1901</v>
      </c>
      <c r="H1696" s="522">
        <v>7.62</v>
      </c>
      <c r="I1696" s="523">
        <v>23.4</v>
      </c>
      <c r="J1696" s="523">
        <v>178.3</v>
      </c>
    </row>
    <row r="1697" spans="1:10" ht="14.5" thickTop="1" x14ac:dyDescent="0.3">
      <c r="A1697" s="647"/>
      <c r="B1697" s="647"/>
      <c r="C1697" s="647"/>
      <c r="D1697" s="647"/>
      <c r="E1697" s="647"/>
      <c r="F1697" s="647"/>
      <c r="G1697" s="647"/>
      <c r="H1697" s="647"/>
      <c r="I1697" s="647"/>
      <c r="J1697" s="647"/>
    </row>
    <row r="1698" spans="1:10" x14ac:dyDescent="0.3">
      <c r="A1698" s="516"/>
      <c r="B1698" s="517" t="s">
        <v>15</v>
      </c>
      <c r="C1698" s="516" t="s">
        <v>16</v>
      </c>
      <c r="D1698" s="516" t="s">
        <v>17</v>
      </c>
      <c r="E1698" s="904" t="s">
        <v>2431</v>
      </c>
      <c r="F1698" s="904"/>
      <c r="G1698" s="518" t="s">
        <v>18</v>
      </c>
      <c r="H1698" s="517" t="s">
        <v>19</v>
      </c>
      <c r="I1698" s="517" t="s">
        <v>20</v>
      </c>
      <c r="J1698" s="517" t="s">
        <v>23</v>
      </c>
    </row>
    <row r="1699" spans="1:10" ht="38.25" customHeight="1" x14ac:dyDescent="0.3">
      <c r="A1699" s="642" t="s">
        <v>2432</v>
      </c>
      <c r="B1699" s="643" t="s">
        <v>1259</v>
      </c>
      <c r="C1699" s="642" t="s">
        <v>32</v>
      </c>
      <c r="D1699" s="642" t="s">
        <v>1260</v>
      </c>
      <c r="E1699" s="906" t="s">
        <v>3029</v>
      </c>
      <c r="F1699" s="906"/>
      <c r="G1699" s="644" t="s">
        <v>115</v>
      </c>
      <c r="H1699" s="645">
        <v>1</v>
      </c>
      <c r="I1699" s="646">
        <v>94.68</v>
      </c>
      <c r="J1699" s="646">
        <v>94.68</v>
      </c>
    </row>
    <row r="1700" spans="1:10" ht="25" x14ac:dyDescent="0.3">
      <c r="A1700" s="519" t="s">
        <v>2434</v>
      </c>
      <c r="B1700" s="520" t="s">
        <v>2627</v>
      </c>
      <c r="C1700" s="519" t="s">
        <v>32</v>
      </c>
      <c r="D1700" s="519" t="s">
        <v>2628</v>
      </c>
      <c r="E1700" s="905" t="s">
        <v>2433</v>
      </c>
      <c r="F1700" s="905"/>
      <c r="G1700" s="521" t="s">
        <v>1901</v>
      </c>
      <c r="H1700" s="522">
        <v>5.4899999999999997E-2</v>
      </c>
      <c r="I1700" s="523">
        <v>24.12</v>
      </c>
      <c r="J1700" s="523">
        <v>1.32</v>
      </c>
    </row>
    <row r="1701" spans="1:10" ht="25" x14ac:dyDescent="0.3">
      <c r="A1701" s="519" t="s">
        <v>2434</v>
      </c>
      <c r="B1701" s="520" t="s">
        <v>2618</v>
      </c>
      <c r="C1701" s="519" t="s">
        <v>32</v>
      </c>
      <c r="D1701" s="519" t="s">
        <v>2619</v>
      </c>
      <c r="E1701" s="905" t="s">
        <v>2433</v>
      </c>
      <c r="F1701" s="905"/>
      <c r="G1701" s="521" t="s">
        <v>1901</v>
      </c>
      <c r="H1701" s="522">
        <v>1.5588</v>
      </c>
      <c r="I1701" s="523">
        <v>30.71</v>
      </c>
      <c r="J1701" s="523">
        <v>47.87</v>
      </c>
    </row>
    <row r="1702" spans="1:10" s="358" customFormat="1" ht="25.5" customHeight="1" x14ac:dyDescent="0.3">
      <c r="A1702" s="519" t="s">
        <v>2434</v>
      </c>
      <c r="B1702" s="520" t="s">
        <v>2629</v>
      </c>
      <c r="C1702" s="519" t="s">
        <v>32</v>
      </c>
      <c r="D1702" s="519" t="s">
        <v>2630</v>
      </c>
      <c r="E1702" s="905" t="s">
        <v>2465</v>
      </c>
      <c r="F1702" s="905"/>
      <c r="G1702" s="521" t="s">
        <v>103</v>
      </c>
      <c r="H1702" s="522">
        <v>8.3999999999999995E-3</v>
      </c>
      <c r="I1702" s="523">
        <v>26.94</v>
      </c>
      <c r="J1702" s="523">
        <v>0.22</v>
      </c>
    </row>
    <row r="1703" spans="1:10" ht="25.5" customHeight="1" x14ac:dyDescent="0.3">
      <c r="A1703" s="519" t="s">
        <v>2434</v>
      </c>
      <c r="B1703" s="520" t="s">
        <v>2631</v>
      </c>
      <c r="C1703" s="519" t="s">
        <v>32</v>
      </c>
      <c r="D1703" s="519" t="s">
        <v>2632</v>
      </c>
      <c r="E1703" s="905" t="s">
        <v>2465</v>
      </c>
      <c r="F1703" s="905"/>
      <c r="G1703" s="521" t="s">
        <v>110</v>
      </c>
      <c r="H1703" s="522">
        <v>3.3700000000000001E-2</v>
      </c>
      <c r="I1703" s="523">
        <v>25.9</v>
      </c>
      <c r="J1703" s="523">
        <v>0.87</v>
      </c>
    </row>
    <row r="1704" spans="1:10" s="358" customFormat="1" ht="37.5" x14ac:dyDescent="0.3">
      <c r="A1704" s="519" t="s">
        <v>2437</v>
      </c>
      <c r="B1704" s="520" t="s">
        <v>3061</v>
      </c>
      <c r="C1704" s="519" t="s">
        <v>32</v>
      </c>
      <c r="D1704" s="519" t="s">
        <v>3062</v>
      </c>
      <c r="E1704" s="905" t="s">
        <v>2442</v>
      </c>
      <c r="F1704" s="905"/>
      <c r="G1704" s="521" t="s">
        <v>115</v>
      </c>
      <c r="H1704" s="522">
        <v>0.55130000000000001</v>
      </c>
      <c r="I1704" s="523">
        <v>36.07</v>
      </c>
      <c r="J1704" s="523">
        <v>19.88</v>
      </c>
    </row>
    <row r="1705" spans="1:10" ht="15" customHeight="1" x14ac:dyDescent="0.3">
      <c r="A1705" s="519" t="s">
        <v>2437</v>
      </c>
      <c r="B1705" s="520" t="s">
        <v>2906</v>
      </c>
      <c r="C1705" s="519" t="s">
        <v>32</v>
      </c>
      <c r="D1705" s="519" t="s">
        <v>2907</v>
      </c>
      <c r="E1705" s="905" t="s">
        <v>2442</v>
      </c>
      <c r="F1705" s="905"/>
      <c r="G1705" s="521" t="s">
        <v>2900</v>
      </c>
      <c r="H1705" s="522">
        <v>3.5000000000000001E-3</v>
      </c>
      <c r="I1705" s="523">
        <v>7.96</v>
      </c>
      <c r="J1705" s="523">
        <v>0.02</v>
      </c>
    </row>
    <row r="1706" spans="1:10" ht="25" x14ac:dyDescent="0.3">
      <c r="A1706" s="519" t="s">
        <v>2437</v>
      </c>
      <c r="B1706" s="520" t="s">
        <v>2622</v>
      </c>
      <c r="C1706" s="519" t="s">
        <v>32</v>
      </c>
      <c r="D1706" s="519" t="s">
        <v>2623</v>
      </c>
      <c r="E1706" s="905" t="s">
        <v>2442</v>
      </c>
      <c r="F1706" s="905"/>
      <c r="G1706" s="521" t="s">
        <v>194</v>
      </c>
      <c r="H1706" s="522">
        <v>1.8654999999999999</v>
      </c>
      <c r="I1706" s="523">
        <v>7.78</v>
      </c>
      <c r="J1706" s="523">
        <v>14.51</v>
      </c>
    </row>
    <row r="1707" spans="1:10" ht="25" x14ac:dyDescent="0.3">
      <c r="A1707" s="519" t="s">
        <v>2437</v>
      </c>
      <c r="B1707" s="520" t="s">
        <v>3137</v>
      </c>
      <c r="C1707" s="519" t="s">
        <v>32</v>
      </c>
      <c r="D1707" s="519" t="s">
        <v>3138</v>
      </c>
      <c r="E1707" s="905" t="s">
        <v>2446</v>
      </c>
      <c r="F1707" s="905"/>
      <c r="G1707" s="521" t="s">
        <v>4298</v>
      </c>
      <c r="H1707" s="522">
        <v>9.5000000000000001E-2</v>
      </c>
      <c r="I1707" s="523">
        <v>23.06</v>
      </c>
      <c r="J1707" s="523">
        <v>2.19</v>
      </c>
    </row>
    <row r="1708" spans="1:10" ht="37.5" x14ac:dyDescent="0.3">
      <c r="A1708" s="519" t="s">
        <v>2437</v>
      </c>
      <c r="B1708" s="520" t="s">
        <v>3139</v>
      </c>
      <c r="C1708" s="519" t="s">
        <v>32</v>
      </c>
      <c r="D1708" s="519" t="s">
        <v>3140</v>
      </c>
      <c r="E1708" s="905" t="s">
        <v>2446</v>
      </c>
      <c r="F1708" s="905"/>
      <c r="G1708" s="521" t="s">
        <v>4298</v>
      </c>
      <c r="H1708" s="522">
        <v>0.16109999999999999</v>
      </c>
      <c r="I1708" s="523">
        <v>24.1</v>
      </c>
      <c r="J1708" s="523">
        <v>3.88</v>
      </c>
    </row>
    <row r="1709" spans="1:10" ht="14.25" customHeight="1" x14ac:dyDescent="0.3">
      <c r="A1709" s="519" t="s">
        <v>2437</v>
      </c>
      <c r="B1709" s="520" t="s">
        <v>3141</v>
      </c>
      <c r="C1709" s="519" t="s">
        <v>32</v>
      </c>
      <c r="D1709" s="519" t="s">
        <v>3142</v>
      </c>
      <c r="E1709" s="905" t="s">
        <v>2446</v>
      </c>
      <c r="F1709" s="905"/>
      <c r="G1709" s="521" t="s">
        <v>34</v>
      </c>
      <c r="H1709" s="522">
        <v>0.35610000000000003</v>
      </c>
      <c r="I1709" s="523">
        <v>8.8800000000000008</v>
      </c>
      <c r="J1709" s="523">
        <v>3.16</v>
      </c>
    </row>
    <row r="1710" spans="1:10" ht="14.25" customHeight="1" thickBot="1" x14ac:dyDescent="0.35">
      <c r="A1710" s="519" t="s">
        <v>2437</v>
      </c>
      <c r="B1710" s="520" t="s">
        <v>3070</v>
      </c>
      <c r="C1710" s="519" t="s">
        <v>32</v>
      </c>
      <c r="D1710" s="519" t="s">
        <v>3071</v>
      </c>
      <c r="E1710" s="905" t="s">
        <v>2442</v>
      </c>
      <c r="F1710" s="905"/>
      <c r="G1710" s="521" t="s">
        <v>1369</v>
      </c>
      <c r="H1710" s="522">
        <v>3.1199999999999999E-2</v>
      </c>
      <c r="I1710" s="523">
        <v>24.48</v>
      </c>
      <c r="J1710" s="523">
        <v>0.76</v>
      </c>
    </row>
    <row r="1711" spans="1:10" ht="14.25" customHeight="1" thickTop="1" x14ac:dyDescent="0.3">
      <c r="A1711" s="647"/>
      <c r="B1711" s="647"/>
      <c r="C1711" s="647"/>
      <c r="D1711" s="647"/>
      <c r="E1711" s="647"/>
      <c r="F1711" s="647"/>
      <c r="G1711" s="647"/>
      <c r="H1711" s="647"/>
      <c r="I1711" s="647"/>
      <c r="J1711" s="647"/>
    </row>
    <row r="1712" spans="1:10" x14ac:dyDescent="0.3">
      <c r="A1712" s="516"/>
      <c r="B1712" s="517" t="s">
        <v>15</v>
      </c>
      <c r="C1712" s="516" t="s">
        <v>16</v>
      </c>
      <c r="D1712" s="516" t="s">
        <v>17</v>
      </c>
      <c r="E1712" s="904" t="s">
        <v>2431</v>
      </c>
      <c r="F1712" s="904"/>
      <c r="G1712" s="518" t="s">
        <v>18</v>
      </c>
      <c r="H1712" s="517" t="s">
        <v>19</v>
      </c>
      <c r="I1712" s="517" t="s">
        <v>20</v>
      </c>
      <c r="J1712" s="517" t="s">
        <v>23</v>
      </c>
    </row>
    <row r="1713" spans="1:10" ht="14.25" customHeight="1" x14ac:dyDescent="0.3">
      <c r="A1713" s="642" t="s">
        <v>2432</v>
      </c>
      <c r="B1713" s="643" t="s">
        <v>1336</v>
      </c>
      <c r="C1713" s="642" t="s">
        <v>125</v>
      </c>
      <c r="D1713" s="642" t="s">
        <v>4515</v>
      </c>
      <c r="E1713" s="906" t="s">
        <v>1328</v>
      </c>
      <c r="F1713" s="906"/>
      <c r="G1713" s="644" t="s">
        <v>118</v>
      </c>
      <c r="H1713" s="645">
        <v>1</v>
      </c>
      <c r="I1713" s="646">
        <v>17.829999999999998</v>
      </c>
      <c r="J1713" s="646">
        <v>17.829999999999998</v>
      </c>
    </row>
    <row r="1714" spans="1:10" ht="14.25" customHeight="1" x14ac:dyDescent="0.3">
      <c r="A1714" s="904" t="s">
        <v>2418</v>
      </c>
      <c r="B1714" s="903" t="s">
        <v>15</v>
      </c>
      <c r="C1714" s="904" t="s">
        <v>16</v>
      </c>
      <c r="D1714" s="904" t="s">
        <v>2466</v>
      </c>
      <c r="E1714" s="903" t="s">
        <v>2467</v>
      </c>
      <c r="F1714" s="908" t="s">
        <v>2468</v>
      </c>
      <c r="G1714" s="903"/>
      <c r="H1714" s="518" t="s">
        <v>2469</v>
      </c>
      <c r="I1714" s="903" t="s">
        <v>2470</v>
      </c>
      <c r="J1714"/>
    </row>
    <row r="1715" spans="1:10" ht="15" customHeight="1" x14ac:dyDescent="0.3">
      <c r="A1715" s="903"/>
      <c r="B1715" s="903"/>
      <c r="C1715" s="903"/>
      <c r="D1715" s="903"/>
      <c r="E1715" s="903"/>
      <c r="F1715" s="517" t="s">
        <v>2471</v>
      </c>
      <c r="G1715" s="517" t="s">
        <v>2472</v>
      </c>
      <c r="H1715" s="517" t="s">
        <v>2471</v>
      </c>
      <c r="I1715" s="903"/>
      <c r="J1715"/>
    </row>
    <row r="1716" spans="1:10" ht="25" x14ac:dyDescent="0.3">
      <c r="A1716" s="519" t="s">
        <v>2437</v>
      </c>
      <c r="B1716" s="520" t="s">
        <v>3143</v>
      </c>
      <c r="C1716" s="519" t="s">
        <v>125</v>
      </c>
      <c r="D1716" s="519" t="s">
        <v>3144</v>
      </c>
      <c r="E1716" s="522">
        <v>2</v>
      </c>
      <c r="F1716" s="523">
        <v>0.75</v>
      </c>
      <c r="G1716" s="523">
        <v>0.25</v>
      </c>
      <c r="H1716" s="524">
        <v>303.70589999999999</v>
      </c>
      <c r="I1716" s="524">
        <v>499.57170000000002</v>
      </c>
      <c r="J1716"/>
    </row>
    <row r="1717" spans="1:10" ht="15" customHeight="1" x14ac:dyDescent="0.3">
      <c r="A1717" s="519" t="s">
        <v>2437</v>
      </c>
      <c r="B1717" s="520" t="s">
        <v>3145</v>
      </c>
      <c r="C1717" s="519" t="s">
        <v>125</v>
      </c>
      <c r="D1717" s="519" t="s">
        <v>3146</v>
      </c>
      <c r="E1717" s="522">
        <v>1</v>
      </c>
      <c r="F1717" s="523">
        <v>1</v>
      </c>
      <c r="G1717" s="523">
        <v>0</v>
      </c>
      <c r="H1717" s="524">
        <v>271.52359999999999</v>
      </c>
      <c r="I1717" s="524">
        <v>271.52359999999999</v>
      </c>
      <c r="J1717"/>
    </row>
    <row r="1718" spans="1:10" s="358" customFormat="1" ht="15" customHeight="1" x14ac:dyDescent="0.3">
      <c r="A1718" s="902"/>
      <c r="B1718" s="902"/>
      <c r="C1718" s="902"/>
      <c r="D1718" s="902"/>
      <c r="E1718" s="902"/>
      <c r="F1718" s="902" t="s">
        <v>2475</v>
      </c>
      <c r="G1718" s="902"/>
      <c r="H1718" s="902"/>
      <c r="I1718" s="525">
        <v>771.09529999999995</v>
      </c>
      <c r="J1718"/>
    </row>
    <row r="1719" spans="1:10" ht="14.25" customHeight="1" x14ac:dyDescent="0.3">
      <c r="A1719" s="902"/>
      <c r="B1719" s="902"/>
      <c r="C1719" s="902"/>
      <c r="D1719" s="902"/>
      <c r="E1719" s="902"/>
      <c r="F1719" s="902" t="s">
        <v>2476</v>
      </c>
      <c r="G1719" s="902"/>
      <c r="H1719" s="902"/>
      <c r="I1719" s="525">
        <v>771.09529999999995</v>
      </c>
      <c r="J1719"/>
    </row>
    <row r="1720" spans="1:10" s="358" customFormat="1" ht="15" customHeight="1" x14ac:dyDescent="0.3">
      <c r="A1720" s="902"/>
      <c r="B1720" s="902"/>
      <c r="C1720" s="902"/>
      <c r="D1720" s="902"/>
      <c r="E1720" s="902"/>
      <c r="F1720" s="902" t="s">
        <v>2477</v>
      </c>
      <c r="G1720" s="902"/>
      <c r="H1720" s="902"/>
      <c r="I1720" s="525">
        <v>2.24E-2</v>
      </c>
      <c r="J1720"/>
    </row>
    <row r="1721" spans="1:10" ht="15" customHeight="1" x14ac:dyDescent="0.3">
      <c r="A1721" s="902"/>
      <c r="B1721" s="902"/>
      <c r="C1721" s="902"/>
      <c r="D1721" s="902"/>
      <c r="E1721" s="902"/>
      <c r="F1721" s="902" t="s">
        <v>2478</v>
      </c>
      <c r="G1721" s="902"/>
      <c r="H1721" s="902"/>
      <c r="I1721" s="525">
        <v>0.37940000000000002</v>
      </c>
      <c r="J1721"/>
    </row>
    <row r="1722" spans="1:10" ht="14.25" customHeight="1" x14ac:dyDescent="0.3">
      <c r="A1722" s="902"/>
      <c r="B1722" s="902"/>
      <c r="C1722" s="902"/>
      <c r="D1722" s="902"/>
      <c r="E1722" s="902"/>
      <c r="F1722" s="902" t="s">
        <v>2479</v>
      </c>
      <c r="G1722" s="902"/>
      <c r="H1722" s="902"/>
      <c r="I1722" s="525">
        <v>45.53</v>
      </c>
      <c r="J1722"/>
    </row>
    <row r="1723" spans="1:10" ht="14.25" customHeight="1" x14ac:dyDescent="0.3">
      <c r="A1723" s="902"/>
      <c r="B1723" s="902"/>
      <c r="C1723" s="902"/>
      <c r="D1723" s="902"/>
      <c r="E1723" s="902"/>
      <c r="F1723" s="902" t="s">
        <v>2480</v>
      </c>
      <c r="G1723" s="902"/>
      <c r="H1723" s="902"/>
      <c r="I1723" s="525">
        <v>16.936</v>
      </c>
      <c r="J1723"/>
    </row>
    <row r="1724" spans="1:10" ht="14.25" customHeight="1" x14ac:dyDescent="0.3">
      <c r="A1724" s="516" t="s">
        <v>2574</v>
      </c>
      <c r="B1724" s="517" t="s">
        <v>16</v>
      </c>
      <c r="C1724" s="516" t="s">
        <v>15</v>
      </c>
      <c r="D1724" s="516" t="s">
        <v>2575</v>
      </c>
      <c r="E1724" s="517" t="s">
        <v>2467</v>
      </c>
      <c r="F1724" s="517" t="s">
        <v>2576</v>
      </c>
      <c r="G1724" s="903" t="s">
        <v>2577</v>
      </c>
      <c r="H1724" s="903"/>
      <c r="I1724" s="517" t="s">
        <v>2470</v>
      </c>
      <c r="J1724"/>
    </row>
    <row r="1725" spans="1:10" ht="14.25" customHeight="1" x14ac:dyDescent="0.3">
      <c r="A1725" s="519" t="s">
        <v>2578</v>
      </c>
      <c r="B1725" s="520" t="s">
        <v>32</v>
      </c>
      <c r="C1725" s="519">
        <v>88316</v>
      </c>
      <c r="D1725" s="519" t="s">
        <v>2562</v>
      </c>
      <c r="E1725" s="522">
        <v>2.19635E-2</v>
      </c>
      <c r="F1725" s="521" t="s">
        <v>1901</v>
      </c>
      <c r="G1725" s="907">
        <v>23.4</v>
      </c>
      <c r="H1725" s="907"/>
      <c r="I1725" s="524">
        <v>0.51390000000000002</v>
      </c>
      <c r="J1725"/>
    </row>
    <row r="1726" spans="1:10" ht="14.25" customHeight="1" thickBot="1" x14ac:dyDescent="0.35">
      <c r="A1726" s="902"/>
      <c r="B1726" s="902"/>
      <c r="C1726" s="902"/>
      <c r="D1726" s="902"/>
      <c r="E1726" s="902"/>
      <c r="F1726" s="902" t="s">
        <v>2579</v>
      </c>
      <c r="G1726" s="902"/>
      <c r="H1726" s="902"/>
      <c r="I1726" s="525">
        <v>0.51390000000000002</v>
      </c>
      <c r="J1726"/>
    </row>
    <row r="1727" spans="1:10" ht="14.5" thickTop="1" x14ac:dyDescent="0.3">
      <c r="A1727" s="647"/>
      <c r="B1727" s="647"/>
      <c r="C1727" s="647"/>
      <c r="D1727" s="647"/>
      <c r="E1727" s="647"/>
      <c r="F1727" s="647"/>
      <c r="G1727" s="647"/>
      <c r="H1727" s="647"/>
      <c r="I1727" s="647"/>
      <c r="J1727" s="647"/>
    </row>
    <row r="1728" spans="1:10" ht="14.25" customHeight="1" x14ac:dyDescent="0.3">
      <c r="A1728" s="516"/>
      <c r="B1728" s="517" t="s">
        <v>15</v>
      </c>
      <c r="C1728" s="516" t="s">
        <v>16</v>
      </c>
      <c r="D1728" s="516" t="s">
        <v>17</v>
      </c>
      <c r="E1728" s="904" t="s">
        <v>2431</v>
      </c>
      <c r="F1728" s="904"/>
      <c r="G1728" s="518" t="s">
        <v>18</v>
      </c>
      <c r="H1728" s="517" t="s">
        <v>19</v>
      </c>
      <c r="I1728" s="517" t="s">
        <v>20</v>
      </c>
      <c r="J1728" s="517" t="s">
        <v>23</v>
      </c>
    </row>
    <row r="1729" spans="1:10" ht="14.25" customHeight="1" x14ac:dyDescent="0.3">
      <c r="A1729" s="642" t="s">
        <v>2432</v>
      </c>
      <c r="B1729" s="643" t="s">
        <v>1344</v>
      </c>
      <c r="C1729" s="642" t="s">
        <v>125</v>
      </c>
      <c r="D1729" s="642" t="s">
        <v>3147</v>
      </c>
      <c r="E1729" s="906" t="s">
        <v>1328</v>
      </c>
      <c r="F1729" s="906"/>
      <c r="G1729" s="644" t="s">
        <v>118</v>
      </c>
      <c r="H1729" s="645">
        <v>1</v>
      </c>
      <c r="I1729" s="646">
        <v>1035.27</v>
      </c>
      <c r="J1729" s="646">
        <v>1035.27</v>
      </c>
    </row>
    <row r="1730" spans="1:10" ht="15" customHeight="1" x14ac:dyDescent="0.3">
      <c r="A1730" s="904" t="s">
        <v>2418</v>
      </c>
      <c r="B1730" s="903" t="s">
        <v>15</v>
      </c>
      <c r="C1730" s="904" t="s">
        <v>16</v>
      </c>
      <c r="D1730" s="904" t="s">
        <v>2466</v>
      </c>
      <c r="E1730" s="903" t="s">
        <v>2467</v>
      </c>
      <c r="F1730" s="908" t="s">
        <v>2468</v>
      </c>
      <c r="G1730" s="903"/>
      <c r="H1730" s="518" t="s">
        <v>2469</v>
      </c>
      <c r="I1730" s="903" t="s">
        <v>2470</v>
      </c>
      <c r="J1730"/>
    </row>
    <row r="1731" spans="1:10" x14ac:dyDescent="0.3">
      <c r="A1731" s="903"/>
      <c r="B1731" s="903"/>
      <c r="C1731" s="903"/>
      <c r="D1731" s="903"/>
      <c r="E1731" s="903"/>
      <c r="F1731" s="517" t="s">
        <v>2471</v>
      </c>
      <c r="G1731" s="517" t="s">
        <v>2472</v>
      </c>
      <c r="H1731" s="517" t="s">
        <v>2471</v>
      </c>
      <c r="I1731" s="903"/>
      <c r="J1731"/>
    </row>
    <row r="1732" spans="1:10" ht="25" x14ac:dyDescent="0.3">
      <c r="A1732" s="519" t="s">
        <v>2437</v>
      </c>
      <c r="B1732" s="520" t="s">
        <v>3148</v>
      </c>
      <c r="C1732" s="519" t="s">
        <v>125</v>
      </c>
      <c r="D1732" s="519" t="s">
        <v>4299</v>
      </c>
      <c r="E1732" s="522">
        <v>1</v>
      </c>
      <c r="F1732" s="523">
        <v>1</v>
      </c>
      <c r="G1732" s="523">
        <v>0</v>
      </c>
      <c r="H1732" s="524">
        <v>143.29920000000001</v>
      </c>
      <c r="I1732" s="524">
        <v>143.29920000000001</v>
      </c>
      <c r="J1732"/>
    </row>
    <row r="1733" spans="1:10" ht="14.25" customHeight="1" x14ac:dyDescent="0.3">
      <c r="A1733" s="902"/>
      <c r="B1733" s="902"/>
      <c r="C1733" s="902"/>
      <c r="D1733" s="902"/>
      <c r="E1733" s="902"/>
      <c r="F1733" s="902" t="s">
        <v>2475</v>
      </c>
      <c r="G1733" s="902"/>
      <c r="H1733" s="902"/>
      <c r="I1733" s="525">
        <v>143.29920000000001</v>
      </c>
      <c r="J1733"/>
    </row>
    <row r="1734" spans="1:10" ht="15" customHeight="1" x14ac:dyDescent="0.3">
      <c r="A1734" s="902"/>
      <c r="B1734" s="902"/>
      <c r="C1734" s="902"/>
      <c r="D1734" s="902"/>
      <c r="E1734" s="902"/>
      <c r="F1734" s="902" t="s">
        <v>2476</v>
      </c>
      <c r="G1734" s="902"/>
      <c r="H1734" s="902"/>
      <c r="I1734" s="525">
        <v>143.29920000000001</v>
      </c>
      <c r="J1734"/>
    </row>
    <row r="1735" spans="1:10" ht="14.25" customHeight="1" x14ac:dyDescent="0.3">
      <c r="A1735" s="902"/>
      <c r="B1735" s="902"/>
      <c r="C1735" s="902"/>
      <c r="D1735" s="902"/>
      <c r="E1735" s="902"/>
      <c r="F1735" s="902" t="s">
        <v>2477</v>
      </c>
      <c r="G1735" s="902"/>
      <c r="H1735" s="902"/>
      <c r="I1735" s="525">
        <v>0</v>
      </c>
      <c r="J1735"/>
    </row>
    <row r="1736" spans="1:10" x14ac:dyDescent="0.3">
      <c r="A1736" s="902"/>
      <c r="B1736" s="902"/>
      <c r="C1736" s="902"/>
      <c r="D1736" s="902"/>
      <c r="E1736" s="902"/>
      <c r="F1736" s="902" t="s">
        <v>2478</v>
      </c>
      <c r="G1736" s="902"/>
      <c r="H1736" s="902"/>
      <c r="I1736" s="525">
        <v>0</v>
      </c>
      <c r="J1736"/>
    </row>
    <row r="1737" spans="1:10" ht="14.25" customHeight="1" x14ac:dyDescent="0.3">
      <c r="A1737" s="902"/>
      <c r="B1737" s="902"/>
      <c r="C1737" s="902"/>
      <c r="D1737" s="902"/>
      <c r="E1737" s="902"/>
      <c r="F1737" s="902" t="s">
        <v>2479</v>
      </c>
      <c r="G1737" s="902"/>
      <c r="H1737" s="902"/>
      <c r="I1737" s="525">
        <v>4.2</v>
      </c>
      <c r="J1737"/>
    </row>
    <row r="1738" spans="1:10" ht="15" customHeight="1" x14ac:dyDescent="0.3">
      <c r="A1738" s="902"/>
      <c r="B1738" s="902"/>
      <c r="C1738" s="902"/>
      <c r="D1738" s="902"/>
      <c r="E1738" s="902"/>
      <c r="F1738" s="902" t="s">
        <v>2480</v>
      </c>
      <c r="G1738" s="902"/>
      <c r="H1738" s="902"/>
      <c r="I1738" s="525">
        <v>34.118899999999996</v>
      </c>
      <c r="J1738"/>
    </row>
    <row r="1739" spans="1:10" ht="15" customHeight="1" x14ac:dyDescent="0.3">
      <c r="A1739" s="516" t="s">
        <v>2420</v>
      </c>
      <c r="B1739" s="517" t="s">
        <v>16</v>
      </c>
      <c r="C1739" s="516" t="s">
        <v>15</v>
      </c>
      <c r="D1739" s="516" t="s">
        <v>2442</v>
      </c>
      <c r="E1739" s="517" t="s">
        <v>2467</v>
      </c>
      <c r="F1739" s="517" t="s">
        <v>2576</v>
      </c>
      <c r="G1739" s="903" t="s">
        <v>2577</v>
      </c>
      <c r="H1739" s="903"/>
      <c r="I1739" s="517" t="s">
        <v>2470</v>
      </c>
      <c r="J1739"/>
    </row>
    <row r="1740" spans="1:10" ht="25" x14ac:dyDescent="0.3">
      <c r="A1740" s="519" t="s">
        <v>2437</v>
      </c>
      <c r="B1740" s="520" t="s">
        <v>125</v>
      </c>
      <c r="C1740" s="519" t="s">
        <v>3149</v>
      </c>
      <c r="D1740" s="519" t="s">
        <v>3150</v>
      </c>
      <c r="E1740" s="522">
        <v>1</v>
      </c>
      <c r="F1740" s="521" t="s">
        <v>600</v>
      </c>
      <c r="G1740" s="907">
        <v>792.52070000000003</v>
      </c>
      <c r="H1740" s="907"/>
      <c r="I1740" s="524">
        <v>792.52070000000003</v>
      </c>
      <c r="J1740"/>
    </row>
    <row r="1741" spans="1:10" ht="14.25" customHeight="1" x14ac:dyDescent="0.3">
      <c r="A1741" s="519" t="s">
        <v>2437</v>
      </c>
      <c r="B1741" s="520" t="s">
        <v>125</v>
      </c>
      <c r="C1741" s="519" t="s">
        <v>3151</v>
      </c>
      <c r="D1741" s="519" t="s">
        <v>3152</v>
      </c>
      <c r="E1741" s="522">
        <v>1.1499999999999999</v>
      </c>
      <c r="F1741" s="521" t="s">
        <v>118</v>
      </c>
      <c r="G1741" s="907">
        <v>113.8331</v>
      </c>
      <c r="H1741" s="907"/>
      <c r="I1741" s="524">
        <v>130.90809999999999</v>
      </c>
      <c r="J1741"/>
    </row>
    <row r="1742" spans="1:10" ht="15" customHeight="1" x14ac:dyDescent="0.3">
      <c r="A1742" s="902"/>
      <c r="B1742" s="902"/>
      <c r="C1742" s="902"/>
      <c r="D1742" s="902"/>
      <c r="E1742" s="902"/>
      <c r="F1742" s="902" t="s">
        <v>2809</v>
      </c>
      <c r="G1742" s="902"/>
      <c r="H1742" s="902"/>
      <c r="I1742" s="525">
        <v>923.42880000000002</v>
      </c>
      <c r="J1742"/>
    </row>
    <row r="1743" spans="1:10" ht="15" customHeight="1" x14ac:dyDescent="0.3">
      <c r="A1743" s="516" t="s">
        <v>2574</v>
      </c>
      <c r="B1743" s="517" t="s">
        <v>16</v>
      </c>
      <c r="C1743" s="516" t="s">
        <v>15</v>
      </c>
      <c r="D1743" s="516" t="s">
        <v>2575</v>
      </c>
      <c r="E1743" s="517" t="s">
        <v>2467</v>
      </c>
      <c r="F1743" s="517" t="s">
        <v>2576</v>
      </c>
      <c r="G1743" s="903" t="s">
        <v>2577</v>
      </c>
      <c r="H1743" s="903"/>
      <c r="I1743" s="517" t="s">
        <v>2470</v>
      </c>
      <c r="J1743"/>
    </row>
    <row r="1744" spans="1:10" ht="25" x14ac:dyDescent="0.3">
      <c r="A1744" s="519" t="s">
        <v>2578</v>
      </c>
      <c r="B1744" s="520" t="s">
        <v>32</v>
      </c>
      <c r="C1744" s="519">
        <v>88309</v>
      </c>
      <c r="D1744" s="519" t="s">
        <v>2758</v>
      </c>
      <c r="E1744" s="522">
        <v>0.95238100000000003</v>
      </c>
      <c r="F1744" s="521" t="s">
        <v>1901</v>
      </c>
      <c r="G1744" s="907">
        <v>31.1</v>
      </c>
      <c r="H1744" s="907"/>
      <c r="I1744" s="524">
        <v>29.619</v>
      </c>
      <c r="J1744"/>
    </row>
    <row r="1745" spans="1:10" ht="25" x14ac:dyDescent="0.3">
      <c r="A1745" s="519" t="s">
        <v>2578</v>
      </c>
      <c r="B1745" s="520" t="s">
        <v>32</v>
      </c>
      <c r="C1745" s="519">
        <v>88316</v>
      </c>
      <c r="D1745" s="519" t="s">
        <v>2562</v>
      </c>
      <c r="E1745" s="522">
        <v>1.9047619</v>
      </c>
      <c r="F1745" s="521" t="s">
        <v>1901</v>
      </c>
      <c r="G1745" s="907">
        <v>23.4</v>
      </c>
      <c r="H1745" s="907"/>
      <c r="I1745" s="524">
        <v>44.571399999999997</v>
      </c>
      <c r="J1745"/>
    </row>
    <row r="1746" spans="1:10" ht="15" customHeight="1" x14ac:dyDescent="0.3">
      <c r="A1746" s="902"/>
      <c r="B1746" s="902"/>
      <c r="C1746" s="902"/>
      <c r="D1746" s="902"/>
      <c r="E1746" s="902"/>
      <c r="F1746" s="902" t="s">
        <v>2579</v>
      </c>
      <c r="G1746" s="902"/>
      <c r="H1746" s="902"/>
      <c r="I1746" s="525">
        <v>74.190399999999997</v>
      </c>
      <c r="J1746"/>
    </row>
    <row r="1747" spans="1:10" s="358" customFormat="1" ht="15" customHeight="1" x14ac:dyDescent="0.3">
      <c r="A1747" s="516" t="s">
        <v>2580</v>
      </c>
      <c r="B1747" s="517" t="s">
        <v>16</v>
      </c>
      <c r="C1747" s="516" t="s">
        <v>2437</v>
      </c>
      <c r="D1747" s="516" t="s">
        <v>2581</v>
      </c>
      <c r="E1747" s="517" t="s">
        <v>15</v>
      </c>
      <c r="F1747" s="517" t="s">
        <v>2467</v>
      </c>
      <c r="G1747" s="518" t="s">
        <v>2576</v>
      </c>
      <c r="H1747" s="517" t="s">
        <v>2577</v>
      </c>
      <c r="I1747" s="517" t="s">
        <v>2470</v>
      </c>
      <c r="J1747"/>
    </row>
    <row r="1748" spans="1:10" ht="25" x14ac:dyDescent="0.3">
      <c r="A1748" s="519" t="s">
        <v>2582</v>
      </c>
      <c r="B1748" s="520" t="s">
        <v>125</v>
      </c>
      <c r="C1748" s="519" t="s">
        <v>3149</v>
      </c>
      <c r="D1748" s="519" t="s">
        <v>2838</v>
      </c>
      <c r="E1748" s="520">
        <v>5914655</v>
      </c>
      <c r="F1748" s="522">
        <v>1.4E-2</v>
      </c>
      <c r="G1748" s="521" t="s">
        <v>374</v>
      </c>
      <c r="H1748" s="524">
        <v>33.159999999999997</v>
      </c>
      <c r="I1748" s="524">
        <v>0.4642</v>
      </c>
      <c r="J1748"/>
    </row>
    <row r="1749" spans="1:10" s="358" customFormat="1" ht="25" x14ac:dyDescent="0.3">
      <c r="A1749" s="519" t="s">
        <v>2582</v>
      </c>
      <c r="B1749" s="520" t="s">
        <v>125</v>
      </c>
      <c r="C1749" s="519" t="s">
        <v>3151</v>
      </c>
      <c r="D1749" s="519" t="s">
        <v>2810</v>
      </c>
      <c r="E1749" s="520">
        <v>5914647</v>
      </c>
      <c r="F1749" s="522">
        <v>1.7250000000000001</v>
      </c>
      <c r="G1749" s="521" t="s">
        <v>374</v>
      </c>
      <c r="H1749" s="524">
        <v>1.78</v>
      </c>
      <c r="I1749" s="524">
        <v>3.0705</v>
      </c>
      <c r="J1749"/>
    </row>
    <row r="1750" spans="1:10" ht="15" customHeight="1" x14ac:dyDescent="0.3">
      <c r="A1750" s="902"/>
      <c r="B1750" s="902"/>
      <c r="C1750" s="902"/>
      <c r="D1750" s="902"/>
      <c r="E1750" s="902"/>
      <c r="F1750" s="902" t="s">
        <v>2585</v>
      </c>
      <c r="G1750" s="902"/>
      <c r="H1750" s="902"/>
      <c r="I1750" s="525">
        <v>3.5347</v>
      </c>
      <c r="J1750"/>
    </row>
    <row r="1751" spans="1:10" ht="15" customHeight="1" x14ac:dyDescent="0.3">
      <c r="A1751" s="516" t="s">
        <v>2586</v>
      </c>
      <c r="B1751" s="517" t="s">
        <v>16</v>
      </c>
      <c r="C1751" s="516" t="s">
        <v>2437</v>
      </c>
      <c r="D1751" s="516" t="s">
        <v>2587</v>
      </c>
      <c r="E1751" s="517" t="s">
        <v>2467</v>
      </c>
      <c r="F1751" s="517" t="s">
        <v>2576</v>
      </c>
      <c r="G1751" s="908" t="s">
        <v>2588</v>
      </c>
      <c r="H1751" s="903"/>
      <c r="I1751" s="517" t="s">
        <v>2470</v>
      </c>
      <c r="J1751"/>
    </row>
    <row r="1752" spans="1:10" x14ac:dyDescent="0.3">
      <c r="A1752" s="518"/>
      <c r="B1752" s="518"/>
      <c r="C1752" s="518"/>
      <c r="D1752" s="518"/>
      <c r="E1752" s="518"/>
      <c r="F1752" s="518"/>
      <c r="G1752" s="518" t="s">
        <v>2589</v>
      </c>
      <c r="H1752" s="518" t="s">
        <v>2590</v>
      </c>
      <c r="I1752" s="518"/>
      <c r="J1752"/>
    </row>
    <row r="1753" spans="1:10" ht="14.25" customHeight="1" x14ac:dyDescent="0.3">
      <c r="A1753" s="519" t="s">
        <v>2587</v>
      </c>
      <c r="B1753" s="520" t="s">
        <v>125</v>
      </c>
      <c r="C1753" s="519" t="s">
        <v>3149</v>
      </c>
      <c r="D1753" s="519" t="s">
        <v>3153</v>
      </c>
      <c r="E1753" s="522">
        <v>1.4E-2</v>
      </c>
      <c r="F1753" s="521" t="s">
        <v>2592</v>
      </c>
      <c r="G1753" s="520" t="s">
        <v>4472</v>
      </c>
      <c r="H1753" s="520" t="s">
        <v>4473</v>
      </c>
      <c r="I1753" s="524">
        <v>0</v>
      </c>
      <c r="J1753"/>
    </row>
    <row r="1754" spans="1:10" ht="14.25" customHeight="1" x14ac:dyDescent="0.3">
      <c r="A1754" s="519" t="s">
        <v>2587</v>
      </c>
      <c r="B1754" s="520" t="s">
        <v>125</v>
      </c>
      <c r="C1754" s="519" t="s">
        <v>3151</v>
      </c>
      <c r="D1754" s="519" t="s">
        <v>3154</v>
      </c>
      <c r="E1754" s="522">
        <v>1.7250000000000001</v>
      </c>
      <c r="F1754" s="521" t="s">
        <v>2592</v>
      </c>
      <c r="G1754" s="520" t="s">
        <v>4468</v>
      </c>
      <c r="H1754" s="520" t="s">
        <v>4469</v>
      </c>
      <c r="I1754" s="524">
        <v>0</v>
      </c>
      <c r="J1754"/>
    </row>
    <row r="1755" spans="1:10" ht="14.25" customHeight="1" thickBot="1" x14ac:dyDescent="0.35">
      <c r="A1755" s="902"/>
      <c r="B1755" s="902"/>
      <c r="C1755" s="902"/>
      <c r="D1755" s="902"/>
      <c r="E1755" s="902"/>
      <c r="F1755" s="902" t="s">
        <v>2593</v>
      </c>
      <c r="G1755" s="902"/>
      <c r="H1755" s="902"/>
      <c r="I1755" s="525">
        <v>0</v>
      </c>
      <c r="J1755"/>
    </row>
    <row r="1756" spans="1:10" ht="14.5" thickTop="1" x14ac:dyDescent="0.3">
      <c r="A1756" s="647"/>
      <c r="B1756" s="647"/>
      <c r="C1756" s="647"/>
      <c r="D1756" s="647"/>
      <c r="E1756" s="647"/>
      <c r="F1756" s="647"/>
      <c r="G1756" s="647"/>
      <c r="H1756" s="647"/>
      <c r="I1756" s="647"/>
      <c r="J1756" s="647"/>
    </row>
    <row r="1757" spans="1:10" ht="14.25" customHeight="1" x14ac:dyDescent="0.3">
      <c r="A1757" s="516"/>
      <c r="B1757" s="517" t="s">
        <v>15</v>
      </c>
      <c r="C1757" s="516" t="s">
        <v>16</v>
      </c>
      <c r="D1757" s="516" t="s">
        <v>17</v>
      </c>
      <c r="E1757" s="904" t="s">
        <v>2431</v>
      </c>
      <c r="F1757" s="904"/>
      <c r="G1757" s="518" t="s">
        <v>18</v>
      </c>
      <c r="H1757" s="517" t="s">
        <v>19</v>
      </c>
      <c r="I1757" s="517" t="s">
        <v>20</v>
      </c>
      <c r="J1757" s="517" t="s">
        <v>23</v>
      </c>
    </row>
    <row r="1758" spans="1:10" ht="14.25" customHeight="1" x14ac:dyDescent="0.3">
      <c r="A1758" s="642" t="s">
        <v>2432</v>
      </c>
      <c r="B1758" s="643" t="s">
        <v>1346</v>
      </c>
      <c r="C1758" s="642" t="s">
        <v>125</v>
      </c>
      <c r="D1758" s="642" t="s">
        <v>3155</v>
      </c>
      <c r="E1758" s="906" t="s">
        <v>1328</v>
      </c>
      <c r="F1758" s="906"/>
      <c r="G1758" s="644" t="s">
        <v>118</v>
      </c>
      <c r="H1758" s="645">
        <v>1</v>
      </c>
      <c r="I1758" s="646">
        <v>789.58</v>
      </c>
      <c r="J1758" s="646">
        <v>789.58</v>
      </c>
    </row>
    <row r="1759" spans="1:10" ht="15" customHeight="1" x14ac:dyDescent="0.3">
      <c r="A1759" s="904" t="s">
        <v>2418</v>
      </c>
      <c r="B1759" s="903" t="s">
        <v>15</v>
      </c>
      <c r="C1759" s="904" t="s">
        <v>16</v>
      </c>
      <c r="D1759" s="904" t="s">
        <v>2466</v>
      </c>
      <c r="E1759" s="903" t="s">
        <v>2467</v>
      </c>
      <c r="F1759" s="908" t="s">
        <v>2468</v>
      </c>
      <c r="G1759" s="903"/>
      <c r="H1759" s="518" t="s">
        <v>2469</v>
      </c>
      <c r="I1759" s="903" t="s">
        <v>2470</v>
      </c>
      <c r="J1759"/>
    </row>
    <row r="1760" spans="1:10" x14ac:dyDescent="0.3">
      <c r="A1760" s="903"/>
      <c r="B1760" s="903"/>
      <c r="C1760" s="903"/>
      <c r="D1760" s="903"/>
      <c r="E1760" s="903"/>
      <c r="F1760" s="517" t="s">
        <v>2471</v>
      </c>
      <c r="G1760" s="517" t="s">
        <v>2472</v>
      </c>
      <c r="H1760" s="517" t="s">
        <v>2471</v>
      </c>
      <c r="I1760" s="903"/>
      <c r="J1760"/>
    </row>
    <row r="1761" spans="1:10" ht="25" x14ac:dyDescent="0.3">
      <c r="A1761" s="519" t="s">
        <v>2437</v>
      </c>
      <c r="B1761" s="520" t="s">
        <v>3148</v>
      </c>
      <c r="C1761" s="519" t="s">
        <v>125</v>
      </c>
      <c r="D1761" s="519" t="s">
        <v>4299</v>
      </c>
      <c r="E1761" s="522">
        <v>1</v>
      </c>
      <c r="F1761" s="523">
        <v>1</v>
      </c>
      <c r="G1761" s="523">
        <v>0</v>
      </c>
      <c r="H1761" s="524">
        <v>143.29920000000001</v>
      </c>
      <c r="I1761" s="524">
        <v>143.29920000000001</v>
      </c>
      <c r="J1761"/>
    </row>
    <row r="1762" spans="1:10" ht="14.25" customHeight="1" x14ac:dyDescent="0.3">
      <c r="A1762" s="902"/>
      <c r="B1762" s="902"/>
      <c r="C1762" s="902"/>
      <c r="D1762" s="902"/>
      <c r="E1762" s="902"/>
      <c r="F1762" s="902" t="s">
        <v>2475</v>
      </c>
      <c r="G1762" s="902"/>
      <c r="H1762" s="902"/>
      <c r="I1762" s="525">
        <v>143.29920000000001</v>
      </c>
      <c r="J1762"/>
    </row>
    <row r="1763" spans="1:10" ht="15" customHeight="1" x14ac:dyDescent="0.3">
      <c r="A1763" s="902"/>
      <c r="B1763" s="902"/>
      <c r="C1763" s="902"/>
      <c r="D1763" s="902"/>
      <c r="E1763" s="902"/>
      <c r="F1763" s="902" t="s">
        <v>2476</v>
      </c>
      <c r="G1763" s="902"/>
      <c r="H1763" s="902"/>
      <c r="I1763" s="525">
        <v>143.29920000000001</v>
      </c>
      <c r="J1763"/>
    </row>
    <row r="1764" spans="1:10" ht="14.25" customHeight="1" x14ac:dyDescent="0.3">
      <c r="A1764" s="902"/>
      <c r="B1764" s="902"/>
      <c r="C1764" s="902"/>
      <c r="D1764" s="902"/>
      <c r="E1764" s="902"/>
      <c r="F1764" s="902" t="s">
        <v>2477</v>
      </c>
      <c r="G1764" s="902"/>
      <c r="H1764" s="902"/>
      <c r="I1764" s="525">
        <v>0</v>
      </c>
      <c r="J1764"/>
    </row>
    <row r="1765" spans="1:10" x14ac:dyDescent="0.3">
      <c r="A1765" s="902"/>
      <c r="B1765" s="902"/>
      <c r="C1765" s="902"/>
      <c r="D1765" s="902"/>
      <c r="E1765" s="902"/>
      <c r="F1765" s="902" t="s">
        <v>2478</v>
      </c>
      <c r="G1765" s="902"/>
      <c r="H1765" s="902"/>
      <c r="I1765" s="525">
        <v>0</v>
      </c>
      <c r="J1765"/>
    </row>
    <row r="1766" spans="1:10" ht="14.25" customHeight="1" x14ac:dyDescent="0.3">
      <c r="A1766" s="902"/>
      <c r="B1766" s="902"/>
      <c r="C1766" s="902"/>
      <c r="D1766" s="902"/>
      <c r="E1766" s="902"/>
      <c r="F1766" s="902" t="s">
        <v>2479</v>
      </c>
      <c r="G1766" s="902"/>
      <c r="H1766" s="902"/>
      <c r="I1766" s="525">
        <v>4.5</v>
      </c>
      <c r="J1766"/>
    </row>
    <row r="1767" spans="1:10" ht="15" customHeight="1" x14ac:dyDescent="0.3">
      <c r="A1767" s="902"/>
      <c r="B1767" s="902"/>
      <c r="C1767" s="902"/>
      <c r="D1767" s="902"/>
      <c r="E1767" s="902"/>
      <c r="F1767" s="902" t="s">
        <v>2480</v>
      </c>
      <c r="G1767" s="902"/>
      <c r="H1767" s="902"/>
      <c r="I1767" s="525">
        <v>31.8443</v>
      </c>
      <c r="J1767"/>
    </row>
    <row r="1768" spans="1:10" ht="15" customHeight="1" x14ac:dyDescent="0.3">
      <c r="A1768" s="516" t="s">
        <v>2420</v>
      </c>
      <c r="B1768" s="517" t="s">
        <v>16</v>
      </c>
      <c r="C1768" s="516" t="s">
        <v>15</v>
      </c>
      <c r="D1768" s="516" t="s">
        <v>2442</v>
      </c>
      <c r="E1768" s="517" t="s">
        <v>2467</v>
      </c>
      <c r="F1768" s="517" t="s">
        <v>2576</v>
      </c>
      <c r="G1768" s="903" t="s">
        <v>2577</v>
      </c>
      <c r="H1768" s="903"/>
      <c r="I1768" s="517" t="s">
        <v>2470</v>
      </c>
      <c r="J1768"/>
    </row>
    <row r="1769" spans="1:10" ht="25" x14ac:dyDescent="0.3">
      <c r="A1769" s="519" t="s">
        <v>2437</v>
      </c>
      <c r="B1769" s="520" t="s">
        <v>125</v>
      </c>
      <c r="C1769" s="519" t="s">
        <v>3156</v>
      </c>
      <c r="D1769" s="519" t="s">
        <v>3150</v>
      </c>
      <c r="E1769" s="522">
        <v>0.5</v>
      </c>
      <c r="F1769" s="521" t="s">
        <v>600</v>
      </c>
      <c r="G1769" s="907">
        <v>1108.6351</v>
      </c>
      <c r="H1769" s="907"/>
      <c r="I1769" s="524">
        <v>554.31759999999997</v>
      </c>
      <c r="J1769"/>
    </row>
    <row r="1770" spans="1:10" ht="14.25" customHeight="1" x14ac:dyDescent="0.3">
      <c r="A1770" s="519" t="s">
        <v>2437</v>
      </c>
      <c r="B1770" s="520" t="s">
        <v>125</v>
      </c>
      <c r="C1770" s="519" t="s">
        <v>3151</v>
      </c>
      <c r="D1770" s="519" t="s">
        <v>3152</v>
      </c>
      <c r="E1770" s="522">
        <v>1.1499999999999999</v>
      </c>
      <c r="F1770" s="521" t="s">
        <v>118</v>
      </c>
      <c r="G1770" s="907">
        <v>113.8331</v>
      </c>
      <c r="H1770" s="907"/>
      <c r="I1770" s="524">
        <v>130.90809999999999</v>
      </c>
      <c r="J1770"/>
    </row>
    <row r="1771" spans="1:10" ht="15" customHeight="1" x14ac:dyDescent="0.3">
      <c r="A1771" s="902"/>
      <c r="B1771" s="902"/>
      <c r="C1771" s="902"/>
      <c r="D1771" s="902"/>
      <c r="E1771" s="902"/>
      <c r="F1771" s="902" t="s">
        <v>2809</v>
      </c>
      <c r="G1771" s="902"/>
      <c r="H1771" s="902"/>
      <c r="I1771" s="525">
        <v>685.22569999999996</v>
      </c>
      <c r="J1771"/>
    </row>
    <row r="1772" spans="1:10" ht="15" customHeight="1" x14ac:dyDescent="0.3">
      <c r="A1772" s="516" t="s">
        <v>2574</v>
      </c>
      <c r="B1772" s="517" t="s">
        <v>16</v>
      </c>
      <c r="C1772" s="516" t="s">
        <v>15</v>
      </c>
      <c r="D1772" s="516" t="s">
        <v>2575</v>
      </c>
      <c r="E1772" s="517" t="s">
        <v>2467</v>
      </c>
      <c r="F1772" s="517" t="s">
        <v>2576</v>
      </c>
      <c r="G1772" s="903" t="s">
        <v>2577</v>
      </c>
      <c r="H1772" s="903"/>
      <c r="I1772" s="517" t="s">
        <v>2470</v>
      </c>
      <c r="J1772"/>
    </row>
    <row r="1773" spans="1:10" ht="25" x14ac:dyDescent="0.3">
      <c r="A1773" s="519" t="s">
        <v>2578</v>
      </c>
      <c r="B1773" s="520" t="s">
        <v>32</v>
      </c>
      <c r="C1773" s="519">
        <v>88309</v>
      </c>
      <c r="D1773" s="519" t="s">
        <v>2758</v>
      </c>
      <c r="E1773" s="522">
        <v>0.88888889999999998</v>
      </c>
      <c r="F1773" s="521" t="s">
        <v>1901</v>
      </c>
      <c r="G1773" s="907">
        <v>31.1</v>
      </c>
      <c r="H1773" s="907"/>
      <c r="I1773" s="524">
        <v>27.644400000000001</v>
      </c>
      <c r="J1773"/>
    </row>
    <row r="1774" spans="1:10" ht="25" x14ac:dyDescent="0.3">
      <c r="A1774" s="519" t="s">
        <v>2578</v>
      </c>
      <c r="B1774" s="520" t="s">
        <v>32</v>
      </c>
      <c r="C1774" s="519">
        <v>88316</v>
      </c>
      <c r="D1774" s="519" t="s">
        <v>2562</v>
      </c>
      <c r="E1774" s="522">
        <v>1.7777778</v>
      </c>
      <c r="F1774" s="521" t="s">
        <v>1901</v>
      </c>
      <c r="G1774" s="907">
        <v>23.4</v>
      </c>
      <c r="H1774" s="907"/>
      <c r="I1774" s="524">
        <v>41.6</v>
      </c>
      <c r="J1774"/>
    </row>
    <row r="1775" spans="1:10" ht="15" customHeight="1" x14ac:dyDescent="0.3">
      <c r="A1775" s="902"/>
      <c r="B1775" s="902"/>
      <c r="C1775" s="902"/>
      <c r="D1775" s="902"/>
      <c r="E1775" s="902"/>
      <c r="F1775" s="902" t="s">
        <v>2579</v>
      </c>
      <c r="G1775" s="902"/>
      <c r="H1775" s="902"/>
      <c r="I1775" s="525">
        <v>69.244399999999999</v>
      </c>
      <c r="J1775"/>
    </row>
    <row r="1776" spans="1:10" s="358" customFormat="1" ht="15" customHeight="1" x14ac:dyDescent="0.3">
      <c r="A1776" s="516" t="s">
        <v>2580</v>
      </c>
      <c r="B1776" s="517" t="s">
        <v>16</v>
      </c>
      <c r="C1776" s="516" t="s">
        <v>2437</v>
      </c>
      <c r="D1776" s="516" t="s">
        <v>2581</v>
      </c>
      <c r="E1776" s="517" t="s">
        <v>15</v>
      </c>
      <c r="F1776" s="517" t="s">
        <v>2467</v>
      </c>
      <c r="G1776" s="518" t="s">
        <v>2576</v>
      </c>
      <c r="H1776" s="517" t="s">
        <v>2577</v>
      </c>
      <c r="I1776" s="517" t="s">
        <v>2470</v>
      </c>
      <c r="J1776"/>
    </row>
    <row r="1777" spans="1:10" ht="25" x14ac:dyDescent="0.3">
      <c r="A1777" s="519" t="s">
        <v>2582</v>
      </c>
      <c r="B1777" s="520" t="s">
        <v>125</v>
      </c>
      <c r="C1777" s="519" t="s">
        <v>3156</v>
      </c>
      <c r="D1777" s="519" t="s">
        <v>2838</v>
      </c>
      <c r="E1777" s="520">
        <v>5914655</v>
      </c>
      <c r="F1777" s="522">
        <v>6.0000000000000001E-3</v>
      </c>
      <c r="G1777" s="521" t="s">
        <v>374</v>
      </c>
      <c r="H1777" s="524">
        <v>33.159999999999997</v>
      </c>
      <c r="I1777" s="524">
        <v>0.19900000000000001</v>
      </c>
      <c r="J1777"/>
    </row>
    <row r="1778" spans="1:10" s="358" customFormat="1" ht="25" x14ac:dyDescent="0.3">
      <c r="A1778" s="519" t="s">
        <v>2582</v>
      </c>
      <c r="B1778" s="520" t="s">
        <v>125</v>
      </c>
      <c r="C1778" s="519" t="s">
        <v>3151</v>
      </c>
      <c r="D1778" s="519" t="s">
        <v>2810</v>
      </c>
      <c r="E1778" s="520">
        <v>5914647</v>
      </c>
      <c r="F1778" s="522">
        <v>1.7250000000000001</v>
      </c>
      <c r="G1778" s="521" t="s">
        <v>374</v>
      </c>
      <c r="H1778" s="524">
        <v>1.78</v>
      </c>
      <c r="I1778" s="524">
        <v>3.0705</v>
      </c>
      <c r="J1778"/>
    </row>
    <row r="1779" spans="1:10" ht="15" customHeight="1" x14ac:dyDescent="0.3">
      <c r="A1779" s="902"/>
      <c r="B1779" s="902"/>
      <c r="C1779" s="902"/>
      <c r="D1779" s="902"/>
      <c r="E1779" s="902"/>
      <c r="F1779" s="902" t="s">
        <v>2585</v>
      </c>
      <c r="G1779" s="902"/>
      <c r="H1779" s="902"/>
      <c r="I1779" s="525">
        <v>3.2694999999999999</v>
      </c>
      <c r="J1779"/>
    </row>
    <row r="1780" spans="1:10" ht="15" customHeight="1" x14ac:dyDescent="0.3">
      <c r="A1780" s="516" t="s">
        <v>2586</v>
      </c>
      <c r="B1780" s="517" t="s">
        <v>16</v>
      </c>
      <c r="C1780" s="516" t="s">
        <v>2437</v>
      </c>
      <c r="D1780" s="516" t="s">
        <v>2587</v>
      </c>
      <c r="E1780" s="517" t="s">
        <v>2467</v>
      </c>
      <c r="F1780" s="517" t="s">
        <v>2576</v>
      </c>
      <c r="G1780" s="908" t="s">
        <v>2588</v>
      </c>
      <c r="H1780" s="903"/>
      <c r="I1780" s="517" t="s">
        <v>2470</v>
      </c>
      <c r="J1780"/>
    </row>
    <row r="1781" spans="1:10" x14ac:dyDescent="0.3">
      <c r="A1781" s="518"/>
      <c r="B1781" s="518"/>
      <c r="C1781" s="518"/>
      <c r="D1781" s="518"/>
      <c r="E1781" s="518"/>
      <c r="F1781" s="518"/>
      <c r="G1781" s="518" t="s">
        <v>2589</v>
      </c>
      <c r="H1781" s="518" t="s">
        <v>2590</v>
      </c>
      <c r="I1781" s="518"/>
      <c r="J1781"/>
    </row>
    <row r="1782" spans="1:10" ht="14.25" customHeight="1" x14ac:dyDescent="0.3">
      <c r="A1782" s="519" t="s">
        <v>2587</v>
      </c>
      <c r="B1782" s="520" t="s">
        <v>125</v>
      </c>
      <c r="C1782" s="519" t="s">
        <v>3156</v>
      </c>
      <c r="D1782" s="519" t="s">
        <v>3153</v>
      </c>
      <c r="E1782" s="522">
        <v>6.0000000000000001E-3</v>
      </c>
      <c r="F1782" s="521" t="s">
        <v>2592</v>
      </c>
      <c r="G1782" s="520" t="s">
        <v>4472</v>
      </c>
      <c r="H1782" s="520" t="s">
        <v>4473</v>
      </c>
      <c r="I1782" s="524">
        <v>0</v>
      </c>
      <c r="J1782"/>
    </row>
    <row r="1783" spans="1:10" ht="14.25" customHeight="1" x14ac:dyDescent="0.3">
      <c r="A1783" s="519" t="s">
        <v>2587</v>
      </c>
      <c r="B1783" s="520" t="s">
        <v>125</v>
      </c>
      <c r="C1783" s="519" t="s">
        <v>3151</v>
      </c>
      <c r="D1783" s="519" t="s">
        <v>3154</v>
      </c>
      <c r="E1783" s="522">
        <v>1.7250000000000001</v>
      </c>
      <c r="F1783" s="521" t="s">
        <v>2592</v>
      </c>
      <c r="G1783" s="520" t="s">
        <v>4468</v>
      </c>
      <c r="H1783" s="520" t="s">
        <v>4469</v>
      </c>
      <c r="I1783" s="524">
        <v>0</v>
      </c>
      <c r="J1783"/>
    </row>
    <row r="1784" spans="1:10" ht="14.25" customHeight="1" thickBot="1" x14ac:dyDescent="0.35">
      <c r="A1784" s="902"/>
      <c r="B1784" s="902"/>
      <c r="C1784" s="902"/>
      <c r="D1784" s="902"/>
      <c r="E1784" s="902"/>
      <c r="F1784" s="902" t="s">
        <v>2593</v>
      </c>
      <c r="G1784" s="902"/>
      <c r="H1784" s="902"/>
      <c r="I1784" s="525">
        <v>0</v>
      </c>
      <c r="J1784"/>
    </row>
    <row r="1785" spans="1:10" ht="14.5" thickTop="1" x14ac:dyDescent="0.3">
      <c r="A1785" s="647"/>
      <c r="B1785" s="647"/>
      <c r="C1785" s="647"/>
      <c r="D1785" s="647"/>
      <c r="E1785" s="647"/>
      <c r="F1785" s="647"/>
      <c r="G1785" s="647"/>
      <c r="H1785" s="647"/>
      <c r="I1785" s="647"/>
      <c r="J1785" s="647"/>
    </row>
    <row r="1786" spans="1:10" ht="14.25" customHeight="1" x14ac:dyDescent="0.3">
      <c r="A1786" s="516"/>
      <c r="B1786" s="517" t="s">
        <v>15</v>
      </c>
      <c r="C1786" s="516" t="s">
        <v>16</v>
      </c>
      <c r="D1786" s="516" t="s">
        <v>17</v>
      </c>
      <c r="E1786" s="904" t="s">
        <v>2431</v>
      </c>
      <c r="F1786" s="904"/>
      <c r="G1786" s="518" t="s">
        <v>18</v>
      </c>
      <c r="H1786" s="517" t="s">
        <v>19</v>
      </c>
      <c r="I1786" s="517" t="s">
        <v>20</v>
      </c>
      <c r="J1786" s="517" t="s">
        <v>23</v>
      </c>
    </row>
    <row r="1787" spans="1:10" ht="14.25" customHeight="1" x14ac:dyDescent="0.3">
      <c r="A1787" s="642" t="s">
        <v>2432</v>
      </c>
      <c r="B1787" s="643" t="s">
        <v>1348</v>
      </c>
      <c r="C1787" s="642" t="s">
        <v>125</v>
      </c>
      <c r="D1787" s="642" t="s">
        <v>3157</v>
      </c>
      <c r="E1787" s="906" t="s">
        <v>1328</v>
      </c>
      <c r="F1787" s="906"/>
      <c r="G1787" s="644" t="s">
        <v>115</v>
      </c>
      <c r="H1787" s="645">
        <v>1</v>
      </c>
      <c r="I1787" s="646">
        <v>284.33999999999997</v>
      </c>
      <c r="J1787" s="646">
        <v>284.33999999999997</v>
      </c>
    </row>
    <row r="1788" spans="1:10" ht="15" customHeight="1" x14ac:dyDescent="0.3">
      <c r="A1788" s="904" t="s">
        <v>2418</v>
      </c>
      <c r="B1788" s="903" t="s">
        <v>15</v>
      </c>
      <c r="C1788" s="904" t="s">
        <v>16</v>
      </c>
      <c r="D1788" s="904" t="s">
        <v>2466</v>
      </c>
      <c r="E1788" s="903" t="s">
        <v>2467</v>
      </c>
      <c r="F1788" s="908" t="s">
        <v>2468</v>
      </c>
      <c r="G1788" s="903"/>
      <c r="H1788" s="518" t="s">
        <v>2469</v>
      </c>
      <c r="I1788" s="903" t="s">
        <v>2470</v>
      </c>
      <c r="J1788"/>
    </row>
    <row r="1789" spans="1:10" x14ac:dyDescent="0.3">
      <c r="A1789" s="903"/>
      <c r="B1789" s="903"/>
      <c r="C1789" s="903"/>
      <c r="D1789" s="903"/>
      <c r="E1789" s="903"/>
      <c r="F1789" s="517" t="s">
        <v>2471</v>
      </c>
      <c r="G1789" s="517" t="s">
        <v>2472</v>
      </c>
      <c r="H1789" s="517" t="s">
        <v>2471</v>
      </c>
      <c r="I1789" s="903"/>
      <c r="J1789"/>
    </row>
    <row r="1790" spans="1:10" ht="25" x14ac:dyDescent="0.3">
      <c r="A1790" s="519" t="s">
        <v>2437</v>
      </c>
      <c r="B1790" s="520" t="s">
        <v>3148</v>
      </c>
      <c r="C1790" s="519" t="s">
        <v>125</v>
      </c>
      <c r="D1790" s="519" t="s">
        <v>4299</v>
      </c>
      <c r="E1790" s="522">
        <v>1</v>
      </c>
      <c r="F1790" s="523">
        <v>1</v>
      </c>
      <c r="G1790" s="523">
        <v>0</v>
      </c>
      <c r="H1790" s="524">
        <v>143.29920000000001</v>
      </c>
      <c r="I1790" s="524">
        <v>143.29920000000001</v>
      </c>
      <c r="J1790"/>
    </row>
    <row r="1791" spans="1:10" ht="14.25" customHeight="1" x14ac:dyDescent="0.3">
      <c r="A1791" s="902"/>
      <c r="B1791" s="902"/>
      <c r="C1791" s="902"/>
      <c r="D1791" s="902"/>
      <c r="E1791" s="902"/>
      <c r="F1791" s="902" t="s">
        <v>2475</v>
      </c>
      <c r="G1791" s="902"/>
      <c r="H1791" s="902"/>
      <c r="I1791" s="525">
        <v>143.29920000000001</v>
      </c>
      <c r="J1791"/>
    </row>
    <row r="1792" spans="1:10" ht="15" customHeight="1" x14ac:dyDescent="0.3">
      <c r="A1792" s="902"/>
      <c r="B1792" s="902"/>
      <c r="C1792" s="902"/>
      <c r="D1792" s="902"/>
      <c r="E1792" s="902"/>
      <c r="F1792" s="902" t="s">
        <v>2476</v>
      </c>
      <c r="G1792" s="902"/>
      <c r="H1792" s="902"/>
      <c r="I1792" s="525">
        <v>143.29920000000001</v>
      </c>
      <c r="J1792"/>
    </row>
    <row r="1793" spans="1:10" ht="14.25" customHeight="1" x14ac:dyDescent="0.3">
      <c r="A1793" s="902"/>
      <c r="B1793" s="902"/>
      <c r="C1793" s="902"/>
      <c r="D1793" s="902"/>
      <c r="E1793" s="902"/>
      <c r="F1793" s="902" t="s">
        <v>2477</v>
      </c>
      <c r="G1793" s="902"/>
      <c r="H1793" s="902"/>
      <c r="I1793" s="525">
        <v>0</v>
      </c>
      <c r="J1793"/>
    </row>
    <row r="1794" spans="1:10" x14ac:dyDescent="0.3">
      <c r="A1794" s="902"/>
      <c r="B1794" s="902"/>
      <c r="C1794" s="902"/>
      <c r="D1794" s="902"/>
      <c r="E1794" s="902"/>
      <c r="F1794" s="902" t="s">
        <v>2478</v>
      </c>
      <c r="G1794" s="902"/>
      <c r="H1794" s="902"/>
      <c r="I1794" s="525">
        <v>0</v>
      </c>
      <c r="J1794"/>
    </row>
    <row r="1795" spans="1:10" ht="14.25" customHeight="1" x14ac:dyDescent="0.3">
      <c r="A1795" s="902"/>
      <c r="B1795" s="902"/>
      <c r="C1795" s="902"/>
      <c r="D1795" s="902"/>
      <c r="E1795" s="902"/>
      <c r="F1795" s="902" t="s">
        <v>2479</v>
      </c>
      <c r="G1795" s="902"/>
      <c r="H1795" s="902"/>
      <c r="I1795" s="525">
        <v>12.5</v>
      </c>
      <c r="J1795"/>
    </row>
    <row r="1796" spans="1:10" ht="15" customHeight="1" x14ac:dyDescent="0.3">
      <c r="A1796" s="902"/>
      <c r="B1796" s="902"/>
      <c r="C1796" s="902"/>
      <c r="D1796" s="902"/>
      <c r="E1796" s="902"/>
      <c r="F1796" s="902" t="s">
        <v>2480</v>
      </c>
      <c r="G1796" s="902"/>
      <c r="H1796" s="902"/>
      <c r="I1796" s="525">
        <v>11.463900000000001</v>
      </c>
      <c r="J1796"/>
    </row>
    <row r="1797" spans="1:10" ht="15" customHeight="1" x14ac:dyDescent="0.3">
      <c r="A1797" s="516" t="s">
        <v>2420</v>
      </c>
      <c r="B1797" s="517" t="s">
        <v>16</v>
      </c>
      <c r="C1797" s="516" t="s">
        <v>15</v>
      </c>
      <c r="D1797" s="516" t="s">
        <v>2442</v>
      </c>
      <c r="E1797" s="517" t="s">
        <v>2467</v>
      </c>
      <c r="F1797" s="517" t="s">
        <v>2576</v>
      </c>
      <c r="G1797" s="903" t="s">
        <v>2577</v>
      </c>
      <c r="H1797" s="903"/>
      <c r="I1797" s="517" t="s">
        <v>2470</v>
      </c>
      <c r="J1797"/>
    </row>
    <row r="1798" spans="1:10" ht="25" x14ac:dyDescent="0.3">
      <c r="A1798" s="519" t="s">
        <v>2437</v>
      </c>
      <c r="B1798" s="520" t="s">
        <v>125</v>
      </c>
      <c r="C1798" s="519" t="s">
        <v>3158</v>
      </c>
      <c r="D1798" s="519" t="s">
        <v>3159</v>
      </c>
      <c r="E1798" s="522">
        <v>1</v>
      </c>
      <c r="F1798" s="521" t="s">
        <v>115</v>
      </c>
      <c r="G1798" s="907">
        <v>217.01050000000001</v>
      </c>
      <c r="H1798" s="907"/>
      <c r="I1798" s="524">
        <v>217.01050000000001</v>
      </c>
      <c r="J1798"/>
    </row>
    <row r="1799" spans="1:10" ht="14.25" customHeight="1" x14ac:dyDescent="0.3">
      <c r="A1799" s="519" t="s">
        <v>2437</v>
      </c>
      <c r="B1799" s="520" t="s">
        <v>125</v>
      </c>
      <c r="C1799" s="519" t="s">
        <v>3151</v>
      </c>
      <c r="D1799" s="519" t="s">
        <v>3152</v>
      </c>
      <c r="E1799" s="522">
        <v>0.26450000000000001</v>
      </c>
      <c r="F1799" s="521" t="s">
        <v>118</v>
      </c>
      <c r="G1799" s="907">
        <v>113.8331</v>
      </c>
      <c r="H1799" s="907"/>
      <c r="I1799" s="524">
        <v>30.108899999999998</v>
      </c>
      <c r="J1799"/>
    </row>
    <row r="1800" spans="1:10" ht="15" customHeight="1" x14ac:dyDescent="0.3">
      <c r="A1800" s="902"/>
      <c r="B1800" s="902"/>
      <c r="C1800" s="902"/>
      <c r="D1800" s="902"/>
      <c r="E1800" s="902"/>
      <c r="F1800" s="902" t="s">
        <v>2809</v>
      </c>
      <c r="G1800" s="902"/>
      <c r="H1800" s="902"/>
      <c r="I1800" s="525">
        <v>247.11940000000001</v>
      </c>
      <c r="J1800"/>
    </row>
    <row r="1801" spans="1:10" ht="15" customHeight="1" x14ac:dyDescent="0.3">
      <c r="A1801" s="516" t="s">
        <v>2574</v>
      </c>
      <c r="B1801" s="517" t="s">
        <v>16</v>
      </c>
      <c r="C1801" s="516" t="s">
        <v>15</v>
      </c>
      <c r="D1801" s="516" t="s">
        <v>2575</v>
      </c>
      <c r="E1801" s="517" t="s">
        <v>2467</v>
      </c>
      <c r="F1801" s="517" t="s">
        <v>2576</v>
      </c>
      <c r="G1801" s="903" t="s">
        <v>2577</v>
      </c>
      <c r="H1801" s="903"/>
      <c r="I1801" s="517" t="s">
        <v>2470</v>
      </c>
      <c r="J1801"/>
    </row>
    <row r="1802" spans="1:10" ht="25" x14ac:dyDescent="0.3">
      <c r="A1802" s="519" t="s">
        <v>2578</v>
      </c>
      <c r="B1802" s="520" t="s">
        <v>32</v>
      </c>
      <c r="C1802" s="519">
        <v>88309</v>
      </c>
      <c r="D1802" s="519" t="s">
        <v>2758</v>
      </c>
      <c r="E1802" s="522">
        <v>0.32</v>
      </c>
      <c r="F1802" s="521" t="s">
        <v>1901</v>
      </c>
      <c r="G1802" s="907">
        <v>31.1</v>
      </c>
      <c r="H1802" s="907"/>
      <c r="I1802" s="524">
        <v>9.952</v>
      </c>
      <c r="J1802"/>
    </row>
    <row r="1803" spans="1:10" ht="25" x14ac:dyDescent="0.3">
      <c r="A1803" s="519" t="s">
        <v>2578</v>
      </c>
      <c r="B1803" s="520" t="s">
        <v>32</v>
      </c>
      <c r="C1803" s="519">
        <v>88316</v>
      </c>
      <c r="D1803" s="519" t="s">
        <v>2562</v>
      </c>
      <c r="E1803" s="522">
        <v>0.64</v>
      </c>
      <c r="F1803" s="521" t="s">
        <v>1901</v>
      </c>
      <c r="G1803" s="907">
        <v>23.4</v>
      </c>
      <c r="H1803" s="907"/>
      <c r="I1803" s="524">
        <v>14.976000000000001</v>
      </c>
      <c r="J1803"/>
    </row>
    <row r="1804" spans="1:10" ht="15" customHeight="1" x14ac:dyDescent="0.3">
      <c r="A1804" s="902"/>
      <c r="B1804" s="902"/>
      <c r="C1804" s="902"/>
      <c r="D1804" s="902"/>
      <c r="E1804" s="902"/>
      <c r="F1804" s="902" t="s">
        <v>2579</v>
      </c>
      <c r="G1804" s="902"/>
      <c r="H1804" s="902"/>
      <c r="I1804" s="525">
        <v>24.928000000000001</v>
      </c>
      <c r="J1804"/>
    </row>
    <row r="1805" spans="1:10" s="358" customFormat="1" ht="15" customHeight="1" x14ac:dyDescent="0.3">
      <c r="A1805" s="516" t="s">
        <v>2580</v>
      </c>
      <c r="B1805" s="517" t="s">
        <v>16</v>
      </c>
      <c r="C1805" s="516" t="s">
        <v>2437</v>
      </c>
      <c r="D1805" s="516" t="s">
        <v>2581</v>
      </c>
      <c r="E1805" s="517" t="s">
        <v>15</v>
      </c>
      <c r="F1805" s="517" t="s">
        <v>2467</v>
      </c>
      <c r="G1805" s="518" t="s">
        <v>2576</v>
      </c>
      <c r="H1805" s="517" t="s">
        <v>2577</v>
      </c>
      <c r="I1805" s="517" t="s">
        <v>2470</v>
      </c>
      <c r="J1805"/>
    </row>
    <row r="1806" spans="1:10" ht="25" x14ac:dyDescent="0.3">
      <c r="A1806" s="519" t="s">
        <v>2582</v>
      </c>
      <c r="B1806" s="520" t="s">
        <v>125</v>
      </c>
      <c r="C1806" s="519" t="s">
        <v>3158</v>
      </c>
      <c r="D1806" s="519" t="s">
        <v>2838</v>
      </c>
      <c r="E1806" s="520">
        <v>5914655</v>
      </c>
      <c r="F1806" s="522">
        <v>3.5599999999999998E-3</v>
      </c>
      <c r="G1806" s="521" t="s">
        <v>374</v>
      </c>
      <c r="H1806" s="524">
        <v>33.159999999999997</v>
      </c>
      <c r="I1806" s="524">
        <v>0.11799999999999999</v>
      </c>
      <c r="J1806"/>
    </row>
    <row r="1807" spans="1:10" s="358" customFormat="1" ht="25" x14ac:dyDescent="0.3">
      <c r="A1807" s="519" t="s">
        <v>2582</v>
      </c>
      <c r="B1807" s="520" t="s">
        <v>125</v>
      </c>
      <c r="C1807" s="519" t="s">
        <v>3151</v>
      </c>
      <c r="D1807" s="519" t="s">
        <v>2810</v>
      </c>
      <c r="E1807" s="520">
        <v>5914647</v>
      </c>
      <c r="F1807" s="522">
        <v>0.39674999999999999</v>
      </c>
      <c r="G1807" s="521" t="s">
        <v>374</v>
      </c>
      <c r="H1807" s="524">
        <v>1.78</v>
      </c>
      <c r="I1807" s="524">
        <v>0.70620000000000005</v>
      </c>
      <c r="J1807"/>
    </row>
    <row r="1808" spans="1:10" ht="14.25" customHeight="1" x14ac:dyDescent="0.3">
      <c r="A1808" s="902"/>
      <c r="B1808" s="902"/>
      <c r="C1808" s="902"/>
      <c r="D1808" s="902"/>
      <c r="E1808" s="902"/>
      <c r="F1808" s="902" t="s">
        <v>2585</v>
      </c>
      <c r="G1808" s="902"/>
      <c r="H1808" s="902"/>
      <c r="I1808" s="525">
        <v>0.82420000000000004</v>
      </c>
      <c r="J1808"/>
    </row>
    <row r="1809" spans="1:10" ht="14.25" customHeight="1" x14ac:dyDescent="0.3">
      <c r="A1809" s="516" t="s">
        <v>2586</v>
      </c>
      <c r="B1809" s="517" t="s">
        <v>16</v>
      </c>
      <c r="C1809" s="516" t="s">
        <v>2437</v>
      </c>
      <c r="D1809" s="516" t="s">
        <v>2587</v>
      </c>
      <c r="E1809" s="517" t="s">
        <v>2467</v>
      </c>
      <c r="F1809" s="517" t="s">
        <v>2576</v>
      </c>
      <c r="G1809" s="908" t="s">
        <v>2588</v>
      </c>
      <c r="H1809" s="903"/>
      <c r="I1809" s="517" t="s">
        <v>2470</v>
      </c>
      <c r="J1809"/>
    </row>
    <row r="1810" spans="1:10" x14ac:dyDescent="0.3">
      <c r="A1810" s="518"/>
      <c r="B1810" s="518"/>
      <c r="C1810" s="518"/>
      <c r="D1810" s="518"/>
      <c r="E1810" s="518"/>
      <c r="F1810" s="518"/>
      <c r="G1810" s="518" t="s">
        <v>2589</v>
      </c>
      <c r="H1810" s="518" t="s">
        <v>2590</v>
      </c>
      <c r="I1810" s="518"/>
      <c r="J1810"/>
    </row>
    <row r="1811" spans="1:10" ht="14.25" customHeight="1" x14ac:dyDescent="0.3">
      <c r="A1811" s="519" t="s">
        <v>2587</v>
      </c>
      <c r="B1811" s="520" t="s">
        <v>125</v>
      </c>
      <c r="C1811" s="519" t="s">
        <v>3158</v>
      </c>
      <c r="D1811" s="519" t="s">
        <v>3160</v>
      </c>
      <c r="E1811" s="522">
        <v>3.5599999999999998E-3</v>
      </c>
      <c r="F1811" s="521" t="s">
        <v>2592</v>
      </c>
      <c r="G1811" s="520" t="s">
        <v>4472</v>
      </c>
      <c r="H1811" s="520" t="s">
        <v>4473</v>
      </c>
      <c r="I1811" s="524">
        <v>0</v>
      </c>
      <c r="J1811"/>
    </row>
    <row r="1812" spans="1:10" ht="14.25" customHeight="1" x14ac:dyDescent="0.3">
      <c r="A1812" s="519" t="s">
        <v>2587</v>
      </c>
      <c r="B1812" s="520" t="s">
        <v>125</v>
      </c>
      <c r="C1812" s="519" t="s">
        <v>3151</v>
      </c>
      <c r="D1812" s="519" t="s">
        <v>3154</v>
      </c>
      <c r="E1812" s="522">
        <v>0.39674999999999999</v>
      </c>
      <c r="F1812" s="521" t="s">
        <v>2592</v>
      </c>
      <c r="G1812" s="520" t="s">
        <v>4468</v>
      </c>
      <c r="H1812" s="520" t="s">
        <v>4469</v>
      </c>
      <c r="I1812" s="524">
        <v>0</v>
      </c>
      <c r="J1812"/>
    </row>
    <row r="1813" spans="1:10" ht="15" customHeight="1" thickBot="1" x14ac:dyDescent="0.35">
      <c r="A1813" s="902"/>
      <c r="B1813" s="902"/>
      <c r="C1813" s="902"/>
      <c r="D1813" s="902"/>
      <c r="E1813" s="902"/>
      <c r="F1813" s="902" t="s">
        <v>2593</v>
      </c>
      <c r="G1813" s="902"/>
      <c r="H1813" s="902"/>
      <c r="I1813" s="525">
        <v>0</v>
      </c>
      <c r="J1813"/>
    </row>
    <row r="1814" spans="1:10" ht="14.5" thickTop="1" x14ac:dyDescent="0.3">
      <c r="A1814" s="647"/>
      <c r="B1814" s="647"/>
      <c r="C1814" s="647"/>
      <c r="D1814" s="647"/>
      <c r="E1814" s="647"/>
      <c r="F1814" s="647"/>
      <c r="G1814" s="647"/>
      <c r="H1814" s="647"/>
      <c r="I1814" s="647"/>
      <c r="J1814" s="647"/>
    </row>
    <row r="1815" spans="1:10" ht="15" customHeight="1" x14ac:dyDescent="0.3">
      <c r="A1815" s="516"/>
      <c r="B1815" s="517" t="s">
        <v>15</v>
      </c>
      <c r="C1815" s="516" t="s">
        <v>16</v>
      </c>
      <c r="D1815" s="516" t="s">
        <v>17</v>
      </c>
      <c r="E1815" s="904" t="s">
        <v>2431</v>
      </c>
      <c r="F1815" s="904"/>
      <c r="G1815" s="518" t="s">
        <v>18</v>
      </c>
      <c r="H1815" s="517" t="s">
        <v>19</v>
      </c>
      <c r="I1815" s="517" t="s">
        <v>20</v>
      </c>
      <c r="J1815" s="517" t="s">
        <v>23</v>
      </c>
    </row>
    <row r="1816" spans="1:10" s="358" customFormat="1" x14ac:dyDescent="0.3">
      <c r="A1816" s="642" t="s">
        <v>2432</v>
      </c>
      <c r="B1816" s="643" t="s">
        <v>1350</v>
      </c>
      <c r="C1816" s="642" t="s">
        <v>125</v>
      </c>
      <c r="D1816" s="642" t="s">
        <v>4516</v>
      </c>
      <c r="E1816" s="906" t="s">
        <v>2930</v>
      </c>
      <c r="F1816" s="906"/>
      <c r="G1816" s="644" t="s">
        <v>118</v>
      </c>
      <c r="H1816" s="645">
        <v>1</v>
      </c>
      <c r="I1816" s="646">
        <v>39.78</v>
      </c>
      <c r="J1816" s="646">
        <v>39.78</v>
      </c>
    </row>
    <row r="1817" spans="1:10" ht="14.25" customHeight="1" x14ac:dyDescent="0.3">
      <c r="A1817" s="902"/>
      <c r="B1817" s="902"/>
      <c r="C1817" s="902"/>
      <c r="D1817" s="902"/>
      <c r="E1817" s="902"/>
      <c r="F1817" s="902" t="s">
        <v>2476</v>
      </c>
      <c r="G1817" s="902"/>
      <c r="H1817" s="902"/>
      <c r="I1817" s="525">
        <v>0</v>
      </c>
      <c r="J1817"/>
    </row>
    <row r="1818" spans="1:10" s="358" customFormat="1" ht="15" customHeight="1" x14ac:dyDescent="0.3">
      <c r="A1818" s="902"/>
      <c r="B1818" s="902"/>
      <c r="C1818" s="902"/>
      <c r="D1818" s="902"/>
      <c r="E1818" s="902"/>
      <c r="F1818" s="902" t="s">
        <v>2477</v>
      </c>
      <c r="G1818" s="902"/>
      <c r="H1818" s="902"/>
      <c r="I1818" s="525">
        <v>0</v>
      </c>
      <c r="J1818"/>
    </row>
    <row r="1819" spans="1:10" ht="14.25" customHeight="1" x14ac:dyDescent="0.3">
      <c r="A1819" s="902"/>
      <c r="B1819" s="902"/>
      <c r="C1819" s="902"/>
      <c r="D1819" s="902"/>
      <c r="E1819" s="902"/>
      <c r="F1819" s="902" t="s">
        <v>2478</v>
      </c>
      <c r="G1819" s="902"/>
      <c r="H1819" s="902"/>
      <c r="I1819" s="525">
        <v>0</v>
      </c>
      <c r="J1819"/>
    </row>
    <row r="1820" spans="1:10" ht="14.25" customHeight="1" x14ac:dyDescent="0.3">
      <c r="A1820" s="902"/>
      <c r="B1820" s="902"/>
      <c r="C1820" s="902"/>
      <c r="D1820" s="902"/>
      <c r="E1820" s="902"/>
      <c r="F1820" s="902" t="s">
        <v>2479</v>
      </c>
      <c r="G1820" s="902"/>
      <c r="H1820" s="902"/>
      <c r="I1820" s="525">
        <v>0.58819999999999995</v>
      </c>
      <c r="J1820"/>
    </row>
    <row r="1821" spans="1:10" ht="14.25" customHeight="1" x14ac:dyDescent="0.3">
      <c r="A1821" s="902"/>
      <c r="B1821" s="902"/>
      <c r="C1821" s="902"/>
      <c r="D1821" s="902"/>
      <c r="E1821" s="902"/>
      <c r="F1821" s="902" t="s">
        <v>2480</v>
      </c>
      <c r="G1821" s="902"/>
      <c r="H1821" s="902"/>
      <c r="I1821" s="525">
        <v>0</v>
      </c>
      <c r="J1821"/>
    </row>
    <row r="1822" spans="1:10" ht="14.25" customHeight="1" x14ac:dyDescent="0.3">
      <c r="A1822" s="516" t="s">
        <v>2574</v>
      </c>
      <c r="B1822" s="517" t="s">
        <v>16</v>
      </c>
      <c r="C1822" s="516" t="s">
        <v>15</v>
      </c>
      <c r="D1822" s="516" t="s">
        <v>2575</v>
      </c>
      <c r="E1822" s="517" t="s">
        <v>2467</v>
      </c>
      <c r="F1822" s="517" t="s">
        <v>2576</v>
      </c>
      <c r="G1822" s="903" t="s">
        <v>2577</v>
      </c>
      <c r="H1822" s="903"/>
      <c r="I1822" s="517" t="s">
        <v>2470</v>
      </c>
      <c r="J1822"/>
    </row>
    <row r="1823" spans="1:10" ht="14.25" customHeight="1" x14ac:dyDescent="0.3">
      <c r="A1823" s="519" t="s">
        <v>2578</v>
      </c>
      <c r="B1823" s="520" t="s">
        <v>32</v>
      </c>
      <c r="C1823" s="519">
        <v>88316</v>
      </c>
      <c r="D1823" s="519" t="s">
        <v>2562</v>
      </c>
      <c r="E1823" s="522">
        <v>1.6999864</v>
      </c>
      <c r="F1823" s="521" t="s">
        <v>1901</v>
      </c>
      <c r="G1823" s="907">
        <v>23.4</v>
      </c>
      <c r="H1823" s="907"/>
      <c r="I1823" s="524">
        <v>39.779699999999998</v>
      </c>
      <c r="J1823"/>
    </row>
    <row r="1824" spans="1:10" ht="15" customHeight="1" thickBot="1" x14ac:dyDescent="0.35">
      <c r="A1824" s="902"/>
      <c r="B1824" s="902"/>
      <c r="C1824" s="902"/>
      <c r="D1824" s="902"/>
      <c r="E1824" s="902"/>
      <c r="F1824" s="902" t="s">
        <v>2579</v>
      </c>
      <c r="G1824" s="902"/>
      <c r="H1824" s="902"/>
      <c r="I1824" s="525">
        <v>39.779699999999998</v>
      </c>
      <c r="J1824"/>
    </row>
    <row r="1825" spans="1:10" ht="14.5" thickTop="1" x14ac:dyDescent="0.3">
      <c r="A1825" s="647"/>
      <c r="B1825" s="647"/>
      <c r="C1825" s="647"/>
      <c r="D1825" s="647"/>
      <c r="E1825" s="647"/>
      <c r="F1825" s="647"/>
      <c r="G1825" s="647"/>
      <c r="H1825" s="647"/>
      <c r="I1825" s="647"/>
      <c r="J1825" s="647"/>
    </row>
    <row r="1826" spans="1:10" ht="14.25" customHeight="1" x14ac:dyDescent="0.3">
      <c r="A1826" s="516"/>
      <c r="B1826" s="517" t="s">
        <v>15</v>
      </c>
      <c r="C1826" s="516" t="s">
        <v>16</v>
      </c>
      <c r="D1826" s="516" t="s">
        <v>17</v>
      </c>
      <c r="E1826" s="904" t="s">
        <v>2431</v>
      </c>
      <c r="F1826" s="904"/>
      <c r="G1826" s="518" t="s">
        <v>18</v>
      </c>
      <c r="H1826" s="517" t="s">
        <v>19</v>
      </c>
      <c r="I1826" s="517" t="s">
        <v>20</v>
      </c>
      <c r="J1826" s="517" t="s">
        <v>23</v>
      </c>
    </row>
    <row r="1827" spans="1:10" ht="15" customHeight="1" x14ac:dyDescent="0.3">
      <c r="A1827" s="642" t="s">
        <v>2432</v>
      </c>
      <c r="B1827" s="643" t="s">
        <v>1352</v>
      </c>
      <c r="C1827" s="642" t="s">
        <v>125</v>
      </c>
      <c r="D1827" s="642" t="s">
        <v>4300</v>
      </c>
      <c r="E1827" s="906" t="s">
        <v>1328</v>
      </c>
      <c r="F1827" s="906"/>
      <c r="G1827" s="644" t="s">
        <v>118</v>
      </c>
      <c r="H1827" s="645">
        <v>1</v>
      </c>
      <c r="I1827" s="646">
        <v>130.54</v>
      </c>
      <c r="J1827" s="646">
        <v>130.54</v>
      </c>
    </row>
    <row r="1828" spans="1:10" ht="14.25" customHeight="1" x14ac:dyDescent="0.3">
      <c r="A1828" s="902"/>
      <c r="B1828" s="902"/>
      <c r="C1828" s="902"/>
      <c r="D1828" s="902"/>
      <c r="E1828" s="902"/>
      <c r="F1828" s="902" t="s">
        <v>2476</v>
      </c>
      <c r="G1828" s="902"/>
      <c r="H1828" s="902"/>
      <c r="I1828" s="525">
        <v>0</v>
      </c>
      <c r="J1828"/>
    </row>
    <row r="1829" spans="1:10" ht="14.25" customHeight="1" x14ac:dyDescent="0.3">
      <c r="A1829" s="902"/>
      <c r="B1829" s="902"/>
      <c r="C1829" s="902"/>
      <c r="D1829" s="902"/>
      <c r="E1829" s="902"/>
      <c r="F1829" s="902" t="s">
        <v>2477</v>
      </c>
      <c r="G1829" s="902"/>
      <c r="H1829" s="902"/>
      <c r="I1829" s="525">
        <v>7.4999999999999997E-3</v>
      </c>
      <c r="J1829"/>
    </row>
    <row r="1830" spans="1:10" ht="15" customHeight="1" x14ac:dyDescent="0.3">
      <c r="A1830" s="902"/>
      <c r="B1830" s="902"/>
      <c r="C1830" s="902"/>
      <c r="D1830" s="902"/>
      <c r="E1830" s="902"/>
      <c r="F1830" s="902" t="s">
        <v>2478</v>
      </c>
      <c r="G1830" s="902"/>
      <c r="H1830" s="902"/>
      <c r="I1830" s="525">
        <v>0</v>
      </c>
      <c r="J1830"/>
    </row>
    <row r="1831" spans="1:10" ht="14.25" customHeight="1" x14ac:dyDescent="0.3">
      <c r="A1831" s="902"/>
      <c r="B1831" s="902"/>
      <c r="C1831" s="902"/>
      <c r="D1831" s="902"/>
      <c r="E1831" s="902"/>
      <c r="F1831" s="902" t="s">
        <v>2479</v>
      </c>
      <c r="G1831" s="902"/>
      <c r="H1831" s="902"/>
      <c r="I1831" s="525">
        <v>5</v>
      </c>
      <c r="J1831"/>
    </row>
    <row r="1832" spans="1:10" ht="14.25" customHeight="1" x14ac:dyDescent="0.3">
      <c r="A1832" s="902"/>
      <c r="B1832" s="902"/>
      <c r="C1832" s="902"/>
      <c r="D1832" s="902"/>
      <c r="E1832" s="902"/>
      <c r="F1832" s="902" t="s">
        <v>2480</v>
      </c>
      <c r="G1832" s="902"/>
      <c r="H1832" s="902"/>
      <c r="I1832" s="525">
        <v>0</v>
      </c>
      <c r="J1832"/>
    </row>
    <row r="1833" spans="1:10" ht="15" customHeight="1" x14ac:dyDescent="0.3">
      <c r="A1833" s="516" t="s">
        <v>2420</v>
      </c>
      <c r="B1833" s="517" t="s">
        <v>16</v>
      </c>
      <c r="C1833" s="516" t="s">
        <v>15</v>
      </c>
      <c r="D1833" s="516" t="s">
        <v>2442</v>
      </c>
      <c r="E1833" s="517" t="s">
        <v>2467</v>
      </c>
      <c r="F1833" s="517" t="s">
        <v>2576</v>
      </c>
      <c r="G1833" s="903" t="s">
        <v>2577</v>
      </c>
      <c r="H1833" s="903"/>
      <c r="I1833" s="517" t="s">
        <v>2470</v>
      </c>
      <c r="J1833"/>
    </row>
    <row r="1834" spans="1:10" x14ac:dyDescent="0.3">
      <c r="A1834" s="519" t="s">
        <v>2437</v>
      </c>
      <c r="B1834" s="520" t="s">
        <v>125</v>
      </c>
      <c r="C1834" s="519" t="s">
        <v>3151</v>
      </c>
      <c r="D1834" s="519" t="s">
        <v>3152</v>
      </c>
      <c r="E1834" s="522">
        <v>1</v>
      </c>
      <c r="F1834" s="521" t="s">
        <v>118</v>
      </c>
      <c r="G1834" s="907">
        <v>113.8331</v>
      </c>
      <c r="H1834" s="907"/>
      <c r="I1834" s="524">
        <v>113.8331</v>
      </c>
      <c r="J1834"/>
    </row>
    <row r="1835" spans="1:10" ht="14.25" customHeight="1" x14ac:dyDescent="0.3">
      <c r="A1835" s="902"/>
      <c r="B1835" s="902"/>
      <c r="C1835" s="902"/>
      <c r="D1835" s="902"/>
      <c r="E1835" s="902"/>
      <c r="F1835" s="902" t="s">
        <v>2809</v>
      </c>
      <c r="G1835" s="902"/>
      <c r="H1835" s="902"/>
      <c r="I1835" s="525">
        <v>113.8331</v>
      </c>
      <c r="J1835"/>
    </row>
    <row r="1836" spans="1:10" ht="15" customHeight="1" x14ac:dyDescent="0.3">
      <c r="A1836" s="516" t="s">
        <v>2574</v>
      </c>
      <c r="B1836" s="517" t="s">
        <v>16</v>
      </c>
      <c r="C1836" s="516" t="s">
        <v>15</v>
      </c>
      <c r="D1836" s="516" t="s">
        <v>2575</v>
      </c>
      <c r="E1836" s="517" t="s">
        <v>2467</v>
      </c>
      <c r="F1836" s="517" t="s">
        <v>2576</v>
      </c>
      <c r="G1836" s="903" t="s">
        <v>2577</v>
      </c>
      <c r="H1836" s="903"/>
      <c r="I1836" s="517" t="s">
        <v>2470</v>
      </c>
      <c r="J1836"/>
    </row>
    <row r="1837" spans="1:10" s="358" customFormat="1" ht="25" x14ac:dyDescent="0.3">
      <c r="A1837" s="519" t="s">
        <v>2578</v>
      </c>
      <c r="B1837" s="520" t="s">
        <v>32</v>
      </c>
      <c r="C1837" s="519">
        <v>88316</v>
      </c>
      <c r="D1837" s="519" t="s">
        <v>2562</v>
      </c>
      <c r="E1837" s="522">
        <v>0.6</v>
      </c>
      <c r="F1837" s="521" t="s">
        <v>1901</v>
      </c>
      <c r="G1837" s="907">
        <v>23.4</v>
      </c>
      <c r="H1837" s="907"/>
      <c r="I1837" s="524">
        <v>14.04</v>
      </c>
      <c r="J1837"/>
    </row>
    <row r="1838" spans="1:10" ht="14.25" customHeight="1" x14ac:dyDescent="0.3">
      <c r="A1838" s="902"/>
      <c r="B1838" s="902"/>
      <c r="C1838" s="902"/>
      <c r="D1838" s="902"/>
      <c r="E1838" s="902"/>
      <c r="F1838" s="902" t="s">
        <v>2579</v>
      </c>
      <c r="G1838" s="902"/>
      <c r="H1838" s="902"/>
      <c r="I1838" s="525">
        <v>14.04</v>
      </c>
      <c r="J1838"/>
    </row>
    <row r="1839" spans="1:10" s="358" customFormat="1" ht="15" customHeight="1" x14ac:dyDescent="0.3">
      <c r="A1839" s="516" t="s">
        <v>2580</v>
      </c>
      <c r="B1839" s="517" t="s">
        <v>16</v>
      </c>
      <c r="C1839" s="516" t="s">
        <v>2437</v>
      </c>
      <c r="D1839" s="516" t="s">
        <v>2581</v>
      </c>
      <c r="E1839" s="517" t="s">
        <v>15</v>
      </c>
      <c r="F1839" s="517" t="s">
        <v>2467</v>
      </c>
      <c r="G1839" s="518" t="s">
        <v>2576</v>
      </c>
      <c r="H1839" s="517" t="s">
        <v>2577</v>
      </c>
      <c r="I1839" s="517" t="s">
        <v>2470</v>
      </c>
      <c r="J1839"/>
    </row>
    <row r="1840" spans="1:10" ht="15" customHeight="1" x14ac:dyDescent="0.3">
      <c r="A1840" s="519" t="s">
        <v>2582</v>
      </c>
      <c r="B1840" s="520" t="s">
        <v>125</v>
      </c>
      <c r="C1840" s="519" t="s">
        <v>3151</v>
      </c>
      <c r="D1840" s="519" t="s">
        <v>2810</v>
      </c>
      <c r="E1840" s="520">
        <v>5914647</v>
      </c>
      <c r="F1840" s="522">
        <v>1.5</v>
      </c>
      <c r="G1840" s="521" t="s">
        <v>374</v>
      </c>
      <c r="H1840" s="524">
        <v>1.78</v>
      </c>
      <c r="I1840" s="524">
        <v>2.67</v>
      </c>
      <c r="J1840"/>
    </row>
    <row r="1841" spans="1:10" ht="14.25" customHeight="1" x14ac:dyDescent="0.3">
      <c r="A1841" s="902"/>
      <c r="B1841" s="902"/>
      <c r="C1841" s="902"/>
      <c r="D1841" s="902"/>
      <c r="E1841" s="902"/>
      <c r="F1841" s="902" t="s">
        <v>2585</v>
      </c>
      <c r="G1841" s="902"/>
      <c r="H1841" s="902"/>
      <c r="I1841" s="525">
        <v>2.67</v>
      </c>
      <c r="J1841"/>
    </row>
    <row r="1842" spans="1:10" ht="15" customHeight="1" x14ac:dyDescent="0.3">
      <c r="A1842" s="516" t="s">
        <v>2586</v>
      </c>
      <c r="B1842" s="517" t="s">
        <v>16</v>
      </c>
      <c r="C1842" s="516" t="s">
        <v>2437</v>
      </c>
      <c r="D1842" s="516" t="s">
        <v>2587</v>
      </c>
      <c r="E1842" s="517" t="s">
        <v>2467</v>
      </c>
      <c r="F1842" s="517" t="s">
        <v>2576</v>
      </c>
      <c r="G1842" s="908" t="s">
        <v>2588</v>
      </c>
      <c r="H1842" s="903"/>
      <c r="I1842" s="517" t="s">
        <v>2470</v>
      </c>
      <c r="J1842"/>
    </row>
    <row r="1843" spans="1:10" x14ac:dyDescent="0.3">
      <c r="A1843" s="518"/>
      <c r="B1843" s="518"/>
      <c r="C1843" s="518"/>
      <c r="D1843" s="518"/>
      <c r="E1843" s="518"/>
      <c r="F1843" s="518"/>
      <c r="G1843" s="518" t="s">
        <v>2589</v>
      </c>
      <c r="H1843" s="518" t="s">
        <v>2590</v>
      </c>
      <c r="I1843" s="518"/>
      <c r="J1843"/>
    </row>
    <row r="1844" spans="1:10" ht="37.5" x14ac:dyDescent="0.3">
      <c r="A1844" s="519" t="s">
        <v>2587</v>
      </c>
      <c r="B1844" s="520" t="s">
        <v>125</v>
      </c>
      <c r="C1844" s="519" t="s">
        <v>3151</v>
      </c>
      <c r="D1844" s="519" t="s">
        <v>3154</v>
      </c>
      <c r="E1844" s="522">
        <v>1.5</v>
      </c>
      <c r="F1844" s="521" t="s">
        <v>2592</v>
      </c>
      <c r="G1844" s="520" t="s">
        <v>4468</v>
      </c>
      <c r="H1844" s="520" t="s">
        <v>4469</v>
      </c>
      <c r="I1844" s="524">
        <v>0</v>
      </c>
      <c r="J1844"/>
    </row>
    <row r="1845" spans="1:10" ht="14.25" customHeight="1" thickBot="1" x14ac:dyDescent="0.35">
      <c r="A1845" s="902"/>
      <c r="B1845" s="902"/>
      <c r="C1845" s="902"/>
      <c r="D1845" s="902"/>
      <c r="E1845" s="902"/>
      <c r="F1845" s="902" t="s">
        <v>2593</v>
      </c>
      <c r="G1845" s="902"/>
      <c r="H1845" s="902"/>
      <c r="I1845" s="525">
        <v>0</v>
      </c>
      <c r="J1845"/>
    </row>
    <row r="1846" spans="1:10" ht="14.25" customHeight="1" thickTop="1" x14ac:dyDescent="0.3">
      <c r="A1846" s="647"/>
      <c r="B1846" s="647"/>
      <c r="C1846" s="647"/>
      <c r="D1846" s="647"/>
      <c r="E1846" s="647"/>
      <c r="F1846" s="647"/>
      <c r="G1846" s="647"/>
      <c r="H1846" s="647"/>
      <c r="I1846" s="647"/>
      <c r="J1846" s="647"/>
    </row>
    <row r="1847" spans="1:10" ht="14.25" customHeight="1" x14ac:dyDescent="0.3">
      <c r="A1847" s="516"/>
      <c r="B1847" s="517" t="s">
        <v>15</v>
      </c>
      <c r="C1847" s="516" t="s">
        <v>16</v>
      </c>
      <c r="D1847" s="516" t="s">
        <v>17</v>
      </c>
      <c r="E1847" s="904" t="s">
        <v>2431</v>
      </c>
      <c r="F1847" s="904"/>
      <c r="G1847" s="518" t="s">
        <v>18</v>
      </c>
      <c r="H1847" s="517" t="s">
        <v>19</v>
      </c>
      <c r="I1847" s="517" t="s">
        <v>20</v>
      </c>
      <c r="J1847" s="517" t="s">
        <v>23</v>
      </c>
    </row>
    <row r="1848" spans="1:10" ht="25" x14ac:dyDescent="0.3">
      <c r="A1848" s="642" t="s">
        <v>2432</v>
      </c>
      <c r="B1848" s="643" t="s">
        <v>1354</v>
      </c>
      <c r="C1848" s="642" t="s">
        <v>125</v>
      </c>
      <c r="D1848" s="642" t="s">
        <v>3161</v>
      </c>
      <c r="E1848" s="906" t="s">
        <v>1328</v>
      </c>
      <c r="F1848" s="906"/>
      <c r="G1848" s="644" t="s">
        <v>118</v>
      </c>
      <c r="H1848" s="645">
        <v>1</v>
      </c>
      <c r="I1848" s="646">
        <v>436.27</v>
      </c>
      <c r="J1848" s="646">
        <v>436.27</v>
      </c>
    </row>
    <row r="1849" spans="1:10" ht="14.25" customHeight="1" x14ac:dyDescent="0.3">
      <c r="A1849" s="904" t="s">
        <v>2418</v>
      </c>
      <c r="B1849" s="903" t="s">
        <v>15</v>
      </c>
      <c r="C1849" s="904" t="s">
        <v>16</v>
      </c>
      <c r="D1849" s="904" t="s">
        <v>2466</v>
      </c>
      <c r="E1849" s="903" t="s">
        <v>2467</v>
      </c>
      <c r="F1849" s="908" t="s">
        <v>2468</v>
      </c>
      <c r="G1849" s="903"/>
      <c r="H1849" s="518" t="s">
        <v>2469</v>
      </c>
      <c r="I1849" s="903" t="s">
        <v>2470</v>
      </c>
      <c r="J1849"/>
    </row>
    <row r="1850" spans="1:10" ht="14.25" customHeight="1" x14ac:dyDescent="0.3">
      <c r="A1850" s="903"/>
      <c r="B1850" s="903"/>
      <c r="C1850" s="903"/>
      <c r="D1850" s="903"/>
      <c r="E1850" s="903"/>
      <c r="F1850" s="517" t="s">
        <v>2471</v>
      </c>
      <c r="G1850" s="517" t="s">
        <v>2472</v>
      </c>
      <c r="H1850" s="517" t="s">
        <v>2471</v>
      </c>
      <c r="I1850" s="903"/>
      <c r="J1850"/>
    </row>
    <row r="1851" spans="1:10" ht="15" customHeight="1" x14ac:dyDescent="0.3">
      <c r="A1851" s="519" t="s">
        <v>2437</v>
      </c>
      <c r="B1851" s="520" t="s">
        <v>3162</v>
      </c>
      <c r="C1851" s="519" t="s">
        <v>125</v>
      </c>
      <c r="D1851" s="519" t="s">
        <v>3163</v>
      </c>
      <c r="E1851" s="522">
        <v>1</v>
      </c>
      <c r="F1851" s="523">
        <v>1</v>
      </c>
      <c r="G1851" s="523">
        <v>0</v>
      </c>
      <c r="H1851" s="524">
        <v>49.805100000000003</v>
      </c>
      <c r="I1851" s="524">
        <v>49.805100000000003</v>
      </c>
      <c r="J1851"/>
    </row>
    <row r="1852" spans="1:10" x14ac:dyDescent="0.3">
      <c r="A1852" s="519" t="s">
        <v>2437</v>
      </c>
      <c r="B1852" s="520" t="s">
        <v>2887</v>
      </c>
      <c r="C1852" s="519" t="s">
        <v>125</v>
      </c>
      <c r="D1852" s="519" t="s">
        <v>2888</v>
      </c>
      <c r="E1852" s="522">
        <v>4</v>
      </c>
      <c r="F1852" s="523">
        <v>0.88</v>
      </c>
      <c r="G1852" s="523">
        <v>0.12</v>
      </c>
      <c r="H1852" s="524">
        <v>0.68179999999999996</v>
      </c>
      <c r="I1852" s="524">
        <v>2.6223999999999998</v>
      </c>
      <c r="J1852"/>
    </row>
    <row r="1853" spans="1:10" x14ac:dyDescent="0.3">
      <c r="A1853" s="519" t="s">
        <v>2437</v>
      </c>
      <c r="B1853" s="520" t="s">
        <v>3164</v>
      </c>
      <c r="C1853" s="519" t="s">
        <v>125</v>
      </c>
      <c r="D1853" s="519" t="s">
        <v>3165</v>
      </c>
      <c r="E1853" s="522">
        <v>3</v>
      </c>
      <c r="F1853" s="523">
        <v>0.41</v>
      </c>
      <c r="G1853" s="523">
        <v>0.59</v>
      </c>
      <c r="H1853" s="524">
        <v>1.5432999999999999</v>
      </c>
      <c r="I1853" s="524">
        <v>3.7553000000000001</v>
      </c>
      <c r="J1853"/>
    </row>
    <row r="1854" spans="1:10" ht="14.25" customHeight="1" x14ac:dyDescent="0.3">
      <c r="A1854" s="902"/>
      <c r="B1854" s="902"/>
      <c r="C1854" s="902"/>
      <c r="D1854" s="902"/>
      <c r="E1854" s="902"/>
      <c r="F1854" s="902" t="s">
        <v>2475</v>
      </c>
      <c r="G1854" s="902"/>
      <c r="H1854" s="902"/>
      <c r="I1854" s="525">
        <v>56.1828</v>
      </c>
      <c r="J1854"/>
    </row>
    <row r="1855" spans="1:10" ht="14.25" customHeight="1" x14ac:dyDescent="0.3">
      <c r="A1855" s="902"/>
      <c r="B1855" s="902"/>
      <c r="C1855" s="902"/>
      <c r="D1855" s="902"/>
      <c r="E1855" s="902"/>
      <c r="F1855" s="902" t="s">
        <v>2476</v>
      </c>
      <c r="G1855" s="902"/>
      <c r="H1855" s="902"/>
      <c r="I1855" s="525">
        <v>56.1828</v>
      </c>
      <c r="J1855"/>
    </row>
    <row r="1856" spans="1:10" ht="15" customHeight="1" x14ac:dyDescent="0.3">
      <c r="A1856" s="902"/>
      <c r="B1856" s="902"/>
      <c r="C1856" s="902"/>
      <c r="D1856" s="902"/>
      <c r="E1856" s="902"/>
      <c r="F1856" s="902" t="s">
        <v>2477</v>
      </c>
      <c r="G1856" s="902"/>
      <c r="H1856" s="902"/>
      <c r="I1856" s="525">
        <v>0</v>
      </c>
      <c r="J1856"/>
    </row>
    <row r="1857" spans="1:10" x14ac:dyDescent="0.3">
      <c r="A1857" s="902"/>
      <c r="B1857" s="902"/>
      <c r="C1857" s="902"/>
      <c r="D1857" s="902"/>
      <c r="E1857" s="902"/>
      <c r="F1857" s="902" t="s">
        <v>2478</v>
      </c>
      <c r="G1857" s="902"/>
      <c r="H1857" s="902"/>
      <c r="I1857" s="525">
        <v>0</v>
      </c>
      <c r="J1857"/>
    </row>
    <row r="1858" spans="1:10" ht="14.25" customHeight="1" x14ac:dyDescent="0.3">
      <c r="A1858" s="902"/>
      <c r="B1858" s="902"/>
      <c r="C1858" s="902"/>
      <c r="D1858" s="902"/>
      <c r="E1858" s="902"/>
      <c r="F1858" s="902" t="s">
        <v>2479</v>
      </c>
      <c r="G1858" s="902"/>
      <c r="H1858" s="902"/>
      <c r="I1858" s="525">
        <v>3.9289999999999998</v>
      </c>
      <c r="J1858"/>
    </row>
    <row r="1859" spans="1:10" ht="14.25" customHeight="1" x14ac:dyDescent="0.3">
      <c r="A1859" s="902"/>
      <c r="B1859" s="902"/>
      <c r="C1859" s="902"/>
      <c r="D1859" s="902"/>
      <c r="E1859" s="902"/>
      <c r="F1859" s="902" t="s">
        <v>2480</v>
      </c>
      <c r="G1859" s="902"/>
      <c r="H1859" s="902"/>
      <c r="I1859" s="525">
        <v>14.2996</v>
      </c>
      <c r="J1859"/>
    </row>
    <row r="1860" spans="1:10" ht="15" customHeight="1" x14ac:dyDescent="0.3">
      <c r="A1860" s="516" t="s">
        <v>2420</v>
      </c>
      <c r="B1860" s="517" t="s">
        <v>16</v>
      </c>
      <c r="C1860" s="516" t="s">
        <v>15</v>
      </c>
      <c r="D1860" s="516" t="s">
        <v>2442</v>
      </c>
      <c r="E1860" s="517" t="s">
        <v>2467</v>
      </c>
      <c r="F1860" s="517" t="s">
        <v>2576</v>
      </c>
      <c r="G1860" s="903" t="s">
        <v>2577</v>
      </c>
      <c r="H1860" s="903"/>
      <c r="I1860" s="517" t="s">
        <v>2470</v>
      </c>
      <c r="J1860"/>
    </row>
    <row r="1861" spans="1:10" x14ac:dyDescent="0.3">
      <c r="A1861" s="519" t="s">
        <v>2437</v>
      </c>
      <c r="B1861" s="520" t="s">
        <v>125</v>
      </c>
      <c r="C1861" s="519" t="s">
        <v>3166</v>
      </c>
      <c r="D1861" s="519" t="s">
        <v>3167</v>
      </c>
      <c r="E1861" s="522">
        <v>0.59948000000000001</v>
      </c>
      <c r="F1861" s="521" t="s">
        <v>118</v>
      </c>
      <c r="G1861" s="907">
        <v>165.1438</v>
      </c>
      <c r="H1861" s="907"/>
      <c r="I1861" s="524">
        <v>99.000399999999999</v>
      </c>
      <c r="J1861"/>
    </row>
    <row r="1862" spans="1:10" x14ac:dyDescent="0.3">
      <c r="A1862" s="519" t="s">
        <v>2437</v>
      </c>
      <c r="B1862" s="520" t="s">
        <v>125</v>
      </c>
      <c r="C1862" s="519" t="s">
        <v>2807</v>
      </c>
      <c r="D1862" s="519" t="s">
        <v>2808</v>
      </c>
      <c r="E1862" s="522">
        <v>0.73507999999999996</v>
      </c>
      <c r="F1862" s="521" t="s">
        <v>118</v>
      </c>
      <c r="G1862" s="907">
        <v>120.2563</v>
      </c>
      <c r="H1862" s="907"/>
      <c r="I1862" s="524">
        <v>88.397999999999996</v>
      </c>
      <c r="J1862"/>
    </row>
    <row r="1863" spans="1:10" x14ac:dyDescent="0.3">
      <c r="A1863" s="519" t="s">
        <v>2437</v>
      </c>
      <c r="B1863" s="520" t="s">
        <v>125</v>
      </c>
      <c r="C1863" s="519" t="s">
        <v>3168</v>
      </c>
      <c r="D1863" s="519" t="s">
        <v>3169</v>
      </c>
      <c r="E1863" s="522">
        <v>280.53417999999999</v>
      </c>
      <c r="F1863" s="521" t="s">
        <v>384</v>
      </c>
      <c r="G1863" s="907">
        <v>0.57099999999999995</v>
      </c>
      <c r="H1863" s="907"/>
      <c r="I1863" s="524">
        <v>160.185</v>
      </c>
      <c r="J1863"/>
    </row>
    <row r="1864" spans="1:10" ht="14.25" customHeight="1" x14ac:dyDescent="0.3">
      <c r="A1864" s="902"/>
      <c r="B1864" s="902"/>
      <c r="C1864" s="902"/>
      <c r="D1864" s="902"/>
      <c r="E1864" s="902"/>
      <c r="F1864" s="902" t="s">
        <v>2809</v>
      </c>
      <c r="G1864" s="902"/>
      <c r="H1864" s="902"/>
      <c r="I1864" s="525">
        <v>347.58339999999998</v>
      </c>
      <c r="J1864"/>
    </row>
    <row r="1865" spans="1:10" ht="15" customHeight="1" x14ac:dyDescent="0.3">
      <c r="A1865" s="516" t="s">
        <v>2574</v>
      </c>
      <c r="B1865" s="517" t="s">
        <v>16</v>
      </c>
      <c r="C1865" s="516" t="s">
        <v>15</v>
      </c>
      <c r="D1865" s="516" t="s">
        <v>2575</v>
      </c>
      <c r="E1865" s="517" t="s">
        <v>2467</v>
      </c>
      <c r="F1865" s="517" t="s">
        <v>2576</v>
      </c>
      <c r="G1865" s="903" t="s">
        <v>2577</v>
      </c>
      <c r="H1865" s="903"/>
      <c r="I1865" s="517" t="s">
        <v>2470</v>
      </c>
      <c r="J1865"/>
    </row>
    <row r="1866" spans="1:10" ht="25" x14ac:dyDescent="0.3">
      <c r="A1866" s="519" t="s">
        <v>2578</v>
      </c>
      <c r="B1866" s="520" t="s">
        <v>32</v>
      </c>
      <c r="C1866" s="519">
        <v>88309</v>
      </c>
      <c r="D1866" s="519" t="s">
        <v>2758</v>
      </c>
      <c r="E1866" s="522">
        <v>0.25451829999999998</v>
      </c>
      <c r="F1866" s="521" t="s">
        <v>1901</v>
      </c>
      <c r="G1866" s="907">
        <v>31.1</v>
      </c>
      <c r="H1866" s="907"/>
      <c r="I1866" s="524">
        <v>7.9154999999999998</v>
      </c>
      <c r="J1866"/>
    </row>
    <row r="1867" spans="1:10" ht="25" x14ac:dyDescent="0.3">
      <c r="A1867" s="519" t="s">
        <v>2578</v>
      </c>
      <c r="B1867" s="520" t="s">
        <v>32</v>
      </c>
      <c r="C1867" s="519">
        <v>88316</v>
      </c>
      <c r="D1867" s="519" t="s">
        <v>2562</v>
      </c>
      <c r="E1867" s="522">
        <v>2.2906650000000002</v>
      </c>
      <c r="F1867" s="521" t="s">
        <v>1901</v>
      </c>
      <c r="G1867" s="907">
        <v>23.4</v>
      </c>
      <c r="H1867" s="907"/>
      <c r="I1867" s="524">
        <v>53.601599999999998</v>
      </c>
      <c r="J1867"/>
    </row>
    <row r="1868" spans="1:10" ht="14.25" customHeight="1" x14ac:dyDescent="0.3">
      <c r="A1868" s="902"/>
      <c r="B1868" s="902"/>
      <c r="C1868" s="902"/>
      <c r="D1868" s="902"/>
      <c r="E1868" s="902"/>
      <c r="F1868" s="902" t="s">
        <v>2579</v>
      </c>
      <c r="G1868" s="902"/>
      <c r="H1868" s="902"/>
      <c r="I1868" s="525">
        <v>61.517099999999999</v>
      </c>
      <c r="J1868"/>
    </row>
    <row r="1869" spans="1:10" ht="15" customHeight="1" x14ac:dyDescent="0.3">
      <c r="A1869" s="516" t="s">
        <v>2580</v>
      </c>
      <c r="B1869" s="517" t="s">
        <v>16</v>
      </c>
      <c r="C1869" s="516" t="s">
        <v>2437</v>
      </c>
      <c r="D1869" s="516" t="s">
        <v>2581</v>
      </c>
      <c r="E1869" s="517" t="s">
        <v>15</v>
      </c>
      <c r="F1869" s="517" t="s">
        <v>2467</v>
      </c>
      <c r="G1869" s="518" t="s">
        <v>2576</v>
      </c>
      <c r="H1869" s="517" t="s">
        <v>2577</v>
      </c>
      <c r="I1869" s="517" t="s">
        <v>2470</v>
      </c>
      <c r="J1869"/>
    </row>
    <row r="1870" spans="1:10" ht="15" customHeight="1" x14ac:dyDescent="0.3">
      <c r="A1870" s="519" t="s">
        <v>2582</v>
      </c>
      <c r="B1870" s="520" t="s">
        <v>125</v>
      </c>
      <c r="C1870" s="519" t="s">
        <v>3166</v>
      </c>
      <c r="D1870" s="519" t="s">
        <v>2810</v>
      </c>
      <c r="E1870" s="520">
        <v>5914647</v>
      </c>
      <c r="F1870" s="522">
        <v>0.89922000000000002</v>
      </c>
      <c r="G1870" s="521" t="s">
        <v>374</v>
      </c>
      <c r="H1870" s="524">
        <v>1.78</v>
      </c>
      <c r="I1870" s="524">
        <v>1.6006</v>
      </c>
      <c r="J1870"/>
    </row>
    <row r="1871" spans="1:10" s="358" customFormat="1" ht="25" x14ac:dyDescent="0.3">
      <c r="A1871" s="519" t="s">
        <v>2582</v>
      </c>
      <c r="B1871" s="520" t="s">
        <v>125</v>
      </c>
      <c r="C1871" s="519" t="s">
        <v>2807</v>
      </c>
      <c r="D1871" s="519" t="s">
        <v>2810</v>
      </c>
      <c r="E1871" s="520">
        <v>5914647</v>
      </c>
      <c r="F1871" s="522">
        <v>1.1026199999999999</v>
      </c>
      <c r="G1871" s="521" t="s">
        <v>374</v>
      </c>
      <c r="H1871" s="524">
        <v>1.78</v>
      </c>
      <c r="I1871" s="524">
        <v>1.9626999999999999</v>
      </c>
      <c r="J1871"/>
    </row>
    <row r="1872" spans="1:10" ht="25" x14ac:dyDescent="0.3">
      <c r="A1872" s="519" t="s">
        <v>2582</v>
      </c>
      <c r="B1872" s="520" t="s">
        <v>125</v>
      </c>
      <c r="C1872" s="519" t="s">
        <v>3168</v>
      </c>
      <c r="D1872" s="519" t="s">
        <v>2838</v>
      </c>
      <c r="E1872" s="520">
        <v>5914655</v>
      </c>
      <c r="F1872" s="522">
        <v>0.28053</v>
      </c>
      <c r="G1872" s="521" t="s">
        <v>374</v>
      </c>
      <c r="H1872" s="524">
        <v>33.159999999999997</v>
      </c>
      <c r="I1872" s="524">
        <v>9.3024000000000004</v>
      </c>
      <c r="J1872"/>
    </row>
    <row r="1873" spans="1:10" s="358" customFormat="1" ht="15" customHeight="1" x14ac:dyDescent="0.3">
      <c r="A1873" s="902"/>
      <c r="B1873" s="902"/>
      <c r="C1873" s="902"/>
      <c r="D1873" s="902"/>
      <c r="E1873" s="902"/>
      <c r="F1873" s="902" t="s">
        <v>2585</v>
      </c>
      <c r="G1873" s="902"/>
      <c r="H1873" s="902"/>
      <c r="I1873" s="525">
        <v>12.8657</v>
      </c>
      <c r="J1873"/>
    </row>
    <row r="1874" spans="1:10" ht="15" customHeight="1" x14ac:dyDescent="0.3">
      <c r="A1874" s="516" t="s">
        <v>2586</v>
      </c>
      <c r="B1874" s="517" t="s">
        <v>16</v>
      </c>
      <c r="C1874" s="516" t="s">
        <v>2437</v>
      </c>
      <c r="D1874" s="516" t="s">
        <v>2587</v>
      </c>
      <c r="E1874" s="517" t="s">
        <v>2467</v>
      </c>
      <c r="F1874" s="517" t="s">
        <v>2576</v>
      </c>
      <c r="G1874" s="908" t="s">
        <v>2588</v>
      </c>
      <c r="H1874" s="903"/>
      <c r="I1874" s="517" t="s">
        <v>2470</v>
      </c>
      <c r="J1874"/>
    </row>
    <row r="1875" spans="1:10" x14ac:dyDescent="0.3">
      <c r="A1875" s="518"/>
      <c r="B1875" s="518"/>
      <c r="C1875" s="518"/>
      <c r="D1875" s="518"/>
      <c r="E1875" s="518"/>
      <c r="F1875" s="518"/>
      <c r="G1875" s="518" t="s">
        <v>2589</v>
      </c>
      <c r="H1875" s="518" t="s">
        <v>2590</v>
      </c>
      <c r="I1875" s="518"/>
      <c r="J1875"/>
    </row>
    <row r="1876" spans="1:10" s="358" customFormat="1" ht="37.5" x14ac:dyDescent="0.3">
      <c r="A1876" s="519" t="s">
        <v>2587</v>
      </c>
      <c r="B1876" s="520" t="s">
        <v>125</v>
      </c>
      <c r="C1876" s="519" t="s">
        <v>3166</v>
      </c>
      <c r="D1876" s="519" t="s">
        <v>3170</v>
      </c>
      <c r="E1876" s="522">
        <v>0.89922000000000002</v>
      </c>
      <c r="F1876" s="521" t="s">
        <v>2592</v>
      </c>
      <c r="G1876" s="520" t="s">
        <v>4468</v>
      </c>
      <c r="H1876" s="520" t="s">
        <v>4469</v>
      </c>
      <c r="I1876" s="524">
        <v>0</v>
      </c>
      <c r="J1876"/>
    </row>
    <row r="1877" spans="1:10" ht="37.5" x14ac:dyDescent="0.3">
      <c r="A1877" s="519" t="s">
        <v>2587</v>
      </c>
      <c r="B1877" s="520" t="s">
        <v>125</v>
      </c>
      <c r="C1877" s="519" t="s">
        <v>2807</v>
      </c>
      <c r="D1877" s="519" t="s">
        <v>2811</v>
      </c>
      <c r="E1877" s="522">
        <v>1.1026199999999999</v>
      </c>
      <c r="F1877" s="521" t="s">
        <v>2592</v>
      </c>
      <c r="G1877" s="520" t="s">
        <v>4468</v>
      </c>
      <c r="H1877" s="520" t="s">
        <v>4469</v>
      </c>
      <c r="I1877" s="524">
        <v>0</v>
      </c>
      <c r="J1877"/>
    </row>
    <row r="1878" spans="1:10" s="358" customFormat="1" ht="37.5" x14ac:dyDescent="0.3">
      <c r="A1878" s="519" t="s">
        <v>2587</v>
      </c>
      <c r="B1878" s="520" t="s">
        <v>125</v>
      </c>
      <c r="C1878" s="519" t="s">
        <v>3168</v>
      </c>
      <c r="D1878" s="519" t="s">
        <v>3171</v>
      </c>
      <c r="E1878" s="522">
        <v>0.28053</v>
      </c>
      <c r="F1878" s="521" t="s">
        <v>2592</v>
      </c>
      <c r="G1878" s="520" t="s">
        <v>4472</v>
      </c>
      <c r="H1878" s="520" t="s">
        <v>4473</v>
      </c>
      <c r="I1878" s="524">
        <v>0</v>
      </c>
      <c r="J1878"/>
    </row>
    <row r="1879" spans="1:10" ht="15" customHeight="1" thickBot="1" x14ac:dyDescent="0.35">
      <c r="A1879" s="902"/>
      <c r="B1879" s="902"/>
      <c r="C1879" s="902"/>
      <c r="D1879" s="902"/>
      <c r="E1879" s="902"/>
      <c r="F1879" s="902" t="s">
        <v>2593</v>
      </c>
      <c r="G1879" s="902"/>
      <c r="H1879" s="902"/>
      <c r="I1879" s="525">
        <v>0</v>
      </c>
      <c r="J1879"/>
    </row>
    <row r="1880" spans="1:10" ht="14.5" thickTop="1" x14ac:dyDescent="0.3">
      <c r="A1880" s="647"/>
      <c r="B1880" s="647"/>
      <c r="C1880" s="647"/>
      <c r="D1880" s="647"/>
      <c r="E1880" s="647"/>
      <c r="F1880" s="647"/>
      <c r="G1880" s="647"/>
      <c r="H1880" s="647"/>
      <c r="I1880" s="647"/>
      <c r="J1880" s="647"/>
    </row>
    <row r="1881" spans="1:10" s="358" customFormat="1" x14ac:dyDescent="0.3">
      <c r="A1881" s="516"/>
      <c r="B1881" s="517" t="s">
        <v>15</v>
      </c>
      <c r="C1881" s="516" t="s">
        <v>16</v>
      </c>
      <c r="D1881" s="516" t="s">
        <v>17</v>
      </c>
      <c r="E1881" s="904" t="s">
        <v>2431</v>
      </c>
      <c r="F1881" s="904"/>
      <c r="G1881" s="518" t="s">
        <v>18</v>
      </c>
      <c r="H1881" s="517" t="s">
        <v>19</v>
      </c>
      <c r="I1881" s="517" t="s">
        <v>20</v>
      </c>
      <c r="J1881" s="517" t="s">
        <v>23</v>
      </c>
    </row>
    <row r="1882" spans="1:10" ht="37.5" x14ac:dyDescent="0.3">
      <c r="A1882" s="642" t="s">
        <v>2432</v>
      </c>
      <c r="B1882" s="643" t="s">
        <v>1356</v>
      </c>
      <c r="C1882" s="642" t="s">
        <v>221</v>
      </c>
      <c r="D1882" s="642" t="s">
        <v>4517</v>
      </c>
      <c r="E1882" s="906" t="s">
        <v>3172</v>
      </c>
      <c r="F1882" s="906"/>
      <c r="G1882" s="644" t="s">
        <v>115</v>
      </c>
      <c r="H1882" s="645">
        <v>1</v>
      </c>
      <c r="I1882" s="646">
        <v>16.190000000000001</v>
      </c>
      <c r="J1882" s="646">
        <v>16.190000000000001</v>
      </c>
    </row>
    <row r="1883" spans="1:10" s="358" customFormat="1" ht="25" x14ac:dyDescent="0.3">
      <c r="A1883" s="519" t="s">
        <v>2434</v>
      </c>
      <c r="B1883" s="520" t="s">
        <v>2561</v>
      </c>
      <c r="C1883" s="519" t="s">
        <v>32</v>
      </c>
      <c r="D1883" s="519" t="s">
        <v>2562</v>
      </c>
      <c r="E1883" s="905" t="s">
        <v>2433</v>
      </c>
      <c r="F1883" s="905"/>
      <c r="G1883" s="521" t="s">
        <v>1901</v>
      </c>
      <c r="H1883" s="522">
        <v>0.35</v>
      </c>
      <c r="I1883" s="523">
        <v>23.4</v>
      </c>
      <c r="J1883" s="523">
        <v>8.19</v>
      </c>
    </row>
    <row r="1884" spans="1:10" ht="14.25" customHeight="1" thickBot="1" x14ac:dyDescent="0.35">
      <c r="A1884" s="519" t="s">
        <v>2437</v>
      </c>
      <c r="B1884" s="520" t="s">
        <v>3173</v>
      </c>
      <c r="C1884" s="519" t="s">
        <v>32</v>
      </c>
      <c r="D1884" s="519" t="s">
        <v>3174</v>
      </c>
      <c r="E1884" s="905" t="s">
        <v>2442</v>
      </c>
      <c r="F1884" s="905"/>
      <c r="G1884" s="521" t="s">
        <v>115</v>
      </c>
      <c r="H1884" s="522">
        <v>1.1000000000000001</v>
      </c>
      <c r="I1884" s="523">
        <v>7.28</v>
      </c>
      <c r="J1884" s="523">
        <v>8</v>
      </c>
    </row>
    <row r="1885" spans="1:10" ht="14.25" customHeight="1" thickTop="1" x14ac:dyDescent="0.3">
      <c r="A1885" s="647"/>
      <c r="B1885" s="647"/>
      <c r="C1885" s="647"/>
      <c r="D1885" s="647"/>
      <c r="E1885" s="647"/>
      <c r="F1885" s="647"/>
      <c r="G1885" s="647"/>
      <c r="H1885" s="647"/>
      <c r="I1885" s="647"/>
      <c r="J1885" s="647"/>
    </row>
    <row r="1886" spans="1:10" x14ac:dyDescent="0.3">
      <c r="A1886" s="516"/>
      <c r="B1886" s="517" t="s">
        <v>15</v>
      </c>
      <c r="C1886" s="516" t="s">
        <v>16</v>
      </c>
      <c r="D1886" s="516" t="s">
        <v>17</v>
      </c>
      <c r="E1886" s="904" t="s">
        <v>2431</v>
      </c>
      <c r="F1886" s="904"/>
      <c r="G1886" s="518" t="s">
        <v>18</v>
      </c>
      <c r="H1886" s="517" t="s">
        <v>19</v>
      </c>
      <c r="I1886" s="517" t="s">
        <v>20</v>
      </c>
      <c r="J1886" s="517" t="s">
        <v>23</v>
      </c>
    </row>
    <row r="1887" spans="1:10" ht="14.25" customHeight="1" x14ac:dyDescent="0.3">
      <c r="A1887" s="642" t="s">
        <v>2432</v>
      </c>
      <c r="B1887" s="643" t="s">
        <v>1358</v>
      </c>
      <c r="C1887" s="642" t="s">
        <v>221</v>
      </c>
      <c r="D1887" s="642" t="s">
        <v>4518</v>
      </c>
      <c r="E1887" s="906" t="s">
        <v>3172</v>
      </c>
      <c r="F1887" s="906"/>
      <c r="G1887" s="644" t="s">
        <v>115</v>
      </c>
      <c r="H1887" s="645">
        <v>1</v>
      </c>
      <c r="I1887" s="646">
        <v>24.25</v>
      </c>
      <c r="J1887" s="646">
        <v>24.25</v>
      </c>
    </row>
    <row r="1888" spans="1:10" ht="14.25" customHeight="1" x14ac:dyDescent="0.3">
      <c r="A1888" s="519" t="s">
        <v>2434</v>
      </c>
      <c r="B1888" s="520" t="s">
        <v>2561</v>
      </c>
      <c r="C1888" s="519" t="s">
        <v>32</v>
      </c>
      <c r="D1888" s="519" t="s">
        <v>2562</v>
      </c>
      <c r="E1888" s="905" t="s">
        <v>2433</v>
      </c>
      <c r="F1888" s="905"/>
      <c r="G1888" s="521" t="s">
        <v>1901</v>
      </c>
      <c r="H1888" s="522">
        <v>0.35</v>
      </c>
      <c r="I1888" s="523">
        <v>23.4</v>
      </c>
      <c r="J1888" s="523">
        <v>8.19</v>
      </c>
    </row>
    <row r="1889" spans="1:10" ht="15" customHeight="1" thickBot="1" x14ac:dyDescent="0.35">
      <c r="A1889" s="519" t="s">
        <v>2437</v>
      </c>
      <c r="B1889" s="520" t="s">
        <v>3175</v>
      </c>
      <c r="C1889" s="519" t="s">
        <v>32</v>
      </c>
      <c r="D1889" s="519" t="s">
        <v>3176</v>
      </c>
      <c r="E1889" s="905" t="s">
        <v>2442</v>
      </c>
      <c r="F1889" s="905"/>
      <c r="G1889" s="521" t="s">
        <v>115</v>
      </c>
      <c r="H1889" s="522">
        <v>1.1000000000000001</v>
      </c>
      <c r="I1889" s="523">
        <v>14.6</v>
      </c>
      <c r="J1889" s="523">
        <v>16.059999999999999</v>
      </c>
    </row>
    <row r="1890" spans="1:10" ht="14.5" thickTop="1" x14ac:dyDescent="0.3">
      <c r="A1890" s="647"/>
      <c r="B1890" s="647"/>
      <c r="C1890" s="647"/>
      <c r="D1890" s="647"/>
      <c r="E1890" s="647"/>
      <c r="F1890" s="647"/>
      <c r="G1890" s="647"/>
      <c r="H1890" s="647"/>
      <c r="I1890" s="647"/>
      <c r="J1890" s="647"/>
    </row>
    <row r="1891" spans="1:10" ht="14.25" customHeight="1" x14ac:dyDescent="0.3">
      <c r="A1891" s="516"/>
      <c r="B1891" s="517" t="s">
        <v>15</v>
      </c>
      <c r="C1891" s="516" t="s">
        <v>16</v>
      </c>
      <c r="D1891" s="516" t="s">
        <v>17</v>
      </c>
      <c r="E1891" s="904" t="s">
        <v>2431</v>
      </c>
      <c r="F1891" s="904"/>
      <c r="G1891" s="518" t="s">
        <v>18</v>
      </c>
      <c r="H1891" s="517" t="s">
        <v>19</v>
      </c>
      <c r="I1891" s="517" t="s">
        <v>20</v>
      </c>
      <c r="J1891" s="517" t="s">
        <v>23</v>
      </c>
    </row>
    <row r="1892" spans="1:10" ht="15" customHeight="1" x14ac:dyDescent="0.3">
      <c r="A1892" s="642" t="s">
        <v>2432</v>
      </c>
      <c r="B1892" s="643" t="s">
        <v>1360</v>
      </c>
      <c r="C1892" s="642" t="s">
        <v>125</v>
      </c>
      <c r="D1892" s="642" t="s">
        <v>4519</v>
      </c>
      <c r="E1892" s="906" t="s">
        <v>2930</v>
      </c>
      <c r="F1892" s="906"/>
      <c r="G1892" s="644" t="s">
        <v>115</v>
      </c>
      <c r="H1892" s="645">
        <v>1</v>
      </c>
      <c r="I1892" s="646">
        <v>30.77</v>
      </c>
      <c r="J1892" s="646">
        <v>30.77</v>
      </c>
    </row>
    <row r="1893" spans="1:10" ht="14.25" customHeight="1" x14ac:dyDescent="0.3">
      <c r="A1893" s="902"/>
      <c r="B1893" s="902"/>
      <c r="C1893" s="902"/>
      <c r="D1893" s="902"/>
      <c r="E1893" s="902"/>
      <c r="F1893" s="902" t="s">
        <v>2476</v>
      </c>
      <c r="G1893" s="902"/>
      <c r="H1893" s="902"/>
      <c r="I1893" s="525">
        <v>0</v>
      </c>
      <c r="J1893"/>
    </row>
    <row r="1894" spans="1:10" ht="14.25" customHeight="1" x14ac:dyDescent="0.3">
      <c r="A1894" s="902"/>
      <c r="B1894" s="902"/>
      <c r="C1894" s="902"/>
      <c r="D1894" s="902"/>
      <c r="E1894" s="902"/>
      <c r="F1894" s="902" t="s">
        <v>2477</v>
      </c>
      <c r="G1894" s="902"/>
      <c r="H1894" s="902"/>
      <c r="I1894" s="525">
        <v>0</v>
      </c>
      <c r="J1894"/>
    </row>
    <row r="1895" spans="1:10" ht="15" customHeight="1" x14ac:dyDescent="0.3">
      <c r="A1895" s="902"/>
      <c r="B1895" s="902"/>
      <c r="C1895" s="902"/>
      <c r="D1895" s="902"/>
      <c r="E1895" s="902"/>
      <c r="F1895" s="902" t="s">
        <v>2478</v>
      </c>
      <c r="G1895" s="902"/>
      <c r="H1895" s="902"/>
      <c r="I1895" s="525">
        <v>0</v>
      </c>
      <c r="J1895"/>
    </row>
    <row r="1896" spans="1:10" ht="14.25" customHeight="1" x14ac:dyDescent="0.3">
      <c r="A1896" s="902"/>
      <c r="B1896" s="902"/>
      <c r="C1896" s="902"/>
      <c r="D1896" s="902"/>
      <c r="E1896" s="902"/>
      <c r="F1896" s="902" t="s">
        <v>2479</v>
      </c>
      <c r="G1896" s="902"/>
      <c r="H1896" s="902"/>
      <c r="I1896" s="525">
        <v>570</v>
      </c>
      <c r="J1896"/>
    </row>
    <row r="1897" spans="1:10" ht="14.25" customHeight="1" x14ac:dyDescent="0.3">
      <c r="A1897" s="902"/>
      <c r="B1897" s="902"/>
      <c r="C1897" s="902"/>
      <c r="D1897" s="902"/>
      <c r="E1897" s="902"/>
      <c r="F1897" s="902" t="s">
        <v>2480</v>
      </c>
      <c r="G1897" s="902"/>
      <c r="H1897" s="902"/>
      <c r="I1897" s="525">
        <v>0</v>
      </c>
      <c r="J1897"/>
    </row>
    <row r="1898" spans="1:10" ht="15" customHeight="1" x14ac:dyDescent="0.3">
      <c r="A1898" s="516" t="s">
        <v>2420</v>
      </c>
      <c r="B1898" s="517" t="s">
        <v>16</v>
      </c>
      <c r="C1898" s="516" t="s">
        <v>15</v>
      </c>
      <c r="D1898" s="516" t="s">
        <v>2442</v>
      </c>
      <c r="E1898" s="517" t="s">
        <v>2467</v>
      </c>
      <c r="F1898" s="517" t="s">
        <v>2576</v>
      </c>
      <c r="G1898" s="903" t="s">
        <v>2577</v>
      </c>
      <c r="H1898" s="903"/>
      <c r="I1898" s="517" t="s">
        <v>2470</v>
      </c>
      <c r="J1898"/>
    </row>
    <row r="1899" spans="1:10" ht="25" x14ac:dyDescent="0.3">
      <c r="A1899" s="519" t="s">
        <v>2437</v>
      </c>
      <c r="B1899" s="520" t="s">
        <v>125</v>
      </c>
      <c r="C1899" s="519" t="s">
        <v>3177</v>
      </c>
      <c r="D1899" s="519" t="s">
        <v>3178</v>
      </c>
      <c r="E1899" s="522">
        <v>1.05</v>
      </c>
      <c r="F1899" s="521" t="s">
        <v>115</v>
      </c>
      <c r="G1899" s="907">
        <v>29.0106</v>
      </c>
      <c r="H1899" s="907"/>
      <c r="I1899" s="524">
        <v>30.461099999999998</v>
      </c>
      <c r="J1899"/>
    </row>
    <row r="1900" spans="1:10" ht="14.25" customHeight="1" x14ac:dyDescent="0.3">
      <c r="A1900" s="902"/>
      <c r="B1900" s="902"/>
      <c r="C1900" s="902"/>
      <c r="D1900" s="902"/>
      <c r="E1900" s="902"/>
      <c r="F1900" s="902" t="s">
        <v>2809</v>
      </c>
      <c r="G1900" s="902"/>
      <c r="H1900" s="902"/>
      <c r="I1900" s="525">
        <v>30.461099999999998</v>
      </c>
      <c r="J1900"/>
    </row>
    <row r="1901" spans="1:10" ht="15" customHeight="1" x14ac:dyDescent="0.3">
      <c r="A1901" s="516" t="s">
        <v>2574</v>
      </c>
      <c r="B1901" s="517" t="s">
        <v>16</v>
      </c>
      <c r="C1901" s="516" t="s">
        <v>15</v>
      </c>
      <c r="D1901" s="516" t="s">
        <v>2575</v>
      </c>
      <c r="E1901" s="517" t="s">
        <v>2467</v>
      </c>
      <c r="F1901" s="517" t="s">
        <v>2576</v>
      </c>
      <c r="G1901" s="903" t="s">
        <v>2577</v>
      </c>
      <c r="H1901" s="903"/>
      <c r="I1901" s="517" t="s">
        <v>2470</v>
      </c>
      <c r="J1901"/>
    </row>
    <row r="1902" spans="1:10" s="358" customFormat="1" ht="25" x14ac:dyDescent="0.3">
      <c r="A1902" s="519" t="s">
        <v>2578</v>
      </c>
      <c r="B1902" s="520" t="s">
        <v>32</v>
      </c>
      <c r="C1902" s="519">
        <v>88316</v>
      </c>
      <c r="D1902" s="519" t="s">
        <v>2562</v>
      </c>
      <c r="E1902" s="522">
        <v>3.5087999999999999E-3</v>
      </c>
      <c r="F1902" s="521" t="s">
        <v>1901</v>
      </c>
      <c r="G1902" s="907">
        <v>23.4</v>
      </c>
      <c r="H1902" s="907"/>
      <c r="I1902" s="524">
        <v>8.2100000000000006E-2</v>
      </c>
      <c r="J1902"/>
    </row>
    <row r="1903" spans="1:10" ht="14.25" customHeight="1" x14ac:dyDescent="0.3">
      <c r="A1903" s="902"/>
      <c r="B1903" s="902"/>
      <c r="C1903" s="902"/>
      <c r="D1903" s="902"/>
      <c r="E1903" s="902"/>
      <c r="F1903" s="902" t="s">
        <v>2579</v>
      </c>
      <c r="G1903" s="902"/>
      <c r="H1903" s="902"/>
      <c r="I1903" s="525">
        <v>8.2100000000000006E-2</v>
      </c>
      <c r="J1903"/>
    </row>
    <row r="1904" spans="1:10" s="358" customFormat="1" ht="15" customHeight="1" x14ac:dyDescent="0.3">
      <c r="A1904" s="516" t="s">
        <v>2580</v>
      </c>
      <c r="B1904" s="517" t="s">
        <v>16</v>
      </c>
      <c r="C1904" s="516" t="s">
        <v>2437</v>
      </c>
      <c r="D1904" s="516" t="s">
        <v>2581</v>
      </c>
      <c r="E1904" s="517" t="s">
        <v>15</v>
      </c>
      <c r="F1904" s="517" t="s">
        <v>2467</v>
      </c>
      <c r="G1904" s="518" t="s">
        <v>2576</v>
      </c>
      <c r="H1904" s="517" t="s">
        <v>2577</v>
      </c>
      <c r="I1904" s="517" t="s">
        <v>2470</v>
      </c>
      <c r="J1904"/>
    </row>
    <row r="1905" spans="1:10" ht="25" x14ac:dyDescent="0.3">
      <c r="A1905" s="519" t="s">
        <v>2582</v>
      </c>
      <c r="B1905" s="520" t="s">
        <v>125</v>
      </c>
      <c r="C1905" s="519" t="s">
        <v>3177</v>
      </c>
      <c r="D1905" s="519" t="s">
        <v>2838</v>
      </c>
      <c r="E1905" s="520">
        <v>5914655</v>
      </c>
      <c r="F1905" s="522">
        <v>6.8999999999999999E-3</v>
      </c>
      <c r="G1905" s="521" t="s">
        <v>374</v>
      </c>
      <c r="H1905" s="524">
        <v>33.159999999999997</v>
      </c>
      <c r="I1905" s="524">
        <v>0.2288</v>
      </c>
      <c r="J1905"/>
    </row>
    <row r="1906" spans="1:10" ht="14.25" customHeight="1" x14ac:dyDescent="0.3">
      <c r="A1906" s="902"/>
      <c r="B1906" s="902"/>
      <c r="C1906" s="902"/>
      <c r="D1906" s="902"/>
      <c r="E1906" s="902"/>
      <c r="F1906" s="902" t="s">
        <v>2585</v>
      </c>
      <c r="G1906" s="902"/>
      <c r="H1906" s="902"/>
      <c r="I1906" s="525">
        <v>0.2288</v>
      </c>
      <c r="J1906"/>
    </row>
    <row r="1907" spans="1:10" ht="38.25" customHeight="1" x14ac:dyDescent="0.3">
      <c r="A1907" s="516" t="s">
        <v>2586</v>
      </c>
      <c r="B1907" s="517" t="s">
        <v>16</v>
      </c>
      <c r="C1907" s="516" t="s">
        <v>2437</v>
      </c>
      <c r="D1907" s="516" t="s">
        <v>2587</v>
      </c>
      <c r="E1907" s="517" t="s">
        <v>2467</v>
      </c>
      <c r="F1907" s="517" t="s">
        <v>2576</v>
      </c>
      <c r="G1907" s="908" t="s">
        <v>2588</v>
      </c>
      <c r="H1907" s="903"/>
      <c r="I1907" s="517" t="s">
        <v>2470</v>
      </c>
      <c r="J1907"/>
    </row>
    <row r="1908" spans="1:10" ht="38.25" customHeight="1" x14ac:dyDescent="0.3">
      <c r="A1908" s="518"/>
      <c r="B1908" s="518"/>
      <c r="C1908" s="518"/>
      <c r="D1908" s="518"/>
      <c r="E1908" s="518"/>
      <c r="F1908" s="518"/>
      <c r="G1908" s="518" t="s">
        <v>2589</v>
      </c>
      <c r="H1908" s="518" t="s">
        <v>2590</v>
      </c>
      <c r="I1908" s="518"/>
      <c r="J1908"/>
    </row>
    <row r="1909" spans="1:10" ht="37.5" x14ac:dyDescent="0.3">
      <c r="A1909" s="519" t="s">
        <v>2587</v>
      </c>
      <c r="B1909" s="520" t="s">
        <v>125</v>
      </c>
      <c r="C1909" s="519" t="s">
        <v>3177</v>
      </c>
      <c r="D1909" s="519" t="s">
        <v>3179</v>
      </c>
      <c r="E1909" s="522">
        <v>6.8999999999999999E-3</v>
      </c>
      <c r="F1909" s="521" t="s">
        <v>2592</v>
      </c>
      <c r="G1909" s="520" t="s">
        <v>4472</v>
      </c>
      <c r="H1909" s="520" t="s">
        <v>4473</v>
      </c>
      <c r="I1909" s="524">
        <v>0</v>
      </c>
      <c r="J1909"/>
    </row>
    <row r="1910" spans="1:10" ht="15" customHeight="1" thickBot="1" x14ac:dyDescent="0.35">
      <c r="A1910" s="902"/>
      <c r="B1910" s="902"/>
      <c r="C1910" s="902"/>
      <c r="D1910" s="902"/>
      <c r="E1910" s="902"/>
      <c r="F1910" s="902" t="s">
        <v>2593</v>
      </c>
      <c r="G1910" s="902"/>
      <c r="H1910" s="902"/>
      <c r="I1910" s="525">
        <v>0</v>
      </c>
      <c r="J1910"/>
    </row>
    <row r="1911" spans="1:10" ht="14.5" thickTop="1" x14ac:dyDescent="0.3">
      <c r="A1911" s="647"/>
      <c r="B1911" s="647"/>
      <c r="C1911" s="647"/>
      <c r="D1911" s="647"/>
      <c r="E1911" s="647"/>
      <c r="F1911" s="647"/>
      <c r="G1911" s="647"/>
      <c r="H1911" s="647"/>
      <c r="I1911" s="647"/>
      <c r="J1911" s="647"/>
    </row>
    <row r="1912" spans="1:10" s="358" customFormat="1" x14ac:dyDescent="0.3">
      <c r="A1912" s="516"/>
      <c r="B1912" s="517" t="s">
        <v>15</v>
      </c>
      <c r="C1912" s="516" t="s">
        <v>16</v>
      </c>
      <c r="D1912" s="516" t="s">
        <v>17</v>
      </c>
      <c r="E1912" s="904" t="s">
        <v>2431</v>
      </c>
      <c r="F1912" s="904"/>
      <c r="G1912" s="518" t="s">
        <v>18</v>
      </c>
      <c r="H1912" s="517" t="s">
        <v>19</v>
      </c>
      <c r="I1912" s="517" t="s">
        <v>20</v>
      </c>
      <c r="J1912" s="517" t="s">
        <v>23</v>
      </c>
    </row>
    <row r="1913" spans="1:10" ht="37.5" x14ac:dyDescent="0.3">
      <c r="A1913" s="642" t="s">
        <v>2432</v>
      </c>
      <c r="B1913" s="643" t="s">
        <v>1366</v>
      </c>
      <c r="C1913" s="642" t="s">
        <v>32</v>
      </c>
      <c r="D1913" s="642" t="s">
        <v>1367</v>
      </c>
      <c r="E1913" s="906" t="s">
        <v>2617</v>
      </c>
      <c r="F1913" s="906"/>
      <c r="G1913" s="644" t="s">
        <v>118</v>
      </c>
      <c r="H1913" s="645">
        <v>1</v>
      </c>
      <c r="I1913" s="646">
        <v>542.6</v>
      </c>
      <c r="J1913" s="646">
        <v>542.6</v>
      </c>
    </row>
    <row r="1914" spans="1:10" s="358" customFormat="1" ht="25" x14ac:dyDescent="0.3">
      <c r="A1914" s="519" t="s">
        <v>2434</v>
      </c>
      <c r="B1914" s="520" t="s">
        <v>2561</v>
      </c>
      <c r="C1914" s="519" t="s">
        <v>32</v>
      </c>
      <c r="D1914" s="519" t="s">
        <v>2562</v>
      </c>
      <c r="E1914" s="905" t="s">
        <v>2433</v>
      </c>
      <c r="F1914" s="905"/>
      <c r="G1914" s="521" t="s">
        <v>1901</v>
      </c>
      <c r="H1914" s="522">
        <v>2.4382999999999999</v>
      </c>
      <c r="I1914" s="523">
        <v>23.4</v>
      </c>
      <c r="J1914" s="523">
        <v>57.05</v>
      </c>
    </row>
    <row r="1915" spans="1:10" ht="25.5" customHeight="1" x14ac:dyDescent="0.3">
      <c r="A1915" s="519" t="s">
        <v>2434</v>
      </c>
      <c r="B1915" s="520" t="s">
        <v>2812</v>
      </c>
      <c r="C1915" s="519" t="s">
        <v>32</v>
      </c>
      <c r="D1915" s="519" t="s">
        <v>2813</v>
      </c>
      <c r="E1915" s="905" t="s">
        <v>2433</v>
      </c>
      <c r="F1915" s="905"/>
      <c r="G1915" s="521" t="s">
        <v>1901</v>
      </c>
      <c r="H1915" s="522">
        <v>1.5418000000000001</v>
      </c>
      <c r="I1915" s="523">
        <v>25.72</v>
      </c>
      <c r="J1915" s="523">
        <v>39.65</v>
      </c>
    </row>
    <row r="1916" spans="1:10" ht="25.5" customHeight="1" x14ac:dyDescent="0.3">
      <c r="A1916" s="519" t="s">
        <v>2434</v>
      </c>
      <c r="B1916" s="520" t="s">
        <v>3180</v>
      </c>
      <c r="C1916" s="519" t="s">
        <v>32</v>
      </c>
      <c r="D1916" s="519" t="s">
        <v>4301</v>
      </c>
      <c r="E1916" s="905" t="s">
        <v>2465</v>
      </c>
      <c r="F1916" s="905"/>
      <c r="G1916" s="521" t="s">
        <v>103</v>
      </c>
      <c r="H1916" s="522">
        <v>0.79359999999999997</v>
      </c>
      <c r="I1916" s="523">
        <v>1.66</v>
      </c>
      <c r="J1916" s="523">
        <v>1.31</v>
      </c>
    </row>
    <row r="1917" spans="1:10" ht="38.25" customHeight="1" x14ac:dyDescent="0.3">
      <c r="A1917" s="519" t="s">
        <v>2434</v>
      </c>
      <c r="B1917" s="520" t="s">
        <v>3181</v>
      </c>
      <c r="C1917" s="519" t="s">
        <v>32</v>
      </c>
      <c r="D1917" s="519" t="s">
        <v>4302</v>
      </c>
      <c r="E1917" s="905" t="s">
        <v>2465</v>
      </c>
      <c r="F1917" s="905"/>
      <c r="G1917" s="521" t="s">
        <v>110</v>
      </c>
      <c r="H1917" s="522">
        <v>0.74829999999999997</v>
      </c>
      <c r="I1917" s="523">
        <v>0.4</v>
      </c>
      <c r="J1917" s="523">
        <v>0.28999999999999998</v>
      </c>
    </row>
    <row r="1918" spans="1:10" x14ac:dyDescent="0.3">
      <c r="A1918" s="519" t="s">
        <v>2437</v>
      </c>
      <c r="B1918" s="520" t="s">
        <v>2816</v>
      </c>
      <c r="C1918" s="519" t="s">
        <v>125</v>
      </c>
      <c r="D1918" s="519" t="s">
        <v>2817</v>
      </c>
      <c r="E1918" s="905" t="s">
        <v>2442</v>
      </c>
      <c r="F1918" s="905"/>
      <c r="G1918" s="521" t="s">
        <v>118</v>
      </c>
      <c r="H1918" s="522">
        <v>0.67510000000000003</v>
      </c>
      <c r="I1918" s="523">
        <v>149.36019999999999</v>
      </c>
      <c r="J1918" s="523">
        <v>100.83</v>
      </c>
    </row>
    <row r="1919" spans="1:10" x14ac:dyDescent="0.3">
      <c r="A1919" s="519" t="s">
        <v>2437</v>
      </c>
      <c r="B1919" s="520" t="s">
        <v>4470</v>
      </c>
      <c r="C1919" s="519" t="s">
        <v>125</v>
      </c>
      <c r="D1919" s="519" t="s">
        <v>4471</v>
      </c>
      <c r="E1919" s="905" t="s">
        <v>2442</v>
      </c>
      <c r="F1919" s="905"/>
      <c r="G1919" s="521" t="s">
        <v>384</v>
      </c>
      <c r="H1919" s="522">
        <v>486.84780000000001</v>
      </c>
      <c r="I1919" s="523">
        <v>0.56679999999999997</v>
      </c>
      <c r="J1919" s="523">
        <v>275.94</v>
      </c>
    </row>
    <row r="1920" spans="1:10" s="358" customFormat="1" ht="14.5" thickBot="1" x14ac:dyDescent="0.35">
      <c r="A1920" s="519" t="s">
        <v>2437</v>
      </c>
      <c r="B1920" s="520" t="s">
        <v>2818</v>
      </c>
      <c r="C1920" s="519" t="s">
        <v>125</v>
      </c>
      <c r="D1920" s="519" t="s">
        <v>2819</v>
      </c>
      <c r="E1920" s="905" t="s">
        <v>2442</v>
      </c>
      <c r="F1920" s="905"/>
      <c r="G1920" s="521" t="s">
        <v>118</v>
      </c>
      <c r="H1920" s="522">
        <v>0.56059999999999999</v>
      </c>
      <c r="I1920" s="523">
        <v>120.4661</v>
      </c>
      <c r="J1920" s="523">
        <v>67.53</v>
      </c>
    </row>
    <row r="1921" spans="1:10" ht="14.5" thickTop="1" x14ac:dyDescent="0.3">
      <c r="A1921" s="647"/>
      <c r="B1921" s="647"/>
      <c r="C1921" s="647"/>
      <c r="D1921" s="647"/>
      <c r="E1921" s="647"/>
      <c r="F1921" s="647"/>
      <c r="G1921" s="647"/>
      <c r="H1921" s="647"/>
      <c r="I1921" s="647"/>
      <c r="J1921" s="647"/>
    </row>
    <row r="1922" spans="1:10" s="358" customFormat="1" x14ac:dyDescent="0.3">
      <c r="A1922" s="516"/>
      <c r="B1922" s="517" t="s">
        <v>15</v>
      </c>
      <c r="C1922" s="516" t="s">
        <v>16</v>
      </c>
      <c r="D1922" s="516" t="s">
        <v>17</v>
      </c>
      <c r="E1922" s="904" t="s">
        <v>2431</v>
      </c>
      <c r="F1922" s="904"/>
      <c r="G1922" s="518" t="s">
        <v>18</v>
      </c>
      <c r="H1922" s="517" t="s">
        <v>19</v>
      </c>
      <c r="I1922" s="517" t="s">
        <v>20</v>
      </c>
      <c r="J1922" s="517" t="s">
        <v>23</v>
      </c>
    </row>
    <row r="1923" spans="1:10" ht="50" x14ac:dyDescent="0.3">
      <c r="A1923" s="642" t="s">
        <v>2432</v>
      </c>
      <c r="B1923" s="643" t="s">
        <v>1373</v>
      </c>
      <c r="C1923" s="642" t="s">
        <v>32</v>
      </c>
      <c r="D1923" s="642" t="s">
        <v>4520</v>
      </c>
      <c r="E1923" s="906" t="s">
        <v>3006</v>
      </c>
      <c r="F1923" s="906"/>
      <c r="G1923" s="644" t="s">
        <v>194</v>
      </c>
      <c r="H1923" s="645">
        <v>1</v>
      </c>
      <c r="I1923" s="646">
        <v>121.12</v>
      </c>
      <c r="J1923" s="646">
        <v>121.12</v>
      </c>
    </row>
    <row r="1924" spans="1:10" ht="25.5" customHeight="1" x14ac:dyDescent="0.3">
      <c r="A1924" s="519" t="s">
        <v>2434</v>
      </c>
      <c r="B1924" s="520" t="s">
        <v>2564</v>
      </c>
      <c r="C1924" s="519" t="s">
        <v>32</v>
      </c>
      <c r="D1924" s="519" t="s">
        <v>2565</v>
      </c>
      <c r="E1924" s="905" t="s">
        <v>2465</v>
      </c>
      <c r="F1924" s="905"/>
      <c r="G1924" s="521" t="s">
        <v>103</v>
      </c>
      <c r="H1924" s="522">
        <v>0.15279999999999999</v>
      </c>
      <c r="I1924" s="523">
        <v>204.43</v>
      </c>
      <c r="J1924" s="523">
        <v>31.23</v>
      </c>
    </row>
    <row r="1925" spans="1:10" ht="25.5" customHeight="1" x14ac:dyDescent="0.3">
      <c r="A1925" s="519" t="s">
        <v>2434</v>
      </c>
      <c r="B1925" s="520" t="s">
        <v>2566</v>
      </c>
      <c r="C1925" s="519" t="s">
        <v>32</v>
      </c>
      <c r="D1925" s="519" t="s">
        <v>2567</v>
      </c>
      <c r="E1925" s="905" t="s">
        <v>2465</v>
      </c>
      <c r="F1925" s="905"/>
      <c r="G1925" s="521" t="s">
        <v>110</v>
      </c>
      <c r="H1925" s="522">
        <v>0.29659999999999997</v>
      </c>
      <c r="I1925" s="523">
        <v>88.26</v>
      </c>
      <c r="J1925" s="523">
        <v>26.17</v>
      </c>
    </row>
    <row r="1926" spans="1:10" ht="25" x14ac:dyDescent="0.3">
      <c r="A1926" s="519" t="s">
        <v>2434</v>
      </c>
      <c r="B1926" s="520" t="s">
        <v>3007</v>
      </c>
      <c r="C1926" s="519" t="s">
        <v>32</v>
      </c>
      <c r="D1926" s="519" t="s">
        <v>3008</v>
      </c>
      <c r="E1926" s="905" t="s">
        <v>2433</v>
      </c>
      <c r="F1926" s="905"/>
      <c r="G1926" s="521" t="s">
        <v>1901</v>
      </c>
      <c r="H1926" s="522">
        <v>0.68279999999999996</v>
      </c>
      <c r="I1926" s="523">
        <v>25.19</v>
      </c>
      <c r="J1926" s="523">
        <v>17.190000000000001</v>
      </c>
    </row>
    <row r="1927" spans="1:10" ht="25" x14ac:dyDescent="0.3">
      <c r="A1927" s="519" t="s">
        <v>2434</v>
      </c>
      <c r="B1927" s="520" t="s">
        <v>2561</v>
      </c>
      <c r="C1927" s="519" t="s">
        <v>32</v>
      </c>
      <c r="D1927" s="519" t="s">
        <v>2562</v>
      </c>
      <c r="E1927" s="905" t="s">
        <v>2433</v>
      </c>
      <c r="F1927" s="905"/>
      <c r="G1927" s="521" t="s">
        <v>1901</v>
      </c>
      <c r="H1927" s="522">
        <v>1.3655999999999999</v>
      </c>
      <c r="I1927" s="523">
        <v>23.4</v>
      </c>
      <c r="J1927" s="523">
        <v>31.95</v>
      </c>
    </row>
    <row r="1928" spans="1:10" s="358" customFormat="1" ht="25.5" thickBot="1" x14ac:dyDescent="0.35">
      <c r="A1928" s="519" t="s">
        <v>2434</v>
      </c>
      <c r="B1928" s="520" t="s">
        <v>3009</v>
      </c>
      <c r="C1928" s="519" t="s">
        <v>32</v>
      </c>
      <c r="D1928" s="519" t="s">
        <v>3010</v>
      </c>
      <c r="E1928" s="905" t="s">
        <v>2433</v>
      </c>
      <c r="F1928" s="905"/>
      <c r="G1928" s="521" t="s">
        <v>118</v>
      </c>
      <c r="H1928" s="522">
        <v>2.3E-2</v>
      </c>
      <c r="I1928" s="523">
        <v>634.08000000000004</v>
      </c>
      <c r="J1928" s="523">
        <v>14.58</v>
      </c>
    </row>
    <row r="1929" spans="1:10" ht="14.5" thickTop="1" x14ac:dyDescent="0.3">
      <c r="A1929" s="647"/>
      <c r="B1929" s="647"/>
      <c r="C1929" s="647"/>
      <c r="D1929" s="647"/>
      <c r="E1929" s="647"/>
      <c r="F1929" s="647"/>
      <c r="G1929" s="647"/>
      <c r="H1929" s="647"/>
      <c r="I1929" s="647"/>
      <c r="J1929" s="647"/>
    </row>
    <row r="1930" spans="1:10" s="358" customFormat="1" x14ac:dyDescent="0.3">
      <c r="A1930" s="516"/>
      <c r="B1930" s="517" t="s">
        <v>15</v>
      </c>
      <c r="C1930" s="516" t="s">
        <v>16</v>
      </c>
      <c r="D1930" s="516" t="s">
        <v>17</v>
      </c>
      <c r="E1930" s="904" t="s">
        <v>2431</v>
      </c>
      <c r="F1930" s="904"/>
      <c r="G1930" s="518" t="s">
        <v>18</v>
      </c>
      <c r="H1930" s="517" t="s">
        <v>19</v>
      </c>
      <c r="I1930" s="517" t="s">
        <v>20</v>
      </c>
      <c r="J1930" s="517" t="s">
        <v>23</v>
      </c>
    </row>
    <row r="1931" spans="1:10" ht="25" x14ac:dyDescent="0.3">
      <c r="A1931" s="642" t="s">
        <v>2432</v>
      </c>
      <c r="B1931" s="643" t="s">
        <v>1375</v>
      </c>
      <c r="C1931" s="642" t="s">
        <v>197</v>
      </c>
      <c r="D1931" s="642" t="s">
        <v>1376</v>
      </c>
      <c r="E1931" s="906" t="s">
        <v>1328</v>
      </c>
      <c r="F1931" s="906"/>
      <c r="G1931" s="644" t="s">
        <v>115</v>
      </c>
      <c r="H1931" s="645">
        <v>1</v>
      </c>
      <c r="I1931" s="646">
        <v>578.89</v>
      </c>
      <c r="J1931" s="646">
        <v>578.89</v>
      </c>
    </row>
    <row r="1932" spans="1:10" ht="25" x14ac:dyDescent="0.3">
      <c r="A1932" s="519" t="s">
        <v>2434</v>
      </c>
      <c r="B1932" s="520" t="s">
        <v>3184</v>
      </c>
      <c r="C1932" s="519" t="s">
        <v>32</v>
      </c>
      <c r="D1932" s="519" t="s">
        <v>3185</v>
      </c>
      <c r="E1932" s="905" t="s">
        <v>2433</v>
      </c>
      <c r="F1932" s="905"/>
      <c r="G1932" s="521" t="s">
        <v>1901</v>
      </c>
      <c r="H1932" s="522">
        <v>1.6</v>
      </c>
      <c r="I1932" s="523">
        <v>24.26</v>
      </c>
      <c r="J1932" s="523">
        <v>38.81</v>
      </c>
    </row>
    <row r="1933" spans="1:10" ht="25" x14ac:dyDescent="0.3">
      <c r="A1933" s="519" t="s">
        <v>2434</v>
      </c>
      <c r="B1933" s="520" t="s">
        <v>3182</v>
      </c>
      <c r="C1933" s="519" t="s">
        <v>32</v>
      </c>
      <c r="D1933" s="519" t="s">
        <v>3183</v>
      </c>
      <c r="E1933" s="905" t="s">
        <v>2433</v>
      </c>
      <c r="F1933" s="905"/>
      <c r="G1933" s="521" t="s">
        <v>1901</v>
      </c>
      <c r="H1933" s="522">
        <v>1.5</v>
      </c>
      <c r="I1933" s="523">
        <v>30.85</v>
      </c>
      <c r="J1933" s="523">
        <v>46.27</v>
      </c>
    </row>
    <row r="1934" spans="1:10" x14ac:dyDescent="0.3">
      <c r="A1934" s="519" t="s">
        <v>2437</v>
      </c>
      <c r="B1934" s="520" t="s">
        <v>3186</v>
      </c>
      <c r="C1934" s="519" t="s">
        <v>32</v>
      </c>
      <c r="D1934" s="519" t="s">
        <v>3187</v>
      </c>
      <c r="E1934" s="905" t="s">
        <v>2442</v>
      </c>
      <c r="F1934" s="905"/>
      <c r="G1934" s="521" t="s">
        <v>1369</v>
      </c>
      <c r="H1934" s="522">
        <v>0.08</v>
      </c>
      <c r="I1934" s="523">
        <v>0.7</v>
      </c>
      <c r="J1934" s="523">
        <v>0.05</v>
      </c>
    </row>
    <row r="1935" spans="1:10" ht="25" x14ac:dyDescent="0.3">
      <c r="A1935" s="519" t="s">
        <v>2437</v>
      </c>
      <c r="B1935" s="520" t="s">
        <v>3188</v>
      </c>
      <c r="C1935" s="519" t="s">
        <v>32</v>
      </c>
      <c r="D1935" s="519" t="s">
        <v>4521</v>
      </c>
      <c r="E1935" s="905" t="s">
        <v>2442</v>
      </c>
      <c r="F1935" s="905"/>
      <c r="G1935" s="521" t="s">
        <v>194</v>
      </c>
      <c r="H1935" s="522">
        <v>24.277456647398843</v>
      </c>
      <c r="I1935" s="523">
        <v>19.18</v>
      </c>
      <c r="J1935" s="523">
        <v>465.64</v>
      </c>
    </row>
    <row r="1936" spans="1:10" s="358" customFormat="1" ht="25.5" thickBot="1" x14ac:dyDescent="0.35">
      <c r="A1936" s="519" t="s">
        <v>2437</v>
      </c>
      <c r="B1936" s="520" t="s">
        <v>3189</v>
      </c>
      <c r="C1936" s="519" t="s">
        <v>32</v>
      </c>
      <c r="D1936" s="519" t="s">
        <v>4303</v>
      </c>
      <c r="E1936" s="905" t="s">
        <v>2442</v>
      </c>
      <c r="F1936" s="905"/>
      <c r="G1936" s="521" t="s">
        <v>194</v>
      </c>
      <c r="H1936" s="522">
        <v>2</v>
      </c>
      <c r="I1936" s="523">
        <v>14.06</v>
      </c>
      <c r="J1936" s="523">
        <v>28.12</v>
      </c>
    </row>
    <row r="1937" spans="1:10" ht="14.5" thickTop="1" x14ac:dyDescent="0.3">
      <c r="A1937" s="647"/>
      <c r="B1937" s="647"/>
      <c r="C1937" s="647"/>
      <c r="D1937" s="647"/>
      <c r="E1937" s="647"/>
      <c r="F1937" s="647"/>
      <c r="G1937" s="647"/>
      <c r="H1937" s="647"/>
      <c r="I1937" s="647"/>
      <c r="J1937" s="647"/>
    </row>
    <row r="1938" spans="1:10" s="358" customFormat="1" x14ac:dyDescent="0.3">
      <c r="A1938" s="516"/>
      <c r="B1938" s="517" t="s">
        <v>15</v>
      </c>
      <c r="C1938" s="516" t="s">
        <v>16</v>
      </c>
      <c r="D1938" s="516" t="s">
        <v>17</v>
      </c>
      <c r="E1938" s="904" t="s">
        <v>2431</v>
      </c>
      <c r="F1938" s="904"/>
      <c r="G1938" s="518" t="s">
        <v>18</v>
      </c>
      <c r="H1938" s="517" t="s">
        <v>19</v>
      </c>
      <c r="I1938" s="517" t="s">
        <v>20</v>
      </c>
      <c r="J1938" s="517" t="s">
        <v>23</v>
      </c>
    </row>
    <row r="1939" spans="1:10" x14ac:dyDescent="0.3">
      <c r="A1939" s="642" t="s">
        <v>2432</v>
      </c>
      <c r="B1939" s="643" t="s">
        <v>1377</v>
      </c>
      <c r="C1939" s="642" t="s">
        <v>257</v>
      </c>
      <c r="D1939" s="642" t="s">
        <v>1378</v>
      </c>
      <c r="E1939" s="906" t="s">
        <v>3190</v>
      </c>
      <c r="F1939" s="906"/>
      <c r="G1939" s="644" t="s">
        <v>89</v>
      </c>
      <c r="H1939" s="645">
        <v>1</v>
      </c>
      <c r="I1939" s="646">
        <v>107.2</v>
      </c>
      <c r="J1939" s="646">
        <v>107.2</v>
      </c>
    </row>
    <row r="1940" spans="1:10" ht="25" x14ac:dyDescent="0.3">
      <c r="A1940" s="519" t="s">
        <v>2434</v>
      </c>
      <c r="B1940" s="520" t="s">
        <v>3191</v>
      </c>
      <c r="C1940" s="519" t="s">
        <v>32</v>
      </c>
      <c r="D1940" s="519" t="s">
        <v>3192</v>
      </c>
      <c r="E1940" s="905" t="s">
        <v>2433</v>
      </c>
      <c r="F1940" s="905"/>
      <c r="G1940" s="521" t="s">
        <v>1901</v>
      </c>
      <c r="H1940" s="522">
        <v>0.879</v>
      </c>
      <c r="I1940" s="523">
        <v>24.21</v>
      </c>
      <c r="J1940" s="523">
        <v>21.28</v>
      </c>
    </row>
    <row r="1941" spans="1:10" ht="25" x14ac:dyDescent="0.3">
      <c r="A1941" s="519" t="s">
        <v>2434</v>
      </c>
      <c r="B1941" s="520" t="s">
        <v>3193</v>
      </c>
      <c r="C1941" s="519" t="s">
        <v>32</v>
      </c>
      <c r="D1941" s="519" t="s">
        <v>3033</v>
      </c>
      <c r="E1941" s="905" t="s">
        <v>2433</v>
      </c>
      <c r="F1941" s="905"/>
      <c r="G1941" s="521" t="s">
        <v>1901</v>
      </c>
      <c r="H1941" s="522">
        <v>0.61499999999999999</v>
      </c>
      <c r="I1941" s="523">
        <v>30.85</v>
      </c>
      <c r="J1941" s="523">
        <v>18.97</v>
      </c>
    </row>
    <row r="1942" spans="1:10" ht="25" x14ac:dyDescent="0.3">
      <c r="A1942" s="519" t="s">
        <v>2434</v>
      </c>
      <c r="B1942" s="520" t="s">
        <v>2994</v>
      </c>
      <c r="C1942" s="519" t="s">
        <v>32</v>
      </c>
      <c r="D1942" s="519" t="s">
        <v>2995</v>
      </c>
      <c r="E1942" s="905" t="s">
        <v>2433</v>
      </c>
      <c r="F1942" s="905"/>
      <c r="G1942" s="521" t="s">
        <v>1901</v>
      </c>
      <c r="H1942" s="522">
        <v>0.439</v>
      </c>
      <c r="I1942" s="523">
        <v>25.09</v>
      </c>
      <c r="J1942" s="523">
        <v>11.01</v>
      </c>
    </row>
    <row r="1943" spans="1:10" x14ac:dyDescent="0.3">
      <c r="A1943" s="519" t="s">
        <v>2437</v>
      </c>
      <c r="B1943" s="520" t="s">
        <v>2651</v>
      </c>
      <c r="C1943" s="519" t="s">
        <v>125</v>
      </c>
      <c r="D1943" s="519" t="s">
        <v>2652</v>
      </c>
      <c r="E1943" s="905" t="s">
        <v>2442</v>
      </c>
      <c r="F1943" s="905"/>
      <c r="G1943" s="521" t="s">
        <v>384</v>
      </c>
      <c r="H1943" s="522">
        <v>1.401</v>
      </c>
      <c r="I1943" s="523">
        <v>6.3659999999999997</v>
      </c>
      <c r="J1943" s="523">
        <v>8.91</v>
      </c>
    </row>
    <row r="1944" spans="1:10" ht="14.5" thickBot="1" x14ac:dyDescent="0.35">
      <c r="A1944" s="519" t="s">
        <v>2437</v>
      </c>
      <c r="B1944" s="520" t="s">
        <v>3194</v>
      </c>
      <c r="C1944" s="519" t="s">
        <v>257</v>
      </c>
      <c r="D1944" s="519" t="s">
        <v>4304</v>
      </c>
      <c r="E1944" s="905" t="s">
        <v>2442</v>
      </c>
      <c r="F1944" s="905"/>
      <c r="G1944" s="521" t="s">
        <v>89</v>
      </c>
      <c r="H1944" s="522">
        <v>1</v>
      </c>
      <c r="I1944" s="523">
        <v>47.03</v>
      </c>
      <c r="J1944" s="523">
        <v>47.03</v>
      </c>
    </row>
    <row r="1945" spans="1:10" ht="14.5" thickTop="1" x14ac:dyDescent="0.3">
      <c r="A1945" s="647"/>
      <c r="B1945" s="647"/>
      <c r="C1945" s="647"/>
      <c r="D1945" s="647"/>
      <c r="E1945" s="647"/>
      <c r="F1945" s="647"/>
      <c r="G1945" s="647"/>
      <c r="H1945" s="647"/>
      <c r="I1945" s="647"/>
      <c r="J1945" s="647"/>
    </row>
    <row r="1946" spans="1:10" x14ac:dyDescent="0.3">
      <c r="A1946" s="516"/>
      <c r="B1946" s="517" t="s">
        <v>15</v>
      </c>
      <c r="C1946" s="516" t="s">
        <v>16</v>
      </c>
      <c r="D1946" s="516" t="s">
        <v>17</v>
      </c>
      <c r="E1946" s="904" t="s">
        <v>2431</v>
      </c>
      <c r="F1946" s="904"/>
      <c r="G1946" s="518" t="s">
        <v>18</v>
      </c>
      <c r="H1946" s="517" t="s">
        <v>19</v>
      </c>
      <c r="I1946" s="517" t="s">
        <v>20</v>
      </c>
      <c r="J1946" s="517" t="s">
        <v>23</v>
      </c>
    </row>
    <row r="1947" spans="1:10" s="358" customFormat="1" ht="25" x14ac:dyDescent="0.3">
      <c r="A1947" s="642" t="s">
        <v>2432</v>
      </c>
      <c r="B1947" s="643" t="s">
        <v>1386</v>
      </c>
      <c r="C1947" s="642" t="s">
        <v>32</v>
      </c>
      <c r="D1947" s="642" t="s">
        <v>1387</v>
      </c>
      <c r="E1947" s="906" t="s">
        <v>2600</v>
      </c>
      <c r="F1947" s="906"/>
      <c r="G1947" s="644" t="s">
        <v>194</v>
      </c>
      <c r="H1947" s="645">
        <v>1</v>
      </c>
      <c r="I1947" s="646">
        <v>160.28</v>
      </c>
      <c r="J1947" s="646">
        <v>160.28</v>
      </c>
    </row>
    <row r="1948" spans="1:10" ht="25" x14ac:dyDescent="0.3">
      <c r="A1948" s="519" t="s">
        <v>2434</v>
      </c>
      <c r="B1948" s="520" t="s">
        <v>2757</v>
      </c>
      <c r="C1948" s="519" t="s">
        <v>32</v>
      </c>
      <c r="D1948" s="519" t="s">
        <v>2758</v>
      </c>
      <c r="E1948" s="905" t="s">
        <v>2433</v>
      </c>
      <c r="F1948" s="905"/>
      <c r="G1948" s="521" t="s">
        <v>1901</v>
      </c>
      <c r="H1948" s="522">
        <v>1.1229</v>
      </c>
      <c r="I1948" s="523">
        <v>31.1</v>
      </c>
      <c r="J1948" s="523">
        <v>34.92</v>
      </c>
    </row>
    <row r="1949" spans="1:10" s="358" customFormat="1" ht="25" x14ac:dyDescent="0.3">
      <c r="A1949" s="519" t="s">
        <v>2434</v>
      </c>
      <c r="B1949" s="520" t="s">
        <v>2561</v>
      </c>
      <c r="C1949" s="519" t="s">
        <v>32</v>
      </c>
      <c r="D1949" s="519" t="s">
        <v>2562</v>
      </c>
      <c r="E1949" s="905" t="s">
        <v>2433</v>
      </c>
      <c r="F1949" s="905"/>
      <c r="G1949" s="521" t="s">
        <v>1901</v>
      </c>
      <c r="H1949" s="522">
        <v>1.1229</v>
      </c>
      <c r="I1949" s="523">
        <v>23.4</v>
      </c>
      <c r="J1949" s="523">
        <v>26.27</v>
      </c>
    </row>
    <row r="1950" spans="1:10" ht="25" x14ac:dyDescent="0.3">
      <c r="A1950" s="519" t="s">
        <v>2434</v>
      </c>
      <c r="B1950" s="520" t="s">
        <v>2633</v>
      </c>
      <c r="C1950" s="519" t="s">
        <v>32</v>
      </c>
      <c r="D1950" s="519" t="s">
        <v>2634</v>
      </c>
      <c r="E1950" s="905" t="s">
        <v>2617</v>
      </c>
      <c r="F1950" s="905"/>
      <c r="G1950" s="521" t="s">
        <v>118</v>
      </c>
      <c r="H1950" s="522">
        <v>1.4500000000000001E-2</v>
      </c>
      <c r="I1950" s="523">
        <v>470.61</v>
      </c>
      <c r="J1950" s="523">
        <v>6.82</v>
      </c>
    </row>
    <row r="1951" spans="1:10" ht="25" x14ac:dyDescent="0.3">
      <c r="A1951" s="519" t="s">
        <v>2437</v>
      </c>
      <c r="B1951" s="520" t="s">
        <v>3195</v>
      </c>
      <c r="C1951" s="519" t="s">
        <v>32</v>
      </c>
      <c r="D1951" s="519" t="s">
        <v>3196</v>
      </c>
      <c r="E1951" s="905" t="s">
        <v>2442</v>
      </c>
      <c r="F1951" s="905"/>
      <c r="G1951" s="521" t="s">
        <v>89</v>
      </c>
      <c r="H1951" s="522">
        <v>0.3846</v>
      </c>
      <c r="I1951" s="523">
        <v>64.599999999999994</v>
      </c>
      <c r="J1951" s="523">
        <v>24.84</v>
      </c>
    </row>
    <row r="1952" spans="1:10" ht="37.5" x14ac:dyDescent="0.3">
      <c r="A1952" s="519" t="s">
        <v>2437</v>
      </c>
      <c r="B1952" s="520" t="s">
        <v>2626</v>
      </c>
      <c r="C1952" s="519" t="s">
        <v>32</v>
      </c>
      <c r="D1952" s="519" t="s">
        <v>4250</v>
      </c>
      <c r="E1952" s="905" t="s">
        <v>2442</v>
      </c>
      <c r="F1952" s="905"/>
      <c r="G1952" s="521" t="s">
        <v>194</v>
      </c>
      <c r="H1952" s="522">
        <v>8.7999999999999995E-2</v>
      </c>
      <c r="I1952" s="523">
        <v>7.05</v>
      </c>
      <c r="J1952" s="523">
        <v>0.62</v>
      </c>
    </row>
    <row r="1953" spans="1:10" ht="38.25" customHeight="1" x14ac:dyDescent="0.3">
      <c r="A1953" s="519" t="s">
        <v>2437</v>
      </c>
      <c r="B1953" s="520" t="s">
        <v>3197</v>
      </c>
      <c r="C1953" s="519" t="s">
        <v>32</v>
      </c>
      <c r="D1953" s="519" t="s">
        <v>4305</v>
      </c>
      <c r="E1953" s="905" t="s">
        <v>2442</v>
      </c>
      <c r="F1953" s="905"/>
      <c r="G1953" s="521" t="s">
        <v>194</v>
      </c>
      <c r="H1953" s="522">
        <v>2.2000000000000002</v>
      </c>
      <c r="I1953" s="523">
        <v>9.15</v>
      </c>
      <c r="J1953" s="523">
        <v>20.13</v>
      </c>
    </row>
    <row r="1954" spans="1:10" ht="37.5" x14ac:dyDescent="0.3">
      <c r="A1954" s="519" t="s">
        <v>2437</v>
      </c>
      <c r="B1954" s="520" t="s">
        <v>3198</v>
      </c>
      <c r="C1954" s="519" t="s">
        <v>32</v>
      </c>
      <c r="D1954" s="519" t="s">
        <v>3199</v>
      </c>
      <c r="E1954" s="905" t="s">
        <v>2442</v>
      </c>
      <c r="F1954" s="905"/>
      <c r="G1954" s="521" t="s">
        <v>115</v>
      </c>
      <c r="H1954" s="522">
        <v>1.9231</v>
      </c>
      <c r="I1954" s="523">
        <v>23.69</v>
      </c>
      <c r="J1954" s="523">
        <v>45.55</v>
      </c>
    </row>
    <row r="1955" spans="1:10" ht="25.5" thickBot="1" x14ac:dyDescent="0.35">
      <c r="A1955" s="519" t="s">
        <v>2437</v>
      </c>
      <c r="B1955" s="520" t="s">
        <v>3200</v>
      </c>
      <c r="C1955" s="519" t="s">
        <v>32</v>
      </c>
      <c r="D1955" s="519" t="s">
        <v>3201</v>
      </c>
      <c r="E1955" s="905" t="s">
        <v>2442</v>
      </c>
      <c r="F1955" s="905"/>
      <c r="G1955" s="521" t="s">
        <v>1369</v>
      </c>
      <c r="H1955" s="522">
        <v>5.8599999999999999E-2</v>
      </c>
      <c r="I1955" s="523">
        <v>19.38</v>
      </c>
      <c r="J1955" s="523">
        <v>1.1299999999999999</v>
      </c>
    </row>
    <row r="1956" spans="1:10" ht="14.5" thickTop="1" x14ac:dyDescent="0.3">
      <c r="A1956" s="647"/>
      <c r="B1956" s="647"/>
      <c r="C1956" s="647"/>
      <c r="D1956" s="647"/>
      <c r="E1956" s="647"/>
      <c r="F1956" s="647"/>
      <c r="G1956" s="647"/>
      <c r="H1956" s="647"/>
      <c r="I1956" s="647"/>
      <c r="J1956" s="647"/>
    </row>
    <row r="1957" spans="1:10" x14ac:dyDescent="0.3">
      <c r="A1957" s="516"/>
      <c r="B1957" s="517" t="s">
        <v>15</v>
      </c>
      <c r="C1957" s="516" t="s">
        <v>16</v>
      </c>
      <c r="D1957" s="516" t="s">
        <v>17</v>
      </c>
      <c r="E1957" s="904" t="s">
        <v>2431</v>
      </c>
      <c r="F1957" s="904"/>
      <c r="G1957" s="518" t="s">
        <v>18</v>
      </c>
      <c r="H1957" s="517" t="s">
        <v>19</v>
      </c>
      <c r="I1957" s="517" t="s">
        <v>20</v>
      </c>
      <c r="J1957" s="517" t="s">
        <v>23</v>
      </c>
    </row>
    <row r="1958" spans="1:10" ht="62.5" x14ac:dyDescent="0.3">
      <c r="A1958" s="642" t="s">
        <v>2432</v>
      </c>
      <c r="B1958" s="643" t="s">
        <v>1388</v>
      </c>
      <c r="C1958" s="642" t="s">
        <v>197</v>
      </c>
      <c r="D1958" s="642" t="s">
        <v>4522</v>
      </c>
      <c r="E1958" s="906" t="s">
        <v>1328</v>
      </c>
      <c r="F1958" s="906"/>
      <c r="G1958" s="644" t="s">
        <v>115</v>
      </c>
      <c r="H1958" s="645">
        <v>1</v>
      </c>
      <c r="I1958" s="646">
        <v>1232.32</v>
      </c>
      <c r="J1958" s="646">
        <v>1232.32</v>
      </c>
    </row>
    <row r="1959" spans="1:10" ht="25" x14ac:dyDescent="0.3">
      <c r="A1959" s="519" t="s">
        <v>2434</v>
      </c>
      <c r="B1959" s="520" t="s">
        <v>3208</v>
      </c>
      <c r="C1959" s="519" t="s">
        <v>32</v>
      </c>
      <c r="D1959" s="519" t="s">
        <v>3209</v>
      </c>
      <c r="E1959" s="905" t="s">
        <v>2663</v>
      </c>
      <c r="F1959" s="905"/>
      <c r="G1959" s="521" t="s">
        <v>115</v>
      </c>
      <c r="H1959" s="522">
        <v>1</v>
      </c>
      <c r="I1959" s="523">
        <v>10.92</v>
      </c>
      <c r="J1959" s="523">
        <v>10.92</v>
      </c>
    </row>
    <row r="1960" spans="1:10" ht="37.5" x14ac:dyDescent="0.3">
      <c r="A1960" s="519" t="s">
        <v>2434</v>
      </c>
      <c r="B1960" s="520" t="s">
        <v>3206</v>
      </c>
      <c r="C1960" s="519" t="s">
        <v>32</v>
      </c>
      <c r="D1960" s="519" t="s">
        <v>3207</v>
      </c>
      <c r="E1960" s="905" t="s">
        <v>2663</v>
      </c>
      <c r="F1960" s="905"/>
      <c r="G1960" s="521" t="s">
        <v>115</v>
      </c>
      <c r="H1960" s="522">
        <v>1</v>
      </c>
      <c r="I1960" s="523">
        <v>27.55</v>
      </c>
      <c r="J1960" s="523">
        <v>27.55</v>
      </c>
    </row>
    <row r="1961" spans="1:10" ht="50" x14ac:dyDescent="0.3">
      <c r="A1961" s="519" t="s">
        <v>2434</v>
      </c>
      <c r="B1961" s="520" t="s">
        <v>3204</v>
      </c>
      <c r="C1961" s="519" t="s">
        <v>32</v>
      </c>
      <c r="D1961" s="519" t="s">
        <v>3205</v>
      </c>
      <c r="E1961" s="905" t="s">
        <v>2663</v>
      </c>
      <c r="F1961" s="905"/>
      <c r="G1961" s="521" t="s">
        <v>115</v>
      </c>
      <c r="H1961" s="522">
        <v>1</v>
      </c>
      <c r="I1961" s="523">
        <v>31.15</v>
      </c>
      <c r="J1961" s="523">
        <v>31.15</v>
      </c>
    </row>
    <row r="1962" spans="1:10" ht="25" x14ac:dyDescent="0.3">
      <c r="A1962" s="519" t="s">
        <v>2434</v>
      </c>
      <c r="B1962" s="520" t="s">
        <v>3009</v>
      </c>
      <c r="C1962" s="519" t="s">
        <v>32</v>
      </c>
      <c r="D1962" s="519" t="s">
        <v>3010</v>
      </c>
      <c r="E1962" s="905" t="s">
        <v>2433</v>
      </c>
      <c r="F1962" s="905"/>
      <c r="G1962" s="521" t="s">
        <v>118</v>
      </c>
      <c r="H1962" s="522">
        <v>4.0000000000000001E-3</v>
      </c>
      <c r="I1962" s="523">
        <v>634.08000000000004</v>
      </c>
      <c r="J1962" s="523">
        <v>2.5299999999999998</v>
      </c>
    </row>
    <row r="1963" spans="1:10" ht="25" x14ac:dyDescent="0.3">
      <c r="A1963" s="519" t="s">
        <v>2434</v>
      </c>
      <c r="B1963" s="520" t="s">
        <v>2642</v>
      </c>
      <c r="C1963" s="519" t="s">
        <v>32</v>
      </c>
      <c r="D1963" s="519" t="s">
        <v>2643</v>
      </c>
      <c r="E1963" s="905" t="s">
        <v>2433</v>
      </c>
      <c r="F1963" s="905"/>
      <c r="G1963" s="521" t="s">
        <v>1901</v>
      </c>
      <c r="H1963" s="522">
        <v>4.5</v>
      </c>
      <c r="I1963" s="523">
        <v>31.81</v>
      </c>
      <c r="J1963" s="523">
        <v>143.13999999999999</v>
      </c>
    </row>
    <row r="1964" spans="1:10" s="358" customFormat="1" ht="25" x14ac:dyDescent="0.3">
      <c r="A1964" s="519" t="s">
        <v>2434</v>
      </c>
      <c r="B1964" s="520" t="s">
        <v>3182</v>
      </c>
      <c r="C1964" s="519" t="s">
        <v>32</v>
      </c>
      <c r="D1964" s="519" t="s">
        <v>3183</v>
      </c>
      <c r="E1964" s="905" t="s">
        <v>2433</v>
      </c>
      <c r="F1964" s="905"/>
      <c r="G1964" s="521" t="s">
        <v>1901</v>
      </c>
      <c r="H1964" s="522">
        <v>0.75</v>
      </c>
      <c r="I1964" s="523">
        <v>30.85</v>
      </c>
      <c r="J1964" s="523">
        <v>23.13</v>
      </c>
    </row>
    <row r="1965" spans="1:10" ht="15" customHeight="1" x14ac:dyDescent="0.3">
      <c r="A1965" s="519" t="s">
        <v>2434</v>
      </c>
      <c r="B1965" s="520" t="s">
        <v>2561</v>
      </c>
      <c r="C1965" s="519" t="s">
        <v>32</v>
      </c>
      <c r="D1965" s="519" t="s">
        <v>2562</v>
      </c>
      <c r="E1965" s="905" t="s">
        <v>2433</v>
      </c>
      <c r="F1965" s="905"/>
      <c r="G1965" s="521" t="s">
        <v>1901</v>
      </c>
      <c r="H1965" s="522">
        <v>5.75</v>
      </c>
      <c r="I1965" s="523">
        <v>23.4</v>
      </c>
      <c r="J1965" s="523">
        <v>134.55000000000001</v>
      </c>
    </row>
    <row r="1966" spans="1:10" ht="25" x14ac:dyDescent="0.3">
      <c r="A1966" s="519" t="s">
        <v>2434</v>
      </c>
      <c r="B1966" s="520" t="s">
        <v>2757</v>
      </c>
      <c r="C1966" s="519" t="s">
        <v>32</v>
      </c>
      <c r="D1966" s="519" t="s">
        <v>2758</v>
      </c>
      <c r="E1966" s="905" t="s">
        <v>2433</v>
      </c>
      <c r="F1966" s="905"/>
      <c r="G1966" s="521" t="s">
        <v>1901</v>
      </c>
      <c r="H1966" s="522">
        <v>0.5</v>
      </c>
      <c r="I1966" s="523">
        <v>31.1</v>
      </c>
      <c r="J1966" s="523">
        <v>15.55</v>
      </c>
    </row>
    <row r="1967" spans="1:10" s="358" customFormat="1" ht="38.25" customHeight="1" x14ac:dyDescent="0.3">
      <c r="A1967" s="519" t="s">
        <v>2434</v>
      </c>
      <c r="B1967" s="520" t="s">
        <v>3202</v>
      </c>
      <c r="C1967" s="519" t="s">
        <v>32</v>
      </c>
      <c r="D1967" s="519" t="s">
        <v>3203</v>
      </c>
      <c r="E1967" s="905" t="s">
        <v>2465</v>
      </c>
      <c r="F1967" s="905"/>
      <c r="G1967" s="521" t="s">
        <v>103</v>
      </c>
      <c r="H1967" s="522">
        <v>3.82</v>
      </c>
      <c r="I1967" s="523">
        <v>98.54</v>
      </c>
      <c r="J1967" s="523">
        <v>376.42</v>
      </c>
    </row>
    <row r="1968" spans="1:10" ht="15" customHeight="1" x14ac:dyDescent="0.3">
      <c r="A1968" s="519" t="s">
        <v>2437</v>
      </c>
      <c r="B1968" s="520" t="s">
        <v>3210</v>
      </c>
      <c r="C1968" s="519" t="s">
        <v>32</v>
      </c>
      <c r="D1968" s="519" t="s">
        <v>3211</v>
      </c>
      <c r="E1968" s="905" t="s">
        <v>2442</v>
      </c>
      <c r="F1968" s="905"/>
      <c r="G1968" s="521" t="s">
        <v>115</v>
      </c>
      <c r="H1968" s="522">
        <v>1</v>
      </c>
      <c r="I1968" s="523">
        <v>17.43</v>
      </c>
      <c r="J1968" s="523">
        <v>17.43</v>
      </c>
    </row>
    <row r="1969" spans="1:10" ht="25" x14ac:dyDescent="0.3">
      <c r="A1969" s="519" t="s">
        <v>2437</v>
      </c>
      <c r="B1969" s="520" t="s">
        <v>3212</v>
      </c>
      <c r="C1969" s="519" t="s">
        <v>32</v>
      </c>
      <c r="D1969" s="519" t="s">
        <v>4523</v>
      </c>
      <c r="E1969" s="905" t="s">
        <v>2442</v>
      </c>
      <c r="F1969" s="905"/>
      <c r="G1969" s="521" t="s">
        <v>194</v>
      </c>
      <c r="H1969" s="522">
        <v>1.431799999999998</v>
      </c>
      <c r="I1969" s="523">
        <v>52.1</v>
      </c>
      <c r="J1969" s="523">
        <v>74.59</v>
      </c>
    </row>
    <row r="1970" spans="1:10" x14ac:dyDescent="0.3">
      <c r="A1970" s="519" t="s">
        <v>2437</v>
      </c>
      <c r="B1970" s="520" t="s">
        <v>3213</v>
      </c>
      <c r="C1970" s="519" t="s">
        <v>32</v>
      </c>
      <c r="D1970" s="519" t="s">
        <v>3214</v>
      </c>
      <c r="E1970" s="905" t="s">
        <v>2442</v>
      </c>
      <c r="F1970" s="905"/>
      <c r="G1970" s="521" t="s">
        <v>1369</v>
      </c>
      <c r="H1970" s="522">
        <v>3.37</v>
      </c>
      <c r="I1970" s="523">
        <v>42.25</v>
      </c>
      <c r="J1970" s="523">
        <v>142.38</v>
      </c>
    </row>
    <row r="1971" spans="1:10" ht="14.25" customHeight="1" x14ac:dyDescent="0.3">
      <c r="A1971" s="519" t="s">
        <v>2437</v>
      </c>
      <c r="B1971" s="520" t="s">
        <v>2647</v>
      </c>
      <c r="C1971" s="519" t="s">
        <v>32</v>
      </c>
      <c r="D1971" s="519" t="s">
        <v>2648</v>
      </c>
      <c r="E1971" s="905" t="s">
        <v>2442</v>
      </c>
      <c r="F1971" s="905"/>
      <c r="G1971" s="521" t="s">
        <v>194</v>
      </c>
      <c r="H1971" s="522">
        <v>6.7407000000000004</v>
      </c>
      <c r="I1971" s="523">
        <v>32.35</v>
      </c>
      <c r="J1971" s="523">
        <v>218.06</v>
      </c>
    </row>
    <row r="1972" spans="1:10" ht="14.25" customHeight="1" thickBot="1" x14ac:dyDescent="0.35">
      <c r="A1972" s="519" t="s">
        <v>2437</v>
      </c>
      <c r="B1972" s="520" t="s">
        <v>3188</v>
      </c>
      <c r="C1972" s="519" t="s">
        <v>32</v>
      </c>
      <c r="D1972" s="519" t="s">
        <v>4521</v>
      </c>
      <c r="E1972" s="905" t="s">
        <v>2442</v>
      </c>
      <c r="F1972" s="905"/>
      <c r="G1972" s="521" t="s">
        <v>194</v>
      </c>
      <c r="H1972" s="522">
        <v>0.77797225433526018</v>
      </c>
      <c r="I1972" s="523">
        <v>19.18</v>
      </c>
      <c r="J1972" s="523">
        <v>14.92</v>
      </c>
    </row>
    <row r="1973" spans="1:10" ht="14.25" customHeight="1" thickTop="1" x14ac:dyDescent="0.3">
      <c r="A1973" s="647"/>
      <c r="B1973" s="647"/>
      <c r="C1973" s="647"/>
      <c r="D1973" s="647"/>
      <c r="E1973" s="647"/>
      <c r="F1973" s="647"/>
      <c r="G1973" s="647"/>
      <c r="H1973" s="647"/>
      <c r="I1973" s="647"/>
      <c r="J1973" s="647"/>
    </row>
    <row r="1974" spans="1:10" ht="15" customHeight="1" x14ac:dyDescent="0.3">
      <c r="A1974" s="911" t="s">
        <v>3215</v>
      </c>
      <c r="B1974" s="912"/>
      <c r="C1974" s="912"/>
      <c r="D1974" s="912"/>
      <c r="E1974" s="912"/>
      <c r="F1974" s="912"/>
      <c r="G1974" s="912"/>
      <c r="H1974" s="912"/>
      <c r="I1974" s="912"/>
      <c r="J1974" s="912"/>
    </row>
    <row r="1975" spans="1:10" ht="14.25" customHeight="1" x14ac:dyDescent="0.3">
      <c r="A1975" s="516"/>
      <c r="B1975" s="517" t="s">
        <v>15</v>
      </c>
      <c r="C1975" s="516" t="s">
        <v>16</v>
      </c>
      <c r="D1975" s="516" t="s">
        <v>17</v>
      </c>
      <c r="E1975" s="904" t="s">
        <v>2431</v>
      </c>
      <c r="F1975" s="904"/>
      <c r="G1975" s="518" t="s">
        <v>18</v>
      </c>
      <c r="H1975" s="517" t="s">
        <v>19</v>
      </c>
      <c r="I1975" s="517" t="s">
        <v>20</v>
      </c>
      <c r="J1975" s="517" t="s">
        <v>23</v>
      </c>
    </row>
    <row r="1976" spans="1:10" ht="15" customHeight="1" x14ac:dyDescent="0.3">
      <c r="A1976" s="642" t="s">
        <v>2432</v>
      </c>
      <c r="B1976" s="643" t="s">
        <v>3216</v>
      </c>
      <c r="C1976" s="642" t="s">
        <v>125</v>
      </c>
      <c r="D1976" s="642" t="s">
        <v>2810</v>
      </c>
      <c r="E1976" s="906" t="s">
        <v>1328</v>
      </c>
      <c r="F1976" s="906"/>
      <c r="G1976" s="644" t="s">
        <v>374</v>
      </c>
      <c r="H1976" s="645">
        <v>1</v>
      </c>
      <c r="I1976" s="646">
        <v>1.78</v>
      </c>
      <c r="J1976" s="646">
        <v>1.78</v>
      </c>
    </row>
    <row r="1977" spans="1:10" s="358" customFormat="1" ht="15" customHeight="1" x14ac:dyDescent="0.3">
      <c r="A1977" s="904" t="s">
        <v>2418</v>
      </c>
      <c r="B1977" s="903" t="s">
        <v>15</v>
      </c>
      <c r="C1977" s="904" t="s">
        <v>16</v>
      </c>
      <c r="D1977" s="904" t="s">
        <v>2466</v>
      </c>
      <c r="E1977" s="903" t="s">
        <v>2467</v>
      </c>
      <c r="F1977" s="908" t="s">
        <v>2468</v>
      </c>
      <c r="G1977" s="903"/>
      <c r="H1977" s="518" t="s">
        <v>2469</v>
      </c>
      <c r="I1977" s="903" t="s">
        <v>2470</v>
      </c>
      <c r="J1977"/>
    </row>
    <row r="1978" spans="1:10" x14ac:dyDescent="0.3">
      <c r="A1978" s="903"/>
      <c r="B1978" s="903"/>
      <c r="C1978" s="903"/>
      <c r="D1978" s="903"/>
      <c r="E1978" s="903"/>
      <c r="F1978" s="517" t="s">
        <v>2471</v>
      </c>
      <c r="G1978" s="517" t="s">
        <v>2472</v>
      </c>
      <c r="H1978" s="517" t="s">
        <v>2471</v>
      </c>
      <c r="I1978" s="903"/>
      <c r="J1978"/>
    </row>
    <row r="1979" spans="1:10" s="358" customFormat="1" x14ac:dyDescent="0.3">
      <c r="A1979" s="519" t="s">
        <v>2437</v>
      </c>
      <c r="B1979" s="520" t="s">
        <v>3217</v>
      </c>
      <c r="C1979" s="519" t="s">
        <v>125</v>
      </c>
      <c r="D1979" s="519" t="s">
        <v>3218</v>
      </c>
      <c r="E1979" s="522">
        <v>3</v>
      </c>
      <c r="F1979" s="523">
        <v>0.86</v>
      </c>
      <c r="G1979" s="523">
        <v>0.14000000000000001</v>
      </c>
      <c r="H1979" s="524">
        <v>301.85669999999999</v>
      </c>
      <c r="I1979" s="524">
        <v>815.35339999999997</v>
      </c>
      <c r="J1979"/>
    </row>
    <row r="1980" spans="1:10" ht="15" customHeight="1" x14ac:dyDescent="0.3">
      <c r="A1980" s="902"/>
      <c r="B1980" s="902"/>
      <c r="C1980" s="902"/>
      <c r="D1980" s="902"/>
      <c r="E1980" s="902"/>
      <c r="F1980" s="902" t="s">
        <v>2475</v>
      </c>
      <c r="G1980" s="902"/>
      <c r="H1980" s="902"/>
      <c r="I1980" s="525">
        <v>815.35339999999997</v>
      </c>
      <c r="J1980"/>
    </row>
    <row r="1981" spans="1:10" ht="14.25" customHeight="1" x14ac:dyDescent="0.3">
      <c r="A1981" s="902"/>
      <c r="B1981" s="902"/>
      <c r="C1981" s="902"/>
      <c r="D1981" s="902"/>
      <c r="E1981" s="902"/>
      <c r="F1981" s="902" t="s">
        <v>2476</v>
      </c>
      <c r="G1981" s="902"/>
      <c r="H1981" s="902"/>
      <c r="I1981" s="525">
        <v>815.35339999999997</v>
      </c>
      <c r="J1981"/>
    </row>
    <row r="1982" spans="1:10" ht="14.25" customHeight="1" x14ac:dyDescent="0.3">
      <c r="A1982" s="902"/>
      <c r="B1982" s="902"/>
      <c r="C1982" s="902"/>
      <c r="D1982" s="902"/>
      <c r="E1982" s="902"/>
      <c r="F1982" s="902" t="s">
        <v>2477</v>
      </c>
      <c r="G1982" s="902"/>
      <c r="H1982" s="902"/>
      <c r="I1982" s="525">
        <v>0</v>
      </c>
      <c r="J1982"/>
    </row>
    <row r="1983" spans="1:10" x14ac:dyDescent="0.3">
      <c r="A1983" s="902"/>
      <c r="B1983" s="902"/>
      <c r="C1983" s="902"/>
      <c r="D1983" s="902"/>
      <c r="E1983" s="902"/>
      <c r="F1983" s="902" t="s">
        <v>2478</v>
      </c>
      <c r="G1983" s="902"/>
      <c r="H1983" s="902"/>
      <c r="I1983" s="525">
        <v>0</v>
      </c>
      <c r="J1983"/>
    </row>
    <row r="1984" spans="1:10" ht="14.25" customHeight="1" x14ac:dyDescent="0.3">
      <c r="A1984" s="902"/>
      <c r="B1984" s="902"/>
      <c r="C1984" s="902"/>
      <c r="D1984" s="902"/>
      <c r="E1984" s="902"/>
      <c r="F1984" s="902" t="s">
        <v>2479</v>
      </c>
      <c r="G1984" s="902"/>
      <c r="H1984" s="902"/>
      <c r="I1984" s="525">
        <v>457.16</v>
      </c>
      <c r="J1984"/>
    </row>
    <row r="1985" spans="1:10" ht="14.25" customHeight="1" thickBot="1" x14ac:dyDescent="0.35">
      <c r="A1985" s="902"/>
      <c r="B1985" s="902"/>
      <c r="C1985" s="902"/>
      <c r="D1985" s="902"/>
      <c r="E1985" s="902"/>
      <c r="F1985" s="902" t="s">
        <v>2480</v>
      </c>
      <c r="G1985" s="902"/>
      <c r="H1985" s="902"/>
      <c r="I1985" s="525">
        <v>1.7835000000000001</v>
      </c>
      <c r="J1985"/>
    </row>
    <row r="1986" spans="1:10" ht="14.25" customHeight="1" thickTop="1" x14ac:dyDescent="0.3">
      <c r="A1986" s="647"/>
      <c r="B1986" s="647"/>
      <c r="C1986" s="647"/>
      <c r="D1986" s="647"/>
      <c r="E1986" s="647"/>
      <c r="F1986" s="647"/>
      <c r="G1986" s="647"/>
      <c r="H1986" s="647"/>
      <c r="I1986" s="647"/>
      <c r="J1986"/>
    </row>
    <row r="1987" spans="1:10" x14ac:dyDescent="0.3">
      <c r="A1987" s="516"/>
      <c r="B1987" s="517" t="s">
        <v>15</v>
      </c>
      <c r="C1987" s="516" t="s">
        <v>16</v>
      </c>
      <c r="D1987" s="516" t="s">
        <v>17</v>
      </c>
      <c r="E1987" s="904" t="s">
        <v>2431</v>
      </c>
      <c r="F1987" s="904"/>
      <c r="G1987" s="518" t="s">
        <v>18</v>
      </c>
      <c r="H1987" s="517" t="s">
        <v>19</v>
      </c>
      <c r="I1987" s="517" t="s">
        <v>20</v>
      </c>
      <c r="J1987" s="517" t="s">
        <v>23</v>
      </c>
    </row>
    <row r="1988" spans="1:10" ht="14.25" customHeight="1" x14ac:dyDescent="0.3">
      <c r="A1988" s="642" t="s">
        <v>2432</v>
      </c>
      <c r="B1988" s="643" t="s">
        <v>3219</v>
      </c>
      <c r="C1988" s="642" t="s">
        <v>125</v>
      </c>
      <c r="D1988" s="642" t="s">
        <v>2584</v>
      </c>
      <c r="E1988" s="906" t="s">
        <v>1328</v>
      </c>
      <c r="F1988" s="906"/>
      <c r="G1988" s="644" t="s">
        <v>374</v>
      </c>
      <c r="H1988" s="645">
        <v>1</v>
      </c>
      <c r="I1988" s="646">
        <v>2.72</v>
      </c>
      <c r="J1988" s="646">
        <v>2.72</v>
      </c>
    </row>
    <row r="1989" spans="1:10" ht="15" customHeight="1" x14ac:dyDescent="0.3">
      <c r="A1989" s="904" t="s">
        <v>2418</v>
      </c>
      <c r="B1989" s="903" t="s">
        <v>15</v>
      </c>
      <c r="C1989" s="904" t="s">
        <v>16</v>
      </c>
      <c r="D1989" s="904" t="s">
        <v>2466</v>
      </c>
      <c r="E1989" s="903" t="s">
        <v>2467</v>
      </c>
      <c r="F1989" s="908" t="s">
        <v>2468</v>
      </c>
      <c r="G1989" s="903"/>
      <c r="H1989" s="518" t="s">
        <v>2469</v>
      </c>
      <c r="I1989" s="903" t="s">
        <v>2470</v>
      </c>
      <c r="J1989"/>
    </row>
    <row r="1990" spans="1:10" s="358" customFormat="1" x14ac:dyDescent="0.3">
      <c r="A1990" s="903"/>
      <c r="B1990" s="903"/>
      <c r="C1990" s="903"/>
      <c r="D1990" s="903"/>
      <c r="E1990" s="903"/>
      <c r="F1990" s="517" t="s">
        <v>2471</v>
      </c>
      <c r="G1990" s="517" t="s">
        <v>2472</v>
      </c>
      <c r="H1990" s="517" t="s">
        <v>2471</v>
      </c>
      <c r="I1990" s="903"/>
      <c r="J1990"/>
    </row>
    <row r="1991" spans="1:10" x14ac:dyDescent="0.3">
      <c r="A1991" s="519" t="s">
        <v>2437</v>
      </c>
      <c r="B1991" s="520" t="s">
        <v>3220</v>
      </c>
      <c r="C1991" s="519" t="s">
        <v>125</v>
      </c>
      <c r="D1991" s="519" t="s">
        <v>3221</v>
      </c>
      <c r="E1991" s="522">
        <v>3</v>
      </c>
      <c r="F1991" s="523">
        <v>0.72</v>
      </c>
      <c r="G1991" s="523">
        <v>0.28000000000000003</v>
      </c>
      <c r="H1991" s="524">
        <v>174.29050000000001</v>
      </c>
      <c r="I1991" s="524">
        <v>431.4255</v>
      </c>
      <c r="J1991"/>
    </row>
    <row r="1992" spans="1:10" s="358" customFormat="1" x14ac:dyDescent="0.3">
      <c r="A1992" s="519" t="s">
        <v>2437</v>
      </c>
      <c r="B1992" s="520" t="s">
        <v>3222</v>
      </c>
      <c r="C1992" s="519" t="s">
        <v>125</v>
      </c>
      <c r="D1992" s="519" t="s">
        <v>3223</v>
      </c>
      <c r="E1992" s="522">
        <v>1</v>
      </c>
      <c r="F1992" s="523">
        <v>1</v>
      </c>
      <c r="G1992" s="523">
        <v>0</v>
      </c>
      <c r="H1992" s="524">
        <v>196.70859999999999</v>
      </c>
      <c r="I1992" s="524">
        <v>196.70859999999999</v>
      </c>
      <c r="J1992"/>
    </row>
    <row r="1993" spans="1:10" ht="15" customHeight="1" x14ac:dyDescent="0.3">
      <c r="A1993" s="902"/>
      <c r="B1993" s="902"/>
      <c r="C1993" s="902"/>
      <c r="D1993" s="902"/>
      <c r="E1993" s="902"/>
      <c r="F1993" s="902" t="s">
        <v>2475</v>
      </c>
      <c r="G1993" s="902"/>
      <c r="H1993" s="902"/>
      <c r="I1993" s="525">
        <v>628.13409999999999</v>
      </c>
      <c r="J1993"/>
    </row>
    <row r="1994" spans="1:10" ht="14.25" customHeight="1" x14ac:dyDescent="0.3">
      <c r="A1994" s="902"/>
      <c r="B1994" s="902"/>
      <c r="C1994" s="902"/>
      <c r="D1994" s="902"/>
      <c r="E1994" s="902"/>
      <c r="F1994" s="902" t="s">
        <v>2476</v>
      </c>
      <c r="G1994" s="902"/>
      <c r="H1994" s="902"/>
      <c r="I1994" s="525">
        <v>628.13409999999999</v>
      </c>
      <c r="J1994"/>
    </row>
    <row r="1995" spans="1:10" ht="14.25" customHeight="1" x14ac:dyDescent="0.3">
      <c r="A1995" s="902"/>
      <c r="B1995" s="902"/>
      <c r="C1995" s="902"/>
      <c r="D1995" s="902"/>
      <c r="E1995" s="902"/>
      <c r="F1995" s="902" t="s">
        <v>2477</v>
      </c>
      <c r="G1995" s="902"/>
      <c r="H1995" s="902"/>
      <c r="I1995" s="525">
        <v>0</v>
      </c>
      <c r="J1995"/>
    </row>
    <row r="1996" spans="1:10" x14ac:dyDescent="0.3">
      <c r="A1996" s="902"/>
      <c r="B1996" s="902"/>
      <c r="C1996" s="902"/>
      <c r="D1996" s="902"/>
      <c r="E1996" s="902"/>
      <c r="F1996" s="902" t="s">
        <v>2478</v>
      </c>
      <c r="G1996" s="902"/>
      <c r="H1996" s="902"/>
      <c r="I1996" s="525">
        <v>0</v>
      </c>
      <c r="J1996"/>
    </row>
    <row r="1997" spans="1:10" ht="14.25" customHeight="1" x14ac:dyDescent="0.3">
      <c r="A1997" s="902"/>
      <c r="B1997" s="902"/>
      <c r="C1997" s="902"/>
      <c r="D1997" s="902"/>
      <c r="E1997" s="902"/>
      <c r="F1997" s="902" t="s">
        <v>2479</v>
      </c>
      <c r="G1997" s="902"/>
      <c r="H1997" s="902"/>
      <c r="I1997" s="525">
        <v>231.27</v>
      </c>
      <c r="J1997"/>
    </row>
    <row r="1998" spans="1:10" ht="14.25" customHeight="1" thickBot="1" x14ac:dyDescent="0.35">
      <c r="A1998" s="902"/>
      <c r="B1998" s="902"/>
      <c r="C1998" s="902"/>
      <c r="D1998" s="902"/>
      <c r="E1998" s="902"/>
      <c r="F1998" s="902" t="s">
        <v>2480</v>
      </c>
      <c r="G1998" s="902"/>
      <c r="H1998" s="902"/>
      <c r="I1998" s="525">
        <v>2.7160000000000002</v>
      </c>
      <c r="J1998"/>
    </row>
    <row r="1999" spans="1:10" ht="14.25" customHeight="1" thickTop="1" x14ac:dyDescent="0.3">
      <c r="A1999" s="647"/>
      <c r="B1999" s="647"/>
      <c r="C1999" s="647"/>
      <c r="D1999" s="647"/>
      <c r="E1999" s="647"/>
      <c r="F1999" s="647"/>
      <c r="G1999" s="647"/>
      <c r="H1999" s="647"/>
      <c r="I1999" s="647"/>
      <c r="J1999"/>
    </row>
    <row r="2000" spans="1:10" x14ac:dyDescent="0.3">
      <c r="A2000" s="516"/>
      <c r="B2000" s="517" t="s">
        <v>15</v>
      </c>
      <c r="C2000" s="516" t="s">
        <v>16</v>
      </c>
      <c r="D2000" s="516" t="s">
        <v>17</v>
      </c>
      <c r="E2000" s="904" t="s">
        <v>2431</v>
      </c>
      <c r="F2000" s="904"/>
      <c r="G2000" s="518" t="s">
        <v>18</v>
      </c>
      <c r="H2000" s="517" t="s">
        <v>19</v>
      </c>
      <c r="I2000" s="517" t="s">
        <v>20</v>
      </c>
      <c r="J2000" s="517" t="s">
        <v>23</v>
      </c>
    </row>
    <row r="2001" spans="1:10" ht="14.25" customHeight="1" x14ac:dyDescent="0.3">
      <c r="A2001" s="642" t="s">
        <v>2432</v>
      </c>
      <c r="B2001" s="643" t="s">
        <v>3224</v>
      </c>
      <c r="C2001" s="642" t="s">
        <v>125</v>
      </c>
      <c r="D2001" s="642" t="s">
        <v>3225</v>
      </c>
      <c r="E2001" s="906" t="s">
        <v>1328</v>
      </c>
      <c r="F2001" s="906"/>
      <c r="G2001" s="644" t="s">
        <v>374</v>
      </c>
      <c r="H2001" s="645">
        <v>1</v>
      </c>
      <c r="I2001" s="646">
        <v>31.97</v>
      </c>
      <c r="J2001" s="646">
        <v>31.97</v>
      </c>
    </row>
    <row r="2002" spans="1:10" ht="14.25" customHeight="1" x14ac:dyDescent="0.3">
      <c r="A2002" s="904" t="s">
        <v>2418</v>
      </c>
      <c r="B2002" s="903" t="s">
        <v>15</v>
      </c>
      <c r="C2002" s="904" t="s">
        <v>16</v>
      </c>
      <c r="D2002" s="904" t="s">
        <v>2466</v>
      </c>
      <c r="E2002" s="903" t="s">
        <v>2467</v>
      </c>
      <c r="F2002" s="908" t="s">
        <v>2468</v>
      </c>
      <c r="G2002" s="903"/>
      <c r="H2002" s="518" t="s">
        <v>2469</v>
      </c>
      <c r="I2002" s="903" t="s">
        <v>2470</v>
      </c>
      <c r="J2002"/>
    </row>
    <row r="2003" spans="1:10" ht="15" customHeight="1" x14ac:dyDescent="0.3">
      <c r="A2003" s="903"/>
      <c r="B2003" s="903"/>
      <c r="C2003" s="903"/>
      <c r="D2003" s="903"/>
      <c r="E2003" s="903"/>
      <c r="F2003" s="517" t="s">
        <v>2471</v>
      </c>
      <c r="G2003" s="517" t="s">
        <v>2472</v>
      </c>
      <c r="H2003" s="517" t="s">
        <v>2471</v>
      </c>
      <c r="I2003" s="903"/>
      <c r="J2003"/>
    </row>
    <row r="2004" spans="1:10" x14ac:dyDescent="0.3">
      <c r="A2004" s="519" t="s">
        <v>2437</v>
      </c>
      <c r="B2004" s="520" t="s">
        <v>3226</v>
      </c>
      <c r="C2004" s="519" t="s">
        <v>125</v>
      </c>
      <c r="D2004" s="519" t="s">
        <v>3227</v>
      </c>
      <c r="E2004" s="522">
        <v>2</v>
      </c>
      <c r="F2004" s="523">
        <v>0.53</v>
      </c>
      <c r="G2004" s="523">
        <v>0.47</v>
      </c>
      <c r="H2004" s="524">
        <v>252.2268</v>
      </c>
      <c r="I2004" s="524">
        <v>333.45549999999997</v>
      </c>
      <c r="J2004"/>
    </row>
    <row r="2005" spans="1:10" ht="15" customHeight="1" x14ac:dyDescent="0.3">
      <c r="A2005" s="519" t="s">
        <v>2437</v>
      </c>
      <c r="B2005" s="520" t="s">
        <v>3228</v>
      </c>
      <c r="C2005" s="519" t="s">
        <v>125</v>
      </c>
      <c r="D2005" s="519" t="s">
        <v>140</v>
      </c>
      <c r="E2005" s="522">
        <v>1</v>
      </c>
      <c r="F2005" s="523">
        <v>1</v>
      </c>
      <c r="G2005" s="523">
        <v>0</v>
      </c>
      <c r="H2005" s="524">
        <v>302.88959999999997</v>
      </c>
      <c r="I2005" s="524">
        <v>302.88959999999997</v>
      </c>
      <c r="J2005"/>
    </row>
    <row r="2006" spans="1:10" s="358" customFormat="1" ht="15" customHeight="1" x14ac:dyDescent="0.3">
      <c r="A2006" s="902"/>
      <c r="B2006" s="902"/>
      <c r="C2006" s="902"/>
      <c r="D2006" s="902"/>
      <c r="E2006" s="902"/>
      <c r="F2006" s="902" t="s">
        <v>2475</v>
      </c>
      <c r="G2006" s="902"/>
      <c r="H2006" s="902"/>
      <c r="I2006" s="525">
        <v>636.3451</v>
      </c>
      <c r="J2006"/>
    </row>
    <row r="2007" spans="1:10" ht="14.25" customHeight="1" x14ac:dyDescent="0.3">
      <c r="A2007" s="902"/>
      <c r="B2007" s="902"/>
      <c r="C2007" s="902"/>
      <c r="D2007" s="902"/>
      <c r="E2007" s="902"/>
      <c r="F2007" s="902" t="s">
        <v>2476</v>
      </c>
      <c r="G2007" s="902"/>
      <c r="H2007" s="902"/>
      <c r="I2007" s="525">
        <v>636.3451</v>
      </c>
      <c r="J2007"/>
    </row>
    <row r="2008" spans="1:10" s="358" customFormat="1" ht="15" customHeight="1" x14ac:dyDescent="0.3">
      <c r="A2008" s="902"/>
      <c r="B2008" s="902"/>
      <c r="C2008" s="902"/>
      <c r="D2008" s="902"/>
      <c r="E2008" s="902"/>
      <c r="F2008" s="902" t="s">
        <v>2477</v>
      </c>
      <c r="G2008" s="902"/>
      <c r="H2008" s="902"/>
      <c r="I2008" s="525">
        <v>0</v>
      </c>
      <c r="J2008"/>
    </row>
    <row r="2009" spans="1:10" x14ac:dyDescent="0.3">
      <c r="A2009" s="902"/>
      <c r="B2009" s="902"/>
      <c r="C2009" s="902"/>
      <c r="D2009" s="902"/>
      <c r="E2009" s="902"/>
      <c r="F2009" s="902" t="s">
        <v>2478</v>
      </c>
      <c r="G2009" s="902"/>
      <c r="H2009" s="902"/>
      <c r="I2009" s="525">
        <v>0</v>
      </c>
      <c r="J2009"/>
    </row>
    <row r="2010" spans="1:10" ht="14.25" customHeight="1" x14ac:dyDescent="0.3">
      <c r="A2010" s="902"/>
      <c r="B2010" s="902"/>
      <c r="C2010" s="902"/>
      <c r="D2010" s="902"/>
      <c r="E2010" s="902"/>
      <c r="F2010" s="902" t="s">
        <v>2479</v>
      </c>
      <c r="G2010" s="902"/>
      <c r="H2010" s="902"/>
      <c r="I2010" s="525">
        <v>21.37</v>
      </c>
      <c r="J2010"/>
    </row>
    <row r="2011" spans="1:10" ht="14.25" customHeight="1" x14ac:dyDescent="0.3">
      <c r="A2011" s="902"/>
      <c r="B2011" s="902"/>
      <c r="C2011" s="902"/>
      <c r="D2011" s="902"/>
      <c r="E2011" s="902"/>
      <c r="F2011" s="902" t="s">
        <v>2480</v>
      </c>
      <c r="G2011" s="902"/>
      <c r="H2011" s="902"/>
      <c r="I2011" s="525">
        <v>29.7775</v>
      </c>
      <c r="J2011"/>
    </row>
    <row r="2012" spans="1:10" ht="15" customHeight="1" x14ac:dyDescent="0.3">
      <c r="A2012" s="516" t="s">
        <v>2574</v>
      </c>
      <c r="B2012" s="517" t="s">
        <v>16</v>
      </c>
      <c r="C2012" s="516" t="s">
        <v>15</v>
      </c>
      <c r="D2012" s="516" t="s">
        <v>2575</v>
      </c>
      <c r="E2012" s="517" t="s">
        <v>2467</v>
      </c>
      <c r="F2012" s="517" t="s">
        <v>2576</v>
      </c>
      <c r="G2012" s="903" t="s">
        <v>2577</v>
      </c>
      <c r="H2012" s="903"/>
      <c r="I2012" s="517" t="s">
        <v>2470</v>
      </c>
      <c r="J2012"/>
    </row>
    <row r="2013" spans="1:10" ht="25" x14ac:dyDescent="0.3">
      <c r="A2013" s="519" t="s">
        <v>2578</v>
      </c>
      <c r="B2013" s="520" t="s">
        <v>32</v>
      </c>
      <c r="C2013" s="519">
        <v>88316</v>
      </c>
      <c r="D2013" s="519" t="s">
        <v>2562</v>
      </c>
      <c r="E2013" s="522">
        <v>9.3589099999999995E-2</v>
      </c>
      <c r="F2013" s="521" t="s">
        <v>1901</v>
      </c>
      <c r="G2013" s="907">
        <v>23.4</v>
      </c>
      <c r="H2013" s="907"/>
      <c r="I2013" s="524">
        <v>2.19</v>
      </c>
      <c r="J2013"/>
    </row>
    <row r="2014" spans="1:10" s="358" customFormat="1" ht="15.75" customHeight="1" thickBot="1" x14ac:dyDescent="0.35">
      <c r="A2014" s="902"/>
      <c r="B2014" s="902"/>
      <c r="C2014" s="902"/>
      <c r="D2014" s="902"/>
      <c r="E2014" s="902"/>
      <c r="F2014" s="902" t="s">
        <v>2579</v>
      </c>
      <c r="G2014" s="902"/>
      <c r="H2014" s="902"/>
      <c r="I2014" s="525">
        <v>2.19</v>
      </c>
      <c r="J2014"/>
    </row>
    <row r="2015" spans="1:10" ht="14.5" thickTop="1" x14ac:dyDescent="0.3">
      <c r="A2015" s="647"/>
      <c r="B2015" s="647"/>
      <c r="C2015" s="647"/>
      <c r="D2015" s="647"/>
      <c r="E2015" s="647"/>
      <c r="F2015" s="647"/>
      <c r="G2015" s="647"/>
      <c r="H2015" s="647"/>
      <c r="I2015" s="647"/>
      <c r="J2015"/>
    </row>
    <row r="2016" spans="1:10" s="358" customFormat="1" x14ac:dyDescent="0.3">
      <c r="A2016" s="516"/>
      <c r="B2016" s="517" t="s">
        <v>15</v>
      </c>
      <c r="C2016" s="516" t="s">
        <v>16</v>
      </c>
      <c r="D2016" s="516" t="s">
        <v>17</v>
      </c>
      <c r="E2016" s="904" t="s">
        <v>2431</v>
      </c>
      <c r="F2016" s="904"/>
      <c r="G2016" s="518" t="s">
        <v>18</v>
      </c>
      <c r="H2016" s="517" t="s">
        <v>19</v>
      </c>
      <c r="I2016" s="517" t="s">
        <v>20</v>
      </c>
      <c r="J2016" s="517" t="s">
        <v>23</v>
      </c>
    </row>
    <row r="2017" spans="1:10" ht="50" x14ac:dyDescent="0.3">
      <c r="A2017" s="642" t="s">
        <v>2432</v>
      </c>
      <c r="B2017" s="643" t="s">
        <v>2743</v>
      </c>
      <c r="C2017" s="642" t="s">
        <v>32</v>
      </c>
      <c r="D2017" s="642" t="s">
        <v>2744</v>
      </c>
      <c r="E2017" s="906" t="s">
        <v>2667</v>
      </c>
      <c r="F2017" s="906"/>
      <c r="G2017" s="644" t="s">
        <v>89</v>
      </c>
      <c r="H2017" s="645">
        <v>1</v>
      </c>
      <c r="I2017" s="646">
        <v>20.62</v>
      </c>
      <c r="J2017" s="646">
        <v>20.62</v>
      </c>
    </row>
    <row r="2018" spans="1:10" s="358" customFormat="1" ht="25" x14ac:dyDescent="0.3">
      <c r="A2018" s="519" t="s">
        <v>2434</v>
      </c>
      <c r="B2018" s="520" t="s">
        <v>3239</v>
      </c>
      <c r="C2018" s="519" t="s">
        <v>32</v>
      </c>
      <c r="D2018" s="519" t="s">
        <v>3240</v>
      </c>
      <c r="E2018" s="905" t="s">
        <v>2433</v>
      </c>
      <c r="F2018" s="905"/>
      <c r="G2018" s="521" t="s">
        <v>1901</v>
      </c>
      <c r="H2018" s="522">
        <v>0.1338</v>
      </c>
      <c r="I2018" s="523">
        <v>23.63</v>
      </c>
      <c r="J2018" s="523">
        <v>3.16</v>
      </c>
    </row>
    <row r="2019" spans="1:10" ht="25" x14ac:dyDescent="0.3">
      <c r="A2019" s="519" t="s">
        <v>2434</v>
      </c>
      <c r="B2019" s="520" t="s">
        <v>2786</v>
      </c>
      <c r="C2019" s="519" t="s">
        <v>32</v>
      </c>
      <c r="D2019" s="519" t="s">
        <v>2787</v>
      </c>
      <c r="E2019" s="905" t="s">
        <v>2433</v>
      </c>
      <c r="F2019" s="905"/>
      <c r="G2019" s="521" t="s">
        <v>1901</v>
      </c>
      <c r="H2019" s="522">
        <v>0.1338</v>
      </c>
      <c r="I2019" s="523">
        <v>30.33</v>
      </c>
      <c r="J2019" s="523">
        <v>4.05</v>
      </c>
    </row>
    <row r="2020" spans="1:10" s="358" customFormat="1" ht="25" x14ac:dyDescent="0.3">
      <c r="A2020" s="519" t="s">
        <v>2437</v>
      </c>
      <c r="B2020" s="520" t="s">
        <v>3241</v>
      </c>
      <c r="C2020" s="519" t="s">
        <v>32</v>
      </c>
      <c r="D2020" s="519" t="s">
        <v>3242</v>
      </c>
      <c r="E2020" s="905" t="s">
        <v>2442</v>
      </c>
      <c r="F2020" s="905"/>
      <c r="G2020" s="521" t="s">
        <v>89</v>
      </c>
      <c r="H2020" s="522">
        <v>1</v>
      </c>
      <c r="I2020" s="523">
        <v>12.84</v>
      </c>
      <c r="J2020" s="523">
        <v>12.84</v>
      </c>
    </row>
    <row r="2021" spans="1:10" x14ac:dyDescent="0.3">
      <c r="A2021" s="519" t="s">
        <v>2437</v>
      </c>
      <c r="B2021" s="520" t="s">
        <v>3251</v>
      </c>
      <c r="C2021" s="519" t="s">
        <v>32</v>
      </c>
      <c r="D2021" s="519" t="s">
        <v>3252</v>
      </c>
      <c r="E2021" s="905" t="s">
        <v>2442</v>
      </c>
      <c r="F2021" s="905"/>
      <c r="G2021" s="521" t="s">
        <v>89</v>
      </c>
      <c r="H2021" s="522">
        <v>3.5000000000000001E-3</v>
      </c>
      <c r="I2021" s="523">
        <v>72.09</v>
      </c>
      <c r="J2021" s="523">
        <v>0.25</v>
      </c>
    </row>
    <row r="2022" spans="1:10" s="358" customFormat="1" ht="25.5" thickBot="1" x14ac:dyDescent="0.35">
      <c r="A2022" s="519" t="s">
        <v>2437</v>
      </c>
      <c r="B2022" s="520" t="s">
        <v>3243</v>
      </c>
      <c r="C2022" s="519" t="s">
        <v>32</v>
      </c>
      <c r="D2022" s="519" t="s">
        <v>3244</v>
      </c>
      <c r="E2022" s="905" t="s">
        <v>2442</v>
      </c>
      <c r="F2022" s="905"/>
      <c r="G2022" s="521" t="s">
        <v>89</v>
      </c>
      <c r="H2022" s="522">
        <v>4.0000000000000001E-3</v>
      </c>
      <c r="I2022" s="523">
        <v>81.680000000000007</v>
      </c>
      <c r="J2022" s="523">
        <v>0.32</v>
      </c>
    </row>
    <row r="2023" spans="1:10" ht="14.5" thickTop="1" x14ac:dyDescent="0.3">
      <c r="A2023" s="647"/>
      <c r="B2023" s="647"/>
      <c r="C2023" s="647"/>
      <c r="D2023" s="647"/>
      <c r="E2023" s="647"/>
      <c r="F2023" s="647"/>
      <c r="G2023" s="647"/>
      <c r="H2023" s="647"/>
      <c r="I2023" s="647"/>
      <c r="J2023"/>
    </row>
    <row r="2024" spans="1:10" s="358" customFormat="1" x14ac:dyDescent="0.3">
      <c r="A2024" s="516"/>
      <c r="B2024" s="517" t="s">
        <v>15</v>
      </c>
      <c r="C2024" s="516" t="s">
        <v>16</v>
      </c>
      <c r="D2024" s="516" t="s">
        <v>17</v>
      </c>
      <c r="E2024" s="904" t="s">
        <v>2431</v>
      </c>
      <c r="F2024" s="904"/>
      <c r="G2024" s="518" t="s">
        <v>18</v>
      </c>
      <c r="H2024" s="517" t="s">
        <v>19</v>
      </c>
      <c r="I2024" s="517" t="s">
        <v>20</v>
      </c>
      <c r="J2024" s="517" t="s">
        <v>23</v>
      </c>
    </row>
    <row r="2025" spans="1:10" ht="37.5" x14ac:dyDescent="0.3">
      <c r="A2025" s="642" t="s">
        <v>2432</v>
      </c>
      <c r="B2025" s="643" t="s">
        <v>3247</v>
      </c>
      <c r="C2025" s="642" t="s">
        <v>32</v>
      </c>
      <c r="D2025" s="642" t="s">
        <v>3248</v>
      </c>
      <c r="E2025" s="906" t="s">
        <v>2667</v>
      </c>
      <c r="F2025" s="906"/>
      <c r="G2025" s="644" t="s">
        <v>89</v>
      </c>
      <c r="H2025" s="645">
        <v>1</v>
      </c>
      <c r="I2025" s="646">
        <v>7.08</v>
      </c>
      <c r="J2025" s="646">
        <v>7.08</v>
      </c>
    </row>
    <row r="2026" spans="1:10" s="358" customFormat="1" ht="25" x14ac:dyDescent="0.3">
      <c r="A2026" s="519" t="s">
        <v>2434</v>
      </c>
      <c r="B2026" s="520" t="s">
        <v>3239</v>
      </c>
      <c r="C2026" s="519" t="s">
        <v>32</v>
      </c>
      <c r="D2026" s="519" t="s">
        <v>3240</v>
      </c>
      <c r="E2026" s="905" t="s">
        <v>2433</v>
      </c>
      <c r="F2026" s="905"/>
      <c r="G2026" s="521" t="s">
        <v>1901</v>
      </c>
      <c r="H2026" s="522">
        <v>9.4399999999999998E-2</v>
      </c>
      <c r="I2026" s="523">
        <v>23.63</v>
      </c>
      <c r="J2026" s="523">
        <v>2.23</v>
      </c>
    </row>
    <row r="2027" spans="1:10" ht="25" x14ac:dyDescent="0.3">
      <c r="A2027" s="519" t="s">
        <v>2434</v>
      </c>
      <c r="B2027" s="520" t="s">
        <v>2786</v>
      </c>
      <c r="C2027" s="519" t="s">
        <v>32</v>
      </c>
      <c r="D2027" s="519" t="s">
        <v>2787</v>
      </c>
      <c r="E2027" s="905" t="s">
        <v>2433</v>
      </c>
      <c r="F2027" s="905"/>
      <c r="G2027" s="521" t="s">
        <v>1901</v>
      </c>
      <c r="H2027" s="522">
        <v>9.4399999999999998E-2</v>
      </c>
      <c r="I2027" s="523">
        <v>30.33</v>
      </c>
      <c r="J2027" s="523">
        <v>2.86</v>
      </c>
    </row>
    <row r="2028" spans="1:10" s="358" customFormat="1" ht="25" x14ac:dyDescent="0.3">
      <c r="A2028" s="519" t="s">
        <v>2437</v>
      </c>
      <c r="B2028" s="520" t="s">
        <v>3249</v>
      </c>
      <c r="C2028" s="519" t="s">
        <v>32</v>
      </c>
      <c r="D2028" s="519" t="s">
        <v>3250</v>
      </c>
      <c r="E2028" s="905" t="s">
        <v>2442</v>
      </c>
      <c r="F2028" s="905"/>
      <c r="G2028" s="521" t="s">
        <v>89</v>
      </c>
      <c r="H2028" s="522">
        <v>1</v>
      </c>
      <c r="I2028" s="523">
        <v>0.93</v>
      </c>
      <c r="J2028" s="523">
        <v>0.93</v>
      </c>
    </row>
    <row r="2029" spans="1:10" x14ac:dyDescent="0.3">
      <c r="A2029" s="519" t="s">
        <v>2437</v>
      </c>
      <c r="B2029" s="520" t="s">
        <v>3251</v>
      </c>
      <c r="C2029" s="519" t="s">
        <v>32</v>
      </c>
      <c r="D2029" s="519" t="s">
        <v>3252</v>
      </c>
      <c r="E2029" s="905" t="s">
        <v>2442</v>
      </c>
      <c r="F2029" s="905"/>
      <c r="G2029" s="521" t="s">
        <v>89</v>
      </c>
      <c r="H2029" s="522">
        <v>5.8999999999999999E-3</v>
      </c>
      <c r="I2029" s="523">
        <v>72.09</v>
      </c>
      <c r="J2029" s="523">
        <v>0.42</v>
      </c>
    </row>
    <row r="2030" spans="1:10" ht="25" x14ac:dyDescent="0.3">
      <c r="A2030" s="519" t="s">
        <v>2437</v>
      </c>
      <c r="B2030" s="520" t="s">
        <v>3243</v>
      </c>
      <c r="C2030" s="519" t="s">
        <v>32</v>
      </c>
      <c r="D2030" s="519" t="s">
        <v>3244</v>
      </c>
      <c r="E2030" s="905" t="s">
        <v>2442</v>
      </c>
      <c r="F2030" s="905"/>
      <c r="G2030" s="521" t="s">
        <v>89</v>
      </c>
      <c r="H2030" s="522">
        <v>7.0000000000000001E-3</v>
      </c>
      <c r="I2030" s="523">
        <v>81.680000000000007</v>
      </c>
      <c r="J2030" s="523">
        <v>0.56999999999999995</v>
      </c>
    </row>
    <row r="2031" spans="1:10" ht="14.5" thickBot="1" x14ac:dyDescent="0.35">
      <c r="A2031" s="519" t="s">
        <v>2437</v>
      </c>
      <c r="B2031" s="520" t="s">
        <v>3245</v>
      </c>
      <c r="C2031" s="519" t="s">
        <v>32</v>
      </c>
      <c r="D2031" s="519" t="s">
        <v>3246</v>
      </c>
      <c r="E2031" s="905" t="s">
        <v>2442</v>
      </c>
      <c r="F2031" s="905"/>
      <c r="G2031" s="521" t="s">
        <v>89</v>
      </c>
      <c r="H2031" s="522">
        <v>3.15E-2</v>
      </c>
      <c r="I2031" s="523">
        <v>2.38</v>
      </c>
      <c r="J2031" s="523">
        <v>7.0000000000000007E-2</v>
      </c>
    </row>
    <row r="2032" spans="1:10" ht="14.5" thickTop="1" x14ac:dyDescent="0.3">
      <c r="A2032" s="647"/>
      <c r="B2032" s="647"/>
      <c r="C2032" s="647"/>
      <c r="D2032" s="647"/>
      <c r="E2032" s="647"/>
      <c r="F2032" s="647"/>
      <c r="G2032" s="647"/>
      <c r="H2032" s="647"/>
      <c r="I2032" s="647"/>
      <c r="J2032"/>
    </row>
    <row r="2033" spans="1:10" x14ac:dyDescent="0.3">
      <c r="A2033" s="516"/>
      <c r="B2033" s="517" t="s">
        <v>15</v>
      </c>
      <c r="C2033" s="516" t="s">
        <v>16</v>
      </c>
      <c r="D2033" s="516" t="s">
        <v>17</v>
      </c>
      <c r="E2033" s="904" t="s">
        <v>2431</v>
      </c>
      <c r="F2033" s="904"/>
      <c r="G2033" s="518" t="s">
        <v>18</v>
      </c>
      <c r="H2033" s="517" t="s">
        <v>19</v>
      </c>
      <c r="I2033" s="517" t="s">
        <v>20</v>
      </c>
      <c r="J2033" s="517" t="s">
        <v>23</v>
      </c>
    </row>
    <row r="2034" spans="1:10" ht="25" x14ac:dyDescent="0.3">
      <c r="A2034" s="642" t="s">
        <v>2432</v>
      </c>
      <c r="B2034" s="643" t="s">
        <v>2488</v>
      </c>
      <c r="C2034" s="642" t="s">
        <v>39</v>
      </c>
      <c r="D2034" s="642" t="s">
        <v>2489</v>
      </c>
      <c r="E2034" s="906" t="s">
        <v>2433</v>
      </c>
      <c r="F2034" s="906"/>
      <c r="G2034" s="644" t="s">
        <v>89</v>
      </c>
      <c r="H2034" s="645">
        <v>1</v>
      </c>
      <c r="I2034" s="646">
        <v>391.76</v>
      </c>
      <c r="J2034" s="646">
        <v>391.76</v>
      </c>
    </row>
    <row r="2035" spans="1:10" s="358" customFormat="1" ht="14.5" thickBot="1" x14ac:dyDescent="0.35">
      <c r="A2035" s="519" t="s">
        <v>2437</v>
      </c>
      <c r="B2035" s="520" t="s">
        <v>2494</v>
      </c>
      <c r="C2035" s="519" t="s">
        <v>32</v>
      </c>
      <c r="D2035" s="519" t="s">
        <v>2495</v>
      </c>
      <c r="E2035" s="905" t="s">
        <v>2440</v>
      </c>
      <c r="F2035" s="905"/>
      <c r="G2035" s="521" t="s">
        <v>34</v>
      </c>
      <c r="H2035" s="522">
        <v>0.1429</v>
      </c>
      <c r="I2035" s="523">
        <v>2741.53</v>
      </c>
      <c r="J2035" s="523">
        <v>391.76</v>
      </c>
    </row>
    <row r="2036" spans="1:10" ht="14.5" thickTop="1" x14ac:dyDescent="0.3">
      <c r="A2036" s="647"/>
      <c r="B2036" s="647"/>
      <c r="C2036" s="647"/>
      <c r="D2036" s="647"/>
      <c r="E2036" s="647"/>
      <c r="F2036" s="647"/>
      <c r="G2036" s="647"/>
      <c r="H2036" s="647"/>
      <c r="I2036" s="647"/>
      <c r="J2036"/>
    </row>
    <row r="2037" spans="1:10" s="358" customFormat="1" x14ac:dyDescent="0.3">
      <c r="A2037" s="516"/>
      <c r="B2037" s="517" t="s">
        <v>15</v>
      </c>
      <c r="C2037" s="516" t="s">
        <v>16</v>
      </c>
      <c r="D2037" s="516" t="s">
        <v>17</v>
      </c>
      <c r="E2037" s="904" t="s">
        <v>2431</v>
      </c>
      <c r="F2037" s="904"/>
      <c r="G2037" s="518" t="s">
        <v>18</v>
      </c>
      <c r="H2037" s="517" t="s">
        <v>19</v>
      </c>
      <c r="I2037" s="517" t="s">
        <v>20</v>
      </c>
      <c r="J2037" s="517" t="s">
        <v>23</v>
      </c>
    </row>
    <row r="2038" spans="1:10" ht="14.25" customHeight="1" x14ac:dyDescent="0.3">
      <c r="A2038" s="642" t="s">
        <v>2432</v>
      </c>
      <c r="B2038" s="643" t="s">
        <v>3191</v>
      </c>
      <c r="C2038" s="642" t="s">
        <v>32</v>
      </c>
      <c r="D2038" s="642" t="s">
        <v>3192</v>
      </c>
      <c r="E2038" s="906" t="s">
        <v>2433</v>
      </c>
      <c r="F2038" s="906"/>
      <c r="G2038" s="644" t="s">
        <v>1901</v>
      </c>
      <c r="H2038" s="645">
        <v>1</v>
      </c>
      <c r="I2038" s="646">
        <v>24.21</v>
      </c>
      <c r="J2038" s="646">
        <v>24.21</v>
      </c>
    </row>
    <row r="2039" spans="1:10" ht="25" x14ac:dyDescent="0.3">
      <c r="A2039" s="519" t="s">
        <v>2434</v>
      </c>
      <c r="B2039" s="520" t="s">
        <v>3253</v>
      </c>
      <c r="C2039" s="519" t="s">
        <v>32</v>
      </c>
      <c r="D2039" s="519" t="s">
        <v>3254</v>
      </c>
      <c r="E2039" s="905" t="s">
        <v>2433</v>
      </c>
      <c r="F2039" s="905"/>
      <c r="G2039" s="521" t="s">
        <v>1901</v>
      </c>
      <c r="H2039" s="522">
        <v>1</v>
      </c>
      <c r="I2039" s="523">
        <v>0.2</v>
      </c>
      <c r="J2039" s="523">
        <v>0.2</v>
      </c>
    </row>
    <row r="2040" spans="1:10" x14ac:dyDescent="0.3">
      <c r="A2040" s="519" t="s">
        <v>2437</v>
      </c>
      <c r="B2040" s="520" t="s">
        <v>3255</v>
      </c>
      <c r="C2040" s="519" t="s">
        <v>32</v>
      </c>
      <c r="D2040" s="519" t="s">
        <v>3256</v>
      </c>
      <c r="E2040" s="905" t="s">
        <v>2440</v>
      </c>
      <c r="F2040" s="905"/>
      <c r="G2040" s="521" t="s">
        <v>1901</v>
      </c>
      <c r="H2040" s="522">
        <v>1</v>
      </c>
      <c r="I2040" s="523">
        <v>15.27</v>
      </c>
      <c r="J2040" s="523">
        <v>15.27</v>
      </c>
    </row>
    <row r="2041" spans="1:10" ht="25" x14ac:dyDescent="0.3">
      <c r="A2041" s="519" t="s">
        <v>2437</v>
      </c>
      <c r="B2041" s="520" t="s">
        <v>3257</v>
      </c>
      <c r="C2041" s="519" t="s">
        <v>32</v>
      </c>
      <c r="D2041" s="519" t="s">
        <v>4306</v>
      </c>
      <c r="E2041" s="905" t="s">
        <v>2856</v>
      </c>
      <c r="F2041" s="905"/>
      <c r="G2041" s="521" t="s">
        <v>1901</v>
      </c>
      <c r="H2041" s="522">
        <v>1</v>
      </c>
      <c r="I2041" s="523">
        <v>3.8</v>
      </c>
      <c r="J2041" s="523">
        <v>3.8</v>
      </c>
    </row>
    <row r="2042" spans="1:10" ht="25" x14ac:dyDescent="0.3">
      <c r="A2042" s="519" t="s">
        <v>2437</v>
      </c>
      <c r="B2042" s="520" t="s">
        <v>3258</v>
      </c>
      <c r="C2042" s="519" t="s">
        <v>32</v>
      </c>
      <c r="D2042" s="519" t="s">
        <v>4307</v>
      </c>
      <c r="E2042" s="905" t="s">
        <v>3259</v>
      </c>
      <c r="F2042" s="905"/>
      <c r="G2042" s="521" t="s">
        <v>1901</v>
      </c>
      <c r="H2042" s="522">
        <v>1</v>
      </c>
      <c r="I2042" s="523">
        <v>1.5</v>
      </c>
      <c r="J2042" s="523">
        <v>1.5</v>
      </c>
    </row>
    <row r="2043" spans="1:10" ht="25" x14ac:dyDescent="0.3">
      <c r="A2043" s="519" t="s">
        <v>2437</v>
      </c>
      <c r="B2043" s="520" t="s">
        <v>3260</v>
      </c>
      <c r="C2043" s="519" t="s">
        <v>32</v>
      </c>
      <c r="D2043" s="519" t="s">
        <v>4308</v>
      </c>
      <c r="E2043" s="905" t="s">
        <v>2856</v>
      </c>
      <c r="F2043" s="905"/>
      <c r="G2043" s="521" t="s">
        <v>1901</v>
      </c>
      <c r="H2043" s="522">
        <v>1</v>
      </c>
      <c r="I2043" s="523">
        <v>1.34</v>
      </c>
      <c r="J2043" s="523">
        <v>1.34</v>
      </c>
    </row>
    <row r="2044" spans="1:10" s="358" customFormat="1" ht="25" x14ac:dyDescent="0.3">
      <c r="A2044" s="519" t="s">
        <v>2437</v>
      </c>
      <c r="B2044" s="520" t="s">
        <v>3261</v>
      </c>
      <c r="C2044" s="519" t="s">
        <v>32</v>
      </c>
      <c r="D2044" s="519" t="s">
        <v>4309</v>
      </c>
      <c r="E2044" s="905" t="s">
        <v>2535</v>
      </c>
      <c r="F2044" s="905"/>
      <c r="G2044" s="521" t="s">
        <v>1901</v>
      </c>
      <c r="H2044" s="522">
        <v>1</v>
      </c>
      <c r="I2044" s="523">
        <v>0.04</v>
      </c>
      <c r="J2044" s="523">
        <v>0.04</v>
      </c>
    </row>
    <row r="2045" spans="1:10" ht="25" x14ac:dyDescent="0.3">
      <c r="A2045" s="519" t="s">
        <v>2437</v>
      </c>
      <c r="B2045" s="520" t="s">
        <v>3262</v>
      </c>
      <c r="C2045" s="519" t="s">
        <v>32</v>
      </c>
      <c r="D2045" s="519" t="s">
        <v>3263</v>
      </c>
      <c r="E2045" s="905" t="s">
        <v>2446</v>
      </c>
      <c r="F2045" s="905"/>
      <c r="G2045" s="521" t="s">
        <v>1901</v>
      </c>
      <c r="H2045" s="522">
        <v>1</v>
      </c>
      <c r="I2045" s="523">
        <v>0.82</v>
      </c>
      <c r="J2045" s="523">
        <v>0.82</v>
      </c>
    </row>
    <row r="2046" spans="1:10" s="358" customFormat="1" ht="25.5" thickBot="1" x14ac:dyDescent="0.35">
      <c r="A2046" s="519" t="s">
        <v>2437</v>
      </c>
      <c r="B2046" s="520" t="s">
        <v>3264</v>
      </c>
      <c r="C2046" s="519" t="s">
        <v>32</v>
      </c>
      <c r="D2046" s="519" t="s">
        <v>3265</v>
      </c>
      <c r="E2046" s="905" t="s">
        <v>2446</v>
      </c>
      <c r="F2046" s="905"/>
      <c r="G2046" s="521" t="s">
        <v>1901</v>
      </c>
      <c r="H2046" s="522">
        <v>1</v>
      </c>
      <c r="I2046" s="523">
        <v>1.24</v>
      </c>
      <c r="J2046" s="523">
        <v>1.24</v>
      </c>
    </row>
    <row r="2047" spans="1:10" ht="14.5" thickTop="1" x14ac:dyDescent="0.3">
      <c r="A2047" s="647"/>
      <c r="B2047" s="647"/>
      <c r="C2047" s="647"/>
      <c r="D2047" s="647"/>
      <c r="E2047" s="647"/>
      <c r="F2047" s="647"/>
      <c r="G2047" s="647"/>
      <c r="H2047" s="647"/>
      <c r="I2047" s="647"/>
      <c r="J2047"/>
    </row>
    <row r="2048" spans="1:10" s="358" customFormat="1" x14ac:dyDescent="0.3">
      <c r="A2048" s="516"/>
      <c r="B2048" s="517" t="s">
        <v>15</v>
      </c>
      <c r="C2048" s="516" t="s">
        <v>16</v>
      </c>
      <c r="D2048" s="516" t="s">
        <v>17</v>
      </c>
      <c r="E2048" s="904" t="s">
        <v>2431</v>
      </c>
      <c r="F2048" s="904"/>
      <c r="G2048" s="518" t="s">
        <v>18</v>
      </c>
      <c r="H2048" s="517" t="s">
        <v>19</v>
      </c>
      <c r="I2048" s="517" t="s">
        <v>20</v>
      </c>
      <c r="J2048" s="517" t="s">
        <v>23</v>
      </c>
    </row>
    <row r="2049" spans="1:10" ht="14.25" customHeight="1" x14ac:dyDescent="0.3">
      <c r="A2049" s="642" t="s">
        <v>2432</v>
      </c>
      <c r="B2049" s="643" t="s">
        <v>2627</v>
      </c>
      <c r="C2049" s="642" t="s">
        <v>32</v>
      </c>
      <c r="D2049" s="642" t="s">
        <v>2628</v>
      </c>
      <c r="E2049" s="906" t="s">
        <v>2433</v>
      </c>
      <c r="F2049" s="906"/>
      <c r="G2049" s="644" t="s">
        <v>1901</v>
      </c>
      <c r="H2049" s="645">
        <v>1</v>
      </c>
      <c r="I2049" s="646">
        <v>24.12</v>
      </c>
      <c r="J2049" s="646">
        <v>24.12</v>
      </c>
    </row>
    <row r="2050" spans="1:10" s="358" customFormat="1" ht="25" x14ac:dyDescent="0.3">
      <c r="A2050" s="519" t="s">
        <v>2434</v>
      </c>
      <c r="B2050" s="520" t="s">
        <v>3266</v>
      </c>
      <c r="C2050" s="519" t="s">
        <v>32</v>
      </c>
      <c r="D2050" s="519" t="s">
        <v>3267</v>
      </c>
      <c r="E2050" s="905" t="s">
        <v>2433</v>
      </c>
      <c r="F2050" s="905"/>
      <c r="G2050" s="521" t="s">
        <v>1901</v>
      </c>
      <c r="H2050" s="522">
        <v>1</v>
      </c>
      <c r="I2050" s="523">
        <v>0.25</v>
      </c>
      <c r="J2050" s="523">
        <v>0.25</v>
      </c>
    </row>
    <row r="2051" spans="1:10" x14ac:dyDescent="0.3">
      <c r="A2051" s="519" t="s">
        <v>2437</v>
      </c>
      <c r="B2051" s="520" t="s">
        <v>3268</v>
      </c>
      <c r="C2051" s="519" t="s">
        <v>32</v>
      </c>
      <c r="D2051" s="519" t="s">
        <v>3269</v>
      </c>
      <c r="E2051" s="905" t="s">
        <v>2440</v>
      </c>
      <c r="F2051" s="905"/>
      <c r="G2051" s="521" t="s">
        <v>1901</v>
      </c>
      <c r="H2051" s="522">
        <v>1</v>
      </c>
      <c r="I2051" s="523">
        <v>15.27</v>
      </c>
      <c r="J2051" s="523">
        <v>15.27</v>
      </c>
    </row>
    <row r="2052" spans="1:10" ht="25" x14ac:dyDescent="0.3">
      <c r="A2052" s="519" t="s">
        <v>2437</v>
      </c>
      <c r="B2052" s="520" t="s">
        <v>3257</v>
      </c>
      <c r="C2052" s="519" t="s">
        <v>32</v>
      </c>
      <c r="D2052" s="519" t="s">
        <v>4306</v>
      </c>
      <c r="E2052" s="905" t="s">
        <v>2856</v>
      </c>
      <c r="F2052" s="905"/>
      <c r="G2052" s="521" t="s">
        <v>1901</v>
      </c>
      <c r="H2052" s="522">
        <v>1</v>
      </c>
      <c r="I2052" s="523">
        <v>3.8</v>
      </c>
      <c r="J2052" s="523">
        <v>3.8</v>
      </c>
    </row>
    <row r="2053" spans="1:10" ht="25" x14ac:dyDescent="0.3">
      <c r="A2053" s="519" t="s">
        <v>2437</v>
      </c>
      <c r="B2053" s="520" t="s">
        <v>3258</v>
      </c>
      <c r="C2053" s="519" t="s">
        <v>32</v>
      </c>
      <c r="D2053" s="519" t="s">
        <v>4307</v>
      </c>
      <c r="E2053" s="905" t="s">
        <v>3259</v>
      </c>
      <c r="F2053" s="905"/>
      <c r="G2053" s="521" t="s">
        <v>1901</v>
      </c>
      <c r="H2053" s="522">
        <v>1</v>
      </c>
      <c r="I2053" s="523">
        <v>1.5</v>
      </c>
      <c r="J2053" s="523">
        <v>1.5</v>
      </c>
    </row>
    <row r="2054" spans="1:10" ht="25" x14ac:dyDescent="0.3">
      <c r="A2054" s="519" t="s">
        <v>2437</v>
      </c>
      <c r="B2054" s="520" t="s">
        <v>3260</v>
      </c>
      <c r="C2054" s="519" t="s">
        <v>32</v>
      </c>
      <c r="D2054" s="519" t="s">
        <v>4308</v>
      </c>
      <c r="E2054" s="905" t="s">
        <v>2856</v>
      </c>
      <c r="F2054" s="905"/>
      <c r="G2054" s="521" t="s">
        <v>1901</v>
      </c>
      <c r="H2054" s="522">
        <v>1</v>
      </c>
      <c r="I2054" s="523">
        <v>1.34</v>
      </c>
      <c r="J2054" s="523">
        <v>1.34</v>
      </c>
    </row>
    <row r="2055" spans="1:10" ht="25" x14ac:dyDescent="0.3">
      <c r="A2055" s="519" t="s">
        <v>2437</v>
      </c>
      <c r="B2055" s="520" t="s">
        <v>3261</v>
      </c>
      <c r="C2055" s="519" t="s">
        <v>32</v>
      </c>
      <c r="D2055" s="519" t="s">
        <v>4309</v>
      </c>
      <c r="E2055" s="905" t="s">
        <v>2535</v>
      </c>
      <c r="F2055" s="905"/>
      <c r="G2055" s="521" t="s">
        <v>1901</v>
      </c>
      <c r="H2055" s="522">
        <v>1</v>
      </c>
      <c r="I2055" s="523">
        <v>0.04</v>
      </c>
      <c r="J2055" s="523">
        <v>0.04</v>
      </c>
    </row>
    <row r="2056" spans="1:10" ht="25" x14ac:dyDescent="0.3">
      <c r="A2056" s="519" t="s">
        <v>2437</v>
      </c>
      <c r="B2056" s="520" t="s">
        <v>3270</v>
      </c>
      <c r="C2056" s="519" t="s">
        <v>32</v>
      </c>
      <c r="D2056" s="519" t="s">
        <v>3271</v>
      </c>
      <c r="E2056" s="905" t="s">
        <v>2446</v>
      </c>
      <c r="F2056" s="905"/>
      <c r="G2056" s="521" t="s">
        <v>1901</v>
      </c>
      <c r="H2056" s="522">
        <v>1</v>
      </c>
      <c r="I2056" s="523">
        <v>0.49</v>
      </c>
      <c r="J2056" s="523">
        <v>0.49</v>
      </c>
    </row>
    <row r="2057" spans="1:10" ht="25.5" thickBot="1" x14ac:dyDescent="0.35">
      <c r="A2057" s="519" t="s">
        <v>2437</v>
      </c>
      <c r="B2057" s="520" t="s">
        <v>3272</v>
      </c>
      <c r="C2057" s="519" t="s">
        <v>32</v>
      </c>
      <c r="D2057" s="519" t="s">
        <v>3273</v>
      </c>
      <c r="E2057" s="905" t="s">
        <v>2446</v>
      </c>
      <c r="F2057" s="905"/>
      <c r="G2057" s="521" t="s">
        <v>1901</v>
      </c>
      <c r="H2057" s="522">
        <v>1</v>
      </c>
      <c r="I2057" s="523">
        <v>1.43</v>
      </c>
      <c r="J2057" s="523">
        <v>1.43</v>
      </c>
    </row>
    <row r="2058" spans="1:10" ht="14.5" thickTop="1" x14ac:dyDescent="0.3">
      <c r="A2058" s="647"/>
      <c r="B2058" s="647"/>
      <c r="C2058" s="647"/>
      <c r="D2058" s="647"/>
      <c r="E2058" s="647"/>
      <c r="F2058" s="647"/>
      <c r="G2058" s="647"/>
      <c r="H2058" s="647"/>
      <c r="I2058" s="647"/>
      <c r="J2058"/>
    </row>
    <row r="2059" spans="1:10" s="358" customFormat="1" x14ac:dyDescent="0.3">
      <c r="A2059" s="516"/>
      <c r="B2059" s="517" t="s">
        <v>15</v>
      </c>
      <c r="C2059" s="516" t="s">
        <v>16</v>
      </c>
      <c r="D2059" s="516" t="s">
        <v>17</v>
      </c>
      <c r="E2059" s="904" t="s">
        <v>2431</v>
      </c>
      <c r="F2059" s="904"/>
      <c r="G2059" s="518" t="s">
        <v>18</v>
      </c>
      <c r="H2059" s="517" t="s">
        <v>19</v>
      </c>
      <c r="I2059" s="517" t="s">
        <v>20</v>
      </c>
      <c r="J2059" s="517" t="s">
        <v>23</v>
      </c>
    </row>
    <row r="2060" spans="1:10" ht="25" x14ac:dyDescent="0.3">
      <c r="A2060" s="642" t="s">
        <v>2432</v>
      </c>
      <c r="B2060" s="643" t="s">
        <v>2790</v>
      </c>
      <c r="C2060" s="642" t="s">
        <v>32</v>
      </c>
      <c r="D2060" s="642" t="s">
        <v>2791</v>
      </c>
      <c r="E2060" s="906" t="s">
        <v>2433</v>
      </c>
      <c r="F2060" s="906"/>
      <c r="G2060" s="644" t="s">
        <v>1901</v>
      </c>
      <c r="H2060" s="645">
        <v>1</v>
      </c>
      <c r="I2060" s="646">
        <v>24.15</v>
      </c>
      <c r="J2060" s="646">
        <v>24.15</v>
      </c>
    </row>
    <row r="2061" spans="1:10" s="358" customFormat="1" ht="25" x14ac:dyDescent="0.3">
      <c r="A2061" s="519" t="s">
        <v>2434</v>
      </c>
      <c r="B2061" s="520" t="s">
        <v>3274</v>
      </c>
      <c r="C2061" s="519" t="s">
        <v>32</v>
      </c>
      <c r="D2061" s="519" t="s">
        <v>3275</v>
      </c>
      <c r="E2061" s="905" t="s">
        <v>2433</v>
      </c>
      <c r="F2061" s="905"/>
      <c r="G2061" s="521" t="s">
        <v>1901</v>
      </c>
      <c r="H2061" s="522">
        <v>1</v>
      </c>
      <c r="I2061" s="523">
        <v>0.2</v>
      </c>
      <c r="J2061" s="523">
        <v>0.2</v>
      </c>
    </row>
    <row r="2062" spans="1:10" x14ac:dyDescent="0.3">
      <c r="A2062" s="519" t="s">
        <v>2437</v>
      </c>
      <c r="B2062" s="520" t="s">
        <v>3276</v>
      </c>
      <c r="C2062" s="519" t="s">
        <v>32</v>
      </c>
      <c r="D2062" s="519" t="s">
        <v>3277</v>
      </c>
      <c r="E2062" s="905" t="s">
        <v>2440</v>
      </c>
      <c r="F2062" s="905"/>
      <c r="G2062" s="521" t="s">
        <v>1901</v>
      </c>
      <c r="H2062" s="522">
        <v>1</v>
      </c>
      <c r="I2062" s="523">
        <v>15.21</v>
      </c>
      <c r="J2062" s="523">
        <v>15.21</v>
      </c>
    </row>
    <row r="2063" spans="1:10" ht="25" x14ac:dyDescent="0.3">
      <c r="A2063" s="519" t="s">
        <v>2437</v>
      </c>
      <c r="B2063" s="520" t="s">
        <v>3257</v>
      </c>
      <c r="C2063" s="519" t="s">
        <v>32</v>
      </c>
      <c r="D2063" s="519" t="s">
        <v>4306</v>
      </c>
      <c r="E2063" s="905" t="s">
        <v>2856</v>
      </c>
      <c r="F2063" s="905"/>
      <c r="G2063" s="521" t="s">
        <v>1901</v>
      </c>
      <c r="H2063" s="522">
        <v>1</v>
      </c>
      <c r="I2063" s="523">
        <v>3.8</v>
      </c>
      <c r="J2063" s="523">
        <v>3.8</v>
      </c>
    </row>
    <row r="2064" spans="1:10" ht="25" x14ac:dyDescent="0.3">
      <c r="A2064" s="519" t="s">
        <v>2437</v>
      </c>
      <c r="B2064" s="520" t="s">
        <v>3258</v>
      </c>
      <c r="C2064" s="519" t="s">
        <v>32</v>
      </c>
      <c r="D2064" s="519" t="s">
        <v>4307</v>
      </c>
      <c r="E2064" s="905" t="s">
        <v>3259</v>
      </c>
      <c r="F2064" s="905"/>
      <c r="G2064" s="521" t="s">
        <v>1901</v>
      </c>
      <c r="H2064" s="522">
        <v>1</v>
      </c>
      <c r="I2064" s="523">
        <v>1.5</v>
      </c>
      <c r="J2064" s="523">
        <v>1.5</v>
      </c>
    </row>
    <row r="2065" spans="1:10" ht="25" x14ac:dyDescent="0.3">
      <c r="A2065" s="519" t="s">
        <v>2437</v>
      </c>
      <c r="B2065" s="520" t="s">
        <v>3260</v>
      </c>
      <c r="C2065" s="519" t="s">
        <v>32</v>
      </c>
      <c r="D2065" s="519" t="s">
        <v>4308</v>
      </c>
      <c r="E2065" s="905" t="s">
        <v>2856</v>
      </c>
      <c r="F2065" s="905"/>
      <c r="G2065" s="521" t="s">
        <v>1901</v>
      </c>
      <c r="H2065" s="522">
        <v>1</v>
      </c>
      <c r="I2065" s="523">
        <v>1.34</v>
      </c>
      <c r="J2065" s="523">
        <v>1.34</v>
      </c>
    </row>
    <row r="2066" spans="1:10" ht="25" x14ac:dyDescent="0.3">
      <c r="A2066" s="519" t="s">
        <v>2437</v>
      </c>
      <c r="B2066" s="520" t="s">
        <v>3261</v>
      </c>
      <c r="C2066" s="519" t="s">
        <v>32</v>
      </c>
      <c r="D2066" s="519" t="s">
        <v>4309</v>
      </c>
      <c r="E2066" s="905" t="s">
        <v>2535</v>
      </c>
      <c r="F2066" s="905"/>
      <c r="G2066" s="521" t="s">
        <v>1901</v>
      </c>
      <c r="H2066" s="522">
        <v>1</v>
      </c>
      <c r="I2066" s="523">
        <v>0.04</v>
      </c>
      <c r="J2066" s="523">
        <v>0.04</v>
      </c>
    </row>
    <row r="2067" spans="1:10" ht="25" x14ac:dyDescent="0.3">
      <c r="A2067" s="519" t="s">
        <v>2437</v>
      </c>
      <c r="B2067" s="520" t="s">
        <v>3262</v>
      </c>
      <c r="C2067" s="519" t="s">
        <v>32</v>
      </c>
      <c r="D2067" s="519" t="s">
        <v>3263</v>
      </c>
      <c r="E2067" s="905" t="s">
        <v>2446</v>
      </c>
      <c r="F2067" s="905"/>
      <c r="G2067" s="521" t="s">
        <v>1901</v>
      </c>
      <c r="H2067" s="522">
        <v>1</v>
      </c>
      <c r="I2067" s="523">
        <v>0.82</v>
      </c>
      <c r="J2067" s="523">
        <v>0.82</v>
      </c>
    </row>
    <row r="2068" spans="1:10" ht="25.5" thickBot="1" x14ac:dyDescent="0.35">
      <c r="A2068" s="519" t="s">
        <v>2437</v>
      </c>
      <c r="B2068" s="520" t="s">
        <v>3264</v>
      </c>
      <c r="C2068" s="519" t="s">
        <v>32</v>
      </c>
      <c r="D2068" s="519" t="s">
        <v>3265</v>
      </c>
      <c r="E2068" s="905" t="s">
        <v>2446</v>
      </c>
      <c r="F2068" s="905"/>
      <c r="G2068" s="521" t="s">
        <v>1901</v>
      </c>
      <c r="H2068" s="522">
        <v>1</v>
      </c>
      <c r="I2068" s="523">
        <v>1.24</v>
      </c>
      <c r="J2068" s="523">
        <v>1.24</v>
      </c>
    </row>
    <row r="2069" spans="1:10" ht="14.5" thickTop="1" x14ac:dyDescent="0.3">
      <c r="A2069" s="647"/>
      <c r="B2069" s="647"/>
      <c r="C2069" s="647"/>
      <c r="D2069" s="647"/>
      <c r="E2069" s="647"/>
      <c r="F2069" s="647"/>
      <c r="G2069" s="647"/>
      <c r="H2069" s="647"/>
      <c r="I2069" s="647"/>
      <c r="J2069"/>
    </row>
    <row r="2070" spans="1:10" s="358" customFormat="1" x14ac:dyDescent="0.3">
      <c r="A2070" s="516"/>
      <c r="B2070" s="517" t="s">
        <v>15</v>
      </c>
      <c r="C2070" s="516" t="s">
        <v>16</v>
      </c>
      <c r="D2070" s="516" t="s">
        <v>17</v>
      </c>
      <c r="E2070" s="904" t="s">
        <v>2431</v>
      </c>
      <c r="F2070" s="904"/>
      <c r="G2070" s="518" t="s">
        <v>18</v>
      </c>
      <c r="H2070" s="517" t="s">
        <v>19</v>
      </c>
      <c r="I2070" s="517" t="s">
        <v>20</v>
      </c>
      <c r="J2070" s="517" t="s">
        <v>23</v>
      </c>
    </row>
    <row r="2071" spans="1:10" ht="14.25" customHeight="1" x14ac:dyDescent="0.3">
      <c r="A2071" s="642" t="s">
        <v>2432</v>
      </c>
      <c r="B2071" s="643" t="s">
        <v>3184</v>
      </c>
      <c r="C2071" s="642" t="s">
        <v>32</v>
      </c>
      <c r="D2071" s="642" t="s">
        <v>3185</v>
      </c>
      <c r="E2071" s="906" t="s">
        <v>2433</v>
      </c>
      <c r="F2071" s="906"/>
      <c r="G2071" s="644" t="s">
        <v>1901</v>
      </c>
      <c r="H2071" s="645">
        <v>1</v>
      </c>
      <c r="I2071" s="646">
        <v>24.26</v>
      </c>
      <c r="J2071" s="646">
        <v>24.26</v>
      </c>
    </row>
    <row r="2072" spans="1:10" s="358" customFormat="1" ht="25" x14ac:dyDescent="0.3">
      <c r="A2072" s="519" t="s">
        <v>2434</v>
      </c>
      <c r="B2072" s="520" t="s">
        <v>3278</v>
      </c>
      <c r="C2072" s="519" t="s">
        <v>32</v>
      </c>
      <c r="D2072" s="519" t="s">
        <v>3279</v>
      </c>
      <c r="E2072" s="905" t="s">
        <v>2433</v>
      </c>
      <c r="F2072" s="905"/>
      <c r="G2072" s="521" t="s">
        <v>1901</v>
      </c>
      <c r="H2072" s="522">
        <v>1</v>
      </c>
      <c r="I2072" s="523">
        <v>0.25</v>
      </c>
      <c r="J2072" s="523">
        <v>0.25</v>
      </c>
    </row>
    <row r="2073" spans="1:10" x14ac:dyDescent="0.3">
      <c r="A2073" s="519" t="s">
        <v>2437</v>
      </c>
      <c r="B2073" s="520" t="s">
        <v>3280</v>
      </c>
      <c r="C2073" s="519" t="s">
        <v>32</v>
      </c>
      <c r="D2073" s="519" t="s">
        <v>3281</v>
      </c>
      <c r="E2073" s="905" t="s">
        <v>2440</v>
      </c>
      <c r="F2073" s="905"/>
      <c r="G2073" s="521" t="s">
        <v>1901</v>
      </c>
      <c r="H2073" s="522">
        <v>1</v>
      </c>
      <c r="I2073" s="523">
        <v>15.27</v>
      </c>
      <c r="J2073" s="523">
        <v>15.27</v>
      </c>
    </row>
    <row r="2074" spans="1:10" ht="25" x14ac:dyDescent="0.3">
      <c r="A2074" s="519" t="s">
        <v>2437</v>
      </c>
      <c r="B2074" s="520" t="s">
        <v>3257</v>
      </c>
      <c r="C2074" s="519" t="s">
        <v>32</v>
      </c>
      <c r="D2074" s="519" t="s">
        <v>4306</v>
      </c>
      <c r="E2074" s="905" t="s">
        <v>2856</v>
      </c>
      <c r="F2074" s="905"/>
      <c r="G2074" s="521" t="s">
        <v>1901</v>
      </c>
      <c r="H2074" s="522">
        <v>1</v>
      </c>
      <c r="I2074" s="523">
        <v>3.8</v>
      </c>
      <c r="J2074" s="523">
        <v>3.8</v>
      </c>
    </row>
    <row r="2075" spans="1:10" ht="25" x14ac:dyDescent="0.3">
      <c r="A2075" s="519" t="s">
        <v>2437</v>
      </c>
      <c r="B2075" s="520" t="s">
        <v>3258</v>
      </c>
      <c r="C2075" s="519" t="s">
        <v>32</v>
      </c>
      <c r="D2075" s="519" t="s">
        <v>4307</v>
      </c>
      <c r="E2075" s="905" t="s">
        <v>3259</v>
      </c>
      <c r="F2075" s="905"/>
      <c r="G2075" s="521" t="s">
        <v>1901</v>
      </c>
      <c r="H2075" s="522">
        <v>1</v>
      </c>
      <c r="I2075" s="523">
        <v>1.5</v>
      </c>
      <c r="J2075" s="523">
        <v>1.5</v>
      </c>
    </row>
    <row r="2076" spans="1:10" ht="25" x14ac:dyDescent="0.3">
      <c r="A2076" s="519" t="s">
        <v>2437</v>
      </c>
      <c r="B2076" s="520" t="s">
        <v>3260</v>
      </c>
      <c r="C2076" s="519" t="s">
        <v>32</v>
      </c>
      <c r="D2076" s="519" t="s">
        <v>4308</v>
      </c>
      <c r="E2076" s="905" t="s">
        <v>2856</v>
      </c>
      <c r="F2076" s="905"/>
      <c r="G2076" s="521" t="s">
        <v>1901</v>
      </c>
      <c r="H2076" s="522">
        <v>1</v>
      </c>
      <c r="I2076" s="523">
        <v>1.34</v>
      </c>
      <c r="J2076" s="523">
        <v>1.34</v>
      </c>
    </row>
    <row r="2077" spans="1:10" ht="25" x14ac:dyDescent="0.3">
      <c r="A2077" s="519" t="s">
        <v>2437</v>
      </c>
      <c r="B2077" s="520" t="s">
        <v>3261</v>
      </c>
      <c r="C2077" s="519" t="s">
        <v>32</v>
      </c>
      <c r="D2077" s="519" t="s">
        <v>4309</v>
      </c>
      <c r="E2077" s="905" t="s">
        <v>2535</v>
      </c>
      <c r="F2077" s="905"/>
      <c r="G2077" s="521" t="s">
        <v>1901</v>
      </c>
      <c r="H2077" s="522">
        <v>1</v>
      </c>
      <c r="I2077" s="523">
        <v>0.04</v>
      </c>
      <c r="J2077" s="523">
        <v>0.04</v>
      </c>
    </row>
    <row r="2078" spans="1:10" ht="25" x14ac:dyDescent="0.3">
      <c r="A2078" s="519" t="s">
        <v>2437</v>
      </c>
      <c r="B2078" s="520" t="s">
        <v>3262</v>
      </c>
      <c r="C2078" s="519" t="s">
        <v>32</v>
      </c>
      <c r="D2078" s="519" t="s">
        <v>3263</v>
      </c>
      <c r="E2078" s="905" t="s">
        <v>2446</v>
      </c>
      <c r="F2078" s="905"/>
      <c r="G2078" s="521" t="s">
        <v>1901</v>
      </c>
      <c r="H2078" s="522">
        <v>1</v>
      </c>
      <c r="I2078" s="523">
        <v>0.82</v>
      </c>
      <c r="J2078" s="523">
        <v>0.82</v>
      </c>
    </row>
    <row r="2079" spans="1:10" ht="25.5" thickBot="1" x14ac:dyDescent="0.35">
      <c r="A2079" s="519" t="s">
        <v>2437</v>
      </c>
      <c r="B2079" s="520" t="s">
        <v>3264</v>
      </c>
      <c r="C2079" s="519" t="s">
        <v>32</v>
      </c>
      <c r="D2079" s="519" t="s">
        <v>3265</v>
      </c>
      <c r="E2079" s="905" t="s">
        <v>2446</v>
      </c>
      <c r="F2079" s="905"/>
      <c r="G2079" s="521" t="s">
        <v>1901</v>
      </c>
      <c r="H2079" s="522">
        <v>1</v>
      </c>
      <c r="I2079" s="523">
        <v>1.24</v>
      </c>
      <c r="J2079" s="523">
        <v>1.24</v>
      </c>
    </row>
    <row r="2080" spans="1:10" ht="14.5" thickTop="1" x14ac:dyDescent="0.3">
      <c r="A2080" s="647"/>
      <c r="B2080" s="647"/>
      <c r="C2080" s="647"/>
      <c r="D2080" s="647"/>
      <c r="E2080" s="647"/>
      <c r="F2080" s="647"/>
      <c r="G2080" s="647"/>
      <c r="H2080" s="647"/>
      <c r="I2080" s="647"/>
      <c r="J2080"/>
    </row>
    <row r="2081" spans="1:10" s="358" customFormat="1" x14ac:dyDescent="0.3">
      <c r="A2081" s="516"/>
      <c r="B2081" s="517" t="s">
        <v>15</v>
      </c>
      <c r="C2081" s="516" t="s">
        <v>16</v>
      </c>
      <c r="D2081" s="516" t="s">
        <v>17</v>
      </c>
      <c r="E2081" s="904" t="s">
        <v>2431</v>
      </c>
      <c r="F2081" s="904"/>
      <c r="G2081" s="518" t="s">
        <v>18</v>
      </c>
      <c r="H2081" s="517" t="s">
        <v>19</v>
      </c>
      <c r="I2081" s="517" t="s">
        <v>20</v>
      </c>
      <c r="J2081" s="517" t="s">
        <v>23</v>
      </c>
    </row>
    <row r="2082" spans="1:10" ht="37.5" x14ac:dyDescent="0.3">
      <c r="A2082" s="642" t="s">
        <v>2432</v>
      </c>
      <c r="B2082" s="643" t="s">
        <v>2698</v>
      </c>
      <c r="C2082" s="642" t="s">
        <v>32</v>
      </c>
      <c r="D2082" s="642" t="s">
        <v>2699</v>
      </c>
      <c r="E2082" s="906" t="s">
        <v>2617</v>
      </c>
      <c r="F2082" s="906"/>
      <c r="G2082" s="644" t="s">
        <v>118</v>
      </c>
      <c r="H2082" s="645">
        <v>1</v>
      </c>
      <c r="I2082" s="646">
        <v>1099.54</v>
      </c>
      <c r="J2082" s="646">
        <v>1099.54</v>
      </c>
    </row>
    <row r="2083" spans="1:10" s="358" customFormat="1" ht="50" x14ac:dyDescent="0.3">
      <c r="A2083" s="519" t="s">
        <v>2434</v>
      </c>
      <c r="B2083" s="520" t="s">
        <v>3037</v>
      </c>
      <c r="C2083" s="519" t="s">
        <v>32</v>
      </c>
      <c r="D2083" s="519" t="s">
        <v>3038</v>
      </c>
      <c r="E2083" s="905" t="s">
        <v>2433</v>
      </c>
      <c r="F2083" s="905"/>
      <c r="G2083" s="521" t="s">
        <v>118</v>
      </c>
      <c r="H2083" s="522">
        <v>0.13</v>
      </c>
      <c r="I2083" s="523">
        <v>498.8</v>
      </c>
      <c r="J2083" s="523">
        <v>64.84</v>
      </c>
    </row>
    <row r="2084" spans="1:10" ht="25" x14ac:dyDescent="0.3">
      <c r="A2084" s="519" t="s">
        <v>2434</v>
      </c>
      <c r="B2084" s="520" t="s">
        <v>2757</v>
      </c>
      <c r="C2084" s="519" t="s">
        <v>32</v>
      </c>
      <c r="D2084" s="519" t="s">
        <v>2758</v>
      </c>
      <c r="E2084" s="905" t="s">
        <v>2433</v>
      </c>
      <c r="F2084" s="905"/>
      <c r="G2084" s="521" t="s">
        <v>1901</v>
      </c>
      <c r="H2084" s="522">
        <v>10.263</v>
      </c>
      <c r="I2084" s="523">
        <v>31.1</v>
      </c>
      <c r="J2084" s="523">
        <v>319.17</v>
      </c>
    </row>
    <row r="2085" spans="1:10" ht="25" x14ac:dyDescent="0.3">
      <c r="A2085" s="519" t="s">
        <v>2434</v>
      </c>
      <c r="B2085" s="520" t="s">
        <v>2561</v>
      </c>
      <c r="C2085" s="519" t="s">
        <v>32</v>
      </c>
      <c r="D2085" s="519" t="s">
        <v>2562</v>
      </c>
      <c r="E2085" s="905" t="s">
        <v>2433</v>
      </c>
      <c r="F2085" s="905"/>
      <c r="G2085" s="521" t="s">
        <v>1901</v>
      </c>
      <c r="H2085" s="522">
        <v>5.1319999999999997</v>
      </c>
      <c r="I2085" s="523">
        <v>23.4</v>
      </c>
      <c r="J2085" s="523">
        <v>120.08</v>
      </c>
    </row>
    <row r="2086" spans="1:10" ht="25.5" thickBot="1" x14ac:dyDescent="0.35">
      <c r="A2086" s="519" t="s">
        <v>2437</v>
      </c>
      <c r="B2086" s="520" t="s">
        <v>3282</v>
      </c>
      <c r="C2086" s="519" t="s">
        <v>32</v>
      </c>
      <c r="D2086" s="519" t="s">
        <v>3283</v>
      </c>
      <c r="E2086" s="905" t="s">
        <v>2442</v>
      </c>
      <c r="F2086" s="905"/>
      <c r="G2086" s="521" t="s">
        <v>89</v>
      </c>
      <c r="H2086" s="522">
        <v>122.27</v>
      </c>
      <c r="I2086" s="523">
        <v>4.87</v>
      </c>
      <c r="J2086" s="523">
        <v>595.45000000000005</v>
      </c>
    </row>
    <row r="2087" spans="1:10" ht="14.5" thickTop="1" x14ac:dyDescent="0.3">
      <c r="A2087" s="647"/>
      <c r="B2087" s="647"/>
      <c r="C2087" s="647"/>
      <c r="D2087" s="647"/>
      <c r="E2087" s="647"/>
      <c r="F2087" s="647"/>
      <c r="G2087" s="647"/>
      <c r="H2087" s="647"/>
      <c r="I2087" s="647"/>
      <c r="J2087"/>
    </row>
    <row r="2088" spans="1:10" x14ac:dyDescent="0.3">
      <c r="A2088" s="516"/>
      <c r="B2088" s="517" t="s">
        <v>15</v>
      </c>
      <c r="C2088" s="516" t="s">
        <v>16</v>
      </c>
      <c r="D2088" s="516" t="s">
        <v>17</v>
      </c>
      <c r="E2088" s="904" t="s">
        <v>2431</v>
      </c>
      <c r="F2088" s="904"/>
      <c r="G2088" s="518" t="s">
        <v>18</v>
      </c>
      <c r="H2088" s="517" t="s">
        <v>19</v>
      </c>
      <c r="I2088" s="517" t="s">
        <v>20</v>
      </c>
      <c r="J2088" s="517" t="s">
        <v>23</v>
      </c>
    </row>
    <row r="2089" spans="1:10" ht="37.5" x14ac:dyDescent="0.3">
      <c r="A2089" s="642" t="s">
        <v>2432</v>
      </c>
      <c r="B2089" s="643" t="s">
        <v>3286</v>
      </c>
      <c r="C2089" s="642" t="s">
        <v>32</v>
      </c>
      <c r="D2089" s="642" t="s">
        <v>3287</v>
      </c>
      <c r="E2089" s="906" t="s">
        <v>2433</v>
      </c>
      <c r="F2089" s="906"/>
      <c r="G2089" s="644" t="s">
        <v>118</v>
      </c>
      <c r="H2089" s="645">
        <v>1</v>
      </c>
      <c r="I2089" s="646">
        <v>648.42999999999995</v>
      </c>
      <c r="J2089" s="646">
        <v>648.42999999999995</v>
      </c>
    </row>
    <row r="2090" spans="1:10" ht="25" x14ac:dyDescent="0.3">
      <c r="A2090" s="519" t="s">
        <v>2434</v>
      </c>
      <c r="B2090" s="520" t="s">
        <v>2561</v>
      </c>
      <c r="C2090" s="519" t="s">
        <v>32</v>
      </c>
      <c r="D2090" s="519" t="s">
        <v>2562</v>
      </c>
      <c r="E2090" s="905" t="s">
        <v>2433</v>
      </c>
      <c r="F2090" s="905"/>
      <c r="G2090" s="521" t="s">
        <v>1901</v>
      </c>
      <c r="H2090" s="522">
        <v>11.23</v>
      </c>
      <c r="I2090" s="523">
        <v>23.4</v>
      </c>
      <c r="J2090" s="523">
        <v>262.77999999999997</v>
      </c>
    </row>
    <row r="2091" spans="1:10" x14ac:dyDescent="0.3">
      <c r="A2091" s="519" t="s">
        <v>2437</v>
      </c>
      <c r="B2091" s="520" t="s">
        <v>2816</v>
      </c>
      <c r="C2091" s="519" t="s">
        <v>125</v>
      </c>
      <c r="D2091" s="519" t="s">
        <v>2817</v>
      </c>
      <c r="E2091" s="905" t="s">
        <v>2442</v>
      </c>
      <c r="F2091" s="905"/>
      <c r="G2091" s="521" t="s">
        <v>118</v>
      </c>
      <c r="H2091" s="522">
        <v>1.1599999999999999</v>
      </c>
      <c r="I2091" s="523">
        <v>149.36019999999999</v>
      </c>
      <c r="J2091" s="523">
        <v>173.25</v>
      </c>
    </row>
    <row r="2092" spans="1:10" s="358" customFormat="1" x14ac:dyDescent="0.3">
      <c r="A2092" s="519" t="s">
        <v>2437</v>
      </c>
      <c r="B2092" s="520" t="s">
        <v>383</v>
      </c>
      <c r="C2092" s="519" t="s">
        <v>125</v>
      </c>
      <c r="D2092" s="519" t="s">
        <v>4524</v>
      </c>
      <c r="E2092" s="905" t="s">
        <v>2442</v>
      </c>
      <c r="F2092" s="905"/>
      <c r="G2092" s="521" t="s">
        <v>384</v>
      </c>
      <c r="H2092" s="522">
        <v>116.4</v>
      </c>
      <c r="I2092" s="523">
        <v>0.54959999999999998</v>
      </c>
      <c r="J2092" s="523">
        <v>63.97</v>
      </c>
    </row>
    <row r="2093" spans="1:10" ht="14.5" thickBot="1" x14ac:dyDescent="0.35">
      <c r="A2093" s="519" t="s">
        <v>2437</v>
      </c>
      <c r="B2093" s="520" t="s">
        <v>4470</v>
      </c>
      <c r="C2093" s="519" t="s">
        <v>125</v>
      </c>
      <c r="D2093" s="519" t="s">
        <v>4471</v>
      </c>
      <c r="E2093" s="905" t="s">
        <v>2442</v>
      </c>
      <c r="F2093" s="905"/>
      <c r="G2093" s="521" t="s">
        <v>384</v>
      </c>
      <c r="H2093" s="522">
        <v>261.89</v>
      </c>
      <c r="I2093" s="523">
        <v>0.56679999999999997</v>
      </c>
      <c r="J2093" s="523">
        <v>148.43</v>
      </c>
    </row>
    <row r="2094" spans="1:10" s="358" customFormat="1" ht="14.5" thickTop="1" x14ac:dyDescent="0.3">
      <c r="A2094" s="647"/>
      <c r="B2094" s="647"/>
      <c r="C2094" s="647"/>
      <c r="D2094" s="647"/>
      <c r="E2094" s="647"/>
      <c r="F2094" s="647"/>
      <c r="G2094" s="647"/>
      <c r="H2094" s="647"/>
      <c r="I2094" s="647"/>
      <c r="J2094"/>
    </row>
    <row r="2095" spans="1:10" x14ac:dyDescent="0.3">
      <c r="A2095" s="516"/>
      <c r="B2095" s="517" t="s">
        <v>15</v>
      </c>
      <c r="C2095" s="516" t="s">
        <v>16</v>
      </c>
      <c r="D2095" s="516" t="s">
        <v>17</v>
      </c>
      <c r="E2095" s="904" t="s">
        <v>2431</v>
      </c>
      <c r="F2095" s="904"/>
      <c r="G2095" s="518" t="s">
        <v>18</v>
      </c>
      <c r="H2095" s="517" t="s">
        <v>19</v>
      </c>
      <c r="I2095" s="517" t="s">
        <v>20</v>
      </c>
      <c r="J2095" s="517" t="s">
        <v>23</v>
      </c>
    </row>
    <row r="2096" spans="1:10" ht="50" x14ac:dyDescent="0.3">
      <c r="A2096" s="642" t="s">
        <v>2432</v>
      </c>
      <c r="B2096" s="643" t="s">
        <v>3037</v>
      </c>
      <c r="C2096" s="642" t="s">
        <v>32</v>
      </c>
      <c r="D2096" s="642" t="s">
        <v>3038</v>
      </c>
      <c r="E2096" s="906" t="s">
        <v>2433</v>
      </c>
      <c r="F2096" s="906"/>
      <c r="G2096" s="644" t="s">
        <v>118</v>
      </c>
      <c r="H2096" s="645">
        <v>1</v>
      </c>
      <c r="I2096" s="646">
        <v>498.8</v>
      </c>
      <c r="J2096" s="646">
        <v>498.8</v>
      </c>
    </row>
    <row r="2097" spans="1:10" ht="25" x14ac:dyDescent="0.3">
      <c r="A2097" s="519" t="s">
        <v>2434</v>
      </c>
      <c r="B2097" s="520" t="s">
        <v>2812</v>
      </c>
      <c r="C2097" s="519" t="s">
        <v>32</v>
      </c>
      <c r="D2097" s="519" t="s">
        <v>2813</v>
      </c>
      <c r="E2097" s="905" t="s">
        <v>2433</v>
      </c>
      <c r="F2097" s="905"/>
      <c r="G2097" s="521" t="s">
        <v>1901</v>
      </c>
      <c r="H2097" s="522">
        <v>4.5</v>
      </c>
      <c r="I2097" s="523">
        <v>25.72</v>
      </c>
      <c r="J2097" s="523">
        <v>115.74</v>
      </c>
    </row>
    <row r="2098" spans="1:10" ht="38.25" customHeight="1" x14ac:dyDescent="0.3">
      <c r="A2098" s="519" t="s">
        <v>2434</v>
      </c>
      <c r="B2098" s="520" t="s">
        <v>3180</v>
      </c>
      <c r="C2098" s="519" t="s">
        <v>32</v>
      </c>
      <c r="D2098" s="519" t="s">
        <v>4301</v>
      </c>
      <c r="E2098" s="905" t="s">
        <v>2465</v>
      </c>
      <c r="F2098" s="905"/>
      <c r="G2098" s="521" t="s">
        <v>103</v>
      </c>
      <c r="H2098" s="522">
        <v>1.05</v>
      </c>
      <c r="I2098" s="523">
        <v>1.66</v>
      </c>
      <c r="J2098" s="523">
        <v>1.74</v>
      </c>
    </row>
    <row r="2099" spans="1:10" s="358" customFormat="1" ht="38.25" customHeight="1" x14ac:dyDescent="0.3">
      <c r="A2099" s="519" t="s">
        <v>2434</v>
      </c>
      <c r="B2099" s="520" t="s">
        <v>3181</v>
      </c>
      <c r="C2099" s="519" t="s">
        <v>32</v>
      </c>
      <c r="D2099" s="519" t="s">
        <v>4302</v>
      </c>
      <c r="E2099" s="905" t="s">
        <v>2465</v>
      </c>
      <c r="F2099" s="905"/>
      <c r="G2099" s="521" t="s">
        <v>110</v>
      </c>
      <c r="H2099" s="522">
        <v>3.45</v>
      </c>
      <c r="I2099" s="523">
        <v>0.4</v>
      </c>
      <c r="J2099" s="523">
        <v>1.38</v>
      </c>
    </row>
    <row r="2100" spans="1:10" x14ac:dyDescent="0.3">
      <c r="A2100" s="519" t="s">
        <v>2437</v>
      </c>
      <c r="B2100" s="520" t="s">
        <v>2816</v>
      </c>
      <c r="C2100" s="519" t="s">
        <v>125</v>
      </c>
      <c r="D2100" s="519" t="s">
        <v>2817</v>
      </c>
      <c r="E2100" s="905" t="s">
        <v>2442</v>
      </c>
      <c r="F2100" s="905"/>
      <c r="G2100" s="521" t="s">
        <v>118</v>
      </c>
      <c r="H2100" s="522">
        <v>1.1599999999999999</v>
      </c>
      <c r="I2100" s="523">
        <v>149.36019999999999</v>
      </c>
      <c r="J2100" s="523">
        <v>173.25</v>
      </c>
    </row>
    <row r="2101" spans="1:10" s="358" customFormat="1" x14ac:dyDescent="0.3">
      <c r="A2101" s="519" t="s">
        <v>2437</v>
      </c>
      <c r="B2101" s="520" t="s">
        <v>383</v>
      </c>
      <c r="C2101" s="519" t="s">
        <v>125</v>
      </c>
      <c r="D2101" s="519" t="s">
        <v>4524</v>
      </c>
      <c r="E2101" s="905" t="s">
        <v>2442</v>
      </c>
      <c r="F2101" s="905"/>
      <c r="G2101" s="521" t="s">
        <v>384</v>
      </c>
      <c r="H2101" s="522">
        <v>174.1</v>
      </c>
      <c r="I2101" s="523">
        <v>0.54959999999999998</v>
      </c>
      <c r="J2101" s="523">
        <v>95.68</v>
      </c>
    </row>
    <row r="2102" spans="1:10" ht="14.5" thickBot="1" x14ac:dyDescent="0.35">
      <c r="A2102" s="519" t="s">
        <v>2437</v>
      </c>
      <c r="B2102" s="520" t="s">
        <v>4470</v>
      </c>
      <c r="C2102" s="519" t="s">
        <v>125</v>
      </c>
      <c r="D2102" s="519" t="s">
        <v>4471</v>
      </c>
      <c r="E2102" s="905" t="s">
        <v>2442</v>
      </c>
      <c r="F2102" s="905"/>
      <c r="G2102" s="521" t="s">
        <v>384</v>
      </c>
      <c r="H2102" s="522">
        <v>195.86</v>
      </c>
      <c r="I2102" s="523">
        <v>0.56679999999999997</v>
      </c>
      <c r="J2102" s="523">
        <v>111.01</v>
      </c>
    </row>
    <row r="2103" spans="1:10" ht="14.5" thickTop="1" x14ac:dyDescent="0.3">
      <c r="A2103" s="647"/>
      <c r="B2103" s="647"/>
      <c r="C2103" s="647"/>
      <c r="D2103" s="647"/>
      <c r="E2103" s="647"/>
      <c r="F2103" s="647"/>
      <c r="G2103" s="647"/>
      <c r="H2103" s="647"/>
      <c r="I2103" s="647"/>
      <c r="J2103"/>
    </row>
    <row r="2104" spans="1:10" x14ac:dyDescent="0.3">
      <c r="A2104" s="516"/>
      <c r="B2104" s="517" t="s">
        <v>15</v>
      </c>
      <c r="C2104" s="516" t="s">
        <v>16</v>
      </c>
      <c r="D2104" s="516" t="s">
        <v>17</v>
      </c>
      <c r="E2104" s="904" t="s">
        <v>2431</v>
      </c>
      <c r="F2104" s="904"/>
      <c r="G2104" s="518" t="s">
        <v>18</v>
      </c>
      <c r="H2104" s="517" t="s">
        <v>19</v>
      </c>
      <c r="I2104" s="517" t="s">
        <v>20</v>
      </c>
      <c r="J2104" s="517" t="s">
        <v>23</v>
      </c>
    </row>
    <row r="2105" spans="1:10" ht="37.5" x14ac:dyDescent="0.3">
      <c r="A2105" s="642" t="s">
        <v>2432</v>
      </c>
      <c r="B2105" s="643" t="s">
        <v>3288</v>
      </c>
      <c r="C2105" s="642" t="s">
        <v>32</v>
      </c>
      <c r="D2105" s="642" t="s">
        <v>3289</v>
      </c>
      <c r="E2105" s="906" t="s">
        <v>2433</v>
      </c>
      <c r="F2105" s="906"/>
      <c r="G2105" s="644" t="s">
        <v>118</v>
      </c>
      <c r="H2105" s="645">
        <v>1</v>
      </c>
      <c r="I2105" s="646">
        <v>696.95</v>
      </c>
      <c r="J2105" s="646">
        <v>696.95</v>
      </c>
    </row>
    <row r="2106" spans="1:10" s="358" customFormat="1" ht="25" x14ac:dyDescent="0.3">
      <c r="A2106" s="519" t="s">
        <v>2434</v>
      </c>
      <c r="B2106" s="520" t="s">
        <v>2812</v>
      </c>
      <c r="C2106" s="519" t="s">
        <v>32</v>
      </c>
      <c r="D2106" s="519" t="s">
        <v>2813</v>
      </c>
      <c r="E2106" s="905" t="s">
        <v>2433</v>
      </c>
      <c r="F2106" s="905"/>
      <c r="G2106" s="521" t="s">
        <v>1901</v>
      </c>
      <c r="H2106" s="522">
        <v>3.75</v>
      </c>
      <c r="I2106" s="523">
        <v>25.72</v>
      </c>
      <c r="J2106" s="523">
        <v>96.45</v>
      </c>
    </row>
    <row r="2107" spans="1:10" ht="38.25" customHeight="1" x14ac:dyDescent="0.3">
      <c r="A2107" s="519" t="s">
        <v>2434</v>
      </c>
      <c r="B2107" s="520" t="s">
        <v>3180</v>
      </c>
      <c r="C2107" s="519" t="s">
        <v>32</v>
      </c>
      <c r="D2107" s="519" t="s">
        <v>4301</v>
      </c>
      <c r="E2107" s="905" t="s">
        <v>2465</v>
      </c>
      <c r="F2107" s="905"/>
      <c r="G2107" s="521" t="s">
        <v>103</v>
      </c>
      <c r="H2107" s="522">
        <v>0.87</v>
      </c>
      <c r="I2107" s="523">
        <v>1.66</v>
      </c>
      <c r="J2107" s="523">
        <v>1.44</v>
      </c>
    </row>
    <row r="2108" spans="1:10" s="358" customFormat="1" ht="38.25" customHeight="1" x14ac:dyDescent="0.3">
      <c r="A2108" s="519" t="s">
        <v>2434</v>
      </c>
      <c r="B2108" s="520" t="s">
        <v>3181</v>
      </c>
      <c r="C2108" s="519" t="s">
        <v>32</v>
      </c>
      <c r="D2108" s="519" t="s">
        <v>4302</v>
      </c>
      <c r="E2108" s="905" t="s">
        <v>2465</v>
      </c>
      <c r="F2108" s="905"/>
      <c r="G2108" s="521" t="s">
        <v>110</v>
      </c>
      <c r="H2108" s="522">
        <v>2.88</v>
      </c>
      <c r="I2108" s="523">
        <v>0.4</v>
      </c>
      <c r="J2108" s="523">
        <v>1.1499999999999999</v>
      </c>
    </row>
    <row r="2109" spans="1:10" ht="25" x14ac:dyDescent="0.3">
      <c r="A2109" s="519" t="s">
        <v>2437</v>
      </c>
      <c r="B2109" s="520" t="s">
        <v>3290</v>
      </c>
      <c r="C2109" s="519" t="s">
        <v>32</v>
      </c>
      <c r="D2109" s="519" t="s">
        <v>3291</v>
      </c>
      <c r="E2109" s="905" t="s">
        <v>2442</v>
      </c>
      <c r="F2109" s="905"/>
      <c r="G2109" s="521" t="s">
        <v>2900</v>
      </c>
      <c r="H2109" s="522">
        <v>19.440000000000001</v>
      </c>
      <c r="I2109" s="523">
        <v>8.2899999999999991</v>
      </c>
      <c r="J2109" s="523">
        <v>161.15</v>
      </c>
    </row>
    <row r="2110" spans="1:10" ht="38.25" customHeight="1" x14ac:dyDescent="0.3">
      <c r="A2110" s="519" t="s">
        <v>2437</v>
      </c>
      <c r="B2110" s="520" t="s">
        <v>2816</v>
      </c>
      <c r="C2110" s="519" t="s">
        <v>125</v>
      </c>
      <c r="D2110" s="519" t="s">
        <v>2817</v>
      </c>
      <c r="E2110" s="905" t="s">
        <v>2442</v>
      </c>
      <c r="F2110" s="905"/>
      <c r="G2110" s="521" t="s">
        <v>118</v>
      </c>
      <c r="H2110" s="522">
        <v>1.08</v>
      </c>
      <c r="I2110" s="523">
        <v>149.36019999999999</v>
      </c>
      <c r="J2110" s="523">
        <v>161.30000000000001</v>
      </c>
    </row>
    <row r="2111" spans="1:10" ht="38.25" customHeight="1" thickBot="1" x14ac:dyDescent="0.35">
      <c r="A2111" s="519" t="s">
        <v>2437</v>
      </c>
      <c r="B2111" s="520" t="s">
        <v>4470</v>
      </c>
      <c r="C2111" s="519" t="s">
        <v>125</v>
      </c>
      <c r="D2111" s="519" t="s">
        <v>4471</v>
      </c>
      <c r="E2111" s="905" t="s">
        <v>2442</v>
      </c>
      <c r="F2111" s="905"/>
      <c r="G2111" s="521" t="s">
        <v>384</v>
      </c>
      <c r="H2111" s="522">
        <v>486</v>
      </c>
      <c r="I2111" s="523">
        <v>0.56679999999999997</v>
      </c>
      <c r="J2111" s="523">
        <v>275.45999999999998</v>
      </c>
    </row>
    <row r="2112" spans="1:10" ht="14.5" thickTop="1" x14ac:dyDescent="0.3">
      <c r="A2112" s="647"/>
      <c r="B2112" s="647"/>
      <c r="C2112" s="647"/>
      <c r="D2112" s="647"/>
      <c r="E2112" s="647"/>
      <c r="F2112" s="647"/>
      <c r="G2112" s="647"/>
      <c r="H2112" s="647"/>
      <c r="I2112" s="647"/>
      <c r="J2112"/>
    </row>
    <row r="2113" spans="1:10" x14ac:dyDescent="0.3">
      <c r="A2113" s="516"/>
      <c r="B2113" s="517" t="s">
        <v>15</v>
      </c>
      <c r="C2113" s="516" t="s">
        <v>16</v>
      </c>
      <c r="D2113" s="516" t="s">
        <v>17</v>
      </c>
      <c r="E2113" s="904" t="s">
        <v>2431</v>
      </c>
      <c r="F2113" s="904"/>
      <c r="G2113" s="518" t="s">
        <v>18</v>
      </c>
      <c r="H2113" s="517" t="s">
        <v>19</v>
      </c>
      <c r="I2113" s="517" t="s">
        <v>20</v>
      </c>
      <c r="J2113" s="517" t="s">
        <v>23</v>
      </c>
    </row>
    <row r="2114" spans="1:10" ht="25" x14ac:dyDescent="0.3">
      <c r="A2114" s="642" t="s">
        <v>2432</v>
      </c>
      <c r="B2114" s="643" t="s">
        <v>3009</v>
      </c>
      <c r="C2114" s="642" t="s">
        <v>32</v>
      </c>
      <c r="D2114" s="642" t="s">
        <v>3010</v>
      </c>
      <c r="E2114" s="906" t="s">
        <v>2433</v>
      </c>
      <c r="F2114" s="906"/>
      <c r="G2114" s="644" t="s">
        <v>118</v>
      </c>
      <c r="H2114" s="645">
        <v>1</v>
      </c>
      <c r="I2114" s="646">
        <v>634.08000000000004</v>
      </c>
      <c r="J2114" s="646">
        <v>634.08000000000004</v>
      </c>
    </row>
    <row r="2115" spans="1:10" s="358" customFormat="1" ht="25" x14ac:dyDescent="0.3">
      <c r="A2115" s="519" t="s">
        <v>2434</v>
      </c>
      <c r="B2115" s="520" t="s">
        <v>2561</v>
      </c>
      <c r="C2115" s="519" t="s">
        <v>32</v>
      </c>
      <c r="D2115" s="519" t="s">
        <v>2562</v>
      </c>
      <c r="E2115" s="905" t="s">
        <v>2433</v>
      </c>
      <c r="F2115" s="905"/>
      <c r="G2115" s="521" t="s">
        <v>1901</v>
      </c>
      <c r="H2115" s="522">
        <v>8.57</v>
      </c>
      <c r="I2115" s="523">
        <v>23.4</v>
      </c>
      <c r="J2115" s="523">
        <v>200.53</v>
      </c>
    </row>
    <row r="2116" spans="1:10" x14ac:dyDescent="0.3">
      <c r="A2116" s="519" t="s">
        <v>2437</v>
      </c>
      <c r="B2116" s="520" t="s">
        <v>2816</v>
      </c>
      <c r="C2116" s="519" t="s">
        <v>125</v>
      </c>
      <c r="D2116" s="519" t="s">
        <v>2817</v>
      </c>
      <c r="E2116" s="905" t="s">
        <v>2442</v>
      </c>
      <c r="F2116" s="905"/>
      <c r="G2116" s="521" t="s">
        <v>118</v>
      </c>
      <c r="H2116" s="522">
        <v>1.07</v>
      </c>
      <c r="I2116" s="523">
        <v>149.36019999999999</v>
      </c>
      <c r="J2116" s="523">
        <v>159.81</v>
      </c>
    </row>
    <row r="2117" spans="1:10" s="358" customFormat="1" ht="14.5" thickBot="1" x14ac:dyDescent="0.35">
      <c r="A2117" s="519" t="s">
        <v>2437</v>
      </c>
      <c r="B2117" s="520" t="s">
        <v>4470</v>
      </c>
      <c r="C2117" s="519" t="s">
        <v>125</v>
      </c>
      <c r="D2117" s="519" t="s">
        <v>4471</v>
      </c>
      <c r="E2117" s="905" t="s">
        <v>2442</v>
      </c>
      <c r="F2117" s="905"/>
      <c r="G2117" s="521" t="s">
        <v>384</v>
      </c>
      <c r="H2117" s="522">
        <v>482.96</v>
      </c>
      <c r="I2117" s="523">
        <v>0.56679999999999997</v>
      </c>
      <c r="J2117" s="523">
        <v>273.74</v>
      </c>
    </row>
    <row r="2118" spans="1:10" ht="14.5" thickTop="1" x14ac:dyDescent="0.3">
      <c r="A2118" s="647"/>
      <c r="B2118" s="647"/>
      <c r="C2118" s="647"/>
      <c r="D2118" s="647"/>
      <c r="E2118" s="647"/>
      <c r="F2118" s="647"/>
      <c r="G2118" s="647"/>
      <c r="H2118" s="647"/>
      <c r="I2118" s="647"/>
      <c r="J2118"/>
    </row>
    <row r="2119" spans="1:10" ht="38.25" customHeight="1" x14ac:dyDescent="0.3">
      <c r="A2119" s="516"/>
      <c r="B2119" s="517" t="s">
        <v>15</v>
      </c>
      <c r="C2119" s="516" t="s">
        <v>16</v>
      </c>
      <c r="D2119" s="516" t="s">
        <v>17</v>
      </c>
      <c r="E2119" s="904" t="s">
        <v>2431</v>
      </c>
      <c r="F2119" s="904"/>
      <c r="G2119" s="518" t="s">
        <v>18</v>
      </c>
      <c r="H2119" s="517" t="s">
        <v>19</v>
      </c>
      <c r="I2119" s="517" t="s">
        <v>20</v>
      </c>
      <c r="J2119" s="517" t="s">
        <v>23</v>
      </c>
    </row>
    <row r="2120" spans="1:10" ht="38.25" customHeight="1" x14ac:dyDescent="0.3">
      <c r="A2120" s="642" t="s">
        <v>2432</v>
      </c>
      <c r="B2120" s="643" t="s">
        <v>2759</v>
      </c>
      <c r="C2120" s="642" t="s">
        <v>32</v>
      </c>
      <c r="D2120" s="642" t="s">
        <v>2760</v>
      </c>
      <c r="E2120" s="906" t="s">
        <v>2433</v>
      </c>
      <c r="F2120" s="906"/>
      <c r="G2120" s="644" t="s">
        <v>118</v>
      </c>
      <c r="H2120" s="645">
        <v>1</v>
      </c>
      <c r="I2120" s="646">
        <v>524.29</v>
      </c>
      <c r="J2120" s="646">
        <v>524.29</v>
      </c>
    </row>
    <row r="2121" spans="1:10" ht="25" x14ac:dyDescent="0.3">
      <c r="A2121" s="519" t="s">
        <v>2434</v>
      </c>
      <c r="B2121" s="520" t="s">
        <v>2812</v>
      </c>
      <c r="C2121" s="519" t="s">
        <v>32</v>
      </c>
      <c r="D2121" s="519" t="s">
        <v>2813</v>
      </c>
      <c r="E2121" s="905" t="s">
        <v>2433</v>
      </c>
      <c r="F2121" s="905"/>
      <c r="G2121" s="521" t="s">
        <v>1901</v>
      </c>
      <c r="H2121" s="522">
        <v>3.42</v>
      </c>
      <c r="I2121" s="523">
        <v>25.72</v>
      </c>
      <c r="J2121" s="523">
        <v>87.96</v>
      </c>
    </row>
    <row r="2122" spans="1:10" ht="38.25" customHeight="1" x14ac:dyDescent="0.3">
      <c r="A2122" s="519" t="s">
        <v>2434</v>
      </c>
      <c r="B2122" s="520" t="s">
        <v>3180</v>
      </c>
      <c r="C2122" s="519" t="s">
        <v>32</v>
      </c>
      <c r="D2122" s="519" t="s">
        <v>4301</v>
      </c>
      <c r="E2122" s="905" t="s">
        <v>2465</v>
      </c>
      <c r="F2122" s="905"/>
      <c r="G2122" s="521" t="s">
        <v>103</v>
      </c>
      <c r="H2122" s="522">
        <v>0.8</v>
      </c>
      <c r="I2122" s="523">
        <v>1.66</v>
      </c>
      <c r="J2122" s="523">
        <v>1.32</v>
      </c>
    </row>
    <row r="2123" spans="1:10" ht="38.25" customHeight="1" x14ac:dyDescent="0.3">
      <c r="A2123" s="519" t="s">
        <v>2434</v>
      </c>
      <c r="B2123" s="520" t="s">
        <v>3181</v>
      </c>
      <c r="C2123" s="519" t="s">
        <v>32</v>
      </c>
      <c r="D2123" s="519" t="s">
        <v>4302</v>
      </c>
      <c r="E2123" s="905" t="s">
        <v>2465</v>
      </c>
      <c r="F2123" s="905"/>
      <c r="G2123" s="521" t="s">
        <v>110</v>
      </c>
      <c r="H2123" s="522">
        <v>2.62</v>
      </c>
      <c r="I2123" s="523">
        <v>0.4</v>
      </c>
      <c r="J2123" s="523">
        <v>1.04</v>
      </c>
    </row>
    <row r="2124" spans="1:10" s="358" customFormat="1" x14ac:dyDescent="0.3">
      <c r="A2124" s="519" t="s">
        <v>2437</v>
      </c>
      <c r="B2124" s="520" t="s">
        <v>2816</v>
      </c>
      <c r="C2124" s="519" t="s">
        <v>125</v>
      </c>
      <c r="D2124" s="519" t="s">
        <v>2817</v>
      </c>
      <c r="E2124" s="905" t="s">
        <v>2442</v>
      </c>
      <c r="F2124" s="905"/>
      <c r="G2124" s="521" t="s">
        <v>118</v>
      </c>
      <c r="H2124" s="522">
        <v>1.07</v>
      </c>
      <c r="I2124" s="523">
        <v>149.36019999999999</v>
      </c>
      <c r="J2124" s="523">
        <v>159.81</v>
      </c>
    </row>
    <row r="2125" spans="1:10" ht="14.5" thickBot="1" x14ac:dyDescent="0.35">
      <c r="A2125" s="519" t="s">
        <v>2437</v>
      </c>
      <c r="B2125" s="520" t="s">
        <v>4470</v>
      </c>
      <c r="C2125" s="519" t="s">
        <v>125</v>
      </c>
      <c r="D2125" s="519" t="s">
        <v>4471</v>
      </c>
      <c r="E2125" s="905" t="s">
        <v>2442</v>
      </c>
      <c r="F2125" s="905"/>
      <c r="G2125" s="521" t="s">
        <v>384</v>
      </c>
      <c r="H2125" s="522">
        <v>483.7</v>
      </c>
      <c r="I2125" s="523">
        <v>0.56679999999999997</v>
      </c>
      <c r="J2125" s="523">
        <v>274.16000000000003</v>
      </c>
    </row>
    <row r="2126" spans="1:10" s="358" customFormat="1" ht="14.5" thickTop="1" x14ac:dyDescent="0.3">
      <c r="A2126" s="647"/>
      <c r="B2126" s="647"/>
      <c r="C2126" s="647"/>
      <c r="D2126" s="647"/>
      <c r="E2126" s="647"/>
      <c r="F2126" s="647"/>
      <c r="G2126" s="647"/>
      <c r="H2126" s="647"/>
      <c r="I2126" s="647"/>
      <c r="J2126"/>
    </row>
    <row r="2127" spans="1:10" x14ac:dyDescent="0.3">
      <c r="A2127" s="516"/>
      <c r="B2127" s="517" t="s">
        <v>15</v>
      </c>
      <c r="C2127" s="516" t="s">
        <v>16</v>
      </c>
      <c r="D2127" s="516" t="s">
        <v>17</v>
      </c>
      <c r="E2127" s="904" t="s">
        <v>2431</v>
      </c>
      <c r="F2127" s="904"/>
      <c r="G2127" s="518" t="s">
        <v>18</v>
      </c>
      <c r="H2127" s="517" t="s">
        <v>19</v>
      </c>
      <c r="I2127" s="517" t="s">
        <v>20</v>
      </c>
      <c r="J2127" s="517" t="s">
        <v>23</v>
      </c>
    </row>
    <row r="2128" spans="1:10" ht="37.5" x14ac:dyDescent="0.3">
      <c r="A2128" s="642" t="s">
        <v>2432</v>
      </c>
      <c r="B2128" s="643" t="s">
        <v>3292</v>
      </c>
      <c r="C2128" s="642" t="s">
        <v>32</v>
      </c>
      <c r="D2128" s="642" t="s">
        <v>3293</v>
      </c>
      <c r="E2128" s="906" t="s">
        <v>2433</v>
      </c>
      <c r="F2128" s="906"/>
      <c r="G2128" s="644" t="s">
        <v>118</v>
      </c>
      <c r="H2128" s="645">
        <v>1</v>
      </c>
      <c r="I2128" s="646">
        <v>459.68</v>
      </c>
      <c r="J2128" s="646">
        <v>459.68</v>
      </c>
    </row>
    <row r="2129" spans="1:10" ht="25" x14ac:dyDescent="0.3">
      <c r="A2129" s="519" t="s">
        <v>2434</v>
      </c>
      <c r="B2129" s="520" t="s">
        <v>2812</v>
      </c>
      <c r="C2129" s="519" t="s">
        <v>32</v>
      </c>
      <c r="D2129" s="519" t="s">
        <v>2813</v>
      </c>
      <c r="E2129" s="905" t="s">
        <v>2433</v>
      </c>
      <c r="F2129" s="905"/>
      <c r="G2129" s="521" t="s">
        <v>1901</v>
      </c>
      <c r="H2129" s="522">
        <v>4.6399999999999997</v>
      </c>
      <c r="I2129" s="523">
        <v>25.72</v>
      </c>
      <c r="J2129" s="523">
        <v>119.34</v>
      </c>
    </row>
    <row r="2130" spans="1:10" s="358" customFormat="1" ht="38.25" customHeight="1" x14ac:dyDescent="0.3">
      <c r="A2130" s="519" t="s">
        <v>2434</v>
      </c>
      <c r="B2130" s="520" t="s">
        <v>3180</v>
      </c>
      <c r="C2130" s="519" t="s">
        <v>32</v>
      </c>
      <c r="D2130" s="519" t="s">
        <v>4301</v>
      </c>
      <c r="E2130" s="905" t="s">
        <v>2465</v>
      </c>
      <c r="F2130" s="905"/>
      <c r="G2130" s="521" t="s">
        <v>103</v>
      </c>
      <c r="H2130" s="522">
        <v>1.08</v>
      </c>
      <c r="I2130" s="523">
        <v>1.66</v>
      </c>
      <c r="J2130" s="523">
        <v>1.79</v>
      </c>
    </row>
    <row r="2131" spans="1:10" ht="38.25" customHeight="1" x14ac:dyDescent="0.3">
      <c r="A2131" s="519" t="s">
        <v>2434</v>
      </c>
      <c r="B2131" s="520" t="s">
        <v>3181</v>
      </c>
      <c r="C2131" s="519" t="s">
        <v>32</v>
      </c>
      <c r="D2131" s="519" t="s">
        <v>4302</v>
      </c>
      <c r="E2131" s="905" t="s">
        <v>2465</v>
      </c>
      <c r="F2131" s="905"/>
      <c r="G2131" s="521" t="s">
        <v>110</v>
      </c>
      <c r="H2131" s="522">
        <v>3.56</v>
      </c>
      <c r="I2131" s="523">
        <v>0.4</v>
      </c>
      <c r="J2131" s="523">
        <v>1.42</v>
      </c>
    </row>
    <row r="2132" spans="1:10" s="358" customFormat="1" x14ac:dyDescent="0.3">
      <c r="A2132" s="519" t="s">
        <v>2437</v>
      </c>
      <c r="B2132" s="520" t="s">
        <v>2792</v>
      </c>
      <c r="C2132" s="519" t="s">
        <v>125</v>
      </c>
      <c r="D2132" s="519" t="s">
        <v>2793</v>
      </c>
      <c r="E2132" s="905" t="s">
        <v>2442</v>
      </c>
      <c r="F2132" s="905"/>
      <c r="G2132" s="521" t="s">
        <v>118</v>
      </c>
      <c r="H2132" s="522">
        <v>1.02</v>
      </c>
      <c r="I2132" s="523">
        <v>139.642</v>
      </c>
      <c r="J2132" s="523">
        <v>142.43</v>
      </c>
    </row>
    <row r="2133" spans="1:10" ht="14.5" thickBot="1" x14ac:dyDescent="0.35">
      <c r="A2133" s="519" t="s">
        <v>2437</v>
      </c>
      <c r="B2133" s="520" t="s">
        <v>4470</v>
      </c>
      <c r="C2133" s="519" t="s">
        <v>125</v>
      </c>
      <c r="D2133" s="519" t="s">
        <v>4471</v>
      </c>
      <c r="E2133" s="905" t="s">
        <v>2442</v>
      </c>
      <c r="F2133" s="905"/>
      <c r="G2133" s="521" t="s">
        <v>384</v>
      </c>
      <c r="H2133" s="522">
        <v>343.52</v>
      </c>
      <c r="I2133" s="523">
        <v>0.56679999999999997</v>
      </c>
      <c r="J2133" s="523">
        <v>194.7</v>
      </c>
    </row>
    <row r="2134" spans="1:10" ht="38.25" customHeight="1" thickTop="1" x14ac:dyDescent="0.3">
      <c r="A2134" s="647"/>
      <c r="B2134" s="647"/>
      <c r="C2134" s="647"/>
      <c r="D2134" s="647"/>
      <c r="E2134" s="647"/>
      <c r="F2134" s="647"/>
      <c r="G2134" s="647"/>
      <c r="H2134" s="647"/>
      <c r="I2134" s="647"/>
      <c r="J2134"/>
    </row>
    <row r="2135" spans="1:10" ht="38.25" customHeight="1" x14ac:dyDescent="0.3">
      <c r="A2135" s="516"/>
      <c r="B2135" s="517" t="s">
        <v>15</v>
      </c>
      <c r="C2135" s="516" t="s">
        <v>16</v>
      </c>
      <c r="D2135" s="516" t="s">
        <v>17</v>
      </c>
      <c r="E2135" s="904" t="s">
        <v>2431</v>
      </c>
      <c r="F2135" s="904"/>
      <c r="G2135" s="518" t="s">
        <v>18</v>
      </c>
      <c r="H2135" s="517" t="s">
        <v>19</v>
      </c>
      <c r="I2135" s="517" t="s">
        <v>20</v>
      </c>
      <c r="J2135" s="517" t="s">
        <v>23</v>
      </c>
    </row>
    <row r="2136" spans="1:10" ht="14.25" customHeight="1" x14ac:dyDescent="0.3">
      <c r="A2136" s="642" t="s">
        <v>2432</v>
      </c>
      <c r="B2136" s="643" t="s">
        <v>3193</v>
      </c>
      <c r="C2136" s="642" t="s">
        <v>32</v>
      </c>
      <c r="D2136" s="642" t="s">
        <v>3033</v>
      </c>
      <c r="E2136" s="906" t="s">
        <v>2433</v>
      </c>
      <c r="F2136" s="906"/>
      <c r="G2136" s="644" t="s">
        <v>1901</v>
      </c>
      <c r="H2136" s="645">
        <v>1</v>
      </c>
      <c r="I2136" s="646">
        <v>30.85</v>
      </c>
      <c r="J2136" s="646">
        <v>30.85</v>
      </c>
    </row>
    <row r="2137" spans="1:10" ht="25" x14ac:dyDescent="0.3">
      <c r="A2137" s="519" t="s">
        <v>2434</v>
      </c>
      <c r="B2137" s="520" t="s">
        <v>3294</v>
      </c>
      <c r="C2137" s="519" t="s">
        <v>32</v>
      </c>
      <c r="D2137" s="519" t="s">
        <v>3295</v>
      </c>
      <c r="E2137" s="905" t="s">
        <v>2433</v>
      </c>
      <c r="F2137" s="905"/>
      <c r="G2137" s="521" t="s">
        <v>1901</v>
      </c>
      <c r="H2137" s="522">
        <v>1</v>
      </c>
      <c r="I2137" s="523">
        <v>0.28000000000000003</v>
      </c>
      <c r="J2137" s="523">
        <v>0.28000000000000003</v>
      </c>
    </row>
    <row r="2138" spans="1:10" s="358" customFormat="1" x14ac:dyDescent="0.3">
      <c r="A2138" s="519" t="s">
        <v>2437</v>
      </c>
      <c r="B2138" s="520" t="s">
        <v>3296</v>
      </c>
      <c r="C2138" s="519" t="s">
        <v>32</v>
      </c>
      <c r="D2138" s="519" t="s">
        <v>3297</v>
      </c>
      <c r="E2138" s="905" t="s">
        <v>2440</v>
      </c>
      <c r="F2138" s="905"/>
      <c r="G2138" s="521" t="s">
        <v>1901</v>
      </c>
      <c r="H2138" s="522">
        <v>1</v>
      </c>
      <c r="I2138" s="523">
        <v>21.83</v>
      </c>
      <c r="J2138" s="523">
        <v>21.83</v>
      </c>
    </row>
    <row r="2139" spans="1:10" ht="25" x14ac:dyDescent="0.3">
      <c r="A2139" s="519" t="s">
        <v>2437</v>
      </c>
      <c r="B2139" s="520" t="s">
        <v>3257</v>
      </c>
      <c r="C2139" s="519" t="s">
        <v>32</v>
      </c>
      <c r="D2139" s="519" t="s">
        <v>4306</v>
      </c>
      <c r="E2139" s="905" t="s">
        <v>2856</v>
      </c>
      <c r="F2139" s="905"/>
      <c r="G2139" s="521" t="s">
        <v>1901</v>
      </c>
      <c r="H2139" s="522">
        <v>1</v>
      </c>
      <c r="I2139" s="523">
        <v>3.8</v>
      </c>
      <c r="J2139" s="523">
        <v>3.8</v>
      </c>
    </row>
    <row r="2140" spans="1:10" s="358" customFormat="1" ht="25" x14ac:dyDescent="0.3">
      <c r="A2140" s="519" t="s">
        <v>2437</v>
      </c>
      <c r="B2140" s="520" t="s">
        <v>3258</v>
      </c>
      <c r="C2140" s="519" t="s">
        <v>32</v>
      </c>
      <c r="D2140" s="519" t="s">
        <v>4307</v>
      </c>
      <c r="E2140" s="905" t="s">
        <v>3259</v>
      </c>
      <c r="F2140" s="905"/>
      <c r="G2140" s="521" t="s">
        <v>1901</v>
      </c>
      <c r="H2140" s="522">
        <v>1</v>
      </c>
      <c r="I2140" s="523">
        <v>1.5</v>
      </c>
      <c r="J2140" s="523">
        <v>1.5</v>
      </c>
    </row>
    <row r="2141" spans="1:10" ht="25" x14ac:dyDescent="0.3">
      <c r="A2141" s="519" t="s">
        <v>2437</v>
      </c>
      <c r="B2141" s="520" t="s">
        <v>3260</v>
      </c>
      <c r="C2141" s="519" t="s">
        <v>32</v>
      </c>
      <c r="D2141" s="519" t="s">
        <v>4308</v>
      </c>
      <c r="E2141" s="905" t="s">
        <v>2856</v>
      </c>
      <c r="F2141" s="905"/>
      <c r="G2141" s="521" t="s">
        <v>1901</v>
      </c>
      <c r="H2141" s="522">
        <v>1</v>
      </c>
      <c r="I2141" s="523">
        <v>1.34</v>
      </c>
      <c r="J2141" s="523">
        <v>1.34</v>
      </c>
    </row>
    <row r="2142" spans="1:10" ht="38.25" customHeight="1" x14ac:dyDescent="0.3">
      <c r="A2142" s="519" t="s">
        <v>2437</v>
      </c>
      <c r="B2142" s="520" t="s">
        <v>3261</v>
      </c>
      <c r="C2142" s="519" t="s">
        <v>32</v>
      </c>
      <c r="D2142" s="519" t="s">
        <v>4309</v>
      </c>
      <c r="E2142" s="905" t="s">
        <v>2535</v>
      </c>
      <c r="F2142" s="905"/>
      <c r="G2142" s="521" t="s">
        <v>1901</v>
      </c>
      <c r="H2142" s="522">
        <v>1</v>
      </c>
      <c r="I2142" s="523">
        <v>0.04</v>
      </c>
      <c r="J2142" s="523">
        <v>0.04</v>
      </c>
    </row>
    <row r="2143" spans="1:10" ht="38.25" customHeight="1" x14ac:dyDescent="0.3">
      <c r="A2143" s="519" t="s">
        <v>2437</v>
      </c>
      <c r="B2143" s="520" t="s">
        <v>3262</v>
      </c>
      <c r="C2143" s="519" t="s">
        <v>32</v>
      </c>
      <c r="D2143" s="519" t="s">
        <v>3263</v>
      </c>
      <c r="E2143" s="905" t="s">
        <v>2446</v>
      </c>
      <c r="F2143" s="905"/>
      <c r="G2143" s="521" t="s">
        <v>1901</v>
      </c>
      <c r="H2143" s="522">
        <v>1</v>
      </c>
      <c r="I2143" s="523">
        <v>0.82</v>
      </c>
      <c r="J2143" s="523">
        <v>0.82</v>
      </c>
    </row>
    <row r="2144" spans="1:10" ht="25.5" thickBot="1" x14ac:dyDescent="0.35">
      <c r="A2144" s="519" t="s">
        <v>2437</v>
      </c>
      <c r="B2144" s="520" t="s">
        <v>3264</v>
      </c>
      <c r="C2144" s="519" t="s">
        <v>32</v>
      </c>
      <c r="D2144" s="519" t="s">
        <v>3265</v>
      </c>
      <c r="E2144" s="905" t="s">
        <v>2446</v>
      </c>
      <c r="F2144" s="905"/>
      <c r="G2144" s="521" t="s">
        <v>1901</v>
      </c>
      <c r="H2144" s="522">
        <v>1</v>
      </c>
      <c r="I2144" s="523">
        <v>1.24</v>
      </c>
      <c r="J2144" s="523">
        <v>1.24</v>
      </c>
    </row>
    <row r="2145" spans="1:10" ht="14.5" thickTop="1" x14ac:dyDescent="0.3">
      <c r="A2145" s="647"/>
      <c r="B2145" s="647"/>
      <c r="C2145" s="647"/>
      <c r="D2145" s="647"/>
      <c r="E2145" s="647"/>
      <c r="F2145" s="647"/>
      <c r="G2145" s="647"/>
      <c r="H2145" s="647"/>
      <c r="I2145" s="647"/>
      <c r="J2145"/>
    </row>
    <row r="2146" spans="1:10" s="358" customFormat="1" x14ac:dyDescent="0.3">
      <c r="A2146" s="516"/>
      <c r="B2146" s="517" t="s">
        <v>15</v>
      </c>
      <c r="C2146" s="516" t="s">
        <v>16</v>
      </c>
      <c r="D2146" s="516" t="s">
        <v>17</v>
      </c>
      <c r="E2146" s="904" t="s">
        <v>2431</v>
      </c>
      <c r="F2146" s="904"/>
      <c r="G2146" s="518" t="s">
        <v>18</v>
      </c>
      <c r="H2146" s="517" t="s">
        <v>19</v>
      </c>
      <c r="I2146" s="517" t="s">
        <v>20</v>
      </c>
      <c r="J2146" s="517" t="s">
        <v>23</v>
      </c>
    </row>
    <row r="2147" spans="1:10" ht="25" x14ac:dyDescent="0.3">
      <c r="A2147" s="642" t="s">
        <v>2432</v>
      </c>
      <c r="B2147" s="643" t="s">
        <v>3059</v>
      </c>
      <c r="C2147" s="642" t="s">
        <v>32</v>
      </c>
      <c r="D2147" s="642" t="s">
        <v>3060</v>
      </c>
      <c r="E2147" s="906" t="s">
        <v>2617</v>
      </c>
      <c r="F2147" s="906"/>
      <c r="G2147" s="644" t="s">
        <v>1369</v>
      </c>
      <c r="H2147" s="645">
        <v>1</v>
      </c>
      <c r="I2147" s="646">
        <v>16.54</v>
      </c>
      <c r="J2147" s="646">
        <v>16.54</v>
      </c>
    </row>
    <row r="2148" spans="1:10" s="358" customFormat="1" ht="25" x14ac:dyDescent="0.3">
      <c r="A2148" s="519" t="s">
        <v>2434</v>
      </c>
      <c r="B2148" s="520" t="s">
        <v>3191</v>
      </c>
      <c r="C2148" s="519" t="s">
        <v>32</v>
      </c>
      <c r="D2148" s="519" t="s">
        <v>3192</v>
      </c>
      <c r="E2148" s="905" t="s">
        <v>2433</v>
      </c>
      <c r="F2148" s="905"/>
      <c r="G2148" s="521" t="s">
        <v>1901</v>
      </c>
      <c r="H2148" s="522">
        <v>1.72E-2</v>
      </c>
      <c r="I2148" s="523">
        <v>24.21</v>
      </c>
      <c r="J2148" s="523">
        <v>0.41</v>
      </c>
    </row>
    <row r="2149" spans="1:10" ht="25" x14ac:dyDescent="0.3">
      <c r="A2149" s="519" t="s">
        <v>2434</v>
      </c>
      <c r="B2149" s="520" t="s">
        <v>3193</v>
      </c>
      <c r="C2149" s="519" t="s">
        <v>32</v>
      </c>
      <c r="D2149" s="519" t="s">
        <v>3033</v>
      </c>
      <c r="E2149" s="905" t="s">
        <v>2433</v>
      </c>
      <c r="F2149" s="905"/>
      <c r="G2149" s="521" t="s">
        <v>1901</v>
      </c>
      <c r="H2149" s="522">
        <v>0.1055</v>
      </c>
      <c r="I2149" s="523">
        <v>30.85</v>
      </c>
      <c r="J2149" s="523">
        <v>3.25</v>
      </c>
    </row>
    <row r="2150" spans="1:10" ht="25" x14ac:dyDescent="0.3">
      <c r="A2150" s="519" t="s">
        <v>2434</v>
      </c>
      <c r="B2150" s="520" t="s">
        <v>3298</v>
      </c>
      <c r="C2150" s="519" t="s">
        <v>32</v>
      </c>
      <c r="D2150" s="519" t="s">
        <v>4310</v>
      </c>
      <c r="E2150" s="905" t="s">
        <v>2617</v>
      </c>
      <c r="F2150" s="905"/>
      <c r="G2150" s="521" t="s">
        <v>1369</v>
      </c>
      <c r="H2150" s="522">
        <v>1</v>
      </c>
      <c r="I2150" s="523">
        <v>11.79</v>
      </c>
      <c r="J2150" s="523">
        <v>11.79</v>
      </c>
    </row>
    <row r="2151" spans="1:10" ht="25" x14ac:dyDescent="0.3">
      <c r="A2151" s="519" t="s">
        <v>2437</v>
      </c>
      <c r="B2151" s="520" t="s">
        <v>3299</v>
      </c>
      <c r="C2151" s="519" t="s">
        <v>32</v>
      </c>
      <c r="D2151" s="519" t="s">
        <v>3300</v>
      </c>
      <c r="E2151" s="905" t="s">
        <v>2442</v>
      </c>
      <c r="F2151" s="905"/>
      <c r="G2151" s="521" t="s">
        <v>89</v>
      </c>
      <c r="H2151" s="522">
        <v>2.8159999999999998</v>
      </c>
      <c r="I2151" s="523">
        <v>0.22</v>
      </c>
      <c r="J2151" s="523">
        <v>0.61</v>
      </c>
    </row>
    <row r="2152" spans="1:10" ht="25.5" thickBot="1" x14ac:dyDescent="0.35">
      <c r="A2152" s="519" t="s">
        <v>2437</v>
      </c>
      <c r="B2152" s="520" t="s">
        <v>3301</v>
      </c>
      <c r="C2152" s="519" t="s">
        <v>32</v>
      </c>
      <c r="D2152" s="519" t="s">
        <v>3302</v>
      </c>
      <c r="E2152" s="905" t="s">
        <v>2442</v>
      </c>
      <c r="F2152" s="905"/>
      <c r="G2152" s="521" t="s">
        <v>1369</v>
      </c>
      <c r="H2152" s="522">
        <v>2.5000000000000001E-2</v>
      </c>
      <c r="I2152" s="523">
        <v>19.38</v>
      </c>
      <c r="J2152" s="523">
        <v>0.48</v>
      </c>
    </row>
    <row r="2153" spans="1:10" ht="14.5" thickTop="1" x14ac:dyDescent="0.3">
      <c r="A2153" s="647"/>
      <c r="B2153" s="647"/>
      <c r="C2153" s="647"/>
      <c r="D2153" s="647"/>
      <c r="E2153" s="647"/>
      <c r="F2153" s="647"/>
      <c r="G2153" s="647"/>
      <c r="H2153" s="647"/>
      <c r="I2153" s="647"/>
      <c r="J2153"/>
    </row>
    <row r="2154" spans="1:10" x14ac:dyDescent="0.3">
      <c r="A2154" s="516"/>
      <c r="B2154" s="517" t="s">
        <v>15</v>
      </c>
      <c r="C2154" s="516" t="s">
        <v>16</v>
      </c>
      <c r="D2154" s="516" t="s">
        <v>17</v>
      </c>
      <c r="E2154" s="904" t="s">
        <v>2431</v>
      </c>
      <c r="F2154" s="904"/>
      <c r="G2154" s="518" t="s">
        <v>18</v>
      </c>
      <c r="H2154" s="517" t="s">
        <v>19</v>
      </c>
      <c r="I2154" s="517" t="s">
        <v>20</v>
      </c>
      <c r="J2154" s="517" t="s">
        <v>23</v>
      </c>
    </row>
    <row r="2155" spans="1:10" ht="25" x14ac:dyDescent="0.3">
      <c r="A2155" s="642" t="s">
        <v>2432</v>
      </c>
      <c r="B2155" s="643" t="s">
        <v>3303</v>
      </c>
      <c r="C2155" s="642" t="s">
        <v>32</v>
      </c>
      <c r="D2155" s="642" t="s">
        <v>3304</v>
      </c>
      <c r="E2155" s="906" t="s">
        <v>2617</v>
      </c>
      <c r="F2155" s="906"/>
      <c r="G2155" s="644" t="s">
        <v>1369</v>
      </c>
      <c r="H2155" s="645">
        <v>1</v>
      </c>
      <c r="I2155" s="646">
        <v>14.4</v>
      </c>
      <c r="J2155" s="646">
        <v>14.4</v>
      </c>
    </row>
    <row r="2156" spans="1:10" ht="25" x14ac:dyDescent="0.3">
      <c r="A2156" s="519" t="s">
        <v>2434</v>
      </c>
      <c r="B2156" s="520" t="s">
        <v>3191</v>
      </c>
      <c r="C2156" s="519" t="s">
        <v>32</v>
      </c>
      <c r="D2156" s="519" t="s">
        <v>3192</v>
      </c>
      <c r="E2156" s="905" t="s">
        <v>2433</v>
      </c>
      <c r="F2156" s="905"/>
      <c r="G2156" s="521" t="s">
        <v>1901</v>
      </c>
      <c r="H2156" s="522">
        <v>1.3599999999999999E-2</v>
      </c>
      <c r="I2156" s="523">
        <v>24.21</v>
      </c>
      <c r="J2156" s="523">
        <v>0.32</v>
      </c>
    </row>
    <row r="2157" spans="1:10" s="358" customFormat="1" ht="25" x14ac:dyDescent="0.3">
      <c r="A2157" s="519" t="s">
        <v>2434</v>
      </c>
      <c r="B2157" s="520" t="s">
        <v>3193</v>
      </c>
      <c r="C2157" s="519" t="s">
        <v>32</v>
      </c>
      <c r="D2157" s="519" t="s">
        <v>3033</v>
      </c>
      <c r="E2157" s="905" t="s">
        <v>2433</v>
      </c>
      <c r="F2157" s="905"/>
      <c r="G2157" s="521" t="s">
        <v>1901</v>
      </c>
      <c r="H2157" s="522">
        <v>8.3599999999999994E-2</v>
      </c>
      <c r="I2157" s="523">
        <v>30.85</v>
      </c>
      <c r="J2157" s="523">
        <v>2.57</v>
      </c>
    </row>
    <row r="2158" spans="1:10" ht="25" x14ac:dyDescent="0.3">
      <c r="A2158" s="519" t="s">
        <v>2434</v>
      </c>
      <c r="B2158" s="520" t="s">
        <v>3305</v>
      </c>
      <c r="C2158" s="519" t="s">
        <v>32</v>
      </c>
      <c r="D2158" s="519" t="s">
        <v>3306</v>
      </c>
      <c r="E2158" s="905" t="s">
        <v>2617</v>
      </c>
      <c r="F2158" s="905"/>
      <c r="G2158" s="521" t="s">
        <v>1369</v>
      </c>
      <c r="H2158" s="522">
        <v>1</v>
      </c>
      <c r="I2158" s="523">
        <v>10.57</v>
      </c>
      <c r="J2158" s="523">
        <v>10.57</v>
      </c>
    </row>
    <row r="2159" spans="1:10" s="358" customFormat="1" ht="25" x14ac:dyDescent="0.3">
      <c r="A2159" s="519" t="s">
        <v>2437</v>
      </c>
      <c r="B2159" s="520" t="s">
        <v>3299</v>
      </c>
      <c r="C2159" s="519" t="s">
        <v>32</v>
      </c>
      <c r="D2159" s="519" t="s">
        <v>3300</v>
      </c>
      <c r="E2159" s="905" t="s">
        <v>2442</v>
      </c>
      <c r="F2159" s="905"/>
      <c r="G2159" s="521" t="s">
        <v>89</v>
      </c>
      <c r="H2159" s="522">
        <v>2.1179999999999999</v>
      </c>
      <c r="I2159" s="523">
        <v>0.22</v>
      </c>
      <c r="J2159" s="523">
        <v>0.46</v>
      </c>
    </row>
    <row r="2160" spans="1:10" ht="25.5" thickBot="1" x14ac:dyDescent="0.35">
      <c r="A2160" s="519" t="s">
        <v>2437</v>
      </c>
      <c r="B2160" s="520" t="s">
        <v>3301</v>
      </c>
      <c r="C2160" s="519" t="s">
        <v>32</v>
      </c>
      <c r="D2160" s="519" t="s">
        <v>3302</v>
      </c>
      <c r="E2160" s="905" t="s">
        <v>2442</v>
      </c>
      <c r="F2160" s="905"/>
      <c r="G2160" s="521" t="s">
        <v>1369</v>
      </c>
      <c r="H2160" s="522">
        <v>2.5000000000000001E-2</v>
      </c>
      <c r="I2160" s="523">
        <v>19.38</v>
      </c>
      <c r="J2160" s="523">
        <v>0.48</v>
      </c>
    </row>
    <row r="2161" spans="1:10" ht="14.5" thickTop="1" x14ac:dyDescent="0.3">
      <c r="A2161" s="647"/>
      <c r="B2161" s="647"/>
      <c r="C2161" s="647"/>
      <c r="D2161" s="647"/>
      <c r="E2161" s="647"/>
      <c r="F2161" s="647"/>
      <c r="G2161" s="647"/>
      <c r="H2161" s="647"/>
      <c r="I2161" s="647"/>
      <c r="J2161"/>
    </row>
    <row r="2162" spans="1:10" x14ac:dyDescent="0.3">
      <c r="A2162" s="516"/>
      <c r="B2162" s="517" t="s">
        <v>15</v>
      </c>
      <c r="C2162" s="516" t="s">
        <v>16</v>
      </c>
      <c r="D2162" s="516" t="s">
        <v>17</v>
      </c>
      <c r="E2162" s="904" t="s">
        <v>2431</v>
      </c>
      <c r="F2162" s="904"/>
      <c r="G2162" s="518" t="s">
        <v>18</v>
      </c>
      <c r="H2162" s="517" t="s">
        <v>19</v>
      </c>
      <c r="I2162" s="517" t="s">
        <v>20</v>
      </c>
      <c r="J2162" s="517" t="s">
        <v>23</v>
      </c>
    </row>
    <row r="2163" spans="1:10" ht="14.25" customHeight="1" x14ac:dyDescent="0.3">
      <c r="A2163" s="642" t="s">
        <v>2432</v>
      </c>
      <c r="B2163" s="643" t="s">
        <v>3007</v>
      </c>
      <c r="C2163" s="642" t="s">
        <v>32</v>
      </c>
      <c r="D2163" s="642" t="s">
        <v>3008</v>
      </c>
      <c r="E2163" s="906" t="s">
        <v>2433</v>
      </c>
      <c r="F2163" s="906"/>
      <c r="G2163" s="644" t="s">
        <v>1901</v>
      </c>
      <c r="H2163" s="645">
        <v>1</v>
      </c>
      <c r="I2163" s="646">
        <v>25.19</v>
      </c>
      <c r="J2163" s="646">
        <v>25.19</v>
      </c>
    </row>
    <row r="2164" spans="1:10" ht="25" x14ac:dyDescent="0.3">
      <c r="A2164" s="519" t="s">
        <v>2434</v>
      </c>
      <c r="B2164" s="520" t="s">
        <v>3307</v>
      </c>
      <c r="C2164" s="519" t="s">
        <v>32</v>
      </c>
      <c r="D2164" s="519" t="s">
        <v>3308</v>
      </c>
      <c r="E2164" s="905" t="s">
        <v>2433</v>
      </c>
      <c r="F2164" s="905"/>
      <c r="G2164" s="521" t="s">
        <v>1901</v>
      </c>
      <c r="H2164" s="522">
        <v>1</v>
      </c>
      <c r="I2164" s="523">
        <v>0.28999999999999998</v>
      </c>
      <c r="J2164" s="523">
        <v>0.28999999999999998</v>
      </c>
    </row>
    <row r="2165" spans="1:10" s="358" customFormat="1" ht="25" x14ac:dyDescent="0.3">
      <c r="A2165" s="519" t="s">
        <v>2437</v>
      </c>
      <c r="B2165" s="520" t="s">
        <v>3257</v>
      </c>
      <c r="C2165" s="519" t="s">
        <v>32</v>
      </c>
      <c r="D2165" s="519" t="s">
        <v>4306</v>
      </c>
      <c r="E2165" s="905" t="s">
        <v>2856</v>
      </c>
      <c r="F2165" s="905"/>
      <c r="G2165" s="521" t="s">
        <v>1901</v>
      </c>
      <c r="H2165" s="522">
        <v>1</v>
      </c>
      <c r="I2165" s="523">
        <v>3.8</v>
      </c>
      <c r="J2165" s="523">
        <v>3.8</v>
      </c>
    </row>
    <row r="2166" spans="1:10" ht="25" x14ac:dyDescent="0.3">
      <c r="A2166" s="519" t="s">
        <v>2437</v>
      </c>
      <c r="B2166" s="520" t="s">
        <v>3258</v>
      </c>
      <c r="C2166" s="519" t="s">
        <v>32</v>
      </c>
      <c r="D2166" s="519" t="s">
        <v>4307</v>
      </c>
      <c r="E2166" s="905" t="s">
        <v>3259</v>
      </c>
      <c r="F2166" s="905"/>
      <c r="G2166" s="521" t="s">
        <v>1901</v>
      </c>
      <c r="H2166" s="522">
        <v>1</v>
      </c>
      <c r="I2166" s="523">
        <v>1.5</v>
      </c>
      <c r="J2166" s="523">
        <v>1.5</v>
      </c>
    </row>
    <row r="2167" spans="1:10" s="358" customFormat="1" ht="25" x14ac:dyDescent="0.3">
      <c r="A2167" s="519" t="s">
        <v>2437</v>
      </c>
      <c r="B2167" s="520" t="s">
        <v>3260</v>
      </c>
      <c r="C2167" s="519" t="s">
        <v>32</v>
      </c>
      <c r="D2167" s="519" t="s">
        <v>4308</v>
      </c>
      <c r="E2167" s="905" t="s">
        <v>2856</v>
      </c>
      <c r="F2167" s="905"/>
      <c r="G2167" s="521" t="s">
        <v>1901</v>
      </c>
      <c r="H2167" s="522">
        <v>1</v>
      </c>
      <c r="I2167" s="523">
        <v>1.34</v>
      </c>
      <c r="J2167" s="523">
        <v>1.34</v>
      </c>
    </row>
    <row r="2168" spans="1:10" ht="25" x14ac:dyDescent="0.3">
      <c r="A2168" s="519" t="s">
        <v>2437</v>
      </c>
      <c r="B2168" s="520" t="s">
        <v>3261</v>
      </c>
      <c r="C2168" s="519" t="s">
        <v>32</v>
      </c>
      <c r="D2168" s="519" t="s">
        <v>4309</v>
      </c>
      <c r="E2168" s="905" t="s">
        <v>2535</v>
      </c>
      <c r="F2168" s="905"/>
      <c r="G2168" s="521" t="s">
        <v>1901</v>
      </c>
      <c r="H2168" s="522">
        <v>1</v>
      </c>
      <c r="I2168" s="523">
        <v>0.04</v>
      </c>
      <c r="J2168" s="523">
        <v>0.04</v>
      </c>
    </row>
    <row r="2169" spans="1:10" x14ac:dyDescent="0.3">
      <c r="A2169" s="519" t="s">
        <v>2437</v>
      </c>
      <c r="B2169" s="520" t="s">
        <v>3309</v>
      </c>
      <c r="C2169" s="519" t="s">
        <v>32</v>
      </c>
      <c r="D2169" s="519" t="s">
        <v>4311</v>
      </c>
      <c r="E2169" s="905" t="s">
        <v>2440</v>
      </c>
      <c r="F2169" s="905"/>
      <c r="G2169" s="521" t="s">
        <v>1901</v>
      </c>
      <c r="H2169" s="522">
        <v>1</v>
      </c>
      <c r="I2169" s="523">
        <v>17.350000000000001</v>
      </c>
      <c r="J2169" s="523">
        <v>17.350000000000001</v>
      </c>
    </row>
    <row r="2170" spans="1:10" ht="25" x14ac:dyDescent="0.3">
      <c r="A2170" s="519" t="s">
        <v>2437</v>
      </c>
      <c r="B2170" s="520" t="s">
        <v>3310</v>
      </c>
      <c r="C2170" s="519" t="s">
        <v>32</v>
      </c>
      <c r="D2170" s="519" t="s">
        <v>3311</v>
      </c>
      <c r="E2170" s="905" t="s">
        <v>2446</v>
      </c>
      <c r="F2170" s="905"/>
      <c r="G2170" s="521" t="s">
        <v>1901</v>
      </c>
      <c r="H2170" s="522">
        <v>1</v>
      </c>
      <c r="I2170" s="523">
        <v>0.01</v>
      </c>
      <c r="J2170" s="523">
        <v>0.01</v>
      </c>
    </row>
    <row r="2171" spans="1:10" ht="25.5" thickBot="1" x14ac:dyDescent="0.35">
      <c r="A2171" s="519" t="s">
        <v>2437</v>
      </c>
      <c r="B2171" s="520" t="s">
        <v>3312</v>
      </c>
      <c r="C2171" s="519" t="s">
        <v>32</v>
      </c>
      <c r="D2171" s="519" t="s">
        <v>3313</v>
      </c>
      <c r="E2171" s="905" t="s">
        <v>2446</v>
      </c>
      <c r="F2171" s="905"/>
      <c r="G2171" s="521" t="s">
        <v>1901</v>
      </c>
      <c r="H2171" s="522">
        <v>1</v>
      </c>
      <c r="I2171" s="523">
        <v>0.86</v>
      </c>
      <c r="J2171" s="523">
        <v>0.86</v>
      </c>
    </row>
    <row r="2172" spans="1:10" ht="14.5" thickTop="1" x14ac:dyDescent="0.3">
      <c r="A2172" s="647"/>
      <c r="B2172" s="647"/>
      <c r="C2172" s="647"/>
      <c r="D2172" s="647"/>
      <c r="E2172" s="647"/>
      <c r="F2172" s="647"/>
      <c r="G2172" s="647"/>
      <c r="H2172" s="647"/>
      <c r="I2172" s="647"/>
      <c r="J2172"/>
    </row>
    <row r="2173" spans="1:10" s="358" customFormat="1" x14ac:dyDescent="0.3">
      <c r="A2173" s="516"/>
      <c r="B2173" s="517" t="s">
        <v>15</v>
      </c>
      <c r="C2173" s="516" t="s">
        <v>16</v>
      </c>
      <c r="D2173" s="516" t="s">
        <v>17</v>
      </c>
      <c r="E2173" s="904" t="s">
        <v>2431</v>
      </c>
      <c r="F2173" s="904"/>
      <c r="G2173" s="518" t="s">
        <v>18</v>
      </c>
      <c r="H2173" s="517" t="s">
        <v>19</v>
      </c>
      <c r="I2173" s="517" t="s">
        <v>20</v>
      </c>
      <c r="J2173" s="517" t="s">
        <v>23</v>
      </c>
    </row>
    <row r="2174" spans="1:10" ht="14.25" customHeight="1" x14ac:dyDescent="0.3">
      <c r="A2174" s="642" t="s">
        <v>2432</v>
      </c>
      <c r="B2174" s="643" t="s">
        <v>2857</v>
      </c>
      <c r="C2174" s="642" t="s">
        <v>32</v>
      </c>
      <c r="D2174" s="642" t="s">
        <v>2858</v>
      </c>
      <c r="E2174" s="906" t="s">
        <v>2433</v>
      </c>
      <c r="F2174" s="906"/>
      <c r="G2174" s="644" t="s">
        <v>1901</v>
      </c>
      <c r="H2174" s="645">
        <v>1</v>
      </c>
      <c r="I2174" s="646">
        <v>24.65</v>
      </c>
      <c r="J2174" s="646">
        <v>24.65</v>
      </c>
    </row>
    <row r="2175" spans="1:10" s="358" customFormat="1" ht="25" x14ac:dyDescent="0.3">
      <c r="A2175" s="519" t="s">
        <v>2434</v>
      </c>
      <c r="B2175" s="520" t="s">
        <v>3314</v>
      </c>
      <c r="C2175" s="519" t="s">
        <v>32</v>
      </c>
      <c r="D2175" s="519" t="s">
        <v>3315</v>
      </c>
      <c r="E2175" s="905" t="s">
        <v>2433</v>
      </c>
      <c r="F2175" s="905"/>
      <c r="G2175" s="521" t="s">
        <v>1901</v>
      </c>
      <c r="H2175" s="522">
        <v>1</v>
      </c>
      <c r="I2175" s="523">
        <v>0.65</v>
      </c>
      <c r="J2175" s="523">
        <v>0.65</v>
      </c>
    </row>
    <row r="2176" spans="1:10" x14ac:dyDescent="0.3">
      <c r="A2176" s="519" t="s">
        <v>2437</v>
      </c>
      <c r="B2176" s="520" t="s">
        <v>3316</v>
      </c>
      <c r="C2176" s="519" t="s">
        <v>32</v>
      </c>
      <c r="D2176" s="519" t="s">
        <v>3317</v>
      </c>
      <c r="E2176" s="905" t="s">
        <v>2440</v>
      </c>
      <c r="F2176" s="905"/>
      <c r="G2176" s="521" t="s">
        <v>1901</v>
      </c>
      <c r="H2176" s="522">
        <v>1</v>
      </c>
      <c r="I2176" s="523">
        <v>15.27</v>
      </c>
      <c r="J2176" s="523">
        <v>15.27</v>
      </c>
    </row>
    <row r="2177" spans="1:10" ht="25" x14ac:dyDescent="0.3">
      <c r="A2177" s="519" t="s">
        <v>2437</v>
      </c>
      <c r="B2177" s="520" t="s">
        <v>3257</v>
      </c>
      <c r="C2177" s="519" t="s">
        <v>32</v>
      </c>
      <c r="D2177" s="519" t="s">
        <v>4306</v>
      </c>
      <c r="E2177" s="905" t="s">
        <v>2856</v>
      </c>
      <c r="F2177" s="905"/>
      <c r="G2177" s="521" t="s">
        <v>1901</v>
      </c>
      <c r="H2177" s="522">
        <v>1</v>
      </c>
      <c r="I2177" s="523">
        <v>3.8</v>
      </c>
      <c r="J2177" s="523">
        <v>3.8</v>
      </c>
    </row>
    <row r="2178" spans="1:10" ht="25" x14ac:dyDescent="0.3">
      <c r="A2178" s="519" t="s">
        <v>2437</v>
      </c>
      <c r="B2178" s="520" t="s">
        <v>3258</v>
      </c>
      <c r="C2178" s="519" t="s">
        <v>32</v>
      </c>
      <c r="D2178" s="519" t="s">
        <v>4307</v>
      </c>
      <c r="E2178" s="905" t="s">
        <v>3259</v>
      </c>
      <c r="F2178" s="905"/>
      <c r="G2178" s="521" t="s">
        <v>1901</v>
      </c>
      <c r="H2178" s="522">
        <v>1</v>
      </c>
      <c r="I2178" s="523">
        <v>1.5</v>
      </c>
      <c r="J2178" s="523">
        <v>1.5</v>
      </c>
    </row>
    <row r="2179" spans="1:10" ht="25" x14ac:dyDescent="0.3">
      <c r="A2179" s="519" t="s">
        <v>2437</v>
      </c>
      <c r="B2179" s="520" t="s">
        <v>3260</v>
      </c>
      <c r="C2179" s="519" t="s">
        <v>32</v>
      </c>
      <c r="D2179" s="519" t="s">
        <v>4308</v>
      </c>
      <c r="E2179" s="905" t="s">
        <v>2856</v>
      </c>
      <c r="F2179" s="905"/>
      <c r="G2179" s="521" t="s">
        <v>1901</v>
      </c>
      <c r="H2179" s="522">
        <v>1</v>
      </c>
      <c r="I2179" s="523">
        <v>1.34</v>
      </c>
      <c r="J2179" s="523">
        <v>1.34</v>
      </c>
    </row>
    <row r="2180" spans="1:10" ht="25" x14ac:dyDescent="0.3">
      <c r="A2180" s="519" t="s">
        <v>2437</v>
      </c>
      <c r="B2180" s="520" t="s">
        <v>3261</v>
      </c>
      <c r="C2180" s="519" t="s">
        <v>32</v>
      </c>
      <c r="D2180" s="519" t="s">
        <v>4309</v>
      </c>
      <c r="E2180" s="905" t="s">
        <v>2535</v>
      </c>
      <c r="F2180" s="905"/>
      <c r="G2180" s="521" t="s">
        <v>1901</v>
      </c>
      <c r="H2180" s="522">
        <v>1</v>
      </c>
      <c r="I2180" s="523">
        <v>0.04</v>
      </c>
      <c r="J2180" s="523">
        <v>0.04</v>
      </c>
    </row>
    <row r="2181" spans="1:10" ht="25" x14ac:dyDescent="0.3">
      <c r="A2181" s="519" t="s">
        <v>2437</v>
      </c>
      <c r="B2181" s="520" t="s">
        <v>3318</v>
      </c>
      <c r="C2181" s="519" t="s">
        <v>32</v>
      </c>
      <c r="D2181" s="519" t="s">
        <v>3319</v>
      </c>
      <c r="E2181" s="905" t="s">
        <v>2446</v>
      </c>
      <c r="F2181" s="905"/>
      <c r="G2181" s="521" t="s">
        <v>1901</v>
      </c>
      <c r="H2181" s="522">
        <v>1</v>
      </c>
      <c r="I2181" s="523">
        <v>0.85</v>
      </c>
      <c r="J2181" s="523">
        <v>0.85</v>
      </c>
    </row>
    <row r="2182" spans="1:10" ht="25.5" thickBot="1" x14ac:dyDescent="0.35">
      <c r="A2182" s="519" t="s">
        <v>2437</v>
      </c>
      <c r="B2182" s="520" t="s">
        <v>3320</v>
      </c>
      <c r="C2182" s="519" t="s">
        <v>32</v>
      </c>
      <c r="D2182" s="519" t="s">
        <v>3321</v>
      </c>
      <c r="E2182" s="905" t="s">
        <v>2446</v>
      </c>
      <c r="F2182" s="905"/>
      <c r="G2182" s="521" t="s">
        <v>1901</v>
      </c>
      <c r="H2182" s="522">
        <v>1</v>
      </c>
      <c r="I2182" s="523">
        <v>1.2</v>
      </c>
      <c r="J2182" s="523">
        <v>1.2</v>
      </c>
    </row>
    <row r="2183" spans="1:10" ht="14.5" thickTop="1" x14ac:dyDescent="0.3">
      <c r="A2183" s="647"/>
      <c r="B2183" s="647"/>
      <c r="C2183" s="647"/>
      <c r="D2183" s="647"/>
      <c r="E2183" s="647"/>
      <c r="F2183" s="647"/>
      <c r="G2183" s="647"/>
      <c r="H2183" s="647"/>
      <c r="I2183" s="647"/>
      <c r="J2183"/>
    </row>
    <row r="2184" spans="1:10" s="358" customFormat="1" x14ac:dyDescent="0.3">
      <c r="A2184" s="516"/>
      <c r="B2184" s="517" t="s">
        <v>15</v>
      </c>
      <c r="C2184" s="516" t="s">
        <v>16</v>
      </c>
      <c r="D2184" s="516" t="s">
        <v>17</v>
      </c>
      <c r="E2184" s="904" t="s">
        <v>2431</v>
      </c>
      <c r="F2184" s="904"/>
      <c r="G2184" s="518" t="s">
        <v>18</v>
      </c>
      <c r="H2184" s="517" t="s">
        <v>19</v>
      </c>
      <c r="I2184" s="517" t="s">
        <v>20</v>
      </c>
      <c r="J2184" s="517" t="s">
        <v>23</v>
      </c>
    </row>
    <row r="2185" spans="1:10" ht="25" x14ac:dyDescent="0.3">
      <c r="A2185" s="642" t="s">
        <v>2432</v>
      </c>
      <c r="B2185" s="643" t="s">
        <v>3239</v>
      </c>
      <c r="C2185" s="642" t="s">
        <v>32</v>
      </c>
      <c r="D2185" s="642" t="s">
        <v>3240</v>
      </c>
      <c r="E2185" s="906" t="s">
        <v>2433</v>
      </c>
      <c r="F2185" s="906"/>
      <c r="G2185" s="644" t="s">
        <v>1901</v>
      </c>
      <c r="H2185" s="645">
        <v>1</v>
      </c>
      <c r="I2185" s="646">
        <v>23.63</v>
      </c>
      <c r="J2185" s="646">
        <v>23.63</v>
      </c>
    </row>
    <row r="2186" spans="1:10" s="358" customFormat="1" ht="25" x14ac:dyDescent="0.3">
      <c r="A2186" s="519" t="s">
        <v>2434</v>
      </c>
      <c r="B2186" s="520" t="s">
        <v>3322</v>
      </c>
      <c r="C2186" s="519" t="s">
        <v>32</v>
      </c>
      <c r="D2186" s="519" t="s">
        <v>3323</v>
      </c>
      <c r="E2186" s="905" t="s">
        <v>2433</v>
      </c>
      <c r="F2186" s="905"/>
      <c r="G2186" s="521" t="s">
        <v>1901</v>
      </c>
      <c r="H2186" s="522">
        <v>1</v>
      </c>
      <c r="I2186" s="523">
        <v>0.31</v>
      </c>
      <c r="J2186" s="523">
        <v>0.31</v>
      </c>
    </row>
    <row r="2187" spans="1:10" x14ac:dyDescent="0.3">
      <c r="A2187" s="519" t="s">
        <v>2437</v>
      </c>
      <c r="B2187" s="520" t="s">
        <v>3324</v>
      </c>
      <c r="C2187" s="519" t="s">
        <v>32</v>
      </c>
      <c r="D2187" s="519" t="s">
        <v>3325</v>
      </c>
      <c r="E2187" s="905" t="s">
        <v>2440</v>
      </c>
      <c r="F2187" s="905"/>
      <c r="G2187" s="521" t="s">
        <v>1901</v>
      </c>
      <c r="H2187" s="522">
        <v>1</v>
      </c>
      <c r="I2187" s="523">
        <v>15.27</v>
      </c>
      <c r="J2187" s="523">
        <v>15.27</v>
      </c>
    </row>
    <row r="2188" spans="1:10" ht="25" x14ac:dyDescent="0.3">
      <c r="A2188" s="519" t="s">
        <v>2437</v>
      </c>
      <c r="B2188" s="520" t="s">
        <v>3257</v>
      </c>
      <c r="C2188" s="519" t="s">
        <v>32</v>
      </c>
      <c r="D2188" s="519" t="s">
        <v>4306</v>
      </c>
      <c r="E2188" s="905" t="s">
        <v>2856</v>
      </c>
      <c r="F2188" s="905"/>
      <c r="G2188" s="521" t="s">
        <v>1901</v>
      </c>
      <c r="H2188" s="522">
        <v>1</v>
      </c>
      <c r="I2188" s="523">
        <v>3.8</v>
      </c>
      <c r="J2188" s="523">
        <v>3.8</v>
      </c>
    </row>
    <row r="2189" spans="1:10" ht="25" x14ac:dyDescent="0.3">
      <c r="A2189" s="519" t="s">
        <v>2437</v>
      </c>
      <c r="B2189" s="520" t="s">
        <v>3258</v>
      </c>
      <c r="C2189" s="519" t="s">
        <v>32</v>
      </c>
      <c r="D2189" s="519" t="s">
        <v>4307</v>
      </c>
      <c r="E2189" s="905" t="s">
        <v>3259</v>
      </c>
      <c r="F2189" s="905"/>
      <c r="G2189" s="521" t="s">
        <v>1901</v>
      </c>
      <c r="H2189" s="522">
        <v>1</v>
      </c>
      <c r="I2189" s="523">
        <v>1.5</v>
      </c>
      <c r="J2189" s="523">
        <v>1.5</v>
      </c>
    </row>
    <row r="2190" spans="1:10" ht="25" x14ac:dyDescent="0.3">
      <c r="A2190" s="519" t="s">
        <v>2437</v>
      </c>
      <c r="B2190" s="520" t="s">
        <v>3260</v>
      </c>
      <c r="C2190" s="519" t="s">
        <v>32</v>
      </c>
      <c r="D2190" s="519" t="s">
        <v>4308</v>
      </c>
      <c r="E2190" s="905" t="s">
        <v>2856</v>
      </c>
      <c r="F2190" s="905"/>
      <c r="G2190" s="521" t="s">
        <v>1901</v>
      </c>
      <c r="H2190" s="522">
        <v>1</v>
      </c>
      <c r="I2190" s="523">
        <v>1.34</v>
      </c>
      <c r="J2190" s="523">
        <v>1.34</v>
      </c>
    </row>
    <row r="2191" spans="1:10" ht="25" x14ac:dyDescent="0.3">
      <c r="A2191" s="519" t="s">
        <v>2437</v>
      </c>
      <c r="B2191" s="520" t="s">
        <v>3261</v>
      </c>
      <c r="C2191" s="519" t="s">
        <v>32</v>
      </c>
      <c r="D2191" s="519" t="s">
        <v>4309</v>
      </c>
      <c r="E2191" s="905" t="s">
        <v>2535</v>
      </c>
      <c r="F2191" s="905"/>
      <c r="G2191" s="521" t="s">
        <v>1901</v>
      </c>
      <c r="H2191" s="522">
        <v>1</v>
      </c>
      <c r="I2191" s="523">
        <v>0.04</v>
      </c>
      <c r="J2191" s="523">
        <v>0.04</v>
      </c>
    </row>
    <row r="2192" spans="1:10" ht="25" x14ac:dyDescent="0.3">
      <c r="A2192" s="519" t="s">
        <v>2437</v>
      </c>
      <c r="B2192" s="520" t="s">
        <v>3326</v>
      </c>
      <c r="C2192" s="519" t="s">
        <v>32</v>
      </c>
      <c r="D2192" s="519" t="s">
        <v>3327</v>
      </c>
      <c r="E2192" s="905" t="s">
        <v>2446</v>
      </c>
      <c r="F2192" s="905"/>
      <c r="G2192" s="521" t="s">
        <v>1901</v>
      </c>
      <c r="H2192" s="522">
        <v>1</v>
      </c>
      <c r="I2192" s="523">
        <v>0.31</v>
      </c>
      <c r="J2192" s="523">
        <v>0.31</v>
      </c>
    </row>
    <row r="2193" spans="1:10" ht="25.5" thickBot="1" x14ac:dyDescent="0.35">
      <c r="A2193" s="519" t="s">
        <v>2437</v>
      </c>
      <c r="B2193" s="520" t="s">
        <v>3328</v>
      </c>
      <c r="C2193" s="519" t="s">
        <v>32</v>
      </c>
      <c r="D2193" s="519" t="s">
        <v>3329</v>
      </c>
      <c r="E2193" s="905" t="s">
        <v>2446</v>
      </c>
      <c r="F2193" s="905"/>
      <c r="G2193" s="521" t="s">
        <v>1901</v>
      </c>
      <c r="H2193" s="522">
        <v>1</v>
      </c>
      <c r="I2193" s="523">
        <v>1.06</v>
      </c>
      <c r="J2193" s="523">
        <v>1.06</v>
      </c>
    </row>
    <row r="2194" spans="1:10" ht="14.5" thickTop="1" x14ac:dyDescent="0.3">
      <c r="A2194" s="647"/>
      <c r="B2194" s="647"/>
      <c r="C2194" s="647"/>
      <c r="D2194" s="647"/>
      <c r="E2194" s="647"/>
      <c r="F2194" s="647"/>
      <c r="G2194" s="647"/>
      <c r="H2194" s="647"/>
      <c r="I2194" s="647"/>
      <c r="J2194"/>
    </row>
    <row r="2195" spans="1:10" s="358" customFormat="1" x14ac:dyDescent="0.3">
      <c r="A2195" s="516"/>
      <c r="B2195" s="517" t="s">
        <v>15</v>
      </c>
      <c r="C2195" s="516" t="s">
        <v>16</v>
      </c>
      <c r="D2195" s="516" t="s">
        <v>17</v>
      </c>
      <c r="E2195" s="904" t="s">
        <v>2431</v>
      </c>
      <c r="F2195" s="904"/>
      <c r="G2195" s="518" t="s">
        <v>18</v>
      </c>
      <c r="H2195" s="517" t="s">
        <v>19</v>
      </c>
      <c r="I2195" s="517" t="s">
        <v>20</v>
      </c>
      <c r="J2195" s="517" t="s">
        <v>23</v>
      </c>
    </row>
    <row r="2196" spans="1:10" ht="14.25" customHeight="1" x14ac:dyDescent="0.3">
      <c r="A2196" s="642" t="s">
        <v>2432</v>
      </c>
      <c r="B2196" s="643" t="s">
        <v>2788</v>
      </c>
      <c r="C2196" s="642" t="s">
        <v>32</v>
      </c>
      <c r="D2196" s="642" t="s">
        <v>2789</v>
      </c>
      <c r="E2196" s="906" t="s">
        <v>2433</v>
      </c>
      <c r="F2196" s="906"/>
      <c r="G2196" s="644" t="s">
        <v>1901</v>
      </c>
      <c r="H2196" s="645">
        <v>1</v>
      </c>
      <c r="I2196" s="646">
        <v>23.24</v>
      </c>
      <c r="J2196" s="646">
        <v>23.24</v>
      </c>
    </row>
    <row r="2197" spans="1:10" s="358" customFormat="1" ht="25" x14ac:dyDescent="0.3">
      <c r="A2197" s="519" t="s">
        <v>2434</v>
      </c>
      <c r="B2197" s="520" t="s">
        <v>3330</v>
      </c>
      <c r="C2197" s="519" t="s">
        <v>32</v>
      </c>
      <c r="D2197" s="519" t="s">
        <v>3331</v>
      </c>
      <c r="E2197" s="905" t="s">
        <v>2433</v>
      </c>
      <c r="F2197" s="905"/>
      <c r="G2197" s="521" t="s">
        <v>1901</v>
      </c>
      <c r="H2197" s="522">
        <v>1</v>
      </c>
      <c r="I2197" s="523">
        <v>0.19</v>
      </c>
      <c r="J2197" s="523">
        <v>0.19</v>
      </c>
    </row>
    <row r="2198" spans="1:10" x14ac:dyDescent="0.3">
      <c r="A2198" s="519" t="s">
        <v>2437</v>
      </c>
      <c r="B2198" s="520" t="s">
        <v>3332</v>
      </c>
      <c r="C2198" s="519" t="s">
        <v>32</v>
      </c>
      <c r="D2198" s="519" t="s">
        <v>4312</v>
      </c>
      <c r="E2198" s="905" t="s">
        <v>2440</v>
      </c>
      <c r="F2198" s="905"/>
      <c r="G2198" s="521" t="s">
        <v>1901</v>
      </c>
      <c r="H2198" s="522">
        <v>1</v>
      </c>
      <c r="I2198" s="523">
        <v>14.43</v>
      </c>
      <c r="J2198" s="523">
        <v>14.43</v>
      </c>
    </row>
    <row r="2199" spans="1:10" ht="25" x14ac:dyDescent="0.3">
      <c r="A2199" s="519" t="s">
        <v>2437</v>
      </c>
      <c r="B2199" s="520" t="s">
        <v>3257</v>
      </c>
      <c r="C2199" s="519" t="s">
        <v>32</v>
      </c>
      <c r="D2199" s="519" t="s">
        <v>4306</v>
      </c>
      <c r="E2199" s="905" t="s">
        <v>2856</v>
      </c>
      <c r="F2199" s="905"/>
      <c r="G2199" s="521" t="s">
        <v>1901</v>
      </c>
      <c r="H2199" s="522">
        <v>1</v>
      </c>
      <c r="I2199" s="523">
        <v>3.8</v>
      </c>
      <c r="J2199" s="523">
        <v>3.8</v>
      </c>
    </row>
    <row r="2200" spans="1:10" ht="25" x14ac:dyDescent="0.3">
      <c r="A2200" s="519" t="s">
        <v>2437</v>
      </c>
      <c r="B2200" s="520" t="s">
        <v>3258</v>
      </c>
      <c r="C2200" s="519" t="s">
        <v>32</v>
      </c>
      <c r="D2200" s="519" t="s">
        <v>4307</v>
      </c>
      <c r="E2200" s="905" t="s">
        <v>3259</v>
      </c>
      <c r="F2200" s="905"/>
      <c r="G2200" s="521" t="s">
        <v>1901</v>
      </c>
      <c r="H2200" s="522">
        <v>1</v>
      </c>
      <c r="I2200" s="523">
        <v>1.5</v>
      </c>
      <c r="J2200" s="523">
        <v>1.5</v>
      </c>
    </row>
    <row r="2201" spans="1:10" ht="25" x14ac:dyDescent="0.3">
      <c r="A2201" s="519" t="s">
        <v>2437</v>
      </c>
      <c r="B2201" s="520" t="s">
        <v>3260</v>
      </c>
      <c r="C2201" s="519" t="s">
        <v>32</v>
      </c>
      <c r="D2201" s="519" t="s">
        <v>4308</v>
      </c>
      <c r="E2201" s="905" t="s">
        <v>2856</v>
      </c>
      <c r="F2201" s="905"/>
      <c r="G2201" s="521" t="s">
        <v>1901</v>
      </c>
      <c r="H2201" s="522">
        <v>1</v>
      </c>
      <c r="I2201" s="523">
        <v>1.34</v>
      </c>
      <c r="J2201" s="523">
        <v>1.34</v>
      </c>
    </row>
    <row r="2202" spans="1:10" ht="25" x14ac:dyDescent="0.3">
      <c r="A2202" s="519" t="s">
        <v>2437</v>
      </c>
      <c r="B2202" s="520" t="s">
        <v>3261</v>
      </c>
      <c r="C2202" s="519" t="s">
        <v>32</v>
      </c>
      <c r="D2202" s="519" t="s">
        <v>4309</v>
      </c>
      <c r="E2202" s="905" t="s">
        <v>2535</v>
      </c>
      <c r="F2202" s="905"/>
      <c r="G2202" s="521" t="s">
        <v>1901</v>
      </c>
      <c r="H2202" s="522">
        <v>1</v>
      </c>
      <c r="I2202" s="523">
        <v>0.04</v>
      </c>
      <c r="J2202" s="523">
        <v>0.04</v>
      </c>
    </row>
    <row r="2203" spans="1:10" ht="25" x14ac:dyDescent="0.3">
      <c r="A2203" s="519" t="s">
        <v>2437</v>
      </c>
      <c r="B2203" s="520" t="s">
        <v>3333</v>
      </c>
      <c r="C2203" s="519" t="s">
        <v>32</v>
      </c>
      <c r="D2203" s="519" t="s">
        <v>3334</v>
      </c>
      <c r="E2203" s="905" t="s">
        <v>2446</v>
      </c>
      <c r="F2203" s="905"/>
      <c r="G2203" s="521" t="s">
        <v>1901</v>
      </c>
      <c r="H2203" s="522">
        <v>1</v>
      </c>
      <c r="I2203" s="523">
        <v>0.61</v>
      </c>
      <c r="J2203" s="523">
        <v>0.61</v>
      </c>
    </row>
    <row r="2204" spans="1:10" ht="25.5" thickBot="1" x14ac:dyDescent="0.35">
      <c r="A2204" s="519" t="s">
        <v>2437</v>
      </c>
      <c r="B2204" s="520" t="s">
        <v>3335</v>
      </c>
      <c r="C2204" s="519" t="s">
        <v>32</v>
      </c>
      <c r="D2204" s="519" t="s">
        <v>3336</v>
      </c>
      <c r="E2204" s="905" t="s">
        <v>2446</v>
      </c>
      <c r="F2204" s="905"/>
      <c r="G2204" s="521" t="s">
        <v>1901</v>
      </c>
      <c r="H2204" s="522">
        <v>1</v>
      </c>
      <c r="I2204" s="523">
        <v>1.33</v>
      </c>
      <c r="J2204" s="523">
        <v>1.33</v>
      </c>
    </row>
    <row r="2205" spans="1:10" ht="14.5" thickTop="1" x14ac:dyDescent="0.3">
      <c r="A2205" s="647"/>
      <c r="B2205" s="647"/>
      <c r="C2205" s="647"/>
      <c r="D2205" s="647"/>
      <c r="E2205" s="647"/>
      <c r="F2205" s="647"/>
      <c r="G2205" s="647"/>
      <c r="H2205" s="647"/>
      <c r="I2205" s="647"/>
      <c r="J2205"/>
    </row>
    <row r="2206" spans="1:10" s="358" customFormat="1" x14ac:dyDescent="0.3">
      <c r="A2206" s="516"/>
      <c r="B2206" s="517" t="s">
        <v>15</v>
      </c>
      <c r="C2206" s="516" t="s">
        <v>16</v>
      </c>
      <c r="D2206" s="516" t="s">
        <v>17</v>
      </c>
      <c r="E2206" s="904" t="s">
        <v>2431</v>
      </c>
      <c r="F2206" s="904"/>
      <c r="G2206" s="518" t="s">
        <v>18</v>
      </c>
      <c r="H2206" s="517" t="s">
        <v>19</v>
      </c>
      <c r="I2206" s="517" t="s">
        <v>20</v>
      </c>
      <c r="J2206" s="517" t="s">
        <v>23</v>
      </c>
    </row>
    <row r="2207" spans="1:10" ht="25" x14ac:dyDescent="0.3">
      <c r="A2207" s="642" t="s">
        <v>2432</v>
      </c>
      <c r="B2207" s="643" t="s">
        <v>3129</v>
      </c>
      <c r="C2207" s="642" t="s">
        <v>221</v>
      </c>
      <c r="D2207" s="642" t="s">
        <v>3130</v>
      </c>
      <c r="E2207" s="906" t="s">
        <v>3131</v>
      </c>
      <c r="F2207" s="906"/>
      <c r="G2207" s="644" t="s">
        <v>115</v>
      </c>
      <c r="H2207" s="645">
        <v>1</v>
      </c>
      <c r="I2207" s="646">
        <v>124.29</v>
      </c>
      <c r="J2207" s="646">
        <v>124.29</v>
      </c>
    </row>
    <row r="2208" spans="1:10" s="358" customFormat="1" ht="37.5" x14ac:dyDescent="0.3">
      <c r="A2208" s="519" t="s">
        <v>2434</v>
      </c>
      <c r="B2208" s="520" t="s">
        <v>3337</v>
      </c>
      <c r="C2208" s="519" t="s">
        <v>221</v>
      </c>
      <c r="D2208" s="519" t="s">
        <v>3338</v>
      </c>
      <c r="E2208" s="905" t="s">
        <v>3128</v>
      </c>
      <c r="F2208" s="905"/>
      <c r="G2208" s="521" t="s">
        <v>118</v>
      </c>
      <c r="H2208" s="522">
        <v>3.2000000000000001E-2</v>
      </c>
      <c r="I2208" s="523">
        <v>466.57</v>
      </c>
      <c r="J2208" s="523">
        <v>14.93</v>
      </c>
    </row>
    <row r="2209" spans="1:10" ht="25" x14ac:dyDescent="0.3">
      <c r="A2209" s="519" t="s">
        <v>2434</v>
      </c>
      <c r="B2209" s="520" t="s">
        <v>2561</v>
      </c>
      <c r="C2209" s="519" t="s">
        <v>32</v>
      </c>
      <c r="D2209" s="519" t="s">
        <v>2562</v>
      </c>
      <c r="E2209" s="905" t="s">
        <v>2433</v>
      </c>
      <c r="F2209" s="905"/>
      <c r="G2209" s="521" t="s">
        <v>1901</v>
      </c>
      <c r="H2209" s="522">
        <v>0.91</v>
      </c>
      <c r="I2209" s="523">
        <v>23.4</v>
      </c>
      <c r="J2209" s="523">
        <v>21.29</v>
      </c>
    </row>
    <row r="2210" spans="1:10" ht="25" x14ac:dyDescent="0.3">
      <c r="A2210" s="519" t="s">
        <v>2434</v>
      </c>
      <c r="B2210" s="520" t="s">
        <v>2757</v>
      </c>
      <c r="C2210" s="519" t="s">
        <v>32</v>
      </c>
      <c r="D2210" s="519" t="s">
        <v>2758</v>
      </c>
      <c r="E2210" s="905" t="s">
        <v>2433</v>
      </c>
      <c r="F2210" s="905"/>
      <c r="G2210" s="521" t="s">
        <v>1901</v>
      </c>
      <c r="H2210" s="522">
        <v>1.52</v>
      </c>
      <c r="I2210" s="523">
        <v>31.1</v>
      </c>
      <c r="J2210" s="523">
        <v>47.27</v>
      </c>
    </row>
    <row r="2211" spans="1:10" ht="14.5" thickBot="1" x14ac:dyDescent="0.35">
      <c r="A2211" s="519" t="s">
        <v>2437</v>
      </c>
      <c r="B2211" s="520" t="s">
        <v>3339</v>
      </c>
      <c r="C2211" s="519" t="s">
        <v>221</v>
      </c>
      <c r="D2211" s="519" t="s">
        <v>3340</v>
      </c>
      <c r="E2211" s="905" t="s">
        <v>2442</v>
      </c>
      <c r="F2211" s="905"/>
      <c r="G2211" s="521" t="s">
        <v>600</v>
      </c>
      <c r="H2211" s="522">
        <v>68</v>
      </c>
      <c r="I2211" s="523">
        <v>0.6</v>
      </c>
      <c r="J2211" s="523">
        <v>40.799999999999997</v>
      </c>
    </row>
    <row r="2212" spans="1:10" ht="14.5" thickTop="1" x14ac:dyDescent="0.3">
      <c r="A2212" s="647"/>
      <c r="B2212" s="647"/>
      <c r="C2212" s="647"/>
      <c r="D2212" s="647"/>
      <c r="E2212" s="647"/>
      <c r="F2212" s="647"/>
      <c r="G2212" s="647"/>
      <c r="H2212" s="647"/>
      <c r="I2212" s="647"/>
      <c r="J2212"/>
    </row>
    <row r="2213" spans="1:10" x14ac:dyDescent="0.3">
      <c r="A2213" s="516"/>
      <c r="B2213" s="517" t="s">
        <v>15</v>
      </c>
      <c r="C2213" s="516" t="s">
        <v>16</v>
      </c>
      <c r="D2213" s="516" t="s">
        <v>17</v>
      </c>
      <c r="E2213" s="904" t="s">
        <v>2431</v>
      </c>
      <c r="F2213" s="904"/>
      <c r="G2213" s="518" t="s">
        <v>18</v>
      </c>
      <c r="H2213" s="517" t="s">
        <v>19</v>
      </c>
      <c r="I2213" s="517" t="s">
        <v>20</v>
      </c>
      <c r="J2213" s="517" t="s">
        <v>23</v>
      </c>
    </row>
    <row r="2214" spans="1:10" ht="25" x14ac:dyDescent="0.3">
      <c r="A2214" s="642" t="s">
        <v>2432</v>
      </c>
      <c r="B2214" s="643" t="s">
        <v>3132</v>
      </c>
      <c r="C2214" s="642" t="s">
        <v>221</v>
      </c>
      <c r="D2214" s="642" t="s">
        <v>3133</v>
      </c>
      <c r="E2214" s="906" t="s">
        <v>3134</v>
      </c>
      <c r="F2214" s="906"/>
      <c r="G2214" s="644" t="s">
        <v>118</v>
      </c>
      <c r="H2214" s="645">
        <v>1</v>
      </c>
      <c r="I2214" s="646">
        <v>511.2</v>
      </c>
      <c r="J2214" s="646">
        <v>511.2</v>
      </c>
    </row>
    <row r="2215" spans="1:10" ht="25" x14ac:dyDescent="0.3">
      <c r="A2215" s="519" t="s">
        <v>2434</v>
      </c>
      <c r="B2215" s="520" t="s">
        <v>2561</v>
      </c>
      <c r="C2215" s="519" t="s">
        <v>32</v>
      </c>
      <c r="D2215" s="519" t="s">
        <v>2562</v>
      </c>
      <c r="E2215" s="905" t="s">
        <v>2433</v>
      </c>
      <c r="F2215" s="905"/>
      <c r="G2215" s="521" t="s">
        <v>1901</v>
      </c>
      <c r="H2215" s="522">
        <v>4</v>
      </c>
      <c r="I2215" s="523">
        <v>23.4</v>
      </c>
      <c r="J2215" s="523">
        <v>93.6</v>
      </c>
    </row>
    <row r="2216" spans="1:10" x14ac:dyDescent="0.3">
      <c r="A2216" s="519" t="s">
        <v>2437</v>
      </c>
      <c r="B2216" s="520" t="s">
        <v>2816</v>
      </c>
      <c r="C2216" s="519" t="s">
        <v>125</v>
      </c>
      <c r="D2216" s="519" t="s">
        <v>2817</v>
      </c>
      <c r="E2216" s="905" t="s">
        <v>2442</v>
      </c>
      <c r="F2216" s="905"/>
      <c r="G2216" s="521" t="s">
        <v>118</v>
      </c>
      <c r="H2216" s="522">
        <v>1.08</v>
      </c>
      <c r="I2216" s="523">
        <v>149.36019999999999</v>
      </c>
      <c r="J2216" s="523">
        <v>161.30000000000001</v>
      </c>
    </row>
    <row r="2217" spans="1:10" s="358" customFormat="1" ht="14.5" thickBot="1" x14ac:dyDescent="0.35">
      <c r="A2217" s="519" t="s">
        <v>2437</v>
      </c>
      <c r="B2217" s="520" t="s">
        <v>4470</v>
      </c>
      <c r="C2217" s="519" t="s">
        <v>125</v>
      </c>
      <c r="D2217" s="519" t="s">
        <v>4471</v>
      </c>
      <c r="E2217" s="905" t="s">
        <v>2442</v>
      </c>
      <c r="F2217" s="905"/>
      <c r="G2217" s="521" t="s">
        <v>384</v>
      </c>
      <c r="H2217" s="522">
        <v>452.2</v>
      </c>
      <c r="I2217" s="523">
        <v>0.56679999999999997</v>
      </c>
      <c r="J2217" s="523">
        <v>256.3</v>
      </c>
    </row>
    <row r="2218" spans="1:10" ht="14.5" thickTop="1" x14ac:dyDescent="0.3">
      <c r="A2218" s="647"/>
      <c r="B2218" s="647"/>
      <c r="C2218" s="647"/>
      <c r="D2218" s="647"/>
      <c r="E2218" s="647"/>
      <c r="F2218" s="647"/>
      <c r="G2218" s="647"/>
      <c r="H2218" s="647"/>
      <c r="I2218" s="647"/>
      <c r="J2218"/>
    </row>
    <row r="2219" spans="1:10" s="358" customFormat="1" x14ac:dyDescent="0.3">
      <c r="A2219" s="516"/>
      <c r="B2219" s="517" t="s">
        <v>15</v>
      </c>
      <c r="C2219" s="516" t="s">
        <v>16</v>
      </c>
      <c r="D2219" s="516" t="s">
        <v>17</v>
      </c>
      <c r="E2219" s="904" t="s">
        <v>2431</v>
      </c>
      <c r="F2219" s="904"/>
      <c r="G2219" s="518" t="s">
        <v>18</v>
      </c>
      <c r="H2219" s="517" t="s">
        <v>19</v>
      </c>
      <c r="I2219" s="517" t="s">
        <v>20</v>
      </c>
      <c r="J2219" s="517" t="s">
        <v>23</v>
      </c>
    </row>
    <row r="2220" spans="1:10" ht="37.5" x14ac:dyDescent="0.3">
      <c r="A2220" s="642" t="s">
        <v>2432</v>
      </c>
      <c r="B2220" s="643" t="s">
        <v>3337</v>
      </c>
      <c r="C2220" s="642" t="s">
        <v>221</v>
      </c>
      <c r="D2220" s="642" t="s">
        <v>3338</v>
      </c>
      <c r="E2220" s="906" t="s">
        <v>3128</v>
      </c>
      <c r="F2220" s="906"/>
      <c r="G2220" s="644" t="s">
        <v>118</v>
      </c>
      <c r="H2220" s="645">
        <v>1</v>
      </c>
      <c r="I2220" s="646">
        <v>466.57</v>
      </c>
      <c r="J2220" s="646">
        <v>466.57</v>
      </c>
    </row>
    <row r="2221" spans="1:10" ht="25" x14ac:dyDescent="0.3">
      <c r="A2221" s="519" t="s">
        <v>2434</v>
      </c>
      <c r="B2221" s="520" t="s">
        <v>2561</v>
      </c>
      <c r="C2221" s="519" t="s">
        <v>32</v>
      </c>
      <c r="D2221" s="519" t="s">
        <v>2562</v>
      </c>
      <c r="E2221" s="905" t="s">
        <v>2433</v>
      </c>
      <c r="F2221" s="905"/>
      <c r="G2221" s="521" t="s">
        <v>1901</v>
      </c>
      <c r="H2221" s="522">
        <v>4</v>
      </c>
      <c r="I2221" s="523">
        <v>23.4</v>
      </c>
      <c r="J2221" s="523">
        <v>93.6</v>
      </c>
    </row>
    <row r="2222" spans="1:10" x14ac:dyDescent="0.3">
      <c r="A2222" s="519" t="s">
        <v>2437</v>
      </c>
      <c r="B2222" s="520" t="s">
        <v>2792</v>
      </c>
      <c r="C2222" s="519" t="s">
        <v>125</v>
      </c>
      <c r="D2222" s="519" t="s">
        <v>2793</v>
      </c>
      <c r="E2222" s="905" t="s">
        <v>2442</v>
      </c>
      <c r="F2222" s="905"/>
      <c r="G2222" s="521" t="s">
        <v>118</v>
      </c>
      <c r="H2222" s="522">
        <v>1.216</v>
      </c>
      <c r="I2222" s="523">
        <v>139.642</v>
      </c>
      <c r="J2222" s="523">
        <v>169.8</v>
      </c>
    </row>
    <row r="2223" spans="1:10" x14ac:dyDescent="0.3">
      <c r="A2223" s="519" t="s">
        <v>2437</v>
      </c>
      <c r="B2223" s="520" t="s">
        <v>383</v>
      </c>
      <c r="C2223" s="519" t="s">
        <v>125</v>
      </c>
      <c r="D2223" s="519" t="s">
        <v>4524</v>
      </c>
      <c r="E2223" s="905" t="s">
        <v>2442</v>
      </c>
      <c r="F2223" s="905"/>
      <c r="G2223" s="521" t="s">
        <v>384</v>
      </c>
      <c r="H2223" s="522">
        <v>182</v>
      </c>
      <c r="I2223" s="523">
        <v>0.54959999999999998</v>
      </c>
      <c r="J2223" s="523">
        <v>100.02</v>
      </c>
    </row>
    <row r="2224" spans="1:10" s="358" customFormat="1" ht="14.5" thickBot="1" x14ac:dyDescent="0.35">
      <c r="A2224" s="519" t="s">
        <v>2437</v>
      </c>
      <c r="B2224" s="520" t="s">
        <v>4470</v>
      </c>
      <c r="C2224" s="519" t="s">
        <v>125</v>
      </c>
      <c r="D2224" s="519" t="s">
        <v>4471</v>
      </c>
      <c r="E2224" s="905" t="s">
        <v>2442</v>
      </c>
      <c r="F2224" s="905"/>
      <c r="G2224" s="521" t="s">
        <v>384</v>
      </c>
      <c r="H2224" s="522">
        <v>182</v>
      </c>
      <c r="I2224" s="523">
        <v>0.56679999999999997</v>
      </c>
      <c r="J2224" s="523">
        <v>103.15</v>
      </c>
    </row>
    <row r="2225" spans="1:10" ht="14.5" thickTop="1" x14ac:dyDescent="0.3">
      <c r="A2225" s="647"/>
      <c r="B2225" s="647"/>
      <c r="C2225" s="647"/>
      <c r="D2225" s="647"/>
      <c r="E2225" s="647"/>
      <c r="F2225" s="647"/>
      <c r="G2225" s="647"/>
      <c r="H2225" s="647"/>
      <c r="I2225" s="647"/>
      <c r="J2225"/>
    </row>
    <row r="2226" spans="1:10" s="358" customFormat="1" x14ac:dyDescent="0.3">
      <c r="A2226" s="516"/>
      <c r="B2226" s="517" t="s">
        <v>15</v>
      </c>
      <c r="C2226" s="516" t="s">
        <v>16</v>
      </c>
      <c r="D2226" s="516" t="s">
        <v>17</v>
      </c>
      <c r="E2226" s="904" t="s">
        <v>2431</v>
      </c>
      <c r="F2226" s="904"/>
      <c r="G2226" s="518" t="s">
        <v>18</v>
      </c>
      <c r="H2226" s="517" t="s">
        <v>19</v>
      </c>
      <c r="I2226" s="517" t="s">
        <v>20</v>
      </c>
      <c r="J2226" s="517" t="s">
        <v>23</v>
      </c>
    </row>
    <row r="2227" spans="1:10" ht="37.5" x14ac:dyDescent="0.3">
      <c r="A2227" s="642" t="s">
        <v>2432</v>
      </c>
      <c r="B2227" s="643" t="s">
        <v>4525</v>
      </c>
      <c r="C2227" s="642" t="s">
        <v>251</v>
      </c>
      <c r="D2227" s="642" t="s">
        <v>4378</v>
      </c>
      <c r="E2227" s="906">
        <v>55</v>
      </c>
      <c r="F2227" s="906"/>
      <c r="G2227" s="644" t="s">
        <v>1369</v>
      </c>
      <c r="H2227" s="645">
        <v>1</v>
      </c>
      <c r="I2227" s="646">
        <v>5.16</v>
      </c>
      <c r="J2227" s="646">
        <v>5.16</v>
      </c>
    </row>
    <row r="2228" spans="1:10" ht="25.5" thickBot="1" x14ac:dyDescent="0.35">
      <c r="A2228" s="519" t="s">
        <v>2437</v>
      </c>
      <c r="B2228" s="520" t="s">
        <v>4391</v>
      </c>
      <c r="C2228" s="519" t="s">
        <v>251</v>
      </c>
      <c r="D2228" s="519" t="s">
        <v>4526</v>
      </c>
      <c r="E2228" s="905" t="s">
        <v>2442</v>
      </c>
      <c r="F2228" s="905"/>
      <c r="G2228" s="521" t="s">
        <v>1369</v>
      </c>
      <c r="H2228" s="522">
        <v>0.41460000000000002</v>
      </c>
      <c r="I2228" s="523">
        <v>12.45</v>
      </c>
      <c r="J2228" s="523">
        <v>5.16</v>
      </c>
    </row>
    <row r="2229" spans="1:10" ht="14.5" thickTop="1" x14ac:dyDescent="0.3">
      <c r="A2229" s="647"/>
      <c r="B2229" s="647"/>
      <c r="C2229" s="647"/>
      <c r="D2229" s="647"/>
      <c r="E2229" s="647"/>
      <c r="F2229" s="647"/>
      <c r="G2229" s="647"/>
      <c r="H2229" s="647"/>
      <c r="I2229" s="647"/>
      <c r="J2229"/>
    </row>
    <row r="2230" spans="1:10" s="358" customFormat="1" x14ac:dyDescent="0.3">
      <c r="A2230" s="516"/>
      <c r="B2230" s="517" t="s">
        <v>15</v>
      </c>
      <c r="C2230" s="516" t="s">
        <v>16</v>
      </c>
      <c r="D2230" s="516" t="s">
        <v>17</v>
      </c>
      <c r="E2230" s="904" t="s">
        <v>2431</v>
      </c>
      <c r="F2230" s="904"/>
      <c r="G2230" s="518" t="s">
        <v>18</v>
      </c>
      <c r="H2230" s="517" t="s">
        <v>19</v>
      </c>
      <c r="I2230" s="517" t="s">
        <v>20</v>
      </c>
      <c r="J2230" s="517" t="s">
        <v>23</v>
      </c>
    </row>
    <row r="2231" spans="1:10" ht="38.25" customHeight="1" x14ac:dyDescent="0.3">
      <c r="A2231" s="642" t="s">
        <v>2432</v>
      </c>
      <c r="B2231" s="643" t="s">
        <v>3181</v>
      </c>
      <c r="C2231" s="642" t="s">
        <v>32</v>
      </c>
      <c r="D2231" s="642" t="s">
        <v>4302</v>
      </c>
      <c r="E2231" s="906" t="s">
        <v>2465</v>
      </c>
      <c r="F2231" s="906"/>
      <c r="G2231" s="644" t="s">
        <v>110</v>
      </c>
      <c r="H2231" s="645">
        <v>1</v>
      </c>
      <c r="I2231" s="646">
        <v>0.4</v>
      </c>
      <c r="J2231" s="646">
        <v>0.4</v>
      </c>
    </row>
    <row r="2232" spans="1:10" s="358" customFormat="1" ht="38.25" customHeight="1" x14ac:dyDescent="0.3">
      <c r="A2232" s="519" t="s">
        <v>2434</v>
      </c>
      <c r="B2232" s="520" t="s">
        <v>3341</v>
      </c>
      <c r="C2232" s="519" t="s">
        <v>32</v>
      </c>
      <c r="D2232" s="519" t="s">
        <v>4313</v>
      </c>
      <c r="E2232" s="905" t="s">
        <v>2465</v>
      </c>
      <c r="F2232" s="905"/>
      <c r="G2232" s="521" t="s">
        <v>1901</v>
      </c>
      <c r="H2232" s="522">
        <v>1</v>
      </c>
      <c r="I2232" s="523">
        <v>0.33</v>
      </c>
      <c r="J2232" s="523">
        <v>0.33</v>
      </c>
    </row>
    <row r="2233" spans="1:10" ht="39" customHeight="1" thickBot="1" x14ac:dyDescent="0.35">
      <c r="A2233" s="519" t="s">
        <v>2434</v>
      </c>
      <c r="B2233" s="520" t="s">
        <v>3342</v>
      </c>
      <c r="C2233" s="519" t="s">
        <v>32</v>
      </c>
      <c r="D2233" s="519" t="s">
        <v>4314</v>
      </c>
      <c r="E2233" s="905" t="s">
        <v>2465</v>
      </c>
      <c r="F2233" s="905"/>
      <c r="G2233" s="521" t="s">
        <v>1901</v>
      </c>
      <c r="H2233" s="522">
        <v>1</v>
      </c>
      <c r="I2233" s="523">
        <v>7.0000000000000007E-2</v>
      </c>
      <c r="J2233" s="523">
        <v>7.0000000000000007E-2</v>
      </c>
    </row>
    <row r="2234" spans="1:10" ht="14.5" thickTop="1" x14ac:dyDescent="0.3">
      <c r="A2234" s="647"/>
      <c r="B2234" s="647"/>
      <c r="C2234" s="647"/>
      <c r="D2234" s="647"/>
      <c r="E2234" s="647"/>
      <c r="F2234" s="647"/>
      <c r="G2234" s="647"/>
      <c r="H2234" s="647"/>
      <c r="I2234" s="647"/>
      <c r="J2234"/>
    </row>
    <row r="2235" spans="1:10" x14ac:dyDescent="0.3">
      <c r="A2235" s="516"/>
      <c r="B2235" s="517" t="s">
        <v>15</v>
      </c>
      <c r="C2235" s="516" t="s">
        <v>16</v>
      </c>
      <c r="D2235" s="516" t="s">
        <v>17</v>
      </c>
      <c r="E2235" s="904" t="s">
        <v>2431</v>
      </c>
      <c r="F2235" s="904"/>
      <c r="G2235" s="518" t="s">
        <v>18</v>
      </c>
      <c r="H2235" s="517" t="s">
        <v>19</v>
      </c>
      <c r="I2235" s="517" t="s">
        <v>20</v>
      </c>
      <c r="J2235" s="517" t="s">
        <v>23</v>
      </c>
    </row>
    <row r="2236" spans="1:10" ht="38.25" customHeight="1" x14ac:dyDescent="0.3">
      <c r="A2236" s="642" t="s">
        <v>2432</v>
      </c>
      <c r="B2236" s="643" t="s">
        <v>3180</v>
      </c>
      <c r="C2236" s="642" t="s">
        <v>32</v>
      </c>
      <c r="D2236" s="642" t="s">
        <v>4301</v>
      </c>
      <c r="E2236" s="906" t="s">
        <v>2465</v>
      </c>
      <c r="F2236" s="906"/>
      <c r="G2236" s="644" t="s">
        <v>103</v>
      </c>
      <c r="H2236" s="645">
        <v>1</v>
      </c>
      <c r="I2236" s="646">
        <v>1.66</v>
      </c>
      <c r="J2236" s="646">
        <v>1.66</v>
      </c>
    </row>
    <row r="2237" spans="1:10" s="358" customFormat="1" ht="38.25" customHeight="1" x14ac:dyDescent="0.3">
      <c r="A2237" s="519" t="s">
        <v>2434</v>
      </c>
      <c r="B2237" s="520" t="s">
        <v>3341</v>
      </c>
      <c r="C2237" s="519" t="s">
        <v>32</v>
      </c>
      <c r="D2237" s="519" t="s">
        <v>4313</v>
      </c>
      <c r="E2237" s="905" t="s">
        <v>2465</v>
      </c>
      <c r="F2237" s="905"/>
      <c r="G2237" s="521" t="s">
        <v>1901</v>
      </c>
      <c r="H2237" s="522">
        <v>1</v>
      </c>
      <c r="I2237" s="523">
        <v>0.33</v>
      </c>
      <c r="J2237" s="523">
        <v>0.33</v>
      </c>
    </row>
    <row r="2238" spans="1:10" ht="38.25" customHeight="1" x14ac:dyDescent="0.3">
      <c r="A2238" s="519" t="s">
        <v>2434</v>
      </c>
      <c r="B2238" s="520" t="s">
        <v>3342</v>
      </c>
      <c r="C2238" s="519" t="s">
        <v>32</v>
      </c>
      <c r="D2238" s="519" t="s">
        <v>4314</v>
      </c>
      <c r="E2238" s="905" t="s">
        <v>2465</v>
      </c>
      <c r="F2238" s="905"/>
      <c r="G2238" s="521" t="s">
        <v>1901</v>
      </c>
      <c r="H2238" s="522">
        <v>1</v>
      </c>
      <c r="I2238" s="523">
        <v>7.0000000000000007E-2</v>
      </c>
      <c r="J2238" s="523">
        <v>7.0000000000000007E-2</v>
      </c>
    </row>
    <row r="2239" spans="1:10" s="358" customFormat="1" ht="38.25" customHeight="1" x14ac:dyDescent="0.3">
      <c r="A2239" s="519" t="s">
        <v>2434</v>
      </c>
      <c r="B2239" s="520" t="s">
        <v>3343</v>
      </c>
      <c r="C2239" s="519" t="s">
        <v>32</v>
      </c>
      <c r="D2239" s="519" t="s">
        <v>4315</v>
      </c>
      <c r="E2239" s="905" t="s">
        <v>2465</v>
      </c>
      <c r="F2239" s="905"/>
      <c r="G2239" s="521" t="s">
        <v>1901</v>
      </c>
      <c r="H2239" s="522">
        <v>1</v>
      </c>
      <c r="I2239" s="523">
        <v>0.36</v>
      </c>
      <c r="J2239" s="523">
        <v>0.36</v>
      </c>
    </row>
    <row r="2240" spans="1:10" ht="38.25" customHeight="1" thickBot="1" x14ac:dyDescent="0.35">
      <c r="A2240" s="519" t="s">
        <v>2434</v>
      </c>
      <c r="B2240" s="520" t="s">
        <v>3344</v>
      </c>
      <c r="C2240" s="519" t="s">
        <v>32</v>
      </c>
      <c r="D2240" s="519" t="s">
        <v>4316</v>
      </c>
      <c r="E2240" s="905" t="s">
        <v>2465</v>
      </c>
      <c r="F2240" s="905"/>
      <c r="G2240" s="521" t="s">
        <v>1901</v>
      </c>
      <c r="H2240" s="522">
        <v>1</v>
      </c>
      <c r="I2240" s="523">
        <v>0.9</v>
      </c>
      <c r="J2240" s="523">
        <v>0.9</v>
      </c>
    </row>
    <row r="2241" spans="1:10" ht="39" customHeight="1" thickTop="1" x14ac:dyDescent="0.3">
      <c r="A2241" s="647"/>
      <c r="B2241" s="647"/>
      <c r="C2241" s="647"/>
      <c r="D2241" s="647"/>
      <c r="E2241" s="647"/>
      <c r="F2241" s="647"/>
      <c r="G2241" s="647"/>
      <c r="H2241" s="647"/>
      <c r="I2241" s="647"/>
      <c r="J2241"/>
    </row>
    <row r="2242" spans="1:10" s="358" customFormat="1" x14ac:dyDescent="0.3">
      <c r="A2242" s="516"/>
      <c r="B2242" s="517" t="s">
        <v>15</v>
      </c>
      <c r="C2242" s="516" t="s">
        <v>16</v>
      </c>
      <c r="D2242" s="516" t="s">
        <v>17</v>
      </c>
      <c r="E2242" s="904" t="s">
        <v>2431</v>
      </c>
      <c r="F2242" s="904"/>
      <c r="G2242" s="518" t="s">
        <v>18</v>
      </c>
      <c r="H2242" s="517" t="s">
        <v>19</v>
      </c>
      <c r="I2242" s="517" t="s">
        <v>20</v>
      </c>
      <c r="J2242" s="517" t="s">
        <v>23</v>
      </c>
    </row>
    <row r="2243" spans="1:10" ht="38.25" customHeight="1" x14ac:dyDescent="0.3">
      <c r="A2243" s="642" t="s">
        <v>2432</v>
      </c>
      <c r="B2243" s="643" t="s">
        <v>3341</v>
      </c>
      <c r="C2243" s="642" t="s">
        <v>32</v>
      </c>
      <c r="D2243" s="642" t="s">
        <v>4313</v>
      </c>
      <c r="E2243" s="906" t="s">
        <v>2465</v>
      </c>
      <c r="F2243" s="906"/>
      <c r="G2243" s="644" t="s">
        <v>1901</v>
      </c>
      <c r="H2243" s="645">
        <v>1</v>
      </c>
      <c r="I2243" s="646">
        <v>0.33</v>
      </c>
      <c r="J2243" s="646">
        <v>0.33</v>
      </c>
    </row>
    <row r="2244" spans="1:10" s="358" customFormat="1" ht="38.25" customHeight="1" thickBot="1" x14ac:dyDescent="0.35">
      <c r="A2244" s="519" t="s">
        <v>2437</v>
      </c>
      <c r="B2244" s="520" t="s">
        <v>3345</v>
      </c>
      <c r="C2244" s="519" t="s">
        <v>32</v>
      </c>
      <c r="D2244" s="519" t="s">
        <v>3346</v>
      </c>
      <c r="E2244" s="905" t="s">
        <v>2446</v>
      </c>
      <c r="F2244" s="905"/>
      <c r="G2244" s="521" t="s">
        <v>89</v>
      </c>
      <c r="H2244" s="522">
        <v>6.3999999999999997E-5</v>
      </c>
      <c r="I2244" s="523">
        <v>5200</v>
      </c>
      <c r="J2244" s="523">
        <v>0.33</v>
      </c>
    </row>
    <row r="2245" spans="1:10" ht="38.25" customHeight="1" thickTop="1" x14ac:dyDescent="0.3">
      <c r="A2245" s="647"/>
      <c r="B2245" s="647"/>
      <c r="C2245" s="647"/>
      <c r="D2245" s="647"/>
      <c r="E2245" s="647"/>
      <c r="F2245" s="647"/>
      <c r="G2245" s="647"/>
      <c r="H2245" s="647"/>
      <c r="I2245" s="647"/>
      <c r="J2245"/>
    </row>
    <row r="2246" spans="1:10" ht="38.25" customHeight="1" x14ac:dyDescent="0.3">
      <c r="A2246" s="516"/>
      <c r="B2246" s="517" t="s">
        <v>15</v>
      </c>
      <c r="C2246" s="516" t="s">
        <v>16</v>
      </c>
      <c r="D2246" s="516" t="s">
        <v>17</v>
      </c>
      <c r="E2246" s="904" t="s">
        <v>2431</v>
      </c>
      <c r="F2246" s="904"/>
      <c r="G2246" s="518" t="s">
        <v>18</v>
      </c>
      <c r="H2246" s="517" t="s">
        <v>19</v>
      </c>
      <c r="I2246" s="517" t="s">
        <v>20</v>
      </c>
      <c r="J2246" s="517" t="s">
        <v>23</v>
      </c>
    </row>
    <row r="2247" spans="1:10" ht="38.25" customHeight="1" x14ac:dyDescent="0.3">
      <c r="A2247" s="642" t="s">
        <v>2432</v>
      </c>
      <c r="B2247" s="643" t="s">
        <v>3342</v>
      </c>
      <c r="C2247" s="642" t="s">
        <v>32</v>
      </c>
      <c r="D2247" s="642" t="s">
        <v>4314</v>
      </c>
      <c r="E2247" s="906" t="s">
        <v>2465</v>
      </c>
      <c r="F2247" s="906"/>
      <c r="G2247" s="644" t="s">
        <v>1901</v>
      </c>
      <c r="H2247" s="645">
        <v>1</v>
      </c>
      <c r="I2247" s="646">
        <v>7.0000000000000007E-2</v>
      </c>
      <c r="J2247" s="646">
        <v>7.0000000000000007E-2</v>
      </c>
    </row>
    <row r="2248" spans="1:10" ht="39" customHeight="1" thickBot="1" x14ac:dyDescent="0.35">
      <c r="A2248" s="519" t="s">
        <v>2437</v>
      </c>
      <c r="B2248" s="520" t="s">
        <v>3345</v>
      </c>
      <c r="C2248" s="519" t="s">
        <v>32</v>
      </c>
      <c r="D2248" s="519" t="s">
        <v>3346</v>
      </c>
      <c r="E2248" s="905" t="s">
        <v>2446</v>
      </c>
      <c r="F2248" s="905"/>
      <c r="G2248" s="521" t="s">
        <v>89</v>
      </c>
      <c r="H2248" s="522">
        <v>1.4800000000000001E-5</v>
      </c>
      <c r="I2248" s="523">
        <v>5200</v>
      </c>
      <c r="J2248" s="523">
        <v>7.0000000000000007E-2</v>
      </c>
    </row>
    <row r="2249" spans="1:10" s="358" customFormat="1" ht="14.5" thickTop="1" x14ac:dyDescent="0.3">
      <c r="A2249" s="647"/>
      <c r="B2249" s="647"/>
      <c r="C2249" s="647"/>
      <c r="D2249" s="647"/>
      <c r="E2249" s="647"/>
      <c r="F2249" s="647"/>
      <c r="G2249" s="647"/>
      <c r="H2249" s="647"/>
      <c r="I2249" s="647"/>
      <c r="J2249"/>
    </row>
    <row r="2250" spans="1:10" x14ac:dyDescent="0.3">
      <c r="A2250" s="516"/>
      <c r="B2250" s="517" t="s">
        <v>15</v>
      </c>
      <c r="C2250" s="516" t="s">
        <v>16</v>
      </c>
      <c r="D2250" s="516" t="s">
        <v>17</v>
      </c>
      <c r="E2250" s="904" t="s">
        <v>2431</v>
      </c>
      <c r="F2250" s="904"/>
      <c r="G2250" s="518" t="s">
        <v>18</v>
      </c>
      <c r="H2250" s="517" t="s">
        <v>19</v>
      </c>
      <c r="I2250" s="517" t="s">
        <v>20</v>
      </c>
      <c r="J2250" s="517" t="s">
        <v>23</v>
      </c>
    </row>
    <row r="2251" spans="1:10" s="358" customFormat="1" ht="38.25" customHeight="1" x14ac:dyDescent="0.3">
      <c r="A2251" s="642" t="s">
        <v>2432</v>
      </c>
      <c r="B2251" s="643" t="s">
        <v>3343</v>
      </c>
      <c r="C2251" s="642" t="s">
        <v>32</v>
      </c>
      <c r="D2251" s="642" t="s">
        <v>4315</v>
      </c>
      <c r="E2251" s="906" t="s">
        <v>2465</v>
      </c>
      <c r="F2251" s="906"/>
      <c r="G2251" s="644" t="s">
        <v>1901</v>
      </c>
      <c r="H2251" s="645">
        <v>1</v>
      </c>
      <c r="I2251" s="646">
        <v>0.36</v>
      </c>
      <c r="J2251" s="646">
        <v>0.36</v>
      </c>
    </row>
    <row r="2252" spans="1:10" ht="38" thickBot="1" x14ac:dyDescent="0.35">
      <c r="A2252" s="519" t="s">
        <v>2437</v>
      </c>
      <c r="B2252" s="520" t="s">
        <v>3345</v>
      </c>
      <c r="C2252" s="519" t="s">
        <v>32</v>
      </c>
      <c r="D2252" s="519" t="s">
        <v>3346</v>
      </c>
      <c r="E2252" s="905" t="s">
        <v>2446</v>
      </c>
      <c r="F2252" s="905"/>
      <c r="G2252" s="521" t="s">
        <v>89</v>
      </c>
      <c r="H2252" s="522">
        <v>6.9999999999999994E-5</v>
      </c>
      <c r="I2252" s="523">
        <v>5200</v>
      </c>
      <c r="J2252" s="523">
        <v>0.36</v>
      </c>
    </row>
    <row r="2253" spans="1:10" s="358" customFormat="1" ht="14.5" thickTop="1" x14ac:dyDescent="0.3">
      <c r="A2253" s="647"/>
      <c r="B2253" s="647"/>
      <c r="C2253" s="647"/>
      <c r="D2253" s="647"/>
      <c r="E2253" s="647"/>
      <c r="F2253" s="647"/>
      <c r="G2253" s="647"/>
      <c r="H2253" s="647"/>
      <c r="I2253" s="647"/>
      <c r="J2253"/>
    </row>
    <row r="2254" spans="1:10" x14ac:dyDescent="0.3">
      <c r="A2254" s="516"/>
      <c r="B2254" s="517" t="s">
        <v>15</v>
      </c>
      <c r="C2254" s="516" t="s">
        <v>16</v>
      </c>
      <c r="D2254" s="516" t="s">
        <v>17</v>
      </c>
      <c r="E2254" s="904" t="s">
        <v>2431</v>
      </c>
      <c r="F2254" s="904"/>
      <c r="G2254" s="518" t="s">
        <v>18</v>
      </c>
      <c r="H2254" s="517" t="s">
        <v>19</v>
      </c>
      <c r="I2254" s="517" t="s">
        <v>20</v>
      </c>
      <c r="J2254" s="517" t="s">
        <v>23</v>
      </c>
    </row>
    <row r="2255" spans="1:10" s="358" customFormat="1" ht="38.25" customHeight="1" x14ac:dyDescent="0.3">
      <c r="A2255" s="642" t="s">
        <v>2432</v>
      </c>
      <c r="B2255" s="643" t="s">
        <v>3344</v>
      </c>
      <c r="C2255" s="642" t="s">
        <v>32</v>
      </c>
      <c r="D2255" s="642" t="s">
        <v>4316</v>
      </c>
      <c r="E2255" s="906" t="s">
        <v>2465</v>
      </c>
      <c r="F2255" s="906"/>
      <c r="G2255" s="644" t="s">
        <v>1901</v>
      </c>
      <c r="H2255" s="645">
        <v>1</v>
      </c>
      <c r="I2255" s="646">
        <v>0.9</v>
      </c>
      <c r="J2255" s="646">
        <v>0.9</v>
      </c>
    </row>
    <row r="2256" spans="1:10" ht="14.5" thickBot="1" x14ac:dyDescent="0.35">
      <c r="A2256" s="519" t="s">
        <v>2437</v>
      </c>
      <c r="B2256" s="520" t="s">
        <v>3347</v>
      </c>
      <c r="C2256" s="519" t="s">
        <v>32</v>
      </c>
      <c r="D2256" s="519" t="s">
        <v>3348</v>
      </c>
      <c r="E2256" s="905" t="s">
        <v>2442</v>
      </c>
      <c r="F2256" s="905"/>
      <c r="G2256" s="521" t="s">
        <v>2532</v>
      </c>
      <c r="H2256" s="522">
        <v>1.25</v>
      </c>
      <c r="I2256" s="523">
        <v>0.72</v>
      </c>
      <c r="J2256" s="523">
        <v>0.9</v>
      </c>
    </row>
    <row r="2257" spans="1:10" s="358" customFormat="1" ht="14.5" thickTop="1" x14ac:dyDescent="0.3">
      <c r="A2257" s="647"/>
      <c r="B2257" s="647"/>
      <c r="C2257" s="647"/>
      <c r="D2257" s="647"/>
      <c r="E2257" s="647"/>
      <c r="F2257" s="647"/>
      <c r="G2257" s="647"/>
      <c r="H2257" s="647"/>
      <c r="I2257" s="647"/>
      <c r="J2257"/>
    </row>
    <row r="2258" spans="1:10" x14ac:dyDescent="0.3">
      <c r="A2258" s="516"/>
      <c r="B2258" s="517" t="s">
        <v>15</v>
      </c>
      <c r="C2258" s="516" t="s">
        <v>16</v>
      </c>
      <c r="D2258" s="516" t="s">
        <v>17</v>
      </c>
      <c r="E2258" s="904" t="s">
        <v>2431</v>
      </c>
      <c r="F2258" s="904"/>
      <c r="G2258" s="518" t="s">
        <v>18</v>
      </c>
      <c r="H2258" s="517" t="s">
        <v>19</v>
      </c>
      <c r="I2258" s="517" t="s">
        <v>20</v>
      </c>
      <c r="J2258" s="517" t="s">
        <v>23</v>
      </c>
    </row>
    <row r="2259" spans="1:10" s="358" customFormat="1" ht="38.25" customHeight="1" x14ac:dyDescent="0.3">
      <c r="A2259" s="642" t="s">
        <v>2432</v>
      </c>
      <c r="B2259" s="643" t="s">
        <v>2815</v>
      </c>
      <c r="C2259" s="642" t="s">
        <v>32</v>
      </c>
      <c r="D2259" s="642" t="s">
        <v>4283</v>
      </c>
      <c r="E2259" s="906" t="s">
        <v>2465</v>
      </c>
      <c r="F2259" s="906"/>
      <c r="G2259" s="644" t="s">
        <v>110</v>
      </c>
      <c r="H2259" s="645">
        <v>1</v>
      </c>
      <c r="I2259" s="646">
        <v>1.66</v>
      </c>
      <c r="J2259" s="646">
        <v>1.66</v>
      </c>
    </row>
    <row r="2260" spans="1:10" ht="38.25" customHeight="1" x14ac:dyDescent="0.3">
      <c r="A2260" s="519" t="s">
        <v>2434</v>
      </c>
      <c r="B2260" s="520" t="s">
        <v>3349</v>
      </c>
      <c r="C2260" s="519" t="s">
        <v>32</v>
      </c>
      <c r="D2260" s="519" t="s">
        <v>4317</v>
      </c>
      <c r="E2260" s="905" t="s">
        <v>2465</v>
      </c>
      <c r="F2260" s="905"/>
      <c r="G2260" s="521" t="s">
        <v>1901</v>
      </c>
      <c r="H2260" s="522">
        <v>1</v>
      </c>
      <c r="I2260" s="523">
        <v>1.35</v>
      </c>
      <c r="J2260" s="523">
        <v>1.35</v>
      </c>
    </row>
    <row r="2261" spans="1:10" s="358" customFormat="1" ht="39" customHeight="1" thickBot="1" x14ac:dyDescent="0.35">
      <c r="A2261" s="519" t="s">
        <v>2434</v>
      </c>
      <c r="B2261" s="520" t="s">
        <v>3350</v>
      </c>
      <c r="C2261" s="519" t="s">
        <v>32</v>
      </c>
      <c r="D2261" s="519" t="s">
        <v>4318</v>
      </c>
      <c r="E2261" s="905" t="s">
        <v>2465</v>
      </c>
      <c r="F2261" s="905"/>
      <c r="G2261" s="521" t="s">
        <v>1901</v>
      </c>
      <c r="H2261" s="522">
        <v>1</v>
      </c>
      <c r="I2261" s="523">
        <v>0.31</v>
      </c>
      <c r="J2261" s="523">
        <v>0.31</v>
      </c>
    </row>
    <row r="2262" spans="1:10" ht="14.5" thickTop="1" x14ac:dyDescent="0.3">
      <c r="A2262" s="647"/>
      <c r="B2262" s="647"/>
      <c r="C2262" s="647"/>
      <c r="D2262" s="647"/>
      <c r="E2262" s="647"/>
      <c r="F2262" s="647"/>
      <c r="G2262" s="647"/>
      <c r="H2262" s="647"/>
      <c r="I2262" s="647"/>
      <c r="J2262"/>
    </row>
    <row r="2263" spans="1:10" s="358" customFormat="1" ht="38.25" customHeight="1" x14ac:dyDescent="0.3">
      <c r="A2263" s="516"/>
      <c r="B2263" s="517" t="s">
        <v>15</v>
      </c>
      <c r="C2263" s="516" t="s">
        <v>16</v>
      </c>
      <c r="D2263" s="516" t="s">
        <v>17</v>
      </c>
      <c r="E2263" s="904" t="s">
        <v>2431</v>
      </c>
      <c r="F2263" s="904"/>
      <c r="G2263" s="518" t="s">
        <v>18</v>
      </c>
      <c r="H2263" s="517" t="s">
        <v>19</v>
      </c>
      <c r="I2263" s="517" t="s">
        <v>20</v>
      </c>
      <c r="J2263" s="517" t="s">
        <v>23</v>
      </c>
    </row>
    <row r="2264" spans="1:10" ht="38.25" customHeight="1" x14ac:dyDescent="0.3">
      <c r="A2264" s="642" t="s">
        <v>2432</v>
      </c>
      <c r="B2264" s="643" t="s">
        <v>2814</v>
      </c>
      <c r="C2264" s="642" t="s">
        <v>32</v>
      </c>
      <c r="D2264" s="642" t="s">
        <v>4282</v>
      </c>
      <c r="E2264" s="906" t="s">
        <v>2465</v>
      </c>
      <c r="F2264" s="906"/>
      <c r="G2264" s="644" t="s">
        <v>103</v>
      </c>
      <c r="H2264" s="645">
        <v>1</v>
      </c>
      <c r="I2264" s="646">
        <v>4.9400000000000004</v>
      </c>
      <c r="J2264" s="646">
        <v>4.9400000000000004</v>
      </c>
    </row>
    <row r="2265" spans="1:10" s="358" customFormat="1" ht="38.25" customHeight="1" x14ac:dyDescent="0.3">
      <c r="A2265" s="519" t="s">
        <v>2434</v>
      </c>
      <c r="B2265" s="520" t="s">
        <v>3349</v>
      </c>
      <c r="C2265" s="519" t="s">
        <v>32</v>
      </c>
      <c r="D2265" s="519" t="s">
        <v>4317</v>
      </c>
      <c r="E2265" s="905" t="s">
        <v>2465</v>
      </c>
      <c r="F2265" s="905"/>
      <c r="G2265" s="521" t="s">
        <v>1901</v>
      </c>
      <c r="H2265" s="522">
        <v>1</v>
      </c>
      <c r="I2265" s="523">
        <v>1.35</v>
      </c>
      <c r="J2265" s="523">
        <v>1.35</v>
      </c>
    </row>
    <row r="2266" spans="1:10" ht="38.25" customHeight="1" x14ac:dyDescent="0.3">
      <c r="A2266" s="519" t="s">
        <v>2434</v>
      </c>
      <c r="B2266" s="520" t="s">
        <v>3350</v>
      </c>
      <c r="C2266" s="519" t="s">
        <v>32</v>
      </c>
      <c r="D2266" s="519" t="s">
        <v>4318</v>
      </c>
      <c r="E2266" s="905" t="s">
        <v>2465</v>
      </c>
      <c r="F2266" s="905"/>
      <c r="G2266" s="521" t="s">
        <v>1901</v>
      </c>
      <c r="H2266" s="522">
        <v>1</v>
      </c>
      <c r="I2266" s="523">
        <v>0.31</v>
      </c>
      <c r="J2266" s="523">
        <v>0.31</v>
      </c>
    </row>
    <row r="2267" spans="1:10" s="358" customFormat="1" ht="38.25" customHeight="1" x14ac:dyDescent="0.3">
      <c r="A2267" s="519" t="s">
        <v>2434</v>
      </c>
      <c r="B2267" s="520" t="s">
        <v>3351</v>
      </c>
      <c r="C2267" s="519" t="s">
        <v>32</v>
      </c>
      <c r="D2267" s="519" t="s">
        <v>4319</v>
      </c>
      <c r="E2267" s="905" t="s">
        <v>2465</v>
      </c>
      <c r="F2267" s="905"/>
      <c r="G2267" s="521" t="s">
        <v>1901</v>
      </c>
      <c r="H2267" s="522">
        <v>1</v>
      </c>
      <c r="I2267" s="523">
        <v>1.48</v>
      </c>
      <c r="J2267" s="523">
        <v>1.48</v>
      </c>
    </row>
    <row r="2268" spans="1:10" ht="38.25" customHeight="1" thickBot="1" x14ac:dyDescent="0.35">
      <c r="A2268" s="519" t="s">
        <v>2434</v>
      </c>
      <c r="B2268" s="520" t="s">
        <v>3352</v>
      </c>
      <c r="C2268" s="519" t="s">
        <v>32</v>
      </c>
      <c r="D2268" s="519" t="s">
        <v>4320</v>
      </c>
      <c r="E2268" s="905" t="s">
        <v>2465</v>
      </c>
      <c r="F2268" s="905"/>
      <c r="G2268" s="521" t="s">
        <v>1901</v>
      </c>
      <c r="H2268" s="522">
        <v>1</v>
      </c>
      <c r="I2268" s="523">
        <v>1.8</v>
      </c>
      <c r="J2268" s="523">
        <v>1.8</v>
      </c>
    </row>
    <row r="2269" spans="1:10" ht="39" customHeight="1" thickTop="1" x14ac:dyDescent="0.3">
      <c r="A2269" s="647"/>
      <c r="B2269" s="647"/>
      <c r="C2269" s="647"/>
      <c r="D2269" s="647"/>
      <c r="E2269" s="647"/>
      <c r="F2269" s="647"/>
      <c r="G2269" s="647"/>
      <c r="H2269" s="647"/>
      <c r="I2269" s="647"/>
      <c r="J2269"/>
    </row>
    <row r="2270" spans="1:10" s="358" customFormat="1" x14ac:dyDescent="0.3">
      <c r="A2270" s="516"/>
      <c r="B2270" s="517" t="s">
        <v>15</v>
      </c>
      <c r="C2270" s="516" t="s">
        <v>16</v>
      </c>
      <c r="D2270" s="516" t="s">
        <v>17</v>
      </c>
      <c r="E2270" s="904" t="s">
        <v>2431</v>
      </c>
      <c r="F2270" s="904"/>
      <c r="G2270" s="518" t="s">
        <v>18</v>
      </c>
      <c r="H2270" s="517" t="s">
        <v>19</v>
      </c>
      <c r="I2270" s="517" t="s">
        <v>20</v>
      </c>
      <c r="J2270" s="517" t="s">
        <v>23</v>
      </c>
    </row>
    <row r="2271" spans="1:10" ht="38.25" customHeight="1" x14ac:dyDescent="0.3">
      <c r="A2271" s="642" t="s">
        <v>2432</v>
      </c>
      <c r="B2271" s="643" t="s">
        <v>3349</v>
      </c>
      <c r="C2271" s="642" t="s">
        <v>32</v>
      </c>
      <c r="D2271" s="642" t="s">
        <v>4317</v>
      </c>
      <c r="E2271" s="906" t="s">
        <v>2465</v>
      </c>
      <c r="F2271" s="906"/>
      <c r="G2271" s="644" t="s">
        <v>1901</v>
      </c>
      <c r="H2271" s="645">
        <v>1</v>
      </c>
      <c r="I2271" s="646">
        <v>1.35</v>
      </c>
      <c r="J2271" s="646">
        <v>1.35</v>
      </c>
    </row>
    <row r="2272" spans="1:10" s="358" customFormat="1" ht="38.25" customHeight="1" thickBot="1" x14ac:dyDescent="0.35">
      <c r="A2272" s="519" t="s">
        <v>2437</v>
      </c>
      <c r="B2272" s="520" t="s">
        <v>3353</v>
      </c>
      <c r="C2272" s="519" t="s">
        <v>32</v>
      </c>
      <c r="D2272" s="519" t="s">
        <v>3354</v>
      </c>
      <c r="E2272" s="905" t="s">
        <v>2446</v>
      </c>
      <c r="F2272" s="905"/>
      <c r="G2272" s="521" t="s">
        <v>89</v>
      </c>
      <c r="H2272" s="522">
        <v>6.3999999999999997E-5</v>
      </c>
      <c r="I2272" s="523">
        <v>21152.54</v>
      </c>
      <c r="J2272" s="523">
        <v>1.35</v>
      </c>
    </row>
    <row r="2273" spans="1:10" ht="38.25" customHeight="1" thickTop="1" x14ac:dyDescent="0.3">
      <c r="A2273" s="647"/>
      <c r="B2273" s="647"/>
      <c r="C2273" s="647"/>
      <c r="D2273" s="647"/>
      <c r="E2273" s="647"/>
      <c r="F2273" s="647"/>
      <c r="G2273" s="647"/>
      <c r="H2273" s="647"/>
      <c r="I2273" s="647"/>
      <c r="J2273"/>
    </row>
    <row r="2274" spans="1:10" ht="38.25" customHeight="1" x14ac:dyDescent="0.3">
      <c r="A2274" s="516"/>
      <c r="B2274" s="517" t="s">
        <v>15</v>
      </c>
      <c r="C2274" s="516" t="s">
        <v>16</v>
      </c>
      <c r="D2274" s="516" t="s">
        <v>17</v>
      </c>
      <c r="E2274" s="904" t="s">
        <v>2431</v>
      </c>
      <c r="F2274" s="904"/>
      <c r="G2274" s="518" t="s">
        <v>18</v>
      </c>
      <c r="H2274" s="517" t="s">
        <v>19</v>
      </c>
      <c r="I2274" s="517" t="s">
        <v>20</v>
      </c>
      <c r="J2274" s="517" t="s">
        <v>23</v>
      </c>
    </row>
    <row r="2275" spans="1:10" ht="38.25" customHeight="1" x14ac:dyDescent="0.3">
      <c r="A2275" s="642" t="s">
        <v>2432</v>
      </c>
      <c r="B2275" s="643" t="s">
        <v>3350</v>
      </c>
      <c r="C2275" s="642" t="s">
        <v>32</v>
      </c>
      <c r="D2275" s="642" t="s">
        <v>4318</v>
      </c>
      <c r="E2275" s="906" t="s">
        <v>2465</v>
      </c>
      <c r="F2275" s="906"/>
      <c r="G2275" s="644" t="s">
        <v>1901</v>
      </c>
      <c r="H2275" s="645">
        <v>1</v>
      </c>
      <c r="I2275" s="646">
        <v>0.31</v>
      </c>
      <c r="J2275" s="646">
        <v>0.31</v>
      </c>
    </row>
    <row r="2276" spans="1:10" ht="39" customHeight="1" thickBot="1" x14ac:dyDescent="0.35">
      <c r="A2276" s="519" t="s">
        <v>2437</v>
      </c>
      <c r="B2276" s="520" t="s">
        <v>3353</v>
      </c>
      <c r="C2276" s="519" t="s">
        <v>32</v>
      </c>
      <c r="D2276" s="519" t="s">
        <v>3354</v>
      </c>
      <c r="E2276" s="905" t="s">
        <v>2446</v>
      </c>
      <c r="F2276" s="905"/>
      <c r="G2276" s="521" t="s">
        <v>89</v>
      </c>
      <c r="H2276" s="522">
        <v>1.4800000000000001E-5</v>
      </c>
      <c r="I2276" s="523">
        <v>21152.54</v>
      </c>
      <c r="J2276" s="523">
        <v>0.31</v>
      </c>
    </row>
    <row r="2277" spans="1:10" s="358" customFormat="1" ht="14.5" thickTop="1" x14ac:dyDescent="0.3">
      <c r="A2277" s="647"/>
      <c r="B2277" s="647"/>
      <c r="C2277" s="647"/>
      <c r="D2277" s="647"/>
      <c r="E2277" s="647"/>
      <c r="F2277" s="647"/>
      <c r="G2277" s="647"/>
      <c r="H2277" s="647"/>
      <c r="I2277" s="647"/>
      <c r="J2277"/>
    </row>
    <row r="2278" spans="1:10" x14ac:dyDescent="0.3">
      <c r="A2278" s="516"/>
      <c r="B2278" s="517" t="s">
        <v>15</v>
      </c>
      <c r="C2278" s="516" t="s">
        <v>16</v>
      </c>
      <c r="D2278" s="516" t="s">
        <v>17</v>
      </c>
      <c r="E2278" s="904" t="s">
        <v>2431</v>
      </c>
      <c r="F2278" s="904"/>
      <c r="G2278" s="518" t="s">
        <v>18</v>
      </c>
      <c r="H2278" s="517" t="s">
        <v>19</v>
      </c>
      <c r="I2278" s="517" t="s">
        <v>20</v>
      </c>
      <c r="J2278" s="517" t="s">
        <v>23</v>
      </c>
    </row>
    <row r="2279" spans="1:10" s="358" customFormat="1" ht="38.25" customHeight="1" x14ac:dyDescent="0.3">
      <c r="A2279" s="642" t="s">
        <v>2432</v>
      </c>
      <c r="B2279" s="643" t="s">
        <v>3351</v>
      </c>
      <c r="C2279" s="642" t="s">
        <v>32</v>
      </c>
      <c r="D2279" s="642" t="s">
        <v>4319</v>
      </c>
      <c r="E2279" s="906" t="s">
        <v>2465</v>
      </c>
      <c r="F2279" s="906"/>
      <c r="G2279" s="644" t="s">
        <v>1901</v>
      </c>
      <c r="H2279" s="645">
        <v>1</v>
      </c>
      <c r="I2279" s="646">
        <v>1.48</v>
      </c>
      <c r="J2279" s="646">
        <v>1.48</v>
      </c>
    </row>
    <row r="2280" spans="1:10" ht="38" thickBot="1" x14ac:dyDescent="0.35">
      <c r="A2280" s="519" t="s">
        <v>2437</v>
      </c>
      <c r="B2280" s="520" t="s">
        <v>3353</v>
      </c>
      <c r="C2280" s="519" t="s">
        <v>32</v>
      </c>
      <c r="D2280" s="519" t="s">
        <v>3354</v>
      </c>
      <c r="E2280" s="905" t="s">
        <v>2446</v>
      </c>
      <c r="F2280" s="905"/>
      <c r="G2280" s="521" t="s">
        <v>89</v>
      </c>
      <c r="H2280" s="522">
        <v>6.9999999999999994E-5</v>
      </c>
      <c r="I2280" s="523">
        <v>21152.54</v>
      </c>
      <c r="J2280" s="523">
        <v>1.48</v>
      </c>
    </row>
    <row r="2281" spans="1:10" s="358" customFormat="1" ht="14.5" thickTop="1" x14ac:dyDescent="0.3">
      <c r="A2281" s="647"/>
      <c r="B2281" s="647"/>
      <c r="C2281" s="647"/>
      <c r="D2281" s="647"/>
      <c r="E2281" s="647"/>
      <c r="F2281" s="647"/>
      <c r="G2281" s="647"/>
      <c r="H2281" s="647"/>
      <c r="I2281" s="647"/>
      <c r="J2281"/>
    </row>
    <row r="2282" spans="1:10" x14ac:dyDescent="0.3">
      <c r="A2282" s="516"/>
      <c r="B2282" s="517" t="s">
        <v>15</v>
      </c>
      <c r="C2282" s="516" t="s">
        <v>16</v>
      </c>
      <c r="D2282" s="516" t="s">
        <v>17</v>
      </c>
      <c r="E2282" s="904" t="s">
        <v>2431</v>
      </c>
      <c r="F2282" s="904"/>
      <c r="G2282" s="518" t="s">
        <v>18</v>
      </c>
      <c r="H2282" s="517" t="s">
        <v>19</v>
      </c>
      <c r="I2282" s="517" t="s">
        <v>20</v>
      </c>
      <c r="J2282" s="517" t="s">
        <v>23</v>
      </c>
    </row>
    <row r="2283" spans="1:10" s="358" customFormat="1" ht="38.25" customHeight="1" x14ac:dyDescent="0.3">
      <c r="A2283" s="642" t="s">
        <v>2432</v>
      </c>
      <c r="B2283" s="643" t="s">
        <v>3352</v>
      </c>
      <c r="C2283" s="642" t="s">
        <v>32</v>
      </c>
      <c r="D2283" s="642" t="s">
        <v>4320</v>
      </c>
      <c r="E2283" s="906" t="s">
        <v>2465</v>
      </c>
      <c r="F2283" s="906"/>
      <c r="G2283" s="644" t="s">
        <v>1901</v>
      </c>
      <c r="H2283" s="645">
        <v>1</v>
      </c>
      <c r="I2283" s="646">
        <v>1.8</v>
      </c>
      <c r="J2283" s="646">
        <v>1.8</v>
      </c>
    </row>
    <row r="2284" spans="1:10" ht="14.5" thickBot="1" x14ac:dyDescent="0.35">
      <c r="A2284" s="519" t="s">
        <v>2437</v>
      </c>
      <c r="B2284" s="520" t="s">
        <v>3347</v>
      </c>
      <c r="C2284" s="519" t="s">
        <v>32</v>
      </c>
      <c r="D2284" s="519" t="s">
        <v>3348</v>
      </c>
      <c r="E2284" s="905" t="s">
        <v>2442</v>
      </c>
      <c r="F2284" s="905"/>
      <c r="G2284" s="521" t="s">
        <v>2532</v>
      </c>
      <c r="H2284" s="522">
        <v>2.5</v>
      </c>
      <c r="I2284" s="523">
        <v>0.72</v>
      </c>
      <c r="J2284" s="523">
        <v>1.8</v>
      </c>
    </row>
    <row r="2285" spans="1:10" s="358" customFormat="1" ht="14.5" thickTop="1" x14ac:dyDescent="0.3">
      <c r="A2285" s="647"/>
      <c r="B2285" s="647"/>
      <c r="C2285" s="647"/>
      <c r="D2285" s="647"/>
      <c r="E2285" s="647"/>
      <c r="F2285" s="647"/>
      <c r="G2285" s="647"/>
      <c r="H2285" s="647"/>
      <c r="I2285" s="647"/>
      <c r="J2285"/>
    </row>
    <row r="2286" spans="1:10" x14ac:dyDescent="0.3">
      <c r="A2286" s="516"/>
      <c r="B2286" s="517" t="s">
        <v>15</v>
      </c>
      <c r="C2286" s="516" t="s">
        <v>16</v>
      </c>
      <c r="D2286" s="516" t="s">
        <v>17</v>
      </c>
      <c r="E2286" s="904" t="s">
        <v>2431</v>
      </c>
      <c r="F2286" s="904"/>
      <c r="G2286" s="518" t="s">
        <v>18</v>
      </c>
      <c r="H2286" s="517" t="s">
        <v>19</v>
      </c>
      <c r="I2286" s="517" t="s">
        <v>20</v>
      </c>
      <c r="J2286" s="517" t="s">
        <v>23</v>
      </c>
    </row>
    <row r="2287" spans="1:10" s="358" customFormat="1" ht="38.25" customHeight="1" x14ac:dyDescent="0.3">
      <c r="A2287" s="642" t="s">
        <v>2432</v>
      </c>
      <c r="B2287" s="643" t="s">
        <v>3355</v>
      </c>
      <c r="C2287" s="642" t="s">
        <v>125</v>
      </c>
      <c r="D2287" s="642" t="s">
        <v>2872</v>
      </c>
      <c r="E2287" s="906" t="s">
        <v>1328</v>
      </c>
      <c r="F2287" s="906"/>
      <c r="G2287" s="644" t="s">
        <v>600</v>
      </c>
      <c r="H2287" s="645">
        <v>1</v>
      </c>
      <c r="I2287" s="646">
        <v>837.99</v>
      </c>
      <c r="J2287" s="646">
        <v>837.99</v>
      </c>
    </row>
    <row r="2288" spans="1:10" ht="15" customHeight="1" x14ac:dyDescent="0.3">
      <c r="A2288" s="904" t="s">
        <v>2418</v>
      </c>
      <c r="B2288" s="903" t="s">
        <v>15</v>
      </c>
      <c r="C2288" s="904" t="s">
        <v>16</v>
      </c>
      <c r="D2288" s="904" t="s">
        <v>2466</v>
      </c>
      <c r="E2288" s="903" t="s">
        <v>2467</v>
      </c>
      <c r="F2288" s="908" t="s">
        <v>2468</v>
      </c>
      <c r="G2288" s="903"/>
      <c r="H2288" s="518" t="s">
        <v>2469</v>
      </c>
      <c r="I2288" s="903" t="s">
        <v>2470</v>
      </c>
      <c r="J2288"/>
    </row>
    <row r="2289" spans="1:10" s="358" customFormat="1" x14ac:dyDescent="0.3">
      <c r="A2289" s="903"/>
      <c r="B2289" s="903"/>
      <c r="C2289" s="903"/>
      <c r="D2289" s="903"/>
      <c r="E2289" s="903"/>
      <c r="F2289" s="517" t="s">
        <v>2471</v>
      </c>
      <c r="G2289" s="517" t="s">
        <v>2472</v>
      </c>
      <c r="H2289" s="517" t="s">
        <v>2471</v>
      </c>
      <c r="I2289" s="903"/>
      <c r="J2289"/>
    </row>
    <row r="2290" spans="1:10" x14ac:dyDescent="0.3">
      <c r="A2290" s="519" t="s">
        <v>2437</v>
      </c>
      <c r="B2290" s="520" t="s">
        <v>2820</v>
      </c>
      <c r="C2290" s="519" t="s">
        <v>125</v>
      </c>
      <c r="D2290" s="519" t="s">
        <v>4284</v>
      </c>
      <c r="E2290" s="522">
        <v>0.36144999999999999</v>
      </c>
      <c r="F2290" s="523">
        <v>1</v>
      </c>
      <c r="G2290" s="523">
        <v>0</v>
      </c>
      <c r="H2290" s="524">
        <v>18.346599999999999</v>
      </c>
      <c r="I2290" s="524">
        <v>6.6314000000000002</v>
      </c>
      <c r="J2290"/>
    </row>
    <row r="2291" spans="1:10" s="358" customFormat="1" ht="38.25" customHeight="1" x14ac:dyDescent="0.3">
      <c r="A2291" s="519" t="s">
        <v>2437</v>
      </c>
      <c r="B2291" s="520" t="s">
        <v>2821</v>
      </c>
      <c r="C2291" s="519" t="s">
        <v>125</v>
      </c>
      <c r="D2291" s="519" t="s">
        <v>2822</v>
      </c>
      <c r="E2291" s="522">
        <v>0.36144999999999999</v>
      </c>
      <c r="F2291" s="523">
        <v>1</v>
      </c>
      <c r="G2291" s="523">
        <v>0</v>
      </c>
      <c r="H2291" s="524">
        <v>26.159800000000001</v>
      </c>
      <c r="I2291" s="524">
        <v>9.4555000000000007</v>
      </c>
      <c r="J2291"/>
    </row>
    <row r="2292" spans="1:10" ht="14.25" customHeight="1" x14ac:dyDescent="0.3">
      <c r="A2292" s="902"/>
      <c r="B2292" s="902"/>
      <c r="C2292" s="902"/>
      <c r="D2292" s="902"/>
      <c r="E2292" s="902"/>
      <c r="F2292" s="902" t="s">
        <v>2475</v>
      </c>
      <c r="G2292" s="902"/>
      <c r="H2292" s="902"/>
      <c r="I2292" s="525">
        <v>16.0869</v>
      </c>
      <c r="J2292"/>
    </row>
    <row r="2293" spans="1:10" s="358" customFormat="1" ht="15" customHeight="1" x14ac:dyDescent="0.3">
      <c r="A2293" s="902"/>
      <c r="B2293" s="902"/>
      <c r="C2293" s="902"/>
      <c r="D2293" s="902"/>
      <c r="E2293" s="902"/>
      <c r="F2293" s="902" t="s">
        <v>2476</v>
      </c>
      <c r="G2293" s="902"/>
      <c r="H2293" s="902"/>
      <c r="I2293" s="525">
        <v>16.0869</v>
      </c>
      <c r="J2293"/>
    </row>
    <row r="2294" spans="1:10" ht="14.25" customHeight="1" x14ac:dyDescent="0.3">
      <c r="A2294" s="902"/>
      <c r="B2294" s="902"/>
      <c r="C2294" s="902"/>
      <c r="D2294" s="902"/>
      <c r="E2294" s="902"/>
      <c r="F2294" s="902" t="s">
        <v>2477</v>
      </c>
      <c r="G2294" s="902"/>
      <c r="H2294" s="902"/>
      <c r="I2294" s="525">
        <v>0</v>
      </c>
      <c r="J2294"/>
    </row>
    <row r="2295" spans="1:10" s="358" customFormat="1" x14ac:dyDescent="0.3">
      <c r="A2295" s="902"/>
      <c r="B2295" s="902"/>
      <c r="C2295" s="902"/>
      <c r="D2295" s="902"/>
      <c r="E2295" s="902"/>
      <c r="F2295" s="902" t="s">
        <v>2478</v>
      </c>
      <c r="G2295" s="902"/>
      <c r="H2295" s="902"/>
      <c r="I2295" s="525">
        <v>0</v>
      </c>
      <c r="J2295"/>
    </row>
    <row r="2296" spans="1:10" ht="15" customHeight="1" x14ac:dyDescent="0.3">
      <c r="A2296" s="902"/>
      <c r="B2296" s="902"/>
      <c r="C2296" s="902"/>
      <c r="D2296" s="902"/>
      <c r="E2296" s="902"/>
      <c r="F2296" s="902" t="s">
        <v>2479</v>
      </c>
      <c r="G2296" s="902"/>
      <c r="H2296" s="902"/>
      <c r="I2296" s="525">
        <v>2</v>
      </c>
      <c r="J2296"/>
    </row>
    <row r="2297" spans="1:10" ht="14.25" customHeight="1" x14ac:dyDescent="0.3">
      <c r="A2297" s="902"/>
      <c r="B2297" s="902"/>
      <c r="C2297" s="902"/>
      <c r="D2297" s="902"/>
      <c r="E2297" s="902"/>
      <c r="F2297" s="902" t="s">
        <v>2480</v>
      </c>
      <c r="G2297" s="902"/>
      <c r="H2297" s="902"/>
      <c r="I2297" s="525">
        <v>8.0434999999999999</v>
      </c>
      <c r="J2297"/>
    </row>
    <row r="2298" spans="1:10" ht="15" customHeight="1" x14ac:dyDescent="0.3">
      <c r="A2298" s="516" t="s">
        <v>2420</v>
      </c>
      <c r="B2298" s="517" t="s">
        <v>16</v>
      </c>
      <c r="C2298" s="516" t="s">
        <v>15</v>
      </c>
      <c r="D2298" s="516" t="s">
        <v>2442</v>
      </c>
      <c r="E2298" s="517" t="s">
        <v>2467</v>
      </c>
      <c r="F2298" s="517" t="s">
        <v>2576</v>
      </c>
      <c r="G2298" s="903" t="s">
        <v>2577</v>
      </c>
      <c r="H2298" s="903"/>
      <c r="I2298" s="517" t="s">
        <v>2470</v>
      </c>
      <c r="J2298"/>
    </row>
    <row r="2299" spans="1:10" x14ac:dyDescent="0.3">
      <c r="A2299" s="519" t="s">
        <v>2437</v>
      </c>
      <c r="B2299" s="520" t="s">
        <v>125</v>
      </c>
      <c r="C2299" s="519" t="s">
        <v>2823</v>
      </c>
      <c r="D2299" s="519" t="s">
        <v>2824</v>
      </c>
      <c r="E2299" s="522">
        <v>7.2160000000000002</v>
      </c>
      <c r="F2299" s="521" t="s">
        <v>222</v>
      </c>
      <c r="G2299" s="907">
        <v>13.201499999999999</v>
      </c>
      <c r="H2299" s="907"/>
      <c r="I2299" s="524">
        <v>95.262</v>
      </c>
      <c r="J2299"/>
    </row>
    <row r="2300" spans="1:10" ht="14.25" customHeight="1" x14ac:dyDescent="0.3">
      <c r="A2300" s="519" t="s">
        <v>2437</v>
      </c>
      <c r="B2300" s="520" t="s">
        <v>125</v>
      </c>
      <c r="C2300" s="519" t="s">
        <v>3356</v>
      </c>
      <c r="D2300" s="519" t="s">
        <v>3357</v>
      </c>
      <c r="E2300" s="522">
        <v>1.08</v>
      </c>
      <c r="F2300" s="521" t="s">
        <v>115</v>
      </c>
      <c r="G2300" s="907">
        <v>547.54909999999995</v>
      </c>
      <c r="H2300" s="907"/>
      <c r="I2300" s="524">
        <v>591.35299999999995</v>
      </c>
      <c r="J2300"/>
    </row>
    <row r="2301" spans="1:10" ht="14.25" customHeight="1" x14ac:dyDescent="0.3">
      <c r="A2301" s="519" t="s">
        <v>2437</v>
      </c>
      <c r="B2301" s="520" t="s">
        <v>125</v>
      </c>
      <c r="C2301" s="519" t="s">
        <v>2832</v>
      </c>
      <c r="D2301" s="519" t="s">
        <v>2833</v>
      </c>
      <c r="E2301" s="522">
        <v>0.18</v>
      </c>
      <c r="F2301" s="521" t="s">
        <v>384</v>
      </c>
      <c r="G2301" s="907">
        <v>18.600000000000001</v>
      </c>
      <c r="H2301" s="907"/>
      <c r="I2301" s="524">
        <v>3.3479999999999999</v>
      </c>
      <c r="J2301"/>
    </row>
    <row r="2302" spans="1:10" ht="14.25" customHeight="1" x14ac:dyDescent="0.3">
      <c r="A2302" s="519" t="s">
        <v>2437</v>
      </c>
      <c r="B2302" s="520" t="s">
        <v>125</v>
      </c>
      <c r="C2302" s="519" t="s">
        <v>3096</v>
      </c>
      <c r="D2302" s="519" t="s">
        <v>3097</v>
      </c>
      <c r="E2302" s="522">
        <v>2.09</v>
      </c>
      <c r="F2302" s="521" t="s">
        <v>222</v>
      </c>
      <c r="G2302" s="907">
        <v>2.4834000000000001</v>
      </c>
      <c r="H2302" s="907"/>
      <c r="I2302" s="524">
        <v>5.1902999999999997</v>
      </c>
      <c r="J2302"/>
    </row>
    <row r="2303" spans="1:10" x14ac:dyDescent="0.3">
      <c r="A2303" s="519" t="s">
        <v>2437</v>
      </c>
      <c r="B2303" s="520" t="s">
        <v>125</v>
      </c>
      <c r="C2303" s="519" t="s">
        <v>3358</v>
      </c>
      <c r="D2303" s="519" t="s">
        <v>3359</v>
      </c>
      <c r="E2303" s="522">
        <v>5.6259999999999998E-2</v>
      </c>
      <c r="F2303" s="521" t="s">
        <v>2829</v>
      </c>
      <c r="G2303" s="907">
        <v>16.705500000000001</v>
      </c>
      <c r="H2303" s="907"/>
      <c r="I2303" s="524">
        <v>0.93989999999999996</v>
      </c>
      <c r="J2303"/>
    </row>
    <row r="2304" spans="1:10" ht="14.25" customHeight="1" x14ac:dyDescent="0.3">
      <c r="A2304" s="519" t="s">
        <v>2437</v>
      </c>
      <c r="B2304" s="520" t="s">
        <v>125</v>
      </c>
      <c r="C2304" s="519" t="s">
        <v>2836</v>
      </c>
      <c r="D2304" s="519" t="s">
        <v>2837</v>
      </c>
      <c r="E2304" s="522">
        <v>3.96</v>
      </c>
      <c r="F2304" s="521" t="s">
        <v>222</v>
      </c>
      <c r="G2304" s="907">
        <v>14.931699999999999</v>
      </c>
      <c r="H2304" s="907"/>
      <c r="I2304" s="524">
        <v>59.1295</v>
      </c>
      <c r="J2304"/>
    </row>
    <row r="2305" spans="1:10" ht="14.25" customHeight="1" x14ac:dyDescent="0.3">
      <c r="A2305" s="519" t="s">
        <v>2437</v>
      </c>
      <c r="B2305" s="520" t="s">
        <v>125</v>
      </c>
      <c r="C2305" s="519" t="s">
        <v>3360</v>
      </c>
      <c r="D2305" s="519" t="s">
        <v>3361</v>
      </c>
      <c r="E2305" s="522">
        <v>0.56255999999999995</v>
      </c>
      <c r="F2305" s="521" t="s">
        <v>2829</v>
      </c>
      <c r="G2305" s="907">
        <v>29.9255</v>
      </c>
      <c r="H2305" s="907"/>
      <c r="I2305" s="524">
        <v>16.834900000000001</v>
      </c>
      <c r="J2305"/>
    </row>
    <row r="2306" spans="1:10" ht="15" customHeight="1" x14ac:dyDescent="0.3">
      <c r="A2306" s="902"/>
      <c r="B2306" s="902"/>
      <c r="C2306" s="902"/>
      <c r="D2306" s="902"/>
      <c r="E2306" s="902"/>
      <c r="F2306" s="902" t="s">
        <v>2809</v>
      </c>
      <c r="G2306" s="902"/>
      <c r="H2306" s="902"/>
      <c r="I2306" s="525">
        <v>772.05759999999998</v>
      </c>
      <c r="J2306"/>
    </row>
    <row r="2307" spans="1:10" ht="15" customHeight="1" x14ac:dyDescent="0.3">
      <c r="A2307" s="516" t="s">
        <v>2574</v>
      </c>
      <c r="B2307" s="517" t="s">
        <v>16</v>
      </c>
      <c r="C2307" s="516" t="s">
        <v>15</v>
      </c>
      <c r="D2307" s="516" t="s">
        <v>2575</v>
      </c>
      <c r="E2307" s="517" t="s">
        <v>2467</v>
      </c>
      <c r="F2307" s="517" t="s">
        <v>2576</v>
      </c>
      <c r="G2307" s="903" t="s">
        <v>2577</v>
      </c>
      <c r="H2307" s="903"/>
      <c r="I2307" s="517" t="s">
        <v>2470</v>
      </c>
      <c r="J2307"/>
    </row>
    <row r="2308" spans="1:10" ht="25" x14ac:dyDescent="0.3">
      <c r="A2308" s="519" t="s">
        <v>2578</v>
      </c>
      <c r="B2308" s="520" t="s">
        <v>32</v>
      </c>
      <c r="C2308" s="519">
        <v>88241</v>
      </c>
      <c r="D2308" s="519" t="s">
        <v>2791</v>
      </c>
      <c r="E2308" s="522">
        <v>0.5</v>
      </c>
      <c r="F2308" s="521" t="s">
        <v>1901</v>
      </c>
      <c r="G2308" s="907">
        <v>24.15</v>
      </c>
      <c r="H2308" s="907"/>
      <c r="I2308" s="524">
        <v>12.074999999999999</v>
      </c>
      <c r="J2308"/>
    </row>
    <row r="2309" spans="1:10" ht="25" x14ac:dyDescent="0.3">
      <c r="A2309" s="519" t="s">
        <v>2578</v>
      </c>
      <c r="B2309" s="520" t="s">
        <v>32</v>
      </c>
      <c r="C2309" s="519">
        <v>88316</v>
      </c>
      <c r="D2309" s="519" t="s">
        <v>2562</v>
      </c>
      <c r="E2309" s="522">
        <v>0.5</v>
      </c>
      <c r="F2309" s="521" t="s">
        <v>1901</v>
      </c>
      <c r="G2309" s="907">
        <v>23.4</v>
      </c>
      <c r="H2309" s="907"/>
      <c r="I2309" s="524">
        <v>11.7</v>
      </c>
      <c r="J2309"/>
    </row>
    <row r="2310" spans="1:10" ht="25" x14ac:dyDescent="0.3">
      <c r="A2310" s="519" t="s">
        <v>2578</v>
      </c>
      <c r="B2310" s="520" t="s">
        <v>32</v>
      </c>
      <c r="C2310" s="519">
        <v>88310</v>
      </c>
      <c r="D2310" s="519" t="s">
        <v>3021</v>
      </c>
      <c r="E2310" s="522">
        <v>0.5</v>
      </c>
      <c r="F2310" s="521" t="s">
        <v>1901</v>
      </c>
      <c r="G2310" s="907">
        <v>32.58</v>
      </c>
      <c r="H2310" s="907"/>
      <c r="I2310" s="524">
        <v>16.29</v>
      </c>
      <c r="J2310"/>
    </row>
    <row r="2311" spans="1:10" ht="25" x14ac:dyDescent="0.3">
      <c r="A2311" s="519" t="s">
        <v>2578</v>
      </c>
      <c r="B2311" s="520" t="s">
        <v>32</v>
      </c>
      <c r="C2311" s="519">
        <v>88262</v>
      </c>
      <c r="D2311" s="519" t="s">
        <v>2619</v>
      </c>
      <c r="E2311" s="522">
        <v>0.5</v>
      </c>
      <c r="F2311" s="521" t="s">
        <v>1901</v>
      </c>
      <c r="G2311" s="907">
        <v>30.71</v>
      </c>
      <c r="H2311" s="907"/>
      <c r="I2311" s="524">
        <v>15.355</v>
      </c>
      <c r="J2311"/>
    </row>
    <row r="2312" spans="1:10" ht="14.25" customHeight="1" x14ac:dyDescent="0.3">
      <c r="A2312" s="902"/>
      <c r="B2312" s="902"/>
      <c r="C2312" s="902"/>
      <c r="D2312" s="902"/>
      <c r="E2312" s="902"/>
      <c r="F2312" s="902" t="s">
        <v>2579</v>
      </c>
      <c r="G2312" s="902"/>
      <c r="H2312" s="902"/>
      <c r="I2312" s="525">
        <v>55.42</v>
      </c>
      <c r="J2312"/>
    </row>
    <row r="2313" spans="1:10" ht="15" customHeight="1" x14ac:dyDescent="0.3">
      <c r="A2313" s="516" t="s">
        <v>2580</v>
      </c>
      <c r="B2313" s="517" t="s">
        <v>16</v>
      </c>
      <c r="C2313" s="516" t="s">
        <v>2437</v>
      </c>
      <c r="D2313" s="516" t="s">
        <v>2581</v>
      </c>
      <c r="E2313" s="517" t="s">
        <v>15</v>
      </c>
      <c r="F2313" s="517" t="s">
        <v>2467</v>
      </c>
      <c r="G2313" s="518" t="s">
        <v>2576</v>
      </c>
      <c r="H2313" s="517" t="s">
        <v>2577</v>
      </c>
      <c r="I2313" s="517" t="s">
        <v>2470</v>
      </c>
      <c r="J2313"/>
    </row>
    <row r="2314" spans="1:10" ht="14.25" customHeight="1" x14ac:dyDescent="0.3">
      <c r="A2314" s="519" t="s">
        <v>2582</v>
      </c>
      <c r="B2314" s="520" t="s">
        <v>125</v>
      </c>
      <c r="C2314" s="519" t="s">
        <v>2823</v>
      </c>
      <c r="D2314" s="519" t="s">
        <v>2838</v>
      </c>
      <c r="E2314" s="520">
        <v>5914655</v>
      </c>
      <c r="F2314" s="522">
        <v>4.0590000000000001E-2</v>
      </c>
      <c r="G2314" s="521" t="s">
        <v>374</v>
      </c>
      <c r="H2314" s="524">
        <v>33.159999999999997</v>
      </c>
      <c r="I2314" s="524">
        <v>1.3460000000000001</v>
      </c>
      <c r="J2314"/>
    </row>
    <row r="2315" spans="1:10" ht="15" customHeight="1" x14ac:dyDescent="0.3">
      <c r="A2315" s="519" t="s">
        <v>2582</v>
      </c>
      <c r="B2315" s="520" t="s">
        <v>125</v>
      </c>
      <c r="C2315" s="519" t="s">
        <v>3356</v>
      </c>
      <c r="D2315" s="519" t="s">
        <v>2838</v>
      </c>
      <c r="E2315" s="520">
        <v>5914655</v>
      </c>
      <c r="F2315" s="522">
        <v>5.1999999999999995E-4</v>
      </c>
      <c r="G2315" s="521" t="s">
        <v>374</v>
      </c>
      <c r="H2315" s="524">
        <v>33.159999999999997</v>
      </c>
      <c r="I2315" s="524">
        <v>1.72E-2</v>
      </c>
      <c r="J2315"/>
    </row>
    <row r="2316" spans="1:10" ht="25" x14ac:dyDescent="0.3">
      <c r="A2316" s="519" t="s">
        <v>2582</v>
      </c>
      <c r="B2316" s="520" t="s">
        <v>125</v>
      </c>
      <c r="C2316" s="519" t="s">
        <v>2832</v>
      </c>
      <c r="D2316" s="519" t="s">
        <v>2838</v>
      </c>
      <c r="E2316" s="520">
        <v>5914655</v>
      </c>
      <c r="F2316" s="522">
        <v>1.8000000000000001E-4</v>
      </c>
      <c r="G2316" s="521" t="s">
        <v>374</v>
      </c>
      <c r="H2316" s="524">
        <v>33.159999999999997</v>
      </c>
      <c r="I2316" s="524">
        <v>6.0000000000000001E-3</v>
      </c>
      <c r="J2316"/>
    </row>
    <row r="2317" spans="1:10" ht="25" x14ac:dyDescent="0.3">
      <c r="A2317" s="519" t="s">
        <v>2582</v>
      </c>
      <c r="B2317" s="520" t="s">
        <v>125</v>
      </c>
      <c r="C2317" s="519" t="s">
        <v>3096</v>
      </c>
      <c r="D2317" s="519" t="s">
        <v>2838</v>
      </c>
      <c r="E2317" s="520">
        <v>5914655</v>
      </c>
      <c r="F2317" s="522">
        <v>2.6099999999999999E-3</v>
      </c>
      <c r="G2317" s="521" t="s">
        <v>374</v>
      </c>
      <c r="H2317" s="524">
        <v>33.159999999999997</v>
      </c>
      <c r="I2317" s="524">
        <v>8.6499999999999994E-2</v>
      </c>
      <c r="J2317"/>
    </row>
    <row r="2318" spans="1:10" ht="25" x14ac:dyDescent="0.3">
      <c r="A2318" s="519" t="s">
        <v>2582</v>
      </c>
      <c r="B2318" s="520" t="s">
        <v>125</v>
      </c>
      <c r="C2318" s="519" t="s">
        <v>3358</v>
      </c>
      <c r="D2318" s="519" t="s">
        <v>2838</v>
      </c>
      <c r="E2318" s="520">
        <v>5914655</v>
      </c>
      <c r="F2318" s="522">
        <v>5.0000000000000002E-5</v>
      </c>
      <c r="G2318" s="521" t="s">
        <v>374</v>
      </c>
      <c r="H2318" s="524">
        <v>33.159999999999997</v>
      </c>
      <c r="I2318" s="524">
        <v>1.6999999999999999E-3</v>
      </c>
      <c r="J2318"/>
    </row>
    <row r="2319" spans="1:10" ht="25" x14ac:dyDescent="0.3">
      <c r="A2319" s="519" t="s">
        <v>2582</v>
      </c>
      <c r="B2319" s="520" t="s">
        <v>125</v>
      </c>
      <c r="C2319" s="519" t="s">
        <v>2836</v>
      </c>
      <c r="D2319" s="519" t="s">
        <v>2838</v>
      </c>
      <c r="E2319" s="520">
        <v>5914655</v>
      </c>
      <c r="F2319" s="522">
        <v>2.9700000000000001E-2</v>
      </c>
      <c r="G2319" s="521" t="s">
        <v>374</v>
      </c>
      <c r="H2319" s="524">
        <v>33.159999999999997</v>
      </c>
      <c r="I2319" s="524">
        <v>0.9849</v>
      </c>
      <c r="J2319"/>
    </row>
    <row r="2320" spans="1:10" ht="14.25" customHeight="1" x14ac:dyDescent="0.3">
      <c r="A2320" s="519" t="s">
        <v>2582</v>
      </c>
      <c r="B2320" s="520" t="s">
        <v>125</v>
      </c>
      <c r="C2320" s="519" t="s">
        <v>3360</v>
      </c>
      <c r="D2320" s="519" t="s">
        <v>2838</v>
      </c>
      <c r="E2320" s="520">
        <v>5914655</v>
      </c>
      <c r="F2320" s="522">
        <v>7.7999999999999999E-4</v>
      </c>
      <c r="G2320" s="521" t="s">
        <v>374</v>
      </c>
      <c r="H2320" s="524">
        <v>33.159999999999997</v>
      </c>
      <c r="I2320" s="524">
        <v>2.5899999999999999E-2</v>
      </c>
      <c r="J2320"/>
    </row>
    <row r="2321" spans="1:10" ht="15" customHeight="1" x14ac:dyDescent="0.3">
      <c r="A2321" s="902"/>
      <c r="B2321" s="902"/>
      <c r="C2321" s="902"/>
      <c r="D2321" s="902"/>
      <c r="E2321" s="902"/>
      <c r="F2321" s="902" t="s">
        <v>2585</v>
      </c>
      <c r="G2321" s="902"/>
      <c r="H2321" s="902"/>
      <c r="I2321" s="525">
        <v>2.4681999999999999</v>
      </c>
      <c r="J2321"/>
    </row>
    <row r="2322" spans="1:10" ht="15" customHeight="1" x14ac:dyDescent="0.3">
      <c r="A2322" s="516" t="s">
        <v>2586</v>
      </c>
      <c r="B2322" s="517" t="s">
        <v>16</v>
      </c>
      <c r="C2322" s="516" t="s">
        <v>2437</v>
      </c>
      <c r="D2322" s="516" t="s">
        <v>2587</v>
      </c>
      <c r="E2322" s="517" t="s">
        <v>2467</v>
      </c>
      <c r="F2322" s="517" t="s">
        <v>2576</v>
      </c>
      <c r="G2322" s="908" t="s">
        <v>2588</v>
      </c>
      <c r="H2322" s="903"/>
      <c r="I2322" s="517" t="s">
        <v>2470</v>
      </c>
      <c r="J2322"/>
    </row>
    <row r="2323" spans="1:10" x14ac:dyDescent="0.3">
      <c r="A2323" s="518"/>
      <c r="B2323" s="518"/>
      <c r="C2323" s="518"/>
      <c r="D2323" s="518"/>
      <c r="E2323" s="518"/>
      <c r="F2323" s="518"/>
      <c r="G2323" s="518" t="s">
        <v>2589</v>
      </c>
      <c r="H2323" s="518" t="s">
        <v>2590</v>
      </c>
      <c r="I2323" s="518"/>
      <c r="J2323"/>
    </row>
    <row r="2324" spans="1:10" ht="37.5" x14ac:dyDescent="0.3">
      <c r="A2324" s="519" t="s">
        <v>2587</v>
      </c>
      <c r="B2324" s="520" t="s">
        <v>125</v>
      </c>
      <c r="C2324" s="519" t="s">
        <v>2823</v>
      </c>
      <c r="D2324" s="519" t="s">
        <v>2839</v>
      </c>
      <c r="E2324" s="522">
        <v>4.0590000000000001E-2</v>
      </c>
      <c r="F2324" s="521" t="s">
        <v>2592</v>
      </c>
      <c r="G2324" s="520" t="s">
        <v>4472</v>
      </c>
      <c r="H2324" s="520" t="s">
        <v>4473</v>
      </c>
      <c r="I2324" s="524">
        <v>0</v>
      </c>
      <c r="J2324"/>
    </row>
    <row r="2325" spans="1:10" ht="37.5" x14ac:dyDescent="0.3">
      <c r="A2325" s="519" t="s">
        <v>2587</v>
      </c>
      <c r="B2325" s="520" t="s">
        <v>125</v>
      </c>
      <c r="C2325" s="519" t="s">
        <v>3356</v>
      </c>
      <c r="D2325" s="519" t="s">
        <v>3362</v>
      </c>
      <c r="E2325" s="522">
        <v>5.1999999999999995E-4</v>
      </c>
      <c r="F2325" s="521" t="s">
        <v>2592</v>
      </c>
      <c r="G2325" s="520" t="s">
        <v>4472</v>
      </c>
      <c r="H2325" s="520" t="s">
        <v>4473</v>
      </c>
      <c r="I2325" s="524">
        <v>0</v>
      </c>
      <c r="J2325"/>
    </row>
    <row r="2326" spans="1:10" ht="37.5" x14ac:dyDescent="0.3">
      <c r="A2326" s="519" t="s">
        <v>2587</v>
      </c>
      <c r="B2326" s="520" t="s">
        <v>125</v>
      </c>
      <c r="C2326" s="519" t="s">
        <v>2832</v>
      </c>
      <c r="D2326" s="519" t="s">
        <v>2843</v>
      </c>
      <c r="E2326" s="522">
        <v>1.8000000000000001E-4</v>
      </c>
      <c r="F2326" s="521" t="s">
        <v>2592</v>
      </c>
      <c r="G2326" s="520" t="s">
        <v>4472</v>
      </c>
      <c r="H2326" s="520" t="s">
        <v>4473</v>
      </c>
      <c r="I2326" s="524">
        <v>0</v>
      </c>
      <c r="J2326"/>
    </row>
    <row r="2327" spans="1:10" ht="37.5" x14ac:dyDescent="0.3">
      <c r="A2327" s="519" t="s">
        <v>2587</v>
      </c>
      <c r="B2327" s="520" t="s">
        <v>125</v>
      </c>
      <c r="C2327" s="519" t="s">
        <v>3096</v>
      </c>
      <c r="D2327" s="519" t="s">
        <v>3103</v>
      </c>
      <c r="E2327" s="522">
        <v>2.6099999999999999E-3</v>
      </c>
      <c r="F2327" s="521" t="s">
        <v>2592</v>
      </c>
      <c r="G2327" s="520" t="s">
        <v>4472</v>
      </c>
      <c r="H2327" s="520" t="s">
        <v>4473</v>
      </c>
      <c r="I2327" s="524">
        <v>0</v>
      </c>
      <c r="J2327"/>
    </row>
    <row r="2328" spans="1:10" ht="37.5" x14ac:dyDescent="0.3">
      <c r="A2328" s="519" t="s">
        <v>2587</v>
      </c>
      <c r="B2328" s="520" t="s">
        <v>125</v>
      </c>
      <c r="C2328" s="519" t="s">
        <v>3358</v>
      </c>
      <c r="D2328" s="519" t="s">
        <v>3363</v>
      </c>
      <c r="E2328" s="522">
        <v>5.0000000000000002E-5</v>
      </c>
      <c r="F2328" s="521" t="s">
        <v>2592</v>
      </c>
      <c r="G2328" s="520" t="s">
        <v>4472</v>
      </c>
      <c r="H2328" s="520" t="s">
        <v>4473</v>
      </c>
      <c r="I2328" s="524">
        <v>0</v>
      </c>
      <c r="J2328"/>
    </row>
    <row r="2329" spans="1:10" ht="14.25" customHeight="1" x14ac:dyDescent="0.3">
      <c r="A2329" s="519" t="s">
        <v>2587</v>
      </c>
      <c r="B2329" s="520" t="s">
        <v>125</v>
      </c>
      <c r="C2329" s="519" t="s">
        <v>2836</v>
      </c>
      <c r="D2329" s="519" t="s">
        <v>2845</v>
      </c>
      <c r="E2329" s="522">
        <v>2.9700000000000001E-2</v>
      </c>
      <c r="F2329" s="521" t="s">
        <v>2592</v>
      </c>
      <c r="G2329" s="520" t="s">
        <v>4472</v>
      </c>
      <c r="H2329" s="520" t="s">
        <v>4473</v>
      </c>
      <c r="I2329" s="524">
        <v>0</v>
      </c>
      <c r="J2329"/>
    </row>
    <row r="2330" spans="1:10" ht="15" customHeight="1" x14ac:dyDescent="0.3">
      <c r="A2330" s="519" t="s">
        <v>2587</v>
      </c>
      <c r="B2330" s="520" t="s">
        <v>125</v>
      </c>
      <c r="C2330" s="519" t="s">
        <v>3360</v>
      </c>
      <c r="D2330" s="519" t="s">
        <v>3364</v>
      </c>
      <c r="E2330" s="522">
        <v>7.7999999999999999E-4</v>
      </c>
      <c r="F2330" s="521" t="s">
        <v>2592</v>
      </c>
      <c r="G2330" s="520" t="s">
        <v>4472</v>
      </c>
      <c r="H2330" s="520" t="s">
        <v>4473</v>
      </c>
      <c r="I2330" s="524">
        <v>0</v>
      </c>
      <c r="J2330"/>
    </row>
    <row r="2331" spans="1:10" ht="15" customHeight="1" thickBot="1" x14ac:dyDescent="0.35">
      <c r="A2331" s="902"/>
      <c r="B2331" s="902"/>
      <c r="C2331" s="902"/>
      <c r="D2331" s="902"/>
      <c r="E2331" s="902"/>
      <c r="F2331" s="902" t="s">
        <v>2593</v>
      </c>
      <c r="G2331" s="902"/>
      <c r="H2331" s="902"/>
      <c r="I2331" s="525">
        <v>0</v>
      </c>
      <c r="J2331"/>
    </row>
    <row r="2332" spans="1:10" ht="14.5" thickTop="1" x14ac:dyDescent="0.3">
      <c r="A2332" s="647"/>
      <c r="B2332" s="647"/>
      <c r="C2332" s="647"/>
      <c r="D2332" s="647"/>
      <c r="E2332" s="647"/>
      <c r="F2332" s="647"/>
      <c r="G2332" s="647"/>
      <c r="H2332" s="647"/>
      <c r="I2332" s="647"/>
      <c r="J2332"/>
    </row>
    <row r="2333" spans="1:10" x14ac:dyDescent="0.3">
      <c r="A2333" s="516"/>
      <c r="B2333" s="517" t="s">
        <v>15</v>
      </c>
      <c r="C2333" s="516" t="s">
        <v>16</v>
      </c>
      <c r="D2333" s="516" t="s">
        <v>17</v>
      </c>
      <c r="E2333" s="904" t="s">
        <v>2431</v>
      </c>
      <c r="F2333" s="904"/>
      <c r="G2333" s="518" t="s">
        <v>18</v>
      </c>
      <c r="H2333" s="517" t="s">
        <v>19</v>
      </c>
      <c r="I2333" s="517" t="s">
        <v>20</v>
      </c>
      <c r="J2333" s="517" t="s">
        <v>23</v>
      </c>
    </row>
    <row r="2334" spans="1:10" ht="38.25" customHeight="1" x14ac:dyDescent="0.3">
      <c r="A2334" s="642" t="s">
        <v>2432</v>
      </c>
      <c r="B2334" s="643" t="s">
        <v>2702</v>
      </c>
      <c r="C2334" s="642" t="s">
        <v>32</v>
      </c>
      <c r="D2334" s="642" t="s">
        <v>4265</v>
      </c>
      <c r="E2334" s="906" t="s">
        <v>2661</v>
      </c>
      <c r="F2334" s="906"/>
      <c r="G2334" s="644" t="s">
        <v>194</v>
      </c>
      <c r="H2334" s="645">
        <v>1</v>
      </c>
      <c r="I2334" s="646">
        <v>3.49</v>
      </c>
      <c r="J2334" s="646">
        <v>3.49</v>
      </c>
    </row>
    <row r="2335" spans="1:10" ht="25" x14ac:dyDescent="0.3">
      <c r="A2335" s="519" t="s">
        <v>2434</v>
      </c>
      <c r="B2335" s="520" t="s">
        <v>2857</v>
      </c>
      <c r="C2335" s="519" t="s">
        <v>32</v>
      </c>
      <c r="D2335" s="519" t="s">
        <v>2858</v>
      </c>
      <c r="E2335" s="905" t="s">
        <v>2433</v>
      </c>
      <c r="F2335" s="905"/>
      <c r="G2335" s="521" t="s">
        <v>1901</v>
      </c>
      <c r="H2335" s="522">
        <v>2.3E-2</v>
      </c>
      <c r="I2335" s="523">
        <v>24.65</v>
      </c>
      <c r="J2335" s="523">
        <v>0.56000000000000005</v>
      </c>
    </row>
    <row r="2336" spans="1:10" ht="25" x14ac:dyDescent="0.3">
      <c r="A2336" s="519" t="s">
        <v>2434</v>
      </c>
      <c r="B2336" s="520" t="s">
        <v>2766</v>
      </c>
      <c r="C2336" s="519" t="s">
        <v>32</v>
      </c>
      <c r="D2336" s="519" t="s">
        <v>2767</v>
      </c>
      <c r="E2336" s="905" t="s">
        <v>2433</v>
      </c>
      <c r="F2336" s="905"/>
      <c r="G2336" s="521" t="s">
        <v>1901</v>
      </c>
      <c r="H2336" s="522">
        <v>2.3E-2</v>
      </c>
      <c r="I2336" s="523">
        <v>31.49</v>
      </c>
      <c r="J2336" s="523">
        <v>0.72</v>
      </c>
    </row>
    <row r="2337" spans="1:10" ht="25" x14ac:dyDescent="0.3">
      <c r="A2337" s="519" t="s">
        <v>2437</v>
      </c>
      <c r="B2337" s="520" t="s">
        <v>3365</v>
      </c>
      <c r="C2337" s="519" t="s">
        <v>32</v>
      </c>
      <c r="D2337" s="519" t="s">
        <v>3366</v>
      </c>
      <c r="E2337" s="905" t="s">
        <v>2442</v>
      </c>
      <c r="F2337" s="905"/>
      <c r="G2337" s="521" t="s">
        <v>194</v>
      </c>
      <c r="H2337" s="522">
        <v>1.2434000000000001</v>
      </c>
      <c r="I2337" s="523">
        <v>1.75</v>
      </c>
      <c r="J2337" s="523">
        <v>2.17</v>
      </c>
    </row>
    <row r="2338" spans="1:10" ht="25.5" thickBot="1" x14ac:dyDescent="0.35">
      <c r="A2338" s="519" t="s">
        <v>2437</v>
      </c>
      <c r="B2338" s="520" t="s">
        <v>3367</v>
      </c>
      <c r="C2338" s="519" t="s">
        <v>32</v>
      </c>
      <c r="D2338" s="519" t="s">
        <v>3368</v>
      </c>
      <c r="E2338" s="905" t="s">
        <v>2442</v>
      </c>
      <c r="F2338" s="905"/>
      <c r="G2338" s="521" t="s">
        <v>89</v>
      </c>
      <c r="H2338" s="522">
        <v>9.4000000000000004E-3</v>
      </c>
      <c r="I2338" s="523">
        <v>4.57</v>
      </c>
      <c r="J2338" s="523">
        <v>0.04</v>
      </c>
    </row>
    <row r="2339" spans="1:10" ht="15" customHeight="1" thickTop="1" x14ac:dyDescent="0.3">
      <c r="A2339" s="647"/>
      <c r="B2339" s="647"/>
      <c r="C2339" s="647"/>
      <c r="D2339" s="647"/>
      <c r="E2339" s="647"/>
      <c r="F2339" s="647"/>
      <c r="G2339" s="647"/>
      <c r="H2339" s="647"/>
      <c r="I2339" s="647"/>
      <c r="J2339"/>
    </row>
    <row r="2340" spans="1:10" s="358" customFormat="1" x14ac:dyDescent="0.3">
      <c r="A2340" s="516"/>
      <c r="B2340" s="517" t="s">
        <v>15</v>
      </c>
      <c r="C2340" s="516" t="s">
        <v>16</v>
      </c>
      <c r="D2340" s="516" t="s">
        <v>17</v>
      </c>
      <c r="E2340" s="904" t="s">
        <v>2431</v>
      </c>
      <c r="F2340" s="904"/>
      <c r="G2340" s="518" t="s">
        <v>18</v>
      </c>
      <c r="H2340" s="517" t="s">
        <v>19</v>
      </c>
      <c r="I2340" s="517" t="s">
        <v>20</v>
      </c>
      <c r="J2340" s="517" t="s">
        <v>23</v>
      </c>
    </row>
    <row r="2341" spans="1:10" ht="25.5" customHeight="1" x14ac:dyDescent="0.3">
      <c r="A2341" s="642" t="s">
        <v>2432</v>
      </c>
      <c r="B2341" s="643" t="s">
        <v>2723</v>
      </c>
      <c r="C2341" s="642" t="s">
        <v>32</v>
      </c>
      <c r="D2341" s="642" t="s">
        <v>2724</v>
      </c>
      <c r="E2341" s="906" t="s">
        <v>2661</v>
      </c>
      <c r="F2341" s="906"/>
      <c r="G2341" s="644" t="s">
        <v>194</v>
      </c>
      <c r="H2341" s="645">
        <v>1</v>
      </c>
      <c r="I2341" s="646">
        <v>19.3</v>
      </c>
      <c r="J2341" s="646">
        <v>19.3</v>
      </c>
    </row>
    <row r="2342" spans="1:10" s="358" customFormat="1" ht="38.25" customHeight="1" x14ac:dyDescent="0.3">
      <c r="A2342" s="519" t="s">
        <v>2434</v>
      </c>
      <c r="B2342" s="520" t="s">
        <v>2857</v>
      </c>
      <c r="C2342" s="519" t="s">
        <v>32</v>
      </c>
      <c r="D2342" s="519" t="s">
        <v>2858</v>
      </c>
      <c r="E2342" s="905" t="s">
        <v>2433</v>
      </c>
      <c r="F2342" s="905"/>
      <c r="G2342" s="521" t="s">
        <v>1901</v>
      </c>
      <c r="H2342" s="522">
        <v>1.2999999999999999E-2</v>
      </c>
      <c r="I2342" s="523">
        <v>24.65</v>
      </c>
      <c r="J2342" s="523">
        <v>0.32</v>
      </c>
    </row>
    <row r="2343" spans="1:10" ht="25" x14ac:dyDescent="0.3">
      <c r="A2343" s="519" t="s">
        <v>2434</v>
      </c>
      <c r="B2343" s="520" t="s">
        <v>2766</v>
      </c>
      <c r="C2343" s="519" t="s">
        <v>32</v>
      </c>
      <c r="D2343" s="519" t="s">
        <v>2767</v>
      </c>
      <c r="E2343" s="905" t="s">
        <v>2433</v>
      </c>
      <c r="F2343" s="905"/>
      <c r="G2343" s="521" t="s">
        <v>1901</v>
      </c>
      <c r="H2343" s="522">
        <v>1.2999999999999999E-2</v>
      </c>
      <c r="I2343" s="523">
        <v>31.49</v>
      </c>
      <c r="J2343" s="523">
        <v>0.4</v>
      </c>
    </row>
    <row r="2344" spans="1:10" ht="25" x14ac:dyDescent="0.3">
      <c r="A2344" s="519" t="s">
        <v>2437</v>
      </c>
      <c r="B2344" s="520" t="s">
        <v>2770</v>
      </c>
      <c r="C2344" s="519" t="s">
        <v>32</v>
      </c>
      <c r="D2344" s="519" t="s">
        <v>2771</v>
      </c>
      <c r="E2344" s="905" t="s">
        <v>2442</v>
      </c>
      <c r="F2344" s="905"/>
      <c r="G2344" s="521" t="s">
        <v>194</v>
      </c>
      <c r="H2344" s="522">
        <v>1.0269999999999999</v>
      </c>
      <c r="I2344" s="523">
        <v>18.059999999999999</v>
      </c>
      <c r="J2344" s="523">
        <v>18.54</v>
      </c>
    </row>
    <row r="2345" spans="1:10" ht="25.5" thickBot="1" x14ac:dyDescent="0.35">
      <c r="A2345" s="519" t="s">
        <v>2437</v>
      </c>
      <c r="B2345" s="520" t="s">
        <v>3367</v>
      </c>
      <c r="C2345" s="519" t="s">
        <v>32</v>
      </c>
      <c r="D2345" s="519" t="s">
        <v>3368</v>
      </c>
      <c r="E2345" s="905" t="s">
        <v>2442</v>
      </c>
      <c r="F2345" s="905"/>
      <c r="G2345" s="521" t="s">
        <v>89</v>
      </c>
      <c r="H2345" s="522">
        <v>0.01</v>
      </c>
      <c r="I2345" s="523">
        <v>4.57</v>
      </c>
      <c r="J2345" s="523">
        <v>0.04</v>
      </c>
    </row>
    <row r="2346" spans="1:10" ht="14.5" thickTop="1" x14ac:dyDescent="0.3">
      <c r="A2346" s="647"/>
      <c r="B2346" s="647"/>
      <c r="C2346" s="647"/>
      <c r="D2346" s="647"/>
      <c r="E2346" s="647"/>
      <c r="F2346" s="647"/>
      <c r="G2346" s="647"/>
      <c r="H2346" s="647"/>
      <c r="I2346" s="647"/>
      <c r="J2346"/>
    </row>
    <row r="2347" spans="1:10" s="358" customFormat="1" x14ac:dyDescent="0.3">
      <c r="A2347" s="516"/>
      <c r="B2347" s="517" t="s">
        <v>15</v>
      </c>
      <c r="C2347" s="516" t="s">
        <v>16</v>
      </c>
      <c r="D2347" s="516" t="s">
        <v>17</v>
      </c>
      <c r="E2347" s="904" t="s">
        <v>2431</v>
      </c>
      <c r="F2347" s="904"/>
      <c r="G2347" s="518" t="s">
        <v>18</v>
      </c>
      <c r="H2347" s="517" t="s">
        <v>19</v>
      </c>
      <c r="I2347" s="517" t="s">
        <v>20</v>
      </c>
      <c r="J2347" s="517" t="s">
        <v>23</v>
      </c>
    </row>
    <row r="2348" spans="1:10" ht="38.25" customHeight="1" x14ac:dyDescent="0.3">
      <c r="A2348" s="642" t="s">
        <v>2432</v>
      </c>
      <c r="B2348" s="643" t="s">
        <v>2672</v>
      </c>
      <c r="C2348" s="642" t="s">
        <v>32</v>
      </c>
      <c r="D2348" s="642" t="s">
        <v>4262</v>
      </c>
      <c r="E2348" s="906" t="s">
        <v>2661</v>
      </c>
      <c r="F2348" s="906"/>
      <c r="G2348" s="644" t="s">
        <v>194</v>
      </c>
      <c r="H2348" s="645">
        <v>1</v>
      </c>
      <c r="I2348" s="646">
        <v>5.0999999999999996</v>
      </c>
      <c r="J2348" s="646">
        <v>5.0999999999999996</v>
      </c>
    </row>
    <row r="2349" spans="1:10" s="358" customFormat="1" ht="25.5" customHeight="1" x14ac:dyDescent="0.3">
      <c r="A2349" s="519" t="s">
        <v>2434</v>
      </c>
      <c r="B2349" s="520" t="s">
        <v>2857</v>
      </c>
      <c r="C2349" s="519" t="s">
        <v>32</v>
      </c>
      <c r="D2349" s="519" t="s">
        <v>2858</v>
      </c>
      <c r="E2349" s="905" t="s">
        <v>2433</v>
      </c>
      <c r="F2349" s="905"/>
      <c r="G2349" s="521" t="s">
        <v>1901</v>
      </c>
      <c r="H2349" s="522">
        <v>2.9000000000000001E-2</v>
      </c>
      <c r="I2349" s="523">
        <v>24.65</v>
      </c>
      <c r="J2349" s="523">
        <v>0.71</v>
      </c>
    </row>
    <row r="2350" spans="1:10" ht="25" x14ac:dyDescent="0.3">
      <c r="A2350" s="519" t="s">
        <v>2434</v>
      </c>
      <c r="B2350" s="520" t="s">
        <v>2766</v>
      </c>
      <c r="C2350" s="519" t="s">
        <v>32</v>
      </c>
      <c r="D2350" s="519" t="s">
        <v>2767</v>
      </c>
      <c r="E2350" s="905" t="s">
        <v>2433</v>
      </c>
      <c r="F2350" s="905"/>
      <c r="G2350" s="521" t="s">
        <v>1901</v>
      </c>
      <c r="H2350" s="522">
        <v>2.9000000000000001E-2</v>
      </c>
      <c r="I2350" s="523">
        <v>31.49</v>
      </c>
      <c r="J2350" s="523">
        <v>0.91</v>
      </c>
    </row>
    <row r="2351" spans="1:10" ht="25" x14ac:dyDescent="0.3">
      <c r="A2351" s="519" t="s">
        <v>2437</v>
      </c>
      <c r="B2351" s="520" t="s">
        <v>3369</v>
      </c>
      <c r="C2351" s="519" t="s">
        <v>32</v>
      </c>
      <c r="D2351" s="519" t="s">
        <v>3370</v>
      </c>
      <c r="E2351" s="905" t="s">
        <v>2442</v>
      </c>
      <c r="F2351" s="905"/>
      <c r="G2351" s="521" t="s">
        <v>194</v>
      </c>
      <c r="H2351" s="522">
        <v>1.2434000000000001</v>
      </c>
      <c r="I2351" s="523">
        <v>2.77</v>
      </c>
      <c r="J2351" s="523">
        <v>3.44</v>
      </c>
    </row>
    <row r="2352" spans="1:10" ht="25.5" thickBot="1" x14ac:dyDescent="0.35">
      <c r="A2352" s="519" t="s">
        <v>2437</v>
      </c>
      <c r="B2352" s="520" t="s">
        <v>3367</v>
      </c>
      <c r="C2352" s="519" t="s">
        <v>32</v>
      </c>
      <c r="D2352" s="519" t="s">
        <v>3368</v>
      </c>
      <c r="E2352" s="905" t="s">
        <v>2442</v>
      </c>
      <c r="F2352" s="905"/>
      <c r="G2352" s="521" t="s">
        <v>89</v>
      </c>
      <c r="H2352" s="522">
        <v>9.4000000000000004E-3</v>
      </c>
      <c r="I2352" s="523">
        <v>4.57</v>
      </c>
      <c r="J2352" s="523">
        <v>0.04</v>
      </c>
    </row>
    <row r="2353" spans="1:10" ht="14.5" thickTop="1" x14ac:dyDescent="0.3">
      <c r="A2353" s="647"/>
      <c r="B2353" s="647"/>
      <c r="C2353" s="647"/>
      <c r="D2353" s="647"/>
      <c r="E2353" s="647"/>
      <c r="F2353" s="647"/>
      <c r="G2353" s="647"/>
      <c r="H2353" s="647"/>
      <c r="I2353" s="647"/>
      <c r="J2353"/>
    </row>
    <row r="2354" spans="1:10" s="358" customFormat="1" x14ac:dyDescent="0.3">
      <c r="A2354" s="516"/>
      <c r="B2354" s="517" t="s">
        <v>15</v>
      </c>
      <c r="C2354" s="516" t="s">
        <v>16</v>
      </c>
      <c r="D2354" s="516" t="s">
        <v>17</v>
      </c>
      <c r="E2354" s="904" t="s">
        <v>2431</v>
      </c>
      <c r="F2354" s="904"/>
      <c r="G2354" s="518" t="s">
        <v>18</v>
      </c>
      <c r="H2354" s="517" t="s">
        <v>19</v>
      </c>
      <c r="I2354" s="517" t="s">
        <v>20</v>
      </c>
      <c r="J2354" s="517" t="s">
        <v>23</v>
      </c>
    </row>
    <row r="2355" spans="1:10" ht="38.25" customHeight="1" x14ac:dyDescent="0.3">
      <c r="A2355" s="642" t="s">
        <v>2432</v>
      </c>
      <c r="B2355" s="643" t="s">
        <v>2726</v>
      </c>
      <c r="C2355" s="642" t="s">
        <v>32</v>
      </c>
      <c r="D2355" s="642" t="s">
        <v>2727</v>
      </c>
      <c r="E2355" s="906" t="s">
        <v>2661</v>
      </c>
      <c r="F2355" s="906"/>
      <c r="G2355" s="644" t="s">
        <v>89</v>
      </c>
      <c r="H2355" s="645">
        <v>1</v>
      </c>
      <c r="I2355" s="646">
        <v>172.94</v>
      </c>
      <c r="J2355" s="646">
        <v>172.94</v>
      </c>
    </row>
    <row r="2356" spans="1:10" s="358" customFormat="1" ht="38.25" customHeight="1" x14ac:dyDescent="0.3">
      <c r="A2356" s="519" t="s">
        <v>2434</v>
      </c>
      <c r="B2356" s="520" t="s">
        <v>3288</v>
      </c>
      <c r="C2356" s="519" t="s">
        <v>32</v>
      </c>
      <c r="D2356" s="519" t="s">
        <v>3289</v>
      </c>
      <c r="E2356" s="905" t="s">
        <v>2433</v>
      </c>
      <c r="F2356" s="905"/>
      <c r="G2356" s="521" t="s">
        <v>118</v>
      </c>
      <c r="H2356" s="522">
        <v>2.7799999999999998E-2</v>
      </c>
      <c r="I2356" s="523">
        <v>696.95</v>
      </c>
      <c r="J2356" s="523">
        <v>19.37</v>
      </c>
    </row>
    <row r="2357" spans="1:10" ht="25" x14ac:dyDescent="0.3">
      <c r="A2357" s="519" t="s">
        <v>2434</v>
      </c>
      <c r="B2357" s="520" t="s">
        <v>3371</v>
      </c>
      <c r="C2357" s="519" t="s">
        <v>32</v>
      </c>
      <c r="D2357" s="519" t="s">
        <v>3372</v>
      </c>
      <c r="E2357" s="905" t="s">
        <v>2706</v>
      </c>
      <c r="F2357" s="905"/>
      <c r="G2357" s="521" t="s">
        <v>118</v>
      </c>
      <c r="H2357" s="522">
        <v>3.5999999999999997E-2</v>
      </c>
      <c r="I2357" s="523">
        <v>318.48</v>
      </c>
      <c r="J2357" s="523">
        <v>11.46</v>
      </c>
    </row>
    <row r="2358" spans="1:10" ht="37.5" x14ac:dyDescent="0.3">
      <c r="A2358" s="519" t="s">
        <v>2434</v>
      </c>
      <c r="B2358" s="520" t="s">
        <v>3292</v>
      </c>
      <c r="C2358" s="519" t="s">
        <v>32</v>
      </c>
      <c r="D2358" s="519" t="s">
        <v>3293</v>
      </c>
      <c r="E2358" s="905" t="s">
        <v>2433</v>
      </c>
      <c r="F2358" s="905"/>
      <c r="G2358" s="521" t="s">
        <v>118</v>
      </c>
      <c r="H2358" s="522">
        <v>3.8999999999999998E-3</v>
      </c>
      <c r="I2358" s="523">
        <v>459.68</v>
      </c>
      <c r="J2358" s="523">
        <v>1.79</v>
      </c>
    </row>
    <row r="2359" spans="1:10" ht="25" x14ac:dyDescent="0.3">
      <c r="A2359" s="519" t="s">
        <v>2434</v>
      </c>
      <c r="B2359" s="520" t="s">
        <v>2757</v>
      </c>
      <c r="C2359" s="519" t="s">
        <v>32</v>
      </c>
      <c r="D2359" s="519" t="s">
        <v>2758</v>
      </c>
      <c r="E2359" s="905" t="s">
        <v>2433</v>
      </c>
      <c r="F2359" s="905"/>
      <c r="G2359" s="521" t="s">
        <v>1901</v>
      </c>
      <c r="H2359" s="522">
        <v>1.2685999999999999</v>
      </c>
      <c r="I2359" s="523">
        <v>31.1</v>
      </c>
      <c r="J2359" s="523">
        <v>39.450000000000003</v>
      </c>
    </row>
    <row r="2360" spans="1:10" ht="25" x14ac:dyDescent="0.3">
      <c r="A2360" s="519" t="s">
        <v>2434</v>
      </c>
      <c r="B2360" s="520" t="s">
        <v>2561</v>
      </c>
      <c r="C2360" s="519" t="s">
        <v>32</v>
      </c>
      <c r="D2360" s="519" t="s">
        <v>2562</v>
      </c>
      <c r="E2360" s="905" t="s">
        <v>2433</v>
      </c>
      <c r="F2360" s="905"/>
      <c r="G2360" s="521" t="s">
        <v>1901</v>
      </c>
      <c r="H2360" s="522">
        <v>0.99670000000000003</v>
      </c>
      <c r="I2360" s="523">
        <v>23.4</v>
      </c>
      <c r="J2360" s="523">
        <v>23.32</v>
      </c>
    </row>
    <row r="2361" spans="1:10" s="358" customFormat="1" ht="25" x14ac:dyDescent="0.3">
      <c r="A2361" s="519" t="s">
        <v>2434</v>
      </c>
      <c r="B2361" s="520" t="s">
        <v>3373</v>
      </c>
      <c r="C2361" s="519" t="s">
        <v>32</v>
      </c>
      <c r="D2361" s="519" t="s">
        <v>3374</v>
      </c>
      <c r="E2361" s="905" t="s">
        <v>2617</v>
      </c>
      <c r="F2361" s="905"/>
      <c r="G2361" s="521" t="s">
        <v>118</v>
      </c>
      <c r="H2361" s="522">
        <v>1.7500000000000002E-2</v>
      </c>
      <c r="I2361" s="523">
        <v>3083.22</v>
      </c>
      <c r="J2361" s="523">
        <v>53.95</v>
      </c>
    </row>
    <row r="2362" spans="1:10" ht="14.5" thickBot="1" x14ac:dyDescent="0.35">
      <c r="A2362" s="519" t="s">
        <v>2437</v>
      </c>
      <c r="B2362" s="520" t="s">
        <v>3375</v>
      </c>
      <c r="C2362" s="519" t="s">
        <v>32</v>
      </c>
      <c r="D2362" s="519" t="s">
        <v>3376</v>
      </c>
      <c r="E2362" s="905" t="s">
        <v>2442</v>
      </c>
      <c r="F2362" s="905"/>
      <c r="G2362" s="521" t="s">
        <v>89</v>
      </c>
      <c r="H2362" s="522">
        <v>38.691000000000003</v>
      </c>
      <c r="I2362" s="523">
        <v>0.61</v>
      </c>
      <c r="J2362" s="523">
        <v>23.6</v>
      </c>
    </row>
    <row r="2363" spans="1:10" s="358" customFormat="1" ht="38.25" customHeight="1" thickTop="1" x14ac:dyDescent="0.3">
      <c r="A2363" s="647"/>
      <c r="B2363" s="647"/>
      <c r="C2363" s="647"/>
      <c r="D2363" s="647"/>
      <c r="E2363" s="647"/>
      <c r="F2363" s="647"/>
      <c r="G2363" s="647"/>
      <c r="H2363" s="647"/>
      <c r="I2363" s="647"/>
      <c r="J2363"/>
    </row>
    <row r="2364" spans="1:10" x14ac:dyDescent="0.3">
      <c r="A2364" s="516"/>
      <c r="B2364" s="517" t="s">
        <v>15</v>
      </c>
      <c r="C2364" s="516" t="s">
        <v>16</v>
      </c>
      <c r="D2364" s="516" t="s">
        <v>17</v>
      </c>
      <c r="E2364" s="904" t="s">
        <v>2431</v>
      </c>
      <c r="F2364" s="904"/>
      <c r="G2364" s="518" t="s">
        <v>18</v>
      </c>
      <c r="H2364" s="517" t="s">
        <v>19</v>
      </c>
      <c r="I2364" s="517" t="s">
        <v>20</v>
      </c>
      <c r="J2364" s="517" t="s">
        <v>23</v>
      </c>
    </row>
    <row r="2365" spans="1:10" ht="50" x14ac:dyDescent="0.3">
      <c r="A2365" s="642" t="s">
        <v>2432</v>
      </c>
      <c r="B2365" s="643" t="s">
        <v>3377</v>
      </c>
      <c r="C2365" s="642" t="s">
        <v>32</v>
      </c>
      <c r="D2365" s="642" t="s">
        <v>3378</v>
      </c>
      <c r="E2365" s="906" t="s">
        <v>2465</v>
      </c>
      <c r="F2365" s="906"/>
      <c r="G2365" s="644" t="s">
        <v>103</v>
      </c>
      <c r="H2365" s="645">
        <v>1</v>
      </c>
      <c r="I2365" s="646">
        <v>256.01</v>
      </c>
      <c r="J2365" s="646">
        <v>256.01</v>
      </c>
    </row>
    <row r="2366" spans="1:10" ht="25" x14ac:dyDescent="0.3">
      <c r="A2366" s="519" t="s">
        <v>2434</v>
      </c>
      <c r="B2366" s="520" t="s">
        <v>3379</v>
      </c>
      <c r="C2366" s="519" t="s">
        <v>32</v>
      </c>
      <c r="D2366" s="519" t="s">
        <v>3380</v>
      </c>
      <c r="E2366" s="905" t="s">
        <v>2433</v>
      </c>
      <c r="F2366" s="905"/>
      <c r="G2366" s="521" t="s">
        <v>1901</v>
      </c>
      <c r="H2366" s="522">
        <v>1</v>
      </c>
      <c r="I2366" s="523">
        <v>30.35</v>
      </c>
      <c r="J2366" s="523">
        <v>30.35</v>
      </c>
    </row>
    <row r="2367" spans="1:10" ht="50" x14ac:dyDescent="0.3">
      <c r="A2367" s="519" t="s">
        <v>2434</v>
      </c>
      <c r="B2367" s="520" t="s">
        <v>3381</v>
      </c>
      <c r="C2367" s="519" t="s">
        <v>32</v>
      </c>
      <c r="D2367" s="519" t="s">
        <v>3382</v>
      </c>
      <c r="E2367" s="905" t="s">
        <v>2465</v>
      </c>
      <c r="F2367" s="905"/>
      <c r="G2367" s="521" t="s">
        <v>1901</v>
      </c>
      <c r="H2367" s="522">
        <v>1</v>
      </c>
      <c r="I2367" s="523">
        <v>29.22</v>
      </c>
      <c r="J2367" s="523">
        <v>29.22</v>
      </c>
    </row>
    <row r="2368" spans="1:10" ht="50" x14ac:dyDescent="0.3">
      <c r="A2368" s="519" t="s">
        <v>2434</v>
      </c>
      <c r="B2368" s="520" t="s">
        <v>3383</v>
      </c>
      <c r="C2368" s="519" t="s">
        <v>32</v>
      </c>
      <c r="D2368" s="519" t="s">
        <v>3384</v>
      </c>
      <c r="E2368" s="905" t="s">
        <v>2465</v>
      </c>
      <c r="F2368" s="905"/>
      <c r="G2368" s="521" t="s">
        <v>1901</v>
      </c>
      <c r="H2368" s="522">
        <v>1</v>
      </c>
      <c r="I2368" s="523">
        <v>11.21</v>
      </c>
      <c r="J2368" s="523">
        <v>11.21</v>
      </c>
    </row>
    <row r="2369" spans="1:10" ht="50" x14ac:dyDescent="0.3">
      <c r="A2369" s="519" t="s">
        <v>2434</v>
      </c>
      <c r="B2369" s="520" t="s">
        <v>3385</v>
      </c>
      <c r="C2369" s="519" t="s">
        <v>32</v>
      </c>
      <c r="D2369" s="519" t="s">
        <v>3386</v>
      </c>
      <c r="E2369" s="905" t="s">
        <v>2465</v>
      </c>
      <c r="F2369" s="905"/>
      <c r="G2369" s="521" t="s">
        <v>1901</v>
      </c>
      <c r="H2369" s="522">
        <v>1</v>
      </c>
      <c r="I2369" s="523">
        <v>4.53</v>
      </c>
      <c r="J2369" s="523">
        <v>4.53</v>
      </c>
    </row>
    <row r="2370" spans="1:10" ht="50" x14ac:dyDescent="0.3">
      <c r="A2370" s="519" t="s">
        <v>2434</v>
      </c>
      <c r="B2370" s="520" t="s">
        <v>3387</v>
      </c>
      <c r="C2370" s="519" t="s">
        <v>32</v>
      </c>
      <c r="D2370" s="519" t="s">
        <v>3388</v>
      </c>
      <c r="E2370" s="905" t="s">
        <v>2465</v>
      </c>
      <c r="F2370" s="905"/>
      <c r="G2370" s="521" t="s">
        <v>1901</v>
      </c>
      <c r="H2370" s="522">
        <v>1</v>
      </c>
      <c r="I2370" s="523">
        <v>52.56</v>
      </c>
      <c r="J2370" s="523">
        <v>52.56</v>
      </c>
    </row>
    <row r="2371" spans="1:10" s="358" customFormat="1" ht="50.5" thickBot="1" x14ac:dyDescent="0.35">
      <c r="A2371" s="519" t="s">
        <v>2434</v>
      </c>
      <c r="B2371" s="520" t="s">
        <v>3389</v>
      </c>
      <c r="C2371" s="519" t="s">
        <v>32</v>
      </c>
      <c r="D2371" s="519" t="s">
        <v>3390</v>
      </c>
      <c r="E2371" s="905" t="s">
        <v>2465</v>
      </c>
      <c r="F2371" s="905"/>
      <c r="G2371" s="521" t="s">
        <v>1901</v>
      </c>
      <c r="H2371" s="522">
        <v>1</v>
      </c>
      <c r="I2371" s="523">
        <v>128.13999999999999</v>
      </c>
      <c r="J2371" s="523">
        <v>128.13999999999999</v>
      </c>
    </row>
    <row r="2372" spans="1:10" ht="14.5" thickTop="1" x14ac:dyDescent="0.3">
      <c r="A2372" s="647"/>
      <c r="B2372" s="647"/>
      <c r="C2372" s="647"/>
      <c r="D2372" s="647"/>
      <c r="E2372" s="647"/>
      <c r="F2372" s="647"/>
      <c r="G2372" s="647"/>
      <c r="H2372" s="647"/>
      <c r="I2372" s="647"/>
      <c r="J2372"/>
    </row>
    <row r="2373" spans="1:10" s="358" customFormat="1" x14ac:dyDescent="0.3">
      <c r="A2373" s="516"/>
      <c r="B2373" s="517" t="s">
        <v>15</v>
      </c>
      <c r="C2373" s="516" t="s">
        <v>16</v>
      </c>
      <c r="D2373" s="516" t="s">
        <v>17</v>
      </c>
      <c r="E2373" s="904" t="s">
        <v>2431</v>
      </c>
      <c r="F2373" s="904"/>
      <c r="G2373" s="518" t="s">
        <v>18</v>
      </c>
      <c r="H2373" s="517" t="s">
        <v>19</v>
      </c>
      <c r="I2373" s="517" t="s">
        <v>20</v>
      </c>
      <c r="J2373" s="517" t="s">
        <v>23</v>
      </c>
    </row>
    <row r="2374" spans="1:10" ht="50" x14ac:dyDescent="0.3">
      <c r="A2374" s="642" t="s">
        <v>2432</v>
      </c>
      <c r="B2374" s="643" t="s">
        <v>3381</v>
      </c>
      <c r="C2374" s="642" t="s">
        <v>32</v>
      </c>
      <c r="D2374" s="642" t="s">
        <v>3382</v>
      </c>
      <c r="E2374" s="906" t="s">
        <v>2465</v>
      </c>
      <c r="F2374" s="906"/>
      <c r="G2374" s="644" t="s">
        <v>1901</v>
      </c>
      <c r="H2374" s="645">
        <v>1</v>
      </c>
      <c r="I2374" s="646">
        <v>29.22</v>
      </c>
      <c r="J2374" s="646">
        <v>29.22</v>
      </c>
    </row>
    <row r="2375" spans="1:10" ht="25" x14ac:dyDescent="0.3">
      <c r="A2375" s="519" t="s">
        <v>2437</v>
      </c>
      <c r="B2375" s="520" t="s">
        <v>3391</v>
      </c>
      <c r="C2375" s="519" t="s">
        <v>32</v>
      </c>
      <c r="D2375" s="519" t="s">
        <v>3392</v>
      </c>
      <c r="E2375" s="905" t="s">
        <v>2442</v>
      </c>
      <c r="F2375" s="905"/>
      <c r="G2375" s="521" t="s">
        <v>89</v>
      </c>
      <c r="H2375" s="522">
        <v>6.0300000000000002E-5</v>
      </c>
      <c r="I2375" s="523">
        <v>81699.7</v>
      </c>
      <c r="J2375" s="523">
        <v>4.92</v>
      </c>
    </row>
    <row r="2376" spans="1:10" ht="38" thickBot="1" x14ac:dyDescent="0.35">
      <c r="A2376" s="519" t="s">
        <v>2437</v>
      </c>
      <c r="B2376" s="520" t="s">
        <v>3393</v>
      </c>
      <c r="C2376" s="519" t="s">
        <v>32</v>
      </c>
      <c r="D2376" s="519" t="s">
        <v>3394</v>
      </c>
      <c r="E2376" s="905" t="s">
        <v>2446</v>
      </c>
      <c r="F2376" s="905"/>
      <c r="G2376" s="521" t="s">
        <v>89</v>
      </c>
      <c r="H2376" s="522">
        <v>3.4199999999999998E-5</v>
      </c>
      <c r="I2376" s="523">
        <v>710806.66</v>
      </c>
      <c r="J2376" s="523">
        <v>24.3</v>
      </c>
    </row>
    <row r="2377" spans="1:10" ht="14.5" thickTop="1" x14ac:dyDescent="0.3">
      <c r="A2377" s="647"/>
      <c r="B2377" s="647"/>
      <c r="C2377" s="647"/>
      <c r="D2377" s="647"/>
      <c r="E2377" s="647"/>
      <c r="F2377" s="647"/>
      <c r="G2377" s="647"/>
      <c r="H2377" s="647"/>
      <c r="I2377" s="647"/>
      <c r="J2377"/>
    </row>
    <row r="2378" spans="1:10" x14ac:dyDescent="0.3">
      <c r="A2378" s="516"/>
      <c r="B2378" s="517" t="s">
        <v>15</v>
      </c>
      <c r="C2378" s="516" t="s">
        <v>16</v>
      </c>
      <c r="D2378" s="516" t="s">
        <v>17</v>
      </c>
      <c r="E2378" s="904" t="s">
        <v>2431</v>
      </c>
      <c r="F2378" s="904"/>
      <c r="G2378" s="518" t="s">
        <v>18</v>
      </c>
      <c r="H2378" s="517" t="s">
        <v>19</v>
      </c>
      <c r="I2378" s="517" t="s">
        <v>20</v>
      </c>
      <c r="J2378" s="517" t="s">
        <v>23</v>
      </c>
    </row>
    <row r="2379" spans="1:10" ht="50" x14ac:dyDescent="0.3">
      <c r="A2379" s="642" t="s">
        <v>2432</v>
      </c>
      <c r="B2379" s="643" t="s">
        <v>3385</v>
      </c>
      <c r="C2379" s="642" t="s">
        <v>32</v>
      </c>
      <c r="D2379" s="642" t="s">
        <v>3386</v>
      </c>
      <c r="E2379" s="906" t="s">
        <v>2465</v>
      </c>
      <c r="F2379" s="906"/>
      <c r="G2379" s="644" t="s">
        <v>1901</v>
      </c>
      <c r="H2379" s="645">
        <v>1</v>
      </c>
      <c r="I2379" s="646">
        <v>4.53</v>
      </c>
      <c r="J2379" s="646">
        <v>4.53</v>
      </c>
    </row>
    <row r="2380" spans="1:10" s="358" customFormat="1" ht="25" x14ac:dyDescent="0.3">
      <c r="A2380" s="519" t="s">
        <v>2437</v>
      </c>
      <c r="B2380" s="520" t="s">
        <v>3391</v>
      </c>
      <c r="C2380" s="519" t="s">
        <v>32</v>
      </c>
      <c r="D2380" s="519" t="s">
        <v>3392</v>
      </c>
      <c r="E2380" s="905" t="s">
        <v>2442</v>
      </c>
      <c r="F2380" s="905"/>
      <c r="G2380" s="521" t="s">
        <v>89</v>
      </c>
      <c r="H2380" s="522">
        <v>5.9000000000000003E-6</v>
      </c>
      <c r="I2380" s="523">
        <v>81699.7</v>
      </c>
      <c r="J2380" s="523">
        <v>0.48</v>
      </c>
    </row>
    <row r="2381" spans="1:10" ht="38" thickBot="1" x14ac:dyDescent="0.35">
      <c r="A2381" s="519" t="s">
        <v>2437</v>
      </c>
      <c r="B2381" s="520" t="s">
        <v>3393</v>
      </c>
      <c r="C2381" s="519" t="s">
        <v>32</v>
      </c>
      <c r="D2381" s="519" t="s">
        <v>3394</v>
      </c>
      <c r="E2381" s="905" t="s">
        <v>2446</v>
      </c>
      <c r="F2381" s="905"/>
      <c r="G2381" s="521" t="s">
        <v>89</v>
      </c>
      <c r="H2381" s="522">
        <v>5.6999999999999996E-6</v>
      </c>
      <c r="I2381" s="523">
        <v>710806.66</v>
      </c>
      <c r="J2381" s="523">
        <v>4.05</v>
      </c>
    </row>
    <row r="2382" spans="1:10" s="358" customFormat="1" ht="14.5" thickTop="1" x14ac:dyDescent="0.3">
      <c r="A2382" s="647"/>
      <c r="B2382" s="647"/>
      <c r="C2382" s="647"/>
      <c r="D2382" s="647"/>
      <c r="E2382" s="647"/>
      <c r="F2382" s="647"/>
      <c r="G2382" s="647"/>
      <c r="H2382" s="647"/>
      <c r="I2382" s="647"/>
      <c r="J2382"/>
    </row>
    <row r="2383" spans="1:10" x14ac:dyDescent="0.3">
      <c r="A2383" s="516"/>
      <c r="B2383" s="517" t="s">
        <v>15</v>
      </c>
      <c r="C2383" s="516" t="s">
        <v>16</v>
      </c>
      <c r="D2383" s="516" t="s">
        <v>17</v>
      </c>
      <c r="E2383" s="904" t="s">
        <v>2431</v>
      </c>
      <c r="F2383" s="904"/>
      <c r="G2383" s="518" t="s">
        <v>18</v>
      </c>
      <c r="H2383" s="517" t="s">
        <v>19</v>
      </c>
      <c r="I2383" s="517" t="s">
        <v>20</v>
      </c>
      <c r="J2383" s="517" t="s">
        <v>23</v>
      </c>
    </row>
    <row r="2384" spans="1:10" ht="50" x14ac:dyDescent="0.3">
      <c r="A2384" s="642" t="s">
        <v>2432</v>
      </c>
      <c r="B2384" s="643" t="s">
        <v>3383</v>
      </c>
      <c r="C2384" s="642" t="s">
        <v>32</v>
      </c>
      <c r="D2384" s="642" t="s">
        <v>3384</v>
      </c>
      <c r="E2384" s="906" t="s">
        <v>2465</v>
      </c>
      <c r="F2384" s="906"/>
      <c r="G2384" s="644" t="s">
        <v>1901</v>
      </c>
      <c r="H2384" s="645">
        <v>1</v>
      </c>
      <c r="I2384" s="646">
        <v>11.21</v>
      </c>
      <c r="J2384" s="646">
        <v>11.21</v>
      </c>
    </row>
    <row r="2385" spans="1:10" s="358" customFormat="1" ht="25" x14ac:dyDescent="0.3">
      <c r="A2385" s="519" t="s">
        <v>2437</v>
      </c>
      <c r="B2385" s="520" t="s">
        <v>3391</v>
      </c>
      <c r="C2385" s="519" t="s">
        <v>32</v>
      </c>
      <c r="D2385" s="519" t="s">
        <v>3392</v>
      </c>
      <c r="E2385" s="905" t="s">
        <v>2442</v>
      </c>
      <c r="F2385" s="905"/>
      <c r="G2385" s="521" t="s">
        <v>89</v>
      </c>
      <c r="H2385" s="522">
        <v>1.4600000000000001E-5</v>
      </c>
      <c r="I2385" s="523">
        <v>81699.7</v>
      </c>
      <c r="J2385" s="523">
        <v>1.19</v>
      </c>
    </row>
    <row r="2386" spans="1:10" ht="38" thickBot="1" x14ac:dyDescent="0.35">
      <c r="A2386" s="519" t="s">
        <v>2437</v>
      </c>
      <c r="B2386" s="520" t="s">
        <v>3393</v>
      </c>
      <c r="C2386" s="519" t="s">
        <v>32</v>
      </c>
      <c r="D2386" s="519" t="s">
        <v>3394</v>
      </c>
      <c r="E2386" s="905" t="s">
        <v>2446</v>
      </c>
      <c r="F2386" s="905"/>
      <c r="G2386" s="521" t="s">
        <v>89</v>
      </c>
      <c r="H2386" s="522">
        <v>1.4100000000000001E-5</v>
      </c>
      <c r="I2386" s="523">
        <v>710806.66</v>
      </c>
      <c r="J2386" s="523">
        <v>10.02</v>
      </c>
    </row>
    <row r="2387" spans="1:10" s="358" customFormat="1" ht="14.5" thickTop="1" x14ac:dyDescent="0.3">
      <c r="A2387" s="647"/>
      <c r="B2387" s="647"/>
      <c r="C2387" s="647"/>
      <c r="D2387" s="647"/>
      <c r="E2387" s="647"/>
      <c r="F2387" s="647"/>
      <c r="G2387" s="647"/>
      <c r="H2387" s="647"/>
      <c r="I2387" s="647"/>
      <c r="J2387"/>
    </row>
    <row r="2388" spans="1:10" x14ac:dyDescent="0.3">
      <c r="A2388" s="516"/>
      <c r="B2388" s="517" t="s">
        <v>15</v>
      </c>
      <c r="C2388" s="516" t="s">
        <v>16</v>
      </c>
      <c r="D2388" s="516" t="s">
        <v>17</v>
      </c>
      <c r="E2388" s="904" t="s">
        <v>2431</v>
      </c>
      <c r="F2388" s="904"/>
      <c r="G2388" s="518" t="s">
        <v>18</v>
      </c>
      <c r="H2388" s="517" t="s">
        <v>19</v>
      </c>
      <c r="I2388" s="517" t="s">
        <v>20</v>
      </c>
      <c r="J2388" s="517" t="s">
        <v>23</v>
      </c>
    </row>
    <row r="2389" spans="1:10" ht="50" x14ac:dyDescent="0.3">
      <c r="A2389" s="642" t="s">
        <v>2432</v>
      </c>
      <c r="B2389" s="643" t="s">
        <v>3387</v>
      </c>
      <c r="C2389" s="642" t="s">
        <v>32</v>
      </c>
      <c r="D2389" s="642" t="s">
        <v>3388</v>
      </c>
      <c r="E2389" s="906" t="s">
        <v>2465</v>
      </c>
      <c r="F2389" s="906"/>
      <c r="G2389" s="644" t="s">
        <v>1901</v>
      </c>
      <c r="H2389" s="645">
        <v>1</v>
      </c>
      <c r="I2389" s="646">
        <v>52.56</v>
      </c>
      <c r="J2389" s="646">
        <v>52.56</v>
      </c>
    </row>
    <row r="2390" spans="1:10" s="358" customFormat="1" ht="25" x14ac:dyDescent="0.3">
      <c r="A2390" s="519" t="s">
        <v>2437</v>
      </c>
      <c r="B2390" s="520" t="s">
        <v>3391</v>
      </c>
      <c r="C2390" s="519" t="s">
        <v>32</v>
      </c>
      <c r="D2390" s="519" t="s">
        <v>3392</v>
      </c>
      <c r="E2390" s="905" t="s">
        <v>2442</v>
      </c>
      <c r="F2390" s="905"/>
      <c r="G2390" s="521" t="s">
        <v>89</v>
      </c>
      <c r="H2390" s="522">
        <v>8.4900000000000004E-5</v>
      </c>
      <c r="I2390" s="523">
        <v>81699.7</v>
      </c>
      <c r="J2390" s="523">
        <v>6.93</v>
      </c>
    </row>
    <row r="2391" spans="1:10" ht="38" thickBot="1" x14ac:dyDescent="0.35">
      <c r="A2391" s="519" t="s">
        <v>2437</v>
      </c>
      <c r="B2391" s="520" t="s">
        <v>3393</v>
      </c>
      <c r="C2391" s="519" t="s">
        <v>32</v>
      </c>
      <c r="D2391" s="519" t="s">
        <v>3394</v>
      </c>
      <c r="E2391" s="905" t="s">
        <v>2446</v>
      </c>
      <c r="F2391" s="905"/>
      <c r="G2391" s="521" t="s">
        <v>89</v>
      </c>
      <c r="H2391" s="522">
        <v>6.4200000000000002E-5</v>
      </c>
      <c r="I2391" s="523">
        <v>710806.66</v>
      </c>
      <c r="J2391" s="523">
        <v>45.63</v>
      </c>
    </row>
    <row r="2392" spans="1:10" s="358" customFormat="1" ht="14.5" thickTop="1" x14ac:dyDescent="0.3">
      <c r="A2392" s="647"/>
      <c r="B2392" s="647"/>
      <c r="C2392" s="647"/>
      <c r="D2392" s="647"/>
      <c r="E2392" s="647"/>
      <c r="F2392" s="647"/>
      <c r="G2392" s="647"/>
      <c r="H2392" s="647"/>
      <c r="I2392" s="647"/>
      <c r="J2392"/>
    </row>
    <row r="2393" spans="1:10" x14ac:dyDescent="0.3">
      <c r="A2393" s="516"/>
      <c r="B2393" s="517" t="s">
        <v>15</v>
      </c>
      <c r="C2393" s="516" t="s">
        <v>16</v>
      </c>
      <c r="D2393" s="516" t="s">
        <v>17</v>
      </c>
      <c r="E2393" s="904" t="s">
        <v>2431</v>
      </c>
      <c r="F2393" s="904"/>
      <c r="G2393" s="518" t="s">
        <v>18</v>
      </c>
      <c r="H2393" s="517" t="s">
        <v>19</v>
      </c>
      <c r="I2393" s="517" t="s">
        <v>20</v>
      </c>
      <c r="J2393" s="517" t="s">
        <v>23</v>
      </c>
    </row>
    <row r="2394" spans="1:10" ht="50" x14ac:dyDescent="0.3">
      <c r="A2394" s="642" t="s">
        <v>2432</v>
      </c>
      <c r="B2394" s="643" t="s">
        <v>3389</v>
      </c>
      <c r="C2394" s="642" t="s">
        <v>32</v>
      </c>
      <c r="D2394" s="642" t="s">
        <v>3390</v>
      </c>
      <c r="E2394" s="906" t="s">
        <v>2465</v>
      </c>
      <c r="F2394" s="906"/>
      <c r="G2394" s="644" t="s">
        <v>1901</v>
      </c>
      <c r="H2394" s="645">
        <v>1</v>
      </c>
      <c r="I2394" s="646">
        <v>128.13999999999999</v>
      </c>
      <c r="J2394" s="646">
        <v>128.13999999999999</v>
      </c>
    </row>
    <row r="2395" spans="1:10" s="358" customFormat="1" ht="14.5" thickBot="1" x14ac:dyDescent="0.35">
      <c r="A2395" s="519" t="s">
        <v>2437</v>
      </c>
      <c r="B2395" s="520" t="s">
        <v>4485</v>
      </c>
      <c r="C2395" s="519" t="s">
        <v>125</v>
      </c>
      <c r="D2395" s="519" t="s">
        <v>4486</v>
      </c>
      <c r="E2395" s="905" t="s">
        <v>2442</v>
      </c>
      <c r="F2395" s="905"/>
      <c r="G2395" s="521" t="s">
        <v>2829</v>
      </c>
      <c r="H2395" s="522">
        <v>23.7</v>
      </c>
      <c r="I2395" s="523">
        <v>5.4069000000000003</v>
      </c>
      <c r="J2395" s="523">
        <v>128.13999999999999</v>
      </c>
    </row>
    <row r="2396" spans="1:10" ht="14.5" thickTop="1" x14ac:dyDescent="0.3">
      <c r="A2396" s="647"/>
      <c r="B2396" s="647"/>
      <c r="C2396" s="647"/>
      <c r="D2396" s="647"/>
      <c r="E2396" s="647"/>
      <c r="F2396" s="647"/>
      <c r="G2396" s="647"/>
      <c r="H2396" s="647"/>
      <c r="I2396" s="647"/>
      <c r="J2396"/>
    </row>
    <row r="2397" spans="1:10" s="358" customFormat="1" x14ac:dyDescent="0.3">
      <c r="A2397" s="516"/>
      <c r="B2397" s="517" t="s">
        <v>15</v>
      </c>
      <c r="C2397" s="516" t="s">
        <v>16</v>
      </c>
      <c r="D2397" s="516" t="s">
        <v>17</v>
      </c>
      <c r="E2397" s="904" t="s">
        <v>2431</v>
      </c>
      <c r="F2397" s="904"/>
      <c r="G2397" s="518" t="s">
        <v>18</v>
      </c>
      <c r="H2397" s="517" t="s">
        <v>19</v>
      </c>
      <c r="I2397" s="517" t="s">
        <v>20</v>
      </c>
      <c r="J2397" s="517" t="s">
        <v>23</v>
      </c>
    </row>
    <row r="2398" spans="1:10" ht="50" x14ac:dyDescent="0.3">
      <c r="A2398" s="642" t="s">
        <v>2432</v>
      </c>
      <c r="B2398" s="643" t="s">
        <v>2570</v>
      </c>
      <c r="C2398" s="642" t="s">
        <v>32</v>
      </c>
      <c r="D2398" s="642" t="s">
        <v>2571</v>
      </c>
      <c r="E2398" s="906" t="s">
        <v>2465</v>
      </c>
      <c r="F2398" s="906"/>
      <c r="G2398" s="644" t="s">
        <v>110</v>
      </c>
      <c r="H2398" s="645">
        <v>1</v>
      </c>
      <c r="I2398" s="646">
        <v>90.58</v>
      </c>
      <c r="J2398" s="646">
        <v>90.58</v>
      </c>
    </row>
    <row r="2399" spans="1:10" ht="25" x14ac:dyDescent="0.3">
      <c r="A2399" s="519" t="s">
        <v>2434</v>
      </c>
      <c r="B2399" s="520" t="s">
        <v>3379</v>
      </c>
      <c r="C2399" s="519" t="s">
        <v>32</v>
      </c>
      <c r="D2399" s="519" t="s">
        <v>3380</v>
      </c>
      <c r="E2399" s="905" t="s">
        <v>2433</v>
      </c>
      <c r="F2399" s="905"/>
      <c r="G2399" s="521" t="s">
        <v>1901</v>
      </c>
      <c r="H2399" s="522">
        <v>1</v>
      </c>
      <c r="I2399" s="523">
        <v>30.35</v>
      </c>
      <c r="J2399" s="523">
        <v>30.35</v>
      </c>
    </row>
    <row r="2400" spans="1:10" s="358" customFormat="1" ht="50" x14ac:dyDescent="0.3">
      <c r="A2400" s="519" t="s">
        <v>2434</v>
      </c>
      <c r="B2400" s="520" t="s">
        <v>3395</v>
      </c>
      <c r="C2400" s="519" t="s">
        <v>32</v>
      </c>
      <c r="D2400" s="519" t="s">
        <v>3396</v>
      </c>
      <c r="E2400" s="905" t="s">
        <v>2465</v>
      </c>
      <c r="F2400" s="905"/>
      <c r="G2400" s="521" t="s">
        <v>1901</v>
      </c>
      <c r="H2400" s="522">
        <v>1</v>
      </c>
      <c r="I2400" s="523">
        <v>40.32</v>
      </c>
      <c r="J2400" s="523">
        <v>40.32</v>
      </c>
    </row>
    <row r="2401" spans="1:10" ht="50" x14ac:dyDescent="0.3">
      <c r="A2401" s="519" t="s">
        <v>2434</v>
      </c>
      <c r="B2401" s="520" t="s">
        <v>3397</v>
      </c>
      <c r="C2401" s="519" t="s">
        <v>32</v>
      </c>
      <c r="D2401" s="519" t="s">
        <v>3398</v>
      </c>
      <c r="E2401" s="905" t="s">
        <v>2465</v>
      </c>
      <c r="F2401" s="905"/>
      <c r="G2401" s="521" t="s">
        <v>1901</v>
      </c>
      <c r="H2401" s="522">
        <v>1</v>
      </c>
      <c r="I2401" s="523">
        <v>14.18</v>
      </c>
      <c r="J2401" s="523">
        <v>14.18</v>
      </c>
    </row>
    <row r="2402" spans="1:10" s="358" customFormat="1" ht="50.5" thickBot="1" x14ac:dyDescent="0.35">
      <c r="A2402" s="519" t="s">
        <v>2434</v>
      </c>
      <c r="B2402" s="520" t="s">
        <v>3399</v>
      </c>
      <c r="C2402" s="519" t="s">
        <v>32</v>
      </c>
      <c r="D2402" s="519" t="s">
        <v>3400</v>
      </c>
      <c r="E2402" s="905" t="s">
        <v>2465</v>
      </c>
      <c r="F2402" s="905"/>
      <c r="G2402" s="521" t="s">
        <v>1901</v>
      </c>
      <c r="H2402" s="522">
        <v>1</v>
      </c>
      <c r="I2402" s="523">
        <v>5.73</v>
      </c>
      <c r="J2402" s="523">
        <v>5.73</v>
      </c>
    </row>
    <row r="2403" spans="1:10" ht="14.5" thickTop="1" x14ac:dyDescent="0.3">
      <c r="A2403" s="647"/>
      <c r="B2403" s="647"/>
      <c r="C2403" s="647"/>
      <c r="D2403" s="647"/>
      <c r="E2403" s="647"/>
      <c r="F2403" s="647"/>
      <c r="G2403" s="647"/>
      <c r="H2403" s="647"/>
      <c r="I2403" s="647"/>
      <c r="J2403"/>
    </row>
    <row r="2404" spans="1:10" s="358" customFormat="1" x14ac:dyDescent="0.3">
      <c r="A2404" s="516"/>
      <c r="B2404" s="517" t="s">
        <v>15</v>
      </c>
      <c r="C2404" s="516" t="s">
        <v>16</v>
      </c>
      <c r="D2404" s="516" t="s">
        <v>17</v>
      </c>
      <c r="E2404" s="904" t="s">
        <v>2431</v>
      </c>
      <c r="F2404" s="904"/>
      <c r="G2404" s="518" t="s">
        <v>18</v>
      </c>
      <c r="H2404" s="517" t="s">
        <v>19</v>
      </c>
      <c r="I2404" s="517" t="s">
        <v>20</v>
      </c>
      <c r="J2404" s="517" t="s">
        <v>23</v>
      </c>
    </row>
    <row r="2405" spans="1:10" ht="50" x14ac:dyDescent="0.3">
      <c r="A2405" s="642" t="s">
        <v>2432</v>
      </c>
      <c r="B2405" s="643" t="s">
        <v>2568</v>
      </c>
      <c r="C2405" s="642" t="s">
        <v>32</v>
      </c>
      <c r="D2405" s="642" t="s">
        <v>2569</v>
      </c>
      <c r="E2405" s="906" t="s">
        <v>2465</v>
      </c>
      <c r="F2405" s="906"/>
      <c r="G2405" s="644" t="s">
        <v>103</v>
      </c>
      <c r="H2405" s="645">
        <v>1</v>
      </c>
      <c r="I2405" s="646">
        <v>318.89</v>
      </c>
      <c r="J2405" s="646">
        <v>318.89</v>
      </c>
    </row>
    <row r="2406" spans="1:10" s="358" customFormat="1" ht="25" x14ac:dyDescent="0.3">
      <c r="A2406" s="519" t="s">
        <v>2434</v>
      </c>
      <c r="B2406" s="520" t="s">
        <v>3379</v>
      </c>
      <c r="C2406" s="519" t="s">
        <v>32</v>
      </c>
      <c r="D2406" s="519" t="s">
        <v>3380</v>
      </c>
      <c r="E2406" s="905" t="s">
        <v>2433</v>
      </c>
      <c r="F2406" s="905"/>
      <c r="G2406" s="521" t="s">
        <v>1901</v>
      </c>
      <c r="H2406" s="522">
        <v>1</v>
      </c>
      <c r="I2406" s="523">
        <v>30.35</v>
      </c>
      <c r="J2406" s="523">
        <v>30.35</v>
      </c>
    </row>
    <row r="2407" spans="1:10" ht="50" x14ac:dyDescent="0.3">
      <c r="A2407" s="519" t="s">
        <v>2434</v>
      </c>
      <c r="B2407" s="520" t="s">
        <v>3395</v>
      </c>
      <c r="C2407" s="519" t="s">
        <v>32</v>
      </c>
      <c r="D2407" s="519" t="s">
        <v>3396</v>
      </c>
      <c r="E2407" s="905" t="s">
        <v>2465</v>
      </c>
      <c r="F2407" s="905"/>
      <c r="G2407" s="521" t="s">
        <v>1901</v>
      </c>
      <c r="H2407" s="522">
        <v>1</v>
      </c>
      <c r="I2407" s="523">
        <v>40.32</v>
      </c>
      <c r="J2407" s="523">
        <v>40.32</v>
      </c>
    </row>
    <row r="2408" spans="1:10" ht="50" x14ac:dyDescent="0.3">
      <c r="A2408" s="519" t="s">
        <v>2434</v>
      </c>
      <c r="B2408" s="520" t="s">
        <v>3397</v>
      </c>
      <c r="C2408" s="519" t="s">
        <v>32</v>
      </c>
      <c r="D2408" s="519" t="s">
        <v>3398</v>
      </c>
      <c r="E2408" s="905" t="s">
        <v>2465</v>
      </c>
      <c r="F2408" s="905"/>
      <c r="G2408" s="521" t="s">
        <v>1901</v>
      </c>
      <c r="H2408" s="522">
        <v>1</v>
      </c>
      <c r="I2408" s="523">
        <v>14.18</v>
      </c>
      <c r="J2408" s="523">
        <v>14.18</v>
      </c>
    </row>
    <row r="2409" spans="1:10" ht="50" x14ac:dyDescent="0.3">
      <c r="A2409" s="519" t="s">
        <v>2434</v>
      </c>
      <c r="B2409" s="520" t="s">
        <v>3399</v>
      </c>
      <c r="C2409" s="519" t="s">
        <v>32</v>
      </c>
      <c r="D2409" s="519" t="s">
        <v>3400</v>
      </c>
      <c r="E2409" s="905" t="s">
        <v>2465</v>
      </c>
      <c r="F2409" s="905"/>
      <c r="G2409" s="521" t="s">
        <v>1901</v>
      </c>
      <c r="H2409" s="522">
        <v>1</v>
      </c>
      <c r="I2409" s="523">
        <v>5.73</v>
      </c>
      <c r="J2409" s="523">
        <v>5.73</v>
      </c>
    </row>
    <row r="2410" spans="1:10" ht="50" x14ac:dyDescent="0.3">
      <c r="A2410" s="519" t="s">
        <v>2434</v>
      </c>
      <c r="B2410" s="520" t="s">
        <v>3401</v>
      </c>
      <c r="C2410" s="519" t="s">
        <v>32</v>
      </c>
      <c r="D2410" s="519" t="s">
        <v>3402</v>
      </c>
      <c r="E2410" s="905" t="s">
        <v>2465</v>
      </c>
      <c r="F2410" s="905"/>
      <c r="G2410" s="521" t="s">
        <v>1901</v>
      </c>
      <c r="H2410" s="522">
        <v>1</v>
      </c>
      <c r="I2410" s="523">
        <v>68.97</v>
      </c>
      <c r="J2410" s="523">
        <v>68.97</v>
      </c>
    </row>
    <row r="2411" spans="1:10" s="358" customFormat="1" ht="50.5" thickBot="1" x14ac:dyDescent="0.35">
      <c r="A2411" s="519" t="s">
        <v>2434</v>
      </c>
      <c r="B2411" s="520" t="s">
        <v>3403</v>
      </c>
      <c r="C2411" s="519" t="s">
        <v>32</v>
      </c>
      <c r="D2411" s="519" t="s">
        <v>3404</v>
      </c>
      <c r="E2411" s="905" t="s">
        <v>2465</v>
      </c>
      <c r="F2411" s="905"/>
      <c r="G2411" s="521" t="s">
        <v>1901</v>
      </c>
      <c r="H2411" s="522">
        <v>1</v>
      </c>
      <c r="I2411" s="523">
        <v>159.34</v>
      </c>
      <c r="J2411" s="523">
        <v>159.34</v>
      </c>
    </row>
    <row r="2412" spans="1:10" ht="14.5" thickTop="1" x14ac:dyDescent="0.3">
      <c r="A2412" s="647"/>
      <c r="B2412" s="647"/>
      <c r="C2412" s="647"/>
      <c r="D2412" s="647"/>
      <c r="E2412" s="647"/>
      <c r="F2412" s="647"/>
      <c r="G2412" s="647"/>
      <c r="H2412" s="647"/>
      <c r="I2412" s="647"/>
      <c r="J2412"/>
    </row>
    <row r="2413" spans="1:10" s="358" customFormat="1" x14ac:dyDescent="0.3">
      <c r="A2413" s="516"/>
      <c r="B2413" s="517" t="s">
        <v>15</v>
      </c>
      <c r="C2413" s="516" t="s">
        <v>16</v>
      </c>
      <c r="D2413" s="516" t="s">
        <v>17</v>
      </c>
      <c r="E2413" s="904" t="s">
        <v>2431</v>
      </c>
      <c r="F2413" s="904"/>
      <c r="G2413" s="518" t="s">
        <v>18</v>
      </c>
      <c r="H2413" s="517" t="s">
        <v>19</v>
      </c>
      <c r="I2413" s="517" t="s">
        <v>20</v>
      </c>
      <c r="J2413" s="517" t="s">
        <v>23</v>
      </c>
    </row>
    <row r="2414" spans="1:10" ht="50" x14ac:dyDescent="0.3">
      <c r="A2414" s="642" t="s">
        <v>2432</v>
      </c>
      <c r="B2414" s="643" t="s">
        <v>3395</v>
      </c>
      <c r="C2414" s="642" t="s">
        <v>32</v>
      </c>
      <c r="D2414" s="642" t="s">
        <v>3396</v>
      </c>
      <c r="E2414" s="906" t="s">
        <v>2465</v>
      </c>
      <c r="F2414" s="906"/>
      <c r="G2414" s="644" t="s">
        <v>1901</v>
      </c>
      <c r="H2414" s="645">
        <v>1</v>
      </c>
      <c r="I2414" s="646">
        <v>40.32</v>
      </c>
      <c r="J2414" s="646">
        <v>40.32</v>
      </c>
    </row>
    <row r="2415" spans="1:10" ht="37.5" x14ac:dyDescent="0.3">
      <c r="A2415" s="519" t="s">
        <v>2437</v>
      </c>
      <c r="B2415" s="520" t="s">
        <v>3405</v>
      </c>
      <c r="C2415" s="519" t="s">
        <v>32</v>
      </c>
      <c r="D2415" s="519" t="s">
        <v>3406</v>
      </c>
      <c r="E2415" s="905" t="s">
        <v>2442</v>
      </c>
      <c r="F2415" s="905"/>
      <c r="G2415" s="521" t="s">
        <v>89</v>
      </c>
      <c r="H2415" s="522">
        <v>6.0300000000000002E-5</v>
      </c>
      <c r="I2415" s="523">
        <v>237841.37</v>
      </c>
      <c r="J2415" s="523">
        <v>14.34</v>
      </c>
    </row>
    <row r="2416" spans="1:10" ht="50.5" thickBot="1" x14ac:dyDescent="0.35">
      <c r="A2416" s="519" t="s">
        <v>2437</v>
      </c>
      <c r="B2416" s="520" t="s">
        <v>3407</v>
      </c>
      <c r="C2416" s="519" t="s">
        <v>32</v>
      </c>
      <c r="D2416" s="519" t="s">
        <v>3408</v>
      </c>
      <c r="E2416" s="905" t="s">
        <v>2446</v>
      </c>
      <c r="F2416" s="905"/>
      <c r="G2416" s="521" t="s">
        <v>89</v>
      </c>
      <c r="H2416" s="522">
        <v>3.4199999999999998E-5</v>
      </c>
      <c r="I2416" s="523">
        <v>759839.92</v>
      </c>
      <c r="J2416" s="523">
        <v>25.98</v>
      </c>
    </row>
    <row r="2417" spans="1:10" ht="14.5" thickTop="1" x14ac:dyDescent="0.3">
      <c r="A2417" s="647"/>
      <c r="B2417" s="647"/>
      <c r="C2417" s="647"/>
      <c r="D2417" s="647"/>
      <c r="E2417" s="647"/>
      <c r="F2417" s="647"/>
      <c r="G2417" s="647"/>
      <c r="H2417" s="647"/>
      <c r="I2417" s="647"/>
      <c r="J2417"/>
    </row>
    <row r="2418" spans="1:10" x14ac:dyDescent="0.3">
      <c r="A2418" s="516"/>
      <c r="B2418" s="517" t="s">
        <v>15</v>
      </c>
      <c r="C2418" s="516" t="s">
        <v>16</v>
      </c>
      <c r="D2418" s="516" t="s">
        <v>17</v>
      </c>
      <c r="E2418" s="904" t="s">
        <v>2431</v>
      </c>
      <c r="F2418" s="904"/>
      <c r="G2418" s="518" t="s">
        <v>18</v>
      </c>
      <c r="H2418" s="517" t="s">
        <v>19</v>
      </c>
      <c r="I2418" s="517" t="s">
        <v>20</v>
      </c>
      <c r="J2418" s="517" t="s">
        <v>23</v>
      </c>
    </row>
    <row r="2419" spans="1:10" ht="50" x14ac:dyDescent="0.3">
      <c r="A2419" s="642" t="s">
        <v>2432</v>
      </c>
      <c r="B2419" s="643" t="s">
        <v>3399</v>
      </c>
      <c r="C2419" s="642" t="s">
        <v>32</v>
      </c>
      <c r="D2419" s="642" t="s">
        <v>3400</v>
      </c>
      <c r="E2419" s="906" t="s">
        <v>2465</v>
      </c>
      <c r="F2419" s="906"/>
      <c r="G2419" s="644" t="s">
        <v>1901</v>
      </c>
      <c r="H2419" s="645">
        <v>1</v>
      </c>
      <c r="I2419" s="646">
        <v>5.73</v>
      </c>
      <c r="J2419" s="646">
        <v>5.73</v>
      </c>
    </row>
    <row r="2420" spans="1:10" s="358" customFormat="1" ht="37.5" x14ac:dyDescent="0.3">
      <c r="A2420" s="519" t="s">
        <v>2437</v>
      </c>
      <c r="B2420" s="520" t="s">
        <v>3405</v>
      </c>
      <c r="C2420" s="519" t="s">
        <v>32</v>
      </c>
      <c r="D2420" s="519" t="s">
        <v>3406</v>
      </c>
      <c r="E2420" s="905" t="s">
        <v>2442</v>
      </c>
      <c r="F2420" s="905"/>
      <c r="G2420" s="521" t="s">
        <v>89</v>
      </c>
      <c r="H2420" s="522">
        <v>5.9000000000000003E-6</v>
      </c>
      <c r="I2420" s="523">
        <v>237841.37</v>
      </c>
      <c r="J2420" s="523">
        <v>1.4</v>
      </c>
    </row>
    <row r="2421" spans="1:10" ht="50.5" thickBot="1" x14ac:dyDescent="0.35">
      <c r="A2421" s="519" t="s">
        <v>2437</v>
      </c>
      <c r="B2421" s="520" t="s">
        <v>3407</v>
      </c>
      <c r="C2421" s="519" t="s">
        <v>32</v>
      </c>
      <c r="D2421" s="519" t="s">
        <v>3408</v>
      </c>
      <c r="E2421" s="905" t="s">
        <v>2446</v>
      </c>
      <c r="F2421" s="905"/>
      <c r="G2421" s="521" t="s">
        <v>89</v>
      </c>
      <c r="H2421" s="522">
        <v>5.6999999999999996E-6</v>
      </c>
      <c r="I2421" s="523">
        <v>759839.92</v>
      </c>
      <c r="J2421" s="523">
        <v>4.33</v>
      </c>
    </row>
    <row r="2422" spans="1:10" s="358" customFormat="1" ht="14.5" thickTop="1" x14ac:dyDescent="0.3">
      <c r="A2422" s="647"/>
      <c r="B2422" s="647"/>
      <c r="C2422" s="647"/>
      <c r="D2422" s="647"/>
      <c r="E2422" s="647"/>
      <c r="F2422" s="647"/>
      <c r="G2422" s="647"/>
      <c r="H2422" s="647"/>
      <c r="I2422" s="647"/>
      <c r="J2422"/>
    </row>
    <row r="2423" spans="1:10" x14ac:dyDescent="0.3">
      <c r="A2423" s="516"/>
      <c r="B2423" s="517" t="s">
        <v>15</v>
      </c>
      <c r="C2423" s="516" t="s">
        <v>16</v>
      </c>
      <c r="D2423" s="516" t="s">
        <v>17</v>
      </c>
      <c r="E2423" s="904" t="s">
        <v>2431</v>
      </c>
      <c r="F2423" s="904"/>
      <c r="G2423" s="518" t="s">
        <v>18</v>
      </c>
      <c r="H2423" s="517" t="s">
        <v>19</v>
      </c>
      <c r="I2423" s="517" t="s">
        <v>20</v>
      </c>
      <c r="J2423" s="517" t="s">
        <v>23</v>
      </c>
    </row>
    <row r="2424" spans="1:10" ht="50" x14ac:dyDescent="0.3">
      <c r="A2424" s="642" t="s">
        <v>2432</v>
      </c>
      <c r="B2424" s="643" t="s">
        <v>3397</v>
      </c>
      <c r="C2424" s="642" t="s">
        <v>32</v>
      </c>
      <c r="D2424" s="642" t="s">
        <v>3398</v>
      </c>
      <c r="E2424" s="906" t="s">
        <v>2465</v>
      </c>
      <c r="F2424" s="906"/>
      <c r="G2424" s="644" t="s">
        <v>1901</v>
      </c>
      <c r="H2424" s="645">
        <v>1</v>
      </c>
      <c r="I2424" s="646">
        <v>14.18</v>
      </c>
      <c r="J2424" s="646">
        <v>14.18</v>
      </c>
    </row>
    <row r="2425" spans="1:10" s="358" customFormat="1" ht="37.5" x14ac:dyDescent="0.3">
      <c r="A2425" s="519" t="s">
        <v>2437</v>
      </c>
      <c r="B2425" s="520" t="s">
        <v>3405</v>
      </c>
      <c r="C2425" s="519" t="s">
        <v>32</v>
      </c>
      <c r="D2425" s="519" t="s">
        <v>3406</v>
      </c>
      <c r="E2425" s="905" t="s">
        <v>2442</v>
      </c>
      <c r="F2425" s="905"/>
      <c r="G2425" s="521" t="s">
        <v>89</v>
      </c>
      <c r="H2425" s="522">
        <v>1.4600000000000001E-5</v>
      </c>
      <c r="I2425" s="523">
        <v>237841.37</v>
      </c>
      <c r="J2425" s="523">
        <v>3.47</v>
      </c>
    </row>
    <row r="2426" spans="1:10" ht="50.5" thickBot="1" x14ac:dyDescent="0.35">
      <c r="A2426" s="519" t="s">
        <v>2437</v>
      </c>
      <c r="B2426" s="520" t="s">
        <v>3407</v>
      </c>
      <c r="C2426" s="519" t="s">
        <v>32</v>
      </c>
      <c r="D2426" s="519" t="s">
        <v>3408</v>
      </c>
      <c r="E2426" s="905" t="s">
        <v>2446</v>
      </c>
      <c r="F2426" s="905"/>
      <c r="G2426" s="521" t="s">
        <v>89</v>
      </c>
      <c r="H2426" s="522">
        <v>1.4100000000000001E-5</v>
      </c>
      <c r="I2426" s="523">
        <v>759839.92</v>
      </c>
      <c r="J2426" s="523">
        <v>10.71</v>
      </c>
    </row>
    <row r="2427" spans="1:10" s="358" customFormat="1" ht="14.5" thickTop="1" x14ac:dyDescent="0.3">
      <c r="A2427" s="647"/>
      <c r="B2427" s="647"/>
      <c r="C2427" s="647"/>
      <c r="D2427" s="647"/>
      <c r="E2427" s="647"/>
      <c r="F2427" s="647"/>
      <c r="G2427" s="647"/>
      <c r="H2427" s="647"/>
      <c r="I2427" s="647"/>
      <c r="J2427"/>
    </row>
    <row r="2428" spans="1:10" x14ac:dyDescent="0.3">
      <c r="A2428" s="516"/>
      <c r="B2428" s="517" t="s">
        <v>15</v>
      </c>
      <c r="C2428" s="516" t="s">
        <v>16</v>
      </c>
      <c r="D2428" s="516" t="s">
        <v>17</v>
      </c>
      <c r="E2428" s="904" t="s">
        <v>2431</v>
      </c>
      <c r="F2428" s="904"/>
      <c r="G2428" s="518" t="s">
        <v>18</v>
      </c>
      <c r="H2428" s="517" t="s">
        <v>19</v>
      </c>
      <c r="I2428" s="517" t="s">
        <v>20</v>
      </c>
      <c r="J2428" s="517" t="s">
        <v>23</v>
      </c>
    </row>
    <row r="2429" spans="1:10" ht="50" x14ac:dyDescent="0.3">
      <c r="A2429" s="642" t="s">
        <v>2432</v>
      </c>
      <c r="B2429" s="643" t="s">
        <v>3401</v>
      </c>
      <c r="C2429" s="642" t="s">
        <v>32</v>
      </c>
      <c r="D2429" s="642" t="s">
        <v>3402</v>
      </c>
      <c r="E2429" s="906" t="s">
        <v>2465</v>
      </c>
      <c r="F2429" s="906"/>
      <c r="G2429" s="644" t="s">
        <v>1901</v>
      </c>
      <c r="H2429" s="645">
        <v>1</v>
      </c>
      <c r="I2429" s="646">
        <v>68.97</v>
      </c>
      <c r="J2429" s="646">
        <v>68.97</v>
      </c>
    </row>
    <row r="2430" spans="1:10" s="358" customFormat="1" ht="37.5" x14ac:dyDescent="0.3">
      <c r="A2430" s="519" t="s">
        <v>2437</v>
      </c>
      <c r="B2430" s="520" t="s">
        <v>3405</v>
      </c>
      <c r="C2430" s="519" t="s">
        <v>32</v>
      </c>
      <c r="D2430" s="519" t="s">
        <v>3406</v>
      </c>
      <c r="E2430" s="905" t="s">
        <v>2442</v>
      </c>
      <c r="F2430" s="905"/>
      <c r="G2430" s="521" t="s">
        <v>89</v>
      </c>
      <c r="H2430" s="522">
        <v>8.4900000000000004E-5</v>
      </c>
      <c r="I2430" s="523">
        <v>237841.37</v>
      </c>
      <c r="J2430" s="523">
        <v>20.190000000000001</v>
      </c>
    </row>
    <row r="2431" spans="1:10" ht="50.5" thickBot="1" x14ac:dyDescent="0.35">
      <c r="A2431" s="519" t="s">
        <v>2437</v>
      </c>
      <c r="B2431" s="520" t="s">
        <v>3407</v>
      </c>
      <c r="C2431" s="519" t="s">
        <v>32</v>
      </c>
      <c r="D2431" s="519" t="s">
        <v>3408</v>
      </c>
      <c r="E2431" s="905" t="s">
        <v>2446</v>
      </c>
      <c r="F2431" s="905"/>
      <c r="G2431" s="521" t="s">
        <v>89</v>
      </c>
      <c r="H2431" s="522">
        <v>6.4200000000000002E-5</v>
      </c>
      <c r="I2431" s="523">
        <v>759839.92</v>
      </c>
      <c r="J2431" s="523">
        <v>48.78</v>
      </c>
    </row>
    <row r="2432" spans="1:10" s="358" customFormat="1" ht="14.5" thickTop="1" x14ac:dyDescent="0.3">
      <c r="A2432" s="647"/>
      <c r="B2432" s="647"/>
      <c r="C2432" s="647"/>
      <c r="D2432" s="647"/>
      <c r="E2432" s="647"/>
      <c r="F2432" s="647"/>
      <c r="G2432" s="647"/>
      <c r="H2432" s="647"/>
      <c r="I2432" s="647"/>
      <c r="J2432"/>
    </row>
    <row r="2433" spans="1:10" x14ac:dyDescent="0.3">
      <c r="A2433" s="516"/>
      <c r="B2433" s="517" t="s">
        <v>15</v>
      </c>
      <c r="C2433" s="516" t="s">
        <v>16</v>
      </c>
      <c r="D2433" s="516" t="s">
        <v>17</v>
      </c>
      <c r="E2433" s="904" t="s">
        <v>2431</v>
      </c>
      <c r="F2433" s="904"/>
      <c r="G2433" s="518" t="s">
        <v>18</v>
      </c>
      <c r="H2433" s="517" t="s">
        <v>19</v>
      </c>
      <c r="I2433" s="517" t="s">
        <v>20</v>
      </c>
      <c r="J2433" s="517" t="s">
        <v>23</v>
      </c>
    </row>
    <row r="2434" spans="1:10" ht="50" x14ac:dyDescent="0.3">
      <c r="A2434" s="642" t="s">
        <v>2432</v>
      </c>
      <c r="B2434" s="643" t="s">
        <v>3403</v>
      </c>
      <c r="C2434" s="642" t="s">
        <v>32</v>
      </c>
      <c r="D2434" s="642" t="s">
        <v>3404</v>
      </c>
      <c r="E2434" s="906" t="s">
        <v>2465</v>
      </c>
      <c r="F2434" s="906"/>
      <c r="G2434" s="644" t="s">
        <v>1901</v>
      </c>
      <c r="H2434" s="645">
        <v>1</v>
      </c>
      <c r="I2434" s="646">
        <v>159.34</v>
      </c>
      <c r="J2434" s="646">
        <v>159.34</v>
      </c>
    </row>
    <row r="2435" spans="1:10" s="358" customFormat="1" ht="14.5" thickBot="1" x14ac:dyDescent="0.35">
      <c r="A2435" s="519" t="s">
        <v>2437</v>
      </c>
      <c r="B2435" s="520" t="s">
        <v>4485</v>
      </c>
      <c r="C2435" s="519" t="s">
        <v>125</v>
      </c>
      <c r="D2435" s="519" t="s">
        <v>4486</v>
      </c>
      <c r="E2435" s="905" t="s">
        <v>2442</v>
      </c>
      <c r="F2435" s="905"/>
      <c r="G2435" s="521" t="s">
        <v>2829</v>
      </c>
      <c r="H2435" s="522">
        <v>29.47</v>
      </c>
      <c r="I2435" s="523">
        <v>5.4069000000000003</v>
      </c>
      <c r="J2435" s="523">
        <v>159.34</v>
      </c>
    </row>
    <row r="2436" spans="1:10" ht="14.5" thickTop="1" x14ac:dyDescent="0.3">
      <c r="A2436" s="647"/>
      <c r="B2436" s="647"/>
      <c r="C2436" s="647"/>
      <c r="D2436" s="647"/>
      <c r="E2436" s="647"/>
      <c r="F2436" s="647"/>
      <c r="G2436" s="647"/>
      <c r="H2436" s="647"/>
      <c r="I2436" s="647"/>
      <c r="J2436"/>
    </row>
    <row r="2437" spans="1:10" s="358" customFormat="1" x14ac:dyDescent="0.3">
      <c r="A2437" s="516"/>
      <c r="B2437" s="517" t="s">
        <v>15</v>
      </c>
      <c r="C2437" s="516" t="s">
        <v>16</v>
      </c>
      <c r="D2437" s="516" t="s">
        <v>17</v>
      </c>
      <c r="E2437" s="904" t="s">
        <v>2431</v>
      </c>
      <c r="F2437" s="904"/>
      <c r="G2437" s="518" t="s">
        <v>18</v>
      </c>
      <c r="H2437" s="517" t="s">
        <v>19</v>
      </c>
      <c r="I2437" s="517" t="s">
        <v>20</v>
      </c>
      <c r="J2437" s="517" t="s">
        <v>23</v>
      </c>
    </row>
    <row r="2438" spans="1:10" ht="38.25" customHeight="1" x14ac:dyDescent="0.3">
      <c r="A2438" s="642" t="s">
        <v>2432</v>
      </c>
      <c r="B2438" s="643" t="s">
        <v>4296</v>
      </c>
      <c r="C2438" s="642" t="s">
        <v>32</v>
      </c>
      <c r="D2438" s="642" t="s">
        <v>4297</v>
      </c>
      <c r="E2438" s="906" t="s">
        <v>2465</v>
      </c>
      <c r="F2438" s="906"/>
      <c r="G2438" s="644" t="s">
        <v>103</v>
      </c>
      <c r="H2438" s="645">
        <v>1</v>
      </c>
      <c r="I2438" s="646">
        <v>196.07</v>
      </c>
      <c r="J2438" s="646">
        <v>196.07</v>
      </c>
    </row>
    <row r="2439" spans="1:10" ht="50" x14ac:dyDescent="0.3">
      <c r="A2439" s="519" t="s">
        <v>2434</v>
      </c>
      <c r="B2439" s="520" t="s">
        <v>4321</v>
      </c>
      <c r="C2439" s="519" t="s">
        <v>32</v>
      </c>
      <c r="D2439" s="519" t="s">
        <v>4322</v>
      </c>
      <c r="E2439" s="905" t="s">
        <v>2465</v>
      </c>
      <c r="F2439" s="905"/>
      <c r="G2439" s="521" t="s">
        <v>1901</v>
      </c>
      <c r="H2439" s="522">
        <v>1</v>
      </c>
      <c r="I2439" s="523">
        <v>91.53</v>
      </c>
      <c r="J2439" s="523">
        <v>91.53</v>
      </c>
    </row>
    <row r="2440" spans="1:10" s="358" customFormat="1" ht="38.25" customHeight="1" x14ac:dyDescent="0.3">
      <c r="A2440" s="519" t="s">
        <v>2434</v>
      </c>
      <c r="B2440" s="520" t="s">
        <v>4323</v>
      </c>
      <c r="C2440" s="519" t="s">
        <v>32</v>
      </c>
      <c r="D2440" s="519" t="s">
        <v>4324</v>
      </c>
      <c r="E2440" s="905" t="s">
        <v>2465</v>
      </c>
      <c r="F2440" s="905"/>
      <c r="G2440" s="521" t="s">
        <v>1901</v>
      </c>
      <c r="H2440" s="522">
        <v>1</v>
      </c>
      <c r="I2440" s="523">
        <v>40.020000000000003</v>
      </c>
      <c r="J2440" s="523">
        <v>40.020000000000003</v>
      </c>
    </row>
    <row r="2441" spans="1:10" ht="25" x14ac:dyDescent="0.3">
      <c r="A2441" s="519" t="s">
        <v>2434</v>
      </c>
      <c r="B2441" s="520" t="s">
        <v>3379</v>
      </c>
      <c r="C2441" s="519" t="s">
        <v>32</v>
      </c>
      <c r="D2441" s="519" t="s">
        <v>3380</v>
      </c>
      <c r="E2441" s="905" t="s">
        <v>2433</v>
      </c>
      <c r="F2441" s="905"/>
      <c r="G2441" s="521" t="s">
        <v>1901</v>
      </c>
      <c r="H2441" s="522">
        <v>1</v>
      </c>
      <c r="I2441" s="523">
        <v>30.35</v>
      </c>
      <c r="J2441" s="523">
        <v>30.35</v>
      </c>
    </row>
    <row r="2442" spans="1:10" s="358" customFormat="1" ht="38.25" customHeight="1" x14ac:dyDescent="0.3">
      <c r="A2442" s="519" t="s">
        <v>2434</v>
      </c>
      <c r="B2442" s="520" t="s">
        <v>4325</v>
      </c>
      <c r="C2442" s="519" t="s">
        <v>32</v>
      </c>
      <c r="D2442" s="519" t="s">
        <v>4326</v>
      </c>
      <c r="E2442" s="905" t="s">
        <v>2465</v>
      </c>
      <c r="F2442" s="905"/>
      <c r="G2442" s="521" t="s">
        <v>1901</v>
      </c>
      <c r="H2442" s="522">
        <v>1</v>
      </c>
      <c r="I2442" s="523">
        <v>22.21</v>
      </c>
      <c r="J2442" s="523">
        <v>22.21</v>
      </c>
    </row>
    <row r="2443" spans="1:10" ht="38.25" customHeight="1" x14ac:dyDescent="0.3">
      <c r="A2443" s="519" t="s">
        <v>2434</v>
      </c>
      <c r="B2443" s="520" t="s">
        <v>4327</v>
      </c>
      <c r="C2443" s="519" t="s">
        <v>32</v>
      </c>
      <c r="D2443" s="519" t="s">
        <v>4328</v>
      </c>
      <c r="E2443" s="905" t="s">
        <v>2465</v>
      </c>
      <c r="F2443" s="905"/>
      <c r="G2443" s="521" t="s">
        <v>1901</v>
      </c>
      <c r="H2443" s="522">
        <v>1</v>
      </c>
      <c r="I2443" s="523">
        <v>8.52</v>
      </c>
      <c r="J2443" s="523">
        <v>8.52</v>
      </c>
    </row>
    <row r="2444" spans="1:10" s="358" customFormat="1" ht="50.5" thickBot="1" x14ac:dyDescent="0.35">
      <c r="A2444" s="519" t="s">
        <v>2434</v>
      </c>
      <c r="B2444" s="520" t="s">
        <v>4329</v>
      </c>
      <c r="C2444" s="519" t="s">
        <v>32</v>
      </c>
      <c r="D2444" s="519" t="s">
        <v>4330</v>
      </c>
      <c r="E2444" s="905" t="s">
        <v>2465</v>
      </c>
      <c r="F2444" s="905"/>
      <c r="G2444" s="521" t="s">
        <v>1901</v>
      </c>
      <c r="H2444" s="522">
        <v>1</v>
      </c>
      <c r="I2444" s="523">
        <v>3.44</v>
      </c>
      <c r="J2444" s="523">
        <v>3.44</v>
      </c>
    </row>
    <row r="2445" spans="1:10" ht="14.5" thickTop="1" x14ac:dyDescent="0.3">
      <c r="A2445" s="647"/>
      <c r="B2445" s="647"/>
      <c r="C2445" s="647"/>
      <c r="D2445" s="647"/>
      <c r="E2445" s="647"/>
      <c r="F2445" s="647"/>
      <c r="G2445" s="647"/>
      <c r="H2445" s="647"/>
      <c r="I2445" s="647"/>
      <c r="J2445"/>
    </row>
    <row r="2446" spans="1:10" s="358" customFormat="1" ht="38.25" customHeight="1" x14ac:dyDescent="0.3">
      <c r="A2446" s="516"/>
      <c r="B2446" s="517" t="s">
        <v>15</v>
      </c>
      <c r="C2446" s="516" t="s">
        <v>16</v>
      </c>
      <c r="D2446" s="516" t="s">
        <v>17</v>
      </c>
      <c r="E2446" s="904" t="s">
        <v>2431</v>
      </c>
      <c r="F2446" s="904"/>
      <c r="G2446" s="518" t="s">
        <v>18</v>
      </c>
      <c r="H2446" s="517" t="s">
        <v>19</v>
      </c>
      <c r="I2446" s="517" t="s">
        <v>20</v>
      </c>
      <c r="J2446" s="517" t="s">
        <v>23</v>
      </c>
    </row>
    <row r="2447" spans="1:10" ht="38.25" customHeight="1" x14ac:dyDescent="0.3">
      <c r="A2447" s="642" t="s">
        <v>2432</v>
      </c>
      <c r="B2447" s="643" t="s">
        <v>4325</v>
      </c>
      <c r="C2447" s="642" t="s">
        <v>32</v>
      </c>
      <c r="D2447" s="642" t="s">
        <v>4326</v>
      </c>
      <c r="E2447" s="906" t="s">
        <v>2465</v>
      </c>
      <c r="F2447" s="906"/>
      <c r="G2447" s="644" t="s">
        <v>1901</v>
      </c>
      <c r="H2447" s="645">
        <v>1</v>
      </c>
      <c r="I2447" s="646">
        <v>22.21</v>
      </c>
      <c r="J2447" s="646">
        <v>22.21</v>
      </c>
    </row>
    <row r="2448" spans="1:10" ht="38.25" customHeight="1" x14ac:dyDescent="0.3">
      <c r="A2448" s="519" t="s">
        <v>2437</v>
      </c>
      <c r="B2448" s="520" t="s">
        <v>4331</v>
      </c>
      <c r="C2448" s="519" t="s">
        <v>32</v>
      </c>
      <c r="D2448" s="519" t="s">
        <v>4332</v>
      </c>
      <c r="E2448" s="905" t="s">
        <v>2442</v>
      </c>
      <c r="F2448" s="905"/>
      <c r="G2448" s="521" t="s">
        <v>89</v>
      </c>
      <c r="H2448" s="522">
        <v>6.0300000000000002E-5</v>
      </c>
      <c r="I2448" s="523">
        <v>61258.13</v>
      </c>
      <c r="J2448" s="523">
        <v>3.69</v>
      </c>
    </row>
    <row r="2449" spans="1:10" ht="38" thickBot="1" x14ac:dyDescent="0.35">
      <c r="A2449" s="519" t="s">
        <v>2437</v>
      </c>
      <c r="B2449" s="520" t="s">
        <v>4333</v>
      </c>
      <c r="C2449" s="519" t="s">
        <v>32</v>
      </c>
      <c r="D2449" s="519" t="s">
        <v>4334</v>
      </c>
      <c r="E2449" s="905" t="s">
        <v>2446</v>
      </c>
      <c r="F2449" s="905"/>
      <c r="G2449" s="521" t="s">
        <v>89</v>
      </c>
      <c r="H2449" s="522">
        <v>3.4199999999999998E-5</v>
      </c>
      <c r="I2449" s="523">
        <v>541609.63</v>
      </c>
      <c r="J2449" s="523">
        <v>18.52</v>
      </c>
    </row>
    <row r="2450" spans="1:10" ht="38.25" customHeight="1" thickTop="1" x14ac:dyDescent="0.3">
      <c r="A2450" s="647"/>
      <c r="B2450" s="647"/>
      <c r="C2450" s="647"/>
      <c r="D2450" s="647"/>
      <c r="E2450" s="647"/>
      <c r="F2450" s="647"/>
      <c r="G2450" s="647"/>
      <c r="H2450" s="647"/>
      <c r="I2450" s="647"/>
      <c r="J2450"/>
    </row>
    <row r="2451" spans="1:10" ht="38.25" customHeight="1" x14ac:dyDescent="0.3">
      <c r="A2451" s="516"/>
      <c r="B2451" s="517" t="s">
        <v>15</v>
      </c>
      <c r="C2451" s="516" t="s">
        <v>16</v>
      </c>
      <c r="D2451" s="516" t="s">
        <v>17</v>
      </c>
      <c r="E2451" s="904" t="s">
        <v>2431</v>
      </c>
      <c r="F2451" s="904"/>
      <c r="G2451" s="518" t="s">
        <v>18</v>
      </c>
      <c r="H2451" s="517" t="s">
        <v>19</v>
      </c>
      <c r="I2451" s="517" t="s">
        <v>20</v>
      </c>
      <c r="J2451" s="517" t="s">
        <v>23</v>
      </c>
    </row>
    <row r="2452" spans="1:10" ht="50" x14ac:dyDescent="0.3">
      <c r="A2452" s="642" t="s">
        <v>2432</v>
      </c>
      <c r="B2452" s="643" t="s">
        <v>4329</v>
      </c>
      <c r="C2452" s="642" t="s">
        <v>32</v>
      </c>
      <c r="D2452" s="642" t="s">
        <v>4330</v>
      </c>
      <c r="E2452" s="906" t="s">
        <v>2465</v>
      </c>
      <c r="F2452" s="906"/>
      <c r="G2452" s="644" t="s">
        <v>1901</v>
      </c>
      <c r="H2452" s="645">
        <v>1</v>
      </c>
      <c r="I2452" s="646">
        <v>3.44</v>
      </c>
      <c r="J2452" s="646">
        <v>3.44</v>
      </c>
    </row>
    <row r="2453" spans="1:10" s="358" customFormat="1" ht="25" x14ac:dyDescent="0.3">
      <c r="A2453" s="519" t="s">
        <v>2437</v>
      </c>
      <c r="B2453" s="520" t="s">
        <v>4331</v>
      </c>
      <c r="C2453" s="519" t="s">
        <v>32</v>
      </c>
      <c r="D2453" s="519" t="s">
        <v>4332</v>
      </c>
      <c r="E2453" s="905" t="s">
        <v>2442</v>
      </c>
      <c r="F2453" s="905"/>
      <c r="G2453" s="521" t="s">
        <v>89</v>
      </c>
      <c r="H2453" s="522">
        <v>5.9000000000000003E-6</v>
      </c>
      <c r="I2453" s="523">
        <v>61258.13</v>
      </c>
      <c r="J2453" s="523">
        <v>0.36</v>
      </c>
    </row>
    <row r="2454" spans="1:10" ht="38" thickBot="1" x14ac:dyDescent="0.35">
      <c r="A2454" s="519" t="s">
        <v>2437</v>
      </c>
      <c r="B2454" s="520" t="s">
        <v>4333</v>
      </c>
      <c r="C2454" s="519" t="s">
        <v>32</v>
      </c>
      <c r="D2454" s="519" t="s">
        <v>4334</v>
      </c>
      <c r="E2454" s="905" t="s">
        <v>2446</v>
      </c>
      <c r="F2454" s="905"/>
      <c r="G2454" s="521" t="s">
        <v>89</v>
      </c>
      <c r="H2454" s="522">
        <v>5.6999999999999996E-6</v>
      </c>
      <c r="I2454" s="523">
        <v>541609.63</v>
      </c>
      <c r="J2454" s="523">
        <v>3.08</v>
      </c>
    </row>
    <row r="2455" spans="1:10" s="358" customFormat="1" ht="38.25" customHeight="1" thickTop="1" x14ac:dyDescent="0.3">
      <c r="A2455" s="647"/>
      <c r="B2455" s="647"/>
      <c r="C2455" s="647"/>
      <c r="D2455" s="647"/>
      <c r="E2455" s="647"/>
      <c r="F2455" s="647"/>
      <c r="G2455" s="647"/>
      <c r="H2455" s="647"/>
      <c r="I2455" s="647"/>
      <c r="J2455"/>
    </row>
    <row r="2456" spans="1:10" x14ac:dyDescent="0.3">
      <c r="A2456" s="516"/>
      <c r="B2456" s="517" t="s">
        <v>15</v>
      </c>
      <c r="C2456" s="516" t="s">
        <v>16</v>
      </c>
      <c r="D2456" s="516" t="s">
        <v>17</v>
      </c>
      <c r="E2456" s="904" t="s">
        <v>2431</v>
      </c>
      <c r="F2456" s="904"/>
      <c r="G2456" s="518" t="s">
        <v>18</v>
      </c>
      <c r="H2456" s="517" t="s">
        <v>19</v>
      </c>
      <c r="I2456" s="517" t="s">
        <v>20</v>
      </c>
      <c r="J2456" s="517" t="s">
        <v>23</v>
      </c>
    </row>
    <row r="2457" spans="1:10" ht="38.25" customHeight="1" x14ac:dyDescent="0.3">
      <c r="A2457" s="642" t="s">
        <v>2432</v>
      </c>
      <c r="B2457" s="643" t="s">
        <v>4327</v>
      </c>
      <c r="C2457" s="642" t="s">
        <v>32</v>
      </c>
      <c r="D2457" s="642" t="s">
        <v>4328</v>
      </c>
      <c r="E2457" s="906" t="s">
        <v>2465</v>
      </c>
      <c r="F2457" s="906"/>
      <c r="G2457" s="644" t="s">
        <v>1901</v>
      </c>
      <c r="H2457" s="645">
        <v>1</v>
      </c>
      <c r="I2457" s="646">
        <v>8.52</v>
      </c>
      <c r="J2457" s="646">
        <v>8.52</v>
      </c>
    </row>
    <row r="2458" spans="1:10" s="358" customFormat="1" ht="25" x14ac:dyDescent="0.3">
      <c r="A2458" s="519" t="s">
        <v>2437</v>
      </c>
      <c r="B2458" s="520" t="s">
        <v>4331</v>
      </c>
      <c r="C2458" s="519" t="s">
        <v>32</v>
      </c>
      <c r="D2458" s="519" t="s">
        <v>4332</v>
      </c>
      <c r="E2458" s="905" t="s">
        <v>2442</v>
      </c>
      <c r="F2458" s="905"/>
      <c r="G2458" s="521" t="s">
        <v>89</v>
      </c>
      <c r="H2458" s="522">
        <v>1.4600000000000001E-5</v>
      </c>
      <c r="I2458" s="523">
        <v>61258.13</v>
      </c>
      <c r="J2458" s="523">
        <v>0.89</v>
      </c>
    </row>
    <row r="2459" spans="1:10" ht="38" thickBot="1" x14ac:dyDescent="0.35">
      <c r="A2459" s="519" t="s">
        <v>2437</v>
      </c>
      <c r="B2459" s="520" t="s">
        <v>4333</v>
      </c>
      <c r="C2459" s="519" t="s">
        <v>32</v>
      </c>
      <c r="D2459" s="519" t="s">
        <v>4334</v>
      </c>
      <c r="E2459" s="905" t="s">
        <v>2446</v>
      </c>
      <c r="F2459" s="905"/>
      <c r="G2459" s="521" t="s">
        <v>89</v>
      </c>
      <c r="H2459" s="522">
        <v>1.4100000000000001E-5</v>
      </c>
      <c r="I2459" s="523">
        <v>541609.63</v>
      </c>
      <c r="J2459" s="523">
        <v>7.63</v>
      </c>
    </row>
    <row r="2460" spans="1:10" s="358" customFormat="1" ht="14.5" thickTop="1" x14ac:dyDescent="0.3">
      <c r="A2460" s="647"/>
      <c r="B2460" s="647"/>
      <c r="C2460" s="647"/>
      <c r="D2460" s="647"/>
      <c r="E2460" s="647"/>
      <c r="F2460" s="647"/>
      <c r="G2460" s="647"/>
      <c r="H2460" s="647"/>
      <c r="I2460" s="647"/>
      <c r="J2460"/>
    </row>
    <row r="2461" spans="1:10" x14ac:dyDescent="0.3">
      <c r="A2461" s="516"/>
      <c r="B2461" s="517" t="s">
        <v>15</v>
      </c>
      <c r="C2461" s="516" t="s">
        <v>16</v>
      </c>
      <c r="D2461" s="516" t="s">
        <v>17</v>
      </c>
      <c r="E2461" s="904" t="s">
        <v>2431</v>
      </c>
      <c r="F2461" s="904"/>
      <c r="G2461" s="518" t="s">
        <v>18</v>
      </c>
      <c r="H2461" s="517" t="s">
        <v>19</v>
      </c>
      <c r="I2461" s="517" t="s">
        <v>20</v>
      </c>
      <c r="J2461" s="517" t="s">
        <v>23</v>
      </c>
    </row>
    <row r="2462" spans="1:10" ht="38.25" customHeight="1" x14ac:dyDescent="0.3">
      <c r="A2462" s="642" t="s">
        <v>2432</v>
      </c>
      <c r="B2462" s="643" t="s">
        <v>4323</v>
      </c>
      <c r="C2462" s="642" t="s">
        <v>32</v>
      </c>
      <c r="D2462" s="642" t="s">
        <v>4324</v>
      </c>
      <c r="E2462" s="906" t="s">
        <v>2465</v>
      </c>
      <c r="F2462" s="906"/>
      <c r="G2462" s="644" t="s">
        <v>1901</v>
      </c>
      <c r="H2462" s="645">
        <v>1</v>
      </c>
      <c r="I2462" s="646">
        <v>40.020000000000003</v>
      </c>
      <c r="J2462" s="646">
        <v>40.020000000000003</v>
      </c>
    </row>
    <row r="2463" spans="1:10" s="358" customFormat="1" ht="25" x14ac:dyDescent="0.3">
      <c r="A2463" s="519" t="s">
        <v>2437</v>
      </c>
      <c r="B2463" s="520" t="s">
        <v>4331</v>
      </c>
      <c r="C2463" s="519" t="s">
        <v>32</v>
      </c>
      <c r="D2463" s="519" t="s">
        <v>4332</v>
      </c>
      <c r="E2463" s="905" t="s">
        <v>2442</v>
      </c>
      <c r="F2463" s="905"/>
      <c r="G2463" s="521" t="s">
        <v>89</v>
      </c>
      <c r="H2463" s="522">
        <v>8.4900000000000004E-5</v>
      </c>
      <c r="I2463" s="523">
        <v>61258.13</v>
      </c>
      <c r="J2463" s="523">
        <v>5.2</v>
      </c>
    </row>
    <row r="2464" spans="1:10" ht="38" thickBot="1" x14ac:dyDescent="0.35">
      <c r="A2464" s="519" t="s">
        <v>2437</v>
      </c>
      <c r="B2464" s="520" t="s">
        <v>4333</v>
      </c>
      <c r="C2464" s="519" t="s">
        <v>32</v>
      </c>
      <c r="D2464" s="519" t="s">
        <v>4334</v>
      </c>
      <c r="E2464" s="905" t="s">
        <v>2446</v>
      </c>
      <c r="F2464" s="905"/>
      <c r="G2464" s="521" t="s">
        <v>89</v>
      </c>
      <c r="H2464" s="522">
        <v>6.4300000000000004E-5</v>
      </c>
      <c r="I2464" s="523">
        <v>541609.63</v>
      </c>
      <c r="J2464" s="523">
        <v>34.82</v>
      </c>
    </row>
    <row r="2465" spans="1:10" s="358" customFormat="1" ht="38.25" customHeight="1" thickTop="1" x14ac:dyDescent="0.3">
      <c r="A2465" s="647"/>
      <c r="B2465" s="647"/>
      <c r="C2465" s="647"/>
      <c r="D2465" s="647"/>
      <c r="E2465" s="647"/>
      <c r="F2465" s="647"/>
      <c r="G2465" s="647"/>
      <c r="H2465" s="647"/>
      <c r="I2465" s="647"/>
      <c r="J2465"/>
    </row>
    <row r="2466" spans="1:10" x14ac:dyDescent="0.3">
      <c r="A2466" s="516"/>
      <c r="B2466" s="517" t="s">
        <v>15</v>
      </c>
      <c r="C2466" s="516" t="s">
        <v>16</v>
      </c>
      <c r="D2466" s="516" t="s">
        <v>17</v>
      </c>
      <c r="E2466" s="904" t="s">
        <v>2431</v>
      </c>
      <c r="F2466" s="904"/>
      <c r="G2466" s="518" t="s">
        <v>18</v>
      </c>
      <c r="H2466" s="517" t="s">
        <v>19</v>
      </c>
      <c r="I2466" s="517" t="s">
        <v>20</v>
      </c>
      <c r="J2466" s="517" t="s">
        <v>23</v>
      </c>
    </row>
    <row r="2467" spans="1:10" ht="50" x14ac:dyDescent="0.3">
      <c r="A2467" s="642" t="s">
        <v>2432</v>
      </c>
      <c r="B2467" s="643" t="s">
        <v>4321</v>
      </c>
      <c r="C2467" s="642" t="s">
        <v>32</v>
      </c>
      <c r="D2467" s="642" t="s">
        <v>4322</v>
      </c>
      <c r="E2467" s="906" t="s">
        <v>2465</v>
      </c>
      <c r="F2467" s="906"/>
      <c r="G2467" s="644" t="s">
        <v>1901</v>
      </c>
      <c r="H2467" s="645">
        <v>1</v>
      </c>
      <c r="I2467" s="646">
        <v>91.53</v>
      </c>
      <c r="J2467" s="646">
        <v>91.53</v>
      </c>
    </row>
    <row r="2468" spans="1:10" s="358" customFormat="1" ht="14.5" thickBot="1" x14ac:dyDescent="0.35">
      <c r="A2468" s="519" t="s">
        <v>2437</v>
      </c>
      <c r="B2468" s="520" t="s">
        <v>4485</v>
      </c>
      <c r="C2468" s="519" t="s">
        <v>125</v>
      </c>
      <c r="D2468" s="519" t="s">
        <v>4486</v>
      </c>
      <c r="E2468" s="905" t="s">
        <v>2442</v>
      </c>
      <c r="F2468" s="905"/>
      <c r="G2468" s="521" t="s">
        <v>2829</v>
      </c>
      <c r="H2468" s="522">
        <v>16.93</v>
      </c>
      <c r="I2468" s="523">
        <v>5.4069000000000003</v>
      </c>
      <c r="J2468" s="523">
        <v>91.53</v>
      </c>
    </row>
    <row r="2469" spans="1:10" ht="14.5" thickTop="1" x14ac:dyDescent="0.3">
      <c r="A2469" s="647"/>
      <c r="B2469" s="647"/>
      <c r="C2469" s="647"/>
      <c r="D2469" s="647"/>
      <c r="E2469" s="647"/>
      <c r="F2469" s="647"/>
      <c r="G2469" s="647"/>
      <c r="H2469" s="647"/>
      <c r="I2469" s="647"/>
      <c r="J2469"/>
    </row>
    <row r="2470" spans="1:10" s="358" customFormat="1" ht="38.25" customHeight="1" x14ac:dyDescent="0.3">
      <c r="A2470" s="516"/>
      <c r="B2470" s="517" t="s">
        <v>15</v>
      </c>
      <c r="C2470" s="516" t="s">
        <v>16</v>
      </c>
      <c r="D2470" s="516" t="s">
        <v>17</v>
      </c>
      <c r="E2470" s="904" t="s">
        <v>2431</v>
      </c>
      <c r="F2470" s="904"/>
      <c r="G2470" s="518" t="s">
        <v>18</v>
      </c>
      <c r="H2470" s="517" t="s">
        <v>19</v>
      </c>
      <c r="I2470" s="517" t="s">
        <v>20</v>
      </c>
      <c r="J2470" s="517" t="s">
        <v>23</v>
      </c>
    </row>
    <row r="2471" spans="1:10" ht="62.5" x14ac:dyDescent="0.3">
      <c r="A2471" s="642" t="s">
        <v>2432</v>
      </c>
      <c r="B2471" s="643" t="s">
        <v>3409</v>
      </c>
      <c r="C2471" s="642" t="s">
        <v>32</v>
      </c>
      <c r="D2471" s="642" t="s">
        <v>4335</v>
      </c>
      <c r="E2471" s="906" t="s">
        <v>2465</v>
      </c>
      <c r="F2471" s="906"/>
      <c r="G2471" s="644" t="s">
        <v>1901</v>
      </c>
      <c r="H2471" s="645">
        <v>1</v>
      </c>
      <c r="I2471" s="646">
        <v>173.88</v>
      </c>
      <c r="J2471" s="646">
        <v>173.88</v>
      </c>
    </row>
    <row r="2472" spans="1:10" ht="14.5" thickBot="1" x14ac:dyDescent="0.35">
      <c r="A2472" s="519" t="s">
        <v>2437</v>
      </c>
      <c r="B2472" s="520" t="s">
        <v>4485</v>
      </c>
      <c r="C2472" s="519" t="s">
        <v>125</v>
      </c>
      <c r="D2472" s="519" t="s">
        <v>4486</v>
      </c>
      <c r="E2472" s="905" t="s">
        <v>2442</v>
      </c>
      <c r="F2472" s="905"/>
      <c r="G2472" s="521" t="s">
        <v>2829</v>
      </c>
      <c r="H2472" s="522">
        <v>32.159999999999997</v>
      </c>
      <c r="I2472" s="523">
        <v>5.4069000000000003</v>
      </c>
      <c r="J2472" s="523">
        <v>173.88</v>
      </c>
    </row>
    <row r="2473" spans="1:10" s="358" customFormat="1" ht="14.5" thickTop="1" x14ac:dyDescent="0.3">
      <c r="A2473" s="647"/>
      <c r="B2473" s="647"/>
      <c r="C2473" s="647"/>
      <c r="D2473" s="647"/>
      <c r="E2473" s="647"/>
      <c r="F2473" s="647"/>
      <c r="G2473" s="647"/>
      <c r="H2473" s="647"/>
      <c r="I2473" s="647"/>
      <c r="J2473"/>
    </row>
    <row r="2474" spans="1:10" x14ac:dyDescent="0.3">
      <c r="A2474" s="516"/>
      <c r="B2474" s="517" t="s">
        <v>15</v>
      </c>
      <c r="C2474" s="516" t="s">
        <v>16</v>
      </c>
      <c r="D2474" s="516" t="s">
        <v>17</v>
      </c>
      <c r="E2474" s="904" t="s">
        <v>2431</v>
      </c>
      <c r="F2474" s="904"/>
      <c r="G2474" s="518" t="s">
        <v>18</v>
      </c>
      <c r="H2474" s="517" t="s">
        <v>19</v>
      </c>
      <c r="I2474" s="517" t="s">
        <v>20</v>
      </c>
      <c r="J2474" s="517" t="s">
        <v>23</v>
      </c>
    </row>
    <row r="2475" spans="1:10" s="358" customFormat="1" ht="62.5" x14ac:dyDescent="0.3">
      <c r="A2475" s="642" t="s">
        <v>2432</v>
      </c>
      <c r="B2475" s="643" t="s">
        <v>3410</v>
      </c>
      <c r="C2475" s="642" t="s">
        <v>32</v>
      </c>
      <c r="D2475" s="642" t="s">
        <v>4336</v>
      </c>
      <c r="E2475" s="906" t="s">
        <v>2465</v>
      </c>
      <c r="F2475" s="906"/>
      <c r="G2475" s="644" t="s">
        <v>1901</v>
      </c>
      <c r="H2475" s="645">
        <v>1</v>
      </c>
      <c r="I2475" s="646">
        <v>44.82</v>
      </c>
      <c r="J2475" s="646">
        <v>44.82</v>
      </c>
    </row>
    <row r="2476" spans="1:10" ht="37.5" x14ac:dyDescent="0.3">
      <c r="A2476" s="519" t="s">
        <v>2437</v>
      </c>
      <c r="B2476" s="520" t="s">
        <v>3411</v>
      </c>
      <c r="C2476" s="519" t="s">
        <v>32</v>
      </c>
      <c r="D2476" s="519" t="s">
        <v>3412</v>
      </c>
      <c r="E2476" s="905" t="s">
        <v>2785</v>
      </c>
      <c r="F2476" s="905"/>
      <c r="G2476" s="521" t="s">
        <v>89</v>
      </c>
      <c r="H2476" s="522">
        <v>7.2000000000000002E-5</v>
      </c>
      <c r="I2476" s="523">
        <v>295000</v>
      </c>
      <c r="J2476" s="523">
        <v>21.24</v>
      </c>
    </row>
    <row r="2477" spans="1:10" s="358" customFormat="1" ht="38" thickBot="1" x14ac:dyDescent="0.35">
      <c r="A2477" s="519" t="s">
        <v>2437</v>
      </c>
      <c r="B2477" s="520" t="s">
        <v>3413</v>
      </c>
      <c r="C2477" s="519" t="s">
        <v>32</v>
      </c>
      <c r="D2477" s="519" t="s">
        <v>3414</v>
      </c>
      <c r="E2477" s="905" t="s">
        <v>2785</v>
      </c>
      <c r="F2477" s="905"/>
      <c r="G2477" s="521" t="s">
        <v>89</v>
      </c>
      <c r="H2477" s="522">
        <v>3.43E-5</v>
      </c>
      <c r="I2477" s="523">
        <v>687530.9</v>
      </c>
      <c r="J2477" s="523">
        <v>23.58</v>
      </c>
    </row>
    <row r="2478" spans="1:10" ht="14.5" thickTop="1" x14ac:dyDescent="0.3">
      <c r="A2478" s="647"/>
      <c r="B2478" s="647"/>
      <c r="C2478" s="647"/>
      <c r="D2478" s="647"/>
      <c r="E2478" s="647"/>
      <c r="F2478" s="647"/>
      <c r="G2478" s="647"/>
      <c r="H2478" s="647"/>
      <c r="I2478" s="647"/>
      <c r="J2478"/>
    </row>
    <row r="2479" spans="1:10" s="358" customFormat="1" x14ac:dyDescent="0.3">
      <c r="A2479" s="516"/>
      <c r="B2479" s="517" t="s">
        <v>15</v>
      </c>
      <c r="C2479" s="516" t="s">
        <v>16</v>
      </c>
      <c r="D2479" s="516" t="s">
        <v>17</v>
      </c>
      <c r="E2479" s="904" t="s">
        <v>2431</v>
      </c>
      <c r="F2479" s="904"/>
      <c r="G2479" s="518" t="s">
        <v>18</v>
      </c>
      <c r="H2479" s="517" t="s">
        <v>19</v>
      </c>
      <c r="I2479" s="517" t="s">
        <v>20</v>
      </c>
      <c r="J2479" s="517" t="s">
        <v>23</v>
      </c>
    </row>
    <row r="2480" spans="1:10" ht="62.5" x14ac:dyDescent="0.3">
      <c r="A2480" s="642" t="s">
        <v>2432</v>
      </c>
      <c r="B2480" s="643" t="s">
        <v>3415</v>
      </c>
      <c r="C2480" s="642" t="s">
        <v>32</v>
      </c>
      <c r="D2480" s="642" t="s">
        <v>4337</v>
      </c>
      <c r="E2480" s="906" t="s">
        <v>2465</v>
      </c>
      <c r="F2480" s="906"/>
      <c r="G2480" s="644" t="s">
        <v>1901</v>
      </c>
      <c r="H2480" s="645">
        <v>1</v>
      </c>
      <c r="I2480" s="646">
        <v>5.68</v>
      </c>
      <c r="J2480" s="646">
        <v>5.68</v>
      </c>
    </row>
    <row r="2481" spans="1:10" s="358" customFormat="1" ht="37.5" x14ac:dyDescent="0.3">
      <c r="A2481" s="519" t="s">
        <v>2437</v>
      </c>
      <c r="B2481" s="520" t="s">
        <v>3411</v>
      </c>
      <c r="C2481" s="519" t="s">
        <v>32</v>
      </c>
      <c r="D2481" s="519" t="s">
        <v>3412</v>
      </c>
      <c r="E2481" s="905" t="s">
        <v>2785</v>
      </c>
      <c r="F2481" s="905"/>
      <c r="G2481" s="521" t="s">
        <v>89</v>
      </c>
      <c r="H2481" s="522">
        <v>6.0000000000000002E-6</v>
      </c>
      <c r="I2481" s="523">
        <v>295000</v>
      </c>
      <c r="J2481" s="523">
        <v>1.77</v>
      </c>
    </row>
    <row r="2482" spans="1:10" ht="38" thickBot="1" x14ac:dyDescent="0.35">
      <c r="A2482" s="519" t="s">
        <v>2437</v>
      </c>
      <c r="B2482" s="520" t="s">
        <v>3413</v>
      </c>
      <c r="C2482" s="519" t="s">
        <v>32</v>
      </c>
      <c r="D2482" s="519" t="s">
        <v>3414</v>
      </c>
      <c r="E2482" s="905" t="s">
        <v>2785</v>
      </c>
      <c r="F2482" s="905"/>
      <c r="G2482" s="521" t="s">
        <v>89</v>
      </c>
      <c r="H2482" s="522">
        <v>5.6999999999999996E-6</v>
      </c>
      <c r="I2482" s="523">
        <v>687530.9</v>
      </c>
      <c r="J2482" s="523">
        <v>3.91</v>
      </c>
    </row>
    <row r="2483" spans="1:10" s="358" customFormat="1" ht="14.5" thickTop="1" x14ac:dyDescent="0.3">
      <c r="A2483" s="647"/>
      <c r="B2483" s="647"/>
      <c r="C2483" s="647"/>
      <c r="D2483" s="647"/>
      <c r="E2483" s="647"/>
      <c r="F2483" s="647"/>
      <c r="G2483" s="647"/>
      <c r="H2483" s="647"/>
      <c r="I2483" s="647"/>
      <c r="J2483"/>
    </row>
    <row r="2484" spans="1:10" x14ac:dyDescent="0.3">
      <c r="A2484" s="516"/>
      <c r="B2484" s="517" t="s">
        <v>15</v>
      </c>
      <c r="C2484" s="516" t="s">
        <v>16</v>
      </c>
      <c r="D2484" s="516" t="s">
        <v>17</v>
      </c>
      <c r="E2484" s="904" t="s">
        <v>2431</v>
      </c>
      <c r="F2484" s="904"/>
      <c r="G2484" s="518" t="s">
        <v>18</v>
      </c>
      <c r="H2484" s="517" t="s">
        <v>19</v>
      </c>
      <c r="I2484" s="517" t="s">
        <v>20</v>
      </c>
      <c r="J2484" s="517" t="s">
        <v>23</v>
      </c>
    </row>
    <row r="2485" spans="1:10" ht="62.5" x14ac:dyDescent="0.3">
      <c r="A2485" s="642" t="s">
        <v>2432</v>
      </c>
      <c r="B2485" s="643" t="s">
        <v>3416</v>
      </c>
      <c r="C2485" s="642" t="s">
        <v>32</v>
      </c>
      <c r="D2485" s="642" t="s">
        <v>4338</v>
      </c>
      <c r="E2485" s="906" t="s">
        <v>2465</v>
      </c>
      <c r="F2485" s="906"/>
      <c r="G2485" s="644" t="s">
        <v>1901</v>
      </c>
      <c r="H2485" s="645">
        <v>1</v>
      </c>
      <c r="I2485" s="646">
        <v>14.05</v>
      </c>
      <c r="J2485" s="646">
        <v>14.05</v>
      </c>
    </row>
    <row r="2486" spans="1:10" s="358" customFormat="1" ht="37.5" x14ac:dyDescent="0.3">
      <c r="A2486" s="519" t="s">
        <v>2437</v>
      </c>
      <c r="B2486" s="520" t="s">
        <v>3411</v>
      </c>
      <c r="C2486" s="519" t="s">
        <v>32</v>
      </c>
      <c r="D2486" s="519" t="s">
        <v>3412</v>
      </c>
      <c r="E2486" s="905" t="s">
        <v>2785</v>
      </c>
      <c r="F2486" s="905"/>
      <c r="G2486" s="521" t="s">
        <v>89</v>
      </c>
      <c r="H2486" s="522">
        <v>1.4800000000000001E-5</v>
      </c>
      <c r="I2486" s="523">
        <v>295000</v>
      </c>
      <c r="J2486" s="523">
        <v>4.3600000000000003</v>
      </c>
    </row>
    <row r="2487" spans="1:10" ht="38" thickBot="1" x14ac:dyDescent="0.35">
      <c r="A2487" s="519" t="s">
        <v>2437</v>
      </c>
      <c r="B2487" s="520" t="s">
        <v>3413</v>
      </c>
      <c r="C2487" s="519" t="s">
        <v>32</v>
      </c>
      <c r="D2487" s="519" t="s">
        <v>3414</v>
      </c>
      <c r="E2487" s="905" t="s">
        <v>2785</v>
      </c>
      <c r="F2487" s="905"/>
      <c r="G2487" s="521" t="s">
        <v>89</v>
      </c>
      <c r="H2487" s="522">
        <v>1.4100000000000001E-5</v>
      </c>
      <c r="I2487" s="523">
        <v>687530.9</v>
      </c>
      <c r="J2487" s="523">
        <v>9.69</v>
      </c>
    </row>
    <row r="2488" spans="1:10" s="358" customFormat="1" ht="14.5" thickTop="1" x14ac:dyDescent="0.3">
      <c r="A2488" s="647"/>
      <c r="B2488" s="647"/>
      <c r="C2488" s="647"/>
      <c r="D2488" s="647"/>
      <c r="E2488" s="647"/>
      <c r="F2488" s="647"/>
      <c r="G2488" s="647"/>
      <c r="H2488" s="647"/>
      <c r="I2488" s="647"/>
      <c r="J2488"/>
    </row>
    <row r="2489" spans="1:10" x14ac:dyDescent="0.3">
      <c r="A2489" s="516"/>
      <c r="B2489" s="517" t="s">
        <v>15</v>
      </c>
      <c r="C2489" s="516" t="s">
        <v>16</v>
      </c>
      <c r="D2489" s="516" t="s">
        <v>17</v>
      </c>
      <c r="E2489" s="904" t="s">
        <v>2431</v>
      </c>
      <c r="F2489" s="904"/>
      <c r="G2489" s="518" t="s">
        <v>18</v>
      </c>
      <c r="H2489" s="517" t="s">
        <v>19</v>
      </c>
      <c r="I2489" s="517" t="s">
        <v>20</v>
      </c>
      <c r="J2489" s="517" t="s">
        <v>23</v>
      </c>
    </row>
    <row r="2490" spans="1:10" ht="62.5" x14ac:dyDescent="0.3">
      <c r="A2490" s="642" t="s">
        <v>2432</v>
      </c>
      <c r="B2490" s="643" t="s">
        <v>3417</v>
      </c>
      <c r="C2490" s="642" t="s">
        <v>32</v>
      </c>
      <c r="D2490" s="642" t="s">
        <v>4339</v>
      </c>
      <c r="E2490" s="906" t="s">
        <v>2465</v>
      </c>
      <c r="F2490" s="906"/>
      <c r="G2490" s="644" t="s">
        <v>1901</v>
      </c>
      <c r="H2490" s="645">
        <v>1</v>
      </c>
      <c r="I2490" s="646">
        <v>70.75</v>
      </c>
      <c r="J2490" s="646">
        <v>70.75</v>
      </c>
    </row>
    <row r="2491" spans="1:10" s="358" customFormat="1" ht="37.5" x14ac:dyDescent="0.3">
      <c r="A2491" s="519" t="s">
        <v>2437</v>
      </c>
      <c r="B2491" s="520" t="s">
        <v>3411</v>
      </c>
      <c r="C2491" s="519" t="s">
        <v>32</v>
      </c>
      <c r="D2491" s="519" t="s">
        <v>3412</v>
      </c>
      <c r="E2491" s="905" t="s">
        <v>2785</v>
      </c>
      <c r="F2491" s="905"/>
      <c r="G2491" s="521" t="s">
        <v>89</v>
      </c>
      <c r="H2491" s="522">
        <v>9.0000000000000006E-5</v>
      </c>
      <c r="I2491" s="523">
        <v>295000</v>
      </c>
      <c r="J2491" s="523">
        <v>26.55</v>
      </c>
    </row>
    <row r="2492" spans="1:10" ht="38" thickBot="1" x14ac:dyDescent="0.35">
      <c r="A2492" s="519" t="s">
        <v>2437</v>
      </c>
      <c r="B2492" s="520" t="s">
        <v>3413</v>
      </c>
      <c r="C2492" s="519" t="s">
        <v>32</v>
      </c>
      <c r="D2492" s="519" t="s">
        <v>3414</v>
      </c>
      <c r="E2492" s="905" t="s">
        <v>2785</v>
      </c>
      <c r="F2492" s="905"/>
      <c r="G2492" s="521" t="s">
        <v>89</v>
      </c>
      <c r="H2492" s="522">
        <v>6.4300000000000004E-5</v>
      </c>
      <c r="I2492" s="523">
        <v>687530.9</v>
      </c>
      <c r="J2492" s="523">
        <v>44.2</v>
      </c>
    </row>
    <row r="2493" spans="1:10" s="358" customFormat="1" ht="14.5" thickTop="1" x14ac:dyDescent="0.3">
      <c r="A2493" s="647"/>
      <c r="B2493" s="647"/>
      <c r="C2493" s="647"/>
      <c r="D2493" s="647"/>
      <c r="E2493" s="647"/>
      <c r="F2493" s="647"/>
      <c r="G2493" s="647"/>
      <c r="H2493" s="647"/>
      <c r="I2493" s="647"/>
      <c r="J2493"/>
    </row>
    <row r="2494" spans="1:10" x14ac:dyDescent="0.3">
      <c r="A2494" s="516"/>
      <c r="B2494" s="517" t="s">
        <v>15</v>
      </c>
      <c r="C2494" s="516" t="s">
        <v>16</v>
      </c>
      <c r="D2494" s="516" t="s">
        <v>17</v>
      </c>
      <c r="E2494" s="904" t="s">
        <v>2431</v>
      </c>
      <c r="F2494" s="904"/>
      <c r="G2494" s="518" t="s">
        <v>18</v>
      </c>
      <c r="H2494" s="517" t="s">
        <v>19</v>
      </c>
      <c r="I2494" s="517" t="s">
        <v>20</v>
      </c>
      <c r="J2494" s="517" t="s">
        <v>23</v>
      </c>
    </row>
    <row r="2495" spans="1:10" ht="62.5" x14ac:dyDescent="0.3">
      <c r="A2495" s="642" t="s">
        <v>2432</v>
      </c>
      <c r="B2495" s="643" t="s">
        <v>3072</v>
      </c>
      <c r="C2495" s="642" t="s">
        <v>32</v>
      </c>
      <c r="D2495" s="642" t="s">
        <v>4294</v>
      </c>
      <c r="E2495" s="906" t="s">
        <v>2465</v>
      </c>
      <c r="F2495" s="906"/>
      <c r="G2495" s="644" t="s">
        <v>103</v>
      </c>
      <c r="H2495" s="645">
        <v>1</v>
      </c>
      <c r="I2495" s="646">
        <v>338.68</v>
      </c>
      <c r="J2495" s="646">
        <v>338.68</v>
      </c>
    </row>
    <row r="2496" spans="1:10" s="358" customFormat="1" ht="25" x14ac:dyDescent="0.3">
      <c r="A2496" s="519" t="s">
        <v>2434</v>
      </c>
      <c r="B2496" s="520" t="s">
        <v>2540</v>
      </c>
      <c r="C2496" s="519" t="s">
        <v>32</v>
      </c>
      <c r="D2496" s="519" t="s">
        <v>2541</v>
      </c>
      <c r="E2496" s="905" t="s">
        <v>2433</v>
      </c>
      <c r="F2496" s="905"/>
      <c r="G2496" s="521" t="s">
        <v>1901</v>
      </c>
      <c r="H2496" s="522">
        <v>1</v>
      </c>
      <c r="I2496" s="523">
        <v>29.5</v>
      </c>
      <c r="J2496" s="523">
        <v>29.5</v>
      </c>
    </row>
    <row r="2497" spans="1:10" ht="62.5" x14ac:dyDescent="0.3">
      <c r="A2497" s="519" t="s">
        <v>2434</v>
      </c>
      <c r="B2497" s="520" t="s">
        <v>3410</v>
      </c>
      <c r="C2497" s="519" t="s">
        <v>32</v>
      </c>
      <c r="D2497" s="519" t="s">
        <v>4336</v>
      </c>
      <c r="E2497" s="905" t="s">
        <v>2465</v>
      </c>
      <c r="F2497" s="905"/>
      <c r="G2497" s="521" t="s">
        <v>1901</v>
      </c>
      <c r="H2497" s="522">
        <v>1</v>
      </c>
      <c r="I2497" s="523">
        <v>44.82</v>
      </c>
      <c r="J2497" s="523">
        <v>44.82</v>
      </c>
    </row>
    <row r="2498" spans="1:10" s="358" customFormat="1" ht="62.5" x14ac:dyDescent="0.3">
      <c r="A2498" s="519" t="s">
        <v>2434</v>
      </c>
      <c r="B2498" s="520" t="s">
        <v>3416</v>
      </c>
      <c r="C2498" s="519" t="s">
        <v>32</v>
      </c>
      <c r="D2498" s="519" t="s">
        <v>4338</v>
      </c>
      <c r="E2498" s="905" t="s">
        <v>2465</v>
      </c>
      <c r="F2498" s="905"/>
      <c r="G2498" s="521" t="s">
        <v>1901</v>
      </c>
      <c r="H2498" s="522">
        <v>1</v>
      </c>
      <c r="I2498" s="523">
        <v>14.05</v>
      </c>
      <c r="J2498" s="523">
        <v>14.05</v>
      </c>
    </row>
    <row r="2499" spans="1:10" ht="62.5" x14ac:dyDescent="0.3">
      <c r="A2499" s="519" t="s">
        <v>2434</v>
      </c>
      <c r="B2499" s="520" t="s">
        <v>3415</v>
      </c>
      <c r="C2499" s="519" t="s">
        <v>32</v>
      </c>
      <c r="D2499" s="519" t="s">
        <v>4337</v>
      </c>
      <c r="E2499" s="905" t="s">
        <v>2465</v>
      </c>
      <c r="F2499" s="905"/>
      <c r="G2499" s="521" t="s">
        <v>1901</v>
      </c>
      <c r="H2499" s="522">
        <v>1</v>
      </c>
      <c r="I2499" s="523">
        <v>5.68</v>
      </c>
      <c r="J2499" s="523">
        <v>5.68</v>
      </c>
    </row>
    <row r="2500" spans="1:10" ht="62.5" x14ac:dyDescent="0.3">
      <c r="A2500" s="519" t="s">
        <v>2434</v>
      </c>
      <c r="B2500" s="520" t="s">
        <v>3417</v>
      </c>
      <c r="C2500" s="519" t="s">
        <v>32</v>
      </c>
      <c r="D2500" s="519" t="s">
        <v>4339</v>
      </c>
      <c r="E2500" s="905" t="s">
        <v>2465</v>
      </c>
      <c r="F2500" s="905"/>
      <c r="G2500" s="521" t="s">
        <v>1901</v>
      </c>
      <c r="H2500" s="522">
        <v>1</v>
      </c>
      <c r="I2500" s="523">
        <v>70.75</v>
      </c>
      <c r="J2500" s="523">
        <v>70.75</v>
      </c>
    </row>
    <row r="2501" spans="1:10" s="358" customFormat="1" ht="63" thickBot="1" x14ac:dyDescent="0.35">
      <c r="A2501" s="519" t="s">
        <v>2434</v>
      </c>
      <c r="B2501" s="520" t="s">
        <v>3409</v>
      </c>
      <c r="C2501" s="519" t="s">
        <v>32</v>
      </c>
      <c r="D2501" s="519" t="s">
        <v>4335</v>
      </c>
      <c r="E2501" s="905" t="s">
        <v>2465</v>
      </c>
      <c r="F2501" s="905"/>
      <c r="G2501" s="521" t="s">
        <v>1901</v>
      </c>
      <c r="H2501" s="522">
        <v>1</v>
      </c>
      <c r="I2501" s="523">
        <v>173.88</v>
      </c>
      <c r="J2501" s="523">
        <v>173.88</v>
      </c>
    </row>
    <row r="2502" spans="1:10" ht="14.5" thickTop="1" x14ac:dyDescent="0.3">
      <c r="A2502" s="647"/>
      <c r="B2502" s="647"/>
      <c r="C2502" s="647"/>
      <c r="D2502" s="647"/>
      <c r="E2502" s="647"/>
      <c r="F2502" s="647"/>
      <c r="G2502" s="647"/>
      <c r="H2502" s="647"/>
      <c r="I2502" s="647"/>
      <c r="J2502"/>
    </row>
    <row r="2503" spans="1:10" s="358" customFormat="1" x14ac:dyDescent="0.3">
      <c r="A2503" s="516"/>
      <c r="B2503" s="517" t="s">
        <v>15</v>
      </c>
      <c r="C2503" s="516" t="s">
        <v>16</v>
      </c>
      <c r="D2503" s="516" t="s">
        <v>17</v>
      </c>
      <c r="E2503" s="904" t="s">
        <v>2431</v>
      </c>
      <c r="F2503" s="904"/>
      <c r="G2503" s="518" t="s">
        <v>18</v>
      </c>
      <c r="H2503" s="517" t="s">
        <v>19</v>
      </c>
      <c r="I2503" s="517" t="s">
        <v>20</v>
      </c>
      <c r="J2503" s="517" t="s">
        <v>23</v>
      </c>
    </row>
    <row r="2504" spans="1:10" ht="50" x14ac:dyDescent="0.3">
      <c r="A2504" s="642" t="s">
        <v>2432</v>
      </c>
      <c r="B2504" s="643" t="s">
        <v>2952</v>
      </c>
      <c r="C2504" s="642" t="s">
        <v>32</v>
      </c>
      <c r="D2504" s="642" t="s">
        <v>2953</v>
      </c>
      <c r="E2504" s="906" t="s">
        <v>2465</v>
      </c>
      <c r="F2504" s="906"/>
      <c r="G2504" s="644" t="s">
        <v>110</v>
      </c>
      <c r="H2504" s="645">
        <v>1</v>
      </c>
      <c r="I2504" s="646">
        <v>74.400000000000006</v>
      </c>
      <c r="J2504" s="646">
        <v>74.400000000000006</v>
      </c>
    </row>
    <row r="2505" spans="1:10" ht="25" x14ac:dyDescent="0.3">
      <c r="A2505" s="519" t="s">
        <v>2434</v>
      </c>
      <c r="B2505" s="520" t="s">
        <v>2540</v>
      </c>
      <c r="C2505" s="519" t="s">
        <v>32</v>
      </c>
      <c r="D2505" s="519" t="s">
        <v>2541</v>
      </c>
      <c r="E2505" s="905" t="s">
        <v>2433</v>
      </c>
      <c r="F2505" s="905"/>
      <c r="G2505" s="521" t="s">
        <v>1901</v>
      </c>
      <c r="H2505" s="522">
        <v>1</v>
      </c>
      <c r="I2505" s="523">
        <v>29.5</v>
      </c>
      <c r="J2505" s="523">
        <v>29.5</v>
      </c>
    </row>
    <row r="2506" spans="1:10" ht="50" x14ac:dyDescent="0.3">
      <c r="A2506" s="519" t="s">
        <v>2434</v>
      </c>
      <c r="B2506" s="520" t="s">
        <v>3418</v>
      </c>
      <c r="C2506" s="519" t="s">
        <v>32</v>
      </c>
      <c r="D2506" s="519" t="s">
        <v>3419</v>
      </c>
      <c r="E2506" s="905" t="s">
        <v>2465</v>
      </c>
      <c r="F2506" s="905"/>
      <c r="G2506" s="521" t="s">
        <v>1901</v>
      </c>
      <c r="H2506" s="522">
        <v>1</v>
      </c>
      <c r="I2506" s="523">
        <v>29.11</v>
      </c>
      <c r="J2506" s="523">
        <v>29.11</v>
      </c>
    </row>
    <row r="2507" spans="1:10" ht="50" x14ac:dyDescent="0.3">
      <c r="A2507" s="519" t="s">
        <v>2434</v>
      </c>
      <c r="B2507" s="520" t="s">
        <v>3420</v>
      </c>
      <c r="C2507" s="519" t="s">
        <v>32</v>
      </c>
      <c r="D2507" s="519" t="s">
        <v>3421</v>
      </c>
      <c r="E2507" s="905" t="s">
        <v>2465</v>
      </c>
      <c r="F2507" s="905"/>
      <c r="G2507" s="521" t="s">
        <v>1901</v>
      </c>
      <c r="H2507" s="522">
        <v>1</v>
      </c>
      <c r="I2507" s="523">
        <v>11.25</v>
      </c>
      <c r="J2507" s="523">
        <v>11.25</v>
      </c>
    </row>
    <row r="2508" spans="1:10" ht="50.5" thickBot="1" x14ac:dyDescent="0.35">
      <c r="A2508" s="519" t="s">
        <v>2434</v>
      </c>
      <c r="B2508" s="520" t="s">
        <v>3422</v>
      </c>
      <c r="C2508" s="519" t="s">
        <v>32</v>
      </c>
      <c r="D2508" s="519" t="s">
        <v>3423</v>
      </c>
      <c r="E2508" s="905" t="s">
        <v>2465</v>
      </c>
      <c r="F2508" s="905"/>
      <c r="G2508" s="521" t="s">
        <v>1901</v>
      </c>
      <c r="H2508" s="522">
        <v>1</v>
      </c>
      <c r="I2508" s="523">
        <v>4.54</v>
      </c>
      <c r="J2508" s="523">
        <v>4.54</v>
      </c>
    </row>
    <row r="2509" spans="1:10" ht="14.5" thickTop="1" x14ac:dyDescent="0.3">
      <c r="A2509" s="647"/>
      <c r="B2509" s="647"/>
      <c r="C2509" s="647"/>
      <c r="D2509" s="647"/>
      <c r="E2509" s="647"/>
      <c r="F2509" s="647"/>
      <c r="G2509" s="647"/>
      <c r="H2509" s="647"/>
      <c r="I2509" s="647"/>
      <c r="J2509"/>
    </row>
    <row r="2510" spans="1:10" s="358" customFormat="1" x14ac:dyDescent="0.3">
      <c r="A2510" s="516"/>
      <c r="B2510" s="517" t="s">
        <v>15</v>
      </c>
      <c r="C2510" s="516" t="s">
        <v>16</v>
      </c>
      <c r="D2510" s="516" t="s">
        <v>17</v>
      </c>
      <c r="E2510" s="904" t="s">
        <v>2431</v>
      </c>
      <c r="F2510" s="904"/>
      <c r="G2510" s="518" t="s">
        <v>18</v>
      </c>
      <c r="H2510" s="517" t="s">
        <v>19</v>
      </c>
      <c r="I2510" s="517" t="s">
        <v>20</v>
      </c>
      <c r="J2510" s="517" t="s">
        <v>23</v>
      </c>
    </row>
    <row r="2511" spans="1:10" ht="50" x14ac:dyDescent="0.3">
      <c r="A2511" s="642" t="s">
        <v>2432</v>
      </c>
      <c r="B2511" s="643" t="s">
        <v>2950</v>
      </c>
      <c r="C2511" s="642" t="s">
        <v>32</v>
      </c>
      <c r="D2511" s="642" t="s">
        <v>2951</v>
      </c>
      <c r="E2511" s="906" t="s">
        <v>2465</v>
      </c>
      <c r="F2511" s="906"/>
      <c r="G2511" s="644" t="s">
        <v>103</v>
      </c>
      <c r="H2511" s="645">
        <v>1</v>
      </c>
      <c r="I2511" s="646">
        <v>299.89999999999998</v>
      </c>
      <c r="J2511" s="646">
        <v>299.89999999999998</v>
      </c>
    </row>
    <row r="2512" spans="1:10" s="358" customFormat="1" ht="50" x14ac:dyDescent="0.3">
      <c r="A2512" s="519" t="s">
        <v>2434</v>
      </c>
      <c r="B2512" s="520" t="s">
        <v>3424</v>
      </c>
      <c r="C2512" s="519" t="s">
        <v>32</v>
      </c>
      <c r="D2512" s="519" t="s">
        <v>3425</v>
      </c>
      <c r="E2512" s="905" t="s">
        <v>2465</v>
      </c>
      <c r="F2512" s="905"/>
      <c r="G2512" s="521" t="s">
        <v>1901</v>
      </c>
      <c r="H2512" s="522">
        <v>1</v>
      </c>
      <c r="I2512" s="523">
        <v>173.88</v>
      </c>
      <c r="J2512" s="523">
        <v>173.88</v>
      </c>
    </row>
    <row r="2513" spans="1:10" ht="50" x14ac:dyDescent="0.3">
      <c r="A2513" s="519" t="s">
        <v>2434</v>
      </c>
      <c r="B2513" s="520" t="s">
        <v>3426</v>
      </c>
      <c r="C2513" s="519" t="s">
        <v>32</v>
      </c>
      <c r="D2513" s="519" t="s">
        <v>3427</v>
      </c>
      <c r="E2513" s="905" t="s">
        <v>2465</v>
      </c>
      <c r="F2513" s="905"/>
      <c r="G2513" s="521" t="s">
        <v>1901</v>
      </c>
      <c r="H2513" s="522">
        <v>1</v>
      </c>
      <c r="I2513" s="523">
        <v>51.62</v>
      </c>
      <c r="J2513" s="523">
        <v>51.62</v>
      </c>
    </row>
    <row r="2514" spans="1:10" ht="25" x14ac:dyDescent="0.3">
      <c r="A2514" s="519" t="s">
        <v>2434</v>
      </c>
      <c r="B2514" s="520" t="s">
        <v>2540</v>
      </c>
      <c r="C2514" s="519" t="s">
        <v>32</v>
      </c>
      <c r="D2514" s="519" t="s">
        <v>2541</v>
      </c>
      <c r="E2514" s="905" t="s">
        <v>2433</v>
      </c>
      <c r="F2514" s="905"/>
      <c r="G2514" s="521" t="s">
        <v>1901</v>
      </c>
      <c r="H2514" s="522">
        <v>1</v>
      </c>
      <c r="I2514" s="523">
        <v>29.5</v>
      </c>
      <c r="J2514" s="523">
        <v>29.5</v>
      </c>
    </row>
    <row r="2515" spans="1:10" ht="50" x14ac:dyDescent="0.3">
      <c r="A2515" s="519" t="s">
        <v>2434</v>
      </c>
      <c r="B2515" s="520" t="s">
        <v>3418</v>
      </c>
      <c r="C2515" s="519" t="s">
        <v>32</v>
      </c>
      <c r="D2515" s="519" t="s">
        <v>3419</v>
      </c>
      <c r="E2515" s="905" t="s">
        <v>2465</v>
      </c>
      <c r="F2515" s="905"/>
      <c r="G2515" s="521" t="s">
        <v>1901</v>
      </c>
      <c r="H2515" s="522">
        <v>1</v>
      </c>
      <c r="I2515" s="523">
        <v>29.11</v>
      </c>
      <c r="J2515" s="523">
        <v>29.11</v>
      </c>
    </row>
    <row r="2516" spans="1:10" ht="50" x14ac:dyDescent="0.3">
      <c r="A2516" s="519" t="s">
        <v>2434</v>
      </c>
      <c r="B2516" s="520" t="s">
        <v>3420</v>
      </c>
      <c r="C2516" s="519" t="s">
        <v>32</v>
      </c>
      <c r="D2516" s="519" t="s">
        <v>3421</v>
      </c>
      <c r="E2516" s="905" t="s">
        <v>2465</v>
      </c>
      <c r="F2516" s="905"/>
      <c r="G2516" s="521" t="s">
        <v>1901</v>
      </c>
      <c r="H2516" s="522">
        <v>1</v>
      </c>
      <c r="I2516" s="523">
        <v>11.25</v>
      </c>
      <c r="J2516" s="523">
        <v>11.25</v>
      </c>
    </row>
    <row r="2517" spans="1:10" s="358" customFormat="1" ht="50.5" thickBot="1" x14ac:dyDescent="0.35">
      <c r="A2517" s="519" t="s">
        <v>2434</v>
      </c>
      <c r="B2517" s="520" t="s">
        <v>3422</v>
      </c>
      <c r="C2517" s="519" t="s">
        <v>32</v>
      </c>
      <c r="D2517" s="519" t="s">
        <v>3423</v>
      </c>
      <c r="E2517" s="905" t="s">
        <v>2465</v>
      </c>
      <c r="F2517" s="905"/>
      <c r="G2517" s="521" t="s">
        <v>1901</v>
      </c>
      <c r="H2517" s="522">
        <v>1</v>
      </c>
      <c r="I2517" s="523">
        <v>4.54</v>
      </c>
      <c r="J2517" s="523">
        <v>4.54</v>
      </c>
    </row>
    <row r="2518" spans="1:10" ht="14.5" thickTop="1" x14ac:dyDescent="0.3">
      <c r="A2518" s="647"/>
      <c r="B2518" s="647"/>
      <c r="C2518" s="647"/>
      <c r="D2518" s="647"/>
      <c r="E2518" s="647"/>
      <c r="F2518" s="647"/>
      <c r="G2518" s="647"/>
      <c r="H2518" s="647"/>
      <c r="I2518" s="647"/>
      <c r="J2518"/>
    </row>
    <row r="2519" spans="1:10" s="358" customFormat="1" x14ac:dyDescent="0.3">
      <c r="A2519" s="516"/>
      <c r="B2519" s="517" t="s">
        <v>15</v>
      </c>
      <c r="C2519" s="516" t="s">
        <v>16</v>
      </c>
      <c r="D2519" s="516" t="s">
        <v>17</v>
      </c>
      <c r="E2519" s="904" t="s">
        <v>2431</v>
      </c>
      <c r="F2519" s="904"/>
      <c r="G2519" s="518" t="s">
        <v>18</v>
      </c>
      <c r="H2519" s="517" t="s">
        <v>19</v>
      </c>
      <c r="I2519" s="517" t="s">
        <v>20</v>
      </c>
      <c r="J2519" s="517" t="s">
        <v>23</v>
      </c>
    </row>
    <row r="2520" spans="1:10" ht="50" x14ac:dyDescent="0.3">
      <c r="A2520" s="642" t="s">
        <v>2432</v>
      </c>
      <c r="B2520" s="643" t="s">
        <v>3418</v>
      </c>
      <c r="C2520" s="642" t="s">
        <v>32</v>
      </c>
      <c r="D2520" s="642" t="s">
        <v>3419</v>
      </c>
      <c r="E2520" s="906" t="s">
        <v>2465</v>
      </c>
      <c r="F2520" s="906"/>
      <c r="G2520" s="644" t="s">
        <v>1901</v>
      </c>
      <c r="H2520" s="645">
        <v>1</v>
      </c>
      <c r="I2520" s="646">
        <v>29.11</v>
      </c>
      <c r="J2520" s="646">
        <v>29.11</v>
      </c>
    </row>
    <row r="2521" spans="1:10" ht="50" x14ac:dyDescent="0.3">
      <c r="A2521" s="519" t="s">
        <v>2437</v>
      </c>
      <c r="B2521" s="520" t="s">
        <v>3428</v>
      </c>
      <c r="C2521" s="519" t="s">
        <v>32</v>
      </c>
      <c r="D2521" s="519" t="s">
        <v>3429</v>
      </c>
      <c r="E2521" s="905" t="s">
        <v>2442</v>
      </c>
      <c r="F2521" s="905"/>
      <c r="G2521" s="521" t="s">
        <v>89</v>
      </c>
      <c r="H2521" s="522">
        <v>5.5099999999999998E-5</v>
      </c>
      <c r="I2521" s="523">
        <v>85950</v>
      </c>
      <c r="J2521" s="523">
        <v>4.7300000000000004</v>
      </c>
    </row>
    <row r="2522" spans="1:10" ht="38" thickBot="1" x14ac:dyDescent="0.35">
      <c r="A2522" s="519" t="s">
        <v>2437</v>
      </c>
      <c r="B2522" s="520" t="s">
        <v>3393</v>
      </c>
      <c r="C2522" s="519" t="s">
        <v>32</v>
      </c>
      <c r="D2522" s="519" t="s">
        <v>3394</v>
      </c>
      <c r="E2522" s="905" t="s">
        <v>2446</v>
      </c>
      <c r="F2522" s="905"/>
      <c r="G2522" s="521" t="s">
        <v>89</v>
      </c>
      <c r="H2522" s="522">
        <v>3.43E-5</v>
      </c>
      <c r="I2522" s="523">
        <v>710806.66</v>
      </c>
      <c r="J2522" s="523">
        <v>24.38</v>
      </c>
    </row>
    <row r="2523" spans="1:10" ht="14.5" thickTop="1" x14ac:dyDescent="0.3">
      <c r="A2523" s="647"/>
      <c r="B2523" s="647"/>
      <c r="C2523" s="647"/>
      <c r="D2523" s="647"/>
      <c r="E2523" s="647"/>
      <c r="F2523" s="647"/>
      <c r="G2523" s="647"/>
      <c r="H2523" s="647"/>
      <c r="I2523" s="647"/>
      <c r="J2523"/>
    </row>
    <row r="2524" spans="1:10" x14ac:dyDescent="0.3">
      <c r="A2524" s="516"/>
      <c r="B2524" s="517" t="s">
        <v>15</v>
      </c>
      <c r="C2524" s="516" t="s">
        <v>16</v>
      </c>
      <c r="D2524" s="516" t="s">
        <v>17</v>
      </c>
      <c r="E2524" s="904" t="s">
        <v>2431</v>
      </c>
      <c r="F2524" s="904"/>
      <c r="G2524" s="518" t="s">
        <v>18</v>
      </c>
      <c r="H2524" s="517" t="s">
        <v>19</v>
      </c>
      <c r="I2524" s="517" t="s">
        <v>20</v>
      </c>
      <c r="J2524" s="517" t="s">
        <v>23</v>
      </c>
    </row>
    <row r="2525" spans="1:10" ht="50" x14ac:dyDescent="0.3">
      <c r="A2525" s="642" t="s">
        <v>2432</v>
      </c>
      <c r="B2525" s="643" t="s">
        <v>3422</v>
      </c>
      <c r="C2525" s="642" t="s">
        <v>32</v>
      </c>
      <c r="D2525" s="642" t="s">
        <v>3423</v>
      </c>
      <c r="E2525" s="906" t="s">
        <v>2465</v>
      </c>
      <c r="F2525" s="906"/>
      <c r="G2525" s="644" t="s">
        <v>1901</v>
      </c>
      <c r="H2525" s="645">
        <v>1</v>
      </c>
      <c r="I2525" s="646">
        <v>4.54</v>
      </c>
      <c r="J2525" s="646">
        <v>4.54</v>
      </c>
    </row>
    <row r="2526" spans="1:10" s="358" customFormat="1" ht="50" x14ac:dyDescent="0.3">
      <c r="A2526" s="519" t="s">
        <v>2437</v>
      </c>
      <c r="B2526" s="520" t="s">
        <v>3428</v>
      </c>
      <c r="C2526" s="519" t="s">
        <v>32</v>
      </c>
      <c r="D2526" s="519" t="s">
        <v>3429</v>
      </c>
      <c r="E2526" s="905" t="s">
        <v>2442</v>
      </c>
      <c r="F2526" s="905"/>
      <c r="G2526" s="521" t="s">
        <v>89</v>
      </c>
      <c r="H2526" s="522">
        <v>5.8000000000000004E-6</v>
      </c>
      <c r="I2526" s="523">
        <v>85950</v>
      </c>
      <c r="J2526" s="523">
        <v>0.49</v>
      </c>
    </row>
    <row r="2527" spans="1:10" ht="38" thickBot="1" x14ac:dyDescent="0.35">
      <c r="A2527" s="519" t="s">
        <v>2437</v>
      </c>
      <c r="B2527" s="520" t="s">
        <v>3393</v>
      </c>
      <c r="C2527" s="519" t="s">
        <v>32</v>
      </c>
      <c r="D2527" s="519" t="s">
        <v>3394</v>
      </c>
      <c r="E2527" s="905" t="s">
        <v>2446</v>
      </c>
      <c r="F2527" s="905"/>
      <c r="G2527" s="521" t="s">
        <v>89</v>
      </c>
      <c r="H2527" s="522">
        <v>5.6999999999999996E-6</v>
      </c>
      <c r="I2527" s="523">
        <v>710806.66</v>
      </c>
      <c r="J2527" s="523">
        <v>4.05</v>
      </c>
    </row>
    <row r="2528" spans="1:10" s="358" customFormat="1" ht="14.5" thickTop="1" x14ac:dyDescent="0.3">
      <c r="A2528" s="647"/>
      <c r="B2528" s="647"/>
      <c r="C2528" s="647"/>
      <c r="D2528" s="647"/>
      <c r="E2528" s="647"/>
      <c r="F2528" s="647"/>
      <c r="G2528" s="647"/>
      <c r="H2528" s="647"/>
      <c r="I2528" s="647"/>
      <c r="J2528"/>
    </row>
    <row r="2529" spans="1:10" x14ac:dyDescent="0.3">
      <c r="A2529" s="516"/>
      <c r="B2529" s="517" t="s">
        <v>15</v>
      </c>
      <c r="C2529" s="516" t="s">
        <v>16</v>
      </c>
      <c r="D2529" s="516" t="s">
        <v>17</v>
      </c>
      <c r="E2529" s="904" t="s">
        <v>2431</v>
      </c>
      <c r="F2529" s="904"/>
      <c r="G2529" s="518" t="s">
        <v>18</v>
      </c>
      <c r="H2529" s="517" t="s">
        <v>19</v>
      </c>
      <c r="I2529" s="517" t="s">
        <v>20</v>
      </c>
      <c r="J2529" s="517" t="s">
        <v>23</v>
      </c>
    </row>
    <row r="2530" spans="1:10" ht="50" x14ac:dyDescent="0.3">
      <c r="A2530" s="642" t="s">
        <v>2432</v>
      </c>
      <c r="B2530" s="643" t="s">
        <v>3420</v>
      </c>
      <c r="C2530" s="642" t="s">
        <v>32</v>
      </c>
      <c r="D2530" s="642" t="s">
        <v>3421</v>
      </c>
      <c r="E2530" s="906" t="s">
        <v>2465</v>
      </c>
      <c r="F2530" s="906"/>
      <c r="G2530" s="644" t="s">
        <v>1901</v>
      </c>
      <c r="H2530" s="645">
        <v>1</v>
      </c>
      <c r="I2530" s="646">
        <v>11.25</v>
      </c>
      <c r="J2530" s="646">
        <v>11.25</v>
      </c>
    </row>
    <row r="2531" spans="1:10" s="358" customFormat="1" ht="50" x14ac:dyDescent="0.3">
      <c r="A2531" s="519" t="s">
        <v>2437</v>
      </c>
      <c r="B2531" s="520" t="s">
        <v>3428</v>
      </c>
      <c r="C2531" s="519" t="s">
        <v>32</v>
      </c>
      <c r="D2531" s="519" t="s">
        <v>3429</v>
      </c>
      <c r="E2531" s="905" t="s">
        <v>2442</v>
      </c>
      <c r="F2531" s="905"/>
      <c r="G2531" s="521" t="s">
        <v>89</v>
      </c>
      <c r="H2531" s="522">
        <v>1.4399999999999999E-5</v>
      </c>
      <c r="I2531" s="523">
        <v>85950</v>
      </c>
      <c r="J2531" s="523">
        <v>1.23</v>
      </c>
    </row>
    <row r="2532" spans="1:10" ht="38" thickBot="1" x14ac:dyDescent="0.35">
      <c r="A2532" s="519" t="s">
        <v>2437</v>
      </c>
      <c r="B2532" s="520" t="s">
        <v>3393</v>
      </c>
      <c r="C2532" s="519" t="s">
        <v>32</v>
      </c>
      <c r="D2532" s="519" t="s">
        <v>3394</v>
      </c>
      <c r="E2532" s="905" t="s">
        <v>2446</v>
      </c>
      <c r="F2532" s="905"/>
      <c r="G2532" s="521" t="s">
        <v>89</v>
      </c>
      <c r="H2532" s="522">
        <v>1.4100000000000001E-5</v>
      </c>
      <c r="I2532" s="523">
        <v>710806.66</v>
      </c>
      <c r="J2532" s="523">
        <v>10.02</v>
      </c>
    </row>
    <row r="2533" spans="1:10" s="358" customFormat="1" ht="14.5" thickTop="1" x14ac:dyDescent="0.3">
      <c r="A2533" s="647"/>
      <c r="B2533" s="647"/>
      <c r="C2533" s="647"/>
      <c r="D2533" s="647"/>
      <c r="E2533" s="647"/>
      <c r="F2533" s="647"/>
      <c r="G2533" s="647"/>
      <c r="H2533" s="647"/>
      <c r="I2533" s="647"/>
      <c r="J2533"/>
    </row>
    <row r="2534" spans="1:10" x14ac:dyDescent="0.3">
      <c r="A2534" s="516"/>
      <c r="B2534" s="517" t="s">
        <v>15</v>
      </c>
      <c r="C2534" s="516" t="s">
        <v>16</v>
      </c>
      <c r="D2534" s="516" t="s">
        <v>17</v>
      </c>
      <c r="E2534" s="904" t="s">
        <v>2431</v>
      </c>
      <c r="F2534" s="904"/>
      <c r="G2534" s="518" t="s">
        <v>18</v>
      </c>
      <c r="H2534" s="517" t="s">
        <v>19</v>
      </c>
      <c r="I2534" s="517" t="s">
        <v>20</v>
      </c>
      <c r="J2534" s="517" t="s">
        <v>23</v>
      </c>
    </row>
    <row r="2535" spans="1:10" ht="50" x14ac:dyDescent="0.3">
      <c r="A2535" s="642" t="s">
        <v>2432</v>
      </c>
      <c r="B2535" s="643" t="s">
        <v>3426</v>
      </c>
      <c r="C2535" s="642" t="s">
        <v>32</v>
      </c>
      <c r="D2535" s="642" t="s">
        <v>3427</v>
      </c>
      <c r="E2535" s="906" t="s">
        <v>2465</v>
      </c>
      <c r="F2535" s="906"/>
      <c r="G2535" s="644" t="s">
        <v>1901</v>
      </c>
      <c r="H2535" s="645">
        <v>1</v>
      </c>
      <c r="I2535" s="646">
        <v>51.62</v>
      </c>
      <c r="J2535" s="646">
        <v>51.62</v>
      </c>
    </row>
    <row r="2536" spans="1:10" s="358" customFormat="1" ht="50" x14ac:dyDescent="0.3">
      <c r="A2536" s="519" t="s">
        <v>2437</v>
      </c>
      <c r="B2536" s="520" t="s">
        <v>3428</v>
      </c>
      <c r="C2536" s="519" t="s">
        <v>32</v>
      </c>
      <c r="D2536" s="519" t="s">
        <v>3429</v>
      </c>
      <c r="E2536" s="905" t="s">
        <v>2442</v>
      </c>
      <c r="F2536" s="905"/>
      <c r="G2536" s="521" t="s">
        <v>89</v>
      </c>
      <c r="H2536" s="522">
        <v>6.8899999999999994E-5</v>
      </c>
      <c r="I2536" s="523">
        <v>85950</v>
      </c>
      <c r="J2536" s="523">
        <v>5.92</v>
      </c>
    </row>
    <row r="2537" spans="1:10" ht="38" thickBot="1" x14ac:dyDescent="0.35">
      <c r="A2537" s="519" t="s">
        <v>2437</v>
      </c>
      <c r="B2537" s="520" t="s">
        <v>3393</v>
      </c>
      <c r="C2537" s="519" t="s">
        <v>32</v>
      </c>
      <c r="D2537" s="519" t="s">
        <v>3394</v>
      </c>
      <c r="E2537" s="905" t="s">
        <v>2446</v>
      </c>
      <c r="F2537" s="905"/>
      <c r="G2537" s="521" t="s">
        <v>89</v>
      </c>
      <c r="H2537" s="522">
        <v>6.4300000000000004E-5</v>
      </c>
      <c r="I2537" s="523">
        <v>710806.66</v>
      </c>
      <c r="J2537" s="523">
        <v>45.7</v>
      </c>
    </row>
    <row r="2538" spans="1:10" s="358" customFormat="1" ht="14.5" thickTop="1" x14ac:dyDescent="0.3">
      <c r="A2538" s="647"/>
      <c r="B2538" s="647"/>
      <c r="C2538" s="647"/>
      <c r="D2538" s="647"/>
      <c r="E2538" s="647"/>
      <c r="F2538" s="647"/>
      <c r="G2538" s="647"/>
      <c r="H2538" s="647"/>
      <c r="I2538" s="647"/>
      <c r="J2538"/>
    </row>
    <row r="2539" spans="1:10" x14ac:dyDescent="0.3">
      <c r="A2539" s="516"/>
      <c r="B2539" s="517" t="s">
        <v>15</v>
      </c>
      <c r="C2539" s="516" t="s">
        <v>16</v>
      </c>
      <c r="D2539" s="516" t="s">
        <v>17</v>
      </c>
      <c r="E2539" s="904" t="s">
        <v>2431</v>
      </c>
      <c r="F2539" s="904"/>
      <c r="G2539" s="518" t="s">
        <v>18</v>
      </c>
      <c r="H2539" s="517" t="s">
        <v>19</v>
      </c>
      <c r="I2539" s="517" t="s">
        <v>20</v>
      </c>
      <c r="J2539" s="517" t="s">
        <v>23</v>
      </c>
    </row>
    <row r="2540" spans="1:10" ht="50" x14ac:dyDescent="0.3">
      <c r="A2540" s="642" t="s">
        <v>2432</v>
      </c>
      <c r="B2540" s="643" t="s">
        <v>3424</v>
      </c>
      <c r="C2540" s="642" t="s">
        <v>32</v>
      </c>
      <c r="D2540" s="642" t="s">
        <v>3425</v>
      </c>
      <c r="E2540" s="906" t="s">
        <v>2465</v>
      </c>
      <c r="F2540" s="906"/>
      <c r="G2540" s="644" t="s">
        <v>1901</v>
      </c>
      <c r="H2540" s="645">
        <v>1</v>
      </c>
      <c r="I2540" s="646">
        <v>173.88</v>
      </c>
      <c r="J2540" s="646">
        <v>173.88</v>
      </c>
    </row>
    <row r="2541" spans="1:10" s="358" customFormat="1" ht="14.5" thickBot="1" x14ac:dyDescent="0.35">
      <c r="A2541" s="519" t="s">
        <v>2437</v>
      </c>
      <c r="B2541" s="520" t="s">
        <v>4485</v>
      </c>
      <c r="C2541" s="519" t="s">
        <v>125</v>
      </c>
      <c r="D2541" s="519" t="s">
        <v>4486</v>
      </c>
      <c r="E2541" s="905" t="s">
        <v>2442</v>
      </c>
      <c r="F2541" s="905"/>
      <c r="G2541" s="521" t="s">
        <v>2829</v>
      </c>
      <c r="H2541" s="522">
        <v>32.159999999999997</v>
      </c>
      <c r="I2541" s="523">
        <v>5.4069000000000003</v>
      </c>
      <c r="J2541" s="523">
        <v>173.88</v>
      </c>
    </row>
    <row r="2542" spans="1:10" ht="14.5" thickTop="1" x14ac:dyDescent="0.3">
      <c r="A2542" s="647"/>
      <c r="B2542" s="647"/>
      <c r="C2542" s="647"/>
      <c r="D2542" s="647"/>
      <c r="E2542" s="647"/>
      <c r="F2542" s="647"/>
      <c r="G2542" s="647"/>
      <c r="H2542" s="647"/>
      <c r="I2542" s="647"/>
      <c r="J2542"/>
    </row>
    <row r="2543" spans="1:10" s="358" customFormat="1" x14ac:dyDescent="0.3">
      <c r="A2543" s="516"/>
      <c r="B2543" s="517" t="s">
        <v>15</v>
      </c>
      <c r="C2543" s="516" t="s">
        <v>16</v>
      </c>
      <c r="D2543" s="516" t="s">
        <v>17</v>
      </c>
      <c r="E2543" s="904" t="s">
        <v>2431</v>
      </c>
      <c r="F2543" s="904"/>
      <c r="G2543" s="518" t="s">
        <v>18</v>
      </c>
      <c r="H2543" s="517" t="s">
        <v>19</v>
      </c>
      <c r="I2543" s="517" t="s">
        <v>20</v>
      </c>
      <c r="J2543" s="517" t="s">
        <v>23</v>
      </c>
    </row>
    <row r="2544" spans="1:10" ht="50" x14ac:dyDescent="0.3">
      <c r="A2544" s="642" t="s">
        <v>2432</v>
      </c>
      <c r="B2544" s="643" t="s">
        <v>2542</v>
      </c>
      <c r="C2544" s="642" t="s">
        <v>32</v>
      </c>
      <c r="D2544" s="642" t="s">
        <v>2543</v>
      </c>
      <c r="E2544" s="906" t="s">
        <v>2465</v>
      </c>
      <c r="F2544" s="906"/>
      <c r="G2544" s="644" t="s">
        <v>1901</v>
      </c>
      <c r="H2544" s="645">
        <v>1</v>
      </c>
      <c r="I2544" s="646">
        <v>20.99</v>
      </c>
      <c r="J2544" s="646">
        <v>20.99</v>
      </c>
    </row>
    <row r="2545" spans="1:10" ht="25" x14ac:dyDescent="0.3">
      <c r="A2545" s="519" t="s">
        <v>2437</v>
      </c>
      <c r="B2545" s="520" t="s">
        <v>3430</v>
      </c>
      <c r="C2545" s="519" t="s">
        <v>32</v>
      </c>
      <c r="D2545" s="519" t="s">
        <v>3431</v>
      </c>
      <c r="E2545" s="905" t="s">
        <v>2442</v>
      </c>
      <c r="F2545" s="905"/>
      <c r="G2545" s="521" t="s">
        <v>89</v>
      </c>
      <c r="H2545" s="522">
        <v>5.5099999999999998E-5</v>
      </c>
      <c r="I2545" s="523">
        <v>71720.820000000007</v>
      </c>
      <c r="J2545" s="523">
        <v>3.95</v>
      </c>
    </row>
    <row r="2546" spans="1:10" s="358" customFormat="1" ht="38" thickBot="1" x14ac:dyDescent="0.35">
      <c r="A2546" s="519" t="s">
        <v>2437</v>
      </c>
      <c r="B2546" s="520" t="s">
        <v>3432</v>
      </c>
      <c r="C2546" s="519" t="s">
        <v>32</v>
      </c>
      <c r="D2546" s="519" t="s">
        <v>3433</v>
      </c>
      <c r="E2546" s="905" t="s">
        <v>2785</v>
      </c>
      <c r="F2546" s="905"/>
      <c r="G2546" s="521" t="s">
        <v>89</v>
      </c>
      <c r="H2546" s="522">
        <v>3.43E-5</v>
      </c>
      <c r="I2546" s="523">
        <v>496848.5</v>
      </c>
      <c r="J2546" s="523">
        <v>17.04</v>
      </c>
    </row>
    <row r="2547" spans="1:10" ht="14.5" thickTop="1" x14ac:dyDescent="0.3">
      <c r="A2547" s="647"/>
      <c r="B2547" s="647"/>
      <c r="C2547" s="647"/>
      <c r="D2547" s="647"/>
      <c r="E2547" s="647"/>
      <c r="F2547" s="647"/>
      <c r="G2547" s="647"/>
      <c r="H2547" s="647"/>
      <c r="I2547" s="647"/>
      <c r="J2547"/>
    </row>
    <row r="2548" spans="1:10" s="358" customFormat="1" x14ac:dyDescent="0.3">
      <c r="A2548" s="516"/>
      <c r="B2548" s="517" t="s">
        <v>15</v>
      </c>
      <c r="C2548" s="516" t="s">
        <v>16</v>
      </c>
      <c r="D2548" s="516" t="s">
        <v>17</v>
      </c>
      <c r="E2548" s="904" t="s">
        <v>2431</v>
      </c>
      <c r="F2548" s="904"/>
      <c r="G2548" s="518" t="s">
        <v>18</v>
      </c>
      <c r="H2548" s="517" t="s">
        <v>19</v>
      </c>
      <c r="I2548" s="517" t="s">
        <v>20</v>
      </c>
      <c r="J2548" s="517" t="s">
        <v>23</v>
      </c>
    </row>
    <row r="2549" spans="1:10" ht="50" x14ac:dyDescent="0.3">
      <c r="A2549" s="642" t="s">
        <v>2432</v>
      </c>
      <c r="B2549" s="643" t="s">
        <v>2546</v>
      </c>
      <c r="C2549" s="642" t="s">
        <v>32</v>
      </c>
      <c r="D2549" s="642" t="s">
        <v>2547</v>
      </c>
      <c r="E2549" s="906" t="s">
        <v>2465</v>
      </c>
      <c r="F2549" s="906"/>
      <c r="G2549" s="644" t="s">
        <v>1901</v>
      </c>
      <c r="H2549" s="645">
        <v>1</v>
      </c>
      <c r="I2549" s="646">
        <v>3.24</v>
      </c>
      <c r="J2549" s="646">
        <v>3.24</v>
      </c>
    </row>
    <row r="2550" spans="1:10" s="358" customFormat="1" ht="25" x14ac:dyDescent="0.3">
      <c r="A2550" s="519" t="s">
        <v>2437</v>
      </c>
      <c r="B2550" s="520" t="s">
        <v>3430</v>
      </c>
      <c r="C2550" s="519" t="s">
        <v>32</v>
      </c>
      <c r="D2550" s="519" t="s">
        <v>3431</v>
      </c>
      <c r="E2550" s="905" t="s">
        <v>2442</v>
      </c>
      <c r="F2550" s="905"/>
      <c r="G2550" s="521" t="s">
        <v>89</v>
      </c>
      <c r="H2550" s="522">
        <v>5.8000000000000004E-6</v>
      </c>
      <c r="I2550" s="523">
        <v>71720.820000000007</v>
      </c>
      <c r="J2550" s="523">
        <v>0.41</v>
      </c>
    </row>
    <row r="2551" spans="1:10" ht="38" thickBot="1" x14ac:dyDescent="0.35">
      <c r="A2551" s="519" t="s">
        <v>2437</v>
      </c>
      <c r="B2551" s="520" t="s">
        <v>3432</v>
      </c>
      <c r="C2551" s="519" t="s">
        <v>32</v>
      </c>
      <c r="D2551" s="519" t="s">
        <v>3433</v>
      </c>
      <c r="E2551" s="905" t="s">
        <v>2785</v>
      </c>
      <c r="F2551" s="905"/>
      <c r="G2551" s="521" t="s">
        <v>89</v>
      </c>
      <c r="H2551" s="522">
        <v>5.6999999999999996E-6</v>
      </c>
      <c r="I2551" s="523">
        <v>496848.5</v>
      </c>
      <c r="J2551" s="523">
        <v>2.83</v>
      </c>
    </row>
    <row r="2552" spans="1:10" s="358" customFormat="1" ht="14.5" thickTop="1" x14ac:dyDescent="0.3">
      <c r="A2552" s="647"/>
      <c r="B2552" s="647"/>
      <c r="C2552" s="647"/>
      <c r="D2552" s="647"/>
      <c r="E2552" s="647"/>
      <c r="F2552" s="647"/>
      <c r="G2552" s="647"/>
      <c r="H2552" s="647"/>
      <c r="I2552" s="647"/>
      <c r="J2552"/>
    </row>
    <row r="2553" spans="1:10" x14ac:dyDescent="0.3">
      <c r="A2553" s="516"/>
      <c r="B2553" s="517" t="s">
        <v>15</v>
      </c>
      <c r="C2553" s="516" t="s">
        <v>16</v>
      </c>
      <c r="D2553" s="516" t="s">
        <v>17</v>
      </c>
      <c r="E2553" s="904" t="s">
        <v>2431</v>
      </c>
      <c r="F2553" s="904"/>
      <c r="G2553" s="518" t="s">
        <v>18</v>
      </c>
      <c r="H2553" s="517" t="s">
        <v>19</v>
      </c>
      <c r="I2553" s="517" t="s">
        <v>20</v>
      </c>
      <c r="J2553" s="517" t="s">
        <v>23</v>
      </c>
    </row>
    <row r="2554" spans="1:10" ht="38.25" customHeight="1" x14ac:dyDescent="0.3">
      <c r="A2554" s="642" t="s">
        <v>2432</v>
      </c>
      <c r="B2554" s="643" t="s">
        <v>2544</v>
      </c>
      <c r="C2554" s="642" t="s">
        <v>32</v>
      </c>
      <c r="D2554" s="642" t="s">
        <v>2545</v>
      </c>
      <c r="E2554" s="906" t="s">
        <v>2465</v>
      </c>
      <c r="F2554" s="906"/>
      <c r="G2554" s="644" t="s">
        <v>1901</v>
      </c>
      <c r="H2554" s="645">
        <v>1</v>
      </c>
      <c r="I2554" s="646">
        <v>8.0299999999999994</v>
      </c>
      <c r="J2554" s="646">
        <v>8.0299999999999994</v>
      </c>
    </row>
    <row r="2555" spans="1:10" s="358" customFormat="1" ht="25" x14ac:dyDescent="0.3">
      <c r="A2555" s="519" t="s">
        <v>2437</v>
      </c>
      <c r="B2555" s="520" t="s">
        <v>3430</v>
      </c>
      <c r="C2555" s="519" t="s">
        <v>32</v>
      </c>
      <c r="D2555" s="519" t="s">
        <v>3431</v>
      </c>
      <c r="E2555" s="905" t="s">
        <v>2442</v>
      </c>
      <c r="F2555" s="905"/>
      <c r="G2555" s="521" t="s">
        <v>89</v>
      </c>
      <c r="H2555" s="522">
        <v>1.4399999999999999E-5</v>
      </c>
      <c r="I2555" s="523">
        <v>71720.820000000007</v>
      </c>
      <c r="J2555" s="523">
        <v>1.03</v>
      </c>
    </row>
    <row r="2556" spans="1:10" ht="38" thickBot="1" x14ac:dyDescent="0.35">
      <c r="A2556" s="519" t="s">
        <v>2437</v>
      </c>
      <c r="B2556" s="520" t="s">
        <v>3432</v>
      </c>
      <c r="C2556" s="519" t="s">
        <v>32</v>
      </c>
      <c r="D2556" s="519" t="s">
        <v>3433</v>
      </c>
      <c r="E2556" s="905" t="s">
        <v>2785</v>
      </c>
      <c r="F2556" s="905"/>
      <c r="G2556" s="521" t="s">
        <v>89</v>
      </c>
      <c r="H2556" s="522">
        <v>1.4100000000000001E-5</v>
      </c>
      <c r="I2556" s="523">
        <v>496848.5</v>
      </c>
      <c r="J2556" s="523">
        <v>7</v>
      </c>
    </row>
    <row r="2557" spans="1:10" s="358" customFormat="1" ht="14.5" thickTop="1" x14ac:dyDescent="0.3">
      <c r="A2557" s="647"/>
      <c r="B2557" s="647"/>
      <c r="C2557" s="647"/>
      <c r="D2557" s="647"/>
      <c r="E2557" s="647"/>
      <c r="F2557" s="647"/>
      <c r="G2557" s="647"/>
      <c r="H2557" s="647"/>
      <c r="I2557" s="647"/>
      <c r="J2557"/>
    </row>
    <row r="2558" spans="1:10" x14ac:dyDescent="0.3">
      <c r="A2558" s="516"/>
      <c r="B2558" s="517" t="s">
        <v>15</v>
      </c>
      <c r="C2558" s="516" t="s">
        <v>16</v>
      </c>
      <c r="D2558" s="516" t="s">
        <v>17</v>
      </c>
      <c r="E2558" s="904" t="s">
        <v>2431</v>
      </c>
      <c r="F2558" s="904"/>
      <c r="G2558" s="518" t="s">
        <v>18</v>
      </c>
      <c r="H2558" s="517" t="s">
        <v>19</v>
      </c>
      <c r="I2558" s="517" t="s">
        <v>20</v>
      </c>
      <c r="J2558" s="517" t="s">
        <v>23</v>
      </c>
    </row>
    <row r="2559" spans="1:10" ht="50" x14ac:dyDescent="0.3">
      <c r="A2559" s="642" t="s">
        <v>2432</v>
      </c>
      <c r="B2559" s="643" t="s">
        <v>2536</v>
      </c>
      <c r="C2559" s="642" t="s">
        <v>32</v>
      </c>
      <c r="D2559" s="642" t="s">
        <v>2537</v>
      </c>
      <c r="E2559" s="906" t="s">
        <v>2465</v>
      </c>
      <c r="F2559" s="906"/>
      <c r="G2559" s="644" t="s">
        <v>1901</v>
      </c>
      <c r="H2559" s="645">
        <v>1</v>
      </c>
      <c r="I2559" s="646">
        <v>36.880000000000003</v>
      </c>
      <c r="J2559" s="646">
        <v>36.880000000000003</v>
      </c>
    </row>
    <row r="2560" spans="1:10" s="358" customFormat="1" ht="25" x14ac:dyDescent="0.3">
      <c r="A2560" s="519" t="s">
        <v>2437</v>
      </c>
      <c r="B2560" s="520" t="s">
        <v>3430</v>
      </c>
      <c r="C2560" s="519" t="s">
        <v>32</v>
      </c>
      <c r="D2560" s="519" t="s">
        <v>3431</v>
      </c>
      <c r="E2560" s="905" t="s">
        <v>2442</v>
      </c>
      <c r="F2560" s="905"/>
      <c r="G2560" s="521" t="s">
        <v>89</v>
      </c>
      <c r="H2560" s="522">
        <v>6.8899999999999994E-5</v>
      </c>
      <c r="I2560" s="523">
        <v>71720.820000000007</v>
      </c>
      <c r="J2560" s="523">
        <v>4.9400000000000004</v>
      </c>
    </row>
    <row r="2561" spans="1:10" ht="38" thickBot="1" x14ac:dyDescent="0.35">
      <c r="A2561" s="519" t="s">
        <v>2437</v>
      </c>
      <c r="B2561" s="520" t="s">
        <v>3432</v>
      </c>
      <c r="C2561" s="519" t="s">
        <v>32</v>
      </c>
      <c r="D2561" s="519" t="s">
        <v>3433</v>
      </c>
      <c r="E2561" s="905" t="s">
        <v>2785</v>
      </c>
      <c r="F2561" s="905"/>
      <c r="G2561" s="521" t="s">
        <v>89</v>
      </c>
      <c r="H2561" s="522">
        <v>6.4300000000000004E-5</v>
      </c>
      <c r="I2561" s="523">
        <v>496848.5</v>
      </c>
      <c r="J2561" s="523">
        <v>31.94</v>
      </c>
    </row>
    <row r="2562" spans="1:10" s="358" customFormat="1" ht="38.25" customHeight="1" thickTop="1" x14ac:dyDescent="0.3">
      <c r="A2562" s="647"/>
      <c r="B2562" s="647"/>
      <c r="C2562" s="647"/>
      <c r="D2562" s="647"/>
      <c r="E2562" s="647"/>
      <c r="F2562" s="647"/>
      <c r="G2562" s="647"/>
      <c r="H2562" s="647"/>
      <c r="I2562" s="647"/>
      <c r="J2562"/>
    </row>
    <row r="2563" spans="1:10" x14ac:dyDescent="0.3">
      <c r="A2563" s="516"/>
      <c r="B2563" s="517" t="s">
        <v>15</v>
      </c>
      <c r="C2563" s="516" t="s">
        <v>16</v>
      </c>
      <c r="D2563" s="516" t="s">
        <v>17</v>
      </c>
      <c r="E2563" s="904" t="s">
        <v>2431</v>
      </c>
      <c r="F2563" s="904"/>
      <c r="G2563" s="518" t="s">
        <v>18</v>
      </c>
      <c r="H2563" s="517" t="s">
        <v>19</v>
      </c>
      <c r="I2563" s="517" t="s">
        <v>20</v>
      </c>
      <c r="J2563" s="517" t="s">
        <v>23</v>
      </c>
    </row>
    <row r="2564" spans="1:10" ht="50" x14ac:dyDescent="0.3">
      <c r="A2564" s="642" t="s">
        <v>2432</v>
      </c>
      <c r="B2564" s="643" t="s">
        <v>2538</v>
      </c>
      <c r="C2564" s="642" t="s">
        <v>32</v>
      </c>
      <c r="D2564" s="642" t="s">
        <v>2539</v>
      </c>
      <c r="E2564" s="906" t="s">
        <v>2465</v>
      </c>
      <c r="F2564" s="906"/>
      <c r="G2564" s="644" t="s">
        <v>1901</v>
      </c>
      <c r="H2564" s="645">
        <v>1</v>
      </c>
      <c r="I2564" s="646">
        <v>142.9</v>
      </c>
      <c r="J2564" s="646">
        <v>142.9</v>
      </c>
    </row>
    <row r="2565" spans="1:10" s="358" customFormat="1" ht="14.5" thickBot="1" x14ac:dyDescent="0.35">
      <c r="A2565" s="519" t="s">
        <v>2437</v>
      </c>
      <c r="B2565" s="520" t="s">
        <v>4485</v>
      </c>
      <c r="C2565" s="519" t="s">
        <v>125</v>
      </c>
      <c r="D2565" s="519" t="s">
        <v>4486</v>
      </c>
      <c r="E2565" s="905" t="s">
        <v>2442</v>
      </c>
      <c r="F2565" s="905"/>
      <c r="G2565" s="521" t="s">
        <v>2829</v>
      </c>
      <c r="H2565" s="522">
        <v>26.43</v>
      </c>
      <c r="I2565" s="523">
        <v>5.4069000000000003</v>
      </c>
      <c r="J2565" s="523">
        <v>142.9</v>
      </c>
    </row>
    <row r="2566" spans="1:10" ht="14.5" thickTop="1" x14ac:dyDescent="0.3">
      <c r="A2566" s="647"/>
      <c r="B2566" s="647"/>
      <c r="C2566" s="647"/>
      <c r="D2566" s="647"/>
      <c r="E2566" s="647"/>
      <c r="F2566" s="647"/>
      <c r="G2566" s="647"/>
      <c r="H2566" s="647"/>
      <c r="I2566" s="647"/>
      <c r="J2566"/>
    </row>
    <row r="2567" spans="1:10" s="358" customFormat="1" x14ac:dyDescent="0.3">
      <c r="A2567" s="516"/>
      <c r="B2567" s="517" t="s">
        <v>15</v>
      </c>
      <c r="C2567" s="516" t="s">
        <v>16</v>
      </c>
      <c r="D2567" s="516" t="s">
        <v>17</v>
      </c>
      <c r="E2567" s="904" t="s">
        <v>2431</v>
      </c>
      <c r="F2567" s="904"/>
      <c r="G2567" s="518" t="s">
        <v>18</v>
      </c>
      <c r="H2567" s="517" t="s">
        <v>19</v>
      </c>
      <c r="I2567" s="517" t="s">
        <v>20</v>
      </c>
      <c r="J2567" s="517" t="s">
        <v>23</v>
      </c>
    </row>
    <row r="2568" spans="1:10" ht="25" x14ac:dyDescent="0.3">
      <c r="A2568" s="642" t="s">
        <v>2432</v>
      </c>
      <c r="B2568" s="643" t="s">
        <v>2892</v>
      </c>
      <c r="C2568" s="642" t="s">
        <v>243</v>
      </c>
      <c r="D2568" s="642" t="s">
        <v>2893</v>
      </c>
      <c r="E2568" s="906">
        <v>6</v>
      </c>
      <c r="F2568" s="906"/>
      <c r="G2568" s="644" t="s">
        <v>118</v>
      </c>
      <c r="H2568" s="645">
        <v>1</v>
      </c>
      <c r="I2568" s="646">
        <v>35.1</v>
      </c>
      <c r="J2568" s="646">
        <v>35.1</v>
      </c>
    </row>
    <row r="2569" spans="1:10" ht="25.5" thickBot="1" x14ac:dyDescent="0.35">
      <c r="A2569" s="519" t="s">
        <v>2434</v>
      </c>
      <c r="B2569" s="520" t="s">
        <v>2561</v>
      </c>
      <c r="C2569" s="519" t="s">
        <v>32</v>
      </c>
      <c r="D2569" s="519" t="s">
        <v>2562</v>
      </c>
      <c r="E2569" s="905" t="s">
        <v>2433</v>
      </c>
      <c r="F2569" s="905"/>
      <c r="G2569" s="521" t="s">
        <v>1901</v>
      </c>
      <c r="H2569" s="522">
        <v>1.5</v>
      </c>
      <c r="I2569" s="523">
        <v>23.4</v>
      </c>
      <c r="J2569" s="523">
        <v>35.1</v>
      </c>
    </row>
    <row r="2570" spans="1:10" s="358" customFormat="1" ht="14.5" thickTop="1" x14ac:dyDescent="0.3">
      <c r="A2570" s="647"/>
      <c r="B2570" s="647"/>
      <c r="C2570" s="647"/>
      <c r="D2570" s="647"/>
      <c r="E2570" s="647"/>
      <c r="F2570" s="647"/>
      <c r="G2570" s="647"/>
      <c r="H2570" s="647"/>
      <c r="I2570" s="647"/>
      <c r="J2570"/>
    </row>
    <row r="2571" spans="1:10" x14ac:dyDescent="0.3">
      <c r="A2571" s="516"/>
      <c r="B2571" s="517" t="s">
        <v>15</v>
      </c>
      <c r="C2571" s="516" t="s">
        <v>16</v>
      </c>
      <c r="D2571" s="516" t="s">
        <v>17</v>
      </c>
      <c r="E2571" s="904" t="s">
        <v>2431</v>
      </c>
      <c r="F2571" s="904"/>
      <c r="G2571" s="518" t="s">
        <v>18</v>
      </c>
      <c r="H2571" s="517" t="s">
        <v>19</v>
      </c>
      <c r="I2571" s="517" t="s">
        <v>20</v>
      </c>
      <c r="J2571" s="517" t="s">
        <v>23</v>
      </c>
    </row>
    <row r="2572" spans="1:10" s="358" customFormat="1" ht="50" x14ac:dyDescent="0.3">
      <c r="A2572" s="642" t="s">
        <v>2432</v>
      </c>
      <c r="B2572" s="643" t="s">
        <v>3073</v>
      </c>
      <c r="C2572" s="642" t="s">
        <v>32</v>
      </c>
      <c r="D2572" s="642" t="s">
        <v>3074</v>
      </c>
      <c r="E2572" s="906" t="s">
        <v>2563</v>
      </c>
      <c r="F2572" s="906"/>
      <c r="G2572" s="644" t="s">
        <v>118</v>
      </c>
      <c r="H2572" s="645">
        <v>1</v>
      </c>
      <c r="I2572" s="646">
        <v>8.31</v>
      </c>
      <c r="J2572" s="646">
        <v>8.31</v>
      </c>
    </row>
    <row r="2573" spans="1:10" ht="38.25" customHeight="1" x14ac:dyDescent="0.3">
      <c r="A2573" s="519" t="s">
        <v>2434</v>
      </c>
      <c r="B2573" s="520" t="s">
        <v>2989</v>
      </c>
      <c r="C2573" s="519" t="s">
        <v>32</v>
      </c>
      <c r="D2573" s="519" t="s">
        <v>2990</v>
      </c>
      <c r="E2573" s="905" t="s">
        <v>2465</v>
      </c>
      <c r="F2573" s="905"/>
      <c r="G2573" s="521" t="s">
        <v>103</v>
      </c>
      <c r="H2573" s="522">
        <v>8.3000000000000001E-3</v>
      </c>
      <c r="I2573" s="523">
        <v>160.65</v>
      </c>
      <c r="J2573" s="523">
        <v>1.33</v>
      </c>
    </row>
    <row r="2574" spans="1:10" s="358" customFormat="1" ht="38.25" customHeight="1" x14ac:dyDescent="0.3">
      <c r="A2574" s="519" t="s">
        <v>2434</v>
      </c>
      <c r="B2574" s="520" t="s">
        <v>2991</v>
      </c>
      <c r="C2574" s="519" t="s">
        <v>32</v>
      </c>
      <c r="D2574" s="519" t="s">
        <v>2992</v>
      </c>
      <c r="E2574" s="905" t="s">
        <v>2465</v>
      </c>
      <c r="F2574" s="905"/>
      <c r="G2574" s="521" t="s">
        <v>110</v>
      </c>
      <c r="H2574" s="522">
        <v>8.5000000000000006E-3</v>
      </c>
      <c r="I2574" s="523">
        <v>72.8</v>
      </c>
      <c r="J2574" s="523">
        <v>0.61</v>
      </c>
    </row>
    <row r="2575" spans="1:10" ht="50" x14ac:dyDescent="0.3">
      <c r="A2575" s="519" t="s">
        <v>2434</v>
      </c>
      <c r="B2575" s="520" t="s">
        <v>2568</v>
      </c>
      <c r="C2575" s="519" t="s">
        <v>32</v>
      </c>
      <c r="D2575" s="519" t="s">
        <v>2569</v>
      </c>
      <c r="E2575" s="905" t="s">
        <v>2465</v>
      </c>
      <c r="F2575" s="905"/>
      <c r="G2575" s="521" t="s">
        <v>103</v>
      </c>
      <c r="H2575" s="522">
        <v>1.6899999999999998E-2</v>
      </c>
      <c r="I2575" s="523">
        <v>318.89</v>
      </c>
      <c r="J2575" s="523">
        <v>5.38</v>
      </c>
    </row>
    <row r="2576" spans="1:10" s="358" customFormat="1" ht="50.5" thickBot="1" x14ac:dyDescent="0.35">
      <c r="A2576" s="519" t="s">
        <v>2434</v>
      </c>
      <c r="B2576" s="520" t="s">
        <v>2570</v>
      </c>
      <c r="C2576" s="519" t="s">
        <v>32</v>
      </c>
      <c r="D2576" s="519" t="s">
        <v>2571</v>
      </c>
      <c r="E2576" s="905" t="s">
        <v>2465</v>
      </c>
      <c r="F2576" s="905"/>
      <c r="G2576" s="521" t="s">
        <v>110</v>
      </c>
      <c r="H2576" s="522">
        <v>1.0999999999999999E-2</v>
      </c>
      <c r="I2576" s="523">
        <v>90.58</v>
      </c>
      <c r="J2576" s="523">
        <v>0.99</v>
      </c>
    </row>
    <row r="2577" spans="1:10" ht="14.5" thickTop="1" x14ac:dyDescent="0.3">
      <c r="A2577" s="647"/>
      <c r="B2577" s="647"/>
      <c r="C2577" s="647"/>
      <c r="D2577" s="647"/>
      <c r="E2577" s="647"/>
      <c r="F2577" s="647"/>
      <c r="G2577" s="647"/>
      <c r="H2577" s="647"/>
      <c r="I2577" s="647"/>
      <c r="J2577"/>
    </row>
    <row r="2578" spans="1:10" s="358" customFormat="1" x14ac:dyDescent="0.3">
      <c r="A2578" s="516"/>
      <c r="B2578" s="517" t="s">
        <v>15</v>
      </c>
      <c r="C2578" s="516" t="s">
        <v>16</v>
      </c>
      <c r="D2578" s="516" t="s">
        <v>17</v>
      </c>
      <c r="E2578" s="904" t="s">
        <v>2431</v>
      </c>
      <c r="F2578" s="904"/>
      <c r="G2578" s="518" t="s">
        <v>18</v>
      </c>
      <c r="H2578" s="517" t="s">
        <v>19</v>
      </c>
      <c r="I2578" s="517" t="s">
        <v>20</v>
      </c>
      <c r="J2578" s="517" t="s">
        <v>23</v>
      </c>
    </row>
    <row r="2579" spans="1:10" ht="14.25" customHeight="1" x14ac:dyDescent="0.3">
      <c r="A2579" s="642" t="s">
        <v>2432</v>
      </c>
      <c r="B2579" s="643" t="s">
        <v>3018</v>
      </c>
      <c r="C2579" s="642" t="s">
        <v>32</v>
      </c>
      <c r="D2579" s="642" t="s">
        <v>3019</v>
      </c>
      <c r="E2579" s="906" t="s">
        <v>2433</v>
      </c>
      <c r="F2579" s="906"/>
      <c r="G2579" s="644" t="s">
        <v>1901</v>
      </c>
      <c r="H2579" s="645">
        <v>1</v>
      </c>
      <c r="I2579" s="646">
        <v>29.49</v>
      </c>
      <c r="J2579" s="646">
        <v>29.49</v>
      </c>
    </row>
    <row r="2580" spans="1:10" s="358" customFormat="1" ht="25" x14ac:dyDescent="0.3">
      <c r="A2580" s="519" t="s">
        <v>2434</v>
      </c>
      <c r="B2580" s="520" t="s">
        <v>3434</v>
      </c>
      <c r="C2580" s="519" t="s">
        <v>32</v>
      </c>
      <c r="D2580" s="519" t="s">
        <v>3435</v>
      </c>
      <c r="E2580" s="905" t="s">
        <v>2433</v>
      </c>
      <c r="F2580" s="905"/>
      <c r="G2580" s="521" t="s">
        <v>1901</v>
      </c>
      <c r="H2580" s="522">
        <v>1</v>
      </c>
      <c r="I2580" s="523">
        <v>0.34</v>
      </c>
      <c r="J2580" s="523">
        <v>0.34</v>
      </c>
    </row>
    <row r="2581" spans="1:10" ht="38.25" customHeight="1" x14ac:dyDescent="0.3">
      <c r="A2581" s="519" t="s">
        <v>2437</v>
      </c>
      <c r="B2581" s="520" t="s">
        <v>3436</v>
      </c>
      <c r="C2581" s="519" t="s">
        <v>32</v>
      </c>
      <c r="D2581" s="519" t="s">
        <v>3437</v>
      </c>
      <c r="E2581" s="905" t="s">
        <v>2440</v>
      </c>
      <c r="F2581" s="905"/>
      <c r="G2581" s="521" t="s">
        <v>1901</v>
      </c>
      <c r="H2581" s="522">
        <v>1</v>
      </c>
      <c r="I2581" s="523">
        <v>20.55</v>
      </c>
      <c r="J2581" s="523">
        <v>20.55</v>
      </c>
    </row>
    <row r="2582" spans="1:10" ht="38.25" customHeight="1" x14ac:dyDescent="0.3">
      <c r="A2582" s="519" t="s">
        <v>2437</v>
      </c>
      <c r="B2582" s="520" t="s">
        <v>3257</v>
      </c>
      <c r="C2582" s="519" t="s">
        <v>32</v>
      </c>
      <c r="D2582" s="519" t="s">
        <v>4306</v>
      </c>
      <c r="E2582" s="905" t="s">
        <v>2856</v>
      </c>
      <c r="F2582" s="905"/>
      <c r="G2582" s="521" t="s">
        <v>1901</v>
      </c>
      <c r="H2582" s="522">
        <v>1</v>
      </c>
      <c r="I2582" s="523">
        <v>3.8</v>
      </c>
      <c r="J2582" s="523">
        <v>3.8</v>
      </c>
    </row>
    <row r="2583" spans="1:10" ht="25" x14ac:dyDescent="0.3">
      <c r="A2583" s="519" t="s">
        <v>2437</v>
      </c>
      <c r="B2583" s="520" t="s">
        <v>3258</v>
      </c>
      <c r="C2583" s="519" t="s">
        <v>32</v>
      </c>
      <c r="D2583" s="519" t="s">
        <v>4307</v>
      </c>
      <c r="E2583" s="905" t="s">
        <v>3259</v>
      </c>
      <c r="F2583" s="905"/>
      <c r="G2583" s="521" t="s">
        <v>1901</v>
      </c>
      <c r="H2583" s="522">
        <v>1</v>
      </c>
      <c r="I2583" s="523">
        <v>1.5</v>
      </c>
      <c r="J2583" s="523">
        <v>1.5</v>
      </c>
    </row>
    <row r="2584" spans="1:10" ht="25" x14ac:dyDescent="0.3">
      <c r="A2584" s="519" t="s">
        <v>2437</v>
      </c>
      <c r="B2584" s="520" t="s">
        <v>3260</v>
      </c>
      <c r="C2584" s="519" t="s">
        <v>32</v>
      </c>
      <c r="D2584" s="519" t="s">
        <v>4308</v>
      </c>
      <c r="E2584" s="905" t="s">
        <v>2856</v>
      </c>
      <c r="F2584" s="905"/>
      <c r="G2584" s="521" t="s">
        <v>1901</v>
      </c>
      <c r="H2584" s="522">
        <v>1</v>
      </c>
      <c r="I2584" s="523">
        <v>1.34</v>
      </c>
      <c r="J2584" s="523">
        <v>1.34</v>
      </c>
    </row>
    <row r="2585" spans="1:10" s="358" customFormat="1" ht="25" x14ac:dyDescent="0.3">
      <c r="A2585" s="519" t="s">
        <v>2437</v>
      </c>
      <c r="B2585" s="520" t="s">
        <v>3261</v>
      </c>
      <c r="C2585" s="519" t="s">
        <v>32</v>
      </c>
      <c r="D2585" s="519" t="s">
        <v>4309</v>
      </c>
      <c r="E2585" s="905" t="s">
        <v>2535</v>
      </c>
      <c r="F2585" s="905"/>
      <c r="G2585" s="521" t="s">
        <v>1901</v>
      </c>
      <c r="H2585" s="522">
        <v>1</v>
      </c>
      <c r="I2585" s="523">
        <v>0.04</v>
      </c>
      <c r="J2585" s="523">
        <v>0.04</v>
      </c>
    </row>
    <row r="2586" spans="1:10" ht="25" x14ac:dyDescent="0.3">
      <c r="A2586" s="519" t="s">
        <v>2437</v>
      </c>
      <c r="B2586" s="520" t="s">
        <v>3270</v>
      </c>
      <c r="C2586" s="519" t="s">
        <v>32</v>
      </c>
      <c r="D2586" s="519" t="s">
        <v>3271</v>
      </c>
      <c r="E2586" s="905" t="s">
        <v>2446</v>
      </c>
      <c r="F2586" s="905"/>
      <c r="G2586" s="521" t="s">
        <v>1901</v>
      </c>
      <c r="H2586" s="522">
        <v>1</v>
      </c>
      <c r="I2586" s="523">
        <v>0.49</v>
      </c>
      <c r="J2586" s="523">
        <v>0.49</v>
      </c>
    </row>
    <row r="2587" spans="1:10" s="358" customFormat="1" ht="25.5" thickBot="1" x14ac:dyDescent="0.35">
      <c r="A2587" s="519" t="s">
        <v>2437</v>
      </c>
      <c r="B2587" s="520" t="s">
        <v>3272</v>
      </c>
      <c r="C2587" s="519" t="s">
        <v>32</v>
      </c>
      <c r="D2587" s="519" t="s">
        <v>3273</v>
      </c>
      <c r="E2587" s="905" t="s">
        <v>2446</v>
      </c>
      <c r="F2587" s="905"/>
      <c r="G2587" s="521" t="s">
        <v>1901</v>
      </c>
      <c r="H2587" s="522">
        <v>1</v>
      </c>
      <c r="I2587" s="523">
        <v>1.43</v>
      </c>
      <c r="J2587" s="523">
        <v>1.43</v>
      </c>
    </row>
    <row r="2588" spans="1:10" ht="14.5" thickTop="1" x14ac:dyDescent="0.3">
      <c r="A2588" s="647"/>
      <c r="B2588" s="647"/>
      <c r="C2588" s="647"/>
      <c r="D2588" s="647"/>
      <c r="E2588" s="647"/>
      <c r="F2588" s="647"/>
      <c r="G2588" s="647"/>
      <c r="H2588" s="647"/>
      <c r="I2588" s="647"/>
      <c r="J2588"/>
    </row>
    <row r="2589" spans="1:10" x14ac:dyDescent="0.3">
      <c r="A2589" s="516"/>
      <c r="B2589" s="517" t="s">
        <v>15</v>
      </c>
      <c r="C2589" s="516" t="s">
        <v>16</v>
      </c>
      <c r="D2589" s="516" t="s">
        <v>17</v>
      </c>
      <c r="E2589" s="904" t="s">
        <v>2431</v>
      </c>
      <c r="F2589" s="904"/>
      <c r="G2589" s="518" t="s">
        <v>18</v>
      </c>
      <c r="H2589" s="517" t="s">
        <v>19</v>
      </c>
      <c r="I2589" s="517" t="s">
        <v>20</v>
      </c>
      <c r="J2589" s="517" t="s">
        <v>23</v>
      </c>
    </row>
    <row r="2590" spans="1:10" ht="14.25" customHeight="1" x14ac:dyDescent="0.3">
      <c r="A2590" s="642" t="s">
        <v>2432</v>
      </c>
      <c r="B2590" s="643" t="s">
        <v>2618</v>
      </c>
      <c r="C2590" s="642" t="s">
        <v>32</v>
      </c>
      <c r="D2590" s="642" t="s">
        <v>2619</v>
      </c>
      <c r="E2590" s="906" t="s">
        <v>2433</v>
      </c>
      <c r="F2590" s="906"/>
      <c r="G2590" s="644" t="s">
        <v>1901</v>
      </c>
      <c r="H2590" s="645">
        <v>1</v>
      </c>
      <c r="I2590" s="646">
        <v>30.71</v>
      </c>
      <c r="J2590" s="646">
        <v>30.71</v>
      </c>
    </row>
    <row r="2591" spans="1:10" ht="25" x14ac:dyDescent="0.3">
      <c r="A2591" s="519" t="s">
        <v>2434</v>
      </c>
      <c r="B2591" s="520" t="s">
        <v>3438</v>
      </c>
      <c r="C2591" s="519" t="s">
        <v>32</v>
      </c>
      <c r="D2591" s="519" t="s">
        <v>3439</v>
      </c>
      <c r="E2591" s="905" t="s">
        <v>2433</v>
      </c>
      <c r="F2591" s="905"/>
      <c r="G2591" s="521" t="s">
        <v>1901</v>
      </c>
      <c r="H2591" s="522">
        <v>1</v>
      </c>
      <c r="I2591" s="523">
        <v>0.28000000000000003</v>
      </c>
      <c r="J2591" s="523">
        <v>0.28000000000000003</v>
      </c>
    </row>
    <row r="2592" spans="1:10" x14ac:dyDescent="0.3">
      <c r="A2592" s="519" t="s">
        <v>2437</v>
      </c>
      <c r="B2592" s="520" t="s">
        <v>3440</v>
      </c>
      <c r="C2592" s="519" t="s">
        <v>32</v>
      </c>
      <c r="D2592" s="519" t="s">
        <v>3441</v>
      </c>
      <c r="E2592" s="905" t="s">
        <v>2440</v>
      </c>
      <c r="F2592" s="905"/>
      <c r="G2592" s="521" t="s">
        <v>1901</v>
      </c>
      <c r="H2592" s="522">
        <v>1</v>
      </c>
      <c r="I2592" s="523">
        <v>21.83</v>
      </c>
      <c r="J2592" s="523">
        <v>21.83</v>
      </c>
    </row>
    <row r="2593" spans="1:10" ht="25" x14ac:dyDescent="0.3">
      <c r="A2593" s="519" t="s">
        <v>2437</v>
      </c>
      <c r="B2593" s="520" t="s">
        <v>3257</v>
      </c>
      <c r="C2593" s="519" t="s">
        <v>32</v>
      </c>
      <c r="D2593" s="519" t="s">
        <v>4306</v>
      </c>
      <c r="E2593" s="905" t="s">
        <v>2856</v>
      </c>
      <c r="F2593" s="905"/>
      <c r="G2593" s="521" t="s">
        <v>1901</v>
      </c>
      <c r="H2593" s="522">
        <v>1</v>
      </c>
      <c r="I2593" s="523">
        <v>3.8</v>
      </c>
      <c r="J2593" s="523">
        <v>3.8</v>
      </c>
    </row>
    <row r="2594" spans="1:10" ht="25" x14ac:dyDescent="0.3">
      <c r="A2594" s="519" t="s">
        <v>2437</v>
      </c>
      <c r="B2594" s="520" t="s">
        <v>3258</v>
      </c>
      <c r="C2594" s="519" t="s">
        <v>32</v>
      </c>
      <c r="D2594" s="519" t="s">
        <v>4307</v>
      </c>
      <c r="E2594" s="905" t="s">
        <v>3259</v>
      </c>
      <c r="F2594" s="905"/>
      <c r="G2594" s="521" t="s">
        <v>1901</v>
      </c>
      <c r="H2594" s="522">
        <v>1</v>
      </c>
      <c r="I2594" s="523">
        <v>1.5</v>
      </c>
      <c r="J2594" s="523">
        <v>1.5</v>
      </c>
    </row>
    <row r="2595" spans="1:10" ht="25" x14ac:dyDescent="0.3">
      <c r="A2595" s="519" t="s">
        <v>2437</v>
      </c>
      <c r="B2595" s="520" t="s">
        <v>3260</v>
      </c>
      <c r="C2595" s="519" t="s">
        <v>32</v>
      </c>
      <c r="D2595" s="519" t="s">
        <v>4308</v>
      </c>
      <c r="E2595" s="905" t="s">
        <v>2856</v>
      </c>
      <c r="F2595" s="905"/>
      <c r="G2595" s="521" t="s">
        <v>1901</v>
      </c>
      <c r="H2595" s="522">
        <v>1</v>
      </c>
      <c r="I2595" s="523">
        <v>1.34</v>
      </c>
      <c r="J2595" s="523">
        <v>1.34</v>
      </c>
    </row>
    <row r="2596" spans="1:10" s="358" customFormat="1" ht="25" x14ac:dyDescent="0.3">
      <c r="A2596" s="519" t="s">
        <v>2437</v>
      </c>
      <c r="B2596" s="520" t="s">
        <v>3261</v>
      </c>
      <c r="C2596" s="519" t="s">
        <v>32</v>
      </c>
      <c r="D2596" s="519" t="s">
        <v>4309</v>
      </c>
      <c r="E2596" s="905" t="s">
        <v>2535</v>
      </c>
      <c r="F2596" s="905"/>
      <c r="G2596" s="521" t="s">
        <v>1901</v>
      </c>
      <c r="H2596" s="522">
        <v>1</v>
      </c>
      <c r="I2596" s="523">
        <v>0.04</v>
      </c>
      <c r="J2596" s="523">
        <v>0.04</v>
      </c>
    </row>
    <row r="2597" spans="1:10" ht="25" x14ac:dyDescent="0.3">
      <c r="A2597" s="519" t="s">
        <v>2437</v>
      </c>
      <c r="B2597" s="520" t="s">
        <v>3270</v>
      </c>
      <c r="C2597" s="519" t="s">
        <v>32</v>
      </c>
      <c r="D2597" s="519" t="s">
        <v>3271</v>
      </c>
      <c r="E2597" s="905" t="s">
        <v>2446</v>
      </c>
      <c r="F2597" s="905"/>
      <c r="G2597" s="521" t="s">
        <v>1901</v>
      </c>
      <c r="H2597" s="522">
        <v>1</v>
      </c>
      <c r="I2597" s="523">
        <v>0.49</v>
      </c>
      <c r="J2597" s="523">
        <v>0.49</v>
      </c>
    </row>
    <row r="2598" spans="1:10" s="358" customFormat="1" ht="25.5" thickBot="1" x14ac:dyDescent="0.35">
      <c r="A2598" s="519" t="s">
        <v>2437</v>
      </c>
      <c r="B2598" s="520" t="s">
        <v>3272</v>
      </c>
      <c r="C2598" s="519" t="s">
        <v>32</v>
      </c>
      <c r="D2598" s="519" t="s">
        <v>3273</v>
      </c>
      <c r="E2598" s="905" t="s">
        <v>2446</v>
      </c>
      <c r="F2598" s="905"/>
      <c r="G2598" s="521" t="s">
        <v>1901</v>
      </c>
      <c r="H2598" s="522">
        <v>1</v>
      </c>
      <c r="I2598" s="523">
        <v>1.43</v>
      </c>
      <c r="J2598" s="523">
        <v>1.43</v>
      </c>
    </row>
    <row r="2599" spans="1:10" ht="14.5" thickTop="1" x14ac:dyDescent="0.3">
      <c r="A2599" s="647"/>
      <c r="B2599" s="647"/>
      <c r="C2599" s="647"/>
      <c r="D2599" s="647"/>
      <c r="E2599" s="647"/>
      <c r="F2599" s="647"/>
      <c r="G2599" s="647"/>
      <c r="H2599" s="647"/>
      <c r="I2599" s="647"/>
      <c r="J2599"/>
    </row>
    <row r="2600" spans="1:10" x14ac:dyDescent="0.3">
      <c r="A2600" s="516"/>
      <c r="B2600" s="517" t="s">
        <v>15</v>
      </c>
      <c r="C2600" s="516" t="s">
        <v>16</v>
      </c>
      <c r="D2600" s="516" t="s">
        <v>17</v>
      </c>
      <c r="E2600" s="904" t="s">
        <v>2431</v>
      </c>
      <c r="F2600" s="904"/>
      <c r="G2600" s="518" t="s">
        <v>18</v>
      </c>
      <c r="H2600" s="517" t="s">
        <v>19</v>
      </c>
      <c r="I2600" s="517" t="s">
        <v>20</v>
      </c>
      <c r="J2600" s="517" t="s">
        <v>23</v>
      </c>
    </row>
    <row r="2601" spans="1:10" ht="25.5" customHeight="1" x14ac:dyDescent="0.3">
      <c r="A2601" s="642" t="s">
        <v>2432</v>
      </c>
      <c r="B2601" s="643" t="s">
        <v>2942</v>
      </c>
      <c r="C2601" s="642" t="s">
        <v>32</v>
      </c>
      <c r="D2601" s="642" t="s">
        <v>2943</v>
      </c>
      <c r="E2601" s="906" t="s">
        <v>2465</v>
      </c>
      <c r="F2601" s="906"/>
      <c r="G2601" s="644" t="s">
        <v>110</v>
      </c>
      <c r="H2601" s="645">
        <v>1</v>
      </c>
      <c r="I2601" s="646">
        <v>26.89</v>
      </c>
      <c r="J2601" s="646">
        <v>26.89</v>
      </c>
    </row>
    <row r="2602" spans="1:10" ht="25" x14ac:dyDescent="0.3">
      <c r="A2602" s="519" t="s">
        <v>2434</v>
      </c>
      <c r="B2602" s="520" t="s">
        <v>2901</v>
      </c>
      <c r="C2602" s="519" t="s">
        <v>32</v>
      </c>
      <c r="D2602" s="519" t="s">
        <v>2902</v>
      </c>
      <c r="E2602" s="905" t="s">
        <v>2433</v>
      </c>
      <c r="F2602" s="905"/>
      <c r="G2602" s="521" t="s">
        <v>1901</v>
      </c>
      <c r="H2602" s="522">
        <v>1</v>
      </c>
      <c r="I2602" s="523">
        <v>25.78</v>
      </c>
      <c r="J2602" s="523">
        <v>25.78</v>
      </c>
    </row>
    <row r="2603" spans="1:10" ht="25.5" customHeight="1" x14ac:dyDescent="0.3">
      <c r="A2603" s="519" t="s">
        <v>2434</v>
      </c>
      <c r="B2603" s="520" t="s">
        <v>3442</v>
      </c>
      <c r="C2603" s="519" t="s">
        <v>32</v>
      </c>
      <c r="D2603" s="519" t="s">
        <v>3443</v>
      </c>
      <c r="E2603" s="905" t="s">
        <v>2465</v>
      </c>
      <c r="F2603" s="905"/>
      <c r="G2603" s="521" t="s">
        <v>1901</v>
      </c>
      <c r="H2603" s="522">
        <v>1</v>
      </c>
      <c r="I2603" s="523">
        <v>0.88</v>
      </c>
      <c r="J2603" s="523">
        <v>0.88</v>
      </c>
    </row>
    <row r="2604" spans="1:10" ht="26.25" customHeight="1" thickBot="1" x14ac:dyDescent="0.35">
      <c r="A2604" s="519" t="s">
        <v>2434</v>
      </c>
      <c r="B2604" s="520" t="s">
        <v>3444</v>
      </c>
      <c r="C2604" s="519" t="s">
        <v>32</v>
      </c>
      <c r="D2604" s="519" t="s">
        <v>3445</v>
      </c>
      <c r="E2604" s="905" t="s">
        <v>2465</v>
      </c>
      <c r="F2604" s="905"/>
      <c r="G2604" s="521" t="s">
        <v>1901</v>
      </c>
      <c r="H2604" s="522">
        <v>1</v>
      </c>
      <c r="I2604" s="523">
        <v>0.23</v>
      </c>
      <c r="J2604" s="523">
        <v>0.23</v>
      </c>
    </row>
    <row r="2605" spans="1:10" ht="14.5" thickTop="1" x14ac:dyDescent="0.3">
      <c r="A2605" s="647"/>
      <c r="B2605" s="647"/>
      <c r="C2605" s="647"/>
      <c r="D2605" s="647"/>
      <c r="E2605" s="647"/>
      <c r="F2605" s="647"/>
      <c r="G2605" s="647"/>
      <c r="H2605" s="647"/>
      <c r="I2605" s="647"/>
      <c r="J2605"/>
    </row>
    <row r="2606" spans="1:10" x14ac:dyDescent="0.3">
      <c r="A2606" s="516"/>
      <c r="B2606" s="517" t="s">
        <v>15</v>
      </c>
      <c r="C2606" s="516" t="s">
        <v>16</v>
      </c>
      <c r="D2606" s="516" t="s">
        <v>17</v>
      </c>
      <c r="E2606" s="904" t="s">
        <v>2431</v>
      </c>
      <c r="F2606" s="904"/>
      <c r="G2606" s="518" t="s">
        <v>18</v>
      </c>
      <c r="H2606" s="517" t="s">
        <v>19</v>
      </c>
      <c r="I2606" s="517" t="s">
        <v>20</v>
      </c>
      <c r="J2606" s="517" t="s">
        <v>23</v>
      </c>
    </row>
    <row r="2607" spans="1:10" s="358" customFormat="1" ht="25.5" customHeight="1" x14ac:dyDescent="0.3">
      <c r="A2607" s="642" t="s">
        <v>2432</v>
      </c>
      <c r="B2607" s="643" t="s">
        <v>2940</v>
      </c>
      <c r="C2607" s="642" t="s">
        <v>32</v>
      </c>
      <c r="D2607" s="642" t="s">
        <v>2941</v>
      </c>
      <c r="E2607" s="906" t="s">
        <v>2465</v>
      </c>
      <c r="F2607" s="906"/>
      <c r="G2607" s="644" t="s">
        <v>103</v>
      </c>
      <c r="H2607" s="645">
        <v>1</v>
      </c>
      <c r="I2607" s="646">
        <v>33.549999999999997</v>
      </c>
      <c r="J2607" s="646">
        <v>33.549999999999997</v>
      </c>
    </row>
    <row r="2608" spans="1:10" ht="25" x14ac:dyDescent="0.3">
      <c r="A2608" s="519" t="s">
        <v>2434</v>
      </c>
      <c r="B2608" s="520" t="s">
        <v>2901</v>
      </c>
      <c r="C2608" s="519" t="s">
        <v>32</v>
      </c>
      <c r="D2608" s="519" t="s">
        <v>2902</v>
      </c>
      <c r="E2608" s="905" t="s">
        <v>2433</v>
      </c>
      <c r="F2608" s="905"/>
      <c r="G2608" s="521" t="s">
        <v>1901</v>
      </c>
      <c r="H2608" s="522">
        <v>1</v>
      </c>
      <c r="I2608" s="523">
        <v>25.78</v>
      </c>
      <c r="J2608" s="523">
        <v>25.78</v>
      </c>
    </row>
    <row r="2609" spans="1:10" s="358" customFormat="1" ht="25.5" customHeight="1" x14ac:dyDescent="0.3">
      <c r="A2609" s="519" t="s">
        <v>2434</v>
      </c>
      <c r="B2609" s="520" t="s">
        <v>3442</v>
      </c>
      <c r="C2609" s="519" t="s">
        <v>32</v>
      </c>
      <c r="D2609" s="519" t="s">
        <v>3443</v>
      </c>
      <c r="E2609" s="905" t="s">
        <v>2465</v>
      </c>
      <c r="F2609" s="905"/>
      <c r="G2609" s="521" t="s">
        <v>1901</v>
      </c>
      <c r="H2609" s="522">
        <v>1</v>
      </c>
      <c r="I2609" s="523">
        <v>0.88</v>
      </c>
      <c r="J2609" s="523">
        <v>0.88</v>
      </c>
    </row>
    <row r="2610" spans="1:10" ht="25.5" customHeight="1" x14ac:dyDescent="0.3">
      <c r="A2610" s="519" t="s">
        <v>2434</v>
      </c>
      <c r="B2610" s="520" t="s">
        <v>3444</v>
      </c>
      <c r="C2610" s="519" t="s">
        <v>32</v>
      </c>
      <c r="D2610" s="519" t="s">
        <v>3445</v>
      </c>
      <c r="E2610" s="905" t="s">
        <v>2465</v>
      </c>
      <c r="F2610" s="905"/>
      <c r="G2610" s="521" t="s">
        <v>1901</v>
      </c>
      <c r="H2610" s="522">
        <v>1</v>
      </c>
      <c r="I2610" s="523">
        <v>0.23</v>
      </c>
      <c r="J2610" s="523">
        <v>0.23</v>
      </c>
    </row>
    <row r="2611" spans="1:10" ht="25.5" customHeight="1" x14ac:dyDescent="0.3">
      <c r="A2611" s="519" t="s">
        <v>2434</v>
      </c>
      <c r="B2611" s="520" t="s">
        <v>3446</v>
      </c>
      <c r="C2611" s="519" t="s">
        <v>32</v>
      </c>
      <c r="D2611" s="519" t="s">
        <v>3447</v>
      </c>
      <c r="E2611" s="905" t="s">
        <v>2465</v>
      </c>
      <c r="F2611" s="905"/>
      <c r="G2611" s="521" t="s">
        <v>1901</v>
      </c>
      <c r="H2611" s="522">
        <v>1</v>
      </c>
      <c r="I2611" s="523">
        <v>1.1100000000000001</v>
      </c>
      <c r="J2611" s="523">
        <v>1.1100000000000001</v>
      </c>
    </row>
    <row r="2612" spans="1:10" ht="39" customHeight="1" thickBot="1" x14ac:dyDescent="0.35">
      <c r="A2612" s="519" t="s">
        <v>2434</v>
      </c>
      <c r="B2612" s="520" t="s">
        <v>3448</v>
      </c>
      <c r="C2612" s="519" t="s">
        <v>32</v>
      </c>
      <c r="D2612" s="519" t="s">
        <v>3449</v>
      </c>
      <c r="E2612" s="905" t="s">
        <v>2465</v>
      </c>
      <c r="F2612" s="905"/>
      <c r="G2612" s="521" t="s">
        <v>1901</v>
      </c>
      <c r="H2612" s="522">
        <v>1</v>
      </c>
      <c r="I2612" s="523">
        <v>5.55</v>
      </c>
      <c r="J2612" s="523">
        <v>5.55</v>
      </c>
    </row>
    <row r="2613" spans="1:10" ht="14.5" thickTop="1" x14ac:dyDescent="0.3">
      <c r="A2613" s="647"/>
      <c r="B2613" s="647"/>
      <c r="C2613" s="647"/>
      <c r="D2613" s="647"/>
      <c r="E2613" s="647"/>
      <c r="F2613" s="647"/>
      <c r="G2613" s="647"/>
      <c r="H2613" s="647"/>
      <c r="I2613" s="647"/>
      <c r="J2613"/>
    </row>
    <row r="2614" spans="1:10" x14ac:dyDescent="0.3">
      <c r="A2614" s="516"/>
      <c r="B2614" s="517" t="s">
        <v>15</v>
      </c>
      <c r="C2614" s="516" t="s">
        <v>16</v>
      </c>
      <c r="D2614" s="516" t="s">
        <v>17</v>
      </c>
      <c r="E2614" s="904" t="s">
        <v>2431</v>
      </c>
      <c r="F2614" s="904"/>
      <c r="G2614" s="518" t="s">
        <v>18</v>
      </c>
      <c r="H2614" s="517" t="s">
        <v>19</v>
      </c>
      <c r="I2614" s="517" t="s">
        <v>20</v>
      </c>
      <c r="J2614" s="517" t="s">
        <v>23</v>
      </c>
    </row>
    <row r="2615" spans="1:10" ht="25.5" customHeight="1" x14ac:dyDescent="0.3">
      <c r="A2615" s="642" t="s">
        <v>2432</v>
      </c>
      <c r="B2615" s="643" t="s">
        <v>3442</v>
      </c>
      <c r="C2615" s="642" t="s">
        <v>32</v>
      </c>
      <c r="D2615" s="642" t="s">
        <v>3443</v>
      </c>
      <c r="E2615" s="906" t="s">
        <v>2465</v>
      </c>
      <c r="F2615" s="906"/>
      <c r="G2615" s="644" t="s">
        <v>1901</v>
      </c>
      <c r="H2615" s="645">
        <v>1</v>
      </c>
      <c r="I2615" s="646">
        <v>0.88</v>
      </c>
      <c r="J2615" s="646">
        <v>0.88</v>
      </c>
    </row>
    <row r="2616" spans="1:10" ht="25.5" thickBot="1" x14ac:dyDescent="0.35">
      <c r="A2616" s="519" t="s">
        <v>2437</v>
      </c>
      <c r="B2616" s="520" t="s">
        <v>3450</v>
      </c>
      <c r="C2616" s="519" t="s">
        <v>32</v>
      </c>
      <c r="D2616" s="519" t="s">
        <v>3451</v>
      </c>
      <c r="E2616" s="905" t="s">
        <v>2446</v>
      </c>
      <c r="F2616" s="905"/>
      <c r="G2616" s="521" t="s">
        <v>89</v>
      </c>
      <c r="H2616" s="522">
        <v>5.3300000000000001E-5</v>
      </c>
      <c r="I2616" s="523">
        <v>16666.3</v>
      </c>
      <c r="J2616" s="523">
        <v>0.88</v>
      </c>
    </row>
    <row r="2617" spans="1:10" ht="14.5" thickTop="1" x14ac:dyDescent="0.3">
      <c r="A2617" s="647"/>
      <c r="B2617" s="647"/>
      <c r="C2617" s="647"/>
      <c r="D2617" s="647"/>
      <c r="E2617" s="647"/>
      <c r="F2617" s="647"/>
      <c r="G2617" s="647"/>
      <c r="H2617" s="647"/>
      <c r="I2617" s="647"/>
      <c r="J2617"/>
    </row>
    <row r="2618" spans="1:10" s="358" customFormat="1" x14ac:dyDescent="0.3">
      <c r="A2618" s="516"/>
      <c r="B2618" s="517" t="s">
        <v>15</v>
      </c>
      <c r="C2618" s="516" t="s">
        <v>16</v>
      </c>
      <c r="D2618" s="516" t="s">
        <v>17</v>
      </c>
      <c r="E2618" s="904" t="s">
        <v>2431</v>
      </c>
      <c r="F2618" s="904"/>
      <c r="G2618" s="518" t="s">
        <v>18</v>
      </c>
      <c r="H2618" s="517" t="s">
        <v>19</v>
      </c>
      <c r="I2618" s="517" t="s">
        <v>20</v>
      </c>
      <c r="J2618" s="517" t="s">
        <v>23</v>
      </c>
    </row>
    <row r="2619" spans="1:10" ht="25.5" customHeight="1" x14ac:dyDescent="0.3">
      <c r="A2619" s="642" t="s">
        <v>2432</v>
      </c>
      <c r="B2619" s="643" t="s">
        <v>3444</v>
      </c>
      <c r="C2619" s="642" t="s">
        <v>32</v>
      </c>
      <c r="D2619" s="642" t="s">
        <v>3445</v>
      </c>
      <c r="E2619" s="906" t="s">
        <v>2465</v>
      </c>
      <c r="F2619" s="906"/>
      <c r="G2619" s="644" t="s">
        <v>1901</v>
      </c>
      <c r="H2619" s="645">
        <v>1</v>
      </c>
      <c r="I2619" s="646">
        <v>0.23</v>
      </c>
      <c r="J2619" s="646">
        <v>0.23</v>
      </c>
    </row>
    <row r="2620" spans="1:10" s="358" customFormat="1" ht="25.5" customHeight="1" thickBot="1" x14ac:dyDescent="0.35">
      <c r="A2620" s="519" t="s">
        <v>2437</v>
      </c>
      <c r="B2620" s="520" t="s">
        <v>3450</v>
      </c>
      <c r="C2620" s="519" t="s">
        <v>32</v>
      </c>
      <c r="D2620" s="519" t="s">
        <v>3451</v>
      </c>
      <c r="E2620" s="905" t="s">
        <v>2446</v>
      </c>
      <c r="F2620" s="905"/>
      <c r="G2620" s="521" t="s">
        <v>89</v>
      </c>
      <c r="H2620" s="522">
        <v>1.43E-5</v>
      </c>
      <c r="I2620" s="523">
        <v>16666.3</v>
      </c>
      <c r="J2620" s="523">
        <v>0.23</v>
      </c>
    </row>
    <row r="2621" spans="1:10" ht="14.5" thickTop="1" x14ac:dyDescent="0.3">
      <c r="A2621" s="647"/>
      <c r="B2621" s="647"/>
      <c r="C2621" s="647"/>
      <c r="D2621" s="647"/>
      <c r="E2621" s="647"/>
      <c r="F2621" s="647"/>
      <c r="G2621" s="647"/>
      <c r="H2621" s="647"/>
      <c r="I2621" s="647"/>
      <c r="J2621"/>
    </row>
    <row r="2622" spans="1:10" ht="25.5" customHeight="1" x14ac:dyDescent="0.3">
      <c r="A2622" s="516"/>
      <c r="B2622" s="517" t="s">
        <v>15</v>
      </c>
      <c r="C2622" s="516" t="s">
        <v>16</v>
      </c>
      <c r="D2622" s="516" t="s">
        <v>17</v>
      </c>
      <c r="E2622" s="904" t="s">
        <v>2431</v>
      </c>
      <c r="F2622" s="904"/>
      <c r="G2622" s="518" t="s">
        <v>18</v>
      </c>
      <c r="H2622" s="517" t="s">
        <v>19</v>
      </c>
      <c r="I2622" s="517" t="s">
        <v>20</v>
      </c>
      <c r="J2622" s="517" t="s">
        <v>23</v>
      </c>
    </row>
    <row r="2623" spans="1:10" ht="26.25" customHeight="1" x14ac:dyDescent="0.3">
      <c r="A2623" s="642" t="s">
        <v>2432</v>
      </c>
      <c r="B2623" s="643" t="s">
        <v>3446</v>
      </c>
      <c r="C2623" s="642" t="s">
        <v>32</v>
      </c>
      <c r="D2623" s="642" t="s">
        <v>3447</v>
      </c>
      <c r="E2623" s="906" t="s">
        <v>2465</v>
      </c>
      <c r="F2623" s="906"/>
      <c r="G2623" s="644" t="s">
        <v>1901</v>
      </c>
      <c r="H2623" s="645">
        <v>1</v>
      </c>
      <c r="I2623" s="646">
        <v>1.1100000000000001</v>
      </c>
      <c r="J2623" s="646">
        <v>1.1100000000000001</v>
      </c>
    </row>
    <row r="2624" spans="1:10" s="358" customFormat="1" ht="25.5" thickBot="1" x14ac:dyDescent="0.35">
      <c r="A2624" s="519" t="s">
        <v>2437</v>
      </c>
      <c r="B2624" s="520" t="s">
        <v>3450</v>
      </c>
      <c r="C2624" s="519" t="s">
        <v>32</v>
      </c>
      <c r="D2624" s="519" t="s">
        <v>3451</v>
      </c>
      <c r="E2624" s="905" t="s">
        <v>2446</v>
      </c>
      <c r="F2624" s="905"/>
      <c r="G2624" s="521" t="s">
        <v>89</v>
      </c>
      <c r="H2624" s="522">
        <v>6.6699999999999995E-5</v>
      </c>
      <c r="I2624" s="523">
        <v>16666.3</v>
      </c>
      <c r="J2624" s="523">
        <v>1.1100000000000001</v>
      </c>
    </row>
    <row r="2625" spans="1:10" ht="14.5" thickTop="1" x14ac:dyDescent="0.3">
      <c r="A2625" s="647"/>
      <c r="B2625" s="647"/>
      <c r="C2625" s="647"/>
      <c r="D2625" s="647"/>
      <c r="E2625" s="647"/>
      <c r="F2625" s="647"/>
      <c r="G2625" s="647"/>
      <c r="H2625" s="647"/>
      <c r="I2625" s="647"/>
      <c r="J2625"/>
    </row>
    <row r="2626" spans="1:10" s="358" customFormat="1" ht="25.5" customHeight="1" x14ac:dyDescent="0.3">
      <c r="A2626" s="516"/>
      <c r="B2626" s="517" t="s">
        <v>15</v>
      </c>
      <c r="C2626" s="516" t="s">
        <v>16</v>
      </c>
      <c r="D2626" s="516" t="s">
        <v>17</v>
      </c>
      <c r="E2626" s="904" t="s">
        <v>2431</v>
      </c>
      <c r="F2626" s="904"/>
      <c r="G2626" s="518" t="s">
        <v>18</v>
      </c>
      <c r="H2626" s="517" t="s">
        <v>19</v>
      </c>
      <c r="I2626" s="517" t="s">
        <v>20</v>
      </c>
      <c r="J2626" s="517" t="s">
        <v>23</v>
      </c>
    </row>
    <row r="2627" spans="1:10" ht="38.25" customHeight="1" x14ac:dyDescent="0.3">
      <c r="A2627" s="642" t="s">
        <v>2432</v>
      </c>
      <c r="B2627" s="643" t="s">
        <v>3448</v>
      </c>
      <c r="C2627" s="642" t="s">
        <v>32</v>
      </c>
      <c r="D2627" s="642" t="s">
        <v>3449</v>
      </c>
      <c r="E2627" s="906" t="s">
        <v>2465</v>
      </c>
      <c r="F2627" s="906"/>
      <c r="G2627" s="644" t="s">
        <v>1901</v>
      </c>
      <c r="H2627" s="645">
        <v>1</v>
      </c>
      <c r="I2627" s="646">
        <v>5.55</v>
      </c>
      <c r="J2627" s="646">
        <v>5.55</v>
      </c>
    </row>
    <row r="2628" spans="1:10" ht="25.5" customHeight="1" thickBot="1" x14ac:dyDescent="0.35">
      <c r="A2628" s="519" t="s">
        <v>2437</v>
      </c>
      <c r="B2628" s="520" t="s">
        <v>4340</v>
      </c>
      <c r="C2628" s="519" t="s">
        <v>125</v>
      </c>
      <c r="D2628" s="519" t="s">
        <v>4527</v>
      </c>
      <c r="E2628" s="905" t="s">
        <v>2442</v>
      </c>
      <c r="F2628" s="905"/>
      <c r="G2628" s="521" t="s">
        <v>2829</v>
      </c>
      <c r="H2628" s="522">
        <v>1.03</v>
      </c>
      <c r="I2628" s="523">
        <v>5.3951000000000002</v>
      </c>
      <c r="J2628" s="523">
        <v>5.55</v>
      </c>
    </row>
    <row r="2629" spans="1:10" ht="25.5" customHeight="1" thickTop="1" x14ac:dyDescent="0.3">
      <c r="A2629" s="647"/>
      <c r="B2629" s="647"/>
      <c r="C2629" s="647"/>
      <c r="D2629" s="647"/>
      <c r="E2629" s="647"/>
      <c r="F2629" s="647"/>
      <c r="G2629" s="647"/>
      <c r="H2629" s="647"/>
      <c r="I2629" s="647"/>
      <c r="J2629"/>
    </row>
    <row r="2630" spans="1:10" ht="25.5" customHeight="1" x14ac:dyDescent="0.3">
      <c r="A2630" s="516"/>
      <c r="B2630" s="517" t="s">
        <v>15</v>
      </c>
      <c r="C2630" s="516" t="s">
        <v>16</v>
      </c>
      <c r="D2630" s="516" t="s">
        <v>17</v>
      </c>
      <c r="E2630" s="904" t="s">
        <v>2431</v>
      </c>
      <c r="F2630" s="904"/>
      <c r="G2630" s="518" t="s">
        <v>18</v>
      </c>
      <c r="H2630" s="517" t="s">
        <v>19</v>
      </c>
      <c r="I2630" s="517" t="s">
        <v>20</v>
      </c>
      <c r="J2630" s="517" t="s">
        <v>23</v>
      </c>
    </row>
    <row r="2631" spans="1:10" ht="39" customHeight="1" x14ac:dyDescent="0.3">
      <c r="A2631" s="642" t="s">
        <v>2432</v>
      </c>
      <c r="B2631" s="643" t="s">
        <v>4492</v>
      </c>
      <c r="C2631" s="642" t="s">
        <v>251</v>
      </c>
      <c r="D2631" s="642" t="s">
        <v>4493</v>
      </c>
      <c r="E2631" s="906">
        <v>55</v>
      </c>
      <c r="F2631" s="906"/>
      <c r="G2631" s="644" t="s">
        <v>89</v>
      </c>
      <c r="H2631" s="645">
        <v>1</v>
      </c>
      <c r="I2631" s="646">
        <v>165.49</v>
      </c>
      <c r="J2631" s="646">
        <v>165.49</v>
      </c>
    </row>
    <row r="2632" spans="1:10" s="358" customFormat="1" ht="25" x14ac:dyDescent="0.3">
      <c r="A2632" s="519" t="s">
        <v>2434</v>
      </c>
      <c r="B2632" s="520" t="s">
        <v>4528</v>
      </c>
      <c r="C2632" s="519" t="s">
        <v>251</v>
      </c>
      <c r="D2632" s="519" t="s">
        <v>4377</v>
      </c>
      <c r="E2632" s="905">
        <v>55</v>
      </c>
      <c r="F2632" s="905"/>
      <c r="G2632" s="521" t="s">
        <v>89</v>
      </c>
      <c r="H2632" s="522">
        <v>2.5100000000000001E-2</v>
      </c>
      <c r="I2632" s="523">
        <v>1167.0999999999999</v>
      </c>
      <c r="J2632" s="523">
        <v>29.29</v>
      </c>
    </row>
    <row r="2633" spans="1:10" ht="25.5" thickBot="1" x14ac:dyDescent="0.35">
      <c r="A2633" s="519" t="s">
        <v>2434</v>
      </c>
      <c r="B2633" s="520" t="s">
        <v>3452</v>
      </c>
      <c r="C2633" s="519" t="s">
        <v>32</v>
      </c>
      <c r="D2633" s="519" t="s">
        <v>3453</v>
      </c>
      <c r="E2633" s="905" t="s">
        <v>2433</v>
      </c>
      <c r="F2633" s="905"/>
      <c r="G2633" s="521" t="s">
        <v>1901</v>
      </c>
      <c r="H2633" s="522">
        <v>2.5392000000000001</v>
      </c>
      <c r="I2633" s="523">
        <v>53.64</v>
      </c>
      <c r="J2633" s="523">
        <v>136.19999999999999</v>
      </c>
    </row>
    <row r="2634" spans="1:10" s="358" customFormat="1" ht="25.5" customHeight="1" thickTop="1" x14ac:dyDescent="0.3">
      <c r="A2634" s="647"/>
      <c r="B2634" s="647"/>
      <c r="C2634" s="647"/>
      <c r="D2634" s="647"/>
      <c r="E2634" s="647"/>
      <c r="F2634" s="647"/>
      <c r="G2634" s="647"/>
      <c r="H2634" s="647"/>
      <c r="I2634" s="647"/>
      <c r="J2634"/>
    </row>
    <row r="2635" spans="1:10" x14ac:dyDescent="0.3">
      <c r="A2635" s="516"/>
      <c r="B2635" s="517" t="s">
        <v>15</v>
      </c>
      <c r="C2635" s="516" t="s">
        <v>16</v>
      </c>
      <c r="D2635" s="516" t="s">
        <v>17</v>
      </c>
      <c r="E2635" s="904" t="s">
        <v>2431</v>
      </c>
      <c r="F2635" s="904"/>
      <c r="G2635" s="518" t="s">
        <v>18</v>
      </c>
      <c r="H2635" s="517" t="s">
        <v>19</v>
      </c>
      <c r="I2635" s="517" t="s">
        <v>20</v>
      </c>
      <c r="J2635" s="517" t="s">
        <v>23</v>
      </c>
    </row>
    <row r="2636" spans="1:10" s="358" customFormat="1" ht="38.25" customHeight="1" x14ac:dyDescent="0.3">
      <c r="A2636" s="642" t="s">
        <v>2432</v>
      </c>
      <c r="B2636" s="643" t="s">
        <v>4487</v>
      </c>
      <c r="C2636" s="642" t="s">
        <v>32</v>
      </c>
      <c r="D2636" s="642" t="s">
        <v>4488</v>
      </c>
      <c r="E2636" s="906" t="s">
        <v>2465</v>
      </c>
      <c r="F2636" s="906"/>
      <c r="G2636" s="644" t="s">
        <v>110</v>
      </c>
      <c r="H2636" s="645">
        <v>1</v>
      </c>
      <c r="I2636" s="646">
        <v>9.0299999999999994</v>
      </c>
      <c r="J2636" s="646">
        <v>9.0299999999999994</v>
      </c>
    </row>
    <row r="2637" spans="1:10" ht="38.25" customHeight="1" x14ac:dyDescent="0.3">
      <c r="A2637" s="519" t="s">
        <v>2434</v>
      </c>
      <c r="B2637" s="520" t="s">
        <v>3454</v>
      </c>
      <c r="C2637" s="519" t="s">
        <v>32</v>
      </c>
      <c r="D2637" s="519" t="s">
        <v>3455</v>
      </c>
      <c r="E2637" s="905" t="s">
        <v>2465</v>
      </c>
      <c r="F2637" s="905"/>
      <c r="G2637" s="521" t="s">
        <v>1901</v>
      </c>
      <c r="H2637" s="522">
        <v>1</v>
      </c>
      <c r="I2637" s="523">
        <v>7.12</v>
      </c>
      <c r="J2637" s="523">
        <v>7.12</v>
      </c>
    </row>
    <row r="2638" spans="1:10" s="358" customFormat="1" ht="25.5" customHeight="1" thickBot="1" x14ac:dyDescent="0.35">
      <c r="A2638" s="519" t="s">
        <v>2434</v>
      </c>
      <c r="B2638" s="520" t="s">
        <v>3456</v>
      </c>
      <c r="C2638" s="519" t="s">
        <v>32</v>
      </c>
      <c r="D2638" s="519" t="s">
        <v>3457</v>
      </c>
      <c r="E2638" s="905" t="s">
        <v>2465</v>
      </c>
      <c r="F2638" s="905"/>
      <c r="G2638" s="521" t="s">
        <v>1901</v>
      </c>
      <c r="H2638" s="522">
        <v>1</v>
      </c>
      <c r="I2638" s="523">
        <v>1.91</v>
      </c>
      <c r="J2638" s="523">
        <v>1.91</v>
      </c>
    </row>
    <row r="2639" spans="1:10" ht="14.5" thickTop="1" x14ac:dyDescent="0.3">
      <c r="A2639" s="647"/>
      <c r="B2639" s="647"/>
      <c r="C2639" s="647"/>
      <c r="D2639" s="647"/>
      <c r="E2639" s="647"/>
      <c r="F2639" s="647"/>
      <c r="G2639" s="647"/>
      <c r="H2639" s="647"/>
      <c r="I2639" s="647"/>
      <c r="J2639"/>
    </row>
    <row r="2640" spans="1:10" s="358" customFormat="1" x14ac:dyDescent="0.3">
      <c r="A2640" s="516"/>
      <c r="B2640" s="517" t="s">
        <v>15</v>
      </c>
      <c r="C2640" s="516" t="s">
        <v>16</v>
      </c>
      <c r="D2640" s="516" t="s">
        <v>17</v>
      </c>
      <c r="E2640" s="904" t="s">
        <v>2431</v>
      </c>
      <c r="F2640" s="904"/>
      <c r="G2640" s="518" t="s">
        <v>18</v>
      </c>
      <c r="H2640" s="517" t="s">
        <v>19</v>
      </c>
      <c r="I2640" s="517" t="s">
        <v>20</v>
      </c>
      <c r="J2640" s="517" t="s">
        <v>23</v>
      </c>
    </row>
    <row r="2641" spans="1:10" ht="38.25" customHeight="1" x14ac:dyDescent="0.3">
      <c r="A2641" s="642" t="s">
        <v>2432</v>
      </c>
      <c r="B2641" s="643" t="s">
        <v>2896</v>
      </c>
      <c r="C2641" s="642" t="s">
        <v>32</v>
      </c>
      <c r="D2641" s="642" t="s">
        <v>2897</v>
      </c>
      <c r="E2641" s="906" t="s">
        <v>2465</v>
      </c>
      <c r="F2641" s="906"/>
      <c r="G2641" s="644" t="s">
        <v>103</v>
      </c>
      <c r="H2641" s="645">
        <v>1</v>
      </c>
      <c r="I2641" s="646">
        <v>72.709999999999994</v>
      </c>
      <c r="J2641" s="646">
        <v>72.709999999999994</v>
      </c>
    </row>
    <row r="2642" spans="1:10" s="358" customFormat="1" ht="25.5" customHeight="1" x14ac:dyDescent="0.3">
      <c r="A2642" s="519" t="s">
        <v>2434</v>
      </c>
      <c r="B2642" s="520" t="s">
        <v>3454</v>
      </c>
      <c r="C2642" s="519" t="s">
        <v>32</v>
      </c>
      <c r="D2642" s="519" t="s">
        <v>3455</v>
      </c>
      <c r="E2642" s="905" t="s">
        <v>2465</v>
      </c>
      <c r="F2642" s="905"/>
      <c r="G2642" s="521" t="s">
        <v>1901</v>
      </c>
      <c r="H2642" s="522">
        <v>1</v>
      </c>
      <c r="I2642" s="523">
        <v>7.12</v>
      </c>
      <c r="J2642" s="523">
        <v>7.12</v>
      </c>
    </row>
    <row r="2643" spans="1:10" ht="38.25" customHeight="1" x14ac:dyDescent="0.3">
      <c r="A2643" s="519" t="s">
        <v>2434</v>
      </c>
      <c r="B2643" s="520" t="s">
        <v>3456</v>
      </c>
      <c r="C2643" s="519" t="s">
        <v>32</v>
      </c>
      <c r="D2643" s="519" t="s">
        <v>3457</v>
      </c>
      <c r="E2643" s="905" t="s">
        <v>2465</v>
      </c>
      <c r="F2643" s="905"/>
      <c r="G2643" s="521" t="s">
        <v>1901</v>
      </c>
      <c r="H2643" s="522">
        <v>1</v>
      </c>
      <c r="I2643" s="523">
        <v>1.91</v>
      </c>
      <c r="J2643" s="523">
        <v>1.91</v>
      </c>
    </row>
    <row r="2644" spans="1:10" s="358" customFormat="1" ht="38.25" customHeight="1" x14ac:dyDescent="0.3">
      <c r="A2644" s="519" t="s">
        <v>2434</v>
      </c>
      <c r="B2644" s="520" t="s">
        <v>3458</v>
      </c>
      <c r="C2644" s="519" t="s">
        <v>32</v>
      </c>
      <c r="D2644" s="519" t="s">
        <v>3459</v>
      </c>
      <c r="E2644" s="905" t="s">
        <v>2465</v>
      </c>
      <c r="F2644" s="905"/>
      <c r="G2644" s="521" t="s">
        <v>1901</v>
      </c>
      <c r="H2644" s="522">
        <v>1</v>
      </c>
      <c r="I2644" s="523">
        <v>8.91</v>
      </c>
      <c r="J2644" s="523">
        <v>8.91</v>
      </c>
    </row>
    <row r="2645" spans="1:10" ht="39" customHeight="1" thickBot="1" x14ac:dyDescent="0.35">
      <c r="A2645" s="519" t="s">
        <v>2434</v>
      </c>
      <c r="B2645" s="520" t="s">
        <v>3460</v>
      </c>
      <c r="C2645" s="519" t="s">
        <v>32</v>
      </c>
      <c r="D2645" s="519" t="s">
        <v>3461</v>
      </c>
      <c r="E2645" s="905" t="s">
        <v>2465</v>
      </c>
      <c r="F2645" s="905"/>
      <c r="G2645" s="521" t="s">
        <v>1901</v>
      </c>
      <c r="H2645" s="522">
        <v>1</v>
      </c>
      <c r="I2645" s="523">
        <v>54.77</v>
      </c>
      <c r="J2645" s="523">
        <v>54.77</v>
      </c>
    </row>
    <row r="2646" spans="1:10" s="358" customFormat="1" ht="38.25" customHeight="1" thickTop="1" x14ac:dyDescent="0.3">
      <c r="A2646" s="647"/>
      <c r="B2646" s="647"/>
      <c r="C2646" s="647"/>
      <c r="D2646" s="647"/>
      <c r="E2646" s="647"/>
      <c r="F2646" s="647"/>
      <c r="G2646" s="647"/>
      <c r="H2646" s="647"/>
      <c r="I2646" s="647"/>
      <c r="J2646"/>
    </row>
    <row r="2647" spans="1:10" x14ac:dyDescent="0.3">
      <c r="A2647" s="516"/>
      <c r="B2647" s="517" t="s">
        <v>15</v>
      </c>
      <c r="C2647" s="516" t="s">
        <v>16</v>
      </c>
      <c r="D2647" s="516" t="s">
        <v>17</v>
      </c>
      <c r="E2647" s="904" t="s">
        <v>2431</v>
      </c>
      <c r="F2647" s="904"/>
      <c r="G2647" s="518" t="s">
        <v>18</v>
      </c>
      <c r="H2647" s="517" t="s">
        <v>19</v>
      </c>
      <c r="I2647" s="517" t="s">
        <v>20</v>
      </c>
      <c r="J2647" s="517" t="s">
        <v>23</v>
      </c>
    </row>
    <row r="2648" spans="1:10" s="358" customFormat="1" ht="38.25" customHeight="1" x14ac:dyDescent="0.3">
      <c r="A2648" s="642" t="s">
        <v>2432</v>
      </c>
      <c r="B2648" s="643" t="s">
        <v>3454</v>
      </c>
      <c r="C2648" s="642" t="s">
        <v>32</v>
      </c>
      <c r="D2648" s="642" t="s">
        <v>3455</v>
      </c>
      <c r="E2648" s="906" t="s">
        <v>2465</v>
      </c>
      <c r="F2648" s="906"/>
      <c r="G2648" s="644" t="s">
        <v>1901</v>
      </c>
      <c r="H2648" s="645">
        <v>1</v>
      </c>
      <c r="I2648" s="646">
        <v>7.12</v>
      </c>
      <c r="J2648" s="646">
        <v>7.12</v>
      </c>
    </row>
    <row r="2649" spans="1:10" ht="25.5" thickBot="1" x14ac:dyDescent="0.35">
      <c r="A2649" s="519" t="s">
        <v>2437</v>
      </c>
      <c r="B2649" s="520" t="s">
        <v>3462</v>
      </c>
      <c r="C2649" s="519" t="s">
        <v>32</v>
      </c>
      <c r="D2649" s="519" t="s">
        <v>3463</v>
      </c>
      <c r="E2649" s="905" t="s">
        <v>2785</v>
      </c>
      <c r="F2649" s="905"/>
      <c r="G2649" s="521" t="s">
        <v>89</v>
      </c>
      <c r="H2649" s="522">
        <v>5.3300000000000001E-5</v>
      </c>
      <c r="I2649" s="523">
        <v>133693.23000000001</v>
      </c>
      <c r="J2649" s="523">
        <v>7.12</v>
      </c>
    </row>
    <row r="2650" spans="1:10" s="358" customFormat="1" ht="25.5" customHeight="1" thickTop="1" x14ac:dyDescent="0.3">
      <c r="A2650" s="647"/>
      <c r="B2650" s="647"/>
      <c r="C2650" s="647"/>
      <c r="D2650" s="647"/>
      <c r="E2650" s="647"/>
      <c r="F2650" s="647"/>
      <c r="G2650" s="647"/>
      <c r="H2650" s="647"/>
      <c r="I2650" s="647"/>
      <c r="J2650"/>
    </row>
    <row r="2651" spans="1:10" s="358" customFormat="1" x14ac:dyDescent="0.3">
      <c r="A2651" s="516"/>
      <c r="B2651" s="517" t="s">
        <v>15</v>
      </c>
      <c r="C2651" s="516" t="s">
        <v>16</v>
      </c>
      <c r="D2651" s="516" t="s">
        <v>17</v>
      </c>
      <c r="E2651" s="904" t="s">
        <v>2431</v>
      </c>
      <c r="F2651" s="904"/>
      <c r="G2651" s="518" t="s">
        <v>18</v>
      </c>
      <c r="H2651" s="517" t="s">
        <v>19</v>
      </c>
      <c r="I2651" s="517" t="s">
        <v>20</v>
      </c>
      <c r="J2651" s="517" t="s">
        <v>23</v>
      </c>
    </row>
    <row r="2652" spans="1:10" ht="38.25" customHeight="1" x14ac:dyDescent="0.3">
      <c r="A2652" s="642" t="s">
        <v>2432</v>
      </c>
      <c r="B2652" s="643" t="s">
        <v>3456</v>
      </c>
      <c r="C2652" s="642" t="s">
        <v>32</v>
      </c>
      <c r="D2652" s="642" t="s">
        <v>3457</v>
      </c>
      <c r="E2652" s="906" t="s">
        <v>2465</v>
      </c>
      <c r="F2652" s="906"/>
      <c r="G2652" s="644" t="s">
        <v>1901</v>
      </c>
      <c r="H2652" s="645">
        <v>1</v>
      </c>
      <c r="I2652" s="646">
        <v>1.91</v>
      </c>
      <c r="J2652" s="646">
        <v>1.91</v>
      </c>
    </row>
    <row r="2653" spans="1:10" s="358" customFormat="1" ht="25.5" thickBot="1" x14ac:dyDescent="0.35">
      <c r="A2653" s="519" t="s">
        <v>2437</v>
      </c>
      <c r="B2653" s="520" t="s">
        <v>3462</v>
      </c>
      <c r="C2653" s="519" t="s">
        <v>32</v>
      </c>
      <c r="D2653" s="519" t="s">
        <v>3463</v>
      </c>
      <c r="E2653" s="905" t="s">
        <v>2785</v>
      </c>
      <c r="F2653" s="905"/>
      <c r="G2653" s="521" t="s">
        <v>89</v>
      </c>
      <c r="H2653" s="522">
        <v>1.43E-5</v>
      </c>
      <c r="I2653" s="523">
        <v>133693.23000000001</v>
      </c>
      <c r="J2653" s="523">
        <v>1.91</v>
      </c>
    </row>
    <row r="2654" spans="1:10" ht="14.5" thickTop="1" x14ac:dyDescent="0.3">
      <c r="A2654" s="647"/>
      <c r="B2654" s="647"/>
      <c r="C2654" s="647"/>
      <c r="D2654" s="647"/>
      <c r="E2654" s="647"/>
      <c r="F2654" s="647"/>
      <c r="G2654" s="647"/>
      <c r="H2654" s="647"/>
      <c r="I2654" s="647"/>
      <c r="J2654"/>
    </row>
    <row r="2655" spans="1:10" s="358" customFormat="1" ht="38.25" customHeight="1" x14ac:dyDescent="0.3">
      <c r="A2655" s="516"/>
      <c r="B2655" s="517" t="s">
        <v>15</v>
      </c>
      <c r="C2655" s="516" t="s">
        <v>16</v>
      </c>
      <c r="D2655" s="516" t="s">
        <v>17</v>
      </c>
      <c r="E2655" s="904" t="s">
        <v>2431</v>
      </c>
      <c r="F2655" s="904"/>
      <c r="G2655" s="518" t="s">
        <v>18</v>
      </c>
      <c r="H2655" s="517" t="s">
        <v>19</v>
      </c>
      <c r="I2655" s="517" t="s">
        <v>20</v>
      </c>
      <c r="J2655" s="517" t="s">
        <v>23</v>
      </c>
    </row>
    <row r="2656" spans="1:10" ht="38.25" customHeight="1" x14ac:dyDescent="0.3">
      <c r="A2656" s="642" t="s">
        <v>2432</v>
      </c>
      <c r="B2656" s="643" t="s">
        <v>3458</v>
      </c>
      <c r="C2656" s="642" t="s">
        <v>32</v>
      </c>
      <c r="D2656" s="642" t="s">
        <v>3459</v>
      </c>
      <c r="E2656" s="906" t="s">
        <v>2465</v>
      </c>
      <c r="F2656" s="906"/>
      <c r="G2656" s="644" t="s">
        <v>1901</v>
      </c>
      <c r="H2656" s="645">
        <v>1</v>
      </c>
      <c r="I2656" s="646">
        <v>8.91</v>
      </c>
      <c r="J2656" s="646">
        <v>8.91</v>
      </c>
    </row>
    <row r="2657" spans="1:10" ht="38.25" customHeight="1" thickBot="1" x14ac:dyDescent="0.35">
      <c r="A2657" s="519" t="s">
        <v>2437</v>
      </c>
      <c r="B2657" s="520" t="s">
        <v>3462</v>
      </c>
      <c r="C2657" s="519" t="s">
        <v>32</v>
      </c>
      <c r="D2657" s="519" t="s">
        <v>3463</v>
      </c>
      <c r="E2657" s="905" t="s">
        <v>2785</v>
      </c>
      <c r="F2657" s="905"/>
      <c r="G2657" s="521" t="s">
        <v>89</v>
      </c>
      <c r="H2657" s="522">
        <v>6.6699999999999995E-5</v>
      </c>
      <c r="I2657" s="523">
        <v>133693.23000000001</v>
      </c>
      <c r="J2657" s="523">
        <v>8.91</v>
      </c>
    </row>
    <row r="2658" spans="1:10" ht="38.25" customHeight="1" thickTop="1" x14ac:dyDescent="0.3">
      <c r="A2658" s="647"/>
      <c r="B2658" s="647"/>
      <c r="C2658" s="647"/>
      <c r="D2658" s="647"/>
      <c r="E2658" s="647"/>
      <c r="F2658" s="647"/>
      <c r="G2658" s="647"/>
      <c r="H2658" s="647"/>
      <c r="I2658" s="647"/>
      <c r="J2658"/>
    </row>
    <row r="2659" spans="1:10" ht="39" customHeight="1" x14ac:dyDescent="0.3">
      <c r="A2659" s="516"/>
      <c r="B2659" s="517" t="s">
        <v>15</v>
      </c>
      <c r="C2659" s="516" t="s">
        <v>16</v>
      </c>
      <c r="D2659" s="516" t="s">
        <v>17</v>
      </c>
      <c r="E2659" s="904" t="s">
        <v>2431</v>
      </c>
      <c r="F2659" s="904"/>
      <c r="G2659" s="518" t="s">
        <v>18</v>
      </c>
      <c r="H2659" s="517" t="s">
        <v>19</v>
      </c>
      <c r="I2659" s="517" t="s">
        <v>20</v>
      </c>
      <c r="J2659" s="517" t="s">
        <v>23</v>
      </c>
    </row>
    <row r="2660" spans="1:10" s="358" customFormat="1" ht="38.25" customHeight="1" x14ac:dyDescent="0.3">
      <c r="A2660" s="642" t="s">
        <v>2432</v>
      </c>
      <c r="B2660" s="643" t="s">
        <v>3460</v>
      </c>
      <c r="C2660" s="642" t="s">
        <v>32</v>
      </c>
      <c r="D2660" s="642" t="s">
        <v>3461</v>
      </c>
      <c r="E2660" s="906" t="s">
        <v>2465</v>
      </c>
      <c r="F2660" s="906"/>
      <c r="G2660" s="644" t="s">
        <v>1901</v>
      </c>
      <c r="H2660" s="645">
        <v>1</v>
      </c>
      <c r="I2660" s="646">
        <v>54.77</v>
      </c>
      <c r="J2660" s="646">
        <v>54.77</v>
      </c>
    </row>
    <row r="2661" spans="1:10" ht="14.5" thickBot="1" x14ac:dyDescent="0.35">
      <c r="A2661" s="519" t="s">
        <v>2437</v>
      </c>
      <c r="B2661" s="520" t="s">
        <v>4485</v>
      </c>
      <c r="C2661" s="519" t="s">
        <v>125</v>
      </c>
      <c r="D2661" s="519" t="s">
        <v>4486</v>
      </c>
      <c r="E2661" s="905" t="s">
        <v>2442</v>
      </c>
      <c r="F2661" s="905"/>
      <c r="G2661" s="521" t="s">
        <v>2829</v>
      </c>
      <c r="H2661" s="522">
        <v>10.130000000000001</v>
      </c>
      <c r="I2661" s="523">
        <v>5.4069000000000003</v>
      </c>
      <c r="J2661" s="523">
        <v>54.77</v>
      </c>
    </row>
    <row r="2662" spans="1:10" s="358" customFormat="1" ht="38.25" customHeight="1" thickTop="1" x14ac:dyDescent="0.3">
      <c r="A2662" s="647"/>
      <c r="B2662" s="647"/>
      <c r="C2662" s="647"/>
      <c r="D2662" s="647"/>
      <c r="E2662" s="647"/>
      <c r="F2662" s="647"/>
      <c r="G2662" s="647"/>
      <c r="H2662" s="647"/>
      <c r="I2662" s="647"/>
      <c r="J2662"/>
    </row>
    <row r="2663" spans="1:10" x14ac:dyDescent="0.3">
      <c r="A2663" s="516"/>
      <c r="B2663" s="517" t="s">
        <v>15</v>
      </c>
      <c r="C2663" s="516" t="s">
        <v>16</v>
      </c>
      <c r="D2663" s="516" t="s">
        <v>17</v>
      </c>
      <c r="E2663" s="904" t="s">
        <v>2431</v>
      </c>
      <c r="F2663" s="904"/>
      <c r="G2663" s="518" t="s">
        <v>18</v>
      </c>
      <c r="H2663" s="517" t="s">
        <v>19</v>
      </c>
      <c r="I2663" s="517" t="s">
        <v>20</v>
      </c>
      <c r="J2663" s="517" t="s">
        <v>23</v>
      </c>
    </row>
    <row r="2664" spans="1:10" s="358" customFormat="1" ht="38.25" customHeight="1" x14ac:dyDescent="0.3">
      <c r="A2664" s="642" t="s">
        <v>2432</v>
      </c>
      <c r="B2664" s="643" t="s">
        <v>2923</v>
      </c>
      <c r="C2664" s="642" t="s">
        <v>32</v>
      </c>
      <c r="D2664" s="642" t="s">
        <v>2924</v>
      </c>
      <c r="E2664" s="906" t="s">
        <v>2465</v>
      </c>
      <c r="F2664" s="906"/>
      <c r="G2664" s="644" t="s">
        <v>110</v>
      </c>
      <c r="H2664" s="645">
        <v>1</v>
      </c>
      <c r="I2664" s="646">
        <v>6.74</v>
      </c>
      <c r="J2664" s="646">
        <v>6.74</v>
      </c>
    </row>
    <row r="2665" spans="1:10" ht="38.25" customHeight="1" x14ac:dyDescent="0.3">
      <c r="A2665" s="519" t="s">
        <v>2434</v>
      </c>
      <c r="B2665" s="520" t="s">
        <v>3464</v>
      </c>
      <c r="C2665" s="519" t="s">
        <v>32</v>
      </c>
      <c r="D2665" s="519" t="s">
        <v>3465</v>
      </c>
      <c r="E2665" s="905" t="s">
        <v>2465</v>
      </c>
      <c r="F2665" s="905"/>
      <c r="G2665" s="521" t="s">
        <v>1901</v>
      </c>
      <c r="H2665" s="522">
        <v>1</v>
      </c>
      <c r="I2665" s="523">
        <v>5.32</v>
      </c>
      <c r="J2665" s="523">
        <v>5.32</v>
      </c>
    </row>
    <row r="2666" spans="1:10" s="358" customFormat="1" ht="38.25" customHeight="1" thickBot="1" x14ac:dyDescent="0.35">
      <c r="A2666" s="519" t="s">
        <v>2434</v>
      </c>
      <c r="B2666" s="520" t="s">
        <v>3466</v>
      </c>
      <c r="C2666" s="519" t="s">
        <v>32</v>
      </c>
      <c r="D2666" s="519" t="s">
        <v>3467</v>
      </c>
      <c r="E2666" s="905" t="s">
        <v>2465</v>
      </c>
      <c r="F2666" s="905"/>
      <c r="G2666" s="521" t="s">
        <v>1901</v>
      </c>
      <c r="H2666" s="522">
        <v>1</v>
      </c>
      <c r="I2666" s="523">
        <v>1.42</v>
      </c>
      <c r="J2666" s="523">
        <v>1.42</v>
      </c>
    </row>
    <row r="2667" spans="1:10" ht="14.5" thickTop="1" x14ac:dyDescent="0.3">
      <c r="A2667" s="647"/>
      <c r="B2667" s="647"/>
      <c r="C2667" s="647"/>
      <c r="D2667" s="647"/>
      <c r="E2667" s="647"/>
      <c r="F2667" s="647"/>
      <c r="G2667" s="647"/>
      <c r="H2667" s="647"/>
      <c r="I2667" s="647"/>
      <c r="J2667"/>
    </row>
    <row r="2668" spans="1:10" s="358" customFormat="1" x14ac:dyDescent="0.3">
      <c r="A2668" s="516"/>
      <c r="B2668" s="517" t="s">
        <v>15</v>
      </c>
      <c r="C2668" s="516" t="s">
        <v>16</v>
      </c>
      <c r="D2668" s="516" t="s">
        <v>17</v>
      </c>
      <c r="E2668" s="904" t="s">
        <v>2431</v>
      </c>
      <c r="F2668" s="904"/>
      <c r="G2668" s="518" t="s">
        <v>18</v>
      </c>
      <c r="H2668" s="517" t="s">
        <v>19</v>
      </c>
      <c r="I2668" s="517" t="s">
        <v>20</v>
      </c>
      <c r="J2668" s="517" t="s">
        <v>23</v>
      </c>
    </row>
    <row r="2669" spans="1:10" ht="38.25" customHeight="1" x14ac:dyDescent="0.3">
      <c r="A2669" s="642" t="s">
        <v>2432</v>
      </c>
      <c r="B2669" s="643" t="s">
        <v>2921</v>
      </c>
      <c r="C2669" s="642" t="s">
        <v>32</v>
      </c>
      <c r="D2669" s="642" t="s">
        <v>2922</v>
      </c>
      <c r="E2669" s="906" t="s">
        <v>2465</v>
      </c>
      <c r="F2669" s="906"/>
      <c r="G2669" s="644" t="s">
        <v>103</v>
      </c>
      <c r="H2669" s="645">
        <v>1</v>
      </c>
      <c r="I2669" s="646">
        <v>55.99</v>
      </c>
      <c r="J2669" s="646">
        <v>55.99</v>
      </c>
    </row>
    <row r="2670" spans="1:10" s="358" customFormat="1" ht="38.25" customHeight="1" x14ac:dyDescent="0.3">
      <c r="A2670" s="519" t="s">
        <v>2434</v>
      </c>
      <c r="B2670" s="520" t="s">
        <v>3468</v>
      </c>
      <c r="C2670" s="519" t="s">
        <v>32</v>
      </c>
      <c r="D2670" s="519" t="s">
        <v>3469</v>
      </c>
      <c r="E2670" s="905" t="s">
        <v>2465</v>
      </c>
      <c r="F2670" s="905"/>
      <c r="G2670" s="521" t="s">
        <v>1901</v>
      </c>
      <c r="H2670" s="522">
        <v>1</v>
      </c>
      <c r="I2670" s="523">
        <v>42.6</v>
      </c>
      <c r="J2670" s="523">
        <v>42.6</v>
      </c>
    </row>
    <row r="2671" spans="1:10" ht="38.25" customHeight="1" x14ac:dyDescent="0.3">
      <c r="A2671" s="519" t="s">
        <v>2434</v>
      </c>
      <c r="B2671" s="520" t="s">
        <v>3470</v>
      </c>
      <c r="C2671" s="519" t="s">
        <v>32</v>
      </c>
      <c r="D2671" s="519" t="s">
        <v>3471</v>
      </c>
      <c r="E2671" s="905" t="s">
        <v>2465</v>
      </c>
      <c r="F2671" s="905"/>
      <c r="G2671" s="521" t="s">
        <v>1901</v>
      </c>
      <c r="H2671" s="522">
        <v>1</v>
      </c>
      <c r="I2671" s="523">
        <v>6.65</v>
      </c>
      <c r="J2671" s="523">
        <v>6.65</v>
      </c>
    </row>
    <row r="2672" spans="1:10" s="358" customFormat="1" ht="38.25" customHeight="1" x14ac:dyDescent="0.3">
      <c r="A2672" s="519" t="s">
        <v>2434</v>
      </c>
      <c r="B2672" s="520" t="s">
        <v>3464</v>
      </c>
      <c r="C2672" s="519" t="s">
        <v>32</v>
      </c>
      <c r="D2672" s="519" t="s">
        <v>3465</v>
      </c>
      <c r="E2672" s="905" t="s">
        <v>2465</v>
      </c>
      <c r="F2672" s="905"/>
      <c r="G2672" s="521" t="s">
        <v>1901</v>
      </c>
      <c r="H2672" s="522">
        <v>1</v>
      </c>
      <c r="I2672" s="523">
        <v>5.32</v>
      </c>
      <c r="J2672" s="523">
        <v>5.32</v>
      </c>
    </row>
    <row r="2673" spans="1:10" ht="39" customHeight="1" thickBot="1" x14ac:dyDescent="0.35">
      <c r="A2673" s="519" t="s">
        <v>2434</v>
      </c>
      <c r="B2673" s="520" t="s">
        <v>3466</v>
      </c>
      <c r="C2673" s="519" t="s">
        <v>32</v>
      </c>
      <c r="D2673" s="519" t="s">
        <v>3467</v>
      </c>
      <c r="E2673" s="905" t="s">
        <v>2465</v>
      </c>
      <c r="F2673" s="905"/>
      <c r="G2673" s="521" t="s">
        <v>1901</v>
      </c>
      <c r="H2673" s="522">
        <v>1</v>
      </c>
      <c r="I2673" s="523">
        <v>1.42</v>
      </c>
      <c r="J2673" s="523">
        <v>1.42</v>
      </c>
    </row>
    <row r="2674" spans="1:10" s="358" customFormat="1" ht="38.25" customHeight="1" thickTop="1" x14ac:dyDescent="0.3">
      <c r="A2674" s="647"/>
      <c r="B2674" s="647"/>
      <c r="C2674" s="647"/>
      <c r="D2674" s="647"/>
      <c r="E2674" s="647"/>
      <c r="F2674" s="647"/>
      <c r="G2674" s="647"/>
      <c r="H2674" s="647"/>
      <c r="I2674" s="647"/>
      <c r="J2674"/>
    </row>
    <row r="2675" spans="1:10" x14ac:dyDescent="0.3">
      <c r="A2675" s="516"/>
      <c r="B2675" s="517" t="s">
        <v>15</v>
      </c>
      <c r="C2675" s="516" t="s">
        <v>16</v>
      </c>
      <c r="D2675" s="516" t="s">
        <v>17</v>
      </c>
      <c r="E2675" s="904" t="s">
        <v>2431</v>
      </c>
      <c r="F2675" s="904"/>
      <c r="G2675" s="518" t="s">
        <v>18</v>
      </c>
      <c r="H2675" s="517" t="s">
        <v>19</v>
      </c>
      <c r="I2675" s="517" t="s">
        <v>20</v>
      </c>
      <c r="J2675" s="517" t="s">
        <v>23</v>
      </c>
    </row>
    <row r="2676" spans="1:10" s="358" customFormat="1" ht="38.25" customHeight="1" x14ac:dyDescent="0.3">
      <c r="A2676" s="642" t="s">
        <v>2432</v>
      </c>
      <c r="B2676" s="643" t="s">
        <v>3464</v>
      </c>
      <c r="C2676" s="642" t="s">
        <v>32</v>
      </c>
      <c r="D2676" s="642" t="s">
        <v>3465</v>
      </c>
      <c r="E2676" s="906" t="s">
        <v>2465</v>
      </c>
      <c r="F2676" s="906"/>
      <c r="G2676" s="644" t="s">
        <v>1901</v>
      </c>
      <c r="H2676" s="645">
        <v>1</v>
      </c>
      <c r="I2676" s="646">
        <v>5.32</v>
      </c>
      <c r="J2676" s="646">
        <v>5.32</v>
      </c>
    </row>
    <row r="2677" spans="1:10" ht="25.5" thickBot="1" x14ac:dyDescent="0.35">
      <c r="A2677" s="519" t="s">
        <v>2437</v>
      </c>
      <c r="B2677" s="520" t="s">
        <v>3472</v>
      </c>
      <c r="C2677" s="519" t="s">
        <v>32</v>
      </c>
      <c r="D2677" s="519" t="s">
        <v>3473</v>
      </c>
      <c r="E2677" s="905" t="s">
        <v>2442</v>
      </c>
      <c r="F2677" s="905"/>
      <c r="G2677" s="521" t="s">
        <v>89</v>
      </c>
      <c r="H2677" s="522">
        <v>5.3300000000000001E-5</v>
      </c>
      <c r="I2677" s="523">
        <v>99828.17</v>
      </c>
      <c r="J2677" s="523">
        <v>5.32</v>
      </c>
    </row>
    <row r="2678" spans="1:10" s="358" customFormat="1" ht="38.25" customHeight="1" thickTop="1" x14ac:dyDescent="0.3">
      <c r="A2678" s="647"/>
      <c r="B2678" s="647"/>
      <c r="C2678" s="647"/>
      <c r="D2678" s="647"/>
      <c r="E2678" s="647"/>
      <c r="F2678" s="647"/>
      <c r="G2678" s="647"/>
      <c r="H2678" s="647"/>
      <c r="I2678" s="647"/>
      <c r="J2678"/>
    </row>
    <row r="2679" spans="1:10" ht="38.25" customHeight="1" x14ac:dyDescent="0.3">
      <c r="A2679" s="516"/>
      <c r="B2679" s="517" t="s">
        <v>15</v>
      </c>
      <c r="C2679" s="516" t="s">
        <v>16</v>
      </c>
      <c r="D2679" s="516" t="s">
        <v>17</v>
      </c>
      <c r="E2679" s="904" t="s">
        <v>2431</v>
      </c>
      <c r="F2679" s="904"/>
      <c r="G2679" s="518" t="s">
        <v>18</v>
      </c>
      <c r="H2679" s="517" t="s">
        <v>19</v>
      </c>
      <c r="I2679" s="517" t="s">
        <v>20</v>
      </c>
      <c r="J2679" s="517" t="s">
        <v>23</v>
      </c>
    </row>
    <row r="2680" spans="1:10" ht="39" customHeight="1" x14ac:dyDescent="0.3">
      <c r="A2680" s="642" t="s">
        <v>2432</v>
      </c>
      <c r="B2680" s="643" t="s">
        <v>3466</v>
      </c>
      <c r="C2680" s="642" t="s">
        <v>32</v>
      </c>
      <c r="D2680" s="642" t="s">
        <v>3467</v>
      </c>
      <c r="E2680" s="906" t="s">
        <v>2465</v>
      </c>
      <c r="F2680" s="906"/>
      <c r="G2680" s="644" t="s">
        <v>1901</v>
      </c>
      <c r="H2680" s="645">
        <v>1</v>
      </c>
      <c r="I2680" s="646">
        <v>1.42</v>
      </c>
      <c r="J2680" s="646">
        <v>1.42</v>
      </c>
    </row>
    <row r="2681" spans="1:10" s="358" customFormat="1" ht="25.5" thickBot="1" x14ac:dyDescent="0.35">
      <c r="A2681" s="519" t="s">
        <v>2437</v>
      </c>
      <c r="B2681" s="520" t="s">
        <v>3472</v>
      </c>
      <c r="C2681" s="519" t="s">
        <v>32</v>
      </c>
      <c r="D2681" s="519" t="s">
        <v>3473</v>
      </c>
      <c r="E2681" s="905" t="s">
        <v>2442</v>
      </c>
      <c r="F2681" s="905"/>
      <c r="G2681" s="521" t="s">
        <v>89</v>
      </c>
      <c r="H2681" s="522">
        <v>1.43E-5</v>
      </c>
      <c r="I2681" s="523">
        <v>99828.17</v>
      </c>
      <c r="J2681" s="523">
        <v>1.42</v>
      </c>
    </row>
    <row r="2682" spans="1:10" ht="14.5" thickTop="1" x14ac:dyDescent="0.3">
      <c r="A2682" s="647"/>
      <c r="B2682" s="647"/>
      <c r="C2682" s="647"/>
      <c r="D2682" s="647"/>
      <c r="E2682" s="647"/>
      <c r="F2682" s="647"/>
      <c r="G2682" s="647"/>
      <c r="H2682" s="647"/>
      <c r="I2682" s="647"/>
      <c r="J2682"/>
    </row>
    <row r="2683" spans="1:10" s="358" customFormat="1" ht="38.25" customHeight="1" x14ac:dyDescent="0.3">
      <c r="A2683" s="516"/>
      <c r="B2683" s="517" t="s">
        <v>15</v>
      </c>
      <c r="C2683" s="516" t="s">
        <v>16</v>
      </c>
      <c r="D2683" s="516" t="s">
        <v>17</v>
      </c>
      <c r="E2683" s="904" t="s">
        <v>2431</v>
      </c>
      <c r="F2683" s="904"/>
      <c r="G2683" s="518" t="s">
        <v>18</v>
      </c>
      <c r="H2683" s="517" t="s">
        <v>19</v>
      </c>
      <c r="I2683" s="517" t="s">
        <v>20</v>
      </c>
      <c r="J2683" s="517" t="s">
        <v>23</v>
      </c>
    </row>
    <row r="2684" spans="1:10" ht="38.25" customHeight="1" x14ac:dyDescent="0.3">
      <c r="A2684" s="642" t="s">
        <v>2432</v>
      </c>
      <c r="B2684" s="643" t="s">
        <v>3470</v>
      </c>
      <c r="C2684" s="642" t="s">
        <v>32</v>
      </c>
      <c r="D2684" s="642" t="s">
        <v>3471</v>
      </c>
      <c r="E2684" s="906" t="s">
        <v>2465</v>
      </c>
      <c r="F2684" s="906"/>
      <c r="G2684" s="644" t="s">
        <v>1901</v>
      </c>
      <c r="H2684" s="645">
        <v>1</v>
      </c>
      <c r="I2684" s="646">
        <v>6.65</v>
      </c>
      <c r="J2684" s="646">
        <v>6.65</v>
      </c>
    </row>
    <row r="2685" spans="1:10" ht="38.25" customHeight="1" thickBot="1" x14ac:dyDescent="0.35">
      <c r="A2685" s="519" t="s">
        <v>2437</v>
      </c>
      <c r="B2685" s="520" t="s">
        <v>3472</v>
      </c>
      <c r="C2685" s="519" t="s">
        <v>32</v>
      </c>
      <c r="D2685" s="519" t="s">
        <v>3473</v>
      </c>
      <c r="E2685" s="905" t="s">
        <v>2442</v>
      </c>
      <c r="F2685" s="905"/>
      <c r="G2685" s="521" t="s">
        <v>89</v>
      </c>
      <c r="H2685" s="522">
        <v>6.6699999999999995E-5</v>
      </c>
      <c r="I2685" s="523">
        <v>99828.17</v>
      </c>
      <c r="J2685" s="523">
        <v>6.65</v>
      </c>
    </row>
    <row r="2686" spans="1:10" ht="38.25" customHeight="1" thickTop="1" x14ac:dyDescent="0.3">
      <c r="A2686" s="647"/>
      <c r="B2686" s="647"/>
      <c r="C2686" s="647"/>
      <c r="D2686" s="647"/>
      <c r="E2686" s="647"/>
      <c r="F2686" s="647"/>
      <c r="G2686" s="647"/>
      <c r="H2686" s="647"/>
      <c r="I2686" s="647"/>
      <c r="J2686"/>
    </row>
    <row r="2687" spans="1:10" ht="39" customHeight="1" x14ac:dyDescent="0.3">
      <c r="A2687" s="516"/>
      <c r="B2687" s="517" t="s">
        <v>15</v>
      </c>
      <c r="C2687" s="516" t="s">
        <v>16</v>
      </c>
      <c r="D2687" s="516" t="s">
        <v>17</v>
      </c>
      <c r="E2687" s="904" t="s">
        <v>2431</v>
      </c>
      <c r="F2687" s="904"/>
      <c r="G2687" s="518" t="s">
        <v>18</v>
      </c>
      <c r="H2687" s="517" t="s">
        <v>19</v>
      </c>
      <c r="I2687" s="517" t="s">
        <v>20</v>
      </c>
      <c r="J2687" s="517" t="s">
        <v>23</v>
      </c>
    </row>
    <row r="2688" spans="1:10" s="358" customFormat="1" ht="38.25" customHeight="1" x14ac:dyDescent="0.3">
      <c r="A2688" s="642" t="s">
        <v>2432</v>
      </c>
      <c r="B2688" s="643" t="s">
        <v>3468</v>
      </c>
      <c r="C2688" s="642" t="s">
        <v>32</v>
      </c>
      <c r="D2688" s="642" t="s">
        <v>3469</v>
      </c>
      <c r="E2688" s="906" t="s">
        <v>2465</v>
      </c>
      <c r="F2688" s="906"/>
      <c r="G2688" s="644" t="s">
        <v>1901</v>
      </c>
      <c r="H2688" s="645">
        <v>1</v>
      </c>
      <c r="I2688" s="646">
        <v>42.6</v>
      </c>
      <c r="J2688" s="646">
        <v>42.6</v>
      </c>
    </row>
    <row r="2689" spans="1:10" ht="14.5" thickBot="1" x14ac:dyDescent="0.35">
      <c r="A2689" s="519" t="s">
        <v>2437</v>
      </c>
      <c r="B2689" s="520" t="s">
        <v>4485</v>
      </c>
      <c r="C2689" s="519" t="s">
        <v>125</v>
      </c>
      <c r="D2689" s="519" t="s">
        <v>4486</v>
      </c>
      <c r="E2689" s="905" t="s">
        <v>2442</v>
      </c>
      <c r="F2689" s="905"/>
      <c r="G2689" s="521" t="s">
        <v>2829</v>
      </c>
      <c r="H2689" s="522">
        <v>7.88</v>
      </c>
      <c r="I2689" s="523">
        <v>5.4069000000000003</v>
      </c>
      <c r="J2689" s="523">
        <v>42.6</v>
      </c>
    </row>
    <row r="2690" spans="1:10" s="358" customFormat="1" ht="38.25" customHeight="1" thickTop="1" x14ac:dyDescent="0.3">
      <c r="A2690" s="647"/>
      <c r="B2690" s="647"/>
      <c r="C2690" s="647"/>
      <c r="D2690" s="647"/>
      <c r="E2690" s="647"/>
      <c r="F2690" s="647"/>
      <c r="G2690" s="647"/>
      <c r="H2690" s="647"/>
      <c r="I2690" s="647"/>
      <c r="J2690"/>
    </row>
    <row r="2691" spans="1:10" x14ac:dyDescent="0.3">
      <c r="A2691" s="516"/>
      <c r="B2691" s="517" t="s">
        <v>15</v>
      </c>
      <c r="C2691" s="516" t="s">
        <v>16</v>
      </c>
      <c r="D2691" s="516" t="s">
        <v>17</v>
      </c>
      <c r="E2691" s="904" t="s">
        <v>2431</v>
      </c>
      <c r="F2691" s="904"/>
      <c r="G2691" s="518" t="s">
        <v>18</v>
      </c>
      <c r="H2691" s="517" t="s">
        <v>19</v>
      </c>
      <c r="I2691" s="517" t="s">
        <v>20</v>
      </c>
      <c r="J2691" s="517" t="s">
        <v>23</v>
      </c>
    </row>
    <row r="2692" spans="1:10" s="358" customFormat="1" ht="37.5" x14ac:dyDescent="0.3">
      <c r="A2692" s="642" t="s">
        <v>2432</v>
      </c>
      <c r="B2692" s="643" t="s">
        <v>3022</v>
      </c>
      <c r="C2692" s="642" t="s">
        <v>32</v>
      </c>
      <c r="D2692" s="642" t="s">
        <v>3023</v>
      </c>
      <c r="E2692" s="906" t="s">
        <v>2617</v>
      </c>
      <c r="F2692" s="906"/>
      <c r="G2692" s="644" t="s">
        <v>118</v>
      </c>
      <c r="H2692" s="645">
        <v>1</v>
      </c>
      <c r="I2692" s="646">
        <v>817.03</v>
      </c>
      <c r="J2692" s="646">
        <v>817.03</v>
      </c>
    </row>
    <row r="2693" spans="1:10" ht="25" x14ac:dyDescent="0.3">
      <c r="A2693" s="519" t="s">
        <v>2434</v>
      </c>
      <c r="B2693" s="520" t="s">
        <v>2561</v>
      </c>
      <c r="C2693" s="519" t="s">
        <v>32</v>
      </c>
      <c r="D2693" s="519" t="s">
        <v>2562</v>
      </c>
      <c r="E2693" s="905" t="s">
        <v>2433</v>
      </c>
      <c r="F2693" s="905"/>
      <c r="G2693" s="521" t="s">
        <v>1901</v>
      </c>
      <c r="H2693" s="522">
        <v>6.2382999999999997</v>
      </c>
      <c r="I2693" s="523">
        <v>23.4</v>
      </c>
      <c r="J2693" s="523">
        <v>145.97</v>
      </c>
    </row>
    <row r="2694" spans="1:10" s="358" customFormat="1" ht="38.25" customHeight="1" x14ac:dyDescent="0.3">
      <c r="A2694" s="519" t="s">
        <v>2437</v>
      </c>
      <c r="B2694" s="520" t="s">
        <v>2816</v>
      </c>
      <c r="C2694" s="519" t="s">
        <v>125</v>
      </c>
      <c r="D2694" s="519" t="s">
        <v>2817</v>
      </c>
      <c r="E2694" s="905" t="s">
        <v>2442</v>
      </c>
      <c r="F2694" s="905"/>
      <c r="G2694" s="521" t="s">
        <v>118</v>
      </c>
      <c r="H2694" s="522">
        <v>0.83479999999999999</v>
      </c>
      <c r="I2694" s="523">
        <v>149.36019999999999</v>
      </c>
      <c r="J2694" s="523">
        <v>124.68</v>
      </c>
    </row>
    <row r="2695" spans="1:10" x14ac:dyDescent="0.3">
      <c r="A2695" s="519" t="s">
        <v>2437</v>
      </c>
      <c r="B2695" s="520" t="s">
        <v>4470</v>
      </c>
      <c r="C2695" s="519" t="s">
        <v>125</v>
      </c>
      <c r="D2695" s="519" t="s">
        <v>4471</v>
      </c>
      <c r="E2695" s="905" t="s">
        <v>2442</v>
      </c>
      <c r="F2695" s="905"/>
      <c r="G2695" s="521" t="s">
        <v>384</v>
      </c>
      <c r="H2695" s="522">
        <v>283.30919999999998</v>
      </c>
      <c r="I2695" s="523">
        <v>0.56679999999999997</v>
      </c>
      <c r="J2695" s="523">
        <v>160.57</v>
      </c>
    </row>
    <row r="2696" spans="1:10" s="358" customFormat="1" ht="25.5" thickBot="1" x14ac:dyDescent="0.35">
      <c r="A2696" s="519" t="s">
        <v>2437</v>
      </c>
      <c r="B2696" s="520" t="s">
        <v>3474</v>
      </c>
      <c r="C2696" s="519" t="s">
        <v>32</v>
      </c>
      <c r="D2696" s="519" t="s">
        <v>3475</v>
      </c>
      <c r="E2696" s="905" t="s">
        <v>2442</v>
      </c>
      <c r="F2696" s="905"/>
      <c r="G2696" s="521" t="s">
        <v>118</v>
      </c>
      <c r="H2696" s="522">
        <v>0.59460000000000002</v>
      </c>
      <c r="I2696" s="523">
        <v>648.87</v>
      </c>
      <c r="J2696" s="523">
        <v>385.81</v>
      </c>
    </row>
    <row r="2697" spans="1:10" ht="14.5" thickTop="1" x14ac:dyDescent="0.3">
      <c r="A2697" s="647"/>
      <c r="B2697" s="647"/>
      <c r="C2697" s="647"/>
      <c r="D2697" s="647"/>
      <c r="E2697" s="647"/>
      <c r="F2697" s="647"/>
      <c r="G2697" s="647"/>
      <c r="H2697" s="647"/>
      <c r="I2697" s="647"/>
      <c r="J2697"/>
    </row>
    <row r="2698" spans="1:10" s="358" customFormat="1" ht="38.25" customHeight="1" x14ac:dyDescent="0.3">
      <c r="A2698" s="516"/>
      <c r="B2698" s="517" t="s">
        <v>15</v>
      </c>
      <c r="C2698" s="516" t="s">
        <v>16</v>
      </c>
      <c r="D2698" s="516" t="s">
        <v>17</v>
      </c>
      <c r="E2698" s="904" t="s">
        <v>2431</v>
      </c>
      <c r="F2698" s="904"/>
      <c r="G2698" s="518" t="s">
        <v>18</v>
      </c>
      <c r="H2698" s="517" t="s">
        <v>19</v>
      </c>
      <c r="I2698" s="517" t="s">
        <v>20</v>
      </c>
      <c r="J2698" s="517" t="s">
        <v>23</v>
      </c>
    </row>
    <row r="2699" spans="1:10" ht="37.5" x14ac:dyDescent="0.3">
      <c r="A2699" s="642" t="s">
        <v>2432</v>
      </c>
      <c r="B2699" s="643" t="s">
        <v>2904</v>
      </c>
      <c r="C2699" s="642" t="s">
        <v>32</v>
      </c>
      <c r="D2699" s="642" t="s">
        <v>2905</v>
      </c>
      <c r="E2699" s="906" t="s">
        <v>2617</v>
      </c>
      <c r="F2699" s="906"/>
      <c r="G2699" s="644" t="s">
        <v>118</v>
      </c>
      <c r="H2699" s="645">
        <v>1</v>
      </c>
      <c r="I2699" s="646">
        <v>468.89</v>
      </c>
      <c r="J2699" s="646">
        <v>468.89</v>
      </c>
    </row>
    <row r="2700" spans="1:10" s="358" customFormat="1" ht="25" x14ac:dyDescent="0.3">
      <c r="A2700" s="519" t="s">
        <v>2434</v>
      </c>
      <c r="B2700" s="520" t="s">
        <v>2561</v>
      </c>
      <c r="C2700" s="519" t="s">
        <v>32</v>
      </c>
      <c r="D2700" s="519" t="s">
        <v>2562</v>
      </c>
      <c r="E2700" s="905" t="s">
        <v>2433</v>
      </c>
      <c r="F2700" s="905"/>
      <c r="G2700" s="521" t="s">
        <v>1901</v>
      </c>
      <c r="H2700" s="522">
        <v>2.5333000000000001</v>
      </c>
      <c r="I2700" s="523">
        <v>23.4</v>
      </c>
      <c r="J2700" s="523">
        <v>59.27</v>
      </c>
    </row>
    <row r="2701" spans="1:10" ht="25" x14ac:dyDescent="0.3">
      <c r="A2701" s="519" t="s">
        <v>2434</v>
      </c>
      <c r="B2701" s="520" t="s">
        <v>2812</v>
      </c>
      <c r="C2701" s="519" t="s">
        <v>32</v>
      </c>
      <c r="D2701" s="519" t="s">
        <v>2813</v>
      </c>
      <c r="E2701" s="905" t="s">
        <v>2433</v>
      </c>
      <c r="F2701" s="905"/>
      <c r="G2701" s="521" t="s">
        <v>1901</v>
      </c>
      <c r="H2701" s="522">
        <v>1.6046</v>
      </c>
      <c r="I2701" s="523">
        <v>25.72</v>
      </c>
      <c r="J2701" s="523">
        <v>41.27</v>
      </c>
    </row>
    <row r="2702" spans="1:10" s="358" customFormat="1" ht="38.25" customHeight="1" x14ac:dyDescent="0.3">
      <c r="A2702" s="519" t="s">
        <v>2434</v>
      </c>
      <c r="B2702" s="520" t="s">
        <v>3180</v>
      </c>
      <c r="C2702" s="519" t="s">
        <v>32</v>
      </c>
      <c r="D2702" s="519" t="s">
        <v>4301</v>
      </c>
      <c r="E2702" s="905" t="s">
        <v>2465</v>
      </c>
      <c r="F2702" s="905"/>
      <c r="G2702" s="521" t="s">
        <v>103</v>
      </c>
      <c r="H2702" s="522">
        <v>0.82589999999999997</v>
      </c>
      <c r="I2702" s="523">
        <v>1.66</v>
      </c>
      <c r="J2702" s="523">
        <v>1.37</v>
      </c>
    </row>
    <row r="2703" spans="1:10" ht="38.25" customHeight="1" x14ac:dyDescent="0.3">
      <c r="A2703" s="519" t="s">
        <v>2434</v>
      </c>
      <c r="B2703" s="520" t="s">
        <v>3181</v>
      </c>
      <c r="C2703" s="519" t="s">
        <v>32</v>
      </c>
      <c r="D2703" s="519" t="s">
        <v>4302</v>
      </c>
      <c r="E2703" s="905" t="s">
        <v>2465</v>
      </c>
      <c r="F2703" s="905"/>
      <c r="G2703" s="521" t="s">
        <v>110</v>
      </c>
      <c r="H2703" s="522">
        <v>0.77869999999999995</v>
      </c>
      <c r="I2703" s="523">
        <v>0.4</v>
      </c>
      <c r="J2703" s="523">
        <v>0.31</v>
      </c>
    </row>
    <row r="2704" spans="1:10" s="358" customFormat="1" x14ac:dyDescent="0.3">
      <c r="A2704" s="519" t="s">
        <v>2437</v>
      </c>
      <c r="B2704" s="520" t="s">
        <v>2816</v>
      </c>
      <c r="C2704" s="519" t="s">
        <v>125</v>
      </c>
      <c r="D2704" s="519" t="s">
        <v>2817</v>
      </c>
      <c r="E2704" s="905" t="s">
        <v>2442</v>
      </c>
      <c r="F2704" s="905"/>
      <c r="G2704" s="521" t="s">
        <v>118</v>
      </c>
      <c r="H2704" s="522">
        <v>0.75580000000000003</v>
      </c>
      <c r="I2704" s="523">
        <v>149.36019999999999</v>
      </c>
      <c r="J2704" s="523">
        <v>112.88</v>
      </c>
    </row>
    <row r="2705" spans="1:10" x14ac:dyDescent="0.3">
      <c r="A2705" s="519" t="s">
        <v>2437</v>
      </c>
      <c r="B2705" s="520" t="s">
        <v>4470</v>
      </c>
      <c r="C2705" s="519" t="s">
        <v>125</v>
      </c>
      <c r="D2705" s="519" t="s">
        <v>4471</v>
      </c>
      <c r="E2705" s="905" t="s">
        <v>2442</v>
      </c>
      <c r="F2705" s="905"/>
      <c r="G2705" s="521" t="s">
        <v>384</v>
      </c>
      <c r="H2705" s="522">
        <v>322.97770000000003</v>
      </c>
      <c r="I2705" s="523">
        <v>0.56679999999999997</v>
      </c>
      <c r="J2705" s="523">
        <v>183.06</v>
      </c>
    </row>
    <row r="2706" spans="1:10" s="358" customFormat="1" ht="14.5" thickBot="1" x14ac:dyDescent="0.35">
      <c r="A2706" s="519" t="s">
        <v>2437</v>
      </c>
      <c r="B2706" s="520" t="s">
        <v>2818</v>
      </c>
      <c r="C2706" s="519" t="s">
        <v>125</v>
      </c>
      <c r="D2706" s="519" t="s">
        <v>2819</v>
      </c>
      <c r="E2706" s="905" t="s">
        <v>2442</v>
      </c>
      <c r="F2706" s="905"/>
      <c r="G2706" s="521" t="s">
        <v>118</v>
      </c>
      <c r="H2706" s="522">
        <v>0.58720000000000006</v>
      </c>
      <c r="I2706" s="523">
        <v>120.4661</v>
      </c>
      <c r="J2706" s="523">
        <v>70.73</v>
      </c>
    </row>
    <row r="2707" spans="1:10" ht="14.5" thickTop="1" x14ac:dyDescent="0.3">
      <c r="A2707" s="647"/>
      <c r="B2707" s="647"/>
      <c r="C2707" s="647"/>
      <c r="D2707" s="647"/>
      <c r="E2707" s="647"/>
      <c r="F2707" s="647"/>
      <c r="G2707" s="647"/>
      <c r="H2707" s="647"/>
      <c r="I2707" s="647"/>
      <c r="J2707"/>
    </row>
    <row r="2708" spans="1:10" x14ac:dyDescent="0.3">
      <c r="A2708" s="516"/>
      <c r="B2708" s="517" t="s">
        <v>15</v>
      </c>
      <c r="C2708" s="516" t="s">
        <v>16</v>
      </c>
      <c r="D2708" s="516" t="s">
        <v>17</v>
      </c>
      <c r="E2708" s="904" t="s">
        <v>2431</v>
      </c>
      <c r="F2708" s="904"/>
      <c r="G2708" s="518" t="s">
        <v>18</v>
      </c>
      <c r="H2708" s="517" t="s">
        <v>19</v>
      </c>
      <c r="I2708" s="517" t="s">
        <v>20</v>
      </c>
      <c r="J2708" s="517" t="s">
        <v>23</v>
      </c>
    </row>
    <row r="2709" spans="1:10" ht="37.5" x14ac:dyDescent="0.3">
      <c r="A2709" s="642" t="s">
        <v>2432</v>
      </c>
      <c r="B2709" s="643" t="s">
        <v>3476</v>
      </c>
      <c r="C2709" s="642" t="s">
        <v>32</v>
      </c>
      <c r="D2709" s="642" t="s">
        <v>3477</v>
      </c>
      <c r="E2709" s="906" t="s">
        <v>2617</v>
      </c>
      <c r="F2709" s="906"/>
      <c r="G2709" s="644" t="s">
        <v>118</v>
      </c>
      <c r="H2709" s="645">
        <v>1</v>
      </c>
      <c r="I2709" s="646">
        <v>481.4</v>
      </c>
      <c r="J2709" s="646">
        <v>481.4</v>
      </c>
    </row>
    <row r="2710" spans="1:10" ht="25" x14ac:dyDescent="0.3">
      <c r="A2710" s="519" t="s">
        <v>2434</v>
      </c>
      <c r="B2710" s="520" t="s">
        <v>2561</v>
      </c>
      <c r="C2710" s="519" t="s">
        <v>32</v>
      </c>
      <c r="D2710" s="519" t="s">
        <v>2562</v>
      </c>
      <c r="E2710" s="905" t="s">
        <v>2433</v>
      </c>
      <c r="F2710" s="905"/>
      <c r="G2710" s="521" t="s">
        <v>1901</v>
      </c>
      <c r="H2710" s="522">
        <v>1.9633</v>
      </c>
      <c r="I2710" s="523">
        <v>23.4</v>
      </c>
      <c r="J2710" s="523">
        <v>45.94</v>
      </c>
    </row>
    <row r="2711" spans="1:10" s="358" customFormat="1" ht="25" x14ac:dyDescent="0.3">
      <c r="A2711" s="519" t="s">
        <v>2434</v>
      </c>
      <c r="B2711" s="520" t="s">
        <v>2812</v>
      </c>
      <c r="C2711" s="519" t="s">
        <v>32</v>
      </c>
      <c r="D2711" s="519" t="s">
        <v>2813</v>
      </c>
      <c r="E2711" s="905" t="s">
        <v>2433</v>
      </c>
      <c r="F2711" s="905"/>
      <c r="G2711" s="521" t="s">
        <v>1901</v>
      </c>
      <c r="H2711" s="522">
        <v>1.24</v>
      </c>
      <c r="I2711" s="523">
        <v>25.72</v>
      </c>
      <c r="J2711" s="523">
        <v>31.89</v>
      </c>
    </row>
    <row r="2712" spans="1:10" ht="38.25" customHeight="1" x14ac:dyDescent="0.3">
      <c r="A2712" s="519" t="s">
        <v>2434</v>
      </c>
      <c r="B2712" s="520" t="s">
        <v>2814</v>
      </c>
      <c r="C2712" s="519" t="s">
        <v>32</v>
      </c>
      <c r="D2712" s="519" t="s">
        <v>4282</v>
      </c>
      <c r="E2712" s="905" t="s">
        <v>2465</v>
      </c>
      <c r="F2712" s="905"/>
      <c r="G2712" s="521" t="s">
        <v>103</v>
      </c>
      <c r="H2712" s="522">
        <v>0.63819999999999999</v>
      </c>
      <c r="I2712" s="523">
        <v>4.9400000000000004</v>
      </c>
      <c r="J2712" s="523">
        <v>3.15</v>
      </c>
    </row>
    <row r="2713" spans="1:10" s="358" customFormat="1" ht="38.25" customHeight="1" x14ac:dyDescent="0.3">
      <c r="A2713" s="519" t="s">
        <v>2434</v>
      </c>
      <c r="B2713" s="520" t="s">
        <v>2815</v>
      </c>
      <c r="C2713" s="519" t="s">
        <v>32</v>
      </c>
      <c r="D2713" s="519" t="s">
        <v>4283</v>
      </c>
      <c r="E2713" s="905" t="s">
        <v>2465</v>
      </c>
      <c r="F2713" s="905"/>
      <c r="G2713" s="521" t="s">
        <v>110</v>
      </c>
      <c r="H2713" s="522">
        <v>0.6018</v>
      </c>
      <c r="I2713" s="523">
        <v>1.66</v>
      </c>
      <c r="J2713" s="523">
        <v>0.99</v>
      </c>
    </row>
    <row r="2714" spans="1:10" x14ac:dyDescent="0.3">
      <c r="A2714" s="519" t="s">
        <v>2437</v>
      </c>
      <c r="B2714" s="520" t="s">
        <v>2816</v>
      </c>
      <c r="C2714" s="519" t="s">
        <v>125</v>
      </c>
      <c r="D2714" s="519" t="s">
        <v>2817</v>
      </c>
      <c r="E2714" s="905" t="s">
        <v>2442</v>
      </c>
      <c r="F2714" s="905"/>
      <c r="G2714" s="521" t="s">
        <v>118</v>
      </c>
      <c r="H2714" s="522">
        <v>0.71189999999999998</v>
      </c>
      <c r="I2714" s="523">
        <v>149.36019999999999</v>
      </c>
      <c r="J2714" s="523">
        <v>106.32</v>
      </c>
    </row>
    <row r="2715" spans="1:10" x14ac:dyDescent="0.3">
      <c r="A2715" s="519" t="s">
        <v>2437</v>
      </c>
      <c r="B2715" s="520" t="s">
        <v>4470</v>
      </c>
      <c r="C2715" s="519" t="s">
        <v>125</v>
      </c>
      <c r="D2715" s="519" t="s">
        <v>4471</v>
      </c>
      <c r="E2715" s="905" t="s">
        <v>2442</v>
      </c>
      <c r="F2715" s="905"/>
      <c r="G2715" s="521" t="s">
        <v>384</v>
      </c>
      <c r="H2715" s="522">
        <v>391.16629999999998</v>
      </c>
      <c r="I2715" s="523">
        <v>0.56679999999999997</v>
      </c>
      <c r="J2715" s="523">
        <v>221.71</v>
      </c>
    </row>
    <row r="2716" spans="1:10" ht="38.25" customHeight="1" thickBot="1" x14ac:dyDescent="0.35">
      <c r="A2716" s="519" t="s">
        <v>2437</v>
      </c>
      <c r="B2716" s="520" t="s">
        <v>2818</v>
      </c>
      <c r="C2716" s="519" t="s">
        <v>125</v>
      </c>
      <c r="D2716" s="519" t="s">
        <v>2819</v>
      </c>
      <c r="E2716" s="905" t="s">
        <v>2442</v>
      </c>
      <c r="F2716" s="905"/>
      <c r="G2716" s="521" t="s">
        <v>118</v>
      </c>
      <c r="H2716" s="522">
        <v>0.5927</v>
      </c>
      <c r="I2716" s="523">
        <v>120.4661</v>
      </c>
      <c r="J2716" s="523">
        <v>71.400000000000006</v>
      </c>
    </row>
    <row r="2717" spans="1:10" ht="38.25" customHeight="1" thickTop="1" x14ac:dyDescent="0.3">
      <c r="A2717" s="647"/>
      <c r="B2717" s="647"/>
      <c r="C2717" s="647"/>
      <c r="D2717" s="647"/>
      <c r="E2717" s="647"/>
      <c r="F2717" s="647"/>
      <c r="G2717" s="647"/>
      <c r="H2717" s="647"/>
      <c r="I2717" s="647"/>
      <c r="J2717"/>
    </row>
    <row r="2718" spans="1:10" x14ac:dyDescent="0.3">
      <c r="A2718" s="516"/>
      <c r="B2718" s="517" t="s">
        <v>15</v>
      </c>
      <c r="C2718" s="516" t="s">
        <v>16</v>
      </c>
      <c r="D2718" s="516" t="s">
        <v>17</v>
      </c>
      <c r="E2718" s="904" t="s">
        <v>2431</v>
      </c>
      <c r="F2718" s="904"/>
      <c r="G2718" s="518" t="s">
        <v>18</v>
      </c>
      <c r="H2718" s="517" t="s">
        <v>19</v>
      </c>
      <c r="I2718" s="517" t="s">
        <v>20</v>
      </c>
      <c r="J2718" s="517" t="s">
        <v>23</v>
      </c>
    </row>
    <row r="2719" spans="1:10" ht="25" x14ac:dyDescent="0.3">
      <c r="A2719" s="642" t="s">
        <v>2432</v>
      </c>
      <c r="B2719" s="643" t="s">
        <v>2633</v>
      </c>
      <c r="C2719" s="642" t="s">
        <v>32</v>
      </c>
      <c r="D2719" s="642" t="s">
        <v>2634</v>
      </c>
      <c r="E2719" s="906" t="s">
        <v>2617</v>
      </c>
      <c r="F2719" s="906"/>
      <c r="G2719" s="644" t="s">
        <v>118</v>
      </c>
      <c r="H2719" s="645">
        <v>1</v>
      </c>
      <c r="I2719" s="646">
        <v>470.61</v>
      </c>
      <c r="J2719" s="646">
        <v>470.61</v>
      </c>
    </row>
    <row r="2720" spans="1:10" ht="25" x14ac:dyDescent="0.3">
      <c r="A2720" s="519" t="s">
        <v>2434</v>
      </c>
      <c r="B2720" s="520" t="s">
        <v>2561</v>
      </c>
      <c r="C2720" s="519" t="s">
        <v>32</v>
      </c>
      <c r="D2720" s="519" t="s">
        <v>2562</v>
      </c>
      <c r="E2720" s="905" t="s">
        <v>2433</v>
      </c>
      <c r="F2720" s="905"/>
      <c r="G2720" s="521" t="s">
        <v>1901</v>
      </c>
      <c r="H2720" s="522">
        <v>6.2858000000000001</v>
      </c>
      <c r="I2720" s="523">
        <v>23.4</v>
      </c>
      <c r="J2720" s="523">
        <v>147.08000000000001</v>
      </c>
    </row>
    <row r="2721" spans="1:10" s="358" customFormat="1" x14ac:dyDescent="0.3">
      <c r="A2721" s="519" t="s">
        <v>2437</v>
      </c>
      <c r="B2721" s="520" t="s">
        <v>2816</v>
      </c>
      <c r="C2721" s="519" t="s">
        <v>125</v>
      </c>
      <c r="D2721" s="519" t="s">
        <v>2817</v>
      </c>
      <c r="E2721" s="905" t="s">
        <v>2442</v>
      </c>
      <c r="F2721" s="905"/>
      <c r="G2721" s="521" t="s">
        <v>118</v>
      </c>
      <c r="H2721" s="522">
        <v>0.8538</v>
      </c>
      <c r="I2721" s="523">
        <v>149.36019999999999</v>
      </c>
      <c r="J2721" s="523">
        <v>127.52</v>
      </c>
    </row>
    <row r="2722" spans="1:10" x14ac:dyDescent="0.3">
      <c r="A2722" s="519" t="s">
        <v>2437</v>
      </c>
      <c r="B2722" s="520" t="s">
        <v>4470</v>
      </c>
      <c r="C2722" s="519" t="s">
        <v>125</v>
      </c>
      <c r="D2722" s="519" t="s">
        <v>4471</v>
      </c>
      <c r="E2722" s="905" t="s">
        <v>2442</v>
      </c>
      <c r="F2722" s="905"/>
      <c r="G2722" s="521" t="s">
        <v>384</v>
      </c>
      <c r="H2722" s="522">
        <v>218.93</v>
      </c>
      <c r="I2722" s="523">
        <v>0.56679999999999997</v>
      </c>
      <c r="J2722" s="523">
        <v>124.08</v>
      </c>
    </row>
    <row r="2723" spans="1:10" s="358" customFormat="1" ht="14.5" thickBot="1" x14ac:dyDescent="0.35">
      <c r="A2723" s="519" t="s">
        <v>2437</v>
      </c>
      <c r="B2723" s="520" t="s">
        <v>2818</v>
      </c>
      <c r="C2723" s="519" t="s">
        <v>125</v>
      </c>
      <c r="D2723" s="519" t="s">
        <v>2819</v>
      </c>
      <c r="E2723" s="905" t="s">
        <v>2442</v>
      </c>
      <c r="F2723" s="905"/>
      <c r="G2723" s="521" t="s">
        <v>118</v>
      </c>
      <c r="H2723" s="522">
        <v>0.59709999999999996</v>
      </c>
      <c r="I2723" s="523">
        <v>120.4661</v>
      </c>
      <c r="J2723" s="523">
        <v>71.930000000000007</v>
      </c>
    </row>
    <row r="2724" spans="1:10" ht="14.5" thickTop="1" x14ac:dyDescent="0.3">
      <c r="A2724" s="647"/>
      <c r="B2724" s="647"/>
      <c r="C2724" s="647"/>
      <c r="D2724" s="647"/>
      <c r="E2724" s="647"/>
      <c r="F2724" s="647"/>
      <c r="G2724" s="647"/>
      <c r="H2724" s="647"/>
      <c r="I2724" s="647"/>
      <c r="J2724"/>
    </row>
    <row r="2725" spans="1:10" x14ac:dyDescent="0.3">
      <c r="A2725" s="516"/>
      <c r="B2725" s="517" t="s">
        <v>15</v>
      </c>
      <c r="C2725" s="516" t="s">
        <v>16</v>
      </c>
      <c r="D2725" s="516" t="s">
        <v>17</v>
      </c>
      <c r="E2725" s="904" t="s">
        <v>2431</v>
      </c>
      <c r="F2725" s="904"/>
      <c r="G2725" s="518" t="s">
        <v>18</v>
      </c>
      <c r="H2725" s="517" t="s">
        <v>19</v>
      </c>
      <c r="I2725" s="517" t="s">
        <v>20</v>
      </c>
      <c r="J2725" s="517" t="s">
        <v>23</v>
      </c>
    </row>
    <row r="2726" spans="1:10" ht="38.25" customHeight="1" x14ac:dyDescent="0.3">
      <c r="A2726" s="642" t="s">
        <v>2432</v>
      </c>
      <c r="B2726" s="643" t="s">
        <v>2615</v>
      </c>
      <c r="C2726" s="642" t="s">
        <v>32</v>
      </c>
      <c r="D2726" s="642" t="s">
        <v>2616</v>
      </c>
      <c r="E2726" s="906" t="s">
        <v>2617</v>
      </c>
      <c r="F2726" s="906"/>
      <c r="G2726" s="644" t="s">
        <v>118</v>
      </c>
      <c r="H2726" s="645">
        <v>1</v>
      </c>
      <c r="I2726" s="646">
        <v>407.78</v>
      </c>
      <c r="J2726" s="646">
        <v>407.78</v>
      </c>
    </row>
    <row r="2727" spans="1:10" ht="38.25" customHeight="1" x14ac:dyDescent="0.3">
      <c r="A2727" s="519" t="s">
        <v>2434</v>
      </c>
      <c r="B2727" s="520" t="s">
        <v>2561</v>
      </c>
      <c r="C2727" s="519" t="s">
        <v>32</v>
      </c>
      <c r="D2727" s="519" t="s">
        <v>2562</v>
      </c>
      <c r="E2727" s="905" t="s">
        <v>2433</v>
      </c>
      <c r="F2727" s="905"/>
      <c r="G2727" s="521" t="s">
        <v>1901</v>
      </c>
      <c r="H2727" s="522">
        <v>2.3433000000000002</v>
      </c>
      <c r="I2727" s="523">
        <v>23.4</v>
      </c>
      <c r="J2727" s="523">
        <v>54.83</v>
      </c>
    </row>
    <row r="2728" spans="1:10" ht="25" x14ac:dyDescent="0.3">
      <c r="A2728" s="519" t="s">
        <v>2434</v>
      </c>
      <c r="B2728" s="520" t="s">
        <v>2812</v>
      </c>
      <c r="C2728" s="519" t="s">
        <v>32</v>
      </c>
      <c r="D2728" s="519" t="s">
        <v>2813</v>
      </c>
      <c r="E2728" s="905" t="s">
        <v>2433</v>
      </c>
      <c r="F2728" s="905"/>
      <c r="G2728" s="521" t="s">
        <v>1901</v>
      </c>
      <c r="H2728" s="522">
        <v>1.4811000000000001</v>
      </c>
      <c r="I2728" s="523">
        <v>25.72</v>
      </c>
      <c r="J2728" s="523">
        <v>38.090000000000003</v>
      </c>
    </row>
    <row r="2729" spans="1:10" ht="38.25" customHeight="1" x14ac:dyDescent="0.3">
      <c r="A2729" s="519" t="s">
        <v>2434</v>
      </c>
      <c r="B2729" s="520" t="s">
        <v>3180</v>
      </c>
      <c r="C2729" s="519" t="s">
        <v>32</v>
      </c>
      <c r="D2729" s="519" t="s">
        <v>4301</v>
      </c>
      <c r="E2729" s="905" t="s">
        <v>2465</v>
      </c>
      <c r="F2729" s="905"/>
      <c r="G2729" s="521" t="s">
        <v>103</v>
      </c>
      <c r="H2729" s="522">
        <v>0.76229999999999998</v>
      </c>
      <c r="I2729" s="523">
        <v>1.66</v>
      </c>
      <c r="J2729" s="523">
        <v>1.26</v>
      </c>
    </row>
    <row r="2730" spans="1:10" ht="38.25" customHeight="1" x14ac:dyDescent="0.3">
      <c r="A2730" s="519" t="s">
        <v>2434</v>
      </c>
      <c r="B2730" s="520" t="s">
        <v>3181</v>
      </c>
      <c r="C2730" s="519" t="s">
        <v>32</v>
      </c>
      <c r="D2730" s="519" t="s">
        <v>4302</v>
      </c>
      <c r="E2730" s="905" t="s">
        <v>2465</v>
      </c>
      <c r="F2730" s="905"/>
      <c r="G2730" s="521" t="s">
        <v>110</v>
      </c>
      <c r="H2730" s="522">
        <v>0.71879999999999999</v>
      </c>
      <c r="I2730" s="523">
        <v>0.4</v>
      </c>
      <c r="J2730" s="523">
        <v>0.28000000000000003</v>
      </c>
    </row>
    <row r="2731" spans="1:10" s="358" customFormat="1" x14ac:dyDescent="0.3">
      <c r="A2731" s="519" t="s">
        <v>2437</v>
      </c>
      <c r="B2731" s="520" t="s">
        <v>2816</v>
      </c>
      <c r="C2731" s="519" t="s">
        <v>125</v>
      </c>
      <c r="D2731" s="519" t="s">
        <v>2817</v>
      </c>
      <c r="E2731" s="905" t="s">
        <v>2442</v>
      </c>
      <c r="F2731" s="905"/>
      <c r="G2731" s="521" t="s">
        <v>118</v>
      </c>
      <c r="H2731" s="522">
        <v>0.82689999999999997</v>
      </c>
      <c r="I2731" s="523">
        <v>149.36019999999999</v>
      </c>
      <c r="J2731" s="523">
        <v>123.5</v>
      </c>
    </row>
    <row r="2732" spans="1:10" x14ac:dyDescent="0.3">
      <c r="A2732" s="519" t="s">
        <v>2437</v>
      </c>
      <c r="B2732" s="520" t="s">
        <v>4470</v>
      </c>
      <c r="C2732" s="519" t="s">
        <v>125</v>
      </c>
      <c r="D2732" s="519" t="s">
        <v>4471</v>
      </c>
      <c r="E2732" s="905" t="s">
        <v>2442</v>
      </c>
      <c r="F2732" s="905"/>
      <c r="G2732" s="521" t="s">
        <v>384</v>
      </c>
      <c r="H2732" s="522">
        <v>212.01939999999999</v>
      </c>
      <c r="I2732" s="523">
        <v>0.56679999999999997</v>
      </c>
      <c r="J2732" s="523">
        <v>120.17</v>
      </c>
    </row>
    <row r="2733" spans="1:10" s="358" customFormat="1" ht="14.5" thickBot="1" x14ac:dyDescent="0.35">
      <c r="A2733" s="519" t="s">
        <v>2437</v>
      </c>
      <c r="B2733" s="520" t="s">
        <v>2818</v>
      </c>
      <c r="C2733" s="519" t="s">
        <v>125</v>
      </c>
      <c r="D2733" s="519" t="s">
        <v>2819</v>
      </c>
      <c r="E2733" s="905" t="s">
        <v>2442</v>
      </c>
      <c r="F2733" s="905"/>
      <c r="G2733" s="521" t="s">
        <v>118</v>
      </c>
      <c r="H2733" s="522">
        <v>0.57820000000000005</v>
      </c>
      <c r="I2733" s="523">
        <v>120.4661</v>
      </c>
      <c r="J2733" s="523">
        <v>69.650000000000006</v>
      </c>
    </row>
    <row r="2734" spans="1:10" ht="14.5" thickTop="1" x14ac:dyDescent="0.3">
      <c r="A2734" s="647"/>
      <c r="B2734" s="647"/>
      <c r="C2734" s="647"/>
      <c r="D2734" s="647"/>
      <c r="E2734" s="647"/>
      <c r="F2734" s="647"/>
      <c r="G2734" s="647"/>
      <c r="H2734" s="647"/>
      <c r="I2734" s="647"/>
      <c r="J2734"/>
    </row>
    <row r="2735" spans="1:10" x14ac:dyDescent="0.3">
      <c r="A2735" s="516"/>
      <c r="B2735" s="517" t="s">
        <v>15</v>
      </c>
      <c r="C2735" s="516" t="s">
        <v>16</v>
      </c>
      <c r="D2735" s="516" t="s">
        <v>17</v>
      </c>
      <c r="E2735" s="904" t="s">
        <v>2431</v>
      </c>
      <c r="F2735" s="904"/>
      <c r="G2735" s="518" t="s">
        <v>18</v>
      </c>
      <c r="H2735" s="517" t="s">
        <v>19</v>
      </c>
      <c r="I2735" s="517" t="s">
        <v>20</v>
      </c>
      <c r="J2735" s="517" t="s">
        <v>23</v>
      </c>
    </row>
    <row r="2736" spans="1:10" ht="38.25" customHeight="1" x14ac:dyDescent="0.3">
      <c r="A2736" s="642" t="s">
        <v>2432</v>
      </c>
      <c r="B2736" s="643" t="s">
        <v>2713</v>
      </c>
      <c r="C2736" s="642" t="s">
        <v>32</v>
      </c>
      <c r="D2736" s="642" t="s">
        <v>4267</v>
      </c>
      <c r="E2736" s="906" t="s">
        <v>2661</v>
      </c>
      <c r="F2736" s="906"/>
      <c r="G2736" s="644" t="s">
        <v>89</v>
      </c>
      <c r="H2736" s="645">
        <v>1</v>
      </c>
      <c r="I2736" s="646">
        <v>25.24</v>
      </c>
      <c r="J2736" s="646">
        <v>25.24</v>
      </c>
    </row>
    <row r="2737" spans="1:10" ht="25" x14ac:dyDescent="0.3">
      <c r="A2737" s="519" t="s">
        <v>2434</v>
      </c>
      <c r="B2737" s="520" t="s">
        <v>2857</v>
      </c>
      <c r="C2737" s="519" t="s">
        <v>32</v>
      </c>
      <c r="D2737" s="519" t="s">
        <v>2858</v>
      </c>
      <c r="E2737" s="905" t="s">
        <v>2433</v>
      </c>
      <c r="F2737" s="905"/>
      <c r="G2737" s="521" t="s">
        <v>1901</v>
      </c>
      <c r="H2737" s="522">
        <v>0.2397</v>
      </c>
      <c r="I2737" s="523">
        <v>24.65</v>
      </c>
      <c r="J2737" s="523">
        <v>5.9</v>
      </c>
    </row>
    <row r="2738" spans="1:10" s="358" customFormat="1" ht="25" x14ac:dyDescent="0.3">
      <c r="A2738" s="519" t="s">
        <v>2434</v>
      </c>
      <c r="B2738" s="520" t="s">
        <v>2766</v>
      </c>
      <c r="C2738" s="519" t="s">
        <v>32</v>
      </c>
      <c r="D2738" s="519" t="s">
        <v>2767</v>
      </c>
      <c r="E2738" s="905" t="s">
        <v>2433</v>
      </c>
      <c r="F2738" s="905"/>
      <c r="G2738" s="521" t="s">
        <v>1901</v>
      </c>
      <c r="H2738" s="522">
        <v>0.2397</v>
      </c>
      <c r="I2738" s="523">
        <v>31.49</v>
      </c>
      <c r="J2738" s="523">
        <v>7.54</v>
      </c>
    </row>
    <row r="2739" spans="1:10" ht="37.5" x14ac:dyDescent="0.3">
      <c r="A2739" s="519" t="s">
        <v>2437</v>
      </c>
      <c r="B2739" s="520" t="s">
        <v>3478</v>
      </c>
      <c r="C2739" s="519" t="s">
        <v>32</v>
      </c>
      <c r="D2739" s="519" t="s">
        <v>3479</v>
      </c>
      <c r="E2739" s="905" t="s">
        <v>2442</v>
      </c>
      <c r="F2739" s="905"/>
      <c r="G2739" s="521" t="s">
        <v>89</v>
      </c>
      <c r="H2739" s="522">
        <v>2</v>
      </c>
      <c r="I2739" s="523">
        <v>0.39</v>
      </c>
      <c r="J2739" s="523">
        <v>0.78</v>
      </c>
    </row>
    <row r="2740" spans="1:10" s="358" customFormat="1" ht="14.5" thickBot="1" x14ac:dyDescent="0.35">
      <c r="A2740" s="519" t="s">
        <v>2437</v>
      </c>
      <c r="B2740" s="520" t="s">
        <v>3480</v>
      </c>
      <c r="C2740" s="519" t="s">
        <v>32</v>
      </c>
      <c r="D2740" s="519" t="s">
        <v>3481</v>
      </c>
      <c r="E2740" s="905" t="s">
        <v>2442</v>
      </c>
      <c r="F2740" s="905"/>
      <c r="G2740" s="521" t="s">
        <v>89</v>
      </c>
      <c r="H2740" s="522">
        <v>1</v>
      </c>
      <c r="I2740" s="523">
        <v>11.02</v>
      </c>
      <c r="J2740" s="523">
        <v>11.02</v>
      </c>
    </row>
    <row r="2741" spans="1:10" ht="14.5" thickTop="1" x14ac:dyDescent="0.3">
      <c r="A2741" s="647"/>
      <c r="B2741" s="647"/>
      <c r="C2741" s="647"/>
      <c r="D2741" s="647"/>
      <c r="E2741" s="647"/>
      <c r="F2741" s="647"/>
      <c r="G2741" s="647"/>
      <c r="H2741" s="647"/>
      <c r="I2741" s="647"/>
      <c r="J2741"/>
    </row>
    <row r="2742" spans="1:10" x14ac:dyDescent="0.3">
      <c r="A2742" s="516"/>
      <c r="B2742" s="517" t="s">
        <v>15</v>
      </c>
      <c r="C2742" s="516" t="s">
        <v>16</v>
      </c>
      <c r="D2742" s="516" t="s">
        <v>17</v>
      </c>
      <c r="E2742" s="904" t="s">
        <v>2431</v>
      </c>
      <c r="F2742" s="904"/>
      <c r="G2742" s="518" t="s">
        <v>18</v>
      </c>
      <c r="H2742" s="517" t="s">
        <v>19</v>
      </c>
      <c r="I2742" s="517" t="s">
        <v>20</v>
      </c>
      <c r="J2742" s="517" t="s">
        <v>23</v>
      </c>
    </row>
    <row r="2743" spans="1:10" ht="38.25" customHeight="1" x14ac:dyDescent="0.3">
      <c r="A2743" s="642" t="s">
        <v>2432</v>
      </c>
      <c r="B2743" s="643" t="s">
        <v>2681</v>
      </c>
      <c r="C2743" s="642" t="s">
        <v>32</v>
      </c>
      <c r="D2743" s="642" t="s">
        <v>4264</v>
      </c>
      <c r="E2743" s="906" t="s">
        <v>2661</v>
      </c>
      <c r="F2743" s="906"/>
      <c r="G2743" s="644" t="s">
        <v>89</v>
      </c>
      <c r="H2743" s="645">
        <v>1</v>
      </c>
      <c r="I2743" s="646">
        <v>20.95</v>
      </c>
      <c r="J2743" s="646">
        <v>20.95</v>
      </c>
    </row>
    <row r="2744" spans="1:10" ht="38.25" customHeight="1" x14ac:dyDescent="0.3">
      <c r="A2744" s="519" t="s">
        <v>2434</v>
      </c>
      <c r="B2744" s="520" t="s">
        <v>2857</v>
      </c>
      <c r="C2744" s="519" t="s">
        <v>32</v>
      </c>
      <c r="D2744" s="519" t="s">
        <v>2858</v>
      </c>
      <c r="E2744" s="905" t="s">
        <v>2433</v>
      </c>
      <c r="F2744" s="905"/>
      <c r="G2744" s="521" t="s">
        <v>1901</v>
      </c>
      <c r="H2744" s="522">
        <v>0.157</v>
      </c>
      <c r="I2744" s="523">
        <v>24.65</v>
      </c>
      <c r="J2744" s="523">
        <v>3.87</v>
      </c>
    </row>
    <row r="2745" spans="1:10" ht="25" x14ac:dyDescent="0.3">
      <c r="A2745" s="519" t="s">
        <v>2434</v>
      </c>
      <c r="B2745" s="520" t="s">
        <v>2766</v>
      </c>
      <c r="C2745" s="519" t="s">
        <v>32</v>
      </c>
      <c r="D2745" s="519" t="s">
        <v>2767</v>
      </c>
      <c r="E2745" s="905" t="s">
        <v>2433</v>
      </c>
      <c r="F2745" s="905"/>
      <c r="G2745" s="521" t="s">
        <v>1901</v>
      </c>
      <c r="H2745" s="522">
        <v>0.157</v>
      </c>
      <c r="I2745" s="523">
        <v>31.49</v>
      </c>
      <c r="J2745" s="523">
        <v>4.9400000000000004</v>
      </c>
    </row>
    <row r="2746" spans="1:10" ht="14.5" thickBot="1" x14ac:dyDescent="0.35">
      <c r="A2746" s="519" t="s">
        <v>2437</v>
      </c>
      <c r="B2746" s="520" t="s">
        <v>3482</v>
      </c>
      <c r="C2746" s="519" t="s">
        <v>32</v>
      </c>
      <c r="D2746" s="519" t="s">
        <v>3483</v>
      </c>
      <c r="E2746" s="905" t="s">
        <v>2442</v>
      </c>
      <c r="F2746" s="905"/>
      <c r="G2746" s="521" t="s">
        <v>89</v>
      </c>
      <c r="H2746" s="522">
        <v>1</v>
      </c>
      <c r="I2746" s="523">
        <v>12.14</v>
      </c>
      <c r="J2746" s="523">
        <v>12.14</v>
      </c>
    </row>
    <row r="2747" spans="1:10" ht="14.5" thickTop="1" x14ac:dyDescent="0.3">
      <c r="A2747" s="647"/>
      <c r="B2747" s="647"/>
      <c r="C2747" s="647"/>
      <c r="D2747" s="647"/>
      <c r="E2747" s="647"/>
      <c r="F2747" s="647"/>
      <c r="G2747" s="647"/>
      <c r="H2747" s="647"/>
      <c r="I2747" s="647"/>
      <c r="J2747"/>
    </row>
    <row r="2748" spans="1:10" s="358" customFormat="1" x14ac:dyDescent="0.3">
      <c r="A2748" s="516"/>
      <c r="B2748" s="517" t="s">
        <v>15</v>
      </c>
      <c r="C2748" s="516" t="s">
        <v>16</v>
      </c>
      <c r="D2748" s="516" t="s">
        <v>17</v>
      </c>
      <c r="E2748" s="904" t="s">
        <v>2431</v>
      </c>
      <c r="F2748" s="904"/>
      <c r="G2748" s="518" t="s">
        <v>18</v>
      </c>
      <c r="H2748" s="517" t="s">
        <v>19</v>
      </c>
      <c r="I2748" s="517" t="s">
        <v>20</v>
      </c>
      <c r="J2748" s="517" t="s">
        <v>23</v>
      </c>
    </row>
    <row r="2749" spans="1:10" x14ac:dyDescent="0.3">
      <c r="A2749" s="642" t="s">
        <v>2432</v>
      </c>
      <c r="B2749" s="643" t="s">
        <v>3233</v>
      </c>
      <c r="C2749" s="642" t="s">
        <v>243</v>
      </c>
      <c r="D2749" s="642" t="s">
        <v>3234</v>
      </c>
      <c r="E2749" s="906">
        <v>59</v>
      </c>
      <c r="F2749" s="906"/>
      <c r="G2749" s="644" t="s">
        <v>34</v>
      </c>
      <c r="H2749" s="645">
        <v>1</v>
      </c>
      <c r="I2749" s="646">
        <v>1424.3</v>
      </c>
      <c r="J2749" s="646">
        <v>1424.3</v>
      </c>
    </row>
    <row r="2750" spans="1:10" s="358" customFormat="1" ht="38.25" customHeight="1" thickBot="1" x14ac:dyDescent="0.35">
      <c r="A2750" s="519" t="s">
        <v>2437</v>
      </c>
      <c r="B2750" s="520" t="s">
        <v>4340</v>
      </c>
      <c r="C2750" s="519" t="s">
        <v>125</v>
      </c>
      <c r="D2750" s="519" t="s">
        <v>4527</v>
      </c>
      <c r="E2750" s="905" t="s">
        <v>2442</v>
      </c>
      <c r="F2750" s="905"/>
      <c r="G2750" s="521" t="s">
        <v>2829</v>
      </c>
      <c r="H2750" s="522">
        <v>264</v>
      </c>
      <c r="I2750" s="523">
        <v>5.3951000000000002</v>
      </c>
      <c r="J2750" s="523">
        <v>1424.3</v>
      </c>
    </row>
    <row r="2751" spans="1:10" ht="14.5" thickTop="1" x14ac:dyDescent="0.3">
      <c r="A2751" s="647"/>
      <c r="B2751" s="647"/>
      <c r="C2751" s="647"/>
      <c r="D2751" s="647"/>
      <c r="E2751" s="647"/>
      <c r="F2751" s="647"/>
      <c r="G2751" s="647"/>
      <c r="H2751" s="647"/>
      <c r="I2751" s="647"/>
      <c r="J2751"/>
    </row>
    <row r="2752" spans="1:10" x14ac:dyDescent="0.3">
      <c r="A2752" s="516"/>
      <c r="B2752" s="517" t="s">
        <v>15</v>
      </c>
      <c r="C2752" s="516" t="s">
        <v>16</v>
      </c>
      <c r="D2752" s="516" t="s">
        <v>17</v>
      </c>
      <c r="E2752" s="904" t="s">
        <v>2431</v>
      </c>
      <c r="F2752" s="904"/>
      <c r="G2752" s="518" t="s">
        <v>18</v>
      </c>
      <c r="H2752" s="517" t="s">
        <v>19</v>
      </c>
      <c r="I2752" s="517" t="s">
        <v>20</v>
      </c>
      <c r="J2752" s="517" t="s">
        <v>23</v>
      </c>
    </row>
    <row r="2753" spans="1:10" ht="50" x14ac:dyDescent="0.3">
      <c r="A2753" s="642" t="s">
        <v>2432</v>
      </c>
      <c r="B2753" s="643" t="s">
        <v>2885</v>
      </c>
      <c r="C2753" s="642" t="s">
        <v>32</v>
      </c>
      <c r="D2753" s="642" t="s">
        <v>2886</v>
      </c>
      <c r="E2753" s="906" t="s">
        <v>2465</v>
      </c>
      <c r="F2753" s="906"/>
      <c r="G2753" s="644" t="s">
        <v>110</v>
      </c>
      <c r="H2753" s="645">
        <v>1</v>
      </c>
      <c r="I2753" s="646">
        <v>1.1000000000000001</v>
      </c>
      <c r="J2753" s="646">
        <v>1.1000000000000001</v>
      </c>
    </row>
    <row r="2754" spans="1:10" ht="50" x14ac:dyDescent="0.3">
      <c r="A2754" s="519" t="s">
        <v>2434</v>
      </c>
      <c r="B2754" s="520" t="s">
        <v>3484</v>
      </c>
      <c r="C2754" s="519" t="s">
        <v>32</v>
      </c>
      <c r="D2754" s="519" t="s">
        <v>3485</v>
      </c>
      <c r="E2754" s="905" t="s">
        <v>2465</v>
      </c>
      <c r="F2754" s="905"/>
      <c r="G2754" s="521" t="s">
        <v>1901</v>
      </c>
      <c r="H2754" s="522">
        <v>1</v>
      </c>
      <c r="I2754" s="523">
        <v>0.9</v>
      </c>
      <c r="J2754" s="523">
        <v>0.9</v>
      </c>
    </row>
    <row r="2755" spans="1:10" s="358" customFormat="1" ht="50.5" thickBot="1" x14ac:dyDescent="0.35">
      <c r="A2755" s="519" t="s">
        <v>2434</v>
      </c>
      <c r="B2755" s="520" t="s">
        <v>3486</v>
      </c>
      <c r="C2755" s="519" t="s">
        <v>32</v>
      </c>
      <c r="D2755" s="519" t="s">
        <v>3487</v>
      </c>
      <c r="E2755" s="905" t="s">
        <v>2465</v>
      </c>
      <c r="F2755" s="905"/>
      <c r="G2755" s="521" t="s">
        <v>1901</v>
      </c>
      <c r="H2755" s="522">
        <v>1</v>
      </c>
      <c r="I2755" s="523">
        <v>0.2</v>
      </c>
      <c r="J2755" s="523">
        <v>0.2</v>
      </c>
    </row>
    <row r="2756" spans="1:10" ht="14.5" thickTop="1" x14ac:dyDescent="0.3">
      <c r="A2756" s="647"/>
      <c r="B2756" s="647"/>
      <c r="C2756" s="647"/>
      <c r="D2756" s="647"/>
      <c r="E2756" s="647"/>
      <c r="F2756" s="647"/>
      <c r="G2756" s="647"/>
      <c r="H2756" s="647"/>
      <c r="I2756" s="647"/>
      <c r="J2756"/>
    </row>
    <row r="2757" spans="1:10" s="358" customFormat="1" ht="38.25" customHeight="1" x14ac:dyDescent="0.3">
      <c r="A2757" s="516"/>
      <c r="B2757" s="517" t="s">
        <v>15</v>
      </c>
      <c r="C2757" s="516" t="s">
        <v>16</v>
      </c>
      <c r="D2757" s="516" t="s">
        <v>17</v>
      </c>
      <c r="E2757" s="904" t="s">
        <v>2431</v>
      </c>
      <c r="F2757" s="904"/>
      <c r="G2757" s="518" t="s">
        <v>18</v>
      </c>
      <c r="H2757" s="517" t="s">
        <v>19</v>
      </c>
      <c r="I2757" s="517" t="s">
        <v>20</v>
      </c>
      <c r="J2757" s="517" t="s">
        <v>23</v>
      </c>
    </row>
    <row r="2758" spans="1:10" ht="50" x14ac:dyDescent="0.3">
      <c r="A2758" s="642" t="s">
        <v>2432</v>
      </c>
      <c r="B2758" s="643" t="s">
        <v>2883</v>
      </c>
      <c r="C2758" s="642" t="s">
        <v>32</v>
      </c>
      <c r="D2758" s="642" t="s">
        <v>2884</v>
      </c>
      <c r="E2758" s="906" t="s">
        <v>2465</v>
      </c>
      <c r="F2758" s="906"/>
      <c r="G2758" s="644" t="s">
        <v>103</v>
      </c>
      <c r="H2758" s="645">
        <v>1</v>
      </c>
      <c r="I2758" s="646">
        <v>10.050000000000001</v>
      </c>
      <c r="J2758" s="646">
        <v>10.050000000000001</v>
      </c>
    </row>
    <row r="2759" spans="1:10" ht="50" x14ac:dyDescent="0.3">
      <c r="A2759" s="519" t="s">
        <v>2434</v>
      </c>
      <c r="B2759" s="520" t="s">
        <v>3484</v>
      </c>
      <c r="C2759" s="519" t="s">
        <v>32</v>
      </c>
      <c r="D2759" s="519" t="s">
        <v>3485</v>
      </c>
      <c r="E2759" s="905" t="s">
        <v>2465</v>
      </c>
      <c r="F2759" s="905"/>
      <c r="G2759" s="521" t="s">
        <v>1901</v>
      </c>
      <c r="H2759" s="522">
        <v>1</v>
      </c>
      <c r="I2759" s="523">
        <v>0.9</v>
      </c>
      <c r="J2759" s="523">
        <v>0.9</v>
      </c>
    </row>
    <row r="2760" spans="1:10" ht="50" x14ac:dyDescent="0.3">
      <c r="A2760" s="519" t="s">
        <v>2434</v>
      </c>
      <c r="B2760" s="520" t="s">
        <v>3486</v>
      </c>
      <c r="C2760" s="519" t="s">
        <v>32</v>
      </c>
      <c r="D2760" s="519" t="s">
        <v>3487</v>
      </c>
      <c r="E2760" s="905" t="s">
        <v>2465</v>
      </c>
      <c r="F2760" s="905"/>
      <c r="G2760" s="521" t="s">
        <v>1901</v>
      </c>
      <c r="H2760" s="522">
        <v>1</v>
      </c>
      <c r="I2760" s="523">
        <v>0.2</v>
      </c>
      <c r="J2760" s="523">
        <v>0.2</v>
      </c>
    </row>
    <row r="2761" spans="1:10" s="358" customFormat="1" ht="50" x14ac:dyDescent="0.3">
      <c r="A2761" s="519" t="s">
        <v>2434</v>
      </c>
      <c r="B2761" s="520" t="s">
        <v>3488</v>
      </c>
      <c r="C2761" s="519" t="s">
        <v>32</v>
      </c>
      <c r="D2761" s="519" t="s">
        <v>3489</v>
      </c>
      <c r="E2761" s="905" t="s">
        <v>2465</v>
      </c>
      <c r="F2761" s="905"/>
      <c r="G2761" s="521" t="s">
        <v>1901</v>
      </c>
      <c r="H2761" s="522">
        <v>1</v>
      </c>
      <c r="I2761" s="523">
        <v>1.1299999999999999</v>
      </c>
      <c r="J2761" s="523">
        <v>1.1299999999999999</v>
      </c>
    </row>
    <row r="2762" spans="1:10" ht="50.5" thickBot="1" x14ac:dyDescent="0.35">
      <c r="A2762" s="519" t="s">
        <v>2434</v>
      </c>
      <c r="B2762" s="520" t="s">
        <v>3490</v>
      </c>
      <c r="C2762" s="519" t="s">
        <v>32</v>
      </c>
      <c r="D2762" s="519" t="s">
        <v>3491</v>
      </c>
      <c r="E2762" s="905" t="s">
        <v>2465</v>
      </c>
      <c r="F2762" s="905"/>
      <c r="G2762" s="521" t="s">
        <v>1901</v>
      </c>
      <c r="H2762" s="522">
        <v>1</v>
      </c>
      <c r="I2762" s="523">
        <v>7.82</v>
      </c>
      <c r="J2762" s="523">
        <v>7.82</v>
      </c>
    </row>
    <row r="2763" spans="1:10" s="358" customFormat="1" ht="14.5" thickTop="1" x14ac:dyDescent="0.3">
      <c r="A2763" s="647"/>
      <c r="B2763" s="647"/>
      <c r="C2763" s="647"/>
      <c r="D2763" s="647"/>
      <c r="E2763" s="647"/>
      <c r="F2763" s="647"/>
      <c r="G2763" s="647"/>
      <c r="H2763" s="647"/>
      <c r="I2763" s="647"/>
      <c r="J2763"/>
    </row>
    <row r="2764" spans="1:10" x14ac:dyDescent="0.3">
      <c r="A2764" s="516"/>
      <c r="B2764" s="517" t="s">
        <v>15</v>
      </c>
      <c r="C2764" s="516" t="s">
        <v>16</v>
      </c>
      <c r="D2764" s="516" t="s">
        <v>17</v>
      </c>
      <c r="E2764" s="904" t="s">
        <v>2431</v>
      </c>
      <c r="F2764" s="904"/>
      <c r="G2764" s="518" t="s">
        <v>18</v>
      </c>
      <c r="H2764" s="517" t="s">
        <v>19</v>
      </c>
      <c r="I2764" s="517" t="s">
        <v>20</v>
      </c>
      <c r="J2764" s="517" t="s">
        <v>23</v>
      </c>
    </row>
    <row r="2765" spans="1:10" s="358" customFormat="1" ht="50" x14ac:dyDescent="0.3">
      <c r="A2765" s="642" t="s">
        <v>2432</v>
      </c>
      <c r="B2765" s="643" t="s">
        <v>3484</v>
      </c>
      <c r="C2765" s="642" t="s">
        <v>32</v>
      </c>
      <c r="D2765" s="642" t="s">
        <v>3485</v>
      </c>
      <c r="E2765" s="906" t="s">
        <v>2465</v>
      </c>
      <c r="F2765" s="906"/>
      <c r="G2765" s="644" t="s">
        <v>1901</v>
      </c>
      <c r="H2765" s="645">
        <v>1</v>
      </c>
      <c r="I2765" s="646">
        <v>0.9</v>
      </c>
      <c r="J2765" s="646">
        <v>0.9</v>
      </c>
    </row>
    <row r="2766" spans="1:10" ht="37.5" x14ac:dyDescent="0.3">
      <c r="A2766" s="519" t="s">
        <v>2437</v>
      </c>
      <c r="B2766" s="520" t="s">
        <v>3492</v>
      </c>
      <c r="C2766" s="519" t="s">
        <v>32</v>
      </c>
      <c r="D2766" s="519" t="s">
        <v>3493</v>
      </c>
      <c r="E2766" s="905" t="s">
        <v>2446</v>
      </c>
      <c r="F2766" s="905"/>
      <c r="G2766" s="521" t="s">
        <v>89</v>
      </c>
      <c r="H2766" s="522">
        <v>6.3999999999999997E-5</v>
      </c>
      <c r="I2766" s="523">
        <v>13815.56</v>
      </c>
      <c r="J2766" s="523">
        <v>0.88</v>
      </c>
    </row>
    <row r="2767" spans="1:10" s="358" customFormat="1" ht="25.5" thickBot="1" x14ac:dyDescent="0.35">
      <c r="A2767" s="519" t="s">
        <v>2437</v>
      </c>
      <c r="B2767" s="520" t="s">
        <v>3494</v>
      </c>
      <c r="C2767" s="519" t="s">
        <v>32</v>
      </c>
      <c r="D2767" s="519" t="s">
        <v>3495</v>
      </c>
      <c r="E2767" s="905" t="s">
        <v>2446</v>
      </c>
      <c r="F2767" s="905"/>
      <c r="G2767" s="521" t="s">
        <v>89</v>
      </c>
      <c r="H2767" s="522">
        <v>6.3999999999999997E-5</v>
      </c>
      <c r="I2767" s="523">
        <v>413.14</v>
      </c>
      <c r="J2767" s="523">
        <v>0.02</v>
      </c>
    </row>
    <row r="2768" spans="1:10" ht="14.5" thickTop="1" x14ac:dyDescent="0.3">
      <c r="A2768" s="647"/>
      <c r="B2768" s="647"/>
      <c r="C2768" s="647"/>
      <c r="D2768" s="647"/>
      <c r="E2768" s="647"/>
      <c r="F2768" s="647"/>
      <c r="G2768" s="647"/>
      <c r="H2768" s="647"/>
      <c r="I2768" s="647"/>
      <c r="J2768"/>
    </row>
    <row r="2769" spans="1:10" x14ac:dyDescent="0.3">
      <c r="A2769" s="516"/>
      <c r="B2769" s="517" t="s">
        <v>15</v>
      </c>
      <c r="C2769" s="516" t="s">
        <v>16</v>
      </c>
      <c r="D2769" s="516" t="s">
        <v>17</v>
      </c>
      <c r="E2769" s="904" t="s">
        <v>2431</v>
      </c>
      <c r="F2769" s="904"/>
      <c r="G2769" s="518" t="s">
        <v>18</v>
      </c>
      <c r="H2769" s="517" t="s">
        <v>19</v>
      </c>
      <c r="I2769" s="517" t="s">
        <v>20</v>
      </c>
      <c r="J2769" s="517" t="s">
        <v>23</v>
      </c>
    </row>
    <row r="2770" spans="1:10" s="358" customFormat="1" ht="50" x14ac:dyDescent="0.3">
      <c r="A2770" s="642" t="s">
        <v>2432</v>
      </c>
      <c r="B2770" s="643" t="s">
        <v>3486</v>
      </c>
      <c r="C2770" s="642" t="s">
        <v>32</v>
      </c>
      <c r="D2770" s="642" t="s">
        <v>3487</v>
      </c>
      <c r="E2770" s="906" t="s">
        <v>2465</v>
      </c>
      <c r="F2770" s="906"/>
      <c r="G2770" s="644" t="s">
        <v>1901</v>
      </c>
      <c r="H2770" s="645">
        <v>1</v>
      </c>
      <c r="I2770" s="646">
        <v>0.2</v>
      </c>
      <c r="J2770" s="646">
        <v>0.2</v>
      </c>
    </row>
    <row r="2771" spans="1:10" ht="38" thickBot="1" x14ac:dyDescent="0.35">
      <c r="A2771" s="519" t="s">
        <v>2437</v>
      </c>
      <c r="B2771" s="520" t="s">
        <v>3492</v>
      </c>
      <c r="C2771" s="519" t="s">
        <v>32</v>
      </c>
      <c r="D2771" s="519" t="s">
        <v>3493</v>
      </c>
      <c r="E2771" s="905" t="s">
        <v>2446</v>
      </c>
      <c r="F2771" s="905"/>
      <c r="G2771" s="521" t="s">
        <v>89</v>
      </c>
      <c r="H2771" s="522">
        <v>1.4800000000000001E-5</v>
      </c>
      <c r="I2771" s="523">
        <v>13815.56</v>
      </c>
      <c r="J2771" s="523">
        <v>0.2</v>
      </c>
    </row>
    <row r="2772" spans="1:10" s="358" customFormat="1" ht="14.5" thickTop="1" x14ac:dyDescent="0.3">
      <c r="A2772" s="647"/>
      <c r="B2772" s="647"/>
      <c r="C2772" s="647"/>
      <c r="D2772" s="647"/>
      <c r="E2772" s="647"/>
      <c r="F2772" s="647"/>
      <c r="G2772" s="647"/>
      <c r="H2772" s="647"/>
      <c r="I2772" s="647"/>
      <c r="J2772"/>
    </row>
    <row r="2773" spans="1:10" x14ac:dyDescent="0.3">
      <c r="A2773" s="516"/>
      <c r="B2773" s="517" t="s">
        <v>15</v>
      </c>
      <c r="C2773" s="516" t="s">
        <v>16</v>
      </c>
      <c r="D2773" s="516" t="s">
        <v>17</v>
      </c>
      <c r="E2773" s="904" t="s">
        <v>2431</v>
      </c>
      <c r="F2773" s="904"/>
      <c r="G2773" s="518" t="s">
        <v>18</v>
      </c>
      <c r="H2773" s="517" t="s">
        <v>19</v>
      </c>
      <c r="I2773" s="517" t="s">
        <v>20</v>
      </c>
      <c r="J2773" s="517" t="s">
        <v>23</v>
      </c>
    </row>
    <row r="2774" spans="1:10" ht="50" x14ac:dyDescent="0.3">
      <c r="A2774" s="642" t="s">
        <v>2432</v>
      </c>
      <c r="B2774" s="643" t="s">
        <v>3488</v>
      </c>
      <c r="C2774" s="642" t="s">
        <v>32</v>
      </c>
      <c r="D2774" s="642" t="s">
        <v>3489</v>
      </c>
      <c r="E2774" s="906" t="s">
        <v>2465</v>
      </c>
      <c r="F2774" s="906"/>
      <c r="G2774" s="644" t="s">
        <v>1901</v>
      </c>
      <c r="H2774" s="645">
        <v>1</v>
      </c>
      <c r="I2774" s="646">
        <v>1.1299999999999999</v>
      </c>
      <c r="J2774" s="646">
        <v>1.1299999999999999</v>
      </c>
    </row>
    <row r="2775" spans="1:10" ht="37.5" x14ac:dyDescent="0.3">
      <c r="A2775" s="519" t="s">
        <v>2437</v>
      </c>
      <c r="B2775" s="520" t="s">
        <v>3492</v>
      </c>
      <c r="C2775" s="519" t="s">
        <v>32</v>
      </c>
      <c r="D2775" s="519" t="s">
        <v>3493</v>
      </c>
      <c r="E2775" s="905" t="s">
        <v>2446</v>
      </c>
      <c r="F2775" s="905"/>
      <c r="G2775" s="521" t="s">
        <v>89</v>
      </c>
      <c r="H2775" s="522">
        <v>8.0000000000000007E-5</v>
      </c>
      <c r="I2775" s="523">
        <v>13815.56</v>
      </c>
      <c r="J2775" s="523">
        <v>1.1000000000000001</v>
      </c>
    </row>
    <row r="2776" spans="1:10" ht="25.5" thickBot="1" x14ac:dyDescent="0.35">
      <c r="A2776" s="519" t="s">
        <v>2437</v>
      </c>
      <c r="B2776" s="520" t="s">
        <v>3494</v>
      </c>
      <c r="C2776" s="519" t="s">
        <v>32</v>
      </c>
      <c r="D2776" s="519" t="s">
        <v>3495</v>
      </c>
      <c r="E2776" s="905" t="s">
        <v>2446</v>
      </c>
      <c r="F2776" s="905"/>
      <c r="G2776" s="521" t="s">
        <v>89</v>
      </c>
      <c r="H2776" s="522">
        <v>8.0000000000000007E-5</v>
      </c>
      <c r="I2776" s="523">
        <v>413.14</v>
      </c>
      <c r="J2776" s="523">
        <v>0.03</v>
      </c>
    </row>
    <row r="2777" spans="1:10" s="358" customFormat="1" ht="14.5" thickTop="1" x14ac:dyDescent="0.3">
      <c r="A2777" s="647"/>
      <c r="B2777" s="647"/>
      <c r="C2777" s="647"/>
      <c r="D2777" s="647"/>
      <c r="E2777" s="647"/>
      <c r="F2777" s="647"/>
      <c r="G2777" s="647"/>
      <c r="H2777" s="647"/>
      <c r="I2777" s="647"/>
      <c r="J2777"/>
    </row>
    <row r="2778" spans="1:10" x14ac:dyDescent="0.3">
      <c r="A2778" s="516"/>
      <c r="B2778" s="517" t="s">
        <v>15</v>
      </c>
      <c r="C2778" s="516" t="s">
        <v>16</v>
      </c>
      <c r="D2778" s="516" t="s">
        <v>17</v>
      </c>
      <c r="E2778" s="904" t="s">
        <v>2431</v>
      </c>
      <c r="F2778" s="904"/>
      <c r="G2778" s="518" t="s">
        <v>18</v>
      </c>
      <c r="H2778" s="517" t="s">
        <v>19</v>
      </c>
      <c r="I2778" s="517" t="s">
        <v>20</v>
      </c>
      <c r="J2778" s="517" t="s">
        <v>23</v>
      </c>
    </row>
    <row r="2779" spans="1:10" s="358" customFormat="1" ht="50" x14ac:dyDescent="0.3">
      <c r="A2779" s="642" t="s">
        <v>2432</v>
      </c>
      <c r="B2779" s="643" t="s">
        <v>3490</v>
      </c>
      <c r="C2779" s="642" t="s">
        <v>32</v>
      </c>
      <c r="D2779" s="642" t="s">
        <v>3491</v>
      </c>
      <c r="E2779" s="906" t="s">
        <v>2465</v>
      </c>
      <c r="F2779" s="906"/>
      <c r="G2779" s="644" t="s">
        <v>1901</v>
      </c>
      <c r="H2779" s="645">
        <v>1</v>
      </c>
      <c r="I2779" s="646">
        <v>7.82</v>
      </c>
      <c r="J2779" s="646">
        <v>7.82</v>
      </c>
    </row>
    <row r="2780" spans="1:10" ht="14.5" thickBot="1" x14ac:dyDescent="0.35">
      <c r="A2780" s="519" t="s">
        <v>2437</v>
      </c>
      <c r="B2780" s="520" t="s">
        <v>4340</v>
      </c>
      <c r="C2780" s="519" t="s">
        <v>125</v>
      </c>
      <c r="D2780" s="519" t="s">
        <v>4527</v>
      </c>
      <c r="E2780" s="905" t="s">
        <v>2442</v>
      </c>
      <c r="F2780" s="905"/>
      <c r="G2780" s="521" t="s">
        <v>2829</v>
      </c>
      <c r="H2780" s="522">
        <v>1.45</v>
      </c>
      <c r="I2780" s="523">
        <v>5.3951000000000002</v>
      </c>
      <c r="J2780" s="523">
        <v>7.82</v>
      </c>
    </row>
    <row r="2781" spans="1:10" ht="14.5" thickTop="1" x14ac:dyDescent="0.3">
      <c r="A2781" s="647"/>
      <c r="B2781" s="647"/>
      <c r="C2781" s="647"/>
      <c r="D2781" s="647"/>
      <c r="E2781" s="647"/>
      <c r="F2781" s="647"/>
      <c r="G2781" s="647"/>
      <c r="H2781" s="647"/>
      <c r="I2781" s="647"/>
      <c r="J2781"/>
    </row>
    <row r="2782" spans="1:10" s="358" customFormat="1" x14ac:dyDescent="0.3">
      <c r="A2782" s="516"/>
      <c r="B2782" s="517" t="s">
        <v>15</v>
      </c>
      <c r="C2782" s="516" t="s">
        <v>16</v>
      </c>
      <c r="D2782" s="516" t="s">
        <v>17</v>
      </c>
      <c r="E2782" s="904" t="s">
        <v>2431</v>
      </c>
      <c r="F2782" s="904"/>
      <c r="G2782" s="518" t="s">
        <v>18</v>
      </c>
      <c r="H2782" s="517" t="s">
        <v>19</v>
      </c>
      <c r="I2782" s="517" t="s">
        <v>20</v>
      </c>
      <c r="J2782" s="517" t="s">
        <v>23</v>
      </c>
    </row>
    <row r="2783" spans="1:10" ht="14.25" customHeight="1" x14ac:dyDescent="0.3">
      <c r="A2783" s="642" t="s">
        <v>2432</v>
      </c>
      <c r="B2783" s="643" t="s">
        <v>3298</v>
      </c>
      <c r="C2783" s="642" t="s">
        <v>32</v>
      </c>
      <c r="D2783" s="642" t="s">
        <v>4310</v>
      </c>
      <c r="E2783" s="906" t="s">
        <v>2617</v>
      </c>
      <c r="F2783" s="906"/>
      <c r="G2783" s="644" t="s">
        <v>1369</v>
      </c>
      <c r="H2783" s="645">
        <v>1</v>
      </c>
      <c r="I2783" s="646">
        <v>11.79</v>
      </c>
      <c r="J2783" s="646">
        <v>11.79</v>
      </c>
    </row>
    <row r="2784" spans="1:10" s="358" customFormat="1" ht="25" x14ac:dyDescent="0.3">
      <c r="A2784" s="519" t="s">
        <v>2434</v>
      </c>
      <c r="B2784" s="520" t="s">
        <v>3191</v>
      </c>
      <c r="C2784" s="519" t="s">
        <v>32</v>
      </c>
      <c r="D2784" s="519" t="s">
        <v>3192</v>
      </c>
      <c r="E2784" s="905" t="s">
        <v>2433</v>
      </c>
      <c r="F2784" s="905"/>
      <c r="G2784" s="521" t="s">
        <v>1901</v>
      </c>
      <c r="H2784" s="522">
        <v>1.52E-2</v>
      </c>
      <c r="I2784" s="523">
        <v>24.21</v>
      </c>
      <c r="J2784" s="523">
        <v>0.36</v>
      </c>
    </row>
    <row r="2785" spans="1:10" ht="25" x14ac:dyDescent="0.3">
      <c r="A2785" s="519" t="s">
        <v>2434</v>
      </c>
      <c r="B2785" s="520" t="s">
        <v>3193</v>
      </c>
      <c r="C2785" s="519" t="s">
        <v>32</v>
      </c>
      <c r="D2785" s="519" t="s">
        <v>3033</v>
      </c>
      <c r="E2785" s="905" t="s">
        <v>2433</v>
      </c>
      <c r="F2785" s="905"/>
      <c r="G2785" s="521" t="s">
        <v>1901</v>
      </c>
      <c r="H2785" s="522">
        <v>9.3299999999999994E-2</v>
      </c>
      <c r="I2785" s="523">
        <v>30.85</v>
      </c>
      <c r="J2785" s="523">
        <v>2.87</v>
      </c>
    </row>
    <row r="2786" spans="1:10" s="358" customFormat="1" ht="14.5" thickBot="1" x14ac:dyDescent="0.35">
      <c r="A2786" s="519" t="s">
        <v>2437</v>
      </c>
      <c r="B2786" s="520" t="s">
        <v>4341</v>
      </c>
      <c r="C2786" s="519" t="s">
        <v>125</v>
      </c>
      <c r="D2786" s="519" t="s">
        <v>4342</v>
      </c>
      <c r="E2786" s="905" t="s">
        <v>2442</v>
      </c>
      <c r="F2786" s="905"/>
      <c r="G2786" s="521" t="s">
        <v>384</v>
      </c>
      <c r="H2786" s="522">
        <v>1.07</v>
      </c>
      <c r="I2786" s="523">
        <v>8.0090000000000003</v>
      </c>
      <c r="J2786" s="523">
        <v>8.56</v>
      </c>
    </row>
    <row r="2787" spans="1:10" ht="14.5" thickTop="1" x14ac:dyDescent="0.3">
      <c r="A2787" s="647"/>
      <c r="B2787" s="647"/>
      <c r="C2787" s="647"/>
      <c r="D2787" s="647"/>
      <c r="E2787" s="647"/>
      <c r="F2787" s="647"/>
      <c r="G2787" s="647"/>
      <c r="H2787" s="647"/>
      <c r="I2787" s="647"/>
      <c r="J2787"/>
    </row>
    <row r="2788" spans="1:10" s="358" customFormat="1" x14ac:dyDescent="0.3">
      <c r="A2788" s="516"/>
      <c r="B2788" s="517" t="s">
        <v>15</v>
      </c>
      <c r="C2788" s="516" t="s">
        <v>16</v>
      </c>
      <c r="D2788" s="516" t="s">
        <v>17</v>
      </c>
      <c r="E2788" s="904" t="s">
        <v>2431</v>
      </c>
      <c r="F2788" s="904"/>
      <c r="G2788" s="518" t="s">
        <v>18</v>
      </c>
      <c r="H2788" s="517" t="s">
        <v>19</v>
      </c>
      <c r="I2788" s="517" t="s">
        <v>20</v>
      </c>
      <c r="J2788" s="517" t="s">
        <v>23</v>
      </c>
    </row>
    <row r="2789" spans="1:10" ht="14.25" customHeight="1" x14ac:dyDescent="0.3">
      <c r="A2789" s="642" t="s">
        <v>2432</v>
      </c>
      <c r="B2789" s="643" t="s">
        <v>3305</v>
      </c>
      <c r="C2789" s="642" t="s">
        <v>32</v>
      </c>
      <c r="D2789" s="642" t="s">
        <v>3306</v>
      </c>
      <c r="E2789" s="906" t="s">
        <v>2617</v>
      </c>
      <c r="F2789" s="906"/>
      <c r="G2789" s="644" t="s">
        <v>1369</v>
      </c>
      <c r="H2789" s="645">
        <v>1</v>
      </c>
      <c r="I2789" s="646">
        <v>10.57</v>
      </c>
      <c r="J2789" s="646">
        <v>10.57</v>
      </c>
    </row>
    <row r="2790" spans="1:10" ht="25" x14ac:dyDescent="0.3">
      <c r="A2790" s="519" t="s">
        <v>2434</v>
      </c>
      <c r="B2790" s="520" t="s">
        <v>3191</v>
      </c>
      <c r="C2790" s="519" t="s">
        <v>32</v>
      </c>
      <c r="D2790" s="519" t="s">
        <v>3192</v>
      </c>
      <c r="E2790" s="905" t="s">
        <v>2433</v>
      </c>
      <c r="F2790" s="905"/>
      <c r="G2790" s="521" t="s">
        <v>1901</v>
      </c>
      <c r="H2790" s="522">
        <v>9.4999999999999998E-3</v>
      </c>
      <c r="I2790" s="523">
        <v>24.21</v>
      </c>
      <c r="J2790" s="523">
        <v>0.22</v>
      </c>
    </row>
    <row r="2791" spans="1:10" s="358" customFormat="1" ht="25" x14ac:dyDescent="0.3">
      <c r="A2791" s="519" t="s">
        <v>2434</v>
      </c>
      <c r="B2791" s="520" t="s">
        <v>3193</v>
      </c>
      <c r="C2791" s="519" t="s">
        <v>32</v>
      </c>
      <c r="D2791" s="519" t="s">
        <v>3033</v>
      </c>
      <c r="E2791" s="905" t="s">
        <v>2433</v>
      </c>
      <c r="F2791" s="905"/>
      <c r="G2791" s="521" t="s">
        <v>1901</v>
      </c>
      <c r="H2791" s="522">
        <v>5.8099999999999999E-2</v>
      </c>
      <c r="I2791" s="523">
        <v>30.85</v>
      </c>
      <c r="J2791" s="523">
        <v>1.79</v>
      </c>
    </row>
    <row r="2792" spans="1:10" ht="14.5" thickBot="1" x14ac:dyDescent="0.35">
      <c r="A2792" s="519" t="s">
        <v>2437</v>
      </c>
      <c r="B2792" s="520" t="s">
        <v>4341</v>
      </c>
      <c r="C2792" s="519" t="s">
        <v>125</v>
      </c>
      <c r="D2792" s="519" t="s">
        <v>4342</v>
      </c>
      <c r="E2792" s="905" t="s">
        <v>2442</v>
      </c>
      <c r="F2792" s="905"/>
      <c r="G2792" s="521" t="s">
        <v>384</v>
      </c>
      <c r="H2792" s="522">
        <v>1.07</v>
      </c>
      <c r="I2792" s="523">
        <v>8.0090000000000003</v>
      </c>
      <c r="J2792" s="523">
        <v>8.56</v>
      </c>
    </row>
    <row r="2793" spans="1:10" s="358" customFormat="1" ht="14.5" thickTop="1" x14ac:dyDescent="0.3">
      <c r="A2793" s="647"/>
      <c r="B2793" s="647"/>
      <c r="C2793" s="647"/>
      <c r="D2793" s="647"/>
      <c r="E2793" s="647"/>
      <c r="F2793" s="647"/>
      <c r="G2793" s="647"/>
      <c r="H2793" s="647"/>
      <c r="I2793" s="647"/>
      <c r="J2793"/>
    </row>
    <row r="2794" spans="1:10" x14ac:dyDescent="0.3">
      <c r="A2794" s="516"/>
      <c r="B2794" s="517" t="s">
        <v>15</v>
      </c>
      <c r="C2794" s="516" t="s">
        <v>16</v>
      </c>
      <c r="D2794" s="516" t="s">
        <v>17</v>
      </c>
      <c r="E2794" s="904" t="s">
        <v>2431</v>
      </c>
      <c r="F2794" s="904"/>
      <c r="G2794" s="518" t="s">
        <v>18</v>
      </c>
      <c r="H2794" s="517" t="s">
        <v>19</v>
      </c>
      <c r="I2794" s="517" t="s">
        <v>20</v>
      </c>
      <c r="J2794" s="517" t="s">
        <v>23</v>
      </c>
    </row>
    <row r="2795" spans="1:10" s="358" customFormat="1" ht="25" x14ac:dyDescent="0.3">
      <c r="A2795" s="642" t="s">
        <v>2432</v>
      </c>
      <c r="B2795" s="643" t="s">
        <v>3253</v>
      </c>
      <c r="C2795" s="642" t="s">
        <v>32</v>
      </c>
      <c r="D2795" s="642" t="s">
        <v>3254</v>
      </c>
      <c r="E2795" s="906" t="s">
        <v>2433</v>
      </c>
      <c r="F2795" s="906"/>
      <c r="G2795" s="644" t="s">
        <v>1901</v>
      </c>
      <c r="H2795" s="645">
        <v>1</v>
      </c>
      <c r="I2795" s="646">
        <v>0.2</v>
      </c>
      <c r="J2795" s="646">
        <v>0.2</v>
      </c>
    </row>
    <row r="2796" spans="1:10" ht="14.5" thickBot="1" x14ac:dyDescent="0.35">
      <c r="A2796" s="519" t="s">
        <v>2437</v>
      </c>
      <c r="B2796" s="520" t="s">
        <v>3255</v>
      </c>
      <c r="C2796" s="519" t="s">
        <v>32</v>
      </c>
      <c r="D2796" s="519" t="s">
        <v>3256</v>
      </c>
      <c r="E2796" s="905" t="s">
        <v>2440</v>
      </c>
      <c r="F2796" s="905"/>
      <c r="G2796" s="521" t="s">
        <v>1901</v>
      </c>
      <c r="H2796" s="522">
        <v>1.328E-2</v>
      </c>
      <c r="I2796" s="523">
        <v>15.27</v>
      </c>
      <c r="J2796" s="523">
        <v>0.2</v>
      </c>
    </row>
    <row r="2797" spans="1:10" s="358" customFormat="1" ht="14.5" thickTop="1" x14ac:dyDescent="0.3">
      <c r="A2797" s="647"/>
      <c r="B2797" s="647"/>
      <c r="C2797" s="647"/>
      <c r="D2797" s="647"/>
      <c r="E2797" s="647"/>
      <c r="F2797" s="647"/>
      <c r="G2797" s="647"/>
      <c r="H2797" s="647"/>
      <c r="I2797" s="647"/>
      <c r="J2797"/>
    </row>
    <row r="2798" spans="1:10" x14ac:dyDescent="0.3">
      <c r="A2798" s="516"/>
      <c r="B2798" s="517" t="s">
        <v>15</v>
      </c>
      <c r="C2798" s="516" t="s">
        <v>16</v>
      </c>
      <c r="D2798" s="516" t="s">
        <v>17</v>
      </c>
      <c r="E2798" s="904" t="s">
        <v>2431</v>
      </c>
      <c r="F2798" s="904"/>
      <c r="G2798" s="518" t="s">
        <v>18</v>
      </c>
      <c r="H2798" s="517" t="s">
        <v>19</v>
      </c>
      <c r="I2798" s="517" t="s">
        <v>20</v>
      </c>
      <c r="J2798" s="517" t="s">
        <v>23</v>
      </c>
    </row>
    <row r="2799" spans="1:10" ht="25" x14ac:dyDescent="0.3">
      <c r="A2799" s="642" t="s">
        <v>2432</v>
      </c>
      <c r="B2799" s="643" t="s">
        <v>3266</v>
      </c>
      <c r="C2799" s="642" t="s">
        <v>32</v>
      </c>
      <c r="D2799" s="642" t="s">
        <v>3267</v>
      </c>
      <c r="E2799" s="906" t="s">
        <v>2433</v>
      </c>
      <c r="F2799" s="906"/>
      <c r="G2799" s="644" t="s">
        <v>1901</v>
      </c>
      <c r="H2799" s="645">
        <v>1</v>
      </c>
      <c r="I2799" s="646">
        <v>0.25</v>
      </c>
      <c r="J2799" s="646">
        <v>0.25</v>
      </c>
    </row>
    <row r="2800" spans="1:10" ht="14.5" thickBot="1" x14ac:dyDescent="0.35">
      <c r="A2800" s="519" t="s">
        <v>2437</v>
      </c>
      <c r="B2800" s="520" t="s">
        <v>3268</v>
      </c>
      <c r="C2800" s="519" t="s">
        <v>32</v>
      </c>
      <c r="D2800" s="519" t="s">
        <v>3269</v>
      </c>
      <c r="E2800" s="905" t="s">
        <v>2440</v>
      </c>
      <c r="F2800" s="905"/>
      <c r="G2800" s="521" t="s">
        <v>1901</v>
      </c>
      <c r="H2800" s="522">
        <v>1.6990000000000002E-2</v>
      </c>
      <c r="I2800" s="523">
        <v>15.27</v>
      </c>
      <c r="J2800" s="523">
        <v>0.25</v>
      </c>
    </row>
    <row r="2801" spans="1:10" s="358" customFormat="1" ht="14.5" thickTop="1" x14ac:dyDescent="0.3">
      <c r="A2801" s="647"/>
      <c r="B2801" s="647"/>
      <c r="C2801" s="647"/>
      <c r="D2801" s="647"/>
      <c r="E2801" s="647"/>
      <c r="F2801" s="647"/>
      <c r="G2801" s="647"/>
      <c r="H2801" s="647"/>
      <c r="I2801" s="647"/>
      <c r="J2801"/>
    </row>
    <row r="2802" spans="1:10" x14ac:dyDescent="0.3">
      <c r="A2802" s="516"/>
      <c r="B2802" s="517" t="s">
        <v>15</v>
      </c>
      <c r="C2802" s="516" t="s">
        <v>16</v>
      </c>
      <c r="D2802" s="516" t="s">
        <v>17</v>
      </c>
      <c r="E2802" s="904" t="s">
        <v>2431</v>
      </c>
      <c r="F2802" s="904"/>
      <c r="G2802" s="518" t="s">
        <v>18</v>
      </c>
      <c r="H2802" s="517" t="s">
        <v>19</v>
      </c>
      <c r="I2802" s="517" t="s">
        <v>20</v>
      </c>
      <c r="J2802" s="517" t="s">
        <v>23</v>
      </c>
    </row>
    <row r="2803" spans="1:10" s="358" customFormat="1" ht="25" x14ac:dyDescent="0.3">
      <c r="A2803" s="642" t="s">
        <v>2432</v>
      </c>
      <c r="B2803" s="643" t="s">
        <v>3274</v>
      </c>
      <c r="C2803" s="642" t="s">
        <v>32</v>
      </c>
      <c r="D2803" s="642" t="s">
        <v>3275</v>
      </c>
      <c r="E2803" s="906" t="s">
        <v>2433</v>
      </c>
      <c r="F2803" s="906"/>
      <c r="G2803" s="644" t="s">
        <v>1901</v>
      </c>
      <c r="H2803" s="645">
        <v>1</v>
      </c>
      <c r="I2803" s="646">
        <v>0.2</v>
      </c>
      <c r="J2803" s="646">
        <v>0.2</v>
      </c>
    </row>
    <row r="2804" spans="1:10" ht="14.5" thickBot="1" x14ac:dyDescent="0.35">
      <c r="A2804" s="519" t="s">
        <v>2437</v>
      </c>
      <c r="B2804" s="520" t="s">
        <v>3276</v>
      </c>
      <c r="C2804" s="519" t="s">
        <v>32</v>
      </c>
      <c r="D2804" s="519" t="s">
        <v>3277</v>
      </c>
      <c r="E2804" s="905" t="s">
        <v>2440</v>
      </c>
      <c r="F2804" s="905"/>
      <c r="G2804" s="521" t="s">
        <v>1901</v>
      </c>
      <c r="H2804" s="522">
        <v>1.328E-2</v>
      </c>
      <c r="I2804" s="523">
        <v>15.21</v>
      </c>
      <c r="J2804" s="523">
        <v>0.2</v>
      </c>
    </row>
    <row r="2805" spans="1:10" ht="14.5" thickTop="1" x14ac:dyDescent="0.3">
      <c r="A2805" s="647"/>
      <c r="B2805" s="647"/>
      <c r="C2805" s="647"/>
      <c r="D2805" s="647"/>
      <c r="E2805" s="647"/>
      <c r="F2805" s="647"/>
      <c r="G2805" s="647"/>
      <c r="H2805" s="647"/>
      <c r="I2805" s="647"/>
      <c r="J2805"/>
    </row>
    <row r="2806" spans="1:10" x14ac:dyDescent="0.3">
      <c r="A2806" s="516"/>
      <c r="B2806" s="517" t="s">
        <v>15</v>
      </c>
      <c r="C2806" s="516" t="s">
        <v>16</v>
      </c>
      <c r="D2806" s="516" t="s">
        <v>17</v>
      </c>
      <c r="E2806" s="904" t="s">
        <v>2431</v>
      </c>
      <c r="F2806" s="904"/>
      <c r="G2806" s="518" t="s">
        <v>18</v>
      </c>
      <c r="H2806" s="517" t="s">
        <v>19</v>
      </c>
      <c r="I2806" s="517" t="s">
        <v>20</v>
      </c>
      <c r="J2806" s="517" t="s">
        <v>23</v>
      </c>
    </row>
    <row r="2807" spans="1:10" s="358" customFormat="1" ht="25" x14ac:dyDescent="0.3">
      <c r="A2807" s="642" t="s">
        <v>2432</v>
      </c>
      <c r="B2807" s="643" t="s">
        <v>3278</v>
      </c>
      <c r="C2807" s="642" t="s">
        <v>32</v>
      </c>
      <c r="D2807" s="642" t="s">
        <v>3279</v>
      </c>
      <c r="E2807" s="906" t="s">
        <v>2433</v>
      </c>
      <c r="F2807" s="906"/>
      <c r="G2807" s="644" t="s">
        <v>1901</v>
      </c>
      <c r="H2807" s="645">
        <v>1</v>
      </c>
      <c r="I2807" s="646">
        <v>0.25</v>
      </c>
      <c r="J2807" s="646">
        <v>0.25</v>
      </c>
    </row>
    <row r="2808" spans="1:10" ht="14.5" thickBot="1" x14ac:dyDescent="0.35">
      <c r="A2808" s="519" t="s">
        <v>2437</v>
      </c>
      <c r="B2808" s="520" t="s">
        <v>3280</v>
      </c>
      <c r="C2808" s="519" t="s">
        <v>32</v>
      </c>
      <c r="D2808" s="519" t="s">
        <v>3281</v>
      </c>
      <c r="E2808" s="905" t="s">
        <v>2440</v>
      </c>
      <c r="F2808" s="905"/>
      <c r="G2808" s="521" t="s">
        <v>1901</v>
      </c>
      <c r="H2808" s="522">
        <v>1.6990000000000002E-2</v>
      </c>
      <c r="I2808" s="523">
        <v>15.27</v>
      </c>
      <c r="J2808" s="523">
        <v>0.25</v>
      </c>
    </row>
    <row r="2809" spans="1:10" s="358" customFormat="1" ht="14.5" thickTop="1" x14ac:dyDescent="0.3">
      <c r="A2809" s="647"/>
      <c r="B2809" s="647"/>
      <c r="C2809" s="647"/>
      <c r="D2809" s="647"/>
      <c r="E2809" s="647"/>
      <c r="F2809" s="647"/>
      <c r="G2809" s="647"/>
      <c r="H2809" s="647"/>
      <c r="I2809" s="647"/>
      <c r="J2809"/>
    </row>
    <row r="2810" spans="1:10" x14ac:dyDescent="0.3">
      <c r="A2810" s="516"/>
      <c r="B2810" s="517" t="s">
        <v>15</v>
      </c>
      <c r="C2810" s="516" t="s">
        <v>16</v>
      </c>
      <c r="D2810" s="516" t="s">
        <v>17</v>
      </c>
      <c r="E2810" s="904" t="s">
        <v>2431</v>
      </c>
      <c r="F2810" s="904"/>
      <c r="G2810" s="518" t="s">
        <v>18</v>
      </c>
      <c r="H2810" s="517" t="s">
        <v>19</v>
      </c>
      <c r="I2810" s="517" t="s">
        <v>20</v>
      </c>
      <c r="J2810" s="517" t="s">
        <v>23</v>
      </c>
    </row>
    <row r="2811" spans="1:10" s="358" customFormat="1" ht="25" x14ac:dyDescent="0.3">
      <c r="A2811" s="642" t="s">
        <v>2432</v>
      </c>
      <c r="B2811" s="643" t="s">
        <v>2512</v>
      </c>
      <c r="C2811" s="642" t="s">
        <v>32</v>
      </c>
      <c r="D2811" s="642" t="s">
        <v>2513</v>
      </c>
      <c r="E2811" s="906" t="s">
        <v>2433</v>
      </c>
      <c r="F2811" s="906"/>
      <c r="G2811" s="644" t="s">
        <v>34</v>
      </c>
      <c r="H2811" s="645">
        <v>1</v>
      </c>
      <c r="I2811" s="646">
        <v>27.06</v>
      </c>
      <c r="J2811" s="646">
        <v>27.06</v>
      </c>
    </row>
    <row r="2812" spans="1:10" ht="14.5" thickBot="1" x14ac:dyDescent="0.35">
      <c r="A2812" s="519" t="s">
        <v>2437</v>
      </c>
      <c r="B2812" s="520" t="s">
        <v>2514</v>
      </c>
      <c r="C2812" s="519" t="s">
        <v>32</v>
      </c>
      <c r="D2812" s="519" t="s">
        <v>2515</v>
      </c>
      <c r="E2812" s="905" t="s">
        <v>2440</v>
      </c>
      <c r="F2812" s="905"/>
      <c r="G2812" s="521" t="s">
        <v>34</v>
      </c>
      <c r="H2812" s="522">
        <v>4.3800000000000002E-3</v>
      </c>
      <c r="I2812" s="523">
        <v>6179.93</v>
      </c>
      <c r="J2812" s="523">
        <v>27.06</v>
      </c>
    </row>
    <row r="2813" spans="1:10" s="358" customFormat="1" ht="14.5" thickTop="1" x14ac:dyDescent="0.3">
      <c r="A2813" s="647"/>
      <c r="B2813" s="647"/>
      <c r="C2813" s="647"/>
      <c r="D2813" s="647"/>
      <c r="E2813" s="647"/>
      <c r="F2813" s="647"/>
      <c r="G2813" s="647"/>
      <c r="H2813" s="647"/>
      <c r="I2813" s="647"/>
      <c r="J2813"/>
    </row>
    <row r="2814" spans="1:10" x14ac:dyDescent="0.3">
      <c r="A2814" s="516"/>
      <c r="B2814" s="517" t="s">
        <v>15</v>
      </c>
      <c r="C2814" s="516" t="s">
        <v>16</v>
      </c>
      <c r="D2814" s="516" t="s">
        <v>17</v>
      </c>
      <c r="E2814" s="904" t="s">
        <v>2431</v>
      </c>
      <c r="F2814" s="904"/>
      <c r="G2814" s="518" t="s">
        <v>18</v>
      </c>
      <c r="H2814" s="517" t="s">
        <v>19</v>
      </c>
      <c r="I2814" s="517" t="s">
        <v>20</v>
      </c>
      <c r="J2814" s="517" t="s">
        <v>23</v>
      </c>
    </row>
    <row r="2815" spans="1:10" s="358" customFormat="1" ht="25" x14ac:dyDescent="0.3">
      <c r="A2815" s="642" t="s">
        <v>2432</v>
      </c>
      <c r="B2815" s="643" t="s">
        <v>2508</v>
      </c>
      <c r="C2815" s="642" t="s">
        <v>32</v>
      </c>
      <c r="D2815" s="642" t="s">
        <v>2509</v>
      </c>
      <c r="E2815" s="906" t="s">
        <v>2433</v>
      </c>
      <c r="F2815" s="906"/>
      <c r="G2815" s="644" t="s">
        <v>34</v>
      </c>
      <c r="H2815" s="645">
        <v>1</v>
      </c>
      <c r="I2815" s="646">
        <v>107.42</v>
      </c>
      <c r="J2815" s="646">
        <v>107.42</v>
      </c>
    </row>
    <row r="2816" spans="1:10" ht="14.5" thickBot="1" x14ac:dyDescent="0.35">
      <c r="A2816" s="519" t="s">
        <v>2437</v>
      </c>
      <c r="B2816" s="520" t="s">
        <v>2510</v>
      </c>
      <c r="C2816" s="519" t="s">
        <v>32</v>
      </c>
      <c r="D2816" s="519" t="s">
        <v>2511</v>
      </c>
      <c r="E2816" s="905" t="s">
        <v>2440</v>
      </c>
      <c r="F2816" s="905"/>
      <c r="G2816" s="521" t="s">
        <v>34</v>
      </c>
      <c r="H2816" s="522">
        <v>1.8259999999999998E-2</v>
      </c>
      <c r="I2816" s="523">
        <v>5883.34</v>
      </c>
      <c r="J2816" s="523">
        <v>107.42</v>
      </c>
    </row>
    <row r="2817" spans="1:10" s="358" customFormat="1" ht="14.5" thickTop="1" x14ac:dyDescent="0.3">
      <c r="A2817" s="647"/>
      <c r="B2817" s="647"/>
      <c r="C2817" s="647"/>
      <c r="D2817" s="647"/>
      <c r="E2817" s="647"/>
      <c r="F2817" s="647"/>
      <c r="G2817" s="647"/>
      <c r="H2817" s="647"/>
      <c r="I2817" s="647"/>
      <c r="J2817"/>
    </row>
    <row r="2818" spans="1:10" x14ac:dyDescent="0.3">
      <c r="A2818" s="516"/>
      <c r="B2818" s="517" t="s">
        <v>15</v>
      </c>
      <c r="C2818" s="516" t="s">
        <v>16</v>
      </c>
      <c r="D2818" s="516" t="s">
        <v>17</v>
      </c>
      <c r="E2818" s="904" t="s">
        <v>2431</v>
      </c>
      <c r="F2818" s="904"/>
      <c r="G2818" s="518" t="s">
        <v>18</v>
      </c>
      <c r="H2818" s="517" t="s">
        <v>19</v>
      </c>
      <c r="I2818" s="517" t="s">
        <v>20</v>
      </c>
      <c r="J2818" s="517" t="s">
        <v>23</v>
      </c>
    </row>
    <row r="2819" spans="1:10" s="358" customFormat="1" ht="25" x14ac:dyDescent="0.3">
      <c r="A2819" s="642" t="s">
        <v>2432</v>
      </c>
      <c r="B2819" s="643" t="s">
        <v>3294</v>
      </c>
      <c r="C2819" s="642" t="s">
        <v>32</v>
      </c>
      <c r="D2819" s="642" t="s">
        <v>3295</v>
      </c>
      <c r="E2819" s="906" t="s">
        <v>2433</v>
      </c>
      <c r="F2819" s="906"/>
      <c r="G2819" s="644" t="s">
        <v>1901</v>
      </c>
      <c r="H2819" s="645">
        <v>1</v>
      </c>
      <c r="I2819" s="646">
        <v>0.28000000000000003</v>
      </c>
      <c r="J2819" s="646">
        <v>0.28000000000000003</v>
      </c>
    </row>
    <row r="2820" spans="1:10" ht="14.5" thickBot="1" x14ac:dyDescent="0.35">
      <c r="A2820" s="519" t="s">
        <v>2437</v>
      </c>
      <c r="B2820" s="520" t="s">
        <v>3296</v>
      </c>
      <c r="C2820" s="519" t="s">
        <v>32</v>
      </c>
      <c r="D2820" s="519" t="s">
        <v>3297</v>
      </c>
      <c r="E2820" s="905" t="s">
        <v>2440</v>
      </c>
      <c r="F2820" s="905"/>
      <c r="G2820" s="521" t="s">
        <v>1901</v>
      </c>
      <c r="H2820" s="522">
        <v>1.328E-2</v>
      </c>
      <c r="I2820" s="523">
        <v>21.83</v>
      </c>
      <c r="J2820" s="523">
        <v>0.28000000000000003</v>
      </c>
    </row>
    <row r="2821" spans="1:10" s="358" customFormat="1" ht="14.5" thickTop="1" x14ac:dyDescent="0.3">
      <c r="A2821" s="647"/>
      <c r="B2821" s="647"/>
      <c r="C2821" s="647"/>
      <c r="D2821" s="647"/>
      <c r="E2821" s="647"/>
      <c r="F2821" s="647"/>
      <c r="G2821" s="647"/>
      <c r="H2821" s="647"/>
      <c r="I2821" s="647"/>
      <c r="J2821"/>
    </row>
    <row r="2822" spans="1:10" x14ac:dyDescent="0.3">
      <c r="A2822" s="516"/>
      <c r="B2822" s="517" t="s">
        <v>15</v>
      </c>
      <c r="C2822" s="516" t="s">
        <v>16</v>
      </c>
      <c r="D2822" s="516" t="s">
        <v>17</v>
      </c>
      <c r="E2822" s="904" t="s">
        <v>2431</v>
      </c>
      <c r="F2822" s="904"/>
      <c r="G2822" s="518" t="s">
        <v>18</v>
      </c>
      <c r="H2822" s="517" t="s">
        <v>19</v>
      </c>
      <c r="I2822" s="517" t="s">
        <v>20</v>
      </c>
      <c r="J2822" s="517" t="s">
        <v>23</v>
      </c>
    </row>
    <row r="2823" spans="1:10" s="358" customFormat="1" ht="25" x14ac:dyDescent="0.3">
      <c r="A2823" s="642" t="s">
        <v>2432</v>
      </c>
      <c r="B2823" s="643" t="s">
        <v>3307</v>
      </c>
      <c r="C2823" s="642" t="s">
        <v>32</v>
      </c>
      <c r="D2823" s="642" t="s">
        <v>3308</v>
      </c>
      <c r="E2823" s="906" t="s">
        <v>2433</v>
      </c>
      <c r="F2823" s="906"/>
      <c r="G2823" s="644" t="s">
        <v>1901</v>
      </c>
      <c r="H2823" s="645">
        <v>1</v>
      </c>
      <c r="I2823" s="646">
        <v>0.28999999999999998</v>
      </c>
      <c r="J2823" s="646">
        <v>0.28999999999999998</v>
      </c>
    </row>
    <row r="2824" spans="1:10" ht="14.5" thickBot="1" x14ac:dyDescent="0.35">
      <c r="A2824" s="519" t="s">
        <v>2437</v>
      </c>
      <c r="B2824" s="520" t="s">
        <v>3309</v>
      </c>
      <c r="C2824" s="519" t="s">
        <v>32</v>
      </c>
      <c r="D2824" s="519" t="s">
        <v>4311</v>
      </c>
      <c r="E2824" s="905" t="s">
        <v>2440</v>
      </c>
      <c r="F2824" s="905"/>
      <c r="G2824" s="521" t="s">
        <v>1901</v>
      </c>
      <c r="H2824" s="522">
        <v>1.6990000000000002E-2</v>
      </c>
      <c r="I2824" s="523">
        <v>17.350000000000001</v>
      </c>
      <c r="J2824" s="523">
        <v>0.28999999999999998</v>
      </c>
    </row>
    <row r="2825" spans="1:10" s="358" customFormat="1" ht="14.5" thickTop="1" x14ac:dyDescent="0.3">
      <c r="A2825" s="647"/>
      <c r="B2825" s="647"/>
      <c r="C2825" s="647"/>
      <c r="D2825" s="647"/>
      <c r="E2825" s="647"/>
      <c r="F2825" s="647"/>
      <c r="G2825" s="647"/>
      <c r="H2825" s="647"/>
      <c r="I2825" s="647"/>
      <c r="J2825"/>
    </row>
    <row r="2826" spans="1:10" x14ac:dyDescent="0.3">
      <c r="A2826" s="516"/>
      <c r="B2826" s="517" t="s">
        <v>15</v>
      </c>
      <c r="C2826" s="516" t="s">
        <v>16</v>
      </c>
      <c r="D2826" s="516" t="s">
        <v>17</v>
      </c>
      <c r="E2826" s="904" t="s">
        <v>2431</v>
      </c>
      <c r="F2826" s="904"/>
      <c r="G2826" s="518" t="s">
        <v>18</v>
      </c>
      <c r="H2826" s="517" t="s">
        <v>19</v>
      </c>
      <c r="I2826" s="517" t="s">
        <v>20</v>
      </c>
      <c r="J2826" s="517" t="s">
        <v>23</v>
      </c>
    </row>
    <row r="2827" spans="1:10" s="358" customFormat="1" ht="25" x14ac:dyDescent="0.3">
      <c r="A2827" s="642" t="s">
        <v>2432</v>
      </c>
      <c r="B2827" s="643" t="s">
        <v>2516</v>
      </c>
      <c r="C2827" s="642" t="s">
        <v>32</v>
      </c>
      <c r="D2827" s="642" t="s">
        <v>2517</v>
      </c>
      <c r="E2827" s="906" t="s">
        <v>2433</v>
      </c>
      <c r="F2827" s="906"/>
      <c r="G2827" s="644" t="s">
        <v>34</v>
      </c>
      <c r="H2827" s="645">
        <v>1</v>
      </c>
      <c r="I2827" s="646">
        <v>11.87</v>
      </c>
      <c r="J2827" s="646">
        <v>11.87</v>
      </c>
    </row>
    <row r="2828" spans="1:10" ht="14.5" thickBot="1" x14ac:dyDescent="0.35">
      <c r="A2828" s="519" t="s">
        <v>2437</v>
      </c>
      <c r="B2828" s="520" t="s">
        <v>4454</v>
      </c>
      <c r="C2828" s="519" t="s">
        <v>32</v>
      </c>
      <c r="D2828" s="519" t="s">
        <v>4455</v>
      </c>
      <c r="E2828" s="905" t="s">
        <v>2440</v>
      </c>
      <c r="F2828" s="905"/>
      <c r="G2828" s="521" t="s">
        <v>34</v>
      </c>
      <c r="H2828" s="522">
        <v>4.3800000000000002E-3</v>
      </c>
      <c r="I2828" s="523">
        <v>2710.91</v>
      </c>
      <c r="J2828" s="523">
        <v>11.87</v>
      </c>
    </row>
    <row r="2829" spans="1:10" s="358" customFormat="1" ht="14.5" thickTop="1" x14ac:dyDescent="0.3">
      <c r="A2829" s="647"/>
      <c r="B2829" s="647"/>
      <c r="C2829" s="647"/>
      <c r="D2829" s="647"/>
      <c r="E2829" s="647"/>
      <c r="F2829" s="647"/>
      <c r="G2829" s="647"/>
      <c r="H2829" s="647"/>
      <c r="I2829" s="647"/>
      <c r="J2829"/>
    </row>
    <row r="2830" spans="1:10" x14ac:dyDescent="0.3">
      <c r="A2830" s="516"/>
      <c r="B2830" s="517" t="s">
        <v>15</v>
      </c>
      <c r="C2830" s="516" t="s">
        <v>16</v>
      </c>
      <c r="D2830" s="516" t="s">
        <v>17</v>
      </c>
      <c r="E2830" s="904" t="s">
        <v>2431</v>
      </c>
      <c r="F2830" s="904"/>
      <c r="G2830" s="518" t="s">
        <v>18</v>
      </c>
      <c r="H2830" s="517" t="s">
        <v>19</v>
      </c>
      <c r="I2830" s="517" t="s">
        <v>20</v>
      </c>
      <c r="J2830" s="517" t="s">
        <v>23</v>
      </c>
    </row>
    <row r="2831" spans="1:10" s="358" customFormat="1" ht="25" x14ac:dyDescent="0.3">
      <c r="A2831" s="642" t="s">
        <v>2432</v>
      </c>
      <c r="B2831" s="643" t="s">
        <v>3314</v>
      </c>
      <c r="C2831" s="642" t="s">
        <v>32</v>
      </c>
      <c r="D2831" s="642" t="s">
        <v>3315</v>
      </c>
      <c r="E2831" s="906" t="s">
        <v>2433</v>
      </c>
      <c r="F2831" s="906"/>
      <c r="G2831" s="644" t="s">
        <v>1901</v>
      </c>
      <c r="H2831" s="645">
        <v>1</v>
      </c>
      <c r="I2831" s="646">
        <v>0.65</v>
      </c>
      <c r="J2831" s="646">
        <v>0.65</v>
      </c>
    </row>
    <row r="2832" spans="1:10" ht="14.5" thickBot="1" x14ac:dyDescent="0.35">
      <c r="A2832" s="519" t="s">
        <v>2437</v>
      </c>
      <c r="B2832" s="520" t="s">
        <v>3316</v>
      </c>
      <c r="C2832" s="519" t="s">
        <v>32</v>
      </c>
      <c r="D2832" s="519" t="s">
        <v>3317</v>
      </c>
      <c r="E2832" s="905" t="s">
        <v>2440</v>
      </c>
      <c r="F2832" s="905"/>
      <c r="G2832" s="521" t="s">
        <v>1901</v>
      </c>
      <c r="H2832" s="522">
        <v>4.2970000000000001E-2</v>
      </c>
      <c r="I2832" s="523">
        <v>15.27</v>
      </c>
      <c r="J2832" s="523">
        <v>0.65</v>
      </c>
    </row>
    <row r="2833" spans="1:10" s="358" customFormat="1" ht="14.5" thickTop="1" x14ac:dyDescent="0.3">
      <c r="A2833" s="647"/>
      <c r="B2833" s="647"/>
      <c r="C2833" s="647"/>
      <c r="D2833" s="647"/>
      <c r="E2833" s="647"/>
      <c r="F2833" s="647"/>
      <c r="G2833" s="647"/>
      <c r="H2833" s="647"/>
      <c r="I2833" s="647"/>
      <c r="J2833"/>
    </row>
    <row r="2834" spans="1:10" x14ac:dyDescent="0.3">
      <c r="A2834" s="516"/>
      <c r="B2834" s="517" t="s">
        <v>15</v>
      </c>
      <c r="C2834" s="516" t="s">
        <v>16</v>
      </c>
      <c r="D2834" s="516" t="s">
        <v>17</v>
      </c>
      <c r="E2834" s="904" t="s">
        <v>2431</v>
      </c>
      <c r="F2834" s="904"/>
      <c r="G2834" s="518" t="s">
        <v>18</v>
      </c>
      <c r="H2834" s="517" t="s">
        <v>19</v>
      </c>
      <c r="I2834" s="517" t="s">
        <v>20</v>
      </c>
      <c r="J2834" s="517" t="s">
        <v>23</v>
      </c>
    </row>
    <row r="2835" spans="1:10" s="358" customFormat="1" ht="25" x14ac:dyDescent="0.3">
      <c r="A2835" s="642" t="s">
        <v>2432</v>
      </c>
      <c r="B2835" s="643" t="s">
        <v>3322</v>
      </c>
      <c r="C2835" s="642" t="s">
        <v>32</v>
      </c>
      <c r="D2835" s="642" t="s">
        <v>3323</v>
      </c>
      <c r="E2835" s="906" t="s">
        <v>2433</v>
      </c>
      <c r="F2835" s="906"/>
      <c r="G2835" s="644" t="s">
        <v>1901</v>
      </c>
      <c r="H2835" s="645">
        <v>1</v>
      </c>
      <c r="I2835" s="646">
        <v>0.31</v>
      </c>
      <c r="J2835" s="646">
        <v>0.31</v>
      </c>
    </row>
    <row r="2836" spans="1:10" ht="14.5" thickBot="1" x14ac:dyDescent="0.35">
      <c r="A2836" s="519" t="s">
        <v>2437</v>
      </c>
      <c r="B2836" s="520" t="s">
        <v>3324</v>
      </c>
      <c r="C2836" s="519" t="s">
        <v>32</v>
      </c>
      <c r="D2836" s="519" t="s">
        <v>3325</v>
      </c>
      <c r="E2836" s="905" t="s">
        <v>2440</v>
      </c>
      <c r="F2836" s="905"/>
      <c r="G2836" s="521" t="s">
        <v>1901</v>
      </c>
      <c r="H2836" s="522">
        <v>2.07E-2</v>
      </c>
      <c r="I2836" s="523">
        <v>15.27</v>
      </c>
      <c r="J2836" s="523">
        <v>0.31</v>
      </c>
    </row>
    <row r="2837" spans="1:10" s="358" customFormat="1" ht="14.5" thickTop="1" x14ac:dyDescent="0.3">
      <c r="A2837" s="647"/>
      <c r="B2837" s="647"/>
      <c r="C2837" s="647"/>
      <c r="D2837" s="647"/>
      <c r="E2837" s="647"/>
      <c r="F2837" s="647"/>
      <c r="G2837" s="647"/>
      <c r="H2837" s="647"/>
      <c r="I2837" s="647"/>
      <c r="J2837"/>
    </row>
    <row r="2838" spans="1:10" x14ac:dyDescent="0.3">
      <c r="A2838" s="516"/>
      <c r="B2838" s="517" t="s">
        <v>15</v>
      </c>
      <c r="C2838" s="516" t="s">
        <v>16</v>
      </c>
      <c r="D2838" s="516" t="s">
        <v>17</v>
      </c>
      <c r="E2838" s="904" t="s">
        <v>2431</v>
      </c>
      <c r="F2838" s="904"/>
      <c r="G2838" s="518" t="s">
        <v>18</v>
      </c>
      <c r="H2838" s="517" t="s">
        <v>19</v>
      </c>
      <c r="I2838" s="517" t="s">
        <v>20</v>
      </c>
      <c r="J2838" s="517" t="s">
        <v>23</v>
      </c>
    </row>
    <row r="2839" spans="1:10" s="358" customFormat="1" ht="25" x14ac:dyDescent="0.3">
      <c r="A2839" s="642" t="s">
        <v>2432</v>
      </c>
      <c r="B2839" s="643" t="s">
        <v>2481</v>
      </c>
      <c r="C2839" s="642" t="s">
        <v>32</v>
      </c>
      <c r="D2839" s="642" t="s">
        <v>2482</v>
      </c>
      <c r="E2839" s="906" t="s">
        <v>2433</v>
      </c>
      <c r="F2839" s="906"/>
      <c r="G2839" s="644" t="s">
        <v>34</v>
      </c>
      <c r="H2839" s="645">
        <v>1</v>
      </c>
      <c r="I2839" s="646">
        <v>20.12</v>
      </c>
      <c r="J2839" s="646">
        <v>20.12</v>
      </c>
    </row>
    <row r="2840" spans="1:10" ht="14.5" thickBot="1" x14ac:dyDescent="0.35">
      <c r="A2840" s="519" t="s">
        <v>2437</v>
      </c>
      <c r="B2840" s="520" t="s">
        <v>2483</v>
      </c>
      <c r="C2840" s="519" t="s">
        <v>32</v>
      </c>
      <c r="D2840" s="519" t="s">
        <v>2484</v>
      </c>
      <c r="E2840" s="905" t="s">
        <v>2440</v>
      </c>
      <c r="F2840" s="905"/>
      <c r="G2840" s="521" t="s">
        <v>34</v>
      </c>
      <c r="H2840" s="522">
        <v>4.3800000000000002E-3</v>
      </c>
      <c r="I2840" s="523">
        <v>4593.7299999999996</v>
      </c>
      <c r="J2840" s="523">
        <v>20.12</v>
      </c>
    </row>
    <row r="2841" spans="1:10" s="358" customFormat="1" ht="14.5" thickTop="1" x14ac:dyDescent="0.3">
      <c r="A2841" s="647"/>
      <c r="B2841" s="647"/>
      <c r="C2841" s="647"/>
      <c r="D2841" s="647"/>
      <c r="E2841" s="647"/>
      <c r="F2841" s="647"/>
      <c r="G2841" s="647"/>
      <c r="H2841" s="647"/>
      <c r="I2841" s="647"/>
      <c r="J2841"/>
    </row>
    <row r="2842" spans="1:10" x14ac:dyDescent="0.3">
      <c r="A2842" s="516"/>
      <c r="B2842" s="517" t="s">
        <v>15</v>
      </c>
      <c r="C2842" s="516" t="s">
        <v>16</v>
      </c>
      <c r="D2842" s="516" t="s">
        <v>17</v>
      </c>
      <c r="E2842" s="904" t="s">
        <v>2431</v>
      </c>
      <c r="F2842" s="904"/>
      <c r="G2842" s="518" t="s">
        <v>18</v>
      </c>
      <c r="H2842" s="517" t="s">
        <v>19</v>
      </c>
      <c r="I2842" s="517" t="s">
        <v>20</v>
      </c>
      <c r="J2842" s="517" t="s">
        <v>23</v>
      </c>
    </row>
    <row r="2843" spans="1:10" s="358" customFormat="1" ht="25" x14ac:dyDescent="0.3">
      <c r="A2843" s="642" t="s">
        <v>2432</v>
      </c>
      <c r="B2843" s="643" t="s">
        <v>3330</v>
      </c>
      <c r="C2843" s="642" t="s">
        <v>32</v>
      </c>
      <c r="D2843" s="642" t="s">
        <v>3331</v>
      </c>
      <c r="E2843" s="906" t="s">
        <v>2433</v>
      </c>
      <c r="F2843" s="906"/>
      <c r="G2843" s="644" t="s">
        <v>1901</v>
      </c>
      <c r="H2843" s="645">
        <v>1</v>
      </c>
      <c r="I2843" s="646">
        <v>0.19</v>
      </c>
      <c r="J2843" s="646">
        <v>0.19</v>
      </c>
    </row>
    <row r="2844" spans="1:10" ht="14.5" thickBot="1" x14ac:dyDescent="0.35">
      <c r="A2844" s="519" t="s">
        <v>2437</v>
      </c>
      <c r="B2844" s="520" t="s">
        <v>3332</v>
      </c>
      <c r="C2844" s="519" t="s">
        <v>32</v>
      </c>
      <c r="D2844" s="519" t="s">
        <v>4312</v>
      </c>
      <c r="E2844" s="905" t="s">
        <v>2440</v>
      </c>
      <c r="F2844" s="905"/>
      <c r="G2844" s="521" t="s">
        <v>1901</v>
      </c>
      <c r="H2844" s="522">
        <v>1.328E-2</v>
      </c>
      <c r="I2844" s="523">
        <v>14.43</v>
      </c>
      <c r="J2844" s="523">
        <v>0.19</v>
      </c>
    </row>
    <row r="2845" spans="1:10" s="358" customFormat="1" ht="14.5" thickTop="1" x14ac:dyDescent="0.3">
      <c r="A2845" s="647"/>
      <c r="B2845" s="647"/>
      <c r="C2845" s="647"/>
      <c r="D2845" s="647"/>
      <c r="E2845" s="647"/>
      <c r="F2845" s="647"/>
      <c r="G2845" s="647"/>
      <c r="H2845" s="647"/>
      <c r="I2845" s="647"/>
      <c r="J2845"/>
    </row>
    <row r="2846" spans="1:10" x14ac:dyDescent="0.3">
      <c r="A2846" s="516"/>
      <c r="B2846" s="517" t="s">
        <v>15</v>
      </c>
      <c r="C2846" s="516" t="s">
        <v>16</v>
      </c>
      <c r="D2846" s="516" t="s">
        <v>17</v>
      </c>
      <c r="E2846" s="904" t="s">
        <v>2431</v>
      </c>
      <c r="F2846" s="904"/>
      <c r="G2846" s="518" t="s">
        <v>18</v>
      </c>
      <c r="H2846" s="517" t="s">
        <v>19</v>
      </c>
      <c r="I2846" s="517" t="s">
        <v>20</v>
      </c>
      <c r="J2846" s="517" t="s">
        <v>23</v>
      </c>
    </row>
    <row r="2847" spans="1:10" s="358" customFormat="1" ht="25" x14ac:dyDescent="0.3">
      <c r="A2847" s="642" t="s">
        <v>2432</v>
      </c>
      <c r="B2847" s="643" t="s">
        <v>2522</v>
      </c>
      <c r="C2847" s="642" t="s">
        <v>32</v>
      </c>
      <c r="D2847" s="642" t="s">
        <v>2523</v>
      </c>
      <c r="E2847" s="906" t="s">
        <v>2433</v>
      </c>
      <c r="F2847" s="906"/>
      <c r="G2847" s="644" t="s">
        <v>34</v>
      </c>
      <c r="H2847" s="645">
        <v>1</v>
      </c>
      <c r="I2847" s="646">
        <v>12.52</v>
      </c>
      <c r="J2847" s="646">
        <v>12.52</v>
      </c>
    </row>
    <row r="2848" spans="1:10" ht="14.5" thickBot="1" x14ac:dyDescent="0.35">
      <c r="A2848" s="519" t="s">
        <v>2437</v>
      </c>
      <c r="B2848" s="520" t="s">
        <v>2524</v>
      </c>
      <c r="C2848" s="519" t="s">
        <v>32</v>
      </c>
      <c r="D2848" s="519" t="s">
        <v>2525</v>
      </c>
      <c r="E2848" s="905" t="s">
        <v>2440</v>
      </c>
      <c r="F2848" s="905"/>
      <c r="G2848" s="521" t="s">
        <v>34</v>
      </c>
      <c r="H2848" s="522">
        <v>7.1599999999999997E-3</v>
      </c>
      <c r="I2848" s="523">
        <v>1749.15</v>
      </c>
      <c r="J2848" s="523">
        <v>12.52</v>
      </c>
    </row>
    <row r="2849" spans="1:10" s="358" customFormat="1" ht="14.5" thickTop="1" x14ac:dyDescent="0.3">
      <c r="A2849" s="647"/>
      <c r="B2849" s="647"/>
      <c r="C2849" s="647"/>
      <c r="D2849" s="647"/>
      <c r="E2849" s="647"/>
      <c r="F2849" s="647"/>
      <c r="G2849" s="647"/>
      <c r="H2849" s="647"/>
      <c r="I2849" s="647"/>
      <c r="J2849"/>
    </row>
    <row r="2850" spans="1:10" x14ac:dyDescent="0.3">
      <c r="A2850" s="516"/>
      <c r="B2850" s="517" t="s">
        <v>15</v>
      </c>
      <c r="C2850" s="516" t="s">
        <v>16</v>
      </c>
      <c r="D2850" s="516" t="s">
        <v>17</v>
      </c>
      <c r="E2850" s="904" t="s">
        <v>2431</v>
      </c>
      <c r="F2850" s="904"/>
      <c r="G2850" s="518" t="s">
        <v>18</v>
      </c>
      <c r="H2850" s="517" t="s">
        <v>19</v>
      </c>
      <c r="I2850" s="517" t="s">
        <v>20</v>
      </c>
      <c r="J2850" s="517" t="s">
        <v>23</v>
      </c>
    </row>
    <row r="2851" spans="1:10" s="358" customFormat="1" ht="25" x14ac:dyDescent="0.3">
      <c r="A2851" s="642" t="s">
        <v>2432</v>
      </c>
      <c r="B2851" s="643" t="s">
        <v>3434</v>
      </c>
      <c r="C2851" s="642" t="s">
        <v>32</v>
      </c>
      <c r="D2851" s="642" t="s">
        <v>3435</v>
      </c>
      <c r="E2851" s="906" t="s">
        <v>2433</v>
      </c>
      <c r="F2851" s="906"/>
      <c r="G2851" s="644" t="s">
        <v>1901</v>
      </c>
      <c r="H2851" s="645">
        <v>1</v>
      </c>
      <c r="I2851" s="646">
        <v>0.34</v>
      </c>
      <c r="J2851" s="646">
        <v>0.34</v>
      </c>
    </row>
    <row r="2852" spans="1:10" ht="14.5" thickBot="1" x14ac:dyDescent="0.35">
      <c r="A2852" s="519" t="s">
        <v>2437</v>
      </c>
      <c r="B2852" s="520" t="s">
        <v>3436</v>
      </c>
      <c r="C2852" s="519" t="s">
        <v>32</v>
      </c>
      <c r="D2852" s="519" t="s">
        <v>3437</v>
      </c>
      <c r="E2852" s="905" t="s">
        <v>2440</v>
      </c>
      <c r="F2852" s="905"/>
      <c r="G2852" s="521" t="s">
        <v>1901</v>
      </c>
      <c r="H2852" s="522">
        <v>1.6990000000000002E-2</v>
      </c>
      <c r="I2852" s="523">
        <v>20.55</v>
      </c>
      <c r="J2852" s="523">
        <v>0.34</v>
      </c>
    </row>
    <row r="2853" spans="1:10" s="358" customFormat="1" ht="14.5" thickTop="1" x14ac:dyDescent="0.3">
      <c r="A2853" s="647"/>
      <c r="B2853" s="647"/>
      <c r="C2853" s="647"/>
      <c r="D2853" s="647"/>
      <c r="E2853" s="647"/>
      <c r="F2853" s="647"/>
      <c r="G2853" s="647"/>
      <c r="H2853" s="647"/>
      <c r="I2853" s="647"/>
      <c r="J2853"/>
    </row>
    <row r="2854" spans="1:10" x14ac:dyDescent="0.3">
      <c r="A2854" s="516"/>
      <c r="B2854" s="517" t="s">
        <v>15</v>
      </c>
      <c r="C2854" s="516" t="s">
        <v>16</v>
      </c>
      <c r="D2854" s="516" t="s">
        <v>17</v>
      </c>
      <c r="E2854" s="904" t="s">
        <v>2431</v>
      </c>
      <c r="F2854" s="904"/>
      <c r="G2854" s="518" t="s">
        <v>18</v>
      </c>
      <c r="H2854" s="517" t="s">
        <v>19</v>
      </c>
      <c r="I2854" s="517" t="s">
        <v>20</v>
      </c>
      <c r="J2854" s="517" t="s">
        <v>23</v>
      </c>
    </row>
    <row r="2855" spans="1:10" s="358" customFormat="1" ht="25" x14ac:dyDescent="0.3">
      <c r="A2855" s="642" t="s">
        <v>2432</v>
      </c>
      <c r="B2855" s="643" t="s">
        <v>3438</v>
      </c>
      <c r="C2855" s="642" t="s">
        <v>32</v>
      </c>
      <c r="D2855" s="642" t="s">
        <v>3439</v>
      </c>
      <c r="E2855" s="906" t="s">
        <v>2433</v>
      </c>
      <c r="F2855" s="906"/>
      <c r="G2855" s="644" t="s">
        <v>1901</v>
      </c>
      <c r="H2855" s="645">
        <v>1</v>
      </c>
      <c r="I2855" s="646">
        <v>0.28000000000000003</v>
      </c>
      <c r="J2855" s="646">
        <v>0.28000000000000003</v>
      </c>
    </row>
    <row r="2856" spans="1:10" ht="14.5" thickBot="1" x14ac:dyDescent="0.35">
      <c r="A2856" s="519" t="s">
        <v>2437</v>
      </c>
      <c r="B2856" s="520" t="s">
        <v>3440</v>
      </c>
      <c r="C2856" s="519" t="s">
        <v>32</v>
      </c>
      <c r="D2856" s="519" t="s">
        <v>3441</v>
      </c>
      <c r="E2856" s="905" t="s">
        <v>2440</v>
      </c>
      <c r="F2856" s="905"/>
      <c r="G2856" s="521" t="s">
        <v>1901</v>
      </c>
      <c r="H2856" s="522">
        <v>1.328E-2</v>
      </c>
      <c r="I2856" s="523">
        <v>21.83</v>
      </c>
      <c r="J2856" s="523">
        <v>0.28000000000000003</v>
      </c>
    </row>
    <row r="2857" spans="1:10" s="358" customFormat="1" ht="14.5" thickTop="1" x14ac:dyDescent="0.3">
      <c r="A2857" s="647"/>
      <c r="B2857" s="647"/>
      <c r="C2857" s="647"/>
      <c r="D2857" s="647"/>
      <c r="E2857" s="647"/>
      <c r="F2857" s="647"/>
      <c r="G2857" s="647"/>
      <c r="H2857" s="647"/>
      <c r="I2857" s="647"/>
      <c r="J2857"/>
    </row>
    <row r="2858" spans="1:10" x14ac:dyDescent="0.3">
      <c r="A2858" s="516"/>
      <c r="B2858" s="517" t="s">
        <v>15</v>
      </c>
      <c r="C2858" s="516" t="s">
        <v>16</v>
      </c>
      <c r="D2858" s="516" t="s">
        <v>17</v>
      </c>
      <c r="E2858" s="904" t="s">
        <v>2431</v>
      </c>
      <c r="F2858" s="904"/>
      <c r="G2858" s="518" t="s">
        <v>18</v>
      </c>
      <c r="H2858" s="517" t="s">
        <v>19</v>
      </c>
      <c r="I2858" s="517" t="s">
        <v>20</v>
      </c>
      <c r="J2858" s="517" t="s">
        <v>23</v>
      </c>
    </row>
    <row r="2859" spans="1:10" s="358" customFormat="1" ht="25" x14ac:dyDescent="0.3">
      <c r="A2859" s="642" t="s">
        <v>2432</v>
      </c>
      <c r="B2859" s="643" t="s">
        <v>2528</v>
      </c>
      <c r="C2859" s="642" t="s">
        <v>32</v>
      </c>
      <c r="D2859" s="642" t="s">
        <v>2529</v>
      </c>
      <c r="E2859" s="906" t="s">
        <v>2433</v>
      </c>
      <c r="F2859" s="906"/>
      <c r="G2859" s="644" t="s">
        <v>34</v>
      </c>
      <c r="H2859" s="645">
        <v>1</v>
      </c>
      <c r="I2859" s="646">
        <v>12.46</v>
      </c>
      <c r="J2859" s="646">
        <v>12.46</v>
      </c>
    </row>
    <row r="2860" spans="1:10" ht="14.5" thickBot="1" x14ac:dyDescent="0.35">
      <c r="A2860" s="519" t="s">
        <v>2437</v>
      </c>
      <c r="B2860" s="520" t="s">
        <v>4456</v>
      </c>
      <c r="C2860" s="519" t="s">
        <v>32</v>
      </c>
      <c r="D2860" s="519" t="s">
        <v>4457</v>
      </c>
      <c r="E2860" s="905" t="s">
        <v>2440</v>
      </c>
      <c r="F2860" s="905"/>
      <c r="G2860" s="521" t="s">
        <v>34</v>
      </c>
      <c r="H2860" s="522">
        <v>4.3800000000000002E-3</v>
      </c>
      <c r="I2860" s="523">
        <v>2845.46</v>
      </c>
      <c r="J2860" s="523">
        <v>12.46</v>
      </c>
    </row>
    <row r="2861" spans="1:10" s="358" customFormat="1" ht="14.5" thickTop="1" x14ac:dyDescent="0.3">
      <c r="A2861" s="647"/>
      <c r="B2861" s="647"/>
      <c r="C2861" s="647"/>
      <c r="D2861" s="647"/>
      <c r="E2861" s="647"/>
      <c r="F2861" s="647"/>
      <c r="G2861" s="647"/>
      <c r="H2861" s="647"/>
      <c r="I2861" s="647"/>
      <c r="J2861"/>
    </row>
    <row r="2862" spans="1:10" x14ac:dyDescent="0.3">
      <c r="A2862" s="516"/>
      <c r="B2862" s="517" t="s">
        <v>15</v>
      </c>
      <c r="C2862" s="516" t="s">
        <v>16</v>
      </c>
      <c r="D2862" s="516" t="s">
        <v>17</v>
      </c>
      <c r="E2862" s="904" t="s">
        <v>2431</v>
      </c>
      <c r="F2862" s="904"/>
      <c r="G2862" s="518" t="s">
        <v>18</v>
      </c>
      <c r="H2862" s="517" t="s">
        <v>19</v>
      </c>
      <c r="I2862" s="517" t="s">
        <v>20</v>
      </c>
      <c r="J2862" s="517" t="s">
        <v>23</v>
      </c>
    </row>
    <row r="2863" spans="1:10" s="358" customFormat="1" ht="25" x14ac:dyDescent="0.3">
      <c r="A2863" s="642" t="s">
        <v>2432</v>
      </c>
      <c r="B2863" s="643" t="s">
        <v>3496</v>
      </c>
      <c r="C2863" s="642" t="s">
        <v>32</v>
      </c>
      <c r="D2863" s="642" t="s">
        <v>3497</v>
      </c>
      <c r="E2863" s="906" t="s">
        <v>2433</v>
      </c>
      <c r="F2863" s="906"/>
      <c r="G2863" s="644" t="s">
        <v>1901</v>
      </c>
      <c r="H2863" s="645">
        <v>1</v>
      </c>
      <c r="I2863" s="646">
        <v>0.93</v>
      </c>
      <c r="J2863" s="646">
        <v>0.93</v>
      </c>
    </row>
    <row r="2864" spans="1:10" ht="14.5" thickBot="1" x14ac:dyDescent="0.35">
      <c r="A2864" s="519" t="s">
        <v>2437</v>
      </c>
      <c r="B2864" s="520" t="s">
        <v>3498</v>
      </c>
      <c r="C2864" s="519" t="s">
        <v>32</v>
      </c>
      <c r="D2864" s="519" t="s">
        <v>3499</v>
      </c>
      <c r="E2864" s="905" t="s">
        <v>2440</v>
      </c>
      <c r="F2864" s="905"/>
      <c r="G2864" s="521" t="s">
        <v>1901</v>
      </c>
      <c r="H2864" s="522">
        <v>4.2970000000000001E-2</v>
      </c>
      <c r="I2864" s="523">
        <v>21.83</v>
      </c>
      <c r="J2864" s="523">
        <v>0.93</v>
      </c>
    </row>
    <row r="2865" spans="1:10" s="358" customFormat="1" ht="14.5" thickTop="1" x14ac:dyDescent="0.3">
      <c r="A2865" s="647"/>
      <c r="B2865" s="647"/>
      <c r="C2865" s="647"/>
      <c r="D2865" s="647"/>
      <c r="E2865" s="647"/>
      <c r="F2865" s="647"/>
      <c r="G2865" s="647"/>
      <c r="H2865" s="647"/>
      <c r="I2865" s="647"/>
      <c r="J2865"/>
    </row>
    <row r="2866" spans="1:10" x14ac:dyDescent="0.3">
      <c r="A2866" s="516"/>
      <c r="B2866" s="517" t="s">
        <v>15</v>
      </c>
      <c r="C2866" s="516" t="s">
        <v>16</v>
      </c>
      <c r="D2866" s="516" t="s">
        <v>17</v>
      </c>
      <c r="E2866" s="904" t="s">
        <v>2431</v>
      </c>
      <c r="F2866" s="904"/>
      <c r="G2866" s="518" t="s">
        <v>18</v>
      </c>
      <c r="H2866" s="517" t="s">
        <v>19</v>
      </c>
      <c r="I2866" s="517" t="s">
        <v>20</v>
      </c>
      <c r="J2866" s="517" t="s">
        <v>23</v>
      </c>
    </row>
    <row r="2867" spans="1:10" s="358" customFormat="1" ht="25" x14ac:dyDescent="0.3">
      <c r="A2867" s="642" t="s">
        <v>2432</v>
      </c>
      <c r="B2867" s="643" t="s">
        <v>3500</v>
      </c>
      <c r="C2867" s="642" t="s">
        <v>32</v>
      </c>
      <c r="D2867" s="642" t="s">
        <v>3501</v>
      </c>
      <c r="E2867" s="906" t="s">
        <v>2433</v>
      </c>
      <c r="F2867" s="906"/>
      <c r="G2867" s="644" t="s">
        <v>1901</v>
      </c>
      <c r="H2867" s="645">
        <v>1</v>
      </c>
      <c r="I2867" s="646">
        <v>0.45</v>
      </c>
      <c r="J2867" s="646">
        <v>0.45</v>
      </c>
    </row>
    <row r="2868" spans="1:10" ht="14.5" thickBot="1" x14ac:dyDescent="0.35">
      <c r="A2868" s="519" t="s">
        <v>2437</v>
      </c>
      <c r="B2868" s="520" t="s">
        <v>3502</v>
      </c>
      <c r="C2868" s="519" t="s">
        <v>32</v>
      </c>
      <c r="D2868" s="519" t="s">
        <v>3503</v>
      </c>
      <c r="E2868" s="905" t="s">
        <v>2440</v>
      </c>
      <c r="F2868" s="905"/>
      <c r="G2868" s="521" t="s">
        <v>1901</v>
      </c>
      <c r="H2868" s="522">
        <v>2.07E-2</v>
      </c>
      <c r="I2868" s="523">
        <v>21.83</v>
      </c>
      <c r="J2868" s="523">
        <v>0.45</v>
      </c>
    </row>
    <row r="2869" spans="1:10" s="358" customFormat="1" ht="14.5" thickTop="1" x14ac:dyDescent="0.3">
      <c r="A2869" s="647"/>
      <c r="B2869" s="647"/>
      <c r="C2869" s="647"/>
      <c r="D2869" s="647"/>
      <c r="E2869" s="647"/>
      <c r="F2869" s="647"/>
      <c r="G2869" s="647"/>
      <c r="H2869" s="647"/>
      <c r="I2869" s="647"/>
      <c r="J2869"/>
    </row>
    <row r="2870" spans="1:10" x14ac:dyDescent="0.3">
      <c r="A2870" s="516"/>
      <c r="B2870" s="517" t="s">
        <v>15</v>
      </c>
      <c r="C2870" s="516" t="s">
        <v>16</v>
      </c>
      <c r="D2870" s="516" t="s">
        <v>17</v>
      </c>
      <c r="E2870" s="904" t="s">
        <v>2431</v>
      </c>
      <c r="F2870" s="904"/>
      <c r="G2870" s="518" t="s">
        <v>18</v>
      </c>
      <c r="H2870" s="517" t="s">
        <v>19</v>
      </c>
      <c r="I2870" s="517" t="s">
        <v>20</v>
      </c>
      <c r="J2870" s="517" t="s">
        <v>23</v>
      </c>
    </row>
    <row r="2871" spans="1:10" s="358" customFormat="1" ht="25" x14ac:dyDescent="0.3">
      <c r="A2871" s="642" t="s">
        <v>2432</v>
      </c>
      <c r="B2871" s="643" t="s">
        <v>3504</v>
      </c>
      <c r="C2871" s="642" t="s">
        <v>32</v>
      </c>
      <c r="D2871" s="642" t="s">
        <v>3505</v>
      </c>
      <c r="E2871" s="906" t="s">
        <v>2433</v>
      </c>
      <c r="F2871" s="906"/>
      <c r="G2871" s="644" t="s">
        <v>1901</v>
      </c>
      <c r="H2871" s="645">
        <v>1</v>
      </c>
      <c r="I2871" s="646">
        <v>0.53</v>
      </c>
      <c r="J2871" s="646">
        <v>0.53</v>
      </c>
    </row>
    <row r="2872" spans="1:10" ht="14.5" thickBot="1" x14ac:dyDescent="0.35">
      <c r="A2872" s="519" t="s">
        <v>2437</v>
      </c>
      <c r="B2872" s="520" t="s">
        <v>3506</v>
      </c>
      <c r="C2872" s="519" t="s">
        <v>32</v>
      </c>
      <c r="D2872" s="519" t="s">
        <v>4343</v>
      </c>
      <c r="E2872" s="905" t="s">
        <v>2440</v>
      </c>
      <c r="F2872" s="905"/>
      <c r="G2872" s="521" t="s">
        <v>1901</v>
      </c>
      <c r="H2872" s="522">
        <v>2.4420000000000001E-2</v>
      </c>
      <c r="I2872" s="523">
        <v>21.83</v>
      </c>
      <c r="J2872" s="523">
        <v>0.53</v>
      </c>
    </row>
    <row r="2873" spans="1:10" s="358" customFormat="1" ht="14.5" thickTop="1" x14ac:dyDescent="0.3">
      <c r="A2873" s="647"/>
      <c r="B2873" s="647"/>
      <c r="C2873" s="647"/>
      <c r="D2873" s="647"/>
      <c r="E2873" s="647"/>
      <c r="F2873" s="647"/>
      <c r="G2873" s="647"/>
      <c r="H2873" s="647"/>
      <c r="I2873" s="647"/>
      <c r="J2873"/>
    </row>
    <row r="2874" spans="1:10" x14ac:dyDescent="0.3">
      <c r="A2874" s="516"/>
      <c r="B2874" s="517" t="s">
        <v>15</v>
      </c>
      <c r="C2874" s="516" t="s">
        <v>16</v>
      </c>
      <c r="D2874" s="516" t="s">
        <v>17</v>
      </c>
      <c r="E2874" s="904" t="s">
        <v>2431</v>
      </c>
      <c r="F2874" s="904"/>
      <c r="G2874" s="518" t="s">
        <v>18</v>
      </c>
      <c r="H2874" s="517" t="s">
        <v>19</v>
      </c>
      <c r="I2874" s="517" t="s">
        <v>20</v>
      </c>
      <c r="J2874" s="517" t="s">
        <v>23</v>
      </c>
    </row>
    <row r="2875" spans="1:10" s="358" customFormat="1" ht="25" x14ac:dyDescent="0.3">
      <c r="A2875" s="642" t="s">
        <v>2432</v>
      </c>
      <c r="B2875" s="643" t="s">
        <v>2500</v>
      </c>
      <c r="C2875" s="642" t="s">
        <v>32</v>
      </c>
      <c r="D2875" s="642" t="s">
        <v>2501</v>
      </c>
      <c r="E2875" s="906" t="s">
        <v>2433</v>
      </c>
      <c r="F2875" s="906"/>
      <c r="G2875" s="644" t="s">
        <v>34</v>
      </c>
      <c r="H2875" s="645">
        <v>1</v>
      </c>
      <c r="I2875" s="646">
        <v>70.97</v>
      </c>
      <c r="J2875" s="646">
        <v>70.97</v>
      </c>
    </row>
    <row r="2876" spans="1:10" ht="14.5" thickBot="1" x14ac:dyDescent="0.35">
      <c r="A2876" s="519" t="s">
        <v>2437</v>
      </c>
      <c r="B2876" s="520" t="s">
        <v>2502</v>
      </c>
      <c r="C2876" s="519" t="s">
        <v>32</v>
      </c>
      <c r="D2876" s="519" t="s">
        <v>2503</v>
      </c>
      <c r="E2876" s="905" t="s">
        <v>2440</v>
      </c>
      <c r="F2876" s="905"/>
      <c r="G2876" s="521" t="s">
        <v>34</v>
      </c>
      <c r="H2876" s="522">
        <v>1.8259999999999998E-2</v>
      </c>
      <c r="I2876" s="523">
        <v>3886.77</v>
      </c>
      <c r="J2876" s="523">
        <v>70.97</v>
      </c>
    </row>
    <row r="2877" spans="1:10" s="358" customFormat="1" ht="14.5" thickTop="1" x14ac:dyDescent="0.3">
      <c r="A2877" s="647"/>
      <c r="B2877" s="647"/>
      <c r="C2877" s="647"/>
      <c r="D2877" s="647"/>
      <c r="E2877" s="647"/>
      <c r="F2877" s="647"/>
      <c r="G2877" s="647"/>
      <c r="H2877" s="647"/>
      <c r="I2877" s="647"/>
      <c r="J2877"/>
    </row>
    <row r="2878" spans="1:10" x14ac:dyDescent="0.3">
      <c r="A2878" s="516"/>
      <c r="B2878" s="517" t="s">
        <v>15</v>
      </c>
      <c r="C2878" s="516" t="s">
        <v>16</v>
      </c>
      <c r="D2878" s="516" t="s">
        <v>17</v>
      </c>
      <c r="E2878" s="904" t="s">
        <v>2431</v>
      </c>
      <c r="F2878" s="904"/>
      <c r="G2878" s="518" t="s">
        <v>18</v>
      </c>
      <c r="H2878" s="517" t="s">
        <v>19</v>
      </c>
      <c r="I2878" s="517" t="s">
        <v>20</v>
      </c>
      <c r="J2878" s="517" t="s">
        <v>23</v>
      </c>
    </row>
    <row r="2879" spans="1:10" s="358" customFormat="1" ht="25" x14ac:dyDescent="0.3">
      <c r="A2879" s="642" t="s">
        <v>2432</v>
      </c>
      <c r="B2879" s="643" t="s">
        <v>2449</v>
      </c>
      <c r="C2879" s="642" t="s">
        <v>32</v>
      </c>
      <c r="D2879" s="642" t="s">
        <v>2450</v>
      </c>
      <c r="E2879" s="906" t="s">
        <v>2433</v>
      </c>
      <c r="F2879" s="906"/>
      <c r="G2879" s="644" t="s">
        <v>34</v>
      </c>
      <c r="H2879" s="645">
        <v>1</v>
      </c>
      <c r="I2879" s="646">
        <v>306.95</v>
      </c>
      <c r="J2879" s="646">
        <v>306.95</v>
      </c>
    </row>
    <row r="2880" spans="1:10" ht="14.5" thickBot="1" x14ac:dyDescent="0.35">
      <c r="A2880" s="519" t="s">
        <v>2437</v>
      </c>
      <c r="B2880" s="520" t="s">
        <v>2451</v>
      </c>
      <c r="C2880" s="519" t="s">
        <v>32</v>
      </c>
      <c r="D2880" s="519" t="s">
        <v>2452</v>
      </c>
      <c r="E2880" s="905" t="s">
        <v>2440</v>
      </c>
      <c r="F2880" s="905"/>
      <c r="G2880" s="521" t="s">
        <v>34</v>
      </c>
      <c r="H2880" s="522">
        <v>1.2710000000000001E-2</v>
      </c>
      <c r="I2880" s="523">
        <v>24150.62</v>
      </c>
      <c r="J2880" s="523">
        <v>306.95</v>
      </c>
    </row>
    <row r="2881" spans="1:10" s="358" customFormat="1" ht="14.5" thickTop="1" x14ac:dyDescent="0.3">
      <c r="A2881" s="647"/>
      <c r="B2881" s="647"/>
      <c r="C2881" s="647"/>
      <c r="D2881" s="647"/>
      <c r="E2881" s="647"/>
      <c r="F2881" s="647"/>
      <c r="G2881" s="647"/>
      <c r="H2881" s="647"/>
      <c r="I2881" s="647"/>
      <c r="J2881"/>
    </row>
    <row r="2882" spans="1:10" x14ac:dyDescent="0.3">
      <c r="A2882" s="516"/>
      <c r="B2882" s="517" t="s">
        <v>15</v>
      </c>
      <c r="C2882" s="516" t="s">
        <v>16</v>
      </c>
      <c r="D2882" s="516" t="s">
        <v>17</v>
      </c>
      <c r="E2882" s="904" t="s">
        <v>2431</v>
      </c>
      <c r="F2882" s="904"/>
      <c r="G2882" s="518" t="s">
        <v>18</v>
      </c>
      <c r="H2882" s="517" t="s">
        <v>19</v>
      </c>
      <c r="I2882" s="517" t="s">
        <v>20</v>
      </c>
      <c r="J2882" s="517" t="s">
        <v>23</v>
      </c>
    </row>
    <row r="2883" spans="1:10" s="358" customFormat="1" ht="25" x14ac:dyDescent="0.3">
      <c r="A2883" s="642" t="s">
        <v>2432</v>
      </c>
      <c r="B2883" s="643" t="s">
        <v>2435</v>
      </c>
      <c r="C2883" s="642" t="s">
        <v>32</v>
      </c>
      <c r="D2883" s="642" t="s">
        <v>2436</v>
      </c>
      <c r="E2883" s="906" t="s">
        <v>2433</v>
      </c>
      <c r="F2883" s="906"/>
      <c r="G2883" s="644" t="s">
        <v>34</v>
      </c>
      <c r="H2883" s="645">
        <v>1</v>
      </c>
      <c r="I2883" s="646">
        <v>431.87</v>
      </c>
      <c r="J2883" s="646">
        <v>431.87</v>
      </c>
    </row>
    <row r="2884" spans="1:10" ht="14.5" thickBot="1" x14ac:dyDescent="0.35">
      <c r="A2884" s="519" t="s">
        <v>2437</v>
      </c>
      <c r="B2884" s="520" t="s">
        <v>2438</v>
      </c>
      <c r="C2884" s="519" t="s">
        <v>32</v>
      </c>
      <c r="D2884" s="519" t="s">
        <v>2439</v>
      </c>
      <c r="E2884" s="905" t="s">
        <v>2440</v>
      </c>
      <c r="F2884" s="905"/>
      <c r="G2884" s="521" t="s">
        <v>34</v>
      </c>
      <c r="H2884" s="522">
        <v>1.2710000000000001E-2</v>
      </c>
      <c r="I2884" s="523">
        <v>33978.99</v>
      </c>
      <c r="J2884" s="523">
        <v>431.87</v>
      </c>
    </row>
    <row r="2885" spans="1:10" s="358" customFormat="1" ht="14.5" thickTop="1" x14ac:dyDescent="0.3">
      <c r="A2885" s="647"/>
      <c r="B2885" s="647"/>
      <c r="C2885" s="647"/>
      <c r="D2885" s="647"/>
      <c r="E2885" s="647"/>
      <c r="F2885" s="647"/>
      <c r="G2885" s="647"/>
      <c r="H2885" s="647"/>
      <c r="I2885" s="647"/>
      <c r="J2885"/>
    </row>
    <row r="2886" spans="1:10" x14ac:dyDescent="0.3">
      <c r="A2886" s="516"/>
      <c r="B2886" s="517" t="s">
        <v>15</v>
      </c>
      <c r="C2886" s="516" t="s">
        <v>16</v>
      </c>
      <c r="D2886" s="516" t="s">
        <v>17</v>
      </c>
      <c r="E2886" s="904" t="s">
        <v>2431</v>
      </c>
      <c r="F2886" s="904"/>
      <c r="G2886" s="518" t="s">
        <v>18</v>
      </c>
      <c r="H2886" s="517" t="s">
        <v>19</v>
      </c>
      <c r="I2886" s="517" t="s">
        <v>20</v>
      </c>
      <c r="J2886" s="517" t="s">
        <v>23</v>
      </c>
    </row>
    <row r="2887" spans="1:10" s="358" customFormat="1" ht="25" x14ac:dyDescent="0.3">
      <c r="A2887" s="642" t="s">
        <v>2432</v>
      </c>
      <c r="B2887" s="643" t="s">
        <v>3507</v>
      </c>
      <c r="C2887" s="642" t="s">
        <v>32</v>
      </c>
      <c r="D2887" s="642" t="s">
        <v>3508</v>
      </c>
      <c r="E2887" s="906" t="s">
        <v>2433</v>
      </c>
      <c r="F2887" s="906"/>
      <c r="G2887" s="644" t="s">
        <v>1901</v>
      </c>
      <c r="H2887" s="645">
        <v>1</v>
      </c>
      <c r="I2887" s="646">
        <v>0.11</v>
      </c>
      <c r="J2887" s="646">
        <v>0.11</v>
      </c>
    </row>
    <row r="2888" spans="1:10" ht="14.5" thickBot="1" x14ac:dyDescent="0.35">
      <c r="A2888" s="519" t="s">
        <v>2437</v>
      </c>
      <c r="B2888" s="520" t="s">
        <v>3509</v>
      </c>
      <c r="C2888" s="519" t="s">
        <v>32</v>
      </c>
      <c r="D2888" s="519" t="s">
        <v>3510</v>
      </c>
      <c r="E2888" s="905" t="s">
        <v>2440</v>
      </c>
      <c r="F2888" s="905"/>
      <c r="G2888" s="521" t="s">
        <v>1901</v>
      </c>
      <c r="H2888" s="522">
        <v>5.8599999999999998E-3</v>
      </c>
      <c r="I2888" s="523">
        <v>18.78</v>
      </c>
      <c r="J2888" s="523">
        <v>0.11</v>
      </c>
    </row>
    <row r="2889" spans="1:10" s="358" customFormat="1" ht="14.5" thickTop="1" x14ac:dyDescent="0.3">
      <c r="A2889" s="647"/>
      <c r="B2889" s="647"/>
      <c r="C2889" s="647"/>
      <c r="D2889" s="647"/>
      <c r="E2889" s="647"/>
      <c r="F2889" s="647"/>
      <c r="G2889" s="647"/>
      <c r="H2889" s="647"/>
      <c r="I2889" s="647"/>
      <c r="J2889"/>
    </row>
    <row r="2890" spans="1:10" x14ac:dyDescent="0.3">
      <c r="A2890" s="516"/>
      <c r="B2890" s="517" t="s">
        <v>15</v>
      </c>
      <c r="C2890" s="516" t="s">
        <v>16</v>
      </c>
      <c r="D2890" s="516" t="s">
        <v>17</v>
      </c>
      <c r="E2890" s="904" t="s">
        <v>2431</v>
      </c>
      <c r="F2890" s="904"/>
      <c r="G2890" s="518" t="s">
        <v>18</v>
      </c>
      <c r="H2890" s="517" t="s">
        <v>19</v>
      </c>
      <c r="I2890" s="517" t="s">
        <v>20</v>
      </c>
      <c r="J2890" s="517" t="s">
        <v>23</v>
      </c>
    </row>
    <row r="2891" spans="1:10" s="358" customFormat="1" ht="25" x14ac:dyDescent="0.3">
      <c r="A2891" s="642" t="s">
        <v>2432</v>
      </c>
      <c r="B2891" s="643" t="s">
        <v>3511</v>
      </c>
      <c r="C2891" s="642" t="s">
        <v>32</v>
      </c>
      <c r="D2891" s="642" t="s">
        <v>3512</v>
      </c>
      <c r="E2891" s="906" t="s">
        <v>2433</v>
      </c>
      <c r="F2891" s="906"/>
      <c r="G2891" s="644" t="s">
        <v>1901</v>
      </c>
      <c r="H2891" s="645">
        <v>1</v>
      </c>
      <c r="I2891" s="646">
        <v>0.23</v>
      </c>
      <c r="J2891" s="646">
        <v>0.23</v>
      </c>
    </row>
    <row r="2892" spans="1:10" ht="14.5" thickBot="1" x14ac:dyDescent="0.35">
      <c r="A2892" s="519" t="s">
        <v>2437</v>
      </c>
      <c r="B2892" s="520" t="s">
        <v>3513</v>
      </c>
      <c r="C2892" s="519" t="s">
        <v>32</v>
      </c>
      <c r="D2892" s="519" t="s">
        <v>3514</v>
      </c>
      <c r="E2892" s="905" t="s">
        <v>2440</v>
      </c>
      <c r="F2892" s="905"/>
      <c r="G2892" s="521" t="s">
        <v>1901</v>
      </c>
      <c r="H2892" s="522">
        <v>1.328E-2</v>
      </c>
      <c r="I2892" s="523">
        <v>17.579999999999998</v>
      </c>
      <c r="J2892" s="523">
        <v>0.23</v>
      </c>
    </row>
    <row r="2893" spans="1:10" s="358" customFormat="1" ht="14.5" thickTop="1" x14ac:dyDescent="0.3">
      <c r="A2893" s="647"/>
      <c r="B2893" s="647"/>
      <c r="C2893" s="647"/>
      <c r="D2893" s="647"/>
      <c r="E2893" s="647"/>
      <c r="F2893" s="647"/>
      <c r="G2893" s="647"/>
      <c r="H2893" s="647"/>
      <c r="I2893" s="647"/>
      <c r="J2893"/>
    </row>
    <row r="2894" spans="1:10" x14ac:dyDescent="0.3">
      <c r="A2894" s="516"/>
      <c r="B2894" s="517" t="s">
        <v>15</v>
      </c>
      <c r="C2894" s="516" t="s">
        <v>16</v>
      </c>
      <c r="D2894" s="516" t="s">
        <v>17</v>
      </c>
      <c r="E2894" s="904" t="s">
        <v>2431</v>
      </c>
      <c r="F2894" s="904"/>
      <c r="G2894" s="518" t="s">
        <v>18</v>
      </c>
      <c r="H2894" s="517" t="s">
        <v>19</v>
      </c>
      <c r="I2894" s="517" t="s">
        <v>20</v>
      </c>
      <c r="J2894" s="517" t="s">
        <v>23</v>
      </c>
    </row>
    <row r="2895" spans="1:10" s="358" customFormat="1" ht="25" x14ac:dyDescent="0.3">
      <c r="A2895" s="642" t="s">
        <v>2432</v>
      </c>
      <c r="B2895" s="643" t="s">
        <v>3515</v>
      </c>
      <c r="C2895" s="642" t="s">
        <v>32</v>
      </c>
      <c r="D2895" s="642" t="s">
        <v>3516</v>
      </c>
      <c r="E2895" s="906" t="s">
        <v>2433</v>
      </c>
      <c r="F2895" s="906"/>
      <c r="G2895" s="644" t="s">
        <v>1901</v>
      </c>
      <c r="H2895" s="645">
        <v>1</v>
      </c>
      <c r="I2895" s="646">
        <v>0.13</v>
      </c>
      <c r="J2895" s="646">
        <v>0.13</v>
      </c>
    </row>
    <row r="2896" spans="1:10" ht="14.5" thickBot="1" x14ac:dyDescent="0.35">
      <c r="A2896" s="519" t="s">
        <v>2437</v>
      </c>
      <c r="B2896" s="520" t="s">
        <v>3517</v>
      </c>
      <c r="C2896" s="519" t="s">
        <v>32</v>
      </c>
      <c r="D2896" s="519" t="s">
        <v>4344</v>
      </c>
      <c r="E2896" s="905" t="s">
        <v>2440</v>
      </c>
      <c r="F2896" s="905"/>
      <c r="G2896" s="521" t="s">
        <v>1901</v>
      </c>
      <c r="H2896" s="522">
        <v>5.8599999999999998E-3</v>
      </c>
      <c r="I2896" s="523">
        <v>22.67</v>
      </c>
      <c r="J2896" s="523">
        <v>0.13</v>
      </c>
    </row>
    <row r="2897" spans="1:10" s="358" customFormat="1" ht="14.5" thickTop="1" x14ac:dyDescent="0.3">
      <c r="A2897" s="647"/>
      <c r="B2897" s="647"/>
      <c r="C2897" s="647"/>
      <c r="D2897" s="647"/>
      <c r="E2897" s="647"/>
      <c r="F2897" s="647"/>
      <c r="G2897" s="647"/>
      <c r="H2897" s="647"/>
      <c r="I2897" s="647"/>
      <c r="J2897"/>
    </row>
    <row r="2898" spans="1:10" x14ac:dyDescent="0.3">
      <c r="A2898" s="516"/>
      <c r="B2898" s="517" t="s">
        <v>15</v>
      </c>
      <c r="C2898" s="516" t="s">
        <v>16</v>
      </c>
      <c r="D2898" s="516" t="s">
        <v>17</v>
      </c>
      <c r="E2898" s="904" t="s">
        <v>2431</v>
      </c>
      <c r="F2898" s="904"/>
      <c r="G2898" s="518" t="s">
        <v>18</v>
      </c>
      <c r="H2898" s="517" t="s">
        <v>19</v>
      </c>
      <c r="I2898" s="517" t="s">
        <v>20</v>
      </c>
      <c r="J2898" s="517" t="s">
        <v>23</v>
      </c>
    </row>
    <row r="2899" spans="1:10" s="358" customFormat="1" ht="25" x14ac:dyDescent="0.3">
      <c r="A2899" s="642" t="s">
        <v>2432</v>
      </c>
      <c r="B2899" s="643" t="s">
        <v>3518</v>
      </c>
      <c r="C2899" s="642" t="s">
        <v>32</v>
      </c>
      <c r="D2899" s="642" t="s">
        <v>3519</v>
      </c>
      <c r="E2899" s="906" t="s">
        <v>2433</v>
      </c>
      <c r="F2899" s="906"/>
      <c r="G2899" s="644" t="s">
        <v>1901</v>
      </c>
      <c r="H2899" s="645">
        <v>1</v>
      </c>
      <c r="I2899" s="646">
        <v>0.12</v>
      </c>
      <c r="J2899" s="646">
        <v>0.12</v>
      </c>
    </row>
    <row r="2900" spans="1:10" ht="14.5" thickBot="1" x14ac:dyDescent="0.35">
      <c r="A2900" s="519" t="s">
        <v>2437</v>
      </c>
      <c r="B2900" s="520" t="s">
        <v>3520</v>
      </c>
      <c r="C2900" s="519" t="s">
        <v>32</v>
      </c>
      <c r="D2900" s="519" t="s">
        <v>4345</v>
      </c>
      <c r="E2900" s="905" t="s">
        <v>2440</v>
      </c>
      <c r="F2900" s="905"/>
      <c r="G2900" s="521" t="s">
        <v>1901</v>
      </c>
      <c r="H2900" s="522">
        <v>5.8599999999999998E-3</v>
      </c>
      <c r="I2900" s="523">
        <v>21.83</v>
      </c>
      <c r="J2900" s="523">
        <v>0.12</v>
      </c>
    </row>
    <row r="2901" spans="1:10" s="358" customFormat="1" ht="14.5" thickTop="1" x14ac:dyDescent="0.3">
      <c r="A2901" s="647"/>
      <c r="B2901" s="647"/>
      <c r="C2901" s="647"/>
      <c r="D2901" s="647"/>
      <c r="E2901" s="647"/>
      <c r="F2901" s="647"/>
      <c r="G2901" s="647"/>
      <c r="H2901" s="647"/>
      <c r="I2901" s="647"/>
      <c r="J2901"/>
    </row>
    <row r="2902" spans="1:10" x14ac:dyDescent="0.3">
      <c r="A2902" s="516"/>
      <c r="B2902" s="517" t="s">
        <v>15</v>
      </c>
      <c r="C2902" s="516" t="s">
        <v>16</v>
      </c>
      <c r="D2902" s="516" t="s">
        <v>17</v>
      </c>
      <c r="E2902" s="904" t="s">
        <v>2431</v>
      </c>
      <c r="F2902" s="904"/>
      <c r="G2902" s="518" t="s">
        <v>18</v>
      </c>
      <c r="H2902" s="517" t="s">
        <v>19</v>
      </c>
      <c r="I2902" s="517" t="s">
        <v>20</v>
      </c>
      <c r="J2902" s="517" t="s">
        <v>23</v>
      </c>
    </row>
    <row r="2903" spans="1:10" s="358" customFormat="1" ht="25" x14ac:dyDescent="0.3">
      <c r="A2903" s="642" t="s">
        <v>2432</v>
      </c>
      <c r="B2903" s="643" t="s">
        <v>3521</v>
      </c>
      <c r="C2903" s="642" t="s">
        <v>32</v>
      </c>
      <c r="D2903" s="642" t="s">
        <v>3522</v>
      </c>
      <c r="E2903" s="906" t="s">
        <v>2433</v>
      </c>
      <c r="F2903" s="906"/>
      <c r="G2903" s="644" t="s">
        <v>1901</v>
      </c>
      <c r="H2903" s="645">
        <v>1</v>
      </c>
      <c r="I2903" s="646">
        <v>0.43</v>
      </c>
      <c r="J2903" s="646">
        <v>0.43</v>
      </c>
    </row>
    <row r="2904" spans="1:10" ht="14.5" thickBot="1" x14ac:dyDescent="0.35">
      <c r="A2904" s="519" t="s">
        <v>2437</v>
      </c>
      <c r="B2904" s="520" t="s">
        <v>3523</v>
      </c>
      <c r="C2904" s="519" t="s">
        <v>32</v>
      </c>
      <c r="D2904" s="519" t="s">
        <v>4346</v>
      </c>
      <c r="E2904" s="905" t="s">
        <v>2440</v>
      </c>
      <c r="F2904" s="905"/>
      <c r="G2904" s="521" t="s">
        <v>1901</v>
      </c>
      <c r="H2904" s="522">
        <v>1.8849999999999999E-2</v>
      </c>
      <c r="I2904" s="523">
        <v>23.07</v>
      </c>
      <c r="J2904" s="523">
        <v>0.43</v>
      </c>
    </row>
    <row r="2905" spans="1:10" s="358" customFormat="1" ht="14.5" thickTop="1" x14ac:dyDescent="0.3">
      <c r="A2905" s="647"/>
      <c r="B2905" s="647"/>
      <c r="C2905" s="647"/>
      <c r="D2905" s="647"/>
      <c r="E2905" s="647"/>
      <c r="F2905" s="647"/>
      <c r="G2905" s="647"/>
      <c r="H2905" s="647"/>
      <c r="I2905" s="647"/>
      <c r="J2905"/>
    </row>
    <row r="2906" spans="1:10" x14ac:dyDescent="0.3">
      <c r="A2906" s="516"/>
      <c r="B2906" s="517" t="s">
        <v>15</v>
      </c>
      <c r="C2906" s="516" t="s">
        <v>16</v>
      </c>
      <c r="D2906" s="516" t="s">
        <v>17</v>
      </c>
      <c r="E2906" s="904" t="s">
        <v>2431</v>
      </c>
      <c r="F2906" s="904"/>
      <c r="G2906" s="518" t="s">
        <v>18</v>
      </c>
      <c r="H2906" s="517" t="s">
        <v>19</v>
      </c>
      <c r="I2906" s="517" t="s">
        <v>20</v>
      </c>
      <c r="J2906" s="517" t="s">
        <v>23</v>
      </c>
    </row>
    <row r="2907" spans="1:10" s="358" customFormat="1" ht="37.5" x14ac:dyDescent="0.3">
      <c r="A2907" s="642" t="s">
        <v>2432</v>
      </c>
      <c r="B2907" s="643" t="s">
        <v>3524</v>
      </c>
      <c r="C2907" s="642" t="s">
        <v>32</v>
      </c>
      <c r="D2907" s="642" t="s">
        <v>3525</v>
      </c>
      <c r="E2907" s="906" t="s">
        <v>2433</v>
      </c>
      <c r="F2907" s="906"/>
      <c r="G2907" s="644" t="s">
        <v>1901</v>
      </c>
      <c r="H2907" s="645">
        <v>1</v>
      </c>
      <c r="I2907" s="646">
        <v>0.17</v>
      </c>
      <c r="J2907" s="646">
        <v>0.17</v>
      </c>
    </row>
    <row r="2908" spans="1:10" ht="14.5" thickBot="1" x14ac:dyDescent="0.35">
      <c r="A2908" s="519" t="s">
        <v>2437</v>
      </c>
      <c r="B2908" s="520" t="s">
        <v>3526</v>
      </c>
      <c r="C2908" s="519" t="s">
        <v>32</v>
      </c>
      <c r="D2908" s="519" t="s">
        <v>4347</v>
      </c>
      <c r="E2908" s="905" t="s">
        <v>2440</v>
      </c>
      <c r="F2908" s="905"/>
      <c r="G2908" s="521" t="s">
        <v>1901</v>
      </c>
      <c r="H2908" s="522">
        <v>9.5700000000000004E-3</v>
      </c>
      <c r="I2908" s="523">
        <v>18</v>
      </c>
      <c r="J2908" s="523">
        <v>0.17</v>
      </c>
    </row>
    <row r="2909" spans="1:10" s="358" customFormat="1" ht="14.5" thickTop="1" x14ac:dyDescent="0.3">
      <c r="A2909" s="647"/>
      <c r="B2909" s="647"/>
      <c r="C2909" s="647"/>
      <c r="D2909" s="647"/>
      <c r="E2909" s="647"/>
      <c r="F2909" s="647"/>
      <c r="G2909" s="647"/>
      <c r="H2909" s="647"/>
      <c r="I2909" s="647"/>
      <c r="J2909"/>
    </row>
    <row r="2910" spans="1:10" x14ac:dyDescent="0.3">
      <c r="A2910" s="516"/>
      <c r="B2910" s="517" t="s">
        <v>15</v>
      </c>
      <c r="C2910" s="516" t="s">
        <v>16</v>
      </c>
      <c r="D2910" s="516" t="s">
        <v>17</v>
      </c>
      <c r="E2910" s="904" t="s">
        <v>2431</v>
      </c>
      <c r="F2910" s="904"/>
      <c r="G2910" s="518" t="s">
        <v>18</v>
      </c>
      <c r="H2910" s="517" t="s">
        <v>19</v>
      </c>
      <c r="I2910" s="517" t="s">
        <v>20</v>
      </c>
      <c r="J2910" s="517" t="s">
        <v>23</v>
      </c>
    </row>
    <row r="2911" spans="1:10" s="358" customFormat="1" ht="25" x14ac:dyDescent="0.3">
      <c r="A2911" s="642" t="s">
        <v>2432</v>
      </c>
      <c r="B2911" s="643" t="s">
        <v>3527</v>
      </c>
      <c r="C2911" s="642" t="s">
        <v>32</v>
      </c>
      <c r="D2911" s="642" t="s">
        <v>3528</v>
      </c>
      <c r="E2911" s="906" t="s">
        <v>2433</v>
      </c>
      <c r="F2911" s="906"/>
      <c r="G2911" s="644" t="s">
        <v>1901</v>
      </c>
      <c r="H2911" s="645">
        <v>1</v>
      </c>
      <c r="I2911" s="646">
        <v>0.28000000000000003</v>
      </c>
      <c r="J2911" s="646">
        <v>0.28000000000000003</v>
      </c>
    </row>
    <row r="2912" spans="1:10" ht="14.5" thickBot="1" x14ac:dyDescent="0.35">
      <c r="A2912" s="519" t="s">
        <v>2437</v>
      </c>
      <c r="B2912" s="520" t="s">
        <v>3529</v>
      </c>
      <c r="C2912" s="519" t="s">
        <v>32</v>
      </c>
      <c r="D2912" s="519" t="s">
        <v>4348</v>
      </c>
      <c r="E2912" s="905" t="s">
        <v>2440</v>
      </c>
      <c r="F2912" s="905"/>
      <c r="G2912" s="521" t="s">
        <v>1901</v>
      </c>
      <c r="H2912" s="522">
        <v>1.328E-2</v>
      </c>
      <c r="I2912" s="523">
        <v>21.83</v>
      </c>
      <c r="J2912" s="523">
        <v>0.28000000000000003</v>
      </c>
    </row>
    <row r="2913" spans="1:10" s="358" customFormat="1" ht="14.5" thickTop="1" x14ac:dyDescent="0.3">
      <c r="A2913" s="647"/>
      <c r="B2913" s="647"/>
      <c r="C2913" s="647"/>
      <c r="D2913" s="647"/>
      <c r="E2913" s="647"/>
      <c r="F2913" s="647"/>
      <c r="G2913" s="647"/>
      <c r="H2913" s="647"/>
      <c r="I2913" s="647"/>
      <c r="J2913"/>
    </row>
    <row r="2914" spans="1:10" x14ac:dyDescent="0.3">
      <c r="A2914" s="516"/>
      <c r="B2914" s="517" t="s">
        <v>15</v>
      </c>
      <c r="C2914" s="516" t="s">
        <v>16</v>
      </c>
      <c r="D2914" s="516" t="s">
        <v>17</v>
      </c>
      <c r="E2914" s="904" t="s">
        <v>2431</v>
      </c>
      <c r="F2914" s="904"/>
      <c r="G2914" s="518" t="s">
        <v>18</v>
      </c>
      <c r="H2914" s="517" t="s">
        <v>19</v>
      </c>
      <c r="I2914" s="517" t="s">
        <v>20</v>
      </c>
      <c r="J2914" s="517" t="s">
        <v>23</v>
      </c>
    </row>
    <row r="2915" spans="1:10" s="358" customFormat="1" ht="25" x14ac:dyDescent="0.3">
      <c r="A2915" s="642" t="s">
        <v>2432</v>
      </c>
      <c r="B2915" s="643" t="s">
        <v>3530</v>
      </c>
      <c r="C2915" s="642" t="s">
        <v>32</v>
      </c>
      <c r="D2915" s="642" t="s">
        <v>3531</v>
      </c>
      <c r="E2915" s="906" t="s">
        <v>2433</v>
      </c>
      <c r="F2915" s="906"/>
      <c r="G2915" s="644" t="s">
        <v>1901</v>
      </c>
      <c r="H2915" s="645">
        <v>1</v>
      </c>
      <c r="I2915" s="646">
        <v>0.33</v>
      </c>
      <c r="J2915" s="646">
        <v>0.33</v>
      </c>
    </row>
    <row r="2916" spans="1:10" ht="14.5" thickBot="1" x14ac:dyDescent="0.35">
      <c r="A2916" s="519" t="s">
        <v>2437</v>
      </c>
      <c r="B2916" s="520" t="s">
        <v>3532</v>
      </c>
      <c r="C2916" s="519" t="s">
        <v>32</v>
      </c>
      <c r="D2916" s="519" t="s">
        <v>4349</v>
      </c>
      <c r="E2916" s="905" t="s">
        <v>2440</v>
      </c>
      <c r="F2916" s="905"/>
      <c r="G2916" s="521" t="s">
        <v>1901</v>
      </c>
      <c r="H2916" s="522">
        <v>1.8849999999999999E-2</v>
      </c>
      <c r="I2916" s="523">
        <v>18</v>
      </c>
      <c r="J2916" s="523">
        <v>0.33</v>
      </c>
    </row>
    <row r="2917" spans="1:10" s="358" customFormat="1" ht="14.5" thickTop="1" x14ac:dyDescent="0.3">
      <c r="A2917" s="647"/>
      <c r="B2917" s="647"/>
      <c r="C2917" s="647"/>
      <c r="D2917" s="647"/>
      <c r="E2917" s="647"/>
      <c r="F2917" s="647"/>
      <c r="G2917" s="647"/>
      <c r="H2917" s="647"/>
      <c r="I2917" s="647"/>
      <c r="J2917"/>
    </row>
    <row r="2918" spans="1:10" x14ac:dyDescent="0.3">
      <c r="A2918" s="516"/>
      <c r="B2918" s="517" t="s">
        <v>15</v>
      </c>
      <c r="C2918" s="516" t="s">
        <v>16</v>
      </c>
      <c r="D2918" s="516" t="s">
        <v>17</v>
      </c>
      <c r="E2918" s="904" t="s">
        <v>2431</v>
      </c>
      <c r="F2918" s="904"/>
      <c r="G2918" s="518" t="s">
        <v>18</v>
      </c>
      <c r="H2918" s="517" t="s">
        <v>19</v>
      </c>
      <c r="I2918" s="517" t="s">
        <v>20</v>
      </c>
      <c r="J2918" s="517" t="s">
        <v>23</v>
      </c>
    </row>
    <row r="2919" spans="1:10" s="358" customFormat="1" ht="25" x14ac:dyDescent="0.3">
      <c r="A2919" s="642" t="s">
        <v>2432</v>
      </c>
      <c r="B2919" s="643" t="s">
        <v>3533</v>
      </c>
      <c r="C2919" s="642" t="s">
        <v>32</v>
      </c>
      <c r="D2919" s="642" t="s">
        <v>3534</v>
      </c>
      <c r="E2919" s="906" t="s">
        <v>2433</v>
      </c>
      <c r="F2919" s="906"/>
      <c r="G2919" s="644" t="s">
        <v>1901</v>
      </c>
      <c r="H2919" s="645">
        <v>1</v>
      </c>
      <c r="I2919" s="646">
        <v>0.33</v>
      </c>
      <c r="J2919" s="646">
        <v>0.33</v>
      </c>
    </row>
    <row r="2920" spans="1:10" ht="14.5" thickBot="1" x14ac:dyDescent="0.35">
      <c r="A2920" s="519" t="s">
        <v>2437</v>
      </c>
      <c r="B2920" s="520" t="s">
        <v>3535</v>
      </c>
      <c r="C2920" s="519" t="s">
        <v>32</v>
      </c>
      <c r="D2920" s="519" t="s">
        <v>3536</v>
      </c>
      <c r="E2920" s="905" t="s">
        <v>2440</v>
      </c>
      <c r="F2920" s="905"/>
      <c r="G2920" s="521" t="s">
        <v>1901</v>
      </c>
      <c r="H2920" s="522">
        <v>1.8849999999999999E-2</v>
      </c>
      <c r="I2920" s="523">
        <v>18</v>
      </c>
      <c r="J2920" s="523">
        <v>0.33</v>
      </c>
    </row>
    <row r="2921" spans="1:10" s="358" customFormat="1" ht="14.5" thickTop="1" x14ac:dyDescent="0.3">
      <c r="A2921" s="647"/>
      <c r="B2921" s="647"/>
      <c r="C2921" s="647"/>
      <c r="D2921" s="647"/>
      <c r="E2921" s="647"/>
      <c r="F2921" s="647"/>
      <c r="G2921" s="647"/>
      <c r="H2921" s="647"/>
      <c r="I2921" s="647"/>
      <c r="J2921"/>
    </row>
    <row r="2922" spans="1:10" x14ac:dyDescent="0.3">
      <c r="A2922" s="516"/>
      <c r="B2922" s="517" t="s">
        <v>15</v>
      </c>
      <c r="C2922" s="516" t="s">
        <v>16</v>
      </c>
      <c r="D2922" s="516" t="s">
        <v>17</v>
      </c>
      <c r="E2922" s="904" t="s">
        <v>2431</v>
      </c>
      <c r="F2922" s="904"/>
      <c r="G2922" s="518" t="s">
        <v>18</v>
      </c>
      <c r="H2922" s="517" t="s">
        <v>19</v>
      </c>
      <c r="I2922" s="517" t="s">
        <v>20</v>
      </c>
      <c r="J2922" s="517" t="s">
        <v>23</v>
      </c>
    </row>
    <row r="2923" spans="1:10" s="358" customFormat="1" ht="25" x14ac:dyDescent="0.3">
      <c r="A2923" s="642" t="s">
        <v>2432</v>
      </c>
      <c r="B2923" s="643" t="s">
        <v>3537</v>
      </c>
      <c r="C2923" s="642" t="s">
        <v>32</v>
      </c>
      <c r="D2923" s="642" t="s">
        <v>3538</v>
      </c>
      <c r="E2923" s="906" t="s">
        <v>2433</v>
      </c>
      <c r="F2923" s="906"/>
      <c r="G2923" s="644" t="s">
        <v>1901</v>
      </c>
      <c r="H2923" s="645">
        <v>1</v>
      </c>
      <c r="I2923" s="646">
        <v>0.17</v>
      </c>
      <c r="J2923" s="646">
        <v>0.17</v>
      </c>
    </row>
    <row r="2924" spans="1:10" ht="14.5" thickBot="1" x14ac:dyDescent="0.35">
      <c r="A2924" s="519" t="s">
        <v>2437</v>
      </c>
      <c r="B2924" s="520" t="s">
        <v>3539</v>
      </c>
      <c r="C2924" s="519" t="s">
        <v>32</v>
      </c>
      <c r="D2924" s="519" t="s">
        <v>4350</v>
      </c>
      <c r="E2924" s="905" t="s">
        <v>2440</v>
      </c>
      <c r="F2924" s="905"/>
      <c r="G2924" s="521" t="s">
        <v>1901</v>
      </c>
      <c r="H2924" s="522">
        <v>9.5700000000000004E-3</v>
      </c>
      <c r="I2924" s="523">
        <v>18</v>
      </c>
      <c r="J2924" s="523">
        <v>0.17</v>
      </c>
    </row>
    <row r="2925" spans="1:10" s="358" customFormat="1" ht="14.5" thickTop="1" x14ac:dyDescent="0.3">
      <c r="A2925" s="647"/>
      <c r="B2925" s="647"/>
      <c r="C2925" s="647"/>
      <c r="D2925" s="647"/>
      <c r="E2925" s="647"/>
      <c r="F2925" s="647"/>
      <c r="G2925" s="647"/>
      <c r="H2925" s="647"/>
      <c r="I2925" s="647"/>
      <c r="J2925"/>
    </row>
    <row r="2926" spans="1:10" x14ac:dyDescent="0.3">
      <c r="A2926" s="516"/>
      <c r="B2926" s="517" t="s">
        <v>15</v>
      </c>
      <c r="C2926" s="516" t="s">
        <v>16</v>
      </c>
      <c r="D2926" s="516" t="s">
        <v>17</v>
      </c>
      <c r="E2926" s="904" t="s">
        <v>2431</v>
      </c>
      <c r="F2926" s="904"/>
      <c r="G2926" s="518" t="s">
        <v>18</v>
      </c>
      <c r="H2926" s="517" t="s">
        <v>19</v>
      </c>
      <c r="I2926" s="517" t="s">
        <v>20</v>
      </c>
      <c r="J2926" s="517" t="s">
        <v>23</v>
      </c>
    </row>
    <row r="2927" spans="1:10" s="358" customFormat="1" ht="25" x14ac:dyDescent="0.3">
      <c r="A2927" s="642" t="s">
        <v>2432</v>
      </c>
      <c r="B2927" s="643" t="s">
        <v>3540</v>
      </c>
      <c r="C2927" s="642" t="s">
        <v>32</v>
      </c>
      <c r="D2927" s="642" t="s">
        <v>3541</v>
      </c>
      <c r="E2927" s="906" t="s">
        <v>2433</v>
      </c>
      <c r="F2927" s="906"/>
      <c r="G2927" s="644" t="s">
        <v>1901</v>
      </c>
      <c r="H2927" s="645">
        <v>1</v>
      </c>
      <c r="I2927" s="646">
        <v>0.3</v>
      </c>
      <c r="J2927" s="646">
        <v>0.3</v>
      </c>
    </row>
    <row r="2928" spans="1:10" ht="14.5" thickBot="1" x14ac:dyDescent="0.35">
      <c r="A2928" s="519" t="s">
        <v>2437</v>
      </c>
      <c r="B2928" s="520" t="s">
        <v>3542</v>
      </c>
      <c r="C2928" s="519" t="s">
        <v>32</v>
      </c>
      <c r="D2928" s="519" t="s">
        <v>4351</v>
      </c>
      <c r="E2928" s="905" t="s">
        <v>2440</v>
      </c>
      <c r="F2928" s="905"/>
      <c r="G2928" s="521" t="s">
        <v>1901</v>
      </c>
      <c r="H2928" s="522">
        <v>9.5700000000000004E-3</v>
      </c>
      <c r="I2928" s="523">
        <v>32.06</v>
      </c>
      <c r="J2928" s="523">
        <v>0.3</v>
      </c>
    </row>
    <row r="2929" spans="1:10" s="358" customFormat="1" ht="14.5" thickTop="1" x14ac:dyDescent="0.3">
      <c r="A2929" s="647"/>
      <c r="B2929" s="647"/>
      <c r="C2929" s="647"/>
      <c r="D2929" s="647"/>
      <c r="E2929" s="647"/>
      <c r="F2929" s="647"/>
      <c r="G2929" s="647"/>
      <c r="H2929" s="647"/>
      <c r="I2929" s="647"/>
      <c r="J2929"/>
    </row>
    <row r="2930" spans="1:10" x14ac:dyDescent="0.3">
      <c r="A2930" s="516"/>
      <c r="B2930" s="517" t="s">
        <v>15</v>
      </c>
      <c r="C2930" s="516" t="s">
        <v>16</v>
      </c>
      <c r="D2930" s="516" t="s">
        <v>17</v>
      </c>
      <c r="E2930" s="904" t="s">
        <v>2431</v>
      </c>
      <c r="F2930" s="904"/>
      <c r="G2930" s="518" t="s">
        <v>18</v>
      </c>
      <c r="H2930" s="517" t="s">
        <v>19</v>
      </c>
      <c r="I2930" s="517" t="s">
        <v>20</v>
      </c>
      <c r="J2930" s="517" t="s">
        <v>23</v>
      </c>
    </row>
    <row r="2931" spans="1:10" s="358" customFormat="1" ht="25" x14ac:dyDescent="0.3">
      <c r="A2931" s="642" t="s">
        <v>2432</v>
      </c>
      <c r="B2931" s="643" t="s">
        <v>3543</v>
      </c>
      <c r="C2931" s="642" t="s">
        <v>32</v>
      </c>
      <c r="D2931" s="642" t="s">
        <v>3544</v>
      </c>
      <c r="E2931" s="906" t="s">
        <v>2433</v>
      </c>
      <c r="F2931" s="906"/>
      <c r="G2931" s="644" t="s">
        <v>1901</v>
      </c>
      <c r="H2931" s="645">
        <v>1</v>
      </c>
      <c r="I2931" s="646">
        <v>0.23</v>
      </c>
      <c r="J2931" s="646">
        <v>0.23</v>
      </c>
    </row>
    <row r="2932" spans="1:10" ht="25.5" thickBot="1" x14ac:dyDescent="0.35">
      <c r="A2932" s="519" t="s">
        <v>2437</v>
      </c>
      <c r="B2932" s="520" t="s">
        <v>3545</v>
      </c>
      <c r="C2932" s="519" t="s">
        <v>32</v>
      </c>
      <c r="D2932" s="519" t="s">
        <v>4352</v>
      </c>
      <c r="E2932" s="905" t="s">
        <v>2440</v>
      </c>
      <c r="F2932" s="905"/>
      <c r="G2932" s="521" t="s">
        <v>1901</v>
      </c>
      <c r="H2932" s="522">
        <v>1.328E-2</v>
      </c>
      <c r="I2932" s="523">
        <v>18</v>
      </c>
      <c r="J2932" s="523">
        <v>0.23</v>
      </c>
    </row>
    <row r="2933" spans="1:10" s="358" customFormat="1" ht="14.5" thickTop="1" x14ac:dyDescent="0.3">
      <c r="A2933" s="647"/>
      <c r="B2933" s="647"/>
      <c r="C2933" s="647"/>
      <c r="D2933" s="647"/>
      <c r="E2933" s="647"/>
      <c r="F2933" s="647"/>
      <c r="G2933" s="647"/>
      <c r="H2933" s="647"/>
      <c r="I2933" s="647"/>
      <c r="J2933"/>
    </row>
    <row r="2934" spans="1:10" x14ac:dyDescent="0.3">
      <c r="A2934" s="516"/>
      <c r="B2934" s="517" t="s">
        <v>15</v>
      </c>
      <c r="C2934" s="516" t="s">
        <v>16</v>
      </c>
      <c r="D2934" s="516" t="s">
        <v>17</v>
      </c>
      <c r="E2934" s="904" t="s">
        <v>2431</v>
      </c>
      <c r="F2934" s="904"/>
      <c r="G2934" s="518" t="s">
        <v>18</v>
      </c>
      <c r="H2934" s="517" t="s">
        <v>19</v>
      </c>
      <c r="I2934" s="517" t="s">
        <v>20</v>
      </c>
      <c r="J2934" s="517" t="s">
        <v>23</v>
      </c>
    </row>
    <row r="2935" spans="1:10" s="358" customFormat="1" ht="25" x14ac:dyDescent="0.3">
      <c r="A2935" s="642" t="s">
        <v>2432</v>
      </c>
      <c r="B2935" s="643" t="s">
        <v>3546</v>
      </c>
      <c r="C2935" s="642" t="s">
        <v>32</v>
      </c>
      <c r="D2935" s="642" t="s">
        <v>3547</v>
      </c>
      <c r="E2935" s="906" t="s">
        <v>2433</v>
      </c>
      <c r="F2935" s="906"/>
      <c r="G2935" s="644" t="s">
        <v>1901</v>
      </c>
      <c r="H2935" s="645">
        <v>1</v>
      </c>
      <c r="I2935" s="646">
        <v>0.17</v>
      </c>
      <c r="J2935" s="646">
        <v>0.17</v>
      </c>
    </row>
    <row r="2936" spans="1:10" ht="14.5" thickBot="1" x14ac:dyDescent="0.35">
      <c r="A2936" s="519" t="s">
        <v>2437</v>
      </c>
      <c r="B2936" s="520" t="s">
        <v>3548</v>
      </c>
      <c r="C2936" s="519" t="s">
        <v>32</v>
      </c>
      <c r="D2936" s="519" t="s">
        <v>4353</v>
      </c>
      <c r="E2936" s="905" t="s">
        <v>2440</v>
      </c>
      <c r="F2936" s="905"/>
      <c r="G2936" s="521" t="s">
        <v>1901</v>
      </c>
      <c r="H2936" s="522">
        <v>9.5700000000000004E-3</v>
      </c>
      <c r="I2936" s="523">
        <v>18</v>
      </c>
      <c r="J2936" s="523">
        <v>0.17</v>
      </c>
    </row>
    <row r="2937" spans="1:10" s="358" customFormat="1" ht="14.5" thickTop="1" x14ac:dyDescent="0.3">
      <c r="A2937" s="647"/>
      <c r="B2937" s="647"/>
      <c r="C2937" s="647"/>
      <c r="D2937" s="647"/>
      <c r="E2937" s="647"/>
      <c r="F2937" s="647"/>
      <c r="G2937" s="647"/>
      <c r="H2937" s="647"/>
      <c r="I2937" s="647"/>
      <c r="J2937"/>
    </row>
    <row r="2938" spans="1:10" x14ac:dyDescent="0.3">
      <c r="A2938" s="516"/>
      <c r="B2938" s="517" t="s">
        <v>15</v>
      </c>
      <c r="C2938" s="516" t="s">
        <v>16</v>
      </c>
      <c r="D2938" s="516" t="s">
        <v>17</v>
      </c>
      <c r="E2938" s="904" t="s">
        <v>2431</v>
      </c>
      <c r="F2938" s="904"/>
      <c r="G2938" s="518" t="s">
        <v>18</v>
      </c>
      <c r="H2938" s="517" t="s">
        <v>19</v>
      </c>
      <c r="I2938" s="517" t="s">
        <v>20</v>
      </c>
      <c r="J2938" s="517" t="s">
        <v>23</v>
      </c>
    </row>
    <row r="2939" spans="1:10" s="358" customFormat="1" ht="25" x14ac:dyDescent="0.3">
      <c r="A2939" s="642" t="s">
        <v>2432</v>
      </c>
      <c r="B2939" s="643" t="s">
        <v>3549</v>
      </c>
      <c r="C2939" s="642" t="s">
        <v>32</v>
      </c>
      <c r="D2939" s="642" t="s">
        <v>3550</v>
      </c>
      <c r="E2939" s="906" t="s">
        <v>2433</v>
      </c>
      <c r="F2939" s="906"/>
      <c r="G2939" s="644" t="s">
        <v>1901</v>
      </c>
      <c r="H2939" s="645">
        <v>1</v>
      </c>
      <c r="I2939" s="646">
        <v>0.17</v>
      </c>
      <c r="J2939" s="646">
        <v>0.17</v>
      </c>
    </row>
    <row r="2940" spans="1:10" ht="14.5" thickBot="1" x14ac:dyDescent="0.35">
      <c r="A2940" s="519" t="s">
        <v>2437</v>
      </c>
      <c r="B2940" s="520" t="s">
        <v>3551</v>
      </c>
      <c r="C2940" s="519" t="s">
        <v>32</v>
      </c>
      <c r="D2940" s="519" t="s">
        <v>4354</v>
      </c>
      <c r="E2940" s="905" t="s">
        <v>2440</v>
      </c>
      <c r="F2940" s="905"/>
      <c r="G2940" s="521" t="s">
        <v>1901</v>
      </c>
      <c r="H2940" s="522">
        <v>9.5700000000000004E-3</v>
      </c>
      <c r="I2940" s="523">
        <v>18</v>
      </c>
      <c r="J2940" s="523">
        <v>0.17</v>
      </c>
    </row>
    <row r="2941" spans="1:10" s="358" customFormat="1" ht="14.5" thickTop="1" x14ac:dyDescent="0.3">
      <c r="A2941" s="647"/>
      <c r="B2941" s="647"/>
      <c r="C2941" s="647"/>
      <c r="D2941" s="647"/>
      <c r="E2941" s="647"/>
      <c r="F2941" s="647"/>
      <c r="G2941" s="647"/>
      <c r="H2941" s="647"/>
      <c r="I2941" s="647"/>
      <c r="J2941"/>
    </row>
    <row r="2942" spans="1:10" x14ac:dyDescent="0.3">
      <c r="A2942" s="516"/>
      <c r="B2942" s="517" t="s">
        <v>15</v>
      </c>
      <c r="C2942" s="516" t="s">
        <v>16</v>
      </c>
      <c r="D2942" s="516" t="s">
        <v>17</v>
      </c>
      <c r="E2942" s="904" t="s">
        <v>2431</v>
      </c>
      <c r="F2942" s="904"/>
      <c r="G2942" s="518" t="s">
        <v>18</v>
      </c>
      <c r="H2942" s="517" t="s">
        <v>19</v>
      </c>
      <c r="I2942" s="517" t="s">
        <v>20</v>
      </c>
      <c r="J2942" s="517" t="s">
        <v>23</v>
      </c>
    </row>
    <row r="2943" spans="1:10" s="358" customFormat="1" ht="25" x14ac:dyDescent="0.3">
      <c r="A2943" s="642" t="s">
        <v>2432</v>
      </c>
      <c r="B2943" s="643" t="s">
        <v>3552</v>
      </c>
      <c r="C2943" s="642" t="s">
        <v>32</v>
      </c>
      <c r="D2943" s="642" t="s">
        <v>3553</v>
      </c>
      <c r="E2943" s="906" t="s">
        <v>2433</v>
      </c>
      <c r="F2943" s="906"/>
      <c r="G2943" s="644" t="s">
        <v>1901</v>
      </c>
      <c r="H2943" s="645">
        <v>1</v>
      </c>
      <c r="I2943" s="646">
        <v>0.17</v>
      </c>
      <c r="J2943" s="646">
        <v>0.17</v>
      </c>
    </row>
    <row r="2944" spans="1:10" ht="14.5" thickBot="1" x14ac:dyDescent="0.35">
      <c r="A2944" s="519" t="s">
        <v>2437</v>
      </c>
      <c r="B2944" s="520" t="s">
        <v>3554</v>
      </c>
      <c r="C2944" s="519" t="s">
        <v>32</v>
      </c>
      <c r="D2944" s="519" t="s">
        <v>4355</v>
      </c>
      <c r="E2944" s="905" t="s">
        <v>2440</v>
      </c>
      <c r="F2944" s="905"/>
      <c r="G2944" s="521" t="s">
        <v>1901</v>
      </c>
      <c r="H2944" s="522">
        <v>9.5700000000000004E-3</v>
      </c>
      <c r="I2944" s="523">
        <v>18</v>
      </c>
      <c r="J2944" s="523">
        <v>0.17</v>
      </c>
    </row>
    <row r="2945" spans="1:10" s="358" customFormat="1" ht="14.5" thickTop="1" x14ac:dyDescent="0.3">
      <c r="A2945" s="647"/>
      <c r="B2945" s="647"/>
      <c r="C2945" s="647"/>
      <c r="D2945" s="647"/>
      <c r="E2945" s="647"/>
      <c r="F2945" s="647"/>
      <c r="G2945" s="647"/>
      <c r="H2945" s="647"/>
      <c r="I2945" s="647"/>
      <c r="J2945"/>
    </row>
    <row r="2946" spans="1:10" x14ac:dyDescent="0.3">
      <c r="A2946" s="516"/>
      <c r="B2946" s="517" t="s">
        <v>15</v>
      </c>
      <c r="C2946" s="516" t="s">
        <v>16</v>
      </c>
      <c r="D2946" s="516" t="s">
        <v>17</v>
      </c>
      <c r="E2946" s="904" t="s">
        <v>2431</v>
      </c>
      <c r="F2946" s="904"/>
      <c r="G2946" s="518" t="s">
        <v>18</v>
      </c>
      <c r="H2946" s="517" t="s">
        <v>19</v>
      </c>
      <c r="I2946" s="517" t="s">
        <v>20</v>
      </c>
      <c r="J2946" s="517" t="s">
        <v>23</v>
      </c>
    </row>
    <row r="2947" spans="1:10" s="358" customFormat="1" ht="25" x14ac:dyDescent="0.3">
      <c r="A2947" s="642" t="s">
        <v>2432</v>
      </c>
      <c r="B2947" s="643" t="s">
        <v>3555</v>
      </c>
      <c r="C2947" s="642" t="s">
        <v>32</v>
      </c>
      <c r="D2947" s="642" t="s">
        <v>3556</v>
      </c>
      <c r="E2947" s="906" t="s">
        <v>2433</v>
      </c>
      <c r="F2947" s="906"/>
      <c r="G2947" s="644" t="s">
        <v>1901</v>
      </c>
      <c r="H2947" s="645">
        <v>1</v>
      </c>
      <c r="I2947" s="646">
        <v>0.3</v>
      </c>
      <c r="J2947" s="646">
        <v>0.3</v>
      </c>
    </row>
    <row r="2948" spans="1:10" ht="25.5" thickBot="1" x14ac:dyDescent="0.35">
      <c r="A2948" s="519" t="s">
        <v>2437</v>
      </c>
      <c r="B2948" s="520" t="s">
        <v>3557</v>
      </c>
      <c r="C2948" s="519" t="s">
        <v>32</v>
      </c>
      <c r="D2948" s="519" t="s">
        <v>4356</v>
      </c>
      <c r="E2948" s="905" t="s">
        <v>2440</v>
      </c>
      <c r="F2948" s="905"/>
      <c r="G2948" s="521" t="s">
        <v>1901</v>
      </c>
      <c r="H2948" s="522">
        <v>9.5700000000000004E-3</v>
      </c>
      <c r="I2948" s="523">
        <v>32.06</v>
      </c>
      <c r="J2948" s="523">
        <v>0.3</v>
      </c>
    </row>
    <row r="2949" spans="1:10" s="358" customFormat="1" ht="14.5" thickTop="1" x14ac:dyDescent="0.3">
      <c r="A2949" s="647"/>
      <c r="B2949" s="647"/>
      <c r="C2949" s="647"/>
      <c r="D2949" s="647"/>
      <c r="E2949" s="647"/>
      <c r="F2949" s="647"/>
      <c r="G2949" s="647"/>
      <c r="H2949" s="647"/>
      <c r="I2949" s="647"/>
      <c r="J2949"/>
    </row>
    <row r="2950" spans="1:10" x14ac:dyDescent="0.3">
      <c r="A2950" s="516"/>
      <c r="B2950" s="517" t="s">
        <v>15</v>
      </c>
      <c r="C2950" s="516" t="s">
        <v>16</v>
      </c>
      <c r="D2950" s="516" t="s">
        <v>17</v>
      </c>
      <c r="E2950" s="904" t="s">
        <v>2431</v>
      </c>
      <c r="F2950" s="904"/>
      <c r="G2950" s="518" t="s">
        <v>18</v>
      </c>
      <c r="H2950" s="517" t="s">
        <v>19</v>
      </c>
      <c r="I2950" s="517" t="s">
        <v>20</v>
      </c>
      <c r="J2950" s="517" t="s">
        <v>23</v>
      </c>
    </row>
    <row r="2951" spans="1:10" s="358" customFormat="1" ht="25" x14ac:dyDescent="0.3">
      <c r="A2951" s="642" t="s">
        <v>2432</v>
      </c>
      <c r="B2951" s="643" t="s">
        <v>3558</v>
      </c>
      <c r="C2951" s="642" t="s">
        <v>32</v>
      </c>
      <c r="D2951" s="642" t="s">
        <v>3559</v>
      </c>
      <c r="E2951" s="906" t="s">
        <v>2433</v>
      </c>
      <c r="F2951" s="906"/>
      <c r="G2951" s="644" t="s">
        <v>1901</v>
      </c>
      <c r="H2951" s="645">
        <v>1</v>
      </c>
      <c r="I2951" s="646">
        <v>0.53</v>
      </c>
      <c r="J2951" s="646">
        <v>0.53</v>
      </c>
    </row>
    <row r="2952" spans="1:10" ht="14.5" thickBot="1" x14ac:dyDescent="0.35">
      <c r="A2952" s="519" t="s">
        <v>2437</v>
      </c>
      <c r="B2952" s="520" t="s">
        <v>3560</v>
      </c>
      <c r="C2952" s="519" t="s">
        <v>32</v>
      </c>
      <c r="D2952" s="519" t="s">
        <v>3561</v>
      </c>
      <c r="E2952" s="905" t="s">
        <v>2440</v>
      </c>
      <c r="F2952" s="905"/>
      <c r="G2952" s="521" t="s">
        <v>1901</v>
      </c>
      <c r="H2952" s="522">
        <v>2.4420000000000001E-2</v>
      </c>
      <c r="I2952" s="523">
        <v>21.83</v>
      </c>
      <c r="J2952" s="523">
        <v>0.53</v>
      </c>
    </row>
    <row r="2953" spans="1:10" s="358" customFormat="1" ht="14.5" thickTop="1" x14ac:dyDescent="0.3">
      <c r="A2953" s="647"/>
      <c r="B2953" s="647"/>
      <c r="C2953" s="647"/>
      <c r="D2953" s="647"/>
      <c r="E2953" s="647"/>
      <c r="F2953" s="647"/>
      <c r="G2953" s="647"/>
      <c r="H2953" s="647"/>
      <c r="I2953" s="647"/>
      <c r="J2953"/>
    </row>
    <row r="2954" spans="1:10" x14ac:dyDescent="0.3">
      <c r="A2954" s="516"/>
      <c r="B2954" s="517" t="s">
        <v>15</v>
      </c>
      <c r="C2954" s="516" t="s">
        <v>16</v>
      </c>
      <c r="D2954" s="516" t="s">
        <v>17</v>
      </c>
      <c r="E2954" s="904" t="s">
        <v>2431</v>
      </c>
      <c r="F2954" s="904"/>
      <c r="G2954" s="518" t="s">
        <v>18</v>
      </c>
      <c r="H2954" s="517" t="s">
        <v>19</v>
      </c>
      <c r="I2954" s="517" t="s">
        <v>20</v>
      </c>
      <c r="J2954" s="517" t="s">
        <v>23</v>
      </c>
    </row>
    <row r="2955" spans="1:10" s="358" customFormat="1" ht="25" x14ac:dyDescent="0.3">
      <c r="A2955" s="642" t="s">
        <v>2432</v>
      </c>
      <c r="B2955" s="643" t="s">
        <v>3562</v>
      </c>
      <c r="C2955" s="642" t="s">
        <v>32</v>
      </c>
      <c r="D2955" s="642" t="s">
        <v>3563</v>
      </c>
      <c r="E2955" s="906" t="s">
        <v>2433</v>
      </c>
      <c r="F2955" s="906"/>
      <c r="G2955" s="644" t="s">
        <v>34</v>
      </c>
      <c r="H2955" s="645">
        <v>1</v>
      </c>
      <c r="I2955" s="646">
        <v>70.97</v>
      </c>
      <c r="J2955" s="646">
        <v>70.97</v>
      </c>
    </row>
    <row r="2956" spans="1:10" ht="14.5" thickBot="1" x14ac:dyDescent="0.35">
      <c r="A2956" s="519" t="s">
        <v>2437</v>
      </c>
      <c r="B2956" s="520" t="s">
        <v>3564</v>
      </c>
      <c r="C2956" s="519" t="s">
        <v>32</v>
      </c>
      <c r="D2956" s="519" t="s">
        <v>3565</v>
      </c>
      <c r="E2956" s="905" t="s">
        <v>2440</v>
      </c>
      <c r="F2956" s="905"/>
      <c r="G2956" s="521" t="s">
        <v>34</v>
      </c>
      <c r="H2956" s="522">
        <v>1.8259999999999998E-2</v>
      </c>
      <c r="I2956" s="523">
        <v>3886.77</v>
      </c>
      <c r="J2956" s="523">
        <v>70.97</v>
      </c>
    </row>
    <row r="2957" spans="1:10" s="358" customFormat="1" ht="14.5" thickTop="1" x14ac:dyDescent="0.3">
      <c r="A2957" s="647"/>
      <c r="B2957" s="647"/>
      <c r="C2957" s="647"/>
      <c r="D2957" s="647"/>
      <c r="E2957" s="647"/>
      <c r="F2957" s="647"/>
      <c r="G2957" s="647"/>
      <c r="H2957" s="647"/>
      <c r="I2957" s="647"/>
      <c r="J2957"/>
    </row>
    <row r="2958" spans="1:10" x14ac:dyDescent="0.3">
      <c r="A2958" s="516"/>
      <c r="B2958" s="517" t="s">
        <v>15</v>
      </c>
      <c r="C2958" s="516" t="s">
        <v>16</v>
      </c>
      <c r="D2958" s="516" t="s">
        <v>17</v>
      </c>
      <c r="E2958" s="904" t="s">
        <v>2431</v>
      </c>
      <c r="F2958" s="904"/>
      <c r="G2958" s="518" t="s">
        <v>18</v>
      </c>
      <c r="H2958" s="517" t="s">
        <v>19</v>
      </c>
      <c r="I2958" s="517" t="s">
        <v>20</v>
      </c>
      <c r="J2958" s="517" t="s">
        <v>23</v>
      </c>
    </row>
    <row r="2959" spans="1:10" s="358" customFormat="1" ht="25" x14ac:dyDescent="0.3">
      <c r="A2959" s="642" t="s">
        <v>2432</v>
      </c>
      <c r="B2959" s="643" t="s">
        <v>3566</v>
      </c>
      <c r="C2959" s="642" t="s">
        <v>32</v>
      </c>
      <c r="D2959" s="642" t="s">
        <v>3567</v>
      </c>
      <c r="E2959" s="906" t="s">
        <v>2433</v>
      </c>
      <c r="F2959" s="906"/>
      <c r="G2959" s="644" t="s">
        <v>1901</v>
      </c>
      <c r="H2959" s="645">
        <v>1</v>
      </c>
      <c r="I2959" s="646">
        <v>0.37</v>
      </c>
      <c r="J2959" s="646">
        <v>0.37</v>
      </c>
    </row>
    <row r="2960" spans="1:10" ht="14.5" thickBot="1" x14ac:dyDescent="0.35">
      <c r="A2960" s="519" t="s">
        <v>2437</v>
      </c>
      <c r="B2960" s="520" t="s">
        <v>3568</v>
      </c>
      <c r="C2960" s="519" t="s">
        <v>32</v>
      </c>
      <c r="D2960" s="519" t="s">
        <v>3569</v>
      </c>
      <c r="E2960" s="905" t="s">
        <v>2440</v>
      </c>
      <c r="F2960" s="905"/>
      <c r="G2960" s="521" t="s">
        <v>1901</v>
      </c>
      <c r="H2960" s="522">
        <v>1.6990000000000002E-2</v>
      </c>
      <c r="I2960" s="523">
        <v>21.83</v>
      </c>
      <c r="J2960" s="523">
        <v>0.37</v>
      </c>
    </row>
    <row r="2961" spans="1:10" s="358" customFormat="1" ht="14.5" thickTop="1" x14ac:dyDescent="0.3">
      <c r="A2961" s="647"/>
      <c r="B2961" s="647"/>
      <c r="C2961" s="647"/>
      <c r="D2961" s="647"/>
      <c r="E2961" s="647"/>
      <c r="F2961" s="647"/>
      <c r="G2961" s="647"/>
      <c r="H2961" s="647"/>
      <c r="I2961" s="647"/>
      <c r="J2961"/>
    </row>
    <row r="2962" spans="1:10" x14ac:dyDescent="0.3">
      <c r="A2962" s="516"/>
      <c r="B2962" s="517" t="s">
        <v>15</v>
      </c>
      <c r="C2962" s="516" t="s">
        <v>16</v>
      </c>
      <c r="D2962" s="516" t="s">
        <v>17</v>
      </c>
      <c r="E2962" s="904" t="s">
        <v>2431</v>
      </c>
      <c r="F2962" s="904"/>
      <c r="G2962" s="518" t="s">
        <v>18</v>
      </c>
      <c r="H2962" s="517" t="s">
        <v>19</v>
      </c>
      <c r="I2962" s="517" t="s">
        <v>20</v>
      </c>
      <c r="J2962" s="517" t="s">
        <v>23</v>
      </c>
    </row>
    <row r="2963" spans="1:10" s="358" customFormat="1" ht="25" x14ac:dyDescent="0.3">
      <c r="A2963" s="642" t="s">
        <v>2432</v>
      </c>
      <c r="B2963" s="643" t="s">
        <v>3570</v>
      </c>
      <c r="C2963" s="642" t="s">
        <v>32</v>
      </c>
      <c r="D2963" s="642" t="s">
        <v>3571</v>
      </c>
      <c r="E2963" s="906" t="s">
        <v>2433</v>
      </c>
      <c r="F2963" s="906"/>
      <c r="G2963" s="644" t="s">
        <v>1901</v>
      </c>
      <c r="H2963" s="645">
        <v>1</v>
      </c>
      <c r="I2963" s="646">
        <v>0.11</v>
      </c>
      <c r="J2963" s="646">
        <v>0.11</v>
      </c>
    </row>
    <row r="2964" spans="1:10" ht="14.5" thickBot="1" x14ac:dyDescent="0.35">
      <c r="A2964" s="519" t="s">
        <v>2437</v>
      </c>
      <c r="B2964" s="520" t="s">
        <v>3572</v>
      </c>
      <c r="C2964" s="519" t="s">
        <v>32</v>
      </c>
      <c r="D2964" s="519" t="s">
        <v>3573</v>
      </c>
      <c r="E2964" s="905" t="s">
        <v>2440</v>
      </c>
      <c r="F2964" s="905"/>
      <c r="G2964" s="521" t="s">
        <v>1901</v>
      </c>
      <c r="H2964" s="522">
        <v>5.8599999999999998E-3</v>
      </c>
      <c r="I2964" s="523">
        <v>19.77</v>
      </c>
      <c r="J2964" s="523">
        <v>0.11</v>
      </c>
    </row>
    <row r="2965" spans="1:10" s="358" customFormat="1" ht="14.5" thickTop="1" x14ac:dyDescent="0.3">
      <c r="A2965" s="647"/>
      <c r="B2965" s="647"/>
      <c r="C2965" s="647"/>
      <c r="D2965" s="647"/>
      <c r="E2965" s="647"/>
      <c r="F2965" s="647"/>
      <c r="G2965" s="647"/>
      <c r="H2965" s="647"/>
      <c r="I2965" s="647"/>
      <c r="J2965"/>
    </row>
    <row r="2966" spans="1:10" x14ac:dyDescent="0.3">
      <c r="A2966" s="516"/>
      <c r="B2966" s="517" t="s">
        <v>15</v>
      </c>
      <c r="C2966" s="516" t="s">
        <v>16</v>
      </c>
      <c r="D2966" s="516" t="s">
        <v>17</v>
      </c>
      <c r="E2966" s="904" t="s">
        <v>2431</v>
      </c>
      <c r="F2966" s="904"/>
      <c r="G2966" s="518" t="s">
        <v>18</v>
      </c>
      <c r="H2966" s="517" t="s">
        <v>19</v>
      </c>
      <c r="I2966" s="517" t="s">
        <v>20</v>
      </c>
      <c r="J2966" s="517" t="s">
        <v>23</v>
      </c>
    </row>
    <row r="2967" spans="1:10" s="358" customFormat="1" ht="25" x14ac:dyDescent="0.3">
      <c r="A2967" s="642" t="s">
        <v>2432</v>
      </c>
      <c r="B2967" s="643" t="s">
        <v>3574</v>
      </c>
      <c r="C2967" s="642" t="s">
        <v>32</v>
      </c>
      <c r="D2967" s="642" t="s">
        <v>3575</v>
      </c>
      <c r="E2967" s="906" t="s">
        <v>2433</v>
      </c>
      <c r="F2967" s="906"/>
      <c r="G2967" s="644" t="s">
        <v>1901</v>
      </c>
      <c r="H2967" s="645">
        <v>1</v>
      </c>
      <c r="I2967" s="646">
        <v>0.28000000000000003</v>
      </c>
      <c r="J2967" s="646">
        <v>0.28000000000000003</v>
      </c>
    </row>
    <row r="2968" spans="1:10" ht="14.5" thickBot="1" x14ac:dyDescent="0.35">
      <c r="A2968" s="519" t="s">
        <v>2437</v>
      </c>
      <c r="B2968" s="520" t="s">
        <v>3576</v>
      </c>
      <c r="C2968" s="519" t="s">
        <v>32</v>
      </c>
      <c r="D2968" s="519" t="s">
        <v>3577</v>
      </c>
      <c r="E2968" s="905" t="s">
        <v>2440</v>
      </c>
      <c r="F2968" s="905"/>
      <c r="G2968" s="521" t="s">
        <v>1901</v>
      </c>
      <c r="H2968" s="522">
        <v>1.328E-2</v>
      </c>
      <c r="I2968" s="523">
        <v>21.83</v>
      </c>
      <c r="J2968" s="523">
        <v>0.28000000000000003</v>
      </c>
    </row>
    <row r="2969" spans="1:10" s="358" customFormat="1" ht="14.5" thickTop="1" x14ac:dyDescent="0.3">
      <c r="A2969" s="647"/>
      <c r="B2969" s="647"/>
      <c r="C2969" s="647"/>
      <c r="D2969" s="647"/>
      <c r="E2969" s="647"/>
      <c r="F2969" s="647"/>
      <c r="G2969" s="647"/>
      <c r="H2969" s="647"/>
      <c r="I2969" s="647"/>
      <c r="J2969"/>
    </row>
    <row r="2970" spans="1:10" x14ac:dyDescent="0.3">
      <c r="A2970" s="516"/>
      <c r="B2970" s="517" t="s">
        <v>15</v>
      </c>
      <c r="C2970" s="516" t="s">
        <v>16</v>
      </c>
      <c r="D2970" s="516" t="s">
        <v>17</v>
      </c>
      <c r="E2970" s="904" t="s">
        <v>2431</v>
      </c>
      <c r="F2970" s="904"/>
      <c r="G2970" s="518" t="s">
        <v>18</v>
      </c>
      <c r="H2970" s="517" t="s">
        <v>19</v>
      </c>
      <c r="I2970" s="517" t="s">
        <v>20</v>
      </c>
      <c r="J2970" s="517" t="s">
        <v>23</v>
      </c>
    </row>
    <row r="2971" spans="1:10" s="358" customFormat="1" ht="25" x14ac:dyDescent="0.3">
      <c r="A2971" s="642" t="s">
        <v>2432</v>
      </c>
      <c r="B2971" s="643" t="s">
        <v>3578</v>
      </c>
      <c r="C2971" s="642" t="s">
        <v>32</v>
      </c>
      <c r="D2971" s="642" t="s">
        <v>3579</v>
      </c>
      <c r="E2971" s="906" t="s">
        <v>2433</v>
      </c>
      <c r="F2971" s="906"/>
      <c r="G2971" s="644" t="s">
        <v>1901</v>
      </c>
      <c r="H2971" s="645">
        <v>1</v>
      </c>
      <c r="I2971" s="646">
        <v>0.35</v>
      </c>
      <c r="J2971" s="646">
        <v>0.35</v>
      </c>
    </row>
    <row r="2972" spans="1:10" ht="14.5" thickBot="1" x14ac:dyDescent="0.35">
      <c r="A2972" s="519" t="s">
        <v>2437</v>
      </c>
      <c r="B2972" s="520" t="s">
        <v>3580</v>
      </c>
      <c r="C2972" s="519" t="s">
        <v>32</v>
      </c>
      <c r="D2972" s="519" t="s">
        <v>4357</v>
      </c>
      <c r="E2972" s="905" t="s">
        <v>2440</v>
      </c>
      <c r="F2972" s="905"/>
      <c r="G2972" s="521" t="s">
        <v>1901</v>
      </c>
      <c r="H2972" s="522">
        <v>2.4420000000000001E-2</v>
      </c>
      <c r="I2972" s="523">
        <v>14.43</v>
      </c>
      <c r="J2972" s="523">
        <v>0.35</v>
      </c>
    </row>
    <row r="2973" spans="1:10" s="358" customFormat="1" ht="14.5" thickTop="1" x14ac:dyDescent="0.3">
      <c r="A2973" s="647"/>
      <c r="B2973" s="647"/>
      <c r="C2973" s="647"/>
      <c r="D2973" s="647"/>
      <c r="E2973" s="647"/>
      <c r="F2973" s="647"/>
      <c r="G2973" s="647"/>
      <c r="H2973" s="647"/>
      <c r="I2973" s="647"/>
      <c r="J2973"/>
    </row>
    <row r="2974" spans="1:10" x14ac:dyDescent="0.3">
      <c r="A2974" s="516"/>
      <c r="B2974" s="517" t="s">
        <v>15</v>
      </c>
      <c r="C2974" s="516" t="s">
        <v>16</v>
      </c>
      <c r="D2974" s="516" t="s">
        <v>17</v>
      </c>
      <c r="E2974" s="904" t="s">
        <v>2431</v>
      </c>
      <c r="F2974" s="904"/>
      <c r="G2974" s="518" t="s">
        <v>18</v>
      </c>
      <c r="H2974" s="517" t="s">
        <v>19</v>
      </c>
      <c r="I2974" s="517" t="s">
        <v>20</v>
      </c>
      <c r="J2974" s="517" t="s">
        <v>23</v>
      </c>
    </row>
    <row r="2975" spans="1:10" s="358" customFormat="1" ht="25" x14ac:dyDescent="0.3">
      <c r="A2975" s="642" t="s">
        <v>2432</v>
      </c>
      <c r="B2975" s="643" t="s">
        <v>3581</v>
      </c>
      <c r="C2975" s="642" t="s">
        <v>32</v>
      </c>
      <c r="D2975" s="642" t="s">
        <v>3582</v>
      </c>
      <c r="E2975" s="906" t="s">
        <v>2433</v>
      </c>
      <c r="F2975" s="906"/>
      <c r="G2975" s="644" t="s">
        <v>34</v>
      </c>
      <c r="H2975" s="645">
        <v>1</v>
      </c>
      <c r="I2975" s="646">
        <v>46.92</v>
      </c>
      <c r="J2975" s="646">
        <v>46.92</v>
      </c>
    </row>
    <row r="2976" spans="1:10" ht="14.5" thickBot="1" x14ac:dyDescent="0.35">
      <c r="A2976" s="519" t="s">
        <v>2437</v>
      </c>
      <c r="B2976" s="520" t="s">
        <v>3583</v>
      </c>
      <c r="C2976" s="519" t="s">
        <v>32</v>
      </c>
      <c r="D2976" s="519" t="s">
        <v>3584</v>
      </c>
      <c r="E2976" s="905" t="s">
        <v>2440</v>
      </c>
      <c r="F2976" s="905"/>
      <c r="G2976" s="521" t="s">
        <v>34</v>
      </c>
      <c r="H2976" s="522">
        <v>1.8259999999999998E-2</v>
      </c>
      <c r="I2976" s="523">
        <v>2569.98</v>
      </c>
      <c r="J2976" s="523">
        <v>46.92</v>
      </c>
    </row>
    <row r="2977" spans="1:10" s="358" customFormat="1" ht="14.5" thickTop="1" x14ac:dyDescent="0.3">
      <c r="A2977" s="647"/>
      <c r="B2977" s="647"/>
      <c r="C2977" s="647"/>
      <c r="D2977" s="647"/>
      <c r="E2977" s="647"/>
      <c r="F2977" s="647"/>
      <c r="G2977" s="647"/>
      <c r="H2977" s="647"/>
      <c r="I2977" s="647"/>
      <c r="J2977"/>
    </row>
    <row r="2978" spans="1:10" x14ac:dyDescent="0.3">
      <c r="A2978" s="516"/>
      <c r="B2978" s="517" t="s">
        <v>15</v>
      </c>
      <c r="C2978" s="516" t="s">
        <v>16</v>
      </c>
      <c r="D2978" s="516" t="s">
        <v>17</v>
      </c>
      <c r="E2978" s="904" t="s">
        <v>2431</v>
      </c>
      <c r="F2978" s="904"/>
      <c r="G2978" s="518" t="s">
        <v>18</v>
      </c>
      <c r="H2978" s="517" t="s">
        <v>19</v>
      </c>
      <c r="I2978" s="517" t="s">
        <v>20</v>
      </c>
      <c r="J2978" s="517" t="s">
        <v>23</v>
      </c>
    </row>
    <row r="2979" spans="1:10" s="358" customFormat="1" ht="25" x14ac:dyDescent="0.3">
      <c r="A2979" s="642" t="s">
        <v>2432</v>
      </c>
      <c r="B2979" s="643" t="s">
        <v>3585</v>
      </c>
      <c r="C2979" s="642" t="s">
        <v>32</v>
      </c>
      <c r="D2979" s="642" t="s">
        <v>3586</v>
      </c>
      <c r="E2979" s="906" t="s">
        <v>2433</v>
      </c>
      <c r="F2979" s="906"/>
      <c r="G2979" s="644" t="s">
        <v>1901</v>
      </c>
      <c r="H2979" s="645">
        <v>1</v>
      </c>
      <c r="I2979" s="646">
        <v>0.28000000000000003</v>
      </c>
      <c r="J2979" s="646">
        <v>0.28000000000000003</v>
      </c>
    </row>
    <row r="2980" spans="1:10" ht="14.5" thickBot="1" x14ac:dyDescent="0.35">
      <c r="A2980" s="519" t="s">
        <v>2437</v>
      </c>
      <c r="B2980" s="520" t="s">
        <v>3587</v>
      </c>
      <c r="C2980" s="519" t="s">
        <v>32</v>
      </c>
      <c r="D2980" s="519" t="s">
        <v>3588</v>
      </c>
      <c r="E2980" s="905" t="s">
        <v>2440</v>
      </c>
      <c r="F2980" s="905"/>
      <c r="G2980" s="521" t="s">
        <v>1901</v>
      </c>
      <c r="H2980" s="522">
        <v>1.328E-2</v>
      </c>
      <c r="I2980" s="523">
        <v>21.83</v>
      </c>
      <c r="J2980" s="523">
        <v>0.28000000000000003</v>
      </c>
    </row>
    <row r="2981" spans="1:10" s="358" customFormat="1" ht="14.5" thickTop="1" x14ac:dyDescent="0.3">
      <c r="A2981" s="647"/>
      <c r="B2981" s="647"/>
      <c r="C2981" s="647"/>
      <c r="D2981" s="647"/>
      <c r="E2981" s="647"/>
      <c r="F2981" s="647"/>
      <c r="G2981" s="647"/>
      <c r="H2981" s="647"/>
      <c r="I2981" s="647"/>
      <c r="J2981"/>
    </row>
    <row r="2982" spans="1:10" x14ac:dyDescent="0.3">
      <c r="A2982" s="516"/>
      <c r="B2982" s="517" t="s">
        <v>15</v>
      </c>
      <c r="C2982" s="516" t="s">
        <v>16</v>
      </c>
      <c r="D2982" s="516" t="s">
        <v>17</v>
      </c>
      <c r="E2982" s="904" t="s">
        <v>2431</v>
      </c>
      <c r="F2982" s="904"/>
      <c r="G2982" s="518" t="s">
        <v>18</v>
      </c>
      <c r="H2982" s="517" t="s">
        <v>19</v>
      </c>
      <c r="I2982" s="517" t="s">
        <v>20</v>
      </c>
      <c r="J2982" s="517" t="s">
        <v>23</v>
      </c>
    </row>
    <row r="2983" spans="1:10" s="358" customFormat="1" ht="25" x14ac:dyDescent="0.3">
      <c r="A2983" s="642" t="s">
        <v>2432</v>
      </c>
      <c r="B2983" s="643" t="s">
        <v>2453</v>
      </c>
      <c r="C2983" s="642" t="s">
        <v>32</v>
      </c>
      <c r="D2983" s="642" t="s">
        <v>2454</v>
      </c>
      <c r="E2983" s="906" t="s">
        <v>2433</v>
      </c>
      <c r="F2983" s="906"/>
      <c r="G2983" s="644" t="s">
        <v>34</v>
      </c>
      <c r="H2983" s="645">
        <v>1</v>
      </c>
      <c r="I2983" s="646">
        <v>47.57</v>
      </c>
      <c r="J2983" s="646">
        <v>47.57</v>
      </c>
    </row>
    <row r="2984" spans="1:10" ht="14.5" thickBot="1" x14ac:dyDescent="0.35">
      <c r="A2984" s="519" t="s">
        <v>2437</v>
      </c>
      <c r="B2984" s="520" t="s">
        <v>2455</v>
      </c>
      <c r="C2984" s="519" t="s">
        <v>32</v>
      </c>
      <c r="D2984" s="519" t="s">
        <v>2456</v>
      </c>
      <c r="E2984" s="905" t="s">
        <v>2440</v>
      </c>
      <c r="F2984" s="905"/>
      <c r="G2984" s="521" t="s">
        <v>34</v>
      </c>
      <c r="H2984" s="522">
        <v>1.549E-2</v>
      </c>
      <c r="I2984" s="523">
        <v>3071.04</v>
      </c>
      <c r="J2984" s="523">
        <v>47.57</v>
      </c>
    </row>
    <row r="2985" spans="1:10" s="358" customFormat="1" ht="14.5" thickTop="1" x14ac:dyDescent="0.3">
      <c r="A2985" s="647"/>
      <c r="B2985" s="647"/>
      <c r="C2985" s="647"/>
      <c r="D2985" s="647"/>
      <c r="E2985" s="647"/>
      <c r="F2985" s="647"/>
      <c r="G2985" s="647"/>
      <c r="H2985" s="647"/>
      <c r="I2985" s="647"/>
      <c r="J2985"/>
    </row>
    <row r="2986" spans="1:10" x14ac:dyDescent="0.3">
      <c r="A2986" s="516"/>
      <c r="B2986" s="517" t="s">
        <v>15</v>
      </c>
      <c r="C2986" s="516" t="s">
        <v>16</v>
      </c>
      <c r="D2986" s="516" t="s">
        <v>17</v>
      </c>
      <c r="E2986" s="904" t="s">
        <v>2431</v>
      </c>
      <c r="F2986" s="904"/>
      <c r="G2986" s="518" t="s">
        <v>18</v>
      </c>
      <c r="H2986" s="517" t="s">
        <v>19</v>
      </c>
      <c r="I2986" s="517" t="s">
        <v>20</v>
      </c>
      <c r="J2986" s="517" t="s">
        <v>23</v>
      </c>
    </row>
    <row r="2987" spans="1:10" s="358" customFormat="1" ht="25" x14ac:dyDescent="0.3">
      <c r="A2987" s="642" t="s">
        <v>2432</v>
      </c>
      <c r="B2987" s="643" t="s">
        <v>3589</v>
      </c>
      <c r="C2987" s="642" t="s">
        <v>32</v>
      </c>
      <c r="D2987" s="642" t="s">
        <v>3590</v>
      </c>
      <c r="E2987" s="906" t="s">
        <v>2433</v>
      </c>
      <c r="F2987" s="906"/>
      <c r="G2987" s="644" t="s">
        <v>1901</v>
      </c>
      <c r="H2987" s="645">
        <v>1</v>
      </c>
      <c r="I2987" s="646">
        <v>0.28000000000000003</v>
      </c>
      <c r="J2987" s="646">
        <v>0.28000000000000003</v>
      </c>
    </row>
    <row r="2988" spans="1:10" ht="14.5" thickBot="1" x14ac:dyDescent="0.35">
      <c r="A2988" s="519" t="s">
        <v>2437</v>
      </c>
      <c r="B2988" s="520" t="s">
        <v>3591</v>
      </c>
      <c r="C2988" s="519" t="s">
        <v>32</v>
      </c>
      <c r="D2988" s="519" t="s">
        <v>3592</v>
      </c>
      <c r="E2988" s="905" t="s">
        <v>2440</v>
      </c>
      <c r="F2988" s="905"/>
      <c r="G2988" s="521" t="s">
        <v>1901</v>
      </c>
      <c r="H2988" s="522">
        <v>1.328E-2</v>
      </c>
      <c r="I2988" s="523">
        <v>21.56</v>
      </c>
      <c r="J2988" s="523">
        <v>0.28000000000000003</v>
      </c>
    </row>
    <row r="2989" spans="1:10" s="358" customFormat="1" ht="14.5" thickTop="1" x14ac:dyDescent="0.3">
      <c r="A2989" s="647"/>
      <c r="B2989" s="647"/>
      <c r="C2989" s="647"/>
      <c r="D2989" s="647"/>
      <c r="E2989" s="647"/>
      <c r="F2989" s="647"/>
      <c r="G2989" s="647"/>
      <c r="H2989" s="647"/>
      <c r="I2989" s="647"/>
      <c r="J2989"/>
    </row>
    <row r="2990" spans="1:10" x14ac:dyDescent="0.3">
      <c r="A2990" s="516"/>
      <c r="B2990" s="517" t="s">
        <v>15</v>
      </c>
      <c r="C2990" s="516" t="s">
        <v>16</v>
      </c>
      <c r="D2990" s="516" t="s">
        <v>17</v>
      </c>
      <c r="E2990" s="904" t="s">
        <v>2431</v>
      </c>
      <c r="F2990" s="904"/>
      <c r="G2990" s="518" t="s">
        <v>18</v>
      </c>
      <c r="H2990" s="517" t="s">
        <v>19</v>
      </c>
      <c r="I2990" s="517" t="s">
        <v>20</v>
      </c>
      <c r="J2990" s="517" t="s">
        <v>23</v>
      </c>
    </row>
    <row r="2991" spans="1:10" s="358" customFormat="1" ht="25" x14ac:dyDescent="0.3">
      <c r="A2991" s="642" t="s">
        <v>2432</v>
      </c>
      <c r="B2991" s="643" t="s">
        <v>2518</v>
      </c>
      <c r="C2991" s="642" t="s">
        <v>32</v>
      </c>
      <c r="D2991" s="642" t="s">
        <v>2519</v>
      </c>
      <c r="E2991" s="906" t="s">
        <v>2433</v>
      </c>
      <c r="F2991" s="906"/>
      <c r="G2991" s="644" t="s">
        <v>34</v>
      </c>
      <c r="H2991" s="645">
        <v>1</v>
      </c>
      <c r="I2991" s="646">
        <v>27.82</v>
      </c>
      <c r="J2991" s="646">
        <v>27.82</v>
      </c>
    </row>
    <row r="2992" spans="1:10" ht="14.5" thickBot="1" x14ac:dyDescent="0.35">
      <c r="A2992" s="519" t="s">
        <v>2437</v>
      </c>
      <c r="B2992" s="520" t="s">
        <v>2520</v>
      </c>
      <c r="C2992" s="519" t="s">
        <v>32</v>
      </c>
      <c r="D2992" s="519" t="s">
        <v>2521</v>
      </c>
      <c r="E2992" s="905" t="s">
        <v>2440</v>
      </c>
      <c r="F2992" s="905"/>
      <c r="G2992" s="521" t="s">
        <v>34</v>
      </c>
      <c r="H2992" s="522">
        <v>7.1599999999999997E-3</v>
      </c>
      <c r="I2992" s="523">
        <v>3886.77</v>
      </c>
      <c r="J2992" s="523">
        <v>27.82</v>
      </c>
    </row>
    <row r="2993" spans="1:10" s="358" customFormat="1" ht="14.5" thickTop="1" x14ac:dyDescent="0.3">
      <c r="A2993" s="647"/>
      <c r="B2993" s="647"/>
      <c r="C2993" s="647"/>
      <c r="D2993" s="647"/>
      <c r="E2993" s="647"/>
      <c r="F2993" s="647"/>
      <c r="G2993" s="647"/>
      <c r="H2993" s="647"/>
      <c r="I2993" s="647"/>
      <c r="J2993"/>
    </row>
    <row r="2994" spans="1:10" x14ac:dyDescent="0.3">
      <c r="A2994" s="516"/>
      <c r="B2994" s="517" t="s">
        <v>15</v>
      </c>
      <c r="C2994" s="516" t="s">
        <v>16</v>
      </c>
      <c r="D2994" s="516" t="s">
        <v>17</v>
      </c>
      <c r="E2994" s="904" t="s">
        <v>2431</v>
      </c>
      <c r="F2994" s="904"/>
      <c r="G2994" s="518" t="s">
        <v>18</v>
      </c>
      <c r="H2994" s="517" t="s">
        <v>19</v>
      </c>
      <c r="I2994" s="517" t="s">
        <v>20</v>
      </c>
      <c r="J2994" s="517" t="s">
        <v>23</v>
      </c>
    </row>
    <row r="2995" spans="1:10" s="358" customFormat="1" ht="25" x14ac:dyDescent="0.3">
      <c r="A2995" s="642" t="s">
        <v>2432</v>
      </c>
      <c r="B2995" s="643" t="s">
        <v>3593</v>
      </c>
      <c r="C2995" s="642" t="s">
        <v>32</v>
      </c>
      <c r="D2995" s="642" t="s">
        <v>3594</v>
      </c>
      <c r="E2995" s="906" t="s">
        <v>2433</v>
      </c>
      <c r="F2995" s="906"/>
      <c r="G2995" s="644" t="s">
        <v>1901</v>
      </c>
      <c r="H2995" s="645">
        <v>1</v>
      </c>
      <c r="I2995" s="646">
        <v>0.23</v>
      </c>
      <c r="J2995" s="646">
        <v>0.23</v>
      </c>
    </row>
    <row r="2996" spans="1:10" ht="25.5" thickBot="1" x14ac:dyDescent="0.35">
      <c r="A2996" s="519" t="s">
        <v>2437</v>
      </c>
      <c r="B2996" s="520" t="s">
        <v>3545</v>
      </c>
      <c r="C2996" s="519" t="s">
        <v>32</v>
      </c>
      <c r="D2996" s="519" t="s">
        <v>4352</v>
      </c>
      <c r="E2996" s="905" t="s">
        <v>2440</v>
      </c>
      <c r="F2996" s="905"/>
      <c r="G2996" s="521" t="s">
        <v>1901</v>
      </c>
      <c r="H2996" s="522">
        <v>1.328E-2</v>
      </c>
      <c r="I2996" s="523">
        <v>18</v>
      </c>
      <c r="J2996" s="523">
        <v>0.23</v>
      </c>
    </row>
    <row r="2997" spans="1:10" s="358" customFormat="1" ht="14.5" thickTop="1" x14ac:dyDescent="0.3">
      <c r="A2997" s="647"/>
      <c r="B2997" s="647"/>
      <c r="C2997" s="647"/>
      <c r="D2997" s="647"/>
      <c r="E2997" s="647"/>
      <c r="F2997" s="647"/>
      <c r="G2997" s="647"/>
      <c r="H2997" s="647"/>
      <c r="I2997" s="647"/>
      <c r="J2997"/>
    </row>
    <row r="2998" spans="1:10" x14ac:dyDescent="0.3">
      <c r="A2998" s="516"/>
      <c r="B2998" s="517" t="s">
        <v>15</v>
      </c>
      <c r="C2998" s="516" t="s">
        <v>16</v>
      </c>
      <c r="D2998" s="516" t="s">
        <v>17</v>
      </c>
      <c r="E2998" s="904" t="s">
        <v>2431</v>
      </c>
      <c r="F2998" s="904"/>
      <c r="G2998" s="518" t="s">
        <v>18</v>
      </c>
      <c r="H2998" s="517" t="s">
        <v>19</v>
      </c>
      <c r="I2998" s="517" t="s">
        <v>20</v>
      </c>
      <c r="J2998" s="517" t="s">
        <v>23</v>
      </c>
    </row>
    <row r="2999" spans="1:10" s="358" customFormat="1" ht="25" x14ac:dyDescent="0.3">
      <c r="A2999" s="642" t="s">
        <v>2432</v>
      </c>
      <c r="B2999" s="643" t="s">
        <v>3595</v>
      </c>
      <c r="C2999" s="642" t="s">
        <v>32</v>
      </c>
      <c r="D2999" s="642" t="s">
        <v>3596</v>
      </c>
      <c r="E2999" s="906" t="s">
        <v>2433</v>
      </c>
      <c r="F2999" s="906"/>
      <c r="G2999" s="644" t="s">
        <v>1901</v>
      </c>
      <c r="H2999" s="645">
        <v>1</v>
      </c>
      <c r="I2999" s="646">
        <v>0.48</v>
      </c>
      <c r="J2999" s="646">
        <v>0.48</v>
      </c>
    </row>
    <row r="3000" spans="1:10" ht="25.5" thickBot="1" x14ac:dyDescent="0.35">
      <c r="A3000" s="519" t="s">
        <v>2437</v>
      </c>
      <c r="B3000" s="520" t="s">
        <v>3597</v>
      </c>
      <c r="C3000" s="519" t="s">
        <v>32</v>
      </c>
      <c r="D3000" s="519" t="s">
        <v>3598</v>
      </c>
      <c r="E3000" s="905" t="s">
        <v>2440</v>
      </c>
      <c r="F3000" s="905"/>
      <c r="G3000" s="521" t="s">
        <v>1901</v>
      </c>
      <c r="H3000" s="522">
        <v>9.5700000000000004E-3</v>
      </c>
      <c r="I3000" s="523">
        <v>50.93</v>
      </c>
      <c r="J3000" s="523">
        <v>0.48</v>
      </c>
    </row>
    <row r="3001" spans="1:10" s="358" customFormat="1" ht="14.5" thickTop="1" x14ac:dyDescent="0.3">
      <c r="A3001" s="647"/>
      <c r="B3001" s="647"/>
      <c r="C3001" s="647"/>
      <c r="D3001" s="647"/>
      <c r="E3001" s="647"/>
      <c r="F3001" s="647"/>
      <c r="G3001" s="647"/>
      <c r="H3001" s="647"/>
      <c r="I3001" s="647"/>
      <c r="J3001"/>
    </row>
    <row r="3002" spans="1:10" x14ac:dyDescent="0.3">
      <c r="A3002" s="516"/>
      <c r="B3002" s="517" t="s">
        <v>15</v>
      </c>
      <c r="C3002" s="516" t="s">
        <v>16</v>
      </c>
      <c r="D3002" s="516" t="s">
        <v>17</v>
      </c>
      <c r="E3002" s="904" t="s">
        <v>2431</v>
      </c>
      <c r="F3002" s="904"/>
      <c r="G3002" s="518" t="s">
        <v>18</v>
      </c>
      <c r="H3002" s="517" t="s">
        <v>19</v>
      </c>
      <c r="I3002" s="517" t="s">
        <v>20</v>
      </c>
      <c r="J3002" s="517" t="s">
        <v>23</v>
      </c>
    </row>
    <row r="3003" spans="1:10" s="358" customFormat="1" ht="25" x14ac:dyDescent="0.3">
      <c r="A3003" s="642" t="s">
        <v>2432</v>
      </c>
      <c r="B3003" s="643" t="s">
        <v>2490</v>
      </c>
      <c r="C3003" s="642" t="s">
        <v>32</v>
      </c>
      <c r="D3003" s="642" t="s">
        <v>2491</v>
      </c>
      <c r="E3003" s="906" t="s">
        <v>2433</v>
      </c>
      <c r="F3003" s="906"/>
      <c r="G3003" s="644" t="s">
        <v>34</v>
      </c>
      <c r="H3003" s="645">
        <v>1</v>
      </c>
      <c r="I3003" s="646">
        <v>12</v>
      </c>
      <c r="J3003" s="646">
        <v>12</v>
      </c>
    </row>
    <row r="3004" spans="1:10" ht="14.5" thickBot="1" x14ac:dyDescent="0.35">
      <c r="A3004" s="519" t="s">
        <v>2437</v>
      </c>
      <c r="B3004" s="520" t="s">
        <v>2494</v>
      </c>
      <c r="C3004" s="519" t="s">
        <v>32</v>
      </c>
      <c r="D3004" s="519" t="s">
        <v>2495</v>
      </c>
      <c r="E3004" s="905" t="s">
        <v>2440</v>
      </c>
      <c r="F3004" s="905"/>
      <c r="G3004" s="521" t="s">
        <v>34</v>
      </c>
      <c r="H3004" s="522">
        <v>4.3800000000000002E-3</v>
      </c>
      <c r="I3004" s="523">
        <v>2741.53</v>
      </c>
      <c r="J3004" s="523">
        <v>12</v>
      </c>
    </row>
    <row r="3005" spans="1:10" s="358" customFormat="1" ht="14.5" thickTop="1" x14ac:dyDescent="0.3">
      <c r="A3005" s="647"/>
      <c r="B3005" s="647"/>
      <c r="C3005" s="647"/>
      <c r="D3005" s="647"/>
      <c r="E3005" s="647"/>
      <c r="F3005" s="647"/>
      <c r="G3005" s="647"/>
      <c r="H3005" s="647"/>
      <c r="I3005" s="647"/>
      <c r="J3005"/>
    </row>
    <row r="3006" spans="1:10" x14ac:dyDescent="0.3">
      <c r="A3006" s="516"/>
      <c r="B3006" s="517" t="s">
        <v>15</v>
      </c>
      <c r="C3006" s="516" t="s">
        <v>16</v>
      </c>
      <c r="D3006" s="516" t="s">
        <v>17</v>
      </c>
      <c r="E3006" s="904" t="s">
        <v>2431</v>
      </c>
      <c r="F3006" s="904"/>
      <c r="G3006" s="518" t="s">
        <v>18</v>
      </c>
      <c r="H3006" s="517" t="s">
        <v>19</v>
      </c>
      <c r="I3006" s="517" t="s">
        <v>20</v>
      </c>
      <c r="J3006" s="517" t="s">
        <v>23</v>
      </c>
    </row>
    <row r="3007" spans="1:10" s="358" customFormat="1" ht="25" x14ac:dyDescent="0.3">
      <c r="A3007" s="642" t="s">
        <v>2432</v>
      </c>
      <c r="B3007" s="643" t="s">
        <v>3216</v>
      </c>
      <c r="C3007" s="642" t="s">
        <v>125</v>
      </c>
      <c r="D3007" s="642" t="s">
        <v>4529</v>
      </c>
      <c r="E3007" s="906" t="s">
        <v>1328</v>
      </c>
      <c r="F3007" s="906"/>
      <c r="G3007" s="644" t="s">
        <v>374</v>
      </c>
      <c r="H3007" s="645">
        <v>1</v>
      </c>
      <c r="I3007" s="646">
        <v>1.78</v>
      </c>
      <c r="J3007" s="646">
        <v>1.78</v>
      </c>
    </row>
    <row r="3008" spans="1:10" ht="15" customHeight="1" x14ac:dyDescent="0.3">
      <c r="A3008" s="904" t="s">
        <v>2418</v>
      </c>
      <c r="B3008" s="903" t="s">
        <v>15</v>
      </c>
      <c r="C3008" s="904" t="s">
        <v>16</v>
      </c>
      <c r="D3008" s="904" t="s">
        <v>2466</v>
      </c>
      <c r="E3008" s="903" t="s">
        <v>2467</v>
      </c>
      <c r="F3008" s="908" t="s">
        <v>2468</v>
      </c>
      <c r="G3008" s="903"/>
      <c r="H3008" s="518" t="s">
        <v>2469</v>
      </c>
      <c r="I3008" s="903" t="s">
        <v>2470</v>
      </c>
      <c r="J3008"/>
    </row>
    <row r="3009" spans="1:10" s="358" customFormat="1" x14ac:dyDescent="0.3">
      <c r="A3009" s="903"/>
      <c r="B3009" s="903"/>
      <c r="C3009" s="903"/>
      <c r="D3009" s="903"/>
      <c r="E3009" s="903"/>
      <c r="F3009" s="517" t="s">
        <v>2471</v>
      </c>
      <c r="G3009" s="517" t="s">
        <v>2472</v>
      </c>
      <c r="H3009" s="517" t="s">
        <v>2471</v>
      </c>
      <c r="I3009" s="903"/>
      <c r="J3009"/>
    </row>
    <row r="3010" spans="1:10" x14ac:dyDescent="0.3">
      <c r="A3010" s="519" t="s">
        <v>2437</v>
      </c>
      <c r="B3010" s="520" t="s">
        <v>3217</v>
      </c>
      <c r="C3010" s="519" t="s">
        <v>125</v>
      </c>
      <c r="D3010" s="519" t="s">
        <v>3218</v>
      </c>
      <c r="E3010" s="522">
        <v>3</v>
      </c>
      <c r="F3010" s="523">
        <v>0.86</v>
      </c>
      <c r="G3010" s="523">
        <v>0.14000000000000001</v>
      </c>
      <c r="H3010" s="524">
        <v>301.85669999999999</v>
      </c>
      <c r="I3010" s="524">
        <v>815.35339999999997</v>
      </c>
      <c r="J3010"/>
    </row>
    <row r="3011" spans="1:10" s="358" customFormat="1" ht="15" customHeight="1" x14ac:dyDescent="0.3">
      <c r="A3011" s="902"/>
      <c r="B3011" s="902"/>
      <c r="C3011" s="902"/>
      <c r="D3011" s="902"/>
      <c r="E3011" s="902"/>
      <c r="F3011" s="902" t="s">
        <v>2475</v>
      </c>
      <c r="G3011" s="902"/>
      <c r="H3011" s="902"/>
      <c r="I3011" s="525">
        <v>815.35339999999997</v>
      </c>
      <c r="J3011"/>
    </row>
    <row r="3012" spans="1:10" ht="14.25" customHeight="1" x14ac:dyDescent="0.3">
      <c r="A3012" s="902"/>
      <c r="B3012" s="902"/>
      <c r="C3012" s="902"/>
      <c r="D3012" s="902"/>
      <c r="E3012" s="902"/>
      <c r="F3012" s="902" t="s">
        <v>2476</v>
      </c>
      <c r="G3012" s="902"/>
      <c r="H3012" s="902"/>
      <c r="I3012" s="525">
        <v>815.35339999999997</v>
      </c>
      <c r="J3012"/>
    </row>
    <row r="3013" spans="1:10" s="358" customFormat="1" ht="15" customHeight="1" x14ac:dyDescent="0.3">
      <c r="A3013" s="902"/>
      <c r="B3013" s="902"/>
      <c r="C3013" s="902"/>
      <c r="D3013" s="902"/>
      <c r="E3013" s="902"/>
      <c r="F3013" s="902" t="s">
        <v>2477</v>
      </c>
      <c r="G3013" s="902"/>
      <c r="H3013" s="902"/>
      <c r="I3013" s="525">
        <v>0</v>
      </c>
      <c r="J3013"/>
    </row>
    <row r="3014" spans="1:10" x14ac:dyDescent="0.3">
      <c r="A3014" s="902"/>
      <c r="B3014" s="902"/>
      <c r="C3014" s="902"/>
      <c r="D3014" s="902"/>
      <c r="E3014" s="902"/>
      <c r="F3014" s="902" t="s">
        <v>2478</v>
      </c>
      <c r="G3014" s="902"/>
      <c r="H3014" s="902"/>
      <c r="I3014" s="525">
        <v>0</v>
      </c>
      <c r="J3014"/>
    </row>
    <row r="3015" spans="1:10" s="358" customFormat="1" ht="15" customHeight="1" x14ac:dyDescent="0.3">
      <c r="A3015" s="902"/>
      <c r="B3015" s="902"/>
      <c r="C3015" s="902"/>
      <c r="D3015" s="902"/>
      <c r="E3015" s="902"/>
      <c r="F3015" s="902" t="s">
        <v>2479</v>
      </c>
      <c r="G3015" s="902"/>
      <c r="H3015" s="902"/>
      <c r="I3015" s="525">
        <v>457.16</v>
      </c>
      <c r="J3015"/>
    </row>
    <row r="3016" spans="1:10" ht="15" customHeight="1" thickBot="1" x14ac:dyDescent="0.35">
      <c r="A3016" s="902"/>
      <c r="B3016" s="902"/>
      <c r="C3016" s="902"/>
      <c r="D3016" s="902"/>
      <c r="E3016" s="902"/>
      <c r="F3016" s="902" t="s">
        <v>2480</v>
      </c>
      <c r="G3016" s="902"/>
      <c r="H3016" s="902"/>
      <c r="I3016" s="525">
        <v>1.7835000000000001</v>
      </c>
      <c r="J3016"/>
    </row>
    <row r="3017" spans="1:10" s="358" customFormat="1" ht="14.5" thickTop="1" x14ac:dyDescent="0.3">
      <c r="A3017" s="647"/>
      <c r="B3017" s="647"/>
      <c r="C3017" s="647"/>
      <c r="D3017" s="647"/>
      <c r="E3017" s="647"/>
      <c r="F3017" s="647"/>
      <c r="G3017" s="647"/>
      <c r="H3017" s="647"/>
      <c r="I3017" s="647"/>
      <c r="J3017"/>
    </row>
    <row r="3018" spans="1:10" x14ac:dyDescent="0.3">
      <c r="A3018" s="516"/>
      <c r="B3018" s="517" t="s">
        <v>15</v>
      </c>
      <c r="C3018" s="516" t="s">
        <v>16</v>
      </c>
      <c r="D3018" s="516" t="s">
        <v>17</v>
      </c>
      <c r="E3018" s="904" t="s">
        <v>2431</v>
      </c>
      <c r="F3018" s="904"/>
      <c r="G3018" s="518" t="s">
        <v>18</v>
      </c>
      <c r="H3018" s="517" t="s">
        <v>19</v>
      </c>
      <c r="I3018" s="517" t="s">
        <v>20</v>
      </c>
      <c r="J3018" s="517" t="s">
        <v>23</v>
      </c>
    </row>
    <row r="3019" spans="1:10" s="358" customFormat="1" ht="25" x14ac:dyDescent="0.3">
      <c r="A3019" s="642" t="s">
        <v>2432</v>
      </c>
      <c r="B3019" s="643" t="s">
        <v>3599</v>
      </c>
      <c r="C3019" s="642" t="s">
        <v>125</v>
      </c>
      <c r="D3019" s="642" t="s">
        <v>2979</v>
      </c>
      <c r="E3019" s="906" t="s">
        <v>1328</v>
      </c>
      <c r="F3019" s="906"/>
      <c r="G3019" s="644" t="s">
        <v>374</v>
      </c>
      <c r="H3019" s="645">
        <v>1</v>
      </c>
      <c r="I3019" s="646">
        <v>3.43</v>
      </c>
      <c r="J3019" s="646">
        <v>3.43</v>
      </c>
    </row>
    <row r="3020" spans="1:10" ht="15" customHeight="1" x14ac:dyDescent="0.3">
      <c r="A3020" s="904" t="s">
        <v>2418</v>
      </c>
      <c r="B3020" s="903" t="s">
        <v>15</v>
      </c>
      <c r="C3020" s="904" t="s">
        <v>16</v>
      </c>
      <c r="D3020" s="904" t="s">
        <v>2466</v>
      </c>
      <c r="E3020" s="903" t="s">
        <v>2467</v>
      </c>
      <c r="F3020" s="908" t="s">
        <v>2468</v>
      </c>
      <c r="G3020" s="903"/>
      <c r="H3020" s="518" t="s">
        <v>2469</v>
      </c>
      <c r="I3020" s="903" t="s">
        <v>2470</v>
      </c>
      <c r="J3020"/>
    </row>
    <row r="3021" spans="1:10" s="358" customFormat="1" x14ac:dyDescent="0.3">
      <c r="A3021" s="903"/>
      <c r="B3021" s="903"/>
      <c r="C3021" s="903"/>
      <c r="D3021" s="903"/>
      <c r="E3021" s="903"/>
      <c r="F3021" s="517" t="s">
        <v>2471</v>
      </c>
      <c r="G3021" s="517" t="s">
        <v>2472</v>
      </c>
      <c r="H3021" s="517" t="s">
        <v>2471</v>
      </c>
      <c r="I3021" s="903"/>
      <c r="J3021"/>
    </row>
    <row r="3022" spans="1:10" x14ac:dyDescent="0.3">
      <c r="A3022" s="519" t="s">
        <v>2437</v>
      </c>
      <c r="B3022" s="520" t="s">
        <v>3217</v>
      </c>
      <c r="C3022" s="519" t="s">
        <v>125</v>
      </c>
      <c r="D3022" s="519" t="s">
        <v>3218</v>
      </c>
      <c r="E3022" s="522">
        <v>3</v>
      </c>
      <c r="F3022" s="523">
        <v>0.92</v>
      </c>
      <c r="G3022" s="523">
        <v>0.08</v>
      </c>
      <c r="H3022" s="524">
        <v>301.85669999999999</v>
      </c>
      <c r="I3022" s="524">
        <v>854.01769999999999</v>
      </c>
      <c r="J3022"/>
    </row>
    <row r="3023" spans="1:10" s="358" customFormat="1" ht="15" customHeight="1" x14ac:dyDescent="0.3">
      <c r="A3023" s="902"/>
      <c r="B3023" s="902"/>
      <c r="C3023" s="902"/>
      <c r="D3023" s="902"/>
      <c r="E3023" s="902"/>
      <c r="F3023" s="902" t="s">
        <v>2475</v>
      </c>
      <c r="G3023" s="902"/>
      <c r="H3023" s="902"/>
      <c r="I3023" s="525">
        <v>854.01769999999999</v>
      </c>
      <c r="J3023"/>
    </row>
    <row r="3024" spans="1:10" ht="14.25" customHeight="1" x14ac:dyDescent="0.3">
      <c r="A3024" s="902"/>
      <c r="B3024" s="902"/>
      <c r="C3024" s="902"/>
      <c r="D3024" s="902"/>
      <c r="E3024" s="902"/>
      <c r="F3024" s="902" t="s">
        <v>2476</v>
      </c>
      <c r="G3024" s="902"/>
      <c r="H3024" s="902"/>
      <c r="I3024" s="525">
        <v>854.01769999999999</v>
      </c>
      <c r="J3024"/>
    </row>
    <row r="3025" spans="1:10" s="358" customFormat="1" ht="15" customHeight="1" x14ac:dyDescent="0.3">
      <c r="A3025" s="902"/>
      <c r="B3025" s="902"/>
      <c r="C3025" s="902"/>
      <c r="D3025" s="902"/>
      <c r="E3025" s="902"/>
      <c r="F3025" s="902" t="s">
        <v>2477</v>
      </c>
      <c r="G3025" s="902"/>
      <c r="H3025" s="902"/>
      <c r="I3025" s="525">
        <v>0</v>
      </c>
      <c r="J3025"/>
    </row>
    <row r="3026" spans="1:10" x14ac:dyDescent="0.3">
      <c r="A3026" s="902"/>
      <c r="B3026" s="902"/>
      <c r="C3026" s="902"/>
      <c r="D3026" s="902"/>
      <c r="E3026" s="902"/>
      <c r="F3026" s="902" t="s">
        <v>2478</v>
      </c>
      <c r="G3026" s="902"/>
      <c r="H3026" s="902"/>
      <c r="I3026" s="525">
        <v>0</v>
      </c>
      <c r="J3026"/>
    </row>
    <row r="3027" spans="1:10" s="358" customFormat="1" ht="15" customHeight="1" x14ac:dyDescent="0.3">
      <c r="A3027" s="902"/>
      <c r="B3027" s="902"/>
      <c r="C3027" s="902"/>
      <c r="D3027" s="902"/>
      <c r="E3027" s="902"/>
      <c r="F3027" s="902" t="s">
        <v>2479</v>
      </c>
      <c r="G3027" s="902"/>
      <c r="H3027" s="902"/>
      <c r="I3027" s="525">
        <v>249</v>
      </c>
      <c r="J3027"/>
    </row>
    <row r="3028" spans="1:10" ht="15" customHeight="1" thickBot="1" x14ac:dyDescent="0.35">
      <c r="A3028" s="902"/>
      <c r="B3028" s="902"/>
      <c r="C3028" s="902"/>
      <c r="D3028" s="902"/>
      <c r="E3028" s="902"/>
      <c r="F3028" s="902" t="s">
        <v>2480</v>
      </c>
      <c r="G3028" s="902"/>
      <c r="H3028" s="902"/>
      <c r="I3028" s="525">
        <v>3.4298000000000002</v>
      </c>
      <c r="J3028"/>
    </row>
    <row r="3029" spans="1:10" s="358" customFormat="1" ht="14.5" thickTop="1" x14ac:dyDescent="0.3">
      <c r="A3029" s="647"/>
      <c r="B3029" s="647"/>
      <c r="C3029" s="647"/>
      <c r="D3029" s="647"/>
      <c r="E3029" s="647"/>
      <c r="F3029" s="647"/>
      <c r="G3029" s="647"/>
      <c r="H3029" s="647"/>
      <c r="I3029" s="647"/>
      <c r="J3029"/>
    </row>
    <row r="3030" spans="1:10" ht="15" customHeight="1" x14ac:dyDescent="0.3">
      <c r="A3030" s="516"/>
      <c r="B3030" s="517" t="s">
        <v>15</v>
      </c>
      <c r="C3030" s="516" t="s">
        <v>16</v>
      </c>
      <c r="D3030" s="516" t="s">
        <v>17</v>
      </c>
      <c r="E3030" s="904" t="s">
        <v>2431</v>
      </c>
      <c r="F3030" s="904"/>
      <c r="G3030" s="518" t="s">
        <v>18</v>
      </c>
      <c r="H3030" s="517" t="s">
        <v>19</v>
      </c>
      <c r="I3030" s="517" t="s">
        <v>20</v>
      </c>
      <c r="J3030" s="517" t="s">
        <v>23</v>
      </c>
    </row>
    <row r="3031" spans="1:10" ht="25" x14ac:dyDescent="0.3">
      <c r="A3031" s="642" t="s">
        <v>2432</v>
      </c>
      <c r="B3031" s="643" t="s">
        <v>3224</v>
      </c>
      <c r="C3031" s="642" t="s">
        <v>125</v>
      </c>
      <c r="D3031" s="642" t="s">
        <v>4530</v>
      </c>
      <c r="E3031" s="906" t="s">
        <v>1328</v>
      </c>
      <c r="F3031" s="906"/>
      <c r="G3031" s="644" t="s">
        <v>374</v>
      </c>
      <c r="H3031" s="645">
        <v>1</v>
      </c>
      <c r="I3031" s="646">
        <v>31.97</v>
      </c>
      <c r="J3031" s="646">
        <v>31.97</v>
      </c>
    </row>
    <row r="3032" spans="1:10" ht="15" customHeight="1" x14ac:dyDescent="0.3">
      <c r="A3032" s="904" t="s">
        <v>2418</v>
      </c>
      <c r="B3032" s="903" t="s">
        <v>15</v>
      </c>
      <c r="C3032" s="904" t="s">
        <v>16</v>
      </c>
      <c r="D3032" s="904" t="s">
        <v>2466</v>
      </c>
      <c r="E3032" s="903" t="s">
        <v>2467</v>
      </c>
      <c r="F3032" s="908" t="s">
        <v>2468</v>
      </c>
      <c r="G3032" s="903"/>
      <c r="H3032" s="518" t="s">
        <v>2469</v>
      </c>
      <c r="I3032" s="903" t="s">
        <v>2470</v>
      </c>
      <c r="J3032"/>
    </row>
    <row r="3033" spans="1:10" ht="14.25" customHeight="1" x14ac:dyDescent="0.3">
      <c r="A3033" s="903"/>
      <c r="B3033" s="903"/>
      <c r="C3033" s="903"/>
      <c r="D3033" s="903"/>
      <c r="E3033" s="903"/>
      <c r="F3033" s="517" t="s">
        <v>2471</v>
      </c>
      <c r="G3033" s="517" t="s">
        <v>2472</v>
      </c>
      <c r="H3033" s="517" t="s">
        <v>2471</v>
      </c>
      <c r="I3033" s="903"/>
      <c r="J3033"/>
    </row>
    <row r="3034" spans="1:10" ht="14.25" customHeight="1" x14ac:dyDescent="0.3">
      <c r="A3034" s="519" t="s">
        <v>2437</v>
      </c>
      <c r="B3034" s="520" t="s">
        <v>3226</v>
      </c>
      <c r="C3034" s="519" t="s">
        <v>125</v>
      </c>
      <c r="D3034" s="519" t="s">
        <v>3227</v>
      </c>
      <c r="E3034" s="522">
        <v>2</v>
      </c>
      <c r="F3034" s="523">
        <v>0.53</v>
      </c>
      <c r="G3034" s="523">
        <v>0.47</v>
      </c>
      <c r="H3034" s="524">
        <v>252.2268</v>
      </c>
      <c r="I3034" s="524">
        <v>333.45549999999997</v>
      </c>
      <c r="J3034"/>
    </row>
    <row r="3035" spans="1:10" ht="14.25" customHeight="1" x14ac:dyDescent="0.3">
      <c r="A3035" s="519" t="s">
        <v>2437</v>
      </c>
      <c r="B3035" s="520" t="s">
        <v>3228</v>
      </c>
      <c r="C3035" s="519" t="s">
        <v>125</v>
      </c>
      <c r="D3035" s="519" t="s">
        <v>140</v>
      </c>
      <c r="E3035" s="522">
        <v>1</v>
      </c>
      <c r="F3035" s="523">
        <v>1</v>
      </c>
      <c r="G3035" s="523">
        <v>0</v>
      </c>
      <c r="H3035" s="524">
        <v>302.88959999999997</v>
      </c>
      <c r="I3035" s="524">
        <v>302.88959999999997</v>
      </c>
      <c r="J3035"/>
    </row>
    <row r="3036" spans="1:10" ht="14.25" customHeight="1" x14ac:dyDescent="0.3">
      <c r="A3036" s="902"/>
      <c r="B3036" s="902"/>
      <c r="C3036" s="902"/>
      <c r="D3036" s="902"/>
      <c r="E3036" s="902"/>
      <c r="F3036" s="902" t="s">
        <v>2475</v>
      </c>
      <c r="G3036" s="902"/>
      <c r="H3036" s="902"/>
      <c r="I3036" s="525">
        <v>636.3451</v>
      </c>
      <c r="J3036"/>
    </row>
    <row r="3037" spans="1:10" ht="14.25" customHeight="1" x14ac:dyDescent="0.3">
      <c r="A3037" s="902"/>
      <c r="B3037" s="902"/>
      <c r="C3037" s="902"/>
      <c r="D3037" s="902"/>
      <c r="E3037" s="902"/>
      <c r="F3037" s="902" t="s">
        <v>2476</v>
      </c>
      <c r="G3037" s="902"/>
      <c r="H3037" s="902"/>
      <c r="I3037" s="525">
        <v>636.3451</v>
      </c>
      <c r="J3037"/>
    </row>
    <row r="3038" spans="1:10" ht="15" customHeight="1" x14ac:dyDescent="0.3">
      <c r="A3038" s="902"/>
      <c r="B3038" s="902"/>
      <c r="C3038" s="902"/>
      <c r="D3038" s="902"/>
      <c r="E3038" s="902"/>
      <c r="F3038" s="902" t="s">
        <v>2477</v>
      </c>
      <c r="G3038" s="902"/>
      <c r="H3038" s="902"/>
      <c r="I3038" s="525">
        <v>0</v>
      </c>
      <c r="J3038"/>
    </row>
    <row r="3039" spans="1:10" s="358" customFormat="1" x14ac:dyDescent="0.3">
      <c r="A3039" s="902"/>
      <c r="B3039" s="902"/>
      <c r="C3039" s="902"/>
      <c r="D3039" s="902"/>
      <c r="E3039" s="902"/>
      <c r="F3039" s="902" t="s">
        <v>2478</v>
      </c>
      <c r="G3039" s="902"/>
      <c r="H3039" s="902"/>
      <c r="I3039" s="525">
        <v>0</v>
      </c>
      <c r="J3039"/>
    </row>
    <row r="3040" spans="1:10" ht="14.25" customHeight="1" x14ac:dyDescent="0.3">
      <c r="A3040" s="902"/>
      <c r="B3040" s="902"/>
      <c r="C3040" s="902"/>
      <c r="D3040" s="902"/>
      <c r="E3040" s="902"/>
      <c r="F3040" s="902" t="s">
        <v>2479</v>
      </c>
      <c r="G3040" s="902"/>
      <c r="H3040" s="902"/>
      <c r="I3040" s="525">
        <v>21.37</v>
      </c>
      <c r="J3040"/>
    </row>
    <row r="3041" spans="1:10" s="358" customFormat="1" ht="15" customHeight="1" x14ac:dyDescent="0.3">
      <c r="A3041" s="902"/>
      <c r="B3041" s="902"/>
      <c r="C3041" s="902"/>
      <c r="D3041" s="902"/>
      <c r="E3041" s="902"/>
      <c r="F3041" s="902" t="s">
        <v>2480</v>
      </c>
      <c r="G3041" s="902"/>
      <c r="H3041" s="902"/>
      <c r="I3041" s="525">
        <v>29.7775</v>
      </c>
      <c r="J3041"/>
    </row>
    <row r="3042" spans="1:10" ht="15" customHeight="1" x14ac:dyDescent="0.3">
      <c r="A3042" s="516" t="s">
        <v>2574</v>
      </c>
      <c r="B3042" s="517" t="s">
        <v>16</v>
      </c>
      <c r="C3042" s="516" t="s">
        <v>15</v>
      </c>
      <c r="D3042" s="516" t="s">
        <v>2575</v>
      </c>
      <c r="E3042" s="517" t="s">
        <v>2467</v>
      </c>
      <c r="F3042" s="517" t="s">
        <v>2576</v>
      </c>
      <c r="G3042" s="903" t="s">
        <v>2577</v>
      </c>
      <c r="H3042" s="903"/>
      <c r="I3042" s="517" t="s">
        <v>2470</v>
      </c>
      <c r="J3042"/>
    </row>
    <row r="3043" spans="1:10" ht="25" x14ac:dyDescent="0.3">
      <c r="A3043" s="519" t="s">
        <v>2578</v>
      </c>
      <c r="B3043" s="520" t="s">
        <v>32</v>
      </c>
      <c r="C3043" s="519">
        <v>88316</v>
      </c>
      <c r="D3043" s="519" t="s">
        <v>2562</v>
      </c>
      <c r="E3043" s="522">
        <v>9.3589099999999995E-2</v>
      </c>
      <c r="F3043" s="521" t="s">
        <v>1901</v>
      </c>
      <c r="G3043" s="907">
        <v>23.4</v>
      </c>
      <c r="H3043" s="907"/>
      <c r="I3043" s="524">
        <v>2.19</v>
      </c>
      <c r="J3043"/>
    </row>
    <row r="3044" spans="1:10" ht="15" customHeight="1" thickBot="1" x14ac:dyDescent="0.35">
      <c r="A3044" s="902"/>
      <c r="B3044" s="902"/>
      <c r="C3044" s="902"/>
      <c r="D3044" s="902"/>
      <c r="E3044" s="902"/>
      <c r="F3044" s="902" t="s">
        <v>2579</v>
      </c>
      <c r="G3044" s="902"/>
      <c r="H3044" s="902"/>
      <c r="I3044" s="525">
        <v>2.19</v>
      </c>
      <c r="J3044"/>
    </row>
    <row r="3045" spans="1:10" ht="14.25" customHeight="1" thickTop="1" x14ac:dyDescent="0.3">
      <c r="A3045" s="647"/>
      <c r="B3045" s="647"/>
      <c r="C3045" s="647"/>
      <c r="D3045" s="647"/>
      <c r="E3045" s="647"/>
      <c r="F3045" s="647"/>
      <c r="G3045" s="647"/>
      <c r="H3045" s="647"/>
      <c r="I3045" s="647"/>
      <c r="J3045"/>
    </row>
    <row r="3046" spans="1:10" ht="14.25" customHeight="1" x14ac:dyDescent="0.3">
      <c r="A3046" s="516"/>
      <c r="B3046" s="517" t="s">
        <v>15</v>
      </c>
      <c r="C3046" s="516" t="s">
        <v>16</v>
      </c>
      <c r="D3046" s="516" t="s">
        <v>17</v>
      </c>
      <c r="E3046" s="904" t="s">
        <v>2431</v>
      </c>
      <c r="F3046" s="904"/>
      <c r="G3046" s="518" t="s">
        <v>18</v>
      </c>
      <c r="H3046" s="517" t="s">
        <v>19</v>
      </c>
      <c r="I3046" s="517" t="s">
        <v>20</v>
      </c>
      <c r="J3046" s="517" t="s">
        <v>23</v>
      </c>
    </row>
    <row r="3047" spans="1:10" ht="14.25" customHeight="1" x14ac:dyDescent="0.3">
      <c r="A3047" s="642" t="s">
        <v>2432</v>
      </c>
      <c r="B3047" s="643" t="s">
        <v>3600</v>
      </c>
      <c r="C3047" s="642" t="s">
        <v>125</v>
      </c>
      <c r="D3047" s="642" t="s">
        <v>2838</v>
      </c>
      <c r="E3047" s="906" t="s">
        <v>1328</v>
      </c>
      <c r="F3047" s="906"/>
      <c r="G3047" s="644" t="s">
        <v>374</v>
      </c>
      <c r="H3047" s="645">
        <v>1</v>
      </c>
      <c r="I3047" s="646">
        <v>33.159999999999997</v>
      </c>
      <c r="J3047" s="646">
        <v>33.159999999999997</v>
      </c>
    </row>
    <row r="3048" spans="1:10" ht="15" customHeight="1" x14ac:dyDescent="0.3">
      <c r="A3048" s="904" t="s">
        <v>2418</v>
      </c>
      <c r="B3048" s="903" t="s">
        <v>15</v>
      </c>
      <c r="C3048" s="904" t="s">
        <v>16</v>
      </c>
      <c r="D3048" s="904" t="s">
        <v>2466</v>
      </c>
      <c r="E3048" s="903" t="s">
        <v>2467</v>
      </c>
      <c r="F3048" s="908" t="s">
        <v>2468</v>
      </c>
      <c r="G3048" s="903"/>
      <c r="H3048" s="518" t="s">
        <v>2469</v>
      </c>
      <c r="I3048" s="903" t="s">
        <v>2470</v>
      </c>
      <c r="J3048"/>
    </row>
    <row r="3049" spans="1:10" ht="14.25" customHeight="1" x14ac:dyDescent="0.3">
      <c r="A3049" s="903"/>
      <c r="B3049" s="903"/>
      <c r="C3049" s="903"/>
      <c r="D3049" s="903"/>
      <c r="E3049" s="903"/>
      <c r="F3049" s="517" t="s">
        <v>2471</v>
      </c>
      <c r="G3049" s="517" t="s">
        <v>2472</v>
      </c>
      <c r="H3049" s="517" t="s">
        <v>2471</v>
      </c>
      <c r="I3049" s="903"/>
      <c r="J3049"/>
    </row>
    <row r="3050" spans="1:10" ht="14.25" customHeight="1" x14ac:dyDescent="0.3">
      <c r="A3050" s="519" t="s">
        <v>2437</v>
      </c>
      <c r="B3050" s="520" t="s">
        <v>3226</v>
      </c>
      <c r="C3050" s="519" t="s">
        <v>125</v>
      </c>
      <c r="D3050" s="519" t="s">
        <v>3227</v>
      </c>
      <c r="E3050" s="522">
        <v>1</v>
      </c>
      <c r="F3050" s="523">
        <v>1</v>
      </c>
      <c r="G3050" s="523">
        <v>0</v>
      </c>
      <c r="H3050" s="524">
        <v>252.2268</v>
      </c>
      <c r="I3050" s="524">
        <v>252.2268</v>
      </c>
      <c r="J3050"/>
    </row>
    <row r="3051" spans="1:10" ht="15" customHeight="1" x14ac:dyDescent="0.3">
      <c r="A3051" s="902"/>
      <c r="B3051" s="902"/>
      <c r="C3051" s="902"/>
      <c r="D3051" s="902"/>
      <c r="E3051" s="902"/>
      <c r="F3051" s="902" t="s">
        <v>2475</v>
      </c>
      <c r="G3051" s="902"/>
      <c r="H3051" s="902"/>
      <c r="I3051" s="525">
        <v>252.2268</v>
      </c>
      <c r="J3051"/>
    </row>
    <row r="3052" spans="1:10" ht="14.25" customHeight="1" x14ac:dyDescent="0.3">
      <c r="A3052" s="902"/>
      <c r="B3052" s="902"/>
      <c r="C3052" s="902"/>
      <c r="D3052" s="902"/>
      <c r="E3052" s="902"/>
      <c r="F3052" s="902" t="s">
        <v>2476</v>
      </c>
      <c r="G3052" s="902"/>
      <c r="H3052" s="902"/>
      <c r="I3052" s="525">
        <v>252.2268</v>
      </c>
      <c r="J3052"/>
    </row>
    <row r="3053" spans="1:10" ht="15" customHeight="1" x14ac:dyDescent="0.3">
      <c r="A3053" s="902"/>
      <c r="B3053" s="902"/>
      <c r="C3053" s="902"/>
      <c r="D3053" s="902"/>
      <c r="E3053" s="902"/>
      <c r="F3053" s="902" t="s">
        <v>2477</v>
      </c>
      <c r="G3053" s="902"/>
      <c r="H3053" s="902"/>
      <c r="I3053" s="525">
        <v>0</v>
      </c>
      <c r="J3053"/>
    </row>
    <row r="3054" spans="1:10" s="358" customFormat="1" x14ac:dyDescent="0.3">
      <c r="A3054" s="902"/>
      <c r="B3054" s="902"/>
      <c r="C3054" s="902"/>
      <c r="D3054" s="902"/>
      <c r="E3054" s="902"/>
      <c r="F3054" s="902" t="s">
        <v>2478</v>
      </c>
      <c r="G3054" s="902"/>
      <c r="H3054" s="902"/>
      <c r="I3054" s="525">
        <v>0</v>
      </c>
      <c r="J3054"/>
    </row>
    <row r="3055" spans="1:10" ht="14.25" customHeight="1" x14ac:dyDescent="0.3">
      <c r="A3055" s="902"/>
      <c r="B3055" s="902"/>
      <c r="C3055" s="902"/>
      <c r="D3055" s="902"/>
      <c r="E3055" s="902"/>
      <c r="F3055" s="902" t="s">
        <v>2479</v>
      </c>
      <c r="G3055" s="902"/>
      <c r="H3055" s="902"/>
      <c r="I3055" s="525">
        <v>11.84</v>
      </c>
      <c r="J3055"/>
    </row>
    <row r="3056" spans="1:10" s="358" customFormat="1" ht="15" customHeight="1" x14ac:dyDescent="0.3">
      <c r="A3056" s="902"/>
      <c r="B3056" s="902"/>
      <c r="C3056" s="902"/>
      <c r="D3056" s="902"/>
      <c r="E3056" s="902"/>
      <c r="F3056" s="902" t="s">
        <v>2480</v>
      </c>
      <c r="G3056" s="902"/>
      <c r="H3056" s="902"/>
      <c r="I3056" s="525">
        <v>21.302900000000001</v>
      </c>
      <c r="J3056"/>
    </row>
    <row r="3057" spans="1:10" ht="15" customHeight="1" x14ac:dyDescent="0.3">
      <c r="A3057" s="516" t="s">
        <v>2574</v>
      </c>
      <c r="B3057" s="517" t="s">
        <v>16</v>
      </c>
      <c r="C3057" s="516" t="s">
        <v>15</v>
      </c>
      <c r="D3057" s="516" t="s">
        <v>2575</v>
      </c>
      <c r="E3057" s="517" t="s">
        <v>2467</v>
      </c>
      <c r="F3057" s="517" t="s">
        <v>2576</v>
      </c>
      <c r="G3057" s="903" t="s">
        <v>2577</v>
      </c>
      <c r="H3057" s="903"/>
      <c r="I3057" s="517" t="s">
        <v>2470</v>
      </c>
      <c r="J3057"/>
    </row>
    <row r="3058" spans="1:10" ht="25" x14ac:dyDescent="0.3">
      <c r="A3058" s="519" t="s">
        <v>2578</v>
      </c>
      <c r="B3058" s="520" t="s">
        <v>32</v>
      </c>
      <c r="C3058" s="519">
        <v>88316</v>
      </c>
      <c r="D3058" s="519" t="s">
        <v>2562</v>
      </c>
      <c r="E3058" s="522">
        <v>0.50675680000000001</v>
      </c>
      <c r="F3058" s="521" t="s">
        <v>1901</v>
      </c>
      <c r="G3058" s="907">
        <v>23.4</v>
      </c>
      <c r="H3058" s="907"/>
      <c r="I3058" s="524">
        <v>11.8581</v>
      </c>
      <c r="J3058"/>
    </row>
    <row r="3059" spans="1:10" ht="15" customHeight="1" thickBot="1" x14ac:dyDescent="0.35">
      <c r="A3059" s="902"/>
      <c r="B3059" s="902"/>
      <c r="C3059" s="902"/>
      <c r="D3059" s="902"/>
      <c r="E3059" s="902"/>
      <c r="F3059" s="902" t="s">
        <v>2579</v>
      </c>
      <c r="G3059" s="902"/>
      <c r="H3059" s="902"/>
      <c r="I3059" s="525">
        <v>11.8581</v>
      </c>
      <c r="J3059"/>
    </row>
    <row r="3060" spans="1:10" ht="14.25" customHeight="1" thickTop="1" x14ac:dyDescent="0.3">
      <c r="A3060" s="647"/>
      <c r="B3060" s="647"/>
      <c r="C3060" s="647"/>
      <c r="D3060" s="647"/>
      <c r="E3060" s="647"/>
      <c r="F3060" s="647"/>
      <c r="G3060" s="647"/>
      <c r="H3060" s="647"/>
      <c r="I3060" s="647"/>
      <c r="J3060"/>
    </row>
    <row r="3061" spans="1:10" ht="14.25" customHeight="1" x14ac:dyDescent="0.3">
      <c r="A3061" s="516"/>
      <c r="B3061" s="517" t="s">
        <v>15</v>
      </c>
      <c r="C3061" s="516" t="s">
        <v>16</v>
      </c>
      <c r="D3061" s="516" t="s">
        <v>17</v>
      </c>
      <c r="E3061" s="904" t="s">
        <v>2431</v>
      </c>
      <c r="F3061" s="904"/>
      <c r="G3061" s="518" t="s">
        <v>18</v>
      </c>
      <c r="H3061" s="517" t="s">
        <v>19</v>
      </c>
      <c r="I3061" s="517" t="s">
        <v>20</v>
      </c>
      <c r="J3061" s="517" t="s">
        <v>23</v>
      </c>
    </row>
    <row r="3062" spans="1:10" ht="14.25" customHeight="1" x14ac:dyDescent="0.3">
      <c r="A3062" s="642" t="s">
        <v>2432</v>
      </c>
      <c r="B3062" s="643" t="s">
        <v>3600</v>
      </c>
      <c r="C3062" s="642" t="s">
        <v>125</v>
      </c>
      <c r="D3062" s="642" t="s">
        <v>2838</v>
      </c>
      <c r="E3062" s="906" t="s">
        <v>1328</v>
      </c>
      <c r="F3062" s="906"/>
      <c r="G3062" s="644" t="s">
        <v>374</v>
      </c>
      <c r="H3062" s="645">
        <v>1</v>
      </c>
      <c r="I3062" s="646">
        <v>33.159999999999997</v>
      </c>
      <c r="J3062" s="646">
        <v>33.159999999999997</v>
      </c>
    </row>
    <row r="3063" spans="1:10" ht="15" customHeight="1" x14ac:dyDescent="0.3">
      <c r="A3063" s="904" t="s">
        <v>2418</v>
      </c>
      <c r="B3063" s="903" t="s">
        <v>15</v>
      </c>
      <c r="C3063" s="904" t="s">
        <v>16</v>
      </c>
      <c r="D3063" s="904" t="s">
        <v>2466</v>
      </c>
      <c r="E3063" s="903" t="s">
        <v>2467</v>
      </c>
      <c r="F3063" s="908" t="s">
        <v>2468</v>
      </c>
      <c r="G3063" s="903"/>
      <c r="H3063" s="518" t="s">
        <v>2469</v>
      </c>
      <c r="I3063" s="903" t="s">
        <v>2470</v>
      </c>
      <c r="J3063"/>
    </row>
    <row r="3064" spans="1:10" ht="14.25" customHeight="1" x14ac:dyDescent="0.3">
      <c r="A3064" s="903"/>
      <c r="B3064" s="903"/>
      <c r="C3064" s="903"/>
      <c r="D3064" s="903"/>
      <c r="E3064" s="903"/>
      <c r="F3064" s="517" t="s">
        <v>2471</v>
      </c>
      <c r="G3064" s="517" t="s">
        <v>2472</v>
      </c>
      <c r="H3064" s="517" t="s">
        <v>2471</v>
      </c>
      <c r="I3064" s="903"/>
      <c r="J3064"/>
    </row>
    <row r="3065" spans="1:10" ht="14.25" customHeight="1" x14ac:dyDescent="0.3">
      <c r="A3065" s="519" t="s">
        <v>2437</v>
      </c>
      <c r="B3065" s="520" t="s">
        <v>3226</v>
      </c>
      <c r="C3065" s="519" t="s">
        <v>125</v>
      </c>
      <c r="D3065" s="519" t="s">
        <v>3227</v>
      </c>
      <c r="E3065" s="522">
        <v>1</v>
      </c>
      <c r="F3065" s="523">
        <v>1</v>
      </c>
      <c r="G3065" s="523">
        <v>0</v>
      </c>
      <c r="H3065" s="524">
        <v>252.2268</v>
      </c>
      <c r="I3065" s="524">
        <v>252.2268</v>
      </c>
      <c r="J3065"/>
    </row>
    <row r="3066" spans="1:10" ht="15" customHeight="1" x14ac:dyDescent="0.3">
      <c r="A3066" s="902"/>
      <c r="B3066" s="902"/>
      <c r="C3066" s="902"/>
      <c r="D3066" s="902"/>
      <c r="E3066" s="902"/>
      <c r="F3066" s="902" t="s">
        <v>2475</v>
      </c>
      <c r="G3066" s="902"/>
      <c r="H3066" s="902"/>
      <c r="I3066" s="525">
        <v>252.2268</v>
      </c>
      <c r="J3066"/>
    </row>
    <row r="3067" spans="1:10" ht="14.25" customHeight="1" x14ac:dyDescent="0.3">
      <c r="A3067" s="902"/>
      <c r="B3067" s="902"/>
      <c r="C3067" s="902"/>
      <c r="D3067" s="902"/>
      <c r="E3067" s="902"/>
      <c r="F3067" s="902" t="s">
        <v>2476</v>
      </c>
      <c r="G3067" s="902"/>
      <c r="H3067" s="902"/>
      <c r="I3067" s="525">
        <v>252.2268</v>
      </c>
      <c r="J3067"/>
    </row>
    <row r="3068" spans="1:10" ht="15" customHeight="1" x14ac:dyDescent="0.3">
      <c r="A3068" s="902"/>
      <c r="B3068" s="902"/>
      <c r="C3068" s="902"/>
      <c r="D3068" s="902"/>
      <c r="E3068" s="902"/>
      <c r="F3068" s="902" t="s">
        <v>2477</v>
      </c>
      <c r="G3068" s="902"/>
      <c r="H3068" s="902"/>
      <c r="I3068" s="525">
        <v>0</v>
      </c>
      <c r="J3068"/>
    </row>
    <row r="3069" spans="1:10" s="358" customFormat="1" x14ac:dyDescent="0.3">
      <c r="A3069" s="902"/>
      <c r="B3069" s="902"/>
      <c r="C3069" s="902"/>
      <c r="D3069" s="902"/>
      <c r="E3069" s="902"/>
      <c r="F3069" s="902" t="s">
        <v>2478</v>
      </c>
      <c r="G3069" s="902"/>
      <c r="H3069" s="902"/>
      <c r="I3069" s="525">
        <v>0</v>
      </c>
      <c r="J3069"/>
    </row>
    <row r="3070" spans="1:10" ht="14.25" customHeight="1" x14ac:dyDescent="0.3">
      <c r="A3070" s="902"/>
      <c r="B3070" s="902"/>
      <c r="C3070" s="902"/>
      <c r="D3070" s="902"/>
      <c r="E3070" s="902"/>
      <c r="F3070" s="902" t="s">
        <v>2479</v>
      </c>
      <c r="G3070" s="902"/>
      <c r="H3070" s="902"/>
      <c r="I3070" s="525">
        <v>11.84</v>
      </c>
      <c r="J3070"/>
    </row>
    <row r="3071" spans="1:10" s="358" customFormat="1" ht="15" customHeight="1" x14ac:dyDescent="0.3">
      <c r="A3071" s="902"/>
      <c r="B3071" s="902"/>
      <c r="C3071" s="902"/>
      <c r="D3071" s="902"/>
      <c r="E3071" s="902"/>
      <c r="F3071" s="902" t="s">
        <v>2480</v>
      </c>
      <c r="G3071" s="902"/>
      <c r="H3071" s="902"/>
      <c r="I3071" s="525">
        <v>21.302900000000001</v>
      </c>
      <c r="J3071"/>
    </row>
    <row r="3072" spans="1:10" ht="15" customHeight="1" x14ac:dyDescent="0.3">
      <c r="A3072" s="516" t="s">
        <v>2574</v>
      </c>
      <c r="B3072" s="517" t="s">
        <v>16</v>
      </c>
      <c r="C3072" s="516" t="s">
        <v>15</v>
      </c>
      <c r="D3072" s="516" t="s">
        <v>2575</v>
      </c>
      <c r="E3072" s="517" t="s">
        <v>2467</v>
      </c>
      <c r="F3072" s="517" t="s">
        <v>2576</v>
      </c>
      <c r="G3072" s="903" t="s">
        <v>2577</v>
      </c>
      <c r="H3072" s="903"/>
      <c r="I3072" s="517" t="s">
        <v>2470</v>
      </c>
      <c r="J3072"/>
    </row>
    <row r="3073" spans="1:10" ht="25" x14ac:dyDescent="0.3">
      <c r="A3073" s="519" t="s">
        <v>2578</v>
      </c>
      <c r="B3073" s="520" t="s">
        <v>32</v>
      </c>
      <c r="C3073" s="519">
        <v>88316</v>
      </c>
      <c r="D3073" s="519" t="s">
        <v>2562</v>
      </c>
      <c r="E3073" s="522">
        <v>0.50675680000000001</v>
      </c>
      <c r="F3073" s="521" t="s">
        <v>1901</v>
      </c>
      <c r="G3073" s="907">
        <v>23.4</v>
      </c>
      <c r="H3073" s="907"/>
      <c r="I3073" s="524">
        <v>11.8581</v>
      </c>
      <c r="J3073"/>
    </row>
    <row r="3074" spans="1:10" ht="15" customHeight="1" thickBot="1" x14ac:dyDescent="0.35">
      <c r="A3074" s="902"/>
      <c r="B3074" s="902"/>
      <c r="C3074" s="902"/>
      <c r="D3074" s="902"/>
      <c r="E3074" s="902"/>
      <c r="F3074" s="902" t="s">
        <v>2579</v>
      </c>
      <c r="G3074" s="902"/>
      <c r="H3074" s="902"/>
      <c r="I3074" s="525">
        <v>11.8581</v>
      </c>
      <c r="J3074"/>
    </row>
    <row r="3075" spans="1:10" ht="14.25" customHeight="1" thickTop="1" x14ac:dyDescent="0.3">
      <c r="A3075" s="647"/>
      <c r="B3075" s="647"/>
      <c r="C3075" s="647"/>
      <c r="D3075" s="647"/>
      <c r="E3075" s="647"/>
      <c r="F3075" s="647"/>
      <c r="G3075" s="647"/>
      <c r="H3075" s="647"/>
      <c r="I3075" s="647"/>
      <c r="J3075"/>
    </row>
    <row r="3076" spans="1:10" ht="14.25" customHeight="1" x14ac:dyDescent="0.3">
      <c r="A3076" s="516"/>
      <c r="B3076" s="517" t="s">
        <v>15</v>
      </c>
      <c r="C3076" s="516" t="s">
        <v>16</v>
      </c>
      <c r="D3076" s="516" t="s">
        <v>17</v>
      </c>
      <c r="E3076" s="904" t="s">
        <v>2431</v>
      </c>
      <c r="F3076" s="904"/>
      <c r="G3076" s="518" t="s">
        <v>18</v>
      </c>
      <c r="H3076" s="517" t="s">
        <v>19</v>
      </c>
      <c r="I3076" s="517" t="s">
        <v>20</v>
      </c>
      <c r="J3076" s="517" t="s">
        <v>23</v>
      </c>
    </row>
    <row r="3077" spans="1:10" ht="14.25" customHeight="1" x14ac:dyDescent="0.3">
      <c r="A3077" s="642" t="s">
        <v>2432</v>
      </c>
      <c r="B3077" s="643" t="s">
        <v>3601</v>
      </c>
      <c r="C3077" s="642" t="s">
        <v>125</v>
      </c>
      <c r="D3077" s="642" t="s">
        <v>2890</v>
      </c>
      <c r="E3077" s="906" t="s">
        <v>1328</v>
      </c>
      <c r="F3077" s="906"/>
      <c r="G3077" s="644" t="s">
        <v>374</v>
      </c>
      <c r="H3077" s="645">
        <v>1</v>
      </c>
      <c r="I3077" s="646">
        <v>34.14</v>
      </c>
      <c r="J3077" s="646">
        <v>34.14</v>
      </c>
    </row>
    <row r="3078" spans="1:10" ht="15" customHeight="1" x14ac:dyDescent="0.3">
      <c r="A3078" s="904" t="s">
        <v>2418</v>
      </c>
      <c r="B3078" s="903" t="s">
        <v>15</v>
      </c>
      <c r="C3078" s="904" t="s">
        <v>16</v>
      </c>
      <c r="D3078" s="904" t="s">
        <v>2466</v>
      </c>
      <c r="E3078" s="903" t="s">
        <v>2467</v>
      </c>
      <c r="F3078" s="908" t="s">
        <v>2468</v>
      </c>
      <c r="G3078" s="903"/>
      <c r="H3078" s="518" t="s">
        <v>2469</v>
      </c>
      <c r="I3078" s="903" t="s">
        <v>2470</v>
      </c>
      <c r="J3078"/>
    </row>
    <row r="3079" spans="1:10" ht="14.25" customHeight="1" x14ac:dyDescent="0.3">
      <c r="A3079" s="903"/>
      <c r="B3079" s="903"/>
      <c r="C3079" s="903"/>
      <c r="D3079" s="903"/>
      <c r="E3079" s="903"/>
      <c r="F3079" s="517" t="s">
        <v>2471</v>
      </c>
      <c r="G3079" s="517" t="s">
        <v>2472</v>
      </c>
      <c r="H3079" s="517" t="s">
        <v>2471</v>
      </c>
      <c r="I3079" s="903"/>
      <c r="J3079"/>
    </row>
    <row r="3080" spans="1:10" ht="14.25" customHeight="1" x14ac:dyDescent="0.3">
      <c r="A3080" s="519" t="s">
        <v>2437</v>
      </c>
      <c r="B3080" s="520" t="s">
        <v>3220</v>
      </c>
      <c r="C3080" s="519" t="s">
        <v>125</v>
      </c>
      <c r="D3080" s="519" t="s">
        <v>3221</v>
      </c>
      <c r="E3080" s="522">
        <v>1</v>
      </c>
      <c r="F3080" s="523">
        <v>1</v>
      </c>
      <c r="G3080" s="523">
        <v>0</v>
      </c>
      <c r="H3080" s="524">
        <v>174.29050000000001</v>
      </c>
      <c r="I3080" s="524">
        <v>174.29050000000001</v>
      </c>
      <c r="J3080"/>
    </row>
    <row r="3081" spans="1:10" ht="15" customHeight="1" x14ac:dyDescent="0.3">
      <c r="A3081" s="902"/>
      <c r="B3081" s="902"/>
      <c r="C3081" s="902"/>
      <c r="D3081" s="902"/>
      <c r="E3081" s="902"/>
      <c r="F3081" s="902" t="s">
        <v>2475</v>
      </c>
      <c r="G3081" s="902"/>
      <c r="H3081" s="902"/>
      <c r="I3081" s="525">
        <v>174.29050000000001</v>
      </c>
      <c r="J3081"/>
    </row>
    <row r="3082" spans="1:10" ht="14.25" customHeight="1" x14ac:dyDescent="0.3">
      <c r="A3082" s="902"/>
      <c r="B3082" s="902"/>
      <c r="C3082" s="902"/>
      <c r="D3082" s="902"/>
      <c r="E3082" s="902"/>
      <c r="F3082" s="902" t="s">
        <v>2476</v>
      </c>
      <c r="G3082" s="902"/>
      <c r="H3082" s="902"/>
      <c r="I3082" s="525">
        <v>174.29050000000001</v>
      </c>
      <c r="J3082"/>
    </row>
    <row r="3083" spans="1:10" ht="15" customHeight="1" x14ac:dyDescent="0.3">
      <c r="A3083" s="902"/>
      <c r="B3083" s="902"/>
      <c r="C3083" s="902"/>
      <c r="D3083" s="902"/>
      <c r="E3083" s="902"/>
      <c r="F3083" s="902" t="s">
        <v>2477</v>
      </c>
      <c r="G3083" s="902"/>
      <c r="H3083" s="902"/>
      <c r="I3083" s="525">
        <v>0</v>
      </c>
      <c r="J3083"/>
    </row>
    <row r="3084" spans="1:10" s="358" customFormat="1" x14ac:dyDescent="0.3">
      <c r="A3084" s="902"/>
      <c r="B3084" s="902"/>
      <c r="C3084" s="902"/>
      <c r="D3084" s="902"/>
      <c r="E3084" s="902"/>
      <c r="F3084" s="902" t="s">
        <v>2478</v>
      </c>
      <c r="G3084" s="902"/>
      <c r="H3084" s="902"/>
      <c r="I3084" s="525">
        <v>0</v>
      </c>
      <c r="J3084"/>
    </row>
    <row r="3085" spans="1:10" ht="14.25" customHeight="1" x14ac:dyDescent="0.3">
      <c r="A3085" s="902"/>
      <c r="B3085" s="902"/>
      <c r="C3085" s="902"/>
      <c r="D3085" s="902"/>
      <c r="E3085" s="902"/>
      <c r="F3085" s="902" t="s">
        <v>2479</v>
      </c>
      <c r="G3085" s="902"/>
      <c r="H3085" s="902"/>
      <c r="I3085" s="525">
        <v>7.8465999999999996</v>
      </c>
      <c r="J3085"/>
    </row>
    <row r="3086" spans="1:10" s="358" customFormat="1" ht="15" customHeight="1" x14ac:dyDescent="0.3">
      <c r="A3086" s="902"/>
      <c r="B3086" s="902"/>
      <c r="C3086" s="902"/>
      <c r="D3086" s="902"/>
      <c r="E3086" s="902"/>
      <c r="F3086" s="902" t="s">
        <v>2480</v>
      </c>
      <c r="G3086" s="902"/>
      <c r="H3086" s="902"/>
      <c r="I3086" s="525">
        <v>22.2121</v>
      </c>
      <c r="J3086"/>
    </row>
    <row r="3087" spans="1:10" ht="14.25" customHeight="1" x14ac:dyDescent="0.3">
      <c r="A3087" s="516" t="s">
        <v>2574</v>
      </c>
      <c r="B3087" s="517" t="s">
        <v>16</v>
      </c>
      <c r="C3087" s="516" t="s">
        <v>15</v>
      </c>
      <c r="D3087" s="516" t="s">
        <v>2575</v>
      </c>
      <c r="E3087" s="517" t="s">
        <v>2467</v>
      </c>
      <c r="F3087" s="517" t="s">
        <v>2576</v>
      </c>
      <c r="G3087" s="903" t="s">
        <v>2577</v>
      </c>
      <c r="H3087" s="903"/>
      <c r="I3087" s="517" t="s">
        <v>2470</v>
      </c>
      <c r="J3087"/>
    </row>
    <row r="3088" spans="1:10" ht="14.25" customHeight="1" x14ac:dyDescent="0.3">
      <c r="A3088" s="519" t="s">
        <v>2578</v>
      </c>
      <c r="B3088" s="520" t="s">
        <v>32</v>
      </c>
      <c r="C3088" s="519">
        <v>88316</v>
      </c>
      <c r="D3088" s="519" t="s">
        <v>2562</v>
      </c>
      <c r="E3088" s="522">
        <v>0.50977229999999996</v>
      </c>
      <c r="F3088" s="521" t="s">
        <v>1901</v>
      </c>
      <c r="G3088" s="907">
        <v>23.4</v>
      </c>
      <c r="H3088" s="907"/>
      <c r="I3088" s="524">
        <v>11.928699999999999</v>
      </c>
      <c r="J3088"/>
    </row>
    <row r="3089" spans="1:10" ht="15" customHeight="1" thickBot="1" x14ac:dyDescent="0.35">
      <c r="A3089" s="902"/>
      <c r="B3089" s="902"/>
      <c r="C3089" s="902"/>
      <c r="D3089" s="902"/>
      <c r="E3089" s="902"/>
      <c r="F3089" s="902" t="s">
        <v>2579</v>
      </c>
      <c r="G3089" s="902"/>
      <c r="H3089" s="902"/>
      <c r="I3089" s="525">
        <v>11.928699999999999</v>
      </c>
      <c r="J3089"/>
    </row>
    <row r="3090" spans="1:10" ht="14.25" customHeight="1" thickTop="1" x14ac:dyDescent="0.3">
      <c r="A3090" s="647"/>
      <c r="B3090" s="647"/>
      <c r="C3090" s="647"/>
      <c r="D3090" s="647"/>
      <c r="E3090" s="647"/>
      <c r="F3090" s="647"/>
      <c r="G3090" s="647"/>
      <c r="H3090" s="647"/>
      <c r="I3090" s="647"/>
      <c r="J3090"/>
    </row>
    <row r="3091" spans="1:10" ht="14.25" customHeight="1" x14ac:dyDescent="0.3">
      <c r="A3091" s="516"/>
      <c r="B3091" s="517" t="s">
        <v>15</v>
      </c>
      <c r="C3091" s="516" t="s">
        <v>16</v>
      </c>
      <c r="D3091" s="516" t="s">
        <v>17</v>
      </c>
      <c r="E3091" s="904" t="s">
        <v>2431</v>
      </c>
      <c r="F3091" s="904"/>
      <c r="G3091" s="518" t="s">
        <v>18</v>
      </c>
      <c r="H3091" s="517" t="s">
        <v>19</v>
      </c>
      <c r="I3091" s="517" t="s">
        <v>20</v>
      </c>
      <c r="J3091" s="517" t="s">
        <v>23</v>
      </c>
    </row>
    <row r="3092" spans="1:10" ht="15" customHeight="1" x14ac:dyDescent="0.3">
      <c r="A3092" s="642" t="s">
        <v>2432</v>
      </c>
      <c r="B3092" s="643" t="s">
        <v>3602</v>
      </c>
      <c r="C3092" s="642" t="s">
        <v>125</v>
      </c>
      <c r="D3092" s="642" t="s">
        <v>2863</v>
      </c>
      <c r="E3092" s="906" t="s">
        <v>1328</v>
      </c>
      <c r="F3092" s="906"/>
      <c r="G3092" s="644" t="s">
        <v>600</v>
      </c>
      <c r="H3092" s="645">
        <v>1</v>
      </c>
      <c r="I3092" s="646">
        <v>233.51</v>
      </c>
      <c r="J3092" s="646">
        <v>233.51</v>
      </c>
    </row>
    <row r="3093" spans="1:10" ht="14.25" customHeight="1" x14ac:dyDescent="0.3">
      <c r="A3093" s="902"/>
      <c r="B3093" s="902"/>
      <c r="C3093" s="902"/>
      <c r="D3093" s="902"/>
      <c r="E3093" s="902"/>
      <c r="F3093" s="902" t="s">
        <v>2476</v>
      </c>
      <c r="G3093" s="902"/>
      <c r="H3093" s="902"/>
      <c r="I3093" s="525">
        <v>0</v>
      </c>
      <c r="J3093"/>
    </row>
    <row r="3094" spans="1:10" ht="14.25" customHeight="1" x14ac:dyDescent="0.3">
      <c r="A3094" s="902"/>
      <c r="B3094" s="902"/>
      <c r="C3094" s="902"/>
      <c r="D3094" s="902"/>
      <c r="E3094" s="902"/>
      <c r="F3094" s="902" t="s">
        <v>2477</v>
      </c>
      <c r="G3094" s="902"/>
      <c r="H3094" s="902"/>
      <c r="I3094" s="525">
        <v>0</v>
      </c>
      <c r="J3094"/>
    </row>
    <row r="3095" spans="1:10" x14ac:dyDescent="0.3">
      <c r="A3095" s="902"/>
      <c r="B3095" s="902"/>
      <c r="C3095" s="902"/>
      <c r="D3095" s="902"/>
      <c r="E3095" s="902"/>
      <c r="F3095" s="902" t="s">
        <v>2478</v>
      </c>
      <c r="G3095" s="902"/>
      <c r="H3095" s="902"/>
      <c r="I3095" s="525">
        <v>0</v>
      </c>
      <c r="J3095"/>
    </row>
    <row r="3096" spans="1:10" ht="14.25" customHeight="1" x14ac:dyDescent="0.3">
      <c r="A3096" s="902"/>
      <c r="B3096" s="902"/>
      <c r="C3096" s="902"/>
      <c r="D3096" s="902"/>
      <c r="E3096" s="902"/>
      <c r="F3096" s="902" t="s">
        <v>2479</v>
      </c>
      <c r="G3096" s="902"/>
      <c r="H3096" s="902"/>
      <c r="I3096" s="525">
        <v>2.8269000000000002</v>
      </c>
      <c r="J3096"/>
    </row>
    <row r="3097" spans="1:10" ht="14.25" customHeight="1" x14ac:dyDescent="0.3">
      <c r="A3097" s="902"/>
      <c r="B3097" s="902"/>
      <c r="C3097" s="902"/>
      <c r="D3097" s="902"/>
      <c r="E3097" s="902"/>
      <c r="F3097" s="902" t="s">
        <v>2480</v>
      </c>
      <c r="G3097" s="902"/>
      <c r="H3097" s="902"/>
      <c r="I3097" s="525">
        <v>0</v>
      </c>
      <c r="J3097"/>
    </row>
    <row r="3098" spans="1:10" ht="15" customHeight="1" x14ac:dyDescent="0.3">
      <c r="A3098" s="516" t="s">
        <v>2420</v>
      </c>
      <c r="B3098" s="517" t="s">
        <v>16</v>
      </c>
      <c r="C3098" s="516" t="s">
        <v>15</v>
      </c>
      <c r="D3098" s="516" t="s">
        <v>2442</v>
      </c>
      <c r="E3098" s="517" t="s">
        <v>2467</v>
      </c>
      <c r="F3098" s="517" t="s">
        <v>2576</v>
      </c>
      <c r="G3098" s="903" t="s">
        <v>2577</v>
      </c>
      <c r="H3098" s="903"/>
      <c r="I3098" s="517" t="s">
        <v>2470</v>
      </c>
      <c r="J3098"/>
    </row>
    <row r="3099" spans="1:10" x14ac:dyDescent="0.3">
      <c r="A3099" s="519" t="s">
        <v>2437</v>
      </c>
      <c r="B3099" s="520" t="s">
        <v>125</v>
      </c>
      <c r="C3099" s="519" t="s">
        <v>3603</v>
      </c>
      <c r="D3099" s="519" t="s">
        <v>3604</v>
      </c>
      <c r="E3099" s="522">
        <v>13.729649999999999</v>
      </c>
      <c r="F3099" s="521" t="s">
        <v>384</v>
      </c>
      <c r="G3099" s="907">
        <v>9.3813999999999993</v>
      </c>
      <c r="H3099" s="907"/>
      <c r="I3099" s="524">
        <v>128.80330000000001</v>
      </c>
      <c r="J3099"/>
    </row>
    <row r="3100" spans="1:10" ht="25" x14ac:dyDescent="0.3">
      <c r="A3100" s="519" t="s">
        <v>2437</v>
      </c>
      <c r="B3100" s="520" t="s">
        <v>125</v>
      </c>
      <c r="C3100" s="519" t="s">
        <v>3605</v>
      </c>
      <c r="D3100" s="519" t="s">
        <v>3606</v>
      </c>
      <c r="E3100" s="522">
        <v>1.2</v>
      </c>
      <c r="F3100" s="521" t="s">
        <v>222</v>
      </c>
      <c r="G3100" s="907">
        <v>7.1277999999999997</v>
      </c>
      <c r="H3100" s="907"/>
      <c r="I3100" s="524">
        <v>8.5533999999999999</v>
      </c>
      <c r="J3100"/>
    </row>
    <row r="3101" spans="1:10" x14ac:dyDescent="0.3">
      <c r="A3101" s="519" t="s">
        <v>2437</v>
      </c>
      <c r="B3101" s="520" t="s">
        <v>125</v>
      </c>
      <c r="C3101" s="519" t="s">
        <v>3607</v>
      </c>
      <c r="D3101" s="519" t="s">
        <v>3608</v>
      </c>
      <c r="E3101" s="522">
        <v>2</v>
      </c>
      <c r="F3101" s="521" t="s">
        <v>600</v>
      </c>
      <c r="G3101" s="907">
        <v>3.3852000000000002</v>
      </c>
      <c r="H3101" s="907"/>
      <c r="I3101" s="524">
        <v>6.7704000000000004</v>
      </c>
      <c r="J3101"/>
    </row>
    <row r="3102" spans="1:10" x14ac:dyDescent="0.3">
      <c r="A3102" s="519" t="s">
        <v>2437</v>
      </c>
      <c r="B3102" s="520" t="s">
        <v>125</v>
      </c>
      <c r="C3102" s="519" t="s">
        <v>3609</v>
      </c>
      <c r="D3102" s="519" t="s">
        <v>3610</v>
      </c>
      <c r="E3102" s="522">
        <v>0.35541</v>
      </c>
      <c r="F3102" s="521" t="s">
        <v>600</v>
      </c>
      <c r="G3102" s="907">
        <v>3.4264999999999999</v>
      </c>
      <c r="H3102" s="907"/>
      <c r="I3102" s="524">
        <v>1.2178</v>
      </c>
      <c r="J3102"/>
    </row>
    <row r="3103" spans="1:10" ht="14.25" customHeight="1" x14ac:dyDescent="0.3">
      <c r="A3103" s="902"/>
      <c r="B3103" s="902"/>
      <c r="C3103" s="902"/>
      <c r="D3103" s="902"/>
      <c r="E3103" s="902"/>
      <c r="F3103" s="902" t="s">
        <v>2809</v>
      </c>
      <c r="G3103" s="902"/>
      <c r="H3103" s="902"/>
      <c r="I3103" s="525">
        <v>145.3449</v>
      </c>
      <c r="J3103"/>
    </row>
    <row r="3104" spans="1:10" ht="14.25" customHeight="1" x14ac:dyDescent="0.3">
      <c r="A3104" s="516" t="s">
        <v>2574</v>
      </c>
      <c r="B3104" s="517" t="s">
        <v>16</v>
      </c>
      <c r="C3104" s="516" t="s">
        <v>15</v>
      </c>
      <c r="D3104" s="516" t="s">
        <v>2575</v>
      </c>
      <c r="E3104" s="517" t="s">
        <v>2467</v>
      </c>
      <c r="F3104" s="517" t="s">
        <v>2576</v>
      </c>
      <c r="G3104" s="903" t="s">
        <v>2577</v>
      </c>
      <c r="H3104" s="903"/>
      <c r="I3104" s="517" t="s">
        <v>2470</v>
      </c>
      <c r="J3104"/>
    </row>
    <row r="3105" spans="1:10" ht="15" customHeight="1" x14ac:dyDescent="0.3">
      <c r="A3105" s="519" t="s">
        <v>2578</v>
      </c>
      <c r="B3105" s="520" t="s">
        <v>125</v>
      </c>
      <c r="C3105" s="519">
        <v>1419543</v>
      </c>
      <c r="D3105" s="519" t="s">
        <v>3611</v>
      </c>
      <c r="E3105" s="522">
        <v>10</v>
      </c>
      <c r="F3105" s="521" t="s">
        <v>600</v>
      </c>
      <c r="G3105" s="907">
        <v>0.19</v>
      </c>
      <c r="H3105" s="907"/>
      <c r="I3105" s="524">
        <v>1.9</v>
      </c>
      <c r="J3105"/>
    </row>
    <row r="3106" spans="1:10" ht="25" x14ac:dyDescent="0.3">
      <c r="A3106" s="519" t="s">
        <v>2578</v>
      </c>
      <c r="B3106" s="520" t="s">
        <v>125</v>
      </c>
      <c r="C3106" s="519">
        <v>2408080</v>
      </c>
      <c r="D3106" s="519" t="s">
        <v>3612</v>
      </c>
      <c r="E3106" s="522">
        <v>1.1659999999999999</v>
      </c>
      <c r="F3106" s="521" t="s">
        <v>115</v>
      </c>
      <c r="G3106" s="907">
        <v>8.18</v>
      </c>
      <c r="H3106" s="907"/>
      <c r="I3106" s="524">
        <v>9.5379000000000005</v>
      </c>
      <c r="J3106"/>
    </row>
    <row r="3107" spans="1:10" ht="25" x14ac:dyDescent="0.3">
      <c r="A3107" s="519" t="s">
        <v>2578</v>
      </c>
      <c r="B3107" s="520" t="s">
        <v>125</v>
      </c>
      <c r="C3107" s="519">
        <v>2408079</v>
      </c>
      <c r="D3107" s="519" t="s">
        <v>3613</v>
      </c>
      <c r="E3107" s="522">
        <v>1.1659999999999999</v>
      </c>
      <c r="F3107" s="521" t="s">
        <v>115</v>
      </c>
      <c r="G3107" s="907">
        <v>49.29</v>
      </c>
      <c r="H3107" s="907"/>
      <c r="I3107" s="524">
        <v>57.472099999999998</v>
      </c>
      <c r="J3107"/>
    </row>
    <row r="3108" spans="1:10" ht="25" x14ac:dyDescent="0.3">
      <c r="A3108" s="519" t="s">
        <v>2578</v>
      </c>
      <c r="B3108" s="520" t="s">
        <v>125</v>
      </c>
      <c r="C3108" s="519">
        <v>2408057</v>
      </c>
      <c r="D3108" s="519" t="s">
        <v>3614</v>
      </c>
      <c r="E3108" s="522">
        <v>0.10650999999999999</v>
      </c>
      <c r="F3108" s="521" t="s">
        <v>384</v>
      </c>
      <c r="G3108" s="907">
        <v>96.17</v>
      </c>
      <c r="H3108" s="907"/>
      <c r="I3108" s="524">
        <v>10.2431</v>
      </c>
      <c r="J3108"/>
    </row>
    <row r="3109" spans="1:10" ht="14.25" customHeight="1" x14ac:dyDescent="0.3">
      <c r="A3109" s="519" t="s">
        <v>2578</v>
      </c>
      <c r="B3109" s="520" t="s">
        <v>32</v>
      </c>
      <c r="C3109" s="519">
        <v>88241</v>
      </c>
      <c r="D3109" s="519" t="s">
        <v>2791</v>
      </c>
      <c r="E3109" s="522">
        <v>0.35373939999999998</v>
      </c>
      <c r="F3109" s="521" t="s">
        <v>1901</v>
      </c>
      <c r="G3109" s="907">
        <v>24.15</v>
      </c>
      <c r="H3109" s="907"/>
      <c r="I3109" s="524">
        <v>8.5427999999999997</v>
      </c>
      <c r="J3109"/>
    </row>
    <row r="3110" spans="1:10" ht="15" customHeight="1" x14ac:dyDescent="0.3">
      <c r="A3110" s="902"/>
      <c r="B3110" s="902"/>
      <c r="C3110" s="902"/>
      <c r="D3110" s="902"/>
      <c r="E3110" s="902"/>
      <c r="F3110" s="902" t="s">
        <v>2579</v>
      </c>
      <c r="G3110" s="902"/>
      <c r="H3110" s="902"/>
      <c r="I3110" s="525">
        <v>87.695899999999995</v>
      </c>
      <c r="J3110"/>
    </row>
    <row r="3111" spans="1:10" ht="15" customHeight="1" x14ac:dyDescent="0.3">
      <c r="A3111" s="516" t="s">
        <v>2580</v>
      </c>
      <c r="B3111" s="517" t="s">
        <v>16</v>
      </c>
      <c r="C3111" s="516" t="s">
        <v>2437</v>
      </c>
      <c r="D3111" s="516" t="s">
        <v>2581</v>
      </c>
      <c r="E3111" s="517" t="s">
        <v>15</v>
      </c>
      <c r="F3111" s="517" t="s">
        <v>2467</v>
      </c>
      <c r="G3111" s="518" t="s">
        <v>2576</v>
      </c>
      <c r="H3111" s="517" t="s">
        <v>2577</v>
      </c>
      <c r="I3111" s="517" t="s">
        <v>2470</v>
      </c>
      <c r="J3111"/>
    </row>
    <row r="3112" spans="1:10" ht="25" x14ac:dyDescent="0.3">
      <c r="A3112" s="519" t="s">
        <v>2582</v>
      </c>
      <c r="B3112" s="520" t="s">
        <v>125</v>
      </c>
      <c r="C3112" s="519" t="s">
        <v>3603</v>
      </c>
      <c r="D3112" s="519" t="s">
        <v>2838</v>
      </c>
      <c r="E3112" s="520">
        <v>5914655</v>
      </c>
      <c r="F3112" s="522">
        <v>1.3729999999999999E-2</v>
      </c>
      <c r="G3112" s="521" t="s">
        <v>374</v>
      </c>
      <c r="H3112" s="524">
        <v>33.159999999999997</v>
      </c>
      <c r="I3112" s="524">
        <v>0.45529999999999998</v>
      </c>
      <c r="J3112"/>
    </row>
    <row r="3113" spans="1:10" ht="25" x14ac:dyDescent="0.3">
      <c r="A3113" s="519" t="s">
        <v>2582</v>
      </c>
      <c r="B3113" s="520" t="s">
        <v>125</v>
      </c>
      <c r="C3113" s="519" t="s">
        <v>3605</v>
      </c>
      <c r="D3113" s="519" t="s">
        <v>2838</v>
      </c>
      <c r="E3113" s="520">
        <v>5914655</v>
      </c>
      <c r="F3113" s="522">
        <v>2.3000000000000001E-4</v>
      </c>
      <c r="G3113" s="521" t="s">
        <v>374</v>
      </c>
      <c r="H3113" s="524">
        <v>33.159999999999997</v>
      </c>
      <c r="I3113" s="524">
        <v>7.6E-3</v>
      </c>
      <c r="J3113"/>
    </row>
    <row r="3114" spans="1:10" ht="25" x14ac:dyDescent="0.3">
      <c r="A3114" s="519" t="s">
        <v>2582</v>
      </c>
      <c r="B3114" s="520" t="s">
        <v>125</v>
      </c>
      <c r="C3114" s="519" t="s">
        <v>3607</v>
      </c>
      <c r="D3114" s="519" t="s">
        <v>2838</v>
      </c>
      <c r="E3114" s="520">
        <v>5914655</v>
      </c>
      <c r="F3114" s="522">
        <v>8.0000000000000007E-5</v>
      </c>
      <c r="G3114" s="521" t="s">
        <v>374</v>
      </c>
      <c r="H3114" s="524">
        <v>33.159999999999997</v>
      </c>
      <c r="I3114" s="524">
        <v>2.7000000000000001E-3</v>
      </c>
      <c r="J3114"/>
    </row>
    <row r="3115" spans="1:10" ht="15" customHeight="1" x14ac:dyDescent="0.3">
      <c r="A3115" s="902"/>
      <c r="B3115" s="902"/>
      <c r="C3115" s="902"/>
      <c r="D3115" s="902"/>
      <c r="E3115" s="902"/>
      <c r="F3115" s="902" t="s">
        <v>2585</v>
      </c>
      <c r="G3115" s="902"/>
      <c r="H3115" s="902"/>
      <c r="I3115" s="525">
        <v>0.46560000000000001</v>
      </c>
      <c r="J3115"/>
    </row>
    <row r="3116" spans="1:10" s="358" customFormat="1" ht="15" customHeight="1" x14ac:dyDescent="0.3">
      <c r="A3116" s="516" t="s">
        <v>2586</v>
      </c>
      <c r="B3116" s="517" t="s">
        <v>16</v>
      </c>
      <c r="C3116" s="516" t="s">
        <v>2437</v>
      </c>
      <c r="D3116" s="516" t="s">
        <v>2587</v>
      </c>
      <c r="E3116" s="517" t="s">
        <v>2467</v>
      </c>
      <c r="F3116" s="517" t="s">
        <v>2576</v>
      </c>
      <c r="G3116" s="908" t="s">
        <v>2588</v>
      </c>
      <c r="H3116" s="903"/>
      <c r="I3116" s="517" t="s">
        <v>2470</v>
      </c>
      <c r="J3116"/>
    </row>
    <row r="3117" spans="1:10" x14ac:dyDescent="0.3">
      <c r="A3117" s="518"/>
      <c r="B3117" s="518"/>
      <c r="C3117" s="518"/>
      <c r="D3117" s="518"/>
      <c r="E3117" s="518"/>
      <c r="F3117" s="518"/>
      <c r="G3117" s="518" t="s">
        <v>2589</v>
      </c>
      <c r="H3117" s="518" t="s">
        <v>2590</v>
      </c>
      <c r="I3117" s="518"/>
      <c r="J3117"/>
    </row>
    <row r="3118" spans="1:10" s="358" customFormat="1" ht="37.5" x14ac:dyDescent="0.3">
      <c r="A3118" s="519" t="s">
        <v>2587</v>
      </c>
      <c r="B3118" s="520" t="s">
        <v>125</v>
      </c>
      <c r="C3118" s="519" t="s">
        <v>3603</v>
      </c>
      <c r="D3118" s="519" t="s">
        <v>3615</v>
      </c>
      <c r="E3118" s="522">
        <v>1.3729999999999999E-2</v>
      </c>
      <c r="F3118" s="521" t="s">
        <v>2592</v>
      </c>
      <c r="G3118" s="520" t="s">
        <v>4472</v>
      </c>
      <c r="H3118" s="520" t="s">
        <v>4473</v>
      </c>
      <c r="I3118" s="524">
        <v>0</v>
      </c>
      <c r="J3118"/>
    </row>
    <row r="3119" spans="1:10" ht="15" customHeight="1" x14ac:dyDescent="0.3">
      <c r="A3119" s="519" t="s">
        <v>2587</v>
      </c>
      <c r="B3119" s="520" t="s">
        <v>125</v>
      </c>
      <c r="C3119" s="519" t="s">
        <v>3605</v>
      </c>
      <c r="D3119" s="519" t="s">
        <v>3616</v>
      </c>
      <c r="E3119" s="522">
        <v>2.3000000000000001E-4</v>
      </c>
      <c r="F3119" s="521" t="s">
        <v>2592</v>
      </c>
      <c r="G3119" s="520" t="s">
        <v>4472</v>
      </c>
      <c r="H3119" s="520" t="s">
        <v>4473</v>
      </c>
      <c r="I3119" s="524">
        <v>0</v>
      </c>
      <c r="J3119"/>
    </row>
    <row r="3120" spans="1:10" ht="37.5" x14ac:dyDescent="0.3">
      <c r="A3120" s="519" t="s">
        <v>2587</v>
      </c>
      <c r="B3120" s="520" t="s">
        <v>125</v>
      </c>
      <c r="C3120" s="519" t="s">
        <v>3607</v>
      </c>
      <c r="D3120" s="519" t="s">
        <v>3617</v>
      </c>
      <c r="E3120" s="522">
        <v>8.0000000000000007E-5</v>
      </c>
      <c r="F3120" s="521" t="s">
        <v>2592</v>
      </c>
      <c r="G3120" s="520" t="s">
        <v>4472</v>
      </c>
      <c r="H3120" s="520" t="s">
        <v>4473</v>
      </c>
      <c r="I3120" s="524">
        <v>0</v>
      </c>
      <c r="J3120"/>
    </row>
    <row r="3121" spans="1:10" ht="15" customHeight="1" thickBot="1" x14ac:dyDescent="0.35">
      <c r="A3121" s="902"/>
      <c r="B3121" s="902"/>
      <c r="C3121" s="902"/>
      <c r="D3121" s="902"/>
      <c r="E3121" s="902"/>
      <c r="F3121" s="902" t="s">
        <v>2593</v>
      </c>
      <c r="G3121" s="902"/>
      <c r="H3121" s="902"/>
      <c r="I3121" s="525">
        <v>0</v>
      </c>
      <c r="J3121"/>
    </row>
    <row r="3122" spans="1:10" ht="14.5" thickTop="1" x14ac:dyDescent="0.3">
      <c r="A3122" s="647"/>
      <c r="B3122" s="647"/>
      <c r="C3122" s="647"/>
      <c r="D3122" s="647"/>
      <c r="E3122" s="647"/>
      <c r="F3122" s="647"/>
      <c r="G3122" s="647"/>
      <c r="H3122" s="647"/>
      <c r="I3122" s="647"/>
      <c r="J3122"/>
    </row>
    <row r="3123" spans="1:10" x14ac:dyDescent="0.3">
      <c r="A3123" s="516"/>
      <c r="B3123" s="517" t="s">
        <v>15</v>
      </c>
      <c r="C3123" s="516" t="s">
        <v>16</v>
      </c>
      <c r="D3123" s="516" t="s">
        <v>17</v>
      </c>
      <c r="E3123" s="904" t="s">
        <v>2431</v>
      </c>
      <c r="F3123" s="904"/>
      <c r="G3123" s="518" t="s">
        <v>18</v>
      </c>
      <c r="H3123" s="517" t="s">
        <v>19</v>
      </c>
      <c r="I3123" s="517" t="s">
        <v>20</v>
      </c>
      <c r="J3123" s="517" t="s">
        <v>23</v>
      </c>
    </row>
    <row r="3124" spans="1:10" ht="25" x14ac:dyDescent="0.3">
      <c r="A3124" s="642" t="s">
        <v>2432</v>
      </c>
      <c r="B3124" s="643" t="s">
        <v>3618</v>
      </c>
      <c r="C3124" s="642" t="s">
        <v>125</v>
      </c>
      <c r="D3124" s="642" t="s">
        <v>3111</v>
      </c>
      <c r="E3124" s="906" t="s">
        <v>1328</v>
      </c>
      <c r="F3124" s="906"/>
      <c r="G3124" s="644" t="s">
        <v>118</v>
      </c>
      <c r="H3124" s="645">
        <v>1</v>
      </c>
      <c r="I3124" s="646">
        <v>448.91</v>
      </c>
      <c r="J3124" s="646">
        <v>448.91</v>
      </c>
    </row>
    <row r="3125" spans="1:10" ht="14.25" customHeight="1" x14ac:dyDescent="0.3">
      <c r="A3125" s="904" t="s">
        <v>2418</v>
      </c>
      <c r="B3125" s="903" t="s">
        <v>15</v>
      </c>
      <c r="C3125" s="904" t="s">
        <v>16</v>
      </c>
      <c r="D3125" s="904" t="s">
        <v>2466</v>
      </c>
      <c r="E3125" s="903" t="s">
        <v>2467</v>
      </c>
      <c r="F3125" s="908" t="s">
        <v>2468</v>
      </c>
      <c r="G3125" s="903"/>
      <c r="H3125" s="518" t="s">
        <v>2469</v>
      </c>
      <c r="I3125" s="903" t="s">
        <v>2470</v>
      </c>
      <c r="J3125"/>
    </row>
    <row r="3126" spans="1:10" ht="14.25" customHeight="1" x14ac:dyDescent="0.3">
      <c r="A3126" s="903"/>
      <c r="B3126" s="903"/>
      <c r="C3126" s="903"/>
      <c r="D3126" s="903"/>
      <c r="E3126" s="903"/>
      <c r="F3126" s="517" t="s">
        <v>2471</v>
      </c>
      <c r="G3126" s="517" t="s">
        <v>2472</v>
      </c>
      <c r="H3126" s="517" t="s">
        <v>2471</v>
      </c>
      <c r="I3126" s="903"/>
      <c r="J3126"/>
    </row>
    <row r="3127" spans="1:10" ht="14.25" customHeight="1" x14ac:dyDescent="0.3">
      <c r="A3127" s="519" t="s">
        <v>2437</v>
      </c>
      <c r="B3127" s="520" t="s">
        <v>3619</v>
      </c>
      <c r="C3127" s="519" t="s">
        <v>125</v>
      </c>
      <c r="D3127" s="519" t="s">
        <v>4358</v>
      </c>
      <c r="E3127" s="522">
        <v>1</v>
      </c>
      <c r="F3127" s="523">
        <v>1</v>
      </c>
      <c r="G3127" s="523">
        <v>0</v>
      </c>
      <c r="H3127" s="524">
        <v>1.0383</v>
      </c>
      <c r="I3127" s="524">
        <v>1.0383</v>
      </c>
      <c r="J3127"/>
    </row>
    <row r="3128" spans="1:10" x14ac:dyDescent="0.3">
      <c r="A3128" s="519" t="s">
        <v>2437</v>
      </c>
      <c r="B3128" s="520" t="s">
        <v>3162</v>
      </c>
      <c r="C3128" s="519" t="s">
        <v>125</v>
      </c>
      <c r="D3128" s="519" t="s">
        <v>3163</v>
      </c>
      <c r="E3128" s="522">
        <v>1</v>
      </c>
      <c r="F3128" s="523">
        <v>1</v>
      </c>
      <c r="G3128" s="523">
        <v>0</v>
      </c>
      <c r="H3128" s="524">
        <v>49.805100000000003</v>
      </c>
      <c r="I3128" s="524">
        <v>49.805100000000003</v>
      </c>
      <c r="J3128"/>
    </row>
    <row r="3129" spans="1:10" ht="14.25" customHeight="1" x14ac:dyDescent="0.3">
      <c r="A3129" s="519" t="s">
        <v>2437</v>
      </c>
      <c r="B3129" s="520" t="s">
        <v>2887</v>
      </c>
      <c r="C3129" s="519" t="s">
        <v>125</v>
      </c>
      <c r="D3129" s="519" t="s">
        <v>2888</v>
      </c>
      <c r="E3129" s="522">
        <v>4</v>
      </c>
      <c r="F3129" s="523">
        <v>0.9</v>
      </c>
      <c r="G3129" s="523">
        <v>0.1</v>
      </c>
      <c r="H3129" s="524">
        <v>0.68179999999999996</v>
      </c>
      <c r="I3129" s="524">
        <v>2.6398999999999999</v>
      </c>
      <c r="J3129"/>
    </row>
    <row r="3130" spans="1:10" ht="14.25" customHeight="1" x14ac:dyDescent="0.3">
      <c r="A3130" s="519" t="s">
        <v>2437</v>
      </c>
      <c r="B3130" s="520" t="s">
        <v>3164</v>
      </c>
      <c r="C3130" s="519" t="s">
        <v>125</v>
      </c>
      <c r="D3130" s="519" t="s">
        <v>3165</v>
      </c>
      <c r="E3130" s="522">
        <v>3</v>
      </c>
      <c r="F3130" s="523">
        <v>0.41</v>
      </c>
      <c r="G3130" s="523">
        <v>0.59</v>
      </c>
      <c r="H3130" s="524">
        <v>1.5432999999999999</v>
      </c>
      <c r="I3130" s="524">
        <v>3.7553000000000001</v>
      </c>
      <c r="J3130"/>
    </row>
    <row r="3131" spans="1:10" ht="15" customHeight="1" x14ac:dyDescent="0.3">
      <c r="A3131" s="902"/>
      <c r="B3131" s="902"/>
      <c r="C3131" s="902"/>
      <c r="D3131" s="902"/>
      <c r="E3131" s="902"/>
      <c r="F3131" s="902" t="s">
        <v>2475</v>
      </c>
      <c r="G3131" s="902"/>
      <c r="H3131" s="902"/>
      <c r="I3131" s="525">
        <v>57.238599999999998</v>
      </c>
      <c r="J3131"/>
    </row>
    <row r="3132" spans="1:10" ht="14.25" customHeight="1" x14ac:dyDescent="0.3">
      <c r="A3132" s="902"/>
      <c r="B3132" s="902"/>
      <c r="C3132" s="902"/>
      <c r="D3132" s="902"/>
      <c r="E3132" s="902"/>
      <c r="F3132" s="902" t="s">
        <v>2476</v>
      </c>
      <c r="G3132" s="902"/>
      <c r="H3132" s="902"/>
      <c r="I3132" s="525">
        <v>57.238599999999998</v>
      </c>
      <c r="J3132"/>
    </row>
    <row r="3133" spans="1:10" ht="14.25" customHeight="1" x14ac:dyDescent="0.3">
      <c r="A3133" s="902"/>
      <c r="B3133" s="902"/>
      <c r="C3133" s="902"/>
      <c r="D3133" s="902"/>
      <c r="E3133" s="902"/>
      <c r="F3133" s="902" t="s">
        <v>2477</v>
      </c>
      <c r="G3133" s="902"/>
      <c r="H3133" s="902"/>
      <c r="I3133" s="525">
        <v>0</v>
      </c>
      <c r="J3133"/>
    </row>
    <row r="3134" spans="1:10" x14ac:dyDescent="0.3">
      <c r="A3134" s="902"/>
      <c r="B3134" s="902"/>
      <c r="C3134" s="902"/>
      <c r="D3134" s="902"/>
      <c r="E3134" s="902"/>
      <c r="F3134" s="902" t="s">
        <v>2478</v>
      </c>
      <c r="G3134" s="902"/>
      <c r="H3134" s="902"/>
      <c r="I3134" s="525">
        <v>0</v>
      </c>
      <c r="J3134"/>
    </row>
    <row r="3135" spans="1:10" ht="14.25" customHeight="1" x14ac:dyDescent="0.3">
      <c r="A3135" s="902"/>
      <c r="B3135" s="902"/>
      <c r="C3135" s="902"/>
      <c r="D3135" s="902"/>
      <c r="E3135" s="902"/>
      <c r="F3135" s="902" t="s">
        <v>2479</v>
      </c>
      <c r="G3135" s="902"/>
      <c r="H3135" s="902"/>
      <c r="I3135" s="525">
        <v>3.9289999999999998</v>
      </c>
      <c r="J3135"/>
    </row>
    <row r="3136" spans="1:10" ht="14.25" customHeight="1" x14ac:dyDescent="0.3">
      <c r="A3136" s="902"/>
      <c r="B3136" s="902"/>
      <c r="C3136" s="902"/>
      <c r="D3136" s="902"/>
      <c r="E3136" s="902"/>
      <c r="F3136" s="902" t="s">
        <v>2480</v>
      </c>
      <c r="G3136" s="902"/>
      <c r="H3136" s="902"/>
      <c r="I3136" s="525">
        <v>14.568300000000001</v>
      </c>
      <c r="J3136"/>
    </row>
    <row r="3137" spans="1:10" ht="14.25" customHeight="1" x14ac:dyDescent="0.3">
      <c r="A3137" s="516" t="s">
        <v>2420</v>
      </c>
      <c r="B3137" s="517" t="s">
        <v>16</v>
      </c>
      <c r="C3137" s="516" t="s">
        <v>15</v>
      </c>
      <c r="D3137" s="516" t="s">
        <v>2442</v>
      </c>
      <c r="E3137" s="517" t="s">
        <v>2467</v>
      </c>
      <c r="F3137" s="517" t="s">
        <v>2576</v>
      </c>
      <c r="G3137" s="903" t="s">
        <v>2577</v>
      </c>
      <c r="H3137" s="903"/>
      <c r="I3137" s="517" t="s">
        <v>2470</v>
      </c>
      <c r="J3137"/>
    </row>
    <row r="3138" spans="1:10" ht="15" customHeight="1" x14ac:dyDescent="0.3">
      <c r="A3138" s="519" t="s">
        <v>2437</v>
      </c>
      <c r="B3138" s="520" t="s">
        <v>125</v>
      </c>
      <c r="C3138" s="519" t="s">
        <v>3620</v>
      </c>
      <c r="D3138" s="519" t="s">
        <v>3621</v>
      </c>
      <c r="E3138" s="522">
        <v>0.84645999999999999</v>
      </c>
      <c r="F3138" s="521" t="s">
        <v>384</v>
      </c>
      <c r="G3138" s="907">
        <v>6.6337999999999999</v>
      </c>
      <c r="H3138" s="907"/>
      <c r="I3138" s="524">
        <v>5.6151999999999997</v>
      </c>
      <c r="J3138"/>
    </row>
    <row r="3139" spans="1:10" x14ac:dyDescent="0.3">
      <c r="A3139" s="519" t="s">
        <v>2437</v>
      </c>
      <c r="B3139" s="520" t="s">
        <v>125</v>
      </c>
      <c r="C3139" s="519" t="s">
        <v>3166</v>
      </c>
      <c r="D3139" s="519" t="s">
        <v>3167</v>
      </c>
      <c r="E3139" s="522">
        <v>0.63334000000000001</v>
      </c>
      <c r="F3139" s="521" t="s">
        <v>118</v>
      </c>
      <c r="G3139" s="907">
        <v>165.1438</v>
      </c>
      <c r="H3139" s="907"/>
      <c r="I3139" s="524">
        <v>104.59220000000001</v>
      </c>
      <c r="J3139"/>
    </row>
    <row r="3140" spans="1:10" x14ac:dyDescent="0.3">
      <c r="A3140" s="519" t="s">
        <v>2437</v>
      </c>
      <c r="B3140" s="520" t="s">
        <v>125</v>
      </c>
      <c r="C3140" s="519" t="s">
        <v>3622</v>
      </c>
      <c r="D3140" s="519" t="s">
        <v>2819</v>
      </c>
      <c r="E3140" s="522">
        <v>0.36753999999999998</v>
      </c>
      <c r="F3140" s="521" t="s">
        <v>118</v>
      </c>
      <c r="G3140" s="907">
        <v>120.4661</v>
      </c>
      <c r="H3140" s="907"/>
      <c r="I3140" s="524">
        <v>44.2761</v>
      </c>
      <c r="J3140"/>
    </row>
    <row r="3141" spans="1:10" ht="14.25" customHeight="1" x14ac:dyDescent="0.3">
      <c r="A3141" s="519" t="s">
        <v>2437</v>
      </c>
      <c r="B3141" s="520" t="s">
        <v>125</v>
      </c>
      <c r="C3141" s="519" t="s">
        <v>2807</v>
      </c>
      <c r="D3141" s="519" t="s">
        <v>2808</v>
      </c>
      <c r="E3141" s="522">
        <v>0.36753999999999998</v>
      </c>
      <c r="F3141" s="521" t="s">
        <v>118</v>
      </c>
      <c r="G3141" s="907">
        <v>120.2563</v>
      </c>
      <c r="H3141" s="907"/>
      <c r="I3141" s="524">
        <v>44.198999999999998</v>
      </c>
      <c r="J3141"/>
    </row>
    <row r="3142" spans="1:10" ht="15" customHeight="1" x14ac:dyDescent="0.3">
      <c r="A3142" s="519" t="s">
        <v>2437</v>
      </c>
      <c r="B3142" s="520" t="s">
        <v>125</v>
      </c>
      <c r="C3142" s="519" t="s">
        <v>3168</v>
      </c>
      <c r="D3142" s="519" t="s">
        <v>3169</v>
      </c>
      <c r="E3142" s="522">
        <v>282.15206999999998</v>
      </c>
      <c r="F3142" s="521" t="s">
        <v>384</v>
      </c>
      <c r="G3142" s="907">
        <v>0.57099999999999995</v>
      </c>
      <c r="H3142" s="907"/>
      <c r="I3142" s="524">
        <v>161.1088</v>
      </c>
      <c r="J3142"/>
    </row>
    <row r="3143" spans="1:10" ht="14.25" customHeight="1" x14ac:dyDescent="0.3">
      <c r="A3143" s="902"/>
      <c r="B3143" s="902"/>
      <c r="C3143" s="902"/>
      <c r="D3143" s="902"/>
      <c r="E3143" s="902"/>
      <c r="F3143" s="902" t="s">
        <v>2809</v>
      </c>
      <c r="G3143" s="902"/>
      <c r="H3143" s="902"/>
      <c r="I3143" s="525">
        <v>359.79129999999998</v>
      </c>
      <c r="J3143"/>
    </row>
    <row r="3144" spans="1:10" ht="15" customHeight="1" x14ac:dyDescent="0.3">
      <c r="A3144" s="516" t="s">
        <v>2574</v>
      </c>
      <c r="B3144" s="517" t="s">
        <v>16</v>
      </c>
      <c r="C3144" s="516" t="s">
        <v>15</v>
      </c>
      <c r="D3144" s="516" t="s">
        <v>2575</v>
      </c>
      <c r="E3144" s="517" t="s">
        <v>2467</v>
      </c>
      <c r="F3144" s="517" t="s">
        <v>2576</v>
      </c>
      <c r="G3144" s="903" t="s">
        <v>2577</v>
      </c>
      <c r="H3144" s="903"/>
      <c r="I3144" s="517" t="s">
        <v>2470</v>
      </c>
      <c r="J3144"/>
    </row>
    <row r="3145" spans="1:10" ht="25" x14ac:dyDescent="0.3">
      <c r="A3145" s="519" t="s">
        <v>2578</v>
      </c>
      <c r="B3145" s="520" t="s">
        <v>32</v>
      </c>
      <c r="C3145" s="519">
        <v>88309</v>
      </c>
      <c r="D3145" s="519" t="s">
        <v>2758</v>
      </c>
      <c r="E3145" s="522">
        <v>0.25451829999999998</v>
      </c>
      <c r="F3145" s="521" t="s">
        <v>1901</v>
      </c>
      <c r="G3145" s="907">
        <v>31.1</v>
      </c>
      <c r="H3145" s="907"/>
      <c r="I3145" s="524">
        <v>7.9154999999999998</v>
      </c>
      <c r="J3145"/>
    </row>
    <row r="3146" spans="1:10" ht="25" x14ac:dyDescent="0.3">
      <c r="A3146" s="519" t="s">
        <v>2578</v>
      </c>
      <c r="B3146" s="520" t="s">
        <v>32</v>
      </c>
      <c r="C3146" s="519">
        <v>88316</v>
      </c>
      <c r="D3146" s="519" t="s">
        <v>2562</v>
      </c>
      <c r="E3146" s="522">
        <v>2.2906650000000002</v>
      </c>
      <c r="F3146" s="521" t="s">
        <v>1901</v>
      </c>
      <c r="G3146" s="907">
        <v>23.4</v>
      </c>
      <c r="H3146" s="907"/>
      <c r="I3146" s="524">
        <v>53.601599999999998</v>
      </c>
      <c r="J3146"/>
    </row>
    <row r="3147" spans="1:10" ht="14.25" customHeight="1" x14ac:dyDescent="0.3">
      <c r="A3147" s="902"/>
      <c r="B3147" s="902"/>
      <c r="C3147" s="902"/>
      <c r="D3147" s="902"/>
      <c r="E3147" s="902"/>
      <c r="F3147" s="902" t="s">
        <v>2579</v>
      </c>
      <c r="G3147" s="902"/>
      <c r="H3147" s="902"/>
      <c r="I3147" s="525">
        <v>61.517099999999999</v>
      </c>
      <c r="J3147"/>
    </row>
    <row r="3148" spans="1:10" ht="14.25" customHeight="1" x14ac:dyDescent="0.3">
      <c r="A3148" s="516" t="s">
        <v>2580</v>
      </c>
      <c r="B3148" s="517" t="s">
        <v>16</v>
      </c>
      <c r="C3148" s="516" t="s">
        <v>2437</v>
      </c>
      <c r="D3148" s="516" t="s">
        <v>2581</v>
      </c>
      <c r="E3148" s="517" t="s">
        <v>15</v>
      </c>
      <c r="F3148" s="517" t="s">
        <v>2467</v>
      </c>
      <c r="G3148" s="518" t="s">
        <v>2576</v>
      </c>
      <c r="H3148" s="517" t="s">
        <v>2577</v>
      </c>
      <c r="I3148" s="517" t="s">
        <v>2470</v>
      </c>
      <c r="J3148"/>
    </row>
    <row r="3149" spans="1:10" ht="15" customHeight="1" x14ac:dyDescent="0.3">
      <c r="A3149" s="519" t="s">
        <v>2582</v>
      </c>
      <c r="B3149" s="520" t="s">
        <v>125</v>
      </c>
      <c r="C3149" s="519" t="s">
        <v>3620</v>
      </c>
      <c r="D3149" s="519" t="s">
        <v>2838</v>
      </c>
      <c r="E3149" s="520">
        <v>5914655</v>
      </c>
      <c r="F3149" s="522">
        <v>8.4999999999999995E-4</v>
      </c>
      <c r="G3149" s="521" t="s">
        <v>374</v>
      </c>
      <c r="H3149" s="524">
        <v>33.159999999999997</v>
      </c>
      <c r="I3149" s="524">
        <v>2.8199999999999999E-2</v>
      </c>
      <c r="J3149"/>
    </row>
    <row r="3150" spans="1:10" ht="25" x14ac:dyDescent="0.3">
      <c r="A3150" s="519" t="s">
        <v>2582</v>
      </c>
      <c r="B3150" s="520" t="s">
        <v>125</v>
      </c>
      <c r="C3150" s="519" t="s">
        <v>3166</v>
      </c>
      <c r="D3150" s="519" t="s">
        <v>2810</v>
      </c>
      <c r="E3150" s="520">
        <v>5914647</v>
      </c>
      <c r="F3150" s="522">
        <v>0.95001000000000002</v>
      </c>
      <c r="G3150" s="521" t="s">
        <v>374</v>
      </c>
      <c r="H3150" s="524">
        <v>1.78</v>
      </c>
      <c r="I3150" s="524">
        <v>1.6910000000000001</v>
      </c>
      <c r="J3150"/>
    </row>
    <row r="3151" spans="1:10" ht="25" x14ac:dyDescent="0.3">
      <c r="A3151" s="519" t="s">
        <v>2582</v>
      </c>
      <c r="B3151" s="520" t="s">
        <v>125</v>
      </c>
      <c r="C3151" s="519" t="s">
        <v>3622</v>
      </c>
      <c r="D3151" s="519" t="s">
        <v>2810</v>
      </c>
      <c r="E3151" s="520">
        <v>5914647</v>
      </c>
      <c r="F3151" s="522">
        <v>0.55130999999999997</v>
      </c>
      <c r="G3151" s="521" t="s">
        <v>374</v>
      </c>
      <c r="H3151" s="524">
        <v>1.78</v>
      </c>
      <c r="I3151" s="524">
        <v>0.98129999999999995</v>
      </c>
      <c r="J3151"/>
    </row>
    <row r="3152" spans="1:10" ht="25" x14ac:dyDescent="0.3">
      <c r="A3152" s="519" t="s">
        <v>2582</v>
      </c>
      <c r="B3152" s="520" t="s">
        <v>125</v>
      </c>
      <c r="C3152" s="519" t="s">
        <v>2807</v>
      </c>
      <c r="D3152" s="519" t="s">
        <v>2810</v>
      </c>
      <c r="E3152" s="520">
        <v>5914647</v>
      </c>
      <c r="F3152" s="522">
        <v>0.55130999999999997</v>
      </c>
      <c r="G3152" s="521" t="s">
        <v>374</v>
      </c>
      <c r="H3152" s="524">
        <v>1.78</v>
      </c>
      <c r="I3152" s="524">
        <v>0.98129999999999995</v>
      </c>
      <c r="J3152"/>
    </row>
    <row r="3153" spans="1:10" ht="25" x14ac:dyDescent="0.3">
      <c r="A3153" s="519" t="s">
        <v>2582</v>
      </c>
      <c r="B3153" s="520" t="s">
        <v>125</v>
      </c>
      <c r="C3153" s="519" t="s">
        <v>3168</v>
      </c>
      <c r="D3153" s="519" t="s">
        <v>2838</v>
      </c>
      <c r="E3153" s="520">
        <v>5914655</v>
      </c>
      <c r="F3153" s="522">
        <v>0.28215000000000001</v>
      </c>
      <c r="G3153" s="521" t="s">
        <v>374</v>
      </c>
      <c r="H3153" s="524">
        <v>33.159999999999997</v>
      </c>
      <c r="I3153" s="524">
        <v>9.3560999999999996</v>
      </c>
      <c r="J3153"/>
    </row>
    <row r="3154" spans="1:10" ht="14.25" customHeight="1" x14ac:dyDescent="0.3">
      <c r="A3154" s="902"/>
      <c r="B3154" s="902"/>
      <c r="C3154" s="902"/>
      <c r="D3154" s="902"/>
      <c r="E3154" s="902"/>
      <c r="F3154" s="902" t="s">
        <v>2585</v>
      </c>
      <c r="G3154" s="902"/>
      <c r="H3154" s="902"/>
      <c r="I3154" s="525">
        <v>13.0379</v>
      </c>
      <c r="J3154"/>
    </row>
    <row r="3155" spans="1:10" ht="15" customHeight="1" x14ac:dyDescent="0.3">
      <c r="A3155" s="516" t="s">
        <v>2586</v>
      </c>
      <c r="B3155" s="517" t="s">
        <v>16</v>
      </c>
      <c r="C3155" s="516" t="s">
        <v>2437</v>
      </c>
      <c r="D3155" s="516" t="s">
        <v>2587</v>
      </c>
      <c r="E3155" s="517" t="s">
        <v>2467</v>
      </c>
      <c r="F3155" s="517" t="s">
        <v>2576</v>
      </c>
      <c r="G3155" s="908" t="s">
        <v>2588</v>
      </c>
      <c r="H3155" s="903"/>
      <c r="I3155" s="517" t="s">
        <v>2470</v>
      </c>
      <c r="J3155"/>
    </row>
    <row r="3156" spans="1:10" ht="15" customHeight="1" x14ac:dyDescent="0.3">
      <c r="A3156" s="518"/>
      <c r="B3156" s="518"/>
      <c r="C3156" s="518"/>
      <c r="D3156" s="518"/>
      <c r="E3156" s="518"/>
      <c r="F3156" s="518"/>
      <c r="G3156" s="518" t="s">
        <v>2589</v>
      </c>
      <c r="H3156" s="518" t="s">
        <v>2590</v>
      </c>
      <c r="I3156" s="518"/>
      <c r="J3156"/>
    </row>
    <row r="3157" spans="1:10" s="358" customFormat="1" ht="37.5" x14ac:dyDescent="0.3">
      <c r="A3157" s="519" t="s">
        <v>2587</v>
      </c>
      <c r="B3157" s="520" t="s">
        <v>125</v>
      </c>
      <c r="C3157" s="519" t="s">
        <v>3620</v>
      </c>
      <c r="D3157" s="519" t="s">
        <v>3623</v>
      </c>
      <c r="E3157" s="522">
        <v>8.4999999999999995E-4</v>
      </c>
      <c r="F3157" s="521" t="s">
        <v>2592</v>
      </c>
      <c r="G3157" s="520" t="s">
        <v>4472</v>
      </c>
      <c r="H3157" s="520" t="s">
        <v>4473</v>
      </c>
      <c r="I3157" s="524">
        <v>0</v>
      </c>
      <c r="J3157"/>
    </row>
    <row r="3158" spans="1:10" ht="37.5" x14ac:dyDescent="0.3">
      <c r="A3158" s="519" t="s">
        <v>2587</v>
      </c>
      <c r="B3158" s="520" t="s">
        <v>125</v>
      </c>
      <c r="C3158" s="519" t="s">
        <v>3166</v>
      </c>
      <c r="D3158" s="519" t="s">
        <v>3170</v>
      </c>
      <c r="E3158" s="522">
        <v>0.95001000000000002</v>
      </c>
      <c r="F3158" s="521" t="s">
        <v>2592</v>
      </c>
      <c r="G3158" s="520" t="s">
        <v>4468</v>
      </c>
      <c r="H3158" s="520" t="s">
        <v>4469</v>
      </c>
      <c r="I3158" s="524">
        <v>0</v>
      </c>
      <c r="J3158"/>
    </row>
    <row r="3159" spans="1:10" s="358" customFormat="1" ht="37.5" x14ac:dyDescent="0.3">
      <c r="A3159" s="519" t="s">
        <v>2587</v>
      </c>
      <c r="B3159" s="520" t="s">
        <v>125</v>
      </c>
      <c r="C3159" s="519" t="s">
        <v>3622</v>
      </c>
      <c r="D3159" s="519" t="s">
        <v>3624</v>
      </c>
      <c r="E3159" s="522">
        <v>0.55130999999999997</v>
      </c>
      <c r="F3159" s="521" t="s">
        <v>2592</v>
      </c>
      <c r="G3159" s="520" t="s">
        <v>4468</v>
      </c>
      <c r="H3159" s="520" t="s">
        <v>4469</v>
      </c>
      <c r="I3159" s="524">
        <v>0</v>
      </c>
      <c r="J3159"/>
    </row>
    <row r="3160" spans="1:10" ht="15" customHeight="1" x14ac:dyDescent="0.3">
      <c r="A3160" s="519" t="s">
        <v>2587</v>
      </c>
      <c r="B3160" s="520" t="s">
        <v>125</v>
      </c>
      <c r="C3160" s="519" t="s">
        <v>2807</v>
      </c>
      <c r="D3160" s="519" t="s">
        <v>2811</v>
      </c>
      <c r="E3160" s="522">
        <v>0.55130999999999997</v>
      </c>
      <c r="F3160" s="521" t="s">
        <v>2592</v>
      </c>
      <c r="G3160" s="520" t="s">
        <v>4468</v>
      </c>
      <c r="H3160" s="520" t="s">
        <v>4469</v>
      </c>
      <c r="I3160" s="524">
        <v>0</v>
      </c>
      <c r="J3160"/>
    </row>
    <row r="3161" spans="1:10" ht="37.5" x14ac:dyDescent="0.3">
      <c r="A3161" s="519" t="s">
        <v>2587</v>
      </c>
      <c r="B3161" s="520" t="s">
        <v>125</v>
      </c>
      <c r="C3161" s="519" t="s">
        <v>3168</v>
      </c>
      <c r="D3161" s="519" t="s">
        <v>3171</v>
      </c>
      <c r="E3161" s="522">
        <v>0.28215000000000001</v>
      </c>
      <c r="F3161" s="521" t="s">
        <v>2592</v>
      </c>
      <c r="G3161" s="520" t="s">
        <v>4472</v>
      </c>
      <c r="H3161" s="520" t="s">
        <v>4473</v>
      </c>
      <c r="I3161" s="524">
        <v>0</v>
      </c>
      <c r="J3161"/>
    </row>
    <row r="3162" spans="1:10" ht="15" customHeight="1" thickBot="1" x14ac:dyDescent="0.35">
      <c r="A3162" s="902"/>
      <c r="B3162" s="902"/>
      <c r="C3162" s="902"/>
      <c r="D3162" s="902"/>
      <c r="E3162" s="902"/>
      <c r="F3162" s="902" t="s">
        <v>2593</v>
      </c>
      <c r="G3162" s="902"/>
      <c r="H3162" s="902"/>
      <c r="I3162" s="525">
        <v>0</v>
      </c>
      <c r="J3162"/>
    </row>
    <row r="3163" spans="1:10" ht="14.5" thickTop="1" x14ac:dyDescent="0.3">
      <c r="A3163" s="647"/>
      <c r="B3163" s="647"/>
      <c r="C3163" s="647"/>
      <c r="D3163" s="647"/>
      <c r="E3163" s="647"/>
      <c r="F3163" s="647"/>
      <c r="G3163" s="647"/>
      <c r="H3163" s="647"/>
      <c r="I3163" s="647"/>
      <c r="J3163"/>
    </row>
    <row r="3164" spans="1:10" ht="14.25" customHeight="1" x14ac:dyDescent="0.3">
      <c r="A3164" s="516"/>
      <c r="B3164" s="517" t="s">
        <v>15</v>
      </c>
      <c r="C3164" s="516" t="s">
        <v>16</v>
      </c>
      <c r="D3164" s="516" t="s">
        <v>17</v>
      </c>
      <c r="E3164" s="904" t="s">
        <v>2431</v>
      </c>
      <c r="F3164" s="904"/>
      <c r="G3164" s="518" t="s">
        <v>18</v>
      </c>
      <c r="H3164" s="517" t="s">
        <v>19</v>
      </c>
      <c r="I3164" s="517" t="s">
        <v>20</v>
      </c>
      <c r="J3164" s="517" t="s">
        <v>23</v>
      </c>
    </row>
    <row r="3165" spans="1:10" ht="14.25" customHeight="1" x14ac:dyDescent="0.3">
      <c r="A3165" s="642" t="s">
        <v>2432</v>
      </c>
      <c r="B3165" s="643" t="s">
        <v>3625</v>
      </c>
      <c r="C3165" s="642" t="s">
        <v>125</v>
      </c>
      <c r="D3165" s="642" t="s">
        <v>3611</v>
      </c>
      <c r="E3165" s="906" t="s">
        <v>1328</v>
      </c>
      <c r="F3165" s="906"/>
      <c r="G3165" s="644" t="s">
        <v>600</v>
      </c>
      <c r="H3165" s="645">
        <v>1</v>
      </c>
      <c r="I3165" s="646">
        <v>0.19</v>
      </c>
      <c r="J3165" s="646">
        <v>0.19</v>
      </c>
    </row>
    <row r="3166" spans="1:10" ht="14.25" customHeight="1" x14ac:dyDescent="0.3">
      <c r="A3166" s="904" t="s">
        <v>2418</v>
      </c>
      <c r="B3166" s="903" t="s">
        <v>15</v>
      </c>
      <c r="C3166" s="904" t="s">
        <v>16</v>
      </c>
      <c r="D3166" s="904" t="s">
        <v>2466</v>
      </c>
      <c r="E3166" s="903" t="s">
        <v>2467</v>
      </c>
      <c r="F3166" s="908" t="s">
        <v>2468</v>
      </c>
      <c r="G3166" s="903"/>
      <c r="H3166" s="518" t="s">
        <v>2469</v>
      </c>
      <c r="I3166" s="903" t="s">
        <v>2470</v>
      </c>
      <c r="J3166"/>
    </row>
    <row r="3167" spans="1:10" x14ac:dyDescent="0.3">
      <c r="A3167" s="903"/>
      <c r="B3167" s="903"/>
      <c r="C3167" s="903"/>
      <c r="D3167" s="903"/>
      <c r="E3167" s="903"/>
      <c r="F3167" s="517" t="s">
        <v>2471</v>
      </c>
      <c r="G3167" s="517" t="s">
        <v>2472</v>
      </c>
      <c r="H3167" s="517" t="s">
        <v>2471</v>
      </c>
      <c r="I3167" s="903"/>
      <c r="J3167"/>
    </row>
    <row r="3168" spans="1:10" ht="14.25" customHeight="1" x14ac:dyDescent="0.3">
      <c r="A3168" s="519" t="s">
        <v>2437</v>
      </c>
      <c r="B3168" s="520" t="s">
        <v>2933</v>
      </c>
      <c r="C3168" s="519" t="s">
        <v>125</v>
      </c>
      <c r="D3168" s="519" t="s">
        <v>2934</v>
      </c>
      <c r="E3168" s="522">
        <v>1</v>
      </c>
      <c r="F3168" s="523">
        <v>0.42</v>
      </c>
      <c r="G3168" s="523">
        <v>0.57999999999999996</v>
      </c>
      <c r="H3168" s="524">
        <v>10.8424</v>
      </c>
      <c r="I3168" s="524">
        <v>4.8357000000000001</v>
      </c>
      <c r="J3168"/>
    </row>
    <row r="3169" spans="1:10" ht="14.25" customHeight="1" x14ac:dyDescent="0.3">
      <c r="A3169" s="519" t="s">
        <v>2437</v>
      </c>
      <c r="B3169" s="520" t="s">
        <v>3626</v>
      </c>
      <c r="C3169" s="519" t="s">
        <v>125</v>
      </c>
      <c r="D3169" s="519" t="s">
        <v>3627</v>
      </c>
      <c r="E3169" s="522">
        <v>1</v>
      </c>
      <c r="F3169" s="523">
        <v>0.42</v>
      </c>
      <c r="G3169" s="523">
        <v>0.57999999999999996</v>
      </c>
      <c r="H3169" s="524">
        <v>0.14910000000000001</v>
      </c>
      <c r="I3169" s="524">
        <v>0.12180000000000001</v>
      </c>
      <c r="J3169"/>
    </row>
    <row r="3170" spans="1:10" ht="15" customHeight="1" x14ac:dyDescent="0.3">
      <c r="A3170" s="902"/>
      <c r="B3170" s="902"/>
      <c r="C3170" s="902"/>
      <c r="D3170" s="902"/>
      <c r="E3170" s="902"/>
      <c r="F3170" s="902" t="s">
        <v>2475</v>
      </c>
      <c r="G3170" s="902"/>
      <c r="H3170" s="902"/>
      <c r="I3170" s="525">
        <v>4.9574999999999996</v>
      </c>
      <c r="J3170"/>
    </row>
    <row r="3171" spans="1:10" ht="14.25" customHeight="1" x14ac:dyDescent="0.3">
      <c r="A3171" s="902"/>
      <c r="B3171" s="902"/>
      <c r="C3171" s="902"/>
      <c r="D3171" s="902"/>
      <c r="E3171" s="902"/>
      <c r="F3171" s="902" t="s">
        <v>2476</v>
      </c>
      <c r="G3171" s="902"/>
      <c r="H3171" s="902"/>
      <c r="I3171" s="525">
        <v>4.9574999999999996</v>
      </c>
      <c r="J3171"/>
    </row>
    <row r="3172" spans="1:10" ht="14.25" customHeight="1" x14ac:dyDescent="0.3">
      <c r="A3172" s="902"/>
      <c r="B3172" s="902"/>
      <c r="C3172" s="902"/>
      <c r="D3172" s="902"/>
      <c r="E3172" s="902"/>
      <c r="F3172" s="902" t="s">
        <v>2477</v>
      </c>
      <c r="G3172" s="902"/>
      <c r="H3172" s="902"/>
      <c r="I3172" s="525">
        <v>0</v>
      </c>
      <c r="J3172"/>
    </row>
    <row r="3173" spans="1:10" ht="15" customHeight="1" x14ac:dyDescent="0.3">
      <c r="A3173" s="902"/>
      <c r="B3173" s="902"/>
      <c r="C3173" s="902"/>
      <c r="D3173" s="902"/>
      <c r="E3173" s="902"/>
      <c r="F3173" s="902" t="s">
        <v>2478</v>
      </c>
      <c r="G3173" s="902"/>
      <c r="H3173" s="902"/>
      <c r="I3173" s="525">
        <v>0</v>
      </c>
      <c r="J3173"/>
    </row>
    <row r="3174" spans="1:10" ht="14.25" customHeight="1" x14ac:dyDescent="0.3">
      <c r="A3174" s="902"/>
      <c r="B3174" s="902"/>
      <c r="C3174" s="902"/>
      <c r="D3174" s="902"/>
      <c r="E3174" s="902"/>
      <c r="F3174" s="902" t="s">
        <v>2479</v>
      </c>
      <c r="G3174" s="902"/>
      <c r="H3174" s="902"/>
      <c r="I3174" s="525">
        <v>249</v>
      </c>
      <c r="J3174"/>
    </row>
    <row r="3175" spans="1:10" ht="15" customHeight="1" x14ac:dyDescent="0.3">
      <c r="A3175" s="902"/>
      <c r="B3175" s="902"/>
      <c r="C3175" s="902"/>
      <c r="D3175" s="902"/>
      <c r="E3175" s="902"/>
      <c r="F3175" s="902" t="s">
        <v>2480</v>
      </c>
      <c r="G3175" s="902"/>
      <c r="H3175" s="902"/>
      <c r="I3175" s="525">
        <v>1.9900000000000001E-2</v>
      </c>
      <c r="J3175"/>
    </row>
    <row r="3176" spans="1:10" s="358" customFormat="1" ht="15" customHeight="1" x14ac:dyDescent="0.3">
      <c r="A3176" s="516" t="s">
        <v>2420</v>
      </c>
      <c r="B3176" s="517" t="s">
        <v>16</v>
      </c>
      <c r="C3176" s="516" t="s">
        <v>15</v>
      </c>
      <c r="D3176" s="516" t="s">
        <v>2442</v>
      </c>
      <c r="E3176" s="517" t="s">
        <v>2467</v>
      </c>
      <c r="F3176" s="517" t="s">
        <v>2576</v>
      </c>
      <c r="G3176" s="903" t="s">
        <v>2577</v>
      </c>
      <c r="H3176" s="903"/>
      <c r="I3176" s="517" t="s">
        <v>2470</v>
      </c>
      <c r="J3176"/>
    </row>
    <row r="3177" spans="1:10" x14ac:dyDescent="0.3">
      <c r="A3177" s="519" t="s">
        <v>2437</v>
      </c>
      <c r="B3177" s="520" t="s">
        <v>125</v>
      </c>
      <c r="C3177" s="519" t="s">
        <v>3628</v>
      </c>
      <c r="D3177" s="519" t="s">
        <v>3629</v>
      </c>
      <c r="E3177" s="522">
        <v>2.5000000000000001E-3</v>
      </c>
      <c r="F3177" s="521" t="s">
        <v>600</v>
      </c>
      <c r="G3177" s="907">
        <v>17.536200000000001</v>
      </c>
      <c r="H3177" s="907"/>
      <c r="I3177" s="524">
        <v>4.3799999999999999E-2</v>
      </c>
      <c r="J3177"/>
    </row>
    <row r="3178" spans="1:10" s="358" customFormat="1" ht="25.5" customHeight="1" x14ac:dyDescent="0.3">
      <c r="A3178" s="902"/>
      <c r="B3178" s="902"/>
      <c r="C3178" s="902"/>
      <c r="D3178" s="902"/>
      <c r="E3178" s="902"/>
      <c r="F3178" s="902" t="s">
        <v>2809</v>
      </c>
      <c r="G3178" s="902"/>
      <c r="H3178" s="902"/>
      <c r="I3178" s="525">
        <v>4.3799999999999999E-2</v>
      </c>
      <c r="J3178"/>
    </row>
    <row r="3179" spans="1:10" ht="15" customHeight="1" x14ac:dyDescent="0.3">
      <c r="A3179" s="516" t="s">
        <v>2574</v>
      </c>
      <c r="B3179" s="517" t="s">
        <v>16</v>
      </c>
      <c r="C3179" s="516" t="s">
        <v>15</v>
      </c>
      <c r="D3179" s="516" t="s">
        <v>2575</v>
      </c>
      <c r="E3179" s="517" t="s">
        <v>2467</v>
      </c>
      <c r="F3179" s="517" t="s">
        <v>2576</v>
      </c>
      <c r="G3179" s="903" t="s">
        <v>2577</v>
      </c>
      <c r="H3179" s="903"/>
      <c r="I3179" s="517" t="s">
        <v>2470</v>
      </c>
      <c r="J3179"/>
    </row>
    <row r="3180" spans="1:10" ht="25" x14ac:dyDescent="0.3">
      <c r="A3180" s="519" t="s">
        <v>2578</v>
      </c>
      <c r="B3180" s="520" t="s">
        <v>32</v>
      </c>
      <c r="C3180" s="519">
        <v>88315</v>
      </c>
      <c r="D3180" s="519" t="s">
        <v>3183</v>
      </c>
      <c r="E3180" s="522">
        <v>4.0160999999999999E-3</v>
      </c>
      <c r="F3180" s="521" t="s">
        <v>1901</v>
      </c>
      <c r="G3180" s="907">
        <v>30.85</v>
      </c>
      <c r="H3180" s="907"/>
      <c r="I3180" s="524">
        <v>0.1239</v>
      </c>
      <c r="J3180"/>
    </row>
    <row r="3181" spans="1:10" ht="15" customHeight="1" thickBot="1" x14ac:dyDescent="0.35">
      <c r="A3181" s="902"/>
      <c r="B3181" s="902"/>
      <c r="C3181" s="902"/>
      <c r="D3181" s="902"/>
      <c r="E3181" s="902"/>
      <c r="F3181" s="902" t="s">
        <v>2579</v>
      </c>
      <c r="G3181" s="902"/>
      <c r="H3181" s="902"/>
      <c r="I3181" s="525">
        <v>0.1239</v>
      </c>
      <c r="J3181"/>
    </row>
    <row r="3182" spans="1:10" ht="14.5" thickTop="1" x14ac:dyDescent="0.3">
      <c r="A3182" s="647"/>
      <c r="B3182" s="647"/>
      <c r="C3182" s="647"/>
      <c r="D3182" s="647"/>
      <c r="E3182" s="647"/>
      <c r="F3182" s="647"/>
      <c r="G3182" s="647"/>
      <c r="H3182" s="647"/>
      <c r="I3182" s="647"/>
      <c r="J3182"/>
    </row>
    <row r="3183" spans="1:10" s="358" customFormat="1" x14ac:dyDescent="0.3">
      <c r="A3183" s="516"/>
      <c r="B3183" s="517" t="s">
        <v>15</v>
      </c>
      <c r="C3183" s="516" t="s">
        <v>16</v>
      </c>
      <c r="D3183" s="516" t="s">
        <v>17</v>
      </c>
      <c r="E3183" s="904" t="s">
        <v>2431</v>
      </c>
      <c r="F3183" s="904"/>
      <c r="G3183" s="518" t="s">
        <v>18</v>
      </c>
      <c r="H3183" s="517" t="s">
        <v>19</v>
      </c>
      <c r="I3183" s="517" t="s">
        <v>20</v>
      </c>
      <c r="J3183" s="517" t="s">
        <v>23</v>
      </c>
    </row>
    <row r="3184" spans="1:10" ht="25.5" customHeight="1" x14ac:dyDescent="0.3">
      <c r="A3184" s="642" t="s">
        <v>2432</v>
      </c>
      <c r="B3184" s="643" t="s">
        <v>2720</v>
      </c>
      <c r="C3184" s="642" t="s">
        <v>32</v>
      </c>
      <c r="D3184" s="642" t="s">
        <v>2721</v>
      </c>
      <c r="E3184" s="906" t="s">
        <v>2661</v>
      </c>
      <c r="F3184" s="906"/>
      <c r="G3184" s="644" t="s">
        <v>89</v>
      </c>
      <c r="H3184" s="645">
        <v>1</v>
      </c>
      <c r="I3184" s="646">
        <v>37.85</v>
      </c>
      <c r="J3184" s="646">
        <v>37.85</v>
      </c>
    </row>
    <row r="3185" spans="1:10" s="358" customFormat="1" ht="25" x14ac:dyDescent="0.3">
      <c r="A3185" s="519" t="s">
        <v>2434</v>
      </c>
      <c r="B3185" s="520" t="s">
        <v>2857</v>
      </c>
      <c r="C3185" s="519" t="s">
        <v>32</v>
      </c>
      <c r="D3185" s="519" t="s">
        <v>2858</v>
      </c>
      <c r="E3185" s="905" t="s">
        <v>2433</v>
      </c>
      <c r="F3185" s="905"/>
      <c r="G3185" s="521" t="s">
        <v>1901</v>
      </c>
      <c r="H3185" s="522">
        <v>0.13519999999999999</v>
      </c>
      <c r="I3185" s="523">
        <v>24.65</v>
      </c>
      <c r="J3185" s="523">
        <v>3.33</v>
      </c>
    </row>
    <row r="3186" spans="1:10" ht="25" x14ac:dyDescent="0.3">
      <c r="A3186" s="519" t="s">
        <v>2434</v>
      </c>
      <c r="B3186" s="520" t="s">
        <v>2766</v>
      </c>
      <c r="C3186" s="519" t="s">
        <v>32</v>
      </c>
      <c r="D3186" s="519" t="s">
        <v>2767</v>
      </c>
      <c r="E3186" s="905" t="s">
        <v>2433</v>
      </c>
      <c r="F3186" s="905"/>
      <c r="G3186" s="521" t="s">
        <v>1901</v>
      </c>
      <c r="H3186" s="522">
        <v>0.13519999999999999</v>
      </c>
      <c r="I3186" s="523">
        <v>31.49</v>
      </c>
      <c r="J3186" s="523">
        <v>4.25</v>
      </c>
    </row>
    <row r="3187" spans="1:10" ht="25" x14ac:dyDescent="0.3">
      <c r="A3187" s="519" t="s">
        <v>2437</v>
      </c>
      <c r="B3187" s="520" t="s">
        <v>3630</v>
      </c>
      <c r="C3187" s="519" t="s">
        <v>32</v>
      </c>
      <c r="D3187" s="519" t="s">
        <v>3631</v>
      </c>
      <c r="E3187" s="905" t="s">
        <v>2442</v>
      </c>
      <c r="F3187" s="905"/>
      <c r="G3187" s="521" t="s">
        <v>89</v>
      </c>
      <c r="H3187" s="522">
        <v>1</v>
      </c>
      <c r="I3187" s="523">
        <v>1.75</v>
      </c>
      <c r="J3187" s="523">
        <v>1.75</v>
      </c>
    </row>
    <row r="3188" spans="1:10" ht="25.5" thickBot="1" x14ac:dyDescent="0.35">
      <c r="A3188" s="519" t="s">
        <v>2437</v>
      </c>
      <c r="B3188" s="520" t="s">
        <v>3632</v>
      </c>
      <c r="C3188" s="519" t="s">
        <v>32</v>
      </c>
      <c r="D3188" s="519" t="s">
        <v>3633</v>
      </c>
      <c r="E3188" s="905" t="s">
        <v>2442</v>
      </c>
      <c r="F3188" s="905"/>
      <c r="G3188" s="521" t="s">
        <v>89</v>
      </c>
      <c r="H3188" s="522">
        <v>1</v>
      </c>
      <c r="I3188" s="523">
        <v>28.52</v>
      </c>
      <c r="J3188" s="523">
        <v>28.52</v>
      </c>
    </row>
    <row r="3189" spans="1:10" ht="14.5" thickTop="1" x14ac:dyDescent="0.3">
      <c r="A3189" s="647"/>
      <c r="B3189" s="647"/>
      <c r="C3189" s="647"/>
      <c r="D3189" s="647"/>
      <c r="E3189" s="647"/>
      <c r="F3189" s="647"/>
      <c r="G3189" s="647"/>
      <c r="H3189" s="647"/>
      <c r="I3189" s="647"/>
      <c r="J3189"/>
    </row>
    <row r="3190" spans="1:10" x14ac:dyDescent="0.3">
      <c r="A3190" s="516"/>
      <c r="B3190" s="517" t="s">
        <v>15</v>
      </c>
      <c r="C3190" s="516" t="s">
        <v>16</v>
      </c>
      <c r="D3190" s="516" t="s">
        <v>17</v>
      </c>
      <c r="E3190" s="904" t="s">
        <v>2431</v>
      </c>
      <c r="F3190" s="904"/>
      <c r="G3190" s="518" t="s">
        <v>18</v>
      </c>
      <c r="H3190" s="517" t="s">
        <v>19</v>
      </c>
      <c r="I3190" s="517" t="s">
        <v>20</v>
      </c>
      <c r="J3190" s="517" t="s">
        <v>23</v>
      </c>
    </row>
    <row r="3191" spans="1:10" ht="14.25" customHeight="1" x14ac:dyDescent="0.3">
      <c r="A3191" s="642" t="s">
        <v>2432</v>
      </c>
      <c r="B3191" s="643" t="s">
        <v>2766</v>
      </c>
      <c r="C3191" s="642" t="s">
        <v>32</v>
      </c>
      <c r="D3191" s="642" t="s">
        <v>2767</v>
      </c>
      <c r="E3191" s="906" t="s">
        <v>2433</v>
      </c>
      <c r="F3191" s="906"/>
      <c r="G3191" s="644" t="s">
        <v>1901</v>
      </c>
      <c r="H3191" s="645">
        <v>1</v>
      </c>
      <c r="I3191" s="646">
        <v>31.49</v>
      </c>
      <c r="J3191" s="646">
        <v>31.49</v>
      </c>
    </row>
    <row r="3192" spans="1:10" ht="25" x14ac:dyDescent="0.3">
      <c r="A3192" s="519" t="s">
        <v>2434</v>
      </c>
      <c r="B3192" s="520" t="s">
        <v>3496</v>
      </c>
      <c r="C3192" s="519" t="s">
        <v>32</v>
      </c>
      <c r="D3192" s="519" t="s">
        <v>3497</v>
      </c>
      <c r="E3192" s="905" t="s">
        <v>2433</v>
      </c>
      <c r="F3192" s="905"/>
      <c r="G3192" s="521" t="s">
        <v>1901</v>
      </c>
      <c r="H3192" s="522">
        <v>1</v>
      </c>
      <c r="I3192" s="523">
        <v>0.93</v>
      </c>
      <c r="J3192" s="523">
        <v>0.93</v>
      </c>
    </row>
    <row r="3193" spans="1:10" x14ac:dyDescent="0.3">
      <c r="A3193" s="519" t="s">
        <v>2437</v>
      </c>
      <c r="B3193" s="520" t="s">
        <v>3498</v>
      </c>
      <c r="C3193" s="519" t="s">
        <v>32</v>
      </c>
      <c r="D3193" s="519" t="s">
        <v>3499</v>
      </c>
      <c r="E3193" s="905" t="s">
        <v>2440</v>
      </c>
      <c r="F3193" s="905"/>
      <c r="G3193" s="521" t="s">
        <v>1901</v>
      </c>
      <c r="H3193" s="522">
        <v>1</v>
      </c>
      <c r="I3193" s="523">
        <v>21.83</v>
      </c>
      <c r="J3193" s="523">
        <v>21.83</v>
      </c>
    </row>
    <row r="3194" spans="1:10" s="358" customFormat="1" ht="25" x14ac:dyDescent="0.3">
      <c r="A3194" s="519" t="s">
        <v>2437</v>
      </c>
      <c r="B3194" s="520" t="s">
        <v>3257</v>
      </c>
      <c r="C3194" s="519" t="s">
        <v>32</v>
      </c>
      <c r="D3194" s="519" t="s">
        <v>4306</v>
      </c>
      <c r="E3194" s="905" t="s">
        <v>2856</v>
      </c>
      <c r="F3194" s="905"/>
      <c r="G3194" s="521" t="s">
        <v>1901</v>
      </c>
      <c r="H3194" s="522">
        <v>1</v>
      </c>
      <c r="I3194" s="523">
        <v>3.8</v>
      </c>
      <c r="J3194" s="523">
        <v>3.8</v>
      </c>
    </row>
    <row r="3195" spans="1:10" ht="25" x14ac:dyDescent="0.3">
      <c r="A3195" s="519" t="s">
        <v>2437</v>
      </c>
      <c r="B3195" s="520" t="s">
        <v>3258</v>
      </c>
      <c r="C3195" s="519" t="s">
        <v>32</v>
      </c>
      <c r="D3195" s="519" t="s">
        <v>4307</v>
      </c>
      <c r="E3195" s="905" t="s">
        <v>3259</v>
      </c>
      <c r="F3195" s="905"/>
      <c r="G3195" s="521" t="s">
        <v>1901</v>
      </c>
      <c r="H3195" s="522">
        <v>1</v>
      </c>
      <c r="I3195" s="523">
        <v>1.5</v>
      </c>
      <c r="J3195" s="523">
        <v>1.5</v>
      </c>
    </row>
    <row r="3196" spans="1:10" s="358" customFormat="1" ht="38.25" customHeight="1" x14ac:dyDescent="0.3">
      <c r="A3196" s="519" t="s">
        <v>2437</v>
      </c>
      <c r="B3196" s="520" t="s">
        <v>3260</v>
      </c>
      <c r="C3196" s="519" t="s">
        <v>32</v>
      </c>
      <c r="D3196" s="519" t="s">
        <v>4308</v>
      </c>
      <c r="E3196" s="905" t="s">
        <v>2856</v>
      </c>
      <c r="F3196" s="905"/>
      <c r="G3196" s="521" t="s">
        <v>1901</v>
      </c>
      <c r="H3196" s="522">
        <v>1</v>
      </c>
      <c r="I3196" s="523">
        <v>1.34</v>
      </c>
      <c r="J3196" s="523">
        <v>1.34</v>
      </c>
    </row>
    <row r="3197" spans="1:10" ht="25" x14ac:dyDescent="0.3">
      <c r="A3197" s="519" t="s">
        <v>2437</v>
      </c>
      <c r="B3197" s="520" t="s">
        <v>3261</v>
      </c>
      <c r="C3197" s="519" t="s">
        <v>32</v>
      </c>
      <c r="D3197" s="519" t="s">
        <v>4309</v>
      </c>
      <c r="E3197" s="905" t="s">
        <v>2535</v>
      </c>
      <c r="F3197" s="905"/>
      <c r="G3197" s="521" t="s">
        <v>1901</v>
      </c>
      <c r="H3197" s="522">
        <v>1</v>
      </c>
      <c r="I3197" s="523">
        <v>0.04</v>
      </c>
      <c r="J3197" s="523">
        <v>0.04</v>
      </c>
    </row>
    <row r="3198" spans="1:10" ht="25" x14ac:dyDescent="0.3">
      <c r="A3198" s="519" t="s">
        <v>2437</v>
      </c>
      <c r="B3198" s="520" t="s">
        <v>3318</v>
      </c>
      <c r="C3198" s="519" t="s">
        <v>32</v>
      </c>
      <c r="D3198" s="519" t="s">
        <v>3319</v>
      </c>
      <c r="E3198" s="905" t="s">
        <v>2446</v>
      </c>
      <c r="F3198" s="905"/>
      <c r="G3198" s="521" t="s">
        <v>1901</v>
      </c>
      <c r="H3198" s="522">
        <v>1</v>
      </c>
      <c r="I3198" s="523">
        <v>0.85</v>
      </c>
      <c r="J3198" s="523">
        <v>0.85</v>
      </c>
    </row>
    <row r="3199" spans="1:10" ht="25.5" thickBot="1" x14ac:dyDescent="0.35">
      <c r="A3199" s="519" t="s">
        <v>2437</v>
      </c>
      <c r="B3199" s="520" t="s">
        <v>3320</v>
      </c>
      <c r="C3199" s="519" t="s">
        <v>32</v>
      </c>
      <c r="D3199" s="519" t="s">
        <v>3321</v>
      </c>
      <c r="E3199" s="905" t="s">
        <v>2446</v>
      </c>
      <c r="F3199" s="905"/>
      <c r="G3199" s="521" t="s">
        <v>1901</v>
      </c>
      <c r="H3199" s="522">
        <v>1</v>
      </c>
      <c r="I3199" s="523">
        <v>1.2</v>
      </c>
      <c r="J3199" s="523">
        <v>1.2</v>
      </c>
    </row>
    <row r="3200" spans="1:10" s="358" customFormat="1" ht="14.5" thickTop="1" x14ac:dyDescent="0.3">
      <c r="A3200" s="647"/>
      <c r="B3200" s="647"/>
      <c r="C3200" s="647"/>
      <c r="D3200" s="647"/>
      <c r="E3200" s="647"/>
      <c r="F3200" s="647"/>
      <c r="G3200" s="647"/>
      <c r="H3200" s="647"/>
      <c r="I3200" s="647"/>
      <c r="J3200"/>
    </row>
    <row r="3201" spans="1:10" x14ac:dyDescent="0.3">
      <c r="A3201" s="516"/>
      <c r="B3201" s="517" t="s">
        <v>15</v>
      </c>
      <c r="C3201" s="516" t="s">
        <v>16</v>
      </c>
      <c r="D3201" s="516" t="s">
        <v>17</v>
      </c>
      <c r="E3201" s="904" t="s">
        <v>2431</v>
      </c>
      <c r="F3201" s="904"/>
      <c r="G3201" s="518" t="s">
        <v>18</v>
      </c>
      <c r="H3201" s="517" t="s">
        <v>19</v>
      </c>
      <c r="I3201" s="517" t="s">
        <v>20</v>
      </c>
      <c r="J3201" s="517" t="s">
        <v>23</v>
      </c>
    </row>
    <row r="3202" spans="1:10" s="358" customFormat="1" ht="38.25" customHeight="1" x14ac:dyDescent="0.3">
      <c r="A3202" s="642" t="s">
        <v>2432</v>
      </c>
      <c r="B3202" s="643" t="s">
        <v>2669</v>
      </c>
      <c r="C3202" s="642" t="s">
        <v>32</v>
      </c>
      <c r="D3202" s="642" t="s">
        <v>4259</v>
      </c>
      <c r="E3202" s="906" t="s">
        <v>2661</v>
      </c>
      <c r="F3202" s="906"/>
      <c r="G3202" s="644" t="s">
        <v>194</v>
      </c>
      <c r="H3202" s="645">
        <v>1</v>
      </c>
      <c r="I3202" s="646">
        <v>9.9499999999999993</v>
      </c>
      <c r="J3202" s="646">
        <v>9.9499999999999993</v>
      </c>
    </row>
    <row r="3203" spans="1:10" ht="25" x14ac:dyDescent="0.3">
      <c r="A3203" s="519" t="s">
        <v>2434</v>
      </c>
      <c r="B3203" s="520" t="s">
        <v>2857</v>
      </c>
      <c r="C3203" s="519" t="s">
        <v>32</v>
      </c>
      <c r="D3203" s="519" t="s">
        <v>2858</v>
      </c>
      <c r="E3203" s="905" t="s">
        <v>2433</v>
      </c>
      <c r="F3203" s="905"/>
      <c r="G3203" s="521" t="s">
        <v>1901</v>
      </c>
      <c r="H3203" s="522">
        <v>0.124</v>
      </c>
      <c r="I3203" s="523">
        <v>24.65</v>
      </c>
      <c r="J3203" s="523">
        <v>3.05</v>
      </c>
    </row>
    <row r="3204" spans="1:10" ht="25" x14ac:dyDescent="0.3">
      <c r="A3204" s="519" t="s">
        <v>2434</v>
      </c>
      <c r="B3204" s="520" t="s">
        <v>2766</v>
      </c>
      <c r="C3204" s="519" t="s">
        <v>32</v>
      </c>
      <c r="D3204" s="519" t="s">
        <v>2767</v>
      </c>
      <c r="E3204" s="905" t="s">
        <v>2433</v>
      </c>
      <c r="F3204" s="905"/>
      <c r="G3204" s="521" t="s">
        <v>1901</v>
      </c>
      <c r="H3204" s="522">
        <v>0.124</v>
      </c>
      <c r="I3204" s="523">
        <v>31.49</v>
      </c>
      <c r="J3204" s="523">
        <v>3.9</v>
      </c>
    </row>
    <row r="3205" spans="1:10" ht="14.5" thickBot="1" x14ac:dyDescent="0.35">
      <c r="A3205" s="519" t="s">
        <v>2437</v>
      </c>
      <c r="B3205" s="520" t="s">
        <v>3634</v>
      </c>
      <c r="C3205" s="519" t="s">
        <v>32</v>
      </c>
      <c r="D3205" s="519" t="s">
        <v>3635</v>
      </c>
      <c r="E3205" s="905" t="s">
        <v>2442</v>
      </c>
      <c r="F3205" s="905"/>
      <c r="G3205" s="521" t="s">
        <v>194</v>
      </c>
      <c r="H3205" s="522">
        <v>1.0169999999999999</v>
      </c>
      <c r="I3205" s="523">
        <v>2.95</v>
      </c>
      <c r="J3205" s="523">
        <v>3</v>
      </c>
    </row>
    <row r="3206" spans="1:10" s="358" customFormat="1" ht="14.5" thickTop="1" x14ac:dyDescent="0.3">
      <c r="A3206" s="647"/>
      <c r="B3206" s="647"/>
      <c r="C3206" s="647"/>
      <c r="D3206" s="647"/>
      <c r="E3206" s="647"/>
      <c r="F3206" s="647"/>
      <c r="G3206" s="647"/>
      <c r="H3206" s="647"/>
      <c r="I3206" s="647"/>
      <c r="J3206"/>
    </row>
    <row r="3207" spans="1:10" x14ac:dyDescent="0.3">
      <c r="A3207" s="516"/>
      <c r="B3207" s="517" t="s">
        <v>15</v>
      </c>
      <c r="C3207" s="516" t="s">
        <v>16</v>
      </c>
      <c r="D3207" s="516" t="s">
        <v>17</v>
      </c>
      <c r="E3207" s="904" t="s">
        <v>2431</v>
      </c>
      <c r="F3207" s="904"/>
      <c r="G3207" s="518" t="s">
        <v>18</v>
      </c>
      <c r="H3207" s="517" t="s">
        <v>19</v>
      </c>
      <c r="I3207" s="517" t="s">
        <v>20</v>
      </c>
      <c r="J3207" s="517" t="s">
        <v>23</v>
      </c>
    </row>
    <row r="3208" spans="1:10" s="358" customFormat="1" ht="38.25" customHeight="1" x14ac:dyDescent="0.3">
      <c r="A3208" s="642" t="s">
        <v>2432</v>
      </c>
      <c r="B3208" s="643" t="s">
        <v>2670</v>
      </c>
      <c r="C3208" s="642" t="s">
        <v>32</v>
      </c>
      <c r="D3208" s="642" t="s">
        <v>4260</v>
      </c>
      <c r="E3208" s="906" t="s">
        <v>2661</v>
      </c>
      <c r="F3208" s="906"/>
      <c r="G3208" s="644" t="s">
        <v>194</v>
      </c>
      <c r="H3208" s="645">
        <v>1</v>
      </c>
      <c r="I3208" s="646">
        <v>10.85</v>
      </c>
      <c r="J3208" s="646">
        <v>10.85</v>
      </c>
    </row>
    <row r="3209" spans="1:10" ht="25" x14ac:dyDescent="0.3">
      <c r="A3209" s="519" t="s">
        <v>2434</v>
      </c>
      <c r="B3209" s="520" t="s">
        <v>2857</v>
      </c>
      <c r="C3209" s="519" t="s">
        <v>32</v>
      </c>
      <c r="D3209" s="519" t="s">
        <v>2858</v>
      </c>
      <c r="E3209" s="905" t="s">
        <v>2433</v>
      </c>
      <c r="F3209" s="905"/>
      <c r="G3209" s="521" t="s">
        <v>1901</v>
      </c>
      <c r="H3209" s="522">
        <v>0.105</v>
      </c>
      <c r="I3209" s="523">
        <v>24.65</v>
      </c>
      <c r="J3209" s="523">
        <v>2.58</v>
      </c>
    </row>
    <row r="3210" spans="1:10" ht="25" x14ac:dyDescent="0.3">
      <c r="A3210" s="519" t="s">
        <v>2434</v>
      </c>
      <c r="B3210" s="520" t="s">
        <v>2766</v>
      </c>
      <c r="C3210" s="519" t="s">
        <v>32</v>
      </c>
      <c r="D3210" s="519" t="s">
        <v>2767</v>
      </c>
      <c r="E3210" s="905" t="s">
        <v>2433</v>
      </c>
      <c r="F3210" s="905"/>
      <c r="G3210" s="521" t="s">
        <v>1901</v>
      </c>
      <c r="H3210" s="522">
        <v>0.105</v>
      </c>
      <c r="I3210" s="523">
        <v>31.49</v>
      </c>
      <c r="J3210" s="523">
        <v>3.3</v>
      </c>
    </row>
    <row r="3211" spans="1:10" ht="14.5" thickBot="1" x14ac:dyDescent="0.35">
      <c r="A3211" s="519" t="s">
        <v>2437</v>
      </c>
      <c r="B3211" s="520" t="s">
        <v>2772</v>
      </c>
      <c r="C3211" s="519" t="s">
        <v>32</v>
      </c>
      <c r="D3211" s="519" t="s">
        <v>2773</v>
      </c>
      <c r="E3211" s="905" t="s">
        <v>2442</v>
      </c>
      <c r="F3211" s="905"/>
      <c r="G3211" s="521" t="s">
        <v>194</v>
      </c>
      <c r="H3211" s="522">
        <v>1.0169999999999999</v>
      </c>
      <c r="I3211" s="523">
        <v>4.8899999999999997</v>
      </c>
      <c r="J3211" s="523">
        <v>4.97</v>
      </c>
    </row>
    <row r="3212" spans="1:10" s="358" customFormat="1" ht="14.5" thickTop="1" x14ac:dyDescent="0.3">
      <c r="A3212" s="647"/>
      <c r="B3212" s="647"/>
      <c r="C3212" s="647"/>
      <c r="D3212" s="647"/>
      <c r="E3212" s="647"/>
      <c r="F3212" s="647"/>
      <c r="G3212" s="647"/>
      <c r="H3212" s="647"/>
      <c r="I3212" s="647"/>
      <c r="J3212"/>
    </row>
    <row r="3213" spans="1:10" x14ac:dyDescent="0.3">
      <c r="A3213" s="516"/>
      <c r="B3213" s="517" t="s">
        <v>15</v>
      </c>
      <c r="C3213" s="516" t="s">
        <v>16</v>
      </c>
      <c r="D3213" s="516" t="s">
        <v>17</v>
      </c>
      <c r="E3213" s="904" t="s">
        <v>2431</v>
      </c>
      <c r="F3213" s="904"/>
      <c r="G3213" s="518" t="s">
        <v>18</v>
      </c>
      <c r="H3213" s="517" t="s">
        <v>19</v>
      </c>
      <c r="I3213" s="517" t="s">
        <v>20</v>
      </c>
      <c r="J3213" s="517" t="s">
        <v>23</v>
      </c>
    </row>
    <row r="3214" spans="1:10" s="358" customFormat="1" ht="38.25" customHeight="1" x14ac:dyDescent="0.3">
      <c r="A3214" s="642" t="s">
        <v>2432</v>
      </c>
      <c r="B3214" s="643" t="s">
        <v>2671</v>
      </c>
      <c r="C3214" s="642" t="s">
        <v>32</v>
      </c>
      <c r="D3214" s="642" t="s">
        <v>4261</v>
      </c>
      <c r="E3214" s="906" t="s">
        <v>2661</v>
      </c>
      <c r="F3214" s="906"/>
      <c r="G3214" s="644" t="s">
        <v>194</v>
      </c>
      <c r="H3214" s="645">
        <v>1</v>
      </c>
      <c r="I3214" s="646">
        <v>14.11</v>
      </c>
      <c r="J3214" s="646">
        <v>14.11</v>
      </c>
    </row>
    <row r="3215" spans="1:10" ht="25" x14ac:dyDescent="0.3">
      <c r="A3215" s="519" t="s">
        <v>2434</v>
      </c>
      <c r="B3215" s="520" t="s">
        <v>2857</v>
      </c>
      <c r="C3215" s="519" t="s">
        <v>32</v>
      </c>
      <c r="D3215" s="519" t="s">
        <v>2858</v>
      </c>
      <c r="E3215" s="905" t="s">
        <v>2433</v>
      </c>
      <c r="F3215" s="905"/>
      <c r="G3215" s="521" t="s">
        <v>1901</v>
      </c>
      <c r="H3215" s="522">
        <v>0.16300000000000001</v>
      </c>
      <c r="I3215" s="523">
        <v>24.65</v>
      </c>
      <c r="J3215" s="523">
        <v>4.01</v>
      </c>
    </row>
    <row r="3216" spans="1:10" ht="25" x14ac:dyDescent="0.3">
      <c r="A3216" s="519" t="s">
        <v>2434</v>
      </c>
      <c r="B3216" s="520" t="s">
        <v>2766</v>
      </c>
      <c r="C3216" s="519" t="s">
        <v>32</v>
      </c>
      <c r="D3216" s="519" t="s">
        <v>2767</v>
      </c>
      <c r="E3216" s="905" t="s">
        <v>2433</v>
      </c>
      <c r="F3216" s="905"/>
      <c r="G3216" s="521" t="s">
        <v>1901</v>
      </c>
      <c r="H3216" s="522">
        <v>0.16300000000000001</v>
      </c>
      <c r="I3216" s="523">
        <v>31.49</v>
      </c>
      <c r="J3216" s="523">
        <v>5.13</v>
      </c>
    </row>
    <row r="3217" spans="1:10" ht="14.5" thickBot="1" x14ac:dyDescent="0.35">
      <c r="A3217" s="519" t="s">
        <v>2437</v>
      </c>
      <c r="B3217" s="520" t="s">
        <v>2772</v>
      </c>
      <c r="C3217" s="519" t="s">
        <v>32</v>
      </c>
      <c r="D3217" s="519" t="s">
        <v>2773</v>
      </c>
      <c r="E3217" s="905" t="s">
        <v>2442</v>
      </c>
      <c r="F3217" s="905"/>
      <c r="G3217" s="521" t="s">
        <v>194</v>
      </c>
      <c r="H3217" s="522">
        <v>1.0169999999999999</v>
      </c>
      <c r="I3217" s="523">
        <v>4.8899999999999997</v>
      </c>
      <c r="J3217" s="523">
        <v>4.97</v>
      </c>
    </row>
    <row r="3218" spans="1:10" ht="14.5" thickTop="1" x14ac:dyDescent="0.3">
      <c r="A3218" s="647"/>
      <c r="B3218" s="647"/>
      <c r="C3218" s="647"/>
      <c r="D3218" s="647"/>
      <c r="E3218" s="647"/>
      <c r="F3218" s="647"/>
      <c r="G3218" s="647"/>
      <c r="H3218" s="647"/>
      <c r="I3218" s="647"/>
      <c r="J3218"/>
    </row>
    <row r="3219" spans="1:10" x14ac:dyDescent="0.3">
      <c r="A3219" s="516"/>
      <c r="B3219" s="517" t="s">
        <v>15</v>
      </c>
      <c r="C3219" s="516" t="s">
        <v>16</v>
      </c>
      <c r="D3219" s="516" t="s">
        <v>17</v>
      </c>
      <c r="E3219" s="904" t="s">
        <v>2431</v>
      </c>
      <c r="F3219" s="904"/>
      <c r="G3219" s="518" t="s">
        <v>18</v>
      </c>
      <c r="H3219" s="517" t="s">
        <v>19</v>
      </c>
      <c r="I3219" s="517" t="s">
        <v>20</v>
      </c>
      <c r="J3219" s="517" t="s">
        <v>23</v>
      </c>
    </row>
    <row r="3220" spans="1:10" ht="25" x14ac:dyDescent="0.3">
      <c r="A3220" s="642" t="s">
        <v>2432</v>
      </c>
      <c r="B3220" s="643" t="s">
        <v>2786</v>
      </c>
      <c r="C3220" s="642" t="s">
        <v>32</v>
      </c>
      <c r="D3220" s="642" t="s">
        <v>2787</v>
      </c>
      <c r="E3220" s="906" t="s">
        <v>2433</v>
      </c>
      <c r="F3220" s="906"/>
      <c r="G3220" s="644" t="s">
        <v>1901</v>
      </c>
      <c r="H3220" s="645">
        <v>1</v>
      </c>
      <c r="I3220" s="646">
        <v>30.33</v>
      </c>
      <c r="J3220" s="646">
        <v>30.33</v>
      </c>
    </row>
    <row r="3221" spans="1:10" ht="25" x14ac:dyDescent="0.3">
      <c r="A3221" s="519" t="s">
        <v>2434</v>
      </c>
      <c r="B3221" s="520" t="s">
        <v>3500</v>
      </c>
      <c r="C3221" s="519" t="s">
        <v>32</v>
      </c>
      <c r="D3221" s="519" t="s">
        <v>3501</v>
      </c>
      <c r="E3221" s="905" t="s">
        <v>2433</v>
      </c>
      <c r="F3221" s="905"/>
      <c r="G3221" s="521" t="s">
        <v>1901</v>
      </c>
      <c r="H3221" s="522">
        <v>1</v>
      </c>
      <c r="I3221" s="523">
        <v>0.45</v>
      </c>
      <c r="J3221" s="523">
        <v>0.45</v>
      </c>
    </row>
    <row r="3222" spans="1:10" x14ac:dyDescent="0.3">
      <c r="A3222" s="519" t="s">
        <v>2437</v>
      </c>
      <c r="B3222" s="520" t="s">
        <v>3502</v>
      </c>
      <c r="C3222" s="519" t="s">
        <v>32</v>
      </c>
      <c r="D3222" s="519" t="s">
        <v>3503</v>
      </c>
      <c r="E3222" s="905" t="s">
        <v>2440</v>
      </c>
      <c r="F3222" s="905"/>
      <c r="G3222" s="521" t="s">
        <v>1901</v>
      </c>
      <c r="H3222" s="522">
        <v>1</v>
      </c>
      <c r="I3222" s="523">
        <v>21.83</v>
      </c>
      <c r="J3222" s="523">
        <v>21.83</v>
      </c>
    </row>
    <row r="3223" spans="1:10" s="358" customFormat="1" ht="25" x14ac:dyDescent="0.3">
      <c r="A3223" s="519" t="s">
        <v>2437</v>
      </c>
      <c r="B3223" s="520" t="s">
        <v>3257</v>
      </c>
      <c r="C3223" s="519" t="s">
        <v>32</v>
      </c>
      <c r="D3223" s="519" t="s">
        <v>4306</v>
      </c>
      <c r="E3223" s="905" t="s">
        <v>2856</v>
      </c>
      <c r="F3223" s="905"/>
      <c r="G3223" s="521" t="s">
        <v>1901</v>
      </c>
      <c r="H3223" s="522">
        <v>1</v>
      </c>
      <c r="I3223" s="523">
        <v>3.8</v>
      </c>
      <c r="J3223" s="523">
        <v>3.8</v>
      </c>
    </row>
    <row r="3224" spans="1:10" ht="25" x14ac:dyDescent="0.3">
      <c r="A3224" s="519" t="s">
        <v>2437</v>
      </c>
      <c r="B3224" s="520" t="s">
        <v>3258</v>
      </c>
      <c r="C3224" s="519" t="s">
        <v>32</v>
      </c>
      <c r="D3224" s="519" t="s">
        <v>4307</v>
      </c>
      <c r="E3224" s="905" t="s">
        <v>3259</v>
      </c>
      <c r="F3224" s="905"/>
      <c r="G3224" s="521" t="s">
        <v>1901</v>
      </c>
      <c r="H3224" s="522">
        <v>1</v>
      </c>
      <c r="I3224" s="523">
        <v>1.5</v>
      </c>
      <c r="J3224" s="523">
        <v>1.5</v>
      </c>
    </row>
    <row r="3225" spans="1:10" s="358" customFormat="1" ht="25" x14ac:dyDescent="0.3">
      <c r="A3225" s="519" t="s">
        <v>2437</v>
      </c>
      <c r="B3225" s="520" t="s">
        <v>3260</v>
      </c>
      <c r="C3225" s="519" t="s">
        <v>32</v>
      </c>
      <c r="D3225" s="519" t="s">
        <v>4308</v>
      </c>
      <c r="E3225" s="905" t="s">
        <v>2856</v>
      </c>
      <c r="F3225" s="905"/>
      <c r="G3225" s="521" t="s">
        <v>1901</v>
      </c>
      <c r="H3225" s="522">
        <v>1</v>
      </c>
      <c r="I3225" s="523">
        <v>1.34</v>
      </c>
      <c r="J3225" s="523">
        <v>1.34</v>
      </c>
    </row>
    <row r="3226" spans="1:10" ht="25" x14ac:dyDescent="0.3">
      <c r="A3226" s="519" t="s">
        <v>2437</v>
      </c>
      <c r="B3226" s="520" t="s">
        <v>3261</v>
      </c>
      <c r="C3226" s="519" t="s">
        <v>32</v>
      </c>
      <c r="D3226" s="519" t="s">
        <v>4309</v>
      </c>
      <c r="E3226" s="905" t="s">
        <v>2535</v>
      </c>
      <c r="F3226" s="905"/>
      <c r="G3226" s="521" t="s">
        <v>1901</v>
      </c>
      <c r="H3226" s="522">
        <v>1</v>
      </c>
      <c r="I3226" s="523">
        <v>0.04</v>
      </c>
      <c r="J3226" s="523">
        <v>0.04</v>
      </c>
    </row>
    <row r="3227" spans="1:10" ht="25" x14ac:dyDescent="0.3">
      <c r="A3227" s="519" t="s">
        <v>2437</v>
      </c>
      <c r="B3227" s="520" t="s">
        <v>3326</v>
      </c>
      <c r="C3227" s="519" t="s">
        <v>32</v>
      </c>
      <c r="D3227" s="519" t="s">
        <v>3327</v>
      </c>
      <c r="E3227" s="905" t="s">
        <v>2446</v>
      </c>
      <c r="F3227" s="905"/>
      <c r="G3227" s="521" t="s">
        <v>1901</v>
      </c>
      <c r="H3227" s="522">
        <v>1</v>
      </c>
      <c r="I3227" s="523">
        <v>0.31</v>
      </c>
      <c r="J3227" s="523">
        <v>0.31</v>
      </c>
    </row>
    <row r="3228" spans="1:10" ht="25.5" thickBot="1" x14ac:dyDescent="0.35">
      <c r="A3228" s="519" t="s">
        <v>2437</v>
      </c>
      <c r="B3228" s="520" t="s">
        <v>3328</v>
      </c>
      <c r="C3228" s="519" t="s">
        <v>32</v>
      </c>
      <c r="D3228" s="519" t="s">
        <v>3329</v>
      </c>
      <c r="E3228" s="905" t="s">
        <v>2446</v>
      </c>
      <c r="F3228" s="905"/>
      <c r="G3228" s="521" t="s">
        <v>1901</v>
      </c>
      <c r="H3228" s="522">
        <v>1</v>
      </c>
      <c r="I3228" s="523">
        <v>1.06</v>
      </c>
      <c r="J3228" s="523">
        <v>1.06</v>
      </c>
    </row>
    <row r="3229" spans="1:10" ht="14.5" thickTop="1" x14ac:dyDescent="0.3">
      <c r="A3229" s="647"/>
      <c r="B3229" s="647"/>
      <c r="C3229" s="647"/>
      <c r="D3229" s="647"/>
      <c r="E3229" s="647"/>
      <c r="F3229" s="647"/>
      <c r="G3229" s="647"/>
      <c r="H3229" s="647"/>
      <c r="I3229" s="647"/>
      <c r="J3229"/>
    </row>
    <row r="3230" spans="1:10" x14ac:dyDescent="0.3">
      <c r="A3230" s="516"/>
      <c r="B3230" s="517" t="s">
        <v>15</v>
      </c>
      <c r="C3230" s="516" t="s">
        <v>16</v>
      </c>
      <c r="D3230" s="516" t="s">
        <v>17</v>
      </c>
      <c r="E3230" s="904" t="s">
        <v>2431</v>
      </c>
      <c r="F3230" s="904"/>
      <c r="G3230" s="518" t="s">
        <v>18</v>
      </c>
      <c r="H3230" s="517" t="s">
        <v>19</v>
      </c>
      <c r="I3230" s="517" t="s">
        <v>20</v>
      </c>
      <c r="J3230" s="517" t="s">
        <v>23</v>
      </c>
    </row>
    <row r="3231" spans="1:10" ht="14.25" customHeight="1" x14ac:dyDescent="0.3">
      <c r="A3231" s="642" t="s">
        <v>2432</v>
      </c>
      <c r="B3231" s="643" t="s">
        <v>2994</v>
      </c>
      <c r="C3231" s="642" t="s">
        <v>32</v>
      </c>
      <c r="D3231" s="642" t="s">
        <v>2995</v>
      </c>
      <c r="E3231" s="906" t="s">
        <v>2433</v>
      </c>
      <c r="F3231" s="906"/>
      <c r="G3231" s="644" t="s">
        <v>1901</v>
      </c>
      <c r="H3231" s="645">
        <v>1</v>
      </c>
      <c r="I3231" s="646">
        <v>25.09</v>
      </c>
      <c r="J3231" s="646">
        <v>25.09</v>
      </c>
    </row>
    <row r="3232" spans="1:10" s="358" customFormat="1" ht="25" x14ac:dyDescent="0.3">
      <c r="A3232" s="519" t="s">
        <v>2434</v>
      </c>
      <c r="B3232" s="520" t="s">
        <v>3504</v>
      </c>
      <c r="C3232" s="519" t="s">
        <v>32</v>
      </c>
      <c r="D3232" s="519" t="s">
        <v>3505</v>
      </c>
      <c r="E3232" s="905" t="s">
        <v>2433</v>
      </c>
      <c r="F3232" s="905"/>
      <c r="G3232" s="521" t="s">
        <v>1901</v>
      </c>
      <c r="H3232" s="522">
        <v>1</v>
      </c>
      <c r="I3232" s="523">
        <v>0.53</v>
      </c>
      <c r="J3232" s="523">
        <v>0.53</v>
      </c>
    </row>
    <row r="3233" spans="1:10" x14ac:dyDescent="0.3">
      <c r="A3233" s="519" t="s">
        <v>2437</v>
      </c>
      <c r="B3233" s="520" t="s">
        <v>3506</v>
      </c>
      <c r="C3233" s="519" t="s">
        <v>32</v>
      </c>
      <c r="D3233" s="519" t="s">
        <v>4343</v>
      </c>
      <c r="E3233" s="905" t="s">
        <v>2440</v>
      </c>
      <c r="F3233" s="905"/>
      <c r="G3233" s="521" t="s">
        <v>1901</v>
      </c>
      <c r="H3233" s="522">
        <v>1</v>
      </c>
      <c r="I3233" s="523">
        <v>21.83</v>
      </c>
      <c r="J3233" s="523">
        <v>21.83</v>
      </c>
    </row>
    <row r="3234" spans="1:10" s="358" customFormat="1" ht="25" x14ac:dyDescent="0.3">
      <c r="A3234" s="519" t="s">
        <v>2437</v>
      </c>
      <c r="B3234" s="520" t="s">
        <v>3260</v>
      </c>
      <c r="C3234" s="519" t="s">
        <v>32</v>
      </c>
      <c r="D3234" s="519" t="s">
        <v>4308</v>
      </c>
      <c r="E3234" s="905" t="s">
        <v>2856</v>
      </c>
      <c r="F3234" s="905"/>
      <c r="G3234" s="521" t="s">
        <v>1901</v>
      </c>
      <c r="H3234" s="522">
        <v>1</v>
      </c>
      <c r="I3234" s="523">
        <v>1.34</v>
      </c>
      <c r="J3234" s="523">
        <v>1.34</v>
      </c>
    </row>
    <row r="3235" spans="1:10" ht="25" x14ac:dyDescent="0.3">
      <c r="A3235" s="519" t="s">
        <v>2437</v>
      </c>
      <c r="B3235" s="520" t="s">
        <v>3261</v>
      </c>
      <c r="C3235" s="519" t="s">
        <v>32</v>
      </c>
      <c r="D3235" s="519" t="s">
        <v>4309</v>
      </c>
      <c r="E3235" s="905" t="s">
        <v>2535</v>
      </c>
      <c r="F3235" s="905"/>
      <c r="G3235" s="521" t="s">
        <v>1901</v>
      </c>
      <c r="H3235" s="522">
        <v>1</v>
      </c>
      <c r="I3235" s="523">
        <v>0.04</v>
      </c>
      <c r="J3235" s="523">
        <v>0.04</v>
      </c>
    </row>
    <row r="3236" spans="1:10" s="358" customFormat="1" ht="25" x14ac:dyDescent="0.3">
      <c r="A3236" s="519" t="s">
        <v>2437</v>
      </c>
      <c r="B3236" s="520" t="s">
        <v>3636</v>
      </c>
      <c r="C3236" s="519" t="s">
        <v>32</v>
      </c>
      <c r="D3236" s="519" t="s">
        <v>3637</v>
      </c>
      <c r="E3236" s="905" t="s">
        <v>2446</v>
      </c>
      <c r="F3236" s="905"/>
      <c r="G3236" s="521" t="s">
        <v>1901</v>
      </c>
      <c r="H3236" s="522">
        <v>1</v>
      </c>
      <c r="I3236" s="523">
        <v>0.1</v>
      </c>
      <c r="J3236" s="523">
        <v>0.1</v>
      </c>
    </row>
    <row r="3237" spans="1:10" ht="25.5" thickBot="1" x14ac:dyDescent="0.35">
      <c r="A3237" s="519" t="s">
        <v>2437</v>
      </c>
      <c r="B3237" s="520" t="s">
        <v>3638</v>
      </c>
      <c r="C3237" s="519" t="s">
        <v>32</v>
      </c>
      <c r="D3237" s="519" t="s">
        <v>3639</v>
      </c>
      <c r="E3237" s="905" t="s">
        <v>2446</v>
      </c>
      <c r="F3237" s="905"/>
      <c r="G3237" s="521" t="s">
        <v>1901</v>
      </c>
      <c r="H3237" s="522">
        <v>1</v>
      </c>
      <c r="I3237" s="523">
        <v>1.25</v>
      </c>
      <c r="J3237" s="523">
        <v>1.25</v>
      </c>
    </row>
    <row r="3238" spans="1:10" s="358" customFormat="1" ht="25.5" customHeight="1" thickTop="1" x14ac:dyDescent="0.3">
      <c r="A3238" s="647"/>
      <c r="B3238" s="647"/>
      <c r="C3238" s="647"/>
      <c r="D3238" s="647"/>
      <c r="E3238" s="647"/>
      <c r="F3238" s="647"/>
      <c r="G3238" s="647"/>
      <c r="H3238" s="647"/>
      <c r="I3238" s="647"/>
      <c r="J3238"/>
    </row>
    <row r="3239" spans="1:10" ht="38.25" customHeight="1" x14ac:dyDescent="0.3">
      <c r="A3239" s="516"/>
      <c r="B3239" s="517" t="s">
        <v>15</v>
      </c>
      <c r="C3239" s="516" t="s">
        <v>16</v>
      </c>
      <c r="D3239" s="516" t="s">
        <v>17</v>
      </c>
      <c r="E3239" s="904" t="s">
        <v>2431</v>
      </c>
      <c r="F3239" s="904"/>
      <c r="G3239" s="518" t="s">
        <v>18</v>
      </c>
      <c r="H3239" s="517" t="s">
        <v>19</v>
      </c>
      <c r="I3239" s="517" t="s">
        <v>20</v>
      </c>
      <c r="J3239" s="517" t="s">
        <v>23</v>
      </c>
    </row>
    <row r="3240" spans="1:10" ht="25.5" customHeight="1" x14ac:dyDescent="0.3">
      <c r="A3240" s="642" t="s">
        <v>2432</v>
      </c>
      <c r="B3240" s="643" t="s">
        <v>3125</v>
      </c>
      <c r="C3240" s="642" t="s">
        <v>243</v>
      </c>
      <c r="D3240" s="642" t="s">
        <v>3126</v>
      </c>
      <c r="E3240" s="906">
        <v>81</v>
      </c>
      <c r="F3240" s="906"/>
      <c r="G3240" s="644" t="s">
        <v>3127</v>
      </c>
      <c r="H3240" s="645">
        <v>1</v>
      </c>
      <c r="I3240" s="646">
        <v>75.06</v>
      </c>
      <c r="J3240" s="646">
        <v>75.06</v>
      </c>
    </row>
    <row r="3241" spans="1:10" ht="25.5" thickBot="1" x14ac:dyDescent="0.35">
      <c r="A3241" s="519" t="s">
        <v>2434</v>
      </c>
      <c r="B3241" s="520" t="s">
        <v>3229</v>
      </c>
      <c r="C3241" s="519" t="s">
        <v>243</v>
      </c>
      <c r="D3241" s="519" t="s">
        <v>3126</v>
      </c>
      <c r="E3241" s="905">
        <v>71</v>
      </c>
      <c r="F3241" s="905"/>
      <c r="G3241" s="521" t="s">
        <v>34</v>
      </c>
      <c r="H3241" s="522">
        <v>6.4999999999999997E-3</v>
      </c>
      <c r="I3241" s="523">
        <v>11548.67</v>
      </c>
      <c r="J3241" s="523">
        <v>75.06</v>
      </c>
    </row>
    <row r="3242" spans="1:10" s="358" customFormat="1" ht="14.5" thickTop="1" x14ac:dyDescent="0.3">
      <c r="A3242" s="647"/>
      <c r="B3242" s="647"/>
      <c r="C3242" s="647"/>
      <c r="D3242" s="647"/>
      <c r="E3242" s="647"/>
      <c r="F3242" s="647"/>
      <c r="G3242" s="647"/>
      <c r="H3242" s="647"/>
      <c r="I3242" s="647"/>
      <c r="J3242"/>
    </row>
    <row r="3243" spans="1:10" x14ac:dyDescent="0.3">
      <c r="A3243" s="516"/>
      <c r="B3243" s="517" t="s">
        <v>15</v>
      </c>
      <c r="C3243" s="516" t="s">
        <v>16</v>
      </c>
      <c r="D3243" s="516" t="s">
        <v>17</v>
      </c>
      <c r="E3243" s="904" t="s">
        <v>2431</v>
      </c>
      <c r="F3243" s="904"/>
      <c r="G3243" s="518" t="s">
        <v>18</v>
      </c>
      <c r="H3243" s="517" t="s">
        <v>19</v>
      </c>
      <c r="I3243" s="517" t="s">
        <v>20</v>
      </c>
      <c r="J3243" s="517" t="s">
        <v>23</v>
      </c>
    </row>
    <row r="3244" spans="1:10" s="358" customFormat="1" ht="38.25" customHeight="1" x14ac:dyDescent="0.3">
      <c r="A3244" s="642" t="s">
        <v>2432</v>
      </c>
      <c r="B3244" s="643" t="s">
        <v>3229</v>
      </c>
      <c r="C3244" s="642" t="s">
        <v>243</v>
      </c>
      <c r="D3244" s="642" t="s">
        <v>3126</v>
      </c>
      <c r="E3244" s="906">
        <v>71</v>
      </c>
      <c r="F3244" s="906"/>
      <c r="G3244" s="644" t="s">
        <v>34</v>
      </c>
      <c r="H3244" s="645">
        <v>1</v>
      </c>
      <c r="I3244" s="646">
        <v>11548.67</v>
      </c>
      <c r="J3244" s="646">
        <v>11548.67</v>
      </c>
    </row>
    <row r="3245" spans="1:10" ht="38.25" customHeight="1" x14ac:dyDescent="0.3">
      <c r="A3245" s="519" t="s">
        <v>2434</v>
      </c>
      <c r="B3245" s="520" t="s">
        <v>3230</v>
      </c>
      <c r="C3245" s="519" t="s">
        <v>243</v>
      </c>
      <c r="D3245" s="519" t="s">
        <v>4531</v>
      </c>
      <c r="E3245" s="905">
        <v>30</v>
      </c>
      <c r="F3245" s="905"/>
      <c r="G3245" s="521" t="s">
        <v>34</v>
      </c>
      <c r="H3245" s="522">
        <v>1</v>
      </c>
      <c r="I3245" s="523">
        <v>0</v>
      </c>
      <c r="J3245" s="523">
        <v>0</v>
      </c>
    </row>
    <row r="3246" spans="1:10" ht="25.5" customHeight="1" x14ac:dyDescent="0.3">
      <c r="A3246" s="519" t="s">
        <v>2434</v>
      </c>
      <c r="B3246" s="520" t="s">
        <v>3232</v>
      </c>
      <c r="C3246" s="519" t="s">
        <v>243</v>
      </c>
      <c r="D3246" s="519" t="s">
        <v>4532</v>
      </c>
      <c r="E3246" s="905">
        <v>57</v>
      </c>
      <c r="F3246" s="905"/>
      <c r="G3246" s="521" t="s">
        <v>34</v>
      </c>
      <c r="H3246" s="522">
        <v>1</v>
      </c>
      <c r="I3246" s="523">
        <v>4239.8599999999997</v>
      </c>
      <c r="J3246" s="523">
        <v>4239.8599999999997</v>
      </c>
    </row>
    <row r="3247" spans="1:10" ht="38.25" customHeight="1" x14ac:dyDescent="0.3">
      <c r="A3247" s="519" t="s">
        <v>2434</v>
      </c>
      <c r="B3247" s="520" t="s">
        <v>3231</v>
      </c>
      <c r="C3247" s="519" t="s">
        <v>243</v>
      </c>
      <c r="D3247" s="519" t="s">
        <v>4533</v>
      </c>
      <c r="E3247" s="905">
        <v>57</v>
      </c>
      <c r="F3247" s="905"/>
      <c r="G3247" s="521" t="s">
        <v>34</v>
      </c>
      <c r="H3247" s="522">
        <v>1.05</v>
      </c>
      <c r="I3247" s="523">
        <v>5604.3</v>
      </c>
      <c r="J3247" s="523">
        <v>5884.51</v>
      </c>
    </row>
    <row r="3248" spans="1:10" ht="38.25" customHeight="1" x14ac:dyDescent="0.3">
      <c r="A3248" s="519" t="s">
        <v>2434</v>
      </c>
      <c r="B3248" s="520" t="s">
        <v>3233</v>
      </c>
      <c r="C3248" s="519" t="s">
        <v>243</v>
      </c>
      <c r="D3248" s="519" t="s">
        <v>3234</v>
      </c>
      <c r="E3248" s="905">
        <v>59</v>
      </c>
      <c r="F3248" s="905"/>
      <c r="G3248" s="521" t="s">
        <v>34</v>
      </c>
      <c r="H3248" s="522">
        <v>1</v>
      </c>
      <c r="I3248" s="523">
        <v>1424.3</v>
      </c>
      <c r="J3248" s="523">
        <v>1424.3</v>
      </c>
    </row>
    <row r="3249" spans="1:10" ht="25.5" thickBot="1" x14ac:dyDescent="0.35">
      <c r="A3249" s="519" t="s">
        <v>2434</v>
      </c>
      <c r="B3249" s="520" t="s">
        <v>3235</v>
      </c>
      <c r="C3249" s="519" t="s">
        <v>243</v>
      </c>
      <c r="D3249" s="519" t="s">
        <v>4534</v>
      </c>
      <c r="E3249" s="905">
        <v>59</v>
      </c>
      <c r="F3249" s="905"/>
      <c r="G3249" s="521" t="s">
        <v>34</v>
      </c>
      <c r="H3249" s="522">
        <v>1</v>
      </c>
      <c r="I3249" s="523">
        <v>0</v>
      </c>
      <c r="J3249" s="523">
        <v>0</v>
      </c>
    </row>
    <row r="3250" spans="1:10" s="358" customFormat="1" ht="14.5" thickTop="1" x14ac:dyDescent="0.3">
      <c r="A3250" s="647"/>
      <c r="B3250" s="647"/>
      <c r="C3250" s="647"/>
      <c r="D3250" s="647"/>
      <c r="E3250" s="647"/>
      <c r="F3250" s="647"/>
      <c r="G3250" s="647"/>
      <c r="H3250" s="647"/>
      <c r="I3250" s="647"/>
      <c r="J3250"/>
    </row>
    <row r="3251" spans="1:10" x14ac:dyDescent="0.3">
      <c r="A3251" s="516"/>
      <c r="B3251" s="517" t="s">
        <v>15</v>
      </c>
      <c r="C3251" s="516" t="s">
        <v>16</v>
      </c>
      <c r="D3251" s="516" t="s">
        <v>17</v>
      </c>
      <c r="E3251" s="904" t="s">
        <v>2431</v>
      </c>
      <c r="F3251" s="904"/>
      <c r="G3251" s="518" t="s">
        <v>18</v>
      </c>
      <c r="H3251" s="517" t="s">
        <v>19</v>
      </c>
      <c r="I3251" s="517" t="s">
        <v>20</v>
      </c>
      <c r="J3251" s="517" t="s">
        <v>23</v>
      </c>
    </row>
    <row r="3252" spans="1:10" s="358" customFormat="1" ht="38.25" customHeight="1" x14ac:dyDescent="0.3">
      <c r="A3252" s="642" t="s">
        <v>2432</v>
      </c>
      <c r="B3252" s="643" t="s">
        <v>2566</v>
      </c>
      <c r="C3252" s="642" t="s">
        <v>32</v>
      </c>
      <c r="D3252" s="642" t="s">
        <v>2567</v>
      </c>
      <c r="E3252" s="906" t="s">
        <v>2465</v>
      </c>
      <c r="F3252" s="906"/>
      <c r="G3252" s="644" t="s">
        <v>110</v>
      </c>
      <c r="H3252" s="645">
        <v>1</v>
      </c>
      <c r="I3252" s="646">
        <v>88.26</v>
      </c>
      <c r="J3252" s="646">
        <v>88.26</v>
      </c>
    </row>
    <row r="3253" spans="1:10" ht="38.25" customHeight="1" x14ac:dyDescent="0.3">
      <c r="A3253" s="519" t="s">
        <v>2434</v>
      </c>
      <c r="B3253" s="520" t="s">
        <v>3640</v>
      </c>
      <c r="C3253" s="519" t="s">
        <v>32</v>
      </c>
      <c r="D3253" s="519" t="s">
        <v>3641</v>
      </c>
      <c r="E3253" s="905" t="s">
        <v>2465</v>
      </c>
      <c r="F3253" s="905"/>
      <c r="G3253" s="521" t="s">
        <v>1901</v>
      </c>
      <c r="H3253" s="522">
        <v>1</v>
      </c>
      <c r="I3253" s="523">
        <v>46.35</v>
      </c>
      <c r="J3253" s="523">
        <v>46.35</v>
      </c>
    </row>
    <row r="3254" spans="1:10" s="358" customFormat="1" ht="25.5" customHeight="1" x14ac:dyDescent="0.3">
      <c r="A3254" s="519" t="s">
        <v>2434</v>
      </c>
      <c r="B3254" s="520" t="s">
        <v>3642</v>
      </c>
      <c r="C3254" s="519" t="s">
        <v>32</v>
      </c>
      <c r="D3254" s="519" t="s">
        <v>3643</v>
      </c>
      <c r="E3254" s="905" t="s">
        <v>2465</v>
      </c>
      <c r="F3254" s="905"/>
      <c r="G3254" s="521" t="s">
        <v>1901</v>
      </c>
      <c r="H3254" s="522">
        <v>1</v>
      </c>
      <c r="I3254" s="523">
        <v>12.25</v>
      </c>
      <c r="J3254" s="523">
        <v>12.25</v>
      </c>
    </row>
    <row r="3255" spans="1:10" ht="25.5" thickBot="1" x14ac:dyDescent="0.35">
      <c r="A3255" s="519" t="s">
        <v>2434</v>
      </c>
      <c r="B3255" s="520" t="s">
        <v>3644</v>
      </c>
      <c r="C3255" s="519" t="s">
        <v>32</v>
      </c>
      <c r="D3255" s="519" t="s">
        <v>3645</v>
      </c>
      <c r="E3255" s="905" t="s">
        <v>2433</v>
      </c>
      <c r="F3255" s="905"/>
      <c r="G3255" s="521" t="s">
        <v>1901</v>
      </c>
      <c r="H3255" s="522">
        <v>1</v>
      </c>
      <c r="I3255" s="523">
        <v>29.66</v>
      </c>
      <c r="J3255" s="523">
        <v>29.66</v>
      </c>
    </row>
    <row r="3256" spans="1:10" s="358" customFormat="1" ht="25.5" customHeight="1" thickTop="1" x14ac:dyDescent="0.3">
      <c r="A3256" s="647"/>
      <c r="B3256" s="647"/>
      <c r="C3256" s="647"/>
      <c r="D3256" s="647"/>
      <c r="E3256" s="647"/>
      <c r="F3256" s="647"/>
      <c r="G3256" s="647"/>
      <c r="H3256" s="647"/>
      <c r="I3256" s="647"/>
      <c r="J3256"/>
    </row>
    <row r="3257" spans="1:10" x14ac:dyDescent="0.3">
      <c r="A3257" s="516"/>
      <c r="B3257" s="517" t="s">
        <v>15</v>
      </c>
      <c r="C3257" s="516" t="s">
        <v>16</v>
      </c>
      <c r="D3257" s="516" t="s">
        <v>17</v>
      </c>
      <c r="E3257" s="904" t="s">
        <v>2431</v>
      </c>
      <c r="F3257" s="904"/>
      <c r="G3257" s="518" t="s">
        <v>18</v>
      </c>
      <c r="H3257" s="517" t="s">
        <v>19</v>
      </c>
      <c r="I3257" s="517" t="s">
        <v>20</v>
      </c>
      <c r="J3257" s="517" t="s">
        <v>23</v>
      </c>
    </row>
    <row r="3258" spans="1:10" s="358" customFormat="1" ht="25.5" customHeight="1" x14ac:dyDescent="0.3">
      <c r="A3258" s="642" t="s">
        <v>2432</v>
      </c>
      <c r="B3258" s="643" t="s">
        <v>2564</v>
      </c>
      <c r="C3258" s="642" t="s">
        <v>32</v>
      </c>
      <c r="D3258" s="642" t="s">
        <v>2565</v>
      </c>
      <c r="E3258" s="906" t="s">
        <v>2465</v>
      </c>
      <c r="F3258" s="906"/>
      <c r="G3258" s="644" t="s">
        <v>103</v>
      </c>
      <c r="H3258" s="645">
        <v>1</v>
      </c>
      <c r="I3258" s="646">
        <v>204.43</v>
      </c>
      <c r="J3258" s="646">
        <v>204.43</v>
      </c>
    </row>
    <row r="3259" spans="1:10" ht="38.25" customHeight="1" x14ac:dyDescent="0.3">
      <c r="A3259" s="519" t="s">
        <v>2434</v>
      </c>
      <c r="B3259" s="520" t="s">
        <v>3640</v>
      </c>
      <c r="C3259" s="519" t="s">
        <v>32</v>
      </c>
      <c r="D3259" s="519" t="s">
        <v>3641</v>
      </c>
      <c r="E3259" s="905" t="s">
        <v>2465</v>
      </c>
      <c r="F3259" s="905"/>
      <c r="G3259" s="521" t="s">
        <v>1901</v>
      </c>
      <c r="H3259" s="522">
        <v>1</v>
      </c>
      <c r="I3259" s="523">
        <v>46.35</v>
      </c>
      <c r="J3259" s="523">
        <v>46.35</v>
      </c>
    </row>
    <row r="3260" spans="1:10" s="358" customFormat="1" ht="38.25" customHeight="1" x14ac:dyDescent="0.3">
      <c r="A3260" s="519" t="s">
        <v>2434</v>
      </c>
      <c r="B3260" s="520" t="s">
        <v>3642</v>
      </c>
      <c r="C3260" s="519" t="s">
        <v>32</v>
      </c>
      <c r="D3260" s="519" t="s">
        <v>3643</v>
      </c>
      <c r="E3260" s="905" t="s">
        <v>2465</v>
      </c>
      <c r="F3260" s="905"/>
      <c r="G3260" s="521" t="s">
        <v>1901</v>
      </c>
      <c r="H3260" s="522">
        <v>1</v>
      </c>
      <c r="I3260" s="523">
        <v>12.25</v>
      </c>
      <c r="J3260" s="523">
        <v>12.25</v>
      </c>
    </row>
    <row r="3261" spans="1:10" ht="38.25" customHeight="1" x14ac:dyDescent="0.3">
      <c r="A3261" s="519" t="s">
        <v>2434</v>
      </c>
      <c r="B3261" s="520" t="s">
        <v>3646</v>
      </c>
      <c r="C3261" s="519" t="s">
        <v>32</v>
      </c>
      <c r="D3261" s="519" t="s">
        <v>3647</v>
      </c>
      <c r="E3261" s="905" t="s">
        <v>2465</v>
      </c>
      <c r="F3261" s="905"/>
      <c r="G3261" s="521" t="s">
        <v>1901</v>
      </c>
      <c r="H3261" s="522">
        <v>1</v>
      </c>
      <c r="I3261" s="523">
        <v>57.94</v>
      </c>
      <c r="J3261" s="523">
        <v>57.94</v>
      </c>
    </row>
    <row r="3262" spans="1:10" s="358" customFormat="1" ht="38.25" customHeight="1" x14ac:dyDescent="0.3">
      <c r="A3262" s="519" t="s">
        <v>2434</v>
      </c>
      <c r="B3262" s="520" t="s">
        <v>3648</v>
      </c>
      <c r="C3262" s="519" t="s">
        <v>32</v>
      </c>
      <c r="D3262" s="519" t="s">
        <v>3649</v>
      </c>
      <c r="E3262" s="905" t="s">
        <v>2465</v>
      </c>
      <c r="F3262" s="905"/>
      <c r="G3262" s="521" t="s">
        <v>1901</v>
      </c>
      <c r="H3262" s="522">
        <v>1</v>
      </c>
      <c r="I3262" s="523">
        <v>58.23</v>
      </c>
      <c r="J3262" s="523">
        <v>58.23</v>
      </c>
    </row>
    <row r="3263" spans="1:10" ht="25.5" thickBot="1" x14ac:dyDescent="0.35">
      <c r="A3263" s="519" t="s">
        <v>2434</v>
      </c>
      <c r="B3263" s="520" t="s">
        <v>3644</v>
      </c>
      <c r="C3263" s="519" t="s">
        <v>32</v>
      </c>
      <c r="D3263" s="519" t="s">
        <v>3645</v>
      </c>
      <c r="E3263" s="905" t="s">
        <v>2433</v>
      </c>
      <c r="F3263" s="905"/>
      <c r="G3263" s="521" t="s">
        <v>1901</v>
      </c>
      <c r="H3263" s="522">
        <v>1</v>
      </c>
      <c r="I3263" s="523">
        <v>29.66</v>
      </c>
      <c r="J3263" s="523">
        <v>29.66</v>
      </c>
    </row>
    <row r="3264" spans="1:10" s="358" customFormat="1" ht="38.25" customHeight="1" thickTop="1" x14ac:dyDescent="0.3">
      <c r="A3264" s="647"/>
      <c r="B3264" s="647"/>
      <c r="C3264" s="647"/>
      <c r="D3264" s="647"/>
      <c r="E3264" s="647"/>
      <c r="F3264" s="647"/>
      <c r="G3264" s="647"/>
      <c r="H3264" s="647"/>
      <c r="I3264" s="647"/>
      <c r="J3264"/>
    </row>
    <row r="3265" spans="1:10" x14ac:dyDescent="0.3">
      <c r="A3265" s="516"/>
      <c r="B3265" s="517" t="s">
        <v>15</v>
      </c>
      <c r="C3265" s="516" t="s">
        <v>16</v>
      </c>
      <c r="D3265" s="516" t="s">
        <v>17</v>
      </c>
      <c r="E3265" s="904" t="s">
        <v>2431</v>
      </c>
      <c r="F3265" s="904"/>
      <c r="G3265" s="518" t="s">
        <v>18</v>
      </c>
      <c r="H3265" s="517" t="s">
        <v>19</v>
      </c>
      <c r="I3265" s="517" t="s">
        <v>20</v>
      </c>
      <c r="J3265" s="517" t="s">
        <v>23</v>
      </c>
    </row>
    <row r="3266" spans="1:10" s="358" customFormat="1" ht="38.25" customHeight="1" x14ac:dyDescent="0.3">
      <c r="A3266" s="642" t="s">
        <v>2432</v>
      </c>
      <c r="B3266" s="643" t="s">
        <v>3640</v>
      </c>
      <c r="C3266" s="642" t="s">
        <v>32</v>
      </c>
      <c r="D3266" s="642" t="s">
        <v>3641</v>
      </c>
      <c r="E3266" s="906" t="s">
        <v>2465</v>
      </c>
      <c r="F3266" s="906"/>
      <c r="G3266" s="644" t="s">
        <v>1901</v>
      </c>
      <c r="H3266" s="645">
        <v>1</v>
      </c>
      <c r="I3266" s="646">
        <v>46.35</v>
      </c>
      <c r="J3266" s="646">
        <v>46.35</v>
      </c>
    </row>
    <row r="3267" spans="1:10" ht="25.5" thickBot="1" x14ac:dyDescent="0.35">
      <c r="A3267" s="519" t="s">
        <v>2437</v>
      </c>
      <c r="B3267" s="520" t="s">
        <v>3650</v>
      </c>
      <c r="C3267" s="519" t="s">
        <v>32</v>
      </c>
      <c r="D3267" s="519" t="s">
        <v>3651</v>
      </c>
      <c r="E3267" s="905" t="s">
        <v>2446</v>
      </c>
      <c r="F3267" s="905"/>
      <c r="G3267" s="521" t="s">
        <v>89</v>
      </c>
      <c r="H3267" s="522">
        <v>5.5999999999999999E-5</v>
      </c>
      <c r="I3267" s="523">
        <v>827794.72</v>
      </c>
      <c r="J3267" s="523">
        <v>46.35</v>
      </c>
    </row>
    <row r="3268" spans="1:10" s="358" customFormat="1" ht="38.25" customHeight="1" thickTop="1" x14ac:dyDescent="0.3">
      <c r="A3268" s="647"/>
      <c r="B3268" s="647"/>
      <c r="C3268" s="647"/>
      <c r="D3268" s="647"/>
      <c r="E3268" s="647"/>
      <c r="F3268" s="647"/>
      <c r="G3268" s="647"/>
      <c r="H3268" s="647"/>
      <c r="I3268" s="647"/>
      <c r="J3268"/>
    </row>
    <row r="3269" spans="1:10" x14ac:dyDescent="0.3">
      <c r="A3269" s="516"/>
      <c r="B3269" s="517" t="s">
        <v>15</v>
      </c>
      <c r="C3269" s="516" t="s">
        <v>16</v>
      </c>
      <c r="D3269" s="516" t="s">
        <v>17</v>
      </c>
      <c r="E3269" s="904" t="s">
        <v>2431</v>
      </c>
      <c r="F3269" s="904"/>
      <c r="G3269" s="518" t="s">
        <v>18</v>
      </c>
      <c r="H3269" s="517" t="s">
        <v>19</v>
      </c>
      <c r="I3269" s="517" t="s">
        <v>20</v>
      </c>
      <c r="J3269" s="517" t="s">
        <v>23</v>
      </c>
    </row>
    <row r="3270" spans="1:10" ht="38.25" customHeight="1" x14ac:dyDescent="0.3">
      <c r="A3270" s="642" t="s">
        <v>2432</v>
      </c>
      <c r="B3270" s="643" t="s">
        <v>3642</v>
      </c>
      <c r="C3270" s="642" t="s">
        <v>32</v>
      </c>
      <c r="D3270" s="642" t="s">
        <v>3643</v>
      </c>
      <c r="E3270" s="906" t="s">
        <v>2465</v>
      </c>
      <c r="F3270" s="906"/>
      <c r="G3270" s="644" t="s">
        <v>1901</v>
      </c>
      <c r="H3270" s="645">
        <v>1</v>
      </c>
      <c r="I3270" s="646">
        <v>12.25</v>
      </c>
      <c r="J3270" s="646">
        <v>12.25</v>
      </c>
    </row>
    <row r="3271" spans="1:10" ht="26.25" customHeight="1" thickBot="1" x14ac:dyDescent="0.35">
      <c r="A3271" s="519" t="s">
        <v>2437</v>
      </c>
      <c r="B3271" s="520" t="s">
        <v>3650</v>
      </c>
      <c r="C3271" s="519" t="s">
        <v>32</v>
      </c>
      <c r="D3271" s="519" t="s">
        <v>3651</v>
      </c>
      <c r="E3271" s="905" t="s">
        <v>2446</v>
      </c>
      <c r="F3271" s="905"/>
      <c r="G3271" s="521" t="s">
        <v>89</v>
      </c>
      <c r="H3271" s="522">
        <v>1.4800000000000001E-5</v>
      </c>
      <c r="I3271" s="523">
        <v>827794.72</v>
      </c>
      <c r="J3271" s="523">
        <v>12.25</v>
      </c>
    </row>
    <row r="3272" spans="1:10" s="358" customFormat="1" ht="14.5" thickTop="1" x14ac:dyDescent="0.3">
      <c r="A3272" s="647"/>
      <c r="B3272" s="647"/>
      <c r="C3272" s="647"/>
      <c r="D3272" s="647"/>
      <c r="E3272" s="647"/>
      <c r="F3272" s="647"/>
      <c r="G3272" s="647"/>
      <c r="H3272" s="647"/>
      <c r="I3272" s="647"/>
      <c r="J3272"/>
    </row>
    <row r="3273" spans="1:10" x14ac:dyDescent="0.3">
      <c r="A3273" s="516"/>
      <c r="B3273" s="517" t="s">
        <v>15</v>
      </c>
      <c r="C3273" s="516" t="s">
        <v>16</v>
      </c>
      <c r="D3273" s="516" t="s">
        <v>17</v>
      </c>
      <c r="E3273" s="904" t="s">
        <v>2431</v>
      </c>
      <c r="F3273" s="904"/>
      <c r="G3273" s="518" t="s">
        <v>18</v>
      </c>
      <c r="H3273" s="517" t="s">
        <v>19</v>
      </c>
      <c r="I3273" s="517" t="s">
        <v>20</v>
      </c>
      <c r="J3273" s="517" t="s">
        <v>23</v>
      </c>
    </row>
    <row r="3274" spans="1:10" s="358" customFormat="1" ht="38.25" customHeight="1" x14ac:dyDescent="0.3">
      <c r="A3274" s="642" t="s">
        <v>2432</v>
      </c>
      <c r="B3274" s="643" t="s">
        <v>3646</v>
      </c>
      <c r="C3274" s="642" t="s">
        <v>32</v>
      </c>
      <c r="D3274" s="642" t="s">
        <v>3647</v>
      </c>
      <c r="E3274" s="906" t="s">
        <v>2465</v>
      </c>
      <c r="F3274" s="906"/>
      <c r="G3274" s="644" t="s">
        <v>1901</v>
      </c>
      <c r="H3274" s="645">
        <v>1</v>
      </c>
      <c r="I3274" s="646">
        <v>57.94</v>
      </c>
      <c r="J3274" s="646">
        <v>57.94</v>
      </c>
    </row>
    <row r="3275" spans="1:10" ht="25.5" thickBot="1" x14ac:dyDescent="0.35">
      <c r="A3275" s="519" t="s">
        <v>2437</v>
      </c>
      <c r="B3275" s="520" t="s">
        <v>3650</v>
      </c>
      <c r="C3275" s="519" t="s">
        <v>32</v>
      </c>
      <c r="D3275" s="519" t="s">
        <v>3651</v>
      </c>
      <c r="E3275" s="905" t="s">
        <v>2446</v>
      </c>
      <c r="F3275" s="905"/>
      <c r="G3275" s="521" t="s">
        <v>89</v>
      </c>
      <c r="H3275" s="522">
        <v>6.9999999999999994E-5</v>
      </c>
      <c r="I3275" s="523">
        <v>827794.72</v>
      </c>
      <c r="J3275" s="523">
        <v>57.94</v>
      </c>
    </row>
    <row r="3276" spans="1:10" s="358" customFormat="1" ht="14.5" thickTop="1" x14ac:dyDescent="0.3">
      <c r="A3276" s="647"/>
      <c r="B3276" s="647"/>
      <c r="C3276" s="647"/>
      <c r="D3276" s="647"/>
      <c r="E3276" s="647"/>
      <c r="F3276" s="647"/>
      <c r="G3276" s="647"/>
      <c r="H3276" s="647"/>
      <c r="I3276" s="647"/>
      <c r="J3276"/>
    </row>
    <row r="3277" spans="1:10" x14ac:dyDescent="0.3">
      <c r="A3277" s="516"/>
      <c r="B3277" s="517" t="s">
        <v>15</v>
      </c>
      <c r="C3277" s="516" t="s">
        <v>16</v>
      </c>
      <c r="D3277" s="516" t="s">
        <v>17</v>
      </c>
      <c r="E3277" s="904" t="s">
        <v>2431</v>
      </c>
      <c r="F3277" s="904"/>
      <c r="G3277" s="518" t="s">
        <v>18</v>
      </c>
      <c r="H3277" s="517" t="s">
        <v>19</v>
      </c>
      <c r="I3277" s="517" t="s">
        <v>20</v>
      </c>
      <c r="J3277" s="517" t="s">
        <v>23</v>
      </c>
    </row>
    <row r="3278" spans="1:10" s="358" customFormat="1" ht="25.5" customHeight="1" x14ac:dyDescent="0.3">
      <c r="A3278" s="642" t="s">
        <v>2432</v>
      </c>
      <c r="B3278" s="643" t="s">
        <v>3648</v>
      </c>
      <c r="C3278" s="642" t="s">
        <v>32</v>
      </c>
      <c r="D3278" s="642" t="s">
        <v>3649</v>
      </c>
      <c r="E3278" s="906" t="s">
        <v>2465</v>
      </c>
      <c r="F3278" s="906"/>
      <c r="G3278" s="644" t="s">
        <v>1901</v>
      </c>
      <c r="H3278" s="645">
        <v>1</v>
      </c>
      <c r="I3278" s="646">
        <v>58.23</v>
      </c>
      <c r="J3278" s="646">
        <v>58.23</v>
      </c>
    </row>
    <row r="3279" spans="1:10" ht="14.5" thickBot="1" x14ac:dyDescent="0.35">
      <c r="A3279" s="519" t="s">
        <v>2437</v>
      </c>
      <c r="B3279" s="520" t="s">
        <v>4485</v>
      </c>
      <c r="C3279" s="519" t="s">
        <v>125</v>
      </c>
      <c r="D3279" s="519" t="s">
        <v>4486</v>
      </c>
      <c r="E3279" s="905" t="s">
        <v>2442</v>
      </c>
      <c r="F3279" s="905"/>
      <c r="G3279" s="521" t="s">
        <v>2829</v>
      </c>
      <c r="H3279" s="522">
        <v>10.77</v>
      </c>
      <c r="I3279" s="523">
        <v>5.4069000000000003</v>
      </c>
      <c r="J3279" s="523">
        <v>58.23</v>
      </c>
    </row>
    <row r="3280" spans="1:10" s="358" customFormat="1" ht="14.5" thickTop="1" x14ac:dyDescent="0.3">
      <c r="A3280" s="647"/>
      <c r="B3280" s="647"/>
      <c r="C3280" s="647"/>
      <c r="D3280" s="647"/>
      <c r="E3280" s="647"/>
      <c r="F3280" s="647"/>
      <c r="G3280" s="647"/>
      <c r="H3280" s="647"/>
      <c r="I3280" s="647"/>
      <c r="J3280"/>
    </row>
    <row r="3281" spans="1:10" x14ac:dyDescent="0.3">
      <c r="A3281" s="516"/>
      <c r="B3281" s="517" t="s">
        <v>15</v>
      </c>
      <c r="C3281" s="516" t="s">
        <v>16</v>
      </c>
      <c r="D3281" s="516" t="s">
        <v>17</v>
      </c>
      <c r="E3281" s="904" t="s">
        <v>2431</v>
      </c>
      <c r="F3281" s="904"/>
      <c r="G3281" s="518" t="s">
        <v>18</v>
      </c>
      <c r="H3281" s="517" t="s">
        <v>19</v>
      </c>
      <c r="I3281" s="517" t="s">
        <v>20</v>
      </c>
      <c r="J3281" s="517" t="s">
        <v>23</v>
      </c>
    </row>
    <row r="3282" spans="1:10" s="358" customFormat="1" ht="25.5" customHeight="1" x14ac:dyDescent="0.3">
      <c r="A3282" s="642" t="s">
        <v>2432</v>
      </c>
      <c r="B3282" s="643" t="s">
        <v>2596</v>
      </c>
      <c r="C3282" s="642" t="s">
        <v>32</v>
      </c>
      <c r="D3282" s="642" t="s">
        <v>2597</v>
      </c>
      <c r="E3282" s="906" t="s">
        <v>2465</v>
      </c>
      <c r="F3282" s="906"/>
      <c r="G3282" s="644" t="s">
        <v>110</v>
      </c>
      <c r="H3282" s="645">
        <v>1</v>
      </c>
      <c r="I3282" s="646">
        <v>95.97</v>
      </c>
      <c r="J3282" s="646">
        <v>95.97</v>
      </c>
    </row>
    <row r="3283" spans="1:10" ht="25" x14ac:dyDescent="0.3">
      <c r="A3283" s="519" t="s">
        <v>2434</v>
      </c>
      <c r="B3283" s="520" t="s">
        <v>3644</v>
      </c>
      <c r="C3283" s="519" t="s">
        <v>32</v>
      </c>
      <c r="D3283" s="519" t="s">
        <v>3645</v>
      </c>
      <c r="E3283" s="905" t="s">
        <v>2433</v>
      </c>
      <c r="F3283" s="905"/>
      <c r="G3283" s="521" t="s">
        <v>1901</v>
      </c>
      <c r="H3283" s="522">
        <v>1</v>
      </c>
      <c r="I3283" s="523">
        <v>29.66</v>
      </c>
      <c r="J3283" s="523">
        <v>29.66</v>
      </c>
    </row>
    <row r="3284" spans="1:10" ht="38.25" customHeight="1" x14ac:dyDescent="0.3">
      <c r="A3284" s="519" t="s">
        <v>2434</v>
      </c>
      <c r="B3284" s="520" t="s">
        <v>3652</v>
      </c>
      <c r="C3284" s="519" t="s">
        <v>32</v>
      </c>
      <c r="D3284" s="519" t="s">
        <v>3653</v>
      </c>
      <c r="E3284" s="905" t="s">
        <v>2465</v>
      </c>
      <c r="F3284" s="905"/>
      <c r="G3284" s="521" t="s">
        <v>1901</v>
      </c>
      <c r="H3284" s="522">
        <v>1</v>
      </c>
      <c r="I3284" s="523">
        <v>52.45</v>
      </c>
      <c r="J3284" s="523">
        <v>52.45</v>
      </c>
    </row>
    <row r="3285" spans="1:10" ht="26.25" customHeight="1" thickBot="1" x14ac:dyDescent="0.35">
      <c r="A3285" s="519" t="s">
        <v>2434</v>
      </c>
      <c r="B3285" s="520" t="s">
        <v>3654</v>
      </c>
      <c r="C3285" s="519" t="s">
        <v>32</v>
      </c>
      <c r="D3285" s="519" t="s">
        <v>3655</v>
      </c>
      <c r="E3285" s="905" t="s">
        <v>2465</v>
      </c>
      <c r="F3285" s="905"/>
      <c r="G3285" s="521" t="s">
        <v>1901</v>
      </c>
      <c r="H3285" s="522">
        <v>1</v>
      </c>
      <c r="I3285" s="523">
        <v>13.86</v>
      </c>
      <c r="J3285" s="523">
        <v>13.86</v>
      </c>
    </row>
    <row r="3286" spans="1:10" s="358" customFormat="1" ht="14.5" thickTop="1" x14ac:dyDescent="0.3">
      <c r="A3286" s="647"/>
      <c r="B3286" s="647"/>
      <c r="C3286" s="647"/>
      <c r="D3286" s="647"/>
      <c r="E3286" s="647"/>
      <c r="F3286" s="647"/>
      <c r="G3286" s="647"/>
      <c r="H3286" s="647"/>
      <c r="I3286" s="647"/>
      <c r="J3286"/>
    </row>
    <row r="3287" spans="1:10" x14ac:dyDescent="0.3">
      <c r="A3287" s="516"/>
      <c r="B3287" s="517" t="s">
        <v>15</v>
      </c>
      <c r="C3287" s="516" t="s">
        <v>16</v>
      </c>
      <c r="D3287" s="516" t="s">
        <v>17</v>
      </c>
      <c r="E3287" s="904" t="s">
        <v>2431</v>
      </c>
      <c r="F3287" s="904"/>
      <c r="G3287" s="518" t="s">
        <v>18</v>
      </c>
      <c r="H3287" s="517" t="s">
        <v>19</v>
      </c>
      <c r="I3287" s="517" t="s">
        <v>20</v>
      </c>
      <c r="J3287" s="517" t="s">
        <v>23</v>
      </c>
    </row>
    <row r="3288" spans="1:10" s="358" customFormat="1" ht="38.25" customHeight="1" x14ac:dyDescent="0.3">
      <c r="A3288" s="642" t="s">
        <v>2432</v>
      </c>
      <c r="B3288" s="643" t="s">
        <v>2594</v>
      </c>
      <c r="C3288" s="642" t="s">
        <v>32</v>
      </c>
      <c r="D3288" s="642" t="s">
        <v>2595</v>
      </c>
      <c r="E3288" s="906" t="s">
        <v>2465</v>
      </c>
      <c r="F3288" s="906"/>
      <c r="G3288" s="644" t="s">
        <v>103</v>
      </c>
      <c r="H3288" s="645">
        <v>1</v>
      </c>
      <c r="I3288" s="646">
        <v>242.79</v>
      </c>
      <c r="J3288" s="646">
        <v>242.79</v>
      </c>
    </row>
    <row r="3289" spans="1:10" ht="25" x14ac:dyDescent="0.3">
      <c r="A3289" s="519" t="s">
        <v>2434</v>
      </c>
      <c r="B3289" s="520" t="s">
        <v>3644</v>
      </c>
      <c r="C3289" s="519" t="s">
        <v>32</v>
      </c>
      <c r="D3289" s="519" t="s">
        <v>3645</v>
      </c>
      <c r="E3289" s="905" t="s">
        <v>2433</v>
      </c>
      <c r="F3289" s="905"/>
      <c r="G3289" s="521" t="s">
        <v>1901</v>
      </c>
      <c r="H3289" s="522">
        <v>1</v>
      </c>
      <c r="I3289" s="523">
        <v>29.66</v>
      </c>
      <c r="J3289" s="523">
        <v>29.66</v>
      </c>
    </row>
    <row r="3290" spans="1:10" ht="38.25" customHeight="1" x14ac:dyDescent="0.3">
      <c r="A3290" s="519" t="s">
        <v>2434</v>
      </c>
      <c r="B3290" s="520" t="s">
        <v>3652</v>
      </c>
      <c r="C3290" s="519" t="s">
        <v>32</v>
      </c>
      <c r="D3290" s="519" t="s">
        <v>3653</v>
      </c>
      <c r="E3290" s="905" t="s">
        <v>2465</v>
      </c>
      <c r="F3290" s="905"/>
      <c r="G3290" s="521" t="s">
        <v>1901</v>
      </c>
      <c r="H3290" s="522">
        <v>1</v>
      </c>
      <c r="I3290" s="523">
        <v>52.45</v>
      </c>
      <c r="J3290" s="523">
        <v>52.45</v>
      </c>
    </row>
    <row r="3291" spans="1:10" ht="25.5" customHeight="1" x14ac:dyDescent="0.3">
      <c r="A3291" s="519" t="s">
        <v>2434</v>
      </c>
      <c r="B3291" s="520" t="s">
        <v>3654</v>
      </c>
      <c r="C3291" s="519" t="s">
        <v>32</v>
      </c>
      <c r="D3291" s="519" t="s">
        <v>3655</v>
      </c>
      <c r="E3291" s="905" t="s">
        <v>2465</v>
      </c>
      <c r="F3291" s="905"/>
      <c r="G3291" s="521" t="s">
        <v>1901</v>
      </c>
      <c r="H3291" s="522">
        <v>1</v>
      </c>
      <c r="I3291" s="523">
        <v>13.86</v>
      </c>
      <c r="J3291" s="523">
        <v>13.86</v>
      </c>
    </row>
    <row r="3292" spans="1:10" ht="38.25" customHeight="1" x14ac:dyDescent="0.3">
      <c r="A3292" s="519" t="s">
        <v>2434</v>
      </c>
      <c r="B3292" s="520" t="s">
        <v>3656</v>
      </c>
      <c r="C3292" s="519" t="s">
        <v>32</v>
      </c>
      <c r="D3292" s="519" t="s">
        <v>3657</v>
      </c>
      <c r="E3292" s="905" t="s">
        <v>2465</v>
      </c>
      <c r="F3292" s="905"/>
      <c r="G3292" s="521" t="s">
        <v>1901</v>
      </c>
      <c r="H3292" s="522">
        <v>1</v>
      </c>
      <c r="I3292" s="523">
        <v>65.56</v>
      </c>
      <c r="J3292" s="523">
        <v>65.56</v>
      </c>
    </row>
    <row r="3293" spans="1:10" ht="39" customHeight="1" thickBot="1" x14ac:dyDescent="0.35">
      <c r="A3293" s="519" t="s">
        <v>2434</v>
      </c>
      <c r="B3293" s="520" t="s">
        <v>3658</v>
      </c>
      <c r="C3293" s="519" t="s">
        <v>32</v>
      </c>
      <c r="D3293" s="519" t="s">
        <v>3659</v>
      </c>
      <c r="E3293" s="905" t="s">
        <v>2465</v>
      </c>
      <c r="F3293" s="905"/>
      <c r="G3293" s="521" t="s">
        <v>1901</v>
      </c>
      <c r="H3293" s="522">
        <v>1</v>
      </c>
      <c r="I3293" s="523">
        <v>81.260000000000005</v>
      </c>
      <c r="J3293" s="523">
        <v>81.260000000000005</v>
      </c>
    </row>
    <row r="3294" spans="1:10" s="358" customFormat="1" ht="14.5" thickTop="1" x14ac:dyDescent="0.3">
      <c r="A3294" s="647"/>
      <c r="B3294" s="647"/>
      <c r="C3294" s="647"/>
      <c r="D3294" s="647"/>
      <c r="E3294" s="647"/>
      <c r="F3294" s="647"/>
      <c r="G3294" s="647"/>
      <c r="H3294" s="647"/>
      <c r="I3294" s="647"/>
      <c r="J3294"/>
    </row>
    <row r="3295" spans="1:10" x14ac:dyDescent="0.3">
      <c r="A3295" s="516"/>
      <c r="B3295" s="517" t="s">
        <v>15</v>
      </c>
      <c r="C3295" s="516" t="s">
        <v>16</v>
      </c>
      <c r="D3295" s="516" t="s">
        <v>17</v>
      </c>
      <c r="E3295" s="904" t="s">
        <v>2431</v>
      </c>
      <c r="F3295" s="904"/>
      <c r="G3295" s="518" t="s">
        <v>18</v>
      </c>
      <c r="H3295" s="517" t="s">
        <v>19</v>
      </c>
      <c r="I3295" s="517" t="s">
        <v>20</v>
      </c>
      <c r="J3295" s="517" t="s">
        <v>23</v>
      </c>
    </row>
    <row r="3296" spans="1:10" s="358" customFormat="1" ht="38.25" customHeight="1" x14ac:dyDescent="0.3">
      <c r="A3296" s="642" t="s">
        <v>2432</v>
      </c>
      <c r="B3296" s="643" t="s">
        <v>3652</v>
      </c>
      <c r="C3296" s="642" t="s">
        <v>32</v>
      </c>
      <c r="D3296" s="642" t="s">
        <v>3653</v>
      </c>
      <c r="E3296" s="906" t="s">
        <v>2465</v>
      </c>
      <c r="F3296" s="906"/>
      <c r="G3296" s="644" t="s">
        <v>1901</v>
      </c>
      <c r="H3296" s="645">
        <v>1</v>
      </c>
      <c r="I3296" s="646">
        <v>52.45</v>
      </c>
      <c r="J3296" s="646">
        <v>52.45</v>
      </c>
    </row>
    <row r="3297" spans="1:10" ht="25.5" thickBot="1" x14ac:dyDescent="0.35">
      <c r="A3297" s="519" t="s">
        <v>2437</v>
      </c>
      <c r="B3297" s="520" t="s">
        <v>3660</v>
      </c>
      <c r="C3297" s="519" t="s">
        <v>32</v>
      </c>
      <c r="D3297" s="519" t="s">
        <v>3661</v>
      </c>
      <c r="E3297" s="905" t="s">
        <v>2446</v>
      </c>
      <c r="F3297" s="905"/>
      <c r="G3297" s="521" t="s">
        <v>89</v>
      </c>
      <c r="H3297" s="522">
        <v>5.5999999999999999E-5</v>
      </c>
      <c r="I3297" s="523">
        <v>936675.8</v>
      </c>
      <c r="J3297" s="523">
        <v>52.45</v>
      </c>
    </row>
    <row r="3298" spans="1:10" s="358" customFormat="1" ht="14.5" thickTop="1" x14ac:dyDescent="0.3">
      <c r="A3298" s="647"/>
      <c r="B3298" s="647"/>
      <c r="C3298" s="647"/>
      <c r="D3298" s="647"/>
      <c r="E3298" s="647"/>
      <c r="F3298" s="647"/>
      <c r="G3298" s="647"/>
      <c r="H3298" s="647"/>
      <c r="I3298" s="647"/>
      <c r="J3298"/>
    </row>
    <row r="3299" spans="1:10" x14ac:dyDescent="0.3">
      <c r="A3299" s="516"/>
      <c r="B3299" s="517" t="s">
        <v>15</v>
      </c>
      <c r="C3299" s="516" t="s">
        <v>16</v>
      </c>
      <c r="D3299" s="516" t="s">
        <v>17</v>
      </c>
      <c r="E3299" s="904" t="s">
        <v>2431</v>
      </c>
      <c r="F3299" s="904"/>
      <c r="G3299" s="518" t="s">
        <v>18</v>
      </c>
      <c r="H3299" s="517" t="s">
        <v>19</v>
      </c>
      <c r="I3299" s="517" t="s">
        <v>20</v>
      </c>
      <c r="J3299" s="517" t="s">
        <v>23</v>
      </c>
    </row>
    <row r="3300" spans="1:10" s="358" customFormat="1" ht="25.5" customHeight="1" x14ac:dyDescent="0.3">
      <c r="A3300" s="642" t="s">
        <v>2432</v>
      </c>
      <c r="B3300" s="643" t="s">
        <v>3654</v>
      </c>
      <c r="C3300" s="642" t="s">
        <v>32</v>
      </c>
      <c r="D3300" s="642" t="s">
        <v>3655</v>
      </c>
      <c r="E3300" s="906" t="s">
        <v>2465</v>
      </c>
      <c r="F3300" s="906"/>
      <c r="G3300" s="644" t="s">
        <v>1901</v>
      </c>
      <c r="H3300" s="645">
        <v>1</v>
      </c>
      <c r="I3300" s="646">
        <v>13.86</v>
      </c>
      <c r="J3300" s="646">
        <v>13.86</v>
      </c>
    </row>
    <row r="3301" spans="1:10" ht="25.5" thickBot="1" x14ac:dyDescent="0.35">
      <c r="A3301" s="519" t="s">
        <v>2437</v>
      </c>
      <c r="B3301" s="520" t="s">
        <v>3660</v>
      </c>
      <c r="C3301" s="519" t="s">
        <v>32</v>
      </c>
      <c r="D3301" s="519" t="s">
        <v>3661</v>
      </c>
      <c r="E3301" s="905" t="s">
        <v>2446</v>
      </c>
      <c r="F3301" s="905"/>
      <c r="G3301" s="521" t="s">
        <v>89</v>
      </c>
      <c r="H3301" s="522">
        <v>1.4800000000000001E-5</v>
      </c>
      <c r="I3301" s="523">
        <v>936675.8</v>
      </c>
      <c r="J3301" s="523">
        <v>13.86</v>
      </c>
    </row>
    <row r="3302" spans="1:10" s="358" customFormat="1" ht="14.5" thickTop="1" x14ac:dyDescent="0.3">
      <c r="A3302" s="647"/>
      <c r="B3302" s="647"/>
      <c r="C3302" s="647"/>
      <c r="D3302" s="647"/>
      <c r="E3302" s="647"/>
      <c r="F3302" s="647"/>
      <c r="G3302" s="647"/>
      <c r="H3302" s="647"/>
      <c r="I3302" s="647"/>
      <c r="J3302"/>
    </row>
    <row r="3303" spans="1:10" x14ac:dyDescent="0.3">
      <c r="A3303" s="516"/>
      <c r="B3303" s="517" t="s">
        <v>15</v>
      </c>
      <c r="C3303" s="516" t="s">
        <v>16</v>
      </c>
      <c r="D3303" s="516" t="s">
        <v>17</v>
      </c>
      <c r="E3303" s="904" t="s">
        <v>2431</v>
      </c>
      <c r="F3303" s="904"/>
      <c r="G3303" s="518" t="s">
        <v>18</v>
      </c>
      <c r="H3303" s="517" t="s">
        <v>19</v>
      </c>
      <c r="I3303" s="517" t="s">
        <v>20</v>
      </c>
      <c r="J3303" s="517" t="s">
        <v>23</v>
      </c>
    </row>
    <row r="3304" spans="1:10" s="358" customFormat="1" ht="38.25" customHeight="1" x14ac:dyDescent="0.3">
      <c r="A3304" s="642" t="s">
        <v>2432</v>
      </c>
      <c r="B3304" s="643" t="s">
        <v>3656</v>
      </c>
      <c r="C3304" s="642" t="s">
        <v>32</v>
      </c>
      <c r="D3304" s="642" t="s">
        <v>3657</v>
      </c>
      <c r="E3304" s="906" t="s">
        <v>2465</v>
      </c>
      <c r="F3304" s="906"/>
      <c r="G3304" s="644" t="s">
        <v>1901</v>
      </c>
      <c r="H3304" s="645">
        <v>1</v>
      </c>
      <c r="I3304" s="646">
        <v>65.56</v>
      </c>
      <c r="J3304" s="646">
        <v>65.56</v>
      </c>
    </row>
    <row r="3305" spans="1:10" ht="25.5" thickBot="1" x14ac:dyDescent="0.35">
      <c r="A3305" s="519" t="s">
        <v>2437</v>
      </c>
      <c r="B3305" s="520" t="s">
        <v>3660</v>
      </c>
      <c r="C3305" s="519" t="s">
        <v>32</v>
      </c>
      <c r="D3305" s="519" t="s">
        <v>3661</v>
      </c>
      <c r="E3305" s="905" t="s">
        <v>2446</v>
      </c>
      <c r="F3305" s="905"/>
      <c r="G3305" s="521" t="s">
        <v>89</v>
      </c>
      <c r="H3305" s="522">
        <v>6.9999999999999994E-5</v>
      </c>
      <c r="I3305" s="523">
        <v>936675.8</v>
      </c>
      <c r="J3305" s="523">
        <v>65.56</v>
      </c>
    </row>
    <row r="3306" spans="1:10" s="358" customFormat="1" ht="14.5" thickTop="1" x14ac:dyDescent="0.3">
      <c r="A3306" s="647"/>
      <c r="B3306" s="647"/>
      <c r="C3306" s="647"/>
      <c r="D3306" s="647"/>
      <c r="E3306" s="647"/>
      <c r="F3306" s="647"/>
      <c r="G3306" s="647"/>
      <c r="H3306" s="647"/>
      <c r="I3306" s="647"/>
      <c r="J3306"/>
    </row>
    <row r="3307" spans="1:10" x14ac:dyDescent="0.3">
      <c r="A3307" s="516"/>
      <c r="B3307" s="517" t="s">
        <v>15</v>
      </c>
      <c r="C3307" s="516" t="s">
        <v>16</v>
      </c>
      <c r="D3307" s="516" t="s">
        <v>17</v>
      </c>
      <c r="E3307" s="904" t="s">
        <v>2431</v>
      </c>
      <c r="F3307" s="904"/>
      <c r="G3307" s="518" t="s">
        <v>18</v>
      </c>
      <c r="H3307" s="517" t="s">
        <v>19</v>
      </c>
      <c r="I3307" s="517" t="s">
        <v>20</v>
      </c>
      <c r="J3307" s="517" t="s">
        <v>23</v>
      </c>
    </row>
    <row r="3308" spans="1:10" s="358" customFormat="1" ht="38.25" customHeight="1" x14ac:dyDescent="0.3">
      <c r="A3308" s="642" t="s">
        <v>2432</v>
      </c>
      <c r="B3308" s="643" t="s">
        <v>3658</v>
      </c>
      <c r="C3308" s="642" t="s">
        <v>32</v>
      </c>
      <c r="D3308" s="642" t="s">
        <v>3659</v>
      </c>
      <c r="E3308" s="906" t="s">
        <v>2465</v>
      </c>
      <c r="F3308" s="906"/>
      <c r="G3308" s="644" t="s">
        <v>1901</v>
      </c>
      <c r="H3308" s="645">
        <v>1</v>
      </c>
      <c r="I3308" s="646">
        <v>81.260000000000005</v>
      </c>
      <c r="J3308" s="646">
        <v>81.260000000000005</v>
      </c>
    </row>
    <row r="3309" spans="1:10" ht="14.5" thickBot="1" x14ac:dyDescent="0.35">
      <c r="A3309" s="519" t="s">
        <v>2437</v>
      </c>
      <c r="B3309" s="520" t="s">
        <v>4485</v>
      </c>
      <c r="C3309" s="519" t="s">
        <v>125</v>
      </c>
      <c r="D3309" s="519" t="s">
        <v>4486</v>
      </c>
      <c r="E3309" s="905" t="s">
        <v>2442</v>
      </c>
      <c r="F3309" s="905"/>
      <c r="G3309" s="521" t="s">
        <v>2829</v>
      </c>
      <c r="H3309" s="522">
        <v>15.03</v>
      </c>
      <c r="I3309" s="523">
        <v>5.4069000000000003</v>
      </c>
      <c r="J3309" s="523">
        <v>81.260000000000005</v>
      </c>
    </row>
    <row r="3310" spans="1:10" s="358" customFormat="1" ht="14.5" thickTop="1" x14ac:dyDescent="0.3">
      <c r="A3310" s="647"/>
      <c r="B3310" s="647"/>
      <c r="C3310" s="647"/>
      <c r="D3310" s="647"/>
      <c r="E3310" s="647"/>
      <c r="F3310" s="647"/>
      <c r="G3310" s="647"/>
      <c r="H3310" s="647"/>
      <c r="I3310" s="647"/>
      <c r="J3310"/>
    </row>
    <row r="3311" spans="1:10" x14ac:dyDescent="0.3">
      <c r="A3311" s="516"/>
      <c r="B3311" s="517" t="s">
        <v>15</v>
      </c>
      <c r="C3311" s="516" t="s">
        <v>16</v>
      </c>
      <c r="D3311" s="516" t="s">
        <v>17</v>
      </c>
      <c r="E3311" s="904" t="s">
        <v>2431</v>
      </c>
      <c r="F3311" s="904"/>
      <c r="G3311" s="518" t="s">
        <v>18</v>
      </c>
      <c r="H3311" s="517" t="s">
        <v>19</v>
      </c>
      <c r="I3311" s="517" t="s">
        <v>20</v>
      </c>
      <c r="J3311" s="517" t="s">
        <v>23</v>
      </c>
    </row>
    <row r="3312" spans="1:10" s="358" customFormat="1" ht="25" x14ac:dyDescent="0.3">
      <c r="A3312" s="642" t="s">
        <v>2432</v>
      </c>
      <c r="B3312" s="643" t="s">
        <v>2704</v>
      </c>
      <c r="C3312" s="642" t="s">
        <v>32</v>
      </c>
      <c r="D3312" s="642" t="s">
        <v>2705</v>
      </c>
      <c r="E3312" s="906" t="s">
        <v>2706</v>
      </c>
      <c r="F3312" s="906"/>
      <c r="G3312" s="644" t="s">
        <v>118</v>
      </c>
      <c r="H3312" s="645">
        <v>1</v>
      </c>
      <c r="I3312" s="646">
        <v>92.56</v>
      </c>
      <c r="J3312" s="646">
        <v>92.56</v>
      </c>
    </row>
    <row r="3313" spans="1:10" ht="25.5" thickBot="1" x14ac:dyDescent="0.35">
      <c r="A3313" s="519" t="s">
        <v>2434</v>
      </c>
      <c r="B3313" s="520" t="s">
        <v>2561</v>
      </c>
      <c r="C3313" s="519" t="s">
        <v>32</v>
      </c>
      <c r="D3313" s="519" t="s">
        <v>2562</v>
      </c>
      <c r="E3313" s="905" t="s">
        <v>2433</v>
      </c>
      <c r="F3313" s="905"/>
      <c r="G3313" s="521" t="s">
        <v>1901</v>
      </c>
      <c r="H3313" s="522">
        <v>3.9557666999999999</v>
      </c>
      <c r="I3313" s="523">
        <v>23.4</v>
      </c>
      <c r="J3313" s="523">
        <v>92.56</v>
      </c>
    </row>
    <row r="3314" spans="1:10" s="358" customFormat="1" ht="14.5" thickTop="1" x14ac:dyDescent="0.3">
      <c r="A3314" s="647"/>
      <c r="B3314" s="647"/>
      <c r="C3314" s="647"/>
      <c r="D3314" s="647"/>
      <c r="E3314" s="647"/>
      <c r="F3314" s="647"/>
      <c r="G3314" s="647"/>
      <c r="H3314" s="647"/>
      <c r="I3314" s="647"/>
      <c r="J3314"/>
    </row>
    <row r="3315" spans="1:10" x14ac:dyDescent="0.3">
      <c r="A3315" s="516"/>
      <c r="B3315" s="517" t="s">
        <v>15</v>
      </c>
      <c r="C3315" s="516" t="s">
        <v>16</v>
      </c>
      <c r="D3315" s="516" t="s">
        <v>17</v>
      </c>
      <c r="E3315" s="904" t="s">
        <v>2431</v>
      </c>
      <c r="F3315" s="904"/>
      <c r="G3315" s="518" t="s">
        <v>18</v>
      </c>
      <c r="H3315" s="517" t="s">
        <v>19</v>
      </c>
      <c r="I3315" s="517" t="s">
        <v>20</v>
      </c>
      <c r="J3315" s="517" t="s">
        <v>23</v>
      </c>
    </row>
    <row r="3316" spans="1:10" s="358" customFormat="1" ht="37.5" x14ac:dyDescent="0.3">
      <c r="A3316" s="642" t="s">
        <v>2432</v>
      </c>
      <c r="B3316" s="643" t="s">
        <v>2985</v>
      </c>
      <c r="C3316" s="642" t="s">
        <v>32</v>
      </c>
      <c r="D3316" s="642" t="s">
        <v>2986</v>
      </c>
      <c r="E3316" s="906" t="s">
        <v>2925</v>
      </c>
      <c r="F3316" s="906"/>
      <c r="G3316" s="644" t="s">
        <v>118</v>
      </c>
      <c r="H3316" s="645">
        <v>1</v>
      </c>
      <c r="I3316" s="646">
        <v>1785.21</v>
      </c>
      <c r="J3316" s="646">
        <v>1785.21</v>
      </c>
    </row>
    <row r="3317" spans="1:10" ht="38.25" customHeight="1" x14ac:dyDescent="0.3">
      <c r="A3317" s="519" t="s">
        <v>2434</v>
      </c>
      <c r="B3317" s="520" t="s">
        <v>3662</v>
      </c>
      <c r="C3317" s="519" t="s">
        <v>32</v>
      </c>
      <c r="D3317" s="519" t="s">
        <v>3663</v>
      </c>
      <c r="E3317" s="905" t="s">
        <v>2465</v>
      </c>
      <c r="F3317" s="905"/>
      <c r="G3317" s="521" t="s">
        <v>103</v>
      </c>
      <c r="H3317" s="522">
        <v>4.6399999999999997E-2</v>
      </c>
      <c r="I3317" s="523">
        <v>361.05</v>
      </c>
      <c r="J3317" s="523">
        <v>16.75</v>
      </c>
    </row>
    <row r="3318" spans="1:10" ht="38.25" customHeight="1" x14ac:dyDescent="0.3">
      <c r="A3318" s="519" t="s">
        <v>2434</v>
      </c>
      <c r="B3318" s="520" t="s">
        <v>3664</v>
      </c>
      <c r="C3318" s="519" t="s">
        <v>32</v>
      </c>
      <c r="D3318" s="519" t="s">
        <v>3665</v>
      </c>
      <c r="E3318" s="905" t="s">
        <v>2465</v>
      </c>
      <c r="F3318" s="905"/>
      <c r="G3318" s="521" t="s">
        <v>110</v>
      </c>
      <c r="H3318" s="522">
        <v>9.4899999999999998E-2</v>
      </c>
      <c r="I3318" s="523">
        <v>142.18</v>
      </c>
      <c r="J3318" s="523">
        <v>13.49</v>
      </c>
    </row>
    <row r="3319" spans="1:10" ht="25" x14ac:dyDescent="0.3">
      <c r="A3319" s="519" t="s">
        <v>2434</v>
      </c>
      <c r="B3319" s="520" t="s">
        <v>3666</v>
      </c>
      <c r="C3319" s="519" t="s">
        <v>32</v>
      </c>
      <c r="D3319" s="519" t="s">
        <v>3667</v>
      </c>
      <c r="E3319" s="905" t="s">
        <v>2433</v>
      </c>
      <c r="F3319" s="905"/>
      <c r="G3319" s="521" t="s">
        <v>1901</v>
      </c>
      <c r="H3319" s="522">
        <v>1.1301000000000001</v>
      </c>
      <c r="I3319" s="523">
        <v>27.43</v>
      </c>
      <c r="J3319" s="523">
        <v>30.99</v>
      </c>
    </row>
    <row r="3320" spans="1:10" ht="50" x14ac:dyDescent="0.3">
      <c r="A3320" s="519" t="s">
        <v>2434</v>
      </c>
      <c r="B3320" s="520" t="s">
        <v>3377</v>
      </c>
      <c r="C3320" s="519" t="s">
        <v>32</v>
      </c>
      <c r="D3320" s="519" t="s">
        <v>3378</v>
      </c>
      <c r="E3320" s="905" t="s">
        <v>2465</v>
      </c>
      <c r="F3320" s="905"/>
      <c r="G3320" s="521" t="s">
        <v>103</v>
      </c>
      <c r="H3320" s="522">
        <v>4.6399999999999997E-2</v>
      </c>
      <c r="I3320" s="523">
        <v>256.01</v>
      </c>
      <c r="J3320" s="523">
        <v>11.87</v>
      </c>
    </row>
    <row r="3321" spans="1:10" ht="38.25" customHeight="1" x14ac:dyDescent="0.3">
      <c r="A3321" s="519" t="s">
        <v>2434</v>
      </c>
      <c r="B3321" s="520" t="s">
        <v>3668</v>
      </c>
      <c r="C3321" s="519" t="s">
        <v>32</v>
      </c>
      <c r="D3321" s="519" t="s">
        <v>3669</v>
      </c>
      <c r="E3321" s="905" t="s">
        <v>2465</v>
      </c>
      <c r="F3321" s="905"/>
      <c r="G3321" s="521" t="s">
        <v>103</v>
      </c>
      <c r="H3321" s="522">
        <v>8.0500000000000002E-2</v>
      </c>
      <c r="I3321" s="523">
        <v>227.21</v>
      </c>
      <c r="J3321" s="523">
        <v>18.29</v>
      </c>
    </row>
    <row r="3322" spans="1:10" ht="38.25" customHeight="1" x14ac:dyDescent="0.3">
      <c r="A3322" s="519" t="s">
        <v>2434</v>
      </c>
      <c r="B3322" s="520" t="s">
        <v>3670</v>
      </c>
      <c r="C3322" s="519" t="s">
        <v>32</v>
      </c>
      <c r="D3322" s="519" t="s">
        <v>3671</v>
      </c>
      <c r="E3322" s="905" t="s">
        <v>2465</v>
      </c>
      <c r="F3322" s="905"/>
      <c r="G3322" s="521" t="s">
        <v>110</v>
      </c>
      <c r="H3322" s="522">
        <v>6.0699999999999997E-2</v>
      </c>
      <c r="I3322" s="523">
        <v>86.53</v>
      </c>
      <c r="J3322" s="523">
        <v>5.25</v>
      </c>
    </row>
    <row r="3323" spans="1:10" ht="25.5" customHeight="1" x14ac:dyDescent="0.3">
      <c r="A3323" s="519" t="s">
        <v>2434</v>
      </c>
      <c r="B3323" s="520" t="s">
        <v>3672</v>
      </c>
      <c r="C3323" s="519" t="s">
        <v>32</v>
      </c>
      <c r="D3323" s="519" t="s">
        <v>3673</v>
      </c>
      <c r="E3323" s="905" t="s">
        <v>2465</v>
      </c>
      <c r="F3323" s="905"/>
      <c r="G3323" s="521" t="s">
        <v>110</v>
      </c>
      <c r="H3323" s="522">
        <v>0.1071</v>
      </c>
      <c r="I3323" s="523">
        <v>48.8</v>
      </c>
      <c r="J3323" s="523">
        <v>5.22</v>
      </c>
    </row>
    <row r="3324" spans="1:10" ht="25.5" customHeight="1" x14ac:dyDescent="0.3">
      <c r="A3324" s="519" t="s">
        <v>2434</v>
      </c>
      <c r="B3324" s="520" t="s">
        <v>3674</v>
      </c>
      <c r="C3324" s="519" t="s">
        <v>32</v>
      </c>
      <c r="D3324" s="519" t="s">
        <v>3675</v>
      </c>
      <c r="E3324" s="905" t="s">
        <v>2465</v>
      </c>
      <c r="F3324" s="905"/>
      <c r="G3324" s="521" t="s">
        <v>103</v>
      </c>
      <c r="H3324" s="522">
        <v>3.4099999999999998E-2</v>
      </c>
      <c r="I3324" s="523">
        <v>129.55000000000001</v>
      </c>
      <c r="J3324" s="523">
        <v>4.41</v>
      </c>
    </row>
    <row r="3325" spans="1:10" ht="38.25" customHeight="1" x14ac:dyDescent="0.3">
      <c r="A3325" s="519" t="s">
        <v>2434</v>
      </c>
      <c r="B3325" s="520" t="s">
        <v>2966</v>
      </c>
      <c r="C3325" s="519" t="s">
        <v>32</v>
      </c>
      <c r="D3325" s="519" t="s">
        <v>2967</v>
      </c>
      <c r="E3325" s="905" t="s">
        <v>2465</v>
      </c>
      <c r="F3325" s="905"/>
      <c r="G3325" s="521" t="s">
        <v>103</v>
      </c>
      <c r="H3325" s="522">
        <v>4.19E-2</v>
      </c>
      <c r="I3325" s="523">
        <v>217.4</v>
      </c>
      <c r="J3325" s="523">
        <v>9.1</v>
      </c>
    </row>
    <row r="3326" spans="1:10" ht="38.25" customHeight="1" x14ac:dyDescent="0.3">
      <c r="A3326" s="519" t="s">
        <v>2434</v>
      </c>
      <c r="B3326" s="520" t="s">
        <v>2968</v>
      </c>
      <c r="C3326" s="519" t="s">
        <v>32</v>
      </c>
      <c r="D3326" s="519" t="s">
        <v>2969</v>
      </c>
      <c r="E3326" s="905" t="s">
        <v>2465</v>
      </c>
      <c r="F3326" s="905"/>
      <c r="G3326" s="521" t="s">
        <v>110</v>
      </c>
      <c r="H3326" s="522">
        <v>9.9000000000000005E-2</v>
      </c>
      <c r="I3326" s="523">
        <v>93.16</v>
      </c>
      <c r="J3326" s="523">
        <v>9.2200000000000006</v>
      </c>
    </row>
    <row r="3327" spans="1:10" ht="38" thickBot="1" x14ac:dyDescent="0.35">
      <c r="A3327" s="519" t="s">
        <v>2437</v>
      </c>
      <c r="B3327" s="520" t="s">
        <v>2987</v>
      </c>
      <c r="C3327" s="519" t="s">
        <v>32</v>
      </c>
      <c r="D3327" s="519" t="s">
        <v>2988</v>
      </c>
      <c r="E3327" s="905" t="s">
        <v>2442</v>
      </c>
      <c r="F3327" s="905"/>
      <c r="G3327" s="521" t="s">
        <v>381</v>
      </c>
      <c r="H3327" s="522">
        <v>2.5548000000000002</v>
      </c>
      <c r="I3327" s="523">
        <v>650</v>
      </c>
      <c r="J3327" s="523">
        <v>1660.62</v>
      </c>
    </row>
    <row r="3328" spans="1:10" s="358" customFormat="1" ht="14.5" thickTop="1" x14ac:dyDescent="0.3">
      <c r="A3328" s="647"/>
      <c r="B3328" s="647"/>
      <c r="C3328" s="647"/>
      <c r="D3328" s="647"/>
      <c r="E3328" s="647"/>
      <c r="F3328" s="647"/>
      <c r="G3328" s="647"/>
      <c r="H3328" s="647"/>
      <c r="I3328" s="647"/>
      <c r="J3328"/>
    </row>
    <row r="3329" spans="1:10" x14ac:dyDescent="0.3">
      <c r="A3329" s="516"/>
      <c r="B3329" s="517" t="s">
        <v>15</v>
      </c>
      <c r="C3329" s="516" t="s">
        <v>16</v>
      </c>
      <c r="D3329" s="516" t="s">
        <v>17</v>
      </c>
      <c r="E3329" s="904" t="s">
        <v>2431</v>
      </c>
      <c r="F3329" s="904"/>
      <c r="G3329" s="518" t="s">
        <v>18</v>
      </c>
      <c r="H3329" s="517" t="s">
        <v>19</v>
      </c>
      <c r="I3329" s="517" t="s">
        <v>20</v>
      </c>
      <c r="J3329" s="517" t="s">
        <v>23</v>
      </c>
    </row>
    <row r="3330" spans="1:10" s="358" customFormat="1" x14ac:dyDescent="0.3">
      <c r="A3330" s="642" t="s">
        <v>2432</v>
      </c>
      <c r="B3330" s="643" t="s">
        <v>3676</v>
      </c>
      <c r="C3330" s="642" t="s">
        <v>125</v>
      </c>
      <c r="D3330" s="642" t="s">
        <v>3112</v>
      </c>
      <c r="E3330" s="906" t="s">
        <v>1328</v>
      </c>
      <c r="F3330" s="906"/>
      <c r="G3330" s="644" t="s">
        <v>118</v>
      </c>
      <c r="H3330" s="645">
        <v>1</v>
      </c>
      <c r="I3330" s="646">
        <v>46.8</v>
      </c>
      <c r="J3330" s="646">
        <v>46.8</v>
      </c>
    </row>
    <row r="3331" spans="1:10" ht="14.25" customHeight="1" x14ac:dyDescent="0.3">
      <c r="A3331" s="902"/>
      <c r="B3331" s="902"/>
      <c r="C3331" s="902"/>
      <c r="D3331" s="902"/>
      <c r="E3331" s="902"/>
      <c r="F3331" s="902" t="s">
        <v>2476</v>
      </c>
      <c r="G3331" s="902"/>
      <c r="H3331" s="902"/>
      <c r="I3331" s="525">
        <v>0</v>
      </c>
      <c r="J3331"/>
    </row>
    <row r="3332" spans="1:10" ht="14.25" customHeight="1" x14ac:dyDescent="0.3">
      <c r="A3332" s="902"/>
      <c r="B3332" s="902"/>
      <c r="C3332" s="902"/>
      <c r="D3332" s="902"/>
      <c r="E3332" s="902"/>
      <c r="F3332" s="902" t="s">
        <v>2477</v>
      </c>
      <c r="G3332" s="902"/>
      <c r="H3332" s="902"/>
      <c r="I3332" s="525">
        <v>2.24E-2</v>
      </c>
      <c r="J3332"/>
    </row>
    <row r="3333" spans="1:10" x14ac:dyDescent="0.3">
      <c r="A3333" s="902"/>
      <c r="B3333" s="902"/>
      <c r="C3333" s="902"/>
      <c r="D3333" s="902"/>
      <c r="E3333" s="902"/>
      <c r="F3333" s="902" t="s">
        <v>2478</v>
      </c>
      <c r="G3333" s="902"/>
      <c r="H3333" s="902"/>
      <c r="I3333" s="525">
        <v>0</v>
      </c>
      <c r="J3333"/>
    </row>
    <row r="3334" spans="1:10" ht="14.25" customHeight="1" x14ac:dyDescent="0.3">
      <c r="A3334" s="902"/>
      <c r="B3334" s="902"/>
      <c r="C3334" s="902"/>
      <c r="D3334" s="902"/>
      <c r="E3334" s="902"/>
      <c r="F3334" s="902" t="s">
        <v>2479</v>
      </c>
      <c r="G3334" s="902"/>
      <c r="H3334" s="902"/>
      <c r="I3334" s="525">
        <v>0.5</v>
      </c>
      <c r="J3334"/>
    </row>
    <row r="3335" spans="1:10" ht="14.25" customHeight="1" x14ac:dyDescent="0.3">
      <c r="A3335" s="902"/>
      <c r="B3335" s="902"/>
      <c r="C3335" s="902"/>
      <c r="D3335" s="902"/>
      <c r="E3335" s="902"/>
      <c r="F3335" s="902" t="s">
        <v>2480</v>
      </c>
      <c r="G3335" s="902"/>
      <c r="H3335" s="902"/>
      <c r="I3335" s="525">
        <v>0</v>
      </c>
      <c r="J3335"/>
    </row>
    <row r="3336" spans="1:10" ht="15" customHeight="1" x14ac:dyDescent="0.3">
      <c r="A3336" s="516" t="s">
        <v>2574</v>
      </c>
      <c r="B3336" s="517" t="s">
        <v>16</v>
      </c>
      <c r="C3336" s="516" t="s">
        <v>15</v>
      </c>
      <c r="D3336" s="516" t="s">
        <v>2575</v>
      </c>
      <c r="E3336" s="517" t="s">
        <v>2467</v>
      </c>
      <c r="F3336" s="517" t="s">
        <v>2576</v>
      </c>
      <c r="G3336" s="903" t="s">
        <v>2577</v>
      </c>
      <c r="H3336" s="903"/>
      <c r="I3336" s="517" t="s">
        <v>2470</v>
      </c>
      <c r="J3336"/>
    </row>
    <row r="3337" spans="1:10" ht="25" x14ac:dyDescent="0.3">
      <c r="A3337" s="519" t="s">
        <v>2578</v>
      </c>
      <c r="B3337" s="520" t="s">
        <v>32</v>
      </c>
      <c r="C3337" s="519">
        <v>88316</v>
      </c>
      <c r="D3337" s="519" t="s">
        <v>2562</v>
      </c>
      <c r="E3337" s="522">
        <v>2</v>
      </c>
      <c r="F3337" s="521" t="s">
        <v>1901</v>
      </c>
      <c r="G3337" s="907">
        <v>23.4</v>
      </c>
      <c r="H3337" s="907"/>
      <c r="I3337" s="524">
        <v>46.8</v>
      </c>
      <c r="J3337"/>
    </row>
    <row r="3338" spans="1:10" ht="15" customHeight="1" thickBot="1" x14ac:dyDescent="0.35">
      <c r="A3338" s="902"/>
      <c r="B3338" s="902"/>
      <c r="C3338" s="902"/>
      <c r="D3338" s="902"/>
      <c r="E3338" s="902"/>
      <c r="F3338" s="902" t="s">
        <v>2579</v>
      </c>
      <c r="G3338" s="902"/>
      <c r="H3338" s="902"/>
      <c r="I3338" s="525">
        <v>46.8</v>
      </c>
      <c r="J3338"/>
    </row>
    <row r="3339" spans="1:10" s="358" customFormat="1" ht="14.5" thickTop="1" x14ac:dyDescent="0.3">
      <c r="A3339" s="647"/>
      <c r="B3339" s="647"/>
      <c r="C3339" s="647"/>
      <c r="D3339" s="647"/>
      <c r="E3339" s="647"/>
      <c r="F3339" s="647"/>
      <c r="G3339" s="647"/>
      <c r="H3339" s="647"/>
      <c r="I3339" s="647"/>
      <c r="J3339"/>
    </row>
    <row r="3340" spans="1:10" x14ac:dyDescent="0.3">
      <c r="A3340" s="516"/>
      <c r="B3340" s="517" t="s">
        <v>15</v>
      </c>
      <c r="C3340" s="516" t="s">
        <v>16</v>
      </c>
      <c r="D3340" s="516" t="s">
        <v>17</v>
      </c>
      <c r="E3340" s="904" t="s">
        <v>2431</v>
      </c>
      <c r="F3340" s="904"/>
      <c r="G3340" s="518" t="s">
        <v>18</v>
      </c>
      <c r="H3340" s="517" t="s">
        <v>19</v>
      </c>
      <c r="I3340" s="517" t="s">
        <v>20</v>
      </c>
      <c r="J3340" s="517" t="s">
        <v>23</v>
      </c>
    </row>
    <row r="3341" spans="1:10" s="358" customFormat="1" ht="25" x14ac:dyDescent="0.3">
      <c r="A3341" s="642" t="s">
        <v>2432</v>
      </c>
      <c r="B3341" s="643" t="s">
        <v>2935</v>
      </c>
      <c r="C3341" s="642" t="s">
        <v>243</v>
      </c>
      <c r="D3341" s="642" t="s">
        <v>4496</v>
      </c>
      <c r="E3341" s="906">
        <v>9</v>
      </c>
      <c r="F3341" s="906"/>
      <c r="G3341" s="644" t="s">
        <v>89</v>
      </c>
      <c r="H3341" s="645">
        <v>1</v>
      </c>
      <c r="I3341" s="646">
        <v>45123.01</v>
      </c>
      <c r="J3341" s="646">
        <v>45123.01</v>
      </c>
    </row>
    <row r="3342" spans="1:10" ht="25" x14ac:dyDescent="0.3">
      <c r="A3342" s="519" t="s">
        <v>2434</v>
      </c>
      <c r="B3342" s="520" t="s">
        <v>2642</v>
      </c>
      <c r="C3342" s="519" t="s">
        <v>32</v>
      </c>
      <c r="D3342" s="519" t="s">
        <v>2643</v>
      </c>
      <c r="E3342" s="905" t="s">
        <v>2433</v>
      </c>
      <c r="F3342" s="905"/>
      <c r="G3342" s="521" t="s">
        <v>1901</v>
      </c>
      <c r="H3342" s="522">
        <v>42.17</v>
      </c>
      <c r="I3342" s="523">
        <v>31.81</v>
      </c>
      <c r="J3342" s="523">
        <v>1341.42</v>
      </c>
    </row>
    <row r="3343" spans="1:10" ht="38.25" customHeight="1" x14ac:dyDescent="0.3">
      <c r="A3343" s="519" t="s">
        <v>2434</v>
      </c>
      <c r="B3343" s="520" t="s">
        <v>3681</v>
      </c>
      <c r="C3343" s="519" t="s">
        <v>32</v>
      </c>
      <c r="D3343" s="519" t="s">
        <v>3682</v>
      </c>
      <c r="E3343" s="905" t="s">
        <v>2465</v>
      </c>
      <c r="F3343" s="905"/>
      <c r="G3343" s="521" t="s">
        <v>1901</v>
      </c>
      <c r="H3343" s="522">
        <v>10.695</v>
      </c>
      <c r="I3343" s="523">
        <v>0.01</v>
      </c>
      <c r="J3343" s="523">
        <v>0.1</v>
      </c>
    </row>
    <row r="3344" spans="1:10" ht="25.5" customHeight="1" x14ac:dyDescent="0.3">
      <c r="A3344" s="519" t="s">
        <v>2434</v>
      </c>
      <c r="B3344" s="520" t="s">
        <v>2559</v>
      </c>
      <c r="C3344" s="519" t="s">
        <v>32</v>
      </c>
      <c r="D3344" s="519" t="s">
        <v>2560</v>
      </c>
      <c r="E3344" s="905" t="s">
        <v>2433</v>
      </c>
      <c r="F3344" s="905"/>
      <c r="G3344" s="521" t="s">
        <v>1901</v>
      </c>
      <c r="H3344" s="522">
        <v>15.67</v>
      </c>
      <c r="I3344" s="523">
        <v>25.36</v>
      </c>
      <c r="J3344" s="523">
        <v>397.39</v>
      </c>
    </row>
    <row r="3345" spans="1:10" ht="38.25" customHeight="1" x14ac:dyDescent="0.3">
      <c r="A3345" s="519" t="s">
        <v>2434</v>
      </c>
      <c r="B3345" s="520" t="s">
        <v>3677</v>
      </c>
      <c r="C3345" s="519" t="s">
        <v>32</v>
      </c>
      <c r="D3345" s="519" t="s">
        <v>3678</v>
      </c>
      <c r="E3345" s="905" t="s">
        <v>2465</v>
      </c>
      <c r="F3345" s="905"/>
      <c r="G3345" s="521" t="s">
        <v>1901</v>
      </c>
      <c r="H3345" s="522">
        <v>2.6724999999999999</v>
      </c>
      <c r="I3345" s="523">
        <v>0.92</v>
      </c>
      <c r="J3345" s="523">
        <v>2.4500000000000002</v>
      </c>
    </row>
    <row r="3346" spans="1:10" ht="62.5" x14ac:dyDescent="0.3">
      <c r="A3346" s="519" t="s">
        <v>2434</v>
      </c>
      <c r="B3346" s="520" t="s">
        <v>3679</v>
      </c>
      <c r="C3346" s="519" t="s">
        <v>32</v>
      </c>
      <c r="D3346" s="519" t="s">
        <v>3680</v>
      </c>
      <c r="E3346" s="905" t="s">
        <v>2465</v>
      </c>
      <c r="F3346" s="905"/>
      <c r="G3346" s="521" t="s">
        <v>1901</v>
      </c>
      <c r="H3346" s="522">
        <v>8.9599999999999999E-2</v>
      </c>
      <c r="I3346" s="523">
        <v>0.67</v>
      </c>
      <c r="J3346" s="523">
        <v>0.06</v>
      </c>
    </row>
    <row r="3347" spans="1:10" ht="25" x14ac:dyDescent="0.3">
      <c r="A3347" s="519" t="s">
        <v>2437</v>
      </c>
      <c r="B3347" s="520" t="s">
        <v>3683</v>
      </c>
      <c r="C3347" s="519" t="s">
        <v>32</v>
      </c>
      <c r="D3347" s="519" t="s">
        <v>3684</v>
      </c>
      <c r="E3347" s="905" t="s">
        <v>2442</v>
      </c>
      <c r="F3347" s="905"/>
      <c r="G3347" s="521" t="s">
        <v>89</v>
      </c>
      <c r="H3347" s="522">
        <v>8</v>
      </c>
      <c r="I3347" s="523">
        <v>61.13</v>
      </c>
      <c r="J3347" s="523">
        <v>489.04</v>
      </c>
    </row>
    <row r="3348" spans="1:10" x14ac:dyDescent="0.3">
      <c r="A3348" s="519" t="s">
        <v>2437</v>
      </c>
      <c r="B3348" s="520" t="s">
        <v>3685</v>
      </c>
      <c r="C3348" s="519" t="s">
        <v>32</v>
      </c>
      <c r="D3348" s="519" t="s">
        <v>4535</v>
      </c>
      <c r="E3348" s="905" t="s">
        <v>2442</v>
      </c>
      <c r="F3348" s="905"/>
      <c r="G3348" s="521" t="s">
        <v>1369</v>
      </c>
      <c r="H3348" s="522">
        <v>1362.3</v>
      </c>
      <c r="I3348" s="523">
        <v>7.88</v>
      </c>
      <c r="J3348" s="523">
        <v>10734.92</v>
      </c>
    </row>
    <row r="3349" spans="1:10" x14ac:dyDescent="0.3">
      <c r="A3349" s="519" t="s">
        <v>2437</v>
      </c>
      <c r="B3349" s="520" t="s">
        <v>3686</v>
      </c>
      <c r="C3349" s="519" t="s">
        <v>32</v>
      </c>
      <c r="D3349" s="519" t="s">
        <v>3687</v>
      </c>
      <c r="E3349" s="905" t="s">
        <v>2442</v>
      </c>
      <c r="F3349" s="905"/>
      <c r="G3349" s="521" t="s">
        <v>1369</v>
      </c>
      <c r="H3349" s="522">
        <v>39.548000000000002</v>
      </c>
      <c r="I3349" s="523">
        <v>40.590000000000003</v>
      </c>
      <c r="J3349" s="523">
        <v>1605.25</v>
      </c>
    </row>
    <row r="3350" spans="1:10" ht="37.5" x14ac:dyDescent="0.3">
      <c r="A3350" s="519" t="s">
        <v>2437</v>
      </c>
      <c r="B3350" s="520" t="s">
        <v>3688</v>
      </c>
      <c r="C3350" s="519" t="s">
        <v>32</v>
      </c>
      <c r="D3350" s="519" t="s">
        <v>3689</v>
      </c>
      <c r="E3350" s="905" t="s">
        <v>2785</v>
      </c>
      <c r="F3350" s="905"/>
      <c r="G3350" s="521" t="s">
        <v>89</v>
      </c>
      <c r="H3350" s="522">
        <v>29.477</v>
      </c>
      <c r="I3350" s="523">
        <v>849.9</v>
      </c>
      <c r="J3350" s="523">
        <v>25052.5</v>
      </c>
    </row>
    <row r="3351" spans="1:10" ht="25" x14ac:dyDescent="0.3">
      <c r="A3351" s="519" t="s">
        <v>2437</v>
      </c>
      <c r="B3351" s="520" t="s">
        <v>3690</v>
      </c>
      <c r="C3351" s="519" t="s">
        <v>32</v>
      </c>
      <c r="D3351" s="519" t="s">
        <v>3691</v>
      </c>
      <c r="E3351" s="905" t="s">
        <v>2442</v>
      </c>
      <c r="F3351" s="905"/>
      <c r="G3351" s="521" t="s">
        <v>194</v>
      </c>
      <c r="H3351" s="522">
        <v>4</v>
      </c>
      <c r="I3351" s="523">
        <v>1100.6400000000001</v>
      </c>
      <c r="J3351" s="523">
        <v>4402.5600000000004</v>
      </c>
    </row>
    <row r="3352" spans="1:10" ht="25.5" thickBot="1" x14ac:dyDescent="0.35">
      <c r="A3352" s="519" t="s">
        <v>2437</v>
      </c>
      <c r="B3352" s="520" t="s">
        <v>3692</v>
      </c>
      <c r="C3352" s="519" t="s">
        <v>32</v>
      </c>
      <c r="D3352" s="519" t="s">
        <v>4536</v>
      </c>
      <c r="E3352" s="905" t="s">
        <v>2442</v>
      </c>
      <c r="F3352" s="905"/>
      <c r="G3352" s="521" t="s">
        <v>194</v>
      </c>
      <c r="H3352" s="522">
        <v>2</v>
      </c>
      <c r="I3352" s="523">
        <v>548.66</v>
      </c>
      <c r="J3352" s="523">
        <v>1097.32</v>
      </c>
    </row>
    <row r="3353" spans="1:10" ht="14.5" thickTop="1" x14ac:dyDescent="0.3">
      <c r="A3353" s="647"/>
      <c r="B3353" s="647"/>
      <c r="C3353" s="647"/>
      <c r="D3353" s="647"/>
      <c r="E3353" s="647"/>
      <c r="F3353" s="647"/>
      <c r="G3353" s="647"/>
      <c r="H3353" s="647"/>
      <c r="I3353" s="647"/>
      <c r="J3353"/>
    </row>
    <row r="3354" spans="1:10" x14ac:dyDescent="0.3">
      <c r="A3354" s="516"/>
      <c r="B3354" s="517" t="s">
        <v>15</v>
      </c>
      <c r="C3354" s="516" t="s">
        <v>16</v>
      </c>
      <c r="D3354" s="516" t="s">
        <v>17</v>
      </c>
      <c r="E3354" s="904" t="s">
        <v>2431</v>
      </c>
      <c r="F3354" s="904"/>
      <c r="G3354" s="518" t="s">
        <v>18</v>
      </c>
      <c r="H3354" s="517" t="s">
        <v>19</v>
      </c>
      <c r="I3354" s="517" t="s">
        <v>20</v>
      </c>
      <c r="J3354" s="517" t="s">
        <v>23</v>
      </c>
    </row>
    <row r="3355" spans="1:10" s="358" customFormat="1" ht="25" x14ac:dyDescent="0.3">
      <c r="A3355" s="642" t="s">
        <v>2432</v>
      </c>
      <c r="B3355" s="643" t="s">
        <v>2937</v>
      </c>
      <c r="C3355" s="642" t="s">
        <v>243</v>
      </c>
      <c r="D3355" s="642" t="s">
        <v>4499</v>
      </c>
      <c r="E3355" s="906">
        <v>9</v>
      </c>
      <c r="F3355" s="906"/>
      <c r="G3355" s="644" t="s">
        <v>89</v>
      </c>
      <c r="H3355" s="645">
        <v>1</v>
      </c>
      <c r="I3355" s="646">
        <v>49753.760000000002</v>
      </c>
      <c r="J3355" s="646">
        <v>49753.760000000002</v>
      </c>
    </row>
    <row r="3356" spans="1:10" ht="25" x14ac:dyDescent="0.3">
      <c r="A3356" s="519" t="s">
        <v>2434</v>
      </c>
      <c r="B3356" s="520" t="s">
        <v>2642</v>
      </c>
      <c r="C3356" s="519" t="s">
        <v>32</v>
      </c>
      <c r="D3356" s="519" t="s">
        <v>2643</v>
      </c>
      <c r="E3356" s="905" t="s">
        <v>2433</v>
      </c>
      <c r="F3356" s="905"/>
      <c r="G3356" s="521" t="s">
        <v>1901</v>
      </c>
      <c r="H3356" s="522">
        <v>42.17</v>
      </c>
      <c r="I3356" s="523">
        <v>31.81</v>
      </c>
      <c r="J3356" s="523">
        <v>1341.42</v>
      </c>
    </row>
    <row r="3357" spans="1:10" s="358" customFormat="1" ht="38.25" customHeight="1" x14ac:dyDescent="0.3">
      <c r="A3357" s="519" t="s">
        <v>2434</v>
      </c>
      <c r="B3357" s="520" t="s">
        <v>3681</v>
      </c>
      <c r="C3357" s="519" t="s">
        <v>32</v>
      </c>
      <c r="D3357" s="519" t="s">
        <v>3682</v>
      </c>
      <c r="E3357" s="905" t="s">
        <v>2465</v>
      </c>
      <c r="F3357" s="905"/>
      <c r="G3357" s="521" t="s">
        <v>1901</v>
      </c>
      <c r="H3357" s="522">
        <v>10.878</v>
      </c>
      <c r="I3357" s="523">
        <v>0.01</v>
      </c>
      <c r="J3357" s="523">
        <v>0.1</v>
      </c>
    </row>
    <row r="3358" spans="1:10" ht="25" x14ac:dyDescent="0.3">
      <c r="A3358" s="519" t="s">
        <v>2434</v>
      </c>
      <c r="B3358" s="520" t="s">
        <v>2559</v>
      </c>
      <c r="C3358" s="519" t="s">
        <v>32</v>
      </c>
      <c r="D3358" s="519" t="s">
        <v>2560</v>
      </c>
      <c r="E3358" s="905" t="s">
        <v>2433</v>
      </c>
      <c r="F3358" s="905"/>
      <c r="G3358" s="521" t="s">
        <v>1901</v>
      </c>
      <c r="H3358" s="522">
        <v>16.010000000000002</v>
      </c>
      <c r="I3358" s="523">
        <v>25.36</v>
      </c>
      <c r="J3358" s="523">
        <v>406.01</v>
      </c>
    </row>
    <row r="3359" spans="1:10" ht="25.5" customHeight="1" x14ac:dyDescent="0.3">
      <c r="A3359" s="519" t="s">
        <v>2434</v>
      </c>
      <c r="B3359" s="520" t="s">
        <v>3677</v>
      </c>
      <c r="C3359" s="519" t="s">
        <v>32</v>
      </c>
      <c r="D3359" s="519" t="s">
        <v>3678</v>
      </c>
      <c r="E3359" s="905" t="s">
        <v>2465</v>
      </c>
      <c r="F3359" s="905"/>
      <c r="G3359" s="521" t="s">
        <v>1901</v>
      </c>
      <c r="H3359" s="522">
        <v>2.7837999999999998</v>
      </c>
      <c r="I3359" s="523">
        <v>0.92</v>
      </c>
      <c r="J3359" s="523">
        <v>2.56</v>
      </c>
    </row>
    <row r="3360" spans="1:10" ht="25.5" customHeight="1" x14ac:dyDescent="0.3">
      <c r="A3360" s="519" t="s">
        <v>2434</v>
      </c>
      <c r="B3360" s="520" t="s">
        <v>3679</v>
      </c>
      <c r="C3360" s="519" t="s">
        <v>32</v>
      </c>
      <c r="D3360" s="519" t="s">
        <v>3680</v>
      </c>
      <c r="E3360" s="905" t="s">
        <v>2465</v>
      </c>
      <c r="F3360" s="905"/>
      <c r="G3360" s="521" t="s">
        <v>1901</v>
      </c>
      <c r="H3360" s="522">
        <v>8.9599999999999999E-2</v>
      </c>
      <c r="I3360" s="523">
        <v>0.67</v>
      </c>
      <c r="J3360" s="523">
        <v>0.06</v>
      </c>
    </row>
    <row r="3361" spans="1:10" ht="38.25" customHeight="1" x14ac:dyDescent="0.3">
      <c r="A3361" s="519" t="s">
        <v>2437</v>
      </c>
      <c r="B3361" s="520" t="s">
        <v>3683</v>
      </c>
      <c r="C3361" s="519" t="s">
        <v>32</v>
      </c>
      <c r="D3361" s="519" t="s">
        <v>3684</v>
      </c>
      <c r="E3361" s="905" t="s">
        <v>2442</v>
      </c>
      <c r="F3361" s="905"/>
      <c r="G3361" s="521" t="s">
        <v>89</v>
      </c>
      <c r="H3361" s="522">
        <v>8</v>
      </c>
      <c r="I3361" s="523">
        <v>61.13</v>
      </c>
      <c r="J3361" s="523">
        <v>489.04</v>
      </c>
    </row>
    <row r="3362" spans="1:10" x14ac:dyDescent="0.3">
      <c r="A3362" s="519" t="s">
        <v>2437</v>
      </c>
      <c r="B3362" s="520" t="s">
        <v>3685</v>
      </c>
      <c r="C3362" s="519" t="s">
        <v>32</v>
      </c>
      <c r="D3362" s="519" t="s">
        <v>4535</v>
      </c>
      <c r="E3362" s="905" t="s">
        <v>2442</v>
      </c>
      <c r="F3362" s="905"/>
      <c r="G3362" s="521" t="s">
        <v>1369</v>
      </c>
      <c r="H3362" s="522">
        <v>1362.3</v>
      </c>
      <c r="I3362" s="523">
        <v>7.88</v>
      </c>
      <c r="J3362" s="523">
        <v>10734.92</v>
      </c>
    </row>
    <row r="3363" spans="1:10" x14ac:dyDescent="0.3">
      <c r="A3363" s="519" t="s">
        <v>2437</v>
      </c>
      <c r="B3363" s="520" t="s">
        <v>3686</v>
      </c>
      <c r="C3363" s="519" t="s">
        <v>32</v>
      </c>
      <c r="D3363" s="519" t="s">
        <v>3687</v>
      </c>
      <c r="E3363" s="905" t="s">
        <v>2442</v>
      </c>
      <c r="F3363" s="905"/>
      <c r="G3363" s="521" t="s">
        <v>1369</v>
      </c>
      <c r="H3363" s="522">
        <v>39.548000000000002</v>
      </c>
      <c r="I3363" s="523">
        <v>40.590000000000003</v>
      </c>
      <c r="J3363" s="523">
        <v>1605.25</v>
      </c>
    </row>
    <row r="3364" spans="1:10" ht="37.5" x14ac:dyDescent="0.3">
      <c r="A3364" s="519" t="s">
        <v>2437</v>
      </c>
      <c r="B3364" s="520" t="s">
        <v>3688</v>
      </c>
      <c r="C3364" s="519" t="s">
        <v>32</v>
      </c>
      <c r="D3364" s="519" t="s">
        <v>3689</v>
      </c>
      <c r="E3364" s="905" t="s">
        <v>2785</v>
      </c>
      <c r="F3364" s="905"/>
      <c r="G3364" s="521" t="s">
        <v>89</v>
      </c>
      <c r="H3364" s="522">
        <v>29.477</v>
      </c>
      <c r="I3364" s="523">
        <v>849.9</v>
      </c>
      <c r="J3364" s="523">
        <v>25052.5</v>
      </c>
    </row>
    <row r="3365" spans="1:10" ht="25" x14ac:dyDescent="0.3">
      <c r="A3365" s="519" t="s">
        <v>2437</v>
      </c>
      <c r="B3365" s="520" t="s">
        <v>3690</v>
      </c>
      <c r="C3365" s="519" t="s">
        <v>32</v>
      </c>
      <c r="D3365" s="519" t="s">
        <v>3691</v>
      </c>
      <c r="E3365" s="905" t="s">
        <v>2442</v>
      </c>
      <c r="F3365" s="905"/>
      <c r="G3365" s="521" t="s">
        <v>194</v>
      </c>
      <c r="H3365" s="522">
        <v>8</v>
      </c>
      <c r="I3365" s="523">
        <v>1100.6400000000001</v>
      </c>
      <c r="J3365" s="523">
        <v>8805.1200000000008</v>
      </c>
    </row>
    <row r="3366" spans="1:10" ht="25.5" thickBot="1" x14ac:dyDescent="0.35">
      <c r="A3366" s="519" t="s">
        <v>2437</v>
      </c>
      <c r="B3366" s="520" t="s">
        <v>3692</v>
      </c>
      <c r="C3366" s="519" t="s">
        <v>32</v>
      </c>
      <c r="D3366" s="519" t="s">
        <v>4536</v>
      </c>
      <c r="E3366" s="905" t="s">
        <v>2442</v>
      </c>
      <c r="F3366" s="905"/>
      <c r="G3366" s="521" t="s">
        <v>194</v>
      </c>
      <c r="H3366" s="522">
        <v>2.4</v>
      </c>
      <c r="I3366" s="523">
        <v>548.66</v>
      </c>
      <c r="J3366" s="523">
        <v>1316.78</v>
      </c>
    </row>
    <row r="3367" spans="1:10" ht="14.5" thickTop="1" x14ac:dyDescent="0.3">
      <c r="A3367" s="647"/>
      <c r="B3367" s="647"/>
      <c r="C3367" s="647"/>
      <c r="D3367" s="647"/>
      <c r="E3367" s="647"/>
      <c r="F3367" s="647"/>
      <c r="G3367" s="647"/>
      <c r="H3367" s="647"/>
      <c r="I3367" s="647"/>
      <c r="J3367"/>
    </row>
    <row r="3368" spans="1:10" x14ac:dyDescent="0.3">
      <c r="A3368" s="516"/>
      <c r="B3368" s="517" t="s">
        <v>15</v>
      </c>
      <c r="C3368" s="516" t="s">
        <v>16</v>
      </c>
      <c r="D3368" s="516" t="s">
        <v>17</v>
      </c>
      <c r="E3368" s="904" t="s">
        <v>2431</v>
      </c>
      <c r="F3368" s="904"/>
      <c r="G3368" s="518" t="s">
        <v>18</v>
      </c>
      <c r="H3368" s="517" t="s">
        <v>19</v>
      </c>
      <c r="I3368" s="517" t="s">
        <v>20</v>
      </c>
      <c r="J3368" s="517" t="s">
        <v>23</v>
      </c>
    </row>
    <row r="3369" spans="1:10" ht="25" x14ac:dyDescent="0.3">
      <c r="A3369" s="642" t="s">
        <v>2432</v>
      </c>
      <c r="B3369" s="643" t="s">
        <v>3028</v>
      </c>
      <c r="C3369" s="642" t="s">
        <v>243</v>
      </c>
      <c r="D3369" s="642" t="s">
        <v>4505</v>
      </c>
      <c r="E3369" s="906">
        <v>9</v>
      </c>
      <c r="F3369" s="906"/>
      <c r="G3369" s="644" t="s">
        <v>89</v>
      </c>
      <c r="H3369" s="645">
        <v>1</v>
      </c>
      <c r="I3369" s="646">
        <v>53811.75</v>
      </c>
      <c r="J3369" s="646">
        <v>53811.75</v>
      </c>
    </row>
    <row r="3370" spans="1:10" ht="25" x14ac:dyDescent="0.3">
      <c r="A3370" s="519" t="s">
        <v>2434</v>
      </c>
      <c r="B3370" s="520" t="s">
        <v>2642</v>
      </c>
      <c r="C3370" s="519" t="s">
        <v>32</v>
      </c>
      <c r="D3370" s="519" t="s">
        <v>2643</v>
      </c>
      <c r="E3370" s="905" t="s">
        <v>2433</v>
      </c>
      <c r="F3370" s="905"/>
      <c r="G3370" s="521" t="s">
        <v>1901</v>
      </c>
      <c r="H3370" s="522">
        <v>48.93</v>
      </c>
      <c r="I3370" s="523">
        <v>31.81</v>
      </c>
      <c r="J3370" s="523">
        <v>1556.46</v>
      </c>
    </row>
    <row r="3371" spans="1:10" s="358" customFormat="1" ht="38.25" customHeight="1" x14ac:dyDescent="0.3">
      <c r="A3371" s="519" t="s">
        <v>2434</v>
      </c>
      <c r="B3371" s="520" t="s">
        <v>3681</v>
      </c>
      <c r="C3371" s="519" t="s">
        <v>32</v>
      </c>
      <c r="D3371" s="519" t="s">
        <v>3682</v>
      </c>
      <c r="E3371" s="905" t="s">
        <v>2465</v>
      </c>
      <c r="F3371" s="905"/>
      <c r="G3371" s="521" t="s">
        <v>1901</v>
      </c>
      <c r="H3371" s="522">
        <v>10.260999999999999</v>
      </c>
      <c r="I3371" s="523">
        <v>0.01</v>
      </c>
      <c r="J3371" s="523">
        <v>0.1</v>
      </c>
    </row>
    <row r="3372" spans="1:10" ht="25" x14ac:dyDescent="0.3">
      <c r="A3372" s="519" t="s">
        <v>2434</v>
      </c>
      <c r="B3372" s="520" t="s">
        <v>2559</v>
      </c>
      <c r="C3372" s="519" t="s">
        <v>32</v>
      </c>
      <c r="D3372" s="519" t="s">
        <v>2560</v>
      </c>
      <c r="E3372" s="905" t="s">
        <v>2433</v>
      </c>
      <c r="F3372" s="905"/>
      <c r="G3372" s="521" t="s">
        <v>1901</v>
      </c>
      <c r="H3372" s="522">
        <v>15.46</v>
      </c>
      <c r="I3372" s="523">
        <v>25.36</v>
      </c>
      <c r="J3372" s="523">
        <v>392.06</v>
      </c>
    </row>
    <row r="3373" spans="1:10" s="358" customFormat="1" ht="25.5" customHeight="1" x14ac:dyDescent="0.3">
      <c r="A3373" s="519" t="s">
        <v>2434</v>
      </c>
      <c r="B3373" s="520" t="s">
        <v>3677</v>
      </c>
      <c r="C3373" s="519" t="s">
        <v>32</v>
      </c>
      <c r="D3373" s="519" t="s">
        <v>3678</v>
      </c>
      <c r="E3373" s="905" t="s">
        <v>2465</v>
      </c>
      <c r="F3373" s="905"/>
      <c r="G3373" s="521" t="s">
        <v>1901</v>
      </c>
      <c r="H3373" s="522">
        <v>3.0065</v>
      </c>
      <c r="I3373" s="523">
        <v>0.92</v>
      </c>
      <c r="J3373" s="523">
        <v>2.76</v>
      </c>
    </row>
    <row r="3374" spans="1:10" ht="62.5" x14ac:dyDescent="0.3">
      <c r="A3374" s="519" t="s">
        <v>2434</v>
      </c>
      <c r="B3374" s="520" t="s">
        <v>3679</v>
      </c>
      <c r="C3374" s="519" t="s">
        <v>32</v>
      </c>
      <c r="D3374" s="519" t="s">
        <v>3680</v>
      </c>
      <c r="E3374" s="905" t="s">
        <v>2465</v>
      </c>
      <c r="F3374" s="905"/>
      <c r="G3374" s="521" t="s">
        <v>1901</v>
      </c>
      <c r="H3374" s="522">
        <v>8.9599999999999999E-2</v>
      </c>
      <c r="I3374" s="523">
        <v>0.67</v>
      </c>
      <c r="J3374" s="523">
        <v>0.06</v>
      </c>
    </row>
    <row r="3375" spans="1:10" ht="25" x14ac:dyDescent="0.3">
      <c r="A3375" s="519" t="s">
        <v>2437</v>
      </c>
      <c r="B3375" s="520" t="s">
        <v>3683</v>
      </c>
      <c r="C3375" s="519" t="s">
        <v>32</v>
      </c>
      <c r="D3375" s="519" t="s">
        <v>3684</v>
      </c>
      <c r="E3375" s="905" t="s">
        <v>2442</v>
      </c>
      <c r="F3375" s="905"/>
      <c r="G3375" s="521" t="s">
        <v>89</v>
      </c>
      <c r="H3375" s="522">
        <v>8</v>
      </c>
      <c r="I3375" s="523">
        <v>61.13</v>
      </c>
      <c r="J3375" s="523">
        <v>489.04</v>
      </c>
    </row>
    <row r="3376" spans="1:10" ht="25.5" customHeight="1" x14ac:dyDescent="0.3">
      <c r="A3376" s="519" t="s">
        <v>2437</v>
      </c>
      <c r="B3376" s="520" t="s">
        <v>3685</v>
      </c>
      <c r="C3376" s="519" t="s">
        <v>32</v>
      </c>
      <c r="D3376" s="519" t="s">
        <v>4535</v>
      </c>
      <c r="E3376" s="905" t="s">
        <v>2442</v>
      </c>
      <c r="F3376" s="905"/>
      <c r="G3376" s="521" t="s">
        <v>1369</v>
      </c>
      <c r="H3376" s="522">
        <v>1868.1</v>
      </c>
      <c r="I3376" s="523">
        <v>7.88</v>
      </c>
      <c r="J3376" s="523">
        <v>14720.62</v>
      </c>
    </row>
    <row r="3377" spans="1:10" ht="38.25" customHeight="1" x14ac:dyDescent="0.3">
      <c r="A3377" s="519" t="s">
        <v>2437</v>
      </c>
      <c r="B3377" s="520" t="s">
        <v>3686</v>
      </c>
      <c r="C3377" s="519" t="s">
        <v>32</v>
      </c>
      <c r="D3377" s="519" t="s">
        <v>3687</v>
      </c>
      <c r="E3377" s="905" t="s">
        <v>2442</v>
      </c>
      <c r="F3377" s="905"/>
      <c r="G3377" s="521" t="s">
        <v>1369</v>
      </c>
      <c r="H3377" s="522">
        <v>45.92</v>
      </c>
      <c r="I3377" s="523">
        <v>40.590000000000003</v>
      </c>
      <c r="J3377" s="523">
        <v>1863.89</v>
      </c>
    </row>
    <row r="3378" spans="1:10" ht="37.5" x14ac:dyDescent="0.3">
      <c r="A3378" s="519" t="s">
        <v>2437</v>
      </c>
      <c r="B3378" s="520" t="s">
        <v>3688</v>
      </c>
      <c r="C3378" s="519" t="s">
        <v>32</v>
      </c>
      <c r="D3378" s="519" t="s">
        <v>3689</v>
      </c>
      <c r="E3378" s="905" t="s">
        <v>2785</v>
      </c>
      <c r="F3378" s="905"/>
      <c r="G3378" s="521" t="s">
        <v>89</v>
      </c>
      <c r="H3378" s="522">
        <v>34.201000000000001</v>
      </c>
      <c r="I3378" s="523">
        <v>849.9</v>
      </c>
      <c r="J3378" s="523">
        <v>29067.42</v>
      </c>
    </row>
    <row r="3379" spans="1:10" ht="25" x14ac:dyDescent="0.3">
      <c r="A3379" s="519" t="s">
        <v>2437</v>
      </c>
      <c r="B3379" s="520" t="s">
        <v>3690</v>
      </c>
      <c r="C3379" s="519" t="s">
        <v>32</v>
      </c>
      <c r="D3379" s="519" t="s">
        <v>3691</v>
      </c>
      <c r="E3379" s="905" t="s">
        <v>2442</v>
      </c>
      <c r="F3379" s="905"/>
      <c r="G3379" s="521" t="s">
        <v>194</v>
      </c>
      <c r="H3379" s="522">
        <v>4</v>
      </c>
      <c r="I3379" s="523">
        <v>1100.6400000000001</v>
      </c>
      <c r="J3379" s="523">
        <v>4402.5600000000004</v>
      </c>
    </row>
    <row r="3380" spans="1:10" ht="25.5" thickBot="1" x14ac:dyDescent="0.35">
      <c r="A3380" s="519" t="s">
        <v>2437</v>
      </c>
      <c r="B3380" s="520" t="s">
        <v>3692</v>
      </c>
      <c r="C3380" s="519" t="s">
        <v>32</v>
      </c>
      <c r="D3380" s="519" t="s">
        <v>4536</v>
      </c>
      <c r="E3380" s="905" t="s">
        <v>2442</v>
      </c>
      <c r="F3380" s="905"/>
      <c r="G3380" s="521" t="s">
        <v>194</v>
      </c>
      <c r="H3380" s="522">
        <v>2.4</v>
      </c>
      <c r="I3380" s="523">
        <v>548.66</v>
      </c>
      <c r="J3380" s="523">
        <v>1316.78</v>
      </c>
    </row>
    <row r="3381" spans="1:10" ht="14.5" thickTop="1" x14ac:dyDescent="0.3">
      <c r="A3381" s="647"/>
      <c r="B3381" s="647"/>
      <c r="C3381" s="647"/>
      <c r="D3381" s="647"/>
      <c r="E3381" s="647"/>
      <c r="F3381" s="647"/>
      <c r="G3381" s="647"/>
      <c r="H3381" s="647"/>
      <c r="I3381" s="647"/>
      <c r="J3381"/>
    </row>
    <row r="3382" spans="1:10" x14ac:dyDescent="0.3">
      <c r="A3382" s="516"/>
      <c r="B3382" s="517" t="s">
        <v>15</v>
      </c>
      <c r="C3382" s="516" t="s">
        <v>16</v>
      </c>
      <c r="D3382" s="516" t="s">
        <v>17</v>
      </c>
      <c r="E3382" s="904" t="s">
        <v>2431</v>
      </c>
      <c r="F3382" s="904"/>
      <c r="G3382" s="518" t="s">
        <v>18</v>
      </c>
      <c r="H3382" s="517" t="s">
        <v>19</v>
      </c>
      <c r="I3382" s="517" t="s">
        <v>20</v>
      </c>
      <c r="J3382" s="517" t="s">
        <v>23</v>
      </c>
    </row>
    <row r="3383" spans="1:10" ht="25" x14ac:dyDescent="0.3">
      <c r="A3383" s="642" t="s">
        <v>2432</v>
      </c>
      <c r="B3383" s="643" t="s">
        <v>2939</v>
      </c>
      <c r="C3383" s="642" t="s">
        <v>243</v>
      </c>
      <c r="D3383" s="642" t="s">
        <v>4501</v>
      </c>
      <c r="E3383" s="906">
        <v>9</v>
      </c>
      <c r="F3383" s="906"/>
      <c r="G3383" s="644" t="s">
        <v>89</v>
      </c>
      <c r="H3383" s="645">
        <v>1</v>
      </c>
      <c r="I3383" s="646">
        <v>58223.29</v>
      </c>
      <c r="J3383" s="646">
        <v>58223.29</v>
      </c>
    </row>
    <row r="3384" spans="1:10" ht="25" x14ac:dyDescent="0.3">
      <c r="A3384" s="519" t="s">
        <v>2434</v>
      </c>
      <c r="B3384" s="520" t="s">
        <v>2642</v>
      </c>
      <c r="C3384" s="519" t="s">
        <v>32</v>
      </c>
      <c r="D3384" s="519" t="s">
        <v>2643</v>
      </c>
      <c r="E3384" s="905" t="s">
        <v>2433</v>
      </c>
      <c r="F3384" s="905"/>
      <c r="G3384" s="521" t="s">
        <v>1901</v>
      </c>
      <c r="H3384" s="522">
        <v>48.93</v>
      </c>
      <c r="I3384" s="523">
        <v>31.81</v>
      </c>
      <c r="J3384" s="523">
        <v>1556.46</v>
      </c>
    </row>
    <row r="3385" spans="1:10" ht="38.25" customHeight="1" x14ac:dyDescent="0.3">
      <c r="A3385" s="519" t="s">
        <v>2434</v>
      </c>
      <c r="B3385" s="520" t="s">
        <v>3681</v>
      </c>
      <c r="C3385" s="519" t="s">
        <v>32</v>
      </c>
      <c r="D3385" s="519" t="s">
        <v>3682</v>
      </c>
      <c r="E3385" s="905" t="s">
        <v>2465</v>
      </c>
      <c r="F3385" s="905"/>
      <c r="G3385" s="521" t="s">
        <v>1901</v>
      </c>
      <c r="H3385" s="522">
        <v>10.445</v>
      </c>
      <c r="I3385" s="523">
        <v>0.01</v>
      </c>
      <c r="J3385" s="523">
        <v>0.1</v>
      </c>
    </row>
    <row r="3386" spans="1:10" ht="25" x14ac:dyDescent="0.3">
      <c r="A3386" s="519" t="s">
        <v>2434</v>
      </c>
      <c r="B3386" s="520" t="s">
        <v>2559</v>
      </c>
      <c r="C3386" s="519" t="s">
        <v>32</v>
      </c>
      <c r="D3386" s="519" t="s">
        <v>2560</v>
      </c>
      <c r="E3386" s="905" t="s">
        <v>2433</v>
      </c>
      <c r="F3386" s="905"/>
      <c r="G3386" s="521" t="s">
        <v>1901</v>
      </c>
      <c r="H3386" s="522">
        <v>15.81</v>
      </c>
      <c r="I3386" s="523">
        <v>25.36</v>
      </c>
      <c r="J3386" s="523">
        <v>400.94</v>
      </c>
    </row>
    <row r="3387" spans="1:10" s="358" customFormat="1" ht="25.5" customHeight="1" x14ac:dyDescent="0.3">
      <c r="A3387" s="519" t="s">
        <v>2434</v>
      </c>
      <c r="B3387" s="520" t="s">
        <v>3677</v>
      </c>
      <c r="C3387" s="519" t="s">
        <v>32</v>
      </c>
      <c r="D3387" s="519" t="s">
        <v>3678</v>
      </c>
      <c r="E3387" s="905" t="s">
        <v>2465</v>
      </c>
      <c r="F3387" s="905"/>
      <c r="G3387" s="521" t="s">
        <v>1901</v>
      </c>
      <c r="H3387" s="522">
        <v>3.1179000000000001</v>
      </c>
      <c r="I3387" s="523">
        <v>0.92</v>
      </c>
      <c r="J3387" s="523">
        <v>2.86</v>
      </c>
    </row>
    <row r="3388" spans="1:10" ht="62.5" x14ac:dyDescent="0.3">
      <c r="A3388" s="519" t="s">
        <v>2434</v>
      </c>
      <c r="B3388" s="520" t="s">
        <v>3679</v>
      </c>
      <c r="C3388" s="519" t="s">
        <v>32</v>
      </c>
      <c r="D3388" s="519" t="s">
        <v>3680</v>
      </c>
      <c r="E3388" s="905" t="s">
        <v>2465</v>
      </c>
      <c r="F3388" s="905"/>
      <c r="G3388" s="521" t="s">
        <v>1901</v>
      </c>
      <c r="H3388" s="522">
        <v>8.9599999999999999E-2</v>
      </c>
      <c r="I3388" s="523">
        <v>0.67</v>
      </c>
      <c r="J3388" s="523">
        <v>0.06</v>
      </c>
    </row>
    <row r="3389" spans="1:10" s="358" customFormat="1" ht="25" x14ac:dyDescent="0.3">
      <c r="A3389" s="519" t="s">
        <v>2437</v>
      </c>
      <c r="B3389" s="520" t="s">
        <v>3683</v>
      </c>
      <c r="C3389" s="519" t="s">
        <v>32</v>
      </c>
      <c r="D3389" s="519" t="s">
        <v>3684</v>
      </c>
      <c r="E3389" s="905" t="s">
        <v>2442</v>
      </c>
      <c r="F3389" s="905"/>
      <c r="G3389" s="521" t="s">
        <v>89</v>
      </c>
      <c r="H3389" s="522">
        <v>8</v>
      </c>
      <c r="I3389" s="523">
        <v>61.13</v>
      </c>
      <c r="J3389" s="523">
        <v>489.04</v>
      </c>
    </row>
    <row r="3390" spans="1:10" x14ac:dyDescent="0.3">
      <c r="A3390" s="519" t="s">
        <v>2437</v>
      </c>
      <c r="B3390" s="520" t="s">
        <v>3685</v>
      </c>
      <c r="C3390" s="519" t="s">
        <v>32</v>
      </c>
      <c r="D3390" s="519" t="s">
        <v>4535</v>
      </c>
      <c r="E3390" s="905" t="s">
        <v>2442</v>
      </c>
      <c r="F3390" s="905"/>
      <c r="G3390" s="521" t="s">
        <v>1369</v>
      </c>
      <c r="H3390" s="522">
        <v>1868.1</v>
      </c>
      <c r="I3390" s="523">
        <v>7.88</v>
      </c>
      <c r="J3390" s="523">
        <v>14720.62</v>
      </c>
    </row>
    <row r="3391" spans="1:10" x14ac:dyDescent="0.3">
      <c r="A3391" s="519" t="s">
        <v>2437</v>
      </c>
      <c r="B3391" s="520" t="s">
        <v>3686</v>
      </c>
      <c r="C3391" s="519" t="s">
        <v>32</v>
      </c>
      <c r="D3391" s="519" t="s">
        <v>3687</v>
      </c>
      <c r="E3391" s="905" t="s">
        <v>2442</v>
      </c>
      <c r="F3391" s="905"/>
      <c r="G3391" s="521" t="s">
        <v>1369</v>
      </c>
      <c r="H3391" s="522">
        <v>45.92</v>
      </c>
      <c r="I3391" s="523">
        <v>40.590000000000003</v>
      </c>
      <c r="J3391" s="523">
        <v>1863.89</v>
      </c>
    </row>
    <row r="3392" spans="1:10" ht="25.5" customHeight="1" x14ac:dyDescent="0.3">
      <c r="A3392" s="519" t="s">
        <v>2437</v>
      </c>
      <c r="B3392" s="520" t="s">
        <v>3688</v>
      </c>
      <c r="C3392" s="519" t="s">
        <v>32</v>
      </c>
      <c r="D3392" s="519" t="s">
        <v>3689</v>
      </c>
      <c r="E3392" s="905" t="s">
        <v>2785</v>
      </c>
      <c r="F3392" s="905"/>
      <c r="G3392" s="521" t="s">
        <v>89</v>
      </c>
      <c r="H3392" s="522">
        <v>34.201000000000001</v>
      </c>
      <c r="I3392" s="523">
        <v>849.9</v>
      </c>
      <c r="J3392" s="523">
        <v>29067.42</v>
      </c>
    </row>
    <row r="3393" spans="1:10" ht="38.25" customHeight="1" x14ac:dyDescent="0.3">
      <c r="A3393" s="519" t="s">
        <v>2437</v>
      </c>
      <c r="B3393" s="520" t="s">
        <v>3690</v>
      </c>
      <c r="C3393" s="519" t="s">
        <v>32</v>
      </c>
      <c r="D3393" s="519" t="s">
        <v>3691</v>
      </c>
      <c r="E3393" s="905" t="s">
        <v>2442</v>
      </c>
      <c r="F3393" s="905"/>
      <c r="G3393" s="521" t="s">
        <v>194</v>
      </c>
      <c r="H3393" s="522">
        <v>8</v>
      </c>
      <c r="I3393" s="523">
        <v>1100.6400000000001</v>
      </c>
      <c r="J3393" s="523">
        <v>8805.1200000000008</v>
      </c>
    </row>
    <row r="3394" spans="1:10" ht="25.5" thickBot="1" x14ac:dyDescent="0.35">
      <c r="A3394" s="519" t="s">
        <v>2437</v>
      </c>
      <c r="B3394" s="520" t="s">
        <v>3692</v>
      </c>
      <c r="C3394" s="519" t="s">
        <v>32</v>
      </c>
      <c r="D3394" s="519" t="s">
        <v>4536</v>
      </c>
      <c r="E3394" s="905" t="s">
        <v>2442</v>
      </c>
      <c r="F3394" s="905"/>
      <c r="G3394" s="521" t="s">
        <v>194</v>
      </c>
      <c r="H3394" s="522">
        <v>2.4</v>
      </c>
      <c r="I3394" s="523">
        <v>548.66</v>
      </c>
      <c r="J3394" s="523">
        <v>1316.78</v>
      </c>
    </row>
    <row r="3395" spans="1:10" ht="14.5" thickTop="1" x14ac:dyDescent="0.3">
      <c r="A3395" s="647"/>
      <c r="B3395" s="647"/>
      <c r="C3395" s="647"/>
      <c r="D3395" s="647"/>
      <c r="E3395" s="647"/>
      <c r="F3395" s="647"/>
      <c r="G3395" s="647"/>
      <c r="H3395" s="647"/>
      <c r="I3395" s="647"/>
      <c r="J3395"/>
    </row>
    <row r="3396" spans="1:10" x14ac:dyDescent="0.3">
      <c r="A3396" s="516"/>
      <c r="B3396" s="517" t="s">
        <v>15</v>
      </c>
      <c r="C3396" s="516" t="s">
        <v>16</v>
      </c>
      <c r="D3396" s="516" t="s">
        <v>17</v>
      </c>
      <c r="E3396" s="904" t="s">
        <v>2431</v>
      </c>
      <c r="F3396" s="904"/>
      <c r="G3396" s="518" t="s">
        <v>18</v>
      </c>
      <c r="H3396" s="517" t="s">
        <v>19</v>
      </c>
      <c r="I3396" s="517" t="s">
        <v>20</v>
      </c>
      <c r="J3396" s="517" t="s">
        <v>23</v>
      </c>
    </row>
    <row r="3397" spans="1:10" ht="25" x14ac:dyDescent="0.3">
      <c r="A3397" s="642" t="s">
        <v>2432</v>
      </c>
      <c r="B3397" s="643" t="s">
        <v>2938</v>
      </c>
      <c r="C3397" s="642" t="s">
        <v>243</v>
      </c>
      <c r="D3397" s="642" t="s">
        <v>4500</v>
      </c>
      <c r="E3397" s="906">
        <v>9</v>
      </c>
      <c r="F3397" s="906"/>
      <c r="G3397" s="644" t="s">
        <v>89</v>
      </c>
      <c r="H3397" s="645">
        <v>1</v>
      </c>
      <c r="I3397" s="646">
        <v>86644.36</v>
      </c>
      <c r="J3397" s="646">
        <v>86644.36</v>
      </c>
    </row>
    <row r="3398" spans="1:10" ht="25" x14ac:dyDescent="0.3">
      <c r="A3398" s="519" t="s">
        <v>2434</v>
      </c>
      <c r="B3398" s="520" t="s">
        <v>2642</v>
      </c>
      <c r="C3398" s="519" t="s">
        <v>32</v>
      </c>
      <c r="D3398" s="519" t="s">
        <v>2643</v>
      </c>
      <c r="E3398" s="905" t="s">
        <v>2433</v>
      </c>
      <c r="F3398" s="905"/>
      <c r="G3398" s="521" t="s">
        <v>1901</v>
      </c>
      <c r="H3398" s="522">
        <v>77.099999999999994</v>
      </c>
      <c r="I3398" s="523">
        <v>31.81</v>
      </c>
      <c r="J3398" s="523">
        <v>2452.5500000000002</v>
      </c>
    </row>
    <row r="3399" spans="1:10" ht="38.25" customHeight="1" x14ac:dyDescent="0.3">
      <c r="A3399" s="519" t="s">
        <v>2434</v>
      </c>
      <c r="B3399" s="520" t="s">
        <v>3681</v>
      </c>
      <c r="C3399" s="519" t="s">
        <v>32</v>
      </c>
      <c r="D3399" s="519" t="s">
        <v>3682</v>
      </c>
      <c r="E3399" s="905" t="s">
        <v>2465</v>
      </c>
      <c r="F3399" s="905"/>
      <c r="G3399" s="521" t="s">
        <v>1901</v>
      </c>
      <c r="H3399" s="522">
        <v>13.864000000000001</v>
      </c>
      <c r="I3399" s="523">
        <v>0.01</v>
      </c>
      <c r="J3399" s="523">
        <v>0.13</v>
      </c>
    </row>
    <row r="3400" spans="1:10" ht="25" x14ac:dyDescent="0.3">
      <c r="A3400" s="519" t="s">
        <v>2434</v>
      </c>
      <c r="B3400" s="520" t="s">
        <v>2559</v>
      </c>
      <c r="C3400" s="519" t="s">
        <v>32</v>
      </c>
      <c r="D3400" s="519" t="s">
        <v>2560</v>
      </c>
      <c r="E3400" s="905" t="s">
        <v>2433</v>
      </c>
      <c r="F3400" s="905"/>
      <c r="G3400" s="521" t="s">
        <v>1901</v>
      </c>
      <c r="H3400" s="522">
        <v>22.66</v>
      </c>
      <c r="I3400" s="523">
        <v>25.36</v>
      </c>
      <c r="J3400" s="523">
        <v>574.65</v>
      </c>
    </row>
    <row r="3401" spans="1:10" ht="25.5" customHeight="1" x14ac:dyDescent="0.3">
      <c r="A3401" s="519" t="s">
        <v>2434</v>
      </c>
      <c r="B3401" s="520" t="s">
        <v>3677</v>
      </c>
      <c r="C3401" s="519" t="s">
        <v>32</v>
      </c>
      <c r="D3401" s="519" t="s">
        <v>3678</v>
      </c>
      <c r="E3401" s="905" t="s">
        <v>2465</v>
      </c>
      <c r="F3401" s="905"/>
      <c r="G3401" s="521" t="s">
        <v>1901</v>
      </c>
      <c r="H3401" s="522">
        <v>4.6768000000000001</v>
      </c>
      <c r="I3401" s="523">
        <v>0.92</v>
      </c>
      <c r="J3401" s="523">
        <v>4.3</v>
      </c>
    </row>
    <row r="3402" spans="1:10" ht="62.5" x14ac:dyDescent="0.3">
      <c r="A3402" s="519" t="s">
        <v>2434</v>
      </c>
      <c r="B3402" s="520" t="s">
        <v>3679</v>
      </c>
      <c r="C3402" s="519" t="s">
        <v>32</v>
      </c>
      <c r="D3402" s="519" t="s">
        <v>3680</v>
      </c>
      <c r="E3402" s="905" t="s">
        <v>2465</v>
      </c>
      <c r="F3402" s="905"/>
      <c r="G3402" s="521" t="s">
        <v>1901</v>
      </c>
      <c r="H3402" s="522">
        <v>0.112</v>
      </c>
      <c r="I3402" s="523">
        <v>0.67</v>
      </c>
      <c r="J3402" s="523">
        <v>7.0000000000000007E-2</v>
      </c>
    </row>
    <row r="3403" spans="1:10" s="358" customFormat="1" ht="25" x14ac:dyDescent="0.3">
      <c r="A3403" s="519" t="s">
        <v>2437</v>
      </c>
      <c r="B3403" s="520" t="s">
        <v>3683</v>
      </c>
      <c r="C3403" s="519" t="s">
        <v>32</v>
      </c>
      <c r="D3403" s="519" t="s">
        <v>3684</v>
      </c>
      <c r="E3403" s="905" t="s">
        <v>2442</v>
      </c>
      <c r="F3403" s="905"/>
      <c r="G3403" s="521" t="s">
        <v>89</v>
      </c>
      <c r="H3403" s="522">
        <v>10</v>
      </c>
      <c r="I3403" s="523">
        <v>61.13</v>
      </c>
      <c r="J3403" s="523">
        <v>611.29999999999995</v>
      </c>
    </row>
    <row r="3404" spans="1:10" x14ac:dyDescent="0.3">
      <c r="A3404" s="519" t="s">
        <v>2437</v>
      </c>
      <c r="B3404" s="520" t="s">
        <v>3685</v>
      </c>
      <c r="C3404" s="519" t="s">
        <v>32</v>
      </c>
      <c r="D3404" s="519" t="s">
        <v>4535</v>
      </c>
      <c r="E3404" s="905" t="s">
        <v>2442</v>
      </c>
      <c r="F3404" s="905"/>
      <c r="G3404" s="521" t="s">
        <v>1369</v>
      </c>
      <c r="H3404" s="522">
        <v>2740.4</v>
      </c>
      <c r="I3404" s="523">
        <v>7.88</v>
      </c>
      <c r="J3404" s="523">
        <v>21594.35</v>
      </c>
    </row>
    <row r="3405" spans="1:10" s="358" customFormat="1" x14ac:dyDescent="0.3">
      <c r="A3405" s="519" t="s">
        <v>2437</v>
      </c>
      <c r="B3405" s="520" t="s">
        <v>3686</v>
      </c>
      <c r="C3405" s="519" t="s">
        <v>32</v>
      </c>
      <c r="D3405" s="519" t="s">
        <v>3687</v>
      </c>
      <c r="E3405" s="905" t="s">
        <v>2442</v>
      </c>
      <c r="F3405" s="905"/>
      <c r="G3405" s="521" t="s">
        <v>1369</v>
      </c>
      <c r="H3405" s="522">
        <v>72.680999999999997</v>
      </c>
      <c r="I3405" s="523">
        <v>40.590000000000003</v>
      </c>
      <c r="J3405" s="523">
        <v>2950.12</v>
      </c>
    </row>
    <row r="3406" spans="1:10" ht="37.5" x14ac:dyDescent="0.3">
      <c r="A3406" s="519" t="s">
        <v>2437</v>
      </c>
      <c r="B3406" s="520" t="s">
        <v>3688</v>
      </c>
      <c r="C3406" s="519" t="s">
        <v>32</v>
      </c>
      <c r="D3406" s="519" t="s">
        <v>3689</v>
      </c>
      <c r="E3406" s="905" t="s">
        <v>2785</v>
      </c>
      <c r="F3406" s="905"/>
      <c r="G3406" s="521" t="s">
        <v>89</v>
      </c>
      <c r="H3406" s="522">
        <v>53.893999999999998</v>
      </c>
      <c r="I3406" s="523">
        <v>849.9</v>
      </c>
      <c r="J3406" s="523">
        <v>45804.51</v>
      </c>
    </row>
    <row r="3407" spans="1:10" ht="25" x14ac:dyDescent="0.3">
      <c r="A3407" s="519" t="s">
        <v>2437</v>
      </c>
      <c r="B3407" s="520" t="s">
        <v>3690</v>
      </c>
      <c r="C3407" s="519" t="s">
        <v>32</v>
      </c>
      <c r="D3407" s="519" t="s">
        <v>3691</v>
      </c>
      <c r="E3407" s="905" t="s">
        <v>2442</v>
      </c>
      <c r="F3407" s="905"/>
      <c r="G3407" s="521" t="s">
        <v>194</v>
      </c>
      <c r="H3407" s="522">
        <v>10</v>
      </c>
      <c r="I3407" s="523">
        <v>1100.6400000000001</v>
      </c>
      <c r="J3407" s="523">
        <v>11006.4</v>
      </c>
    </row>
    <row r="3408" spans="1:10" ht="25.5" customHeight="1" thickBot="1" x14ac:dyDescent="0.35">
      <c r="A3408" s="519" t="s">
        <v>2437</v>
      </c>
      <c r="B3408" s="520" t="s">
        <v>3692</v>
      </c>
      <c r="C3408" s="519" t="s">
        <v>32</v>
      </c>
      <c r="D3408" s="519" t="s">
        <v>4536</v>
      </c>
      <c r="E3408" s="905" t="s">
        <v>2442</v>
      </c>
      <c r="F3408" s="905"/>
      <c r="G3408" s="521" t="s">
        <v>194</v>
      </c>
      <c r="H3408" s="522">
        <v>3</v>
      </c>
      <c r="I3408" s="523">
        <v>548.66</v>
      </c>
      <c r="J3408" s="523">
        <v>1645.98</v>
      </c>
    </row>
    <row r="3409" spans="1:10" ht="38.25" customHeight="1" thickTop="1" x14ac:dyDescent="0.3">
      <c r="A3409" s="647"/>
      <c r="B3409" s="647"/>
      <c r="C3409" s="647"/>
      <c r="D3409" s="647"/>
      <c r="E3409" s="647"/>
      <c r="F3409" s="647"/>
      <c r="G3409" s="647"/>
      <c r="H3409" s="647"/>
      <c r="I3409" s="647"/>
      <c r="J3409"/>
    </row>
    <row r="3410" spans="1:10" x14ac:dyDescent="0.3">
      <c r="A3410" s="516"/>
      <c r="B3410" s="517" t="s">
        <v>15</v>
      </c>
      <c r="C3410" s="516" t="s">
        <v>16</v>
      </c>
      <c r="D3410" s="516" t="s">
        <v>17</v>
      </c>
      <c r="E3410" s="904" t="s">
        <v>2431</v>
      </c>
      <c r="F3410" s="904"/>
      <c r="G3410" s="518" t="s">
        <v>18</v>
      </c>
      <c r="H3410" s="517" t="s">
        <v>19</v>
      </c>
      <c r="I3410" s="517" t="s">
        <v>20</v>
      </c>
      <c r="J3410" s="517" t="s">
        <v>23</v>
      </c>
    </row>
    <row r="3411" spans="1:10" ht="25" x14ac:dyDescent="0.3">
      <c r="A3411" s="642" t="s">
        <v>2432</v>
      </c>
      <c r="B3411" s="643" t="s">
        <v>2936</v>
      </c>
      <c r="C3411" s="642" t="s">
        <v>243</v>
      </c>
      <c r="D3411" s="642" t="s">
        <v>4498</v>
      </c>
      <c r="E3411" s="906">
        <v>9</v>
      </c>
      <c r="F3411" s="906"/>
      <c r="G3411" s="644" t="s">
        <v>89</v>
      </c>
      <c r="H3411" s="645">
        <v>1</v>
      </c>
      <c r="I3411" s="646">
        <v>81375.740000000005</v>
      </c>
      <c r="J3411" s="646">
        <v>81375.740000000005</v>
      </c>
    </row>
    <row r="3412" spans="1:10" ht="25" x14ac:dyDescent="0.3">
      <c r="A3412" s="519" t="s">
        <v>2434</v>
      </c>
      <c r="B3412" s="520" t="s">
        <v>2642</v>
      </c>
      <c r="C3412" s="519" t="s">
        <v>32</v>
      </c>
      <c r="D3412" s="519" t="s">
        <v>2643</v>
      </c>
      <c r="E3412" s="905" t="s">
        <v>2433</v>
      </c>
      <c r="F3412" s="905"/>
      <c r="G3412" s="521" t="s">
        <v>1901</v>
      </c>
      <c r="H3412" s="522">
        <v>77.099999999999994</v>
      </c>
      <c r="I3412" s="523">
        <v>31.81</v>
      </c>
      <c r="J3412" s="523">
        <v>2452.5500000000002</v>
      </c>
    </row>
    <row r="3413" spans="1:10" ht="38.25" customHeight="1" x14ac:dyDescent="0.3">
      <c r="A3413" s="519" t="s">
        <v>2434</v>
      </c>
      <c r="B3413" s="520" t="s">
        <v>3681</v>
      </c>
      <c r="C3413" s="519" t="s">
        <v>32</v>
      </c>
      <c r="D3413" s="519" t="s">
        <v>3682</v>
      </c>
      <c r="E3413" s="905" t="s">
        <v>2465</v>
      </c>
      <c r="F3413" s="905"/>
      <c r="G3413" s="521" t="s">
        <v>1901</v>
      </c>
      <c r="H3413" s="522">
        <v>14.981</v>
      </c>
      <c r="I3413" s="523">
        <v>0.01</v>
      </c>
      <c r="J3413" s="523">
        <v>0.14000000000000001</v>
      </c>
    </row>
    <row r="3414" spans="1:10" ht="25" x14ac:dyDescent="0.3">
      <c r="A3414" s="519" t="s">
        <v>2434</v>
      </c>
      <c r="B3414" s="520" t="s">
        <v>2559</v>
      </c>
      <c r="C3414" s="519" t="s">
        <v>32</v>
      </c>
      <c r="D3414" s="519" t="s">
        <v>2560</v>
      </c>
      <c r="E3414" s="905" t="s">
        <v>2433</v>
      </c>
      <c r="F3414" s="905"/>
      <c r="G3414" s="521" t="s">
        <v>1901</v>
      </c>
      <c r="H3414" s="522">
        <v>22.31</v>
      </c>
      <c r="I3414" s="523">
        <v>25.36</v>
      </c>
      <c r="J3414" s="523">
        <v>565.78</v>
      </c>
    </row>
    <row r="3415" spans="1:10" ht="25.5" customHeight="1" x14ac:dyDescent="0.3">
      <c r="A3415" s="519" t="s">
        <v>2434</v>
      </c>
      <c r="B3415" s="520" t="s">
        <v>3677</v>
      </c>
      <c r="C3415" s="519" t="s">
        <v>32</v>
      </c>
      <c r="D3415" s="519" t="s">
        <v>3678</v>
      </c>
      <c r="E3415" s="905" t="s">
        <v>2465</v>
      </c>
      <c r="F3415" s="905"/>
      <c r="G3415" s="521" t="s">
        <v>1901</v>
      </c>
      <c r="H3415" s="522">
        <v>4.5654000000000003</v>
      </c>
      <c r="I3415" s="523">
        <v>0.92</v>
      </c>
      <c r="J3415" s="523">
        <v>4.2</v>
      </c>
    </row>
    <row r="3416" spans="1:10" ht="62.5" x14ac:dyDescent="0.3">
      <c r="A3416" s="519" t="s">
        <v>2434</v>
      </c>
      <c r="B3416" s="520" t="s">
        <v>3679</v>
      </c>
      <c r="C3416" s="519" t="s">
        <v>32</v>
      </c>
      <c r="D3416" s="519" t="s">
        <v>3680</v>
      </c>
      <c r="E3416" s="905" t="s">
        <v>2465</v>
      </c>
      <c r="F3416" s="905"/>
      <c r="G3416" s="521" t="s">
        <v>1901</v>
      </c>
      <c r="H3416" s="522">
        <v>0.112</v>
      </c>
      <c r="I3416" s="523">
        <v>0.67</v>
      </c>
      <c r="J3416" s="523">
        <v>7.0000000000000007E-2</v>
      </c>
    </row>
    <row r="3417" spans="1:10" ht="25" x14ac:dyDescent="0.3">
      <c r="A3417" s="519" t="s">
        <v>2437</v>
      </c>
      <c r="B3417" s="520" t="s">
        <v>3683</v>
      </c>
      <c r="C3417" s="519" t="s">
        <v>32</v>
      </c>
      <c r="D3417" s="519" t="s">
        <v>3684</v>
      </c>
      <c r="E3417" s="905" t="s">
        <v>2442</v>
      </c>
      <c r="F3417" s="905"/>
      <c r="G3417" s="521" t="s">
        <v>89</v>
      </c>
      <c r="H3417" s="522">
        <v>10</v>
      </c>
      <c r="I3417" s="523">
        <v>61.13</v>
      </c>
      <c r="J3417" s="523">
        <v>611.29999999999995</v>
      </c>
    </row>
    <row r="3418" spans="1:10" x14ac:dyDescent="0.3">
      <c r="A3418" s="519" t="s">
        <v>2437</v>
      </c>
      <c r="B3418" s="520" t="s">
        <v>3685</v>
      </c>
      <c r="C3418" s="519" t="s">
        <v>32</v>
      </c>
      <c r="D3418" s="519" t="s">
        <v>4535</v>
      </c>
      <c r="E3418" s="905" t="s">
        <v>2442</v>
      </c>
      <c r="F3418" s="905"/>
      <c r="G3418" s="521" t="s">
        <v>1369</v>
      </c>
      <c r="H3418" s="522">
        <v>2740.4</v>
      </c>
      <c r="I3418" s="523">
        <v>7.88</v>
      </c>
      <c r="J3418" s="523">
        <v>21594.35</v>
      </c>
    </row>
    <row r="3419" spans="1:10" s="358" customFormat="1" x14ac:dyDescent="0.3">
      <c r="A3419" s="519" t="s">
        <v>2437</v>
      </c>
      <c r="B3419" s="520" t="s">
        <v>3686</v>
      </c>
      <c r="C3419" s="519" t="s">
        <v>32</v>
      </c>
      <c r="D3419" s="519" t="s">
        <v>3687</v>
      </c>
      <c r="E3419" s="905" t="s">
        <v>2442</v>
      </c>
      <c r="F3419" s="905"/>
      <c r="G3419" s="521" t="s">
        <v>1369</v>
      </c>
      <c r="H3419" s="522">
        <v>78.680999999999997</v>
      </c>
      <c r="I3419" s="523">
        <v>40.590000000000003</v>
      </c>
      <c r="J3419" s="523">
        <v>3193.66</v>
      </c>
    </row>
    <row r="3420" spans="1:10" ht="37.5" x14ac:dyDescent="0.3">
      <c r="A3420" s="519" t="s">
        <v>2437</v>
      </c>
      <c r="B3420" s="520" t="s">
        <v>3688</v>
      </c>
      <c r="C3420" s="519" t="s">
        <v>32</v>
      </c>
      <c r="D3420" s="519" t="s">
        <v>3689</v>
      </c>
      <c r="E3420" s="905" t="s">
        <v>2785</v>
      </c>
      <c r="F3420" s="905"/>
      <c r="G3420" s="521" t="s">
        <v>89</v>
      </c>
      <c r="H3420" s="522">
        <v>53.893999999999998</v>
      </c>
      <c r="I3420" s="523">
        <v>849.9</v>
      </c>
      <c r="J3420" s="523">
        <v>45804.51</v>
      </c>
    </row>
    <row r="3421" spans="1:10" s="358" customFormat="1" ht="25" x14ac:dyDescent="0.3">
      <c r="A3421" s="519" t="s">
        <v>2437</v>
      </c>
      <c r="B3421" s="520" t="s">
        <v>3690</v>
      </c>
      <c r="C3421" s="519" t="s">
        <v>32</v>
      </c>
      <c r="D3421" s="519" t="s">
        <v>3691</v>
      </c>
      <c r="E3421" s="905" t="s">
        <v>2442</v>
      </c>
      <c r="F3421" s="905"/>
      <c r="G3421" s="521" t="s">
        <v>194</v>
      </c>
      <c r="H3421" s="522">
        <v>5</v>
      </c>
      <c r="I3421" s="523">
        <v>1100.6400000000001</v>
      </c>
      <c r="J3421" s="523">
        <v>5503.2</v>
      </c>
    </row>
    <row r="3422" spans="1:10" ht="25.5" thickBot="1" x14ac:dyDescent="0.35">
      <c r="A3422" s="519" t="s">
        <v>2437</v>
      </c>
      <c r="B3422" s="520" t="s">
        <v>3692</v>
      </c>
      <c r="C3422" s="519" t="s">
        <v>32</v>
      </c>
      <c r="D3422" s="519" t="s">
        <v>4536</v>
      </c>
      <c r="E3422" s="905" t="s">
        <v>2442</v>
      </c>
      <c r="F3422" s="905"/>
      <c r="G3422" s="521" t="s">
        <v>194</v>
      </c>
      <c r="H3422" s="522">
        <v>3</v>
      </c>
      <c r="I3422" s="523">
        <v>548.66</v>
      </c>
      <c r="J3422" s="523">
        <v>1645.98</v>
      </c>
    </row>
    <row r="3423" spans="1:10" ht="14.5" thickTop="1" x14ac:dyDescent="0.3">
      <c r="A3423" s="647"/>
      <c r="B3423" s="647"/>
      <c r="C3423" s="647"/>
      <c r="D3423" s="647"/>
      <c r="E3423" s="647"/>
      <c r="F3423" s="647"/>
      <c r="G3423" s="647"/>
      <c r="H3423" s="647"/>
      <c r="I3423" s="647"/>
      <c r="J3423"/>
    </row>
    <row r="3424" spans="1:10" ht="25.5" customHeight="1" x14ac:dyDescent="0.3">
      <c r="A3424" s="516"/>
      <c r="B3424" s="517" t="s">
        <v>15</v>
      </c>
      <c r="C3424" s="516" t="s">
        <v>16</v>
      </c>
      <c r="D3424" s="516" t="s">
        <v>17</v>
      </c>
      <c r="E3424" s="904" t="s">
        <v>2431</v>
      </c>
      <c r="F3424" s="904"/>
      <c r="G3424" s="518" t="s">
        <v>18</v>
      </c>
      <c r="H3424" s="517" t="s">
        <v>19</v>
      </c>
      <c r="I3424" s="517" t="s">
        <v>20</v>
      </c>
      <c r="J3424" s="517" t="s">
        <v>23</v>
      </c>
    </row>
    <row r="3425" spans="1:10" ht="38.25" customHeight="1" x14ac:dyDescent="0.3">
      <c r="A3425" s="642" t="s">
        <v>2432</v>
      </c>
      <c r="B3425" s="643" t="s">
        <v>3068</v>
      </c>
      <c r="C3425" s="642" t="s">
        <v>32</v>
      </c>
      <c r="D3425" s="642" t="s">
        <v>3069</v>
      </c>
      <c r="E3425" s="906" t="s">
        <v>2617</v>
      </c>
      <c r="F3425" s="906"/>
      <c r="G3425" s="644" t="s">
        <v>194</v>
      </c>
      <c r="H3425" s="645">
        <v>1</v>
      </c>
      <c r="I3425" s="646">
        <v>14.88</v>
      </c>
      <c r="J3425" s="646">
        <v>14.88</v>
      </c>
    </row>
    <row r="3426" spans="1:10" ht="25" x14ac:dyDescent="0.3">
      <c r="A3426" s="519" t="s">
        <v>2434</v>
      </c>
      <c r="B3426" s="520" t="s">
        <v>2627</v>
      </c>
      <c r="C3426" s="519" t="s">
        <v>32</v>
      </c>
      <c r="D3426" s="519" t="s">
        <v>2628</v>
      </c>
      <c r="E3426" s="905" t="s">
        <v>2433</v>
      </c>
      <c r="F3426" s="905"/>
      <c r="G3426" s="521" t="s">
        <v>1901</v>
      </c>
      <c r="H3426" s="522">
        <v>2.1000000000000001E-2</v>
      </c>
      <c r="I3426" s="523">
        <v>24.12</v>
      </c>
      <c r="J3426" s="523">
        <v>0.5</v>
      </c>
    </row>
    <row r="3427" spans="1:10" ht="25" x14ac:dyDescent="0.3">
      <c r="A3427" s="519" t="s">
        <v>2434</v>
      </c>
      <c r="B3427" s="520" t="s">
        <v>2618</v>
      </c>
      <c r="C3427" s="519" t="s">
        <v>32</v>
      </c>
      <c r="D3427" s="519" t="s">
        <v>2619</v>
      </c>
      <c r="E3427" s="905" t="s">
        <v>2433</v>
      </c>
      <c r="F3427" s="905"/>
      <c r="G3427" s="521" t="s">
        <v>1901</v>
      </c>
      <c r="H3427" s="522">
        <v>9.0999999999999998E-2</v>
      </c>
      <c r="I3427" s="523">
        <v>30.71</v>
      </c>
      <c r="J3427" s="523">
        <v>2.79</v>
      </c>
    </row>
    <row r="3428" spans="1:10" ht="25.5" customHeight="1" x14ac:dyDescent="0.3">
      <c r="A3428" s="519" t="s">
        <v>2434</v>
      </c>
      <c r="B3428" s="520" t="s">
        <v>2629</v>
      </c>
      <c r="C3428" s="519" t="s">
        <v>32</v>
      </c>
      <c r="D3428" s="519" t="s">
        <v>2630</v>
      </c>
      <c r="E3428" s="905" t="s">
        <v>2465</v>
      </c>
      <c r="F3428" s="905"/>
      <c r="G3428" s="521" t="s">
        <v>103</v>
      </c>
      <c r="H3428" s="522">
        <v>7.0000000000000001E-3</v>
      </c>
      <c r="I3428" s="523">
        <v>26.94</v>
      </c>
      <c r="J3428" s="523">
        <v>0.18</v>
      </c>
    </row>
    <row r="3429" spans="1:10" ht="25.5" customHeight="1" x14ac:dyDescent="0.3">
      <c r="A3429" s="519" t="s">
        <v>2434</v>
      </c>
      <c r="B3429" s="520" t="s">
        <v>2631</v>
      </c>
      <c r="C3429" s="519" t="s">
        <v>32</v>
      </c>
      <c r="D3429" s="519" t="s">
        <v>2632</v>
      </c>
      <c r="E3429" s="905" t="s">
        <v>2465</v>
      </c>
      <c r="F3429" s="905"/>
      <c r="G3429" s="521" t="s">
        <v>110</v>
      </c>
      <c r="H3429" s="522">
        <v>0.03</v>
      </c>
      <c r="I3429" s="523">
        <v>25.9</v>
      </c>
      <c r="J3429" s="523">
        <v>0.77</v>
      </c>
    </row>
    <row r="3430" spans="1:10" ht="25" x14ac:dyDescent="0.3">
      <c r="A3430" s="519" t="s">
        <v>2437</v>
      </c>
      <c r="B3430" s="520" t="s">
        <v>2622</v>
      </c>
      <c r="C3430" s="519" t="s">
        <v>32</v>
      </c>
      <c r="D3430" s="519" t="s">
        <v>2623</v>
      </c>
      <c r="E3430" s="905" t="s">
        <v>2442</v>
      </c>
      <c r="F3430" s="905"/>
      <c r="G3430" s="521" t="s">
        <v>194</v>
      </c>
      <c r="H3430" s="522">
        <v>1.31</v>
      </c>
      <c r="I3430" s="523">
        <v>7.78</v>
      </c>
      <c r="J3430" s="523">
        <v>10.19</v>
      </c>
    </row>
    <row r="3431" spans="1:10" ht="14.5" thickBot="1" x14ac:dyDescent="0.35">
      <c r="A3431" s="519" t="s">
        <v>2437</v>
      </c>
      <c r="B3431" s="520" t="s">
        <v>2912</v>
      </c>
      <c r="C3431" s="519" t="s">
        <v>32</v>
      </c>
      <c r="D3431" s="519" t="s">
        <v>2913</v>
      </c>
      <c r="E3431" s="905" t="s">
        <v>2442</v>
      </c>
      <c r="F3431" s="905"/>
      <c r="G3431" s="521" t="s">
        <v>1369</v>
      </c>
      <c r="H3431" s="522">
        <v>2.3E-2</v>
      </c>
      <c r="I3431" s="523">
        <v>19.84</v>
      </c>
      <c r="J3431" s="523">
        <v>0.45</v>
      </c>
    </row>
    <row r="3432" spans="1:10" ht="14.5" thickTop="1" x14ac:dyDescent="0.3">
      <c r="A3432" s="647"/>
      <c r="B3432" s="647"/>
      <c r="C3432" s="647"/>
      <c r="D3432" s="647"/>
      <c r="E3432" s="647"/>
      <c r="F3432" s="647"/>
      <c r="G3432" s="647"/>
      <c r="H3432" s="647"/>
      <c r="I3432" s="647"/>
      <c r="J3432"/>
    </row>
    <row r="3433" spans="1:10" x14ac:dyDescent="0.3">
      <c r="A3433" s="516"/>
      <c r="B3433" s="517" t="s">
        <v>15</v>
      </c>
      <c r="C3433" s="516" t="s">
        <v>16</v>
      </c>
      <c r="D3433" s="516" t="s">
        <v>17</v>
      </c>
      <c r="E3433" s="904" t="s">
        <v>2431</v>
      </c>
      <c r="F3433" s="904"/>
      <c r="G3433" s="518" t="s">
        <v>18</v>
      </c>
      <c r="H3433" s="517" t="s">
        <v>19</v>
      </c>
      <c r="I3433" s="517" t="s">
        <v>20</v>
      </c>
      <c r="J3433" s="517" t="s">
        <v>23</v>
      </c>
    </row>
    <row r="3434" spans="1:10" ht="50" x14ac:dyDescent="0.3">
      <c r="A3434" s="642" t="s">
        <v>2432</v>
      </c>
      <c r="B3434" s="643" t="s">
        <v>2666</v>
      </c>
      <c r="C3434" s="642" t="s">
        <v>32</v>
      </c>
      <c r="D3434" s="642" t="s">
        <v>4257</v>
      </c>
      <c r="E3434" s="906" t="s">
        <v>2667</v>
      </c>
      <c r="F3434" s="906"/>
      <c r="G3434" s="644" t="s">
        <v>194</v>
      </c>
      <c r="H3434" s="645">
        <v>1</v>
      </c>
      <c r="I3434" s="646">
        <v>10.73</v>
      </c>
      <c r="J3434" s="646">
        <v>10.73</v>
      </c>
    </row>
    <row r="3435" spans="1:10" s="358" customFormat="1" ht="25" x14ac:dyDescent="0.3">
      <c r="A3435" s="519" t="s">
        <v>2434</v>
      </c>
      <c r="B3435" s="520" t="s">
        <v>3239</v>
      </c>
      <c r="C3435" s="519" t="s">
        <v>32</v>
      </c>
      <c r="D3435" s="519" t="s">
        <v>3240</v>
      </c>
      <c r="E3435" s="905" t="s">
        <v>2433</v>
      </c>
      <c r="F3435" s="905"/>
      <c r="G3435" s="521" t="s">
        <v>1901</v>
      </c>
      <c r="H3435" s="522">
        <v>4.8000000000000001E-2</v>
      </c>
      <c r="I3435" s="523">
        <v>23.63</v>
      </c>
      <c r="J3435" s="523">
        <v>1.1299999999999999</v>
      </c>
    </row>
    <row r="3436" spans="1:10" ht="25" x14ac:dyDescent="0.3">
      <c r="A3436" s="519" t="s">
        <v>2434</v>
      </c>
      <c r="B3436" s="520" t="s">
        <v>2786</v>
      </c>
      <c r="C3436" s="519" t="s">
        <v>32</v>
      </c>
      <c r="D3436" s="519" t="s">
        <v>2787</v>
      </c>
      <c r="E3436" s="905" t="s">
        <v>2433</v>
      </c>
      <c r="F3436" s="905"/>
      <c r="G3436" s="521" t="s">
        <v>1901</v>
      </c>
      <c r="H3436" s="522">
        <v>0.2114</v>
      </c>
      <c r="I3436" s="523">
        <v>30.33</v>
      </c>
      <c r="J3436" s="523">
        <v>6.41</v>
      </c>
    </row>
    <row r="3437" spans="1:10" s="358" customFormat="1" ht="25.5" thickBot="1" x14ac:dyDescent="0.35">
      <c r="A3437" s="519" t="s">
        <v>2437</v>
      </c>
      <c r="B3437" s="520" t="s">
        <v>2768</v>
      </c>
      <c r="C3437" s="519" t="s">
        <v>32</v>
      </c>
      <c r="D3437" s="519" t="s">
        <v>2769</v>
      </c>
      <c r="E3437" s="905" t="s">
        <v>2442</v>
      </c>
      <c r="F3437" s="905"/>
      <c r="G3437" s="521" t="s">
        <v>89</v>
      </c>
      <c r="H3437" s="522">
        <v>1.7857000000000001</v>
      </c>
      <c r="I3437" s="523">
        <v>1.79</v>
      </c>
      <c r="J3437" s="523">
        <v>3.19</v>
      </c>
    </row>
    <row r="3438" spans="1:10" ht="14.5" thickTop="1" x14ac:dyDescent="0.3">
      <c r="A3438" s="647"/>
      <c r="B3438" s="647"/>
      <c r="C3438" s="647"/>
      <c r="D3438" s="647"/>
      <c r="E3438" s="647"/>
      <c r="F3438" s="647"/>
      <c r="G3438" s="647"/>
      <c r="H3438" s="647"/>
      <c r="I3438" s="647"/>
      <c r="J3438"/>
    </row>
    <row r="3439" spans="1:10" x14ac:dyDescent="0.3">
      <c r="A3439" s="516"/>
      <c r="B3439" s="517" t="s">
        <v>15</v>
      </c>
      <c r="C3439" s="516" t="s">
        <v>16</v>
      </c>
      <c r="D3439" s="516" t="s">
        <v>17</v>
      </c>
      <c r="E3439" s="904" t="s">
        <v>2431</v>
      </c>
      <c r="F3439" s="904"/>
      <c r="G3439" s="518" t="s">
        <v>18</v>
      </c>
      <c r="H3439" s="517" t="s">
        <v>19</v>
      </c>
      <c r="I3439" s="517" t="s">
        <v>20</v>
      </c>
      <c r="J3439" s="517" t="s">
        <v>23</v>
      </c>
    </row>
    <row r="3440" spans="1:10" ht="25.5" customHeight="1" x14ac:dyDescent="0.3">
      <c r="A3440" s="642" t="s">
        <v>2432</v>
      </c>
      <c r="B3440" s="643" t="s">
        <v>2668</v>
      </c>
      <c r="C3440" s="642" t="s">
        <v>32</v>
      </c>
      <c r="D3440" s="642" t="s">
        <v>4258</v>
      </c>
      <c r="E3440" s="906" t="s">
        <v>2667</v>
      </c>
      <c r="F3440" s="906"/>
      <c r="G3440" s="644" t="s">
        <v>194</v>
      </c>
      <c r="H3440" s="645">
        <v>1</v>
      </c>
      <c r="I3440" s="646">
        <v>4</v>
      </c>
      <c r="J3440" s="646">
        <v>4</v>
      </c>
    </row>
    <row r="3441" spans="1:10" ht="25.5" customHeight="1" x14ac:dyDescent="0.3">
      <c r="A3441" s="519" t="s">
        <v>2434</v>
      </c>
      <c r="B3441" s="520" t="s">
        <v>3239</v>
      </c>
      <c r="C3441" s="519" t="s">
        <v>32</v>
      </c>
      <c r="D3441" s="519" t="s">
        <v>3240</v>
      </c>
      <c r="E3441" s="905" t="s">
        <v>2433</v>
      </c>
      <c r="F3441" s="905"/>
      <c r="G3441" s="521" t="s">
        <v>1901</v>
      </c>
      <c r="H3441" s="522">
        <v>1.7899999999999999E-2</v>
      </c>
      <c r="I3441" s="523">
        <v>23.63</v>
      </c>
      <c r="J3441" s="523">
        <v>0.42</v>
      </c>
    </row>
    <row r="3442" spans="1:10" ht="25" x14ac:dyDescent="0.3">
      <c r="A3442" s="519" t="s">
        <v>2434</v>
      </c>
      <c r="B3442" s="520" t="s">
        <v>2786</v>
      </c>
      <c r="C3442" s="519" t="s">
        <v>32</v>
      </c>
      <c r="D3442" s="519" t="s">
        <v>2787</v>
      </c>
      <c r="E3442" s="905" t="s">
        <v>2433</v>
      </c>
      <c r="F3442" s="905"/>
      <c r="G3442" s="521" t="s">
        <v>1901</v>
      </c>
      <c r="H3442" s="522">
        <v>7.8899999999999998E-2</v>
      </c>
      <c r="I3442" s="523">
        <v>30.33</v>
      </c>
      <c r="J3442" s="523">
        <v>2.39</v>
      </c>
    </row>
    <row r="3443" spans="1:10" ht="25.5" thickBot="1" x14ac:dyDescent="0.35">
      <c r="A3443" s="519" t="s">
        <v>2437</v>
      </c>
      <c r="B3443" s="520" t="s">
        <v>2768</v>
      </c>
      <c r="C3443" s="519" t="s">
        <v>32</v>
      </c>
      <c r="D3443" s="519" t="s">
        <v>2769</v>
      </c>
      <c r="E3443" s="905" t="s">
        <v>2442</v>
      </c>
      <c r="F3443" s="905"/>
      <c r="G3443" s="521" t="s">
        <v>89</v>
      </c>
      <c r="H3443" s="522">
        <v>0.66669999999999996</v>
      </c>
      <c r="I3443" s="523">
        <v>1.79</v>
      </c>
      <c r="J3443" s="523">
        <v>1.19</v>
      </c>
    </row>
    <row r="3444" spans="1:10" s="358" customFormat="1" ht="14.5" thickTop="1" x14ac:dyDescent="0.3">
      <c r="A3444" s="647"/>
      <c r="B3444" s="647"/>
      <c r="C3444" s="647"/>
      <c r="D3444" s="647"/>
      <c r="E3444" s="647"/>
      <c r="F3444" s="647"/>
      <c r="G3444" s="647"/>
      <c r="H3444" s="647"/>
      <c r="I3444" s="647"/>
      <c r="J3444"/>
    </row>
    <row r="3445" spans="1:10" x14ac:dyDescent="0.3">
      <c r="A3445" s="516"/>
      <c r="B3445" s="517" t="s">
        <v>15</v>
      </c>
      <c r="C3445" s="516" t="s">
        <v>16</v>
      </c>
      <c r="D3445" s="516" t="s">
        <v>17</v>
      </c>
      <c r="E3445" s="904" t="s">
        <v>2431</v>
      </c>
      <c r="F3445" s="904"/>
      <c r="G3445" s="518" t="s">
        <v>18</v>
      </c>
      <c r="H3445" s="517" t="s">
        <v>19</v>
      </c>
      <c r="I3445" s="517" t="s">
        <v>20</v>
      </c>
      <c r="J3445" s="517" t="s">
        <v>23</v>
      </c>
    </row>
    <row r="3446" spans="1:10" s="358" customFormat="1" ht="62.5" x14ac:dyDescent="0.3">
      <c r="A3446" s="642" t="s">
        <v>2432</v>
      </c>
      <c r="B3446" s="643" t="s">
        <v>3679</v>
      </c>
      <c r="C3446" s="642" t="s">
        <v>32</v>
      </c>
      <c r="D3446" s="642" t="s">
        <v>3680</v>
      </c>
      <c r="E3446" s="906" t="s">
        <v>2465</v>
      </c>
      <c r="F3446" s="906"/>
      <c r="G3446" s="644" t="s">
        <v>1901</v>
      </c>
      <c r="H3446" s="645">
        <v>1</v>
      </c>
      <c r="I3446" s="646">
        <v>0.67</v>
      </c>
      <c r="J3446" s="646">
        <v>0.67</v>
      </c>
    </row>
    <row r="3447" spans="1:10" ht="14.5" thickBot="1" x14ac:dyDescent="0.35">
      <c r="A3447" s="519" t="s">
        <v>2437</v>
      </c>
      <c r="B3447" s="520" t="s">
        <v>3347</v>
      </c>
      <c r="C3447" s="519" t="s">
        <v>32</v>
      </c>
      <c r="D3447" s="519" t="s">
        <v>3348</v>
      </c>
      <c r="E3447" s="905" t="s">
        <v>2442</v>
      </c>
      <c r="F3447" s="905"/>
      <c r="G3447" s="521" t="s">
        <v>2532</v>
      </c>
      <c r="H3447" s="522">
        <v>0.94</v>
      </c>
      <c r="I3447" s="523">
        <v>0.72</v>
      </c>
      <c r="J3447" s="523">
        <v>0.67</v>
      </c>
    </row>
    <row r="3448" spans="1:10" ht="14.5" thickTop="1" x14ac:dyDescent="0.3">
      <c r="A3448" s="647"/>
      <c r="B3448" s="647"/>
      <c r="C3448" s="647"/>
      <c r="D3448" s="647"/>
      <c r="E3448" s="647"/>
      <c r="F3448" s="647"/>
      <c r="G3448" s="647"/>
      <c r="H3448" s="647"/>
      <c r="I3448" s="647"/>
      <c r="J3448"/>
    </row>
    <row r="3449" spans="1:10" x14ac:dyDescent="0.3">
      <c r="A3449" s="516"/>
      <c r="B3449" s="517" t="s">
        <v>15</v>
      </c>
      <c r="C3449" s="516" t="s">
        <v>16</v>
      </c>
      <c r="D3449" s="516" t="s">
        <v>17</v>
      </c>
      <c r="E3449" s="904" t="s">
        <v>2431</v>
      </c>
      <c r="F3449" s="904"/>
      <c r="G3449" s="518" t="s">
        <v>18</v>
      </c>
      <c r="H3449" s="517" t="s">
        <v>19</v>
      </c>
      <c r="I3449" s="517" t="s">
        <v>20</v>
      </c>
      <c r="J3449" s="517" t="s">
        <v>23</v>
      </c>
    </row>
    <row r="3450" spans="1:10" s="358" customFormat="1" ht="25" x14ac:dyDescent="0.3">
      <c r="A3450" s="642" t="s">
        <v>2432</v>
      </c>
      <c r="B3450" s="643" t="s">
        <v>3693</v>
      </c>
      <c r="C3450" s="642" t="s">
        <v>125</v>
      </c>
      <c r="D3450" s="642" t="s">
        <v>3694</v>
      </c>
      <c r="E3450" s="906" t="s">
        <v>1328</v>
      </c>
      <c r="F3450" s="906"/>
      <c r="G3450" s="644" t="s">
        <v>115</v>
      </c>
      <c r="H3450" s="645">
        <v>1</v>
      </c>
      <c r="I3450" s="646">
        <v>99.89</v>
      </c>
      <c r="J3450" s="646">
        <v>99.89</v>
      </c>
    </row>
    <row r="3451" spans="1:10" ht="15" customHeight="1" x14ac:dyDescent="0.3">
      <c r="A3451" s="904" t="s">
        <v>2418</v>
      </c>
      <c r="B3451" s="903" t="s">
        <v>15</v>
      </c>
      <c r="C3451" s="904" t="s">
        <v>16</v>
      </c>
      <c r="D3451" s="904" t="s">
        <v>2466</v>
      </c>
      <c r="E3451" s="903" t="s">
        <v>2467</v>
      </c>
      <c r="F3451" s="908" t="s">
        <v>2468</v>
      </c>
      <c r="G3451" s="903"/>
      <c r="H3451" s="518" t="s">
        <v>2469</v>
      </c>
      <c r="I3451" s="903" t="s">
        <v>2470</v>
      </c>
      <c r="J3451"/>
    </row>
    <row r="3452" spans="1:10" s="358" customFormat="1" x14ac:dyDescent="0.3">
      <c r="A3452" s="903"/>
      <c r="B3452" s="903"/>
      <c r="C3452" s="903"/>
      <c r="D3452" s="903"/>
      <c r="E3452" s="903"/>
      <c r="F3452" s="517" t="s">
        <v>2471</v>
      </c>
      <c r="G3452" s="517" t="s">
        <v>2472</v>
      </c>
      <c r="H3452" s="517" t="s">
        <v>2471</v>
      </c>
      <c r="I3452" s="903"/>
      <c r="J3452"/>
    </row>
    <row r="3453" spans="1:10" x14ac:dyDescent="0.3">
      <c r="A3453" s="519" t="s">
        <v>2437</v>
      </c>
      <c r="B3453" s="520" t="s">
        <v>2820</v>
      </c>
      <c r="C3453" s="519" t="s">
        <v>125</v>
      </c>
      <c r="D3453" s="519" t="s">
        <v>4284</v>
      </c>
      <c r="E3453" s="522">
        <v>9.3719999999999998E-2</v>
      </c>
      <c r="F3453" s="523">
        <v>1</v>
      </c>
      <c r="G3453" s="523">
        <v>0</v>
      </c>
      <c r="H3453" s="524">
        <v>18.346599999999999</v>
      </c>
      <c r="I3453" s="524">
        <v>1.7194</v>
      </c>
      <c r="J3453"/>
    </row>
    <row r="3454" spans="1:10" x14ac:dyDescent="0.3">
      <c r="A3454" s="519" t="s">
        <v>2437</v>
      </c>
      <c r="B3454" s="520" t="s">
        <v>2821</v>
      </c>
      <c r="C3454" s="519" t="s">
        <v>125</v>
      </c>
      <c r="D3454" s="519" t="s">
        <v>2822</v>
      </c>
      <c r="E3454" s="522">
        <v>9.3719999999999998E-2</v>
      </c>
      <c r="F3454" s="523">
        <v>1</v>
      </c>
      <c r="G3454" s="523">
        <v>0</v>
      </c>
      <c r="H3454" s="524">
        <v>26.159800000000001</v>
      </c>
      <c r="I3454" s="524">
        <v>2.4517000000000002</v>
      </c>
      <c r="J3454"/>
    </row>
    <row r="3455" spans="1:10" ht="14.25" customHeight="1" x14ac:dyDescent="0.3">
      <c r="A3455" s="902"/>
      <c r="B3455" s="902"/>
      <c r="C3455" s="902"/>
      <c r="D3455" s="902"/>
      <c r="E3455" s="902"/>
      <c r="F3455" s="902" t="s">
        <v>2475</v>
      </c>
      <c r="G3455" s="902"/>
      <c r="H3455" s="902"/>
      <c r="I3455" s="525">
        <v>4.1711</v>
      </c>
      <c r="J3455"/>
    </row>
    <row r="3456" spans="1:10" s="358" customFormat="1" ht="15" customHeight="1" x14ac:dyDescent="0.3">
      <c r="A3456" s="902"/>
      <c r="B3456" s="902"/>
      <c r="C3456" s="902"/>
      <c r="D3456" s="902"/>
      <c r="E3456" s="902"/>
      <c r="F3456" s="902" t="s">
        <v>2476</v>
      </c>
      <c r="G3456" s="902"/>
      <c r="H3456" s="902"/>
      <c r="I3456" s="525">
        <v>4.1711</v>
      </c>
      <c r="J3456"/>
    </row>
    <row r="3457" spans="1:10" ht="14.25" customHeight="1" x14ac:dyDescent="0.3">
      <c r="A3457" s="902"/>
      <c r="B3457" s="902"/>
      <c r="C3457" s="902"/>
      <c r="D3457" s="902"/>
      <c r="E3457" s="902"/>
      <c r="F3457" s="902" t="s">
        <v>2477</v>
      </c>
      <c r="G3457" s="902"/>
      <c r="H3457" s="902"/>
      <c r="I3457" s="525">
        <v>0</v>
      </c>
      <c r="J3457"/>
    </row>
    <row r="3458" spans="1:10" s="358" customFormat="1" x14ac:dyDescent="0.3">
      <c r="A3458" s="902"/>
      <c r="B3458" s="902"/>
      <c r="C3458" s="902"/>
      <c r="D3458" s="902"/>
      <c r="E3458" s="902"/>
      <c r="F3458" s="902" t="s">
        <v>2478</v>
      </c>
      <c r="G3458" s="902"/>
      <c r="H3458" s="902"/>
      <c r="I3458" s="525">
        <v>0</v>
      </c>
      <c r="J3458"/>
    </row>
    <row r="3459" spans="1:10" ht="14.25" customHeight="1" x14ac:dyDescent="0.3">
      <c r="A3459" s="902"/>
      <c r="B3459" s="902"/>
      <c r="C3459" s="902"/>
      <c r="D3459" s="902"/>
      <c r="E3459" s="902"/>
      <c r="F3459" s="902" t="s">
        <v>2479</v>
      </c>
      <c r="G3459" s="902"/>
      <c r="H3459" s="902"/>
      <c r="I3459" s="525">
        <v>1</v>
      </c>
      <c r="J3459"/>
    </row>
    <row r="3460" spans="1:10" s="358" customFormat="1" ht="15" customHeight="1" x14ac:dyDescent="0.3">
      <c r="A3460" s="902"/>
      <c r="B3460" s="902"/>
      <c r="C3460" s="902"/>
      <c r="D3460" s="902"/>
      <c r="E3460" s="902"/>
      <c r="F3460" s="902" t="s">
        <v>2480</v>
      </c>
      <c r="G3460" s="902"/>
      <c r="H3460" s="902"/>
      <c r="I3460" s="525">
        <v>4.1711</v>
      </c>
      <c r="J3460"/>
    </row>
    <row r="3461" spans="1:10" ht="15" customHeight="1" x14ac:dyDescent="0.3">
      <c r="A3461" s="516" t="s">
        <v>2420</v>
      </c>
      <c r="B3461" s="517" t="s">
        <v>16</v>
      </c>
      <c r="C3461" s="516" t="s">
        <v>15</v>
      </c>
      <c r="D3461" s="516" t="s">
        <v>2442</v>
      </c>
      <c r="E3461" s="517" t="s">
        <v>2467</v>
      </c>
      <c r="F3461" s="517" t="s">
        <v>2576</v>
      </c>
      <c r="G3461" s="903" t="s">
        <v>2577</v>
      </c>
      <c r="H3461" s="903"/>
      <c r="I3461" s="517" t="s">
        <v>2470</v>
      </c>
      <c r="J3461"/>
    </row>
    <row r="3462" spans="1:10" s="358" customFormat="1" x14ac:dyDescent="0.3">
      <c r="A3462" s="519" t="s">
        <v>2437</v>
      </c>
      <c r="B3462" s="520" t="s">
        <v>125</v>
      </c>
      <c r="C3462" s="519" t="s">
        <v>2823</v>
      </c>
      <c r="D3462" s="519" t="s">
        <v>2824</v>
      </c>
      <c r="E3462" s="522">
        <v>0.55701000000000001</v>
      </c>
      <c r="F3462" s="521" t="s">
        <v>222</v>
      </c>
      <c r="G3462" s="907">
        <v>13.201499999999999</v>
      </c>
      <c r="H3462" s="907"/>
      <c r="I3462" s="524">
        <v>7.3533999999999997</v>
      </c>
      <c r="J3462"/>
    </row>
    <row r="3463" spans="1:10" ht="15" customHeight="1" x14ac:dyDescent="0.3">
      <c r="A3463" s="519" t="s">
        <v>2437</v>
      </c>
      <c r="B3463" s="520" t="s">
        <v>125</v>
      </c>
      <c r="C3463" s="519" t="s">
        <v>2827</v>
      </c>
      <c r="D3463" s="519" t="s">
        <v>2828</v>
      </c>
      <c r="E3463" s="522">
        <v>1.8519999999999998E-2</v>
      </c>
      <c r="F3463" s="521" t="s">
        <v>2829</v>
      </c>
      <c r="G3463" s="907">
        <v>13.312900000000001</v>
      </c>
      <c r="H3463" s="907"/>
      <c r="I3463" s="524">
        <v>0.24660000000000001</v>
      </c>
      <c r="J3463"/>
    </row>
    <row r="3464" spans="1:10" x14ac:dyDescent="0.3">
      <c r="A3464" s="519" t="s">
        <v>2437</v>
      </c>
      <c r="B3464" s="520" t="s">
        <v>125</v>
      </c>
      <c r="C3464" s="519" t="s">
        <v>2830</v>
      </c>
      <c r="D3464" s="519" t="s">
        <v>2831</v>
      </c>
      <c r="E3464" s="522">
        <v>1.4246799999999999</v>
      </c>
      <c r="F3464" s="521" t="s">
        <v>222</v>
      </c>
      <c r="G3464" s="907">
        <v>4.0178000000000003</v>
      </c>
      <c r="H3464" s="907"/>
      <c r="I3464" s="524">
        <v>5.7241</v>
      </c>
      <c r="J3464"/>
    </row>
    <row r="3465" spans="1:10" x14ac:dyDescent="0.3">
      <c r="A3465" s="519" t="s">
        <v>2437</v>
      </c>
      <c r="B3465" s="520" t="s">
        <v>125</v>
      </c>
      <c r="C3465" s="519" t="s">
        <v>2832</v>
      </c>
      <c r="D3465" s="519" t="s">
        <v>2833</v>
      </c>
      <c r="E3465" s="522">
        <v>0.59358999999999995</v>
      </c>
      <c r="F3465" s="521" t="s">
        <v>384</v>
      </c>
      <c r="G3465" s="907">
        <v>18.600000000000001</v>
      </c>
      <c r="H3465" s="907"/>
      <c r="I3465" s="524">
        <v>11.040800000000001</v>
      </c>
      <c r="J3465"/>
    </row>
    <row r="3466" spans="1:10" x14ac:dyDescent="0.3">
      <c r="A3466" s="519" t="s">
        <v>2437</v>
      </c>
      <c r="B3466" s="520" t="s">
        <v>125</v>
      </c>
      <c r="C3466" s="519" t="s">
        <v>3096</v>
      </c>
      <c r="D3466" s="519" t="s">
        <v>3097</v>
      </c>
      <c r="E3466" s="522">
        <v>1.5833200000000001</v>
      </c>
      <c r="F3466" s="521" t="s">
        <v>222</v>
      </c>
      <c r="G3466" s="907">
        <v>2.4834000000000001</v>
      </c>
      <c r="H3466" s="907"/>
      <c r="I3466" s="524">
        <v>3.9319999999999999</v>
      </c>
      <c r="J3466"/>
    </row>
    <row r="3467" spans="1:10" ht="14.25" customHeight="1" x14ac:dyDescent="0.3">
      <c r="A3467" s="519" t="s">
        <v>2437</v>
      </c>
      <c r="B3467" s="520" t="s">
        <v>125</v>
      </c>
      <c r="C3467" s="519" t="s">
        <v>3063</v>
      </c>
      <c r="D3467" s="519" t="s">
        <v>3064</v>
      </c>
      <c r="E3467" s="522">
        <v>0.40425</v>
      </c>
      <c r="F3467" s="521" t="s">
        <v>115</v>
      </c>
      <c r="G3467" s="907">
        <v>43.125</v>
      </c>
      <c r="H3467" s="907"/>
      <c r="I3467" s="524">
        <v>17.433299999999999</v>
      </c>
      <c r="J3467"/>
    </row>
    <row r="3468" spans="1:10" ht="14.25" customHeight="1" x14ac:dyDescent="0.3">
      <c r="A3468" s="902"/>
      <c r="B3468" s="902"/>
      <c r="C3468" s="902"/>
      <c r="D3468" s="902"/>
      <c r="E3468" s="902"/>
      <c r="F3468" s="902" t="s">
        <v>2809</v>
      </c>
      <c r="G3468" s="902"/>
      <c r="H3468" s="902"/>
      <c r="I3468" s="525">
        <v>45.730200000000004</v>
      </c>
      <c r="J3468"/>
    </row>
    <row r="3469" spans="1:10" ht="14.25" customHeight="1" x14ac:dyDescent="0.3">
      <c r="A3469" s="516" t="s">
        <v>2574</v>
      </c>
      <c r="B3469" s="517" t="s">
        <v>16</v>
      </c>
      <c r="C3469" s="516" t="s">
        <v>15</v>
      </c>
      <c r="D3469" s="516" t="s">
        <v>2575</v>
      </c>
      <c r="E3469" s="517" t="s">
        <v>2467</v>
      </c>
      <c r="F3469" s="517" t="s">
        <v>2576</v>
      </c>
      <c r="G3469" s="903" t="s">
        <v>2577</v>
      </c>
      <c r="H3469" s="903"/>
      <c r="I3469" s="517" t="s">
        <v>2470</v>
      </c>
      <c r="J3469"/>
    </row>
    <row r="3470" spans="1:10" ht="25" x14ac:dyDescent="0.3">
      <c r="A3470" s="519" t="s">
        <v>2578</v>
      </c>
      <c r="B3470" s="520" t="s">
        <v>32</v>
      </c>
      <c r="C3470" s="519">
        <v>88241</v>
      </c>
      <c r="D3470" s="519" t="s">
        <v>2791</v>
      </c>
      <c r="E3470" s="522">
        <v>0.9</v>
      </c>
      <c r="F3470" s="521" t="s">
        <v>1901</v>
      </c>
      <c r="G3470" s="907">
        <v>24.15</v>
      </c>
      <c r="H3470" s="907"/>
      <c r="I3470" s="524">
        <v>21.734999999999999</v>
      </c>
      <c r="J3470"/>
    </row>
    <row r="3471" spans="1:10" ht="14.25" customHeight="1" x14ac:dyDescent="0.3">
      <c r="A3471" s="519" t="s">
        <v>2578</v>
      </c>
      <c r="B3471" s="520" t="s">
        <v>32</v>
      </c>
      <c r="C3471" s="519">
        <v>88262</v>
      </c>
      <c r="D3471" s="519" t="s">
        <v>2619</v>
      </c>
      <c r="E3471" s="522">
        <v>0.9</v>
      </c>
      <c r="F3471" s="521" t="s">
        <v>1901</v>
      </c>
      <c r="G3471" s="907">
        <v>30.71</v>
      </c>
      <c r="H3471" s="907"/>
      <c r="I3471" s="524">
        <v>27.638999999999999</v>
      </c>
      <c r="J3471"/>
    </row>
    <row r="3472" spans="1:10" ht="14.25" customHeight="1" x14ac:dyDescent="0.3">
      <c r="A3472" s="902"/>
      <c r="B3472" s="902"/>
      <c r="C3472" s="902"/>
      <c r="D3472" s="902"/>
      <c r="E3472" s="902"/>
      <c r="F3472" s="902" t="s">
        <v>2579</v>
      </c>
      <c r="G3472" s="902"/>
      <c r="H3472" s="902"/>
      <c r="I3472" s="525">
        <v>49.374000000000002</v>
      </c>
      <c r="J3472"/>
    </row>
    <row r="3473" spans="1:10" ht="15" customHeight="1" x14ac:dyDescent="0.3">
      <c r="A3473" s="516" t="s">
        <v>2580</v>
      </c>
      <c r="B3473" s="517" t="s">
        <v>16</v>
      </c>
      <c r="C3473" s="516" t="s">
        <v>2437</v>
      </c>
      <c r="D3473" s="516" t="s">
        <v>2581</v>
      </c>
      <c r="E3473" s="517" t="s">
        <v>15</v>
      </c>
      <c r="F3473" s="517" t="s">
        <v>2467</v>
      </c>
      <c r="G3473" s="518" t="s">
        <v>2576</v>
      </c>
      <c r="H3473" s="517" t="s">
        <v>2577</v>
      </c>
      <c r="I3473" s="517" t="s">
        <v>2470</v>
      </c>
      <c r="J3473"/>
    </row>
    <row r="3474" spans="1:10" ht="25" x14ac:dyDescent="0.3">
      <c r="A3474" s="519" t="s">
        <v>2582</v>
      </c>
      <c r="B3474" s="520" t="s">
        <v>125</v>
      </c>
      <c r="C3474" s="519" t="s">
        <v>2823</v>
      </c>
      <c r="D3474" s="519" t="s">
        <v>2838</v>
      </c>
      <c r="E3474" s="520">
        <v>5914655</v>
      </c>
      <c r="F3474" s="522">
        <v>3.13E-3</v>
      </c>
      <c r="G3474" s="521" t="s">
        <v>374</v>
      </c>
      <c r="H3474" s="524">
        <v>33.159999999999997</v>
      </c>
      <c r="I3474" s="524">
        <v>0.1038</v>
      </c>
      <c r="J3474"/>
    </row>
    <row r="3475" spans="1:10" ht="25" x14ac:dyDescent="0.3">
      <c r="A3475" s="519" t="s">
        <v>2582</v>
      </c>
      <c r="B3475" s="520" t="s">
        <v>125</v>
      </c>
      <c r="C3475" s="519" t="s">
        <v>2827</v>
      </c>
      <c r="D3475" s="519" t="s">
        <v>2838</v>
      </c>
      <c r="E3475" s="520">
        <v>5914655</v>
      </c>
      <c r="F3475" s="522">
        <v>2.0000000000000002E-5</v>
      </c>
      <c r="G3475" s="521" t="s">
        <v>374</v>
      </c>
      <c r="H3475" s="524">
        <v>33.159999999999997</v>
      </c>
      <c r="I3475" s="524">
        <v>6.9999999999999999E-4</v>
      </c>
      <c r="J3475"/>
    </row>
    <row r="3476" spans="1:10" ht="25" x14ac:dyDescent="0.3">
      <c r="A3476" s="519" t="s">
        <v>2582</v>
      </c>
      <c r="B3476" s="520" t="s">
        <v>125</v>
      </c>
      <c r="C3476" s="519" t="s">
        <v>2830</v>
      </c>
      <c r="D3476" s="519" t="s">
        <v>2838</v>
      </c>
      <c r="E3476" s="520">
        <v>5914655</v>
      </c>
      <c r="F3476" s="522">
        <v>2.6700000000000001E-3</v>
      </c>
      <c r="G3476" s="521" t="s">
        <v>374</v>
      </c>
      <c r="H3476" s="524">
        <v>33.159999999999997</v>
      </c>
      <c r="I3476" s="524">
        <v>8.8499999999999995E-2</v>
      </c>
      <c r="J3476"/>
    </row>
    <row r="3477" spans="1:10" ht="25" x14ac:dyDescent="0.3">
      <c r="A3477" s="519" t="s">
        <v>2582</v>
      </c>
      <c r="B3477" s="520" t="s">
        <v>125</v>
      </c>
      <c r="C3477" s="519" t="s">
        <v>2832</v>
      </c>
      <c r="D3477" s="519" t="s">
        <v>2838</v>
      </c>
      <c r="E3477" s="520">
        <v>5914655</v>
      </c>
      <c r="F3477" s="522">
        <v>5.9000000000000003E-4</v>
      </c>
      <c r="G3477" s="521" t="s">
        <v>374</v>
      </c>
      <c r="H3477" s="524">
        <v>33.159999999999997</v>
      </c>
      <c r="I3477" s="524">
        <v>1.9599999999999999E-2</v>
      </c>
      <c r="J3477"/>
    </row>
    <row r="3478" spans="1:10" ht="25" x14ac:dyDescent="0.3">
      <c r="A3478" s="519" t="s">
        <v>2582</v>
      </c>
      <c r="B3478" s="520" t="s">
        <v>125</v>
      </c>
      <c r="C3478" s="519" t="s">
        <v>3096</v>
      </c>
      <c r="D3478" s="519" t="s">
        <v>2838</v>
      </c>
      <c r="E3478" s="520">
        <v>5914655</v>
      </c>
      <c r="F3478" s="522">
        <v>1.98E-3</v>
      </c>
      <c r="G3478" s="521" t="s">
        <v>374</v>
      </c>
      <c r="H3478" s="524">
        <v>33.159999999999997</v>
      </c>
      <c r="I3478" s="524">
        <v>6.5699999999999995E-2</v>
      </c>
      <c r="J3478"/>
    </row>
    <row r="3479" spans="1:10" ht="25" x14ac:dyDescent="0.3">
      <c r="A3479" s="519" t="s">
        <v>2582</v>
      </c>
      <c r="B3479" s="520" t="s">
        <v>125</v>
      </c>
      <c r="C3479" s="519" t="s">
        <v>3063</v>
      </c>
      <c r="D3479" s="519" t="s">
        <v>2838</v>
      </c>
      <c r="E3479" s="520">
        <v>5914655</v>
      </c>
      <c r="F3479" s="522">
        <v>1.0109999999999999E-2</v>
      </c>
      <c r="G3479" s="521" t="s">
        <v>374</v>
      </c>
      <c r="H3479" s="524">
        <v>33.159999999999997</v>
      </c>
      <c r="I3479" s="524">
        <v>0.3352</v>
      </c>
      <c r="J3479"/>
    </row>
    <row r="3480" spans="1:10" ht="14.25" customHeight="1" x14ac:dyDescent="0.3">
      <c r="A3480" s="902"/>
      <c r="B3480" s="902"/>
      <c r="C3480" s="902"/>
      <c r="D3480" s="902"/>
      <c r="E3480" s="902"/>
      <c r="F3480" s="902" t="s">
        <v>2585</v>
      </c>
      <c r="G3480" s="902"/>
      <c r="H3480" s="902"/>
      <c r="I3480" s="525">
        <v>0.61350000000000005</v>
      </c>
      <c r="J3480"/>
    </row>
    <row r="3481" spans="1:10" ht="15" customHeight="1" x14ac:dyDescent="0.3">
      <c r="A3481" s="516" t="s">
        <v>2586</v>
      </c>
      <c r="B3481" s="517" t="s">
        <v>16</v>
      </c>
      <c r="C3481" s="516" t="s">
        <v>2437</v>
      </c>
      <c r="D3481" s="516" t="s">
        <v>2587</v>
      </c>
      <c r="E3481" s="517" t="s">
        <v>2467</v>
      </c>
      <c r="F3481" s="517" t="s">
        <v>2576</v>
      </c>
      <c r="G3481" s="908" t="s">
        <v>2588</v>
      </c>
      <c r="H3481" s="903"/>
      <c r="I3481" s="517" t="s">
        <v>2470</v>
      </c>
      <c r="J3481"/>
    </row>
    <row r="3482" spans="1:10" x14ac:dyDescent="0.3">
      <c r="A3482" s="518"/>
      <c r="B3482" s="518"/>
      <c r="C3482" s="518"/>
      <c r="D3482" s="518"/>
      <c r="E3482" s="518"/>
      <c r="F3482" s="518"/>
      <c r="G3482" s="518" t="s">
        <v>2589</v>
      </c>
      <c r="H3482" s="518" t="s">
        <v>2590</v>
      </c>
      <c r="I3482" s="518"/>
      <c r="J3482"/>
    </row>
    <row r="3483" spans="1:10" ht="37.5" x14ac:dyDescent="0.3">
      <c r="A3483" s="519" t="s">
        <v>2587</v>
      </c>
      <c r="B3483" s="520" t="s">
        <v>125</v>
      </c>
      <c r="C3483" s="519" t="s">
        <v>2823</v>
      </c>
      <c r="D3483" s="519" t="s">
        <v>2839</v>
      </c>
      <c r="E3483" s="522">
        <v>3.13E-3</v>
      </c>
      <c r="F3483" s="521" t="s">
        <v>2592</v>
      </c>
      <c r="G3483" s="520" t="s">
        <v>4472</v>
      </c>
      <c r="H3483" s="520" t="s">
        <v>4473</v>
      </c>
      <c r="I3483" s="524">
        <v>0</v>
      </c>
      <c r="J3483"/>
    </row>
    <row r="3484" spans="1:10" ht="14.25" customHeight="1" x14ac:dyDescent="0.3">
      <c r="A3484" s="519" t="s">
        <v>2587</v>
      </c>
      <c r="B3484" s="520" t="s">
        <v>125</v>
      </c>
      <c r="C3484" s="519" t="s">
        <v>2827</v>
      </c>
      <c r="D3484" s="519" t="s">
        <v>2841</v>
      </c>
      <c r="E3484" s="522">
        <v>2.0000000000000002E-5</v>
      </c>
      <c r="F3484" s="521" t="s">
        <v>2592</v>
      </c>
      <c r="G3484" s="520" t="s">
        <v>4472</v>
      </c>
      <c r="H3484" s="520" t="s">
        <v>4473</v>
      </c>
      <c r="I3484" s="524">
        <v>0</v>
      </c>
      <c r="J3484"/>
    </row>
    <row r="3485" spans="1:10" ht="15" customHeight="1" x14ac:dyDescent="0.3">
      <c r="A3485" s="519" t="s">
        <v>2587</v>
      </c>
      <c r="B3485" s="520" t="s">
        <v>125</v>
      </c>
      <c r="C3485" s="519" t="s">
        <v>2830</v>
      </c>
      <c r="D3485" s="519" t="s">
        <v>2842</v>
      </c>
      <c r="E3485" s="522">
        <v>2.6700000000000001E-3</v>
      </c>
      <c r="F3485" s="521" t="s">
        <v>2592</v>
      </c>
      <c r="G3485" s="520" t="s">
        <v>4472</v>
      </c>
      <c r="H3485" s="520" t="s">
        <v>4473</v>
      </c>
      <c r="I3485" s="524">
        <v>0</v>
      </c>
      <c r="J3485"/>
    </row>
    <row r="3486" spans="1:10" ht="37.5" x14ac:dyDescent="0.3">
      <c r="A3486" s="519" t="s">
        <v>2587</v>
      </c>
      <c r="B3486" s="520" t="s">
        <v>125</v>
      </c>
      <c r="C3486" s="519" t="s">
        <v>2832</v>
      </c>
      <c r="D3486" s="519" t="s">
        <v>2843</v>
      </c>
      <c r="E3486" s="522">
        <v>5.9000000000000003E-4</v>
      </c>
      <c r="F3486" s="521" t="s">
        <v>2592</v>
      </c>
      <c r="G3486" s="520" t="s">
        <v>4472</v>
      </c>
      <c r="H3486" s="520" t="s">
        <v>4473</v>
      </c>
      <c r="I3486" s="524">
        <v>0</v>
      </c>
      <c r="J3486"/>
    </row>
    <row r="3487" spans="1:10" ht="37.5" x14ac:dyDescent="0.3">
      <c r="A3487" s="519" t="s">
        <v>2587</v>
      </c>
      <c r="B3487" s="520" t="s">
        <v>125</v>
      </c>
      <c r="C3487" s="519" t="s">
        <v>3096</v>
      </c>
      <c r="D3487" s="519" t="s">
        <v>3103</v>
      </c>
      <c r="E3487" s="522">
        <v>1.98E-3</v>
      </c>
      <c r="F3487" s="521" t="s">
        <v>2592</v>
      </c>
      <c r="G3487" s="520" t="s">
        <v>4472</v>
      </c>
      <c r="H3487" s="520" t="s">
        <v>4473</v>
      </c>
      <c r="I3487" s="524">
        <v>0</v>
      </c>
      <c r="J3487"/>
    </row>
    <row r="3488" spans="1:10" ht="37.5" x14ac:dyDescent="0.3">
      <c r="A3488" s="519" t="s">
        <v>2587</v>
      </c>
      <c r="B3488" s="520" t="s">
        <v>125</v>
      </c>
      <c r="C3488" s="519" t="s">
        <v>3063</v>
      </c>
      <c r="D3488" s="519" t="s">
        <v>3065</v>
      </c>
      <c r="E3488" s="522">
        <v>1.0109999999999999E-2</v>
      </c>
      <c r="F3488" s="521" t="s">
        <v>2592</v>
      </c>
      <c r="G3488" s="520" t="s">
        <v>4472</v>
      </c>
      <c r="H3488" s="520" t="s">
        <v>4473</v>
      </c>
      <c r="I3488" s="524">
        <v>0</v>
      </c>
      <c r="J3488"/>
    </row>
    <row r="3489" spans="1:10" ht="15" customHeight="1" thickBot="1" x14ac:dyDescent="0.35">
      <c r="A3489" s="902"/>
      <c r="B3489" s="902"/>
      <c r="C3489" s="902"/>
      <c r="D3489" s="902"/>
      <c r="E3489" s="902"/>
      <c r="F3489" s="902" t="s">
        <v>2593</v>
      </c>
      <c r="G3489" s="902"/>
      <c r="H3489" s="902"/>
      <c r="I3489" s="525">
        <v>0</v>
      </c>
      <c r="J3489"/>
    </row>
    <row r="3490" spans="1:10" ht="14.5" thickTop="1" x14ac:dyDescent="0.3">
      <c r="A3490" s="647"/>
      <c r="B3490" s="647"/>
      <c r="C3490" s="647"/>
      <c r="D3490" s="647"/>
      <c r="E3490" s="647"/>
      <c r="F3490" s="647"/>
      <c r="G3490" s="647"/>
      <c r="H3490" s="647"/>
      <c r="I3490" s="647"/>
      <c r="J3490"/>
    </row>
    <row r="3491" spans="1:10" x14ac:dyDescent="0.3">
      <c r="A3491" s="516"/>
      <c r="B3491" s="517" t="s">
        <v>15</v>
      </c>
      <c r="C3491" s="516" t="s">
        <v>16</v>
      </c>
      <c r="D3491" s="516" t="s">
        <v>17</v>
      </c>
      <c r="E3491" s="904" t="s">
        <v>2431</v>
      </c>
      <c r="F3491" s="904"/>
      <c r="G3491" s="518" t="s">
        <v>18</v>
      </c>
      <c r="H3491" s="517" t="s">
        <v>19</v>
      </c>
      <c r="I3491" s="517" t="s">
        <v>20</v>
      </c>
      <c r="J3491" s="517" t="s">
        <v>23</v>
      </c>
    </row>
    <row r="3492" spans="1:10" ht="14.25" customHeight="1" x14ac:dyDescent="0.3">
      <c r="A3492" s="642" t="s">
        <v>2432</v>
      </c>
      <c r="B3492" s="643" t="s">
        <v>2956</v>
      </c>
      <c r="C3492" s="642" t="s">
        <v>32</v>
      </c>
      <c r="D3492" s="642" t="s">
        <v>2957</v>
      </c>
      <c r="E3492" s="906" t="s">
        <v>2465</v>
      </c>
      <c r="F3492" s="906"/>
      <c r="G3492" s="644" t="s">
        <v>110</v>
      </c>
      <c r="H3492" s="645">
        <v>1</v>
      </c>
      <c r="I3492" s="646">
        <v>3.21</v>
      </c>
      <c r="J3492" s="646">
        <v>3.21</v>
      </c>
    </row>
    <row r="3493" spans="1:10" ht="15" customHeight="1" x14ac:dyDescent="0.3">
      <c r="A3493" s="519" t="s">
        <v>2434</v>
      </c>
      <c r="B3493" s="520" t="s">
        <v>3695</v>
      </c>
      <c r="C3493" s="519" t="s">
        <v>32</v>
      </c>
      <c r="D3493" s="519" t="s">
        <v>3696</v>
      </c>
      <c r="E3493" s="905" t="s">
        <v>2465</v>
      </c>
      <c r="F3493" s="905"/>
      <c r="G3493" s="521" t="s">
        <v>1901</v>
      </c>
      <c r="H3493" s="522">
        <v>1</v>
      </c>
      <c r="I3493" s="523">
        <v>2.52</v>
      </c>
      <c r="J3493" s="523">
        <v>2.52</v>
      </c>
    </row>
    <row r="3494" spans="1:10" ht="26.25" customHeight="1" thickBot="1" x14ac:dyDescent="0.35">
      <c r="A3494" s="519" t="s">
        <v>2434</v>
      </c>
      <c r="B3494" s="520" t="s">
        <v>3697</v>
      </c>
      <c r="C3494" s="519" t="s">
        <v>32</v>
      </c>
      <c r="D3494" s="519" t="s">
        <v>3698</v>
      </c>
      <c r="E3494" s="905" t="s">
        <v>2465</v>
      </c>
      <c r="F3494" s="905"/>
      <c r="G3494" s="521" t="s">
        <v>1901</v>
      </c>
      <c r="H3494" s="522">
        <v>1</v>
      </c>
      <c r="I3494" s="523">
        <v>0.69</v>
      </c>
      <c r="J3494" s="523">
        <v>0.69</v>
      </c>
    </row>
    <row r="3495" spans="1:10" ht="14.5" thickTop="1" x14ac:dyDescent="0.3">
      <c r="A3495" s="647"/>
      <c r="B3495" s="647"/>
      <c r="C3495" s="647"/>
      <c r="D3495" s="647"/>
      <c r="E3495" s="647"/>
      <c r="F3495" s="647"/>
      <c r="G3495" s="647"/>
      <c r="H3495" s="647"/>
      <c r="I3495" s="647"/>
      <c r="J3495"/>
    </row>
    <row r="3496" spans="1:10" x14ac:dyDescent="0.3">
      <c r="A3496" s="516"/>
      <c r="B3496" s="517" t="s">
        <v>15</v>
      </c>
      <c r="C3496" s="516" t="s">
        <v>16</v>
      </c>
      <c r="D3496" s="516" t="s">
        <v>17</v>
      </c>
      <c r="E3496" s="904" t="s">
        <v>2431</v>
      </c>
      <c r="F3496" s="904"/>
      <c r="G3496" s="518" t="s">
        <v>18</v>
      </c>
      <c r="H3496" s="517" t="s">
        <v>19</v>
      </c>
      <c r="I3496" s="517" t="s">
        <v>20</v>
      </c>
      <c r="J3496" s="517" t="s">
        <v>23</v>
      </c>
    </row>
    <row r="3497" spans="1:10" ht="25.5" customHeight="1" x14ac:dyDescent="0.3">
      <c r="A3497" s="642" t="s">
        <v>2432</v>
      </c>
      <c r="B3497" s="643" t="s">
        <v>2954</v>
      </c>
      <c r="C3497" s="642" t="s">
        <v>32</v>
      </c>
      <c r="D3497" s="642" t="s">
        <v>2955</v>
      </c>
      <c r="E3497" s="906" t="s">
        <v>2465</v>
      </c>
      <c r="F3497" s="906"/>
      <c r="G3497" s="644" t="s">
        <v>103</v>
      </c>
      <c r="H3497" s="645">
        <v>1</v>
      </c>
      <c r="I3497" s="646">
        <v>4.96</v>
      </c>
      <c r="J3497" s="646">
        <v>4.96</v>
      </c>
    </row>
    <row r="3498" spans="1:10" ht="25.5" customHeight="1" x14ac:dyDescent="0.3">
      <c r="A3498" s="519" t="s">
        <v>2434</v>
      </c>
      <c r="B3498" s="520" t="s">
        <v>3695</v>
      </c>
      <c r="C3498" s="519" t="s">
        <v>32</v>
      </c>
      <c r="D3498" s="519" t="s">
        <v>3696</v>
      </c>
      <c r="E3498" s="905" t="s">
        <v>2465</v>
      </c>
      <c r="F3498" s="905"/>
      <c r="G3498" s="521" t="s">
        <v>1901</v>
      </c>
      <c r="H3498" s="522">
        <v>1</v>
      </c>
      <c r="I3498" s="523">
        <v>2.52</v>
      </c>
      <c r="J3498" s="523">
        <v>2.52</v>
      </c>
    </row>
    <row r="3499" spans="1:10" ht="25.5" customHeight="1" x14ac:dyDescent="0.3">
      <c r="A3499" s="519" t="s">
        <v>2434</v>
      </c>
      <c r="B3499" s="520" t="s">
        <v>3699</v>
      </c>
      <c r="C3499" s="519" t="s">
        <v>32</v>
      </c>
      <c r="D3499" s="519" t="s">
        <v>3700</v>
      </c>
      <c r="E3499" s="905" t="s">
        <v>2465</v>
      </c>
      <c r="F3499" s="905"/>
      <c r="G3499" s="521" t="s">
        <v>1901</v>
      </c>
      <c r="H3499" s="522">
        <v>1</v>
      </c>
      <c r="I3499" s="523">
        <v>1.75</v>
      </c>
      <c r="J3499" s="523">
        <v>1.75</v>
      </c>
    </row>
    <row r="3500" spans="1:10" ht="26.25" customHeight="1" thickBot="1" x14ac:dyDescent="0.35">
      <c r="A3500" s="519" t="s">
        <v>2434</v>
      </c>
      <c r="B3500" s="520" t="s">
        <v>3697</v>
      </c>
      <c r="C3500" s="519" t="s">
        <v>32</v>
      </c>
      <c r="D3500" s="519" t="s">
        <v>3698</v>
      </c>
      <c r="E3500" s="905" t="s">
        <v>2465</v>
      </c>
      <c r="F3500" s="905"/>
      <c r="G3500" s="521" t="s">
        <v>1901</v>
      </c>
      <c r="H3500" s="522">
        <v>1</v>
      </c>
      <c r="I3500" s="523">
        <v>0.69</v>
      </c>
      <c r="J3500" s="523">
        <v>0.69</v>
      </c>
    </row>
    <row r="3501" spans="1:10" ht="15" customHeight="1" thickTop="1" x14ac:dyDescent="0.3">
      <c r="A3501" s="647"/>
      <c r="B3501" s="647"/>
      <c r="C3501" s="647"/>
      <c r="D3501" s="647"/>
      <c r="E3501" s="647"/>
      <c r="F3501" s="647"/>
      <c r="G3501" s="647"/>
      <c r="H3501" s="647"/>
      <c r="I3501" s="647"/>
      <c r="J3501"/>
    </row>
    <row r="3502" spans="1:10" s="358" customFormat="1" x14ac:dyDescent="0.3">
      <c r="A3502" s="516"/>
      <c r="B3502" s="517" t="s">
        <v>15</v>
      </c>
      <c r="C3502" s="516" t="s">
        <v>16</v>
      </c>
      <c r="D3502" s="516" t="s">
        <v>17</v>
      </c>
      <c r="E3502" s="904" t="s">
        <v>2431</v>
      </c>
      <c r="F3502" s="904"/>
      <c r="G3502" s="518" t="s">
        <v>18</v>
      </c>
      <c r="H3502" s="517" t="s">
        <v>19</v>
      </c>
      <c r="I3502" s="517" t="s">
        <v>20</v>
      </c>
      <c r="J3502" s="517" t="s">
        <v>23</v>
      </c>
    </row>
    <row r="3503" spans="1:10" ht="25.5" customHeight="1" x14ac:dyDescent="0.3">
      <c r="A3503" s="642" t="s">
        <v>2432</v>
      </c>
      <c r="B3503" s="643" t="s">
        <v>3695</v>
      </c>
      <c r="C3503" s="642" t="s">
        <v>32</v>
      </c>
      <c r="D3503" s="642" t="s">
        <v>3696</v>
      </c>
      <c r="E3503" s="906" t="s">
        <v>2465</v>
      </c>
      <c r="F3503" s="906"/>
      <c r="G3503" s="644" t="s">
        <v>1901</v>
      </c>
      <c r="H3503" s="645">
        <v>1</v>
      </c>
      <c r="I3503" s="646">
        <v>2.52</v>
      </c>
      <c r="J3503" s="646">
        <v>2.52</v>
      </c>
    </row>
    <row r="3504" spans="1:10" s="358" customFormat="1" ht="25.5" customHeight="1" thickBot="1" x14ac:dyDescent="0.35">
      <c r="A3504" s="519" t="s">
        <v>2437</v>
      </c>
      <c r="B3504" s="520" t="s">
        <v>3701</v>
      </c>
      <c r="C3504" s="519" t="s">
        <v>32</v>
      </c>
      <c r="D3504" s="519" t="s">
        <v>3702</v>
      </c>
      <c r="E3504" s="905" t="s">
        <v>2446</v>
      </c>
      <c r="F3504" s="905"/>
      <c r="G3504" s="521" t="s">
        <v>89</v>
      </c>
      <c r="H3504" s="522">
        <v>5.1400000000000003E-5</v>
      </c>
      <c r="I3504" s="523">
        <v>49100</v>
      </c>
      <c r="J3504" s="523">
        <v>2.52</v>
      </c>
    </row>
    <row r="3505" spans="1:10" ht="25.5" customHeight="1" thickTop="1" x14ac:dyDescent="0.3">
      <c r="A3505" s="647"/>
      <c r="B3505" s="647"/>
      <c r="C3505" s="647"/>
      <c r="D3505" s="647"/>
      <c r="E3505" s="647"/>
      <c r="F3505" s="647"/>
      <c r="G3505" s="647"/>
      <c r="H3505" s="647"/>
      <c r="I3505" s="647"/>
      <c r="J3505"/>
    </row>
    <row r="3506" spans="1:10" ht="26.25" customHeight="1" x14ac:dyDescent="0.3">
      <c r="A3506" s="516"/>
      <c r="B3506" s="517" t="s">
        <v>15</v>
      </c>
      <c r="C3506" s="516" t="s">
        <v>16</v>
      </c>
      <c r="D3506" s="516" t="s">
        <v>17</v>
      </c>
      <c r="E3506" s="904" t="s">
        <v>2431</v>
      </c>
      <c r="F3506" s="904"/>
      <c r="G3506" s="518" t="s">
        <v>18</v>
      </c>
      <c r="H3506" s="517" t="s">
        <v>19</v>
      </c>
      <c r="I3506" s="517" t="s">
        <v>20</v>
      </c>
      <c r="J3506" s="517" t="s">
        <v>23</v>
      </c>
    </row>
    <row r="3507" spans="1:10" s="358" customFormat="1" ht="25.5" customHeight="1" x14ac:dyDescent="0.3">
      <c r="A3507" s="642" t="s">
        <v>2432</v>
      </c>
      <c r="B3507" s="643" t="s">
        <v>3697</v>
      </c>
      <c r="C3507" s="642" t="s">
        <v>32</v>
      </c>
      <c r="D3507" s="642" t="s">
        <v>3698</v>
      </c>
      <c r="E3507" s="906" t="s">
        <v>2465</v>
      </c>
      <c r="F3507" s="906"/>
      <c r="G3507" s="644" t="s">
        <v>1901</v>
      </c>
      <c r="H3507" s="645">
        <v>1</v>
      </c>
      <c r="I3507" s="646">
        <v>0.69</v>
      </c>
      <c r="J3507" s="646">
        <v>0.69</v>
      </c>
    </row>
    <row r="3508" spans="1:10" ht="25.5" thickBot="1" x14ac:dyDescent="0.35">
      <c r="A3508" s="519" t="s">
        <v>2437</v>
      </c>
      <c r="B3508" s="520" t="s">
        <v>3701</v>
      </c>
      <c r="C3508" s="519" t="s">
        <v>32</v>
      </c>
      <c r="D3508" s="519" t="s">
        <v>3702</v>
      </c>
      <c r="E3508" s="905" t="s">
        <v>2446</v>
      </c>
      <c r="F3508" s="905"/>
      <c r="G3508" s="521" t="s">
        <v>89</v>
      </c>
      <c r="H3508" s="522">
        <v>1.4100000000000001E-5</v>
      </c>
      <c r="I3508" s="523">
        <v>49100</v>
      </c>
      <c r="J3508" s="523">
        <v>0.69</v>
      </c>
    </row>
    <row r="3509" spans="1:10" s="358" customFormat="1" ht="25.5" customHeight="1" thickTop="1" x14ac:dyDescent="0.3">
      <c r="A3509" s="647"/>
      <c r="B3509" s="647"/>
      <c r="C3509" s="647"/>
      <c r="D3509" s="647"/>
      <c r="E3509" s="647"/>
      <c r="F3509" s="647"/>
      <c r="G3509" s="647"/>
      <c r="H3509" s="647"/>
      <c r="I3509" s="647"/>
      <c r="J3509"/>
    </row>
    <row r="3510" spans="1:10" ht="25.5" customHeight="1" x14ac:dyDescent="0.3">
      <c r="A3510" s="516"/>
      <c r="B3510" s="517" t="s">
        <v>15</v>
      </c>
      <c r="C3510" s="516" t="s">
        <v>16</v>
      </c>
      <c r="D3510" s="516" t="s">
        <v>17</v>
      </c>
      <c r="E3510" s="904" t="s">
        <v>2431</v>
      </c>
      <c r="F3510" s="904"/>
      <c r="G3510" s="518" t="s">
        <v>18</v>
      </c>
      <c r="H3510" s="517" t="s">
        <v>19</v>
      </c>
      <c r="I3510" s="517" t="s">
        <v>20</v>
      </c>
      <c r="J3510" s="517" t="s">
        <v>23</v>
      </c>
    </row>
    <row r="3511" spans="1:10" ht="25.5" customHeight="1" x14ac:dyDescent="0.3">
      <c r="A3511" s="642" t="s">
        <v>2432</v>
      </c>
      <c r="B3511" s="643" t="s">
        <v>3699</v>
      </c>
      <c r="C3511" s="642" t="s">
        <v>32</v>
      </c>
      <c r="D3511" s="642" t="s">
        <v>3700</v>
      </c>
      <c r="E3511" s="906" t="s">
        <v>2465</v>
      </c>
      <c r="F3511" s="906"/>
      <c r="G3511" s="644" t="s">
        <v>1901</v>
      </c>
      <c r="H3511" s="645">
        <v>1</v>
      </c>
      <c r="I3511" s="646">
        <v>1.75</v>
      </c>
      <c r="J3511" s="646">
        <v>1.75</v>
      </c>
    </row>
    <row r="3512" spans="1:10" ht="26.25" customHeight="1" thickBot="1" x14ac:dyDescent="0.35">
      <c r="A3512" s="519" t="s">
        <v>2437</v>
      </c>
      <c r="B3512" s="520" t="s">
        <v>3701</v>
      </c>
      <c r="C3512" s="519" t="s">
        <v>32</v>
      </c>
      <c r="D3512" s="519" t="s">
        <v>3702</v>
      </c>
      <c r="E3512" s="905" t="s">
        <v>2446</v>
      </c>
      <c r="F3512" s="905"/>
      <c r="G3512" s="521" t="s">
        <v>89</v>
      </c>
      <c r="H3512" s="522">
        <v>3.57E-5</v>
      </c>
      <c r="I3512" s="523">
        <v>49100</v>
      </c>
      <c r="J3512" s="523">
        <v>1.75</v>
      </c>
    </row>
    <row r="3513" spans="1:10" s="358" customFormat="1" ht="14.5" thickTop="1" x14ac:dyDescent="0.3">
      <c r="A3513" s="647"/>
      <c r="B3513" s="647"/>
      <c r="C3513" s="647"/>
      <c r="D3513" s="647"/>
      <c r="E3513" s="647"/>
      <c r="F3513" s="647"/>
      <c r="G3513" s="647"/>
      <c r="H3513" s="647"/>
      <c r="I3513" s="647"/>
      <c r="J3513"/>
    </row>
    <row r="3514" spans="1:10" x14ac:dyDescent="0.3">
      <c r="A3514" s="516"/>
      <c r="B3514" s="517" t="s">
        <v>15</v>
      </c>
      <c r="C3514" s="516" t="s">
        <v>16</v>
      </c>
      <c r="D3514" s="516" t="s">
        <v>17</v>
      </c>
      <c r="E3514" s="904" t="s">
        <v>2431</v>
      </c>
      <c r="F3514" s="904"/>
      <c r="G3514" s="518" t="s">
        <v>18</v>
      </c>
      <c r="H3514" s="517" t="s">
        <v>19</v>
      </c>
      <c r="I3514" s="517" t="s">
        <v>20</v>
      </c>
      <c r="J3514" s="517" t="s">
        <v>23</v>
      </c>
    </row>
    <row r="3515" spans="1:10" s="358" customFormat="1" ht="25.5" customHeight="1" x14ac:dyDescent="0.3">
      <c r="A3515" s="642" t="s">
        <v>2432</v>
      </c>
      <c r="B3515" s="643" t="s">
        <v>3202</v>
      </c>
      <c r="C3515" s="642" t="s">
        <v>32</v>
      </c>
      <c r="D3515" s="642" t="s">
        <v>3203</v>
      </c>
      <c r="E3515" s="906" t="s">
        <v>2465</v>
      </c>
      <c r="F3515" s="906"/>
      <c r="G3515" s="644" t="s">
        <v>103</v>
      </c>
      <c r="H3515" s="645">
        <v>1</v>
      </c>
      <c r="I3515" s="646">
        <v>98.54</v>
      </c>
      <c r="J3515" s="646">
        <v>98.54</v>
      </c>
    </row>
    <row r="3516" spans="1:10" ht="38.25" customHeight="1" x14ac:dyDescent="0.3">
      <c r="A3516" s="519" t="s">
        <v>2434</v>
      </c>
      <c r="B3516" s="520" t="s">
        <v>3703</v>
      </c>
      <c r="C3516" s="519" t="s">
        <v>32</v>
      </c>
      <c r="D3516" s="519" t="s">
        <v>3704</v>
      </c>
      <c r="E3516" s="905" t="s">
        <v>2465</v>
      </c>
      <c r="F3516" s="905"/>
      <c r="G3516" s="521" t="s">
        <v>1901</v>
      </c>
      <c r="H3516" s="522">
        <v>1</v>
      </c>
      <c r="I3516" s="523">
        <v>9.52</v>
      </c>
      <c r="J3516" s="523">
        <v>9.52</v>
      </c>
    </row>
    <row r="3517" spans="1:10" s="358" customFormat="1" ht="38.25" customHeight="1" x14ac:dyDescent="0.3">
      <c r="A3517" s="519" t="s">
        <v>2434</v>
      </c>
      <c r="B3517" s="520" t="s">
        <v>3705</v>
      </c>
      <c r="C3517" s="519" t="s">
        <v>32</v>
      </c>
      <c r="D3517" s="519" t="s">
        <v>3706</v>
      </c>
      <c r="E3517" s="905" t="s">
        <v>2465</v>
      </c>
      <c r="F3517" s="905"/>
      <c r="G3517" s="521" t="s">
        <v>1901</v>
      </c>
      <c r="H3517" s="522">
        <v>1</v>
      </c>
      <c r="I3517" s="523">
        <v>8.5</v>
      </c>
      <c r="J3517" s="523">
        <v>8.5</v>
      </c>
    </row>
    <row r="3518" spans="1:10" ht="38.25" customHeight="1" x14ac:dyDescent="0.3">
      <c r="A3518" s="519" t="s">
        <v>2434</v>
      </c>
      <c r="B3518" s="520" t="s">
        <v>3707</v>
      </c>
      <c r="C3518" s="519" t="s">
        <v>32</v>
      </c>
      <c r="D3518" s="519" t="s">
        <v>3708</v>
      </c>
      <c r="E3518" s="905" t="s">
        <v>2465</v>
      </c>
      <c r="F3518" s="905"/>
      <c r="G3518" s="521" t="s">
        <v>1901</v>
      </c>
      <c r="H3518" s="522">
        <v>1</v>
      </c>
      <c r="I3518" s="523">
        <v>45.36</v>
      </c>
      <c r="J3518" s="523">
        <v>45.36</v>
      </c>
    </row>
    <row r="3519" spans="1:10" s="358" customFormat="1" ht="25.5" customHeight="1" x14ac:dyDescent="0.3">
      <c r="A3519" s="519" t="s">
        <v>2434</v>
      </c>
      <c r="B3519" s="520" t="s">
        <v>3709</v>
      </c>
      <c r="C3519" s="519" t="s">
        <v>32</v>
      </c>
      <c r="D3519" s="519" t="s">
        <v>3710</v>
      </c>
      <c r="E3519" s="905" t="s">
        <v>2465</v>
      </c>
      <c r="F3519" s="905"/>
      <c r="G3519" s="521" t="s">
        <v>1901</v>
      </c>
      <c r="H3519" s="522">
        <v>1</v>
      </c>
      <c r="I3519" s="523">
        <v>3.35</v>
      </c>
      <c r="J3519" s="523">
        <v>3.35</v>
      </c>
    </row>
    <row r="3520" spans="1:10" ht="25.5" thickBot="1" x14ac:dyDescent="0.35">
      <c r="A3520" s="519" t="s">
        <v>2434</v>
      </c>
      <c r="B3520" s="520" t="s">
        <v>2642</v>
      </c>
      <c r="C3520" s="519" t="s">
        <v>32</v>
      </c>
      <c r="D3520" s="519" t="s">
        <v>2643</v>
      </c>
      <c r="E3520" s="905" t="s">
        <v>2433</v>
      </c>
      <c r="F3520" s="905"/>
      <c r="G3520" s="521" t="s">
        <v>1901</v>
      </c>
      <c r="H3520" s="522">
        <v>1</v>
      </c>
      <c r="I3520" s="523">
        <v>31.81</v>
      </c>
      <c r="J3520" s="523">
        <v>31.81</v>
      </c>
    </row>
    <row r="3521" spans="1:10" s="358" customFormat="1" ht="14.5" thickTop="1" x14ac:dyDescent="0.3">
      <c r="A3521" s="647"/>
      <c r="B3521" s="647"/>
      <c r="C3521" s="647"/>
      <c r="D3521" s="647"/>
      <c r="E3521" s="647"/>
      <c r="F3521" s="647"/>
      <c r="G3521" s="647"/>
      <c r="H3521" s="647"/>
      <c r="I3521" s="647"/>
      <c r="J3521"/>
    </row>
    <row r="3522" spans="1:10" x14ac:dyDescent="0.3">
      <c r="A3522" s="516"/>
      <c r="B3522" s="517" t="s">
        <v>15</v>
      </c>
      <c r="C3522" s="516" t="s">
        <v>16</v>
      </c>
      <c r="D3522" s="516" t="s">
        <v>17</v>
      </c>
      <c r="E3522" s="904" t="s">
        <v>2431</v>
      </c>
      <c r="F3522" s="904"/>
      <c r="G3522" s="518" t="s">
        <v>18</v>
      </c>
      <c r="H3522" s="517" t="s">
        <v>19</v>
      </c>
      <c r="I3522" s="517" t="s">
        <v>20</v>
      </c>
      <c r="J3522" s="517" t="s">
        <v>23</v>
      </c>
    </row>
    <row r="3523" spans="1:10" s="358" customFormat="1" ht="25.5" customHeight="1" x14ac:dyDescent="0.3">
      <c r="A3523" s="642" t="s">
        <v>2432</v>
      </c>
      <c r="B3523" s="643" t="s">
        <v>3703</v>
      </c>
      <c r="C3523" s="642" t="s">
        <v>32</v>
      </c>
      <c r="D3523" s="642" t="s">
        <v>3704</v>
      </c>
      <c r="E3523" s="906" t="s">
        <v>2465</v>
      </c>
      <c r="F3523" s="906"/>
      <c r="G3523" s="644" t="s">
        <v>1901</v>
      </c>
      <c r="H3523" s="645">
        <v>1</v>
      </c>
      <c r="I3523" s="646">
        <v>9.52</v>
      </c>
      <c r="J3523" s="646">
        <v>9.52</v>
      </c>
    </row>
    <row r="3524" spans="1:10" ht="38" thickBot="1" x14ac:dyDescent="0.35">
      <c r="A3524" s="519" t="s">
        <v>2437</v>
      </c>
      <c r="B3524" s="520" t="s">
        <v>3711</v>
      </c>
      <c r="C3524" s="519" t="s">
        <v>32</v>
      </c>
      <c r="D3524" s="519" t="s">
        <v>3712</v>
      </c>
      <c r="E3524" s="905" t="s">
        <v>2785</v>
      </c>
      <c r="F3524" s="905"/>
      <c r="G3524" s="521" t="s">
        <v>89</v>
      </c>
      <c r="H3524" s="522">
        <v>4.0000000000000003E-5</v>
      </c>
      <c r="I3524" s="523">
        <v>238170.66</v>
      </c>
      <c r="J3524" s="523">
        <v>9.52</v>
      </c>
    </row>
    <row r="3525" spans="1:10" s="358" customFormat="1" ht="14.5" thickTop="1" x14ac:dyDescent="0.3">
      <c r="A3525" s="647"/>
      <c r="B3525" s="647"/>
      <c r="C3525" s="647"/>
      <c r="D3525" s="647"/>
      <c r="E3525" s="647"/>
      <c r="F3525" s="647"/>
      <c r="G3525" s="647"/>
      <c r="H3525" s="647"/>
      <c r="I3525" s="647"/>
      <c r="J3525"/>
    </row>
    <row r="3526" spans="1:10" x14ac:dyDescent="0.3">
      <c r="A3526" s="516"/>
      <c r="B3526" s="517" t="s">
        <v>15</v>
      </c>
      <c r="C3526" s="516" t="s">
        <v>16</v>
      </c>
      <c r="D3526" s="516" t="s">
        <v>17</v>
      </c>
      <c r="E3526" s="904" t="s">
        <v>2431</v>
      </c>
      <c r="F3526" s="904"/>
      <c r="G3526" s="518" t="s">
        <v>18</v>
      </c>
      <c r="H3526" s="517" t="s">
        <v>19</v>
      </c>
      <c r="I3526" s="517" t="s">
        <v>20</v>
      </c>
      <c r="J3526" s="517" t="s">
        <v>23</v>
      </c>
    </row>
    <row r="3527" spans="1:10" s="358" customFormat="1" ht="38.25" customHeight="1" x14ac:dyDescent="0.3">
      <c r="A3527" s="642" t="s">
        <v>2432</v>
      </c>
      <c r="B3527" s="643" t="s">
        <v>3709</v>
      </c>
      <c r="C3527" s="642" t="s">
        <v>32</v>
      </c>
      <c r="D3527" s="642" t="s">
        <v>3710</v>
      </c>
      <c r="E3527" s="906" t="s">
        <v>2465</v>
      </c>
      <c r="F3527" s="906"/>
      <c r="G3527" s="644" t="s">
        <v>1901</v>
      </c>
      <c r="H3527" s="645">
        <v>1</v>
      </c>
      <c r="I3527" s="646">
        <v>3.35</v>
      </c>
      <c r="J3527" s="646">
        <v>3.35</v>
      </c>
    </row>
    <row r="3528" spans="1:10" ht="38.25" customHeight="1" thickBot="1" x14ac:dyDescent="0.35">
      <c r="A3528" s="519" t="s">
        <v>2437</v>
      </c>
      <c r="B3528" s="520" t="s">
        <v>3711</v>
      </c>
      <c r="C3528" s="519" t="s">
        <v>32</v>
      </c>
      <c r="D3528" s="519" t="s">
        <v>3712</v>
      </c>
      <c r="E3528" s="905" t="s">
        <v>2785</v>
      </c>
      <c r="F3528" s="905"/>
      <c r="G3528" s="521" t="s">
        <v>89</v>
      </c>
      <c r="H3528" s="522">
        <v>1.4100000000000001E-5</v>
      </c>
      <c r="I3528" s="523">
        <v>238170.66</v>
      </c>
      <c r="J3528" s="523">
        <v>3.35</v>
      </c>
    </row>
    <row r="3529" spans="1:10" ht="38.25" customHeight="1" thickTop="1" x14ac:dyDescent="0.3">
      <c r="A3529" s="647"/>
      <c r="B3529" s="647"/>
      <c r="C3529" s="647"/>
      <c r="D3529" s="647"/>
      <c r="E3529" s="647"/>
      <c r="F3529" s="647"/>
      <c r="G3529" s="647"/>
      <c r="H3529" s="647"/>
      <c r="I3529" s="647"/>
      <c r="J3529"/>
    </row>
    <row r="3530" spans="1:10" ht="38.25" customHeight="1" x14ac:dyDescent="0.3">
      <c r="A3530" s="516"/>
      <c r="B3530" s="517" t="s">
        <v>15</v>
      </c>
      <c r="C3530" s="516" t="s">
        <v>16</v>
      </c>
      <c r="D3530" s="516" t="s">
        <v>17</v>
      </c>
      <c r="E3530" s="904" t="s">
        <v>2431</v>
      </c>
      <c r="F3530" s="904"/>
      <c r="G3530" s="518" t="s">
        <v>18</v>
      </c>
      <c r="H3530" s="517" t="s">
        <v>19</v>
      </c>
      <c r="I3530" s="517" t="s">
        <v>20</v>
      </c>
      <c r="J3530" s="517" t="s">
        <v>23</v>
      </c>
    </row>
    <row r="3531" spans="1:10" ht="38.25" customHeight="1" x14ac:dyDescent="0.3">
      <c r="A3531" s="642" t="s">
        <v>2432</v>
      </c>
      <c r="B3531" s="643" t="s">
        <v>3705</v>
      </c>
      <c r="C3531" s="642" t="s">
        <v>32</v>
      </c>
      <c r="D3531" s="642" t="s">
        <v>3706</v>
      </c>
      <c r="E3531" s="906" t="s">
        <v>2465</v>
      </c>
      <c r="F3531" s="906"/>
      <c r="G3531" s="644" t="s">
        <v>1901</v>
      </c>
      <c r="H3531" s="645">
        <v>1</v>
      </c>
      <c r="I3531" s="646">
        <v>8.5</v>
      </c>
      <c r="J3531" s="646">
        <v>8.5</v>
      </c>
    </row>
    <row r="3532" spans="1:10" ht="38" thickBot="1" x14ac:dyDescent="0.35">
      <c r="A3532" s="519" t="s">
        <v>2437</v>
      </c>
      <c r="B3532" s="520" t="s">
        <v>3711</v>
      </c>
      <c r="C3532" s="519" t="s">
        <v>32</v>
      </c>
      <c r="D3532" s="519" t="s">
        <v>3712</v>
      </c>
      <c r="E3532" s="905" t="s">
        <v>2785</v>
      </c>
      <c r="F3532" s="905"/>
      <c r="G3532" s="521" t="s">
        <v>89</v>
      </c>
      <c r="H3532" s="522">
        <v>3.57E-5</v>
      </c>
      <c r="I3532" s="523">
        <v>238170.66</v>
      </c>
      <c r="J3532" s="523">
        <v>8.5</v>
      </c>
    </row>
    <row r="3533" spans="1:10" s="358" customFormat="1" ht="14.5" thickTop="1" x14ac:dyDescent="0.3">
      <c r="A3533" s="647"/>
      <c r="B3533" s="647"/>
      <c r="C3533" s="647"/>
      <c r="D3533" s="647"/>
      <c r="E3533" s="647"/>
      <c r="F3533" s="647"/>
      <c r="G3533" s="647"/>
      <c r="H3533" s="647"/>
      <c r="I3533" s="647"/>
      <c r="J3533"/>
    </row>
    <row r="3534" spans="1:10" x14ac:dyDescent="0.3">
      <c r="A3534" s="516"/>
      <c r="B3534" s="517" t="s">
        <v>15</v>
      </c>
      <c r="C3534" s="516" t="s">
        <v>16</v>
      </c>
      <c r="D3534" s="516" t="s">
        <v>17</v>
      </c>
      <c r="E3534" s="904" t="s">
        <v>2431</v>
      </c>
      <c r="F3534" s="904"/>
      <c r="G3534" s="518" t="s">
        <v>18</v>
      </c>
      <c r="H3534" s="517" t="s">
        <v>19</v>
      </c>
      <c r="I3534" s="517" t="s">
        <v>20</v>
      </c>
      <c r="J3534" s="517" t="s">
        <v>23</v>
      </c>
    </row>
    <row r="3535" spans="1:10" s="358" customFormat="1" ht="38.25" customHeight="1" x14ac:dyDescent="0.3">
      <c r="A3535" s="642" t="s">
        <v>2432</v>
      </c>
      <c r="B3535" s="643" t="s">
        <v>3707</v>
      </c>
      <c r="C3535" s="642" t="s">
        <v>32</v>
      </c>
      <c r="D3535" s="642" t="s">
        <v>3708</v>
      </c>
      <c r="E3535" s="906" t="s">
        <v>2465</v>
      </c>
      <c r="F3535" s="906"/>
      <c r="G3535" s="644" t="s">
        <v>1901</v>
      </c>
      <c r="H3535" s="645">
        <v>1</v>
      </c>
      <c r="I3535" s="646">
        <v>45.36</v>
      </c>
      <c r="J3535" s="646">
        <v>45.36</v>
      </c>
    </row>
    <row r="3536" spans="1:10" ht="14.5" thickBot="1" x14ac:dyDescent="0.35">
      <c r="A3536" s="519" t="s">
        <v>2437</v>
      </c>
      <c r="B3536" s="520" t="s">
        <v>4485</v>
      </c>
      <c r="C3536" s="519" t="s">
        <v>125</v>
      </c>
      <c r="D3536" s="519" t="s">
        <v>4486</v>
      </c>
      <c r="E3536" s="905" t="s">
        <v>2442</v>
      </c>
      <c r="F3536" s="905"/>
      <c r="G3536" s="521" t="s">
        <v>2829</v>
      </c>
      <c r="H3536" s="522">
        <v>8.39</v>
      </c>
      <c r="I3536" s="523">
        <v>5.4069000000000003</v>
      </c>
      <c r="J3536" s="523">
        <v>45.36</v>
      </c>
    </row>
    <row r="3537" spans="1:10" s="358" customFormat="1" ht="14.5" thickTop="1" x14ac:dyDescent="0.3">
      <c r="A3537" s="647"/>
      <c r="B3537" s="647"/>
      <c r="C3537" s="647"/>
      <c r="D3537" s="647"/>
      <c r="E3537" s="647"/>
      <c r="F3537" s="647"/>
      <c r="G3537" s="647"/>
      <c r="H3537" s="647"/>
      <c r="I3537" s="647"/>
      <c r="J3537"/>
    </row>
    <row r="3538" spans="1:10" x14ac:dyDescent="0.3">
      <c r="A3538" s="516"/>
      <c r="B3538" s="517" t="s">
        <v>15</v>
      </c>
      <c r="C3538" s="516" t="s">
        <v>16</v>
      </c>
      <c r="D3538" s="516" t="s">
        <v>17</v>
      </c>
      <c r="E3538" s="904" t="s">
        <v>2431</v>
      </c>
      <c r="F3538" s="904"/>
      <c r="G3538" s="518" t="s">
        <v>18</v>
      </c>
      <c r="H3538" s="517" t="s">
        <v>19</v>
      </c>
      <c r="I3538" s="517" t="s">
        <v>20</v>
      </c>
      <c r="J3538" s="517" t="s">
        <v>23</v>
      </c>
    </row>
    <row r="3539" spans="1:10" s="358" customFormat="1" ht="38.25" customHeight="1" x14ac:dyDescent="0.3">
      <c r="A3539" s="642" t="s">
        <v>2432</v>
      </c>
      <c r="B3539" s="643" t="s">
        <v>2998</v>
      </c>
      <c r="C3539" s="642" t="s">
        <v>32</v>
      </c>
      <c r="D3539" s="642" t="s">
        <v>2999</v>
      </c>
      <c r="E3539" s="906" t="s">
        <v>2465</v>
      </c>
      <c r="F3539" s="906"/>
      <c r="G3539" s="644" t="s">
        <v>110</v>
      </c>
      <c r="H3539" s="645">
        <v>1</v>
      </c>
      <c r="I3539" s="646">
        <v>13.75</v>
      </c>
      <c r="J3539" s="646">
        <v>13.75</v>
      </c>
    </row>
    <row r="3540" spans="1:10" ht="25.5" customHeight="1" x14ac:dyDescent="0.3">
      <c r="A3540" s="519" t="s">
        <v>2434</v>
      </c>
      <c r="B3540" s="520" t="s">
        <v>3713</v>
      </c>
      <c r="C3540" s="519" t="s">
        <v>32</v>
      </c>
      <c r="D3540" s="519" t="s">
        <v>3714</v>
      </c>
      <c r="E3540" s="905" t="s">
        <v>2465</v>
      </c>
      <c r="F3540" s="905"/>
      <c r="G3540" s="521" t="s">
        <v>1901</v>
      </c>
      <c r="H3540" s="522">
        <v>1</v>
      </c>
      <c r="I3540" s="523">
        <v>3.58</v>
      </c>
      <c r="J3540" s="523">
        <v>3.58</v>
      </c>
    </row>
    <row r="3541" spans="1:10" s="358" customFormat="1" ht="26.25" customHeight="1" thickBot="1" x14ac:dyDescent="0.35">
      <c r="A3541" s="519" t="s">
        <v>2434</v>
      </c>
      <c r="B3541" s="520" t="s">
        <v>3715</v>
      </c>
      <c r="C3541" s="519" t="s">
        <v>32</v>
      </c>
      <c r="D3541" s="519" t="s">
        <v>3716</v>
      </c>
      <c r="E3541" s="905" t="s">
        <v>2465</v>
      </c>
      <c r="F3541" s="905"/>
      <c r="G3541" s="521" t="s">
        <v>1901</v>
      </c>
      <c r="H3541" s="522">
        <v>1</v>
      </c>
      <c r="I3541" s="523">
        <v>10.17</v>
      </c>
      <c r="J3541" s="523">
        <v>10.17</v>
      </c>
    </row>
    <row r="3542" spans="1:10" ht="14.5" thickTop="1" x14ac:dyDescent="0.3">
      <c r="A3542" s="647"/>
      <c r="B3542" s="647"/>
      <c r="C3542" s="647"/>
      <c r="D3542" s="647"/>
      <c r="E3542" s="647"/>
      <c r="F3542" s="647"/>
      <c r="G3542" s="647"/>
      <c r="H3542" s="647"/>
      <c r="I3542" s="647"/>
      <c r="J3542"/>
    </row>
    <row r="3543" spans="1:10" s="358" customFormat="1" ht="38.25" customHeight="1" x14ac:dyDescent="0.3">
      <c r="A3543" s="516"/>
      <c r="B3543" s="517" t="s">
        <v>15</v>
      </c>
      <c r="C3543" s="516" t="s">
        <v>16</v>
      </c>
      <c r="D3543" s="516" t="s">
        <v>17</v>
      </c>
      <c r="E3543" s="904" t="s">
        <v>2431</v>
      </c>
      <c r="F3543" s="904"/>
      <c r="G3543" s="518" t="s">
        <v>18</v>
      </c>
      <c r="H3543" s="517" t="s">
        <v>19</v>
      </c>
      <c r="I3543" s="517" t="s">
        <v>20</v>
      </c>
      <c r="J3543" s="517" t="s">
        <v>23</v>
      </c>
    </row>
    <row r="3544" spans="1:10" ht="25.5" customHeight="1" x14ac:dyDescent="0.3">
      <c r="A3544" s="642" t="s">
        <v>2432</v>
      </c>
      <c r="B3544" s="643" t="s">
        <v>2996</v>
      </c>
      <c r="C3544" s="642" t="s">
        <v>32</v>
      </c>
      <c r="D3544" s="642" t="s">
        <v>2997</v>
      </c>
      <c r="E3544" s="906" t="s">
        <v>2465</v>
      </c>
      <c r="F3544" s="906"/>
      <c r="G3544" s="644" t="s">
        <v>103</v>
      </c>
      <c r="H3544" s="645">
        <v>1</v>
      </c>
      <c r="I3544" s="646">
        <v>269.60000000000002</v>
      </c>
      <c r="J3544" s="646">
        <v>269.60000000000002</v>
      </c>
    </row>
    <row r="3545" spans="1:10" s="358" customFormat="1" ht="25.5" customHeight="1" x14ac:dyDescent="0.3">
      <c r="A3545" s="519" t="s">
        <v>2434</v>
      </c>
      <c r="B3545" s="520" t="s">
        <v>3713</v>
      </c>
      <c r="C3545" s="519" t="s">
        <v>32</v>
      </c>
      <c r="D3545" s="519" t="s">
        <v>3714</v>
      </c>
      <c r="E3545" s="905" t="s">
        <v>2465</v>
      </c>
      <c r="F3545" s="905"/>
      <c r="G3545" s="521" t="s">
        <v>1901</v>
      </c>
      <c r="H3545" s="522">
        <v>1</v>
      </c>
      <c r="I3545" s="523">
        <v>3.58</v>
      </c>
      <c r="J3545" s="523">
        <v>3.58</v>
      </c>
    </row>
    <row r="3546" spans="1:10" ht="25.5" customHeight="1" x14ac:dyDescent="0.3">
      <c r="A3546" s="519" t="s">
        <v>2434</v>
      </c>
      <c r="B3546" s="520" t="s">
        <v>3717</v>
      </c>
      <c r="C3546" s="519" t="s">
        <v>32</v>
      </c>
      <c r="D3546" s="519" t="s">
        <v>3718</v>
      </c>
      <c r="E3546" s="905" t="s">
        <v>2465</v>
      </c>
      <c r="F3546" s="905"/>
      <c r="G3546" s="521" t="s">
        <v>1901</v>
      </c>
      <c r="H3546" s="522">
        <v>1</v>
      </c>
      <c r="I3546" s="523">
        <v>9.08</v>
      </c>
      <c r="J3546" s="523">
        <v>9.08</v>
      </c>
    </row>
    <row r="3547" spans="1:10" s="358" customFormat="1" ht="38.25" customHeight="1" x14ac:dyDescent="0.3">
      <c r="A3547" s="519" t="s">
        <v>2434</v>
      </c>
      <c r="B3547" s="520" t="s">
        <v>3719</v>
      </c>
      <c r="C3547" s="519" t="s">
        <v>32</v>
      </c>
      <c r="D3547" s="519" t="s">
        <v>3720</v>
      </c>
      <c r="E3547" s="905" t="s">
        <v>2465</v>
      </c>
      <c r="F3547" s="905"/>
      <c r="G3547" s="521" t="s">
        <v>1901</v>
      </c>
      <c r="H3547" s="522">
        <v>1</v>
      </c>
      <c r="I3547" s="523">
        <v>246.77</v>
      </c>
      <c r="J3547" s="523">
        <v>246.77</v>
      </c>
    </row>
    <row r="3548" spans="1:10" ht="26.25" customHeight="1" thickBot="1" x14ac:dyDescent="0.35">
      <c r="A3548" s="519" t="s">
        <v>2434</v>
      </c>
      <c r="B3548" s="520" t="s">
        <v>3715</v>
      </c>
      <c r="C3548" s="519" t="s">
        <v>32</v>
      </c>
      <c r="D3548" s="519" t="s">
        <v>3716</v>
      </c>
      <c r="E3548" s="905" t="s">
        <v>2465</v>
      </c>
      <c r="F3548" s="905"/>
      <c r="G3548" s="521" t="s">
        <v>1901</v>
      </c>
      <c r="H3548" s="522">
        <v>1</v>
      </c>
      <c r="I3548" s="523">
        <v>10.17</v>
      </c>
      <c r="J3548" s="523">
        <v>10.17</v>
      </c>
    </row>
    <row r="3549" spans="1:10" s="358" customFormat="1" ht="14.5" thickTop="1" x14ac:dyDescent="0.3">
      <c r="A3549" s="647"/>
      <c r="B3549" s="647"/>
      <c r="C3549" s="647"/>
      <c r="D3549" s="647"/>
      <c r="E3549" s="647"/>
      <c r="F3549" s="647"/>
      <c r="G3549" s="647"/>
      <c r="H3549" s="647"/>
      <c r="I3549" s="647"/>
      <c r="J3549"/>
    </row>
    <row r="3550" spans="1:10" x14ac:dyDescent="0.3">
      <c r="A3550" s="516"/>
      <c r="B3550" s="517" t="s">
        <v>15</v>
      </c>
      <c r="C3550" s="516" t="s">
        <v>16</v>
      </c>
      <c r="D3550" s="516" t="s">
        <v>17</v>
      </c>
      <c r="E3550" s="904" t="s">
        <v>2431</v>
      </c>
      <c r="F3550" s="904"/>
      <c r="G3550" s="518" t="s">
        <v>18</v>
      </c>
      <c r="H3550" s="517" t="s">
        <v>19</v>
      </c>
      <c r="I3550" s="517" t="s">
        <v>20</v>
      </c>
      <c r="J3550" s="517" t="s">
        <v>23</v>
      </c>
    </row>
    <row r="3551" spans="1:10" s="358" customFormat="1" ht="25.5" customHeight="1" x14ac:dyDescent="0.3">
      <c r="A3551" s="642" t="s">
        <v>2432</v>
      </c>
      <c r="B3551" s="643" t="s">
        <v>3715</v>
      </c>
      <c r="C3551" s="642" t="s">
        <v>32</v>
      </c>
      <c r="D3551" s="642" t="s">
        <v>3716</v>
      </c>
      <c r="E3551" s="906" t="s">
        <v>2465</v>
      </c>
      <c r="F3551" s="906"/>
      <c r="G3551" s="644" t="s">
        <v>1901</v>
      </c>
      <c r="H3551" s="645">
        <v>1</v>
      </c>
      <c r="I3551" s="646">
        <v>10.17</v>
      </c>
      <c r="J3551" s="646">
        <v>10.17</v>
      </c>
    </row>
    <row r="3552" spans="1:10" ht="25.5" customHeight="1" thickBot="1" x14ac:dyDescent="0.35">
      <c r="A3552" s="519" t="s">
        <v>2437</v>
      </c>
      <c r="B3552" s="520" t="s">
        <v>3721</v>
      </c>
      <c r="C3552" s="519" t="s">
        <v>32</v>
      </c>
      <c r="D3552" s="519" t="s">
        <v>3722</v>
      </c>
      <c r="E3552" s="905" t="s">
        <v>2446</v>
      </c>
      <c r="F3552" s="905"/>
      <c r="G3552" s="521" t="s">
        <v>89</v>
      </c>
      <c r="H3552" s="522">
        <v>4.0000000000000003E-5</v>
      </c>
      <c r="I3552" s="523">
        <v>254384.16</v>
      </c>
      <c r="J3552" s="523">
        <v>10.17</v>
      </c>
    </row>
    <row r="3553" spans="1:10" ht="26.25" customHeight="1" thickTop="1" x14ac:dyDescent="0.3">
      <c r="A3553" s="647"/>
      <c r="B3553" s="647"/>
      <c r="C3553" s="647"/>
      <c r="D3553" s="647"/>
      <c r="E3553" s="647"/>
      <c r="F3553" s="647"/>
      <c r="G3553" s="647"/>
      <c r="H3553" s="647"/>
      <c r="I3553" s="647"/>
      <c r="J3553"/>
    </row>
    <row r="3554" spans="1:10" s="358" customFormat="1" x14ac:dyDescent="0.3">
      <c r="A3554" s="516"/>
      <c r="B3554" s="517" t="s">
        <v>15</v>
      </c>
      <c r="C3554" s="516" t="s">
        <v>16</v>
      </c>
      <c r="D3554" s="516" t="s">
        <v>17</v>
      </c>
      <c r="E3554" s="904" t="s">
        <v>2431</v>
      </c>
      <c r="F3554" s="904"/>
      <c r="G3554" s="518" t="s">
        <v>18</v>
      </c>
      <c r="H3554" s="517" t="s">
        <v>19</v>
      </c>
      <c r="I3554" s="517" t="s">
        <v>20</v>
      </c>
      <c r="J3554" s="517" t="s">
        <v>23</v>
      </c>
    </row>
    <row r="3555" spans="1:10" ht="25.5" customHeight="1" x14ac:dyDescent="0.3">
      <c r="A3555" s="642" t="s">
        <v>2432</v>
      </c>
      <c r="B3555" s="643" t="s">
        <v>3713</v>
      </c>
      <c r="C3555" s="642" t="s">
        <v>32</v>
      </c>
      <c r="D3555" s="642" t="s">
        <v>3714</v>
      </c>
      <c r="E3555" s="906" t="s">
        <v>2465</v>
      </c>
      <c r="F3555" s="906"/>
      <c r="G3555" s="644" t="s">
        <v>1901</v>
      </c>
      <c r="H3555" s="645">
        <v>1</v>
      </c>
      <c r="I3555" s="646">
        <v>3.58</v>
      </c>
      <c r="J3555" s="646">
        <v>3.58</v>
      </c>
    </row>
    <row r="3556" spans="1:10" s="358" customFormat="1" ht="25.5" customHeight="1" thickBot="1" x14ac:dyDescent="0.35">
      <c r="A3556" s="519" t="s">
        <v>2437</v>
      </c>
      <c r="B3556" s="520" t="s">
        <v>3721</v>
      </c>
      <c r="C3556" s="519" t="s">
        <v>32</v>
      </c>
      <c r="D3556" s="519" t="s">
        <v>3722</v>
      </c>
      <c r="E3556" s="905" t="s">
        <v>2446</v>
      </c>
      <c r="F3556" s="905"/>
      <c r="G3556" s="521" t="s">
        <v>89</v>
      </c>
      <c r="H3556" s="522">
        <v>1.4100000000000001E-5</v>
      </c>
      <c r="I3556" s="523">
        <v>254384.16</v>
      </c>
      <c r="J3556" s="523">
        <v>3.58</v>
      </c>
    </row>
    <row r="3557" spans="1:10" ht="25.5" customHeight="1" thickTop="1" x14ac:dyDescent="0.3">
      <c r="A3557" s="647"/>
      <c r="B3557" s="647"/>
      <c r="C3557" s="647"/>
      <c r="D3557" s="647"/>
      <c r="E3557" s="647"/>
      <c r="F3557" s="647"/>
      <c r="G3557" s="647"/>
      <c r="H3557" s="647"/>
      <c r="I3557" s="647"/>
      <c r="J3557"/>
    </row>
    <row r="3558" spans="1:10" ht="25.5" customHeight="1" x14ac:dyDescent="0.3">
      <c r="A3558" s="516"/>
      <c r="B3558" s="517" t="s">
        <v>15</v>
      </c>
      <c r="C3558" s="516" t="s">
        <v>16</v>
      </c>
      <c r="D3558" s="516" t="s">
        <v>17</v>
      </c>
      <c r="E3558" s="904" t="s">
        <v>2431</v>
      </c>
      <c r="F3558" s="904"/>
      <c r="G3558" s="518" t="s">
        <v>18</v>
      </c>
      <c r="H3558" s="517" t="s">
        <v>19</v>
      </c>
      <c r="I3558" s="517" t="s">
        <v>20</v>
      </c>
      <c r="J3558" s="517" t="s">
        <v>23</v>
      </c>
    </row>
    <row r="3559" spans="1:10" ht="38.25" customHeight="1" x14ac:dyDescent="0.3">
      <c r="A3559" s="642" t="s">
        <v>2432</v>
      </c>
      <c r="B3559" s="643" t="s">
        <v>3717</v>
      </c>
      <c r="C3559" s="642" t="s">
        <v>32</v>
      </c>
      <c r="D3559" s="642" t="s">
        <v>3718</v>
      </c>
      <c r="E3559" s="906" t="s">
        <v>2465</v>
      </c>
      <c r="F3559" s="906"/>
      <c r="G3559" s="644" t="s">
        <v>1901</v>
      </c>
      <c r="H3559" s="645">
        <v>1</v>
      </c>
      <c r="I3559" s="646">
        <v>9.08</v>
      </c>
      <c r="J3559" s="646">
        <v>9.08</v>
      </c>
    </row>
    <row r="3560" spans="1:10" ht="26.25" customHeight="1" thickBot="1" x14ac:dyDescent="0.35">
      <c r="A3560" s="519" t="s">
        <v>2437</v>
      </c>
      <c r="B3560" s="520" t="s">
        <v>3721</v>
      </c>
      <c r="C3560" s="519" t="s">
        <v>32</v>
      </c>
      <c r="D3560" s="519" t="s">
        <v>3722</v>
      </c>
      <c r="E3560" s="905" t="s">
        <v>2446</v>
      </c>
      <c r="F3560" s="905"/>
      <c r="G3560" s="521" t="s">
        <v>89</v>
      </c>
      <c r="H3560" s="522">
        <v>3.57E-5</v>
      </c>
      <c r="I3560" s="523">
        <v>254384.16</v>
      </c>
      <c r="J3560" s="523">
        <v>9.08</v>
      </c>
    </row>
    <row r="3561" spans="1:10" s="358" customFormat="1" ht="14.5" thickTop="1" x14ac:dyDescent="0.3">
      <c r="A3561" s="647"/>
      <c r="B3561" s="647"/>
      <c r="C3561" s="647"/>
      <c r="D3561" s="647"/>
      <c r="E3561" s="647"/>
      <c r="F3561" s="647"/>
      <c r="G3561" s="647"/>
      <c r="H3561" s="647"/>
      <c r="I3561" s="647"/>
      <c r="J3561"/>
    </row>
    <row r="3562" spans="1:10" x14ac:dyDescent="0.3">
      <c r="A3562" s="516"/>
      <c r="B3562" s="517" t="s">
        <v>15</v>
      </c>
      <c r="C3562" s="516" t="s">
        <v>16</v>
      </c>
      <c r="D3562" s="516" t="s">
        <v>17</v>
      </c>
      <c r="E3562" s="904" t="s">
        <v>2431</v>
      </c>
      <c r="F3562" s="904"/>
      <c r="G3562" s="518" t="s">
        <v>18</v>
      </c>
      <c r="H3562" s="517" t="s">
        <v>19</v>
      </c>
      <c r="I3562" s="517" t="s">
        <v>20</v>
      </c>
      <c r="J3562" s="517" t="s">
        <v>23</v>
      </c>
    </row>
    <row r="3563" spans="1:10" s="358" customFormat="1" ht="25.5" customHeight="1" x14ac:dyDescent="0.3">
      <c r="A3563" s="642" t="s">
        <v>2432</v>
      </c>
      <c r="B3563" s="643" t="s">
        <v>3719</v>
      </c>
      <c r="C3563" s="642" t="s">
        <v>32</v>
      </c>
      <c r="D3563" s="642" t="s">
        <v>3720</v>
      </c>
      <c r="E3563" s="906" t="s">
        <v>2465</v>
      </c>
      <c r="F3563" s="906"/>
      <c r="G3563" s="644" t="s">
        <v>1901</v>
      </c>
      <c r="H3563" s="645">
        <v>1</v>
      </c>
      <c r="I3563" s="646">
        <v>246.77</v>
      </c>
      <c r="J3563" s="646">
        <v>246.77</v>
      </c>
    </row>
    <row r="3564" spans="1:10" ht="14.5" thickBot="1" x14ac:dyDescent="0.35">
      <c r="A3564" s="519" t="s">
        <v>2437</v>
      </c>
      <c r="B3564" s="520" t="s">
        <v>4485</v>
      </c>
      <c r="C3564" s="519" t="s">
        <v>125</v>
      </c>
      <c r="D3564" s="519" t="s">
        <v>4486</v>
      </c>
      <c r="E3564" s="905" t="s">
        <v>2442</v>
      </c>
      <c r="F3564" s="905"/>
      <c r="G3564" s="521" t="s">
        <v>2829</v>
      </c>
      <c r="H3564" s="522">
        <v>45.64</v>
      </c>
      <c r="I3564" s="523">
        <v>5.4069000000000003</v>
      </c>
      <c r="J3564" s="523">
        <v>246.77</v>
      </c>
    </row>
    <row r="3565" spans="1:10" s="358" customFormat="1" ht="14.5" thickTop="1" x14ac:dyDescent="0.3">
      <c r="A3565" s="647"/>
      <c r="B3565" s="647"/>
      <c r="C3565" s="647"/>
      <c r="D3565" s="647"/>
      <c r="E3565" s="647"/>
      <c r="F3565" s="647"/>
      <c r="G3565" s="647"/>
      <c r="H3565" s="647"/>
      <c r="I3565" s="647"/>
      <c r="J3565"/>
    </row>
    <row r="3566" spans="1:10" x14ac:dyDescent="0.3">
      <c r="A3566" s="516"/>
      <c r="B3566" s="517" t="s">
        <v>15</v>
      </c>
      <c r="C3566" s="516" t="s">
        <v>16</v>
      </c>
      <c r="D3566" s="516" t="s">
        <v>17</v>
      </c>
      <c r="E3566" s="904" t="s">
        <v>2431</v>
      </c>
      <c r="F3566" s="904"/>
      <c r="G3566" s="518" t="s">
        <v>18</v>
      </c>
      <c r="H3566" s="517" t="s">
        <v>19</v>
      </c>
      <c r="I3566" s="517" t="s">
        <v>20</v>
      </c>
      <c r="J3566" s="517" t="s">
        <v>23</v>
      </c>
    </row>
    <row r="3567" spans="1:10" s="358" customFormat="1" ht="25.5" customHeight="1" x14ac:dyDescent="0.3">
      <c r="A3567" s="642" t="s">
        <v>2432</v>
      </c>
      <c r="B3567" s="643" t="s">
        <v>2548</v>
      </c>
      <c r="C3567" s="642" t="s">
        <v>32</v>
      </c>
      <c r="D3567" s="642" t="s">
        <v>2549</v>
      </c>
      <c r="E3567" s="906" t="s">
        <v>2465</v>
      </c>
      <c r="F3567" s="906"/>
      <c r="G3567" s="644" t="s">
        <v>1901</v>
      </c>
      <c r="H3567" s="645">
        <v>1</v>
      </c>
      <c r="I3567" s="646">
        <v>7.15</v>
      </c>
      <c r="J3567" s="646">
        <v>7.15</v>
      </c>
    </row>
    <row r="3568" spans="1:10" ht="14.5" thickBot="1" x14ac:dyDescent="0.35">
      <c r="A3568" s="519" t="s">
        <v>2437</v>
      </c>
      <c r="B3568" s="520" t="s">
        <v>3723</v>
      </c>
      <c r="C3568" s="519" t="s">
        <v>32</v>
      </c>
      <c r="D3568" s="519" t="s">
        <v>3724</v>
      </c>
      <c r="E3568" s="905" t="s">
        <v>2446</v>
      </c>
      <c r="F3568" s="905"/>
      <c r="G3568" s="521" t="s">
        <v>89</v>
      </c>
      <c r="H3568" s="522">
        <v>4.0000000000000003E-5</v>
      </c>
      <c r="I3568" s="523">
        <v>178755.02</v>
      </c>
      <c r="J3568" s="523">
        <v>7.15</v>
      </c>
    </row>
    <row r="3569" spans="1:10" s="358" customFormat="1" ht="14.5" thickTop="1" x14ac:dyDescent="0.3">
      <c r="A3569" s="647"/>
      <c r="B3569" s="647"/>
      <c r="C3569" s="647"/>
      <c r="D3569" s="647"/>
      <c r="E3569" s="647"/>
      <c r="F3569" s="647"/>
      <c r="G3569" s="647"/>
      <c r="H3569" s="647"/>
      <c r="I3569" s="647"/>
      <c r="J3569"/>
    </row>
    <row r="3570" spans="1:10" x14ac:dyDescent="0.3">
      <c r="A3570" s="516"/>
      <c r="B3570" s="517" t="s">
        <v>15</v>
      </c>
      <c r="C3570" s="516" t="s">
        <v>16</v>
      </c>
      <c r="D3570" s="516" t="s">
        <v>17</v>
      </c>
      <c r="E3570" s="904" t="s">
        <v>2431</v>
      </c>
      <c r="F3570" s="904"/>
      <c r="G3570" s="518" t="s">
        <v>18</v>
      </c>
      <c r="H3570" s="517" t="s">
        <v>19</v>
      </c>
      <c r="I3570" s="517" t="s">
        <v>20</v>
      </c>
      <c r="J3570" s="517" t="s">
        <v>23</v>
      </c>
    </row>
    <row r="3571" spans="1:10" s="358" customFormat="1" ht="25.5" customHeight="1" x14ac:dyDescent="0.3">
      <c r="A3571" s="642" t="s">
        <v>2432</v>
      </c>
      <c r="B3571" s="643" t="s">
        <v>2550</v>
      </c>
      <c r="C3571" s="642" t="s">
        <v>32</v>
      </c>
      <c r="D3571" s="642" t="s">
        <v>2551</v>
      </c>
      <c r="E3571" s="906" t="s">
        <v>2465</v>
      </c>
      <c r="F3571" s="906"/>
      <c r="G3571" s="644" t="s">
        <v>1901</v>
      </c>
      <c r="H3571" s="645">
        <v>1</v>
      </c>
      <c r="I3571" s="646">
        <v>6.38</v>
      </c>
      <c r="J3571" s="646">
        <v>6.38</v>
      </c>
    </row>
    <row r="3572" spans="1:10" ht="14.5" thickBot="1" x14ac:dyDescent="0.35">
      <c r="A3572" s="519" t="s">
        <v>2437</v>
      </c>
      <c r="B3572" s="520" t="s">
        <v>3723</v>
      </c>
      <c r="C3572" s="519" t="s">
        <v>32</v>
      </c>
      <c r="D3572" s="519" t="s">
        <v>3724</v>
      </c>
      <c r="E3572" s="905" t="s">
        <v>2446</v>
      </c>
      <c r="F3572" s="905"/>
      <c r="G3572" s="521" t="s">
        <v>89</v>
      </c>
      <c r="H3572" s="522">
        <v>3.57E-5</v>
      </c>
      <c r="I3572" s="523">
        <v>178755.02</v>
      </c>
      <c r="J3572" s="523">
        <v>6.38</v>
      </c>
    </row>
    <row r="3573" spans="1:10" s="358" customFormat="1" ht="14.5" thickTop="1" x14ac:dyDescent="0.3">
      <c r="A3573" s="647"/>
      <c r="B3573" s="647"/>
      <c r="C3573" s="647"/>
      <c r="D3573" s="647"/>
      <c r="E3573" s="647"/>
      <c r="F3573" s="647"/>
      <c r="G3573" s="647"/>
      <c r="H3573" s="647"/>
      <c r="I3573" s="647"/>
      <c r="J3573"/>
    </row>
    <row r="3574" spans="1:10" x14ac:dyDescent="0.3">
      <c r="A3574" s="516"/>
      <c r="B3574" s="517" t="s">
        <v>15</v>
      </c>
      <c r="C3574" s="516" t="s">
        <v>16</v>
      </c>
      <c r="D3574" s="516" t="s">
        <v>17</v>
      </c>
      <c r="E3574" s="904" t="s">
        <v>2431</v>
      </c>
      <c r="F3574" s="904"/>
      <c r="G3574" s="518" t="s">
        <v>18</v>
      </c>
      <c r="H3574" s="517" t="s">
        <v>19</v>
      </c>
      <c r="I3574" s="517" t="s">
        <v>20</v>
      </c>
      <c r="J3574" s="517" t="s">
        <v>23</v>
      </c>
    </row>
    <row r="3575" spans="1:10" s="358" customFormat="1" ht="38.25" customHeight="1" x14ac:dyDescent="0.3">
      <c r="A3575" s="642" t="s">
        <v>2432</v>
      </c>
      <c r="B3575" s="643" t="s">
        <v>2552</v>
      </c>
      <c r="C3575" s="642" t="s">
        <v>32</v>
      </c>
      <c r="D3575" s="642" t="s">
        <v>2553</v>
      </c>
      <c r="E3575" s="906" t="s">
        <v>2465</v>
      </c>
      <c r="F3575" s="906"/>
      <c r="G3575" s="644" t="s">
        <v>1901</v>
      </c>
      <c r="H3575" s="645">
        <v>1</v>
      </c>
      <c r="I3575" s="646">
        <v>160.96</v>
      </c>
      <c r="J3575" s="646">
        <v>160.96</v>
      </c>
    </row>
    <row r="3576" spans="1:10" ht="14.5" thickBot="1" x14ac:dyDescent="0.35">
      <c r="A3576" s="519" t="s">
        <v>2437</v>
      </c>
      <c r="B3576" s="520" t="s">
        <v>4485</v>
      </c>
      <c r="C3576" s="519" t="s">
        <v>125</v>
      </c>
      <c r="D3576" s="519" t="s">
        <v>4486</v>
      </c>
      <c r="E3576" s="905" t="s">
        <v>2442</v>
      </c>
      <c r="F3576" s="905"/>
      <c r="G3576" s="521" t="s">
        <v>2829</v>
      </c>
      <c r="H3576" s="522">
        <v>29.77</v>
      </c>
      <c r="I3576" s="523">
        <v>5.4069000000000003</v>
      </c>
      <c r="J3576" s="523">
        <v>160.96</v>
      </c>
    </row>
    <row r="3577" spans="1:10" s="358" customFormat="1" ht="14.5" thickTop="1" x14ac:dyDescent="0.3">
      <c r="A3577" s="647"/>
      <c r="B3577" s="647"/>
      <c r="C3577" s="647"/>
      <c r="D3577" s="647"/>
      <c r="E3577" s="647"/>
      <c r="F3577" s="647"/>
      <c r="G3577" s="647"/>
      <c r="H3577" s="647"/>
      <c r="I3577" s="647"/>
      <c r="J3577"/>
    </row>
    <row r="3578" spans="1:10" x14ac:dyDescent="0.3">
      <c r="A3578" s="516"/>
      <c r="B3578" s="517" t="s">
        <v>15</v>
      </c>
      <c r="C3578" s="516" t="s">
        <v>16</v>
      </c>
      <c r="D3578" s="516" t="s">
        <v>17</v>
      </c>
      <c r="E3578" s="904" t="s">
        <v>2431</v>
      </c>
      <c r="F3578" s="904"/>
      <c r="G3578" s="518" t="s">
        <v>18</v>
      </c>
      <c r="H3578" s="517" t="s">
        <v>19</v>
      </c>
      <c r="I3578" s="517" t="s">
        <v>20</v>
      </c>
      <c r="J3578" s="517" t="s">
        <v>23</v>
      </c>
    </row>
    <row r="3579" spans="1:10" s="358" customFormat="1" ht="25.5" customHeight="1" x14ac:dyDescent="0.3">
      <c r="A3579" s="642" t="s">
        <v>2432</v>
      </c>
      <c r="B3579" s="643" t="s">
        <v>2554</v>
      </c>
      <c r="C3579" s="642" t="s">
        <v>32</v>
      </c>
      <c r="D3579" s="642" t="s">
        <v>2555</v>
      </c>
      <c r="E3579" s="906" t="s">
        <v>2465</v>
      </c>
      <c r="F3579" s="906"/>
      <c r="G3579" s="644" t="s">
        <v>1901</v>
      </c>
      <c r="H3579" s="645">
        <v>1</v>
      </c>
      <c r="I3579" s="646">
        <v>6.36</v>
      </c>
      <c r="J3579" s="646">
        <v>6.36</v>
      </c>
    </row>
    <row r="3580" spans="1:10" ht="14.5" thickBot="1" x14ac:dyDescent="0.35">
      <c r="A3580" s="519" t="s">
        <v>2437</v>
      </c>
      <c r="B3580" s="520" t="s">
        <v>3725</v>
      </c>
      <c r="C3580" s="519" t="s">
        <v>32</v>
      </c>
      <c r="D3580" s="519" t="s">
        <v>3726</v>
      </c>
      <c r="E3580" s="905" t="s">
        <v>2446</v>
      </c>
      <c r="F3580" s="905"/>
      <c r="G3580" s="521" t="s">
        <v>89</v>
      </c>
      <c r="H3580" s="522">
        <v>4.0000000000000003E-5</v>
      </c>
      <c r="I3580" s="523">
        <v>159153.57</v>
      </c>
      <c r="J3580" s="523">
        <v>6.36</v>
      </c>
    </row>
    <row r="3581" spans="1:10" s="358" customFormat="1" ht="14.5" thickTop="1" x14ac:dyDescent="0.3">
      <c r="A3581" s="647"/>
      <c r="B3581" s="647"/>
      <c r="C3581" s="647"/>
      <c r="D3581" s="647"/>
      <c r="E3581" s="647"/>
      <c r="F3581" s="647"/>
      <c r="G3581" s="647"/>
      <c r="H3581" s="647"/>
      <c r="I3581" s="647"/>
      <c r="J3581"/>
    </row>
    <row r="3582" spans="1:10" x14ac:dyDescent="0.3">
      <c r="A3582" s="516"/>
      <c r="B3582" s="517" t="s">
        <v>15</v>
      </c>
      <c r="C3582" s="516" t="s">
        <v>16</v>
      </c>
      <c r="D3582" s="516" t="s">
        <v>17</v>
      </c>
      <c r="E3582" s="904" t="s">
        <v>2431</v>
      </c>
      <c r="F3582" s="904"/>
      <c r="G3582" s="518" t="s">
        <v>18</v>
      </c>
      <c r="H3582" s="517" t="s">
        <v>19</v>
      </c>
      <c r="I3582" s="517" t="s">
        <v>20</v>
      </c>
      <c r="J3582" s="517" t="s">
        <v>23</v>
      </c>
    </row>
    <row r="3583" spans="1:10" s="358" customFormat="1" ht="25.5" customHeight="1" x14ac:dyDescent="0.3">
      <c r="A3583" s="642" t="s">
        <v>2432</v>
      </c>
      <c r="B3583" s="643" t="s">
        <v>2556</v>
      </c>
      <c r="C3583" s="642" t="s">
        <v>32</v>
      </c>
      <c r="D3583" s="642" t="s">
        <v>2557</v>
      </c>
      <c r="E3583" s="906" t="s">
        <v>2465</v>
      </c>
      <c r="F3583" s="906"/>
      <c r="G3583" s="644" t="s">
        <v>1901</v>
      </c>
      <c r="H3583" s="645">
        <v>1</v>
      </c>
      <c r="I3583" s="646">
        <v>2.2400000000000002</v>
      </c>
      <c r="J3583" s="646">
        <v>2.2400000000000002</v>
      </c>
    </row>
    <row r="3584" spans="1:10" ht="14.5" thickBot="1" x14ac:dyDescent="0.35">
      <c r="A3584" s="519" t="s">
        <v>2437</v>
      </c>
      <c r="B3584" s="520" t="s">
        <v>3725</v>
      </c>
      <c r="C3584" s="519" t="s">
        <v>32</v>
      </c>
      <c r="D3584" s="519" t="s">
        <v>3726</v>
      </c>
      <c r="E3584" s="905" t="s">
        <v>2446</v>
      </c>
      <c r="F3584" s="905"/>
      <c r="G3584" s="521" t="s">
        <v>89</v>
      </c>
      <c r="H3584" s="522">
        <v>1.4100000000000001E-5</v>
      </c>
      <c r="I3584" s="523">
        <v>159153.57</v>
      </c>
      <c r="J3584" s="523">
        <v>2.2400000000000002</v>
      </c>
    </row>
    <row r="3585" spans="1:10" s="358" customFormat="1" ht="14.5" thickTop="1" x14ac:dyDescent="0.3">
      <c r="A3585" s="647"/>
      <c r="B3585" s="647"/>
      <c r="C3585" s="647"/>
      <c r="D3585" s="647"/>
      <c r="E3585" s="647"/>
      <c r="F3585" s="647"/>
      <c r="G3585" s="647"/>
      <c r="H3585" s="647"/>
      <c r="I3585" s="647"/>
      <c r="J3585"/>
    </row>
    <row r="3586" spans="1:10" x14ac:dyDescent="0.3">
      <c r="A3586" s="516"/>
      <c r="B3586" s="517" t="s">
        <v>15</v>
      </c>
      <c r="C3586" s="516" t="s">
        <v>16</v>
      </c>
      <c r="D3586" s="516" t="s">
        <v>17</v>
      </c>
      <c r="E3586" s="904" t="s">
        <v>2431</v>
      </c>
      <c r="F3586" s="904"/>
      <c r="G3586" s="518" t="s">
        <v>18</v>
      </c>
      <c r="H3586" s="517" t="s">
        <v>19</v>
      </c>
      <c r="I3586" s="517" t="s">
        <v>20</v>
      </c>
      <c r="J3586" s="517" t="s">
        <v>23</v>
      </c>
    </row>
    <row r="3587" spans="1:10" s="358" customFormat="1" ht="25.5" customHeight="1" x14ac:dyDescent="0.3">
      <c r="A3587" s="642" t="s">
        <v>2432</v>
      </c>
      <c r="B3587" s="643" t="s">
        <v>3727</v>
      </c>
      <c r="C3587" s="642" t="s">
        <v>32</v>
      </c>
      <c r="D3587" s="642" t="s">
        <v>3728</v>
      </c>
      <c r="E3587" s="906" t="s">
        <v>2465</v>
      </c>
      <c r="F3587" s="906"/>
      <c r="G3587" s="644" t="s">
        <v>110</v>
      </c>
      <c r="H3587" s="645">
        <v>1</v>
      </c>
      <c r="I3587" s="646">
        <v>26.22</v>
      </c>
      <c r="J3587" s="646">
        <v>26.22</v>
      </c>
    </row>
    <row r="3588" spans="1:10" ht="25" x14ac:dyDescent="0.3">
      <c r="A3588" s="519" t="s">
        <v>2434</v>
      </c>
      <c r="B3588" s="520" t="s">
        <v>3729</v>
      </c>
      <c r="C3588" s="519" t="s">
        <v>32</v>
      </c>
      <c r="D3588" s="519" t="s">
        <v>3730</v>
      </c>
      <c r="E3588" s="905" t="s">
        <v>2433</v>
      </c>
      <c r="F3588" s="905"/>
      <c r="G3588" s="521" t="s">
        <v>1901</v>
      </c>
      <c r="H3588" s="522">
        <v>1</v>
      </c>
      <c r="I3588" s="523">
        <v>25.88</v>
      </c>
      <c r="J3588" s="523">
        <v>25.88</v>
      </c>
    </row>
    <row r="3589" spans="1:10" s="358" customFormat="1" ht="25.5" customHeight="1" x14ac:dyDescent="0.3">
      <c r="A3589" s="519" t="s">
        <v>2434</v>
      </c>
      <c r="B3589" s="520" t="s">
        <v>3731</v>
      </c>
      <c r="C3589" s="519" t="s">
        <v>32</v>
      </c>
      <c r="D3589" s="519" t="s">
        <v>3732</v>
      </c>
      <c r="E3589" s="905" t="s">
        <v>2465</v>
      </c>
      <c r="F3589" s="905"/>
      <c r="G3589" s="521" t="s">
        <v>1901</v>
      </c>
      <c r="H3589" s="522">
        <v>1</v>
      </c>
      <c r="I3589" s="523">
        <v>0.28000000000000003</v>
      </c>
      <c r="J3589" s="523">
        <v>0.28000000000000003</v>
      </c>
    </row>
    <row r="3590" spans="1:10" ht="26.25" customHeight="1" thickBot="1" x14ac:dyDescent="0.35">
      <c r="A3590" s="519" t="s">
        <v>2434</v>
      </c>
      <c r="B3590" s="520" t="s">
        <v>3733</v>
      </c>
      <c r="C3590" s="519" t="s">
        <v>32</v>
      </c>
      <c r="D3590" s="519" t="s">
        <v>3734</v>
      </c>
      <c r="E3590" s="905" t="s">
        <v>2465</v>
      </c>
      <c r="F3590" s="905"/>
      <c r="G3590" s="521" t="s">
        <v>1901</v>
      </c>
      <c r="H3590" s="522">
        <v>1</v>
      </c>
      <c r="I3590" s="523">
        <v>0.06</v>
      </c>
      <c r="J3590" s="523">
        <v>0.06</v>
      </c>
    </row>
    <row r="3591" spans="1:10" s="358" customFormat="1" ht="25.5" customHeight="1" thickTop="1" x14ac:dyDescent="0.3">
      <c r="A3591" s="647"/>
      <c r="B3591" s="647"/>
      <c r="C3591" s="647"/>
      <c r="D3591" s="647"/>
      <c r="E3591" s="647"/>
      <c r="F3591" s="647"/>
      <c r="G3591" s="647"/>
      <c r="H3591" s="647"/>
      <c r="I3591" s="647"/>
      <c r="J3591"/>
    </row>
    <row r="3592" spans="1:10" x14ac:dyDescent="0.3">
      <c r="A3592" s="516"/>
      <c r="B3592" s="517" t="s">
        <v>15</v>
      </c>
      <c r="C3592" s="516" t="s">
        <v>16</v>
      </c>
      <c r="D3592" s="516" t="s">
        <v>17</v>
      </c>
      <c r="E3592" s="904" t="s">
        <v>2431</v>
      </c>
      <c r="F3592" s="904"/>
      <c r="G3592" s="518" t="s">
        <v>18</v>
      </c>
      <c r="H3592" s="517" t="s">
        <v>19</v>
      </c>
      <c r="I3592" s="517" t="s">
        <v>20</v>
      </c>
      <c r="J3592" s="517" t="s">
        <v>23</v>
      </c>
    </row>
    <row r="3593" spans="1:10" s="358" customFormat="1" ht="25.5" customHeight="1" x14ac:dyDescent="0.3">
      <c r="A3593" s="642" t="s">
        <v>2432</v>
      </c>
      <c r="B3593" s="643" t="s">
        <v>3735</v>
      </c>
      <c r="C3593" s="642" t="s">
        <v>32</v>
      </c>
      <c r="D3593" s="642" t="s">
        <v>3736</v>
      </c>
      <c r="E3593" s="906" t="s">
        <v>2465</v>
      </c>
      <c r="F3593" s="906"/>
      <c r="G3593" s="644" t="s">
        <v>103</v>
      </c>
      <c r="H3593" s="645">
        <v>1</v>
      </c>
      <c r="I3593" s="646">
        <v>27.04</v>
      </c>
      <c r="J3593" s="646">
        <v>27.04</v>
      </c>
    </row>
    <row r="3594" spans="1:10" ht="25" x14ac:dyDescent="0.3">
      <c r="A3594" s="519" t="s">
        <v>2434</v>
      </c>
      <c r="B3594" s="520" t="s">
        <v>3729</v>
      </c>
      <c r="C3594" s="519" t="s">
        <v>32</v>
      </c>
      <c r="D3594" s="519" t="s">
        <v>3730</v>
      </c>
      <c r="E3594" s="905" t="s">
        <v>2433</v>
      </c>
      <c r="F3594" s="905"/>
      <c r="G3594" s="521" t="s">
        <v>1901</v>
      </c>
      <c r="H3594" s="522">
        <v>1</v>
      </c>
      <c r="I3594" s="523">
        <v>25.88</v>
      </c>
      <c r="J3594" s="523">
        <v>25.88</v>
      </c>
    </row>
    <row r="3595" spans="1:10" s="358" customFormat="1" ht="25.5" customHeight="1" x14ac:dyDescent="0.3">
      <c r="A3595" s="519" t="s">
        <v>2434</v>
      </c>
      <c r="B3595" s="520" t="s">
        <v>3731</v>
      </c>
      <c r="C3595" s="519" t="s">
        <v>32</v>
      </c>
      <c r="D3595" s="519" t="s">
        <v>3732</v>
      </c>
      <c r="E3595" s="905" t="s">
        <v>2465</v>
      </c>
      <c r="F3595" s="905"/>
      <c r="G3595" s="521" t="s">
        <v>1901</v>
      </c>
      <c r="H3595" s="522">
        <v>1</v>
      </c>
      <c r="I3595" s="523">
        <v>0.28000000000000003</v>
      </c>
      <c r="J3595" s="523">
        <v>0.28000000000000003</v>
      </c>
    </row>
    <row r="3596" spans="1:10" ht="25.5" customHeight="1" x14ac:dyDescent="0.3">
      <c r="A3596" s="519" t="s">
        <v>2434</v>
      </c>
      <c r="B3596" s="520" t="s">
        <v>3733</v>
      </c>
      <c r="C3596" s="519" t="s">
        <v>32</v>
      </c>
      <c r="D3596" s="519" t="s">
        <v>3734</v>
      </c>
      <c r="E3596" s="905" t="s">
        <v>2465</v>
      </c>
      <c r="F3596" s="905"/>
      <c r="G3596" s="521" t="s">
        <v>1901</v>
      </c>
      <c r="H3596" s="522">
        <v>1</v>
      </c>
      <c r="I3596" s="523">
        <v>0.06</v>
      </c>
      <c r="J3596" s="523">
        <v>0.06</v>
      </c>
    </row>
    <row r="3597" spans="1:10" s="358" customFormat="1" ht="25.5" customHeight="1" x14ac:dyDescent="0.3">
      <c r="A3597" s="519" t="s">
        <v>2434</v>
      </c>
      <c r="B3597" s="520" t="s">
        <v>3737</v>
      </c>
      <c r="C3597" s="519" t="s">
        <v>32</v>
      </c>
      <c r="D3597" s="519" t="s">
        <v>3738</v>
      </c>
      <c r="E3597" s="905" t="s">
        <v>2465</v>
      </c>
      <c r="F3597" s="905"/>
      <c r="G3597" s="521" t="s">
        <v>1901</v>
      </c>
      <c r="H3597" s="522">
        <v>1</v>
      </c>
      <c r="I3597" s="523">
        <v>0.26</v>
      </c>
      <c r="J3597" s="523">
        <v>0.26</v>
      </c>
    </row>
    <row r="3598" spans="1:10" ht="39" customHeight="1" thickBot="1" x14ac:dyDescent="0.35">
      <c r="A3598" s="519" t="s">
        <v>2434</v>
      </c>
      <c r="B3598" s="520" t="s">
        <v>3739</v>
      </c>
      <c r="C3598" s="519" t="s">
        <v>32</v>
      </c>
      <c r="D3598" s="519" t="s">
        <v>3740</v>
      </c>
      <c r="E3598" s="905" t="s">
        <v>2465</v>
      </c>
      <c r="F3598" s="905"/>
      <c r="G3598" s="521" t="s">
        <v>1901</v>
      </c>
      <c r="H3598" s="522">
        <v>1</v>
      </c>
      <c r="I3598" s="523">
        <v>0.56000000000000005</v>
      </c>
      <c r="J3598" s="523">
        <v>0.56000000000000005</v>
      </c>
    </row>
    <row r="3599" spans="1:10" s="358" customFormat="1" ht="25.5" customHeight="1" thickTop="1" x14ac:dyDescent="0.3">
      <c r="A3599" s="647"/>
      <c r="B3599" s="647"/>
      <c r="C3599" s="647"/>
      <c r="D3599" s="647"/>
      <c r="E3599" s="647"/>
      <c r="F3599" s="647"/>
      <c r="G3599" s="647"/>
      <c r="H3599" s="647"/>
      <c r="I3599" s="647"/>
      <c r="J3599"/>
    </row>
    <row r="3600" spans="1:10" x14ac:dyDescent="0.3">
      <c r="A3600" s="516"/>
      <c r="B3600" s="517" t="s">
        <v>15</v>
      </c>
      <c r="C3600" s="516" t="s">
        <v>16</v>
      </c>
      <c r="D3600" s="516" t="s">
        <v>17</v>
      </c>
      <c r="E3600" s="904" t="s">
        <v>2431</v>
      </c>
      <c r="F3600" s="904"/>
      <c r="G3600" s="518" t="s">
        <v>18</v>
      </c>
      <c r="H3600" s="517" t="s">
        <v>19</v>
      </c>
      <c r="I3600" s="517" t="s">
        <v>20</v>
      </c>
      <c r="J3600" s="517" t="s">
        <v>23</v>
      </c>
    </row>
    <row r="3601" spans="1:10" ht="25.5" customHeight="1" x14ac:dyDescent="0.3">
      <c r="A3601" s="642" t="s">
        <v>2432</v>
      </c>
      <c r="B3601" s="643" t="s">
        <v>3731</v>
      </c>
      <c r="C3601" s="642" t="s">
        <v>32</v>
      </c>
      <c r="D3601" s="642" t="s">
        <v>3732</v>
      </c>
      <c r="E3601" s="906" t="s">
        <v>2465</v>
      </c>
      <c r="F3601" s="906"/>
      <c r="G3601" s="644" t="s">
        <v>1901</v>
      </c>
      <c r="H3601" s="645">
        <v>1</v>
      </c>
      <c r="I3601" s="646">
        <v>0.28000000000000003</v>
      </c>
      <c r="J3601" s="646">
        <v>0.28000000000000003</v>
      </c>
    </row>
    <row r="3602" spans="1:10" ht="26.25" customHeight="1" thickBot="1" x14ac:dyDescent="0.35">
      <c r="A3602" s="519" t="s">
        <v>2437</v>
      </c>
      <c r="B3602" s="520" t="s">
        <v>3741</v>
      </c>
      <c r="C3602" s="519" t="s">
        <v>32</v>
      </c>
      <c r="D3602" s="519" t="s">
        <v>3742</v>
      </c>
      <c r="E3602" s="905" t="s">
        <v>2446</v>
      </c>
      <c r="F3602" s="905"/>
      <c r="G3602" s="521" t="s">
        <v>89</v>
      </c>
      <c r="H3602" s="522">
        <v>6.3999999999999997E-5</v>
      </c>
      <c r="I3602" s="523">
        <v>4469.78</v>
      </c>
      <c r="J3602" s="523">
        <v>0.28000000000000003</v>
      </c>
    </row>
    <row r="3603" spans="1:10" s="358" customFormat="1" ht="14.5" thickTop="1" x14ac:dyDescent="0.3">
      <c r="A3603" s="647"/>
      <c r="B3603" s="647"/>
      <c r="C3603" s="647"/>
      <c r="D3603" s="647"/>
      <c r="E3603" s="647"/>
      <c r="F3603" s="647"/>
      <c r="G3603" s="647"/>
      <c r="H3603" s="647"/>
      <c r="I3603" s="647"/>
      <c r="J3603"/>
    </row>
    <row r="3604" spans="1:10" x14ac:dyDescent="0.3">
      <c r="A3604" s="516"/>
      <c r="B3604" s="517" t="s">
        <v>15</v>
      </c>
      <c r="C3604" s="516" t="s">
        <v>16</v>
      </c>
      <c r="D3604" s="516" t="s">
        <v>17</v>
      </c>
      <c r="E3604" s="904" t="s">
        <v>2431</v>
      </c>
      <c r="F3604" s="904"/>
      <c r="G3604" s="518" t="s">
        <v>18</v>
      </c>
      <c r="H3604" s="517" t="s">
        <v>19</v>
      </c>
      <c r="I3604" s="517" t="s">
        <v>20</v>
      </c>
      <c r="J3604" s="517" t="s">
        <v>23</v>
      </c>
    </row>
    <row r="3605" spans="1:10" s="358" customFormat="1" ht="25.5" customHeight="1" x14ac:dyDescent="0.3">
      <c r="A3605" s="642" t="s">
        <v>2432</v>
      </c>
      <c r="B3605" s="643" t="s">
        <v>3733</v>
      </c>
      <c r="C3605" s="642" t="s">
        <v>32</v>
      </c>
      <c r="D3605" s="642" t="s">
        <v>3734</v>
      </c>
      <c r="E3605" s="906" t="s">
        <v>2465</v>
      </c>
      <c r="F3605" s="906"/>
      <c r="G3605" s="644" t="s">
        <v>1901</v>
      </c>
      <c r="H3605" s="645">
        <v>1</v>
      </c>
      <c r="I3605" s="646">
        <v>0.06</v>
      </c>
      <c r="J3605" s="646">
        <v>0.06</v>
      </c>
    </row>
    <row r="3606" spans="1:10" ht="25.5" thickBot="1" x14ac:dyDescent="0.35">
      <c r="A3606" s="519" t="s">
        <v>2437</v>
      </c>
      <c r="B3606" s="520" t="s">
        <v>3741</v>
      </c>
      <c r="C3606" s="519" t="s">
        <v>32</v>
      </c>
      <c r="D3606" s="519" t="s">
        <v>3742</v>
      </c>
      <c r="E3606" s="905" t="s">
        <v>2446</v>
      </c>
      <c r="F3606" s="905"/>
      <c r="G3606" s="521" t="s">
        <v>89</v>
      </c>
      <c r="H3606" s="522">
        <v>1.4800000000000001E-5</v>
      </c>
      <c r="I3606" s="523">
        <v>4469.78</v>
      </c>
      <c r="J3606" s="523">
        <v>0.06</v>
      </c>
    </row>
    <row r="3607" spans="1:10" ht="25.5" customHeight="1" thickTop="1" x14ac:dyDescent="0.3">
      <c r="A3607" s="647"/>
      <c r="B3607" s="647"/>
      <c r="C3607" s="647"/>
      <c r="D3607" s="647"/>
      <c r="E3607" s="647"/>
      <c r="F3607" s="647"/>
      <c r="G3607" s="647"/>
      <c r="H3607" s="647"/>
      <c r="I3607" s="647"/>
      <c r="J3607"/>
    </row>
    <row r="3608" spans="1:10" ht="25.5" customHeight="1" x14ac:dyDescent="0.3">
      <c r="A3608" s="516"/>
      <c r="B3608" s="517" t="s">
        <v>15</v>
      </c>
      <c r="C3608" s="516" t="s">
        <v>16</v>
      </c>
      <c r="D3608" s="516" t="s">
        <v>17</v>
      </c>
      <c r="E3608" s="904" t="s">
        <v>2431</v>
      </c>
      <c r="F3608" s="904"/>
      <c r="G3608" s="518" t="s">
        <v>18</v>
      </c>
      <c r="H3608" s="517" t="s">
        <v>19</v>
      </c>
      <c r="I3608" s="517" t="s">
        <v>20</v>
      </c>
      <c r="J3608" s="517" t="s">
        <v>23</v>
      </c>
    </row>
    <row r="3609" spans="1:10" ht="25.5" customHeight="1" x14ac:dyDescent="0.3">
      <c r="A3609" s="642" t="s">
        <v>2432</v>
      </c>
      <c r="B3609" s="643" t="s">
        <v>3737</v>
      </c>
      <c r="C3609" s="642" t="s">
        <v>32</v>
      </c>
      <c r="D3609" s="642" t="s">
        <v>3738</v>
      </c>
      <c r="E3609" s="906" t="s">
        <v>2465</v>
      </c>
      <c r="F3609" s="906"/>
      <c r="G3609" s="644" t="s">
        <v>1901</v>
      </c>
      <c r="H3609" s="645">
        <v>1</v>
      </c>
      <c r="I3609" s="646">
        <v>0.26</v>
      </c>
      <c r="J3609" s="646">
        <v>0.26</v>
      </c>
    </row>
    <row r="3610" spans="1:10" ht="39" customHeight="1" thickBot="1" x14ac:dyDescent="0.35">
      <c r="A3610" s="519" t="s">
        <v>2437</v>
      </c>
      <c r="B3610" s="520" t="s">
        <v>3741</v>
      </c>
      <c r="C3610" s="519" t="s">
        <v>32</v>
      </c>
      <c r="D3610" s="519" t="s">
        <v>3742</v>
      </c>
      <c r="E3610" s="905" t="s">
        <v>2446</v>
      </c>
      <c r="F3610" s="905"/>
      <c r="G3610" s="521" t="s">
        <v>89</v>
      </c>
      <c r="H3610" s="522">
        <v>6.0000000000000002E-5</v>
      </c>
      <c r="I3610" s="523">
        <v>4469.78</v>
      </c>
      <c r="J3610" s="523">
        <v>0.26</v>
      </c>
    </row>
    <row r="3611" spans="1:10" s="358" customFormat="1" ht="14.5" thickTop="1" x14ac:dyDescent="0.3">
      <c r="A3611" s="647"/>
      <c r="B3611" s="647"/>
      <c r="C3611" s="647"/>
      <c r="D3611" s="647"/>
      <c r="E3611" s="647"/>
      <c r="F3611" s="647"/>
      <c r="G3611" s="647"/>
      <c r="H3611" s="647"/>
      <c r="I3611" s="647"/>
      <c r="J3611"/>
    </row>
    <row r="3612" spans="1:10" x14ac:dyDescent="0.3">
      <c r="A3612" s="516"/>
      <c r="B3612" s="517" t="s">
        <v>15</v>
      </c>
      <c r="C3612" s="516" t="s">
        <v>16</v>
      </c>
      <c r="D3612" s="516" t="s">
        <v>17</v>
      </c>
      <c r="E3612" s="904" t="s">
        <v>2431</v>
      </c>
      <c r="F3612" s="904"/>
      <c r="G3612" s="518" t="s">
        <v>18</v>
      </c>
      <c r="H3612" s="517" t="s">
        <v>19</v>
      </c>
      <c r="I3612" s="517" t="s">
        <v>20</v>
      </c>
      <c r="J3612" s="517" t="s">
        <v>23</v>
      </c>
    </row>
    <row r="3613" spans="1:10" s="358" customFormat="1" ht="25.5" customHeight="1" x14ac:dyDescent="0.3">
      <c r="A3613" s="642" t="s">
        <v>2432</v>
      </c>
      <c r="B3613" s="643" t="s">
        <v>3739</v>
      </c>
      <c r="C3613" s="642" t="s">
        <v>32</v>
      </c>
      <c r="D3613" s="642" t="s">
        <v>3740</v>
      </c>
      <c r="E3613" s="906" t="s">
        <v>2465</v>
      </c>
      <c r="F3613" s="906"/>
      <c r="G3613" s="644" t="s">
        <v>1901</v>
      </c>
      <c r="H3613" s="645">
        <v>1</v>
      </c>
      <c r="I3613" s="646">
        <v>0.56000000000000005</v>
      </c>
      <c r="J3613" s="646">
        <v>0.56000000000000005</v>
      </c>
    </row>
    <row r="3614" spans="1:10" ht="14.5" thickBot="1" x14ac:dyDescent="0.35">
      <c r="A3614" s="519" t="s">
        <v>2437</v>
      </c>
      <c r="B3614" s="520" t="s">
        <v>3347</v>
      </c>
      <c r="C3614" s="519" t="s">
        <v>32</v>
      </c>
      <c r="D3614" s="519" t="s">
        <v>3348</v>
      </c>
      <c r="E3614" s="905" t="s">
        <v>2442</v>
      </c>
      <c r="F3614" s="905"/>
      <c r="G3614" s="521" t="s">
        <v>2532</v>
      </c>
      <c r="H3614" s="522">
        <v>0.78</v>
      </c>
      <c r="I3614" s="523">
        <v>0.72</v>
      </c>
      <c r="J3614" s="523">
        <v>0.56000000000000005</v>
      </c>
    </row>
    <row r="3615" spans="1:10" s="358" customFormat="1" ht="14.5" thickTop="1" x14ac:dyDescent="0.3">
      <c r="A3615" s="647"/>
      <c r="B3615" s="647"/>
      <c r="C3615" s="647"/>
      <c r="D3615" s="647"/>
      <c r="E3615" s="647"/>
      <c r="F3615" s="647"/>
      <c r="G3615" s="647"/>
      <c r="H3615" s="647"/>
      <c r="I3615" s="647"/>
      <c r="J3615"/>
    </row>
    <row r="3616" spans="1:10" x14ac:dyDescent="0.3">
      <c r="A3616" s="516"/>
      <c r="B3616" s="517" t="s">
        <v>15</v>
      </c>
      <c r="C3616" s="516" t="s">
        <v>16</v>
      </c>
      <c r="D3616" s="516" t="s">
        <v>17</v>
      </c>
      <c r="E3616" s="904" t="s">
        <v>2431</v>
      </c>
      <c r="F3616" s="904"/>
      <c r="G3616" s="518" t="s">
        <v>18</v>
      </c>
      <c r="H3616" s="517" t="s">
        <v>19</v>
      </c>
      <c r="I3616" s="517" t="s">
        <v>20</v>
      </c>
      <c r="J3616" s="517" t="s">
        <v>23</v>
      </c>
    </row>
    <row r="3617" spans="1:10" s="358" customFormat="1" ht="25.5" customHeight="1" x14ac:dyDescent="0.3">
      <c r="A3617" s="642" t="s">
        <v>2432</v>
      </c>
      <c r="B3617" s="643" t="s">
        <v>3016</v>
      </c>
      <c r="C3617" s="642" t="s">
        <v>32</v>
      </c>
      <c r="D3617" s="642" t="s">
        <v>3017</v>
      </c>
      <c r="E3617" s="906" t="s">
        <v>2465</v>
      </c>
      <c r="F3617" s="906"/>
      <c r="G3617" s="644" t="s">
        <v>103</v>
      </c>
      <c r="H3617" s="645">
        <v>1</v>
      </c>
      <c r="I3617" s="646">
        <v>214.09</v>
      </c>
      <c r="J3617" s="646">
        <v>214.09</v>
      </c>
    </row>
    <row r="3618" spans="1:10" ht="25" x14ac:dyDescent="0.3">
      <c r="A3618" s="519" t="s">
        <v>2434</v>
      </c>
      <c r="B3618" s="520" t="s">
        <v>3743</v>
      </c>
      <c r="C3618" s="519" t="s">
        <v>32</v>
      </c>
      <c r="D3618" s="519" t="s">
        <v>3744</v>
      </c>
      <c r="E3618" s="905" t="s">
        <v>2433</v>
      </c>
      <c r="F3618" s="905"/>
      <c r="G3618" s="521" t="s">
        <v>1901</v>
      </c>
      <c r="H3618" s="522">
        <v>1</v>
      </c>
      <c r="I3618" s="523">
        <v>25.88</v>
      </c>
      <c r="J3618" s="523">
        <v>25.88</v>
      </c>
    </row>
    <row r="3619" spans="1:10" s="358" customFormat="1" ht="38.25" customHeight="1" x14ac:dyDescent="0.3">
      <c r="A3619" s="519" t="s">
        <v>2434</v>
      </c>
      <c r="B3619" s="520" t="s">
        <v>3745</v>
      </c>
      <c r="C3619" s="519" t="s">
        <v>32</v>
      </c>
      <c r="D3619" s="519" t="s">
        <v>3746</v>
      </c>
      <c r="E3619" s="905" t="s">
        <v>2465</v>
      </c>
      <c r="F3619" s="905"/>
      <c r="G3619" s="521" t="s">
        <v>1901</v>
      </c>
      <c r="H3619" s="522">
        <v>1</v>
      </c>
      <c r="I3619" s="523">
        <v>52.21</v>
      </c>
      <c r="J3619" s="523">
        <v>52.21</v>
      </c>
    </row>
    <row r="3620" spans="1:10" ht="38.25" customHeight="1" x14ac:dyDescent="0.3">
      <c r="A3620" s="519" t="s">
        <v>2434</v>
      </c>
      <c r="B3620" s="520" t="s">
        <v>3747</v>
      </c>
      <c r="C3620" s="519" t="s">
        <v>32</v>
      </c>
      <c r="D3620" s="519" t="s">
        <v>3748</v>
      </c>
      <c r="E3620" s="905" t="s">
        <v>2465</v>
      </c>
      <c r="F3620" s="905"/>
      <c r="G3620" s="521" t="s">
        <v>1901</v>
      </c>
      <c r="H3620" s="522">
        <v>1</v>
      </c>
      <c r="I3620" s="523">
        <v>18.399999999999999</v>
      </c>
      <c r="J3620" s="523">
        <v>18.399999999999999</v>
      </c>
    </row>
    <row r="3621" spans="1:10" s="358" customFormat="1" ht="25.5" customHeight="1" x14ac:dyDescent="0.3">
      <c r="A3621" s="519" t="s">
        <v>2434</v>
      </c>
      <c r="B3621" s="520" t="s">
        <v>3749</v>
      </c>
      <c r="C3621" s="519" t="s">
        <v>32</v>
      </c>
      <c r="D3621" s="519" t="s">
        <v>3750</v>
      </c>
      <c r="E3621" s="905" t="s">
        <v>2465</v>
      </c>
      <c r="F3621" s="905"/>
      <c r="G3621" s="521" t="s">
        <v>1901</v>
      </c>
      <c r="H3621" s="522">
        <v>1</v>
      </c>
      <c r="I3621" s="523">
        <v>7.44</v>
      </c>
      <c r="J3621" s="523">
        <v>7.44</v>
      </c>
    </row>
    <row r="3622" spans="1:10" ht="38.25" customHeight="1" x14ac:dyDescent="0.3">
      <c r="A3622" s="519" t="s">
        <v>2434</v>
      </c>
      <c r="B3622" s="520" t="s">
        <v>3751</v>
      </c>
      <c r="C3622" s="519" t="s">
        <v>32</v>
      </c>
      <c r="D3622" s="519" t="s">
        <v>3752</v>
      </c>
      <c r="E3622" s="905" t="s">
        <v>2465</v>
      </c>
      <c r="F3622" s="905"/>
      <c r="G3622" s="521" t="s">
        <v>1901</v>
      </c>
      <c r="H3622" s="522">
        <v>1</v>
      </c>
      <c r="I3622" s="523">
        <v>83.94</v>
      </c>
      <c r="J3622" s="523">
        <v>83.94</v>
      </c>
    </row>
    <row r="3623" spans="1:10" s="358" customFormat="1" ht="39" customHeight="1" thickBot="1" x14ac:dyDescent="0.35">
      <c r="A3623" s="519" t="s">
        <v>2434</v>
      </c>
      <c r="B3623" s="520" t="s">
        <v>3753</v>
      </c>
      <c r="C3623" s="519" t="s">
        <v>32</v>
      </c>
      <c r="D3623" s="519" t="s">
        <v>3754</v>
      </c>
      <c r="E3623" s="905" t="s">
        <v>2465</v>
      </c>
      <c r="F3623" s="905"/>
      <c r="G3623" s="521" t="s">
        <v>1901</v>
      </c>
      <c r="H3623" s="522">
        <v>1</v>
      </c>
      <c r="I3623" s="523">
        <v>26.22</v>
      </c>
      <c r="J3623" s="523">
        <v>26.22</v>
      </c>
    </row>
    <row r="3624" spans="1:10" ht="14.5" thickTop="1" x14ac:dyDescent="0.3">
      <c r="A3624" s="647"/>
      <c r="B3624" s="647"/>
      <c r="C3624" s="647"/>
      <c r="D3624" s="647"/>
      <c r="E3624" s="647"/>
      <c r="F3624" s="647"/>
      <c r="G3624" s="647"/>
      <c r="H3624" s="647"/>
      <c r="I3624" s="647"/>
      <c r="J3624"/>
    </row>
    <row r="3625" spans="1:10" s="358" customFormat="1" ht="38.25" customHeight="1" x14ac:dyDescent="0.3">
      <c r="A3625" s="516"/>
      <c r="B3625" s="517" t="s">
        <v>15</v>
      </c>
      <c r="C3625" s="516" t="s">
        <v>16</v>
      </c>
      <c r="D3625" s="516" t="s">
        <v>17</v>
      </c>
      <c r="E3625" s="904" t="s">
        <v>2431</v>
      </c>
      <c r="F3625" s="904"/>
      <c r="G3625" s="518" t="s">
        <v>18</v>
      </c>
      <c r="H3625" s="517" t="s">
        <v>19</v>
      </c>
      <c r="I3625" s="517" t="s">
        <v>20</v>
      </c>
      <c r="J3625" s="517" t="s">
        <v>23</v>
      </c>
    </row>
    <row r="3626" spans="1:10" ht="38.25" customHeight="1" x14ac:dyDescent="0.3">
      <c r="A3626" s="642" t="s">
        <v>2432</v>
      </c>
      <c r="B3626" s="643" t="s">
        <v>3745</v>
      </c>
      <c r="C3626" s="642" t="s">
        <v>32</v>
      </c>
      <c r="D3626" s="642" t="s">
        <v>3746</v>
      </c>
      <c r="E3626" s="906" t="s">
        <v>2465</v>
      </c>
      <c r="F3626" s="906"/>
      <c r="G3626" s="644" t="s">
        <v>1901</v>
      </c>
      <c r="H3626" s="645">
        <v>1</v>
      </c>
      <c r="I3626" s="646">
        <v>52.21</v>
      </c>
      <c r="J3626" s="646">
        <v>52.21</v>
      </c>
    </row>
    <row r="3627" spans="1:10" s="358" customFormat="1" ht="25.5" thickBot="1" x14ac:dyDescent="0.35">
      <c r="A3627" s="519" t="s">
        <v>2437</v>
      </c>
      <c r="B3627" s="520" t="s">
        <v>3755</v>
      </c>
      <c r="C3627" s="519" t="s">
        <v>32</v>
      </c>
      <c r="D3627" s="519" t="s">
        <v>3756</v>
      </c>
      <c r="E3627" s="905" t="s">
        <v>2446</v>
      </c>
      <c r="F3627" s="905"/>
      <c r="G3627" s="521" t="s">
        <v>89</v>
      </c>
      <c r="H3627" s="522">
        <v>4.0000000000000003E-5</v>
      </c>
      <c r="I3627" s="523">
        <v>1305473.1499999999</v>
      </c>
      <c r="J3627" s="523">
        <v>52.21</v>
      </c>
    </row>
    <row r="3628" spans="1:10" ht="14.5" thickTop="1" x14ac:dyDescent="0.3">
      <c r="A3628" s="647"/>
      <c r="B3628" s="647"/>
      <c r="C3628" s="647"/>
      <c r="D3628" s="647"/>
      <c r="E3628" s="647"/>
      <c r="F3628" s="647"/>
      <c r="G3628" s="647"/>
      <c r="H3628" s="647"/>
      <c r="I3628" s="647"/>
      <c r="J3628"/>
    </row>
    <row r="3629" spans="1:10" s="358" customFormat="1" ht="38.25" customHeight="1" x14ac:dyDescent="0.3">
      <c r="A3629" s="516"/>
      <c r="B3629" s="517" t="s">
        <v>15</v>
      </c>
      <c r="C3629" s="516" t="s">
        <v>16</v>
      </c>
      <c r="D3629" s="516" t="s">
        <v>17</v>
      </c>
      <c r="E3629" s="904" t="s">
        <v>2431</v>
      </c>
      <c r="F3629" s="904"/>
      <c r="G3629" s="518" t="s">
        <v>18</v>
      </c>
      <c r="H3629" s="517" t="s">
        <v>19</v>
      </c>
      <c r="I3629" s="517" t="s">
        <v>20</v>
      </c>
      <c r="J3629" s="517" t="s">
        <v>23</v>
      </c>
    </row>
    <row r="3630" spans="1:10" ht="38.25" customHeight="1" x14ac:dyDescent="0.3">
      <c r="A3630" s="642" t="s">
        <v>2432</v>
      </c>
      <c r="B3630" s="643" t="s">
        <v>3749</v>
      </c>
      <c r="C3630" s="642" t="s">
        <v>32</v>
      </c>
      <c r="D3630" s="642" t="s">
        <v>3750</v>
      </c>
      <c r="E3630" s="906" t="s">
        <v>2465</v>
      </c>
      <c r="F3630" s="906"/>
      <c r="G3630" s="644" t="s">
        <v>1901</v>
      </c>
      <c r="H3630" s="645">
        <v>1</v>
      </c>
      <c r="I3630" s="646">
        <v>7.44</v>
      </c>
      <c r="J3630" s="646">
        <v>7.44</v>
      </c>
    </row>
    <row r="3631" spans="1:10" ht="38.25" customHeight="1" thickBot="1" x14ac:dyDescent="0.35">
      <c r="A3631" s="519" t="s">
        <v>2437</v>
      </c>
      <c r="B3631" s="520" t="s">
        <v>3755</v>
      </c>
      <c r="C3631" s="519" t="s">
        <v>32</v>
      </c>
      <c r="D3631" s="519" t="s">
        <v>3756</v>
      </c>
      <c r="E3631" s="905" t="s">
        <v>2446</v>
      </c>
      <c r="F3631" s="905"/>
      <c r="G3631" s="521" t="s">
        <v>89</v>
      </c>
      <c r="H3631" s="522">
        <v>5.6999999999999996E-6</v>
      </c>
      <c r="I3631" s="523">
        <v>1305473.1499999999</v>
      </c>
      <c r="J3631" s="523">
        <v>7.44</v>
      </c>
    </row>
    <row r="3632" spans="1:10" ht="38.25" customHeight="1" thickTop="1" x14ac:dyDescent="0.3">
      <c r="A3632" s="647"/>
      <c r="B3632" s="647"/>
      <c r="C3632" s="647"/>
      <c r="D3632" s="647"/>
      <c r="E3632" s="647"/>
      <c r="F3632" s="647"/>
      <c r="G3632" s="647"/>
      <c r="H3632" s="647"/>
      <c r="I3632" s="647"/>
      <c r="J3632"/>
    </row>
    <row r="3633" spans="1:10" ht="38.25" customHeight="1" x14ac:dyDescent="0.3">
      <c r="A3633" s="516"/>
      <c r="B3633" s="517" t="s">
        <v>15</v>
      </c>
      <c r="C3633" s="516" t="s">
        <v>16</v>
      </c>
      <c r="D3633" s="516" t="s">
        <v>17</v>
      </c>
      <c r="E3633" s="904" t="s">
        <v>2431</v>
      </c>
      <c r="F3633" s="904"/>
      <c r="G3633" s="518" t="s">
        <v>18</v>
      </c>
      <c r="H3633" s="517" t="s">
        <v>19</v>
      </c>
      <c r="I3633" s="517" t="s">
        <v>20</v>
      </c>
      <c r="J3633" s="517" t="s">
        <v>23</v>
      </c>
    </row>
    <row r="3634" spans="1:10" ht="38.25" customHeight="1" x14ac:dyDescent="0.3">
      <c r="A3634" s="642" t="s">
        <v>2432</v>
      </c>
      <c r="B3634" s="643" t="s">
        <v>3747</v>
      </c>
      <c r="C3634" s="642" t="s">
        <v>32</v>
      </c>
      <c r="D3634" s="642" t="s">
        <v>3748</v>
      </c>
      <c r="E3634" s="906" t="s">
        <v>2465</v>
      </c>
      <c r="F3634" s="906"/>
      <c r="G3634" s="644" t="s">
        <v>1901</v>
      </c>
      <c r="H3634" s="645">
        <v>1</v>
      </c>
      <c r="I3634" s="646">
        <v>18.399999999999999</v>
      </c>
      <c r="J3634" s="646">
        <v>18.399999999999999</v>
      </c>
    </row>
    <row r="3635" spans="1:10" ht="39" customHeight="1" thickBot="1" x14ac:dyDescent="0.35">
      <c r="A3635" s="519" t="s">
        <v>2437</v>
      </c>
      <c r="B3635" s="520" t="s">
        <v>3755</v>
      </c>
      <c r="C3635" s="519" t="s">
        <v>32</v>
      </c>
      <c r="D3635" s="519" t="s">
        <v>3756</v>
      </c>
      <c r="E3635" s="905" t="s">
        <v>2446</v>
      </c>
      <c r="F3635" s="905"/>
      <c r="G3635" s="521" t="s">
        <v>89</v>
      </c>
      <c r="H3635" s="522">
        <v>1.4100000000000001E-5</v>
      </c>
      <c r="I3635" s="523">
        <v>1305473.1499999999</v>
      </c>
      <c r="J3635" s="523">
        <v>18.399999999999999</v>
      </c>
    </row>
    <row r="3636" spans="1:10" s="358" customFormat="1" ht="14.5" thickTop="1" x14ac:dyDescent="0.3">
      <c r="A3636" s="647"/>
      <c r="B3636" s="647"/>
      <c r="C3636" s="647"/>
      <c r="D3636" s="647"/>
      <c r="E3636" s="647"/>
      <c r="F3636" s="647"/>
      <c r="G3636" s="647"/>
      <c r="H3636" s="647"/>
      <c r="I3636" s="647"/>
      <c r="J3636"/>
    </row>
    <row r="3637" spans="1:10" x14ac:dyDescent="0.3">
      <c r="A3637" s="516"/>
      <c r="B3637" s="517" t="s">
        <v>15</v>
      </c>
      <c r="C3637" s="516" t="s">
        <v>16</v>
      </c>
      <c r="D3637" s="516" t="s">
        <v>17</v>
      </c>
      <c r="E3637" s="904" t="s">
        <v>2431</v>
      </c>
      <c r="F3637" s="904"/>
      <c r="G3637" s="518" t="s">
        <v>18</v>
      </c>
      <c r="H3637" s="517" t="s">
        <v>19</v>
      </c>
      <c r="I3637" s="517" t="s">
        <v>20</v>
      </c>
      <c r="J3637" s="517" t="s">
        <v>23</v>
      </c>
    </row>
    <row r="3638" spans="1:10" s="358" customFormat="1" ht="38.25" customHeight="1" x14ac:dyDescent="0.3">
      <c r="A3638" s="642" t="s">
        <v>2432</v>
      </c>
      <c r="B3638" s="643" t="s">
        <v>3751</v>
      </c>
      <c r="C3638" s="642" t="s">
        <v>32</v>
      </c>
      <c r="D3638" s="642" t="s">
        <v>3752</v>
      </c>
      <c r="E3638" s="906" t="s">
        <v>2465</v>
      </c>
      <c r="F3638" s="906"/>
      <c r="G3638" s="644" t="s">
        <v>1901</v>
      </c>
      <c r="H3638" s="645">
        <v>1</v>
      </c>
      <c r="I3638" s="646">
        <v>83.94</v>
      </c>
      <c r="J3638" s="646">
        <v>83.94</v>
      </c>
    </row>
    <row r="3639" spans="1:10" ht="25.5" thickBot="1" x14ac:dyDescent="0.35">
      <c r="A3639" s="519" t="s">
        <v>2437</v>
      </c>
      <c r="B3639" s="520" t="s">
        <v>3755</v>
      </c>
      <c r="C3639" s="519" t="s">
        <v>32</v>
      </c>
      <c r="D3639" s="519" t="s">
        <v>3756</v>
      </c>
      <c r="E3639" s="905" t="s">
        <v>2446</v>
      </c>
      <c r="F3639" s="905"/>
      <c r="G3639" s="521" t="s">
        <v>89</v>
      </c>
      <c r="H3639" s="522">
        <v>6.4300000000000004E-5</v>
      </c>
      <c r="I3639" s="523">
        <v>1305473.1499999999</v>
      </c>
      <c r="J3639" s="523">
        <v>83.94</v>
      </c>
    </row>
    <row r="3640" spans="1:10" s="358" customFormat="1" ht="14.5" thickTop="1" x14ac:dyDescent="0.3">
      <c r="A3640" s="647"/>
      <c r="B3640" s="647"/>
      <c r="C3640" s="647"/>
      <c r="D3640" s="647"/>
      <c r="E3640" s="647"/>
      <c r="F3640" s="647"/>
      <c r="G3640" s="647"/>
      <c r="H3640" s="647"/>
      <c r="I3640" s="647"/>
      <c r="J3640"/>
    </row>
    <row r="3641" spans="1:10" x14ac:dyDescent="0.3">
      <c r="A3641" s="516"/>
      <c r="B3641" s="517" t="s">
        <v>15</v>
      </c>
      <c r="C3641" s="516" t="s">
        <v>16</v>
      </c>
      <c r="D3641" s="516" t="s">
        <v>17</v>
      </c>
      <c r="E3641" s="904" t="s">
        <v>2431</v>
      </c>
      <c r="F3641" s="904"/>
      <c r="G3641" s="518" t="s">
        <v>18</v>
      </c>
      <c r="H3641" s="517" t="s">
        <v>19</v>
      </c>
      <c r="I3641" s="517" t="s">
        <v>20</v>
      </c>
      <c r="J3641" s="517" t="s">
        <v>23</v>
      </c>
    </row>
    <row r="3642" spans="1:10" s="358" customFormat="1" ht="38.25" customHeight="1" x14ac:dyDescent="0.3">
      <c r="A3642" s="642" t="s">
        <v>2432</v>
      </c>
      <c r="B3642" s="643" t="s">
        <v>3753</v>
      </c>
      <c r="C3642" s="642" t="s">
        <v>32</v>
      </c>
      <c r="D3642" s="642" t="s">
        <v>3754</v>
      </c>
      <c r="E3642" s="906" t="s">
        <v>2465</v>
      </c>
      <c r="F3642" s="906"/>
      <c r="G3642" s="644" t="s">
        <v>1901</v>
      </c>
      <c r="H3642" s="645">
        <v>1</v>
      </c>
      <c r="I3642" s="646">
        <v>26.22</v>
      </c>
      <c r="J3642" s="646">
        <v>26.22</v>
      </c>
    </row>
    <row r="3643" spans="1:10" ht="14.5" thickBot="1" x14ac:dyDescent="0.35">
      <c r="A3643" s="519" t="s">
        <v>2437</v>
      </c>
      <c r="B3643" s="520" t="s">
        <v>4485</v>
      </c>
      <c r="C3643" s="519" t="s">
        <v>125</v>
      </c>
      <c r="D3643" s="519" t="s">
        <v>4486</v>
      </c>
      <c r="E3643" s="905" t="s">
        <v>2442</v>
      </c>
      <c r="F3643" s="905"/>
      <c r="G3643" s="521" t="s">
        <v>2829</v>
      </c>
      <c r="H3643" s="522">
        <v>4.8499999999999996</v>
      </c>
      <c r="I3643" s="523">
        <v>5.4069000000000003</v>
      </c>
      <c r="J3643" s="523">
        <v>26.22</v>
      </c>
    </row>
    <row r="3644" spans="1:10" s="358" customFormat="1" ht="14.5" thickTop="1" x14ac:dyDescent="0.3">
      <c r="A3644" s="647"/>
      <c r="B3644" s="647"/>
      <c r="C3644" s="647"/>
      <c r="D3644" s="647"/>
      <c r="E3644" s="647"/>
      <c r="F3644" s="647"/>
      <c r="G3644" s="647"/>
      <c r="H3644" s="647"/>
      <c r="I3644" s="647"/>
      <c r="J3644"/>
    </row>
    <row r="3645" spans="1:10" x14ac:dyDescent="0.3">
      <c r="A3645" s="516"/>
      <c r="B3645" s="517" t="s">
        <v>15</v>
      </c>
      <c r="C3645" s="516" t="s">
        <v>16</v>
      </c>
      <c r="D3645" s="516" t="s">
        <v>17</v>
      </c>
      <c r="E3645" s="904" t="s">
        <v>2431</v>
      </c>
      <c r="F3645" s="904"/>
      <c r="G3645" s="518" t="s">
        <v>18</v>
      </c>
      <c r="H3645" s="517" t="s">
        <v>19</v>
      </c>
      <c r="I3645" s="517" t="s">
        <v>20</v>
      </c>
      <c r="J3645" s="517" t="s">
        <v>23</v>
      </c>
    </row>
    <row r="3646" spans="1:10" s="358" customFormat="1" ht="38.25" customHeight="1" x14ac:dyDescent="0.3">
      <c r="A3646" s="642" t="s">
        <v>2432</v>
      </c>
      <c r="B3646" s="643" t="s">
        <v>3013</v>
      </c>
      <c r="C3646" s="642" t="s">
        <v>32</v>
      </c>
      <c r="D3646" s="642" t="s">
        <v>3014</v>
      </c>
      <c r="E3646" s="906" t="s">
        <v>2465</v>
      </c>
      <c r="F3646" s="906"/>
      <c r="G3646" s="644" t="s">
        <v>110</v>
      </c>
      <c r="H3646" s="645">
        <v>1</v>
      </c>
      <c r="I3646" s="646">
        <v>72.45</v>
      </c>
      <c r="J3646" s="646">
        <v>72.45</v>
      </c>
    </row>
    <row r="3647" spans="1:10" ht="25" x14ac:dyDescent="0.3">
      <c r="A3647" s="519" t="s">
        <v>2434</v>
      </c>
      <c r="B3647" s="520" t="s">
        <v>3757</v>
      </c>
      <c r="C3647" s="519" t="s">
        <v>32</v>
      </c>
      <c r="D3647" s="519" t="s">
        <v>3758</v>
      </c>
      <c r="E3647" s="905" t="s">
        <v>2433</v>
      </c>
      <c r="F3647" s="905"/>
      <c r="G3647" s="521" t="s">
        <v>1901</v>
      </c>
      <c r="H3647" s="522">
        <v>1</v>
      </c>
      <c r="I3647" s="523">
        <v>31.05</v>
      </c>
      <c r="J3647" s="523">
        <v>31.05</v>
      </c>
    </row>
    <row r="3648" spans="1:10" s="358" customFormat="1" ht="50" x14ac:dyDescent="0.3">
      <c r="A3648" s="519" t="s">
        <v>2434</v>
      </c>
      <c r="B3648" s="520" t="s">
        <v>3759</v>
      </c>
      <c r="C3648" s="519" t="s">
        <v>32</v>
      </c>
      <c r="D3648" s="519" t="s">
        <v>3760</v>
      </c>
      <c r="E3648" s="905" t="s">
        <v>2465</v>
      </c>
      <c r="F3648" s="905"/>
      <c r="G3648" s="521" t="s">
        <v>1901</v>
      </c>
      <c r="H3648" s="522">
        <v>1</v>
      </c>
      <c r="I3648" s="523">
        <v>27.32</v>
      </c>
      <c r="J3648" s="523">
        <v>27.32</v>
      </c>
    </row>
    <row r="3649" spans="1:10" ht="50" x14ac:dyDescent="0.3">
      <c r="A3649" s="519" t="s">
        <v>2434</v>
      </c>
      <c r="B3649" s="520" t="s">
        <v>3761</v>
      </c>
      <c r="C3649" s="519" t="s">
        <v>32</v>
      </c>
      <c r="D3649" s="519" t="s">
        <v>3762</v>
      </c>
      <c r="E3649" s="905" t="s">
        <v>2465</v>
      </c>
      <c r="F3649" s="905"/>
      <c r="G3649" s="521" t="s">
        <v>1901</v>
      </c>
      <c r="H3649" s="522">
        <v>1</v>
      </c>
      <c r="I3649" s="523">
        <v>10.029999999999999</v>
      </c>
      <c r="J3649" s="523">
        <v>10.029999999999999</v>
      </c>
    </row>
    <row r="3650" spans="1:10" s="358" customFormat="1" ht="38.25" customHeight="1" thickBot="1" x14ac:dyDescent="0.35">
      <c r="A3650" s="519" t="s">
        <v>2434</v>
      </c>
      <c r="B3650" s="520" t="s">
        <v>3763</v>
      </c>
      <c r="C3650" s="519" t="s">
        <v>32</v>
      </c>
      <c r="D3650" s="519" t="s">
        <v>3764</v>
      </c>
      <c r="E3650" s="905" t="s">
        <v>2465</v>
      </c>
      <c r="F3650" s="905"/>
      <c r="G3650" s="521" t="s">
        <v>1901</v>
      </c>
      <c r="H3650" s="522">
        <v>1</v>
      </c>
      <c r="I3650" s="523">
        <v>4.05</v>
      </c>
      <c r="J3650" s="523">
        <v>4.05</v>
      </c>
    </row>
    <row r="3651" spans="1:10" ht="14.5" thickTop="1" x14ac:dyDescent="0.3">
      <c r="A3651" s="647"/>
      <c r="B3651" s="647"/>
      <c r="C3651" s="647"/>
      <c r="D3651" s="647"/>
      <c r="E3651" s="647"/>
      <c r="F3651" s="647"/>
      <c r="G3651" s="647"/>
      <c r="H3651" s="647"/>
      <c r="I3651" s="647"/>
      <c r="J3651"/>
    </row>
    <row r="3652" spans="1:10" s="358" customFormat="1" x14ac:dyDescent="0.3">
      <c r="A3652" s="516"/>
      <c r="B3652" s="517" t="s">
        <v>15</v>
      </c>
      <c r="C3652" s="516" t="s">
        <v>16</v>
      </c>
      <c r="D3652" s="516" t="s">
        <v>17</v>
      </c>
      <c r="E3652" s="904" t="s">
        <v>2431</v>
      </c>
      <c r="F3652" s="904"/>
      <c r="G3652" s="518" t="s">
        <v>18</v>
      </c>
      <c r="H3652" s="517" t="s">
        <v>19</v>
      </c>
      <c r="I3652" s="517" t="s">
        <v>20</v>
      </c>
      <c r="J3652" s="517" t="s">
        <v>23</v>
      </c>
    </row>
    <row r="3653" spans="1:10" ht="50" x14ac:dyDescent="0.3">
      <c r="A3653" s="642" t="s">
        <v>2432</v>
      </c>
      <c r="B3653" s="643" t="s">
        <v>3011</v>
      </c>
      <c r="C3653" s="642" t="s">
        <v>32</v>
      </c>
      <c r="D3653" s="642" t="s">
        <v>3012</v>
      </c>
      <c r="E3653" s="906" t="s">
        <v>2465</v>
      </c>
      <c r="F3653" s="906"/>
      <c r="G3653" s="644" t="s">
        <v>103</v>
      </c>
      <c r="H3653" s="645">
        <v>1</v>
      </c>
      <c r="I3653" s="646">
        <v>261.58999999999997</v>
      </c>
      <c r="J3653" s="646">
        <v>261.58999999999997</v>
      </c>
    </row>
    <row r="3654" spans="1:10" s="358" customFormat="1" ht="38.25" customHeight="1" x14ac:dyDescent="0.3">
      <c r="A3654" s="519" t="s">
        <v>2434</v>
      </c>
      <c r="B3654" s="520" t="s">
        <v>3757</v>
      </c>
      <c r="C3654" s="519" t="s">
        <v>32</v>
      </c>
      <c r="D3654" s="519" t="s">
        <v>3758</v>
      </c>
      <c r="E3654" s="905" t="s">
        <v>2433</v>
      </c>
      <c r="F3654" s="905"/>
      <c r="G3654" s="521" t="s">
        <v>1901</v>
      </c>
      <c r="H3654" s="522">
        <v>1</v>
      </c>
      <c r="I3654" s="523">
        <v>31.05</v>
      </c>
      <c r="J3654" s="523">
        <v>31.05</v>
      </c>
    </row>
    <row r="3655" spans="1:10" ht="50" x14ac:dyDescent="0.3">
      <c r="A3655" s="519" t="s">
        <v>2434</v>
      </c>
      <c r="B3655" s="520" t="s">
        <v>3759</v>
      </c>
      <c r="C3655" s="519" t="s">
        <v>32</v>
      </c>
      <c r="D3655" s="519" t="s">
        <v>3760</v>
      </c>
      <c r="E3655" s="905" t="s">
        <v>2465</v>
      </c>
      <c r="F3655" s="905"/>
      <c r="G3655" s="521" t="s">
        <v>1901</v>
      </c>
      <c r="H3655" s="522">
        <v>1</v>
      </c>
      <c r="I3655" s="523">
        <v>27.32</v>
      </c>
      <c r="J3655" s="523">
        <v>27.32</v>
      </c>
    </row>
    <row r="3656" spans="1:10" s="358" customFormat="1" ht="50" x14ac:dyDescent="0.3">
      <c r="A3656" s="519" t="s">
        <v>2434</v>
      </c>
      <c r="B3656" s="520" t="s">
        <v>3761</v>
      </c>
      <c r="C3656" s="519" t="s">
        <v>32</v>
      </c>
      <c r="D3656" s="519" t="s">
        <v>3762</v>
      </c>
      <c r="E3656" s="905" t="s">
        <v>2465</v>
      </c>
      <c r="F3656" s="905"/>
      <c r="G3656" s="521" t="s">
        <v>1901</v>
      </c>
      <c r="H3656" s="522">
        <v>1</v>
      </c>
      <c r="I3656" s="523">
        <v>10.029999999999999</v>
      </c>
      <c r="J3656" s="523">
        <v>10.029999999999999</v>
      </c>
    </row>
    <row r="3657" spans="1:10" ht="50" x14ac:dyDescent="0.3">
      <c r="A3657" s="519" t="s">
        <v>2434</v>
      </c>
      <c r="B3657" s="520" t="s">
        <v>3765</v>
      </c>
      <c r="C3657" s="519" t="s">
        <v>32</v>
      </c>
      <c r="D3657" s="519" t="s">
        <v>3766</v>
      </c>
      <c r="E3657" s="905" t="s">
        <v>2465</v>
      </c>
      <c r="F3657" s="905"/>
      <c r="G3657" s="521" t="s">
        <v>1901</v>
      </c>
      <c r="H3657" s="522">
        <v>1</v>
      </c>
      <c r="I3657" s="523">
        <v>46.24</v>
      </c>
      <c r="J3657" s="523">
        <v>46.24</v>
      </c>
    </row>
    <row r="3658" spans="1:10" s="358" customFormat="1" ht="50" x14ac:dyDescent="0.3">
      <c r="A3658" s="519" t="s">
        <v>2434</v>
      </c>
      <c r="B3658" s="520" t="s">
        <v>3763</v>
      </c>
      <c r="C3658" s="519" t="s">
        <v>32</v>
      </c>
      <c r="D3658" s="519" t="s">
        <v>3764</v>
      </c>
      <c r="E3658" s="905" t="s">
        <v>2465</v>
      </c>
      <c r="F3658" s="905"/>
      <c r="G3658" s="521" t="s">
        <v>1901</v>
      </c>
      <c r="H3658" s="522">
        <v>1</v>
      </c>
      <c r="I3658" s="523">
        <v>4.05</v>
      </c>
      <c r="J3658" s="523">
        <v>4.05</v>
      </c>
    </row>
    <row r="3659" spans="1:10" ht="50.5" thickBot="1" x14ac:dyDescent="0.35">
      <c r="A3659" s="519" t="s">
        <v>2434</v>
      </c>
      <c r="B3659" s="520" t="s">
        <v>3767</v>
      </c>
      <c r="C3659" s="519" t="s">
        <v>32</v>
      </c>
      <c r="D3659" s="519" t="s">
        <v>3768</v>
      </c>
      <c r="E3659" s="905" t="s">
        <v>2465</v>
      </c>
      <c r="F3659" s="905"/>
      <c r="G3659" s="521" t="s">
        <v>1901</v>
      </c>
      <c r="H3659" s="522">
        <v>1</v>
      </c>
      <c r="I3659" s="523">
        <v>142.9</v>
      </c>
      <c r="J3659" s="523">
        <v>142.9</v>
      </c>
    </row>
    <row r="3660" spans="1:10" ht="14.5" thickTop="1" x14ac:dyDescent="0.3">
      <c r="A3660" s="647"/>
      <c r="B3660" s="647"/>
      <c r="C3660" s="647"/>
      <c r="D3660" s="647"/>
      <c r="E3660" s="647"/>
      <c r="F3660" s="647"/>
      <c r="G3660" s="647"/>
      <c r="H3660" s="647"/>
      <c r="I3660" s="647"/>
      <c r="J3660"/>
    </row>
    <row r="3661" spans="1:10" x14ac:dyDescent="0.3">
      <c r="A3661" s="516"/>
      <c r="B3661" s="517" t="s">
        <v>15</v>
      </c>
      <c r="C3661" s="516" t="s">
        <v>16</v>
      </c>
      <c r="D3661" s="516" t="s">
        <v>17</v>
      </c>
      <c r="E3661" s="904" t="s">
        <v>2431</v>
      </c>
      <c r="F3661" s="904"/>
      <c r="G3661" s="518" t="s">
        <v>18</v>
      </c>
      <c r="H3661" s="517" t="s">
        <v>19</v>
      </c>
      <c r="I3661" s="517" t="s">
        <v>20</v>
      </c>
      <c r="J3661" s="517" t="s">
        <v>23</v>
      </c>
    </row>
    <row r="3662" spans="1:10" ht="50" x14ac:dyDescent="0.3">
      <c r="A3662" s="642" t="s">
        <v>2432</v>
      </c>
      <c r="B3662" s="643" t="s">
        <v>3759</v>
      </c>
      <c r="C3662" s="642" t="s">
        <v>32</v>
      </c>
      <c r="D3662" s="642" t="s">
        <v>3760</v>
      </c>
      <c r="E3662" s="906" t="s">
        <v>2465</v>
      </c>
      <c r="F3662" s="906"/>
      <c r="G3662" s="644" t="s">
        <v>1901</v>
      </c>
      <c r="H3662" s="645">
        <v>1</v>
      </c>
      <c r="I3662" s="646">
        <v>27.32</v>
      </c>
      <c r="J3662" s="646">
        <v>27.32</v>
      </c>
    </row>
    <row r="3663" spans="1:10" s="358" customFormat="1" ht="50" x14ac:dyDescent="0.3">
      <c r="A3663" s="519" t="s">
        <v>2437</v>
      </c>
      <c r="B3663" s="520" t="s">
        <v>3769</v>
      </c>
      <c r="C3663" s="519" t="s">
        <v>32</v>
      </c>
      <c r="D3663" s="519" t="s">
        <v>3770</v>
      </c>
      <c r="E3663" s="905" t="s">
        <v>2446</v>
      </c>
      <c r="F3663" s="905"/>
      <c r="G3663" s="521" t="s">
        <v>89</v>
      </c>
      <c r="H3663" s="522">
        <v>5.5099999999999998E-5</v>
      </c>
      <c r="I3663" s="523">
        <v>144875</v>
      </c>
      <c r="J3663" s="523">
        <v>7.98</v>
      </c>
    </row>
    <row r="3664" spans="1:10" ht="38" thickBot="1" x14ac:dyDescent="0.35">
      <c r="A3664" s="519" t="s">
        <v>2437</v>
      </c>
      <c r="B3664" s="520" t="s">
        <v>3771</v>
      </c>
      <c r="C3664" s="519" t="s">
        <v>32</v>
      </c>
      <c r="D3664" s="519" t="s">
        <v>3772</v>
      </c>
      <c r="E3664" s="905" t="s">
        <v>2446</v>
      </c>
      <c r="F3664" s="905"/>
      <c r="G3664" s="521" t="s">
        <v>89</v>
      </c>
      <c r="H3664" s="522">
        <v>3.43E-5</v>
      </c>
      <c r="I3664" s="523">
        <v>563990.17000000004</v>
      </c>
      <c r="J3664" s="523">
        <v>19.34</v>
      </c>
    </row>
    <row r="3665" spans="1:10" s="358" customFormat="1" ht="14.5" thickTop="1" x14ac:dyDescent="0.3">
      <c r="A3665" s="647"/>
      <c r="B3665" s="647"/>
      <c r="C3665" s="647"/>
      <c r="D3665" s="647"/>
      <c r="E3665" s="647"/>
      <c r="F3665" s="647"/>
      <c r="G3665" s="647"/>
      <c r="H3665" s="647"/>
      <c r="I3665" s="647"/>
      <c r="J3665"/>
    </row>
    <row r="3666" spans="1:10" x14ac:dyDescent="0.3">
      <c r="A3666" s="516"/>
      <c r="B3666" s="517" t="s">
        <v>15</v>
      </c>
      <c r="C3666" s="516" t="s">
        <v>16</v>
      </c>
      <c r="D3666" s="516" t="s">
        <v>17</v>
      </c>
      <c r="E3666" s="904" t="s">
        <v>2431</v>
      </c>
      <c r="F3666" s="904"/>
      <c r="G3666" s="518" t="s">
        <v>18</v>
      </c>
      <c r="H3666" s="517" t="s">
        <v>19</v>
      </c>
      <c r="I3666" s="517" t="s">
        <v>20</v>
      </c>
      <c r="J3666" s="517" t="s">
        <v>23</v>
      </c>
    </row>
    <row r="3667" spans="1:10" ht="50" x14ac:dyDescent="0.3">
      <c r="A3667" s="642" t="s">
        <v>2432</v>
      </c>
      <c r="B3667" s="643" t="s">
        <v>3763</v>
      </c>
      <c r="C3667" s="642" t="s">
        <v>32</v>
      </c>
      <c r="D3667" s="642" t="s">
        <v>3764</v>
      </c>
      <c r="E3667" s="906" t="s">
        <v>2465</v>
      </c>
      <c r="F3667" s="906"/>
      <c r="G3667" s="644" t="s">
        <v>1901</v>
      </c>
      <c r="H3667" s="645">
        <v>1</v>
      </c>
      <c r="I3667" s="646">
        <v>4.05</v>
      </c>
      <c r="J3667" s="646">
        <v>4.05</v>
      </c>
    </row>
    <row r="3668" spans="1:10" ht="50" x14ac:dyDescent="0.3">
      <c r="A3668" s="519" t="s">
        <v>2437</v>
      </c>
      <c r="B3668" s="520" t="s">
        <v>3769</v>
      </c>
      <c r="C3668" s="519" t="s">
        <v>32</v>
      </c>
      <c r="D3668" s="519" t="s">
        <v>3770</v>
      </c>
      <c r="E3668" s="905" t="s">
        <v>2446</v>
      </c>
      <c r="F3668" s="905"/>
      <c r="G3668" s="521" t="s">
        <v>89</v>
      </c>
      <c r="H3668" s="522">
        <v>5.8000000000000004E-6</v>
      </c>
      <c r="I3668" s="523">
        <v>144875</v>
      </c>
      <c r="J3668" s="523">
        <v>0.84</v>
      </c>
    </row>
    <row r="3669" spans="1:10" ht="38" thickBot="1" x14ac:dyDescent="0.35">
      <c r="A3669" s="519" t="s">
        <v>2437</v>
      </c>
      <c r="B3669" s="520" t="s">
        <v>3771</v>
      </c>
      <c r="C3669" s="519" t="s">
        <v>32</v>
      </c>
      <c r="D3669" s="519" t="s">
        <v>3772</v>
      </c>
      <c r="E3669" s="905" t="s">
        <v>2446</v>
      </c>
      <c r="F3669" s="905"/>
      <c r="G3669" s="521" t="s">
        <v>89</v>
      </c>
      <c r="H3669" s="522">
        <v>5.6999999999999996E-6</v>
      </c>
      <c r="I3669" s="523">
        <v>563990.17000000004</v>
      </c>
      <c r="J3669" s="523">
        <v>3.21</v>
      </c>
    </row>
    <row r="3670" spans="1:10" ht="14.5" thickTop="1" x14ac:dyDescent="0.3">
      <c r="A3670" s="647"/>
      <c r="B3670" s="647"/>
      <c r="C3670" s="647"/>
      <c r="D3670" s="647"/>
      <c r="E3670" s="647"/>
      <c r="F3670" s="647"/>
      <c r="G3670" s="647"/>
      <c r="H3670" s="647"/>
      <c r="I3670" s="647"/>
      <c r="J3670"/>
    </row>
    <row r="3671" spans="1:10" x14ac:dyDescent="0.3">
      <c r="A3671" s="516"/>
      <c r="B3671" s="517" t="s">
        <v>15</v>
      </c>
      <c r="C3671" s="516" t="s">
        <v>16</v>
      </c>
      <c r="D3671" s="516" t="s">
        <v>17</v>
      </c>
      <c r="E3671" s="904" t="s">
        <v>2431</v>
      </c>
      <c r="F3671" s="904"/>
      <c r="G3671" s="518" t="s">
        <v>18</v>
      </c>
      <c r="H3671" s="517" t="s">
        <v>19</v>
      </c>
      <c r="I3671" s="517" t="s">
        <v>20</v>
      </c>
      <c r="J3671" s="517" t="s">
        <v>23</v>
      </c>
    </row>
    <row r="3672" spans="1:10" s="358" customFormat="1" ht="50" x14ac:dyDescent="0.3">
      <c r="A3672" s="642" t="s">
        <v>2432</v>
      </c>
      <c r="B3672" s="643" t="s">
        <v>3761</v>
      </c>
      <c r="C3672" s="642" t="s">
        <v>32</v>
      </c>
      <c r="D3672" s="642" t="s">
        <v>3762</v>
      </c>
      <c r="E3672" s="906" t="s">
        <v>2465</v>
      </c>
      <c r="F3672" s="906"/>
      <c r="G3672" s="644" t="s">
        <v>1901</v>
      </c>
      <c r="H3672" s="645">
        <v>1</v>
      </c>
      <c r="I3672" s="646">
        <v>10.029999999999999</v>
      </c>
      <c r="J3672" s="646">
        <v>10.029999999999999</v>
      </c>
    </row>
    <row r="3673" spans="1:10" ht="50" x14ac:dyDescent="0.3">
      <c r="A3673" s="519" t="s">
        <v>2437</v>
      </c>
      <c r="B3673" s="520" t="s">
        <v>3769</v>
      </c>
      <c r="C3673" s="519" t="s">
        <v>32</v>
      </c>
      <c r="D3673" s="519" t="s">
        <v>3770</v>
      </c>
      <c r="E3673" s="905" t="s">
        <v>2446</v>
      </c>
      <c r="F3673" s="905"/>
      <c r="G3673" s="521" t="s">
        <v>89</v>
      </c>
      <c r="H3673" s="522">
        <v>1.4399999999999999E-5</v>
      </c>
      <c r="I3673" s="523">
        <v>144875</v>
      </c>
      <c r="J3673" s="523">
        <v>2.08</v>
      </c>
    </row>
    <row r="3674" spans="1:10" s="358" customFormat="1" ht="38" thickBot="1" x14ac:dyDescent="0.35">
      <c r="A3674" s="519" t="s">
        <v>2437</v>
      </c>
      <c r="B3674" s="520" t="s">
        <v>3771</v>
      </c>
      <c r="C3674" s="519" t="s">
        <v>32</v>
      </c>
      <c r="D3674" s="519" t="s">
        <v>3772</v>
      </c>
      <c r="E3674" s="905" t="s">
        <v>2446</v>
      </c>
      <c r="F3674" s="905"/>
      <c r="G3674" s="521" t="s">
        <v>89</v>
      </c>
      <c r="H3674" s="522">
        <v>1.4100000000000001E-5</v>
      </c>
      <c r="I3674" s="523">
        <v>563990.17000000004</v>
      </c>
      <c r="J3674" s="523">
        <v>7.95</v>
      </c>
    </row>
    <row r="3675" spans="1:10" ht="14.5" thickTop="1" x14ac:dyDescent="0.3">
      <c r="A3675" s="647"/>
      <c r="B3675" s="647"/>
      <c r="C3675" s="647"/>
      <c r="D3675" s="647"/>
      <c r="E3675" s="647"/>
      <c r="F3675" s="647"/>
      <c r="G3675" s="647"/>
      <c r="H3675" s="647"/>
      <c r="I3675" s="647"/>
      <c r="J3675"/>
    </row>
    <row r="3676" spans="1:10" x14ac:dyDescent="0.3">
      <c r="A3676" s="516"/>
      <c r="B3676" s="517" t="s">
        <v>15</v>
      </c>
      <c r="C3676" s="516" t="s">
        <v>16</v>
      </c>
      <c r="D3676" s="516" t="s">
        <v>17</v>
      </c>
      <c r="E3676" s="904" t="s">
        <v>2431</v>
      </c>
      <c r="F3676" s="904"/>
      <c r="G3676" s="518" t="s">
        <v>18</v>
      </c>
      <c r="H3676" s="517" t="s">
        <v>19</v>
      </c>
      <c r="I3676" s="517" t="s">
        <v>20</v>
      </c>
      <c r="J3676" s="517" t="s">
        <v>23</v>
      </c>
    </row>
    <row r="3677" spans="1:10" s="358" customFormat="1" ht="50" x14ac:dyDescent="0.3">
      <c r="A3677" s="642" t="s">
        <v>2432</v>
      </c>
      <c r="B3677" s="643" t="s">
        <v>3765</v>
      </c>
      <c r="C3677" s="642" t="s">
        <v>32</v>
      </c>
      <c r="D3677" s="642" t="s">
        <v>3766</v>
      </c>
      <c r="E3677" s="906" t="s">
        <v>2465</v>
      </c>
      <c r="F3677" s="906"/>
      <c r="G3677" s="644" t="s">
        <v>1901</v>
      </c>
      <c r="H3677" s="645">
        <v>1</v>
      </c>
      <c r="I3677" s="646">
        <v>46.24</v>
      </c>
      <c r="J3677" s="646">
        <v>46.24</v>
      </c>
    </row>
    <row r="3678" spans="1:10" ht="50" x14ac:dyDescent="0.3">
      <c r="A3678" s="519" t="s">
        <v>2437</v>
      </c>
      <c r="B3678" s="520" t="s">
        <v>3769</v>
      </c>
      <c r="C3678" s="519" t="s">
        <v>32</v>
      </c>
      <c r="D3678" s="519" t="s">
        <v>3770</v>
      </c>
      <c r="E3678" s="905" t="s">
        <v>2446</v>
      </c>
      <c r="F3678" s="905"/>
      <c r="G3678" s="521" t="s">
        <v>89</v>
      </c>
      <c r="H3678" s="522">
        <v>6.8899999999999994E-5</v>
      </c>
      <c r="I3678" s="523">
        <v>144875</v>
      </c>
      <c r="J3678" s="523">
        <v>9.98</v>
      </c>
    </row>
    <row r="3679" spans="1:10" s="358" customFormat="1" ht="38" thickBot="1" x14ac:dyDescent="0.35">
      <c r="A3679" s="519" t="s">
        <v>2437</v>
      </c>
      <c r="B3679" s="520" t="s">
        <v>3771</v>
      </c>
      <c r="C3679" s="519" t="s">
        <v>32</v>
      </c>
      <c r="D3679" s="519" t="s">
        <v>3772</v>
      </c>
      <c r="E3679" s="905" t="s">
        <v>2446</v>
      </c>
      <c r="F3679" s="905"/>
      <c r="G3679" s="521" t="s">
        <v>89</v>
      </c>
      <c r="H3679" s="522">
        <v>6.4300000000000004E-5</v>
      </c>
      <c r="I3679" s="523">
        <v>563990.17000000004</v>
      </c>
      <c r="J3679" s="523">
        <v>36.26</v>
      </c>
    </row>
    <row r="3680" spans="1:10" ht="14.5" thickTop="1" x14ac:dyDescent="0.3">
      <c r="A3680" s="647"/>
      <c r="B3680" s="647"/>
      <c r="C3680" s="647"/>
      <c r="D3680" s="647"/>
      <c r="E3680" s="647"/>
      <c r="F3680" s="647"/>
      <c r="G3680" s="647"/>
      <c r="H3680" s="647"/>
      <c r="I3680" s="647"/>
      <c r="J3680"/>
    </row>
    <row r="3681" spans="1:10" x14ac:dyDescent="0.3">
      <c r="A3681" s="516"/>
      <c r="B3681" s="517" t="s">
        <v>15</v>
      </c>
      <c r="C3681" s="516" t="s">
        <v>16</v>
      </c>
      <c r="D3681" s="516" t="s">
        <v>17</v>
      </c>
      <c r="E3681" s="904" t="s">
        <v>2431</v>
      </c>
      <c r="F3681" s="904"/>
      <c r="G3681" s="518" t="s">
        <v>18</v>
      </c>
      <c r="H3681" s="517" t="s">
        <v>19</v>
      </c>
      <c r="I3681" s="517" t="s">
        <v>20</v>
      </c>
      <c r="J3681" s="517" t="s">
        <v>23</v>
      </c>
    </row>
    <row r="3682" spans="1:10" s="358" customFormat="1" ht="50" x14ac:dyDescent="0.3">
      <c r="A3682" s="642" t="s">
        <v>2432</v>
      </c>
      <c r="B3682" s="643" t="s">
        <v>3767</v>
      </c>
      <c r="C3682" s="642" t="s">
        <v>32</v>
      </c>
      <c r="D3682" s="642" t="s">
        <v>3768</v>
      </c>
      <c r="E3682" s="906" t="s">
        <v>2465</v>
      </c>
      <c r="F3682" s="906"/>
      <c r="G3682" s="644" t="s">
        <v>1901</v>
      </c>
      <c r="H3682" s="645">
        <v>1</v>
      </c>
      <c r="I3682" s="646">
        <v>142.9</v>
      </c>
      <c r="J3682" s="646">
        <v>142.9</v>
      </c>
    </row>
    <row r="3683" spans="1:10" ht="14.5" thickBot="1" x14ac:dyDescent="0.35">
      <c r="A3683" s="519" t="s">
        <v>2437</v>
      </c>
      <c r="B3683" s="520" t="s">
        <v>4485</v>
      </c>
      <c r="C3683" s="519" t="s">
        <v>125</v>
      </c>
      <c r="D3683" s="519" t="s">
        <v>4486</v>
      </c>
      <c r="E3683" s="905" t="s">
        <v>2442</v>
      </c>
      <c r="F3683" s="905"/>
      <c r="G3683" s="521" t="s">
        <v>2829</v>
      </c>
      <c r="H3683" s="522">
        <v>26.43</v>
      </c>
      <c r="I3683" s="523">
        <v>5.4069000000000003</v>
      </c>
      <c r="J3683" s="523">
        <v>142.9</v>
      </c>
    </row>
    <row r="3684" spans="1:10" s="358" customFormat="1" ht="14.5" thickTop="1" x14ac:dyDescent="0.3">
      <c r="A3684" s="647"/>
      <c r="B3684" s="647"/>
      <c r="C3684" s="647"/>
      <c r="D3684" s="647"/>
      <c r="E3684" s="647"/>
      <c r="F3684" s="647"/>
      <c r="G3684" s="647"/>
      <c r="H3684" s="647"/>
      <c r="I3684" s="647"/>
      <c r="J3684"/>
    </row>
    <row r="3685" spans="1:10" x14ac:dyDescent="0.3">
      <c r="A3685" s="516"/>
      <c r="B3685" s="517" t="s">
        <v>15</v>
      </c>
      <c r="C3685" s="516" t="s">
        <v>16</v>
      </c>
      <c r="D3685" s="516" t="s">
        <v>17</v>
      </c>
      <c r="E3685" s="904" t="s">
        <v>2431</v>
      </c>
      <c r="F3685" s="904"/>
      <c r="G3685" s="518" t="s">
        <v>18</v>
      </c>
      <c r="H3685" s="517" t="s">
        <v>19</v>
      </c>
      <c r="I3685" s="517" t="s">
        <v>20</v>
      </c>
      <c r="J3685" s="517" t="s">
        <v>23</v>
      </c>
    </row>
    <row r="3686" spans="1:10" ht="25.5" customHeight="1" x14ac:dyDescent="0.3">
      <c r="A3686" s="642" t="s">
        <v>2432</v>
      </c>
      <c r="B3686" s="643" t="s">
        <v>2725</v>
      </c>
      <c r="C3686" s="642" t="s">
        <v>32</v>
      </c>
      <c r="D3686" s="642" t="s">
        <v>4269</v>
      </c>
      <c r="E3686" s="906" t="s">
        <v>2661</v>
      </c>
      <c r="F3686" s="906"/>
      <c r="G3686" s="644" t="s">
        <v>89</v>
      </c>
      <c r="H3686" s="645">
        <v>1</v>
      </c>
      <c r="I3686" s="646">
        <v>73.819999999999993</v>
      </c>
      <c r="J3686" s="646">
        <v>73.819999999999993</v>
      </c>
    </row>
    <row r="3687" spans="1:10" s="358" customFormat="1" ht="25" x14ac:dyDescent="0.3">
      <c r="A3687" s="519" t="s">
        <v>2434</v>
      </c>
      <c r="B3687" s="520" t="s">
        <v>2857</v>
      </c>
      <c r="C3687" s="519" t="s">
        <v>32</v>
      </c>
      <c r="D3687" s="519" t="s">
        <v>2858</v>
      </c>
      <c r="E3687" s="905" t="s">
        <v>2433</v>
      </c>
      <c r="F3687" s="905"/>
      <c r="G3687" s="521" t="s">
        <v>1901</v>
      </c>
      <c r="H3687" s="522">
        <v>0.24840000000000001</v>
      </c>
      <c r="I3687" s="523">
        <v>24.65</v>
      </c>
      <c r="J3687" s="523">
        <v>6.12</v>
      </c>
    </row>
    <row r="3688" spans="1:10" ht="25" x14ac:dyDescent="0.3">
      <c r="A3688" s="519" t="s">
        <v>2434</v>
      </c>
      <c r="B3688" s="520" t="s">
        <v>2766</v>
      </c>
      <c r="C3688" s="519" t="s">
        <v>32</v>
      </c>
      <c r="D3688" s="519" t="s">
        <v>2767</v>
      </c>
      <c r="E3688" s="905" t="s">
        <v>2433</v>
      </c>
      <c r="F3688" s="905"/>
      <c r="G3688" s="521" t="s">
        <v>1901</v>
      </c>
      <c r="H3688" s="522">
        <v>0.24840000000000001</v>
      </c>
      <c r="I3688" s="523">
        <v>31.49</v>
      </c>
      <c r="J3688" s="523">
        <v>7.82</v>
      </c>
    </row>
    <row r="3689" spans="1:10" s="358" customFormat="1" ht="25.5" thickBot="1" x14ac:dyDescent="0.35">
      <c r="A3689" s="519" t="s">
        <v>2437</v>
      </c>
      <c r="B3689" s="520" t="s">
        <v>3773</v>
      </c>
      <c r="C3689" s="519" t="s">
        <v>32</v>
      </c>
      <c r="D3689" s="519" t="s">
        <v>4359</v>
      </c>
      <c r="E3689" s="905" t="s">
        <v>2442</v>
      </c>
      <c r="F3689" s="905"/>
      <c r="G3689" s="521" t="s">
        <v>89</v>
      </c>
      <c r="H3689" s="522">
        <v>1</v>
      </c>
      <c r="I3689" s="523">
        <v>59.88</v>
      </c>
      <c r="J3689" s="523">
        <v>59.88</v>
      </c>
    </row>
    <row r="3690" spans="1:10" ht="14.5" thickTop="1" x14ac:dyDescent="0.3">
      <c r="A3690" s="647"/>
      <c r="B3690" s="647"/>
      <c r="C3690" s="647"/>
      <c r="D3690" s="647"/>
      <c r="E3690" s="647"/>
      <c r="F3690" s="647"/>
      <c r="G3690" s="647"/>
      <c r="H3690" s="647"/>
      <c r="I3690" s="647"/>
      <c r="J3690"/>
    </row>
    <row r="3691" spans="1:10" x14ac:dyDescent="0.3">
      <c r="A3691" s="516"/>
      <c r="B3691" s="517" t="s">
        <v>15</v>
      </c>
      <c r="C3691" s="516" t="s">
        <v>16</v>
      </c>
      <c r="D3691" s="516" t="s">
        <v>17</v>
      </c>
      <c r="E3691" s="904" t="s">
        <v>2431</v>
      </c>
      <c r="F3691" s="904"/>
      <c r="G3691" s="518" t="s">
        <v>18</v>
      </c>
      <c r="H3691" s="517" t="s">
        <v>19</v>
      </c>
      <c r="I3691" s="517" t="s">
        <v>20</v>
      </c>
      <c r="J3691" s="517" t="s">
        <v>23</v>
      </c>
    </row>
    <row r="3692" spans="1:10" s="358" customFormat="1" ht="38.25" customHeight="1" x14ac:dyDescent="0.3">
      <c r="A3692" s="642" t="s">
        <v>2432</v>
      </c>
      <c r="B3692" s="643" t="s">
        <v>2703</v>
      </c>
      <c r="C3692" s="642" t="s">
        <v>32</v>
      </c>
      <c r="D3692" s="642" t="s">
        <v>4266</v>
      </c>
      <c r="E3692" s="906" t="s">
        <v>2661</v>
      </c>
      <c r="F3692" s="906"/>
      <c r="G3692" s="644" t="s">
        <v>89</v>
      </c>
      <c r="H3692" s="645">
        <v>1</v>
      </c>
      <c r="I3692" s="646">
        <v>58.26</v>
      </c>
      <c r="J3692" s="646">
        <v>58.26</v>
      </c>
    </row>
    <row r="3693" spans="1:10" ht="38.25" customHeight="1" x14ac:dyDescent="0.3">
      <c r="A3693" s="519" t="s">
        <v>2434</v>
      </c>
      <c r="B3693" s="520" t="s">
        <v>3774</v>
      </c>
      <c r="C3693" s="519" t="s">
        <v>32</v>
      </c>
      <c r="D3693" s="519" t="s">
        <v>4360</v>
      </c>
      <c r="E3693" s="905" t="s">
        <v>2661</v>
      </c>
      <c r="F3693" s="905"/>
      <c r="G3693" s="521" t="s">
        <v>89</v>
      </c>
      <c r="H3693" s="522">
        <v>1</v>
      </c>
      <c r="I3693" s="523">
        <v>12.69</v>
      </c>
      <c r="J3693" s="523">
        <v>12.69</v>
      </c>
    </row>
    <row r="3694" spans="1:10" s="358" customFormat="1" ht="39" customHeight="1" thickBot="1" x14ac:dyDescent="0.35">
      <c r="A3694" s="519" t="s">
        <v>2434</v>
      </c>
      <c r="B3694" s="520" t="s">
        <v>3775</v>
      </c>
      <c r="C3694" s="519" t="s">
        <v>32</v>
      </c>
      <c r="D3694" s="519" t="s">
        <v>4361</v>
      </c>
      <c r="E3694" s="905" t="s">
        <v>2661</v>
      </c>
      <c r="F3694" s="905"/>
      <c r="G3694" s="521" t="s">
        <v>89</v>
      </c>
      <c r="H3694" s="522">
        <v>1</v>
      </c>
      <c r="I3694" s="523">
        <v>45.57</v>
      </c>
      <c r="J3694" s="523">
        <v>45.57</v>
      </c>
    </row>
    <row r="3695" spans="1:10" ht="14.5" thickTop="1" x14ac:dyDescent="0.3">
      <c r="A3695" s="647"/>
      <c r="B3695" s="647"/>
      <c r="C3695" s="647"/>
      <c r="D3695" s="647"/>
      <c r="E3695" s="647"/>
      <c r="F3695" s="647"/>
      <c r="G3695" s="647"/>
      <c r="H3695" s="647"/>
      <c r="I3695" s="647"/>
      <c r="J3695"/>
    </row>
    <row r="3696" spans="1:10" s="358" customFormat="1" x14ac:dyDescent="0.3">
      <c r="A3696" s="516"/>
      <c r="B3696" s="517" t="s">
        <v>15</v>
      </c>
      <c r="C3696" s="516" t="s">
        <v>16</v>
      </c>
      <c r="D3696" s="516" t="s">
        <v>17</v>
      </c>
      <c r="E3696" s="904" t="s">
        <v>2431</v>
      </c>
      <c r="F3696" s="904"/>
      <c r="G3696" s="518" t="s">
        <v>18</v>
      </c>
      <c r="H3696" s="517" t="s">
        <v>19</v>
      </c>
      <c r="I3696" s="517" t="s">
        <v>20</v>
      </c>
      <c r="J3696" s="517" t="s">
        <v>23</v>
      </c>
    </row>
    <row r="3697" spans="1:10" ht="38.25" customHeight="1" x14ac:dyDescent="0.3">
      <c r="A3697" s="642" t="s">
        <v>2432</v>
      </c>
      <c r="B3697" s="643" t="s">
        <v>3775</v>
      </c>
      <c r="C3697" s="642" t="s">
        <v>32</v>
      </c>
      <c r="D3697" s="642" t="s">
        <v>4361</v>
      </c>
      <c r="E3697" s="906" t="s">
        <v>2661</v>
      </c>
      <c r="F3697" s="906"/>
      <c r="G3697" s="644" t="s">
        <v>89</v>
      </c>
      <c r="H3697" s="645">
        <v>1</v>
      </c>
      <c r="I3697" s="646">
        <v>45.57</v>
      </c>
      <c r="J3697" s="646">
        <v>45.57</v>
      </c>
    </row>
    <row r="3698" spans="1:10" s="358" customFormat="1" ht="25.5" customHeight="1" x14ac:dyDescent="0.3">
      <c r="A3698" s="519" t="s">
        <v>2434</v>
      </c>
      <c r="B3698" s="520" t="s">
        <v>2857</v>
      </c>
      <c r="C3698" s="519" t="s">
        <v>32</v>
      </c>
      <c r="D3698" s="519" t="s">
        <v>2858</v>
      </c>
      <c r="E3698" s="905" t="s">
        <v>2433</v>
      </c>
      <c r="F3698" s="905"/>
      <c r="G3698" s="521" t="s">
        <v>1901</v>
      </c>
      <c r="H3698" s="522">
        <v>0.48599999999999999</v>
      </c>
      <c r="I3698" s="523">
        <v>24.65</v>
      </c>
      <c r="J3698" s="523">
        <v>11.97</v>
      </c>
    </row>
    <row r="3699" spans="1:10" ht="25" x14ac:dyDescent="0.3">
      <c r="A3699" s="519" t="s">
        <v>2434</v>
      </c>
      <c r="B3699" s="520" t="s">
        <v>2766</v>
      </c>
      <c r="C3699" s="519" t="s">
        <v>32</v>
      </c>
      <c r="D3699" s="519" t="s">
        <v>2767</v>
      </c>
      <c r="E3699" s="905" t="s">
        <v>2433</v>
      </c>
      <c r="F3699" s="905"/>
      <c r="G3699" s="521" t="s">
        <v>1901</v>
      </c>
      <c r="H3699" s="522">
        <v>0.48599999999999999</v>
      </c>
      <c r="I3699" s="523">
        <v>31.49</v>
      </c>
      <c r="J3699" s="523">
        <v>15.3</v>
      </c>
    </row>
    <row r="3700" spans="1:10" x14ac:dyDescent="0.3">
      <c r="A3700" s="519" t="s">
        <v>2437</v>
      </c>
      <c r="B3700" s="520" t="s">
        <v>3776</v>
      </c>
      <c r="C3700" s="519" t="s">
        <v>32</v>
      </c>
      <c r="D3700" s="519" t="s">
        <v>3777</v>
      </c>
      <c r="E3700" s="905" t="s">
        <v>2442</v>
      </c>
      <c r="F3700" s="905"/>
      <c r="G3700" s="521" t="s">
        <v>89</v>
      </c>
      <c r="H3700" s="522">
        <v>1</v>
      </c>
      <c r="I3700" s="523">
        <v>9.74</v>
      </c>
      <c r="J3700" s="523">
        <v>9.74</v>
      </c>
    </row>
    <row r="3701" spans="1:10" ht="14.5" thickBot="1" x14ac:dyDescent="0.35">
      <c r="A3701" s="519" t="s">
        <v>2437</v>
      </c>
      <c r="B3701" s="520" t="s">
        <v>3778</v>
      </c>
      <c r="C3701" s="519" t="s">
        <v>32</v>
      </c>
      <c r="D3701" s="519" t="s">
        <v>3779</v>
      </c>
      <c r="E3701" s="905" t="s">
        <v>2442</v>
      </c>
      <c r="F3701" s="905"/>
      <c r="G3701" s="521" t="s">
        <v>89</v>
      </c>
      <c r="H3701" s="522">
        <v>1</v>
      </c>
      <c r="I3701" s="523">
        <v>8.56</v>
      </c>
      <c r="J3701" s="523">
        <v>8.56</v>
      </c>
    </row>
    <row r="3702" spans="1:10" s="358" customFormat="1" ht="14.5" thickTop="1" x14ac:dyDescent="0.3">
      <c r="A3702" s="647"/>
      <c r="B3702" s="647"/>
      <c r="C3702" s="647"/>
      <c r="D3702" s="647"/>
      <c r="E3702" s="647"/>
      <c r="F3702" s="647"/>
      <c r="G3702" s="647"/>
      <c r="H3702" s="647"/>
      <c r="I3702" s="647"/>
      <c r="J3702"/>
    </row>
    <row r="3703" spans="1:10" x14ac:dyDescent="0.3">
      <c r="A3703" s="516"/>
      <c r="B3703" s="517" t="s">
        <v>15</v>
      </c>
      <c r="C3703" s="516" t="s">
        <v>16</v>
      </c>
      <c r="D3703" s="516" t="s">
        <v>17</v>
      </c>
      <c r="E3703" s="904" t="s">
        <v>2431</v>
      </c>
      <c r="F3703" s="904"/>
      <c r="G3703" s="518" t="s">
        <v>18</v>
      </c>
      <c r="H3703" s="517" t="s">
        <v>19</v>
      </c>
      <c r="I3703" s="517" t="s">
        <v>20</v>
      </c>
      <c r="J3703" s="517" t="s">
        <v>23</v>
      </c>
    </row>
    <row r="3704" spans="1:10" s="358" customFormat="1" ht="38.25" customHeight="1" x14ac:dyDescent="0.3">
      <c r="A3704" s="642" t="s">
        <v>2432</v>
      </c>
      <c r="B3704" s="643" t="s">
        <v>2673</v>
      </c>
      <c r="C3704" s="642" t="s">
        <v>32</v>
      </c>
      <c r="D3704" s="642" t="s">
        <v>4263</v>
      </c>
      <c r="E3704" s="906" t="s">
        <v>2661</v>
      </c>
      <c r="F3704" s="906"/>
      <c r="G3704" s="644" t="s">
        <v>89</v>
      </c>
      <c r="H3704" s="645">
        <v>1</v>
      </c>
      <c r="I3704" s="646">
        <v>76.37</v>
      </c>
      <c r="J3704" s="646">
        <v>76.37</v>
      </c>
    </row>
    <row r="3705" spans="1:10" ht="38.25" customHeight="1" x14ac:dyDescent="0.3">
      <c r="A3705" s="519" t="s">
        <v>2434</v>
      </c>
      <c r="B3705" s="520" t="s">
        <v>3774</v>
      </c>
      <c r="C3705" s="519" t="s">
        <v>32</v>
      </c>
      <c r="D3705" s="519" t="s">
        <v>4360</v>
      </c>
      <c r="E3705" s="905" t="s">
        <v>2661</v>
      </c>
      <c r="F3705" s="905"/>
      <c r="G3705" s="521" t="s">
        <v>89</v>
      </c>
      <c r="H3705" s="522">
        <v>1</v>
      </c>
      <c r="I3705" s="523">
        <v>12.69</v>
      </c>
      <c r="J3705" s="523">
        <v>12.69</v>
      </c>
    </row>
    <row r="3706" spans="1:10" ht="39" customHeight="1" thickBot="1" x14ac:dyDescent="0.35">
      <c r="A3706" s="519" t="s">
        <v>2434</v>
      </c>
      <c r="B3706" s="520" t="s">
        <v>3780</v>
      </c>
      <c r="C3706" s="519" t="s">
        <v>32</v>
      </c>
      <c r="D3706" s="519" t="s">
        <v>4362</v>
      </c>
      <c r="E3706" s="905" t="s">
        <v>2661</v>
      </c>
      <c r="F3706" s="905"/>
      <c r="G3706" s="521" t="s">
        <v>89</v>
      </c>
      <c r="H3706" s="522">
        <v>1</v>
      </c>
      <c r="I3706" s="523">
        <v>63.68</v>
      </c>
      <c r="J3706" s="523">
        <v>63.68</v>
      </c>
    </row>
    <row r="3707" spans="1:10" s="358" customFormat="1" ht="14.5" thickTop="1" x14ac:dyDescent="0.3">
      <c r="A3707" s="647"/>
      <c r="B3707" s="647"/>
      <c r="C3707" s="647"/>
      <c r="D3707" s="647"/>
      <c r="E3707" s="647"/>
      <c r="F3707" s="647"/>
      <c r="G3707" s="647"/>
      <c r="H3707" s="647"/>
      <c r="I3707" s="647"/>
      <c r="J3707"/>
    </row>
    <row r="3708" spans="1:10" x14ac:dyDescent="0.3">
      <c r="A3708" s="516"/>
      <c r="B3708" s="517" t="s">
        <v>15</v>
      </c>
      <c r="C3708" s="516" t="s">
        <v>16</v>
      </c>
      <c r="D3708" s="516" t="s">
        <v>17</v>
      </c>
      <c r="E3708" s="904" t="s">
        <v>2431</v>
      </c>
      <c r="F3708" s="904"/>
      <c r="G3708" s="518" t="s">
        <v>18</v>
      </c>
      <c r="H3708" s="517" t="s">
        <v>19</v>
      </c>
      <c r="I3708" s="517" t="s">
        <v>20</v>
      </c>
      <c r="J3708" s="517" t="s">
        <v>23</v>
      </c>
    </row>
    <row r="3709" spans="1:10" s="358" customFormat="1" ht="38.25" customHeight="1" x14ac:dyDescent="0.3">
      <c r="A3709" s="642" t="s">
        <v>2432</v>
      </c>
      <c r="B3709" s="643" t="s">
        <v>3780</v>
      </c>
      <c r="C3709" s="642" t="s">
        <v>32</v>
      </c>
      <c r="D3709" s="642" t="s">
        <v>4362</v>
      </c>
      <c r="E3709" s="906" t="s">
        <v>2661</v>
      </c>
      <c r="F3709" s="906"/>
      <c r="G3709" s="644" t="s">
        <v>89</v>
      </c>
      <c r="H3709" s="645">
        <v>1</v>
      </c>
      <c r="I3709" s="646">
        <v>63.68</v>
      </c>
      <c r="J3709" s="646">
        <v>63.68</v>
      </c>
    </row>
    <row r="3710" spans="1:10" ht="25" x14ac:dyDescent="0.3">
      <c r="A3710" s="519" t="s">
        <v>2434</v>
      </c>
      <c r="B3710" s="520" t="s">
        <v>2857</v>
      </c>
      <c r="C3710" s="519" t="s">
        <v>32</v>
      </c>
      <c r="D3710" s="519" t="s">
        <v>2858</v>
      </c>
      <c r="E3710" s="905" t="s">
        <v>2433</v>
      </c>
      <c r="F3710" s="905"/>
      <c r="G3710" s="521" t="s">
        <v>1901</v>
      </c>
      <c r="H3710" s="522">
        <v>0.65600000000000003</v>
      </c>
      <c r="I3710" s="523">
        <v>24.65</v>
      </c>
      <c r="J3710" s="523">
        <v>16.170000000000002</v>
      </c>
    </row>
    <row r="3711" spans="1:10" ht="25" x14ac:dyDescent="0.3">
      <c r="A3711" s="519" t="s">
        <v>2434</v>
      </c>
      <c r="B3711" s="520" t="s">
        <v>2766</v>
      </c>
      <c r="C3711" s="519" t="s">
        <v>32</v>
      </c>
      <c r="D3711" s="519" t="s">
        <v>2767</v>
      </c>
      <c r="E3711" s="905" t="s">
        <v>2433</v>
      </c>
      <c r="F3711" s="905"/>
      <c r="G3711" s="521" t="s">
        <v>1901</v>
      </c>
      <c r="H3711" s="522">
        <v>0.65600000000000003</v>
      </c>
      <c r="I3711" s="523">
        <v>31.49</v>
      </c>
      <c r="J3711" s="523">
        <v>20.65</v>
      </c>
    </row>
    <row r="3712" spans="1:10" x14ac:dyDescent="0.3">
      <c r="A3712" s="519" t="s">
        <v>2437</v>
      </c>
      <c r="B3712" s="520" t="s">
        <v>3776</v>
      </c>
      <c r="C3712" s="519" t="s">
        <v>32</v>
      </c>
      <c r="D3712" s="519" t="s">
        <v>3777</v>
      </c>
      <c r="E3712" s="905" t="s">
        <v>2442</v>
      </c>
      <c r="F3712" s="905"/>
      <c r="G3712" s="521" t="s">
        <v>89</v>
      </c>
      <c r="H3712" s="522">
        <v>1</v>
      </c>
      <c r="I3712" s="523">
        <v>9.74</v>
      </c>
      <c r="J3712" s="523">
        <v>9.74</v>
      </c>
    </row>
    <row r="3713" spans="1:10" ht="14.5" thickBot="1" x14ac:dyDescent="0.35">
      <c r="A3713" s="519" t="s">
        <v>2437</v>
      </c>
      <c r="B3713" s="520" t="s">
        <v>3778</v>
      </c>
      <c r="C3713" s="519" t="s">
        <v>32</v>
      </c>
      <c r="D3713" s="519" t="s">
        <v>3779</v>
      </c>
      <c r="E3713" s="905" t="s">
        <v>2442</v>
      </c>
      <c r="F3713" s="905"/>
      <c r="G3713" s="521" t="s">
        <v>89</v>
      </c>
      <c r="H3713" s="522">
        <v>2</v>
      </c>
      <c r="I3713" s="523">
        <v>8.56</v>
      </c>
      <c r="J3713" s="523">
        <v>17.12</v>
      </c>
    </row>
    <row r="3714" spans="1:10" s="358" customFormat="1" ht="14.5" thickTop="1" x14ac:dyDescent="0.3">
      <c r="A3714" s="647"/>
      <c r="B3714" s="647"/>
      <c r="C3714" s="647"/>
      <c r="D3714" s="647"/>
      <c r="E3714" s="647"/>
      <c r="F3714" s="647"/>
      <c r="G3714" s="647"/>
      <c r="H3714" s="647"/>
      <c r="I3714" s="647"/>
      <c r="J3714"/>
    </row>
    <row r="3715" spans="1:10" x14ac:dyDescent="0.3">
      <c r="A3715" s="516"/>
      <c r="B3715" s="517" t="s">
        <v>15</v>
      </c>
      <c r="C3715" s="516" t="s">
        <v>16</v>
      </c>
      <c r="D3715" s="516" t="s">
        <v>17</v>
      </c>
      <c r="E3715" s="904" t="s">
        <v>2431</v>
      </c>
      <c r="F3715" s="904"/>
      <c r="G3715" s="518" t="s">
        <v>18</v>
      </c>
      <c r="H3715" s="517" t="s">
        <v>19</v>
      </c>
      <c r="I3715" s="517" t="s">
        <v>20</v>
      </c>
      <c r="J3715" s="517" t="s">
        <v>23</v>
      </c>
    </row>
    <row r="3716" spans="1:10" s="358" customFormat="1" ht="38.25" customHeight="1" x14ac:dyDescent="0.3">
      <c r="A3716" s="642" t="s">
        <v>2432</v>
      </c>
      <c r="B3716" s="643" t="s">
        <v>2732</v>
      </c>
      <c r="C3716" s="642" t="s">
        <v>32</v>
      </c>
      <c r="D3716" s="642" t="s">
        <v>4270</v>
      </c>
      <c r="E3716" s="906" t="s">
        <v>2661</v>
      </c>
      <c r="F3716" s="906"/>
      <c r="G3716" s="644" t="s">
        <v>89</v>
      </c>
      <c r="H3716" s="645">
        <v>1</v>
      </c>
      <c r="I3716" s="646">
        <v>52.36</v>
      </c>
      <c r="J3716" s="646">
        <v>52.36</v>
      </c>
    </row>
    <row r="3717" spans="1:10" ht="38.25" customHeight="1" x14ac:dyDescent="0.3">
      <c r="A3717" s="519" t="s">
        <v>2434</v>
      </c>
      <c r="B3717" s="520" t="s">
        <v>3774</v>
      </c>
      <c r="C3717" s="519" t="s">
        <v>32</v>
      </c>
      <c r="D3717" s="519" t="s">
        <v>4360</v>
      </c>
      <c r="E3717" s="905" t="s">
        <v>2661</v>
      </c>
      <c r="F3717" s="905"/>
      <c r="G3717" s="521" t="s">
        <v>89</v>
      </c>
      <c r="H3717" s="522">
        <v>1</v>
      </c>
      <c r="I3717" s="523">
        <v>12.69</v>
      </c>
      <c r="J3717" s="523">
        <v>12.69</v>
      </c>
    </row>
    <row r="3718" spans="1:10" ht="39" customHeight="1" thickBot="1" x14ac:dyDescent="0.35">
      <c r="A3718" s="519" t="s">
        <v>2434</v>
      </c>
      <c r="B3718" s="520" t="s">
        <v>3781</v>
      </c>
      <c r="C3718" s="519" t="s">
        <v>32</v>
      </c>
      <c r="D3718" s="519" t="s">
        <v>4363</v>
      </c>
      <c r="E3718" s="905" t="s">
        <v>2661</v>
      </c>
      <c r="F3718" s="905"/>
      <c r="G3718" s="521" t="s">
        <v>89</v>
      </c>
      <c r="H3718" s="522">
        <v>1</v>
      </c>
      <c r="I3718" s="523">
        <v>39.67</v>
      </c>
      <c r="J3718" s="523">
        <v>39.67</v>
      </c>
    </row>
    <row r="3719" spans="1:10" s="358" customFormat="1" ht="14.5" thickTop="1" x14ac:dyDescent="0.3">
      <c r="A3719" s="647"/>
      <c r="B3719" s="647"/>
      <c r="C3719" s="647"/>
      <c r="D3719" s="647"/>
      <c r="E3719" s="647"/>
      <c r="F3719" s="647"/>
      <c r="G3719" s="647"/>
      <c r="H3719" s="647"/>
      <c r="I3719" s="647"/>
      <c r="J3719"/>
    </row>
    <row r="3720" spans="1:10" x14ac:dyDescent="0.3">
      <c r="A3720" s="516"/>
      <c r="B3720" s="517" t="s">
        <v>15</v>
      </c>
      <c r="C3720" s="516" t="s">
        <v>16</v>
      </c>
      <c r="D3720" s="516" t="s">
        <v>17</v>
      </c>
      <c r="E3720" s="904" t="s">
        <v>2431</v>
      </c>
      <c r="F3720" s="904"/>
      <c r="G3720" s="518" t="s">
        <v>18</v>
      </c>
      <c r="H3720" s="517" t="s">
        <v>19</v>
      </c>
      <c r="I3720" s="517" t="s">
        <v>20</v>
      </c>
      <c r="J3720" s="517" t="s">
        <v>23</v>
      </c>
    </row>
    <row r="3721" spans="1:10" s="358" customFormat="1" ht="38.25" customHeight="1" x14ac:dyDescent="0.3">
      <c r="A3721" s="642" t="s">
        <v>2432</v>
      </c>
      <c r="B3721" s="643" t="s">
        <v>3781</v>
      </c>
      <c r="C3721" s="642" t="s">
        <v>32</v>
      </c>
      <c r="D3721" s="642" t="s">
        <v>4363</v>
      </c>
      <c r="E3721" s="906" t="s">
        <v>2661</v>
      </c>
      <c r="F3721" s="906"/>
      <c r="G3721" s="644" t="s">
        <v>89</v>
      </c>
      <c r="H3721" s="645">
        <v>1</v>
      </c>
      <c r="I3721" s="646">
        <v>39.67</v>
      </c>
      <c r="J3721" s="646">
        <v>39.67</v>
      </c>
    </row>
    <row r="3722" spans="1:10" ht="25" x14ac:dyDescent="0.3">
      <c r="A3722" s="519" t="s">
        <v>2434</v>
      </c>
      <c r="B3722" s="520" t="s">
        <v>2857</v>
      </c>
      <c r="C3722" s="519" t="s">
        <v>32</v>
      </c>
      <c r="D3722" s="519" t="s">
        <v>2858</v>
      </c>
      <c r="E3722" s="905" t="s">
        <v>2433</v>
      </c>
      <c r="F3722" s="905"/>
      <c r="G3722" s="521" t="s">
        <v>1901</v>
      </c>
      <c r="H3722" s="522">
        <v>0.40200000000000002</v>
      </c>
      <c r="I3722" s="523">
        <v>24.65</v>
      </c>
      <c r="J3722" s="523">
        <v>9.9</v>
      </c>
    </row>
    <row r="3723" spans="1:10" ht="25" x14ac:dyDescent="0.3">
      <c r="A3723" s="519" t="s">
        <v>2434</v>
      </c>
      <c r="B3723" s="520" t="s">
        <v>2766</v>
      </c>
      <c r="C3723" s="519" t="s">
        <v>32</v>
      </c>
      <c r="D3723" s="519" t="s">
        <v>2767</v>
      </c>
      <c r="E3723" s="905" t="s">
        <v>2433</v>
      </c>
      <c r="F3723" s="905"/>
      <c r="G3723" s="521" t="s">
        <v>1901</v>
      </c>
      <c r="H3723" s="522">
        <v>0.40200000000000002</v>
      </c>
      <c r="I3723" s="523">
        <v>31.49</v>
      </c>
      <c r="J3723" s="523">
        <v>12.65</v>
      </c>
    </row>
    <row r="3724" spans="1:10" ht="14.5" thickBot="1" x14ac:dyDescent="0.35">
      <c r="A3724" s="519" t="s">
        <v>2437</v>
      </c>
      <c r="B3724" s="520" t="s">
        <v>3778</v>
      </c>
      <c r="C3724" s="519" t="s">
        <v>32</v>
      </c>
      <c r="D3724" s="519" t="s">
        <v>3779</v>
      </c>
      <c r="E3724" s="905" t="s">
        <v>2442</v>
      </c>
      <c r="F3724" s="905"/>
      <c r="G3724" s="521" t="s">
        <v>89</v>
      </c>
      <c r="H3724" s="522">
        <v>2</v>
      </c>
      <c r="I3724" s="523">
        <v>8.56</v>
      </c>
      <c r="J3724" s="523">
        <v>17.12</v>
      </c>
    </row>
    <row r="3725" spans="1:10" ht="14.5" thickTop="1" x14ac:dyDescent="0.3">
      <c r="A3725" s="647"/>
      <c r="B3725" s="647"/>
      <c r="C3725" s="647"/>
      <c r="D3725" s="647"/>
      <c r="E3725" s="647"/>
      <c r="F3725" s="647"/>
      <c r="G3725" s="647"/>
      <c r="H3725" s="647"/>
      <c r="I3725" s="647"/>
      <c r="J3725"/>
    </row>
    <row r="3726" spans="1:10" s="358" customFormat="1" x14ac:dyDescent="0.3">
      <c r="A3726" s="516"/>
      <c r="B3726" s="517" t="s">
        <v>15</v>
      </c>
      <c r="C3726" s="516" t="s">
        <v>16</v>
      </c>
      <c r="D3726" s="516" t="s">
        <v>17</v>
      </c>
      <c r="E3726" s="904" t="s">
        <v>2431</v>
      </c>
      <c r="F3726" s="904"/>
      <c r="G3726" s="518" t="s">
        <v>18</v>
      </c>
      <c r="H3726" s="517" t="s">
        <v>19</v>
      </c>
      <c r="I3726" s="517" t="s">
        <v>20</v>
      </c>
      <c r="J3726" s="517" t="s">
        <v>23</v>
      </c>
    </row>
    <row r="3727" spans="1:10" ht="50" x14ac:dyDescent="0.3">
      <c r="A3727" s="642" t="s">
        <v>2432</v>
      </c>
      <c r="B3727" s="643" t="s">
        <v>2709</v>
      </c>
      <c r="C3727" s="642" t="s">
        <v>32</v>
      </c>
      <c r="D3727" s="642" t="s">
        <v>2710</v>
      </c>
      <c r="E3727" s="906" t="s">
        <v>2641</v>
      </c>
      <c r="F3727" s="906"/>
      <c r="G3727" s="644" t="s">
        <v>115</v>
      </c>
      <c r="H3727" s="645">
        <v>1</v>
      </c>
      <c r="I3727" s="646">
        <v>717.44</v>
      </c>
      <c r="J3727" s="646">
        <v>717.44</v>
      </c>
    </row>
    <row r="3728" spans="1:10" s="358" customFormat="1" ht="25.5" customHeight="1" x14ac:dyDescent="0.3">
      <c r="A3728" s="519" t="s">
        <v>2434</v>
      </c>
      <c r="B3728" s="520" t="s">
        <v>2757</v>
      </c>
      <c r="C3728" s="519" t="s">
        <v>32</v>
      </c>
      <c r="D3728" s="519" t="s">
        <v>2758</v>
      </c>
      <c r="E3728" s="905" t="s">
        <v>2433</v>
      </c>
      <c r="F3728" s="905"/>
      <c r="G3728" s="521" t="s">
        <v>1901</v>
      </c>
      <c r="H3728" s="522">
        <v>5.0978640000000004</v>
      </c>
      <c r="I3728" s="523">
        <v>31.1</v>
      </c>
      <c r="J3728" s="523">
        <v>158.54</v>
      </c>
    </row>
    <row r="3729" spans="1:10" ht="38.25" customHeight="1" x14ac:dyDescent="0.3">
      <c r="A3729" s="519" t="s">
        <v>2434</v>
      </c>
      <c r="B3729" s="520" t="s">
        <v>2561</v>
      </c>
      <c r="C3729" s="519" t="s">
        <v>32</v>
      </c>
      <c r="D3729" s="519" t="s">
        <v>2562</v>
      </c>
      <c r="E3729" s="905" t="s">
        <v>2433</v>
      </c>
      <c r="F3729" s="905"/>
      <c r="G3729" s="521" t="s">
        <v>1901</v>
      </c>
      <c r="H3729" s="522">
        <v>2.5489320000000002</v>
      </c>
      <c r="I3729" s="523">
        <v>23.4</v>
      </c>
      <c r="J3729" s="523">
        <v>59.64</v>
      </c>
    </row>
    <row r="3730" spans="1:10" ht="26.25" customHeight="1" x14ac:dyDescent="0.3">
      <c r="A3730" s="519" t="s">
        <v>2434</v>
      </c>
      <c r="B3730" s="520" t="s">
        <v>3009</v>
      </c>
      <c r="C3730" s="519" t="s">
        <v>32</v>
      </c>
      <c r="D3730" s="519" t="s">
        <v>3010</v>
      </c>
      <c r="E3730" s="905" t="s">
        <v>2433</v>
      </c>
      <c r="F3730" s="905"/>
      <c r="G3730" s="521" t="s">
        <v>118</v>
      </c>
      <c r="H3730" s="522">
        <v>2.1000000000000001E-2</v>
      </c>
      <c r="I3730" s="523">
        <v>634.08000000000004</v>
      </c>
      <c r="J3730" s="523">
        <v>13.31</v>
      </c>
    </row>
    <row r="3731" spans="1:10" s="358" customFormat="1" ht="25.5" thickBot="1" x14ac:dyDescent="0.35">
      <c r="A3731" s="519" t="s">
        <v>2437</v>
      </c>
      <c r="B3731" s="520" t="s">
        <v>3782</v>
      </c>
      <c r="C3731" s="519" t="s">
        <v>32</v>
      </c>
      <c r="D3731" s="519" t="s">
        <v>3783</v>
      </c>
      <c r="E3731" s="905" t="s">
        <v>2442</v>
      </c>
      <c r="F3731" s="905"/>
      <c r="G3731" s="521" t="s">
        <v>89</v>
      </c>
      <c r="H3731" s="522">
        <v>2.778</v>
      </c>
      <c r="I3731" s="523">
        <v>174.93</v>
      </c>
      <c r="J3731" s="523">
        <v>485.95</v>
      </c>
    </row>
    <row r="3732" spans="1:10" ht="14.5" thickTop="1" x14ac:dyDescent="0.3">
      <c r="A3732" s="647"/>
      <c r="B3732" s="647"/>
      <c r="C3732" s="647"/>
      <c r="D3732" s="647"/>
      <c r="E3732" s="647"/>
      <c r="F3732" s="647"/>
      <c r="G3732" s="647"/>
      <c r="H3732" s="647"/>
      <c r="I3732" s="647"/>
      <c r="J3732"/>
    </row>
    <row r="3733" spans="1:10" s="358" customFormat="1" ht="25.5" customHeight="1" x14ac:dyDescent="0.3">
      <c r="A3733" s="516"/>
      <c r="B3733" s="517" t="s">
        <v>15</v>
      </c>
      <c r="C3733" s="516" t="s">
        <v>16</v>
      </c>
      <c r="D3733" s="516" t="s">
        <v>17</v>
      </c>
      <c r="E3733" s="904" t="s">
        <v>2431</v>
      </c>
      <c r="F3733" s="904"/>
      <c r="G3733" s="518" t="s">
        <v>18</v>
      </c>
      <c r="H3733" s="517" t="s">
        <v>19</v>
      </c>
      <c r="I3733" s="517" t="s">
        <v>20</v>
      </c>
      <c r="J3733" s="517" t="s">
        <v>23</v>
      </c>
    </row>
    <row r="3734" spans="1:10" ht="62.5" x14ac:dyDescent="0.3">
      <c r="A3734" s="642" t="s">
        <v>2432</v>
      </c>
      <c r="B3734" s="643" t="s">
        <v>2657</v>
      </c>
      <c r="C3734" s="642" t="s">
        <v>32</v>
      </c>
      <c r="D3734" s="642" t="s">
        <v>2658</v>
      </c>
      <c r="E3734" s="906" t="s">
        <v>2641</v>
      </c>
      <c r="F3734" s="906"/>
      <c r="G3734" s="644" t="s">
        <v>115</v>
      </c>
      <c r="H3734" s="645">
        <v>1</v>
      </c>
      <c r="I3734" s="646">
        <v>793.12</v>
      </c>
      <c r="J3734" s="646">
        <v>793.12</v>
      </c>
    </row>
    <row r="3735" spans="1:10" ht="25" x14ac:dyDescent="0.3">
      <c r="A3735" s="519" t="s">
        <v>2434</v>
      </c>
      <c r="B3735" s="520" t="s">
        <v>3018</v>
      </c>
      <c r="C3735" s="519" t="s">
        <v>32</v>
      </c>
      <c r="D3735" s="519" t="s">
        <v>3019</v>
      </c>
      <c r="E3735" s="905" t="s">
        <v>2433</v>
      </c>
      <c r="F3735" s="905"/>
      <c r="G3735" s="521" t="s">
        <v>1901</v>
      </c>
      <c r="H3735" s="522">
        <v>1.8444506000000001</v>
      </c>
      <c r="I3735" s="523">
        <v>29.49</v>
      </c>
      <c r="J3735" s="523">
        <v>54.39</v>
      </c>
    </row>
    <row r="3736" spans="1:10" ht="25" x14ac:dyDescent="0.3">
      <c r="A3736" s="519" t="s">
        <v>2434</v>
      </c>
      <c r="B3736" s="520" t="s">
        <v>2561</v>
      </c>
      <c r="C3736" s="519" t="s">
        <v>32</v>
      </c>
      <c r="D3736" s="519" t="s">
        <v>2562</v>
      </c>
      <c r="E3736" s="905" t="s">
        <v>2433</v>
      </c>
      <c r="F3736" s="905"/>
      <c r="G3736" s="521" t="s">
        <v>1901</v>
      </c>
      <c r="H3736" s="522">
        <v>0.92222530000000003</v>
      </c>
      <c r="I3736" s="523">
        <v>23.4</v>
      </c>
      <c r="J3736" s="523">
        <v>21.58</v>
      </c>
    </row>
    <row r="3737" spans="1:10" s="358" customFormat="1" ht="62.5" x14ac:dyDescent="0.3">
      <c r="A3737" s="519" t="s">
        <v>2437</v>
      </c>
      <c r="B3737" s="520" t="s">
        <v>3787</v>
      </c>
      <c r="C3737" s="519" t="s">
        <v>32</v>
      </c>
      <c r="D3737" s="519" t="s">
        <v>3788</v>
      </c>
      <c r="E3737" s="905" t="s">
        <v>2442</v>
      </c>
      <c r="F3737" s="905"/>
      <c r="G3737" s="521" t="s">
        <v>115</v>
      </c>
      <c r="H3737" s="522">
        <v>1</v>
      </c>
      <c r="I3737" s="523">
        <v>667.8</v>
      </c>
      <c r="J3737" s="523">
        <v>667.8</v>
      </c>
    </row>
    <row r="3738" spans="1:10" ht="37.5" x14ac:dyDescent="0.3">
      <c r="A3738" s="519" t="s">
        <v>2437</v>
      </c>
      <c r="B3738" s="520" t="s">
        <v>3789</v>
      </c>
      <c r="C3738" s="519" t="s">
        <v>32</v>
      </c>
      <c r="D3738" s="519" t="s">
        <v>4364</v>
      </c>
      <c r="E3738" s="905" t="s">
        <v>2442</v>
      </c>
      <c r="F3738" s="905"/>
      <c r="G3738" s="521" t="s">
        <v>194</v>
      </c>
      <c r="H3738" s="522">
        <v>1.7258</v>
      </c>
      <c r="I3738" s="523">
        <v>12.97</v>
      </c>
      <c r="J3738" s="523">
        <v>22.38</v>
      </c>
    </row>
    <row r="3739" spans="1:10" s="358" customFormat="1" x14ac:dyDescent="0.3">
      <c r="A3739" s="519" t="s">
        <v>2437</v>
      </c>
      <c r="B3739" s="520" t="s">
        <v>4537</v>
      </c>
      <c r="C3739" s="519" t="s">
        <v>32</v>
      </c>
      <c r="D3739" s="519" t="s">
        <v>4538</v>
      </c>
      <c r="E3739" s="905" t="s">
        <v>2442</v>
      </c>
      <c r="F3739" s="905"/>
      <c r="G3739" s="521" t="s">
        <v>89</v>
      </c>
      <c r="H3739" s="522">
        <v>0.22</v>
      </c>
      <c r="I3739" s="523">
        <v>26.91</v>
      </c>
      <c r="J3739" s="523">
        <v>5.92</v>
      </c>
    </row>
    <row r="3740" spans="1:10" ht="14.5" thickBot="1" x14ac:dyDescent="0.35">
      <c r="A3740" s="519" t="s">
        <v>2437</v>
      </c>
      <c r="B3740" s="520" t="s">
        <v>4539</v>
      </c>
      <c r="C3740" s="519" t="s">
        <v>32</v>
      </c>
      <c r="D3740" s="519" t="s">
        <v>4540</v>
      </c>
      <c r="E3740" s="905" t="s">
        <v>2442</v>
      </c>
      <c r="F3740" s="905"/>
      <c r="G3740" s="521" t="s">
        <v>89</v>
      </c>
      <c r="H3740" s="522">
        <v>0.8014</v>
      </c>
      <c r="I3740" s="523">
        <v>26.27</v>
      </c>
      <c r="J3740" s="523">
        <v>21.05</v>
      </c>
    </row>
    <row r="3741" spans="1:10" ht="14.5" thickTop="1" x14ac:dyDescent="0.3">
      <c r="A3741" s="647"/>
      <c r="B3741" s="647"/>
      <c r="C3741" s="647"/>
      <c r="D3741" s="647"/>
      <c r="E3741" s="647"/>
      <c r="F3741" s="647"/>
      <c r="G3741" s="647"/>
      <c r="H3741" s="647"/>
      <c r="I3741" s="647"/>
      <c r="J3741"/>
    </row>
    <row r="3742" spans="1:10" x14ac:dyDescent="0.3">
      <c r="A3742" s="516"/>
      <c r="B3742" s="517" t="s">
        <v>15</v>
      </c>
      <c r="C3742" s="516" t="s">
        <v>16</v>
      </c>
      <c r="D3742" s="516" t="s">
        <v>17</v>
      </c>
      <c r="E3742" s="904" t="s">
        <v>2431</v>
      </c>
      <c r="F3742" s="904"/>
      <c r="G3742" s="518" t="s">
        <v>18</v>
      </c>
      <c r="H3742" s="517" t="s">
        <v>19</v>
      </c>
      <c r="I3742" s="517" t="s">
        <v>20</v>
      </c>
      <c r="J3742" s="517" t="s">
        <v>23</v>
      </c>
    </row>
    <row r="3743" spans="1:10" ht="14.25" customHeight="1" x14ac:dyDescent="0.3">
      <c r="A3743" s="642" t="s">
        <v>2432</v>
      </c>
      <c r="B3743" s="643" t="s">
        <v>2601</v>
      </c>
      <c r="C3743" s="642" t="s">
        <v>32</v>
      </c>
      <c r="D3743" s="642" t="s">
        <v>2602</v>
      </c>
      <c r="E3743" s="906" t="s">
        <v>2433</v>
      </c>
      <c r="F3743" s="906"/>
      <c r="G3743" s="644" t="s">
        <v>1901</v>
      </c>
      <c r="H3743" s="645">
        <v>1</v>
      </c>
      <c r="I3743" s="646">
        <v>27.63</v>
      </c>
      <c r="J3743" s="646">
        <v>27.63</v>
      </c>
    </row>
    <row r="3744" spans="1:10" s="358" customFormat="1" ht="25" x14ac:dyDescent="0.3">
      <c r="A3744" s="519" t="s">
        <v>2434</v>
      </c>
      <c r="B3744" s="520" t="s">
        <v>3507</v>
      </c>
      <c r="C3744" s="519" t="s">
        <v>32</v>
      </c>
      <c r="D3744" s="519" t="s">
        <v>3508</v>
      </c>
      <c r="E3744" s="905" t="s">
        <v>2433</v>
      </c>
      <c r="F3744" s="905"/>
      <c r="G3744" s="521" t="s">
        <v>1901</v>
      </c>
      <c r="H3744" s="522">
        <v>1</v>
      </c>
      <c r="I3744" s="523">
        <v>0.11</v>
      </c>
      <c r="J3744" s="523">
        <v>0.11</v>
      </c>
    </row>
    <row r="3745" spans="1:10" ht="25" x14ac:dyDescent="0.3">
      <c r="A3745" s="519" t="s">
        <v>2437</v>
      </c>
      <c r="B3745" s="520" t="s">
        <v>3257</v>
      </c>
      <c r="C3745" s="519" t="s">
        <v>32</v>
      </c>
      <c r="D3745" s="519" t="s">
        <v>4306</v>
      </c>
      <c r="E3745" s="905" t="s">
        <v>2856</v>
      </c>
      <c r="F3745" s="905"/>
      <c r="G3745" s="521" t="s">
        <v>1901</v>
      </c>
      <c r="H3745" s="522">
        <v>1</v>
      </c>
      <c r="I3745" s="523">
        <v>3.8</v>
      </c>
      <c r="J3745" s="523">
        <v>3.8</v>
      </c>
    </row>
    <row r="3746" spans="1:10" s="358" customFormat="1" ht="25" x14ac:dyDescent="0.3">
      <c r="A3746" s="519" t="s">
        <v>2437</v>
      </c>
      <c r="B3746" s="520" t="s">
        <v>3258</v>
      </c>
      <c r="C3746" s="519" t="s">
        <v>32</v>
      </c>
      <c r="D3746" s="519" t="s">
        <v>4307</v>
      </c>
      <c r="E3746" s="905" t="s">
        <v>3259</v>
      </c>
      <c r="F3746" s="905"/>
      <c r="G3746" s="521" t="s">
        <v>1901</v>
      </c>
      <c r="H3746" s="522">
        <v>1</v>
      </c>
      <c r="I3746" s="523">
        <v>1.5</v>
      </c>
      <c r="J3746" s="523">
        <v>1.5</v>
      </c>
    </row>
    <row r="3747" spans="1:10" ht="25" x14ac:dyDescent="0.3">
      <c r="A3747" s="519" t="s">
        <v>2437</v>
      </c>
      <c r="B3747" s="520" t="s">
        <v>3260</v>
      </c>
      <c r="C3747" s="519" t="s">
        <v>32</v>
      </c>
      <c r="D3747" s="519" t="s">
        <v>4308</v>
      </c>
      <c r="E3747" s="905" t="s">
        <v>2856</v>
      </c>
      <c r="F3747" s="905"/>
      <c r="G3747" s="521" t="s">
        <v>1901</v>
      </c>
      <c r="H3747" s="522">
        <v>1</v>
      </c>
      <c r="I3747" s="523">
        <v>1.34</v>
      </c>
      <c r="J3747" s="523">
        <v>1.34</v>
      </c>
    </row>
    <row r="3748" spans="1:10" ht="25" x14ac:dyDescent="0.3">
      <c r="A3748" s="519" t="s">
        <v>2437</v>
      </c>
      <c r="B3748" s="520" t="s">
        <v>3261</v>
      </c>
      <c r="C3748" s="519" t="s">
        <v>32</v>
      </c>
      <c r="D3748" s="519" t="s">
        <v>4309</v>
      </c>
      <c r="E3748" s="905" t="s">
        <v>2535</v>
      </c>
      <c r="F3748" s="905"/>
      <c r="G3748" s="521" t="s">
        <v>1901</v>
      </c>
      <c r="H3748" s="522">
        <v>1</v>
      </c>
      <c r="I3748" s="523">
        <v>0.04</v>
      </c>
      <c r="J3748" s="523">
        <v>0.04</v>
      </c>
    </row>
    <row r="3749" spans="1:10" ht="25" x14ac:dyDescent="0.3">
      <c r="A3749" s="519" t="s">
        <v>2437</v>
      </c>
      <c r="B3749" s="520" t="s">
        <v>3262</v>
      </c>
      <c r="C3749" s="519" t="s">
        <v>32</v>
      </c>
      <c r="D3749" s="519" t="s">
        <v>3263</v>
      </c>
      <c r="E3749" s="905" t="s">
        <v>2446</v>
      </c>
      <c r="F3749" s="905"/>
      <c r="G3749" s="521" t="s">
        <v>1901</v>
      </c>
      <c r="H3749" s="522">
        <v>1</v>
      </c>
      <c r="I3749" s="523">
        <v>0.82</v>
      </c>
      <c r="J3749" s="523">
        <v>0.82</v>
      </c>
    </row>
    <row r="3750" spans="1:10" ht="25" x14ac:dyDescent="0.3">
      <c r="A3750" s="519" t="s">
        <v>2437</v>
      </c>
      <c r="B3750" s="520" t="s">
        <v>3264</v>
      </c>
      <c r="C3750" s="519" t="s">
        <v>32</v>
      </c>
      <c r="D3750" s="519" t="s">
        <v>3265</v>
      </c>
      <c r="E3750" s="905" t="s">
        <v>2446</v>
      </c>
      <c r="F3750" s="905"/>
      <c r="G3750" s="521" t="s">
        <v>1901</v>
      </c>
      <c r="H3750" s="522">
        <v>1</v>
      </c>
      <c r="I3750" s="523">
        <v>1.24</v>
      </c>
      <c r="J3750" s="523">
        <v>1.24</v>
      </c>
    </row>
    <row r="3751" spans="1:10" ht="14.5" thickBot="1" x14ac:dyDescent="0.35">
      <c r="A3751" s="519" t="s">
        <v>2437</v>
      </c>
      <c r="B3751" s="520" t="s">
        <v>3509</v>
      </c>
      <c r="C3751" s="519" t="s">
        <v>32</v>
      </c>
      <c r="D3751" s="519" t="s">
        <v>3510</v>
      </c>
      <c r="E3751" s="905" t="s">
        <v>2440</v>
      </c>
      <c r="F3751" s="905"/>
      <c r="G3751" s="521" t="s">
        <v>1901</v>
      </c>
      <c r="H3751" s="522">
        <v>1</v>
      </c>
      <c r="I3751" s="523">
        <v>18.78</v>
      </c>
      <c r="J3751" s="523">
        <v>18.78</v>
      </c>
    </row>
    <row r="3752" spans="1:10" ht="14.5" thickTop="1" x14ac:dyDescent="0.3">
      <c r="A3752" s="647"/>
      <c r="B3752" s="647"/>
      <c r="C3752" s="647"/>
      <c r="D3752" s="647"/>
      <c r="E3752" s="647"/>
      <c r="F3752" s="647"/>
      <c r="G3752" s="647"/>
      <c r="H3752" s="647"/>
      <c r="I3752" s="647"/>
      <c r="J3752"/>
    </row>
    <row r="3753" spans="1:10" s="358" customFormat="1" x14ac:dyDescent="0.3">
      <c r="A3753" s="516"/>
      <c r="B3753" s="517" t="s">
        <v>15</v>
      </c>
      <c r="C3753" s="516" t="s">
        <v>16</v>
      </c>
      <c r="D3753" s="516" t="s">
        <v>17</v>
      </c>
      <c r="E3753" s="904" t="s">
        <v>2431</v>
      </c>
      <c r="F3753" s="904"/>
      <c r="G3753" s="518" t="s">
        <v>18</v>
      </c>
      <c r="H3753" s="517" t="s">
        <v>19</v>
      </c>
      <c r="I3753" s="517" t="s">
        <v>20</v>
      </c>
      <c r="J3753" s="517" t="s">
        <v>23</v>
      </c>
    </row>
    <row r="3754" spans="1:10" ht="37.5" x14ac:dyDescent="0.3">
      <c r="A3754" s="642" t="s">
        <v>2432</v>
      </c>
      <c r="B3754" s="643" t="s">
        <v>2735</v>
      </c>
      <c r="C3754" s="642" t="s">
        <v>32</v>
      </c>
      <c r="D3754" s="642" t="s">
        <v>2736</v>
      </c>
      <c r="E3754" s="906" t="s">
        <v>2667</v>
      </c>
      <c r="F3754" s="906"/>
      <c r="G3754" s="644" t="s">
        <v>89</v>
      </c>
      <c r="H3754" s="645">
        <v>1</v>
      </c>
      <c r="I3754" s="646">
        <v>9.32</v>
      </c>
      <c r="J3754" s="646">
        <v>9.32</v>
      </c>
    </row>
    <row r="3755" spans="1:10" s="358" customFormat="1" ht="25" x14ac:dyDescent="0.3">
      <c r="A3755" s="519" t="s">
        <v>2434</v>
      </c>
      <c r="B3755" s="520" t="s">
        <v>3239</v>
      </c>
      <c r="C3755" s="519" t="s">
        <v>32</v>
      </c>
      <c r="D3755" s="519" t="s">
        <v>3240</v>
      </c>
      <c r="E3755" s="905" t="s">
        <v>2433</v>
      </c>
      <c r="F3755" s="905"/>
      <c r="G3755" s="521" t="s">
        <v>1901</v>
      </c>
      <c r="H3755" s="522">
        <v>0.13589999999999999</v>
      </c>
      <c r="I3755" s="523">
        <v>23.63</v>
      </c>
      <c r="J3755" s="523">
        <v>3.21</v>
      </c>
    </row>
    <row r="3756" spans="1:10" ht="25" x14ac:dyDescent="0.3">
      <c r="A3756" s="519" t="s">
        <v>2434</v>
      </c>
      <c r="B3756" s="520" t="s">
        <v>2786</v>
      </c>
      <c r="C3756" s="519" t="s">
        <v>32</v>
      </c>
      <c r="D3756" s="519" t="s">
        <v>2787</v>
      </c>
      <c r="E3756" s="905" t="s">
        <v>2433</v>
      </c>
      <c r="F3756" s="905"/>
      <c r="G3756" s="521" t="s">
        <v>1901</v>
      </c>
      <c r="H3756" s="522">
        <v>0.13589999999999999</v>
      </c>
      <c r="I3756" s="523">
        <v>30.33</v>
      </c>
      <c r="J3756" s="523">
        <v>4.12</v>
      </c>
    </row>
    <row r="3757" spans="1:10" x14ac:dyDescent="0.3">
      <c r="A3757" s="519" t="s">
        <v>2437</v>
      </c>
      <c r="B3757" s="520" t="s">
        <v>3251</v>
      </c>
      <c r="C3757" s="519" t="s">
        <v>32</v>
      </c>
      <c r="D3757" s="519" t="s">
        <v>3252</v>
      </c>
      <c r="E3757" s="905" t="s">
        <v>2442</v>
      </c>
      <c r="F3757" s="905"/>
      <c r="G3757" s="521" t="s">
        <v>89</v>
      </c>
      <c r="H3757" s="522">
        <v>7.1000000000000004E-3</v>
      </c>
      <c r="I3757" s="523">
        <v>72.09</v>
      </c>
      <c r="J3757" s="523">
        <v>0.51</v>
      </c>
    </row>
    <row r="3758" spans="1:10" ht="25" x14ac:dyDescent="0.3">
      <c r="A3758" s="519" t="s">
        <v>2437</v>
      </c>
      <c r="B3758" s="520" t="s">
        <v>3790</v>
      </c>
      <c r="C3758" s="519" t="s">
        <v>32</v>
      </c>
      <c r="D3758" s="519" t="s">
        <v>4365</v>
      </c>
      <c r="E3758" s="905" t="s">
        <v>2442</v>
      </c>
      <c r="F3758" s="905"/>
      <c r="G3758" s="521" t="s">
        <v>89</v>
      </c>
      <c r="H3758" s="522">
        <v>1</v>
      </c>
      <c r="I3758" s="523">
        <v>0.76</v>
      </c>
      <c r="J3758" s="523">
        <v>0.76</v>
      </c>
    </row>
    <row r="3759" spans="1:10" ht="25" x14ac:dyDescent="0.3">
      <c r="A3759" s="519" t="s">
        <v>2437</v>
      </c>
      <c r="B3759" s="520" t="s">
        <v>3243</v>
      </c>
      <c r="C3759" s="519" t="s">
        <v>32</v>
      </c>
      <c r="D3759" s="519" t="s">
        <v>3244</v>
      </c>
      <c r="E3759" s="905" t="s">
        <v>2442</v>
      </c>
      <c r="F3759" s="905"/>
      <c r="G3759" s="521" t="s">
        <v>89</v>
      </c>
      <c r="H3759" s="522">
        <v>8.0000000000000002E-3</v>
      </c>
      <c r="I3759" s="523">
        <v>81.680000000000007</v>
      </c>
      <c r="J3759" s="523">
        <v>0.65</v>
      </c>
    </row>
    <row r="3760" spans="1:10" ht="14.5" thickBot="1" x14ac:dyDescent="0.35">
      <c r="A3760" s="519" t="s">
        <v>2437</v>
      </c>
      <c r="B3760" s="520" t="s">
        <v>3245</v>
      </c>
      <c r="C3760" s="519" t="s">
        <v>32</v>
      </c>
      <c r="D3760" s="519" t="s">
        <v>3246</v>
      </c>
      <c r="E3760" s="905" t="s">
        <v>2442</v>
      </c>
      <c r="F3760" s="905"/>
      <c r="G3760" s="521" t="s">
        <v>89</v>
      </c>
      <c r="H3760" s="522">
        <v>3.0200000000000001E-2</v>
      </c>
      <c r="I3760" s="523">
        <v>2.38</v>
      </c>
      <c r="J3760" s="523">
        <v>7.0000000000000007E-2</v>
      </c>
    </row>
    <row r="3761" spans="1:10" ht="14.5" thickTop="1" x14ac:dyDescent="0.3">
      <c r="A3761" s="647"/>
      <c r="B3761" s="647"/>
      <c r="C3761" s="647"/>
      <c r="D3761" s="647"/>
      <c r="E3761" s="647"/>
      <c r="F3761" s="647"/>
      <c r="G3761" s="647"/>
      <c r="H3761" s="647"/>
      <c r="I3761" s="647"/>
      <c r="J3761"/>
    </row>
    <row r="3762" spans="1:10" x14ac:dyDescent="0.3">
      <c r="A3762" s="516"/>
      <c r="B3762" s="517" t="s">
        <v>15</v>
      </c>
      <c r="C3762" s="516" t="s">
        <v>16</v>
      </c>
      <c r="D3762" s="516" t="s">
        <v>17</v>
      </c>
      <c r="E3762" s="904" t="s">
        <v>2431</v>
      </c>
      <c r="F3762" s="904"/>
      <c r="G3762" s="518" t="s">
        <v>18</v>
      </c>
      <c r="H3762" s="517" t="s">
        <v>19</v>
      </c>
      <c r="I3762" s="517" t="s">
        <v>20</v>
      </c>
      <c r="J3762" s="517" t="s">
        <v>23</v>
      </c>
    </row>
    <row r="3763" spans="1:10" ht="25" x14ac:dyDescent="0.3">
      <c r="A3763" s="642" t="s">
        <v>2432</v>
      </c>
      <c r="B3763" s="643" t="s">
        <v>2486</v>
      </c>
      <c r="C3763" s="642" t="s">
        <v>39</v>
      </c>
      <c r="D3763" s="642" t="s">
        <v>2487</v>
      </c>
      <c r="E3763" s="906" t="s">
        <v>2433</v>
      </c>
      <c r="F3763" s="906"/>
      <c r="G3763" s="644" t="s">
        <v>89</v>
      </c>
      <c r="H3763" s="645">
        <v>1</v>
      </c>
      <c r="I3763" s="646">
        <v>822.45</v>
      </c>
      <c r="J3763" s="646">
        <v>822.45</v>
      </c>
    </row>
    <row r="3764" spans="1:10" s="358" customFormat="1" ht="14.5" thickBot="1" x14ac:dyDescent="0.35">
      <c r="A3764" s="519" t="s">
        <v>2437</v>
      </c>
      <c r="B3764" s="520" t="s">
        <v>2494</v>
      </c>
      <c r="C3764" s="519" t="s">
        <v>32</v>
      </c>
      <c r="D3764" s="519" t="s">
        <v>2495</v>
      </c>
      <c r="E3764" s="905" t="s">
        <v>2440</v>
      </c>
      <c r="F3764" s="905"/>
      <c r="G3764" s="521" t="s">
        <v>34</v>
      </c>
      <c r="H3764" s="522">
        <v>0.3</v>
      </c>
      <c r="I3764" s="523">
        <v>2741.53</v>
      </c>
      <c r="J3764" s="523">
        <v>822.45</v>
      </c>
    </row>
    <row r="3765" spans="1:10" ht="14.5" thickTop="1" x14ac:dyDescent="0.3">
      <c r="A3765" s="647"/>
      <c r="B3765" s="647"/>
      <c r="C3765" s="647"/>
      <c r="D3765" s="647"/>
      <c r="E3765" s="647"/>
      <c r="F3765" s="647"/>
      <c r="G3765" s="647"/>
      <c r="H3765" s="647"/>
      <c r="I3765" s="647"/>
      <c r="J3765"/>
    </row>
    <row r="3766" spans="1:10" s="358" customFormat="1" x14ac:dyDescent="0.3">
      <c r="A3766" s="516"/>
      <c r="B3766" s="517" t="s">
        <v>15</v>
      </c>
      <c r="C3766" s="516" t="s">
        <v>16</v>
      </c>
      <c r="D3766" s="516" t="s">
        <v>17</v>
      </c>
      <c r="E3766" s="904" t="s">
        <v>2431</v>
      </c>
      <c r="F3766" s="904"/>
      <c r="G3766" s="518" t="s">
        <v>18</v>
      </c>
      <c r="H3766" s="517" t="s">
        <v>19</v>
      </c>
      <c r="I3766" s="517" t="s">
        <v>20</v>
      </c>
      <c r="J3766" s="517" t="s">
        <v>23</v>
      </c>
    </row>
    <row r="3767" spans="1:10" ht="37.5" x14ac:dyDescent="0.3">
      <c r="A3767" s="642" t="s">
        <v>2432</v>
      </c>
      <c r="B3767" s="643" t="s">
        <v>2737</v>
      </c>
      <c r="C3767" s="642" t="s">
        <v>32</v>
      </c>
      <c r="D3767" s="642" t="s">
        <v>2738</v>
      </c>
      <c r="E3767" s="906" t="s">
        <v>2667</v>
      </c>
      <c r="F3767" s="906"/>
      <c r="G3767" s="644" t="s">
        <v>89</v>
      </c>
      <c r="H3767" s="645">
        <v>1</v>
      </c>
      <c r="I3767" s="646">
        <v>57.67</v>
      </c>
      <c r="J3767" s="646">
        <v>57.67</v>
      </c>
    </row>
    <row r="3768" spans="1:10" ht="25" x14ac:dyDescent="0.3">
      <c r="A3768" s="519" t="s">
        <v>2434</v>
      </c>
      <c r="B3768" s="520" t="s">
        <v>3791</v>
      </c>
      <c r="C3768" s="519" t="s">
        <v>32</v>
      </c>
      <c r="D3768" s="519" t="s">
        <v>3792</v>
      </c>
      <c r="E3768" s="905" t="s">
        <v>2667</v>
      </c>
      <c r="F3768" s="905"/>
      <c r="G3768" s="521" t="s">
        <v>89</v>
      </c>
      <c r="H3768" s="522">
        <v>1</v>
      </c>
      <c r="I3768" s="523">
        <v>43.51</v>
      </c>
      <c r="J3768" s="523">
        <v>43.51</v>
      </c>
    </row>
    <row r="3769" spans="1:10" ht="38" thickBot="1" x14ac:dyDescent="0.35">
      <c r="A3769" s="519" t="s">
        <v>2434</v>
      </c>
      <c r="B3769" s="520" t="s">
        <v>3247</v>
      </c>
      <c r="C3769" s="519" t="s">
        <v>32</v>
      </c>
      <c r="D3769" s="519" t="s">
        <v>3248</v>
      </c>
      <c r="E3769" s="905" t="s">
        <v>2667</v>
      </c>
      <c r="F3769" s="905"/>
      <c r="G3769" s="521" t="s">
        <v>89</v>
      </c>
      <c r="H3769" s="522">
        <v>2</v>
      </c>
      <c r="I3769" s="523">
        <v>7.08</v>
      </c>
      <c r="J3769" s="523">
        <v>14.16</v>
      </c>
    </row>
    <row r="3770" spans="1:10" ht="14.5" thickTop="1" x14ac:dyDescent="0.3">
      <c r="A3770" s="647"/>
      <c r="B3770" s="647"/>
      <c r="C3770" s="647"/>
      <c r="D3770" s="647"/>
      <c r="E3770" s="647"/>
      <c r="F3770" s="647"/>
      <c r="G3770" s="647"/>
      <c r="H3770" s="647"/>
      <c r="I3770" s="647"/>
      <c r="J3770"/>
    </row>
    <row r="3771" spans="1:10" x14ac:dyDescent="0.3">
      <c r="A3771" s="516"/>
      <c r="B3771" s="517" t="s">
        <v>15</v>
      </c>
      <c r="C3771" s="516" t="s">
        <v>16</v>
      </c>
      <c r="D3771" s="516" t="s">
        <v>17</v>
      </c>
      <c r="E3771" s="904" t="s">
        <v>2431</v>
      </c>
      <c r="F3771" s="904"/>
      <c r="G3771" s="518" t="s">
        <v>18</v>
      </c>
      <c r="H3771" s="517" t="s">
        <v>19</v>
      </c>
      <c r="I3771" s="517" t="s">
        <v>20</v>
      </c>
      <c r="J3771" s="517" t="s">
        <v>23</v>
      </c>
    </row>
    <row r="3772" spans="1:10" ht="25" x14ac:dyDescent="0.3">
      <c r="A3772" s="642" t="s">
        <v>2432</v>
      </c>
      <c r="B3772" s="643" t="s">
        <v>2679</v>
      </c>
      <c r="C3772" s="642" t="s">
        <v>32</v>
      </c>
      <c r="D3772" s="642" t="s">
        <v>2680</v>
      </c>
      <c r="E3772" s="906" t="s">
        <v>2617</v>
      </c>
      <c r="F3772" s="906"/>
      <c r="G3772" s="644" t="s">
        <v>115</v>
      </c>
      <c r="H3772" s="645">
        <v>1</v>
      </c>
      <c r="I3772" s="646">
        <v>19.77</v>
      </c>
      <c r="J3772" s="646">
        <v>19.77</v>
      </c>
    </row>
    <row r="3773" spans="1:10" s="358" customFormat="1" ht="25" x14ac:dyDescent="0.3">
      <c r="A3773" s="519" t="s">
        <v>2434</v>
      </c>
      <c r="B3773" s="520" t="s">
        <v>2757</v>
      </c>
      <c r="C3773" s="519" t="s">
        <v>32</v>
      </c>
      <c r="D3773" s="519" t="s">
        <v>2758</v>
      </c>
      <c r="E3773" s="905" t="s">
        <v>2433</v>
      </c>
      <c r="F3773" s="905"/>
      <c r="G3773" s="521" t="s">
        <v>1901</v>
      </c>
      <c r="H3773" s="522">
        <v>0.16309999999999999</v>
      </c>
      <c r="I3773" s="523">
        <v>31.1</v>
      </c>
      <c r="J3773" s="523">
        <v>5.07</v>
      </c>
    </row>
    <row r="3774" spans="1:10" ht="25" x14ac:dyDescent="0.3">
      <c r="A3774" s="519" t="s">
        <v>2434</v>
      </c>
      <c r="B3774" s="520" t="s">
        <v>2561</v>
      </c>
      <c r="C3774" s="519" t="s">
        <v>32</v>
      </c>
      <c r="D3774" s="519" t="s">
        <v>2562</v>
      </c>
      <c r="E3774" s="905" t="s">
        <v>2433</v>
      </c>
      <c r="F3774" s="905"/>
      <c r="G3774" s="521" t="s">
        <v>1901</v>
      </c>
      <c r="H3774" s="522">
        <v>4.4400000000000002E-2</v>
      </c>
      <c r="I3774" s="523">
        <v>23.4</v>
      </c>
      <c r="J3774" s="523">
        <v>1.03</v>
      </c>
    </row>
    <row r="3775" spans="1:10" s="358" customFormat="1" ht="38" thickBot="1" x14ac:dyDescent="0.35">
      <c r="A3775" s="519" t="s">
        <v>2434</v>
      </c>
      <c r="B3775" s="520" t="s">
        <v>174</v>
      </c>
      <c r="C3775" s="519" t="s">
        <v>32</v>
      </c>
      <c r="D3775" s="519" t="s">
        <v>175</v>
      </c>
      <c r="E3775" s="905" t="s">
        <v>2617</v>
      </c>
      <c r="F3775" s="905"/>
      <c r="G3775" s="521" t="s">
        <v>118</v>
      </c>
      <c r="H3775" s="522">
        <v>3.39E-2</v>
      </c>
      <c r="I3775" s="523">
        <v>403.4</v>
      </c>
      <c r="J3775" s="523">
        <v>13.67</v>
      </c>
    </row>
    <row r="3776" spans="1:10" ht="14.5" thickTop="1" x14ac:dyDescent="0.3">
      <c r="A3776" s="647"/>
      <c r="B3776" s="647"/>
      <c r="C3776" s="647"/>
      <c r="D3776" s="647"/>
      <c r="E3776" s="647"/>
      <c r="F3776" s="647"/>
      <c r="G3776" s="647"/>
      <c r="H3776" s="647"/>
      <c r="I3776" s="647"/>
      <c r="J3776"/>
    </row>
    <row r="3777" spans="1:10" s="358" customFormat="1" x14ac:dyDescent="0.3">
      <c r="A3777" s="516"/>
      <c r="B3777" s="517" t="s">
        <v>15</v>
      </c>
      <c r="C3777" s="516" t="s">
        <v>16</v>
      </c>
      <c r="D3777" s="516" t="s">
        <v>17</v>
      </c>
      <c r="E3777" s="904" t="s">
        <v>2431</v>
      </c>
      <c r="F3777" s="904"/>
      <c r="G3777" s="518" t="s">
        <v>18</v>
      </c>
      <c r="H3777" s="517" t="s">
        <v>19</v>
      </c>
      <c r="I3777" s="517" t="s">
        <v>20</v>
      </c>
      <c r="J3777" s="517" t="s">
        <v>23</v>
      </c>
    </row>
    <row r="3778" spans="1:10" ht="25" x14ac:dyDescent="0.3">
      <c r="A3778" s="642" t="s">
        <v>2432</v>
      </c>
      <c r="B3778" s="643" t="s">
        <v>2711</v>
      </c>
      <c r="C3778" s="642" t="s">
        <v>32</v>
      </c>
      <c r="D3778" s="642" t="s">
        <v>2712</v>
      </c>
      <c r="E3778" s="906" t="s">
        <v>2617</v>
      </c>
      <c r="F3778" s="906"/>
      <c r="G3778" s="644" t="s">
        <v>115</v>
      </c>
      <c r="H3778" s="645">
        <v>1</v>
      </c>
      <c r="I3778" s="646">
        <v>37.880000000000003</v>
      </c>
      <c r="J3778" s="646">
        <v>37.880000000000003</v>
      </c>
    </row>
    <row r="3779" spans="1:10" s="358" customFormat="1" ht="25" x14ac:dyDescent="0.3">
      <c r="A3779" s="519" t="s">
        <v>2434</v>
      </c>
      <c r="B3779" s="520" t="s">
        <v>2757</v>
      </c>
      <c r="C3779" s="519" t="s">
        <v>32</v>
      </c>
      <c r="D3779" s="519" t="s">
        <v>2758</v>
      </c>
      <c r="E3779" s="905" t="s">
        <v>2433</v>
      </c>
      <c r="F3779" s="905"/>
      <c r="G3779" s="521" t="s">
        <v>1901</v>
      </c>
      <c r="H3779" s="522">
        <v>0.25414999999999999</v>
      </c>
      <c r="I3779" s="523">
        <v>31.1</v>
      </c>
      <c r="J3779" s="523">
        <v>7.9</v>
      </c>
    </row>
    <row r="3780" spans="1:10" ht="25" x14ac:dyDescent="0.3">
      <c r="A3780" s="519" t="s">
        <v>2434</v>
      </c>
      <c r="B3780" s="520" t="s">
        <v>2561</v>
      </c>
      <c r="C3780" s="519" t="s">
        <v>32</v>
      </c>
      <c r="D3780" s="519" t="s">
        <v>2562</v>
      </c>
      <c r="E3780" s="905" t="s">
        <v>2433</v>
      </c>
      <c r="F3780" s="905"/>
      <c r="G3780" s="521" t="s">
        <v>1901</v>
      </c>
      <c r="H3780" s="522">
        <v>9.1899999999999996E-2</v>
      </c>
      <c r="I3780" s="523">
        <v>23.4</v>
      </c>
      <c r="J3780" s="523">
        <v>2.15</v>
      </c>
    </row>
    <row r="3781" spans="1:10" ht="38" thickBot="1" x14ac:dyDescent="0.35">
      <c r="A3781" s="519" t="s">
        <v>2434</v>
      </c>
      <c r="B3781" s="520" t="s">
        <v>174</v>
      </c>
      <c r="C3781" s="519" t="s">
        <v>32</v>
      </c>
      <c r="D3781" s="519" t="s">
        <v>175</v>
      </c>
      <c r="E3781" s="905" t="s">
        <v>2617</v>
      </c>
      <c r="F3781" s="905"/>
      <c r="G3781" s="521" t="s">
        <v>118</v>
      </c>
      <c r="H3781" s="522">
        <v>6.9000000000000006E-2</v>
      </c>
      <c r="I3781" s="523">
        <v>403.4</v>
      </c>
      <c r="J3781" s="523">
        <v>27.83</v>
      </c>
    </row>
    <row r="3782" spans="1:10" s="358" customFormat="1" ht="14.5" thickTop="1" x14ac:dyDescent="0.3">
      <c r="A3782" s="647"/>
      <c r="B3782" s="647"/>
      <c r="C3782" s="647"/>
      <c r="D3782" s="647"/>
      <c r="E3782" s="647"/>
      <c r="F3782" s="647"/>
      <c r="G3782" s="647"/>
      <c r="H3782" s="647"/>
      <c r="I3782" s="647"/>
      <c r="J3782"/>
    </row>
    <row r="3783" spans="1:10" x14ac:dyDescent="0.3">
      <c r="A3783" s="516"/>
      <c r="B3783" s="517" t="s">
        <v>15</v>
      </c>
      <c r="C3783" s="516" t="s">
        <v>16</v>
      </c>
      <c r="D3783" s="516" t="s">
        <v>17</v>
      </c>
      <c r="E3783" s="904" t="s">
        <v>2431</v>
      </c>
      <c r="F3783" s="904"/>
      <c r="G3783" s="518" t="s">
        <v>18</v>
      </c>
      <c r="H3783" s="517" t="s">
        <v>19</v>
      </c>
      <c r="I3783" s="517" t="s">
        <v>20</v>
      </c>
      <c r="J3783" s="517" t="s">
        <v>23</v>
      </c>
    </row>
    <row r="3784" spans="1:10" s="358" customFormat="1" ht="25" x14ac:dyDescent="0.3">
      <c r="A3784" s="642" t="s">
        <v>2432</v>
      </c>
      <c r="B3784" s="643" t="s">
        <v>3208</v>
      </c>
      <c r="C3784" s="642" t="s">
        <v>32</v>
      </c>
      <c r="D3784" s="642" t="s">
        <v>3209</v>
      </c>
      <c r="E3784" s="906" t="s">
        <v>2663</v>
      </c>
      <c r="F3784" s="906"/>
      <c r="G3784" s="644" t="s">
        <v>115</v>
      </c>
      <c r="H3784" s="645">
        <v>1</v>
      </c>
      <c r="I3784" s="646">
        <v>10.92</v>
      </c>
      <c r="J3784" s="646">
        <v>10.92</v>
      </c>
    </row>
    <row r="3785" spans="1:10" ht="25" x14ac:dyDescent="0.3">
      <c r="A3785" s="519" t="s">
        <v>2434</v>
      </c>
      <c r="B3785" s="520" t="s">
        <v>3020</v>
      </c>
      <c r="C3785" s="519" t="s">
        <v>32</v>
      </c>
      <c r="D3785" s="519" t="s">
        <v>3021</v>
      </c>
      <c r="E3785" s="905" t="s">
        <v>2433</v>
      </c>
      <c r="F3785" s="905"/>
      <c r="G3785" s="521" t="s">
        <v>1901</v>
      </c>
      <c r="H3785" s="522">
        <v>0.29859999999999998</v>
      </c>
      <c r="I3785" s="523">
        <v>32.58</v>
      </c>
      <c r="J3785" s="523">
        <v>9.7200000000000006</v>
      </c>
    </row>
    <row r="3786" spans="1:10" ht="14.5" thickBot="1" x14ac:dyDescent="0.35">
      <c r="A3786" s="519" t="s">
        <v>2437</v>
      </c>
      <c r="B3786" s="520" t="s">
        <v>3793</v>
      </c>
      <c r="C3786" s="519" t="s">
        <v>32</v>
      </c>
      <c r="D3786" s="519" t="s">
        <v>3794</v>
      </c>
      <c r="E3786" s="905" t="s">
        <v>2442</v>
      </c>
      <c r="F3786" s="905"/>
      <c r="G3786" s="521" t="s">
        <v>89</v>
      </c>
      <c r="H3786" s="522">
        <v>0.3</v>
      </c>
      <c r="I3786" s="523">
        <v>4</v>
      </c>
      <c r="J3786" s="523">
        <v>1.2</v>
      </c>
    </row>
    <row r="3787" spans="1:10" ht="14.5" thickTop="1" x14ac:dyDescent="0.3">
      <c r="A3787" s="647"/>
      <c r="B3787" s="647"/>
      <c r="C3787" s="647"/>
      <c r="D3787" s="647"/>
      <c r="E3787" s="647"/>
      <c r="F3787" s="647"/>
      <c r="G3787" s="647"/>
      <c r="H3787" s="647"/>
      <c r="I3787" s="647"/>
      <c r="J3787"/>
    </row>
    <row r="3788" spans="1:10" s="358" customFormat="1" x14ac:dyDescent="0.3">
      <c r="A3788" s="516"/>
      <c r="B3788" s="517" t="s">
        <v>15</v>
      </c>
      <c r="C3788" s="516" t="s">
        <v>16</v>
      </c>
      <c r="D3788" s="516" t="s">
        <v>17</v>
      </c>
      <c r="E3788" s="904" t="s">
        <v>2431</v>
      </c>
      <c r="F3788" s="904"/>
      <c r="G3788" s="518" t="s">
        <v>18</v>
      </c>
      <c r="H3788" s="517" t="s">
        <v>19</v>
      </c>
      <c r="I3788" s="517" t="s">
        <v>20</v>
      </c>
      <c r="J3788" s="517" t="s">
        <v>23</v>
      </c>
    </row>
    <row r="3789" spans="1:10" ht="25.5" thickBot="1" x14ac:dyDescent="0.35">
      <c r="A3789" s="642" t="s">
        <v>2432</v>
      </c>
      <c r="B3789" s="643" t="s">
        <v>3235</v>
      </c>
      <c r="C3789" s="642" t="s">
        <v>243</v>
      </c>
      <c r="D3789" s="642" t="s">
        <v>4534</v>
      </c>
      <c r="E3789" s="906">
        <v>59</v>
      </c>
      <c r="F3789" s="906"/>
      <c r="G3789" s="644" t="s">
        <v>34</v>
      </c>
      <c r="H3789" s="645">
        <v>1</v>
      </c>
      <c r="I3789" s="646">
        <v>0</v>
      </c>
      <c r="J3789" s="646">
        <v>0</v>
      </c>
    </row>
    <row r="3790" spans="1:10" s="358" customFormat="1" ht="14.5" thickTop="1" x14ac:dyDescent="0.3">
      <c r="A3790" s="647"/>
      <c r="B3790" s="647"/>
      <c r="C3790" s="647"/>
      <c r="D3790" s="647"/>
      <c r="E3790" s="647"/>
      <c r="F3790" s="647"/>
      <c r="G3790" s="647"/>
      <c r="H3790" s="647"/>
      <c r="I3790" s="647"/>
      <c r="J3790"/>
    </row>
    <row r="3791" spans="1:10" x14ac:dyDescent="0.3">
      <c r="A3791" s="516"/>
      <c r="B3791" s="517" t="s">
        <v>15</v>
      </c>
      <c r="C3791" s="516" t="s">
        <v>16</v>
      </c>
      <c r="D3791" s="516" t="s">
        <v>17</v>
      </c>
      <c r="E3791" s="904" t="s">
        <v>2431</v>
      </c>
      <c r="F3791" s="904"/>
      <c r="G3791" s="518" t="s">
        <v>18</v>
      </c>
      <c r="H3791" s="517" t="s">
        <v>19</v>
      </c>
      <c r="I3791" s="517" t="s">
        <v>20</v>
      </c>
      <c r="J3791" s="517" t="s">
        <v>23</v>
      </c>
    </row>
    <row r="3792" spans="1:10" ht="38.25" customHeight="1" x14ac:dyDescent="0.3">
      <c r="A3792" s="642" t="s">
        <v>2432</v>
      </c>
      <c r="B3792" s="643" t="s">
        <v>2714</v>
      </c>
      <c r="C3792" s="642" t="s">
        <v>32</v>
      </c>
      <c r="D3792" s="642" t="s">
        <v>2715</v>
      </c>
      <c r="E3792" s="906" t="s">
        <v>2661</v>
      </c>
      <c r="F3792" s="906"/>
      <c r="G3792" s="644" t="s">
        <v>89</v>
      </c>
      <c r="H3792" s="645">
        <v>1</v>
      </c>
      <c r="I3792" s="646">
        <v>120.19</v>
      </c>
      <c r="J3792" s="646">
        <v>120.19</v>
      </c>
    </row>
    <row r="3793" spans="1:10" ht="25" x14ac:dyDescent="0.3">
      <c r="A3793" s="519" t="s">
        <v>2434</v>
      </c>
      <c r="B3793" s="520" t="s">
        <v>2857</v>
      </c>
      <c r="C3793" s="519" t="s">
        <v>32</v>
      </c>
      <c r="D3793" s="519" t="s">
        <v>2858</v>
      </c>
      <c r="E3793" s="905" t="s">
        <v>2433</v>
      </c>
      <c r="F3793" s="905"/>
      <c r="G3793" s="521" t="s">
        <v>1901</v>
      </c>
      <c r="H3793" s="522">
        <v>0.17269999999999999</v>
      </c>
      <c r="I3793" s="523">
        <v>24.65</v>
      </c>
      <c r="J3793" s="523">
        <v>4.25</v>
      </c>
    </row>
    <row r="3794" spans="1:10" s="358" customFormat="1" ht="25" x14ac:dyDescent="0.3">
      <c r="A3794" s="519" t="s">
        <v>2434</v>
      </c>
      <c r="B3794" s="520" t="s">
        <v>2766</v>
      </c>
      <c r="C3794" s="519" t="s">
        <v>32</v>
      </c>
      <c r="D3794" s="519" t="s">
        <v>2767</v>
      </c>
      <c r="E3794" s="905" t="s">
        <v>2433</v>
      </c>
      <c r="F3794" s="905"/>
      <c r="G3794" s="521" t="s">
        <v>1901</v>
      </c>
      <c r="H3794" s="522">
        <v>0.41439999999999999</v>
      </c>
      <c r="I3794" s="523">
        <v>31.49</v>
      </c>
      <c r="J3794" s="523">
        <v>13.04</v>
      </c>
    </row>
    <row r="3795" spans="1:10" ht="38" thickBot="1" x14ac:dyDescent="0.35">
      <c r="A3795" s="519" t="s">
        <v>2437</v>
      </c>
      <c r="B3795" s="520" t="s">
        <v>4541</v>
      </c>
      <c r="C3795" s="519" t="s">
        <v>32</v>
      </c>
      <c r="D3795" s="519" t="s">
        <v>4542</v>
      </c>
      <c r="E3795" s="905" t="s">
        <v>2442</v>
      </c>
      <c r="F3795" s="905"/>
      <c r="G3795" s="521" t="s">
        <v>89</v>
      </c>
      <c r="H3795" s="522">
        <v>1</v>
      </c>
      <c r="I3795" s="523">
        <v>102.9</v>
      </c>
      <c r="J3795" s="523">
        <v>102.9</v>
      </c>
    </row>
    <row r="3796" spans="1:10" s="358" customFormat="1" ht="14.5" thickTop="1" x14ac:dyDescent="0.3">
      <c r="A3796" s="647"/>
      <c r="B3796" s="647"/>
      <c r="C3796" s="647"/>
      <c r="D3796" s="647"/>
      <c r="E3796" s="647"/>
      <c r="F3796" s="647"/>
      <c r="G3796" s="647"/>
      <c r="H3796" s="647"/>
      <c r="I3796" s="647"/>
      <c r="J3796"/>
    </row>
    <row r="3797" spans="1:10" x14ac:dyDescent="0.3">
      <c r="A3797" s="516"/>
      <c r="B3797" s="517" t="s">
        <v>15</v>
      </c>
      <c r="C3797" s="516" t="s">
        <v>16</v>
      </c>
      <c r="D3797" s="516" t="s">
        <v>17</v>
      </c>
      <c r="E3797" s="904" t="s">
        <v>2431</v>
      </c>
      <c r="F3797" s="904"/>
      <c r="G3797" s="518" t="s">
        <v>18</v>
      </c>
      <c r="H3797" s="517" t="s">
        <v>19</v>
      </c>
      <c r="I3797" s="517" t="s">
        <v>20</v>
      </c>
      <c r="J3797" s="517" t="s">
        <v>23</v>
      </c>
    </row>
    <row r="3798" spans="1:10" ht="38.25" customHeight="1" x14ac:dyDescent="0.3">
      <c r="A3798" s="642" t="s">
        <v>2432</v>
      </c>
      <c r="B3798" s="643" t="s">
        <v>2682</v>
      </c>
      <c r="C3798" s="642" t="s">
        <v>32</v>
      </c>
      <c r="D3798" s="642" t="s">
        <v>2683</v>
      </c>
      <c r="E3798" s="906" t="s">
        <v>2661</v>
      </c>
      <c r="F3798" s="906"/>
      <c r="G3798" s="644" t="s">
        <v>89</v>
      </c>
      <c r="H3798" s="645">
        <v>1</v>
      </c>
      <c r="I3798" s="646">
        <v>131.19999999999999</v>
      </c>
      <c r="J3798" s="646">
        <v>131.19999999999999</v>
      </c>
    </row>
    <row r="3799" spans="1:10" s="358" customFormat="1" ht="25" x14ac:dyDescent="0.3">
      <c r="A3799" s="519" t="s">
        <v>2434</v>
      </c>
      <c r="B3799" s="520" t="s">
        <v>2857</v>
      </c>
      <c r="C3799" s="519" t="s">
        <v>32</v>
      </c>
      <c r="D3799" s="519" t="s">
        <v>2858</v>
      </c>
      <c r="E3799" s="905" t="s">
        <v>2433</v>
      </c>
      <c r="F3799" s="905"/>
      <c r="G3799" s="521" t="s">
        <v>1901</v>
      </c>
      <c r="H3799" s="522">
        <v>0.18329999999999999</v>
      </c>
      <c r="I3799" s="523">
        <v>24.65</v>
      </c>
      <c r="J3799" s="523">
        <v>4.51</v>
      </c>
    </row>
    <row r="3800" spans="1:10" ht="25" x14ac:dyDescent="0.3">
      <c r="A3800" s="519" t="s">
        <v>2434</v>
      </c>
      <c r="B3800" s="520" t="s">
        <v>2766</v>
      </c>
      <c r="C3800" s="519" t="s">
        <v>32</v>
      </c>
      <c r="D3800" s="519" t="s">
        <v>2767</v>
      </c>
      <c r="E3800" s="905" t="s">
        <v>2433</v>
      </c>
      <c r="F3800" s="905"/>
      <c r="G3800" s="521" t="s">
        <v>1901</v>
      </c>
      <c r="H3800" s="522">
        <v>0.45179999999999998</v>
      </c>
      <c r="I3800" s="523">
        <v>31.49</v>
      </c>
      <c r="J3800" s="523">
        <v>14.22</v>
      </c>
    </row>
    <row r="3801" spans="1:10" s="358" customFormat="1" ht="37.5" x14ac:dyDescent="0.3">
      <c r="A3801" s="519" t="s">
        <v>2437</v>
      </c>
      <c r="B3801" s="520" t="s">
        <v>3795</v>
      </c>
      <c r="C3801" s="519" t="s">
        <v>32</v>
      </c>
      <c r="D3801" s="519" t="s">
        <v>3796</v>
      </c>
      <c r="E3801" s="905" t="s">
        <v>2442</v>
      </c>
      <c r="F3801" s="905"/>
      <c r="G3801" s="521" t="s">
        <v>89</v>
      </c>
      <c r="H3801" s="522">
        <v>1</v>
      </c>
      <c r="I3801" s="523">
        <v>107.48</v>
      </c>
      <c r="J3801" s="523">
        <v>107.48</v>
      </c>
    </row>
    <row r="3802" spans="1:10" ht="25.5" thickBot="1" x14ac:dyDescent="0.35">
      <c r="A3802" s="519" t="s">
        <v>2437</v>
      </c>
      <c r="B3802" s="520" t="s">
        <v>4543</v>
      </c>
      <c r="C3802" s="519" t="s">
        <v>32</v>
      </c>
      <c r="D3802" s="519" t="s">
        <v>4544</v>
      </c>
      <c r="E3802" s="905" t="s">
        <v>2442</v>
      </c>
      <c r="F3802" s="905"/>
      <c r="G3802" s="521" t="s">
        <v>89</v>
      </c>
      <c r="H3802" s="522">
        <v>1</v>
      </c>
      <c r="I3802" s="523">
        <v>4.99</v>
      </c>
      <c r="J3802" s="523">
        <v>4.99</v>
      </c>
    </row>
    <row r="3803" spans="1:10" ht="14.5" thickTop="1" x14ac:dyDescent="0.3">
      <c r="A3803" s="647"/>
      <c r="B3803" s="647"/>
      <c r="C3803" s="647"/>
      <c r="D3803" s="647"/>
      <c r="E3803" s="647"/>
      <c r="F3803" s="647"/>
      <c r="G3803" s="647"/>
      <c r="H3803" s="647"/>
      <c r="I3803" s="647"/>
      <c r="J3803"/>
    </row>
    <row r="3804" spans="1:10" ht="25.5" customHeight="1" x14ac:dyDescent="0.3">
      <c r="A3804" s="516"/>
      <c r="B3804" s="517" t="s">
        <v>15</v>
      </c>
      <c r="C3804" s="516" t="s">
        <v>16</v>
      </c>
      <c r="D3804" s="516" t="s">
        <v>17</v>
      </c>
      <c r="E3804" s="904" t="s">
        <v>2431</v>
      </c>
      <c r="F3804" s="904"/>
      <c r="G3804" s="518" t="s">
        <v>18</v>
      </c>
      <c r="H3804" s="517" t="s">
        <v>19</v>
      </c>
      <c r="I3804" s="517" t="s">
        <v>20</v>
      </c>
      <c r="J3804" s="517" t="s">
        <v>23</v>
      </c>
    </row>
    <row r="3805" spans="1:10" ht="25.5" customHeight="1" x14ac:dyDescent="0.3">
      <c r="A3805" s="642" t="s">
        <v>2432</v>
      </c>
      <c r="B3805" s="643" t="s">
        <v>2659</v>
      </c>
      <c r="C3805" s="642" t="s">
        <v>32</v>
      </c>
      <c r="D3805" s="642" t="s">
        <v>2660</v>
      </c>
      <c r="E3805" s="906" t="s">
        <v>2661</v>
      </c>
      <c r="F3805" s="906"/>
      <c r="G3805" s="644" t="s">
        <v>89</v>
      </c>
      <c r="H3805" s="645">
        <v>1</v>
      </c>
      <c r="I3805" s="646">
        <v>18.989999999999998</v>
      </c>
      <c r="J3805" s="646">
        <v>18.989999999999998</v>
      </c>
    </row>
    <row r="3806" spans="1:10" ht="25" x14ac:dyDescent="0.3">
      <c r="A3806" s="519" t="s">
        <v>2434</v>
      </c>
      <c r="B3806" s="520" t="s">
        <v>2857</v>
      </c>
      <c r="C3806" s="519" t="s">
        <v>32</v>
      </c>
      <c r="D3806" s="519" t="s">
        <v>2858</v>
      </c>
      <c r="E3806" s="905" t="s">
        <v>2433</v>
      </c>
      <c r="F3806" s="905"/>
      <c r="G3806" s="521" t="s">
        <v>1901</v>
      </c>
      <c r="H3806" s="522">
        <v>6.9000000000000006E-2</v>
      </c>
      <c r="I3806" s="523">
        <v>24.65</v>
      </c>
      <c r="J3806" s="523">
        <v>1.7</v>
      </c>
    </row>
    <row r="3807" spans="1:10" ht="25" x14ac:dyDescent="0.3">
      <c r="A3807" s="519" t="s">
        <v>2434</v>
      </c>
      <c r="B3807" s="520" t="s">
        <v>2766</v>
      </c>
      <c r="C3807" s="519" t="s">
        <v>32</v>
      </c>
      <c r="D3807" s="519" t="s">
        <v>2767</v>
      </c>
      <c r="E3807" s="905" t="s">
        <v>2433</v>
      </c>
      <c r="F3807" s="905"/>
      <c r="G3807" s="521" t="s">
        <v>1901</v>
      </c>
      <c r="H3807" s="522">
        <v>0.16550000000000001</v>
      </c>
      <c r="I3807" s="523">
        <v>31.49</v>
      </c>
      <c r="J3807" s="523">
        <v>5.21</v>
      </c>
    </row>
    <row r="3808" spans="1:10" x14ac:dyDescent="0.3">
      <c r="A3808" s="519" t="s">
        <v>2437</v>
      </c>
      <c r="B3808" s="520" t="s">
        <v>3797</v>
      </c>
      <c r="C3808" s="519" t="s">
        <v>32</v>
      </c>
      <c r="D3808" s="519" t="s">
        <v>3798</v>
      </c>
      <c r="E3808" s="905" t="s">
        <v>2442</v>
      </c>
      <c r="F3808" s="905"/>
      <c r="G3808" s="521" t="s">
        <v>89</v>
      </c>
      <c r="H3808" s="522">
        <v>1</v>
      </c>
      <c r="I3808" s="523">
        <v>2.52</v>
      </c>
      <c r="J3808" s="523">
        <v>2.52</v>
      </c>
    </row>
    <row r="3809" spans="1:10" ht="14.5" thickBot="1" x14ac:dyDescent="0.35">
      <c r="A3809" s="519" t="s">
        <v>2437</v>
      </c>
      <c r="B3809" s="520" t="s">
        <v>4545</v>
      </c>
      <c r="C3809" s="519" t="s">
        <v>32</v>
      </c>
      <c r="D3809" s="519" t="s">
        <v>4546</v>
      </c>
      <c r="E3809" s="905" t="s">
        <v>2442</v>
      </c>
      <c r="F3809" s="905"/>
      <c r="G3809" s="521" t="s">
        <v>89</v>
      </c>
      <c r="H3809" s="522">
        <v>1</v>
      </c>
      <c r="I3809" s="523">
        <v>9.56</v>
      </c>
      <c r="J3809" s="523">
        <v>9.56</v>
      </c>
    </row>
    <row r="3810" spans="1:10" ht="14.5" thickTop="1" x14ac:dyDescent="0.3">
      <c r="A3810" s="647"/>
      <c r="B3810" s="647"/>
      <c r="C3810" s="647"/>
      <c r="D3810" s="647"/>
      <c r="E3810" s="647"/>
      <c r="F3810" s="647"/>
      <c r="G3810" s="647"/>
      <c r="H3810" s="647"/>
      <c r="I3810" s="647"/>
      <c r="J3810"/>
    </row>
    <row r="3811" spans="1:10" s="358" customFormat="1" x14ac:dyDescent="0.3">
      <c r="A3811" s="516"/>
      <c r="B3811" s="517" t="s">
        <v>15</v>
      </c>
      <c r="C3811" s="516" t="s">
        <v>16</v>
      </c>
      <c r="D3811" s="516" t="s">
        <v>17</v>
      </c>
      <c r="E3811" s="904" t="s">
        <v>2431</v>
      </c>
      <c r="F3811" s="904"/>
      <c r="G3811" s="518" t="s">
        <v>18</v>
      </c>
      <c r="H3811" s="517" t="s">
        <v>19</v>
      </c>
      <c r="I3811" s="517" t="s">
        <v>20</v>
      </c>
      <c r="J3811" s="517" t="s">
        <v>23</v>
      </c>
    </row>
    <row r="3812" spans="1:10" ht="25.5" customHeight="1" x14ac:dyDescent="0.3">
      <c r="A3812" s="642" t="s">
        <v>2432</v>
      </c>
      <c r="B3812" s="643" t="s">
        <v>2919</v>
      </c>
      <c r="C3812" s="642" t="s">
        <v>32</v>
      </c>
      <c r="D3812" s="642" t="s">
        <v>2920</v>
      </c>
      <c r="E3812" s="906" t="s">
        <v>2465</v>
      </c>
      <c r="F3812" s="906"/>
      <c r="G3812" s="644" t="s">
        <v>110</v>
      </c>
      <c r="H3812" s="645">
        <v>1</v>
      </c>
      <c r="I3812" s="646">
        <v>27.87</v>
      </c>
      <c r="J3812" s="646">
        <v>27.87</v>
      </c>
    </row>
    <row r="3813" spans="1:10" s="358" customFormat="1" ht="38.25" customHeight="1" x14ac:dyDescent="0.3">
      <c r="A3813" s="519" t="s">
        <v>2434</v>
      </c>
      <c r="B3813" s="520" t="s">
        <v>2894</v>
      </c>
      <c r="C3813" s="519" t="s">
        <v>32</v>
      </c>
      <c r="D3813" s="519" t="s">
        <v>2895</v>
      </c>
      <c r="E3813" s="905" t="s">
        <v>2433</v>
      </c>
      <c r="F3813" s="905"/>
      <c r="G3813" s="521" t="s">
        <v>1901</v>
      </c>
      <c r="H3813" s="522">
        <v>1</v>
      </c>
      <c r="I3813" s="523">
        <v>25.72</v>
      </c>
      <c r="J3813" s="523">
        <v>25.72</v>
      </c>
    </row>
    <row r="3814" spans="1:10" ht="25.5" customHeight="1" x14ac:dyDescent="0.3">
      <c r="A3814" s="519" t="s">
        <v>2434</v>
      </c>
      <c r="B3814" s="520" t="s">
        <v>3799</v>
      </c>
      <c r="C3814" s="519" t="s">
        <v>32</v>
      </c>
      <c r="D3814" s="519" t="s">
        <v>3800</v>
      </c>
      <c r="E3814" s="905" t="s">
        <v>2465</v>
      </c>
      <c r="F3814" s="905"/>
      <c r="G3814" s="521" t="s">
        <v>1901</v>
      </c>
      <c r="H3814" s="522">
        <v>1</v>
      </c>
      <c r="I3814" s="523">
        <v>1.75</v>
      </c>
      <c r="J3814" s="523">
        <v>1.75</v>
      </c>
    </row>
    <row r="3815" spans="1:10" ht="26.25" customHeight="1" thickBot="1" x14ac:dyDescent="0.35">
      <c r="A3815" s="519" t="s">
        <v>2434</v>
      </c>
      <c r="B3815" s="520" t="s">
        <v>3801</v>
      </c>
      <c r="C3815" s="519" t="s">
        <v>32</v>
      </c>
      <c r="D3815" s="519" t="s">
        <v>3802</v>
      </c>
      <c r="E3815" s="905" t="s">
        <v>2465</v>
      </c>
      <c r="F3815" s="905"/>
      <c r="G3815" s="521" t="s">
        <v>1901</v>
      </c>
      <c r="H3815" s="522">
        <v>1</v>
      </c>
      <c r="I3815" s="523">
        <v>0.4</v>
      </c>
      <c r="J3815" s="523">
        <v>0.4</v>
      </c>
    </row>
    <row r="3816" spans="1:10" ht="14.5" thickTop="1" x14ac:dyDescent="0.3">
      <c r="A3816" s="647"/>
      <c r="B3816" s="647"/>
      <c r="C3816" s="647"/>
      <c r="D3816" s="647"/>
      <c r="E3816" s="647"/>
      <c r="F3816" s="647"/>
      <c r="G3816" s="647"/>
      <c r="H3816" s="647"/>
      <c r="I3816" s="647"/>
      <c r="J3816"/>
    </row>
    <row r="3817" spans="1:10" s="358" customFormat="1" x14ac:dyDescent="0.3">
      <c r="A3817" s="516"/>
      <c r="B3817" s="517" t="s">
        <v>15</v>
      </c>
      <c r="C3817" s="516" t="s">
        <v>16</v>
      </c>
      <c r="D3817" s="516" t="s">
        <v>17</v>
      </c>
      <c r="E3817" s="904" t="s">
        <v>2431</v>
      </c>
      <c r="F3817" s="904"/>
      <c r="G3817" s="518" t="s">
        <v>18</v>
      </c>
      <c r="H3817" s="517" t="s">
        <v>19</v>
      </c>
      <c r="I3817" s="517" t="s">
        <v>20</v>
      </c>
      <c r="J3817" s="517" t="s">
        <v>23</v>
      </c>
    </row>
    <row r="3818" spans="1:10" ht="25.5" customHeight="1" x14ac:dyDescent="0.3">
      <c r="A3818" s="642" t="s">
        <v>2432</v>
      </c>
      <c r="B3818" s="643" t="s">
        <v>2898</v>
      </c>
      <c r="C3818" s="642" t="s">
        <v>32</v>
      </c>
      <c r="D3818" s="642" t="s">
        <v>2899</v>
      </c>
      <c r="E3818" s="906" t="s">
        <v>2465</v>
      </c>
      <c r="F3818" s="906"/>
      <c r="G3818" s="644" t="s">
        <v>103</v>
      </c>
      <c r="H3818" s="645">
        <v>1</v>
      </c>
      <c r="I3818" s="646">
        <v>30.06</v>
      </c>
      <c r="J3818" s="646">
        <v>30.06</v>
      </c>
    </row>
    <row r="3819" spans="1:10" s="358" customFormat="1" ht="38.25" customHeight="1" x14ac:dyDescent="0.3">
      <c r="A3819" s="519" t="s">
        <v>2434</v>
      </c>
      <c r="B3819" s="520" t="s">
        <v>3803</v>
      </c>
      <c r="C3819" s="519" t="s">
        <v>32</v>
      </c>
      <c r="D3819" s="519" t="s">
        <v>3804</v>
      </c>
      <c r="E3819" s="905" t="s">
        <v>2465</v>
      </c>
      <c r="F3819" s="905"/>
      <c r="G3819" s="521" t="s">
        <v>1901</v>
      </c>
      <c r="H3819" s="522">
        <v>1</v>
      </c>
      <c r="I3819" s="523">
        <v>2.19</v>
      </c>
      <c r="J3819" s="523">
        <v>2.19</v>
      </c>
    </row>
    <row r="3820" spans="1:10" ht="25" x14ac:dyDescent="0.3">
      <c r="A3820" s="519" t="s">
        <v>2434</v>
      </c>
      <c r="B3820" s="520" t="s">
        <v>2894</v>
      </c>
      <c r="C3820" s="519" t="s">
        <v>32</v>
      </c>
      <c r="D3820" s="519" t="s">
        <v>2895</v>
      </c>
      <c r="E3820" s="905" t="s">
        <v>2433</v>
      </c>
      <c r="F3820" s="905"/>
      <c r="G3820" s="521" t="s">
        <v>1901</v>
      </c>
      <c r="H3820" s="522">
        <v>1</v>
      </c>
      <c r="I3820" s="523">
        <v>25.72</v>
      </c>
      <c r="J3820" s="523">
        <v>25.72</v>
      </c>
    </row>
    <row r="3821" spans="1:10" ht="25.5" customHeight="1" x14ac:dyDescent="0.3">
      <c r="A3821" s="519" t="s">
        <v>2434</v>
      </c>
      <c r="B3821" s="520" t="s">
        <v>3799</v>
      </c>
      <c r="C3821" s="519" t="s">
        <v>32</v>
      </c>
      <c r="D3821" s="519" t="s">
        <v>3800</v>
      </c>
      <c r="E3821" s="905" t="s">
        <v>2465</v>
      </c>
      <c r="F3821" s="905"/>
      <c r="G3821" s="521" t="s">
        <v>1901</v>
      </c>
      <c r="H3821" s="522">
        <v>1</v>
      </c>
      <c r="I3821" s="523">
        <v>1.75</v>
      </c>
      <c r="J3821" s="523">
        <v>1.75</v>
      </c>
    </row>
    <row r="3822" spans="1:10" ht="26.25" customHeight="1" thickBot="1" x14ac:dyDescent="0.35">
      <c r="A3822" s="519" t="s">
        <v>2434</v>
      </c>
      <c r="B3822" s="520" t="s">
        <v>3801</v>
      </c>
      <c r="C3822" s="519" t="s">
        <v>32</v>
      </c>
      <c r="D3822" s="519" t="s">
        <v>3802</v>
      </c>
      <c r="E3822" s="905" t="s">
        <v>2465</v>
      </c>
      <c r="F3822" s="905"/>
      <c r="G3822" s="521" t="s">
        <v>1901</v>
      </c>
      <c r="H3822" s="522">
        <v>1</v>
      </c>
      <c r="I3822" s="523">
        <v>0.4</v>
      </c>
      <c r="J3822" s="523">
        <v>0.4</v>
      </c>
    </row>
    <row r="3823" spans="1:10" ht="14.5" thickTop="1" x14ac:dyDescent="0.3">
      <c r="A3823" s="647"/>
      <c r="B3823" s="647"/>
      <c r="C3823" s="647"/>
      <c r="D3823" s="647"/>
      <c r="E3823" s="647"/>
      <c r="F3823" s="647"/>
      <c r="G3823" s="647"/>
      <c r="H3823" s="647"/>
      <c r="I3823" s="647"/>
      <c r="J3823"/>
    </row>
    <row r="3824" spans="1:10" s="358" customFormat="1" x14ac:dyDescent="0.3">
      <c r="A3824" s="516"/>
      <c r="B3824" s="517" t="s">
        <v>15</v>
      </c>
      <c r="C3824" s="516" t="s">
        <v>16</v>
      </c>
      <c r="D3824" s="516" t="s">
        <v>17</v>
      </c>
      <c r="E3824" s="904" t="s">
        <v>2431</v>
      </c>
      <c r="F3824" s="904"/>
      <c r="G3824" s="518" t="s">
        <v>18</v>
      </c>
      <c r="H3824" s="517" t="s">
        <v>19</v>
      </c>
      <c r="I3824" s="517" t="s">
        <v>20</v>
      </c>
      <c r="J3824" s="517" t="s">
        <v>23</v>
      </c>
    </row>
    <row r="3825" spans="1:10" ht="25.5" customHeight="1" x14ac:dyDescent="0.3">
      <c r="A3825" s="642" t="s">
        <v>2432</v>
      </c>
      <c r="B3825" s="643" t="s">
        <v>3799</v>
      </c>
      <c r="C3825" s="642" t="s">
        <v>32</v>
      </c>
      <c r="D3825" s="642" t="s">
        <v>3800</v>
      </c>
      <c r="E3825" s="906" t="s">
        <v>2465</v>
      </c>
      <c r="F3825" s="906"/>
      <c r="G3825" s="644" t="s">
        <v>1901</v>
      </c>
      <c r="H3825" s="645">
        <v>1</v>
      </c>
      <c r="I3825" s="646">
        <v>1.75</v>
      </c>
      <c r="J3825" s="646">
        <v>1.75</v>
      </c>
    </row>
    <row r="3826" spans="1:10" s="358" customFormat="1" ht="25.5" customHeight="1" thickBot="1" x14ac:dyDescent="0.35">
      <c r="A3826" s="519" t="s">
        <v>2437</v>
      </c>
      <c r="B3826" s="520" t="s">
        <v>3805</v>
      </c>
      <c r="C3826" s="519" t="s">
        <v>32</v>
      </c>
      <c r="D3826" s="519" t="s">
        <v>3806</v>
      </c>
      <c r="E3826" s="905" t="s">
        <v>2446</v>
      </c>
      <c r="F3826" s="905"/>
      <c r="G3826" s="521" t="s">
        <v>89</v>
      </c>
      <c r="H3826" s="522">
        <v>6.3999999999999997E-5</v>
      </c>
      <c r="I3826" s="523">
        <v>27465.01</v>
      </c>
      <c r="J3826" s="523">
        <v>1.75</v>
      </c>
    </row>
    <row r="3827" spans="1:10" ht="14.5" thickTop="1" x14ac:dyDescent="0.3">
      <c r="A3827" s="647"/>
      <c r="B3827" s="647"/>
      <c r="C3827" s="647"/>
      <c r="D3827" s="647"/>
      <c r="E3827" s="647"/>
      <c r="F3827" s="647"/>
      <c r="G3827" s="647"/>
      <c r="H3827" s="647"/>
      <c r="I3827" s="647"/>
      <c r="J3827"/>
    </row>
    <row r="3828" spans="1:10" x14ac:dyDescent="0.3">
      <c r="A3828" s="516"/>
      <c r="B3828" s="517" t="s">
        <v>15</v>
      </c>
      <c r="C3828" s="516" t="s">
        <v>16</v>
      </c>
      <c r="D3828" s="516" t="s">
        <v>17</v>
      </c>
      <c r="E3828" s="904" t="s">
        <v>2431</v>
      </c>
      <c r="F3828" s="904"/>
      <c r="G3828" s="518" t="s">
        <v>18</v>
      </c>
      <c r="H3828" s="517" t="s">
        <v>19</v>
      </c>
      <c r="I3828" s="517" t="s">
        <v>20</v>
      </c>
      <c r="J3828" s="517" t="s">
        <v>23</v>
      </c>
    </row>
    <row r="3829" spans="1:10" ht="25.5" customHeight="1" x14ac:dyDescent="0.3">
      <c r="A3829" s="642" t="s">
        <v>2432</v>
      </c>
      <c r="B3829" s="643" t="s">
        <v>3801</v>
      </c>
      <c r="C3829" s="642" t="s">
        <v>32</v>
      </c>
      <c r="D3829" s="642" t="s">
        <v>3802</v>
      </c>
      <c r="E3829" s="906" t="s">
        <v>2465</v>
      </c>
      <c r="F3829" s="906"/>
      <c r="G3829" s="644" t="s">
        <v>1901</v>
      </c>
      <c r="H3829" s="645">
        <v>1</v>
      </c>
      <c r="I3829" s="646">
        <v>0.4</v>
      </c>
      <c r="J3829" s="646">
        <v>0.4</v>
      </c>
    </row>
    <row r="3830" spans="1:10" ht="25.5" thickBot="1" x14ac:dyDescent="0.35">
      <c r="A3830" s="519" t="s">
        <v>2437</v>
      </c>
      <c r="B3830" s="520" t="s">
        <v>3805</v>
      </c>
      <c r="C3830" s="519" t="s">
        <v>32</v>
      </c>
      <c r="D3830" s="519" t="s">
        <v>3806</v>
      </c>
      <c r="E3830" s="905" t="s">
        <v>2446</v>
      </c>
      <c r="F3830" s="905"/>
      <c r="G3830" s="521" t="s">
        <v>89</v>
      </c>
      <c r="H3830" s="522">
        <v>1.4800000000000001E-5</v>
      </c>
      <c r="I3830" s="523">
        <v>27465.01</v>
      </c>
      <c r="J3830" s="523">
        <v>0.4</v>
      </c>
    </row>
    <row r="3831" spans="1:10" s="358" customFormat="1" ht="14.5" thickTop="1" x14ac:dyDescent="0.3">
      <c r="A3831" s="647"/>
      <c r="B3831" s="647"/>
      <c r="C3831" s="647"/>
      <c r="D3831" s="647"/>
      <c r="E3831" s="647"/>
      <c r="F3831" s="647"/>
      <c r="G3831" s="647"/>
      <c r="H3831" s="647"/>
      <c r="I3831" s="647"/>
      <c r="J3831"/>
    </row>
    <row r="3832" spans="1:10" x14ac:dyDescent="0.3">
      <c r="A3832" s="516"/>
      <c r="B3832" s="517" t="s">
        <v>15</v>
      </c>
      <c r="C3832" s="516" t="s">
        <v>16</v>
      </c>
      <c r="D3832" s="516" t="s">
        <v>17</v>
      </c>
      <c r="E3832" s="904" t="s">
        <v>2431</v>
      </c>
      <c r="F3832" s="904"/>
      <c r="G3832" s="518" t="s">
        <v>18</v>
      </c>
      <c r="H3832" s="517" t="s">
        <v>19</v>
      </c>
      <c r="I3832" s="517" t="s">
        <v>20</v>
      </c>
      <c r="J3832" s="517" t="s">
        <v>23</v>
      </c>
    </row>
    <row r="3833" spans="1:10" s="358" customFormat="1" ht="25.5" customHeight="1" x14ac:dyDescent="0.3">
      <c r="A3833" s="642" t="s">
        <v>2432</v>
      </c>
      <c r="B3833" s="643" t="s">
        <v>3803</v>
      </c>
      <c r="C3833" s="642" t="s">
        <v>32</v>
      </c>
      <c r="D3833" s="642" t="s">
        <v>3804</v>
      </c>
      <c r="E3833" s="906" t="s">
        <v>2465</v>
      </c>
      <c r="F3833" s="906"/>
      <c r="G3833" s="644" t="s">
        <v>1901</v>
      </c>
      <c r="H3833" s="645">
        <v>1</v>
      </c>
      <c r="I3833" s="646">
        <v>2.19</v>
      </c>
      <c r="J3833" s="646">
        <v>2.19</v>
      </c>
    </row>
    <row r="3834" spans="1:10" ht="25.5" thickBot="1" x14ac:dyDescent="0.35">
      <c r="A3834" s="519" t="s">
        <v>2437</v>
      </c>
      <c r="B3834" s="520" t="s">
        <v>3805</v>
      </c>
      <c r="C3834" s="519" t="s">
        <v>32</v>
      </c>
      <c r="D3834" s="519" t="s">
        <v>3806</v>
      </c>
      <c r="E3834" s="905" t="s">
        <v>2446</v>
      </c>
      <c r="F3834" s="905"/>
      <c r="G3834" s="521" t="s">
        <v>89</v>
      </c>
      <c r="H3834" s="522">
        <v>8.0000000000000007E-5</v>
      </c>
      <c r="I3834" s="523">
        <v>27465.01</v>
      </c>
      <c r="J3834" s="523">
        <v>2.19</v>
      </c>
    </row>
    <row r="3835" spans="1:10" ht="14.5" thickTop="1" x14ac:dyDescent="0.3">
      <c r="A3835" s="647"/>
      <c r="B3835" s="647"/>
      <c r="C3835" s="647"/>
      <c r="D3835" s="647"/>
      <c r="E3835" s="647"/>
      <c r="F3835" s="647"/>
      <c r="G3835" s="647"/>
      <c r="H3835" s="647"/>
      <c r="I3835" s="647"/>
      <c r="J3835"/>
    </row>
    <row r="3836" spans="1:10" x14ac:dyDescent="0.3">
      <c r="A3836" s="516"/>
      <c r="B3836" s="517" t="s">
        <v>15</v>
      </c>
      <c r="C3836" s="516" t="s">
        <v>16</v>
      </c>
      <c r="D3836" s="516" t="s">
        <v>17</v>
      </c>
      <c r="E3836" s="904" t="s">
        <v>2431</v>
      </c>
      <c r="F3836" s="904"/>
      <c r="G3836" s="518" t="s">
        <v>18</v>
      </c>
      <c r="H3836" s="517" t="s">
        <v>19</v>
      </c>
      <c r="I3836" s="517" t="s">
        <v>20</v>
      </c>
      <c r="J3836" s="517" t="s">
        <v>23</v>
      </c>
    </row>
    <row r="3837" spans="1:10" s="358" customFormat="1" ht="25" x14ac:dyDescent="0.3">
      <c r="A3837" s="642" t="s">
        <v>2432</v>
      </c>
      <c r="B3837" s="643" t="s">
        <v>2559</v>
      </c>
      <c r="C3837" s="642" t="s">
        <v>32</v>
      </c>
      <c r="D3837" s="642" t="s">
        <v>2560</v>
      </c>
      <c r="E3837" s="906" t="s">
        <v>2433</v>
      </c>
      <c r="F3837" s="906"/>
      <c r="G3837" s="644" t="s">
        <v>1901</v>
      </c>
      <c r="H3837" s="645">
        <v>1</v>
      </c>
      <c r="I3837" s="646">
        <v>25.36</v>
      </c>
      <c r="J3837" s="646">
        <v>25.36</v>
      </c>
    </row>
    <row r="3838" spans="1:10" ht="25" x14ac:dyDescent="0.3">
      <c r="A3838" s="519" t="s">
        <v>2434</v>
      </c>
      <c r="B3838" s="520" t="s">
        <v>3511</v>
      </c>
      <c r="C3838" s="519" t="s">
        <v>32</v>
      </c>
      <c r="D3838" s="519" t="s">
        <v>3512</v>
      </c>
      <c r="E3838" s="905" t="s">
        <v>2433</v>
      </c>
      <c r="F3838" s="905"/>
      <c r="G3838" s="521" t="s">
        <v>1901</v>
      </c>
      <c r="H3838" s="522">
        <v>1</v>
      </c>
      <c r="I3838" s="523">
        <v>0.23</v>
      </c>
      <c r="J3838" s="523">
        <v>0.23</v>
      </c>
    </row>
    <row r="3839" spans="1:10" s="358" customFormat="1" ht="25.5" customHeight="1" x14ac:dyDescent="0.3">
      <c r="A3839" s="519" t="s">
        <v>2437</v>
      </c>
      <c r="B3839" s="520" t="s">
        <v>3257</v>
      </c>
      <c r="C3839" s="519" t="s">
        <v>32</v>
      </c>
      <c r="D3839" s="519" t="s">
        <v>4306</v>
      </c>
      <c r="E3839" s="905" t="s">
        <v>2856</v>
      </c>
      <c r="F3839" s="905"/>
      <c r="G3839" s="521" t="s">
        <v>1901</v>
      </c>
      <c r="H3839" s="522">
        <v>1</v>
      </c>
      <c r="I3839" s="523">
        <v>3.8</v>
      </c>
      <c r="J3839" s="523">
        <v>3.8</v>
      </c>
    </row>
    <row r="3840" spans="1:10" ht="25" x14ac:dyDescent="0.3">
      <c r="A3840" s="519" t="s">
        <v>2437</v>
      </c>
      <c r="B3840" s="520" t="s">
        <v>3258</v>
      </c>
      <c r="C3840" s="519" t="s">
        <v>32</v>
      </c>
      <c r="D3840" s="519" t="s">
        <v>4307</v>
      </c>
      <c r="E3840" s="905" t="s">
        <v>3259</v>
      </c>
      <c r="F3840" s="905"/>
      <c r="G3840" s="521" t="s">
        <v>1901</v>
      </c>
      <c r="H3840" s="522">
        <v>1</v>
      </c>
      <c r="I3840" s="523">
        <v>1.5</v>
      </c>
      <c r="J3840" s="523">
        <v>1.5</v>
      </c>
    </row>
    <row r="3841" spans="1:10" ht="25.5" customHeight="1" x14ac:dyDescent="0.3">
      <c r="A3841" s="519" t="s">
        <v>2437</v>
      </c>
      <c r="B3841" s="520" t="s">
        <v>3260</v>
      </c>
      <c r="C3841" s="519" t="s">
        <v>32</v>
      </c>
      <c r="D3841" s="519" t="s">
        <v>4308</v>
      </c>
      <c r="E3841" s="905" t="s">
        <v>2856</v>
      </c>
      <c r="F3841" s="905"/>
      <c r="G3841" s="521" t="s">
        <v>1901</v>
      </c>
      <c r="H3841" s="522">
        <v>1</v>
      </c>
      <c r="I3841" s="523">
        <v>1.34</v>
      </c>
      <c r="J3841" s="523">
        <v>1.34</v>
      </c>
    </row>
    <row r="3842" spans="1:10" ht="26.25" customHeight="1" x14ac:dyDescent="0.3">
      <c r="A3842" s="519" t="s">
        <v>2437</v>
      </c>
      <c r="B3842" s="520" t="s">
        <v>3261</v>
      </c>
      <c r="C3842" s="519" t="s">
        <v>32</v>
      </c>
      <c r="D3842" s="519" t="s">
        <v>4309</v>
      </c>
      <c r="E3842" s="905" t="s">
        <v>2535</v>
      </c>
      <c r="F3842" s="905"/>
      <c r="G3842" s="521" t="s">
        <v>1901</v>
      </c>
      <c r="H3842" s="522">
        <v>1</v>
      </c>
      <c r="I3842" s="523">
        <v>0.04</v>
      </c>
      <c r="J3842" s="523">
        <v>0.04</v>
      </c>
    </row>
    <row r="3843" spans="1:10" s="358" customFormat="1" ht="25" x14ac:dyDescent="0.3">
      <c r="A3843" s="519" t="s">
        <v>2437</v>
      </c>
      <c r="B3843" s="520" t="s">
        <v>3310</v>
      </c>
      <c r="C3843" s="519" t="s">
        <v>32</v>
      </c>
      <c r="D3843" s="519" t="s">
        <v>3311</v>
      </c>
      <c r="E3843" s="905" t="s">
        <v>2446</v>
      </c>
      <c r="F3843" s="905"/>
      <c r="G3843" s="521" t="s">
        <v>1901</v>
      </c>
      <c r="H3843" s="522">
        <v>1</v>
      </c>
      <c r="I3843" s="523">
        <v>0.01</v>
      </c>
      <c r="J3843" s="523">
        <v>0.01</v>
      </c>
    </row>
    <row r="3844" spans="1:10" ht="25" x14ac:dyDescent="0.3">
      <c r="A3844" s="519" t="s">
        <v>2437</v>
      </c>
      <c r="B3844" s="520" t="s">
        <v>3312</v>
      </c>
      <c r="C3844" s="519" t="s">
        <v>32</v>
      </c>
      <c r="D3844" s="519" t="s">
        <v>3313</v>
      </c>
      <c r="E3844" s="905" t="s">
        <v>2446</v>
      </c>
      <c r="F3844" s="905"/>
      <c r="G3844" s="521" t="s">
        <v>1901</v>
      </c>
      <c r="H3844" s="522">
        <v>1</v>
      </c>
      <c r="I3844" s="523">
        <v>0.86</v>
      </c>
      <c r="J3844" s="523">
        <v>0.86</v>
      </c>
    </row>
    <row r="3845" spans="1:10" s="358" customFormat="1" ht="25.5" customHeight="1" thickBot="1" x14ac:dyDescent="0.35">
      <c r="A3845" s="519" t="s">
        <v>2437</v>
      </c>
      <c r="B3845" s="520" t="s">
        <v>3513</v>
      </c>
      <c r="C3845" s="519" t="s">
        <v>32</v>
      </c>
      <c r="D3845" s="519" t="s">
        <v>3514</v>
      </c>
      <c r="E3845" s="905" t="s">
        <v>2440</v>
      </c>
      <c r="F3845" s="905"/>
      <c r="G3845" s="521" t="s">
        <v>1901</v>
      </c>
      <c r="H3845" s="522">
        <v>1</v>
      </c>
      <c r="I3845" s="523">
        <v>17.579999999999998</v>
      </c>
      <c r="J3845" s="523">
        <v>17.579999999999998</v>
      </c>
    </row>
    <row r="3846" spans="1:10" ht="25.5" customHeight="1" thickTop="1" x14ac:dyDescent="0.3">
      <c r="A3846" s="647"/>
      <c r="B3846" s="647"/>
      <c r="C3846" s="647"/>
      <c r="D3846" s="647"/>
      <c r="E3846" s="647"/>
      <c r="F3846" s="647"/>
      <c r="G3846" s="647"/>
      <c r="H3846" s="647"/>
      <c r="I3846" s="647"/>
      <c r="J3846"/>
    </row>
    <row r="3847" spans="1:10" x14ac:dyDescent="0.3">
      <c r="A3847" s="516"/>
      <c r="B3847" s="517" t="s">
        <v>15</v>
      </c>
      <c r="C3847" s="516" t="s">
        <v>16</v>
      </c>
      <c r="D3847" s="516" t="s">
        <v>17</v>
      </c>
      <c r="E3847" s="904" t="s">
        <v>2431</v>
      </c>
      <c r="F3847" s="904"/>
      <c r="G3847" s="518" t="s">
        <v>18</v>
      </c>
      <c r="H3847" s="517" t="s">
        <v>19</v>
      </c>
      <c r="I3847" s="517" t="s">
        <v>20</v>
      </c>
      <c r="J3847" s="517" t="s">
        <v>23</v>
      </c>
    </row>
    <row r="3848" spans="1:10" ht="25.5" customHeight="1" x14ac:dyDescent="0.3">
      <c r="A3848" s="642" t="s">
        <v>2432</v>
      </c>
      <c r="B3848" s="643" t="s">
        <v>2960</v>
      </c>
      <c r="C3848" s="642" t="s">
        <v>32</v>
      </c>
      <c r="D3848" s="642" t="s">
        <v>2961</v>
      </c>
      <c r="E3848" s="906" t="s">
        <v>2465</v>
      </c>
      <c r="F3848" s="906"/>
      <c r="G3848" s="644" t="s">
        <v>110</v>
      </c>
      <c r="H3848" s="645">
        <v>1</v>
      </c>
      <c r="I3848" s="646">
        <v>103.2</v>
      </c>
      <c r="J3848" s="646">
        <v>103.2</v>
      </c>
    </row>
    <row r="3849" spans="1:10" ht="26.25" customHeight="1" x14ac:dyDescent="0.3">
      <c r="A3849" s="519" t="s">
        <v>2434</v>
      </c>
      <c r="B3849" s="520" t="s">
        <v>3807</v>
      </c>
      <c r="C3849" s="519" t="s">
        <v>32</v>
      </c>
      <c r="D3849" s="519" t="s">
        <v>3808</v>
      </c>
      <c r="E3849" s="905" t="s">
        <v>2433</v>
      </c>
      <c r="F3849" s="905"/>
      <c r="G3849" s="521" t="s">
        <v>1901</v>
      </c>
      <c r="H3849" s="522">
        <v>1</v>
      </c>
      <c r="I3849" s="523">
        <v>39.909999999999997</v>
      </c>
      <c r="J3849" s="523">
        <v>39.909999999999997</v>
      </c>
    </row>
    <row r="3850" spans="1:10" s="358" customFormat="1" ht="38.25" customHeight="1" x14ac:dyDescent="0.3">
      <c r="A3850" s="519" t="s">
        <v>2434</v>
      </c>
      <c r="B3850" s="520" t="s">
        <v>3809</v>
      </c>
      <c r="C3850" s="519" t="s">
        <v>32</v>
      </c>
      <c r="D3850" s="519" t="s">
        <v>3810</v>
      </c>
      <c r="E3850" s="905" t="s">
        <v>2465</v>
      </c>
      <c r="F3850" s="905"/>
      <c r="G3850" s="521" t="s">
        <v>1901</v>
      </c>
      <c r="H3850" s="522">
        <v>1</v>
      </c>
      <c r="I3850" s="523">
        <v>46.8</v>
      </c>
      <c r="J3850" s="523">
        <v>46.8</v>
      </c>
    </row>
    <row r="3851" spans="1:10" ht="39" customHeight="1" thickBot="1" x14ac:dyDescent="0.35">
      <c r="A3851" s="519" t="s">
        <v>2434</v>
      </c>
      <c r="B3851" s="520" t="s">
        <v>3811</v>
      </c>
      <c r="C3851" s="519" t="s">
        <v>32</v>
      </c>
      <c r="D3851" s="519" t="s">
        <v>3812</v>
      </c>
      <c r="E3851" s="905" t="s">
        <v>2465</v>
      </c>
      <c r="F3851" s="905"/>
      <c r="G3851" s="521" t="s">
        <v>1901</v>
      </c>
      <c r="H3851" s="522">
        <v>1</v>
      </c>
      <c r="I3851" s="523">
        <v>16.489999999999998</v>
      </c>
      <c r="J3851" s="523">
        <v>16.489999999999998</v>
      </c>
    </row>
    <row r="3852" spans="1:10" s="358" customFormat="1" ht="25.5" customHeight="1" thickTop="1" x14ac:dyDescent="0.3">
      <c r="A3852" s="647"/>
      <c r="B3852" s="647"/>
      <c r="C3852" s="647"/>
      <c r="D3852" s="647"/>
      <c r="E3852" s="647"/>
      <c r="F3852" s="647"/>
      <c r="G3852" s="647"/>
      <c r="H3852" s="647"/>
      <c r="I3852" s="647"/>
      <c r="J3852"/>
    </row>
    <row r="3853" spans="1:10" x14ac:dyDescent="0.3">
      <c r="A3853" s="516"/>
      <c r="B3853" s="517" t="s">
        <v>15</v>
      </c>
      <c r="C3853" s="516" t="s">
        <v>16</v>
      </c>
      <c r="D3853" s="516" t="s">
        <v>17</v>
      </c>
      <c r="E3853" s="904" t="s">
        <v>2431</v>
      </c>
      <c r="F3853" s="904"/>
      <c r="G3853" s="518" t="s">
        <v>18</v>
      </c>
      <c r="H3853" s="517" t="s">
        <v>19</v>
      </c>
      <c r="I3853" s="517" t="s">
        <v>20</v>
      </c>
      <c r="J3853" s="517" t="s">
        <v>23</v>
      </c>
    </row>
    <row r="3854" spans="1:10" s="358" customFormat="1" ht="38.25" customHeight="1" x14ac:dyDescent="0.3">
      <c r="A3854" s="642" t="s">
        <v>2432</v>
      </c>
      <c r="B3854" s="643" t="s">
        <v>2958</v>
      </c>
      <c r="C3854" s="642" t="s">
        <v>32</v>
      </c>
      <c r="D3854" s="642" t="s">
        <v>2959</v>
      </c>
      <c r="E3854" s="906" t="s">
        <v>2465</v>
      </c>
      <c r="F3854" s="906"/>
      <c r="G3854" s="644" t="s">
        <v>103</v>
      </c>
      <c r="H3854" s="645">
        <v>1</v>
      </c>
      <c r="I3854" s="646">
        <v>254.07</v>
      </c>
      <c r="J3854" s="646">
        <v>254.07</v>
      </c>
    </row>
    <row r="3855" spans="1:10" ht="38.25" customHeight="1" x14ac:dyDescent="0.3">
      <c r="A3855" s="519" t="s">
        <v>2434</v>
      </c>
      <c r="B3855" s="520" t="s">
        <v>3813</v>
      </c>
      <c r="C3855" s="519" t="s">
        <v>32</v>
      </c>
      <c r="D3855" s="519" t="s">
        <v>3814</v>
      </c>
      <c r="E3855" s="905" t="s">
        <v>2465</v>
      </c>
      <c r="F3855" s="905"/>
      <c r="G3855" s="521" t="s">
        <v>1901</v>
      </c>
      <c r="H3855" s="522">
        <v>1</v>
      </c>
      <c r="I3855" s="523">
        <v>75.64</v>
      </c>
      <c r="J3855" s="523">
        <v>75.64</v>
      </c>
    </row>
    <row r="3856" spans="1:10" s="358" customFormat="1" ht="25.5" customHeight="1" x14ac:dyDescent="0.3">
      <c r="A3856" s="519" t="s">
        <v>2434</v>
      </c>
      <c r="B3856" s="520" t="s">
        <v>3815</v>
      </c>
      <c r="C3856" s="519" t="s">
        <v>32</v>
      </c>
      <c r="D3856" s="519" t="s">
        <v>3816</v>
      </c>
      <c r="E3856" s="905" t="s">
        <v>2465</v>
      </c>
      <c r="F3856" s="905"/>
      <c r="G3856" s="521" t="s">
        <v>1901</v>
      </c>
      <c r="H3856" s="522">
        <v>1</v>
      </c>
      <c r="I3856" s="523">
        <v>75.23</v>
      </c>
      <c r="J3856" s="523">
        <v>75.23</v>
      </c>
    </row>
    <row r="3857" spans="1:10" ht="25" x14ac:dyDescent="0.3">
      <c r="A3857" s="519" t="s">
        <v>2434</v>
      </c>
      <c r="B3857" s="520" t="s">
        <v>3807</v>
      </c>
      <c r="C3857" s="519" t="s">
        <v>32</v>
      </c>
      <c r="D3857" s="519" t="s">
        <v>3808</v>
      </c>
      <c r="E3857" s="905" t="s">
        <v>2433</v>
      </c>
      <c r="F3857" s="905"/>
      <c r="G3857" s="521" t="s">
        <v>1901</v>
      </c>
      <c r="H3857" s="522">
        <v>1</v>
      </c>
      <c r="I3857" s="523">
        <v>39.909999999999997</v>
      </c>
      <c r="J3857" s="523">
        <v>39.909999999999997</v>
      </c>
    </row>
    <row r="3858" spans="1:10" s="358" customFormat="1" ht="38.25" customHeight="1" x14ac:dyDescent="0.3">
      <c r="A3858" s="519" t="s">
        <v>2434</v>
      </c>
      <c r="B3858" s="520" t="s">
        <v>3809</v>
      </c>
      <c r="C3858" s="519" t="s">
        <v>32</v>
      </c>
      <c r="D3858" s="519" t="s">
        <v>3810</v>
      </c>
      <c r="E3858" s="905" t="s">
        <v>2465</v>
      </c>
      <c r="F3858" s="905"/>
      <c r="G3858" s="521" t="s">
        <v>1901</v>
      </c>
      <c r="H3858" s="522">
        <v>1</v>
      </c>
      <c r="I3858" s="523">
        <v>46.8</v>
      </c>
      <c r="J3858" s="523">
        <v>46.8</v>
      </c>
    </row>
    <row r="3859" spans="1:10" ht="39" customHeight="1" thickBot="1" x14ac:dyDescent="0.35">
      <c r="A3859" s="519" t="s">
        <v>2434</v>
      </c>
      <c r="B3859" s="520" t="s">
        <v>3811</v>
      </c>
      <c r="C3859" s="519" t="s">
        <v>32</v>
      </c>
      <c r="D3859" s="519" t="s">
        <v>3812</v>
      </c>
      <c r="E3859" s="905" t="s">
        <v>2465</v>
      </c>
      <c r="F3859" s="905"/>
      <c r="G3859" s="521" t="s">
        <v>1901</v>
      </c>
      <c r="H3859" s="522">
        <v>1</v>
      </c>
      <c r="I3859" s="523">
        <v>16.489999999999998</v>
      </c>
      <c r="J3859" s="523">
        <v>16.489999999999998</v>
      </c>
    </row>
    <row r="3860" spans="1:10" s="358" customFormat="1" ht="25.5" customHeight="1" thickTop="1" x14ac:dyDescent="0.3">
      <c r="A3860" s="647"/>
      <c r="B3860" s="647"/>
      <c r="C3860" s="647"/>
      <c r="D3860" s="647"/>
      <c r="E3860" s="647"/>
      <c r="F3860" s="647"/>
      <c r="G3860" s="647"/>
      <c r="H3860" s="647"/>
      <c r="I3860" s="647"/>
      <c r="J3860"/>
    </row>
    <row r="3861" spans="1:10" x14ac:dyDescent="0.3">
      <c r="A3861" s="516"/>
      <c r="B3861" s="517" t="s">
        <v>15</v>
      </c>
      <c r="C3861" s="516" t="s">
        <v>16</v>
      </c>
      <c r="D3861" s="516" t="s">
        <v>17</v>
      </c>
      <c r="E3861" s="904" t="s">
        <v>2431</v>
      </c>
      <c r="F3861" s="904"/>
      <c r="G3861" s="518" t="s">
        <v>18</v>
      </c>
      <c r="H3861" s="517" t="s">
        <v>19</v>
      </c>
      <c r="I3861" s="517" t="s">
        <v>20</v>
      </c>
      <c r="J3861" s="517" t="s">
        <v>23</v>
      </c>
    </row>
    <row r="3862" spans="1:10" s="358" customFormat="1" ht="38.25" customHeight="1" x14ac:dyDescent="0.3">
      <c r="A3862" s="642" t="s">
        <v>2432</v>
      </c>
      <c r="B3862" s="643" t="s">
        <v>3809</v>
      </c>
      <c r="C3862" s="642" t="s">
        <v>32</v>
      </c>
      <c r="D3862" s="642" t="s">
        <v>3810</v>
      </c>
      <c r="E3862" s="906" t="s">
        <v>2465</v>
      </c>
      <c r="F3862" s="906"/>
      <c r="G3862" s="644" t="s">
        <v>1901</v>
      </c>
      <c r="H3862" s="645">
        <v>1</v>
      </c>
      <c r="I3862" s="646">
        <v>46.8</v>
      </c>
      <c r="J3862" s="646">
        <v>46.8</v>
      </c>
    </row>
    <row r="3863" spans="1:10" ht="25.5" thickBot="1" x14ac:dyDescent="0.35">
      <c r="A3863" s="519" t="s">
        <v>2437</v>
      </c>
      <c r="B3863" s="520" t="s">
        <v>3817</v>
      </c>
      <c r="C3863" s="519" t="s">
        <v>32</v>
      </c>
      <c r="D3863" s="519" t="s">
        <v>3818</v>
      </c>
      <c r="E3863" s="905" t="s">
        <v>2446</v>
      </c>
      <c r="F3863" s="905"/>
      <c r="G3863" s="521" t="s">
        <v>89</v>
      </c>
      <c r="H3863" s="522">
        <v>4.0000000000000003E-5</v>
      </c>
      <c r="I3863" s="523">
        <v>1170000</v>
      </c>
      <c r="J3863" s="523">
        <v>46.8</v>
      </c>
    </row>
    <row r="3864" spans="1:10" s="358" customFormat="1" ht="14.5" thickTop="1" x14ac:dyDescent="0.3">
      <c r="A3864" s="647"/>
      <c r="B3864" s="647"/>
      <c r="C3864" s="647"/>
      <c r="D3864" s="647"/>
      <c r="E3864" s="647"/>
      <c r="F3864" s="647"/>
      <c r="G3864" s="647"/>
      <c r="H3864" s="647"/>
      <c r="I3864" s="647"/>
      <c r="J3864"/>
    </row>
    <row r="3865" spans="1:10" x14ac:dyDescent="0.3">
      <c r="A3865" s="516"/>
      <c r="B3865" s="517" t="s">
        <v>15</v>
      </c>
      <c r="C3865" s="516" t="s">
        <v>16</v>
      </c>
      <c r="D3865" s="516" t="s">
        <v>17</v>
      </c>
      <c r="E3865" s="904" t="s">
        <v>2431</v>
      </c>
      <c r="F3865" s="904"/>
      <c r="G3865" s="518" t="s">
        <v>18</v>
      </c>
      <c r="H3865" s="517" t="s">
        <v>19</v>
      </c>
      <c r="I3865" s="517" t="s">
        <v>20</v>
      </c>
      <c r="J3865" s="517" t="s">
        <v>23</v>
      </c>
    </row>
    <row r="3866" spans="1:10" ht="38.25" customHeight="1" x14ac:dyDescent="0.3">
      <c r="A3866" s="642" t="s">
        <v>2432</v>
      </c>
      <c r="B3866" s="643" t="s">
        <v>3811</v>
      </c>
      <c r="C3866" s="642" t="s">
        <v>32</v>
      </c>
      <c r="D3866" s="642" t="s">
        <v>3812</v>
      </c>
      <c r="E3866" s="906" t="s">
        <v>2465</v>
      </c>
      <c r="F3866" s="906"/>
      <c r="G3866" s="644" t="s">
        <v>1901</v>
      </c>
      <c r="H3866" s="645">
        <v>1</v>
      </c>
      <c r="I3866" s="646">
        <v>16.489999999999998</v>
      </c>
      <c r="J3866" s="646">
        <v>16.489999999999998</v>
      </c>
    </row>
    <row r="3867" spans="1:10" ht="25.5" thickBot="1" x14ac:dyDescent="0.35">
      <c r="A3867" s="519" t="s">
        <v>2437</v>
      </c>
      <c r="B3867" s="520" t="s">
        <v>3817</v>
      </c>
      <c r="C3867" s="519" t="s">
        <v>32</v>
      </c>
      <c r="D3867" s="519" t="s">
        <v>3818</v>
      </c>
      <c r="E3867" s="905" t="s">
        <v>2446</v>
      </c>
      <c r="F3867" s="905"/>
      <c r="G3867" s="521" t="s">
        <v>89</v>
      </c>
      <c r="H3867" s="522">
        <v>1.4100000000000001E-5</v>
      </c>
      <c r="I3867" s="523">
        <v>1170000</v>
      </c>
      <c r="J3867" s="523">
        <v>16.489999999999998</v>
      </c>
    </row>
    <row r="3868" spans="1:10" ht="14.5" thickTop="1" x14ac:dyDescent="0.3">
      <c r="A3868" s="647"/>
      <c r="B3868" s="647"/>
      <c r="C3868" s="647"/>
      <c r="D3868" s="647"/>
      <c r="E3868" s="647"/>
      <c r="F3868" s="647"/>
      <c r="G3868" s="647"/>
      <c r="H3868" s="647"/>
      <c r="I3868" s="647"/>
      <c r="J3868"/>
    </row>
    <row r="3869" spans="1:10" x14ac:dyDescent="0.3">
      <c r="A3869" s="516"/>
      <c r="B3869" s="517" t="s">
        <v>15</v>
      </c>
      <c r="C3869" s="516" t="s">
        <v>16</v>
      </c>
      <c r="D3869" s="516" t="s">
        <v>17</v>
      </c>
      <c r="E3869" s="904" t="s">
        <v>2431</v>
      </c>
      <c r="F3869" s="904"/>
      <c r="G3869" s="518" t="s">
        <v>18</v>
      </c>
      <c r="H3869" s="517" t="s">
        <v>19</v>
      </c>
      <c r="I3869" s="517" t="s">
        <v>20</v>
      </c>
      <c r="J3869" s="517" t="s">
        <v>23</v>
      </c>
    </row>
    <row r="3870" spans="1:10" ht="38.25" customHeight="1" x14ac:dyDescent="0.3">
      <c r="A3870" s="642" t="s">
        <v>2432</v>
      </c>
      <c r="B3870" s="643" t="s">
        <v>3815</v>
      </c>
      <c r="C3870" s="642" t="s">
        <v>32</v>
      </c>
      <c r="D3870" s="642" t="s">
        <v>3816</v>
      </c>
      <c r="E3870" s="906" t="s">
        <v>2465</v>
      </c>
      <c r="F3870" s="906"/>
      <c r="G3870" s="644" t="s">
        <v>1901</v>
      </c>
      <c r="H3870" s="645">
        <v>1</v>
      </c>
      <c r="I3870" s="646">
        <v>75.23</v>
      </c>
      <c r="J3870" s="646">
        <v>75.23</v>
      </c>
    </row>
    <row r="3871" spans="1:10" ht="25.5" thickBot="1" x14ac:dyDescent="0.35">
      <c r="A3871" s="519" t="s">
        <v>2437</v>
      </c>
      <c r="B3871" s="520" t="s">
        <v>3817</v>
      </c>
      <c r="C3871" s="519" t="s">
        <v>32</v>
      </c>
      <c r="D3871" s="519" t="s">
        <v>3818</v>
      </c>
      <c r="E3871" s="905" t="s">
        <v>2446</v>
      </c>
      <c r="F3871" s="905"/>
      <c r="G3871" s="521" t="s">
        <v>89</v>
      </c>
      <c r="H3871" s="522">
        <v>6.4300000000000004E-5</v>
      </c>
      <c r="I3871" s="523">
        <v>1170000</v>
      </c>
      <c r="J3871" s="523">
        <v>75.23</v>
      </c>
    </row>
    <row r="3872" spans="1:10" ht="14.5" thickTop="1" x14ac:dyDescent="0.3">
      <c r="A3872" s="647"/>
      <c r="B3872" s="647"/>
      <c r="C3872" s="647"/>
      <c r="D3872" s="647"/>
      <c r="E3872" s="647"/>
      <c r="F3872" s="647"/>
      <c r="G3872" s="647"/>
      <c r="H3872" s="647"/>
      <c r="I3872" s="647"/>
      <c r="J3872"/>
    </row>
    <row r="3873" spans="1:10" s="358" customFormat="1" x14ac:dyDescent="0.3">
      <c r="A3873" s="516"/>
      <c r="B3873" s="517" t="s">
        <v>15</v>
      </c>
      <c r="C3873" s="516" t="s">
        <v>16</v>
      </c>
      <c r="D3873" s="516" t="s">
        <v>17</v>
      </c>
      <c r="E3873" s="904" t="s">
        <v>2431</v>
      </c>
      <c r="F3873" s="904"/>
      <c r="G3873" s="518" t="s">
        <v>18</v>
      </c>
      <c r="H3873" s="517" t="s">
        <v>19</v>
      </c>
      <c r="I3873" s="517" t="s">
        <v>20</v>
      </c>
      <c r="J3873" s="517" t="s">
        <v>23</v>
      </c>
    </row>
    <row r="3874" spans="1:10" ht="38.25" customHeight="1" x14ac:dyDescent="0.3">
      <c r="A3874" s="642" t="s">
        <v>2432</v>
      </c>
      <c r="B3874" s="643" t="s">
        <v>3813</v>
      </c>
      <c r="C3874" s="642" t="s">
        <v>32</v>
      </c>
      <c r="D3874" s="642" t="s">
        <v>3814</v>
      </c>
      <c r="E3874" s="906" t="s">
        <v>2465</v>
      </c>
      <c r="F3874" s="906"/>
      <c r="G3874" s="644" t="s">
        <v>1901</v>
      </c>
      <c r="H3874" s="645">
        <v>1</v>
      </c>
      <c r="I3874" s="646">
        <v>75.64</v>
      </c>
      <c r="J3874" s="646">
        <v>75.64</v>
      </c>
    </row>
    <row r="3875" spans="1:10" s="358" customFormat="1" ht="14.5" thickBot="1" x14ac:dyDescent="0.35">
      <c r="A3875" s="519" t="s">
        <v>2437</v>
      </c>
      <c r="B3875" s="520" t="s">
        <v>4485</v>
      </c>
      <c r="C3875" s="519" t="s">
        <v>125</v>
      </c>
      <c r="D3875" s="519" t="s">
        <v>4486</v>
      </c>
      <c r="E3875" s="905" t="s">
        <v>2442</v>
      </c>
      <c r="F3875" s="905"/>
      <c r="G3875" s="521" t="s">
        <v>2829</v>
      </c>
      <c r="H3875" s="522">
        <v>13.99</v>
      </c>
      <c r="I3875" s="523">
        <v>5.4069000000000003</v>
      </c>
      <c r="J3875" s="523">
        <v>75.64</v>
      </c>
    </row>
    <row r="3876" spans="1:10" ht="14.5" thickTop="1" x14ac:dyDescent="0.3">
      <c r="A3876" s="647"/>
      <c r="B3876" s="647"/>
      <c r="C3876" s="647"/>
      <c r="D3876" s="647"/>
      <c r="E3876" s="647"/>
      <c r="F3876" s="647"/>
      <c r="G3876" s="647"/>
      <c r="H3876" s="647"/>
      <c r="I3876" s="647"/>
      <c r="J3876"/>
    </row>
    <row r="3877" spans="1:10" x14ac:dyDescent="0.3">
      <c r="A3877" s="516"/>
      <c r="B3877" s="517" t="s">
        <v>15</v>
      </c>
      <c r="C3877" s="516" t="s">
        <v>16</v>
      </c>
      <c r="D3877" s="516" t="s">
        <v>17</v>
      </c>
      <c r="E3877" s="904" t="s">
        <v>2431</v>
      </c>
      <c r="F3877" s="904"/>
      <c r="G3877" s="518" t="s">
        <v>18</v>
      </c>
      <c r="H3877" s="517" t="s">
        <v>19</v>
      </c>
      <c r="I3877" s="517" t="s">
        <v>20</v>
      </c>
      <c r="J3877" s="517" t="s">
        <v>23</v>
      </c>
    </row>
    <row r="3878" spans="1:10" ht="14.25" customHeight="1" x14ac:dyDescent="0.3">
      <c r="A3878" s="642" t="s">
        <v>2432</v>
      </c>
      <c r="B3878" s="643" t="s">
        <v>3379</v>
      </c>
      <c r="C3878" s="642" t="s">
        <v>32</v>
      </c>
      <c r="D3878" s="642" t="s">
        <v>3380</v>
      </c>
      <c r="E3878" s="906" t="s">
        <v>2433</v>
      </c>
      <c r="F3878" s="906"/>
      <c r="G3878" s="644" t="s">
        <v>1901</v>
      </c>
      <c r="H3878" s="645">
        <v>1</v>
      </c>
      <c r="I3878" s="646">
        <v>30.35</v>
      </c>
      <c r="J3878" s="646">
        <v>30.35</v>
      </c>
    </row>
    <row r="3879" spans="1:10" ht="25" x14ac:dyDescent="0.3">
      <c r="A3879" s="519" t="s">
        <v>2434</v>
      </c>
      <c r="B3879" s="520" t="s">
        <v>3515</v>
      </c>
      <c r="C3879" s="519" t="s">
        <v>32</v>
      </c>
      <c r="D3879" s="519" t="s">
        <v>3516</v>
      </c>
      <c r="E3879" s="905" t="s">
        <v>2433</v>
      </c>
      <c r="F3879" s="905"/>
      <c r="G3879" s="521" t="s">
        <v>1901</v>
      </c>
      <c r="H3879" s="522">
        <v>1</v>
      </c>
      <c r="I3879" s="523">
        <v>0.13</v>
      </c>
      <c r="J3879" s="523">
        <v>0.13</v>
      </c>
    </row>
    <row r="3880" spans="1:10" x14ac:dyDescent="0.3">
      <c r="A3880" s="519" t="s">
        <v>2437</v>
      </c>
      <c r="B3880" s="520" t="s">
        <v>3517</v>
      </c>
      <c r="C3880" s="519" t="s">
        <v>32</v>
      </c>
      <c r="D3880" s="519" t="s">
        <v>4344</v>
      </c>
      <c r="E3880" s="905" t="s">
        <v>2440</v>
      </c>
      <c r="F3880" s="905"/>
      <c r="G3880" s="521" t="s">
        <v>1901</v>
      </c>
      <c r="H3880" s="522">
        <v>1</v>
      </c>
      <c r="I3880" s="523">
        <v>22.67</v>
      </c>
      <c r="J3880" s="523">
        <v>22.67</v>
      </c>
    </row>
    <row r="3881" spans="1:10" ht="25" x14ac:dyDescent="0.3">
      <c r="A3881" s="519" t="s">
        <v>2437</v>
      </c>
      <c r="B3881" s="520" t="s">
        <v>3257</v>
      </c>
      <c r="C3881" s="519" t="s">
        <v>32</v>
      </c>
      <c r="D3881" s="519" t="s">
        <v>4306</v>
      </c>
      <c r="E3881" s="905" t="s">
        <v>2856</v>
      </c>
      <c r="F3881" s="905"/>
      <c r="G3881" s="521" t="s">
        <v>1901</v>
      </c>
      <c r="H3881" s="522">
        <v>1</v>
      </c>
      <c r="I3881" s="523">
        <v>3.8</v>
      </c>
      <c r="J3881" s="523">
        <v>3.8</v>
      </c>
    </row>
    <row r="3882" spans="1:10" ht="25" x14ac:dyDescent="0.3">
      <c r="A3882" s="519" t="s">
        <v>2437</v>
      </c>
      <c r="B3882" s="520" t="s">
        <v>3258</v>
      </c>
      <c r="C3882" s="519" t="s">
        <v>32</v>
      </c>
      <c r="D3882" s="519" t="s">
        <v>4307</v>
      </c>
      <c r="E3882" s="905" t="s">
        <v>3259</v>
      </c>
      <c r="F3882" s="905"/>
      <c r="G3882" s="521" t="s">
        <v>1901</v>
      </c>
      <c r="H3882" s="522">
        <v>1</v>
      </c>
      <c r="I3882" s="523">
        <v>1.5</v>
      </c>
      <c r="J3882" s="523">
        <v>1.5</v>
      </c>
    </row>
    <row r="3883" spans="1:10" ht="25" x14ac:dyDescent="0.3">
      <c r="A3883" s="519" t="s">
        <v>2437</v>
      </c>
      <c r="B3883" s="520" t="s">
        <v>3260</v>
      </c>
      <c r="C3883" s="519" t="s">
        <v>32</v>
      </c>
      <c r="D3883" s="519" t="s">
        <v>4308</v>
      </c>
      <c r="E3883" s="905" t="s">
        <v>2856</v>
      </c>
      <c r="F3883" s="905"/>
      <c r="G3883" s="521" t="s">
        <v>1901</v>
      </c>
      <c r="H3883" s="522">
        <v>1</v>
      </c>
      <c r="I3883" s="523">
        <v>1.34</v>
      </c>
      <c r="J3883" s="523">
        <v>1.34</v>
      </c>
    </row>
    <row r="3884" spans="1:10" s="358" customFormat="1" ht="25" x14ac:dyDescent="0.3">
      <c r="A3884" s="519" t="s">
        <v>2437</v>
      </c>
      <c r="B3884" s="520" t="s">
        <v>3261</v>
      </c>
      <c r="C3884" s="519" t="s">
        <v>32</v>
      </c>
      <c r="D3884" s="519" t="s">
        <v>4309</v>
      </c>
      <c r="E3884" s="905" t="s">
        <v>2535</v>
      </c>
      <c r="F3884" s="905"/>
      <c r="G3884" s="521" t="s">
        <v>1901</v>
      </c>
      <c r="H3884" s="522">
        <v>1</v>
      </c>
      <c r="I3884" s="523">
        <v>0.04</v>
      </c>
      <c r="J3884" s="523">
        <v>0.04</v>
      </c>
    </row>
    <row r="3885" spans="1:10" ht="25" x14ac:dyDescent="0.3">
      <c r="A3885" s="519" t="s">
        <v>2437</v>
      </c>
      <c r="B3885" s="520" t="s">
        <v>3310</v>
      </c>
      <c r="C3885" s="519" t="s">
        <v>32</v>
      </c>
      <c r="D3885" s="519" t="s">
        <v>3311</v>
      </c>
      <c r="E3885" s="905" t="s">
        <v>2446</v>
      </c>
      <c r="F3885" s="905"/>
      <c r="G3885" s="521" t="s">
        <v>1901</v>
      </c>
      <c r="H3885" s="522">
        <v>1</v>
      </c>
      <c r="I3885" s="523">
        <v>0.01</v>
      </c>
      <c r="J3885" s="523">
        <v>0.01</v>
      </c>
    </row>
    <row r="3886" spans="1:10" s="358" customFormat="1" ht="38.25" customHeight="1" thickBot="1" x14ac:dyDescent="0.35">
      <c r="A3886" s="519" t="s">
        <v>2437</v>
      </c>
      <c r="B3886" s="520" t="s">
        <v>3312</v>
      </c>
      <c r="C3886" s="519" t="s">
        <v>32</v>
      </c>
      <c r="D3886" s="519" t="s">
        <v>3313</v>
      </c>
      <c r="E3886" s="905" t="s">
        <v>2446</v>
      </c>
      <c r="F3886" s="905"/>
      <c r="G3886" s="521" t="s">
        <v>1901</v>
      </c>
      <c r="H3886" s="522">
        <v>1</v>
      </c>
      <c r="I3886" s="523">
        <v>0.86</v>
      </c>
      <c r="J3886" s="523">
        <v>0.86</v>
      </c>
    </row>
    <row r="3887" spans="1:10" ht="14.5" thickTop="1" x14ac:dyDescent="0.3">
      <c r="A3887" s="647"/>
      <c r="B3887" s="647"/>
      <c r="C3887" s="647"/>
      <c r="D3887" s="647"/>
      <c r="E3887" s="647"/>
      <c r="F3887" s="647"/>
      <c r="G3887" s="647"/>
      <c r="H3887" s="647"/>
      <c r="I3887" s="647"/>
      <c r="J3887"/>
    </row>
    <row r="3888" spans="1:10" ht="38.25" customHeight="1" x14ac:dyDescent="0.3">
      <c r="A3888" s="516"/>
      <c r="B3888" s="517" t="s">
        <v>15</v>
      </c>
      <c r="C3888" s="516" t="s">
        <v>16</v>
      </c>
      <c r="D3888" s="516" t="s">
        <v>17</v>
      </c>
      <c r="E3888" s="904" t="s">
        <v>2431</v>
      </c>
      <c r="F3888" s="904"/>
      <c r="G3888" s="518" t="s">
        <v>18</v>
      </c>
      <c r="H3888" s="517" t="s">
        <v>19</v>
      </c>
      <c r="I3888" s="517" t="s">
        <v>20</v>
      </c>
      <c r="J3888" s="517" t="s">
        <v>23</v>
      </c>
    </row>
    <row r="3889" spans="1:10" ht="39" customHeight="1" x14ac:dyDescent="0.3">
      <c r="A3889" s="642" t="s">
        <v>2432</v>
      </c>
      <c r="B3889" s="643" t="s">
        <v>2540</v>
      </c>
      <c r="C3889" s="642" t="s">
        <v>32</v>
      </c>
      <c r="D3889" s="642" t="s">
        <v>2541</v>
      </c>
      <c r="E3889" s="906" t="s">
        <v>2433</v>
      </c>
      <c r="F3889" s="906"/>
      <c r="G3889" s="644" t="s">
        <v>1901</v>
      </c>
      <c r="H3889" s="645">
        <v>1</v>
      </c>
      <c r="I3889" s="646">
        <v>29.5</v>
      </c>
      <c r="J3889" s="646">
        <v>29.5</v>
      </c>
    </row>
    <row r="3890" spans="1:10" s="358" customFormat="1" ht="25" x14ac:dyDescent="0.3">
      <c r="A3890" s="519" t="s">
        <v>2434</v>
      </c>
      <c r="B3890" s="520" t="s">
        <v>3518</v>
      </c>
      <c r="C3890" s="519" t="s">
        <v>32</v>
      </c>
      <c r="D3890" s="519" t="s">
        <v>3519</v>
      </c>
      <c r="E3890" s="905" t="s">
        <v>2433</v>
      </c>
      <c r="F3890" s="905"/>
      <c r="G3890" s="521" t="s">
        <v>1901</v>
      </c>
      <c r="H3890" s="522">
        <v>1</v>
      </c>
      <c r="I3890" s="523">
        <v>0.12</v>
      </c>
      <c r="J3890" s="523">
        <v>0.12</v>
      </c>
    </row>
    <row r="3891" spans="1:10" x14ac:dyDescent="0.3">
      <c r="A3891" s="519" t="s">
        <v>2437</v>
      </c>
      <c r="B3891" s="520" t="s">
        <v>3520</v>
      </c>
      <c r="C3891" s="519" t="s">
        <v>32</v>
      </c>
      <c r="D3891" s="519" t="s">
        <v>4345</v>
      </c>
      <c r="E3891" s="905" t="s">
        <v>2440</v>
      </c>
      <c r="F3891" s="905"/>
      <c r="G3891" s="521" t="s">
        <v>1901</v>
      </c>
      <c r="H3891" s="522">
        <v>1</v>
      </c>
      <c r="I3891" s="523">
        <v>21.83</v>
      </c>
      <c r="J3891" s="523">
        <v>21.83</v>
      </c>
    </row>
    <row r="3892" spans="1:10" s="358" customFormat="1" ht="38.25" customHeight="1" x14ac:dyDescent="0.3">
      <c r="A3892" s="519" t="s">
        <v>2437</v>
      </c>
      <c r="B3892" s="520" t="s">
        <v>3257</v>
      </c>
      <c r="C3892" s="519" t="s">
        <v>32</v>
      </c>
      <c r="D3892" s="519" t="s">
        <v>4306</v>
      </c>
      <c r="E3892" s="905" t="s">
        <v>2856</v>
      </c>
      <c r="F3892" s="905"/>
      <c r="G3892" s="521" t="s">
        <v>1901</v>
      </c>
      <c r="H3892" s="522">
        <v>1</v>
      </c>
      <c r="I3892" s="523">
        <v>3.8</v>
      </c>
      <c r="J3892" s="523">
        <v>3.8</v>
      </c>
    </row>
    <row r="3893" spans="1:10" ht="38.25" customHeight="1" x14ac:dyDescent="0.3">
      <c r="A3893" s="519" t="s">
        <v>2437</v>
      </c>
      <c r="B3893" s="520" t="s">
        <v>3258</v>
      </c>
      <c r="C3893" s="519" t="s">
        <v>32</v>
      </c>
      <c r="D3893" s="519" t="s">
        <v>4307</v>
      </c>
      <c r="E3893" s="905" t="s">
        <v>3259</v>
      </c>
      <c r="F3893" s="905"/>
      <c r="G3893" s="521" t="s">
        <v>1901</v>
      </c>
      <c r="H3893" s="522">
        <v>1</v>
      </c>
      <c r="I3893" s="523">
        <v>1.5</v>
      </c>
      <c r="J3893" s="523">
        <v>1.5</v>
      </c>
    </row>
    <row r="3894" spans="1:10" ht="38.25" customHeight="1" x14ac:dyDescent="0.3">
      <c r="A3894" s="519" t="s">
        <v>2437</v>
      </c>
      <c r="B3894" s="520" t="s">
        <v>3260</v>
      </c>
      <c r="C3894" s="519" t="s">
        <v>32</v>
      </c>
      <c r="D3894" s="519" t="s">
        <v>4308</v>
      </c>
      <c r="E3894" s="905" t="s">
        <v>2856</v>
      </c>
      <c r="F3894" s="905"/>
      <c r="G3894" s="521" t="s">
        <v>1901</v>
      </c>
      <c r="H3894" s="522">
        <v>1</v>
      </c>
      <c r="I3894" s="523">
        <v>1.34</v>
      </c>
      <c r="J3894" s="523">
        <v>1.34</v>
      </c>
    </row>
    <row r="3895" spans="1:10" ht="25" x14ac:dyDescent="0.3">
      <c r="A3895" s="519" t="s">
        <v>2437</v>
      </c>
      <c r="B3895" s="520" t="s">
        <v>3261</v>
      </c>
      <c r="C3895" s="519" t="s">
        <v>32</v>
      </c>
      <c r="D3895" s="519" t="s">
        <v>4309</v>
      </c>
      <c r="E3895" s="905" t="s">
        <v>2535</v>
      </c>
      <c r="F3895" s="905"/>
      <c r="G3895" s="521" t="s">
        <v>1901</v>
      </c>
      <c r="H3895" s="522">
        <v>1</v>
      </c>
      <c r="I3895" s="523">
        <v>0.04</v>
      </c>
      <c r="J3895" s="523">
        <v>0.04</v>
      </c>
    </row>
    <row r="3896" spans="1:10" ht="38.25" customHeight="1" x14ac:dyDescent="0.3">
      <c r="A3896" s="519" t="s">
        <v>2437</v>
      </c>
      <c r="B3896" s="520" t="s">
        <v>3310</v>
      </c>
      <c r="C3896" s="519" t="s">
        <v>32</v>
      </c>
      <c r="D3896" s="519" t="s">
        <v>3311</v>
      </c>
      <c r="E3896" s="905" t="s">
        <v>2446</v>
      </c>
      <c r="F3896" s="905"/>
      <c r="G3896" s="521" t="s">
        <v>1901</v>
      </c>
      <c r="H3896" s="522">
        <v>1</v>
      </c>
      <c r="I3896" s="523">
        <v>0.01</v>
      </c>
      <c r="J3896" s="523">
        <v>0.01</v>
      </c>
    </row>
    <row r="3897" spans="1:10" ht="39" customHeight="1" thickBot="1" x14ac:dyDescent="0.35">
      <c r="A3897" s="519" t="s">
        <v>2437</v>
      </c>
      <c r="B3897" s="520" t="s">
        <v>3312</v>
      </c>
      <c r="C3897" s="519" t="s">
        <v>32</v>
      </c>
      <c r="D3897" s="519" t="s">
        <v>3313</v>
      </c>
      <c r="E3897" s="905" t="s">
        <v>2446</v>
      </c>
      <c r="F3897" s="905"/>
      <c r="G3897" s="521" t="s">
        <v>1901</v>
      </c>
      <c r="H3897" s="522">
        <v>1</v>
      </c>
      <c r="I3897" s="523">
        <v>0.86</v>
      </c>
      <c r="J3897" s="523">
        <v>0.86</v>
      </c>
    </row>
    <row r="3898" spans="1:10" s="358" customFormat="1" ht="14.5" thickTop="1" x14ac:dyDescent="0.3">
      <c r="A3898" s="647"/>
      <c r="B3898" s="647"/>
      <c r="C3898" s="647"/>
      <c r="D3898" s="647"/>
      <c r="E3898" s="647"/>
      <c r="F3898" s="647"/>
      <c r="G3898" s="647"/>
      <c r="H3898" s="647"/>
      <c r="I3898" s="647"/>
      <c r="J3898"/>
    </row>
    <row r="3899" spans="1:10" x14ac:dyDescent="0.3">
      <c r="A3899" s="516"/>
      <c r="B3899" s="517" t="s">
        <v>15</v>
      </c>
      <c r="C3899" s="516" t="s">
        <v>16</v>
      </c>
      <c r="D3899" s="516" t="s">
        <v>17</v>
      </c>
      <c r="E3899" s="904" t="s">
        <v>2431</v>
      </c>
      <c r="F3899" s="904"/>
      <c r="G3899" s="518" t="s">
        <v>18</v>
      </c>
      <c r="H3899" s="517" t="s">
        <v>19</v>
      </c>
      <c r="I3899" s="517" t="s">
        <v>20</v>
      </c>
      <c r="J3899" s="517" t="s">
        <v>23</v>
      </c>
    </row>
    <row r="3900" spans="1:10" s="358" customFormat="1" ht="38.25" customHeight="1" x14ac:dyDescent="0.3">
      <c r="A3900" s="642" t="s">
        <v>2432</v>
      </c>
      <c r="B3900" s="643" t="s">
        <v>3757</v>
      </c>
      <c r="C3900" s="642" t="s">
        <v>32</v>
      </c>
      <c r="D3900" s="642" t="s">
        <v>3758</v>
      </c>
      <c r="E3900" s="906" t="s">
        <v>2433</v>
      </c>
      <c r="F3900" s="906"/>
      <c r="G3900" s="644" t="s">
        <v>1901</v>
      </c>
      <c r="H3900" s="645">
        <v>1</v>
      </c>
      <c r="I3900" s="646">
        <v>31.05</v>
      </c>
      <c r="J3900" s="646">
        <v>31.05</v>
      </c>
    </row>
    <row r="3901" spans="1:10" ht="25" x14ac:dyDescent="0.3">
      <c r="A3901" s="519" t="s">
        <v>2434</v>
      </c>
      <c r="B3901" s="520" t="s">
        <v>3521</v>
      </c>
      <c r="C3901" s="519" t="s">
        <v>32</v>
      </c>
      <c r="D3901" s="519" t="s">
        <v>3522</v>
      </c>
      <c r="E3901" s="905" t="s">
        <v>2433</v>
      </c>
      <c r="F3901" s="905"/>
      <c r="G3901" s="521" t="s">
        <v>1901</v>
      </c>
      <c r="H3901" s="522">
        <v>1</v>
      </c>
      <c r="I3901" s="523">
        <v>0.43</v>
      </c>
      <c r="J3901" s="523">
        <v>0.43</v>
      </c>
    </row>
    <row r="3902" spans="1:10" s="358" customFormat="1" x14ac:dyDescent="0.3">
      <c r="A3902" s="519" t="s">
        <v>2437</v>
      </c>
      <c r="B3902" s="520" t="s">
        <v>3523</v>
      </c>
      <c r="C3902" s="519" t="s">
        <v>32</v>
      </c>
      <c r="D3902" s="519" t="s">
        <v>4346</v>
      </c>
      <c r="E3902" s="905" t="s">
        <v>2440</v>
      </c>
      <c r="F3902" s="905"/>
      <c r="G3902" s="521" t="s">
        <v>1901</v>
      </c>
      <c r="H3902" s="522">
        <v>1</v>
      </c>
      <c r="I3902" s="523">
        <v>23.07</v>
      </c>
      <c r="J3902" s="523">
        <v>23.07</v>
      </c>
    </row>
    <row r="3903" spans="1:10" ht="25" x14ac:dyDescent="0.3">
      <c r="A3903" s="519" t="s">
        <v>2437</v>
      </c>
      <c r="B3903" s="520" t="s">
        <v>3257</v>
      </c>
      <c r="C3903" s="519" t="s">
        <v>32</v>
      </c>
      <c r="D3903" s="519" t="s">
        <v>4306</v>
      </c>
      <c r="E3903" s="905" t="s">
        <v>2856</v>
      </c>
      <c r="F3903" s="905"/>
      <c r="G3903" s="521" t="s">
        <v>1901</v>
      </c>
      <c r="H3903" s="522">
        <v>1</v>
      </c>
      <c r="I3903" s="523">
        <v>3.8</v>
      </c>
      <c r="J3903" s="523">
        <v>3.8</v>
      </c>
    </row>
    <row r="3904" spans="1:10" s="358" customFormat="1" ht="38.25" customHeight="1" x14ac:dyDescent="0.3">
      <c r="A3904" s="519" t="s">
        <v>2437</v>
      </c>
      <c r="B3904" s="520" t="s">
        <v>3258</v>
      </c>
      <c r="C3904" s="519" t="s">
        <v>32</v>
      </c>
      <c r="D3904" s="519" t="s">
        <v>4307</v>
      </c>
      <c r="E3904" s="905" t="s">
        <v>3259</v>
      </c>
      <c r="F3904" s="905"/>
      <c r="G3904" s="521" t="s">
        <v>1901</v>
      </c>
      <c r="H3904" s="522">
        <v>1</v>
      </c>
      <c r="I3904" s="523">
        <v>1.5</v>
      </c>
      <c r="J3904" s="523">
        <v>1.5</v>
      </c>
    </row>
    <row r="3905" spans="1:10" ht="25" x14ac:dyDescent="0.3">
      <c r="A3905" s="519" t="s">
        <v>2437</v>
      </c>
      <c r="B3905" s="520" t="s">
        <v>3260</v>
      </c>
      <c r="C3905" s="519" t="s">
        <v>32</v>
      </c>
      <c r="D3905" s="519" t="s">
        <v>4308</v>
      </c>
      <c r="E3905" s="905" t="s">
        <v>2856</v>
      </c>
      <c r="F3905" s="905"/>
      <c r="G3905" s="521" t="s">
        <v>1901</v>
      </c>
      <c r="H3905" s="522">
        <v>1</v>
      </c>
      <c r="I3905" s="523">
        <v>1.34</v>
      </c>
      <c r="J3905" s="523">
        <v>1.34</v>
      </c>
    </row>
    <row r="3906" spans="1:10" s="358" customFormat="1" ht="25" x14ac:dyDescent="0.3">
      <c r="A3906" s="519" t="s">
        <v>2437</v>
      </c>
      <c r="B3906" s="520" t="s">
        <v>3261</v>
      </c>
      <c r="C3906" s="519" t="s">
        <v>32</v>
      </c>
      <c r="D3906" s="519" t="s">
        <v>4309</v>
      </c>
      <c r="E3906" s="905" t="s">
        <v>2535</v>
      </c>
      <c r="F3906" s="905"/>
      <c r="G3906" s="521" t="s">
        <v>1901</v>
      </c>
      <c r="H3906" s="522">
        <v>1</v>
      </c>
      <c r="I3906" s="523">
        <v>0.04</v>
      </c>
      <c r="J3906" s="523">
        <v>0.04</v>
      </c>
    </row>
    <row r="3907" spans="1:10" ht="25" x14ac:dyDescent="0.3">
      <c r="A3907" s="519" t="s">
        <v>2437</v>
      </c>
      <c r="B3907" s="520" t="s">
        <v>3310</v>
      </c>
      <c r="C3907" s="519" t="s">
        <v>32</v>
      </c>
      <c r="D3907" s="519" t="s">
        <v>3311</v>
      </c>
      <c r="E3907" s="905" t="s">
        <v>2446</v>
      </c>
      <c r="F3907" s="905"/>
      <c r="G3907" s="521" t="s">
        <v>1901</v>
      </c>
      <c r="H3907" s="522">
        <v>1</v>
      </c>
      <c r="I3907" s="523">
        <v>0.01</v>
      </c>
      <c r="J3907" s="523">
        <v>0.01</v>
      </c>
    </row>
    <row r="3908" spans="1:10" s="358" customFormat="1" ht="38.25" customHeight="1" thickBot="1" x14ac:dyDescent="0.35">
      <c r="A3908" s="519" t="s">
        <v>2437</v>
      </c>
      <c r="B3908" s="520" t="s">
        <v>3312</v>
      </c>
      <c r="C3908" s="519" t="s">
        <v>32</v>
      </c>
      <c r="D3908" s="519" t="s">
        <v>3313</v>
      </c>
      <c r="E3908" s="905" t="s">
        <v>2446</v>
      </c>
      <c r="F3908" s="905"/>
      <c r="G3908" s="521" t="s">
        <v>1901</v>
      </c>
      <c r="H3908" s="522">
        <v>1</v>
      </c>
      <c r="I3908" s="523">
        <v>0.86</v>
      </c>
      <c r="J3908" s="523">
        <v>0.86</v>
      </c>
    </row>
    <row r="3909" spans="1:10" ht="14.5" thickTop="1" x14ac:dyDescent="0.3">
      <c r="A3909" s="647"/>
      <c r="B3909" s="647"/>
      <c r="C3909" s="647"/>
      <c r="D3909" s="647"/>
      <c r="E3909" s="647"/>
      <c r="F3909" s="647"/>
      <c r="G3909" s="647"/>
      <c r="H3909" s="647"/>
      <c r="I3909" s="647"/>
      <c r="J3909"/>
    </row>
    <row r="3910" spans="1:10" s="358" customFormat="1" x14ac:dyDescent="0.3">
      <c r="A3910" s="516"/>
      <c r="B3910" s="517" t="s">
        <v>15</v>
      </c>
      <c r="C3910" s="516" t="s">
        <v>16</v>
      </c>
      <c r="D3910" s="516" t="s">
        <v>17</v>
      </c>
      <c r="E3910" s="904" t="s">
        <v>2431</v>
      </c>
      <c r="F3910" s="904"/>
      <c r="G3910" s="518" t="s">
        <v>18</v>
      </c>
      <c r="H3910" s="517" t="s">
        <v>19</v>
      </c>
      <c r="I3910" s="517" t="s">
        <v>20</v>
      </c>
      <c r="J3910" s="517" t="s">
        <v>23</v>
      </c>
    </row>
    <row r="3911" spans="1:10" ht="25" x14ac:dyDescent="0.3">
      <c r="A3911" s="642" t="s">
        <v>2432</v>
      </c>
      <c r="B3911" s="643" t="s">
        <v>2812</v>
      </c>
      <c r="C3911" s="642" t="s">
        <v>32</v>
      </c>
      <c r="D3911" s="642" t="s">
        <v>2813</v>
      </c>
      <c r="E3911" s="906" t="s">
        <v>2433</v>
      </c>
      <c r="F3911" s="906"/>
      <c r="G3911" s="644" t="s">
        <v>1901</v>
      </c>
      <c r="H3911" s="645">
        <v>1</v>
      </c>
      <c r="I3911" s="646">
        <v>25.72</v>
      </c>
      <c r="J3911" s="646">
        <v>25.72</v>
      </c>
    </row>
    <row r="3912" spans="1:10" s="358" customFormat="1" ht="38.25" customHeight="1" x14ac:dyDescent="0.3">
      <c r="A3912" s="519" t="s">
        <v>2434</v>
      </c>
      <c r="B3912" s="520" t="s">
        <v>3524</v>
      </c>
      <c r="C3912" s="519" t="s">
        <v>32</v>
      </c>
      <c r="D3912" s="519" t="s">
        <v>3525</v>
      </c>
      <c r="E3912" s="905" t="s">
        <v>2433</v>
      </c>
      <c r="F3912" s="905"/>
      <c r="G3912" s="521" t="s">
        <v>1901</v>
      </c>
      <c r="H3912" s="522">
        <v>1</v>
      </c>
      <c r="I3912" s="523">
        <v>0.17</v>
      </c>
      <c r="J3912" s="523">
        <v>0.17</v>
      </c>
    </row>
    <row r="3913" spans="1:10" ht="25" x14ac:dyDescent="0.3">
      <c r="A3913" s="519" t="s">
        <v>2437</v>
      </c>
      <c r="B3913" s="520" t="s">
        <v>3257</v>
      </c>
      <c r="C3913" s="519" t="s">
        <v>32</v>
      </c>
      <c r="D3913" s="519" t="s">
        <v>4306</v>
      </c>
      <c r="E3913" s="905" t="s">
        <v>2856</v>
      </c>
      <c r="F3913" s="905"/>
      <c r="G3913" s="521" t="s">
        <v>1901</v>
      </c>
      <c r="H3913" s="522">
        <v>1</v>
      </c>
      <c r="I3913" s="523">
        <v>3.8</v>
      </c>
      <c r="J3913" s="523">
        <v>3.8</v>
      </c>
    </row>
    <row r="3914" spans="1:10" s="358" customFormat="1" ht="25" x14ac:dyDescent="0.3">
      <c r="A3914" s="519" t="s">
        <v>2437</v>
      </c>
      <c r="B3914" s="520" t="s">
        <v>3258</v>
      </c>
      <c r="C3914" s="519" t="s">
        <v>32</v>
      </c>
      <c r="D3914" s="519" t="s">
        <v>4307</v>
      </c>
      <c r="E3914" s="905" t="s">
        <v>3259</v>
      </c>
      <c r="F3914" s="905"/>
      <c r="G3914" s="521" t="s">
        <v>1901</v>
      </c>
      <c r="H3914" s="522">
        <v>1</v>
      </c>
      <c r="I3914" s="523">
        <v>1.5</v>
      </c>
      <c r="J3914" s="523">
        <v>1.5</v>
      </c>
    </row>
    <row r="3915" spans="1:10" ht="25" x14ac:dyDescent="0.3">
      <c r="A3915" s="519" t="s">
        <v>2437</v>
      </c>
      <c r="B3915" s="520" t="s">
        <v>3260</v>
      </c>
      <c r="C3915" s="519" t="s">
        <v>32</v>
      </c>
      <c r="D3915" s="519" t="s">
        <v>4308</v>
      </c>
      <c r="E3915" s="905" t="s">
        <v>2856</v>
      </c>
      <c r="F3915" s="905"/>
      <c r="G3915" s="521" t="s">
        <v>1901</v>
      </c>
      <c r="H3915" s="522">
        <v>1</v>
      </c>
      <c r="I3915" s="523">
        <v>1.34</v>
      </c>
      <c r="J3915" s="523">
        <v>1.34</v>
      </c>
    </row>
    <row r="3916" spans="1:10" s="358" customFormat="1" ht="25" x14ac:dyDescent="0.3">
      <c r="A3916" s="519" t="s">
        <v>2437</v>
      </c>
      <c r="B3916" s="520" t="s">
        <v>3261</v>
      </c>
      <c r="C3916" s="519" t="s">
        <v>32</v>
      </c>
      <c r="D3916" s="519" t="s">
        <v>4309</v>
      </c>
      <c r="E3916" s="905" t="s">
        <v>2535</v>
      </c>
      <c r="F3916" s="905"/>
      <c r="G3916" s="521" t="s">
        <v>1901</v>
      </c>
      <c r="H3916" s="522">
        <v>1</v>
      </c>
      <c r="I3916" s="523">
        <v>0.04</v>
      </c>
      <c r="J3916" s="523">
        <v>0.04</v>
      </c>
    </row>
    <row r="3917" spans="1:10" x14ac:dyDescent="0.3">
      <c r="A3917" s="519" t="s">
        <v>2437</v>
      </c>
      <c r="B3917" s="520" t="s">
        <v>3526</v>
      </c>
      <c r="C3917" s="519" t="s">
        <v>32</v>
      </c>
      <c r="D3917" s="519" t="s">
        <v>4347</v>
      </c>
      <c r="E3917" s="905" t="s">
        <v>2440</v>
      </c>
      <c r="F3917" s="905"/>
      <c r="G3917" s="521" t="s">
        <v>1901</v>
      </c>
      <c r="H3917" s="522">
        <v>1</v>
      </c>
      <c r="I3917" s="523">
        <v>18</v>
      </c>
      <c r="J3917" s="523">
        <v>18</v>
      </c>
    </row>
    <row r="3918" spans="1:10" ht="25" x14ac:dyDescent="0.3">
      <c r="A3918" s="519" t="s">
        <v>2437</v>
      </c>
      <c r="B3918" s="520" t="s">
        <v>3310</v>
      </c>
      <c r="C3918" s="519" t="s">
        <v>32</v>
      </c>
      <c r="D3918" s="519" t="s">
        <v>3311</v>
      </c>
      <c r="E3918" s="905" t="s">
        <v>2446</v>
      </c>
      <c r="F3918" s="905"/>
      <c r="G3918" s="521" t="s">
        <v>1901</v>
      </c>
      <c r="H3918" s="522">
        <v>1</v>
      </c>
      <c r="I3918" s="523">
        <v>0.01</v>
      </c>
      <c r="J3918" s="523">
        <v>0.01</v>
      </c>
    </row>
    <row r="3919" spans="1:10" ht="25.5" thickBot="1" x14ac:dyDescent="0.35">
      <c r="A3919" s="519" t="s">
        <v>2437</v>
      </c>
      <c r="B3919" s="520" t="s">
        <v>3312</v>
      </c>
      <c r="C3919" s="519" t="s">
        <v>32</v>
      </c>
      <c r="D3919" s="519" t="s">
        <v>3313</v>
      </c>
      <c r="E3919" s="905" t="s">
        <v>2446</v>
      </c>
      <c r="F3919" s="905"/>
      <c r="G3919" s="521" t="s">
        <v>1901</v>
      </c>
      <c r="H3919" s="522">
        <v>1</v>
      </c>
      <c r="I3919" s="523">
        <v>0.86</v>
      </c>
      <c r="J3919" s="523">
        <v>0.86</v>
      </c>
    </row>
    <row r="3920" spans="1:10" ht="14.5" thickTop="1" x14ac:dyDescent="0.3">
      <c r="A3920" s="647"/>
      <c r="B3920" s="647"/>
      <c r="C3920" s="647"/>
      <c r="D3920" s="647"/>
      <c r="E3920" s="647"/>
      <c r="F3920" s="647"/>
      <c r="G3920" s="647"/>
      <c r="H3920" s="647"/>
      <c r="I3920" s="647"/>
      <c r="J3920"/>
    </row>
    <row r="3921" spans="1:10" x14ac:dyDescent="0.3">
      <c r="A3921" s="516"/>
      <c r="B3921" s="517" t="s">
        <v>15</v>
      </c>
      <c r="C3921" s="516" t="s">
        <v>16</v>
      </c>
      <c r="D3921" s="516" t="s">
        <v>17</v>
      </c>
      <c r="E3921" s="904" t="s">
        <v>2431</v>
      </c>
      <c r="F3921" s="904"/>
      <c r="G3921" s="518" t="s">
        <v>18</v>
      </c>
      <c r="H3921" s="517" t="s">
        <v>19</v>
      </c>
      <c r="I3921" s="517" t="s">
        <v>20</v>
      </c>
      <c r="J3921" s="517" t="s">
        <v>23</v>
      </c>
    </row>
    <row r="3922" spans="1:10" ht="14.25" customHeight="1" x14ac:dyDescent="0.3">
      <c r="A3922" s="642" t="s">
        <v>2432</v>
      </c>
      <c r="B3922" s="643" t="s">
        <v>3644</v>
      </c>
      <c r="C3922" s="642" t="s">
        <v>32</v>
      </c>
      <c r="D3922" s="642" t="s">
        <v>3645</v>
      </c>
      <c r="E3922" s="906" t="s">
        <v>2433</v>
      </c>
      <c r="F3922" s="906"/>
      <c r="G3922" s="644" t="s">
        <v>1901</v>
      </c>
      <c r="H3922" s="645">
        <v>1</v>
      </c>
      <c r="I3922" s="646">
        <v>29.66</v>
      </c>
      <c r="J3922" s="646">
        <v>29.66</v>
      </c>
    </row>
    <row r="3923" spans="1:10" ht="25" x14ac:dyDescent="0.3">
      <c r="A3923" s="519" t="s">
        <v>2434</v>
      </c>
      <c r="B3923" s="520" t="s">
        <v>3527</v>
      </c>
      <c r="C3923" s="519" t="s">
        <v>32</v>
      </c>
      <c r="D3923" s="519" t="s">
        <v>3528</v>
      </c>
      <c r="E3923" s="905" t="s">
        <v>2433</v>
      </c>
      <c r="F3923" s="905"/>
      <c r="G3923" s="521" t="s">
        <v>1901</v>
      </c>
      <c r="H3923" s="522">
        <v>1</v>
      </c>
      <c r="I3923" s="523">
        <v>0.28000000000000003</v>
      </c>
      <c r="J3923" s="523">
        <v>0.28000000000000003</v>
      </c>
    </row>
    <row r="3924" spans="1:10" x14ac:dyDescent="0.3">
      <c r="A3924" s="519" t="s">
        <v>2437</v>
      </c>
      <c r="B3924" s="520" t="s">
        <v>3529</v>
      </c>
      <c r="C3924" s="519" t="s">
        <v>32</v>
      </c>
      <c r="D3924" s="519" t="s">
        <v>4348</v>
      </c>
      <c r="E3924" s="905" t="s">
        <v>2440</v>
      </c>
      <c r="F3924" s="905"/>
      <c r="G3924" s="521" t="s">
        <v>1901</v>
      </c>
      <c r="H3924" s="522">
        <v>1</v>
      </c>
      <c r="I3924" s="523">
        <v>21.83</v>
      </c>
      <c r="J3924" s="523">
        <v>21.83</v>
      </c>
    </row>
    <row r="3925" spans="1:10" s="358" customFormat="1" ht="25" x14ac:dyDescent="0.3">
      <c r="A3925" s="519" t="s">
        <v>2437</v>
      </c>
      <c r="B3925" s="520" t="s">
        <v>3257</v>
      </c>
      <c r="C3925" s="519" t="s">
        <v>32</v>
      </c>
      <c r="D3925" s="519" t="s">
        <v>4306</v>
      </c>
      <c r="E3925" s="905" t="s">
        <v>2856</v>
      </c>
      <c r="F3925" s="905"/>
      <c r="G3925" s="521" t="s">
        <v>1901</v>
      </c>
      <c r="H3925" s="522">
        <v>1</v>
      </c>
      <c r="I3925" s="523">
        <v>3.8</v>
      </c>
      <c r="J3925" s="523">
        <v>3.8</v>
      </c>
    </row>
    <row r="3926" spans="1:10" ht="25" x14ac:dyDescent="0.3">
      <c r="A3926" s="519" t="s">
        <v>2437</v>
      </c>
      <c r="B3926" s="520" t="s">
        <v>3258</v>
      </c>
      <c r="C3926" s="519" t="s">
        <v>32</v>
      </c>
      <c r="D3926" s="519" t="s">
        <v>4307</v>
      </c>
      <c r="E3926" s="905" t="s">
        <v>3259</v>
      </c>
      <c r="F3926" s="905"/>
      <c r="G3926" s="521" t="s">
        <v>1901</v>
      </c>
      <c r="H3926" s="522">
        <v>1</v>
      </c>
      <c r="I3926" s="523">
        <v>1.5</v>
      </c>
      <c r="J3926" s="523">
        <v>1.5</v>
      </c>
    </row>
    <row r="3927" spans="1:10" s="358" customFormat="1" ht="25" x14ac:dyDescent="0.3">
      <c r="A3927" s="519" t="s">
        <v>2437</v>
      </c>
      <c r="B3927" s="520" t="s">
        <v>3260</v>
      </c>
      <c r="C3927" s="519" t="s">
        <v>32</v>
      </c>
      <c r="D3927" s="519" t="s">
        <v>4308</v>
      </c>
      <c r="E3927" s="905" t="s">
        <v>2856</v>
      </c>
      <c r="F3927" s="905"/>
      <c r="G3927" s="521" t="s">
        <v>1901</v>
      </c>
      <c r="H3927" s="522">
        <v>1</v>
      </c>
      <c r="I3927" s="523">
        <v>1.34</v>
      </c>
      <c r="J3927" s="523">
        <v>1.34</v>
      </c>
    </row>
    <row r="3928" spans="1:10" ht="25" x14ac:dyDescent="0.3">
      <c r="A3928" s="519" t="s">
        <v>2437</v>
      </c>
      <c r="B3928" s="520" t="s">
        <v>3261</v>
      </c>
      <c r="C3928" s="519" t="s">
        <v>32</v>
      </c>
      <c r="D3928" s="519" t="s">
        <v>4309</v>
      </c>
      <c r="E3928" s="905" t="s">
        <v>2535</v>
      </c>
      <c r="F3928" s="905"/>
      <c r="G3928" s="521" t="s">
        <v>1901</v>
      </c>
      <c r="H3928" s="522">
        <v>1</v>
      </c>
      <c r="I3928" s="523">
        <v>0.04</v>
      </c>
      <c r="J3928" s="523">
        <v>0.04</v>
      </c>
    </row>
    <row r="3929" spans="1:10" ht="25" x14ac:dyDescent="0.3">
      <c r="A3929" s="519" t="s">
        <v>2437</v>
      </c>
      <c r="B3929" s="520" t="s">
        <v>3310</v>
      </c>
      <c r="C3929" s="519" t="s">
        <v>32</v>
      </c>
      <c r="D3929" s="519" t="s">
        <v>3311</v>
      </c>
      <c r="E3929" s="905" t="s">
        <v>2446</v>
      </c>
      <c r="F3929" s="905"/>
      <c r="G3929" s="521" t="s">
        <v>1901</v>
      </c>
      <c r="H3929" s="522">
        <v>1</v>
      </c>
      <c r="I3929" s="523">
        <v>0.01</v>
      </c>
      <c r="J3929" s="523">
        <v>0.01</v>
      </c>
    </row>
    <row r="3930" spans="1:10" ht="25.5" thickBot="1" x14ac:dyDescent="0.35">
      <c r="A3930" s="519" t="s">
        <v>2437</v>
      </c>
      <c r="B3930" s="520" t="s">
        <v>3312</v>
      </c>
      <c r="C3930" s="519" t="s">
        <v>32</v>
      </c>
      <c r="D3930" s="519" t="s">
        <v>3313</v>
      </c>
      <c r="E3930" s="905" t="s">
        <v>2446</v>
      </c>
      <c r="F3930" s="905"/>
      <c r="G3930" s="521" t="s">
        <v>1901</v>
      </c>
      <c r="H3930" s="522">
        <v>1</v>
      </c>
      <c r="I3930" s="523">
        <v>0.86</v>
      </c>
      <c r="J3930" s="523">
        <v>0.86</v>
      </c>
    </row>
    <row r="3931" spans="1:10" ht="14.5" thickTop="1" x14ac:dyDescent="0.3">
      <c r="A3931" s="647"/>
      <c r="B3931" s="647"/>
      <c r="C3931" s="647"/>
      <c r="D3931" s="647"/>
      <c r="E3931" s="647"/>
      <c r="F3931" s="647"/>
      <c r="G3931" s="647"/>
      <c r="H3931" s="647"/>
      <c r="I3931" s="647"/>
      <c r="J3931"/>
    </row>
    <row r="3932" spans="1:10" x14ac:dyDescent="0.3">
      <c r="A3932" s="516"/>
      <c r="B3932" s="517" t="s">
        <v>15</v>
      </c>
      <c r="C3932" s="516" t="s">
        <v>16</v>
      </c>
      <c r="D3932" s="516" t="s">
        <v>17</v>
      </c>
      <c r="E3932" s="904" t="s">
        <v>2431</v>
      </c>
      <c r="F3932" s="904"/>
      <c r="G3932" s="518" t="s">
        <v>18</v>
      </c>
      <c r="H3932" s="517" t="s">
        <v>19</v>
      </c>
      <c r="I3932" s="517" t="s">
        <v>20</v>
      </c>
      <c r="J3932" s="517" t="s">
        <v>23</v>
      </c>
    </row>
    <row r="3933" spans="1:10" ht="14.25" customHeight="1" x14ac:dyDescent="0.3">
      <c r="A3933" s="642" t="s">
        <v>2432</v>
      </c>
      <c r="B3933" s="643" t="s">
        <v>3729</v>
      </c>
      <c r="C3933" s="642" t="s">
        <v>32</v>
      </c>
      <c r="D3933" s="642" t="s">
        <v>3730</v>
      </c>
      <c r="E3933" s="906" t="s">
        <v>2433</v>
      </c>
      <c r="F3933" s="906"/>
      <c r="G3933" s="644" t="s">
        <v>1901</v>
      </c>
      <c r="H3933" s="645">
        <v>1</v>
      </c>
      <c r="I3933" s="646">
        <v>25.88</v>
      </c>
      <c r="J3933" s="646">
        <v>25.88</v>
      </c>
    </row>
    <row r="3934" spans="1:10" ht="25" x14ac:dyDescent="0.3">
      <c r="A3934" s="519" t="s">
        <v>2434</v>
      </c>
      <c r="B3934" s="520" t="s">
        <v>3530</v>
      </c>
      <c r="C3934" s="519" t="s">
        <v>32</v>
      </c>
      <c r="D3934" s="519" t="s">
        <v>3531</v>
      </c>
      <c r="E3934" s="905" t="s">
        <v>2433</v>
      </c>
      <c r="F3934" s="905"/>
      <c r="G3934" s="521" t="s">
        <v>1901</v>
      </c>
      <c r="H3934" s="522">
        <v>1</v>
      </c>
      <c r="I3934" s="523">
        <v>0.33</v>
      </c>
      <c r="J3934" s="523">
        <v>0.33</v>
      </c>
    </row>
    <row r="3935" spans="1:10" x14ac:dyDescent="0.3">
      <c r="A3935" s="519" t="s">
        <v>2437</v>
      </c>
      <c r="B3935" s="520" t="s">
        <v>3532</v>
      </c>
      <c r="C3935" s="519" t="s">
        <v>32</v>
      </c>
      <c r="D3935" s="519" t="s">
        <v>4349</v>
      </c>
      <c r="E3935" s="905" t="s">
        <v>2440</v>
      </c>
      <c r="F3935" s="905"/>
      <c r="G3935" s="521" t="s">
        <v>1901</v>
      </c>
      <c r="H3935" s="522">
        <v>1</v>
      </c>
      <c r="I3935" s="523">
        <v>18</v>
      </c>
      <c r="J3935" s="523">
        <v>18</v>
      </c>
    </row>
    <row r="3936" spans="1:10" s="358" customFormat="1" ht="25" x14ac:dyDescent="0.3">
      <c r="A3936" s="519" t="s">
        <v>2437</v>
      </c>
      <c r="B3936" s="520" t="s">
        <v>3257</v>
      </c>
      <c r="C3936" s="519" t="s">
        <v>32</v>
      </c>
      <c r="D3936" s="519" t="s">
        <v>4306</v>
      </c>
      <c r="E3936" s="905" t="s">
        <v>2856</v>
      </c>
      <c r="F3936" s="905"/>
      <c r="G3936" s="521" t="s">
        <v>1901</v>
      </c>
      <c r="H3936" s="522">
        <v>1</v>
      </c>
      <c r="I3936" s="523">
        <v>3.8</v>
      </c>
      <c r="J3936" s="523">
        <v>3.8</v>
      </c>
    </row>
    <row r="3937" spans="1:10" ht="25" x14ac:dyDescent="0.3">
      <c r="A3937" s="519" t="s">
        <v>2437</v>
      </c>
      <c r="B3937" s="520" t="s">
        <v>3258</v>
      </c>
      <c r="C3937" s="519" t="s">
        <v>32</v>
      </c>
      <c r="D3937" s="519" t="s">
        <v>4307</v>
      </c>
      <c r="E3937" s="905" t="s">
        <v>3259</v>
      </c>
      <c r="F3937" s="905"/>
      <c r="G3937" s="521" t="s">
        <v>1901</v>
      </c>
      <c r="H3937" s="522">
        <v>1</v>
      </c>
      <c r="I3937" s="523">
        <v>1.5</v>
      </c>
      <c r="J3937" s="523">
        <v>1.5</v>
      </c>
    </row>
    <row r="3938" spans="1:10" s="358" customFormat="1" ht="25" x14ac:dyDescent="0.3">
      <c r="A3938" s="519" t="s">
        <v>2437</v>
      </c>
      <c r="B3938" s="520" t="s">
        <v>3260</v>
      </c>
      <c r="C3938" s="519" t="s">
        <v>32</v>
      </c>
      <c r="D3938" s="519" t="s">
        <v>4308</v>
      </c>
      <c r="E3938" s="905" t="s">
        <v>2856</v>
      </c>
      <c r="F3938" s="905"/>
      <c r="G3938" s="521" t="s">
        <v>1901</v>
      </c>
      <c r="H3938" s="522">
        <v>1</v>
      </c>
      <c r="I3938" s="523">
        <v>1.34</v>
      </c>
      <c r="J3938" s="523">
        <v>1.34</v>
      </c>
    </row>
    <row r="3939" spans="1:10" ht="25" x14ac:dyDescent="0.3">
      <c r="A3939" s="519" t="s">
        <v>2437</v>
      </c>
      <c r="B3939" s="520" t="s">
        <v>3261</v>
      </c>
      <c r="C3939" s="519" t="s">
        <v>32</v>
      </c>
      <c r="D3939" s="519" t="s">
        <v>4309</v>
      </c>
      <c r="E3939" s="905" t="s">
        <v>2535</v>
      </c>
      <c r="F3939" s="905"/>
      <c r="G3939" s="521" t="s">
        <v>1901</v>
      </c>
      <c r="H3939" s="522">
        <v>1</v>
      </c>
      <c r="I3939" s="523">
        <v>0.04</v>
      </c>
      <c r="J3939" s="523">
        <v>0.04</v>
      </c>
    </row>
    <row r="3940" spans="1:10" ht="25" x14ac:dyDescent="0.3">
      <c r="A3940" s="519" t="s">
        <v>2437</v>
      </c>
      <c r="B3940" s="520" t="s">
        <v>3310</v>
      </c>
      <c r="C3940" s="519" t="s">
        <v>32</v>
      </c>
      <c r="D3940" s="519" t="s">
        <v>3311</v>
      </c>
      <c r="E3940" s="905" t="s">
        <v>2446</v>
      </c>
      <c r="F3940" s="905"/>
      <c r="G3940" s="521" t="s">
        <v>1901</v>
      </c>
      <c r="H3940" s="522">
        <v>1</v>
      </c>
      <c r="I3940" s="523">
        <v>0.01</v>
      </c>
      <c r="J3940" s="523">
        <v>0.01</v>
      </c>
    </row>
    <row r="3941" spans="1:10" ht="25.5" thickBot="1" x14ac:dyDescent="0.35">
      <c r="A3941" s="519" t="s">
        <v>2437</v>
      </c>
      <c r="B3941" s="520" t="s">
        <v>3312</v>
      </c>
      <c r="C3941" s="519" t="s">
        <v>32</v>
      </c>
      <c r="D3941" s="519" t="s">
        <v>3313</v>
      </c>
      <c r="E3941" s="905" t="s">
        <v>2446</v>
      </c>
      <c r="F3941" s="905"/>
      <c r="G3941" s="521" t="s">
        <v>1901</v>
      </c>
      <c r="H3941" s="522">
        <v>1</v>
      </c>
      <c r="I3941" s="523">
        <v>0.86</v>
      </c>
      <c r="J3941" s="523">
        <v>0.86</v>
      </c>
    </row>
    <row r="3942" spans="1:10" ht="14.5" thickTop="1" x14ac:dyDescent="0.3">
      <c r="A3942" s="647"/>
      <c r="B3942" s="647"/>
      <c r="C3942" s="647"/>
      <c r="D3942" s="647"/>
      <c r="E3942" s="647"/>
      <c r="F3942" s="647"/>
      <c r="G3942" s="647"/>
      <c r="H3942" s="647"/>
      <c r="I3942" s="647"/>
      <c r="J3942"/>
    </row>
    <row r="3943" spans="1:10" x14ac:dyDescent="0.3">
      <c r="A3943" s="516"/>
      <c r="B3943" s="517" t="s">
        <v>15</v>
      </c>
      <c r="C3943" s="516" t="s">
        <v>16</v>
      </c>
      <c r="D3943" s="516" t="s">
        <v>17</v>
      </c>
      <c r="E3943" s="904" t="s">
        <v>2431</v>
      </c>
      <c r="F3943" s="904"/>
      <c r="G3943" s="518" t="s">
        <v>18</v>
      </c>
      <c r="H3943" s="517" t="s">
        <v>19</v>
      </c>
      <c r="I3943" s="517" t="s">
        <v>20</v>
      </c>
      <c r="J3943" s="517" t="s">
        <v>23</v>
      </c>
    </row>
    <row r="3944" spans="1:10" ht="14.25" customHeight="1" x14ac:dyDescent="0.3">
      <c r="A3944" s="642" t="s">
        <v>2432</v>
      </c>
      <c r="B3944" s="643" t="s">
        <v>3743</v>
      </c>
      <c r="C3944" s="642" t="s">
        <v>32</v>
      </c>
      <c r="D3944" s="642" t="s">
        <v>3744</v>
      </c>
      <c r="E3944" s="906" t="s">
        <v>2433</v>
      </c>
      <c r="F3944" s="906"/>
      <c r="G3944" s="644" t="s">
        <v>1901</v>
      </c>
      <c r="H3944" s="645">
        <v>1</v>
      </c>
      <c r="I3944" s="646">
        <v>25.88</v>
      </c>
      <c r="J3944" s="646">
        <v>25.88</v>
      </c>
    </row>
    <row r="3945" spans="1:10" ht="25" x14ac:dyDescent="0.3">
      <c r="A3945" s="519" t="s">
        <v>2434</v>
      </c>
      <c r="B3945" s="520" t="s">
        <v>3533</v>
      </c>
      <c r="C3945" s="519" t="s">
        <v>32</v>
      </c>
      <c r="D3945" s="519" t="s">
        <v>3534</v>
      </c>
      <c r="E3945" s="905" t="s">
        <v>2433</v>
      </c>
      <c r="F3945" s="905"/>
      <c r="G3945" s="521" t="s">
        <v>1901</v>
      </c>
      <c r="H3945" s="522">
        <v>1</v>
      </c>
      <c r="I3945" s="523">
        <v>0.33</v>
      </c>
      <c r="J3945" s="523">
        <v>0.33</v>
      </c>
    </row>
    <row r="3946" spans="1:10" x14ac:dyDescent="0.3">
      <c r="A3946" s="519" t="s">
        <v>2437</v>
      </c>
      <c r="B3946" s="520" t="s">
        <v>3535</v>
      </c>
      <c r="C3946" s="519" t="s">
        <v>32</v>
      </c>
      <c r="D3946" s="519" t="s">
        <v>3536</v>
      </c>
      <c r="E3946" s="905" t="s">
        <v>2440</v>
      </c>
      <c r="F3946" s="905"/>
      <c r="G3946" s="521" t="s">
        <v>1901</v>
      </c>
      <c r="H3946" s="522">
        <v>1</v>
      </c>
      <c r="I3946" s="523">
        <v>18</v>
      </c>
      <c r="J3946" s="523">
        <v>18</v>
      </c>
    </row>
    <row r="3947" spans="1:10" s="358" customFormat="1" ht="25" x14ac:dyDescent="0.3">
      <c r="A3947" s="519" t="s">
        <v>2437</v>
      </c>
      <c r="B3947" s="520" t="s">
        <v>3257</v>
      </c>
      <c r="C3947" s="519" t="s">
        <v>32</v>
      </c>
      <c r="D3947" s="519" t="s">
        <v>4306</v>
      </c>
      <c r="E3947" s="905" t="s">
        <v>2856</v>
      </c>
      <c r="F3947" s="905"/>
      <c r="G3947" s="521" t="s">
        <v>1901</v>
      </c>
      <c r="H3947" s="522">
        <v>1</v>
      </c>
      <c r="I3947" s="523">
        <v>3.8</v>
      </c>
      <c r="J3947" s="523">
        <v>3.8</v>
      </c>
    </row>
    <row r="3948" spans="1:10" ht="25" x14ac:dyDescent="0.3">
      <c r="A3948" s="519" t="s">
        <v>2437</v>
      </c>
      <c r="B3948" s="520" t="s">
        <v>3258</v>
      </c>
      <c r="C3948" s="519" t="s">
        <v>32</v>
      </c>
      <c r="D3948" s="519" t="s">
        <v>4307</v>
      </c>
      <c r="E3948" s="905" t="s">
        <v>3259</v>
      </c>
      <c r="F3948" s="905"/>
      <c r="G3948" s="521" t="s">
        <v>1901</v>
      </c>
      <c r="H3948" s="522">
        <v>1</v>
      </c>
      <c r="I3948" s="523">
        <v>1.5</v>
      </c>
      <c r="J3948" s="523">
        <v>1.5</v>
      </c>
    </row>
    <row r="3949" spans="1:10" s="358" customFormat="1" ht="25" x14ac:dyDescent="0.3">
      <c r="A3949" s="519" t="s">
        <v>2437</v>
      </c>
      <c r="B3949" s="520" t="s">
        <v>3260</v>
      </c>
      <c r="C3949" s="519" t="s">
        <v>32</v>
      </c>
      <c r="D3949" s="519" t="s">
        <v>4308</v>
      </c>
      <c r="E3949" s="905" t="s">
        <v>2856</v>
      </c>
      <c r="F3949" s="905"/>
      <c r="G3949" s="521" t="s">
        <v>1901</v>
      </c>
      <c r="H3949" s="522">
        <v>1</v>
      </c>
      <c r="I3949" s="523">
        <v>1.34</v>
      </c>
      <c r="J3949" s="523">
        <v>1.34</v>
      </c>
    </row>
    <row r="3950" spans="1:10" ht="25" x14ac:dyDescent="0.3">
      <c r="A3950" s="519" t="s">
        <v>2437</v>
      </c>
      <c r="B3950" s="520" t="s">
        <v>3261</v>
      </c>
      <c r="C3950" s="519" t="s">
        <v>32</v>
      </c>
      <c r="D3950" s="519" t="s">
        <v>4309</v>
      </c>
      <c r="E3950" s="905" t="s">
        <v>2535</v>
      </c>
      <c r="F3950" s="905"/>
      <c r="G3950" s="521" t="s">
        <v>1901</v>
      </c>
      <c r="H3950" s="522">
        <v>1</v>
      </c>
      <c r="I3950" s="523">
        <v>0.04</v>
      </c>
      <c r="J3950" s="523">
        <v>0.04</v>
      </c>
    </row>
    <row r="3951" spans="1:10" ht="25" x14ac:dyDescent="0.3">
      <c r="A3951" s="519" t="s">
        <v>2437</v>
      </c>
      <c r="B3951" s="520" t="s">
        <v>3310</v>
      </c>
      <c r="C3951" s="519" t="s">
        <v>32</v>
      </c>
      <c r="D3951" s="519" t="s">
        <v>3311</v>
      </c>
      <c r="E3951" s="905" t="s">
        <v>2446</v>
      </c>
      <c r="F3951" s="905"/>
      <c r="G3951" s="521" t="s">
        <v>1901</v>
      </c>
      <c r="H3951" s="522">
        <v>1</v>
      </c>
      <c r="I3951" s="523">
        <v>0.01</v>
      </c>
      <c r="J3951" s="523">
        <v>0.01</v>
      </c>
    </row>
    <row r="3952" spans="1:10" ht="25.5" thickBot="1" x14ac:dyDescent="0.35">
      <c r="A3952" s="519" t="s">
        <v>2437</v>
      </c>
      <c r="B3952" s="520" t="s">
        <v>3312</v>
      </c>
      <c r="C3952" s="519" t="s">
        <v>32</v>
      </c>
      <c r="D3952" s="519" t="s">
        <v>3313</v>
      </c>
      <c r="E3952" s="905" t="s">
        <v>2446</v>
      </c>
      <c r="F3952" s="905"/>
      <c r="G3952" s="521" t="s">
        <v>1901</v>
      </c>
      <c r="H3952" s="522">
        <v>1</v>
      </c>
      <c r="I3952" s="523">
        <v>0.86</v>
      </c>
      <c r="J3952" s="523">
        <v>0.86</v>
      </c>
    </row>
    <row r="3953" spans="1:10" ht="14.5" thickTop="1" x14ac:dyDescent="0.3">
      <c r="A3953" s="647"/>
      <c r="B3953" s="647"/>
      <c r="C3953" s="647"/>
      <c r="D3953" s="647"/>
      <c r="E3953" s="647"/>
      <c r="F3953" s="647"/>
      <c r="G3953" s="647"/>
      <c r="H3953" s="647"/>
      <c r="I3953" s="647"/>
      <c r="J3953"/>
    </row>
    <row r="3954" spans="1:10" x14ac:dyDescent="0.3">
      <c r="A3954" s="516"/>
      <c r="B3954" s="517" t="s">
        <v>15</v>
      </c>
      <c r="C3954" s="516" t="s">
        <v>16</v>
      </c>
      <c r="D3954" s="516" t="s">
        <v>17</v>
      </c>
      <c r="E3954" s="904" t="s">
        <v>2431</v>
      </c>
      <c r="F3954" s="904"/>
      <c r="G3954" s="518" t="s">
        <v>18</v>
      </c>
      <c r="H3954" s="517" t="s">
        <v>19</v>
      </c>
      <c r="I3954" s="517" t="s">
        <v>20</v>
      </c>
      <c r="J3954" s="517" t="s">
        <v>23</v>
      </c>
    </row>
    <row r="3955" spans="1:10" ht="25" x14ac:dyDescent="0.3">
      <c r="A3955" s="642" t="s">
        <v>2432</v>
      </c>
      <c r="B3955" s="643" t="s">
        <v>2894</v>
      </c>
      <c r="C3955" s="642" t="s">
        <v>32</v>
      </c>
      <c r="D3955" s="642" t="s">
        <v>2895</v>
      </c>
      <c r="E3955" s="906" t="s">
        <v>2433</v>
      </c>
      <c r="F3955" s="906"/>
      <c r="G3955" s="644" t="s">
        <v>1901</v>
      </c>
      <c r="H3955" s="645">
        <v>1</v>
      </c>
      <c r="I3955" s="646">
        <v>25.72</v>
      </c>
      <c r="J3955" s="646">
        <v>25.72</v>
      </c>
    </row>
    <row r="3956" spans="1:10" ht="25" x14ac:dyDescent="0.3">
      <c r="A3956" s="519" t="s">
        <v>2434</v>
      </c>
      <c r="B3956" s="520" t="s">
        <v>3537</v>
      </c>
      <c r="C3956" s="519" t="s">
        <v>32</v>
      </c>
      <c r="D3956" s="519" t="s">
        <v>3538</v>
      </c>
      <c r="E3956" s="905" t="s">
        <v>2433</v>
      </c>
      <c r="F3956" s="905"/>
      <c r="G3956" s="521" t="s">
        <v>1901</v>
      </c>
      <c r="H3956" s="522">
        <v>1</v>
      </c>
      <c r="I3956" s="523">
        <v>0.17</v>
      </c>
      <c r="J3956" s="523">
        <v>0.17</v>
      </c>
    </row>
    <row r="3957" spans="1:10" x14ac:dyDescent="0.3">
      <c r="A3957" s="519" t="s">
        <v>2437</v>
      </c>
      <c r="B3957" s="520" t="s">
        <v>3539</v>
      </c>
      <c r="C3957" s="519" t="s">
        <v>32</v>
      </c>
      <c r="D3957" s="519" t="s">
        <v>4350</v>
      </c>
      <c r="E3957" s="905" t="s">
        <v>2440</v>
      </c>
      <c r="F3957" s="905"/>
      <c r="G3957" s="521" t="s">
        <v>1901</v>
      </c>
      <c r="H3957" s="522">
        <v>1</v>
      </c>
      <c r="I3957" s="523">
        <v>18</v>
      </c>
      <c r="J3957" s="523">
        <v>18</v>
      </c>
    </row>
    <row r="3958" spans="1:10" s="358" customFormat="1" ht="25" x14ac:dyDescent="0.3">
      <c r="A3958" s="519" t="s">
        <v>2437</v>
      </c>
      <c r="B3958" s="520" t="s">
        <v>3257</v>
      </c>
      <c r="C3958" s="519" t="s">
        <v>32</v>
      </c>
      <c r="D3958" s="519" t="s">
        <v>4306</v>
      </c>
      <c r="E3958" s="905" t="s">
        <v>2856</v>
      </c>
      <c r="F3958" s="905"/>
      <c r="G3958" s="521" t="s">
        <v>1901</v>
      </c>
      <c r="H3958" s="522">
        <v>1</v>
      </c>
      <c r="I3958" s="523">
        <v>3.8</v>
      </c>
      <c r="J3958" s="523">
        <v>3.8</v>
      </c>
    </row>
    <row r="3959" spans="1:10" ht="25" x14ac:dyDescent="0.3">
      <c r="A3959" s="519" t="s">
        <v>2437</v>
      </c>
      <c r="B3959" s="520" t="s">
        <v>3258</v>
      </c>
      <c r="C3959" s="519" t="s">
        <v>32</v>
      </c>
      <c r="D3959" s="519" t="s">
        <v>4307</v>
      </c>
      <c r="E3959" s="905" t="s">
        <v>3259</v>
      </c>
      <c r="F3959" s="905"/>
      <c r="G3959" s="521" t="s">
        <v>1901</v>
      </c>
      <c r="H3959" s="522">
        <v>1</v>
      </c>
      <c r="I3959" s="523">
        <v>1.5</v>
      </c>
      <c r="J3959" s="523">
        <v>1.5</v>
      </c>
    </row>
    <row r="3960" spans="1:10" s="358" customFormat="1" ht="25" x14ac:dyDescent="0.3">
      <c r="A3960" s="519" t="s">
        <v>2437</v>
      </c>
      <c r="B3960" s="520" t="s">
        <v>3260</v>
      </c>
      <c r="C3960" s="519" t="s">
        <v>32</v>
      </c>
      <c r="D3960" s="519" t="s">
        <v>4308</v>
      </c>
      <c r="E3960" s="905" t="s">
        <v>2856</v>
      </c>
      <c r="F3960" s="905"/>
      <c r="G3960" s="521" t="s">
        <v>1901</v>
      </c>
      <c r="H3960" s="522">
        <v>1</v>
      </c>
      <c r="I3960" s="523">
        <v>1.34</v>
      </c>
      <c r="J3960" s="523">
        <v>1.34</v>
      </c>
    </row>
    <row r="3961" spans="1:10" ht="25" x14ac:dyDescent="0.3">
      <c r="A3961" s="519" t="s">
        <v>2437</v>
      </c>
      <c r="B3961" s="520" t="s">
        <v>3261</v>
      </c>
      <c r="C3961" s="519" t="s">
        <v>32</v>
      </c>
      <c r="D3961" s="519" t="s">
        <v>4309</v>
      </c>
      <c r="E3961" s="905" t="s">
        <v>2535</v>
      </c>
      <c r="F3961" s="905"/>
      <c r="G3961" s="521" t="s">
        <v>1901</v>
      </c>
      <c r="H3961" s="522">
        <v>1</v>
      </c>
      <c r="I3961" s="523">
        <v>0.04</v>
      </c>
      <c r="J3961" s="523">
        <v>0.04</v>
      </c>
    </row>
    <row r="3962" spans="1:10" ht="25" x14ac:dyDescent="0.3">
      <c r="A3962" s="519" t="s">
        <v>2437</v>
      </c>
      <c r="B3962" s="520" t="s">
        <v>3310</v>
      </c>
      <c r="C3962" s="519" t="s">
        <v>32</v>
      </c>
      <c r="D3962" s="519" t="s">
        <v>3311</v>
      </c>
      <c r="E3962" s="905" t="s">
        <v>2446</v>
      </c>
      <c r="F3962" s="905"/>
      <c r="G3962" s="521" t="s">
        <v>1901</v>
      </c>
      <c r="H3962" s="522">
        <v>1</v>
      </c>
      <c r="I3962" s="523">
        <v>0.01</v>
      </c>
      <c r="J3962" s="523">
        <v>0.01</v>
      </c>
    </row>
    <row r="3963" spans="1:10" ht="25.5" thickBot="1" x14ac:dyDescent="0.35">
      <c r="A3963" s="519" t="s">
        <v>2437</v>
      </c>
      <c r="B3963" s="520" t="s">
        <v>3312</v>
      </c>
      <c r="C3963" s="519" t="s">
        <v>32</v>
      </c>
      <c r="D3963" s="519" t="s">
        <v>3313</v>
      </c>
      <c r="E3963" s="905" t="s">
        <v>2446</v>
      </c>
      <c r="F3963" s="905"/>
      <c r="G3963" s="521" t="s">
        <v>1901</v>
      </c>
      <c r="H3963" s="522">
        <v>1</v>
      </c>
      <c r="I3963" s="523">
        <v>0.86</v>
      </c>
      <c r="J3963" s="523">
        <v>0.86</v>
      </c>
    </row>
    <row r="3964" spans="1:10" ht="14.5" thickTop="1" x14ac:dyDescent="0.3">
      <c r="A3964" s="647"/>
      <c r="B3964" s="647"/>
      <c r="C3964" s="647"/>
      <c r="D3964" s="647"/>
      <c r="E3964" s="647"/>
      <c r="F3964" s="647"/>
      <c r="G3964" s="647"/>
      <c r="H3964" s="647"/>
      <c r="I3964" s="647"/>
      <c r="J3964"/>
    </row>
    <row r="3965" spans="1:10" x14ac:dyDescent="0.3">
      <c r="A3965" s="516"/>
      <c r="B3965" s="517" t="s">
        <v>15</v>
      </c>
      <c r="C3965" s="516" t="s">
        <v>16</v>
      </c>
      <c r="D3965" s="516" t="s">
        <v>17</v>
      </c>
      <c r="E3965" s="904" t="s">
        <v>2431</v>
      </c>
      <c r="F3965" s="904"/>
      <c r="G3965" s="518" t="s">
        <v>18</v>
      </c>
      <c r="H3965" s="517" t="s">
        <v>19</v>
      </c>
      <c r="I3965" s="517" t="s">
        <v>20</v>
      </c>
      <c r="J3965" s="517" t="s">
        <v>23</v>
      </c>
    </row>
    <row r="3966" spans="1:10" ht="25" x14ac:dyDescent="0.3">
      <c r="A3966" s="642" t="s">
        <v>2432</v>
      </c>
      <c r="B3966" s="643" t="s">
        <v>3807</v>
      </c>
      <c r="C3966" s="642" t="s">
        <v>32</v>
      </c>
      <c r="D3966" s="642" t="s">
        <v>3808</v>
      </c>
      <c r="E3966" s="906" t="s">
        <v>2433</v>
      </c>
      <c r="F3966" s="906"/>
      <c r="G3966" s="644" t="s">
        <v>1901</v>
      </c>
      <c r="H3966" s="645">
        <v>1</v>
      </c>
      <c r="I3966" s="646">
        <v>39.909999999999997</v>
      </c>
      <c r="J3966" s="646">
        <v>39.909999999999997</v>
      </c>
    </row>
    <row r="3967" spans="1:10" ht="25" x14ac:dyDescent="0.3">
      <c r="A3967" s="519" t="s">
        <v>2434</v>
      </c>
      <c r="B3967" s="520" t="s">
        <v>3540</v>
      </c>
      <c r="C3967" s="519" t="s">
        <v>32</v>
      </c>
      <c r="D3967" s="519" t="s">
        <v>3541</v>
      </c>
      <c r="E3967" s="905" t="s">
        <v>2433</v>
      </c>
      <c r="F3967" s="905"/>
      <c r="G3967" s="521" t="s">
        <v>1901</v>
      </c>
      <c r="H3967" s="522">
        <v>1</v>
      </c>
      <c r="I3967" s="523">
        <v>0.3</v>
      </c>
      <c r="J3967" s="523">
        <v>0.3</v>
      </c>
    </row>
    <row r="3968" spans="1:10" x14ac:dyDescent="0.3">
      <c r="A3968" s="519" t="s">
        <v>2437</v>
      </c>
      <c r="B3968" s="520" t="s">
        <v>3542</v>
      </c>
      <c r="C3968" s="519" t="s">
        <v>32</v>
      </c>
      <c r="D3968" s="519" t="s">
        <v>4351</v>
      </c>
      <c r="E3968" s="905" t="s">
        <v>2440</v>
      </c>
      <c r="F3968" s="905"/>
      <c r="G3968" s="521" t="s">
        <v>1901</v>
      </c>
      <c r="H3968" s="522">
        <v>1</v>
      </c>
      <c r="I3968" s="523">
        <v>32.06</v>
      </c>
      <c r="J3968" s="523">
        <v>32.06</v>
      </c>
    </row>
    <row r="3969" spans="1:10" s="358" customFormat="1" ht="25" x14ac:dyDescent="0.3">
      <c r="A3969" s="519" t="s">
        <v>2437</v>
      </c>
      <c r="B3969" s="520" t="s">
        <v>3257</v>
      </c>
      <c r="C3969" s="519" t="s">
        <v>32</v>
      </c>
      <c r="D3969" s="519" t="s">
        <v>4306</v>
      </c>
      <c r="E3969" s="905" t="s">
        <v>2856</v>
      </c>
      <c r="F3969" s="905"/>
      <c r="G3969" s="521" t="s">
        <v>1901</v>
      </c>
      <c r="H3969" s="522">
        <v>1</v>
      </c>
      <c r="I3969" s="523">
        <v>3.8</v>
      </c>
      <c r="J3969" s="523">
        <v>3.8</v>
      </c>
    </row>
    <row r="3970" spans="1:10" ht="25" x14ac:dyDescent="0.3">
      <c r="A3970" s="519" t="s">
        <v>2437</v>
      </c>
      <c r="B3970" s="520" t="s">
        <v>3258</v>
      </c>
      <c r="C3970" s="519" t="s">
        <v>32</v>
      </c>
      <c r="D3970" s="519" t="s">
        <v>4307</v>
      </c>
      <c r="E3970" s="905" t="s">
        <v>3259</v>
      </c>
      <c r="F3970" s="905"/>
      <c r="G3970" s="521" t="s">
        <v>1901</v>
      </c>
      <c r="H3970" s="522">
        <v>1</v>
      </c>
      <c r="I3970" s="523">
        <v>1.5</v>
      </c>
      <c r="J3970" s="523">
        <v>1.5</v>
      </c>
    </row>
    <row r="3971" spans="1:10" s="358" customFormat="1" ht="25" x14ac:dyDescent="0.3">
      <c r="A3971" s="519" t="s">
        <v>2437</v>
      </c>
      <c r="B3971" s="520" t="s">
        <v>3260</v>
      </c>
      <c r="C3971" s="519" t="s">
        <v>32</v>
      </c>
      <c r="D3971" s="519" t="s">
        <v>4308</v>
      </c>
      <c r="E3971" s="905" t="s">
        <v>2856</v>
      </c>
      <c r="F3971" s="905"/>
      <c r="G3971" s="521" t="s">
        <v>1901</v>
      </c>
      <c r="H3971" s="522">
        <v>1</v>
      </c>
      <c r="I3971" s="523">
        <v>1.34</v>
      </c>
      <c r="J3971" s="523">
        <v>1.34</v>
      </c>
    </row>
    <row r="3972" spans="1:10" ht="25" x14ac:dyDescent="0.3">
      <c r="A3972" s="519" t="s">
        <v>2437</v>
      </c>
      <c r="B3972" s="520" t="s">
        <v>3261</v>
      </c>
      <c r="C3972" s="519" t="s">
        <v>32</v>
      </c>
      <c r="D3972" s="519" t="s">
        <v>4309</v>
      </c>
      <c r="E3972" s="905" t="s">
        <v>2535</v>
      </c>
      <c r="F3972" s="905"/>
      <c r="G3972" s="521" t="s">
        <v>1901</v>
      </c>
      <c r="H3972" s="522">
        <v>1</v>
      </c>
      <c r="I3972" s="523">
        <v>0.04</v>
      </c>
      <c r="J3972" s="523">
        <v>0.04</v>
      </c>
    </row>
    <row r="3973" spans="1:10" ht="25" x14ac:dyDescent="0.3">
      <c r="A3973" s="519" t="s">
        <v>2437</v>
      </c>
      <c r="B3973" s="520" t="s">
        <v>3310</v>
      </c>
      <c r="C3973" s="519" t="s">
        <v>32</v>
      </c>
      <c r="D3973" s="519" t="s">
        <v>3311</v>
      </c>
      <c r="E3973" s="905" t="s">
        <v>2446</v>
      </c>
      <c r="F3973" s="905"/>
      <c r="G3973" s="521" t="s">
        <v>1901</v>
      </c>
      <c r="H3973" s="522">
        <v>1</v>
      </c>
      <c r="I3973" s="523">
        <v>0.01</v>
      </c>
      <c r="J3973" s="523">
        <v>0.01</v>
      </c>
    </row>
    <row r="3974" spans="1:10" ht="25.5" thickBot="1" x14ac:dyDescent="0.35">
      <c r="A3974" s="519" t="s">
        <v>2437</v>
      </c>
      <c r="B3974" s="520" t="s">
        <v>3312</v>
      </c>
      <c r="C3974" s="519" t="s">
        <v>32</v>
      </c>
      <c r="D3974" s="519" t="s">
        <v>3313</v>
      </c>
      <c r="E3974" s="905" t="s">
        <v>2446</v>
      </c>
      <c r="F3974" s="905"/>
      <c r="G3974" s="521" t="s">
        <v>1901</v>
      </c>
      <c r="H3974" s="522">
        <v>1</v>
      </c>
      <c r="I3974" s="523">
        <v>0.86</v>
      </c>
      <c r="J3974" s="523">
        <v>0.86</v>
      </c>
    </row>
    <row r="3975" spans="1:10" ht="14.5" thickTop="1" x14ac:dyDescent="0.3">
      <c r="A3975" s="647"/>
      <c r="B3975" s="647"/>
      <c r="C3975" s="647"/>
      <c r="D3975" s="647"/>
      <c r="E3975" s="647"/>
      <c r="F3975" s="647"/>
      <c r="G3975" s="647"/>
      <c r="H3975" s="647"/>
      <c r="I3975" s="647"/>
      <c r="J3975"/>
    </row>
    <row r="3976" spans="1:10" x14ac:dyDescent="0.3">
      <c r="A3976" s="516"/>
      <c r="B3976" s="517" t="s">
        <v>15</v>
      </c>
      <c r="C3976" s="516" t="s">
        <v>16</v>
      </c>
      <c r="D3976" s="516" t="s">
        <v>17</v>
      </c>
      <c r="E3976" s="904" t="s">
        <v>2431</v>
      </c>
      <c r="F3976" s="904"/>
      <c r="G3976" s="518" t="s">
        <v>18</v>
      </c>
      <c r="H3976" s="517" t="s">
        <v>19</v>
      </c>
      <c r="I3976" s="517" t="s">
        <v>20</v>
      </c>
      <c r="J3976" s="517" t="s">
        <v>23</v>
      </c>
    </row>
    <row r="3977" spans="1:10" ht="25" x14ac:dyDescent="0.3">
      <c r="A3977" s="642" t="s">
        <v>2432</v>
      </c>
      <c r="B3977" s="643" t="s">
        <v>2901</v>
      </c>
      <c r="C3977" s="642" t="s">
        <v>32</v>
      </c>
      <c r="D3977" s="642" t="s">
        <v>2902</v>
      </c>
      <c r="E3977" s="906" t="s">
        <v>2433</v>
      </c>
      <c r="F3977" s="906"/>
      <c r="G3977" s="644" t="s">
        <v>1901</v>
      </c>
      <c r="H3977" s="645">
        <v>1</v>
      </c>
      <c r="I3977" s="646">
        <v>25.78</v>
      </c>
      <c r="J3977" s="646">
        <v>25.78</v>
      </c>
    </row>
    <row r="3978" spans="1:10" ht="25" x14ac:dyDescent="0.3">
      <c r="A3978" s="519" t="s">
        <v>2434</v>
      </c>
      <c r="B3978" s="520" t="s">
        <v>3543</v>
      </c>
      <c r="C3978" s="519" t="s">
        <v>32</v>
      </c>
      <c r="D3978" s="519" t="s">
        <v>3544</v>
      </c>
      <c r="E3978" s="905" t="s">
        <v>2433</v>
      </c>
      <c r="F3978" s="905"/>
      <c r="G3978" s="521" t="s">
        <v>1901</v>
      </c>
      <c r="H3978" s="522">
        <v>1</v>
      </c>
      <c r="I3978" s="523">
        <v>0.23</v>
      </c>
      <c r="J3978" s="523">
        <v>0.23</v>
      </c>
    </row>
    <row r="3979" spans="1:10" ht="25" x14ac:dyDescent="0.3">
      <c r="A3979" s="519" t="s">
        <v>2437</v>
      </c>
      <c r="B3979" s="520" t="s">
        <v>3545</v>
      </c>
      <c r="C3979" s="519" t="s">
        <v>32</v>
      </c>
      <c r="D3979" s="519" t="s">
        <v>4352</v>
      </c>
      <c r="E3979" s="905" t="s">
        <v>2440</v>
      </c>
      <c r="F3979" s="905"/>
      <c r="G3979" s="521" t="s">
        <v>1901</v>
      </c>
      <c r="H3979" s="522">
        <v>1</v>
      </c>
      <c r="I3979" s="523">
        <v>18</v>
      </c>
      <c r="J3979" s="523">
        <v>18</v>
      </c>
    </row>
    <row r="3980" spans="1:10" s="358" customFormat="1" ht="25" x14ac:dyDescent="0.3">
      <c r="A3980" s="519" t="s">
        <v>2437</v>
      </c>
      <c r="B3980" s="520" t="s">
        <v>3257</v>
      </c>
      <c r="C3980" s="519" t="s">
        <v>32</v>
      </c>
      <c r="D3980" s="519" t="s">
        <v>4306</v>
      </c>
      <c r="E3980" s="905" t="s">
        <v>2856</v>
      </c>
      <c r="F3980" s="905"/>
      <c r="G3980" s="521" t="s">
        <v>1901</v>
      </c>
      <c r="H3980" s="522">
        <v>1</v>
      </c>
      <c r="I3980" s="523">
        <v>3.8</v>
      </c>
      <c r="J3980" s="523">
        <v>3.8</v>
      </c>
    </row>
    <row r="3981" spans="1:10" ht="25" x14ac:dyDescent="0.3">
      <c r="A3981" s="519" t="s">
        <v>2437</v>
      </c>
      <c r="B3981" s="520" t="s">
        <v>3258</v>
      </c>
      <c r="C3981" s="519" t="s">
        <v>32</v>
      </c>
      <c r="D3981" s="519" t="s">
        <v>4307</v>
      </c>
      <c r="E3981" s="905" t="s">
        <v>3259</v>
      </c>
      <c r="F3981" s="905"/>
      <c r="G3981" s="521" t="s">
        <v>1901</v>
      </c>
      <c r="H3981" s="522">
        <v>1</v>
      </c>
      <c r="I3981" s="523">
        <v>1.5</v>
      </c>
      <c r="J3981" s="523">
        <v>1.5</v>
      </c>
    </row>
    <row r="3982" spans="1:10" s="358" customFormat="1" ht="25" x14ac:dyDescent="0.3">
      <c r="A3982" s="519" t="s">
        <v>2437</v>
      </c>
      <c r="B3982" s="520" t="s">
        <v>3260</v>
      </c>
      <c r="C3982" s="519" t="s">
        <v>32</v>
      </c>
      <c r="D3982" s="519" t="s">
        <v>4308</v>
      </c>
      <c r="E3982" s="905" t="s">
        <v>2856</v>
      </c>
      <c r="F3982" s="905"/>
      <c r="G3982" s="521" t="s">
        <v>1901</v>
      </c>
      <c r="H3982" s="522">
        <v>1</v>
      </c>
      <c r="I3982" s="523">
        <v>1.34</v>
      </c>
      <c r="J3982" s="523">
        <v>1.34</v>
      </c>
    </row>
    <row r="3983" spans="1:10" ht="25" x14ac:dyDescent="0.3">
      <c r="A3983" s="519" t="s">
        <v>2437</v>
      </c>
      <c r="B3983" s="520" t="s">
        <v>3261</v>
      </c>
      <c r="C3983" s="519" t="s">
        <v>32</v>
      </c>
      <c r="D3983" s="519" t="s">
        <v>4309</v>
      </c>
      <c r="E3983" s="905" t="s">
        <v>2535</v>
      </c>
      <c r="F3983" s="905"/>
      <c r="G3983" s="521" t="s">
        <v>1901</v>
      </c>
      <c r="H3983" s="522">
        <v>1</v>
      </c>
      <c r="I3983" s="523">
        <v>0.04</v>
      </c>
      <c r="J3983" s="523">
        <v>0.04</v>
      </c>
    </row>
    <row r="3984" spans="1:10" ht="25" x14ac:dyDescent="0.3">
      <c r="A3984" s="519" t="s">
        <v>2437</v>
      </c>
      <c r="B3984" s="520" t="s">
        <v>3310</v>
      </c>
      <c r="C3984" s="519" t="s">
        <v>32</v>
      </c>
      <c r="D3984" s="519" t="s">
        <v>3311</v>
      </c>
      <c r="E3984" s="905" t="s">
        <v>2446</v>
      </c>
      <c r="F3984" s="905"/>
      <c r="G3984" s="521" t="s">
        <v>1901</v>
      </c>
      <c r="H3984" s="522">
        <v>1</v>
      </c>
      <c r="I3984" s="523">
        <v>0.01</v>
      </c>
      <c r="J3984" s="523">
        <v>0.01</v>
      </c>
    </row>
    <row r="3985" spans="1:10" ht="25.5" thickBot="1" x14ac:dyDescent="0.35">
      <c r="A3985" s="519" t="s">
        <v>2437</v>
      </c>
      <c r="B3985" s="520" t="s">
        <v>3312</v>
      </c>
      <c r="C3985" s="519" t="s">
        <v>32</v>
      </c>
      <c r="D3985" s="519" t="s">
        <v>3313</v>
      </c>
      <c r="E3985" s="905" t="s">
        <v>2446</v>
      </c>
      <c r="F3985" s="905"/>
      <c r="G3985" s="521" t="s">
        <v>1901</v>
      </c>
      <c r="H3985" s="522">
        <v>1</v>
      </c>
      <c r="I3985" s="523">
        <v>0.86</v>
      </c>
      <c r="J3985" s="523">
        <v>0.86</v>
      </c>
    </row>
    <row r="3986" spans="1:10" ht="14.5" thickTop="1" x14ac:dyDescent="0.3">
      <c r="A3986" s="647"/>
      <c r="B3986" s="647"/>
      <c r="C3986" s="647"/>
      <c r="D3986" s="647"/>
      <c r="E3986" s="647"/>
      <c r="F3986" s="647"/>
      <c r="G3986" s="647"/>
      <c r="H3986" s="647"/>
      <c r="I3986" s="647"/>
      <c r="J3986"/>
    </row>
    <row r="3987" spans="1:10" x14ac:dyDescent="0.3">
      <c r="A3987" s="516"/>
      <c r="B3987" s="517" t="s">
        <v>15</v>
      </c>
      <c r="C3987" s="516" t="s">
        <v>16</v>
      </c>
      <c r="D3987" s="516" t="s">
        <v>17</v>
      </c>
      <c r="E3987" s="904" t="s">
        <v>2431</v>
      </c>
      <c r="F3987" s="904"/>
      <c r="G3987" s="518" t="s">
        <v>18</v>
      </c>
      <c r="H3987" s="517" t="s">
        <v>19</v>
      </c>
      <c r="I3987" s="517" t="s">
        <v>20</v>
      </c>
      <c r="J3987" s="517" t="s">
        <v>23</v>
      </c>
    </row>
    <row r="3988" spans="1:10" ht="14.25" customHeight="1" x14ac:dyDescent="0.3">
      <c r="A3988" s="642" t="s">
        <v>2432</v>
      </c>
      <c r="B3988" s="643" t="s">
        <v>3819</v>
      </c>
      <c r="C3988" s="642" t="s">
        <v>32</v>
      </c>
      <c r="D3988" s="642" t="s">
        <v>3820</v>
      </c>
      <c r="E3988" s="906" t="s">
        <v>2433</v>
      </c>
      <c r="F3988" s="906"/>
      <c r="G3988" s="644" t="s">
        <v>1901</v>
      </c>
      <c r="H3988" s="645">
        <v>1</v>
      </c>
      <c r="I3988" s="646">
        <v>25.72</v>
      </c>
      <c r="J3988" s="646">
        <v>25.72</v>
      </c>
    </row>
    <row r="3989" spans="1:10" ht="25" x14ac:dyDescent="0.3">
      <c r="A3989" s="519" t="s">
        <v>2434</v>
      </c>
      <c r="B3989" s="520" t="s">
        <v>3546</v>
      </c>
      <c r="C3989" s="519" t="s">
        <v>32</v>
      </c>
      <c r="D3989" s="519" t="s">
        <v>3547</v>
      </c>
      <c r="E3989" s="905" t="s">
        <v>2433</v>
      </c>
      <c r="F3989" s="905"/>
      <c r="G3989" s="521" t="s">
        <v>1901</v>
      </c>
      <c r="H3989" s="522">
        <v>1</v>
      </c>
      <c r="I3989" s="523">
        <v>0.17</v>
      </c>
      <c r="J3989" s="523">
        <v>0.17</v>
      </c>
    </row>
    <row r="3990" spans="1:10" ht="25" x14ac:dyDescent="0.3">
      <c r="A3990" s="519" t="s">
        <v>2437</v>
      </c>
      <c r="B3990" s="520" t="s">
        <v>3257</v>
      </c>
      <c r="C3990" s="519" t="s">
        <v>32</v>
      </c>
      <c r="D3990" s="519" t="s">
        <v>4306</v>
      </c>
      <c r="E3990" s="905" t="s">
        <v>2856</v>
      </c>
      <c r="F3990" s="905"/>
      <c r="G3990" s="521" t="s">
        <v>1901</v>
      </c>
      <c r="H3990" s="522">
        <v>1</v>
      </c>
      <c r="I3990" s="523">
        <v>3.8</v>
      </c>
      <c r="J3990" s="523">
        <v>3.8</v>
      </c>
    </row>
    <row r="3991" spans="1:10" s="358" customFormat="1" ht="25" x14ac:dyDescent="0.3">
      <c r="A3991" s="519" t="s">
        <v>2437</v>
      </c>
      <c r="B3991" s="520" t="s">
        <v>3258</v>
      </c>
      <c r="C3991" s="519" t="s">
        <v>32</v>
      </c>
      <c r="D3991" s="519" t="s">
        <v>4307</v>
      </c>
      <c r="E3991" s="905" t="s">
        <v>3259</v>
      </c>
      <c r="F3991" s="905"/>
      <c r="G3991" s="521" t="s">
        <v>1901</v>
      </c>
      <c r="H3991" s="522">
        <v>1</v>
      </c>
      <c r="I3991" s="523">
        <v>1.5</v>
      </c>
      <c r="J3991" s="523">
        <v>1.5</v>
      </c>
    </row>
    <row r="3992" spans="1:10" ht="25" x14ac:dyDescent="0.3">
      <c r="A3992" s="519" t="s">
        <v>2437</v>
      </c>
      <c r="B3992" s="520" t="s">
        <v>3260</v>
      </c>
      <c r="C3992" s="519" t="s">
        <v>32</v>
      </c>
      <c r="D3992" s="519" t="s">
        <v>4308</v>
      </c>
      <c r="E3992" s="905" t="s">
        <v>2856</v>
      </c>
      <c r="F3992" s="905"/>
      <c r="G3992" s="521" t="s">
        <v>1901</v>
      </c>
      <c r="H3992" s="522">
        <v>1</v>
      </c>
      <c r="I3992" s="523">
        <v>1.34</v>
      </c>
      <c r="J3992" s="523">
        <v>1.34</v>
      </c>
    </row>
    <row r="3993" spans="1:10" s="358" customFormat="1" ht="25" x14ac:dyDescent="0.3">
      <c r="A3993" s="519" t="s">
        <v>2437</v>
      </c>
      <c r="B3993" s="520" t="s">
        <v>3261</v>
      </c>
      <c r="C3993" s="519" t="s">
        <v>32</v>
      </c>
      <c r="D3993" s="519" t="s">
        <v>4309</v>
      </c>
      <c r="E3993" s="905" t="s">
        <v>2535</v>
      </c>
      <c r="F3993" s="905"/>
      <c r="G3993" s="521" t="s">
        <v>1901</v>
      </c>
      <c r="H3993" s="522">
        <v>1</v>
      </c>
      <c r="I3993" s="523">
        <v>0.04</v>
      </c>
      <c r="J3993" s="523">
        <v>0.04</v>
      </c>
    </row>
    <row r="3994" spans="1:10" ht="25" x14ac:dyDescent="0.3">
      <c r="A3994" s="519" t="s">
        <v>2437</v>
      </c>
      <c r="B3994" s="520" t="s">
        <v>3310</v>
      </c>
      <c r="C3994" s="519" t="s">
        <v>32</v>
      </c>
      <c r="D3994" s="519" t="s">
        <v>3311</v>
      </c>
      <c r="E3994" s="905" t="s">
        <v>2446</v>
      </c>
      <c r="F3994" s="905"/>
      <c r="G3994" s="521" t="s">
        <v>1901</v>
      </c>
      <c r="H3994" s="522">
        <v>1</v>
      </c>
      <c r="I3994" s="523">
        <v>0.01</v>
      </c>
      <c r="J3994" s="523">
        <v>0.01</v>
      </c>
    </row>
    <row r="3995" spans="1:10" ht="25" x14ac:dyDescent="0.3">
      <c r="A3995" s="519" t="s">
        <v>2437</v>
      </c>
      <c r="B3995" s="520" t="s">
        <v>3312</v>
      </c>
      <c r="C3995" s="519" t="s">
        <v>32</v>
      </c>
      <c r="D3995" s="519" t="s">
        <v>3313</v>
      </c>
      <c r="E3995" s="905" t="s">
        <v>2446</v>
      </c>
      <c r="F3995" s="905"/>
      <c r="G3995" s="521" t="s">
        <v>1901</v>
      </c>
      <c r="H3995" s="522">
        <v>1</v>
      </c>
      <c r="I3995" s="523">
        <v>0.86</v>
      </c>
      <c r="J3995" s="523">
        <v>0.86</v>
      </c>
    </row>
    <row r="3996" spans="1:10" ht="14.5" thickBot="1" x14ac:dyDescent="0.35">
      <c r="A3996" s="519" t="s">
        <v>2437</v>
      </c>
      <c r="B3996" s="520" t="s">
        <v>3548</v>
      </c>
      <c r="C3996" s="519" t="s">
        <v>32</v>
      </c>
      <c r="D3996" s="519" t="s">
        <v>4353</v>
      </c>
      <c r="E3996" s="905" t="s">
        <v>2440</v>
      </c>
      <c r="F3996" s="905"/>
      <c r="G3996" s="521" t="s">
        <v>1901</v>
      </c>
      <c r="H3996" s="522">
        <v>1</v>
      </c>
      <c r="I3996" s="523">
        <v>18</v>
      </c>
      <c r="J3996" s="523">
        <v>18</v>
      </c>
    </row>
    <row r="3997" spans="1:10" ht="14.5" thickTop="1" x14ac:dyDescent="0.3">
      <c r="A3997" s="647"/>
      <c r="B3997" s="647"/>
      <c r="C3997" s="647"/>
      <c r="D3997" s="647"/>
      <c r="E3997" s="647"/>
      <c r="F3997" s="647"/>
      <c r="G3997" s="647"/>
      <c r="H3997" s="647"/>
      <c r="I3997" s="647"/>
      <c r="J3997"/>
    </row>
    <row r="3998" spans="1:10" x14ac:dyDescent="0.3">
      <c r="A3998" s="516"/>
      <c r="B3998" s="517" t="s">
        <v>15</v>
      </c>
      <c r="C3998" s="516" t="s">
        <v>16</v>
      </c>
      <c r="D3998" s="516" t="s">
        <v>17</v>
      </c>
      <c r="E3998" s="904" t="s">
        <v>2431</v>
      </c>
      <c r="F3998" s="904"/>
      <c r="G3998" s="518" t="s">
        <v>18</v>
      </c>
      <c r="H3998" s="517" t="s">
        <v>19</v>
      </c>
      <c r="I3998" s="517" t="s">
        <v>20</v>
      </c>
      <c r="J3998" s="517" t="s">
        <v>23</v>
      </c>
    </row>
    <row r="3999" spans="1:10" ht="25" x14ac:dyDescent="0.3">
      <c r="A3999" s="642" t="s">
        <v>2432</v>
      </c>
      <c r="B3999" s="643" t="s">
        <v>3821</v>
      </c>
      <c r="C3999" s="642" t="s">
        <v>32</v>
      </c>
      <c r="D3999" s="642" t="s">
        <v>3822</v>
      </c>
      <c r="E3999" s="906" t="s">
        <v>2433</v>
      </c>
      <c r="F3999" s="906"/>
      <c r="G3999" s="644" t="s">
        <v>1901</v>
      </c>
      <c r="H3999" s="645">
        <v>1</v>
      </c>
      <c r="I3999" s="646">
        <v>25.72</v>
      </c>
      <c r="J3999" s="646">
        <v>25.72</v>
      </c>
    </row>
    <row r="4000" spans="1:10" ht="25" x14ac:dyDescent="0.3">
      <c r="A4000" s="519" t="s">
        <v>2434</v>
      </c>
      <c r="B4000" s="520" t="s">
        <v>3549</v>
      </c>
      <c r="C4000" s="519" t="s">
        <v>32</v>
      </c>
      <c r="D4000" s="519" t="s">
        <v>3550</v>
      </c>
      <c r="E4000" s="905" t="s">
        <v>2433</v>
      </c>
      <c r="F4000" s="905"/>
      <c r="G4000" s="521" t="s">
        <v>1901</v>
      </c>
      <c r="H4000" s="522">
        <v>1</v>
      </c>
      <c r="I4000" s="523">
        <v>0.17</v>
      </c>
      <c r="J4000" s="523">
        <v>0.17</v>
      </c>
    </row>
    <row r="4001" spans="1:10" x14ac:dyDescent="0.3">
      <c r="A4001" s="519" t="s">
        <v>2437</v>
      </c>
      <c r="B4001" s="520" t="s">
        <v>3551</v>
      </c>
      <c r="C4001" s="519" t="s">
        <v>32</v>
      </c>
      <c r="D4001" s="519" t="s">
        <v>4354</v>
      </c>
      <c r="E4001" s="905" t="s">
        <v>2440</v>
      </c>
      <c r="F4001" s="905"/>
      <c r="G4001" s="521" t="s">
        <v>1901</v>
      </c>
      <c r="H4001" s="522">
        <v>1</v>
      </c>
      <c r="I4001" s="523">
        <v>18</v>
      </c>
      <c r="J4001" s="523">
        <v>18</v>
      </c>
    </row>
    <row r="4002" spans="1:10" s="358" customFormat="1" ht="25" x14ac:dyDescent="0.3">
      <c r="A4002" s="519" t="s">
        <v>2437</v>
      </c>
      <c r="B4002" s="520" t="s">
        <v>3257</v>
      </c>
      <c r="C4002" s="519" t="s">
        <v>32</v>
      </c>
      <c r="D4002" s="519" t="s">
        <v>4306</v>
      </c>
      <c r="E4002" s="905" t="s">
        <v>2856</v>
      </c>
      <c r="F4002" s="905"/>
      <c r="G4002" s="521" t="s">
        <v>1901</v>
      </c>
      <c r="H4002" s="522">
        <v>1</v>
      </c>
      <c r="I4002" s="523">
        <v>3.8</v>
      </c>
      <c r="J4002" s="523">
        <v>3.8</v>
      </c>
    </row>
    <row r="4003" spans="1:10" ht="25" x14ac:dyDescent="0.3">
      <c r="A4003" s="519" t="s">
        <v>2437</v>
      </c>
      <c r="B4003" s="520" t="s">
        <v>3258</v>
      </c>
      <c r="C4003" s="519" t="s">
        <v>32</v>
      </c>
      <c r="D4003" s="519" t="s">
        <v>4307</v>
      </c>
      <c r="E4003" s="905" t="s">
        <v>3259</v>
      </c>
      <c r="F4003" s="905"/>
      <c r="G4003" s="521" t="s">
        <v>1901</v>
      </c>
      <c r="H4003" s="522">
        <v>1</v>
      </c>
      <c r="I4003" s="523">
        <v>1.5</v>
      </c>
      <c r="J4003" s="523">
        <v>1.5</v>
      </c>
    </row>
    <row r="4004" spans="1:10" s="358" customFormat="1" ht="25" x14ac:dyDescent="0.3">
      <c r="A4004" s="519" t="s">
        <v>2437</v>
      </c>
      <c r="B4004" s="520" t="s">
        <v>3260</v>
      </c>
      <c r="C4004" s="519" t="s">
        <v>32</v>
      </c>
      <c r="D4004" s="519" t="s">
        <v>4308</v>
      </c>
      <c r="E4004" s="905" t="s">
        <v>2856</v>
      </c>
      <c r="F4004" s="905"/>
      <c r="G4004" s="521" t="s">
        <v>1901</v>
      </c>
      <c r="H4004" s="522">
        <v>1</v>
      </c>
      <c r="I4004" s="523">
        <v>1.34</v>
      </c>
      <c r="J4004" s="523">
        <v>1.34</v>
      </c>
    </row>
    <row r="4005" spans="1:10" ht="25" x14ac:dyDescent="0.3">
      <c r="A4005" s="519" t="s">
        <v>2437</v>
      </c>
      <c r="B4005" s="520" t="s">
        <v>3261</v>
      </c>
      <c r="C4005" s="519" t="s">
        <v>32</v>
      </c>
      <c r="D4005" s="519" t="s">
        <v>4309</v>
      </c>
      <c r="E4005" s="905" t="s">
        <v>2535</v>
      </c>
      <c r="F4005" s="905"/>
      <c r="G4005" s="521" t="s">
        <v>1901</v>
      </c>
      <c r="H4005" s="522">
        <v>1</v>
      </c>
      <c r="I4005" s="523">
        <v>0.04</v>
      </c>
      <c r="J4005" s="523">
        <v>0.04</v>
      </c>
    </row>
    <row r="4006" spans="1:10" ht="25" x14ac:dyDescent="0.3">
      <c r="A4006" s="519" t="s">
        <v>2437</v>
      </c>
      <c r="B4006" s="520" t="s">
        <v>3310</v>
      </c>
      <c r="C4006" s="519" t="s">
        <v>32</v>
      </c>
      <c r="D4006" s="519" t="s">
        <v>3311</v>
      </c>
      <c r="E4006" s="905" t="s">
        <v>2446</v>
      </c>
      <c r="F4006" s="905"/>
      <c r="G4006" s="521" t="s">
        <v>1901</v>
      </c>
      <c r="H4006" s="522">
        <v>1</v>
      </c>
      <c r="I4006" s="523">
        <v>0.01</v>
      </c>
      <c r="J4006" s="523">
        <v>0.01</v>
      </c>
    </row>
    <row r="4007" spans="1:10" ht="25.5" thickBot="1" x14ac:dyDescent="0.35">
      <c r="A4007" s="519" t="s">
        <v>2437</v>
      </c>
      <c r="B4007" s="520" t="s">
        <v>3312</v>
      </c>
      <c r="C4007" s="519" t="s">
        <v>32</v>
      </c>
      <c r="D4007" s="519" t="s">
        <v>3313</v>
      </c>
      <c r="E4007" s="905" t="s">
        <v>2446</v>
      </c>
      <c r="F4007" s="905"/>
      <c r="G4007" s="521" t="s">
        <v>1901</v>
      </c>
      <c r="H4007" s="522">
        <v>1</v>
      </c>
      <c r="I4007" s="523">
        <v>0.86</v>
      </c>
      <c r="J4007" s="523">
        <v>0.86</v>
      </c>
    </row>
    <row r="4008" spans="1:10" ht="14.5" thickTop="1" x14ac:dyDescent="0.3">
      <c r="A4008" s="647"/>
      <c r="B4008" s="647"/>
      <c r="C4008" s="647"/>
      <c r="D4008" s="647"/>
      <c r="E4008" s="647"/>
      <c r="F4008" s="647"/>
      <c r="G4008" s="647"/>
      <c r="H4008" s="647"/>
      <c r="I4008" s="647"/>
      <c r="J4008"/>
    </row>
    <row r="4009" spans="1:10" x14ac:dyDescent="0.3">
      <c r="A4009" s="516"/>
      <c r="B4009" s="517" t="s">
        <v>15</v>
      </c>
      <c r="C4009" s="516" t="s">
        <v>16</v>
      </c>
      <c r="D4009" s="516" t="s">
        <v>17</v>
      </c>
      <c r="E4009" s="904" t="s">
        <v>2431</v>
      </c>
      <c r="F4009" s="904"/>
      <c r="G4009" s="518" t="s">
        <v>18</v>
      </c>
      <c r="H4009" s="517" t="s">
        <v>19</v>
      </c>
      <c r="I4009" s="517" t="s">
        <v>20</v>
      </c>
      <c r="J4009" s="517" t="s">
        <v>23</v>
      </c>
    </row>
    <row r="4010" spans="1:10" ht="25" x14ac:dyDescent="0.3">
      <c r="A4010" s="642" t="s">
        <v>2432</v>
      </c>
      <c r="B4010" s="643" t="s">
        <v>3823</v>
      </c>
      <c r="C4010" s="642" t="s">
        <v>32</v>
      </c>
      <c r="D4010" s="642" t="s">
        <v>3824</v>
      </c>
      <c r="E4010" s="906" t="s">
        <v>2433</v>
      </c>
      <c r="F4010" s="906"/>
      <c r="G4010" s="644" t="s">
        <v>1901</v>
      </c>
      <c r="H4010" s="645">
        <v>1</v>
      </c>
      <c r="I4010" s="646">
        <v>25.72</v>
      </c>
      <c r="J4010" s="646">
        <v>25.72</v>
      </c>
    </row>
    <row r="4011" spans="1:10" ht="25" x14ac:dyDescent="0.3">
      <c r="A4011" s="519" t="s">
        <v>2434</v>
      </c>
      <c r="B4011" s="520" t="s">
        <v>3552</v>
      </c>
      <c r="C4011" s="519" t="s">
        <v>32</v>
      </c>
      <c r="D4011" s="519" t="s">
        <v>3553</v>
      </c>
      <c r="E4011" s="905" t="s">
        <v>2433</v>
      </c>
      <c r="F4011" s="905"/>
      <c r="G4011" s="521" t="s">
        <v>1901</v>
      </c>
      <c r="H4011" s="522">
        <v>1</v>
      </c>
      <c r="I4011" s="523">
        <v>0.17</v>
      </c>
      <c r="J4011" s="523">
        <v>0.17</v>
      </c>
    </row>
    <row r="4012" spans="1:10" x14ac:dyDescent="0.3">
      <c r="A4012" s="519" t="s">
        <v>2437</v>
      </c>
      <c r="B4012" s="520" t="s">
        <v>3554</v>
      </c>
      <c r="C4012" s="519" t="s">
        <v>32</v>
      </c>
      <c r="D4012" s="519" t="s">
        <v>4355</v>
      </c>
      <c r="E4012" s="905" t="s">
        <v>2440</v>
      </c>
      <c r="F4012" s="905"/>
      <c r="G4012" s="521" t="s">
        <v>1901</v>
      </c>
      <c r="H4012" s="522">
        <v>1</v>
      </c>
      <c r="I4012" s="523">
        <v>18</v>
      </c>
      <c r="J4012" s="523">
        <v>18</v>
      </c>
    </row>
    <row r="4013" spans="1:10" s="358" customFormat="1" ht="25" x14ac:dyDescent="0.3">
      <c r="A4013" s="519" t="s">
        <v>2437</v>
      </c>
      <c r="B4013" s="520" t="s">
        <v>3257</v>
      </c>
      <c r="C4013" s="519" t="s">
        <v>32</v>
      </c>
      <c r="D4013" s="519" t="s">
        <v>4306</v>
      </c>
      <c r="E4013" s="905" t="s">
        <v>2856</v>
      </c>
      <c r="F4013" s="905"/>
      <c r="G4013" s="521" t="s">
        <v>1901</v>
      </c>
      <c r="H4013" s="522">
        <v>1</v>
      </c>
      <c r="I4013" s="523">
        <v>3.8</v>
      </c>
      <c r="J4013" s="523">
        <v>3.8</v>
      </c>
    </row>
    <row r="4014" spans="1:10" ht="25" x14ac:dyDescent="0.3">
      <c r="A4014" s="519" t="s">
        <v>2437</v>
      </c>
      <c r="B4014" s="520" t="s">
        <v>3258</v>
      </c>
      <c r="C4014" s="519" t="s">
        <v>32</v>
      </c>
      <c r="D4014" s="519" t="s">
        <v>4307</v>
      </c>
      <c r="E4014" s="905" t="s">
        <v>3259</v>
      </c>
      <c r="F4014" s="905"/>
      <c r="G4014" s="521" t="s">
        <v>1901</v>
      </c>
      <c r="H4014" s="522">
        <v>1</v>
      </c>
      <c r="I4014" s="523">
        <v>1.5</v>
      </c>
      <c r="J4014" s="523">
        <v>1.5</v>
      </c>
    </row>
    <row r="4015" spans="1:10" s="358" customFormat="1" ht="25" x14ac:dyDescent="0.3">
      <c r="A4015" s="519" t="s">
        <v>2437</v>
      </c>
      <c r="B4015" s="520" t="s">
        <v>3260</v>
      </c>
      <c r="C4015" s="519" t="s">
        <v>32</v>
      </c>
      <c r="D4015" s="519" t="s">
        <v>4308</v>
      </c>
      <c r="E4015" s="905" t="s">
        <v>2856</v>
      </c>
      <c r="F4015" s="905"/>
      <c r="G4015" s="521" t="s">
        <v>1901</v>
      </c>
      <c r="H4015" s="522">
        <v>1</v>
      </c>
      <c r="I4015" s="523">
        <v>1.34</v>
      </c>
      <c r="J4015" s="523">
        <v>1.34</v>
      </c>
    </row>
    <row r="4016" spans="1:10" ht="25" x14ac:dyDescent="0.3">
      <c r="A4016" s="519" t="s">
        <v>2437</v>
      </c>
      <c r="B4016" s="520" t="s">
        <v>3261</v>
      </c>
      <c r="C4016" s="519" t="s">
        <v>32</v>
      </c>
      <c r="D4016" s="519" t="s">
        <v>4309</v>
      </c>
      <c r="E4016" s="905" t="s">
        <v>2535</v>
      </c>
      <c r="F4016" s="905"/>
      <c r="G4016" s="521" t="s">
        <v>1901</v>
      </c>
      <c r="H4016" s="522">
        <v>1</v>
      </c>
      <c r="I4016" s="523">
        <v>0.04</v>
      </c>
      <c r="J4016" s="523">
        <v>0.04</v>
      </c>
    </row>
    <row r="4017" spans="1:10" ht="25" x14ac:dyDescent="0.3">
      <c r="A4017" s="519" t="s">
        <v>2437</v>
      </c>
      <c r="B4017" s="520" t="s">
        <v>3310</v>
      </c>
      <c r="C4017" s="519" t="s">
        <v>32</v>
      </c>
      <c r="D4017" s="519" t="s">
        <v>3311</v>
      </c>
      <c r="E4017" s="905" t="s">
        <v>2446</v>
      </c>
      <c r="F4017" s="905"/>
      <c r="G4017" s="521" t="s">
        <v>1901</v>
      </c>
      <c r="H4017" s="522">
        <v>1</v>
      </c>
      <c r="I4017" s="523">
        <v>0.01</v>
      </c>
      <c r="J4017" s="523">
        <v>0.01</v>
      </c>
    </row>
    <row r="4018" spans="1:10" ht="25.5" thickBot="1" x14ac:dyDescent="0.35">
      <c r="A4018" s="519" t="s">
        <v>2437</v>
      </c>
      <c r="B4018" s="520" t="s">
        <v>3312</v>
      </c>
      <c r="C4018" s="519" t="s">
        <v>32</v>
      </c>
      <c r="D4018" s="519" t="s">
        <v>3313</v>
      </c>
      <c r="E4018" s="905" t="s">
        <v>2446</v>
      </c>
      <c r="F4018" s="905"/>
      <c r="G4018" s="521" t="s">
        <v>1901</v>
      </c>
      <c r="H4018" s="522">
        <v>1</v>
      </c>
      <c r="I4018" s="523">
        <v>0.86</v>
      </c>
      <c r="J4018" s="523">
        <v>0.86</v>
      </c>
    </row>
    <row r="4019" spans="1:10" ht="14.5" thickTop="1" x14ac:dyDescent="0.3">
      <c r="A4019" s="647"/>
      <c r="B4019" s="647"/>
      <c r="C4019" s="647"/>
      <c r="D4019" s="647"/>
      <c r="E4019" s="647"/>
      <c r="F4019" s="647"/>
      <c r="G4019" s="647"/>
      <c r="H4019" s="647"/>
      <c r="I4019" s="647"/>
      <c r="J4019"/>
    </row>
    <row r="4020" spans="1:10" x14ac:dyDescent="0.3">
      <c r="A4020" s="516"/>
      <c r="B4020" s="517" t="s">
        <v>15</v>
      </c>
      <c r="C4020" s="516" t="s">
        <v>16</v>
      </c>
      <c r="D4020" s="516" t="s">
        <v>17</v>
      </c>
      <c r="E4020" s="904" t="s">
        <v>2431</v>
      </c>
      <c r="F4020" s="904"/>
      <c r="G4020" s="518" t="s">
        <v>18</v>
      </c>
      <c r="H4020" s="517" t="s">
        <v>19</v>
      </c>
      <c r="I4020" s="517" t="s">
        <v>20</v>
      </c>
      <c r="J4020" s="517" t="s">
        <v>23</v>
      </c>
    </row>
    <row r="4021" spans="1:10" ht="25" x14ac:dyDescent="0.3">
      <c r="A4021" s="642" t="s">
        <v>2432</v>
      </c>
      <c r="B4021" s="643" t="s">
        <v>3825</v>
      </c>
      <c r="C4021" s="642" t="s">
        <v>32</v>
      </c>
      <c r="D4021" s="642" t="s">
        <v>3826</v>
      </c>
      <c r="E4021" s="906" t="s">
        <v>2433</v>
      </c>
      <c r="F4021" s="906"/>
      <c r="G4021" s="644" t="s">
        <v>1901</v>
      </c>
      <c r="H4021" s="645">
        <v>1</v>
      </c>
      <c r="I4021" s="646">
        <v>39.909999999999997</v>
      </c>
      <c r="J4021" s="646">
        <v>39.909999999999997</v>
      </c>
    </row>
    <row r="4022" spans="1:10" ht="25" x14ac:dyDescent="0.3">
      <c r="A4022" s="519" t="s">
        <v>2434</v>
      </c>
      <c r="B4022" s="520" t="s">
        <v>3555</v>
      </c>
      <c r="C4022" s="519" t="s">
        <v>32</v>
      </c>
      <c r="D4022" s="519" t="s">
        <v>3556</v>
      </c>
      <c r="E4022" s="905" t="s">
        <v>2433</v>
      </c>
      <c r="F4022" s="905"/>
      <c r="G4022" s="521" t="s">
        <v>1901</v>
      </c>
      <c r="H4022" s="522">
        <v>1</v>
      </c>
      <c r="I4022" s="523">
        <v>0.3</v>
      </c>
      <c r="J4022" s="523">
        <v>0.3</v>
      </c>
    </row>
    <row r="4023" spans="1:10" ht="25" x14ac:dyDescent="0.3">
      <c r="A4023" s="519" t="s">
        <v>2437</v>
      </c>
      <c r="B4023" s="520" t="s">
        <v>3557</v>
      </c>
      <c r="C4023" s="519" t="s">
        <v>32</v>
      </c>
      <c r="D4023" s="519" t="s">
        <v>4356</v>
      </c>
      <c r="E4023" s="905" t="s">
        <v>2440</v>
      </c>
      <c r="F4023" s="905"/>
      <c r="G4023" s="521" t="s">
        <v>1901</v>
      </c>
      <c r="H4023" s="522">
        <v>1</v>
      </c>
      <c r="I4023" s="523">
        <v>32.06</v>
      </c>
      <c r="J4023" s="523">
        <v>32.06</v>
      </c>
    </row>
    <row r="4024" spans="1:10" s="358" customFormat="1" ht="25" x14ac:dyDescent="0.3">
      <c r="A4024" s="519" t="s">
        <v>2437</v>
      </c>
      <c r="B4024" s="520" t="s">
        <v>3257</v>
      </c>
      <c r="C4024" s="519" t="s">
        <v>32</v>
      </c>
      <c r="D4024" s="519" t="s">
        <v>4306</v>
      </c>
      <c r="E4024" s="905" t="s">
        <v>2856</v>
      </c>
      <c r="F4024" s="905"/>
      <c r="G4024" s="521" t="s">
        <v>1901</v>
      </c>
      <c r="H4024" s="522">
        <v>1</v>
      </c>
      <c r="I4024" s="523">
        <v>3.8</v>
      </c>
      <c r="J4024" s="523">
        <v>3.8</v>
      </c>
    </row>
    <row r="4025" spans="1:10" ht="25" x14ac:dyDescent="0.3">
      <c r="A4025" s="519" t="s">
        <v>2437</v>
      </c>
      <c r="B4025" s="520" t="s">
        <v>3258</v>
      </c>
      <c r="C4025" s="519" t="s">
        <v>32</v>
      </c>
      <c r="D4025" s="519" t="s">
        <v>4307</v>
      </c>
      <c r="E4025" s="905" t="s">
        <v>3259</v>
      </c>
      <c r="F4025" s="905"/>
      <c r="G4025" s="521" t="s">
        <v>1901</v>
      </c>
      <c r="H4025" s="522">
        <v>1</v>
      </c>
      <c r="I4025" s="523">
        <v>1.5</v>
      </c>
      <c r="J4025" s="523">
        <v>1.5</v>
      </c>
    </row>
    <row r="4026" spans="1:10" s="358" customFormat="1" ht="25" x14ac:dyDescent="0.3">
      <c r="A4026" s="519" t="s">
        <v>2437</v>
      </c>
      <c r="B4026" s="520" t="s">
        <v>3260</v>
      </c>
      <c r="C4026" s="519" t="s">
        <v>32</v>
      </c>
      <c r="D4026" s="519" t="s">
        <v>4308</v>
      </c>
      <c r="E4026" s="905" t="s">
        <v>2856</v>
      </c>
      <c r="F4026" s="905"/>
      <c r="G4026" s="521" t="s">
        <v>1901</v>
      </c>
      <c r="H4026" s="522">
        <v>1</v>
      </c>
      <c r="I4026" s="523">
        <v>1.34</v>
      </c>
      <c r="J4026" s="523">
        <v>1.34</v>
      </c>
    </row>
    <row r="4027" spans="1:10" ht="25" x14ac:dyDescent="0.3">
      <c r="A4027" s="519" t="s">
        <v>2437</v>
      </c>
      <c r="B4027" s="520" t="s">
        <v>3261</v>
      </c>
      <c r="C4027" s="519" t="s">
        <v>32</v>
      </c>
      <c r="D4027" s="519" t="s">
        <v>4309</v>
      </c>
      <c r="E4027" s="905" t="s">
        <v>2535</v>
      </c>
      <c r="F4027" s="905"/>
      <c r="G4027" s="521" t="s">
        <v>1901</v>
      </c>
      <c r="H4027" s="522">
        <v>1</v>
      </c>
      <c r="I4027" s="523">
        <v>0.04</v>
      </c>
      <c r="J4027" s="523">
        <v>0.04</v>
      </c>
    </row>
    <row r="4028" spans="1:10" ht="25" x14ac:dyDescent="0.3">
      <c r="A4028" s="519" t="s">
        <v>2437</v>
      </c>
      <c r="B4028" s="520" t="s">
        <v>3310</v>
      </c>
      <c r="C4028" s="519" t="s">
        <v>32</v>
      </c>
      <c r="D4028" s="519" t="s">
        <v>3311</v>
      </c>
      <c r="E4028" s="905" t="s">
        <v>2446</v>
      </c>
      <c r="F4028" s="905"/>
      <c r="G4028" s="521" t="s">
        <v>1901</v>
      </c>
      <c r="H4028" s="522">
        <v>1</v>
      </c>
      <c r="I4028" s="523">
        <v>0.01</v>
      </c>
      <c r="J4028" s="523">
        <v>0.01</v>
      </c>
    </row>
    <row r="4029" spans="1:10" ht="25.5" thickBot="1" x14ac:dyDescent="0.35">
      <c r="A4029" s="519" t="s">
        <v>2437</v>
      </c>
      <c r="B4029" s="520" t="s">
        <v>3312</v>
      </c>
      <c r="C4029" s="519" t="s">
        <v>32</v>
      </c>
      <c r="D4029" s="519" t="s">
        <v>3313</v>
      </c>
      <c r="E4029" s="905" t="s">
        <v>2446</v>
      </c>
      <c r="F4029" s="905"/>
      <c r="G4029" s="521" t="s">
        <v>1901</v>
      </c>
      <c r="H4029" s="522">
        <v>1</v>
      </c>
      <c r="I4029" s="523">
        <v>0.86</v>
      </c>
      <c r="J4029" s="523">
        <v>0.86</v>
      </c>
    </row>
    <row r="4030" spans="1:10" ht="14.5" thickTop="1" x14ac:dyDescent="0.3">
      <c r="A4030" s="647"/>
      <c r="B4030" s="647"/>
      <c r="C4030" s="647"/>
      <c r="D4030" s="647"/>
      <c r="E4030" s="647"/>
      <c r="F4030" s="647"/>
      <c r="G4030" s="647"/>
      <c r="H4030" s="647"/>
      <c r="I4030" s="647"/>
      <c r="J4030"/>
    </row>
    <row r="4031" spans="1:10" x14ac:dyDescent="0.3">
      <c r="A4031" s="516"/>
      <c r="B4031" s="517" t="s">
        <v>15</v>
      </c>
      <c r="C4031" s="516" t="s">
        <v>16</v>
      </c>
      <c r="D4031" s="516" t="s">
        <v>17</v>
      </c>
      <c r="E4031" s="904" t="s">
        <v>2431</v>
      </c>
      <c r="F4031" s="904"/>
      <c r="G4031" s="518" t="s">
        <v>18</v>
      </c>
      <c r="H4031" s="517" t="s">
        <v>19</v>
      </c>
      <c r="I4031" s="517" t="s">
        <v>20</v>
      </c>
      <c r="J4031" s="517" t="s">
        <v>23</v>
      </c>
    </row>
    <row r="4032" spans="1:10" x14ac:dyDescent="0.3">
      <c r="A4032" s="642" t="s">
        <v>2432</v>
      </c>
      <c r="B4032" s="643" t="s">
        <v>3827</v>
      </c>
      <c r="C4032" s="642" t="s">
        <v>125</v>
      </c>
      <c r="D4032" s="642" t="s">
        <v>3098</v>
      </c>
      <c r="E4032" s="906" t="s">
        <v>1328</v>
      </c>
      <c r="F4032" s="906"/>
      <c r="G4032" s="644" t="s">
        <v>115</v>
      </c>
      <c r="H4032" s="645">
        <v>1</v>
      </c>
      <c r="I4032" s="646">
        <v>3.08</v>
      </c>
      <c r="J4032" s="646">
        <v>3.08</v>
      </c>
    </row>
    <row r="4033" spans="1:10" ht="15" customHeight="1" x14ac:dyDescent="0.3">
      <c r="A4033" s="904" t="s">
        <v>2418</v>
      </c>
      <c r="B4033" s="903" t="s">
        <v>15</v>
      </c>
      <c r="C4033" s="904" t="s">
        <v>16</v>
      </c>
      <c r="D4033" s="904" t="s">
        <v>2466</v>
      </c>
      <c r="E4033" s="903" t="s">
        <v>2467</v>
      </c>
      <c r="F4033" s="908" t="s">
        <v>2468</v>
      </c>
      <c r="G4033" s="903"/>
      <c r="H4033" s="518" t="s">
        <v>2469</v>
      </c>
      <c r="I4033" s="903" t="s">
        <v>2470</v>
      </c>
      <c r="J4033"/>
    </row>
    <row r="4034" spans="1:10" x14ac:dyDescent="0.3">
      <c r="A4034" s="903"/>
      <c r="B4034" s="903"/>
      <c r="C4034" s="903"/>
      <c r="D4034" s="903"/>
      <c r="E4034" s="903"/>
      <c r="F4034" s="517" t="s">
        <v>2471</v>
      </c>
      <c r="G4034" s="517" t="s">
        <v>2472</v>
      </c>
      <c r="H4034" s="517" t="s">
        <v>2471</v>
      </c>
      <c r="I4034" s="903"/>
      <c r="J4034"/>
    </row>
    <row r="4035" spans="1:10" s="358" customFormat="1" x14ac:dyDescent="0.3">
      <c r="A4035" s="519" t="s">
        <v>2437</v>
      </c>
      <c r="B4035" s="520" t="s">
        <v>3087</v>
      </c>
      <c r="C4035" s="519" t="s">
        <v>125</v>
      </c>
      <c r="D4035" s="519" t="s">
        <v>3054</v>
      </c>
      <c r="E4035" s="522">
        <v>1</v>
      </c>
      <c r="F4035" s="523">
        <v>0.2</v>
      </c>
      <c r="G4035" s="523">
        <v>0.8</v>
      </c>
      <c r="H4035" s="524">
        <v>151.00700000000001</v>
      </c>
      <c r="I4035" s="524">
        <v>74.409800000000004</v>
      </c>
      <c r="J4035"/>
    </row>
    <row r="4036" spans="1:10" ht="14.25" customHeight="1" x14ac:dyDescent="0.3">
      <c r="A4036" s="902"/>
      <c r="B4036" s="902"/>
      <c r="C4036" s="902"/>
      <c r="D4036" s="902"/>
      <c r="E4036" s="902"/>
      <c r="F4036" s="902" t="s">
        <v>2475</v>
      </c>
      <c r="G4036" s="902"/>
      <c r="H4036" s="902"/>
      <c r="I4036" s="525">
        <v>74.409800000000004</v>
      </c>
      <c r="J4036"/>
    </row>
    <row r="4037" spans="1:10" s="358" customFormat="1" ht="15" customHeight="1" x14ac:dyDescent="0.3">
      <c r="A4037" s="902"/>
      <c r="B4037" s="902"/>
      <c r="C4037" s="902"/>
      <c r="D4037" s="902"/>
      <c r="E4037" s="902"/>
      <c r="F4037" s="902" t="s">
        <v>2476</v>
      </c>
      <c r="G4037" s="902"/>
      <c r="H4037" s="902"/>
      <c r="I4037" s="525">
        <v>74.409800000000004</v>
      </c>
      <c r="J4037"/>
    </row>
    <row r="4038" spans="1:10" ht="14.25" customHeight="1" x14ac:dyDescent="0.3">
      <c r="A4038" s="902"/>
      <c r="B4038" s="902"/>
      <c r="C4038" s="902"/>
      <c r="D4038" s="902"/>
      <c r="E4038" s="902"/>
      <c r="F4038" s="902" t="s">
        <v>2477</v>
      </c>
      <c r="G4038" s="902"/>
      <c r="H4038" s="902"/>
      <c r="I4038" s="525">
        <v>0</v>
      </c>
      <c r="J4038"/>
    </row>
    <row r="4039" spans="1:10" x14ac:dyDescent="0.3">
      <c r="A4039" s="902"/>
      <c r="B4039" s="902"/>
      <c r="C4039" s="902"/>
      <c r="D4039" s="902"/>
      <c r="E4039" s="902"/>
      <c r="F4039" s="902" t="s">
        <v>2478</v>
      </c>
      <c r="G4039" s="902"/>
      <c r="H4039" s="902"/>
      <c r="I4039" s="525">
        <v>0</v>
      </c>
      <c r="J4039"/>
    </row>
    <row r="4040" spans="1:10" ht="14.25" customHeight="1" x14ac:dyDescent="0.3">
      <c r="A4040" s="902"/>
      <c r="B4040" s="902"/>
      <c r="C4040" s="902"/>
      <c r="D4040" s="902"/>
      <c r="E4040" s="902"/>
      <c r="F4040" s="902" t="s">
        <v>2479</v>
      </c>
      <c r="G4040" s="902"/>
      <c r="H4040" s="902"/>
      <c r="I4040" s="525">
        <v>100</v>
      </c>
      <c r="J4040"/>
    </row>
    <row r="4041" spans="1:10" ht="14.25" customHeight="1" x14ac:dyDescent="0.3">
      <c r="A4041" s="902"/>
      <c r="B4041" s="902"/>
      <c r="C4041" s="902"/>
      <c r="D4041" s="902"/>
      <c r="E4041" s="902"/>
      <c r="F4041" s="902" t="s">
        <v>2480</v>
      </c>
      <c r="G4041" s="902"/>
      <c r="H4041" s="902"/>
      <c r="I4041" s="525">
        <v>0.74409999999999998</v>
      </c>
      <c r="J4041"/>
    </row>
    <row r="4042" spans="1:10" ht="15" customHeight="1" x14ac:dyDescent="0.3">
      <c r="A4042" s="516" t="s">
        <v>2574</v>
      </c>
      <c r="B4042" s="517" t="s">
        <v>16</v>
      </c>
      <c r="C4042" s="516" t="s">
        <v>15</v>
      </c>
      <c r="D4042" s="516" t="s">
        <v>2575</v>
      </c>
      <c r="E4042" s="517" t="s">
        <v>2467</v>
      </c>
      <c r="F4042" s="517" t="s">
        <v>2576</v>
      </c>
      <c r="G4042" s="903" t="s">
        <v>2577</v>
      </c>
      <c r="H4042" s="903"/>
      <c r="I4042" s="517" t="s">
        <v>2470</v>
      </c>
      <c r="J4042"/>
    </row>
    <row r="4043" spans="1:10" ht="25" x14ac:dyDescent="0.3">
      <c r="A4043" s="519" t="s">
        <v>2578</v>
      </c>
      <c r="B4043" s="520" t="s">
        <v>32</v>
      </c>
      <c r="C4043" s="519">
        <v>88316</v>
      </c>
      <c r="D4043" s="519" t="s">
        <v>2562</v>
      </c>
      <c r="E4043" s="522">
        <v>0.1</v>
      </c>
      <c r="F4043" s="521" t="s">
        <v>1901</v>
      </c>
      <c r="G4043" s="907">
        <v>23.4</v>
      </c>
      <c r="H4043" s="907"/>
      <c r="I4043" s="524">
        <v>2.34</v>
      </c>
      <c r="J4043"/>
    </row>
    <row r="4044" spans="1:10" ht="15" customHeight="1" thickBot="1" x14ac:dyDescent="0.35">
      <c r="A4044" s="902"/>
      <c r="B4044" s="902"/>
      <c r="C4044" s="902"/>
      <c r="D4044" s="902"/>
      <c r="E4044" s="902"/>
      <c r="F4044" s="902" t="s">
        <v>2579</v>
      </c>
      <c r="G4044" s="902"/>
      <c r="H4044" s="902"/>
      <c r="I4044" s="525">
        <v>2.34</v>
      </c>
      <c r="J4044"/>
    </row>
    <row r="4045" spans="1:10" ht="14.5" thickTop="1" x14ac:dyDescent="0.3">
      <c r="A4045" s="647"/>
      <c r="B4045" s="647"/>
      <c r="C4045" s="647"/>
      <c r="D4045" s="647"/>
      <c r="E4045" s="647"/>
      <c r="F4045" s="647"/>
      <c r="G4045" s="647"/>
      <c r="H4045" s="647"/>
      <c r="I4045" s="647"/>
      <c r="J4045"/>
    </row>
    <row r="4046" spans="1:10" s="358" customFormat="1" x14ac:dyDescent="0.3">
      <c r="A4046" s="516"/>
      <c r="B4046" s="517" t="s">
        <v>15</v>
      </c>
      <c r="C4046" s="516" t="s">
        <v>16</v>
      </c>
      <c r="D4046" s="516" t="s">
        <v>17</v>
      </c>
      <c r="E4046" s="904" t="s">
        <v>2431</v>
      </c>
      <c r="F4046" s="904"/>
      <c r="G4046" s="518" t="s">
        <v>18</v>
      </c>
      <c r="H4046" s="517" t="s">
        <v>19</v>
      </c>
      <c r="I4046" s="517" t="s">
        <v>20</v>
      </c>
      <c r="J4046" s="517" t="s">
        <v>23</v>
      </c>
    </row>
    <row r="4047" spans="1:10" ht="37.5" x14ac:dyDescent="0.3">
      <c r="A4047" s="642" t="s">
        <v>2432</v>
      </c>
      <c r="B4047" s="643" t="s">
        <v>2691</v>
      </c>
      <c r="C4047" s="642" t="s">
        <v>32</v>
      </c>
      <c r="D4047" s="642" t="s">
        <v>2692</v>
      </c>
      <c r="E4047" s="906" t="s">
        <v>2485</v>
      </c>
      <c r="F4047" s="906"/>
      <c r="G4047" s="644" t="s">
        <v>115</v>
      </c>
      <c r="H4047" s="645">
        <v>1</v>
      </c>
      <c r="I4047" s="646">
        <v>102.51</v>
      </c>
      <c r="J4047" s="646">
        <v>102.51</v>
      </c>
    </row>
    <row r="4048" spans="1:10" s="358" customFormat="1" ht="25" x14ac:dyDescent="0.3">
      <c r="A4048" s="519" t="s">
        <v>2434</v>
      </c>
      <c r="B4048" s="520" t="s">
        <v>2627</v>
      </c>
      <c r="C4048" s="519" t="s">
        <v>32</v>
      </c>
      <c r="D4048" s="519" t="s">
        <v>2628</v>
      </c>
      <c r="E4048" s="905" t="s">
        <v>2433</v>
      </c>
      <c r="F4048" s="905"/>
      <c r="G4048" s="521" t="s">
        <v>1901</v>
      </c>
      <c r="H4048" s="522">
        <v>0.68899999999999995</v>
      </c>
      <c r="I4048" s="523">
        <v>24.12</v>
      </c>
      <c r="J4048" s="523">
        <v>16.61</v>
      </c>
    </row>
    <row r="4049" spans="1:10" ht="25" x14ac:dyDescent="0.3">
      <c r="A4049" s="519" t="s">
        <v>2434</v>
      </c>
      <c r="B4049" s="520" t="s">
        <v>2618</v>
      </c>
      <c r="C4049" s="519" t="s">
        <v>32</v>
      </c>
      <c r="D4049" s="519" t="s">
        <v>2619</v>
      </c>
      <c r="E4049" s="905" t="s">
        <v>2433</v>
      </c>
      <c r="F4049" s="905"/>
      <c r="G4049" s="521" t="s">
        <v>1901</v>
      </c>
      <c r="H4049" s="522">
        <v>1.0209999999999999</v>
      </c>
      <c r="I4049" s="523">
        <v>30.71</v>
      </c>
      <c r="J4049" s="523">
        <v>31.35</v>
      </c>
    </row>
    <row r="4050" spans="1:10" ht="25.5" customHeight="1" x14ac:dyDescent="0.3">
      <c r="A4050" s="519" t="s">
        <v>2434</v>
      </c>
      <c r="B4050" s="520" t="s">
        <v>2629</v>
      </c>
      <c r="C4050" s="519" t="s">
        <v>32</v>
      </c>
      <c r="D4050" s="519" t="s">
        <v>2630</v>
      </c>
      <c r="E4050" s="905" t="s">
        <v>2465</v>
      </c>
      <c r="F4050" s="905"/>
      <c r="G4050" s="521" t="s">
        <v>103</v>
      </c>
      <c r="H4050" s="522">
        <v>2.53E-2</v>
      </c>
      <c r="I4050" s="523">
        <v>26.94</v>
      </c>
      <c r="J4050" s="523">
        <v>0.68</v>
      </c>
    </row>
    <row r="4051" spans="1:10" ht="25.5" customHeight="1" x14ac:dyDescent="0.3">
      <c r="A4051" s="519" t="s">
        <v>2434</v>
      </c>
      <c r="B4051" s="520" t="s">
        <v>2631</v>
      </c>
      <c r="C4051" s="519" t="s">
        <v>32</v>
      </c>
      <c r="D4051" s="519" t="s">
        <v>2632</v>
      </c>
      <c r="E4051" s="905" t="s">
        <v>2465</v>
      </c>
      <c r="F4051" s="905"/>
      <c r="G4051" s="521" t="s">
        <v>110</v>
      </c>
      <c r="H4051" s="522">
        <v>0.1016</v>
      </c>
      <c r="I4051" s="523">
        <v>25.9</v>
      </c>
      <c r="J4051" s="523">
        <v>2.63</v>
      </c>
    </row>
    <row r="4052" spans="1:10" ht="25" x14ac:dyDescent="0.3">
      <c r="A4052" s="519" t="s">
        <v>2434</v>
      </c>
      <c r="B4052" s="520" t="s">
        <v>2633</v>
      </c>
      <c r="C4052" s="519" t="s">
        <v>32</v>
      </c>
      <c r="D4052" s="519" t="s">
        <v>2634</v>
      </c>
      <c r="E4052" s="905" t="s">
        <v>2617</v>
      </c>
      <c r="F4052" s="905"/>
      <c r="G4052" s="521" t="s">
        <v>118</v>
      </c>
      <c r="H4052" s="522">
        <v>4.3E-3</v>
      </c>
      <c r="I4052" s="523">
        <v>470.61</v>
      </c>
      <c r="J4052" s="523">
        <v>2.02</v>
      </c>
    </row>
    <row r="4053" spans="1:10" ht="25" x14ac:dyDescent="0.3">
      <c r="A4053" s="519" t="s">
        <v>2437</v>
      </c>
      <c r="B4053" s="520" t="s">
        <v>2622</v>
      </c>
      <c r="C4053" s="519" t="s">
        <v>32</v>
      </c>
      <c r="D4053" s="519" t="s">
        <v>2623</v>
      </c>
      <c r="E4053" s="905" t="s">
        <v>2442</v>
      </c>
      <c r="F4053" s="905"/>
      <c r="G4053" s="521" t="s">
        <v>194</v>
      </c>
      <c r="H4053" s="522">
        <v>1.8032999999999999</v>
      </c>
      <c r="I4053" s="523">
        <v>7.78</v>
      </c>
      <c r="J4053" s="523">
        <v>14.02</v>
      </c>
    </row>
    <row r="4054" spans="1:10" x14ac:dyDescent="0.3">
      <c r="A4054" s="519" t="s">
        <v>2437</v>
      </c>
      <c r="B4054" s="520" t="s">
        <v>2637</v>
      </c>
      <c r="C4054" s="519" t="s">
        <v>32</v>
      </c>
      <c r="D4054" s="519" t="s">
        <v>2638</v>
      </c>
      <c r="E4054" s="905" t="s">
        <v>2442</v>
      </c>
      <c r="F4054" s="905"/>
      <c r="G4054" s="521" t="s">
        <v>1369</v>
      </c>
      <c r="H4054" s="522">
        <v>6.9000000000000006E-2</v>
      </c>
      <c r="I4054" s="523">
        <v>19.5</v>
      </c>
      <c r="J4054" s="523">
        <v>1.34</v>
      </c>
    </row>
    <row r="4055" spans="1:10" ht="25" x14ac:dyDescent="0.3">
      <c r="A4055" s="519" t="s">
        <v>2437</v>
      </c>
      <c r="B4055" s="520" t="s">
        <v>4460</v>
      </c>
      <c r="C4055" s="519" t="s">
        <v>32</v>
      </c>
      <c r="D4055" s="519" t="s">
        <v>4461</v>
      </c>
      <c r="E4055" s="905" t="s">
        <v>2442</v>
      </c>
      <c r="F4055" s="905"/>
      <c r="G4055" s="521" t="s">
        <v>194</v>
      </c>
      <c r="H4055" s="522">
        <v>1.8032999999999999</v>
      </c>
      <c r="I4055" s="523">
        <v>5.55</v>
      </c>
      <c r="J4055" s="523">
        <v>10</v>
      </c>
    </row>
    <row r="4056" spans="1:10" ht="38" thickBot="1" x14ac:dyDescent="0.35">
      <c r="A4056" s="519" t="s">
        <v>2437</v>
      </c>
      <c r="B4056" s="520" t="s">
        <v>2751</v>
      </c>
      <c r="C4056" s="519" t="s">
        <v>32</v>
      </c>
      <c r="D4056" s="519" t="s">
        <v>2752</v>
      </c>
      <c r="E4056" s="905" t="s">
        <v>2442</v>
      </c>
      <c r="F4056" s="905"/>
      <c r="G4056" s="521" t="s">
        <v>115</v>
      </c>
      <c r="H4056" s="522">
        <v>1.050038</v>
      </c>
      <c r="I4056" s="523">
        <v>22.73</v>
      </c>
      <c r="J4056" s="523">
        <v>23.86</v>
      </c>
    </row>
    <row r="4057" spans="1:10" s="358" customFormat="1" ht="14.5" thickTop="1" x14ac:dyDescent="0.3">
      <c r="A4057" s="647"/>
      <c r="B4057" s="647"/>
      <c r="C4057" s="647"/>
      <c r="D4057" s="647"/>
      <c r="E4057" s="647"/>
      <c r="F4057" s="647"/>
      <c r="G4057" s="647"/>
      <c r="H4057" s="647"/>
      <c r="I4057" s="647"/>
      <c r="J4057"/>
    </row>
    <row r="4058" spans="1:10" x14ac:dyDescent="0.3">
      <c r="A4058" s="516"/>
      <c r="B4058" s="517" t="s">
        <v>15</v>
      </c>
      <c r="C4058" s="516" t="s">
        <v>16</v>
      </c>
      <c r="D4058" s="516" t="s">
        <v>17</v>
      </c>
      <c r="E4058" s="904" t="s">
        <v>2431</v>
      </c>
      <c r="F4058" s="904"/>
      <c r="G4058" s="518" t="s">
        <v>18</v>
      </c>
      <c r="H4058" s="517" t="s">
        <v>19</v>
      </c>
      <c r="I4058" s="517" t="s">
        <v>20</v>
      </c>
      <c r="J4058" s="517" t="s">
        <v>23</v>
      </c>
    </row>
    <row r="4059" spans="1:10" s="358" customFormat="1" ht="37.5" x14ac:dyDescent="0.3">
      <c r="A4059" s="642" t="s">
        <v>2432</v>
      </c>
      <c r="B4059" s="643" t="s">
        <v>2687</v>
      </c>
      <c r="C4059" s="642" t="s">
        <v>32</v>
      </c>
      <c r="D4059" s="642" t="s">
        <v>2688</v>
      </c>
      <c r="E4059" s="906" t="s">
        <v>2485</v>
      </c>
      <c r="F4059" s="906"/>
      <c r="G4059" s="644" t="s">
        <v>115</v>
      </c>
      <c r="H4059" s="645">
        <v>1</v>
      </c>
      <c r="I4059" s="646">
        <v>86.04</v>
      </c>
      <c r="J4059" s="646">
        <v>86.04</v>
      </c>
    </row>
    <row r="4060" spans="1:10" ht="25" x14ac:dyDescent="0.3">
      <c r="A4060" s="519" t="s">
        <v>2434</v>
      </c>
      <c r="B4060" s="520" t="s">
        <v>2627</v>
      </c>
      <c r="C4060" s="519" t="s">
        <v>32</v>
      </c>
      <c r="D4060" s="519" t="s">
        <v>2628</v>
      </c>
      <c r="E4060" s="905" t="s">
        <v>2433</v>
      </c>
      <c r="F4060" s="905"/>
      <c r="G4060" s="521" t="s">
        <v>1901</v>
      </c>
      <c r="H4060" s="522">
        <v>0.55000000000000004</v>
      </c>
      <c r="I4060" s="523">
        <v>24.12</v>
      </c>
      <c r="J4060" s="523">
        <v>13.26</v>
      </c>
    </row>
    <row r="4061" spans="1:10" ht="25" x14ac:dyDescent="0.3">
      <c r="A4061" s="519" t="s">
        <v>2434</v>
      </c>
      <c r="B4061" s="520" t="s">
        <v>2618</v>
      </c>
      <c r="C4061" s="519" t="s">
        <v>32</v>
      </c>
      <c r="D4061" s="519" t="s">
        <v>2619</v>
      </c>
      <c r="E4061" s="905" t="s">
        <v>2433</v>
      </c>
      <c r="F4061" s="905"/>
      <c r="G4061" s="521" t="s">
        <v>1901</v>
      </c>
      <c r="H4061" s="522">
        <v>0.81599999999999995</v>
      </c>
      <c r="I4061" s="523">
        <v>30.71</v>
      </c>
      <c r="J4061" s="523">
        <v>25.05</v>
      </c>
    </row>
    <row r="4062" spans="1:10" ht="25.5" customHeight="1" x14ac:dyDescent="0.3">
      <c r="A4062" s="519" t="s">
        <v>2434</v>
      </c>
      <c r="B4062" s="520" t="s">
        <v>2629</v>
      </c>
      <c r="C4062" s="519" t="s">
        <v>32</v>
      </c>
      <c r="D4062" s="519" t="s">
        <v>2630</v>
      </c>
      <c r="E4062" s="905" t="s">
        <v>2465</v>
      </c>
      <c r="F4062" s="905"/>
      <c r="G4062" s="521" t="s">
        <v>103</v>
      </c>
      <c r="H4062" s="522">
        <v>1.8700000000000001E-2</v>
      </c>
      <c r="I4062" s="523">
        <v>26.94</v>
      </c>
      <c r="J4062" s="523">
        <v>0.5</v>
      </c>
    </row>
    <row r="4063" spans="1:10" ht="25.5" customHeight="1" x14ac:dyDescent="0.3">
      <c r="A4063" s="519" t="s">
        <v>2434</v>
      </c>
      <c r="B4063" s="520" t="s">
        <v>2631</v>
      </c>
      <c r="C4063" s="519" t="s">
        <v>32</v>
      </c>
      <c r="D4063" s="519" t="s">
        <v>2632</v>
      </c>
      <c r="E4063" s="905" t="s">
        <v>2465</v>
      </c>
      <c r="F4063" s="905"/>
      <c r="G4063" s="521" t="s">
        <v>110</v>
      </c>
      <c r="H4063" s="522">
        <v>7.51E-2</v>
      </c>
      <c r="I4063" s="523">
        <v>25.9</v>
      </c>
      <c r="J4063" s="523">
        <v>1.94</v>
      </c>
    </row>
    <row r="4064" spans="1:10" ht="25" x14ac:dyDescent="0.3">
      <c r="A4064" s="519" t="s">
        <v>2434</v>
      </c>
      <c r="B4064" s="520" t="s">
        <v>2633</v>
      </c>
      <c r="C4064" s="519" t="s">
        <v>32</v>
      </c>
      <c r="D4064" s="519" t="s">
        <v>2634</v>
      </c>
      <c r="E4064" s="905" t="s">
        <v>2617</v>
      </c>
      <c r="F4064" s="905"/>
      <c r="G4064" s="521" t="s">
        <v>118</v>
      </c>
      <c r="H4064" s="522">
        <v>2.8999999999999998E-3</v>
      </c>
      <c r="I4064" s="523">
        <v>470.61</v>
      </c>
      <c r="J4064" s="523">
        <v>1.36</v>
      </c>
    </row>
    <row r="4065" spans="1:10" ht="25" x14ac:dyDescent="0.3">
      <c r="A4065" s="519" t="s">
        <v>2437</v>
      </c>
      <c r="B4065" s="520" t="s">
        <v>2622</v>
      </c>
      <c r="C4065" s="519" t="s">
        <v>32</v>
      </c>
      <c r="D4065" s="519" t="s">
        <v>2623</v>
      </c>
      <c r="E4065" s="905" t="s">
        <v>2442</v>
      </c>
      <c r="F4065" s="905"/>
      <c r="G4065" s="521" t="s">
        <v>194</v>
      </c>
      <c r="H4065" s="522">
        <v>1.2307999999999999</v>
      </c>
      <c r="I4065" s="523">
        <v>7.78</v>
      </c>
      <c r="J4065" s="523">
        <v>9.57</v>
      </c>
    </row>
    <row r="4066" spans="1:10" x14ac:dyDescent="0.3">
      <c r="A4066" s="519" t="s">
        <v>2437</v>
      </c>
      <c r="B4066" s="520" t="s">
        <v>2637</v>
      </c>
      <c r="C4066" s="519" t="s">
        <v>32</v>
      </c>
      <c r="D4066" s="519" t="s">
        <v>2638</v>
      </c>
      <c r="E4066" s="905" t="s">
        <v>2442</v>
      </c>
      <c r="F4066" s="905"/>
      <c r="G4066" s="521" t="s">
        <v>1369</v>
      </c>
      <c r="H4066" s="522">
        <v>5.7000000000000002E-2</v>
      </c>
      <c r="I4066" s="523">
        <v>19.5</v>
      </c>
      <c r="J4066" s="523">
        <v>1.1100000000000001</v>
      </c>
    </row>
    <row r="4067" spans="1:10" ht="25" x14ac:dyDescent="0.3">
      <c r="A4067" s="519" t="s">
        <v>2437</v>
      </c>
      <c r="B4067" s="520" t="s">
        <v>4460</v>
      </c>
      <c r="C4067" s="519" t="s">
        <v>32</v>
      </c>
      <c r="D4067" s="519" t="s">
        <v>4461</v>
      </c>
      <c r="E4067" s="905" t="s">
        <v>2442</v>
      </c>
      <c r="F4067" s="905"/>
      <c r="G4067" s="521" t="s">
        <v>194</v>
      </c>
      <c r="H4067" s="522">
        <v>1.6922999999999999</v>
      </c>
      <c r="I4067" s="523">
        <v>5.55</v>
      </c>
      <c r="J4067" s="523">
        <v>9.39</v>
      </c>
    </row>
    <row r="4068" spans="1:10" s="358" customFormat="1" ht="38" thickBot="1" x14ac:dyDescent="0.35">
      <c r="A4068" s="519" t="s">
        <v>2437</v>
      </c>
      <c r="B4068" s="520" t="s">
        <v>2751</v>
      </c>
      <c r="C4068" s="519" t="s">
        <v>32</v>
      </c>
      <c r="D4068" s="519" t="s">
        <v>2752</v>
      </c>
      <c r="E4068" s="905" t="s">
        <v>2442</v>
      </c>
      <c r="F4068" s="905"/>
      <c r="G4068" s="521" t="s">
        <v>115</v>
      </c>
      <c r="H4068" s="522">
        <v>1.050038</v>
      </c>
      <c r="I4068" s="523">
        <v>22.73</v>
      </c>
      <c r="J4068" s="523">
        <v>23.86</v>
      </c>
    </row>
    <row r="4069" spans="1:10" ht="14.5" thickTop="1" x14ac:dyDescent="0.3">
      <c r="A4069" s="647"/>
      <c r="B4069" s="647"/>
      <c r="C4069" s="647"/>
      <c r="D4069" s="647"/>
      <c r="E4069" s="647"/>
      <c r="F4069" s="647"/>
      <c r="G4069" s="647"/>
      <c r="H4069" s="647"/>
      <c r="I4069" s="647"/>
      <c r="J4069"/>
    </row>
    <row r="4070" spans="1:10" s="358" customFormat="1" x14ac:dyDescent="0.3">
      <c r="A4070" s="516"/>
      <c r="B4070" s="517" t="s">
        <v>15</v>
      </c>
      <c r="C4070" s="516" t="s">
        <v>16</v>
      </c>
      <c r="D4070" s="516" t="s">
        <v>17</v>
      </c>
      <c r="E4070" s="904" t="s">
        <v>2431</v>
      </c>
      <c r="F4070" s="904"/>
      <c r="G4070" s="518" t="s">
        <v>18</v>
      </c>
      <c r="H4070" s="517" t="s">
        <v>19</v>
      </c>
      <c r="I4070" s="517" t="s">
        <v>20</v>
      </c>
      <c r="J4070" s="517" t="s">
        <v>23</v>
      </c>
    </row>
    <row r="4071" spans="1:10" ht="15" customHeight="1" x14ac:dyDescent="0.3">
      <c r="A4071" s="642" t="s">
        <v>2432</v>
      </c>
      <c r="B4071" s="643" t="s">
        <v>2693</v>
      </c>
      <c r="C4071" s="642" t="s">
        <v>32</v>
      </c>
      <c r="D4071" s="642" t="s">
        <v>2694</v>
      </c>
      <c r="E4071" s="906" t="s">
        <v>2485</v>
      </c>
      <c r="F4071" s="906"/>
      <c r="G4071" s="644" t="s">
        <v>115</v>
      </c>
      <c r="H4071" s="645">
        <v>1</v>
      </c>
      <c r="I4071" s="646">
        <v>133.46</v>
      </c>
      <c r="J4071" s="646">
        <v>133.46</v>
      </c>
    </row>
    <row r="4072" spans="1:10" ht="25" x14ac:dyDescent="0.3">
      <c r="A4072" s="519" t="s">
        <v>2434</v>
      </c>
      <c r="B4072" s="520" t="s">
        <v>2627</v>
      </c>
      <c r="C4072" s="519" t="s">
        <v>32</v>
      </c>
      <c r="D4072" s="519" t="s">
        <v>2628</v>
      </c>
      <c r="E4072" s="905" t="s">
        <v>2433</v>
      </c>
      <c r="F4072" s="905"/>
      <c r="G4072" s="521" t="s">
        <v>1901</v>
      </c>
      <c r="H4072" s="522">
        <v>0.995</v>
      </c>
      <c r="I4072" s="523">
        <v>24.12</v>
      </c>
      <c r="J4072" s="523">
        <v>23.99</v>
      </c>
    </row>
    <row r="4073" spans="1:10" ht="25" x14ac:dyDescent="0.3">
      <c r="A4073" s="519" t="s">
        <v>2434</v>
      </c>
      <c r="B4073" s="520" t="s">
        <v>2618</v>
      </c>
      <c r="C4073" s="519" t="s">
        <v>32</v>
      </c>
      <c r="D4073" s="519" t="s">
        <v>2619</v>
      </c>
      <c r="E4073" s="905" t="s">
        <v>2433</v>
      </c>
      <c r="F4073" s="905"/>
      <c r="G4073" s="521" t="s">
        <v>1901</v>
      </c>
      <c r="H4073" s="522">
        <v>1.4750000000000001</v>
      </c>
      <c r="I4073" s="523">
        <v>30.71</v>
      </c>
      <c r="J4073" s="523">
        <v>45.29</v>
      </c>
    </row>
    <row r="4074" spans="1:10" ht="14.25" customHeight="1" x14ac:dyDescent="0.3">
      <c r="A4074" s="519" t="s">
        <v>2434</v>
      </c>
      <c r="B4074" s="520" t="s">
        <v>2629</v>
      </c>
      <c r="C4074" s="519" t="s">
        <v>32</v>
      </c>
      <c r="D4074" s="519" t="s">
        <v>2630</v>
      </c>
      <c r="E4074" s="905" t="s">
        <v>2465</v>
      </c>
      <c r="F4074" s="905"/>
      <c r="G4074" s="521" t="s">
        <v>103</v>
      </c>
      <c r="H4074" s="522">
        <v>3.4599999999999999E-2</v>
      </c>
      <c r="I4074" s="523">
        <v>26.94</v>
      </c>
      <c r="J4074" s="523">
        <v>0.93</v>
      </c>
    </row>
    <row r="4075" spans="1:10" ht="14.25" customHeight="1" x14ac:dyDescent="0.3">
      <c r="A4075" s="519" t="s">
        <v>2434</v>
      </c>
      <c r="B4075" s="520" t="s">
        <v>2631</v>
      </c>
      <c r="C4075" s="519" t="s">
        <v>32</v>
      </c>
      <c r="D4075" s="519" t="s">
        <v>2632</v>
      </c>
      <c r="E4075" s="905" t="s">
        <v>2465</v>
      </c>
      <c r="F4075" s="905"/>
      <c r="G4075" s="521" t="s">
        <v>110</v>
      </c>
      <c r="H4075" s="522">
        <v>0.1391</v>
      </c>
      <c r="I4075" s="523">
        <v>25.9</v>
      </c>
      <c r="J4075" s="523">
        <v>3.6</v>
      </c>
    </row>
    <row r="4076" spans="1:10" ht="14.25" customHeight="1" x14ac:dyDescent="0.3">
      <c r="A4076" s="519" t="s">
        <v>2434</v>
      </c>
      <c r="B4076" s="520" t="s">
        <v>2633</v>
      </c>
      <c r="C4076" s="519" t="s">
        <v>32</v>
      </c>
      <c r="D4076" s="519" t="s">
        <v>2634</v>
      </c>
      <c r="E4076" s="905" t="s">
        <v>2617</v>
      </c>
      <c r="F4076" s="905"/>
      <c r="G4076" s="521" t="s">
        <v>118</v>
      </c>
      <c r="H4076" s="522">
        <v>6.1999999999999998E-3</v>
      </c>
      <c r="I4076" s="523">
        <v>470.61</v>
      </c>
      <c r="J4076" s="523">
        <v>2.91</v>
      </c>
    </row>
    <row r="4077" spans="1:10" ht="25" x14ac:dyDescent="0.3">
      <c r="A4077" s="519" t="s">
        <v>2437</v>
      </c>
      <c r="B4077" s="520" t="s">
        <v>2622</v>
      </c>
      <c r="C4077" s="519" t="s">
        <v>32</v>
      </c>
      <c r="D4077" s="519" t="s">
        <v>2623</v>
      </c>
      <c r="E4077" s="905" t="s">
        <v>2442</v>
      </c>
      <c r="F4077" s="905"/>
      <c r="G4077" s="521" t="s">
        <v>194</v>
      </c>
      <c r="H4077" s="522">
        <v>2.6139000000000001</v>
      </c>
      <c r="I4077" s="523">
        <v>7.78</v>
      </c>
      <c r="J4077" s="523">
        <v>20.329999999999998</v>
      </c>
    </row>
    <row r="4078" spans="1:10" ht="14.25" customHeight="1" x14ac:dyDescent="0.3">
      <c r="A4078" s="519" t="s">
        <v>2437</v>
      </c>
      <c r="B4078" s="520" t="s">
        <v>2637</v>
      </c>
      <c r="C4078" s="519" t="s">
        <v>32</v>
      </c>
      <c r="D4078" s="519" t="s">
        <v>2638</v>
      </c>
      <c r="E4078" s="905" t="s">
        <v>2442</v>
      </c>
      <c r="F4078" s="905"/>
      <c r="G4078" s="521" t="s">
        <v>1369</v>
      </c>
      <c r="H4078" s="522">
        <v>8.5999999999999993E-2</v>
      </c>
      <c r="I4078" s="523">
        <v>19.5</v>
      </c>
      <c r="J4078" s="523">
        <v>1.67</v>
      </c>
    </row>
    <row r="4079" spans="1:10" ht="14.25" customHeight="1" x14ac:dyDescent="0.3">
      <c r="A4079" s="519" t="s">
        <v>2437</v>
      </c>
      <c r="B4079" s="520" t="s">
        <v>4460</v>
      </c>
      <c r="C4079" s="519" t="s">
        <v>32</v>
      </c>
      <c r="D4079" s="519" t="s">
        <v>4461</v>
      </c>
      <c r="E4079" s="905" t="s">
        <v>2442</v>
      </c>
      <c r="F4079" s="905"/>
      <c r="G4079" s="521" t="s">
        <v>194</v>
      </c>
      <c r="H4079" s="522">
        <v>1.9603999999999999</v>
      </c>
      <c r="I4079" s="523">
        <v>5.55</v>
      </c>
      <c r="J4079" s="523">
        <v>10.88</v>
      </c>
    </row>
    <row r="4080" spans="1:10" ht="15" customHeight="1" thickBot="1" x14ac:dyDescent="0.35">
      <c r="A4080" s="519" t="s">
        <v>2437</v>
      </c>
      <c r="B4080" s="520" t="s">
        <v>2751</v>
      </c>
      <c r="C4080" s="519" t="s">
        <v>32</v>
      </c>
      <c r="D4080" s="519" t="s">
        <v>2752</v>
      </c>
      <c r="E4080" s="905" t="s">
        <v>2442</v>
      </c>
      <c r="F4080" s="905"/>
      <c r="G4080" s="521" t="s">
        <v>115</v>
      </c>
      <c r="H4080" s="522">
        <v>1.050038</v>
      </c>
      <c r="I4080" s="523">
        <v>22.73</v>
      </c>
      <c r="J4080" s="523">
        <v>23.86</v>
      </c>
    </row>
    <row r="4081" spans="1:10" ht="14.5" thickTop="1" x14ac:dyDescent="0.3">
      <c r="A4081" s="647"/>
      <c r="B4081" s="647"/>
      <c r="C4081" s="647"/>
      <c r="D4081" s="647"/>
      <c r="E4081" s="647"/>
      <c r="F4081" s="647"/>
      <c r="G4081" s="647"/>
      <c r="H4081" s="647"/>
      <c r="I4081" s="647"/>
      <c r="J4081"/>
    </row>
    <row r="4082" spans="1:10" ht="15" customHeight="1" x14ac:dyDescent="0.3">
      <c r="A4082" s="516"/>
      <c r="B4082" s="517" t="s">
        <v>15</v>
      </c>
      <c r="C4082" s="516" t="s">
        <v>16</v>
      </c>
      <c r="D4082" s="516" t="s">
        <v>17</v>
      </c>
      <c r="E4082" s="904" t="s">
        <v>2431</v>
      </c>
      <c r="F4082" s="904"/>
      <c r="G4082" s="518" t="s">
        <v>18</v>
      </c>
      <c r="H4082" s="517" t="s">
        <v>19</v>
      </c>
      <c r="I4082" s="517" t="s">
        <v>20</v>
      </c>
      <c r="J4082" s="517" t="s">
        <v>23</v>
      </c>
    </row>
    <row r="4083" spans="1:10" s="358" customFormat="1" ht="37.5" x14ac:dyDescent="0.3">
      <c r="A4083" s="642" t="s">
        <v>2432</v>
      </c>
      <c r="B4083" s="643" t="s">
        <v>2689</v>
      </c>
      <c r="C4083" s="642" t="s">
        <v>32</v>
      </c>
      <c r="D4083" s="642" t="s">
        <v>2690</v>
      </c>
      <c r="E4083" s="906" t="s">
        <v>2485</v>
      </c>
      <c r="F4083" s="906"/>
      <c r="G4083" s="644" t="s">
        <v>115</v>
      </c>
      <c r="H4083" s="645">
        <v>1</v>
      </c>
      <c r="I4083" s="646">
        <v>141.79</v>
      </c>
      <c r="J4083" s="646">
        <v>141.79</v>
      </c>
    </row>
    <row r="4084" spans="1:10" ht="25" x14ac:dyDescent="0.3">
      <c r="A4084" s="519" t="s">
        <v>2434</v>
      </c>
      <c r="B4084" s="520" t="s">
        <v>2627</v>
      </c>
      <c r="C4084" s="519" t="s">
        <v>32</v>
      </c>
      <c r="D4084" s="519" t="s">
        <v>2628</v>
      </c>
      <c r="E4084" s="905" t="s">
        <v>2433</v>
      </c>
      <c r="F4084" s="905"/>
      <c r="G4084" s="521" t="s">
        <v>1901</v>
      </c>
      <c r="H4084" s="522">
        <v>0.28439999999999999</v>
      </c>
      <c r="I4084" s="523">
        <v>24.12</v>
      </c>
      <c r="J4084" s="523">
        <v>6.85</v>
      </c>
    </row>
    <row r="4085" spans="1:10" s="358" customFormat="1" ht="25" x14ac:dyDescent="0.3">
      <c r="A4085" s="519" t="s">
        <v>2434</v>
      </c>
      <c r="B4085" s="520" t="s">
        <v>2618</v>
      </c>
      <c r="C4085" s="519" t="s">
        <v>32</v>
      </c>
      <c r="D4085" s="519" t="s">
        <v>2619</v>
      </c>
      <c r="E4085" s="905" t="s">
        <v>2433</v>
      </c>
      <c r="F4085" s="905"/>
      <c r="G4085" s="521" t="s">
        <v>1901</v>
      </c>
      <c r="H4085" s="522">
        <v>0.85319999999999996</v>
      </c>
      <c r="I4085" s="523">
        <v>30.71</v>
      </c>
      <c r="J4085" s="523">
        <v>26.2</v>
      </c>
    </row>
    <row r="4086" spans="1:10" ht="25.5" customHeight="1" x14ac:dyDescent="0.3">
      <c r="A4086" s="519" t="s">
        <v>2434</v>
      </c>
      <c r="B4086" s="520" t="s">
        <v>2629</v>
      </c>
      <c r="C4086" s="519" t="s">
        <v>32</v>
      </c>
      <c r="D4086" s="519" t="s">
        <v>2630</v>
      </c>
      <c r="E4086" s="905" t="s">
        <v>2465</v>
      </c>
      <c r="F4086" s="905"/>
      <c r="G4086" s="521" t="s">
        <v>103</v>
      </c>
      <c r="H4086" s="522">
        <v>7.6E-3</v>
      </c>
      <c r="I4086" s="523">
        <v>26.94</v>
      </c>
      <c r="J4086" s="523">
        <v>0.2</v>
      </c>
    </row>
    <row r="4087" spans="1:10" ht="25.5" customHeight="1" x14ac:dyDescent="0.3">
      <c r="A4087" s="519" t="s">
        <v>2434</v>
      </c>
      <c r="B4087" s="520" t="s">
        <v>2631</v>
      </c>
      <c r="C4087" s="519" t="s">
        <v>32</v>
      </c>
      <c r="D4087" s="519" t="s">
        <v>2632</v>
      </c>
      <c r="E4087" s="905" t="s">
        <v>2465</v>
      </c>
      <c r="F4087" s="905"/>
      <c r="G4087" s="521" t="s">
        <v>110</v>
      </c>
      <c r="H4087" s="522">
        <v>3.32E-2</v>
      </c>
      <c r="I4087" s="523">
        <v>25.9</v>
      </c>
      <c r="J4087" s="523">
        <v>0.85</v>
      </c>
    </row>
    <row r="4088" spans="1:10" ht="25.5" customHeight="1" x14ac:dyDescent="0.3">
      <c r="A4088" s="519" t="s">
        <v>2434</v>
      </c>
      <c r="B4088" s="520" t="s">
        <v>2633</v>
      </c>
      <c r="C4088" s="519" t="s">
        <v>32</v>
      </c>
      <c r="D4088" s="519" t="s">
        <v>2634</v>
      </c>
      <c r="E4088" s="905" t="s">
        <v>2617</v>
      </c>
      <c r="F4088" s="905"/>
      <c r="G4088" s="521" t="s">
        <v>118</v>
      </c>
      <c r="H4088" s="522">
        <v>1.5E-3</v>
      </c>
      <c r="I4088" s="523">
        <v>470.61</v>
      </c>
      <c r="J4088" s="523">
        <v>0.7</v>
      </c>
    </row>
    <row r="4089" spans="1:10" ht="25.5" customHeight="1" x14ac:dyDescent="0.3">
      <c r="A4089" s="519" t="s">
        <v>2437</v>
      </c>
      <c r="B4089" s="520" t="s">
        <v>2635</v>
      </c>
      <c r="C4089" s="519" t="s">
        <v>32</v>
      </c>
      <c r="D4089" s="519" t="s">
        <v>4251</v>
      </c>
      <c r="E4089" s="905" t="s">
        <v>2442</v>
      </c>
      <c r="F4089" s="905"/>
      <c r="G4089" s="521" t="s">
        <v>194</v>
      </c>
      <c r="H4089" s="522">
        <v>1.6922999999999999</v>
      </c>
      <c r="I4089" s="523">
        <v>30.09</v>
      </c>
      <c r="J4089" s="523">
        <v>50.92</v>
      </c>
    </row>
    <row r="4090" spans="1:10" ht="37.5" x14ac:dyDescent="0.3">
      <c r="A4090" s="519" t="s">
        <v>2437</v>
      </c>
      <c r="B4090" s="520" t="s">
        <v>2636</v>
      </c>
      <c r="C4090" s="519" t="s">
        <v>32</v>
      </c>
      <c r="D4090" s="519" t="s">
        <v>4252</v>
      </c>
      <c r="E4090" s="905" t="s">
        <v>2442</v>
      </c>
      <c r="F4090" s="905"/>
      <c r="G4090" s="521" t="s">
        <v>194</v>
      </c>
      <c r="H4090" s="522">
        <v>1.2307999999999999</v>
      </c>
      <c r="I4090" s="523">
        <v>25.36</v>
      </c>
      <c r="J4090" s="523">
        <v>31.21</v>
      </c>
    </row>
    <row r="4091" spans="1:10" x14ac:dyDescent="0.3">
      <c r="A4091" s="519" t="s">
        <v>2437</v>
      </c>
      <c r="B4091" s="520" t="s">
        <v>2637</v>
      </c>
      <c r="C4091" s="519" t="s">
        <v>32</v>
      </c>
      <c r="D4091" s="519" t="s">
        <v>2638</v>
      </c>
      <c r="E4091" s="905" t="s">
        <v>2442</v>
      </c>
      <c r="F4091" s="905"/>
      <c r="G4091" s="521" t="s">
        <v>1369</v>
      </c>
      <c r="H4091" s="522">
        <v>5.1700000000000003E-2</v>
      </c>
      <c r="I4091" s="523">
        <v>19.5</v>
      </c>
      <c r="J4091" s="523">
        <v>1</v>
      </c>
    </row>
    <row r="4092" spans="1:10" ht="38" thickBot="1" x14ac:dyDescent="0.35">
      <c r="A4092" s="519" t="s">
        <v>2437</v>
      </c>
      <c r="B4092" s="520" t="s">
        <v>2751</v>
      </c>
      <c r="C4092" s="519" t="s">
        <v>32</v>
      </c>
      <c r="D4092" s="519" t="s">
        <v>2752</v>
      </c>
      <c r="E4092" s="905" t="s">
        <v>2442</v>
      </c>
      <c r="F4092" s="905"/>
      <c r="G4092" s="521" t="s">
        <v>115</v>
      </c>
      <c r="H4092" s="522">
        <v>1.050038</v>
      </c>
      <c r="I4092" s="523">
        <v>22.73</v>
      </c>
      <c r="J4092" s="523">
        <v>23.86</v>
      </c>
    </row>
    <row r="4093" spans="1:10" ht="14.5" thickTop="1" x14ac:dyDescent="0.3">
      <c r="A4093" s="647"/>
      <c r="B4093" s="647"/>
      <c r="C4093" s="647"/>
      <c r="D4093" s="647"/>
      <c r="E4093" s="647"/>
      <c r="F4093" s="647"/>
      <c r="G4093" s="647"/>
      <c r="H4093" s="647"/>
      <c r="I4093" s="647"/>
      <c r="J4093"/>
    </row>
    <row r="4094" spans="1:10" x14ac:dyDescent="0.3">
      <c r="A4094" s="516"/>
      <c r="B4094" s="517" t="s">
        <v>15</v>
      </c>
      <c r="C4094" s="516" t="s">
        <v>16</v>
      </c>
      <c r="D4094" s="516" t="s">
        <v>17</v>
      </c>
      <c r="E4094" s="904" t="s">
        <v>2431</v>
      </c>
      <c r="F4094" s="904"/>
      <c r="G4094" s="518" t="s">
        <v>18</v>
      </c>
      <c r="H4094" s="517" t="s">
        <v>19</v>
      </c>
      <c r="I4094" s="517" t="s">
        <v>20</v>
      </c>
      <c r="J4094" s="517" t="s">
        <v>23</v>
      </c>
    </row>
    <row r="4095" spans="1:10" s="358" customFormat="1" x14ac:dyDescent="0.3">
      <c r="A4095" s="642" t="s">
        <v>2432</v>
      </c>
      <c r="B4095" s="643" t="s">
        <v>3231</v>
      </c>
      <c r="C4095" s="642" t="s">
        <v>243</v>
      </c>
      <c r="D4095" s="642" t="s">
        <v>4533</v>
      </c>
      <c r="E4095" s="906">
        <v>57</v>
      </c>
      <c r="F4095" s="906"/>
      <c r="G4095" s="644" t="s">
        <v>34</v>
      </c>
      <c r="H4095" s="645">
        <v>1</v>
      </c>
      <c r="I4095" s="646">
        <v>5604.3</v>
      </c>
      <c r="J4095" s="646">
        <v>5604.3</v>
      </c>
    </row>
    <row r="4096" spans="1:10" ht="25.5" thickBot="1" x14ac:dyDescent="0.35">
      <c r="A4096" s="519" t="s">
        <v>2434</v>
      </c>
      <c r="B4096" s="520" t="s">
        <v>3236</v>
      </c>
      <c r="C4096" s="519" t="s">
        <v>32</v>
      </c>
      <c r="D4096" s="519" t="s">
        <v>2758</v>
      </c>
      <c r="E4096" s="905" t="s">
        <v>2433</v>
      </c>
      <c r="F4096" s="905"/>
      <c r="G4096" s="521" t="s">
        <v>34</v>
      </c>
      <c r="H4096" s="522">
        <v>1</v>
      </c>
      <c r="I4096" s="523">
        <v>5604.3</v>
      </c>
      <c r="J4096" s="523">
        <v>5604.3</v>
      </c>
    </row>
    <row r="4097" spans="1:10" s="358" customFormat="1" ht="14.5" thickTop="1" x14ac:dyDescent="0.3">
      <c r="A4097" s="647"/>
      <c r="B4097" s="647"/>
      <c r="C4097" s="647"/>
      <c r="D4097" s="647"/>
      <c r="E4097" s="647"/>
      <c r="F4097" s="647"/>
      <c r="G4097" s="647"/>
      <c r="H4097" s="647"/>
      <c r="I4097" s="647"/>
      <c r="J4097"/>
    </row>
    <row r="4098" spans="1:10" x14ac:dyDescent="0.3">
      <c r="A4098" s="516"/>
      <c r="B4098" s="517" t="s">
        <v>15</v>
      </c>
      <c r="C4098" s="516" t="s">
        <v>16</v>
      </c>
      <c r="D4098" s="516" t="s">
        <v>17</v>
      </c>
      <c r="E4098" s="904" t="s">
        <v>2431</v>
      </c>
      <c r="F4098" s="904"/>
      <c r="G4098" s="518" t="s">
        <v>18</v>
      </c>
      <c r="H4098" s="517" t="s">
        <v>19</v>
      </c>
      <c r="I4098" s="517" t="s">
        <v>20</v>
      </c>
      <c r="J4098" s="517" t="s">
        <v>23</v>
      </c>
    </row>
    <row r="4099" spans="1:10" ht="14.25" customHeight="1" x14ac:dyDescent="0.3">
      <c r="A4099" s="642" t="s">
        <v>2432</v>
      </c>
      <c r="B4099" s="643" t="s">
        <v>2757</v>
      </c>
      <c r="C4099" s="642" t="s">
        <v>32</v>
      </c>
      <c r="D4099" s="642" t="s">
        <v>2758</v>
      </c>
      <c r="E4099" s="906" t="s">
        <v>2433</v>
      </c>
      <c r="F4099" s="906"/>
      <c r="G4099" s="644" t="s">
        <v>1901</v>
      </c>
      <c r="H4099" s="645">
        <v>1</v>
      </c>
      <c r="I4099" s="646">
        <v>31.1</v>
      </c>
      <c r="J4099" s="646">
        <v>31.1</v>
      </c>
    </row>
    <row r="4100" spans="1:10" ht="25.5" customHeight="1" x14ac:dyDescent="0.3">
      <c r="A4100" s="519" t="s">
        <v>2434</v>
      </c>
      <c r="B4100" s="520" t="s">
        <v>3558</v>
      </c>
      <c r="C4100" s="519" t="s">
        <v>32</v>
      </c>
      <c r="D4100" s="519" t="s">
        <v>3559</v>
      </c>
      <c r="E4100" s="905" t="s">
        <v>2433</v>
      </c>
      <c r="F4100" s="905"/>
      <c r="G4100" s="521" t="s">
        <v>1901</v>
      </c>
      <c r="H4100" s="522">
        <v>1</v>
      </c>
      <c r="I4100" s="523">
        <v>0.53</v>
      </c>
      <c r="J4100" s="523">
        <v>0.53</v>
      </c>
    </row>
    <row r="4101" spans="1:10" ht="25.5" customHeight="1" x14ac:dyDescent="0.3">
      <c r="A4101" s="519" t="s">
        <v>2437</v>
      </c>
      <c r="B4101" s="520" t="s">
        <v>3560</v>
      </c>
      <c r="C4101" s="519" t="s">
        <v>32</v>
      </c>
      <c r="D4101" s="519" t="s">
        <v>3561</v>
      </c>
      <c r="E4101" s="905" t="s">
        <v>2440</v>
      </c>
      <c r="F4101" s="905"/>
      <c r="G4101" s="521" t="s">
        <v>1901</v>
      </c>
      <c r="H4101" s="522">
        <v>1</v>
      </c>
      <c r="I4101" s="523">
        <v>21.83</v>
      </c>
      <c r="J4101" s="523">
        <v>21.83</v>
      </c>
    </row>
    <row r="4102" spans="1:10" ht="25" x14ac:dyDescent="0.3">
      <c r="A4102" s="519" t="s">
        <v>2437</v>
      </c>
      <c r="B4102" s="520" t="s">
        <v>3257</v>
      </c>
      <c r="C4102" s="519" t="s">
        <v>32</v>
      </c>
      <c r="D4102" s="519" t="s">
        <v>4306</v>
      </c>
      <c r="E4102" s="905" t="s">
        <v>2856</v>
      </c>
      <c r="F4102" s="905"/>
      <c r="G4102" s="521" t="s">
        <v>1901</v>
      </c>
      <c r="H4102" s="522">
        <v>1</v>
      </c>
      <c r="I4102" s="523">
        <v>3.8</v>
      </c>
      <c r="J4102" s="523">
        <v>3.8</v>
      </c>
    </row>
    <row r="4103" spans="1:10" ht="25" x14ac:dyDescent="0.3">
      <c r="A4103" s="519" t="s">
        <v>2437</v>
      </c>
      <c r="B4103" s="520" t="s">
        <v>3258</v>
      </c>
      <c r="C4103" s="519" t="s">
        <v>32</v>
      </c>
      <c r="D4103" s="519" t="s">
        <v>4307</v>
      </c>
      <c r="E4103" s="905" t="s">
        <v>3259</v>
      </c>
      <c r="F4103" s="905"/>
      <c r="G4103" s="521" t="s">
        <v>1901</v>
      </c>
      <c r="H4103" s="522">
        <v>1</v>
      </c>
      <c r="I4103" s="523">
        <v>1.5</v>
      </c>
      <c r="J4103" s="523">
        <v>1.5</v>
      </c>
    </row>
    <row r="4104" spans="1:10" ht="25" x14ac:dyDescent="0.3">
      <c r="A4104" s="519" t="s">
        <v>2437</v>
      </c>
      <c r="B4104" s="520" t="s">
        <v>3260</v>
      </c>
      <c r="C4104" s="519" t="s">
        <v>32</v>
      </c>
      <c r="D4104" s="519" t="s">
        <v>4308</v>
      </c>
      <c r="E4104" s="905" t="s">
        <v>2856</v>
      </c>
      <c r="F4104" s="905"/>
      <c r="G4104" s="521" t="s">
        <v>1901</v>
      </c>
      <c r="H4104" s="522">
        <v>1</v>
      </c>
      <c r="I4104" s="523">
        <v>1.34</v>
      </c>
      <c r="J4104" s="523">
        <v>1.34</v>
      </c>
    </row>
    <row r="4105" spans="1:10" ht="25" x14ac:dyDescent="0.3">
      <c r="A4105" s="519" t="s">
        <v>2437</v>
      </c>
      <c r="B4105" s="520" t="s">
        <v>3261</v>
      </c>
      <c r="C4105" s="519" t="s">
        <v>32</v>
      </c>
      <c r="D4105" s="519" t="s">
        <v>4309</v>
      </c>
      <c r="E4105" s="905" t="s">
        <v>2535</v>
      </c>
      <c r="F4105" s="905"/>
      <c r="G4105" s="521" t="s">
        <v>1901</v>
      </c>
      <c r="H4105" s="522">
        <v>1</v>
      </c>
      <c r="I4105" s="523">
        <v>0.04</v>
      </c>
      <c r="J4105" s="523">
        <v>0.04</v>
      </c>
    </row>
    <row r="4106" spans="1:10" ht="25" x14ac:dyDescent="0.3">
      <c r="A4106" s="519" t="s">
        <v>2437</v>
      </c>
      <c r="B4106" s="520" t="s">
        <v>3262</v>
      </c>
      <c r="C4106" s="519" t="s">
        <v>32</v>
      </c>
      <c r="D4106" s="519" t="s">
        <v>3263</v>
      </c>
      <c r="E4106" s="905" t="s">
        <v>2446</v>
      </c>
      <c r="F4106" s="905"/>
      <c r="G4106" s="521" t="s">
        <v>1901</v>
      </c>
      <c r="H4106" s="522">
        <v>1</v>
      </c>
      <c r="I4106" s="523">
        <v>0.82</v>
      </c>
      <c r="J4106" s="523">
        <v>0.82</v>
      </c>
    </row>
    <row r="4107" spans="1:10" s="358" customFormat="1" ht="25.5" thickBot="1" x14ac:dyDescent="0.35">
      <c r="A4107" s="519" t="s">
        <v>2437</v>
      </c>
      <c r="B4107" s="520" t="s">
        <v>3264</v>
      </c>
      <c r="C4107" s="519" t="s">
        <v>32</v>
      </c>
      <c r="D4107" s="519" t="s">
        <v>3265</v>
      </c>
      <c r="E4107" s="905" t="s">
        <v>2446</v>
      </c>
      <c r="F4107" s="905"/>
      <c r="G4107" s="521" t="s">
        <v>1901</v>
      </c>
      <c r="H4107" s="522">
        <v>1</v>
      </c>
      <c r="I4107" s="523">
        <v>1.24</v>
      </c>
      <c r="J4107" s="523">
        <v>1.24</v>
      </c>
    </row>
    <row r="4108" spans="1:10" ht="14.5" thickTop="1" x14ac:dyDescent="0.3">
      <c r="A4108" s="647"/>
      <c r="B4108" s="647"/>
      <c r="C4108" s="647"/>
      <c r="D4108" s="647"/>
      <c r="E4108" s="647"/>
      <c r="F4108" s="647"/>
      <c r="G4108" s="647"/>
      <c r="H4108" s="647"/>
      <c r="I4108" s="647"/>
      <c r="J4108"/>
    </row>
    <row r="4109" spans="1:10" s="358" customFormat="1" x14ac:dyDescent="0.3">
      <c r="A4109" s="516"/>
      <c r="B4109" s="517" t="s">
        <v>15</v>
      </c>
      <c r="C4109" s="516" t="s">
        <v>16</v>
      </c>
      <c r="D4109" s="516" t="s">
        <v>17</v>
      </c>
      <c r="E4109" s="904" t="s">
        <v>2431</v>
      </c>
      <c r="F4109" s="904"/>
      <c r="G4109" s="518" t="s">
        <v>18</v>
      </c>
      <c r="H4109" s="517" t="s">
        <v>19</v>
      </c>
      <c r="I4109" s="517" t="s">
        <v>20</v>
      </c>
      <c r="J4109" s="517" t="s">
        <v>23</v>
      </c>
    </row>
    <row r="4110" spans="1:10" ht="14.25" customHeight="1" x14ac:dyDescent="0.3">
      <c r="A4110" s="642" t="s">
        <v>2432</v>
      </c>
      <c r="B4110" s="643" t="s">
        <v>3236</v>
      </c>
      <c r="C4110" s="642" t="s">
        <v>32</v>
      </c>
      <c r="D4110" s="642" t="s">
        <v>2758</v>
      </c>
      <c r="E4110" s="906" t="s">
        <v>2433</v>
      </c>
      <c r="F4110" s="906"/>
      <c r="G4110" s="644" t="s">
        <v>34</v>
      </c>
      <c r="H4110" s="645">
        <v>1</v>
      </c>
      <c r="I4110" s="646">
        <v>5604.3</v>
      </c>
      <c r="J4110" s="646">
        <v>5604.3</v>
      </c>
    </row>
    <row r="4111" spans="1:10" ht="25" x14ac:dyDescent="0.3">
      <c r="A4111" s="519" t="s">
        <v>2434</v>
      </c>
      <c r="B4111" s="520" t="s">
        <v>3562</v>
      </c>
      <c r="C4111" s="519" t="s">
        <v>32</v>
      </c>
      <c r="D4111" s="519" t="s">
        <v>3563</v>
      </c>
      <c r="E4111" s="905" t="s">
        <v>2433</v>
      </c>
      <c r="F4111" s="905"/>
      <c r="G4111" s="521" t="s">
        <v>34</v>
      </c>
      <c r="H4111" s="522">
        <v>1</v>
      </c>
      <c r="I4111" s="523">
        <v>70.97</v>
      </c>
      <c r="J4111" s="523">
        <v>70.97</v>
      </c>
    </row>
    <row r="4112" spans="1:10" ht="25.5" customHeight="1" x14ac:dyDescent="0.3">
      <c r="A4112" s="519" t="s">
        <v>2437</v>
      </c>
      <c r="B4112" s="520" t="s">
        <v>2492</v>
      </c>
      <c r="C4112" s="519" t="s">
        <v>32</v>
      </c>
      <c r="D4112" s="519" t="s">
        <v>4245</v>
      </c>
      <c r="E4112" s="905" t="s">
        <v>2442</v>
      </c>
      <c r="F4112" s="905"/>
      <c r="G4112" s="521" t="s">
        <v>34</v>
      </c>
      <c r="H4112" s="522">
        <v>1</v>
      </c>
      <c r="I4112" s="523">
        <v>282.98</v>
      </c>
      <c r="J4112" s="523">
        <v>282.98</v>
      </c>
    </row>
    <row r="4113" spans="1:10" ht="25.5" customHeight="1" x14ac:dyDescent="0.3">
      <c r="A4113" s="519" t="s">
        <v>2437</v>
      </c>
      <c r="B4113" s="520" t="s">
        <v>2493</v>
      </c>
      <c r="C4113" s="519" t="s">
        <v>32</v>
      </c>
      <c r="D4113" s="519" t="s">
        <v>4246</v>
      </c>
      <c r="E4113" s="905" t="s">
        <v>2442</v>
      </c>
      <c r="F4113" s="905"/>
      <c r="G4113" s="521" t="s">
        <v>34</v>
      </c>
      <c r="H4113" s="522">
        <v>1</v>
      </c>
      <c r="I4113" s="523">
        <v>715.63</v>
      </c>
      <c r="J4113" s="523">
        <v>715.63</v>
      </c>
    </row>
    <row r="4114" spans="1:10" ht="25" x14ac:dyDescent="0.3">
      <c r="A4114" s="519" t="s">
        <v>2437</v>
      </c>
      <c r="B4114" s="520" t="s">
        <v>2441</v>
      </c>
      <c r="C4114" s="519" t="s">
        <v>32</v>
      </c>
      <c r="D4114" s="519" t="s">
        <v>4240</v>
      </c>
      <c r="E4114" s="905" t="s">
        <v>2442</v>
      </c>
      <c r="F4114" s="905"/>
      <c r="G4114" s="521" t="s">
        <v>34</v>
      </c>
      <c r="H4114" s="522">
        <v>1</v>
      </c>
      <c r="I4114" s="523">
        <v>252.08</v>
      </c>
      <c r="J4114" s="523">
        <v>252.08</v>
      </c>
    </row>
    <row r="4115" spans="1:10" ht="25" x14ac:dyDescent="0.3">
      <c r="A4115" s="519" t="s">
        <v>2437</v>
      </c>
      <c r="B4115" s="520" t="s">
        <v>2443</v>
      </c>
      <c r="C4115" s="519" t="s">
        <v>32</v>
      </c>
      <c r="D4115" s="519" t="s">
        <v>4241</v>
      </c>
      <c r="E4115" s="905" t="s">
        <v>2442</v>
      </c>
      <c r="F4115" s="905"/>
      <c r="G4115" s="521" t="s">
        <v>34</v>
      </c>
      <c r="H4115" s="522">
        <v>1</v>
      </c>
      <c r="I4115" s="523">
        <v>7.31</v>
      </c>
      <c r="J4115" s="523">
        <v>7.31</v>
      </c>
    </row>
    <row r="4116" spans="1:10" x14ac:dyDescent="0.3">
      <c r="A4116" s="519" t="s">
        <v>2437</v>
      </c>
      <c r="B4116" s="520" t="s">
        <v>3564</v>
      </c>
      <c r="C4116" s="519" t="s">
        <v>32</v>
      </c>
      <c r="D4116" s="519" t="s">
        <v>3565</v>
      </c>
      <c r="E4116" s="905" t="s">
        <v>2440</v>
      </c>
      <c r="F4116" s="905"/>
      <c r="G4116" s="521" t="s">
        <v>34</v>
      </c>
      <c r="H4116" s="522">
        <v>1</v>
      </c>
      <c r="I4116" s="523">
        <v>3886.77</v>
      </c>
      <c r="J4116" s="523">
        <v>3886.77</v>
      </c>
    </row>
    <row r="4117" spans="1:10" ht="25" x14ac:dyDescent="0.3">
      <c r="A4117" s="519" t="s">
        <v>2437</v>
      </c>
      <c r="B4117" s="520" t="s">
        <v>3828</v>
      </c>
      <c r="C4117" s="519" t="s">
        <v>32</v>
      </c>
      <c r="D4117" s="519" t="s">
        <v>3829</v>
      </c>
      <c r="E4117" s="905" t="s">
        <v>2442</v>
      </c>
      <c r="F4117" s="905"/>
      <c r="G4117" s="521" t="s">
        <v>34</v>
      </c>
      <c r="H4117" s="522">
        <v>1</v>
      </c>
      <c r="I4117" s="523">
        <v>155.21</v>
      </c>
      <c r="J4117" s="523">
        <v>155.21</v>
      </c>
    </row>
    <row r="4118" spans="1:10" ht="25.5" thickBot="1" x14ac:dyDescent="0.35">
      <c r="A4118" s="519" t="s">
        <v>2437</v>
      </c>
      <c r="B4118" s="520" t="s">
        <v>3830</v>
      </c>
      <c r="C4118" s="519" t="s">
        <v>32</v>
      </c>
      <c r="D4118" s="519" t="s">
        <v>3831</v>
      </c>
      <c r="E4118" s="905" t="s">
        <v>2442</v>
      </c>
      <c r="F4118" s="905"/>
      <c r="G4118" s="521" t="s">
        <v>34</v>
      </c>
      <c r="H4118" s="522">
        <v>1</v>
      </c>
      <c r="I4118" s="523">
        <v>233.35</v>
      </c>
      <c r="J4118" s="523">
        <v>233.35</v>
      </c>
    </row>
    <row r="4119" spans="1:10" s="358" customFormat="1" ht="14.5" thickTop="1" x14ac:dyDescent="0.3">
      <c r="A4119" s="647"/>
      <c r="B4119" s="647"/>
      <c r="C4119" s="647"/>
      <c r="D4119" s="647"/>
      <c r="E4119" s="647"/>
      <c r="F4119" s="647"/>
      <c r="G4119" s="647"/>
      <c r="H4119" s="647"/>
      <c r="I4119" s="647"/>
      <c r="J4119"/>
    </row>
    <row r="4120" spans="1:10" x14ac:dyDescent="0.3">
      <c r="A4120" s="516"/>
      <c r="B4120" s="517" t="s">
        <v>15</v>
      </c>
      <c r="C4120" s="516" t="s">
        <v>16</v>
      </c>
      <c r="D4120" s="516" t="s">
        <v>17</v>
      </c>
      <c r="E4120" s="904" t="s">
        <v>2431</v>
      </c>
      <c r="F4120" s="904"/>
      <c r="G4120" s="518" t="s">
        <v>18</v>
      </c>
      <c r="H4120" s="517" t="s">
        <v>19</v>
      </c>
      <c r="I4120" s="517" t="s">
        <v>20</v>
      </c>
      <c r="J4120" s="517" t="s">
        <v>23</v>
      </c>
    </row>
    <row r="4121" spans="1:10" s="358" customFormat="1" ht="25" x14ac:dyDescent="0.3">
      <c r="A4121" s="642" t="s">
        <v>2432</v>
      </c>
      <c r="B4121" s="643" t="s">
        <v>4547</v>
      </c>
      <c r="C4121" s="642" t="s">
        <v>251</v>
      </c>
      <c r="D4121" s="642" t="s">
        <v>4548</v>
      </c>
      <c r="E4121" s="906">
        <v>55</v>
      </c>
      <c r="F4121" s="906"/>
      <c r="G4121" s="644" t="s">
        <v>1369</v>
      </c>
      <c r="H4121" s="645">
        <v>1</v>
      </c>
      <c r="I4121" s="646">
        <v>5.72</v>
      </c>
      <c r="J4121" s="646">
        <v>5.72</v>
      </c>
    </row>
    <row r="4122" spans="1:10" ht="25.5" thickBot="1" x14ac:dyDescent="0.35">
      <c r="A4122" s="519" t="s">
        <v>2437</v>
      </c>
      <c r="B4122" s="520" t="s">
        <v>4391</v>
      </c>
      <c r="C4122" s="519" t="s">
        <v>251</v>
      </c>
      <c r="D4122" s="519" t="s">
        <v>4526</v>
      </c>
      <c r="E4122" s="905" t="s">
        <v>2442</v>
      </c>
      <c r="F4122" s="905"/>
      <c r="G4122" s="521" t="s">
        <v>1369</v>
      </c>
      <c r="H4122" s="522">
        <v>0.45960000000000001</v>
      </c>
      <c r="I4122" s="523">
        <v>12.45</v>
      </c>
      <c r="J4122" s="523">
        <v>5.72</v>
      </c>
    </row>
    <row r="4123" spans="1:10" ht="14.5" thickTop="1" x14ac:dyDescent="0.3">
      <c r="A4123" s="647"/>
      <c r="B4123" s="647"/>
      <c r="C4123" s="647"/>
      <c r="D4123" s="647"/>
      <c r="E4123" s="647"/>
      <c r="F4123" s="647"/>
      <c r="G4123" s="647"/>
      <c r="H4123" s="647"/>
      <c r="I4123" s="647"/>
      <c r="J4123"/>
    </row>
    <row r="4124" spans="1:10" ht="25.5" customHeight="1" x14ac:dyDescent="0.3">
      <c r="A4124" s="516"/>
      <c r="B4124" s="517" t="s">
        <v>15</v>
      </c>
      <c r="C4124" s="516" t="s">
        <v>16</v>
      </c>
      <c r="D4124" s="516" t="s">
        <v>17</v>
      </c>
      <c r="E4124" s="904" t="s">
        <v>2431</v>
      </c>
      <c r="F4124" s="904"/>
      <c r="G4124" s="518" t="s">
        <v>18</v>
      </c>
      <c r="H4124" s="517" t="s">
        <v>19</v>
      </c>
      <c r="I4124" s="517" t="s">
        <v>20</v>
      </c>
      <c r="J4124" s="517" t="s">
        <v>23</v>
      </c>
    </row>
    <row r="4125" spans="1:10" ht="25.5" customHeight="1" x14ac:dyDescent="0.3">
      <c r="A4125" s="642" t="s">
        <v>2432</v>
      </c>
      <c r="B4125" s="643" t="s">
        <v>4549</v>
      </c>
      <c r="C4125" s="642" t="s">
        <v>251</v>
      </c>
      <c r="D4125" s="642" t="s">
        <v>4550</v>
      </c>
      <c r="E4125" s="906">
        <v>55</v>
      </c>
      <c r="F4125" s="906"/>
      <c r="G4125" s="644" t="s">
        <v>1369</v>
      </c>
      <c r="H4125" s="645">
        <v>1</v>
      </c>
      <c r="I4125" s="646">
        <v>5.57</v>
      </c>
      <c r="J4125" s="646">
        <v>5.57</v>
      </c>
    </row>
    <row r="4126" spans="1:10" ht="25.5" thickBot="1" x14ac:dyDescent="0.35">
      <c r="A4126" s="519" t="s">
        <v>2437</v>
      </c>
      <c r="B4126" s="520" t="s">
        <v>4391</v>
      </c>
      <c r="C4126" s="519" t="s">
        <v>251</v>
      </c>
      <c r="D4126" s="519" t="s">
        <v>4526</v>
      </c>
      <c r="E4126" s="905" t="s">
        <v>2442</v>
      </c>
      <c r="F4126" s="905"/>
      <c r="G4126" s="521" t="s">
        <v>1369</v>
      </c>
      <c r="H4126" s="522">
        <v>0.44779999999999998</v>
      </c>
      <c r="I4126" s="523">
        <v>12.45</v>
      </c>
      <c r="J4126" s="523">
        <v>5.57</v>
      </c>
    </row>
    <row r="4127" spans="1:10" ht="14.5" thickTop="1" x14ac:dyDescent="0.3">
      <c r="A4127" s="647"/>
      <c r="B4127" s="647"/>
      <c r="C4127" s="647"/>
      <c r="D4127" s="647"/>
      <c r="E4127" s="647"/>
      <c r="F4127" s="647"/>
      <c r="G4127" s="647"/>
      <c r="H4127" s="647"/>
      <c r="I4127" s="647"/>
      <c r="J4127"/>
    </row>
    <row r="4128" spans="1:10" x14ac:dyDescent="0.3">
      <c r="A4128" s="516"/>
      <c r="B4128" s="517" t="s">
        <v>15</v>
      </c>
      <c r="C4128" s="516" t="s">
        <v>16</v>
      </c>
      <c r="D4128" s="516" t="s">
        <v>17</v>
      </c>
      <c r="E4128" s="904" t="s">
        <v>2431</v>
      </c>
      <c r="F4128" s="904"/>
      <c r="G4128" s="518" t="s">
        <v>18</v>
      </c>
      <c r="H4128" s="517" t="s">
        <v>19</v>
      </c>
      <c r="I4128" s="517" t="s">
        <v>20</v>
      </c>
      <c r="J4128" s="517" t="s">
        <v>23</v>
      </c>
    </row>
    <row r="4129" spans="1:10" ht="25" x14ac:dyDescent="0.3">
      <c r="A4129" s="642" t="s">
        <v>2432</v>
      </c>
      <c r="B4129" s="643" t="s">
        <v>2762</v>
      </c>
      <c r="C4129" s="642" t="s">
        <v>32</v>
      </c>
      <c r="D4129" s="642" t="s">
        <v>2763</v>
      </c>
      <c r="E4129" s="906" t="s">
        <v>2617</v>
      </c>
      <c r="F4129" s="906"/>
      <c r="G4129" s="644" t="s">
        <v>118</v>
      </c>
      <c r="H4129" s="645">
        <v>1</v>
      </c>
      <c r="I4129" s="646">
        <v>1971.05</v>
      </c>
      <c r="J4129" s="646">
        <v>1971.05</v>
      </c>
    </row>
    <row r="4130" spans="1:10" ht="25" x14ac:dyDescent="0.3">
      <c r="A4130" s="519" t="s">
        <v>2434</v>
      </c>
      <c r="B4130" s="520" t="s">
        <v>2627</v>
      </c>
      <c r="C4130" s="519" t="s">
        <v>32</v>
      </c>
      <c r="D4130" s="519" t="s">
        <v>2628</v>
      </c>
      <c r="E4130" s="905" t="s">
        <v>2433</v>
      </c>
      <c r="F4130" s="905"/>
      <c r="G4130" s="521" t="s">
        <v>1901</v>
      </c>
      <c r="H4130" s="522">
        <v>0.86129999999999995</v>
      </c>
      <c r="I4130" s="523">
        <v>24.12</v>
      </c>
      <c r="J4130" s="523">
        <v>20.77</v>
      </c>
    </row>
    <row r="4131" spans="1:10" s="358" customFormat="1" ht="25" x14ac:dyDescent="0.3">
      <c r="A4131" s="519" t="s">
        <v>2434</v>
      </c>
      <c r="B4131" s="520" t="s">
        <v>3018</v>
      </c>
      <c r="C4131" s="519" t="s">
        <v>32</v>
      </c>
      <c r="D4131" s="519" t="s">
        <v>3019</v>
      </c>
      <c r="E4131" s="905" t="s">
        <v>2433</v>
      </c>
      <c r="F4131" s="905"/>
      <c r="G4131" s="521" t="s">
        <v>1901</v>
      </c>
      <c r="H4131" s="522">
        <v>4.3066000000000004</v>
      </c>
      <c r="I4131" s="523">
        <v>29.49</v>
      </c>
      <c r="J4131" s="523">
        <v>127</v>
      </c>
    </row>
    <row r="4132" spans="1:10" ht="25" x14ac:dyDescent="0.3">
      <c r="A4132" s="519" t="s">
        <v>2434</v>
      </c>
      <c r="B4132" s="520" t="s">
        <v>2757</v>
      </c>
      <c r="C4132" s="519" t="s">
        <v>32</v>
      </c>
      <c r="D4132" s="519" t="s">
        <v>2758</v>
      </c>
      <c r="E4132" s="905" t="s">
        <v>2433</v>
      </c>
      <c r="F4132" s="905"/>
      <c r="G4132" s="521" t="s">
        <v>1901</v>
      </c>
      <c r="H4132" s="522">
        <v>7.3795000000000002</v>
      </c>
      <c r="I4132" s="523">
        <v>31.1</v>
      </c>
      <c r="J4132" s="523">
        <v>229.5</v>
      </c>
    </row>
    <row r="4133" spans="1:10" s="358" customFormat="1" ht="25" x14ac:dyDescent="0.3">
      <c r="A4133" s="519" t="s">
        <v>2434</v>
      </c>
      <c r="B4133" s="520" t="s">
        <v>2561</v>
      </c>
      <c r="C4133" s="519" t="s">
        <v>32</v>
      </c>
      <c r="D4133" s="519" t="s">
        <v>2562</v>
      </c>
      <c r="E4133" s="905" t="s">
        <v>2433</v>
      </c>
      <c r="F4133" s="905"/>
      <c r="G4133" s="521" t="s">
        <v>1901</v>
      </c>
      <c r="H4133" s="522">
        <v>7.3795000000000002</v>
      </c>
      <c r="I4133" s="523">
        <v>23.4</v>
      </c>
      <c r="J4133" s="523">
        <v>172.68</v>
      </c>
    </row>
    <row r="4134" spans="1:10" ht="25.5" customHeight="1" x14ac:dyDescent="0.3">
      <c r="A4134" s="519" t="s">
        <v>2434</v>
      </c>
      <c r="B4134" s="520" t="s">
        <v>2846</v>
      </c>
      <c r="C4134" s="519" t="s">
        <v>32</v>
      </c>
      <c r="D4134" s="519" t="s">
        <v>2847</v>
      </c>
      <c r="E4134" s="905" t="s">
        <v>2465</v>
      </c>
      <c r="F4134" s="905"/>
      <c r="G4134" s="521" t="s">
        <v>103</v>
      </c>
      <c r="H4134" s="522">
        <v>1.0264</v>
      </c>
      <c r="I4134" s="523">
        <v>1.23</v>
      </c>
      <c r="J4134" s="523">
        <v>1.26</v>
      </c>
    </row>
    <row r="4135" spans="1:10" ht="25.5" customHeight="1" x14ac:dyDescent="0.3">
      <c r="A4135" s="519" t="s">
        <v>2434</v>
      </c>
      <c r="B4135" s="520" t="s">
        <v>2848</v>
      </c>
      <c r="C4135" s="519" t="s">
        <v>32</v>
      </c>
      <c r="D4135" s="519" t="s">
        <v>2849</v>
      </c>
      <c r="E4135" s="905" t="s">
        <v>2465</v>
      </c>
      <c r="F4135" s="905"/>
      <c r="G4135" s="521" t="s">
        <v>110</v>
      </c>
      <c r="H4135" s="522">
        <v>2.7986</v>
      </c>
      <c r="I4135" s="523">
        <v>0.53</v>
      </c>
      <c r="J4135" s="523">
        <v>1.48</v>
      </c>
    </row>
    <row r="4136" spans="1:10" ht="25.5" customHeight="1" x14ac:dyDescent="0.3">
      <c r="A4136" s="519" t="s">
        <v>2434</v>
      </c>
      <c r="B4136" s="520" t="s">
        <v>2629</v>
      </c>
      <c r="C4136" s="519" t="s">
        <v>32</v>
      </c>
      <c r="D4136" s="519" t="s">
        <v>2630</v>
      </c>
      <c r="E4136" s="905" t="s">
        <v>2465</v>
      </c>
      <c r="F4136" s="905"/>
      <c r="G4136" s="521" t="s">
        <v>103</v>
      </c>
      <c r="H4136" s="522">
        <v>0.26750000000000002</v>
      </c>
      <c r="I4136" s="523">
        <v>26.94</v>
      </c>
      <c r="J4136" s="523">
        <v>7.2</v>
      </c>
    </row>
    <row r="4137" spans="1:10" ht="25.5" customHeight="1" x14ac:dyDescent="0.3">
      <c r="A4137" s="519" t="s">
        <v>2434</v>
      </c>
      <c r="B4137" s="520" t="s">
        <v>2631</v>
      </c>
      <c r="C4137" s="519" t="s">
        <v>32</v>
      </c>
      <c r="D4137" s="519" t="s">
        <v>2632</v>
      </c>
      <c r="E4137" s="905" t="s">
        <v>2465</v>
      </c>
      <c r="F4137" s="905"/>
      <c r="G4137" s="521" t="s">
        <v>110</v>
      </c>
      <c r="H4137" s="522">
        <v>0.59379999999999999</v>
      </c>
      <c r="I4137" s="523">
        <v>25.9</v>
      </c>
      <c r="J4137" s="523">
        <v>15.37</v>
      </c>
    </row>
    <row r="4138" spans="1:10" ht="25" x14ac:dyDescent="0.3">
      <c r="A4138" s="519" t="s">
        <v>2434</v>
      </c>
      <c r="B4138" s="520" t="s">
        <v>3303</v>
      </c>
      <c r="C4138" s="519" t="s">
        <v>32</v>
      </c>
      <c r="D4138" s="519" t="s">
        <v>3304</v>
      </c>
      <c r="E4138" s="905" t="s">
        <v>2617</v>
      </c>
      <c r="F4138" s="905"/>
      <c r="G4138" s="521" t="s">
        <v>1369</v>
      </c>
      <c r="H4138" s="522">
        <v>32.6798</v>
      </c>
      <c r="I4138" s="523">
        <v>14.4</v>
      </c>
      <c r="J4138" s="523">
        <v>470.58</v>
      </c>
    </row>
    <row r="4139" spans="1:10" ht="37.5" x14ac:dyDescent="0.3">
      <c r="A4139" s="519" t="s">
        <v>2434</v>
      </c>
      <c r="B4139" s="520" t="s">
        <v>3476</v>
      </c>
      <c r="C4139" s="519" t="s">
        <v>32</v>
      </c>
      <c r="D4139" s="519" t="s">
        <v>3477</v>
      </c>
      <c r="E4139" s="905" t="s">
        <v>2617</v>
      </c>
      <c r="F4139" s="905"/>
      <c r="G4139" s="521" t="s">
        <v>118</v>
      </c>
      <c r="H4139" s="522">
        <v>1.103</v>
      </c>
      <c r="I4139" s="523">
        <v>481.4</v>
      </c>
      <c r="J4139" s="523">
        <v>530.98</v>
      </c>
    </row>
    <row r="4140" spans="1:10" ht="37.5" x14ac:dyDescent="0.3">
      <c r="A4140" s="519" t="s">
        <v>2437</v>
      </c>
      <c r="B4140" s="520" t="s">
        <v>3061</v>
      </c>
      <c r="C4140" s="519" t="s">
        <v>32</v>
      </c>
      <c r="D4140" s="519" t="s">
        <v>3062</v>
      </c>
      <c r="E4140" s="905" t="s">
        <v>2442</v>
      </c>
      <c r="F4140" s="905"/>
      <c r="G4140" s="521" t="s">
        <v>115</v>
      </c>
      <c r="H4140" s="522">
        <v>6.7614000000000001</v>
      </c>
      <c r="I4140" s="523">
        <v>36.07</v>
      </c>
      <c r="J4140" s="523">
        <v>243.88</v>
      </c>
    </row>
    <row r="4141" spans="1:10" ht="25" x14ac:dyDescent="0.3">
      <c r="A4141" s="519" t="s">
        <v>2437</v>
      </c>
      <c r="B4141" s="520" t="s">
        <v>2906</v>
      </c>
      <c r="C4141" s="519" t="s">
        <v>32</v>
      </c>
      <c r="D4141" s="519" t="s">
        <v>2907</v>
      </c>
      <c r="E4141" s="905" t="s">
        <v>2442</v>
      </c>
      <c r="F4141" s="905"/>
      <c r="G4141" s="521" t="s">
        <v>2900</v>
      </c>
      <c r="H4141" s="522">
        <v>3.5000000000000003E-2</v>
      </c>
      <c r="I4141" s="523">
        <v>7.96</v>
      </c>
      <c r="J4141" s="523">
        <v>0.27</v>
      </c>
    </row>
    <row r="4142" spans="1:10" s="358" customFormat="1" ht="25" x14ac:dyDescent="0.3">
      <c r="A4142" s="519" t="s">
        <v>2437</v>
      </c>
      <c r="B4142" s="520" t="s">
        <v>2622</v>
      </c>
      <c r="C4142" s="519" t="s">
        <v>32</v>
      </c>
      <c r="D4142" s="519" t="s">
        <v>2623</v>
      </c>
      <c r="E4142" s="905" t="s">
        <v>2442</v>
      </c>
      <c r="F4142" s="905"/>
      <c r="G4142" s="521" t="s">
        <v>194</v>
      </c>
      <c r="H4142" s="522">
        <v>1.4216</v>
      </c>
      <c r="I4142" s="523">
        <v>7.78</v>
      </c>
      <c r="J4142" s="523">
        <v>11.06</v>
      </c>
    </row>
    <row r="4143" spans="1:10" ht="25" x14ac:dyDescent="0.3">
      <c r="A4143" s="519" t="s">
        <v>2437</v>
      </c>
      <c r="B4143" s="520" t="s">
        <v>2910</v>
      </c>
      <c r="C4143" s="519" t="s">
        <v>32</v>
      </c>
      <c r="D4143" s="519" t="s">
        <v>2911</v>
      </c>
      <c r="E4143" s="905" t="s">
        <v>2442</v>
      </c>
      <c r="F4143" s="905"/>
      <c r="G4143" s="521" t="s">
        <v>194</v>
      </c>
      <c r="H4143" s="522">
        <v>6.25</v>
      </c>
      <c r="I4143" s="523">
        <v>2.72</v>
      </c>
      <c r="J4143" s="523">
        <v>17</v>
      </c>
    </row>
    <row r="4144" spans="1:10" s="358" customFormat="1" x14ac:dyDescent="0.3">
      <c r="A4144" s="519" t="s">
        <v>2437</v>
      </c>
      <c r="B4144" s="520" t="s">
        <v>3832</v>
      </c>
      <c r="C4144" s="519" t="s">
        <v>32</v>
      </c>
      <c r="D4144" s="519" t="s">
        <v>3833</v>
      </c>
      <c r="E4144" s="905" t="s">
        <v>2442</v>
      </c>
      <c r="F4144" s="905"/>
      <c r="G4144" s="521" t="s">
        <v>1369</v>
      </c>
      <c r="H4144" s="522">
        <v>0.18429999999999999</v>
      </c>
      <c r="I4144" s="523">
        <v>20.22</v>
      </c>
      <c r="J4144" s="523">
        <v>3.72</v>
      </c>
    </row>
    <row r="4145" spans="1:10" x14ac:dyDescent="0.3">
      <c r="A4145" s="519" t="s">
        <v>2437</v>
      </c>
      <c r="B4145" s="520" t="s">
        <v>2794</v>
      </c>
      <c r="C4145" s="519" t="s">
        <v>32</v>
      </c>
      <c r="D4145" s="519" t="s">
        <v>2795</v>
      </c>
      <c r="E4145" s="905" t="s">
        <v>2442</v>
      </c>
      <c r="F4145" s="905"/>
      <c r="G4145" s="521" t="s">
        <v>1369</v>
      </c>
      <c r="H4145" s="522">
        <v>0.2954</v>
      </c>
      <c r="I4145" s="523">
        <v>21.96</v>
      </c>
      <c r="J4145" s="523">
        <v>6.48</v>
      </c>
    </row>
    <row r="4146" spans="1:10" x14ac:dyDescent="0.3">
      <c r="A4146" s="519" t="s">
        <v>2437</v>
      </c>
      <c r="B4146" s="520" t="s">
        <v>3834</v>
      </c>
      <c r="C4146" s="519" t="s">
        <v>32</v>
      </c>
      <c r="D4146" s="519" t="s">
        <v>3835</v>
      </c>
      <c r="E4146" s="905" t="s">
        <v>2442</v>
      </c>
      <c r="F4146" s="905"/>
      <c r="G4146" s="521" t="s">
        <v>118</v>
      </c>
      <c r="H4146" s="522">
        <v>0.2475</v>
      </c>
      <c r="I4146" s="523">
        <v>434.15</v>
      </c>
      <c r="J4146" s="523">
        <v>107.45</v>
      </c>
    </row>
    <row r="4147" spans="1:10" ht="38" thickBot="1" x14ac:dyDescent="0.35">
      <c r="A4147" s="519" t="s">
        <v>2437</v>
      </c>
      <c r="B4147" s="520" t="s">
        <v>3836</v>
      </c>
      <c r="C4147" s="519" t="s">
        <v>32</v>
      </c>
      <c r="D4147" s="519" t="s">
        <v>3837</v>
      </c>
      <c r="E4147" s="905" t="s">
        <v>2442</v>
      </c>
      <c r="F4147" s="905"/>
      <c r="G4147" s="521" t="s">
        <v>115</v>
      </c>
      <c r="H4147" s="522">
        <v>0.31890000000000002</v>
      </c>
      <c r="I4147" s="523">
        <v>13.72</v>
      </c>
      <c r="J4147" s="523">
        <v>4.37</v>
      </c>
    </row>
    <row r="4148" spans="1:10" ht="14.5" thickTop="1" x14ac:dyDescent="0.3">
      <c r="A4148" s="647"/>
      <c r="B4148" s="647"/>
      <c r="C4148" s="647"/>
      <c r="D4148" s="647"/>
      <c r="E4148" s="647"/>
      <c r="F4148" s="647"/>
      <c r="G4148" s="647"/>
      <c r="H4148" s="647"/>
      <c r="I4148" s="647"/>
      <c r="J4148"/>
    </row>
    <row r="4149" spans="1:10" x14ac:dyDescent="0.3">
      <c r="A4149" s="516"/>
      <c r="B4149" s="517" t="s">
        <v>15</v>
      </c>
      <c r="C4149" s="516" t="s">
        <v>16</v>
      </c>
      <c r="D4149" s="516" t="s">
        <v>17</v>
      </c>
      <c r="E4149" s="904" t="s">
        <v>2431</v>
      </c>
      <c r="F4149" s="904"/>
      <c r="G4149" s="518" t="s">
        <v>18</v>
      </c>
      <c r="H4149" s="517" t="s">
        <v>19</v>
      </c>
      <c r="I4149" s="517" t="s">
        <v>20</v>
      </c>
      <c r="J4149" s="517" t="s">
        <v>23</v>
      </c>
    </row>
    <row r="4150" spans="1:10" ht="37.5" x14ac:dyDescent="0.3">
      <c r="A4150" s="642" t="s">
        <v>2432</v>
      </c>
      <c r="B4150" s="643" t="s">
        <v>2761</v>
      </c>
      <c r="C4150" s="642" t="s">
        <v>32</v>
      </c>
      <c r="D4150" s="642" t="s">
        <v>4275</v>
      </c>
      <c r="E4150" s="906" t="s">
        <v>2617</v>
      </c>
      <c r="F4150" s="906"/>
      <c r="G4150" s="644" t="s">
        <v>118</v>
      </c>
      <c r="H4150" s="645">
        <v>1</v>
      </c>
      <c r="I4150" s="646">
        <v>3853.89</v>
      </c>
      <c r="J4150" s="646">
        <v>3853.89</v>
      </c>
    </row>
    <row r="4151" spans="1:10" ht="25" x14ac:dyDescent="0.3">
      <c r="A4151" s="519" t="s">
        <v>2434</v>
      </c>
      <c r="B4151" s="520" t="s">
        <v>2627</v>
      </c>
      <c r="C4151" s="519" t="s">
        <v>32</v>
      </c>
      <c r="D4151" s="519" t="s">
        <v>2628</v>
      </c>
      <c r="E4151" s="905" t="s">
        <v>2433</v>
      </c>
      <c r="F4151" s="905"/>
      <c r="G4151" s="521" t="s">
        <v>1901</v>
      </c>
      <c r="H4151" s="522">
        <v>4.3071999999999999</v>
      </c>
      <c r="I4151" s="523">
        <v>24.12</v>
      </c>
      <c r="J4151" s="523">
        <v>103.88</v>
      </c>
    </row>
    <row r="4152" spans="1:10" ht="25" x14ac:dyDescent="0.3">
      <c r="A4152" s="519" t="s">
        <v>2434</v>
      </c>
      <c r="B4152" s="520" t="s">
        <v>3018</v>
      </c>
      <c r="C4152" s="519" t="s">
        <v>32</v>
      </c>
      <c r="D4152" s="519" t="s">
        <v>3019</v>
      </c>
      <c r="E4152" s="905" t="s">
        <v>2433</v>
      </c>
      <c r="F4152" s="905"/>
      <c r="G4152" s="521" t="s">
        <v>1901</v>
      </c>
      <c r="H4152" s="522">
        <v>21.535799999999998</v>
      </c>
      <c r="I4152" s="523">
        <v>29.49</v>
      </c>
      <c r="J4152" s="523">
        <v>635.09</v>
      </c>
    </row>
    <row r="4153" spans="1:10" s="358" customFormat="1" ht="25" x14ac:dyDescent="0.3">
      <c r="A4153" s="519" t="s">
        <v>2434</v>
      </c>
      <c r="B4153" s="520" t="s">
        <v>2757</v>
      </c>
      <c r="C4153" s="519" t="s">
        <v>32</v>
      </c>
      <c r="D4153" s="519" t="s">
        <v>2758</v>
      </c>
      <c r="E4153" s="905" t="s">
        <v>2433</v>
      </c>
      <c r="F4153" s="905"/>
      <c r="G4153" s="521" t="s">
        <v>1901</v>
      </c>
      <c r="H4153" s="522">
        <v>31.7545</v>
      </c>
      <c r="I4153" s="523">
        <v>31.1</v>
      </c>
      <c r="J4153" s="523">
        <v>987.56</v>
      </c>
    </row>
    <row r="4154" spans="1:10" ht="25" x14ac:dyDescent="0.3">
      <c r="A4154" s="519" t="s">
        <v>2434</v>
      </c>
      <c r="B4154" s="520" t="s">
        <v>2561</v>
      </c>
      <c r="C4154" s="519" t="s">
        <v>32</v>
      </c>
      <c r="D4154" s="519" t="s">
        <v>2562</v>
      </c>
      <c r="E4154" s="905" t="s">
        <v>2433</v>
      </c>
      <c r="F4154" s="905"/>
      <c r="G4154" s="521" t="s">
        <v>1901</v>
      </c>
      <c r="H4154" s="522">
        <v>31.7545</v>
      </c>
      <c r="I4154" s="523">
        <v>23.4</v>
      </c>
      <c r="J4154" s="523">
        <v>743.05</v>
      </c>
    </row>
    <row r="4155" spans="1:10" s="358" customFormat="1" ht="25.5" customHeight="1" x14ac:dyDescent="0.3">
      <c r="A4155" s="519" t="s">
        <v>2434</v>
      </c>
      <c r="B4155" s="520" t="s">
        <v>2846</v>
      </c>
      <c r="C4155" s="519" t="s">
        <v>32</v>
      </c>
      <c r="D4155" s="519" t="s">
        <v>2847</v>
      </c>
      <c r="E4155" s="905" t="s">
        <v>2465</v>
      </c>
      <c r="F4155" s="905"/>
      <c r="G4155" s="521" t="s">
        <v>103</v>
      </c>
      <c r="H4155" s="522">
        <v>6.6349999999999998</v>
      </c>
      <c r="I4155" s="523">
        <v>1.23</v>
      </c>
      <c r="J4155" s="523">
        <v>8.16</v>
      </c>
    </row>
    <row r="4156" spans="1:10" ht="25.5" customHeight="1" x14ac:dyDescent="0.3">
      <c r="A4156" s="519" t="s">
        <v>2434</v>
      </c>
      <c r="B4156" s="520" t="s">
        <v>2848</v>
      </c>
      <c r="C4156" s="519" t="s">
        <v>32</v>
      </c>
      <c r="D4156" s="519" t="s">
        <v>2849</v>
      </c>
      <c r="E4156" s="905" t="s">
        <v>2465</v>
      </c>
      <c r="F4156" s="905"/>
      <c r="G4156" s="521" t="s">
        <v>110</v>
      </c>
      <c r="H4156" s="522">
        <v>18.091699999999999</v>
      </c>
      <c r="I4156" s="523">
        <v>0.53</v>
      </c>
      <c r="J4156" s="523">
        <v>9.58</v>
      </c>
    </row>
    <row r="4157" spans="1:10" ht="25.5" customHeight="1" x14ac:dyDescent="0.3">
      <c r="A4157" s="519" t="s">
        <v>2434</v>
      </c>
      <c r="B4157" s="520" t="s">
        <v>2629</v>
      </c>
      <c r="C4157" s="519" t="s">
        <v>32</v>
      </c>
      <c r="D4157" s="519" t="s">
        <v>2630</v>
      </c>
      <c r="E4157" s="905" t="s">
        <v>2465</v>
      </c>
      <c r="F4157" s="905"/>
      <c r="G4157" s="521" t="s">
        <v>103</v>
      </c>
      <c r="H4157" s="522">
        <v>0.88009999999999999</v>
      </c>
      <c r="I4157" s="523">
        <v>26.94</v>
      </c>
      <c r="J4157" s="523">
        <v>23.7</v>
      </c>
    </row>
    <row r="4158" spans="1:10" ht="25.5" customHeight="1" x14ac:dyDescent="0.3">
      <c r="A4158" s="519" t="s">
        <v>2434</v>
      </c>
      <c r="B4158" s="520" t="s">
        <v>2631</v>
      </c>
      <c r="C4158" s="519" t="s">
        <v>32</v>
      </c>
      <c r="D4158" s="519" t="s">
        <v>2632</v>
      </c>
      <c r="E4158" s="905" t="s">
        <v>2465</v>
      </c>
      <c r="F4158" s="905"/>
      <c r="G4158" s="521" t="s">
        <v>110</v>
      </c>
      <c r="H4158" s="522">
        <v>3.4270999999999998</v>
      </c>
      <c r="I4158" s="523">
        <v>25.9</v>
      </c>
      <c r="J4158" s="523">
        <v>88.76</v>
      </c>
    </row>
    <row r="4159" spans="1:10" ht="37.5" x14ac:dyDescent="0.3">
      <c r="A4159" s="519" t="s">
        <v>2434</v>
      </c>
      <c r="B4159" s="520" t="s">
        <v>176</v>
      </c>
      <c r="C4159" s="519" t="s">
        <v>32</v>
      </c>
      <c r="D4159" s="519" t="s">
        <v>177</v>
      </c>
      <c r="E4159" s="905" t="s">
        <v>2617</v>
      </c>
      <c r="F4159" s="905"/>
      <c r="G4159" s="521" t="s">
        <v>118</v>
      </c>
      <c r="H4159" s="522">
        <v>1.2</v>
      </c>
      <c r="I4159" s="523">
        <v>470.06</v>
      </c>
      <c r="J4159" s="523">
        <v>564.07000000000005</v>
      </c>
    </row>
    <row r="4160" spans="1:10" ht="25.5" customHeight="1" x14ac:dyDescent="0.3">
      <c r="A4160" s="519" t="s">
        <v>2437</v>
      </c>
      <c r="B4160" s="520" t="s">
        <v>2906</v>
      </c>
      <c r="C4160" s="519" t="s">
        <v>32</v>
      </c>
      <c r="D4160" s="519" t="s">
        <v>2907</v>
      </c>
      <c r="E4160" s="905" t="s">
        <v>2442</v>
      </c>
      <c r="F4160" s="905"/>
      <c r="G4160" s="521" t="s">
        <v>2900</v>
      </c>
      <c r="H4160" s="522">
        <v>6.6699999999999995E-2</v>
      </c>
      <c r="I4160" s="523">
        <v>7.96</v>
      </c>
      <c r="J4160" s="523">
        <v>0.53</v>
      </c>
    </row>
    <row r="4161" spans="1:10" ht="25.5" customHeight="1" x14ac:dyDescent="0.3">
      <c r="A4161" s="519" t="s">
        <v>2437</v>
      </c>
      <c r="B4161" s="520" t="s">
        <v>2794</v>
      </c>
      <c r="C4161" s="519" t="s">
        <v>32</v>
      </c>
      <c r="D4161" s="519" t="s">
        <v>2795</v>
      </c>
      <c r="E4161" s="905" t="s">
        <v>2442</v>
      </c>
      <c r="F4161" s="905"/>
      <c r="G4161" s="521" t="s">
        <v>1369</v>
      </c>
      <c r="H4161" s="522">
        <v>2.1276000000000002</v>
      </c>
      <c r="I4161" s="523">
        <v>21.96</v>
      </c>
      <c r="J4161" s="523">
        <v>46.72</v>
      </c>
    </row>
    <row r="4162" spans="1:10" ht="25.5" customHeight="1" x14ac:dyDescent="0.3">
      <c r="A4162" s="519" t="s">
        <v>2437</v>
      </c>
      <c r="B4162" s="520" t="s">
        <v>3838</v>
      </c>
      <c r="C4162" s="519" t="s">
        <v>32</v>
      </c>
      <c r="D4162" s="519" t="s">
        <v>3839</v>
      </c>
      <c r="E4162" s="905" t="s">
        <v>2442</v>
      </c>
      <c r="F4162" s="905"/>
      <c r="G4162" s="521" t="s">
        <v>1369</v>
      </c>
      <c r="H4162" s="522">
        <v>6</v>
      </c>
      <c r="I4162" s="523">
        <v>8.3800000000000008</v>
      </c>
      <c r="J4162" s="523">
        <v>50.28</v>
      </c>
    </row>
    <row r="4163" spans="1:10" ht="25.5" customHeight="1" x14ac:dyDescent="0.3">
      <c r="A4163" s="519" t="s">
        <v>2437</v>
      </c>
      <c r="B4163" s="520" t="s">
        <v>3840</v>
      </c>
      <c r="C4163" s="519" t="s">
        <v>32</v>
      </c>
      <c r="D4163" s="519" t="s">
        <v>3841</v>
      </c>
      <c r="E4163" s="905" t="s">
        <v>2442</v>
      </c>
      <c r="F4163" s="905"/>
      <c r="G4163" s="521" t="s">
        <v>115</v>
      </c>
      <c r="H4163" s="522">
        <v>13.051399999999999</v>
      </c>
      <c r="I4163" s="523">
        <v>44.76</v>
      </c>
      <c r="J4163" s="523">
        <v>584.17999999999995</v>
      </c>
    </row>
    <row r="4164" spans="1:10" ht="38" thickBot="1" x14ac:dyDescent="0.35">
      <c r="A4164" s="519" t="s">
        <v>2437</v>
      </c>
      <c r="B4164" s="520" t="s">
        <v>3836</v>
      </c>
      <c r="C4164" s="519" t="s">
        <v>32</v>
      </c>
      <c r="D4164" s="519" t="s">
        <v>3837</v>
      </c>
      <c r="E4164" s="905" t="s">
        <v>2442</v>
      </c>
      <c r="F4164" s="905"/>
      <c r="G4164" s="521" t="s">
        <v>115</v>
      </c>
      <c r="H4164" s="522">
        <v>0.60740000000000005</v>
      </c>
      <c r="I4164" s="523">
        <v>13.72</v>
      </c>
      <c r="J4164" s="523">
        <v>8.33</v>
      </c>
    </row>
    <row r="4165" spans="1:10" ht="14.5" thickTop="1" x14ac:dyDescent="0.3">
      <c r="A4165" s="647"/>
      <c r="B4165" s="647"/>
      <c r="C4165" s="647"/>
      <c r="D4165" s="647"/>
      <c r="E4165" s="647"/>
      <c r="F4165" s="647"/>
      <c r="G4165" s="647"/>
      <c r="H4165" s="647"/>
      <c r="I4165" s="647"/>
      <c r="J4165"/>
    </row>
    <row r="4166" spans="1:10" x14ac:dyDescent="0.3">
      <c r="A4166" s="516"/>
      <c r="B4166" s="517" t="s">
        <v>15</v>
      </c>
      <c r="C4166" s="516" t="s">
        <v>16</v>
      </c>
      <c r="D4166" s="516" t="s">
        <v>17</v>
      </c>
      <c r="E4166" s="904" t="s">
        <v>2431</v>
      </c>
      <c r="F4166" s="904"/>
      <c r="G4166" s="518" t="s">
        <v>18</v>
      </c>
      <c r="H4166" s="517" t="s">
        <v>19</v>
      </c>
      <c r="I4166" s="517" t="s">
        <v>20</v>
      </c>
      <c r="J4166" s="517" t="s">
        <v>23</v>
      </c>
    </row>
    <row r="4167" spans="1:10" ht="25" x14ac:dyDescent="0.3">
      <c r="A4167" s="642" t="s">
        <v>2432</v>
      </c>
      <c r="B4167" s="643" t="s">
        <v>3373</v>
      </c>
      <c r="C4167" s="642" t="s">
        <v>32</v>
      </c>
      <c r="D4167" s="642" t="s">
        <v>3374</v>
      </c>
      <c r="E4167" s="906" t="s">
        <v>2617</v>
      </c>
      <c r="F4167" s="906"/>
      <c r="G4167" s="644" t="s">
        <v>118</v>
      </c>
      <c r="H4167" s="645">
        <v>1</v>
      </c>
      <c r="I4167" s="646">
        <v>3083.22</v>
      </c>
      <c r="J4167" s="646">
        <v>3083.22</v>
      </c>
    </row>
    <row r="4168" spans="1:10" ht="25" x14ac:dyDescent="0.3">
      <c r="A4168" s="519" t="s">
        <v>2434</v>
      </c>
      <c r="B4168" s="520" t="s">
        <v>2627</v>
      </c>
      <c r="C4168" s="519" t="s">
        <v>32</v>
      </c>
      <c r="D4168" s="519" t="s">
        <v>2628</v>
      </c>
      <c r="E4168" s="905" t="s">
        <v>2433</v>
      </c>
      <c r="F4168" s="905"/>
      <c r="G4168" s="521" t="s">
        <v>1901</v>
      </c>
      <c r="H4168" s="522">
        <v>1.1919999999999999</v>
      </c>
      <c r="I4168" s="523">
        <v>24.12</v>
      </c>
      <c r="J4168" s="523">
        <v>28.75</v>
      </c>
    </row>
    <row r="4169" spans="1:10" ht="25" x14ac:dyDescent="0.3">
      <c r="A4169" s="519" t="s">
        <v>2434</v>
      </c>
      <c r="B4169" s="520" t="s">
        <v>3018</v>
      </c>
      <c r="C4169" s="519" t="s">
        <v>32</v>
      </c>
      <c r="D4169" s="519" t="s">
        <v>3019</v>
      </c>
      <c r="E4169" s="905" t="s">
        <v>2433</v>
      </c>
      <c r="F4169" s="905"/>
      <c r="G4169" s="521" t="s">
        <v>1901</v>
      </c>
      <c r="H4169" s="522">
        <v>5.96</v>
      </c>
      <c r="I4169" s="523">
        <v>29.49</v>
      </c>
      <c r="J4169" s="523">
        <v>175.76</v>
      </c>
    </row>
    <row r="4170" spans="1:10" ht="25" x14ac:dyDescent="0.3">
      <c r="A4170" s="519" t="s">
        <v>2434</v>
      </c>
      <c r="B4170" s="520" t="s">
        <v>2757</v>
      </c>
      <c r="C4170" s="519" t="s">
        <v>32</v>
      </c>
      <c r="D4170" s="519" t="s">
        <v>2758</v>
      </c>
      <c r="E4170" s="905" t="s">
        <v>2433</v>
      </c>
      <c r="F4170" s="905"/>
      <c r="G4170" s="521" t="s">
        <v>1901</v>
      </c>
      <c r="H4170" s="522">
        <v>31.349900000000002</v>
      </c>
      <c r="I4170" s="523">
        <v>31.1</v>
      </c>
      <c r="J4170" s="523">
        <v>974.98</v>
      </c>
    </row>
    <row r="4171" spans="1:10" ht="25" x14ac:dyDescent="0.3">
      <c r="A4171" s="519" t="s">
        <v>2434</v>
      </c>
      <c r="B4171" s="520" t="s">
        <v>2561</v>
      </c>
      <c r="C4171" s="519" t="s">
        <v>32</v>
      </c>
      <c r="D4171" s="519" t="s">
        <v>2562</v>
      </c>
      <c r="E4171" s="905" t="s">
        <v>2433</v>
      </c>
      <c r="F4171" s="905"/>
      <c r="G4171" s="521" t="s">
        <v>1901</v>
      </c>
      <c r="H4171" s="522">
        <v>31.349900000000002</v>
      </c>
      <c r="I4171" s="523">
        <v>23.4</v>
      </c>
      <c r="J4171" s="523">
        <v>733.58</v>
      </c>
    </row>
    <row r="4172" spans="1:10" ht="25.5" customHeight="1" x14ac:dyDescent="0.3">
      <c r="A4172" s="519" t="s">
        <v>2434</v>
      </c>
      <c r="B4172" s="520" t="s">
        <v>2846</v>
      </c>
      <c r="C4172" s="519" t="s">
        <v>32</v>
      </c>
      <c r="D4172" s="519" t="s">
        <v>2847</v>
      </c>
      <c r="E4172" s="905" t="s">
        <v>2465</v>
      </c>
      <c r="F4172" s="905"/>
      <c r="G4172" s="521" t="s">
        <v>103</v>
      </c>
      <c r="H4172" s="522">
        <v>6.6349999999999998</v>
      </c>
      <c r="I4172" s="523">
        <v>1.23</v>
      </c>
      <c r="J4172" s="523">
        <v>8.16</v>
      </c>
    </row>
    <row r="4173" spans="1:10" ht="25.5" customHeight="1" x14ac:dyDescent="0.3">
      <c r="A4173" s="519" t="s">
        <v>2434</v>
      </c>
      <c r="B4173" s="520" t="s">
        <v>2848</v>
      </c>
      <c r="C4173" s="519" t="s">
        <v>32</v>
      </c>
      <c r="D4173" s="519" t="s">
        <v>2849</v>
      </c>
      <c r="E4173" s="905" t="s">
        <v>2465</v>
      </c>
      <c r="F4173" s="905"/>
      <c r="G4173" s="521" t="s">
        <v>110</v>
      </c>
      <c r="H4173" s="522">
        <v>18.091699999999999</v>
      </c>
      <c r="I4173" s="523">
        <v>0.53</v>
      </c>
      <c r="J4173" s="523">
        <v>9.58</v>
      </c>
    </row>
    <row r="4174" spans="1:10" s="358" customFormat="1" ht="25.5" customHeight="1" x14ac:dyDescent="0.3">
      <c r="A4174" s="519" t="s">
        <v>2434</v>
      </c>
      <c r="B4174" s="520" t="s">
        <v>2629</v>
      </c>
      <c r="C4174" s="519" t="s">
        <v>32</v>
      </c>
      <c r="D4174" s="519" t="s">
        <v>2630</v>
      </c>
      <c r="E4174" s="905" t="s">
        <v>2465</v>
      </c>
      <c r="F4174" s="905"/>
      <c r="G4174" s="521" t="s">
        <v>103</v>
      </c>
      <c r="H4174" s="522">
        <v>0.48770000000000002</v>
      </c>
      <c r="I4174" s="523">
        <v>26.94</v>
      </c>
      <c r="J4174" s="523">
        <v>13.13</v>
      </c>
    </row>
    <row r="4175" spans="1:10" ht="25.5" customHeight="1" x14ac:dyDescent="0.3">
      <c r="A4175" s="519" t="s">
        <v>2434</v>
      </c>
      <c r="B4175" s="520" t="s">
        <v>2631</v>
      </c>
      <c r="C4175" s="519" t="s">
        <v>32</v>
      </c>
      <c r="D4175" s="519" t="s">
        <v>2632</v>
      </c>
      <c r="E4175" s="905" t="s">
        <v>2465</v>
      </c>
      <c r="F4175" s="905"/>
      <c r="G4175" s="521" t="s">
        <v>110</v>
      </c>
      <c r="H4175" s="522">
        <v>0.70430000000000004</v>
      </c>
      <c r="I4175" s="523">
        <v>25.9</v>
      </c>
      <c r="J4175" s="523">
        <v>18.239999999999998</v>
      </c>
    </row>
    <row r="4176" spans="1:10" s="358" customFormat="1" ht="25" x14ac:dyDescent="0.3">
      <c r="A4176" s="519" t="s">
        <v>2434</v>
      </c>
      <c r="B4176" s="520" t="s">
        <v>3059</v>
      </c>
      <c r="C4176" s="519" t="s">
        <v>32</v>
      </c>
      <c r="D4176" s="519" t="s">
        <v>3060</v>
      </c>
      <c r="E4176" s="905" t="s">
        <v>2617</v>
      </c>
      <c r="F4176" s="905"/>
      <c r="G4176" s="521" t="s">
        <v>1369</v>
      </c>
      <c r="H4176" s="522">
        <v>27.898800000000001</v>
      </c>
      <c r="I4176" s="523">
        <v>16.54</v>
      </c>
      <c r="J4176" s="523">
        <v>461.44</v>
      </c>
    </row>
    <row r="4177" spans="1:10" ht="37.5" x14ac:dyDescent="0.3">
      <c r="A4177" s="519" t="s">
        <v>2434</v>
      </c>
      <c r="B4177" s="520" t="s">
        <v>176</v>
      </c>
      <c r="C4177" s="519" t="s">
        <v>32</v>
      </c>
      <c r="D4177" s="519" t="s">
        <v>177</v>
      </c>
      <c r="E4177" s="905" t="s">
        <v>2617</v>
      </c>
      <c r="F4177" s="905"/>
      <c r="G4177" s="521" t="s">
        <v>118</v>
      </c>
      <c r="H4177" s="522">
        <v>1.2</v>
      </c>
      <c r="I4177" s="523">
        <v>470.06</v>
      </c>
      <c r="J4177" s="523">
        <v>564.07000000000005</v>
      </c>
    </row>
    <row r="4178" spans="1:10" ht="37.5" x14ac:dyDescent="0.3">
      <c r="A4178" s="519" t="s">
        <v>2437</v>
      </c>
      <c r="B4178" s="520" t="s">
        <v>3061</v>
      </c>
      <c r="C4178" s="519" t="s">
        <v>32</v>
      </c>
      <c r="D4178" s="519" t="s">
        <v>3062</v>
      </c>
      <c r="E4178" s="905" t="s">
        <v>2442</v>
      </c>
      <c r="F4178" s="905"/>
      <c r="G4178" s="521" t="s">
        <v>115</v>
      </c>
      <c r="H4178" s="522">
        <v>1.9403999999999999</v>
      </c>
      <c r="I4178" s="523">
        <v>36.07</v>
      </c>
      <c r="J4178" s="523">
        <v>69.989999999999995</v>
      </c>
    </row>
    <row r="4179" spans="1:10" ht="25" x14ac:dyDescent="0.3">
      <c r="A4179" s="519" t="s">
        <v>2437</v>
      </c>
      <c r="B4179" s="520" t="s">
        <v>2906</v>
      </c>
      <c r="C4179" s="519" t="s">
        <v>32</v>
      </c>
      <c r="D4179" s="519" t="s">
        <v>2907</v>
      </c>
      <c r="E4179" s="905" t="s">
        <v>2442</v>
      </c>
      <c r="F4179" s="905"/>
      <c r="G4179" s="521" t="s">
        <v>2900</v>
      </c>
      <c r="H4179" s="522">
        <v>8.3299999999999999E-2</v>
      </c>
      <c r="I4179" s="523">
        <v>7.96</v>
      </c>
      <c r="J4179" s="523">
        <v>0.66</v>
      </c>
    </row>
    <row r="4180" spans="1:10" ht="25" x14ac:dyDescent="0.3">
      <c r="A4180" s="519" t="s">
        <v>2437</v>
      </c>
      <c r="B4180" s="520" t="s">
        <v>2910</v>
      </c>
      <c r="C4180" s="519" t="s">
        <v>32</v>
      </c>
      <c r="D4180" s="519" t="s">
        <v>2911</v>
      </c>
      <c r="E4180" s="905" t="s">
        <v>2442</v>
      </c>
      <c r="F4180" s="905"/>
      <c r="G4180" s="521" t="s">
        <v>194</v>
      </c>
      <c r="H4180" s="522">
        <v>5.6283000000000003</v>
      </c>
      <c r="I4180" s="523">
        <v>2.72</v>
      </c>
      <c r="J4180" s="523">
        <v>15.3</v>
      </c>
    </row>
    <row r="4181" spans="1:10" ht="25.5" customHeight="1" thickBot="1" x14ac:dyDescent="0.35">
      <c r="A4181" s="519" t="s">
        <v>2437</v>
      </c>
      <c r="B4181" s="520" t="s">
        <v>2794</v>
      </c>
      <c r="C4181" s="519" t="s">
        <v>32</v>
      </c>
      <c r="D4181" s="519" t="s">
        <v>2795</v>
      </c>
      <c r="E4181" s="905" t="s">
        <v>2442</v>
      </c>
      <c r="F4181" s="905"/>
      <c r="G4181" s="521" t="s">
        <v>1369</v>
      </c>
      <c r="H4181" s="522">
        <v>0.4365</v>
      </c>
      <c r="I4181" s="523">
        <v>21.96</v>
      </c>
      <c r="J4181" s="523">
        <v>9.58</v>
      </c>
    </row>
    <row r="4182" spans="1:10" ht="25.5" customHeight="1" thickTop="1" x14ac:dyDescent="0.3">
      <c r="A4182" s="647"/>
      <c r="B4182" s="647"/>
      <c r="C4182" s="647"/>
      <c r="D4182" s="647"/>
      <c r="E4182" s="647"/>
      <c r="F4182" s="647"/>
      <c r="G4182" s="647"/>
      <c r="H4182" s="647"/>
      <c r="I4182" s="647"/>
      <c r="J4182"/>
    </row>
    <row r="4183" spans="1:10" ht="25.5" customHeight="1" x14ac:dyDescent="0.3">
      <c r="A4183" s="516"/>
      <c r="B4183" s="517" t="s">
        <v>15</v>
      </c>
      <c r="C4183" s="516" t="s">
        <v>16</v>
      </c>
      <c r="D4183" s="516" t="s">
        <v>17</v>
      </c>
      <c r="E4183" s="904" t="s">
        <v>2431</v>
      </c>
      <c r="F4183" s="904"/>
      <c r="G4183" s="518" t="s">
        <v>18</v>
      </c>
      <c r="H4183" s="517" t="s">
        <v>19</v>
      </c>
      <c r="I4183" s="517" t="s">
        <v>20</v>
      </c>
      <c r="J4183" s="517" t="s">
        <v>23</v>
      </c>
    </row>
    <row r="4184" spans="1:10" ht="25.5" customHeight="1" x14ac:dyDescent="0.3">
      <c r="A4184" s="642" t="s">
        <v>2432</v>
      </c>
      <c r="B4184" s="643" t="s">
        <v>3020</v>
      </c>
      <c r="C4184" s="642" t="s">
        <v>32</v>
      </c>
      <c r="D4184" s="642" t="s">
        <v>3021</v>
      </c>
      <c r="E4184" s="906" t="s">
        <v>2433</v>
      </c>
      <c r="F4184" s="906"/>
      <c r="G4184" s="644" t="s">
        <v>1901</v>
      </c>
      <c r="H4184" s="645">
        <v>1</v>
      </c>
      <c r="I4184" s="646">
        <v>32.58</v>
      </c>
      <c r="J4184" s="646">
        <v>32.58</v>
      </c>
    </row>
    <row r="4185" spans="1:10" ht="25" x14ac:dyDescent="0.3">
      <c r="A4185" s="519" t="s">
        <v>2434</v>
      </c>
      <c r="B4185" s="520" t="s">
        <v>3566</v>
      </c>
      <c r="C4185" s="519" t="s">
        <v>32</v>
      </c>
      <c r="D4185" s="519" t="s">
        <v>3567</v>
      </c>
      <c r="E4185" s="905" t="s">
        <v>2433</v>
      </c>
      <c r="F4185" s="905"/>
      <c r="G4185" s="521" t="s">
        <v>1901</v>
      </c>
      <c r="H4185" s="522">
        <v>1</v>
      </c>
      <c r="I4185" s="523">
        <v>0.37</v>
      </c>
      <c r="J4185" s="523">
        <v>0.37</v>
      </c>
    </row>
    <row r="4186" spans="1:10" x14ac:dyDescent="0.3">
      <c r="A4186" s="519" t="s">
        <v>2437</v>
      </c>
      <c r="B4186" s="520" t="s">
        <v>3568</v>
      </c>
      <c r="C4186" s="519" t="s">
        <v>32</v>
      </c>
      <c r="D4186" s="519" t="s">
        <v>3569</v>
      </c>
      <c r="E4186" s="905" t="s">
        <v>2440</v>
      </c>
      <c r="F4186" s="905"/>
      <c r="G4186" s="521" t="s">
        <v>1901</v>
      </c>
      <c r="H4186" s="522">
        <v>1</v>
      </c>
      <c r="I4186" s="523">
        <v>21.83</v>
      </c>
      <c r="J4186" s="523">
        <v>21.83</v>
      </c>
    </row>
    <row r="4187" spans="1:10" ht="25" x14ac:dyDescent="0.3">
      <c r="A4187" s="519" t="s">
        <v>2437</v>
      </c>
      <c r="B4187" s="520" t="s">
        <v>3257</v>
      </c>
      <c r="C4187" s="519" t="s">
        <v>32</v>
      </c>
      <c r="D4187" s="519" t="s">
        <v>4306</v>
      </c>
      <c r="E4187" s="905" t="s">
        <v>2856</v>
      </c>
      <c r="F4187" s="905"/>
      <c r="G4187" s="521" t="s">
        <v>1901</v>
      </c>
      <c r="H4187" s="522">
        <v>1</v>
      </c>
      <c r="I4187" s="523">
        <v>3.8</v>
      </c>
      <c r="J4187" s="523">
        <v>3.8</v>
      </c>
    </row>
    <row r="4188" spans="1:10" ht="25" x14ac:dyDescent="0.3">
      <c r="A4188" s="519" t="s">
        <v>2437</v>
      </c>
      <c r="B4188" s="520" t="s">
        <v>3258</v>
      </c>
      <c r="C4188" s="519" t="s">
        <v>32</v>
      </c>
      <c r="D4188" s="519" t="s">
        <v>4307</v>
      </c>
      <c r="E4188" s="905" t="s">
        <v>3259</v>
      </c>
      <c r="F4188" s="905"/>
      <c r="G4188" s="521" t="s">
        <v>1901</v>
      </c>
      <c r="H4188" s="522">
        <v>1</v>
      </c>
      <c r="I4188" s="523">
        <v>1.5</v>
      </c>
      <c r="J4188" s="523">
        <v>1.5</v>
      </c>
    </row>
    <row r="4189" spans="1:10" ht="25" x14ac:dyDescent="0.3">
      <c r="A4189" s="519" t="s">
        <v>2437</v>
      </c>
      <c r="B4189" s="520" t="s">
        <v>3260</v>
      </c>
      <c r="C4189" s="519" t="s">
        <v>32</v>
      </c>
      <c r="D4189" s="519" t="s">
        <v>4308</v>
      </c>
      <c r="E4189" s="905" t="s">
        <v>2856</v>
      </c>
      <c r="F4189" s="905"/>
      <c r="G4189" s="521" t="s">
        <v>1901</v>
      </c>
      <c r="H4189" s="522">
        <v>1</v>
      </c>
      <c r="I4189" s="523">
        <v>1.34</v>
      </c>
      <c r="J4189" s="523">
        <v>1.34</v>
      </c>
    </row>
    <row r="4190" spans="1:10" ht="25" x14ac:dyDescent="0.3">
      <c r="A4190" s="519" t="s">
        <v>2437</v>
      </c>
      <c r="B4190" s="520" t="s">
        <v>3261</v>
      </c>
      <c r="C4190" s="519" t="s">
        <v>32</v>
      </c>
      <c r="D4190" s="519" t="s">
        <v>4309</v>
      </c>
      <c r="E4190" s="905" t="s">
        <v>2535</v>
      </c>
      <c r="F4190" s="905"/>
      <c r="G4190" s="521" t="s">
        <v>1901</v>
      </c>
      <c r="H4190" s="522">
        <v>1</v>
      </c>
      <c r="I4190" s="523">
        <v>0.04</v>
      </c>
      <c r="J4190" s="523">
        <v>0.04</v>
      </c>
    </row>
    <row r="4191" spans="1:10" s="358" customFormat="1" ht="25" x14ac:dyDescent="0.3">
      <c r="A4191" s="519" t="s">
        <v>2437</v>
      </c>
      <c r="B4191" s="520" t="s">
        <v>3842</v>
      </c>
      <c r="C4191" s="519" t="s">
        <v>32</v>
      </c>
      <c r="D4191" s="519" t="s">
        <v>3843</v>
      </c>
      <c r="E4191" s="905" t="s">
        <v>2446</v>
      </c>
      <c r="F4191" s="905"/>
      <c r="G4191" s="521" t="s">
        <v>1901</v>
      </c>
      <c r="H4191" s="522">
        <v>1</v>
      </c>
      <c r="I4191" s="523">
        <v>1.97</v>
      </c>
      <c r="J4191" s="523">
        <v>1.97</v>
      </c>
    </row>
    <row r="4192" spans="1:10" ht="25.5" thickBot="1" x14ac:dyDescent="0.35">
      <c r="A4192" s="519" t="s">
        <v>2437</v>
      </c>
      <c r="B4192" s="520" t="s">
        <v>3844</v>
      </c>
      <c r="C4192" s="519" t="s">
        <v>32</v>
      </c>
      <c r="D4192" s="519" t="s">
        <v>3845</v>
      </c>
      <c r="E4192" s="905" t="s">
        <v>2446</v>
      </c>
      <c r="F4192" s="905"/>
      <c r="G4192" s="521" t="s">
        <v>1901</v>
      </c>
      <c r="H4192" s="522">
        <v>1</v>
      </c>
      <c r="I4192" s="523">
        <v>1.73</v>
      </c>
      <c r="J4192" s="523">
        <v>1.73</v>
      </c>
    </row>
    <row r="4193" spans="1:10" s="358" customFormat="1" ht="14.5" thickTop="1" x14ac:dyDescent="0.3">
      <c r="A4193" s="647"/>
      <c r="B4193" s="647"/>
      <c r="C4193" s="647"/>
      <c r="D4193" s="647"/>
      <c r="E4193" s="647"/>
      <c r="F4193" s="647"/>
      <c r="G4193" s="647"/>
      <c r="H4193" s="647"/>
      <c r="I4193" s="647"/>
      <c r="J4193"/>
    </row>
    <row r="4194" spans="1:10" x14ac:dyDescent="0.3">
      <c r="A4194" s="516"/>
      <c r="B4194" s="517" t="s">
        <v>15</v>
      </c>
      <c r="C4194" s="516" t="s">
        <v>16</v>
      </c>
      <c r="D4194" s="516" t="s">
        <v>17</v>
      </c>
      <c r="E4194" s="904" t="s">
        <v>2431</v>
      </c>
      <c r="F4194" s="904"/>
      <c r="G4194" s="518" t="s">
        <v>18</v>
      </c>
      <c r="H4194" s="517" t="s">
        <v>19</v>
      </c>
      <c r="I4194" s="517" t="s">
        <v>20</v>
      </c>
      <c r="J4194" s="517" t="s">
        <v>23</v>
      </c>
    </row>
    <row r="4195" spans="1:10" ht="37.5" x14ac:dyDescent="0.3">
      <c r="A4195" s="642" t="s">
        <v>2432</v>
      </c>
      <c r="B4195" s="643" t="s">
        <v>3206</v>
      </c>
      <c r="C4195" s="642" t="s">
        <v>32</v>
      </c>
      <c r="D4195" s="642" t="s">
        <v>3207</v>
      </c>
      <c r="E4195" s="906" t="s">
        <v>2663</v>
      </c>
      <c r="F4195" s="906"/>
      <c r="G4195" s="644" t="s">
        <v>115</v>
      </c>
      <c r="H4195" s="645">
        <v>1</v>
      </c>
      <c r="I4195" s="646">
        <v>27.55</v>
      </c>
      <c r="J4195" s="646">
        <v>27.55</v>
      </c>
    </row>
    <row r="4196" spans="1:10" ht="25" x14ac:dyDescent="0.3">
      <c r="A4196" s="519" t="s">
        <v>2434</v>
      </c>
      <c r="B4196" s="520" t="s">
        <v>3020</v>
      </c>
      <c r="C4196" s="519" t="s">
        <v>32</v>
      </c>
      <c r="D4196" s="519" t="s">
        <v>3021</v>
      </c>
      <c r="E4196" s="905" t="s">
        <v>2433</v>
      </c>
      <c r="F4196" s="905"/>
      <c r="G4196" s="521" t="s">
        <v>1901</v>
      </c>
      <c r="H4196" s="522">
        <v>0.67789999999999995</v>
      </c>
      <c r="I4196" s="523">
        <v>32.58</v>
      </c>
      <c r="J4196" s="523">
        <v>22.08</v>
      </c>
    </row>
    <row r="4197" spans="1:10" x14ac:dyDescent="0.3">
      <c r="A4197" s="519" t="s">
        <v>2437</v>
      </c>
      <c r="B4197" s="520" t="s">
        <v>3846</v>
      </c>
      <c r="C4197" s="519" t="s">
        <v>32</v>
      </c>
      <c r="D4197" s="519" t="s">
        <v>3847</v>
      </c>
      <c r="E4197" s="905" t="s">
        <v>2442</v>
      </c>
      <c r="F4197" s="905"/>
      <c r="G4197" s="521" t="s">
        <v>2900</v>
      </c>
      <c r="H4197" s="522">
        <v>1.0999999999999999E-2</v>
      </c>
      <c r="I4197" s="523">
        <v>19.8</v>
      </c>
      <c r="J4197" s="523">
        <v>0.21</v>
      </c>
    </row>
    <row r="4198" spans="1:10" ht="25.5" customHeight="1" thickBot="1" x14ac:dyDescent="0.35">
      <c r="A4198" s="519" t="s">
        <v>2437</v>
      </c>
      <c r="B4198" s="520" t="s">
        <v>3848</v>
      </c>
      <c r="C4198" s="519" t="s">
        <v>32</v>
      </c>
      <c r="D4198" s="519" t="s">
        <v>3849</v>
      </c>
      <c r="E4198" s="905" t="s">
        <v>2442</v>
      </c>
      <c r="F4198" s="905"/>
      <c r="G4198" s="521" t="s">
        <v>2900</v>
      </c>
      <c r="H4198" s="522">
        <v>0.10979999999999999</v>
      </c>
      <c r="I4198" s="523">
        <v>47.91</v>
      </c>
      <c r="J4198" s="523">
        <v>5.26</v>
      </c>
    </row>
    <row r="4199" spans="1:10" ht="25.5" customHeight="1" thickTop="1" x14ac:dyDescent="0.3">
      <c r="A4199" s="647"/>
      <c r="B4199" s="647"/>
      <c r="C4199" s="647"/>
      <c r="D4199" s="647"/>
      <c r="E4199" s="647"/>
      <c r="F4199" s="647"/>
      <c r="G4199" s="647"/>
      <c r="H4199" s="647"/>
      <c r="I4199" s="647"/>
      <c r="J4199"/>
    </row>
    <row r="4200" spans="1:10" ht="25.5" customHeight="1" x14ac:dyDescent="0.3">
      <c r="A4200" s="516"/>
      <c r="B4200" s="517" t="s">
        <v>15</v>
      </c>
      <c r="C4200" s="516" t="s">
        <v>16</v>
      </c>
      <c r="D4200" s="516" t="s">
        <v>17</v>
      </c>
      <c r="E4200" s="904" t="s">
        <v>2431</v>
      </c>
      <c r="F4200" s="904"/>
      <c r="G4200" s="518" t="s">
        <v>18</v>
      </c>
      <c r="H4200" s="517" t="s">
        <v>19</v>
      </c>
      <c r="I4200" s="517" t="s">
        <v>20</v>
      </c>
      <c r="J4200" s="517" t="s">
        <v>23</v>
      </c>
    </row>
    <row r="4201" spans="1:10" ht="25.5" customHeight="1" x14ac:dyDescent="0.3">
      <c r="A4201" s="642" t="s">
        <v>2432</v>
      </c>
      <c r="B4201" s="643" t="s">
        <v>3204</v>
      </c>
      <c r="C4201" s="642" t="s">
        <v>32</v>
      </c>
      <c r="D4201" s="642" t="s">
        <v>3205</v>
      </c>
      <c r="E4201" s="906" t="s">
        <v>2663</v>
      </c>
      <c r="F4201" s="906"/>
      <c r="G4201" s="644" t="s">
        <v>115</v>
      </c>
      <c r="H4201" s="645">
        <v>1</v>
      </c>
      <c r="I4201" s="646">
        <v>31.15</v>
      </c>
      <c r="J4201" s="646">
        <v>31.15</v>
      </c>
    </row>
    <row r="4202" spans="1:10" ht="25" x14ac:dyDescent="0.3">
      <c r="A4202" s="519" t="s">
        <v>2434</v>
      </c>
      <c r="B4202" s="520" t="s">
        <v>3020</v>
      </c>
      <c r="C4202" s="519" t="s">
        <v>32</v>
      </c>
      <c r="D4202" s="519" t="s">
        <v>3021</v>
      </c>
      <c r="E4202" s="905" t="s">
        <v>2433</v>
      </c>
      <c r="F4202" s="905"/>
      <c r="G4202" s="521" t="s">
        <v>1901</v>
      </c>
      <c r="H4202" s="522">
        <v>0.67789999999999995</v>
      </c>
      <c r="I4202" s="523">
        <v>32.58</v>
      </c>
      <c r="J4202" s="523">
        <v>22.08</v>
      </c>
    </row>
    <row r="4203" spans="1:10" x14ac:dyDescent="0.3">
      <c r="A4203" s="519" t="s">
        <v>2437</v>
      </c>
      <c r="B4203" s="520" t="s">
        <v>3846</v>
      </c>
      <c r="C4203" s="519" t="s">
        <v>32</v>
      </c>
      <c r="D4203" s="519" t="s">
        <v>3847</v>
      </c>
      <c r="E4203" s="905" t="s">
        <v>2442</v>
      </c>
      <c r="F4203" s="905"/>
      <c r="G4203" s="521" t="s">
        <v>2900</v>
      </c>
      <c r="H4203" s="522">
        <v>1.78E-2</v>
      </c>
      <c r="I4203" s="523">
        <v>19.8</v>
      </c>
      <c r="J4203" s="523">
        <v>0.35</v>
      </c>
    </row>
    <row r="4204" spans="1:10" ht="25.5" thickBot="1" x14ac:dyDescent="0.35">
      <c r="A4204" s="519" t="s">
        <v>2437</v>
      </c>
      <c r="B4204" s="520" t="s">
        <v>3850</v>
      </c>
      <c r="C4204" s="519" t="s">
        <v>32</v>
      </c>
      <c r="D4204" s="519" t="s">
        <v>3851</v>
      </c>
      <c r="E4204" s="905" t="s">
        <v>2442</v>
      </c>
      <c r="F4204" s="905"/>
      <c r="G4204" s="521" t="s">
        <v>2900</v>
      </c>
      <c r="H4204" s="522">
        <v>0.17760000000000001</v>
      </c>
      <c r="I4204" s="523">
        <v>49.14</v>
      </c>
      <c r="J4204" s="523">
        <v>8.7200000000000006</v>
      </c>
    </row>
    <row r="4205" spans="1:10" ht="14.5" thickTop="1" x14ac:dyDescent="0.3">
      <c r="A4205" s="647"/>
      <c r="B4205" s="647"/>
      <c r="C4205" s="647"/>
      <c r="D4205" s="647"/>
      <c r="E4205" s="647"/>
      <c r="F4205" s="647"/>
      <c r="G4205" s="647"/>
      <c r="H4205" s="647"/>
      <c r="I4205" s="647"/>
      <c r="J4205"/>
    </row>
    <row r="4206" spans="1:10" x14ac:dyDescent="0.3">
      <c r="A4206" s="516"/>
      <c r="B4206" s="517" t="s">
        <v>15</v>
      </c>
      <c r="C4206" s="516" t="s">
        <v>16</v>
      </c>
      <c r="D4206" s="516" t="s">
        <v>17</v>
      </c>
      <c r="E4206" s="904" t="s">
        <v>2431</v>
      </c>
      <c r="F4206" s="904"/>
      <c r="G4206" s="518" t="s">
        <v>18</v>
      </c>
      <c r="H4206" s="517" t="s">
        <v>19</v>
      </c>
      <c r="I4206" s="517" t="s">
        <v>20</v>
      </c>
      <c r="J4206" s="517" t="s">
        <v>23</v>
      </c>
    </row>
    <row r="4207" spans="1:10" ht="25" x14ac:dyDescent="0.3">
      <c r="A4207" s="642" t="s">
        <v>2432</v>
      </c>
      <c r="B4207" s="643" t="s">
        <v>2662</v>
      </c>
      <c r="C4207" s="642" t="s">
        <v>32</v>
      </c>
      <c r="D4207" s="642" t="s">
        <v>4256</v>
      </c>
      <c r="E4207" s="906" t="s">
        <v>2663</v>
      </c>
      <c r="F4207" s="906"/>
      <c r="G4207" s="644" t="s">
        <v>115</v>
      </c>
      <c r="H4207" s="645">
        <v>1</v>
      </c>
      <c r="I4207" s="646">
        <v>13.83</v>
      </c>
      <c r="J4207" s="646">
        <v>13.83</v>
      </c>
    </row>
    <row r="4208" spans="1:10" s="358" customFormat="1" ht="25" x14ac:dyDescent="0.3">
      <c r="A4208" s="519" t="s">
        <v>2434</v>
      </c>
      <c r="B4208" s="520" t="s">
        <v>3020</v>
      </c>
      <c r="C4208" s="519" t="s">
        <v>32</v>
      </c>
      <c r="D4208" s="519" t="s">
        <v>3021</v>
      </c>
      <c r="E4208" s="905" t="s">
        <v>2433</v>
      </c>
      <c r="F4208" s="905"/>
      <c r="G4208" s="521" t="s">
        <v>1901</v>
      </c>
      <c r="H4208" s="522">
        <v>0.16309999999999999</v>
      </c>
      <c r="I4208" s="523">
        <v>32.58</v>
      </c>
      <c r="J4208" s="523">
        <v>5.31</v>
      </c>
    </row>
    <row r="4209" spans="1:10" ht="25" x14ac:dyDescent="0.3">
      <c r="A4209" s="519" t="s">
        <v>2434</v>
      </c>
      <c r="B4209" s="520" t="s">
        <v>2561</v>
      </c>
      <c r="C4209" s="519" t="s">
        <v>32</v>
      </c>
      <c r="D4209" s="519" t="s">
        <v>2562</v>
      </c>
      <c r="E4209" s="905" t="s">
        <v>2433</v>
      </c>
      <c r="F4209" s="905"/>
      <c r="G4209" s="521" t="s">
        <v>1901</v>
      </c>
      <c r="H4209" s="522">
        <v>5.4399999999999997E-2</v>
      </c>
      <c r="I4209" s="523">
        <v>23.4</v>
      </c>
      <c r="J4209" s="523">
        <v>1.27</v>
      </c>
    </row>
    <row r="4210" spans="1:10" s="358" customFormat="1" ht="14.5" thickBot="1" x14ac:dyDescent="0.35">
      <c r="A4210" s="519" t="s">
        <v>2437</v>
      </c>
      <c r="B4210" s="520" t="s">
        <v>3284</v>
      </c>
      <c r="C4210" s="519" t="s">
        <v>32</v>
      </c>
      <c r="D4210" s="519" t="s">
        <v>3285</v>
      </c>
      <c r="E4210" s="905" t="s">
        <v>2442</v>
      </c>
      <c r="F4210" s="905"/>
      <c r="G4210" s="521" t="s">
        <v>2900</v>
      </c>
      <c r="H4210" s="522">
        <v>0.22850000000000001</v>
      </c>
      <c r="I4210" s="523">
        <v>31.77</v>
      </c>
      <c r="J4210" s="523">
        <v>7.25</v>
      </c>
    </row>
    <row r="4211" spans="1:10" ht="14.5" thickTop="1" x14ac:dyDescent="0.3">
      <c r="A4211" s="647"/>
      <c r="B4211" s="647"/>
      <c r="C4211" s="647"/>
      <c r="D4211" s="647"/>
      <c r="E4211" s="647"/>
      <c r="F4211" s="647"/>
      <c r="G4211" s="647"/>
      <c r="H4211" s="647"/>
      <c r="I4211" s="647"/>
      <c r="J4211"/>
    </row>
    <row r="4212" spans="1:10" x14ac:dyDescent="0.3">
      <c r="A4212" s="516"/>
      <c r="B4212" s="517" t="s">
        <v>15</v>
      </c>
      <c r="C4212" s="516" t="s">
        <v>16</v>
      </c>
      <c r="D4212" s="516" t="s">
        <v>17</v>
      </c>
      <c r="E4212" s="904" t="s">
        <v>2431</v>
      </c>
      <c r="F4212" s="904"/>
      <c r="G4212" s="518" t="s">
        <v>18</v>
      </c>
      <c r="H4212" s="517" t="s">
        <v>19</v>
      </c>
      <c r="I4212" s="517" t="s">
        <v>20</v>
      </c>
      <c r="J4212" s="517" t="s">
        <v>23</v>
      </c>
    </row>
    <row r="4213" spans="1:10" ht="38.25" customHeight="1" x14ac:dyDescent="0.3">
      <c r="A4213" s="642" t="s">
        <v>2432</v>
      </c>
      <c r="B4213" s="643" t="s">
        <v>3004</v>
      </c>
      <c r="C4213" s="642" t="s">
        <v>32</v>
      </c>
      <c r="D4213" s="642" t="s">
        <v>3005</v>
      </c>
      <c r="E4213" s="906" t="s">
        <v>2465</v>
      </c>
      <c r="F4213" s="906"/>
      <c r="G4213" s="644" t="s">
        <v>103</v>
      </c>
      <c r="H4213" s="645">
        <v>1</v>
      </c>
      <c r="I4213" s="646">
        <v>9.27</v>
      </c>
      <c r="J4213" s="646">
        <v>9.27</v>
      </c>
    </row>
    <row r="4214" spans="1:10" ht="38.25" customHeight="1" x14ac:dyDescent="0.3">
      <c r="A4214" s="519" t="s">
        <v>2434</v>
      </c>
      <c r="B4214" s="520" t="s">
        <v>3852</v>
      </c>
      <c r="C4214" s="519" t="s">
        <v>32</v>
      </c>
      <c r="D4214" s="519" t="s">
        <v>3853</v>
      </c>
      <c r="E4214" s="905" t="s">
        <v>2465</v>
      </c>
      <c r="F4214" s="905"/>
      <c r="G4214" s="521" t="s">
        <v>1901</v>
      </c>
      <c r="H4214" s="522">
        <v>1</v>
      </c>
      <c r="I4214" s="523">
        <v>0.6</v>
      </c>
      <c r="J4214" s="523">
        <v>0.6</v>
      </c>
    </row>
    <row r="4215" spans="1:10" ht="38.25" customHeight="1" x14ac:dyDescent="0.3">
      <c r="A4215" s="519" t="s">
        <v>2434</v>
      </c>
      <c r="B4215" s="520" t="s">
        <v>3854</v>
      </c>
      <c r="C4215" s="519" t="s">
        <v>32</v>
      </c>
      <c r="D4215" s="519" t="s">
        <v>3855</v>
      </c>
      <c r="E4215" s="905" t="s">
        <v>2465</v>
      </c>
      <c r="F4215" s="905"/>
      <c r="G4215" s="521" t="s">
        <v>1901</v>
      </c>
      <c r="H4215" s="522">
        <v>1</v>
      </c>
      <c r="I4215" s="523">
        <v>0.16</v>
      </c>
      <c r="J4215" s="523">
        <v>0.16</v>
      </c>
    </row>
    <row r="4216" spans="1:10" ht="38.25" customHeight="1" x14ac:dyDescent="0.3">
      <c r="A4216" s="519" t="s">
        <v>2434</v>
      </c>
      <c r="B4216" s="520" t="s">
        <v>3856</v>
      </c>
      <c r="C4216" s="519" t="s">
        <v>32</v>
      </c>
      <c r="D4216" s="519" t="s">
        <v>3857</v>
      </c>
      <c r="E4216" s="905" t="s">
        <v>2465</v>
      </c>
      <c r="F4216" s="905"/>
      <c r="G4216" s="521" t="s">
        <v>1901</v>
      </c>
      <c r="H4216" s="522">
        <v>1</v>
      </c>
      <c r="I4216" s="523">
        <v>0.75</v>
      </c>
      <c r="J4216" s="523">
        <v>0.75</v>
      </c>
    </row>
    <row r="4217" spans="1:10" ht="39" customHeight="1" thickBot="1" x14ac:dyDescent="0.35">
      <c r="A4217" s="519" t="s">
        <v>2434</v>
      </c>
      <c r="B4217" s="520" t="s">
        <v>3858</v>
      </c>
      <c r="C4217" s="519" t="s">
        <v>32</v>
      </c>
      <c r="D4217" s="519" t="s">
        <v>3859</v>
      </c>
      <c r="E4217" s="905" t="s">
        <v>2465</v>
      </c>
      <c r="F4217" s="905"/>
      <c r="G4217" s="521" t="s">
        <v>1901</v>
      </c>
      <c r="H4217" s="522">
        <v>1</v>
      </c>
      <c r="I4217" s="523">
        <v>7.76</v>
      </c>
      <c r="J4217" s="523">
        <v>7.76</v>
      </c>
    </row>
    <row r="4218" spans="1:10" ht="14.5" thickTop="1" x14ac:dyDescent="0.3">
      <c r="A4218" s="647"/>
      <c r="B4218" s="647"/>
      <c r="C4218" s="647"/>
      <c r="D4218" s="647"/>
      <c r="E4218" s="647"/>
      <c r="F4218" s="647"/>
      <c r="G4218" s="647"/>
      <c r="H4218" s="647"/>
      <c r="I4218" s="647"/>
      <c r="J4218"/>
    </row>
    <row r="4219" spans="1:10" s="358" customFormat="1" x14ac:dyDescent="0.3">
      <c r="A4219" s="516"/>
      <c r="B4219" s="517" t="s">
        <v>15</v>
      </c>
      <c r="C4219" s="516" t="s">
        <v>16</v>
      </c>
      <c r="D4219" s="516" t="s">
        <v>17</v>
      </c>
      <c r="E4219" s="904" t="s">
        <v>2431</v>
      </c>
      <c r="F4219" s="904"/>
      <c r="G4219" s="518" t="s">
        <v>18</v>
      </c>
      <c r="H4219" s="517" t="s">
        <v>19</v>
      </c>
      <c r="I4219" s="517" t="s">
        <v>20</v>
      </c>
      <c r="J4219" s="517" t="s">
        <v>23</v>
      </c>
    </row>
    <row r="4220" spans="1:10" ht="38.25" customHeight="1" x14ac:dyDescent="0.3">
      <c r="A4220" s="642" t="s">
        <v>2432</v>
      </c>
      <c r="B4220" s="643" t="s">
        <v>3852</v>
      </c>
      <c r="C4220" s="642" t="s">
        <v>32</v>
      </c>
      <c r="D4220" s="642" t="s">
        <v>3853</v>
      </c>
      <c r="E4220" s="906" t="s">
        <v>2465</v>
      </c>
      <c r="F4220" s="906"/>
      <c r="G4220" s="644" t="s">
        <v>1901</v>
      </c>
      <c r="H4220" s="645">
        <v>1</v>
      </c>
      <c r="I4220" s="646">
        <v>0.6</v>
      </c>
      <c r="J4220" s="646">
        <v>0.6</v>
      </c>
    </row>
    <row r="4221" spans="1:10" s="358" customFormat="1" ht="50.5" thickBot="1" x14ac:dyDescent="0.35">
      <c r="A4221" s="519" t="s">
        <v>2437</v>
      </c>
      <c r="B4221" s="520" t="s">
        <v>3860</v>
      </c>
      <c r="C4221" s="519" t="s">
        <v>32</v>
      </c>
      <c r="D4221" s="519" t="s">
        <v>4366</v>
      </c>
      <c r="E4221" s="905" t="s">
        <v>2446</v>
      </c>
      <c r="F4221" s="905"/>
      <c r="G4221" s="521" t="s">
        <v>89</v>
      </c>
      <c r="H4221" s="522">
        <v>5.3300000000000001E-5</v>
      </c>
      <c r="I4221" s="523">
        <v>11291.17</v>
      </c>
      <c r="J4221" s="523">
        <v>0.6</v>
      </c>
    </row>
    <row r="4222" spans="1:10" ht="14.5" thickTop="1" x14ac:dyDescent="0.3">
      <c r="A4222" s="647"/>
      <c r="B4222" s="647"/>
      <c r="C4222" s="647"/>
      <c r="D4222" s="647"/>
      <c r="E4222" s="647"/>
      <c r="F4222" s="647"/>
      <c r="G4222" s="647"/>
      <c r="H4222" s="647"/>
      <c r="I4222" s="647"/>
      <c r="J4222"/>
    </row>
    <row r="4223" spans="1:10" x14ac:dyDescent="0.3">
      <c r="A4223" s="516"/>
      <c r="B4223" s="517" t="s">
        <v>15</v>
      </c>
      <c r="C4223" s="516" t="s">
        <v>16</v>
      </c>
      <c r="D4223" s="516" t="s">
        <v>17</v>
      </c>
      <c r="E4223" s="904" t="s">
        <v>2431</v>
      </c>
      <c r="F4223" s="904"/>
      <c r="G4223" s="518" t="s">
        <v>18</v>
      </c>
      <c r="H4223" s="517" t="s">
        <v>19</v>
      </c>
      <c r="I4223" s="517" t="s">
        <v>20</v>
      </c>
      <c r="J4223" s="517" t="s">
        <v>23</v>
      </c>
    </row>
    <row r="4224" spans="1:10" ht="38.25" customHeight="1" x14ac:dyDescent="0.3">
      <c r="A4224" s="642" t="s">
        <v>2432</v>
      </c>
      <c r="B4224" s="643" t="s">
        <v>3854</v>
      </c>
      <c r="C4224" s="642" t="s">
        <v>32</v>
      </c>
      <c r="D4224" s="642" t="s">
        <v>3855</v>
      </c>
      <c r="E4224" s="906" t="s">
        <v>2465</v>
      </c>
      <c r="F4224" s="906"/>
      <c r="G4224" s="644" t="s">
        <v>1901</v>
      </c>
      <c r="H4224" s="645">
        <v>1</v>
      </c>
      <c r="I4224" s="646">
        <v>0.16</v>
      </c>
      <c r="J4224" s="646">
        <v>0.16</v>
      </c>
    </row>
    <row r="4225" spans="1:10" s="358" customFormat="1" ht="50.5" thickBot="1" x14ac:dyDescent="0.35">
      <c r="A4225" s="519" t="s">
        <v>2437</v>
      </c>
      <c r="B4225" s="520" t="s">
        <v>3860</v>
      </c>
      <c r="C4225" s="519" t="s">
        <v>32</v>
      </c>
      <c r="D4225" s="519" t="s">
        <v>4366</v>
      </c>
      <c r="E4225" s="905" t="s">
        <v>2446</v>
      </c>
      <c r="F4225" s="905"/>
      <c r="G4225" s="521" t="s">
        <v>89</v>
      </c>
      <c r="H4225" s="522">
        <v>1.43E-5</v>
      </c>
      <c r="I4225" s="523">
        <v>11291.17</v>
      </c>
      <c r="J4225" s="523">
        <v>0.16</v>
      </c>
    </row>
    <row r="4226" spans="1:10" ht="14.5" thickTop="1" x14ac:dyDescent="0.3">
      <c r="A4226" s="647"/>
      <c r="B4226" s="647"/>
      <c r="C4226" s="647"/>
      <c r="D4226" s="647"/>
      <c r="E4226" s="647"/>
      <c r="F4226" s="647"/>
      <c r="G4226" s="647"/>
      <c r="H4226" s="647"/>
      <c r="I4226" s="647"/>
      <c r="J4226"/>
    </row>
    <row r="4227" spans="1:10" s="358" customFormat="1" x14ac:dyDescent="0.3">
      <c r="A4227" s="516"/>
      <c r="B4227" s="517" t="s">
        <v>15</v>
      </c>
      <c r="C4227" s="516" t="s">
        <v>16</v>
      </c>
      <c r="D4227" s="516" t="s">
        <v>17</v>
      </c>
      <c r="E4227" s="904" t="s">
        <v>2431</v>
      </c>
      <c r="F4227" s="904"/>
      <c r="G4227" s="518" t="s">
        <v>18</v>
      </c>
      <c r="H4227" s="517" t="s">
        <v>19</v>
      </c>
      <c r="I4227" s="517" t="s">
        <v>20</v>
      </c>
      <c r="J4227" s="517" t="s">
        <v>23</v>
      </c>
    </row>
    <row r="4228" spans="1:10" ht="38.25" customHeight="1" x14ac:dyDescent="0.3">
      <c r="A4228" s="642" t="s">
        <v>2432</v>
      </c>
      <c r="B4228" s="643" t="s">
        <v>3856</v>
      </c>
      <c r="C4228" s="642" t="s">
        <v>32</v>
      </c>
      <c r="D4228" s="642" t="s">
        <v>3857</v>
      </c>
      <c r="E4228" s="906" t="s">
        <v>2465</v>
      </c>
      <c r="F4228" s="906"/>
      <c r="G4228" s="644" t="s">
        <v>1901</v>
      </c>
      <c r="H4228" s="645">
        <v>1</v>
      </c>
      <c r="I4228" s="646">
        <v>0.75</v>
      </c>
      <c r="J4228" s="646">
        <v>0.75</v>
      </c>
    </row>
    <row r="4229" spans="1:10" ht="50.5" thickBot="1" x14ac:dyDescent="0.35">
      <c r="A4229" s="519" t="s">
        <v>2437</v>
      </c>
      <c r="B4229" s="520" t="s">
        <v>3860</v>
      </c>
      <c r="C4229" s="519" t="s">
        <v>32</v>
      </c>
      <c r="D4229" s="519" t="s">
        <v>4366</v>
      </c>
      <c r="E4229" s="905" t="s">
        <v>2446</v>
      </c>
      <c r="F4229" s="905"/>
      <c r="G4229" s="521" t="s">
        <v>89</v>
      </c>
      <c r="H4229" s="522">
        <v>6.6699999999999995E-5</v>
      </c>
      <c r="I4229" s="523">
        <v>11291.17</v>
      </c>
      <c r="J4229" s="523">
        <v>0.75</v>
      </c>
    </row>
    <row r="4230" spans="1:10" ht="14.5" thickTop="1" x14ac:dyDescent="0.3">
      <c r="A4230" s="647"/>
      <c r="B4230" s="647"/>
      <c r="C4230" s="647"/>
      <c r="D4230" s="647"/>
      <c r="E4230" s="647"/>
      <c r="F4230" s="647"/>
      <c r="G4230" s="647"/>
      <c r="H4230" s="647"/>
      <c r="I4230" s="647"/>
      <c r="J4230"/>
    </row>
    <row r="4231" spans="1:10" s="358" customFormat="1" x14ac:dyDescent="0.3">
      <c r="A4231" s="516"/>
      <c r="B4231" s="517" t="s">
        <v>15</v>
      </c>
      <c r="C4231" s="516" t="s">
        <v>16</v>
      </c>
      <c r="D4231" s="516" t="s">
        <v>17</v>
      </c>
      <c r="E4231" s="904" t="s">
        <v>2431</v>
      </c>
      <c r="F4231" s="904"/>
      <c r="G4231" s="518" t="s">
        <v>18</v>
      </c>
      <c r="H4231" s="517" t="s">
        <v>19</v>
      </c>
      <c r="I4231" s="517" t="s">
        <v>20</v>
      </c>
      <c r="J4231" s="517" t="s">
        <v>23</v>
      </c>
    </row>
    <row r="4232" spans="1:10" ht="38.25" customHeight="1" x14ac:dyDescent="0.3">
      <c r="A4232" s="642" t="s">
        <v>2432</v>
      </c>
      <c r="B4232" s="643" t="s">
        <v>3858</v>
      </c>
      <c r="C4232" s="642" t="s">
        <v>32</v>
      </c>
      <c r="D4232" s="642" t="s">
        <v>3859</v>
      </c>
      <c r="E4232" s="906" t="s">
        <v>2465</v>
      </c>
      <c r="F4232" s="906"/>
      <c r="G4232" s="644" t="s">
        <v>1901</v>
      </c>
      <c r="H4232" s="645">
        <v>1</v>
      </c>
      <c r="I4232" s="646">
        <v>7.76</v>
      </c>
      <c r="J4232" s="646">
        <v>7.76</v>
      </c>
    </row>
    <row r="4233" spans="1:10" s="358" customFormat="1" ht="14.5" thickBot="1" x14ac:dyDescent="0.35">
      <c r="A4233" s="519" t="s">
        <v>2437</v>
      </c>
      <c r="B4233" s="520" t="s">
        <v>4340</v>
      </c>
      <c r="C4233" s="519" t="s">
        <v>125</v>
      </c>
      <c r="D4233" s="519" t="s">
        <v>4527</v>
      </c>
      <c r="E4233" s="905" t="s">
        <v>2442</v>
      </c>
      <c r="F4233" s="905"/>
      <c r="G4233" s="521" t="s">
        <v>2829</v>
      </c>
      <c r="H4233" s="522">
        <v>1.44</v>
      </c>
      <c r="I4233" s="523">
        <v>5.3951000000000002</v>
      </c>
      <c r="J4233" s="523">
        <v>7.76</v>
      </c>
    </row>
    <row r="4234" spans="1:10" ht="14.5" thickTop="1" x14ac:dyDescent="0.3">
      <c r="A4234" s="647"/>
      <c r="B4234" s="647"/>
      <c r="C4234" s="647"/>
      <c r="D4234" s="647"/>
      <c r="E4234" s="647"/>
      <c r="F4234" s="647"/>
      <c r="G4234" s="647"/>
      <c r="H4234" s="647"/>
      <c r="I4234" s="647"/>
      <c r="J4234"/>
    </row>
    <row r="4235" spans="1:10" x14ac:dyDescent="0.3">
      <c r="A4235" s="516"/>
      <c r="B4235" s="517" t="s">
        <v>15</v>
      </c>
      <c r="C4235" s="516" t="s">
        <v>16</v>
      </c>
      <c r="D4235" s="516" t="s">
        <v>17</v>
      </c>
      <c r="E4235" s="904" t="s">
        <v>2431</v>
      </c>
      <c r="F4235" s="904"/>
      <c r="G4235" s="518" t="s">
        <v>18</v>
      </c>
      <c r="H4235" s="517" t="s">
        <v>19</v>
      </c>
      <c r="I4235" s="517" t="s">
        <v>20</v>
      </c>
      <c r="J4235" s="517" t="s">
        <v>23</v>
      </c>
    </row>
    <row r="4236" spans="1:10" ht="37.5" x14ac:dyDescent="0.3">
      <c r="A4236" s="642" t="s">
        <v>2432</v>
      </c>
      <c r="B4236" s="643" t="s">
        <v>2664</v>
      </c>
      <c r="C4236" s="642" t="s">
        <v>32</v>
      </c>
      <c r="D4236" s="642" t="s">
        <v>2665</v>
      </c>
      <c r="E4236" s="906" t="s">
        <v>2641</v>
      </c>
      <c r="F4236" s="906"/>
      <c r="G4236" s="644" t="s">
        <v>89</v>
      </c>
      <c r="H4236" s="645">
        <v>1</v>
      </c>
      <c r="I4236" s="646">
        <v>398.03</v>
      </c>
      <c r="J4236" s="646">
        <v>398.03</v>
      </c>
    </row>
    <row r="4237" spans="1:10" s="358" customFormat="1" ht="25" x14ac:dyDescent="0.3">
      <c r="A4237" s="519" t="s">
        <v>2434</v>
      </c>
      <c r="B4237" s="520" t="s">
        <v>3018</v>
      </c>
      <c r="C4237" s="519" t="s">
        <v>32</v>
      </c>
      <c r="D4237" s="519" t="s">
        <v>3019</v>
      </c>
      <c r="E4237" s="905" t="s">
        <v>2433</v>
      </c>
      <c r="F4237" s="905"/>
      <c r="G4237" s="521" t="s">
        <v>1901</v>
      </c>
      <c r="H4237" s="522">
        <v>1.546</v>
      </c>
      <c r="I4237" s="523">
        <v>29.49</v>
      </c>
      <c r="J4237" s="523">
        <v>45.59</v>
      </c>
    </row>
    <row r="4238" spans="1:10" ht="25" x14ac:dyDescent="0.3">
      <c r="A4238" s="519" t="s">
        <v>2434</v>
      </c>
      <c r="B4238" s="520" t="s">
        <v>2561</v>
      </c>
      <c r="C4238" s="519" t="s">
        <v>32</v>
      </c>
      <c r="D4238" s="519" t="s">
        <v>2562</v>
      </c>
      <c r="E4238" s="905" t="s">
        <v>2433</v>
      </c>
      <c r="F4238" s="905"/>
      <c r="G4238" s="521" t="s">
        <v>1901</v>
      </c>
      <c r="H4238" s="522">
        <v>0.77300000000000002</v>
      </c>
      <c r="I4238" s="523">
        <v>23.4</v>
      </c>
      <c r="J4238" s="523">
        <v>18.079999999999998</v>
      </c>
    </row>
    <row r="4239" spans="1:10" s="358" customFormat="1" ht="38.25" customHeight="1" x14ac:dyDescent="0.3">
      <c r="A4239" s="519" t="s">
        <v>2437</v>
      </c>
      <c r="B4239" s="520" t="s">
        <v>3861</v>
      </c>
      <c r="C4239" s="519" t="s">
        <v>32</v>
      </c>
      <c r="D4239" s="519" t="s">
        <v>3862</v>
      </c>
      <c r="E4239" s="905" t="s">
        <v>2442</v>
      </c>
      <c r="F4239" s="905"/>
      <c r="G4239" s="521" t="s">
        <v>89</v>
      </c>
      <c r="H4239" s="522">
        <v>3</v>
      </c>
      <c r="I4239" s="523">
        <v>25.07</v>
      </c>
      <c r="J4239" s="523">
        <v>75.209999999999994</v>
      </c>
    </row>
    <row r="4240" spans="1:10" ht="38.25" customHeight="1" x14ac:dyDescent="0.3">
      <c r="A4240" s="519" t="s">
        <v>2437</v>
      </c>
      <c r="B4240" s="520" t="s">
        <v>3863</v>
      </c>
      <c r="C4240" s="519" t="s">
        <v>32</v>
      </c>
      <c r="D4240" s="519" t="s">
        <v>3864</v>
      </c>
      <c r="E4240" s="905" t="s">
        <v>2442</v>
      </c>
      <c r="F4240" s="905"/>
      <c r="G4240" s="521" t="s">
        <v>89</v>
      </c>
      <c r="H4240" s="522">
        <v>1</v>
      </c>
      <c r="I4240" s="523">
        <v>257.57</v>
      </c>
      <c r="J4240" s="523">
        <v>257.57</v>
      </c>
    </row>
    <row r="4241" spans="1:10" ht="38.25" customHeight="1" thickBot="1" x14ac:dyDescent="0.35">
      <c r="A4241" s="519" t="s">
        <v>2437</v>
      </c>
      <c r="B4241" s="520" t="s">
        <v>3865</v>
      </c>
      <c r="C4241" s="519" t="s">
        <v>32</v>
      </c>
      <c r="D4241" s="519" t="s">
        <v>3866</v>
      </c>
      <c r="E4241" s="905" t="s">
        <v>2442</v>
      </c>
      <c r="F4241" s="905"/>
      <c r="G4241" s="521" t="s">
        <v>89</v>
      </c>
      <c r="H4241" s="522">
        <v>19.8</v>
      </c>
      <c r="I4241" s="523">
        <v>0.08</v>
      </c>
      <c r="J4241" s="523">
        <v>1.58</v>
      </c>
    </row>
    <row r="4242" spans="1:10" ht="38.25" customHeight="1" thickTop="1" x14ac:dyDescent="0.3">
      <c r="A4242" s="647"/>
      <c r="B4242" s="647"/>
      <c r="C4242" s="647"/>
      <c r="D4242" s="647"/>
      <c r="E4242" s="647"/>
      <c r="F4242" s="647"/>
      <c r="G4242" s="647"/>
      <c r="H4242" s="647"/>
      <c r="I4242" s="647"/>
      <c r="J4242"/>
    </row>
    <row r="4243" spans="1:10" ht="39" customHeight="1" x14ac:dyDescent="0.3">
      <c r="A4243" s="516"/>
      <c r="B4243" s="517" t="s">
        <v>15</v>
      </c>
      <c r="C4243" s="516" t="s">
        <v>16</v>
      </c>
      <c r="D4243" s="516" t="s">
        <v>17</v>
      </c>
      <c r="E4243" s="904" t="s">
        <v>2431</v>
      </c>
      <c r="F4243" s="904"/>
      <c r="G4243" s="518" t="s">
        <v>18</v>
      </c>
      <c r="H4243" s="517" t="s">
        <v>19</v>
      </c>
      <c r="I4243" s="517" t="s">
        <v>20</v>
      </c>
      <c r="J4243" s="517" t="s">
        <v>23</v>
      </c>
    </row>
    <row r="4244" spans="1:10" s="358" customFormat="1" ht="37.5" x14ac:dyDescent="0.3">
      <c r="A4244" s="642" t="s">
        <v>2432</v>
      </c>
      <c r="B4244" s="643" t="s">
        <v>2700</v>
      </c>
      <c r="C4244" s="642" t="s">
        <v>32</v>
      </c>
      <c r="D4244" s="642" t="s">
        <v>2701</v>
      </c>
      <c r="E4244" s="906" t="s">
        <v>2641</v>
      </c>
      <c r="F4244" s="906"/>
      <c r="G4244" s="644" t="s">
        <v>115</v>
      </c>
      <c r="H4244" s="645">
        <v>1</v>
      </c>
      <c r="I4244" s="646">
        <v>619.99</v>
      </c>
      <c r="J4244" s="646">
        <v>619.99</v>
      </c>
    </row>
    <row r="4245" spans="1:10" ht="25" x14ac:dyDescent="0.3">
      <c r="A4245" s="519" t="s">
        <v>2434</v>
      </c>
      <c r="B4245" s="520" t="s">
        <v>2757</v>
      </c>
      <c r="C4245" s="519" t="s">
        <v>32</v>
      </c>
      <c r="D4245" s="519" t="s">
        <v>2758</v>
      </c>
      <c r="E4245" s="905" t="s">
        <v>2433</v>
      </c>
      <c r="F4245" s="905"/>
      <c r="G4245" s="521" t="s">
        <v>1901</v>
      </c>
      <c r="H4245" s="522">
        <v>0.3826</v>
      </c>
      <c r="I4245" s="523">
        <v>31.1</v>
      </c>
      <c r="J4245" s="523">
        <v>11.89</v>
      </c>
    </row>
    <row r="4246" spans="1:10" s="358" customFormat="1" ht="38.25" customHeight="1" x14ac:dyDescent="0.3">
      <c r="A4246" s="519" t="s">
        <v>2434</v>
      </c>
      <c r="B4246" s="520" t="s">
        <v>2561</v>
      </c>
      <c r="C4246" s="519" t="s">
        <v>32</v>
      </c>
      <c r="D4246" s="519" t="s">
        <v>2562</v>
      </c>
      <c r="E4246" s="905" t="s">
        <v>2433</v>
      </c>
      <c r="F4246" s="905"/>
      <c r="G4246" s="521" t="s">
        <v>1901</v>
      </c>
      <c r="H4246" s="522">
        <v>0.191</v>
      </c>
      <c r="I4246" s="523">
        <v>23.4</v>
      </c>
      <c r="J4246" s="523">
        <v>4.46</v>
      </c>
    </row>
    <row r="4247" spans="1:10" ht="25" x14ac:dyDescent="0.3">
      <c r="A4247" s="519" t="s">
        <v>2437</v>
      </c>
      <c r="B4247" s="520" t="s">
        <v>3784</v>
      </c>
      <c r="C4247" s="519" t="s">
        <v>32</v>
      </c>
      <c r="D4247" s="519" t="s">
        <v>3785</v>
      </c>
      <c r="E4247" s="905" t="s">
        <v>2442</v>
      </c>
      <c r="F4247" s="905"/>
      <c r="G4247" s="521" t="s">
        <v>3786</v>
      </c>
      <c r="H4247" s="522">
        <v>0.88290000000000002</v>
      </c>
      <c r="I4247" s="523">
        <v>39.76</v>
      </c>
      <c r="J4247" s="523">
        <v>35.1</v>
      </c>
    </row>
    <row r="4248" spans="1:10" s="358" customFormat="1" ht="37.5" x14ac:dyDescent="0.3">
      <c r="A4248" s="519" t="s">
        <v>2437</v>
      </c>
      <c r="B4248" s="520" t="s">
        <v>3867</v>
      </c>
      <c r="C4248" s="519" t="s">
        <v>32</v>
      </c>
      <c r="D4248" s="519" t="s">
        <v>3868</v>
      </c>
      <c r="E4248" s="905" t="s">
        <v>2442</v>
      </c>
      <c r="F4248" s="905"/>
      <c r="G4248" s="521" t="s">
        <v>89</v>
      </c>
      <c r="H4248" s="522">
        <v>4.8166000000000002</v>
      </c>
      <c r="I4248" s="523">
        <v>1.1599999999999999</v>
      </c>
      <c r="J4248" s="523">
        <v>5.58</v>
      </c>
    </row>
    <row r="4249" spans="1:10" ht="37.5" x14ac:dyDescent="0.3">
      <c r="A4249" s="519" t="s">
        <v>2437</v>
      </c>
      <c r="B4249" s="520" t="s">
        <v>3869</v>
      </c>
      <c r="C4249" s="519" t="s">
        <v>32</v>
      </c>
      <c r="D4249" s="519" t="s">
        <v>3870</v>
      </c>
      <c r="E4249" s="905" t="s">
        <v>2442</v>
      </c>
      <c r="F4249" s="905"/>
      <c r="G4249" s="521" t="s">
        <v>194</v>
      </c>
      <c r="H4249" s="522">
        <v>6.8503999999999996</v>
      </c>
      <c r="I4249" s="523">
        <v>32.33</v>
      </c>
      <c r="J4249" s="523">
        <v>221.47</v>
      </c>
    </row>
    <row r="4250" spans="1:10" s="358" customFormat="1" ht="38.25" customHeight="1" thickBot="1" x14ac:dyDescent="0.35">
      <c r="A4250" s="519" t="s">
        <v>2437</v>
      </c>
      <c r="B4250" s="520" t="s">
        <v>3871</v>
      </c>
      <c r="C4250" s="519" t="s">
        <v>32</v>
      </c>
      <c r="D4250" s="519" t="s">
        <v>3872</v>
      </c>
      <c r="E4250" s="905" t="s">
        <v>2442</v>
      </c>
      <c r="F4250" s="905"/>
      <c r="G4250" s="521" t="s">
        <v>89</v>
      </c>
      <c r="H4250" s="522">
        <v>0.54730000000000001</v>
      </c>
      <c r="I4250" s="523">
        <v>623.96</v>
      </c>
      <c r="J4250" s="523">
        <v>341.49</v>
      </c>
    </row>
    <row r="4251" spans="1:10" ht="14.5" thickTop="1" x14ac:dyDescent="0.3">
      <c r="A4251" s="647"/>
      <c r="B4251" s="647"/>
      <c r="C4251" s="647"/>
      <c r="D4251" s="647"/>
      <c r="E4251" s="647"/>
      <c r="F4251" s="647"/>
      <c r="G4251" s="647"/>
      <c r="H4251" s="647"/>
      <c r="I4251" s="647"/>
      <c r="J4251"/>
    </row>
    <row r="4252" spans="1:10" s="358" customFormat="1" x14ac:dyDescent="0.3">
      <c r="A4252" s="516"/>
      <c r="B4252" s="517" t="s">
        <v>15</v>
      </c>
      <c r="C4252" s="516" t="s">
        <v>16</v>
      </c>
      <c r="D4252" s="516" t="s">
        <v>17</v>
      </c>
      <c r="E4252" s="904" t="s">
        <v>2431</v>
      </c>
      <c r="F4252" s="904"/>
      <c r="G4252" s="518" t="s">
        <v>18</v>
      </c>
      <c r="H4252" s="517" t="s">
        <v>19</v>
      </c>
      <c r="I4252" s="517" t="s">
        <v>20</v>
      </c>
      <c r="J4252" s="517" t="s">
        <v>23</v>
      </c>
    </row>
    <row r="4253" spans="1:10" ht="25" x14ac:dyDescent="0.3">
      <c r="A4253" s="642" t="s">
        <v>2432</v>
      </c>
      <c r="B4253" s="643" t="s">
        <v>3371</v>
      </c>
      <c r="C4253" s="642" t="s">
        <v>32</v>
      </c>
      <c r="D4253" s="642" t="s">
        <v>3372</v>
      </c>
      <c r="E4253" s="906" t="s">
        <v>2706</v>
      </c>
      <c r="F4253" s="906"/>
      <c r="G4253" s="644" t="s">
        <v>118</v>
      </c>
      <c r="H4253" s="645">
        <v>1</v>
      </c>
      <c r="I4253" s="646">
        <v>318.48</v>
      </c>
      <c r="J4253" s="646">
        <v>318.48</v>
      </c>
    </row>
    <row r="4254" spans="1:10" s="358" customFormat="1" ht="38.25" customHeight="1" x14ac:dyDescent="0.3">
      <c r="A4254" s="519" t="s">
        <v>2434</v>
      </c>
      <c r="B4254" s="520" t="s">
        <v>2757</v>
      </c>
      <c r="C4254" s="519" t="s">
        <v>32</v>
      </c>
      <c r="D4254" s="519" t="s">
        <v>2758</v>
      </c>
      <c r="E4254" s="905" t="s">
        <v>2433</v>
      </c>
      <c r="F4254" s="905"/>
      <c r="G4254" s="521" t="s">
        <v>1901</v>
      </c>
      <c r="H4254" s="522">
        <v>2.4937999999999998</v>
      </c>
      <c r="I4254" s="523">
        <v>31.1</v>
      </c>
      <c r="J4254" s="523">
        <v>77.55</v>
      </c>
    </row>
    <row r="4255" spans="1:10" ht="25" x14ac:dyDescent="0.3">
      <c r="A4255" s="519" t="s">
        <v>2434</v>
      </c>
      <c r="B4255" s="520" t="s">
        <v>2561</v>
      </c>
      <c r="C4255" s="519" t="s">
        <v>32</v>
      </c>
      <c r="D4255" s="519" t="s">
        <v>2562</v>
      </c>
      <c r="E4255" s="905" t="s">
        <v>2433</v>
      </c>
      <c r="F4255" s="905"/>
      <c r="G4255" s="521" t="s">
        <v>1901</v>
      </c>
      <c r="H4255" s="522">
        <v>3.7406999999999999</v>
      </c>
      <c r="I4255" s="523">
        <v>23.4</v>
      </c>
      <c r="J4255" s="523">
        <v>87.53</v>
      </c>
    </row>
    <row r="4256" spans="1:10" s="358" customFormat="1" ht="25.5" customHeight="1" x14ac:dyDescent="0.3">
      <c r="A4256" s="519" t="s">
        <v>2434</v>
      </c>
      <c r="B4256" s="520" t="s">
        <v>2940</v>
      </c>
      <c r="C4256" s="519" t="s">
        <v>32</v>
      </c>
      <c r="D4256" s="519" t="s">
        <v>2941</v>
      </c>
      <c r="E4256" s="905" t="s">
        <v>2465</v>
      </c>
      <c r="F4256" s="905"/>
      <c r="G4256" s="521" t="s">
        <v>103</v>
      </c>
      <c r="H4256" s="522">
        <v>7.1800000000000003E-2</v>
      </c>
      <c r="I4256" s="523">
        <v>33.549999999999997</v>
      </c>
      <c r="J4256" s="523">
        <v>2.4</v>
      </c>
    </row>
    <row r="4257" spans="1:10" ht="25.5" customHeight="1" x14ac:dyDescent="0.3">
      <c r="A4257" s="519" t="s">
        <v>2434</v>
      </c>
      <c r="B4257" s="520" t="s">
        <v>2942</v>
      </c>
      <c r="C4257" s="519" t="s">
        <v>32</v>
      </c>
      <c r="D4257" s="519" t="s">
        <v>2943</v>
      </c>
      <c r="E4257" s="905" t="s">
        <v>2465</v>
      </c>
      <c r="F4257" s="905"/>
      <c r="G4257" s="521" t="s">
        <v>110</v>
      </c>
      <c r="H4257" s="522">
        <v>6.6600000000000006E-2</v>
      </c>
      <c r="I4257" s="523">
        <v>26.89</v>
      </c>
      <c r="J4257" s="523">
        <v>1.79</v>
      </c>
    </row>
    <row r="4258" spans="1:10" s="358" customFormat="1" ht="38.25" customHeight="1" thickBot="1" x14ac:dyDescent="0.35">
      <c r="A4258" s="519" t="s">
        <v>2437</v>
      </c>
      <c r="B4258" s="520" t="s">
        <v>2944</v>
      </c>
      <c r="C4258" s="519" t="s">
        <v>125</v>
      </c>
      <c r="D4258" s="519" t="s">
        <v>2945</v>
      </c>
      <c r="E4258" s="905" t="s">
        <v>2442</v>
      </c>
      <c r="F4258" s="905"/>
      <c r="G4258" s="521" t="s">
        <v>118</v>
      </c>
      <c r="H4258" s="522">
        <v>1.1000000000000001</v>
      </c>
      <c r="I4258" s="523">
        <v>135.64580000000001</v>
      </c>
      <c r="J4258" s="523">
        <v>149.21</v>
      </c>
    </row>
    <row r="4259" spans="1:10" ht="14.5" thickTop="1" x14ac:dyDescent="0.3">
      <c r="A4259" s="647"/>
      <c r="B4259" s="647"/>
      <c r="C4259" s="647"/>
      <c r="D4259" s="647"/>
      <c r="E4259" s="647"/>
      <c r="F4259" s="647"/>
      <c r="G4259" s="647"/>
      <c r="H4259" s="647"/>
      <c r="I4259" s="647"/>
      <c r="J4259"/>
    </row>
    <row r="4260" spans="1:10" s="358" customFormat="1" x14ac:dyDescent="0.3">
      <c r="A4260" s="516"/>
      <c r="B4260" s="517" t="s">
        <v>15</v>
      </c>
      <c r="C4260" s="516" t="s">
        <v>16</v>
      </c>
      <c r="D4260" s="516" t="s">
        <v>17</v>
      </c>
      <c r="E4260" s="904" t="s">
        <v>2431</v>
      </c>
      <c r="F4260" s="904"/>
      <c r="G4260" s="518" t="s">
        <v>18</v>
      </c>
      <c r="H4260" s="517" t="s">
        <v>19</v>
      </c>
      <c r="I4260" s="517" t="s">
        <v>20</v>
      </c>
      <c r="J4260" s="517" t="s">
        <v>23</v>
      </c>
    </row>
    <row r="4261" spans="1:10" ht="25" x14ac:dyDescent="0.3">
      <c r="A4261" s="642" t="s">
        <v>2432</v>
      </c>
      <c r="B4261" s="643" t="s">
        <v>3873</v>
      </c>
      <c r="C4261" s="642" t="s">
        <v>125</v>
      </c>
      <c r="D4261" s="642" t="s">
        <v>3612</v>
      </c>
      <c r="E4261" s="906" t="s">
        <v>1328</v>
      </c>
      <c r="F4261" s="906"/>
      <c r="G4261" s="644" t="s">
        <v>115</v>
      </c>
      <c r="H4261" s="645">
        <v>1</v>
      </c>
      <c r="I4261" s="646">
        <v>8.18</v>
      </c>
      <c r="J4261" s="646">
        <v>8.18</v>
      </c>
    </row>
    <row r="4262" spans="1:10" s="358" customFormat="1" ht="15" customHeight="1" x14ac:dyDescent="0.3">
      <c r="A4262" s="904" t="s">
        <v>2418</v>
      </c>
      <c r="B4262" s="903" t="s">
        <v>15</v>
      </c>
      <c r="C4262" s="904" t="s">
        <v>16</v>
      </c>
      <c r="D4262" s="904" t="s">
        <v>2466</v>
      </c>
      <c r="E4262" s="903" t="s">
        <v>2467</v>
      </c>
      <c r="F4262" s="908" t="s">
        <v>2468</v>
      </c>
      <c r="G4262" s="903"/>
      <c r="H4262" s="518" t="s">
        <v>2469</v>
      </c>
      <c r="I4262" s="903" t="s">
        <v>2470</v>
      </c>
      <c r="J4262"/>
    </row>
    <row r="4263" spans="1:10" x14ac:dyDescent="0.3">
      <c r="A4263" s="903"/>
      <c r="B4263" s="903"/>
      <c r="C4263" s="903"/>
      <c r="D4263" s="903"/>
      <c r="E4263" s="903"/>
      <c r="F4263" s="517" t="s">
        <v>2471</v>
      </c>
      <c r="G4263" s="517" t="s">
        <v>2472</v>
      </c>
      <c r="H4263" s="517" t="s">
        <v>2471</v>
      </c>
      <c r="I4263" s="903"/>
      <c r="J4263"/>
    </row>
    <row r="4264" spans="1:10" ht="25" x14ac:dyDescent="0.3">
      <c r="A4264" s="519" t="s">
        <v>2437</v>
      </c>
      <c r="B4264" s="520" t="s">
        <v>3874</v>
      </c>
      <c r="C4264" s="519" t="s">
        <v>125</v>
      </c>
      <c r="D4264" s="519" t="s">
        <v>3875</v>
      </c>
      <c r="E4264" s="522">
        <v>1</v>
      </c>
      <c r="F4264" s="523">
        <v>1</v>
      </c>
      <c r="G4264" s="523">
        <v>0</v>
      </c>
      <c r="H4264" s="524">
        <v>0.46160000000000001</v>
      </c>
      <c r="I4264" s="524">
        <v>0.46160000000000001</v>
      </c>
      <c r="J4264"/>
    </row>
    <row r="4265" spans="1:10" x14ac:dyDescent="0.3">
      <c r="A4265" s="519" t="s">
        <v>2437</v>
      </c>
      <c r="B4265" s="520" t="s">
        <v>3876</v>
      </c>
      <c r="C4265" s="519" t="s">
        <v>125</v>
      </c>
      <c r="D4265" s="519" t="s">
        <v>4367</v>
      </c>
      <c r="E4265" s="522">
        <v>1</v>
      </c>
      <c r="F4265" s="523">
        <v>1</v>
      </c>
      <c r="G4265" s="523">
        <v>0</v>
      </c>
      <c r="H4265" s="524">
        <v>4.8464999999999998</v>
      </c>
      <c r="I4265" s="524">
        <v>4.8464999999999998</v>
      </c>
      <c r="J4265"/>
    </row>
    <row r="4266" spans="1:10" ht="14.25" customHeight="1" x14ac:dyDescent="0.3">
      <c r="A4266" s="902"/>
      <c r="B4266" s="902"/>
      <c r="C4266" s="902"/>
      <c r="D4266" s="902"/>
      <c r="E4266" s="902"/>
      <c r="F4266" s="902" t="s">
        <v>2475</v>
      </c>
      <c r="G4266" s="902"/>
      <c r="H4266" s="902"/>
      <c r="I4266" s="525">
        <v>5.3080999999999996</v>
      </c>
      <c r="J4266"/>
    </row>
    <row r="4267" spans="1:10" ht="14.25" customHeight="1" x14ac:dyDescent="0.3">
      <c r="A4267" s="902"/>
      <c r="B4267" s="902"/>
      <c r="C4267" s="902"/>
      <c r="D4267" s="902"/>
      <c r="E4267" s="902"/>
      <c r="F4267" s="902" t="s">
        <v>2476</v>
      </c>
      <c r="G4267" s="902"/>
      <c r="H4267" s="902"/>
      <c r="I4267" s="525">
        <v>5.3080999999999996</v>
      </c>
      <c r="J4267"/>
    </row>
    <row r="4268" spans="1:10" s="358" customFormat="1" ht="15" customHeight="1" x14ac:dyDescent="0.3">
      <c r="A4268" s="902"/>
      <c r="B4268" s="902"/>
      <c r="C4268" s="902"/>
      <c r="D4268" s="902"/>
      <c r="E4268" s="902"/>
      <c r="F4268" s="902" t="s">
        <v>2477</v>
      </c>
      <c r="G4268" s="902"/>
      <c r="H4268" s="902"/>
      <c r="I4268" s="525">
        <v>0</v>
      </c>
      <c r="J4268"/>
    </row>
    <row r="4269" spans="1:10" x14ac:dyDescent="0.3">
      <c r="A4269" s="902"/>
      <c r="B4269" s="902"/>
      <c r="C4269" s="902"/>
      <c r="D4269" s="902"/>
      <c r="E4269" s="902"/>
      <c r="F4269" s="902" t="s">
        <v>2478</v>
      </c>
      <c r="G4269" s="902"/>
      <c r="H4269" s="902"/>
      <c r="I4269" s="525">
        <v>0</v>
      </c>
      <c r="J4269"/>
    </row>
    <row r="4270" spans="1:10" s="358" customFormat="1" ht="15" customHeight="1" x14ac:dyDescent="0.3">
      <c r="A4270" s="902"/>
      <c r="B4270" s="902"/>
      <c r="C4270" s="902"/>
      <c r="D4270" s="902"/>
      <c r="E4270" s="902"/>
      <c r="F4270" s="902" t="s">
        <v>2479</v>
      </c>
      <c r="G4270" s="902"/>
      <c r="H4270" s="902"/>
      <c r="I4270" s="525">
        <v>49.8</v>
      </c>
      <c r="J4270"/>
    </row>
    <row r="4271" spans="1:10" ht="14.25" customHeight="1" x14ac:dyDescent="0.3">
      <c r="A4271" s="902"/>
      <c r="B4271" s="902"/>
      <c r="C4271" s="902"/>
      <c r="D4271" s="902"/>
      <c r="E4271" s="902"/>
      <c r="F4271" s="902" t="s">
        <v>2480</v>
      </c>
      <c r="G4271" s="902"/>
      <c r="H4271" s="902"/>
      <c r="I4271" s="525">
        <v>0.1066</v>
      </c>
      <c r="J4271"/>
    </row>
    <row r="4272" spans="1:10" ht="15" customHeight="1" x14ac:dyDescent="0.3">
      <c r="A4272" s="516" t="s">
        <v>2420</v>
      </c>
      <c r="B4272" s="517" t="s">
        <v>16</v>
      </c>
      <c r="C4272" s="516" t="s">
        <v>15</v>
      </c>
      <c r="D4272" s="516" t="s">
        <v>2442</v>
      </c>
      <c r="E4272" s="517" t="s">
        <v>2467</v>
      </c>
      <c r="F4272" s="517" t="s">
        <v>2576</v>
      </c>
      <c r="G4272" s="903" t="s">
        <v>2577</v>
      </c>
      <c r="H4272" s="903"/>
      <c r="I4272" s="517" t="s">
        <v>2470</v>
      </c>
      <c r="J4272"/>
    </row>
    <row r="4273" spans="1:10" x14ac:dyDescent="0.3">
      <c r="A4273" s="519" t="s">
        <v>2437</v>
      </c>
      <c r="B4273" s="520" t="s">
        <v>125</v>
      </c>
      <c r="C4273" s="519" t="s">
        <v>3877</v>
      </c>
      <c r="D4273" s="519" t="s">
        <v>3878</v>
      </c>
      <c r="E4273" s="522">
        <v>0.01</v>
      </c>
      <c r="F4273" s="521" t="s">
        <v>2829</v>
      </c>
      <c r="G4273" s="907">
        <v>61.604500000000002</v>
      </c>
      <c r="H4273" s="907"/>
      <c r="I4273" s="524">
        <v>0.61599999999999999</v>
      </c>
      <c r="J4273"/>
    </row>
    <row r="4274" spans="1:10" x14ac:dyDescent="0.3">
      <c r="A4274" s="519" t="s">
        <v>2437</v>
      </c>
      <c r="B4274" s="520" t="s">
        <v>125</v>
      </c>
      <c r="C4274" s="519" t="s">
        <v>3879</v>
      </c>
      <c r="D4274" s="519" t="s">
        <v>3880</v>
      </c>
      <c r="E4274" s="522">
        <v>0.1</v>
      </c>
      <c r="F4274" s="521" t="s">
        <v>2829</v>
      </c>
      <c r="G4274" s="907">
        <v>63.091200000000001</v>
      </c>
      <c r="H4274" s="907"/>
      <c r="I4274" s="524">
        <v>6.3090999999999999</v>
      </c>
      <c r="J4274"/>
    </row>
    <row r="4275" spans="1:10" ht="14.25" customHeight="1" x14ac:dyDescent="0.3">
      <c r="A4275" s="902"/>
      <c r="B4275" s="902"/>
      <c r="C4275" s="902"/>
      <c r="D4275" s="902"/>
      <c r="E4275" s="902"/>
      <c r="F4275" s="902" t="s">
        <v>2809</v>
      </c>
      <c r="G4275" s="902"/>
      <c r="H4275" s="902"/>
      <c r="I4275" s="525">
        <v>6.9250999999999996</v>
      </c>
      <c r="J4275"/>
    </row>
    <row r="4276" spans="1:10" ht="15" customHeight="1" x14ac:dyDescent="0.3">
      <c r="A4276" s="516" t="s">
        <v>2574</v>
      </c>
      <c r="B4276" s="517" t="s">
        <v>16</v>
      </c>
      <c r="C4276" s="516" t="s">
        <v>15</v>
      </c>
      <c r="D4276" s="516" t="s">
        <v>2575</v>
      </c>
      <c r="E4276" s="517" t="s">
        <v>2467</v>
      </c>
      <c r="F4276" s="517" t="s">
        <v>2576</v>
      </c>
      <c r="G4276" s="903" t="s">
        <v>2577</v>
      </c>
      <c r="H4276" s="903"/>
      <c r="I4276" s="517" t="s">
        <v>2470</v>
      </c>
      <c r="J4276"/>
    </row>
    <row r="4277" spans="1:10" s="358" customFormat="1" ht="25" x14ac:dyDescent="0.3">
      <c r="A4277" s="519" t="s">
        <v>2578</v>
      </c>
      <c r="B4277" s="520" t="s">
        <v>32</v>
      </c>
      <c r="C4277" s="519">
        <v>88241</v>
      </c>
      <c r="D4277" s="519" t="s">
        <v>2791</v>
      </c>
      <c r="E4277" s="522">
        <v>2.0080299999999999E-2</v>
      </c>
      <c r="F4277" s="521" t="s">
        <v>1901</v>
      </c>
      <c r="G4277" s="907">
        <v>24.15</v>
      </c>
      <c r="H4277" s="907"/>
      <c r="I4277" s="524">
        <v>0.4849</v>
      </c>
      <c r="J4277"/>
    </row>
    <row r="4278" spans="1:10" ht="25" x14ac:dyDescent="0.3">
      <c r="A4278" s="519" t="s">
        <v>2578</v>
      </c>
      <c r="B4278" s="520" t="s">
        <v>32</v>
      </c>
      <c r="C4278" s="519">
        <v>88310</v>
      </c>
      <c r="D4278" s="519" t="s">
        <v>3021</v>
      </c>
      <c r="E4278" s="522">
        <v>2.0080299999999999E-2</v>
      </c>
      <c r="F4278" s="521" t="s">
        <v>1901</v>
      </c>
      <c r="G4278" s="907">
        <v>32.58</v>
      </c>
      <c r="H4278" s="907"/>
      <c r="I4278" s="524">
        <v>0.6542</v>
      </c>
      <c r="J4278"/>
    </row>
    <row r="4279" spans="1:10" s="358" customFormat="1" ht="15" customHeight="1" x14ac:dyDescent="0.3">
      <c r="A4279" s="902"/>
      <c r="B4279" s="902"/>
      <c r="C4279" s="902"/>
      <c r="D4279" s="902"/>
      <c r="E4279" s="902"/>
      <c r="F4279" s="902" t="s">
        <v>2579</v>
      </c>
      <c r="G4279" s="902"/>
      <c r="H4279" s="902"/>
      <c r="I4279" s="525">
        <v>1.1391</v>
      </c>
      <c r="J4279"/>
    </row>
    <row r="4280" spans="1:10" ht="15" customHeight="1" x14ac:dyDescent="0.3">
      <c r="A4280" s="516" t="s">
        <v>2580</v>
      </c>
      <c r="B4280" s="517" t="s">
        <v>16</v>
      </c>
      <c r="C4280" s="516" t="s">
        <v>2437</v>
      </c>
      <c r="D4280" s="516" t="s">
        <v>2581</v>
      </c>
      <c r="E4280" s="517" t="s">
        <v>15</v>
      </c>
      <c r="F4280" s="517" t="s">
        <v>2467</v>
      </c>
      <c r="G4280" s="518" t="s">
        <v>2576</v>
      </c>
      <c r="H4280" s="517" t="s">
        <v>2577</v>
      </c>
      <c r="I4280" s="517" t="s">
        <v>2470</v>
      </c>
      <c r="J4280"/>
    </row>
    <row r="4281" spans="1:10" ht="25" x14ac:dyDescent="0.3">
      <c r="A4281" s="519" t="s">
        <v>2582</v>
      </c>
      <c r="B4281" s="520" t="s">
        <v>125</v>
      </c>
      <c r="C4281" s="519" t="s">
        <v>3877</v>
      </c>
      <c r="D4281" s="519" t="s">
        <v>2838</v>
      </c>
      <c r="E4281" s="520">
        <v>5914655</v>
      </c>
      <c r="F4281" s="522">
        <v>1.0000000000000001E-5</v>
      </c>
      <c r="G4281" s="521" t="s">
        <v>374</v>
      </c>
      <c r="H4281" s="524">
        <v>33.159999999999997</v>
      </c>
      <c r="I4281" s="524">
        <v>2.9999999999999997E-4</v>
      </c>
      <c r="J4281"/>
    </row>
    <row r="4282" spans="1:10" ht="25.5" customHeight="1" x14ac:dyDescent="0.3">
      <c r="A4282" s="519" t="s">
        <v>2582</v>
      </c>
      <c r="B4282" s="520" t="s">
        <v>125</v>
      </c>
      <c r="C4282" s="519" t="s">
        <v>3879</v>
      </c>
      <c r="D4282" s="519" t="s">
        <v>2838</v>
      </c>
      <c r="E4282" s="520">
        <v>5914655</v>
      </c>
      <c r="F4282" s="522">
        <v>1.2999999999999999E-4</v>
      </c>
      <c r="G4282" s="521" t="s">
        <v>374</v>
      </c>
      <c r="H4282" s="524">
        <v>33.159999999999997</v>
      </c>
      <c r="I4282" s="524">
        <v>4.3E-3</v>
      </c>
      <c r="J4282"/>
    </row>
    <row r="4283" spans="1:10" ht="25.5" customHeight="1" x14ac:dyDescent="0.3">
      <c r="A4283" s="902"/>
      <c r="B4283" s="902"/>
      <c r="C4283" s="902"/>
      <c r="D4283" s="902"/>
      <c r="E4283" s="902"/>
      <c r="F4283" s="902" t="s">
        <v>2585</v>
      </c>
      <c r="G4283" s="902"/>
      <c r="H4283" s="902"/>
      <c r="I4283" s="525">
        <v>4.5999999999999999E-3</v>
      </c>
      <c r="J4283"/>
    </row>
    <row r="4284" spans="1:10" ht="15" customHeight="1" x14ac:dyDescent="0.3">
      <c r="A4284" s="516" t="s">
        <v>2586</v>
      </c>
      <c r="B4284" s="517" t="s">
        <v>16</v>
      </c>
      <c r="C4284" s="516" t="s">
        <v>2437</v>
      </c>
      <c r="D4284" s="516" t="s">
        <v>2587</v>
      </c>
      <c r="E4284" s="517" t="s">
        <v>2467</v>
      </c>
      <c r="F4284" s="517" t="s">
        <v>2576</v>
      </c>
      <c r="G4284" s="908" t="s">
        <v>2588</v>
      </c>
      <c r="H4284" s="903"/>
      <c r="I4284" s="517" t="s">
        <v>2470</v>
      </c>
      <c r="J4284"/>
    </row>
    <row r="4285" spans="1:10" s="358" customFormat="1" x14ac:dyDescent="0.3">
      <c r="A4285" s="518"/>
      <c r="B4285" s="518"/>
      <c r="C4285" s="518"/>
      <c r="D4285" s="518"/>
      <c r="E4285" s="518"/>
      <c r="F4285" s="518"/>
      <c r="G4285" s="518" t="s">
        <v>2589</v>
      </c>
      <c r="H4285" s="518" t="s">
        <v>2590</v>
      </c>
      <c r="I4285" s="518"/>
      <c r="J4285"/>
    </row>
    <row r="4286" spans="1:10" ht="37.5" x14ac:dyDescent="0.3">
      <c r="A4286" s="519" t="s">
        <v>2587</v>
      </c>
      <c r="B4286" s="520" t="s">
        <v>125</v>
      </c>
      <c r="C4286" s="519" t="s">
        <v>3877</v>
      </c>
      <c r="D4286" s="519" t="s">
        <v>4551</v>
      </c>
      <c r="E4286" s="522">
        <v>1.0000000000000001E-5</v>
      </c>
      <c r="F4286" s="521" t="s">
        <v>2592</v>
      </c>
      <c r="G4286" s="520" t="s">
        <v>4472</v>
      </c>
      <c r="H4286" s="520" t="s">
        <v>4473</v>
      </c>
      <c r="I4286" s="524">
        <v>0</v>
      </c>
      <c r="J4286"/>
    </row>
    <row r="4287" spans="1:10" s="358" customFormat="1" ht="37.5" x14ac:dyDescent="0.3">
      <c r="A4287" s="519" t="s">
        <v>2587</v>
      </c>
      <c r="B4287" s="520" t="s">
        <v>125</v>
      </c>
      <c r="C4287" s="519" t="s">
        <v>3879</v>
      </c>
      <c r="D4287" s="519" t="s">
        <v>4552</v>
      </c>
      <c r="E4287" s="522">
        <v>1.2999999999999999E-4</v>
      </c>
      <c r="F4287" s="521" t="s">
        <v>2592</v>
      </c>
      <c r="G4287" s="520" t="s">
        <v>4472</v>
      </c>
      <c r="H4287" s="520" t="s">
        <v>4473</v>
      </c>
      <c r="I4287" s="524">
        <v>0</v>
      </c>
      <c r="J4287"/>
    </row>
    <row r="4288" spans="1:10" ht="15" customHeight="1" thickBot="1" x14ac:dyDescent="0.35">
      <c r="A4288" s="902"/>
      <c r="B4288" s="902"/>
      <c r="C4288" s="902"/>
      <c r="D4288" s="902"/>
      <c r="E4288" s="902"/>
      <c r="F4288" s="902" t="s">
        <v>2593</v>
      </c>
      <c r="G4288" s="902"/>
      <c r="H4288" s="902"/>
      <c r="I4288" s="525">
        <v>0</v>
      </c>
      <c r="J4288"/>
    </row>
    <row r="4289" spans="1:10" ht="14.5" thickTop="1" x14ac:dyDescent="0.3">
      <c r="A4289" s="647"/>
      <c r="B4289" s="647"/>
      <c r="C4289" s="647"/>
      <c r="D4289" s="647"/>
      <c r="E4289" s="647"/>
      <c r="F4289" s="647"/>
      <c r="G4289" s="647"/>
      <c r="H4289" s="647"/>
      <c r="I4289" s="647"/>
      <c r="J4289"/>
    </row>
    <row r="4290" spans="1:10" x14ac:dyDescent="0.3">
      <c r="A4290" s="516"/>
      <c r="B4290" s="517" t="s">
        <v>15</v>
      </c>
      <c r="C4290" s="516" t="s">
        <v>16</v>
      </c>
      <c r="D4290" s="516" t="s">
        <v>17</v>
      </c>
      <c r="E4290" s="904" t="s">
        <v>2431</v>
      </c>
      <c r="F4290" s="904"/>
      <c r="G4290" s="518" t="s">
        <v>18</v>
      </c>
      <c r="H4290" s="517" t="s">
        <v>19</v>
      </c>
      <c r="I4290" s="517" t="s">
        <v>20</v>
      </c>
      <c r="J4290" s="517" t="s">
        <v>23</v>
      </c>
    </row>
    <row r="4291" spans="1:10" ht="25" x14ac:dyDescent="0.3">
      <c r="A4291" s="642" t="s">
        <v>2432</v>
      </c>
      <c r="B4291" s="643" t="s">
        <v>3881</v>
      </c>
      <c r="C4291" s="642" t="s">
        <v>125</v>
      </c>
      <c r="D4291" s="642" t="s">
        <v>3613</v>
      </c>
      <c r="E4291" s="906" t="s">
        <v>1328</v>
      </c>
      <c r="F4291" s="906"/>
      <c r="G4291" s="644" t="s">
        <v>115</v>
      </c>
      <c r="H4291" s="645">
        <v>1</v>
      </c>
      <c r="I4291" s="646">
        <v>49.29</v>
      </c>
      <c r="J4291" s="646">
        <v>49.29</v>
      </c>
    </row>
    <row r="4292" spans="1:10" ht="14.25" customHeight="1" x14ac:dyDescent="0.3">
      <c r="A4292" s="904" t="s">
        <v>2418</v>
      </c>
      <c r="B4292" s="903" t="s">
        <v>15</v>
      </c>
      <c r="C4292" s="904" t="s">
        <v>16</v>
      </c>
      <c r="D4292" s="904" t="s">
        <v>2466</v>
      </c>
      <c r="E4292" s="903" t="s">
        <v>2467</v>
      </c>
      <c r="F4292" s="908" t="s">
        <v>2468</v>
      </c>
      <c r="G4292" s="903"/>
      <c r="H4292" s="518" t="s">
        <v>2469</v>
      </c>
      <c r="I4292" s="903" t="s">
        <v>2470</v>
      </c>
      <c r="J4292"/>
    </row>
    <row r="4293" spans="1:10" ht="14.25" customHeight="1" x14ac:dyDescent="0.3">
      <c r="A4293" s="903"/>
      <c r="B4293" s="903"/>
      <c r="C4293" s="903"/>
      <c r="D4293" s="903"/>
      <c r="E4293" s="903"/>
      <c r="F4293" s="517" t="s">
        <v>2471</v>
      </c>
      <c r="G4293" s="517" t="s">
        <v>2472</v>
      </c>
      <c r="H4293" s="517" t="s">
        <v>2471</v>
      </c>
      <c r="I4293" s="903"/>
      <c r="J4293"/>
    </row>
    <row r="4294" spans="1:10" ht="14.25" customHeight="1" x14ac:dyDescent="0.3">
      <c r="A4294" s="519" t="s">
        <v>2437</v>
      </c>
      <c r="B4294" s="520" t="s">
        <v>3874</v>
      </c>
      <c r="C4294" s="519" t="s">
        <v>125</v>
      </c>
      <c r="D4294" s="519" t="s">
        <v>3875</v>
      </c>
      <c r="E4294" s="522">
        <v>1</v>
      </c>
      <c r="F4294" s="523">
        <v>1</v>
      </c>
      <c r="G4294" s="523">
        <v>0</v>
      </c>
      <c r="H4294" s="524">
        <v>0.46160000000000001</v>
      </c>
      <c r="I4294" s="524">
        <v>0.46160000000000001</v>
      </c>
      <c r="J4294"/>
    </row>
    <row r="4295" spans="1:10" x14ac:dyDescent="0.3">
      <c r="A4295" s="519" t="s">
        <v>2437</v>
      </c>
      <c r="B4295" s="520" t="s">
        <v>3876</v>
      </c>
      <c r="C4295" s="519" t="s">
        <v>125</v>
      </c>
      <c r="D4295" s="519" t="s">
        <v>4367</v>
      </c>
      <c r="E4295" s="522">
        <v>1</v>
      </c>
      <c r="F4295" s="523">
        <v>1</v>
      </c>
      <c r="G4295" s="523">
        <v>0</v>
      </c>
      <c r="H4295" s="524">
        <v>4.8464999999999998</v>
      </c>
      <c r="I4295" s="524">
        <v>4.8464999999999998</v>
      </c>
      <c r="J4295"/>
    </row>
    <row r="4296" spans="1:10" ht="14.25" customHeight="1" x14ac:dyDescent="0.3">
      <c r="A4296" s="902"/>
      <c r="B4296" s="902"/>
      <c r="C4296" s="902"/>
      <c r="D4296" s="902"/>
      <c r="E4296" s="902"/>
      <c r="F4296" s="902" t="s">
        <v>2475</v>
      </c>
      <c r="G4296" s="902"/>
      <c r="H4296" s="902"/>
      <c r="I4296" s="525">
        <v>5.3080999999999996</v>
      </c>
      <c r="J4296"/>
    </row>
    <row r="4297" spans="1:10" ht="14.25" customHeight="1" x14ac:dyDescent="0.3">
      <c r="A4297" s="902"/>
      <c r="B4297" s="902"/>
      <c r="C4297" s="902"/>
      <c r="D4297" s="902"/>
      <c r="E4297" s="902"/>
      <c r="F4297" s="902" t="s">
        <v>2476</v>
      </c>
      <c r="G4297" s="902"/>
      <c r="H4297" s="902"/>
      <c r="I4297" s="525">
        <v>5.3080999999999996</v>
      </c>
      <c r="J4297"/>
    </row>
    <row r="4298" spans="1:10" ht="15" customHeight="1" x14ac:dyDescent="0.3">
      <c r="A4298" s="902"/>
      <c r="B4298" s="902"/>
      <c r="C4298" s="902"/>
      <c r="D4298" s="902"/>
      <c r="E4298" s="902"/>
      <c r="F4298" s="902" t="s">
        <v>2477</v>
      </c>
      <c r="G4298" s="902"/>
      <c r="H4298" s="902"/>
      <c r="I4298" s="525">
        <v>0</v>
      </c>
      <c r="J4298"/>
    </row>
    <row r="4299" spans="1:10" x14ac:dyDescent="0.3">
      <c r="A4299" s="902"/>
      <c r="B4299" s="902"/>
      <c r="C4299" s="902"/>
      <c r="D4299" s="902"/>
      <c r="E4299" s="902"/>
      <c r="F4299" s="902" t="s">
        <v>2478</v>
      </c>
      <c r="G4299" s="902"/>
      <c r="H4299" s="902"/>
      <c r="I4299" s="525">
        <v>0</v>
      </c>
      <c r="J4299"/>
    </row>
    <row r="4300" spans="1:10" ht="14.25" customHeight="1" x14ac:dyDescent="0.3">
      <c r="A4300" s="902"/>
      <c r="B4300" s="902"/>
      <c r="C4300" s="902"/>
      <c r="D4300" s="902"/>
      <c r="E4300" s="902"/>
      <c r="F4300" s="902" t="s">
        <v>2479</v>
      </c>
      <c r="G4300" s="902"/>
      <c r="H4300" s="902"/>
      <c r="I4300" s="525">
        <v>49.8</v>
      </c>
      <c r="J4300"/>
    </row>
    <row r="4301" spans="1:10" ht="14.25" customHeight="1" x14ac:dyDescent="0.3">
      <c r="A4301" s="902"/>
      <c r="B4301" s="902"/>
      <c r="C4301" s="902"/>
      <c r="D4301" s="902"/>
      <c r="E4301" s="902"/>
      <c r="F4301" s="902" t="s">
        <v>2480</v>
      </c>
      <c r="G4301" s="902"/>
      <c r="H4301" s="902"/>
      <c r="I4301" s="525">
        <v>0.1066</v>
      </c>
      <c r="J4301"/>
    </row>
    <row r="4302" spans="1:10" ht="15" customHeight="1" x14ac:dyDescent="0.3">
      <c r="A4302" s="516" t="s">
        <v>2420</v>
      </c>
      <c r="B4302" s="517" t="s">
        <v>16</v>
      </c>
      <c r="C4302" s="516" t="s">
        <v>15</v>
      </c>
      <c r="D4302" s="516" t="s">
        <v>2442</v>
      </c>
      <c r="E4302" s="517" t="s">
        <v>2467</v>
      </c>
      <c r="F4302" s="517" t="s">
        <v>2576</v>
      </c>
      <c r="G4302" s="903" t="s">
        <v>2577</v>
      </c>
      <c r="H4302" s="903"/>
      <c r="I4302" s="517" t="s">
        <v>2470</v>
      </c>
      <c r="J4302"/>
    </row>
    <row r="4303" spans="1:10" x14ac:dyDescent="0.3">
      <c r="A4303" s="519" t="s">
        <v>2437</v>
      </c>
      <c r="B4303" s="520" t="s">
        <v>125</v>
      </c>
      <c r="C4303" s="519" t="s">
        <v>3877</v>
      </c>
      <c r="D4303" s="519" t="s">
        <v>3878</v>
      </c>
      <c r="E4303" s="522">
        <v>1.5630000000000002E-2</v>
      </c>
      <c r="F4303" s="521" t="s">
        <v>2829</v>
      </c>
      <c r="G4303" s="907">
        <v>61.604500000000002</v>
      </c>
      <c r="H4303" s="907"/>
      <c r="I4303" s="524">
        <v>0.96289999999999998</v>
      </c>
      <c r="J4303"/>
    </row>
    <row r="4304" spans="1:10" x14ac:dyDescent="0.3">
      <c r="A4304" s="519" t="s">
        <v>2437</v>
      </c>
      <c r="B4304" s="520" t="s">
        <v>125</v>
      </c>
      <c r="C4304" s="519" t="s">
        <v>3882</v>
      </c>
      <c r="D4304" s="519" t="s">
        <v>3883</v>
      </c>
      <c r="E4304" s="522">
        <v>0.15625</v>
      </c>
      <c r="F4304" s="521" t="s">
        <v>2829</v>
      </c>
      <c r="G4304" s="907">
        <v>301.29199999999997</v>
      </c>
      <c r="H4304" s="907"/>
      <c r="I4304" s="524">
        <v>47.076900000000002</v>
      </c>
      <c r="J4304"/>
    </row>
    <row r="4305" spans="1:10" ht="14.25" customHeight="1" x14ac:dyDescent="0.3">
      <c r="A4305" s="902"/>
      <c r="B4305" s="902"/>
      <c r="C4305" s="902"/>
      <c r="D4305" s="902"/>
      <c r="E4305" s="902"/>
      <c r="F4305" s="902" t="s">
        <v>2809</v>
      </c>
      <c r="G4305" s="902"/>
      <c r="H4305" s="902"/>
      <c r="I4305" s="525">
        <v>48.0398</v>
      </c>
      <c r="J4305"/>
    </row>
    <row r="4306" spans="1:10" ht="15" customHeight="1" x14ac:dyDescent="0.3">
      <c r="A4306" s="516" t="s">
        <v>2574</v>
      </c>
      <c r="B4306" s="517" t="s">
        <v>16</v>
      </c>
      <c r="C4306" s="516" t="s">
        <v>15</v>
      </c>
      <c r="D4306" s="516" t="s">
        <v>2575</v>
      </c>
      <c r="E4306" s="517" t="s">
        <v>2467</v>
      </c>
      <c r="F4306" s="517" t="s">
        <v>2576</v>
      </c>
      <c r="G4306" s="903" t="s">
        <v>2577</v>
      </c>
      <c r="H4306" s="903"/>
      <c r="I4306" s="517" t="s">
        <v>2470</v>
      </c>
      <c r="J4306"/>
    </row>
    <row r="4307" spans="1:10" ht="25" x14ac:dyDescent="0.3">
      <c r="A4307" s="519" t="s">
        <v>2578</v>
      </c>
      <c r="B4307" s="520" t="s">
        <v>32</v>
      </c>
      <c r="C4307" s="519">
        <v>88241</v>
      </c>
      <c r="D4307" s="519" t="s">
        <v>2791</v>
      </c>
      <c r="E4307" s="522">
        <v>2.0080299999999999E-2</v>
      </c>
      <c r="F4307" s="521" t="s">
        <v>1901</v>
      </c>
      <c r="G4307" s="907">
        <v>24.15</v>
      </c>
      <c r="H4307" s="907"/>
      <c r="I4307" s="524">
        <v>0.4849</v>
      </c>
      <c r="J4307"/>
    </row>
    <row r="4308" spans="1:10" ht="25" x14ac:dyDescent="0.3">
      <c r="A4308" s="519" t="s">
        <v>2578</v>
      </c>
      <c r="B4308" s="520" t="s">
        <v>32</v>
      </c>
      <c r="C4308" s="519">
        <v>88310</v>
      </c>
      <c r="D4308" s="519" t="s">
        <v>3021</v>
      </c>
      <c r="E4308" s="522">
        <v>2.0080299999999999E-2</v>
      </c>
      <c r="F4308" s="521" t="s">
        <v>1901</v>
      </c>
      <c r="G4308" s="907">
        <v>32.58</v>
      </c>
      <c r="H4308" s="907"/>
      <c r="I4308" s="524">
        <v>0.6542</v>
      </c>
      <c r="J4308"/>
    </row>
    <row r="4309" spans="1:10" ht="14.25" customHeight="1" x14ac:dyDescent="0.3">
      <c r="A4309" s="902"/>
      <c r="B4309" s="902"/>
      <c r="C4309" s="902"/>
      <c r="D4309" s="902"/>
      <c r="E4309" s="902"/>
      <c r="F4309" s="902" t="s">
        <v>2579</v>
      </c>
      <c r="G4309" s="902"/>
      <c r="H4309" s="902"/>
      <c r="I4309" s="525">
        <v>1.1391</v>
      </c>
      <c r="J4309"/>
    </row>
    <row r="4310" spans="1:10" ht="15" customHeight="1" x14ac:dyDescent="0.3">
      <c r="A4310" s="516" t="s">
        <v>2580</v>
      </c>
      <c r="B4310" s="517" t="s">
        <v>16</v>
      </c>
      <c r="C4310" s="516" t="s">
        <v>2437</v>
      </c>
      <c r="D4310" s="516" t="s">
        <v>2581</v>
      </c>
      <c r="E4310" s="517" t="s">
        <v>15</v>
      </c>
      <c r="F4310" s="517" t="s">
        <v>2467</v>
      </c>
      <c r="G4310" s="518" t="s">
        <v>2576</v>
      </c>
      <c r="H4310" s="517" t="s">
        <v>2577</v>
      </c>
      <c r="I4310" s="517" t="s">
        <v>2470</v>
      </c>
      <c r="J4310"/>
    </row>
    <row r="4311" spans="1:10" ht="25" x14ac:dyDescent="0.3">
      <c r="A4311" s="519" t="s">
        <v>2582</v>
      </c>
      <c r="B4311" s="520" t="s">
        <v>125</v>
      </c>
      <c r="C4311" s="519" t="s">
        <v>3877</v>
      </c>
      <c r="D4311" s="519" t="s">
        <v>2838</v>
      </c>
      <c r="E4311" s="520">
        <v>5914655</v>
      </c>
      <c r="F4311" s="522">
        <v>1.0000000000000001E-5</v>
      </c>
      <c r="G4311" s="521" t="s">
        <v>374</v>
      </c>
      <c r="H4311" s="524">
        <v>33.159999999999997</v>
      </c>
      <c r="I4311" s="524">
        <v>2.9999999999999997E-4</v>
      </c>
      <c r="J4311"/>
    </row>
    <row r="4312" spans="1:10" ht="25" x14ac:dyDescent="0.3">
      <c r="A4312" s="519" t="s">
        <v>2582</v>
      </c>
      <c r="B4312" s="520" t="s">
        <v>125</v>
      </c>
      <c r="C4312" s="519" t="s">
        <v>3882</v>
      </c>
      <c r="D4312" s="519" t="s">
        <v>2838</v>
      </c>
      <c r="E4312" s="520">
        <v>5914655</v>
      </c>
      <c r="F4312" s="522">
        <v>2.2000000000000001E-4</v>
      </c>
      <c r="G4312" s="521" t="s">
        <v>374</v>
      </c>
      <c r="H4312" s="524">
        <v>33.159999999999997</v>
      </c>
      <c r="I4312" s="524">
        <v>7.3000000000000001E-3</v>
      </c>
      <c r="J4312"/>
    </row>
    <row r="4313" spans="1:10" ht="14.25" customHeight="1" x14ac:dyDescent="0.3">
      <c r="A4313" s="902"/>
      <c r="B4313" s="902"/>
      <c r="C4313" s="902"/>
      <c r="D4313" s="902"/>
      <c r="E4313" s="902"/>
      <c r="F4313" s="902" t="s">
        <v>2585</v>
      </c>
      <c r="G4313" s="902"/>
      <c r="H4313" s="902"/>
      <c r="I4313" s="525">
        <v>7.6E-3</v>
      </c>
      <c r="J4313"/>
    </row>
    <row r="4314" spans="1:10" ht="15" customHeight="1" x14ac:dyDescent="0.3">
      <c r="A4314" s="516" t="s">
        <v>2586</v>
      </c>
      <c r="B4314" s="517" t="s">
        <v>16</v>
      </c>
      <c r="C4314" s="516" t="s">
        <v>2437</v>
      </c>
      <c r="D4314" s="516" t="s">
        <v>2587</v>
      </c>
      <c r="E4314" s="517" t="s">
        <v>2467</v>
      </c>
      <c r="F4314" s="517" t="s">
        <v>2576</v>
      </c>
      <c r="G4314" s="908" t="s">
        <v>2588</v>
      </c>
      <c r="H4314" s="903"/>
      <c r="I4314" s="517" t="s">
        <v>2470</v>
      </c>
      <c r="J4314"/>
    </row>
    <row r="4315" spans="1:10" s="358" customFormat="1" x14ac:dyDescent="0.3">
      <c r="A4315" s="518"/>
      <c r="B4315" s="518"/>
      <c r="C4315" s="518"/>
      <c r="D4315" s="518"/>
      <c r="E4315" s="518"/>
      <c r="F4315" s="518"/>
      <c r="G4315" s="518" t="s">
        <v>2589</v>
      </c>
      <c r="H4315" s="518" t="s">
        <v>2590</v>
      </c>
      <c r="I4315" s="518"/>
      <c r="J4315"/>
    </row>
    <row r="4316" spans="1:10" ht="37.5" x14ac:dyDescent="0.3">
      <c r="A4316" s="519" t="s">
        <v>2587</v>
      </c>
      <c r="B4316" s="520" t="s">
        <v>125</v>
      </c>
      <c r="C4316" s="519" t="s">
        <v>3877</v>
      </c>
      <c r="D4316" s="519" t="s">
        <v>4551</v>
      </c>
      <c r="E4316" s="522">
        <v>1.0000000000000001E-5</v>
      </c>
      <c r="F4316" s="521" t="s">
        <v>2592</v>
      </c>
      <c r="G4316" s="520" t="s">
        <v>4472</v>
      </c>
      <c r="H4316" s="520" t="s">
        <v>4473</v>
      </c>
      <c r="I4316" s="524">
        <v>0</v>
      </c>
      <c r="J4316"/>
    </row>
    <row r="4317" spans="1:10" s="358" customFormat="1" ht="37.5" x14ac:dyDescent="0.3">
      <c r="A4317" s="519" t="s">
        <v>2587</v>
      </c>
      <c r="B4317" s="520" t="s">
        <v>125</v>
      </c>
      <c r="C4317" s="519" t="s">
        <v>3882</v>
      </c>
      <c r="D4317" s="519" t="s">
        <v>4553</v>
      </c>
      <c r="E4317" s="522">
        <v>2.2000000000000001E-4</v>
      </c>
      <c r="F4317" s="521" t="s">
        <v>2592</v>
      </c>
      <c r="G4317" s="520" t="s">
        <v>4472</v>
      </c>
      <c r="H4317" s="520" t="s">
        <v>4473</v>
      </c>
      <c r="I4317" s="524">
        <v>0</v>
      </c>
      <c r="J4317"/>
    </row>
    <row r="4318" spans="1:10" ht="15" customHeight="1" thickBot="1" x14ac:dyDescent="0.35">
      <c r="A4318" s="902"/>
      <c r="B4318" s="902"/>
      <c r="C4318" s="902"/>
      <c r="D4318" s="902"/>
      <c r="E4318" s="902"/>
      <c r="F4318" s="902" t="s">
        <v>2593</v>
      </c>
      <c r="G4318" s="902"/>
      <c r="H4318" s="902"/>
      <c r="I4318" s="525">
        <v>0</v>
      </c>
      <c r="J4318"/>
    </row>
    <row r="4319" spans="1:10" ht="14.5" thickTop="1" x14ac:dyDescent="0.3">
      <c r="A4319" s="647"/>
      <c r="B4319" s="647"/>
      <c r="C4319" s="647"/>
      <c r="D4319" s="647"/>
      <c r="E4319" s="647"/>
      <c r="F4319" s="647"/>
      <c r="G4319" s="647"/>
      <c r="H4319" s="647"/>
      <c r="I4319" s="647"/>
      <c r="J4319"/>
    </row>
    <row r="4320" spans="1:10" x14ac:dyDescent="0.3">
      <c r="A4320" s="516"/>
      <c r="B4320" s="517" t="s">
        <v>15</v>
      </c>
      <c r="C4320" s="516" t="s">
        <v>16</v>
      </c>
      <c r="D4320" s="516" t="s">
        <v>17</v>
      </c>
      <c r="E4320" s="904" t="s">
        <v>2431</v>
      </c>
      <c r="F4320" s="904"/>
      <c r="G4320" s="518" t="s">
        <v>18</v>
      </c>
      <c r="H4320" s="517" t="s">
        <v>19</v>
      </c>
      <c r="I4320" s="517" t="s">
        <v>20</v>
      </c>
      <c r="J4320" s="517" t="s">
        <v>23</v>
      </c>
    </row>
    <row r="4321" spans="1:10" x14ac:dyDescent="0.3">
      <c r="A4321" s="642" t="s">
        <v>2432</v>
      </c>
      <c r="B4321" s="643" t="s">
        <v>3884</v>
      </c>
      <c r="C4321" s="642" t="s">
        <v>125</v>
      </c>
      <c r="D4321" s="642" t="s">
        <v>3885</v>
      </c>
      <c r="E4321" s="906" t="s">
        <v>1328</v>
      </c>
      <c r="F4321" s="906"/>
      <c r="G4321" s="644" t="s">
        <v>115</v>
      </c>
      <c r="H4321" s="645">
        <v>1</v>
      </c>
      <c r="I4321" s="646">
        <v>15.94</v>
      </c>
      <c r="J4321" s="646">
        <v>15.94</v>
      </c>
    </row>
    <row r="4322" spans="1:10" ht="14.25" customHeight="1" x14ac:dyDescent="0.3">
      <c r="A4322" s="904" t="s">
        <v>2418</v>
      </c>
      <c r="B4322" s="903" t="s">
        <v>15</v>
      </c>
      <c r="C4322" s="904" t="s">
        <v>16</v>
      </c>
      <c r="D4322" s="904" t="s">
        <v>2466</v>
      </c>
      <c r="E4322" s="903" t="s">
        <v>2467</v>
      </c>
      <c r="F4322" s="908" t="s">
        <v>2468</v>
      </c>
      <c r="G4322" s="903"/>
      <c r="H4322" s="518" t="s">
        <v>2469</v>
      </c>
      <c r="I4322" s="903" t="s">
        <v>2470</v>
      </c>
      <c r="J4322"/>
    </row>
    <row r="4323" spans="1:10" ht="14.25" customHeight="1" x14ac:dyDescent="0.3">
      <c r="A4323" s="903"/>
      <c r="B4323" s="903"/>
      <c r="C4323" s="903"/>
      <c r="D4323" s="903"/>
      <c r="E4323" s="903"/>
      <c r="F4323" s="517" t="s">
        <v>2471</v>
      </c>
      <c r="G4323" s="517" t="s">
        <v>2472</v>
      </c>
      <c r="H4323" s="517" t="s">
        <v>2471</v>
      </c>
      <c r="I4323" s="903"/>
      <c r="J4323"/>
    </row>
    <row r="4324" spans="1:10" ht="14.25" customHeight="1" x14ac:dyDescent="0.3">
      <c r="A4324" s="519" t="s">
        <v>2437</v>
      </c>
      <c r="B4324" s="520" t="s">
        <v>3886</v>
      </c>
      <c r="C4324" s="519" t="s">
        <v>125</v>
      </c>
      <c r="D4324" s="519" t="s">
        <v>3887</v>
      </c>
      <c r="E4324" s="522">
        <v>1</v>
      </c>
      <c r="F4324" s="523">
        <v>1</v>
      </c>
      <c r="G4324" s="523">
        <v>0</v>
      </c>
      <c r="H4324" s="524">
        <v>44.047499999999999</v>
      </c>
      <c r="I4324" s="524">
        <v>44.047499999999999</v>
      </c>
      <c r="J4324"/>
    </row>
    <row r="4325" spans="1:10" x14ac:dyDescent="0.3">
      <c r="A4325" s="519" t="s">
        <v>2437</v>
      </c>
      <c r="B4325" s="520" t="s">
        <v>3888</v>
      </c>
      <c r="C4325" s="519" t="s">
        <v>125</v>
      </c>
      <c r="D4325" s="519" t="s">
        <v>3889</v>
      </c>
      <c r="E4325" s="522">
        <v>1</v>
      </c>
      <c r="F4325" s="523">
        <v>1</v>
      </c>
      <c r="G4325" s="523">
        <v>0</v>
      </c>
      <c r="H4325" s="524">
        <v>26.9573</v>
      </c>
      <c r="I4325" s="524">
        <v>26.9573</v>
      </c>
      <c r="J4325"/>
    </row>
    <row r="4326" spans="1:10" ht="14.25" customHeight="1" x14ac:dyDescent="0.3">
      <c r="A4326" s="902"/>
      <c r="B4326" s="902"/>
      <c r="C4326" s="902"/>
      <c r="D4326" s="902"/>
      <c r="E4326" s="902"/>
      <c r="F4326" s="902" t="s">
        <v>2475</v>
      </c>
      <c r="G4326" s="902"/>
      <c r="H4326" s="902"/>
      <c r="I4326" s="525">
        <v>71.004800000000003</v>
      </c>
      <c r="J4326"/>
    </row>
    <row r="4327" spans="1:10" ht="14.25" customHeight="1" x14ac:dyDescent="0.3">
      <c r="A4327" s="902"/>
      <c r="B4327" s="902"/>
      <c r="C4327" s="902"/>
      <c r="D4327" s="902"/>
      <c r="E4327" s="902"/>
      <c r="F4327" s="902" t="s">
        <v>2476</v>
      </c>
      <c r="G4327" s="902"/>
      <c r="H4327" s="902"/>
      <c r="I4327" s="525">
        <v>71.004800000000003</v>
      </c>
      <c r="J4327"/>
    </row>
    <row r="4328" spans="1:10" ht="15" customHeight="1" x14ac:dyDescent="0.3">
      <c r="A4328" s="902"/>
      <c r="B4328" s="902"/>
      <c r="C4328" s="902"/>
      <c r="D4328" s="902"/>
      <c r="E4328" s="902"/>
      <c r="F4328" s="902" t="s">
        <v>2477</v>
      </c>
      <c r="G4328" s="902"/>
      <c r="H4328" s="902"/>
      <c r="I4328" s="525">
        <v>0</v>
      </c>
      <c r="J4328"/>
    </row>
    <row r="4329" spans="1:10" x14ac:dyDescent="0.3">
      <c r="A4329" s="902"/>
      <c r="B4329" s="902"/>
      <c r="C4329" s="902"/>
      <c r="D4329" s="902"/>
      <c r="E4329" s="902"/>
      <c r="F4329" s="902" t="s">
        <v>2478</v>
      </c>
      <c r="G4329" s="902"/>
      <c r="H4329" s="902"/>
      <c r="I4329" s="525">
        <v>0</v>
      </c>
      <c r="J4329"/>
    </row>
    <row r="4330" spans="1:10" ht="14.25" customHeight="1" x14ac:dyDescent="0.3">
      <c r="A4330" s="902"/>
      <c r="B4330" s="902"/>
      <c r="C4330" s="902"/>
      <c r="D4330" s="902"/>
      <c r="E4330" s="902"/>
      <c r="F4330" s="902" t="s">
        <v>2479</v>
      </c>
      <c r="G4330" s="902"/>
      <c r="H4330" s="902"/>
      <c r="I4330" s="525">
        <v>19.149999999999999</v>
      </c>
      <c r="J4330"/>
    </row>
    <row r="4331" spans="1:10" ht="14.25" customHeight="1" x14ac:dyDescent="0.3">
      <c r="A4331" s="902"/>
      <c r="B4331" s="902"/>
      <c r="C4331" s="902"/>
      <c r="D4331" s="902"/>
      <c r="E4331" s="902"/>
      <c r="F4331" s="902" t="s">
        <v>2480</v>
      </c>
      <c r="G4331" s="902"/>
      <c r="H4331" s="902"/>
      <c r="I4331" s="525">
        <v>3.7078000000000002</v>
      </c>
      <c r="J4331"/>
    </row>
    <row r="4332" spans="1:10" ht="15" customHeight="1" x14ac:dyDescent="0.3">
      <c r="A4332" s="516" t="s">
        <v>2420</v>
      </c>
      <c r="B4332" s="517" t="s">
        <v>16</v>
      </c>
      <c r="C4332" s="516" t="s">
        <v>15</v>
      </c>
      <c r="D4332" s="516" t="s">
        <v>2442</v>
      </c>
      <c r="E4332" s="517" t="s">
        <v>2467</v>
      </c>
      <c r="F4332" s="517" t="s">
        <v>2576</v>
      </c>
      <c r="G4332" s="903" t="s">
        <v>2577</v>
      </c>
      <c r="H4332" s="903"/>
      <c r="I4332" s="517" t="s">
        <v>2470</v>
      </c>
      <c r="J4332"/>
    </row>
    <row r="4333" spans="1:10" x14ac:dyDescent="0.3">
      <c r="A4333" s="519" t="s">
        <v>2437</v>
      </c>
      <c r="B4333" s="520" t="s">
        <v>125</v>
      </c>
      <c r="C4333" s="519" t="s">
        <v>3890</v>
      </c>
      <c r="D4333" s="519" t="s">
        <v>3891</v>
      </c>
      <c r="E4333" s="522">
        <v>0.112</v>
      </c>
      <c r="F4333" s="521" t="s">
        <v>384</v>
      </c>
      <c r="G4333" s="907">
        <v>67.535799999999995</v>
      </c>
      <c r="H4333" s="907"/>
      <c r="I4333" s="524">
        <v>7.5640000000000001</v>
      </c>
      <c r="J4333"/>
    </row>
    <row r="4334" spans="1:10" ht="14.25" customHeight="1" x14ac:dyDescent="0.3">
      <c r="A4334" s="902"/>
      <c r="B4334" s="902"/>
      <c r="C4334" s="902"/>
      <c r="D4334" s="902"/>
      <c r="E4334" s="902"/>
      <c r="F4334" s="902" t="s">
        <v>2809</v>
      </c>
      <c r="G4334" s="902"/>
      <c r="H4334" s="902"/>
      <c r="I4334" s="525">
        <v>7.5640000000000001</v>
      </c>
      <c r="J4334"/>
    </row>
    <row r="4335" spans="1:10" ht="14.25" customHeight="1" x14ac:dyDescent="0.3">
      <c r="A4335" s="516" t="s">
        <v>2574</v>
      </c>
      <c r="B4335" s="517" t="s">
        <v>16</v>
      </c>
      <c r="C4335" s="516" t="s">
        <v>15</v>
      </c>
      <c r="D4335" s="516" t="s">
        <v>2575</v>
      </c>
      <c r="E4335" s="517" t="s">
        <v>2467</v>
      </c>
      <c r="F4335" s="517" t="s">
        <v>2576</v>
      </c>
      <c r="G4335" s="903" t="s">
        <v>2577</v>
      </c>
      <c r="H4335" s="903"/>
      <c r="I4335" s="517" t="s">
        <v>2470</v>
      </c>
      <c r="J4335"/>
    </row>
    <row r="4336" spans="1:10" ht="15" customHeight="1" x14ac:dyDescent="0.3">
      <c r="A4336" s="519" t="s">
        <v>2578</v>
      </c>
      <c r="B4336" s="520" t="s">
        <v>32</v>
      </c>
      <c r="C4336" s="519">
        <v>88241</v>
      </c>
      <c r="D4336" s="519" t="s">
        <v>2791</v>
      </c>
      <c r="E4336" s="522">
        <v>5.2219300000000003E-2</v>
      </c>
      <c r="F4336" s="521" t="s">
        <v>1901</v>
      </c>
      <c r="G4336" s="907">
        <v>24.15</v>
      </c>
      <c r="H4336" s="907"/>
      <c r="I4336" s="524">
        <v>1.2611000000000001</v>
      </c>
      <c r="J4336"/>
    </row>
    <row r="4337" spans="1:10" ht="25" x14ac:dyDescent="0.3">
      <c r="A4337" s="519" t="s">
        <v>2578</v>
      </c>
      <c r="B4337" s="520" t="s">
        <v>32</v>
      </c>
      <c r="C4337" s="519">
        <v>88310</v>
      </c>
      <c r="D4337" s="519" t="s">
        <v>3021</v>
      </c>
      <c r="E4337" s="522">
        <v>0.10443860000000001</v>
      </c>
      <c r="F4337" s="521" t="s">
        <v>1901</v>
      </c>
      <c r="G4337" s="907">
        <v>32.58</v>
      </c>
      <c r="H4337" s="907"/>
      <c r="I4337" s="524">
        <v>3.4026000000000001</v>
      </c>
      <c r="J4337"/>
    </row>
    <row r="4338" spans="1:10" ht="14.25" customHeight="1" x14ac:dyDescent="0.3">
      <c r="A4338" s="902"/>
      <c r="B4338" s="902"/>
      <c r="C4338" s="902"/>
      <c r="D4338" s="902"/>
      <c r="E4338" s="902"/>
      <c r="F4338" s="902" t="s">
        <v>2579</v>
      </c>
      <c r="G4338" s="902"/>
      <c r="H4338" s="902"/>
      <c r="I4338" s="525">
        <v>4.6637000000000004</v>
      </c>
      <c r="J4338"/>
    </row>
    <row r="4339" spans="1:10" ht="14.25" customHeight="1" x14ac:dyDescent="0.3">
      <c r="A4339" s="516" t="s">
        <v>2580</v>
      </c>
      <c r="B4339" s="517" t="s">
        <v>16</v>
      </c>
      <c r="C4339" s="516" t="s">
        <v>2437</v>
      </c>
      <c r="D4339" s="516" t="s">
        <v>2581</v>
      </c>
      <c r="E4339" s="517" t="s">
        <v>15</v>
      </c>
      <c r="F4339" s="517" t="s">
        <v>2467</v>
      </c>
      <c r="G4339" s="518" t="s">
        <v>2576</v>
      </c>
      <c r="H4339" s="517" t="s">
        <v>2577</v>
      </c>
      <c r="I4339" s="517" t="s">
        <v>2470</v>
      </c>
      <c r="J4339"/>
    </row>
    <row r="4340" spans="1:10" ht="15" customHeight="1" x14ac:dyDescent="0.3">
      <c r="A4340" s="519" t="s">
        <v>2582</v>
      </c>
      <c r="B4340" s="520" t="s">
        <v>125</v>
      </c>
      <c r="C4340" s="519" t="s">
        <v>3890</v>
      </c>
      <c r="D4340" s="519" t="s">
        <v>2838</v>
      </c>
      <c r="E4340" s="520">
        <v>5914655</v>
      </c>
      <c r="F4340" s="522">
        <v>1.1E-4</v>
      </c>
      <c r="G4340" s="521" t="s">
        <v>374</v>
      </c>
      <c r="H4340" s="524">
        <v>33.159999999999997</v>
      </c>
      <c r="I4340" s="524">
        <v>3.5999999999999999E-3</v>
      </c>
      <c r="J4340"/>
    </row>
    <row r="4341" spans="1:10" ht="14.25" customHeight="1" x14ac:dyDescent="0.3">
      <c r="A4341" s="902"/>
      <c r="B4341" s="902"/>
      <c r="C4341" s="902"/>
      <c r="D4341" s="902"/>
      <c r="E4341" s="902"/>
      <c r="F4341" s="902" t="s">
        <v>2585</v>
      </c>
      <c r="G4341" s="902"/>
      <c r="H4341" s="902"/>
      <c r="I4341" s="525">
        <v>3.5999999999999999E-3</v>
      </c>
      <c r="J4341"/>
    </row>
    <row r="4342" spans="1:10" ht="15" customHeight="1" x14ac:dyDescent="0.3">
      <c r="A4342" s="516" t="s">
        <v>2586</v>
      </c>
      <c r="B4342" s="517" t="s">
        <v>16</v>
      </c>
      <c r="C4342" s="516" t="s">
        <v>2437</v>
      </c>
      <c r="D4342" s="516" t="s">
        <v>2587</v>
      </c>
      <c r="E4342" s="517" t="s">
        <v>2467</v>
      </c>
      <c r="F4342" s="517" t="s">
        <v>2576</v>
      </c>
      <c r="G4342" s="908" t="s">
        <v>2588</v>
      </c>
      <c r="H4342" s="903"/>
      <c r="I4342" s="517" t="s">
        <v>2470</v>
      </c>
      <c r="J4342"/>
    </row>
    <row r="4343" spans="1:10" x14ac:dyDescent="0.3">
      <c r="A4343" s="518"/>
      <c r="B4343" s="518"/>
      <c r="C4343" s="518"/>
      <c r="D4343" s="518"/>
      <c r="E4343" s="518"/>
      <c r="F4343" s="518"/>
      <c r="G4343" s="518" t="s">
        <v>2589</v>
      </c>
      <c r="H4343" s="518" t="s">
        <v>2590</v>
      </c>
      <c r="I4343" s="518"/>
      <c r="J4343"/>
    </row>
    <row r="4344" spans="1:10" ht="15" customHeight="1" x14ac:dyDescent="0.3">
      <c r="A4344" s="519" t="s">
        <v>2587</v>
      </c>
      <c r="B4344" s="520" t="s">
        <v>125</v>
      </c>
      <c r="C4344" s="519" t="s">
        <v>3890</v>
      </c>
      <c r="D4344" s="519" t="s">
        <v>3892</v>
      </c>
      <c r="E4344" s="522">
        <v>1.1E-4</v>
      </c>
      <c r="F4344" s="521" t="s">
        <v>2592</v>
      </c>
      <c r="G4344" s="520" t="s">
        <v>4472</v>
      </c>
      <c r="H4344" s="520" t="s">
        <v>4473</v>
      </c>
      <c r="I4344" s="524">
        <v>0</v>
      </c>
      <c r="J4344"/>
    </row>
    <row r="4345" spans="1:10" s="358" customFormat="1" ht="15.75" customHeight="1" thickBot="1" x14ac:dyDescent="0.35">
      <c r="A4345" s="902"/>
      <c r="B4345" s="902"/>
      <c r="C4345" s="902"/>
      <c r="D4345" s="902"/>
      <c r="E4345" s="902"/>
      <c r="F4345" s="902" t="s">
        <v>2593</v>
      </c>
      <c r="G4345" s="902"/>
      <c r="H4345" s="902"/>
      <c r="I4345" s="525">
        <v>0</v>
      </c>
      <c r="J4345"/>
    </row>
    <row r="4346" spans="1:10" ht="14.5" thickTop="1" x14ac:dyDescent="0.3">
      <c r="A4346" s="647"/>
      <c r="B4346" s="647"/>
      <c r="C4346" s="647"/>
      <c r="D4346" s="647"/>
      <c r="E4346" s="647"/>
      <c r="F4346" s="647"/>
      <c r="G4346" s="647"/>
      <c r="H4346" s="647"/>
      <c r="I4346" s="647"/>
      <c r="J4346"/>
    </row>
    <row r="4347" spans="1:10" s="358" customFormat="1" x14ac:dyDescent="0.3">
      <c r="A4347" s="516"/>
      <c r="B4347" s="517" t="s">
        <v>15</v>
      </c>
      <c r="C4347" s="516" t="s">
        <v>16</v>
      </c>
      <c r="D4347" s="516" t="s">
        <v>17</v>
      </c>
      <c r="E4347" s="904" t="s">
        <v>2431</v>
      </c>
      <c r="F4347" s="904"/>
      <c r="G4347" s="518" t="s">
        <v>18</v>
      </c>
      <c r="H4347" s="517" t="s">
        <v>19</v>
      </c>
      <c r="I4347" s="517" t="s">
        <v>20</v>
      </c>
      <c r="J4347" s="517" t="s">
        <v>23</v>
      </c>
    </row>
    <row r="4348" spans="1:10" ht="15" customHeight="1" x14ac:dyDescent="0.3">
      <c r="A4348" s="642" t="s">
        <v>2432</v>
      </c>
      <c r="B4348" s="643" t="s">
        <v>3893</v>
      </c>
      <c r="C4348" s="642" t="s">
        <v>125</v>
      </c>
      <c r="D4348" s="642" t="s">
        <v>2862</v>
      </c>
      <c r="E4348" s="906" t="s">
        <v>1328</v>
      </c>
      <c r="F4348" s="906"/>
      <c r="G4348" s="644" t="s">
        <v>115</v>
      </c>
      <c r="H4348" s="645">
        <v>1</v>
      </c>
      <c r="I4348" s="646">
        <v>405.93</v>
      </c>
      <c r="J4348" s="646">
        <v>405.93</v>
      </c>
    </row>
    <row r="4349" spans="1:10" ht="15" customHeight="1" x14ac:dyDescent="0.3">
      <c r="A4349" s="904" t="s">
        <v>2418</v>
      </c>
      <c r="B4349" s="903" t="s">
        <v>15</v>
      </c>
      <c r="C4349" s="904" t="s">
        <v>16</v>
      </c>
      <c r="D4349" s="904" t="s">
        <v>2466</v>
      </c>
      <c r="E4349" s="903" t="s">
        <v>2467</v>
      </c>
      <c r="F4349" s="908" t="s">
        <v>2468</v>
      </c>
      <c r="G4349" s="903"/>
      <c r="H4349" s="518" t="s">
        <v>2469</v>
      </c>
      <c r="I4349" s="903" t="s">
        <v>2470</v>
      </c>
      <c r="J4349"/>
    </row>
    <row r="4350" spans="1:10" x14ac:dyDescent="0.3">
      <c r="A4350" s="903"/>
      <c r="B4350" s="903"/>
      <c r="C4350" s="903"/>
      <c r="D4350" s="903"/>
      <c r="E4350" s="903"/>
      <c r="F4350" s="517" t="s">
        <v>2471</v>
      </c>
      <c r="G4350" s="517" t="s">
        <v>2472</v>
      </c>
      <c r="H4350" s="517" t="s">
        <v>2471</v>
      </c>
      <c r="I4350" s="903"/>
      <c r="J4350"/>
    </row>
    <row r="4351" spans="1:10" x14ac:dyDescent="0.3">
      <c r="A4351" s="519" t="s">
        <v>2437</v>
      </c>
      <c r="B4351" s="520" t="s">
        <v>3894</v>
      </c>
      <c r="C4351" s="519" t="s">
        <v>125</v>
      </c>
      <c r="D4351" s="519" t="s">
        <v>3895</v>
      </c>
      <c r="E4351" s="522">
        <v>0.15060000000000001</v>
      </c>
      <c r="F4351" s="523">
        <v>1</v>
      </c>
      <c r="G4351" s="523">
        <v>0</v>
      </c>
      <c r="H4351" s="524">
        <v>0.20530000000000001</v>
      </c>
      <c r="I4351" s="524">
        <v>3.09E-2</v>
      </c>
      <c r="J4351"/>
    </row>
    <row r="4352" spans="1:10" ht="14.25" customHeight="1" x14ac:dyDescent="0.3">
      <c r="A4352" s="519" t="s">
        <v>2437</v>
      </c>
      <c r="B4352" s="520" t="s">
        <v>3888</v>
      </c>
      <c r="C4352" s="519" t="s">
        <v>125</v>
      </c>
      <c r="D4352" s="519" t="s">
        <v>3889</v>
      </c>
      <c r="E4352" s="522">
        <v>0.48193000000000003</v>
      </c>
      <c r="F4352" s="523">
        <v>1</v>
      </c>
      <c r="G4352" s="523">
        <v>0</v>
      </c>
      <c r="H4352" s="524">
        <v>26.9573</v>
      </c>
      <c r="I4352" s="524">
        <v>12.9915</v>
      </c>
      <c r="J4352"/>
    </row>
    <row r="4353" spans="1:10" ht="14.25" customHeight="1" x14ac:dyDescent="0.3">
      <c r="A4353" s="519" t="s">
        <v>2437</v>
      </c>
      <c r="B4353" s="520" t="s">
        <v>3896</v>
      </c>
      <c r="C4353" s="519" t="s">
        <v>125</v>
      </c>
      <c r="D4353" s="519" t="s">
        <v>3897</v>
      </c>
      <c r="E4353" s="522">
        <v>0.20080000000000001</v>
      </c>
      <c r="F4353" s="523">
        <v>1</v>
      </c>
      <c r="G4353" s="523">
        <v>0</v>
      </c>
      <c r="H4353" s="524">
        <v>14.806699999999999</v>
      </c>
      <c r="I4353" s="524">
        <v>2.9731999999999998</v>
      </c>
      <c r="J4353"/>
    </row>
    <row r="4354" spans="1:10" ht="14.25" customHeight="1" x14ac:dyDescent="0.3">
      <c r="A4354" s="519" t="s">
        <v>2437</v>
      </c>
      <c r="B4354" s="520" t="s">
        <v>3898</v>
      </c>
      <c r="C4354" s="519" t="s">
        <v>125</v>
      </c>
      <c r="D4354" s="519" t="s">
        <v>3899</v>
      </c>
      <c r="E4354" s="522">
        <v>0.48193000000000003</v>
      </c>
      <c r="F4354" s="523">
        <v>1</v>
      </c>
      <c r="G4354" s="523">
        <v>0</v>
      </c>
      <c r="H4354" s="524">
        <v>12.2171</v>
      </c>
      <c r="I4354" s="524">
        <v>5.8878000000000004</v>
      </c>
      <c r="J4354"/>
    </row>
    <row r="4355" spans="1:10" x14ac:dyDescent="0.3">
      <c r="A4355" s="519" t="s">
        <v>2437</v>
      </c>
      <c r="B4355" s="520" t="s">
        <v>3900</v>
      </c>
      <c r="C4355" s="519" t="s">
        <v>125</v>
      </c>
      <c r="D4355" s="519" t="s">
        <v>3901</v>
      </c>
      <c r="E4355" s="522">
        <v>0.48193000000000003</v>
      </c>
      <c r="F4355" s="523">
        <v>1</v>
      </c>
      <c r="G4355" s="523">
        <v>0</v>
      </c>
      <c r="H4355" s="524">
        <v>25.220700000000001</v>
      </c>
      <c r="I4355" s="524">
        <v>12.1546</v>
      </c>
      <c r="J4355"/>
    </row>
    <row r="4356" spans="1:10" ht="14.25" customHeight="1" x14ac:dyDescent="0.3">
      <c r="A4356" s="902"/>
      <c r="B4356" s="902"/>
      <c r="C4356" s="902"/>
      <c r="D4356" s="902"/>
      <c r="E4356" s="902"/>
      <c r="F4356" s="902" t="s">
        <v>2475</v>
      </c>
      <c r="G4356" s="902"/>
      <c r="H4356" s="902"/>
      <c r="I4356" s="525">
        <v>34.037999999999997</v>
      </c>
      <c r="J4356"/>
    </row>
    <row r="4357" spans="1:10" ht="14.25" customHeight="1" x14ac:dyDescent="0.3">
      <c r="A4357" s="902"/>
      <c r="B4357" s="902"/>
      <c r="C4357" s="902"/>
      <c r="D4357" s="902"/>
      <c r="E4357" s="902"/>
      <c r="F4357" s="902" t="s">
        <v>2476</v>
      </c>
      <c r="G4357" s="902"/>
      <c r="H4357" s="902"/>
      <c r="I4357" s="525">
        <v>34.037999999999997</v>
      </c>
      <c r="J4357"/>
    </row>
    <row r="4358" spans="1:10" ht="15" customHeight="1" x14ac:dyDescent="0.3">
      <c r="A4358" s="902"/>
      <c r="B4358" s="902"/>
      <c r="C4358" s="902"/>
      <c r="D4358" s="902"/>
      <c r="E4358" s="902"/>
      <c r="F4358" s="902" t="s">
        <v>2477</v>
      </c>
      <c r="G4358" s="902"/>
      <c r="H4358" s="902"/>
      <c r="I4358" s="525">
        <v>0</v>
      </c>
      <c r="J4358"/>
    </row>
    <row r="4359" spans="1:10" x14ac:dyDescent="0.3">
      <c r="A4359" s="902"/>
      <c r="B4359" s="902"/>
      <c r="C4359" s="902"/>
      <c r="D4359" s="902"/>
      <c r="E4359" s="902"/>
      <c r="F4359" s="902" t="s">
        <v>2478</v>
      </c>
      <c r="G4359" s="902"/>
      <c r="H4359" s="902"/>
      <c r="I4359" s="525">
        <v>0</v>
      </c>
      <c r="J4359"/>
    </row>
    <row r="4360" spans="1:10" ht="14.25" customHeight="1" x14ac:dyDescent="0.3">
      <c r="A4360" s="902"/>
      <c r="B4360" s="902"/>
      <c r="C4360" s="902"/>
      <c r="D4360" s="902"/>
      <c r="E4360" s="902"/>
      <c r="F4360" s="902" t="s">
        <v>2479</v>
      </c>
      <c r="G4360" s="902"/>
      <c r="H4360" s="902"/>
      <c r="I4360" s="525">
        <v>4</v>
      </c>
      <c r="J4360"/>
    </row>
    <row r="4361" spans="1:10" ht="15" customHeight="1" x14ac:dyDescent="0.3">
      <c r="A4361" s="902"/>
      <c r="B4361" s="902"/>
      <c r="C4361" s="902"/>
      <c r="D4361" s="902"/>
      <c r="E4361" s="902"/>
      <c r="F4361" s="902" t="s">
        <v>2480</v>
      </c>
      <c r="G4361" s="902"/>
      <c r="H4361" s="902"/>
      <c r="I4361" s="525">
        <v>8.5094999999999992</v>
      </c>
      <c r="J4361"/>
    </row>
    <row r="4362" spans="1:10" ht="15" customHeight="1" x14ac:dyDescent="0.3">
      <c r="A4362" s="516" t="s">
        <v>2420</v>
      </c>
      <c r="B4362" s="517" t="s">
        <v>16</v>
      </c>
      <c r="C4362" s="516" t="s">
        <v>15</v>
      </c>
      <c r="D4362" s="516" t="s">
        <v>2442</v>
      </c>
      <c r="E4362" s="517" t="s">
        <v>2467</v>
      </c>
      <c r="F4362" s="517" t="s">
        <v>2576</v>
      </c>
      <c r="G4362" s="903" t="s">
        <v>2577</v>
      </c>
      <c r="H4362" s="903"/>
      <c r="I4362" s="517" t="s">
        <v>2470</v>
      </c>
      <c r="J4362"/>
    </row>
    <row r="4363" spans="1:10" x14ac:dyDescent="0.3">
      <c r="A4363" s="519" t="s">
        <v>2437</v>
      </c>
      <c r="B4363" s="520" t="s">
        <v>125</v>
      </c>
      <c r="C4363" s="519" t="s">
        <v>3902</v>
      </c>
      <c r="D4363" s="519" t="s">
        <v>3903</v>
      </c>
      <c r="E4363" s="522">
        <v>11.775</v>
      </c>
      <c r="F4363" s="521" t="s">
        <v>384</v>
      </c>
      <c r="G4363" s="907">
        <v>11.4353</v>
      </c>
      <c r="H4363" s="907"/>
      <c r="I4363" s="524">
        <v>134.6507</v>
      </c>
      <c r="J4363"/>
    </row>
    <row r="4364" spans="1:10" ht="14.25" customHeight="1" x14ac:dyDescent="0.3">
      <c r="A4364" s="519" t="s">
        <v>2437</v>
      </c>
      <c r="B4364" s="520" t="s">
        <v>125</v>
      </c>
      <c r="C4364" s="519" t="s">
        <v>3904</v>
      </c>
      <c r="D4364" s="519" t="s">
        <v>3905</v>
      </c>
      <c r="E4364" s="522">
        <v>1.4</v>
      </c>
      <c r="F4364" s="521" t="s">
        <v>115</v>
      </c>
      <c r="G4364" s="907">
        <v>149.0067</v>
      </c>
      <c r="H4364" s="907"/>
      <c r="I4364" s="524">
        <v>208.60939999999999</v>
      </c>
      <c r="J4364"/>
    </row>
    <row r="4365" spans="1:10" ht="15" customHeight="1" x14ac:dyDescent="0.3">
      <c r="A4365" s="902"/>
      <c r="B4365" s="902"/>
      <c r="C4365" s="902"/>
      <c r="D4365" s="902"/>
      <c r="E4365" s="902"/>
      <c r="F4365" s="902" t="s">
        <v>2809</v>
      </c>
      <c r="G4365" s="902"/>
      <c r="H4365" s="902"/>
      <c r="I4365" s="525">
        <v>343.26010000000002</v>
      </c>
      <c r="J4365"/>
    </row>
    <row r="4366" spans="1:10" ht="15" customHeight="1" x14ac:dyDescent="0.3">
      <c r="A4366" s="516" t="s">
        <v>2574</v>
      </c>
      <c r="B4366" s="517" t="s">
        <v>16</v>
      </c>
      <c r="C4366" s="516" t="s">
        <v>15</v>
      </c>
      <c r="D4366" s="516" t="s">
        <v>2575</v>
      </c>
      <c r="E4366" s="517" t="s">
        <v>2467</v>
      </c>
      <c r="F4366" s="517" t="s">
        <v>2576</v>
      </c>
      <c r="G4366" s="903" t="s">
        <v>2577</v>
      </c>
      <c r="H4366" s="903"/>
      <c r="I4366" s="517" t="s">
        <v>2470</v>
      </c>
      <c r="J4366"/>
    </row>
    <row r="4367" spans="1:10" ht="14.25" customHeight="1" x14ac:dyDescent="0.3">
      <c r="A4367" s="519" t="s">
        <v>2578</v>
      </c>
      <c r="B4367" s="520" t="s">
        <v>125</v>
      </c>
      <c r="C4367" s="519">
        <v>5212552</v>
      </c>
      <c r="D4367" s="519" t="s">
        <v>3885</v>
      </c>
      <c r="E4367" s="522">
        <v>1</v>
      </c>
      <c r="F4367" s="521" t="s">
        <v>115</v>
      </c>
      <c r="G4367" s="907">
        <v>15.94</v>
      </c>
      <c r="H4367" s="907"/>
      <c r="I4367" s="524">
        <v>15.94</v>
      </c>
      <c r="J4367"/>
    </row>
    <row r="4368" spans="1:10" ht="15" customHeight="1" x14ac:dyDescent="0.3">
      <c r="A4368" s="519" t="s">
        <v>2578</v>
      </c>
      <c r="B4368" s="520" t="s">
        <v>32</v>
      </c>
      <c r="C4368" s="519">
        <v>88241</v>
      </c>
      <c r="D4368" s="519" t="s">
        <v>2791</v>
      </c>
      <c r="E4368" s="522">
        <v>0.5</v>
      </c>
      <c r="F4368" s="521" t="s">
        <v>1901</v>
      </c>
      <c r="G4368" s="907">
        <v>24.15</v>
      </c>
      <c r="H4368" s="907"/>
      <c r="I4368" s="524">
        <v>12.074999999999999</v>
      </c>
      <c r="J4368"/>
    </row>
    <row r="4369" spans="1:10" ht="25" x14ac:dyDescent="0.3">
      <c r="A4369" s="519" t="s">
        <v>2578</v>
      </c>
      <c r="B4369" s="520" t="s">
        <v>32</v>
      </c>
      <c r="C4369" s="519">
        <v>88316</v>
      </c>
      <c r="D4369" s="519" t="s">
        <v>2562</v>
      </c>
      <c r="E4369" s="522">
        <v>0.5</v>
      </c>
      <c r="F4369" s="521" t="s">
        <v>1901</v>
      </c>
      <c r="G4369" s="907">
        <v>23.4</v>
      </c>
      <c r="H4369" s="907"/>
      <c r="I4369" s="524">
        <v>11.7</v>
      </c>
      <c r="J4369"/>
    </row>
    <row r="4370" spans="1:10" ht="25" x14ac:dyDescent="0.3">
      <c r="A4370" s="519" t="s">
        <v>2578</v>
      </c>
      <c r="B4370" s="520" t="s">
        <v>32</v>
      </c>
      <c r="C4370" s="519">
        <v>88315</v>
      </c>
      <c r="D4370" s="519" t="s">
        <v>3183</v>
      </c>
      <c r="E4370" s="522">
        <v>0.25</v>
      </c>
      <c r="F4370" s="521" t="s">
        <v>1901</v>
      </c>
      <c r="G4370" s="907">
        <v>30.85</v>
      </c>
      <c r="H4370" s="907"/>
      <c r="I4370" s="524">
        <v>7.7125000000000004</v>
      </c>
      <c r="J4370"/>
    </row>
    <row r="4371" spans="1:10" ht="15" customHeight="1" x14ac:dyDescent="0.3">
      <c r="A4371" s="519" t="s">
        <v>2578</v>
      </c>
      <c r="B4371" s="520" t="s">
        <v>32</v>
      </c>
      <c r="C4371" s="519">
        <v>88278</v>
      </c>
      <c r="D4371" s="519" t="s">
        <v>2560</v>
      </c>
      <c r="E4371" s="522">
        <v>0.25</v>
      </c>
      <c r="F4371" s="521" t="s">
        <v>1901</v>
      </c>
      <c r="G4371" s="907">
        <v>25.36</v>
      </c>
      <c r="H4371" s="907"/>
      <c r="I4371" s="524">
        <v>6.34</v>
      </c>
      <c r="J4371"/>
    </row>
    <row r="4372" spans="1:10" s="358" customFormat="1" ht="15" customHeight="1" x14ac:dyDescent="0.3">
      <c r="A4372" s="902"/>
      <c r="B4372" s="902"/>
      <c r="C4372" s="902"/>
      <c r="D4372" s="902"/>
      <c r="E4372" s="902"/>
      <c r="F4372" s="902" t="s">
        <v>2579</v>
      </c>
      <c r="G4372" s="902"/>
      <c r="H4372" s="902"/>
      <c r="I4372" s="525">
        <v>53.767499999999998</v>
      </c>
      <c r="J4372"/>
    </row>
    <row r="4373" spans="1:10" ht="15" customHeight="1" x14ac:dyDescent="0.3">
      <c r="A4373" s="516" t="s">
        <v>2580</v>
      </c>
      <c r="B4373" s="517" t="s">
        <v>16</v>
      </c>
      <c r="C4373" s="516" t="s">
        <v>2437</v>
      </c>
      <c r="D4373" s="516" t="s">
        <v>2581</v>
      </c>
      <c r="E4373" s="517" t="s">
        <v>15</v>
      </c>
      <c r="F4373" s="517" t="s">
        <v>2467</v>
      </c>
      <c r="G4373" s="518" t="s">
        <v>2576</v>
      </c>
      <c r="H4373" s="517" t="s">
        <v>2577</v>
      </c>
      <c r="I4373" s="517" t="s">
        <v>2470</v>
      </c>
      <c r="J4373"/>
    </row>
    <row r="4374" spans="1:10" s="358" customFormat="1" ht="25" x14ac:dyDescent="0.3">
      <c r="A4374" s="519" t="s">
        <v>2582</v>
      </c>
      <c r="B4374" s="520" t="s">
        <v>125</v>
      </c>
      <c r="C4374" s="519" t="s">
        <v>3902</v>
      </c>
      <c r="D4374" s="519" t="s">
        <v>4530</v>
      </c>
      <c r="E4374" s="520">
        <v>5914333</v>
      </c>
      <c r="F4374" s="522">
        <v>1.1780000000000001E-2</v>
      </c>
      <c r="G4374" s="521" t="s">
        <v>374</v>
      </c>
      <c r="H4374" s="524">
        <v>31.97</v>
      </c>
      <c r="I4374" s="524">
        <v>0.37659999999999999</v>
      </c>
      <c r="J4374"/>
    </row>
    <row r="4375" spans="1:10" ht="15" customHeight="1" x14ac:dyDescent="0.3">
      <c r="A4375" s="519" t="s">
        <v>2582</v>
      </c>
      <c r="B4375" s="520" t="s">
        <v>125</v>
      </c>
      <c r="C4375" s="519" t="s">
        <v>3904</v>
      </c>
      <c r="D4375" s="519" t="s">
        <v>2838</v>
      </c>
      <c r="E4375" s="520">
        <v>5914655</v>
      </c>
      <c r="F4375" s="522">
        <v>6.2E-4</v>
      </c>
      <c r="G4375" s="521" t="s">
        <v>374</v>
      </c>
      <c r="H4375" s="524">
        <v>33.159999999999997</v>
      </c>
      <c r="I4375" s="524">
        <v>2.06E-2</v>
      </c>
      <c r="J4375"/>
    </row>
    <row r="4376" spans="1:10" ht="14.25" customHeight="1" x14ac:dyDescent="0.3">
      <c r="A4376" s="902"/>
      <c r="B4376" s="902"/>
      <c r="C4376" s="902"/>
      <c r="D4376" s="902"/>
      <c r="E4376" s="902"/>
      <c r="F4376" s="902" t="s">
        <v>2585</v>
      </c>
      <c r="G4376" s="902"/>
      <c r="H4376" s="902"/>
      <c r="I4376" s="525">
        <v>0.3972</v>
      </c>
      <c r="J4376"/>
    </row>
    <row r="4377" spans="1:10" ht="15" customHeight="1" x14ac:dyDescent="0.3">
      <c r="A4377" s="516" t="s">
        <v>2586</v>
      </c>
      <c r="B4377" s="517" t="s">
        <v>16</v>
      </c>
      <c r="C4377" s="516" t="s">
        <v>2437</v>
      </c>
      <c r="D4377" s="516" t="s">
        <v>2587</v>
      </c>
      <c r="E4377" s="517" t="s">
        <v>2467</v>
      </c>
      <c r="F4377" s="517" t="s">
        <v>2576</v>
      </c>
      <c r="G4377" s="908" t="s">
        <v>2588</v>
      </c>
      <c r="H4377" s="903"/>
      <c r="I4377" s="517" t="s">
        <v>2470</v>
      </c>
      <c r="J4377"/>
    </row>
    <row r="4378" spans="1:10" x14ac:dyDescent="0.3">
      <c r="A4378" s="518"/>
      <c r="B4378" s="518"/>
      <c r="C4378" s="518"/>
      <c r="D4378" s="518"/>
      <c r="E4378" s="518"/>
      <c r="F4378" s="518"/>
      <c r="G4378" s="518" t="s">
        <v>2589</v>
      </c>
      <c r="H4378" s="518" t="s">
        <v>2590</v>
      </c>
      <c r="I4378" s="518"/>
      <c r="J4378"/>
    </row>
    <row r="4379" spans="1:10" ht="37.5" x14ac:dyDescent="0.3">
      <c r="A4379" s="519" t="s">
        <v>2587</v>
      </c>
      <c r="B4379" s="520" t="s">
        <v>125</v>
      </c>
      <c r="C4379" s="519" t="s">
        <v>3902</v>
      </c>
      <c r="D4379" s="519" t="s">
        <v>3906</v>
      </c>
      <c r="E4379" s="522">
        <v>1.1780000000000001E-2</v>
      </c>
      <c r="F4379" s="521" t="s">
        <v>2592</v>
      </c>
      <c r="G4379" s="520" t="s">
        <v>4472</v>
      </c>
      <c r="H4379" s="520" t="s">
        <v>4473</v>
      </c>
      <c r="I4379" s="524">
        <v>0</v>
      </c>
      <c r="J4379"/>
    </row>
    <row r="4380" spans="1:10" ht="37.5" x14ac:dyDescent="0.3">
      <c r="A4380" s="519" t="s">
        <v>2587</v>
      </c>
      <c r="B4380" s="520" t="s">
        <v>125</v>
      </c>
      <c r="C4380" s="519" t="s">
        <v>3904</v>
      </c>
      <c r="D4380" s="519" t="s">
        <v>3907</v>
      </c>
      <c r="E4380" s="522">
        <v>6.2E-4</v>
      </c>
      <c r="F4380" s="521" t="s">
        <v>2592</v>
      </c>
      <c r="G4380" s="520" t="s">
        <v>4472</v>
      </c>
      <c r="H4380" s="520" t="s">
        <v>4473</v>
      </c>
      <c r="I4380" s="524">
        <v>0</v>
      </c>
      <c r="J4380"/>
    </row>
    <row r="4381" spans="1:10" ht="15" customHeight="1" thickBot="1" x14ac:dyDescent="0.35">
      <c r="A4381" s="902"/>
      <c r="B4381" s="902"/>
      <c r="C4381" s="902"/>
      <c r="D4381" s="902"/>
      <c r="E4381" s="902"/>
      <c r="F4381" s="902" t="s">
        <v>2593</v>
      </c>
      <c r="G4381" s="902"/>
      <c r="H4381" s="902"/>
      <c r="I4381" s="525">
        <v>0</v>
      </c>
      <c r="J4381"/>
    </row>
    <row r="4382" spans="1:10" ht="14.25" customHeight="1" thickTop="1" x14ac:dyDescent="0.3">
      <c r="A4382" s="647"/>
      <c r="B4382" s="647"/>
      <c r="C4382" s="647"/>
      <c r="D4382" s="647"/>
      <c r="E4382" s="647"/>
      <c r="F4382" s="647"/>
      <c r="G4382" s="647"/>
      <c r="H4382" s="647"/>
      <c r="I4382" s="647"/>
      <c r="J4382"/>
    </row>
    <row r="4383" spans="1:10" ht="14.25" customHeight="1" x14ac:dyDescent="0.3">
      <c r="A4383" s="516"/>
      <c r="B4383" s="517" t="s">
        <v>15</v>
      </c>
      <c r="C4383" s="516" t="s">
        <v>16</v>
      </c>
      <c r="D4383" s="516" t="s">
        <v>17</v>
      </c>
      <c r="E4383" s="904" t="s">
        <v>2431</v>
      </c>
      <c r="F4383" s="904"/>
      <c r="G4383" s="518" t="s">
        <v>18</v>
      </c>
      <c r="H4383" s="517" t="s">
        <v>19</v>
      </c>
      <c r="I4383" s="517" t="s">
        <v>20</v>
      </c>
      <c r="J4383" s="517" t="s">
        <v>23</v>
      </c>
    </row>
    <row r="4384" spans="1:10" ht="14.25" customHeight="1" x14ac:dyDescent="0.3">
      <c r="A4384" s="642" t="s">
        <v>2432</v>
      </c>
      <c r="B4384" s="643" t="s">
        <v>3908</v>
      </c>
      <c r="C4384" s="642" t="s">
        <v>125</v>
      </c>
      <c r="D4384" s="642" t="s">
        <v>3108</v>
      </c>
      <c r="E4384" s="906" t="s">
        <v>1328</v>
      </c>
      <c r="F4384" s="906"/>
      <c r="G4384" s="644" t="s">
        <v>115</v>
      </c>
      <c r="H4384" s="645">
        <v>1</v>
      </c>
      <c r="I4384" s="646">
        <v>450.08</v>
      </c>
      <c r="J4384" s="646">
        <v>450.08</v>
      </c>
    </row>
    <row r="4385" spans="1:10" ht="15" customHeight="1" x14ac:dyDescent="0.3">
      <c r="A4385" s="904" t="s">
        <v>2418</v>
      </c>
      <c r="B4385" s="903" t="s">
        <v>15</v>
      </c>
      <c r="C4385" s="904" t="s">
        <v>16</v>
      </c>
      <c r="D4385" s="904" t="s">
        <v>2466</v>
      </c>
      <c r="E4385" s="903" t="s">
        <v>2467</v>
      </c>
      <c r="F4385" s="908" t="s">
        <v>2468</v>
      </c>
      <c r="G4385" s="903"/>
      <c r="H4385" s="518" t="s">
        <v>2469</v>
      </c>
      <c r="I4385" s="903" t="s">
        <v>2470</v>
      </c>
      <c r="J4385"/>
    </row>
    <row r="4386" spans="1:10" ht="14.25" customHeight="1" x14ac:dyDescent="0.3">
      <c r="A4386" s="903"/>
      <c r="B4386" s="903"/>
      <c r="C4386" s="903"/>
      <c r="D4386" s="903"/>
      <c r="E4386" s="903"/>
      <c r="F4386" s="517" t="s">
        <v>2471</v>
      </c>
      <c r="G4386" s="517" t="s">
        <v>2472</v>
      </c>
      <c r="H4386" s="517" t="s">
        <v>2471</v>
      </c>
      <c r="I4386" s="903"/>
      <c r="J4386"/>
    </row>
    <row r="4387" spans="1:10" ht="14.25" customHeight="1" x14ac:dyDescent="0.3">
      <c r="A4387" s="519" t="s">
        <v>2437</v>
      </c>
      <c r="B4387" s="520" t="s">
        <v>3894</v>
      </c>
      <c r="C4387" s="519" t="s">
        <v>125</v>
      </c>
      <c r="D4387" s="519" t="s">
        <v>3895</v>
      </c>
      <c r="E4387" s="522">
        <v>0.15060000000000001</v>
      </c>
      <c r="F4387" s="523">
        <v>1</v>
      </c>
      <c r="G4387" s="523">
        <v>0</v>
      </c>
      <c r="H4387" s="524">
        <v>0.20530000000000001</v>
      </c>
      <c r="I4387" s="524">
        <v>3.09E-2</v>
      </c>
      <c r="J4387"/>
    </row>
    <row r="4388" spans="1:10" ht="15" customHeight="1" x14ac:dyDescent="0.3">
      <c r="A4388" s="519" t="s">
        <v>2437</v>
      </c>
      <c r="B4388" s="520" t="s">
        <v>3888</v>
      </c>
      <c r="C4388" s="519" t="s">
        <v>125</v>
      </c>
      <c r="D4388" s="519" t="s">
        <v>3889</v>
      </c>
      <c r="E4388" s="522">
        <v>0.48193000000000003</v>
      </c>
      <c r="F4388" s="523">
        <v>1</v>
      </c>
      <c r="G4388" s="523">
        <v>0</v>
      </c>
      <c r="H4388" s="524">
        <v>26.9573</v>
      </c>
      <c r="I4388" s="524">
        <v>12.9915</v>
      </c>
      <c r="J4388"/>
    </row>
    <row r="4389" spans="1:10" x14ac:dyDescent="0.3">
      <c r="A4389" s="519" t="s">
        <v>2437</v>
      </c>
      <c r="B4389" s="520" t="s">
        <v>3896</v>
      </c>
      <c r="C4389" s="519" t="s">
        <v>125</v>
      </c>
      <c r="D4389" s="519" t="s">
        <v>3897</v>
      </c>
      <c r="E4389" s="522">
        <v>0.20080000000000001</v>
      </c>
      <c r="F4389" s="523">
        <v>1</v>
      </c>
      <c r="G4389" s="523">
        <v>0</v>
      </c>
      <c r="H4389" s="524">
        <v>14.806699999999999</v>
      </c>
      <c r="I4389" s="524">
        <v>2.9731999999999998</v>
      </c>
      <c r="J4389"/>
    </row>
    <row r="4390" spans="1:10" x14ac:dyDescent="0.3">
      <c r="A4390" s="519" t="s">
        <v>2437</v>
      </c>
      <c r="B4390" s="520" t="s">
        <v>3898</v>
      </c>
      <c r="C4390" s="519" t="s">
        <v>125</v>
      </c>
      <c r="D4390" s="519" t="s">
        <v>3899</v>
      </c>
      <c r="E4390" s="522">
        <v>0.48193000000000003</v>
      </c>
      <c r="F4390" s="523">
        <v>1</v>
      </c>
      <c r="G4390" s="523">
        <v>0</v>
      </c>
      <c r="H4390" s="524">
        <v>12.2171</v>
      </c>
      <c r="I4390" s="524">
        <v>5.8878000000000004</v>
      </c>
      <c r="J4390"/>
    </row>
    <row r="4391" spans="1:10" ht="14.25" customHeight="1" x14ac:dyDescent="0.3">
      <c r="A4391" s="519" t="s">
        <v>2437</v>
      </c>
      <c r="B4391" s="520" t="s">
        <v>3900</v>
      </c>
      <c r="C4391" s="519" t="s">
        <v>125</v>
      </c>
      <c r="D4391" s="519" t="s">
        <v>3901</v>
      </c>
      <c r="E4391" s="522">
        <v>0.48193000000000003</v>
      </c>
      <c r="F4391" s="523">
        <v>1</v>
      </c>
      <c r="G4391" s="523">
        <v>0</v>
      </c>
      <c r="H4391" s="524">
        <v>25.220700000000001</v>
      </c>
      <c r="I4391" s="524">
        <v>12.1546</v>
      </c>
      <c r="J4391"/>
    </row>
    <row r="4392" spans="1:10" ht="15" customHeight="1" x14ac:dyDescent="0.3">
      <c r="A4392" s="902"/>
      <c r="B4392" s="902"/>
      <c r="C4392" s="902"/>
      <c r="D4392" s="902"/>
      <c r="E4392" s="902"/>
      <c r="F4392" s="902" t="s">
        <v>2475</v>
      </c>
      <c r="G4392" s="902"/>
      <c r="H4392" s="902"/>
      <c r="I4392" s="525">
        <v>34.037999999999997</v>
      </c>
      <c r="J4392"/>
    </row>
    <row r="4393" spans="1:10" ht="14.25" customHeight="1" x14ac:dyDescent="0.3">
      <c r="A4393" s="902"/>
      <c r="B4393" s="902"/>
      <c r="C4393" s="902"/>
      <c r="D4393" s="902"/>
      <c r="E4393" s="902"/>
      <c r="F4393" s="902" t="s">
        <v>2476</v>
      </c>
      <c r="G4393" s="902"/>
      <c r="H4393" s="902"/>
      <c r="I4393" s="525">
        <v>34.037999999999997</v>
      </c>
      <c r="J4393"/>
    </row>
    <row r="4394" spans="1:10" ht="14.25" customHeight="1" x14ac:dyDescent="0.3">
      <c r="A4394" s="902"/>
      <c r="B4394" s="902"/>
      <c r="C4394" s="902"/>
      <c r="D4394" s="902"/>
      <c r="E4394" s="902"/>
      <c r="F4394" s="902" t="s">
        <v>2477</v>
      </c>
      <c r="G4394" s="902"/>
      <c r="H4394" s="902"/>
      <c r="I4394" s="525">
        <v>0</v>
      </c>
      <c r="J4394"/>
    </row>
    <row r="4395" spans="1:10" x14ac:dyDescent="0.3">
      <c r="A4395" s="902"/>
      <c r="B4395" s="902"/>
      <c r="C4395" s="902"/>
      <c r="D4395" s="902"/>
      <c r="E4395" s="902"/>
      <c r="F4395" s="902" t="s">
        <v>2478</v>
      </c>
      <c r="G4395" s="902"/>
      <c r="H4395" s="902"/>
      <c r="I4395" s="525">
        <v>0</v>
      </c>
      <c r="J4395"/>
    </row>
    <row r="4396" spans="1:10" ht="14.25" customHeight="1" x14ac:dyDescent="0.3">
      <c r="A4396" s="902"/>
      <c r="B4396" s="902"/>
      <c r="C4396" s="902"/>
      <c r="D4396" s="902"/>
      <c r="E4396" s="902"/>
      <c r="F4396" s="902" t="s">
        <v>2479</v>
      </c>
      <c r="G4396" s="902"/>
      <c r="H4396" s="902"/>
      <c r="I4396" s="525">
        <v>4</v>
      </c>
      <c r="J4396"/>
    </row>
    <row r="4397" spans="1:10" ht="14.25" customHeight="1" x14ac:dyDescent="0.3">
      <c r="A4397" s="902"/>
      <c r="B4397" s="902"/>
      <c r="C4397" s="902"/>
      <c r="D4397" s="902"/>
      <c r="E4397" s="902"/>
      <c r="F4397" s="902" t="s">
        <v>2480</v>
      </c>
      <c r="G4397" s="902"/>
      <c r="H4397" s="902"/>
      <c r="I4397" s="525">
        <v>8.5094999999999992</v>
      </c>
      <c r="J4397"/>
    </row>
    <row r="4398" spans="1:10" ht="14.25" customHeight="1" x14ac:dyDescent="0.3">
      <c r="A4398" s="516" t="s">
        <v>2420</v>
      </c>
      <c r="B4398" s="517" t="s">
        <v>16</v>
      </c>
      <c r="C4398" s="516" t="s">
        <v>15</v>
      </c>
      <c r="D4398" s="516" t="s">
        <v>2442</v>
      </c>
      <c r="E4398" s="517" t="s">
        <v>2467</v>
      </c>
      <c r="F4398" s="517" t="s">
        <v>2576</v>
      </c>
      <c r="G4398" s="903" t="s">
        <v>2577</v>
      </c>
      <c r="H4398" s="903"/>
      <c r="I4398" s="517" t="s">
        <v>2470</v>
      </c>
      <c r="J4398"/>
    </row>
    <row r="4399" spans="1:10" ht="15" customHeight="1" x14ac:dyDescent="0.3">
      <c r="A4399" s="519" t="s">
        <v>2437</v>
      </c>
      <c r="B4399" s="520" t="s">
        <v>125</v>
      </c>
      <c r="C4399" s="519" t="s">
        <v>3902</v>
      </c>
      <c r="D4399" s="519" t="s">
        <v>3903</v>
      </c>
      <c r="E4399" s="522">
        <v>11.775</v>
      </c>
      <c r="F4399" s="521" t="s">
        <v>384</v>
      </c>
      <c r="G4399" s="907">
        <v>11.4353</v>
      </c>
      <c r="H4399" s="907"/>
      <c r="I4399" s="524">
        <v>134.6507</v>
      </c>
      <c r="J4399"/>
    </row>
    <row r="4400" spans="1:10" x14ac:dyDescent="0.3">
      <c r="A4400" s="519" t="s">
        <v>2437</v>
      </c>
      <c r="B4400" s="520" t="s">
        <v>125</v>
      </c>
      <c r="C4400" s="519" t="s">
        <v>3904</v>
      </c>
      <c r="D4400" s="519" t="s">
        <v>3905</v>
      </c>
      <c r="E4400" s="522">
        <v>1</v>
      </c>
      <c r="F4400" s="521" t="s">
        <v>115</v>
      </c>
      <c r="G4400" s="907">
        <v>149.0067</v>
      </c>
      <c r="H4400" s="907"/>
      <c r="I4400" s="524">
        <v>149.0067</v>
      </c>
      <c r="J4400"/>
    </row>
    <row r="4401" spans="1:10" x14ac:dyDescent="0.3">
      <c r="A4401" s="519" t="s">
        <v>2437</v>
      </c>
      <c r="B4401" s="520" t="s">
        <v>125</v>
      </c>
      <c r="C4401" s="519" t="s">
        <v>3909</v>
      </c>
      <c r="D4401" s="519" t="s">
        <v>3910</v>
      </c>
      <c r="E4401" s="522">
        <v>0.4</v>
      </c>
      <c r="F4401" s="521" t="s">
        <v>115</v>
      </c>
      <c r="G4401" s="907">
        <v>259.3768</v>
      </c>
      <c r="H4401" s="907"/>
      <c r="I4401" s="524">
        <v>103.75069999999999</v>
      </c>
      <c r="J4401"/>
    </row>
    <row r="4402" spans="1:10" ht="14.25" customHeight="1" x14ac:dyDescent="0.3">
      <c r="A4402" s="902"/>
      <c r="B4402" s="902"/>
      <c r="C4402" s="902"/>
      <c r="D4402" s="902"/>
      <c r="E4402" s="902"/>
      <c r="F4402" s="902" t="s">
        <v>2809</v>
      </c>
      <c r="G4402" s="902"/>
      <c r="H4402" s="902"/>
      <c r="I4402" s="525">
        <v>387.40809999999999</v>
      </c>
      <c r="J4402"/>
    </row>
    <row r="4403" spans="1:10" ht="15" customHeight="1" x14ac:dyDescent="0.3">
      <c r="A4403" s="516" t="s">
        <v>2574</v>
      </c>
      <c r="B4403" s="517" t="s">
        <v>16</v>
      </c>
      <c r="C4403" s="516" t="s">
        <v>15</v>
      </c>
      <c r="D4403" s="516" t="s">
        <v>2575</v>
      </c>
      <c r="E4403" s="517" t="s">
        <v>2467</v>
      </c>
      <c r="F4403" s="517" t="s">
        <v>2576</v>
      </c>
      <c r="G4403" s="903" t="s">
        <v>2577</v>
      </c>
      <c r="H4403" s="903"/>
      <c r="I4403" s="517" t="s">
        <v>2470</v>
      </c>
      <c r="J4403"/>
    </row>
    <row r="4404" spans="1:10" ht="25" x14ac:dyDescent="0.3">
      <c r="A4404" s="519" t="s">
        <v>2578</v>
      </c>
      <c r="B4404" s="520" t="s">
        <v>125</v>
      </c>
      <c r="C4404" s="519">
        <v>5212552</v>
      </c>
      <c r="D4404" s="519" t="s">
        <v>3885</v>
      </c>
      <c r="E4404" s="522">
        <v>1</v>
      </c>
      <c r="F4404" s="521" t="s">
        <v>115</v>
      </c>
      <c r="G4404" s="907">
        <v>15.94</v>
      </c>
      <c r="H4404" s="907"/>
      <c r="I4404" s="524">
        <v>15.94</v>
      </c>
      <c r="J4404"/>
    </row>
    <row r="4405" spans="1:10" ht="25" x14ac:dyDescent="0.3">
      <c r="A4405" s="519" t="s">
        <v>2578</v>
      </c>
      <c r="B4405" s="520" t="s">
        <v>32</v>
      </c>
      <c r="C4405" s="519">
        <v>88241</v>
      </c>
      <c r="D4405" s="519" t="s">
        <v>2791</v>
      </c>
      <c r="E4405" s="522">
        <v>0.5</v>
      </c>
      <c r="F4405" s="521" t="s">
        <v>1901</v>
      </c>
      <c r="G4405" s="907">
        <v>24.15</v>
      </c>
      <c r="H4405" s="907"/>
      <c r="I4405" s="524">
        <v>12.074999999999999</v>
      </c>
      <c r="J4405"/>
    </row>
    <row r="4406" spans="1:10" ht="25" x14ac:dyDescent="0.3">
      <c r="A4406" s="519" t="s">
        <v>2578</v>
      </c>
      <c r="B4406" s="520" t="s">
        <v>32</v>
      </c>
      <c r="C4406" s="519">
        <v>88316</v>
      </c>
      <c r="D4406" s="519" t="s">
        <v>2562</v>
      </c>
      <c r="E4406" s="522">
        <v>0.5</v>
      </c>
      <c r="F4406" s="521" t="s">
        <v>1901</v>
      </c>
      <c r="G4406" s="907">
        <v>23.4</v>
      </c>
      <c r="H4406" s="907"/>
      <c r="I4406" s="524">
        <v>11.7</v>
      </c>
      <c r="J4406"/>
    </row>
    <row r="4407" spans="1:10" ht="15" customHeight="1" x14ac:dyDescent="0.3">
      <c r="A4407" s="519" t="s">
        <v>2578</v>
      </c>
      <c r="B4407" s="520" t="s">
        <v>32</v>
      </c>
      <c r="C4407" s="519">
        <v>88315</v>
      </c>
      <c r="D4407" s="519" t="s">
        <v>3183</v>
      </c>
      <c r="E4407" s="522">
        <v>0.25</v>
      </c>
      <c r="F4407" s="521" t="s">
        <v>1901</v>
      </c>
      <c r="G4407" s="907">
        <v>30.85</v>
      </c>
      <c r="H4407" s="907"/>
      <c r="I4407" s="524">
        <v>7.7125000000000004</v>
      </c>
      <c r="J4407"/>
    </row>
    <row r="4408" spans="1:10" s="358" customFormat="1" ht="25" x14ac:dyDescent="0.3">
      <c r="A4408" s="519" t="s">
        <v>2578</v>
      </c>
      <c r="B4408" s="520" t="s">
        <v>32</v>
      </c>
      <c r="C4408" s="519">
        <v>88278</v>
      </c>
      <c r="D4408" s="519" t="s">
        <v>2560</v>
      </c>
      <c r="E4408" s="522">
        <v>0.25</v>
      </c>
      <c r="F4408" s="521" t="s">
        <v>1901</v>
      </c>
      <c r="G4408" s="907">
        <v>25.36</v>
      </c>
      <c r="H4408" s="907"/>
      <c r="I4408" s="524">
        <v>6.34</v>
      </c>
      <c r="J4408"/>
    </row>
    <row r="4409" spans="1:10" ht="14.25" customHeight="1" x14ac:dyDescent="0.3">
      <c r="A4409" s="902"/>
      <c r="B4409" s="902"/>
      <c r="C4409" s="902"/>
      <c r="D4409" s="902"/>
      <c r="E4409" s="902"/>
      <c r="F4409" s="902" t="s">
        <v>2579</v>
      </c>
      <c r="G4409" s="902"/>
      <c r="H4409" s="902"/>
      <c r="I4409" s="525">
        <v>53.767499999999998</v>
      </c>
      <c r="J4409"/>
    </row>
    <row r="4410" spans="1:10" s="358" customFormat="1" ht="15" customHeight="1" x14ac:dyDescent="0.3">
      <c r="A4410" s="516" t="s">
        <v>2580</v>
      </c>
      <c r="B4410" s="517" t="s">
        <v>16</v>
      </c>
      <c r="C4410" s="516" t="s">
        <v>2437</v>
      </c>
      <c r="D4410" s="516" t="s">
        <v>2581</v>
      </c>
      <c r="E4410" s="517" t="s">
        <v>15</v>
      </c>
      <c r="F4410" s="517" t="s">
        <v>2467</v>
      </c>
      <c r="G4410" s="518" t="s">
        <v>2576</v>
      </c>
      <c r="H4410" s="517" t="s">
        <v>2577</v>
      </c>
      <c r="I4410" s="517" t="s">
        <v>2470</v>
      </c>
      <c r="J4410"/>
    </row>
    <row r="4411" spans="1:10" ht="15" customHeight="1" x14ac:dyDescent="0.3">
      <c r="A4411" s="519" t="s">
        <v>2582</v>
      </c>
      <c r="B4411" s="520" t="s">
        <v>125</v>
      </c>
      <c r="C4411" s="519" t="s">
        <v>3902</v>
      </c>
      <c r="D4411" s="519" t="s">
        <v>3225</v>
      </c>
      <c r="E4411" s="520">
        <v>5914333</v>
      </c>
      <c r="F4411" s="522">
        <v>1.1780000000000001E-2</v>
      </c>
      <c r="G4411" s="521" t="s">
        <v>374</v>
      </c>
      <c r="H4411" s="524">
        <v>31.97</v>
      </c>
      <c r="I4411" s="524">
        <v>0.37659999999999999</v>
      </c>
      <c r="J4411"/>
    </row>
    <row r="4412" spans="1:10" ht="25" x14ac:dyDescent="0.3">
      <c r="A4412" s="519" t="s">
        <v>2582</v>
      </c>
      <c r="B4412" s="520" t="s">
        <v>125</v>
      </c>
      <c r="C4412" s="519" t="s">
        <v>3904</v>
      </c>
      <c r="D4412" s="519" t="s">
        <v>2838</v>
      </c>
      <c r="E4412" s="520">
        <v>5914655</v>
      </c>
      <c r="F4412" s="522">
        <v>4.4000000000000002E-4</v>
      </c>
      <c r="G4412" s="521" t="s">
        <v>374</v>
      </c>
      <c r="H4412" s="524">
        <v>33.159999999999997</v>
      </c>
      <c r="I4412" s="524">
        <v>1.46E-2</v>
      </c>
      <c r="J4412"/>
    </row>
    <row r="4413" spans="1:10" ht="25" x14ac:dyDescent="0.3">
      <c r="A4413" s="519" t="s">
        <v>2582</v>
      </c>
      <c r="B4413" s="520" t="s">
        <v>125</v>
      </c>
      <c r="C4413" s="519" t="s">
        <v>3909</v>
      </c>
      <c r="D4413" s="519" t="s">
        <v>2838</v>
      </c>
      <c r="E4413" s="520">
        <v>5914655</v>
      </c>
      <c r="F4413" s="522">
        <v>1.9000000000000001E-4</v>
      </c>
      <c r="G4413" s="521" t="s">
        <v>374</v>
      </c>
      <c r="H4413" s="524">
        <v>33.159999999999997</v>
      </c>
      <c r="I4413" s="524">
        <v>6.3E-3</v>
      </c>
      <c r="J4413"/>
    </row>
    <row r="4414" spans="1:10" ht="14.25" customHeight="1" x14ac:dyDescent="0.3">
      <c r="A4414" s="902"/>
      <c r="B4414" s="902"/>
      <c r="C4414" s="902"/>
      <c r="D4414" s="902"/>
      <c r="E4414" s="902"/>
      <c r="F4414" s="902" t="s">
        <v>2585</v>
      </c>
      <c r="G4414" s="902"/>
      <c r="H4414" s="902"/>
      <c r="I4414" s="525">
        <v>0.39750000000000002</v>
      </c>
      <c r="J4414"/>
    </row>
    <row r="4415" spans="1:10" ht="15" customHeight="1" x14ac:dyDescent="0.3">
      <c r="A4415" s="516" t="s">
        <v>2586</v>
      </c>
      <c r="B4415" s="517" t="s">
        <v>16</v>
      </c>
      <c r="C4415" s="516" t="s">
        <v>2437</v>
      </c>
      <c r="D4415" s="516" t="s">
        <v>2587</v>
      </c>
      <c r="E4415" s="517" t="s">
        <v>2467</v>
      </c>
      <c r="F4415" s="517" t="s">
        <v>2576</v>
      </c>
      <c r="G4415" s="908" t="s">
        <v>2588</v>
      </c>
      <c r="H4415" s="903"/>
      <c r="I4415" s="517" t="s">
        <v>2470</v>
      </c>
      <c r="J4415"/>
    </row>
    <row r="4416" spans="1:10" x14ac:dyDescent="0.3">
      <c r="A4416" s="518"/>
      <c r="B4416" s="518"/>
      <c r="C4416" s="518"/>
      <c r="D4416" s="518"/>
      <c r="E4416" s="518"/>
      <c r="F4416" s="518"/>
      <c r="G4416" s="518" t="s">
        <v>2589</v>
      </c>
      <c r="H4416" s="518" t="s">
        <v>2590</v>
      </c>
      <c r="I4416" s="518"/>
      <c r="J4416"/>
    </row>
    <row r="4417" spans="1:10" ht="37.5" x14ac:dyDescent="0.3">
      <c r="A4417" s="519" t="s">
        <v>2587</v>
      </c>
      <c r="B4417" s="520" t="s">
        <v>125</v>
      </c>
      <c r="C4417" s="519" t="s">
        <v>3902</v>
      </c>
      <c r="D4417" s="519" t="s">
        <v>3906</v>
      </c>
      <c r="E4417" s="522">
        <v>1.1780000000000001E-2</v>
      </c>
      <c r="F4417" s="521" t="s">
        <v>2592</v>
      </c>
      <c r="G4417" s="520" t="s">
        <v>4472</v>
      </c>
      <c r="H4417" s="520" t="s">
        <v>4473</v>
      </c>
      <c r="I4417" s="524">
        <v>0</v>
      </c>
      <c r="J4417"/>
    </row>
    <row r="4418" spans="1:10" ht="14.25" customHeight="1" x14ac:dyDescent="0.3">
      <c r="A4418" s="519" t="s">
        <v>2587</v>
      </c>
      <c r="B4418" s="520" t="s">
        <v>125</v>
      </c>
      <c r="C4418" s="519" t="s">
        <v>3904</v>
      </c>
      <c r="D4418" s="519" t="s">
        <v>3907</v>
      </c>
      <c r="E4418" s="522">
        <v>4.4000000000000002E-4</v>
      </c>
      <c r="F4418" s="521" t="s">
        <v>2592</v>
      </c>
      <c r="G4418" s="520" t="s">
        <v>4472</v>
      </c>
      <c r="H4418" s="520" t="s">
        <v>4473</v>
      </c>
      <c r="I4418" s="524">
        <v>0</v>
      </c>
      <c r="J4418"/>
    </row>
    <row r="4419" spans="1:10" ht="14.25" customHeight="1" x14ac:dyDescent="0.3">
      <c r="A4419" s="519" t="s">
        <v>2587</v>
      </c>
      <c r="B4419" s="520" t="s">
        <v>125</v>
      </c>
      <c r="C4419" s="519" t="s">
        <v>3909</v>
      </c>
      <c r="D4419" s="519" t="s">
        <v>3911</v>
      </c>
      <c r="E4419" s="522">
        <v>1.9000000000000001E-4</v>
      </c>
      <c r="F4419" s="521" t="s">
        <v>2592</v>
      </c>
      <c r="G4419" s="520" t="s">
        <v>4472</v>
      </c>
      <c r="H4419" s="520" t="s">
        <v>4473</v>
      </c>
      <c r="I4419" s="524">
        <v>0</v>
      </c>
      <c r="J4419"/>
    </row>
    <row r="4420" spans="1:10" ht="14.25" customHeight="1" thickBot="1" x14ac:dyDescent="0.35">
      <c r="A4420" s="902"/>
      <c r="B4420" s="902"/>
      <c r="C4420" s="902"/>
      <c r="D4420" s="902"/>
      <c r="E4420" s="902"/>
      <c r="F4420" s="902" t="s">
        <v>2593</v>
      </c>
      <c r="G4420" s="902"/>
      <c r="H4420" s="902"/>
      <c r="I4420" s="525">
        <v>0</v>
      </c>
      <c r="J4420"/>
    </row>
    <row r="4421" spans="1:10" ht="14.5" thickTop="1" x14ac:dyDescent="0.3">
      <c r="A4421" s="647"/>
      <c r="B4421" s="647"/>
      <c r="C4421" s="647"/>
      <c r="D4421" s="647"/>
      <c r="E4421" s="647"/>
      <c r="F4421" s="647"/>
      <c r="G4421" s="647"/>
      <c r="H4421" s="647"/>
      <c r="I4421" s="647"/>
      <c r="J4421"/>
    </row>
    <row r="4422" spans="1:10" ht="14.25" customHeight="1" x14ac:dyDescent="0.3">
      <c r="A4422" s="516"/>
      <c r="B4422" s="517" t="s">
        <v>15</v>
      </c>
      <c r="C4422" s="516" t="s">
        <v>16</v>
      </c>
      <c r="D4422" s="516" t="s">
        <v>17</v>
      </c>
      <c r="E4422" s="904" t="s">
        <v>2431</v>
      </c>
      <c r="F4422" s="904"/>
      <c r="G4422" s="518" t="s">
        <v>18</v>
      </c>
      <c r="H4422" s="517" t="s">
        <v>19</v>
      </c>
      <c r="I4422" s="517" t="s">
        <v>20</v>
      </c>
      <c r="J4422" s="517" t="s">
        <v>23</v>
      </c>
    </row>
    <row r="4423" spans="1:10" ht="14.25" customHeight="1" x14ac:dyDescent="0.3">
      <c r="A4423" s="642" t="s">
        <v>2432</v>
      </c>
      <c r="B4423" s="643" t="s">
        <v>2991</v>
      </c>
      <c r="C4423" s="642" t="s">
        <v>32</v>
      </c>
      <c r="D4423" s="642" t="s">
        <v>2992</v>
      </c>
      <c r="E4423" s="906" t="s">
        <v>2465</v>
      </c>
      <c r="F4423" s="906"/>
      <c r="G4423" s="644" t="s">
        <v>110</v>
      </c>
      <c r="H4423" s="645">
        <v>1</v>
      </c>
      <c r="I4423" s="646">
        <v>72.8</v>
      </c>
      <c r="J4423" s="646">
        <v>72.8</v>
      </c>
    </row>
    <row r="4424" spans="1:10" ht="15" customHeight="1" x14ac:dyDescent="0.3">
      <c r="A4424" s="519" t="s">
        <v>2434</v>
      </c>
      <c r="B4424" s="520" t="s">
        <v>3821</v>
      </c>
      <c r="C4424" s="519" t="s">
        <v>32</v>
      </c>
      <c r="D4424" s="519" t="s">
        <v>3822</v>
      </c>
      <c r="E4424" s="905" t="s">
        <v>2433</v>
      </c>
      <c r="F4424" s="905"/>
      <c r="G4424" s="521" t="s">
        <v>1901</v>
      </c>
      <c r="H4424" s="522">
        <v>1</v>
      </c>
      <c r="I4424" s="523">
        <v>25.72</v>
      </c>
      <c r="J4424" s="523">
        <v>25.72</v>
      </c>
    </row>
    <row r="4425" spans="1:10" ht="38.25" customHeight="1" x14ac:dyDescent="0.3">
      <c r="A4425" s="519" t="s">
        <v>2434</v>
      </c>
      <c r="B4425" s="520" t="s">
        <v>3912</v>
      </c>
      <c r="C4425" s="519" t="s">
        <v>32</v>
      </c>
      <c r="D4425" s="519" t="s">
        <v>3913</v>
      </c>
      <c r="E4425" s="905" t="s">
        <v>2465</v>
      </c>
      <c r="F4425" s="905"/>
      <c r="G4425" s="521" t="s">
        <v>1901</v>
      </c>
      <c r="H4425" s="522">
        <v>1</v>
      </c>
      <c r="I4425" s="523">
        <v>37.24</v>
      </c>
      <c r="J4425" s="523">
        <v>37.24</v>
      </c>
    </row>
    <row r="4426" spans="1:10" ht="39" customHeight="1" thickBot="1" x14ac:dyDescent="0.35">
      <c r="A4426" s="519" t="s">
        <v>2434</v>
      </c>
      <c r="B4426" s="520" t="s">
        <v>3914</v>
      </c>
      <c r="C4426" s="519" t="s">
        <v>32</v>
      </c>
      <c r="D4426" s="519" t="s">
        <v>3915</v>
      </c>
      <c r="E4426" s="905" t="s">
        <v>2465</v>
      </c>
      <c r="F4426" s="905"/>
      <c r="G4426" s="521" t="s">
        <v>1901</v>
      </c>
      <c r="H4426" s="522">
        <v>1</v>
      </c>
      <c r="I4426" s="523">
        <v>9.84</v>
      </c>
      <c r="J4426" s="523">
        <v>9.84</v>
      </c>
    </row>
    <row r="4427" spans="1:10" ht="14.5" thickTop="1" x14ac:dyDescent="0.3">
      <c r="A4427" s="647"/>
      <c r="B4427" s="647"/>
      <c r="C4427" s="647"/>
      <c r="D4427" s="647"/>
      <c r="E4427" s="647"/>
      <c r="F4427" s="647"/>
      <c r="G4427" s="647"/>
      <c r="H4427" s="647"/>
      <c r="I4427" s="647"/>
      <c r="J4427"/>
    </row>
    <row r="4428" spans="1:10" ht="14.25" customHeight="1" x14ac:dyDescent="0.3">
      <c r="A4428" s="516"/>
      <c r="B4428" s="517" t="s">
        <v>15</v>
      </c>
      <c r="C4428" s="516" t="s">
        <v>16</v>
      </c>
      <c r="D4428" s="516" t="s">
        <v>17</v>
      </c>
      <c r="E4428" s="904" t="s">
        <v>2431</v>
      </c>
      <c r="F4428" s="904"/>
      <c r="G4428" s="518" t="s">
        <v>18</v>
      </c>
      <c r="H4428" s="517" t="s">
        <v>19</v>
      </c>
      <c r="I4428" s="517" t="s">
        <v>20</v>
      </c>
      <c r="J4428" s="517" t="s">
        <v>23</v>
      </c>
    </row>
    <row r="4429" spans="1:10" ht="15" customHeight="1" x14ac:dyDescent="0.3">
      <c r="A4429" s="642" t="s">
        <v>2432</v>
      </c>
      <c r="B4429" s="643" t="s">
        <v>2989</v>
      </c>
      <c r="C4429" s="642" t="s">
        <v>32</v>
      </c>
      <c r="D4429" s="642" t="s">
        <v>2990</v>
      </c>
      <c r="E4429" s="906" t="s">
        <v>2465</v>
      </c>
      <c r="F4429" s="906"/>
      <c r="G4429" s="644" t="s">
        <v>103</v>
      </c>
      <c r="H4429" s="645">
        <v>1</v>
      </c>
      <c r="I4429" s="646">
        <v>160.65</v>
      </c>
      <c r="J4429" s="646">
        <v>160.65</v>
      </c>
    </row>
    <row r="4430" spans="1:10" ht="38.25" customHeight="1" x14ac:dyDescent="0.3">
      <c r="A4430" s="519" t="s">
        <v>2434</v>
      </c>
      <c r="B4430" s="520" t="s">
        <v>3916</v>
      </c>
      <c r="C4430" s="519" t="s">
        <v>32</v>
      </c>
      <c r="D4430" s="519" t="s">
        <v>3917</v>
      </c>
      <c r="E4430" s="905" t="s">
        <v>2465</v>
      </c>
      <c r="F4430" s="905"/>
      <c r="G4430" s="521" t="s">
        <v>1901</v>
      </c>
      <c r="H4430" s="522">
        <v>1</v>
      </c>
      <c r="I4430" s="523">
        <v>46.55</v>
      </c>
      <c r="J4430" s="523">
        <v>46.55</v>
      </c>
    </row>
    <row r="4431" spans="1:10" ht="38.25" customHeight="1" x14ac:dyDescent="0.3">
      <c r="A4431" s="519" t="s">
        <v>2434</v>
      </c>
      <c r="B4431" s="520" t="s">
        <v>3918</v>
      </c>
      <c r="C4431" s="519" t="s">
        <v>32</v>
      </c>
      <c r="D4431" s="519" t="s">
        <v>3919</v>
      </c>
      <c r="E4431" s="905" t="s">
        <v>2465</v>
      </c>
      <c r="F4431" s="905"/>
      <c r="G4431" s="521" t="s">
        <v>1901</v>
      </c>
      <c r="H4431" s="522">
        <v>1</v>
      </c>
      <c r="I4431" s="523">
        <v>41.3</v>
      </c>
      <c r="J4431" s="523">
        <v>41.3</v>
      </c>
    </row>
    <row r="4432" spans="1:10" ht="25" x14ac:dyDescent="0.3">
      <c r="A4432" s="519" t="s">
        <v>2434</v>
      </c>
      <c r="B4432" s="520" t="s">
        <v>3821</v>
      </c>
      <c r="C4432" s="519" t="s">
        <v>32</v>
      </c>
      <c r="D4432" s="519" t="s">
        <v>3822</v>
      </c>
      <c r="E4432" s="905" t="s">
        <v>2433</v>
      </c>
      <c r="F4432" s="905"/>
      <c r="G4432" s="521" t="s">
        <v>1901</v>
      </c>
      <c r="H4432" s="522">
        <v>1</v>
      </c>
      <c r="I4432" s="523">
        <v>25.72</v>
      </c>
      <c r="J4432" s="523">
        <v>25.72</v>
      </c>
    </row>
    <row r="4433" spans="1:10" ht="38.25" customHeight="1" x14ac:dyDescent="0.3">
      <c r="A4433" s="519" t="s">
        <v>2434</v>
      </c>
      <c r="B4433" s="520" t="s">
        <v>3912</v>
      </c>
      <c r="C4433" s="519" t="s">
        <v>32</v>
      </c>
      <c r="D4433" s="519" t="s">
        <v>3913</v>
      </c>
      <c r="E4433" s="905" t="s">
        <v>2465</v>
      </c>
      <c r="F4433" s="905"/>
      <c r="G4433" s="521" t="s">
        <v>1901</v>
      </c>
      <c r="H4433" s="522">
        <v>1</v>
      </c>
      <c r="I4433" s="523">
        <v>37.24</v>
      </c>
      <c r="J4433" s="523">
        <v>37.24</v>
      </c>
    </row>
    <row r="4434" spans="1:10" ht="39" customHeight="1" thickBot="1" x14ac:dyDescent="0.35">
      <c r="A4434" s="519" t="s">
        <v>2434</v>
      </c>
      <c r="B4434" s="520" t="s">
        <v>3914</v>
      </c>
      <c r="C4434" s="519" t="s">
        <v>32</v>
      </c>
      <c r="D4434" s="519" t="s">
        <v>3915</v>
      </c>
      <c r="E4434" s="905" t="s">
        <v>2465</v>
      </c>
      <c r="F4434" s="905"/>
      <c r="G4434" s="521" t="s">
        <v>1901</v>
      </c>
      <c r="H4434" s="522">
        <v>1</v>
      </c>
      <c r="I4434" s="523">
        <v>9.84</v>
      </c>
      <c r="J4434" s="523">
        <v>9.84</v>
      </c>
    </row>
    <row r="4435" spans="1:10" ht="14.25" customHeight="1" thickTop="1" x14ac:dyDescent="0.3">
      <c r="A4435" s="647"/>
      <c r="B4435" s="647"/>
      <c r="C4435" s="647"/>
      <c r="D4435" s="647"/>
      <c r="E4435" s="647"/>
      <c r="F4435" s="647"/>
      <c r="G4435" s="647"/>
      <c r="H4435" s="647"/>
      <c r="I4435" s="647"/>
      <c r="J4435"/>
    </row>
    <row r="4436" spans="1:10" ht="15" customHeight="1" x14ac:dyDescent="0.3">
      <c r="A4436" s="516"/>
      <c r="B4436" s="517" t="s">
        <v>15</v>
      </c>
      <c r="C4436" s="516" t="s">
        <v>16</v>
      </c>
      <c r="D4436" s="516" t="s">
        <v>17</v>
      </c>
      <c r="E4436" s="904" t="s">
        <v>2431</v>
      </c>
      <c r="F4436" s="904"/>
      <c r="G4436" s="518" t="s">
        <v>18</v>
      </c>
      <c r="H4436" s="517" t="s">
        <v>19</v>
      </c>
      <c r="I4436" s="517" t="s">
        <v>20</v>
      </c>
      <c r="J4436" s="517" t="s">
        <v>23</v>
      </c>
    </row>
    <row r="4437" spans="1:10" ht="38.25" customHeight="1" x14ac:dyDescent="0.3">
      <c r="A4437" s="642" t="s">
        <v>2432</v>
      </c>
      <c r="B4437" s="643" t="s">
        <v>3912</v>
      </c>
      <c r="C4437" s="642" t="s">
        <v>32</v>
      </c>
      <c r="D4437" s="642" t="s">
        <v>3913</v>
      </c>
      <c r="E4437" s="906" t="s">
        <v>2465</v>
      </c>
      <c r="F4437" s="906"/>
      <c r="G4437" s="644" t="s">
        <v>1901</v>
      </c>
      <c r="H4437" s="645">
        <v>1</v>
      </c>
      <c r="I4437" s="646">
        <v>37.24</v>
      </c>
      <c r="J4437" s="646">
        <v>37.24</v>
      </c>
    </row>
    <row r="4438" spans="1:10" ht="38" thickBot="1" x14ac:dyDescent="0.35">
      <c r="A4438" s="519" t="s">
        <v>2437</v>
      </c>
      <c r="B4438" s="520" t="s">
        <v>3920</v>
      </c>
      <c r="C4438" s="519" t="s">
        <v>32</v>
      </c>
      <c r="D4438" s="519" t="s">
        <v>3921</v>
      </c>
      <c r="E4438" s="905" t="s">
        <v>2446</v>
      </c>
      <c r="F4438" s="905"/>
      <c r="G4438" s="521" t="s">
        <v>89</v>
      </c>
      <c r="H4438" s="522">
        <v>5.5999999999999999E-5</v>
      </c>
      <c r="I4438" s="523">
        <v>665000</v>
      </c>
      <c r="J4438" s="523">
        <v>37.24</v>
      </c>
    </row>
    <row r="4439" spans="1:10" ht="14.5" thickTop="1" x14ac:dyDescent="0.3">
      <c r="A4439" s="647"/>
      <c r="B4439" s="647"/>
      <c r="C4439" s="647"/>
      <c r="D4439" s="647"/>
      <c r="E4439" s="647"/>
      <c r="F4439" s="647"/>
      <c r="G4439" s="647"/>
      <c r="H4439" s="647"/>
      <c r="I4439" s="647"/>
      <c r="J4439"/>
    </row>
    <row r="4440" spans="1:10" ht="14.25" customHeight="1" x14ac:dyDescent="0.3">
      <c r="A4440" s="516"/>
      <c r="B4440" s="517" t="s">
        <v>15</v>
      </c>
      <c r="C4440" s="516" t="s">
        <v>16</v>
      </c>
      <c r="D4440" s="516" t="s">
        <v>17</v>
      </c>
      <c r="E4440" s="904" t="s">
        <v>2431</v>
      </c>
      <c r="F4440" s="904"/>
      <c r="G4440" s="518" t="s">
        <v>18</v>
      </c>
      <c r="H4440" s="517" t="s">
        <v>19</v>
      </c>
      <c r="I4440" s="517" t="s">
        <v>20</v>
      </c>
      <c r="J4440" s="517" t="s">
        <v>23</v>
      </c>
    </row>
    <row r="4441" spans="1:10" ht="15" customHeight="1" x14ac:dyDescent="0.3">
      <c r="A4441" s="642" t="s">
        <v>2432</v>
      </c>
      <c r="B4441" s="643" t="s">
        <v>3914</v>
      </c>
      <c r="C4441" s="642" t="s">
        <v>32</v>
      </c>
      <c r="D4441" s="642" t="s">
        <v>3915</v>
      </c>
      <c r="E4441" s="906" t="s">
        <v>2465</v>
      </c>
      <c r="F4441" s="906"/>
      <c r="G4441" s="644" t="s">
        <v>1901</v>
      </c>
      <c r="H4441" s="645">
        <v>1</v>
      </c>
      <c r="I4441" s="646">
        <v>9.84</v>
      </c>
      <c r="J4441" s="646">
        <v>9.84</v>
      </c>
    </row>
    <row r="4442" spans="1:10" ht="38" thickBot="1" x14ac:dyDescent="0.35">
      <c r="A4442" s="519" t="s">
        <v>2437</v>
      </c>
      <c r="B4442" s="520" t="s">
        <v>3920</v>
      </c>
      <c r="C4442" s="519" t="s">
        <v>32</v>
      </c>
      <c r="D4442" s="519" t="s">
        <v>3921</v>
      </c>
      <c r="E4442" s="905" t="s">
        <v>2446</v>
      </c>
      <c r="F4442" s="905"/>
      <c r="G4442" s="521" t="s">
        <v>89</v>
      </c>
      <c r="H4442" s="522">
        <v>1.4800000000000001E-5</v>
      </c>
      <c r="I4442" s="523">
        <v>665000</v>
      </c>
      <c r="J4442" s="523">
        <v>9.84</v>
      </c>
    </row>
    <row r="4443" spans="1:10" ht="14.5" thickTop="1" x14ac:dyDescent="0.3">
      <c r="A4443" s="647"/>
      <c r="B4443" s="647"/>
      <c r="C4443" s="647"/>
      <c r="D4443" s="647"/>
      <c r="E4443" s="647"/>
      <c r="F4443" s="647"/>
      <c r="G4443" s="647"/>
      <c r="H4443" s="647"/>
      <c r="I4443" s="647"/>
      <c r="J4443"/>
    </row>
    <row r="4444" spans="1:10" x14ac:dyDescent="0.3">
      <c r="A4444" s="516"/>
      <c r="B4444" s="517" t="s">
        <v>15</v>
      </c>
      <c r="C4444" s="516" t="s">
        <v>16</v>
      </c>
      <c r="D4444" s="516" t="s">
        <v>17</v>
      </c>
      <c r="E4444" s="904" t="s">
        <v>2431</v>
      </c>
      <c r="F4444" s="904"/>
      <c r="G4444" s="518" t="s">
        <v>18</v>
      </c>
      <c r="H4444" s="517" t="s">
        <v>19</v>
      </c>
      <c r="I4444" s="517" t="s">
        <v>20</v>
      </c>
      <c r="J4444" s="517" t="s">
        <v>23</v>
      </c>
    </row>
    <row r="4445" spans="1:10" ht="38.25" customHeight="1" x14ac:dyDescent="0.3">
      <c r="A4445" s="642" t="s">
        <v>2432</v>
      </c>
      <c r="B4445" s="643" t="s">
        <v>3916</v>
      </c>
      <c r="C4445" s="642" t="s">
        <v>32</v>
      </c>
      <c r="D4445" s="642" t="s">
        <v>3917</v>
      </c>
      <c r="E4445" s="906" t="s">
        <v>2465</v>
      </c>
      <c r="F4445" s="906"/>
      <c r="G4445" s="644" t="s">
        <v>1901</v>
      </c>
      <c r="H4445" s="645">
        <v>1</v>
      </c>
      <c r="I4445" s="646">
        <v>46.55</v>
      </c>
      <c r="J4445" s="646">
        <v>46.55</v>
      </c>
    </row>
    <row r="4446" spans="1:10" ht="15" customHeight="1" thickBot="1" x14ac:dyDescent="0.35">
      <c r="A4446" s="519" t="s">
        <v>2437</v>
      </c>
      <c r="B4446" s="520" t="s">
        <v>3920</v>
      </c>
      <c r="C4446" s="519" t="s">
        <v>32</v>
      </c>
      <c r="D4446" s="519" t="s">
        <v>3921</v>
      </c>
      <c r="E4446" s="905" t="s">
        <v>2446</v>
      </c>
      <c r="F4446" s="905"/>
      <c r="G4446" s="521" t="s">
        <v>89</v>
      </c>
      <c r="H4446" s="522">
        <v>6.9999999999999994E-5</v>
      </c>
      <c r="I4446" s="523">
        <v>665000</v>
      </c>
      <c r="J4446" s="523">
        <v>46.55</v>
      </c>
    </row>
    <row r="4447" spans="1:10" s="358" customFormat="1" ht="14.5" thickTop="1" x14ac:dyDescent="0.3">
      <c r="A4447" s="647"/>
      <c r="B4447" s="647"/>
      <c r="C4447" s="647"/>
      <c r="D4447" s="647"/>
      <c r="E4447" s="647"/>
      <c r="F4447" s="647"/>
      <c r="G4447" s="647"/>
      <c r="H4447" s="647"/>
      <c r="I4447" s="647"/>
      <c r="J4447"/>
    </row>
    <row r="4448" spans="1:10" x14ac:dyDescent="0.3">
      <c r="A4448" s="516"/>
      <c r="B4448" s="517" t="s">
        <v>15</v>
      </c>
      <c r="C4448" s="516" t="s">
        <v>16</v>
      </c>
      <c r="D4448" s="516" t="s">
        <v>17</v>
      </c>
      <c r="E4448" s="904" t="s">
        <v>2431</v>
      </c>
      <c r="F4448" s="904"/>
      <c r="G4448" s="518" t="s">
        <v>18</v>
      </c>
      <c r="H4448" s="517" t="s">
        <v>19</v>
      </c>
      <c r="I4448" s="517" t="s">
        <v>20</v>
      </c>
      <c r="J4448" s="517" t="s">
        <v>23</v>
      </c>
    </row>
    <row r="4449" spans="1:10" s="358" customFormat="1" ht="38.25" customHeight="1" x14ac:dyDescent="0.3">
      <c r="A4449" s="642" t="s">
        <v>2432</v>
      </c>
      <c r="B4449" s="643" t="s">
        <v>3918</v>
      </c>
      <c r="C4449" s="642" t="s">
        <v>32</v>
      </c>
      <c r="D4449" s="642" t="s">
        <v>3919</v>
      </c>
      <c r="E4449" s="906" t="s">
        <v>2465</v>
      </c>
      <c r="F4449" s="906"/>
      <c r="G4449" s="644" t="s">
        <v>1901</v>
      </c>
      <c r="H4449" s="645">
        <v>1</v>
      </c>
      <c r="I4449" s="646">
        <v>41.3</v>
      </c>
      <c r="J4449" s="646">
        <v>41.3</v>
      </c>
    </row>
    <row r="4450" spans="1:10" ht="14.5" thickBot="1" x14ac:dyDescent="0.35">
      <c r="A4450" s="519" t="s">
        <v>2437</v>
      </c>
      <c r="B4450" s="520" t="s">
        <v>4485</v>
      </c>
      <c r="C4450" s="519" t="s">
        <v>125</v>
      </c>
      <c r="D4450" s="519" t="s">
        <v>4486</v>
      </c>
      <c r="E4450" s="905" t="s">
        <v>2442</v>
      </c>
      <c r="F4450" s="905"/>
      <c r="G4450" s="521" t="s">
        <v>2829</v>
      </c>
      <c r="H4450" s="522">
        <v>7.64</v>
      </c>
      <c r="I4450" s="523">
        <v>5.4069000000000003</v>
      </c>
      <c r="J4450" s="523">
        <v>41.3</v>
      </c>
    </row>
    <row r="4451" spans="1:10" ht="38.25" customHeight="1" thickTop="1" x14ac:dyDescent="0.3">
      <c r="A4451" s="647"/>
      <c r="B4451" s="647"/>
      <c r="C4451" s="647"/>
      <c r="D4451" s="647"/>
      <c r="E4451" s="647"/>
      <c r="F4451" s="647"/>
      <c r="G4451" s="647"/>
      <c r="H4451" s="647"/>
      <c r="I4451" s="647"/>
      <c r="J4451"/>
    </row>
    <row r="4452" spans="1:10" ht="39" customHeight="1" x14ac:dyDescent="0.3">
      <c r="A4452" s="516"/>
      <c r="B4452" s="517" t="s">
        <v>15</v>
      </c>
      <c r="C4452" s="516" t="s">
        <v>16</v>
      </c>
      <c r="D4452" s="516" t="s">
        <v>17</v>
      </c>
      <c r="E4452" s="904" t="s">
        <v>2431</v>
      </c>
      <c r="F4452" s="904"/>
      <c r="G4452" s="518" t="s">
        <v>18</v>
      </c>
      <c r="H4452" s="517" t="s">
        <v>19</v>
      </c>
      <c r="I4452" s="517" t="s">
        <v>20</v>
      </c>
      <c r="J4452" s="517" t="s">
        <v>23</v>
      </c>
    </row>
    <row r="4453" spans="1:10" s="358" customFormat="1" ht="25.5" customHeight="1" x14ac:dyDescent="0.3">
      <c r="A4453" s="642" t="s">
        <v>2432</v>
      </c>
      <c r="B4453" s="643" t="s">
        <v>3677</v>
      </c>
      <c r="C4453" s="642" t="s">
        <v>32</v>
      </c>
      <c r="D4453" s="642" t="s">
        <v>3678</v>
      </c>
      <c r="E4453" s="906" t="s">
        <v>2465</v>
      </c>
      <c r="F4453" s="906"/>
      <c r="G4453" s="644" t="s">
        <v>1901</v>
      </c>
      <c r="H4453" s="645">
        <v>1</v>
      </c>
      <c r="I4453" s="646">
        <v>0.92</v>
      </c>
      <c r="J4453" s="646">
        <v>0.92</v>
      </c>
    </row>
    <row r="4454" spans="1:10" ht="14.5" thickBot="1" x14ac:dyDescent="0.35">
      <c r="A4454" s="519" t="s">
        <v>2437</v>
      </c>
      <c r="B4454" s="520" t="s">
        <v>3347</v>
      </c>
      <c r="C4454" s="519" t="s">
        <v>32</v>
      </c>
      <c r="D4454" s="519" t="s">
        <v>3348</v>
      </c>
      <c r="E4454" s="905" t="s">
        <v>2442</v>
      </c>
      <c r="F4454" s="905"/>
      <c r="G4454" s="521" t="s">
        <v>2532</v>
      </c>
      <c r="H4454" s="522">
        <v>1.28</v>
      </c>
      <c r="I4454" s="523">
        <v>0.72</v>
      </c>
      <c r="J4454" s="523">
        <v>0.92</v>
      </c>
    </row>
    <row r="4455" spans="1:10" s="358" customFormat="1" ht="38.25" customHeight="1" thickTop="1" x14ac:dyDescent="0.3">
      <c r="A4455" s="647"/>
      <c r="B4455" s="647"/>
      <c r="C4455" s="647"/>
      <c r="D4455" s="647"/>
      <c r="E4455" s="647"/>
      <c r="F4455" s="647"/>
      <c r="G4455" s="647"/>
      <c r="H4455" s="647"/>
      <c r="I4455" s="647"/>
      <c r="J4455"/>
    </row>
    <row r="4456" spans="1:10" ht="38.25" customHeight="1" x14ac:dyDescent="0.3">
      <c r="A4456" s="516"/>
      <c r="B4456" s="517" t="s">
        <v>15</v>
      </c>
      <c r="C4456" s="516" t="s">
        <v>16</v>
      </c>
      <c r="D4456" s="516" t="s">
        <v>17</v>
      </c>
      <c r="E4456" s="904" t="s">
        <v>2431</v>
      </c>
      <c r="F4456" s="904"/>
      <c r="G4456" s="518" t="s">
        <v>18</v>
      </c>
      <c r="H4456" s="517" t="s">
        <v>19</v>
      </c>
      <c r="I4456" s="517" t="s">
        <v>20</v>
      </c>
      <c r="J4456" s="517" t="s">
        <v>23</v>
      </c>
    </row>
    <row r="4457" spans="1:10" ht="38.25" customHeight="1" x14ac:dyDescent="0.3">
      <c r="A4457" s="642" t="s">
        <v>2432</v>
      </c>
      <c r="B4457" s="643" t="s">
        <v>2718</v>
      </c>
      <c r="C4457" s="642" t="s">
        <v>32</v>
      </c>
      <c r="D4457" s="642" t="s">
        <v>2719</v>
      </c>
      <c r="E4457" s="906" t="s">
        <v>2661</v>
      </c>
      <c r="F4457" s="906"/>
      <c r="G4457" s="644" t="s">
        <v>89</v>
      </c>
      <c r="H4457" s="645">
        <v>1</v>
      </c>
      <c r="I4457" s="646">
        <v>135.4</v>
      </c>
      <c r="J4457" s="646">
        <v>135.4</v>
      </c>
    </row>
    <row r="4458" spans="1:10" ht="37.5" x14ac:dyDescent="0.3">
      <c r="A4458" s="519" t="s">
        <v>2434</v>
      </c>
      <c r="B4458" s="520" t="s">
        <v>3286</v>
      </c>
      <c r="C4458" s="519" t="s">
        <v>32</v>
      </c>
      <c r="D4458" s="519" t="s">
        <v>3287</v>
      </c>
      <c r="E4458" s="905" t="s">
        <v>2433</v>
      </c>
      <c r="F4458" s="905"/>
      <c r="G4458" s="521" t="s">
        <v>118</v>
      </c>
      <c r="H4458" s="522">
        <v>4.4000000000000003E-3</v>
      </c>
      <c r="I4458" s="523">
        <v>648.42999999999995</v>
      </c>
      <c r="J4458" s="523">
        <v>2.85</v>
      </c>
    </row>
    <row r="4459" spans="1:10" ht="38.25" customHeight="1" x14ac:dyDescent="0.3">
      <c r="A4459" s="519" t="s">
        <v>2434</v>
      </c>
      <c r="B4459" s="520" t="s">
        <v>2857</v>
      </c>
      <c r="C4459" s="519" t="s">
        <v>32</v>
      </c>
      <c r="D4459" s="519" t="s">
        <v>2858</v>
      </c>
      <c r="E4459" s="905" t="s">
        <v>2433</v>
      </c>
      <c r="F4459" s="905"/>
      <c r="G4459" s="521" t="s">
        <v>1901</v>
      </c>
      <c r="H4459" s="522">
        <v>0.32590000000000002</v>
      </c>
      <c r="I4459" s="523">
        <v>24.65</v>
      </c>
      <c r="J4459" s="523">
        <v>8.0299999999999994</v>
      </c>
    </row>
    <row r="4460" spans="1:10" ht="39" customHeight="1" x14ac:dyDescent="0.3">
      <c r="A4460" s="519" t="s">
        <v>2434</v>
      </c>
      <c r="B4460" s="520" t="s">
        <v>2766</v>
      </c>
      <c r="C4460" s="519" t="s">
        <v>32</v>
      </c>
      <c r="D4460" s="519" t="s">
        <v>2767</v>
      </c>
      <c r="E4460" s="905" t="s">
        <v>2433</v>
      </c>
      <c r="F4460" s="905"/>
      <c r="G4460" s="521" t="s">
        <v>1901</v>
      </c>
      <c r="H4460" s="522">
        <v>0.32590000000000002</v>
      </c>
      <c r="I4460" s="523">
        <v>31.49</v>
      </c>
      <c r="J4460" s="523">
        <v>10.26</v>
      </c>
    </row>
    <row r="4461" spans="1:10" s="358" customFormat="1" ht="25.5" thickBot="1" x14ac:dyDescent="0.35">
      <c r="A4461" s="519" t="s">
        <v>2437</v>
      </c>
      <c r="B4461" s="520" t="s">
        <v>3922</v>
      </c>
      <c r="C4461" s="519" t="s">
        <v>32</v>
      </c>
      <c r="D4461" s="519" t="s">
        <v>3923</v>
      </c>
      <c r="E4461" s="905" t="s">
        <v>2442</v>
      </c>
      <c r="F4461" s="905"/>
      <c r="G4461" s="521" t="s">
        <v>89</v>
      </c>
      <c r="H4461" s="522">
        <v>1</v>
      </c>
      <c r="I4461" s="523">
        <v>114.26</v>
      </c>
      <c r="J4461" s="523">
        <v>114.26</v>
      </c>
    </row>
    <row r="4462" spans="1:10" ht="14.5" thickTop="1" x14ac:dyDescent="0.3">
      <c r="A4462" s="647"/>
      <c r="B4462" s="647"/>
      <c r="C4462" s="647"/>
      <c r="D4462" s="647"/>
      <c r="E4462" s="647"/>
      <c r="F4462" s="647"/>
      <c r="G4462" s="647"/>
      <c r="H4462" s="647"/>
      <c r="I4462" s="647"/>
      <c r="J4462"/>
    </row>
    <row r="4463" spans="1:10" s="358" customFormat="1" ht="38.25" customHeight="1" x14ac:dyDescent="0.3">
      <c r="A4463" s="516"/>
      <c r="B4463" s="517" t="s">
        <v>15</v>
      </c>
      <c r="C4463" s="516" t="s">
        <v>16</v>
      </c>
      <c r="D4463" s="516" t="s">
        <v>17</v>
      </c>
      <c r="E4463" s="904" t="s">
        <v>2431</v>
      </c>
      <c r="F4463" s="904"/>
      <c r="G4463" s="518" t="s">
        <v>18</v>
      </c>
      <c r="H4463" s="517" t="s">
        <v>19</v>
      </c>
      <c r="I4463" s="517" t="s">
        <v>20</v>
      </c>
      <c r="J4463" s="517" t="s">
        <v>23</v>
      </c>
    </row>
    <row r="4464" spans="1:10" ht="14.25" customHeight="1" x14ac:dyDescent="0.3">
      <c r="A4464" s="642" t="s">
        <v>2432</v>
      </c>
      <c r="B4464" s="643" t="s">
        <v>3666</v>
      </c>
      <c r="C4464" s="642" t="s">
        <v>32</v>
      </c>
      <c r="D4464" s="642" t="s">
        <v>3667</v>
      </c>
      <c r="E4464" s="906" t="s">
        <v>2433</v>
      </c>
      <c r="F4464" s="906"/>
      <c r="G4464" s="644" t="s">
        <v>1901</v>
      </c>
      <c r="H4464" s="645">
        <v>1</v>
      </c>
      <c r="I4464" s="646">
        <v>27.43</v>
      </c>
      <c r="J4464" s="646">
        <v>27.43</v>
      </c>
    </row>
    <row r="4465" spans="1:10" s="358" customFormat="1" ht="25" x14ac:dyDescent="0.3">
      <c r="A4465" s="519" t="s">
        <v>2434</v>
      </c>
      <c r="B4465" s="520" t="s">
        <v>3570</v>
      </c>
      <c r="C4465" s="519" t="s">
        <v>32</v>
      </c>
      <c r="D4465" s="519" t="s">
        <v>3571</v>
      </c>
      <c r="E4465" s="905" t="s">
        <v>2433</v>
      </c>
      <c r="F4465" s="905"/>
      <c r="G4465" s="521" t="s">
        <v>1901</v>
      </c>
      <c r="H4465" s="522">
        <v>1</v>
      </c>
      <c r="I4465" s="523">
        <v>0.11</v>
      </c>
      <c r="J4465" s="523">
        <v>0.11</v>
      </c>
    </row>
    <row r="4466" spans="1:10" x14ac:dyDescent="0.3">
      <c r="A4466" s="519" t="s">
        <v>2437</v>
      </c>
      <c r="B4466" s="520" t="s">
        <v>3572</v>
      </c>
      <c r="C4466" s="519" t="s">
        <v>32</v>
      </c>
      <c r="D4466" s="519" t="s">
        <v>3573</v>
      </c>
      <c r="E4466" s="905" t="s">
        <v>2440</v>
      </c>
      <c r="F4466" s="905"/>
      <c r="G4466" s="521" t="s">
        <v>1901</v>
      </c>
      <c r="H4466" s="522">
        <v>1</v>
      </c>
      <c r="I4466" s="523">
        <v>19.77</v>
      </c>
      <c r="J4466" s="523">
        <v>19.77</v>
      </c>
    </row>
    <row r="4467" spans="1:10" s="358" customFormat="1" ht="38.25" customHeight="1" x14ac:dyDescent="0.3">
      <c r="A4467" s="519" t="s">
        <v>2437</v>
      </c>
      <c r="B4467" s="520" t="s">
        <v>3257</v>
      </c>
      <c r="C4467" s="519" t="s">
        <v>32</v>
      </c>
      <c r="D4467" s="519" t="s">
        <v>4306</v>
      </c>
      <c r="E4467" s="905" t="s">
        <v>2856</v>
      </c>
      <c r="F4467" s="905"/>
      <c r="G4467" s="521" t="s">
        <v>1901</v>
      </c>
      <c r="H4467" s="522">
        <v>1</v>
      </c>
      <c r="I4467" s="523">
        <v>3.8</v>
      </c>
      <c r="J4467" s="523">
        <v>3.8</v>
      </c>
    </row>
    <row r="4468" spans="1:10" ht="25" x14ac:dyDescent="0.3">
      <c r="A4468" s="519" t="s">
        <v>2437</v>
      </c>
      <c r="B4468" s="520" t="s">
        <v>3258</v>
      </c>
      <c r="C4468" s="519" t="s">
        <v>32</v>
      </c>
      <c r="D4468" s="519" t="s">
        <v>4307</v>
      </c>
      <c r="E4468" s="905" t="s">
        <v>3259</v>
      </c>
      <c r="F4468" s="905"/>
      <c r="G4468" s="521" t="s">
        <v>1901</v>
      </c>
      <c r="H4468" s="522">
        <v>1</v>
      </c>
      <c r="I4468" s="523">
        <v>1.5</v>
      </c>
      <c r="J4468" s="523">
        <v>1.5</v>
      </c>
    </row>
    <row r="4469" spans="1:10" s="358" customFormat="1" ht="25" x14ac:dyDescent="0.3">
      <c r="A4469" s="519" t="s">
        <v>2437</v>
      </c>
      <c r="B4469" s="520" t="s">
        <v>3260</v>
      </c>
      <c r="C4469" s="519" t="s">
        <v>32</v>
      </c>
      <c r="D4469" s="519" t="s">
        <v>4308</v>
      </c>
      <c r="E4469" s="905" t="s">
        <v>2856</v>
      </c>
      <c r="F4469" s="905"/>
      <c r="G4469" s="521" t="s">
        <v>1901</v>
      </c>
      <c r="H4469" s="522">
        <v>1</v>
      </c>
      <c r="I4469" s="523">
        <v>1.34</v>
      </c>
      <c r="J4469" s="523">
        <v>1.34</v>
      </c>
    </row>
    <row r="4470" spans="1:10" ht="25" x14ac:dyDescent="0.3">
      <c r="A4470" s="519" t="s">
        <v>2437</v>
      </c>
      <c r="B4470" s="520" t="s">
        <v>3261</v>
      </c>
      <c r="C4470" s="519" t="s">
        <v>32</v>
      </c>
      <c r="D4470" s="519" t="s">
        <v>4309</v>
      </c>
      <c r="E4470" s="905" t="s">
        <v>2535</v>
      </c>
      <c r="F4470" s="905"/>
      <c r="G4470" s="521" t="s">
        <v>1901</v>
      </c>
      <c r="H4470" s="522">
        <v>1</v>
      </c>
      <c r="I4470" s="523">
        <v>0.04</v>
      </c>
      <c r="J4470" s="523">
        <v>0.04</v>
      </c>
    </row>
    <row r="4471" spans="1:10" s="358" customFormat="1" ht="38.25" customHeight="1" x14ac:dyDescent="0.3">
      <c r="A4471" s="519" t="s">
        <v>2437</v>
      </c>
      <c r="B4471" s="520" t="s">
        <v>3310</v>
      </c>
      <c r="C4471" s="519" t="s">
        <v>32</v>
      </c>
      <c r="D4471" s="519" t="s">
        <v>3311</v>
      </c>
      <c r="E4471" s="905" t="s">
        <v>2446</v>
      </c>
      <c r="F4471" s="905"/>
      <c r="G4471" s="521" t="s">
        <v>1901</v>
      </c>
      <c r="H4471" s="522">
        <v>1</v>
      </c>
      <c r="I4471" s="523">
        <v>0.01</v>
      </c>
      <c r="J4471" s="523">
        <v>0.01</v>
      </c>
    </row>
    <row r="4472" spans="1:10" ht="25.5" thickBot="1" x14ac:dyDescent="0.35">
      <c r="A4472" s="519" t="s">
        <v>2437</v>
      </c>
      <c r="B4472" s="520" t="s">
        <v>3312</v>
      </c>
      <c r="C4472" s="519" t="s">
        <v>32</v>
      </c>
      <c r="D4472" s="519" t="s">
        <v>3313</v>
      </c>
      <c r="E4472" s="905" t="s">
        <v>2446</v>
      </c>
      <c r="F4472" s="905"/>
      <c r="G4472" s="521" t="s">
        <v>1901</v>
      </c>
      <c r="H4472" s="522">
        <v>1</v>
      </c>
      <c r="I4472" s="523">
        <v>0.86</v>
      </c>
      <c r="J4472" s="523">
        <v>0.86</v>
      </c>
    </row>
    <row r="4473" spans="1:10" s="358" customFormat="1" ht="14.5" thickTop="1" x14ac:dyDescent="0.3">
      <c r="A4473" s="647"/>
      <c r="B4473" s="647"/>
      <c r="C4473" s="647"/>
      <c r="D4473" s="647"/>
      <c r="E4473" s="647"/>
      <c r="F4473" s="647"/>
      <c r="G4473" s="647"/>
      <c r="H4473" s="647"/>
      <c r="I4473" s="647"/>
      <c r="J4473"/>
    </row>
    <row r="4474" spans="1:10" x14ac:dyDescent="0.3">
      <c r="A4474" s="516"/>
      <c r="B4474" s="517" t="s">
        <v>15</v>
      </c>
      <c r="C4474" s="516" t="s">
        <v>16</v>
      </c>
      <c r="D4474" s="516" t="s">
        <v>17</v>
      </c>
      <c r="E4474" s="904" t="s">
        <v>2431</v>
      </c>
      <c r="F4474" s="904"/>
      <c r="G4474" s="518" t="s">
        <v>18</v>
      </c>
      <c r="H4474" s="517" t="s">
        <v>19</v>
      </c>
      <c r="I4474" s="517" t="s">
        <v>20</v>
      </c>
      <c r="J4474" s="517" t="s">
        <v>23</v>
      </c>
    </row>
    <row r="4475" spans="1:10" s="358" customFormat="1" ht="38.25" customHeight="1" x14ac:dyDescent="0.3">
      <c r="A4475" s="642" t="s">
        <v>2432</v>
      </c>
      <c r="B4475" s="643" t="s">
        <v>2707</v>
      </c>
      <c r="C4475" s="642" t="s">
        <v>32</v>
      </c>
      <c r="D4475" s="642" t="s">
        <v>2708</v>
      </c>
      <c r="E4475" s="906" t="s">
        <v>2706</v>
      </c>
      <c r="F4475" s="906"/>
      <c r="G4475" s="644" t="s">
        <v>118</v>
      </c>
      <c r="H4475" s="645">
        <v>1</v>
      </c>
      <c r="I4475" s="646">
        <v>26.63</v>
      </c>
      <c r="J4475" s="646">
        <v>26.63</v>
      </c>
    </row>
    <row r="4476" spans="1:10" ht="50" x14ac:dyDescent="0.3">
      <c r="A4476" s="519" t="s">
        <v>2434</v>
      </c>
      <c r="B4476" s="520" t="s">
        <v>2950</v>
      </c>
      <c r="C4476" s="519" t="s">
        <v>32</v>
      </c>
      <c r="D4476" s="519" t="s">
        <v>2951</v>
      </c>
      <c r="E4476" s="905" t="s">
        <v>2465</v>
      </c>
      <c r="F4476" s="905"/>
      <c r="G4476" s="521" t="s">
        <v>103</v>
      </c>
      <c r="H4476" s="522">
        <v>5.4000000000000003E-3</v>
      </c>
      <c r="I4476" s="523">
        <v>299.89999999999998</v>
      </c>
      <c r="J4476" s="523">
        <v>1.61</v>
      </c>
    </row>
    <row r="4477" spans="1:10" s="358" customFormat="1" ht="50" x14ac:dyDescent="0.3">
      <c r="A4477" s="519" t="s">
        <v>2434</v>
      </c>
      <c r="B4477" s="520" t="s">
        <v>2952</v>
      </c>
      <c r="C4477" s="519" t="s">
        <v>32</v>
      </c>
      <c r="D4477" s="519" t="s">
        <v>2953</v>
      </c>
      <c r="E4477" s="905" t="s">
        <v>2465</v>
      </c>
      <c r="F4477" s="905"/>
      <c r="G4477" s="521" t="s">
        <v>110</v>
      </c>
      <c r="H4477" s="522">
        <v>5.9999999999999995E-4</v>
      </c>
      <c r="I4477" s="523">
        <v>74.400000000000006</v>
      </c>
      <c r="J4477" s="523">
        <v>0.04</v>
      </c>
    </row>
    <row r="4478" spans="1:10" ht="25" x14ac:dyDescent="0.3">
      <c r="A4478" s="519" t="s">
        <v>2434</v>
      </c>
      <c r="B4478" s="520" t="s">
        <v>2561</v>
      </c>
      <c r="C4478" s="519" t="s">
        <v>32</v>
      </c>
      <c r="D4478" s="519" t="s">
        <v>2562</v>
      </c>
      <c r="E4478" s="905" t="s">
        <v>2433</v>
      </c>
      <c r="F4478" s="905"/>
      <c r="G4478" s="521" t="s">
        <v>1901</v>
      </c>
      <c r="H4478" s="522">
        <v>0.78659999999999997</v>
      </c>
      <c r="I4478" s="523">
        <v>23.4</v>
      </c>
      <c r="J4478" s="523">
        <v>18.399999999999999</v>
      </c>
    </row>
    <row r="4479" spans="1:10" s="358" customFormat="1" ht="25.5" customHeight="1" thickBot="1" x14ac:dyDescent="0.35">
      <c r="A4479" s="519" t="s">
        <v>2434</v>
      </c>
      <c r="B4479" s="520" t="s">
        <v>2940</v>
      </c>
      <c r="C4479" s="519" t="s">
        <v>32</v>
      </c>
      <c r="D4479" s="519" t="s">
        <v>2941</v>
      </c>
      <c r="E4479" s="905" t="s">
        <v>2465</v>
      </c>
      <c r="F4479" s="905"/>
      <c r="G4479" s="521" t="s">
        <v>103</v>
      </c>
      <c r="H4479" s="522">
        <v>0.19620000000000001</v>
      </c>
      <c r="I4479" s="523">
        <v>33.549999999999997</v>
      </c>
      <c r="J4479" s="523">
        <v>6.58</v>
      </c>
    </row>
    <row r="4480" spans="1:10" ht="14.5" thickTop="1" x14ac:dyDescent="0.3">
      <c r="A4480" s="647"/>
      <c r="B4480" s="647"/>
      <c r="C4480" s="647"/>
      <c r="D4480" s="647"/>
      <c r="E4480" s="647"/>
      <c r="F4480" s="647"/>
      <c r="G4480" s="647"/>
      <c r="H4480" s="647"/>
      <c r="I4480" s="647"/>
      <c r="J4480"/>
    </row>
    <row r="4481" spans="1:10" s="358" customFormat="1" x14ac:dyDescent="0.3">
      <c r="A4481" s="516"/>
      <c r="B4481" s="517" t="s">
        <v>15</v>
      </c>
      <c r="C4481" s="516" t="s">
        <v>16</v>
      </c>
      <c r="D4481" s="516" t="s">
        <v>17</v>
      </c>
      <c r="E4481" s="904" t="s">
        <v>2431</v>
      </c>
      <c r="F4481" s="904"/>
      <c r="G4481" s="518" t="s">
        <v>18</v>
      </c>
      <c r="H4481" s="517" t="s">
        <v>19</v>
      </c>
      <c r="I4481" s="517" t="s">
        <v>20</v>
      </c>
      <c r="J4481" s="517" t="s">
        <v>23</v>
      </c>
    </row>
    <row r="4482" spans="1:10" ht="25" x14ac:dyDescent="0.3">
      <c r="A4482" s="642" t="s">
        <v>2432</v>
      </c>
      <c r="B4482" s="643" t="s">
        <v>3791</v>
      </c>
      <c r="C4482" s="642" t="s">
        <v>32</v>
      </c>
      <c r="D4482" s="642" t="s">
        <v>3792</v>
      </c>
      <c r="E4482" s="906" t="s">
        <v>2667</v>
      </c>
      <c r="F4482" s="906"/>
      <c r="G4482" s="644" t="s">
        <v>89</v>
      </c>
      <c r="H4482" s="645">
        <v>1</v>
      </c>
      <c r="I4482" s="646">
        <v>43.51</v>
      </c>
      <c r="J4482" s="646">
        <v>43.51</v>
      </c>
    </row>
    <row r="4483" spans="1:10" s="358" customFormat="1" ht="38.25" customHeight="1" x14ac:dyDescent="0.3">
      <c r="A4483" s="519" t="s">
        <v>2434</v>
      </c>
      <c r="B4483" s="520" t="s">
        <v>3239</v>
      </c>
      <c r="C4483" s="519" t="s">
        <v>32</v>
      </c>
      <c r="D4483" s="519" t="s">
        <v>3240</v>
      </c>
      <c r="E4483" s="905" t="s">
        <v>2433</v>
      </c>
      <c r="F4483" s="905"/>
      <c r="G4483" s="521" t="s">
        <v>1901</v>
      </c>
      <c r="H4483" s="522">
        <v>0.11020000000000001</v>
      </c>
      <c r="I4483" s="523">
        <v>23.63</v>
      </c>
      <c r="J4483" s="523">
        <v>2.6</v>
      </c>
    </row>
    <row r="4484" spans="1:10" ht="25" x14ac:dyDescent="0.3">
      <c r="A4484" s="519" t="s">
        <v>2434</v>
      </c>
      <c r="B4484" s="520" t="s">
        <v>2786</v>
      </c>
      <c r="C4484" s="519" t="s">
        <v>32</v>
      </c>
      <c r="D4484" s="519" t="s">
        <v>2787</v>
      </c>
      <c r="E4484" s="905" t="s">
        <v>2433</v>
      </c>
      <c r="F4484" s="905"/>
      <c r="G4484" s="521" t="s">
        <v>1901</v>
      </c>
      <c r="H4484" s="522">
        <v>0.11020000000000001</v>
      </c>
      <c r="I4484" s="523">
        <v>30.33</v>
      </c>
      <c r="J4484" s="523">
        <v>3.34</v>
      </c>
    </row>
    <row r="4485" spans="1:10" x14ac:dyDescent="0.3">
      <c r="A4485" s="519" t="s">
        <v>2437</v>
      </c>
      <c r="B4485" s="520" t="s">
        <v>3924</v>
      </c>
      <c r="C4485" s="519" t="s">
        <v>32</v>
      </c>
      <c r="D4485" s="519" t="s">
        <v>3925</v>
      </c>
      <c r="E4485" s="905" t="s">
        <v>2442</v>
      </c>
      <c r="F4485" s="905"/>
      <c r="G4485" s="521" t="s">
        <v>89</v>
      </c>
      <c r="H4485" s="522">
        <v>1.06E-2</v>
      </c>
      <c r="I4485" s="523">
        <v>14.38</v>
      </c>
      <c r="J4485" s="523">
        <v>0.15</v>
      </c>
    </row>
    <row r="4486" spans="1:10" ht="25.5" thickBot="1" x14ac:dyDescent="0.35">
      <c r="A4486" s="519" t="s">
        <v>2437</v>
      </c>
      <c r="B4486" s="520" t="s">
        <v>3926</v>
      </c>
      <c r="C4486" s="519" t="s">
        <v>32</v>
      </c>
      <c r="D4486" s="519" t="s">
        <v>3927</v>
      </c>
      <c r="E4486" s="905" t="s">
        <v>2442</v>
      </c>
      <c r="F4486" s="905"/>
      <c r="G4486" s="521" t="s">
        <v>89</v>
      </c>
      <c r="H4486" s="522">
        <v>1</v>
      </c>
      <c r="I4486" s="523">
        <v>37.42</v>
      </c>
      <c r="J4486" s="523">
        <v>37.42</v>
      </c>
    </row>
    <row r="4487" spans="1:10" ht="14.5" thickTop="1" x14ac:dyDescent="0.3">
      <c r="A4487" s="647"/>
      <c r="B4487" s="647"/>
      <c r="C4487" s="647"/>
      <c r="D4487" s="647"/>
      <c r="E4487" s="647"/>
      <c r="F4487" s="647"/>
      <c r="G4487" s="647"/>
      <c r="H4487" s="647"/>
      <c r="I4487" s="647"/>
      <c r="J4487"/>
    </row>
    <row r="4488" spans="1:10" s="358" customFormat="1" x14ac:dyDescent="0.3">
      <c r="A4488" s="516"/>
      <c r="B4488" s="517" t="s">
        <v>15</v>
      </c>
      <c r="C4488" s="516" t="s">
        <v>16</v>
      </c>
      <c r="D4488" s="516" t="s">
        <v>17</v>
      </c>
      <c r="E4488" s="904" t="s">
        <v>2431</v>
      </c>
      <c r="F4488" s="904"/>
      <c r="G4488" s="518" t="s">
        <v>18</v>
      </c>
      <c r="H4488" s="517" t="s">
        <v>19</v>
      </c>
      <c r="I4488" s="517" t="s">
        <v>20</v>
      </c>
      <c r="J4488" s="517" t="s">
        <v>23</v>
      </c>
    </row>
    <row r="4489" spans="1:10" ht="50" x14ac:dyDescent="0.3">
      <c r="A4489" s="642" t="s">
        <v>2432</v>
      </c>
      <c r="B4489" s="643" t="s">
        <v>2755</v>
      </c>
      <c r="C4489" s="642" t="s">
        <v>32</v>
      </c>
      <c r="D4489" s="642" t="s">
        <v>2756</v>
      </c>
      <c r="E4489" s="906" t="s">
        <v>2465</v>
      </c>
      <c r="F4489" s="906"/>
      <c r="G4489" s="644" t="s">
        <v>110</v>
      </c>
      <c r="H4489" s="645">
        <v>1</v>
      </c>
      <c r="I4489" s="646">
        <v>61.95</v>
      </c>
      <c r="J4489" s="646">
        <v>61.95</v>
      </c>
    </row>
    <row r="4490" spans="1:10" s="358" customFormat="1" ht="25" x14ac:dyDescent="0.3">
      <c r="A4490" s="519" t="s">
        <v>2434</v>
      </c>
      <c r="B4490" s="520" t="s">
        <v>3644</v>
      </c>
      <c r="C4490" s="519" t="s">
        <v>32</v>
      </c>
      <c r="D4490" s="519" t="s">
        <v>3645</v>
      </c>
      <c r="E4490" s="905" t="s">
        <v>2433</v>
      </c>
      <c r="F4490" s="905"/>
      <c r="G4490" s="521" t="s">
        <v>1901</v>
      </c>
      <c r="H4490" s="522">
        <v>1</v>
      </c>
      <c r="I4490" s="523">
        <v>29.66</v>
      </c>
      <c r="J4490" s="523">
        <v>29.66</v>
      </c>
    </row>
    <row r="4491" spans="1:10" ht="50" x14ac:dyDescent="0.3">
      <c r="A4491" s="519" t="s">
        <v>2434</v>
      </c>
      <c r="B4491" s="520" t="s">
        <v>3928</v>
      </c>
      <c r="C4491" s="519" t="s">
        <v>32</v>
      </c>
      <c r="D4491" s="519" t="s">
        <v>3929</v>
      </c>
      <c r="E4491" s="905" t="s">
        <v>2465</v>
      </c>
      <c r="F4491" s="905"/>
      <c r="G4491" s="521" t="s">
        <v>1901</v>
      </c>
      <c r="H4491" s="522">
        <v>1</v>
      </c>
      <c r="I4491" s="523">
        <v>25.54</v>
      </c>
      <c r="J4491" s="523">
        <v>25.54</v>
      </c>
    </row>
    <row r="4492" spans="1:10" ht="50.5" thickBot="1" x14ac:dyDescent="0.35">
      <c r="A4492" s="519" t="s">
        <v>2434</v>
      </c>
      <c r="B4492" s="520" t="s">
        <v>3930</v>
      </c>
      <c r="C4492" s="519" t="s">
        <v>32</v>
      </c>
      <c r="D4492" s="519" t="s">
        <v>3931</v>
      </c>
      <c r="E4492" s="905" t="s">
        <v>2465</v>
      </c>
      <c r="F4492" s="905"/>
      <c r="G4492" s="521" t="s">
        <v>1901</v>
      </c>
      <c r="H4492" s="522">
        <v>1</v>
      </c>
      <c r="I4492" s="523">
        <v>6.75</v>
      </c>
      <c r="J4492" s="523">
        <v>6.75</v>
      </c>
    </row>
    <row r="4493" spans="1:10" ht="14.5" thickTop="1" x14ac:dyDescent="0.3">
      <c r="A4493" s="647"/>
      <c r="B4493" s="647"/>
      <c r="C4493" s="647"/>
      <c r="D4493" s="647"/>
      <c r="E4493" s="647"/>
      <c r="F4493" s="647"/>
      <c r="G4493" s="647"/>
      <c r="H4493" s="647"/>
      <c r="I4493" s="647"/>
      <c r="J4493"/>
    </row>
    <row r="4494" spans="1:10" x14ac:dyDescent="0.3">
      <c r="A4494" s="516"/>
      <c r="B4494" s="517" t="s">
        <v>15</v>
      </c>
      <c r="C4494" s="516" t="s">
        <v>16</v>
      </c>
      <c r="D4494" s="516" t="s">
        <v>17</v>
      </c>
      <c r="E4494" s="904" t="s">
        <v>2431</v>
      </c>
      <c r="F4494" s="904"/>
      <c r="G4494" s="518" t="s">
        <v>18</v>
      </c>
      <c r="H4494" s="517" t="s">
        <v>19</v>
      </c>
      <c r="I4494" s="517" t="s">
        <v>20</v>
      </c>
      <c r="J4494" s="517" t="s">
        <v>23</v>
      </c>
    </row>
    <row r="4495" spans="1:10" ht="50" x14ac:dyDescent="0.3">
      <c r="A4495" s="642" t="s">
        <v>2432</v>
      </c>
      <c r="B4495" s="643" t="s">
        <v>2753</v>
      </c>
      <c r="C4495" s="642" t="s">
        <v>32</v>
      </c>
      <c r="D4495" s="642" t="s">
        <v>2754</v>
      </c>
      <c r="E4495" s="906" t="s">
        <v>2465</v>
      </c>
      <c r="F4495" s="906"/>
      <c r="G4495" s="644" t="s">
        <v>103</v>
      </c>
      <c r="H4495" s="645">
        <v>1</v>
      </c>
      <c r="I4495" s="646">
        <v>139.99</v>
      </c>
      <c r="J4495" s="646">
        <v>139.99</v>
      </c>
    </row>
    <row r="4496" spans="1:10" ht="62.5" x14ac:dyDescent="0.3">
      <c r="A4496" s="519" t="s">
        <v>2434</v>
      </c>
      <c r="B4496" s="520" t="s">
        <v>3932</v>
      </c>
      <c r="C4496" s="519" t="s">
        <v>32</v>
      </c>
      <c r="D4496" s="519" t="s">
        <v>3933</v>
      </c>
      <c r="E4496" s="905" t="s">
        <v>2465</v>
      </c>
      <c r="F4496" s="905"/>
      <c r="G4496" s="521" t="s">
        <v>1901</v>
      </c>
      <c r="H4496" s="522">
        <v>1</v>
      </c>
      <c r="I4496" s="523">
        <v>46.12</v>
      </c>
      <c r="J4496" s="523">
        <v>46.12</v>
      </c>
    </row>
    <row r="4497" spans="1:10" ht="50" x14ac:dyDescent="0.3">
      <c r="A4497" s="519" t="s">
        <v>2434</v>
      </c>
      <c r="B4497" s="520" t="s">
        <v>3934</v>
      </c>
      <c r="C4497" s="519" t="s">
        <v>32</v>
      </c>
      <c r="D4497" s="519" t="s">
        <v>3935</v>
      </c>
      <c r="E4497" s="905" t="s">
        <v>2465</v>
      </c>
      <c r="F4497" s="905"/>
      <c r="G4497" s="521" t="s">
        <v>1901</v>
      </c>
      <c r="H4497" s="522">
        <v>1</v>
      </c>
      <c r="I4497" s="523">
        <v>31.92</v>
      </c>
      <c r="J4497" s="523">
        <v>31.92</v>
      </c>
    </row>
    <row r="4498" spans="1:10" ht="25" x14ac:dyDescent="0.3">
      <c r="A4498" s="519" t="s">
        <v>2434</v>
      </c>
      <c r="B4498" s="520" t="s">
        <v>3644</v>
      </c>
      <c r="C4498" s="519" t="s">
        <v>32</v>
      </c>
      <c r="D4498" s="519" t="s">
        <v>3645</v>
      </c>
      <c r="E4498" s="905" t="s">
        <v>2433</v>
      </c>
      <c r="F4498" s="905"/>
      <c r="G4498" s="521" t="s">
        <v>1901</v>
      </c>
      <c r="H4498" s="522">
        <v>1</v>
      </c>
      <c r="I4498" s="523">
        <v>29.66</v>
      </c>
      <c r="J4498" s="523">
        <v>29.66</v>
      </c>
    </row>
    <row r="4499" spans="1:10" s="358" customFormat="1" ht="50" x14ac:dyDescent="0.3">
      <c r="A4499" s="519" t="s">
        <v>2434</v>
      </c>
      <c r="B4499" s="520" t="s">
        <v>3928</v>
      </c>
      <c r="C4499" s="519" t="s">
        <v>32</v>
      </c>
      <c r="D4499" s="519" t="s">
        <v>3929</v>
      </c>
      <c r="E4499" s="905" t="s">
        <v>2465</v>
      </c>
      <c r="F4499" s="905"/>
      <c r="G4499" s="521" t="s">
        <v>1901</v>
      </c>
      <c r="H4499" s="522">
        <v>1</v>
      </c>
      <c r="I4499" s="523">
        <v>25.54</v>
      </c>
      <c r="J4499" s="523">
        <v>25.54</v>
      </c>
    </row>
    <row r="4500" spans="1:10" ht="50.5" thickBot="1" x14ac:dyDescent="0.35">
      <c r="A4500" s="519" t="s">
        <v>2434</v>
      </c>
      <c r="B4500" s="520" t="s">
        <v>3930</v>
      </c>
      <c r="C4500" s="519" t="s">
        <v>32</v>
      </c>
      <c r="D4500" s="519" t="s">
        <v>3931</v>
      </c>
      <c r="E4500" s="905" t="s">
        <v>2465</v>
      </c>
      <c r="F4500" s="905"/>
      <c r="G4500" s="521" t="s">
        <v>1901</v>
      </c>
      <c r="H4500" s="522">
        <v>1</v>
      </c>
      <c r="I4500" s="523">
        <v>6.75</v>
      </c>
      <c r="J4500" s="523">
        <v>6.75</v>
      </c>
    </row>
    <row r="4501" spans="1:10" s="358" customFormat="1" ht="14.5" thickTop="1" x14ac:dyDescent="0.3">
      <c r="A4501" s="647"/>
      <c r="B4501" s="647"/>
      <c r="C4501" s="647"/>
      <c r="D4501" s="647"/>
      <c r="E4501" s="647"/>
      <c r="F4501" s="647"/>
      <c r="G4501" s="647"/>
      <c r="H4501" s="647"/>
      <c r="I4501" s="647"/>
      <c r="J4501"/>
    </row>
    <row r="4502" spans="1:10" x14ac:dyDescent="0.3">
      <c r="A4502" s="516"/>
      <c r="B4502" s="517" t="s">
        <v>15</v>
      </c>
      <c r="C4502" s="516" t="s">
        <v>16</v>
      </c>
      <c r="D4502" s="516" t="s">
        <v>17</v>
      </c>
      <c r="E4502" s="904" t="s">
        <v>2431</v>
      </c>
      <c r="F4502" s="904"/>
      <c r="G4502" s="518" t="s">
        <v>18</v>
      </c>
      <c r="H4502" s="517" t="s">
        <v>19</v>
      </c>
      <c r="I4502" s="517" t="s">
        <v>20</v>
      </c>
      <c r="J4502" s="517" t="s">
        <v>23</v>
      </c>
    </row>
    <row r="4503" spans="1:10" s="358" customFormat="1" ht="50" x14ac:dyDescent="0.3">
      <c r="A4503" s="642" t="s">
        <v>2432</v>
      </c>
      <c r="B4503" s="643" t="s">
        <v>3928</v>
      </c>
      <c r="C4503" s="642" t="s">
        <v>32</v>
      </c>
      <c r="D4503" s="642" t="s">
        <v>3929</v>
      </c>
      <c r="E4503" s="906" t="s">
        <v>2465</v>
      </c>
      <c r="F4503" s="906"/>
      <c r="G4503" s="644" t="s">
        <v>1901</v>
      </c>
      <c r="H4503" s="645">
        <v>1</v>
      </c>
      <c r="I4503" s="646">
        <v>25.54</v>
      </c>
      <c r="J4503" s="646">
        <v>25.54</v>
      </c>
    </row>
    <row r="4504" spans="1:10" ht="63" thickBot="1" x14ac:dyDescent="0.35">
      <c r="A4504" s="519" t="s">
        <v>2437</v>
      </c>
      <c r="B4504" s="520" t="s">
        <v>3936</v>
      </c>
      <c r="C4504" s="519" t="s">
        <v>32</v>
      </c>
      <c r="D4504" s="519" t="s">
        <v>3937</v>
      </c>
      <c r="E4504" s="905" t="s">
        <v>2446</v>
      </c>
      <c r="F4504" s="905"/>
      <c r="G4504" s="521" t="s">
        <v>89</v>
      </c>
      <c r="H4504" s="522">
        <v>5.5999999999999999E-5</v>
      </c>
      <c r="I4504" s="523">
        <v>456097.53</v>
      </c>
      <c r="J4504" s="523">
        <v>25.54</v>
      </c>
    </row>
    <row r="4505" spans="1:10" s="358" customFormat="1" ht="14.5" thickTop="1" x14ac:dyDescent="0.3">
      <c r="A4505" s="647"/>
      <c r="B4505" s="647"/>
      <c r="C4505" s="647"/>
      <c r="D4505" s="647"/>
      <c r="E4505" s="647"/>
      <c r="F4505" s="647"/>
      <c r="G4505" s="647"/>
      <c r="H4505" s="647"/>
      <c r="I4505" s="647"/>
      <c r="J4505"/>
    </row>
    <row r="4506" spans="1:10" x14ac:dyDescent="0.3">
      <c r="A4506" s="516"/>
      <c r="B4506" s="517" t="s">
        <v>15</v>
      </c>
      <c r="C4506" s="516" t="s">
        <v>16</v>
      </c>
      <c r="D4506" s="516" t="s">
        <v>17</v>
      </c>
      <c r="E4506" s="904" t="s">
        <v>2431</v>
      </c>
      <c r="F4506" s="904"/>
      <c r="G4506" s="518" t="s">
        <v>18</v>
      </c>
      <c r="H4506" s="517" t="s">
        <v>19</v>
      </c>
      <c r="I4506" s="517" t="s">
        <v>20</v>
      </c>
      <c r="J4506" s="517" t="s">
        <v>23</v>
      </c>
    </row>
    <row r="4507" spans="1:10" ht="50" x14ac:dyDescent="0.3">
      <c r="A4507" s="642" t="s">
        <v>2432</v>
      </c>
      <c r="B4507" s="643" t="s">
        <v>3930</v>
      </c>
      <c r="C4507" s="642" t="s">
        <v>32</v>
      </c>
      <c r="D4507" s="642" t="s">
        <v>3931</v>
      </c>
      <c r="E4507" s="906" t="s">
        <v>2465</v>
      </c>
      <c r="F4507" s="906"/>
      <c r="G4507" s="644" t="s">
        <v>1901</v>
      </c>
      <c r="H4507" s="645">
        <v>1</v>
      </c>
      <c r="I4507" s="646">
        <v>6.75</v>
      </c>
      <c r="J4507" s="646">
        <v>6.75</v>
      </c>
    </row>
    <row r="4508" spans="1:10" ht="63" thickBot="1" x14ac:dyDescent="0.35">
      <c r="A4508" s="519" t="s">
        <v>2437</v>
      </c>
      <c r="B4508" s="520" t="s">
        <v>3936</v>
      </c>
      <c r="C4508" s="519" t="s">
        <v>32</v>
      </c>
      <c r="D4508" s="519" t="s">
        <v>3937</v>
      </c>
      <c r="E4508" s="905" t="s">
        <v>2446</v>
      </c>
      <c r="F4508" s="905"/>
      <c r="G4508" s="521" t="s">
        <v>89</v>
      </c>
      <c r="H4508" s="522">
        <v>1.4800000000000001E-5</v>
      </c>
      <c r="I4508" s="523">
        <v>456097.53</v>
      </c>
      <c r="J4508" s="523">
        <v>6.75</v>
      </c>
    </row>
    <row r="4509" spans="1:10" ht="26.25" customHeight="1" thickTop="1" x14ac:dyDescent="0.3">
      <c r="A4509" s="647"/>
      <c r="B4509" s="647"/>
      <c r="C4509" s="647"/>
      <c r="D4509" s="647"/>
      <c r="E4509" s="647"/>
      <c r="F4509" s="647"/>
      <c r="G4509" s="647"/>
      <c r="H4509" s="647"/>
      <c r="I4509" s="647"/>
      <c r="J4509"/>
    </row>
    <row r="4510" spans="1:10" s="358" customFormat="1" x14ac:dyDescent="0.3">
      <c r="A4510" s="516"/>
      <c r="B4510" s="517" t="s">
        <v>15</v>
      </c>
      <c r="C4510" s="516" t="s">
        <v>16</v>
      </c>
      <c r="D4510" s="516" t="s">
        <v>17</v>
      </c>
      <c r="E4510" s="904" t="s">
        <v>2431</v>
      </c>
      <c r="F4510" s="904"/>
      <c r="G4510" s="518" t="s">
        <v>18</v>
      </c>
      <c r="H4510" s="517" t="s">
        <v>19</v>
      </c>
      <c r="I4510" s="517" t="s">
        <v>20</v>
      </c>
      <c r="J4510" s="517" t="s">
        <v>23</v>
      </c>
    </row>
    <row r="4511" spans="1:10" ht="50" x14ac:dyDescent="0.3">
      <c r="A4511" s="642" t="s">
        <v>2432</v>
      </c>
      <c r="B4511" s="643" t="s">
        <v>3934</v>
      </c>
      <c r="C4511" s="642" t="s">
        <v>32</v>
      </c>
      <c r="D4511" s="642" t="s">
        <v>3935</v>
      </c>
      <c r="E4511" s="906" t="s">
        <v>2465</v>
      </c>
      <c r="F4511" s="906"/>
      <c r="G4511" s="644" t="s">
        <v>1901</v>
      </c>
      <c r="H4511" s="645">
        <v>1</v>
      </c>
      <c r="I4511" s="646">
        <v>31.92</v>
      </c>
      <c r="J4511" s="646">
        <v>31.92</v>
      </c>
    </row>
    <row r="4512" spans="1:10" s="358" customFormat="1" ht="63" thickBot="1" x14ac:dyDescent="0.35">
      <c r="A4512" s="519" t="s">
        <v>2437</v>
      </c>
      <c r="B4512" s="520" t="s">
        <v>3936</v>
      </c>
      <c r="C4512" s="519" t="s">
        <v>32</v>
      </c>
      <c r="D4512" s="519" t="s">
        <v>3937</v>
      </c>
      <c r="E4512" s="905" t="s">
        <v>2446</v>
      </c>
      <c r="F4512" s="905"/>
      <c r="G4512" s="521" t="s">
        <v>89</v>
      </c>
      <c r="H4512" s="522">
        <v>6.9999999999999994E-5</v>
      </c>
      <c r="I4512" s="523">
        <v>456097.53</v>
      </c>
      <c r="J4512" s="523">
        <v>31.92</v>
      </c>
    </row>
    <row r="4513" spans="1:10" ht="14.5" thickTop="1" x14ac:dyDescent="0.3">
      <c r="A4513" s="647"/>
      <c r="B4513" s="647"/>
      <c r="C4513" s="647"/>
      <c r="D4513" s="647"/>
      <c r="E4513" s="647"/>
      <c r="F4513" s="647"/>
      <c r="G4513" s="647"/>
      <c r="H4513" s="647"/>
      <c r="I4513" s="647"/>
      <c r="J4513"/>
    </row>
    <row r="4514" spans="1:10" x14ac:dyDescent="0.3">
      <c r="A4514" s="516"/>
      <c r="B4514" s="517" t="s">
        <v>15</v>
      </c>
      <c r="C4514" s="516" t="s">
        <v>16</v>
      </c>
      <c r="D4514" s="516" t="s">
        <v>17</v>
      </c>
      <c r="E4514" s="904" t="s">
        <v>2431</v>
      </c>
      <c r="F4514" s="904"/>
      <c r="G4514" s="518" t="s">
        <v>18</v>
      </c>
      <c r="H4514" s="517" t="s">
        <v>19</v>
      </c>
      <c r="I4514" s="517" t="s">
        <v>20</v>
      </c>
      <c r="J4514" s="517" t="s">
        <v>23</v>
      </c>
    </row>
    <row r="4515" spans="1:10" ht="62.5" x14ac:dyDescent="0.3">
      <c r="A4515" s="642" t="s">
        <v>2432</v>
      </c>
      <c r="B4515" s="643" t="s">
        <v>3932</v>
      </c>
      <c r="C4515" s="642" t="s">
        <v>32</v>
      </c>
      <c r="D4515" s="642" t="s">
        <v>3933</v>
      </c>
      <c r="E4515" s="906" t="s">
        <v>2465</v>
      </c>
      <c r="F4515" s="906"/>
      <c r="G4515" s="644" t="s">
        <v>1901</v>
      </c>
      <c r="H4515" s="645">
        <v>1</v>
      </c>
      <c r="I4515" s="646">
        <v>46.12</v>
      </c>
      <c r="J4515" s="646">
        <v>46.12</v>
      </c>
    </row>
    <row r="4516" spans="1:10" ht="14.5" thickBot="1" x14ac:dyDescent="0.35">
      <c r="A4516" s="519" t="s">
        <v>2437</v>
      </c>
      <c r="B4516" s="520" t="s">
        <v>4485</v>
      </c>
      <c r="C4516" s="519" t="s">
        <v>125</v>
      </c>
      <c r="D4516" s="519" t="s">
        <v>4486</v>
      </c>
      <c r="E4516" s="905" t="s">
        <v>2442</v>
      </c>
      <c r="F4516" s="905"/>
      <c r="G4516" s="521" t="s">
        <v>2829</v>
      </c>
      <c r="H4516" s="522">
        <v>8.5299999999999994</v>
      </c>
      <c r="I4516" s="523">
        <v>5.4069000000000003</v>
      </c>
      <c r="J4516" s="523">
        <v>46.12</v>
      </c>
    </row>
    <row r="4517" spans="1:10" s="358" customFormat="1" ht="14.5" thickTop="1" x14ac:dyDescent="0.3">
      <c r="A4517" s="647"/>
      <c r="B4517" s="647"/>
      <c r="C4517" s="647"/>
      <c r="D4517" s="647"/>
      <c r="E4517" s="647"/>
      <c r="F4517" s="647"/>
      <c r="G4517" s="647"/>
      <c r="H4517" s="647"/>
      <c r="I4517" s="647"/>
      <c r="J4517"/>
    </row>
    <row r="4518" spans="1:10" x14ac:dyDescent="0.3">
      <c r="A4518" s="516"/>
      <c r="B4518" s="517" t="s">
        <v>15</v>
      </c>
      <c r="C4518" s="516" t="s">
        <v>16</v>
      </c>
      <c r="D4518" s="516" t="s">
        <v>17</v>
      </c>
      <c r="E4518" s="904" t="s">
        <v>2431</v>
      </c>
      <c r="F4518" s="904"/>
      <c r="G4518" s="518" t="s">
        <v>18</v>
      </c>
      <c r="H4518" s="517" t="s">
        <v>19</v>
      </c>
      <c r="I4518" s="517" t="s">
        <v>20</v>
      </c>
      <c r="J4518" s="517" t="s">
        <v>23</v>
      </c>
    </row>
    <row r="4519" spans="1:10" s="358" customFormat="1" ht="38.25" customHeight="1" x14ac:dyDescent="0.3">
      <c r="A4519" s="642" t="s">
        <v>2432</v>
      </c>
      <c r="B4519" s="643" t="s">
        <v>2968</v>
      </c>
      <c r="C4519" s="642" t="s">
        <v>32</v>
      </c>
      <c r="D4519" s="642" t="s">
        <v>2969</v>
      </c>
      <c r="E4519" s="906" t="s">
        <v>2465</v>
      </c>
      <c r="F4519" s="906"/>
      <c r="G4519" s="644" t="s">
        <v>110</v>
      </c>
      <c r="H4519" s="645">
        <v>1</v>
      </c>
      <c r="I4519" s="646">
        <v>93.16</v>
      </c>
      <c r="J4519" s="646">
        <v>93.16</v>
      </c>
    </row>
    <row r="4520" spans="1:10" ht="25" x14ac:dyDescent="0.3">
      <c r="A4520" s="519" t="s">
        <v>2434</v>
      </c>
      <c r="B4520" s="520" t="s">
        <v>3823</v>
      </c>
      <c r="C4520" s="519" t="s">
        <v>32</v>
      </c>
      <c r="D4520" s="519" t="s">
        <v>3824</v>
      </c>
      <c r="E4520" s="905" t="s">
        <v>2433</v>
      </c>
      <c r="F4520" s="905"/>
      <c r="G4520" s="521" t="s">
        <v>1901</v>
      </c>
      <c r="H4520" s="522">
        <v>1</v>
      </c>
      <c r="I4520" s="523">
        <v>25.72</v>
      </c>
      <c r="J4520" s="523">
        <v>25.72</v>
      </c>
    </row>
    <row r="4521" spans="1:10" ht="38.25" customHeight="1" x14ac:dyDescent="0.3">
      <c r="A4521" s="519" t="s">
        <v>2434</v>
      </c>
      <c r="B4521" s="520" t="s">
        <v>3938</v>
      </c>
      <c r="C4521" s="519" t="s">
        <v>32</v>
      </c>
      <c r="D4521" s="519" t="s">
        <v>3939</v>
      </c>
      <c r="E4521" s="905" t="s">
        <v>2465</v>
      </c>
      <c r="F4521" s="905"/>
      <c r="G4521" s="521" t="s">
        <v>1901</v>
      </c>
      <c r="H4521" s="522">
        <v>1</v>
      </c>
      <c r="I4521" s="523">
        <v>14.26</v>
      </c>
      <c r="J4521" s="523">
        <v>14.26</v>
      </c>
    </row>
    <row r="4522" spans="1:10" ht="39" customHeight="1" thickBot="1" x14ac:dyDescent="0.35">
      <c r="A4522" s="519" t="s">
        <v>2434</v>
      </c>
      <c r="B4522" s="520" t="s">
        <v>3940</v>
      </c>
      <c r="C4522" s="519" t="s">
        <v>32</v>
      </c>
      <c r="D4522" s="519" t="s">
        <v>3941</v>
      </c>
      <c r="E4522" s="905" t="s">
        <v>2465</v>
      </c>
      <c r="F4522" s="905"/>
      <c r="G4522" s="521" t="s">
        <v>1901</v>
      </c>
      <c r="H4522" s="522">
        <v>1</v>
      </c>
      <c r="I4522" s="523">
        <v>53.18</v>
      </c>
      <c r="J4522" s="523">
        <v>53.18</v>
      </c>
    </row>
    <row r="4523" spans="1:10" s="358" customFormat="1" ht="14.5" thickTop="1" x14ac:dyDescent="0.3">
      <c r="A4523" s="647"/>
      <c r="B4523" s="647"/>
      <c r="C4523" s="647"/>
      <c r="D4523" s="647"/>
      <c r="E4523" s="647"/>
      <c r="F4523" s="647"/>
      <c r="G4523" s="647"/>
      <c r="H4523" s="647"/>
      <c r="I4523" s="647"/>
      <c r="J4523"/>
    </row>
    <row r="4524" spans="1:10" x14ac:dyDescent="0.3">
      <c r="A4524" s="516"/>
      <c r="B4524" s="517" t="s">
        <v>15</v>
      </c>
      <c r="C4524" s="516" t="s">
        <v>16</v>
      </c>
      <c r="D4524" s="516" t="s">
        <v>17</v>
      </c>
      <c r="E4524" s="904" t="s">
        <v>2431</v>
      </c>
      <c r="F4524" s="904"/>
      <c r="G4524" s="518" t="s">
        <v>18</v>
      </c>
      <c r="H4524" s="517" t="s">
        <v>19</v>
      </c>
      <c r="I4524" s="517" t="s">
        <v>20</v>
      </c>
      <c r="J4524" s="517" t="s">
        <v>23</v>
      </c>
    </row>
    <row r="4525" spans="1:10" s="358" customFormat="1" ht="38.25" customHeight="1" x14ac:dyDescent="0.3">
      <c r="A4525" s="642" t="s">
        <v>2432</v>
      </c>
      <c r="B4525" s="643" t="s">
        <v>2966</v>
      </c>
      <c r="C4525" s="642" t="s">
        <v>32</v>
      </c>
      <c r="D4525" s="642" t="s">
        <v>2967</v>
      </c>
      <c r="E4525" s="906" t="s">
        <v>2465</v>
      </c>
      <c r="F4525" s="906"/>
      <c r="G4525" s="644" t="s">
        <v>103</v>
      </c>
      <c r="H4525" s="645">
        <v>1</v>
      </c>
      <c r="I4525" s="646">
        <v>217.4</v>
      </c>
      <c r="J4525" s="646">
        <v>217.4</v>
      </c>
    </row>
    <row r="4526" spans="1:10" ht="25" x14ac:dyDescent="0.3">
      <c r="A4526" s="519" t="s">
        <v>2434</v>
      </c>
      <c r="B4526" s="520" t="s">
        <v>3823</v>
      </c>
      <c r="C4526" s="519" t="s">
        <v>32</v>
      </c>
      <c r="D4526" s="519" t="s">
        <v>3824</v>
      </c>
      <c r="E4526" s="905" t="s">
        <v>2433</v>
      </c>
      <c r="F4526" s="905"/>
      <c r="G4526" s="521" t="s">
        <v>1901</v>
      </c>
      <c r="H4526" s="522">
        <v>1</v>
      </c>
      <c r="I4526" s="523">
        <v>25.72</v>
      </c>
      <c r="J4526" s="523">
        <v>25.72</v>
      </c>
    </row>
    <row r="4527" spans="1:10" ht="38.25" customHeight="1" x14ac:dyDescent="0.3">
      <c r="A4527" s="519" t="s">
        <v>2434</v>
      </c>
      <c r="B4527" s="520" t="s">
        <v>3942</v>
      </c>
      <c r="C4527" s="519" t="s">
        <v>32</v>
      </c>
      <c r="D4527" s="519" t="s">
        <v>3943</v>
      </c>
      <c r="E4527" s="905" t="s">
        <v>2465</v>
      </c>
      <c r="F4527" s="905"/>
      <c r="G4527" s="521" t="s">
        <v>1901</v>
      </c>
      <c r="H4527" s="522">
        <v>1</v>
      </c>
      <c r="I4527" s="523">
        <v>57.69</v>
      </c>
      <c r="J4527" s="523">
        <v>57.69</v>
      </c>
    </row>
    <row r="4528" spans="1:10" ht="38.25" customHeight="1" x14ac:dyDescent="0.3">
      <c r="A4528" s="519" t="s">
        <v>2434</v>
      </c>
      <c r="B4528" s="520" t="s">
        <v>3944</v>
      </c>
      <c r="C4528" s="519" t="s">
        <v>32</v>
      </c>
      <c r="D4528" s="519" t="s">
        <v>3945</v>
      </c>
      <c r="E4528" s="905" t="s">
        <v>2465</v>
      </c>
      <c r="F4528" s="905"/>
      <c r="G4528" s="521" t="s">
        <v>1901</v>
      </c>
      <c r="H4528" s="522">
        <v>1</v>
      </c>
      <c r="I4528" s="523">
        <v>66.55</v>
      </c>
      <c r="J4528" s="523">
        <v>66.55</v>
      </c>
    </row>
    <row r="4529" spans="1:10" ht="38.25" customHeight="1" x14ac:dyDescent="0.3">
      <c r="A4529" s="519" t="s">
        <v>2434</v>
      </c>
      <c r="B4529" s="520" t="s">
        <v>3938</v>
      </c>
      <c r="C4529" s="519" t="s">
        <v>32</v>
      </c>
      <c r="D4529" s="519" t="s">
        <v>3939</v>
      </c>
      <c r="E4529" s="905" t="s">
        <v>2465</v>
      </c>
      <c r="F4529" s="905"/>
      <c r="G4529" s="521" t="s">
        <v>1901</v>
      </c>
      <c r="H4529" s="522">
        <v>1</v>
      </c>
      <c r="I4529" s="523">
        <v>14.26</v>
      </c>
      <c r="J4529" s="523">
        <v>14.26</v>
      </c>
    </row>
    <row r="4530" spans="1:10" ht="39" customHeight="1" thickBot="1" x14ac:dyDescent="0.35">
      <c r="A4530" s="519" t="s">
        <v>2434</v>
      </c>
      <c r="B4530" s="520" t="s">
        <v>3940</v>
      </c>
      <c r="C4530" s="519" t="s">
        <v>32</v>
      </c>
      <c r="D4530" s="519" t="s">
        <v>3941</v>
      </c>
      <c r="E4530" s="905" t="s">
        <v>2465</v>
      </c>
      <c r="F4530" s="905"/>
      <c r="G4530" s="521" t="s">
        <v>1901</v>
      </c>
      <c r="H4530" s="522">
        <v>1</v>
      </c>
      <c r="I4530" s="523">
        <v>53.18</v>
      </c>
      <c r="J4530" s="523">
        <v>53.18</v>
      </c>
    </row>
    <row r="4531" spans="1:10" s="358" customFormat="1" ht="14.5" thickTop="1" x14ac:dyDescent="0.3">
      <c r="A4531" s="647"/>
      <c r="B4531" s="647"/>
      <c r="C4531" s="647"/>
      <c r="D4531" s="647"/>
      <c r="E4531" s="647"/>
      <c r="F4531" s="647"/>
      <c r="G4531" s="647"/>
      <c r="H4531" s="647"/>
      <c r="I4531" s="647"/>
      <c r="J4531"/>
    </row>
    <row r="4532" spans="1:10" x14ac:dyDescent="0.3">
      <c r="A4532" s="516"/>
      <c r="B4532" s="517" t="s">
        <v>15</v>
      </c>
      <c r="C4532" s="516" t="s">
        <v>16</v>
      </c>
      <c r="D4532" s="516" t="s">
        <v>17</v>
      </c>
      <c r="E4532" s="904" t="s">
        <v>2431</v>
      </c>
      <c r="F4532" s="904"/>
      <c r="G4532" s="518" t="s">
        <v>18</v>
      </c>
      <c r="H4532" s="517" t="s">
        <v>19</v>
      </c>
      <c r="I4532" s="517" t="s">
        <v>20</v>
      </c>
      <c r="J4532" s="517" t="s">
        <v>23</v>
      </c>
    </row>
    <row r="4533" spans="1:10" s="358" customFormat="1" ht="38.25" customHeight="1" x14ac:dyDescent="0.3">
      <c r="A4533" s="642" t="s">
        <v>2432</v>
      </c>
      <c r="B4533" s="643" t="s">
        <v>3940</v>
      </c>
      <c r="C4533" s="642" t="s">
        <v>32</v>
      </c>
      <c r="D4533" s="642" t="s">
        <v>3941</v>
      </c>
      <c r="E4533" s="906" t="s">
        <v>2465</v>
      </c>
      <c r="F4533" s="906"/>
      <c r="G4533" s="644" t="s">
        <v>1901</v>
      </c>
      <c r="H4533" s="645">
        <v>1</v>
      </c>
      <c r="I4533" s="646">
        <v>53.18</v>
      </c>
      <c r="J4533" s="646">
        <v>53.18</v>
      </c>
    </row>
    <row r="4534" spans="1:10" ht="38" thickBot="1" x14ac:dyDescent="0.35">
      <c r="A4534" s="519" t="s">
        <v>2437</v>
      </c>
      <c r="B4534" s="520" t="s">
        <v>3946</v>
      </c>
      <c r="C4534" s="519" t="s">
        <v>32</v>
      </c>
      <c r="D4534" s="519" t="s">
        <v>3947</v>
      </c>
      <c r="E4534" s="905" t="s">
        <v>2446</v>
      </c>
      <c r="F4534" s="905"/>
      <c r="G4534" s="521" t="s">
        <v>89</v>
      </c>
      <c r="H4534" s="522">
        <v>5.3300000000000001E-5</v>
      </c>
      <c r="I4534" s="523">
        <v>997825.41</v>
      </c>
      <c r="J4534" s="523">
        <v>53.18</v>
      </c>
    </row>
    <row r="4535" spans="1:10" s="358" customFormat="1" ht="14.5" thickTop="1" x14ac:dyDescent="0.3">
      <c r="A4535" s="647"/>
      <c r="B4535" s="647"/>
      <c r="C4535" s="647"/>
      <c r="D4535" s="647"/>
      <c r="E4535" s="647"/>
      <c r="F4535" s="647"/>
      <c r="G4535" s="647"/>
      <c r="H4535" s="647"/>
      <c r="I4535" s="647"/>
      <c r="J4535"/>
    </row>
    <row r="4536" spans="1:10" x14ac:dyDescent="0.3">
      <c r="A4536" s="516"/>
      <c r="B4536" s="517" t="s">
        <v>15</v>
      </c>
      <c r="C4536" s="516" t="s">
        <v>16</v>
      </c>
      <c r="D4536" s="516" t="s">
        <v>17</v>
      </c>
      <c r="E4536" s="904" t="s">
        <v>2431</v>
      </c>
      <c r="F4536" s="904"/>
      <c r="G4536" s="518" t="s">
        <v>18</v>
      </c>
      <c r="H4536" s="517" t="s">
        <v>19</v>
      </c>
      <c r="I4536" s="517" t="s">
        <v>20</v>
      </c>
      <c r="J4536" s="517" t="s">
        <v>23</v>
      </c>
    </row>
    <row r="4537" spans="1:10" s="358" customFormat="1" ht="38.25" customHeight="1" x14ac:dyDescent="0.3">
      <c r="A4537" s="642" t="s">
        <v>2432</v>
      </c>
      <c r="B4537" s="643" t="s">
        <v>3938</v>
      </c>
      <c r="C4537" s="642" t="s">
        <v>32</v>
      </c>
      <c r="D4537" s="642" t="s">
        <v>3939</v>
      </c>
      <c r="E4537" s="906" t="s">
        <v>2465</v>
      </c>
      <c r="F4537" s="906"/>
      <c r="G4537" s="644" t="s">
        <v>1901</v>
      </c>
      <c r="H4537" s="645">
        <v>1</v>
      </c>
      <c r="I4537" s="646">
        <v>14.26</v>
      </c>
      <c r="J4537" s="646">
        <v>14.26</v>
      </c>
    </row>
    <row r="4538" spans="1:10" ht="38" thickBot="1" x14ac:dyDescent="0.35">
      <c r="A4538" s="519" t="s">
        <v>2437</v>
      </c>
      <c r="B4538" s="520" t="s">
        <v>3946</v>
      </c>
      <c r="C4538" s="519" t="s">
        <v>32</v>
      </c>
      <c r="D4538" s="519" t="s">
        <v>3947</v>
      </c>
      <c r="E4538" s="905" t="s">
        <v>2446</v>
      </c>
      <c r="F4538" s="905"/>
      <c r="G4538" s="521" t="s">
        <v>89</v>
      </c>
      <c r="H4538" s="522">
        <v>1.43E-5</v>
      </c>
      <c r="I4538" s="523">
        <v>997825.41</v>
      </c>
      <c r="J4538" s="523">
        <v>14.26</v>
      </c>
    </row>
    <row r="4539" spans="1:10" s="358" customFormat="1" ht="14.5" thickTop="1" x14ac:dyDescent="0.3">
      <c r="A4539" s="647"/>
      <c r="B4539" s="647"/>
      <c r="C4539" s="647"/>
      <c r="D4539" s="647"/>
      <c r="E4539" s="647"/>
      <c r="F4539" s="647"/>
      <c r="G4539" s="647"/>
      <c r="H4539" s="647"/>
      <c r="I4539" s="647"/>
      <c r="J4539"/>
    </row>
    <row r="4540" spans="1:10" x14ac:dyDescent="0.3">
      <c r="A4540" s="516"/>
      <c r="B4540" s="517" t="s">
        <v>15</v>
      </c>
      <c r="C4540" s="516" t="s">
        <v>16</v>
      </c>
      <c r="D4540" s="516" t="s">
        <v>17</v>
      </c>
      <c r="E4540" s="904" t="s">
        <v>2431</v>
      </c>
      <c r="F4540" s="904"/>
      <c r="G4540" s="518" t="s">
        <v>18</v>
      </c>
      <c r="H4540" s="517" t="s">
        <v>19</v>
      </c>
      <c r="I4540" s="517" t="s">
        <v>20</v>
      </c>
      <c r="J4540" s="517" t="s">
        <v>23</v>
      </c>
    </row>
    <row r="4541" spans="1:10" s="358" customFormat="1" ht="38.25" customHeight="1" x14ac:dyDescent="0.3">
      <c r="A4541" s="642" t="s">
        <v>2432</v>
      </c>
      <c r="B4541" s="643" t="s">
        <v>3944</v>
      </c>
      <c r="C4541" s="642" t="s">
        <v>32</v>
      </c>
      <c r="D4541" s="642" t="s">
        <v>3945</v>
      </c>
      <c r="E4541" s="906" t="s">
        <v>2465</v>
      </c>
      <c r="F4541" s="906"/>
      <c r="G4541" s="644" t="s">
        <v>1901</v>
      </c>
      <c r="H4541" s="645">
        <v>1</v>
      </c>
      <c r="I4541" s="646">
        <v>66.55</v>
      </c>
      <c r="J4541" s="646">
        <v>66.55</v>
      </c>
    </row>
    <row r="4542" spans="1:10" ht="38" thickBot="1" x14ac:dyDescent="0.35">
      <c r="A4542" s="519" t="s">
        <v>2437</v>
      </c>
      <c r="B4542" s="520" t="s">
        <v>3946</v>
      </c>
      <c r="C4542" s="519" t="s">
        <v>32</v>
      </c>
      <c r="D4542" s="519" t="s">
        <v>3947</v>
      </c>
      <c r="E4542" s="905" t="s">
        <v>2446</v>
      </c>
      <c r="F4542" s="905"/>
      <c r="G4542" s="521" t="s">
        <v>89</v>
      </c>
      <c r="H4542" s="522">
        <v>6.6699999999999995E-5</v>
      </c>
      <c r="I4542" s="523">
        <v>997825.41</v>
      </c>
      <c r="J4542" s="523">
        <v>66.55</v>
      </c>
    </row>
    <row r="4543" spans="1:10" s="358" customFormat="1" ht="14.5" thickTop="1" x14ac:dyDescent="0.3">
      <c r="A4543" s="647"/>
      <c r="B4543" s="647"/>
      <c r="C4543" s="647"/>
      <c r="D4543" s="647"/>
      <c r="E4543" s="647"/>
      <c r="F4543" s="647"/>
      <c r="G4543" s="647"/>
      <c r="H4543" s="647"/>
      <c r="I4543" s="647"/>
      <c r="J4543"/>
    </row>
    <row r="4544" spans="1:10" x14ac:dyDescent="0.3">
      <c r="A4544" s="516"/>
      <c r="B4544" s="517" t="s">
        <v>15</v>
      </c>
      <c r="C4544" s="516" t="s">
        <v>16</v>
      </c>
      <c r="D4544" s="516" t="s">
        <v>17</v>
      </c>
      <c r="E4544" s="904" t="s">
        <v>2431</v>
      </c>
      <c r="F4544" s="904"/>
      <c r="G4544" s="518" t="s">
        <v>18</v>
      </c>
      <c r="H4544" s="517" t="s">
        <v>19</v>
      </c>
      <c r="I4544" s="517" t="s">
        <v>20</v>
      </c>
      <c r="J4544" s="517" t="s">
        <v>23</v>
      </c>
    </row>
    <row r="4545" spans="1:10" s="358" customFormat="1" ht="38.25" customHeight="1" x14ac:dyDescent="0.3">
      <c r="A4545" s="642" t="s">
        <v>2432</v>
      </c>
      <c r="B4545" s="643" t="s">
        <v>3942</v>
      </c>
      <c r="C4545" s="642" t="s">
        <v>32</v>
      </c>
      <c r="D4545" s="642" t="s">
        <v>3943</v>
      </c>
      <c r="E4545" s="906" t="s">
        <v>2465</v>
      </c>
      <c r="F4545" s="906"/>
      <c r="G4545" s="644" t="s">
        <v>1901</v>
      </c>
      <c r="H4545" s="645">
        <v>1</v>
      </c>
      <c r="I4545" s="646">
        <v>57.69</v>
      </c>
      <c r="J4545" s="646">
        <v>57.69</v>
      </c>
    </row>
    <row r="4546" spans="1:10" ht="14.5" thickBot="1" x14ac:dyDescent="0.35">
      <c r="A4546" s="519" t="s">
        <v>2437</v>
      </c>
      <c r="B4546" s="520" t="s">
        <v>4485</v>
      </c>
      <c r="C4546" s="519" t="s">
        <v>125</v>
      </c>
      <c r="D4546" s="519" t="s">
        <v>4486</v>
      </c>
      <c r="E4546" s="905" t="s">
        <v>2442</v>
      </c>
      <c r="F4546" s="905"/>
      <c r="G4546" s="521" t="s">
        <v>2829</v>
      </c>
      <c r="H4546" s="522">
        <v>10.67</v>
      </c>
      <c r="I4546" s="523">
        <v>5.4069000000000003</v>
      </c>
      <c r="J4546" s="523">
        <v>57.69</v>
      </c>
    </row>
    <row r="4547" spans="1:10" s="358" customFormat="1" ht="14.5" thickTop="1" x14ac:dyDescent="0.3">
      <c r="A4547" s="647"/>
      <c r="B4547" s="647"/>
      <c r="C4547" s="647"/>
      <c r="D4547" s="647"/>
      <c r="E4547" s="647"/>
      <c r="F4547" s="647"/>
      <c r="G4547" s="647"/>
      <c r="H4547" s="647"/>
      <c r="I4547" s="647"/>
      <c r="J4547"/>
    </row>
    <row r="4548" spans="1:10" x14ac:dyDescent="0.3">
      <c r="A4548" s="516"/>
      <c r="B4548" s="517" t="s">
        <v>15</v>
      </c>
      <c r="C4548" s="516" t="s">
        <v>16</v>
      </c>
      <c r="D4548" s="516" t="s">
        <v>17</v>
      </c>
      <c r="E4548" s="904" t="s">
        <v>2431</v>
      </c>
      <c r="F4548" s="904"/>
      <c r="G4548" s="518" t="s">
        <v>18</v>
      </c>
      <c r="H4548" s="517" t="s">
        <v>19</v>
      </c>
      <c r="I4548" s="517" t="s">
        <v>20</v>
      </c>
      <c r="J4548" s="517" t="s">
        <v>23</v>
      </c>
    </row>
    <row r="4549" spans="1:10" s="358" customFormat="1" ht="38.25" customHeight="1" x14ac:dyDescent="0.3">
      <c r="A4549" s="642" t="s">
        <v>2432</v>
      </c>
      <c r="B4549" s="643" t="s">
        <v>3670</v>
      </c>
      <c r="C4549" s="642" t="s">
        <v>32</v>
      </c>
      <c r="D4549" s="642" t="s">
        <v>3671</v>
      </c>
      <c r="E4549" s="906" t="s">
        <v>2465</v>
      </c>
      <c r="F4549" s="906"/>
      <c r="G4549" s="644" t="s">
        <v>110</v>
      </c>
      <c r="H4549" s="645">
        <v>1</v>
      </c>
      <c r="I4549" s="646">
        <v>86.53</v>
      </c>
      <c r="J4549" s="646">
        <v>86.53</v>
      </c>
    </row>
    <row r="4550" spans="1:10" ht="25" x14ac:dyDescent="0.3">
      <c r="A4550" s="519" t="s">
        <v>2434</v>
      </c>
      <c r="B4550" s="520" t="s">
        <v>3823</v>
      </c>
      <c r="C4550" s="519" t="s">
        <v>32</v>
      </c>
      <c r="D4550" s="519" t="s">
        <v>3824</v>
      </c>
      <c r="E4550" s="905" t="s">
        <v>2433</v>
      </c>
      <c r="F4550" s="905"/>
      <c r="G4550" s="521" t="s">
        <v>1901</v>
      </c>
      <c r="H4550" s="522">
        <v>1</v>
      </c>
      <c r="I4550" s="523">
        <v>25.72</v>
      </c>
      <c r="J4550" s="523">
        <v>25.72</v>
      </c>
    </row>
    <row r="4551" spans="1:10" ht="38.25" customHeight="1" x14ac:dyDescent="0.3">
      <c r="A4551" s="519" t="s">
        <v>2434</v>
      </c>
      <c r="B4551" s="520" t="s">
        <v>3948</v>
      </c>
      <c r="C4551" s="519" t="s">
        <v>32</v>
      </c>
      <c r="D4551" s="519" t="s">
        <v>3949</v>
      </c>
      <c r="E4551" s="905" t="s">
        <v>2465</v>
      </c>
      <c r="F4551" s="905"/>
      <c r="G4551" s="521" t="s">
        <v>1901</v>
      </c>
      <c r="H4551" s="522">
        <v>1</v>
      </c>
      <c r="I4551" s="523">
        <v>47.95</v>
      </c>
      <c r="J4551" s="523">
        <v>47.95</v>
      </c>
    </row>
    <row r="4552" spans="1:10" ht="39" customHeight="1" thickBot="1" x14ac:dyDescent="0.35">
      <c r="A4552" s="519" t="s">
        <v>2434</v>
      </c>
      <c r="B4552" s="520" t="s">
        <v>3950</v>
      </c>
      <c r="C4552" s="519" t="s">
        <v>32</v>
      </c>
      <c r="D4552" s="519" t="s">
        <v>3951</v>
      </c>
      <c r="E4552" s="905" t="s">
        <v>2465</v>
      </c>
      <c r="F4552" s="905"/>
      <c r="G4552" s="521" t="s">
        <v>1901</v>
      </c>
      <c r="H4552" s="522">
        <v>1</v>
      </c>
      <c r="I4552" s="523">
        <v>12.86</v>
      </c>
      <c r="J4552" s="523">
        <v>12.86</v>
      </c>
    </row>
    <row r="4553" spans="1:10" s="358" customFormat="1" ht="14.5" thickTop="1" x14ac:dyDescent="0.3">
      <c r="A4553" s="647"/>
      <c r="B4553" s="647"/>
      <c r="C4553" s="647"/>
      <c r="D4553" s="647"/>
      <c r="E4553" s="647"/>
      <c r="F4553" s="647"/>
      <c r="G4553" s="647"/>
      <c r="H4553" s="647"/>
      <c r="I4553" s="647"/>
      <c r="J4553"/>
    </row>
    <row r="4554" spans="1:10" x14ac:dyDescent="0.3">
      <c r="A4554" s="516"/>
      <c r="B4554" s="517" t="s">
        <v>15</v>
      </c>
      <c r="C4554" s="516" t="s">
        <v>16</v>
      </c>
      <c r="D4554" s="516" t="s">
        <v>17</v>
      </c>
      <c r="E4554" s="904" t="s">
        <v>2431</v>
      </c>
      <c r="F4554" s="904"/>
      <c r="G4554" s="518" t="s">
        <v>18</v>
      </c>
      <c r="H4554" s="517" t="s">
        <v>19</v>
      </c>
      <c r="I4554" s="517" t="s">
        <v>20</v>
      </c>
      <c r="J4554" s="517" t="s">
        <v>23</v>
      </c>
    </row>
    <row r="4555" spans="1:10" s="358" customFormat="1" ht="38.25" customHeight="1" x14ac:dyDescent="0.3">
      <c r="A4555" s="642" t="s">
        <v>2432</v>
      </c>
      <c r="B4555" s="643" t="s">
        <v>3668</v>
      </c>
      <c r="C4555" s="642" t="s">
        <v>32</v>
      </c>
      <c r="D4555" s="642" t="s">
        <v>3669</v>
      </c>
      <c r="E4555" s="906" t="s">
        <v>2465</v>
      </c>
      <c r="F4555" s="906"/>
      <c r="G4555" s="644" t="s">
        <v>103</v>
      </c>
      <c r="H4555" s="645">
        <v>1</v>
      </c>
      <c r="I4555" s="646">
        <v>227.21</v>
      </c>
      <c r="J4555" s="646">
        <v>227.21</v>
      </c>
    </row>
    <row r="4556" spans="1:10" ht="25" x14ac:dyDescent="0.3">
      <c r="A4556" s="519" t="s">
        <v>2434</v>
      </c>
      <c r="B4556" s="520" t="s">
        <v>3823</v>
      </c>
      <c r="C4556" s="519" t="s">
        <v>32</v>
      </c>
      <c r="D4556" s="519" t="s">
        <v>3824</v>
      </c>
      <c r="E4556" s="905" t="s">
        <v>2433</v>
      </c>
      <c r="F4556" s="905"/>
      <c r="G4556" s="521" t="s">
        <v>1901</v>
      </c>
      <c r="H4556" s="522">
        <v>1</v>
      </c>
      <c r="I4556" s="523">
        <v>25.72</v>
      </c>
      <c r="J4556" s="523">
        <v>25.72</v>
      </c>
    </row>
    <row r="4557" spans="1:10" ht="38.25" customHeight="1" x14ac:dyDescent="0.3">
      <c r="A4557" s="519" t="s">
        <v>2434</v>
      </c>
      <c r="B4557" s="520" t="s">
        <v>3948</v>
      </c>
      <c r="C4557" s="519" t="s">
        <v>32</v>
      </c>
      <c r="D4557" s="519" t="s">
        <v>3949</v>
      </c>
      <c r="E4557" s="905" t="s">
        <v>2465</v>
      </c>
      <c r="F4557" s="905"/>
      <c r="G4557" s="521" t="s">
        <v>1901</v>
      </c>
      <c r="H4557" s="522">
        <v>1</v>
      </c>
      <c r="I4557" s="523">
        <v>47.95</v>
      </c>
      <c r="J4557" s="523">
        <v>47.95</v>
      </c>
    </row>
    <row r="4558" spans="1:10" ht="38.25" customHeight="1" x14ac:dyDescent="0.3">
      <c r="A4558" s="519" t="s">
        <v>2434</v>
      </c>
      <c r="B4558" s="520" t="s">
        <v>3950</v>
      </c>
      <c r="C4558" s="519" t="s">
        <v>32</v>
      </c>
      <c r="D4558" s="519" t="s">
        <v>3951</v>
      </c>
      <c r="E4558" s="905" t="s">
        <v>2465</v>
      </c>
      <c r="F4558" s="905"/>
      <c r="G4558" s="521" t="s">
        <v>1901</v>
      </c>
      <c r="H4558" s="522">
        <v>1</v>
      </c>
      <c r="I4558" s="523">
        <v>12.86</v>
      </c>
      <c r="J4558" s="523">
        <v>12.86</v>
      </c>
    </row>
    <row r="4559" spans="1:10" ht="38.25" customHeight="1" x14ac:dyDescent="0.3">
      <c r="A4559" s="519" t="s">
        <v>2434</v>
      </c>
      <c r="B4559" s="520" t="s">
        <v>3952</v>
      </c>
      <c r="C4559" s="519" t="s">
        <v>32</v>
      </c>
      <c r="D4559" s="519" t="s">
        <v>3953</v>
      </c>
      <c r="E4559" s="905" t="s">
        <v>2465</v>
      </c>
      <c r="F4559" s="905"/>
      <c r="G4559" s="521" t="s">
        <v>1901</v>
      </c>
      <c r="H4559" s="522">
        <v>1</v>
      </c>
      <c r="I4559" s="523">
        <v>60.01</v>
      </c>
      <c r="J4559" s="523">
        <v>60.01</v>
      </c>
    </row>
    <row r="4560" spans="1:10" ht="39" customHeight="1" thickBot="1" x14ac:dyDescent="0.35">
      <c r="A4560" s="519" t="s">
        <v>2434</v>
      </c>
      <c r="B4560" s="520" t="s">
        <v>3954</v>
      </c>
      <c r="C4560" s="519" t="s">
        <v>32</v>
      </c>
      <c r="D4560" s="519" t="s">
        <v>3955</v>
      </c>
      <c r="E4560" s="905" t="s">
        <v>2465</v>
      </c>
      <c r="F4560" s="905"/>
      <c r="G4560" s="521" t="s">
        <v>1901</v>
      </c>
      <c r="H4560" s="522">
        <v>1</v>
      </c>
      <c r="I4560" s="523">
        <v>80.67</v>
      </c>
      <c r="J4560" s="523">
        <v>80.67</v>
      </c>
    </row>
    <row r="4561" spans="1:10" s="358" customFormat="1" ht="14.5" thickTop="1" x14ac:dyDescent="0.3">
      <c r="A4561" s="647"/>
      <c r="B4561" s="647"/>
      <c r="C4561" s="647"/>
      <c r="D4561" s="647"/>
      <c r="E4561" s="647"/>
      <c r="F4561" s="647"/>
      <c r="G4561" s="647"/>
      <c r="H4561" s="647"/>
      <c r="I4561" s="647"/>
      <c r="J4561"/>
    </row>
    <row r="4562" spans="1:10" x14ac:dyDescent="0.3">
      <c r="A4562" s="516"/>
      <c r="B4562" s="517" t="s">
        <v>15</v>
      </c>
      <c r="C4562" s="516" t="s">
        <v>16</v>
      </c>
      <c r="D4562" s="516" t="s">
        <v>17</v>
      </c>
      <c r="E4562" s="904" t="s">
        <v>2431</v>
      </c>
      <c r="F4562" s="904"/>
      <c r="G4562" s="518" t="s">
        <v>18</v>
      </c>
      <c r="H4562" s="517" t="s">
        <v>19</v>
      </c>
      <c r="I4562" s="517" t="s">
        <v>20</v>
      </c>
      <c r="J4562" s="517" t="s">
        <v>23</v>
      </c>
    </row>
    <row r="4563" spans="1:10" s="358" customFormat="1" ht="38.25" customHeight="1" x14ac:dyDescent="0.3">
      <c r="A4563" s="642" t="s">
        <v>2432</v>
      </c>
      <c r="B4563" s="643" t="s">
        <v>3948</v>
      </c>
      <c r="C4563" s="642" t="s">
        <v>32</v>
      </c>
      <c r="D4563" s="642" t="s">
        <v>3949</v>
      </c>
      <c r="E4563" s="906" t="s">
        <v>2465</v>
      </c>
      <c r="F4563" s="906"/>
      <c r="G4563" s="644" t="s">
        <v>1901</v>
      </c>
      <c r="H4563" s="645">
        <v>1</v>
      </c>
      <c r="I4563" s="646">
        <v>47.95</v>
      </c>
      <c r="J4563" s="646">
        <v>47.95</v>
      </c>
    </row>
    <row r="4564" spans="1:10" ht="38" thickBot="1" x14ac:dyDescent="0.35">
      <c r="A4564" s="519" t="s">
        <v>2437</v>
      </c>
      <c r="B4564" s="520" t="s">
        <v>3956</v>
      </c>
      <c r="C4564" s="519" t="s">
        <v>32</v>
      </c>
      <c r="D4564" s="519" t="s">
        <v>3957</v>
      </c>
      <c r="E4564" s="905" t="s">
        <v>2446</v>
      </c>
      <c r="F4564" s="905"/>
      <c r="G4564" s="521" t="s">
        <v>89</v>
      </c>
      <c r="H4564" s="522">
        <v>5.3300000000000001E-5</v>
      </c>
      <c r="I4564" s="523">
        <v>899714.32</v>
      </c>
      <c r="J4564" s="523">
        <v>47.95</v>
      </c>
    </row>
    <row r="4565" spans="1:10" s="358" customFormat="1" ht="14.5" thickTop="1" x14ac:dyDescent="0.3">
      <c r="A4565" s="647"/>
      <c r="B4565" s="647"/>
      <c r="C4565" s="647"/>
      <c r="D4565" s="647"/>
      <c r="E4565" s="647"/>
      <c r="F4565" s="647"/>
      <c r="G4565" s="647"/>
      <c r="H4565" s="647"/>
      <c r="I4565" s="647"/>
      <c r="J4565"/>
    </row>
    <row r="4566" spans="1:10" x14ac:dyDescent="0.3">
      <c r="A4566" s="516"/>
      <c r="B4566" s="517" t="s">
        <v>15</v>
      </c>
      <c r="C4566" s="516" t="s">
        <v>16</v>
      </c>
      <c r="D4566" s="516" t="s">
        <v>17</v>
      </c>
      <c r="E4566" s="904" t="s">
        <v>2431</v>
      </c>
      <c r="F4566" s="904"/>
      <c r="G4566" s="518" t="s">
        <v>18</v>
      </c>
      <c r="H4566" s="517" t="s">
        <v>19</v>
      </c>
      <c r="I4566" s="517" t="s">
        <v>20</v>
      </c>
      <c r="J4566" s="517" t="s">
        <v>23</v>
      </c>
    </row>
    <row r="4567" spans="1:10" s="358" customFormat="1" ht="38.25" customHeight="1" x14ac:dyDescent="0.3">
      <c r="A4567" s="642" t="s">
        <v>2432</v>
      </c>
      <c r="B4567" s="643" t="s">
        <v>3950</v>
      </c>
      <c r="C4567" s="642" t="s">
        <v>32</v>
      </c>
      <c r="D4567" s="642" t="s">
        <v>3951</v>
      </c>
      <c r="E4567" s="906" t="s">
        <v>2465</v>
      </c>
      <c r="F4567" s="906"/>
      <c r="G4567" s="644" t="s">
        <v>1901</v>
      </c>
      <c r="H4567" s="645">
        <v>1</v>
      </c>
      <c r="I4567" s="646">
        <v>12.86</v>
      </c>
      <c r="J4567" s="646">
        <v>12.86</v>
      </c>
    </row>
    <row r="4568" spans="1:10" ht="38" thickBot="1" x14ac:dyDescent="0.35">
      <c r="A4568" s="519" t="s">
        <v>2437</v>
      </c>
      <c r="B4568" s="520" t="s">
        <v>3956</v>
      </c>
      <c r="C4568" s="519" t="s">
        <v>32</v>
      </c>
      <c r="D4568" s="519" t="s">
        <v>3957</v>
      </c>
      <c r="E4568" s="905" t="s">
        <v>2446</v>
      </c>
      <c r="F4568" s="905"/>
      <c r="G4568" s="521" t="s">
        <v>89</v>
      </c>
      <c r="H4568" s="522">
        <v>1.43E-5</v>
      </c>
      <c r="I4568" s="523">
        <v>899714.32</v>
      </c>
      <c r="J4568" s="523">
        <v>12.86</v>
      </c>
    </row>
    <row r="4569" spans="1:10" s="358" customFormat="1" ht="14.5" thickTop="1" x14ac:dyDescent="0.3">
      <c r="A4569" s="647"/>
      <c r="B4569" s="647"/>
      <c r="C4569" s="647"/>
      <c r="D4569" s="647"/>
      <c r="E4569" s="647"/>
      <c r="F4569" s="647"/>
      <c r="G4569" s="647"/>
      <c r="H4569" s="647"/>
      <c r="I4569" s="647"/>
      <c r="J4569"/>
    </row>
    <row r="4570" spans="1:10" x14ac:dyDescent="0.3">
      <c r="A4570" s="516"/>
      <c r="B4570" s="517" t="s">
        <v>15</v>
      </c>
      <c r="C4570" s="516" t="s">
        <v>16</v>
      </c>
      <c r="D4570" s="516" t="s">
        <v>17</v>
      </c>
      <c r="E4570" s="904" t="s">
        <v>2431</v>
      </c>
      <c r="F4570" s="904"/>
      <c r="G4570" s="518" t="s">
        <v>18</v>
      </c>
      <c r="H4570" s="517" t="s">
        <v>19</v>
      </c>
      <c r="I4570" s="517" t="s">
        <v>20</v>
      </c>
      <c r="J4570" s="517" t="s">
        <v>23</v>
      </c>
    </row>
    <row r="4571" spans="1:10" s="358" customFormat="1" ht="38.25" customHeight="1" x14ac:dyDescent="0.3">
      <c r="A4571" s="642" t="s">
        <v>2432</v>
      </c>
      <c r="B4571" s="643" t="s">
        <v>3952</v>
      </c>
      <c r="C4571" s="642" t="s">
        <v>32</v>
      </c>
      <c r="D4571" s="642" t="s">
        <v>3953</v>
      </c>
      <c r="E4571" s="906" t="s">
        <v>2465</v>
      </c>
      <c r="F4571" s="906"/>
      <c r="G4571" s="644" t="s">
        <v>1901</v>
      </c>
      <c r="H4571" s="645">
        <v>1</v>
      </c>
      <c r="I4571" s="646">
        <v>60.01</v>
      </c>
      <c r="J4571" s="646">
        <v>60.01</v>
      </c>
    </row>
    <row r="4572" spans="1:10" ht="38" thickBot="1" x14ac:dyDescent="0.35">
      <c r="A4572" s="519" t="s">
        <v>2437</v>
      </c>
      <c r="B4572" s="520" t="s">
        <v>3956</v>
      </c>
      <c r="C4572" s="519" t="s">
        <v>32</v>
      </c>
      <c r="D4572" s="519" t="s">
        <v>3957</v>
      </c>
      <c r="E4572" s="905" t="s">
        <v>2446</v>
      </c>
      <c r="F4572" s="905"/>
      <c r="G4572" s="521" t="s">
        <v>89</v>
      </c>
      <c r="H4572" s="522">
        <v>6.6699999999999995E-5</v>
      </c>
      <c r="I4572" s="523">
        <v>899714.32</v>
      </c>
      <c r="J4572" s="523">
        <v>60.01</v>
      </c>
    </row>
    <row r="4573" spans="1:10" s="358" customFormat="1" ht="14.5" thickTop="1" x14ac:dyDescent="0.3">
      <c r="A4573" s="647"/>
      <c r="B4573" s="647"/>
      <c r="C4573" s="647"/>
      <c r="D4573" s="647"/>
      <c r="E4573" s="647"/>
      <c r="F4573" s="647"/>
      <c r="G4573" s="647"/>
      <c r="H4573" s="647"/>
      <c r="I4573" s="647"/>
      <c r="J4573"/>
    </row>
    <row r="4574" spans="1:10" x14ac:dyDescent="0.3">
      <c r="A4574" s="516"/>
      <c r="B4574" s="517" t="s">
        <v>15</v>
      </c>
      <c r="C4574" s="516" t="s">
        <v>16</v>
      </c>
      <c r="D4574" s="516" t="s">
        <v>17</v>
      </c>
      <c r="E4574" s="904" t="s">
        <v>2431</v>
      </c>
      <c r="F4574" s="904"/>
      <c r="G4574" s="518" t="s">
        <v>18</v>
      </c>
      <c r="H4574" s="517" t="s">
        <v>19</v>
      </c>
      <c r="I4574" s="517" t="s">
        <v>20</v>
      </c>
      <c r="J4574" s="517" t="s">
        <v>23</v>
      </c>
    </row>
    <row r="4575" spans="1:10" s="358" customFormat="1" ht="38.25" customHeight="1" x14ac:dyDescent="0.3">
      <c r="A4575" s="642" t="s">
        <v>2432</v>
      </c>
      <c r="B4575" s="643" t="s">
        <v>3954</v>
      </c>
      <c r="C4575" s="642" t="s">
        <v>32</v>
      </c>
      <c r="D4575" s="642" t="s">
        <v>3955</v>
      </c>
      <c r="E4575" s="906" t="s">
        <v>2465</v>
      </c>
      <c r="F4575" s="906"/>
      <c r="G4575" s="644" t="s">
        <v>1901</v>
      </c>
      <c r="H4575" s="645">
        <v>1</v>
      </c>
      <c r="I4575" s="646">
        <v>80.67</v>
      </c>
      <c r="J4575" s="646">
        <v>80.67</v>
      </c>
    </row>
    <row r="4576" spans="1:10" ht="14.5" thickBot="1" x14ac:dyDescent="0.35">
      <c r="A4576" s="519" t="s">
        <v>2437</v>
      </c>
      <c r="B4576" s="520" t="s">
        <v>4485</v>
      </c>
      <c r="C4576" s="519" t="s">
        <v>125</v>
      </c>
      <c r="D4576" s="519" t="s">
        <v>4486</v>
      </c>
      <c r="E4576" s="905" t="s">
        <v>2442</v>
      </c>
      <c r="F4576" s="905"/>
      <c r="G4576" s="521" t="s">
        <v>2829</v>
      </c>
      <c r="H4576" s="522">
        <v>14.92</v>
      </c>
      <c r="I4576" s="523">
        <v>5.4069000000000003</v>
      </c>
      <c r="J4576" s="523">
        <v>80.67</v>
      </c>
    </row>
    <row r="4577" spans="1:10" s="358" customFormat="1" ht="14.5" thickTop="1" x14ac:dyDescent="0.3">
      <c r="A4577" s="647"/>
      <c r="B4577" s="647"/>
      <c r="C4577" s="647"/>
      <c r="D4577" s="647"/>
      <c r="E4577" s="647"/>
      <c r="F4577" s="647"/>
      <c r="G4577" s="647"/>
      <c r="H4577" s="647"/>
      <c r="I4577" s="647"/>
      <c r="J4577"/>
    </row>
    <row r="4578" spans="1:10" x14ac:dyDescent="0.3">
      <c r="A4578" s="516"/>
      <c r="B4578" s="517" t="s">
        <v>15</v>
      </c>
      <c r="C4578" s="516" t="s">
        <v>16</v>
      </c>
      <c r="D4578" s="516" t="s">
        <v>17</v>
      </c>
      <c r="E4578" s="904" t="s">
        <v>2431</v>
      </c>
      <c r="F4578" s="904"/>
      <c r="G4578" s="518" t="s">
        <v>18</v>
      </c>
      <c r="H4578" s="517" t="s">
        <v>19</v>
      </c>
      <c r="I4578" s="517" t="s">
        <v>20</v>
      </c>
      <c r="J4578" s="517" t="s">
        <v>23</v>
      </c>
    </row>
    <row r="4579" spans="1:10" s="358" customFormat="1" ht="38.25" customHeight="1" x14ac:dyDescent="0.3">
      <c r="A4579" s="642" t="s">
        <v>2432</v>
      </c>
      <c r="B4579" s="643" t="s">
        <v>2948</v>
      </c>
      <c r="C4579" s="642" t="s">
        <v>32</v>
      </c>
      <c r="D4579" s="642" t="s">
        <v>2949</v>
      </c>
      <c r="E4579" s="906" t="s">
        <v>2465</v>
      </c>
      <c r="F4579" s="906"/>
      <c r="G4579" s="644" t="s">
        <v>110</v>
      </c>
      <c r="H4579" s="645">
        <v>1</v>
      </c>
      <c r="I4579" s="646">
        <v>66.37</v>
      </c>
      <c r="J4579" s="646">
        <v>66.37</v>
      </c>
    </row>
    <row r="4580" spans="1:10" ht="25" x14ac:dyDescent="0.3">
      <c r="A4580" s="519" t="s">
        <v>2434</v>
      </c>
      <c r="B4580" s="520" t="s">
        <v>3823</v>
      </c>
      <c r="C4580" s="519" t="s">
        <v>32</v>
      </c>
      <c r="D4580" s="519" t="s">
        <v>3824</v>
      </c>
      <c r="E4580" s="905" t="s">
        <v>2433</v>
      </c>
      <c r="F4580" s="905"/>
      <c r="G4580" s="521" t="s">
        <v>1901</v>
      </c>
      <c r="H4580" s="522">
        <v>1</v>
      </c>
      <c r="I4580" s="523">
        <v>25.72</v>
      </c>
      <c r="J4580" s="523">
        <v>25.72</v>
      </c>
    </row>
    <row r="4581" spans="1:10" ht="38.25" customHeight="1" x14ac:dyDescent="0.3">
      <c r="A4581" s="519" t="s">
        <v>2434</v>
      </c>
      <c r="B4581" s="520" t="s">
        <v>3958</v>
      </c>
      <c r="C4581" s="519" t="s">
        <v>32</v>
      </c>
      <c r="D4581" s="519" t="s">
        <v>3959</v>
      </c>
      <c r="E4581" s="905" t="s">
        <v>2465</v>
      </c>
      <c r="F4581" s="905"/>
      <c r="G4581" s="521" t="s">
        <v>1901</v>
      </c>
      <c r="H4581" s="522">
        <v>1</v>
      </c>
      <c r="I4581" s="523">
        <v>32.049999999999997</v>
      </c>
      <c r="J4581" s="523">
        <v>32.049999999999997</v>
      </c>
    </row>
    <row r="4582" spans="1:10" ht="39" customHeight="1" thickBot="1" x14ac:dyDescent="0.35">
      <c r="A4582" s="519" t="s">
        <v>2434</v>
      </c>
      <c r="B4582" s="520" t="s">
        <v>3960</v>
      </c>
      <c r="C4582" s="519" t="s">
        <v>32</v>
      </c>
      <c r="D4582" s="519" t="s">
        <v>3961</v>
      </c>
      <c r="E4582" s="905" t="s">
        <v>2465</v>
      </c>
      <c r="F4582" s="905"/>
      <c r="G4582" s="521" t="s">
        <v>1901</v>
      </c>
      <c r="H4582" s="522">
        <v>1</v>
      </c>
      <c r="I4582" s="523">
        <v>8.6</v>
      </c>
      <c r="J4582" s="523">
        <v>8.6</v>
      </c>
    </row>
    <row r="4583" spans="1:10" s="358" customFormat="1" ht="14.5" thickTop="1" x14ac:dyDescent="0.3">
      <c r="A4583" s="647"/>
      <c r="B4583" s="647"/>
      <c r="C4583" s="647"/>
      <c r="D4583" s="647"/>
      <c r="E4583" s="647"/>
      <c r="F4583" s="647"/>
      <c r="G4583" s="647"/>
      <c r="H4583" s="647"/>
      <c r="I4583" s="647"/>
      <c r="J4583"/>
    </row>
    <row r="4584" spans="1:10" x14ac:dyDescent="0.3">
      <c r="A4584" s="516"/>
      <c r="B4584" s="517" t="s">
        <v>15</v>
      </c>
      <c r="C4584" s="516" t="s">
        <v>16</v>
      </c>
      <c r="D4584" s="516" t="s">
        <v>17</v>
      </c>
      <c r="E4584" s="904" t="s">
        <v>2431</v>
      </c>
      <c r="F4584" s="904"/>
      <c r="G4584" s="518" t="s">
        <v>18</v>
      </c>
      <c r="H4584" s="517" t="s">
        <v>19</v>
      </c>
      <c r="I4584" s="517" t="s">
        <v>20</v>
      </c>
      <c r="J4584" s="517" t="s">
        <v>23</v>
      </c>
    </row>
    <row r="4585" spans="1:10" s="358" customFormat="1" ht="38.25" customHeight="1" x14ac:dyDescent="0.3">
      <c r="A4585" s="642" t="s">
        <v>2432</v>
      </c>
      <c r="B4585" s="643" t="s">
        <v>2946</v>
      </c>
      <c r="C4585" s="642" t="s">
        <v>32</v>
      </c>
      <c r="D4585" s="642" t="s">
        <v>2947</v>
      </c>
      <c r="E4585" s="906" t="s">
        <v>2465</v>
      </c>
      <c r="F4585" s="906"/>
      <c r="G4585" s="644" t="s">
        <v>103</v>
      </c>
      <c r="H4585" s="645">
        <v>1</v>
      </c>
      <c r="I4585" s="646">
        <v>158.11000000000001</v>
      </c>
      <c r="J4585" s="646">
        <v>158.11000000000001</v>
      </c>
    </row>
    <row r="4586" spans="1:10" ht="50" x14ac:dyDescent="0.3">
      <c r="A4586" s="519" t="s">
        <v>2434</v>
      </c>
      <c r="B4586" s="520" t="s">
        <v>3962</v>
      </c>
      <c r="C4586" s="519" t="s">
        <v>32</v>
      </c>
      <c r="D4586" s="519" t="s">
        <v>3963</v>
      </c>
      <c r="E4586" s="905" t="s">
        <v>2465</v>
      </c>
      <c r="F4586" s="905"/>
      <c r="G4586" s="521" t="s">
        <v>1901</v>
      </c>
      <c r="H4586" s="522">
        <v>1</v>
      </c>
      <c r="I4586" s="523">
        <v>51.63</v>
      </c>
      <c r="J4586" s="523">
        <v>51.63</v>
      </c>
    </row>
    <row r="4587" spans="1:10" ht="38.25" customHeight="1" x14ac:dyDescent="0.3">
      <c r="A4587" s="519" t="s">
        <v>2434</v>
      </c>
      <c r="B4587" s="520" t="s">
        <v>3964</v>
      </c>
      <c r="C4587" s="519" t="s">
        <v>32</v>
      </c>
      <c r="D4587" s="519" t="s">
        <v>3965</v>
      </c>
      <c r="E4587" s="905" t="s">
        <v>2465</v>
      </c>
      <c r="F4587" s="905"/>
      <c r="G4587" s="521" t="s">
        <v>1901</v>
      </c>
      <c r="H4587" s="522">
        <v>1</v>
      </c>
      <c r="I4587" s="523">
        <v>40.11</v>
      </c>
      <c r="J4587" s="523">
        <v>40.11</v>
      </c>
    </row>
    <row r="4588" spans="1:10" ht="38.25" customHeight="1" x14ac:dyDescent="0.3">
      <c r="A4588" s="519" t="s">
        <v>2434</v>
      </c>
      <c r="B4588" s="520" t="s">
        <v>3823</v>
      </c>
      <c r="C4588" s="519" t="s">
        <v>32</v>
      </c>
      <c r="D4588" s="519" t="s">
        <v>3824</v>
      </c>
      <c r="E4588" s="905" t="s">
        <v>2433</v>
      </c>
      <c r="F4588" s="905"/>
      <c r="G4588" s="521" t="s">
        <v>1901</v>
      </c>
      <c r="H4588" s="522">
        <v>1</v>
      </c>
      <c r="I4588" s="523">
        <v>25.72</v>
      </c>
      <c r="J4588" s="523">
        <v>25.72</v>
      </c>
    </row>
    <row r="4589" spans="1:10" ht="38.25" customHeight="1" x14ac:dyDescent="0.3">
      <c r="A4589" s="519" t="s">
        <v>2434</v>
      </c>
      <c r="B4589" s="520" t="s">
        <v>3958</v>
      </c>
      <c r="C4589" s="519" t="s">
        <v>32</v>
      </c>
      <c r="D4589" s="519" t="s">
        <v>3959</v>
      </c>
      <c r="E4589" s="905" t="s">
        <v>2465</v>
      </c>
      <c r="F4589" s="905"/>
      <c r="G4589" s="521" t="s">
        <v>1901</v>
      </c>
      <c r="H4589" s="522">
        <v>1</v>
      </c>
      <c r="I4589" s="523">
        <v>32.049999999999997</v>
      </c>
      <c r="J4589" s="523">
        <v>32.049999999999997</v>
      </c>
    </row>
    <row r="4590" spans="1:10" ht="39" customHeight="1" thickBot="1" x14ac:dyDescent="0.35">
      <c r="A4590" s="519" t="s">
        <v>2434</v>
      </c>
      <c r="B4590" s="520" t="s">
        <v>3960</v>
      </c>
      <c r="C4590" s="519" t="s">
        <v>32</v>
      </c>
      <c r="D4590" s="519" t="s">
        <v>3961</v>
      </c>
      <c r="E4590" s="905" t="s">
        <v>2465</v>
      </c>
      <c r="F4590" s="905"/>
      <c r="G4590" s="521" t="s">
        <v>1901</v>
      </c>
      <c r="H4590" s="522">
        <v>1</v>
      </c>
      <c r="I4590" s="523">
        <v>8.6</v>
      </c>
      <c r="J4590" s="523">
        <v>8.6</v>
      </c>
    </row>
    <row r="4591" spans="1:10" s="358" customFormat="1" ht="14.5" thickTop="1" x14ac:dyDescent="0.3">
      <c r="A4591" s="647"/>
      <c r="B4591" s="647"/>
      <c r="C4591" s="647"/>
      <c r="D4591" s="647"/>
      <c r="E4591" s="647"/>
      <c r="F4591" s="647"/>
      <c r="G4591" s="647"/>
      <c r="H4591" s="647"/>
      <c r="I4591" s="647"/>
      <c r="J4591"/>
    </row>
    <row r="4592" spans="1:10" x14ac:dyDescent="0.3">
      <c r="A4592" s="516"/>
      <c r="B4592" s="517" t="s">
        <v>15</v>
      </c>
      <c r="C4592" s="516" t="s">
        <v>16</v>
      </c>
      <c r="D4592" s="516" t="s">
        <v>17</v>
      </c>
      <c r="E4592" s="904" t="s">
        <v>2431</v>
      </c>
      <c r="F4592" s="904"/>
      <c r="G4592" s="518" t="s">
        <v>18</v>
      </c>
      <c r="H4592" s="517" t="s">
        <v>19</v>
      </c>
      <c r="I4592" s="517" t="s">
        <v>20</v>
      </c>
      <c r="J4592" s="517" t="s">
        <v>23</v>
      </c>
    </row>
    <row r="4593" spans="1:10" s="358" customFormat="1" ht="38.25" customHeight="1" x14ac:dyDescent="0.3">
      <c r="A4593" s="642" t="s">
        <v>2432</v>
      </c>
      <c r="B4593" s="643" t="s">
        <v>3958</v>
      </c>
      <c r="C4593" s="642" t="s">
        <v>32</v>
      </c>
      <c r="D4593" s="642" t="s">
        <v>3959</v>
      </c>
      <c r="E4593" s="906" t="s">
        <v>2465</v>
      </c>
      <c r="F4593" s="906"/>
      <c r="G4593" s="644" t="s">
        <v>1901</v>
      </c>
      <c r="H4593" s="645">
        <v>1</v>
      </c>
      <c r="I4593" s="646">
        <v>32.049999999999997</v>
      </c>
      <c r="J4593" s="646">
        <v>32.049999999999997</v>
      </c>
    </row>
    <row r="4594" spans="1:10" ht="38" thickBot="1" x14ac:dyDescent="0.35">
      <c r="A4594" s="519" t="s">
        <v>2437</v>
      </c>
      <c r="B4594" s="520" t="s">
        <v>3966</v>
      </c>
      <c r="C4594" s="519" t="s">
        <v>32</v>
      </c>
      <c r="D4594" s="519" t="s">
        <v>3967</v>
      </c>
      <c r="E4594" s="905" t="s">
        <v>2446</v>
      </c>
      <c r="F4594" s="905"/>
      <c r="G4594" s="521" t="s">
        <v>89</v>
      </c>
      <c r="H4594" s="522">
        <v>5.3300000000000001E-5</v>
      </c>
      <c r="I4594" s="523">
        <v>601465.48</v>
      </c>
      <c r="J4594" s="523">
        <v>32.049999999999997</v>
      </c>
    </row>
    <row r="4595" spans="1:10" s="358" customFormat="1" ht="14.5" thickTop="1" x14ac:dyDescent="0.3">
      <c r="A4595" s="647"/>
      <c r="B4595" s="647"/>
      <c r="C4595" s="647"/>
      <c r="D4595" s="647"/>
      <c r="E4595" s="647"/>
      <c r="F4595" s="647"/>
      <c r="G4595" s="647"/>
      <c r="H4595" s="647"/>
      <c r="I4595" s="647"/>
      <c r="J4595"/>
    </row>
    <row r="4596" spans="1:10" x14ac:dyDescent="0.3">
      <c r="A4596" s="516"/>
      <c r="B4596" s="517" t="s">
        <v>15</v>
      </c>
      <c r="C4596" s="516" t="s">
        <v>16</v>
      </c>
      <c r="D4596" s="516" t="s">
        <v>17</v>
      </c>
      <c r="E4596" s="904" t="s">
        <v>2431</v>
      </c>
      <c r="F4596" s="904"/>
      <c r="G4596" s="518" t="s">
        <v>18</v>
      </c>
      <c r="H4596" s="517" t="s">
        <v>19</v>
      </c>
      <c r="I4596" s="517" t="s">
        <v>20</v>
      </c>
      <c r="J4596" s="517" t="s">
        <v>23</v>
      </c>
    </row>
    <row r="4597" spans="1:10" s="358" customFormat="1" ht="38.25" customHeight="1" x14ac:dyDescent="0.3">
      <c r="A4597" s="642" t="s">
        <v>2432</v>
      </c>
      <c r="B4597" s="643" t="s">
        <v>3960</v>
      </c>
      <c r="C4597" s="642" t="s">
        <v>32</v>
      </c>
      <c r="D4597" s="642" t="s">
        <v>3961</v>
      </c>
      <c r="E4597" s="906" t="s">
        <v>2465</v>
      </c>
      <c r="F4597" s="906"/>
      <c r="G4597" s="644" t="s">
        <v>1901</v>
      </c>
      <c r="H4597" s="645">
        <v>1</v>
      </c>
      <c r="I4597" s="646">
        <v>8.6</v>
      </c>
      <c r="J4597" s="646">
        <v>8.6</v>
      </c>
    </row>
    <row r="4598" spans="1:10" ht="38" thickBot="1" x14ac:dyDescent="0.35">
      <c r="A4598" s="519" t="s">
        <v>2437</v>
      </c>
      <c r="B4598" s="520" t="s">
        <v>3966</v>
      </c>
      <c r="C4598" s="519" t="s">
        <v>32</v>
      </c>
      <c r="D4598" s="519" t="s">
        <v>3967</v>
      </c>
      <c r="E4598" s="905" t="s">
        <v>2446</v>
      </c>
      <c r="F4598" s="905"/>
      <c r="G4598" s="521" t="s">
        <v>89</v>
      </c>
      <c r="H4598" s="522">
        <v>1.43E-5</v>
      </c>
      <c r="I4598" s="523">
        <v>601465.48</v>
      </c>
      <c r="J4598" s="523">
        <v>8.6</v>
      </c>
    </row>
    <row r="4599" spans="1:10" s="358" customFormat="1" ht="14.5" thickTop="1" x14ac:dyDescent="0.3">
      <c r="A4599" s="647"/>
      <c r="B4599" s="647"/>
      <c r="C4599" s="647"/>
      <c r="D4599" s="647"/>
      <c r="E4599" s="647"/>
      <c r="F4599" s="647"/>
      <c r="G4599" s="647"/>
      <c r="H4599" s="647"/>
      <c r="I4599" s="647"/>
      <c r="J4599"/>
    </row>
    <row r="4600" spans="1:10" x14ac:dyDescent="0.3">
      <c r="A4600" s="516"/>
      <c r="B4600" s="517" t="s">
        <v>15</v>
      </c>
      <c r="C4600" s="516" t="s">
        <v>16</v>
      </c>
      <c r="D4600" s="516" t="s">
        <v>17</v>
      </c>
      <c r="E4600" s="904" t="s">
        <v>2431</v>
      </c>
      <c r="F4600" s="904"/>
      <c r="G4600" s="518" t="s">
        <v>18</v>
      </c>
      <c r="H4600" s="517" t="s">
        <v>19</v>
      </c>
      <c r="I4600" s="517" t="s">
        <v>20</v>
      </c>
      <c r="J4600" s="517" t="s">
        <v>23</v>
      </c>
    </row>
    <row r="4601" spans="1:10" s="358" customFormat="1" ht="38.25" customHeight="1" x14ac:dyDescent="0.3">
      <c r="A4601" s="642" t="s">
        <v>2432</v>
      </c>
      <c r="B4601" s="643" t="s">
        <v>3964</v>
      </c>
      <c r="C4601" s="642" t="s">
        <v>32</v>
      </c>
      <c r="D4601" s="642" t="s">
        <v>3965</v>
      </c>
      <c r="E4601" s="906" t="s">
        <v>2465</v>
      </c>
      <c r="F4601" s="906"/>
      <c r="G4601" s="644" t="s">
        <v>1901</v>
      </c>
      <c r="H4601" s="645">
        <v>1</v>
      </c>
      <c r="I4601" s="646">
        <v>40.11</v>
      </c>
      <c r="J4601" s="646">
        <v>40.11</v>
      </c>
    </row>
    <row r="4602" spans="1:10" ht="38" thickBot="1" x14ac:dyDescent="0.35">
      <c r="A4602" s="519" t="s">
        <v>2437</v>
      </c>
      <c r="B4602" s="520" t="s">
        <v>3966</v>
      </c>
      <c r="C4602" s="519" t="s">
        <v>32</v>
      </c>
      <c r="D4602" s="519" t="s">
        <v>3967</v>
      </c>
      <c r="E4602" s="905" t="s">
        <v>2446</v>
      </c>
      <c r="F4602" s="905"/>
      <c r="G4602" s="521" t="s">
        <v>89</v>
      </c>
      <c r="H4602" s="522">
        <v>6.6699999999999995E-5</v>
      </c>
      <c r="I4602" s="523">
        <v>601465.48</v>
      </c>
      <c r="J4602" s="523">
        <v>40.11</v>
      </c>
    </row>
    <row r="4603" spans="1:10" s="358" customFormat="1" ht="14.5" thickTop="1" x14ac:dyDescent="0.3">
      <c r="A4603" s="647"/>
      <c r="B4603" s="647"/>
      <c r="C4603" s="647"/>
      <c r="D4603" s="647"/>
      <c r="E4603" s="647"/>
      <c r="F4603" s="647"/>
      <c r="G4603" s="647"/>
      <c r="H4603" s="647"/>
      <c r="I4603" s="647"/>
      <c r="J4603"/>
    </row>
    <row r="4604" spans="1:10" x14ac:dyDescent="0.3">
      <c r="A4604" s="516"/>
      <c r="B4604" s="517" t="s">
        <v>15</v>
      </c>
      <c r="C4604" s="516" t="s">
        <v>16</v>
      </c>
      <c r="D4604" s="516" t="s">
        <v>17</v>
      </c>
      <c r="E4604" s="904" t="s">
        <v>2431</v>
      </c>
      <c r="F4604" s="904"/>
      <c r="G4604" s="518" t="s">
        <v>18</v>
      </c>
      <c r="H4604" s="517" t="s">
        <v>19</v>
      </c>
      <c r="I4604" s="517" t="s">
        <v>20</v>
      </c>
      <c r="J4604" s="517" t="s">
        <v>23</v>
      </c>
    </row>
    <row r="4605" spans="1:10" s="358" customFormat="1" ht="38.25" customHeight="1" x14ac:dyDescent="0.3">
      <c r="A4605" s="642" t="s">
        <v>2432</v>
      </c>
      <c r="B4605" s="643" t="s">
        <v>3962</v>
      </c>
      <c r="C4605" s="642" t="s">
        <v>32</v>
      </c>
      <c r="D4605" s="642" t="s">
        <v>3963</v>
      </c>
      <c r="E4605" s="906" t="s">
        <v>2465</v>
      </c>
      <c r="F4605" s="906"/>
      <c r="G4605" s="644" t="s">
        <v>1901</v>
      </c>
      <c r="H4605" s="645">
        <v>1</v>
      </c>
      <c r="I4605" s="646">
        <v>51.63</v>
      </c>
      <c r="J4605" s="646">
        <v>51.63</v>
      </c>
    </row>
    <row r="4606" spans="1:10" ht="14.5" thickBot="1" x14ac:dyDescent="0.35">
      <c r="A4606" s="519" t="s">
        <v>2437</v>
      </c>
      <c r="B4606" s="520" t="s">
        <v>4485</v>
      </c>
      <c r="C4606" s="519" t="s">
        <v>125</v>
      </c>
      <c r="D4606" s="519" t="s">
        <v>4486</v>
      </c>
      <c r="E4606" s="905" t="s">
        <v>2442</v>
      </c>
      <c r="F4606" s="905"/>
      <c r="G4606" s="521" t="s">
        <v>2829</v>
      </c>
      <c r="H4606" s="522">
        <v>9.5500000000000007</v>
      </c>
      <c r="I4606" s="523">
        <v>5.4069000000000003</v>
      </c>
      <c r="J4606" s="523">
        <v>51.63</v>
      </c>
    </row>
    <row r="4607" spans="1:10" s="358" customFormat="1" ht="14.5" thickTop="1" x14ac:dyDescent="0.3">
      <c r="A4607" s="647"/>
      <c r="B4607" s="647"/>
      <c r="C4607" s="647"/>
      <c r="D4607" s="647"/>
      <c r="E4607" s="647"/>
      <c r="F4607" s="647"/>
      <c r="G4607" s="647"/>
      <c r="H4607" s="647"/>
      <c r="I4607" s="647"/>
      <c r="J4607"/>
    </row>
    <row r="4608" spans="1:10" x14ac:dyDescent="0.3">
      <c r="A4608" s="516"/>
      <c r="B4608" s="517" t="s">
        <v>15</v>
      </c>
      <c r="C4608" s="516" t="s">
        <v>16</v>
      </c>
      <c r="D4608" s="516" t="s">
        <v>17</v>
      </c>
      <c r="E4608" s="904" t="s">
        <v>2431</v>
      </c>
      <c r="F4608" s="904"/>
      <c r="G4608" s="518" t="s">
        <v>18</v>
      </c>
      <c r="H4608" s="517" t="s">
        <v>19</v>
      </c>
      <c r="I4608" s="517" t="s">
        <v>20</v>
      </c>
      <c r="J4608" s="517" t="s">
        <v>23</v>
      </c>
    </row>
    <row r="4609" spans="1:10" s="358" customFormat="1" ht="38.25" customHeight="1" x14ac:dyDescent="0.3">
      <c r="A4609" s="642" t="s">
        <v>2432</v>
      </c>
      <c r="B4609" s="643" t="s">
        <v>3083</v>
      </c>
      <c r="C4609" s="642" t="s">
        <v>32</v>
      </c>
      <c r="D4609" s="642" t="s">
        <v>3084</v>
      </c>
      <c r="E4609" s="906" t="s">
        <v>2465</v>
      </c>
      <c r="F4609" s="906"/>
      <c r="G4609" s="644" t="s">
        <v>110</v>
      </c>
      <c r="H4609" s="645">
        <v>1</v>
      </c>
      <c r="I4609" s="646">
        <v>68.05</v>
      </c>
      <c r="J4609" s="646">
        <v>68.05</v>
      </c>
    </row>
    <row r="4610" spans="1:10" ht="38.25" customHeight="1" x14ac:dyDescent="0.3">
      <c r="A4610" s="519" t="s">
        <v>2434</v>
      </c>
      <c r="B4610" s="520" t="s">
        <v>3968</v>
      </c>
      <c r="C4610" s="519" t="s">
        <v>32</v>
      </c>
      <c r="D4610" s="519" t="s">
        <v>3969</v>
      </c>
      <c r="E4610" s="905" t="s">
        <v>2465</v>
      </c>
      <c r="F4610" s="905"/>
      <c r="G4610" s="521" t="s">
        <v>1901</v>
      </c>
      <c r="H4610" s="522">
        <v>1</v>
      </c>
      <c r="I4610" s="523">
        <v>33.33</v>
      </c>
      <c r="J4610" s="523">
        <v>33.33</v>
      </c>
    </row>
    <row r="4611" spans="1:10" ht="38.25" customHeight="1" x14ac:dyDescent="0.3">
      <c r="A4611" s="519" t="s">
        <v>2434</v>
      </c>
      <c r="B4611" s="520" t="s">
        <v>3970</v>
      </c>
      <c r="C4611" s="519" t="s">
        <v>32</v>
      </c>
      <c r="D4611" s="519" t="s">
        <v>3971</v>
      </c>
      <c r="E4611" s="905" t="s">
        <v>2465</v>
      </c>
      <c r="F4611" s="905"/>
      <c r="G4611" s="521" t="s">
        <v>1901</v>
      </c>
      <c r="H4611" s="522">
        <v>1</v>
      </c>
      <c r="I4611" s="523">
        <v>9</v>
      </c>
      <c r="J4611" s="523">
        <v>9</v>
      </c>
    </row>
    <row r="4612" spans="1:10" ht="25.5" thickBot="1" x14ac:dyDescent="0.35">
      <c r="A4612" s="519" t="s">
        <v>2434</v>
      </c>
      <c r="B4612" s="520" t="s">
        <v>3823</v>
      </c>
      <c r="C4612" s="519" t="s">
        <v>32</v>
      </c>
      <c r="D4612" s="519" t="s">
        <v>3824</v>
      </c>
      <c r="E4612" s="905" t="s">
        <v>2433</v>
      </c>
      <c r="F4612" s="905"/>
      <c r="G4612" s="521" t="s">
        <v>1901</v>
      </c>
      <c r="H4612" s="522">
        <v>1</v>
      </c>
      <c r="I4612" s="523">
        <v>25.72</v>
      </c>
      <c r="J4612" s="523">
        <v>25.72</v>
      </c>
    </row>
    <row r="4613" spans="1:10" s="358" customFormat="1" ht="14.5" thickTop="1" x14ac:dyDescent="0.3">
      <c r="A4613" s="647"/>
      <c r="B4613" s="647"/>
      <c r="C4613" s="647"/>
      <c r="D4613" s="647"/>
      <c r="E4613" s="647"/>
      <c r="F4613" s="647"/>
      <c r="G4613" s="647"/>
      <c r="H4613" s="647"/>
      <c r="I4613" s="647"/>
      <c r="J4613"/>
    </row>
    <row r="4614" spans="1:10" x14ac:dyDescent="0.3">
      <c r="A4614" s="516"/>
      <c r="B4614" s="517" t="s">
        <v>15</v>
      </c>
      <c r="C4614" s="516" t="s">
        <v>16</v>
      </c>
      <c r="D4614" s="516" t="s">
        <v>17</v>
      </c>
      <c r="E4614" s="904" t="s">
        <v>2431</v>
      </c>
      <c r="F4614" s="904"/>
      <c r="G4614" s="518" t="s">
        <v>18</v>
      </c>
      <c r="H4614" s="517" t="s">
        <v>19</v>
      </c>
      <c r="I4614" s="517" t="s">
        <v>20</v>
      </c>
      <c r="J4614" s="517" t="s">
        <v>23</v>
      </c>
    </row>
    <row r="4615" spans="1:10" s="358" customFormat="1" ht="38.25" customHeight="1" x14ac:dyDescent="0.3">
      <c r="A4615" s="642" t="s">
        <v>2432</v>
      </c>
      <c r="B4615" s="643" t="s">
        <v>3081</v>
      </c>
      <c r="C4615" s="642" t="s">
        <v>32</v>
      </c>
      <c r="D4615" s="642" t="s">
        <v>3082</v>
      </c>
      <c r="E4615" s="906" t="s">
        <v>2465</v>
      </c>
      <c r="F4615" s="906"/>
      <c r="G4615" s="644" t="s">
        <v>103</v>
      </c>
      <c r="H4615" s="645">
        <v>1</v>
      </c>
      <c r="I4615" s="646">
        <v>161.38999999999999</v>
      </c>
      <c r="J4615" s="646">
        <v>161.38999999999999</v>
      </c>
    </row>
    <row r="4616" spans="1:10" ht="38.25" customHeight="1" x14ac:dyDescent="0.3">
      <c r="A4616" s="519" t="s">
        <v>2434</v>
      </c>
      <c r="B4616" s="520" t="s">
        <v>3972</v>
      </c>
      <c r="C4616" s="519" t="s">
        <v>32</v>
      </c>
      <c r="D4616" s="519" t="s">
        <v>3973</v>
      </c>
      <c r="E4616" s="905" t="s">
        <v>2465</v>
      </c>
      <c r="F4616" s="905"/>
      <c r="G4616" s="521" t="s">
        <v>1901</v>
      </c>
      <c r="H4616" s="522">
        <v>1</v>
      </c>
      <c r="I4616" s="523">
        <v>41.71</v>
      </c>
      <c r="J4616" s="523">
        <v>41.71</v>
      </c>
    </row>
    <row r="4617" spans="1:10" ht="38.25" customHeight="1" x14ac:dyDescent="0.3">
      <c r="A4617" s="519" t="s">
        <v>2434</v>
      </c>
      <c r="B4617" s="520" t="s">
        <v>3968</v>
      </c>
      <c r="C4617" s="519" t="s">
        <v>32</v>
      </c>
      <c r="D4617" s="519" t="s">
        <v>3969</v>
      </c>
      <c r="E4617" s="905" t="s">
        <v>2465</v>
      </c>
      <c r="F4617" s="905"/>
      <c r="G4617" s="521" t="s">
        <v>1901</v>
      </c>
      <c r="H4617" s="522">
        <v>1</v>
      </c>
      <c r="I4617" s="523">
        <v>33.33</v>
      </c>
      <c r="J4617" s="523">
        <v>33.33</v>
      </c>
    </row>
    <row r="4618" spans="1:10" ht="38.25" customHeight="1" x14ac:dyDescent="0.3">
      <c r="A4618" s="519" t="s">
        <v>2434</v>
      </c>
      <c r="B4618" s="520" t="s">
        <v>3970</v>
      </c>
      <c r="C4618" s="519" t="s">
        <v>32</v>
      </c>
      <c r="D4618" s="519" t="s">
        <v>3971</v>
      </c>
      <c r="E4618" s="905" t="s">
        <v>2465</v>
      </c>
      <c r="F4618" s="905"/>
      <c r="G4618" s="521" t="s">
        <v>1901</v>
      </c>
      <c r="H4618" s="522">
        <v>1</v>
      </c>
      <c r="I4618" s="523">
        <v>9</v>
      </c>
      <c r="J4618" s="523">
        <v>9</v>
      </c>
    </row>
    <row r="4619" spans="1:10" ht="38.25" customHeight="1" x14ac:dyDescent="0.3">
      <c r="A4619" s="519" t="s">
        <v>2434</v>
      </c>
      <c r="B4619" s="520" t="s">
        <v>3974</v>
      </c>
      <c r="C4619" s="519" t="s">
        <v>32</v>
      </c>
      <c r="D4619" s="519" t="s">
        <v>3975</v>
      </c>
      <c r="E4619" s="905" t="s">
        <v>2465</v>
      </c>
      <c r="F4619" s="905"/>
      <c r="G4619" s="521" t="s">
        <v>1901</v>
      </c>
      <c r="H4619" s="522">
        <v>1</v>
      </c>
      <c r="I4619" s="523">
        <v>51.63</v>
      </c>
      <c r="J4619" s="523">
        <v>51.63</v>
      </c>
    </row>
    <row r="4620" spans="1:10" ht="25.5" thickBot="1" x14ac:dyDescent="0.35">
      <c r="A4620" s="519" t="s">
        <v>2434</v>
      </c>
      <c r="B4620" s="520" t="s">
        <v>3823</v>
      </c>
      <c r="C4620" s="519" t="s">
        <v>32</v>
      </c>
      <c r="D4620" s="519" t="s">
        <v>3824</v>
      </c>
      <c r="E4620" s="905" t="s">
        <v>2433</v>
      </c>
      <c r="F4620" s="905"/>
      <c r="G4620" s="521" t="s">
        <v>1901</v>
      </c>
      <c r="H4620" s="522">
        <v>1</v>
      </c>
      <c r="I4620" s="523">
        <v>25.72</v>
      </c>
      <c r="J4620" s="523">
        <v>25.72</v>
      </c>
    </row>
    <row r="4621" spans="1:10" s="358" customFormat="1" ht="14.5" thickTop="1" x14ac:dyDescent="0.3">
      <c r="A4621" s="647"/>
      <c r="B4621" s="647"/>
      <c r="C4621" s="647"/>
      <c r="D4621" s="647"/>
      <c r="E4621" s="647"/>
      <c r="F4621" s="647"/>
      <c r="G4621" s="647"/>
      <c r="H4621" s="647"/>
      <c r="I4621" s="647"/>
      <c r="J4621"/>
    </row>
    <row r="4622" spans="1:10" x14ac:dyDescent="0.3">
      <c r="A4622" s="516"/>
      <c r="B4622" s="517" t="s">
        <v>15</v>
      </c>
      <c r="C4622" s="516" t="s">
        <v>16</v>
      </c>
      <c r="D4622" s="516" t="s">
        <v>17</v>
      </c>
      <c r="E4622" s="904" t="s">
        <v>2431</v>
      </c>
      <c r="F4622" s="904"/>
      <c r="G4622" s="518" t="s">
        <v>18</v>
      </c>
      <c r="H4622" s="517" t="s">
        <v>19</v>
      </c>
      <c r="I4622" s="517" t="s">
        <v>20</v>
      </c>
      <c r="J4622" s="517" t="s">
        <v>23</v>
      </c>
    </row>
    <row r="4623" spans="1:10" s="358" customFormat="1" ht="38.25" customHeight="1" x14ac:dyDescent="0.3">
      <c r="A4623" s="642" t="s">
        <v>2432</v>
      </c>
      <c r="B4623" s="643" t="s">
        <v>3968</v>
      </c>
      <c r="C4623" s="642" t="s">
        <v>32</v>
      </c>
      <c r="D4623" s="642" t="s">
        <v>3969</v>
      </c>
      <c r="E4623" s="906" t="s">
        <v>2465</v>
      </c>
      <c r="F4623" s="906"/>
      <c r="G4623" s="644" t="s">
        <v>1901</v>
      </c>
      <c r="H4623" s="645">
        <v>1</v>
      </c>
      <c r="I4623" s="646">
        <v>33.33</v>
      </c>
      <c r="J4623" s="646">
        <v>33.33</v>
      </c>
    </row>
    <row r="4624" spans="1:10" ht="38" thickBot="1" x14ac:dyDescent="0.35">
      <c r="A4624" s="519" t="s">
        <v>2437</v>
      </c>
      <c r="B4624" s="520" t="s">
        <v>3976</v>
      </c>
      <c r="C4624" s="519" t="s">
        <v>32</v>
      </c>
      <c r="D4624" s="519" t="s">
        <v>3977</v>
      </c>
      <c r="E4624" s="905" t="s">
        <v>2446</v>
      </c>
      <c r="F4624" s="905"/>
      <c r="G4624" s="521" t="s">
        <v>89</v>
      </c>
      <c r="H4624" s="522">
        <v>5.3300000000000001E-5</v>
      </c>
      <c r="I4624" s="523">
        <v>625341.67000000004</v>
      </c>
      <c r="J4624" s="523">
        <v>33.33</v>
      </c>
    </row>
    <row r="4625" spans="1:10" s="358" customFormat="1" ht="14.5" thickTop="1" x14ac:dyDescent="0.3">
      <c r="A4625" s="647"/>
      <c r="B4625" s="647"/>
      <c r="C4625" s="647"/>
      <c r="D4625" s="647"/>
      <c r="E4625" s="647"/>
      <c r="F4625" s="647"/>
      <c r="G4625" s="647"/>
      <c r="H4625" s="647"/>
      <c r="I4625" s="647"/>
      <c r="J4625"/>
    </row>
    <row r="4626" spans="1:10" x14ac:dyDescent="0.3">
      <c r="A4626" s="516"/>
      <c r="B4626" s="517" t="s">
        <v>15</v>
      </c>
      <c r="C4626" s="516" t="s">
        <v>16</v>
      </c>
      <c r="D4626" s="516" t="s">
        <v>17</v>
      </c>
      <c r="E4626" s="904" t="s">
        <v>2431</v>
      </c>
      <c r="F4626" s="904"/>
      <c r="G4626" s="518" t="s">
        <v>18</v>
      </c>
      <c r="H4626" s="517" t="s">
        <v>19</v>
      </c>
      <c r="I4626" s="517" t="s">
        <v>20</v>
      </c>
      <c r="J4626" s="517" t="s">
        <v>23</v>
      </c>
    </row>
    <row r="4627" spans="1:10" s="358" customFormat="1" ht="38.25" customHeight="1" x14ac:dyDescent="0.3">
      <c r="A4627" s="642" t="s">
        <v>2432</v>
      </c>
      <c r="B4627" s="643" t="s">
        <v>3970</v>
      </c>
      <c r="C4627" s="642" t="s">
        <v>32</v>
      </c>
      <c r="D4627" s="642" t="s">
        <v>3971</v>
      </c>
      <c r="E4627" s="906" t="s">
        <v>2465</v>
      </c>
      <c r="F4627" s="906"/>
      <c r="G4627" s="644" t="s">
        <v>1901</v>
      </c>
      <c r="H4627" s="645">
        <v>1</v>
      </c>
      <c r="I4627" s="646">
        <v>9</v>
      </c>
      <c r="J4627" s="646">
        <v>9</v>
      </c>
    </row>
    <row r="4628" spans="1:10" ht="38" thickBot="1" x14ac:dyDescent="0.35">
      <c r="A4628" s="519" t="s">
        <v>2437</v>
      </c>
      <c r="B4628" s="520" t="s">
        <v>3976</v>
      </c>
      <c r="C4628" s="519" t="s">
        <v>32</v>
      </c>
      <c r="D4628" s="519" t="s">
        <v>3977</v>
      </c>
      <c r="E4628" s="905" t="s">
        <v>2446</v>
      </c>
      <c r="F4628" s="905"/>
      <c r="G4628" s="521" t="s">
        <v>89</v>
      </c>
      <c r="H4628" s="522">
        <v>1.4399999999999999E-5</v>
      </c>
      <c r="I4628" s="523">
        <v>625341.67000000004</v>
      </c>
      <c r="J4628" s="523">
        <v>9</v>
      </c>
    </row>
    <row r="4629" spans="1:10" s="358" customFormat="1" ht="14.5" thickTop="1" x14ac:dyDescent="0.3">
      <c r="A4629" s="647"/>
      <c r="B4629" s="647"/>
      <c r="C4629" s="647"/>
      <c r="D4629" s="647"/>
      <c r="E4629" s="647"/>
      <c r="F4629" s="647"/>
      <c r="G4629" s="647"/>
      <c r="H4629" s="647"/>
      <c r="I4629" s="647"/>
      <c r="J4629"/>
    </row>
    <row r="4630" spans="1:10" x14ac:dyDescent="0.3">
      <c r="A4630" s="516"/>
      <c r="B4630" s="517" t="s">
        <v>15</v>
      </c>
      <c r="C4630" s="516" t="s">
        <v>16</v>
      </c>
      <c r="D4630" s="516" t="s">
        <v>17</v>
      </c>
      <c r="E4630" s="904" t="s">
        <v>2431</v>
      </c>
      <c r="F4630" s="904"/>
      <c r="G4630" s="518" t="s">
        <v>18</v>
      </c>
      <c r="H4630" s="517" t="s">
        <v>19</v>
      </c>
      <c r="I4630" s="517" t="s">
        <v>20</v>
      </c>
      <c r="J4630" s="517" t="s">
        <v>23</v>
      </c>
    </row>
    <row r="4631" spans="1:10" s="358" customFormat="1" ht="38.25" customHeight="1" x14ac:dyDescent="0.3">
      <c r="A4631" s="642" t="s">
        <v>2432</v>
      </c>
      <c r="B4631" s="643" t="s">
        <v>3972</v>
      </c>
      <c r="C4631" s="642" t="s">
        <v>32</v>
      </c>
      <c r="D4631" s="642" t="s">
        <v>3973</v>
      </c>
      <c r="E4631" s="906" t="s">
        <v>2465</v>
      </c>
      <c r="F4631" s="906"/>
      <c r="G4631" s="644" t="s">
        <v>1901</v>
      </c>
      <c r="H4631" s="645">
        <v>1</v>
      </c>
      <c r="I4631" s="646">
        <v>41.71</v>
      </c>
      <c r="J4631" s="646">
        <v>41.71</v>
      </c>
    </row>
    <row r="4632" spans="1:10" ht="38" thickBot="1" x14ac:dyDescent="0.35">
      <c r="A4632" s="519" t="s">
        <v>2437</v>
      </c>
      <c r="B4632" s="520" t="s">
        <v>3976</v>
      </c>
      <c r="C4632" s="519" t="s">
        <v>32</v>
      </c>
      <c r="D4632" s="519" t="s">
        <v>3977</v>
      </c>
      <c r="E4632" s="905" t="s">
        <v>2446</v>
      </c>
      <c r="F4632" s="905"/>
      <c r="G4632" s="521" t="s">
        <v>89</v>
      </c>
      <c r="H4632" s="522">
        <v>6.6699999999999995E-5</v>
      </c>
      <c r="I4632" s="523">
        <v>625341.67000000004</v>
      </c>
      <c r="J4632" s="523">
        <v>41.71</v>
      </c>
    </row>
    <row r="4633" spans="1:10" s="358" customFormat="1" ht="14.5" thickTop="1" x14ac:dyDescent="0.3">
      <c r="A4633" s="647"/>
      <c r="B4633" s="647"/>
      <c r="C4633" s="647"/>
      <c r="D4633" s="647"/>
      <c r="E4633" s="647"/>
      <c r="F4633" s="647"/>
      <c r="G4633" s="647"/>
      <c r="H4633" s="647"/>
      <c r="I4633" s="647"/>
      <c r="J4633"/>
    </row>
    <row r="4634" spans="1:10" x14ac:dyDescent="0.3">
      <c r="A4634" s="516"/>
      <c r="B4634" s="517" t="s">
        <v>15</v>
      </c>
      <c r="C4634" s="516" t="s">
        <v>16</v>
      </c>
      <c r="D4634" s="516" t="s">
        <v>17</v>
      </c>
      <c r="E4634" s="904" t="s">
        <v>2431</v>
      </c>
      <c r="F4634" s="904"/>
      <c r="G4634" s="518" t="s">
        <v>18</v>
      </c>
      <c r="H4634" s="517" t="s">
        <v>19</v>
      </c>
      <c r="I4634" s="517" t="s">
        <v>20</v>
      </c>
      <c r="J4634" s="517" t="s">
        <v>23</v>
      </c>
    </row>
    <row r="4635" spans="1:10" s="358" customFormat="1" ht="38.25" customHeight="1" x14ac:dyDescent="0.3">
      <c r="A4635" s="642" t="s">
        <v>2432</v>
      </c>
      <c r="B4635" s="643" t="s">
        <v>3974</v>
      </c>
      <c r="C4635" s="642" t="s">
        <v>32</v>
      </c>
      <c r="D4635" s="642" t="s">
        <v>3975</v>
      </c>
      <c r="E4635" s="906" t="s">
        <v>2465</v>
      </c>
      <c r="F4635" s="906"/>
      <c r="G4635" s="644" t="s">
        <v>1901</v>
      </c>
      <c r="H4635" s="645">
        <v>1</v>
      </c>
      <c r="I4635" s="646">
        <v>51.63</v>
      </c>
      <c r="J4635" s="646">
        <v>51.63</v>
      </c>
    </row>
    <row r="4636" spans="1:10" ht="14.5" thickBot="1" x14ac:dyDescent="0.35">
      <c r="A4636" s="519" t="s">
        <v>2437</v>
      </c>
      <c r="B4636" s="520" t="s">
        <v>4485</v>
      </c>
      <c r="C4636" s="519" t="s">
        <v>125</v>
      </c>
      <c r="D4636" s="519" t="s">
        <v>4486</v>
      </c>
      <c r="E4636" s="905" t="s">
        <v>2442</v>
      </c>
      <c r="F4636" s="905"/>
      <c r="G4636" s="521" t="s">
        <v>2829</v>
      </c>
      <c r="H4636" s="522">
        <v>9.5500000000000007</v>
      </c>
      <c r="I4636" s="523">
        <v>5.4069000000000003</v>
      </c>
      <c r="J4636" s="523">
        <v>51.63</v>
      </c>
    </row>
    <row r="4637" spans="1:10" s="358" customFormat="1" ht="14.5" thickTop="1" x14ac:dyDescent="0.3">
      <c r="A4637" s="647"/>
      <c r="B4637" s="647"/>
      <c r="C4637" s="647"/>
      <c r="D4637" s="647"/>
      <c r="E4637" s="647"/>
      <c r="F4637" s="647"/>
      <c r="G4637" s="647"/>
      <c r="H4637" s="647"/>
      <c r="I4637" s="647"/>
      <c r="J4637"/>
    </row>
    <row r="4638" spans="1:10" x14ac:dyDescent="0.3">
      <c r="A4638" s="516"/>
      <c r="B4638" s="517" t="s">
        <v>15</v>
      </c>
      <c r="C4638" s="516" t="s">
        <v>16</v>
      </c>
      <c r="D4638" s="516" t="s">
        <v>17</v>
      </c>
      <c r="E4638" s="904" t="s">
        <v>2431</v>
      </c>
      <c r="F4638" s="904"/>
      <c r="G4638" s="518" t="s">
        <v>18</v>
      </c>
      <c r="H4638" s="517" t="s">
        <v>19</v>
      </c>
      <c r="I4638" s="517" t="s">
        <v>20</v>
      </c>
      <c r="J4638" s="517" t="s">
        <v>23</v>
      </c>
    </row>
    <row r="4639" spans="1:10" s="358" customFormat="1" ht="38.25" customHeight="1" x14ac:dyDescent="0.3">
      <c r="A4639" s="642" t="s">
        <v>2432</v>
      </c>
      <c r="B4639" s="643" t="s">
        <v>3049</v>
      </c>
      <c r="C4639" s="642" t="s">
        <v>32</v>
      </c>
      <c r="D4639" s="642" t="s">
        <v>3050</v>
      </c>
      <c r="E4639" s="906" t="s">
        <v>2465</v>
      </c>
      <c r="F4639" s="906"/>
      <c r="G4639" s="644" t="s">
        <v>103</v>
      </c>
      <c r="H4639" s="645">
        <v>1</v>
      </c>
      <c r="I4639" s="646">
        <v>24.36</v>
      </c>
      <c r="J4639" s="646">
        <v>24.36</v>
      </c>
    </row>
    <row r="4640" spans="1:10" ht="38.25" customHeight="1" x14ac:dyDescent="0.3">
      <c r="A4640" s="519" t="s">
        <v>2434</v>
      </c>
      <c r="B4640" s="520" t="s">
        <v>3978</v>
      </c>
      <c r="C4640" s="519" t="s">
        <v>32</v>
      </c>
      <c r="D4640" s="519" t="s">
        <v>3979</v>
      </c>
      <c r="E4640" s="905" t="s">
        <v>2465</v>
      </c>
      <c r="F4640" s="905"/>
      <c r="G4640" s="521" t="s">
        <v>1901</v>
      </c>
      <c r="H4640" s="522">
        <v>1</v>
      </c>
      <c r="I4640" s="523">
        <v>9.67</v>
      </c>
      <c r="J4640" s="523">
        <v>9.67</v>
      </c>
    </row>
    <row r="4641" spans="1:10" ht="38.25" customHeight="1" x14ac:dyDescent="0.3">
      <c r="A4641" s="519" t="s">
        <v>2434</v>
      </c>
      <c r="B4641" s="520" t="s">
        <v>3980</v>
      </c>
      <c r="C4641" s="519" t="s">
        <v>32</v>
      </c>
      <c r="D4641" s="519" t="s">
        <v>3981</v>
      </c>
      <c r="E4641" s="905" t="s">
        <v>2465</v>
      </c>
      <c r="F4641" s="905"/>
      <c r="G4641" s="521" t="s">
        <v>1901</v>
      </c>
      <c r="H4641" s="522">
        <v>1</v>
      </c>
      <c r="I4641" s="523">
        <v>12.1</v>
      </c>
      <c r="J4641" s="523">
        <v>12.1</v>
      </c>
    </row>
    <row r="4642" spans="1:10" ht="39" customHeight="1" thickBot="1" x14ac:dyDescent="0.35">
      <c r="A4642" s="519" t="s">
        <v>2434</v>
      </c>
      <c r="B4642" s="520" t="s">
        <v>3982</v>
      </c>
      <c r="C4642" s="519" t="s">
        <v>32</v>
      </c>
      <c r="D4642" s="519" t="s">
        <v>3983</v>
      </c>
      <c r="E4642" s="905" t="s">
        <v>2465</v>
      </c>
      <c r="F4642" s="905"/>
      <c r="G4642" s="521" t="s">
        <v>1901</v>
      </c>
      <c r="H4642" s="522">
        <v>1</v>
      </c>
      <c r="I4642" s="523">
        <v>2.59</v>
      </c>
      <c r="J4642" s="523">
        <v>2.59</v>
      </c>
    </row>
    <row r="4643" spans="1:10" s="358" customFormat="1" ht="14.5" thickTop="1" x14ac:dyDescent="0.3">
      <c r="A4643" s="647"/>
      <c r="B4643" s="647"/>
      <c r="C4643" s="647"/>
      <c r="D4643" s="647"/>
      <c r="E4643" s="647"/>
      <c r="F4643" s="647"/>
      <c r="G4643" s="647"/>
      <c r="H4643" s="647"/>
      <c r="I4643" s="647"/>
      <c r="J4643"/>
    </row>
    <row r="4644" spans="1:10" x14ac:dyDescent="0.3">
      <c r="A4644" s="516"/>
      <c r="B4644" s="517" t="s">
        <v>15</v>
      </c>
      <c r="C4644" s="516" t="s">
        <v>16</v>
      </c>
      <c r="D4644" s="516" t="s">
        <v>17</v>
      </c>
      <c r="E4644" s="904" t="s">
        <v>2431</v>
      </c>
      <c r="F4644" s="904"/>
      <c r="G4644" s="518" t="s">
        <v>18</v>
      </c>
      <c r="H4644" s="517" t="s">
        <v>19</v>
      </c>
      <c r="I4644" s="517" t="s">
        <v>20</v>
      </c>
      <c r="J4644" s="517" t="s">
        <v>23</v>
      </c>
    </row>
    <row r="4645" spans="1:10" s="358" customFormat="1" ht="38.25" customHeight="1" x14ac:dyDescent="0.3">
      <c r="A4645" s="642" t="s">
        <v>2432</v>
      </c>
      <c r="B4645" s="643" t="s">
        <v>3978</v>
      </c>
      <c r="C4645" s="642" t="s">
        <v>32</v>
      </c>
      <c r="D4645" s="642" t="s">
        <v>3979</v>
      </c>
      <c r="E4645" s="906" t="s">
        <v>2465</v>
      </c>
      <c r="F4645" s="906"/>
      <c r="G4645" s="644" t="s">
        <v>1901</v>
      </c>
      <c r="H4645" s="645">
        <v>1</v>
      </c>
      <c r="I4645" s="646">
        <v>9.67</v>
      </c>
      <c r="J4645" s="646">
        <v>9.67</v>
      </c>
    </row>
    <row r="4646" spans="1:10" ht="38.25" customHeight="1" thickBot="1" x14ac:dyDescent="0.35">
      <c r="A4646" s="519" t="s">
        <v>2437</v>
      </c>
      <c r="B4646" s="520" t="s">
        <v>3984</v>
      </c>
      <c r="C4646" s="519" t="s">
        <v>32</v>
      </c>
      <c r="D4646" s="519" t="s">
        <v>3985</v>
      </c>
      <c r="E4646" s="905" t="s">
        <v>2785</v>
      </c>
      <c r="F4646" s="905"/>
      <c r="G4646" s="521" t="s">
        <v>89</v>
      </c>
      <c r="H4646" s="522">
        <v>5.3300000000000001E-5</v>
      </c>
      <c r="I4646" s="523">
        <v>181554.32</v>
      </c>
      <c r="J4646" s="523">
        <v>9.67</v>
      </c>
    </row>
    <row r="4647" spans="1:10" ht="38.25" customHeight="1" thickTop="1" x14ac:dyDescent="0.3">
      <c r="A4647" s="647"/>
      <c r="B4647" s="647"/>
      <c r="C4647" s="647"/>
      <c r="D4647" s="647"/>
      <c r="E4647" s="647"/>
      <c r="F4647" s="647"/>
      <c r="G4647" s="647"/>
      <c r="H4647" s="647"/>
      <c r="I4647" s="647"/>
      <c r="J4647"/>
    </row>
    <row r="4648" spans="1:10" ht="38.25" customHeight="1" x14ac:dyDescent="0.3">
      <c r="A4648" s="516"/>
      <c r="B4648" s="517" t="s">
        <v>15</v>
      </c>
      <c r="C4648" s="516" t="s">
        <v>16</v>
      </c>
      <c r="D4648" s="516" t="s">
        <v>17</v>
      </c>
      <c r="E4648" s="904" t="s">
        <v>2431</v>
      </c>
      <c r="F4648" s="904"/>
      <c r="G4648" s="518" t="s">
        <v>18</v>
      </c>
      <c r="H4648" s="517" t="s">
        <v>19</v>
      </c>
      <c r="I4648" s="517" t="s">
        <v>20</v>
      </c>
      <c r="J4648" s="517" t="s">
        <v>23</v>
      </c>
    </row>
    <row r="4649" spans="1:10" ht="38.25" customHeight="1" x14ac:dyDescent="0.3">
      <c r="A4649" s="642" t="s">
        <v>2432</v>
      </c>
      <c r="B4649" s="643" t="s">
        <v>3982</v>
      </c>
      <c r="C4649" s="642" t="s">
        <v>32</v>
      </c>
      <c r="D4649" s="642" t="s">
        <v>3983</v>
      </c>
      <c r="E4649" s="906" t="s">
        <v>2465</v>
      </c>
      <c r="F4649" s="906"/>
      <c r="G4649" s="644" t="s">
        <v>1901</v>
      </c>
      <c r="H4649" s="645">
        <v>1</v>
      </c>
      <c r="I4649" s="646">
        <v>2.59</v>
      </c>
      <c r="J4649" s="646">
        <v>2.59</v>
      </c>
    </row>
    <row r="4650" spans="1:10" ht="38" thickBot="1" x14ac:dyDescent="0.35">
      <c r="A4650" s="519" t="s">
        <v>2437</v>
      </c>
      <c r="B4650" s="520" t="s">
        <v>3984</v>
      </c>
      <c r="C4650" s="519" t="s">
        <v>32</v>
      </c>
      <c r="D4650" s="519" t="s">
        <v>3985</v>
      </c>
      <c r="E4650" s="905" t="s">
        <v>2785</v>
      </c>
      <c r="F4650" s="905"/>
      <c r="G4650" s="521" t="s">
        <v>89</v>
      </c>
      <c r="H4650" s="522">
        <v>1.43E-5</v>
      </c>
      <c r="I4650" s="523">
        <v>181554.32</v>
      </c>
      <c r="J4650" s="523">
        <v>2.59</v>
      </c>
    </row>
    <row r="4651" spans="1:10" s="358" customFormat="1" ht="14.5" thickTop="1" x14ac:dyDescent="0.3">
      <c r="A4651" s="647"/>
      <c r="B4651" s="647"/>
      <c r="C4651" s="647"/>
      <c r="D4651" s="647"/>
      <c r="E4651" s="647"/>
      <c r="F4651" s="647"/>
      <c r="G4651" s="647"/>
      <c r="H4651" s="647"/>
      <c r="I4651" s="647"/>
      <c r="J4651"/>
    </row>
    <row r="4652" spans="1:10" x14ac:dyDescent="0.3">
      <c r="A4652" s="516"/>
      <c r="B4652" s="517" t="s">
        <v>15</v>
      </c>
      <c r="C4652" s="516" t="s">
        <v>16</v>
      </c>
      <c r="D4652" s="516" t="s">
        <v>17</v>
      </c>
      <c r="E4652" s="904" t="s">
        <v>2431</v>
      </c>
      <c r="F4652" s="904"/>
      <c r="G4652" s="518" t="s">
        <v>18</v>
      </c>
      <c r="H4652" s="517" t="s">
        <v>19</v>
      </c>
      <c r="I4652" s="517" t="s">
        <v>20</v>
      </c>
      <c r="J4652" s="517" t="s">
        <v>23</v>
      </c>
    </row>
    <row r="4653" spans="1:10" s="358" customFormat="1" ht="38.25" customHeight="1" x14ac:dyDescent="0.3">
      <c r="A4653" s="642" t="s">
        <v>2432</v>
      </c>
      <c r="B4653" s="643" t="s">
        <v>3980</v>
      </c>
      <c r="C4653" s="642" t="s">
        <v>32</v>
      </c>
      <c r="D4653" s="642" t="s">
        <v>3981</v>
      </c>
      <c r="E4653" s="906" t="s">
        <v>2465</v>
      </c>
      <c r="F4653" s="906"/>
      <c r="G4653" s="644" t="s">
        <v>1901</v>
      </c>
      <c r="H4653" s="645">
        <v>1</v>
      </c>
      <c r="I4653" s="646">
        <v>12.1</v>
      </c>
      <c r="J4653" s="646">
        <v>12.1</v>
      </c>
    </row>
    <row r="4654" spans="1:10" ht="38" thickBot="1" x14ac:dyDescent="0.35">
      <c r="A4654" s="519" t="s">
        <v>2437</v>
      </c>
      <c r="B4654" s="520" t="s">
        <v>3984</v>
      </c>
      <c r="C4654" s="519" t="s">
        <v>32</v>
      </c>
      <c r="D4654" s="519" t="s">
        <v>3985</v>
      </c>
      <c r="E4654" s="905" t="s">
        <v>2785</v>
      </c>
      <c r="F4654" s="905"/>
      <c r="G4654" s="521" t="s">
        <v>89</v>
      </c>
      <c r="H4654" s="522">
        <v>6.6699999999999995E-5</v>
      </c>
      <c r="I4654" s="523">
        <v>181554.32</v>
      </c>
      <c r="J4654" s="523">
        <v>12.1</v>
      </c>
    </row>
    <row r="4655" spans="1:10" s="358" customFormat="1" ht="14.5" thickTop="1" x14ac:dyDescent="0.3">
      <c r="A4655" s="647"/>
      <c r="B4655" s="647"/>
      <c r="C4655" s="647"/>
      <c r="D4655" s="647"/>
      <c r="E4655" s="647"/>
      <c r="F4655" s="647"/>
      <c r="G4655" s="647"/>
      <c r="H4655" s="647"/>
      <c r="I4655" s="647"/>
      <c r="J4655"/>
    </row>
    <row r="4656" spans="1:10" x14ac:dyDescent="0.3">
      <c r="A4656" s="516"/>
      <c r="B4656" s="517" t="s">
        <v>15</v>
      </c>
      <c r="C4656" s="516" t="s">
        <v>16</v>
      </c>
      <c r="D4656" s="516" t="s">
        <v>17</v>
      </c>
      <c r="E4656" s="904" t="s">
        <v>2431</v>
      </c>
      <c r="F4656" s="904"/>
      <c r="G4656" s="518" t="s">
        <v>18</v>
      </c>
      <c r="H4656" s="517" t="s">
        <v>19</v>
      </c>
      <c r="I4656" s="517" t="s">
        <v>20</v>
      </c>
      <c r="J4656" s="517" t="s">
        <v>23</v>
      </c>
    </row>
    <row r="4657" spans="1:10" s="358" customFormat="1" ht="38.25" customHeight="1" x14ac:dyDescent="0.3">
      <c r="A4657" s="642" t="s">
        <v>2432</v>
      </c>
      <c r="B4657" s="643" t="s">
        <v>2631</v>
      </c>
      <c r="C4657" s="642" t="s">
        <v>32</v>
      </c>
      <c r="D4657" s="642" t="s">
        <v>2632</v>
      </c>
      <c r="E4657" s="906" t="s">
        <v>2465</v>
      </c>
      <c r="F4657" s="906"/>
      <c r="G4657" s="644" t="s">
        <v>110</v>
      </c>
      <c r="H4657" s="645">
        <v>1</v>
      </c>
      <c r="I4657" s="646">
        <v>25.9</v>
      </c>
      <c r="J4657" s="646">
        <v>25.9</v>
      </c>
    </row>
    <row r="4658" spans="1:10" ht="25" x14ac:dyDescent="0.3">
      <c r="A4658" s="519" t="s">
        <v>2434</v>
      </c>
      <c r="B4658" s="520" t="s">
        <v>2901</v>
      </c>
      <c r="C4658" s="519" t="s">
        <v>32</v>
      </c>
      <c r="D4658" s="519" t="s">
        <v>2902</v>
      </c>
      <c r="E4658" s="905" t="s">
        <v>2433</v>
      </c>
      <c r="F4658" s="905"/>
      <c r="G4658" s="521" t="s">
        <v>1901</v>
      </c>
      <c r="H4658" s="522">
        <v>1</v>
      </c>
      <c r="I4658" s="523">
        <v>25.78</v>
      </c>
      <c r="J4658" s="523">
        <v>25.78</v>
      </c>
    </row>
    <row r="4659" spans="1:10" s="358" customFormat="1" ht="25.5" customHeight="1" x14ac:dyDescent="0.3">
      <c r="A4659" s="519" t="s">
        <v>2434</v>
      </c>
      <c r="B4659" s="520" t="s">
        <v>3986</v>
      </c>
      <c r="C4659" s="519" t="s">
        <v>32</v>
      </c>
      <c r="D4659" s="519" t="s">
        <v>3987</v>
      </c>
      <c r="E4659" s="905" t="s">
        <v>2465</v>
      </c>
      <c r="F4659" s="905"/>
      <c r="G4659" s="521" t="s">
        <v>1901</v>
      </c>
      <c r="H4659" s="522">
        <v>1</v>
      </c>
      <c r="I4659" s="523">
        <v>0.1</v>
      </c>
      <c r="J4659" s="523">
        <v>0.1</v>
      </c>
    </row>
    <row r="4660" spans="1:10" ht="26.25" customHeight="1" thickBot="1" x14ac:dyDescent="0.35">
      <c r="A4660" s="519" t="s">
        <v>2434</v>
      </c>
      <c r="B4660" s="520" t="s">
        <v>3988</v>
      </c>
      <c r="C4660" s="519" t="s">
        <v>32</v>
      </c>
      <c r="D4660" s="519" t="s">
        <v>3989</v>
      </c>
      <c r="E4660" s="905" t="s">
        <v>2465</v>
      </c>
      <c r="F4660" s="905"/>
      <c r="G4660" s="521" t="s">
        <v>1901</v>
      </c>
      <c r="H4660" s="522">
        <v>1</v>
      </c>
      <c r="I4660" s="523">
        <v>0.02</v>
      </c>
      <c r="J4660" s="523">
        <v>0.02</v>
      </c>
    </row>
    <row r="4661" spans="1:10" s="358" customFormat="1" ht="38.25" customHeight="1" thickTop="1" x14ac:dyDescent="0.3">
      <c r="A4661" s="647"/>
      <c r="B4661" s="647"/>
      <c r="C4661" s="647"/>
      <c r="D4661" s="647"/>
      <c r="E4661" s="647"/>
      <c r="F4661" s="647"/>
      <c r="G4661" s="647"/>
      <c r="H4661" s="647"/>
      <c r="I4661" s="647"/>
      <c r="J4661"/>
    </row>
    <row r="4662" spans="1:10" x14ac:dyDescent="0.3">
      <c r="A4662" s="516"/>
      <c r="B4662" s="517" t="s">
        <v>15</v>
      </c>
      <c r="C4662" s="516" t="s">
        <v>16</v>
      </c>
      <c r="D4662" s="516" t="s">
        <v>17</v>
      </c>
      <c r="E4662" s="904" t="s">
        <v>2431</v>
      </c>
      <c r="F4662" s="904"/>
      <c r="G4662" s="518" t="s">
        <v>18</v>
      </c>
      <c r="H4662" s="517" t="s">
        <v>19</v>
      </c>
      <c r="I4662" s="517" t="s">
        <v>20</v>
      </c>
      <c r="J4662" s="517" t="s">
        <v>23</v>
      </c>
    </row>
    <row r="4663" spans="1:10" s="358" customFormat="1" ht="25.5" customHeight="1" x14ac:dyDescent="0.3">
      <c r="A4663" s="642" t="s">
        <v>2432</v>
      </c>
      <c r="B4663" s="643" t="s">
        <v>2629</v>
      </c>
      <c r="C4663" s="642" t="s">
        <v>32</v>
      </c>
      <c r="D4663" s="642" t="s">
        <v>2630</v>
      </c>
      <c r="E4663" s="906" t="s">
        <v>2465</v>
      </c>
      <c r="F4663" s="906"/>
      <c r="G4663" s="644" t="s">
        <v>103</v>
      </c>
      <c r="H4663" s="645">
        <v>1</v>
      </c>
      <c r="I4663" s="646">
        <v>26.94</v>
      </c>
      <c r="J4663" s="646">
        <v>26.94</v>
      </c>
    </row>
    <row r="4664" spans="1:10" ht="25" x14ac:dyDescent="0.3">
      <c r="A4664" s="519" t="s">
        <v>2434</v>
      </c>
      <c r="B4664" s="520" t="s">
        <v>2901</v>
      </c>
      <c r="C4664" s="519" t="s">
        <v>32</v>
      </c>
      <c r="D4664" s="519" t="s">
        <v>2902</v>
      </c>
      <c r="E4664" s="905" t="s">
        <v>2433</v>
      </c>
      <c r="F4664" s="905"/>
      <c r="G4664" s="521" t="s">
        <v>1901</v>
      </c>
      <c r="H4664" s="522">
        <v>1</v>
      </c>
      <c r="I4664" s="523">
        <v>25.78</v>
      </c>
      <c r="J4664" s="523">
        <v>25.78</v>
      </c>
    </row>
    <row r="4665" spans="1:10" s="358" customFormat="1" ht="25.5" customHeight="1" x14ac:dyDescent="0.3">
      <c r="A4665" s="519" t="s">
        <v>2434</v>
      </c>
      <c r="B4665" s="520" t="s">
        <v>3986</v>
      </c>
      <c r="C4665" s="519" t="s">
        <v>32</v>
      </c>
      <c r="D4665" s="519" t="s">
        <v>3987</v>
      </c>
      <c r="E4665" s="905" t="s">
        <v>2465</v>
      </c>
      <c r="F4665" s="905"/>
      <c r="G4665" s="521" t="s">
        <v>1901</v>
      </c>
      <c r="H4665" s="522">
        <v>1</v>
      </c>
      <c r="I4665" s="523">
        <v>0.1</v>
      </c>
      <c r="J4665" s="523">
        <v>0.1</v>
      </c>
    </row>
    <row r="4666" spans="1:10" ht="25.5" customHeight="1" x14ac:dyDescent="0.3">
      <c r="A4666" s="519" t="s">
        <v>2434</v>
      </c>
      <c r="B4666" s="520" t="s">
        <v>3988</v>
      </c>
      <c r="C4666" s="519" t="s">
        <v>32</v>
      </c>
      <c r="D4666" s="519" t="s">
        <v>3989</v>
      </c>
      <c r="E4666" s="905" t="s">
        <v>2465</v>
      </c>
      <c r="F4666" s="905"/>
      <c r="G4666" s="521" t="s">
        <v>1901</v>
      </c>
      <c r="H4666" s="522">
        <v>1</v>
      </c>
      <c r="I4666" s="523">
        <v>0.02</v>
      </c>
      <c r="J4666" s="523">
        <v>0.02</v>
      </c>
    </row>
    <row r="4667" spans="1:10" s="358" customFormat="1" ht="25.5" customHeight="1" x14ac:dyDescent="0.3">
      <c r="A4667" s="519" t="s">
        <v>2434</v>
      </c>
      <c r="B4667" s="520" t="s">
        <v>3990</v>
      </c>
      <c r="C4667" s="519" t="s">
        <v>32</v>
      </c>
      <c r="D4667" s="519" t="s">
        <v>3991</v>
      </c>
      <c r="E4667" s="905" t="s">
        <v>2465</v>
      </c>
      <c r="F4667" s="905"/>
      <c r="G4667" s="521" t="s">
        <v>1901</v>
      </c>
      <c r="H4667" s="522">
        <v>1</v>
      </c>
      <c r="I4667" s="523">
        <v>7.0000000000000007E-2</v>
      </c>
      <c r="J4667" s="523">
        <v>7.0000000000000007E-2</v>
      </c>
    </row>
    <row r="4668" spans="1:10" ht="39" customHeight="1" thickBot="1" x14ac:dyDescent="0.35">
      <c r="A4668" s="519" t="s">
        <v>2434</v>
      </c>
      <c r="B4668" s="520" t="s">
        <v>3992</v>
      </c>
      <c r="C4668" s="519" t="s">
        <v>32</v>
      </c>
      <c r="D4668" s="519" t="s">
        <v>3993</v>
      </c>
      <c r="E4668" s="905" t="s">
        <v>2465</v>
      </c>
      <c r="F4668" s="905"/>
      <c r="G4668" s="521" t="s">
        <v>1901</v>
      </c>
      <c r="H4668" s="522">
        <v>1</v>
      </c>
      <c r="I4668" s="523">
        <v>0.97</v>
      </c>
      <c r="J4668" s="523">
        <v>0.97</v>
      </c>
    </row>
    <row r="4669" spans="1:10" s="358" customFormat="1" ht="38.25" customHeight="1" thickTop="1" x14ac:dyDescent="0.3">
      <c r="A4669" s="647"/>
      <c r="B4669" s="647"/>
      <c r="C4669" s="647"/>
      <c r="D4669" s="647"/>
      <c r="E4669" s="647"/>
      <c r="F4669" s="647"/>
      <c r="G4669" s="647"/>
      <c r="H4669" s="647"/>
      <c r="I4669" s="647"/>
      <c r="J4669"/>
    </row>
    <row r="4670" spans="1:10" ht="38.25" customHeight="1" x14ac:dyDescent="0.3">
      <c r="A4670" s="516"/>
      <c r="B4670" s="517" t="s">
        <v>15</v>
      </c>
      <c r="C4670" s="516" t="s">
        <v>16</v>
      </c>
      <c r="D4670" s="516" t="s">
        <v>17</v>
      </c>
      <c r="E4670" s="904" t="s">
        <v>2431</v>
      </c>
      <c r="F4670" s="904"/>
      <c r="G4670" s="518" t="s">
        <v>18</v>
      </c>
      <c r="H4670" s="517" t="s">
        <v>19</v>
      </c>
      <c r="I4670" s="517" t="s">
        <v>20</v>
      </c>
      <c r="J4670" s="517" t="s">
        <v>23</v>
      </c>
    </row>
    <row r="4671" spans="1:10" ht="38.25" customHeight="1" x14ac:dyDescent="0.3">
      <c r="A4671" s="642" t="s">
        <v>2432</v>
      </c>
      <c r="B4671" s="643" t="s">
        <v>3986</v>
      </c>
      <c r="C4671" s="642" t="s">
        <v>32</v>
      </c>
      <c r="D4671" s="642" t="s">
        <v>3987</v>
      </c>
      <c r="E4671" s="906" t="s">
        <v>2465</v>
      </c>
      <c r="F4671" s="906"/>
      <c r="G4671" s="644" t="s">
        <v>1901</v>
      </c>
      <c r="H4671" s="645">
        <v>1</v>
      </c>
      <c r="I4671" s="646">
        <v>0.1</v>
      </c>
      <c r="J4671" s="646">
        <v>0.1</v>
      </c>
    </row>
    <row r="4672" spans="1:10" ht="39" customHeight="1" thickBot="1" x14ac:dyDescent="0.35">
      <c r="A4672" s="519" t="s">
        <v>2437</v>
      </c>
      <c r="B4672" s="520" t="s">
        <v>3994</v>
      </c>
      <c r="C4672" s="519" t="s">
        <v>32</v>
      </c>
      <c r="D4672" s="519" t="s">
        <v>3995</v>
      </c>
      <c r="E4672" s="905" t="s">
        <v>2442</v>
      </c>
      <c r="F4672" s="905"/>
      <c r="G4672" s="521" t="s">
        <v>89</v>
      </c>
      <c r="H4672" s="522">
        <v>7.2000000000000002E-5</v>
      </c>
      <c r="I4672" s="523">
        <v>1504.72</v>
      </c>
      <c r="J4672" s="523">
        <v>0.1</v>
      </c>
    </row>
    <row r="4673" spans="1:10" s="358" customFormat="1" ht="14.5" thickTop="1" x14ac:dyDescent="0.3">
      <c r="A4673" s="647"/>
      <c r="B4673" s="647"/>
      <c r="C4673" s="647"/>
      <c r="D4673" s="647"/>
      <c r="E4673" s="647"/>
      <c r="F4673" s="647"/>
      <c r="G4673" s="647"/>
      <c r="H4673" s="647"/>
      <c r="I4673" s="647"/>
      <c r="J4673"/>
    </row>
    <row r="4674" spans="1:10" x14ac:dyDescent="0.3">
      <c r="A4674" s="516"/>
      <c r="B4674" s="517" t="s">
        <v>15</v>
      </c>
      <c r="C4674" s="516" t="s">
        <v>16</v>
      </c>
      <c r="D4674" s="516" t="s">
        <v>17</v>
      </c>
      <c r="E4674" s="904" t="s">
        <v>2431</v>
      </c>
      <c r="F4674" s="904"/>
      <c r="G4674" s="518" t="s">
        <v>18</v>
      </c>
      <c r="H4674" s="517" t="s">
        <v>19</v>
      </c>
      <c r="I4674" s="517" t="s">
        <v>20</v>
      </c>
      <c r="J4674" s="517" t="s">
        <v>23</v>
      </c>
    </row>
    <row r="4675" spans="1:10" s="358" customFormat="1" ht="38.25" customHeight="1" x14ac:dyDescent="0.3">
      <c r="A4675" s="642" t="s">
        <v>2432</v>
      </c>
      <c r="B4675" s="643" t="s">
        <v>3988</v>
      </c>
      <c r="C4675" s="642" t="s">
        <v>32</v>
      </c>
      <c r="D4675" s="642" t="s">
        <v>3989</v>
      </c>
      <c r="E4675" s="906" t="s">
        <v>2465</v>
      </c>
      <c r="F4675" s="906"/>
      <c r="G4675" s="644" t="s">
        <v>1901</v>
      </c>
      <c r="H4675" s="645">
        <v>1</v>
      </c>
      <c r="I4675" s="646">
        <v>0.02</v>
      </c>
      <c r="J4675" s="646">
        <v>0.02</v>
      </c>
    </row>
    <row r="4676" spans="1:10" ht="25.5" thickBot="1" x14ac:dyDescent="0.35">
      <c r="A4676" s="519" t="s">
        <v>2437</v>
      </c>
      <c r="B4676" s="520" t="s">
        <v>3994</v>
      </c>
      <c r="C4676" s="519" t="s">
        <v>32</v>
      </c>
      <c r="D4676" s="519" t="s">
        <v>3995</v>
      </c>
      <c r="E4676" s="905" t="s">
        <v>2442</v>
      </c>
      <c r="F4676" s="905"/>
      <c r="G4676" s="521" t="s">
        <v>89</v>
      </c>
      <c r="H4676" s="522">
        <v>1.4800000000000001E-5</v>
      </c>
      <c r="I4676" s="523">
        <v>1504.72</v>
      </c>
      <c r="J4676" s="523">
        <v>0.02</v>
      </c>
    </row>
    <row r="4677" spans="1:10" s="358" customFormat="1" ht="14.5" thickTop="1" x14ac:dyDescent="0.3">
      <c r="A4677" s="647"/>
      <c r="B4677" s="647"/>
      <c r="C4677" s="647"/>
      <c r="D4677" s="647"/>
      <c r="E4677" s="647"/>
      <c r="F4677" s="647"/>
      <c r="G4677" s="647"/>
      <c r="H4677" s="647"/>
      <c r="I4677" s="647"/>
      <c r="J4677"/>
    </row>
    <row r="4678" spans="1:10" x14ac:dyDescent="0.3">
      <c r="A4678" s="516"/>
      <c r="B4678" s="517" t="s">
        <v>15</v>
      </c>
      <c r="C4678" s="516" t="s">
        <v>16</v>
      </c>
      <c r="D4678" s="516" t="s">
        <v>17</v>
      </c>
      <c r="E4678" s="904" t="s">
        <v>2431</v>
      </c>
      <c r="F4678" s="904"/>
      <c r="G4678" s="518" t="s">
        <v>18</v>
      </c>
      <c r="H4678" s="517" t="s">
        <v>19</v>
      </c>
      <c r="I4678" s="517" t="s">
        <v>20</v>
      </c>
      <c r="J4678" s="517" t="s">
        <v>23</v>
      </c>
    </row>
    <row r="4679" spans="1:10" s="358" customFormat="1" ht="38.25" customHeight="1" x14ac:dyDescent="0.3">
      <c r="A4679" s="642" t="s">
        <v>2432</v>
      </c>
      <c r="B4679" s="643" t="s">
        <v>3990</v>
      </c>
      <c r="C4679" s="642" t="s">
        <v>32</v>
      </c>
      <c r="D4679" s="642" t="s">
        <v>3991</v>
      </c>
      <c r="E4679" s="906" t="s">
        <v>2465</v>
      </c>
      <c r="F4679" s="906"/>
      <c r="G4679" s="644" t="s">
        <v>1901</v>
      </c>
      <c r="H4679" s="645">
        <v>1</v>
      </c>
      <c r="I4679" s="646">
        <v>7.0000000000000007E-2</v>
      </c>
      <c r="J4679" s="646">
        <v>7.0000000000000007E-2</v>
      </c>
    </row>
    <row r="4680" spans="1:10" ht="25.5" thickBot="1" x14ac:dyDescent="0.35">
      <c r="A4680" s="519" t="s">
        <v>2437</v>
      </c>
      <c r="B4680" s="520" t="s">
        <v>3994</v>
      </c>
      <c r="C4680" s="519" t="s">
        <v>32</v>
      </c>
      <c r="D4680" s="519" t="s">
        <v>3995</v>
      </c>
      <c r="E4680" s="905" t="s">
        <v>2442</v>
      </c>
      <c r="F4680" s="905"/>
      <c r="G4680" s="521" t="s">
        <v>89</v>
      </c>
      <c r="H4680" s="522">
        <v>5.0000000000000002E-5</v>
      </c>
      <c r="I4680" s="523">
        <v>1504.72</v>
      </c>
      <c r="J4680" s="523">
        <v>7.0000000000000007E-2</v>
      </c>
    </row>
    <row r="4681" spans="1:10" s="358" customFormat="1" ht="14.5" thickTop="1" x14ac:dyDescent="0.3">
      <c r="A4681" s="647"/>
      <c r="B4681" s="647"/>
      <c r="C4681" s="647"/>
      <c r="D4681" s="647"/>
      <c r="E4681" s="647"/>
      <c r="F4681" s="647"/>
      <c r="G4681" s="647"/>
      <c r="H4681" s="647"/>
      <c r="I4681" s="647"/>
      <c r="J4681"/>
    </row>
    <row r="4682" spans="1:10" x14ac:dyDescent="0.3">
      <c r="A4682" s="516"/>
      <c r="B4682" s="517" t="s">
        <v>15</v>
      </c>
      <c r="C4682" s="516" t="s">
        <v>16</v>
      </c>
      <c r="D4682" s="516" t="s">
        <v>17</v>
      </c>
      <c r="E4682" s="904" t="s">
        <v>2431</v>
      </c>
      <c r="F4682" s="904"/>
      <c r="G4682" s="518" t="s">
        <v>18</v>
      </c>
      <c r="H4682" s="517" t="s">
        <v>19</v>
      </c>
      <c r="I4682" s="517" t="s">
        <v>20</v>
      </c>
      <c r="J4682" s="517" t="s">
        <v>23</v>
      </c>
    </row>
    <row r="4683" spans="1:10" s="358" customFormat="1" ht="38.25" customHeight="1" x14ac:dyDescent="0.3">
      <c r="A4683" s="642" t="s">
        <v>2432</v>
      </c>
      <c r="B4683" s="643" t="s">
        <v>3992</v>
      </c>
      <c r="C4683" s="642" t="s">
        <v>32</v>
      </c>
      <c r="D4683" s="642" t="s">
        <v>3993</v>
      </c>
      <c r="E4683" s="906" t="s">
        <v>2465</v>
      </c>
      <c r="F4683" s="906"/>
      <c r="G4683" s="644" t="s">
        <v>1901</v>
      </c>
      <c r="H4683" s="645">
        <v>1</v>
      </c>
      <c r="I4683" s="646">
        <v>0.97</v>
      </c>
      <c r="J4683" s="646">
        <v>0.97</v>
      </c>
    </row>
    <row r="4684" spans="1:10" ht="14.5" thickBot="1" x14ac:dyDescent="0.35">
      <c r="A4684" s="519" t="s">
        <v>2437</v>
      </c>
      <c r="B4684" s="520" t="s">
        <v>3347</v>
      </c>
      <c r="C4684" s="519" t="s">
        <v>32</v>
      </c>
      <c r="D4684" s="519" t="s">
        <v>3348</v>
      </c>
      <c r="E4684" s="905" t="s">
        <v>2442</v>
      </c>
      <c r="F4684" s="905"/>
      <c r="G4684" s="521" t="s">
        <v>2532</v>
      </c>
      <c r="H4684" s="522">
        <v>1.36</v>
      </c>
      <c r="I4684" s="523">
        <v>0.72</v>
      </c>
      <c r="J4684" s="523">
        <v>0.97</v>
      </c>
    </row>
    <row r="4685" spans="1:10" s="358" customFormat="1" ht="14.5" thickTop="1" x14ac:dyDescent="0.3">
      <c r="A4685" s="647"/>
      <c r="B4685" s="647"/>
      <c r="C4685" s="647"/>
      <c r="D4685" s="647"/>
      <c r="E4685" s="647"/>
      <c r="F4685" s="647"/>
      <c r="G4685" s="647"/>
      <c r="H4685" s="647"/>
      <c r="I4685" s="647"/>
      <c r="J4685"/>
    </row>
    <row r="4686" spans="1:10" x14ac:dyDescent="0.3">
      <c r="A4686" s="516"/>
      <c r="B4686" s="517" t="s">
        <v>15</v>
      </c>
      <c r="C4686" s="516" t="s">
        <v>16</v>
      </c>
      <c r="D4686" s="516" t="s">
        <v>17</v>
      </c>
      <c r="E4686" s="904" t="s">
        <v>2431</v>
      </c>
      <c r="F4686" s="904"/>
      <c r="G4686" s="518" t="s">
        <v>18</v>
      </c>
      <c r="H4686" s="517" t="s">
        <v>19</v>
      </c>
      <c r="I4686" s="517" t="s">
        <v>20</v>
      </c>
      <c r="J4686" s="517" t="s">
        <v>23</v>
      </c>
    </row>
    <row r="4687" spans="1:10" s="358" customFormat="1" ht="25.5" customHeight="1" x14ac:dyDescent="0.3">
      <c r="A4687" s="642" t="s">
        <v>2432</v>
      </c>
      <c r="B4687" s="643" t="s">
        <v>3182</v>
      </c>
      <c r="C4687" s="642" t="s">
        <v>32</v>
      </c>
      <c r="D4687" s="642" t="s">
        <v>3183</v>
      </c>
      <c r="E4687" s="906" t="s">
        <v>2433</v>
      </c>
      <c r="F4687" s="906"/>
      <c r="G4687" s="644" t="s">
        <v>1901</v>
      </c>
      <c r="H4687" s="645">
        <v>1</v>
      </c>
      <c r="I4687" s="646">
        <v>30.85</v>
      </c>
      <c r="J4687" s="646">
        <v>30.85</v>
      </c>
    </row>
    <row r="4688" spans="1:10" ht="25" x14ac:dyDescent="0.3">
      <c r="A4688" s="519" t="s">
        <v>2434</v>
      </c>
      <c r="B4688" s="520" t="s">
        <v>3574</v>
      </c>
      <c r="C4688" s="519" t="s">
        <v>32</v>
      </c>
      <c r="D4688" s="519" t="s">
        <v>3575</v>
      </c>
      <c r="E4688" s="905" t="s">
        <v>2433</v>
      </c>
      <c r="F4688" s="905"/>
      <c r="G4688" s="521" t="s">
        <v>1901</v>
      </c>
      <c r="H4688" s="522">
        <v>1</v>
      </c>
      <c r="I4688" s="523">
        <v>0.28000000000000003</v>
      </c>
      <c r="J4688" s="523">
        <v>0.28000000000000003</v>
      </c>
    </row>
    <row r="4689" spans="1:10" ht="25.5" customHeight="1" x14ac:dyDescent="0.3">
      <c r="A4689" s="519" t="s">
        <v>2437</v>
      </c>
      <c r="B4689" s="520" t="s">
        <v>3576</v>
      </c>
      <c r="C4689" s="519" t="s">
        <v>32</v>
      </c>
      <c r="D4689" s="519" t="s">
        <v>3577</v>
      </c>
      <c r="E4689" s="905" t="s">
        <v>2440</v>
      </c>
      <c r="F4689" s="905"/>
      <c r="G4689" s="521" t="s">
        <v>1901</v>
      </c>
      <c r="H4689" s="522">
        <v>1</v>
      </c>
      <c r="I4689" s="523">
        <v>21.83</v>
      </c>
      <c r="J4689" s="523">
        <v>21.83</v>
      </c>
    </row>
    <row r="4690" spans="1:10" ht="26.25" customHeight="1" x14ac:dyDescent="0.3">
      <c r="A4690" s="519" t="s">
        <v>2437</v>
      </c>
      <c r="B4690" s="520" t="s">
        <v>3257</v>
      </c>
      <c r="C4690" s="519" t="s">
        <v>32</v>
      </c>
      <c r="D4690" s="519" t="s">
        <v>4306</v>
      </c>
      <c r="E4690" s="905" t="s">
        <v>2856</v>
      </c>
      <c r="F4690" s="905"/>
      <c r="G4690" s="521" t="s">
        <v>1901</v>
      </c>
      <c r="H4690" s="522">
        <v>1</v>
      </c>
      <c r="I4690" s="523">
        <v>3.8</v>
      </c>
      <c r="J4690" s="523">
        <v>3.8</v>
      </c>
    </row>
    <row r="4691" spans="1:10" s="358" customFormat="1" ht="25" x14ac:dyDescent="0.3">
      <c r="A4691" s="519" t="s">
        <v>2437</v>
      </c>
      <c r="B4691" s="520" t="s">
        <v>3258</v>
      </c>
      <c r="C4691" s="519" t="s">
        <v>32</v>
      </c>
      <c r="D4691" s="519" t="s">
        <v>4307</v>
      </c>
      <c r="E4691" s="905" t="s">
        <v>3259</v>
      </c>
      <c r="F4691" s="905"/>
      <c r="G4691" s="521" t="s">
        <v>1901</v>
      </c>
      <c r="H4691" s="522">
        <v>1</v>
      </c>
      <c r="I4691" s="523">
        <v>1.5</v>
      </c>
      <c r="J4691" s="523">
        <v>1.5</v>
      </c>
    </row>
    <row r="4692" spans="1:10" ht="25" x14ac:dyDescent="0.3">
      <c r="A4692" s="519" t="s">
        <v>2437</v>
      </c>
      <c r="B4692" s="520" t="s">
        <v>3260</v>
      </c>
      <c r="C4692" s="519" t="s">
        <v>32</v>
      </c>
      <c r="D4692" s="519" t="s">
        <v>4308</v>
      </c>
      <c r="E4692" s="905" t="s">
        <v>2856</v>
      </c>
      <c r="F4692" s="905"/>
      <c r="G4692" s="521" t="s">
        <v>1901</v>
      </c>
      <c r="H4692" s="522">
        <v>1</v>
      </c>
      <c r="I4692" s="523">
        <v>1.34</v>
      </c>
      <c r="J4692" s="523">
        <v>1.34</v>
      </c>
    </row>
    <row r="4693" spans="1:10" s="358" customFormat="1" ht="25.5" customHeight="1" x14ac:dyDescent="0.3">
      <c r="A4693" s="519" t="s">
        <v>2437</v>
      </c>
      <c r="B4693" s="520" t="s">
        <v>3261</v>
      </c>
      <c r="C4693" s="519" t="s">
        <v>32</v>
      </c>
      <c r="D4693" s="519" t="s">
        <v>4309</v>
      </c>
      <c r="E4693" s="905" t="s">
        <v>2535</v>
      </c>
      <c r="F4693" s="905"/>
      <c r="G4693" s="521" t="s">
        <v>1901</v>
      </c>
      <c r="H4693" s="522">
        <v>1</v>
      </c>
      <c r="I4693" s="523">
        <v>0.04</v>
      </c>
      <c r="J4693" s="523">
        <v>0.04</v>
      </c>
    </row>
    <row r="4694" spans="1:10" ht="25" x14ac:dyDescent="0.3">
      <c r="A4694" s="519" t="s">
        <v>2437</v>
      </c>
      <c r="B4694" s="520" t="s">
        <v>3262</v>
      </c>
      <c r="C4694" s="519" t="s">
        <v>32</v>
      </c>
      <c r="D4694" s="519" t="s">
        <v>3263</v>
      </c>
      <c r="E4694" s="905" t="s">
        <v>2446</v>
      </c>
      <c r="F4694" s="905"/>
      <c r="G4694" s="521" t="s">
        <v>1901</v>
      </c>
      <c r="H4694" s="522">
        <v>1</v>
      </c>
      <c r="I4694" s="523">
        <v>0.82</v>
      </c>
      <c r="J4694" s="523">
        <v>0.82</v>
      </c>
    </row>
    <row r="4695" spans="1:10" ht="25.5" customHeight="1" thickBot="1" x14ac:dyDescent="0.35">
      <c r="A4695" s="519" t="s">
        <v>2437</v>
      </c>
      <c r="B4695" s="520" t="s">
        <v>3264</v>
      </c>
      <c r="C4695" s="519" t="s">
        <v>32</v>
      </c>
      <c r="D4695" s="519" t="s">
        <v>3265</v>
      </c>
      <c r="E4695" s="905" t="s">
        <v>2446</v>
      </c>
      <c r="F4695" s="905"/>
      <c r="G4695" s="521" t="s">
        <v>1901</v>
      </c>
      <c r="H4695" s="522">
        <v>1</v>
      </c>
      <c r="I4695" s="523">
        <v>1.24</v>
      </c>
      <c r="J4695" s="523">
        <v>1.24</v>
      </c>
    </row>
    <row r="4696" spans="1:10" ht="25.5" customHeight="1" thickTop="1" x14ac:dyDescent="0.3">
      <c r="A4696" s="647"/>
      <c r="B4696" s="647"/>
      <c r="C4696" s="647"/>
      <c r="D4696" s="647"/>
      <c r="E4696" s="647"/>
      <c r="F4696" s="647"/>
      <c r="G4696" s="647"/>
      <c r="H4696" s="647"/>
      <c r="I4696" s="647"/>
      <c r="J4696"/>
    </row>
    <row r="4697" spans="1:10" ht="25.5" customHeight="1" x14ac:dyDescent="0.3">
      <c r="A4697" s="516"/>
      <c r="B4697" s="517" t="s">
        <v>15</v>
      </c>
      <c r="C4697" s="516" t="s">
        <v>16</v>
      </c>
      <c r="D4697" s="516" t="s">
        <v>17</v>
      </c>
      <c r="E4697" s="904" t="s">
        <v>2431</v>
      </c>
      <c r="F4697" s="904"/>
      <c r="G4697" s="518" t="s">
        <v>18</v>
      </c>
      <c r="H4697" s="517" t="s">
        <v>19</v>
      </c>
      <c r="I4697" s="517" t="s">
        <v>20</v>
      </c>
      <c r="J4697" s="517" t="s">
        <v>23</v>
      </c>
    </row>
    <row r="4698" spans="1:10" ht="39" customHeight="1" x14ac:dyDescent="0.3">
      <c r="A4698" s="642" t="s">
        <v>2432</v>
      </c>
      <c r="B4698" s="643" t="s">
        <v>3232</v>
      </c>
      <c r="C4698" s="642" t="s">
        <v>243</v>
      </c>
      <c r="D4698" s="642" t="s">
        <v>4532</v>
      </c>
      <c r="E4698" s="906">
        <v>57</v>
      </c>
      <c r="F4698" s="906"/>
      <c r="G4698" s="644" t="s">
        <v>34</v>
      </c>
      <c r="H4698" s="645">
        <v>1</v>
      </c>
      <c r="I4698" s="646">
        <v>4239.8599999999997</v>
      </c>
      <c r="J4698" s="646">
        <v>4239.8599999999997</v>
      </c>
    </row>
    <row r="4699" spans="1:10" s="358" customFormat="1" ht="25.5" thickBot="1" x14ac:dyDescent="0.35">
      <c r="A4699" s="519" t="s">
        <v>2434</v>
      </c>
      <c r="B4699" s="520" t="s">
        <v>3237</v>
      </c>
      <c r="C4699" s="519" t="s">
        <v>32</v>
      </c>
      <c r="D4699" s="519" t="s">
        <v>3238</v>
      </c>
      <c r="E4699" s="905" t="s">
        <v>2433</v>
      </c>
      <c r="F4699" s="905"/>
      <c r="G4699" s="521" t="s">
        <v>34</v>
      </c>
      <c r="H4699" s="522">
        <v>1</v>
      </c>
      <c r="I4699" s="523">
        <v>4239.8599999999997</v>
      </c>
      <c r="J4699" s="523">
        <v>4239.8599999999997</v>
      </c>
    </row>
    <row r="4700" spans="1:10" ht="14.5" thickTop="1" x14ac:dyDescent="0.3">
      <c r="A4700" s="647"/>
      <c r="B4700" s="647"/>
      <c r="C4700" s="647"/>
      <c r="D4700" s="647"/>
      <c r="E4700" s="647"/>
      <c r="F4700" s="647"/>
      <c r="G4700" s="647"/>
      <c r="H4700" s="647"/>
      <c r="I4700" s="647"/>
      <c r="J4700"/>
    </row>
    <row r="4701" spans="1:10" s="358" customFormat="1" ht="25.5" customHeight="1" x14ac:dyDescent="0.3">
      <c r="A4701" s="516"/>
      <c r="B4701" s="517" t="s">
        <v>15</v>
      </c>
      <c r="C4701" s="516" t="s">
        <v>16</v>
      </c>
      <c r="D4701" s="516" t="s">
        <v>17</v>
      </c>
      <c r="E4701" s="904" t="s">
        <v>2431</v>
      </c>
      <c r="F4701" s="904"/>
      <c r="G4701" s="518" t="s">
        <v>18</v>
      </c>
      <c r="H4701" s="517" t="s">
        <v>19</v>
      </c>
      <c r="I4701" s="517" t="s">
        <v>20</v>
      </c>
      <c r="J4701" s="517" t="s">
        <v>23</v>
      </c>
    </row>
    <row r="4702" spans="1:10" ht="14.25" customHeight="1" x14ac:dyDescent="0.3">
      <c r="A4702" s="642" t="s">
        <v>2432</v>
      </c>
      <c r="B4702" s="643" t="s">
        <v>2561</v>
      </c>
      <c r="C4702" s="642" t="s">
        <v>32</v>
      </c>
      <c r="D4702" s="642" t="s">
        <v>2562</v>
      </c>
      <c r="E4702" s="906" t="s">
        <v>2433</v>
      </c>
      <c r="F4702" s="906"/>
      <c r="G4702" s="644" t="s">
        <v>1901</v>
      </c>
      <c r="H4702" s="645">
        <v>1</v>
      </c>
      <c r="I4702" s="646">
        <v>23.4</v>
      </c>
      <c r="J4702" s="646">
        <v>23.4</v>
      </c>
    </row>
    <row r="4703" spans="1:10" s="358" customFormat="1" ht="25" x14ac:dyDescent="0.3">
      <c r="A4703" s="519" t="s">
        <v>2434</v>
      </c>
      <c r="B4703" s="520" t="s">
        <v>3578</v>
      </c>
      <c r="C4703" s="519" t="s">
        <v>32</v>
      </c>
      <c r="D4703" s="519" t="s">
        <v>3579</v>
      </c>
      <c r="E4703" s="905" t="s">
        <v>2433</v>
      </c>
      <c r="F4703" s="905"/>
      <c r="G4703" s="521" t="s">
        <v>1901</v>
      </c>
      <c r="H4703" s="522">
        <v>1</v>
      </c>
      <c r="I4703" s="523">
        <v>0.35</v>
      </c>
      <c r="J4703" s="523">
        <v>0.35</v>
      </c>
    </row>
    <row r="4704" spans="1:10" x14ac:dyDescent="0.3">
      <c r="A4704" s="519" t="s">
        <v>2437</v>
      </c>
      <c r="B4704" s="520" t="s">
        <v>3580</v>
      </c>
      <c r="C4704" s="519" t="s">
        <v>32</v>
      </c>
      <c r="D4704" s="519" t="s">
        <v>4357</v>
      </c>
      <c r="E4704" s="905" t="s">
        <v>2440</v>
      </c>
      <c r="F4704" s="905"/>
      <c r="G4704" s="521" t="s">
        <v>1901</v>
      </c>
      <c r="H4704" s="522">
        <v>1</v>
      </c>
      <c r="I4704" s="523">
        <v>14.43</v>
      </c>
      <c r="J4704" s="523">
        <v>14.43</v>
      </c>
    </row>
    <row r="4705" spans="1:10" s="358" customFormat="1" ht="25.5" customHeight="1" x14ac:dyDescent="0.3">
      <c r="A4705" s="519" t="s">
        <v>2437</v>
      </c>
      <c r="B4705" s="520" t="s">
        <v>3257</v>
      </c>
      <c r="C4705" s="519" t="s">
        <v>32</v>
      </c>
      <c r="D4705" s="519" t="s">
        <v>4306</v>
      </c>
      <c r="E4705" s="905" t="s">
        <v>2856</v>
      </c>
      <c r="F4705" s="905"/>
      <c r="G4705" s="521" t="s">
        <v>1901</v>
      </c>
      <c r="H4705" s="522">
        <v>1</v>
      </c>
      <c r="I4705" s="523">
        <v>3.8</v>
      </c>
      <c r="J4705" s="523">
        <v>3.8</v>
      </c>
    </row>
    <row r="4706" spans="1:10" ht="25" x14ac:dyDescent="0.3">
      <c r="A4706" s="519" t="s">
        <v>2437</v>
      </c>
      <c r="B4706" s="520" t="s">
        <v>3258</v>
      </c>
      <c r="C4706" s="519" t="s">
        <v>32</v>
      </c>
      <c r="D4706" s="519" t="s">
        <v>4307</v>
      </c>
      <c r="E4706" s="905" t="s">
        <v>3259</v>
      </c>
      <c r="F4706" s="905"/>
      <c r="G4706" s="521" t="s">
        <v>1901</v>
      </c>
      <c r="H4706" s="522">
        <v>1</v>
      </c>
      <c r="I4706" s="523">
        <v>1.5</v>
      </c>
      <c r="J4706" s="523">
        <v>1.5</v>
      </c>
    </row>
    <row r="4707" spans="1:10" s="358" customFormat="1" ht="25" x14ac:dyDescent="0.3">
      <c r="A4707" s="519" t="s">
        <v>2437</v>
      </c>
      <c r="B4707" s="520" t="s">
        <v>3260</v>
      </c>
      <c r="C4707" s="519" t="s">
        <v>32</v>
      </c>
      <c r="D4707" s="519" t="s">
        <v>4308</v>
      </c>
      <c r="E4707" s="905" t="s">
        <v>2856</v>
      </c>
      <c r="F4707" s="905"/>
      <c r="G4707" s="521" t="s">
        <v>1901</v>
      </c>
      <c r="H4707" s="522">
        <v>1</v>
      </c>
      <c r="I4707" s="523">
        <v>1.34</v>
      </c>
      <c r="J4707" s="523">
        <v>1.34</v>
      </c>
    </row>
    <row r="4708" spans="1:10" ht="25" x14ac:dyDescent="0.3">
      <c r="A4708" s="519" t="s">
        <v>2437</v>
      </c>
      <c r="B4708" s="520" t="s">
        <v>3261</v>
      </c>
      <c r="C4708" s="519" t="s">
        <v>32</v>
      </c>
      <c r="D4708" s="519" t="s">
        <v>4309</v>
      </c>
      <c r="E4708" s="905" t="s">
        <v>2535</v>
      </c>
      <c r="F4708" s="905"/>
      <c r="G4708" s="521" t="s">
        <v>1901</v>
      </c>
      <c r="H4708" s="522">
        <v>1</v>
      </c>
      <c r="I4708" s="523">
        <v>0.04</v>
      </c>
      <c r="J4708" s="523">
        <v>0.04</v>
      </c>
    </row>
    <row r="4709" spans="1:10" s="358" customFormat="1" ht="25.5" customHeight="1" x14ac:dyDescent="0.3">
      <c r="A4709" s="519" t="s">
        <v>2437</v>
      </c>
      <c r="B4709" s="520" t="s">
        <v>3333</v>
      </c>
      <c r="C4709" s="519" t="s">
        <v>32</v>
      </c>
      <c r="D4709" s="519" t="s">
        <v>3334</v>
      </c>
      <c r="E4709" s="905" t="s">
        <v>2446</v>
      </c>
      <c r="F4709" s="905"/>
      <c r="G4709" s="521" t="s">
        <v>1901</v>
      </c>
      <c r="H4709" s="522">
        <v>1</v>
      </c>
      <c r="I4709" s="523">
        <v>0.61</v>
      </c>
      <c r="J4709" s="523">
        <v>0.61</v>
      </c>
    </row>
    <row r="4710" spans="1:10" ht="25.5" thickBot="1" x14ac:dyDescent="0.35">
      <c r="A4710" s="519" t="s">
        <v>2437</v>
      </c>
      <c r="B4710" s="520" t="s">
        <v>3335</v>
      </c>
      <c r="C4710" s="519" t="s">
        <v>32</v>
      </c>
      <c r="D4710" s="519" t="s">
        <v>3336</v>
      </c>
      <c r="E4710" s="905" t="s">
        <v>2446</v>
      </c>
      <c r="F4710" s="905"/>
      <c r="G4710" s="521" t="s">
        <v>1901</v>
      </c>
      <c r="H4710" s="522">
        <v>1</v>
      </c>
      <c r="I4710" s="523">
        <v>1.33</v>
      </c>
      <c r="J4710" s="523">
        <v>1.33</v>
      </c>
    </row>
    <row r="4711" spans="1:10" s="358" customFormat="1" ht="14.5" thickTop="1" x14ac:dyDescent="0.3">
      <c r="A4711" s="647"/>
      <c r="B4711" s="647"/>
      <c r="C4711" s="647"/>
      <c r="D4711" s="647"/>
      <c r="E4711" s="647"/>
      <c r="F4711" s="647"/>
      <c r="G4711" s="647"/>
      <c r="H4711" s="647"/>
      <c r="I4711" s="647"/>
      <c r="J4711"/>
    </row>
    <row r="4712" spans="1:10" x14ac:dyDescent="0.3">
      <c r="A4712" s="516"/>
      <c r="B4712" s="517" t="s">
        <v>15</v>
      </c>
      <c r="C4712" s="516" t="s">
        <v>16</v>
      </c>
      <c r="D4712" s="516" t="s">
        <v>17</v>
      </c>
      <c r="E4712" s="904" t="s">
        <v>2431</v>
      </c>
      <c r="F4712" s="904"/>
      <c r="G4712" s="518" t="s">
        <v>18</v>
      </c>
      <c r="H4712" s="517" t="s">
        <v>19</v>
      </c>
      <c r="I4712" s="517" t="s">
        <v>20</v>
      </c>
      <c r="J4712" s="517" t="s">
        <v>23</v>
      </c>
    </row>
    <row r="4713" spans="1:10" s="358" customFormat="1" ht="38.25" customHeight="1" x14ac:dyDescent="0.3">
      <c r="A4713" s="642" t="s">
        <v>2432</v>
      </c>
      <c r="B4713" s="643" t="s">
        <v>3237</v>
      </c>
      <c r="C4713" s="642" t="s">
        <v>32</v>
      </c>
      <c r="D4713" s="642" t="s">
        <v>3238</v>
      </c>
      <c r="E4713" s="906" t="s">
        <v>2433</v>
      </c>
      <c r="F4713" s="906"/>
      <c r="G4713" s="644" t="s">
        <v>34</v>
      </c>
      <c r="H4713" s="645">
        <v>1</v>
      </c>
      <c r="I4713" s="646">
        <v>4239.8599999999997</v>
      </c>
      <c r="J4713" s="646">
        <v>4239.8599999999997</v>
      </c>
    </row>
    <row r="4714" spans="1:10" ht="25" x14ac:dyDescent="0.3">
      <c r="A4714" s="519" t="s">
        <v>2434</v>
      </c>
      <c r="B4714" s="520" t="s">
        <v>3581</v>
      </c>
      <c r="C4714" s="519" t="s">
        <v>32</v>
      </c>
      <c r="D4714" s="519" t="s">
        <v>3582</v>
      </c>
      <c r="E4714" s="905" t="s">
        <v>2433</v>
      </c>
      <c r="F4714" s="905"/>
      <c r="G4714" s="521" t="s">
        <v>34</v>
      </c>
      <c r="H4714" s="522">
        <v>1</v>
      </c>
      <c r="I4714" s="523">
        <v>46.92</v>
      </c>
      <c r="J4714" s="523">
        <v>46.92</v>
      </c>
    </row>
    <row r="4715" spans="1:10" s="358" customFormat="1" ht="25" x14ac:dyDescent="0.3">
      <c r="A4715" s="519" t="s">
        <v>2437</v>
      </c>
      <c r="B4715" s="520" t="s">
        <v>2492</v>
      </c>
      <c r="C4715" s="519" t="s">
        <v>32</v>
      </c>
      <c r="D4715" s="519" t="s">
        <v>4245</v>
      </c>
      <c r="E4715" s="905" t="s">
        <v>2442</v>
      </c>
      <c r="F4715" s="905"/>
      <c r="G4715" s="521" t="s">
        <v>34</v>
      </c>
      <c r="H4715" s="522">
        <v>1</v>
      </c>
      <c r="I4715" s="523">
        <v>282.98</v>
      </c>
      <c r="J4715" s="523">
        <v>282.98</v>
      </c>
    </row>
    <row r="4716" spans="1:10" ht="25" x14ac:dyDescent="0.3">
      <c r="A4716" s="519" t="s">
        <v>2437</v>
      </c>
      <c r="B4716" s="520" t="s">
        <v>2493</v>
      </c>
      <c r="C4716" s="519" t="s">
        <v>32</v>
      </c>
      <c r="D4716" s="519" t="s">
        <v>4246</v>
      </c>
      <c r="E4716" s="905" t="s">
        <v>2442</v>
      </c>
      <c r="F4716" s="905"/>
      <c r="G4716" s="521" t="s">
        <v>34</v>
      </c>
      <c r="H4716" s="522">
        <v>1</v>
      </c>
      <c r="I4716" s="523">
        <v>715.63</v>
      </c>
      <c r="J4716" s="523">
        <v>715.63</v>
      </c>
    </row>
    <row r="4717" spans="1:10" s="358" customFormat="1" ht="25" x14ac:dyDescent="0.3">
      <c r="A4717" s="519" t="s">
        <v>2437</v>
      </c>
      <c r="B4717" s="520" t="s">
        <v>2441</v>
      </c>
      <c r="C4717" s="519" t="s">
        <v>32</v>
      </c>
      <c r="D4717" s="519" t="s">
        <v>4240</v>
      </c>
      <c r="E4717" s="905" t="s">
        <v>2442</v>
      </c>
      <c r="F4717" s="905"/>
      <c r="G4717" s="521" t="s">
        <v>34</v>
      </c>
      <c r="H4717" s="522">
        <v>1</v>
      </c>
      <c r="I4717" s="523">
        <v>252.08</v>
      </c>
      <c r="J4717" s="523">
        <v>252.08</v>
      </c>
    </row>
    <row r="4718" spans="1:10" ht="25" x14ac:dyDescent="0.3">
      <c r="A4718" s="519" t="s">
        <v>2437</v>
      </c>
      <c r="B4718" s="520" t="s">
        <v>2443</v>
      </c>
      <c r="C4718" s="519" t="s">
        <v>32</v>
      </c>
      <c r="D4718" s="519" t="s">
        <v>4241</v>
      </c>
      <c r="E4718" s="905" t="s">
        <v>2442</v>
      </c>
      <c r="F4718" s="905"/>
      <c r="G4718" s="521" t="s">
        <v>34</v>
      </c>
      <c r="H4718" s="522">
        <v>1</v>
      </c>
      <c r="I4718" s="523">
        <v>7.31</v>
      </c>
      <c r="J4718" s="523">
        <v>7.31</v>
      </c>
    </row>
    <row r="4719" spans="1:10" x14ac:dyDescent="0.3">
      <c r="A4719" s="519" t="s">
        <v>2437</v>
      </c>
      <c r="B4719" s="520" t="s">
        <v>3583</v>
      </c>
      <c r="C4719" s="519" t="s">
        <v>32</v>
      </c>
      <c r="D4719" s="519" t="s">
        <v>3584</v>
      </c>
      <c r="E4719" s="905" t="s">
        <v>2440</v>
      </c>
      <c r="F4719" s="905"/>
      <c r="G4719" s="521" t="s">
        <v>34</v>
      </c>
      <c r="H4719" s="522">
        <v>1</v>
      </c>
      <c r="I4719" s="523">
        <v>2569.98</v>
      </c>
      <c r="J4719" s="523">
        <v>2569.98</v>
      </c>
    </row>
    <row r="4720" spans="1:10" ht="25" x14ac:dyDescent="0.3">
      <c r="A4720" s="519" t="s">
        <v>2437</v>
      </c>
      <c r="B4720" s="520" t="s">
        <v>2496</v>
      </c>
      <c r="C4720" s="519" t="s">
        <v>32</v>
      </c>
      <c r="D4720" s="519" t="s">
        <v>2497</v>
      </c>
      <c r="E4720" s="905" t="s">
        <v>2446</v>
      </c>
      <c r="F4720" s="905"/>
      <c r="G4720" s="521" t="s">
        <v>34</v>
      </c>
      <c r="H4720" s="522">
        <v>1</v>
      </c>
      <c r="I4720" s="523">
        <v>114.72</v>
      </c>
      <c r="J4720" s="523">
        <v>114.72</v>
      </c>
    </row>
    <row r="4721" spans="1:10" ht="25.5" thickBot="1" x14ac:dyDescent="0.35">
      <c r="A4721" s="519" t="s">
        <v>2437</v>
      </c>
      <c r="B4721" s="520" t="s">
        <v>2498</v>
      </c>
      <c r="C4721" s="519" t="s">
        <v>32</v>
      </c>
      <c r="D4721" s="519" t="s">
        <v>2499</v>
      </c>
      <c r="E4721" s="905" t="s">
        <v>2446</v>
      </c>
      <c r="F4721" s="905"/>
      <c r="G4721" s="521" t="s">
        <v>34</v>
      </c>
      <c r="H4721" s="522">
        <v>1</v>
      </c>
      <c r="I4721" s="523">
        <v>250.24</v>
      </c>
      <c r="J4721" s="523">
        <v>250.24</v>
      </c>
    </row>
    <row r="4722" spans="1:10" ht="14.5" thickTop="1" x14ac:dyDescent="0.3">
      <c r="A4722" s="647"/>
      <c r="B4722" s="647"/>
      <c r="C4722" s="647"/>
      <c r="D4722" s="647"/>
      <c r="E4722" s="647"/>
      <c r="F4722" s="647"/>
      <c r="G4722" s="647"/>
      <c r="H4722" s="647"/>
      <c r="I4722" s="647"/>
      <c r="J4722"/>
    </row>
    <row r="4723" spans="1:10" x14ac:dyDescent="0.3">
      <c r="A4723" s="516"/>
      <c r="B4723" s="517" t="s">
        <v>15</v>
      </c>
      <c r="C4723" s="516" t="s">
        <v>16</v>
      </c>
      <c r="D4723" s="516" t="s">
        <v>17</v>
      </c>
      <c r="E4723" s="904" t="s">
        <v>2431</v>
      </c>
      <c r="F4723" s="904"/>
      <c r="G4723" s="518" t="s">
        <v>18</v>
      </c>
      <c r="H4723" s="517" t="s">
        <v>19</v>
      </c>
      <c r="I4723" s="517" t="s">
        <v>20</v>
      </c>
      <c r="J4723" s="517" t="s">
        <v>23</v>
      </c>
    </row>
    <row r="4724" spans="1:10" ht="38" thickBot="1" x14ac:dyDescent="0.35">
      <c r="A4724" s="642" t="s">
        <v>2432</v>
      </c>
      <c r="B4724" s="643" t="s">
        <v>3230</v>
      </c>
      <c r="C4724" s="642" t="s">
        <v>243</v>
      </c>
      <c r="D4724" s="642" t="s">
        <v>4531</v>
      </c>
      <c r="E4724" s="906">
        <v>30</v>
      </c>
      <c r="F4724" s="906"/>
      <c r="G4724" s="644" t="s">
        <v>34</v>
      </c>
      <c r="H4724" s="645">
        <v>1</v>
      </c>
      <c r="I4724" s="646">
        <v>0</v>
      </c>
      <c r="J4724" s="646">
        <v>0</v>
      </c>
    </row>
    <row r="4725" spans="1:10" ht="14.5" thickTop="1" x14ac:dyDescent="0.3">
      <c r="A4725" s="647"/>
      <c r="B4725" s="647"/>
      <c r="C4725" s="647"/>
      <c r="D4725" s="647"/>
      <c r="E4725" s="647"/>
      <c r="F4725" s="647"/>
      <c r="G4725" s="647"/>
      <c r="H4725" s="647"/>
      <c r="I4725" s="647"/>
      <c r="J4725"/>
    </row>
    <row r="4726" spans="1:10" s="358" customFormat="1" x14ac:dyDescent="0.3">
      <c r="A4726" s="516"/>
      <c r="B4726" s="517" t="s">
        <v>15</v>
      </c>
      <c r="C4726" s="516" t="s">
        <v>16</v>
      </c>
      <c r="D4726" s="516" t="s">
        <v>17</v>
      </c>
      <c r="E4726" s="904" t="s">
        <v>2431</v>
      </c>
      <c r="F4726" s="904"/>
      <c r="G4726" s="518" t="s">
        <v>18</v>
      </c>
      <c r="H4726" s="517" t="s">
        <v>19</v>
      </c>
      <c r="I4726" s="517" t="s">
        <v>20</v>
      </c>
      <c r="J4726" s="517" t="s">
        <v>23</v>
      </c>
    </row>
    <row r="4727" spans="1:10" ht="14.25" customHeight="1" x14ac:dyDescent="0.3">
      <c r="A4727" s="642" t="s">
        <v>2432</v>
      </c>
      <c r="B4727" s="643" t="s">
        <v>2642</v>
      </c>
      <c r="C4727" s="642" t="s">
        <v>32</v>
      </c>
      <c r="D4727" s="642" t="s">
        <v>2643</v>
      </c>
      <c r="E4727" s="906" t="s">
        <v>2433</v>
      </c>
      <c r="F4727" s="906"/>
      <c r="G4727" s="644" t="s">
        <v>1901</v>
      </c>
      <c r="H4727" s="645">
        <v>1</v>
      </c>
      <c r="I4727" s="646">
        <v>31.81</v>
      </c>
      <c r="J4727" s="646">
        <v>31.81</v>
      </c>
    </row>
    <row r="4728" spans="1:10" s="358" customFormat="1" ht="25" x14ac:dyDescent="0.3">
      <c r="A4728" s="519" t="s">
        <v>2434</v>
      </c>
      <c r="B4728" s="520" t="s">
        <v>3585</v>
      </c>
      <c r="C4728" s="519" t="s">
        <v>32</v>
      </c>
      <c r="D4728" s="519" t="s">
        <v>3586</v>
      </c>
      <c r="E4728" s="905" t="s">
        <v>2433</v>
      </c>
      <c r="F4728" s="905"/>
      <c r="G4728" s="521" t="s">
        <v>1901</v>
      </c>
      <c r="H4728" s="522">
        <v>1</v>
      </c>
      <c r="I4728" s="523">
        <v>0.28000000000000003</v>
      </c>
      <c r="J4728" s="523">
        <v>0.28000000000000003</v>
      </c>
    </row>
    <row r="4729" spans="1:10" x14ac:dyDescent="0.3">
      <c r="A4729" s="519" t="s">
        <v>2437</v>
      </c>
      <c r="B4729" s="520" t="s">
        <v>3587</v>
      </c>
      <c r="C4729" s="519" t="s">
        <v>32</v>
      </c>
      <c r="D4729" s="519" t="s">
        <v>3588</v>
      </c>
      <c r="E4729" s="905" t="s">
        <v>2440</v>
      </c>
      <c r="F4729" s="905"/>
      <c r="G4729" s="521" t="s">
        <v>1901</v>
      </c>
      <c r="H4729" s="522">
        <v>1</v>
      </c>
      <c r="I4729" s="523">
        <v>21.83</v>
      </c>
      <c r="J4729" s="523">
        <v>21.83</v>
      </c>
    </row>
    <row r="4730" spans="1:10" ht="25" x14ac:dyDescent="0.3">
      <c r="A4730" s="519" t="s">
        <v>2437</v>
      </c>
      <c r="B4730" s="520" t="s">
        <v>3257</v>
      </c>
      <c r="C4730" s="519" t="s">
        <v>32</v>
      </c>
      <c r="D4730" s="519" t="s">
        <v>4306</v>
      </c>
      <c r="E4730" s="905" t="s">
        <v>2856</v>
      </c>
      <c r="F4730" s="905"/>
      <c r="G4730" s="521" t="s">
        <v>1901</v>
      </c>
      <c r="H4730" s="522">
        <v>1</v>
      </c>
      <c r="I4730" s="523">
        <v>3.8</v>
      </c>
      <c r="J4730" s="523">
        <v>3.8</v>
      </c>
    </row>
    <row r="4731" spans="1:10" ht="25" x14ac:dyDescent="0.3">
      <c r="A4731" s="519" t="s">
        <v>2437</v>
      </c>
      <c r="B4731" s="520" t="s">
        <v>3258</v>
      </c>
      <c r="C4731" s="519" t="s">
        <v>32</v>
      </c>
      <c r="D4731" s="519" t="s">
        <v>4307</v>
      </c>
      <c r="E4731" s="905" t="s">
        <v>3259</v>
      </c>
      <c r="F4731" s="905"/>
      <c r="G4731" s="521" t="s">
        <v>1901</v>
      </c>
      <c r="H4731" s="522">
        <v>1</v>
      </c>
      <c r="I4731" s="523">
        <v>1.5</v>
      </c>
      <c r="J4731" s="523">
        <v>1.5</v>
      </c>
    </row>
    <row r="4732" spans="1:10" ht="25" x14ac:dyDescent="0.3">
      <c r="A4732" s="519" t="s">
        <v>2437</v>
      </c>
      <c r="B4732" s="520" t="s">
        <v>3260</v>
      </c>
      <c r="C4732" s="519" t="s">
        <v>32</v>
      </c>
      <c r="D4732" s="519" t="s">
        <v>4308</v>
      </c>
      <c r="E4732" s="905" t="s">
        <v>2856</v>
      </c>
      <c r="F4732" s="905"/>
      <c r="G4732" s="521" t="s">
        <v>1901</v>
      </c>
      <c r="H4732" s="522">
        <v>1</v>
      </c>
      <c r="I4732" s="523">
        <v>1.34</v>
      </c>
      <c r="J4732" s="523">
        <v>1.34</v>
      </c>
    </row>
    <row r="4733" spans="1:10" ht="25" x14ac:dyDescent="0.3">
      <c r="A4733" s="519" t="s">
        <v>2437</v>
      </c>
      <c r="B4733" s="520" t="s">
        <v>3261</v>
      </c>
      <c r="C4733" s="519" t="s">
        <v>32</v>
      </c>
      <c r="D4733" s="519" t="s">
        <v>4309</v>
      </c>
      <c r="E4733" s="905" t="s">
        <v>2535</v>
      </c>
      <c r="F4733" s="905"/>
      <c r="G4733" s="521" t="s">
        <v>1901</v>
      </c>
      <c r="H4733" s="522">
        <v>1</v>
      </c>
      <c r="I4733" s="523">
        <v>0.04</v>
      </c>
      <c r="J4733" s="523">
        <v>0.04</v>
      </c>
    </row>
    <row r="4734" spans="1:10" ht="25" x14ac:dyDescent="0.3">
      <c r="A4734" s="519" t="s">
        <v>2437</v>
      </c>
      <c r="B4734" s="520" t="s">
        <v>3996</v>
      </c>
      <c r="C4734" s="519" t="s">
        <v>32</v>
      </c>
      <c r="D4734" s="519" t="s">
        <v>3997</v>
      </c>
      <c r="E4734" s="905" t="s">
        <v>2446</v>
      </c>
      <c r="F4734" s="905"/>
      <c r="G4734" s="521" t="s">
        <v>1901</v>
      </c>
      <c r="H4734" s="522">
        <v>1</v>
      </c>
      <c r="I4734" s="523">
        <v>1.23</v>
      </c>
      <c r="J4734" s="523">
        <v>1.23</v>
      </c>
    </row>
    <row r="4735" spans="1:10" ht="25.5" thickBot="1" x14ac:dyDescent="0.35">
      <c r="A4735" s="519" t="s">
        <v>2437</v>
      </c>
      <c r="B4735" s="520" t="s">
        <v>3998</v>
      </c>
      <c r="C4735" s="519" t="s">
        <v>32</v>
      </c>
      <c r="D4735" s="519" t="s">
        <v>3999</v>
      </c>
      <c r="E4735" s="905" t="s">
        <v>2446</v>
      </c>
      <c r="F4735" s="905"/>
      <c r="G4735" s="521" t="s">
        <v>1901</v>
      </c>
      <c r="H4735" s="522">
        <v>1</v>
      </c>
      <c r="I4735" s="523">
        <v>1.79</v>
      </c>
      <c r="J4735" s="523">
        <v>1.79</v>
      </c>
    </row>
    <row r="4736" spans="1:10" ht="14.5" thickTop="1" x14ac:dyDescent="0.3">
      <c r="A4736" s="647"/>
      <c r="B4736" s="647"/>
      <c r="C4736" s="647"/>
      <c r="D4736" s="647"/>
      <c r="E4736" s="647"/>
      <c r="F4736" s="647"/>
      <c r="G4736" s="647"/>
      <c r="H4736" s="647"/>
      <c r="I4736" s="647"/>
      <c r="J4736"/>
    </row>
    <row r="4737" spans="1:10" s="358" customFormat="1" x14ac:dyDescent="0.3">
      <c r="A4737" s="516"/>
      <c r="B4737" s="517" t="s">
        <v>15</v>
      </c>
      <c r="C4737" s="516" t="s">
        <v>16</v>
      </c>
      <c r="D4737" s="516" t="s">
        <v>17</v>
      </c>
      <c r="E4737" s="904" t="s">
        <v>2431</v>
      </c>
      <c r="F4737" s="904"/>
      <c r="G4737" s="518" t="s">
        <v>18</v>
      </c>
      <c r="H4737" s="517" t="s">
        <v>19</v>
      </c>
      <c r="I4737" s="517" t="s">
        <v>20</v>
      </c>
      <c r="J4737" s="517" t="s">
        <v>23</v>
      </c>
    </row>
    <row r="4738" spans="1:10" ht="38.25" customHeight="1" x14ac:dyDescent="0.3">
      <c r="A4738" s="642" t="s">
        <v>2432</v>
      </c>
      <c r="B4738" s="643" t="s">
        <v>3774</v>
      </c>
      <c r="C4738" s="642" t="s">
        <v>32</v>
      </c>
      <c r="D4738" s="642" t="s">
        <v>4360</v>
      </c>
      <c r="E4738" s="906" t="s">
        <v>2661</v>
      </c>
      <c r="F4738" s="906"/>
      <c r="G4738" s="644" t="s">
        <v>89</v>
      </c>
      <c r="H4738" s="645">
        <v>1</v>
      </c>
      <c r="I4738" s="646">
        <v>12.69</v>
      </c>
      <c r="J4738" s="646">
        <v>12.69</v>
      </c>
    </row>
    <row r="4739" spans="1:10" s="358" customFormat="1" ht="25" x14ac:dyDescent="0.3">
      <c r="A4739" s="519" t="s">
        <v>2434</v>
      </c>
      <c r="B4739" s="520" t="s">
        <v>2857</v>
      </c>
      <c r="C4739" s="519" t="s">
        <v>32</v>
      </c>
      <c r="D4739" s="519" t="s">
        <v>2858</v>
      </c>
      <c r="E4739" s="905" t="s">
        <v>2433</v>
      </c>
      <c r="F4739" s="905"/>
      <c r="G4739" s="521" t="s">
        <v>1901</v>
      </c>
      <c r="H4739" s="522">
        <v>0.128</v>
      </c>
      <c r="I4739" s="523">
        <v>24.65</v>
      </c>
      <c r="J4739" s="523">
        <v>3.15</v>
      </c>
    </row>
    <row r="4740" spans="1:10" ht="25" x14ac:dyDescent="0.3">
      <c r="A4740" s="519" t="s">
        <v>2434</v>
      </c>
      <c r="B4740" s="520" t="s">
        <v>2766</v>
      </c>
      <c r="C4740" s="519" t="s">
        <v>32</v>
      </c>
      <c r="D4740" s="519" t="s">
        <v>2767</v>
      </c>
      <c r="E4740" s="905" t="s">
        <v>2433</v>
      </c>
      <c r="F4740" s="905"/>
      <c r="G4740" s="521" t="s">
        <v>1901</v>
      </c>
      <c r="H4740" s="522">
        <v>0.128</v>
      </c>
      <c r="I4740" s="523">
        <v>31.49</v>
      </c>
      <c r="J4740" s="523">
        <v>4.03</v>
      </c>
    </row>
    <row r="4741" spans="1:10" ht="25" x14ac:dyDescent="0.3">
      <c r="A4741" s="519" t="s">
        <v>2437</v>
      </c>
      <c r="B4741" s="520" t="s">
        <v>4000</v>
      </c>
      <c r="C4741" s="519" t="s">
        <v>32</v>
      </c>
      <c r="D4741" s="519" t="s">
        <v>4001</v>
      </c>
      <c r="E4741" s="905" t="s">
        <v>2442</v>
      </c>
      <c r="F4741" s="905"/>
      <c r="G4741" s="521" t="s">
        <v>89</v>
      </c>
      <c r="H4741" s="522">
        <v>1</v>
      </c>
      <c r="I4741" s="523">
        <v>3.63</v>
      </c>
      <c r="J4741" s="523">
        <v>3.63</v>
      </c>
    </row>
    <row r="4742" spans="1:10" ht="38" thickBot="1" x14ac:dyDescent="0.35">
      <c r="A4742" s="519" t="s">
        <v>2437</v>
      </c>
      <c r="B4742" s="520" t="s">
        <v>4002</v>
      </c>
      <c r="C4742" s="519" t="s">
        <v>32</v>
      </c>
      <c r="D4742" s="519" t="s">
        <v>4003</v>
      </c>
      <c r="E4742" s="905" t="s">
        <v>2442</v>
      </c>
      <c r="F4742" s="905"/>
      <c r="G4742" s="521" t="s">
        <v>89</v>
      </c>
      <c r="H4742" s="522">
        <v>1</v>
      </c>
      <c r="I4742" s="523">
        <v>1.88</v>
      </c>
      <c r="J4742" s="523">
        <v>1.88</v>
      </c>
    </row>
    <row r="4743" spans="1:10" ht="14.5" thickTop="1" x14ac:dyDescent="0.3">
      <c r="A4743" s="647"/>
      <c r="B4743" s="647"/>
      <c r="C4743" s="647"/>
      <c r="D4743" s="647"/>
      <c r="E4743" s="647"/>
      <c r="F4743" s="647"/>
      <c r="G4743" s="647"/>
      <c r="H4743" s="647"/>
      <c r="I4743" s="647"/>
      <c r="J4743"/>
    </row>
    <row r="4744" spans="1:10" x14ac:dyDescent="0.3">
      <c r="A4744" s="516"/>
      <c r="B4744" s="517" t="s">
        <v>15</v>
      </c>
      <c r="C4744" s="516" t="s">
        <v>16</v>
      </c>
      <c r="D4744" s="516" t="s">
        <v>17</v>
      </c>
      <c r="E4744" s="904" t="s">
        <v>2431</v>
      </c>
      <c r="F4744" s="904"/>
      <c r="G4744" s="518" t="s">
        <v>18</v>
      </c>
      <c r="H4744" s="517" t="s">
        <v>19</v>
      </c>
      <c r="I4744" s="517" t="s">
        <v>20</v>
      </c>
      <c r="J4744" s="517" t="s">
        <v>23</v>
      </c>
    </row>
    <row r="4745" spans="1:10" x14ac:dyDescent="0.3">
      <c r="A4745" s="642" t="s">
        <v>2432</v>
      </c>
      <c r="B4745" s="643" t="s">
        <v>4004</v>
      </c>
      <c r="C4745" s="642" t="s">
        <v>125</v>
      </c>
      <c r="D4745" s="642" t="s">
        <v>3614</v>
      </c>
      <c r="E4745" s="906" t="s">
        <v>1328</v>
      </c>
      <c r="F4745" s="906"/>
      <c r="G4745" s="644" t="s">
        <v>384</v>
      </c>
      <c r="H4745" s="645">
        <v>1</v>
      </c>
      <c r="I4745" s="646">
        <v>96.17</v>
      </c>
      <c r="J4745" s="646">
        <v>96.17</v>
      </c>
    </row>
    <row r="4746" spans="1:10" ht="15" customHeight="1" x14ac:dyDescent="0.3">
      <c r="A4746" s="904" t="s">
        <v>2418</v>
      </c>
      <c r="B4746" s="903" t="s">
        <v>15</v>
      </c>
      <c r="C4746" s="904" t="s">
        <v>16</v>
      </c>
      <c r="D4746" s="904" t="s">
        <v>2466</v>
      </c>
      <c r="E4746" s="903" t="s">
        <v>2467</v>
      </c>
      <c r="F4746" s="908" t="s">
        <v>2468</v>
      </c>
      <c r="G4746" s="903"/>
      <c r="H4746" s="518" t="s">
        <v>2469</v>
      </c>
      <c r="I4746" s="903" t="s">
        <v>2470</v>
      </c>
      <c r="J4746"/>
    </row>
    <row r="4747" spans="1:10" x14ac:dyDescent="0.3">
      <c r="A4747" s="903"/>
      <c r="B4747" s="903"/>
      <c r="C4747" s="903"/>
      <c r="D4747" s="903"/>
      <c r="E4747" s="903"/>
      <c r="F4747" s="517" t="s">
        <v>2471</v>
      </c>
      <c r="G4747" s="517" t="s">
        <v>2472</v>
      </c>
      <c r="H4747" s="517" t="s">
        <v>2471</v>
      </c>
      <c r="I4747" s="903"/>
      <c r="J4747"/>
    </row>
    <row r="4748" spans="1:10" s="358" customFormat="1" x14ac:dyDescent="0.3">
      <c r="A4748" s="519" t="s">
        <v>2437</v>
      </c>
      <c r="B4748" s="520" t="s">
        <v>3888</v>
      </c>
      <c r="C4748" s="519" t="s">
        <v>125</v>
      </c>
      <c r="D4748" s="519" t="s">
        <v>3889</v>
      </c>
      <c r="E4748" s="522">
        <v>1</v>
      </c>
      <c r="F4748" s="523">
        <v>1</v>
      </c>
      <c r="G4748" s="523">
        <v>0</v>
      </c>
      <c r="H4748" s="524">
        <v>26.9573</v>
      </c>
      <c r="I4748" s="524">
        <v>26.9573</v>
      </c>
      <c r="J4748"/>
    </row>
    <row r="4749" spans="1:10" x14ac:dyDescent="0.3">
      <c r="A4749" s="519" t="s">
        <v>2437</v>
      </c>
      <c r="B4749" s="520" t="s">
        <v>4005</v>
      </c>
      <c r="C4749" s="519" t="s">
        <v>125</v>
      </c>
      <c r="D4749" s="519" t="s">
        <v>4006</v>
      </c>
      <c r="E4749" s="522">
        <v>1</v>
      </c>
      <c r="F4749" s="523">
        <v>1</v>
      </c>
      <c r="G4749" s="523">
        <v>0</v>
      </c>
      <c r="H4749" s="524">
        <v>0.24410000000000001</v>
      </c>
      <c r="I4749" s="524">
        <v>0.24410000000000001</v>
      </c>
      <c r="J4749"/>
    </row>
    <row r="4750" spans="1:10" s="358" customFormat="1" ht="15" customHeight="1" x14ac:dyDescent="0.3">
      <c r="A4750" s="902"/>
      <c r="B4750" s="902"/>
      <c r="C4750" s="902"/>
      <c r="D4750" s="902"/>
      <c r="E4750" s="902"/>
      <c r="F4750" s="902" t="s">
        <v>2475</v>
      </c>
      <c r="G4750" s="902"/>
      <c r="H4750" s="902"/>
      <c r="I4750" s="525">
        <v>27.2014</v>
      </c>
      <c r="J4750"/>
    </row>
    <row r="4751" spans="1:10" ht="14.25" customHeight="1" x14ac:dyDescent="0.3">
      <c r="A4751" s="902"/>
      <c r="B4751" s="902"/>
      <c r="C4751" s="902"/>
      <c r="D4751" s="902"/>
      <c r="E4751" s="902"/>
      <c r="F4751" s="902" t="s">
        <v>2476</v>
      </c>
      <c r="G4751" s="902"/>
      <c r="H4751" s="902"/>
      <c r="I4751" s="525">
        <v>27.2014</v>
      </c>
      <c r="J4751"/>
    </row>
    <row r="4752" spans="1:10" ht="14.25" customHeight="1" x14ac:dyDescent="0.3">
      <c r="A4752" s="902"/>
      <c r="B4752" s="902"/>
      <c r="C4752" s="902"/>
      <c r="D4752" s="902"/>
      <c r="E4752" s="902"/>
      <c r="F4752" s="902" t="s">
        <v>2477</v>
      </c>
      <c r="G4752" s="902"/>
      <c r="H4752" s="902"/>
      <c r="I4752" s="525">
        <v>0</v>
      </c>
      <c r="J4752"/>
    </row>
    <row r="4753" spans="1:10" x14ac:dyDescent="0.3">
      <c r="A4753" s="902"/>
      <c r="B4753" s="902"/>
      <c r="C4753" s="902"/>
      <c r="D4753" s="902"/>
      <c r="E4753" s="902"/>
      <c r="F4753" s="902" t="s">
        <v>2478</v>
      </c>
      <c r="G4753" s="902"/>
      <c r="H4753" s="902"/>
      <c r="I4753" s="525">
        <v>0</v>
      </c>
      <c r="J4753"/>
    </row>
    <row r="4754" spans="1:10" ht="14.25" customHeight="1" x14ac:dyDescent="0.3">
      <c r="A4754" s="902"/>
      <c r="B4754" s="902"/>
      <c r="C4754" s="902"/>
      <c r="D4754" s="902"/>
      <c r="E4754" s="902"/>
      <c r="F4754" s="902" t="s">
        <v>2479</v>
      </c>
      <c r="G4754" s="902"/>
      <c r="H4754" s="902"/>
      <c r="I4754" s="525">
        <v>1.3413999999999999</v>
      </c>
      <c r="J4754"/>
    </row>
    <row r="4755" spans="1:10" ht="14.25" customHeight="1" x14ac:dyDescent="0.3">
      <c r="A4755" s="902"/>
      <c r="B4755" s="902"/>
      <c r="C4755" s="902"/>
      <c r="D4755" s="902"/>
      <c r="E4755" s="902"/>
      <c r="F4755" s="902" t="s">
        <v>2480</v>
      </c>
      <c r="G4755" s="902"/>
      <c r="H4755" s="902"/>
      <c r="I4755" s="525">
        <v>20.278500000000001</v>
      </c>
      <c r="J4755"/>
    </row>
    <row r="4756" spans="1:10" s="358" customFormat="1" ht="15" customHeight="1" x14ac:dyDescent="0.3">
      <c r="A4756" s="516" t="s">
        <v>2420</v>
      </c>
      <c r="B4756" s="517" t="s">
        <v>16</v>
      </c>
      <c r="C4756" s="516" t="s">
        <v>15</v>
      </c>
      <c r="D4756" s="516" t="s">
        <v>2442</v>
      </c>
      <c r="E4756" s="517" t="s">
        <v>2467</v>
      </c>
      <c r="F4756" s="517" t="s">
        <v>2576</v>
      </c>
      <c r="G4756" s="903" t="s">
        <v>2577</v>
      </c>
      <c r="H4756" s="903"/>
      <c r="I4756" s="517" t="s">
        <v>2470</v>
      </c>
      <c r="J4756"/>
    </row>
    <row r="4757" spans="1:10" x14ac:dyDescent="0.3">
      <c r="A4757" s="519" t="s">
        <v>2437</v>
      </c>
      <c r="B4757" s="520" t="s">
        <v>125</v>
      </c>
      <c r="C4757" s="519" t="s">
        <v>4007</v>
      </c>
      <c r="D4757" s="519" t="s">
        <v>4008</v>
      </c>
      <c r="E4757" s="522">
        <v>1</v>
      </c>
      <c r="F4757" s="521" t="s">
        <v>384</v>
      </c>
      <c r="G4757" s="907">
        <v>34.139899999999997</v>
      </c>
      <c r="H4757" s="907"/>
      <c r="I4757" s="524">
        <v>34.139899999999997</v>
      </c>
      <c r="J4757"/>
    </row>
    <row r="4758" spans="1:10" s="358" customFormat="1" ht="15" customHeight="1" x14ac:dyDescent="0.3">
      <c r="A4758" s="902"/>
      <c r="B4758" s="902"/>
      <c r="C4758" s="902"/>
      <c r="D4758" s="902"/>
      <c r="E4758" s="902"/>
      <c r="F4758" s="902" t="s">
        <v>2809</v>
      </c>
      <c r="G4758" s="902"/>
      <c r="H4758" s="902"/>
      <c r="I4758" s="525">
        <v>34.139899999999997</v>
      </c>
      <c r="J4758"/>
    </row>
    <row r="4759" spans="1:10" ht="15" customHeight="1" x14ac:dyDescent="0.3">
      <c r="A4759" s="516" t="s">
        <v>2574</v>
      </c>
      <c r="B4759" s="517" t="s">
        <v>16</v>
      </c>
      <c r="C4759" s="516" t="s">
        <v>15</v>
      </c>
      <c r="D4759" s="516" t="s">
        <v>2575</v>
      </c>
      <c r="E4759" s="517" t="s">
        <v>2467</v>
      </c>
      <c r="F4759" s="517" t="s">
        <v>2576</v>
      </c>
      <c r="G4759" s="903" t="s">
        <v>2577</v>
      </c>
      <c r="H4759" s="903"/>
      <c r="I4759" s="517" t="s">
        <v>2470</v>
      </c>
      <c r="J4759"/>
    </row>
    <row r="4760" spans="1:10" ht="25" x14ac:dyDescent="0.3">
      <c r="A4760" s="519" t="s">
        <v>2578</v>
      </c>
      <c r="B4760" s="520" t="s">
        <v>32</v>
      </c>
      <c r="C4760" s="519">
        <v>88241</v>
      </c>
      <c r="D4760" s="519" t="s">
        <v>2791</v>
      </c>
      <c r="E4760" s="522">
        <v>0.74549529999999997</v>
      </c>
      <c r="F4760" s="521" t="s">
        <v>1901</v>
      </c>
      <c r="G4760" s="907">
        <v>24.15</v>
      </c>
      <c r="H4760" s="907"/>
      <c r="I4760" s="524">
        <v>18.003699999999998</v>
      </c>
      <c r="J4760"/>
    </row>
    <row r="4761" spans="1:10" ht="25" x14ac:dyDescent="0.3">
      <c r="A4761" s="519" t="s">
        <v>2578</v>
      </c>
      <c r="B4761" s="520" t="s">
        <v>32</v>
      </c>
      <c r="C4761" s="519">
        <v>88317</v>
      </c>
      <c r="D4761" s="519" t="s">
        <v>2643</v>
      </c>
      <c r="E4761" s="522">
        <v>0.74549529999999997</v>
      </c>
      <c r="F4761" s="521" t="s">
        <v>1901</v>
      </c>
      <c r="G4761" s="907">
        <v>31.81</v>
      </c>
      <c r="H4761" s="907"/>
      <c r="I4761" s="524">
        <v>23.714200000000002</v>
      </c>
      <c r="J4761"/>
    </row>
    <row r="4762" spans="1:10" ht="14.25" customHeight="1" x14ac:dyDescent="0.3">
      <c r="A4762" s="902"/>
      <c r="B4762" s="902"/>
      <c r="C4762" s="902"/>
      <c r="D4762" s="902"/>
      <c r="E4762" s="902"/>
      <c r="F4762" s="902" t="s">
        <v>2579</v>
      </c>
      <c r="G4762" s="902"/>
      <c r="H4762" s="902"/>
      <c r="I4762" s="525">
        <v>41.7179</v>
      </c>
      <c r="J4762"/>
    </row>
    <row r="4763" spans="1:10" ht="15" customHeight="1" x14ac:dyDescent="0.3">
      <c r="A4763" s="516" t="s">
        <v>2580</v>
      </c>
      <c r="B4763" s="517" t="s">
        <v>16</v>
      </c>
      <c r="C4763" s="516" t="s">
        <v>2437</v>
      </c>
      <c r="D4763" s="516" t="s">
        <v>2581</v>
      </c>
      <c r="E4763" s="517" t="s">
        <v>15</v>
      </c>
      <c r="F4763" s="517" t="s">
        <v>2467</v>
      </c>
      <c r="G4763" s="518" t="s">
        <v>2576</v>
      </c>
      <c r="H4763" s="517" t="s">
        <v>2577</v>
      </c>
      <c r="I4763" s="517" t="s">
        <v>2470</v>
      </c>
      <c r="J4763"/>
    </row>
    <row r="4764" spans="1:10" ht="25" x14ac:dyDescent="0.3">
      <c r="A4764" s="519" t="s">
        <v>2582</v>
      </c>
      <c r="B4764" s="520" t="s">
        <v>125</v>
      </c>
      <c r="C4764" s="519" t="s">
        <v>4007</v>
      </c>
      <c r="D4764" s="519" t="s">
        <v>2838</v>
      </c>
      <c r="E4764" s="520">
        <v>5914655</v>
      </c>
      <c r="F4764" s="522">
        <v>1E-3</v>
      </c>
      <c r="G4764" s="521" t="s">
        <v>374</v>
      </c>
      <c r="H4764" s="524">
        <v>33.159999999999997</v>
      </c>
      <c r="I4764" s="524">
        <v>3.32E-2</v>
      </c>
      <c r="J4764"/>
    </row>
    <row r="4765" spans="1:10" ht="14.25" customHeight="1" x14ac:dyDescent="0.3">
      <c r="A4765" s="902"/>
      <c r="B4765" s="902"/>
      <c r="C4765" s="902"/>
      <c r="D4765" s="902"/>
      <c r="E4765" s="902"/>
      <c r="F4765" s="902" t="s">
        <v>2585</v>
      </c>
      <c r="G4765" s="902"/>
      <c r="H4765" s="902"/>
      <c r="I4765" s="525">
        <v>3.32E-2</v>
      </c>
      <c r="J4765"/>
    </row>
    <row r="4766" spans="1:10" ht="15" customHeight="1" x14ac:dyDescent="0.3">
      <c r="A4766" s="516" t="s">
        <v>2586</v>
      </c>
      <c r="B4766" s="517" t="s">
        <v>16</v>
      </c>
      <c r="C4766" s="516" t="s">
        <v>2437</v>
      </c>
      <c r="D4766" s="516" t="s">
        <v>2587</v>
      </c>
      <c r="E4766" s="517" t="s">
        <v>2467</v>
      </c>
      <c r="F4766" s="517" t="s">
        <v>2576</v>
      </c>
      <c r="G4766" s="908" t="s">
        <v>2588</v>
      </c>
      <c r="H4766" s="903"/>
      <c r="I4766" s="517" t="s">
        <v>2470</v>
      </c>
      <c r="J4766"/>
    </row>
    <row r="4767" spans="1:10" s="358" customFormat="1" x14ac:dyDescent="0.3">
      <c r="A4767" s="518"/>
      <c r="B4767" s="518"/>
      <c r="C4767" s="518"/>
      <c r="D4767" s="518"/>
      <c r="E4767" s="518"/>
      <c r="F4767" s="518"/>
      <c r="G4767" s="518" t="s">
        <v>2589</v>
      </c>
      <c r="H4767" s="518" t="s">
        <v>2590</v>
      </c>
      <c r="I4767" s="518"/>
      <c r="J4767"/>
    </row>
    <row r="4768" spans="1:10" ht="37.5" x14ac:dyDescent="0.3">
      <c r="A4768" s="519" t="s">
        <v>2587</v>
      </c>
      <c r="B4768" s="520" t="s">
        <v>125</v>
      </c>
      <c r="C4768" s="519" t="s">
        <v>4007</v>
      </c>
      <c r="D4768" s="519" t="s">
        <v>4009</v>
      </c>
      <c r="E4768" s="522">
        <v>1E-3</v>
      </c>
      <c r="F4768" s="521" t="s">
        <v>2592</v>
      </c>
      <c r="G4768" s="520" t="s">
        <v>4472</v>
      </c>
      <c r="H4768" s="520" t="s">
        <v>4473</v>
      </c>
      <c r="I4768" s="524">
        <v>0</v>
      </c>
      <c r="J4768"/>
    </row>
    <row r="4769" spans="1:10" s="358" customFormat="1" ht="38.25" customHeight="1" thickBot="1" x14ac:dyDescent="0.35">
      <c r="A4769" s="902"/>
      <c r="B4769" s="902"/>
      <c r="C4769" s="902"/>
      <c r="D4769" s="902"/>
      <c r="E4769" s="902"/>
      <c r="F4769" s="902" t="s">
        <v>2593</v>
      </c>
      <c r="G4769" s="902"/>
      <c r="H4769" s="902"/>
      <c r="I4769" s="525">
        <v>0</v>
      </c>
      <c r="J4769"/>
    </row>
    <row r="4770" spans="1:10" ht="14.5" thickTop="1" x14ac:dyDescent="0.3">
      <c r="A4770" s="647"/>
      <c r="B4770" s="647"/>
      <c r="C4770" s="647"/>
      <c r="D4770" s="647"/>
      <c r="E4770" s="647"/>
      <c r="F4770" s="647"/>
      <c r="G4770" s="647"/>
      <c r="H4770" s="647"/>
      <c r="I4770" s="647"/>
      <c r="J4770"/>
    </row>
    <row r="4771" spans="1:10" x14ac:dyDescent="0.3">
      <c r="A4771" s="516"/>
      <c r="B4771" s="517" t="s">
        <v>15</v>
      </c>
      <c r="C4771" s="516" t="s">
        <v>16</v>
      </c>
      <c r="D4771" s="516" t="s">
        <v>17</v>
      </c>
      <c r="E4771" s="904" t="s">
        <v>2431</v>
      </c>
      <c r="F4771" s="904"/>
      <c r="G4771" s="518" t="s">
        <v>18</v>
      </c>
      <c r="H4771" s="517" t="s">
        <v>19</v>
      </c>
      <c r="I4771" s="517" t="s">
        <v>20</v>
      </c>
      <c r="J4771" s="517" t="s">
        <v>23</v>
      </c>
    </row>
    <row r="4772" spans="1:10" x14ac:dyDescent="0.3">
      <c r="A4772" s="642" t="s">
        <v>2432</v>
      </c>
      <c r="B4772" s="643" t="s">
        <v>4010</v>
      </c>
      <c r="C4772" s="642" t="s">
        <v>125</v>
      </c>
      <c r="D4772" s="642" t="s">
        <v>2869</v>
      </c>
      <c r="E4772" s="906" t="s">
        <v>1328</v>
      </c>
      <c r="F4772" s="906"/>
      <c r="G4772" s="644" t="s">
        <v>600</v>
      </c>
      <c r="H4772" s="645">
        <v>1</v>
      </c>
      <c r="I4772" s="646">
        <v>338.68</v>
      </c>
      <c r="J4772" s="646">
        <v>338.68</v>
      </c>
    </row>
    <row r="4773" spans="1:10" ht="14.25" customHeight="1" x14ac:dyDescent="0.3">
      <c r="A4773" s="902"/>
      <c r="B4773" s="902"/>
      <c r="C4773" s="902"/>
      <c r="D4773" s="902"/>
      <c r="E4773" s="902"/>
      <c r="F4773" s="902" t="s">
        <v>2476</v>
      </c>
      <c r="G4773" s="902"/>
      <c r="H4773" s="902"/>
      <c r="I4773" s="525">
        <v>0</v>
      </c>
      <c r="J4773"/>
    </row>
    <row r="4774" spans="1:10" s="358" customFormat="1" ht="15" customHeight="1" x14ac:dyDescent="0.3">
      <c r="A4774" s="902"/>
      <c r="B4774" s="902"/>
      <c r="C4774" s="902"/>
      <c r="D4774" s="902"/>
      <c r="E4774" s="902"/>
      <c r="F4774" s="902" t="s">
        <v>2477</v>
      </c>
      <c r="G4774" s="902"/>
      <c r="H4774" s="902"/>
      <c r="I4774" s="525">
        <v>0</v>
      </c>
      <c r="J4774"/>
    </row>
    <row r="4775" spans="1:10" x14ac:dyDescent="0.3">
      <c r="A4775" s="902"/>
      <c r="B4775" s="902"/>
      <c r="C4775" s="902"/>
      <c r="D4775" s="902"/>
      <c r="E4775" s="902"/>
      <c r="F4775" s="902" t="s">
        <v>2478</v>
      </c>
      <c r="G4775" s="902"/>
      <c r="H4775" s="902"/>
      <c r="I4775" s="525">
        <v>0</v>
      </c>
      <c r="J4775"/>
    </row>
    <row r="4776" spans="1:10" s="358" customFormat="1" ht="15" customHeight="1" x14ac:dyDescent="0.3">
      <c r="A4776" s="902"/>
      <c r="B4776" s="902"/>
      <c r="C4776" s="902"/>
      <c r="D4776" s="902"/>
      <c r="E4776" s="902"/>
      <c r="F4776" s="902" t="s">
        <v>2479</v>
      </c>
      <c r="G4776" s="902"/>
      <c r="H4776" s="902"/>
      <c r="I4776" s="525">
        <v>1</v>
      </c>
      <c r="J4776"/>
    </row>
    <row r="4777" spans="1:10" ht="15" customHeight="1" x14ac:dyDescent="0.3">
      <c r="A4777" s="902"/>
      <c r="B4777" s="902"/>
      <c r="C4777" s="902"/>
      <c r="D4777" s="902"/>
      <c r="E4777" s="902"/>
      <c r="F4777" s="902" t="s">
        <v>2480</v>
      </c>
      <c r="G4777" s="902"/>
      <c r="H4777" s="902"/>
      <c r="I4777" s="525">
        <v>0</v>
      </c>
      <c r="J4777"/>
    </row>
    <row r="4778" spans="1:10" ht="15" customHeight="1" x14ac:dyDescent="0.3">
      <c r="A4778" s="516" t="s">
        <v>2420</v>
      </c>
      <c r="B4778" s="517" t="s">
        <v>16</v>
      </c>
      <c r="C4778" s="516" t="s">
        <v>15</v>
      </c>
      <c r="D4778" s="516" t="s">
        <v>2442</v>
      </c>
      <c r="E4778" s="517" t="s">
        <v>2467</v>
      </c>
      <c r="F4778" s="517" t="s">
        <v>2576</v>
      </c>
      <c r="G4778" s="903" t="s">
        <v>2577</v>
      </c>
      <c r="H4778" s="903"/>
      <c r="I4778" s="517" t="s">
        <v>2470</v>
      </c>
      <c r="J4778"/>
    </row>
    <row r="4779" spans="1:10" x14ac:dyDescent="0.3">
      <c r="A4779" s="519" t="s">
        <v>2437</v>
      </c>
      <c r="B4779" s="520" t="s">
        <v>125</v>
      </c>
      <c r="C4779" s="519" t="s">
        <v>3109</v>
      </c>
      <c r="D4779" s="519" t="s">
        <v>3110</v>
      </c>
      <c r="E4779" s="522">
        <v>9.7732500000000009</v>
      </c>
      <c r="F4779" s="521" t="s">
        <v>384</v>
      </c>
      <c r="G4779" s="907">
        <v>29.3703</v>
      </c>
      <c r="H4779" s="907"/>
      <c r="I4779" s="524">
        <v>287.04329999999999</v>
      </c>
      <c r="J4779"/>
    </row>
    <row r="4780" spans="1:10" ht="14.25" customHeight="1" x14ac:dyDescent="0.3">
      <c r="A4780" s="902"/>
      <c r="B4780" s="902"/>
      <c r="C4780" s="902"/>
      <c r="D4780" s="902"/>
      <c r="E4780" s="902"/>
      <c r="F4780" s="902" t="s">
        <v>2809</v>
      </c>
      <c r="G4780" s="902"/>
      <c r="H4780" s="902"/>
      <c r="I4780" s="525">
        <v>287.04329999999999</v>
      </c>
      <c r="J4780"/>
    </row>
    <row r="4781" spans="1:10" ht="14.25" customHeight="1" x14ac:dyDescent="0.3">
      <c r="A4781" s="516" t="s">
        <v>2574</v>
      </c>
      <c r="B4781" s="517" t="s">
        <v>16</v>
      </c>
      <c r="C4781" s="516" t="s">
        <v>15</v>
      </c>
      <c r="D4781" s="516" t="s">
        <v>2575</v>
      </c>
      <c r="E4781" s="517" t="s">
        <v>2467</v>
      </c>
      <c r="F4781" s="517" t="s">
        <v>2576</v>
      </c>
      <c r="G4781" s="903" t="s">
        <v>2577</v>
      </c>
      <c r="H4781" s="903"/>
      <c r="I4781" s="517" t="s">
        <v>2470</v>
      </c>
      <c r="J4781"/>
    </row>
    <row r="4782" spans="1:10" ht="14.25" customHeight="1" x14ac:dyDescent="0.3">
      <c r="A4782" s="519" t="s">
        <v>2578</v>
      </c>
      <c r="B4782" s="520" t="s">
        <v>125</v>
      </c>
      <c r="C4782" s="519">
        <v>1107892</v>
      </c>
      <c r="D4782" s="519" t="s">
        <v>3111</v>
      </c>
      <c r="E4782" s="522">
        <v>2.4E-2</v>
      </c>
      <c r="F4782" s="521" t="s">
        <v>118</v>
      </c>
      <c r="G4782" s="907">
        <v>448.91</v>
      </c>
      <c r="H4782" s="907"/>
      <c r="I4782" s="524">
        <v>10.7738</v>
      </c>
      <c r="J4782"/>
    </row>
    <row r="4783" spans="1:10" ht="14.25" customHeight="1" x14ac:dyDescent="0.3">
      <c r="A4783" s="519" t="s">
        <v>2578</v>
      </c>
      <c r="B4783" s="520" t="s">
        <v>125</v>
      </c>
      <c r="C4783" s="519">
        <v>1419543</v>
      </c>
      <c r="D4783" s="519" t="s">
        <v>3611</v>
      </c>
      <c r="E4783" s="522">
        <v>1</v>
      </c>
      <c r="F4783" s="521" t="s">
        <v>600</v>
      </c>
      <c r="G4783" s="907">
        <v>0.19</v>
      </c>
      <c r="H4783" s="907"/>
      <c r="I4783" s="524">
        <v>0.19</v>
      </c>
      <c r="J4783"/>
    </row>
    <row r="4784" spans="1:10" ht="25" x14ac:dyDescent="0.3">
      <c r="A4784" s="519" t="s">
        <v>2578</v>
      </c>
      <c r="B4784" s="520" t="s">
        <v>125</v>
      </c>
      <c r="C4784" s="519">
        <v>3106121</v>
      </c>
      <c r="D4784" s="519" t="s">
        <v>3694</v>
      </c>
      <c r="E4784" s="522">
        <v>0.4</v>
      </c>
      <c r="F4784" s="521" t="s">
        <v>115</v>
      </c>
      <c r="G4784" s="907">
        <v>99.89</v>
      </c>
      <c r="H4784" s="907"/>
      <c r="I4784" s="524">
        <v>39.956000000000003</v>
      </c>
      <c r="J4784"/>
    </row>
    <row r="4785" spans="1:10" ht="14.25" customHeight="1" x14ac:dyDescent="0.3">
      <c r="A4785" s="519" t="s">
        <v>2578</v>
      </c>
      <c r="B4785" s="520" t="s">
        <v>125</v>
      </c>
      <c r="C4785" s="519">
        <v>2408057</v>
      </c>
      <c r="D4785" s="519" t="s">
        <v>3614</v>
      </c>
      <c r="E4785" s="522">
        <v>4.0699999999999998E-3</v>
      </c>
      <c r="F4785" s="521" t="s">
        <v>384</v>
      </c>
      <c r="G4785" s="907">
        <v>96.17</v>
      </c>
      <c r="H4785" s="907"/>
      <c r="I4785" s="524">
        <v>0.39140000000000003</v>
      </c>
      <c r="J4785"/>
    </row>
    <row r="4786" spans="1:10" ht="14.25" customHeight="1" x14ac:dyDescent="0.3">
      <c r="A4786" s="902"/>
      <c r="B4786" s="902"/>
      <c r="C4786" s="902"/>
      <c r="D4786" s="902"/>
      <c r="E4786" s="902"/>
      <c r="F4786" s="902" t="s">
        <v>2579</v>
      </c>
      <c r="G4786" s="902"/>
      <c r="H4786" s="902"/>
      <c r="I4786" s="525">
        <v>51.311199999999999</v>
      </c>
      <c r="J4786"/>
    </row>
    <row r="4787" spans="1:10" ht="15" customHeight="1" x14ac:dyDescent="0.3">
      <c r="A4787" s="516" t="s">
        <v>2580</v>
      </c>
      <c r="B4787" s="517" t="s">
        <v>16</v>
      </c>
      <c r="C4787" s="516" t="s">
        <v>2437</v>
      </c>
      <c r="D4787" s="516" t="s">
        <v>2581</v>
      </c>
      <c r="E4787" s="517" t="s">
        <v>15</v>
      </c>
      <c r="F4787" s="517" t="s">
        <v>2467</v>
      </c>
      <c r="G4787" s="518" t="s">
        <v>2576</v>
      </c>
      <c r="H4787" s="517" t="s">
        <v>2577</v>
      </c>
      <c r="I4787" s="517" t="s">
        <v>2470</v>
      </c>
      <c r="J4787"/>
    </row>
    <row r="4788" spans="1:10" ht="25" x14ac:dyDescent="0.3">
      <c r="A4788" s="519" t="s">
        <v>2582</v>
      </c>
      <c r="B4788" s="520" t="s">
        <v>125</v>
      </c>
      <c r="C4788" s="519" t="s">
        <v>3109</v>
      </c>
      <c r="D4788" s="519" t="s">
        <v>2838</v>
      </c>
      <c r="E4788" s="520">
        <v>5914655</v>
      </c>
      <c r="F4788" s="522">
        <v>9.7699999999999992E-3</v>
      </c>
      <c r="G4788" s="521" t="s">
        <v>374</v>
      </c>
      <c r="H4788" s="524">
        <v>33.159999999999997</v>
      </c>
      <c r="I4788" s="524">
        <v>0.32400000000000001</v>
      </c>
      <c r="J4788"/>
    </row>
    <row r="4789" spans="1:10" ht="14.25" customHeight="1" x14ac:dyDescent="0.3">
      <c r="A4789" s="902"/>
      <c r="B4789" s="902"/>
      <c r="C4789" s="902"/>
      <c r="D4789" s="902"/>
      <c r="E4789" s="902"/>
      <c r="F4789" s="902" t="s">
        <v>2585</v>
      </c>
      <c r="G4789" s="902"/>
      <c r="H4789" s="902"/>
      <c r="I4789" s="525">
        <v>0.32400000000000001</v>
      </c>
      <c r="J4789"/>
    </row>
    <row r="4790" spans="1:10" ht="15" customHeight="1" x14ac:dyDescent="0.3">
      <c r="A4790" s="516" t="s">
        <v>2586</v>
      </c>
      <c r="B4790" s="517" t="s">
        <v>16</v>
      </c>
      <c r="C4790" s="516" t="s">
        <v>2437</v>
      </c>
      <c r="D4790" s="516" t="s">
        <v>2587</v>
      </c>
      <c r="E4790" s="517" t="s">
        <v>2467</v>
      </c>
      <c r="F4790" s="517" t="s">
        <v>2576</v>
      </c>
      <c r="G4790" s="908" t="s">
        <v>2588</v>
      </c>
      <c r="H4790" s="903"/>
      <c r="I4790" s="517" t="s">
        <v>2470</v>
      </c>
      <c r="J4790"/>
    </row>
    <row r="4791" spans="1:10" x14ac:dyDescent="0.3">
      <c r="A4791" s="518"/>
      <c r="B4791" s="518"/>
      <c r="C4791" s="518"/>
      <c r="D4791" s="518"/>
      <c r="E4791" s="518"/>
      <c r="F4791" s="518"/>
      <c r="G4791" s="518" t="s">
        <v>2589</v>
      </c>
      <c r="H4791" s="518" t="s">
        <v>2590</v>
      </c>
      <c r="I4791" s="518"/>
      <c r="J4791"/>
    </row>
    <row r="4792" spans="1:10" ht="37.5" x14ac:dyDescent="0.3">
      <c r="A4792" s="519" t="s">
        <v>2587</v>
      </c>
      <c r="B4792" s="520" t="s">
        <v>125</v>
      </c>
      <c r="C4792" s="519" t="s">
        <v>3109</v>
      </c>
      <c r="D4792" s="519" t="s">
        <v>3113</v>
      </c>
      <c r="E4792" s="522">
        <v>9.7699999999999992E-3</v>
      </c>
      <c r="F4792" s="521" t="s">
        <v>2592</v>
      </c>
      <c r="G4792" s="520" t="s">
        <v>4472</v>
      </c>
      <c r="H4792" s="520" t="s">
        <v>4473</v>
      </c>
      <c r="I4792" s="524">
        <v>0</v>
      </c>
      <c r="J4792"/>
    </row>
    <row r="4793" spans="1:10" ht="14.25" customHeight="1" thickBot="1" x14ac:dyDescent="0.35">
      <c r="A4793" s="902"/>
      <c r="B4793" s="902"/>
      <c r="C4793" s="902"/>
      <c r="D4793" s="902"/>
      <c r="E4793" s="902"/>
      <c r="F4793" s="902" t="s">
        <v>2593</v>
      </c>
      <c r="G4793" s="902"/>
      <c r="H4793" s="902"/>
      <c r="I4793" s="525">
        <v>0</v>
      </c>
      <c r="J4793"/>
    </row>
    <row r="4794" spans="1:10" ht="15" customHeight="1" thickTop="1" x14ac:dyDescent="0.3">
      <c r="A4794" s="647"/>
      <c r="B4794" s="647"/>
      <c r="C4794" s="647"/>
      <c r="D4794" s="647"/>
      <c r="E4794" s="647"/>
      <c r="F4794" s="647"/>
      <c r="G4794" s="647"/>
      <c r="H4794" s="647"/>
      <c r="I4794" s="647"/>
      <c r="J4794"/>
    </row>
    <row r="4795" spans="1:10" x14ac:dyDescent="0.3">
      <c r="A4795" s="516"/>
      <c r="B4795" s="517" t="s">
        <v>15</v>
      </c>
      <c r="C4795" s="516" t="s">
        <v>16</v>
      </c>
      <c r="D4795" s="516" t="s">
        <v>17</v>
      </c>
      <c r="E4795" s="904" t="s">
        <v>2431</v>
      </c>
      <c r="F4795" s="904"/>
      <c r="G4795" s="518" t="s">
        <v>18</v>
      </c>
      <c r="H4795" s="517" t="s">
        <v>19</v>
      </c>
      <c r="I4795" s="517" t="s">
        <v>20</v>
      </c>
      <c r="J4795" s="517" t="s">
        <v>23</v>
      </c>
    </row>
    <row r="4796" spans="1:10" ht="14.25" customHeight="1" x14ac:dyDescent="0.3">
      <c r="A4796" s="642" t="s">
        <v>2432</v>
      </c>
      <c r="B4796" s="643" t="s">
        <v>2993</v>
      </c>
      <c r="C4796" s="642" t="s">
        <v>32</v>
      </c>
      <c r="D4796" s="642" t="s">
        <v>4291</v>
      </c>
      <c r="E4796" s="906" t="s">
        <v>2465</v>
      </c>
      <c r="F4796" s="906"/>
      <c r="G4796" s="644" t="s">
        <v>103</v>
      </c>
      <c r="H4796" s="645">
        <v>1</v>
      </c>
      <c r="I4796" s="646">
        <v>243.96</v>
      </c>
      <c r="J4796" s="646">
        <v>243.96</v>
      </c>
    </row>
    <row r="4797" spans="1:10" ht="15" customHeight="1" x14ac:dyDescent="0.3">
      <c r="A4797" s="519" t="s">
        <v>2434</v>
      </c>
      <c r="B4797" s="520" t="s">
        <v>4011</v>
      </c>
      <c r="C4797" s="519" t="s">
        <v>32</v>
      </c>
      <c r="D4797" s="519" t="s">
        <v>4368</v>
      </c>
      <c r="E4797" s="905" t="s">
        <v>2465</v>
      </c>
      <c r="F4797" s="905"/>
      <c r="G4797" s="521" t="s">
        <v>1901</v>
      </c>
      <c r="H4797" s="522">
        <v>1</v>
      </c>
      <c r="I4797" s="523">
        <v>4.7</v>
      </c>
      <c r="J4797" s="523">
        <v>4.7</v>
      </c>
    </row>
    <row r="4798" spans="1:10" ht="25.5" customHeight="1" x14ac:dyDescent="0.3">
      <c r="A4798" s="519" t="s">
        <v>2434</v>
      </c>
      <c r="B4798" s="520" t="s">
        <v>4012</v>
      </c>
      <c r="C4798" s="519" t="s">
        <v>32</v>
      </c>
      <c r="D4798" s="519" t="s">
        <v>4369</v>
      </c>
      <c r="E4798" s="905" t="s">
        <v>2465</v>
      </c>
      <c r="F4798" s="905"/>
      <c r="G4798" s="521" t="s">
        <v>1901</v>
      </c>
      <c r="H4798" s="522">
        <v>1</v>
      </c>
      <c r="I4798" s="523">
        <v>1.63</v>
      </c>
      <c r="J4798" s="523">
        <v>1.63</v>
      </c>
    </row>
    <row r="4799" spans="1:10" ht="25.5" customHeight="1" x14ac:dyDescent="0.3">
      <c r="A4799" s="519" t="s">
        <v>2434</v>
      </c>
      <c r="B4799" s="520" t="s">
        <v>4013</v>
      </c>
      <c r="C4799" s="519" t="s">
        <v>32</v>
      </c>
      <c r="D4799" s="519" t="s">
        <v>4370</v>
      </c>
      <c r="E4799" s="905" t="s">
        <v>2465</v>
      </c>
      <c r="F4799" s="905"/>
      <c r="G4799" s="521" t="s">
        <v>1901</v>
      </c>
      <c r="H4799" s="522">
        <v>1</v>
      </c>
      <c r="I4799" s="523">
        <v>5.88</v>
      </c>
      <c r="J4799" s="523">
        <v>5.88</v>
      </c>
    </row>
    <row r="4800" spans="1:10" ht="15" customHeight="1" thickBot="1" x14ac:dyDescent="0.35">
      <c r="A4800" s="519" t="s">
        <v>2434</v>
      </c>
      <c r="B4800" s="520" t="s">
        <v>4014</v>
      </c>
      <c r="C4800" s="519" t="s">
        <v>32</v>
      </c>
      <c r="D4800" s="519" t="s">
        <v>4371</v>
      </c>
      <c r="E4800" s="905" t="s">
        <v>2465</v>
      </c>
      <c r="F4800" s="905"/>
      <c r="G4800" s="521" t="s">
        <v>1901</v>
      </c>
      <c r="H4800" s="522">
        <v>1</v>
      </c>
      <c r="I4800" s="523">
        <v>231.75</v>
      </c>
      <c r="J4800" s="523">
        <v>231.75</v>
      </c>
    </row>
    <row r="4801" spans="1:10" s="358" customFormat="1" ht="14.5" thickTop="1" x14ac:dyDescent="0.3">
      <c r="A4801" s="647"/>
      <c r="B4801" s="647"/>
      <c r="C4801" s="647"/>
      <c r="D4801" s="647"/>
      <c r="E4801" s="647"/>
      <c r="F4801" s="647"/>
      <c r="G4801" s="647"/>
      <c r="H4801" s="647"/>
      <c r="I4801" s="647"/>
      <c r="J4801"/>
    </row>
    <row r="4802" spans="1:10" x14ac:dyDescent="0.3">
      <c r="A4802" s="516"/>
      <c r="B4802" s="517" t="s">
        <v>15</v>
      </c>
      <c r="C4802" s="516" t="s">
        <v>16</v>
      </c>
      <c r="D4802" s="516" t="s">
        <v>17</v>
      </c>
      <c r="E4802" s="904" t="s">
        <v>2431</v>
      </c>
      <c r="F4802" s="904"/>
      <c r="G4802" s="518" t="s">
        <v>18</v>
      </c>
      <c r="H4802" s="517" t="s">
        <v>19</v>
      </c>
      <c r="I4802" s="517" t="s">
        <v>20</v>
      </c>
      <c r="J4802" s="517" t="s">
        <v>23</v>
      </c>
    </row>
    <row r="4803" spans="1:10" s="358" customFormat="1" ht="25.5" customHeight="1" x14ac:dyDescent="0.3">
      <c r="A4803" s="642" t="s">
        <v>2432</v>
      </c>
      <c r="B4803" s="643" t="s">
        <v>4011</v>
      </c>
      <c r="C4803" s="642" t="s">
        <v>32</v>
      </c>
      <c r="D4803" s="642" t="s">
        <v>4368</v>
      </c>
      <c r="E4803" s="906" t="s">
        <v>2465</v>
      </c>
      <c r="F4803" s="906"/>
      <c r="G4803" s="644" t="s">
        <v>1901</v>
      </c>
      <c r="H4803" s="645">
        <v>1</v>
      </c>
      <c r="I4803" s="646">
        <v>4.7</v>
      </c>
      <c r="J4803" s="646">
        <v>4.7</v>
      </c>
    </row>
    <row r="4804" spans="1:10" ht="14.25" customHeight="1" thickBot="1" x14ac:dyDescent="0.35">
      <c r="A4804" s="519" t="s">
        <v>2437</v>
      </c>
      <c r="B4804" s="520" t="s">
        <v>4015</v>
      </c>
      <c r="C4804" s="519" t="s">
        <v>32</v>
      </c>
      <c r="D4804" s="519" t="s">
        <v>4016</v>
      </c>
      <c r="E4804" s="905" t="s">
        <v>2442</v>
      </c>
      <c r="F4804" s="905"/>
      <c r="G4804" s="521" t="s">
        <v>89</v>
      </c>
      <c r="H4804" s="522">
        <v>3.1999999999999999E-5</v>
      </c>
      <c r="I4804" s="523">
        <v>147034.85999999999</v>
      </c>
      <c r="J4804" s="523">
        <v>4.7</v>
      </c>
    </row>
    <row r="4805" spans="1:10" ht="14.25" customHeight="1" thickTop="1" x14ac:dyDescent="0.3">
      <c r="A4805" s="647"/>
      <c r="B4805" s="647"/>
      <c r="C4805" s="647"/>
      <c r="D4805" s="647"/>
      <c r="E4805" s="647"/>
      <c r="F4805" s="647"/>
      <c r="G4805" s="647"/>
      <c r="H4805" s="647"/>
      <c r="I4805" s="647"/>
      <c r="J4805"/>
    </row>
    <row r="4806" spans="1:10" x14ac:dyDescent="0.3">
      <c r="A4806" s="516"/>
      <c r="B4806" s="517" t="s">
        <v>15</v>
      </c>
      <c r="C4806" s="516" t="s">
        <v>16</v>
      </c>
      <c r="D4806" s="516" t="s">
        <v>17</v>
      </c>
      <c r="E4806" s="904" t="s">
        <v>2431</v>
      </c>
      <c r="F4806" s="904"/>
      <c r="G4806" s="518" t="s">
        <v>18</v>
      </c>
      <c r="H4806" s="517" t="s">
        <v>19</v>
      </c>
      <c r="I4806" s="517" t="s">
        <v>20</v>
      </c>
      <c r="J4806" s="517" t="s">
        <v>23</v>
      </c>
    </row>
    <row r="4807" spans="1:10" ht="14.25" customHeight="1" x14ac:dyDescent="0.3">
      <c r="A4807" s="642" t="s">
        <v>2432</v>
      </c>
      <c r="B4807" s="643" t="s">
        <v>4012</v>
      </c>
      <c r="C4807" s="642" t="s">
        <v>32</v>
      </c>
      <c r="D4807" s="642" t="s">
        <v>4369</v>
      </c>
      <c r="E4807" s="906" t="s">
        <v>2465</v>
      </c>
      <c r="F4807" s="906"/>
      <c r="G4807" s="644" t="s">
        <v>1901</v>
      </c>
      <c r="H4807" s="645">
        <v>1</v>
      </c>
      <c r="I4807" s="646">
        <v>1.63</v>
      </c>
      <c r="J4807" s="646">
        <v>1.63</v>
      </c>
    </row>
    <row r="4808" spans="1:10" ht="14.25" customHeight="1" thickBot="1" x14ac:dyDescent="0.35">
      <c r="A4808" s="519" t="s">
        <v>2437</v>
      </c>
      <c r="B4808" s="520" t="s">
        <v>4015</v>
      </c>
      <c r="C4808" s="519" t="s">
        <v>32</v>
      </c>
      <c r="D4808" s="519" t="s">
        <v>4016</v>
      </c>
      <c r="E4808" s="905" t="s">
        <v>2442</v>
      </c>
      <c r="F4808" s="905"/>
      <c r="G4808" s="521" t="s">
        <v>89</v>
      </c>
      <c r="H4808" s="522">
        <v>1.11E-5</v>
      </c>
      <c r="I4808" s="523">
        <v>147034.85999999999</v>
      </c>
      <c r="J4808" s="523">
        <v>1.63</v>
      </c>
    </row>
    <row r="4809" spans="1:10" ht="15" customHeight="1" thickTop="1" x14ac:dyDescent="0.3">
      <c r="A4809" s="647"/>
      <c r="B4809" s="647"/>
      <c r="C4809" s="647"/>
      <c r="D4809" s="647"/>
      <c r="E4809" s="647"/>
      <c r="F4809" s="647"/>
      <c r="G4809" s="647"/>
      <c r="H4809" s="647"/>
      <c r="I4809" s="647"/>
      <c r="J4809"/>
    </row>
    <row r="4810" spans="1:10" x14ac:dyDescent="0.3">
      <c r="A4810" s="516"/>
      <c r="B4810" s="517" t="s">
        <v>15</v>
      </c>
      <c r="C4810" s="516" t="s">
        <v>16</v>
      </c>
      <c r="D4810" s="516" t="s">
        <v>17</v>
      </c>
      <c r="E4810" s="904" t="s">
        <v>2431</v>
      </c>
      <c r="F4810" s="904"/>
      <c r="G4810" s="518" t="s">
        <v>18</v>
      </c>
      <c r="H4810" s="517" t="s">
        <v>19</v>
      </c>
      <c r="I4810" s="517" t="s">
        <v>20</v>
      </c>
      <c r="J4810" s="517" t="s">
        <v>23</v>
      </c>
    </row>
    <row r="4811" spans="1:10" ht="14.25" customHeight="1" x14ac:dyDescent="0.3">
      <c r="A4811" s="642" t="s">
        <v>2432</v>
      </c>
      <c r="B4811" s="643" t="s">
        <v>4013</v>
      </c>
      <c r="C4811" s="642" t="s">
        <v>32</v>
      </c>
      <c r="D4811" s="642" t="s">
        <v>4370</v>
      </c>
      <c r="E4811" s="906" t="s">
        <v>2465</v>
      </c>
      <c r="F4811" s="906"/>
      <c r="G4811" s="644" t="s">
        <v>1901</v>
      </c>
      <c r="H4811" s="645">
        <v>1</v>
      </c>
      <c r="I4811" s="646">
        <v>5.88</v>
      </c>
      <c r="J4811" s="646">
        <v>5.88</v>
      </c>
    </row>
    <row r="4812" spans="1:10" ht="15" customHeight="1" thickBot="1" x14ac:dyDescent="0.35">
      <c r="A4812" s="519" t="s">
        <v>2437</v>
      </c>
      <c r="B4812" s="520" t="s">
        <v>4015</v>
      </c>
      <c r="C4812" s="519" t="s">
        <v>32</v>
      </c>
      <c r="D4812" s="519" t="s">
        <v>4016</v>
      </c>
      <c r="E4812" s="905" t="s">
        <v>2442</v>
      </c>
      <c r="F4812" s="905"/>
      <c r="G4812" s="521" t="s">
        <v>89</v>
      </c>
      <c r="H4812" s="522">
        <v>4.0000000000000003E-5</v>
      </c>
      <c r="I4812" s="523">
        <v>147034.85999999999</v>
      </c>
      <c r="J4812" s="523">
        <v>5.88</v>
      </c>
    </row>
    <row r="4813" spans="1:10" ht="14.5" thickTop="1" x14ac:dyDescent="0.3">
      <c r="A4813" s="647"/>
      <c r="B4813" s="647"/>
      <c r="C4813" s="647"/>
      <c r="D4813" s="647"/>
      <c r="E4813" s="647"/>
      <c r="F4813" s="647"/>
      <c r="G4813" s="647"/>
      <c r="H4813" s="647"/>
      <c r="I4813" s="647"/>
      <c r="J4813"/>
    </row>
    <row r="4814" spans="1:10" x14ac:dyDescent="0.3">
      <c r="A4814" s="516"/>
      <c r="B4814" s="517" t="s">
        <v>15</v>
      </c>
      <c r="C4814" s="516" t="s">
        <v>16</v>
      </c>
      <c r="D4814" s="516" t="s">
        <v>17</v>
      </c>
      <c r="E4814" s="904" t="s">
        <v>2431</v>
      </c>
      <c r="F4814" s="904"/>
      <c r="G4814" s="518" t="s">
        <v>18</v>
      </c>
      <c r="H4814" s="517" t="s">
        <v>19</v>
      </c>
      <c r="I4814" s="517" t="s">
        <v>20</v>
      </c>
      <c r="J4814" s="517" t="s">
        <v>23</v>
      </c>
    </row>
    <row r="4815" spans="1:10" ht="25.5" customHeight="1" x14ac:dyDescent="0.3">
      <c r="A4815" s="642" t="s">
        <v>2432</v>
      </c>
      <c r="B4815" s="643" t="s">
        <v>4014</v>
      </c>
      <c r="C4815" s="642" t="s">
        <v>32</v>
      </c>
      <c r="D4815" s="642" t="s">
        <v>4371</v>
      </c>
      <c r="E4815" s="906" t="s">
        <v>2465</v>
      </c>
      <c r="F4815" s="906"/>
      <c r="G4815" s="644" t="s">
        <v>1901</v>
      </c>
      <c r="H4815" s="645">
        <v>1</v>
      </c>
      <c r="I4815" s="646">
        <v>231.75</v>
      </c>
      <c r="J4815" s="646">
        <v>231.75</v>
      </c>
    </row>
    <row r="4816" spans="1:10" ht="14.5" thickBot="1" x14ac:dyDescent="0.35">
      <c r="A4816" s="519" t="s">
        <v>2437</v>
      </c>
      <c r="B4816" s="520" t="s">
        <v>4485</v>
      </c>
      <c r="C4816" s="519" t="s">
        <v>125</v>
      </c>
      <c r="D4816" s="519" t="s">
        <v>4486</v>
      </c>
      <c r="E4816" s="905" t="s">
        <v>2442</v>
      </c>
      <c r="F4816" s="905"/>
      <c r="G4816" s="521" t="s">
        <v>2829</v>
      </c>
      <c r="H4816" s="522">
        <v>42.862299999999998</v>
      </c>
      <c r="I4816" s="523">
        <v>5.4069000000000003</v>
      </c>
      <c r="J4816" s="523">
        <v>231.75</v>
      </c>
    </row>
    <row r="4817" spans="1:10" ht="14.25" customHeight="1" thickTop="1" x14ac:dyDescent="0.3">
      <c r="A4817" s="647"/>
      <c r="B4817" s="647"/>
      <c r="C4817" s="647"/>
      <c r="D4817" s="647"/>
      <c r="E4817" s="647"/>
      <c r="F4817" s="647"/>
      <c r="G4817" s="647"/>
      <c r="H4817" s="647"/>
      <c r="I4817" s="647"/>
      <c r="J4817"/>
    </row>
    <row r="4818" spans="1:10" ht="15" customHeight="1" x14ac:dyDescent="0.3">
      <c r="A4818" s="516"/>
      <c r="B4818" s="517" t="s">
        <v>15</v>
      </c>
      <c r="C4818" s="516" t="s">
        <v>16</v>
      </c>
      <c r="D4818" s="516" t="s">
        <v>17</v>
      </c>
      <c r="E4818" s="904" t="s">
        <v>2431</v>
      </c>
      <c r="F4818" s="904"/>
      <c r="G4818" s="518" t="s">
        <v>18</v>
      </c>
      <c r="H4818" s="517" t="s">
        <v>19</v>
      </c>
      <c r="I4818" s="517" t="s">
        <v>20</v>
      </c>
      <c r="J4818" s="517" t="s">
        <v>23</v>
      </c>
    </row>
    <row r="4819" spans="1:10" ht="38.25" customHeight="1" x14ac:dyDescent="0.3">
      <c r="A4819" s="642" t="s">
        <v>2432</v>
      </c>
      <c r="B4819" s="643" t="s">
        <v>3681</v>
      </c>
      <c r="C4819" s="642" t="s">
        <v>32</v>
      </c>
      <c r="D4819" s="642" t="s">
        <v>3682</v>
      </c>
      <c r="E4819" s="906" t="s">
        <v>2465</v>
      </c>
      <c r="F4819" s="906"/>
      <c r="G4819" s="644" t="s">
        <v>1901</v>
      </c>
      <c r="H4819" s="645">
        <v>1</v>
      </c>
      <c r="I4819" s="646">
        <v>0.01</v>
      </c>
      <c r="J4819" s="646">
        <v>0.01</v>
      </c>
    </row>
    <row r="4820" spans="1:10" ht="14.25" customHeight="1" thickBot="1" x14ac:dyDescent="0.35">
      <c r="A4820" s="519" t="s">
        <v>2437</v>
      </c>
      <c r="B4820" s="520" t="s">
        <v>3347</v>
      </c>
      <c r="C4820" s="519" t="s">
        <v>32</v>
      </c>
      <c r="D4820" s="519" t="s">
        <v>3348</v>
      </c>
      <c r="E4820" s="905" t="s">
        <v>2442</v>
      </c>
      <c r="F4820" s="905"/>
      <c r="G4820" s="521" t="s">
        <v>2532</v>
      </c>
      <c r="H4820" s="522">
        <v>0.02</v>
      </c>
      <c r="I4820" s="523">
        <v>0.72</v>
      </c>
      <c r="J4820" s="523">
        <v>0.01</v>
      </c>
    </row>
    <row r="4821" spans="1:10" ht="15" customHeight="1" thickTop="1" x14ac:dyDescent="0.3">
      <c r="A4821" s="647"/>
      <c r="B4821" s="647"/>
      <c r="C4821" s="647"/>
      <c r="D4821" s="647"/>
      <c r="E4821" s="647"/>
      <c r="F4821" s="647"/>
      <c r="G4821" s="647"/>
      <c r="H4821" s="647"/>
      <c r="I4821" s="647"/>
      <c r="J4821"/>
    </row>
    <row r="4822" spans="1:10" x14ac:dyDescent="0.3">
      <c r="A4822" s="516"/>
      <c r="B4822" s="517" t="s">
        <v>15</v>
      </c>
      <c r="C4822" s="516" t="s">
        <v>16</v>
      </c>
      <c r="D4822" s="516" t="s">
        <v>17</v>
      </c>
      <c r="E4822" s="904" t="s">
        <v>2431</v>
      </c>
      <c r="F4822" s="904"/>
      <c r="G4822" s="518" t="s">
        <v>18</v>
      </c>
      <c r="H4822" s="517" t="s">
        <v>19</v>
      </c>
      <c r="I4822" s="517" t="s">
        <v>20</v>
      </c>
      <c r="J4822" s="517" t="s">
        <v>23</v>
      </c>
    </row>
    <row r="4823" spans="1:10" ht="14.25" customHeight="1" x14ac:dyDescent="0.3">
      <c r="A4823" s="642" t="s">
        <v>2432</v>
      </c>
      <c r="B4823" s="643" t="s">
        <v>4017</v>
      </c>
      <c r="C4823" s="642" t="s">
        <v>32</v>
      </c>
      <c r="D4823" s="642" t="s">
        <v>4018</v>
      </c>
      <c r="E4823" s="906" t="s">
        <v>2433</v>
      </c>
      <c r="F4823" s="906"/>
      <c r="G4823" s="644" t="s">
        <v>1901</v>
      </c>
      <c r="H4823" s="645">
        <v>1</v>
      </c>
      <c r="I4823" s="646">
        <v>30.44</v>
      </c>
      <c r="J4823" s="646">
        <v>30.44</v>
      </c>
    </row>
    <row r="4824" spans="1:10" ht="15" customHeight="1" x14ac:dyDescent="0.3">
      <c r="A4824" s="519" t="s">
        <v>2434</v>
      </c>
      <c r="B4824" s="520" t="s">
        <v>3589</v>
      </c>
      <c r="C4824" s="519" t="s">
        <v>32</v>
      </c>
      <c r="D4824" s="519" t="s">
        <v>3590</v>
      </c>
      <c r="E4824" s="905" t="s">
        <v>2433</v>
      </c>
      <c r="F4824" s="905"/>
      <c r="G4824" s="521" t="s">
        <v>1901</v>
      </c>
      <c r="H4824" s="522">
        <v>1</v>
      </c>
      <c r="I4824" s="523">
        <v>0.28000000000000003</v>
      </c>
      <c r="J4824" s="523">
        <v>0.28000000000000003</v>
      </c>
    </row>
    <row r="4825" spans="1:10" s="358" customFormat="1" x14ac:dyDescent="0.3">
      <c r="A4825" s="519" t="s">
        <v>2437</v>
      </c>
      <c r="B4825" s="520" t="s">
        <v>3591</v>
      </c>
      <c r="C4825" s="519" t="s">
        <v>32</v>
      </c>
      <c r="D4825" s="519" t="s">
        <v>3592</v>
      </c>
      <c r="E4825" s="905" t="s">
        <v>2440</v>
      </c>
      <c r="F4825" s="905"/>
      <c r="G4825" s="521" t="s">
        <v>1901</v>
      </c>
      <c r="H4825" s="522">
        <v>1</v>
      </c>
      <c r="I4825" s="523">
        <v>21.56</v>
      </c>
      <c r="J4825" s="523">
        <v>21.56</v>
      </c>
    </row>
    <row r="4826" spans="1:10" ht="25" x14ac:dyDescent="0.3">
      <c r="A4826" s="519" t="s">
        <v>2437</v>
      </c>
      <c r="B4826" s="520" t="s">
        <v>3257</v>
      </c>
      <c r="C4826" s="519" t="s">
        <v>32</v>
      </c>
      <c r="D4826" s="519" t="s">
        <v>4306</v>
      </c>
      <c r="E4826" s="905" t="s">
        <v>2856</v>
      </c>
      <c r="F4826" s="905"/>
      <c r="G4826" s="521" t="s">
        <v>1901</v>
      </c>
      <c r="H4826" s="522">
        <v>1</v>
      </c>
      <c r="I4826" s="523">
        <v>3.8</v>
      </c>
      <c r="J4826" s="523">
        <v>3.8</v>
      </c>
    </row>
    <row r="4827" spans="1:10" s="358" customFormat="1" ht="25.5" customHeight="1" x14ac:dyDescent="0.3">
      <c r="A4827" s="519" t="s">
        <v>2437</v>
      </c>
      <c r="B4827" s="520" t="s">
        <v>3258</v>
      </c>
      <c r="C4827" s="519" t="s">
        <v>32</v>
      </c>
      <c r="D4827" s="519" t="s">
        <v>4307</v>
      </c>
      <c r="E4827" s="905" t="s">
        <v>3259</v>
      </c>
      <c r="F4827" s="905"/>
      <c r="G4827" s="521" t="s">
        <v>1901</v>
      </c>
      <c r="H4827" s="522">
        <v>1</v>
      </c>
      <c r="I4827" s="523">
        <v>1.5</v>
      </c>
      <c r="J4827" s="523">
        <v>1.5</v>
      </c>
    </row>
    <row r="4828" spans="1:10" ht="25.5" customHeight="1" x14ac:dyDescent="0.3">
      <c r="A4828" s="519" t="s">
        <v>2437</v>
      </c>
      <c r="B4828" s="520" t="s">
        <v>3260</v>
      </c>
      <c r="C4828" s="519" t="s">
        <v>32</v>
      </c>
      <c r="D4828" s="519" t="s">
        <v>4308</v>
      </c>
      <c r="E4828" s="905" t="s">
        <v>2856</v>
      </c>
      <c r="F4828" s="905"/>
      <c r="G4828" s="521" t="s">
        <v>1901</v>
      </c>
      <c r="H4828" s="522">
        <v>1</v>
      </c>
      <c r="I4828" s="523">
        <v>1.34</v>
      </c>
      <c r="J4828" s="523">
        <v>1.34</v>
      </c>
    </row>
    <row r="4829" spans="1:10" ht="25.5" customHeight="1" x14ac:dyDescent="0.3">
      <c r="A4829" s="519" t="s">
        <v>2437</v>
      </c>
      <c r="B4829" s="520" t="s">
        <v>3261</v>
      </c>
      <c r="C4829" s="519" t="s">
        <v>32</v>
      </c>
      <c r="D4829" s="519" t="s">
        <v>4309</v>
      </c>
      <c r="E4829" s="905" t="s">
        <v>2535</v>
      </c>
      <c r="F4829" s="905"/>
      <c r="G4829" s="521" t="s">
        <v>1901</v>
      </c>
      <c r="H4829" s="522">
        <v>1</v>
      </c>
      <c r="I4829" s="523">
        <v>0.04</v>
      </c>
      <c r="J4829" s="523">
        <v>0.04</v>
      </c>
    </row>
    <row r="4830" spans="1:10" ht="25.5" customHeight="1" x14ac:dyDescent="0.3">
      <c r="A4830" s="519" t="s">
        <v>2437</v>
      </c>
      <c r="B4830" s="520" t="s">
        <v>3270</v>
      </c>
      <c r="C4830" s="519" t="s">
        <v>32</v>
      </c>
      <c r="D4830" s="519" t="s">
        <v>3271</v>
      </c>
      <c r="E4830" s="905" t="s">
        <v>2446</v>
      </c>
      <c r="F4830" s="905"/>
      <c r="G4830" s="521" t="s">
        <v>1901</v>
      </c>
      <c r="H4830" s="522">
        <v>1</v>
      </c>
      <c r="I4830" s="523">
        <v>0.49</v>
      </c>
      <c r="J4830" s="523">
        <v>0.49</v>
      </c>
    </row>
    <row r="4831" spans="1:10" ht="26.25" customHeight="1" thickBot="1" x14ac:dyDescent="0.35">
      <c r="A4831" s="519" t="s">
        <v>2437</v>
      </c>
      <c r="B4831" s="520" t="s">
        <v>3272</v>
      </c>
      <c r="C4831" s="519" t="s">
        <v>32</v>
      </c>
      <c r="D4831" s="519" t="s">
        <v>3273</v>
      </c>
      <c r="E4831" s="905" t="s">
        <v>2446</v>
      </c>
      <c r="F4831" s="905"/>
      <c r="G4831" s="521" t="s">
        <v>1901</v>
      </c>
      <c r="H4831" s="522">
        <v>1</v>
      </c>
      <c r="I4831" s="523">
        <v>1.43</v>
      </c>
      <c r="J4831" s="523">
        <v>1.43</v>
      </c>
    </row>
    <row r="4832" spans="1:10" s="358" customFormat="1" ht="14.5" thickTop="1" x14ac:dyDescent="0.3">
      <c r="A4832" s="647"/>
      <c r="B4832" s="647"/>
      <c r="C4832" s="647"/>
      <c r="D4832" s="647"/>
      <c r="E4832" s="647"/>
      <c r="F4832" s="647"/>
      <c r="G4832" s="647"/>
      <c r="H4832" s="647"/>
      <c r="I4832" s="647"/>
      <c r="J4832"/>
    </row>
    <row r="4833" spans="1:10" x14ac:dyDescent="0.3">
      <c r="A4833" s="516"/>
      <c r="B4833" s="517" t="s">
        <v>15</v>
      </c>
      <c r="C4833" s="516" t="s">
        <v>16</v>
      </c>
      <c r="D4833" s="516" t="s">
        <v>17</v>
      </c>
      <c r="E4833" s="904" t="s">
        <v>2431</v>
      </c>
      <c r="F4833" s="904"/>
      <c r="G4833" s="518" t="s">
        <v>18</v>
      </c>
      <c r="H4833" s="517" t="s">
        <v>19</v>
      </c>
      <c r="I4833" s="517" t="s">
        <v>20</v>
      </c>
      <c r="J4833" s="517" t="s">
        <v>23</v>
      </c>
    </row>
    <row r="4834" spans="1:10" s="358" customFormat="1" ht="25.5" customHeight="1" x14ac:dyDescent="0.3">
      <c r="A4834" s="642" t="s">
        <v>2432</v>
      </c>
      <c r="B4834" s="643" t="s">
        <v>2677</v>
      </c>
      <c r="C4834" s="642" t="s">
        <v>32</v>
      </c>
      <c r="D4834" s="642" t="s">
        <v>2678</v>
      </c>
      <c r="E4834" s="906" t="s">
        <v>2676</v>
      </c>
      <c r="F4834" s="906"/>
      <c r="G4834" s="644" t="s">
        <v>115</v>
      </c>
      <c r="H4834" s="645">
        <v>1</v>
      </c>
      <c r="I4834" s="646">
        <v>44.7</v>
      </c>
      <c r="J4834" s="646">
        <v>44.7</v>
      </c>
    </row>
    <row r="4835" spans="1:10" ht="25" x14ac:dyDescent="0.3">
      <c r="A4835" s="519" t="s">
        <v>2434</v>
      </c>
      <c r="B4835" s="520" t="s">
        <v>2561</v>
      </c>
      <c r="C4835" s="519" t="s">
        <v>32</v>
      </c>
      <c r="D4835" s="519" t="s">
        <v>2562</v>
      </c>
      <c r="E4835" s="905" t="s">
        <v>2433</v>
      </c>
      <c r="F4835" s="905"/>
      <c r="G4835" s="521" t="s">
        <v>1901</v>
      </c>
      <c r="H4835" s="522">
        <v>0.16600000000000001</v>
      </c>
      <c r="I4835" s="523">
        <v>23.4</v>
      </c>
      <c r="J4835" s="523">
        <v>3.88</v>
      </c>
    </row>
    <row r="4836" spans="1:10" s="358" customFormat="1" ht="25" x14ac:dyDescent="0.3">
      <c r="A4836" s="519" t="s">
        <v>2434</v>
      </c>
      <c r="B4836" s="520" t="s">
        <v>4017</v>
      </c>
      <c r="C4836" s="519" t="s">
        <v>32</v>
      </c>
      <c r="D4836" s="519" t="s">
        <v>4018</v>
      </c>
      <c r="E4836" s="905" t="s">
        <v>2433</v>
      </c>
      <c r="F4836" s="905"/>
      <c r="G4836" s="521" t="s">
        <v>1901</v>
      </c>
      <c r="H4836" s="522">
        <v>0.128</v>
      </c>
      <c r="I4836" s="523">
        <v>30.44</v>
      </c>
      <c r="J4836" s="523">
        <v>3.89</v>
      </c>
    </row>
    <row r="4837" spans="1:10" ht="25.5" customHeight="1" x14ac:dyDescent="0.3">
      <c r="A4837" s="519" t="s">
        <v>2434</v>
      </c>
      <c r="B4837" s="520" t="s">
        <v>3735</v>
      </c>
      <c r="C4837" s="519" t="s">
        <v>32</v>
      </c>
      <c r="D4837" s="519" t="s">
        <v>3736</v>
      </c>
      <c r="E4837" s="905" t="s">
        <v>2465</v>
      </c>
      <c r="F4837" s="905"/>
      <c r="G4837" s="521" t="s">
        <v>103</v>
      </c>
      <c r="H4837" s="522">
        <v>5.3E-3</v>
      </c>
      <c r="I4837" s="523">
        <v>27.04</v>
      </c>
      <c r="J4837" s="523">
        <v>0.14000000000000001</v>
      </c>
    </row>
    <row r="4838" spans="1:10" s="358" customFormat="1" ht="25.5" customHeight="1" x14ac:dyDescent="0.3">
      <c r="A4838" s="519" t="s">
        <v>2434</v>
      </c>
      <c r="B4838" s="520" t="s">
        <v>3727</v>
      </c>
      <c r="C4838" s="519" t="s">
        <v>32</v>
      </c>
      <c r="D4838" s="519" t="s">
        <v>3728</v>
      </c>
      <c r="E4838" s="905" t="s">
        <v>2465</v>
      </c>
      <c r="F4838" s="905"/>
      <c r="G4838" s="521" t="s">
        <v>110</v>
      </c>
      <c r="H4838" s="522">
        <v>7.3000000000000001E-3</v>
      </c>
      <c r="I4838" s="523">
        <v>26.22</v>
      </c>
      <c r="J4838" s="523">
        <v>0.19</v>
      </c>
    </row>
    <row r="4839" spans="1:10" ht="25" x14ac:dyDescent="0.3">
      <c r="A4839" s="519" t="s">
        <v>2437</v>
      </c>
      <c r="B4839" s="520" t="s">
        <v>4019</v>
      </c>
      <c r="C4839" s="519" t="s">
        <v>32</v>
      </c>
      <c r="D4839" s="519" t="s">
        <v>4020</v>
      </c>
      <c r="E4839" s="905" t="s">
        <v>2442</v>
      </c>
      <c r="F4839" s="905"/>
      <c r="G4839" s="521" t="s">
        <v>2697</v>
      </c>
      <c r="H4839" s="522">
        <v>1.26</v>
      </c>
      <c r="I4839" s="523">
        <v>0.26</v>
      </c>
      <c r="J4839" s="523">
        <v>0.32</v>
      </c>
    </row>
    <row r="4840" spans="1:10" s="358" customFormat="1" ht="25" x14ac:dyDescent="0.3">
      <c r="A4840" s="519" t="s">
        <v>2437</v>
      </c>
      <c r="B4840" s="520" t="s">
        <v>4021</v>
      </c>
      <c r="C4840" s="519" t="s">
        <v>32</v>
      </c>
      <c r="D4840" s="519" t="s">
        <v>4022</v>
      </c>
      <c r="E4840" s="905" t="s">
        <v>2442</v>
      </c>
      <c r="F4840" s="905"/>
      <c r="G4840" s="521" t="s">
        <v>89</v>
      </c>
      <c r="H4840" s="522">
        <v>1.26</v>
      </c>
      <c r="I4840" s="523">
        <v>4.0199999999999996</v>
      </c>
      <c r="J4840" s="523">
        <v>5.0599999999999996</v>
      </c>
    </row>
    <row r="4841" spans="1:10" ht="25.5" thickBot="1" x14ac:dyDescent="0.35">
      <c r="A4841" s="519" t="s">
        <v>2437</v>
      </c>
      <c r="B4841" s="520" t="s">
        <v>4023</v>
      </c>
      <c r="C4841" s="519" t="s">
        <v>32</v>
      </c>
      <c r="D4841" s="519" t="s">
        <v>4024</v>
      </c>
      <c r="E4841" s="905" t="s">
        <v>2442</v>
      </c>
      <c r="F4841" s="905"/>
      <c r="G4841" s="521" t="s">
        <v>115</v>
      </c>
      <c r="H4841" s="522">
        <v>1.357</v>
      </c>
      <c r="I4841" s="523">
        <v>23.01</v>
      </c>
      <c r="J4841" s="523">
        <v>31.22</v>
      </c>
    </row>
    <row r="4842" spans="1:10" s="358" customFormat="1" ht="25.5" customHeight="1" thickTop="1" x14ac:dyDescent="0.3">
      <c r="A4842" s="647"/>
      <c r="B4842" s="647"/>
      <c r="C4842" s="647"/>
      <c r="D4842" s="647"/>
      <c r="E4842" s="647"/>
      <c r="F4842" s="647"/>
      <c r="G4842" s="647"/>
      <c r="H4842" s="647"/>
      <c r="I4842" s="647"/>
      <c r="J4842"/>
    </row>
    <row r="4843" spans="1:10" x14ac:dyDescent="0.3">
      <c r="A4843" s="516"/>
      <c r="B4843" s="517" t="s">
        <v>15</v>
      </c>
      <c r="C4843" s="516" t="s">
        <v>16</v>
      </c>
      <c r="D4843" s="516" t="s">
        <v>17</v>
      </c>
      <c r="E4843" s="904" t="s">
        <v>2431</v>
      </c>
      <c r="F4843" s="904"/>
      <c r="G4843" s="518" t="s">
        <v>18</v>
      </c>
      <c r="H4843" s="517" t="s">
        <v>19</v>
      </c>
      <c r="I4843" s="517" t="s">
        <v>20</v>
      </c>
      <c r="J4843" s="517" t="s">
        <v>23</v>
      </c>
    </row>
    <row r="4844" spans="1:10" s="358" customFormat="1" ht="25.5" customHeight="1" x14ac:dyDescent="0.3">
      <c r="A4844" s="642" t="s">
        <v>2432</v>
      </c>
      <c r="B4844" s="643" t="s">
        <v>2733</v>
      </c>
      <c r="C4844" s="642" t="s">
        <v>32</v>
      </c>
      <c r="D4844" s="642" t="s">
        <v>4271</v>
      </c>
      <c r="E4844" s="906" t="s">
        <v>2661</v>
      </c>
      <c r="F4844" s="906"/>
      <c r="G4844" s="644" t="s">
        <v>89</v>
      </c>
      <c r="H4844" s="645">
        <v>1</v>
      </c>
      <c r="I4844" s="646">
        <v>36.01</v>
      </c>
      <c r="J4844" s="646">
        <v>36.01</v>
      </c>
    </row>
    <row r="4845" spans="1:10" ht="38.25" customHeight="1" x14ac:dyDescent="0.3">
      <c r="A4845" s="519" t="s">
        <v>2434</v>
      </c>
      <c r="B4845" s="520" t="s">
        <v>3774</v>
      </c>
      <c r="C4845" s="519" t="s">
        <v>32</v>
      </c>
      <c r="D4845" s="519" t="s">
        <v>4360</v>
      </c>
      <c r="E4845" s="905" t="s">
        <v>2661</v>
      </c>
      <c r="F4845" s="905"/>
      <c r="G4845" s="521" t="s">
        <v>89</v>
      </c>
      <c r="H4845" s="522">
        <v>1</v>
      </c>
      <c r="I4845" s="523">
        <v>12.69</v>
      </c>
      <c r="J4845" s="523">
        <v>12.69</v>
      </c>
    </row>
    <row r="4846" spans="1:10" s="358" customFormat="1" ht="25.5" customHeight="1" thickBot="1" x14ac:dyDescent="0.35">
      <c r="A4846" s="519" t="s">
        <v>2434</v>
      </c>
      <c r="B4846" s="520" t="s">
        <v>4025</v>
      </c>
      <c r="C4846" s="519" t="s">
        <v>32</v>
      </c>
      <c r="D4846" s="519" t="s">
        <v>4372</v>
      </c>
      <c r="E4846" s="905" t="s">
        <v>2661</v>
      </c>
      <c r="F4846" s="905"/>
      <c r="G4846" s="521" t="s">
        <v>89</v>
      </c>
      <c r="H4846" s="522">
        <v>1</v>
      </c>
      <c r="I4846" s="523">
        <v>23.32</v>
      </c>
      <c r="J4846" s="523">
        <v>23.32</v>
      </c>
    </row>
    <row r="4847" spans="1:10" ht="14.5" thickTop="1" x14ac:dyDescent="0.3">
      <c r="A4847" s="647"/>
      <c r="B4847" s="647"/>
      <c r="C4847" s="647"/>
      <c r="D4847" s="647"/>
      <c r="E4847" s="647"/>
      <c r="F4847" s="647"/>
      <c r="G4847" s="647"/>
      <c r="H4847" s="647"/>
      <c r="I4847" s="647"/>
      <c r="J4847"/>
    </row>
    <row r="4848" spans="1:10" s="358" customFormat="1" x14ac:dyDescent="0.3">
      <c r="A4848" s="516"/>
      <c r="B4848" s="517" t="s">
        <v>15</v>
      </c>
      <c r="C4848" s="516" t="s">
        <v>16</v>
      </c>
      <c r="D4848" s="516" t="s">
        <v>17</v>
      </c>
      <c r="E4848" s="904" t="s">
        <v>2431</v>
      </c>
      <c r="F4848" s="904"/>
      <c r="G4848" s="518" t="s">
        <v>18</v>
      </c>
      <c r="H4848" s="517" t="s">
        <v>19</v>
      </c>
      <c r="I4848" s="517" t="s">
        <v>20</v>
      </c>
      <c r="J4848" s="517" t="s">
        <v>23</v>
      </c>
    </row>
    <row r="4849" spans="1:10" ht="25.5" customHeight="1" x14ac:dyDescent="0.3">
      <c r="A4849" s="642" t="s">
        <v>2432</v>
      </c>
      <c r="B4849" s="643" t="s">
        <v>4025</v>
      </c>
      <c r="C4849" s="642" t="s">
        <v>32</v>
      </c>
      <c r="D4849" s="642" t="s">
        <v>4372</v>
      </c>
      <c r="E4849" s="906" t="s">
        <v>2661</v>
      </c>
      <c r="F4849" s="906"/>
      <c r="G4849" s="644" t="s">
        <v>89</v>
      </c>
      <c r="H4849" s="645">
        <v>1</v>
      </c>
      <c r="I4849" s="646">
        <v>23.32</v>
      </c>
      <c r="J4849" s="646">
        <v>23.32</v>
      </c>
    </row>
    <row r="4850" spans="1:10" s="358" customFormat="1" ht="38.25" customHeight="1" x14ac:dyDescent="0.3">
      <c r="A4850" s="519" t="s">
        <v>2434</v>
      </c>
      <c r="B4850" s="520" t="s">
        <v>2857</v>
      </c>
      <c r="C4850" s="519" t="s">
        <v>32</v>
      </c>
      <c r="D4850" s="519" t="s">
        <v>2858</v>
      </c>
      <c r="E4850" s="905" t="s">
        <v>2433</v>
      </c>
      <c r="F4850" s="905"/>
      <c r="G4850" s="521" t="s">
        <v>1901</v>
      </c>
      <c r="H4850" s="522">
        <v>0.24199999999999999</v>
      </c>
      <c r="I4850" s="523">
        <v>24.65</v>
      </c>
      <c r="J4850" s="523">
        <v>5.96</v>
      </c>
    </row>
    <row r="4851" spans="1:10" ht="25" x14ac:dyDescent="0.3">
      <c r="A4851" s="519" t="s">
        <v>2434</v>
      </c>
      <c r="B4851" s="520" t="s">
        <v>2766</v>
      </c>
      <c r="C4851" s="519" t="s">
        <v>32</v>
      </c>
      <c r="D4851" s="519" t="s">
        <v>2767</v>
      </c>
      <c r="E4851" s="905" t="s">
        <v>2433</v>
      </c>
      <c r="F4851" s="905"/>
      <c r="G4851" s="521" t="s">
        <v>1901</v>
      </c>
      <c r="H4851" s="522">
        <v>0.24199999999999999</v>
      </c>
      <c r="I4851" s="523">
        <v>31.49</v>
      </c>
      <c r="J4851" s="523">
        <v>7.62</v>
      </c>
    </row>
    <row r="4852" spans="1:10" s="358" customFormat="1" ht="14.5" thickBot="1" x14ac:dyDescent="0.35">
      <c r="A4852" s="519" t="s">
        <v>2437</v>
      </c>
      <c r="B4852" s="520" t="s">
        <v>3776</v>
      </c>
      <c r="C4852" s="519" t="s">
        <v>32</v>
      </c>
      <c r="D4852" s="519" t="s">
        <v>3777</v>
      </c>
      <c r="E4852" s="905" t="s">
        <v>2442</v>
      </c>
      <c r="F4852" s="905"/>
      <c r="G4852" s="521" t="s">
        <v>89</v>
      </c>
      <c r="H4852" s="522">
        <v>1</v>
      </c>
      <c r="I4852" s="523">
        <v>9.74</v>
      </c>
      <c r="J4852" s="523">
        <v>9.74</v>
      </c>
    </row>
    <row r="4853" spans="1:10" ht="14.5" thickTop="1" x14ac:dyDescent="0.3">
      <c r="A4853" s="647"/>
      <c r="B4853" s="647"/>
      <c r="C4853" s="647"/>
      <c r="D4853" s="647"/>
      <c r="E4853" s="647"/>
      <c r="F4853" s="647"/>
      <c r="G4853" s="647"/>
      <c r="H4853" s="647"/>
      <c r="I4853" s="647"/>
      <c r="J4853"/>
    </row>
    <row r="4854" spans="1:10" s="358" customFormat="1" x14ac:dyDescent="0.3">
      <c r="A4854" s="516"/>
      <c r="B4854" s="517" t="s">
        <v>15</v>
      </c>
      <c r="C4854" s="516" t="s">
        <v>16</v>
      </c>
      <c r="D4854" s="516" t="s">
        <v>17</v>
      </c>
      <c r="E4854" s="904" t="s">
        <v>2431</v>
      </c>
      <c r="F4854" s="904"/>
      <c r="G4854" s="518" t="s">
        <v>18</v>
      </c>
      <c r="H4854" s="517" t="s">
        <v>19</v>
      </c>
      <c r="I4854" s="517" t="s">
        <v>20</v>
      </c>
      <c r="J4854" s="517" t="s">
        <v>23</v>
      </c>
    </row>
    <row r="4855" spans="1:10" ht="25.5" customHeight="1" x14ac:dyDescent="0.3">
      <c r="A4855" s="642" t="s">
        <v>2432</v>
      </c>
      <c r="B4855" s="643" t="s">
        <v>2734</v>
      </c>
      <c r="C4855" s="642" t="s">
        <v>32</v>
      </c>
      <c r="D4855" s="642" t="s">
        <v>4272</v>
      </c>
      <c r="E4855" s="906" t="s">
        <v>2661</v>
      </c>
      <c r="F4855" s="906"/>
      <c r="G4855" s="644" t="s">
        <v>89</v>
      </c>
      <c r="H4855" s="645">
        <v>1</v>
      </c>
      <c r="I4855" s="646">
        <v>38.729999999999997</v>
      </c>
      <c r="J4855" s="646">
        <v>38.729999999999997</v>
      </c>
    </row>
    <row r="4856" spans="1:10" ht="38.25" customHeight="1" x14ac:dyDescent="0.3">
      <c r="A4856" s="519" t="s">
        <v>2434</v>
      </c>
      <c r="B4856" s="520" t="s">
        <v>3774</v>
      </c>
      <c r="C4856" s="519" t="s">
        <v>32</v>
      </c>
      <c r="D4856" s="519" t="s">
        <v>4360</v>
      </c>
      <c r="E4856" s="905" t="s">
        <v>2661</v>
      </c>
      <c r="F4856" s="905"/>
      <c r="G4856" s="521" t="s">
        <v>89</v>
      </c>
      <c r="H4856" s="522">
        <v>1</v>
      </c>
      <c r="I4856" s="523">
        <v>12.69</v>
      </c>
      <c r="J4856" s="523">
        <v>12.69</v>
      </c>
    </row>
    <row r="4857" spans="1:10" ht="26.25" customHeight="1" thickBot="1" x14ac:dyDescent="0.35">
      <c r="A4857" s="519" t="s">
        <v>2434</v>
      </c>
      <c r="B4857" s="520" t="s">
        <v>4026</v>
      </c>
      <c r="C4857" s="519" t="s">
        <v>32</v>
      </c>
      <c r="D4857" s="519" t="s">
        <v>4373</v>
      </c>
      <c r="E4857" s="905" t="s">
        <v>2661</v>
      </c>
      <c r="F4857" s="905"/>
      <c r="G4857" s="521" t="s">
        <v>89</v>
      </c>
      <c r="H4857" s="522">
        <v>1</v>
      </c>
      <c r="I4857" s="523">
        <v>26.04</v>
      </c>
      <c r="J4857" s="523">
        <v>26.04</v>
      </c>
    </row>
    <row r="4858" spans="1:10" ht="14.5" thickTop="1" x14ac:dyDescent="0.3">
      <c r="A4858" s="647"/>
      <c r="B4858" s="647"/>
      <c r="C4858" s="647"/>
      <c r="D4858" s="647"/>
      <c r="E4858" s="647"/>
      <c r="F4858" s="647"/>
      <c r="G4858" s="647"/>
      <c r="H4858" s="647"/>
      <c r="I4858" s="647"/>
      <c r="J4858"/>
    </row>
    <row r="4859" spans="1:10" x14ac:dyDescent="0.3">
      <c r="A4859" s="516"/>
      <c r="B4859" s="517" t="s">
        <v>15</v>
      </c>
      <c r="C4859" s="516" t="s">
        <v>16</v>
      </c>
      <c r="D4859" s="516" t="s">
        <v>17</v>
      </c>
      <c r="E4859" s="904" t="s">
        <v>2431</v>
      </c>
      <c r="F4859" s="904"/>
      <c r="G4859" s="518" t="s">
        <v>18</v>
      </c>
      <c r="H4859" s="517" t="s">
        <v>19</v>
      </c>
      <c r="I4859" s="517" t="s">
        <v>20</v>
      </c>
      <c r="J4859" s="517" t="s">
        <v>23</v>
      </c>
    </row>
    <row r="4860" spans="1:10" ht="25.5" customHeight="1" x14ac:dyDescent="0.3">
      <c r="A4860" s="642" t="s">
        <v>2432</v>
      </c>
      <c r="B4860" s="643" t="s">
        <v>4026</v>
      </c>
      <c r="C4860" s="642" t="s">
        <v>32</v>
      </c>
      <c r="D4860" s="642" t="s">
        <v>4373</v>
      </c>
      <c r="E4860" s="906" t="s">
        <v>2661</v>
      </c>
      <c r="F4860" s="906"/>
      <c r="G4860" s="644" t="s">
        <v>89</v>
      </c>
      <c r="H4860" s="645">
        <v>1</v>
      </c>
      <c r="I4860" s="646">
        <v>26.04</v>
      </c>
      <c r="J4860" s="646">
        <v>26.04</v>
      </c>
    </row>
    <row r="4861" spans="1:10" ht="25" x14ac:dyDescent="0.3">
      <c r="A4861" s="519" t="s">
        <v>2434</v>
      </c>
      <c r="B4861" s="520" t="s">
        <v>2857</v>
      </c>
      <c r="C4861" s="519" t="s">
        <v>32</v>
      </c>
      <c r="D4861" s="519" t="s">
        <v>2858</v>
      </c>
      <c r="E4861" s="905" t="s">
        <v>2433</v>
      </c>
      <c r="F4861" s="905"/>
      <c r="G4861" s="521" t="s">
        <v>1901</v>
      </c>
      <c r="H4861" s="522">
        <v>0.24199999999999999</v>
      </c>
      <c r="I4861" s="523">
        <v>24.65</v>
      </c>
      <c r="J4861" s="523">
        <v>5.96</v>
      </c>
    </row>
    <row r="4862" spans="1:10" ht="25" x14ac:dyDescent="0.3">
      <c r="A4862" s="519" t="s">
        <v>2434</v>
      </c>
      <c r="B4862" s="520" t="s">
        <v>2766</v>
      </c>
      <c r="C4862" s="519" t="s">
        <v>32</v>
      </c>
      <c r="D4862" s="519" t="s">
        <v>2767</v>
      </c>
      <c r="E4862" s="905" t="s">
        <v>2433</v>
      </c>
      <c r="F4862" s="905"/>
      <c r="G4862" s="521" t="s">
        <v>1901</v>
      </c>
      <c r="H4862" s="522">
        <v>0.24199999999999999</v>
      </c>
      <c r="I4862" s="523">
        <v>31.49</v>
      </c>
      <c r="J4862" s="523">
        <v>7.62</v>
      </c>
    </row>
    <row r="4863" spans="1:10" s="358" customFormat="1" ht="14.5" thickBot="1" x14ac:dyDescent="0.35">
      <c r="A4863" s="519" t="s">
        <v>2437</v>
      </c>
      <c r="B4863" s="520" t="s">
        <v>4027</v>
      </c>
      <c r="C4863" s="519" t="s">
        <v>32</v>
      </c>
      <c r="D4863" s="519" t="s">
        <v>4028</v>
      </c>
      <c r="E4863" s="905" t="s">
        <v>2442</v>
      </c>
      <c r="F4863" s="905"/>
      <c r="G4863" s="521" t="s">
        <v>89</v>
      </c>
      <c r="H4863" s="522">
        <v>1</v>
      </c>
      <c r="I4863" s="523">
        <v>12.46</v>
      </c>
      <c r="J4863" s="523">
        <v>12.46</v>
      </c>
    </row>
    <row r="4864" spans="1:10" ht="14.5" thickTop="1" x14ac:dyDescent="0.3">
      <c r="A4864" s="647"/>
      <c r="B4864" s="647"/>
      <c r="C4864" s="647"/>
      <c r="D4864" s="647"/>
      <c r="E4864" s="647"/>
      <c r="F4864" s="647"/>
      <c r="G4864" s="647"/>
      <c r="H4864" s="647"/>
      <c r="I4864" s="647"/>
      <c r="J4864"/>
    </row>
    <row r="4865" spans="1:10" s="358" customFormat="1" x14ac:dyDescent="0.3">
      <c r="A4865" s="516"/>
      <c r="B4865" s="517" t="s">
        <v>15</v>
      </c>
      <c r="C4865" s="516" t="s">
        <v>16</v>
      </c>
      <c r="D4865" s="516" t="s">
        <v>17</v>
      </c>
      <c r="E4865" s="904" t="s">
        <v>2431</v>
      </c>
      <c r="F4865" s="904"/>
      <c r="G4865" s="518" t="s">
        <v>18</v>
      </c>
      <c r="H4865" s="517" t="s">
        <v>19</v>
      </c>
      <c r="I4865" s="517" t="s">
        <v>20</v>
      </c>
      <c r="J4865" s="517" t="s">
        <v>23</v>
      </c>
    </row>
    <row r="4866" spans="1:10" ht="25.5" customHeight="1" x14ac:dyDescent="0.3">
      <c r="A4866" s="642" t="s">
        <v>2432</v>
      </c>
      <c r="B4866" s="643" t="s">
        <v>2722</v>
      </c>
      <c r="C4866" s="642" t="s">
        <v>32</v>
      </c>
      <c r="D4866" s="642" t="s">
        <v>4268</v>
      </c>
      <c r="E4866" s="906" t="s">
        <v>2661</v>
      </c>
      <c r="F4866" s="906"/>
      <c r="G4866" s="644" t="s">
        <v>89</v>
      </c>
      <c r="H4866" s="645">
        <v>1</v>
      </c>
      <c r="I4866" s="646">
        <v>55.79</v>
      </c>
      <c r="J4866" s="646">
        <v>55.79</v>
      </c>
    </row>
    <row r="4867" spans="1:10" ht="38.25" customHeight="1" x14ac:dyDescent="0.3">
      <c r="A4867" s="519" t="s">
        <v>2434</v>
      </c>
      <c r="B4867" s="520" t="s">
        <v>3774</v>
      </c>
      <c r="C4867" s="519" t="s">
        <v>32</v>
      </c>
      <c r="D4867" s="519" t="s">
        <v>4360</v>
      </c>
      <c r="E4867" s="905" t="s">
        <v>2661</v>
      </c>
      <c r="F4867" s="905"/>
      <c r="G4867" s="521" t="s">
        <v>89</v>
      </c>
      <c r="H4867" s="522">
        <v>1</v>
      </c>
      <c r="I4867" s="523">
        <v>12.69</v>
      </c>
      <c r="J4867" s="523">
        <v>12.69</v>
      </c>
    </row>
    <row r="4868" spans="1:10" ht="25.5" customHeight="1" thickBot="1" x14ac:dyDescent="0.35">
      <c r="A4868" s="519" t="s">
        <v>2434</v>
      </c>
      <c r="B4868" s="520" t="s">
        <v>4029</v>
      </c>
      <c r="C4868" s="519" t="s">
        <v>32</v>
      </c>
      <c r="D4868" s="519" t="s">
        <v>4374</v>
      </c>
      <c r="E4868" s="905" t="s">
        <v>2661</v>
      </c>
      <c r="F4868" s="905"/>
      <c r="G4868" s="521" t="s">
        <v>89</v>
      </c>
      <c r="H4868" s="522">
        <v>1</v>
      </c>
      <c r="I4868" s="523">
        <v>43.1</v>
      </c>
      <c r="J4868" s="523">
        <v>43.1</v>
      </c>
    </row>
    <row r="4869" spans="1:10" ht="25.5" customHeight="1" thickTop="1" x14ac:dyDescent="0.3">
      <c r="A4869" s="647"/>
      <c r="B4869" s="647"/>
      <c r="C4869" s="647"/>
      <c r="D4869" s="647"/>
      <c r="E4869" s="647"/>
      <c r="F4869" s="647"/>
      <c r="G4869" s="647"/>
      <c r="H4869" s="647"/>
      <c r="I4869" s="647"/>
      <c r="J4869"/>
    </row>
    <row r="4870" spans="1:10" x14ac:dyDescent="0.3">
      <c r="A4870" s="516"/>
      <c r="B4870" s="517" t="s">
        <v>15</v>
      </c>
      <c r="C4870" s="516" t="s">
        <v>16</v>
      </c>
      <c r="D4870" s="516" t="s">
        <v>17</v>
      </c>
      <c r="E4870" s="904" t="s">
        <v>2431</v>
      </c>
      <c r="F4870" s="904"/>
      <c r="G4870" s="518" t="s">
        <v>18</v>
      </c>
      <c r="H4870" s="517" t="s">
        <v>19</v>
      </c>
      <c r="I4870" s="517" t="s">
        <v>20</v>
      </c>
      <c r="J4870" s="517" t="s">
        <v>23</v>
      </c>
    </row>
    <row r="4871" spans="1:10" ht="25.5" customHeight="1" x14ac:dyDescent="0.3">
      <c r="A4871" s="642" t="s">
        <v>2432</v>
      </c>
      <c r="B4871" s="643" t="s">
        <v>4029</v>
      </c>
      <c r="C4871" s="642" t="s">
        <v>32</v>
      </c>
      <c r="D4871" s="642" t="s">
        <v>4374</v>
      </c>
      <c r="E4871" s="906" t="s">
        <v>2661</v>
      </c>
      <c r="F4871" s="906"/>
      <c r="G4871" s="644" t="s">
        <v>89</v>
      </c>
      <c r="H4871" s="645">
        <v>1</v>
      </c>
      <c r="I4871" s="646">
        <v>43.1</v>
      </c>
      <c r="J4871" s="646">
        <v>43.1</v>
      </c>
    </row>
    <row r="4872" spans="1:10" ht="25" x14ac:dyDescent="0.3">
      <c r="A4872" s="519" t="s">
        <v>2434</v>
      </c>
      <c r="B4872" s="520" t="s">
        <v>2857</v>
      </c>
      <c r="C4872" s="519" t="s">
        <v>32</v>
      </c>
      <c r="D4872" s="519" t="s">
        <v>2858</v>
      </c>
      <c r="E4872" s="905" t="s">
        <v>2433</v>
      </c>
      <c r="F4872" s="905"/>
      <c r="G4872" s="521" t="s">
        <v>1901</v>
      </c>
      <c r="H4872" s="522">
        <v>0.42099999999999999</v>
      </c>
      <c r="I4872" s="523">
        <v>24.65</v>
      </c>
      <c r="J4872" s="523">
        <v>10.37</v>
      </c>
    </row>
    <row r="4873" spans="1:10" s="358" customFormat="1" ht="25" x14ac:dyDescent="0.3">
      <c r="A4873" s="519" t="s">
        <v>2434</v>
      </c>
      <c r="B4873" s="520" t="s">
        <v>2766</v>
      </c>
      <c r="C4873" s="519" t="s">
        <v>32</v>
      </c>
      <c r="D4873" s="519" t="s">
        <v>2767</v>
      </c>
      <c r="E4873" s="905" t="s">
        <v>2433</v>
      </c>
      <c r="F4873" s="905"/>
      <c r="G4873" s="521" t="s">
        <v>1901</v>
      </c>
      <c r="H4873" s="522">
        <v>0.42099999999999999</v>
      </c>
      <c r="I4873" s="523">
        <v>31.49</v>
      </c>
      <c r="J4873" s="523">
        <v>13.25</v>
      </c>
    </row>
    <row r="4874" spans="1:10" ht="14.5" thickBot="1" x14ac:dyDescent="0.35">
      <c r="A4874" s="519" t="s">
        <v>2437</v>
      </c>
      <c r="B4874" s="520" t="s">
        <v>3776</v>
      </c>
      <c r="C4874" s="519" t="s">
        <v>32</v>
      </c>
      <c r="D4874" s="519" t="s">
        <v>3777</v>
      </c>
      <c r="E4874" s="905" t="s">
        <v>2442</v>
      </c>
      <c r="F4874" s="905"/>
      <c r="G4874" s="521" t="s">
        <v>89</v>
      </c>
      <c r="H4874" s="522">
        <v>2</v>
      </c>
      <c r="I4874" s="523">
        <v>9.74</v>
      </c>
      <c r="J4874" s="523">
        <v>19.48</v>
      </c>
    </row>
    <row r="4875" spans="1:10" s="358" customFormat="1" ht="25.5" customHeight="1" thickTop="1" x14ac:dyDescent="0.3">
      <c r="A4875" s="647"/>
      <c r="B4875" s="647"/>
      <c r="C4875" s="647"/>
      <c r="D4875" s="647"/>
      <c r="E4875" s="647"/>
      <c r="F4875" s="647"/>
      <c r="G4875" s="647"/>
      <c r="H4875" s="647"/>
      <c r="I4875" s="647"/>
      <c r="J4875"/>
    </row>
    <row r="4876" spans="1:10" ht="38.25" customHeight="1" x14ac:dyDescent="0.3">
      <c r="A4876" s="516"/>
      <c r="B4876" s="517" t="s">
        <v>15</v>
      </c>
      <c r="C4876" s="516" t="s">
        <v>16</v>
      </c>
      <c r="D4876" s="516" t="s">
        <v>17</v>
      </c>
      <c r="E4876" s="904" t="s">
        <v>2431</v>
      </c>
      <c r="F4876" s="904"/>
      <c r="G4876" s="518" t="s">
        <v>18</v>
      </c>
      <c r="H4876" s="517" t="s">
        <v>19</v>
      </c>
      <c r="I4876" s="517" t="s">
        <v>20</v>
      </c>
      <c r="J4876" s="517" t="s">
        <v>23</v>
      </c>
    </row>
    <row r="4877" spans="1:10" ht="26.25" customHeight="1" x14ac:dyDescent="0.3">
      <c r="A4877" s="642" t="s">
        <v>2432</v>
      </c>
      <c r="B4877" s="643" t="s">
        <v>2684</v>
      </c>
      <c r="C4877" s="642" t="s">
        <v>32</v>
      </c>
      <c r="D4877" s="642" t="s">
        <v>2685</v>
      </c>
      <c r="E4877" s="906" t="s">
        <v>2686</v>
      </c>
      <c r="F4877" s="906"/>
      <c r="G4877" s="644" t="s">
        <v>89</v>
      </c>
      <c r="H4877" s="645">
        <v>1</v>
      </c>
      <c r="I4877" s="646">
        <v>36.81</v>
      </c>
      <c r="J4877" s="646">
        <v>36.81</v>
      </c>
    </row>
    <row r="4878" spans="1:10" s="358" customFormat="1" ht="25" x14ac:dyDescent="0.3">
      <c r="A4878" s="519" t="s">
        <v>2434</v>
      </c>
      <c r="B4878" s="520" t="s">
        <v>2857</v>
      </c>
      <c r="C4878" s="519" t="s">
        <v>32</v>
      </c>
      <c r="D4878" s="519" t="s">
        <v>2858</v>
      </c>
      <c r="E4878" s="905" t="s">
        <v>2433</v>
      </c>
      <c r="F4878" s="905"/>
      <c r="G4878" s="521" t="s">
        <v>1901</v>
      </c>
      <c r="H4878" s="522">
        <v>0.20619999999999999</v>
      </c>
      <c r="I4878" s="523">
        <v>24.65</v>
      </c>
      <c r="J4878" s="523">
        <v>5.08</v>
      </c>
    </row>
    <row r="4879" spans="1:10" ht="25" x14ac:dyDescent="0.3">
      <c r="A4879" s="519" t="s">
        <v>2434</v>
      </c>
      <c r="B4879" s="520" t="s">
        <v>2766</v>
      </c>
      <c r="C4879" s="519" t="s">
        <v>32</v>
      </c>
      <c r="D4879" s="519" t="s">
        <v>2767</v>
      </c>
      <c r="E4879" s="905" t="s">
        <v>2433</v>
      </c>
      <c r="F4879" s="905"/>
      <c r="G4879" s="521" t="s">
        <v>1901</v>
      </c>
      <c r="H4879" s="522">
        <v>0.20619999999999999</v>
      </c>
      <c r="I4879" s="523">
        <v>31.49</v>
      </c>
      <c r="J4879" s="523">
        <v>6.49</v>
      </c>
    </row>
    <row r="4880" spans="1:10" s="358" customFormat="1" ht="25.5" customHeight="1" thickBot="1" x14ac:dyDescent="0.35">
      <c r="A4880" s="519" t="s">
        <v>2437</v>
      </c>
      <c r="B4880" s="520" t="s">
        <v>4030</v>
      </c>
      <c r="C4880" s="519" t="s">
        <v>32</v>
      </c>
      <c r="D4880" s="519" t="s">
        <v>4031</v>
      </c>
      <c r="E4880" s="905" t="s">
        <v>2442</v>
      </c>
      <c r="F4880" s="905"/>
      <c r="G4880" s="521" t="s">
        <v>89</v>
      </c>
      <c r="H4880" s="522">
        <v>1</v>
      </c>
      <c r="I4880" s="523">
        <v>25.24</v>
      </c>
      <c r="J4880" s="523">
        <v>25.24</v>
      </c>
    </row>
    <row r="4881" spans="1:10" ht="14.5" thickTop="1" x14ac:dyDescent="0.3">
      <c r="A4881" s="647"/>
      <c r="B4881" s="647"/>
      <c r="C4881" s="647"/>
      <c r="D4881" s="647"/>
      <c r="E4881" s="647"/>
      <c r="F4881" s="647"/>
      <c r="G4881" s="647"/>
      <c r="H4881" s="647"/>
      <c r="I4881" s="647"/>
      <c r="J4881"/>
    </row>
    <row r="4882" spans="1:10" x14ac:dyDescent="0.3">
      <c r="A4882" s="516"/>
      <c r="B4882" s="517" t="s">
        <v>15</v>
      </c>
      <c r="C4882" s="516" t="s">
        <v>16</v>
      </c>
      <c r="D4882" s="516" t="s">
        <v>17</v>
      </c>
      <c r="E4882" s="904" t="s">
        <v>2431</v>
      </c>
      <c r="F4882" s="904"/>
      <c r="G4882" s="518" t="s">
        <v>18</v>
      </c>
      <c r="H4882" s="517" t="s">
        <v>19</v>
      </c>
      <c r="I4882" s="517" t="s">
        <v>20</v>
      </c>
      <c r="J4882" s="517" t="s">
        <v>23</v>
      </c>
    </row>
    <row r="4883" spans="1:10" ht="25" x14ac:dyDescent="0.3">
      <c r="A4883" s="642" t="s">
        <v>2432</v>
      </c>
      <c r="B4883" s="643" t="s">
        <v>2745</v>
      </c>
      <c r="C4883" s="642" t="s">
        <v>32</v>
      </c>
      <c r="D4883" s="642" t="s">
        <v>2746</v>
      </c>
      <c r="E4883" s="906" t="s">
        <v>2667</v>
      </c>
      <c r="F4883" s="906"/>
      <c r="G4883" s="644" t="s">
        <v>89</v>
      </c>
      <c r="H4883" s="645">
        <v>1</v>
      </c>
      <c r="I4883" s="646">
        <v>67.61</v>
      </c>
      <c r="J4883" s="646">
        <v>67.61</v>
      </c>
    </row>
    <row r="4884" spans="1:10" s="358" customFormat="1" ht="25" x14ac:dyDescent="0.3">
      <c r="A4884" s="519" t="s">
        <v>2434</v>
      </c>
      <c r="B4884" s="520" t="s">
        <v>3239</v>
      </c>
      <c r="C4884" s="519" t="s">
        <v>32</v>
      </c>
      <c r="D4884" s="519" t="s">
        <v>3240</v>
      </c>
      <c r="E4884" s="905" t="s">
        <v>2433</v>
      </c>
      <c r="F4884" s="905"/>
      <c r="G4884" s="521" t="s">
        <v>1901</v>
      </c>
      <c r="H4884" s="522">
        <v>0.19040000000000001</v>
      </c>
      <c r="I4884" s="523">
        <v>23.63</v>
      </c>
      <c r="J4884" s="523">
        <v>4.49</v>
      </c>
    </row>
    <row r="4885" spans="1:10" ht="25" x14ac:dyDescent="0.3">
      <c r="A4885" s="519" t="s">
        <v>2434</v>
      </c>
      <c r="B4885" s="520" t="s">
        <v>2786</v>
      </c>
      <c r="C4885" s="519" t="s">
        <v>32</v>
      </c>
      <c r="D4885" s="519" t="s">
        <v>2787</v>
      </c>
      <c r="E4885" s="905" t="s">
        <v>2433</v>
      </c>
      <c r="F4885" s="905"/>
      <c r="G4885" s="521" t="s">
        <v>1901</v>
      </c>
      <c r="H4885" s="522">
        <v>0.19040000000000001</v>
      </c>
      <c r="I4885" s="523">
        <v>30.33</v>
      </c>
      <c r="J4885" s="523">
        <v>5.77</v>
      </c>
    </row>
    <row r="4886" spans="1:10" s="358" customFormat="1" ht="25.5" customHeight="1" x14ac:dyDescent="0.3">
      <c r="A4886" s="519" t="s">
        <v>2437</v>
      </c>
      <c r="B4886" s="520" t="s">
        <v>3924</v>
      </c>
      <c r="C4886" s="519" t="s">
        <v>32</v>
      </c>
      <c r="D4886" s="519" t="s">
        <v>3925</v>
      </c>
      <c r="E4886" s="905" t="s">
        <v>2442</v>
      </c>
      <c r="F4886" s="905"/>
      <c r="G4886" s="521" t="s">
        <v>89</v>
      </c>
      <c r="H4886" s="522">
        <v>5.3E-3</v>
      </c>
      <c r="I4886" s="523">
        <v>14.38</v>
      </c>
      <c r="J4886" s="523">
        <v>7.0000000000000007E-2</v>
      </c>
    </row>
    <row r="4887" spans="1:10" ht="38.25" customHeight="1" thickBot="1" x14ac:dyDescent="0.35">
      <c r="A4887" s="519" t="s">
        <v>2437</v>
      </c>
      <c r="B4887" s="520" t="s">
        <v>4032</v>
      </c>
      <c r="C4887" s="519" t="s">
        <v>32</v>
      </c>
      <c r="D4887" s="519" t="s">
        <v>4033</v>
      </c>
      <c r="E4887" s="905" t="s">
        <v>2442</v>
      </c>
      <c r="F4887" s="905"/>
      <c r="G4887" s="521" t="s">
        <v>89</v>
      </c>
      <c r="H4887" s="522">
        <v>1</v>
      </c>
      <c r="I4887" s="523">
        <v>57.28</v>
      </c>
      <c r="J4887" s="523">
        <v>57.28</v>
      </c>
    </row>
    <row r="4888" spans="1:10" ht="26.25" customHeight="1" thickTop="1" x14ac:dyDescent="0.3">
      <c r="A4888" s="647"/>
      <c r="B4888" s="647"/>
      <c r="C4888" s="647"/>
      <c r="D4888" s="647"/>
      <c r="E4888" s="647"/>
      <c r="F4888" s="647"/>
      <c r="G4888" s="647"/>
      <c r="H4888" s="647"/>
      <c r="I4888" s="647"/>
      <c r="J4888"/>
    </row>
    <row r="4889" spans="1:10" s="358" customFormat="1" x14ac:dyDescent="0.3">
      <c r="A4889" s="516"/>
      <c r="B4889" s="517" t="s">
        <v>15</v>
      </c>
      <c r="C4889" s="516" t="s">
        <v>16</v>
      </c>
      <c r="D4889" s="516" t="s">
        <v>17</v>
      </c>
      <c r="E4889" s="904" t="s">
        <v>2431</v>
      </c>
      <c r="F4889" s="904"/>
      <c r="G4889" s="518" t="s">
        <v>18</v>
      </c>
      <c r="H4889" s="517" t="s">
        <v>19</v>
      </c>
      <c r="I4889" s="517" t="s">
        <v>20</v>
      </c>
      <c r="J4889" s="517" t="s">
        <v>23</v>
      </c>
    </row>
    <row r="4890" spans="1:10" ht="50" x14ac:dyDescent="0.3">
      <c r="A4890" s="642" t="s">
        <v>2432</v>
      </c>
      <c r="B4890" s="643" t="s">
        <v>2674</v>
      </c>
      <c r="C4890" s="642" t="s">
        <v>32</v>
      </c>
      <c r="D4890" s="642" t="s">
        <v>2675</v>
      </c>
      <c r="E4890" s="906" t="s">
        <v>2676</v>
      </c>
      <c r="F4890" s="906"/>
      <c r="G4890" s="644" t="s">
        <v>115</v>
      </c>
      <c r="H4890" s="645">
        <v>1</v>
      </c>
      <c r="I4890" s="646">
        <v>23.44</v>
      </c>
      <c r="J4890" s="646">
        <v>23.44</v>
      </c>
    </row>
    <row r="4891" spans="1:10" s="358" customFormat="1" ht="25.5" customHeight="1" x14ac:dyDescent="0.3">
      <c r="A4891" s="519" t="s">
        <v>2434</v>
      </c>
      <c r="B4891" s="520" t="s">
        <v>2627</v>
      </c>
      <c r="C4891" s="519" t="s">
        <v>32</v>
      </c>
      <c r="D4891" s="519" t="s">
        <v>2628</v>
      </c>
      <c r="E4891" s="905" t="s">
        <v>2433</v>
      </c>
      <c r="F4891" s="905"/>
      <c r="G4891" s="521" t="s">
        <v>1901</v>
      </c>
      <c r="H4891" s="522">
        <v>6.5000000000000002E-2</v>
      </c>
      <c r="I4891" s="523">
        <v>24.12</v>
      </c>
      <c r="J4891" s="523">
        <v>1.56</v>
      </c>
    </row>
    <row r="4892" spans="1:10" ht="25" x14ac:dyDescent="0.3">
      <c r="A4892" s="519" t="s">
        <v>2434</v>
      </c>
      <c r="B4892" s="520" t="s">
        <v>2618</v>
      </c>
      <c r="C4892" s="519" t="s">
        <v>32</v>
      </c>
      <c r="D4892" s="519" t="s">
        <v>2619</v>
      </c>
      <c r="E4892" s="905" t="s">
        <v>2433</v>
      </c>
      <c r="F4892" s="905"/>
      <c r="G4892" s="521" t="s">
        <v>1901</v>
      </c>
      <c r="H4892" s="522">
        <v>0.11799999999999999</v>
      </c>
      <c r="I4892" s="523">
        <v>30.71</v>
      </c>
      <c r="J4892" s="523">
        <v>3.62</v>
      </c>
    </row>
    <row r="4893" spans="1:10" ht="25.5" customHeight="1" x14ac:dyDescent="0.3">
      <c r="A4893" s="519" t="s">
        <v>2434</v>
      </c>
      <c r="B4893" s="520" t="s">
        <v>3735</v>
      </c>
      <c r="C4893" s="519" t="s">
        <v>32</v>
      </c>
      <c r="D4893" s="519" t="s">
        <v>3736</v>
      </c>
      <c r="E4893" s="905" t="s">
        <v>2465</v>
      </c>
      <c r="F4893" s="905"/>
      <c r="G4893" s="521" t="s">
        <v>103</v>
      </c>
      <c r="H4893" s="522">
        <v>4.5999999999999999E-3</v>
      </c>
      <c r="I4893" s="523">
        <v>27.04</v>
      </c>
      <c r="J4893" s="523">
        <v>0.12</v>
      </c>
    </row>
    <row r="4894" spans="1:10" ht="25.5" customHeight="1" x14ac:dyDescent="0.3">
      <c r="A4894" s="519" t="s">
        <v>2434</v>
      </c>
      <c r="B4894" s="520" t="s">
        <v>3727</v>
      </c>
      <c r="C4894" s="519" t="s">
        <v>32</v>
      </c>
      <c r="D4894" s="519" t="s">
        <v>3728</v>
      </c>
      <c r="E4894" s="905" t="s">
        <v>2465</v>
      </c>
      <c r="F4894" s="905"/>
      <c r="G4894" s="521" t="s">
        <v>110</v>
      </c>
      <c r="H4894" s="522">
        <v>6.4000000000000003E-3</v>
      </c>
      <c r="I4894" s="523">
        <v>26.22</v>
      </c>
      <c r="J4894" s="523">
        <v>0.16</v>
      </c>
    </row>
    <row r="4895" spans="1:10" s="358" customFormat="1" ht="37.5" x14ac:dyDescent="0.3">
      <c r="A4895" s="519" t="s">
        <v>2437</v>
      </c>
      <c r="B4895" s="520" t="s">
        <v>4034</v>
      </c>
      <c r="C4895" s="519" t="s">
        <v>32</v>
      </c>
      <c r="D4895" s="519" t="s">
        <v>4375</v>
      </c>
      <c r="E4895" s="905" t="s">
        <v>2442</v>
      </c>
      <c r="F4895" s="905"/>
      <c r="G4895" s="521" t="s">
        <v>194</v>
      </c>
      <c r="H4895" s="522">
        <v>0.63400000000000001</v>
      </c>
      <c r="I4895" s="523">
        <v>27.43</v>
      </c>
      <c r="J4895" s="523">
        <v>17.39</v>
      </c>
    </row>
    <row r="4896" spans="1:10" ht="14.5" thickBot="1" x14ac:dyDescent="0.35">
      <c r="A4896" s="519" t="s">
        <v>2437</v>
      </c>
      <c r="B4896" s="520" t="s">
        <v>4035</v>
      </c>
      <c r="C4896" s="519" t="s">
        <v>32</v>
      </c>
      <c r="D4896" s="519" t="s">
        <v>4036</v>
      </c>
      <c r="E4896" s="905" t="s">
        <v>2442</v>
      </c>
      <c r="F4896" s="905"/>
      <c r="G4896" s="521" t="s">
        <v>1369</v>
      </c>
      <c r="H4896" s="522">
        <v>0.03</v>
      </c>
      <c r="I4896" s="523">
        <v>19.98</v>
      </c>
      <c r="J4896" s="523">
        <v>0.59</v>
      </c>
    </row>
    <row r="4897" spans="1:10" s="358" customFormat="1" ht="25.5" customHeight="1" thickTop="1" x14ac:dyDescent="0.3">
      <c r="A4897" s="647"/>
      <c r="B4897" s="647"/>
      <c r="C4897" s="647"/>
      <c r="D4897" s="647"/>
      <c r="E4897" s="647"/>
      <c r="F4897" s="647"/>
      <c r="G4897" s="647"/>
      <c r="H4897" s="647"/>
      <c r="I4897" s="647"/>
      <c r="J4897"/>
    </row>
    <row r="4898" spans="1:10" ht="38.25" customHeight="1" x14ac:dyDescent="0.3">
      <c r="A4898" s="516"/>
      <c r="B4898" s="517" t="s">
        <v>15</v>
      </c>
      <c r="C4898" s="516" t="s">
        <v>16</v>
      </c>
      <c r="D4898" s="516" t="s">
        <v>17</v>
      </c>
      <c r="E4898" s="904" t="s">
        <v>2431</v>
      </c>
      <c r="F4898" s="904"/>
      <c r="G4898" s="518" t="s">
        <v>18</v>
      </c>
      <c r="H4898" s="517" t="s">
        <v>19</v>
      </c>
      <c r="I4898" s="517" t="s">
        <v>20</v>
      </c>
      <c r="J4898" s="517" t="s">
        <v>23</v>
      </c>
    </row>
    <row r="4899" spans="1:10" ht="26.25" customHeight="1" x14ac:dyDescent="0.3">
      <c r="A4899" s="642" t="s">
        <v>2432</v>
      </c>
      <c r="B4899" s="643" t="s">
        <v>3079</v>
      </c>
      <c r="C4899" s="642" t="s">
        <v>32</v>
      </c>
      <c r="D4899" s="642" t="s">
        <v>3080</v>
      </c>
      <c r="E4899" s="906" t="s">
        <v>2563</v>
      </c>
      <c r="F4899" s="906"/>
      <c r="G4899" s="644" t="s">
        <v>121</v>
      </c>
      <c r="H4899" s="645">
        <v>1</v>
      </c>
      <c r="I4899" s="646">
        <v>2.3199999999999998</v>
      </c>
      <c r="J4899" s="646">
        <v>2.3199999999999998</v>
      </c>
    </row>
    <row r="4900" spans="1:10" s="358" customFormat="1" ht="50" x14ac:dyDescent="0.3">
      <c r="A4900" s="519" t="s">
        <v>2434</v>
      </c>
      <c r="B4900" s="520" t="s">
        <v>2568</v>
      </c>
      <c r="C4900" s="519" t="s">
        <v>32</v>
      </c>
      <c r="D4900" s="519" t="s">
        <v>2569</v>
      </c>
      <c r="E4900" s="905" t="s">
        <v>2465</v>
      </c>
      <c r="F4900" s="905"/>
      <c r="G4900" s="521" t="s">
        <v>103</v>
      </c>
      <c r="H4900" s="522">
        <v>6.4999999999999997E-3</v>
      </c>
      <c r="I4900" s="523">
        <v>318.89</v>
      </c>
      <c r="J4900" s="523">
        <v>2.0699999999999998</v>
      </c>
    </row>
    <row r="4901" spans="1:10" ht="50.5" thickBot="1" x14ac:dyDescent="0.35">
      <c r="A4901" s="519" t="s">
        <v>2434</v>
      </c>
      <c r="B4901" s="520" t="s">
        <v>2570</v>
      </c>
      <c r="C4901" s="519" t="s">
        <v>32</v>
      </c>
      <c r="D4901" s="519" t="s">
        <v>2571</v>
      </c>
      <c r="E4901" s="905" t="s">
        <v>2465</v>
      </c>
      <c r="F4901" s="905"/>
      <c r="G4901" s="521" t="s">
        <v>110</v>
      </c>
      <c r="H4901" s="522">
        <v>2.8E-3</v>
      </c>
      <c r="I4901" s="523">
        <v>90.58</v>
      </c>
      <c r="J4901" s="523">
        <v>0.25</v>
      </c>
    </row>
    <row r="4902" spans="1:10" s="358" customFormat="1" ht="25.5" customHeight="1" thickTop="1" x14ac:dyDescent="0.3">
      <c r="A4902" s="647"/>
      <c r="B4902" s="647"/>
      <c r="C4902" s="647"/>
      <c r="D4902" s="647"/>
      <c r="E4902" s="647"/>
      <c r="F4902" s="647"/>
      <c r="G4902" s="647"/>
      <c r="H4902" s="647"/>
      <c r="I4902" s="647"/>
      <c r="J4902"/>
    </row>
    <row r="4903" spans="1:10" x14ac:dyDescent="0.3">
      <c r="A4903" s="516"/>
      <c r="B4903" s="517" t="s">
        <v>15</v>
      </c>
      <c r="C4903" s="516" t="s">
        <v>16</v>
      </c>
      <c r="D4903" s="516" t="s">
        <v>17</v>
      </c>
      <c r="E4903" s="904" t="s">
        <v>2431</v>
      </c>
      <c r="F4903" s="904"/>
      <c r="G4903" s="518" t="s">
        <v>18</v>
      </c>
      <c r="H4903" s="517" t="s">
        <v>19</v>
      </c>
      <c r="I4903" s="517" t="s">
        <v>20</v>
      </c>
      <c r="J4903" s="517" t="s">
        <v>23</v>
      </c>
    </row>
    <row r="4904" spans="1:10" ht="25.5" customHeight="1" x14ac:dyDescent="0.3">
      <c r="A4904" s="642" t="s">
        <v>2432</v>
      </c>
      <c r="B4904" s="643" t="s">
        <v>2611</v>
      </c>
      <c r="C4904" s="642" t="s">
        <v>32</v>
      </c>
      <c r="D4904" s="642" t="s">
        <v>2612</v>
      </c>
      <c r="E4904" s="906" t="s">
        <v>2465</v>
      </c>
      <c r="F4904" s="906"/>
      <c r="G4904" s="644" t="s">
        <v>110</v>
      </c>
      <c r="H4904" s="645">
        <v>1</v>
      </c>
      <c r="I4904" s="646">
        <v>74.150000000000006</v>
      </c>
      <c r="J4904" s="646">
        <v>74.150000000000006</v>
      </c>
    </row>
    <row r="4905" spans="1:10" ht="25" x14ac:dyDescent="0.3">
      <c r="A4905" s="519" t="s">
        <v>2434</v>
      </c>
      <c r="B4905" s="520" t="s">
        <v>4037</v>
      </c>
      <c r="C4905" s="519" t="s">
        <v>32</v>
      </c>
      <c r="D4905" s="519" t="s">
        <v>4038</v>
      </c>
      <c r="E4905" s="905" t="s">
        <v>2433</v>
      </c>
      <c r="F4905" s="905"/>
      <c r="G4905" s="521" t="s">
        <v>1901</v>
      </c>
      <c r="H4905" s="522">
        <v>1</v>
      </c>
      <c r="I4905" s="523">
        <v>25.78</v>
      </c>
      <c r="J4905" s="523">
        <v>25.78</v>
      </c>
    </row>
    <row r="4906" spans="1:10" s="358" customFormat="1" ht="25.5" customHeight="1" x14ac:dyDescent="0.3">
      <c r="A4906" s="519" t="s">
        <v>2434</v>
      </c>
      <c r="B4906" s="520" t="s">
        <v>4039</v>
      </c>
      <c r="C4906" s="519" t="s">
        <v>32</v>
      </c>
      <c r="D4906" s="519" t="s">
        <v>4040</v>
      </c>
      <c r="E4906" s="905" t="s">
        <v>2465</v>
      </c>
      <c r="F4906" s="905"/>
      <c r="G4906" s="521" t="s">
        <v>1901</v>
      </c>
      <c r="H4906" s="522">
        <v>1</v>
      </c>
      <c r="I4906" s="523">
        <v>33.58</v>
      </c>
      <c r="J4906" s="523">
        <v>33.58</v>
      </c>
    </row>
    <row r="4907" spans="1:10" ht="26.25" customHeight="1" thickBot="1" x14ac:dyDescent="0.35">
      <c r="A4907" s="519" t="s">
        <v>2434</v>
      </c>
      <c r="B4907" s="520" t="s">
        <v>4041</v>
      </c>
      <c r="C4907" s="519" t="s">
        <v>32</v>
      </c>
      <c r="D4907" s="519" t="s">
        <v>4042</v>
      </c>
      <c r="E4907" s="905" t="s">
        <v>2465</v>
      </c>
      <c r="F4907" s="905"/>
      <c r="G4907" s="521" t="s">
        <v>1901</v>
      </c>
      <c r="H4907" s="522">
        <v>1</v>
      </c>
      <c r="I4907" s="523">
        <v>14.79</v>
      </c>
      <c r="J4907" s="523">
        <v>14.79</v>
      </c>
    </row>
    <row r="4908" spans="1:10" s="358" customFormat="1" ht="14.5" thickTop="1" x14ac:dyDescent="0.3">
      <c r="A4908" s="647"/>
      <c r="B4908" s="647"/>
      <c r="C4908" s="647"/>
      <c r="D4908" s="647"/>
      <c r="E4908" s="647"/>
      <c r="F4908" s="647"/>
      <c r="G4908" s="647"/>
      <c r="H4908" s="647"/>
      <c r="I4908" s="647"/>
      <c r="J4908"/>
    </row>
    <row r="4909" spans="1:10" x14ac:dyDescent="0.3">
      <c r="A4909" s="516"/>
      <c r="B4909" s="517" t="s">
        <v>15</v>
      </c>
      <c r="C4909" s="516" t="s">
        <v>16</v>
      </c>
      <c r="D4909" s="516" t="s">
        <v>17</v>
      </c>
      <c r="E4909" s="904" t="s">
        <v>2431</v>
      </c>
      <c r="F4909" s="904"/>
      <c r="G4909" s="518" t="s">
        <v>18</v>
      </c>
      <c r="H4909" s="517" t="s">
        <v>19</v>
      </c>
      <c r="I4909" s="517" t="s">
        <v>20</v>
      </c>
      <c r="J4909" s="517" t="s">
        <v>23</v>
      </c>
    </row>
    <row r="4910" spans="1:10" ht="25.5" customHeight="1" x14ac:dyDescent="0.3">
      <c r="A4910" s="642" t="s">
        <v>2432</v>
      </c>
      <c r="B4910" s="643" t="s">
        <v>2613</v>
      </c>
      <c r="C4910" s="642" t="s">
        <v>32</v>
      </c>
      <c r="D4910" s="642" t="s">
        <v>2614</v>
      </c>
      <c r="E4910" s="906" t="s">
        <v>2465</v>
      </c>
      <c r="F4910" s="906"/>
      <c r="G4910" s="644" t="s">
        <v>103</v>
      </c>
      <c r="H4910" s="645">
        <v>1</v>
      </c>
      <c r="I4910" s="646">
        <v>190.63</v>
      </c>
      <c r="J4910" s="646">
        <v>190.63</v>
      </c>
    </row>
    <row r="4911" spans="1:10" ht="25.5" customHeight="1" x14ac:dyDescent="0.3">
      <c r="A4911" s="519" t="s">
        <v>2434</v>
      </c>
      <c r="B4911" s="520" t="s">
        <v>4043</v>
      </c>
      <c r="C4911" s="519" t="s">
        <v>32</v>
      </c>
      <c r="D4911" s="519" t="s">
        <v>4044</v>
      </c>
      <c r="E4911" s="905" t="s">
        <v>2465</v>
      </c>
      <c r="F4911" s="905"/>
      <c r="G4911" s="521" t="s">
        <v>1901</v>
      </c>
      <c r="H4911" s="522">
        <v>1</v>
      </c>
      <c r="I4911" s="523">
        <v>56.44</v>
      </c>
      <c r="J4911" s="523">
        <v>56.44</v>
      </c>
    </row>
    <row r="4912" spans="1:10" s="358" customFormat="1" ht="25.5" customHeight="1" x14ac:dyDescent="0.3">
      <c r="A4912" s="519" t="s">
        <v>2434</v>
      </c>
      <c r="B4912" s="520" t="s">
        <v>4045</v>
      </c>
      <c r="C4912" s="519" t="s">
        <v>32</v>
      </c>
      <c r="D4912" s="519" t="s">
        <v>4046</v>
      </c>
      <c r="E4912" s="905" t="s">
        <v>2465</v>
      </c>
      <c r="F4912" s="905"/>
      <c r="G4912" s="521" t="s">
        <v>1901</v>
      </c>
      <c r="H4912" s="522">
        <v>1</v>
      </c>
      <c r="I4912" s="523">
        <v>60.04</v>
      </c>
      <c r="J4912" s="523">
        <v>60.04</v>
      </c>
    </row>
    <row r="4913" spans="1:10" ht="25" x14ac:dyDescent="0.3">
      <c r="A4913" s="519" t="s">
        <v>2434</v>
      </c>
      <c r="B4913" s="520" t="s">
        <v>4037</v>
      </c>
      <c r="C4913" s="519" t="s">
        <v>32</v>
      </c>
      <c r="D4913" s="519" t="s">
        <v>4038</v>
      </c>
      <c r="E4913" s="905" t="s">
        <v>2433</v>
      </c>
      <c r="F4913" s="905"/>
      <c r="G4913" s="521" t="s">
        <v>1901</v>
      </c>
      <c r="H4913" s="522">
        <v>1</v>
      </c>
      <c r="I4913" s="523">
        <v>25.78</v>
      </c>
      <c r="J4913" s="523">
        <v>25.78</v>
      </c>
    </row>
    <row r="4914" spans="1:10" s="358" customFormat="1" ht="25.5" customHeight="1" x14ac:dyDescent="0.3">
      <c r="A4914" s="519" t="s">
        <v>2434</v>
      </c>
      <c r="B4914" s="520" t="s">
        <v>4039</v>
      </c>
      <c r="C4914" s="519" t="s">
        <v>32</v>
      </c>
      <c r="D4914" s="519" t="s">
        <v>4040</v>
      </c>
      <c r="E4914" s="905" t="s">
        <v>2465</v>
      </c>
      <c r="F4914" s="905"/>
      <c r="G4914" s="521" t="s">
        <v>1901</v>
      </c>
      <c r="H4914" s="522">
        <v>1</v>
      </c>
      <c r="I4914" s="523">
        <v>33.58</v>
      </c>
      <c r="J4914" s="523">
        <v>33.58</v>
      </c>
    </row>
    <row r="4915" spans="1:10" ht="26.25" customHeight="1" thickBot="1" x14ac:dyDescent="0.35">
      <c r="A4915" s="519" t="s">
        <v>2434</v>
      </c>
      <c r="B4915" s="520" t="s">
        <v>4041</v>
      </c>
      <c r="C4915" s="519" t="s">
        <v>32</v>
      </c>
      <c r="D4915" s="519" t="s">
        <v>4042</v>
      </c>
      <c r="E4915" s="905" t="s">
        <v>2465</v>
      </c>
      <c r="F4915" s="905"/>
      <c r="G4915" s="521" t="s">
        <v>1901</v>
      </c>
      <c r="H4915" s="522">
        <v>1</v>
      </c>
      <c r="I4915" s="523">
        <v>14.79</v>
      </c>
      <c r="J4915" s="523">
        <v>14.79</v>
      </c>
    </row>
    <row r="4916" spans="1:10" ht="14.5" thickTop="1" x14ac:dyDescent="0.3">
      <c r="A4916" s="647"/>
      <c r="B4916" s="647"/>
      <c r="C4916" s="647"/>
      <c r="D4916" s="647"/>
      <c r="E4916" s="647"/>
      <c r="F4916" s="647"/>
      <c r="G4916" s="647"/>
      <c r="H4916" s="647"/>
      <c r="I4916" s="647"/>
      <c r="J4916"/>
    </row>
    <row r="4917" spans="1:10" x14ac:dyDescent="0.3">
      <c r="A4917" s="516"/>
      <c r="B4917" s="517" t="s">
        <v>15</v>
      </c>
      <c r="C4917" s="516" t="s">
        <v>16</v>
      </c>
      <c r="D4917" s="516" t="s">
        <v>17</v>
      </c>
      <c r="E4917" s="904" t="s">
        <v>2431</v>
      </c>
      <c r="F4917" s="904"/>
      <c r="G4917" s="518" t="s">
        <v>18</v>
      </c>
      <c r="H4917" s="517" t="s">
        <v>19</v>
      </c>
      <c r="I4917" s="517" t="s">
        <v>20</v>
      </c>
      <c r="J4917" s="517" t="s">
        <v>23</v>
      </c>
    </row>
    <row r="4918" spans="1:10" ht="25.5" customHeight="1" x14ac:dyDescent="0.3">
      <c r="A4918" s="642" t="s">
        <v>2432</v>
      </c>
      <c r="B4918" s="643" t="s">
        <v>4039</v>
      </c>
      <c r="C4918" s="642" t="s">
        <v>32</v>
      </c>
      <c r="D4918" s="642" t="s">
        <v>4040</v>
      </c>
      <c r="E4918" s="906" t="s">
        <v>2465</v>
      </c>
      <c r="F4918" s="906"/>
      <c r="G4918" s="644" t="s">
        <v>1901</v>
      </c>
      <c r="H4918" s="645">
        <v>1</v>
      </c>
      <c r="I4918" s="646">
        <v>33.58</v>
      </c>
      <c r="J4918" s="646">
        <v>33.58</v>
      </c>
    </row>
    <row r="4919" spans="1:10" s="358" customFormat="1" ht="25.5" thickBot="1" x14ac:dyDescent="0.35">
      <c r="A4919" s="519" t="s">
        <v>2437</v>
      </c>
      <c r="B4919" s="520" t="s">
        <v>4047</v>
      </c>
      <c r="C4919" s="519" t="s">
        <v>32</v>
      </c>
      <c r="D4919" s="519" t="s">
        <v>4048</v>
      </c>
      <c r="E4919" s="905" t="s">
        <v>2446</v>
      </c>
      <c r="F4919" s="905"/>
      <c r="G4919" s="521" t="s">
        <v>89</v>
      </c>
      <c r="H4919" s="522">
        <v>3.1099999999999997E-5</v>
      </c>
      <c r="I4919" s="523">
        <v>1079918</v>
      </c>
      <c r="J4919" s="523">
        <v>33.58</v>
      </c>
    </row>
    <row r="4920" spans="1:10" ht="14.5" thickTop="1" x14ac:dyDescent="0.3">
      <c r="A4920" s="647"/>
      <c r="B4920" s="647"/>
      <c r="C4920" s="647"/>
      <c r="D4920" s="647"/>
      <c r="E4920" s="647"/>
      <c r="F4920" s="647"/>
      <c r="G4920" s="647"/>
      <c r="H4920" s="647"/>
      <c r="I4920" s="647"/>
      <c r="J4920"/>
    </row>
    <row r="4921" spans="1:10" s="358" customFormat="1" x14ac:dyDescent="0.3">
      <c r="A4921" s="516"/>
      <c r="B4921" s="517" t="s">
        <v>15</v>
      </c>
      <c r="C4921" s="516" t="s">
        <v>16</v>
      </c>
      <c r="D4921" s="516" t="s">
        <v>17</v>
      </c>
      <c r="E4921" s="904" t="s">
        <v>2431</v>
      </c>
      <c r="F4921" s="904"/>
      <c r="G4921" s="518" t="s">
        <v>18</v>
      </c>
      <c r="H4921" s="517" t="s">
        <v>19</v>
      </c>
      <c r="I4921" s="517" t="s">
        <v>20</v>
      </c>
      <c r="J4921" s="517" t="s">
        <v>23</v>
      </c>
    </row>
    <row r="4922" spans="1:10" ht="25.5" customHeight="1" x14ac:dyDescent="0.3">
      <c r="A4922" s="642" t="s">
        <v>2432</v>
      </c>
      <c r="B4922" s="643" t="s">
        <v>4041</v>
      </c>
      <c r="C4922" s="642" t="s">
        <v>32</v>
      </c>
      <c r="D4922" s="642" t="s">
        <v>4042</v>
      </c>
      <c r="E4922" s="906" t="s">
        <v>2465</v>
      </c>
      <c r="F4922" s="906"/>
      <c r="G4922" s="644" t="s">
        <v>1901</v>
      </c>
      <c r="H4922" s="645">
        <v>1</v>
      </c>
      <c r="I4922" s="646">
        <v>14.79</v>
      </c>
      <c r="J4922" s="646">
        <v>14.79</v>
      </c>
    </row>
    <row r="4923" spans="1:10" ht="25.5" thickBot="1" x14ac:dyDescent="0.35">
      <c r="A4923" s="519" t="s">
        <v>2437</v>
      </c>
      <c r="B4923" s="520" t="s">
        <v>4047</v>
      </c>
      <c r="C4923" s="519" t="s">
        <v>32</v>
      </c>
      <c r="D4923" s="519" t="s">
        <v>4048</v>
      </c>
      <c r="E4923" s="905" t="s">
        <v>2446</v>
      </c>
      <c r="F4923" s="905"/>
      <c r="G4923" s="521" t="s">
        <v>89</v>
      </c>
      <c r="H4923" s="522">
        <v>1.3699999999999999E-5</v>
      </c>
      <c r="I4923" s="523">
        <v>1079918</v>
      </c>
      <c r="J4923" s="523">
        <v>14.79</v>
      </c>
    </row>
    <row r="4924" spans="1:10" ht="25.5" customHeight="1" thickTop="1" x14ac:dyDescent="0.3">
      <c r="A4924" s="647"/>
      <c r="B4924" s="647"/>
      <c r="C4924" s="647"/>
      <c r="D4924" s="647"/>
      <c r="E4924" s="647"/>
      <c r="F4924" s="647"/>
      <c r="G4924" s="647"/>
      <c r="H4924" s="647"/>
      <c r="I4924" s="647"/>
      <c r="J4924"/>
    </row>
    <row r="4925" spans="1:10" ht="25.5" customHeight="1" x14ac:dyDescent="0.3">
      <c r="A4925" s="516"/>
      <c r="B4925" s="517" t="s">
        <v>15</v>
      </c>
      <c r="C4925" s="516" t="s">
        <v>16</v>
      </c>
      <c r="D4925" s="516" t="s">
        <v>17</v>
      </c>
      <c r="E4925" s="904" t="s">
        <v>2431</v>
      </c>
      <c r="F4925" s="904"/>
      <c r="G4925" s="518" t="s">
        <v>18</v>
      </c>
      <c r="H4925" s="517" t="s">
        <v>19</v>
      </c>
      <c r="I4925" s="517" t="s">
        <v>20</v>
      </c>
      <c r="J4925" s="517" t="s">
        <v>23</v>
      </c>
    </row>
    <row r="4926" spans="1:10" ht="25.5" customHeight="1" x14ac:dyDescent="0.3">
      <c r="A4926" s="642" t="s">
        <v>2432</v>
      </c>
      <c r="B4926" s="643" t="s">
        <v>4045</v>
      </c>
      <c r="C4926" s="642" t="s">
        <v>32</v>
      </c>
      <c r="D4926" s="642" t="s">
        <v>4046</v>
      </c>
      <c r="E4926" s="906" t="s">
        <v>2465</v>
      </c>
      <c r="F4926" s="906"/>
      <c r="G4926" s="644" t="s">
        <v>1901</v>
      </c>
      <c r="H4926" s="645">
        <v>1</v>
      </c>
      <c r="I4926" s="646">
        <v>60.04</v>
      </c>
      <c r="J4926" s="646">
        <v>60.04</v>
      </c>
    </row>
    <row r="4927" spans="1:10" ht="25.5" thickBot="1" x14ac:dyDescent="0.35">
      <c r="A4927" s="519" t="s">
        <v>2437</v>
      </c>
      <c r="B4927" s="520" t="s">
        <v>4047</v>
      </c>
      <c r="C4927" s="519" t="s">
        <v>32</v>
      </c>
      <c r="D4927" s="519" t="s">
        <v>4048</v>
      </c>
      <c r="E4927" s="905" t="s">
        <v>2446</v>
      </c>
      <c r="F4927" s="905"/>
      <c r="G4927" s="521" t="s">
        <v>89</v>
      </c>
      <c r="H4927" s="522">
        <v>5.5600000000000003E-5</v>
      </c>
      <c r="I4927" s="523">
        <v>1079918</v>
      </c>
      <c r="J4927" s="523">
        <v>60.04</v>
      </c>
    </row>
    <row r="4928" spans="1:10" s="358" customFormat="1" ht="14.5" thickTop="1" x14ac:dyDescent="0.3">
      <c r="A4928" s="647"/>
      <c r="B4928" s="647"/>
      <c r="C4928" s="647"/>
      <c r="D4928" s="647"/>
      <c r="E4928" s="647"/>
      <c r="F4928" s="647"/>
      <c r="G4928" s="647"/>
      <c r="H4928" s="647"/>
      <c r="I4928" s="647"/>
      <c r="J4928"/>
    </row>
    <row r="4929" spans="1:10" x14ac:dyDescent="0.3">
      <c r="A4929" s="516"/>
      <c r="B4929" s="517" t="s">
        <v>15</v>
      </c>
      <c r="C4929" s="516" t="s">
        <v>16</v>
      </c>
      <c r="D4929" s="516" t="s">
        <v>17</v>
      </c>
      <c r="E4929" s="904" t="s">
        <v>2431</v>
      </c>
      <c r="F4929" s="904"/>
      <c r="G4929" s="518" t="s">
        <v>18</v>
      </c>
      <c r="H4929" s="517" t="s">
        <v>19</v>
      </c>
      <c r="I4929" s="517" t="s">
        <v>20</v>
      </c>
      <c r="J4929" s="517" t="s">
        <v>23</v>
      </c>
    </row>
    <row r="4930" spans="1:10" s="358" customFormat="1" ht="25.5" customHeight="1" x14ac:dyDescent="0.3">
      <c r="A4930" s="642" t="s">
        <v>2432</v>
      </c>
      <c r="B4930" s="643" t="s">
        <v>4043</v>
      </c>
      <c r="C4930" s="642" t="s">
        <v>32</v>
      </c>
      <c r="D4930" s="642" t="s">
        <v>4044</v>
      </c>
      <c r="E4930" s="906" t="s">
        <v>2465</v>
      </c>
      <c r="F4930" s="906"/>
      <c r="G4930" s="644" t="s">
        <v>1901</v>
      </c>
      <c r="H4930" s="645">
        <v>1</v>
      </c>
      <c r="I4930" s="646">
        <v>56.44</v>
      </c>
      <c r="J4930" s="646">
        <v>56.44</v>
      </c>
    </row>
    <row r="4931" spans="1:10" ht="14.5" thickBot="1" x14ac:dyDescent="0.35">
      <c r="A4931" s="519" t="s">
        <v>2437</v>
      </c>
      <c r="B4931" s="520" t="s">
        <v>4485</v>
      </c>
      <c r="C4931" s="519" t="s">
        <v>125</v>
      </c>
      <c r="D4931" s="519" t="s">
        <v>4486</v>
      </c>
      <c r="E4931" s="905" t="s">
        <v>2442</v>
      </c>
      <c r="F4931" s="905"/>
      <c r="G4931" s="521" t="s">
        <v>2829</v>
      </c>
      <c r="H4931" s="522">
        <v>10.44</v>
      </c>
      <c r="I4931" s="523">
        <v>5.4069000000000003</v>
      </c>
      <c r="J4931" s="523">
        <v>56.44</v>
      </c>
    </row>
    <row r="4932" spans="1:10" ht="14.5" thickTop="1" x14ac:dyDescent="0.3">
      <c r="A4932" s="647"/>
      <c r="B4932" s="647"/>
      <c r="C4932" s="647"/>
      <c r="D4932" s="647"/>
      <c r="E4932" s="647"/>
      <c r="F4932" s="647"/>
      <c r="G4932" s="647"/>
      <c r="H4932" s="647"/>
      <c r="I4932" s="647"/>
      <c r="J4932"/>
    </row>
    <row r="4933" spans="1:10" s="358" customFormat="1" x14ac:dyDescent="0.3">
      <c r="A4933" s="516"/>
      <c r="B4933" s="517" t="s">
        <v>15</v>
      </c>
      <c r="C4933" s="516" t="s">
        <v>16</v>
      </c>
      <c r="D4933" s="516" t="s">
        <v>17</v>
      </c>
      <c r="E4933" s="904" t="s">
        <v>2431</v>
      </c>
      <c r="F4933" s="904"/>
      <c r="G4933" s="518" t="s">
        <v>18</v>
      </c>
      <c r="H4933" s="517" t="s">
        <v>19</v>
      </c>
      <c r="I4933" s="517" t="s">
        <v>20</v>
      </c>
      <c r="J4933" s="517" t="s">
        <v>23</v>
      </c>
    </row>
    <row r="4934" spans="1:10" ht="38.25" customHeight="1" x14ac:dyDescent="0.3">
      <c r="A4934" s="642" t="s">
        <v>2432</v>
      </c>
      <c r="B4934" s="643" t="s">
        <v>2928</v>
      </c>
      <c r="C4934" s="642" t="s">
        <v>32</v>
      </c>
      <c r="D4934" s="642" t="s">
        <v>2929</v>
      </c>
      <c r="E4934" s="906" t="s">
        <v>2465</v>
      </c>
      <c r="F4934" s="906"/>
      <c r="G4934" s="644" t="s">
        <v>110</v>
      </c>
      <c r="H4934" s="645">
        <v>1</v>
      </c>
      <c r="I4934" s="646">
        <v>88.5</v>
      </c>
      <c r="J4934" s="646">
        <v>88.5</v>
      </c>
    </row>
    <row r="4935" spans="1:10" s="358" customFormat="1" ht="25.5" customHeight="1" x14ac:dyDescent="0.3">
      <c r="A4935" s="519" t="s">
        <v>2434</v>
      </c>
      <c r="B4935" s="520" t="s">
        <v>4037</v>
      </c>
      <c r="C4935" s="519" t="s">
        <v>32</v>
      </c>
      <c r="D4935" s="519" t="s">
        <v>4038</v>
      </c>
      <c r="E4935" s="905" t="s">
        <v>2433</v>
      </c>
      <c r="F4935" s="905"/>
      <c r="G4935" s="521" t="s">
        <v>1901</v>
      </c>
      <c r="H4935" s="522">
        <v>1</v>
      </c>
      <c r="I4935" s="523">
        <v>25.78</v>
      </c>
      <c r="J4935" s="523">
        <v>25.78</v>
      </c>
    </row>
    <row r="4936" spans="1:10" ht="38.25" customHeight="1" x14ac:dyDescent="0.3">
      <c r="A4936" s="519" t="s">
        <v>2434</v>
      </c>
      <c r="B4936" s="520" t="s">
        <v>4049</v>
      </c>
      <c r="C4936" s="519" t="s">
        <v>32</v>
      </c>
      <c r="D4936" s="519" t="s">
        <v>4050</v>
      </c>
      <c r="E4936" s="905" t="s">
        <v>2465</v>
      </c>
      <c r="F4936" s="905"/>
      <c r="G4936" s="521" t="s">
        <v>1901</v>
      </c>
      <c r="H4936" s="522">
        <v>1</v>
      </c>
      <c r="I4936" s="523">
        <v>43.54</v>
      </c>
      <c r="J4936" s="523">
        <v>43.54</v>
      </c>
    </row>
    <row r="4937" spans="1:10" ht="25.5" customHeight="1" thickBot="1" x14ac:dyDescent="0.35">
      <c r="A4937" s="519" t="s">
        <v>2434</v>
      </c>
      <c r="B4937" s="520" t="s">
        <v>4051</v>
      </c>
      <c r="C4937" s="519" t="s">
        <v>32</v>
      </c>
      <c r="D4937" s="519" t="s">
        <v>4052</v>
      </c>
      <c r="E4937" s="905" t="s">
        <v>2465</v>
      </c>
      <c r="F4937" s="905"/>
      <c r="G4937" s="521" t="s">
        <v>1901</v>
      </c>
      <c r="H4937" s="522">
        <v>1</v>
      </c>
      <c r="I4937" s="523">
        <v>19.18</v>
      </c>
      <c r="J4937" s="523">
        <v>19.18</v>
      </c>
    </row>
    <row r="4938" spans="1:10" ht="26.25" customHeight="1" thickTop="1" x14ac:dyDescent="0.3">
      <c r="A4938" s="647"/>
      <c r="B4938" s="647"/>
      <c r="C4938" s="647"/>
      <c r="D4938" s="647"/>
      <c r="E4938" s="647"/>
      <c r="F4938" s="647"/>
      <c r="G4938" s="647"/>
      <c r="H4938" s="647"/>
      <c r="I4938" s="647"/>
      <c r="J4938"/>
    </row>
    <row r="4939" spans="1:10" s="358" customFormat="1" x14ac:dyDescent="0.3">
      <c r="A4939" s="516"/>
      <c r="B4939" s="517" t="s">
        <v>15</v>
      </c>
      <c r="C4939" s="516" t="s">
        <v>16</v>
      </c>
      <c r="D4939" s="516" t="s">
        <v>17</v>
      </c>
      <c r="E4939" s="904" t="s">
        <v>2431</v>
      </c>
      <c r="F4939" s="904"/>
      <c r="G4939" s="518" t="s">
        <v>18</v>
      </c>
      <c r="H4939" s="517" t="s">
        <v>19</v>
      </c>
      <c r="I4939" s="517" t="s">
        <v>20</v>
      </c>
      <c r="J4939" s="517" t="s">
        <v>23</v>
      </c>
    </row>
    <row r="4940" spans="1:10" ht="38.25" customHeight="1" x14ac:dyDescent="0.3">
      <c r="A4940" s="642" t="s">
        <v>2432</v>
      </c>
      <c r="B4940" s="643" t="s">
        <v>2926</v>
      </c>
      <c r="C4940" s="642" t="s">
        <v>32</v>
      </c>
      <c r="D4940" s="642" t="s">
        <v>2927</v>
      </c>
      <c r="E4940" s="906" t="s">
        <v>2465</v>
      </c>
      <c r="F4940" s="906"/>
      <c r="G4940" s="644" t="s">
        <v>103</v>
      </c>
      <c r="H4940" s="645">
        <v>1</v>
      </c>
      <c r="I4940" s="646">
        <v>251.06</v>
      </c>
      <c r="J4940" s="646">
        <v>251.06</v>
      </c>
    </row>
    <row r="4941" spans="1:10" s="358" customFormat="1" ht="25.5" customHeight="1" x14ac:dyDescent="0.3">
      <c r="A4941" s="519" t="s">
        <v>2434</v>
      </c>
      <c r="B4941" s="520" t="s">
        <v>4053</v>
      </c>
      <c r="C4941" s="519" t="s">
        <v>32</v>
      </c>
      <c r="D4941" s="519" t="s">
        <v>4054</v>
      </c>
      <c r="E4941" s="905" t="s">
        <v>2465</v>
      </c>
      <c r="F4941" s="905"/>
      <c r="G4941" s="521" t="s">
        <v>1901</v>
      </c>
      <c r="H4941" s="522">
        <v>1</v>
      </c>
      <c r="I4941" s="523">
        <v>77.84</v>
      </c>
      <c r="J4941" s="523">
        <v>77.84</v>
      </c>
    </row>
    <row r="4942" spans="1:10" ht="25.5" customHeight="1" x14ac:dyDescent="0.3">
      <c r="A4942" s="519" t="s">
        <v>2434</v>
      </c>
      <c r="B4942" s="520" t="s">
        <v>4055</v>
      </c>
      <c r="C4942" s="519" t="s">
        <v>32</v>
      </c>
      <c r="D4942" s="519" t="s">
        <v>4056</v>
      </c>
      <c r="E4942" s="905" t="s">
        <v>2465</v>
      </c>
      <c r="F4942" s="905"/>
      <c r="G4942" s="521" t="s">
        <v>1901</v>
      </c>
      <c r="H4942" s="522">
        <v>1</v>
      </c>
      <c r="I4942" s="523">
        <v>84.72</v>
      </c>
      <c r="J4942" s="523">
        <v>84.72</v>
      </c>
    </row>
    <row r="4943" spans="1:10" ht="25.5" customHeight="1" x14ac:dyDescent="0.3">
      <c r="A4943" s="519" t="s">
        <v>2434</v>
      </c>
      <c r="B4943" s="520" t="s">
        <v>4037</v>
      </c>
      <c r="C4943" s="519" t="s">
        <v>32</v>
      </c>
      <c r="D4943" s="519" t="s">
        <v>4038</v>
      </c>
      <c r="E4943" s="905" t="s">
        <v>2433</v>
      </c>
      <c r="F4943" s="905"/>
      <c r="G4943" s="521" t="s">
        <v>1901</v>
      </c>
      <c r="H4943" s="522">
        <v>1</v>
      </c>
      <c r="I4943" s="523">
        <v>25.78</v>
      </c>
      <c r="J4943" s="523">
        <v>25.78</v>
      </c>
    </row>
    <row r="4944" spans="1:10" ht="38.25" customHeight="1" x14ac:dyDescent="0.3">
      <c r="A4944" s="519" t="s">
        <v>2434</v>
      </c>
      <c r="B4944" s="520" t="s">
        <v>4049</v>
      </c>
      <c r="C4944" s="519" t="s">
        <v>32</v>
      </c>
      <c r="D4944" s="519" t="s">
        <v>4050</v>
      </c>
      <c r="E4944" s="905" t="s">
        <v>2465</v>
      </c>
      <c r="F4944" s="905"/>
      <c r="G4944" s="521" t="s">
        <v>1901</v>
      </c>
      <c r="H4944" s="522">
        <v>1</v>
      </c>
      <c r="I4944" s="523">
        <v>43.54</v>
      </c>
      <c r="J4944" s="523">
        <v>43.54</v>
      </c>
    </row>
    <row r="4945" spans="1:10" ht="25.5" customHeight="1" thickBot="1" x14ac:dyDescent="0.35">
      <c r="A4945" s="519" t="s">
        <v>2434</v>
      </c>
      <c r="B4945" s="520" t="s">
        <v>4051</v>
      </c>
      <c r="C4945" s="519" t="s">
        <v>32</v>
      </c>
      <c r="D4945" s="519" t="s">
        <v>4052</v>
      </c>
      <c r="E4945" s="905" t="s">
        <v>2465</v>
      </c>
      <c r="F4945" s="905"/>
      <c r="G4945" s="521" t="s">
        <v>1901</v>
      </c>
      <c r="H4945" s="522">
        <v>1</v>
      </c>
      <c r="I4945" s="523">
        <v>19.18</v>
      </c>
      <c r="J4945" s="523">
        <v>19.18</v>
      </c>
    </row>
    <row r="4946" spans="1:10" ht="26.25" customHeight="1" thickTop="1" x14ac:dyDescent="0.3">
      <c r="A4946" s="647"/>
      <c r="B4946" s="647"/>
      <c r="C4946" s="647"/>
      <c r="D4946" s="647"/>
      <c r="E4946" s="647"/>
      <c r="F4946" s="647"/>
      <c r="G4946" s="647"/>
      <c r="H4946" s="647"/>
      <c r="I4946" s="647"/>
      <c r="J4946"/>
    </row>
    <row r="4947" spans="1:10" s="358" customFormat="1" x14ac:dyDescent="0.3">
      <c r="A4947" s="516"/>
      <c r="B4947" s="517" t="s">
        <v>15</v>
      </c>
      <c r="C4947" s="516" t="s">
        <v>16</v>
      </c>
      <c r="D4947" s="516" t="s">
        <v>17</v>
      </c>
      <c r="E4947" s="904" t="s">
        <v>2431</v>
      </c>
      <c r="F4947" s="904"/>
      <c r="G4947" s="518" t="s">
        <v>18</v>
      </c>
      <c r="H4947" s="517" t="s">
        <v>19</v>
      </c>
      <c r="I4947" s="517" t="s">
        <v>20</v>
      </c>
      <c r="J4947" s="517" t="s">
        <v>23</v>
      </c>
    </row>
    <row r="4948" spans="1:10" ht="38.25" customHeight="1" x14ac:dyDescent="0.3">
      <c r="A4948" s="642" t="s">
        <v>2432</v>
      </c>
      <c r="B4948" s="643" t="s">
        <v>4049</v>
      </c>
      <c r="C4948" s="642" t="s">
        <v>32</v>
      </c>
      <c r="D4948" s="642" t="s">
        <v>4050</v>
      </c>
      <c r="E4948" s="906" t="s">
        <v>2465</v>
      </c>
      <c r="F4948" s="906"/>
      <c r="G4948" s="644" t="s">
        <v>1901</v>
      </c>
      <c r="H4948" s="645">
        <v>1</v>
      </c>
      <c r="I4948" s="646">
        <v>43.54</v>
      </c>
      <c r="J4948" s="646">
        <v>43.54</v>
      </c>
    </row>
    <row r="4949" spans="1:10" s="358" customFormat="1" ht="25.5" customHeight="1" thickBot="1" x14ac:dyDescent="0.35">
      <c r="A4949" s="519" t="s">
        <v>2437</v>
      </c>
      <c r="B4949" s="520" t="s">
        <v>4057</v>
      </c>
      <c r="C4949" s="519" t="s">
        <v>32</v>
      </c>
      <c r="D4949" s="519" t="s">
        <v>4058</v>
      </c>
      <c r="E4949" s="905" t="s">
        <v>2446</v>
      </c>
      <c r="F4949" s="905"/>
      <c r="G4949" s="521" t="s">
        <v>89</v>
      </c>
      <c r="H4949" s="522">
        <v>3.1099999999999997E-5</v>
      </c>
      <c r="I4949" s="523">
        <v>1400000</v>
      </c>
      <c r="J4949" s="523">
        <v>43.54</v>
      </c>
    </row>
    <row r="4950" spans="1:10" ht="14.5" thickTop="1" x14ac:dyDescent="0.3">
      <c r="A4950" s="647"/>
      <c r="B4950" s="647"/>
      <c r="C4950" s="647"/>
      <c r="D4950" s="647"/>
      <c r="E4950" s="647"/>
      <c r="F4950" s="647"/>
      <c r="G4950" s="647"/>
      <c r="H4950" s="647"/>
      <c r="I4950" s="647"/>
      <c r="J4950"/>
    </row>
    <row r="4951" spans="1:10" s="358" customFormat="1" x14ac:dyDescent="0.3">
      <c r="A4951" s="516"/>
      <c r="B4951" s="517" t="s">
        <v>15</v>
      </c>
      <c r="C4951" s="516" t="s">
        <v>16</v>
      </c>
      <c r="D4951" s="516" t="s">
        <v>17</v>
      </c>
      <c r="E4951" s="904" t="s">
        <v>2431</v>
      </c>
      <c r="F4951" s="904"/>
      <c r="G4951" s="518" t="s">
        <v>18</v>
      </c>
      <c r="H4951" s="517" t="s">
        <v>19</v>
      </c>
      <c r="I4951" s="517" t="s">
        <v>20</v>
      </c>
      <c r="J4951" s="517" t="s">
        <v>23</v>
      </c>
    </row>
    <row r="4952" spans="1:10" ht="25.5" customHeight="1" x14ac:dyDescent="0.3">
      <c r="A4952" s="642" t="s">
        <v>2432</v>
      </c>
      <c r="B4952" s="643" t="s">
        <v>4051</v>
      </c>
      <c r="C4952" s="642" t="s">
        <v>32</v>
      </c>
      <c r="D4952" s="642" t="s">
        <v>4052</v>
      </c>
      <c r="E4952" s="906" t="s">
        <v>2465</v>
      </c>
      <c r="F4952" s="906"/>
      <c r="G4952" s="644" t="s">
        <v>1901</v>
      </c>
      <c r="H4952" s="645">
        <v>1</v>
      </c>
      <c r="I4952" s="646">
        <v>19.18</v>
      </c>
      <c r="J4952" s="646">
        <v>19.18</v>
      </c>
    </row>
    <row r="4953" spans="1:10" s="358" customFormat="1" ht="25.5" customHeight="1" thickBot="1" x14ac:dyDescent="0.35">
      <c r="A4953" s="519" t="s">
        <v>2437</v>
      </c>
      <c r="B4953" s="520" t="s">
        <v>4057</v>
      </c>
      <c r="C4953" s="519" t="s">
        <v>32</v>
      </c>
      <c r="D4953" s="519" t="s">
        <v>4058</v>
      </c>
      <c r="E4953" s="905" t="s">
        <v>2446</v>
      </c>
      <c r="F4953" s="905"/>
      <c r="G4953" s="521" t="s">
        <v>89</v>
      </c>
      <c r="H4953" s="522">
        <v>1.3699999999999999E-5</v>
      </c>
      <c r="I4953" s="523">
        <v>1400000</v>
      </c>
      <c r="J4953" s="523">
        <v>19.18</v>
      </c>
    </row>
    <row r="4954" spans="1:10" ht="14.5" thickTop="1" x14ac:dyDescent="0.3">
      <c r="A4954" s="647"/>
      <c r="B4954" s="647"/>
      <c r="C4954" s="647"/>
      <c r="D4954" s="647"/>
      <c r="E4954" s="647"/>
      <c r="F4954" s="647"/>
      <c r="G4954" s="647"/>
      <c r="H4954" s="647"/>
      <c r="I4954" s="647"/>
      <c r="J4954"/>
    </row>
    <row r="4955" spans="1:10" s="358" customFormat="1" x14ac:dyDescent="0.3">
      <c r="A4955" s="516"/>
      <c r="B4955" s="517" t="s">
        <v>15</v>
      </c>
      <c r="C4955" s="516" t="s">
        <v>16</v>
      </c>
      <c r="D4955" s="516" t="s">
        <v>17</v>
      </c>
      <c r="E4955" s="904" t="s">
        <v>2431</v>
      </c>
      <c r="F4955" s="904"/>
      <c r="G4955" s="518" t="s">
        <v>18</v>
      </c>
      <c r="H4955" s="517" t="s">
        <v>19</v>
      </c>
      <c r="I4955" s="517" t="s">
        <v>20</v>
      </c>
      <c r="J4955" s="517" t="s">
        <v>23</v>
      </c>
    </row>
    <row r="4956" spans="1:10" ht="38.25" customHeight="1" x14ac:dyDescent="0.3">
      <c r="A4956" s="642" t="s">
        <v>2432</v>
      </c>
      <c r="B4956" s="643" t="s">
        <v>4053</v>
      </c>
      <c r="C4956" s="642" t="s">
        <v>32</v>
      </c>
      <c r="D4956" s="642" t="s">
        <v>4054</v>
      </c>
      <c r="E4956" s="906" t="s">
        <v>2465</v>
      </c>
      <c r="F4956" s="906"/>
      <c r="G4956" s="644" t="s">
        <v>1901</v>
      </c>
      <c r="H4956" s="645">
        <v>1</v>
      </c>
      <c r="I4956" s="646">
        <v>77.84</v>
      </c>
      <c r="J4956" s="646">
        <v>77.84</v>
      </c>
    </row>
    <row r="4957" spans="1:10" s="358" customFormat="1" ht="25.5" customHeight="1" thickBot="1" x14ac:dyDescent="0.35">
      <c r="A4957" s="519" t="s">
        <v>2437</v>
      </c>
      <c r="B4957" s="520" t="s">
        <v>4057</v>
      </c>
      <c r="C4957" s="519" t="s">
        <v>32</v>
      </c>
      <c r="D4957" s="519" t="s">
        <v>4058</v>
      </c>
      <c r="E4957" s="905" t="s">
        <v>2446</v>
      </c>
      <c r="F4957" s="905"/>
      <c r="G4957" s="521" t="s">
        <v>89</v>
      </c>
      <c r="H4957" s="522">
        <v>5.5600000000000003E-5</v>
      </c>
      <c r="I4957" s="523">
        <v>1400000</v>
      </c>
      <c r="J4957" s="523">
        <v>77.84</v>
      </c>
    </row>
    <row r="4958" spans="1:10" ht="14.5" thickTop="1" x14ac:dyDescent="0.3">
      <c r="A4958" s="647"/>
      <c r="B4958" s="647"/>
      <c r="C4958" s="647"/>
      <c r="D4958" s="647"/>
      <c r="E4958" s="647"/>
      <c r="F4958" s="647"/>
      <c r="G4958" s="647"/>
      <c r="H4958" s="647"/>
      <c r="I4958" s="647"/>
      <c r="J4958"/>
    </row>
    <row r="4959" spans="1:10" s="358" customFormat="1" x14ac:dyDescent="0.3">
      <c r="A4959" s="516"/>
      <c r="B4959" s="517" t="s">
        <v>15</v>
      </c>
      <c r="C4959" s="516" t="s">
        <v>16</v>
      </c>
      <c r="D4959" s="516" t="s">
        <v>17</v>
      </c>
      <c r="E4959" s="904" t="s">
        <v>2431</v>
      </c>
      <c r="F4959" s="904"/>
      <c r="G4959" s="518" t="s">
        <v>18</v>
      </c>
      <c r="H4959" s="517" t="s">
        <v>19</v>
      </c>
      <c r="I4959" s="517" t="s">
        <v>20</v>
      </c>
      <c r="J4959" s="517" t="s">
        <v>23</v>
      </c>
    </row>
    <row r="4960" spans="1:10" ht="38.25" customHeight="1" x14ac:dyDescent="0.3">
      <c r="A4960" s="642" t="s">
        <v>2432</v>
      </c>
      <c r="B4960" s="643" t="s">
        <v>4055</v>
      </c>
      <c r="C4960" s="642" t="s">
        <v>32</v>
      </c>
      <c r="D4960" s="642" t="s">
        <v>4056</v>
      </c>
      <c r="E4960" s="906" t="s">
        <v>2465</v>
      </c>
      <c r="F4960" s="906"/>
      <c r="G4960" s="644" t="s">
        <v>1901</v>
      </c>
      <c r="H4960" s="645">
        <v>1</v>
      </c>
      <c r="I4960" s="646">
        <v>84.72</v>
      </c>
      <c r="J4960" s="646">
        <v>84.72</v>
      </c>
    </row>
    <row r="4961" spans="1:10" s="358" customFormat="1" ht="25.5" customHeight="1" thickBot="1" x14ac:dyDescent="0.35">
      <c r="A4961" s="519" t="s">
        <v>2437</v>
      </c>
      <c r="B4961" s="520" t="s">
        <v>4485</v>
      </c>
      <c r="C4961" s="519" t="s">
        <v>125</v>
      </c>
      <c r="D4961" s="519" t="s">
        <v>4486</v>
      </c>
      <c r="E4961" s="905" t="s">
        <v>2442</v>
      </c>
      <c r="F4961" s="905"/>
      <c r="G4961" s="521" t="s">
        <v>2829</v>
      </c>
      <c r="H4961" s="522">
        <v>15.67</v>
      </c>
      <c r="I4961" s="523">
        <v>5.4069000000000003</v>
      </c>
      <c r="J4961" s="523">
        <v>84.72</v>
      </c>
    </row>
    <row r="4962" spans="1:10" ht="14.5" thickTop="1" x14ac:dyDescent="0.3">
      <c r="A4962" s="647"/>
      <c r="B4962" s="647"/>
      <c r="C4962" s="647"/>
      <c r="D4962" s="647"/>
      <c r="E4962" s="647"/>
      <c r="F4962" s="647"/>
      <c r="G4962" s="647"/>
      <c r="H4962" s="647"/>
      <c r="I4962" s="647"/>
      <c r="J4962"/>
    </row>
    <row r="4963" spans="1:10" s="358" customFormat="1" x14ac:dyDescent="0.3">
      <c r="A4963" s="516"/>
      <c r="B4963" s="517" t="s">
        <v>15</v>
      </c>
      <c r="C4963" s="516" t="s">
        <v>16</v>
      </c>
      <c r="D4963" s="516" t="s">
        <v>17</v>
      </c>
      <c r="E4963" s="904" t="s">
        <v>2431</v>
      </c>
      <c r="F4963" s="904"/>
      <c r="G4963" s="518" t="s">
        <v>18</v>
      </c>
      <c r="H4963" s="517" t="s">
        <v>19</v>
      </c>
      <c r="I4963" s="517" t="s">
        <v>20</v>
      </c>
      <c r="J4963" s="517" t="s">
        <v>23</v>
      </c>
    </row>
    <row r="4964" spans="1:10" ht="25.5" customHeight="1" x14ac:dyDescent="0.3">
      <c r="A4964" s="642" t="s">
        <v>2432</v>
      </c>
      <c r="B4964" s="643" t="s">
        <v>3077</v>
      </c>
      <c r="C4964" s="642" t="s">
        <v>32</v>
      </c>
      <c r="D4964" s="642" t="s">
        <v>3078</v>
      </c>
      <c r="E4964" s="906" t="s">
        <v>2465</v>
      </c>
      <c r="F4964" s="906"/>
      <c r="G4964" s="644" t="s">
        <v>110</v>
      </c>
      <c r="H4964" s="645">
        <v>1</v>
      </c>
      <c r="I4964" s="646">
        <v>88.11</v>
      </c>
      <c r="J4964" s="646">
        <v>88.11</v>
      </c>
    </row>
    <row r="4965" spans="1:10" s="358" customFormat="1" ht="38.25" customHeight="1" x14ac:dyDescent="0.3">
      <c r="A4965" s="519" t="s">
        <v>2434</v>
      </c>
      <c r="B4965" s="520" t="s">
        <v>4037</v>
      </c>
      <c r="C4965" s="519" t="s">
        <v>32</v>
      </c>
      <c r="D4965" s="519" t="s">
        <v>4038</v>
      </c>
      <c r="E4965" s="905" t="s">
        <v>2433</v>
      </c>
      <c r="F4965" s="905"/>
      <c r="G4965" s="521" t="s">
        <v>1901</v>
      </c>
      <c r="H4965" s="522">
        <v>1</v>
      </c>
      <c r="I4965" s="523">
        <v>25.78</v>
      </c>
      <c r="J4965" s="523">
        <v>25.78</v>
      </c>
    </row>
    <row r="4966" spans="1:10" ht="25.5" customHeight="1" x14ac:dyDescent="0.3">
      <c r="A4966" s="519" t="s">
        <v>2434</v>
      </c>
      <c r="B4966" s="520" t="s">
        <v>4059</v>
      </c>
      <c r="C4966" s="519" t="s">
        <v>32</v>
      </c>
      <c r="D4966" s="519" t="s">
        <v>4060</v>
      </c>
      <c r="E4966" s="905" t="s">
        <v>2465</v>
      </c>
      <c r="F4966" s="905"/>
      <c r="G4966" s="521" t="s">
        <v>1901</v>
      </c>
      <c r="H4966" s="522">
        <v>1</v>
      </c>
      <c r="I4966" s="523">
        <v>43.27</v>
      </c>
      <c r="J4966" s="523">
        <v>43.27</v>
      </c>
    </row>
    <row r="4967" spans="1:10" ht="38.25" customHeight="1" thickBot="1" x14ac:dyDescent="0.35">
      <c r="A4967" s="519" t="s">
        <v>2434</v>
      </c>
      <c r="B4967" s="520" t="s">
        <v>4061</v>
      </c>
      <c r="C4967" s="519" t="s">
        <v>32</v>
      </c>
      <c r="D4967" s="519" t="s">
        <v>4062</v>
      </c>
      <c r="E4967" s="905" t="s">
        <v>2465</v>
      </c>
      <c r="F4967" s="905"/>
      <c r="G4967" s="521" t="s">
        <v>1901</v>
      </c>
      <c r="H4967" s="522">
        <v>1</v>
      </c>
      <c r="I4967" s="523">
        <v>19.059999999999999</v>
      </c>
      <c r="J4967" s="523">
        <v>19.059999999999999</v>
      </c>
    </row>
    <row r="4968" spans="1:10" ht="26.25" customHeight="1" thickTop="1" x14ac:dyDescent="0.3">
      <c r="A4968" s="647"/>
      <c r="B4968" s="647"/>
      <c r="C4968" s="647"/>
      <c r="D4968" s="647"/>
      <c r="E4968" s="647"/>
      <c r="F4968" s="647"/>
      <c r="G4968" s="647"/>
      <c r="H4968" s="647"/>
      <c r="I4968" s="647"/>
      <c r="J4968"/>
    </row>
    <row r="4969" spans="1:10" s="358" customFormat="1" x14ac:dyDescent="0.3">
      <c r="A4969" s="516"/>
      <c r="B4969" s="517" t="s">
        <v>15</v>
      </c>
      <c r="C4969" s="516" t="s">
        <v>16</v>
      </c>
      <c r="D4969" s="516" t="s">
        <v>17</v>
      </c>
      <c r="E4969" s="904" t="s">
        <v>2431</v>
      </c>
      <c r="F4969" s="904"/>
      <c r="G4969" s="518" t="s">
        <v>18</v>
      </c>
      <c r="H4969" s="517" t="s">
        <v>19</v>
      </c>
      <c r="I4969" s="517" t="s">
        <v>20</v>
      </c>
      <c r="J4969" s="517" t="s">
        <v>23</v>
      </c>
    </row>
    <row r="4970" spans="1:10" ht="25.5" customHeight="1" x14ac:dyDescent="0.3">
      <c r="A4970" s="642" t="s">
        <v>2432</v>
      </c>
      <c r="B4970" s="643" t="s">
        <v>3075</v>
      </c>
      <c r="C4970" s="642" t="s">
        <v>32</v>
      </c>
      <c r="D4970" s="642" t="s">
        <v>3076</v>
      </c>
      <c r="E4970" s="906" t="s">
        <v>2465</v>
      </c>
      <c r="F4970" s="906"/>
      <c r="G4970" s="644" t="s">
        <v>103</v>
      </c>
      <c r="H4970" s="645">
        <v>1</v>
      </c>
      <c r="I4970" s="646">
        <v>261.49</v>
      </c>
      <c r="J4970" s="646">
        <v>261.49</v>
      </c>
    </row>
    <row r="4971" spans="1:10" s="358" customFormat="1" ht="38.25" customHeight="1" x14ac:dyDescent="0.3">
      <c r="A4971" s="519" t="s">
        <v>2434</v>
      </c>
      <c r="B4971" s="520" t="s">
        <v>4063</v>
      </c>
      <c r="C4971" s="519" t="s">
        <v>32</v>
      </c>
      <c r="D4971" s="519" t="s">
        <v>4064</v>
      </c>
      <c r="E4971" s="905" t="s">
        <v>2465</v>
      </c>
      <c r="F4971" s="905"/>
      <c r="G4971" s="521" t="s">
        <v>1901</v>
      </c>
      <c r="H4971" s="522">
        <v>1</v>
      </c>
      <c r="I4971" s="523">
        <v>77.36</v>
      </c>
      <c r="J4971" s="523">
        <v>77.36</v>
      </c>
    </row>
    <row r="4972" spans="1:10" ht="38.25" customHeight="1" x14ac:dyDescent="0.3">
      <c r="A4972" s="519" t="s">
        <v>2434</v>
      </c>
      <c r="B4972" s="520" t="s">
        <v>4065</v>
      </c>
      <c r="C4972" s="519" t="s">
        <v>32</v>
      </c>
      <c r="D4972" s="519" t="s">
        <v>4066</v>
      </c>
      <c r="E4972" s="905" t="s">
        <v>2465</v>
      </c>
      <c r="F4972" s="905"/>
      <c r="G4972" s="521" t="s">
        <v>1901</v>
      </c>
      <c r="H4972" s="522">
        <v>1</v>
      </c>
      <c r="I4972" s="523">
        <v>96.02</v>
      </c>
      <c r="J4972" s="523">
        <v>96.02</v>
      </c>
    </row>
    <row r="4973" spans="1:10" ht="38.25" customHeight="1" x14ac:dyDescent="0.3">
      <c r="A4973" s="519" t="s">
        <v>2434</v>
      </c>
      <c r="B4973" s="520" t="s">
        <v>4037</v>
      </c>
      <c r="C4973" s="519" t="s">
        <v>32</v>
      </c>
      <c r="D4973" s="519" t="s">
        <v>4038</v>
      </c>
      <c r="E4973" s="905" t="s">
        <v>2433</v>
      </c>
      <c r="F4973" s="905"/>
      <c r="G4973" s="521" t="s">
        <v>1901</v>
      </c>
      <c r="H4973" s="522">
        <v>1</v>
      </c>
      <c r="I4973" s="523">
        <v>25.78</v>
      </c>
      <c r="J4973" s="523">
        <v>25.78</v>
      </c>
    </row>
    <row r="4974" spans="1:10" ht="25.5" customHeight="1" x14ac:dyDescent="0.3">
      <c r="A4974" s="519" t="s">
        <v>2434</v>
      </c>
      <c r="B4974" s="520" t="s">
        <v>4059</v>
      </c>
      <c r="C4974" s="519" t="s">
        <v>32</v>
      </c>
      <c r="D4974" s="519" t="s">
        <v>4060</v>
      </c>
      <c r="E4974" s="905" t="s">
        <v>2465</v>
      </c>
      <c r="F4974" s="905"/>
      <c r="G4974" s="521" t="s">
        <v>1901</v>
      </c>
      <c r="H4974" s="522">
        <v>1</v>
      </c>
      <c r="I4974" s="523">
        <v>43.27</v>
      </c>
      <c r="J4974" s="523">
        <v>43.27</v>
      </c>
    </row>
    <row r="4975" spans="1:10" ht="38.25" customHeight="1" thickBot="1" x14ac:dyDescent="0.35">
      <c r="A4975" s="519" t="s">
        <v>2434</v>
      </c>
      <c r="B4975" s="520" t="s">
        <v>4061</v>
      </c>
      <c r="C4975" s="519" t="s">
        <v>32</v>
      </c>
      <c r="D4975" s="519" t="s">
        <v>4062</v>
      </c>
      <c r="E4975" s="905" t="s">
        <v>2465</v>
      </c>
      <c r="F4975" s="905"/>
      <c r="G4975" s="521" t="s">
        <v>1901</v>
      </c>
      <c r="H4975" s="522">
        <v>1</v>
      </c>
      <c r="I4975" s="523">
        <v>19.059999999999999</v>
      </c>
      <c r="J4975" s="523">
        <v>19.059999999999999</v>
      </c>
    </row>
    <row r="4976" spans="1:10" ht="26.25" customHeight="1" thickTop="1" x14ac:dyDescent="0.3">
      <c r="A4976" s="647"/>
      <c r="B4976" s="647"/>
      <c r="C4976" s="647"/>
      <c r="D4976" s="647"/>
      <c r="E4976" s="647"/>
      <c r="F4976" s="647"/>
      <c r="G4976" s="647"/>
      <c r="H4976" s="647"/>
      <c r="I4976" s="647"/>
      <c r="J4976"/>
    </row>
    <row r="4977" spans="1:10" s="358" customFormat="1" x14ac:dyDescent="0.3">
      <c r="A4977" s="516"/>
      <c r="B4977" s="517" t="s">
        <v>15</v>
      </c>
      <c r="C4977" s="516" t="s">
        <v>16</v>
      </c>
      <c r="D4977" s="516" t="s">
        <v>17</v>
      </c>
      <c r="E4977" s="904" t="s">
        <v>2431</v>
      </c>
      <c r="F4977" s="904"/>
      <c r="G4977" s="518" t="s">
        <v>18</v>
      </c>
      <c r="H4977" s="517" t="s">
        <v>19</v>
      </c>
      <c r="I4977" s="517" t="s">
        <v>20</v>
      </c>
      <c r="J4977" s="517" t="s">
        <v>23</v>
      </c>
    </row>
    <row r="4978" spans="1:10" ht="25.5" customHeight="1" x14ac:dyDescent="0.3">
      <c r="A4978" s="642" t="s">
        <v>2432</v>
      </c>
      <c r="B4978" s="643" t="s">
        <v>4059</v>
      </c>
      <c r="C4978" s="642" t="s">
        <v>32</v>
      </c>
      <c r="D4978" s="642" t="s">
        <v>4060</v>
      </c>
      <c r="E4978" s="906" t="s">
        <v>2465</v>
      </c>
      <c r="F4978" s="906"/>
      <c r="G4978" s="644" t="s">
        <v>1901</v>
      </c>
      <c r="H4978" s="645">
        <v>1</v>
      </c>
      <c r="I4978" s="646">
        <v>43.27</v>
      </c>
      <c r="J4978" s="646">
        <v>43.27</v>
      </c>
    </row>
    <row r="4979" spans="1:10" s="358" customFormat="1" ht="38.25" customHeight="1" thickBot="1" x14ac:dyDescent="0.35">
      <c r="A4979" s="519" t="s">
        <v>2437</v>
      </c>
      <c r="B4979" s="520" t="s">
        <v>4067</v>
      </c>
      <c r="C4979" s="519" t="s">
        <v>32</v>
      </c>
      <c r="D4979" s="519" t="s">
        <v>4068</v>
      </c>
      <c r="E4979" s="905" t="s">
        <v>2446</v>
      </c>
      <c r="F4979" s="905"/>
      <c r="G4979" s="521" t="s">
        <v>89</v>
      </c>
      <c r="H4979" s="522">
        <v>3.1099999999999997E-5</v>
      </c>
      <c r="I4979" s="523">
        <v>1391437.18</v>
      </c>
      <c r="J4979" s="523">
        <v>43.27</v>
      </c>
    </row>
    <row r="4980" spans="1:10" ht="14.5" thickTop="1" x14ac:dyDescent="0.3">
      <c r="A4980" s="647"/>
      <c r="B4980" s="647"/>
      <c r="C4980" s="647"/>
      <c r="D4980" s="647"/>
      <c r="E4980" s="647"/>
      <c r="F4980" s="647"/>
      <c r="G4980" s="647"/>
      <c r="H4980" s="647"/>
      <c r="I4980" s="647"/>
      <c r="J4980"/>
    </row>
    <row r="4981" spans="1:10" s="358" customFormat="1" x14ac:dyDescent="0.3">
      <c r="A4981" s="516"/>
      <c r="B4981" s="517" t="s">
        <v>15</v>
      </c>
      <c r="C4981" s="516" t="s">
        <v>16</v>
      </c>
      <c r="D4981" s="516" t="s">
        <v>17</v>
      </c>
      <c r="E4981" s="904" t="s">
        <v>2431</v>
      </c>
      <c r="F4981" s="904"/>
      <c r="G4981" s="518" t="s">
        <v>18</v>
      </c>
      <c r="H4981" s="517" t="s">
        <v>19</v>
      </c>
      <c r="I4981" s="517" t="s">
        <v>20</v>
      </c>
      <c r="J4981" s="517" t="s">
        <v>23</v>
      </c>
    </row>
    <row r="4982" spans="1:10" ht="25.5" customHeight="1" x14ac:dyDescent="0.3">
      <c r="A4982" s="642" t="s">
        <v>2432</v>
      </c>
      <c r="B4982" s="643" t="s">
        <v>4061</v>
      </c>
      <c r="C4982" s="642" t="s">
        <v>32</v>
      </c>
      <c r="D4982" s="642" t="s">
        <v>4062</v>
      </c>
      <c r="E4982" s="906" t="s">
        <v>2465</v>
      </c>
      <c r="F4982" s="906"/>
      <c r="G4982" s="644" t="s">
        <v>1901</v>
      </c>
      <c r="H4982" s="645">
        <v>1</v>
      </c>
      <c r="I4982" s="646">
        <v>19.059999999999999</v>
      </c>
      <c r="J4982" s="646">
        <v>19.059999999999999</v>
      </c>
    </row>
    <row r="4983" spans="1:10" s="358" customFormat="1" ht="25.5" customHeight="1" thickBot="1" x14ac:dyDescent="0.35">
      <c r="A4983" s="519" t="s">
        <v>2437</v>
      </c>
      <c r="B4983" s="520" t="s">
        <v>4067</v>
      </c>
      <c r="C4983" s="519" t="s">
        <v>32</v>
      </c>
      <c r="D4983" s="519" t="s">
        <v>4068</v>
      </c>
      <c r="E4983" s="905" t="s">
        <v>2446</v>
      </c>
      <c r="F4983" s="905"/>
      <c r="G4983" s="521" t="s">
        <v>89</v>
      </c>
      <c r="H4983" s="522">
        <v>1.3699999999999999E-5</v>
      </c>
      <c r="I4983" s="523">
        <v>1391437.18</v>
      </c>
      <c r="J4983" s="523">
        <v>19.059999999999999</v>
      </c>
    </row>
    <row r="4984" spans="1:10" ht="14.5" thickTop="1" x14ac:dyDescent="0.3">
      <c r="A4984" s="647"/>
      <c r="B4984" s="647"/>
      <c r="C4984" s="647"/>
      <c r="D4984" s="647"/>
      <c r="E4984" s="647"/>
      <c r="F4984" s="647"/>
      <c r="G4984" s="647"/>
      <c r="H4984" s="647"/>
      <c r="I4984" s="647"/>
      <c r="J4984"/>
    </row>
    <row r="4985" spans="1:10" s="358" customFormat="1" x14ac:dyDescent="0.3">
      <c r="A4985" s="516"/>
      <c r="B4985" s="517" t="s">
        <v>15</v>
      </c>
      <c r="C4985" s="516" t="s">
        <v>16</v>
      </c>
      <c r="D4985" s="516" t="s">
        <v>17</v>
      </c>
      <c r="E4985" s="904" t="s">
        <v>2431</v>
      </c>
      <c r="F4985" s="904"/>
      <c r="G4985" s="518" t="s">
        <v>18</v>
      </c>
      <c r="H4985" s="517" t="s">
        <v>19</v>
      </c>
      <c r="I4985" s="517" t="s">
        <v>20</v>
      </c>
      <c r="J4985" s="517" t="s">
        <v>23</v>
      </c>
    </row>
    <row r="4986" spans="1:10" ht="25.5" customHeight="1" x14ac:dyDescent="0.3">
      <c r="A4986" s="642" t="s">
        <v>2432</v>
      </c>
      <c r="B4986" s="643" t="s">
        <v>4063</v>
      </c>
      <c r="C4986" s="642" t="s">
        <v>32</v>
      </c>
      <c r="D4986" s="642" t="s">
        <v>4064</v>
      </c>
      <c r="E4986" s="906" t="s">
        <v>2465</v>
      </c>
      <c r="F4986" s="906"/>
      <c r="G4986" s="644" t="s">
        <v>1901</v>
      </c>
      <c r="H4986" s="645">
        <v>1</v>
      </c>
      <c r="I4986" s="646">
        <v>77.36</v>
      </c>
      <c r="J4986" s="646">
        <v>77.36</v>
      </c>
    </row>
    <row r="4987" spans="1:10" s="358" customFormat="1" ht="38.25" customHeight="1" thickBot="1" x14ac:dyDescent="0.35">
      <c r="A4987" s="519" t="s">
        <v>2437</v>
      </c>
      <c r="B4987" s="520" t="s">
        <v>4067</v>
      </c>
      <c r="C4987" s="519" t="s">
        <v>32</v>
      </c>
      <c r="D4987" s="519" t="s">
        <v>4068</v>
      </c>
      <c r="E4987" s="905" t="s">
        <v>2446</v>
      </c>
      <c r="F4987" s="905"/>
      <c r="G4987" s="521" t="s">
        <v>89</v>
      </c>
      <c r="H4987" s="522">
        <v>5.5600000000000003E-5</v>
      </c>
      <c r="I4987" s="523">
        <v>1391437.18</v>
      </c>
      <c r="J4987" s="523">
        <v>77.36</v>
      </c>
    </row>
    <row r="4988" spans="1:10" ht="14.5" thickTop="1" x14ac:dyDescent="0.3">
      <c r="A4988" s="647"/>
      <c r="B4988" s="647"/>
      <c r="C4988" s="647"/>
      <c r="D4988" s="647"/>
      <c r="E4988" s="647"/>
      <c r="F4988" s="647"/>
      <c r="G4988" s="647"/>
      <c r="H4988" s="647"/>
      <c r="I4988" s="647"/>
      <c r="J4988"/>
    </row>
    <row r="4989" spans="1:10" s="358" customFormat="1" x14ac:dyDescent="0.3">
      <c r="A4989" s="516"/>
      <c r="B4989" s="517" t="s">
        <v>15</v>
      </c>
      <c r="C4989" s="516" t="s">
        <v>16</v>
      </c>
      <c r="D4989" s="516" t="s">
        <v>17</v>
      </c>
      <c r="E4989" s="904" t="s">
        <v>2431</v>
      </c>
      <c r="F4989" s="904"/>
      <c r="G4989" s="518" t="s">
        <v>18</v>
      </c>
      <c r="H4989" s="517" t="s">
        <v>19</v>
      </c>
      <c r="I4989" s="517" t="s">
        <v>20</v>
      </c>
      <c r="J4989" s="517" t="s">
        <v>23</v>
      </c>
    </row>
    <row r="4990" spans="1:10" ht="25.5" customHeight="1" x14ac:dyDescent="0.3">
      <c r="A4990" s="642" t="s">
        <v>2432</v>
      </c>
      <c r="B4990" s="643" t="s">
        <v>4065</v>
      </c>
      <c r="C4990" s="642" t="s">
        <v>32</v>
      </c>
      <c r="D4990" s="642" t="s">
        <v>4066</v>
      </c>
      <c r="E4990" s="906" t="s">
        <v>2465</v>
      </c>
      <c r="F4990" s="906"/>
      <c r="G4990" s="644" t="s">
        <v>1901</v>
      </c>
      <c r="H4990" s="645">
        <v>1</v>
      </c>
      <c r="I4990" s="646">
        <v>96.02</v>
      </c>
      <c r="J4990" s="646">
        <v>96.02</v>
      </c>
    </row>
    <row r="4991" spans="1:10" s="358" customFormat="1" ht="38.25" customHeight="1" thickBot="1" x14ac:dyDescent="0.35">
      <c r="A4991" s="519" t="s">
        <v>2437</v>
      </c>
      <c r="B4991" s="520" t="s">
        <v>4485</v>
      </c>
      <c r="C4991" s="519" t="s">
        <v>125</v>
      </c>
      <c r="D4991" s="519" t="s">
        <v>4486</v>
      </c>
      <c r="E4991" s="905" t="s">
        <v>2442</v>
      </c>
      <c r="F4991" s="905"/>
      <c r="G4991" s="521" t="s">
        <v>2829</v>
      </c>
      <c r="H4991" s="522">
        <v>17.760000000000002</v>
      </c>
      <c r="I4991" s="523">
        <v>5.4069000000000003</v>
      </c>
      <c r="J4991" s="523">
        <v>96.02</v>
      </c>
    </row>
    <row r="4992" spans="1:10" ht="14.5" thickTop="1" x14ac:dyDescent="0.3">
      <c r="A4992" s="647"/>
      <c r="B4992" s="647"/>
      <c r="C4992" s="647"/>
      <c r="D4992" s="647"/>
      <c r="E4992" s="647"/>
      <c r="F4992" s="647"/>
      <c r="G4992" s="647"/>
      <c r="H4992" s="647"/>
      <c r="I4992" s="647"/>
      <c r="J4992"/>
    </row>
    <row r="4993" spans="1:10" s="358" customFormat="1" x14ac:dyDescent="0.3">
      <c r="A4993" s="516"/>
      <c r="B4993" s="517" t="s">
        <v>15</v>
      </c>
      <c r="C4993" s="516" t="s">
        <v>16</v>
      </c>
      <c r="D4993" s="516" t="s">
        <v>17</v>
      </c>
      <c r="E4993" s="904" t="s">
        <v>2431</v>
      </c>
      <c r="F4993" s="904"/>
      <c r="G4993" s="518" t="s">
        <v>18</v>
      </c>
      <c r="H4993" s="517" t="s">
        <v>19</v>
      </c>
      <c r="I4993" s="517" t="s">
        <v>20</v>
      </c>
      <c r="J4993" s="517" t="s">
        <v>23</v>
      </c>
    </row>
    <row r="4994" spans="1:10" ht="25.5" customHeight="1" x14ac:dyDescent="0.3">
      <c r="A4994" s="642" t="s">
        <v>2432</v>
      </c>
      <c r="B4994" s="643" t="s">
        <v>3672</v>
      </c>
      <c r="C4994" s="642" t="s">
        <v>32</v>
      </c>
      <c r="D4994" s="642" t="s">
        <v>3673</v>
      </c>
      <c r="E4994" s="906" t="s">
        <v>2465</v>
      </c>
      <c r="F4994" s="906"/>
      <c r="G4994" s="644" t="s">
        <v>110</v>
      </c>
      <c r="H4994" s="645">
        <v>1</v>
      </c>
      <c r="I4994" s="646">
        <v>48.8</v>
      </c>
      <c r="J4994" s="646">
        <v>48.8</v>
      </c>
    </row>
    <row r="4995" spans="1:10" s="358" customFormat="1" ht="25.5" customHeight="1" x14ac:dyDescent="0.3">
      <c r="A4995" s="519" t="s">
        <v>2434</v>
      </c>
      <c r="B4995" s="520" t="s">
        <v>4037</v>
      </c>
      <c r="C4995" s="519" t="s">
        <v>32</v>
      </c>
      <c r="D4995" s="519" t="s">
        <v>4038</v>
      </c>
      <c r="E4995" s="905" t="s">
        <v>2433</v>
      </c>
      <c r="F4995" s="905"/>
      <c r="G4995" s="521" t="s">
        <v>1901</v>
      </c>
      <c r="H4995" s="522">
        <v>1</v>
      </c>
      <c r="I4995" s="523">
        <v>25.78</v>
      </c>
      <c r="J4995" s="523">
        <v>25.78</v>
      </c>
    </row>
    <row r="4996" spans="1:10" ht="25.5" customHeight="1" x14ac:dyDescent="0.3">
      <c r="A4996" s="519" t="s">
        <v>2434</v>
      </c>
      <c r="B4996" s="520" t="s">
        <v>4069</v>
      </c>
      <c r="C4996" s="519" t="s">
        <v>32</v>
      </c>
      <c r="D4996" s="519" t="s">
        <v>4070</v>
      </c>
      <c r="E4996" s="905" t="s">
        <v>2465</v>
      </c>
      <c r="F4996" s="905"/>
      <c r="G4996" s="521" t="s">
        <v>1901</v>
      </c>
      <c r="H4996" s="522">
        <v>1</v>
      </c>
      <c r="I4996" s="523">
        <v>18.16</v>
      </c>
      <c r="J4996" s="523">
        <v>18.16</v>
      </c>
    </row>
    <row r="4997" spans="1:10" ht="25.5" customHeight="1" thickBot="1" x14ac:dyDescent="0.35">
      <c r="A4997" s="519" t="s">
        <v>2434</v>
      </c>
      <c r="B4997" s="520" t="s">
        <v>4071</v>
      </c>
      <c r="C4997" s="519" t="s">
        <v>32</v>
      </c>
      <c r="D4997" s="519" t="s">
        <v>4072</v>
      </c>
      <c r="E4997" s="905" t="s">
        <v>2465</v>
      </c>
      <c r="F4997" s="905"/>
      <c r="G4997" s="521" t="s">
        <v>1901</v>
      </c>
      <c r="H4997" s="522">
        <v>1</v>
      </c>
      <c r="I4997" s="523">
        <v>4.8600000000000003</v>
      </c>
      <c r="J4997" s="523">
        <v>4.8600000000000003</v>
      </c>
    </row>
    <row r="4998" spans="1:10" ht="26.25" customHeight="1" thickTop="1" x14ac:dyDescent="0.3">
      <c r="A4998" s="647"/>
      <c r="B4998" s="647"/>
      <c r="C4998" s="647"/>
      <c r="D4998" s="647"/>
      <c r="E4998" s="647"/>
      <c r="F4998" s="647"/>
      <c r="G4998" s="647"/>
      <c r="H4998" s="647"/>
      <c r="I4998" s="647"/>
      <c r="J4998"/>
    </row>
    <row r="4999" spans="1:10" s="358" customFormat="1" x14ac:dyDescent="0.3">
      <c r="A4999" s="516"/>
      <c r="B4999" s="517" t="s">
        <v>15</v>
      </c>
      <c r="C4999" s="516" t="s">
        <v>16</v>
      </c>
      <c r="D4999" s="516" t="s">
        <v>17</v>
      </c>
      <c r="E4999" s="904" t="s">
        <v>2431</v>
      </c>
      <c r="F4999" s="904"/>
      <c r="G4999" s="518" t="s">
        <v>18</v>
      </c>
      <c r="H4999" s="517" t="s">
        <v>19</v>
      </c>
      <c r="I4999" s="517" t="s">
        <v>20</v>
      </c>
      <c r="J4999" s="517" t="s">
        <v>23</v>
      </c>
    </row>
    <row r="5000" spans="1:10" ht="25.5" customHeight="1" x14ac:dyDescent="0.3">
      <c r="A5000" s="642" t="s">
        <v>2432</v>
      </c>
      <c r="B5000" s="643" t="s">
        <v>3674</v>
      </c>
      <c r="C5000" s="642" t="s">
        <v>32</v>
      </c>
      <c r="D5000" s="642" t="s">
        <v>3675</v>
      </c>
      <c r="E5000" s="906" t="s">
        <v>2465</v>
      </c>
      <c r="F5000" s="906"/>
      <c r="G5000" s="644" t="s">
        <v>103</v>
      </c>
      <c r="H5000" s="645">
        <v>1</v>
      </c>
      <c r="I5000" s="646">
        <v>129.55000000000001</v>
      </c>
      <c r="J5000" s="646">
        <v>129.55000000000001</v>
      </c>
    </row>
    <row r="5001" spans="1:10" s="358" customFormat="1" ht="25.5" customHeight="1" x14ac:dyDescent="0.3">
      <c r="A5001" s="519" t="s">
        <v>2434</v>
      </c>
      <c r="B5001" s="520" t="s">
        <v>4037</v>
      </c>
      <c r="C5001" s="519" t="s">
        <v>32</v>
      </c>
      <c r="D5001" s="519" t="s">
        <v>4038</v>
      </c>
      <c r="E5001" s="905" t="s">
        <v>2433</v>
      </c>
      <c r="F5001" s="905"/>
      <c r="G5001" s="521" t="s">
        <v>1901</v>
      </c>
      <c r="H5001" s="522">
        <v>1</v>
      </c>
      <c r="I5001" s="523">
        <v>25.78</v>
      </c>
      <c r="J5001" s="523">
        <v>25.78</v>
      </c>
    </row>
    <row r="5002" spans="1:10" ht="25.5" customHeight="1" x14ac:dyDescent="0.3">
      <c r="A5002" s="519" t="s">
        <v>2434</v>
      </c>
      <c r="B5002" s="520" t="s">
        <v>4069</v>
      </c>
      <c r="C5002" s="519" t="s">
        <v>32</v>
      </c>
      <c r="D5002" s="519" t="s">
        <v>4070</v>
      </c>
      <c r="E5002" s="905" t="s">
        <v>2465</v>
      </c>
      <c r="F5002" s="905"/>
      <c r="G5002" s="521" t="s">
        <v>1901</v>
      </c>
      <c r="H5002" s="522">
        <v>1</v>
      </c>
      <c r="I5002" s="523">
        <v>18.16</v>
      </c>
      <c r="J5002" s="523">
        <v>18.16</v>
      </c>
    </row>
    <row r="5003" spans="1:10" ht="25.5" customHeight="1" x14ac:dyDescent="0.3">
      <c r="A5003" s="519" t="s">
        <v>2434</v>
      </c>
      <c r="B5003" s="520" t="s">
        <v>4071</v>
      </c>
      <c r="C5003" s="519" t="s">
        <v>32</v>
      </c>
      <c r="D5003" s="519" t="s">
        <v>4072</v>
      </c>
      <c r="E5003" s="905" t="s">
        <v>2465</v>
      </c>
      <c r="F5003" s="905"/>
      <c r="G5003" s="521" t="s">
        <v>1901</v>
      </c>
      <c r="H5003" s="522">
        <v>1</v>
      </c>
      <c r="I5003" s="523">
        <v>4.8600000000000003</v>
      </c>
      <c r="J5003" s="523">
        <v>4.8600000000000003</v>
      </c>
    </row>
    <row r="5004" spans="1:10" ht="25.5" customHeight="1" x14ac:dyDescent="0.3">
      <c r="A5004" s="519" t="s">
        <v>2434</v>
      </c>
      <c r="B5004" s="520" t="s">
        <v>4073</v>
      </c>
      <c r="C5004" s="519" t="s">
        <v>32</v>
      </c>
      <c r="D5004" s="519" t="s">
        <v>4074</v>
      </c>
      <c r="E5004" s="905" t="s">
        <v>2465</v>
      </c>
      <c r="F5004" s="905"/>
      <c r="G5004" s="521" t="s">
        <v>1901</v>
      </c>
      <c r="H5004" s="522">
        <v>1</v>
      </c>
      <c r="I5004" s="523">
        <v>19.87</v>
      </c>
      <c r="J5004" s="523">
        <v>19.87</v>
      </c>
    </row>
    <row r="5005" spans="1:10" ht="25.5" customHeight="1" thickBot="1" x14ac:dyDescent="0.35">
      <c r="A5005" s="519" t="s">
        <v>2434</v>
      </c>
      <c r="B5005" s="520" t="s">
        <v>4075</v>
      </c>
      <c r="C5005" s="519" t="s">
        <v>32</v>
      </c>
      <c r="D5005" s="519" t="s">
        <v>4076</v>
      </c>
      <c r="E5005" s="905" t="s">
        <v>2465</v>
      </c>
      <c r="F5005" s="905"/>
      <c r="G5005" s="521" t="s">
        <v>1901</v>
      </c>
      <c r="H5005" s="522">
        <v>1</v>
      </c>
      <c r="I5005" s="523">
        <v>60.88</v>
      </c>
      <c r="J5005" s="523">
        <v>60.88</v>
      </c>
    </row>
    <row r="5006" spans="1:10" ht="26.25" customHeight="1" thickTop="1" x14ac:dyDescent="0.3">
      <c r="A5006" s="647"/>
      <c r="B5006" s="647"/>
      <c r="C5006" s="647"/>
      <c r="D5006" s="647"/>
      <c r="E5006" s="647"/>
      <c r="F5006" s="647"/>
      <c r="G5006" s="647"/>
      <c r="H5006" s="647"/>
      <c r="I5006" s="647"/>
      <c r="J5006"/>
    </row>
    <row r="5007" spans="1:10" s="358" customFormat="1" x14ac:dyDescent="0.3">
      <c r="A5007" s="516"/>
      <c r="B5007" s="517" t="s">
        <v>15</v>
      </c>
      <c r="C5007" s="516" t="s">
        <v>16</v>
      </c>
      <c r="D5007" s="516" t="s">
        <v>17</v>
      </c>
      <c r="E5007" s="904" t="s">
        <v>2431</v>
      </c>
      <c r="F5007" s="904"/>
      <c r="G5007" s="518" t="s">
        <v>18</v>
      </c>
      <c r="H5007" s="517" t="s">
        <v>19</v>
      </c>
      <c r="I5007" s="517" t="s">
        <v>20</v>
      </c>
      <c r="J5007" s="517" t="s">
        <v>23</v>
      </c>
    </row>
    <row r="5008" spans="1:10" ht="25.5" customHeight="1" x14ac:dyDescent="0.3">
      <c r="A5008" s="642" t="s">
        <v>2432</v>
      </c>
      <c r="B5008" s="643" t="s">
        <v>4069</v>
      </c>
      <c r="C5008" s="642" t="s">
        <v>32</v>
      </c>
      <c r="D5008" s="642" t="s">
        <v>4070</v>
      </c>
      <c r="E5008" s="906" t="s">
        <v>2465</v>
      </c>
      <c r="F5008" s="906"/>
      <c r="G5008" s="644" t="s">
        <v>1901</v>
      </c>
      <c r="H5008" s="645">
        <v>1</v>
      </c>
      <c r="I5008" s="646">
        <v>18.16</v>
      </c>
      <c r="J5008" s="646">
        <v>18.16</v>
      </c>
    </row>
    <row r="5009" spans="1:10" s="358" customFormat="1" ht="25.5" customHeight="1" x14ac:dyDescent="0.3">
      <c r="A5009" s="519" t="s">
        <v>2437</v>
      </c>
      <c r="B5009" s="520" t="s">
        <v>4077</v>
      </c>
      <c r="C5009" s="519" t="s">
        <v>32</v>
      </c>
      <c r="D5009" s="519" t="s">
        <v>4078</v>
      </c>
      <c r="E5009" s="905" t="s">
        <v>2446</v>
      </c>
      <c r="F5009" s="905"/>
      <c r="G5009" s="521" t="s">
        <v>89</v>
      </c>
      <c r="H5009" s="522">
        <v>5.3300000000000001E-5</v>
      </c>
      <c r="I5009" s="523">
        <v>274500</v>
      </c>
      <c r="J5009" s="523">
        <v>14.63</v>
      </c>
    </row>
    <row r="5010" spans="1:10" ht="25.5" thickBot="1" x14ac:dyDescent="0.35">
      <c r="A5010" s="519" t="s">
        <v>2437</v>
      </c>
      <c r="B5010" s="520" t="s">
        <v>4079</v>
      </c>
      <c r="C5010" s="519" t="s">
        <v>32</v>
      </c>
      <c r="D5010" s="519" t="s">
        <v>4080</v>
      </c>
      <c r="E5010" s="905" t="s">
        <v>2446</v>
      </c>
      <c r="F5010" s="905"/>
      <c r="G5010" s="521" t="s">
        <v>89</v>
      </c>
      <c r="H5010" s="522">
        <v>5.3300000000000001E-5</v>
      </c>
      <c r="I5010" s="523">
        <v>66385.2</v>
      </c>
      <c r="J5010" s="523">
        <v>3.53</v>
      </c>
    </row>
    <row r="5011" spans="1:10" s="358" customFormat="1" ht="14.5" thickTop="1" x14ac:dyDescent="0.3">
      <c r="A5011" s="647"/>
      <c r="B5011" s="647"/>
      <c r="C5011" s="647"/>
      <c r="D5011" s="647"/>
      <c r="E5011" s="647"/>
      <c r="F5011" s="647"/>
      <c r="G5011" s="647"/>
      <c r="H5011" s="647"/>
      <c r="I5011" s="647"/>
      <c r="J5011"/>
    </row>
    <row r="5012" spans="1:10" x14ac:dyDescent="0.3">
      <c r="A5012" s="516"/>
      <c r="B5012" s="517" t="s">
        <v>15</v>
      </c>
      <c r="C5012" s="516" t="s">
        <v>16</v>
      </c>
      <c r="D5012" s="516" t="s">
        <v>17</v>
      </c>
      <c r="E5012" s="904" t="s">
        <v>2431</v>
      </c>
      <c r="F5012" s="904"/>
      <c r="G5012" s="518" t="s">
        <v>18</v>
      </c>
      <c r="H5012" s="517" t="s">
        <v>19</v>
      </c>
      <c r="I5012" s="517" t="s">
        <v>20</v>
      </c>
      <c r="J5012" s="517" t="s">
        <v>23</v>
      </c>
    </row>
    <row r="5013" spans="1:10" s="358" customFormat="1" ht="25.5" customHeight="1" x14ac:dyDescent="0.3">
      <c r="A5013" s="642" t="s">
        <v>2432</v>
      </c>
      <c r="B5013" s="643" t="s">
        <v>4071</v>
      </c>
      <c r="C5013" s="642" t="s">
        <v>32</v>
      </c>
      <c r="D5013" s="642" t="s">
        <v>4072</v>
      </c>
      <c r="E5013" s="906" t="s">
        <v>2465</v>
      </c>
      <c r="F5013" s="906"/>
      <c r="G5013" s="644" t="s">
        <v>1901</v>
      </c>
      <c r="H5013" s="645">
        <v>1</v>
      </c>
      <c r="I5013" s="646">
        <v>4.8600000000000003</v>
      </c>
      <c r="J5013" s="646">
        <v>4.8600000000000003</v>
      </c>
    </row>
    <row r="5014" spans="1:10" ht="25" x14ac:dyDescent="0.3">
      <c r="A5014" s="519" t="s">
        <v>2437</v>
      </c>
      <c r="B5014" s="520" t="s">
        <v>4077</v>
      </c>
      <c r="C5014" s="519" t="s">
        <v>32</v>
      </c>
      <c r="D5014" s="519" t="s">
        <v>4078</v>
      </c>
      <c r="E5014" s="905" t="s">
        <v>2446</v>
      </c>
      <c r="F5014" s="905"/>
      <c r="G5014" s="521" t="s">
        <v>89</v>
      </c>
      <c r="H5014" s="522">
        <v>1.43E-5</v>
      </c>
      <c r="I5014" s="523">
        <v>274500</v>
      </c>
      <c r="J5014" s="523">
        <v>3.92</v>
      </c>
    </row>
    <row r="5015" spans="1:10" s="358" customFormat="1" ht="25.5" thickBot="1" x14ac:dyDescent="0.35">
      <c r="A5015" s="519" t="s">
        <v>2437</v>
      </c>
      <c r="B5015" s="520" t="s">
        <v>4079</v>
      </c>
      <c r="C5015" s="519" t="s">
        <v>32</v>
      </c>
      <c r="D5015" s="519" t="s">
        <v>4080</v>
      </c>
      <c r="E5015" s="905" t="s">
        <v>2446</v>
      </c>
      <c r="F5015" s="905"/>
      <c r="G5015" s="521" t="s">
        <v>89</v>
      </c>
      <c r="H5015" s="522">
        <v>1.43E-5</v>
      </c>
      <c r="I5015" s="523">
        <v>66385.2</v>
      </c>
      <c r="J5015" s="523">
        <v>0.94</v>
      </c>
    </row>
    <row r="5016" spans="1:10" ht="14.5" thickTop="1" x14ac:dyDescent="0.3">
      <c r="A5016" s="647"/>
      <c r="B5016" s="647"/>
      <c r="C5016" s="647"/>
      <c r="D5016" s="647"/>
      <c r="E5016" s="647"/>
      <c r="F5016" s="647"/>
      <c r="G5016" s="647"/>
      <c r="H5016" s="647"/>
      <c r="I5016" s="647"/>
      <c r="J5016"/>
    </row>
    <row r="5017" spans="1:10" s="358" customFormat="1" ht="25.5" customHeight="1" x14ac:dyDescent="0.3">
      <c r="A5017" s="516"/>
      <c r="B5017" s="517" t="s">
        <v>15</v>
      </c>
      <c r="C5017" s="516" t="s">
        <v>16</v>
      </c>
      <c r="D5017" s="516" t="s">
        <v>17</v>
      </c>
      <c r="E5017" s="904" t="s">
        <v>2431</v>
      </c>
      <c r="F5017" s="904"/>
      <c r="G5017" s="518" t="s">
        <v>18</v>
      </c>
      <c r="H5017" s="517" t="s">
        <v>19</v>
      </c>
      <c r="I5017" s="517" t="s">
        <v>20</v>
      </c>
      <c r="J5017" s="517" t="s">
        <v>23</v>
      </c>
    </row>
    <row r="5018" spans="1:10" ht="25.5" customHeight="1" x14ac:dyDescent="0.3">
      <c r="A5018" s="642" t="s">
        <v>2432</v>
      </c>
      <c r="B5018" s="643" t="s">
        <v>4073</v>
      </c>
      <c r="C5018" s="642" t="s">
        <v>32</v>
      </c>
      <c r="D5018" s="642" t="s">
        <v>4074</v>
      </c>
      <c r="E5018" s="906" t="s">
        <v>2465</v>
      </c>
      <c r="F5018" s="906"/>
      <c r="G5018" s="644" t="s">
        <v>1901</v>
      </c>
      <c r="H5018" s="645">
        <v>1</v>
      </c>
      <c r="I5018" s="646">
        <v>19.87</v>
      </c>
      <c r="J5018" s="646">
        <v>19.87</v>
      </c>
    </row>
    <row r="5019" spans="1:10" s="358" customFormat="1" ht="25" x14ac:dyDescent="0.3">
      <c r="A5019" s="519" t="s">
        <v>2437</v>
      </c>
      <c r="B5019" s="520" t="s">
        <v>4077</v>
      </c>
      <c r="C5019" s="519" t="s">
        <v>32</v>
      </c>
      <c r="D5019" s="519" t="s">
        <v>4078</v>
      </c>
      <c r="E5019" s="905" t="s">
        <v>2446</v>
      </c>
      <c r="F5019" s="905"/>
      <c r="G5019" s="521" t="s">
        <v>89</v>
      </c>
      <c r="H5019" s="522">
        <v>5.8300000000000001E-5</v>
      </c>
      <c r="I5019" s="523">
        <v>274500</v>
      </c>
      <c r="J5019" s="523">
        <v>16</v>
      </c>
    </row>
    <row r="5020" spans="1:10" ht="25.5" thickBot="1" x14ac:dyDescent="0.35">
      <c r="A5020" s="519" t="s">
        <v>2437</v>
      </c>
      <c r="B5020" s="520" t="s">
        <v>4079</v>
      </c>
      <c r="C5020" s="519" t="s">
        <v>32</v>
      </c>
      <c r="D5020" s="519" t="s">
        <v>4080</v>
      </c>
      <c r="E5020" s="905" t="s">
        <v>2446</v>
      </c>
      <c r="F5020" s="905"/>
      <c r="G5020" s="521" t="s">
        <v>89</v>
      </c>
      <c r="H5020" s="522">
        <v>5.8300000000000001E-5</v>
      </c>
      <c r="I5020" s="523">
        <v>66385.2</v>
      </c>
      <c r="J5020" s="523">
        <v>3.87</v>
      </c>
    </row>
    <row r="5021" spans="1:10" s="358" customFormat="1" ht="25.5" customHeight="1" thickTop="1" x14ac:dyDescent="0.3">
      <c r="A5021" s="647"/>
      <c r="B5021" s="647"/>
      <c r="C5021" s="647"/>
      <c r="D5021" s="647"/>
      <c r="E5021" s="647"/>
      <c r="F5021" s="647"/>
      <c r="G5021" s="647"/>
      <c r="H5021" s="647"/>
      <c r="I5021" s="647"/>
      <c r="J5021"/>
    </row>
    <row r="5022" spans="1:10" x14ac:dyDescent="0.3">
      <c r="A5022" s="516"/>
      <c r="B5022" s="517" t="s">
        <v>15</v>
      </c>
      <c r="C5022" s="516" t="s">
        <v>16</v>
      </c>
      <c r="D5022" s="516" t="s">
        <v>17</v>
      </c>
      <c r="E5022" s="904" t="s">
        <v>2431</v>
      </c>
      <c r="F5022" s="904"/>
      <c r="G5022" s="518" t="s">
        <v>18</v>
      </c>
      <c r="H5022" s="517" t="s">
        <v>19</v>
      </c>
      <c r="I5022" s="517" t="s">
        <v>20</v>
      </c>
      <c r="J5022" s="517" t="s">
        <v>23</v>
      </c>
    </row>
    <row r="5023" spans="1:10" s="358" customFormat="1" ht="38.25" customHeight="1" x14ac:dyDescent="0.3">
      <c r="A5023" s="642" t="s">
        <v>2432</v>
      </c>
      <c r="B5023" s="643" t="s">
        <v>4075</v>
      </c>
      <c r="C5023" s="642" t="s">
        <v>32</v>
      </c>
      <c r="D5023" s="642" t="s">
        <v>4076</v>
      </c>
      <c r="E5023" s="906" t="s">
        <v>2465</v>
      </c>
      <c r="F5023" s="906"/>
      <c r="G5023" s="644" t="s">
        <v>1901</v>
      </c>
      <c r="H5023" s="645">
        <v>1</v>
      </c>
      <c r="I5023" s="646">
        <v>60.88</v>
      </c>
      <c r="J5023" s="646">
        <v>60.88</v>
      </c>
    </row>
    <row r="5024" spans="1:10" ht="14.5" thickBot="1" x14ac:dyDescent="0.35">
      <c r="A5024" s="519" t="s">
        <v>2437</v>
      </c>
      <c r="B5024" s="520" t="s">
        <v>4485</v>
      </c>
      <c r="C5024" s="519" t="s">
        <v>125</v>
      </c>
      <c r="D5024" s="519" t="s">
        <v>4486</v>
      </c>
      <c r="E5024" s="905" t="s">
        <v>2442</v>
      </c>
      <c r="F5024" s="905"/>
      <c r="G5024" s="521" t="s">
        <v>2829</v>
      </c>
      <c r="H5024" s="522">
        <v>11.26</v>
      </c>
      <c r="I5024" s="523">
        <v>5.4069000000000003</v>
      </c>
      <c r="J5024" s="523">
        <v>60.88</v>
      </c>
    </row>
    <row r="5025" spans="1:10" s="358" customFormat="1" ht="25.5" customHeight="1" thickTop="1" x14ac:dyDescent="0.3">
      <c r="A5025" s="647"/>
      <c r="B5025" s="647"/>
      <c r="C5025" s="647"/>
      <c r="D5025" s="647"/>
      <c r="E5025" s="647"/>
      <c r="F5025" s="647"/>
      <c r="G5025" s="647"/>
      <c r="H5025" s="647"/>
      <c r="I5025" s="647"/>
      <c r="J5025"/>
    </row>
    <row r="5026" spans="1:10" x14ac:dyDescent="0.3">
      <c r="A5026" s="516"/>
      <c r="B5026" s="517" t="s">
        <v>15</v>
      </c>
      <c r="C5026" s="516" t="s">
        <v>16</v>
      </c>
      <c r="D5026" s="516" t="s">
        <v>17</v>
      </c>
      <c r="E5026" s="904" t="s">
        <v>2431</v>
      </c>
      <c r="F5026" s="904"/>
      <c r="G5026" s="518" t="s">
        <v>18</v>
      </c>
      <c r="H5026" s="517" t="s">
        <v>19</v>
      </c>
      <c r="I5026" s="517" t="s">
        <v>20</v>
      </c>
      <c r="J5026" s="517" t="s">
        <v>23</v>
      </c>
    </row>
    <row r="5027" spans="1:10" ht="25.5" customHeight="1" x14ac:dyDescent="0.3">
      <c r="A5027" s="642" t="s">
        <v>2432</v>
      </c>
      <c r="B5027" s="643" t="s">
        <v>2964</v>
      </c>
      <c r="C5027" s="642" t="s">
        <v>32</v>
      </c>
      <c r="D5027" s="642" t="s">
        <v>2965</v>
      </c>
      <c r="E5027" s="906" t="s">
        <v>2465</v>
      </c>
      <c r="F5027" s="906"/>
      <c r="G5027" s="644" t="s">
        <v>110</v>
      </c>
      <c r="H5027" s="645">
        <v>1</v>
      </c>
      <c r="I5027" s="646">
        <v>44.33</v>
      </c>
      <c r="J5027" s="646">
        <v>44.33</v>
      </c>
    </row>
    <row r="5028" spans="1:10" ht="26.25" customHeight="1" x14ac:dyDescent="0.3">
      <c r="A5028" s="519" t="s">
        <v>2434</v>
      </c>
      <c r="B5028" s="520" t="s">
        <v>4037</v>
      </c>
      <c r="C5028" s="519" t="s">
        <v>32</v>
      </c>
      <c r="D5028" s="519" t="s">
        <v>4038</v>
      </c>
      <c r="E5028" s="905" t="s">
        <v>2433</v>
      </c>
      <c r="F5028" s="905"/>
      <c r="G5028" s="521" t="s">
        <v>1901</v>
      </c>
      <c r="H5028" s="522">
        <v>1</v>
      </c>
      <c r="I5028" s="523">
        <v>25.78</v>
      </c>
      <c r="J5028" s="523">
        <v>25.78</v>
      </c>
    </row>
    <row r="5029" spans="1:10" s="358" customFormat="1" ht="25.5" customHeight="1" x14ac:dyDescent="0.3">
      <c r="A5029" s="519" t="s">
        <v>2434</v>
      </c>
      <c r="B5029" s="520" t="s">
        <v>4081</v>
      </c>
      <c r="C5029" s="519" t="s">
        <v>32</v>
      </c>
      <c r="D5029" s="519" t="s">
        <v>4082</v>
      </c>
      <c r="E5029" s="905" t="s">
        <v>2465</v>
      </c>
      <c r="F5029" s="905"/>
      <c r="G5029" s="521" t="s">
        <v>1901</v>
      </c>
      <c r="H5029" s="522">
        <v>1</v>
      </c>
      <c r="I5029" s="523">
        <v>14.63</v>
      </c>
      <c r="J5029" s="523">
        <v>14.63</v>
      </c>
    </row>
    <row r="5030" spans="1:10" ht="26.25" customHeight="1" thickBot="1" x14ac:dyDescent="0.35">
      <c r="A5030" s="519" t="s">
        <v>2434</v>
      </c>
      <c r="B5030" s="520" t="s">
        <v>4083</v>
      </c>
      <c r="C5030" s="519" t="s">
        <v>32</v>
      </c>
      <c r="D5030" s="519" t="s">
        <v>4084</v>
      </c>
      <c r="E5030" s="905" t="s">
        <v>2465</v>
      </c>
      <c r="F5030" s="905"/>
      <c r="G5030" s="521" t="s">
        <v>1901</v>
      </c>
      <c r="H5030" s="522">
        <v>1</v>
      </c>
      <c r="I5030" s="523">
        <v>3.92</v>
      </c>
      <c r="J5030" s="523">
        <v>3.92</v>
      </c>
    </row>
    <row r="5031" spans="1:10" s="358" customFormat="1" ht="25.5" customHeight="1" thickTop="1" x14ac:dyDescent="0.3">
      <c r="A5031" s="647"/>
      <c r="B5031" s="647"/>
      <c r="C5031" s="647"/>
      <c r="D5031" s="647"/>
      <c r="E5031" s="647"/>
      <c r="F5031" s="647"/>
      <c r="G5031" s="647"/>
      <c r="H5031" s="647"/>
      <c r="I5031" s="647"/>
      <c r="J5031"/>
    </row>
    <row r="5032" spans="1:10" x14ac:dyDescent="0.3">
      <c r="A5032" s="516"/>
      <c r="B5032" s="517" t="s">
        <v>15</v>
      </c>
      <c r="C5032" s="516" t="s">
        <v>16</v>
      </c>
      <c r="D5032" s="516" t="s">
        <v>17</v>
      </c>
      <c r="E5032" s="904" t="s">
        <v>2431</v>
      </c>
      <c r="F5032" s="904"/>
      <c r="G5032" s="518" t="s">
        <v>18</v>
      </c>
      <c r="H5032" s="517" t="s">
        <v>19</v>
      </c>
      <c r="I5032" s="517" t="s">
        <v>20</v>
      </c>
      <c r="J5032" s="517" t="s">
        <v>23</v>
      </c>
    </row>
    <row r="5033" spans="1:10" ht="25.5" customHeight="1" x14ac:dyDescent="0.3">
      <c r="A5033" s="642" t="s">
        <v>2432</v>
      </c>
      <c r="B5033" s="643" t="s">
        <v>2962</v>
      </c>
      <c r="C5033" s="642" t="s">
        <v>32</v>
      </c>
      <c r="D5033" s="642" t="s">
        <v>2963</v>
      </c>
      <c r="E5033" s="906" t="s">
        <v>2465</v>
      </c>
      <c r="F5033" s="906"/>
      <c r="G5033" s="644" t="s">
        <v>103</v>
      </c>
      <c r="H5033" s="645">
        <v>1</v>
      </c>
      <c r="I5033" s="646">
        <v>121.21</v>
      </c>
      <c r="J5033" s="646">
        <v>121.21</v>
      </c>
    </row>
    <row r="5034" spans="1:10" ht="25.5" customHeight="1" x14ac:dyDescent="0.3">
      <c r="A5034" s="519" t="s">
        <v>2434</v>
      </c>
      <c r="B5034" s="520" t="s">
        <v>4085</v>
      </c>
      <c r="C5034" s="519" t="s">
        <v>32</v>
      </c>
      <c r="D5034" s="519" t="s">
        <v>4086</v>
      </c>
      <c r="E5034" s="905" t="s">
        <v>2465</v>
      </c>
      <c r="F5034" s="905"/>
      <c r="G5034" s="521" t="s">
        <v>1901</v>
      </c>
      <c r="H5034" s="522">
        <v>1</v>
      </c>
      <c r="I5034" s="523">
        <v>16</v>
      </c>
      <c r="J5034" s="523">
        <v>16</v>
      </c>
    </row>
    <row r="5035" spans="1:10" ht="25.5" customHeight="1" x14ac:dyDescent="0.3">
      <c r="A5035" s="519" t="s">
        <v>2434</v>
      </c>
      <c r="B5035" s="520" t="s">
        <v>4087</v>
      </c>
      <c r="C5035" s="519" t="s">
        <v>32</v>
      </c>
      <c r="D5035" s="519" t="s">
        <v>4088</v>
      </c>
      <c r="E5035" s="905" t="s">
        <v>2465</v>
      </c>
      <c r="F5035" s="905"/>
      <c r="G5035" s="521" t="s">
        <v>1901</v>
      </c>
      <c r="H5035" s="522">
        <v>1</v>
      </c>
      <c r="I5035" s="523">
        <v>60.88</v>
      </c>
      <c r="J5035" s="523">
        <v>60.88</v>
      </c>
    </row>
    <row r="5036" spans="1:10" ht="39" customHeight="1" x14ac:dyDescent="0.3">
      <c r="A5036" s="519" t="s">
        <v>2434</v>
      </c>
      <c r="B5036" s="520" t="s">
        <v>4037</v>
      </c>
      <c r="C5036" s="519" t="s">
        <v>32</v>
      </c>
      <c r="D5036" s="519" t="s">
        <v>4038</v>
      </c>
      <c r="E5036" s="905" t="s">
        <v>2433</v>
      </c>
      <c r="F5036" s="905"/>
      <c r="G5036" s="521" t="s">
        <v>1901</v>
      </c>
      <c r="H5036" s="522">
        <v>1</v>
      </c>
      <c r="I5036" s="523">
        <v>25.78</v>
      </c>
      <c r="J5036" s="523">
        <v>25.78</v>
      </c>
    </row>
    <row r="5037" spans="1:10" s="358" customFormat="1" ht="25.5" customHeight="1" x14ac:dyDescent="0.3">
      <c r="A5037" s="519" t="s">
        <v>2434</v>
      </c>
      <c r="B5037" s="520" t="s">
        <v>4081</v>
      </c>
      <c r="C5037" s="519" t="s">
        <v>32</v>
      </c>
      <c r="D5037" s="519" t="s">
        <v>4082</v>
      </c>
      <c r="E5037" s="905" t="s">
        <v>2465</v>
      </c>
      <c r="F5037" s="905"/>
      <c r="G5037" s="521" t="s">
        <v>1901</v>
      </c>
      <c r="H5037" s="522">
        <v>1</v>
      </c>
      <c r="I5037" s="523">
        <v>14.63</v>
      </c>
      <c r="J5037" s="523">
        <v>14.63</v>
      </c>
    </row>
    <row r="5038" spans="1:10" ht="26.25" customHeight="1" thickBot="1" x14ac:dyDescent="0.35">
      <c r="A5038" s="519" t="s">
        <v>2434</v>
      </c>
      <c r="B5038" s="520" t="s">
        <v>4083</v>
      </c>
      <c r="C5038" s="519" t="s">
        <v>32</v>
      </c>
      <c r="D5038" s="519" t="s">
        <v>4084</v>
      </c>
      <c r="E5038" s="905" t="s">
        <v>2465</v>
      </c>
      <c r="F5038" s="905"/>
      <c r="G5038" s="521" t="s">
        <v>1901</v>
      </c>
      <c r="H5038" s="522">
        <v>1</v>
      </c>
      <c r="I5038" s="523">
        <v>3.92</v>
      </c>
      <c r="J5038" s="523">
        <v>3.92</v>
      </c>
    </row>
    <row r="5039" spans="1:10" s="358" customFormat="1" ht="25.5" customHeight="1" thickTop="1" x14ac:dyDescent="0.3">
      <c r="A5039" s="647"/>
      <c r="B5039" s="647"/>
      <c r="C5039" s="647"/>
      <c r="D5039" s="647"/>
      <c r="E5039" s="647"/>
      <c r="F5039" s="647"/>
      <c r="G5039" s="647"/>
      <c r="H5039" s="647"/>
      <c r="I5039" s="647"/>
      <c r="J5039"/>
    </row>
    <row r="5040" spans="1:10" x14ac:dyDescent="0.3">
      <c r="A5040" s="516"/>
      <c r="B5040" s="517" t="s">
        <v>15</v>
      </c>
      <c r="C5040" s="516" t="s">
        <v>16</v>
      </c>
      <c r="D5040" s="516" t="s">
        <v>17</v>
      </c>
      <c r="E5040" s="904" t="s">
        <v>2431</v>
      </c>
      <c r="F5040" s="904"/>
      <c r="G5040" s="518" t="s">
        <v>18</v>
      </c>
      <c r="H5040" s="517" t="s">
        <v>19</v>
      </c>
      <c r="I5040" s="517" t="s">
        <v>20</v>
      </c>
      <c r="J5040" s="517" t="s">
        <v>23</v>
      </c>
    </row>
    <row r="5041" spans="1:10" ht="25.5" customHeight="1" x14ac:dyDescent="0.3">
      <c r="A5041" s="642" t="s">
        <v>2432</v>
      </c>
      <c r="B5041" s="643" t="s">
        <v>4081</v>
      </c>
      <c r="C5041" s="642" t="s">
        <v>32</v>
      </c>
      <c r="D5041" s="642" t="s">
        <v>4082</v>
      </c>
      <c r="E5041" s="906" t="s">
        <v>2465</v>
      </c>
      <c r="F5041" s="906"/>
      <c r="G5041" s="644" t="s">
        <v>1901</v>
      </c>
      <c r="H5041" s="645">
        <v>1</v>
      </c>
      <c r="I5041" s="646">
        <v>14.63</v>
      </c>
      <c r="J5041" s="646">
        <v>14.63</v>
      </c>
    </row>
    <row r="5042" spans="1:10" s="358" customFormat="1" ht="25.5" thickBot="1" x14ac:dyDescent="0.35">
      <c r="A5042" s="519" t="s">
        <v>2437</v>
      </c>
      <c r="B5042" s="520" t="s">
        <v>4077</v>
      </c>
      <c r="C5042" s="519" t="s">
        <v>32</v>
      </c>
      <c r="D5042" s="519" t="s">
        <v>4078</v>
      </c>
      <c r="E5042" s="905" t="s">
        <v>2446</v>
      </c>
      <c r="F5042" s="905"/>
      <c r="G5042" s="521" t="s">
        <v>89</v>
      </c>
      <c r="H5042" s="522">
        <v>5.3300000000000001E-5</v>
      </c>
      <c r="I5042" s="523">
        <v>274500</v>
      </c>
      <c r="J5042" s="523">
        <v>14.63</v>
      </c>
    </row>
    <row r="5043" spans="1:10" ht="14.5" thickTop="1" x14ac:dyDescent="0.3">
      <c r="A5043" s="647"/>
      <c r="B5043" s="647"/>
      <c r="C5043" s="647"/>
      <c r="D5043" s="647"/>
      <c r="E5043" s="647"/>
      <c r="F5043" s="647"/>
      <c r="G5043" s="647"/>
      <c r="H5043" s="647"/>
      <c r="I5043" s="647"/>
      <c r="J5043"/>
    </row>
    <row r="5044" spans="1:10" s="358" customFormat="1" ht="25.5" customHeight="1" x14ac:dyDescent="0.3">
      <c r="A5044" s="516"/>
      <c r="B5044" s="517" t="s">
        <v>15</v>
      </c>
      <c r="C5044" s="516" t="s">
        <v>16</v>
      </c>
      <c r="D5044" s="516" t="s">
        <v>17</v>
      </c>
      <c r="E5044" s="904" t="s">
        <v>2431</v>
      </c>
      <c r="F5044" s="904"/>
      <c r="G5044" s="518" t="s">
        <v>18</v>
      </c>
      <c r="H5044" s="517" t="s">
        <v>19</v>
      </c>
      <c r="I5044" s="517" t="s">
        <v>20</v>
      </c>
      <c r="J5044" s="517" t="s">
        <v>23</v>
      </c>
    </row>
    <row r="5045" spans="1:10" ht="25.5" customHeight="1" x14ac:dyDescent="0.3">
      <c r="A5045" s="642" t="s">
        <v>2432</v>
      </c>
      <c r="B5045" s="643" t="s">
        <v>4083</v>
      </c>
      <c r="C5045" s="642" t="s">
        <v>32</v>
      </c>
      <c r="D5045" s="642" t="s">
        <v>4084</v>
      </c>
      <c r="E5045" s="906" t="s">
        <v>2465</v>
      </c>
      <c r="F5045" s="906"/>
      <c r="G5045" s="644" t="s">
        <v>1901</v>
      </c>
      <c r="H5045" s="645">
        <v>1</v>
      </c>
      <c r="I5045" s="646">
        <v>3.92</v>
      </c>
      <c r="J5045" s="646">
        <v>3.92</v>
      </c>
    </row>
    <row r="5046" spans="1:10" ht="25.5" thickBot="1" x14ac:dyDescent="0.35">
      <c r="A5046" s="519" t="s">
        <v>2437</v>
      </c>
      <c r="B5046" s="520" t="s">
        <v>4077</v>
      </c>
      <c r="C5046" s="519" t="s">
        <v>32</v>
      </c>
      <c r="D5046" s="519" t="s">
        <v>4078</v>
      </c>
      <c r="E5046" s="905" t="s">
        <v>2446</v>
      </c>
      <c r="F5046" s="905"/>
      <c r="G5046" s="521" t="s">
        <v>89</v>
      </c>
      <c r="H5046" s="522">
        <v>1.43E-5</v>
      </c>
      <c r="I5046" s="523">
        <v>274500</v>
      </c>
      <c r="J5046" s="523">
        <v>3.92</v>
      </c>
    </row>
    <row r="5047" spans="1:10" s="358" customFormat="1" ht="14.5" thickTop="1" x14ac:dyDescent="0.3">
      <c r="A5047" s="647"/>
      <c r="B5047" s="647"/>
      <c r="C5047" s="647"/>
      <c r="D5047" s="647"/>
      <c r="E5047" s="647"/>
      <c r="F5047" s="647"/>
      <c r="G5047" s="647"/>
      <c r="H5047" s="647"/>
      <c r="I5047" s="647"/>
      <c r="J5047"/>
    </row>
    <row r="5048" spans="1:10" x14ac:dyDescent="0.3">
      <c r="A5048" s="516"/>
      <c r="B5048" s="517" t="s">
        <v>15</v>
      </c>
      <c r="C5048" s="516" t="s">
        <v>16</v>
      </c>
      <c r="D5048" s="516" t="s">
        <v>17</v>
      </c>
      <c r="E5048" s="904" t="s">
        <v>2431</v>
      </c>
      <c r="F5048" s="904"/>
      <c r="G5048" s="518" t="s">
        <v>18</v>
      </c>
      <c r="H5048" s="517" t="s">
        <v>19</v>
      </c>
      <c r="I5048" s="517" t="s">
        <v>20</v>
      </c>
      <c r="J5048" s="517" t="s">
        <v>23</v>
      </c>
    </row>
    <row r="5049" spans="1:10" s="358" customFormat="1" ht="25.5" customHeight="1" x14ac:dyDescent="0.3">
      <c r="A5049" s="642" t="s">
        <v>2432</v>
      </c>
      <c r="B5049" s="643" t="s">
        <v>4085</v>
      </c>
      <c r="C5049" s="642" t="s">
        <v>32</v>
      </c>
      <c r="D5049" s="642" t="s">
        <v>4086</v>
      </c>
      <c r="E5049" s="906" t="s">
        <v>2465</v>
      </c>
      <c r="F5049" s="906"/>
      <c r="G5049" s="644" t="s">
        <v>1901</v>
      </c>
      <c r="H5049" s="645">
        <v>1</v>
      </c>
      <c r="I5049" s="646">
        <v>16</v>
      </c>
      <c r="J5049" s="646">
        <v>16</v>
      </c>
    </row>
    <row r="5050" spans="1:10" ht="25.5" thickBot="1" x14ac:dyDescent="0.35">
      <c r="A5050" s="519" t="s">
        <v>2437</v>
      </c>
      <c r="B5050" s="520" t="s">
        <v>4077</v>
      </c>
      <c r="C5050" s="519" t="s">
        <v>32</v>
      </c>
      <c r="D5050" s="519" t="s">
        <v>4078</v>
      </c>
      <c r="E5050" s="905" t="s">
        <v>2446</v>
      </c>
      <c r="F5050" s="905"/>
      <c r="G5050" s="521" t="s">
        <v>89</v>
      </c>
      <c r="H5050" s="522">
        <v>5.8300000000000001E-5</v>
      </c>
      <c r="I5050" s="523">
        <v>274500</v>
      </c>
      <c r="J5050" s="523">
        <v>16</v>
      </c>
    </row>
    <row r="5051" spans="1:10" ht="14.5" thickTop="1" x14ac:dyDescent="0.3">
      <c r="A5051" s="647"/>
      <c r="B5051" s="647"/>
      <c r="C5051" s="647"/>
      <c r="D5051" s="647"/>
      <c r="E5051" s="647"/>
      <c r="F5051" s="647"/>
      <c r="G5051" s="647"/>
      <c r="H5051" s="647"/>
      <c r="I5051" s="647"/>
      <c r="J5051"/>
    </row>
    <row r="5052" spans="1:10" s="358" customFormat="1" x14ac:dyDescent="0.3">
      <c r="A5052" s="516"/>
      <c r="B5052" s="517" t="s">
        <v>15</v>
      </c>
      <c r="C5052" s="516" t="s">
        <v>16</v>
      </c>
      <c r="D5052" s="516" t="s">
        <v>17</v>
      </c>
      <c r="E5052" s="904" t="s">
        <v>2431</v>
      </c>
      <c r="F5052" s="904"/>
      <c r="G5052" s="518" t="s">
        <v>18</v>
      </c>
      <c r="H5052" s="517" t="s">
        <v>19</v>
      </c>
      <c r="I5052" s="517" t="s">
        <v>20</v>
      </c>
      <c r="J5052" s="517" t="s">
        <v>23</v>
      </c>
    </row>
    <row r="5053" spans="1:10" ht="25.5" customHeight="1" x14ac:dyDescent="0.3">
      <c r="A5053" s="642" t="s">
        <v>2432</v>
      </c>
      <c r="B5053" s="643" t="s">
        <v>4087</v>
      </c>
      <c r="C5053" s="642" t="s">
        <v>32</v>
      </c>
      <c r="D5053" s="642" t="s">
        <v>4088</v>
      </c>
      <c r="E5053" s="906" t="s">
        <v>2465</v>
      </c>
      <c r="F5053" s="906"/>
      <c r="G5053" s="644" t="s">
        <v>1901</v>
      </c>
      <c r="H5053" s="645">
        <v>1</v>
      </c>
      <c r="I5053" s="646">
        <v>60.88</v>
      </c>
      <c r="J5053" s="646">
        <v>60.88</v>
      </c>
    </row>
    <row r="5054" spans="1:10" s="358" customFormat="1" ht="38.25" customHeight="1" thickBot="1" x14ac:dyDescent="0.35">
      <c r="A5054" s="519" t="s">
        <v>2437</v>
      </c>
      <c r="B5054" s="520" t="s">
        <v>4485</v>
      </c>
      <c r="C5054" s="519" t="s">
        <v>125</v>
      </c>
      <c r="D5054" s="519" t="s">
        <v>4486</v>
      </c>
      <c r="E5054" s="905" t="s">
        <v>2442</v>
      </c>
      <c r="F5054" s="905"/>
      <c r="G5054" s="521" t="s">
        <v>2829</v>
      </c>
      <c r="H5054" s="522">
        <v>11.26</v>
      </c>
      <c r="I5054" s="523">
        <v>5.4069000000000003</v>
      </c>
      <c r="J5054" s="523">
        <v>60.88</v>
      </c>
    </row>
    <row r="5055" spans="1:10" ht="14.5" thickTop="1" x14ac:dyDescent="0.3">
      <c r="A5055" s="647"/>
      <c r="B5055" s="647"/>
      <c r="C5055" s="647"/>
      <c r="D5055" s="647"/>
      <c r="E5055" s="647"/>
      <c r="F5055" s="647"/>
      <c r="G5055" s="647"/>
      <c r="H5055" s="647"/>
      <c r="I5055" s="647"/>
      <c r="J5055"/>
    </row>
    <row r="5056" spans="1:10" s="358" customFormat="1" x14ac:dyDescent="0.3">
      <c r="A5056" s="516"/>
      <c r="B5056" s="517" t="s">
        <v>15</v>
      </c>
      <c r="C5056" s="516" t="s">
        <v>16</v>
      </c>
      <c r="D5056" s="516" t="s">
        <v>17</v>
      </c>
      <c r="E5056" s="904" t="s">
        <v>2431</v>
      </c>
      <c r="F5056" s="904"/>
      <c r="G5056" s="518" t="s">
        <v>18</v>
      </c>
      <c r="H5056" s="517" t="s">
        <v>19</v>
      </c>
      <c r="I5056" s="517" t="s">
        <v>20</v>
      </c>
      <c r="J5056" s="517" t="s">
        <v>23</v>
      </c>
    </row>
    <row r="5057" spans="1:10" ht="14.25" customHeight="1" x14ac:dyDescent="0.3">
      <c r="A5057" s="642" t="s">
        <v>2432</v>
      </c>
      <c r="B5057" s="643" t="s">
        <v>4037</v>
      </c>
      <c r="C5057" s="642" t="s">
        <v>32</v>
      </c>
      <c r="D5057" s="642" t="s">
        <v>4038</v>
      </c>
      <c r="E5057" s="906" t="s">
        <v>2433</v>
      </c>
      <c r="F5057" s="906"/>
      <c r="G5057" s="644" t="s">
        <v>1901</v>
      </c>
      <c r="H5057" s="645">
        <v>1</v>
      </c>
      <c r="I5057" s="646">
        <v>25.78</v>
      </c>
      <c r="J5057" s="646">
        <v>25.78</v>
      </c>
    </row>
    <row r="5058" spans="1:10" s="358" customFormat="1" ht="25.5" customHeight="1" x14ac:dyDescent="0.3">
      <c r="A5058" s="519" t="s">
        <v>2434</v>
      </c>
      <c r="B5058" s="520" t="s">
        <v>3593</v>
      </c>
      <c r="C5058" s="519" t="s">
        <v>32</v>
      </c>
      <c r="D5058" s="519" t="s">
        <v>3594</v>
      </c>
      <c r="E5058" s="905" t="s">
        <v>2433</v>
      </c>
      <c r="F5058" s="905"/>
      <c r="G5058" s="521" t="s">
        <v>1901</v>
      </c>
      <c r="H5058" s="522">
        <v>1</v>
      </c>
      <c r="I5058" s="523">
        <v>0.23</v>
      </c>
      <c r="J5058" s="523">
        <v>0.23</v>
      </c>
    </row>
    <row r="5059" spans="1:10" ht="25" x14ac:dyDescent="0.3">
      <c r="A5059" s="519" t="s">
        <v>2437</v>
      </c>
      <c r="B5059" s="520" t="s">
        <v>3545</v>
      </c>
      <c r="C5059" s="519" t="s">
        <v>32</v>
      </c>
      <c r="D5059" s="519" t="s">
        <v>4352</v>
      </c>
      <c r="E5059" s="905" t="s">
        <v>2440</v>
      </c>
      <c r="F5059" s="905"/>
      <c r="G5059" s="521" t="s">
        <v>1901</v>
      </c>
      <c r="H5059" s="522">
        <v>1</v>
      </c>
      <c r="I5059" s="523">
        <v>18</v>
      </c>
      <c r="J5059" s="523">
        <v>18</v>
      </c>
    </row>
    <row r="5060" spans="1:10" ht="25.5" customHeight="1" x14ac:dyDescent="0.3">
      <c r="A5060" s="519" t="s">
        <v>2437</v>
      </c>
      <c r="B5060" s="520" t="s">
        <v>3257</v>
      </c>
      <c r="C5060" s="519" t="s">
        <v>32</v>
      </c>
      <c r="D5060" s="519" t="s">
        <v>4306</v>
      </c>
      <c r="E5060" s="905" t="s">
        <v>2856</v>
      </c>
      <c r="F5060" s="905"/>
      <c r="G5060" s="521" t="s">
        <v>1901</v>
      </c>
      <c r="H5060" s="522">
        <v>1</v>
      </c>
      <c r="I5060" s="523">
        <v>3.8</v>
      </c>
      <c r="J5060" s="523">
        <v>3.8</v>
      </c>
    </row>
    <row r="5061" spans="1:10" ht="26.25" customHeight="1" x14ac:dyDescent="0.3">
      <c r="A5061" s="519" t="s">
        <v>2437</v>
      </c>
      <c r="B5061" s="520" t="s">
        <v>3258</v>
      </c>
      <c r="C5061" s="519" t="s">
        <v>32</v>
      </c>
      <c r="D5061" s="519" t="s">
        <v>4307</v>
      </c>
      <c r="E5061" s="905" t="s">
        <v>3259</v>
      </c>
      <c r="F5061" s="905"/>
      <c r="G5061" s="521" t="s">
        <v>1901</v>
      </c>
      <c r="H5061" s="522">
        <v>1</v>
      </c>
      <c r="I5061" s="523">
        <v>1.5</v>
      </c>
      <c r="J5061" s="523">
        <v>1.5</v>
      </c>
    </row>
    <row r="5062" spans="1:10" s="358" customFormat="1" ht="25" x14ac:dyDescent="0.3">
      <c r="A5062" s="519" t="s">
        <v>2437</v>
      </c>
      <c r="B5062" s="520" t="s">
        <v>3260</v>
      </c>
      <c r="C5062" s="519" t="s">
        <v>32</v>
      </c>
      <c r="D5062" s="519" t="s">
        <v>4308</v>
      </c>
      <c r="E5062" s="905" t="s">
        <v>2856</v>
      </c>
      <c r="F5062" s="905"/>
      <c r="G5062" s="521" t="s">
        <v>1901</v>
      </c>
      <c r="H5062" s="522">
        <v>1</v>
      </c>
      <c r="I5062" s="523">
        <v>1.34</v>
      </c>
      <c r="J5062" s="523">
        <v>1.34</v>
      </c>
    </row>
    <row r="5063" spans="1:10" ht="25" x14ac:dyDescent="0.3">
      <c r="A5063" s="519" t="s">
        <v>2437</v>
      </c>
      <c r="B5063" s="520" t="s">
        <v>3261</v>
      </c>
      <c r="C5063" s="519" t="s">
        <v>32</v>
      </c>
      <c r="D5063" s="519" t="s">
        <v>4309</v>
      </c>
      <c r="E5063" s="905" t="s">
        <v>2535</v>
      </c>
      <c r="F5063" s="905"/>
      <c r="G5063" s="521" t="s">
        <v>1901</v>
      </c>
      <c r="H5063" s="522">
        <v>1</v>
      </c>
      <c r="I5063" s="523">
        <v>0.04</v>
      </c>
      <c r="J5063" s="523">
        <v>0.04</v>
      </c>
    </row>
    <row r="5064" spans="1:10" s="358" customFormat="1" ht="25.5" customHeight="1" x14ac:dyDescent="0.3">
      <c r="A5064" s="519" t="s">
        <v>2437</v>
      </c>
      <c r="B5064" s="520" t="s">
        <v>3310</v>
      </c>
      <c r="C5064" s="519" t="s">
        <v>32</v>
      </c>
      <c r="D5064" s="519" t="s">
        <v>3311</v>
      </c>
      <c r="E5064" s="905" t="s">
        <v>2446</v>
      </c>
      <c r="F5064" s="905"/>
      <c r="G5064" s="521" t="s">
        <v>1901</v>
      </c>
      <c r="H5064" s="522">
        <v>1</v>
      </c>
      <c r="I5064" s="523">
        <v>0.01</v>
      </c>
      <c r="J5064" s="523">
        <v>0.01</v>
      </c>
    </row>
    <row r="5065" spans="1:10" ht="25.5" customHeight="1" thickBot="1" x14ac:dyDescent="0.35">
      <c r="A5065" s="519" t="s">
        <v>2437</v>
      </c>
      <c r="B5065" s="520" t="s">
        <v>3312</v>
      </c>
      <c r="C5065" s="519" t="s">
        <v>32</v>
      </c>
      <c r="D5065" s="519" t="s">
        <v>3313</v>
      </c>
      <c r="E5065" s="905" t="s">
        <v>2446</v>
      </c>
      <c r="F5065" s="905"/>
      <c r="G5065" s="521" t="s">
        <v>1901</v>
      </c>
      <c r="H5065" s="522">
        <v>1</v>
      </c>
      <c r="I5065" s="523">
        <v>0.86</v>
      </c>
      <c r="J5065" s="523">
        <v>0.86</v>
      </c>
    </row>
    <row r="5066" spans="1:10" ht="25.5" customHeight="1" thickTop="1" x14ac:dyDescent="0.3">
      <c r="A5066" s="647"/>
      <c r="B5066" s="647"/>
      <c r="C5066" s="647"/>
      <c r="D5066" s="647"/>
      <c r="E5066" s="647"/>
      <c r="F5066" s="647"/>
      <c r="G5066" s="647"/>
      <c r="H5066" s="647"/>
      <c r="I5066" s="647"/>
      <c r="J5066"/>
    </row>
    <row r="5067" spans="1:10" x14ac:dyDescent="0.3">
      <c r="A5067" s="516"/>
      <c r="B5067" s="517" t="s">
        <v>15</v>
      </c>
      <c r="C5067" s="516" t="s">
        <v>16</v>
      </c>
      <c r="D5067" s="516" t="s">
        <v>17</v>
      </c>
      <c r="E5067" s="904" t="s">
        <v>2431</v>
      </c>
      <c r="F5067" s="904"/>
      <c r="G5067" s="518" t="s">
        <v>18</v>
      </c>
      <c r="H5067" s="517" t="s">
        <v>19</v>
      </c>
      <c r="I5067" s="517" t="s">
        <v>20</v>
      </c>
      <c r="J5067" s="517" t="s">
        <v>23</v>
      </c>
    </row>
    <row r="5068" spans="1:10" ht="25.5" customHeight="1" x14ac:dyDescent="0.3">
      <c r="A5068" s="642" t="s">
        <v>2432</v>
      </c>
      <c r="B5068" s="643" t="s">
        <v>2739</v>
      </c>
      <c r="C5068" s="642" t="s">
        <v>32</v>
      </c>
      <c r="D5068" s="642" t="s">
        <v>2740</v>
      </c>
      <c r="E5068" s="906" t="s">
        <v>2667</v>
      </c>
      <c r="F5068" s="906"/>
      <c r="G5068" s="644" t="s">
        <v>194</v>
      </c>
      <c r="H5068" s="645">
        <v>1</v>
      </c>
      <c r="I5068" s="646">
        <v>7.04</v>
      </c>
      <c r="J5068" s="646">
        <v>7.04</v>
      </c>
    </row>
    <row r="5069" spans="1:10" ht="26.25" customHeight="1" x14ac:dyDescent="0.3">
      <c r="A5069" s="519" t="s">
        <v>2434</v>
      </c>
      <c r="B5069" s="520" t="s">
        <v>3239</v>
      </c>
      <c r="C5069" s="519" t="s">
        <v>32</v>
      </c>
      <c r="D5069" s="519" t="s">
        <v>3240</v>
      </c>
      <c r="E5069" s="905" t="s">
        <v>2433</v>
      </c>
      <c r="F5069" s="905"/>
      <c r="G5069" s="521" t="s">
        <v>1901</v>
      </c>
      <c r="H5069" s="522">
        <v>4.6300000000000001E-2</v>
      </c>
      <c r="I5069" s="523">
        <v>23.63</v>
      </c>
      <c r="J5069" s="523">
        <v>1.0900000000000001</v>
      </c>
    </row>
    <row r="5070" spans="1:10" s="358" customFormat="1" ht="25" x14ac:dyDescent="0.3">
      <c r="A5070" s="519" t="s">
        <v>2434</v>
      </c>
      <c r="B5070" s="520" t="s">
        <v>2786</v>
      </c>
      <c r="C5070" s="519" t="s">
        <v>32</v>
      </c>
      <c r="D5070" s="519" t="s">
        <v>2787</v>
      </c>
      <c r="E5070" s="905" t="s">
        <v>2433</v>
      </c>
      <c r="F5070" s="905"/>
      <c r="G5070" s="521" t="s">
        <v>1901</v>
      </c>
      <c r="H5070" s="522">
        <v>4.6300000000000001E-2</v>
      </c>
      <c r="I5070" s="523">
        <v>30.33</v>
      </c>
      <c r="J5070" s="523">
        <v>1.4</v>
      </c>
    </row>
    <row r="5071" spans="1:10" x14ac:dyDescent="0.3">
      <c r="A5071" s="519" t="s">
        <v>2437</v>
      </c>
      <c r="B5071" s="520" t="s">
        <v>4089</v>
      </c>
      <c r="C5071" s="519" t="s">
        <v>32</v>
      </c>
      <c r="D5071" s="519" t="s">
        <v>4376</v>
      </c>
      <c r="E5071" s="905" t="s">
        <v>2442</v>
      </c>
      <c r="F5071" s="905"/>
      <c r="G5071" s="521" t="s">
        <v>194</v>
      </c>
      <c r="H5071" s="522">
        <v>1.0492999999999999</v>
      </c>
      <c r="I5071" s="523">
        <v>4.33</v>
      </c>
      <c r="J5071" s="523">
        <v>4.54</v>
      </c>
    </row>
    <row r="5072" spans="1:10" s="358" customFormat="1" ht="25.5" customHeight="1" thickBot="1" x14ac:dyDescent="0.35">
      <c r="A5072" s="519" t="s">
        <v>2437</v>
      </c>
      <c r="B5072" s="520" t="s">
        <v>3245</v>
      </c>
      <c r="C5072" s="519" t="s">
        <v>32</v>
      </c>
      <c r="D5072" s="519" t="s">
        <v>3246</v>
      </c>
      <c r="E5072" s="905" t="s">
        <v>2442</v>
      </c>
      <c r="F5072" s="905"/>
      <c r="G5072" s="521" t="s">
        <v>89</v>
      </c>
      <c r="H5072" s="522">
        <v>5.1000000000000004E-3</v>
      </c>
      <c r="I5072" s="523">
        <v>2.38</v>
      </c>
      <c r="J5072" s="523">
        <v>0.01</v>
      </c>
    </row>
    <row r="5073" spans="1:10" ht="14.5" thickTop="1" x14ac:dyDescent="0.3">
      <c r="A5073" s="647"/>
      <c r="B5073" s="647"/>
      <c r="C5073" s="647"/>
      <c r="D5073" s="647"/>
      <c r="E5073" s="647"/>
      <c r="F5073" s="647"/>
      <c r="G5073" s="647"/>
      <c r="H5073" s="647"/>
      <c r="I5073" s="647"/>
      <c r="J5073"/>
    </row>
    <row r="5074" spans="1:10" s="358" customFormat="1" x14ac:dyDescent="0.3">
      <c r="A5074" s="516"/>
      <c r="B5074" s="517" t="s">
        <v>15</v>
      </c>
      <c r="C5074" s="516" t="s">
        <v>16</v>
      </c>
      <c r="D5074" s="516" t="s">
        <v>17</v>
      </c>
      <c r="E5074" s="904" t="s">
        <v>2431</v>
      </c>
      <c r="F5074" s="904"/>
      <c r="G5074" s="518" t="s">
        <v>18</v>
      </c>
      <c r="H5074" s="517" t="s">
        <v>19</v>
      </c>
      <c r="I5074" s="517" t="s">
        <v>20</v>
      </c>
      <c r="J5074" s="517" t="s">
        <v>23</v>
      </c>
    </row>
    <row r="5075" spans="1:10" x14ac:dyDescent="0.3">
      <c r="A5075" s="642" t="s">
        <v>2432</v>
      </c>
      <c r="B5075" s="643" t="s">
        <v>4090</v>
      </c>
      <c r="C5075" s="642" t="s">
        <v>125</v>
      </c>
      <c r="D5075" s="642" t="s">
        <v>4091</v>
      </c>
      <c r="E5075" s="906" t="s">
        <v>1328</v>
      </c>
      <c r="F5075" s="906"/>
      <c r="G5075" s="644" t="s">
        <v>2592</v>
      </c>
      <c r="H5075" s="645">
        <v>1</v>
      </c>
      <c r="I5075" s="646">
        <v>1.24</v>
      </c>
      <c r="J5075" s="646">
        <v>1.24</v>
      </c>
    </row>
    <row r="5076" spans="1:10" s="358" customFormat="1" ht="25.5" customHeight="1" x14ac:dyDescent="0.3">
      <c r="A5076" s="904" t="s">
        <v>2418</v>
      </c>
      <c r="B5076" s="903" t="s">
        <v>15</v>
      </c>
      <c r="C5076" s="904" t="s">
        <v>16</v>
      </c>
      <c r="D5076" s="904" t="s">
        <v>2466</v>
      </c>
      <c r="E5076" s="903" t="s">
        <v>2467</v>
      </c>
      <c r="F5076" s="908" t="s">
        <v>2468</v>
      </c>
      <c r="G5076" s="903"/>
      <c r="H5076" s="518" t="s">
        <v>2469</v>
      </c>
      <c r="I5076" s="903" t="s">
        <v>2470</v>
      </c>
      <c r="J5076"/>
    </row>
    <row r="5077" spans="1:10" x14ac:dyDescent="0.3">
      <c r="A5077" s="903"/>
      <c r="B5077" s="903"/>
      <c r="C5077" s="903"/>
      <c r="D5077" s="903"/>
      <c r="E5077" s="903"/>
      <c r="F5077" s="517" t="s">
        <v>2471</v>
      </c>
      <c r="G5077" s="517" t="s">
        <v>2472</v>
      </c>
      <c r="H5077" s="517" t="s">
        <v>2471</v>
      </c>
      <c r="I5077" s="903"/>
      <c r="J5077"/>
    </row>
    <row r="5078" spans="1:10" s="358" customFormat="1" x14ac:dyDescent="0.3">
      <c r="A5078" s="519" t="s">
        <v>2437</v>
      </c>
      <c r="B5078" s="520" t="s">
        <v>3217</v>
      </c>
      <c r="C5078" s="519" t="s">
        <v>125</v>
      </c>
      <c r="D5078" s="519" t="s">
        <v>3218</v>
      </c>
      <c r="E5078" s="522">
        <v>1</v>
      </c>
      <c r="F5078" s="523">
        <v>1</v>
      </c>
      <c r="G5078" s="523">
        <v>0</v>
      </c>
      <c r="H5078" s="524">
        <v>301.85669999999999</v>
      </c>
      <c r="I5078" s="524">
        <v>301.85669999999999</v>
      </c>
      <c r="J5078"/>
    </row>
    <row r="5079" spans="1:10" ht="14.25" customHeight="1" x14ac:dyDescent="0.3">
      <c r="A5079" s="902"/>
      <c r="B5079" s="902"/>
      <c r="C5079" s="902"/>
      <c r="D5079" s="902"/>
      <c r="E5079" s="902"/>
      <c r="F5079" s="902" t="s">
        <v>2475</v>
      </c>
      <c r="G5079" s="902"/>
      <c r="H5079" s="902"/>
      <c r="I5079" s="525">
        <v>301.85669999999999</v>
      </c>
      <c r="J5079"/>
    </row>
    <row r="5080" spans="1:10" s="358" customFormat="1" ht="25.5" customHeight="1" x14ac:dyDescent="0.3">
      <c r="A5080" s="902"/>
      <c r="B5080" s="902"/>
      <c r="C5080" s="902"/>
      <c r="D5080" s="902"/>
      <c r="E5080" s="902"/>
      <c r="F5080" s="902" t="s">
        <v>2476</v>
      </c>
      <c r="G5080" s="902"/>
      <c r="H5080" s="902"/>
      <c r="I5080" s="525">
        <v>301.85669999999999</v>
      </c>
      <c r="J5080"/>
    </row>
    <row r="5081" spans="1:10" ht="14.25" customHeight="1" x14ac:dyDescent="0.3">
      <c r="A5081" s="902"/>
      <c r="B5081" s="902"/>
      <c r="C5081" s="902"/>
      <c r="D5081" s="902"/>
      <c r="E5081" s="902"/>
      <c r="F5081" s="902" t="s">
        <v>2477</v>
      </c>
      <c r="G5081" s="902"/>
      <c r="H5081" s="902"/>
      <c r="I5081" s="525">
        <v>2.24E-2</v>
      </c>
      <c r="J5081"/>
    </row>
    <row r="5082" spans="1:10" s="358" customFormat="1" x14ac:dyDescent="0.3">
      <c r="A5082" s="902"/>
      <c r="B5082" s="902"/>
      <c r="C5082" s="902"/>
      <c r="D5082" s="902"/>
      <c r="E5082" s="902"/>
      <c r="F5082" s="902" t="s">
        <v>2478</v>
      </c>
      <c r="G5082" s="902"/>
      <c r="H5082" s="902"/>
      <c r="I5082" s="525">
        <v>2.7199999999999998E-2</v>
      </c>
      <c r="J5082"/>
    </row>
    <row r="5083" spans="1:10" ht="14.25" customHeight="1" x14ac:dyDescent="0.3">
      <c r="A5083" s="902"/>
      <c r="B5083" s="902"/>
      <c r="C5083" s="902"/>
      <c r="D5083" s="902"/>
      <c r="E5083" s="902"/>
      <c r="F5083" s="902" t="s">
        <v>2479</v>
      </c>
      <c r="G5083" s="902"/>
      <c r="H5083" s="902"/>
      <c r="I5083" s="525">
        <v>249</v>
      </c>
      <c r="J5083"/>
    </row>
    <row r="5084" spans="1:10" s="358" customFormat="1" ht="25.5" customHeight="1" thickBot="1" x14ac:dyDescent="0.35">
      <c r="A5084" s="902"/>
      <c r="B5084" s="902"/>
      <c r="C5084" s="902"/>
      <c r="D5084" s="902"/>
      <c r="E5084" s="902"/>
      <c r="F5084" s="902" t="s">
        <v>2480</v>
      </c>
      <c r="G5084" s="902"/>
      <c r="H5084" s="902"/>
      <c r="I5084" s="525">
        <v>1.2122999999999999</v>
      </c>
      <c r="J5084"/>
    </row>
    <row r="5085" spans="1:10" ht="14.5" thickTop="1" x14ac:dyDescent="0.3">
      <c r="A5085" s="647"/>
      <c r="B5085" s="647"/>
      <c r="C5085" s="647"/>
      <c r="D5085" s="647"/>
      <c r="E5085" s="647"/>
      <c r="F5085" s="647"/>
      <c r="G5085" s="647"/>
      <c r="H5085" s="647"/>
      <c r="I5085" s="647"/>
      <c r="J5085"/>
    </row>
    <row r="5086" spans="1:10" s="358" customFormat="1" x14ac:dyDescent="0.3">
      <c r="A5086" s="516"/>
      <c r="B5086" s="517" t="s">
        <v>15</v>
      </c>
      <c r="C5086" s="516" t="s">
        <v>16</v>
      </c>
      <c r="D5086" s="516" t="s">
        <v>17</v>
      </c>
      <c r="E5086" s="904" t="s">
        <v>2431</v>
      </c>
      <c r="F5086" s="904"/>
      <c r="G5086" s="518" t="s">
        <v>18</v>
      </c>
      <c r="H5086" s="517" t="s">
        <v>19</v>
      </c>
      <c r="I5086" s="517" t="s">
        <v>20</v>
      </c>
      <c r="J5086" s="517" t="s">
        <v>23</v>
      </c>
    </row>
    <row r="5087" spans="1:10" ht="25" x14ac:dyDescent="0.3">
      <c r="A5087" s="642" t="s">
        <v>2432</v>
      </c>
      <c r="B5087" s="643" t="s">
        <v>4092</v>
      </c>
      <c r="C5087" s="642" t="s">
        <v>125</v>
      </c>
      <c r="D5087" s="642" t="s">
        <v>4093</v>
      </c>
      <c r="E5087" s="906" t="s">
        <v>1328</v>
      </c>
      <c r="F5087" s="906"/>
      <c r="G5087" s="644" t="s">
        <v>2592</v>
      </c>
      <c r="H5087" s="645">
        <v>1</v>
      </c>
      <c r="I5087" s="646">
        <v>0.99</v>
      </c>
      <c r="J5087" s="646">
        <v>0.99</v>
      </c>
    </row>
    <row r="5088" spans="1:10" s="358" customFormat="1" ht="15" customHeight="1" x14ac:dyDescent="0.3">
      <c r="A5088" s="904" t="s">
        <v>2418</v>
      </c>
      <c r="B5088" s="903" t="s">
        <v>15</v>
      </c>
      <c r="C5088" s="904" t="s">
        <v>16</v>
      </c>
      <c r="D5088" s="904" t="s">
        <v>2466</v>
      </c>
      <c r="E5088" s="903" t="s">
        <v>2467</v>
      </c>
      <c r="F5088" s="908" t="s">
        <v>2468</v>
      </c>
      <c r="G5088" s="903"/>
      <c r="H5088" s="518" t="s">
        <v>2469</v>
      </c>
      <c r="I5088" s="903" t="s">
        <v>2470</v>
      </c>
      <c r="J5088"/>
    </row>
    <row r="5089" spans="1:10" x14ac:dyDescent="0.3">
      <c r="A5089" s="903"/>
      <c r="B5089" s="903"/>
      <c r="C5089" s="903"/>
      <c r="D5089" s="903"/>
      <c r="E5089" s="903"/>
      <c r="F5089" s="517" t="s">
        <v>2471</v>
      </c>
      <c r="G5089" s="517" t="s">
        <v>2472</v>
      </c>
      <c r="H5089" s="517" t="s">
        <v>2471</v>
      </c>
      <c r="I5089" s="903"/>
      <c r="J5089"/>
    </row>
    <row r="5090" spans="1:10" x14ac:dyDescent="0.3">
      <c r="A5090" s="519" t="s">
        <v>2437</v>
      </c>
      <c r="B5090" s="520" t="s">
        <v>3217</v>
      </c>
      <c r="C5090" s="519" t="s">
        <v>125</v>
      </c>
      <c r="D5090" s="519" t="s">
        <v>3218</v>
      </c>
      <c r="E5090" s="522">
        <v>1</v>
      </c>
      <c r="F5090" s="523">
        <v>1</v>
      </c>
      <c r="G5090" s="523">
        <v>0</v>
      </c>
      <c r="H5090" s="524">
        <v>301.85669999999999</v>
      </c>
      <c r="I5090" s="524">
        <v>301.85669999999999</v>
      </c>
      <c r="J5090"/>
    </row>
    <row r="5091" spans="1:10" ht="14.25" customHeight="1" x14ac:dyDescent="0.3">
      <c r="A5091" s="902"/>
      <c r="B5091" s="902"/>
      <c r="C5091" s="902"/>
      <c r="D5091" s="902"/>
      <c r="E5091" s="902"/>
      <c r="F5091" s="902" t="s">
        <v>2475</v>
      </c>
      <c r="G5091" s="902"/>
      <c r="H5091" s="902"/>
      <c r="I5091" s="525">
        <v>301.85669999999999</v>
      </c>
      <c r="J5091"/>
    </row>
    <row r="5092" spans="1:10" ht="14.25" customHeight="1" x14ac:dyDescent="0.3">
      <c r="A5092" s="902"/>
      <c r="B5092" s="902"/>
      <c r="C5092" s="902"/>
      <c r="D5092" s="902"/>
      <c r="E5092" s="902"/>
      <c r="F5092" s="902" t="s">
        <v>2476</v>
      </c>
      <c r="G5092" s="902"/>
      <c r="H5092" s="902"/>
      <c r="I5092" s="525">
        <v>301.85669999999999</v>
      </c>
      <c r="J5092"/>
    </row>
    <row r="5093" spans="1:10" ht="14.25" customHeight="1" x14ac:dyDescent="0.3">
      <c r="A5093" s="902"/>
      <c r="B5093" s="902"/>
      <c r="C5093" s="902"/>
      <c r="D5093" s="902"/>
      <c r="E5093" s="902"/>
      <c r="F5093" s="902" t="s">
        <v>2477</v>
      </c>
      <c r="G5093" s="902"/>
      <c r="H5093" s="902"/>
      <c r="I5093" s="525">
        <v>2.24E-2</v>
      </c>
      <c r="J5093"/>
    </row>
    <row r="5094" spans="1:10" x14ac:dyDescent="0.3">
      <c r="A5094" s="902"/>
      <c r="B5094" s="902"/>
      <c r="C5094" s="902"/>
      <c r="D5094" s="902"/>
      <c r="E5094" s="902"/>
      <c r="F5094" s="902" t="s">
        <v>2478</v>
      </c>
      <c r="G5094" s="902"/>
      <c r="H5094" s="902"/>
      <c r="I5094" s="525">
        <v>2.1700000000000001E-2</v>
      </c>
      <c r="J5094"/>
    </row>
    <row r="5095" spans="1:10" ht="14.25" customHeight="1" x14ac:dyDescent="0.3">
      <c r="A5095" s="902"/>
      <c r="B5095" s="902"/>
      <c r="C5095" s="902"/>
      <c r="D5095" s="902"/>
      <c r="E5095" s="902"/>
      <c r="F5095" s="902" t="s">
        <v>2479</v>
      </c>
      <c r="G5095" s="902"/>
      <c r="H5095" s="902"/>
      <c r="I5095" s="525">
        <v>311.25</v>
      </c>
      <c r="J5095"/>
    </row>
    <row r="5096" spans="1:10" ht="15" customHeight="1" thickBot="1" x14ac:dyDescent="0.35">
      <c r="A5096" s="902"/>
      <c r="B5096" s="902"/>
      <c r="C5096" s="902"/>
      <c r="D5096" s="902"/>
      <c r="E5096" s="902"/>
      <c r="F5096" s="902" t="s">
        <v>2480</v>
      </c>
      <c r="G5096" s="902"/>
      <c r="H5096" s="902"/>
      <c r="I5096" s="525">
        <v>0.9698</v>
      </c>
      <c r="J5096"/>
    </row>
    <row r="5097" spans="1:10" s="358" customFormat="1" ht="14.5" thickTop="1" x14ac:dyDescent="0.3">
      <c r="A5097" s="647"/>
      <c r="B5097" s="647"/>
      <c r="C5097" s="647"/>
      <c r="D5097" s="647"/>
      <c r="E5097" s="647"/>
      <c r="F5097" s="647"/>
      <c r="G5097" s="647"/>
      <c r="H5097" s="647"/>
      <c r="I5097" s="647"/>
      <c r="J5097"/>
    </row>
    <row r="5098" spans="1:10" x14ac:dyDescent="0.3">
      <c r="A5098" s="516"/>
      <c r="B5098" s="517" t="s">
        <v>15</v>
      </c>
      <c r="C5098" s="516" t="s">
        <v>16</v>
      </c>
      <c r="D5098" s="516" t="s">
        <v>17</v>
      </c>
      <c r="E5098" s="904" t="s">
        <v>2431</v>
      </c>
      <c r="F5098" s="904"/>
      <c r="G5098" s="518" t="s">
        <v>18</v>
      </c>
      <c r="H5098" s="517" t="s">
        <v>19</v>
      </c>
      <c r="I5098" s="517" t="s">
        <v>20</v>
      </c>
      <c r="J5098" s="517" t="s">
        <v>23</v>
      </c>
    </row>
    <row r="5099" spans="1:10" s="358" customFormat="1" x14ac:dyDescent="0.3">
      <c r="A5099" s="642" t="s">
        <v>2432</v>
      </c>
      <c r="B5099" s="643" t="s">
        <v>4094</v>
      </c>
      <c r="C5099" s="642" t="s">
        <v>125</v>
      </c>
      <c r="D5099" s="642" t="s">
        <v>4095</v>
      </c>
      <c r="E5099" s="906" t="s">
        <v>1328</v>
      </c>
      <c r="F5099" s="906"/>
      <c r="G5099" s="644" t="s">
        <v>2592</v>
      </c>
      <c r="H5099" s="645">
        <v>1</v>
      </c>
      <c r="I5099" s="646">
        <v>0.81</v>
      </c>
      <c r="J5099" s="646">
        <v>0.81</v>
      </c>
    </row>
    <row r="5100" spans="1:10" ht="15" customHeight="1" x14ac:dyDescent="0.3">
      <c r="A5100" s="904" t="s">
        <v>2418</v>
      </c>
      <c r="B5100" s="903" t="s">
        <v>15</v>
      </c>
      <c r="C5100" s="904" t="s">
        <v>16</v>
      </c>
      <c r="D5100" s="904" t="s">
        <v>2466</v>
      </c>
      <c r="E5100" s="903" t="s">
        <v>2467</v>
      </c>
      <c r="F5100" s="908" t="s">
        <v>2468</v>
      </c>
      <c r="G5100" s="903"/>
      <c r="H5100" s="518" t="s">
        <v>2469</v>
      </c>
      <c r="I5100" s="903" t="s">
        <v>2470</v>
      </c>
      <c r="J5100"/>
    </row>
    <row r="5101" spans="1:10" x14ac:dyDescent="0.3">
      <c r="A5101" s="903"/>
      <c r="B5101" s="903"/>
      <c r="C5101" s="903"/>
      <c r="D5101" s="903"/>
      <c r="E5101" s="903"/>
      <c r="F5101" s="517" t="s">
        <v>2471</v>
      </c>
      <c r="G5101" s="517" t="s">
        <v>2472</v>
      </c>
      <c r="H5101" s="517" t="s">
        <v>2471</v>
      </c>
      <c r="I5101" s="903"/>
      <c r="J5101"/>
    </row>
    <row r="5102" spans="1:10" x14ac:dyDescent="0.3">
      <c r="A5102" s="519" t="s">
        <v>2437</v>
      </c>
      <c r="B5102" s="520" t="s">
        <v>3217</v>
      </c>
      <c r="C5102" s="519" t="s">
        <v>125</v>
      </c>
      <c r="D5102" s="519" t="s">
        <v>3218</v>
      </c>
      <c r="E5102" s="522">
        <v>1</v>
      </c>
      <c r="F5102" s="523">
        <v>1</v>
      </c>
      <c r="G5102" s="523">
        <v>0</v>
      </c>
      <c r="H5102" s="524">
        <v>301.85669999999999</v>
      </c>
      <c r="I5102" s="524">
        <v>301.85669999999999</v>
      </c>
      <c r="J5102"/>
    </row>
    <row r="5103" spans="1:10" s="358" customFormat="1" ht="15" customHeight="1" x14ac:dyDescent="0.3">
      <c r="A5103" s="902"/>
      <c r="B5103" s="902"/>
      <c r="C5103" s="902"/>
      <c r="D5103" s="902"/>
      <c r="E5103" s="902"/>
      <c r="F5103" s="902" t="s">
        <v>2475</v>
      </c>
      <c r="G5103" s="902"/>
      <c r="H5103" s="902"/>
      <c r="I5103" s="525">
        <v>301.85669999999999</v>
      </c>
      <c r="J5103"/>
    </row>
    <row r="5104" spans="1:10" ht="14.25" customHeight="1" x14ac:dyDescent="0.3">
      <c r="A5104" s="902"/>
      <c r="B5104" s="902"/>
      <c r="C5104" s="902"/>
      <c r="D5104" s="902"/>
      <c r="E5104" s="902"/>
      <c r="F5104" s="902" t="s">
        <v>2476</v>
      </c>
      <c r="G5104" s="902"/>
      <c r="H5104" s="902"/>
      <c r="I5104" s="525">
        <v>301.85669999999999</v>
      </c>
      <c r="J5104"/>
    </row>
    <row r="5105" spans="1:10" s="358" customFormat="1" ht="15" customHeight="1" x14ac:dyDescent="0.3">
      <c r="A5105" s="902"/>
      <c r="B5105" s="902"/>
      <c r="C5105" s="902"/>
      <c r="D5105" s="902"/>
      <c r="E5105" s="902"/>
      <c r="F5105" s="902" t="s">
        <v>2477</v>
      </c>
      <c r="G5105" s="902"/>
      <c r="H5105" s="902"/>
      <c r="I5105" s="525">
        <v>0</v>
      </c>
      <c r="J5105"/>
    </row>
    <row r="5106" spans="1:10" ht="15" customHeight="1" x14ac:dyDescent="0.3">
      <c r="A5106" s="902"/>
      <c r="B5106" s="902"/>
      <c r="C5106" s="902"/>
      <c r="D5106" s="902"/>
      <c r="E5106" s="902"/>
      <c r="F5106" s="902" t="s">
        <v>2478</v>
      </c>
      <c r="G5106" s="902"/>
      <c r="H5106" s="902"/>
      <c r="I5106" s="525">
        <v>0</v>
      </c>
      <c r="J5106"/>
    </row>
    <row r="5107" spans="1:10" ht="14.25" customHeight="1" x14ac:dyDescent="0.3">
      <c r="A5107" s="902"/>
      <c r="B5107" s="902"/>
      <c r="C5107" s="902"/>
      <c r="D5107" s="902"/>
      <c r="E5107" s="902"/>
      <c r="F5107" s="902" t="s">
        <v>2479</v>
      </c>
      <c r="G5107" s="902"/>
      <c r="H5107" s="902"/>
      <c r="I5107" s="525">
        <v>373.5</v>
      </c>
      <c r="J5107"/>
    </row>
    <row r="5108" spans="1:10" ht="15" customHeight="1" thickBot="1" x14ac:dyDescent="0.35">
      <c r="A5108" s="902"/>
      <c r="B5108" s="902"/>
      <c r="C5108" s="902"/>
      <c r="D5108" s="902"/>
      <c r="E5108" s="902"/>
      <c r="F5108" s="902" t="s">
        <v>2480</v>
      </c>
      <c r="G5108" s="902"/>
      <c r="H5108" s="902"/>
      <c r="I5108" s="525">
        <v>0.80820000000000003</v>
      </c>
      <c r="J5108"/>
    </row>
    <row r="5109" spans="1:10" ht="14.25" customHeight="1" thickTop="1" x14ac:dyDescent="0.3">
      <c r="A5109" s="647"/>
      <c r="B5109" s="647"/>
      <c r="C5109" s="647"/>
      <c r="D5109" s="647"/>
      <c r="E5109" s="647"/>
      <c r="F5109" s="647"/>
      <c r="G5109" s="647"/>
      <c r="H5109" s="647"/>
      <c r="I5109" s="647"/>
      <c r="J5109"/>
    </row>
    <row r="5110" spans="1:10" ht="14.25" customHeight="1" x14ac:dyDescent="0.3">
      <c r="A5110" s="516"/>
      <c r="B5110" s="517" t="s">
        <v>15</v>
      </c>
      <c r="C5110" s="516" t="s">
        <v>16</v>
      </c>
      <c r="D5110" s="516" t="s">
        <v>17</v>
      </c>
      <c r="E5110" s="904" t="s">
        <v>2431</v>
      </c>
      <c r="F5110" s="904"/>
      <c r="G5110" s="518" t="s">
        <v>18</v>
      </c>
      <c r="H5110" s="517" t="s">
        <v>19</v>
      </c>
      <c r="I5110" s="517" t="s">
        <v>20</v>
      </c>
      <c r="J5110" s="517" t="s">
        <v>23</v>
      </c>
    </row>
    <row r="5111" spans="1:10" ht="14.25" customHeight="1" x14ac:dyDescent="0.3">
      <c r="A5111" s="642" t="s">
        <v>2432</v>
      </c>
      <c r="B5111" s="643" t="s">
        <v>4096</v>
      </c>
      <c r="C5111" s="642" t="s">
        <v>125</v>
      </c>
      <c r="D5111" s="642" t="s">
        <v>4097</v>
      </c>
      <c r="E5111" s="906" t="s">
        <v>1328</v>
      </c>
      <c r="F5111" s="906"/>
      <c r="G5111" s="644" t="s">
        <v>2592</v>
      </c>
      <c r="H5111" s="645">
        <v>1</v>
      </c>
      <c r="I5111" s="646">
        <v>1.17</v>
      </c>
      <c r="J5111" s="646">
        <v>1.17</v>
      </c>
    </row>
    <row r="5112" spans="1:10" ht="15" customHeight="1" x14ac:dyDescent="0.3">
      <c r="A5112" s="904" t="s">
        <v>2418</v>
      </c>
      <c r="B5112" s="903" t="s">
        <v>15</v>
      </c>
      <c r="C5112" s="904" t="s">
        <v>16</v>
      </c>
      <c r="D5112" s="904" t="s">
        <v>2466</v>
      </c>
      <c r="E5112" s="903" t="s">
        <v>2467</v>
      </c>
      <c r="F5112" s="908" t="s">
        <v>2468</v>
      </c>
      <c r="G5112" s="903"/>
      <c r="H5112" s="518" t="s">
        <v>2469</v>
      </c>
      <c r="I5112" s="903" t="s">
        <v>2470</v>
      </c>
      <c r="J5112"/>
    </row>
    <row r="5113" spans="1:10" ht="14.25" customHeight="1" x14ac:dyDescent="0.3">
      <c r="A5113" s="903"/>
      <c r="B5113" s="903"/>
      <c r="C5113" s="903"/>
      <c r="D5113" s="903"/>
      <c r="E5113" s="903"/>
      <c r="F5113" s="517" t="s">
        <v>2471</v>
      </c>
      <c r="G5113" s="517" t="s">
        <v>2472</v>
      </c>
      <c r="H5113" s="517" t="s">
        <v>2471</v>
      </c>
      <c r="I5113" s="903"/>
      <c r="J5113"/>
    </row>
    <row r="5114" spans="1:10" ht="15" customHeight="1" x14ac:dyDescent="0.3">
      <c r="A5114" s="519" t="s">
        <v>2437</v>
      </c>
      <c r="B5114" s="520" t="s">
        <v>3220</v>
      </c>
      <c r="C5114" s="519" t="s">
        <v>125</v>
      </c>
      <c r="D5114" s="519" t="s">
        <v>3221</v>
      </c>
      <c r="E5114" s="522">
        <v>1</v>
      </c>
      <c r="F5114" s="523">
        <v>1</v>
      </c>
      <c r="G5114" s="523">
        <v>0</v>
      </c>
      <c r="H5114" s="524">
        <v>174.29050000000001</v>
      </c>
      <c r="I5114" s="524">
        <v>174.29050000000001</v>
      </c>
      <c r="J5114"/>
    </row>
    <row r="5115" spans="1:10" s="358" customFormat="1" ht="15" customHeight="1" x14ac:dyDescent="0.3">
      <c r="A5115" s="902"/>
      <c r="B5115" s="902"/>
      <c r="C5115" s="902"/>
      <c r="D5115" s="902"/>
      <c r="E5115" s="902"/>
      <c r="F5115" s="902" t="s">
        <v>2475</v>
      </c>
      <c r="G5115" s="902"/>
      <c r="H5115" s="902"/>
      <c r="I5115" s="525">
        <v>174.29050000000001</v>
      </c>
      <c r="J5115"/>
    </row>
    <row r="5116" spans="1:10" ht="14.25" customHeight="1" x14ac:dyDescent="0.3">
      <c r="A5116" s="902"/>
      <c r="B5116" s="902"/>
      <c r="C5116" s="902"/>
      <c r="D5116" s="902"/>
      <c r="E5116" s="902"/>
      <c r="F5116" s="902" t="s">
        <v>2476</v>
      </c>
      <c r="G5116" s="902"/>
      <c r="H5116" s="902"/>
      <c r="I5116" s="525">
        <v>174.29050000000001</v>
      </c>
      <c r="J5116"/>
    </row>
    <row r="5117" spans="1:10" s="358" customFormat="1" ht="15" customHeight="1" x14ac:dyDescent="0.3">
      <c r="A5117" s="902"/>
      <c r="B5117" s="902"/>
      <c r="C5117" s="902"/>
      <c r="D5117" s="902"/>
      <c r="E5117" s="902"/>
      <c r="F5117" s="902" t="s">
        <v>2477</v>
      </c>
      <c r="G5117" s="902"/>
      <c r="H5117" s="902"/>
      <c r="I5117" s="525">
        <v>0</v>
      </c>
      <c r="J5117"/>
    </row>
    <row r="5118" spans="1:10" ht="15" customHeight="1" x14ac:dyDescent="0.3">
      <c r="A5118" s="902"/>
      <c r="B5118" s="902"/>
      <c r="C5118" s="902"/>
      <c r="D5118" s="902"/>
      <c r="E5118" s="902"/>
      <c r="F5118" s="902" t="s">
        <v>2478</v>
      </c>
      <c r="G5118" s="902"/>
      <c r="H5118" s="902"/>
      <c r="I5118" s="525">
        <v>0</v>
      </c>
      <c r="J5118"/>
    </row>
    <row r="5119" spans="1:10" ht="14.25" customHeight="1" x14ac:dyDescent="0.3">
      <c r="A5119" s="902"/>
      <c r="B5119" s="902"/>
      <c r="C5119" s="902"/>
      <c r="D5119" s="902"/>
      <c r="E5119" s="902"/>
      <c r="F5119" s="902" t="s">
        <v>2479</v>
      </c>
      <c r="G5119" s="902"/>
      <c r="H5119" s="902"/>
      <c r="I5119" s="525">
        <v>149.4</v>
      </c>
      <c r="J5119"/>
    </row>
    <row r="5120" spans="1:10" ht="15" customHeight="1" thickBot="1" x14ac:dyDescent="0.35">
      <c r="A5120" s="902"/>
      <c r="B5120" s="902"/>
      <c r="C5120" s="902"/>
      <c r="D5120" s="902"/>
      <c r="E5120" s="902"/>
      <c r="F5120" s="902" t="s">
        <v>2480</v>
      </c>
      <c r="G5120" s="902"/>
      <c r="H5120" s="902"/>
      <c r="I5120" s="525">
        <v>1.1666000000000001</v>
      </c>
      <c r="J5120"/>
    </row>
    <row r="5121" spans="1:10" ht="14.25" customHeight="1" thickTop="1" x14ac:dyDescent="0.3">
      <c r="A5121" s="647"/>
      <c r="B5121" s="647"/>
      <c r="C5121" s="647"/>
      <c r="D5121" s="647"/>
      <c r="E5121" s="647"/>
      <c r="F5121" s="647"/>
      <c r="G5121" s="647"/>
      <c r="H5121" s="647"/>
      <c r="I5121" s="647"/>
      <c r="J5121"/>
    </row>
    <row r="5122" spans="1:10" ht="14.25" customHeight="1" x14ac:dyDescent="0.3">
      <c r="A5122" s="516"/>
      <c r="B5122" s="517" t="s">
        <v>15</v>
      </c>
      <c r="C5122" s="516" t="s">
        <v>16</v>
      </c>
      <c r="D5122" s="516" t="s">
        <v>17</v>
      </c>
      <c r="E5122" s="904" t="s">
        <v>2431</v>
      </c>
      <c r="F5122" s="904"/>
      <c r="G5122" s="518" t="s">
        <v>18</v>
      </c>
      <c r="H5122" s="517" t="s">
        <v>19</v>
      </c>
      <c r="I5122" s="517" t="s">
        <v>20</v>
      </c>
      <c r="J5122" s="517" t="s">
        <v>23</v>
      </c>
    </row>
    <row r="5123" spans="1:10" ht="14.25" customHeight="1" x14ac:dyDescent="0.3">
      <c r="A5123" s="642" t="s">
        <v>2432</v>
      </c>
      <c r="B5123" s="643" t="s">
        <v>4098</v>
      </c>
      <c r="C5123" s="642" t="s">
        <v>125</v>
      </c>
      <c r="D5123" s="642" t="s">
        <v>4099</v>
      </c>
      <c r="E5123" s="906" t="s">
        <v>1328</v>
      </c>
      <c r="F5123" s="906"/>
      <c r="G5123" s="644" t="s">
        <v>2592</v>
      </c>
      <c r="H5123" s="645">
        <v>1</v>
      </c>
      <c r="I5123" s="646">
        <v>0.93</v>
      </c>
      <c r="J5123" s="646">
        <v>0.93</v>
      </c>
    </row>
    <row r="5124" spans="1:10" ht="15" customHeight="1" x14ac:dyDescent="0.3">
      <c r="A5124" s="904" t="s">
        <v>2418</v>
      </c>
      <c r="B5124" s="903" t="s">
        <v>15</v>
      </c>
      <c r="C5124" s="904" t="s">
        <v>16</v>
      </c>
      <c r="D5124" s="904" t="s">
        <v>2466</v>
      </c>
      <c r="E5124" s="903" t="s">
        <v>2467</v>
      </c>
      <c r="F5124" s="908" t="s">
        <v>2468</v>
      </c>
      <c r="G5124" s="903"/>
      <c r="H5124" s="518" t="s">
        <v>2469</v>
      </c>
      <c r="I5124" s="903" t="s">
        <v>2470</v>
      </c>
      <c r="J5124"/>
    </row>
    <row r="5125" spans="1:10" ht="14.25" customHeight="1" x14ac:dyDescent="0.3">
      <c r="A5125" s="903"/>
      <c r="B5125" s="903"/>
      <c r="C5125" s="903"/>
      <c r="D5125" s="903"/>
      <c r="E5125" s="903"/>
      <c r="F5125" s="517" t="s">
        <v>2471</v>
      </c>
      <c r="G5125" s="517" t="s">
        <v>2472</v>
      </c>
      <c r="H5125" s="517" t="s">
        <v>2471</v>
      </c>
      <c r="I5125" s="903"/>
      <c r="J5125"/>
    </row>
    <row r="5126" spans="1:10" ht="15" customHeight="1" x14ac:dyDescent="0.3">
      <c r="A5126" s="519" t="s">
        <v>2437</v>
      </c>
      <c r="B5126" s="520" t="s">
        <v>3220</v>
      </c>
      <c r="C5126" s="519" t="s">
        <v>125</v>
      </c>
      <c r="D5126" s="519" t="s">
        <v>3221</v>
      </c>
      <c r="E5126" s="522">
        <v>1</v>
      </c>
      <c r="F5126" s="523">
        <v>1</v>
      </c>
      <c r="G5126" s="523">
        <v>0</v>
      </c>
      <c r="H5126" s="524">
        <v>174.29050000000001</v>
      </c>
      <c r="I5126" s="524">
        <v>174.29050000000001</v>
      </c>
      <c r="J5126"/>
    </row>
    <row r="5127" spans="1:10" s="358" customFormat="1" ht="15" customHeight="1" x14ac:dyDescent="0.3">
      <c r="A5127" s="902"/>
      <c r="B5127" s="902"/>
      <c r="C5127" s="902"/>
      <c r="D5127" s="902"/>
      <c r="E5127" s="902"/>
      <c r="F5127" s="902" t="s">
        <v>2475</v>
      </c>
      <c r="G5127" s="902"/>
      <c r="H5127" s="902"/>
      <c r="I5127" s="525">
        <v>174.29050000000001</v>
      </c>
      <c r="J5127"/>
    </row>
    <row r="5128" spans="1:10" ht="14.25" customHeight="1" x14ac:dyDescent="0.3">
      <c r="A5128" s="902"/>
      <c r="B5128" s="902"/>
      <c r="C5128" s="902"/>
      <c r="D5128" s="902"/>
      <c r="E5128" s="902"/>
      <c r="F5128" s="902" t="s">
        <v>2476</v>
      </c>
      <c r="G5128" s="902"/>
      <c r="H5128" s="902"/>
      <c r="I5128" s="525">
        <v>174.29050000000001</v>
      </c>
      <c r="J5128"/>
    </row>
    <row r="5129" spans="1:10" s="358" customFormat="1" ht="15" customHeight="1" x14ac:dyDescent="0.3">
      <c r="A5129" s="902"/>
      <c r="B5129" s="902"/>
      <c r="C5129" s="902"/>
      <c r="D5129" s="902"/>
      <c r="E5129" s="902"/>
      <c r="F5129" s="902" t="s">
        <v>2477</v>
      </c>
      <c r="G5129" s="902"/>
      <c r="H5129" s="902"/>
      <c r="I5129" s="525">
        <v>0</v>
      </c>
      <c r="J5129"/>
    </row>
    <row r="5130" spans="1:10" ht="15" customHeight="1" x14ac:dyDescent="0.3">
      <c r="A5130" s="902"/>
      <c r="B5130" s="902"/>
      <c r="C5130" s="902"/>
      <c r="D5130" s="902"/>
      <c r="E5130" s="902"/>
      <c r="F5130" s="902" t="s">
        <v>2478</v>
      </c>
      <c r="G5130" s="902"/>
      <c r="H5130" s="902"/>
      <c r="I5130" s="525">
        <v>0</v>
      </c>
      <c r="J5130"/>
    </row>
    <row r="5131" spans="1:10" ht="14.25" customHeight="1" x14ac:dyDescent="0.3">
      <c r="A5131" s="902"/>
      <c r="B5131" s="902"/>
      <c r="C5131" s="902"/>
      <c r="D5131" s="902"/>
      <c r="E5131" s="902"/>
      <c r="F5131" s="902" t="s">
        <v>2479</v>
      </c>
      <c r="G5131" s="902"/>
      <c r="H5131" s="902"/>
      <c r="I5131" s="525">
        <v>186.75</v>
      </c>
      <c r="J5131"/>
    </row>
    <row r="5132" spans="1:10" ht="15" customHeight="1" thickBot="1" x14ac:dyDescent="0.35">
      <c r="A5132" s="902"/>
      <c r="B5132" s="902"/>
      <c r="C5132" s="902"/>
      <c r="D5132" s="902"/>
      <c r="E5132" s="902"/>
      <c r="F5132" s="902" t="s">
        <v>2480</v>
      </c>
      <c r="G5132" s="902"/>
      <c r="H5132" s="902"/>
      <c r="I5132" s="525">
        <v>0.93330000000000002</v>
      </c>
      <c r="J5132"/>
    </row>
    <row r="5133" spans="1:10" ht="14.25" customHeight="1" thickTop="1" x14ac:dyDescent="0.3">
      <c r="A5133" s="647"/>
      <c r="B5133" s="647"/>
      <c r="C5133" s="647"/>
      <c r="D5133" s="647"/>
      <c r="E5133" s="647"/>
      <c r="F5133" s="647"/>
      <c r="G5133" s="647"/>
      <c r="H5133" s="647"/>
      <c r="I5133" s="647"/>
      <c r="J5133"/>
    </row>
    <row r="5134" spans="1:10" ht="14.25" customHeight="1" x14ac:dyDescent="0.3">
      <c r="A5134" s="516"/>
      <c r="B5134" s="517" t="s">
        <v>15</v>
      </c>
      <c r="C5134" s="516" t="s">
        <v>16</v>
      </c>
      <c r="D5134" s="516" t="s">
        <v>17</v>
      </c>
      <c r="E5134" s="904" t="s">
        <v>2431</v>
      </c>
      <c r="F5134" s="904"/>
      <c r="G5134" s="518" t="s">
        <v>18</v>
      </c>
      <c r="H5134" s="517" t="s">
        <v>19</v>
      </c>
      <c r="I5134" s="517" t="s">
        <v>20</v>
      </c>
      <c r="J5134" s="517" t="s">
        <v>23</v>
      </c>
    </row>
    <row r="5135" spans="1:10" ht="14.25" customHeight="1" x14ac:dyDescent="0.3">
      <c r="A5135" s="642" t="s">
        <v>2432</v>
      </c>
      <c r="B5135" s="643" t="s">
        <v>4100</v>
      </c>
      <c r="C5135" s="642" t="s">
        <v>125</v>
      </c>
      <c r="D5135" s="642" t="s">
        <v>4101</v>
      </c>
      <c r="E5135" s="906" t="s">
        <v>1328</v>
      </c>
      <c r="F5135" s="906"/>
      <c r="G5135" s="644" t="s">
        <v>2592</v>
      </c>
      <c r="H5135" s="645">
        <v>1</v>
      </c>
      <c r="I5135" s="646">
        <v>0.78</v>
      </c>
      <c r="J5135" s="646">
        <v>0.78</v>
      </c>
    </row>
    <row r="5136" spans="1:10" ht="15" customHeight="1" x14ac:dyDescent="0.3">
      <c r="A5136" s="904" t="s">
        <v>2418</v>
      </c>
      <c r="B5136" s="903" t="s">
        <v>15</v>
      </c>
      <c r="C5136" s="904" t="s">
        <v>16</v>
      </c>
      <c r="D5136" s="904" t="s">
        <v>2466</v>
      </c>
      <c r="E5136" s="903" t="s">
        <v>2467</v>
      </c>
      <c r="F5136" s="908" t="s">
        <v>2468</v>
      </c>
      <c r="G5136" s="903"/>
      <c r="H5136" s="518" t="s">
        <v>2469</v>
      </c>
      <c r="I5136" s="903" t="s">
        <v>2470</v>
      </c>
      <c r="J5136"/>
    </row>
    <row r="5137" spans="1:10" ht="14.25" customHeight="1" x14ac:dyDescent="0.3">
      <c r="A5137" s="903"/>
      <c r="B5137" s="903"/>
      <c r="C5137" s="903"/>
      <c r="D5137" s="903"/>
      <c r="E5137" s="903"/>
      <c r="F5137" s="517" t="s">
        <v>2471</v>
      </c>
      <c r="G5137" s="517" t="s">
        <v>2472</v>
      </c>
      <c r="H5137" s="517" t="s">
        <v>2471</v>
      </c>
      <c r="I5137" s="903"/>
      <c r="J5137"/>
    </row>
    <row r="5138" spans="1:10" ht="15" customHeight="1" x14ac:dyDescent="0.3">
      <c r="A5138" s="519" t="s">
        <v>2437</v>
      </c>
      <c r="B5138" s="520" t="s">
        <v>3220</v>
      </c>
      <c r="C5138" s="519" t="s">
        <v>125</v>
      </c>
      <c r="D5138" s="519" t="s">
        <v>3221</v>
      </c>
      <c r="E5138" s="522">
        <v>1</v>
      </c>
      <c r="F5138" s="523">
        <v>1</v>
      </c>
      <c r="G5138" s="523">
        <v>0</v>
      </c>
      <c r="H5138" s="524">
        <v>174.29050000000001</v>
      </c>
      <c r="I5138" s="524">
        <v>174.29050000000001</v>
      </c>
      <c r="J5138"/>
    </row>
    <row r="5139" spans="1:10" s="358" customFormat="1" ht="15" customHeight="1" x14ac:dyDescent="0.3">
      <c r="A5139" s="902"/>
      <c r="B5139" s="902"/>
      <c r="C5139" s="902"/>
      <c r="D5139" s="902"/>
      <c r="E5139" s="902"/>
      <c r="F5139" s="902" t="s">
        <v>2475</v>
      </c>
      <c r="G5139" s="902"/>
      <c r="H5139" s="902"/>
      <c r="I5139" s="525">
        <v>174.29050000000001</v>
      </c>
      <c r="J5139"/>
    </row>
    <row r="5140" spans="1:10" ht="14.25" customHeight="1" x14ac:dyDescent="0.3">
      <c r="A5140" s="902"/>
      <c r="B5140" s="902"/>
      <c r="C5140" s="902"/>
      <c r="D5140" s="902"/>
      <c r="E5140" s="902"/>
      <c r="F5140" s="902" t="s">
        <v>2476</v>
      </c>
      <c r="G5140" s="902"/>
      <c r="H5140" s="902"/>
      <c r="I5140" s="525">
        <v>174.29050000000001</v>
      </c>
      <c r="J5140"/>
    </row>
    <row r="5141" spans="1:10" s="358" customFormat="1" ht="15" customHeight="1" x14ac:dyDescent="0.3">
      <c r="A5141" s="902"/>
      <c r="B5141" s="902"/>
      <c r="C5141" s="902"/>
      <c r="D5141" s="902"/>
      <c r="E5141" s="902"/>
      <c r="F5141" s="902" t="s">
        <v>2477</v>
      </c>
      <c r="G5141" s="902"/>
      <c r="H5141" s="902"/>
      <c r="I5141" s="525">
        <v>0</v>
      </c>
      <c r="J5141"/>
    </row>
    <row r="5142" spans="1:10" ht="15" customHeight="1" x14ac:dyDescent="0.3">
      <c r="A5142" s="902"/>
      <c r="B5142" s="902"/>
      <c r="C5142" s="902"/>
      <c r="D5142" s="902"/>
      <c r="E5142" s="902"/>
      <c r="F5142" s="902" t="s">
        <v>2478</v>
      </c>
      <c r="G5142" s="902"/>
      <c r="H5142" s="902"/>
      <c r="I5142" s="525">
        <v>0</v>
      </c>
      <c r="J5142"/>
    </row>
    <row r="5143" spans="1:10" ht="14.25" customHeight="1" x14ac:dyDescent="0.3">
      <c r="A5143" s="902"/>
      <c r="B5143" s="902"/>
      <c r="C5143" s="902"/>
      <c r="D5143" s="902"/>
      <c r="E5143" s="902"/>
      <c r="F5143" s="902" t="s">
        <v>2479</v>
      </c>
      <c r="G5143" s="902"/>
      <c r="H5143" s="902"/>
      <c r="I5143" s="525">
        <v>224.1</v>
      </c>
      <c r="J5143"/>
    </row>
    <row r="5144" spans="1:10" ht="15" customHeight="1" thickBot="1" x14ac:dyDescent="0.35">
      <c r="A5144" s="902"/>
      <c r="B5144" s="902"/>
      <c r="C5144" s="902"/>
      <c r="D5144" s="902"/>
      <c r="E5144" s="902"/>
      <c r="F5144" s="902" t="s">
        <v>2480</v>
      </c>
      <c r="G5144" s="902"/>
      <c r="H5144" s="902"/>
      <c r="I5144" s="525">
        <v>0.77769999999999995</v>
      </c>
      <c r="J5144"/>
    </row>
    <row r="5145" spans="1:10" ht="14.25" customHeight="1" thickTop="1" x14ac:dyDescent="0.3">
      <c r="A5145" s="647"/>
      <c r="B5145" s="647"/>
      <c r="C5145" s="647"/>
      <c r="D5145" s="647"/>
      <c r="E5145" s="647"/>
      <c r="F5145" s="647"/>
      <c r="G5145" s="647"/>
      <c r="H5145" s="647"/>
      <c r="I5145" s="647"/>
      <c r="J5145"/>
    </row>
    <row r="5146" spans="1:10" ht="14.25" customHeight="1" x14ac:dyDescent="0.3">
      <c r="A5146" s="516"/>
      <c r="B5146" s="517" t="s">
        <v>15</v>
      </c>
      <c r="C5146" s="516" t="s">
        <v>16</v>
      </c>
      <c r="D5146" s="516" t="s">
        <v>17</v>
      </c>
      <c r="E5146" s="904" t="s">
        <v>2431</v>
      </c>
      <c r="F5146" s="904"/>
      <c r="G5146" s="518" t="s">
        <v>18</v>
      </c>
      <c r="H5146" s="517" t="s">
        <v>19</v>
      </c>
      <c r="I5146" s="517" t="s">
        <v>20</v>
      </c>
      <c r="J5146" s="517" t="s">
        <v>23</v>
      </c>
    </row>
    <row r="5147" spans="1:10" ht="14.25" customHeight="1" x14ac:dyDescent="0.3">
      <c r="A5147" s="642" t="s">
        <v>2432</v>
      </c>
      <c r="B5147" s="643" t="s">
        <v>4102</v>
      </c>
      <c r="C5147" s="642" t="s">
        <v>125</v>
      </c>
      <c r="D5147" s="642" t="s">
        <v>4103</v>
      </c>
      <c r="E5147" s="906" t="s">
        <v>1328</v>
      </c>
      <c r="F5147" s="906"/>
      <c r="G5147" s="644" t="s">
        <v>2592</v>
      </c>
      <c r="H5147" s="645">
        <v>1</v>
      </c>
      <c r="I5147" s="646">
        <v>1.04</v>
      </c>
      <c r="J5147" s="646">
        <v>1.04</v>
      </c>
    </row>
    <row r="5148" spans="1:10" ht="15" customHeight="1" x14ac:dyDescent="0.3">
      <c r="A5148" s="904" t="s">
        <v>2418</v>
      </c>
      <c r="B5148" s="903" t="s">
        <v>15</v>
      </c>
      <c r="C5148" s="904" t="s">
        <v>16</v>
      </c>
      <c r="D5148" s="904" t="s">
        <v>2466</v>
      </c>
      <c r="E5148" s="903" t="s">
        <v>2467</v>
      </c>
      <c r="F5148" s="908" t="s">
        <v>2468</v>
      </c>
      <c r="G5148" s="903"/>
      <c r="H5148" s="518" t="s">
        <v>2469</v>
      </c>
      <c r="I5148" s="903" t="s">
        <v>2470</v>
      </c>
      <c r="J5148"/>
    </row>
    <row r="5149" spans="1:10" ht="14.25" customHeight="1" x14ac:dyDescent="0.3">
      <c r="A5149" s="903"/>
      <c r="B5149" s="903"/>
      <c r="C5149" s="903"/>
      <c r="D5149" s="903"/>
      <c r="E5149" s="903"/>
      <c r="F5149" s="517" t="s">
        <v>2471</v>
      </c>
      <c r="G5149" s="517" t="s">
        <v>2472</v>
      </c>
      <c r="H5149" s="517" t="s">
        <v>2471</v>
      </c>
      <c r="I5149" s="903"/>
      <c r="J5149"/>
    </row>
    <row r="5150" spans="1:10" ht="15" customHeight="1" x14ac:dyDescent="0.3">
      <c r="A5150" s="519" t="s">
        <v>2437</v>
      </c>
      <c r="B5150" s="520" t="s">
        <v>3226</v>
      </c>
      <c r="C5150" s="519" t="s">
        <v>125</v>
      </c>
      <c r="D5150" s="519" t="s">
        <v>3227</v>
      </c>
      <c r="E5150" s="522">
        <v>1</v>
      </c>
      <c r="F5150" s="523">
        <v>1</v>
      </c>
      <c r="G5150" s="523">
        <v>0</v>
      </c>
      <c r="H5150" s="524">
        <v>252.2268</v>
      </c>
      <c r="I5150" s="524">
        <v>252.2268</v>
      </c>
      <c r="J5150"/>
    </row>
    <row r="5151" spans="1:10" s="358" customFormat="1" ht="15" customHeight="1" x14ac:dyDescent="0.3">
      <c r="A5151" s="902"/>
      <c r="B5151" s="902"/>
      <c r="C5151" s="902"/>
      <c r="D5151" s="902"/>
      <c r="E5151" s="902"/>
      <c r="F5151" s="902" t="s">
        <v>2475</v>
      </c>
      <c r="G5151" s="902"/>
      <c r="H5151" s="902"/>
      <c r="I5151" s="525">
        <v>252.2268</v>
      </c>
      <c r="J5151"/>
    </row>
    <row r="5152" spans="1:10" ht="14.25" customHeight="1" x14ac:dyDescent="0.3">
      <c r="A5152" s="902"/>
      <c r="B5152" s="902"/>
      <c r="C5152" s="902"/>
      <c r="D5152" s="902"/>
      <c r="E5152" s="902"/>
      <c r="F5152" s="902" t="s">
        <v>2476</v>
      </c>
      <c r="G5152" s="902"/>
      <c r="H5152" s="902"/>
      <c r="I5152" s="525">
        <v>252.2268</v>
      </c>
      <c r="J5152"/>
    </row>
    <row r="5153" spans="1:10" s="358" customFormat="1" ht="15" customHeight="1" x14ac:dyDescent="0.3">
      <c r="A5153" s="902"/>
      <c r="B5153" s="902"/>
      <c r="C5153" s="902"/>
      <c r="D5153" s="902"/>
      <c r="E5153" s="902"/>
      <c r="F5153" s="902" t="s">
        <v>2477</v>
      </c>
      <c r="G5153" s="902"/>
      <c r="H5153" s="902"/>
      <c r="I5153" s="525">
        <v>2.24E-2</v>
      </c>
      <c r="J5153"/>
    </row>
    <row r="5154" spans="1:10" ht="15" customHeight="1" x14ac:dyDescent="0.3">
      <c r="A5154" s="902"/>
      <c r="B5154" s="902"/>
      <c r="C5154" s="902"/>
      <c r="D5154" s="902"/>
      <c r="E5154" s="902"/>
      <c r="F5154" s="902" t="s">
        <v>2478</v>
      </c>
      <c r="G5154" s="902"/>
      <c r="H5154" s="902"/>
      <c r="I5154" s="525">
        <v>2.2700000000000001E-2</v>
      </c>
      <c r="J5154"/>
    </row>
    <row r="5155" spans="1:10" ht="14.25" customHeight="1" x14ac:dyDescent="0.3">
      <c r="A5155" s="902"/>
      <c r="B5155" s="902"/>
      <c r="C5155" s="902"/>
      <c r="D5155" s="902"/>
      <c r="E5155" s="902"/>
      <c r="F5155" s="902" t="s">
        <v>2479</v>
      </c>
      <c r="G5155" s="902"/>
      <c r="H5155" s="902"/>
      <c r="I5155" s="525">
        <v>248.59</v>
      </c>
      <c r="J5155"/>
    </row>
    <row r="5156" spans="1:10" ht="15" customHeight="1" thickBot="1" x14ac:dyDescent="0.35">
      <c r="A5156" s="902"/>
      <c r="B5156" s="902"/>
      <c r="C5156" s="902"/>
      <c r="D5156" s="902"/>
      <c r="E5156" s="902"/>
      <c r="F5156" s="902" t="s">
        <v>2480</v>
      </c>
      <c r="G5156" s="902"/>
      <c r="H5156" s="902"/>
      <c r="I5156" s="525">
        <v>1.0145999999999999</v>
      </c>
      <c r="J5156"/>
    </row>
    <row r="5157" spans="1:10" ht="14.25" customHeight="1" thickTop="1" x14ac:dyDescent="0.3">
      <c r="A5157" s="647"/>
      <c r="B5157" s="647"/>
      <c r="C5157" s="647"/>
      <c r="D5157" s="647"/>
      <c r="E5157" s="647"/>
      <c r="F5157" s="647"/>
      <c r="G5157" s="647"/>
      <c r="H5157" s="647"/>
      <c r="I5157" s="647"/>
      <c r="J5157"/>
    </row>
    <row r="5158" spans="1:10" ht="14.25" customHeight="1" x14ac:dyDescent="0.3">
      <c r="A5158" s="516"/>
      <c r="B5158" s="517" t="s">
        <v>15</v>
      </c>
      <c r="C5158" s="516" t="s">
        <v>16</v>
      </c>
      <c r="D5158" s="516" t="s">
        <v>17</v>
      </c>
      <c r="E5158" s="904" t="s">
        <v>2431</v>
      </c>
      <c r="F5158" s="904"/>
      <c r="G5158" s="518" t="s">
        <v>18</v>
      </c>
      <c r="H5158" s="517" t="s">
        <v>19</v>
      </c>
      <c r="I5158" s="517" t="s">
        <v>20</v>
      </c>
      <c r="J5158" s="517" t="s">
        <v>23</v>
      </c>
    </row>
    <row r="5159" spans="1:10" ht="14.25" customHeight="1" x14ac:dyDescent="0.3">
      <c r="A5159" s="642" t="s">
        <v>2432</v>
      </c>
      <c r="B5159" s="643" t="s">
        <v>4104</v>
      </c>
      <c r="C5159" s="642" t="s">
        <v>125</v>
      </c>
      <c r="D5159" s="642" t="s">
        <v>4105</v>
      </c>
      <c r="E5159" s="906" t="s">
        <v>1328</v>
      </c>
      <c r="F5159" s="906"/>
      <c r="G5159" s="644" t="s">
        <v>2592</v>
      </c>
      <c r="H5159" s="645">
        <v>1</v>
      </c>
      <c r="I5159" s="646">
        <v>0.83</v>
      </c>
      <c r="J5159" s="646">
        <v>0.83</v>
      </c>
    </row>
    <row r="5160" spans="1:10" ht="15" customHeight="1" x14ac:dyDescent="0.3">
      <c r="A5160" s="904" t="s">
        <v>2418</v>
      </c>
      <c r="B5160" s="903" t="s">
        <v>15</v>
      </c>
      <c r="C5160" s="904" t="s">
        <v>16</v>
      </c>
      <c r="D5160" s="904" t="s">
        <v>2466</v>
      </c>
      <c r="E5160" s="903" t="s">
        <v>2467</v>
      </c>
      <c r="F5160" s="908" t="s">
        <v>2468</v>
      </c>
      <c r="G5160" s="903"/>
      <c r="H5160" s="518" t="s">
        <v>2469</v>
      </c>
      <c r="I5160" s="903" t="s">
        <v>2470</v>
      </c>
      <c r="J5160"/>
    </row>
    <row r="5161" spans="1:10" ht="14.25" customHeight="1" x14ac:dyDescent="0.3">
      <c r="A5161" s="903"/>
      <c r="B5161" s="903"/>
      <c r="C5161" s="903"/>
      <c r="D5161" s="903"/>
      <c r="E5161" s="903"/>
      <c r="F5161" s="517" t="s">
        <v>2471</v>
      </c>
      <c r="G5161" s="517" t="s">
        <v>2472</v>
      </c>
      <c r="H5161" s="517" t="s">
        <v>2471</v>
      </c>
      <c r="I5161" s="903"/>
      <c r="J5161"/>
    </row>
    <row r="5162" spans="1:10" ht="15" customHeight="1" x14ac:dyDescent="0.3">
      <c r="A5162" s="519" t="s">
        <v>2437</v>
      </c>
      <c r="B5162" s="520" t="s">
        <v>3226</v>
      </c>
      <c r="C5162" s="519" t="s">
        <v>125</v>
      </c>
      <c r="D5162" s="519" t="s">
        <v>3227</v>
      </c>
      <c r="E5162" s="522">
        <v>1</v>
      </c>
      <c r="F5162" s="523">
        <v>1</v>
      </c>
      <c r="G5162" s="523">
        <v>0</v>
      </c>
      <c r="H5162" s="524">
        <v>252.2268</v>
      </c>
      <c r="I5162" s="524">
        <v>252.2268</v>
      </c>
      <c r="J5162"/>
    </row>
    <row r="5163" spans="1:10" s="358" customFormat="1" ht="15" customHeight="1" x14ac:dyDescent="0.3">
      <c r="A5163" s="902"/>
      <c r="B5163" s="902"/>
      <c r="C5163" s="902"/>
      <c r="D5163" s="902"/>
      <c r="E5163" s="902"/>
      <c r="F5163" s="902" t="s">
        <v>2475</v>
      </c>
      <c r="G5163" s="902"/>
      <c r="H5163" s="902"/>
      <c r="I5163" s="525">
        <v>252.2268</v>
      </c>
      <c r="J5163"/>
    </row>
    <row r="5164" spans="1:10" ht="14.25" customHeight="1" x14ac:dyDescent="0.3">
      <c r="A5164" s="902"/>
      <c r="B5164" s="902"/>
      <c r="C5164" s="902"/>
      <c r="D5164" s="902"/>
      <c r="E5164" s="902"/>
      <c r="F5164" s="902" t="s">
        <v>2476</v>
      </c>
      <c r="G5164" s="902"/>
      <c r="H5164" s="902"/>
      <c r="I5164" s="525">
        <v>252.2268</v>
      </c>
      <c r="J5164"/>
    </row>
    <row r="5165" spans="1:10" s="358" customFormat="1" ht="15" customHeight="1" x14ac:dyDescent="0.3">
      <c r="A5165" s="902"/>
      <c r="B5165" s="902"/>
      <c r="C5165" s="902"/>
      <c r="D5165" s="902"/>
      <c r="E5165" s="902"/>
      <c r="F5165" s="902" t="s">
        <v>2477</v>
      </c>
      <c r="G5165" s="902"/>
      <c r="H5165" s="902"/>
      <c r="I5165" s="525">
        <v>2.24E-2</v>
      </c>
      <c r="J5165"/>
    </row>
    <row r="5166" spans="1:10" ht="15" customHeight="1" x14ac:dyDescent="0.3">
      <c r="A5166" s="902"/>
      <c r="B5166" s="902"/>
      <c r="C5166" s="902"/>
      <c r="D5166" s="902"/>
      <c r="E5166" s="902"/>
      <c r="F5166" s="902" t="s">
        <v>2478</v>
      </c>
      <c r="G5166" s="902"/>
      <c r="H5166" s="902"/>
      <c r="I5166" s="525">
        <v>1.8200000000000001E-2</v>
      </c>
      <c r="J5166"/>
    </row>
    <row r="5167" spans="1:10" ht="14.25" customHeight="1" x14ac:dyDescent="0.3">
      <c r="A5167" s="902"/>
      <c r="B5167" s="902"/>
      <c r="C5167" s="902"/>
      <c r="D5167" s="902"/>
      <c r="E5167" s="902"/>
      <c r="F5167" s="902" t="s">
        <v>2479</v>
      </c>
      <c r="G5167" s="902"/>
      <c r="H5167" s="902"/>
      <c r="I5167" s="525">
        <v>310.73</v>
      </c>
      <c r="J5167"/>
    </row>
    <row r="5168" spans="1:10" ht="15" customHeight="1" thickBot="1" x14ac:dyDescent="0.35">
      <c r="A5168" s="902"/>
      <c r="B5168" s="902"/>
      <c r="C5168" s="902"/>
      <c r="D5168" s="902"/>
      <c r="E5168" s="902"/>
      <c r="F5168" s="902" t="s">
        <v>2480</v>
      </c>
      <c r="G5168" s="902"/>
      <c r="H5168" s="902"/>
      <c r="I5168" s="525">
        <v>0.81169999999999998</v>
      </c>
      <c r="J5168"/>
    </row>
    <row r="5169" spans="1:10" ht="14.25" customHeight="1" thickTop="1" x14ac:dyDescent="0.3">
      <c r="A5169" s="647"/>
      <c r="B5169" s="647"/>
      <c r="C5169" s="647"/>
      <c r="D5169" s="647"/>
      <c r="E5169" s="647"/>
      <c r="F5169" s="647"/>
      <c r="G5169" s="647"/>
      <c r="H5169" s="647"/>
      <c r="I5169" s="647"/>
      <c r="J5169"/>
    </row>
    <row r="5170" spans="1:10" ht="14.25" customHeight="1" x14ac:dyDescent="0.3">
      <c r="A5170" s="516"/>
      <c r="B5170" s="517" t="s">
        <v>15</v>
      </c>
      <c r="C5170" s="516" t="s">
        <v>16</v>
      </c>
      <c r="D5170" s="516" t="s">
        <v>17</v>
      </c>
      <c r="E5170" s="904" t="s">
        <v>2431</v>
      </c>
      <c r="F5170" s="904"/>
      <c r="G5170" s="518" t="s">
        <v>18</v>
      </c>
      <c r="H5170" s="517" t="s">
        <v>19</v>
      </c>
      <c r="I5170" s="517" t="s">
        <v>20</v>
      </c>
      <c r="J5170" s="517" t="s">
        <v>23</v>
      </c>
    </row>
    <row r="5171" spans="1:10" ht="14.25" customHeight="1" x14ac:dyDescent="0.3">
      <c r="A5171" s="642" t="s">
        <v>2432</v>
      </c>
      <c r="B5171" s="643" t="s">
        <v>4106</v>
      </c>
      <c r="C5171" s="642" t="s">
        <v>125</v>
      </c>
      <c r="D5171" s="642" t="s">
        <v>4107</v>
      </c>
      <c r="E5171" s="906" t="s">
        <v>1328</v>
      </c>
      <c r="F5171" s="906"/>
      <c r="G5171" s="644" t="s">
        <v>2592</v>
      </c>
      <c r="H5171" s="645">
        <v>1</v>
      </c>
      <c r="I5171" s="646">
        <v>0.68</v>
      </c>
      <c r="J5171" s="646">
        <v>0.68</v>
      </c>
    </row>
    <row r="5172" spans="1:10" ht="15" customHeight="1" x14ac:dyDescent="0.3">
      <c r="A5172" s="904" t="s">
        <v>2418</v>
      </c>
      <c r="B5172" s="903" t="s">
        <v>15</v>
      </c>
      <c r="C5172" s="904" t="s">
        <v>16</v>
      </c>
      <c r="D5172" s="904" t="s">
        <v>2466</v>
      </c>
      <c r="E5172" s="903" t="s">
        <v>2467</v>
      </c>
      <c r="F5172" s="908" t="s">
        <v>2468</v>
      </c>
      <c r="G5172" s="903"/>
      <c r="H5172" s="518" t="s">
        <v>2469</v>
      </c>
      <c r="I5172" s="903" t="s">
        <v>2470</v>
      </c>
      <c r="J5172"/>
    </row>
    <row r="5173" spans="1:10" ht="14.25" customHeight="1" x14ac:dyDescent="0.3">
      <c r="A5173" s="903"/>
      <c r="B5173" s="903"/>
      <c r="C5173" s="903"/>
      <c r="D5173" s="903"/>
      <c r="E5173" s="903"/>
      <c r="F5173" s="517" t="s">
        <v>2471</v>
      </c>
      <c r="G5173" s="517" t="s">
        <v>2472</v>
      </c>
      <c r="H5173" s="517" t="s">
        <v>2471</v>
      </c>
      <c r="I5173" s="903"/>
      <c r="J5173"/>
    </row>
    <row r="5174" spans="1:10" ht="15" customHeight="1" x14ac:dyDescent="0.3">
      <c r="A5174" s="519" t="s">
        <v>2437</v>
      </c>
      <c r="B5174" s="520" t="s">
        <v>3226</v>
      </c>
      <c r="C5174" s="519" t="s">
        <v>125</v>
      </c>
      <c r="D5174" s="519" t="s">
        <v>3227</v>
      </c>
      <c r="E5174" s="522">
        <v>1</v>
      </c>
      <c r="F5174" s="523">
        <v>1</v>
      </c>
      <c r="G5174" s="523">
        <v>0</v>
      </c>
      <c r="H5174" s="524">
        <v>252.2268</v>
      </c>
      <c r="I5174" s="524">
        <v>252.2268</v>
      </c>
      <c r="J5174"/>
    </row>
    <row r="5175" spans="1:10" s="358" customFormat="1" ht="15" customHeight="1" x14ac:dyDescent="0.3">
      <c r="A5175" s="902"/>
      <c r="B5175" s="902"/>
      <c r="C5175" s="902"/>
      <c r="D5175" s="902"/>
      <c r="E5175" s="902"/>
      <c r="F5175" s="902" t="s">
        <v>2475</v>
      </c>
      <c r="G5175" s="902"/>
      <c r="H5175" s="902"/>
      <c r="I5175" s="525">
        <v>252.2268</v>
      </c>
      <c r="J5175"/>
    </row>
    <row r="5176" spans="1:10" ht="14.25" customHeight="1" x14ac:dyDescent="0.3">
      <c r="A5176" s="902"/>
      <c r="B5176" s="902"/>
      <c r="C5176" s="902"/>
      <c r="D5176" s="902"/>
      <c r="E5176" s="902"/>
      <c r="F5176" s="902" t="s">
        <v>2476</v>
      </c>
      <c r="G5176" s="902"/>
      <c r="H5176" s="902"/>
      <c r="I5176" s="525">
        <v>252.2268</v>
      </c>
      <c r="J5176"/>
    </row>
    <row r="5177" spans="1:10" s="358" customFormat="1" ht="15" customHeight="1" x14ac:dyDescent="0.3">
      <c r="A5177" s="902"/>
      <c r="B5177" s="902"/>
      <c r="C5177" s="902"/>
      <c r="D5177" s="902"/>
      <c r="E5177" s="902"/>
      <c r="F5177" s="902" t="s">
        <v>2477</v>
      </c>
      <c r="G5177" s="902"/>
      <c r="H5177" s="902"/>
      <c r="I5177" s="525">
        <v>0</v>
      </c>
      <c r="J5177"/>
    </row>
    <row r="5178" spans="1:10" ht="15" customHeight="1" x14ac:dyDescent="0.3">
      <c r="A5178" s="902"/>
      <c r="B5178" s="902"/>
      <c r="C5178" s="902"/>
      <c r="D5178" s="902"/>
      <c r="E5178" s="902"/>
      <c r="F5178" s="902" t="s">
        <v>2478</v>
      </c>
      <c r="G5178" s="902"/>
      <c r="H5178" s="902"/>
      <c r="I5178" s="525">
        <v>0</v>
      </c>
      <c r="J5178"/>
    </row>
    <row r="5179" spans="1:10" ht="14.25" customHeight="1" x14ac:dyDescent="0.3">
      <c r="A5179" s="902"/>
      <c r="B5179" s="902"/>
      <c r="C5179" s="902"/>
      <c r="D5179" s="902"/>
      <c r="E5179" s="902"/>
      <c r="F5179" s="902" t="s">
        <v>2479</v>
      </c>
      <c r="G5179" s="902"/>
      <c r="H5179" s="902"/>
      <c r="I5179" s="525">
        <v>372.88</v>
      </c>
      <c r="J5179"/>
    </row>
    <row r="5180" spans="1:10" ht="15" customHeight="1" thickBot="1" x14ac:dyDescent="0.35">
      <c r="A5180" s="902"/>
      <c r="B5180" s="902"/>
      <c r="C5180" s="902"/>
      <c r="D5180" s="902"/>
      <c r="E5180" s="902"/>
      <c r="F5180" s="902" t="s">
        <v>2480</v>
      </c>
      <c r="G5180" s="902"/>
      <c r="H5180" s="902"/>
      <c r="I5180" s="525">
        <v>0.6764</v>
      </c>
      <c r="J5180"/>
    </row>
    <row r="5181" spans="1:10" ht="14.25" customHeight="1" thickTop="1" x14ac:dyDescent="0.3">
      <c r="A5181" s="647"/>
      <c r="B5181" s="647"/>
      <c r="C5181" s="647"/>
      <c r="D5181" s="647"/>
      <c r="E5181" s="647"/>
      <c r="F5181" s="647"/>
      <c r="G5181" s="647"/>
      <c r="H5181" s="647"/>
      <c r="I5181" s="647"/>
      <c r="J5181"/>
    </row>
    <row r="5182" spans="1:10" ht="14.25" customHeight="1" x14ac:dyDescent="0.3">
      <c r="A5182" s="516"/>
      <c r="B5182" s="517" t="s">
        <v>15</v>
      </c>
      <c r="C5182" s="516" t="s">
        <v>16</v>
      </c>
      <c r="D5182" s="516" t="s">
        <v>17</v>
      </c>
      <c r="E5182" s="904" t="s">
        <v>2431</v>
      </c>
      <c r="F5182" s="904"/>
      <c r="G5182" s="518" t="s">
        <v>18</v>
      </c>
      <c r="H5182" s="517" t="s">
        <v>19</v>
      </c>
      <c r="I5182" s="517" t="s">
        <v>20</v>
      </c>
      <c r="J5182" s="517" t="s">
        <v>23</v>
      </c>
    </row>
    <row r="5183" spans="1:10" ht="14.25" customHeight="1" x14ac:dyDescent="0.3">
      <c r="A5183" s="642" t="s">
        <v>2432</v>
      </c>
      <c r="B5183" s="643" t="s">
        <v>3452</v>
      </c>
      <c r="C5183" s="642" t="s">
        <v>32</v>
      </c>
      <c r="D5183" s="642" t="s">
        <v>3453</v>
      </c>
      <c r="E5183" s="906" t="s">
        <v>2433</v>
      </c>
      <c r="F5183" s="906"/>
      <c r="G5183" s="644" t="s">
        <v>1901</v>
      </c>
      <c r="H5183" s="645">
        <v>1</v>
      </c>
      <c r="I5183" s="646">
        <v>53.64</v>
      </c>
      <c r="J5183" s="646">
        <v>53.64</v>
      </c>
    </row>
    <row r="5184" spans="1:10" ht="25" x14ac:dyDescent="0.3">
      <c r="A5184" s="519" t="s">
        <v>2434</v>
      </c>
      <c r="B5184" s="520" t="s">
        <v>3595</v>
      </c>
      <c r="C5184" s="519" t="s">
        <v>32</v>
      </c>
      <c r="D5184" s="519" t="s">
        <v>3596</v>
      </c>
      <c r="E5184" s="905" t="s">
        <v>2433</v>
      </c>
      <c r="F5184" s="905"/>
      <c r="G5184" s="521" t="s">
        <v>1901</v>
      </c>
      <c r="H5184" s="522">
        <v>1</v>
      </c>
      <c r="I5184" s="523">
        <v>0.48</v>
      </c>
      <c r="J5184" s="523">
        <v>0.48</v>
      </c>
    </row>
    <row r="5185" spans="1:10" ht="14.25" customHeight="1" x14ac:dyDescent="0.3">
      <c r="A5185" s="519" t="s">
        <v>2437</v>
      </c>
      <c r="B5185" s="520" t="s">
        <v>3597</v>
      </c>
      <c r="C5185" s="519" t="s">
        <v>32</v>
      </c>
      <c r="D5185" s="519" t="s">
        <v>3598</v>
      </c>
      <c r="E5185" s="905" t="s">
        <v>2440</v>
      </c>
      <c r="F5185" s="905"/>
      <c r="G5185" s="521" t="s">
        <v>1901</v>
      </c>
      <c r="H5185" s="522">
        <v>1</v>
      </c>
      <c r="I5185" s="523">
        <v>50.93</v>
      </c>
      <c r="J5185" s="523">
        <v>50.93</v>
      </c>
    </row>
    <row r="5186" spans="1:10" ht="15" customHeight="1" x14ac:dyDescent="0.3">
      <c r="A5186" s="519" t="s">
        <v>2437</v>
      </c>
      <c r="B5186" s="520" t="s">
        <v>3260</v>
      </c>
      <c r="C5186" s="519" t="s">
        <v>32</v>
      </c>
      <c r="D5186" s="519" t="s">
        <v>4308</v>
      </c>
      <c r="E5186" s="905" t="s">
        <v>2856</v>
      </c>
      <c r="F5186" s="905"/>
      <c r="G5186" s="521" t="s">
        <v>1901</v>
      </c>
      <c r="H5186" s="522">
        <v>1</v>
      </c>
      <c r="I5186" s="523">
        <v>1.34</v>
      </c>
      <c r="J5186" s="523">
        <v>1.34</v>
      </c>
    </row>
    <row r="5187" spans="1:10" s="358" customFormat="1" ht="25" x14ac:dyDescent="0.3">
      <c r="A5187" s="519" t="s">
        <v>2437</v>
      </c>
      <c r="B5187" s="520" t="s">
        <v>3261</v>
      </c>
      <c r="C5187" s="519" t="s">
        <v>32</v>
      </c>
      <c r="D5187" s="519" t="s">
        <v>4309</v>
      </c>
      <c r="E5187" s="905" t="s">
        <v>2535</v>
      </c>
      <c r="F5187" s="905"/>
      <c r="G5187" s="521" t="s">
        <v>1901</v>
      </c>
      <c r="H5187" s="522">
        <v>1</v>
      </c>
      <c r="I5187" s="523">
        <v>0.04</v>
      </c>
      <c r="J5187" s="523">
        <v>0.04</v>
      </c>
    </row>
    <row r="5188" spans="1:10" ht="25" x14ac:dyDescent="0.3">
      <c r="A5188" s="519" t="s">
        <v>2437</v>
      </c>
      <c r="B5188" s="520" t="s">
        <v>4108</v>
      </c>
      <c r="C5188" s="519" t="s">
        <v>32</v>
      </c>
      <c r="D5188" s="519" t="s">
        <v>4109</v>
      </c>
      <c r="E5188" s="905" t="s">
        <v>2442</v>
      </c>
      <c r="F5188" s="905"/>
      <c r="G5188" s="521" t="s">
        <v>1901</v>
      </c>
      <c r="H5188" s="522">
        <v>1</v>
      </c>
      <c r="I5188" s="523">
        <v>0.06</v>
      </c>
      <c r="J5188" s="523">
        <v>0.06</v>
      </c>
    </row>
    <row r="5189" spans="1:10" s="358" customFormat="1" ht="25.5" thickBot="1" x14ac:dyDescent="0.35">
      <c r="A5189" s="519" t="s">
        <v>2437</v>
      </c>
      <c r="B5189" s="520" t="s">
        <v>4110</v>
      </c>
      <c r="C5189" s="519" t="s">
        <v>32</v>
      </c>
      <c r="D5189" s="519" t="s">
        <v>4111</v>
      </c>
      <c r="E5189" s="905" t="s">
        <v>2442</v>
      </c>
      <c r="F5189" s="905"/>
      <c r="G5189" s="521" t="s">
        <v>1901</v>
      </c>
      <c r="H5189" s="522">
        <v>1</v>
      </c>
      <c r="I5189" s="523">
        <v>0.79</v>
      </c>
      <c r="J5189" s="523">
        <v>0.79</v>
      </c>
    </row>
    <row r="5190" spans="1:10" ht="15" customHeight="1" thickTop="1" x14ac:dyDescent="0.3">
      <c r="A5190" s="647"/>
      <c r="B5190" s="647"/>
      <c r="C5190" s="647"/>
      <c r="D5190" s="647"/>
      <c r="E5190" s="647"/>
      <c r="F5190" s="647"/>
      <c r="G5190" s="647"/>
      <c r="H5190" s="647"/>
      <c r="I5190" s="647"/>
      <c r="J5190"/>
    </row>
    <row r="5191" spans="1:10" x14ac:dyDescent="0.3">
      <c r="A5191" s="516"/>
      <c r="B5191" s="517" t="s">
        <v>15</v>
      </c>
      <c r="C5191" s="516" t="s">
        <v>16</v>
      </c>
      <c r="D5191" s="516" t="s">
        <v>17</v>
      </c>
      <c r="E5191" s="904" t="s">
        <v>2431</v>
      </c>
      <c r="F5191" s="904"/>
      <c r="G5191" s="518" t="s">
        <v>18</v>
      </c>
      <c r="H5191" s="517" t="s">
        <v>19</v>
      </c>
      <c r="I5191" s="517" t="s">
        <v>20</v>
      </c>
      <c r="J5191" s="517" t="s">
        <v>23</v>
      </c>
    </row>
    <row r="5192" spans="1:10" ht="37.5" x14ac:dyDescent="0.3">
      <c r="A5192" s="642" t="s">
        <v>2432</v>
      </c>
      <c r="B5192" s="643" t="s">
        <v>2741</v>
      </c>
      <c r="C5192" s="642" t="s">
        <v>32</v>
      </c>
      <c r="D5192" s="642" t="s">
        <v>2742</v>
      </c>
      <c r="E5192" s="906" t="s">
        <v>2667</v>
      </c>
      <c r="F5192" s="906"/>
      <c r="G5192" s="644" t="s">
        <v>89</v>
      </c>
      <c r="H5192" s="645">
        <v>1</v>
      </c>
      <c r="I5192" s="646">
        <v>7.14</v>
      </c>
      <c r="J5192" s="646">
        <v>7.14</v>
      </c>
    </row>
    <row r="5193" spans="1:10" ht="14.25" customHeight="1" x14ac:dyDescent="0.3">
      <c r="A5193" s="519" t="s">
        <v>2434</v>
      </c>
      <c r="B5193" s="520" t="s">
        <v>3239</v>
      </c>
      <c r="C5193" s="519" t="s">
        <v>32</v>
      </c>
      <c r="D5193" s="519" t="s">
        <v>3240</v>
      </c>
      <c r="E5193" s="905" t="s">
        <v>2433</v>
      </c>
      <c r="F5193" s="905"/>
      <c r="G5193" s="521" t="s">
        <v>1901</v>
      </c>
      <c r="H5193" s="522">
        <v>7.6700000000000004E-2</v>
      </c>
      <c r="I5193" s="523">
        <v>23.63</v>
      </c>
      <c r="J5193" s="523">
        <v>1.81</v>
      </c>
    </row>
    <row r="5194" spans="1:10" ht="14.25" customHeight="1" x14ac:dyDescent="0.3">
      <c r="A5194" s="519" t="s">
        <v>2434</v>
      </c>
      <c r="B5194" s="520" t="s">
        <v>2786</v>
      </c>
      <c r="C5194" s="519" t="s">
        <v>32</v>
      </c>
      <c r="D5194" s="519" t="s">
        <v>2787</v>
      </c>
      <c r="E5194" s="905" t="s">
        <v>2433</v>
      </c>
      <c r="F5194" s="905"/>
      <c r="G5194" s="521" t="s">
        <v>1901</v>
      </c>
      <c r="H5194" s="522">
        <v>7.6700000000000004E-2</v>
      </c>
      <c r="I5194" s="523">
        <v>30.33</v>
      </c>
      <c r="J5194" s="523">
        <v>2.3199999999999998</v>
      </c>
    </row>
    <row r="5195" spans="1:10" ht="14.25" customHeight="1" x14ac:dyDescent="0.3">
      <c r="A5195" s="519" t="s">
        <v>2437</v>
      </c>
      <c r="B5195" s="520" t="s">
        <v>3251</v>
      </c>
      <c r="C5195" s="519" t="s">
        <v>32</v>
      </c>
      <c r="D5195" s="519" t="s">
        <v>3252</v>
      </c>
      <c r="E5195" s="905" t="s">
        <v>2442</v>
      </c>
      <c r="F5195" s="905"/>
      <c r="G5195" s="521" t="s">
        <v>89</v>
      </c>
      <c r="H5195" s="522">
        <v>1.06E-2</v>
      </c>
      <c r="I5195" s="523">
        <v>72.09</v>
      </c>
      <c r="J5195" s="523">
        <v>0.76</v>
      </c>
    </row>
    <row r="5196" spans="1:10" ht="25" x14ac:dyDescent="0.3">
      <c r="A5196" s="519" t="s">
        <v>2437</v>
      </c>
      <c r="B5196" s="520" t="s">
        <v>4112</v>
      </c>
      <c r="C5196" s="519" t="s">
        <v>32</v>
      </c>
      <c r="D5196" s="519" t="s">
        <v>4113</v>
      </c>
      <c r="E5196" s="905" t="s">
        <v>2442</v>
      </c>
      <c r="F5196" s="905"/>
      <c r="G5196" s="521" t="s">
        <v>89</v>
      </c>
      <c r="H5196" s="522">
        <v>1</v>
      </c>
      <c r="I5196" s="523">
        <v>1.25</v>
      </c>
      <c r="J5196" s="523">
        <v>1.25</v>
      </c>
    </row>
    <row r="5197" spans="1:10" ht="14.25" customHeight="1" x14ac:dyDescent="0.3">
      <c r="A5197" s="519" t="s">
        <v>2437</v>
      </c>
      <c r="B5197" s="520" t="s">
        <v>3243</v>
      </c>
      <c r="C5197" s="519" t="s">
        <v>32</v>
      </c>
      <c r="D5197" s="519" t="s">
        <v>3244</v>
      </c>
      <c r="E5197" s="905" t="s">
        <v>2442</v>
      </c>
      <c r="F5197" s="905"/>
      <c r="G5197" s="521" t="s">
        <v>89</v>
      </c>
      <c r="H5197" s="522">
        <v>1.2E-2</v>
      </c>
      <c r="I5197" s="523">
        <v>81.680000000000007</v>
      </c>
      <c r="J5197" s="523">
        <v>0.98</v>
      </c>
    </row>
    <row r="5198" spans="1:10" ht="15" customHeight="1" thickBot="1" x14ac:dyDescent="0.35">
      <c r="A5198" s="519" t="s">
        <v>2437</v>
      </c>
      <c r="B5198" s="520" t="s">
        <v>3245</v>
      </c>
      <c r="C5198" s="519" t="s">
        <v>32</v>
      </c>
      <c r="D5198" s="519" t="s">
        <v>3246</v>
      </c>
      <c r="E5198" s="905" t="s">
        <v>2442</v>
      </c>
      <c r="F5198" s="905"/>
      <c r="G5198" s="521" t="s">
        <v>89</v>
      </c>
      <c r="H5198" s="522">
        <v>9.5999999999999992E-3</v>
      </c>
      <c r="I5198" s="523">
        <v>2.38</v>
      </c>
      <c r="J5198" s="523">
        <v>0.02</v>
      </c>
    </row>
    <row r="5199" spans="1:10" s="358" customFormat="1" ht="14.5" thickTop="1" x14ac:dyDescent="0.3">
      <c r="A5199" s="647"/>
      <c r="B5199" s="647"/>
      <c r="C5199" s="647"/>
      <c r="D5199" s="647"/>
      <c r="E5199" s="647"/>
      <c r="F5199" s="647"/>
      <c r="G5199" s="647"/>
      <c r="H5199" s="647"/>
      <c r="I5199" s="647"/>
      <c r="J5199"/>
    </row>
    <row r="5200" spans="1:10" x14ac:dyDescent="0.3">
      <c r="A5200" s="516"/>
      <c r="B5200" s="517" t="s">
        <v>15</v>
      </c>
      <c r="C5200" s="516" t="s">
        <v>16</v>
      </c>
      <c r="D5200" s="516" t="s">
        <v>17</v>
      </c>
      <c r="E5200" s="904" t="s">
        <v>2431</v>
      </c>
      <c r="F5200" s="904"/>
      <c r="G5200" s="518" t="s">
        <v>18</v>
      </c>
      <c r="H5200" s="517" t="s">
        <v>19</v>
      </c>
      <c r="I5200" s="517" t="s">
        <v>20</v>
      </c>
      <c r="J5200" s="517" t="s">
        <v>23</v>
      </c>
    </row>
    <row r="5201" spans="1:10" s="358" customFormat="1" ht="25.5" customHeight="1" x14ac:dyDescent="0.3">
      <c r="A5201" s="642" t="s">
        <v>2432</v>
      </c>
      <c r="B5201" s="643" t="s">
        <v>3002</v>
      </c>
      <c r="C5201" s="642" t="s">
        <v>32</v>
      </c>
      <c r="D5201" s="642" t="s">
        <v>3003</v>
      </c>
      <c r="E5201" s="906" t="s">
        <v>2465</v>
      </c>
      <c r="F5201" s="906"/>
      <c r="G5201" s="644" t="s">
        <v>110</v>
      </c>
      <c r="H5201" s="645">
        <v>1</v>
      </c>
      <c r="I5201" s="646">
        <v>292.55</v>
      </c>
      <c r="J5201" s="646">
        <v>292.55</v>
      </c>
    </row>
    <row r="5202" spans="1:10" ht="15" customHeight="1" x14ac:dyDescent="0.3">
      <c r="A5202" s="519" t="s">
        <v>2434</v>
      </c>
      <c r="B5202" s="520" t="s">
        <v>4114</v>
      </c>
      <c r="C5202" s="519" t="s">
        <v>32</v>
      </c>
      <c r="D5202" s="519" t="s">
        <v>4115</v>
      </c>
      <c r="E5202" s="905" t="s">
        <v>2465</v>
      </c>
      <c r="F5202" s="905"/>
      <c r="G5202" s="521" t="s">
        <v>1901</v>
      </c>
      <c r="H5202" s="522">
        <v>1</v>
      </c>
      <c r="I5202" s="523">
        <v>193.24</v>
      </c>
      <c r="J5202" s="523">
        <v>193.24</v>
      </c>
    </row>
    <row r="5203" spans="1:10" ht="25.5" customHeight="1" x14ac:dyDescent="0.3">
      <c r="A5203" s="519" t="s">
        <v>2434</v>
      </c>
      <c r="B5203" s="520" t="s">
        <v>4116</v>
      </c>
      <c r="C5203" s="519" t="s">
        <v>32</v>
      </c>
      <c r="D5203" s="519" t="s">
        <v>4117</v>
      </c>
      <c r="E5203" s="905" t="s">
        <v>2465</v>
      </c>
      <c r="F5203" s="905"/>
      <c r="G5203" s="521" t="s">
        <v>1901</v>
      </c>
      <c r="H5203" s="522">
        <v>1</v>
      </c>
      <c r="I5203" s="523">
        <v>59.4</v>
      </c>
      <c r="J5203" s="523">
        <v>59.4</v>
      </c>
    </row>
    <row r="5204" spans="1:10" ht="25.5" thickBot="1" x14ac:dyDescent="0.35">
      <c r="A5204" s="519" t="s">
        <v>2434</v>
      </c>
      <c r="B5204" s="520" t="s">
        <v>3825</v>
      </c>
      <c r="C5204" s="519" t="s">
        <v>32</v>
      </c>
      <c r="D5204" s="519" t="s">
        <v>3826</v>
      </c>
      <c r="E5204" s="905" t="s">
        <v>2433</v>
      </c>
      <c r="F5204" s="905"/>
      <c r="G5204" s="521" t="s">
        <v>1901</v>
      </c>
      <c r="H5204" s="522">
        <v>1</v>
      </c>
      <c r="I5204" s="523">
        <v>39.909999999999997</v>
      </c>
      <c r="J5204" s="523">
        <v>39.909999999999997</v>
      </c>
    </row>
    <row r="5205" spans="1:10" ht="14.25" customHeight="1" thickTop="1" x14ac:dyDescent="0.3">
      <c r="A5205" s="647"/>
      <c r="B5205" s="647"/>
      <c r="C5205" s="647"/>
      <c r="D5205" s="647"/>
      <c r="E5205" s="647"/>
      <c r="F5205" s="647"/>
      <c r="G5205" s="647"/>
      <c r="H5205" s="647"/>
      <c r="I5205" s="647"/>
      <c r="J5205"/>
    </row>
    <row r="5206" spans="1:10" ht="14.25" customHeight="1" x14ac:dyDescent="0.3">
      <c r="A5206" s="516"/>
      <c r="B5206" s="517" t="s">
        <v>15</v>
      </c>
      <c r="C5206" s="516" t="s">
        <v>16</v>
      </c>
      <c r="D5206" s="516" t="s">
        <v>17</v>
      </c>
      <c r="E5206" s="904" t="s">
        <v>2431</v>
      </c>
      <c r="F5206" s="904"/>
      <c r="G5206" s="518" t="s">
        <v>18</v>
      </c>
      <c r="H5206" s="517" t="s">
        <v>19</v>
      </c>
      <c r="I5206" s="517" t="s">
        <v>20</v>
      </c>
      <c r="J5206" s="517" t="s">
        <v>23</v>
      </c>
    </row>
    <row r="5207" spans="1:10" ht="14.25" customHeight="1" x14ac:dyDescent="0.3">
      <c r="A5207" s="642" t="s">
        <v>2432</v>
      </c>
      <c r="B5207" s="643" t="s">
        <v>3000</v>
      </c>
      <c r="C5207" s="642" t="s">
        <v>32</v>
      </c>
      <c r="D5207" s="642" t="s">
        <v>3001</v>
      </c>
      <c r="E5207" s="906" t="s">
        <v>2465</v>
      </c>
      <c r="F5207" s="906"/>
      <c r="G5207" s="644" t="s">
        <v>103</v>
      </c>
      <c r="H5207" s="645">
        <v>1</v>
      </c>
      <c r="I5207" s="646">
        <v>4427.25</v>
      </c>
      <c r="J5207" s="646">
        <v>4427.25</v>
      </c>
    </row>
    <row r="5208" spans="1:10" ht="25.5" customHeight="1" x14ac:dyDescent="0.3">
      <c r="A5208" s="519" t="s">
        <v>2434</v>
      </c>
      <c r="B5208" s="520" t="s">
        <v>4114</v>
      </c>
      <c r="C5208" s="519" t="s">
        <v>32</v>
      </c>
      <c r="D5208" s="519" t="s">
        <v>4115</v>
      </c>
      <c r="E5208" s="905" t="s">
        <v>2465</v>
      </c>
      <c r="F5208" s="905"/>
      <c r="G5208" s="521" t="s">
        <v>1901</v>
      </c>
      <c r="H5208" s="522">
        <v>1</v>
      </c>
      <c r="I5208" s="523">
        <v>193.24</v>
      </c>
      <c r="J5208" s="523">
        <v>193.24</v>
      </c>
    </row>
    <row r="5209" spans="1:10" ht="14.25" customHeight="1" x14ac:dyDescent="0.3">
      <c r="A5209" s="519" t="s">
        <v>2434</v>
      </c>
      <c r="B5209" s="520" t="s">
        <v>4116</v>
      </c>
      <c r="C5209" s="519" t="s">
        <v>32</v>
      </c>
      <c r="D5209" s="519" t="s">
        <v>4117</v>
      </c>
      <c r="E5209" s="905" t="s">
        <v>2465</v>
      </c>
      <c r="F5209" s="905"/>
      <c r="G5209" s="521" t="s">
        <v>1901</v>
      </c>
      <c r="H5209" s="522">
        <v>1</v>
      </c>
      <c r="I5209" s="523">
        <v>59.4</v>
      </c>
      <c r="J5209" s="523">
        <v>59.4</v>
      </c>
    </row>
    <row r="5210" spans="1:10" ht="15" customHeight="1" x14ac:dyDescent="0.3">
      <c r="A5210" s="519" t="s">
        <v>2434</v>
      </c>
      <c r="B5210" s="520" t="s">
        <v>4118</v>
      </c>
      <c r="C5210" s="519" t="s">
        <v>32</v>
      </c>
      <c r="D5210" s="519" t="s">
        <v>4119</v>
      </c>
      <c r="E5210" s="905" t="s">
        <v>2465</v>
      </c>
      <c r="F5210" s="905"/>
      <c r="G5210" s="521" t="s">
        <v>1901</v>
      </c>
      <c r="H5210" s="522">
        <v>1</v>
      </c>
      <c r="I5210" s="523">
        <v>241.74</v>
      </c>
      <c r="J5210" s="523">
        <v>241.74</v>
      </c>
    </row>
    <row r="5211" spans="1:10" s="358" customFormat="1" ht="25.5" customHeight="1" x14ac:dyDescent="0.3">
      <c r="A5211" s="519" t="s">
        <v>2434</v>
      </c>
      <c r="B5211" s="520" t="s">
        <v>4120</v>
      </c>
      <c r="C5211" s="519" t="s">
        <v>32</v>
      </c>
      <c r="D5211" s="519" t="s">
        <v>4121</v>
      </c>
      <c r="E5211" s="905" t="s">
        <v>2465</v>
      </c>
      <c r="F5211" s="905"/>
      <c r="G5211" s="521" t="s">
        <v>1901</v>
      </c>
      <c r="H5211" s="522">
        <v>1</v>
      </c>
      <c r="I5211" s="523">
        <v>3892.96</v>
      </c>
      <c r="J5211" s="523">
        <v>3892.96</v>
      </c>
    </row>
    <row r="5212" spans="1:10" ht="25.5" thickBot="1" x14ac:dyDescent="0.35">
      <c r="A5212" s="519" t="s">
        <v>2434</v>
      </c>
      <c r="B5212" s="520" t="s">
        <v>3825</v>
      </c>
      <c r="C5212" s="519" t="s">
        <v>32</v>
      </c>
      <c r="D5212" s="519" t="s">
        <v>3826</v>
      </c>
      <c r="E5212" s="905" t="s">
        <v>2433</v>
      </c>
      <c r="F5212" s="905"/>
      <c r="G5212" s="521" t="s">
        <v>1901</v>
      </c>
      <c r="H5212" s="522">
        <v>1</v>
      </c>
      <c r="I5212" s="523">
        <v>39.909999999999997</v>
      </c>
      <c r="J5212" s="523">
        <v>39.909999999999997</v>
      </c>
    </row>
    <row r="5213" spans="1:10" s="358" customFormat="1" ht="14.5" thickTop="1" x14ac:dyDescent="0.3">
      <c r="A5213" s="647"/>
      <c r="B5213" s="647"/>
      <c r="C5213" s="647"/>
      <c r="D5213" s="647"/>
      <c r="E5213" s="647"/>
      <c r="F5213" s="647"/>
      <c r="G5213" s="647"/>
      <c r="H5213" s="647"/>
      <c r="I5213" s="647"/>
      <c r="J5213"/>
    </row>
    <row r="5214" spans="1:10" ht="15" customHeight="1" x14ac:dyDescent="0.3">
      <c r="A5214" s="516"/>
      <c r="B5214" s="517" t="s">
        <v>15</v>
      </c>
      <c r="C5214" s="516" t="s">
        <v>16</v>
      </c>
      <c r="D5214" s="516" t="s">
        <v>17</v>
      </c>
      <c r="E5214" s="904" t="s">
        <v>2431</v>
      </c>
      <c r="F5214" s="904"/>
      <c r="G5214" s="518" t="s">
        <v>18</v>
      </c>
      <c r="H5214" s="517" t="s">
        <v>19</v>
      </c>
      <c r="I5214" s="517" t="s">
        <v>20</v>
      </c>
      <c r="J5214" s="517" t="s">
        <v>23</v>
      </c>
    </row>
    <row r="5215" spans="1:10" ht="25.5" customHeight="1" x14ac:dyDescent="0.3">
      <c r="A5215" s="642" t="s">
        <v>2432</v>
      </c>
      <c r="B5215" s="643" t="s">
        <v>4114</v>
      </c>
      <c r="C5215" s="642" t="s">
        <v>32</v>
      </c>
      <c r="D5215" s="642" t="s">
        <v>4115</v>
      </c>
      <c r="E5215" s="906" t="s">
        <v>2465</v>
      </c>
      <c r="F5215" s="906"/>
      <c r="G5215" s="644" t="s">
        <v>1901</v>
      </c>
      <c r="H5215" s="645">
        <v>1</v>
      </c>
      <c r="I5215" s="646">
        <v>193.24</v>
      </c>
      <c r="J5215" s="646">
        <v>193.24</v>
      </c>
    </row>
    <row r="5216" spans="1:10" ht="38" thickBot="1" x14ac:dyDescent="0.35">
      <c r="A5216" s="519" t="s">
        <v>2437</v>
      </c>
      <c r="B5216" s="520" t="s">
        <v>4122</v>
      </c>
      <c r="C5216" s="519" t="s">
        <v>32</v>
      </c>
      <c r="D5216" s="519" t="s">
        <v>4123</v>
      </c>
      <c r="E5216" s="905" t="s">
        <v>2442</v>
      </c>
      <c r="F5216" s="905"/>
      <c r="G5216" s="521" t="s">
        <v>89</v>
      </c>
      <c r="H5216" s="522">
        <v>5.1400000000000003E-5</v>
      </c>
      <c r="I5216" s="523">
        <v>3759679.2</v>
      </c>
      <c r="J5216" s="523">
        <v>193.24</v>
      </c>
    </row>
    <row r="5217" spans="1:10" ht="14.25" customHeight="1" thickTop="1" x14ac:dyDescent="0.3">
      <c r="A5217" s="647"/>
      <c r="B5217" s="647"/>
      <c r="C5217" s="647"/>
      <c r="D5217" s="647"/>
      <c r="E5217" s="647"/>
      <c r="F5217" s="647"/>
      <c r="G5217" s="647"/>
      <c r="H5217" s="647"/>
      <c r="I5217" s="647"/>
      <c r="J5217"/>
    </row>
    <row r="5218" spans="1:10" ht="14.25" customHeight="1" x14ac:dyDescent="0.3">
      <c r="A5218" s="516"/>
      <c r="B5218" s="517" t="s">
        <v>15</v>
      </c>
      <c r="C5218" s="516" t="s">
        <v>16</v>
      </c>
      <c r="D5218" s="516" t="s">
        <v>17</v>
      </c>
      <c r="E5218" s="904" t="s">
        <v>2431</v>
      </c>
      <c r="F5218" s="904"/>
      <c r="G5218" s="518" t="s">
        <v>18</v>
      </c>
      <c r="H5218" s="517" t="s">
        <v>19</v>
      </c>
      <c r="I5218" s="517" t="s">
        <v>20</v>
      </c>
      <c r="J5218" s="517" t="s">
        <v>23</v>
      </c>
    </row>
    <row r="5219" spans="1:10" ht="14.25" customHeight="1" x14ac:dyDescent="0.3">
      <c r="A5219" s="642" t="s">
        <v>2432</v>
      </c>
      <c r="B5219" s="643" t="s">
        <v>4116</v>
      </c>
      <c r="C5219" s="642" t="s">
        <v>32</v>
      </c>
      <c r="D5219" s="642" t="s">
        <v>4117</v>
      </c>
      <c r="E5219" s="906" t="s">
        <v>2465</v>
      </c>
      <c r="F5219" s="906"/>
      <c r="G5219" s="644" t="s">
        <v>1901</v>
      </c>
      <c r="H5219" s="645">
        <v>1</v>
      </c>
      <c r="I5219" s="646">
        <v>59.4</v>
      </c>
      <c r="J5219" s="646">
        <v>59.4</v>
      </c>
    </row>
    <row r="5220" spans="1:10" ht="38" thickBot="1" x14ac:dyDescent="0.35">
      <c r="A5220" s="519" t="s">
        <v>2437</v>
      </c>
      <c r="B5220" s="520" t="s">
        <v>4122</v>
      </c>
      <c r="C5220" s="519" t="s">
        <v>32</v>
      </c>
      <c r="D5220" s="519" t="s">
        <v>4123</v>
      </c>
      <c r="E5220" s="905" t="s">
        <v>2442</v>
      </c>
      <c r="F5220" s="905"/>
      <c r="G5220" s="521" t="s">
        <v>89</v>
      </c>
      <c r="H5220" s="522">
        <v>1.5800000000000001E-5</v>
      </c>
      <c r="I5220" s="523">
        <v>3759679.2</v>
      </c>
      <c r="J5220" s="523">
        <v>59.4</v>
      </c>
    </row>
    <row r="5221" spans="1:10" ht="14.25" customHeight="1" thickTop="1" x14ac:dyDescent="0.3">
      <c r="A5221" s="647"/>
      <c r="B5221" s="647"/>
      <c r="C5221" s="647"/>
      <c r="D5221" s="647"/>
      <c r="E5221" s="647"/>
      <c r="F5221" s="647"/>
      <c r="G5221" s="647"/>
      <c r="H5221" s="647"/>
      <c r="I5221" s="647"/>
      <c r="J5221"/>
    </row>
    <row r="5222" spans="1:10" ht="15" customHeight="1" x14ac:dyDescent="0.3">
      <c r="A5222" s="516"/>
      <c r="B5222" s="517" t="s">
        <v>15</v>
      </c>
      <c r="C5222" s="516" t="s">
        <v>16</v>
      </c>
      <c r="D5222" s="516" t="s">
        <v>17</v>
      </c>
      <c r="E5222" s="904" t="s">
        <v>2431</v>
      </c>
      <c r="F5222" s="904"/>
      <c r="G5222" s="518" t="s">
        <v>18</v>
      </c>
      <c r="H5222" s="517" t="s">
        <v>19</v>
      </c>
      <c r="I5222" s="517" t="s">
        <v>20</v>
      </c>
      <c r="J5222" s="517" t="s">
        <v>23</v>
      </c>
    </row>
    <row r="5223" spans="1:10" s="358" customFormat="1" ht="25.5" customHeight="1" x14ac:dyDescent="0.3">
      <c r="A5223" s="642" t="s">
        <v>2432</v>
      </c>
      <c r="B5223" s="643" t="s">
        <v>4118</v>
      </c>
      <c r="C5223" s="642" t="s">
        <v>32</v>
      </c>
      <c r="D5223" s="642" t="s">
        <v>4119</v>
      </c>
      <c r="E5223" s="906" t="s">
        <v>2465</v>
      </c>
      <c r="F5223" s="906"/>
      <c r="G5223" s="644" t="s">
        <v>1901</v>
      </c>
      <c r="H5223" s="645">
        <v>1</v>
      </c>
      <c r="I5223" s="646">
        <v>241.74</v>
      </c>
      <c r="J5223" s="646">
        <v>241.74</v>
      </c>
    </row>
    <row r="5224" spans="1:10" ht="38" thickBot="1" x14ac:dyDescent="0.35">
      <c r="A5224" s="519" t="s">
        <v>2437</v>
      </c>
      <c r="B5224" s="520" t="s">
        <v>4122</v>
      </c>
      <c r="C5224" s="519" t="s">
        <v>32</v>
      </c>
      <c r="D5224" s="519" t="s">
        <v>4123</v>
      </c>
      <c r="E5224" s="905" t="s">
        <v>2442</v>
      </c>
      <c r="F5224" s="905"/>
      <c r="G5224" s="521" t="s">
        <v>89</v>
      </c>
      <c r="H5224" s="522">
        <v>6.4300000000000004E-5</v>
      </c>
      <c r="I5224" s="523">
        <v>3759679.2</v>
      </c>
      <c r="J5224" s="523">
        <v>241.74</v>
      </c>
    </row>
    <row r="5225" spans="1:10" s="358" customFormat="1" ht="14.5" thickTop="1" x14ac:dyDescent="0.3">
      <c r="A5225" s="647"/>
      <c r="B5225" s="647"/>
      <c r="C5225" s="647"/>
      <c r="D5225" s="647"/>
      <c r="E5225" s="647"/>
      <c r="F5225" s="647"/>
      <c r="G5225" s="647"/>
      <c r="H5225" s="647"/>
      <c r="I5225" s="647"/>
      <c r="J5225"/>
    </row>
    <row r="5226" spans="1:10" ht="15" customHeight="1" x14ac:dyDescent="0.3">
      <c r="A5226" s="516"/>
      <c r="B5226" s="517" t="s">
        <v>15</v>
      </c>
      <c r="C5226" s="516" t="s">
        <v>16</v>
      </c>
      <c r="D5226" s="516" t="s">
        <v>17</v>
      </c>
      <c r="E5226" s="904" t="s">
        <v>2431</v>
      </c>
      <c r="F5226" s="904"/>
      <c r="G5226" s="518" t="s">
        <v>18</v>
      </c>
      <c r="H5226" s="517" t="s">
        <v>19</v>
      </c>
      <c r="I5226" s="517" t="s">
        <v>20</v>
      </c>
      <c r="J5226" s="517" t="s">
        <v>23</v>
      </c>
    </row>
    <row r="5227" spans="1:10" ht="25.5" customHeight="1" x14ac:dyDescent="0.3">
      <c r="A5227" s="642" t="s">
        <v>2432</v>
      </c>
      <c r="B5227" s="643" t="s">
        <v>4120</v>
      </c>
      <c r="C5227" s="642" t="s">
        <v>32</v>
      </c>
      <c r="D5227" s="642" t="s">
        <v>4121</v>
      </c>
      <c r="E5227" s="906" t="s">
        <v>2465</v>
      </c>
      <c r="F5227" s="906"/>
      <c r="G5227" s="644" t="s">
        <v>1901</v>
      </c>
      <c r="H5227" s="645">
        <v>1</v>
      </c>
      <c r="I5227" s="646">
        <v>3892.96</v>
      </c>
      <c r="J5227" s="646">
        <v>3892.96</v>
      </c>
    </row>
    <row r="5228" spans="1:10" ht="14.5" thickBot="1" x14ac:dyDescent="0.35">
      <c r="A5228" s="519" t="s">
        <v>2437</v>
      </c>
      <c r="B5228" s="520" t="s">
        <v>4485</v>
      </c>
      <c r="C5228" s="519" t="s">
        <v>125</v>
      </c>
      <c r="D5228" s="519" t="s">
        <v>4486</v>
      </c>
      <c r="E5228" s="905" t="s">
        <v>2442</v>
      </c>
      <c r="F5228" s="905"/>
      <c r="G5228" s="521" t="s">
        <v>2829</v>
      </c>
      <c r="H5228" s="522">
        <v>720</v>
      </c>
      <c r="I5228" s="523">
        <v>5.4069000000000003</v>
      </c>
      <c r="J5228" s="523">
        <v>3892.96</v>
      </c>
    </row>
    <row r="5229" spans="1:10" ht="14.25" customHeight="1" thickTop="1" x14ac:dyDescent="0.3">
      <c r="A5229" s="647"/>
      <c r="B5229" s="647"/>
      <c r="C5229" s="647"/>
      <c r="D5229" s="647"/>
      <c r="E5229" s="647"/>
      <c r="F5229" s="647"/>
      <c r="G5229" s="647"/>
      <c r="H5229" s="647"/>
      <c r="I5229" s="647"/>
      <c r="J5229"/>
    </row>
    <row r="5230" spans="1:10" ht="14.25" customHeight="1" x14ac:dyDescent="0.3">
      <c r="A5230" s="516"/>
      <c r="B5230" s="517" t="s">
        <v>15</v>
      </c>
      <c r="C5230" s="516" t="s">
        <v>16</v>
      </c>
      <c r="D5230" s="516" t="s">
        <v>17</v>
      </c>
      <c r="E5230" s="904" t="s">
        <v>2431</v>
      </c>
      <c r="F5230" s="904"/>
      <c r="G5230" s="518" t="s">
        <v>18</v>
      </c>
      <c r="H5230" s="517" t="s">
        <v>19</v>
      </c>
      <c r="I5230" s="517" t="s">
        <v>20</v>
      </c>
      <c r="J5230" s="517" t="s">
        <v>23</v>
      </c>
    </row>
    <row r="5231" spans="1:10" ht="14.25" customHeight="1" x14ac:dyDescent="0.3">
      <c r="A5231" s="642" t="s">
        <v>2432</v>
      </c>
      <c r="B5231" s="643" t="s">
        <v>4124</v>
      </c>
      <c r="C5231" s="642" t="s">
        <v>125</v>
      </c>
      <c r="D5231" s="642" t="s">
        <v>2978</v>
      </c>
      <c r="E5231" s="906" t="s">
        <v>1328</v>
      </c>
      <c r="F5231" s="906"/>
      <c r="G5231" s="644" t="s">
        <v>118</v>
      </c>
      <c r="H5231" s="645">
        <v>1</v>
      </c>
      <c r="I5231" s="646">
        <v>193.22</v>
      </c>
      <c r="J5231" s="646">
        <v>193.22</v>
      </c>
    </row>
    <row r="5232" spans="1:10" ht="15" customHeight="1" x14ac:dyDescent="0.3">
      <c r="A5232" s="904" t="s">
        <v>2418</v>
      </c>
      <c r="B5232" s="903" t="s">
        <v>15</v>
      </c>
      <c r="C5232" s="904" t="s">
        <v>16</v>
      </c>
      <c r="D5232" s="904" t="s">
        <v>2466</v>
      </c>
      <c r="E5232" s="903" t="s">
        <v>2467</v>
      </c>
      <c r="F5232" s="908" t="s">
        <v>2468</v>
      </c>
      <c r="G5232" s="903"/>
      <c r="H5232" s="518" t="s">
        <v>2469</v>
      </c>
      <c r="I5232" s="903" t="s">
        <v>2470</v>
      </c>
      <c r="J5232"/>
    </row>
    <row r="5233" spans="1:10" ht="14.25" customHeight="1" x14ac:dyDescent="0.3">
      <c r="A5233" s="903"/>
      <c r="B5233" s="903"/>
      <c r="C5233" s="903"/>
      <c r="D5233" s="903"/>
      <c r="E5233" s="903"/>
      <c r="F5233" s="517" t="s">
        <v>2471</v>
      </c>
      <c r="G5233" s="517" t="s">
        <v>2472</v>
      </c>
      <c r="H5233" s="517" t="s">
        <v>2471</v>
      </c>
      <c r="I5233" s="903"/>
      <c r="J5233"/>
    </row>
    <row r="5234" spans="1:10" ht="15" customHeight="1" x14ac:dyDescent="0.3">
      <c r="A5234" s="519" t="s">
        <v>2437</v>
      </c>
      <c r="B5234" s="520" t="s">
        <v>4125</v>
      </c>
      <c r="C5234" s="519" t="s">
        <v>125</v>
      </c>
      <c r="D5234" s="519" t="s">
        <v>4126</v>
      </c>
      <c r="E5234" s="522">
        <v>2</v>
      </c>
      <c r="F5234" s="523">
        <v>0.56999999999999995</v>
      </c>
      <c r="G5234" s="523">
        <v>0.43</v>
      </c>
      <c r="H5234" s="524">
        <v>437.92329999999998</v>
      </c>
      <c r="I5234" s="524">
        <v>680.96950000000004</v>
      </c>
      <c r="J5234"/>
    </row>
    <row r="5235" spans="1:10" s="358" customFormat="1" x14ac:dyDescent="0.3">
      <c r="A5235" s="519" t="s">
        <v>2437</v>
      </c>
      <c r="B5235" s="520" t="s">
        <v>4127</v>
      </c>
      <c r="C5235" s="519" t="s">
        <v>125</v>
      </c>
      <c r="D5235" s="519" t="s">
        <v>4128</v>
      </c>
      <c r="E5235" s="522">
        <v>1</v>
      </c>
      <c r="F5235" s="523">
        <v>1</v>
      </c>
      <c r="G5235" s="523">
        <v>0</v>
      </c>
      <c r="H5235" s="524">
        <v>105.0414</v>
      </c>
      <c r="I5235" s="524">
        <v>105.0414</v>
      </c>
      <c r="J5235"/>
    </row>
    <row r="5236" spans="1:10" x14ac:dyDescent="0.3">
      <c r="A5236" s="519" t="s">
        <v>2437</v>
      </c>
      <c r="B5236" s="520" t="s">
        <v>4129</v>
      </c>
      <c r="C5236" s="519" t="s">
        <v>125</v>
      </c>
      <c r="D5236" s="519" t="s">
        <v>4130</v>
      </c>
      <c r="E5236" s="522">
        <v>1</v>
      </c>
      <c r="F5236" s="523">
        <v>1</v>
      </c>
      <c r="G5236" s="523">
        <v>0</v>
      </c>
      <c r="H5236" s="524">
        <v>216.9229</v>
      </c>
      <c r="I5236" s="524">
        <v>216.9229</v>
      </c>
      <c r="J5236"/>
    </row>
    <row r="5237" spans="1:10" s="358" customFormat="1" ht="15" customHeight="1" x14ac:dyDescent="0.3">
      <c r="A5237" s="902"/>
      <c r="B5237" s="902"/>
      <c r="C5237" s="902"/>
      <c r="D5237" s="902"/>
      <c r="E5237" s="902"/>
      <c r="F5237" s="902" t="s">
        <v>2475</v>
      </c>
      <c r="G5237" s="902"/>
      <c r="H5237" s="902"/>
      <c r="I5237" s="525">
        <v>1002.9338</v>
      </c>
      <c r="J5237"/>
    </row>
    <row r="5238" spans="1:10" ht="15" customHeight="1" x14ac:dyDescent="0.3">
      <c r="A5238" s="902"/>
      <c r="B5238" s="902"/>
      <c r="C5238" s="902"/>
      <c r="D5238" s="902"/>
      <c r="E5238" s="902"/>
      <c r="F5238" s="902" t="s">
        <v>2476</v>
      </c>
      <c r="G5238" s="902"/>
      <c r="H5238" s="902"/>
      <c r="I5238" s="525">
        <v>1002.9338</v>
      </c>
      <c r="J5238"/>
    </row>
    <row r="5239" spans="1:10" ht="14.25" customHeight="1" x14ac:dyDescent="0.3">
      <c r="A5239" s="902"/>
      <c r="B5239" s="902"/>
      <c r="C5239" s="902"/>
      <c r="D5239" s="902"/>
      <c r="E5239" s="902"/>
      <c r="F5239" s="902" t="s">
        <v>2477</v>
      </c>
      <c r="G5239" s="902"/>
      <c r="H5239" s="902"/>
      <c r="I5239" s="525">
        <v>0</v>
      </c>
      <c r="J5239"/>
    </row>
    <row r="5240" spans="1:10" x14ac:dyDescent="0.3">
      <c r="A5240" s="902"/>
      <c r="B5240" s="902"/>
      <c r="C5240" s="902"/>
      <c r="D5240" s="902"/>
      <c r="E5240" s="902"/>
      <c r="F5240" s="902" t="s">
        <v>2478</v>
      </c>
      <c r="G5240" s="902"/>
      <c r="H5240" s="902"/>
      <c r="I5240" s="525">
        <v>0</v>
      </c>
      <c r="J5240"/>
    </row>
    <row r="5241" spans="1:10" ht="14.25" customHeight="1" x14ac:dyDescent="0.3">
      <c r="A5241" s="902"/>
      <c r="B5241" s="902"/>
      <c r="C5241" s="902"/>
      <c r="D5241" s="902"/>
      <c r="E5241" s="902"/>
      <c r="F5241" s="902" t="s">
        <v>2479</v>
      </c>
      <c r="G5241" s="902"/>
      <c r="H5241" s="902"/>
      <c r="I5241" s="525">
        <v>113.18</v>
      </c>
      <c r="J5241"/>
    </row>
    <row r="5242" spans="1:10" ht="14.25" customHeight="1" x14ac:dyDescent="0.3">
      <c r="A5242" s="902"/>
      <c r="B5242" s="902"/>
      <c r="C5242" s="902"/>
      <c r="D5242" s="902"/>
      <c r="E5242" s="902"/>
      <c r="F5242" s="902" t="s">
        <v>2480</v>
      </c>
      <c r="G5242" s="902"/>
      <c r="H5242" s="902"/>
      <c r="I5242" s="525">
        <v>8.8613999999999997</v>
      </c>
      <c r="J5242"/>
    </row>
    <row r="5243" spans="1:10" ht="14.25" customHeight="1" x14ac:dyDescent="0.3">
      <c r="A5243" s="516" t="s">
        <v>2420</v>
      </c>
      <c r="B5243" s="517" t="s">
        <v>16</v>
      </c>
      <c r="C5243" s="516" t="s">
        <v>15</v>
      </c>
      <c r="D5243" s="516" t="s">
        <v>2442</v>
      </c>
      <c r="E5243" s="517" t="s">
        <v>2467</v>
      </c>
      <c r="F5243" s="517" t="s">
        <v>2576</v>
      </c>
      <c r="G5243" s="903" t="s">
        <v>2577</v>
      </c>
      <c r="H5243" s="903"/>
      <c r="I5243" s="517" t="s">
        <v>2470</v>
      </c>
      <c r="J5243"/>
    </row>
    <row r="5244" spans="1:10" x14ac:dyDescent="0.3">
      <c r="A5244" s="519" t="s">
        <v>2437</v>
      </c>
      <c r="B5244" s="520" t="s">
        <v>125</v>
      </c>
      <c r="C5244" s="519" t="s">
        <v>4131</v>
      </c>
      <c r="D5244" s="519" t="s">
        <v>2945</v>
      </c>
      <c r="E5244" s="522">
        <v>0.53076000000000001</v>
      </c>
      <c r="F5244" s="521" t="s">
        <v>118</v>
      </c>
      <c r="G5244" s="907">
        <v>135.64580000000001</v>
      </c>
      <c r="H5244" s="907"/>
      <c r="I5244" s="524">
        <v>71.995400000000004</v>
      </c>
      <c r="J5244"/>
    </row>
    <row r="5245" spans="1:10" ht="14.25" customHeight="1" x14ac:dyDescent="0.3">
      <c r="A5245" s="519" t="s">
        <v>2437</v>
      </c>
      <c r="B5245" s="520" t="s">
        <v>125</v>
      </c>
      <c r="C5245" s="519" t="s">
        <v>3622</v>
      </c>
      <c r="D5245" s="519" t="s">
        <v>2819</v>
      </c>
      <c r="E5245" s="522">
        <v>0.14699999999999999</v>
      </c>
      <c r="F5245" s="521" t="s">
        <v>118</v>
      </c>
      <c r="G5245" s="907">
        <v>120.4661</v>
      </c>
      <c r="H5245" s="907"/>
      <c r="I5245" s="524">
        <v>17.708500000000001</v>
      </c>
      <c r="J5245"/>
    </row>
    <row r="5246" spans="1:10" ht="15" customHeight="1" x14ac:dyDescent="0.3">
      <c r="A5246" s="519" t="s">
        <v>2437</v>
      </c>
      <c r="B5246" s="520" t="s">
        <v>125</v>
      </c>
      <c r="C5246" s="519" t="s">
        <v>2807</v>
      </c>
      <c r="D5246" s="519" t="s">
        <v>2808</v>
      </c>
      <c r="E5246" s="522">
        <v>0.2606</v>
      </c>
      <c r="F5246" s="521" t="s">
        <v>118</v>
      </c>
      <c r="G5246" s="907">
        <v>120.2563</v>
      </c>
      <c r="H5246" s="907"/>
      <c r="I5246" s="524">
        <v>31.338799999999999</v>
      </c>
      <c r="J5246"/>
    </row>
    <row r="5247" spans="1:10" s="358" customFormat="1" x14ac:dyDescent="0.3">
      <c r="A5247" s="519" t="s">
        <v>2437</v>
      </c>
      <c r="B5247" s="520" t="s">
        <v>125</v>
      </c>
      <c r="C5247" s="519" t="s">
        <v>4132</v>
      </c>
      <c r="D5247" s="519" t="s">
        <v>4133</v>
      </c>
      <c r="E5247" s="522">
        <v>0.52829000000000004</v>
      </c>
      <c r="F5247" s="521" t="s">
        <v>118</v>
      </c>
      <c r="G5247" s="907">
        <v>111.2563</v>
      </c>
      <c r="H5247" s="907"/>
      <c r="I5247" s="524">
        <v>58.775599999999997</v>
      </c>
      <c r="J5247"/>
    </row>
    <row r="5248" spans="1:10" ht="14.25" customHeight="1" x14ac:dyDescent="0.3">
      <c r="A5248" s="902"/>
      <c r="B5248" s="902"/>
      <c r="C5248" s="902"/>
      <c r="D5248" s="902"/>
      <c r="E5248" s="902"/>
      <c r="F5248" s="902" t="s">
        <v>2809</v>
      </c>
      <c r="G5248" s="902"/>
      <c r="H5248" s="902"/>
      <c r="I5248" s="525">
        <v>179.81829999999999</v>
      </c>
      <c r="J5248"/>
    </row>
    <row r="5249" spans="1:10" s="358" customFormat="1" ht="15" customHeight="1" x14ac:dyDescent="0.3">
      <c r="A5249" s="516" t="s">
        <v>2574</v>
      </c>
      <c r="B5249" s="517" t="s">
        <v>16</v>
      </c>
      <c r="C5249" s="516" t="s">
        <v>15</v>
      </c>
      <c r="D5249" s="516" t="s">
        <v>2575</v>
      </c>
      <c r="E5249" s="517" t="s">
        <v>2467</v>
      </c>
      <c r="F5249" s="517" t="s">
        <v>2576</v>
      </c>
      <c r="G5249" s="903" t="s">
        <v>2577</v>
      </c>
      <c r="H5249" s="903"/>
      <c r="I5249" s="517" t="s">
        <v>2470</v>
      </c>
      <c r="J5249"/>
    </row>
    <row r="5250" spans="1:10" ht="25" x14ac:dyDescent="0.3">
      <c r="A5250" s="519" t="s">
        <v>2578</v>
      </c>
      <c r="B5250" s="520" t="s">
        <v>32</v>
      </c>
      <c r="C5250" s="519">
        <v>88316</v>
      </c>
      <c r="D5250" s="519" t="s">
        <v>2562</v>
      </c>
      <c r="E5250" s="522">
        <v>2.6506399999999999E-2</v>
      </c>
      <c r="F5250" s="521" t="s">
        <v>1901</v>
      </c>
      <c r="G5250" s="907">
        <v>23.4</v>
      </c>
      <c r="H5250" s="907"/>
      <c r="I5250" s="524">
        <v>0.62019999999999997</v>
      </c>
      <c r="J5250"/>
    </row>
    <row r="5251" spans="1:10" ht="14.25" customHeight="1" x14ac:dyDescent="0.3">
      <c r="A5251" s="902"/>
      <c r="B5251" s="902"/>
      <c r="C5251" s="902"/>
      <c r="D5251" s="902"/>
      <c r="E5251" s="902"/>
      <c r="F5251" s="902" t="s">
        <v>2579</v>
      </c>
      <c r="G5251" s="902"/>
      <c r="H5251" s="902"/>
      <c r="I5251" s="525">
        <v>0.62019999999999997</v>
      </c>
      <c r="J5251"/>
    </row>
    <row r="5252" spans="1:10" ht="15" customHeight="1" x14ac:dyDescent="0.3">
      <c r="A5252" s="516" t="s">
        <v>2580</v>
      </c>
      <c r="B5252" s="517" t="s">
        <v>16</v>
      </c>
      <c r="C5252" s="516" t="s">
        <v>2437</v>
      </c>
      <c r="D5252" s="516" t="s">
        <v>2581</v>
      </c>
      <c r="E5252" s="517" t="s">
        <v>15</v>
      </c>
      <c r="F5252" s="517" t="s">
        <v>2467</v>
      </c>
      <c r="G5252" s="518" t="s">
        <v>2576</v>
      </c>
      <c r="H5252" s="517" t="s">
        <v>2577</v>
      </c>
      <c r="I5252" s="517" t="s">
        <v>2470</v>
      </c>
      <c r="J5252"/>
    </row>
    <row r="5253" spans="1:10" ht="25" x14ac:dyDescent="0.3">
      <c r="A5253" s="519" t="s">
        <v>2582</v>
      </c>
      <c r="B5253" s="520" t="s">
        <v>125</v>
      </c>
      <c r="C5253" s="519" t="s">
        <v>4131</v>
      </c>
      <c r="D5253" s="519" t="s">
        <v>4529</v>
      </c>
      <c r="E5253" s="520">
        <v>5914647</v>
      </c>
      <c r="F5253" s="522">
        <v>0.79613999999999996</v>
      </c>
      <c r="G5253" s="521" t="s">
        <v>374</v>
      </c>
      <c r="H5253" s="524">
        <v>1.78</v>
      </c>
      <c r="I5253" s="524">
        <v>1.4171</v>
      </c>
      <c r="J5253"/>
    </row>
    <row r="5254" spans="1:10" ht="25" x14ac:dyDescent="0.3">
      <c r="A5254" s="519" t="s">
        <v>2582</v>
      </c>
      <c r="B5254" s="520" t="s">
        <v>125</v>
      </c>
      <c r="C5254" s="519" t="s">
        <v>3622</v>
      </c>
      <c r="D5254" s="519" t="s">
        <v>4529</v>
      </c>
      <c r="E5254" s="520">
        <v>5914647</v>
      </c>
      <c r="F5254" s="522">
        <v>0.2205</v>
      </c>
      <c r="G5254" s="521" t="s">
        <v>374</v>
      </c>
      <c r="H5254" s="524">
        <v>1.78</v>
      </c>
      <c r="I5254" s="524">
        <v>0.39250000000000002</v>
      </c>
      <c r="J5254"/>
    </row>
    <row r="5255" spans="1:10" ht="25" x14ac:dyDescent="0.3">
      <c r="A5255" s="519" t="s">
        <v>2582</v>
      </c>
      <c r="B5255" s="520" t="s">
        <v>125</v>
      </c>
      <c r="C5255" s="519" t="s">
        <v>2807</v>
      </c>
      <c r="D5255" s="519" t="s">
        <v>4529</v>
      </c>
      <c r="E5255" s="520">
        <v>5914647</v>
      </c>
      <c r="F5255" s="522">
        <v>0.39090000000000003</v>
      </c>
      <c r="G5255" s="521" t="s">
        <v>374</v>
      </c>
      <c r="H5255" s="524">
        <v>1.78</v>
      </c>
      <c r="I5255" s="524">
        <v>0.69579999999999997</v>
      </c>
      <c r="J5255"/>
    </row>
    <row r="5256" spans="1:10" s="358" customFormat="1" ht="25" x14ac:dyDescent="0.3">
      <c r="A5256" s="519" t="s">
        <v>2582</v>
      </c>
      <c r="B5256" s="520" t="s">
        <v>125</v>
      </c>
      <c r="C5256" s="519" t="s">
        <v>4132</v>
      </c>
      <c r="D5256" s="519" t="s">
        <v>4529</v>
      </c>
      <c r="E5256" s="520">
        <v>5914647</v>
      </c>
      <c r="F5256" s="522">
        <v>0.79244000000000003</v>
      </c>
      <c r="G5256" s="521" t="s">
        <v>374</v>
      </c>
      <c r="H5256" s="524">
        <v>1.78</v>
      </c>
      <c r="I5256" s="524">
        <v>1.4105000000000001</v>
      </c>
      <c r="J5256"/>
    </row>
    <row r="5257" spans="1:10" ht="14.25" customHeight="1" x14ac:dyDescent="0.3">
      <c r="A5257" s="902"/>
      <c r="B5257" s="902"/>
      <c r="C5257" s="902"/>
      <c r="D5257" s="902"/>
      <c r="E5257" s="902"/>
      <c r="F5257" s="902" t="s">
        <v>2585</v>
      </c>
      <c r="G5257" s="902"/>
      <c r="H5257" s="902"/>
      <c r="I5257" s="525">
        <v>3.9159000000000002</v>
      </c>
      <c r="J5257"/>
    </row>
    <row r="5258" spans="1:10" s="358" customFormat="1" ht="15" customHeight="1" x14ac:dyDescent="0.3">
      <c r="A5258" s="516" t="s">
        <v>2586</v>
      </c>
      <c r="B5258" s="517" t="s">
        <v>16</v>
      </c>
      <c r="C5258" s="516" t="s">
        <v>2437</v>
      </c>
      <c r="D5258" s="516" t="s">
        <v>2587</v>
      </c>
      <c r="E5258" s="517" t="s">
        <v>2467</v>
      </c>
      <c r="F5258" s="517" t="s">
        <v>2576</v>
      </c>
      <c r="G5258" s="908" t="s">
        <v>2588</v>
      </c>
      <c r="H5258" s="903"/>
      <c r="I5258" s="517" t="s">
        <v>2470</v>
      </c>
      <c r="J5258"/>
    </row>
    <row r="5259" spans="1:10" x14ac:dyDescent="0.3">
      <c r="A5259" s="518"/>
      <c r="B5259" s="518"/>
      <c r="C5259" s="518"/>
      <c r="D5259" s="518"/>
      <c r="E5259" s="518"/>
      <c r="F5259" s="518"/>
      <c r="G5259" s="518" t="s">
        <v>2589</v>
      </c>
      <c r="H5259" s="518" t="s">
        <v>2590</v>
      </c>
      <c r="I5259" s="518"/>
      <c r="J5259"/>
    </row>
    <row r="5260" spans="1:10" ht="37.5" x14ac:dyDescent="0.3">
      <c r="A5260" s="519" t="s">
        <v>2587</v>
      </c>
      <c r="B5260" s="520" t="s">
        <v>125</v>
      </c>
      <c r="C5260" s="519" t="s">
        <v>4131</v>
      </c>
      <c r="D5260" s="519" t="s">
        <v>4134</v>
      </c>
      <c r="E5260" s="522">
        <v>0.79613999999999996</v>
      </c>
      <c r="F5260" s="521" t="s">
        <v>2592</v>
      </c>
      <c r="G5260" s="520" t="s">
        <v>4468</v>
      </c>
      <c r="H5260" s="520" t="s">
        <v>4469</v>
      </c>
      <c r="I5260" s="524">
        <v>0</v>
      </c>
      <c r="J5260"/>
    </row>
    <row r="5261" spans="1:10" ht="37.5" x14ac:dyDescent="0.3">
      <c r="A5261" s="519" t="s">
        <v>2587</v>
      </c>
      <c r="B5261" s="520" t="s">
        <v>125</v>
      </c>
      <c r="C5261" s="519" t="s">
        <v>3622</v>
      </c>
      <c r="D5261" s="519" t="s">
        <v>3624</v>
      </c>
      <c r="E5261" s="522">
        <v>0.2205</v>
      </c>
      <c r="F5261" s="521" t="s">
        <v>2592</v>
      </c>
      <c r="G5261" s="520" t="s">
        <v>4468</v>
      </c>
      <c r="H5261" s="520" t="s">
        <v>4469</v>
      </c>
      <c r="I5261" s="524">
        <v>0</v>
      </c>
      <c r="J5261"/>
    </row>
    <row r="5262" spans="1:10" ht="37.5" x14ac:dyDescent="0.3">
      <c r="A5262" s="519" t="s">
        <v>2587</v>
      </c>
      <c r="B5262" s="520" t="s">
        <v>125</v>
      </c>
      <c r="C5262" s="519" t="s">
        <v>2807</v>
      </c>
      <c r="D5262" s="519" t="s">
        <v>2811</v>
      </c>
      <c r="E5262" s="522">
        <v>0.39090000000000003</v>
      </c>
      <c r="F5262" s="521" t="s">
        <v>2592</v>
      </c>
      <c r="G5262" s="520" t="s">
        <v>4468</v>
      </c>
      <c r="H5262" s="520" t="s">
        <v>4469</v>
      </c>
      <c r="I5262" s="524">
        <v>0</v>
      </c>
      <c r="J5262"/>
    </row>
    <row r="5263" spans="1:10" ht="37.5" x14ac:dyDescent="0.3">
      <c r="A5263" s="519" t="s">
        <v>2587</v>
      </c>
      <c r="B5263" s="520" t="s">
        <v>125</v>
      </c>
      <c r="C5263" s="519" t="s">
        <v>4132</v>
      </c>
      <c r="D5263" s="519" t="s">
        <v>4135</v>
      </c>
      <c r="E5263" s="522">
        <v>0.79244000000000003</v>
      </c>
      <c r="F5263" s="521" t="s">
        <v>2592</v>
      </c>
      <c r="G5263" s="520" t="s">
        <v>4468</v>
      </c>
      <c r="H5263" s="520" t="s">
        <v>4469</v>
      </c>
      <c r="I5263" s="524">
        <v>0</v>
      </c>
      <c r="J5263"/>
    </row>
    <row r="5264" spans="1:10" ht="15" customHeight="1" thickBot="1" x14ac:dyDescent="0.35">
      <c r="A5264" s="902"/>
      <c r="B5264" s="902"/>
      <c r="C5264" s="902"/>
      <c r="D5264" s="902"/>
      <c r="E5264" s="902"/>
      <c r="F5264" s="902" t="s">
        <v>2593</v>
      </c>
      <c r="G5264" s="902"/>
      <c r="H5264" s="902"/>
      <c r="I5264" s="525">
        <v>0</v>
      </c>
      <c r="J5264"/>
    </row>
    <row r="5265" spans="1:10" s="358" customFormat="1" ht="14.5" thickTop="1" x14ac:dyDescent="0.3">
      <c r="A5265" s="647"/>
      <c r="B5265" s="647"/>
      <c r="C5265" s="647"/>
      <c r="D5265" s="647"/>
      <c r="E5265" s="647"/>
      <c r="F5265" s="647"/>
      <c r="G5265" s="647"/>
      <c r="H5265" s="647"/>
      <c r="I5265" s="647"/>
      <c r="J5265"/>
    </row>
    <row r="5266" spans="1:10" x14ac:dyDescent="0.3">
      <c r="A5266" s="516"/>
      <c r="B5266" s="517" t="s">
        <v>15</v>
      </c>
      <c r="C5266" s="516" t="s">
        <v>16</v>
      </c>
      <c r="D5266" s="516" t="s">
        <v>17</v>
      </c>
      <c r="E5266" s="904" t="s">
        <v>2431</v>
      </c>
      <c r="F5266" s="904"/>
      <c r="G5266" s="518" t="s">
        <v>18</v>
      </c>
      <c r="H5266" s="517" t="s">
        <v>19</v>
      </c>
      <c r="I5266" s="517" t="s">
        <v>20</v>
      </c>
      <c r="J5266" s="517" t="s">
        <v>23</v>
      </c>
    </row>
    <row r="5267" spans="1:10" s="358" customFormat="1" ht="25.5" customHeight="1" x14ac:dyDescent="0.3">
      <c r="A5267" s="642" t="s">
        <v>2432</v>
      </c>
      <c r="B5267" s="643" t="s">
        <v>4528</v>
      </c>
      <c r="C5267" s="642" t="s">
        <v>251</v>
      </c>
      <c r="D5267" s="642" t="s">
        <v>4377</v>
      </c>
      <c r="E5267" s="906">
        <v>55</v>
      </c>
      <c r="F5267" s="906"/>
      <c r="G5267" s="644" t="s">
        <v>89</v>
      </c>
      <c r="H5267" s="645">
        <v>1</v>
      </c>
      <c r="I5267" s="646">
        <v>1167.0999999999999</v>
      </c>
      <c r="J5267" s="646">
        <v>1167.0999999999999</v>
      </c>
    </row>
    <row r="5268" spans="1:10" ht="25.5" customHeight="1" x14ac:dyDescent="0.3">
      <c r="A5268" s="519" t="s">
        <v>2434</v>
      </c>
      <c r="B5268" s="520" t="s">
        <v>4547</v>
      </c>
      <c r="C5268" s="519" t="s">
        <v>251</v>
      </c>
      <c r="D5268" s="519" t="s">
        <v>4548</v>
      </c>
      <c r="E5268" s="905">
        <v>55</v>
      </c>
      <c r="F5268" s="905"/>
      <c r="G5268" s="521" t="s">
        <v>1369</v>
      </c>
      <c r="H5268" s="522">
        <v>6</v>
      </c>
      <c r="I5268" s="523">
        <v>5.72</v>
      </c>
      <c r="J5268" s="523">
        <v>34.32</v>
      </c>
    </row>
    <row r="5269" spans="1:10" ht="25.5" customHeight="1" x14ac:dyDescent="0.3">
      <c r="A5269" s="519" t="s">
        <v>2434</v>
      </c>
      <c r="B5269" s="520" t="s">
        <v>4549</v>
      </c>
      <c r="C5269" s="519" t="s">
        <v>251</v>
      </c>
      <c r="D5269" s="519" t="s">
        <v>4550</v>
      </c>
      <c r="E5269" s="905">
        <v>55</v>
      </c>
      <c r="F5269" s="905"/>
      <c r="G5269" s="521" t="s">
        <v>1369</v>
      </c>
      <c r="H5269" s="522">
        <v>13.28</v>
      </c>
      <c r="I5269" s="523">
        <v>5.57</v>
      </c>
      <c r="J5269" s="523">
        <v>73.959999999999994</v>
      </c>
    </row>
    <row r="5270" spans="1:10" ht="37.5" x14ac:dyDescent="0.3">
      <c r="A5270" s="519" t="s">
        <v>2434</v>
      </c>
      <c r="B5270" s="520" t="s">
        <v>4525</v>
      </c>
      <c r="C5270" s="519" t="s">
        <v>251</v>
      </c>
      <c r="D5270" s="519" t="s">
        <v>4378</v>
      </c>
      <c r="E5270" s="905">
        <v>55</v>
      </c>
      <c r="F5270" s="905"/>
      <c r="G5270" s="521" t="s">
        <v>1369</v>
      </c>
      <c r="H5270" s="522">
        <v>6</v>
      </c>
      <c r="I5270" s="523">
        <v>5.16</v>
      </c>
      <c r="J5270" s="523">
        <v>30.96</v>
      </c>
    </row>
    <row r="5271" spans="1:10" s="358" customFormat="1" x14ac:dyDescent="0.3">
      <c r="A5271" s="519" t="s">
        <v>2437</v>
      </c>
      <c r="B5271" s="520" t="s">
        <v>4554</v>
      </c>
      <c r="C5271" s="519" t="s">
        <v>125</v>
      </c>
      <c r="D5271" s="519" t="s">
        <v>4555</v>
      </c>
      <c r="E5271" s="905" t="s">
        <v>2442</v>
      </c>
      <c r="F5271" s="905"/>
      <c r="G5271" s="521" t="s">
        <v>384</v>
      </c>
      <c r="H5271" s="522">
        <v>10.130000000000001</v>
      </c>
      <c r="I5271" s="523">
        <v>6.6867999999999999</v>
      </c>
      <c r="J5271" s="523">
        <v>67.73</v>
      </c>
    </row>
    <row r="5272" spans="1:10" x14ac:dyDescent="0.3">
      <c r="A5272" s="519" t="s">
        <v>2437</v>
      </c>
      <c r="B5272" s="520" t="s">
        <v>4554</v>
      </c>
      <c r="C5272" s="519" t="s">
        <v>125</v>
      </c>
      <c r="D5272" s="519" t="s">
        <v>4555</v>
      </c>
      <c r="E5272" s="905" t="s">
        <v>2442</v>
      </c>
      <c r="F5272" s="905"/>
      <c r="G5272" s="521" t="s">
        <v>384</v>
      </c>
      <c r="H5272" s="522">
        <v>10.130000000000001</v>
      </c>
      <c r="I5272" s="523">
        <v>6.6867999999999999</v>
      </c>
      <c r="J5272" s="523">
        <v>67.73</v>
      </c>
    </row>
    <row r="5273" spans="1:10" s="358" customFormat="1" ht="25.5" customHeight="1" x14ac:dyDescent="0.3">
      <c r="A5273" s="519" t="s">
        <v>2437</v>
      </c>
      <c r="B5273" s="520" t="s">
        <v>4554</v>
      </c>
      <c r="C5273" s="519" t="s">
        <v>125</v>
      </c>
      <c r="D5273" s="519" t="s">
        <v>4555</v>
      </c>
      <c r="E5273" s="905" t="s">
        <v>2442</v>
      </c>
      <c r="F5273" s="905"/>
      <c r="G5273" s="521" t="s">
        <v>384</v>
      </c>
      <c r="H5273" s="522">
        <v>10.130000000000001</v>
      </c>
      <c r="I5273" s="523">
        <v>6.6867999999999999</v>
      </c>
      <c r="J5273" s="523">
        <v>67.73</v>
      </c>
    </row>
    <row r="5274" spans="1:10" ht="25.5" customHeight="1" x14ac:dyDescent="0.3">
      <c r="A5274" s="519" t="s">
        <v>2437</v>
      </c>
      <c r="B5274" s="520" t="s">
        <v>4379</v>
      </c>
      <c r="C5274" s="519" t="s">
        <v>251</v>
      </c>
      <c r="D5274" s="519" t="s">
        <v>4556</v>
      </c>
      <c r="E5274" s="905" t="s">
        <v>2442</v>
      </c>
      <c r="F5274" s="905"/>
      <c r="G5274" s="521" t="s">
        <v>1369</v>
      </c>
      <c r="H5274" s="522">
        <v>15.3</v>
      </c>
      <c r="I5274" s="523">
        <v>8</v>
      </c>
      <c r="J5274" s="523">
        <v>122.4</v>
      </c>
    </row>
    <row r="5275" spans="1:10" ht="25.5" customHeight="1" x14ac:dyDescent="0.3">
      <c r="A5275" s="519" t="s">
        <v>2437</v>
      </c>
      <c r="B5275" s="520" t="s">
        <v>4380</v>
      </c>
      <c r="C5275" s="519" t="s">
        <v>251</v>
      </c>
      <c r="D5275" s="519" t="s">
        <v>4381</v>
      </c>
      <c r="E5275" s="905" t="s">
        <v>2442</v>
      </c>
      <c r="F5275" s="905"/>
      <c r="G5275" s="521" t="s">
        <v>1369</v>
      </c>
      <c r="H5275" s="522">
        <v>0.77</v>
      </c>
      <c r="I5275" s="523">
        <v>32.630000000000003</v>
      </c>
      <c r="J5275" s="523">
        <v>25.12</v>
      </c>
    </row>
    <row r="5276" spans="1:10" ht="25.5" customHeight="1" x14ac:dyDescent="0.3">
      <c r="A5276" s="519" t="s">
        <v>2437</v>
      </c>
      <c r="B5276" s="520" t="s">
        <v>4382</v>
      </c>
      <c r="C5276" s="519" t="s">
        <v>251</v>
      </c>
      <c r="D5276" s="519" t="s">
        <v>4383</v>
      </c>
      <c r="E5276" s="905" t="s">
        <v>2442</v>
      </c>
      <c r="F5276" s="905"/>
      <c r="G5276" s="521" t="s">
        <v>1369</v>
      </c>
      <c r="H5276" s="522">
        <v>0.7</v>
      </c>
      <c r="I5276" s="523">
        <v>137.41</v>
      </c>
      <c r="J5276" s="523">
        <v>96.18</v>
      </c>
    </row>
    <row r="5277" spans="1:10" ht="25.5" customHeight="1" x14ac:dyDescent="0.3">
      <c r="A5277" s="519" t="s">
        <v>2437</v>
      </c>
      <c r="B5277" s="520" t="s">
        <v>4384</v>
      </c>
      <c r="C5277" s="519" t="s">
        <v>251</v>
      </c>
      <c r="D5277" s="519" t="s">
        <v>4385</v>
      </c>
      <c r="E5277" s="905" t="s">
        <v>2442</v>
      </c>
      <c r="F5277" s="905"/>
      <c r="G5277" s="521" t="s">
        <v>1369</v>
      </c>
      <c r="H5277" s="522">
        <v>0.7</v>
      </c>
      <c r="I5277" s="523">
        <v>137.41</v>
      </c>
      <c r="J5277" s="523">
        <v>96.18</v>
      </c>
    </row>
    <row r="5278" spans="1:10" ht="37.5" x14ac:dyDescent="0.3">
      <c r="A5278" s="519" t="s">
        <v>2437</v>
      </c>
      <c r="B5278" s="520" t="s">
        <v>4386</v>
      </c>
      <c r="C5278" s="519" t="s">
        <v>251</v>
      </c>
      <c r="D5278" s="519" t="s">
        <v>4557</v>
      </c>
      <c r="E5278" s="905" t="s">
        <v>2442</v>
      </c>
      <c r="F5278" s="905"/>
      <c r="G5278" s="521" t="s">
        <v>1369</v>
      </c>
      <c r="H5278" s="522">
        <v>23.68</v>
      </c>
      <c r="I5278" s="523">
        <v>3.41</v>
      </c>
      <c r="J5278" s="523">
        <v>80.739999999999995</v>
      </c>
    </row>
    <row r="5279" spans="1:10" s="358" customFormat="1" x14ac:dyDescent="0.3">
      <c r="A5279" s="519" t="s">
        <v>2437</v>
      </c>
      <c r="B5279" s="520" t="s">
        <v>4387</v>
      </c>
      <c r="C5279" s="519" t="s">
        <v>251</v>
      </c>
      <c r="D5279" s="519" t="s">
        <v>4388</v>
      </c>
      <c r="E5279" s="905" t="s">
        <v>2442</v>
      </c>
      <c r="F5279" s="905"/>
      <c r="G5279" s="521" t="s">
        <v>1369</v>
      </c>
      <c r="H5279" s="522">
        <v>0.5</v>
      </c>
      <c r="I5279" s="523">
        <v>296.38</v>
      </c>
      <c r="J5279" s="523">
        <v>148.19</v>
      </c>
    </row>
    <row r="5280" spans="1:10" x14ac:dyDescent="0.3">
      <c r="A5280" s="519" t="s">
        <v>2437</v>
      </c>
      <c r="B5280" s="520" t="s">
        <v>4389</v>
      </c>
      <c r="C5280" s="519" t="s">
        <v>251</v>
      </c>
      <c r="D5280" s="519" t="s">
        <v>4558</v>
      </c>
      <c r="E5280" s="905" t="s">
        <v>2442</v>
      </c>
      <c r="F5280" s="905"/>
      <c r="G5280" s="521" t="s">
        <v>1369</v>
      </c>
      <c r="H5280" s="522">
        <v>0.5</v>
      </c>
      <c r="I5280" s="523">
        <v>88.22</v>
      </c>
      <c r="J5280" s="523">
        <v>44.11</v>
      </c>
    </row>
    <row r="5281" spans="1:10" s="358" customFormat="1" ht="25.5" customHeight="1" thickBot="1" x14ac:dyDescent="0.35">
      <c r="A5281" s="519" t="s">
        <v>2437</v>
      </c>
      <c r="B5281" s="520" t="s">
        <v>4390</v>
      </c>
      <c r="C5281" s="519" t="s">
        <v>251</v>
      </c>
      <c r="D5281" s="519" t="s">
        <v>4559</v>
      </c>
      <c r="E5281" s="905" t="s">
        <v>2442</v>
      </c>
      <c r="F5281" s="905"/>
      <c r="G5281" s="521" t="s">
        <v>1369</v>
      </c>
      <c r="H5281" s="522">
        <v>2.75</v>
      </c>
      <c r="I5281" s="523">
        <v>77</v>
      </c>
      <c r="J5281" s="523">
        <v>211.75</v>
      </c>
    </row>
    <row r="5282" spans="1:10" ht="14.5" thickTop="1" x14ac:dyDescent="0.3">
      <c r="A5282" s="647"/>
      <c r="B5282" s="647"/>
      <c r="C5282" s="647"/>
      <c r="D5282" s="647"/>
      <c r="E5282" s="647"/>
      <c r="F5282" s="647"/>
      <c r="G5282" s="647"/>
      <c r="H5282" s="647"/>
      <c r="I5282" s="647"/>
      <c r="J5282"/>
    </row>
    <row r="5283" spans="1:10" s="358" customFormat="1" x14ac:dyDescent="0.3">
      <c r="A5283" s="516"/>
      <c r="B5283" s="517" t="s">
        <v>15</v>
      </c>
      <c r="C5283" s="516" t="s">
        <v>16</v>
      </c>
      <c r="D5283" s="516" t="s">
        <v>17</v>
      </c>
      <c r="E5283" s="904" t="s">
        <v>2431</v>
      </c>
      <c r="F5283" s="904"/>
      <c r="G5283" s="518" t="s">
        <v>18</v>
      </c>
      <c r="H5283" s="517" t="s">
        <v>19</v>
      </c>
      <c r="I5283" s="517" t="s">
        <v>20</v>
      </c>
      <c r="J5283" s="517" t="s">
        <v>23</v>
      </c>
    </row>
    <row r="5284" spans="1:10" ht="25.5" customHeight="1" x14ac:dyDescent="0.3">
      <c r="A5284" s="642" t="s">
        <v>2432</v>
      </c>
      <c r="B5284" s="643" t="s">
        <v>2848</v>
      </c>
      <c r="C5284" s="642" t="s">
        <v>32</v>
      </c>
      <c r="D5284" s="642" t="s">
        <v>2849</v>
      </c>
      <c r="E5284" s="906" t="s">
        <v>2465</v>
      </c>
      <c r="F5284" s="906"/>
      <c r="G5284" s="644" t="s">
        <v>110</v>
      </c>
      <c r="H5284" s="645">
        <v>1</v>
      </c>
      <c r="I5284" s="646">
        <v>0.53</v>
      </c>
      <c r="J5284" s="646">
        <v>0.53</v>
      </c>
    </row>
    <row r="5285" spans="1:10" s="358" customFormat="1" ht="25.5" customHeight="1" x14ac:dyDescent="0.3">
      <c r="A5285" s="519" t="s">
        <v>2434</v>
      </c>
      <c r="B5285" s="520" t="s">
        <v>4136</v>
      </c>
      <c r="C5285" s="519" t="s">
        <v>32</v>
      </c>
      <c r="D5285" s="519" t="s">
        <v>4137</v>
      </c>
      <c r="E5285" s="905" t="s">
        <v>2465</v>
      </c>
      <c r="F5285" s="905"/>
      <c r="G5285" s="521" t="s">
        <v>1901</v>
      </c>
      <c r="H5285" s="522">
        <v>1</v>
      </c>
      <c r="I5285" s="523">
        <v>0.43</v>
      </c>
      <c r="J5285" s="523">
        <v>0.43</v>
      </c>
    </row>
    <row r="5286" spans="1:10" ht="26.25" customHeight="1" thickBot="1" x14ac:dyDescent="0.35">
      <c r="A5286" s="519" t="s">
        <v>2434</v>
      </c>
      <c r="B5286" s="520" t="s">
        <v>4138</v>
      </c>
      <c r="C5286" s="519" t="s">
        <v>32</v>
      </c>
      <c r="D5286" s="519" t="s">
        <v>4139</v>
      </c>
      <c r="E5286" s="905" t="s">
        <v>2465</v>
      </c>
      <c r="F5286" s="905"/>
      <c r="G5286" s="521" t="s">
        <v>1901</v>
      </c>
      <c r="H5286" s="522">
        <v>1</v>
      </c>
      <c r="I5286" s="523">
        <v>0.1</v>
      </c>
      <c r="J5286" s="523">
        <v>0.1</v>
      </c>
    </row>
    <row r="5287" spans="1:10" s="358" customFormat="1" ht="14.5" thickTop="1" x14ac:dyDescent="0.3">
      <c r="A5287" s="647"/>
      <c r="B5287" s="647"/>
      <c r="C5287" s="647"/>
      <c r="D5287" s="647"/>
      <c r="E5287" s="647"/>
      <c r="F5287" s="647"/>
      <c r="G5287" s="647"/>
      <c r="H5287" s="647"/>
      <c r="I5287" s="647"/>
      <c r="J5287"/>
    </row>
    <row r="5288" spans="1:10" x14ac:dyDescent="0.3">
      <c r="A5288" s="516"/>
      <c r="B5288" s="517" t="s">
        <v>15</v>
      </c>
      <c r="C5288" s="516" t="s">
        <v>16</v>
      </c>
      <c r="D5288" s="516" t="s">
        <v>17</v>
      </c>
      <c r="E5288" s="904" t="s">
        <v>2431</v>
      </c>
      <c r="F5288" s="904"/>
      <c r="G5288" s="518" t="s">
        <v>18</v>
      </c>
      <c r="H5288" s="517" t="s">
        <v>19</v>
      </c>
      <c r="I5288" s="517" t="s">
        <v>20</v>
      </c>
      <c r="J5288" s="517" t="s">
        <v>23</v>
      </c>
    </row>
    <row r="5289" spans="1:10" s="358" customFormat="1" ht="25.5" customHeight="1" x14ac:dyDescent="0.3">
      <c r="A5289" s="642" t="s">
        <v>2432</v>
      </c>
      <c r="B5289" s="643" t="s">
        <v>2846</v>
      </c>
      <c r="C5289" s="642" t="s">
        <v>32</v>
      </c>
      <c r="D5289" s="642" t="s">
        <v>2847</v>
      </c>
      <c r="E5289" s="906" t="s">
        <v>2465</v>
      </c>
      <c r="F5289" s="906"/>
      <c r="G5289" s="644" t="s">
        <v>103</v>
      </c>
      <c r="H5289" s="645">
        <v>1</v>
      </c>
      <c r="I5289" s="646">
        <v>1.23</v>
      </c>
      <c r="J5289" s="646">
        <v>1.23</v>
      </c>
    </row>
    <row r="5290" spans="1:10" ht="25.5" customHeight="1" x14ac:dyDescent="0.3">
      <c r="A5290" s="519" t="s">
        <v>2434</v>
      </c>
      <c r="B5290" s="520" t="s">
        <v>4136</v>
      </c>
      <c r="C5290" s="519" t="s">
        <v>32</v>
      </c>
      <c r="D5290" s="519" t="s">
        <v>4137</v>
      </c>
      <c r="E5290" s="905" t="s">
        <v>2465</v>
      </c>
      <c r="F5290" s="905"/>
      <c r="G5290" s="521" t="s">
        <v>1901</v>
      </c>
      <c r="H5290" s="522">
        <v>1</v>
      </c>
      <c r="I5290" s="523">
        <v>0.43</v>
      </c>
      <c r="J5290" s="523">
        <v>0.43</v>
      </c>
    </row>
    <row r="5291" spans="1:10" s="358" customFormat="1" ht="25.5" customHeight="1" x14ac:dyDescent="0.3">
      <c r="A5291" s="519" t="s">
        <v>2434</v>
      </c>
      <c r="B5291" s="520" t="s">
        <v>4138</v>
      </c>
      <c r="C5291" s="519" t="s">
        <v>32</v>
      </c>
      <c r="D5291" s="519" t="s">
        <v>4139</v>
      </c>
      <c r="E5291" s="905" t="s">
        <v>2465</v>
      </c>
      <c r="F5291" s="905"/>
      <c r="G5291" s="521" t="s">
        <v>1901</v>
      </c>
      <c r="H5291" s="522">
        <v>1</v>
      </c>
      <c r="I5291" s="523">
        <v>0.1</v>
      </c>
      <c r="J5291" s="523">
        <v>0.1</v>
      </c>
    </row>
    <row r="5292" spans="1:10" ht="25.5" customHeight="1" x14ac:dyDescent="0.3">
      <c r="A5292" s="519" t="s">
        <v>2434</v>
      </c>
      <c r="B5292" s="520" t="s">
        <v>4140</v>
      </c>
      <c r="C5292" s="519" t="s">
        <v>32</v>
      </c>
      <c r="D5292" s="519" t="s">
        <v>4141</v>
      </c>
      <c r="E5292" s="905" t="s">
        <v>2465</v>
      </c>
      <c r="F5292" s="905"/>
      <c r="G5292" s="521" t="s">
        <v>1901</v>
      </c>
      <c r="H5292" s="522">
        <v>1</v>
      </c>
      <c r="I5292" s="523">
        <v>0.33</v>
      </c>
      <c r="J5292" s="523">
        <v>0.33</v>
      </c>
    </row>
    <row r="5293" spans="1:10" s="358" customFormat="1" ht="25.5" customHeight="1" thickBot="1" x14ac:dyDescent="0.35">
      <c r="A5293" s="519" t="s">
        <v>2434</v>
      </c>
      <c r="B5293" s="520" t="s">
        <v>4142</v>
      </c>
      <c r="C5293" s="519" t="s">
        <v>32</v>
      </c>
      <c r="D5293" s="519" t="s">
        <v>4143</v>
      </c>
      <c r="E5293" s="905" t="s">
        <v>2465</v>
      </c>
      <c r="F5293" s="905"/>
      <c r="G5293" s="521" t="s">
        <v>1901</v>
      </c>
      <c r="H5293" s="522">
        <v>1</v>
      </c>
      <c r="I5293" s="523">
        <v>0.37</v>
      </c>
      <c r="J5293" s="523">
        <v>0.37</v>
      </c>
    </row>
    <row r="5294" spans="1:10" ht="14.5" thickTop="1" x14ac:dyDescent="0.3">
      <c r="A5294" s="647"/>
      <c r="B5294" s="647"/>
      <c r="C5294" s="647"/>
      <c r="D5294" s="647"/>
      <c r="E5294" s="647"/>
      <c r="F5294" s="647"/>
      <c r="G5294" s="647"/>
      <c r="H5294" s="647"/>
      <c r="I5294" s="647"/>
      <c r="J5294"/>
    </row>
    <row r="5295" spans="1:10" s="358" customFormat="1" x14ac:dyDescent="0.3">
      <c r="A5295" s="516"/>
      <c r="B5295" s="517" t="s">
        <v>15</v>
      </c>
      <c r="C5295" s="516" t="s">
        <v>16</v>
      </c>
      <c r="D5295" s="516" t="s">
        <v>17</v>
      </c>
      <c r="E5295" s="904" t="s">
        <v>2431</v>
      </c>
      <c r="F5295" s="904"/>
      <c r="G5295" s="518" t="s">
        <v>18</v>
      </c>
      <c r="H5295" s="517" t="s">
        <v>19</v>
      </c>
      <c r="I5295" s="517" t="s">
        <v>20</v>
      </c>
      <c r="J5295" s="517" t="s">
        <v>23</v>
      </c>
    </row>
    <row r="5296" spans="1:10" ht="25.5" customHeight="1" x14ac:dyDescent="0.3">
      <c r="A5296" s="642" t="s">
        <v>2432</v>
      </c>
      <c r="B5296" s="643" t="s">
        <v>4136</v>
      </c>
      <c r="C5296" s="642" t="s">
        <v>32</v>
      </c>
      <c r="D5296" s="642" t="s">
        <v>4137</v>
      </c>
      <c r="E5296" s="906" t="s">
        <v>2465</v>
      </c>
      <c r="F5296" s="906"/>
      <c r="G5296" s="644" t="s">
        <v>1901</v>
      </c>
      <c r="H5296" s="645">
        <v>1</v>
      </c>
      <c r="I5296" s="646">
        <v>0.43</v>
      </c>
      <c r="J5296" s="646">
        <v>0.43</v>
      </c>
    </row>
    <row r="5297" spans="1:10" s="358" customFormat="1" ht="25.5" thickBot="1" x14ac:dyDescent="0.35">
      <c r="A5297" s="519" t="s">
        <v>2437</v>
      </c>
      <c r="B5297" s="520" t="s">
        <v>4144</v>
      </c>
      <c r="C5297" s="519" t="s">
        <v>32</v>
      </c>
      <c r="D5297" s="519" t="s">
        <v>4145</v>
      </c>
      <c r="E5297" s="905" t="s">
        <v>2446</v>
      </c>
      <c r="F5297" s="905"/>
      <c r="G5297" s="521" t="s">
        <v>89</v>
      </c>
      <c r="H5297" s="522">
        <v>1.2799999999999999E-4</v>
      </c>
      <c r="I5297" s="523">
        <v>3390.99</v>
      </c>
      <c r="J5297" s="523">
        <v>0.43</v>
      </c>
    </row>
    <row r="5298" spans="1:10" ht="15" customHeight="1" thickTop="1" x14ac:dyDescent="0.3">
      <c r="A5298" s="647"/>
      <c r="B5298" s="647"/>
      <c r="C5298" s="647"/>
      <c r="D5298" s="647"/>
      <c r="E5298" s="647"/>
      <c r="F5298" s="647"/>
      <c r="G5298" s="647"/>
      <c r="H5298" s="647"/>
      <c r="I5298" s="647"/>
      <c r="J5298"/>
    </row>
    <row r="5299" spans="1:10" x14ac:dyDescent="0.3">
      <c r="A5299" s="516"/>
      <c r="B5299" s="517" t="s">
        <v>15</v>
      </c>
      <c r="C5299" s="516" t="s">
        <v>16</v>
      </c>
      <c r="D5299" s="516" t="s">
        <v>17</v>
      </c>
      <c r="E5299" s="904" t="s">
        <v>2431</v>
      </c>
      <c r="F5299" s="904"/>
      <c r="G5299" s="518" t="s">
        <v>18</v>
      </c>
      <c r="H5299" s="517" t="s">
        <v>19</v>
      </c>
      <c r="I5299" s="517" t="s">
        <v>20</v>
      </c>
      <c r="J5299" s="517" t="s">
        <v>23</v>
      </c>
    </row>
    <row r="5300" spans="1:10" ht="25.5" customHeight="1" x14ac:dyDescent="0.3">
      <c r="A5300" s="642" t="s">
        <v>2432</v>
      </c>
      <c r="B5300" s="643" t="s">
        <v>4138</v>
      </c>
      <c r="C5300" s="642" t="s">
        <v>32</v>
      </c>
      <c r="D5300" s="642" t="s">
        <v>4139</v>
      </c>
      <c r="E5300" s="906" t="s">
        <v>2465</v>
      </c>
      <c r="F5300" s="906"/>
      <c r="G5300" s="644" t="s">
        <v>1901</v>
      </c>
      <c r="H5300" s="645">
        <v>1</v>
      </c>
      <c r="I5300" s="646">
        <v>0.1</v>
      </c>
      <c r="J5300" s="646">
        <v>0.1</v>
      </c>
    </row>
    <row r="5301" spans="1:10" ht="25.5" thickBot="1" x14ac:dyDescent="0.35">
      <c r="A5301" s="519" t="s">
        <v>2437</v>
      </c>
      <c r="B5301" s="520" t="s">
        <v>4144</v>
      </c>
      <c r="C5301" s="519" t="s">
        <v>32</v>
      </c>
      <c r="D5301" s="519" t="s">
        <v>4145</v>
      </c>
      <c r="E5301" s="905" t="s">
        <v>2446</v>
      </c>
      <c r="F5301" s="905"/>
      <c r="G5301" s="521" t="s">
        <v>89</v>
      </c>
      <c r="H5301" s="522">
        <v>2.9600000000000001E-5</v>
      </c>
      <c r="I5301" s="523">
        <v>3390.99</v>
      </c>
      <c r="J5301" s="523">
        <v>0.1</v>
      </c>
    </row>
    <row r="5302" spans="1:10" ht="14.5" thickTop="1" x14ac:dyDescent="0.3">
      <c r="A5302" s="647"/>
      <c r="B5302" s="647"/>
      <c r="C5302" s="647"/>
      <c r="D5302" s="647"/>
      <c r="E5302" s="647"/>
      <c r="F5302" s="647"/>
      <c r="G5302" s="647"/>
      <c r="H5302" s="647"/>
      <c r="I5302" s="647"/>
      <c r="J5302"/>
    </row>
    <row r="5303" spans="1:10" ht="14.25" customHeight="1" x14ac:dyDescent="0.3">
      <c r="A5303" s="516"/>
      <c r="B5303" s="517" t="s">
        <v>15</v>
      </c>
      <c r="C5303" s="516" t="s">
        <v>16</v>
      </c>
      <c r="D5303" s="516" t="s">
        <v>17</v>
      </c>
      <c r="E5303" s="904" t="s">
        <v>2431</v>
      </c>
      <c r="F5303" s="904"/>
      <c r="G5303" s="518" t="s">
        <v>18</v>
      </c>
      <c r="H5303" s="517" t="s">
        <v>19</v>
      </c>
      <c r="I5303" s="517" t="s">
        <v>20</v>
      </c>
      <c r="J5303" s="517" t="s">
        <v>23</v>
      </c>
    </row>
    <row r="5304" spans="1:10" ht="14.25" customHeight="1" x14ac:dyDescent="0.3">
      <c r="A5304" s="642" t="s">
        <v>2432</v>
      </c>
      <c r="B5304" s="643" t="s">
        <v>4140</v>
      </c>
      <c r="C5304" s="642" t="s">
        <v>32</v>
      </c>
      <c r="D5304" s="642" t="s">
        <v>4141</v>
      </c>
      <c r="E5304" s="906" t="s">
        <v>2465</v>
      </c>
      <c r="F5304" s="906"/>
      <c r="G5304" s="644" t="s">
        <v>1901</v>
      </c>
      <c r="H5304" s="645">
        <v>1</v>
      </c>
      <c r="I5304" s="646">
        <v>0.33</v>
      </c>
      <c r="J5304" s="646">
        <v>0.33</v>
      </c>
    </row>
    <row r="5305" spans="1:10" ht="14.25" customHeight="1" thickBot="1" x14ac:dyDescent="0.35">
      <c r="A5305" s="519" t="s">
        <v>2437</v>
      </c>
      <c r="B5305" s="520" t="s">
        <v>4144</v>
      </c>
      <c r="C5305" s="519" t="s">
        <v>32</v>
      </c>
      <c r="D5305" s="519" t="s">
        <v>4145</v>
      </c>
      <c r="E5305" s="905" t="s">
        <v>2446</v>
      </c>
      <c r="F5305" s="905"/>
      <c r="G5305" s="521" t="s">
        <v>89</v>
      </c>
      <c r="H5305" s="522">
        <v>1E-4</v>
      </c>
      <c r="I5305" s="523">
        <v>3390.99</v>
      </c>
      <c r="J5305" s="523">
        <v>0.33</v>
      </c>
    </row>
    <row r="5306" spans="1:10" ht="14.5" thickTop="1" x14ac:dyDescent="0.3">
      <c r="A5306" s="647"/>
      <c r="B5306" s="647"/>
      <c r="C5306" s="647"/>
      <c r="D5306" s="647"/>
      <c r="E5306" s="647"/>
      <c r="F5306" s="647"/>
      <c r="G5306" s="647"/>
      <c r="H5306" s="647"/>
      <c r="I5306" s="647"/>
      <c r="J5306"/>
    </row>
    <row r="5307" spans="1:10" ht="14.25" customHeight="1" x14ac:dyDescent="0.3">
      <c r="A5307" s="516"/>
      <c r="B5307" s="517" t="s">
        <v>15</v>
      </c>
      <c r="C5307" s="516" t="s">
        <v>16</v>
      </c>
      <c r="D5307" s="516" t="s">
        <v>17</v>
      </c>
      <c r="E5307" s="904" t="s">
        <v>2431</v>
      </c>
      <c r="F5307" s="904"/>
      <c r="G5307" s="518" t="s">
        <v>18</v>
      </c>
      <c r="H5307" s="517" t="s">
        <v>19</v>
      </c>
      <c r="I5307" s="517" t="s">
        <v>20</v>
      </c>
      <c r="J5307" s="517" t="s">
        <v>23</v>
      </c>
    </row>
    <row r="5308" spans="1:10" ht="14.25" customHeight="1" x14ac:dyDescent="0.3">
      <c r="A5308" s="642" t="s">
        <v>2432</v>
      </c>
      <c r="B5308" s="643" t="s">
        <v>4142</v>
      </c>
      <c r="C5308" s="642" t="s">
        <v>32</v>
      </c>
      <c r="D5308" s="642" t="s">
        <v>4143</v>
      </c>
      <c r="E5308" s="906" t="s">
        <v>2465</v>
      </c>
      <c r="F5308" s="906"/>
      <c r="G5308" s="644" t="s">
        <v>1901</v>
      </c>
      <c r="H5308" s="645">
        <v>1</v>
      </c>
      <c r="I5308" s="646">
        <v>0.37</v>
      </c>
      <c r="J5308" s="646">
        <v>0.37</v>
      </c>
    </row>
    <row r="5309" spans="1:10" ht="15" customHeight="1" thickBot="1" x14ac:dyDescent="0.35">
      <c r="A5309" s="519" t="s">
        <v>2437</v>
      </c>
      <c r="B5309" s="520" t="s">
        <v>3347</v>
      </c>
      <c r="C5309" s="519" t="s">
        <v>32</v>
      </c>
      <c r="D5309" s="519" t="s">
        <v>3348</v>
      </c>
      <c r="E5309" s="905" t="s">
        <v>2442</v>
      </c>
      <c r="F5309" s="905"/>
      <c r="G5309" s="521" t="s">
        <v>2532</v>
      </c>
      <c r="H5309" s="522">
        <v>0.52</v>
      </c>
      <c r="I5309" s="523">
        <v>0.72</v>
      </c>
      <c r="J5309" s="523">
        <v>0.37</v>
      </c>
    </row>
    <row r="5310" spans="1:10" ht="14.5" thickTop="1" x14ac:dyDescent="0.3">
      <c r="A5310" s="647"/>
      <c r="B5310" s="647"/>
      <c r="C5310" s="647"/>
      <c r="D5310" s="647"/>
      <c r="E5310" s="647"/>
      <c r="F5310" s="647"/>
      <c r="G5310" s="647"/>
      <c r="H5310" s="647"/>
      <c r="I5310" s="647"/>
      <c r="J5310"/>
    </row>
    <row r="5311" spans="1:10" x14ac:dyDescent="0.3">
      <c r="A5311" s="516"/>
      <c r="B5311" s="517" t="s">
        <v>15</v>
      </c>
      <c r="C5311" s="516" t="s">
        <v>16</v>
      </c>
      <c r="D5311" s="516" t="s">
        <v>17</v>
      </c>
      <c r="E5311" s="904" t="s">
        <v>2431</v>
      </c>
      <c r="F5311" s="904"/>
      <c r="G5311" s="518" t="s">
        <v>18</v>
      </c>
      <c r="H5311" s="517" t="s">
        <v>19</v>
      </c>
      <c r="I5311" s="517" t="s">
        <v>20</v>
      </c>
      <c r="J5311" s="517" t="s">
        <v>23</v>
      </c>
    </row>
    <row r="5312" spans="1:10" ht="38.25" customHeight="1" x14ac:dyDescent="0.3">
      <c r="A5312" s="642" t="s">
        <v>2432</v>
      </c>
      <c r="B5312" s="643" t="s">
        <v>3664</v>
      </c>
      <c r="C5312" s="642" t="s">
        <v>32</v>
      </c>
      <c r="D5312" s="642" t="s">
        <v>3665</v>
      </c>
      <c r="E5312" s="906" t="s">
        <v>2465</v>
      </c>
      <c r="F5312" s="906"/>
      <c r="G5312" s="644" t="s">
        <v>110</v>
      </c>
      <c r="H5312" s="645">
        <v>1</v>
      </c>
      <c r="I5312" s="646">
        <v>142.18</v>
      </c>
      <c r="J5312" s="646">
        <v>142.18</v>
      </c>
    </row>
    <row r="5313" spans="1:10" ht="25" x14ac:dyDescent="0.3">
      <c r="A5313" s="519" t="s">
        <v>2434</v>
      </c>
      <c r="B5313" s="520" t="s">
        <v>3819</v>
      </c>
      <c r="C5313" s="519" t="s">
        <v>32</v>
      </c>
      <c r="D5313" s="519" t="s">
        <v>3820</v>
      </c>
      <c r="E5313" s="905" t="s">
        <v>2433</v>
      </c>
      <c r="F5313" s="905"/>
      <c r="G5313" s="521" t="s">
        <v>1901</v>
      </c>
      <c r="H5313" s="522">
        <v>1</v>
      </c>
      <c r="I5313" s="523">
        <v>25.72</v>
      </c>
      <c r="J5313" s="523">
        <v>25.72</v>
      </c>
    </row>
    <row r="5314" spans="1:10" ht="14.25" customHeight="1" x14ac:dyDescent="0.3">
      <c r="A5314" s="519" t="s">
        <v>2434</v>
      </c>
      <c r="B5314" s="520" t="s">
        <v>4146</v>
      </c>
      <c r="C5314" s="519" t="s">
        <v>32</v>
      </c>
      <c r="D5314" s="519" t="s">
        <v>4147</v>
      </c>
      <c r="E5314" s="905" t="s">
        <v>2465</v>
      </c>
      <c r="F5314" s="905"/>
      <c r="G5314" s="521" t="s">
        <v>1901</v>
      </c>
      <c r="H5314" s="522">
        <v>1</v>
      </c>
      <c r="I5314" s="523">
        <v>86.11</v>
      </c>
      <c r="J5314" s="523">
        <v>86.11</v>
      </c>
    </row>
    <row r="5315" spans="1:10" ht="15" customHeight="1" thickBot="1" x14ac:dyDescent="0.35">
      <c r="A5315" s="519" t="s">
        <v>2434</v>
      </c>
      <c r="B5315" s="520" t="s">
        <v>4148</v>
      </c>
      <c r="C5315" s="519" t="s">
        <v>32</v>
      </c>
      <c r="D5315" s="519" t="s">
        <v>4149</v>
      </c>
      <c r="E5315" s="905" t="s">
        <v>2465</v>
      </c>
      <c r="F5315" s="905"/>
      <c r="G5315" s="521" t="s">
        <v>1901</v>
      </c>
      <c r="H5315" s="522">
        <v>1</v>
      </c>
      <c r="I5315" s="523">
        <v>30.35</v>
      </c>
      <c r="J5315" s="523">
        <v>30.35</v>
      </c>
    </row>
    <row r="5316" spans="1:10" ht="14.5" thickTop="1" x14ac:dyDescent="0.3">
      <c r="A5316" s="647"/>
      <c r="B5316" s="647"/>
      <c r="C5316" s="647"/>
      <c r="D5316" s="647"/>
      <c r="E5316" s="647"/>
      <c r="F5316" s="647"/>
      <c r="G5316" s="647"/>
      <c r="H5316" s="647"/>
      <c r="I5316" s="647"/>
      <c r="J5316"/>
    </row>
    <row r="5317" spans="1:10" ht="14.25" customHeight="1" x14ac:dyDescent="0.3">
      <c r="A5317" s="516"/>
      <c r="B5317" s="517" t="s">
        <v>15</v>
      </c>
      <c r="C5317" s="516" t="s">
        <v>16</v>
      </c>
      <c r="D5317" s="516" t="s">
        <v>17</v>
      </c>
      <c r="E5317" s="904" t="s">
        <v>2431</v>
      </c>
      <c r="F5317" s="904"/>
      <c r="G5317" s="518" t="s">
        <v>18</v>
      </c>
      <c r="H5317" s="517" t="s">
        <v>19</v>
      </c>
      <c r="I5317" s="517" t="s">
        <v>20</v>
      </c>
      <c r="J5317" s="517" t="s">
        <v>23</v>
      </c>
    </row>
    <row r="5318" spans="1:10" ht="15" customHeight="1" x14ac:dyDescent="0.3">
      <c r="A5318" s="642" t="s">
        <v>2432</v>
      </c>
      <c r="B5318" s="643" t="s">
        <v>3662</v>
      </c>
      <c r="C5318" s="642" t="s">
        <v>32</v>
      </c>
      <c r="D5318" s="642" t="s">
        <v>3663</v>
      </c>
      <c r="E5318" s="906" t="s">
        <v>2465</v>
      </c>
      <c r="F5318" s="906"/>
      <c r="G5318" s="644" t="s">
        <v>103</v>
      </c>
      <c r="H5318" s="645">
        <v>1</v>
      </c>
      <c r="I5318" s="646">
        <v>361.05</v>
      </c>
      <c r="J5318" s="646">
        <v>361.05</v>
      </c>
    </row>
    <row r="5319" spans="1:10" ht="38.25" customHeight="1" x14ac:dyDescent="0.3">
      <c r="A5319" s="519" t="s">
        <v>2434</v>
      </c>
      <c r="B5319" s="520" t="s">
        <v>4150</v>
      </c>
      <c r="C5319" s="519" t="s">
        <v>32</v>
      </c>
      <c r="D5319" s="519" t="s">
        <v>4151</v>
      </c>
      <c r="E5319" s="905" t="s">
        <v>2465</v>
      </c>
      <c r="F5319" s="905"/>
      <c r="G5319" s="521" t="s">
        <v>1901</v>
      </c>
      <c r="H5319" s="522">
        <v>1</v>
      </c>
      <c r="I5319" s="523">
        <v>138.41999999999999</v>
      </c>
      <c r="J5319" s="523">
        <v>138.41999999999999</v>
      </c>
    </row>
    <row r="5320" spans="1:10" ht="38.25" customHeight="1" x14ac:dyDescent="0.3">
      <c r="A5320" s="519" t="s">
        <v>2434</v>
      </c>
      <c r="B5320" s="520" t="s">
        <v>4152</v>
      </c>
      <c r="C5320" s="519" t="s">
        <v>32</v>
      </c>
      <c r="D5320" s="519" t="s">
        <v>4153</v>
      </c>
      <c r="E5320" s="905" t="s">
        <v>2465</v>
      </c>
      <c r="F5320" s="905"/>
      <c r="G5320" s="521" t="s">
        <v>1901</v>
      </c>
      <c r="H5320" s="522">
        <v>1</v>
      </c>
      <c r="I5320" s="523">
        <v>80.45</v>
      </c>
      <c r="J5320" s="523">
        <v>80.45</v>
      </c>
    </row>
    <row r="5321" spans="1:10" ht="25" x14ac:dyDescent="0.3">
      <c r="A5321" s="519" t="s">
        <v>2434</v>
      </c>
      <c r="B5321" s="520" t="s">
        <v>3819</v>
      </c>
      <c r="C5321" s="519" t="s">
        <v>32</v>
      </c>
      <c r="D5321" s="519" t="s">
        <v>3820</v>
      </c>
      <c r="E5321" s="905" t="s">
        <v>2433</v>
      </c>
      <c r="F5321" s="905"/>
      <c r="G5321" s="521" t="s">
        <v>1901</v>
      </c>
      <c r="H5321" s="522">
        <v>1</v>
      </c>
      <c r="I5321" s="523">
        <v>25.72</v>
      </c>
      <c r="J5321" s="523">
        <v>25.72</v>
      </c>
    </row>
    <row r="5322" spans="1:10" ht="38.25" customHeight="1" x14ac:dyDescent="0.3">
      <c r="A5322" s="519" t="s">
        <v>2434</v>
      </c>
      <c r="B5322" s="520" t="s">
        <v>4146</v>
      </c>
      <c r="C5322" s="519" t="s">
        <v>32</v>
      </c>
      <c r="D5322" s="519" t="s">
        <v>4147</v>
      </c>
      <c r="E5322" s="905" t="s">
        <v>2465</v>
      </c>
      <c r="F5322" s="905"/>
      <c r="G5322" s="521" t="s">
        <v>1901</v>
      </c>
      <c r="H5322" s="522">
        <v>1</v>
      </c>
      <c r="I5322" s="523">
        <v>86.11</v>
      </c>
      <c r="J5322" s="523">
        <v>86.11</v>
      </c>
    </row>
    <row r="5323" spans="1:10" ht="14.25" customHeight="1" thickBot="1" x14ac:dyDescent="0.35">
      <c r="A5323" s="519" t="s">
        <v>2434</v>
      </c>
      <c r="B5323" s="520" t="s">
        <v>4148</v>
      </c>
      <c r="C5323" s="519" t="s">
        <v>32</v>
      </c>
      <c r="D5323" s="519" t="s">
        <v>4149</v>
      </c>
      <c r="E5323" s="905" t="s">
        <v>2465</v>
      </c>
      <c r="F5323" s="905"/>
      <c r="G5323" s="521" t="s">
        <v>1901</v>
      </c>
      <c r="H5323" s="522">
        <v>1</v>
      </c>
      <c r="I5323" s="523">
        <v>30.35</v>
      </c>
      <c r="J5323" s="523">
        <v>30.35</v>
      </c>
    </row>
    <row r="5324" spans="1:10" ht="15" customHeight="1" thickTop="1" x14ac:dyDescent="0.3">
      <c r="A5324" s="647"/>
      <c r="B5324" s="647"/>
      <c r="C5324" s="647"/>
      <c r="D5324" s="647"/>
      <c r="E5324" s="647"/>
      <c r="F5324" s="647"/>
      <c r="G5324" s="647"/>
      <c r="H5324" s="647"/>
      <c r="I5324" s="647"/>
      <c r="J5324"/>
    </row>
    <row r="5325" spans="1:10" x14ac:dyDescent="0.3">
      <c r="A5325" s="516"/>
      <c r="B5325" s="517" t="s">
        <v>15</v>
      </c>
      <c r="C5325" s="516" t="s">
        <v>16</v>
      </c>
      <c r="D5325" s="516" t="s">
        <v>17</v>
      </c>
      <c r="E5325" s="904" t="s">
        <v>2431</v>
      </c>
      <c r="F5325" s="904"/>
      <c r="G5325" s="518" t="s">
        <v>18</v>
      </c>
      <c r="H5325" s="517" t="s">
        <v>19</v>
      </c>
      <c r="I5325" s="517" t="s">
        <v>20</v>
      </c>
      <c r="J5325" s="517" t="s">
        <v>23</v>
      </c>
    </row>
    <row r="5326" spans="1:10" ht="38.25" customHeight="1" x14ac:dyDescent="0.3">
      <c r="A5326" s="642" t="s">
        <v>2432</v>
      </c>
      <c r="B5326" s="643" t="s">
        <v>4146</v>
      </c>
      <c r="C5326" s="642" t="s">
        <v>32</v>
      </c>
      <c r="D5326" s="642" t="s">
        <v>4147</v>
      </c>
      <c r="E5326" s="906" t="s">
        <v>2465</v>
      </c>
      <c r="F5326" s="906"/>
      <c r="G5326" s="644" t="s">
        <v>1901</v>
      </c>
      <c r="H5326" s="645">
        <v>1</v>
      </c>
      <c r="I5326" s="646">
        <v>86.11</v>
      </c>
      <c r="J5326" s="646">
        <v>86.11</v>
      </c>
    </row>
    <row r="5327" spans="1:10" ht="25.5" thickBot="1" x14ac:dyDescent="0.35">
      <c r="A5327" s="519" t="s">
        <v>2437</v>
      </c>
      <c r="B5327" s="520" t="s">
        <v>4154</v>
      </c>
      <c r="C5327" s="519" t="s">
        <v>32</v>
      </c>
      <c r="D5327" s="519" t="s">
        <v>4155</v>
      </c>
      <c r="E5327" s="905" t="s">
        <v>2446</v>
      </c>
      <c r="F5327" s="905"/>
      <c r="G5327" s="521" t="s">
        <v>89</v>
      </c>
      <c r="H5327" s="522">
        <v>4.0000000000000003E-5</v>
      </c>
      <c r="I5327" s="523">
        <v>2152752</v>
      </c>
      <c r="J5327" s="523">
        <v>86.11</v>
      </c>
    </row>
    <row r="5328" spans="1:10" ht="14.5" thickTop="1" x14ac:dyDescent="0.3">
      <c r="A5328" s="647"/>
      <c r="B5328" s="647"/>
      <c r="C5328" s="647"/>
      <c r="D5328" s="647"/>
      <c r="E5328" s="647"/>
      <c r="F5328" s="647"/>
      <c r="G5328" s="647"/>
      <c r="H5328" s="647"/>
      <c r="I5328" s="647"/>
      <c r="J5328"/>
    </row>
    <row r="5329" spans="1:10" x14ac:dyDescent="0.3">
      <c r="A5329" s="516"/>
      <c r="B5329" s="517" t="s">
        <v>15</v>
      </c>
      <c r="C5329" s="516" t="s">
        <v>16</v>
      </c>
      <c r="D5329" s="516" t="s">
        <v>17</v>
      </c>
      <c r="E5329" s="904" t="s">
        <v>2431</v>
      </c>
      <c r="F5329" s="904"/>
      <c r="G5329" s="518" t="s">
        <v>18</v>
      </c>
      <c r="H5329" s="517" t="s">
        <v>19</v>
      </c>
      <c r="I5329" s="517" t="s">
        <v>20</v>
      </c>
      <c r="J5329" s="517" t="s">
        <v>23</v>
      </c>
    </row>
    <row r="5330" spans="1:10" ht="15" customHeight="1" x14ac:dyDescent="0.3">
      <c r="A5330" s="642" t="s">
        <v>2432</v>
      </c>
      <c r="B5330" s="643" t="s">
        <v>4148</v>
      </c>
      <c r="C5330" s="642" t="s">
        <v>32</v>
      </c>
      <c r="D5330" s="642" t="s">
        <v>4149</v>
      </c>
      <c r="E5330" s="906" t="s">
        <v>2465</v>
      </c>
      <c r="F5330" s="906"/>
      <c r="G5330" s="644" t="s">
        <v>1901</v>
      </c>
      <c r="H5330" s="645">
        <v>1</v>
      </c>
      <c r="I5330" s="646">
        <v>30.35</v>
      </c>
      <c r="J5330" s="646">
        <v>30.35</v>
      </c>
    </row>
    <row r="5331" spans="1:10" s="358" customFormat="1" ht="25.5" thickBot="1" x14ac:dyDescent="0.35">
      <c r="A5331" s="519" t="s">
        <v>2437</v>
      </c>
      <c r="B5331" s="520" t="s">
        <v>4154</v>
      </c>
      <c r="C5331" s="519" t="s">
        <v>32</v>
      </c>
      <c r="D5331" s="519" t="s">
        <v>4155</v>
      </c>
      <c r="E5331" s="905" t="s">
        <v>2446</v>
      </c>
      <c r="F5331" s="905"/>
      <c r="G5331" s="521" t="s">
        <v>89</v>
      </c>
      <c r="H5331" s="522">
        <v>1.4100000000000001E-5</v>
      </c>
      <c r="I5331" s="523">
        <v>2152752</v>
      </c>
      <c r="J5331" s="523">
        <v>30.35</v>
      </c>
    </row>
    <row r="5332" spans="1:10" ht="14.5" thickTop="1" x14ac:dyDescent="0.3">
      <c r="A5332" s="647"/>
      <c r="B5332" s="647"/>
      <c r="C5332" s="647"/>
      <c r="D5332" s="647"/>
      <c r="E5332" s="647"/>
      <c r="F5332" s="647"/>
      <c r="G5332" s="647"/>
      <c r="H5332" s="647"/>
      <c r="I5332" s="647"/>
      <c r="J5332"/>
    </row>
    <row r="5333" spans="1:10" s="358" customFormat="1" ht="25.5" customHeight="1" x14ac:dyDescent="0.3">
      <c r="A5333" s="516"/>
      <c r="B5333" s="517" t="s">
        <v>15</v>
      </c>
      <c r="C5333" s="516" t="s">
        <v>16</v>
      </c>
      <c r="D5333" s="516" t="s">
        <v>17</v>
      </c>
      <c r="E5333" s="904" t="s">
        <v>2431</v>
      </c>
      <c r="F5333" s="904"/>
      <c r="G5333" s="518" t="s">
        <v>18</v>
      </c>
      <c r="H5333" s="517" t="s">
        <v>19</v>
      </c>
      <c r="I5333" s="517" t="s">
        <v>20</v>
      </c>
      <c r="J5333" s="517" t="s">
        <v>23</v>
      </c>
    </row>
    <row r="5334" spans="1:10" ht="25.5" customHeight="1" x14ac:dyDescent="0.3">
      <c r="A5334" s="642" t="s">
        <v>2432</v>
      </c>
      <c r="B5334" s="643" t="s">
        <v>4150</v>
      </c>
      <c r="C5334" s="642" t="s">
        <v>32</v>
      </c>
      <c r="D5334" s="642" t="s">
        <v>4151</v>
      </c>
      <c r="E5334" s="906" t="s">
        <v>2465</v>
      </c>
      <c r="F5334" s="906"/>
      <c r="G5334" s="644" t="s">
        <v>1901</v>
      </c>
      <c r="H5334" s="645">
        <v>1</v>
      </c>
      <c r="I5334" s="646">
        <v>138.41999999999999</v>
      </c>
      <c r="J5334" s="646">
        <v>138.41999999999999</v>
      </c>
    </row>
    <row r="5335" spans="1:10" ht="26.25" customHeight="1" thickBot="1" x14ac:dyDescent="0.35">
      <c r="A5335" s="519" t="s">
        <v>2437</v>
      </c>
      <c r="B5335" s="520" t="s">
        <v>4154</v>
      </c>
      <c r="C5335" s="519" t="s">
        <v>32</v>
      </c>
      <c r="D5335" s="519" t="s">
        <v>4155</v>
      </c>
      <c r="E5335" s="905" t="s">
        <v>2446</v>
      </c>
      <c r="F5335" s="905"/>
      <c r="G5335" s="521" t="s">
        <v>89</v>
      </c>
      <c r="H5335" s="522">
        <v>6.4300000000000004E-5</v>
      </c>
      <c r="I5335" s="523">
        <v>2152752</v>
      </c>
      <c r="J5335" s="523">
        <v>138.41999999999999</v>
      </c>
    </row>
    <row r="5336" spans="1:10" s="358" customFormat="1" ht="14.5" thickTop="1" x14ac:dyDescent="0.3">
      <c r="A5336" s="647"/>
      <c r="B5336" s="647"/>
      <c r="C5336" s="647"/>
      <c r="D5336" s="647"/>
      <c r="E5336" s="647"/>
      <c r="F5336" s="647"/>
      <c r="G5336" s="647"/>
      <c r="H5336" s="647"/>
      <c r="I5336" s="647"/>
      <c r="J5336"/>
    </row>
    <row r="5337" spans="1:10" x14ac:dyDescent="0.3">
      <c r="A5337" s="516"/>
      <c r="B5337" s="517" t="s">
        <v>15</v>
      </c>
      <c r="C5337" s="516" t="s">
        <v>16</v>
      </c>
      <c r="D5337" s="516" t="s">
        <v>17</v>
      </c>
      <c r="E5337" s="904" t="s">
        <v>2431</v>
      </c>
      <c r="F5337" s="904"/>
      <c r="G5337" s="518" t="s">
        <v>18</v>
      </c>
      <c r="H5337" s="517" t="s">
        <v>19</v>
      </c>
      <c r="I5337" s="517" t="s">
        <v>20</v>
      </c>
      <c r="J5337" s="517" t="s">
        <v>23</v>
      </c>
    </row>
    <row r="5338" spans="1:10" s="358" customFormat="1" ht="25.5" customHeight="1" x14ac:dyDescent="0.3">
      <c r="A5338" s="642" t="s">
        <v>2432</v>
      </c>
      <c r="B5338" s="643" t="s">
        <v>4152</v>
      </c>
      <c r="C5338" s="642" t="s">
        <v>32</v>
      </c>
      <c r="D5338" s="642" t="s">
        <v>4153</v>
      </c>
      <c r="E5338" s="906" t="s">
        <v>2465</v>
      </c>
      <c r="F5338" s="906"/>
      <c r="G5338" s="644" t="s">
        <v>1901</v>
      </c>
      <c r="H5338" s="645">
        <v>1</v>
      </c>
      <c r="I5338" s="646">
        <v>80.45</v>
      </c>
      <c r="J5338" s="646">
        <v>80.45</v>
      </c>
    </row>
    <row r="5339" spans="1:10" ht="25.5" customHeight="1" x14ac:dyDescent="0.3">
      <c r="A5339" s="519" t="s">
        <v>2437</v>
      </c>
      <c r="B5339" s="520" t="s">
        <v>4485</v>
      </c>
      <c r="C5339" s="519" t="s">
        <v>125</v>
      </c>
      <c r="D5339" s="519" t="s">
        <v>4486</v>
      </c>
      <c r="E5339" s="905" t="s">
        <v>2442</v>
      </c>
      <c r="F5339" s="905"/>
      <c r="G5339" s="521" t="s">
        <v>2829</v>
      </c>
      <c r="H5339" s="522">
        <v>14.88</v>
      </c>
      <c r="I5339" s="523">
        <v>5.4069000000000003</v>
      </c>
      <c r="J5339" s="523">
        <v>80.45</v>
      </c>
    </row>
    <row r="5340" spans="1:10" ht="70" customHeight="1" x14ac:dyDescent="0.3">
      <c r="A5340" s="873"/>
      <c r="B5340" s="873"/>
      <c r="C5340" s="873"/>
      <c r="D5340" s="873"/>
      <c r="E5340" s="873"/>
      <c r="F5340" s="873"/>
      <c r="G5340" s="873"/>
      <c r="H5340" s="873"/>
      <c r="I5340" s="873"/>
      <c r="J5340"/>
    </row>
  </sheetData>
  <mergeCells count="5152">
    <mergeCell ref="E4926:F4926"/>
    <mergeCell ref="E4927:F4927"/>
    <mergeCell ref="E5041:F5041"/>
    <mergeCell ref="E5044:F5044"/>
    <mergeCell ref="E5045:F5045"/>
    <mergeCell ref="E5046:F5046"/>
    <mergeCell ref="E5048:F5048"/>
    <mergeCell ref="E5049:F5049"/>
    <mergeCell ref="E5050:F5050"/>
    <mergeCell ref="E5053:F5053"/>
    <mergeCell ref="E4971:F4971"/>
    <mergeCell ref="E4972:F4972"/>
    <mergeCell ref="E4973:F4973"/>
    <mergeCell ref="E4974:F4974"/>
    <mergeCell ref="E4975:F4975"/>
    <mergeCell ref="E4978:F4978"/>
    <mergeCell ref="E4979:F4979"/>
    <mergeCell ref="E4982:F4982"/>
    <mergeCell ref="E4983:F4983"/>
    <mergeCell ref="E5022:F5022"/>
    <mergeCell ref="E4986:F4986"/>
    <mergeCell ref="E4987:F4987"/>
    <mergeCell ref="E4990:F4990"/>
    <mergeCell ref="E4991:F4991"/>
    <mergeCell ref="E4994:F4994"/>
    <mergeCell ref="E4995:F4995"/>
    <mergeCell ref="E4996:F4996"/>
    <mergeCell ref="E4997:F4997"/>
    <mergeCell ref="E5223:F5223"/>
    <mergeCell ref="A5242:E5242"/>
    <mergeCell ref="A5340:I5340"/>
    <mergeCell ref="A4:J4"/>
    <mergeCell ref="E5266:F5266"/>
    <mergeCell ref="E5267:F5267"/>
    <mergeCell ref="E5268:F5268"/>
    <mergeCell ref="E5286:F5286"/>
    <mergeCell ref="E5288:F5288"/>
    <mergeCell ref="E5289:F5289"/>
    <mergeCell ref="E5290:F5290"/>
    <mergeCell ref="E5292:F5292"/>
    <mergeCell ref="E5293:F5293"/>
    <mergeCell ref="E5296:F5296"/>
    <mergeCell ref="E5297:F5297"/>
    <mergeCell ref="E5224:F5224"/>
    <mergeCell ref="A5241:E5241"/>
    <mergeCell ref="E4856:F4856"/>
    <mergeCell ref="E4857:F4857"/>
    <mergeCell ref="E4893:F4893"/>
    <mergeCell ref="E4894:F4894"/>
    <mergeCell ref="E4896:F4896"/>
    <mergeCell ref="E4867:F4867"/>
    <mergeCell ref="E4868:F4868"/>
    <mergeCell ref="E4870:F4870"/>
    <mergeCell ref="E4871:F4871"/>
    <mergeCell ref="E4872:F4872"/>
    <mergeCell ref="E4874:F4874"/>
    <mergeCell ref="E4885:F4885"/>
    <mergeCell ref="E4886:F4886"/>
    <mergeCell ref="E4898:F4898"/>
    <mergeCell ref="E4899:F4899"/>
    <mergeCell ref="E4887:F4887"/>
    <mergeCell ref="E4890:F4890"/>
    <mergeCell ref="E4891:F4891"/>
    <mergeCell ref="E4892:F4892"/>
    <mergeCell ref="E4876:F4876"/>
    <mergeCell ref="E4877:F4877"/>
    <mergeCell ref="E4879:F4879"/>
    <mergeCell ref="E4880:F4880"/>
    <mergeCell ref="E4882:F4882"/>
    <mergeCell ref="E4883:F4883"/>
    <mergeCell ref="E4729:F4729"/>
    <mergeCell ref="E4730:F4730"/>
    <mergeCell ref="E4731:F4731"/>
    <mergeCell ref="E4732:F4732"/>
    <mergeCell ref="E4733:F4733"/>
    <mergeCell ref="E4734:F4734"/>
    <mergeCell ref="E4735:F4735"/>
    <mergeCell ref="E4738:F4738"/>
    <mergeCell ref="E4739:F4739"/>
    <mergeCell ref="E4740:F4740"/>
    <mergeCell ref="E4741:F4741"/>
    <mergeCell ref="E4742:F4742"/>
    <mergeCell ref="E4833:F4833"/>
    <mergeCell ref="E4834:F4834"/>
    <mergeCell ref="E4835:F4835"/>
    <mergeCell ref="E4837:F4837"/>
    <mergeCell ref="E4838:F4838"/>
    <mergeCell ref="E4826:F4826"/>
    <mergeCell ref="E4827:F4827"/>
    <mergeCell ref="E4828:F4828"/>
    <mergeCell ref="E4829:F4829"/>
    <mergeCell ref="E4816:F4816"/>
    <mergeCell ref="E4823:F4823"/>
    <mergeCell ref="E4824:F4824"/>
    <mergeCell ref="E4825:F4825"/>
    <mergeCell ref="E4836:F4836"/>
    <mergeCell ref="E4744:F4744"/>
    <mergeCell ref="E4745:F4745"/>
    <mergeCell ref="E4721:F4721"/>
    <mergeCell ref="E4723:F4723"/>
    <mergeCell ref="E4724:F4724"/>
    <mergeCell ref="E4680:F4680"/>
    <mergeCell ref="E4682:F4682"/>
    <mergeCell ref="E4683:F4683"/>
    <mergeCell ref="E4684:F4684"/>
    <mergeCell ref="E4686:F4686"/>
    <mergeCell ref="E4687:F4687"/>
    <mergeCell ref="E4688:F4688"/>
    <mergeCell ref="E4689:F4689"/>
    <mergeCell ref="E4690:F4690"/>
    <mergeCell ref="E4692:F4692"/>
    <mergeCell ref="E4708:F4708"/>
    <mergeCell ref="E4709:F4709"/>
    <mergeCell ref="E4720:F4720"/>
    <mergeCell ref="A4750:E4750"/>
    <mergeCell ref="A4751:E4751"/>
    <mergeCell ref="A4752:E4752"/>
    <mergeCell ref="A4753:E4753"/>
    <mergeCell ref="A4754:E4754"/>
    <mergeCell ref="A4755:E4755"/>
    <mergeCell ref="E4830:F4830"/>
    <mergeCell ref="A4793:E4793"/>
    <mergeCell ref="A4758:E4758"/>
    <mergeCell ref="A4762:E4762"/>
    <mergeCell ref="E4676:F4676"/>
    <mergeCell ref="E4678:F4678"/>
    <mergeCell ref="E4679:F4679"/>
    <mergeCell ref="E4706:F4706"/>
    <mergeCell ref="E4710:F4710"/>
    <mergeCell ref="E4712:F4712"/>
    <mergeCell ref="E4718:F4718"/>
    <mergeCell ref="E4719:F4719"/>
    <mergeCell ref="E4574:F4574"/>
    <mergeCell ref="E4575:F4575"/>
    <mergeCell ref="E4576:F4576"/>
    <mergeCell ref="E4662:F4662"/>
    <mergeCell ref="E4664:F4664"/>
    <mergeCell ref="E4665:F4665"/>
    <mergeCell ref="E4666:F4666"/>
    <mergeCell ref="E4668:F4668"/>
    <mergeCell ref="E4670:F4670"/>
    <mergeCell ref="E4671:F4671"/>
    <mergeCell ref="E4672:F4672"/>
    <mergeCell ref="E4674:F4674"/>
    <mergeCell ref="E4693:F4693"/>
    <mergeCell ref="E4694:F4694"/>
    <mergeCell ref="E4695:F4695"/>
    <mergeCell ref="E4697:F4697"/>
    <mergeCell ref="E4600:F4600"/>
    <mergeCell ref="E4601:F4601"/>
    <mergeCell ref="E4602:F4602"/>
    <mergeCell ref="E4604:F4604"/>
    <mergeCell ref="E4626:F4626"/>
    <mergeCell ref="E4627:F4627"/>
    <mergeCell ref="E4628:F4628"/>
    <mergeCell ref="E4660:F4660"/>
    <mergeCell ref="E4656:F4656"/>
    <mergeCell ref="E4657:F4657"/>
    <mergeCell ref="E4658:F4658"/>
    <mergeCell ref="E4630:F4630"/>
    <mergeCell ref="E4606:F4606"/>
    <mergeCell ref="E4512:F4512"/>
    <mergeCell ref="E4514:F4514"/>
    <mergeCell ref="E4515:F4515"/>
    <mergeCell ref="E4516:F4516"/>
    <mergeCell ref="E4497:F4497"/>
    <mergeCell ref="E4498:F4498"/>
    <mergeCell ref="E4518:F4518"/>
    <mergeCell ref="E4519:F4519"/>
    <mergeCell ref="E4520:F4520"/>
    <mergeCell ref="E4521:F4521"/>
    <mergeCell ref="E4522:F4522"/>
    <mergeCell ref="E4540:F4540"/>
    <mergeCell ref="E4541:F4541"/>
    <mergeCell ref="E4542:F4542"/>
    <mergeCell ref="E4544:F4544"/>
    <mergeCell ref="E4545:F4545"/>
    <mergeCell ref="E4503:F4503"/>
    <mergeCell ref="E4510:F4510"/>
    <mergeCell ref="E4641:F4641"/>
    <mergeCell ref="E4608:F4608"/>
    <mergeCell ref="E4646:F4646"/>
    <mergeCell ref="E4648:F4648"/>
    <mergeCell ref="E4649:F4649"/>
    <mergeCell ref="E4650:F4650"/>
    <mergeCell ref="E4652:F4652"/>
    <mergeCell ref="E4653:F4653"/>
    <mergeCell ref="E4654:F4654"/>
    <mergeCell ref="E4617:F4617"/>
    <mergeCell ref="E4618:F4618"/>
    <mergeCell ref="E4619:F4619"/>
    <mergeCell ref="E4620:F4620"/>
    <mergeCell ref="E4622:F4622"/>
    <mergeCell ref="E4623:F4623"/>
    <mergeCell ref="E4624:F4624"/>
    <mergeCell ref="E4594:F4594"/>
    <mergeCell ref="E4596:F4596"/>
    <mergeCell ref="E4597:F4597"/>
    <mergeCell ref="E4598:F4598"/>
    <mergeCell ref="E4609:F4609"/>
    <mergeCell ref="E4610:F4610"/>
    <mergeCell ref="E4611:F4611"/>
    <mergeCell ref="E4612:F4612"/>
    <mergeCell ref="E4614:F4614"/>
    <mergeCell ref="E4615:F4615"/>
    <mergeCell ref="E4616:F4616"/>
    <mergeCell ref="E4496:F4496"/>
    <mergeCell ref="E4506:F4506"/>
    <mergeCell ref="E4507:F4507"/>
    <mergeCell ref="E4508:F4508"/>
    <mergeCell ref="E4511:F4511"/>
    <mergeCell ref="E4500:F4500"/>
    <mergeCell ref="E4502:F4502"/>
    <mergeCell ref="E4504:F4504"/>
    <mergeCell ref="E4472:F4472"/>
    <mergeCell ref="E4474:F4474"/>
    <mergeCell ref="E4475:F4475"/>
    <mergeCell ref="E4476:F4476"/>
    <mergeCell ref="E4478:F4478"/>
    <mergeCell ref="E4479:F4479"/>
    <mergeCell ref="E4482:F4482"/>
    <mergeCell ref="E4483:F4483"/>
    <mergeCell ref="E4484:F4484"/>
    <mergeCell ref="E4485:F4485"/>
    <mergeCell ref="E4486:F4486"/>
    <mergeCell ref="E4488:F4488"/>
    <mergeCell ref="E4499:F4499"/>
    <mergeCell ref="E4489:F4489"/>
    <mergeCell ref="E4490:F4490"/>
    <mergeCell ref="E4491:F4491"/>
    <mergeCell ref="E4492:F4492"/>
    <mergeCell ref="E4246:F4246"/>
    <mergeCell ref="E4247:F4247"/>
    <mergeCell ref="A4262:A4263"/>
    <mergeCell ref="B4262:B4263"/>
    <mergeCell ref="C4262:C4263"/>
    <mergeCell ref="D4262:D4263"/>
    <mergeCell ref="E4262:E4263"/>
    <mergeCell ref="F4262:G4262"/>
    <mergeCell ref="G4273:H4273"/>
    <mergeCell ref="E4210:F4210"/>
    <mergeCell ref="E4494:F4494"/>
    <mergeCell ref="E4495:F4495"/>
    <mergeCell ref="E4079:F4079"/>
    <mergeCell ref="E4080:F4080"/>
    <mergeCell ref="E4082:F4082"/>
    <mergeCell ref="E4083:F4083"/>
    <mergeCell ref="E4253:F4253"/>
    <mergeCell ref="E4254:F4254"/>
    <mergeCell ref="E4255:F4255"/>
    <mergeCell ref="E4257:F4257"/>
    <mergeCell ref="E4258:F4258"/>
    <mergeCell ref="E4261:F4261"/>
    <mergeCell ref="F4275:H4275"/>
    <mergeCell ref="G4276:H4276"/>
    <mergeCell ref="G4277:H4277"/>
    <mergeCell ref="G4278:H4278"/>
    <mergeCell ref="F4279:H4279"/>
    <mergeCell ref="E4347:F4347"/>
    <mergeCell ref="A4357:E4357"/>
    <mergeCell ref="E4322:E4323"/>
    <mergeCell ref="F4322:G4322"/>
    <mergeCell ref="A4301:E4301"/>
    <mergeCell ref="E4049:F4049"/>
    <mergeCell ref="E4050:F4050"/>
    <mergeCell ref="E4051:F4051"/>
    <mergeCell ref="E4052:F4052"/>
    <mergeCell ref="E4053:F4053"/>
    <mergeCell ref="E4054:F4054"/>
    <mergeCell ref="E4046:F4046"/>
    <mergeCell ref="E4024:F4024"/>
    <mergeCell ref="A4036:E4036"/>
    <mergeCell ref="A4037:E4037"/>
    <mergeCell ref="A4038:E4038"/>
    <mergeCell ref="A4039:E4039"/>
    <mergeCell ref="A4040:E4040"/>
    <mergeCell ref="A4041:E4041"/>
    <mergeCell ref="A4044:E4044"/>
    <mergeCell ref="E4204:F4204"/>
    <mergeCell ref="E4245:F4245"/>
    <mergeCell ref="E4212:F4212"/>
    <mergeCell ref="E4213:F4213"/>
    <mergeCell ref="E4214:F4214"/>
    <mergeCell ref="E4215:F4215"/>
    <mergeCell ref="E4216:F4216"/>
    <mergeCell ref="E4217:F4217"/>
    <mergeCell ref="E4173:F4173"/>
    <mergeCell ref="E4185:F4185"/>
    <mergeCell ref="E4186:F4186"/>
    <mergeCell ref="E4187:F4187"/>
    <mergeCell ref="E4188:F4188"/>
    <mergeCell ref="E4189:F4189"/>
    <mergeCell ref="E4190:F4190"/>
    <mergeCell ref="E4192:F4192"/>
    <mergeCell ref="E4194:F4194"/>
    <mergeCell ref="E3970:F3970"/>
    <mergeCell ref="E3971:F3971"/>
    <mergeCell ref="E3972:F3972"/>
    <mergeCell ref="E3990:F3990"/>
    <mergeCell ref="E3992:F3992"/>
    <mergeCell ref="E3993:F3993"/>
    <mergeCell ref="E4007:F4007"/>
    <mergeCell ref="E3969:F3969"/>
    <mergeCell ref="E4009:F4009"/>
    <mergeCell ref="E4010:F4010"/>
    <mergeCell ref="E4011:F4011"/>
    <mergeCell ref="E4012:F4012"/>
    <mergeCell ref="E4014:F4014"/>
    <mergeCell ref="E4015:F4015"/>
    <mergeCell ref="E4016:F4016"/>
    <mergeCell ref="E4017:F4017"/>
    <mergeCell ref="E4018:F4018"/>
    <mergeCell ref="E4013:F4013"/>
    <mergeCell ref="E3991:F3991"/>
    <mergeCell ref="E4002:F4002"/>
    <mergeCell ref="E3998:F3998"/>
    <mergeCell ref="E3995:F3995"/>
    <mergeCell ref="E3996:F3996"/>
    <mergeCell ref="E3913:F3913"/>
    <mergeCell ref="E3915:F3915"/>
    <mergeCell ref="E3916:F3916"/>
    <mergeCell ref="E3917:F3917"/>
    <mergeCell ref="E3918:F3918"/>
    <mergeCell ref="E3919:F3919"/>
    <mergeCell ref="E3921:F3921"/>
    <mergeCell ref="E3939:F3939"/>
    <mergeCell ref="E3940:F3940"/>
    <mergeCell ref="E3941:F3941"/>
    <mergeCell ref="E3943:F3943"/>
    <mergeCell ref="E3944:F3944"/>
    <mergeCell ref="E3956:F3956"/>
    <mergeCell ref="E3945:F3945"/>
    <mergeCell ref="E3946:F3946"/>
    <mergeCell ref="E3948:F3948"/>
    <mergeCell ref="E3949:F3949"/>
    <mergeCell ref="E3950:F3950"/>
    <mergeCell ref="E3951:F3951"/>
    <mergeCell ref="E3952:F3952"/>
    <mergeCell ref="E3954:F3954"/>
    <mergeCell ref="E3955:F3955"/>
    <mergeCell ref="E3922:F3922"/>
    <mergeCell ref="E3923:F3923"/>
    <mergeCell ref="E3924:F3924"/>
    <mergeCell ref="E3926:F3926"/>
    <mergeCell ref="E3927:F3927"/>
    <mergeCell ref="E3914:F3914"/>
    <mergeCell ref="E3925:F3925"/>
    <mergeCell ref="E3936:F3936"/>
    <mergeCell ref="E3947:F3947"/>
    <mergeCell ref="E3791:F3791"/>
    <mergeCell ref="E3792:F3792"/>
    <mergeCell ref="E3793:F3793"/>
    <mergeCell ref="E3795:F3795"/>
    <mergeCell ref="E3797:F3797"/>
    <mergeCell ref="E3798:F3798"/>
    <mergeCell ref="E3892:F3892"/>
    <mergeCell ref="E3893:F3893"/>
    <mergeCell ref="E3894:F3894"/>
    <mergeCell ref="E3878:F3878"/>
    <mergeCell ref="E3879:F3879"/>
    <mergeCell ref="E3880:F3880"/>
    <mergeCell ref="E3881:F3881"/>
    <mergeCell ref="E3882:F3882"/>
    <mergeCell ref="E3883:F3883"/>
    <mergeCell ref="E3884:F3884"/>
    <mergeCell ref="E3890:F3890"/>
    <mergeCell ref="E3885:F3885"/>
    <mergeCell ref="E3886:F3886"/>
    <mergeCell ref="E3855:F3855"/>
    <mergeCell ref="E3856:F3856"/>
    <mergeCell ref="E3857:F3857"/>
    <mergeCell ref="E3859:F3859"/>
    <mergeCell ref="E3861:F3861"/>
    <mergeCell ref="E3854:F3854"/>
    <mergeCell ref="E3858:F3858"/>
    <mergeCell ref="E3862:F3862"/>
    <mergeCell ref="E3873:F3873"/>
    <mergeCell ref="E3838:F3838"/>
    <mergeCell ref="E3839:F3839"/>
    <mergeCell ref="E3851:F3851"/>
    <mergeCell ref="E3853:F3853"/>
    <mergeCell ref="E3700:F3700"/>
    <mergeCell ref="E3726:F3726"/>
    <mergeCell ref="E3731:F3731"/>
    <mergeCell ref="E3762:F3762"/>
    <mergeCell ref="E3763:F3763"/>
    <mergeCell ref="E3766:F3766"/>
    <mergeCell ref="E3767:F3767"/>
    <mergeCell ref="E3768:F3768"/>
    <mergeCell ref="E3771:F3771"/>
    <mergeCell ref="E3772:F3772"/>
    <mergeCell ref="E3774:F3774"/>
    <mergeCell ref="E3775:F3775"/>
    <mergeCell ref="E3778:F3778"/>
    <mergeCell ref="E3779:F3779"/>
    <mergeCell ref="E3780:F3780"/>
    <mergeCell ref="E3781:F3781"/>
    <mergeCell ref="E3783:F3783"/>
    <mergeCell ref="E3735:F3735"/>
    <mergeCell ref="E3736:F3736"/>
    <mergeCell ref="E3738:F3738"/>
    <mergeCell ref="E3739:F3739"/>
    <mergeCell ref="E3740:F3740"/>
    <mergeCell ref="E3742:F3742"/>
    <mergeCell ref="E3743:F3743"/>
    <mergeCell ref="E3745:F3745"/>
    <mergeCell ref="E3746:F3746"/>
    <mergeCell ref="E3747:F3747"/>
    <mergeCell ref="E3748:F3748"/>
    <mergeCell ref="E3718:F3718"/>
    <mergeCell ref="E3720:F3720"/>
    <mergeCell ref="E3721:F3721"/>
    <mergeCell ref="E3722:F3722"/>
    <mergeCell ref="E3723:F3723"/>
    <mergeCell ref="E3724:F3724"/>
    <mergeCell ref="E3727:F3727"/>
    <mergeCell ref="E3728:F3728"/>
    <mergeCell ref="E3729:F3729"/>
    <mergeCell ref="E3730:F3730"/>
    <mergeCell ref="E3733:F3733"/>
    <mergeCell ref="E3734:F3734"/>
    <mergeCell ref="E3555:F3555"/>
    <mergeCell ref="E3556:F3556"/>
    <mergeCell ref="E3558:F3558"/>
    <mergeCell ref="E3559:F3559"/>
    <mergeCell ref="E3560:F3560"/>
    <mergeCell ref="E3562:F3562"/>
    <mergeCell ref="E3563:F3563"/>
    <mergeCell ref="E3564:F3564"/>
    <mergeCell ref="E3582:F3582"/>
    <mergeCell ref="E3583:F3583"/>
    <mergeCell ref="E3584:F3584"/>
    <mergeCell ref="E3586:F3586"/>
    <mergeCell ref="E3587:F3587"/>
    <mergeCell ref="E3588:F3588"/>
    <mergeCell ref="E3590:F3590"/>
    <mergeCell ref="E3655:F3655"/>
    <mergeCell ref="E3657:F3657"/>
    <mergeCell ref="E3639:F3639"/>
    <mergeCell ref="E3641:F3641"/>
    <mergeCell ref="E3642:F3642"/>
    <mergeCell ref="E3643:F3643"/>
    <mergeCell ref="E3645:F3645"/>
    <mergeCell ref="E3646:F3646"/>
    <mergeCell ref="E3650:F3650"/>
    <mergeCell ref="E3653:F3653"/>
    <mergeCell ref="E3654:F3654"/>
    <mergeCell ref="E3580:F3580"/>
    <mergeCell ref="E3647:F3647"/>
    <mergeCell ref="E3592:F3592"/>
    <mergeCell ref="E3600:F3600"/>
    <mergeCell ref="E3601:F3601"/>
    <mergeCell ref="E3602:F3602"/>
    <mergeCell ref="E3548:F3548"/>
    <mergeCell ref="E3550:F3550"/>
    <mergeCell ref="E3551:F3551"/>
    <mergeCell ref="E3552:F3552"/>
    <mergeCell ref="E3543:F3543"/>
    <mergeCell ref="E3544:F3544"/>
    <mergeCell ref="E3546:F3546"/>
    <mergeCell ref="E3547:F3547"/>
    <mergeCell ref="E3514:F3514"/>
    <mergeCell ref="E3515:F3515"/>
    <mergeCell ref="E3516:F3516"/>
    <mergeCell ref="E3518:F3518"/>
    <mergeCell ref="E3519:F3519"/>
    <mergeCell ref="E3520:F3520"/>
    <mergeCell ref="E3522:F3522"/>
    <mergeCell ref="E3523:F3523"/>
    <mergeCell ref="E3524:F3524"/>
    <mergeCell ref="E3526:F3526"/>
    <mergeCell ref="E3541:F3541"/>
    <mergeCell ref="E3604:F3604"/>
    <mergeCell ref="E3605:F3605"/>
    <mergeCell ref="E3606:F3606"/>
    <mergeCell ref="E3608:F3608"/>
    <mergeCell ref="E3609:F3609"/>
    <mergeCell ref="E3450:F3450"/>
    <mergeCell ref="E3503:F3503"/>
    <mergeCell ref="A3480:E3480"/>
    <mergeCell ref="E3504:F3504"/>
    <mergeCell ref="E3506:F3506"/>
    <mergeCell ref="E3508:F3508"/>
    <mergeCell ref="E3510:F3510"/>
    <mergeCell ref="E3511:F3511"/>
    <mergeCell ref="E3512:F3512"/>
    <mergeCell ref="E3531:F3531"/>
    <mergeCell ref="E3532:F3532"/>
    <mergeCell ref="E3534:F3534"/>
    <mergeCell ref="E3535:F3535"/>
    <mergeCell ref="E3536:F3536"/>
    <mergeCell ref="E3538:F3538"/>
    <mergeCell ref="E3539:F3539"/>
    <mergeCell ref="E3540:F3540"/>
    <mergeCell ref="A3489:E3489"/>
    <mergeCell ref="E3491:F3491"/>
    <mergeCell ref="E3492:F3492"/>
    <mergeCell ref="E3493:F3493"/>
    <mergeCell ref="E3494:F3494"/>
    <mergeCell ref="E3496:F3496"/>
    <mergeCell ref="E3497:F3497"/>
    <mergeCell ref="E3498:F3498"/>
    <mergeCell ref="E3499:F3499"/>
    <mergeCell ref="E3500:F3500"/>
    <mergeCell ref="E3502:F3502"/>
    <mergeCell ref="E3507:F3507"/>
    <mergeCell ref="E3517:F3517"/>
    <mergeCell ref="F3480:H3480"/>
    <mergeCell ref="G3481:H3481"/>
    <mergeCell ref="E3422:F3422"/>
    <mergeCell ref="E3424:F3424"/>
    <mergeCell ref="E3425:F3425"/>
    <mergeCell ref="E3426:F3426"/>
    <mergeCell ref="E3427:F3427"/>
    <mergeCell ref="E3428:F3428"/>
    <mergeCell ref="E3429:F3429"/>
    <mergeCell ref="E3430:F3430"/>
    <mergeCell ref="E3419:F3419"/>
    <mergeCell ref="E3449:F3449"/>
    <mergeCell ref="E3434:F3434"/>
    <mergeCell ref="E3436:F3436"/>
    <mergeCell ref="E3437:F3437"/>
    <mergeCell ref="E3439:F3439"/>
    <mergeCell ref="E3440:F3440"/>
    <mergeCell ref="E3441:F3441"/>
    <mergeCell ref="E3442:F3442"/>
    <mergeCell ref="E3443:F3443"/>
    <mergeCell ref="E3445:F3445"/>
    <mergeCell ref="E3446:F3446"/>
    <mergeCell ref="E3447:F3447"/>
    <mergeCell ref="E3435:F3435"/>
    <mergeCell ref="E3361:F3361"/>
    <mergeCell ref="E3362:F3362"/>
    <mergeCell ref="E3380:F3380"/>
    <mergeCell ref="E3382:F3382"/>
    <mergeCell ref="E3383:F3383"/>
    <mergeCell ref="E3384:F3384"/>
    <mergeCell ref="E3385:F3385"/>
    <mergeCell ref="E3386:F3386"/>
    <mergeCell ref="E3397:F3397"/>
    <mergeCell ref="E3398:F3398"/>
    <mergeCell ref="E3388:F3388"/>
    <mergeCell ref="E3389:F3389"/>
    <mergeCell ref="E3390:F3390"/>
    <mergeCell ref="E3391:F3391"/>
    <mergeCell ref="E3392:F3392"/>
    <mergeCell ref="E3393:F3393"/>
    <mergeCell ref="E3394:F3394"/>
    <mergeCell ref="E3396:F3396"/>
    <mergeCell ref="E3363:F3363"/>
    <mergeCell ref="E3364:F3364"/>
    <mergeCell ref="E3365:F3365"/>
    <mergeCell ref="E3366:F3366"/>
    <mergeCell ref="E3368:F3368"/>
    <mergeCell ref="E3377:F3377"/>
    <mergeCell ref="E3378:F3378"/>
    <mergeCell ref="E3379:F3379"/>
    <mergeCell ref="A3166:A3167"/>
    <mergeCell ref="E3253:F3253"/>
    <mergeCell ref="E3255:F3255"/>
    <mergeCell ref="E3257:F3257"/>
    <mergeCell ref="E3259:F3259"/>
    <mergeCell ref="E3260:F3260"/>
    <mergeCell ref="E3283:F3283"/>
    <mergeCell ref="E3284:F3284"/>
    <mergeCell ref="E3285:F3285"/>
    <mergeCell ref="E3287:F3287"/>
    <mergeCell ref="E3300:F3300"/>
    <mergeCell ref="E3288:F3288"/>
    <mergeCell ref="E3289:F3289"/>
    <mergeCell ref="E3290:F3290"/>
    <mergeCell ref="E3291:F3291"/>
    <mergeCell ref="E3292:F3292"/>
    <mergeCell ref="E3293:F3293"/>
    <mergeCell ref="E3295:F3295"/>
    <mergeCell ref="E3296:F3296"/>
    <mergeCell ref="E3297:F3297"/>
    <mergeCell ref="E3261:F3261"/>
    <mergeCell ref="E3263:F3263"/>
    <mergeCell ref="E3265:F3265"/>
    <mergeCell ref="E3248:F3248"/>
    <mergeCell ref="E3208:F3208"/>
    <mergeCell ref="E3209:F3209"/>
    <mergeCell ref="E3210:F3210"/>
    <mergeCell ref="E3211:F3211"/>
    <mergeCell ref="E3213:F3213"/>
    <mergeCell ref="E3214:F3214"/>
    <mergeCell ref="E3215:F3215"/>
    <mergeCell ref="E3216:F3216"/>
    <mergeCell ref="E2900:F2900"/>
    <mergeCell ref="E2920:F2920"/>
    <mergeCell ref="E2956:F2956"/>
    <mergeCell ref="E2922:F2922"/>
    <mergeCell ref="E2924:F2924"/>
    <mergeCell ref="E2926:F2926"/>
    <mergeCell ref="E2928:F2928"/>
    <mergeCell ref="E2930:F2930"/>
    <mergeCell ref="E2932:F2932"/>
    <mergeCell ref="E2934:F2934"/>
    <mergeCell ref="E2936:F2936"/>
    <mergeCell ref="E2904:F2904"/>
    <mergeCell ref="E2906:F2906"/>
    <mergeCell ref="A3036:E3036"/>
    <mergeCell ref="A3037:E3037"/>
    <mergeCell ref="A3038:E3038"/>
    <mergeCell ref="E2995:F2995"/>
    <mergeCell ref="E2999:F2999"/>
    <mergeCell ref="E3003:F3003"/>
    <mergeCell ref="E2908:F2908"/>
    <mergeCell ref="E2910:F2910"/>
    <mergeCell ref="E2912:F2912"/>
    <mergeCell ref="E2914:F2914"/>
    <mergeCell ref="E2916:F2916"/>
    <mergeCell ref="E2918:F2918"/>
    <mergeCell ref="E2902:F2902"/>
    <mergeCell ref="A3013:E3013"/>
    <mergeCell ref="A3014:E3014"/>
    <mergeCell ref="A3015:E3015"/>
    <mergeCell ref="A3016:E3016"/>
    <mergeCell ref="E3019:F3019"/>
    <mergeCell ref="A3020:A3021"/>
    <mergeCell ref="E2898:F2898"/>
    <mergeCell ref="E2868:F2868"/>
    <mergeCell ref="E2836:F2836"/>
    <mergeCell ref="E2838:F2838"/>
    <mergeCell ref="E2840:F2840"/>
    <mergeCell ref="E2842:F2842"/>
    <mergeCell ref="E2844:F2844"/>
    <mergeCell ref="E2846:F2846"/>
    <mergeCell ref="E2848:F2848"/>
    <mergeCell ref="E2850:F2850"/>
    <mergeCell ref="E2852:F2852"/>
    <mergeCell ref="E2870:F2870"/>
    <mergeCell ref="E2872:F2872"/>
    <mergeCell ref="E2874:F2874"/>
    <mergeCell ref="E2876:F2876"/>
    <mergeCell ref="E2882:F2882"/>
    <mergeCell ref="E2884:F2884"/>
    <mergeCell ref="E2886:F2886"/>
    <mergeCell ref="E2860:F2860"/>
    <mergeCell ref="E2843:F2843"/>
    <mergeCell ref="E2847:F2847"/>
    <mergeCell ref="E2851:F2851"/>
    <mergeCell ref="E2855:F2855"/>
    <mergeCell ref="E2864:F2864"/>
    <mergeCell ref="E2866:F2866"/>
    <mergeCell ref="E2888:F2888"/>
    <mergeCell ref="E2890:F2890"/>
    <mergeCell ref="E2892:F2892"/>
    <mergeCell ref="E2894:F2894"/>
    <mergeCell ref="E2896:F2896"/>
    <mergeCell ref="E2802:F2802"/>
    <mergeCell ref="E2830:F2830"/>
    <mergeCell ref="E2832:F2832"/>
    <mergeCell ref="E2834:F2834"/>
    <mergeCell ref="E2854:F2854"/>
    <mergeCell ref="E2856:F2856"/>
    <mergeCell ref="E2858:F2858"/>
    <mergeCell ref="E2827:F2827"/>
    <mergeCell ref="E2831:F2831"/>
    <mergeCell ref="E2835:F2835"/>
    <mergeCell ref="E2839:F2839"/>
    <mergeCell ref="E2820:F2820"/>
    <mergeCell ref="E2822:F2822"/>
    <mergeCell ref="E2824:F2824"/>
    <mergeCell ref="E2826:F2826"/>
    <mergeCell ref="E2823:F2823"/>
    <mergeCell ref="E2803:F2803"/>
    <mergeCell ref="E2814:F2814"/>
    <mergeCell ref="E2816:F2816"/>
    <mergeCell ref="E2818:F2818"/>
    <mergeCell ref="E2804:F2804"/>
    <mergeCell ref="E2806:F2806"/>
    <mergeCell ref="E2808:F2808"/>
    <mergeCell ref="E2597:F2597"/>
    <mergeCell ref="E2598:F2598"/>
    <mergeCell ref="E2600:F2600"/>
    <mergeCell ref="E2601:F2601"/>
    <mergeCell ref="E2735:F2735"/>
    <mergeCell ref="E2736:F2736"/>
    <mergeCell ref="E2718:F2718"/>
    <mergeCell ref="E2719:F2719"/>
    <mergeCell ref="E2720:F2720"/>
    <mergeCell ref="E2722:F2722"/>
    <mergeCell ref="E2723:F2723"/>
    <mergeCell ref="E2725:F2725"/>
    <mergeCell ref="E2726:F2726"/>
    <mergeCell ref="E2727:F2727"/>
    <mergeCell ref="E2728:F2728"/>
    <mergeCell ref="E2729:F2729"/>
    <mergeCell ref="E2730:F2730"/>
    <mergeCell ref="E2732:F2732"/>
    <mergeCell ref="E2733:F2733"/>
    <mergeCell ref="E2701:F2701"/>
    <mergeCell ref="E2702:F2702"/>
    <mergeCell ref="E2703:F2703"/>
    <mergeCell ref="E2705:F2705"/>
    <mergeCell ref="E2706:F2706"/>
    <mergeCell ref="E2708:F2708"/>
    <mergeCell ref="E2709:F2709"/>
    <mergeCell ref="E2710:F2710"/>
    <mergeCell ref="E2712:F2712"/>
    <mergeCell ref="E2652:F2652"/>
    <mergeCell ref="E2655:F2655"/>
    <mergeCell ref="E2656:F2656"/>
    <mergeCell ref="E2657:F2657"/>
    <mergeCell ref="E2659:F2659"/>
    <mergeCell ref="E2661:F2661"/>
    <mergeCell ref="E2663:F2663"/>
    <mergeCell ref="E2683:F2683"/>
    <mergeCell ref="E2684:F2684"/>
    <mergeCell ref="E2685:F2685"/>
    <mergeCell ref="E2687:F2687"/>
    <mergeCell ref="E2680:F2680"/>
    <mergeCell ref="E2631:F2631"/>
    <mergeCell ref="E2633:F2633"/>
    <mergeCell ref="E2635:F2635"/>
    <mergeCell ref="E2637:F2637"/>
    <mergeCell ref="E2638:F2638"/>
    <mergeCell ref="E2641:F2641"/>
    <mergeCell ref="E2642:F2642"/>
    <mergeCell ref="E2643:F2643"/>
    <mergeCell ref="E2645:F2645"/>
    <mergeCell ref="E2647:F2647"/>
    <mergeCell ref="E2651:F2651"/>
    <mergeCell ref="E2632:F2632"/>
    <mergeCell ref="E2636:F2636"/>
    <mergeCell ref="E2640:F2640"/>
    <mergeCell ref="E2644:F2644"/>
    <mergeCell ref="E2648:F2648"/>
    <mergeCell ref="E2653:F2653"/>
    <mergeCell ref="E2660:F2660"/>
    <mergeCell ref="E2664:F2664"/>
    <mergeCell ref="E2668:F2668"/>
    <mergeCell ref="E2672:F2672"/>
    <mergeCell ref="E2676:F2676"/>
    <mergeCell ref="E2681:F2681"/>
    <mergeCell ref="E2649:F2649"/>
    <mergeCell ref="E2500:F2500"/>
    <mergeCell ref="E2503:F2503"/>
    <mergeCell ref="E2504:F2504"/>
    <mergeCell ref="E2505:F2505"/>
    <mergeCell ref="E2506:F2506"/>
    <mergeCell ref="E2507:F2507"/>
    <mergeCell ref="E2508:F2508"/>
    <mergeCell ref="E2511:F2511"/>
    <mergeCell ref="E2529:F2529"/>
    <mergeCell ref="E2530:F2530"/>
    <mergeCell ref="E2532:F2532"/>
    <mergeCell ref="E2548:F2548"/>
    <mergeCell ref="E2549:F2549"/>
    <mergeCell ref="E2551:F2551"/>
    <mergeCell ref="E2553:F2553"/>
    <mergeCell ref="E2554:F2554"/>
    <mergeCell ref="E2556:F2556"/>
    <mergeCell ref="E2525:F2525"/>
    <mergeCell ref="E2527:F2527"/>
    <mergeCell ref="E2534:F2534"/>
    <mergeCell ref="E2535:F2535"/>
    <mergeCell ref="E2537:F2537"/>
    <mergeCell ref="E2526:F2526"/>
    <mergeCell ref="E2531:F2531"/>
    <mergeCell ref="E2536:F2536"/>
    <mergeCell ref="E2541:F2541"/>
    <mergeCell ref="E2546:F2546"/>
    <mergeCell ref="E2550:F2550"/>
    <mergeCell ref="E2555:F2555"/>
    <mergeCell ref="E2344:F2344"/>
    <mergeCell ref="E2345:F2345"/>
    <mergeCell ref="A2321:E2321"/>
    <mergeCell ref="A2331:E2331"/>
    <mergeCell ref="E2333:F2333"/>
    <mergeCell ref="E2334:F2334"/>
    <mergeCell ref="E2335:F2335"/>
    <mergeCell ref="E2336:F2336"/>
    <mergeCell ref="E2337:F2337"/>
    <mergeCell ref="E2338:F2338"/>
    <mergeCell ref="E2340:F2340"/>
    <mergeCell ref="F2321:H2321"/>
    <mergeCell ref="G2322:H2322"/>
    <mergeCell ref="E2495:F2495"/>
    <mergeCell ref="E2497:F2497"/>
    <mergeCell ref="E2498:F2498"/>
    <mergeCell ref="E2499:F2499"/>
    <mergeCell ref="E2457:F2457"/>
    <mergeCell ref="E2459:F2459"/>
    <mergeCell ref="E2428:F2428"/>
    <mergeCell ref="E2429:F2429"/>
    <mergeCell ref="E2431:F2431"/>
    <mergeCell ref="E2433:F2433"/>
    <mergeCell ref="E2434:F2434"/>
    <mergeCell ref="E2437:F2437"/>
    <mergeCell ref="E2438:F2438"/>
    <mergeCell ref="E2439:F2439"/>
    <mergeCell ref="E2441:F2441"/>
    <mergeCell ref="E2442:F2442"/>
    <mergeCell ref="E2443:F2443"/>
    <mergeCell ref="E2446:F2446"/>
    <mergeCell ref="E2447:F2447"/>
    <mergeCell ref="A2295:E2295"/>
    <mergeCell ref="A2296:E2296"/>
    <mergeCell ref="A2297:E2297"/>
    <mergeCell ref="E2342:F2342"/>
    <mergeCell ref="E2343:F2343"/>
    <mergeCell ref="E2341:F2341"/>
    <mergeCell ref="A2312:E2312"/>
    <mergeCell ref="F2295:H2295"/>
    <mergeCell ref="F2296:H2296"/>
    <mergeCell ref="F2297:H2297"/>
    <mergeCell ref="G2298:H2298"/>
    <mergeCell ref="G2299:H2299"/>
    <mergeCell ref="G2300:H2300"/>
    <mergeCell ref="G2301:H2301"/>
    <mergeCell ref="G2302:H2302"/>
    <mergeCell ref="G2303:H2303"/>
    <mergeCell ref="G2304:H2304"/>
    <mergeCell ref="G2305:H2305"/>
    <mergeCell ref="F2306:H2306"/>
    <mergeCell ref="G2307:H2307"/>
    <mergeCell ref="E2117:F2117"/>
    <mergeCell ref="E2119:F2119"/>
    <mergeCell ref="E2108:F2108"/>
    <mergeCell ref="E2120:F2120"/>
    <mergeCell ref="E2121:F2121"/>
    <mergeCell ref="E2122:F2122"/>
    <mergeCell ref="E2143:F2143"/>
    <mergeCell ref="E2144:F2144"/>
    <mergeCell ref="E2123:F2123"/>
    <mergeCell ref="E2125:F2125"/>
    <mergeCell ref="E2093:F2093"/>
    <mergeCell ref="E2095:F2095"/>
    <mergeCell ref="E2096:F2096"/>
    <mergeCell ref="E2097:F2097"/>
    <mergeCell ref="E2098:F2098"/>
    <mergeCell ref="E2100:F2100"/>
    <mergeCell ref="E2101:F2101"/>
    <mergeCell ref="E2102:F2102"/>
    <mergeCell ref="E2104:F2104"/>
    <mergeCell ref="E2105:F2105"/>
    <mergeCell ref="E2107:F2107"/>
    <mergeCell ref="E2060:F2060"/>
    <mergeCell ref="E2061:F2061"/>
    <mergeCell ref="E2062:F2062"/>
    <mergeCell ref="E2063:F2063"/>
    <mergeCell ref="E2064:F2064"/>
    <mergeCell ref="E2065:F2065"/>
    <mergeCell ref="E2066:F2066"/>
    <mergeCell ref="E2067:F2067"/>
    <mergeCell ref="E2033:F2033"/>
    <mergeCell ref="E2034:F2034"/>
    <mergeCell ref="E2037:F2037"/>
    <mergeCell ref="E2038:F2038"/>
    <mergeCell ref="E2039:F2039"/>
    <mergeCell ref="E2040:F2040"/>
    <mergeCell ref="E2041:F2041"/>
    <mergeCell ref="E2042:F2042"/>
    <mergeCell ref="E2043:F2043"/>
    <mergeCell ref="E2045:F2045"/>
    <mergeCell ref="E2046:F2046"/>
    <mergeCell ref="E2049:F2049"/>
    <mergeCell ref="E2050:F2050"/>
    <mergeCell ref="E2051:F2051"/>
    <mergeCell ref="E2044:F2044"/>
    <mergeCell ref="E2024:F2024"/>
    <mergeCell ref="E2016:F2016"/>
    <mergeCell ref="E2017:F2017"/>
    <mergeCell ref="E2019:F2019"/>
    <mergeCell ref="E2020:F2020"/>
    <mergeCell ref="E2021:F2021"/>
    <mergeCell ref="E1933:F1933"/>
    <mergeCell ref="E1934:F1934"/>
    <mergeCell ref="E1935:F1935"/>
    <mergeCell ref="E1941:F1941"/>
    <mergeCell ref="E1942:F1942"/>
    <mergeCell ref="E1943:F1943"/>
    <mergeCell ref="E1944:F1944"/>
    <mergeCell ref="E1946:F1946"/>
    <mergeCell ref="E1948:F1948"/>
    <mergeCell ref="E1949:F1949"/>
    <mergeCell ref="E1950:F1950"/>
    <mergeCell ref="E1968:F1968"/>
    <mergeCell ref="E1969:F1969"/>
    <mergeCell ref="E1957:F1957"/>
    <mergeCell ref="E1958:F1958"/>
    <mergeCell ref="E1959:F1959"/>
    <mergeCell ref="E1963:F1963"/>
    <mergeCell ref="E1966:F1966"/>
    <mergeCell ref="E1967:F1967"/>
    <mergeCell ref="A1995:E1995"/>
    <mergeCell ref="A1996:E1996"/>
    <mergeCell ref="E2000:F2000"/>
    <mergeCell ref="E2001:F2001"/>
    <mergeCell ref="E1951:F1951"/>
    <mergeCell ref="E1952:F1952"/>
    <mergeCell ref="C2002:C2003"/>
    <mergeCell ref="G1780:H1780"/>
    <mergeCell ref="F1784:H1784"/>
    <mergeCell ref="A1755:E1755"/>
    <mergeCell ref="A1762:E1762"/>
    <mergeCell ref="A1750:E1750"/>
    <mergeCell ref="E1757:F1757"/>
    <mergeCell ref="E1758:F1758"/>
    <mergeCell ref="A1759:A1760"/>
    <mergeCell ref="B1759:B1760"/>
    <mergeCell ref="A1784:E1784"/>
    <mergeCell ref="G1772:H1772"/>
    <mergeCell ref="G1773:H1773"/>
    <mergeCell ref="G1774:H1774"/>
    <mergeCell ref="E1914:F1914"/>
    <mergeCell ref="E1915:F1915"/>
    <mergeCell ref="E1916:F1916"/>
    <mergeCell ref="E1917:F1917"/>
    <mergeCell ref="A1820:E1820"/>
    <mergeCell ref="A1821:E1821"/>
    <mergeCell ref="A1829:E1829"/>
    <mergeCell ref="A1832:E1832"/>
    <mergeCell ref="A1845:E1845"/>
    <mergeCell ref="A1855:E1855"/>
    <mergeCell ref="A1854:E1854"/>
    <mergeCell ref="A1856:E1856"/>
    <mergeCell ref="A1857:E1857"/>
    <mergeCell ref="A1858:E1858"/>
    <mergeCell ref="E1882:F1882"/>
    <mergeCell ref="E1883:F1883"/>
    <mergeCell ref="E1887:F1887"/>
    <mergeCell ref="E1888:F1888"/>
    <mergeCell ref="E1889:F1889"/>
    <mergeCell ref="A1746:E1746"/>
    <mergeCell ref="A1766:E1766"/>
    <mergeCell ref="C1759:C1760"/>
    <mergeCell ref="D1759:D1760"/>
    <mergeCell ref="E1759:E1760"/>
    <mergeCell ref="F1759:G1759"/>
    <mergeCell ref="F1746:H1746"/>
    <mergeCell ref="F1750:H1750"/>
    <mergeCell ref="G1751:H1751"/>
    <mergeCell ref="F1755:H1755"/>
    <mergeCell ref="E1703:F1703"/>
    <mergeCell ref="E1704:F1704"/>
    <mergeCell ref="E1686:F1686"/>
    <mergeCell ref="E1689:F1689"/>
    <mergeCell ref="E1690:F1690"/>
    <mergeCell ref="E1692:F1692"/>
    <mergeCell ref="E1693:F1693"/>
    <mergeCell ref="E1694:F1694"/>
    <mergeCell ref="E1695:F1695"/>
    <mergeCell ref="E1478:F1478"/>
    <mergeCell ref="E1479:F1479"/>
    <mergeCell ref="E1480:F1480"/>
    <mergeCell ref="E1482:F1482"/>
    <mergeCell ref="E1468:F1468"/>
    <mergeCell ref="E1470:F1470"/>
    <mergeCell ref="E1471:F1471"/>
    <mergeCell ref="E1472:F1472"/>
    <mergeCell ref="E1466:F1466"/>
    <mergeCell ref="E1467:F1467"/>
    <mergeCell ref="E1473:F1473"/>
    <mergeCell ref="E1481:F1481"/>
    <mergeCell ref="E1461:F1461"/>
    <mergeCell ref="E1462:F1462"/>
    <mergeCell ref="A1513:E1513"/>
    <mergeCell ref="A1514:E1514"/>
    <mergeCell ref="A1515:E1515"/>
    <mergeCell ref="E1498:F1498"/>
    <mergeCell ref="E1499:F1499"/>
    <mergeCell ref="E1500:F1500"/>
    <mergeCell ref="E1502:F1502"/>
    <mergeCell ref="E1503:F1503"/>
    <mergeCell ref="A1504:A1505"/>
    <mergeCell ref="B1504:B1505"/>
    <mergeCell ref="C1504:C1505"/>
    <mergeCell ref="D1504:D1505"/>
    <mergeCell ref="E1504:E1505"/>
    <mergeCell ref="F1504:G1504"/>
    <mergeCell ref="A1512:E1512"/>
    <mergeCell ref="E1175:F1175"/>
    <mergeCell ref="E1177:F1177"/>
    <mergeCell ref="E1178:F1178"/>
    <mergeCell ref="E1180:F1180"/>
    <mergeCell ref="E1199:F1199"/>
    <mergeCell ref="E1200:F1200"/>
    <mergeCell ref="E1201:F1201"/>
    <mergeCell ref="E1286:F1286"/>
    <mergeCell ref="E1395:F1395"/>
    <mergeCell ref="E1415:F1415"/>
    <mergeCell ref="E1416:F1416"/>
    <mergeCell ref="E1397:F1397"/>
    <mergeCell ref="E1399:F1399"/>
    <mergeCell ref="E1400:F1400"/>
    <mergeCell ref="E1401:F1401"/>
    <mergeCell ref="E1402:F1402"/>
    <mergeCell ref="E1403:F1403"/>
    <mergeCell ref="E1405:F1405"/>
    <mergeCell ref="E1406:F1406"/>
    <mergeCell ref="E1407:F1407"/>
    <mergeCell ref="E1408:F1408"/>
    <mergeCell ref="E1409:F1409"/>
    <mergeCell ref="E1410:F1410"/>
    <mergeCell ref="E1411:F1411"/>
    <mergeCell ref="E1412:F1412"/>
    <mergeCell ref="E1413:F1413"/>
    <mergeCell ref="E1272:F1272"/>
    <mergeCell ref="E1274:F1274"/>
    <mergeCell ref="E1276:F1276"/>
    <mergeCell ref="E1258:F1258"/>
    <mergeCell ref="E1260:F1260"/>
    <mergeCell ref="E1261:F1261"/>
    <mergeCell ref="E995:F995"/>
    <mergeCell ref="E1003:F1003"/>
    <mergeCell ref="E1004:F1004"/>
    <mergeCell ref="E1006:F1006"/>
    <mergeCell ref="E1017:F1017"/>
    <mergeCell ref="E1018:F1018"/>
    <mergeCell ref="E1000:F1000"/>
    <mergeCell ref="E1002:F1002"/>
    <mergeCell ref="E1041:F1041"/>
    <mergeCell ref="E1042:F1042"/>
    <mergeCell ref="E1044:F1044"/>
    <mergeCell ref="E1031:F1031"/>
    <mergeCell ref="E1032:F1032"/>
    <mergeCell ref="E1034:F1034"/>
    <mergeCell ref="E1035:F1035"/>
    <mergeCell ref="E1045:F1045"/>
    <mergeCell ref="E1046:F1046"/>
    <mergeCell ref="E1037:F1037"/>
    <mergeCell ref="E1038:F1038"/>
    <mergeCell ref="E1039:F1039"/>
    <mergeCell ref="E996:F996"/>
    <mergeCell ref="E997:F997"/>
    <mergeCell ref="E999:F999"/>
    <mergeCell ref="E1025:F1025"/>
    <mergeCell ref="E1027:F1027"/>
    <mergeCell ref="E1028:F1028"/>
    <mergeCell ref="E1030:F1030"/>
    <mergeCell ref="E998:F998"/>
    <mergeCell ref="E1005:F1005"/>
    <mergeCell ref="E1012:F1012"/>
    <mergeCell ref="E1019:F1019"/>
    <mergeCell ref="E1026:F1026"/>
    <mergeCell ref="E911:F911"/>
    <mergeCell ref="E912:F912"/>
    <mergeCell ref="E928:F928"/>
    <mergeCell ref="E929:F929"/>
    <mergeCell ref="E916:F916"/>
    <mergeCell ref="E917:F917"/>
    <mergeCell ref="E918:F918"/>
    <mergeCell ref="E920:F920"/>
    <mergeCell ref="E922:F922"/>
    <mergeCell ref="E923:F923"/>
    <mergeCell ref="E924:F924"/>
    <mergeCell ref="E926:F926"/>
    <mergeCell ref="E894:F894"/>
    <mergeCell ref="E896:F896"/>
    <mergeCell ref="E898:F898"/>
    <mergeCell ref="E899:F899"/>
    <mergeCell ref="E908:F908"/>
    <mergeCell ref="E910:F910"/>
    <mergeCell ref="E914:F914"/>
    <mergeCell ref="E921:F921"/>
    <mergeCell ref="E900:F900"/>
    <mergeCell ref="E902:F902"/>
    <mergeCell ref="A726:E726"/>
    <mergeCell ref="F726:H726"/>
    <mergeCell ref="G727:H727"/>
    <mergeCell ref="A732:E732"/>
    <mergeCell ref="A750:E750"/>
    <mergeCell ref="A754:E754"/>
    <mergeCell ref="E734:F734"/>
    <mergeCell ref="A746:E746"/>
    <mergeCell ref="E752:F752"/>
    <mergeCell ref="E753:F753"/>
    <mergeCell ref="A755:E755"/>
    <mergeCell ref="F732:H732"/>
    <mergeCell ref="F736:H736"/>
    <mergeCell ref="F737:H737"/>
    <mergeCell ref="F738:H738"/>
    <mergeCell ref="F739:H739"/>
    <mergeCell ref="E637:F637"/>
    <mergeCell ref="E638:F638"/>
    <mergeCell ref="E639:F639"/>
    <mergeCell ref="E640:F640"/>
    <mergeCell ref="E641:F641"/>
    <mergeCell ref="E642:F642"/>
    <mergeCell ref="E645:F645"/>
    <mergeCell ref="E663:F663"/>
    <mergeCell ref="E664:F664"/>
    <mergeCell ref="E665:F665"/>
    <mergeCell ref="E515:F515"/>
    <mergeCell ref="E516:F516"/>
    <mergeCell ref="E517:F517"/>
    <mergeCell ref="E518:F518"/>
    <mergeCell ref="E519:F519"/>
    <mergeCell ref="E520:F520"/>
    <mergeCell ref="E521:F521"/>
    <mergeCell ref="E539:F539"/>
    <mergeCell ref="E540:F540"/>
    <mergeCell ref="E541:F541"/>
    <mergeCell ref="E542:F542"/>
    <mergeCell ref="A624:E624"/>
    <mergeCell ref="A634:E634"/>
    <mergeCell ref="E636:F636"/>
    <mergeCell ref="E644:F644"/>
    <mergeCell ref="E648:F648"/>
    <mergeCell ref="A714:E714"/>
    <mergeCell ref="E499:F499"/>
    <mergeCell ref="E500:F500"/>
    <mergeCell ref="E505:F505"/>
    <mergeCell ref="E506:F506"/>
    <mergeCell ref="E509:F509"/>
    <mergeCell ref="E501:F501"/>
    <mergeCell ref="E502:F502"/>
    <mergeCell ref="E503:F503"/>
    <mergeCell ref="E504:F504"/>
    <mergeCell ref="E496:F496"/>
    <mergeCell ref="E508:F508"/>
    <mergeCell ref="E666:F666"/>
    <mergeCell ref="E667:F667"/>
    <mergeCell ref="E646:F646"/>
    <mergeCell ref="E647:F647"/>
    <mergeCell ref="E649:F649"/>
    <mergeCell ref="E650:F650"/>
    <mergeCell ref="E651:F651"/>
    <mergeCell ref="E652:F652"/>
    <mergeCell ref="E653:F653"/>
    <mergeCell ref="E654:F654"/>
    <mergeCell ref="E656:F656"/>
    <mergeCell ref="E657:F657"/>
    <mergeCell ref="E658:F658"/>
    <mergeCell ref="E659:F659"/>
    <mergeCell ref="E660:F660"/>
    <mergeCell ref="E661:F661"/>
    <mergeCell ref="E510:F510"/>
    <mergeCell ref="E511:F511"/>
    <mergeCell ref="E512:F512"/>
    <mergeCell ref="E513:F513"/>
    <mergeCell ref="E514:F514"/>
    <mergeCell ref="E454:F454"/>
    <mergeCell ref="E455:F455"/>
    <mergeCell ref="E458:F458"/>
    <mergeCell ref="E459:F459"/>
    <mergeCell ref="E460:F460"/>
    <mergeCell ref="E461:F461"/>
    <mergeCell ref="E462:F462"/>
    <mergeCell ref="E463:F463"/>
    <mergeCell ref="E464:F464"/>
    <mergeCell ref="E465:F465"/>
    <mergeCell ref="E466:F466"/>
    <mergeCell ref="E578:F578"/>
    <mergeCell ref="E572:F572"/>
    <mergeCell ref="E573:F573"/>
    <mergeCell ref="E574:F574"/>
    <mergeCell ref="E575:F575"/>
    <mergeCell ref="E576:F576"/>
    <mergeCell ref="E577:F577"/>
    <mergeCell ref="A543:I543"/>
    <mergeCell ref="E571:F571"/>
    <mergeCell ref="G557:H557"/>
    <mergeCell ref="G558:H558"/>
    <mergeCell ref="F559:H559"/>
    <mergeCell ref="G560:H560"/>
    <mergeCell ref="G561:H561"/>
    <mergeCell ref="F562:H562"/>
    <mergeCell ref="F565:H565"/>
    <mergeCell ref="E492:F492"/>
    <mergeCell ref="E493:F493"/>
    <mergeCell ref="E494:F494"/>
    <mergeCell ref="E497:F497"/>
    <mergeCell ref="E498:F498"/>
    <mergeCell ref="E382:F382"/>
    <mergeCell ref="E383:F383"/>
    <mergeCell ref="E384:F384"/>
    <mergeCell ref="E385:F385"/>
    <mergeCell ref="E403:F403"/>
    <mergeCell ref="E404:F404"/>
    <mergeCell ref="E405:F405"/>
    <mergeCell ref="E406:F406"/>
    <mergeCell ref="E407:F407"/>
    <mergeCell ref="E408:F408"/>
    <mergeCell ref="E409:F409"/>
    <mergeCell ref="E410:F410"/>
    <mergeCell ref="E411:F411"/>
    <mergeCell ref="E412:F412"/>
    <mergeCell ref="E413:F413"/>
    <mergeCell ref="E414:F414"/>
    <mergeCell ref="E415:F415"/>
    <mergeCell ref="E401:F401"/>
    <mergeCell ref="E402:F402"/>
    <mergeCell ref="E369:F369"/>
    <mergeCell ref="E370:F370"/>
    <mergeCell ref="E371:F371"/>
    <mergeCell ref="E372:F372"/>
    <mergeCell ref="E357:F357"/>
    <mergeCell ref="E358:F358"/>
    <mergeCell ref="E359:F359"/>
    <mergeCell ref="E373:F373"/>
    <mergeCell ref="E374:F374"/>
    <mergeCell ref="E375:F375"/>
    <mergeCell ref="E376:F376"/>
    <mergeCell ref="E377:F377"/>
    <mergeCell ref="E378:F378"/>
    <mergeCell ref="E379:F379"/>
    <mergeCell ref="E380:F380"/>
    <mergeCell ref="E381:F381"/>
    <mergeCell ref="E364:F364"/>
    <mergeCell ref="E365:F365"/>
    <mergeCell ref="E366:F366"/>
    <mergeCell ref="E367:F367"/>
    <mergeCell ref="E368:F368"/>
    <mergeCell ref="E362:F362"/>
    <mergeCell ref="E363:F363"/>
    <mergeCell ref="E235:F235"/>
    <mergeCell ref="A252:E252"/>
    <mergeCell ref="A255:E255"/>
    <mergeCell ref="E236:F236"/>
    <mergeCell ref="E237:F237"/>
    <mergeCell ref="E238:F238"/>
    <mergeCell ref="E239:F239"/>
    <mergeCell ref="E240:F240"/>
    <mergeCell ref="E242:F242"/>
    <mergeCell ref="E243:F243"/>
    <mergeCell ref="A219:E219"/>
    <mergeCell ref="A220:E220"/>
    <mergeCell ref="A221:E221"/>
    <mergeCell ref="A222:E222"/>
    <mergeCell ref="A223:E223"/>
    <mergeCell ref="F223:H223"/>
    <mergeCell ref="G224:H224"/>
    <mergeCell ref="G225:H225"/>
    <mergeCell ref="F226:H226"/>
    <mergeCell ref="F229:H229"/>
    <mergeCell ref="G230:H230"/>
    <mergeCell ref="F233:H233"/>
    <mergeCell ref="E205:F205"/>
    <mergeCell ref="E206:F206"/>
    <mergeCell ref="E208:F208"/>
    <mergeCell ref="E209:F209"/>
    <mergeCell ref="E192:F192"/>
    <mergeCell ref="E193:F193"/>
    <mergeCell ref="E194:F194"/>
    <mergeCell ref="E214:F214"/>
    <mergeCell ref="A229:E229"/>
    <mergeCell ref="A233:E233"/>
    <mergeCell ref="A226:E226"/>
    <mergeCell ref="A215:A216"/>
    <mergeCell ref="B215:B216"/>
    <mergeCell ref="C215:C216"/>
    <mergeCell ref="D215:D216"/>
    <mergeCell ref="E215:E216"/>
    <mergeCell ref="F215:G215"/>
    <mergeCell ref="E17:F17"/>
    <mergeCell ref="E18:F18"/>
    <mergeCell ref="E19:F19"/>
    <mergeCell ref="E20:F20"/>
    <mergeCell ref="E21:F21"/>
    <mergeCell ref="E23:F23"/>
    <mergeCell ref="E38:F38"/>
    <mergeCell ref="E57:F57"/>
    <mergeCell ref="E58:F58"/>
    <mergeCell ref="E59:F59"/>
    <mergeCell ref="E39:F39"/>
    <mergeCell ref="E40:F40"/>
    <mergeCell ref="E42:F42"/>
    <mergeCell ref="E43:F43"/>
    <mergeCell ref="E24:F24"/>
    <mergeCell ref="E25:F25"/>
    <mergeCell ref="E26:F26"/>
    <mergeCell ref="E27:F27"/>
    <mergeCell ref="E28:F28"/>
    <mergeCell ref="E37:F37"/>
    <mergeCell ref="E5333:F5333"/>
    <mergeCell ref="E5334:F5334"/>
    <mergeCell ref="E5335:F5335"/>
    <mergeCell ref="E5337:F5337"/>
    <mergeCell ref="E5338:F5338"/>
    <mergeCell ref="E5339:F5339"/>
    <mergeCell ref="G2:H2"/>
    <mergeCell ref="A3:J3"/>
    <mergeCell ref="C1:D1"/>
    <mergeCell ref="E1:F1"/>
    <mergeCell ref="C2:D2"/>
    <mergeCell ref="E2:F2"/>
    <mergeCell ref="I2:J2"/>
    <mergeCell ref="G1:H1"/>
    <mergeCell ref="E5:F5"/>
    <mergeCell ref="E6:F6"/>
    <mergeCell ref="E29:F29"/>
    <mergeCell ref="E30:F30"/>
    <mergeCell ref="E32:F32"/>
    <mergeCell ref="E33:F33"/>
    <mergeCell ref="E34:F34"/>
    <mergeCell ref="E35:F35"/>
    <mergeCell ref="E36:F36"/>
    <mergeCell ref="E7:F7"/>
    <mergeCell ref="E8:F8"/>
    <mergeCell ref="E9:F9"/>
    <mergeCell ref="E10:F10"/>
    <mergeCell ref="E11:F11"/>
    <mergeCell ref="E12:F12"/>
    <mergeCell ref="E14:F14"/>
    <mergeCell ref="E15:F15"/>
    <mergeCell ref="E16:F16"/>
    <mergeCell ref="E5226:F5226"/>
    <mergeCell ref="E5227:F5227"/>
    <mergeCell ref="E5269:F5269"/>
    <mergeCell ref="E5270:F5270"/>
    <mergeCell ref="E5272:F5272"/>
    <mergeCell ref="E5273:F5273"/>
    <mergeCell ref="E5274:F5274"/>
    <mergeCell ref="A5152:E5152"/>
    <mergeCell ref="A5153:E5153"/>
    <mergeCell ref="B5160:B5161"/>
    <mergeCell ref="C5160:C5161"/>
    <mergeCell ref="D5160:D5161"/>
    <mergeCell ref="E5160:E5161"/>
    <mergeCell ref="F5160:G5160"/>
    <mergeCell ref="A5175:E5175"/>
    <mergeCell ref="A5176:E5176"/>
    <mergeCell ref="E5200:F5200"/>
    <mergeCell ref="E5201:F5201"/>
    <mergeCell ref="E5216:F5216"/>
    <mergeCell ref="E5218:F5218"/>
    <mergeCell ref="E5219:F5219"/>
    <mergeCell ref="E5220:F5220"/>
    <mergeCell ref="E5215:F5215"/>
    <mergeCell ref="A5177:E5177"/>
    <mergeCell ref="A5178:E5178"/>
    <mergeCell ref="A5179:E5179"/>
    <mergeCell ref="A5180:E5180"/>
    <mergeCell ref="E5182:F5182"/>
    <mergeCell ref="E5183:F5183"/>
    <mergeCell ref="E5184:F5184"/>
    <mergeCell ref="E5185:F5185"/>
    <mergeCell ref="E5222:F5222"/>
    <mergeCell ref="E5063:F5063"/>
    <mergeCell ref="E5064:F5064"/>
    <mergeCell ref="E5065:F5065"/>
    <mergeCell ref="E5067:F5067"/>
    <mergeCell ref="E5068:F5068"/>
    <mergeCell ref="E5070:F5070"/>
    <mergeCell ref="E5074:F5074"/>
    <mergeCell ref="E5071:F5071"/>
    <mergeCell ref="E5072:F5072"/>
    <mergeCell ref="E5075:F5075"/>
    <mergeCell ref="E5087:F5087"/>
    <mergeCell ref="A5154:E5154"/>
    <mergeCell ref="A5155:E5155"/>
    <mergeCell ref="A5156:E5156"/>
    <mergeCell ref="E5158:F5158"/>
    <mergeCell ref="E5159:F5159"/>
    <mergeCell ref="A5160:A5161"/>
    <mergeCell ref="A5151:E5151"/>
    <mergeCell ref="A5108:E5108"/>
    <mergeCell ref="E5069:F5069"/>
    <mergeCell ref="F5107:H5107"/>
    <mergeCell ref="C5088:C5089"/>
    <mergeCell ref="D5088:D5089"/>
    <mergeCell ref="E5088:E5089"/>
    <mergeCell ref="F5088:G5088"/>
    <mergeCell ref="A5091:E5091"/>
    <mergeCell ref="A5092:E5092"/>
    <mergeCell ref="A5093:E5093"/>
    <mergeCell ref="A5094:E5094"/>
    <mergeCell ref="A5095:E5095"/>
    <mergeCell ref="A5096:E5096"/>
    <mergeCell ref="F5096:H5096"/>
    <mergeCell ref="E5056:F5056"/>
    <mergeCell ref="E5062:F5062"/>
    <mergeCell ref="E5024:F5024"/>
    <mergeCell ref="E5026:F5026"/>
    <mergeCell ref="E5027:F5027"/>
    <mergeCell ref="E5028:F5028"/>
    <mergeCell ref="E5030:F5030"/>
    <mergeCell ref="E5032:F5032"/>
    <mergeCell ref="E5033:F5033"/>
    <mergeCell ref="E5034:F5034"/>
    <mergeCell ref="E5035:F5035"/>
    <mergeCell ref="E5036:F5036"/>
    <mergeCell ref="E5003:F5003"/>
    <mergeCell ref="E5004:F5004"/>
    <mergeCell ref="E5005:F5005"/>
    <mergeCell ref="E5008:F5008"/>
    <mergeCell ref="E5009:F5009"/>
    <mergeCell ref="E5010:F5010"/>
    <mergeCell ref="E5012:F5012"/>
    <mergeCell ref="E5013:F5013"/>
    <mergeCell ref="E5014:F5014"/>
    <mergeCell ref="E5017:F5017"/>
    <mergeCell ref="E5018:F5018"/>
    <mergeCell ref="E5020:F5020"/>
    <mergeCell ref="E5054:F5054"/>
    <mergeCell ref="E5057:F5057"/>
    <mergeCell ref="E5058:F5058"/>
    <mergeCell ref="E5059:F5059"/>
    <mergeCell ref="E5060:F5060"/>
    <mergeCell ref="E5061:F5061"/>
    <mergeCell ref="E5038:F5038"/>
    <mergeCell ref="E5040:F5040"/>
    <mergeCell ref="E4917:F4917"/>
    <mergeCell ref="E4931:F4931"/>
    <mergeCell ref="E4966:F4966"/>
    <mergeCell ref="E4967:F4967"/>
    <mergeCell ref="E4935:F4935"/>
    <mergeCell ref="E4936:F4936"/>
    <mergeCell ref="E4937:F4937"/>
    <mergeCell ref="E4940:F4940"/>
    <mergeCell ref="E4941:F4941"/>
    <mergeCell ref="E4942:F4942"/>
    <mergeCell ref="E4943:F4943"/>
    <mergeCell ref="E4944:F4944"/>
    <mergeCell ref="E4945:F4945"/>
    <mergeCell ref="E4948:F4948"/>
    <mergeCell ref="E4949:F4949"/>
    <mergeCell ref="E4952:F4952"/>
    <mergeCell ref="E4953:F4953"/>
    <mergeCell ref="E4956:F4956"/>
    <mergeCell ref="E4957:F4957"/>
    <mergeCell ref="E4960:F4960"/>
    <mergeCell ref="E4961:F4961"/>
    <mergeCell ref="E4964:F4964"/>
    <mergeCell ref="E4965:F4965"/>
    <mergeCell ref="E4959:F4959"/>
    <mergeCell ref="E4963:F4963"/>
    <mergeCell ref="E4929:F4929"/>
    <mergeCell ref="E4930:F4930"/>
    <mergeCell ref="E4918:F4918"/>
    <mergeCell ref="E4921:F4921"/>
    <mergeCell ref="E4922:F4922"/>
    <mergeCell ref="E4923:F4923"/>
    <mergeCell ref="E4925:F4925"/>
    <mergeCell ref="E4859:F4859"/>
    <mergeCell ref="E4860:F4860"/>
    <mergeCell ref="E4861:F4861"/>
    <mergeCell ref="E4831:F4831"/>
    <mergeCell ref="E4771:F4771"/>
    <mergeCell ref="E4772:F4772"/>
    <mergeCell ref="E4839:F4839"/>
    <mergeCell ref="E4841:F4841"/>
    <mergeCell ref="E4843:F4843"/>
    <mergeCell ref="E4845:F4845"/>
    <mergeCell ref="E4840:F4840"/>
    <mergeCell ref="E4844:F4844"/>
    <mergeCell ref="E4846:F4846"/>
    <mergeCell ref="E4849:F4849"/>
    <mergeCell ref="E4850:F4850"/>
    <mergeCell ref="E4851:F4851"/>
    <mergeCell ref="E4854:F4854"/>
    <mergeCell ref="E4855:F4855"/>
    <mergeCell ref="E4795:F4795"/>
    <mergeCell ref="E4796:F4796"/>
    <mergeCell ref="E4797:F4797"/>
    <mergeCell ref="E4798:F4798"/>
    <mergeCell ref="E4799:F4799"/>
    <mergeCell ref="E4800:F4800"/>
    <mergeCell ref="E4804:F4804"/>
    <mergeCell ref="E4806:F4806"/>
    <mergeCell ref="E4818:F4818"/>
    <mergeCell ref="E4819:F4819"/>
    <mergeCell ref="E4807:F4807"/>
    <mergeCell ref="E4808:F4808"/>
    <mergeCell ref="E4820:F4820"/>
    <mergeCell ref="E4822:F4822"/>
    <mergeCell ref="E4675:F4675"/>
    <mergeCell ref="E4642:F4642"/>
    <mergeCell ref="E4644:F4644"/>
    <mergeCell ref="E4645:F4645"/>
    <mergeCell ref="E4566:F4566"/>
    <mergeCell ref="E4567:F4567"/>
    <mergeCell ref="E4568:F4568"/>
    <mergeCell ref="E4578:F4578"/>
    <mergeCell ref="E4579:F4579"/>
    <mergeCell ref="E4580:F4580"/>
    <mergeCell ref="E4581:F4581"/>
    <mergeCell ref="E4582:F4582"/>
    <mergeCell ref="E4584:F4584"/>
    <mergeCell ref="E4585:F4585"/>
    <mergeCell ref="E4586:F4586"/>
    <mergeCell ref="E4587:F4587"/>
    <mergeCell ref="E4588:F4588"/>
    <mergeCell ref="E4589:F4589"/>
    <mergeCell ref="E4590:F4590"/>
    <mergeCell ref="E4640:F4640"/>
    <mergeCell ref="E4631:F4631"/>
    <mergeCell ref="E4632:F4632"/>
    <mergeCell ref="E4634:F4634"/>
    <mergeCell ref="E4635:F4635"/>
    <mergeCell ref="E4636:F4636"/>
    <mergeCell ref="E4638:F4638"/>
    <mergeCell ref="E4639:F4639"/>
    <mergeCell ref="E4570:F4570"/>
    <mergeCell ref="E4571:F4571"/>
    <mergeCell ref="E4572:F4572"/>
    <mergeCell ref="E4592:F4592"/>
    <mergeCell ref="E4593:F4593"/>
    <mergeCell ref="A4385:A4386"/>
    <mergeCell ref="B4385:B4386"/>
    <mergeCell ref="C4385:C4386"/>
    <mergeCell ref="D4385:D4386"/>
    <mergeCell ref="E4385:E4386"/>
    <mergeCell ref="F4385:G4385"/>
    <mergeCell ref="E4456:F4456"/>
    <mergeCell ref="E4457:F4457"/>
    <mergeCell ref="A4420:E4420"/>
    <mergeCell ref="A4402:E4402"/>
    <mergeCell ref="E4429:F4429"/>
    <mergeCell ref="E4430:F4430"/>
    <mergeCell ref="E4431:F4431"/>
    <mergeCell ref="E4432:F4432"/>
    <mergeCell ref="E4433:F4433"/>
    <mergeCell ref="E4434:F4434"/>
    <mergeCell ref="E4554:F4554"/>
    <mergeCell ref="E4458:F4458"/>
    <mergeCell ref="E4459:F4459"/>
    <mergeCell ref="E4460:F4460"/>
    <mergeCell ref="E4448:F4448"/>
    <mergeCell ref="E4452:F4452"/>
    <mergeCell ref="E4463:F4463"/>
    <mergeCell ref="E4464:F4464"/>
    <mergeCell ref="E4466:F4466"/>
    <mergeCell ref="E4467:F4467"/>
    <mergeCell ref="E4468:F4468"/>
    <mergeCell ref="E4470:F4470"/>
    <mergeCell ref="E4454:F4454"/>
    <mergeCell ref="E4471:F4471"/>
    <mergeCell ref="A4409:E4409"/>
    <mergeCell ref="A4414:E4414"/>
    <mergeCell ref="A4381:E4381"/>
    <mergeCell ref="E4383:F4383"/>
    <mergeCell ref="E4384:F4384"/>
    <mergeCell ref="E4249:F4249"/>
    <mergeCell ref="E4250:F4250"/>
    <mergeCell ref="E4220:F4220"/>
    <mergeCell ref="E4221:F4221"/>
    <mergeCell ref="E4223:F4223"/>
    <mergeCell ref="E4224:F4224"/>
    <mergeCell ref="E4227:F4227"/>
    <mergeCell ref="E4228:F4228"/>
    <mergeCell ref="E4229:F4229"/>
    <mergeCell ref="E4232:F4232"/>
    <mergeCell ref="E4233:F4233"/>
    <mergeCell ref="E4235:F4235"/>
    <mergeCell ref="E4236:F4236"/>
    <mergeCell ref="E4238:F4238"/>
    <mergeCell ref="E4239:F4239"/>
    <mergeCell ref="E4240:F4240"/>
    <mergeCell ref="E4241:F4241"/>
    <mergeCell ref="E4243:F4243"/>
    <mergeCell ref="A4331:E4331"/>
    <mergeCell ref="A4356:E4356"/>
    <mergeCell ref="C4292:C4293"/>
    <mergeCell ref="D4292:D4293"/>
    <mergeCell ref="E4292:E4293"/>
    <mergeCell ref="F4292:G4292"/>
    <mergeCell ref="F4283:H4283"/>
    <mergeCell ref="G4284:H4284"/>
    <mergeCell ref="F4288:H4288"/>
    <mergeCell ref="A4266:E4266"/>
    <mergeCell ref="A4267:E4267"/>
    <mergeCell ref="E4195:F4195"/>
    <mergeCell ref="E4196:F4196"/>
    <mergeCell ref="E4197:F4197"/>
    <mergeCell ref="E4198:F4198"/>
    <mergeCell ref="E4200:F4200"/>
    <mergeCell ref="E4201:F4201"/>
    <mergeCell ref="E4202:F4202"/>
    <mergeCell ref="E4203:F4203"/>
    <mergeCell ref="E4139:F4139"/>
    <mergeCell ref="E4206:F4206"/>
    <mergeCell ref="E4207:F4207"/>
    <mergeCell ref="E4209:F4209"/>
    <mergeCell ref="E4140:F4140"/>
    <mergeCell ref="E4141:F4141"/>
    <mergeCell ref="E4143:F4143"/>
    <mergeCell ref="E4144:F4144"/>
    <mergeCell ref="E4145:F4145"/>
    <mergeCell ref="E4131:F4131"/>
    <mergeCell ref="E4183:F4183"/>
    <mergeCell ref="E4184:F4184"/>
    <mergeCell ref="E4151:F4151"/>
    <mergeCell ref="E4152:F4152"/>
    <mergeCell ref="E4154:F4154"/>
    <mergeCell ref="E4155:F4155"/>
    <mergeCell ref="E4156:F4156"/>
    <mergeCell ref="E4157:F4157"/>
    <mergeCell ref="E4158:F4158"/>
    <mergeCell ref="E4159:F4159"/>
    <mergeCell ref="E4160:F4160"/>
    <mergeCell ref="E4161:F4161"/>
    <mergeCell ref="E4162:F4162"/>
    <mergeCell ref="E4163:F4163"/>
    <mergeCell ref="E4164:F4164"/>
    <mergeCell ref="E4166:F4166"/>
    <mergeCell ref="E4167:F4167"/>
    <mergeCell ref="E4168:F4168"/>
    <mergeCell ref="E4169:F4169"/>
    <mergeCell ref="E4170:F4170"/>
    <mergeCell ref="E4171:F4171"/>
    <mergeCell ref="E4172:F4172"/>
    <mergeCell ref="E4091:F4091"/>
    <mergeCell ref="E4092:F4092"/>
    <mergeCell ref="E4094:F4094"/>
    <mergeCell ref="E4096:F4096"/>
    <mergeCell ref="E4098:F4098"/>
    <mergeCell ref="E4099:F4099"/>
    <mergeCell ref="E4105:F4105"/>
    <mergeCell ref="E4106:F4106"/>
    <mergeCell ref="E4095:F4095"/>
    <mergeCell ref="E4107:F4107"/>
    <mergeCell ref="E4100:F4100"/>
    <mergeCell ref="E4101:F4101"/>
    <mergeCell ref="E4102:F4102"/>
    <mergeCell ref="E4103:F4103"/>
    <mergeCell ref="E4104:F4104"/>
    <mergeCell ref="E4020:F4020"/>
    <mergeCell ref="E4021:F4021"/>
    <mergeCell ref="E4022:F4022"/>
    <mergeCell ref="E4023:F4023"/>
    <mergeCell ref="E4058:F4058"/>
    <mergeCell ref="E4059:F4059"/>
    <mergeCell ref="E4060:F4060"/>
    <mergeCell ref="E4061:F4061"/>
    <mergeCell ref="E4025:F4025"/>
    <mergeCell ref="E4026:F4026"/>
    <mergeCell ref="E4027:F4027"/>
    <mergeCell ref="E4028:F4028"/>
    <mergeCell ref="E4029:F4029"/>
    <mergeCell ref="E4031:F4031"/>
    <mergeCell ref="E4032:F4032"/>
    <mergeCell ref="E4047:F4047"/>
    <mergeCell ref="E4048:F4048"/>
    <mergeCell ref="E3911:F3911"/>
    <mergeCell ref="E3912:F3912"/>
    <mergeCell ref="E3877:F3877"/>
    <mergeCell ref="E3910:F3910"/>
    <mergeCell ref="E4071:F4071"/>
    <mergeCell ref="E4062:F4062"/>
    <mergeCell ref="E4063:F4063"/>
    <mergeCell ref="E4064:F4064"/>
    <mergeCell ref="E4065:F4065"/>
    <mergeCell ref="E4066:F4066"/>
    <mergeCell ref="E4067:F4067"/>
    <mergeCell ref="E4070:F4070"/>
    <mergeCell ref="E4068:F4068"/>
    <mergeCell ref="E4005:F4005"/>
    <mergeCell ref="E4006:F4006"/>
    <mergeCell ref="E3973:F3973"/>
    <mergeCell ref="E3974:F3974"/>
    <mergeCell ref="E3976:F3976"/>
    <mergeCell ref="E3977:F3977"/>
    <mergeCell ref="E3978:F3978"/>
    <mergeCell ref="E3979:F3979"/>
    <mergeCell ref="E3981:F3981"/>
    <mergeCell ref="E3982:F3982"/>
    <mergeCell ref="E3983:F3983"/>
    <mergeCell ref="E3984:F3984"/>
    <mergeCell ref="E3985:F3985"/>
    <mergeCell ref="E3987:F3987"/>
    <mergeCell ref="E3988:F3988"/>
    <mergeCell ref="E3989:F3989"/>
    <mergeCell ref="E3994:F3994"/>
    <mergeCell ref="E3895:F3895"/>
    <mergeCell ref="E3905:F3905"/>
    <mergeCell ref="E3907:F3907"/>
    <mergeCell ref="E3908:F3908"/>
    <mergeCell ref="E3896:F3896"/>
    <mergeCell ref="E3897:F3897"/>
    <mergeCell ref="E3899:F3899"/>
    <mergeCell ref="E3900:F3900"/>
    <mergeCell ref="E3901:F3901"/>
    <mergeCell ref="E3903:F3903"/>
    <mergeCell ref="E3904:F3904"/>
    <mergeCell ref="E3902:F3902"/>
    <mergeCell ref="E3906:F3906"/>
    <mergeCell ref="E3888:F3888"/>
    <mergeCell ref="E3889:F3889"/>
    <mergeCell ref="E3891:F3891"/>
    <mergeCell ref="E3863:F3863"/>
    <mergeCell ref="E3865:F3865"/>
    <mergeCell ref="E3866:F3866"/>
    <mergeCell ref="E3867:F3867"/>
    <mergeCell ref="E3869:F3869"/>
    <mergeCell ref="E3870:F3870"/>
    <mergeCell ref="E3871:F3871"/>
    <mergeCell ref="E3874:F3874"/>
    <mergeCell ref="E3875:F3875"/>
    <mergeCell ref="E3826:F3826"/>
    <mergeCell ref="E3828:F3828"/>
    <mergeCell ref="E3829:F3829"/>
    <mergeCell ref="E3830:F3830"/>
    <mergeCell ref="E3832:F3832"/>
    <mergeCell ref="E3833:F3833"/>
    <mergeCell ref="E3834:F3834"/>
    <mergeCell ref="E3836:F3836"/>
    <mergeCell ref="E3841:F3841"/>
    <mergeCell ref="E3842:F3842"/>
    <mergeCell ref="E3850:F3850"/>
    <mergeCell ref="E3800:F3800"/>
    <mergeCell ref="E3801:F3801"/>
    <mergeCell ref="E3802:F3802"/>
    <mergeCell ref="E3840:F3840"/>
    <mergeCell ref="E3848:F3848"/>
    <mergeCell ref="E3849:F3849"/>
    <mergeCell ref="E3751:F3751"/>
    <mergeCell ref="E3784:F3784"/>
    <mergeCell ref="E3785:F3785"/>
    <mergeCell ref="E3754:F3754"/>
    <mergeCell ref="E3755:F3755"/>
    <mergeCell ref="E3756:F3756"/>
    <mergeCell ref="E3757:F3757"/>
    <mergeCell ref="E3769:F3769"/>
    <mergeCell ref="E3758:F3758"/>
    <mergeCell ref="E3759:F3759"/>
    <mergeCell ref="E3760:F3760"/>
    <mergeCell ref="E3844:F3844"/>
    <mergeCell ref="E3845:F3845"/>
    <mergeCell ref="E3847:F3847"/>
    <mergeCell ref="E3804:F3804"/>
    <mergeCell ref="E3805:F3805"/>
    <mergeCell ref="E3806:F3806"/>
    <mergeCell ref="E3807:F3807"/>
    <mergeCell ref="E3808:F3808"/>
    <mergeCell ref="E3809:F3809"/>
    <mergeCell ref="E3812:F3812"/>
    <mergeCell ref="E3813:F3813"/>
    <mergeCell ref="E3814:F3814"/>
    <mergeCell ref="E3815:F3815"/>
    <mergeCell ref="E3818:F3818"/>
    <mergeCell ref="E3819:F3819"/>
    <mergeCell ref="E3786:F3786"/>
    <mergeCell ref="E3789:F3789"/>
    <mergeCell ref="E3820:F3820"/>
    <mergeCell ref="E3821:F3821"/>
    <mergeCell ref="E3822:F3822"/>
    <mergeCell ref="E3825:F3825"/>
    <mergeCell ref="E3667:F3667"/>
    <mergeCell ref="E3668:F3668"/>
    <mergeCell ref="E3669:F3669"/>
    <mergeCell ref="E3671:F3671"/>
    <mergeCell ref="E3673:F3673"/>
    <mergeCell ref="E3674:F3674"/>
    <mergeCell ref="E3676:F3676"/>
    <mergeCell ref="E3678:F3678"/>
    <mergeCell ref="E3679:F3679"/>
    <mergeCell ref="E3681:F3681"/>
    <mergeCell ref="E3683:F3683"/>
    <mergeCell ref="E3693:F3693"/>
    <mergeCell ref="E3694:F3694"/>
    <mergeCell ref="E3697:F3697"/>
    <mergeCell ref="E3658:F3658"/>
    <mergeCell ref="E3659:F3659"/>
    <mergeCell ref="E3661:F3661"/>
    <mergeCell ref="E3662:F3662"/>
    <mergeCell ref="E3664:F3664"/>
    <mergeCell ref="E3666:F3666"/>
    <mergeCell ref="E3685:F3685"/>
    <mergeCell ref="E3686:F3686"/>
    <mergeCell ref="E3692:F3692"/>
    <mergeCell ref="E3696:F3696"/>
    <mergeCell ref="E3688:F3688"/>
    <mergeCell ref="E3689:F3689"/>
    <mergeCell ref="E3691:F3691"/>
    <mergeCell ref="E3610:F3610"/>
    <mergeCell ref="E3612:F3612"/>
    <mergeCell ref="E3613:F3613"/>
    <mergeCell ref="E3614:F3614"/>
    <mergeCell ref="E3649:F3649"/>
    <mergeCell ref="E3616:F3616"/>
    <mergeCell ref="E3617:F3617"/>
    <mergeCell ref="E3618:F3618"/>
    <mergeCell ref="E3620:F3620"/>
    <mergeCell ref="E3621:F3621"/>
    <mergeCell ref="E3622:F3622"/>
    <mergeCell ref="E3625:F3625"/>
    <mergeCell ref="E3626:F3626"/>
    <mergeCell ref="E3629:F3629"/>
    <mergeCell ref="E3630:F3630"/>
    <mergeCell ref="E3631:F3631"/>
    <mergeCell ref="E3633:F3633"/>
    <mergeCell ref="E3634:F3634"/>
    <mergeCell ref="E3635:F3635"/>
    <mergeCell ref="E3637:F3637"/>
    <mergeCell ref="E3638:F3638"/>
    <mergeCell ref="E3400:F3400"/>
    <mergeCell ref="E3401:F3401"/>
    <mergeCell ref="E3402:F3402"/>
    <mergeCell ref="E3404:F3404"/>
    <mergeCell ref="E3405:F3405"/>
    <mergeCell ref="E3406:F3406"/>
    <mergeCell ref="E3407:F3407"/>
    <mergeCell ref="E3387:F3387"/>
    <mergeCell ref="E3403:F3403"/>
    <mergeCell ref="E3527:F3527"/>
    <mergeCell ref="E3528:F3528"/>
    <mergeCell ref="E3530:F3530"/>
    <mergeCell ref="A3468:E3468"/>
    <mergeCell ref="A3472:E3472"/>
    <mergeCell ref="E3399:F3399"/>
    <mergeCell ref="E3408:F3408"/>
    <mergeCell ref="E3410:F3410"/>
    <mergeCell ref="E3411:F3411"/>
    <mergeCell ref="E3412:F3412"/>
    <mergeCell ref="E3413:F3413"/>
    <mergeCell ref="E3431:F3431"/>
    <mergeCell ref="E3433:F3433"/>
    <mergeCell ref="E3414:F3414"/>
    <mergeCell ref="E3415:F3415"/>
    <mergeCell ref="E3416:F3416"/>
    <mergeCell ref="E3417:F3417"/>
    <mergeCell ref="E3418:F3418"/>
    <mergeCell ref="E3420:F3420"/>
    <mergeCell ref="E3421:F3421"/>
    <mergeCell ref="A3460:E3460"/>
    <mergeCell ref="F3460:H3460"/>
    <mergeCell ref="G3461:H3461"/>
    <mergeCell ref="E3249:F3249"/>
    <mergeCell ref="E3251:F3251"/>
    <mergeCell ref="E3252:F3252"/>
    <mergeCell ref="E3369:F3369"/>
    <mergeCell ref="E3370:F3370"/>
    <mergeCell ref="E3372:F3372"/>
    <mergeCell ref="E3373:F3373"/>
    <mergeCell ref="E3374:F3374"/>
    <mergeCell ref="E3375:F3375"/>
    <mergeCell ref="E3376:F3376"/>
    <mergeCell ref="E3346:F3346"/>
    <mergeCell ref="E3347:F3347"/>
    <mergeCell ref="E3348:F3348"/>
    <mergeCell ref="E3349:F3349"/>
    <mergeCell ref="E3350:F3350"/>
    <mergeCell ref="E3351:F3351"/>
    <mergeCell ref="A3334:E3334"/>
    <mergeCell ref="A3335:E3335"/>
    <mergeCell ref="A3338:E3338"/>
    <mergeCell ref="E3352:F3352"/>
    <mergeCell ref="E3354:F3354"/>
    <mergeCell ref="E3343:F3343"/>
    <mergeCell ref="E3344:F3344"/>
    <mergeCell ref="E3345:F3345"/>
    <mergeCell ref="E3341:F3341"/>
    <mergeCell ref="E3342:F3342"/>
    <mergeCell ref="E3340:F3340"/>
    <mergeCell ref="E3356:F3356"/>
    <mergeCell ref="E3357:F3357"/>
    <mergeCell ref="E3358:F3358"/>
    <mergeCell ref="E3359:F3359"/>
    <mergeCell ref="E3360:F3360"/>
    <mergeCell ref="E3312:F3312"/>
    <mergeCell ref="E3313:F3313"/>
    <mergeCell ref="A3333:E3333"/>
    <mergeCell ref="E3299:F3299"/>
    <mergeCell ref="E3267:F3267"/>
    <mergeCell ref="E3269:F3269"/>
    <mergeCell ref="E3270:F3270"/>
    <mergeCell ref="E3271:F3271"/>
    <mergeCell ref="E3273:F3273"/>
    <mergeCell ref="E3274:F3274"/>
    <mergeCell ref="E3275:F3275"/>
    <mergeCell ref="E3277:F3277"/>
    <mergeCell ref="E3278:F3278"/>
    <mergeCell ref="E3279:F3279"/>
    <mergeCell ref="E3281:F3281"/>
    <mergeCell ref="E3282:F3282"/>
    <mergeCell ref="E3315:F3315"/>
    <mergeCell ref="E3316:F3316"/>
    <mergeCell ref="E3317:F3317"/>
    <mergeCell ref="E3318:F3318"/>
    <mergeCell ref="E3319:F3319"/>
    <mergeCell ref="E3320:F3320"/>
    <mergeCell ref="E3321:F3321"/>
    <mergeCell ref="E3217:F3217"/>
    <mergeCell ref="E3219:F3219"/>
    <mergeCell ref="E3220:F3220"/>
    <mergeCell ref="E3221:F3221"/>
    <mergeCell ref="E3322:F3322"/>
    <mergeCell ref="E3323:F3323"/>
    <mergeCell ref="E3324:F3324"/>
    <mergeCell ref="E3325:F3325"/>
    <mergeCell ref="E3326:F3326"/>
    <mergeCell ref="E3327:F3327"/>
    <mergeCell ref="E3329:F3329"/>
    <mergeCell ref="E3330:F3330"/>
    <mergeCell ref="A3331:E3331"/>
    <mergeCell ref="A3332:E3332"/>
    <mergeCell ref="E3246:F3246"/>
    <mergeCell ref="E3247:F3247"/>
    <mergeCell ref="E3237:F3237"/>
    <mergeCell ref="E3239:F3239"/>
    <mergeCell ref="E3240:F3240"/>
    <mergeCell ref="E3241:F3241"/>
    <mergeCell ref="E3243:F3243"/>
    <mergeCell ref="E3244:F3244"/>
    <mergeCell ref="E3245:F3245"/>
    <mergeCell ref="E3222:F3222"/>
    <mergeCell ref="E3301:F3301"/>
    <mergeCell ref="E3303:F3303"/>
    <mergeCell ref="E3304:F3304"/>
    <mergeCell ref="E3305:F3305"/>
    <mergeCell ref="E3307:F3307"/>
    <mergeCell ref="E3308:F3308"/>
    <mergeCell ref="E3309:F3309"/>
    <mergeCell ref="E3311:F3311"/>
    <mergeCell ref="E3203:F3203"/>
    <mergeCell ref="E3204:F3204"/>
    <mergeCell ref="E3205:F3205"/>
    <mergeCell ref="E3207:F3207"/>
    <mergeCell ref="E3224:F3224"/>
    <mergeCell ref="E3225:F3225"/>
    <mergeCell ref="E3226:F3226"/>
    <mergeCell ref="E3227:F3227"/>
    <mergeCell ref="E3228:F3228"/>
    <mergeCell ref="E3230:F3230"/>
    <mergeCell ref="E3231:F3231"/>
    <mergeCell ref="E3233:F3233"/>
    <mergeCell ref="E3234:F3234"/>
    <mergeCell ref="A3095:E3095"/>
    <mergeCell ref="A3096:E3096"/>
    <mergeCell ref="A3103:E3103"/>
    <mergeCell ref="A3097:E3097"/>
    <mergeCell ref="A3110:E3110"/>
    <mergeCell ref="A3121:E3121"/>
    <mergeCell ref="E3201:F3201"/>
    <mergeCell ref="E3202:F3202"/>
    <mergeCell ref="E3184:F3184"/>
    <mergeCell ref="E3185:F3185"/>
    <mergeCell ref="E3186:F3186"/>
    <mergeCell ref="E3187:F3187"/>
    <mergeCell ref="E3188:F3188"/>
    <mergeCell ref="E3190:F3190"/>
    <mergeCell ref="E3191:F3191"/>
    <mergeCell ref="E3192:F3192"/>
    <mergeCell ref="E3193:F3193"/>
    <mergeCell ref="E3195:F3195"/>
    <mergeCell ref="E3196:F3196"/>
    <mergeCell ref="E3197:F3197"/>
    <mergeCell ref="E3198:F3198"/>
    <mergeCell ref="E3199:F3199"/>
    <mergeCell ref="A3115:E3115"/>
    <mergeCell ref="A3135:E3135"/>
    <mergeCell ref="A3136:E3136"/>
    <mergeCell ref="A3143:E3143"/>
    <mergeCell ref="A3147:E3147"/>
    <mergeCell ref="F3135:H3135"/>
    <mergeCell ref="A3172:E3172"/>
    <mergeCell ref="A3175:E3175"/>
    <mergeCell ref="A3154:E3154"/>
    <mergeCell ref="A3162:E3162"/>
    <mergeCell ref="E3006:F3006"/>
    <mergeCell ref="E3018:F3018"/>
    <mergeCell ref="E3007:F3007"/>
    <mergeCell ref="A3008:A3009"/>
    <mergeCell ref="B3008:B3009"/>
    <mergeCell ref="C3008:C3009"/>
    <mergeCell ref="D3008:D3009"/>
    <mergeCell ref="E3008:E3009"/>
    <mergeCell ref="F3008:G3008"/>
    <mergeCell ref="A3011:E3011"/>
    <mergeCell ref="A3012:E3012"/>
    <mergeCell ref="A3053:E3053"/>
    <mergeCell ref="A3051:E3051"/>
    <mergeCell ref="A3052:E3052"/>
    <mergeCell ref="A3083:E3083"/>
    <mergeCell ref="A3078:A3079"/>
    <mergeCell ref="B3078:B3079"/>
    <mergeCell ref="C3078:C3079"/>
    <mergeCell ref="B3020:B3021"/>
    <mergeCell ref="E2775:F2775"/>
    <mergeCell ref="E2779:F2779"/>
    <mergeCell ref="E2780:F2780"/>
    <mergeCell ref="E2783:F2783"/>
    <mergeCell ref="E2784:F2784"/>
    <mergeCell ref="E2950:F2950"/>
    <mergeCell ref="E2952:F2952"/>
    <mergeCell ref="E2954:F2954"/>
    <mergeCell ref="E3002:F3002"/>
    <mergeCell ref="E3004:F3004"/>
    <mergeCell ref="E2972:F2972"/>
    <mergeCell ref="E2974:F2974"/>
    <mergeCell ref="E2976:F2976"/>
    <mergeCell ref="E2978:F2978"/>
    <mergeCell ref="E2980:F2980"/>
    <mergeCell ref="E2982:F2982"/>
    <mergeCell ref="E2984:F2984"/>
    <mergeCell ref="E2986:F2986"/>
    <mergeCell ref="E2988:F2988"/>
    <mergeCell ref="E2990:F2990"/>
    <mergeCell ref="E2992:F2992"/>
    <mergeCell ref="E2994:F2994"/>
    <mergeCell ref="E2996:F2996"/>
    <mergeCell ref="E2998:F2998"/>
    <mergeCell ref="E2792:F2792"/>
    <mergeCell ref="E2862:F2862"/>
    <mergeCell ref="E2828:F2828"/>
    <mergeCell ref="E2794:F2794"/>
    <mergeCell ref="E2796:F2796"/>
    <mergeCell ref="E2798:F2798"/>
    <mergeCell ref="E2799:F2799"/>
    <mergeCell ref="E2800:F2800"/>
    <mergeCell ref="E2785:F2785"/>
    <mergeCell ref="E2788:F2788"/>
    <mergeCell ref="E2789:F2789"/>
    <mergeCell ref="E2790:F2790"/>
    <mergeCell ref="E2696:F2696"/>
    <mergeCell ref="E2700:F2700"/>
    <mergeCell ref="E2704:F2704"/>
    <mergeCell ref="E2737:F2737"/>
    <mergeCell ref="E2739:F2739"/>
    <mergeCell ref="E2740:F2740"/>
    <mergeCell ref="E2742:F2742"/>
    <mergeCell ref="E2743:F2743"/>
    <mergeCell ref="E2744:F2744"/>
    <mergeCell ref="E2745:F2745"/>
    <mergeCell ref="E2746:F2746"/>
    <mergeCell ref="E2749:F2749"/>
    <mergeCell ref="E2750:F2750"/>
    <mergeCell ref="E2769:F2769"/>
    <mergeCell ref="E2771:F2771"/>
    <mergeCell ref="E2773:F2773"/>
    <mergeCell ref="E2752:F2752"/>
    <mergeCell ref="E2753:F2753"/>
    <mergeCell ref="E2754:F2754"/>
    <mergeCell ref="E2757:F2757"/>
    <mergeCell ref="E2758:F2758"/>
    <mergeCell ref="E2759:F2759"/>
    <mergeCell ref="E2760:F2760"/>
    <mergeCell ref="E2762:F2762"/>
    <mergeCell ref="E2764:F2764"/>
    <mergeCell ref="E2766:F2766"/>
    <mergeCell ref="E2767:F2767"/>
    <mergeCell ref="E2774:F2774"/>
    <mergeCell ref="E2604:F2604"/>
    <mergeCell ref="E2606:F2606"/>
    <mergeCell ref="E2608:F2608"/>
    <mergeCell ref="E2609:F2609"/>
    <mergeCell ref="E2610:F2610"/>
    <mergeCell ref="E2611:F2611"/>
    <mergeCell ref="E2612:F2612"/>
    <mergeCell ref="E2614:F2614"/>
    <mergeCell ref="E2615:F2615"/>
    <mergeCell ref="E2616:F2616"/>
    <mergeCell ref="E2619:F2619"/>
    <mergeCell ref="E2620:F2620"/>
    <mergeCell ref="E2622:F2622"/>
    <mergeCell ref="E2623:F2623"/>
    <mergeCell ref="E2626:F2626"/>
    <mergeCell ref="E2698:F2698"/>
    <mergeCell ref="E2699:F2699"/>
    <mergeCell ref="E2666:F2666"/>
    <mergeCell ref="E2669:F2669"/>
    <mergeCell ref="E2670:F2670"/>
    <mergeCell ref="E2671:F2671"/>
    <mergeCell ref="E2673:F2673"/>
    <mergeCell ref="E2675:F2675"/>
    <mergeCell ref="E2677:F2677"/>
    <mergeCell ref="E2679:F2679"/>
    <mergeCell ref="E2689:F2689"/>
    <mergeCell ref="E2691:F2691"/>
    <mergeCell ref="E2693:F2693"/>
    <mergeCell ref="E2694:F2694"/>
    <mergeCell ref="E2695:F2695"/>
    <mergeCell ref="E2628:F2628"/>
    <mergeCell ref="E2630:F2630"/>
    <mergeCell ref="E2496:F2496"/>
    <mergeCell ref="E2501:F2501"/>
    <mergeCell ref="E2510:F2510"/>
    <mergeCell ref="E2517:F2517"/>
    <mergeCell ref="E2627:F2627"/>
    <mergeCell ref="E2589:F2589"/>
    <mergeCell ref="E2590:F2590"/>
    <mergeCell ref="E2591:F2591"/>
    <mergeCell ref="E2592:F2592"/>
    <mergeCell ref="E2593:F2593"/>
    <mergeCell ref="E2594:F2594"/>
    <mergeCell ref="E2595:F2595"/>
    <mergeCell ref="E2563:F2563"/>
    <mergeCell ref="E2564:F2564"/>
    <mergeCell ref="E2567:F2567"/>
    <mergeCell ref="E2568:F2568"/>
    <mergeCell ref="E2569:F2569"/>
    <mergeCell ref="E2571:F2571"/>
    <mergeCell ref="E2572:F2572"/>
    <mergeCell ref="E2573:F2573"/>
    <mergeCell ref="E2575:F2575"/>
    <mergeCell ref="E2576:F2576"/>
    <mergeCell ref="E2579:F2579"/>
    <mergeCell ref="E2584:F2584"/>
    <mergeCell ref="E2586:F2586"/>
    <mergeCell ref="E2587:F2587"/>
    <mergeCell ref="E2596:F2596"/>
    <mergeCell ref="E2607:F2607"/>
    <mergeCell ref="E2618:F2618"/>
    <mergeCell ref="E2624:F2624"/>
    <mergeCell ref="E2602:F2602"/>
    <mergeCell ref="E2603:F2603"/>
    <mergeCell ref="E2482:F2482"/>
    <mergeCell ref="E2484:F2484"/>
    <mergeCell ref="E2485:F2485"/>
    <mergeCell ref="E2487:F2487"/>
    <mergeCell ref="E2489:F2489"/>
    <mergeCell ref="E2490:F2490"/>
    <mergeCell ref="E2492:F2492"/>
    <mergeCell ref="E2494:F2494"/>
    <mergeCell ref="E2461:F2461"/>
    <mergeCell ref="E2462:F2462"/>
    <mergeCell ref="E2464:F2464"/>
    <mergeCell ref="E2466:F2466"/>
    <mergeCell ref="E2467:F2467"/>
    <mergeCell ref="E2470:F2470"/>
    <mergeCell ref="E2471:F2471"/>
    <mergeCell ref="E2472:F2472"/>
    <mergeCell ref="E2474:F2474"/>
    <mergeCell ref="E2475:F2475"/>
    <mergeCell ref="E2476:F2476"/>
    <mergeCell ref="E2479:F2479"/>
    <mergeCell ref="E2480:F2480"/>
    <mergeCell ref="E2463:F2463"/>
    <mergeCell ref="E2468:F2468"/>
    <mergeCell ref="E2477:F2477"/>
    <mergeCell ref="E2481:F2481"/>
    <mergeCell ref="E2486:F2486"/>
    <mergeCell ref="E2491:F2491"/>
    <mergeCell ref="E2453:F2453"/>
    <mergeCell ref="E2458:F2458"/>
    <mergeCell ref="E2409:F2409"/>
    <mergeCell ref="E2448:F2448"/>
    <mergeCell ref="E2449:F2449"/>
    <mergeCell ref="E2410:F2410"/>
    <mergeCell ref="E2413:F2413"/>
    <mergeCell ref="E2414:F2414"/>
    <mergeCell ref="E2415:F2415"/>
    <mergeCell ref="E2416:F2416"/>
    <mergeCell ref="E2418:F2418"/>
    <mergeCell ref="E2419:F2419"/>
    <mergeCell ref="E2421:F2421"/>
    <mergeCell ref="E2423:F2423"/>
    <mergeCell ref="E2424:F2424"/>
    <mergeCell ref="E2451:F2451"/>
    <mergeCell ref="E2452:F2452"/>
    <mergeCell ref="E2454:F2454"/>
    <mergeCell ref="E2456:F2456"/>
    <mergeCell ref="E2348:F2348"/>
    <mergeCell ref="E2349:F2349"/>
    <mergeCell ref="E2350:F2350"/>
    <mergeCell ref="E2351:F2351"/>
    <mergeCell ref="E2352:F2352"/>
    <mergeCell ref="E2355:F2355"/>
    <mergeCell ref="E2250:F2250"/>
    <mergeCell ref="E2391:F2391"/>
    <mergeCell ref="E2359:F2359"/>
    <mergeCell ref="E2360:F2360"/>
    <mergeCell ref="E2362:F2362"/>
    <mergeCell ref="E2364:F2364"/>
    <mergeCell ref="E2365:F2365"/>
    <mergeCell ref="E2366:F2366"/>
    <mergeCell ref="E2367:F2367"/>
    <mergeCell ref="E2368:F2368"/>
    <mergeCell ref="E2369:F2369"/>
    <mergeCell ref="E2370:F2370"/>
    <mergeCell ref="E2373:F2373"/>
    <mergeCell ref="E2374:F2374"/>
    <mergeCell ref="E2375:F2375"/>
    <mergeCell ref="E2376:F2376"/>
    <mergeCell ref="E2378:F2378"/>
    <mergeCell ref="E2379:F2379"/>
    <mergeCell ref="E2381:F2381"/>
    <mergeCell ref="E2383:F2383"/>
    <mergeCell ref="E2384:F2384"/>
    <mergeCell ref="E2386:F2386"/>
    <mergeCell ref="E2388:F2388"/>
    <mergeCell ref="E2389:F2389"/>
    <mergeCell ref="E2251:F2251"/>
    <mergeCell ref="A2306:E2306"/>
    <mergeCell ref="E2209:F2209"/>
    <mergeCell ref="E2210:F2210"/>
    <mergeCell ref="E2211:F2211"/>
    <mergeCell ref="E2206:F2206"/>
    <mergeCell ref="E2248:F2248"/>
    <mergeCell ref="E2263:F2263"/>
    <mergeCell ref="E2264:F2264"/>
    <mergeCell ref="E2266:F2266"/>
    <mergeCell ref="E2267:F2267"/>
    <mergeCell ref="E2213:F2213"/>
    <mergeCell ref="E2214:F2214"/>
    <mergeCell ref="E2215:F2215"/>
    <mergeCell ref="E2216:F2216"/>
    <mergeCell ref="E2219:F2219"/>
    <mergeCell ref="E2220:F2220"/>
    <mergeCell ref="E2221:F2221"/>
    <mergeCell ref="E2222:F2222"/>
    <mergeCell ref="E2223:F2223"/>
    <mergeCell ref="E2226:F2226"/>
    <mergeCell ref="E2227:F2227"/>
    <mergeCell ref="E2228:F2228"/>
    <mergeCell ref="E2231:F2231"/>
    <mergeCell ref="E2232:F2232"/>
    <mergeCell ref="E2233:F2233"/>
    <mergeCell ref="E2235:F2235"/>
    <mergeCell ref="E2236:F2236"/>
    <mergeCell ref="E2238:F2238"/>
    <mergeCell ref="E2239:F2239"/>
    <mergeCell ref="E2240:F2240"/>
    <mergeCell ref="E2243:F2243"/>
    <mergeCell ref="E2244:F2244"/>
    <mergeCell ref="E2246:F2246"/>
    <mergeCell ref="E2186:F2186"/>
    <mergeCell ref="E2187:F2187"/>
    <mergeCell ref="E2188:F2188"/>
    <mergeCell ref="E2189:F2189"/>
    <mergeCell ref="E2190:F2190"/>
    <mergeCell ref="E2196:F2196"/>
    <mergeCell ref="E2197:F2197"/>
    <mergeCell ref="E2198:F2198"/>
    <mergeCell ref="E2199:F2199"/>
    <mergeCell ref="E2200:F2200"/>
    <mergeCell ref="E2201:F2201"/>
    <mergeCell ref="E2202:F2202"/>
    <mergeCell ref="E2203:F2203"/>
    <mergeCell ref="E2204:F2204"/>
    <mergeCell ref="E2207:F2207"/>
    <mergeCell ref="E2208:F2208"/>
    <mergeCell ref="E2191:F2191"/>
    <mergeCell ref="E2147:F2147"/>
    <mergeCell ref="E2148:F2148"/>
    <mergeCell ref="E2149:F2149"/>
    <mergeCell ref="E2150:F2150"/>
    <mergeCell ref="E2151:F2151"/>
    <mergeCell ref="E2152:F2152"/>
    <mergeCell ref="E2154:F2154"/>
    <mergeCell ref="E2155:F2155"/>
    <mergeCell ref="E2156:F2156"/>
    <mergeCell ref="E2158:F2158"/>
    <mergeCell ref="E2192:F2192"/>
    <mergeCell ref="E2193:F2193"/>
    <mergeCell ref="E2160:F2160"/>
    <mergeCell ref="E2162:F2162"/>
    <mergeCell ref="E2163:F2163"/>
    <mergeCell ref="E2164:F2164"/>
    <mergeCell ref="E2166:F2166"/>
    <mergeCell ref="E2167:F2167"/>
    <mergeCell ref="E2168:F2168"/>
    <mergeCell ref="E2169:F2169"/>
    <mergeCell ref="E2170:F2170"/>
    <mergeCell ref="E2171:F2171"/>
    <mergeCell ref="E2174:F2174"/>
    <mergeCell ref="E2175:F2175"/>
    <mergeCell ref="E2176:F2176"/>
    <mergeCell ref="E2177:F2177"/>
    <mergeCell ref="E2178:F2178"/>
    <mergeCell ref="E2179:F2179"/>
    <mergeCell ref="E2180:F2180"/>
    <mergeCell ref="E2181:F2181"/>
    <mergeCell ref="E2182:F2182"/>
    <mergeCell ref="E2185:F2185"/>
    <mergeCell ref="E2084:F2084"/>
    <mergeCell ref="E2085:F2085"/>
    <mergeCell ref="E2068:F2068"/>
    <mergeCell ref="E2071:F2071"/>
    <mergeCell ref="E2072:F2072"/>
    <mergeCell ref="E2073:F2073"/>
    <mergeCell ref="E2074:F2074"/>
    <mergeCell ref="E2159:F2159"/>
    <mergeCell ref="E2127:F2127"/>
    <mergeCell ref="E2128:F2128"/>
    <mergeCell ref="E2129:F2129"/>
    <mergeCell ref="E2131:F2131"/>
    <mergeCell ref="E2132:F2132"/>
    <mergeCell ref="E2133:F2133"/>
    <mergeCell ref="E2135:F2135"/>
    <mergeCell ref="E2136:F2136"/>
    <mergeCell ref="E2137:F2137"/>
    <mergeCell ref="E2139:F2139"/>
    <mergeCell ref="E2140:F2140"/>
    <mergeCell ref="E2141:F2141"/>
    <mergeCell ref="E2142:F2142"/>
    <mergeCell ref="E2086:F2086"/>
    <mergeCell ref="E2088:F2088"/>
    <mergeCell ref="E2089:F2089"/>
    <mergeCell ref="E2090:F2090"/>
    <mergeCell ref="E2091:F2091"/>
    <mergeCell ref="E2109:F2109"/>
    <mergeCell ref="E2110:F2110"/>
    <mergeCell ref="E2111:F2111"/>
    <mergeCell ref="E2113:F2113"/>
    <mergeCell ref="E2114:F2114"/>
    <mergeCell ref="E2116:F2116"/>
    <mergeCell ref="A1894:E1894"/>
    <mergeCell ref="A1897:E1897"/>
    <mergeCell ref="E1913:F1913"/>
    <mergeCell ref="A1838:E1838"/>
    <mergeCell ref="A1841:E1841"/>
    <mergeCell ref="E1847:F1847"/>
    <mergeCell ref="E1918:F1918"/>
    <mergeCell ref="E1938:F1938"/>
    <mergeCell ref="E1939:F1939"/>
    <mergeCell ref="A1819:E1819"/>
    <mergeCell ref="A1795:E1795"/>
    <mergeCell ref="A1804:E1804"/>
    <mergeCell ref="A1808:E1808"/>
    <mergeCell ref="A1813:E1813"/>
    <mergeCell ref="E1815:F1815"/>
    <mergeCell ref="E1816:F1816"/>
    <mergeCell ref="A1817:E1817"/>
    <mergeCell ref="A1818:E1818"/>
    <mergeCell ref="F1804:H1804"/>
    <mergeCell ref="F1808:H1808"/>
    <mergeCell ref="G1809:H1809"/>
    <mergeCell ref="A1849:A1850"/>
    <mergeCell ref="B1849:B1850"/>
    <mergeCell ref="C1849:C1850"/>
    <mergeCell ref="D1849:D1850"/>
    <mergeCell ref="E1849:E1850"/>
    <mergeCell ref="F1849:G1849"/>
    <mergeCell ref="A1893:E1893"/>
    <mergeCell ref="A1895:E1895"/>
    <mergeCell ref="A1896:E1896"/>
    <mergeCell ref="A1900:E1900"/>
    <mergeCell ref="E1919:F1919"/>
    <mergeCell ref="A1794:E1794"/>
    <mergeCell ref="A1796:E1796"/>
    <mergeCell ref="A1800:E1800"/>
    <mergeCell ref="A1517:E1517"/>
    <mergeCell ref="A1588:E1588"/>
    <mergeCell ref="E1575:F1575"/>
    <mergeCell ref="E1576:F1576"/>
    <mergeCell ref="E1577:F1577"/>
    <mergeCell ref="E1578:F1578"/>
    <mergeCell ref="E1579:F1579"/>
    <mergeCell ref="A1629:E1629"/>
    <mergeCell ref="A1614:E1614"/>
    <mergeCell ref="A1620:E1620"/>
    <mergeCell ref="A1624:E1624"/>
    <mergeCell ref="G1619:H1619"/>
    <mergeCell ref="F1620:H1620"/>
    <mergeCell ref="G1556:H1556"/>
    <mergeCell ref="G1557:H1557"/>
    <mergeCell ref="F1558:H1558"/>
    <mergeCell ref="F1565:H1565"/>
    <mergeCell ref="G1566:H1566"/>
    <mergeCell ref="F1573:H1573"/>
    <mergeCell ref="A1539:E1539"/>
    <mergeCell ref="E1541:F1541"/>
    <mergeCell ref="E1542:F1542"/>
    <mergeCell ref="A1543:E1543"/>
    <mergeCell ref="A1545:E1545"/>
    <mergeCell ref="A1546:E1546"/>
    <mergeCell ref="A1547:E1547"/>
    <mergeCell ref="F1539:H1539"/>
    <mergeCell ref="E1661:F1661"/>
    <mergeCell ref="E1663:F1663"/>
    <mergeCell ref="A1598:E1598"/>
    <mergeCell ref="A1610:E1610"/>
    <mergeCell ref="E1484:F1484"/>
    <mergeCell ref="E1485:F1485"/>
    <mergeCell ref="E1486:F1486"/>
    <mergeCell ref="E1487:F1487"/>
    <mergeCell ref="E1488:F1488"/>
    <mergeCell ref="E1489:F1489"/>
    <mergeCell ref="E1490:F1490"/>
    <mergeCell ref="E1492:F1492"/>
    <mergeCell ref="E1493:F1493"/>
    <mergeCell ref="E1494:F1494"/>
    <mergeCell ref="A1533:E1533"/>
    <mergeCell ref="A1532:E1532"/>
    <mergeCell ref="F1513:H1513"/>
    <mergeCell ref="F1514:H1514"/>
    <mergeCell ref="F1515:H1515"/>
    <mergeCell ref="F1516:H1516"/>
    <mergeCell ref="F1517:H1517"/>
    <mergeCell ref="G1518:H1518"/>
    <mergeCell ref="A1554:E1554"/>
    <mergeCell ref="A1558:E1558"/>
    <mergeCell ref="A1565:E1565"/>
    <mergeCell ref="A1573:E1573"/>
    <mergeCell ref="G1553:H1553"/>
    <mergeCell ref="F1554:H1554"/>
    <mergeCell ref="G1555:H1555"/>
    <mergeCell ref="F1543:H1543"/>
    <mergeCell ref="A1516:E1516"/>
    <mergeCell ref="A1531:E1531"/>
    <mergeCell ref="E1496:F1496"/>
    <mergeCell ref="E1497:F1497"/>
    <mergeCell ref="E1229:F1229"/>
    <mergeCell ref="E1230:F1230"/>
    <mergeCell ref="E1262:F1262"/>
    <mergeCell ref="E1264:F1264"/>
    <mergeCell ref="E1265:F1265"/>
    <mergeCell ref="E1266:F1266"/>
    <mergeCell ref="A1306:E1306"/>
    <mergeCell ref="E1268:F1268"/>
    <mergeCell ref="E1270:F1270"/>
    <mergeCell ref="E1271:F1271"/>
    <mergeCell ref="E1277:F1277"/>
    <mergeCell ref="E1294:F1294"/>
    <mergeCell ref="E1295:F1295"/>
    <mergeCell ref="E1296:F1296"/>
    <mergeCell ref="E1297:F1297"/>
    <mergeCell ref="E1298:F1298"/>
    <mergeCell ref="E1299:F1299"/>
    <mergeCell ref="E1300:F1300"/>
    <mergeCell ref="E1302:F1302"/>
    <mergeCell ref="E1303:F1303"/>
    <mergeCell ref="A1304:E1304"/>
    <mergeCell ref="A1305:E1305"/>
    <mergeCell ref="E1259:F1259"/>
    <mergeCell ref="E1169:F1169"/>
    <mergeCell ref="E1170:F1170"/>
    <mergeCell ref="A1442:E1442"/>
    <mergeCell ref="A1452:E1452"/>
    <mergeCell ref="E1278:F1278"/>
    <mergeCell ref="E1280:F1280"/>
    <mergeCell ref="E1281:F1281"/>
    <mergeCell ref="E1284:F1284"/>
    <mergeCell ref="E1287:F1287"/>
    <mergeCell ref="E1288:F1288"/>
    <mergeCell ref="E1289:F1289"/>
    <mergeCell ref="E1290:F1290"/>
    <mergeCell ref="E1293:F1293"/>
    <mergeCell ref="E1202:F1202"/>
    <mergeCell ref="E1204:F1204"/>
    <mergeCell ref="E1206:F1206"/>
    <mergeCell ref="E1207:F1207"/>
    <mergeCell ref="E1208:F1208"/>
    <mergeCell ref="E1209:F1209"/>
    <mergeCell ref="E1210:F1210"/>
    <mergeCell ref="E1212:F1212"/>
    <mergeCell ref="E1247:F1247"/>
    <mergeCell ref="E1248:F1248"/>
    <mergeCell ref="E1249:F1249"/>
    <mergeCell ref="E1217:F1217"/>
    <mergeCell ref="E1218:F1218"/>
    <mergeCell ref="E1219:F1219"/>
    <mergeCell ref="E1220:F1220"/>
    <mergeCell ref="E1223:F1223"/>
    <mergeCell ref="E1224:F1224"/>
    <mergeCell ref="E1225:F1225"/>
    <mergeCell ref="E1227:F1227"/>
    <mergeCell ref="E1173:F1173"/>
    <mergeCell ref="E1174:F1174"/>
    <mergeCell ref="E1235:F1235"/>
    <mergeCell ref="E1236:F1236"/>
    <mergeCell ref="E1237:F1237"/>
    <mergeCell ref="E1195:F1195"/>
    <mergeCell ref="E1203:F1203"/>
    <mergeCell ref="E1211:F1211"/>
    <mergeCell ref="E1216:F1216"/>
    <mergeCell ref="E1222:F1222"/>
    <mergeCell ref="E1228:F1228"/>
    <mergeCell ref="E1234:F1234"/>
    <mergeCell ref="E1231:F1231"/>
    <mergeCell ref="E1233:F1233"/>
    <mergeCell ref="E1242:F1242"/>
    <mergeCell ref="E1243:F1243"/>
    <mergeCell ref="E1084:F1084"/>
    <mergeCell ref="E1085:F1085"/>
    <mergeCell ref="E1087:F1087"/>
    <mergeCell ref="E1088:F1088"/>
    <mergeCell ref="E1089:F1089"/>
    <mergeCell ref="E1090:F1090"/>
    <mergeCell ref="E1091:F1091"/>
    <mergeCell ref="E1092:F1092"/>
    <mergeCell ref="E1094:F1094"/>
    <mergeCell ref="E1095:F1095"/>
    <mergeCell ref="E1096:E1097"/>
    <mergeCell ref="A1143:E1143"/>
    <mergeCell ref="A1144:E1144"/>
    <mergeCell ref="A1145:E1145"/>
    <mergeCell ref="A1146:E1146"/>
    <mergeCell ref="E1168:F1168"/>
    <mergeCell ref="A1131:E1131"/>
    <mergeCell ref="E1136:F1136"/>
    <mergeCell ref="E1137:F1137"/>
    <mergeCell ref="A1138:A1139"/>
    <mergeCell ref="B1138:B1139"/>
    <mergeCell ref="C1138:C1139"/>
    <mergeCell ref="E1155:F1155"/>
    <mergeCell ref="E1157:F1157"/>
    <mergeCell ref="E1158:F1158"/>
    <mergeCell ref="E1165:F1165"/>
    <mergeCell ref="E1179:F1179"/>
    <mergeCell ref="E1187:F1187"/>
    <mergeCell ref="E1120:F1120"/>
    <mergeCell ref="E1167:F1167"/>
    <mergeCell ref="E1063:F1063"/>
    <mergeCell ref="E1064:F1064"/>
    <mergeCell ref="E1065:F1065"/>
    <mergeCell ref="E1066:F1066"/>
    <mergeCell ref="E1068:F1068"/>
    <mergeCell ref="E1069:F1069"/>
    <mergeCell ref="E1070:F1070"/>
    <mergeCell ref="E1074:F1074"/>
    <mergeCell ref="E1075:F1075"/>
    <mergeCell ref="A1147:E1147"/>
    <mergeCell ref="A1150:E1150"/>
    <mergeCell ref="E1162:F1162"/>
    <mergeCell ref="E1166:F1166"/>
    <mergeCell ref="E1171:F1171"/>
    <mergeCell ref="F1145:H1145"/>
    <mergeCell ref="F1146:H1146"/>
    <mergeCell ref="F1147:H1147"/>
    <mergeCell ref="G1148:H1148"/>
    <mergeCell ref="E1056:F1056"/>
    <mergeCell ref="E1058:F1058"/>
    <mergeCell ref="E1059:F1059"/>
    <mergeCell ref="E1060:F1060"/>
    <mergeCell ref="E1061:F1061"/>
    <mergeCell ref="E1062:F1062"/>
    <mergeCell ref="E1048:F1048"/>
    <mergeCell ref="E1049:F1049"/>
    <mergeCell ref="E1051:F1051"/>
    <mergeCell ref="E1052:F1052"/>
    <mergeCell ref="E1053:F1053"/>
    <mergeCell ref="E1159:F1159"/>
    <mergeCell ref="E1160:F1160"/>
    <mergeCell ref="E1161:F1161"/>
    <mergeCell ref="E1163:F1163"/>
    <mergeCell ref="E1164:F1164"/>
    <mergeCell ref="E1152:F1152"/>
    <mergeCell ref="A1126:E1126"/>
    <mergeCell ref="A1127:E1127"/>
    <mergeCell ref="A1128:E1128"/>
    <mergeCell ref="A1129:E1129"/>
    <mergeCell ref="A1118:E1118"/>
    <mergeCell ref="A1114:E1114"/>
    <mergeCell ref="E1054:F1054"/>
    <mergeCell ref="F1111:H1111"/>
    <mergeCell ref="A1096:A1097"/>
    <mergeCell ref="B1096:B1097"/>
    <mergeCell ref="C1096:C1097"/>
    <mergeCell ref="D1096:D1097"/>
    <mergeCell ref="G1149:H1149"/>
    <mergeCell ref="F1150:H1150"/>
    <mergeCell ref="A1130:E1130"/>
    <mergeCell ref="E965:F965"/>
    <mergeCell ref="E966:F966"/>
    <mergeCell ref="E968:F968"/>
    <mergeCell ref="E903:F903"/>
    <mergeCell ref="E909:F909"/>
    <mergeCell ref="E915:F915"/>
    <mergeCell ref="A984:E984"/>
    <mergeCell ref="A985:E985"/>
    <mergeCell ref="A986:E986"/>
    <mergeCell ref="A987:E987"/>
    <mergeCell ref="A988:E988"/>
    <mergeCell ref="E1078:F1078"/>
    <mergeCell ref="E1079:F1079"/>
    <mergeCell ref="E1080:F1080"/>
    <mergeCell ref="E1081:F1081"/>
    <mergeCell ref="E1082:F1082"/>
    <mergeCell ref="E1007:F1007"/>
    <mergeCell ref="E1009:F1009"/>
    <mergeCell ref="E1010:F1010"/>
    <mergeCell ref="E1011:F1011"/>
    <mergeCell ref="E1013:F1013"/>
    <mergeCell ref="E1014:F1014"/>
    <mergeCell ref="E1016:F1016"/>
    <mergeCell ref="E1076:F1076"/>
    <mergeCell ref="E1071:F1071"/>
    <mergeCell ref="E1072:F1072"/>
    <mergeCell ref="E1073:F1073"/>
    <mergeCell ref="E1020:F1020"/>
    <mergeCell ref="E1021:F1021"/>
    <mergeCell ref="E1023:F1023"/>
    <mergeCell ref="E1024:F1024"/>
    <mergeCell ref="E1055:F1055"/>
    <mergeCell ref="E855:F855"/>
    <mergeCell ref="E856:F856"/>
    <mergeCell ref="E857:F857"/>
    <mergeCell ref="E858:F858"/>
    <mergeCell ref="E860:F860"/>
    <mergeCell ref="E861:F861"/>
    <mergeCell ref="E969:F969"/>
    <mergeCell ref="E935:F935"/>
    <mergeCell ref="E936:F936"/>
    <mergeCell ref="E941:F941"/>
    <mergeCell ref="E942:F942"/>
    <mergeCell ref="E944:F944"/>
    <mergeCell ref="E952:F952"/>
    <mergeCell ref="E953:F953"/>
    <mergeCell ref="E954:F954"/>
    <mergeCell ref="E961:F961"/>
    <mergeCell ref="E878:F878"/>
    <mergeCell ref="E880:F880"/>
    <mergeCell ref="E881:F881"/>
    <mergeCell ref="E882:F882"/>
    <mergeCell ref="E930:F930"/>
    <mergeCell ref="E932:F932"/>
    <mergeCell ref="E934:F934"/>
    <mergeCell ref="A955:I955"/>
    <mergeCell ref="A956:I956"/>
    <mergeCell ref="A962:I962"/>
    <mergeCell ref="A963:I963"/>
    <mergeCell ref="E967:F967"/>
    <mergeCell ref="E951:F951"/>
    <mergeCell ref="E958:F958"/>
    <mergeCell ref="E959:F959"/>
    <mergeCell ref="E960:F960"/>
    <mergeCell ref="A764:E764"/>
    <mergeCell ref="E770:F770"/>
    <mergeCell ref="E771:F771"/>
    <mergeCell ref="A773:E773"/>
    <mergeCell ref="E845:F845"/>
    <mergeCell ref="E846:F846"/>
    <mergeCell ref="E847:F847"/>
    <mergeCell ref="E850:F850"/>
    <mergeCell ref="E865:F865"/>
    <mergeCell ref="E866:F866"/>
    <mergeCell ref="E828:F828"/>
    <mergeCell ref="E829:F829"/>
    <mergeCell ref="E831:F831"/>
    <mergeCell ref="E833:F833"/>
    <mergeCell ref="E834:F834"/>
    <mergeCell ref="E835:F835"/>
    <mergeCell ref="E836:F836"/>
    <mergeCell ref="E788:F788"/>
    <mergeCell ref="A768:E768"/>
    <mergeCell ref="A772:E772"/>
    <mergeCell ref="A775:E775"/>
    <mergeCell ref="A779:E779"/>
    <mergeCell ref="A810:E810"/>
    <mergeCell ref="A809:E809"/>
    <mergeCell ref="E837:F837"/>
    <mergeCell ref="E840:F840"/>
    <mergeCell ref="E841:F841"/>
    <mergeCell ref="E842:F842"/>
    <mergeCell ref="E843:F843"/>
    <mergeCell ref="E844:F844"/>
    <mergeCell ref="E862:F862"/>
    <mergeCell ref="E864:F864"/>
    <mergeCell ref="A813:E813"/>
    <mergeCell ref="E789:F789"/>
    <mergeCell ref="E790:F790"/>
    <mergeCell ref="E791:F791"/>
    <mergeCell ref="E792:F792"/>
    <mergeCell ref="E793:F793"/>
    <mergeCell ref="E794:F794"/>
    <mergeCell ref="E797:F797"/>
    <mergeCell ref="E798:F798"/>
    <mergeCell ref="A811:E811"/>
    <mergeCell ref="A812:E812"/>
    <mergeCell ref="A688:E688"/>
    <mergeCell ref="A706:E706"/>
    <mergeCell ref="G701:H701"/>
    <mergeCell ref="F706:H706"/>
    <mergeCell ref="A686:E686"/>
    <mergeCell ref="A687:E687"/>
    <mergeCell ref="A691:E691"/>
    <mergeCell ref="A695:E695"/>
    <mergeCell ref="A700:E700"/>
    <mergeCell ref="F686:H686"/>
    <mergeCell ref="F687:H687"/>
    <mergeCell ref="F688:H688"/>
    <mergeCell ref="G689:H689"/>
    <mergeCell ref="G690:H690"/>
    <mergeCell ref="F691:H691"/>
    <mergeCell ref="G692:H692"/>
    <mergeCell ref="A761:E761"/>
    <mergeCell ref="A736:E736"/>
    <mergeCell ref="A739:E739"/>
    <mergeCell ref="A743:E743"/>
    <mergeCell ref="A757:E757"/>
    <mergeCell ref="E735:F735"/>
    <mergeCell ref="A737:E737"/>
    <mergeCell ref="A738:E738"/>
    <mergeCell ref="A740:E740"/>
    <mergeCell ref="A758:E758"/>
    <mergeCell ref="A756:E756"/>
    <mergeCell ref="E526:F526"/>
    <mergeCell ref="E527:F527"/>
    <mergeCell ref="E528:F528"/>
    <mergeCell ref="E529:F529"/>
    <mergeCell ref="E530:F530"/>
    <mergeCell ref="E531:F531"/>
    <mergeCell ref="E532:F532"/>
    <mergeCell ref="E533:F533"/>
    <mergeCell ref="E534:F534"/>
    <mergeCell ref="E535:F535"/>
    <mergeCell ref="E536:F536"/>
    <mergeCell ref="E537:F537"/>
    <mergeCell ref="E538:F538"/>
    <mergeCell ref="E547:F547"/>
    <mergeCell ref="A552:E552"/>
    <mergeCell ref="E679:F679"/>
    <mergeCell ref="E680:F680"/>
    <mergeCell ref="E682:F682"/>
    <mergeCell ref="E683:F683"/>
    <mergeCell ref="A685:E685"/>
    <mergeCell ref="F684:H684"/>
    <mergeCell ref="F685:H685"/>
    <mergeCell ref="E581:F581"/>
    <mergeCell ref="E591:F591"/>
    <mergeCell ref="A593:A594"/>
    <mergeCell ref="B593:B594"/>
    <mergeCell ref="E469:F469"/>
    <mergeCell ref="E470:F470"/>
    <mergeCell ref="E488:F488"/>
    <mergeCell ref="E489:F489"/>
    <mergeCell ref="E490:F490"/>
    <mergeCell ref="E491:F491"/>
    <mergeCell ref="E468:F468"/>
    <mergeCell ref="E482:F482"/>
    <mergeCell ref="E471:F471"/>
    <mergeCell ref="E472:F472"/>
    <mergeCell ref="E473:F473"/>
    <mergeCell ref="E474:F474"/>
    <mergeCell ref="E475:F475"/>
    <mergeCell ref="E476:F476"/>
    <mergeCell ref="E477:F477"/>
    <mergeCell ref="E478:F478"/>
    <mergeCell ref="E479:F479"/>
    <mergeCell ref="E480:F480"/>
    <mergeCell ref="E483:F483"/>
    <mergeCell ref="E484:F484"/>
    <mergeCell ref="E485:F485"/>
    <mergeCell ref="E486:F486"/>
    <mergeCell ref="E487:F487"/>
    <mergeCell ref="E450:F450"/>
    <mergeCell ref="E451:F451"/>
    <mergeCell ref="E452:F452"/>
    <mergeCell ref="E453:F453"/>
    <mergeCell ref="E420:F420"/>
    <mergeCell ref="E421:F421"/>
    <mergeCell ref="E422:F422"/>
    <mergeCell ref="E423:F423"/>
    <mergeCell ref="E424:F424"/>
    <mergeCell ref="E425:F425"/>
    <mergeCell ref="E426:F426"/>
    <mergeCell ref="E427:F427"/>
    <mergeCell ref="E428:F428"/>
    <mergeCell ref="E429:F429"/>
    <mergeCell ref="E430:F430"/>
    <mergeCell ref="E431:F431"/>
    <mergeCell ref="E432:F432"/>
    <mergeCell ref="E433:F433"/>
    <mergeCell ref="E434:F434"/>
    <mergeCell ref="E435:F435"/>
    <mergeCell ref="E436:F436"/>
    <mergeCell ref="E437:F437"/>
    <mergeCell ref="E438:F438"/>
    <mergeCell ref="E439:F439"/>
    <mergeCell ref="E440:F440"/>
    <mergeCell ref="E441:F441"/>
    <mergeCell ref="E442:F442"/>
    <mergeCell ref="E447:F447"/>
    <mergeCell ref="E448:F448"/>
    <mergeCell ref="E449:F449"/>
    <mergeCell ref="E446:F446"/>
    <mergeCell ref="E337:F337"/>
    <mergeCell ref="E338:F338"/>
    <mergeCell ref="E339:F339"/>
    <mergeCell ref="E340:F340"/>
    <mergeCell ref="E341:F341"/>
    <mergeCell ref="E342:F342"/>
    <mergeCell ref="E343:F343"/>
    <mergeCell ref="E344:F344"/>
    <mergeCell ref="E345:F345"/>
    <mergeCell ref="E346:F346"/>
    <mergeCell ref="E347:F347"/>
    <mergeCell ref="E348:F348"/>
    <mergeCell ref="E349:F349"/>
    <mergeCell ref="E350:F350"/>
    <mergeCell ref="E351:F351"/>
    <mergeCell ref="E443:F443"/>
    <mergeCell ref="E444:F444"/>
    <mergeCell ref="E418:F418"/>
    <mergeCell ref="E419:F419"/>
    <mergeCell ref="E386:F386"/>
    <mergeCell ref="E389:F389"/>
    <mergeCell ref="E390:F390"/>
    <mergeCell ref="E391:F391"/>
    <mergeCell ref="E392:F392"/>
    <mergeCell ref="E393:F393"/>
    <mergeCell ref="E394:F394"/>
    <mergeCell ref="E395:F395"/>
    <mergeCell ref="E396:F396"/>
    <mergeCell ref="E397:F397"/>
    <mergeCell ref="E398:F398"/>
    <mergeCell ref="E399:F399"/>
    <mergeCell ref="E400:F400"/>
    <mergeCell ref="E302:F302"/>
    <mergeCell ref="E303:F303"/>
    <mergeCell ref="E304:F304"/>
    <mergeCell ref="E305:F305"/>
    <mergeCell ref="E306:F306"/>
    <mergeCell ref="E307:F307"/>
    <mergeCell ref="E310:F310"/>
    <mergeCell ref="E311:F311"/>
    <mergeCell ref="E312:F312"/>
    <mergeCell ref="E313:F313"/>
    <mergeCell ref="E314:F314"/>
    <mergeCell ref="E315:F315"/>
    <mergeCell ref="E316:F316"/>
    <mergeCell ref="E317:F317"/>
    <mergeCell ref="E318:F318"/>
    <mergeCell ref="E323:F323"/>
    <mergeCell ref="E324:F324"/>
    <mergeCell ref="E309:F309"/>
    <mergeCell ref="E322:F322"/>
    <mergeCell ref="A319:I319"/>
    <mergeCell ref="A320:I320"/>
    <mergeCell ref="E299:F299"/>
    <mergeCell ref="E300:F300"/>
    <mergeCell ref="E267:F267"/>
    <mergeCell ref="E269:F269"/>
    <mergeCell ref="E270:F270"/>
    <mergeCell ref="E271:F271"/>
    <mergeCell ref="E272:F272"/>
    <mergeCell ref="E273:F273"/>
    <mergeCell ref="E275:F275"/>
    <mergeCell ref="E276:F276"/>
    <mergeCell ref="E277:F277"/>
    <mergeCell ref="E278:F278"/>
    <mergeCell ref="E279:F279"/>
    <mergeCell ref="E281:F281"/>
    <mergeCell ref="E282:F282"/>
    <mergeCell ref="E283:F283"/>
    <mergeCell ref="E301:F301"/>
    <mergeCell ref="E284:F284"/>
    <mergeCell ref="E285:F285"/>
    <mergeCell ref="E288:F288"/>
    <mergeCell ref="E289:F289"/>
    <mergeCell ref="E290:F290"/>
    <mergeCell ref="E291:F291"/>
    <mergeCell ref="E292:F292"/>
    <mergeCell ref="E293:F293"/>
    <mergeCell ref="E294:F294"/>
    <mergeCell ref="E295:F295"/>
    <mergeCell ref="E298:F298"/>
    <mergeCell ref="E287:F287"/>
    <mergeCell ref="E297:F297"/>
    <mergeCell ref="E264:F264"/>
    <mergeCell ref="E265:F265"/>
    <mergeCell ref="E266:F266"/>
    <mergeCell ref="A244:A245"/>
    <mergeCell ref="B244:B245"/>
    <mergeCell ref="C244:C245"/>
    <mergeCell ref="D244:D245"/>
    <mergeCell ref="E244:E245"/>
    <mergeCell ref="F244:G244"/>
    <mergeCell ref="A247:E247"/>
    <mergeCell ref="A248:E248"/>
    <mergeCell ref="A249:E249"/>
    <mergeCell ref="A250:E250"/>
    <mergeCell ref="A251:E251"/>
    <mergeCell ref="E257:F257"/>
    <mergeCell ref="E258:F258"/>
    <mergeCell ref="E259:F259"/>
    <mergeCell ref="E260:F260"/>
    <mergeCell ref="E262:F262"/>
    <mergeCell ref="E263:F263"/>
    <mergeCell ref="F250:H250"/>
    <mergeCell ref="F251:H251"/>
    <mergeCell ref="F252:H252"/>
    <mergeCell ref="G253:H253"/>
    <mergeCell ref="G254:H254"/>
    <mergeCell ref="F255:H255"/>
    <mergeCell ref="E181:F181"/>
    <mergeCell ref="E182:F182"/>
    <mergeCell ref="E183:F183"/>
    <mergeCell ref="E184:F184"/>
    <mergeCell ref="E155:F155"/>
    <mergeCell ref="E156:F156"/>
    <mergeCell ref="E157:F157"/>
    <mergeCell ref="E159:F159"/>
    <mergeCell ref="E160:F160"/>
    <mergeCell ref="E161:F161"/>
    <mergeCell ref="E165:F165"/>
    <mergeCell ref="E166:F166"/>
    <mergeCell ref="E167:F167"/>
    <mergeCell ref="A218:E218"/>
    <mergeCell ref="E186:F186"/>
    <mergeCell ref="E187:F187"/>
    <mergeCell ref="E188:F188"/>
    <mergeCell ref="E196:F196"/>
    <mergeCell ref="E197:F197"/>
    <mergeCell ref="E198:F198"/>
    <mergeCell ref="E199:F199"/>
    <mergeCell ref="E200:F200"/>
    <mergeCell ref="E201:F201"/>
    <mergeCell ref="E171:F171"/>
    <mergeCell ref="E172:F172"/>
    <mergeCell ref="E210:F210"/>
    <mergeCell ref="E211:F211"/>
    <mergeCell ref="E213:F213"/>
    <mergeCell ref="E189:F189"/>
    <mergeCell ref="E191:F191"/>
    <mergeCell ref="E203:F203"/>
    <mergeCell ref="E204:F204"/>
    <mergeCell ref="E96:F96"/>
    <mergeCell ref="E97:F97"/>
    <mergeCell ref="A44:A45"/>
    <mergeCell ref="B44:B45"/>
    <mergeCell ref="C44:C45"/>
    <mergeCell ref="D44:D45"/>
    <mergeCell ref="E44:E45"/>
    <mergeCell ref="F44:G44"/>
    <mergeCell ref="E120:F120"/>
    <mergeCell ref="E121:F121"/>
    <mergeCell ref="E122:F122"/>
    <mergeCell ref="E123:F123"/>
    <mergeCell ref="E124:F124"/>
    <mergeCell ref="E125:F125"/>
    <mergeCell ref="E127:F127"/>
    <mergeCell ref="A141:E141"/>
    <mergeCell ref="A142:E142"/>
    <mergeCell ref="E137:F137"/>
    <mergeCell ref="E60:F60"/>
    <mergeCell ref="E61:F61"/>
    <mergeCell ref="E62:F62"/>
    <mergeCell ref="E63:F63"/>
    <mergeCell ref="E65:F65"/>
    <mergeCell ref="E66:F66"/>
    <mergeCell ref="E67:F67"/>
    <mergeCell ref="E68:F68"/>
    <mergeCell ref="E69:F69"/>
    <mergeCell ref="E91:F91"/>
    <mergeCell ref="E92:F92"/>
    <mergeCell ref="E93:F93"/>
    <mergeCell ref="E94:F94"/>
    <mergeCell ref="E80:F80"/>
    <mergeCell ref="E106:F106"/>
    <mergeCell ref="E107:F107"/>
    <mergeCell ref="E101:F101"/>
    <mergeCell ref="E118:F118"/>
    <mergeCell ref="E119:F119"/>
    <mergeCell ref="A47:E47"/>
    <mergeCell ref="A48:E48"/>
    <mergeCell ref="A49:E49"/>
    <mergeCell ref="A50:E50"/>
    <mergeCell ref="A51:E51"/>
    <mergeCell ref="A52:E52"/>
    <mergeCell ref="E56:F56"/>
    <mergeCell ref="E82:F82"/>
    <mergeCell ref="E83:F83"/>
    <mergeCell ref="E84:F84"/>
    <mergeCell ref="E85:F85"/>
    <mergeCell ref="E86:F86"/>
    <mergeCell ref="E87:F87"/>
    <mergeCell ref="E88:F88"/>
    <mergeCell ref="E89:F89"/>
    <mergeCell ref="E102:F102"/>
    <mergeCell ref="E103:F103"/>
    <mergeCell ref="E71:F71"/>
    <mergeCell ref="E72:F72"/>
    <mergeCell ref="E73:F73"/>
    <mergeCell ref="E74:F74"/>
    <mergeCell ref="E75:F75"/>
    <mergeCell ref="E76:F76"/>
    <mergeCell ref="E77:F77"/>
    <mergeCell ref="E78:F78"/>
    <mergeCell ref="E79:F79"/>
    <mergeCell ref="E95:F95"/>
    <mergeCell ref="C138:C139"/>
    <mergeCell ref="D138:D139"/>
    <mergeCell ref="E138:E139"/>
    <mergeCell ref="F138:G138"/>
    <mergeCell ref="E177:F177"/>
    <mergeCell ref="E178:F178"/>
    <mergeCell ref="E180:F180"/>
    <mergeCell ref="E151:F151"/>
    <mergeCell ref="E128:F128"/>
    <mergeCell ref="E129:F129"/>
    <mergeCell ref="E130:F130"/>
    <mergeCell ref="E131:F131"/>
    <mergeCell ref="E132:F132"/>
    <mergeCell ref="E133:F133"/>
    <mergeCell ref="E134:F134"/>
    <mergeCell ref="E136:F136"/>
    <mergeCell ref="E109:F109"/>
    <mergeCell ref="E110:F110"/>
    <mergeCell ref="E111:F111"/>
    <mergeCell ref="E112:F112"/>
    <mergeCell ref="E113:F113"/>
    <mergeCell ref="E114:F114"/>
    <mergeCell ref="E115:F115"/>
    <mergeCell ref="E116:F116"/>
    <mergeCell ref="A143:E143"/>
    <mergeCell ref="A144:E144"/>
    <mergeCell ref="E154:F154"/>
    <mergeCell ref="E173:F173"/>
    <mergeCell ref="E174:F174"/>
    <mergeCell ref="E175:F175"/>
    <mergeCell ref="E176:F176"/>
    <mergeCell ref="E588:F588"/>
    <mergeCell ref="F556:H556"/>
    <mergeCell ref="E589:F589"/>
    <mergeCell ref="E592:F592"/>
    <mergeCell ref="I244:I245"/>
    <mergeCell ref="F247:H247"/>
    <mergeCell ref="F248:H248"/>
    <mergeCell ref="F249:H249"/>
    <mergeCell ref="E98:F98"/>
    <mergeCell ref="E100:F100"/>
    <mergeCell ref="A522:I522"/>
    <mergeCell ref="A523:I523"/>
    <mergeCell ref="E331:F331"/>
    <mergeCell ref="E332:F332"/>
    <mergeCell ref="E352:F352"/>
    <mergeCell ref="E353:F353"/>
    <mergeCell ref="E354:F354"/>
    <mergeCell ref="E355:F355"/>
    <mergeCell ref="E356:F356"/>
    <mergeCell ref="E325:F325"/>
    <mergeCell ref="E326:F326"/>
    <mergeCell ref="E327:F327"/>
    <mergeCell ref="E328:F328"/>
    <mergeCell ref="E329:F329"/>
    <mergeCell ref="E330:F330"/>
    <mergeCell ref="E104:F104"/>
    <mergeCell ref="E105:F105"/>
    <mergeCell ref="A145:E145"/>
    <mergeCell ref="A146:E146"/>
    <mergeCell ref="E150:F150"/>
    <mergeCell ref="A138:A139"/>
    <mergeCell ref="B138:B139"/>
    <mergeCell ref="F598:H598"/>
    <mergeCell ref="F599:H599"/>
    <mergeCell ref="F600:H600"/>
    <mergeCell ref="G613:H613"/>
    <mergeCell ref="G614:H614"/>
    <mergeCell ref="E670:F670"/>
    <mergeCell ref="E671:F671"/>
    <mergeCell ref="E672:F672"/>
    <mergeCell ref="E152:F152"/>
    <mergeCell ref="E153:F153"/>
    <mergeCell ref="I593:I594"/>
    <mergeCell ref="E546:F546"/>
    <mergeCell ref="A548:A549"/>
    <mergeCell ref="B548:B549"/>
    <mergeCell ref="C548:C549"/>
    <mergeCell ref="D548:D549"/>
    <mergeCell ref="E548:E549"/>
    <mergeCell ref="F548:G548"/>
    <mergeCell ref="A551:E551"/>
    <mergeCell ref="A559:E559"/>
    <mergeCell ref="A562:E562"/>
    <mergeCell ref="A553:E553"/>
    <mergeCell ref="A554:E554"/>
    <mergeCell ref="A555:E555"/>
    <mergeCell ref="A556:E556"/>
    <mergeCell ref="E579:F579"/>
    <mergeCell ref="E582:F582"/>
    <mergeCell ref="E583:F583"/>
    <mergeCell ref="E584:F584"/>
    <mergeCell ref="E585:F585"/>
    <mergeCell ref="E586:F586"/>
    <mergeCell ref="E587:F587"/>
    <mergeCell ref="E673:F673"/>
    <mergeCell ref="E676:F676"/>
    <mergeCell ref="A684:E684"/>
    <mergeCell ref="A615:E615"/>
    <mergeCell ref="A774:E774"/>
    <mergeCell ref="A776:E776"/>
    <mergeCell ref="F768:H768"/>
    <mergeCell ref="F772:H772"/>
    <mergeCell ref="F773:H773"/>
    <mergeCell ref="F774:H774"/>
    <mergeCell ref="F775:H775"/>
    <mergeCell ref="F776:H776"/>
    <mergeCell ref="E708:F708"/>
    <mergeCell ref="E709:F709"/>
    <mergeCell ref="A711:E711"/>
    <mergeCell ref="A712:E712"/>
    <mergeCell ref="A713:E713"/>
    <mergeCell ref="A717:E717"/>
    <mergeCell ref="A721:E721"/>
    <mergeCell ref="F710:H710"/>
    <mergeCell ref="F711:H711"/>
    <mergeCell ref="F712:H712"/>
    <mergeCell ref="F713:H713"/>
    <mergeCell ref="F714:H714"/>
    <mergeCell ref="G715:H715"/>
    <mergeCell ref="G716:H716"/>
    <mergeCell ref="F717:H717"/>
    <mergeCell ref="G718:H718"/>
    <mergeCell ref="G719:H719"/>
    <mergeCell ref="G720:H720"/>
    <mergeCell ref="F721:H721"/>
    <mergeCell ref="G760:H760"/>
    <mergeCell ref="F761:H761"/>
    <mergeCell ref="F764:H764"/>
    <mergeCell ref="G765:H765"/>
    <mergeCell ref="A710:E710"/>
    <mergeCell ref="A814:E814"/>
    <mergeCell ref="A820:E820"/>
    <mergeCell ref="A824:E824"/>
    <mergeCell ref="E832:F832"/>
    <mergeCell ref="E838:F838"/>
    <mergeCell ref="E849:F849"/>
    <mergeCell ref="E853:F853"/>
    <mergeCell ref="E867:F867"/>
    <mergeCell ref="E879:F879"/>
    <mergeCell ref="G821:H821"/>
    <mergeCell ref="F824:H824"/>
    <mergeCell ref="A782:E782"/>
    <mergeCell ref="A786:E786"/>
    <mergeCell ref="E796:F796"/>
    <mergeCell ref="E799:F799"/>
    <mergeCell ref="E800:F800"/>
    <mergeCell ref="E801:F801"/>
    <mergeCell ref="E802:F802"/>
    <mergeCell ref="E804:F804"/>
    <mergeCell ref="E805:F805"/>
    <mergeCell ref="A806:A807"/>
    <mergeCell ref="B806:B807"/>
    <mergeCell ref="C806:C807"/>
    <mergeCell ref="D806:D807"/>
    <mergeCell ref="E806:E807"/>
    <mergeCell ref="F806:G806"/>
    <mergeCell ref="A817:E817"/>
    <mergeCell ref="E826:F826"/>
    <mergeCell ref="E827:F827"/>
    <mergeCell ref="E868:F868"/>
    <mergeCell ref="E869:F869"/>
    <mergeCell ref="E870:F870"/>
    <mergeCell ref="E927:F927"/>
    <mergeCell ref="E933:F933"/>
    <mergeCell ref="E938:F938"/>
    <mergeCell ref="E939:F939"/>
    <mergeCell ref="E940:F940"/>
    <mergeCell ref="E945:F945"/>
    <mergeCell ref="E946:F946"/>
    <mergeCell ref="E947:F947"/>
    <mergeCell ref="A948:I948"/>
    <mergeCell ref="A949:I949"/>
    <mergeCell ref="E904:F904"/>
    <mergeCell ref="E905:F905"/>
    <mergeCell ref="E906:F906"/>
    <mergeCell ref="E884:F884"/>
    <mergeCell ref="E886:F886"/>
    <mergeCell ref="E887:F887"/>
    <mergeCell ref="E888:F888"/>
    <mergeCell ref="E890:F890"/>
    <mergeCell ref="E892:F892"/>
    <mergeCell ref="E893:F893"/>
    <mergeCell ref="E871:F871"/>
    <mergeCell ref="E872:F872"/>
    <mergeCell ref="E874:F874"/>
    <mergeCell ref="E875:F875"/>
    <mergeCell ref="E876:F876"/>
    <mergeCell ref="E851:F851"/>
    <mergeCell ref="E852:F852"/>
    <mergeCell ref="E854:F854"/>
    <mergeCell ref="A1122:A1123"/>
    <mergeCell ref="B1122:B1123"/>
    <mergeCell ref="C1122:C1123"/>
    <mergeCell ref="D1122:D1123"/>
    <mergeCell ref="E1122:E1123"/>
    <mergeCell ref="F1122:G1122"/>
    <mergeCell ref="F1096:G1096"/>
    <mergeCell ref="A1102:E1102"/>
    <mergeCell ref="A1103:E1103"/>
    <mergeCell ref="A1105:E1105"/>
    <mergeCell ref="A1106:E1106"/>
    <mergeCell ref="A1107:E1107"/>
    <mergeCell ref="A1111:E1111"/>
    <mergeCell ref="F1103:H1103"/>
    <mergeCell ref="F1104:H1104"/>
    <mergeCell ref="F1105:H1105"/>
    <mergeCell ref="F1106:H1106"/>
    <mergeCell ref="F1107:H1107"/>
    <mergeCell ref="A1104:E1104"/>
    <mergeCell ref="G1108:H1108"/>
    <mergeCell ref="G1109:H1109"/>
    <mergeCell ref="G1110:H1110"/>
    <mergeCell ref="A993:E993"/>
    <mergeCell ref="F1138:G1138"/>
    <mergeCell ref="A1142:E1142"/>
    <mergeCell ref="A1134:E1134"/>
    <mergeCell ref="F1143:H1143"/>
    <mergeCell ref="F1144:H1144"/>
    <mergeCell ref="E1240:F1240"/>
    <mergeCell ref="E1245:F1245"/>
    <mergeCell ref="E1257:F1257"/>
    <mergeCell ref="E1263:F1263"/>
    <mergeCell ref="E1269:F1269"/>
    <mergeCell ref="E1275:F1275"/>
    <mergeCell ref="E1282:F1282"/>
    <mergeCell ref="E1291:F1291"/>
    <mergeCell ref="E1214:F1214"/>
    <mergeCell ref="E1215:F1215"/>
    <mergeCell ref="E1182:F1182"/>
    <mergeCell ref="E1183:F1183"/>
    <mergeCell ref="E1184:F1184"/>
    <mergeCell ref="E1185:F1185"/>
    <mergeCell ref="E1186:F1186"/>
    <mergeCell ref="E1188:F1188"/>
    <mergeCell ref="E1190:F1190"/>
    <mergeCell ref="E1191:F1191"/>
    <mergeCell ref="E1192:F1192"/>
    <mergeCell ref="E1193:F1193"/>
    <mergeCell ref="E1194:F1194"/>
    <mergeCell ref="E1196:F1196"/>
    <mergeCell ref="E1198:F1198"/>
    <mergeCell ref="E1239:F1239"/>
    <mergeCell ref="E1241:F1241"/>
    <mergeCell ref="E1153:F1153"/>
    <mergeCell ref="E1154:F1154"/>
    <mergeCell ref="E1246:F1246"/>
    <mergeCell ref="E1283:F1283"/>
    <mergeCell ref="E1251:F1251"/>
    <mergeCell ref="E1252:F1252"/>
    <mergeCell ref="E1253:F1253"/>
    <mergeCell ref="E1254:F1254"/>
    <mergeCell ref="E1256:F1256"/>
    <mergeCell ref="A1307:E1307"/>
    <mergeCell ref="A1308:E1308"/>
    <mergeCell ref="F1304:H1304"/>
    <mergeCell ref="F1305:H1305"/>
    <mergeCell ref="F1306:H1306"/>
    <mergeCell ref="F1307:H1307"/>
    <mergeCell ref="F1308:H1308"/>
    <mergeCell ref="I1338:I1339"/>
    <mergeCell ref="A1312:E1312"/>
    <mergeCell ref="A1316:E1316"/>
    <mergeCell ref="A1320:E1320"/>
    <mergeCell ref="A1325:E1325"/>
    <mergeCell ref="E1327:F1327"/>
    <mergeCell ref="G1309:H1309"/>
    <mergeCell ref="G1310:H1310"/>
    <mergeCell ref="G1311:H1311"/>
    <mergeCell ref="F1312:H1312"/>
    <mergeCell ref="G1313:H1313"/>
    <mergeCell ref="G1314:H1314"/>
    <mergeCell ref="G1315:H1315"/>
    <mergeCell ref="F1316:H1316"/>
    <mergeCell ref="F1320:H1320"/>
    <mergeCell ref="G1321:H1321"/>
    <mergeCell ref="F1325:H1325"/>
    <mergeCell ref="E1385:F1385"/>
    <mergeCell ref="E1386:F1386"/>
    <mergeCell ref="E1387:F1387"/>
    <mergeCell ref="E1328:F1328"/>
    <mergeCell ref="E1329:F1329"/>
    <mergeCell ref="E1330:F1330"/>
    <mergeCell ref="E1331:F1331"/>
    <mergeCell ref="E1332:F1332"/>
    <mergeCell ref="E1333:F1333"/>
    <mergeCell ref="E1334:F1334"/>
    <mergeCell ref="E1336:F1336"/>
    <mergeCell ref="E1337:F1337"/>
    <mergeCell ref="A1338:A1339"/>
    <mergeCell ref="B1338:B1339"/>
    <mergeCell ref="C1338:C1339"/>
    <mergeCell ref="D1338:D1339"/>
    <mergeCell ref="E1338:E1339"/>
    <mergeCell ref="F1338:G1338"/>
    <mergeCell ref="A1342:E1342"/>
    <mergeCell ref="A1343:E1343"/>
    <mergeCell ref="A1344:E1344"/>
    <mergeCell ref="A1345:E1345"/>
    <mergeCell ref="A1347:E1347"/>
    <mergeCell ref="A1356:E1356"/>
    <mergeCell ref="F1342:H1342"/>
    <mergeCell ref="F1343:H1343"/>
    <mergeCell ref="F1344:H1344"/>
    <mergeCell ref="F1345:H1345"/>
    <mergeCell ref="F1346:H1346"/>
    <mergeCell ref="F1347:H1347"/>
    <mergeCell ref="G1348:H1348"/>
    <mergeCell ref="G1349:H1349"/>
    <mergeCell ref="G1350:H1350"/>
    <mergeCell ref="G1351:H1351"/>
    <mergeCell ref="G1352:H1352"/>
    <mergeCell ref="G1353:H1353"/>
    <mergeCell ref="G1354:H1354"/>
    <mergeCell ref="G1355:H1355"/>
    <mergeCell ref="A1346:E1346"/>
    <mergeCell ref="I1504:I1505"/>
    <mergeCell ref="F1512:H1512"/>
    <mergeCell ref="A1431:E1431"/>
    <mergeCell ref="A1433:E1433"/>
    <mergeCell ref="A1434:E1434"/>
    <mergeCell ref="A1435:E1435"/>
    <mergeCell ref="A1446:E1446"/>
    <mergeCell ref="G1439:H1439"/>
    <mergeCell ref="G1440:H1440"/>
    <mergeCell ref="G1441:H1441"/>
    <mergeCell ref="F1442:H1442"/>
    <mergeCell ref="G1443:H1443"/>
    <mergeCell ref="G1444:H1444"/>
    <mergeCell ref="G1445:H1445"/>
    <mergeCell ref="F1446:H1446"/>
    <mergeCell ref="E1417:F1417"/>
    <mergeCell ref="E1418:F1418"/>
    <mergeCell ref="E1419:F1419"/>
    <mergeCell ref="E1420:F1420"/>
    <mergeCell ref="E1421:F1421"/>
    <mergeCell ref="E1422:F1422"/>
    <mergeCell ref="E1423:F1423"/>
    <mergeCell ref="E1425:F1425"/>
    <mergeCell ref="E1426:F1426"/>
    <mergeCell ref="A1427:A1428"/>
    <mergeCell ref="B1427:B1428"/>
    <mergeCell ref="C1427:C1428"/>
    <mergeCell ref="D1427:D1428"/>
    <mergeCell ref="E1427:E1428"/>
    <mergeCell ref="F1427:G1427"/>
    <mergeCell ref="A1432:E1432"/>
    <mergeCell ref="A1436:E1436"/>
    <mergeCell ref="A1520:E1520"/>
    <mergeCell ref="E1522:F1522"/>
    <mergeCell ref="E1523:F1523"/>
    <mergeCell ref="A1524:A1525"/>
    <mergeCell ref="B1524:B1525"/>
    <mergeCell ref="C1524:C1525"/>
    <mergeCell ref="D1524:D1525"/>
    <mergeCell ref="E1524:E1525"/>
    <mergeCell ref="F1524:G1524"/>
    <mergeCell ref="F1434:H1434"/>
    <mergeCell ref="F1435:H1435"/>
    <mergeCell ref="F1436:H1436"/>
    <mergeCell ref="G1437:H1437"/>
    <mergeCell ref="G1438:H1438"/>
    <mergeCell ref="A1459:E1459"/>
    <mergeCell ref="F1452:H1452"/>
    <mergeCell ref="G1453:H1453"/>
    <mergeCell ref="F1459:H1459"/>
    <mergeCell ref="E1463:F1463"/>
    <mergeCell ref="E1464:F1464"/>
    <mergeCell ref="E1465:F1465"/>
    <mergeCell ref="E1474:F1474"/>
    <mergeCell ref="E1475:F1475"/>
    <mergeCell ref="E1476:F1476"/>
    <mergeCell ref="E1495:F1495"/>
    <mergeCell ref="F1544:H1544"/>
    <mergeCell ref="G1519:H1519"/>
    <mergeCell ref="F1520:H1520"/>
    <mergeCell ref="A1534:E1534"/>
    <mergeCell ref="A1535:E1535"/>
    <mergeCell ref="A1536:E1536"/>
    <mergeCell ref="A1544:E1544"/>
    <mergeCell ref="F1545:H1545"/>
    <mergeCell ref="F1546:H1546"/>
    <mergeCell ref="F1547:H1547"/>
    <mergeCell ref="G1548:H1548"/>
    <mergeCell ref="G1549:H1549"/>
    <mergeCell ref="G1550:H1550"/>
    <mergeCell ref="G1551:H1551"/>
    <mergeCell ref="G1552:H1552"/>
    <mergeCell ref="E1580:F1580"/>
    <mergeCell ref="E1581:F1581"/>
    <mergeCell ref="E1583:F1583"/>
    <mergeCell ref="E1584:F1584"/>
    <mergeCell ref="A1585:A1586"/>
    <mergeCell ref="B1585:B1586"/>
    <mergeCell ref="C1585:C1586"/>
    <mergeCell ref="D1585:D1586"/>
    <mergeCell ref="E1585:E1586"/>
    <mergeCell ref="F1585:G1585"/>
    <mergeCell ref="A1589:E1589"/>
    <mergeCell ref="A1590:E1590"/>
    <mergeCell ref="A1591:E1591"/>
    <mergeCell ref="I1585:I1586"/>
    <mergeCell ref="F1588:H1588"/>
    <mergeCell ref="F1589:H1589"/>
    <mergeCell ref="F1590:H1590"/>
    <mergeCell ref="F1591:H1591"/>
    <mergeCell ref="I1633:I1634"/>
    <mergeCell ref="A1592:E1592"/>
    <mergeCell ref="A1593:E1593"/>
    <mergeCell ref="E1600:F1600"/>
    <mergeCell ref="E1601:F1601"/>
    <mergeCell ref="A1602:A1603"/>
    <mergeCell ref="B1602:B1603"/>
    <mergeCell ref="C1602:C1603"/>
    <mergeCell ref="D1602:D1603"/>
    <mergeCell ref="E1602:E1603"/>
    <mergeCell ref="F1602:G1602"/>
    <mergeCell ref="F1592:H1592"/>
    <mergeCell ref="F1593:H1593"/>
    <mergeCell ref="G1594:H1594"/>
    <mergeCell ref="G1595:H1595"/>
    <mergeCell ref="G1596:H1596"/>
    <mergeCell ref="G1597:H1597"/>
    <mergeCell ref="F1598:H1598"/>
    <mergeCell ref="F1624:H1624"/>
    <mergeCell ref="G1625:H1625"/>
    <mergeCell ref="F1629:H1629"/>
    <mergeCell ref="F1633:G1633"/>
    <mergeCell ref="A1636:E1636"/>
    <mergeCell ref="E1688:F1688"/>
    <mergeCell ref="E1702:F1702"/>
    <mergeCell ref="E1705:F1705"/>
    <mergeCell ref="E1706:F1706"/>
    <mergeCell ref="E1707:F1707"/>
    <mergeCell ref="E1708:F1708"/>
    <mergeCell ref="G1647:H1647"/>
    <mergeCell ref="G1648:H1648"/>
    <mergeCell ref="G1649:H1649"/>
    <mergeCell ref="A1605:E1605"/>
    <mergeCell ref="A1606:E1606"/>
    <mergeCell ref="A1607:E1607"/>
    <mergeCell ref="A1608:E1608"/>
    <mergeCell ref="A1609:E1609"/>
    <mergeCell ref="A1639:E1639"/>
    <mergeCell ref="E1675:F1675"/>
    <mergeCell ref="E1676:F1676"/>
    <mergeCell ref="E1678:F1678"/>
    <mergeCell ref="E1679:F1679"/>
    <mergeCell ref="E1681:F1681"/>
    <mergeCell ref="E1683:F1683"/>
    <mergeCell ref="E1684:F1684"/>
    <mergeCell ref="E1685:F1685"/>
    <mergeCell ref="F1639:H1639"/>
    <mergeCell ref="F1640:H1640"/>
    <mergeCell ref="I1602:I1603"/>
    <mergeCell ref="F1605:H1605"/>
    <mergeCell ref="F1606:H1606"/>
    <mergeCell ref="F1607:H1607"/>
    <mergeCell ref="F1608:H1608"/>
    <mergeCell ref="F1609:H1609"/>
    <mergeCell ref="F1610:H1610"/>
    <mergeCell ref="G1611:H1611"/>
    <mergeCell ref="G1612:H1612"/>
    <mergeCell ref="G1613:H1613"/>
    <mergeCell ref="F1614:H1614"/>
    <mergeCell ref="G1615:H1615"/>
    <mergeCell ref="G1616:H1616"/>
    <mergeCell ref="G1617:H1617"/>
    <mergeCell ref="G1618:H1618"/>
    <mergeCell ref="A1637:E1637"/>
    <mergeCell ref="A1638:E1638"/>
    <mergeCell ref="E1631:F1631"/>
    <mergeCell ref="E1632:F1632"/>
    <mergeCell ref="A1633:A1634"/>
    <mergeCell ref="B1633:B1634"/>
    <mergeCell ref="C1633:C1634"/>
    <mergeCell ref="D1633:D1634"/>
    <mergeCell ref="E1633:E1634"/>
    <mergeCell ref="F1636:H1636"/>
    <mergeCell ref="F1637:H1637"/>
    <mergeCell ref="F1638:H1638"/>
    <mergeCell ref="G1644:H1644"/>
    <mergeCell ref="G1645:H1645"/>
    <mergeCell ref="F1646:H1646"/>
    <mergeCell ref="E1670:F1670"/>
    <mergeCell ref="E1677:F1677"/>
    <mergeCell ref="E1682:F1682"/>
    <mergeCell ref="A1641:E1641"/>
    <mergeCell ref="A1646:E1646"/>
    <mergeCell ref="A1650:E1650"/>
    <mergeCell ref="A1654:E1654"/>
    <mergeCell ref="E1665:F1665"/>
    <mergeCell ref="E1666:F1666"/>
    <mergeCell ref="E1667:F1667"/>
    <mergeCell ref="A1640:E1640"/>
    <mergeCell ref="A1659:E1659"/>
    <mergeCell ref="E1662:F1662"/>
    <mergeCell ref="F1650:H1650"/>
    <mergeCell ref="F1654:H1654"/>
    <mergeCell ref="G1655:H1655"/>
    <mergeCell ref="F1641:H1641"/>
    <mergeCell ref="G1642:H1642"/>
    <mergeCell ref="G1643:H1643"/>
    <mergeCell ref="A1714:A1715"/>
    <mergeCell ref="B1714:B1715"/>
    <mergeCell ref="C1714:C1715"/>
    <mergeCell ref="D1714:D1715"/>
    <mergeCell ref="E1714:E1715"/>
    <mergeCell ref="F1714:G1714"/>
    <mergeCell ref="A1718:E1718"/>
    <mergeCell ref="A1719:E1719"/>
    <mergeCell ref="A1720:E1720"/>
    <mergeCell ref="A1721:E1721"/>
    <mergeCell ref="A1722:E1722"/>
    <mergeCell ref="A1723:E1723"/>
    <mergeCell ref="E1728:F1728"/>
    <mergeCell ref="E1729:F1729"/>
    <mergeCell ref="G1725:H1725"/>
    <mergeCell ref="F1726:H1726"/>
    <mergeCell ref="A1726:E1726"/>
    <mergeCell ref="E1699:F1699"/>
    <mergeCell ref="E1669:F1669"/>
    <mergeCell ref="E1671:F1671"/>
    <mergeCell ref="E1673:F1673"/>
    <mergeCell ref="F1659:H1659"/>
    <mergeCell ref="E1696:F1696"/>
    <mergeCell ref="E1700:F1700"/>
    <mergeCell ref="E1701:F1701"/>
    <mergeCell ref="E1698:F1698"/>
    <mergeCell ref="I1714:I1715"/>
    <mergeCell ref="F1718:H1718"/>
    <mergeCell ref="F1719:H1719"/>
    <mergeCell ref="F1720:H1720"/>
    <mergeCell ref="F1721:H1721"/>
    <mergeCell ref="F1722:H1722"/>
    <mergeCell ref="F1723:H1723"/>
    <mergeCell ref="G1724:H1724"/>
    <mergeCell ref="E1709:F1709"/>
    <mergeCell ref="E1710:F1710"/>
    <mergeCell ref="E1712:F1712"/>
    <mergeCell ref="E1713:F1713"/>
    <mergeCell ref="A1738:E1738"/>
    <mergeCell ref="A1742:E1742"/>
    <mergeCell ref="I1730:I1731"/>
    <mergeCell ref="F1733:H1733"/>
    <mergeCell ref="F1734:H1734"/>
    <mergeCell ref="F1735:H1735"/>
    <mergeCell ref="F1736:H1736"/>
    <mergeCell ref="F1737:H1737"/>
    <mergeCell ref="F1738:H1738"/>
    <mergeCell ref="G1739:H1739"/>
    <mergeCell ref="G1740:H1740"/>
    <mergeCell ref="G1741:H1741"/>
    <mergeCell ref="F1742:H1742"/>
    <mergeCell ref="A1733:E1733"/>
    <mergeCell ref="A1730:A1731"/>
    <mergeCell ref="B1730:B1731"/>
    <mergeCell ref="C1730:C1731"/>
    <mergeCell ref="D1730:D1731"/>
    <mergeCell ref="E1730:E1731"/>
    <mergeCell ref="F1730:G1730"/>
    <mergeCell ref="A1737:E1737"/>
    <mergeCell ref="A1734:E1734"/>
    <mergeCell ref="A1735:E1735"/>
    <mergeCell ref="A1736:E1736"/>
    <mergeCell ref="G1803:H1803"/>
    <mergeCell ref="A1763:E1763"/>
    <mergeCell ref="A1764:E1764"/>
    <mergeCell ref="A1765:E1765"/>
    <mergeCell ref="A1767:E1767"/>
    <mergeCell ref="A1771:E1771"/>
    <mergeCell ref="I1759:I1760"/>
    <mergeCell ref="F1762:H1762"/>
    <mergeCell ref="F1763:H1763"/>
    <mergeCell ref="F1764:H1764"/>
    <mergeCell ref="F1765:H1765"/>
    <mergeCell ref="F1766:H1766"/>
    <mergeCell ref="F1767:H1767"/>
    <mergeCell ref="G1768:H1768"/>
    <mergeCell ref="G1769:H1769"/>
    <mergeCell ref="G1770:H1770"/>
    <mergeCell ref="F1771:H1771"/>
    <mergeCell ref="A1791:E1791"/>
    <mergeCell ref="A1779:E1779"/>
    <mergeCell ref="E1786:F1786"/>
    <mergeCell ref="E1787:F1787"/>
    <mergeCell ref="A1788:A1789"/>
    <mergeCell ref="B1788:B1789"/>
    <mergeCell ref="A1775:E1775"/>
    <mergeCell ref="C1788:C1789"/>
    <mergeCell ref="D1788:D1789"/>
    <mergeCell ref="E1788:E1789"/>
    <mergeCell ref="F1788:G1788"/>
    <mergeCell ref="F1775:H1775"/>
    <mergeCell ref="F1779:H1779"/>
    <mergeCell ref="A1792:E1792"/>
    <mergeCell ref="A1793:E1793"/>
    <mergeCell ref="I1849:I1850"/>
    <mergeCell ref="A1824:E1824"/>
    <mergeCell ref="E1826:F1826"/>
    <mergeCell ref="E1827:F1827"/>
    <mergeCell ref="A1828:E1828"/>
    <mergeCell ref="A1831:E1831"/>
    <mergeCell ref="A1835:E1835"/>
    <mergeCell ref="G1836:H1836"/>
    <mergeCell ref="A1981:E1981"/>
    <mergeCell ref="F1981:H1981"/>
    <mergeCell ref="A1903:E1903"/>
    <mergeCell ref="A1906:E1906"/>
    <mergeCell ref="A1910:E1910"/>
    <mergeCell ref="E1912:F1912"/>
    <mergeCell ref="E1920:F1920"/>
    <mergeCell ref="E1928:F1928"/>
    <mergeCell ref="E1936:F1936"/>
    <mergeCell ref="E1947:F1947"/>
    <mergeCell ref="E1964:F1964"/>
    <mergeCell ref="E1965:F1965"/>
    <mergeCell ref="A1868:E1868"/>
    <mergeCell ref="A1873:E1873"/>
    <mergeCell ref="A1879:E1879"/>
    <mergeCell ref="E1881:F1881"/>
    <mergeCell ref="E1884:F1884"/>
    <mergeCell ref="E1886:F1886"/>
    <mergeCell ref="F1879:H1879"/>
    <mergeCell ref="E1891:F1891"/>
    <mergeCell ref="E1892:F1892"/>
    <mergeCell ref="A1859:E1859"/>
    <mergeCell ref="A1864:E1864"/>
    <mergeCell ref="A1830:E1830"/>
    <mergeCell ref="E1922:F1922"/>
    <mergeCell ref="E1923:F1923"/>
    <mergeCell ref="E1924:F1924"/>
    <mergeCell ref="G1899:H1899"/>
    <mergeCell ref="F1900:H1900"/>
    <mergeCell ref="G1901:H1901"/>
    <mergeCell ref="I1989:I1990"/>
    <mergeCell ref="F1993:H1993"/>
    <mergeCell ref="F1994:H1994"/>
    <mergeCell ref="A1984:E1984"/>
    <mergeCell ref="A1985:E1985"/>
    <mergeCell ref="A1982:E1982"/>
    <mergeCell ref="F1982:H1982"/>
    <mergeCell ref="G1902:H1902"/>
    <mergeCell ref="F1903:H1903"/>
    <mergeCell ref="F1906:H1906"/>
    <mergeCell ref="G1907:H1907"/>
    <mergeCell ref="F1910:H1910"/>
    <mergeCell ref="A1974:J1974"/>
    <mergeCell ref="I1977:I1978"/>
    <mergeCell ref="F1980:H1980"/>
    <mergeCell ref="E1970:F1970"/>
    <mergeCell ref="E1971:F1971"/>
    <mergeCell ref="E1972:F1972"/>
    <mergeCell ref="E1975:F1975"/>
    <mergeCell ref="E1976:F1976"/>
    <mergeCell ref="A1977:A1978"/>
    <mergeCell ref="B1977:B1978"/>
    <mergeCell ref="C1977:C1978"/>
    <mergeCell ref="D1977:D1978"/>
    <mergeCell ref="E1977:E1978"/>
    <mergeCell ref="F1977:G1977"/>
    <mergeCell ref="D2002:D2003"/>
    <mergeCell ref="E2002:E2003"/>
    <mergeCell ref="F2002:G2002"/>
    <mergeCell ref="A2006:E2006"/>
    <mergeCell ref="A1983:E1983"/>
    <mergeCell ref="E1987:F1987"/>
    <mergeCell ref="E1988:F1988"/>
    <mergeCell ref="A1989:A1990"/>
    <mergeCell ref="B1989:B1990"/>
    <mergeCell ref="C1989:C1990"/>
    <mergeCell ref="D1989:D1990"/>
    <mergeCell ref="E1989:E1990"/>
    <mergeCell ref="F1989:G1989"/>
    <mergeCell ref="A1993:E1993"/>
    <mergeCell ref="A1994:E1994"/>
    <mergeCell ref="F1983:H1983"/>
    <mergeCell ref="F1984:H1984"/>
    <mergeCell ref="F1985:H1985"/>
    <mergeCell ref="A1997:E1997"/>
    <mergeCell ref="A1998:E1998"/>
    <mergeCell ref="A2007:E2007"/>
    <mergeCell ref="F1995:H1995"/>
    <mergeCell ref="F1996:H1996"/>
    <mergeCell ref="F1997:H1997"/>
    <mergeCell ref="F1998:H1998"/>
    <mergeCell ref="I2002:I2003"/>
    <mergeCell ref="F2006:H2006"/>
    <mergeCell ref="F2007:H2007"/>
    <mergeCell ref="A2008:E2008"/>
    <mergeCell ref="A2009:E2009"/>
    <mergeCell ref="A2010:E2010"/>
    <mergeCell ref="A2011:E2011"/>
    <mergeCell ref="A2014:E2014"/>
    <mergeCell ref="E2018:F2018"/>
    <mergeCell ref="E2022:F2022"/>
    <mergeCell ref="E2026:F2026"/>
    <mergeCell ref="E2035:F2035"/>
    <mergeCell ref="F2008:H2008"/>
    <mergeCell ref="F2009:H2009"/>
    <mergeCell ref="F2010:H2010"/>
    <mergeCell ref="F2011:H2011"/>
    <mergeCell ref="G2012:H2012"/>
    <mergeCell ref="G2013:H2013"/>
    <mergeCell ref="F2014:H2014"/>
    <mergeCell ref="E2025:F2025"/>
    <mergeCell ref="E2027:F2027"/>
    <mergeCell ref="E2028:F2028"/>
    <mergeCell ref="E2029:F2029"/>
    <mergeCell ref="E2030:F2030"/>
    <mergeCell ref="E2031:F2031"/>
    <mergeCell ref="A2002:A2003"/>
    <mergeCell ref="B2002:B2003"/>
    <mergeCell ref="I2288:I2289"/>
    <mergeCell ref="F2292:H2292"/>
    <mergeCell ref="E2048:F2048"/>
    <mergeCell ref="E2059:F2059"/>
    <mergeCell ref="E2070:F2070"/>
    <mergeCell ref="E2081:F2081"/>
    <mergeCell ref="E2092:F2092"/>
    <mergeCell ref="E2099:F2099"/>
    <mergeCell ref="E2106:F2106"/>
    <mergeCell ref="E2115:F2115"/>
    <mergeCell ref="E2124:F2124"/>
    <mergeCell ref="E2130:F2130"/>
    <mergeCell ref="E2138:F2138"/>
    <mergeCell ref="E2146:F2146"/>
    <mergeCell ref="E2157:F2157"/>
    <mergeCell ref="E2165:F2165"/>
    <mergeCell ref="E2173:F2173"/>
    <mergeCell ref="E2184:F2184"/>
    <mergeCell ref="E2195:F2195"/>
    <mergeCell ref="E2052:F2052"/>
    <mergeCell ref="E2053:F2053"/>
    <mergeCell ref="E2054:F2054"/>
    <mergeCell ref="E2055:F2055"/>
    <mergeCell ref="E2056:F2056"/>
    <mergeCell ref="E2057:F2057"/>
    <mergeCell ref="E2075:F2075"/>
    <mergeCell ref="E2076:F2076"/>
    <mergeCell ref="E2077:F2077"/>
    <mergeCell ref="E2078:F2078"/>
    <mergeCell ref="E2079:F2079"/>
    <mergeCell ref="E2082:F2082"/>
    <mergeCell ref="E2083:F2083"/>
    <mergeCell ref="E2288:E2289"/>
    <mergeCell ref="F2288:G2288"/>
    <mergeCell ref="A2292:E2292"/>
    <mergeCell ref="E2247:F2247"/>
    <mergeCell ref="E2252:F2252"/>
    <mergeCell ref="E2254:F2254"/>
    <mergeCell ref="E2255:F2255"/>
    <mergeCell ref="E2256:F2256"/>
    <mergeCell ref="E2268:F2268"/>
    <mergeCell ref="E2271:F2271"/>
    <mergeCell ref="E2272:F2272"/>
    <mergeCell ref="E2274:F2274"/>
    <mergeCell ref="E2275:F2275"/>
    <mergeCell ref="E2276:F2276"/>
    <mergeCell ref="E2278:F2278"/>
    <mergeCell ref="F2293:H2293"/>
    <mergeCell ref="F2294:H2294"/>
    <mergeCell ref="E2258:F2258"/>
    <mergeCell ref="E2259:F2259"/>
    <mergeCell ref="E2260:F2260"/>
    <mergeCell ref="A2293:E2293"/>
    <mergeCell ref="A2294:E2294"/>
    <mergeCell ref="E2279:F2279"/>
    <mergeCell ref="E2280:F2280"/>
    <mergeCell ref="E2282:F2282"/>
    <mergeCell ref="E2283:F2283"/>
    <mergeCell ref="E2284:F2284"/>
    <mergeCell ref="E2286:F2286"/>
    <mergeCell ref="E2287:F2287"/>
    <mergeCell ref="E2347:F2347"/>
    <mergeCell ref="E2354:F2354"/>
    <mergeCell ref="E2361:F2361"/>
    <mergeCell ref="E2371:F2371"/>
    <mergeCell ref="E2380:F2380"/>
    <mergeCell ref="E2385:F2385"/>
    <mergeCell ref="E2390:F2390"/>
    <mergeCell ref="E2395:F2395"/>
    <mergeCell ref="E2400:F2400"/>
    <mergeCell ref="E2404:F2404"/>
    <mergeCell ref="E2411:F2411"/>
    <mergeCell ref="E2420:F2420"/>
    <mergeCell ref="E2425:F2425"/>
    <mergeCell ref="E2430:F2430"/>
    <mergeCell ref="E2435:F2435"/>
    <mergeCell ref="E2440:F2440"/>
    <mergeCell ref="E2444:F2444"/>
    <mergeCell ref="E2356:F2356"/>
    <mergeCell ref="E2357:F2357"/>
    <mergeCell ref="E2358:F2358"/>
    <mergeCell ref="E2426:F2426"/>
    <mergeCell ref="E2393:F2393"/>
    <mergeCell ref="E2394:F2394"/>
    <mergeCell ref="E2397:F2397"/>
    <mergeCell ref="E2398:F2398"/>
    <mergeCell ref="E2399:F2399"/>
    <mergeCell ref="E2401:F2401"/>
    <mergeCell ref="E2402:F2402"/>
    <mergeCell ref="E2405:F2405"/>
    <mergeCell ref="E2406:F2406"/>
    <mergeCell ref="E2407:F2407"/>
    <mergeCell ref="E2408:F2408"/>
    <mergeCell ref="E2560:F2560"/>
    <mergeCell ref="E2565:F2565"/>
    <mergeCell ref="E2574:F2574"/>
    <mergeCell ref="E2578:F2578"/>
    <mergeCell ref="E2585:F2585"/>
    <mergeCell ref="E2539:F2539"/>
    <mergeCell ref="E2540:F2540"/>
    <mergeCell ref="E2543:F2543"/>
    <mergeCell ref="E2544:F2544"/>
    <mergeCell ref="E2545:F2545"/>
    <mergeCell ref="E2512:F2512"/>
    <mergeCell ref="E2513:F2513"/>
    <mergeCell ref="E2514:F2514"/>
    <mergeCell ref="E2515:F2515"/>
    <mergeCell ref="E2516:F2516"/>
    <mergeCell ref="E2519:F2519"/>
    <mergeCell ref="E2520:F2520"/>
    <mergeCell ref="E2521:F2521"/>
    <mergeCell ref="E2522:F2522"/>
    <mergeCell ref="E2524:F2524"/>
    <mergeCell ref="E2558:F2558"/>
    <mergeCell ref="E2559:F2559"/>
    <mergeCell ref="E2561:F2561"/>
    <mergeCell ref="E2580:F2580"/>
    <mergeCell ref="E2581:F2581"/>
    <mergeCell ref="E2582:F2582"/>
    <mergeCell ref="E2583:F2583"/>
    <mergeCell ref="E2665:F2665"/>
    <mergeCell ref="E2919:F2919"/>
    <mergeCell ref="E2923:F2923"/>
    <mergeCell ref="E2711:F2711"/>
    <mergeCell ref="E2721:F2721"/>
    <mergeCell ref="E2731:F2731"/>
    <mergeCell ref="E2738:F2738"/>
    <mergeCell ref="E2748:F2748"/>
    <mergeCell ref="E2755:F2755"/>
    <mergeCell ref="E2761:F2761"/>
    <mergeCell ref="E2765:F2765"/>
    <mergeCell ref="E2770:F2770"/>
    <mergeCell ref="E2782:F2782"/>
    <mergeCell ref="E2786:F2786"/>
    <mergeCell ref="E2791:F2791"/>
    <mergeCell ref="E2795:F2795"/>
    <mergeCell ref="E2807:F2807"/>
    <mergeCell ref="E2811:F2811"/>
    <mergeCell ref="E2815:F2815"/>
    <mergeCell ref="E2819:F2819"/>
    <mergeCell ref="E2713:F2713"/>
    <mergeCell ref="E2714:F2714"/>
    <mergeCell ref="E2715:F2715"/>
    <mergeCell ref="E2716:F2716"/>
    <mergeCell ref="E2810:F2810"/>
    <mergeCell ref="E2812:F2812"/>
    <mergeCell ref="E2776:F2776"/>
    <mergeCell ref="E2778:F2778"/>
    <mergeCell ref="E2688:F2688"/>
    <mergeCell ref="E2692:F2692"/>
    <mergeCell ref="E2878:F2878"/>
    <mergeCell ref="E2880:F2880"/>
    <mergeCell ref="C3020:C3021"/>
    <mergeCell ref="D3020:D3021"/>
    <mergeCell ref="E3020:E3021"/>
    <mergeCell ref="F3020:G3020"/>
    <mergeCell ref="E2927:F2927"/>
    <mergeCell ref="E2931:F2931"/>
    <mergeCell ref="E2935:F2935"/>
    <mergeCell ref="E2939:F2939"/>
    <mergeCell ref="E2943:F2943"/>
    <mergeCell ref="E2947:F2947"/>
    <mergeCell ref="E2951:F2951"/>
    <mergeCell ref="E2955:F2955"/>
    <mergeCell ref="E2959:F2959"/>
    <mergeCell ref="E2963:F2963"/>
    <mergeCell ref="E2967:F2967"/>
    <mergeCell ref="E2971:F2971"/>
    <mergeCell ref="E2975:F2975"/>
    <mergeCell ref="E2979:F2979"/>
    <mergeCell ref="E2983:F2983"/>
    <mergeCell ref="E2987:F2987"/>
    <mergeCell ref="E2991:F2991"/>
    <mergeCell ref="E2958:F2958"/>
    <mergeCell ref="E2960:F2960"/>
    <mergeCell ref="E2962:F2962"/>
    <mergeCell ref="E2964:F2964"/>
    <mergeCell ref="E3000:F3000"/>
    <mergeCell ref="E2966:F2966"/>
    <mergeCell ref="E2968:F2968"/>
    <mergeCell ref="E2970:F2970"/>
    <mergeCell ref="E2938:F2938"/>
    <mergeCell ref="E2940:F2940"/>
    <mergeCell ref="E2942:F2942"/>
    <mergeCell ref="F3037:H3037"/>
    <mergeCell ref="F3038:H3038"/>
    <mergeCell ref="F3039:H3039"/>
    <mergeCell ref="F3040:H3040"/>
    <mergeCell ref="F3041:H3041"/>
    <mergeCell ref="G3042:H3042"/>
    <mergeCell ref="G3043:H3043"/>
    <mergeCell ref="F3044:H3044"/>
    <mergeCell ref="I3048:I3049"/>
    <mergeCell ref="A3023:E3023"/>
    <mergeCell ref="A3024:E3024"/>
    <mergeCell ref="A3025:E3025"/>
    <mergeCell ref="A3026:E3026"/>
    <mergeCell ref="A3027:E3027"/>
    <mergeCell ref="A3028:E3028"/>
    <mergeCell ref="E3030:F3030"/>
    <mergeCell ref="E3031:F3031"/>
    <mergeCell ref="A3032:A3033"/>
    <mergeCell ref="B3032:B3033"/>
    <mergeCell ref="C3032:C3033"/>
    <mergeCell ref="D3032:D3033"/>
    <mergeCell ref="E3032:E3033"/>
    <mergeCell ref="F3032:G3032"/>
    <mergeCell ref="I3032:I3033"/>
    <mergeCell ref="F3036:H3036"/>
    <mergeCell ref="A3055:E3055"/>
    <mergeCell ref="A3056:E3056"/>
    <mergeCell ref="A3059:E3059"/>
    <mergeCell ref="E3061:F3061"/>
    <mergeCell ref="E3062:F3062"/>
    <mergeCell ref="A3063:A3064"/>
    <mergeCell ref="B3063:B3064"/>
    <mergeCell ref="C3063:C3064"/>
    <mergeCell ref="D3063:D3064"/>
    <mergeCell ref="E3063:E3064"/>
    <mergeCell ref="F3063:G3063"/>
    <mergeCell ref="A3039:E3039"/>
    <mergeCell ref="A3040:E3040"/>
    <mergeCell ref="A3041:E3041"/>
    <mergeCell ref="A3044:E3044"/>
    <mergeCell ref="E3046:F3046"/>
    <mergeCell ref="E3047:F3047"/>
    <mergeCell ref="A3048:A3049"/>
    <mergeCell ref="B3048:B3049"/>
    <mergeCell ref="C3048:C3049"/>
    <mergeCell ref="D3048:D3049"/>
    <mergeCell ref="E3048:E3049"/>
    <mergeCell ref="F3048:G3048"/>
    <mergeCell ref="F3051:H3051"/>
    <mergeCell ref="F3052:H3052"/>
    <mergeCell ref="F3053:H3053"/>
    <mergeCell ref="F3054:H3054"/>
    <mergeCell ref="F3055:H3055"/>
    <mergeCell ref="F3056:H3056"/>
    <mergeCell ref="G3057:H3057"/>
    <mergeCell ref="A3054:E3054"/>
    <mergeCell ref="G3058:H3058"/>
    <mergeCell ref="A3081:E3081"/>
    <mergeCell ref="A3082:E3082"/>
    <mergeCell ref="A3084:E3084"/>
    <mergeCell ref="A3085:E3085"/>
    <mergeCell ref="A3086:E3086"/>
    <mergeCell ref="E3091:F3091"/>
    <mergeCell ref="E3092:F3092"/>
    <mergeCell ref="A3093:E3093"/>
    <mergeCell ref="A3094:E3094"/>
    <mergeCell ref="A3066:E3066"/>
    <mergeCell ref="A3067:E3067"/>
    <mergeCell ref="A3069:E3069"/>
    <mergeCell ref="A3070:E3070"/>
    <mergeCell ref="A3071:E3071"/>
    <mergeCell ref="A3074:E3074"/>
    <mergeCell ref="E3076:F3076"/>
    <mergeCell ref="E3077:F3077"/>
    <mergeCell ref="A3089:E3089"/>
    <mergeCell ref="F3074:H3074"/>
    <mergeCell ref="G3087:H3087"/>
    <mergeCell ref="G3088:H3088"/>
    <mergeCell ref="F3089:H3089"/>
    <mergeCell ref="F3093:H3093"/>
    <mergeCell ref="F3094:H3094"/>
    <mergeCell ref="E3078:E3079"/>
    <mergeCell ref="F3078:G3078"/>
    <mergeCell ref="A3068:E3068"/>
    <mergeCell ref="D3078:D3079"/>
    <mergeCell ref="B3166:B3167"/>
    <mergeCell ref="C3166:C3167"/>
    <mergeCell ref="D3166:D3167"/>
    <mergeCell ref="E3166:E3167"/>
    <mergeCell ref="F3166:G3166"/>
    <mergeCell ref="A3170:E3170"/>
    <mergeCell ref="A3171:E3171"/>
    <mergeCell ref="A3173:E3173"/>
    <mergeCell ref="A3174:E3174"/>
    <mergeCell ref="F3171:H3171"/>
    <mergeCell ref="F3172:H3172"/>
    <mergeCell ref="F3173:H3173"/>
    <mergeCell ref="F3174:H3174"/>
    <mergeCell ref="F3175:H3175"/>
    <mergeCell ref="G3176:H3176"/>
    <mergeCell ref="G3177:H3177"/>
    <mergeCell ref="E3123:F3123"/>
    <mergeCell ref="E3124:F3124"/>
    <mergeCell ref="A3125:A3126"/>
    <mergeCell ref="B3125:B3126"/>
    <mergeCell ref="C3125:C3126"/>
    <mergeCell ref="D3125:D3126"/>
    <mergeCell ref="E3125:E3126"/>
    <mergeCell ref="F3125:G3125"/>
    <mergeCell ref="A3131:E3131"/>
    <mergeCell ref="A3132:E3132"/>
    <mergeCell ref="A3133:E3133"/>
    <mergeCell ref="A3134:E3134"/>
    <mergeCell ref="F3133:H3133"/>
    <mergeCell ref="F3134:H3134"/>
    <mergeCell ref="E3164:F3164"/>
    <mergeCell ref="E3165:F3165"/>
    <mergeCell ref="I3451:I3452"/>
    <mergeCell ref="F3455:H3455"/>
    <mergeCell ref="F3456:H3456"/>
    <mergeCell ref="F3457:H3457"/>
    <mergeCell ref="F3458:H3458"/>
    <mergeCell ref="F3459:H3459"/>
    <mergeCell ref="A3178:E3178"/>
    <mergeCell ref="A3181:E3181"/>
    <mergeCell ref="E3183:F3183"/>
    <mergeCell ref="E3194:F3194"/>
    <mergeCell ref="E3223:F3223"/>
    <mergeCell ref="E3232:F3232"/>
    <mergeCell ref="E3236:F3236"/>
    <mergeCell ref="E3254:F3254"/>
    <mergeCell ref="E3258:F3258"/>
    <mergeCell ref="E3262:F3262"/>
    <mergeCell ref="E3266:F3266"/>
    <mergeCell ref="E3355:F3355"/>
    <mergeCell ref="E3371:F3371"/>
    <mergeCell ref="F3178:H3178"/>
    <mergeCell ref="G3179:H3179"/>
    <mergeCell ref="G3180:H3180"/>
    <mergeCell ref="F3181:H3181"/>
    <mergeCell ref="F3331:H3331"/>
    <mergeCell ref="F3332:H3332"/>
    <mergeCell ref="F3333:H3333"/>
    <mergeCell ref="F3334:H3334"/>
    <mergeCell ref="F3335:H3335"/>
    <mergeCell ref="G3336:H3336"/>
    <mergeCell ref="G3337:H3337"/>
    <mergeCell ref="F3338:H3338"/>
    <mergeCell ref="E3235:F3235"/>
    <mergeCell ref="G3462:H3462"/>
    <mergeCell ref="G3463:H3463"/>
    <mergeCell ref="G3464:H3464"/>
    <mergeCell ref="G3465:H3465"/>
    <mergeCell ref="G3466:H3466"/>
    <mergeCell ref="G3467:H3467"/>
    <mergeCell ref="F3468:H3468"/>
    <mergeCell ref="G3469:H3469"/>
    <mergeCell ref="G3470:H3470"/>
    <mergeCell ref="G3471:H3471"/>
    <mergeCell ref="F3472:H3472"/>
    <mergeCell ref="A3451:A3452"/>
    <mergeCell ref="B3451:B3452"/>
    <mergeCell ref="C3451:C3452"/>
    <mergeCell ref="D3451:D3452"/>
    <mergeCell ref="E3451:E3452"/>
    <mergeCell ref="F3451:G3451"/>
    <mergeCell ref="A3455:E3455"/>
    <mergeCell ref="A3456:E3456"/>
    <mergeCell ref="A3457:E3457"/>
    <mergeCell ref="A3458:E3458"/>
    <mergeCell ref="A3459:E3459"/>
    <mergeCell ref="F3489:H3489"/>
    <mergeCell ref="E3545:F3545"/>
    <mergeCell ref="E3554:F3554"/>
    <mergeCell ref="E3589:F3589"/>
    <mergeCell ref="E3593:F3593"/>
    <mergeCell ref="E3597:F3597"/>
    <mergeCell ref="E3619:F3619"/>
    <mergeCell ref="E3623:F3623"/>
    <mergeCell ref="E3627:F3627"/>
    <mergeCell ref="E3648:F3648"/>
    <mergeCell ref="E3652:F3652"/>
    <mergeCell ref="E3656:F3656"/>
    <mergeCell ref="E3663:F3663"/>
    <mergeCell ref="E3672:F3672"/>
    <mergeCell ref="E3677:F3677"/>
    <mergeCell ref="E3682:F3682"/>
    <mergeCell ref="E3687:F3687"/>
    <mergeCell ref="E3594:F3594"/>
    <mergeCell ref="E3595:F3595"/>
    <mergeCell ref="E3596:F3596"/>
    <mergeCell ref="E3598:F3598"/>
    <mergeCell ref="E3566:F3566"/>
    <mergeCell ref="E3567:F3567"/>
    <mergeCell ref="E3568:F3568"/>
    <mergeCell ref="E3570:F3570"/>
    <mergeCell ref="E3571:F3571"/>
    <mergeCell ref="E3572:F3572"/>
    <mergeCell ref="E3574:F3574"/>
    <mergeCell ref="E3575:F3575"/>
    <mergeCell ref="E3576:F3576"/>
    <mergeCell ref="E3578:F3578"/>
    <mergeCell ref="E3579:F3579"/>
    <mergeCell ref="E3737:F3737"/>
    <mergeCell ref="E3744:F3744"/>
    <mergeCell ref="E3753:F3753"/>
    <mergeCell ref="E3764:F3764"/>
    <mergeCell ref="E3773:F3773"/>
    <mergeCell ref="E3777:F3777"/>
    <mergeCell ref="E3788:F3788"/>
    <mergeCell ref="E3794:F3794"/>
    <mergeCell ref="E3799:F3799"/>
    <mergeCell ref="E3811:F3811"/>
    <mergeCell ref="E3817:F3817"/>
    <mergeCell ref="E3824:F3824"/>
    <mergeCell ref="E3837:F3837"/>
    <mergeCell ref="E3843:F3843"/>
    <mergeCell ref="E3698:F3698"/>
    <mergeCell ref="E3699:F3699"/>
    <mergeCell ref="E3749:F3749"/>
    <mergeCell ref="E3750:F3750"/>
    <mergeCell ref="E3701:F3701"/>
    <mergeCell ref="E3703:F3703"/>
    <mergeCell ref="E3704:F3704"/>
    <mergeCell ref="E3705:F3705"/>
    <mergeCell ref="E3706:F3706"/>
    <mergeCell ref="E3708:F3708"/>
    <mergeCell ref="E3709:F3709"/>
    <mergeCell ref="E3710:F3710"/>
    <mergeCell ref="E3711:F3711"/>
    <mergeCell ref="E3712:F3712"/>
    <mergeCell ref="E3713:F3713"/>
    <mergeCell ref="E3715:F3715"/>
    <mergeCell ref="E3716:F3716"/>
    <mergeCell ref="E3717:F3717"/>
    <mergeCell ref="A4033:A4034"/>
    <mergeCell ref="B4033:B4034"/>
    <mergeCell ref="C4033:C4034"/>
    <mergeCell ref="D4033:D4034"/>
    <mergeCell ref="E4033:E4034"/>
    <mergeCell ref="F4033:G4033"/>
    <mergeCell ref="E3928:F3928"/>
    <mergeCell ref="E3929:F3929"/>
    <mergeCell ref="E3930:F3930"/>
    <mergeCell ref="E3932:F3932"/>
    <mergeCell ref="E3933:F3933"/>
    <mergeCell ref="E3934:F3934"/>
    <mergeCell ref="E3935:F3935"/>
    <mergeCell ref="E3937:F3937"/>
    <mergeCell ref="E3938:F3938"/>
    <mergeCell ref="E3999:F3999"/>
    <mergeCell ref="E4000:F4000"/>
    <mergeCell ref="E4001:F4001"/>
    <mergeCell ref="E4003:F4003"/>
    <mergeCell ref="E4004:F4004"/>
    <mergeCell ref="E3957:F3957"/>
    <mergeCell ref="E3959:F3959"/>
    <mergeCell ref="E3960:F3960"/>
    <mergeCell ref="E3961:F3961"/>
    <mergeCell ref="E3962:F3962"/>
    <mergeCell ref="E3963:F3963"/>
    <mergeCell ref="E3965:F3965"/>
    <mergeCell ref="E3966:F3966"/>
    <mergeCell ref="E3967:F3967"/>
    <mergeCell ref="E3968:F3968"/>
    <mergeCell ref="E3958:F3958"/>
    <mergeCell ref="E3980:F3980"/>
    <mergeCell ref="I4033:I4034"/>
    <mergeCell ref="F4036:H4036"/>
    <mergeCell ref="F4037:H4037"/>
    <mergeCell ref="F4038:H4038"/>
    <mergeCell ref="F4039:H4039"/>
    <mergeCell ref="F4040:H4040"/>
    <mergeCell ref="F4041:H4041"/>
    <mergeCell ref="G4042:H4042"/>
    <mergeCell ref="G4043:H4043"/>
    <mergeCell ref="F4044:H4044"/>
    <mergeCell ref="E4147:F4147"/>
    <mergeCell ref="E4149:F4149"/>
    <mergeCell ref="E4150:F4150"/>
    <mergeCell ref="E4176:F4176"/>
    <mergeCell ref="E4177:F4177"/>
    <mergeCell ref="E4178:F4178"/>
    <mergeCell ref="E4179:F4179"/>
    <mergeCell ref="E4055:F4055"/>
    <mergeCell ref="E4056:F4056"/>
    <mergeCell ref="E4072:F4072"/>
    <mergeCell ref="E4073:F4073"/>
    <mergeCell ref="E4074:F4074"/>
    <mergeCell ref="E4075:F4075"/>
    <mergeCell ref="E4076:F4076"/>
    <mergeCell ref="E4077:F4077"/>
    <mergeCell ref="E4078:F4078"/>
    <mergeCell ref="E4117:F4117"/>
    <mergeCell ref="E4118:F4118"/>
    <mergeCell ref="E4175:F4175"/>
    <mergeCell ref="E4120:F4120"/>
    <mergeCell ref="E4121:F4121"/>
    <mergeCell ref="E4122:F4122"/>
    <mergeCell ref="I4262:I4263"/>
    <mergeCell ref="E4109:F4109"/>
    <mergeCell ref="E4110:F4110"/>
    <mergeCell ref="E4111:F4111"/>
    <mergeCell ref="E4112:F4112"/>
    <mergeCell ref="E4113:F4113"/>
    <mergeCell ref="E4114:F4114"/>
    <mergeCell ref="E4115:F4115"/>
    <mergeCell ref="E4116:F4116"/>
    <mergeCell ref="E4084:F4084"/>
    <mergeCell ref="E4085:F4085"/>
    <mergeCell ref="E4086:F4086"/>
    <mergeCell ref="E4087:F4087"/>
    <mergeCell ref="E4088:F4088"/>
    <mergeCell ref="E4089:F4089"/>
    <mergeCell ref="E4090:F4090"/>
    <mergeCell ref="A4283:E4283"/>
    <mergeCell ref="E4180:F4180"/>
    <mergeCell ref="E4181:F4181"/>
    <mergeCell ref="E4124:F4124"/>
    <mergeCell ref="E4125:F4125"/>
    <mergeCell ref="E4126:F4126"/>
    <mergeCell ref="E4128:F4128"/>
    <mergeCell ref="E4129:F4129"/>
    <mergeCell ref="E4130:F4130"/>
    <mergeCell ref="E4132:F4132"/>
    <mergeCell ref="E4133:F4133"/>
    <mergeCell ref="E4134:F4134"/>
    <mergeCell ref="E4135:F4135"/>
    <mergeCell ref="E4136:F4136"/>
    <mergeCell ref="E4137:F4137"/>
    <mergeCell ref="E4138:F4138"/>
    <mergeCell ref="A4268:E4268"/>
    <mergeCell ref="A4269:E4269"/>
    <mergeCell ref="A4270:E4270"/>
    <mergeCell ref="A4271:E4271"/>
    <mergeCell ref="A4275:E4275"/>
    <mergeCell ref="A4279:E4279"/>
    <mergeCell ref="G4274:H4274"/>
    <mergeCell ref="F4266:H4266"/>
    <mergeCell ref="F4267:H4267"/>
    <mergeCell ref="F4268:H4268"/>
    <mergeCell ref="F4269:H4269"/>
    <mergeCell ref="F4270:H4270"/>
    <mergeCell ref="F4271:H4271"/>
    <mergeCell ref="G4272:H4272"/>
    <mergeCell ref="I4349:I4350"/>
    <mergeCell ref="F4356:H4356"/>
    <mergeCell ref="F4357:H4357"/>
    <mergeCell ref="F4331:H4331"/>
    <mergeCell ref="G4332:H4332"/>
    <mergeCell ref="G4333:H4333"/>
    <mergeCell ref="F4334:H4334"/>
    <mergeCell ref="G4335:H4335"/>
    <mergeCell ref="G4336:H4336"/>
    <mergeCell ref="G4337:H4337"/>
    <mergeCell ref="A4305:E4305"/>
    <mergeCell ref="A4309:E4309"/>
    <mergeCell ref="E4320:F4320"/>
    <mergeCell ref="E4321:F4321"/>
    <mergeCell ref="A4322:A4323"/>
    <mergeCell ref="B4322:B4323"/>
    <mergeCell ref="C4322:C4323"/>
    <mergeCell ref="D4322:D4323"/>
    <mergeCell ref="I4292:I4293"/>
    <mergeCell ref="F4296:H4296"/>
    <mergeCell ref="F4297:H4297"/>
    <mergeCell ref="F4298:H4298"/>
    <mergeCell ref="F4299:H4299"/>
    <mergeCell ref="F4300:H4300"/>
    <mergeCell ref="F4301:H4301"/>
    <mergeCell ref="G4302:H4302"/>
    <mergeCell ref="G4303:H4303"/>
    <mergeCell ref="G4304:H4304"/>
    <mergeCell ref="F4305:H4305"/>
    <mergeCell ref="G4306:H4306"/>
    <mergeCell ref="G4307:H4307"/>
    <mergeCell ref="G4308:H4308"/>
    <mergeCell ref="A4296:E4296"/>
    <mergeCell ref="A4297:E4297"/>
    <mergeCell ref="F4328:H4328"/>
    <mergeCell ref="A4326:E4326"/>
    <mergeCell ref="A4327:E4327"/>
    <mergeCell ref="F4360:H4360"/>
    <mergeCell ref="F4361:H4361"/>
    <mergeCell ref="G4362:H4362"/>
    <mergeCell ref="G4363:H4363"/>
    <mergeCell ref="G4364:H4364"/>
    <mergeCell ref="F4365:H4365"/>
    <mergeCell ref="F4358:H4358"/>
    <mergeCell ref="F4359:H4359"/>
    <mergeCell ref="A4328:E4328"/>
    <mergeCell ref="A4329:E4329"/>
    <mergeCell ref="A4330:E4330"/>
    <mergeCell ref="A4334:E4334"/>
    <mergeCell ref="A4338:E4338"/>
    <mergeCell ref="F4338:H4338"/>
    <mergeCell ref="A4298:E4298"/>
    <mergeCell ref="A4299:E4299"/>
    <mergeCell ref="A4300:E4300"/>
    <mergeCell ref="A4313:E4313"/>
    <mergeCell ref="A4318:E4318"/>
    <mergeCell ref="F4329:H4329"/>
    <mergeCell ref="F4330:H4330"/>
    <mergeCell ref="F4396:H4396"/>
    <mergeCell ref="F4397:H4397"/>
    <mergeCell ref="G4398:H4398"/>
    <mergeCell ref="G4399:H4399"/>
    <mergeCell ref="G4400:H4400"/>
    <mergeCell ref="G4401:H4401"/>
    <mergeCell ref="A4361:E4361"/>
    <mergeCell ref="A4365:E4365"/>
    <mergeCell ref="A4372:E4372"/>
    <mergeCell ref="A4376:E4376"/>
    <mergeCell ref="A4341:E4341"/>
    <mergeCell ref="A4345:E4345"/>
    <mergeCell ref="E4348:F4348"/>
    <mergeCell ref="A4349:A4350"/>
    <mergeCell ref="B4349:B4350"/>
    <mergeCell ref="C4349:C4350"/>
    <mergeCell ref="D4349:D4350"/>
    <mergeCell ref="E4349:E4350"/>
    <mergeCell ref="F4349:G4349"/>
    <mergeCell ref="A4358:E4358"/>
    <mergeCell ref="A4359:E4359"/>
    <mergeCell ref="F4341:H4341"/>
    <mergeCell ref="G4342:H4342"/>
    <mergeCell ref="F4345:H4345"/>
    <mergeCell ref="G4367:H4367"/>
    <mergeCell ref="G4368:H4368"/>
    <mergeCell ref="G4369:H4369"/>
    <mergeCell ref="G4370:H4370"/>
    <mergeCell ref="G4371:H4371"/>
    <mergeCell ref="F4372:H4372"/>
    <mergeCell ref="F4376:H4376"/>
    <mergeCell ref="A4360:E4360"/>
    <mergeCell ref="A4765:E4765"/>
    <mergeCell ref="A4769:E4769"/>
    <mergeCell ref="A4773:E4773"/>
    <mergeCell ref="E4659:F4659"/>
    <mergeCell ref="E4663:F4663"/>
    <mergeCell ref="E4667:F4667"/>
    <mergeCell ref="E4691:F4691"/>
    <mergeCell ref="E4699:F4699"/>
    <mergeCell ref="E4703:F4703"/>
    <mergeCell ref="E4707:F4707"/>
    <mergeCell ref="E4715:F4715"/>
    <mergeCell ref="E4726:F4726"/>
    <mergeCell ref="E4737:F4737"/>
    <mergeCell ref="A4746:A4747"/>
    <mergeCell ref="B4746:B4747"/>
    <mergeCell ref="C4746:C4747"/>
    <mergeCell ref="D4746:D4747"/>
    <mergeCell ref="E4746:E4747"/>
    <mergeCell ref="F4746:G4746"/>
    <mergeCell ref="E4713:F4713"/>
    <mergeCell ref="E4714:F4714"/>
    <mergeCell ref="E4716:F4716"/>
    <mergeCell ref="E4717:F4717"/>
    <mergeCell ref="E4727:F4727"/>
    <mergeCell ref="E4728:F4728"/>
    <mergeCell ref="E4698:F4698"/>
    <mergeCell ref="E4701:F4701"/>
    <mergeCell ref="E4702:F4702"/>
    <mergeCell ref="E4704:F4704"/>
    <mergeCell ref="E4705:F4705"/>
    <mergeCell ref="F4752:H4752"/>
    <mergeCell ref="F4753:H4753"/>
    <mergeCell ref="E4810:F4810"/>
    <mergeCell ref="E4811:F4811"/>
    <mergeCell ref="E4812:F4812"/>
    <mergeCell ref="E4814:F4814"/>
    <mergeCell ref="E4815:F4815"/>
    <mergeCell ref="A4774:E4774"/>
    <mergeCell ref="A4775:E4775"/>
    <mergeCell ref="A4776:E4776"/>
    <mergeCell ref="A4777:E4777"/>
    <mergeCell ref="A4780:E4780"/>
    <mergeCell ref="F4786:H4786"/>
    <mergeCell ref="F4789:H4789"/>
    <mergeCell ref="G4790:H4790"/>
    <mergeCell ref="F4793:H4793"/>
    <mergeCell ref="G4779:H4779"/>
    <mergeCell ref="F4780:H4780"/>
    <mergeCell ref="G4781:H4781"/>
    <mergeCell ref="G4782:H4782"/>
    <mergeCell ref="G4783:H4783"/>
    <mergeCell ref="G4784:H4784"/>
    <mergeCell ref="G4785:H4785"/>
    <mergeCell ref="A4786:E4786"/>
    <mergeCell ref="A4789:E4789"/>
    <mergeCell ref="E4802:F4802"/>
    <mergeCell ref="E4803:F4803"/>
    <mergeCell ref="F4777:H4777"/>
    <mergeCell ref="G4778:H4778"/>
    <mergeCell ref="E4848:F4848"/>
    <mergeCell ref="E4852:F4852"/>
    <mergeCell ref="E4863:F4863"/>
    <mergeCell ref="E4873:F4873"/>
    <mergeCell ref="E4878:F4878"/>
    <mergeCell ref="E4884:F4884"/>
    <mergeCell ref="E4889:F4889"/>
    <mergeCell ref="E4895:F4895"/>
    <mergeCell ref="E4900:F4900"/>
    <mergeCell ref="E4906:F4906"/>
    <mergeCell ref="E4912:F4912"/>
    <mergeCell ref="E4919:F4919"/>
    <mergeCell ref="E4933:F4933"/>
    <mergeCell ref="E4939:F4939"/>
    <mergeCell ref="E4947:F4947"/>
    <mergeCell ref="E4951:F4951"/>
    <mergeCell ref="E4955:F4955"/>
    <mergeCell ref="E4862:F4862"/>
    <mergeCell ref="E4865:F4865"/>
    <mergeCell ref="E4866:F4866"/>
    <mergeCell ref="E4934:F4934"/>
    <mergeCell ref="E4901:F4901"/>
    <mergeCell ref="E4903:F4903"/>
    <mergeCell ref="E4904:F4904"/>
    <mergeCell ref="E4905:F4905"/>
    <mergeCell ref="E4907:F4907"/>
    <mergeCell ref="E4909:F4909"/>
    <mergeCell ref="E4910:F4910"/>
    <mergeCell ref="E4911:F4911"/>
    <mergeCell ref="E4913:F4913"/>
    <mergeCell ref="E4914:F4914"/>
    <mergeCell ref="E4915:F4915"/>
    <mergeCell ref="A5076:A5077"/>
    <mergeCell ref="B5076:B5077"/>
    <mergeCell ref="C5076:C5077"/>
    <mergeCell ref="D5076:D5077"/>
    <mergeCell ref="E5076:E5077"/>
    <mergeCell ref="F5076:G5076"/>
    <mergeCell ref="A5079:E5079"/>
    <mergeCell ref="A5080:E5080"/>
    <mergeCell ref="A5081:E5081"/>
    <mergeCell ref="A5082:E5082"/>
    <mergeCell ref="A5083:E5083"/>
    <mergeCell ref="A5088:A5089"/>
    <mergeCell ref="B5088:B5089"/>
    <mergeCell ref="E5098:F5098"/>
    <mergeCell ref="A5084:E5084"/>
    <mergeCell ref="E5086:F5086"/>
    <mergeCell ref="E5110:F5110"/>
    <mergeCell ref="E5099:F5099"/>
    <mergeCell ref="E5111:F5111"/>
    <mergeCell ref="A5112:A5113"/>
    <mergeCell ref="B5112:B5113"/>
    <mergeCell ref="C5112:C5113"/>
    <mergeCell ref="D5112:D5113"/>
    <mergeCell ref="E5112:E5113"/>
    <mergeCell ref="F5112:G5112"/>
    <mergeCell ref="A5115:E5115"/>
    <mergeCell ref="A5116:E5116"/>
    <mergeCell ref="A5117:E5117"/>
    <mergeCell ref="F5108:H5108"/>
    <mergeCell ref="I5112:I5113"/>
    <mergeCell ref="F5115:H5115"/>
    <mergeCell ref="F5116:H5116"/>
    <mergeCell ref="F5117:H5117"/>
    <mergeCell ref="A5100:A5101"/>
    <mergeCell ref="B5100:B5101"/>
    <mergeCell ref="C5100:C5101"/>
    <mergeCell ref="D5100:D5101"/>
    <mergeCell ref="E5100:E5101"/>
    <mergeCell ref="F5100:G5100"/>
    <mergeCell ref="A5103:E5103"/>
    <mergeCell ref="A5104:E5104"/>
    <mergeCell ref="A5105:E5105"/>
    <mergeCell ref="A5106:E5106"/>
    <mergeCell ref="A5107:E5107"/>
    <mergeCell ref="I5100:I5101"/>
    <mergeCell ref="F5103:H5103"/>
    <mergeCell ref="F5104:H5104"/>
    <mergeCell ref="F5105:H5105"/>
    <mergeCell ref="F5106:H5106"/>
    <mergeCell ref="A5118:E5118"/>
    <mergeCell ref="A5119:E5119"/>
    <mergeCell ref="A5120:E5120"/>
    <mergeCell ref="E5122:F5122"/>
    <mergeCell ref="E5123:F5123"/>
    <mergeCell ref="A5124:A5125"/>
    <mergeCell ref="B5124:B5125"/>
    <mergeCell ref="C5124:C5125"/>
    <mergeCell ref="D5124:D5125"/>
    <mergeCell ref="E5124:E5125"/>
    <mergeCell ref="F5124:G5124"/>
    <mergeCell ref="A5127:E5127"/>
    <mergeCell ref="F5118:H5118"/>
    <mergeCell ref="F5119:H5119"/>
    <mergeCell ref="F5120:H5120"/>
    <mergeCell ref="I5124:I5125"/>
    <mergeCell ref="F5127:H5127"/>
    <mergeCell ref="A5128:E5128"/>
    <mergeCell ref="A5129:E5129"/>
    <mergeCell ref="A5130:E5130"/>
    <mergeCell ref="A5131:E5131"/>
    <mergeCell ref="A5132:E5132"/>
    <mergeCell ref="E5134:F5134"/>
    <mergeCell ref="E5135:F5135"/>
    <mergeCell ref="A5136:A5137"/>
    <mergeCell ref="B5136:B5137"/>
    <mergeCell ref="C5136:C5137"/>
    <mergeCell ref="D5136:D5137"/>
    <mergeCell ref="E5136:E5137"/>
    <mergeCell ref="F5136:G5136"/>
    <mergeCell ref="F5128:H5128"/>
    <mergeCell ref="F5129:H5129"/>
    <mergeCell ref="F5130:H5130"/>
    <mergeCell ref="F5131:H5131"/>
    <mergeCell ref="F5132:H5132"/>
    <mergeCell ref="A5139:E5139"/>
    <mergeCell ref="A5140:E5140"/>
    <mergeCell ref="A5141:E5141"/>
    <mergeCell ref="A5142:E5142"/>
    <mergeCell ref="A5143:E5143"/>
    <mergeCell ref="A5144:E5144"/>
    <mergeCell ref="E5146:F5146"/>
    <mergeCell ref="E5147:F5147"/>
    <mergeCell ref="A5148:A5149"/>
    <mergeCell ref="B5148:B5149"/>
    <mergeCell ref="C5148:C5149"/>
    <mergeCell ref="D5148:D5149"/>
    <mergeCell ref="E5148:E5149"/>
    <mergeCell ref="F5148:G5148"/>
    <mergeCell ref="I5136:I5137"/>
    <mergeCell ref="F5139:H5139"/>
    <mergeCell ref="F5140:H5140"/>
    <mergeCell ref="F5141:H5141"/>
    <mergeCell ref="F5142:H5142"/>
    <mergeCell ref="F5143:H5143"/>
    <mergeCell ref="F5144:H5144"/>
    <mergeCell ref="I5148:I5149"/>
    <mergeCell ref="E5186:F5186"/>
    <mergeCell ref="E5187:F5187"/>
    <mergeCell ref="E5191:F5191"/>
    <mergeCell ref="E5192:F5192"/>
    <mergeCell ref="F5178:H5178"/>
    <mergeCell ref="F5179:H5179"/>
    <mergeCell ref="F5180:H5180"/>
    <mergeCell ref="A5163:E5163"/>
    <mergeCell ref="A5164:E5164"/>
    <mergeCell ref="A5165:E5165"/>
    <mergeCell ref="A5166:E5166"/>
    <mergeCell ref="A5167:E5167"/>
    <mergeCell ref="A5168:E5168"/>
    <mergeCell ref="E5170:F5170"/>
    <mergeCell ref="E5171:F5171"/>
    <mergeCell ref="A5172:A5173"/>
    <mergeCell ref="B5172:B5173"/>
    <mergeCell ref="C5172:C5173"/>
    <mergeCell ref="D5172:D5173"/>
    <mergeCell ref="E5172:E5173"/>
    <mergeCell ref="F5172:G5172"/>
    <mergeCell ref="E5188:F5188"/>
    <mergeCell ref="E5189:F5189"/>
    <mergeCell ref="E5230:F5230"/>
    <mergeCell ref="E5231:F5231"/>
    <mergeCell ref="A5232:A5233"/>
    <mergeCell ref="B5232:B5233"/>
    <mergeCell ref="C5232:C5233"/>
    <mergeCell ref="D5232:D5233"/>
    <mergeCell ref="E5232:E5233"/>
    <mergeCell ref="F5232:G5232"/>
    <mergeCell ref="A5237:E5237"/>
    <mergeCell ref="A5238:E5238"/>
    <mergeCell ref="A5239:E5239"/>
    <mergeCell ref="I5232:I5233"/>
    <mergeCell ref="F5237:H5237"/>
    <mergeCell ref="F5238:H5238"/>
    <mergeCell ref="F5239:H5239"/>
    <mergeCell ref="E5193:F5193"/>
    <mergeCell ref="E5194:F5194"/>
    <mergeCell ref="E5195:F5195"/>
    <mergeCell ref="E5196:F5196"/>
    <mergeCell ref="E5197:F5197"/>
    <mergeCell ref="E5198:F5198"/>
    <mergeCell ref="E5202:F5202"/>
    <mergeCell ref="E5203:F5203"/>
    <mergeCell ref="E5204:F5204"/>
    <mergeCell ref="E5206:F5206"/>
    <mergeCell ref="E5207:F5207"/>
    <mergeCell ref="E5208:F5208"/>
    <mergeCell ref="E5209:F5209"/>
    <mergeCell ref="E5210:F5210"/>
    <mergeCell ref="E5211:F5211"/>
    <mergeCell ref="E5214:F5214"/>
    <mergeCell ref="E5212:F5212"/>
    <mergeCell ref="E5319:F5319"/>
    <mergeCell ref="E5320:F5320"/>
    <mergeCell ref="E5321:F5321"/>
    <mergeCell ref="E5322:F5322"/>
    <mergeCell ref="E5323:F5323"/>
    <mergeCell ref="E5325:F5325"/>
    <mergeCell ref="E5326:F5326"/>
    <mergeCell ref="A5257:E5257"/>
    <mergeCell ref="A5264:E5264"/>
    <mergeCell ref="E5271:F5271"/>
    <mergeCell ref="E5279:F5279"/>
    <mergeCell ref="E5283:F5283"/>
    <mergeCell ref="E5291:F5291"/>
    <mergeCell ref="E5295:F5295"/>
    <mergeCell ref="E5299:F5299"/>
    <mergeCell ref="E5300:F5300"/>
    <mergeCell ref="E5301:F5301"/>
    <mergeCell ref="E5303:F5303"/>
    <mergeCell ref="E5304:F5304"/>
    <mergeCell ref="E5305:F5305"/>
    <mergeCell ref="F5257:H5257"/>
    <mergeCell ref="G5258:H5258"/>
    <mergeCell ref="F5264:H5264"/>
    <mergeCell ref="E5275:F5275"/>
    <mergeCell ref="E5276:F5276"/>
    <mergeCell ref="E5277:F5277"/>
    <mergeCell ref="E5278:F5278"/>
    <mergeCell ref="E5280:F5280"/>
    <mergeCell ref="E5281:F5281"/>
    <mergeCell ref="E5284:F5284"/>
    <mergeCell ref="E5285:F5285"/>
    <mergeCell ref="I215:I216"/>
    <mergeCell ref="F218:H218"/>
    <mergeCell ref="F219:H219"/>
    <mergeCell ref="F220:H220"/>
    <mergeCell ref="F221:H221"/>
    <mergeCell ref="F222:H222"/>
    <mergeCell ref="E5307:F5307"/>
    <mergeCell ref="E5308:F5308"/>
    <mergeCell ref="E5309:F5309"/>
    <mergeCell ref="E5311:F5311"/>
    <mergeCell ref="E5312:F5312"/>
    <mergeCell ref="E5313:F5313"/>
    <mergeCell ref="E5314:F5314"/>
    <mergeCell ref="E5315:F5315"/>
    <mergeCell ref="E5317:F5317"/>
    <mergeCell ref="E5318:F5318"/>
    <mergeCell ref="A5240:E5240"/>
    <mergeCell ref="A5248:E5248"/>
    <mergeCell ref="A5251:E5251"/>
    <mergeCell ref="F5240:H5240"/>
    <mergeCell ref="F5241:H5241"/>
    <mergeCell ref="F5242:H5242"/>
    <mergeCell ref="G5243:H5243"/>
    <mergeCell ref="G5244:H5244"/>
    <mergeCell ref="G5245:H5245"/>
    <mergeCell ref="G5246:H5246"/>
    <mergeCell ref="G5247:H5247"/>
    <mergeCell ref="F5248:H5248"/>
    <mergeCell ref="G5249:H5249"/>
    <mergeCell ref="G5250:H5250"/>
    <mergeCell ref="F5251:H5251"/>
    <mergeCell ref="E5228:F5228"/>
    <mergeCell ref="E525:F525"/>
    <mergeCell ref="E5327:F5327"/>
    <mergeCell ref="E5329:F5329"/>
    <mergeCell ref="E5330:F5330"/>
    <mergeCell ref="E5331:F5331"/>
    <mergeCell ref="I44:I45"/>
    <mergeCell ref="F47:H47"/>
    <mergeCell ref="F48:H48"/>
    <mergeCell ref="F49:H49"/>
    <mergeCell ref="F50:H50"/>
    <mergeCell ref="F51:H51"/>
    <mergeCell ref="F52:H52"/>
    <mergeCell ref="A53:I53"/>
    <mergeCell ref="A54:I54"/>
    <mergeCell ref="I138:I139"/>
    <mergeCell ref="F141:H141"/>
    <mergeCell ref="F142:H142"/>
    <mergeCell ref="F143:H143"/>
    <mergeCell ref="F144:H144"/>
    <mergeCell ref="F145:H145"/>
    <mergeCell ref="F146:H146"/>
    <mergeCell ref="A147:I147"/>
    <mergeCell ref="A148:I148"/>
    <mergeCell ref="A162:I162"/>
    <mergeCell ref="A163:I163"/>
    <mergeCell ref="A168:I168"/>
    <mergeCell ref="A333:I333"/>
    <mergeCell ref="A169:I169"/>
    <mergeCell ref="A334:I334"/>
    <mergeCell ref="G566:H566"/>
    <mergeCell ref="F569:H569"/>
    <mergeCell ref="A565:E565"/>
    <mergeCell ref="A569:E569"/>
    <mergeCell ref="F602:H602"/>
    <mergeCell ref="G603:H603"/>
    <mergeCell ref="G604:H604"/>
    <mergeCell ref="G605:H605"/>
    <mergeCell ref="G606:H606"/>
    <mergeCell ref="G607:H607"/>
    <mergeCell ref="G608:H608"/>
    <mergeCell ref="G609:H609"/>
    <mergeCell ref="G610:H610"/>
    <mergeCell ref="F611:H611"/>
    <mergeCell ref="G612:H612"/>
    <mergeCell ref="F601:H601"/>
    <mergeCell ref="A611:E611"/>
    <mergeCell ref="A598:E598"/>
    <mergeCell ref="A599:E599"/>
    <mergeCell ref="A544:I544"/>
    <mergeCell ref="I548:I549"/>
    <mergeCell ref="F551:H551"/>
    <mergeCell ref="F552:H552"/>
    <mergeCell ref="F553:H553"/>
    <mergeCell ref="F554:H554"/>
    <mergeCell ref="F555:H555"/>
    <mergeCell ref="C593:C594"/>
    <mergeCell ref="D593:D594"/>
    <mergeCell ref="E593:E594"/>
    <mergeCell ref="F593:G593"/>
    <mergeCell ref="A600:E600"/>
    <mergeCell ref="A601:E601"/>
    <mergeCell ref="A602:E602"/>
    <mergeCell ref="A597:E597"/>
    <mergeCell ref="F597:H597"/>
    <mergeCell ref="E336:F336"/>
    <mergeCell ref="E361:F361"/>
    <mergeCell ref="E388:F388"/>
    <mergeCell ref="E417:F417"/>
    <mergeCell ref="E457:F457"/>
    <mergeCell ref="F812:H812"/>
    <mergeCell ref="F813:H813"/>
    <mergeCell ref="F814:H814"/>
    <mergeCell ref="G815:H815"/>
    <mergeCell ref="G816:H816"/>
    <mergeCell ref="F817:H817"/>
    <mergeCell ref="F820:H820"/>
    <mergeCell ref="F615:H615"/>
    <mergeCell ref="F624:H624"/>
    <mergeCell ref="G625:H625"/>
    <mergeCell ref="F634:H634"/>
    <mergeCell ref="F740:H740"/>
    <mergeCell ref="G741:H741"/>
    <mergeCell ref="G742:H742"/>
    <mergeCell ref="F743:H743"/>
    <mergeCell ref="F746:H746"/>
    <mergeCell ref="G747:H747"/>
    <mergeCell ref="F750:H750"/>
    <mergeCell ref="F754:H754"/>
    <mergeCell ref="F755:H755"/>
    <mergeCell ref="F756:H756"/>
    <mergeCell ref="F757:H757"/>
    <mergeCell ref="F758:H758"/>
    <mergeCell ref="G759:H759"/>
    <mergeCell ref="G693:H693"/>
    <mergeCell ref="G694:H694"/>
    <mergeCell ref="F695:H695"/>
    <mergeCell ref="F700:H700"/>
    <mergeCell ref="E668:F668"/>
    <mergeCell ref="E674:F674"/>
    <mergeCell ref="E677:F677"/>
    <mergeCell ref="E678:F678"/>
    <mergeCell ref="E885:F885"/>
    <mergeCell ref="E891:F891"/>
    <mergeCell ref="E897:F897"/>
    <mergeCell ref="E970:F970"/>
    <mergeCell ref="E972:F972"/>
    <mergeCell ref="F1114:H1114"/>
    <mergeCell ref="G1115:H1115"/>
    <mergeCell ref="F1118:H1118"/>
    <mergeCell ref="I1122:I1123"/>
    <mergeCell ref="F1126:H1126"/>
    <mergeCell ref="F1127:H1127"/>
    <mergeCell ref="E1033:F1033"/>
    <mergeCell ref="E1040:F1040"/>
    <mergeCell ref="E1047:F1047"/>
    <mergeCell ref="E1083:F1083"/>
    <mergeCell ref="E1086:F1086"/>
    <mergeCell ref="G777:H777"/>
    <mergeCell ref="G778:H778"/>
    <mergeCell ref="F779:H779"/>
    <mergeCell ref="F782:H782"/>
    <mergeCell ref="G783:H783"/>
    <mergeCell ref="F786:H786"/>
    <mergeCell ref="E973:F973"/>
    <mergeCell ref="E974:F974"/>
    <mergeCell ref="E975:F975"/>
    <mergeCell ref="E976:F976"/>
    <mergeCell ref="E978:F978"/>
    <mergeCell ref="E979:F979"/>
    <mergeCell ref="I806:I807"/>
    <mergeCell ref="F809:H809"/>
    <mergeCell ref="F810:H810"/>
    <mergeCell ref="F811:H811"/>
    <mergeCell ref="F1128:H1128"/>
    <mergeCell ref="F1129:H1129"/>
    <mergeCell ref="F1130:H1130"/>
    <mergeCell ref="F1131:H1131"/>
    <mergeCell ref="G1132:H1132"/>
    <mergeCell ref="G1133:H1133"/>
    <mergeCell ref="F1134:H1134"/>
    <mergeCell ref="I1138:I1139"/>
    <mergeCell ref="F1142:H1142"/>
    <mergeCell ref="E1121:F1121"/>
    <mergeCell ref="I980:I981"/>
    <mergeCell ref="F984:H984"/>
    <mergeCell ref="F985:H985"/>
    <mergeCell ref="F986:H986"/>
    <mergeCell ref="F987:H987"/>
    <mergeCell ref="F988:H988"/>
    <mergeCell ref="F989:H989"/>
    <mergeCell ref="G990:H990"/>
    <mergeCell ref="G991:H991"/>
    <mergeCell ref="G992:H992"/>
    <mergeCell ref="F993:H993"/>
    <mergeCell ref="I1096:I1097"/>
    <mergeCell ref="F1102:H1102"/>
    <mergeCell ref="A989:E989"/>
    <mergeCell ref="A980:A981"/>
    <mergeCell ref="B980:B981"/>
    <mergeCell ref="C980:C981"/>
    <mergeCell ref="D980:D981"/>
    <mergeCell ref="E980:E981"/>
    <mergeCell ref="F980:G980"/>
    <mergeCell ref="D1138:D1139"/>
    <mergeCell ref="E1138:E1139"/>
    <mergeCell ref="F1356:H1356"/>
    <mergeCell ref="G1357:H1357"/>
    <mergeCell ref="G1358:H1358"/>
    <mergeCell ref="G1359:H1359"/>
    <mergeCell ref="F1360:H1360"/>
    <mergeCell ref="F1369:H1369"/>
    <mergeCell ref="G1370:H1370"/>
    <mergeCell ref="F1379:H1379"/>
    <mergeCell ref="I1427:I1428"/>
    <mergeCell ref="F1431:H1431"/>
    <mergeCell ref="F1432:H1432"/>
    <mergeCell ref="F1433:H1433"/>
    <mergeCell ref="E1389:F1389"/>
    <mergeCell ref="E1390:F1390"/>
    <mergeCell ref="E1391:F1391"/>
    <mergeCell ref="E1392:F1392"/>
    <mergeCell ref="E1393:F1393"/>
    <mergeCell ref="E1394:F1394"/>
    <mergeCell ref="E1396:F1396"/>
    <mergeCell ref="A1360:E1360"/>
    <mergeCell ref="A1379:E1379"/>
    <mergeCell ref="E1404:F1404"/>
    <mergeCell ref="A1369:E1369"/>
    <mergeCell ref="E1381:F1381"/>
    <mergeCell ref="E1382:F1382"/>
    <mergeCell ref="E1383:F1383"/>
    <mergeCell ref="E1384:F1384"/>
    <mergeCell ref="I1524:I1525"/>
    <mergeCell ref="F1531:H1531"/>
    <mergeCell ref="F1532:H1532"/>
    <mergeCell ref="F1533:H1533"/>
    <mergeCell ref="F1534:H1534"/>
    <mergeCell ref="F1535:H1535"/>
    <mergeCell ref="F1536:H1536"/>
    <mergeCell ref="G1537:H1537"/>
    <mergeCell ref="G1538:H1538"/>
    <mergeCell ref="F1813:H1813"/>
    <mergeCell ref="F1817:H1817"/>
    <mergeCell ref="F1818:H1818"/>
    <mergeCell ref="F1819:H1819"/>
    <mergeCell ref="F1820:H1820"/>
    <mergeCell ref="F1821:H1821"/>
    <mergeCell ref="I1788:I1789"/>
    <mergeCell ref="F1791:H1791"/>
    <mergeCell ref="F1792:H1792"/>
    <mergeCell ref="F1793:H1793"/>
    <mergeCell ref="F1794:H1794"/>
    <mergeCell ref="F1795:H1795"/>
    <mergeCell ref="F1796:H1796"/>
    <mergeCell ref="G1797:H1797"/>
    <mergeCell ref="G1798:H1798"/>
    <mergeCell ref="G1799:H1799"/>
    <mergeCell ref="F1800:H1800"/>
    <mergeCell ref="G1801:H1801"/>
    <mergeCell ref="G1744:H1744"/>
    <mergeCell ref="G1745:H1745"/>
    <mergeCell ref="E1674:F1674"/>
    <mergeCell ref="G1743:H1743"/>
    <mergeCell ref="G1802:H1802"/>
    <mergeCell ref="G1822:H1822"/>
    <mergeCell ref="G1823:H1823"/>
    <mergeCell ref="F1824:H1824"/>
    <mergeCell ref="F1828:H1828"/>
    <mergeCell ref="F1829:H1829"/>
    <mergeCell ref="F1830:H1830"/>
    <mergeCell ref="F1831:H1831"/>
    <mergeCell ref="F1832:H1832"/>
    <mergeCell ref="G1833:H1833"/>
    <mergeCell ref="G1834:H1834"/>
    <mergeCell ref="F1835:H1835"/>
    <mergeCell ref="F1854:H1854"/>
    <mergeCell ref="F1855:H1855"/>
    <mergeCell ref="F1856:H1856"/>
    <mergeCell ref="F1857:H1857"/>
    <mergeCell ref="F1858:H1858"/>
    <mergeCell ref="F1859:H1859"/>
    <mergeCell ref="E1848:F1848"/>
    <mergeCell ref="G1837:H1837"/>
    <mergeCell ref="F1838:H1838"/>
    <mergeCell ref="F1841:H1841"/>
    <mergeCell ref="G1842:H1842"/>
    <mergeCell ref="F1845:H1845"/>
    <mergeCell ref="G1860:H1860"/>
    <mergeCell ref="G1861:H1861"/>
    <mergeCell ref="G1862:H1862"/>
    <mergeCell ref="G1863:H1863"/>
    <mergeCell ref="F1864:H1864"/>
    <mergeCell ref="G1865:H1865"/>
    <mergeCell ref="G1866:H1866"/>
    <mergeCell ref="G1867:H1867"/>
    <mergeCell ref="F1868:H1868"/>
    <mergeCell ref="F1873:H1873"/>
    <mergeCell ref="G1874:H1874"/>
    <mergeCell ref="F1893:H1893"/>
    <mergeCell ref="F1894:H1894"/>
    <mergeCell ref="F1895:H1895"/>
    <mergeCell ref="F1896:H1896"/>
    <mergeCell ref="F1897:H1897"/>
    <mergeCell ref="G1898:H1898"/>
    <mergeCell ref="A1980:E1980"/>
    <mergeCell ref="E1930:F1930"/>
    <mergeCell ref="E1931:F1931"/>
    <mergeCell ref="E1932:F1932"/>
    <mergeCell ref="E1925:F1925"/>
    <mergeCell ref="E1926:F1926"/>
    <mergeCell ref="E1927:F1927"/>
    <mergeCell ref="E1953:F1953"/>
    <mergeCell ref="E1954:F1954"/>
    <mergeCell ref="E1955:F1955"/>
    <mergeCell ref="E1960:F1960"/>
    <mergeCell ref="E1961:F1961"/>
    <mergeCell ref="E1962:F1962"/>
    <mergeCell ref="E1940:F1940"/>
    <mergeCell ref="G2308:H2308"/>
    <mergeCell ref="G2309:H2309"/>
    <mergeCell ref="F2331:H2331"/>
    <mergeCell ref="G2310:H2310"/>
    <mergeCell ref="G2311:H2311"/>
    <mergeCell ref="F2312:H2312"/>
    <mergeCell ref="E2217:F2217"/>
    <mergeCell ref="E2224:F2224"/>
    <mergeCell ref="E2230:F2230"/>
    <mergeCell ref="E2237:F2237"/>
    <mergeCell ref="E2242:F2242"/>
    <mergeCell ref="E2261:F2261"/>
    <mergeCell ref="E2265:F2265"/>
    <mergeCell ref="E2270:F2270"/>
    <mergeCell ref="A2288:A2289"/>
    <mergeCell ref="B2288:B2289"/>
    <mergeCell ref="C2288:C2289"/>
    <mergeCell ref="D2288:D2289"/>
    <mergeCell ref="I3008:I3009"/>
    <mergeCell ref="F3011:H3011"/>
    <mergeCell ref="F3012:H3012"/>
    <mergeCell ref="F3013:H3013"/>
    <mergeCell ref="F3014:H3014"/>
    <mergeCell ref="F3015:H3015"/>
    <mergeCell ref="F3016:H3016"/>
    <mergeCell ref="I3020:I3021"/>
    <mergeCell ref="F3023:H3023"/>
    <mergeCell ref="F3024:H3024"/>
    <mergeCell ref="F3025:H3025"/>
    <mergeCell ref="F3026:H3026"/>
    <mergeCell ref="F3027:H3027"/>
    <mergeCell ref="F3028:H3028"/>
    <mergeCell ref="E2859:F2859"/>
    <mergeCell ref="E2863:F2863"/>
    <mergeCell ref="E2867:F2867"/>
    <mergeCell ref="E2871:F2871"/>
    <mergeCell ref="E2875:F2875"/>
    <mergeCell ref="E2879:F2879"/>
    <mergeCell ref="E2883:F2883"/>
    <mergeCell ref="E2887:F2887"/>
    <mergeCell ref="E2891:F2891"/>
    <mergeCell ref="E2895:F2895"/>
    <mergeCell ref="E2899:F2899"/>
    <mergeCell ref="E2903:F2903"/>
    <mergeCell ref="E2907:F2907"/>
    <mergeCell ref="E2911:F2911"/>
    <mergeCell ref="E2915:F2915"/>
    <mergeCell ref="E2944:F2944"/>
    <mergeCell ref="E2946:F2946"/>
    <mergeCell ref="E2948:F2948"/>
    <mergeCell ref="F3059:H3059"/>
    <mergeCell ref="I3063:I3064"/>
    <mergeCell ref="F3066:H3066"/>
    <mergeCell ref="F3067:H3067"/>
    <mergeCell ref="F3068:H3068"/>
    <mergeCell ref="F3069:H3069"/>
    <mergeCell ref="F3070:H3070"/>
    <mergeCell ref="F3071:H3071"/>
    <mergeCell ref="G3072:H3072"/>
    <mergeCell ref="I3078:I3079"/>
    <mergeCell ref="F3081:H3081"/>
    <mergeCell ref="F3082:H3082"/>
    <mergeCell ref="F3083:H3083"/>
    <mergeCell ref="F3084:H3084"/>
    <mergeCell ref="F3085:H3085"/>
    <mergeCell ref="F3086:H3086"/>
    <mergeCell ref="G3073:H3073"/>
    <mergeCell ref="F3095:H3095"/>
    <mergeCell ref="F3096:H3096"/>
    <mergeCell ref="F3097:H3097"/>
    <mergeCell ref="G3098:H3098"/>
    <mergeCell ref="G3099:H3099"/>
    <mergeCell ref="G3100:H3100"/>
    <mergeCell ref="G3101:H3101"/>
    <mergeCell ref="G3102:H3102"/>
    <mergeCell ref="F3103:H3103"/>
    <mergeCell ref="G3104:H3104"/>
    <mergeCell ref="G3105:H3105"/>
    <mergeCell ref="G3106:H3106"/>
    <mergeCell ref="G3107:H3107"/>
    <mergeCell ref="G3108:H3108"/>
    <mergeCell ref="G3109:H3109"/>
    <mergeCell ref="F3110:H3110"/>
    <mergeCell ref="F3115:H3115"/>
    <mergeCell ref="G3116:H3116"/>
    <mergeCell ref="F3121:H3121"/>
    <mergeCell ref="I3125:I3126"/>
    <mergeCell ref="F3131:H3131"/>
    <mergeCell ref="F3132:H3132"/>
    <mergeCell ref="F3136:H3136"/>
    <mergeCell ref="G3137:H3137"/>
    <mergeCell ref="G3138:H3138"/>
    <mergeCell ref="G3139:H3139"/>
    <mergeCell ref="G3140:H3140"/>
    <mergeCell ref="G3141:H3141"/>
    <mergeCell ref="G3142:H3142"/>
    <mergeCell ref="F3143:H3143"/>
    <mergeCell ref="G3144:H3144"/>
    <mergeCell ref="G3145:H3145"/>
    <mergeCell ref="G3146:H3146"/>
    <mergeCell ref="F3147:H3147"/>
    <mergeCell ref="F3154:H3154"/>
    <mergeCell ref="G3155:H3155"/>
    <mergeCell ref="F3162:H3162"/>
    <mergeCell ref="I3166:I3167"/>
    <mergeCell ref="F3170:H3170"/>
    <mergeCell ref="F4309:H4309"/>
    <mergeCell ref="F4313:H4313"/>
    <mergeCell ref="G4314:H4314"/>
    <mergeCell ref="F4318:H4318"/>
    <mergeCell ref="I4322:I4323"/>
    <mergeCell ref="F4326:H4326"/>
    <mergeCell ref="F4327:H4327"/>
    <mergeCell ref="E4142:F4142"/>
    <mergeCell ref="E4153:F4153"/>
    <mergeCell ref="E4174:F4174"/>
    <mergeCell ref="E4191:F4191"/>
    <mergeCell ref="E4208:F4208"/>
    <mergeCell ref="E4219:F4219"/>
    <mergeCell ref="E4225:F4225"/>
    <mergeCell ref="E4231:F4231"/>
    <mergeCell ref="E4237:F4237"/>
    <mergeCell ref="E4244:F4244"/>
    <mergeCell ref="E4248:F4248"/>
    <mergeCell ref="E4252:F4252"/>
    <mergeCell ref="E4256:F4256"/>
    <mergeCell ref="E4260:F4260"/>
    <mergeCell ref="E4146:F4146"/>
    <mergeCell ref="A4288:E4288"/>
    <mergeCell ref="E4290:F4290"/>
    <mergeCell ref="E4291:F4291"/>
    <mergeCell ref="A4292:A4293"/>
    <mergeCell ref="B4292:B4293"/>
    <mergeCell ref="I4385:I4386"/>
    <mergeCell ref="F4402:H4402"/>
    <mergeCell ref="G4403:H4403"/>
    <mergeCell ref="G4404:H4404"/>
    <mergeCell ref="G4405:H4405"/>
    <mergeCell ref="G4406:H4406"/>
    <mergeCell ref="G4407:H4407"/>
    <mergeCell ref="G4408:H4408"/>
    <mergeCell ref="F4409:H4409"/>
    <mergeCell ref="F4414:H4414"/>
    <mergeCell ref="G4415:H4415"/>
    <mergeCell ref="F4420:H4420"/>
    <mergeCell ref="I4746:I4747"/>
    <mergeCell ref="F4750:H4750"/>
    <mergeCell ref="E4436:F4436"/>
    <mergeCell ref="E4437:F4437"/>
    <mergeCell ref="E4438:F4438"/>
    <mergeCell ref="E4440:F4440"/>
    <mergeCell ref="E4441:F4441"/>
    <mergeCell ref="E4442:F4442"/>
    <mergeCell ref="E4444:F4444"/>
    <mergeCell ref="E4445:F4445"/>
    <mergeCell ref="E4446:F4446"/>
    <mergeCell ref="E4453:F4453"/>
    <mergeCell ref="E4461:F4461"/>
    <mergeCell ref="E4465:F4465"/>
    <mergeCell ref="E4469:F4469"/>
    <mergeCell ref="E4477:F4477"/>
    <mergeCell ref="E4481:F4481"/>
    <mergeCell ref="E4422:F4422"/>
    <mergeCell ref="E4423:F4423"/>
    <mergeCell ref="E4424:F4424"/>
    <mergeCell ref="E4538:F4538"/>
    <mergeCell ref="F4754:H4754"/>
    <mergeCell ref="E4605:F4605"/>
    <mergeCell ref="E4546:F4546"/>
    <mergeCell ref="E4548:F4548"/>
    <mergeCell ref="E4549:F4549"/>
    <mergeCell ref="E4550:F4550"/>
    <mergeCell ref="E4551:F4551"/>
    <mergeCell ref="E4552:F4552"/>
    <mergeCell ref="E4557:F4557"/>
    <mergeCell ref="E4558:F4558"/>
    <mergeCell ref="E4559:F4559"/>
    <mergeCell ref="E4560:F4560"/>
    <mergeCell ref="E4562:F4562"/>
    <mergeCell ref="E4563:F4563"/>
    <mergeCell ref="E4564:F4564"/>
    <mergeCell ref="G4366:H4366"/>
    <mergeCell ref="G4377:H4377"/>
    <mergeCell ref="F4381:H4381"/>
    <mergeCell ref="E4425:F4425"/>
    <mergeCell ref="E4426:F4426"/>
    <mergeCell ref="E4428:F4428"/>
    <mergeCell ref="A4392:E4392"/>
    <mergeCell ref="A4393:E4393"/>
    <mergeCell ref="A4394:E4394"/>
    <mergeCell ref="A4395:E4395"/>
    <mergeCell ref="A4396:E4396"/>
    <mergeCell ref="A4397:E4397"/>
    <mergeCell ref="F4392:H4392"/>
    <mergeCell ref="F4393:H4393"/>
    <mergeCell ref="F4394:H4394"/>
    <mergeCell ref="F4395:H4395"/>
    <mergeCell ref="E4449:F4449"/>
    <mergeCell ref="E4450:F4450"/>
    <mergeCell ref="F4755:H4755"/>
    <mergeCell ref="G4756:H4756"/>
    <mergeCell ref="G4757:H4757"/>
    <mergeCell ref="F4758:H4758"/>
    <mergeCell ref="G4759:H4759"/>
    <mergeCell ref="G4760:H4760"/>
    <mergeCell ref="G4761:H4761"/>
    <mergeCell ref="F4762:H4762"/>
    <mergeCell ref="F4765:H4765"/>
    <mergeCell ref="G4766:H4766"/>
    <mergeCell ref="F4769:H4769"/>
    <mergeCell ref="F4773:H4773"/>
    <mergeCell ref="F4774:H4774"/>
    <mergeCell ref="F4775:H4775"/>
    <mergeCell ref="F4776:H4776"/>
    <mergeCell ref="F4751:H4751"/>
    <mergeCell ref="E4555:F4555"/>
    <mergeCell ref="E4556:F4556"/>
    <mergeCell ref="E4524:F4524"/>
    <mergeCell ref="E4525:F4525"/>
    <mergeCell ref="E4526:F4526"/>
    <mergeCell ref="E4527:F4527"/>
    <mergeCell ref="E4528:F4528"/>
    <mergeCell ref="E4529:F4529"/>
    <mergeCell ref="E4530:F4530"/>
    <mergeCell ref="E4532:F4532"/>
    <mergeCell ref="E4533:F4533"/>
    <mergeCell ref="E4534:F4534"/>
    <mergeCell ref="E4536:F4536"/>
    <mergeCell ref="E4537:F4537"/>
    <mergeCell ref="I5076:I5077"/>
    <mergeCell ref="F5079:H5079"/>
    <mergeCell ref="F5080:H5080"/>
    <mergeCell ref="F5081:H5081"/>
    <mergeCell ref="F5082:H5082"/>
    <mergeCell ref="F5083:H5083"/>
    <mergeCell ref="F5084:H5084"/>
    <mergeCell ref="I5088:I5089"/>
    <mergeCell ref="F5091:H5091"/>
    <mergeCell ref="F5092:H5092"/>
    <mergeCell ref="F5093:H5093"/>
    <mergeCell ref="F5094:H5094"/>
    <mergeCell ref="F5095:H5095"/>
    <mergeCell ref="E4969:F4969"/>
    <mergeCell ref="E4977:F4977"/>
    <mergeCell ref="E4981:F4981"/>
    <mergeCell ref="E4985:F4985"/>
    <mergeCell ref="E4989:F4989"/>
    <mergeCell ref="E4993:F4993"/>
    <mergeCell ref="E4999:F4999"/>
    <mergeCell ref="E5007:F5007"/>
    <mergeCell ref="E5015:F5015"/>
    <mergeCell ref="E5019:F5019"/>
    <mergeCell ref="E5023:F5023"/>
    <mergeCell ref="E5029:F5029"/>
    <mergeCell ref="E5037:F5037"/>
    <mergeCell ref="E5042:F5042"/>
    <mergeCell ref="E5052:F5052"/>
    <mergeCell ref="E5000:F5000"/>
    <mergeCell ref="E5001:F5001"/>
    <mergeCell ref="E5002:F5002"/>
    <mergeCell ref="E4970:F4970"/>
    <mergeCell ref="F5151:H5151"/>
    <mergeCell ref="F5152:H5152"/>
    <mergeCell ref="F5153:H5153"/>
    <mergeCell ref="F5154:H5154"/>
    <mergeCell ref="F5155:H5155"/>
    <mergeCell ref="F5156:H5156"/>
    <mergeCell ref="I5160:I5161"/>
    <mergeCell ref="F5163:H5163"/>
    <mergeCell ref="F5164:H5164"/>
    <mergeCell ref="F5165:H5165"/>
    <mergeCell ref="F5166:H5166"/>
    <mergeCell ref="F5167:H5167"/>
    <mergeCell ref="F5168:H5168"/>
    <mergeCell ref="I5172:I5173"/>
    <mergeCell ref="F5175:H5175"/>
    <mergeCell ref="F5176:H5176"/>
    <mergeCell ref="F5177:H5177"/>
  </mergeCells>
  <printOptions horizontalCentered="1"/>
  <pageMargins left="0.51181102362204722" right="0.51181102362204722" top="0.78740157480314965" bottom="0.59055118110236227" header="0.51181102362204722" footer="0.19685039370078741"/>
  <pageSetup paperSize="9" scale="71" firstPageNumber="111" fitToHeight="0" orientation="landscape" useFirstPageNumber="1" r:id="rId1"/>
  <headerFooter>
    <oddHeader>&amp;L &amp;CSECRETARIA DE ESTADO DE OBRAS E INFRAESTRUTURA DO DISTRITO FEDERAL - SODF
CNPJ: 00.394.742/0001-49 &amp;R</oddHeader>
    <oddFooter>&amp;CSetor de Áreas Públicas Bloco A-15 - Zona Industrial (Guará) - Brasília / DF
  &amp;P</oddFooter>
  </headerFooter>
  <rowBreaks count="9" manualBreakCount="9">
    <brk id="22" max="16383" man="1"/>
    <brk id="41" max="16383" man="1"/>
    <brk id="69" max="16383" man="1"/>
    <brk id="90" max="16383" man="1"/>
    <brk id="135" max="16383" man="1"/>
    <brk id="163" max="16383" man="1"/>
    <brk id="179" max="16383" man="1"/>
    <brk id="212" max="16383" man="1"/>
    <brk id="26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12F40-1537-4B5D-965E-4E6481865E10}">
  <sheetPr>
    <pageSetUpPr fitToPage="1"/>
  </sheetPr>
  <dimension ref="A1:S5765"/>
  <sheetViews>
    <sheetView view="pageBreakPreview" zoomScale="110" zoomScaleNormal="100" zoomScaleSheetLayoutView="110" workbookViewId="0">
      <selection activeCell="E6" sqref="E6"/>
    </sheetView>
  </sheetViews>
  <sheetFormatPr defaultColWidth="8" defaultRowHeight="14.5" x14ac:dyDescent="0.35"/>
  <cols>
    <col min="1" max="1" width="6.75" style="252" customWidth="1"/>
    <col min="2" max="2" width="30.33203125" style="253" customWidth="1"/>
    <col min="3" max="3" width="6.75" style="252" customWidth="1"/>
    <col min="4" max="10" width="11.08203125" style="252" customWidth="1"/>
    <col min="11" max="11" width="12" style="252" customWidth="1"/>
    <col min="12" max="15" width="11.08203125" style="252" customWidth="1"/>
    <col min="16" max="16" width="44.08203125" style="254" customWidth="1"/>
    <col min="17" max="17" width="10.83203125" style="255" bestFit="1" customWidth="1"/>
    <col min="18" max="18" width="8" style="255"/>
    <col min="19" max="32" width="11.58203125" style="255" bestFit="1" customWidth="1"/>
    <col min="33" max="37" width="10.58203125" style="255" bestFit="1" customWidth="1"/>
    <col min="38" max="39" width="9.25" style="255" bestFit="1" customWidth="1"/>
    <col min="40" max="16384" width="8" style="255"/>
  </cols>
  <sheetData>
    <row r="1" spans="1:17" s="152" customFormat="1" ht="70" customHeight="1" thickBot="1" x14ac:dyDescent="0.35">
      <c r="A1" s="918" t="s">
        <v>1710</v>
      </c>
      <c r="B1" s="918"/>
      <c r="C1" s="918"/>
      <c r="D1" s="918"/>
      <c r="E1" s="918"/>
      <c r="F1" s="918"/>
      <c r="G1" s="918"/>
      <c r="H1" s="918"/>
      <c r="I1" s="918"/>
      <c r="J1" s="918"/>
      <c r="K1" s="918"/>
      <c r="L1" s="918"/>
      <c r="M1" s="918"/>
      <c r="N1" s="918"/>
      <c r="O1" s="918"/>
      <c r="P1" s="151"/>
    </row>
    <row r="2" spans="1:17" s="152" customFormat="1" ht="26.5" thickBot="1" x14ac:dyDescent="0.35">
      <c r="A2" s="919" t="s">
        <v>1711</v>
      </c>
      <c r="B2" s="919"/>
      <c r="C2" s="919"/>
      <c r="D2" s="919"/>
      <c r="E2" s="919"/>
      <c r="F2" s="919"/>
      <c r="G2" s="919"/>
      <c r="H2" s="919"/>
      <c r="I2" s="919"/>
      <c r="J2" s="919"/>
      <c r="K2" s="919"/>
      <c r="L2" s="919"/>
      <c r="M2" s="919"/>
      <c r="N2" s="919"/>
      <c r="O2" s="919"/>
      <c r="P2" s="151"/>
    </row>
    <row r="3" spans="1:17" s="152" customFormat="1" ht="30" customHeight="1" x14ac:dyDescent="0.3">
      <c r="A3" s="920" t="s">
        <v>1712</v>
      </c>
      <c r="B3" s="920"/>
      <c r="C3" s="921" t="s">
        <v>1713</v>
      </c>
      <c r="D3" s="921"/>
      <c r="E3" s="921"/>
      <c r="F3" s="921"/>
      <c r="G3" s="921"/>
      <c r="H3" s="921"/>
      <c r="I3" s="921"/>
      <c r="J3" s="921"/>
      <c r="K3" s="921"/>
      <c r="L3" s="153"/>
      <c r="M3" s="154"/>
      <c r="N3" s="155"/>
      <c r="O3" s="156"/>
    </row>
    <row r="4" spans="1:17" s="152" customFormat="1" ht="15" thickBot="1" x14ac:dyDescent="0.35">
      <c r="A4" s="922" t="s">
        <v>1714</v>
      </c>
      <c r="B4" s="922"/>
      <c r="C4" s="923" t="s">
        <v>1715</v>
      </c>
      <c r="D4" s="923"/>
      <c r="E4" s="923"/>
      <c r="F4" s="923"/>
      <c r="G4" s="923"/>
      <c r="H4" s="923"/>
      <c r="I4" s="923"/>
      <c r="J4" s="923"/>
      <c r="K4" s="923"/>
      <c r="L4" s="157"/>
      <c r="M4" s="157"/>
      <c r="N4" s="158"/>
      <c r="O4" s="159"/>
    </row>
    <row r="5" spans="1:17" s="164" customFormat="1" x14ac:dyDescent="0.35">
      <c r="A5" s="160" t="s">
        <v>3</v>
      </c>
      <c r="B5" s="161" t="s">
        <v>1716</v>
      </c>
      <c r="C5" s="162" t="s">
        <v>1717</v>
      </c>
      <c r="D5" s="162"/>
      <c r="E5" s="162"/>
      <c r="F5" s="162"/>
      <c r="G5" s="162"/>
      <c r="H5" s="162"/>
      <c r="I5" s="162"/>
      <c r="J5" s="162"/>
      <c r="K5" s="162"/>
      <c r="L5" s="162"/>
      <c r="M5" s="162"/>
      <c r="N5" s="163"/>
      <c r="O5" s="162"/>
    </row>
    <row r="6" spans="1:17" s="170" customFormat="1" ht="21" x14ac:dyDescent="0.25">
      <c r="A6" s="165">
        <f>ORÇAMENTO!A5</f>
        <v>1</v>
      </c>
      <c r="B6" s="166" t="str">
        <f>VLOOKUP(A6,ORÇAMENTO!A:K,4,0)</f>
        <v>ADMINISTRAÇÃO</v>
      </c>
      <c r="C6" s="167"/>
      <c r="D6" s="167" t="s">
        <v>4188</v>
      </c>
      <c r="E6" s="168">
        <f>COUNTA(CRONOGRAMA!H4:S4)</f>
        <v>12</v>
      </c>
      <c r="F6" s="168"/>
      <c r="G6" s="168"/>
      <c r="H6" s="168"/>
      <c r="I6" s="168"/>
      <c r="J6" s="168"/>
      <c r="K6" s="168"/>
      <c r="L6" s="168"/>
      <c r="M6" s="168"/>
      <c r="N6" s="168"/>
      <c r="O6" s="168"/>
      <c r="P6" s="169"/>
      <c r="Q6" s="169"/>
    </row>
    <row r="7" spans="1:17" s="170" customFormat="1" ht="10.5" x14ac:dyDescent="0.25">
      <c r="A7" s="165" t="str">
        <f>ORÇAMENTO!A6</f>
        <v xml:space="preserve"> 1.1 </v>
      </c>
      <c r="B7" s="166" t="str">
        <f>VLOOKUP(A7,ORÇAMENTO!A:K,4,0)</f>
        <v>EQUIPE TÉCNICA GERENCIAL</v>
      </c>
      <c r="C7" s="167"/>
      <c r="D7" s="167"/>
      <c r="E7" s="168"/>
      <c r="F7" s="168"/>
      <c r="G7" s="168"/>
      <c r="H7" s="168"/>
      <c r="I7" s="168"/>
      <c r="J7" s="168"/>
      <c r="K7" s="168"/>
      <c r="L7" s="168"/>
      <c r="M7" s="168"/>
      <c r="N7" s="168"/>
      <c r="O7" s="168"/>
      <c r="P7" s="169"/>
      <c r="Q7" s="169"/>
    </row>
    <row r="8" spans="1:17" s="170" customFormat="1" ht="10.5" x14ac:dyDescent="0.25">
      <c r="A8" s="165" t="str">
        <f>ORÇAMENTO!A7</f>
        <v xml:space="preserve"> 1.1.1 </v>
      </c>
      <c r="B8" s="166" t="str">
        <f>VLOOKUP(A8,ORÇAMENTO!A:K,4,0)</f>
        <v>MÃO DE OBRA EQUIPE TÉCNICA GERENCIAL</v>
      </c>
      <c r="C8" s="167"/>
      <c r="D8" s="167"/>
      <c r="E8" s="168"/>
      <c r="F8" s="168"/>
      <c r="G8" s="168"/>
      <c r="H8" s="168"/>
      <c r="I8" s="168"/>
      <c r="J8" s="168"/>
      <c r="K8" s="168"/>
      <c r="L8" s="168"/>
      <c r="M8" s="168"/>
      <c r="N8" s="168"/>
      <c r="O8" s="168"/>
      <c r="P8" s="169"/>
      <c r="Q8" s="169"/>
    </row>
    <row r="9" spans="1:17" s="174" customFormat="1" ht="21" x14ac:dyDescent="0.25">
      <c r="A9" s="171" t="str">
        <f>ORÇAMENTO!A8</f>
        <v xml:space="preserve"> 1.1.1.1 </v>
      </c>
      <c r="B9" s="172" t="str">
        <f>VLOOKUP(A9,ORÇAMENTO!A:K,4,0)</f>
        <v>ENGENHEIRO CIVIL DE OBRA SENIOR COM ENCARGOS COMPLEMENTARES</v>
      </c>
      <c r="C9" s="173" t="str">
        <f>VLOOKUP(A9,ORÇAMENTO!A:K,5,0)</f>
        <v>MES</v>
      </c>
      <c r="D9" s="173">
        <f>SUM(E12:O12)</f>
        <v>4</v>
      </c>
      <c r="E9" s="173" t="s">
        <v>1718</v>
      </c>
      <c r="F9" s="173" t="s">
        <v>1719</v>
      </c>
      <c r="G9" s="173" t="s">
        <v>1720</v>
      </c>
      <c r="H9" s="173" t="s">
        <v>1721</v>
      </c>
      <c r="I9" s="173" t="s">
        <v>1722</v>
      </c>
      <c r="J9" s="173" t="s">
        <v>1723</v>
      </c>
      <c r="K9" s="173" t="s">
        <v>1724</v>
      </c>
      <c r="L9" s="173" t="s">
        <v>1725</v>
      </c>
      <c r="M9" s="173" t="s">
        <v>1726</v>
      </c>
      <c r="N9" s="173" t="s">
        <v>1727</v>
      </c>
      <c r="O9" s="173" t="s">
        <v>1728</v>
      </c>
      <c r="P9" s="169"/>
      <c r="Q9" s="169"/>
    </row>
    <row r="10" spans="1:17" s="170" customFormat="1" ht="10.5" x14ac:dyDescent="0.25">
      <c r="A10" s="175"/>
      <c r="B10" s="176" t="s">
        <v>4177</v>
      </c>
      <c r="C10" s="177"/>
      <c r="D10" s="178"/>
      <c r="E10" s="178"/>
      <c r="F10" s="178"/>
      <c r="G10" s="178"/>
      <c r="H10" s="178"/>
      <c r="I10" s="178"/>
      <c r="J10" s="178"/>
      <c r="K10" s="178"/>
      <c r="L10" s="178"/>
      <c r="M10" s="178">
        <f>E6/3</f>
        <v>4</v>
      </c>
      <c r="N10" s="178"/>
      <c r="O10" s="178"/>
      <c r="P10" s="179"/>
      <c r="Q10" s="169"/>
    </row>
    <row r="11" spans="1:17" s="170" customFormat="1" ht="10.5" x14ac:dyDescent="0.25">
      <c r="A11" s="175"/>
      <c r="B11" s="176"/>
      <c r="C11" s="177"/>
      <c r="D11" s="178"/>
      <c r="E11" s="178"/>
      <c r="F11" s="178"/>
      <c r="G11" s="178"/>
      <c r="H11" s="178"/>
      <c r="I11" s="178"/>
      <c r="J11" s="178"/>
      <c r="K11" s="178"/>
      <c r="L11" s="178"/>
      <c r="M11" s="178"/>
      <c r="N11" s="178"/>
      <c r="O11" s="178"/>
      <c r="P11" s="179"/>
      <c r="Q11" s="169"/>
    </row>
    <row r="12" spans="1:17" s="170" customFormat="1" ht="10.5" x14ac:dyDescent="0.25">
      <c r="A12" s="175"/>
      <c r="B12" s="181" t="s">
        <v>5</v>
      </c>
      <c r="C12" s="182" t="s">
        <v>1328</v>
      </c>
      <c r="D12" s="182"/>
      <c r="E12" s="182"/>
      <c r="F12" s="182"/>
      <c r="G12" s="182"/>
      <c r="H12" s="182"/>
      <c r="I12" s="182"/>
      <c r="J12" s="182"/>
      <c r="K12" s="182"/>
      <c r="L12" s="182"/>
      <c r="M12" s="182">
        <f>SUM(M10:M11)</f>
        <v>4</v>
      </c>
      <c r="O12" s="182"/>
      <c r="P12" s="183"/>
      <c r="Q12" s="169"/>
    </row>
    <row r="13" spans="1:17" s="174" customFormat="1" ht="21" x14ac:dyDescent="0.25">
      <c r="A13" s="171" t="str">
        <f>ORÇAMENTO!A9</f>
        <v xml:space="preserve"> 1.1.1.2</v>
      </c>
      <c r="B13" s="172" t="str">
        <f>VLOOKUP(A13,ORÇAMENTO!A:K,4,0)</f>
        <v>ENGENHEIRO CIVIL DE OBRA PLENO COM ENCARGOS COMPLEMENTARES</v>
      </c>
      <c r="C13" s="173" t="str">
        <f>VLOOKUP(A13,ORÇAMENTO!A:K,5,0)</f>
        <v>MES</v>
      </c>
      <c r="D13" s="173">
        <f>SUM(E16:O16)</f>
        <v>12</v>
      </c>
      <c r="E13" s="173" t="s">
        <v>1718</v>
      </c>
      <c r="F13" s="173" t="s">
        <v>1719</v>
      </c>
      <c r="G13" s="173" t="s">
        <v>1720</v>
      </c>
      <c r="H13" s="173" t="s">
        <v>1721</v>
      </c>
      <c r="I13" s="173" t="s">
        <v>1722</v>
      </c>
      <c r="J13" s="173" t="s">
        <v>1723</v>
      </c>
      <c r="K13" s="173" t="s">
        <v>1724</v>
      </c>
      <c r="L13" s="173" t="s">
        <v>1725</v>
      </c>
      <c r="M13" s="173" t="s">
        <v>1726</v>
      </c>
      <c r="N13" s="173" t="s">
        <v>1727</v>
      </c>
      <c r="O13" s="173" t="s">
        <v>1728</v>
      </c>
      <c r="P13" s="169"/>
      <c r="Q13" s="169"/>
    </row>
    <row r="14" spans="1:17" s="170" customFormat="1" ht="10.5" x14ac:dyDescent="0.25">
      <c r="A14" s="175"/>
      <c r="B14" s="176" t="s">
        <v>4178</v>
      </c>
      <c r="C14" s="177"/>
      <c r="D14" s="178"/>
      <c r="E14" s="178"/>
      <c r="F14" s="178"/>
      <c r="G14" s="178"/>
      <c r="H14" s="178"/>
      <c r="I14" s="178"/>
      <c r="J14" s="178"/>
      <c r="K14" s="178"/>
      <c r="L14" s="178"/>
      <c r="M14" s="178">
        <f>E6</f>
        <v>12</v>
      </c>
      <c r="N14" s="178"/>
      <c r="O14" s="178"/>
      <c r="P14" s="179"/>
      <c r="Q14" s="169"/>
    </row>
    <row r="15" spans="1:17" s="170" customFormat="1" ht="10.5" x14ac:dyDescent="0.25">
      <c r="A15" s="175"/>
      <c r="B15" s="176"/>
      <c r="C15" s="177"/>
      <c r="D15" s="178"/>
      <c r="E15" s="178"/>
      <c r="F15" s="178"/>
      <c r="G15" s="178"/>
      <c r="H15" s="178"/>
      <c r="I15" s="178"/>
      <c r="J15" s="178"/>
      <c r="K15" s="178"/>
      <c r="L15" s="178"/>
      <c r="M15" s="178"/>
      <c r="N15" s="178"/>
      <c r="O15" s="178"/>
      <c r="P15" s="179"/>
      <c r="Q15" s="169"/>
    </row>
    <row r="16" spans="1:17" s="170" customFormat="1" ht="10.5" x14ac:dyDescent="0.25">
      <c r="A16" s="175"/>
      <c r="B16" s="181" t="s">
        <v>5</v>
      </c>
      <c r="C16" s="182" t="s">
        <v>1328</v>
      </c>
      <c r="D16" s="182"/>
      <c r="E16" s="182"/>
      <c r="F16" s="182"/>
      <c r="G16" s="182"/>
      <c r="H16" s="182"/>
      <c r="I16" s="182"/>
      <c r="J16" s="182"/>
      <c r="K16" s="182"/>
      <c r="L16" s="182"/>
      <c r="M16" s="182">
        <f>SUM(M14:M15)</f>
        <v>12</v>
      </c>
      <c r="O16" s="182"/>
      <c r="P16" s="183"/>
      <c r="Q16" s="169"/>
    </row>
    <row r="17" spans="1:17" s="174" customFormat="1" ht="21" x14ac:dyDescent="0.25">
      <c r="A17" s="171" t="str">
        <f>ORÇAMENTO!A10</f>
        <v xml:space="preserve"> 1.1.1.3</v>
      </c>
      <c r="B17" s="172" t="str">
        <f>VLOOKUP(A17,ORÇAMENTO!A:K,4,0)</f>
        <v>TECNICO DE EDIFICACOES COM ENCARGOS COMPLEMENTARES</v>
      </c>
      <c r="C17" s="173" t="str">
        <f>VLOOKUP(A17,ORÇAMENTO!A:K,5,0)</f>
        <v>MES</v>
      </c>
      <c r="D17" s="173">
        <f>SUM(E20:O20)</f>
        <v>12</v>
      </c>
      <c r="E17" s="173" t="s">
        <v>1718</v>
      </c>
      <c r="F17" s="173" t="s">
        <v>1719</v>
      </c>
      <c r="G17" s="173" t="s">
        <v>1720</v>
      </c>
      <c r="H17" s="173" t="s">
        <v>1721</v>
      </c>
      <c r="I17" s="173" t="s">
        <v>1722</v>
      </c>
      <c r="J17" s="173" t="s">
        <v>1723</v>
      </c>
      <c r="K17" s="173" t="s">
        <v>1724</v>
      </c>
      <c r="L17" s="173" t="s">
        <v>1725</v>
      </c>
      <c r="M17" s="173" t="s">
        <v>1726</v>
      </c>
      <c r="N17" s="173" t="s">
        <v>1727</v>
      </c>
      <c r="O17" s="173" t="s">
        <v>1728</v>
      </c>
      <c r="P17" s="169"/>
      <c r="Q17" s="169"/>
    </row>
    <row r="18" spans="1:17" s="170" customFormat="1" ht="10.5" x14ac:dyDescent="0.25">
      <c r="A18" s="175"/>
      <c r="B18" s="176" t="s">
        <v>4178</v>
      </c>
      <c r="C18" s="177"/>
      <c r="D18" s="178"/>
      <c r="E18" s="178"/>
      <c r="F18" s="178"/>
      <c r="G18" s="178"/>
      <c r="H18" s="178"/>
      <c r="I18" s="178"/>
      <c r="J18" s="178"/>
      <c r="K18" s="178"/>
      <c r="L18" s="178"/>
      <c r="M18" s="178">
        <f>M14</f>
        <v>12</v>
      </c>
      <c r="N18" s="178"/>
      <c r="O18" s="178"/>
      <c r="P18" s="179"/>
      <c r="Q18" s="169"/>
    </row>
    <row r="19" spans="1:17" s="170" customFormat="1" ht="10.5" x14ac:dyDescent="0.25">
      <c r="A19" s="175"/>
      <c r="B19" s="176"/>
      <c r="C19" s="177"/>
      <c r="D19" s="178"/>
      <c r="E19" s="178"/>
      <c r="F19" s="178"/>
      <c r="G19" s="178"/>
      <c r="H19" s="178"/>
      <c r="I19" s="178"/>
      <c r="J19" s="178"/>
      <c r="K19" s="178"/>
      <c r="L19" s="178"/>
      <c r="M19" s="178"/>
      <c r="N19" s="178"/>
      <c r="O19" s="178"/>
      <c r="P19" s="179"/>
      <c r="Q19" s="169"/>
    </row>
    <row r="20" spans="1:17" s="170" customFormat="1" ht="10.5" x14ac:dyDescent="0.25">
      <c r="A20" s="175"/>
      <c r="B20" s="181" t="s">
        <v>5</v>
      </c>
      <c r="C20" s="182" t="s">
        <v>1328</v>
      </c>
      <c r="D20" s="182"/>
      <c r="E20" s="182"/>
      <c r="F20" s="182"/>
      <c r="G20" s="182"/>
      <c r="H20" s="182"/>
      <c r="I20" s="182"/>
      <c r="J20" s="182"/>
      <c r="K20" s="182"/>
      <c r="L20" s="182"/>
      <c r="M20" s="182">
        <f>SUM(M18:M19)</f>
        <v>12</v>
      </c>
      <c r="O20" s="182"/>
      <c r="P20" s="183"/>
      <c r="Q20" s="169"/>
    </row>
    <row r="21" spans="1:17" s="174" customFormat="1" ht="31.5" x14ac:dyDescent="0.25">
      <c r="A21" s="171" t="str">
        <f>ORÇAMENTO!A11</f>
        <v xml:space="preserve"> 1.1.1.4</v>
      </c>
      <c r="B21" s="172" t="str">
        <f>VLOOKUP(A21,ORÇAMENTO!A:K,4,0)</f>
        <v>TÉCNICO DE MEIO AMBIENTE COM ENCARGOS COMPLEMENTARES E ENCARGOS SOCIAIS E.S 70,04%</v>
      </c>
      <c r="C21" s="173" t="str">
        <f>VLOOKUP(A21,ORÇAMENTO!A:K,5,0)</f>
        <v>MÊS</v>
      </c>
      <c r="D21" s="173">
        <f>SUM(E24:O24)</f>
        <v>6</v>
      </c>
      <c r="E21" s="173" t="s">
        <v>1718</v>
      </c>
      <c r="F21" s="173" t="s">
        <v>1719</v>
      </c>
      <c r="G21" s="173" t="s">
        <v>1720</v>
      </c>
      <c r="H21" s="173" t="s">
        <v>1721</v>
      </c>
      <c r="I21" s="173" t="s">
        <v>1722</v>
      </c>
      <c r="J21" s="173" t="s">
        <v>1723</v>
      </c>
      <c r="K21" s="173" t="s">
        <v>1724</v>
      </c>
      <c r="L21" s="173" t="s">
        <v>1725</v>
      </c>
      <c r="M21" s="173" t="s">
        <v>1726</v>
      </c>
      <c r="N21" s="173" t="s">
        <v>1727</v>
      </c>
      <c r="O21" s="173" t="s">
        <v>1728</v>
      </c>
      <c r="P21" s="169"/>
      <c r="Q21" s="169"/>
    </row>
    <row r="22" spans="1:17" s="170" customFormat="1" ht="10.5" x14ac:dyDescent="0.25">
      <c r="A22" s="175"/>
      <c r="B22" s="176" t="s">
        <v>4179</v>
      </c>
      <c r="C22" s="177"/>
      <c r="D22" s="178"/>
      <c r="E22" s="178"/>
      <c r="F22" s="178"/>
      <c r="G22" s="178"/>
      <c r="H22" s="178"/>
      <c r="I22" s="178"/>
      <c r="J22" s="178"/>
      <c r="K22" s="178"/>
      <c r="L22" s="178"/>
      <c r="M22" s="178">
        <f>M18/2</f>
        <v>6</v>
      </c>
      <c r="N22" s="178"/>
      <c r="O22" s="178"/>
      <c r="P22" s="179"/>
      <c r="Q22" s="169"/>
    </row>
    <row r="23" spans="1:17" s="170" customFormat="1" ht="10.5" x14ac:dyDescent="0.25">
      <c r="A23" s="175"/>
      <c r="B23" s="176"/>
      <c r="C23" s="177"/>
      <c r="D23" s="178"/>
      <c r="E23" s="178"/>
      <c r="F23" s="178"/>
      <c r="G23" s="178"/>
      <c r="H23" s="178"/>
      <c r="I23" s="178"/>
      <c r="J23" s="178"/>
      <c r="K23" s="178"/>
      <c r="L23" s="178"/>
      <c r="M23" s="178"/>
      <c r="N23" s="178"/>
      <c r="O23" s="178"/>
      <c r="P23" s="179"/>
      <c r="Q23" s="169"/>
    </row>
    <row r="24" spans="1:17" s="170" customFormat="1" ht="10.5" x14ac:dyDescent="0.25">
      <c r="A24" s="175"/>
      <c r="B24" s="181" t="s">
        <v>5</v>
      </c>
      <c r="C24" s="182" t="s">
        <v>1328</v>
      </c>
      <c r="D24" s="182"/>
      <c r="E24" s="182"/>
      <c r="F24" s="182"/>
      <c r="G24" s="182"/>
      <c r="H24" s="182"/>
      <c r="I24" s="182"/>
      <c r="J24" s="182"/>
      <c r="K24" s="182"/>
      <c r="L24" s="182"/>
      <c r="M24" s="182">
        <f>SUM(M22:M23)</f>
        <v>6</v>
      </c>
      <c r="O24" s="182"/>
      <c r="P24" s="183"/>
      <c r="Q24" s="169"/>
    </row>
    <row r="25" spans="1:17" s="170" customFormat="1" ht="10.5" x14ac:dyDescent="0.25">
      <c r="A25" s="165" t="str">
        <f>ORÇAMENTO!A12</f>
        <v xml:space="preserve"> 1.1.2 </v>
      </c>
      <c r="B25" s="166" t="str">
        <f>VLOOKUP(A25,ORÇAMENTO!A:K,4,0)</f>
        <v>VEICULOS EQUIPE TÉCNICA</v>
      </c>
      <c r="C25" s="167"/>
      <c r="D25" s="167"/>
      <c r="E25" s="168"/>
      <c r="F25" s="168"/>
      <c r="G25" s="168"/>
      <c r="H25" s="168"/>
      <c r="I25" s="168"/>
      <c r="J25" s="168"/>
      <c r="K25" s="168"/>
      <c r="L25" s="168"/>
      <c r="M25" s="168"/>
      <c r="N25" s="168"/>
      <c r="O25" s="168"/>
      <c r="P25" s="169"/>
      <c r="Q25" s="169"/>
    </row>
    <row r="26" spans="1:17" s="174" customFormat="1" ht="21" x14ac:dyDescent="0.25">
      <c r="A26" s="171" t="str">
        <f>ORÇAMENTO!A13</f>
        <v xml:space="preserve"> 1.1.2.1 </v>
      </c>
      <c r="B26" s="172" t="str">
        <f>VLOOKUP(A26,ORÇAMENTO!A:K,4,0)</f>
        <v>VEICULO LEVE - 53 KW  (SEM MOTORISTA)</v>
      </c>
      <c r="C26" s="173" t="str">
        <f>VLOOKUP(A26,ORÇAMENTO!A:K,5,0)</f>
        <v>MÊS</v>
      </c>
      <c r="D26" s="173">
        <f>SUM(E29:O29)</f>
        <v>12</v>
      </c>
      <c r="E26" s="173" t="s">
        <v>1718</v>
      </c>
      <c r="F26" s="173" t="s">
        <v>1719</v>
      </c>
      <c r="G26" s="173" t="s">
        <v>1720</v>
      </c>
      <c r="H26" s="173" t="s">
        <v>1721</v>
      </c>
      <c r="I26" s="173" t="s">
        <v>1722</v>
      </c>
      <c r="J26" s="173" t="s">
        <v>1723</v>
      </c>
      <c r="K26" s="173" t="s">
        <v>1724</v>
      </c>
      <c r="L26" s="173" t="s">
        <v>1725</v>
      </c>
      <c r="M26" s="173" t="s">
        <v>1726</v>
      </c>
      <c r="N26" s="173" t="s">
        <v>1727</v>
      </c>
      <c r="O26" s="173" t="s">
        <v>1728</v>
      </c>
      <c r="P26" s="169"/>
      <c r="Q26" s="169"/>
    </row>
    <row r="27" spans="1:17" s="170" customFormat="1" ht="10.5" x14ac:dyDescent="0.25">
      <c r="A27" s="175"/>
      <c r="B27" s="176" t="s">
        <v>4189</v>
      </c>
      <c r="C27" s="177"/>
      <c r="D27" s="178"/>
      <c r="E27" s="178"/>
      <c r="F27" s="178"/>
      <c r="G27" s="178"/>
      <c r="H27" s="178"/>
      <c r="I27" s="178"/>
      <c r="J27" s="178"/>
      <c r="K27" s="178"/>
      <c r="L27" s="178"/>
      <c r="M27" s="178">
        <f>M18</f>
        <v>12</v>
      </c>
      <c r="N27" s="178"/>
      <c r="O27" s="178"/>
      <c r="P27" s="179"/>
      <c r="Q27" s="169"/>
    </row>
    <row r="28" spans="1:17" s="170" customFormat="1" ht="10.5" x14ac:dyDescent="0.25">
      <c r="A28" s="175"/>
      <c r="B28" s="176"/>
      <c r="C28" s="177"/>
      <c r="D28" s="178"/>
      <c r="E28" s="178"/>
      <c r="F28" s="178"/>
      <c r="G28" s="178"/>
      <c r="H28" s="178"/>
      <c r="I28" s="178"/>
      <c r="J28" s="178"/>
      <c r="K28" s="178"/>
      <c r="L28" s="178"/>
      <c r="M28" s="178"/>
      <c r="N28" s="178"/>
      <c r="O28" s="178"/>
      <c r="P28" s="179"/>
      <c r="Q28" s="169"/>
    </row>
    <row r="29" spans="1:17" s="170" customFormat="1" ht="10.5" x14ac:dyDescent="0.25">
      <c r="A29" s="175"/>
      <c r="B29" s="181" t="s">
        <v>5</v>
      </c>
      <c r="C29" s="182" t="s">
        <v>1328</v>
      </c>
      <c r="D29" s="182"/>
      <c r="E29" s="182"/>
      <c r="F29" s="182"/>
      <c r="G29" s="182"/>
      <c r="H29" s="182"/>
      <c r="I29" s="182"/>
      <c r="J29" s="182"/>
      <c r="K29" s="182"/>
      <c r="L29" s="182"/>
      <c r="M29" s="182">
        <f>SUM(M27:M28)</f>
        <v>12</v>
      </c>
      <c r="O29" s="182"/>
      <c r="P29" s="183"/>
      <c r="Q29" s="169"/>
    </row>
    <row r="30" spans="1:17" s="170" customFormat="1" ht="10.5" x14ac:dyDescent="0.25">
      <c r="A30" s="165" t="str">
        <f>ORÇAMENTO!A14</f>
        <v xml:space="preserve"> 1.2 </v>
      </c>
      <c r="B30" s="166" t="str">
        <f>VLOOKUP(A30,ORÇAMENTO!A:K,4,0)</f>
        <v>EQUIPE GERENCIAL ADMINISTRATIVA</v>
      </c>
      <c r="C30" s="167"/>
      <c r="D30" s="167"/>
      <c r="E30" s="168"/>
      <c r="F30" s="168"/>
      <c r="G30" s="168"/>
      <c r="H30" s="168"/>
      <c r="I30" s="168"/>
      <c r="J30" s="168"/>
      <c r="K30" s="168"/>
      <c r="L30" s="168"/>
      <c r="M30" s="168"/>
      <c r="N30" s="168"/>
      <c r="O30" s="168"/>
      <c r="P30" s="169"/>
      <c r="Q30" s="169"/>
    </row>
    <row r="31" spans="1:17" s="174" customFormat="1" ht="21" x14ac:dyDescent="0.25">
      <c r="A31" s="171" t="str">
        <f>ORÇAMENTO!A15</f>
        <v xml:space="preserve"> 1.2.1 </v>
      </c>
      <c r="B31" s="172" t="str">
        <f>VLOOKUP(A31,ORÇAMENTO!A:K,4,0)</f>
        <v>AUXILIAR DE ESCRITORIO COM ENCARGOS COMPLEMENTARES</v>
      </c>
      <c r="C31" s="173" t="str">
        <f>VLOOKUP(A31,ORÇAMENTO!A:K,5,0)</f>
        <v>MES</v>
      </c>
      <c r="D31" s="173">
        <f>SUM(E34:O34)</f>
        <v>12</v>
      </c>
      <c r="E31" s="173" t="s">
        <v>1718</v>
      </c>
      <c r="F31" s="173" t="s">
        <v>1719</v>
      </c>
      <c r="G31" s="173" t="s">
        <v>1720</v>
      </c>
      <c r="H31" s="173" t="s">
        <v>1721</v>
      </c>
      <c r="I31" s="173" t="s">
        <v>1722</v>
      </c>
      <c r="J31" s="173" t="s">
        <v>1723</v>
      </c>
      <c r="K31" s="173" t="s">
        <v>1724</v>
      </c>
      <c r="L31" s="173" t="s">
        <v>1725</v>
      </c>
      <c r="M31" s="173" t="s">
        <v>1726</v>
      </c>
      <c r="N31" s="173" t="s">
        <v>1727</v>
      </c>
      <c r="O31" s="173" t="s">
        <v>1728</v>
      </c>
      <c r="P31" s="169"/>
      <c r="Q31" s="169"/>
    </row>
    <row r="32" spans="1:17" s="170" customFormat="1" ht="10.5" x14ac:dyDescent="0.25">
      <c r="A32" s="175"/>
      <c r="B32" s="176" t="s">
        <v>4180</v>
      </c>
      <c r="C32" s="177"/>
      <c r="D32" s="178"/>
      <c r="E32" s="178"/>
      <c r="F32" s="178"/>
      <c r="G32" s="178"/>
      <c r="H32" s="178"/>
      <c r="I32" s="178"/>
      <c r="J32" s="178"/>
      <c r="K32" s="178"/>
      <c r="L32" s="178"/>
      <c r="M32" s="178">
        <f>M27</f>
        <v>12</v>
      </c>
      <c r="N32" s="178"/>
      <c r="O32" s="178"/>
      <c r="P32" s="179"/>
      <c r="Q32" s="169"/>
    </row>
    <row r="33" spans="1:17" s="170" customFormat="1" ht="10.5" x14ac:dyDescent="0.25">
      <c r="A33" s="175"/>
      <c r="B33" s="176"/>
      <c r="C33" s="177"/>
      <c r="D33" s="178"/>
      <c r="E33" s="178"/>
      <c r="F33" s="178"/>
      <c r="G33" s="178"/>
      <c r="H33" s="178"/>
      <c r="I33" s="178"/>
      <c r="J33" s="178"/>
      <c r="K33" s="178"/>
      <c r="L33" s="178"/>
      <c r="M33" s="178"/>
      <c r="N33" s="178"/>
      <c r="O33" s="178"/>
      <c r="P33" s="179"/>
      <c r="Q33" s="169"/>
    </row>
    <row r="34" spans="1:17" s="170" customFormat="1" ht="10.5" x14ac:dyDescent="0.25">
      <c r="A34" s="175"/>
      <c r="B34" s="181" t="s">
        <v>5</v>
      </c>
      <c r="C34" s="182" t="s">
        <v>1328</v>
      </c>
      <c r="D34" s="182"/>
      <c r="E34" s="182"/>
      <c r="F34" s="182"/>
      <c r="G34" s="182"/>
      <c r="H34" s="182"/>
      <c r="I34" s="182"/>
      <c r="J34" s="182"/>
      <c r="K34" s="182"/>
      <c r="L34" s="182"/>
      <c r="M34" s="182">
        <f>SUM(M32:M33)</f>
        <v>12</v>
      </c>
      <c r="O34" s="182"/>
      <c r="P34" s="183"/>
      <c r="Q34" s="169"/>
    </row>
    <row r="35" spans="1:17" s="174" customFormat="1" ht="31.5" x14ac:dyDescent="0.25">
      <c r="A35" s="171" t="str">
        <f>ORÇAMENTO!A16</f>
        <v xml:space="preserve"> 1.2.2</v>
      </c>
      <c r="B35" s="172" t="str">
        <f>VLOOKUP(A35,ORÇAMENTO!A:K,4,0)</f>
        <v>VIGIA NOTURNO COM ENCARGOS COMPLEMENTARES (MENSALISTA) COM ADICIONAL DE PERICULOSIDADE</v>
      </c>
      <c r="C35" s="173" t="str">
        <f>VLOOKUP(A35,ORÇAMENTO!A:K,5,0)</f>
        <v>MÊS</v>
      </c>
      <c r="D35" s="173">
        <f>SUM(E38:O38)</f>
        <v>24</v>
      </c>
      <c r="E35" s="173" t="s">
        <v>1718</v>
      </c>
      <c r="F35" s="173" t="s">
        <v>1719</v>
      </c>
      <c r="G35" s="173" t="s">
        <v>1720</v>
      </c>
      <c r="H35" s="173" t="s">
        <v>1721</v>
      </c>
      <c r="I35" s="173" t="s">
        <v>1722</v>
      </c>
      <c r="J35" s="173" t="s">
        <v>1723</v>
      </c>
      <c r="K35" s="173" t="s">
        <v>1724</v>
      </c>
      <c r="L35" s="173" t="s">
        <v>1725</v>
      </c>
      <c r="M35" s="173" t="s">
        <v>1726</v>
      </c>
      <c r="N35" s="173" t="s">
        <v>1727</v>
      </c>
      <c r="O35" s="173" t="s">
        <v>1728</v>
      </c>
      <c r="P35" s="169"/>
      <c r="Q35" s="169"/>
    </row>
    <row r="36" spans="1:17" s="170" customFormat="1" ht="10.5" x14ac:dyDescent="0.25">
      <c r="A36" s="175"/>
      <c r="B36" s="176" t="s">
        <v>4181</v>
      </c>
      <c r="C36" s="177"/>
      <c r="D36" s="178"/>
      <c r="E36" s="178"/>
      <c r="F36" s="178"/>
      <c r="G36" s="178"/>
      <c r="H36" s="178"/>
      <c r="I36" s="178"/>
      <c r="J36" s="178"/>
      <c r="K36" s="178"/>
      <c r="L36" s="178"/>
      <c r="M36" s="178">
        <f>M32*2</f>
        <v>24</v>
      </c>
      <c r="N36" s="178"/>
      <c r="O36" s="178"/>
      <c r="P36" s="179"/>
      <c r="Q36" s="169"/>
    </row>
    <row r="37" spans="1:17" s="170" customFormat="1" ht="10.5" x14ac:dyDescent="0.25">
      <c r="A37" s="175"/>
      <c r="B37" s="176"/>
      <c r="C37" s="177"/>
      <c r="D37" s="178"/>
      <c r="E37" s="178"/>
      <c r="F37" s="178"/>
      <c r="G37" s="178"/>
      <c r="H37" s="178"/>
      <c r="I37" s="178"/>
      <c r="J37" s="178"/>
      <c r="K37" s="178"/>
      <c r="L37" s="178"/>
      <c r="M37" s="178"/>
      <c r="N37" s="178"/>
      <c r="O37" s="178"/>
      <c r="P37" s="179"/>
      <c r="Q37" s="169"/>
    </row>
    <row r="38" spans="1:17" s="170" customFormat="1" ht="10.5" x14ac:dyDescent="0.25">
      <c r="A38" s="175"/>
      <c r="B38" s="181" t="s">
        <v>5</v>
      </c>
      <c r="C38" s="182" t="s">
        <v>1328</v>
      </c>
      <c r="D38" s="182"/>
      <c r="E38" s="182"/>
      <c r="F38" s="182"/>
      <c r="G38" s="182"/>
      <c r="H38" s="182"/>
      <c r="I38" s="182"/>
      <c r="J38" s="182"/>
      <c r="K38" s="182"/>
      <c r="L38" s="182"/>
      <c r="M38" s="182">
        <f>SUM(M36:M37)</f>
        <v>24</v>
      </c>
      <c r="O38" s="182"/>
      <c r="P38" s="183"/>
      <c r="Q38" s="169"/>
    </row>
    <row r="39" spans="1:17" s="174" customFormat="1" ht="21" x14ac:dyDescent="0.25">
      <c r="A39" s="171" t="str">
        <f>ORÇAMENTO!A17</f>
        <v xml:space="preserve"> 1.2.3</v>
      </c>
      <c r="B39" s="172" t="str">
        <f>VLOOKUP(A39,ORÇAMENTO!A:K,4,0)</f>
        <v>VIGIA DIURNO COM ENCARGOS COMPLEMENTARES</v>
      </c>
      <c r="C39" s="173" t="str">
        <f>VLOOKUP(A39,ORÇAMENTO!A:K,5,0)</f>
        <v>MES</v>
      </c>
      <c r="D39" s="173">
        <f>SUM(E42:O42)</f>
        <v>12</v>
      </c>
      <c r="E39" s="173" t="s">
        <v>1718</v>
      </c>
      <c r="F39" s="173" t="s">
        <v>1719</v>
      </c>
      <c r="G39" s="173" t="s">
        <v>1720</v>
      </c>
      <c r="H39" s="173" t="s">
        <v>1721</v>
      </c>
      <c r="I39" s="173" t="s">
        <v>1722</v>
      </c>
      <c r="J39" s="173" t="s">
        <v>1723</v>
      </c>
      <c r="K39" s="173" t="s">
        <v>1724</v>
      </c>
      <c r="L39" s="173" t="s">
        <v>1725</v>
      </c>
      <c r="M39" s="173" t="s">
        <v>1726</v>
      </c>
      <c r="N39" s="173" t="s">
        <v>1727</v>
      </c>
      <c r="O39" s="173" t="s">
        <v>1728</v>
      </c>
      <c r="P39" s="169"/>
      <c r="Q39" s="169"/>
    </row>
    <row r="40" spans="1:17" s="170" customFormat="1" ht="10.5" x14ac:dyDescent="0.25">
      <c r="A40" s="175"/>
      <c r="B40" s="176" t="s">
        <v>4178</v>
      </c>
      <c r="C40" s="177"/>
      <c r="D40" s="178"/>
      <c r="E40" s="178"/>
      <c r="F40" s="178"/>
      <c r="G40" s="178"/>
      <c r="H40" s="178"/>
      <c r="I40" s="178"/>
      <c r="J40" s="178"/>
      <c r="K40" s="178"/>
      <c r="L40" s="178"/>
      <c r="M40" s="178">
        <f>M32</f>
        <v>12</v>
      </c>
      <c r="N40" s="178"/>
      <c r="O40" s="178"/>
      <c r="P40" s="179"/>
      <c r="Q40" s="169"/>
    </row>
    <row r="41" spans="1:17" s="170" customFormat="1" ht="10.5" x14ac:dyDescent="0.25">
      <c r="A41" s="175"/>
      <c r="B41" s="176"/>
      <c r="C41" s="177"/>
      <c r="D41" s="178"/>
      <c r="E41" s="178"/>
      <c r="F41" s="178"/>
      <c r="G41" s="178"/>
      <c r="H41" s="178"/>
      <c r="I41" s="178"/>
      <c r="J41" s="178"/>
      <c r="K41" s="178"/>
      <c r="L41" s="178"/>
      <c r="M41" s="178"/>
      <c r="N41" s="178"/>
      <c r="O41" s="178"/>
      <c r="P41" s="179"/>
      <c r="Q41" s="169"/>
    </row>
    <row r="42" spans="1:17" s="170" customFormat="1" ht="10.5" x14ac:dyDescent="0.25">
      <c r="A42" s="175"/>
      <c r="B42" s="181" t="s">
        <v>5</v>
      </c>
      <c r="C42" s="182" t="s">
        <v>1328</v>
      </c>
      <c r="D42" s="182"/>
      <c r="E42" s="182"/>
      <c r="F42" s="182"/>
      <c r="G42" s="182"/>
      <c r="H42" s="182"/>
      <c r="I42" s="182"/>
      <c r="J42" s="182"/>
      <c r="K42" s="182"/>
      <c r="L42" s="182"/>
      <c r="M42" s="182">
        <f>SUM(M40:M41)</f>
        <v>12</v>
      </c>
      <c r="O42" s="182"/>
      <c r="P42" s="183"/>
      <c r="Q42" s="169"/>
    </row>
    <row r="43" spans="1:17" s="170" customFormat="1" ht="10.5" x14ac:dyDescent="0.25">
      <c r="A43" s="165" t="str">
        <f>ORÇAMENTO!A18</f>
        <v xml:space="preserve"> 1.3 </v>
      </c>
      <c r="B43" s="166" t="str">
        <f>VLOOKUP(A43,ORÇAMENTO!A:K,4,0)</f>
        <v>EQUIPE DE PRODUÇÃO</v>
      </c>
      <c r="C43" s="167"/>
      <c r="D43" s="167"/>
      <c r="E43" s="168"/>
      <c r="F43" s="168"/>
      <c r="G43" s="168"/>
      <c r="H43" s="168"/>
      <c r="I43" s="168"/>
      <c r="J43" s="168"/>
      <c r="K43" s="168"/>
      <c r="L43" s="168"/>
      <c r="M43" s="168"/>
      <c r="N43" s="168"/>
      <c r="O43" s="168"/>
      <c r="P43" s="169"/>
      <c r="Q43" s="169"/>
    </row>
    <row r="44" spans="1:17" s="174" customFormat="1" ht="21" x14ac:dyDescent="0.25">
      <c r="A44" s="171" t="str">
        <f>ORÇAMENTO!A19</f>
        <v xml:space="preserve"> 1.3.1 </v>
      </c>
      <c r="B44" s="172" t="str">
        <f>VLOOKUP(A44,ORÇAMENTO!A:K,4,0)</f>
        <v>ENCARREGADO GERAL DE OBRAS COM ENCARGOS COMPLEMENTARES</v>
      </c>
      <c r="C44" s="173" t="str">
        <f>VLOOKUP(A44,ORÇAMENTO!A:K,5,0)</f>
        <v>MES</v>
      </c>
      <c r="D44" s="173">
        <f>SUM(E47:O47)</f>
        <v>24</v>
      </c>
      <c r="E44" s="173" t="s">
        <v>1718</v>
      </c>
      <c r="F44" s="173" t="s">
        <v>1719</v>
      </c>
      <c r="G44" s="173" t="s">
        <v>1720</v>
      </c>
      <c r="H44" s="173" t="s">
        <v>1721</v>
      </c>
      <c r="I44" s="173" t="s">
        <v>1722</v>
      </c>
      <c r="J44" s="173" t="s">
        <v>1723</v>
      </c>
      <c r="K44" s="173" t="s">
        <v>1724</v>
      </c>
      <c r="L44" s="173" t="s">
        <v>1725</v>
      </c>
      <c r="M44" s="173" t="s">
        <v>1726</v>
      </c>
      <c r="N44" s="173" t="s">
        <v>1727</v>
      </c>
      <c r="O44" s="173" t="s">
        <v>1728</v>
      </c>
      <c r="P44" s="169"/>
      <c r="Q44" s="169"/>
    </row>
    <row r="45" spans="1:17" s="170" customFormat="1" ht="21" x14ac:dyDescent="0.25">
      <c r="A45" s="175"/>
      <c r="B45" s="176" t="s">
        <v>4182</v>
      </c>
      <c r="C45" s="177"/>
      <c r="D45" s="178"/>
      <c r="E45" s="178"/>
      <c r="F45" s="178"/>
      <c r="G45" s="178"/>
      <c r="H45" s="178"/>
      <c r="I45" s="178"/>
      <c r="J45" s="178"/>
      <c r="K45" s="178"/>
      <c r="L45" s="178"/>
      <c r="M45" s="178">
        <f>M40*2</f>
        <v>24</v>
      </c>
      <c r="N45" s="178"/>
      <c r="O45" s="178"/>
      <c r="P45" s="179"/>
      <c r="Q45" s="169"/>
    </row>
    <row r="46" spans="1:17" s="170" customFormat="1" ht="10.5" x14ac:dyDescent="0.25">
      <c r="A46" s="175"/>
      <c r="B46" s="176"/>
      <c r="C46" s="177"/>
      <c r="D46" s="178"/>
      <c r="E46" s="178"/>
      <c r="F46" s="178"/>
      <c r="G46" s="178"/>
      <c r="H46" s="178"/>
      <c r="I46" s="178"/>
      <c r="J46" s="178"/>
      <c r="K46" s="178"/>
      <c r="L46" s="178"/>
      <c r="M46" s="178"/>
      <c r="N46" s="178"/>
      <c r="O46" s="178"/>
      <c r="P46" s="179"/>
      <c r="Q46" s="169"/>
    </row>
    <row r="47" spans="1:17" s="170" customFormat="1" ht="10.5" x14ac:dyDescent="0.25">
      <c r="A47" s="175"/>
      <c r="B47" s="181" t="s">
        <v>5</v>
      </c>
      <c r="C47" s="182" t="s">
        <v>1328</v>
      </c>
      <c r="D47" s="182"/>
      <c r="E47" s="182"/>
      <c r="F47" s="182"/>
      <c r="G47" s="182"/>
      <c r="H47" s="182"/>
      <c r="I47" s="182"/>
      <c r="J47" s="182"/>
      <c r="K47" s="182"/>
      <c r="L47" s="182"/>
      <c r="M47" s="182">
        <f>SUM(M45:M46)</f>
        <v>24</v>
      </c>
      <c r="O47" s="182"/>
      <c r="P47" s="183"/>
      <c r="Q47" s="169"/>
    </row>
    <row r="48" spans="1:17" s="174" customFormat="1" ht="21" x14ac:dyDescent="0.25">
      <c r="A48" s="171" t="str">
        <f>ORÇAMENTO!A20</f>
        <v xml:space="preserve"> 1.3.2</v>
      </c>
      <c r="B48" s="172" t="str">
        <f>VLOOKUP(A48,ORÇAMENTO!A:K,4,0)</f>
        <v>APONTADOR OU APROPRIADOR COM ENCARGOS COMPLEMENTARES</v>
      </c>
      <c r="C48" s="173" t="str">
        <f>VLOOKUP(A48,ORÇAMENTO!A:K,5,0)</f>
        <v>MES</v>
      </c>
      <c r="D48" s="173">
        <f>SUM(E51:O51)</f>
        <v>12</v>
      </c>
      <c r="E48" s="173" t="s">
        <v>1718</v>
      </c>
      <c r="F48" s="173" t="s">
        <v>1719</v>
      </c>
      <c r="G48" s="173" t="s">
        <v>1720</v>
      </c>
      <c r="H48" s="173" t="s">
        <v>1721</v>
      </c>
      <c r="I48" s="173" t="s">
        <v>1722</v>
      </c>
      <c r="J48" s="173" t="s">
        <v>1723</v>
      </c>
      <c r="K48" s="173" t="s">
        <v>1724</v>
      </c>
      <c r="L48" s="173" t="s">
        <v>1725</v>
      </c>
      <c r="M48" s="173" t="s">
        <v>1726</v>
      </c>
      <c r="N48" s="173" t="s">
        <v>1727</v>
      </c>
      <c r="O48" s="173" t="s">
        <v>1728</v>
      </c>
      <c r="P48" s="169"/>
      <c r="Q48" s="169"/>
    </row>
    <row r="49" spans="1:17" s="170" customFormat="1" ht="10.5" x14ac:dyDescent="0.25">
      <c r="A49" s="175"/>
      <c r="B49" s="176" t="s">
        <v>4183</v>
      </c>
      <c r="C49" s="177"/>
      <c r="D49" s="178"/>
      <c r="E49" s="178"/>
      <c r="F49" s="178"/>
      <c r="G49" s="178"/>
      <c r="H49" s="178"/>
      <c r="I49" s="178"/>
      <c r="J49" s="178"/>
      <c r="K49" s="178"/>
      <c r="L49" s="178"/>
      <c r="M49" s="178">
        <f>M40</f>
        <v>12</v>
      </c>
      <c r="N49" s="178"/>
      <c r="O49" s="178"/>
      <c r="P49" s="179"/>
      <c r="Q49" s="169"/>
    </row>
    <row r="50" spans="1:17" s="170" customFormat="1" ht="10.5" x14ac:dyDescent="0.25">
      <c r="A50" s="175"/>
      <c r="B50" s="176"/>
      <c r="C50" s="177"/>
      <c r="D50" s="178"/>
      <c r="E50" s="178"/>
      <c r="F50" s="178"/>
      <c r="G50" s="178"/>
      <c r="H50" s="178"/>
      <c r="I50" s="178"/>
      <c r="J50" s="178"/>
      <c r="K50" s="178"/>
      <c r="L50" s="178"/>
      <c r="M50" s="178"/>
      <c r="N50" s="178"/>
      <c r="O50" s="178"/>
      <c r="P50" s="179"/>
      <c r="Q50" s="169"/>
    </row>
    <row r="51" spans="1:17" s="170" customFormat="1" ht="10.5" x14ac:dyDescent="0.25">
      <c r="A51" s="175"/>
      <c r="B51" s="181" t="s">
        <v>5</v>
      </c>
      <c r="C51" s="182" t="s">
        <v>1328</v>
      </c>
      <c r="D51" s="182"/>
      <c r="E51" s="182"/>
      <c r="F51" s="182"/>
      <c r="G51" s="182"/>
      <c r="H51" s="182"/>
      <c r="I51" s="182"/>
      <c r="J51" s="182"/>
      <c r="K51" s="182"/>
      <c r="L51" s="182"/>
      <c r="M51" s="182">
        <f>SUM(M49:M50)</f>
        <v>12</v>
      </c>
      <c r="O51" s="182"/>
      <c r="P51" s="183"/>
      <c r="Q51" s="169"/>
    </row>
    <row r="52" spans="1:17" s="174" customFormat="1" ht="21" x14ac:dyDescent="0.25">
      <c r="A52" s="171" t="str">
        <f>ORÇAMENTO!A21</f>
        <v xml:space="preserve"> 1.3.3</v>
      </c>
      <c r="B52" s="172" t="str">
        <f>VLOOKUP(A52,ORÇAMENTO!A:K,4,0)</f>
        <v>ALMOXARIFE COM ENCARGOS COMPLEMENTARES</v>
      </c>
      <c r="C52" s="173" t="str">
        <f>VLOOKUP(A52,ORÇAMENTO!A:K,5,0)</f>
        <v>MES</v>
      </c>
      <c r="D52" s="173">
        <f>SUM(E55:O55)</f>
        <v>12</v>
      </c>
      <c r="E52" s="173" t="s">
        <v>1718</v>
      </c>
      <c r="F52" s="173" t="s">
        <v>1719</v>
      </c>
      <c r="G52" s="173" t="s">
        <v>1720</v>
      </c>
      <c r="H52" s="173" t="s">
        <v>1721</v>
      </c>
      <c r="I52" s="173" t="s">
        <v>1722</v>
      </c>
      <c r="J52" s="173" t="s">
        <v>1723</v>
      </c>
      <c r="K52" s="173" t="s">
        <v>1724</v>
      </c>
      <c r="L52" s="173" t="s">
        <v>1725</v>
      </c>
      <c r="M52" s="173" t="s">
        <v>1726</v>
      </c>
      <c r="N52" s="173" t="s">
        <v>1727</v>
      </c>
      <c r="O52" s="173" t="s">
        <v>1728</v>
      </c>
      <c r="P52" s="169"/>
      <c r="Q52" s="169"/>
    </row>
    <row r="53" spans="1:17" s="170" customFormat="1" ht="10.5" x14ac:dyDescent="0.25">
      <c r="A53" s="175"/>
      <c r="B53" s="176" t="s">
        <v>4183</v>
      </c>
      <c r="C53" s="177"/>
      <c r="D53" s="178"/>
      <c r="E53" s="178"/>
      <c r="F53" s="178"/>
      <c r="G53" s="178"/>
      <c r="H53" s="178"/>
      <c r="I53" s="178"/>
      <c r="J53" s="178"/>
      <c r="K53" s="178"/>
      <c r="L53" s="178"/>
      <c r="M53" s="178">
        <f>M49</f>
        <v>12</v>
      </c>
      <c r="N53" s="178"/>
      <c r="O53" s="178"/>
      <c r="P53" s="179"/>
      <c r="Q53" s="169"/>
    </row>
    <row r="54" spans="1:17" s="170" customFormat="1" ht="10.5" x14ac:dyDescent="0.25">
      <c r="A54" s="175"/>
      <c r="B54" s="176"/>
      <c r="C54" s="177"/>
      <c r="D54" s="178"/>
      <c r="E54" s="178"/>
      <c r="F54" s="178"/>
      <c r="G54" s="178"/>
      <c r="H54" s="178"/>
      <c r="I54" s="178"/>
      <c r="J54" s="178"/>
      <c r="K54" s="178"/>
      <c r="L54" s="178"/>
      <c r="M54" s="178"/>
      <c r="N54" s="178"/>
      <c r="O54" s="178"/>
      <c r="P54" s="179"/>
      <c r="Q54" s="169"/>
    </row>
    <row r="55" spans="1:17" s="170" customFormat="1" ht="10.5" x14ac:dyDescent="0.25">
      <c r="A55" s="175"/>
      <c r="B55" s="181" t="s">
        <v>5</v>
      </c>
      <c r="C55" s="182" t="s">
        <v>1328</v>
      </c>
      <c r="D55" s="182"/>
      <c r="E55" s="182"/>
      <c r="F55" s="182"/>
      <c r="G55" s="182"/>
      <c r="H55" s="182"/>
      <c r="I55" s="182"/>
      <c r="J55" s="182"/>
      <c r="K55" s="182"/>
      <c r="L55" s="182"/>
      <c r="M55" s="182">
        <f>SUM(M53:M54)</f>
        <v>12</v>
      </c>
      <c r="O55" s="182"/>
      <c r="P55" s="183"/>
      <c r="Q55" s="169"/>
    </row>
    <row r="56" spans="1:17" s="174" customFormat="1" ht="21" x14ac:dyDescent="0.25">
      <c r="A56" s="171" t="str">
        <f>ORÇAMENTO!A22</f>
        <v xml:space="preserve"> 1.3.4</v>
      </c>
      <c r="B56" s="172" t="str">
        <f>VLOOKUP(A56,ORÇAMENTO!A:K,4,0)</f>
        <v>AUXILIAR DE ALMOXARIFE COM ENCARGOS COMPLEMENTARES</v>
      </c>
      <c r="C56" s="173" t="str">
        <f>VLOOKUP(A56,ORÇAMENTO!A:K,5,0)</f>
        <v>MES</v>
      </c>
      <c r="D56" s="173">
        <f>SUM(E59:O59)</f>
        <v>12</v>
      </c>
      <c r="E56" s="173" t="s">
        <v>1718</v>
      </c>
      <c r="F56" s="173" t="s">
        <v>1719</v>
      </c>
      <c r="G56" s="173" t="s">
        <v>1720</v>
      </c>
      <c r="H56" s="173" t="s">
        <v>1721</v>
      </c>
      <c r="I56" s="173" t="s">
        <v>1722</v>
      </c>
      <c r="J56" s="173" t="s">
        <v>1723</v>
      </c>
      <c r="K56" s="173" t="s">
        <v>1724</v>
      </c>
      <c r="L56" s="173" t="s">
        <v>1725</v>
      </c>
      <c r="M56" s="173" t="s">
        <v>1726</v>
      </c>
      <c r="N56" s="173" t="s">
        <v>1727</v>
      </c>
      <c r="O56" s="173" t="s">
        <v>1728</v>
      </c>
      <c r="P56" s="169"/>
      <c r="Q56" s="169"/>
    </row>
    <row r="57" spans="1:17" s="170" customFormat="1" ht="10.5" x14ac:dyDescent="0.25">
      <c r="A57" s="175"/>
      <c r="B57" s="176" t="s">
        <v>4183</v>
      </c>
      <c r="C57" s="177"/>
      <c r="D57" s="178"/>
      <c r="E57" s="178"/>
      <c r="F57" s="178"/>
      <c r="G57" s="178"/>
      <c r="H57" s="178"/>
      <c r="I57" s="178"/>
      <c r="J57" s="178"/>
      <c r="K57" s="178"/>
      <c r="L57" s="178"/>
      <c r="M57" s="178">
        <f>M53</f>
        <v>12</v>
      </c>
      <c r="N57" s="178"/>
      <c r="O57" s="178"/>
      <c r="P57" s="179"/>
      <c r="Q57" s="169"/>
    </row>
    <row r="58" spans="1:17" s="170" customFormat="1" ht="10.5" x14ac:dyDescent="0.25">
      <c r="A58" s="175"/>
      <c r="B58" s="176"/>
      <c r="C58" s="177"/>
      <c r="D58" s="178"/>
      <c r="E58" s="178"/>
      <c r="F58" s="178"/>
      <c r="G58" s="178"/>
      <c r="H58" s="178"/>
      <c r="I58" s="178"/>
      <c r="J58" s="178"/>
      <c r="K58" s="178"/>
      <c r="L58" s="178"/>
      <c r="M58" s="178"/>
      <c r="N58" s="178"/>
      <c r="O58" s="178"/>
      <c r="P58" s="179"/>
      <c r="Q58" s="169"/>
    </row>
    <row r="59" spans="1:17" s="170" customFormat="1" ht="10.5" x14ac:dyDescent="0.25">
      <c r="A59" s="175"/>
      <c r="B59" s="181" t="s">
        <v>5</v>
      </c>
      <c r="C59" s="182" t="s">
        <v>1328</v>
      </c>
      <c r="D59" s="182"/>
      <c r="E59" s="182"/>
      <c r="F59" s="182"/>
      <c r="G59" s="182"/>
      <c r="H59" s="182"/>
      <c r="I59" s="182"/>
      <c r="J59" s="182"/>
      <c r="K59" s="182"/>
      <c r="L59" s="182"/>
      <c r="M59" s="182">
        <f>SUM(M57:M58)</f>
        <v>12</v>
      </c>
      <c r="O59" s="182"/>
      <c r="P59" s="183"/>
      <c r="Q59" s="169"/>
    </row>
    <row r="60" spans="1:17" s="170" customFormat="1" ht="10.5" x14ac:dyDescent="0.25">
      <c r="A60" s="165" t="str">
        <f>ORÇAMENTO!A23</f>
        <v xml:space="preserve"> 1.4 </v>
      </c>
      <c r="B60" s="166" t="str">
        <f>VLOOKUP(A60,ORÇAMENTO!A:K,4,0)</f>
        <v>EQUIPE DE TOPOGRAFIA</v>
      </c>
      <c r="C60" s="167"/>
      <c r="D60" s="167"/>
      <c r="E60" s="168"/>
      <c r="F60" s="168"/>
      <c r="G60" s="168"/>
      <c r="H60" s="168"/>
      <c r="I60" s="168"/>
      <c r="J60" s="168"/>
      <c r="K60" s="168"/>
      <c r="L60" s="168"/>
      <c r="M60" s="168"/>
      <c r="N60" s="168"/>
      <c r="O60" s="168"/>
      <c r="P60" s="169"/>
      <c r="Q60" s="169"/>
    </row>
    <row r="61" spans="1:17" s="170" customFormat="1" ht="10.5" x14ac:dyDescent="0.25">
      <c r="A61" s="165" t="str">
        <f>ORÇAMENTO!A24</f>
        <v xml:space="preserve"> 1.4.1 </v>
      </c>
      <c r="B61" s="166" t="str">
        <f>VLOOKUP(A61,ORÇAMENTO!A:K,4,0)</f>
        <v>MÃO DE OBRA EQUIPE DE TOPOGRAFIA</v>
      </c>
      <c r="C61" s="167"/>
      <c r="D61" s="167"/>
      <c r="E61" s="168"/>
      <c r="F61" s="168"/>
      <c r="G61" s="168"/>
      <c r="H61" s="168"/>
      <c r="I61" s="168"/>
      <c r="J61" s="168"/>
      <c r="K61" s="168"/>
      <c r="L61" s="168"/>
      <c r="M61" s="168"/>
      <c r="N61" s="168"/>
      <c r="O61" s="168"/>
      <c r="P61" s="169"/>
      <c r="Q61" s="169"/>
    </row>
    <row r="62" spans="1:17" s="174" customFormat="1" ht="21" x14ac:dyDescent="0.25">
      <c r="A62" s="171" t="str">
        <f>ORÇAMENTO!A25</f>
        <v xml:space="preserve"> 1.4.1.1 </v>
      </c>
      <c r="B62" s="172" t="str">
        <f>VLOOKUP(A62,ORÇAMENTO!A:K,4,0)</f>
        <v>TOPOGRAFO COM ENCARGOS COMPLEMENTARES</v>
      </c>
      <c r="C62" s="173" t="str">
        <f>VLOOKUP(A62,ORÇAMENTO!A:K,5,0)</f>
        <v>MES</v>
      </c>
      <c r="D62" s="173">
        <f>SUM(E65:O65)</f>
        <v>12</v>
      </c>
      <c r="E62" s="173" t="s">
        <v>1718</v>
      </c>
      <c r="F62" s="173" t="s">
        <v>1719</v>
      </c>
      <c r="G62" s="173" t="s">
        <v>1720</v>
      </c>
      <c r="H62" s="173" t="s">
        <v>1721</v>
      </c>
      <c r="I62" s="173" t="s">
        <v>1722</v>
      </c>
      <c r="J62" s="173" t="s">
        <v>1723</v>
      </c>
      <c r="K62" s="173" t="s">
        <v>1724</v>
      </c>
      <c r="L62" s="173" t="s">
        <v>1725</v>
      </c>
      <c r="M62" s="173" t="s">
        <v>1726</v>
      </c>
      <c r="N62" s="173" t="s">
        <v>1727</v>
      </c>
      <c r="O62" s="173" t="s">
        <v>1728</v>
      </c>
      <c r="P62" s="169"/>
      <c r="Q62" s="169"/>
    </row>
    <row r="63" spans="1:17" s="170" customFormat="1" ht="10.5" x14ac:dyDescent="0.25">
      <c r="A63" s="175"/>
      <c r="B63" s="176" t="s">
        <v>4184</v>
      </c>
      <c r="C63" s="177"/>
      <c r="D63" s="178"/>
      <c r="E63" s="178"/>
      <c r="F63" s="178"/>
      <c r="G63" s="178"/>
      <c r="H63" s="178"/>
      <c r="I63" s="178"/>
      <c r="J63" s="178"/>
      <c r="K63" s="178"/>
      <c r="L63" s="178"/>
      <c r="M63" s="178">
        <f>M57</f>
        <v>12</v>
      </c>
      <c r="N63" s="178"/>
      <c r="O63" s="178"/>
      <c r="P63" s="179"/>
      <c r="Q63" s="169"/>
    </row>
    <row r="64" spans="1:17" s="170" customFormat="1" ht="10.5" x14ac:dyDescent="0.25">
      <c r="A64" s="175"/>
      <c r="B64" s="176"/>
      <c r="C64" s="177"/>
      <c r="D64" s="178"/>
      <c r="E64" s="178"/>
      <c r="F64" s="178"/>
      <c r="G64" s="178"/>
      <c r="H64" s="178"/>
      <c r="I64" s="178"/>
      <c r="J64" s="178"/>
      <c r="K64" s="178"/>
      <c r="L64" s="178"/>
      <c r="M64" s="178"/>
      <c r="N64" s="178"/>
      <c r="O64" s="178"/>
      <c r="P64" s="179"/>
      <c r="Q64" s="169"/>
    </row>
    <row r="65" spans="1:17" s="170" customFormat="1" ht="10.5" x14ac:dyDescent="0.25">
      <c r="A65" s="175"/>
      <c r="B65" s="181" t="s">
        <v>5</v>
      </c>
      <c r="C65" s="182" t="s">
        <v>1328</v>
      </c>
      <c r="D65" s="182"/>
      <c r="E65" s="182"/>
      <c r="F65" s="182"/>
      <c r="G65" s="182"/>
      <c r="H65" s="182"/>
      <c r="I65" s="182"/>
      <c r="J65" s="182"/>
      <c r="K65" s="182"/>
      <c r="L65" s="182"/>
      <c r="M65" s="182">
        <f>SUM(M63:M64)</f>
        <v>12</v>
      </c>
      <c r="O65" s="182"/>
      <c r="P65" s="183"/>
      <c r="Q65" s="169"/>
    </row>
    <row r="66" spans="1:17" s="174" customFormat="1" ht="21" x14ac:dyDescent="0.25">
      <c r="A66" s="171" t="str">
        <f>ORÇAMENTO!A26</f>
        <v xml:space="preserve"> 1.4.1.2 </v>
      </c>
      <c r="B66" s="172" t="str">
        <f>VLOOKUP(A66,ORÇAMENTO!A:K,4,0)</f>
        <v>AUXILIAR DE TOPÓGRAFO COM ENCARGOS COMPLEMENTARES</v>
      </c>
      <c r="C66" s="173" t="str">
        <f>VLOOKUP(A66,ORÇAMENTO!A:K,5,0)</f>
        <v>MES</v>
      </c>
      <c r="D66" s="173">
        <f>SUM(E69:O69)</f>
        <v>12</v>
      </c>
      <c r="E66" s="173" t="s">
        <v>1718</v>
      </c>
      <c r="F66" s="173" t="s">
        <v>1719</v>
      </c>
      <c r="G66" s="173" t="s">
        <v>1720</v>
      </c>
      <c r="H66" s="173" t="s">
        <v>1721</v>
      </c>
      <c r="I66" s="173" t="s">
        <v>1722</v>
      </c>
      <c r="J66" s="173" t="s">
        <v>1723</v>
      </c>
      <c r="K66" s="173" t="s">
        <v>1724</v>
      </c>
      <c r="L66" s="173" t="s">
        <v>1725</v>
      </c>
      <c r="M66" s="173" t="s">
        <v>1726</v>
      </c>
      <c r="N66" s="173" t="s">
        <v>1727</v>
      </c>
      <c r="O66" s="173" t="s">
        <v>1728</v>
      </c>
      <c r="P66" s="169"/>
      <c r="Q66" s="169"/>
    </row>
    <row r="67" spans="1:17" s="170" customFormat="1" ht="10.5" x14ac:dyDescent="0.25">
      <c r="A67" s="175"/>
      <c r="B67" s="176" t="s">
        <v>4185</v>
      </c>
      <c r="C67" s="177"/>
      <c r="D67" s="178"/>
      <c r="E67" s="178"/>
      <c r="F67" s="178"/>
      <c r="G67" s="178"/>
      <c r="H67" s="178"/>
      <c r="I67" s="178"/>
      <c r="J67" s="178"/>
      <c r="K67" s="178"/>
      <c r="L67" s="178"/>
      <c r="M67" s="178">
        <f>M63</f>
        <v>12</v>
      </c>
      <c r="N67" s="178"/>
      <c r="O67" s="178"/>
      <c r="P67" s="179"/>
      <c r="Q67" s="169"/>
    </row>
    <row r="68" spans="1:17" s="170" customFormat="1" ht="10.5" x14ac:dyDescent="0.25">
      <c r="A68" s="175"/>
      <c r="B68" s="176"/>
      <c r="C68" s="177"/>
      <c r="D68" s="178"/>
      <c r="E68" s="178"/>
      <c r="F68" s="178"/>
      <c r="G68" s="178"/>
      <c r="H68" s="178"/>
      <c r="I68" s="178"/>
      <c r="J68" s="178"/>
      <c r="K68" s="178"/>
      <c r="L68" s="178"/>
      <c r="M68" s="178"/>
      <c r="N68" s="178"/>
      <c r="O68" s="178"/>
      <c r="P68" s="179"/>
      <c r="Q68" s="169"/>
    </row>
    <row r="69" spans="1:17" s="170" customFormat="1" ht="10.5" x14ac:dyDescent="0.25">
      <c r="A69" s="175"/>
      <c r="B69" s="181" t="s">
        <v>5</v>
      </c>
      <c r="C69" s="182" t="s">
        <v>1328</v>
      </c>
      <c r="D69" s="182"/>
      <c r="E69" s="182"/>
      <c r="F69" s="182"/>
      <c r="G69" s="182"/>
      <c r="H69" s="182"/>
      <c r="I69" s="182"/>
      <c r="J69" s="182"/>
      <c r="K69" s="182"/>
      <c r="L69" s="182"/>
      <c r="M69" s="182">
        <f>SUM(M67:M68)</f>
        <v>12</v>
      </c>
      <c r="O69" s="182"/>
      <c r="P69" s="183"/>
      <c r="Q69" s="169"/>
    </row>
    <row r="70" spans="1:17" s="170" customFormat="1" ht="10.5" x14ac:dyDescent="0.25">
      <c r="A70" s="165" t="str">
        <f>ORÇAMENTO!A27</f>
        <v xml:space="preserve"> 1.4.2 </v>
      </c>
      <c r="B70" s="166" t="str">
        <f>VLOOKUP(A70,ORÇAMENTO!A:K,4,0)</f>
        <v>VEICULOS EQUIPE TOPOGRAFIA</v>
      </c>
      <c r="C70" s="167"/>
      <c r="D70" s="167"/>
      <c r="E70" s="168"/>
      <c r="F70" s="168"/>
      <c r="G70" s="168"/>
      <c r="H70" s="168"/>
      <c r="I70" s="168"/>
      <c r="J70" s="168"/>
      <c r="K70" s="168"/>
      <c r="L70" s="168"/>
      <c r="M70" s="168"/>
      <c r="N70" s="168"/>
      <c r="O70" s="168"/>
      <c r="P70" s="169"/>
      <c r="Q70" s="169"/>
    </row>
    <row r="71" spans="1:17" s="174" customFormat="1" ht="21" x14ac:dyDescent="0.25">
      <c r="A71" s="171" t="str">
        <f>ORÇAMENTO!A28</f>
        <v xml:space="preserve"> 1.4.2.1 </v>
      </c>
      <c r="B71" s="172" t="str">
        <f>VLOOKUP(A71,ORÇAMENTO!A:K,4,0)</f>
        <v>VAN FURGÃO - 93KW</v>
      </c>
      <c r="C71" s="173" t="str">
        <f>VLOOKUP(A71,ORÇAMENTO!A:K,5,0)</f>
        <v>MÊS</v>
      </c>
      <c r="D71" s="173">
        <f>SUM(E74:O74)</f>
        <v>12</v>
      </c>
      <c r="E71" s="173" t="s">
        <v>1718</v>
      </c>
      <c r="F71" s="173" t="s">
        <v>1719</v>
      </c>
      <c r="G71" s="173" t="s">
        <v>1720</v>
      </c>
      <c r="H71" s="173" t="s">
        <v>1721</v>
      </c>
      <c r="I71" s="173" t="s">
        <v>1722</v>
      </c>
      <c r="J71" s="173" t="s">
        <v>1723</v>
      </c>
      <c r="K71" s="173" t="s">
        <v>1724</v>
      </c>
      <c r="L71" s="173" t="s">
        <v>1725</v>
      </c>
      <c r="M71" s="173" t="s">
        <v>1726</v>
      </c>
      <c r="N71" s="173" t="s">
        <v>1727</v>
      </c>
      <c r="O71" s="173" t="s">
        <v>1728</v>
      </c>
      <c r="P71" s="169"/>
      <c r="Q71" s="169"/>
    </row>
    <row r="72" spans="1:17" s="170" customFormat="1" ht="10.5" x14ac:dyDescent="0.25">
      <c r="A72" s="175"/>
      <c r="B72" s="176" t="s">
        <v>4190</v>
      </c>
      <c r="C72" s="177"/>
      <c r="D72" s="178"/>
      <c r="E72" s="178"/>
      <c r="F72" s="178"/>
      <c r="G72" s="178"/>
      <c r="H72" s="178"/>
      <c r="I72" s="178"/>
      <c r="J72" s="178"/>
      <c r="K72" s="178"/>
      <c r="L72" s="178"/>
      <c r="M72" s="178">
        <f>M67</f>
        <v>12</v>
      </c>
      <c r="N72" s="178"/>
      <c r="O72" s="178"/>
      <c r="P72" s="179"/>
      <c r="Q72" s="169"/>
    </row>
    <row r="73" spans="1:17" s="170" customFormat="1" ht="10.5" x14ac:dyDescent="0.25">
      <c r="A73" s="175"/>
      <c r="B73" s="176"/>
      <c r="C73" s="177"/>
      <c r="D73" s="178"/>
      <c r="E73" s="178"/>
      <c r="F73" s="178"/>
      <c r="G73" s="178"/>
      <c r="H73" s="178"/>
      <c r="I73" s="178"/>
      <c r="J73" s="178"/>
      <c r="K73" s="178"/>
      <c r="L73" s="178"/>
      <c r="M73" s="178"/>
      <c r="N73" s="178"/>
      <c r="O73" s="178"/>
      <c r="P73" s="179"/>
      <c r="Q73" s="169"/>
    </row>
    <row r="74" spans="1:17" s="170" customFormat="1" ht="10.5" x14ac:dyDescent="0.25">
      <c r="A74" s="175"/>
      <c r="B74" s="181" t="s">
        <v>5</v>
      </c>
      <c r="C74" s="182" t="s">
        <v>1328</v>
      </c>
      <c r="D74" s="182"/>
      <c r="E74" s="182"/>
      <c r="F74" s="182"/>
      <c r="G74" s="182"/>
      <c r="H74" s="182"/>
      <c r="I74" s="182"/>
      <c r="J74" s="182"/>
      <c r="K74" s="182"/>
      <c r="L74" s="182"/>
      <c r="M74" s="182">
        <f>SUM(M72:M73)</f>
        <v>12</v>
      </c>
      <c r="O74" s="182"/>
      <c r="P74" s="183"/>
      <c r="Q74" s="169"/>
    </row>
    <row r="75" spans="1:17" s="170" customFormat="1" ht="10.5" x14ac:dyDescent="0.25">
      <c r="A75" s="165" t="str">
        <f>ORÇAMENTO!A29</f>
        <v xml:space="preserve"> 1.5 </v>
      </c>
      <c r="B75" s="166" t="str">
        <f>VLOOKUP(A75,ORÇAMENTO!A:K,4,0)</f>
        <v>DETALHAMENTO PROJETO DRENAGEM</v>
      </c>
      <c r="C75" s="167"/>
      <c r="D75" s="167"/>
      <c r="E75" s="168"/>
      <c r="F75" s="168"/>
      <c r="G75" s="168"/>
      <c r="H75" s="168"/>
      <c r="I75" s="168"/>
      <c r="J75" s="168"/>
      <c r="K75" s="168"/>
      <c r="L75" s="168"/>
      <c r="M75" s="168"/>
      <c r="N75" s="168"/>
      <c r="O75" s="168"/>
      <c r="P75" s="169"/>
      <c r="Q75" s="169"/>
    </row>
    <row r="76" spans="1:17" s="174" customFormat="1" ht="21" x14ac:dyDescent="0.25">
      <c r="A76" s="171" t="str">
        <f>ORÇAMENTO!A30</f>
        <v xml:space="preserve"> 1.5.1 </v>
      </c>
      <c r="B76" s="172" t="str">
        <f>VLOOKUP(A76,ORÇAMENTO!A:K,4,0)</f>
        <v>ENGENHEIRO CIVIL DE OBRA SENIOR COM ENCARGOS COMPLEMENTARES</v>
      </c>
      <c r="C76" s="173" t="str">
        <f>VLOOKUP(A76,ORÇAMENTO!A:K,5,0)</f>
        <v>MES</v>
      </c>
      <c r="D76" s="173">
        <f>SUM(E79:O79)</f>
        <v>1</v>
      </c>
      <c r="E76" s="173" t="s">
        <v>1718</v>
      </c>
      <c r="F76" s="173" t="s">
        <v>1719</v>
      </c>
      <c r="G76" s="173" t="s">
        <v>1720</v>
      </c>
      <c r="H76" s="173" t="s">
        <v>1721</v>
      </c>
      <c r="I76" s="173" t="s">
        <v>1722</v>
      </c>
      <c r="J76" s="173" t="s">
        <v>1723</v>
      </c>
      <c r="K76" s="173" t="s">
        <v>1724</v>
      </c>
      <c r="L76" s="173" t="s">
        <v>1725</v>
      </c>
      <c r="M76" s="173" t="s">
        <v>1726</v>
      </c>
      <c r="N76" s="173" t="s">
        <v>1727</v>
      </c>
      <c r="O76" s="173" t="s">
        <v>1728</v>
      </c>
      <c r="P76" s="169"/>
      <c r="Q76" s="169"/>
    </row>
    <row r="77" spans="1:17" s="170" customFormat="1" ht="21" x14ac:dyDescent="0.25">
      <c r="A77" s="175"/>
      <c r="B77" s="176" t="s">
        <v>4186</v>
      </c>
      <c r="C77" s="177"/>
      <c r="D77" s="178"/>
      <c r="E77" s="178"/>
      <c r="F77" s="178"/>
      <c r="G77" s="178"/>
      <c r="H77" s="178"/>
      <c r="I77" s="178"/>
      <c r="J77" s="178"/>
      <c r="K77" s="178"/>
      <c r="L77" s="178"/>
      <c r="M77" s="178">
        <v>1</v>
      </c>
      <c r="N77" s="178"/>
      <c r="O77" s="178"/>
      <c r="P77" s="179"/>
      <c r="Q77" s="169"/>
    </row>
    <row r="78" spans="1:17" s="170" customFormat="1" ht="10.5" x14ac:dyDescent="0.25">
      <c r="A78" s="175"/>
      <c r="B78" s="176"/>
      <c r="C78" s="177"/>
      <c r="D78" s="178"/>
      <c r="E78" s="178"/>
      <c r="F78" s="178"/>
      <c r="G78" s="178"/>
      <c r="H78" s="178"/>
      <c r="I78" s="178"/>
      <c r="J78" s="178"/>
      <c r="K78" s="178"/>
      <c r="L78" s="178"/>
      <c r="M78" s="178"/>
      <c r="N78" s="178"/>
      <c r="O78" s="178"/>
      <c r="P78" s="179"/>
      <c r="Q78" s="169"/>
    </row>
    <row r="79" spans="1:17" s="170" customFormat="1" ht="10.5" x14ac:dyDescent="0.25">
      <c r="A79" s="175"/>
      <c r="B79" s="181" t="s">
        <v>5</v>
      </c>
      <c r="C79" s="182" t="s">
        <v>1328</v>
      </c>
      <c r="D79" s="182"/>
      <c r="E79" s="182"/>
      <c r="F79" s="182"/>
      <c r="G79" s="182"/>
      <c r="H79" s="182"/>
      <c r="I79" s="182"/>
      <c r="J79" s="182"/>
      <c r="K79" s="182"/>
      <c r="L79" s="182"/>
      <c r="M79" s="182">
        <f>SUM(M77:M78)</f>
        <v>1</v>
      </c>
      <c r="O79" s="182"/>
      <c r="P79" s="183"/>
      <c r="Q79" s="169"/>
    </row>
    <row r="80" spans="1:17" s="174" customFormat="1" ht="21" x14ac:dyDescent="0.25">
      <c r="A80" s="171" t="str">
        <f>ORÇAMENTO!A31</f>
        <v xml:space="preserve"> 1.5.2 </v>
      </c>
      <c r="B80" s="172" t="str">
        <f>VLOOKUP(A80,ORÇAMENTO!A:K,4,0)</f>
        <v>DESENHISTA DETALHISTA COM ENCARGOS COMPLEMENTARES</v>
      </c>
      <c r="C80" s="173" t="str">
        <f>VLOOKUP(A80,ORÇAMENTO!A:K,5,0)</f>
        <v>MES</v>
      </c>
      <c r="D80" s="173">
        <f>SUM(E83:O83)</f>
        <v>1</v>
      </c>
      <c r="E80" s="173" t="s">
        <v>1718</v>
      </c>
      <c r="F80" s="173" t="s">
        <v>1719</v>
      </c>
      <c r="G80" s="173" t="s">
        <v>1720</v>
      </c>
      <c r="H80" s="173" t="s">
        <v>1721</v>
      </c>
      <c r="I80" s="173" t="s">
        <v>1722</v>
      </c>
      <c r="J80" s="173" t="s">
        <v>1723</v>
      </c>
      <c r="K80" s="173" t="s">
        <v>1724</v>
      </c>
      <c r="L80" s="173" t="s">
        <v>1725</v>
      </c>
      <c r="M80" s="173" t="s">
        <v>1726</v>
      </c>
      <c r="N80" s="173" t="s">
        <v>1727</v>
      </c>
      <c r="O80" s="173" t="s">
        <v>1728</v>
      </c>
      <c r="P80" s="169"/>
      <c r="Q80" s="169"/>
    </row>
    <row r="81" spans="1:17" s="170" customFormat="1" ht="21" x14ac:dyDescent="0.25">
      <c r="A81" s="175"/>
      <c r="B81" s="176" t="s">
        <v>4187</v>
      </c>
      <c r="C81" s="177"/>
      <c r="D81" s="178"/>
      <c r="E81" s="178"/>
      <c r="F81" s="178"/>
      <c r="G81" s="178"/>
      <c r="H81" s="178"/>
      <c r="I81" s="178"/>
      <c r="J81" s="178"/>
      <c r="K81" s="178"/>
      <c r="L81" s="178"/>
      <c r="M81" s="178">
        <v>1</v>
      </c>
      <c r="N81" s="178"/>
      <c r="O81" s="178"/>
      <c r="P81" s="179"/>
      <c r="Q81" s="169"/>
    </row>
    <row r="82" spans="1:17" s="170" customFormat="1" ht="10.5" x14ac:dyDescent="0.25">
      <c r="A82" s="175"/>
      <c r="B82" s="176"/>
      <c r="C82" s="177"/>
      <c r="D82" s="178"/>
      <c r="E82" s="178"/>
      <c r="F82" s="178"/>
      <c r="G82" s="178"/>
      <c r="H82" s="178"/>
      <c r="I82" s="178"/>
      <c r="J82" s="178"/>
      <c r="K82" s="178"/>
      <c r="L82" s="178"/>
      <c r="M82" s="178"/>
      <c r="N82" s="178"/>
      <c r="O82" s="178"/>
      <c r="P82" s="179"/>
      <c r="Q82" s="169"/>
    </row>
    <row r="83" spans="1:17" s="170" customFormat="1" ht="10.5" x14ac:dyDescent="0.25">
      <c r="A83" s="175"/>
      <c r="B83" s="181" t="s">
        <v>5</v>
      </c>
      <c r="C83" s="182" t="s">
        <v>1328</v>
      </c>
      <c r="D83" s="182"/>
      <c r="E83" s="182"/>
      <c r="F83" s="182"/>
      <c r="G83" s="182"/>
      <c r="H83" s="182"/>
      <c r="I83" s="182"/>
      <c r="J83" s="182"/>
      <c r="K83" s="182"/>
      <c r="L83" s="182"/>
      <c r="M83" s="182">
        <f>SUM(M81:M82)</f>
        <v>1</v>
      </c>
      <c r="O83" s="182"/>
      <c r="P83" s="183"/>
      <c r="Q83" s="169"/>
    </row>
    <row r="84" spans="1:17" s="174" customFormat="1" ht="21" x14ac:dyDescent="0.25">
      <c r="A84" s="171" t="str">
        <f>ORÇAMENTO!A32</f>
        <v xml:space="preserve"> 1.5.3 </v>
      </c>
      <c r="B84" s="172" t="str">
        <f>VLOOKUP(A84,ORÇAMENTO!A:K,4,0)</f>
        <v>RELATORIO E ART DOS SERVIÇOS</v>
      </c>
      <c r="C84" s="173" t="str">
        <f>VLOOKUP(A84,ORÇAMENTO!A:K,5,0)</f>
        <v>UN</v>
      </c>
      <c r="D84" s="173">
        <f>SUM(E87:O87)</f>
        <v>2</v>
      </c>
      <c r="E84" s="173" t="s">
        <v>1718</v>
      </c>
      <c r="F84" s="173" t="s">
        <v>1719</v>
      </c>
      <c r="G84" s="173" t="s">
        <v>1720</v>
      </c>
      <c r="H84" s="173" t="s">
        <v>1721</v>
      </c>
      <c r="I84" s="173" t="s">
        <v>1722</v>
      </c>
      <c r="J84" s="173" t="s">
        <v>1723</v>
      </c>
      <c r="K84" s="173" t="s">
        <v>1724</v>
      </c>
      <c r="L84" s="173" t="s">
        <v>1725</v>
      </c>
      <c r="M84" s="173" t="s">
        <v>1726</v>
      </c>
      <c r="N84" s="173" t="s">
        <v>1727</v>
      </c>
      <c r="O84" s="173" t="s">
        <v>1728</v>
      </c>
      <c r="P84" s="169"/>
      <c r="Q84" s="169"/>
    </row>
    <row r="85" spans="1:17" s="170" customFormat="1" ht="10.5" x14ac:dyDescent="0.25">
      <c r="A85" s="175"/>
      <c r="B85" s="176" t="s">
        <v>4160</v>
      </c>
      <c r="C85" s="177"/>
      <c r="D85" s="178"/>
      <c r="E85" s="178"/>
      <c r="F85" s="178"/>
      <c r="G85" s="178"/>
      <c r="H85" s="178"/>
      <c r="I85" s="178"/>
      <c r="J85" s="178"/>
      <c r="K85" s="178"/>
      <c r="L85" s="178"/>
      <c r="M85" s="178">
        <v>2</v>
      </c>
      <c r="N85" s="178"/>
      <c r="O85" s="178"/>
      <c r="P85" s="179"/>
      <c r="Q85" s="169"/>
    </row>
    <row r="86" spans="1:17" s="170" customFormat="1" ht="10.5" x14ac:dyDescent="0.25">
      <c r="A86" s="175"/>
      <c r="B86" s="176"/>
      <c r="C86" s="177"/>
      <c r="D86" s="178"/>
      <c r="E86" s="178"/>
      <c r="F86" s="178"/>
      <c r="G86" s="178"/>
      <c r="H86" s="178"/>
      <c r="I86" s="178"/>
      <c r="J86" s="178"/>
      <c r="K86" s="178"/>
      <c r="L86" s="178"/>
      <c r="M86" s="178"/>
      <c r="N86" s="178"/>
      <c r="O86" s="178"/>
      <c r="P86" s="179"/>
      <c r="Q86" s="169"/>
    </row>
    <row r="87" spans="1:17" s="170" customFormat="1" ht="10.5" x14ac:dyDescent="0.25">
      <c r="A87" s="175"/>
      <c r="B87" s="181" t="s">
        <v>5</v>
      </c>
      <c r="C87" s="182" t="s">
        <v>1328</v>
      </c>
      <c r="D87" s="182"/>
      <c r="E87" s="182"/>
      <c r="F87" s="182"/>
      <c r="G87" s="182"/>
      <c r="H87" s="182"/>
      <c r="I87" s="182"/>
      <c r="J87" s="182"/>
      <c r="K87" s="182"/>
      <c r="L87" s="182"/>
      <c r="M87" s="182">
        <f>SUM(M85:M86)</f>
        <v>2</v>
      </c>
      <c r="O87" s="182"/>
      <c r="P87" s="183"/>
      <c r="Q87" s="169"/>
    </row>
    <row r="88" spans="1:17" s="170" customFormat="1" ht="10.5" x14ac:dyDescent="0.25">
      <c r="A88" s="165" t="str">
        <f>ORÇAMENTO!A33</f>
        <v xml:space="preserve"> 1.6 </v>
      </c>
      <c r="B88" s="166" t="str">
        <f>VLOOKUP(A88,ORÇAMENTO!A:K,4,0)</f>
        <v>CONSUMOS MENSAIS ESTIMADOS</v>
      </c>
      <c r="C88" s="167"/>
      <c r="D88" s="167"/>
      <c r="E88" s="168"/>
      <c r="F88" s="168"/>
      <c r="G88" s="168"/>
      <c r="H88" s="168"/>
      <c r="I88" s="168"/>
      <c r="J88" s="168"/>
      <c r="K88" s="168"/>
      <c r="L88" s="168"/>
      <c r="M88" s="168"/>
      <c r="N88" s="168"/>
      <c r="O88" s="168"/>
      <c r="P88" s="169"/>
      <c r="Q88" s="169"/>
    </row>
    <row r="89" spans="1:17" s="174" customFormat="1" ht="21" x14ac:dyDescent="0.25">
      <c r="A89" s="171" t="str">
        <f>ORÇAMENTO!A34</f>
        <v xml:space="preserve"> 1.6.1 </v>
      </c>
      <c r="B89" s="172" t="str">
        <f>VLOOKUP(A89,ORÇAMENTO!A:K,4,0)</f>
        <v>CONSUMO MENSAL DE ENERGIA ELÉTRICA- ESTIMADO</v>
      </c>
      <c r="C89" s="173" t="str">
        <f>VLOOKUP(A89,ORÇAMENTO!A:K,5,0)</f>
        <v>MÊS</v>
      </c>
      <c r="D89" s="173">
        <f>SUM(E92:O92)</f>
        <v>10</v>
      </c>
      <c r="E89" s="173" t="s">
        <v>1718</v>
      </c>
      <c r="F89" s="173" t="s">
        <v>1719</v>
      </c>
      <c r="G89" s="173" t="s">
        <v>1720</v>
      </c>
      <c r="H89" s="173" t="s">
        <v>1721</v>
      </c>
      <c r="I89" s="173" t="s">
        <v>1722</v>
      </c>
      <c r="J89" s="173" t="s">
        <v>1723</v>
      </c>
      <c r="K89" s="173" t="s">
        <v>1724</v>
      </c>
      <c r="L89" s="173" t="s">
        <v>1725</v>
      </c>
      <c r="M89" s="173" t="s">
        <v>1726</v>
      </c>
      <c r="N89" s="173" t="s">
        <v>1727</v>
      </c>
      <c r="O89" s="173" t="s">
        <v>1728</v>
      </c>
      <c r="P89" s="169"/>
      <c r="Q89" s="169"/>
    </row>
    <row r="90" spans="1:17" s="170" customFormat="1" ht="21" x14ac:dyDescent="0.25">
      <c r="A90" s="175"/>
      <c r="B90" s="176" t="s">
        <v>4167</v>
      </c>
      <c r="C90" s="177"/>
      <c r="D90" s="178"/>
      <c r="E90" s="178"/>
      <c r="F90" s="178"/>
      <c r="G90" s="178"/>
      <c r="H90" s="178"/>
      <c r="I90" s="178"/>
      <c r="J90" s="178"/>
      <c r="K90" s="178"/>
      <c r="L90" s="178"/>
      <c r="M90" s="178">
        <f>E6-2</f>
        <v>10</v>
      </c>
      <c r="N90" s="178"/>
      <c r="O90" s="178"/>
      <c r="P90" s="179"/>
      <c r="Q90" s="169"/>
    </row>
    <row r="91" spans="1:17" s="170" customFormat="1" ht="10.5" x14ac:dyDescent="0.25">
      <c r="A91" s="175"/>
      <c r="B91" s="176"/>
      <c r="C91" s="177"/>
      <c r="D91" s="178"/>
      <c r="E91" s="178"/>
      <c r="F91" s="178"/>
      <c r="G91" s="178"/>
      <c r="H91" s="178"/>
      <c r="I91" s="178"/>
      <c r="J91" s="178"/>
      <c r="K91" s="178"/>
      <c r="L91" s="178"/>
      <c r="M91" s="178"/>
      <c r="N91" s="178"/>
      <c r="O91" s="178"/>
      <c r="P91" s="179"/>
      <c r="Q91" s="169"/>
    </row>
    <row r="92" spans="1:17" s="170" customFormat="1" ht="10.5" x14ac:dyDescent="0.25">
      <c r="A92" s="175"/>
      <c r="B92" s="181" t="s">
        <v>5</v>
      </c>
      <c r="C92" s="182" t="s">
        <v>1328</v>
      </c>
      <c r="D92" s="182"/>
      <c r="E92" s="182"/>
      <c r="F92" s="182"/>
      <c r="G92" s="182"/>
      <c r="H92" s="182"/>
      <c r="I92" s="182"/>
      <c r="J92" s="182"/>
      <c r="K92" s="182"/>
      <c r="L92" s="182"/>
      <c r="M92" s="182">
        <f>SUM(M90:M91)</f>
        <v>10</v>
      </c>
      <c r="O92" s="182"/>
      <c r="P92" s="183"/>
      <c r="Q92" s="169"/>
    </row>
    <row r="93" spans="1:17" s="174" customFormat="1" ht="21" x14ac:dyDescent="0.25">
      <c r="A93" s="171" t="str">
        <f>ORÇAMENTO!A35</f>
        <v xml:space="preserve"> 1.6.2 </v>
      </c>
      <c r="B93" s="172" t="str">
        <f>VLOOKUP(A93,ORÇAMENTO!A:K,4,0)</f>
        <v>CONSUMO MENSAL DE ÁGUA E ESGOTO - ESTIMADO</v>
      </c>
      <c r="C93" s="173" t="str">
        <f>VLOOKUP(A93,ORÇAMENTO!A:K,5,0)</f>
        <v>MÊS</v>
      </c>
      <c r="D93" s="173">
        <f>SUM(E96:O96)</f>
        <v>12</v>
      </c>
      <c r="E93" s="173" t="s">
        <v>1718</v>
      </c>
      <c r="F93" s="173" t="s">
        <v>1719</v>
      </c>
      <c r="G93" s="173" t="s">
        <v>1720</v>
      </c>
      <c r="H93" s="173" t="s">
        <v>1721</v>
      </c>
      <c r="I93" s="173" t="s">
        <v>1722</v>
      </c>
      <c r="J93" s="173" t="s">
        <v>1723</v>
      </c>
      <c r="K93" s="173" t="s">
        <v>1724</v>
      </c>
      <c r="L93" s="173" t="s">
        <v>1725</v>
      </c>
      <c r="M93" s="173" t="s">
        <v>1726</v>
      </c>
      <c r="N93" s="173" t="s">
        <v>1727</v>
      </c>
      <c r="O93" s="173" t="s">
        <v>1728</v>
      </c>
      <c r="P93" s="169"/>
      <c r="Q93" s="169"/>
    </row>
    <row r="94" spans="1:17" s="170" customFormat="1" ht="10.5" x14ac:dyDescent="0.25">
      <c r="A94" s="175"/>
      <c r="B94" s="176" t="s">
        <v>4168</v>
      </c>
      <c r="C94" s="177"/>
      <c r="D94" s="178"/>
      <c r="E94" s="178"/>
      <c r="F94" s="178"/>
      <c r="G94" s="178"/>
      <c r="H94" s="178"/>
      <c r="I94" s="178"/>
      <c r="J94" s="178"/>
      <c r="K94" s="178"/>
      <c r="L94" s="178"/>
      <c r="M94" s="178">
        <f>E6</f>
        <v>12</v>
      </c>
      <c r="N94" s="178"/>
      <c r="O94" s="178"/>
      <c r="P94" s="179"/>
      <c r="Q94" s="169"/>
    </row>
    <row r="95" spans="1:17" s="170" customFormat="1" ht="10.5" x14ac:dyDescent="0.25">
      <c r="A95" s="175"/>
      <c r="B95" s="176"/>
      <c r="C95" s="177"/>
      <c r="D95" s="178"/>
      <c r="E95" s="178"/>
      <c r="F95" s="178"/>
      <c r="G95" s="178"/>
      <c r="H95" s="178"/>
      <c r="I95" s="178"/>
      <c r="J95" s="178"/>
      <c r="K95" s="178"/>
      <c r="L95" s="178"/>
      <c r="M95" s="178"/>
      <c r="N95" s="178"/>
      <c r="O95" s="178"/>
      <c r="P95" s="179"/>
      <c r="Q95" s="169"/>
    </row>
    <row r="96" spans="1:17" s="170" customFormat="1" ht="10.5" x14ac:dyDescent="0.25">
      <c r="A96" s="175"/>
      <c r="B96" s="181" t="s">
        <v>5</v>
      </c>
      <c r="C96" s="182" t="s">
        <v>1328</v>
      </c>
      <c r="D96" s="182"/>
      <c r="E96" s="182"/>
      <c r="F96" s="182"/>
      <c r="G96" s="182"/>
      <c r="H96" s="182"/>
      <c r="I96" s="182"/>
      <c r="J96" s="182"/>
      <c r="K96" s="182"/>
      <c r="L96" s="182"/>
      <c r="M96" s="182">
        <f>SUM(M94:M95)</f>
        <v>12</v>
      </c>
      <c r="O96" s="182"/>
      <c r="P96" s="183"/>
      <c r="Q96" s="169"/>
    </row>
    <row r="97" spans="1:17" s="170" customFormat="1" ht="10.5" x14ac:dyDescent="0.25">
      <c r="A97" s="165" t="str">
        <f>ORÇAMENTO!A36</f>
        <v xml:space="preserve"> 1.7 </v>
      </c>
      <c r="B97" s="166" t="str">
        <f>VLOOKUP(A97,ORÇAMENTO!A:K,4,0)</f>
        <v>DIVERSOS EQUIPAMENTOS</v>
      </c>
      <c r="C97" s="167"/>
      <c r="D97" s="167"/>
      <c r="E97" s="168"/>
      <c r="F97" s="168"/>
      <c r="G97" s="168"/>
      <c r="H97" s="168"/>
      <c r="I97" s="168"/>
      <c r="J97" s="168"/>
      <c r="K97" s="168"/>
      <c r="L97" s="168"/>
      <c r="M97" s="168"/>
      <c r="N97" s="168"/>
      <c r="O97" s="168"/>
      <c r="P97" s="169"/>
      <c r="Q97" s="169"/>
    </row>
    <row r="98" spans="1:17" s="174" customFormat="1" ht="52.5" x14ac:dyDescent="0.25">
      <c r="A98" s="171" t="str">
        <f>ORÇAMENTO!A37</f>
        <v xml:space="preserve"> 1.7.1 </v>
      </c>
      <c r="B98" s="172" t="str">
        <f>VLOOKUP(A98,ORÇAMENTO!A:K,4,0)</f>
        <v>CAMINHÃO PIPA 6.000 L, PESO BRUTO TOTAL 13.000 KG, DISTÂNCIA ENTRE EIXOS 4,80 M, POTÊNCIA 189 CV INCLUSIVE TANQUE DE AÇO PARA TRANSPORTE DE ÁGUA, CAPACIDADE 6 M3 - CHP DIURNO. AF_06/2014</v>
      </c>
      <c r="C98" s="173" t="str">
        <f>VLOOKUP(A98,ORÇAMENTO!A:K,5,0)</f>
        <v>CHP</v>
      </c>
      <c r="D98" s="173">
        <f>SUM(E101:O101)</f>
        <v>528</v>
      </c>
      <c r="E98" s="173" t="s">
        <v>4191</v>
      </c>
      <c r="F98" s="173" t="s">
        <v>4192</v>
      </c>
      <c r="G98" s="173" t="s">
        <v>40</v>
      </c>
      <c r="H98" s="173" t="s">
        <v>1721</v>
      </c>
      <c r="I98" s="173" t="s">
        <v>1722</v>
      </c>
      <c r="J98" s="173" t="s">
        <v>1723</v>
      </c>
      <c r="K98" s="173" t="s">
        <v>1724</v>
      </c>
      <c r="L98" s="173" t="s">
        <v>1725</v>
      </c>
      <c r="M98" s="173" t="s">
        <v>1726</v>
      </c>
      <c r="N98" s="173" t="s">
        <v>1727</v>
      </c>
      <c r="O98" s="173" t="s">
        <v>1728</v>
      </c>
      <c r="P98" s="169"/>
      <c r="Q98" s="169"/>
    </row>
    <row r="99" spans="1:17" s="170" customFormat="1" ht="21" x14ac:dyDescent="0.25">
      <c r="A99" s="175"/>
      <c r="B99" s="176" t="s">
        <v>4169</v>
      </c>
      <c r="C99" s="177"/>
      <c r="D99" s="178"/>
      <c r="E99" s="178">
        <v>22</v>
      </c>
      <c r="F99" s="178">
        <v>2</v>
      </c>
      <c r="G99" s="178">
        <f>M94</f>
        <v>12</v>
      </c>
      <c r="H99" s="178"/>
      <c r="I99" s="178"/>
      <c r="J99" s="178"/>
      <c r="K99" s="178"/>
      <c r="L99" s="178"/>
      <c r="M99" s="178">
        <f>E99*F99*G99</f>
        <v>528</v>
      </c>
      <c r="N99" s="178"/>
      <c r="O99" s="178"/>
      <c r="P99" s="179"/>
      <c r="Q99" s="169"/>
    </row>
    <row r="100" spans="1:17" s="170" customFormat="1" ht="10.5" x14ac:dyDescent="0.25">
      <c r="A100" s="175"/>
      <c r="B100" s="176"/>
      <c r="C100" s="177"/>
      <c r="D100" s="178"/>
      <c r="E100" s="178"/>
      <c r="F100" s="178"/>
      <c r="G100" s="178"/>
      <c r="H100" s="178"/>
      <c r="I100" s="178"/>
      <c r="J100" s="178"/>
      <c r="K100" s="178"/>
      <c r="L100" s="178"/>
      <c r="M100" s="178"/>
      <c r="N100" s="178"/>
      <c r="O100" s="178"/>
      <c r="P100" s="179"/>
      <c r="Q100" s="169"/>
    </row>
    <row r="101" spans="1:17" s="170" customFormat="1" ht="10.5" x14ac:dyDescent="0.25">
      <c r="A101" s="175"/>
      <c r="B101" s="181" t="s">
        <v>5</v>
      </c>
      <c r="C101" s="182" t="s">
        <v>1328</v>
      </c>
      <c r="D101" s="182"/>
      <c r="E101" s="182"/>
      <c r="F101" s="182"/>
      <c r="G101" s="182"/>
      <c r="H101" s="182"/>
      <c r="I101" s="182"/>
      <c r="J101" s="182"/>
      <c r="K101" s="182"/>
      <c r="L101" s="182"/>
      <c r="M101" s="182">
        <f>SUM(M99:M100)</f>
        <v>528</v>
      </c>
      <c r="O101" s="182"/>
      <c r="P101" s="183"/>
      <c r="Q101" s="169"/>
    </row>
    <row r="102" spans="1:17" s="174" customFormat="1" ht="21" x14ac:dyDescent="0.25">
      <c r="A102" s="171" t="str">
        <f>ORÇAMENTO!A38</f>
        <v xml:space="preserve"> 1.7.2 </v>
      </c>
      <c r="B102" s="172" t="str">
        <f>VLOOKUP(A102,ORÇAMENTO!A:K,4,0)</f>
        <v>GRUPO GERADOR ESTACIONÁRIO, MOTOR DIESEL POTÊNCIA 170 KVA - CHP DIURNO. AF_02/2016</v>
      </c>
      <c r="C102" s="173" t="str">
        <f>VLOOKUP(A102,ORÇAMENTO!A:K,5,0)</f>
        <v>CHP</v>
      </c>
      <c r="D102" s="173">
        <f>SUM(E105:O105)</f>
        <v>88</v>
      </c>
      <c r="E102" s="173" t="s">
        <v>1718</v>
      </c>
      <c r="F102" s="173" t="s">
        <v>4192</v>
      </c>
      <c r="G102" s="173" t="s">
        <v>40</v>
      </c>
      <c r="H102" s="173" t="s">
        <v>1721</v>
      </c>
      <c r="I102" s="173" t="s">
        <v>1722</v>
      </c>
      <c r="J102" s="173" t="s">
        <v>1723</v>
      </c>
      <c r="K102" s="173" t="s">
        <v>1724</v>
      </c>
      <c r="L102" s="173" t="s">
        <v>1725</v>
      </c>
      <c r="M102" s="173" t="s">
        <v>1726</v>
      </c>
      <c r="N102" s="173" t="s">
        <v>1727</v>
      </c>
      <c r="O102" s="173" t="s">
        <v>1728</v>
      </c>
      <c r="P102" s="169"/>
      <c r="Q102" s="169"/>
    </row>
    <row r="103" spans="1:17" s="170" customFormat="1" ht="10.5" x14ac:dyDescent="0.25">
      <c r="A103" s="175"/>
      <c r="B103" s="176" t="s">
        <v>4170</v>
      </c>
      <c r="C103" s="177"/>
      <c r="D103" s="178"/>
      <c r="E103" s="178"/>
      <c r="F103" s="178">
        <v>44</v>
      </c>
      <c r="G103" s="178">
        <v>2</v>
      </c>
      <c r="H103" s="178"/>
      <c r="I103" s="178"/>
      <c r="J103" s="178"/>
      <c r="K103" s="178"/>
      <c r="L103" s="178"/>
      <c r="M103" s="178">
        <f>G103*F103</f>
        <v>88</v>
      </c>
      <c r="N103" s="178"/>
      <c r="O103" s="178"/>
      <c r="P103" s="179"/>
      <c r="Q103" s="169"/>
    </row>
    <row r="104" spans="1:17" s="170" customFormat="1" ht="10.5" x14ac:dyDescent="0.25">
      <c r="A104" s="175"/>
      <c r="B104" s="176"/>
      <c r="C104" s="177"/>
      <c r="D104" s="178"/>
      <c r="E104" s="178"/>
      <c r="F104" s="178"/>
      <c r="G104" s="178"/>
      <c r="H104" s="178"/>
      <c r="I104" s="178"/>
      <c r="J104" s="178"/>
      <c r="K104" s="178"/>
      <c r="L104" s="178"/>
      <c r="M104" s="178"/>
      <c r="N104" s="178"/>
      <c r="O104" s="178"/>
      <c r="P104" s="179"/>
      <c r="Q104" s="169"/>
    </row>
    <row r="105" spans="1:17" s="170" customFormat="1" ht="10.5" x14ac:dyDescent="0.25">
      <c r="A105" s="175"/>
      <c r="B105" s="181" t="s">
        <v>5</v>
      </c>
      <c r="C105" s="182" t="s">
        <v>1328</v>
      </c>
      <c r="D105" s="182"/>
      <c r="E105" s="182"/>
      <c r="F105" s="182"/>
      <c r="G105" s="182"/>
      <c r="H105" s="182"/>
      <c r="I105" s="182"/>
      <c r="J105" s="182"/>
      <c r="K105" s="182"/>
      <c r="L105" s="182"/>
      <c r="M105" s="182">
        <f>SUM(M103:M104)</f>
        <v>88</v>
      </c>
      <c r="O105" s="182"/>
      <c r="P105" s="183"/>
      <c r="Q105" s="169"/>
    </row>
    <row r="106" spans="1:17" s="174" customFormat="1" ht="21" x14ac:dyDescent="0.25">
      <c r="A106" s="171" t="str">
        <f>ORÇAMENTO!A39</f>
        <v xml:space="preserve"> 1.7.3 </v>
      </c>
      <c r="B106" s="172" t="str">
        <f>VLOOKUP(A106,ORÇAMENTO!A:K,4,0)</f>
        <v>GRUPO GERADOR ESTACIONÁRIO, POTÊNCIA 150 KVA, MOTOR A DIESEL- CHI DIURNO. AF_03/2016</v>
      </c>
      <c r="C106" s="173" t="str">
        <f>VLOOKUP(A106,ORÇAMENTO!A:K,5,0)</f>
        <v>CHI</v>
      </c>
      <c r="D106" s="173">
        <f>SUM(E109:O109)</f>
        <v>352</v>
      </c>
      <c r="E106" s="173" t="s">
        <v>1718</v>
      </c>
      <c r="F106" s="173" t="s">
        <v>4192</v>
      </c>
      <c r="G106" s="173" t="s">
        <v>40</v>
      </c>
      <c r="H106" s="173" t="s">
        <v>1721</v>
      </c>
      <c r="I106" s="173" t="s">
        <v>1722</v>
      </c>
      <c r="J106" s="173" t="s">
        <v>1723</v>
      </c>
      <c r="K106" s="173" t="s">
        <v>1724</v>
      </c>
      <c r="L106" s="173" t="s">
        <v>1725</v>
      </c>
      <c r="M106" s="173" t="s">
        <v>1726</v>
      </c>
      <c r="N106" s="173" t="s">
        <v>1727</v>
      </c>
      <c r="O106" s="173" t="s">
        <v>1728</v>
      </c>
      <c r="P106" s="169"/>
      <c r="Q106" s="169"/>
    </row>
    <row r="107" spans="1:17" s="170" customFormat="1" ht="10.5" x14ac:dyDescent="0.25">
      <c r="A107" s="175"/>
      <c r="B107" s="176" t="s">
        <v>4171</v>
      </c>
      <c r="C107" s="177"/>
      <c r="D107" s="178"/>
      <c r="E107" s="178"/>
      <c r="F107" s="178">
        <v>176</v>
      </c>
      <c r="G107" s="178">
        <v>2</v>
      </c>
      <c r="H107" s="178"/>
      <c r="I107" s="178"/>
      <c r="J107" s="178"/>
      <c r="K107" s="178"/>
      <c r="L107" s="178"/>
      <c r="M107" s="178">
        <f>G107*F107</f>
        <v>352</v>
      </c>
      <c r="N107" s="178"/>
      <c r="O107" s="178"/>
      <c r="P107" s="179"/>
      <c r="Q107" s="169"/>
    </row>
    <row r="108" spans="1:17" s="170" customFormat="1" ht="10.5" x14ac:dyDescent="0.25">
      <c r="A108" s="175"/>
      <c r="B108" s="176"/>
      <c r="C108" s="177"/>
      <c r="D108" s="178"/>
      <c r="E108" s="178"/>
      <c r="F108" s="178"/>
      <c r="G108" s="178"/>
      <c r="H108" s="178"/>
      <c r="I108" s="178"/>
      <c r="J108" s="178"/>
      <c r="K108" s="178"/>
      <c r="L108" s="178"/>
      <c r="M108" s="178"/>
      <c r="N108" s="178"/>
      <c r="O108" s="178"/>
      <c r="P108" s="179"/>
      <c r="Q108" s="169"/>
    </row>
    <row r="109" spans="1:17" s="170" customFormat="1" ht="10.5" x14ac:dyDescent="0.25">
      <c r="A109" s="175"/>
      <c r="B109" s="181" t="s">
        <v>5</v>
      </c>
      <c r="C109" s="182" t="s">
        <v>1328</v>
      </c>
      <c r="D109" s="182"/>
      <c r="E109" s="182"/>
      <c r="F109" s="182"/>
      <c r="G109" s="182"/>
      <c r="H109" s="182"/>
      <c r="I109" s="182"/>
      <c r="J109" s="182"/>
      <c r="K109" s="182"/>
      <c r="L109" s="182"/>
      <c r="M109" s="182">
        <f>SUM(M107:M108)</f>
        <v>352</v>
      </c>
      <c r="O109" s="182"/>
      <c r="P109" s="183"/>
      <c r="Q109" s="169"/>
    </row>
    <row r="110" spans="1:17" s="170" customFormat="1" ht="21" x14ac:dyDescent="0.25">
      <c r="A110" s="165" t="str">
        <f>ORÇAMENTO!A40</f>
        <v xml:space="preserve"> 1.8 </v>
      </c>
      <c r="B110" s="166" t="str">
        <f>VLOOKUP(A110,ORÇAMENTO!A:K,4,0)</f>
        <v>RECUPERAÇÃO DA ÁREA DE CANTEIRO DE OBRAS - PRINCIPAL</v>
      </c>
      <c r="C110" s="167"/>
      <c r="D110" s="167"/>
      <c r="E110" s="168"/>
      <c r="F110" s="168"/>
      <c r="G110" s="168"/>
      <c r="H110" s="168"/>
      <c r="I110" s="168"/>
      <c r="J110" s="168"/>
      <c r="K110" s="168"/>
      <c r="L110" s="168"/>
      <c r="M110" s="168"/>
      <c r="N110" s="168"/>
      <c r="O110" s="168"/>
      <c r="P110" s="169"/>
      <c r="Q110" s="169"/>
    </row>
    <row r="111" spans="1:17" s="174" customFormat="1" ht="31.5" x14ac:dyDescent="0.25">
      <c r="A111" s="171" t="str">
        <f>ORÇAMENTO!A41</f>
        <v xml:space="preserve"> 1.8.1 </v>
      </c>
      <c r="B111" s="172" t="str">
        <f>VLOOKUP(A111,ORÇAMENTO!A:K,4,0)</f>
        <v>REMOÇÃO DE TAPUME/ CHAPAS METÁLICAS E DE MADEIRA, DE FORMA MANUAL, SEM REAPROVEITAMENTO. AF_09/2023</v>
      </c>
      <c r="C111" s="173" t="str">
        <f>VLOOKUP(A111,ORÇAMENTO!A:K,5,0)</f>
        <v>M²</v>
      </c>
      <c r="D111" s="173">
        <f>SUM(E120:O120)</f>
        <v>388</v>
      </c>
      <c r="E111" s="173" t="s">
        <v>1718</v>
      </c>
      <c r="F111" s="173" t="s">
        <v>1719</v>
      </c>
      <c r="G111" s="173" t="s">
        <v>1720</v>
      </c>
      <c r="H111" s="173" t="s">
        <v>1721</v>
      </c>
      <c r="I111" s="173" t="s">
        <v>1722</v>
      </c>
      <c r="J111" s="173" t="s">
        <v>1723</v>
      </c>
      <c r="K111" s="173" t="s">
        <v>1724</v>
      </c>
      <c r="L111" s="173" t="s">
        <v>1725</v>
      </c>
      <c r="M111" s="173" t="s">
        <v>1726</v>
      </c>
      <c r="N111" s="173" t="s">
        <v>1727</v>
      </c>
      <c r="O111" s="173" t="s">
        <v>1728</v>
      </c>
      <c r="P111" s="169"/>
      <c r="Q111" s="169"/>
    </row>
    <row r="112" spans="1:17" s="170" customFormat="1" ht="21" x14ac:dyDescent="0.25">
      <c r="A112" s="175"/>
      <c r="B112" s="176" t="s">
        <v>4193</v>
      </c>
      <c r="C112" s="177"/>
      <c r="D112" s="178"/>
      <c r="E112" s="178"/>
      <c r="F112" s="178"/>
      <c r="G112" s="178"/>
      <c r="H112" s="178"/>
      <c r="I112" s="178"/>
      <c r="J112" s="178"/>
      <c r="K112" s="178"/>
      <c r="L112" s="178"/>
      <c r="M112" s="178"/>
      <c r="N112" s="178"/>
      <c r="O112" s="178"/>
      <c r="P112" s="179"/>
      <c r="Q112" s="169"/>
    </row>
    <row r="113" spans="1:17" s="170" customFormat="1" ht="10.5" x14ac:dyDescent="0.25">
      <c r="A113" s="175"/>
      <c r="B113" s="176" t="s">
        <v>4194</v>
      </c>
      <c r="C113" s="177"/>
      <c r="D113" s="178"/>
      <c r="E113" s="178"/>
      <c r="F113" s="178"/>
      <c r="G113" s="178"/>
      <c r="H113" s="178"/>
      <c r="I113" s="178"/>
      <c r="J113" s="178"/>
      <c r="K113" s="178"/>
      <c r="L113" s="178"/>
      <c r="M113" s="178"/>
      <c r="N113" s="178">
        <v>264</v>
      </c>
      <c r="O113" s="178"/>
      <c r="P113" s="179"/>
      <c r="Q113" s="169"/>
    </row>
    <row r="114" spans="1:17" s="170" customFormat="1" ht="10.5" x14ac:dyDescent="0.25">
      <c r="A114" s="175"/>
      <c r="B114" s="176" t="s">
        <v>4195</v>
      </c>
      <c r="C114" s="177"/>
      <c r="D114" s="178"/>
      <c r="E114" s="178"/>
      <c r="F114" s="178"/>
      <c r="G114" s="178"/>
      <c r="H114" s="178"/>
      <c r="I114" s="178"/>
      <c r="J114" s="178"/>
      <c r="K114" s="178"/>
      <c r="L114" s="178"/>
      <c r="M114" s="178"/>
      <c r="N114" s="178">
        <v>4</v>
      </c>
      <c r="O114" s="178"/>
      <c r="P114" s="179"/>
      <c r="Q114" s="169"/>
    </row>
    <row r="115" spans="1:17" s="170" customFormat="1" ht="10.5" x14ac:dyDescent="0.25">
      <c r="A115" s="175"/>
      <c r="B115" s="176" t="s">
        <v>4196</v>
      </c>
      <c r="C115" s="177"/>
      <c r="D115" s="178"/>
      <c r="E115" s="178"/>
      <c r="F115" s="178"/>
      <c r="G115" s="178"/>
      <c r="H115" s="178"/>
      <c r="I115" s="178"/>
      <c r="J115" s="178"/>
      <c r="K115" s="178"/>
      <c r="L115" s="178"/>
      <c r="M115" s="178"/>
      <c r="N115" s="178">
        <v>50</v>
      </c>
      <c r="O115" s="178"/>
      <c r="P115" s="179"/>
      <c r="Q115" s="169"/>
    </row>
    <row r="116" spans="1:17" s="170" customFormat="1" ht="10.5" x14ac:dyDescent="0.25">
      <c r="A116" s="175"/>
      <c r="B116" s="176" t="s">
        <v>4197</v>
      </c>
      <c r="C116" s="177"/>
      <c r="D116" s="178"/>
      <c r="E116" s="178"/>
      <c r="F116" s="178"/>
      <c r="G116" s="178"/>
      <c r="H116" s="178"/>
      <c r="I116" s="178"/>
      <c r="J116" s="178"/>
      <c r="K116" s="178"/>
      <c r="L116" s="178"/>
      <c r="M116" s="178"/>
      <c r="N116" s="178">
        <v>50</v>
      </c>
      <c r="O116" s="178"/>
      <c r="P116" s="179"/>
      <c r="Q116" s="169"/>
    </row>
    <row r="117" spans="1:17" s="170" customFormat="1" ht="10.5" x14ac:dyDescent="0.25">
      <c r="A117" s="175"/>
      <c r="B117" s="176" t="s">
        <v>4198</v>
      </c>
      <c r="C117" s="177"/>
      <c r="D117" s="178"/>
      <c r="E117" s="178"/>
      <c r="F117" s="178"/>
      <c r="G117" s="178"/>
      <c r="H117" s="178"/>
      <c r="I117" s="178"/>
      <c r="J117" s="178"/>
      <c r="K117" s="178"/>
      <c r="L117" s="178"/>
      <c r="M117" s="178"/>
      <c r="N117" s="178">
        <v>20</v>
      </c>
      <c r="O117" s="178"/>
      <c r="P117" s="179"/>
      <c r="Q117" s="169"/>
    </row>
    <row r="118" spans="1:17" s="170" customFormat="1" ht="10.5" x14ac:dyDescent="0.25">
      <c r="A118" s="175"/>
      <c r="B118" s="176"/>
      <c r="C118" s="177"/>
      <c r="D118" s="178"/>
      <c r="E118" s="178"/>
      <c r="F118" s="178"/>
      <c r="G118" s="178"/>
      <c r="H118" s="178"/>
      <c r="I118" s="178"/>
      <c r="J118" s="178"/>
      <c r="K118" s="178"/>
      <c r="L118" s="178"/>
      <c r="M118" s="178"/>
      <c r="N118" s="178"/>
      <c r="O118" s="178"/>
      <c r="P118" s="179"/>
      <c r="Q118" s="169"/>
    </row>
    <row r="119" spans="1:17" s="170" customFormat="1" ht="10.5" x14ac:dyDescent="0.25">
      <c r="A119" s="175"/>
      <c r="B119" s="176"/>
      <c r="C119" s="177"/>
      <c r="D119" s="178"/>
      <c r="E119" s="178"/>
      <c r="F119" s="178"/>
      <c r="G119" s="178"/>
      <c r="H119" s="178"/>
      <c r="I119" s="178"/>
      <c r="J119" s="178"/>
      <c r="K119" s="178"/>
      <c r="L119" s="178"/>
      <c r="M119" s="178"/>
      <c r="N119" s="178"/>
      <c r="O119" s="178"/>
      <c r="P119" s="179"/>
      <c r="Q119" s="169"/>
    </row>
    <row r="120" spans="1:17" s="170" customFormat="1" ht="10.5" x14ac:dyDescent="0.25">
      <c r="A120" s="175"/>
      <c r="B120" s="181" t="s">
        <v>5</v>
      </c>
      <c r="C120" s="182" t="s">
        <v>1328</v>
      </c>
      <c r="D120" s="182"/>
      <c r="E120" s="182"/>
      <c r="F120" s="182"/>
      <c r="G120" s="182"/>
      <c r="H120" s="182"/>
      <c r="I120" s="182"/>
      <c r="J120" s="182"/>
      <c r="K120" s="182"/>
      <c r="L120" s="182"/>
      <c r="N120" s="182">
        <f>SUM(N113:N119)</f>
        <v>388</v>
      </c>
      <c r="O120" s="182"/>
      <c r="P120" s="183"/>
      <c r="Q120" s="169"/>
    </row>
    <row r="121" spans="1:17" s="174" customFormat="1" ht="52.5" x14ac:dyDescent="0.25">
      <c r="A121" s="171" t="str">
        <f>ORÇAMENTO!A42</f>
        <v xml:space="preserve"> 1.8.2</v>
      </c>
      <c r="B121" s="172" t="str">
        <f>VLOOKUP(A121,ORÇAMENTO!A:K,4,0)</f>
        <v>CARGA, MANOBRA E DESCARGA DE ENTULHO EM CAMINHÃO BASCULANTE 14 M³ - CARGA COM ESCAVADEIRA HIDRÁULICA  (CAÇAMBA DE 0,80 M³ / 111 HP) E DESCARGA LIVRE (UNIDADE: M3). AF_07/2020</v>
      </c>
      <c r="C121" s="173" t="str">
        <f>VLOOKUP(A121,ORÇAMENTO!A:K,5,0)</f>
        <v>M³</v>
      </c>
      <c r="D121" s="173">
        <f>SUM(E124:O124)</f>
        <v>25.220000000000002</v>
      </c>
      <c r="E121" s="173" t="s">
        <v>1718</v>
      </c>
      <c r="F121" s="173" t="s">
        <v>1719</v>
      </c>
      <c r="G121" s="173" t="s">
        <v>1720</v>
      </c>
      <c r="H121" s="173" t="s">
        <v>1721</v>
      </c>
      <c r="I121" s="173" t="s">
        <v>4199</v>
      </c>
      <c r="J121" s="173" t="s">
        <v>1723</v>
      </c>
      <c r="K121" s="173" t="s">
        <v>1724</v>
      </c>
      <c r="L121" s="173" t="s">
        <v>1725</v>
      </c>
      <c r="M121" s="173" t="s">
        <v>1726</v>
      </c>
      <c r="N121" s="173" t="s">
        <v>1727</v>
      </c>
      <c r="O121" s="173" t="s">
        <v>1728</v>
      </c>
      <c r="P121" s="169"/>
      <c r="Q121" s="169"/>
    </row>
    <row r="122" spans="1:17" s="170" customFormat="1" ht="10.5" x14ac:dyDescent="0.25">
      <c r="A122" s="175"/>
      <c r="B122" s="176" t="s">
        <v>4172</v>
      </c>
      <c r="C122" s="177"/>
      <c r="D122" s="178"/>
      <c r="E122" s="178"/>
      <c r="F122" s="178"/>
      <c r="G122" s="178"/>
      <c r="H122" s="178">
        <v>0.05</v>
      </c>
      <c r="I122" s="178">
        <v>1.3</v>
      </c>
      <c r="J122" s="178"/>
      <c r="K122" s="178"/>
      <c r="L122" s="178"/>
      <c r="M122" s="178"/>
      <c r="N122" s="178">
        <f>N120</f>
        <v>388</v>
      </c>
      <c r="O122" s="178">
        <f>N122*I122*H122</f>
        <v>25.220000000000002</v>
      </c>
      <c r="P122" s="179"/>
      <c r="Q122" s="169"/>
    </row>
    <row r="123" spans="1:17" s="170" customFormat="1" ht="10.5" x14ac:dyDescent="0.25">
      <c r="A123" s="175"/>
      <c r="B123" s="176"/>
      <c r="C123" s="177"/>
      <c r="D123" s="178"/>
      <c r="E123" s="178"/>
      <c r="F123" s="178"/>
      <c r="G123" s="178"/>
      <c r="H123" s="178"/>
      <c r="I123" s="178"/>
      <c r="J123" s="178"/>
      <c r="K123" s="178"/>
      <c r="L123" s="178"/>
      <c r="M123" s="178"/>
      <c r="N123" s="178"/>
      <c r="O123" s="178"/>
      <c r="P123" s="179"/>
      <c r="Q123" s="169"/>
    </row>
    <row r="124" spans="1:17" s="170" customFormat="1" ht="10.5" x14ac:dyDescent="0.25">
      <c r="A124" s="175"/>
      <c r="B124" s="181" t="s">
        <v>5</v>
      </c>
      <c r="C124" s="182" t="s">
        <v>1328</v>
      </c>
      <c r="D124" s="182"/>
      <c r="E124" s="182"/>
      <c r="F124" s="182"/>
      <c r="G124" s="182"/>
      <c r="H124" s="182"/>
      <c r="I124" s="182"/>
      <c r="J124" s="182"/>
      <c r="K124" s="182"/>
      <c r="L124" s="182"/>
      <c r="N124" s="182"/>
      <c r="O124" s="182">
        <f>SUM(O122:O123)</f>
        <v>25.220000000000002</v>
      </c>
      <c r="P124" s="183"/>
      <c r="Q124" s="169"/>
    </row>
    <row r="125" spans="1:17" s="174" customFormat="1" ht="31.5" x14ac:dyDescent="0.25">
      <c r="A125" s="171" t="str">
        <f>ORÇAMENTO!A43</f>
        <v xml:space="preserve"> 1.8.3</v>
      </c>
      <c r="B125" s="172" t="str">
        <f>VLOOKUP(A125,ORÇAMENTO!A:K,4,0)</f>
        <v>TRANSPORTE COM CAMINHÃO BASCULANTE DE 14 M³, EM VIA URBANA PAVIMENTADA, DMT ATÉ 30 KM (UNIDADE: M3XKM). AF_07/2020</v>
      </c>
      <c r="C125" s="173" t="str">
        <f>VLOOKUP(A125,ORÇAMENTO!A:K,5,0)</f>
        <v>M3XKM</v>
      </c>
      <c r="D125" s="173">
        <f>SUM(E128:O128)</f>
        <v>756.6</v>
      </c>
      <c r="E125" s="173" t="s">
        <v>1718</v>
      </c>
      <c r="F125" s="173" t="s">
        <v>4200</v>
      </c>
      <c r="G125" s="173" t="s">
        <v>1720</v>
      </c>
      <c r="H125" s="173" t="s">
        <v>1721</v>
      </c>
      <c r="I125" s="173" t="s">
        <v>1722</v>
      </c>
      <c r="J125" s="173" t="s">
        <v>1723</v>
      </c>
      <c r="K125" s="173" t="s">
        <v>1724</v>
      </c>
      <c r="L125" s="173" t="s">
        <v>1725</v>
      </c>
      <c r="M125" s="173" t="s">
        <v>1750</v>
      </c>
      <c r="N125" s="173" t="s">
        <v>1727</v>
      </c>
      <c r="O125" s="173" t="s">
        <v>1728</v>
      </c>
      <c r="P125" s="169"/>
      <c r="Q125" s="169"/>
    </row>
    <row r="126" spans="1:17" s="170" customFormat="1" ht="10.5" x14ac:dyDescent="0.25">
      <c r="A126" s="175"/>
      <c r="B126" s="176" t="s">
        <v>4173</v>
      </c>
      <c r="C126" s="177"/>
      <c r="D126" s="178"/>
      <c r="E126" s="178"/>
      <c r="F126" s="178">
        <v>30</v>
      </c>
      <c r="G126" s="178"/>
      <c r="H126" s="178"/>
      <c r="I126" s="178"/>
      <c r="J126" s="178"/>
      <c r="K126" s="178"/>
      <c r="L126" s="178"/>
      <c r="M126" s="178">
        <f>O126*F126</f>
        <v>756.6</v>
      </c>
      <c r="N126" s="178"/>
      <c r="O126" s="178">
        <f>O124</f>
        <v>25.220000000000002</v>
      </c>
      <c r="P126" s="179"/>
      <c r="Q126" s="169"/>
    </row>
    <row r="127" spans="1:17" s="170" customFormat="1" ht="10.5" x14ac:dyDescent="0.25">
      <c r="A127" s="175"/>
      <c r="B127" s="176"/>
      <c r="C127" s="177"/>
      <c r="D127" s="178"/>
      <c r="E127" s="178"/>
      <c r="F127" s="178"/>
      <c r="G127" s="178"/>
      <c r="H127" s="178"/>
      <c r="I127" s="178"/>
      <c r="J127" s="178"/>
      <c r="K127" s="178"/>
      <c r="L127" s="178"/>
      <c r="M127" s="178"/>
      <c r="N127" s="178"/>
      <c r="O127" s="178"/>
      <c r="P127" s="179"/>
      <c r="Q127" s="169"/>
    </row>
    <row r="128" spans="1:17" s="170" customFormat="1" ht="10.5" x14ac:dyDescent="0.25">
      <c r="A128" s="175"/>
      <c r="B128" s="181" t="s">
        <v>5</v>
      </c>
      <c r="C128" s="182" t="s">
        <v>1328</v>
      </c>
      <c r="D128" s="182"/>
      <c r="E128" s="182"/>
      <c r="F128" s="182"/>
      <c r="G128" s="182"/>
      <c r="H128" s="182"/>
      <c r="I128" s="182"/>
      <c r="J128" s="182"/>
      <c r="K128" s="182"/>
      <c r="L128" s="182"/>
      <c r="M128" s="182">
        <f>SUM(M126:M127)</f>
        <v>756.6</v>
      </c>
      <c r="O128" s="182"/>
      <c r="P128" s="183"/>
      <c r="Q128" s="169"/>
    </row>
    <row r="129" spans="1:17" s="174" customFormat="1" ht="42" x14ac:dyDescent="0.25">
      <c r="A129" s="171" t="str">
        <f>ORÇAMENTO!A44</f>
        <v xml:space="preserve"> 1.8.4</v>
      </c>
      <c r="B129" s="172" t="str">
        <f>VLOOKUP(A129,ORÇAMENTO!A:K,4,0)</f>
        <v>TRANSPORTE COM CAMINHÃO BASCULANTE DE 14 M³, EM VIA URBANA PAVIMENTADA, ADICIONAL PARA DMT EXCEDENTE A 30 KM (UNIDADE: M3XKM). AF_07/2020</v>
      </c>
      <c r="C129" s="173" t="str">
        <f>VLOOKUP(A129,ORÇAMENTO!A:K,5,0)</f>
        <v>M3XKM</v>
      </c>
      <c r="D129" s="173">
        <f>SUM(E132:O132)</f>
        <v>1134.9000000000001</v>
      </c>
      <c r="E129" s="173" t="s">
        <v>1718</v>
      </c>
      <c r="F129" s="173" t="s">
        <v>4200</v>
      </c>
      <c r="G129" s="173" t="s">
        <v>1720</v>
      </c>
      <c r="H129" s="173" t="s">
        <v>1721</v>
      </c>
      <c r="I129" s="173" t="s">
        <v>1722</v>
      </c>
      <c r="J129" s="173" t="s">
        <v>1723</v>
      </c>
      <c r="K129" s="173" t="s">
        <v>1724</v>
      </c>
      <c r="L129" s="173" t="s">
        <v>1725</v>
      </c>
      <c r="M129" s="173" t="s">
        <v>1750</v>
      </c>
      <c r="N129" s="173" t="s">
        <v>1727</v>
      </c>
      <c r="O129" s="173" t="s">
        <v>1728</v>
      </c>
      <c r="P129" s="169"/>
      <c r="Q129" s="169"/>
    </row>
    <row r="130" spans="1:17" s="170" customFormat="1" ht="10.5" x14ac:dyDescent="0.25">
      <c r="A130" s="175"/>
      <c r="B130" s="176" t="s">
        <v>4173</v>
      </c>
      <c r="C130" s="177"/>
      <c r="D130" s="178"/>
      <c r="E130" s="178"/>
      <c r="F130" s="178">
        <v>45</v>
      </c>
      <c r="G130" s="178"/>
      <c r="H130" s="178"/>
      <c r="I130" s="178"/>
      <c r="J130" s="178"/>
      <c r="K130" s="178"/>
      <c r="L130" s="178"/>
      <c r="M130" s="178">
        <f>O130*F130</f>
        <v>1134.9000000000001</v>
      </c>
      <c r="N130" s="178"/>
      <c r="O130" s="178">
        <f>O126</f>
        <v>25.220000000000002</v>
      </c>
      <c r="P130" s="179"/>
      <c r="Q130" s="169"/>
    </row>
    <row r="131" spans="1:17" s="170" customFormat="1" ht="10.5" x14ac:dyDescent="0.25">
      <c r="A131" s="175"/>
      <c r="B131" s="176"/>
      <c r="C131" s="177"/>
      <c r="D131" s="178"/>
      <c r="E131" s="178"/>
      <c r="F131" s="178"/>
      <c r="G131" s="178"/>
      <c r="H131" s="178"/>
      <c r="I131" s="178"/>
      <c r="J131" s="178"/>
      <c r="K131" s="178"/>
      <c r="L131" s="178"/>
      <c r="M131" s="178"/>
      <c r="N131" s="178"/>
      <c r="O131" s="178"/>
      <c r="P131" s="179"/>
      <c r="Q131" s="169"/>
    </row>
    <row r="132" spans="1:17" s="170" customFormat="1" ht="10.5" x14ac:dyDescent="0.25">
      <c r="A132" s="175"/>
      <c r="B132" s="181" t="s">
        <v>5</v>
      </c>
      <c r="C132" s="182" t="s">
        <v>1328</v>
      </c>
      <c r="D132" s="182"/>
      <c r="E132" s="182"/>
      <c r="F132" s="182"/>
      <c r="G132" s="182"/>
      <c r="H132" s="182"/>
      <c r="I132" s="182"/>
      <c r="J132" s="182"/>
      <c r="K132" s="182"/>
      <c r="L132" s="182"/>
      <c r="M132" s="182">
        <f>SUM(M130:M131)</f>
        <v>1134.9000000000001</v>
      </c>
      <c r="O132" s="182"/>
      <c r="P132" s="183"/>
      <c r="Q132" s="169"/>
    </row>
    <row r="133" spans="1:17" s="174" customFormat="1" ht="21" x14ac:dyDescent="0.25">
      <c r="A133" s="171" t="str">
        <f>ORÇAMENTO!A45</f>
        <v xml:space="preserve"> 1.8.5</v>
      </c>
      <c r="B133" s="172" t="str">
        <f>VLOOKUP(A133,ORÇAMENTO!A:K,4,0)</f>
        <v>REMOÇÃO MECANIZADA DE CAMADA GRANULAR DO PAVIMENTO</v>
      </c>
      <c r="C133" s="173" t="str">
        <f>VLOOKUP(A133,ORÇAMENTO!A:K,5,0)</f>
        <v>M³</v>
      </c>
      <c r="D133" s="173">
        <f>SUM(E136:O136)</f>
        <v>40</v>
      </c>
      <c r="E133" s="173" t="s">
        <v>1718</v>
      </c>
      <c r="F133" s="173" t="s">
        <v>1719</v>
      </c>
      <c r="G133" s="173" t="s">
        <v>1720</v>
      </c>
      <c r="H133" s="173" t="s">
        <v>1721</v>
      </c>
      <c r="I133" s="173" t="s">
        <v>1722</v>
      </c>
      <c r="J133" s="173" t="s">
        <v>1723</v>
      </c>
      <c r="K133" s="173" t="s">
        <v>1724</v>
      </c>
      <c r="L133" s="173" t="s">
        <v>1725</v>
      </c>
      <c r="M133" s="173" t="s">
        <v>1726</v>
      </c>
      <c r="N133" s="173" t="s">
        <v>1727</v>
      </c>
      <c r="O133" s="173" t="s">
        <v>1728</v>
      </c>
      <c r="P133" s="169"/>
      <c r="Q133" s="169"/>
    </row>
    <row r="134" spans="1:17" s="170" customFormat="1" ht="10.5" x14ac:dyDescent="0.25">
      <c r="A134" s="175"/>
      <c r="B134" s="176" t="s">
        <v>4174</v>
      </c>
      <c r="C134" s="177"/>
      <c r="D134" s="178"/>
      <c r="E134" s="178"/>
      <c r="F134" s="178"/>
      <c r="G134" s="178"/>
      <c r="H134" s="178">
        <v>0.05</v>
      </c>
      <c r="I134" s="178"/>
      <c r="J134" s="178"/>
      <c r="K134" s="178"/>
      <c r="L134" s="178"/>
      <c r="M134" s="178"/>
      <c r="N134" s="178">
        <f>N184</f>
        <v>800</v>
      </c>
      <c r="O134" s="178">
        <f>N134*H134</f>
        <v>40</v>
      </c>
      <c r="P134" s="179"/>
      <c r="Q134" s="169"/>
    </row>
    <row r="135" spans="1:17" s="170" customFormat="1" ht="10.5" x14ac:dyDescent="0.25">
      <c r="A135" s="175"/>
      <c r="B135" s="176"/>
      <c r="C135" s="177"/>
      <c r="D135" s="178"/>
      <c r="E135" s="178"/>
      <c r="F135" s="178"/>
      <c r="G135" s="178"/>
      <c r="H135" s="178"/>
      <c r="I135" s="178"/>
      <c r="J135" s="178"/>
      <c r="K135" s="178"/>
      <c r="L135" s="178"/>
      <c r="M135" s="178"/>
      <c r="N135" s="178"/>
      <c r="O135" s="178"/>
      <c r="P135" s="179"/>
      <c r="Q135" s="169"/>
    </row>
    <row r="136" spans="1:17" s="170" customFormat="1" ht="10.5" x14ac:dyDescent="0.25">
      <c r="A136" s="175"/>
      <c r="B136" s="181" t="s">
        <v>5</v>
      </c>
      <c r="C136" s="182" t="s">
        <v>1328</v>
      </c>
      <c r="D136" s="182"/>
      <c r="E136" s="182"/>
      <c r="F136" s="182"/>
      <c r="G136" s="182"/>
      <c r="H136" s="182"/>
      <c r="I136" s="182"/>
      <c r="J136" s="182"/>
      <c r="K136" s="182"/>
      <c r="L136" s="182"/>
      <c r="N136" s="182"/>
      <c r="O136" s="182">
        <f>SUM(O134:O135)</f>
        <v>40</v>
      </c>
      <c r="P136" s="183"/>
      <c r="Q136" s="169"/>
    </row>
    <row r="137" spans="1:17" s="174" customFormat="1" ht="52.5" x14ac:dyDescent="0.25">
      <c r="A137" s="171" t="str">
        <f>ORÇAMENTO!A46</f>
        <v xml:space="preserve"> 1.8.6</v>
      </c>
      <c r="B137" s="172" t="str">
        <f>VLOOKUP(A137,ORÇAMENTO!A:K,4,0)</f>
        <v>CARGA, MANOBRA E DESCARGA DE SOLOS E MATERIAIS GRANULARES EM CAMINHÃO BASCULANTE 14 M³ - CARGA COM ESCAVADEIRA HIDRÁULICA (CAÇAMBA DE 1,20 M³ / 155 HP) E DESCARGA LIVRE (UNIDADE: M3). AF_07/2020</v>
      </c>
      <c r="C137" s="173" t="str">
        <f>VLOOKUP(A137,ORÇAMENTO!A:K,5,0)</f>
        <v>M³</v>
      </c>
      <c r="D137" s="173">
        <f>SUM(E140:O140)</f>
        <v>60</v>
      </c>
      <c r="E137" s="173" t="s">
        <v>1718</v>
      </c>
      <c r="F137" s="173" t="s">
        <v>1719</v>
      </c>
      <c r="G137" s="173" t="s">
        <v>1720</v>
      </c>
      <c r="H137" s="173" t="s">
        <v>4199</v>
      </c>
      <c r="I137" s="173" t="s">
        <v>1722</v>
      </c>
      <c r="J137" s="173" t="s">
        <v>1723</v>
      </c>
      <c r="K137" s="173" t="s">
        <v>1724</v>
      </c>
      <c r="L137" s="173" t="s">
        <v>1725</v>
      </c>
      <c r="M137" s="173" t="s">
        <v>1726</v>
      </c>
      <c r="N137" s="173" t="s">
        <v>4201</v>
      </c>
      <c r="O137" s="173" t="s">
        <v>1728</v>
      </c>
      <c r="P137" s="169"/>
      <c r="Q137" s="169"/>
    </row>
    <row r="138" spans="1:17" s="170" customFormat="1" ht="10.5" x14ac:dyDescent="0.25">
      <c r="A138" s="175"/>
      <c r="B138" s="176" t="s">
        <v>4175</v>
      </c>
      <c r="C138" s="177"/>
      <c r="D138" s="178"/>
      <c r="E138" s="178"/>
      <c r="F138" s="178"/>
      <c r="G138" s="178"/>
      <c r="H138" s="178">
        <v>1.5</v>
      </c>
      <c r="I138" s="178"/>
      <c r="J138" s="178"/>
      <c r="K138" s="178"/>
      <c r="L138" s="178"/>
      <c r="M138" s="178"/>
      <c r="N138" s="178">
        <f>O138*H138</f>
        <v>60</v>
      </c>
      <c r="O138" s="178">
        <f>O136</f>
        <v>40</v>
      </c>
      <c r="P138" s="179"/>
      <c r="Q138" s="169"/>
    </row>
    <row r="139" spans="1:17" s="170" customFormat="1" ht="10.5" x14ac:dyDescent="0.25">
      <c r="A139" s="175"/>
      <c r="B139" s="176"/>
      <c r="C139" s="177"/>
      <c r="D139" s="178"/>
      <c r="E139" s="178"/>
      <c r="F139" s="178"/>
      <c r="G139" s="178"/>
      <c r="H139" s="178"/>
      <c r="I139" s="178"/>
      <c r="J139" s="178"/>
      <c r="K139" s="178"/>
      <c r="L139" s="178"/>
      <c r="M139" s="178"/>
      <c r="N139" s="178"/>
      <c r="O139" s="178"/>
      <c r="P139" s="179"/>
      <c r="Q139" s="169"/>
    </row>
    <row r="140" spans="1:17" s="170" customFormat="1" ht="10.5" x14ac:dyDescent="0.25">
      <c r="A140" s="175"/>
      <c r="B140" s="181" t="s">
        <v>5</v>
      </c>
      <c r="C140" s="182" t="s">
        <v>1328</v>
      </c>
      <c r="D140" s="182"/>
      <c r="E140" s="182"/>
      <c r="F140" s="182"/>
      <c r="G140" s="182"/>
      <c r="H140" s="182"/>
      <c r="I140" s="182"/>
      <c r="J140" s="182"/>
      <c r="K140" s="182"/>
      <c r="L140" s="182"/>
      <c r="N140" s="182">
        <f>SUM(N138:N139)</f>
        <v>60</v>
      </c>
      <c r="O140" s="182"/>
      <c r="P140" s="183"/>
      <c r="Q140" s="169"/>
    </row>
    <row r="141" spans="1:17" s="174" customFormat="1" ht="31.5" x14ac:dyDescent="0.25">
      <c r="A141" s="171" t="str">
        <f>ORÇAMENTO!A47</f>
        <v xml:space="preserve"> 1.8.7</v>
      </c>
      <c r="B141" s="172" t="str">
        <f>VLOOKUP(A141,ORÇAMENTO!A:K,4,0)</f>
        <v>TRANSPORTE COM CAMINHÃO BASCULANTE DE 14 M³, EM VIA URBANA PAVIMENTADA, DMT ATÉ 30 KM (UNIDADE: M3XKM). AF_07/2020</v>
      </c>
      <c r="C141" s="173" t="str">
        <f>VLOOKUP(A141,ORÇAMENTO!A:K,5,0)</f>
        <v>M3XKM</v>
      </c>
      <c r="D141" s="173">
        <f>SUM(E144:O144)</f>
        <v>1800</v>
      </c>
      <c r="E141" s="173" t="s">
        <v>1718</v>
      </c>
      <c r="F141" s="173" t="s">
        <v>4200</v>
      </c>
      <c r="G141" s="173" t="s">
        <v>1720</v>
      </c>
      <c r="H141" s="173" t="s">
        <v>1721</v>
      </c>
      <c r="I141" s="173" t="s">
        <v>1722</v>
      </c>
      <c r="J141" s="173" t="s">
        <v>1723</v>
      </c>
      <c r="K141" s="173" t="s">
        <v>1724</v>
      </c>
      <c r="L141" s="173" t="s">
        <v>1725</v>
      </c>
      <c r="M141" s="173" t="s">
        <v>1750</v>
      </c>
      <c r="N141" s="173" t="s">
        <v>1727</v>
      </c>
      <c r="O141" s="173" t="s">
        <v>1728</v>
      </c>
      <c r="P141" s="169"/>
      <c r="Q141" s="169"/>
    </row>
    <row r="142" spans="1:17" s="170" customFormat="1" ht="10.5" x14ac:dyDescent="0.25">
      <c r="A142" s="175"/>
      <c r="B142" s="176" t="s">
        <v>4159</v>
      </c>
      <c r="C142" s="177"/>
      <c r="D142" s="178"/>
      <c r="E142" s="178"/>
      <c r="F142" s="178">
        <v>30</v>
      </c>
      <c r="G142" s="178"/>
      <c r="H142" s="178"/>
      <c r="I142" s="178"/>
      <c r="J142" s="178"/>
      <c r="K142" s="178"/>
      <c r="L142" s="178"/>
      <c r="M142" s="178">
        <f>O142*F142</f>
        <v>1800</v>
      </c>
      <c r="N142" s="178"/>
      <c r="O142" s="178">
        <f>N140</f>
        <v>60</v>
      </c>
      <c r="P142" s="179"/>
      <c r="Q142" s="169"/>
    </row>
    <row r="143" spans="1:17" s="170" customFormat="1" ht="10.5" x14ac:dyDescent="0.25">
      <c r="A143" s="175"/>
      <c r="B143" s="176"/>
      <c r="C143" s="177"/>
      <c r="D143" s="178"/>
      <c r="E143" s="178"/>
      <c r="F143" s="178"/>
      <c r="G143" s="178"/>
      <c r="H143" s="178"/>
      <c r="I143" s="178"/>
      <c r="J143" s="178"/>
      <c r="K143" s="178"/>
      <c r="L143" s="178"/>
      <c r="M143" s="178"/>
      <c r="N143" s="178"/>
      <c r="O143" s="178"/>
      <c r="P143" s="179"/>
      <c r="Q143" s="169"/>
    </row>
    <row r="144" spans="1:17" s="170" customFormat="1" ht="10.5" x14ac:dyDescent="0.25">
      <c r="A144" s="175"/>
      <c r="B144" s="181" t="s">
        <v>5</v>
      </c>
      <c r="C144" s="182" t="s">
        <v>1328</v>
      </c>
      <c r="D144" s="182"/>
      <c r="E144" s="182"/>
      <c r="F144" s="182"/>
      <c r="G144" s="182"/>
      <c r="H144" s="182"/>
      <c r="I144" s="182"/>
      <c r="J144" s="182"/>
      <c r="K144" s="182"/>
      <c r="L144" s="182"/>
      <c r="M144" s="182">
        <f>SUM(M142:M143)</f>
        <v>1800</v>
      </c>
      <c r="O144" s="182"/>
      <c r="P144" s="183"/>
      <c r="Q144" s="169"/>
    </row>
    <row r="145" spans="1:17" s="174" customFormat="1" ht="42" x14ac:dyDescent="0.25">
      <c r="A145" s="171" t="str">
        <f>ORÇAMENTO!A48</f>
        <v xml:space="preserve"> 1.8.8</v>
      </c>
      <c r="B145" s="172" t="str">
        <f>VLOOKUP(A145,ORÇAMENTO!A:K,4,0)</f>
        <v>TRANSPORTE COM CAMINHÃO BASCULANTE DE 14 M³, EM VIA URBANA PAVIMENTADA, ADICIONAL PARA DMT EXCEDENTE A 30 KM (UNIDADE: M3XKM). AF_07/2020</v>
      </c>
      <c r="C145" s="173" t="str">
        <f>VLOOKUP(A145,ORÇAMENTO!A:K,5,0)</f>
        <v>M3XKM</v>
      </c>
      <c r="D145" s="173">
        <f>SUM(E148:O148)</f>
        <v>2700</v>
      </c>
      <c r="E145" s="173" t="s">
        <v>1718</v>
      </c>
      <c r="F145" s="173" t="s">
        <v>1719</v>
      </c>
      <c r="G145" s="173" t="s">
        <v>1720</v>
      </c>
      <c r="H145" s="173" t="s">
        <v>1721</v>
      </c>
      <c r="I145" s="173" t="s">
        <v>1722</v>
      </c>
      <c r="J145" s="173" t="s">
        <v>1723</v>
      </c>
      <c r="K145" s="173" t="s">
        <v>1724</v>
      </c>
      <c r="L145" s="173" t="s">
        <v>1725</v>
      </c>
      <c r="M145" s="173" t="s">
        <v>1726</v>
      </c>
      <c r="N145" s="173" t="s">
        <v>1727</v>
      </c>
      <c r="O145" s="173" t="s">
        <v>1728</v>
      </c>
      <c r="P145" s="169"/>
      <c r="Q145" s="169"/>
    </row>
    <row r="146" spans="1:17" s="170" customFormat="1" ht="10.5" x14ac:dyDescent="0.25">
      <c r="A146" s="175"/>
      <c r="B146" s="176" t="s">
        <v>4173</v>
      </c>
      <c r="C146" s="177"/>
      <c r="D146" s="178"/>
      <c r="E146" s="178"/>
      <c r="F146" s="178">
        <v>45</v>
      </c>
      <c r="G146" s="178"/>
      <c r="H146" s="178"/>
      <c r="I146" s="178"/>
      <c r="J146" s="178"/>
      <c r="K146" s="178"/>
      <c r="L146" s="178"/>
      <c r="M146" s="178">
        <f>O146*F146</f>
        <v>2700</v>
      </c>
      <c r="N146" s="178"/>
      <c r="O146" s="178">
        <f>O142</f>
        <v>60</v>
      </c>
      <c r="P146" s="179"/>
      <c r="Q146" s="169"/>
    </row>
    <row r="147" spans="1:17" s="170" customFormat="1" ht="10.5" x14ac:dyDescent="0.25">
      <c r="A147" s="175"/>
      <c r="B147" s="176"/>
      <c r="C147" s="177"/>
      <c r="D147" s="178"/>
      <c r="E147" s="178"/>
      <c r="F147" s="178"/>
      <c r="G147" s="178"/>
      <c r="H147" s="178"/>
      <c r="I147" s="178"/>
      <c r="J147" s="178"/>
      <c r="K147" s="178"/>
      <c r="L147" s="178"/>
      <c r="M147" s="178"/>
      <c r="N147" s="178"/>
      <c r="O147" s="178"/>
      <c r="P147" s="179"/>
      <c r="Q147" s="169"/>
    </row>
    <row r="148" spans="1:17" s="170" customFormat="1" ht="10.5" x14ac:dyDescent="0.25">
      <c r="A148" s="175"/>
      <c r="B148" s="181" t="s">
        <v>5</v>
      </c>
      <c r="C148" s="182" t="s">
        <v>1328</v>
      </c>
      <c r="D148" s="182"/>
      <c r="E148" s="182"/>
      <c r="F148" s="182"/>
      <c r="G148" s="182"/>
      <c r="H148" s="182"/>
      <c r="I148" s="182"/>
      <c r="J148" s="182"/>
      <c r="K148" s="182"/>
      <c r="L148" s="182"/>
      <c r="M148" s="182">
        <f>SUM(M146:M147)</f>
        <v>2700</v>
      </c>
      <c r="O148" s="182"/>
      <c r="P148" s="183"/>
      <c r="Q148" s="169"/>
    </row>
    <row r="149" spans="1:17" s="174" customFormat="1" ht="21" x14ac:dyDescent="0.25">
      <c r="A149" s="171" t="str">
        <f>ORÇAMENTO!A49</f>
        <v xml:space="preserve"> 1.8.9</v>
      </c>
      <c r="B149" s="172" t="str">
        <f>VLOOKUP(A149,ORÇAMENTO!A:K,4,0)</f>
        <v>ESPALHAMENTO DE MATERIAL EM BOTA-FORA</v>
      </c>
      <c r="C149" s="173" t="str">
        <f>VLOOKUP(A149,ORÇAMENTO!A:K,5,0)</f>
        <v>M³</v>
      </c>
      <c r="D149" s="173">
        <f>SUM(E152:O152)</f>
        <v>120</v>
      </c>
      <c r="E149" s="173" t="s">
        <v>1718</v>
      </c>
      <c r="F149" s="173" t="s">
        <v>1719</v>
      </c>
      <c r="G149" s="173" t="s">
        <v>1720</v>
      </c>
      <c r="H149" s="173" t="s">
        <v>1721</v>
      </c>
      <c r="I149" s="173" t="s">
        <v>1722</v>
      </c>
      <c r="J149" s="173" t="s">
        <v>1723</v>
      </c>
      <c r="K149" s="173" t="s">
        <v>1724</v>
      </c>
      <c r="L149" s="173" t="s">
        <v>1725</v>
      </c>
      <c r="M149" s="173" t="s">
        <v>1726</v>
      </c>
      <c r="N149" s="173" t="s">
        <v>1727</v>
      </c>
      <c r="O149" s="173" t="s">
        <v>1728</v>
      </c>
      <c r="P149" s="169"/>
      <c r="Q149" s="169"/>
    </row>
    <row r="150" spans="1:17" s="170" customFormat="1" ht="21" x14ac:dyDescent="0.25">
      <c r="A150" s="175"/>
      <c r="B150" s="176" t="s">
        <v>4176</v>
      </c>
      <c r="C150" s="177"/>
      <c r="D150" s="178"/>
      <c r="E150" s="178"/>
      <c r="F150" s="178"/>
      <c r="G150" s="178"/>
      <c r="H150" s="178">
        <v>0.15</v>
      </c>
      <c r="I150" s="178"/>
      <c r="J150" s="178"/>
      <c r="K150" s="178"/>
      <c r="L150" s="178"/>
      <c r="M150" s="178"/>
      <c r="N150" s="178">
        <f>N134</f>
        <v>800</v>
      </c>
      <c r="O150" s="178">
        <f>N150*H150</f>
        <v>120</v>
      </c>
      <c r="P150" s="179"/>
      <c r="Q150" s="169"/>
    </row>
    <row r="151" spans="1:17" s="170" customFormat="1" ht="10.5" x14ac:dyDescent="0.25">
      <c r="A151" s="175"/>
      <c r="B151" s="176"/>
      <c r="C151" s="177"/>
      <c r="D151" s="178"/>
      <c r="E151" s="178"/>
      <c r="F151" s="178"/>
      <c r="G151" s="178"/>
      <c r="H151" s="178"/>
      <c r="I151" s="178"/>
      <c r="J151" s="178"/>
      <c r="K151" s="178"/>
      <c r="L151" s="178"/>
      <c r="M151" s="178"/>
      <c r="N151" s="178"/>
      <c r="O151" s="178"/>
      <c r="P151" s="179"/>
      <c r="Q151" s="169"/>
    </row>
    <row r="152" spans="1:17" s="170" customFormat="1" ht="10.5" x14ac:dyDescent="0.25">
      <c r="A152" s="175"/>
      <c r="B152" s="181" t="s">
        <v>5</v>
      </c>
      <c r="C152" s="182" t="s">
        <v>1328</v>
      </c>
      <c r="D152" s="182"/>
      <c r="E152" s="182"/>
      <c r="F152" s="182"/>
      <c r="G152" s="182"/>
      <c r="H152" s="182"/>
      <c r="I152" s="182"/>
      <c r="J152" s="182"/>
      <c r="K152" s="182"/>
      <c r="L152" s="182"/>
      <c r="N152" s="182"/>
      <c r="O152" s="182">
        <f>SUM(O150:O151)</f>
        <v>120</v>
      </c>
      <c r="P152" s="183"/>
      <c r="Q152" s="169"/>
    </row>
    <row r="153" spans="1:17" s="174" customFormat="1" ht="21" x14ac:dyDescent="0.25">
      <c r="A153" s="171" t="str">
        <f>ORÇAMENTO!A50</f>
        <v xml:space="preserve"> 1.8.10</v>
      </c>
      <c r="B153" s="172" t="str">
        <f>VLOOKUP(A153,ORÇAMENTO!A:K,4,0)</f>
        <v>REVOLVIMENTO E LIMPEZA MANUAL DE SOLO. AF_07/2024</v>
      </c>
      <c r="C153" s="173" t="str">
        <f>VLOOKUP(A153,ORÇAMENTO!A:K,5,0)</f>
        <v>M²</v>
      </c>
      <c r="D153" s="173">
        <f>SUM(E156:O156)</f>
        <v>800</v>
      </c>
      <c r="E153" s="173" t="s">
        <v>1718</v>
      </c>
      <c r="F153" s="173" t="s">
        <v>1719</v>
      </c>
      <c r="G153" s="173" t="s">
        <v>1720</v>
      </c>
      <c r="H153" s="173" t="s">
        <v>1721</v>
      </c>
      <c r="I153" s="173" t="s">
        <v>1722</v>
      </c>
      <c r="J153" s="173" t="s">
        <v>1723</v>
      </c>
      <c r="K153" s="173" t="s">
        <v>1724</v>
      </c>
      <c r="L153" s="173" t="s">
        <v>1725</v>
      </c>
      <c r="M153" s="173" t="s">
        <v>1726</v>
      </c>
      <c r="N153" s="173" t="s">
        <v>1727</v>
      </c>
      <c r="O153" s="173" t="s">
        <v>1728</v>
      </c>
      <c r="P153" s="169"/>
      <c r="Q153" s="169"/>
    </row>
    <row r="154" spans="1:17" s="170" customFormat="1" ht="21" x14ac:dyDescent="0.25">
      <c r="A154" s="175"/>
      <c r="B154" s="176" t="s">
        <v>4156</v>
      </c>
      <c r="C154" s="177"/>
      <c r="D154" s="178"/>
      <c r="E154" s="178"/>
      <c r="F154" s="178"/>
      <c r="G154" s="178"/>
      <c r="H154" s="178"/>
      <c r="I154" s="178"/>
      <c r="J154" s="178"/>
      <c r="K154" s="178"/>
      <c r="L154" s="178"/>
      <c r="M154" s="178"/>
      <c r="N154" s="178">
        <f>N150</f>
        <v>800</v>
      </c>
      <c r="O154" s="178"/>
      <c r="P154" s="179"/>
      <c r="Q154" s="169"/>
    </row>
    <row r="155" spans="1:17" s="170" customFormat="1" ht="10.5" x14ac:dyDescent="0.25">
      <c r="A155" s="175"/>
      <c r="B155" s="176"/>
      <c r="C155" s="177"/>
      <c r="D155" s="178"/>
      <c r="E155" s="178"/>
      <c r="F155" s="178"/>
      <c r="G155" s="178"/>
      <c r="H155" s="178"/>
      <c r="I155" s="178"/>
      <c r="J155" s="178"/>
      <c r="K155" s="178"/>
      <c r="L155" s="178"/>
      <c r="M155" s="178"/>
      <c r="N155" s="178"/>
      <c r="O155" s="178"/>
      <c r="P155" s="179"/>
      <c r="Q155" s="169"/>
    </row>
    <row r="156" spans="1:17" s="170" customFormat="1" ht="10.5" x14ac:dyDescent="0.25">
      <c r="A156" s="175"/>
      <c r="B156" s="181" t="s">
        <v>5</v>
      </c>
      <c r="C156" s="182" t="s">
        <v>1328</v>
      </c>
      <c r="D156" s="182"/>
      <c r="E156" s="182"/>
      <c r="F156" s="182"/>
      <c r="G156" s="182"/>
      <c r="H156" s="182"/>
      <c r="I156" s="182"/>
      <c r="J156" s="182"/>
      <c r="K156" s="182"/>
      <c r="L156" s="182"/>
      <c r="N156" s="182">
        <f>SUM(N154:N155)</f>
        <v>800</v>
      </c>
      <c r="O156" s="182"/>
      <c r="P156" s="183"/>
      <c r="Q156" s="169"/>
    </row>
    <row r="157" spans="1:17" s="174" customFormat="1" ht="21" x14ac:dyDescent="0.25">
      <c r="A157" s="171" t="str">
        <f>ORÇAMENTO!A51</f>
        <v xml:space="preserve"> 1.8.11</v>
      </c>
      <c r="B157" s="172" t="str">
        <f>VLOOKUP(A157,ORÇAMENTO!A:K,4,0)</f>
        <v>APLICAÇÃO DE ADUBO EM SOLO. AF_07/2024</v>
      </c>
      <c r="C157" s="173" t="str">
        <f>VLOOKUP(A157,ORÇAMENTO!A:K,5,0)</f>
        <v>M²</v>
      </c>
      <c r="D157" s="173">
        <f>SUM(E160:O160)</f>
        <v>800</v>
      </c>
      <c r="E157" s="173" t="s">
        <v>1718</v>
      </c>
      <c r="F157" s="173" t="s">
        <v>1719</v>
      </c>
      <c r="G157" s="173" t="s">
        <v>1720</v>
      </c>
      <c r="H157" s="173" t="s">
        <v>1721</v>
      </c>
      <c r="I157" s="173" t="s">
        <v>1722</v>
      </c>
      <c r="J157" s="173" t="s">
        <v>1723</v>
      </c>
      <c r="K157" s="173" t="s">
        <v>1724</v>
      </c>
      <c r="L157" s="173" t="s">
        <v>1725</v>
      </c>
      <c r="M157" s="173" t="s">
        <v>1726</v>
      </c>
      <c r="N157" s="173" t="s">
        <v>1727</v>
      </c>
      <c r="O157" s="173" t="s">
        <v>1728</v>
      </c>
      <c r="P157" s="169"/>
      <c r="Q157" s="169"/>
    </row>
    <row r="158" spans="1:17" s="170" customFormat="1" ht="21" x14ac:dyDescent="0.25">
      <c r="A158" s="175"/>
      <c r="B158" s="176" t="s">
        <v>4156</v>
      </c>
      <c r="C158" s="177"/>
      <c r="D158" s="178"/>
      <c r="E158" s="178"/>
      <c r="F158" s="178"/>
      <c r="G158" s="178"/>
      <c r="H158" s="178"/>
      <c r="I158" s="178"/>
      <c r="J158" s="178"/>
      <c r="K158" s="178"/>
      <c r="L158" s="178"/>
      <c r="M158" s="178"/>
      <c r="N158" s="178">
        <f>N154</f>
        <v>800</v>
      </c>
      <c r="O158" s="178"/>
      <c r="P158" s="179"/>
      <c r="Q158" s="169"/>
    </row>
    <row r="159" spans="1:17" s="170" customFormat="1" ht="10.5" x14ac:dyDescent="0.25">
      <c r="A159" s="175"/>
      <c r="B159" s="176"/>
      <c r="C159" s="177"/>
      <c r="D159" s="178"/>
      <c r="E159" s="178"/>
      <c r="F159" s="178"/>
      <c r="G159" s="178"/>
      <c r="H159" s="178"/>
      <c r="I159" s="178"/>
      <c r="J159" s="178"/>
      <c r="K159" s="178"/>
      <c r="L159" s="178"/>
      <c r="M159" s="178"/>
      <c r="N159" s="178"/>
      <c r="O159" s="178"/>
      <c r="P159" s="179"/>
      <c r="Q159" s="169"/>
    </row>
    <row r="160" spans="1:17" s="170" customFormat="1" ht="10.5" x14ac:dyDescent="0.25">
      <c r="A160" s="175"/>
      <c r="B160" s="181" t="s">
        <v>5</v>
      </c>
      <c r="C160" s="182" t="s">
        <v>1328</v>
      </c>
      <c r="D160" s="182"/>
      <c r="E160" s="182"/>
      <c r="F160" s="182"/>
      <c r="G160" s="182"/>
      <c r="H160" s="182"/>
      <c r="I160" s="182"/>
      <c r="J160" s="182"/>
      <c r="K160" s="182"/>
      <c r="L160" s="182"/>
      <c r="N160" s="182">
        <f>SUM(N158:N159)</f>
        <v>800</v>
      </c>
      <c r="O160" s="182"/>
      <c r="P160" s="183"/>
      <c r="Q160" s="169"/>
    </row>
    <row r="161" spans="1:17" s="174" customFormat="1" ht="21" x14ac:dyDescent="0.25">
      <c r="A161" s="171" t="str">
        <f>ORÇAMENTO!A52</f>
        <v xml:space="preserve"> 1.8.12</v>
      </c>
      <c r="B161" s="172" t="str">
        <f>VLOOKUP(A161,ORÇAMENTO!A:K,4,0)</f>
        <v>APLICAÇÃO DE CALCÁRIO PARA CORREÇÃO DO PH DO SOLO. AF_07/2024</v>
      </c>
      <c r="C161" s="173" t="str">
        <f>VLOOKUP(A161,ORÇAMENTO!A:K,5,0)</f>
        <v>M²</v>
      </c>
      <c r="D161" s="173">
        <f>SUM(E164:O164)</f>
        <v>800</v>
      </c>
      <c r="E161" s="173" t="s">
        <v>1718</v>
      </c>
      <c r="F161" s="173" t="s">
        <v>1719</v>
      </c>
      <c r="G161" s="173" t="s">
        <v>1720</v>
      </c>
      <c r="H161" s="173" t="s">
        <v>1721</v>
      </c>
      <c r="I161" s="173" t="s">
        <v>1722</v>
      </c>
      <c r="J161" s="173" t="s">
        <v>1723</v>
      </c>
      <c r="K161" s="173" t="s">
        <v>1724</v>
      </c>
      <c r="L161" s="173" t="s">
        <v>1725</v>
      </c>
      <c r="M161" s="173" t="s">
        <v>1726</v>
      </c>
      <c r="N161" s="173" t="s">
        <v>1727</v>
      </c>
      <c r="O161" s="173" t="s">
        <v>1728</v>
      </c>
      <c r="P161" s="169"/>
      <c r="Q161" s="169"/>
    </row>
    <row r="162" spans="1:17" s="170" customFormat="1" ht="21" x14ac:dyDescent="0.25">
      <c r="A162" s="175"/>
      <c r="B162" s="176" t="s">
        <v>4156</v>
      </c>
      <c r="C162" s="177"/>
      <c r="D162" s="178"/>
      <c r="E162" s="178"/>
      <c r="F162" s="178"/>
      <c r="G162" s="178"/>
      <c r="H162" s="178"/>
      <c r="I162" s="178"/>
      <c r="J162" s="178"/>
      <c r="K162" s="178"/>
      <c r="L162" s="178"/>
      <c r="M162" s="178"/>
      <c r="N162" s="178">
        <f>N158</f>
        <v>800</v>
      </c>
      <c r="O162" s="178"/>
      <c r="P162" s="179"/>
      <c r="Q162" s="169"/>
    </row>
    <row r="163" spans="1:17" s="170" customFormat="1" ht="10.5" x14ac:dyDescent="0.25">
      <c r="A163" s="175"/>
      <c r="B163" s="176"/>
      <c r="C163" s="177"/>
      <c r="D163" s="178"/>
      <c r="E163" s="178"/>
      <c r="F163" s="178"/>
      <c r="G163" s="178"/>
      <c r="H163" s="178"/>
      <c r="I163" s="178"/>
      <c r="J163" s="178"/>
      <c r="K163" s="178"/>
      <c r="L163" s="178"/>
      <c r="M163" s="178"/>
      <c r="N163" s="178"/>
      <c r="O163" s="178"/>
      <c r="P163" s="179"/>
      <c r="Q163" s="169"/>
    </row>
    <row r="164" spans="1:17" s="170" customFormat="1" ht="10.5" x14ac:dyDescent="0.25">
      <c r="A164" s="175"/>
      <c r="B164" s="181" t="s">
        <v>5</v>
      </c>
      <c r="C164" s="182" t="s">
        <v>1328</v>
      </c>
      <c r="D164" s="182"/>
      <c r="E164" s="182"/>
      <c r="F164" s="182"/>
      <c r="G164" s="182"/>
      <c r="H164" s="182"/>
      <c r="I164" s="182"/>
      <c r="J164" s="182"/>
      <c r="K164" s="182"/>
      <c r="L164" s="182"/>
      <c r="N164" s="182">
        <f>SUM(N162:N163)</f>
        <v>800</v>
      </c>
      <c r="O164" s="182"/>
      <c r="P164" s="183"/>
      <c r="Q164" s="169"/>
    </row>
    <row r="165" spans="1:17" s="174" customFormat="1" ht="21" x14ac:dyDescent="0.25">
      <c r="A165" s="171" t="str">
        <f>ORÇAMENTO!A53</f>
        <v xml:space="preserve"> 1.8.13</v>
      </c>
      <c r="B165" s="172" t="str">
        <f>VLOOKUP(A165,ORÇAMENTO!A:K,4,0)</f>
        <v>PLANTIO DE GRAMA BATATAIS EM PLACAS. AF_07/2024</v>
      </c>
      <c r="C165" s="173" t="str">
        <f>VLOOKUP(A165,ORÇAMENTO!A:K,5,0)</f>
        <v>M²</v>
      </c>
      <c r="D165" s="173">
        <f>SUM(E168:O168)</f>
        <v>800</v>
      </c>
      <c r="E165" s="173" t="s">
        <v>1718</v>
      </c>
      <c r="F165" s="173" t="s">
        <v>1719</v>
      </c>
      <c r="G165" s="173" t="s">
        <v>1720</v>
      </c>
      <c r="H165" s="173" t="s">
        <v>1721</v>
      </c>
      <c r="I165" s="173" t="s">
        <v>1722</v>
      </c>
      <c r="J165" s="173" t="s">
        <v>1723</v>
      </c>
      <c r="K165" s="173" t="s">
        <v>1724</v>
      </c>
      <c r="L165" s="173" t="s">
        <v>1725</v>
      </c>
      <c r="M165" s="173" t="s">
        <v>1726</v>
      </c>
      <c r="N165" s="173" t="s">
        <v>1727</v>
      </c>
      <c r="O165" s="173" t="s">
        <v>1728</v>
      </c>
      <c r="P165" s="169"/>
      <c r="Q165" s="169"/>
    </row>
    <row r="166" spans="1:17" s="170" customFormat="1" ht="21" x14ac:dyDescent="0.25">
      <c r="A166" s="175"/>
      <c r="B166" s="176" t="s">
        <v>4156</v>
      </c>
      <c r="C166" s="177"/>
      <c r="D166" s="178"/>
      <c r="E166" s="178"/>
      <c r="F166" s="178"/>
      <c r="G166" s="178"/>
      <c r="H166" s="178"/>
      <c r="I166" s="178"/>
      <c r="J166" s="178"/>
      <c r="K166" s="178"/>
      <c r="L166" s="178"/>
      <c r="M166" s="178"/>
      <c r="N166" s="178">
        <f>N162</f>
        <v>800</v>
      </c>
      <c r="O166" s="178"/>
      <c r="P166" s="179"/>
      <c r="Q166" s="169"/>
    </row>
    <row r="167" spans="1:17" s="170" customFormat="1" ht="10.5" x14ac:dyDescent="0.25">
      <c r="A167" s="175"/>
      <c r="B167" s="176"/>
      <c r="C167" s="177"/>
      <c r="D167" s="178"/>
      <c r="E167" s="178"/>
      <c r="F167" s="178"/>
      <c r="G167" s="178"/>
      <c r="H167" s="178"/>
      <c r="I167" s="178"/>
      <c r="J167" s="178"/>
      <c r="K167" s="178"/>
      <c r="L167" s="178"/>
      <c r="M167" s="178"/>
      <c r="N167" s="178"/>
      <c r="O167" s="178"/>
      <c r="P167" s="179"/>
      <c r="Q167" s="169"/>
    </row>
    <row r="168" spans="1:17" s="170" customFormat="1" ht="10.5" x14ac:dyDescent="0.25">
      <c r="A168" s="175"/>
      <c r="B168" s="181" t="s">
        <v>5</v>
      </c>
      <c r="C168" s="182" t="s">
        <v>1328</v>
      </c>
      <c r="D168" s="182"/>
      <c r="E168" s="182"/>
      <c r="F168" s="182"/>
      <c r="G168" s="182"/>
      <c r="H168" s="182"/>
      <c r="I168" s="182"/>
      <c r="J168" s="182"/>
      <c r="K168" s="182"/>
      <c r="L168" s="182"/>
      <c r="N168" s="182">
        <f>SUM(N166:N167)</f>
        <v>800</v>
      </c>
      <c r="O168" s="182"/>
      <c r="P168" s="183"/>
      <c r="Q168" s="169"/>
    </row>
    <row r="169" spans="1:17" s="343" customFormat="1" ht="10.5" x14ac:dyDescent="0.25">
      <c r="A169" s="338">
        <f>ORÇAMENTO!A54</f>
        <v>2</v>
      </c>
      <c r="B169" s="339" t="str">
        <f>VLOOKUP(A169,ORÇAMENTO!$A:$F,4,0)</f>
        <v>MOBILIZAÇÃO E DESMOBILIZAÇÃO</v>
      </c>
      <c r="C169" s="340"/>
      <c r="D169" s="340"/>
      <c r="E169" s="341"/>
      <c r="F169" s="341"/>
      <c r="G169" s="341"/>
      <c r="H169" s="341"/>
      <c r="I169" s="341"/>
      <c r="J169" s="341"/>
      <c r="K169" s="341"/>
      <c r="L169" s="341"/>
      <c r="M169" s="341"/>
      <c r="N169" s="341"/>
      <c r="O169" s="341"/>
      <c r="P169" s="342"/>
      <c r="Q169" s="342"/>
    </row>
    <row r="170" spans="1:17" s="347" customFormat="1" ht="21" x14ac:dyDescent="0.25">
      <c r="A170" s="344" t="str">
        <f>ORÇAMENTO!A55</f>
        <v xml:space="preserve"> 2.1 </v>
      </c>
      <c r="B170" s="345" t="str">
        <f>VLOOKUP(A170,ORÇAMENTO!$A:$F,4,0)</f>
        <v>CAVALO MECÂNICO COM SEMIRREBOQUE COM CAPACIDADE DE 22 T - 240 KW</v>
      </c>
      <c r="C170" s="346" t="str">
        <f>VLOOKUP(A170,ORÇAMENTO!$A:$F,5,0)</f>
        <v>UN</v>
      </c>
      <c r="D170" s="346">
        <f>SUM(E174:O174)</f>
        <v>44</v>
      </c>
      <c r="E170" s="346" t="s">
        <v>1718</v>
      </c>
      <c r="F170" s="346" t="s">
        <v>1719</v>
      </c>
      <c r="G170" s="346" t="s">
        <v>1720</v>
      </c>
      <c r="H170" s="346" t="s">
        <v>1721</v>
      </c>
      <c r="I170" s="346" t="s">
        <v>1722</v>
      </c>
      <c r="J170" s="346" t="s">
        <v>1723</v>
      </c>
      <c r="K170" s="346" t="s">
        <v>1724</v>
      </c>
      <c r="L170" s="346" t="s">
        <v>1725</v>
      </c>
      <c r="M170" s="346" t="s">
        <v>4202</v>
      </c>
      <c r="N170" s="346" t="s">
        <v>1727</v>
      </c>
      <c r="O170" s="346" t="s">
        <v>1728</v>
      </c>
      <c r="P170" s="342"/>
      <c r="Q170" s="342"/>
    </row>
    <row r="171" spans="1:17" s="343" customFormat="1" ht="10.5" x14ac:dyDescent="0.25">
      <c r="A171" s="348"/>
      <c r="B171" s="349"/>
      <c r="C171" s="350"/>
      <c r="D171" s="351"/>
      <c r="E171" s="351"/>
      <c r="F171" s="351"/>
      <c r="G171" s="351"/>
      <c r="H171" s="351"/>
      <c r="I171" s="351"/>
      <c r="J171" s="351"/>
      <c r="K171" s="351"/>
      <c r="L171" s="351"/>
      <c r="M171" s="351"/>
      <c r="N171" s="351"/>
      <c r="O171" s="351"/>
      <c r="P171" s="352"/>
      <c r="Q171" s="342"/>
    </row>
    <row r="172" spans="1:17" s="343" customFormat="1" ht="21" x14ac:dyDescent="0.25">
      <c r="A172" s="348"/>
      <c r="B172" s="349" t="s">
        <v>4156</v>
      </c>
      <c r="C172" s="350"/>
      <c r="D172" s="351"/>
      <c r="E172" s="351"/>
      <c r="F172" s="351"/>
      <c r="G172" s="351"/>
      <c r="H172" s="351"/>
      <c r="I172" s="351"/>
      <c r="J172" s="351"/>
      <c r="K172" s="351"/>
      <c r="L172" s="351"/>
      <c r="M172" s="351">
        <v>44</v>
      </c>
      <c r="N172" s="351"/>
      <c r="O172" s="351"/>
      <c r="P172" s="352"/>
      <c r="Q172" s="342"/>
    </row>
    <row r="173" spans="1:17" s="343" customFormat="1" ht="10.5" x14ac:dyDescent="0.25">
      <c r="A173" s="348"/>
      <c r="B173" s="349"/>
      <c r="C173" s="350"/>
      <c r="D173" s="351"/>
      <c r="E173" s="351"/>
      <c r="F173" s="351"/>
      <c r="G173" s="351"/>
      <c r="H173" s="351"/>
      <c r="I173" s="351"/>
      <c r="J173" s="351"/>
      <c r="K173" s="351"/>
      <c r="L173" s="353"/>
      <c r="M173" s="351"/>
      <c r="N173" s="351"/>
      <c r="O173" s="351"/>
      <c r="P173" s="352"/>
      <c r="Q173" s="342"/>
    </row>
    <row r="174" spans="1:17" s="343" customFormat="1" ht="10.5" x14ac:dyDescent="0.25">
      <c r="A174" s="348"/>
      <c r="B174" s="354" t="s">
        <v>5</v>
      </c>
      <c r="C174" s="355" t="s">
        <v>1328</v>
      </c>
      <c r="D174" s="355"/>
      <c r="E174" s="355"/>
      <c r="F174" s="355"/>
      <c r="G174" s="355"/>
      <c r="H174" s="355"/>
      <c r="I174" s="355"/>
      <c r="J174" s="355"/>
      <c r="K174" s="355"/>
      <c r="L174" s="355"/>
      <c r="M174" s="355">
        <f>SUM(M171:M173)</f>
        <v>44</v>
      </c>
      <c r="N174" s="355"/>
      <c r="O174" s="355"/>
      <c r="P174" s="356"/>
      <c r="Q174" s="342"/>
    </row>
    <row r="175" spans="1:17" s="347" customFormat="1" ht="21" x14ac:dyDescent="0.25">
      <c r="A175" s="344" t="str">
        <f>ORÇAMENTO!A56</f>
        <v xml:space="preserve"> 2.2 </v>
      </c>
      <c r="B175" s="345" t="str">
        <f>VLOOKUP(A175,ORÇAMENTO!$A:$F,4,0)</f>
        <v>CAMINHÃO CARROCERIA COM GUINDAUTO COM CAPACIDADE DE 20 T.M - 136 KW</v>
      </c>
      <c r="C175" s="346" t="str">
        <f>VLOOKUP(A175,ORÇAMENTO!$A:$F,5,0)</f>
        <v>UN</v>
      </c>
      <c r="D175" s="346">
        <f>SUM(E179:O179)</f>
        <v>44</v>
      </c>
      <c r="E175" s="346" t="s">
        <v>1718</v>
      </c>
      <c r="F175" s="346" t="s">
        <v>1719</v>
      </c>
      <c r="G175" s="346" t="s">
        <v>1720</v>
      </c>
      <c r="H175" s="346" t="s">
        <v>1721</v>
      </c>
      <c r="I175" s="346" t="s">
        <v>4199</v>
      </c>
      <c r="J175" s="346" t="s">
        <v>1723</v>
      </c>
      <c r="K175" s="346" t="s">
        <v>1724</v>
      </c>
      <c r="L175" s="346" t="s">
        <v>1725</v>
      </c>
      <c r="M175" s="346" t="s">
        <v>4202</v>
      </c>
      <c r="N175" s="346" t="s">
        <v>1727</v>
      </c>
      <c r="O175" s="346" t="s">
        <v>1728</v>
      </c>
      <c r="P175" s="342"/>
      <c r="Q175" s="342"/>
    </row>
    <row r="176" spans="1:17" s="343" customFormat="1" ht="10.5" x14ac:dyDescent="0.25">
      <c r="A176" s="348"/>
      <c r="B176" s="349"/>
      <c r="C176" s="350"/>
      <c r="D176" s="351"/>
      <c r="E176" s="351"/>
      <c r="F176" s="351"/>
      <c r="G176" s="351"/>
      <c r="H176" s="351"/>
      <c r="I176" s="351"/>
      <c r="J176" s="351"/>
      <c r="K176" s="351"/>
      <c r="L176" s="351"/>
      <c r="M176" s="351"/>
      <c r="N176" s="351"/>
      <c r="O176" s="351"/>
      <c r="P176" s="352"/>
      <c r="Q176" s="342"/>
    </row>
    <row r="177" spans="1:17" s="343" customFormat="1" ht="21" x14ac:dyDescent="0.25">
      <c r="A177" s="348"/>
      <c r="B177" s="349" t="s">
        <v>4156</v>
      </c>
      <c r="C177" s="350"/>
      <c r="D177" s="351"/>
      <c r="E177" s="351"/>
      <c r="F177" s="351"/>
      <c r="G177" s="351"/>
      <c r="H177" s="351"/>
      <c r="I177" s="351"/>
      <c r="J177" s="351"/>
      <c r="K177" s="351"/>
      <c r="L177" s="351"/>
      <c r="M177" s="351">
        <v>44</v>
      </c>
      <c r="N177" s="351">
        <f>N172</f>
        <v>0</v>
      </c>
      <c r="O177" s="351">
        <f>N177*I177*H177</f>
        <v>0</v>
      </c>
      <c r="P177" s="352"/>
      <c r="Q177" s="342"/>
    </row>
    <row r="178" spans="1:17" s="343" customFormat="1" ht="10.5" x14ac:dyDescent="0.25">
      <c r="A178" s="348"/>
      <c r="B178" s="349"/>
      <c r="C178" s="350"/>
      <c r="D178" s="351"/>
      <c r="E178" s="351"/>
      <c r="F178" s="351"/>
      <c r="G178" s="351"/>
      <c r="H178" s="351"/>
      <c r="I178" s="351"/>
      <c r="J178" s="351"/>
      <c r="K178" s="351"/>
      <c r="L178" s="353"/>
      <c r="M178" s="351"/>
      <c r="N178" s="351"/>
      <c r="O178" s="351"/>
      <c r="P178" s="352"/>
      <c r="Q178" s="342"/>
    </row>
    <row r="179" spans="1:17" s="343" customFormat="1" ht="10.5" x14ac:dyDescent="0.25">
      <c r="A179" s="348"/>
      <c r="B179" s="354" t="s">
        <v>5</v>
      </c>
      <c r="C179" s="355" t="s">
        <v>1328</v>
      </c>
      <c r="D179" s="355"/>
      <c r="E179" s="355"/>
      <c r="F179" s="355"/>
      <c r="G179" s="355"/>
      <c r="H179" s="355"/>
      <c r="I179" s="355"/>
      <c r="J179" s="355"/>
      <c r="K179" s="355"/>
      <c r="L179" s="355"/>
      <c r="M179" s="355">
        <f>SUM(M176:M178)</f>
        <v>44</v>
      </c>
      <c r="N179" s="355"/>
      <c r="O179" s="355">
        <f>SUM(O176:O178)</f>
        <v>0</v>
      </c>
      <c r="P179" s="356"/>
      <c r="Q179" s="342"/>
    </row>
    <row r="180" spans="1:17" s="343" customFormat="1" ht="10.5" x14ac:dyDescent="0.25">
      <c r="A180" s="338">
        <f>ORÇAMENTO!A57</f>
        <v>3</v>
      </c>
      <c r="B180" s="339" t="str">
        <f>VLOOKUP(A180,ORÇAMENTO!$A:$F,4,0)</f>
        <v>CANTEIRO DE OBRAS</v>
      </c>
      <c r="C180" s="340"/>
      <c r="D180" s="340"/>
      <c r="E180" s="341"/>
      <c r="F180" s="341"/>
      <c r="G180" s="341"/>
      <c r="H180" s="341"/>
      <c r="I180" s="341"/>
      <c r="J180" s="341"/>
      <c r="K180" s="341"/>
      <c r="L180" s="341"/>
      <c r="M180" s="341"/>
      <c r="N180" s="341"/>
      <c r="O180" s="341"/>
      <c r="P180" s="342"/>
      <c r="Q180" s="342"/>
    </row>
    <row r="181" spans="1:17" s="343" customFormat="1" ht="10.5" x14ac:dyDescent="0.25">
      <c r="A181" s="338" t="str">
        <f>ORÇAMENTO!A58</f>
        <v xml:space="preserve"> 3.1 </v>
      </c>
      <c r="B181" s="339" t="str">
        <f>VLOOKUP(A181,ORÇAMENTO!$A:$F,4,0)</f>
        <v>INSTALAÇÕES DA OBRA CANTEIRO CENTRAL</v>
      </c>
      <c r="C181" s="340"/>
      <c r="D181" s="340"/>
      <c r="E181" s="341"/>
      <c r="F181" s="341"/>
      <c r="G181" s="341"/>
      <c r="H181" s="341"/>
      <c r="I181" s="341"/>
      <c r="J181" s="341"/>
      <c r="K181" s="341"/>
      <c r="L181" s="341"/>
      <c r="M181" s="341"/>
      <c r="N181" s="341"/>
      <c r="O181" s="341"/>
      <c r="P181" s="342"/>
      <c r="Q181" s="342"/>
    </row>
    <row r="182" spans="1:17" s="347" customFormat="1" ht="42" x14ac:dyDescent="0.25">
      <c r="A182" s="344" t="str">
        <f>ORÇAMENTO!A59</f>
        <v xml:space="preserve"> 3.1.1 </v>
      </c>
      <c r="B182" s="345" t="str">
        <f>VLOOKUP(A182,ORÇAMENTO!$A:$F,4,0)</f>
        <v>LIMPEZA MECANIZADA DE CAMADA VEGETAL, VEGETAÇÃO E PEQUENAS ÁRVORES (DIÂMETRO DE TRONCO MENOR QUE 0,20 M), COM TRATOR DE ESTEIRAS. AF_03/2024</v>
      </c>
      <c r="C182" s="346" t="str">
        <f>VLOOKUP(A182,ORÇAMENTO!$A:$F,5,0)</f>
        <v>M²</v>
      </c>
      <c r="D182" s="346">
        <f>SUM(E186:O186)</f>
        <v>800</v>
      </c>
      <c r="E182" s="346" t="s">
        <v>1718</v>
      </c>
      <c r="F182" s="346" t="s">
        <v>1719</v>
      </c>
      <c r="G182" s="346" t="s">
        <v>1720</v>
      </c>
      <c r="H182" s="346" t="s">
        <v>1721</v>
      </c>
      <c r="I182" s="346" t="s">
        <v>1722</v>
      </c>
      <c r="J182" s="346" t="s">
        <v>1723</v>
      </c>
      <c r="K182" s="346" t="s">
        <v>1724</v>
      </c>
      <c r="L182" s="346" t="s">
        <v>1725</v>
      </c>
      <c r="M182" s="346" t="s">
        <v>1726</v>
      </c>
      <c r="N182" s="346" t="s">
        <v>1727</v>
      </c>
      <c r="O182" s="346" t="s">
        <v>1728</v>
      </c>
      <c r="P182" s="342"/>
      <c r="Q182" s="342"/>
    </row>
    <row r="183" spans="1:17" s="343" customFormat="1" ht="10.5" x14ac:dyDescent="0.25">
      <c r="A183" s="348"/>
      <c r="B183" s="349"/>
      <c r="C183" s="350"/>
      <c r="D183" s="351"/>
      <c r="E183" s="351"/>
      <c r="F183" s="351"/>
      <c r="G183" s="351"/>
      <c r="H183" s="351"/>
      <c r="I183" s="351"/>
      <c r="J183" s="351"/>
      <c r="K183" s="351"/>
      <c r="L183" s="351"/>
      <c r="M183" s="351"/>
      <c r="N183" s="351"/>
      <c r="O183" s="351"/>
      <c r="P183" s="352"/>
      <c r="Q183" s="342"/>
    </row>
    <row r="184" spans="1:17" s="343" customFormat="1" ht="10.5" x14ac:dyDescent="0.25">
      <c r="A184" s="348"/>
      <c r="B184" s="349" t="s">
        <v>4157</v>
      </c>
      <c r="C184" s="350"/>
      <c r="D184" s="351"/>
      <c r="E184" s="351">
        <v>40</v>
      </c>
      <c r="F184" s="351">
        <v>20</v>
      </c>
      <c r="G184" s="351"/>
      <c r="H184" s="351"/>
      <c r="I184" s="351"/>
      <c r="J184" s="351"/>
      <c r="K184" s="351"/>
      <c r="L184" s="351"/>
      <c r="M184" s="351"/>
      <c r="N184" s="351">
        <f>E184*F184</f>
        <v>800</v>
      </c>
      <c r="O184" s="351"/>
      <c r="P184" s="352"/>
      <c r="Q184" s="342"/>
    </row>
    <row r="185" spans="1:17" s="343" customFormat="1" ht="10.5" x14ac:dyDescent="0.25">
      <c r="A185" s="348"/>
      <c r="B185" s="349"/>
      <c r="C185" s="350"/>
      <c r="D185" s="351"/>
      <c r="E185" s="351"/>
      <c r="F185" s="351"/>
      <c r="G185" s="351"/>
      <c r="H185" s="351"/>
      <c r="I185" s="351"/>
      <c r="J185" s="351"/>
      <c r="K185" s="351"/>
      <c r="L185" s="353"/>
      <c r="M185" s="351"/>
      <c r="N185" s="351"/>
      <c r="O185" s="351"/>
      <c r="P185" s="352"/>
      <c r="Q185" s="342"/>
    </row>
    <row r="186" spans="1:17" s="343" customFormat="1" ht="10.5" x14ac:dyDescent="0.25">
      <c r="A186" s="348"/>
      <c r="B186" s="354" t="s">
        <v>5</v>
      </c>
      <c r="C186" s="355" t="s">
        <v>1328</v>
      </c>
      <c r="D186" s="355"/>
      <c r="E186" s="355"/>
      <c r="F186" s="355"/>
      <c r="G186" s="355"/>
      <c r="H186" s="355"/>
      <c r="I186" s="355"/>
      <c r="J186" s="355"/>
      <c r="K186" s="355"/>
      <c r="L186" s="355"/>
      <c r="M186" s="355"/>
      <c r="N186" s="355">
        <f>SUM(N183:N185)</f>
        <v>800</v>
      </c>
      <c r="O186" s="355"/>
      <c r="P186" s="356"/>
      <c r="Q186" s="342"/>
    </row>
    <row r="187" spans="1:17" s="347" customFormat="1" ht="52.5" x14ac:dyDescent="0.25">
      <c r="A187" s="344" t="str">
        <f>ORÇAMENTO!A60</f>
        <v xml:space="preserve"> 3.1.2</v>
      </c>
      <c r="B187" s="345" t="str">
        <f>VLOOKUP(A187,ORÇAMENTO!$A:$F,4,0)</f>
        <v>CARGA, MANOBRA E DESCARGA DE SOLOS E MATERIAIS GRANULARES EM CAMINHÃO BASCULANTE 14 M³ - CARGA COM ESCAVADEIRA HIDRÁULICA (CAÇAMBA DE 1,20 M³ / 155 HP) E DESCARGA LIVRE (UNIDADE: M3). AF_07/2020</v>
      </c>
      <c r="C187" s="346" t="str">
        <f>VLOOKUP(A187,ORÇAMENTO!$A:$F,5,0)</f>
        <v>M³</v>
      </c>
      <c r="D187" s="346">
        <f>SUM(E191:O191)</f>
        <v>200</v>
      </c>
      <c r="E187" s="346" t="s">
        <v>1718</v>
      </c>
      <c r="F187" s="346" t="s">
        <v>1719</v>
      </c>
      <c r="G187" s="346" t="s">
        <v>1720</v>
      </c>
      <c r="H187" s="346" t="s">
        <v>1721</v>
      </c>
      <c r="I187" s="346" t="s">
        <v>4199</v>
      </c>
      <c r="J187" s="346" t="s">
        <v>1723</v>
      </c>
      <c r="K187" s="346" t="s">
        <v>1724</v>
      </c>
      <c r="L187" s="346" t="s">
        <v>1725</v>
      </c>
      <c r="M187" s="346" t="s">
        <v>1726</v>
      </c>
      <c r="N187" s="346" t="s">
        <v>1727</v>
      </c>
      <c r="O187" s="346" t="s">
        <v>1728</v>
      </c>
      <c r="P187" s="342"/>
      <c r="Q187" s="342"/>
    </row>
    <row r="188" spans="1:17" s="343" customFormat="1" ht="10.5" x14ac:dyDescent="0.25">
      <c r="A188" s="348"/>
      <c r="B188" s="349"/>
      <c r="C188" s="350"/>
      <c r="D188" s="351"/>
      <c r="E188" s="351"/>
      <c r="F188" s="351"/>
      <c r="G188" s="351"/>
      <c r="H188" s="351"/>
      <c r="I188" s="351"/>
      <c r="J188" s="351"/>
      <c r="K188" s="351"/>
      <c r="L188" s="351"/>
      <c r="M188" s="351"/>
      <c r="N188" s="351"/>
      <c r="O188" s="351"/>
      <c r="P188" s="352"/>
      <c r="Q188" s="342"/>
    </row>
    <row r="189" spans="1:17" s="343" customFormat="1" ht="21" x14ac:dyDescent="0.25">
      <c r="A189" s="348"/>
      <c r="B189" s="349" t="s">
        <v>4158</v>
      </c>
      <c r="C189" s="350"/>
      <c r="D189" s="351"/>
      <c r="E189" s="351"/>
      <c r="F189" s="351"/>
      <c r="G189" s="351"/>
      <c r="H189" s="351">
        <v>0.2</v>
      </c>
      <c r="I189" s="351">
        <v>1.25</v>
      </c>
      <c r="J189" s="351"/>
      <c r="K189" s="351"/>
      <c r="L189" s="351"/>
      <c r="M189" s="351"/>
      <c r="N189" s="351">
        <f>N184</f>
        <v>800</v>
      </c>
      <c r="O189" s="351">
        <f>N189*I189*H189</f>
        <v>200</v>
      </c>
      <c r="P189" s="352"/>
      <c r="Q189" s="342"/>
    </row>
    <row r="190" spans="1:17" s="343" customFormat="1" ht="10.5" x14ac:dyDescent="0.25">
      <c r="A190" s="348"/>
      <c r="B190" s="349"/>
      <c r="C190" s="350"/>
      <c r="D190" s="351"/>
      <c r="E190" s="351"/>
      <c r="F190" s="351"/>
      <c r="G190" s="351"/>
      <c r="H190" s="351"/>
      <c r="I190" s="351"/>
      <c r="J190" s="351"/>
      <c r="K190" s="351"/>
      <c r="L190" s="353"/>
      <c r="M190" s="351"/>
      <c r="N190" s="351"/>
      <c r="O190" s="351"/>
      <c r="P190" s="352"/>
      <c r="Q190" s="342"/>
    </row>
    <row r="191" spans="1:17" s="343" customFormat="1" ht="10.5" x14ac:dyDescent="0.25">
      <c r="A191" s="348"/>
      <c r="B191" s="354" t="s">
        <v>5</v>
      </c>
      <c r="C191" s="355" t="s">
        <v>1328</v>
      </c>
      <c r="D191" s="355"/>
      <c r="E191" s="355"/>
      <c r="F191" s="355"/>
      <c r="G191" s="355"/>
      <c r="H191" s="355"/>
      <c r="I191" s="355"/>
      <c r="J191" s="355"/>
      <c r="K191" s="355"/>
      <c r="L191" s="355"/>
      <c r="M191" s="355"/>
      <c r="N191" s="355"/>
      <c r="O191" s="355">
        <f>SUM(O188:O190)</f>
        <v>200</v>
      </c>
      <c r="P191" s="356"/>
      <c r="Q191" s="342"/>
    </row>
    <row r="192" spans="1:17" s="347" customFormat="1" ht="31.5" x14ac:dyDescent="0.25">
      <c r="A192" s="344" t="str">
        <f>ORÇAMENTO!A61</f>
        <v xml:space="preserve"> 3.1.3</v>
      </c>
      <c r="B192" s="345" t="str">
        <f>VLOOKUP(A192,ORÇAMENTO!$A:$F,4,0)</f>
        <v>TRANSPORTE COM CAMINHÃO BASCULANTE DE 14 M³, EM VIA URBANA PAVIMENTADA, DMT ATÉ 30 KM (UNIDADE: M3XKM). AF_07/2020</v>
      </c>
      <c r="C192" s="346" t="str">
        <f>VLOOKUP(A192,ORÇAMENTO!$A:$F,5,0)</f>
        <v>M3XKM</v>
      </c>
      <c r="D192" s="346">
        <f>SUM(E196:O196)</f>
        <v>6000</v>
      </c>
      <c r="E192" s="346" t="s">
        <v>1718</v>
      </c>
      <c r="F192" s="346" t="s">
        <v>1719</v>
      </c>
      <c r="G192" s="346" t="s">
        <v>1720</v>
      </c>
      <c r="H192" s="346" t="s">
        <v>1721</v>
      </c>
      <c r="I192" s="346" t="s">
        <v>4199</v>
      </c>
      <c r="J192" s="346" t="s">
        <v>4200</v>
      </c>
      <c r="K192" s="346" t="s">
        <v>4203</v>
      </c>
      <c r="L192" s="346" t="s">
        <v>1725</v>
      </c>
      <c r="M192" s="346" t="s">
        <v>1726</v>
      </c>
      <c r="N192" s="346" t="s">
        <v>1727</v>
      </c>
      <c r="O192" s="346" t="s">
        <v>1728</v>
      </c>
      <c r="P192" s="342"/>
      <c r="Q192" s="342"/>
    </row>
    <row r="193" spans="1:17" s="343" customFormat="1" ht="10.5" x14ac:dyDescent="0.25">
      <c r="A193" s="348"/>
      <c r="B193" s="349"/>
      <c r="C193" s="350"/>
      <c r="D193" s="351"/>
      <c r="E193" s="351"/>
      <c r="F193" s="351"/>
      <c r="G193" s="351"/>
      <c r="H193" s="351"/>
      <c r="I193" s="351"/>
      <c r="J193" s="351"/>
      <c r="K193" s="351"/>
      <c r="L193" s="351"/>
      <c r="M193" s="351"/>
      <c r="N193" s="351"/>
      <c r="O193" s="351"/>
      <c r="P193" s="352"/>
      <c r="Q193" s="342"/>
    </row>
    <row r="194" spans="1:17" s="343" customFormat="1" ht="21" x14ac:dyDescent="0.25">
      <c r="A194" s="348"/>
      <c r="B194" s="349" t="s">
        <v>4204</v>
      </c>
      <c r="C194" s="350"/>
      <c r="D194" s="351"/>
      <c r="E194" s="351"/>
      <c r="F194" s="351"/>
      <c r="G194" s="351"/>
      <c r="H194" s="351"/>
      <c r="I194" s="351"/>
      <c r="J194" s="351">
        <v>30</v>
      </c>
      <c r="K194" s="351">
        <f>J194*O194</f>
        <v>6000</v>
      </c>
      <c r="L194" s="351"/>
      <c r="M194" s="351"/>
      <c r="N194" s="351"/>
      <c r="O194" s="351">
        <f>O191</f>
        <v>200</v>
      </c>
      <c r="P194" s="352"/>
      <c r="Q194" s="342"/>
    </row>
    <row r="195" spans="1:17" s="343" customFormat="1" ht="10.5" x14ac:dyDescent="0.25">
      <c r="A195" s="348"/>
      <c r="B195" s="349"/>
      <c r="C195" s="350"/>
      <c r="D195" s="351"/>
      <c r="E195" s="351"/>
      <c r="F195" s="351"/>
      <c r="G195" s="351"/>
      <c r="H195" s="351"/>
      <c r="I195" s="351"/>
      <c r="J195" s="351"/>
      <c r="K195" s="351"/>
      <c r="L195" s="353"/>
      <c r="M195" s="351"/>
      <c r="N195" s="351"/>
      <c r="O195" s="351"/>
      <c r="P195" s="352"/>
      <c r="Q195" s="342"/>
    </row>
    <row r="196" spans="1:17" s="343" customFormat="1" ht="10.5" x14ac:dyDescent="0.25">
      <c r="A196" s="348"/>
      <c r="B196" s="354" t="s">
        <v>5</v>
      </c>
      <c r="C196" s="355" t="s">
        <v>1328</v>
      </c>
      <c r="D196" s="355"/>
      <c r="E196" s="355"/>
      <c r="F196" s="355"/>
      <c r="G196" s="355"/>
      <c r="H196" s="355"/>
      <c r="I196" s="355"/>
      <c r="J196" s="355"/>
      <c r="K196" s="355">
        <f>SUM(K193:K195)</f>
        <v>6000</v>
      </c>
      <c r="L196" s="355"/>
      <c r="M196" s="355"/>
      <c r="N196" s="355"/>
      <c r="O196" s="355"/>
      <c r="P196" s="356"/>
      <c r="Q196" s="342"/>
    </row>
    <row r="197" spans="1:17" s="347" customFormat="1" ht="42" x14ac:dyDescent="0.25">
      <c r="A197" s="344" t="str">
        <f>ORÇAMENTO!A62</f>
        <v xml:space="preserve"> 3.1.4</v>
      </c>
      <c r="B197" s="345" t="str">
        <f>VLOOKUP(A197,ORÇAMENTO!$A:$F,4,0)</f>
        <v>TRANSPORTE COM CAMINHÃO BASCULANTE DE 14 M³, EM VIA URBANA PAVIMENTADA, ADICIONAL PARA DMT EXCEDENTE A 30 KM (UNIDADE: M3XKM). AF_07/2020</v>
      </c>
      <c r="C197" s="346" t="str">
        <f>VLOOKUP(A197,ORÇAMENTO!$A:$F,5,0)</f>
        <v>M3XKM</v>
      </c>
      <c r="D197" s="346">
        <f>SUM(E201:O201)</f>
        <v>9000</v>
      </c>
      <c r="E197" s="346" t="s">
        <v>1718</v>
      </c>
      <c r="F197" s="346" t="s">
        <v>1719</v>
      </c>
      <c r="G197" s="346" t="s">
        <v>1720</v>
      </c>
      <c r="H197" s="346" t="s">
        <v>1721</v>
      </c>
      <c r="I197" s="346" t="s">
        <v>4199</v>
      </c>
      <c r="J197" s="346" t="s">
        <v>4200</v>
      </c>
      <c r="K197" s="346" t="s">
        <v>4203</v>
      </c>
      <c r="L197" s="346" t="s">
        <v>1725</v>
      </c>
      <c r="M197" s="346" t="s">
        <v>1726</v>
      </c>
      <c r="N197" s="346" t="s">
        <v>1727</v>
      </c>
      <c r="O197" s="346" t="s">
        <v>1728</v>
      </c>
      <c r="P197" s="342"/>
      <c r="Q197" s="342"/>
    </row>
    <row r="198" spans="1:17" s="343" customFormat="1" ht="10.5" x14ac:dyDescent="0.25">
      <c r="A198" s="348"/>
      <c r="B198" s="349"/>
      <c r="C198" s="350"/>
      <c r="D198" s="351"/>
      <c r="E198" s="351"/>
      <c r="F198" s="351"/>
      <c r="G198" s="351"/>
      <c r="H198" s="351"/>
      <c r="I198" s="351"/>
      <c r="J198" s="351"/>
      <c r="K198" s="351"/>
      <c r="L198" s="351"/>
      <c r="M198" s="351"/>
      <c r="N198" s="351"/>
      <c r="O198" s="351"/>
      <c r="P198" s="352"/>
      <c r="Q198" s="342"/>
    </row>
    <row r="199" spans="1:17" s="343" customFormat="1" ht="10.5" x14ac:dyDescent="0.25">
      <c r="A199" s="348"/>
      <c r="B199" s="349" t="s">
        <v>4159</v>
      </c>
      <c r="C199" s="350"/>
      <c r="D199" s="351"/>
      <c r="E199" s="351"/>
      <c r="F199" s="351"/>
      <c r="G199" s="351"/>
      <c r="H199" s="351"/>
      <c r="I199" s="351"/>
      <c r="J199" s="351">
        <v>45</v>
      </c>
      <c r="K199" s="351">
        <f>J199*O199</f>
        <v>9000</v>
      </c>
      <c r="L199" s="351"/>
      <c r="M199" s="351"/>
      <c r="N199" s="351"/>
      <c r="O199" s="351">
        <f>O194</f>
        <v>200</v>
      </c>
      <c r="P199" s="352"/>
      <c r="Q199" s="342"/>
    </row>
    <row r="200" spans="1:17" s="343" customFormat="1" ht="10.5" x14ac:dyDescent="0.25">
      <c r="A200" s="348"/>
      <c r="B200" s="349"/>
      <c r="C200" s="350"/>
      <c r="D200" s="351"/>
      <c r="E200" s="351"/>
      <c r="F200" s="351"/>
      <c r="G200" s="351"/>
      <c r="H200" s="351"/>
      <c r="I200" s="351"/>
      <c r="J200" s="351"/>
      <c r="K200" s="351"/>
      <c r="L200" s="353"/>
      <c r="M200" s="351"/>
      <c r="N200" s="351"/>
      <c r="O200" s="351"/>
      <c r="P200" s="352"/>
      <c r="Q200" s="342"/>
    </row>
    <row r="201" spans="1:17" s="343" customFormat="1" ht="10.5" x14ac:dyDescent="0.25">
      <c r="A201" s="348"/>
      <c r="B201" s="354" t="s">
        <v>5</v>
      </c>
      <c r="C201" s="355" t="s">
        <v>1328</v>
      </c>
      <c r="D201" s="355"/>
      <c r="E201" s="355"/>
      <c r="F201" s="355"/>
      <c r="G201" s="355"/>
      <c r="H201" s="355"/>
      <c r="I201" s="355"/>
      <c r="J201" s="355"/>
      <c r="K201" s="355">
        <f>SUM(K198:K200)</f>
        <v>9000</v>
      </c>
      <c r="L201" s="355"/>
      <c r="M201" s="355"/>
      <c r="N201" s="355"/>
      <c r="O201" s="355"/>
      <c r="P201" s="356"/>
      <c r="Q201" s="342"/>
    </row>
    <row r="202" spans="1:17" s="347" customFormat="1" ht="21" x14ac:dyDescent="0.25">
      <c r="A202" s="344" t="str">
        <f>ORÇAMENTO!A63</f>
        <v xml:space="preserve"> 3.1.5</v>
      </c>
      <c r="B202" s="345" t="str">
        <f>VLOOKUP(A202,ORÇAMENTO!$A:$F,4,0)</f>
        <v>PLACA DE OBRA EM CHAPA DE ACO GALVANIZADO</v>
      </c>
      <c r="C202" s="346" t="str">
        <f>VLOOKUP(A202,ORÇAMENTO!$A:$F,5,0)</f>
        <v>M²</v>
      </c>
      <c r="D202" s="346">
        <f>SUM(E206:O206)</f>
        <v>22.5</v>
      </c>
      <c r="E202" s="346" t="s">
        <v>1718</v>
      </c>
      <c r="F202" s="346" t="s">
        <v>1719</v>
      </c>
      <c r="G202" s="346" t="s">
        <v>1720</v>
      </c>
      <c r="H202" s="346" t="s">
        <v>1721</v>
      </c>
      <c r="I202" s="346" t="s">
        <v>4199</v>
      </c>
      <c r="J202" s="346" t="s">
        <v>4200</v>
      </c>
      <c r="K202" s="346" t="s">
        <v>4203</v>
      </c>
      <c r="L202" s="346" t="s">
        <v>1725</v>
      </c>
      <c r="M202" s="346" t="s">
        <v>1726</v>
      </c>
      <c r="N202" s="346" t="s">
        <v>1727</v>
      </c>
      <c r="O202" s="346" t="s">
        <v>1728</v>
      </c>
      <c r="P202" s="342"/>
      <c r="Q202" s="342"/>
    </row>
    <row r="203" spans="1:17" s="343" customFormat="1" ht="10.5" x14ac:dyDescent="0.25">
      <c r="A203" s="348"/>
      <c r="B203" s="349"/>
      <c r="C203" s="350"/>
      <c r="D203" s="351"/>
      <c r="E203" s="351"/>
      <c r="F203" s="351"/>
      <c r="G203" s="351"/>
      <c r="H203" s="351"/>
      <c r="I203" s="351"/>
      <c r="J203" s="351"/>
      <c r="K203" s="351"/>
      <c r="L203" s="351"/>
      <c r="M203" s="351"/>
      <c r="N203" s="351"/>
      <c r="O203" s="351"/>
      <c r="P203" s="352"/>
      <c r="Q203" s="342"/>
    </row>
    <row r="204" spans="1:17" s="343" customFormat="1" ht="10.5" x14ac:dyDescent="0.25">
      <c r="A204" s="348"/>
      <c r="B204" s="349" t="s">
        <v>4160</v>
      </c>
      <c r="C204" s="350"/>
      <c r="D204" s="351"/>
      <c r="E204" s="351"/>
      <c r="F204" s="351"/>
      <c r="G204" s="351"/>
      <c r="H204" s="351"/>
      <c r="I204" s="351"/>
      <c r="J204" s="351"/>
      <c r="K204" s="351"/>
      <c r="L204" s="351"/>
      <c r="M204" s="351"/>
      <c r="N204" s="351">
        <v>22.5</v>
      </c>
      <c r="O204" s="351"/>
      <c r="P204" s="352"/>
      <c r="Q204" s="342"/>
    </row>
    <row r="205" spans="1:17" s="343" customFormat="1" ht="10.5" x14ac:dyDescent="0.25">
      <c r="A205" s="348"/>
      <c r="B205" s="349"/>
      <c r="C205" s="350"/>
      <c r="D205" s="351"/>
      <c r="E205" s="351"/>
      <c r="F205" s="351"/>
      <c r="G205" s="351"/>
      <c r="H205" s="351"/>
      <c r="I205" s="351"/>
      <c r="J205" s="351"/>
      <c r="K205" s="351"/>
      <c r="L205" s="353"/>
      <c r="M205" s="351"/>
      <c r="N205" s="351"/>
      <c r="O205" s="351"/>
      <c r="P205" s="352"/>
      <c r="Q205" s="342"/>
    </row>
    <row r="206" spans="1:17" s="343" customFormat="1" ht="10.5" x14ac:dyDescent="0.25">
      <c r="A206" s="348"/>
      <c r="B206" s="354" t="s">
        <v>5</v>
      </c>
      <c r="C206" s="355" t="s">
        <v>1328</v>
      </c>
      <c r="D206" s="355"/>
      <c r="E206" s="355"/>
      <c r="F206" s="355"/>
      <c r="G206" s="355"/>
      <c r="H206" s="355"/>
      <c r="I206" s="355"/>
      <c r="J206" s="355"/>
      <c r="K206" s="355"/>
      <c r="L206" s="355"/>
      <c r="M206" s="355"/>
      <c r="N206" s="355">
        <f>SUM(N203:N205)</f>
        <v>22.5</v>
      </c>
      <c r="O206" s="355"/>
      <c r="P206" s="356"/>
      <c r="Q206" s="342"/>
    </row>
    <row r="207" spans="1:17" s="347" customFormat="1" ht="21" x14ac:dyDescent="0.25">
      <c r="A207" s="344" t="str">
        <f>ORÇAMENTO!A64</f>
        <v xml:space="preserve"> 3.1.6</v>
      </c>
      <c r="B207" s="345" t="str">
        <f>VLOOKUP(A207,ORÇAMENTO!$A:$F,4,0)</f>
        <v>TAPUME COM TELHA METÁLICA. AF_03/2024</v>
      </c>
      <c r="C207" s="346" t="str">
        <f>VLOOKUP(A207,ORÇAMENTO!$A:$F,5,0)</f>
        <v>M²</v>
      </c>
      <c r="D207" s="346">
        <f>SUM(E212:O212)</f>
        <v>257.60000000000002</v>
      </c>
      <c r="E207" s="346" t="s">
        <v>1718</v>
      </c>
      <c r="F207" s="346" t="s">
        <v>1719</v>
      </c>
      <c r="G207" s="346" t="s">
        <v>1720</v>
      </c>
      <c r="H207" s="346" t="s">
        <v>1721</v>
      </c>
      <c r="I207" s="346" t="s">
        <v>1722</v>
      </c>
      <c r="J207" s="346" t="s">
        <v>4200</v>
      </c>
      <c r="K207" s="346" t="s">
        <v>4203</v>
      </c>
      <c r="L207" s="346" t="s">
        <v>1725</v>
      </c>
      <c r="M207" s="346" t="s">
        <v>1726</v>
      </c>
      <c r="N207" s="346" t="s">
        <v>1727</v>
      </c>
      <c r="O207" s="346" t="s">
        <v>1728</v>
      </c>
      <c r="P207" s="342"/>
      <c r="Q207" s="342"/>
    </row>
    <row r="208" spans="1:17" s="343" customFormat="1" ht="10.5" x14ac:dyDescent="0.25">
      <c r="A208" s="348"/>
      <c r="B208" s="349"/>
      <c r="C208" s="350"/>
      <c r="D208" s="351"/>
      <c r="E208" s="351"/>
      <c r="F208" s="351"/>
      <c r="G208" s="351"/>
      <c r="H208" s="351"/>
      <c r="I208" s="351"/>
      <c r="J208" s="351"/>
      <c r="K208" s="351"/>
      <c r="L208" s="351"/>
      <c r="M208" s="351"/>
      <c r="N208" s="351"/>
      <c r="O208" s="351"/>
      <c r="P208" s="352"/>
      <c r="Q208" s="342"/>
    </row>
    <row r="209" spans="1:17" s="343" customFormat="1" ht="21" x14ac:dyDescent="0.25">
      <c r="A209" s="348"/>
      <c r="B209" s="349" t="s">
        <v>4205</v>
      </c>
      <c r="C209" s="350"/>
      <c r="D209" s="351"/>
      <c r="E209" s="351">
        <v>40</v>
      </c>
      <c r="F209" s="351">
        <v>20</v>
      </c>
      <c r="G209" s="351">
        <v>2.2000000000000002</v>
      </c>
      <c r="H209" s="351"/>
      <c r="I209" s="351">
        <f>(E209+F209)*2</f>
        <v>120</v>
      </c>
      <c r="J209" s="351"/>
      <c r="K209" s="351"/>
      <c r="L209" s="351"/>
      <c r="M209" s="351"/>
      <c r="N209" s="351">
        <f>I209*G209</f>
        <v>264</v>
      </c>
      <c r="O209" s="351"/>
      <c r="P209" s="352"/>
      <c r="Q209" s="342"/>
    </row>
    <row r="210" spans="1:17" s="343" customFormat="1" ht="10.5" x14ac:dyDescent="0.25">
      <c r="A210" s="348"/>
      <c r="B210" s="349" t="s">
        <v>4206</v>
      </c>
      <c r="C210" s="350"/>
      <c r="D210" s="351"/>
      <c r="E210" s="351"/>
      <c r="F210" s="351"/>
      <c r="G210" s="351"/>
      <c r="H210" s="351"/>
      <c r="I210" s="351"/>
      <c r="J210" s="351"/>
      <c r="K210" s="351"/>
      <c r="L210" s="351"/>
      <c r="M210" s="351"/>
      <c r="N210" s="351">
        <f>-N215-N220</f>
        <v>-6.4</v>
      </c>
      <c r="O210" s="351"/>
      <c r="P210" s="352"/>
      <c r="Q210" s="342"/>
    </row>
    <row r="211" spans="1:17" s="343" customFormat="1" ht="10.5" x14ac:dyDescent="0.25">
      <c r="A211" s="348"/>
      <c r="B211" s="349"/>
      <c r="C211" s="350"/>
      <c r="D211" s="351"/>
      <c r="E211" s="351"/>
      <c r="F211" s="351"/>
      <c r="G211" s="351"/>
      <c r="H211" s="351"/>
      <c r="I211" s="351"/>
      <c r="J211" s="351"/>
      <c r="K211" s="351"/>
      <c r="L211" s="353"/>
      <c r="M211" s="351"/>
      <c r="N211" s="351"/>
      <c r="O211" s="351"/>
      <c r="P211" s="352"/>
      <c r="Q211" s="342"/>
    </row>
    <row r="212" spans="1:17" s="343" customFormat="1" ht="10.5" x14ac:dyDescent="0.25">
      <c r="A212" s="348"/>
      <c r="B212" s="354" t="s">
        <v>5</v>
      </c>
      <c r="C212" s="355" t="s">
        <v>1328</v>
      </c>
      <c r="D212" s="355"/>
      <c r="E212" s="355"/>
      <c r="F212" s="355"/>
      <c r="G212" s="355"/>
      <c r="H212" s="355"/>
      <c r="I212" s="355"/>
      <c r="J212" s="355"/>
      <c r="K212" s="355"/>
      <c r="L212" s="355"/>
      <c r="M212" s="355"/>
      <c r="N212" s="355">
        <f>SUM(N208:N211)</f>
        <v>257.60000000000002</v>
      </c>
      <c r="O212" s="355"/>
      <c r="P212" s="356"/>
      <c r="Q212" s="342"/>
    </row>
    <row r="213" spans="1:17" s="347" customFormat="1" ht="31.5" x14ac:dyDescent="0.25">
      <c r="A213" s="344" t="str">
        <f>ORÇAMENTO!A65</f>
        <v xml:space="preserve"> 3.1.7</v>
      </c>
      <c r="B213" s="345" t="str">
        <f>VLOOKUP(A213,ORÇAMENTO!$A:$F,4,0)</f>
        <v>PORTAO EM TUBO DE ACO GALVANIZADO DIN 2440/NBR 5580, PAINEL UNICO, DIMENSOES 1,0X1,6M, INCLUSIVE CADEADO</v>
      </c>
      <c r="C213" s="346" t="str">
        <f>VLOOKUP(A213,ORÇAMENTO!$A:$F,5,0)</f>
        <v>UN</v>
      </c>
      <c r="D213" s="346">
        <f>SUM(E217:O217)</f>
        <v>1</v>
      </c>
      <c r="E213" s="346" t="s">
        <v>1718</v>
      </c>
      <c r="F213" s="346" t="s">
        <v>1719</v>
      </c>
      <c r="G213" s="346" t="s">
        <v>1720</v>
      </c>
      <c r="H213" s="346" t="s">
        <v>1721</v>
      </c>
      <c r="I213" s="346" t="s">
        <v>4199</v>
      </c>
      <c r="J213" s="346" t="s">
        <v>4200</v>
      </c>
      <c r="K213" s="346" t="s">
        <v>4203</v>
      </c>
      <c r="L213" s="346" t="s">
        <v>1725</v>
      </c>
      <c r="M213" s="346" t="s">
        <v>1726</v>
      </c>
      <c r="N213" s="346" t="s">
        <v>1727</v>
      </c>
      <c r="O213" s="346" t="s">
        <v>1728</v>
      </c>
      <c r="P213" s="342"/>
      <c r="Q213" s="342"/>
    </row>
    <row r="214" spans="1:17" s="343" customFormat="1" ht="10.5" x14ac:dyDescent="0.25">
      <c r="A214" s="348"/>
      <c r="B214" s="349"/>
      <c r="C214" s="350"/>
      <c r="D214" s="351"/>
      <c r="E214" s="351"/>
      <c r="F214" s="351"/>
      <c r="G214" s="351"/>
      <c r="H214" s="351"/>
      <c r="I214" s="351"/>
      <c r="J214" s="351"/>
      <c r="K214" s="351"/>
      <c r="L214" s="351"/>
      <c r="M214" s="351"/>
      <c r="N214" s="351"/>
      <c r="O214" s="351"/>
      <c r="P214" s="352"/>
      <c r="Q214" s="342"/>
    </row>
    <row r="215" spans="1:17" s="343" customFormat="1" ht="21" x14ac:dyDescent="0.25">
      <c r="A215" s="348"/>
      <c r="B215" s="349" t="s">
        <v>4156</v>
      </c>
      <c r="C215" s="350"/>
      <c r="D215" s="351"/>
      <c r="E215" s="351">
        <v>1.6</v>
      </c>
      <c r="F215" s="351">
        <v>1</v>
      </c>
      <c r="G215" s="351"/>
      <c r="H215" s="351"/>
      <c r="I215" s="351"/>
      <c r="J215" s="351"/>
      <c r="K215" s="351"/>
      <c r="L215" s="351"/>
      <c r="M215" s="351">
        <v>1</v>
      </c>
      <c r="N215" s="351">
        <f>E215*F215</f>
        <v>1.6</v>
      </c>
      <c r="O215" s="351"/>
      <c r="P215" s="352"/>
      <c r="Q215" s="342"/>
    </row>
    <row r="216" spans="1:17" s="343" customFormat="1" ht="10.5" x14ac:dyDescent="0.25">
      <c r="A216" s="348"/>
      <c r="B216" s="349"/>
      <c r="C216" s="350"/>
      <c r="D216" s="351"/>
      <c r="E216" s="351"/>
      <c r="F216" s="351"/>
      <c r="G216" s="351"/>
      <c r="H216" s="351"/>
      <c r="I216" s="351"/>
      <c r="J216" s="351"/>
      <c r="K216" s="351"/>
      <c r="L216" s="353"/>
      <c r="M216" s="351"/>
      <c r="N216" s="351"/>
      <c r="O216" s="351"/>
      <c r="P216" s="352"/>
      <c r="Q216" s="342"/>
    </row>
    <row r="217" spans="1:17" s="343" customFormat="1" ht="10.5" x14ac:dyDescent="0.25">
      <c r="A217" s="348"/>
      <c r="B217" s="354" t="s">
        <v>5</v>
      </c>
      <c r="C217" s="355" t="s">
        <v>1328</v>
      </c>
      <c r="D217" s="355"/>
      <c r="E217" s="355"/>
      <c r="F217" s="355"/>
      <c r="G217" s="355"/>
      <c r="H217" s="355"/>
      <c r="I217" s="355"/>
      <c r="J217" s="355"/>
      <c r="K217" s="355"/>
      <c r="L217" s="355"/>
      <c r="M217" s="355">
        <f>SUM(M214:M216)</f>
        <v>1</v>
      </c>
      <c r="N217" s="355"/>
      <c r="O217" s="355"/>
      <c r="P217" s="356"/>
      <c r="Q217" s="342"/>
    </row>
    <row r="218" spans="1:17" s="347" customFormat="1" ht="31.5" x14ac:dyDescent="0.25">
      <c r="A218" s="344" t="str">
        <f>ORÇAMENTO!A66</f>
        <v xml:space="preserve"> 3.1.8</v>
      </c>
      <c r="B218" s="345" t="str">
        <f>VLOOKUP(A218,ORÇAMENTO!$A:$F,4,0)</f>
        <v>PORTAO EM TUBO DE ACO GALVANIZADO DIN 2440/NBR 5580, PAINEL UNICO, DIMENSOES 4,0X1,2M, INCLUSIVE CADEADO</v>
      </c>
      <c r="C218" s="346" t="str">
        <f>VLOOKUP(A218,ORÇAMENTO!$A:$F,5,0)</f>
        <v>UN</v>
      </c>
      <c r="D218" s="346">
        <f>SUM(E222:O222)</f>
        <v>1</v>
      </c>
      <c r="E218" s="346" t="s">
        <v>1718</v>
      </c>
      <c r="F218" s="346" t="s">
        <v>1719</v>
      </c>
      <c r="G218" s="346" t="s">
        <v>1720</v>
      </c>
      <c r="H218" s="346" t="s">
        <v>1721</v>
      </c>
      <c r="I218" s="346" t="s">
        <v>4199</v>
      </c>
      <c r="J218" s="346" t="s">
        <v>4200</v>
      </c>
      <c r="K218" s="346" t="s">
        <v>4203</v>
      </c>
      <c r="L218" s="346" t="s">
        <v>1725</v>
      </c>
      <c r="M218" s="346" t="s">
        <v>1726</v>
      </c>
      <c r="N218" s="346" t="s">
        <v>1727</v>
      </c>
      <c r="O218" s="346" t="s">
        <v>1728</v>
      </c>
      <c r="P218" s="342"/>
      <c r="Q218" s="342"/>
    </row>
    <row r="219" spans="1:17" s="343" customFormat="1" ht="10.5" x14ac:dyDescent="0.25">
      <c r="A219" s="348"/>
      <c r="B219" s="349"/>
      <c r="C219" s="350"/>
      <c r="D219" s="351"/>
      <c r="E219" s="351"/>
      <c r="F219" s="351"/>
      <c r="G219" s="351"/>
      <c r="H219" s="351"/>
      <c r="I219" s="351"/>
      <c r="J219" s="351"/>
      <c r="K219" s="351"/>
      <c r="L219" s="351"/>
      <c r="M219" s="351"/>
      <c r="N219" s="351"/>
      <c r="O219" s="351"/>
      <c r="P219" s="352"/>
      <c r="Q219" s="342"/>
    </row>
    <row r="220" spans="1:17" s="343" customFormat="1" ht="21" x14ac:dyDescent="0.25">
      <c r="A220" s="348"/>
      <c r="B220" s="349" t="s">
        <v>4156</v>
      </c>
      <c r="C220" s="350"/>
      <c r="D220" s="351"/>
      <c r="E220" s="351">
        <v>4</v>
      </c>
      <c r="F220" s="351">
        <v>1.2</v>
      </c>
      <c r="G220" s="351"/>
      <c r="H220" s="351"/>
      <c r="I220" s="351"/>
      <c r="J220" s="351"/>
      <c r="K220" s="351"/>
      <c r="L220" s="351"/>
      <c r="M220" s="351">
        <v>1</v>
      </c>
      <c r="N220" s="351">
        <f>E220*F220</f>
        <v>4.8</v>
      </c>
      <c r="O220" s="351"/>
      <c r="P220" s="352"/>
      <c r="Q220" s="342"/>
    </row>
    <row r="221" spans="1:17" s="343" customFormat="1" ht="10.5" x14ac:dyDescent="0.25">
      <c r="A221" s="348"/>
      <c r="B221" s="349"/>
      <c r="C221" s="350"/>
      <c r="D221" s="351"/>
      <c r="E221" s="351"/>
      <c r="F221" s="351"/>
      <c r="G221" s="351"/>
      <c r="H221" s="351"/>
      <c r="I221" s="351"/>
      <c r="J221" s="351"/>
      <c r="K221" s="351"/>
      <c r="L221" s="353"/>
      <c r="M221" s="351"/>
      <c r="N221" s="351"/>
      <c r="O221" s="351"/>
      <c r="P221" s="352"/>
      <c r="Q221" s="342"/>
    </row>
    <row r="222" spans="1:17" s="343" customFormat="1" ht="10.5" x14ac:dyDescent="0.25">
      <c r="A222" s="348"/>
      <c r="B222" s="354" t="s">
        <v>5</v>
      </c>
      <c r="C222" s="355" t="s">
        <v>1328</v>
      </c>
      <c r="D222" s="355"/>
      <c r="E222" s="355"/>
      <c r="F222" s="355"/>
      <c r="G222" s="355"/>
      <c r="H222" s="355"/>
      <c r="I222" s="355"/>
      <c r="J222" s="355"/>
      <c r="K222" s="355"/>
      <c r="L222" s="355"/>
      <c r="M222" s="355">
        <f>SUM(M219:M221)</f>
        <v>1</v>
      </c>
      <c r="N222" s="355"/>
      <c r="O222" s="355"/>
      <c r="P222" s="356"/>
      <c r="Q222" s="342"/>
    </row>
    <row r="223" spans="1:17" s="347" customFormat="1" ht="31.5" x14ac:dyDescent="0.25">
      <c r="A223" s="344" t="str">
        <f>ORÇAMENTO!A67</f>
        <v xml:space="preserve"> 3.1.9</v>
      </c>
      <c r="B223" s="345" t="str">
        <f>VLOOKUP(A223,ORÇAMENTO!$A:$F,4,0)</f>
        <v>EXECUÇÃO DE GUARITA EM CANTEIRO DE OBRA EM CHAPA DE MADEIRA COMPENSADA, NÃO INCLUSO MOBILIÁRIO. AF_04/2016</v>
      </c>
      <c r="C223" s="346" t="str">
        <f>VLOOKUP(A223,ORÇAMENTO!$A:$F,5,0)</f>
        <v>M²</v>
      </c>
      <c r="D223" s="346">
        <f>SUM(E227:O227)</f>
        <v>4</v>
      </c>
      <c r="E223" s="346" t="s">
        <v>1718</v>
      </c>
      <c r="F223" s="346" t="s">
        <v>1719</v>
      </c>
      <c r="G223" s="346" t="s">
        <v>1720</v>
      </c>
      <c r="H223" s="346" t="s">
        <v>1721</v>
      </c>
      <c r="I223" s="346" t="s">
        <v>1722</v>
      </c>
      <c r="J223" s="346" t="s">
        <v>4200</v>
      </c>
      <c r="K223" s="346" t="s">
        <v>4203</v>
      </c>
      <c r="L223" s="346" t="s">
        <v>1725</v>
      </c>
      <c r="M223" s="346" t="s">
        <v>1726</v>
      </c>
      <c r="N223" s="346" t="s">
        <v>1727</v>
      </c>
      <c r="O223" s="346" t="s">
        <v>1728</v>
      </c>
      <c r="P223" s="342"/>
      <c r="Q223" s="342"/>
    </row>
    <row r="224" spans="1:17" s="343" customFormat="1" ht="10.5" x14ac:dyDescent="0.25">
      <c r="A224" s="348"/>
      <c r="B224" s="349"/>
      <c r="C224" s="350"/>
      <c r="D224" s="351"/>
      <c r="E224" s="351"/>
      <c r="F224" s="351"/>
      <c r="G224" s="351"/>
      <c r="H224" s="351"/>
      <c r="I224" s="351"/>
      <c r="J224" s="351"/>
      <c r="K224" s="351"/>
      <c r="L224" s="351"/>
      <c r="M224" s="351"/>
      <c r="N224" s="351"/>
      <c r="O224" s="351"/>
      <c r="P224" s="352"/>
      <c r="Q224" s="342"/>
    </row>
    <row r="225" spans="1:17" s="343" customFormat="1" ht="21" x14ac:dyDescent="0.25">
      <c r="A225" s="348"/>
      <c r="B225" s="349" t="s">
        <v>4156</v>
      </c>
      <c r="C225" s="350"/>
      <c r="D225" s="351"/>
      <c r="E225" s="351"/>
      <c r="F225" s="351"/>
      <c r="G225" s="351"/>
      <c r="H225" s="351"/>
      <c r="I225" s="351"/>
      <c r="J225" s="351"/>
      <c r="K225" s="351"/>
      <c r="L225" s="351"/>
      <c r="M225" s="351"/>
      <c r="N225" s="351">
        <v>4</v>
      </c>
      <c r="O225" s="351"/>
      <c r="P225" s="352"/>
      <c r="Q225" s="342"/>
    </row>
    <row r="226" spans="1:17" s="343" customFormat="1" ht="10.5" x14ac:dyDescent="0.25">
      <c r="A226" s="348"/>
      <c r="B226" s="349"/>
      <c r="C226" s="350"/>
      <c r="D226" s="351"/>
      <c r="E226" s="351"/>
      <c r="F226" s="351"/>
      <c r="G226" s="351"/>
      <c r="H226" s="351"/>
      <c r="I226" s="351"/>
      <c r="J226" s="351"/>
      <c r="K226" s="351"/>
      <c r="L226" s="353"/>
      <c r="M226" s="351"/>
      <c r="N226" s="351"/>
      <c r="O226" s="351"/>
      <c r="P226" s="352"/>
      <c r="Q226" s="342"/>
    </row>
    <row r="227" spans="1:17" s="343" customFormat="1" ht="10.5" x14ac:dyDescent="0.25">
      <c r="A227" s="348"/>
      <c r="B227" s="354" t="s">
        <v>5</v>
      </c>
      <c r="C227" s="355" t="s">
        <v>1328</v>
      </c>
      <c r="D227" s="355"/>
      <c r="E227" s="355"/>
      <c r="F227" s="355"/>
      <c r="G227" s="355"/>
      <c r="H227" s="355"/>
      <c r="I227" s="355"/>
      <c r="J227" s="355"/>
      <c r="K227" s="355"/>
      <c r="L227" s="355"/>
      <c r="M227" s="355"/>
      <c r="N227" s="355">
        <f>SUM(N224:N226)</f>
        <v>4</v>
      </c>
      <c r="O227" s="355"/>
      <c r="P227" s="356"/>
      <c r="Q227" s="342"/>
    </row>
    <row r="228" spans="1:17" s="347" customFormat="1" ht="42" x14ac:dyDescent="0.25">
      <c r="A228" s="344" t="str">
        <f>ORÇAMENTO!A68</f>
        <v xml:space="preserve"> 3.1.10</v>
      </c>
      <c r="B228" s="345" t="str">
        <f>VLOOKUP(A228,ORÇAMENTO!$A:$F,4,0)</f>
        <v>LOCACAO DE CONTAINER 2,30 X 6,00 M, ALT. 2,50 M, COM 1 SANITARIO, PARA ESCRITORIO, COMPLETO, SEM DIVISORIAS INTERNAS (NAO INCLUI MOBILIZACAO/DESMOBILIZACAO)</v>
      </c>
      <c r="C228" s="346" t="str">
        <f>VLOOKUP(A228,ORÇAMENTO!$A:$F,5,0)</f>
        <v>MES</v>
      </c>
      <c r="D228" s="346">
        <f>SUM(E232:O232)</f>
        <v>24</v>
      </c>
      <c r="E228" s="346" t="s">
        <v>1718</v>
      </c>
      <c r="F228" s="346" t="s">
        <v>1719</v>
      </c>
      <c r="G228" s="346" t="s">
        <v>1720</v>
      </c>
      <c r="H228" s="346" t="s">
        <v>1721</v>
      </c>
      <c r="I228" s="346" t="s">
        <v>1722</v>
      </c>
      <c r="J228" s="346" t="s">
        <v>4207</v>
      </c>
      <c r="K228" s="346" t="s">
        <v>4208</v>
      </c>
      <c r="L228" s="346" t="s">
        <v>1725</v>
      </c>
      <c r="M228" s="346" t="s">
        <v>1726</v>
      </c>
      <c r="N228" s="346" t="s">
        <v>1727</v>
      </c>
      <c r="O228" s="346" t="s">
        <v>1728</v>
      </c>
      <c r="P228" s="342"/>
      <c r="Q228" s="342"/>
    </row>
    <row r="229" spans="1:17" s="343" customFormat="1" ht="10.5" x14ac:dyDescent="0.25">
      <c r="A229" s="348"/>
      <c r="B229" s="349"/>
      <c r="C229" s="350"/>
      <c r="D229" s="351"/>
      <c r="E229" s="351"/>
      <c r="F229" s="351"/>
      <c r="G229" s="351"/>
      <c r="H229" s="351"/>
      <c r="I229" s="351"/>
      <c r="J229" s="351"/>
      <c r="K229" s="351"/>
      <c r="L229" s="351"/>
      <c r="M229" s="351"/>
      <c r="N229" s="351"/>
      <c r="O229" s="351"/>
      <c r="P229" s="352"/>
      <c r="Q229" s="342"/>
    </row>
    <row r="230" spans="1:17" s="343" customFormat="1" ht="31.5" x14ac:dyDescent="0.25">
      <c r="A230" s="348"/>
      <c r="B230" s="349" t="s">
        <v>4161</v>
      </c>
      <c r="C230" s="350"/>
      <c r="D230" s="351"/>
      <c r="E230" s="351"/>
      <c r="F230" s="351"/>
      <c r="G230" s="351"/>
      <c r="H230" s="351"/>
      <c r="I230" s="351"/>
      <c r="J230" s="351">
        <f>COUNTA(CRONOGRAMA!H4:S4)</f>
        <v>12</v>
      </c>
      <c r="K230" s="351">
        <f>J230*M230</f>
        <v>24</v>
      </c>
      <c r="L230" s="351"/>
      <c r="M230" s="351">
        <v>2</v>
      </c>
      <c r="N230" s="351"/>
      <c r="O230" s="351"/>
      <c r="P230" s="352"/>
      <c r="Q230" s="342"/>
    </row>
    <row r="231" spans="1:17" s="343" customFormat="1" ht="10.5" x14ac:dyDescent="0.25">
      <c r="A231" s="348"/>
      <c r="B231" s="349"/>
      <c r="C231" s="350"/>
      <c r="D231" s="351"/>
      <c r="E231" s="351"/>
      <c r="F231" s="351"/>
      <c r="G231" s="351"/>
      <c r="H231" s="351"/>
      <c r="I231" s="351"/>
      <c r="J231" s="351"/>
      <c r="K231" s="351"/>
      <c r="L231" s="353"/>
      <c r="M231" s="351"/>
      <c r="N231" s="351"/>
      <c r="O231" s="351"/>
      <c r="P231" s="352"/>
      <c r="Q231" s="342"/>
    </row>
    <row r="232" spans="1:17" s="343" customFormat="1" ht="10.5" x14ac:dyDescent="0.25">
      <c r="A232" s="348"/>
      <c r="B232" s="354" t="s">
        <v>5</v>
      </c>
      <c r="C232" s="355" t="s">
        <v>1328</v>
      </c>
      <c r="D232" s="355"/>
      <c r="E232" s="355"/>
      <c r="F232" s="355"/>
      <c r="G232" s="355"/>
      <c r="H232" s="355"/>
      <c r="I232" s="355"/>
      <c r="J232" s="355"/>
      <c r="K232" s="355">
        <f>SUM(K229:K231)</f>
        <v>24</v>
      </c>
      <c r="L232" s="355"/>
      <c r="M232" s="355"/>
      <c r="N232" s="355"/>
      <c r="O232" s="355"/>
      <c r="P232" s="356"/>
      <c r="Q232" s="342"/>
    </row>
    <row r="233" spans="1:17" s="347" customFormat="1" ht="42" x14ac:dyDescent="0.25">
      <c r="A233" s="344" t="str">
        <f>ORÇAMENTO!A69</f>
        <v xml:space="preserve"> 3.1.11</v>
      </c>
      <c r="B233" s="345" t="str">
        <f>VLOOKUP(A233,ORÇAMENTO!$A:$F,4,0)</f>
        <v>LOCACAO DE CONTAINER 2,30 X 6,00 M, ALT. 2,50 M, PARA SANITARIO, COM 4 BACIAS, 8 CHUVEIROS,1 LAVATORIO E 1 MICTORIO (NAO INCLUI MOBILIZACAO/DESMOBILIZACAO)</v>
      </c>
      <c r="C233" s="346" t="str">
        <f>VLOOKUP(A233,ORÇAMENTO!$A:$F,5,0)</f>
        <v>MES</v>
      </c>
      <c r="D233" s="346">
        <f>SUM(E237:O237)</f>
        <v>3</v>
      </c>
      <c r="E233" s="346" t="s">
        <v>1718</v>
      </c>
      <c r="F233" s="346" t="s">
        <v>1719</v>
      </c>
      <c r="G233" s="346" t="s">
        <v>1720</v>
      </c>
      <c r="H233" s="346" t="s">
        <v>1721</v>
      </c>
      <c r="I233" s="346" t="s">
        <v>1722</v>
      </c>
      <c r="J233" s="346" t="s">
        <v>4207</v>
      </c>
      <c r="K233" s="346" t="s">
        <v>4208</v>
      </c>
      <c r="L233" s="346" t="s">
        <v>1725</v>
      </c>
      <c r="M233" s="346" t="s">
        <v>1726</v>
      </c>
      <c r="N233" s="346" t="s">
        <v>1727</v>
      </c>
      <c r="O233" s="346" t="s">
        <v>1728</v>
      </c>
      <c r="P233" s="342"/>
      <c r="Q233" s="342"/>
    </row>
    <row r="234" spans="1:17" s="343" customFormat="1" ht="10.5" x14ac:dyDescent="0.25">
      <c r="A234" s="348"/>
      <c r="B234" s="349"/>
      <c r="C234" s="350"/>
      <c r="D234" s="351"/>
      <c r="E234" s="351"/>
      <c r="F234" s="351"/>
      <c r="G234" s="351"/>
      <c r="H234" s="351"/>
      <c r="I234" s="351"/>
      <c r="J234" s="351"/>
      <c r="K234" s="351"/>
      <c r="L234" s="351"/>
      <c r="M234" s="351"/>
      <c r="N234" s="351"/>
      <c r="O234" s="351"/>
      <c r="P234" s="352"/>
      <c r="Q234" s="342"/>
    </row>
    <row r="235" spans="1:17" s="343" customFormat="1" ht="21" x14ac:dyDescent="0.25">
      <c r="A235" s="348"/>
      <c r="B235" s="349" t="s">
        <v>4162</v>
      </c>
      <c r="C235" s="350"/>
      <c r="D235" s="351"/>
      <c r="E235" s="351"/>
      <c r="F235" s="351"/>
      <c r="G235" s="351"/>
      <c r="H235" s="351"/>
      <c r="I235" s="351"/>
      <c r="J235" s="351">
        <f>COUNTA(CRONOGRAMA!D11:I11)</f>
        <v>1</v>
      </c>
      <c r="K235" s="351">
        <f>J235*M235</f>
        <v>3</v>
      </c>
      <c r="L235" s="351"/>
      <c r="M235" s="351">
        <v>3</v>
      </c>
      <c r="N235" s="351"/>
      <c r="O235" s="351"/>
      <c r="P235" s="352"/>
      <c r="Q235" s="342"/>
    </row>
    <row r="236" spans="1:17" s="343" customFormat="1" ht="10.5" x14ac:dyDescent="0.25">
      <c r="A236" s="348"/>
      <c r="B236" s="349"/>
      <c r="C236" s="350"/>
      <c r="D236" s="351"/>
      <c r="E236" s="351"/>
      <c r="F236" s="351"/>
      <c r="G236" s="351"/>
      <c r="H236" s="351"/>
      <c r="I236" s="351"/>
      <c r="J236" s="351"/>
      <c r="K236" s="351"/>
      <c r="L236" s="353"/>
      <c r="M236" s="351"/>
      <c r="N236" s="351"/>
      <c r="O236" s="351"/>
      <c r="P236" s="352"/>
      <c r="Q236" s="342"/>
    </row>
    <row r="237" spans="1:17" s="343" customFormat="1" ht="10.5" x14ac:dyDescent="0.25">
      <c r="A237" s="348"/>
      <c r="B237" s="354" t="s">
        <v>5</v>
      </c>
      <c r="C237" s="355" t="s">
        <v>1328</v>
      </c>
      <c r="D237" s="355"/>
      <c r="E237" s="355"/>
      <c r="F237" s="355"/>
      <c r="G237" s="355"/>
      <c r="H237" s="355"/>
      <c r="I237" s="355"/>
      <c r="J237" s="355"/>
      <c r="K237" s="355">
        <f>SUM(K234:K236)</f>
        <v>3</v>
      </c>
      <c r="L237" s="355"/>
      <c r="M237" s="355"/>
      <c r="N237" s="355"/>
      <c r="O237" s="355"/>
      <c r="P237" s="356"/>
      <c r="Q237" s="342"/>
    </row>
    <row r="238" spans="1:17" s="347" customFormat="1" ht="42" x14ac:dyDescent="0.25">
      <c r="A238" s="344" t="str">
        <f>ORÇAMENTO!A70</f>
        <v xml:space="preserve"> 3.1.12</v>
      </c>
      <c r="B238" s="345" t="str">
        <f>VLOOKUP(A238,ORÇAMENTO!$A:$F,4,0)</f>
        <v>LOCACAO DE CONTAINER 2,30 X 6,00 M, ALT. 2,50 M, PARA ESCRITORIO, SEM DIVISORIAS INTERNAS E SEM SANITARIO (NAO INCLUI MOBILIZACAO/DESMOBILIZACAO)</v>
      </c>
      <c r="C238" s="346" t="str">
        <f>VLOOKUP(A238,ORÇAMENTO!$A:$F,5,0)</f>
        <v>MES</v>
      </c>
      <c r="D238" s="346">
        <f>SUM(E242:O242)</f>
        <v>1</v>
      </c>
      <c r="E238" s="346" t="s">
        <v>1718</v>
      </c>
      <c r="F238" s="346" t="s">
        <v>1719</v>
      </c>
      <c r="G238" s="346" t="s">
        <v>1720</v>
      </c>
      <c r="H238" s="346" t="s">
        <v>1721</v>
      </c>
      <c r="I238" s="346" t="s">
        <v>1722</v>
      </c>
      <c r="J238" s="346" t="s">
        <v>4207</v>
      </c>
      <c r="K238" s="346" t="s">
        <v>4208</v>
      </c>
      <c r="L238" s="346" t="s">
        <v>1725</v>
      </c>
      <c r="M238" s="346" t="s">
        <v>1726</v>
      </c>
      <c r="N238" s="346" t="s">
        <v>1727</v>
      </c>
      <c r="O238" s="346" t="s">
        <v>1728</v>
      </c>
      <c r="P238" s="342"/>
      <c r="Q238" s="342"/>
    </row>
    <row r="239" spans="1:17" s="343" customFormat="1" ht="10.5" x14ac:dyDescent="0.25">
      <c r="A239" s="348"/>
      <c r="B239" s="349"/>
      <c r="C239" s="350"/>
      <c r="D239" s="351"/>
      <c r="E239" s="351"/>
      <c r="F239" s="351"/>
      <c r="G239" s="351"/>
      <c r="H239" s="351"/>
      <c r="I239" s="351"/>
      <c r="J239" s="351"/>
      <c r="K239" s="351"/>
      <c r="L239" s="351"/>
      <c r="M239" s="351"/>
      <c r="N239" s="351"/>
      <c r="O239" s="351"/>
      <c r="P239" s="352"/>
      <c r="Q239" s="342"/>
    </row>
    <row r="240" spans="1:17" s="343" customFormat="1" ht="31.5" x14ac:dyDescent="0.25">
      <c r="A240" s="348"/>
      <c r="B240" s="349" t="s">
        <v>4163</v>
      </c>
      <c r="C240" s="350"/>
      <c r="D240" s="351"/>
      <c r="E240" s="351"/>
      <c r="F240" s="351"/>
      <c r="G240" s="351"/>
      <c r="H240" s="351"/>
      <c r="I240" s="351"/>
      <c r="J240" s="351">
        <f>J235</f>
        <v>1</v>
      </c>
      <c r="K240" s="351">
        <f>J240*M240</f>
        <v>1</v>
      </c>
      <c r="L240" s="351"/>
      <c r="M240" s="351">
        <v>1</v>
      </c>
      <c r="N240" s="351"/>
      <c r="O240" s="351"/>
      <c r="P240" s="352"/>
      <c r="Q240" s="342"/>
    </row>
    <row r="241" spans="1:17" s="343" customFormat="1" ht="10.5" x14ac:dyDescent="0.25">
      <c r="A241" s="348"/>
      <c r="B241" s="349"/>
      <c r="C241" s="350"/>
      <c r="D241" s="351"/>
      <c r="E241" s="351"/>
      <c r="F241" s="351"/>
      <c r="G241" s="351"/>
      <c r="H241" s="351"/>
      <c r="I241" s="351"/>
      <c r="J241" s="351"/>
      <c r="K241" s="351"/>
      <c r="L241" s="353"/>
      <c r="M241" s="351"/>
      <c r="N241" s="351"/>
      <c r="O241" s="351"/>
      <c r="P241" s="352"/>
      <c r="Q241" s="342"/>
    </row>
    <row r="242" spans="1:17" s="343" customFormat="1" ht="10.5" x14ac:dyDescent="0.25">
      <c r="A242" s="348"/>
      <c r="B242" s="354" t="s">
        <v>5</v>
      </c>
      <c r="C242" s="355" t="s">
        <v>1328</v>
      </c>
      <c r="D242" s="355"/>
      <c r="E242" s="355"/>
      <c r="F242" s="355"/>
      <c r="G242" s="355"/>
      <c r="H242" s="355"/>
      <c r="I242" s="355"/>
      <c r="J242" s="355"/>
      <c r="K242" s="355">
        <f>SUM(K239:K241)</f>
        <v>1</v>
      </c>
      <c r="L242" s="355"/>
      <c r="M242" s="355"/>
      <c r="N242" s="355"/>
      <c r="O242" s="355"/>
      <c r="P242" s="356"/>
      <c r="Q242" s="342"/>
    </row>
    <row r="243" spans="1:17" s="347" customFormat="1" ht="31.5" x14ac:dyDescent="0.25">
      <c r="A243" s="344" t="str">
        <f>ORÇAMENTO!A71</f>
        <v xml:space="preserve"> 3.1.13</v>
      </c>
      <c r="B243" s="345" t="str">
        <f>VLOOKUP(A243,ORÇAMENTO!$A:$F,4,0)</f>
        <v>EXECUÇÃO DE DEPÓSITO EM CANTEIRO DE OBRA EM CHAPA DE MADEIRA COMPENSADA, NÃO INCLUSO MOBILIÁRIO. AF_04/2016</v>
      </c>
      <c r="C243" s="346" t="str">
        <f>VLOOKUP(A243,ORÇAMENTO!$A:$F,5,0)</f>
        <v>M²</v>
      </c>
      <c r="D243" s="346">
        <f>SUM(E247:O247)</f>
        <v>20</v>
      </c>
      <c r="E243" s="346" t="s">
        <v>1718</v>
      </c>
      <c r="F243" s="346" t="s">
        <v>1719</v>
      </c>
      <c r="G243" s="346" t="s">
        <v>1720</v>
      </c>
      <c r="H243" s="346" t="s">
        <v>1721</v>
      </c>
      <c r="I243" s="346" t="s">
        <v>1722</v>
      </c>
      <c r="J243" s="346" t="s">
        <v>4207</v>
      </c>
      <c r="K243" s="346" t="s">
        <v>4208</v>
      </c>
      <c r="L243" s="346" t="s">
        <v>1725</v>
      </c>
      <c r="M243" s="346" t="s">
        <v>1726</v>
      </c>
      <c r="N243" s="346" t="s">
        <v>1727</v>
      </c>
      <c r="O243" s="346" t="s">
        <v>1728</v>
      </c>
      <c r="P243" s="342"/>
      <c r="Q243" s="342"/>
    </row>
    <row r="244" spans="1:17" s="343" customFormat="1" ht="10.5" x14ac:dyDescent="0.25">
      <c r="A244" s="348"/>
      <c r="B244" s="349"/>
      <c r="C244" s="350"/>
      <c r="D244" s="351"/>
      <c r="E244" s="351"/>
      <c r="F244" s="351"/>
      <c r="G244" s="351"/>
      <c r="H244" s="351"/>
      <c r="I244" s="351"/>
      <c r="J244" s="351"/>
      <c r="K244" s="351"/>
      <c r="L244" s="351"/>
      <c r="M244" s="351"/>
      <c r="N244" s="351"/>
      <c r="O244" s="351"/>
      <c r="P244" s="352"/>
      <c r="Q244" s="342"/>
    </row>
    <row r="245" spans="1:17" s="343" customFormat="1" ht="21" x14ac:dyDescent="0.25">
      <c r="A245" s="348"/>
      <c r="B245" s="349" t="s">
        <v>4156</v>
      </c>
      <c r="C245" s="350"/>
      <c r="D245" s="351"/>
      <c r="E245" s="351"/>
      <c r="F245" s="351"/>
      <c r="G245" s="351"/>
      <c r="H245" s="351"/>
      <c r="I245" s="351"/>
      <c r="J245" s="351"/>
      <c r="K245" s="351"/>
      <c r="L245" s="351"/>
      <c r="M245" s="351"/>
      <c r="N245" s="351">
        <v>20</v>
      </c>
      <c r="O245" s="351"/>
      <c r="P245" s="352"/>
      <c r="Q245" s="342"/>
    </row>
    <row r="246" spans="1:17" s="343" customFormat="1" ht="10.5" x14ac:dyDescent="0.25">
      <c r="A246" s="348"/>
      <c r="B246" s="349"/>
      <c r="C246" s="350"/>
      <c r="D246" s="351"/>
      <c r="E246" s="351"/>
      <c r="F246" s="351"/>
      <c r="G246" s="351"/>
      <c r="H246" s="351"/>
      <c r="I246" s="351"/>
      <c r="J246" s="351"/>
      <c r="K246" s="351"/>
      <c r="L246" s="353"/>
      <c r="M246" s="351"/>
      <c r="N246" s="351"/>
      <c r="O246" s="351"/>
      <c r="P246" s="352"/>
      <c r="Q246" s="342"/>
    </row>
    <row r="247" spans="1:17" s="343" customFormat="1" ht="10.5" x14ac:dyDescent="0.25">
      <c r="A247" s="348"/>
      <c r="B247" s="354" t="s">
        <v>5</v>
      </c>
      <c r="C247" s="355" t="s">
        <v>1328</v>
      </c>
      <c r="D247" s="355"/>
      <c r="E247" s="355"/>
      <c r="F247" s="355"/>
      <c r="G247" s="355"/>
      <c r="H247" s="355"/>
      <c r="I247" s="355"/>
      <c r="J247" s="355"/>
      <c r="K247" s="355"/>
      <c r="L247" s="355"/>
      <c r="M247" s="355"/>
      <c r="N247" s="355">
        <f>SUM(N244:N246)</f>
        <v>20</v>
      </c>
      <c r="O247" s="355"/>
      <c r="P247" s="356"/>
      <c r="Q247" s="342"/>
    </row>
    <row r="248" spans="1:17" s="347" customFormat="1" ht="42" x14ac:dyDescent="0.25">
      <c r="A248" s="344" t="str">
        <f>ORÇAMENTO!A72</f>
        <v xml:space="preserve"> 3.1.14</v>
      </c>
      <c r="B248" s="345" t="str">
        <f>VLOOKUP(A248,ORÇAMENTO!$A:$F,4,0)</f>
        <v>EXECUÇÃO DE CENTRAL DE FÔRMAS, PRODUÇÃO DE ARGAMASSA OU CONCRETO EM CANTEIRO DE OBRA, NÃO INCLUSO MOBILIÁRIO E EQUIPAMENTOS. AF_04/2016</v>
      </c>
      <c r="C248" s="346" t="str">
        <f>VLOOKUP(A248,ORÇAMENTO!$A:$F,5,0)</f>
        <v>M²</v>
      </c>
      <c r="D248" s="346">
        <f>SUM(E252:O252)</f>
        <v>50</v>
      </c>
      <c r="E248" s="346" t="s">
        <v>1718</v>
      </c>
      <c r="F248" s="346" t="s">
        <v>1719</v>
      </c>
      <c r="G248" s="346" t="s">
        <v>1720</v>
      </c>
      <c r="H248" s="346" t="s">
        <v>1721</v>
      </c>
      <c r="I248" s="346" t="s">
        <v>1722</v>
      </c>
      <c r="J248" s="346" t="s">
        <v>4207</v>
      </c>
      <c r="K248" s="346" t="s">
        <v>4208</v>
      </c>
      <c r="L248" s="346" t="s">
        <v>1725</v>
      </c>
      <c r="M248" s="346" t="s">
        <v>1726</v>
      </c>
      <c r="N248" s="346" t="s">
        <v>1727</v>
      </c>
      <c r="O248" s="346" t="s">
        <v>1728</v>
      </c>
      <c r="P248" s="342"/>
      <c r="Q248" s="342"/>
    </row>
    <row r="249" spans="1:17" s="343" customFormat="1" ht="10.5" x14ac:dyDescent="0.25">
      <c r="A249" s="348"/>
      <c r="B249" s="349"/>
      <c r="C249" s="350"/>
      <c r="D249" s="351"/>
      <c r="E249" s="351"/>
      <c r="F249" s="351"/>
      <c r="G249" s="351"/>
      <c r="H249" s="351"/>
      <c r="I249" s="351"/>
      <c r="J249" s="351"/>
      <c r="K249" s="351"/>
      <c r="L249" s="351"/>
      <c r="M249" s="351"/>
      <c r="N249" s="351"/>
      <c r="O249" s="351"/>
      <c r="P249" s="352"/>
      <c r="Q249" s="342"/>
    </row>
    <row r="250" spans="1:17" s="343" customFormat="1" ht="21" x14ac:dyDescent="0.25">
      <c r="A250" s="348"/>
      <c r="B250" s="349" t="s">
        <v>4156</v>
      </c>
      <c r="C250" s="350"/>
      <c r="D250" s="351"/>
      <c r="E250" s="351"/>
      <c r="F250" s="351"/>
      <c r="G250" s="351"/>
      <c r="H250" s="351"/>
      <c r="I250" s="351"/>
      <c r="J250" s="351"/>
      <c r="K250" s="351"/>
      <c r="L250" s="351"/>
      <c r="M250" s="351"/>
      <c r="N250" s="351">
        <v>50</v>
      </c>
      <c r="O250" s="351"/>
      <c r="P250" s="352"/>
      <c r="Q250" s="342"/>
    </row>
    <row r="251" spans="1:17" s="343" customFormat="1" ht="10.5" x14ac:dyDescent="0.25">
      <c r="A251" s="348"/>
      <c r="B251" s="349"/>
      <c r="C251" s="350"/>
      <c r="D251" s="351"/>
      <c r="E251" s="351"/>
      <c r="F251" s="351"/>
      <c r="G251" s="351"/>
      <c r="H251" s="351"/>
      <c r="I251" s="351"/>
      <c r="J251" s="351"/>
      <c r="K251" s="351"/>
      <c r="L251" s="353"/>
      <c r="M251" s="351"/>
      <c r="N251" s="351"/>
      <c r="O251" s="351"/>
      <c r="P251" s="352"/>
      <c r="Q251" s="342"/>
    </row>
    <row r="252" spans="1:17" s="343" customFormat="1" ht="10.5" x14ac:dyDescent="0.25">
      <c r="A252" s="348"/>
      <c r="B252" s="354" t="s">
        <v>5</v>
      </c>
      <c r="C252" s="355" t="s">
        <v>1328</v>
      </c>
      <c r="D252" s="355"/>
      <c r="E252" s="355"/>
      <c r="F252" s="355"/>
      <c r="G252" s="355"/>
      <c r="H252" s="355"/>
      <c r="I252" s="355"/>
      <c r="J252" s="355"/>
      <c r="K252" s="355"/>
      <c r="L252" s="355"/>
      <c r="M252" s="355"/>
      <c r="N252" s="355">
        <f>SUM(N249:N251)</f>
        <v>50</v>
      </c>
      <c r="O252" s="355"/>
      <c r="P252" s="356"/>
      <c r="Q252" s="342"/>
    </row>
    <row r="253" spans="1:17" s="347" customFormat="1" ht="31.5" x14ac:dyDescent="0.25">
      <c r="A253" s="344" t="str">
        <f>ORÇAMENTO!A73</f>
        <v xml:space="preserve"> 3.1.15</v>
      </c>
      <c r="B253" s="345" t="str">
        <f>VLOOKUP(A253,ORÇAMENTO!$A:$F,4,0)</f>
        <v>EXECUÇÃO DE CENTRAL DE ARMADURA EM CANTEIRO DE OBRA, NÃO INCLUSO MOBILIÁRIO E EQUIPAMENTOS. AF_04/2016</v>
      </c>
      <c r="C253" s="346" t="str">
        <f>VLOOKUP(A253,ORÇAMENTO!$A:$F,5,0)</f>
        <v>M²</v>
      </c>
      <c r="D253" s="346">
        <f>SUM(E257:O257)</f>
        <v>50</v>
      </c>
      <c r="E253" s="346" t="s">
        <v>1718</v>
      </c>
      <c r="F253" s="346" t="s">
        <v>1719</v>
      </c>
      <c r="G253" s="346" t="s">
        <v>1720</v>
      </c>
      <c r="H253" s="346" t="s">
        <v>1721</v>
      </c>
      <c r="I253" s="346" t="s">
        <v>1722</v>
      </c>
      <c r="J253" s="346" t="s">
        <v>4207</v>
      </c>
      <c r="K253" s="346" t="s">
        <v>4208</v>
      </c>
      <c r="L253" s="346" t="s">
        <v>1725</v>
      </c>
      <c r="M253" s="346" t="s">
        <v>1726</v>
      </c>
      <c r="N253" s="346" t="s">
        <v>1727</v>
      </c>
      <c r="O253" s="346" t="s">
        <v>1728</v>
      </c>
      <c r="P253" s="342"/>
      <c r="Q253" s="342"/>
    </row>
    <row r="254" spans="1:17" s="343" customFormat="1" ht="10.5" x14ac:dyDescent="0.25">
      <c r="A254" s="348"/>
      <c r="B254" s="349"/>
      <c r="C254" s="350"/>
      <c r="D254" s="351"/>
      <c r="E254" s="351"/>
      <c r="F254" s="351"/>
      <c r="G254" s="351"/>
      <c r="H254" s="351"/>
      <c r="I254" s="351"/>
      <c r="J254" s="351"/>
      <c r="K254" s="351"/>
      <c r="L254" s="351"/>
      <c r="M254" s="351"/>
      <c r="N254" s="351"/>
      <c r="O254" s="351"/>
      <c r="P254" s="352"/>
      <c r="Q254" s="342"/>
    </row>
    <row r="255" spans="1:17" s="343" customFormat="1" ht="21" x14ac:dyDescent="0.25">
      <c r="A255" s="348"/>
      <c r="B255" s="349" t="s">
        <v>4156</v>
      </c>
      <c r="C255" s="350"/>
      <c r="D255" s="351"/>
      <c r="E255" s="351"/>
      <c r="F255" s="351"/>
      <c r="G255" s="351"/>
      <c r="H255" s="351"/>
      <c r="I255" s="351"/>
      <c r="J255" s="351"/>
      <c r="K255" s="351"/>
      <c r="L255" s="351"/>
      <c r="M255" s="351"/>
      <c r="N255" s="351">
        <v>50</v>
      </c>
      <c r="O255" s="351"/>
      <c r="P255" s="352"/>
      <c r="Q255" s="342"/>
    </row>
    <row r="256" spans="1:17" s="343" customFormat="1" ht="10.5" x14ac:dyDescent="0.25">
      <c r="A256" s="348"/>
      <c r="B256" s="349"/>
      <c r="C256" s="350"/>
      <c r="D256" s="351"/>
      <c r="E256" s="351"/>
      <c r="F256" s="351"/>
      <c r="G256" s="351"/>
      <c r="H256" s="351"/>
      <c r="I256" s="351"/>
      <c r="J256" s="351"/>
      <c r="K256" s="351"/>
      <c r="L256" s="353"/>
      <c r="M256" s="351"/>
      <c r="N256" s="351"/>
      <c r="O256" s="351"/>
      <c r="P256" s="352"/>
      <c r="Q256" s="342"/>
    </row>
    <row r="257" spans="1:17" s="343" customFormat="1" ht="10.5" x14ac:dyDescent="0.25">
      <c r="A257" s="348"/>
      <c r="B257" s="354" t="s">
        <v>5</v>
      </c>
      <c r="C257" s="355" t="s">
        <v>1328</v>
      </c>
      <c r="D257" s="355"/>
      <c r="E257" s="355"/>
      <c r="F257" s="355"/>
      <c r="G257" s="355"/>
      <c r="H257" s="355"/>
      <c r="I257" s="355"/>
      <c r="J257" s="355"/>
      <c r="K257" s="355"/>
      <c r="L257" s="355"/>
      <c r="M257" s="355"/>
      <c r="N257" s="355">
        <f>SUM(N254:N256)</f>
        <v>50</v>
      </c>
      <c r="O257" s="355"/>
      <c r="P257" s="356"/>
      <c r="Q257" s="342"/>
    </row>
    <row r="258" spans="1:17" s="347" customFormat="1" ht="31.5" x14ac:dyDescent="0.25">
      <c r="A258" s="344" t="str">
        <f>ORÇAMENTO!A74</f>
        <v xml:space="preserve"> 3.1.16</v>
      </c>
      <c r="B258" s="345" t="str">
        <f>VLOOKUP(A258,ORÇAMENTO!$A:$F,4,0)</f>
        <v>EXECUÇÃO DE RESERVATÓRIO ELEVADO DE ÁGUA (1000 LITROS) EM CANTEIRO DE OBRA, APOIADO EM ESTRUTURA DE MADEIRA. AF_02/2016_PA</v>
      </c>
      <c r="C258" s="346" t="str">
        <f>VLOOKUP(A258,ORÇAMENTO!$A:$F,5,0)</f>
        <v>UN</v>
      </c>
      <c r="D258" s="346">
        <f>SUM(E262:O262)</f>
        <v>1</v>
      </c>
      <c r="E258" s="346" t="s">
        <v>1718</v>
      </c>
      <c r="F258" s="346" t="s">
        <v>1719</v>
      </c>
      <c r="G258" s="346" t="s">
        <v>1720</v>
      </c>
      <c r="H258" s="346" t="s">
        <v>1721</v>
      </c>
      <c r="I258" s="346" t="s">
        <v>1722</v>
      </c>
      <c r="J258" s="346" t="s">
        <v>4207</v>
      </c>
      <c r="K258" s="346" t="s">
        <v>4208</v>
      </c>
      <c r="L258" s="346" t="s">
        <v>1725</v>
      </c>
      <c r="M258" s="346" t="s">
        <v>1726</v>
      </c>
      <c r="N258" s="346" t="s">
        <v>1727</v>
      </c>
      <c r="O258" s="346" t="s">
        <v>1728</v>
      </c>
      <c r="P258" s="342"/>
      <c r="Q258" s="342"/>
    </row>
    <row r="259" spans="1:17" s="343" customFormat="1" ht="10.5" x14ac:dyDescent="0.25">
      <c r="A259" s="348"/>
      <c r="B259" s="349"/>
      <c r="C259" s="350"/>
      <c r="D259" s="351"/>
      <c r="E259" s="351"/>
      <c r="F259" s="351"/>
      <c r="G259" s="351"/>
      <c r="H259" s="351"/>
      <c r="I259" s="351"/>
      <c r="J259" s="351"/>
      <c r="K259" s="351"/>
      <c r="L259" s="351"/>
      <c r="M259" s="351"/>
      <c r="N259" s="351"/>
      <c r="O259" s="351"/>
      <c r="P259" s="352"/>
      <c r="Q259" s="342"/>
    </row>
    <row r="260" spans="1:17" s="343" customFormat="1" ht="21" x14ac:dyDescent="0.25">
      <c r="A260" s="348"/>
      <c r="B260" s="349" t="s">
        <v>4156</v>
      </c>
      <c r="C260" s="350"/>
      <c r="D260" s="351"/>
      <c r="E260" s="351"/>
      <c r="F260" s="351"/>
      <c r="G260" s="351"/>
      <c r="H260" s="351"/>
      <c r="I260" s="351"/>
      <c r="J260" s="351"/>
      <c r="K260" s="351"/>
      <c r="L260" s="351"/>
      <c r="M260" s="351">
        <v>1</v>
      </c>
      <c r="N260" s="351"/>
      <c r="O260" s="351"/>
      <c r="P260" s="352"/>
      <c r="Q260" s="342"/>
    </row>
    <row r="261" spans="1:17" s="343" customFormat="1" ht="10.5" x14ac:dyDescent="0.25">
      <c r="A261" s="348"/>
      <c r="B261" s="349"/>
      <c r="C261" s="350"/>
      <c r="D261" s="351"/>
      <c r="E261" s="351"/>
      <c r="F261" s="351"/>
      <c r="G261" s="351"/>
      <c r="H261" s="351"/>
      <c r="I261" s="351"/>
      <c r="J261" s="351"/>
      <c r="K261" s="351"/>
      <c r="L261" s="353"/>
      <c r="M261" s="351"/>
      <c r="N261" s="351"/>
      <c r="O261" s="351"/>
      <c r="P261" s="352"/>
      <c r="Q261" s="342"/>
    </row>
    <row r="262" spans="1:17" s="343" customFormat="1" ht="10.5" x14ac:dyDescent="0.25">
      <c r="A262" s="348"/>
      <c r="B262" s="354" t="s">
        <v>5</v>
      </c>
      <c r="C262" s="355" t="s">
        <v>1328</v>
      </c>
      <c r="D262" s="355"/>
      <c r="E262" s="355"/>
      <c r="F262" s="355"/>
      <c r="G262" s="355"/>
      <c r="H262" s="355"/>
      <c r="I262" s="355"/>
      <c r="J262" s="355"/>
      <c r="K262" s="355"/>
      <c r="L262" s="355"/>
      <c r="M262" s="355">
        <f>SUM(M259:M261)</f>
        <v>1</v>
      </c>
      <c r="N262" s="355"/>
      <c r="O262" s="355"/>
      <c r="P262" s="356"/>
      <c r="Q262" s="342"/>
    </row>
    <row r="263" spans="1:17" s="347" customFormat="1" ht="31.5" x14ac:dyDescent="0.25">
      <c r="A263" s="344" t="str">
        <f>ORÇAMENTO!A75</f>
        <v xml:space="preserve"> 3.1.17</v>
      </c>
      <c r="B263" s="345" t="str">
        <f>VLOOKUP(A263,ORÇAMENTO!$A:$F,4,0)</f>
        <v>EXECUÇÃO DE RESERVATÓRIO ELEVADO DE ÁGUA (2000 LITROS) EM CANTEIRO DE OBRA, APOIADO EM ESTRUTURA DE MADEIRA. AF_02/2016_PA</v>
      </c>
      <c r="C263" s="346" t="str">
        <f>VLOOKUP(A263,ORÇAMENTO!$A:$F,5,0)</f>
        <v>UN</v>
      </c>
      <c r="D263" s="346">
        <f>SUM(E267:O267)</f>
        <v>1</v>
      </c>
      <c r="E263" s="346" t="s">
        <v>1718</v>
      </c>
      <c r="F263" s="346" t="s">
        <v>1719</v>
      </c>
      <c r="G263" s="346" t="s">
        <v>1720</v>
      </c>
      <c r="H263" s="346" t="s">
        <v>1721</v>
      </c>
      <c r="I263" s="346" t="s">
        <v>1722</v>
      </c>
      <c r="J263" s="346" t="s">
        <v>4207</v>
      </c>
      <c r="K263" s="346" t="s">
        <v>4208</v>
      </c>
      <c r="L263" s="346" t="s">
        <v>1725</v>
      </c>
      <c r="M263" s="346" t="s">
        <v>1726</v>
      </c>
      <c r="N263" s="346" t="s">
        <v>1727</v>
      </c>
      <c r="O263" s="346" t="s">
        <v>1728</v>
      </c>
      <c r="P263" s="342"/>
      <c r="Q263" s="342"/>
    </row>
    <row r="264" spans="1:17" s="343" customFormat="1" ht="10.5" x14ac:dyDescent="0.25">
      <c r="A264" s="348"/>
      <c r="B264" s="349"/>
      <c r="C264" s="350"/>
      <c r="D264" s="351"/>
      <c r="E264" s="351"/>
      <c r="F264" s="351"/>
      <c r="G264" s="351"/>
      <c r="H264" s="351"/>
      <c r="I264" s="351"/>
      <c r="J264" s="351"/>
      <c r="K264" s="351"/>
      <c r="L264" s="351"/>
      <c r="M264" s="351"/>
      <c r="N264" s="351"/>
      <c r="O264" s="351"/>
      <c r="P264" s="352"/>
      <c r="Q264" s="342"/>
    </row>
    <row r="265" spans="1:17" s="343" customFormat="1" ht="21" x14ac:dyDescent="0.25">
      <c r="A265" s="348"/>
      <c r="B265" s="349" t="s">
        <v>4156</v>
      </c>
      <c r="C265" s="350"/>
      <c r="D265" s="351"/>
      <c r="E265" s="351"/>
      <c r="F265" s="351"/>
      <c r="G265" s="351"/>
      <c r="H265" s="351"/>
      <c r="I265" s="351"/>
      <c r="J265" s="351"/>
      <c r="K265" s="351"/>
      <c r="L265" s="351"/>
      <c r="M265" s="351">
        <v>1</v>
      </c>
      <c r="N265" s="351"/>
      <c r="O265" s="351"/>
      <c r="P265" s="352"/>
      <c r="Q265" s="342"/>
    </row>
    <row r="266" spans="1:17" s="343" customFormat="1" ht="10.5" x14ac:dyDescent="0.25">
      <c r="A266" s="348"/>
      <c r="B266" s="349"/>
      <c r="C266" s="350"/>
      <c r="D266" s="351"/>
      <c r="E266" s="351"/>
      <c r="F266" s="351"/>
      <c r="G266" s="351"/>
      <c r="H266" s="351"/>
      <c r="I266" s="351"/>
      <c r="J266" s="351"/>
      <c r="K266" s="351"/>
      <c r="L266" s="353"/>
      <c r="M266" s="351"/>
      <c r="N266" s="351"/>
      <c r="O266" s="351"/>
      <c r="P266" s="352"/>
      <c r="Q266" s="342"/>
    </row>
    <row r="267" spans="1:17" s="343" customFormat="1" ht="10.5" x14ac:dyDescent="0.25">
      <c r="A267" s="348"/>
      <c r="B267" s="354" t="s">
        <v>5</v>
      </c>
      <c r="C267" s="355" t="s">
        <v>1328</v>
      </c>
      <c r="D267" s="355"/>
      <c r="E267" s="355"/>
      <c r="F267" s="355"/>
      <c r="G267" s="355"/>
      <c r="H267" s="355"/>
      <c r="I267" s="355"/>
      <c r="J267" s="355"/>
      <c r="K267" s="355"/>
      <c r="L267" s="355"/>
      <c r="M267" s="355">
        <f>SUM(M264:M266)</f>
        <v>1</v>
      </c>
      <c r="N267" s="355"/>
      <c r="O267" s="355"/>
      <c r="P267" s="356"/>
      <c r="Q267" s="342"/>
    </row>
    <row r="268" spans="1:17" s="347" customFormat="1" ht="31.5" x14ac:dyDescent="0.25">
      <c r="A268" s="344" t="str">
        <f>ORÇAMENTO!A76</f>
        <v xml:space="preserve"> 3.1.18</v>
      </c>
      <c r="B268" s="345" t="str">
        <f>VLOOKUP(A268,ORÇAMENTO!$A:$F,4,0)</f>
        <v>ESTRUTURA DE MADEIRA PROVISÓRIA PARA SUPORTE DE CAIXA DÁGUA ELEVADA DE 1000 LITROS. AF_03/2024</v>
      </c>
      <c r="C268" s="346" t="str">
        <f>VLOOKUP(A268,ORÇAMENTO!$A:$F,5,0)</f>
        <v>UN</v>
      </c>
      <c r="D268" s="346">
        <f>SUM(E272:O272)</f>
        <v>1</v>
      </c>
      <c r="E268" s="346" t="s">
        <v>1718</v>
      </c>
      <c r="F268" s="346" t="s">
        <v>1719</v>
      </c>
      <c r="G268" s="346" t="s">
        <v>1720</v>
      </c>
      <c r="H268" s="346" t="s">
        <v>1721</v>
      </c>
      <c r="I268" s="346" t="s">
        <v>1722</v>
      </c>
      <c r="J268" s="346" t="s">
        <v>4207</v>
      </c>
      <c r="K268" s="346" t="s">
        <v>4208</v>
      </c>
      <c r="L268" s="346" t="s">
        <v>1725</v>
      </c>
      <c r="M268" s="346" t="s">
        <v>1726</v>
      </c>
      <c r="N268" s="346" t="s">
        <v>1727</v>
      </c>
      <c r="O268" s="346" t="s">
        <v>1728</v>
      </c>
      <c r="P268" s="342"/>
      <c r="Q268" s="342"/>
    </row>
    <row r="269" spans="1:17" s="343" customFormat="1" ht="10.5" x14ac:dyDescent="0.25">
      <c r="A269" s="348"/>
      <c r="B269" s="349"/>
      <c r="C269" s="350"/>
      <c r="D269" s="351"/>
      <c r="E269" s="351"/>
      <c r="F269" s="351"/>
      <c r="G269" s="351"/>
      <c r="H269" s="351"/>
      <c r="I269" s="351"/>
      <c r="J269" s="351"/>
      <c r="K269" s="351"/>
      <c r="L269" s="351"/>
      <c r="M269" s="351"/>
      <c r="N269" s="351"/>
      <c r="O269" s="351"/>
      <c r="P269" s="352"/>
      <c r="Q269" s="342"/>
    </row>
    <row r="270" spans="1:17" s="343" customFormat="1" ht="21" x14ac:dyDescent="0.25">
      <c r="A270" s="348"/>
      <c r="B270" s="349" t="s">
        <v>4164</v>
      </c>
      <c r="C270" s="350"/>
      <c r="D270" s="351"/>
      <c r="E270" s="351"/>
      <c r="F270" s="351"/>
      <c r="G270" s="351"/>
      <c r="H270" s="351"/>
      <c r="I270" s="351"/>
      <c r="J270" s="351"/>
      <c r="K270" s="351"/>
      <c r="L270" s="351"/>
      <c r="M270" s="351">
        <v>1</v>
      </c>
      <c r="N270" s="351"/>
      <c r="O270" s="351"/>
      <c r="P270" s="352"/>
      <c r="Q270" s="342"/>
    </row>
    <row r="271" spans="1:17" s="343" customFormat="1" ht="10.5" x14ac:dyDescent="0.25">
      <c r="A271" s="348"/>
      <c r="B271" s="349"/>
      <c r="C271" s="350"/>
      <c r="D271" s="351"/>
      <c r="E271" s="351"/>
      <c r="F271" s="351"/>
      <c r="G271" s="351"/>
      <c r="H271" s="351"/>
      <c r="I271" s="351"/>
      <c r="J271" s="351"/>
      <c r="K271" s="351"/>
      <c r="L271" s="353"/>
      <c r="M271" s="351"/>
      <c r="N271" s="351"/>
      <c r="O271" s="351"/>
      <c r="P271" s="352"/>
      <c r="Q271" s="342"/>
    </row>
    <row r="272" spans="1:17" s="343" customFormat="1" ht="10.5" x14ac:dyDescent="0.25">
      <c r="A272" s="348"/>
      <c r="B272" s="354" t="s">
        <v>5</v>
      </c>
      <c r="C272" s="355" t="s">
        <v>1328</v>
      </c>
      <c r="D272" s="355"/>
      <c r="E272" s="355"/>
      <c r="F272" s="355"/>
      <c r="G272" s="355"/>
      <c r="H272" s="355"/>
      <c r="I272" s="355"/>
      <c r="J272" s="355"/>
      <c r="K272" s="355"/>
      <c r="L272" s="355"/>
      <c r="M272" s="355">
        <f>SUM(M269:M271)</f>
        <v>1</v>
      </c>
      <c r="N272" s="355"/>
      <c r="O272" s="355"/>
      <c r="P272" s="356"/>
      <c r="Q272" s="342"/>
    </row>
    <row r="273" spans="1:17" s="347" customFormat="1" ht="31.5" x14ac:dyDescent="0.25">
      <c r="A273" s="344" t="str">
        <f>ORÇAMENTO!A77</f>
        <v xml:space="preserve"> 3.1.19</v>
      </c>
      <c r="B273" s="345" t="str">
        <f>VLOOKUP(A273,ORÇAMENTO!$A:$F,4,0)</f>
        <v>ESTRUTURA DE MADEIRA PROVISÓRIA PARA SUPORTE DE CAIXA DÁGUA ELEVADA DE 3000 LITROS. AF_03/2024</v>
      </c>
      <c r="C273" s="346" t="str">
        <f>VLOOKUP(A273,ORÇAMENTO!$A:$F,5,0)</f>
        <v>UN</v>
      </c>
      <c r="D273" s="346">
        <f>SUM(E277:O277)</f>
        <v>1</v>
      </c>
      <c r="E273" s="346" t="s">
        <v>1718</v>
      </c>
      <c r="F273" s="346" t="s">
        <v>1719</v>
      </c>
      <c r="G273" s="346" t="s">
        <v>1720</v>
      </c>
      <c r="H273" s="346" t="s">
        <v>1721</v>
      </c>
      <c r="I273" s="346" t="s">
        <v>1722</v>
      </c>
      <c r="J273" s="346" t="s">
        <v>4207</v>
      </c>
      <c r="K273" s="346" t="s">
        <v>4208</v>
      </c>
      <c r="L273" s="346" t="s">
        <v>1725</v>
      </c>
      <c r="M273" s="346" t="s">
        <v>1726</v>
      </c>
      <c r="N273" s="346" t="s">
        <v>1727</v>
      </c>
      <c r="O273" s="346" t="s">
        <v>1728</v>
      </c>
      <c r="P273" s="342"/>
      <c r="Q273" s="342"/>
    </row>
    <row r="274" spans="1:17" s="343" customFormat="1" ht="10.5" x14ac:dyDescent="0.25">
      <c r="A274" s="348"/>
      <c r="B274" s="349"/>
      <c r="C274" s="350"/>
      <c r="D274" s="351"/>
      <c r="E274" s="351"/>
      <c r="F274" s="351"/>
      <c r="G274" s="351"/>
      <c r="H274" s="351"/>
      <c r="I274" s="351"/>
      <c r="J274" s="351"/>
      <c r="K274" s="351"/>
      <c r="L274" s="351"/>
      <c r="M274" s="351"/>
      <c r="N274" s="351"/>
      <c r="O274" s="351"/>
      <c r="P274" s="352"/>
      <c r="Q274" s="342"/>
    </row>
    <row r="275" spans="1:17" s="343" customFormat="1" ht="21" x14ac:dyDescent="0.25">
      <c r="A275" s="348"/>
      <c r="B275" s="349" t="s">
        <v>4164</v>
      </c>
      <c r="C275" s="350"/>
      <c r="D275" s="351"/>
      <c r="E275" s="351"/>
      <c r="F275" s="351"/>
      <c r="G275" s="351"/>
      <c r="H275" s="351"/>
      <c r="I275" s="351"/>
      <c r="J275" s="351"/>
      <c r="K275" s="351"/>
      <c r="L275" s="351"/>
      <c r="M275" s="351">
        <v>1</v>
      </c>
      <c r="N275" s="351"/>
      <c r="O275" s="351"/>
      <c r="P275" s="352"/>
      <c r="Q275" s="342"/>
    </row>
    <row r="276" spans="1:17" s="343" customFormat="1" ht="10.5" x14ac:dyDescent="0.25">
      <c r="A276" s="348"/>
      <c r="B276" s="349"/>
      <c r="C276" s="350"/>
      <c r="D276" s="351"/>
      <c r="E276" s="351"/>
      <c r="F276" s="351"/>
      <c r="G276" s="351"/>
      <c r="H276" s="351"/>
      <c r="I276" s="351"/>
      <c r="J276" s="351"/>
      <c r="K276" s="351"/>
      <c r="L276" s="353"/>
      <c r="M276" s="351"/>
      <c r="N276" s="351"/>
      <c r="O276" s="351"/>
      <c r="P276" s="352"/>
      <c r="Q276" s="342"/>
    </row>
    <row r="277" spans="1:17" s="343" customFormat="1" ht="10.5" x14ac:dyDescent="0.25">
      <c r="A277" s="348"/>
      <c r="B277" s="354" t="s">
        <v>5</v>
      </c>
      <c r="C277" s="355" t="s">
        <v>1328</v>
      </c>
      <c r="D277" s="355"/>
      <c r="E277" s="355"/>
      <c r="F277" s="355"/>
      <c r="G277" s="355"/>
      <c r="H277" s="355"/>
      <c r="I277" s="355"/>
      <c r="J277" s="355"/>
      <c r="K277" s="355"/>
      <c r="L277" s="355"/>
      <c r="M277" s="355">
        <f>SUM(M274:M276)</f>
        <v>1</v>
      </c>
      <c r="N277" s="355"/>
      <c r="O277" s="355"/>
      <c r="P277" s="356"/>
      <c r="Q277" s="342"/>
    </row>
    <row r="278" spans="1:17" s="347" customFormat="1" ht="42" x14ac:dyDescent="0.25">
      <c r="A278" s="344" t="str">
        <f>ORÇAMENTO!A78</f>
        <v xml:space="preserve"> 3.1.20</v>
      </c>
      <c r="B278" s="345" t="str">
        <f>VLOOKUP(A278,ORÇAMENTO!$A:$F,4,0)</f>
        <v>TANQUE SÉPTICO CIRCULAR, EM CONCRETO PRÉ-MOLDADO, DIÂMETRO INTERNO = 1,88 M, ALTURA INTERNA = 2,50 M, VOLUME ÚTIL: 6245,8 L (PARA 32 CONTRIBUINTES). AF_12/2020_PA</v>
      </c>
      <c r="C278" s="346" t="str">
        <f>VLOOKUP(A278,ORÇAMENTO!$A:$F,5,0)</f>
        <v>UN</v>
      </c>
      <c r="D278" s="346">
        <f>SUM(E282:O282)</f>
        <v>1</v>
      </c>
      <c r="E278" s="346" t="s">
        <v>1718</v>
      </c>
      <c r="F278" s="346" t="s">
        <v>1719</v>
      </c>
      <c r="G278" s="346" t="s">
        <v>1720</v>
      </c>
      <c r="H278" s="346" t="s">
        <v>1721</v>
      </c>
      <c r="I278" s="346" t="s">
        <v>1722</v>
      </c>
      <c r="J278" s="346" t="s">
        <v>4207</v>
      </c>
      <c r="K278" s="346" t="s">
        <v>4208</v>
      </c>
      <c r="L278" s="346" t="s">
        <v>1725</v>
      </c>
      <c r="M278" s="346" t="s">
        <v>1726</v>
      </c>
      <c r="N278" s="346" t="s">
        <v>1727</v>
      </c>
      <c r="O278" s="346" t="s">
        <v>1728</v>
      </c>
      <c r="P278" s="342"/>
      <c r="Q278" s="342"/>
    </row>
    <row r="279" spans="1:17" s="343" customFormat="1" ht="10.5" x14ac:dyDescent="0.25">
      <c r="A279" s="348"/>
      <c r="B279" s="349"/>
      <c r="C279" s="350"/>
      <c r="D279" s="351"/>
      <c r="E279" s="351"/>
      <c r="F279" s="351"/>
      <c r="G279" s="351"/>
      <c r="H279" s="351"/>
      <c r="I279" s="351"/>
      <c r="J279" s="351"/>
      <c r="K279" s="351"/>
      <c r="L279" s="351"/>
      <c r="M279" s="351"/>
      <c r="N279" s="351"/>
      <c r="O279" s="351"/>
      <c r="P279" s="352"/>
      <c r="Q279" s="342"/>
    </row>
    <row r="280" spans="1:17" s="343" customFormat="1" ht="21" x14ac:dyDescent="0.25">
      <c r="A280" s="348"/>
      <c r="B280" s="349" t="s">
        <v>4164</v>
      </c>
      <c r="C280" s="350"/>
      <c r="D280" s="351"/>
      <c r="E280" s="351"/>
      <c r="F280" s="351"/>
      <c r="G280" s="351"/>
      <c r="H280" s="351"/>
      <c r="I280" s="351"/>
      <c r="J280" s="351"/>
      <c r="K280" s="351"/>
      <c r="L280" s="351"/>
      <c r="M280" s="351">
        <v>1</v>
      </c>
      <c r="N280" s="351"/>
      <c r="O280" s="351"/>
      <c r="P280" s="352"/>
      <c r="Q280" s="342"/>
    </row>
    <row r="281" spans="1:17" s="343" customFormat="1" ht="10.5" x14ac:dyDescent="0.25">
      <c r="A281" s="348"/>
      <c r="B281" s="349"/>
      <c r="C281" s="350"/>
      <c r="D281" s="351"/>
      <c r="E281" s="351"/>
      <c r="F281" s="351"/>
      <c r="G281" s="351"/>
      <c r="H281" s="351"/>
      <c r="I281" s="351"/>
      <c r="J281" s="351"/>
      <c r="K281" s="351"/>
      <c r="L281" s="353"/>
      <c r="M281" s="351"/>
      <c r="N281" s="351"/>
      <c r="O281" s="351"/>
      <c r="P281" s="352"/>
      <c r="Q281" s="342"/>
    </row>
    <row r="282" spans="1:17" s="343" customFormat="1" ht="10.5" x14ac:dyDescent="0.25">
      <c r="A282" s="348"/>
      <c r="B282" s="354" t="s">
        <v>5</v>
      </c>
      <c r="C282" s="355" t="s">
        <v>1328</v>
      </c>
      <c r="D282" s="355"/>
      <c r="E282" s="355"/>
      <c r="F282" s="355"/>
      <c r="G282" s="355"/>
      <c r="H282" s="355"/>
      <c r="I282" s="355"/>
      <c r="J282" s="355"/>
      <c r="K282" s="355"/>
      <c r="L282" s="355"/>
      <c r="M282" s="355">
        <f>SUM(M279:M281)</f>
        <v>1</v>
      </c>
      <c r="N282" s="355"/>
      <c r="O282" s="355"/>
      <c r="P282" s="356"/>
      <c r="Q282" s="342"/>
    </row>
    <row r="283" spans="1:17" s="347" customFormat="1" ht="31.5" x14ac:dyDescent="0.25">
      <c r="A283" s="344" t="str">
        <f>ORÇAMENTO!A79</f>
        <v xml:space="preserve"> 3.1.21</v>
      </c>
      <c r="B283" s="345" t="str">
        <f>VLOOKUP(A283,ORÇAMENTO!$A:$F,4,0)</f>
        <v>INSTAL/LIGACAO PROVISORIA ELETRICA BAIXA TENSAO P/CANT OBRA           OBRA,M3-CHAVE 100A CARGA 3KWH,20CV EXCL FORN MEDIDOR</v>
      </c>
      <c r="C283" s="346" t="str">
        <f>VLOOKUP(A283,ORÇAMENTO!$A:$F,5,0)</f>
        <v>UN</v>
      </c>
      <c r="D283" s="346">
        <f>SUM(E287:O287)</f>
        <v>1</v>
      </c>
      <c r="E283" s="346" t="s">
        <v>1718</v>
      </c>
      <c r="F283" s="346" t="s">
        <v>1719</v>
      </c>
      <c r="G283" s="346" t="s">
        <v>1720</v>
      </c>
      <c r="H283" s="346" t="s">
        <v>1721</v>
      </c>
      <c r="I283" s="346" t="s">
        <v>1722</v>
      </c>
      <c r="J283" s="346" t="s">
        <v>4207</v>
      </c>
      <c r="K283" s="346" t="s">
        <v>4208</v>
      </c>
      <c r="L283" s="346" t="s">
        <v>1725</v>
      </c>
      <c r="M283" s="346" t="s">
        <v>1726</v>
      </c>
      <c r="N283" s="346" t="s">
        <v>1727</v>
      </c>
      <c r="O283" s="346" t="s">
        <v>1728</v>
      </c>
      <c r="P283" s="342"/>
      <c r="Q283" s="342"/>
    </row>
    <row r="284" spans="1:17" s="343" customFormat="1" ht="10.5" x14ac:dyDescent="0.25">
      <c r="A284" s="348"/>
      <c r="B284" s="349"/>
      <c r="C284" s="350"/>
      <c r="D284" s="351"/>
      <c r="E284" s="351"/>
      <c r="F284" s="351"/>
      <c r="G284" s="351"/>
      <c r="H284" s="351"/>
      <c r="I284" s="351"/>
      <c r="J284" s="351"/>
      <c r="K284" s="351"/>
      <c r="L284" s="351"/>
      <c r="M284" s="351"/>
      <c r="N284" s="351"/>
      <c r="O284" s="351"/>
      <c r="P284" s="352"/>
      <c r="Q284" s="342"/>
    </row>
    <row r="285" spans="1:17" s="343" customFormat="1" ht="21" x14ac:dyDescent="0.25">
      <c r="A285" s="348"/>
      <c r="B285" s="349" t="s">
        <v>4156</v>
      </c>
      <c r="C285" s="350"/>
      <c r="D285" s="351"/>
      <c r="E285" s="351"/>
      <c r="F285" s="351"/>
      <c r="G285" s="351"/>
      <c r="H285" s="351"/>
      <c r="I285" s="351"/>
      <c r="J285" s="351"/>
      <c r="K285" s="351"/>
      <c r="L285" s="351"/>
      <c r="M285" s="351">
        <v>1</v>
      </c>
      <c r="N285" s="351"/>
      <c r="O285" s="351"/>
      <c r="P285" s="352"/>
      <c r="Q285" s="342"/>
    </row>
    <row r="286" spans="1:17" s="343" customFormat="1" ht="10.5" x14ac:dyDescent="0.25">
      <c r="A286" s="348"/>
      <c r="B286" s="349"/>
      <c r="C286" s="350"/>
      <c r="D286" s="351"/>
      <c r="E286" s="351"/>
      <c r="F286" s="351"/>
      <c r="G286" s="351"/>
      <c r="H286" s="351"/>
      <c r="I286" s="351"/>
      <c r="J286" s="351"/>
      <c r="K286" s="351"/>
      <c r="L286" s="353"/>
      <c r="M286" s="351"/>
      <c r="N286" s="351"/>
      <c r="O286" s="351"/>
      <c r="P286" s="352"/>
      <c r="Q286" s="342"/>
    </row>
    <row r="287" spans="1:17" s="343" customFormat="1" ht="10.5" x14ac:dyDescent="0.25">
      <c r="A287" s="348"/>
      <c r="B287" s="354" t="s">
        <v>5</v>
      </c>
      <c r="C287" s="355" t="s">
        <v>1328</v>
      </c>
      <c r="D287" s="355"/>
      <c r="E287" s="355"/>
      <c r="F287" s="355"/>
      <c r="G287" s="355"/>
      <c r="H287" s="355"/>
      <c r="I287" s="355"/>
      <c r="J287" s="355"/>
      <c r="K287" s="355"/>
      <c r="L287" s="355"/>
      <c r="M287" s="355">
        <f>SUM(M284:M286)</f>
        <v>1</v>
      </c>
      <c r="N287" s="355"/>
      <c r="O287" s="355"/>
      <c r="P287" s="356"/>
      <c r="Q287" s="342"/>
    </row>
    <row r="288" spans="1:17" s="347" customFormat="1" ht="31.5" x14ac:dyDescent="0.25">
      <c r="A288" s="344" t="str">
        <f>ORÇAMENTO!A80</f>
        <v xml:space="preserve"> 3.1.22</v>
      </c>
      <c r="B288" s="345" t="str">
        <f>VLOOKUP(A288,ORÇAMENTO!$A:$F,4,0)</f>
        <v>LIGAÇÃO PROVISORIA PARA ÁGUA EM OBRA, INCLUSIVE PEQUENAS OBRAS, INSTALAÇÃO SANITÁRIA, (INSTALAÇÃO MÍNIMA)</v>
      </c>
      <c r="C288" s="346" t="str">
        <f>VLOOKUP(A288,ORÇAMENTO!$A:$F,5,0)</f>
        <v>UN</v>
      </c>
      <c r="D288" s="346">
        <f>SUM(E292:O292)</f>
        <v>1</v>
      </c>
      <c r="E288" s="346" t="s">
        <v>1718</v>
      </c>
      <c r="F288" s="346" t="s">
        <v>1719</v>
      </c>
      <c r="G288" s="346" t="s">
        <v>1720</v>
      </c>
      <c r="H288" s="346" t="s">
        <v>1721</v>
      </c>
      <c r="I288" s="346" t="s">
        <v>1722</v>
      </c>
      <c r="J288" s="346" t="s">
        <v>4207</v>
      </c>
      <c r="K288" s="346" t="s">
        <v>4208</v>
      </c>
      <c r="L288" s="346" t="s">
        <v>1725</v>
      </c>
      <c r="M288" s="346" t="s">
        <v>1726</v>
      </c>
      <c r="N288" s="346" t="s">
        <v>1727</v>
      </c>
      <c r="O288" s="346" t="s">
        <v>1728</v>
      </c>
      <c r="P288" s="342"/>
      <c r="Q288" s="342"/>
    </row>
    <row r="289" spans="1:17" s="343" customFormat="1" ht="10.5" x14ac:dyDescent="0.25">
      <c r="A289" s="348"/>
      <c r="B289" s="349"/>
      <c r="C289" s="350"/>
      <c r="D289" s="351"/>
      <c r="E289" s="351"/>
      <c r="F289" s="351"/>
      <c r="G289" s="351"/>
      <c r="H289" s="351"/>
      <c r="I289" s="351"/>
      <c r="J289" s="351"/>
      <c r="K289" s="351"/>
      <c r="L289" s="351"/>
      <c r="M289" s="351"/>
      <c r="N289" s="351"/>
      <c r="O289" s="351"/>
      <c r="P289" s="352"/>
      <c r="Q289" s="342"/>
    </row>
    <row r="290" spans="1:17" s="343" customFormat="1" ht="21" x14ac:dyDescent="0.25">
      <c r="A290" s="348"/>
      <c r="B290" s="349" t="s">
        <v>4156</v>
      </c>
      <c r="C290" s="350"/>
      <c r="D290" s="351"/>
      <c r="E290" s="351"/>
      <c r="F290" s="351"/>
      <c r="G290" s="351"/>
      <c r="H290" s="351"/>
      <c r="I290" s="351"/>
      <c r="J290" s="351"/>
      <c r="K290" s="351"/>
      <c r="L290" s="351"/>
      <c r="M290" s="351">
        <v>1</v>
      </c>
      <c r="N290" s="351"/>
      <c r="O290" s="351"/>
      <c r="P290" s="352"/>
      <c r="Q290" s="342"/>
    </row>
    <row r="291" spans="1:17" s="343" customFormat="1" ht="10.5" x14ac:dyDescent="0.25">
      <c r="A291" s="348"/>
      <c r="B291" s="349"/>
      <c r="C291" s="350"/>
      <c r="D291" s="351"/>
      <c r="E291" s="351"/>
      <c r="F291" s="351"/>
      <c r="G291" s="351"/>
      <c r="H291" s="351"/>
      <c r="I291" s="351"/>
      <c r="J291" s="351"/>
      <c r="K291" s="351"/>
      <c r="L291" s="353"/>
      <c r="M291" s="351"/>
      <c r="N291" s="351"/>
      <c r="O291" s="351"/>
      <c r="P291" s="352"/>
      <c r="Q291" s="342"/>
    </row>
    <row r="292" spans="1:17" s="343" customFormat="1" ht="10.5" x14ac:dyDescent="0.25">
      <c r="A292" s="348"/>
      <c r="B292" s="354" t="s">
        <v>5</v>
      </c>
      <c r="C292" s="355" t="s">
        <v>1328</v>
      </c>
      <c r="D292" s="355"/>
      <c r="E292" s="355"/>
      <c r="F292" s="355"/>
      <c r="G292" s="355"/>
      <c r="H292" s="355"/>
      <c r="I292" s="355"/>
      <c r="J292" s="355"/>
      <c r="K292" s="355"/>
      <c r="L292" s="355"/>
      <c r="M292" s="355">
        <f>SUM(M289:M291)</f>
        <v>1</v>
      </c>
      <c r="N292" s="355"/>
      <c r="O292" s="355"/>
      <c r="P292" s="356"/>
      <c r="Q292" s="342"/>
    </row>
    <row r="293" spans="1:17" s="347" customFormat="1" ht="21" x14ac:dyDescent="0.25">
      <c r="A293" s="344" t="str">
        <f>ORÇAMENTO!A81</f>
        <v xml:space="preserve"> 3.1.23</v>
      </c>
      <c r="B293" s="345" t="str">
        <f>VLOOKUP(A293,ORÇAMENTO!$A:$F,4,0)</f>
        <v>LASTRO DE BRITA COMERCIAL COMPACTADO COM SOQUETE VIBRATÓRIO - ESPALHAMENTO MANUAL</v>
      </c>
      <c r="C293" s="346" t="str">
        <f>VLOOKUP(A293,ORÇAMENTO!$A:$F,5,0)</f>
        <v>M³</v>
      </c>
      <c r="D293" s="346">
        <f>SUM(E297:O297)</f>
        <v>40</v>
      </c>
      <c r="E293" s="346" t="s">
        <v>1718</v>
      </c>
      <c r="F293" s="346" t="s">
        <v>1719</v>
      </c>
      <c r="G293" s="346" t="s">
        <v>1720</v>
      </c>
      <c r="H293" s="346" t="s">
        <v>1721</v>
      </c>
      <c r="I293" s="346" t="s">
        <v>1722</v>
      </c>
      <c r="J293" s="346" t="s">
        <v>4207</v>
      </c>
      <c r="K293" s="346" t="s">
        <v>4208</v>
      </c>
      <c r="L293" s="346" t="s">
        <v>1725</v>
      </c>
      <c r="M293" s="346" t="s">
        <v>1726</v>
      </c>
      <c r="N293" s="346" t="s">
        <v>1727</v>
      </c>
      <c r="O293" s="346" t="s">
        <v>1728</v>
      </c>
      <c r="P293" s="342"/>
      <c r="Q293" s="342"/>
    </row>
    <row r="294" spans="1:17" s="343" customFormat="1" ht="10.5" x14ac:dyDescent="0.25">
      <c r="A294" s="348"/>
      <c r="B294" s="349"/>
      <c r="C294" s="350"/>
      <c r="D294" s="351"/>
      <c r="E294" s="351"/>
      <c r="F294" s="351"/>
      <c r="G294" s="351"/>
      <c r="H294" s="351"/>
      <c r="I294" s="351"/>
      <c r="J294" s="351"/>
      <c r="K294" s="351"/>
      <c r="L294" s="351"/>
      <c r="M294" s="351"/>
      <c r="N294" s="351"/>
      <c r="O294" s="351"/>
      <c r="P294" s="352"/>
      <c r="Q294" s="342"/>
    </row>
    <row r="295" spans="1:17" s="343" customFormat="1" ht="21" x14ac:dyDescent="0.25">
      <c r="A295" s="348"/>
      <c r="B295" s="349" t="s">
        <v>4165</v>
      </c>
      <c r="C295" s="350"/>
      <c r="D295" s="351"/>
      <c r="E295" s="351"/>
      <c r="F295" s="351"/>
      <c r="G295" s="351"/>
      <c r="H295" s="351">
        <v>0.05</v>
      </c>
      <c r="I295" s="351"/>
      <c r="J295" s="351"/>
      <c r="K295" s="351"/>
      <c r="L295" s="351"/>
      <c r="M295" s="351"/>
      <c r="N295" s="351">
        <f>N186</f>
        <v>800</v>
      </c>
      <c r="O295" s="351">
        <f>N295*H295</f>
        <v>40</v>
      </c>
      <c r="P295" s="352"/>
      <c r="Q295" s="342"/>
    </row>
    <row r="296" spans="1:17" s="343" customFormat="1" ht="10.5" x14ac:dyDescent="0.25">
      <c r="A296" s="348"/>
      <c r="B296" s="349"/>
      <c r="C296" s="350"/>
      <c r="D296" s="351"/>
      <c r="E296" s="351"/>
      <c r="F296" s="351"/>
      <c r="G296" s="351"/>
      <c r="H296" s="351"/>
      <c r="I296" s="351"/>
      <c r="J296" s="351"/>
      <c r="K296" s="351"/>
      <c r="L296" s="353"/>
      <c r="M296" s="351"/>
      <c r="N296" s="351"/>
      <c r="O296" s="351"/>
      <c r="P296" s="352"/>
      <c r="Q296" s="342"/>
    </row>
    <row r="297" spans="1:17" s="343" customFormat="1" ht="10.5" x14ac:dyDescent="0.25">
      <c r="A297" s="348"/>
      <c r="B297" s="354" t="s">
        <v>5</v>
      </c>
      <c r="C297" s="355" t="s">
        <v>1328</v>
      </c>
      <c r="D297" s="355"/>
      <c r="E297" s="355"/>
      <c r="F297" s="355"/>
      <c r="G297" s="355"/>
      <c r="H297" s="355"/>
      <c r="I297" s="355"/>
      <c r="J297" s="355"/>
      <c r="K297" s="355"/>
      <c r="L297" s="355"/>
      <c r="M297" s="355"/>
      <c r="N297" s="355"/>
      <c r="O297" s="355">
        <f>SUM(O294:O296)</f>
        <v>40</v>
      </c>
      <c r="P297" s="356"/>
      <c r="Q297" s="342"/>
    </row>
    <row r="298" spans="1:17" s="347" customFormat="1" ht="42" x14ac:dyDescent="0.25">
      <c r="A298" s="344" t="str">
        <f>ORÇAMENTO!A82</f>
        <v xml:space="preserve"> 3.1.24</v>
      </c>
      <c r="B298" s="345" t="str">
        <f>VLOOKUP(A298,ORÇAMENTO!$A:$F,4,0)</f>
        <v>CONCRETO MAGRO PARA LASTRO, TRAÇO 1:4,5:4,5 (EM MASSA SECA DE CIMENTO/ AREIA MÉDIA/ BRITA 1) - PREPARO MECÂNICO COM BETONEIRA 600 L. AF_05/2021</v>
      </c>
      <c r="C298" s="346" t="str">
        <f>VLOOKUP(A298,ORÇAMENTO!$A:$F,5,0)</f>
        <v>M³</v>
      </c>
      <c r="D298" s="346">
        <f>SUM(E302:O302)</f>
        <v>6.9300000000000006</v>
      </c>
      <c r="E298" s="346" t="s">
        <v>1718</v>
      </c>
      <c r="F298" s="346" t="s">
        <v>1719</v>
      </c>
      <c r="G298" s="346" t="s">
        <v>1720</v>
      </c>
      <c r="H298" s="346" t="s">
        <v>1721</v>
      </c>
      <c r="I298" s="346" t="s">
        <v>1722</v>
      </c>
      <c r="J298" s="346" t="s">
        <v>4207</v>
      </c>
      <c r="K298" s="346" t="s">
        <v>4208</v>
      </c>
      <c r="L298" s="346" t="s">
        <v>1725</v>
      </c>
      <c r="M298" s="346" t="s">
        <v>1726</v>
      </c>
      <c r="N298" s="346" t="s">
        <v>1727</v>
      </c>
      <c r="O298" s="346" t="s">
        <v>1728</v>
      </c>
      <c r="P298" s="342"/>
      <c r="Q298" s="342"/>
    </row>
    <row r="299" spans="1:17" s="343" customFormat="1" ht="10.5" x14ac:dyDescent="0.25">
      <c r="A299" s="348"/>
      <c r="B299" s="349"/>
      <c r="C299" s="350"/>
      <c r="D299" s="351"/>
      <c r="E299" s="351"/>
      <c r="F299" s="351"/>
      <c r="G299" s="351"/>
      <c r="H299" s="351"/>
      <c r="I299" s="351"/>
      <c r="J299" s="351"/>
      <c r="K299" s="351"/>
      <c r="L299" s="351"/>
      <c r="M299" s="351"/>
      <c r="N299" s="351"/>
      <c r="O299" s="351"/>
      <c r="P299" s="352"/>
      <c r="Q299" s="342"/>
    </row>
    <row r="300" spans="1:17" s="343" customFormat="1" ht="10.5" x14ac:dyDescent="0.25">
      <c r="A300" s="348"/>
      <c r="B300" s="349" t="s">
        <v>4166</v>
      </c>
      <c r="C300" s="350"/>
      <c r="D300" s="351"/>
      <c r="E300" s="351">
        <f>6+1</f>
        <v>7</v>
      </c>
      <c r="F300" s="351">
        <f>2.3+1</f>
        <v>3.3</v>
      </c>
      <c r="G300" s="351"/>
      <c r="H300" s="351">
        <v>0.05</v>
      </c>
      <c r="I300" s="351"/>
      <c r="J300" s="351"/>
      <c r="K300" s="351"/>
      <c r="L300" s="351"/>
      <c r="M300" s="351">
        <f>M240+M235+M230</f>
        <v>6</v>
      </c>
      <c r="N300" s="351"/>
      <c r="O300" s="351">
        <f>M300*H300*F300*E300</f>
        <v>6.9300000000000006</v>
      </c>
      <c r="P300" s="352"/>
      <c r="Q300" s="342"/>
    </row>
    <row r="301" spans="1:17" s="343" customFormat="1" ht="10.5" x14ac:dyDescent="0.25">
      <c r="A301" s="348"/>
      <c r="B301" s="349"/>
      <c r="C301" s="350"/>
      <c r="D301" s="351"/>
      <c r="E301" s="351"/>
      <c r="F301" s="351"/>
      <c r="G301" s="351"/>
      <c r="H301" s="351"/>
      <c r="I301" s="351"/>
      <c r="J301" s="351"/>
      <c r="K301" s="351"/>
      <c r="L301" s="351"/>
      <c r="M301" s="351"/>
      <c r="N301" s="351"/>
      <c r="O301" s="351"/>
      <c r="P301" s="352"/>
      <c r="Q301" s="342"/>
    </row>
    <row r="302" spans="1:17" s="343" customFormat="1" ht="10.5" x14ac:dyDescent="0.25">
      <c r="A302" s="348"/>
      <c r="B302" s="354" t="s">
        <v>5</v>
      </c>
      <c r="C302" s="355" t="s">
        <v>1328</v>
      </c>
      <c r="D302" s="355"/>
      <c r="E302" s="355"/>
      <c r="F302" s="355"/>
      <c r="G302" s="355"/>
      <c r="H302" s="355"/>
      <c r="I302" s="355"/>
      <c r="J302" s="355"/>
      <c r="K302" s="355"/>
      <c r="L302" s="355"/>
      <c r="M302" s="355"/>
      <c r="N302" s="355"/>
      <c r="O302" s="355">
        <f>SUM(O299:O301)</f>
        <v>6.9300000000000006</v>
      </c>
      <c r="P302" s="356"/>
      <c r="Q302" s="342"/>
    </row>
    <row r="303" spans="1:17" s="347" customFormat="1" ht="42" x14ac:dyDescent="0.25">
      <c r="A303" s="344" t="str">
        <f>ORÇAMENTO!A83</f>
        <v xml:space="preserve"> 3.1.25</v>
      </c>
      <c r="B303" s="345" t="str">
        <f>VLOOKUP(A303,ORÇAMENTO!$A:$F,4,0)</f>
        <v>CONCRETO FCK = 25MPA, TRAÇO 1:2,3:2,7 (EM MASSA SECA DE CIMENTO/ AREIA MÉDIA/ BRITA 1) - PREPARO MECÂNICO COM BETONEIRA 600 L. AF_05/2021</v>
      </c>
      <c r="C303" s="346" t="str">
        <f>VLOOKUP(A303,ORÇAMENTO!$A:$F,5,0)</f>
        <v>M³</v>
      </c>
      <c r="D303" s="346">
        <f>SUM(E307:O307)</f>
        <v>13.860000000000001</v>
      </c>
      <c r="E303" s="346" t="s">
        <v>1718</v>
      </c>
      <c r="F303" s="346" t="s">
        <v>1719</v>
      </c>
      <c r="G303" s="346" t="s">
        <v>1720</v>
      </c>
      <c r="H303" s="346" t="s">
        <v>1721</v>
      </c>
      <c r="I303" s="346" t="s">
        <v>1722</v>
      </c>
      <c r="J303" s="346" t="s">
        <v>4207</v>
      </c>
      <c r="K303" s="346" t="s">
        <v>4208</v>
      </c>
      <c r="L303" s="346" t="s">
        <v>1725</v>
      </c>
      <c r="M303" s="346" t="s">
        <v>1726</v>
      </c>
      <c r="N303" s="346" t="s">
        <v>1727</v>
      </c>
      <c r="O303" s="346" t="s">
        <v>1728</v>
      </c>
      <c r="P303" s="342"/>
      <c r="Q303" s="342"/>
    </row>
    <row r="304" spans="1:17" s="343" customFormat="1" ht="10.5" x14ac:dyDescent="0.25">
      <c r="A304" s="348"/>
      <c r="B304" s="349"/>
      <c r="C304" s="350"/>
      <c r="D304" s="351"/>
      <c r="E304" s="351"/>
      <c r="F304" s="351"/>
      <c r="G304" s="351"/>
      <c r="H304" s="351"/>
      <c r="I304" s="351"/>
      <c r="J304" s="351"/>
      <c r="K304" s="351"/>
      <c r="L304" s="351"/>
      <c r="M304" s="351"/>
      <c r="N304" s="351"/>
      <c r="O304" s="351"/>
      <c r="P304" s="352"/>
      <c r="Q304" s="342"/>
    </row>
    <row r="305" spans="1:17" s="343" customFormat="1" ht="10.5" x14ac:dyDescent="0.25">
      <c r="A305" s="348"/>
      <c r="B305" s="349" t="s">
        <v>4166</v>
      </c>
      <c r="C305" s="350"/>
      <c r="D305" s="351"/>
      <c r="E305" s="351">
        <f>E300</f>
        <v>7</v>
      </c>
      <c r="F305" s="351">
        <f>F300</f>
        <v>3.3</v>
      </c>
      <c r="G305" s="351"/>
      <c r="H305" s="351">
        <v>0.1</v>
      </c>
      <c r="I305" s="351"/>
      <c r="J305" s="351"/>
      <c r="K305" s="351"/>
      <c r="L305" s="351"/>
      <c r="M305" s="351">
        <f>M300</f>
        <v>6</v>
      </c>
      <c r="N305" s="351"/>
      <c r="O305" s="351">
        <f>M305*H305*F305*E305</f>
        <v>13.860000000000001</v>
      </c>
      <c r="P305" s="352"/>
      <c r="Q305" s="342"/>
    </row>
    <row r="306" spans="1:17" s="343" customFormat="1" ht="10.5" x14ac:dyDescent="0.25">
      <c r="A306" s="348"/>
      <c r="B306" s="349"/>
      <c r="C306" s="350"/>
      <c r="D306" s="351"/>
      <c r="E306" s="351"/>
      <c r="F306" s="351"/>
      <c r="G306" s="351"/>
      <c r="H306" s="351"/>
      <c r="I306" s="351"/>
      <c r="J306" s="351"/>
      <c r="K306" s="351"/>
      <c r="L306" s="351"/>
      <c r="M306" s="351"/>
      <c r="N306" s="351"/>
      <c r="O306" s="351"/>
      <c r="P306" s="352"/>
      <c r="Q306" s="342"/>
    </row>
    <row r="307" spans="1:17" s="343" customFormat="1" ht="10.5" x14ac:dyDescent="0.25">
      <c r="A307" s="348"/>
      <c r="B307" s="354" t="s">
        <v>5</v>
      </c>
      <c r="C307" s="355" t="s">
        <v>1328</v>
      </c>
      <c r="D307" s="355"/>
      <c r="E307" s="355"/>
      <c r="F307" s="355"/>
      <c r="G307" s="355"/>
      <c r="H307" s="355"/>
      <c r="I307" s="355"/>
      <c r="J307" s="355"/>
      <c r="K307" s="355"/>
      <c r="L307" s="355"/>
      <c r="M307" s="355"/>
      <c r="N307" s="355"/>
      <c r="O307" s="355">
        <f>SUM(O304:O306)</f>
        <v>13.860000000000001</v>
      </c>
      <c r="P307" s="356"/>
      <c r="Q307" s="342"/>
    </row>
    <row r="308" spans="1:17" s="347" customFormat="1" ht="31.5" x14ac:dyDescent="0.25">
      <c r="A308" s="344" t="str">
        <f>ORÇAMENTO!A84</f>
        <v xml:space="preserve"> 3.1.26</v>
      </c>
      <c r="B308" s="345" t="str">
        <f>VLOOKUP(A308,ORÇAMENTO!$A:$F,4,0)</f>
        <v>FÔRMAS DE COMPENSADO RESINADO 10 MM - USO GERAL - UTILIZAÇÃO DE 3 VEZES - CONFECÇÃO, INSTALAÇÃO E RETIRADA</v>
      </c>
      <c r="C308" s="346" t="str">
        <f>VLOOKUP(A308,ORÇAMENTO!$A:$F,5,0)</f>
        <v>M²</v>
      </c>
      <c r="D308" s="346">
        <f>SUM(E312:O312)</f>
        <v>12.360000000000001</v>
      </c>
      <c r="E308" s="346" t="s">
        <v>1718</v>
      </c>
      <c r="F308" s="346" t="s">
        <v>1719</v>
      </c>
      <c r="G308" s="346" t="s">
        <v>1720</v>
      </c>
      <c r="H308" s="346" t="s">
        <v>1721</v>
      </c>
      <c r="I308" s="346" t="s">
        <v>1722</v>
      </c>
      <c r="J308" s="346" t="s">
        <v>4207</v>
      </c>
      <c r="K308" s="346" t="s">
        <v>4208</v>
      </c>
      <c r="L308" s="346" t="s">
        <v>1725</v>
      </c>
      <c r="M308" s="346" t="s">
        <v>1726</v>
      </c>
      <c r="N308" s="346" t="s">
        <v>1727</v>
      </c>
      <c r="O308" s="346" t="s">
        <v>1728</v>
      </c>
      <c r="P308" s="342"/>
      <c r="Q308" s="342"/>
    </row>
    <row r="309" spans="1:17" s="343" customFormat="1" ht="10.5" x14ac:dyDescent="0.25">
      <c r="A309" s="348"/>
      <c r="B309" s="349"/>
      <c r="C309" s="350"/>
      <c r="D309" s="351"/>
      <c r="E309" s="351"/>
      <c r="F309" s="351"/>
      <c r="G309" s="351"/>
      <c r="H309" s="351"/>
      <c r="I309" s="351"/>
      <c r="J309" s="351"/>
      <c r="K309" s="351"/>
      <c r="L309" s="351"/>
      <c r="M309" s="351"/>
      <c r="N309" s="351"/>
      <c r="O309" s="351"/>
      <c r="P309" s="352"/>
      <c r="Q309" s="342"/>
    </row>
    <row r="310" spans="1:17" s="343" customFormat="1" ht="10.5" x14ac:dyDescent="0.25">
      <c r="A310" s="348"/>
      <c r="B310" s="349" t="s">
        <v>4166</v>
      </c>
      <c r="C310" s="350"/>
      <c r="D310" s="351"/>
      <c r="E310" s="351">
        <f>E305</f>
        <v>7</v>
      </c>
      <c r="F310" s="351">
        <f>F305</f>
        <v>3.3</v>
      </c>
      <c r="G310" s="351"/>
      <c r="H310" s="351">
        <v>0.1</v>
      </c>
      <c r="I310" s="351">
        <f>2*(E310+F310)</f>
        <v>20.6</v>
      </c>
      <c r="J310" s="351"/>
      <c r="K310" s="351"/>
      <c r="L310" s="351"/>
      <c r="M310" s="351">
        <f>M305</f>
        <v>6</v>
      </c>
      <c r="N310" s="351">
        <f>M310*I310*H310</f>
        <v>12.360000000000001</v>
      </c>
      <c r="O310" s="351"/>
      <c r="P310" s="352"/>
      <c r="Q310" s="342"/>
    </row>
    <row r="311" spans="1:17" s="343" customFormat="1" ht="10.5" x14ac:dyDescent="0.25">
      <c r="A311" s="348"/>
      <c r="B311" s="349"/>
      <c r="C311" s="350"/>
      <c r="D311" s="351"/>
      <c r="E311" s="351"/>
      <c r="F311" s="351"/>
      <c r="G311" s="351"/>
      <c r="H311" s="351"/>
      <c r="I311" s="351"/>
      <c r="J311" s="351"/>
      <c r="K311" s="351"/>
      <c r="L311" s="351"/>
      <c r="M311" s="351"/>
      <c r="N311" s="351"/>
      <c r="O311" s="351"/>
      <c r="P311" s="352"/>
      <c r="Q311" s="342"/>
    </row>
    <row r="312" spans="1:17" s="343" customFormat="1" ht="10.5" x14ac:dyDescent="0.25">
      <c r="A312" s="348"/>
      <c r="B312" s="354" t="s">
        <v>5</v>
      </c>
      <c r="C312" s="355" t="s">
        <v>1328</v>
      </c>
      <c r="D312" s="355"/>
      <c r="E312" s="355"/>
      <c r="F312" s="355"/>
      <c r="G312" s="355"/>
      <c r="H312" s="355"/>
      <c r="I312" s="355"/>
      <c r="J312" s="355"/>
      <c r="K312" s="355"/>
      <c r="L312" s="355"/>
      <c r="M312" s="355"/>
      <c r="N312" s="355">
        <f>SUM(N309:N311)</f>
        <v>12.360000000000001</v>
      </c>
      <c r="O312" s="355"/>
      <c r="P312" s="356"/>
      <c r="Q312" s="342"/>
    </row>
    <row r="313" spans="1:17" s="347" customFormat="1" ht="31.5" x14ac:dyDescent="0.25">
      <c r="A313" s="344" t="str">
        <f>ORÇAMENTO!A85</f>
        <v xml:space="preserve"> 3.1.27</v>
      </c>
      <c r="B313" s="345" t="str">
        <f>VLOOKUP(A313,ORÇAMENTO!$A:$F,4,0)</f>
        <v>LANÇAMENTO COM USO DE BALDES, ADENSAMENTO E ACABAMENTO DE CONCRETO EM ESTRUTURAS. AF_02/2022</v>
      </c>
      <c r="C313" s="346" t="str">
        <f>VLOOKUP(A313,ORÇAMENTO!$A:$F,5,0)</f>
        <v>M³</v>
      </c>
      <c r="D313" s="346">
        <f>SUM(E317:O317)</f>
        <v>20.790000000000003</v>
      </c>
      <c r="E313" s="346" t="s">
        <v>1718</v>
      </c>
      <c r="F313" s="346" t="s">
        <v>1719</v>
      </c>
      <c r="G313" s="346" t="s">
        <v>1720</v>
      </c>
      <c r="H313" s="346" t="s">
        <v>1721</v>
      </c>
      <c r="I313" s="346" t="s">
        <v>1722</v>
      </c>
      <c r="J313" s="346" t="s">
        <v>4207</v>
      </c>
      <c r="K313" s="346" t="s">
        <v>4208</v>
      </c>
      <c r="L313" s="346" t="s">
        <v>1725</v>
      </c>
      <c r="M313" s="346" t="s">
        <v>1726</v>
      </c>
      <c r="N313" s="346" t="s">
        <v>1727</v>
      </c>
      <c r="O313" s="346" t="s">
        <v>1728</v>
      </c>
      <c r="P313" s="342"/>
      <c r="Q313" s="342"/>
    </row>
    <row r="314" spans="1:17" s="343" customFormat="1" ht="10.5" x14ac:dyDescent="0.25">
      <c r="A314" s="348"/>
      <c r="B314" s="349"/>
      <c r="C314" s="350"/>
      <c r="D314" s="351"/>
      <c r="E314" s="351"/>
      <c r="F314" s="351"/>
      <c r="G314" s="351"/>
      <c r="H314" s="351"/>
      <c r="I314" s="351"/>
      <c r="J314" s="351"/>
      <c r="K314" s="351"/>
      <c r="L314" s="351"/>
      <c r="M314" s="351"/>
      <c r="N314" s="351"/>
      <c r="O314" s="351"/>
      <c r="P314" s="352"/>
      <c r="Q314" s="342"/>
    </row>
    <row r="315" spans="1:17" s="343" customFormat="1" ht="42" x14ac:dyDescent="0.25">
      <c r="A315" s="348"/>
      <c r="B315" s="349" t="str">
        <f>B298</f>
        <v>CONCRETO MAGRO PARA LASTRO, TRAÇO 1:4,5:4,5 (EM MASSA SECA DE CIMENTO/ AREIA MÉDIA/ BRITA 1) - PREPARO MECÂNICO COM BETONEIRA 600 L. AF_05/2021</v>
      </c>
      <c r="C315" s="350"/>
      <c r="D315" s="351"/>
      <c r="E315" s="351"/>
      <c r="F315" s="351"/>
      <c r="G315" s="351"/>
      <c r="H315" s="351"/>
      <c r="I315" s="351"/>
      <c r="J315" s="351"/>
      <c r="K315" s="351"/>
      <c r="L315" s="351"/>
      <c r="M315" s="351"/>
      <c r="N315" s="351"/>
      <c r="O315" s="351">
        <f>O302</f>
        <v>6.9300000000000006</v>
      </c>
      <c r="P315" s="352"/>
      <c r="Q315" s="342"/>
    </row>
    <row r="316" spans="1:17" s="343" customFormat="1" ht="42" x14ac:dyDescent="0.25">
      <c r="A316" s="348"/>
      <c r="B316" s="349" t="str">
        <f>B303</f>
        <v>CONCRETO FCK = 25MPA, TRAÇO 1:2,3:2,7 (EM MASSA SECA DE CIMENTO/ AREIA MÉDIA/ BRITA 1) - PREPARO MECÂNICO COM BETONEIRA 600 L. AF_05/2021</v>
      </c>
      <c r="C316" s="350"/>
      <c r="D316" s="351"/>
      <c r="E316" s="351"/>
      <c r="F316" s="351"/>
      <c r="G316" s="351"/>
      <c r="H316" s="351"/>
      <c r="I316" s="351"/>
      <c r="J316" s="351"/>
      <c r="K316" s="351"/>
      <c r="L316" s="351"/>
      <c r="M316" s="351"/>
      <c r="N316" s="351"/>
      <c r="O316" s="351">
        <f>O307</f>
        <v>13.860000000000001</v>
      </c>
      <c r="P316" s="352"/>
      <c r="Q316" s="342"/>
    </row>
    <row r="317" spans="1:17" s="343" customFormat="1" ht="10.5" x14ac:dyDescent="0.25">
      <c r="A317" s="348"/>
      <c r="B317" s="354" t="s">
        <v>5</v>
      </c>
      <c r="C317" s="355" t="s">
        <v>1328</v>
      </c>
      <c r="D317" s="355"/>
      <c r="E317" s="355"/>
      <c r="F317" s="355"/>
      <c r="G317" s="355"/>
      <c r="H317" s="355"/>
      <c r="I317" s="355"/>
      <c r="J317" s="355"/>
      <c r="K317" s="355"/>
      <c r="L317" s="355"/>
      <c r="M317" s="355"/>
      <c r="N317" s="355"/>
      <c r="O317" s="355">
        <f>SUM(O314:O316)</f>
        <v>20.790000000000003</v>
      </c>
      <c r="P317" s="356"/>
      <c r="Q317" s="342"/>
    </row>
    <row r="318" spans="1:17" s="170" customFormat="1" ht="10.5" x14ac:dyDescent="0.25">
      <c r="A318" s="165" t="str">
        <f>ORÇAMENTO!A87</f>
        <v>4.1</v>
      </c>
      <c r="B318" s="166" t="str">
        <f>VLOOKUP(A318,ORÇAMENTO!A:K,4,0)</f>
        <v>OBRAS DE DRENAGEM DE ÁGUAS PLUVIAIS</v>
      </c>
      <c r="C318" s="167"/>
      <c r="D318" s="167"/>
      <c r="E318" s="168"/>
      <c r="F318" s="168"/>
      <c r="G318" s="168"/>
      <c r="H318" s="168"/>
      <c r="I318" s="168"/>
      <c r="J318" s="168"/>
      <c r="K318" s="168"/>
      <c r="L318" s="168"/>
      <c r="M318" s="168"/>
      <c r="N318" s="168"/>
      <c r="O318" s="168"/>
      <c r="P318" s="169"/>
      <c r="Q318" s="169"/>
    </row>
    <row r="319" spans="1:17" s="170" customFormat="1" ht="10.5" x14ac:dyDescent="0.25">
      <c r="A319" s="165" t="str">
        <f>ORÇAMENTO!A88</f>
        <v>4.1.1</v>
      </c>
      <c r="B319" s="166" t="str">
        <f>VLOOKUP(A319,ORÇAMENTO!A:K,4,0)</f>
        <v>SERVIÇOS PRELIMINARES</v>
      </c>
      <c r="C319" s="167"/>
      <c r="D319" s="167"/>
      <c r="E319" s="168"/>
      <c r="F319" s="168"/>
      <c r="G319" s="168"/>
      <c r="H319" s="168"/>
      <c r="I319" s="168"/>
      <c r="J319" s="168"/>
      <c r="K319" s="168"/>
      <c r="L319" s="168"/>
      <c r="M319" s="168"/>
      <c r="N319" s="168"/>
      <c r="O319" s="168"/>
      <c r="P319" s="169"/>
      <c r="Q319" s="169"/>
    </row>
    <row r="320" spans="1:17" s="174" customFormat="1" ht="21" x14ac:dyDescent="0.25">
      <c r="A320" s="171" t="str">
        <f>ORÇAMENTO!A90</f>
        <v>4.1.1.1.1</v>
      </c>
      <c r="B320" s="172" t="str">
        <f>VLOOKUP(A320,ORÇAMENTO!A:K,4,0)</f>
        <v>PLACA DE OBRA EM CHAPA DE ACO GALVANIZADO</v>
      </c>
      <c r="C320" s="173" t="str">
        <f>VLOOKUP(A320,ORÇAMENTO!A:K,5,0)</f>
        <v>M²</v>
      </c>
      <c r="D320" s="173">
        <f>SUM(E324:O324)</f>
        <v>12</v>
      </c>
      <c r="E320" s="173" t="s">
        <v>1718</v>
      </c>
      <c r="F320" s="173" t="s">
        <v>1719</v>
      </c>
      <c r="G320" s="173" t="s">
        <v>1720</v>
      </c>
      <c r="H320" s="173" t="s">
        <v>1721</v>
      </c>
      <c r="I320" s="173" t="s">
        <v>1722</v>
      </c>
      <c r="J320" s="173" t="s">
        <v>1723</v>
      </c>
      <c r="K320" s="173" t="s">
        <v>1724</v>
      </c>
      <c r="L320" s="173" t="s">
        <v>1725</v>
      </c>
      <c r="M320" s="173" t="s">
        <v>1726</v>
      </c>
      <c r="N320" s="173" t="s">
        <v>1727</v>
      </c>
      <c r="O320" s="173" t="s">
        <v>1728</v>
      </c>
      <c r="P320" s="169"/>
      <c r="Q320" s="169"/>
    </row>
    <row r="321" spans="1:17" s="170" customFormat="1" ht="10.5" x14ac:dyDescent="0.25">
      <c r="A321" s="175"/>
      <c r="B321" s="176"/>
      <c r="C321" s="177"/>
      <c r="D321" s="178"/>
      <c r="E321" s="178"/>
      <c r="F321" s="178"/>
      <c r="G321" s="178"/>
      <c r="H321" s="178"/>
      <c r="I321" s="178"/>
      <c r="J321" s="178"/>
      <c r="K321" s="178"/>
      <c r="L321" s="178"/>
      <c r="M321" s="178"/>
      <c r="N321" s="178"/>
      <c r="O321" s="178"/>
      <c r="P321" s="179"/>
      <c r="Q321" s="169"/>
    </row>
    <row r="322" spans="1:17" s="170" customFormat="1" ht="21" x14ac:dyDescent="0.25">
      <c r="A322" s="175"/>
      <c r="B322" s="176" t="s">
        <v>1729</v>
      </c>
      <c r="C322" s="177"/>
      <c r="D322" s="178"/>
      <c r="E322" s="178">
        <v>3</v>
      </c>
      <c r="F322" s="178"/>
      <c r="G322" s="178">
        <v>2</v>
      </c>
      <c r="H322" s="178"/>
      <c r="I322" s="178"/>
      <c r="J322" s="178"/>
      <c r="K322" s="178"/>
      <c r="L322" s="178"/>
      <c r="M322" s="178">
        <v>2</v>
      </c>
      <c r="N322" s="178">
        <f>E322*G322*M322</f>
        <v>12</v>
      </c>
      <c r="O322" s="178"/>
      <c r="P322" s="179"/>
      <c r="Q322" s="169"/>
    </row>
    <row r="323" spans="1:17" s="170" customFormat="1" ht="10.5" x14ac:dyDescent="0.25">
      <c r="A323" s="175"/>
      <c r="B323" s="176"/>
      <c r="C323" s="177"/>
      <c r="D323" s="178"/>
      <c r="E323" s="178"/>
      <c r="F323" s="178"/>
      <c r="G323" s="178"/>
      <c r="H323" s="178"/>
      <c r="I323" s="178"/>
      <c r="J323" s="178"/>
      <c r="K323" s="178"/>
      <c r="L323" s="180"/>
      <c r="M323" s="178"/>
      <c r="N323" s="178"/>
      <c r="O323" s="178"/>
      <c r="P323" s="179"/>
      <c r="Q323" s="169"/>
    </row>
    <row r="324" spans="1:17" s="170" customFormat="1" ht="10.5" x14ac:dyDescent="0.25">
      <c r="A324" s="175"/>
      <c r="B324" s="181" t="s">
        <v>5</v>
      </c>
      <c r="C324" s="182" t="s">
        <v>1328</v>
      </c>
      <c r="D324" s="182"/>
      <c r="E324" s="182"/>
      <c r="F324" s="182"/>
      <c r="G324" s="182"/>
      <c r="H324" s="182"/>
      <c r="I324" s="182"/>
      <c r="J324" s="182"/>
      <c r="K324" s="182"/>
      <c r="L324" s="182"/>
      <c r="M324" s="182"/>
      <c r="N324" s="182">
        <f>SUM(N321:N323)</f>
        <v>12</v>
      </c>
      <c r="O324" s="182"/>
      <c r="P324" s="183"/>
      <c r="Q324" s="169"/>
    </row>
    <row r="325" spans="1:17" s="174" customFormat="1" ht="21" x14ac:dyDescent="0.25">
      <c r="A325" s="171" t="str">
        <f>ORÇAMENTO!A91</f>
        <v>4.1.1.1.2</v>
      </c>
      <c r="B325" s="172" t="str">
        <f>VLOOKUP(A325,ORÇAMENTO!A:K,4,0)</f>
        <v>LOCAÇÃO DE REDE DE DRENAGEM</v>
      </c>
      <c r="C325" s="173" t="str">
        <f>VLOOKUP(A325,ORÇAMENTO!A:K,5,0)</f>
        <v>M</v>
      </c>
      <c r="D325" s="173">
        <f>SUM(E329:O329)</f>
        <v>940.26430040516811</v>
      </c>
      <c r="E325" s="173" t="s">
        <v>1718</v>
      </c>
      <c r="F325" s="173" t="s">
        <v>1719</v>
      </c>
      <c r="G325" s="173" t="s">
        <v>1720</v>
      </c>
      <c r="H325" s="173" t="s">
        <v>1721</v>
      </c>
      <c r="I325" s="173" t="s">
        <v>1722</v>
      </c>
      <c r="J325" s="173" t="s">
        <v>1723</v>
      </c>
      <c r="K325" s="173" t="s">
        <v>1724</v>
      </c>
      <c r="L325" s="173" t="s">
        <v>1725</v>
      </c>
      <c r="M325" s="173" t="s">
        <v>1730</v>
      </c>
      <c r="N325" s="173" t="s">
        <v>1727</v>
      </c>
      <c r="O325" s="173" t="s">
        <v>1728</v>
      </c>
      <c r="P325" s="169"/>
      <c r="Q325" s="169"/>
    </row>
    <row r="326" spans="1:17" s="170" customFormat="1" ht="10.5" x14ac:dyDescent="0.25">
      <c r="A326" s="175"/>
      <c r="B326" s="176"/>
      <c r="C326" s="184"/>
      <c r="D326" s="185"/>
      <c r="E326" s="185"/>
      <c r="F326" s="185"/>
      <c r="G326" s="185"/>
      <c r="H326" s="185"/>
      <c r="I326" s="185"/>
      <c r="J326" s="185"/>
      <c r="K326" s="185"/>
      <c r="L326" s="185"/>
      <c r="M326" s="185"/>
      <c r="N326" s="185"/>
      <c r="O326" s="185"/>
      <c r="P326" s="179"/>
      <c r="Q326" s="169"/>
    </row>
    <row r="327" spans="1:17" s="170" customFormat="1" ht="10.5" x14ac:dyDescent="0.25">
      <c r="A327" s="175"/>
      <c r="B327" s="176" t="s">
        <v>1731</v>
      </c>
      <c r="C327" s="184"/>
      <c r="D327" s="185"/>
      <c r="E327" s="185">
        <f>Quantitativos!F33</f>
        <v>940.26430040516811</v>
      </c>
      <c r="F327" s="185"/>
      <c r="G327" s="185"/>
      <c r="H327" s="185"/>
      <c r="I327" s="185"/>
      <c r="J327" s="185"/>
      <c r="K327" s="185"/>
      <c r="L327" s="185"/>
      <c r="M327" s="185"/>
      <c r="N327" s="185"/>
      <c r="O327" s="185"/>
      <c r="P327" s="179"/>
      <c r="Q327" s="169"/>
    </row>
    <row r="328" spans="1:17" s="170" customFormat="1" ht="10.5" x14ac:dyDescent="0.25">
      <c r="A328" s="175"/>
      <c r="B328" s="176"/>
      <c r="C328" s="184"/>
      <c r="D328" s="185"/>
      <c r="E328" s="185"/>
      <c r="F328" s="185"/>
      <c r="G328" s="185"/>
      <c r="H328" s="185"/>
      <c r="I328" s="185"/>
      <c r="J328" s="185"/>
      <c r="K328" s="185"/>
      <c r="L328" s="186"/>
      <c r="M328" s="185"/>
      <c r="N328" s="185"/>
      <c r="O328" s="185"/>
      <c r="P328" s="179"/>
      <c r="Q328" s="169"/>
    </row>
    <row r="329" spans="1:17" s="170" customFormat="1" ht="10.5" x14ac:dyDescent="0.25">
      <c r="A329" s="175"/>
      <c r="B329" s="181" t="s">
        <v>5</v>
      </c>
      <c r="C329" s="182" t="s">
        <v>1328</v>
      </c>
      <c r="D329" s="182"/>
      <c r="E329" s="182">
        <f>SUM(E326:E328)</f>
        <v>940.26430040516811</v>
      </c>
      <c r="F329" s="182"/>
      <c r="G329" s="182"/>
      <c r="H329" s="182"/>
      <c r="I329" s="182"/>
      <c r="J329" s="182"/>
      <c r="K329" s="182"/>
      <c r="L329" s="182"/>
      <c r="M329" s="182"/>
      <c r="N329" s="182"/>
      <c r="O329" s="182"/>
      <c r="P329" s="183"/>
      <c r="Q329" s="169"/>
    </row>
    <row r="330" spans="1:17" s="174" customFormat="1" ht="21" x14ac:dyDescent="0.25">
      <c r="A330" s="171" t="str">
        <f>ORÇAMENTO!A92</f>
        <v>4.1.1.1.3</v>
      </c>
      <c r="B330" s="172" t="str">
        <f>VLOOKUP(A330,ORÇAMENTO!A:K,4,0)</f>
        <v>PASSARELA, EM MADEIRA, PARA COBERTA DE VALAS PARA PASSAGEM DE VEÍCULOS.</v>
      </c>
      <c r="C330" s="173" t="str">
        <f>VLOOKUP(A330,ORÇAMENTO!A:K,5,0)</f>
        <v>M²</v>
      </c>
      <c r="D330" s="173">
        <f>SUM(E337:O337)</f>
        <v>8</v>
      </c>
      <c r="E330" s="173" t="s">
        <v>1718</v>
      </c>
      <c r="F330" s="173" t="s">
        <v>1719</v>
      </c>
      <c r="G330" s="173" t="s">
        <v>1720</v>
      </c>
      <c r="H330" s="173" t="s">
        <v>1721</v>
      </c>
      <c r="I330" s="173" t="s">
        <v>1722</v>
      </c>
      <c r="J330" s="173" t="s">
        <v>1723</v>
      </c>
      <c r="K330" s="173" t="s">
        <v>1724</v>
      </c>
      <c r="L330" s="173" t="s">
        <v>1725</v>
      </c>
      <c r="M330" s="173" t="s">
        <v>1726</v>
      </c>
      <c r="N330" s="173" t="s">
        <v>1727</v>
      </c>
      <c r="O330" s="173" t="s">
        <v>1728</v>
      </c>
      <c r="P330" s="169"/>
      <c r="Q330" s="169"/>
    </row>
    <row r="331" spans="1:17" s="170" customFormat="1" ht="10.5" x14ac:dyDescent="0.25">
      <c r="A331" s="175"/>
      <c r="B331" s="176"/>
      <c r="C331" s="177"/>
      <c r="D331" s="178"/>
      <c r="E331" s="178"/>
      <c r="F331" s="178"/>
      <c r="G331" s="178"/>
      <c r="H331" s="178"/>
      <c r="I331" s="178"/>
      <c r="J331" s="178"/>
      <c r="K331" s="178"/>
      <c r="L331" s="178"/>
      <c r="M331" s="178"/>
      <c r="N331" s="178"/>
      <c r="O331" s="178"/>
      <c r="P331" s="179"/>
      <c r="Q331" s="169"/>
    </row>
    <row r="332" spans="1:17" s="170" customFormat="1" ht="10.5" x14ac:dyDescent="0.25">
      <c r="A332" s="175"/>
      <c r="B332" s="176" t="s">
        <v>1732</v>
      </c>
      <c r="C332" s="177"/>
      <c r="D332" s="178"/>
      <c r="E332" s="178">
        <f>E327</f>
        <v>940.26430040516811</v>
      </c>
      <c r="F332" s="178"/>
      <c r="G332" s="178"/>
      <c r="H332" s="178"/>
      <c r="I332" s="178"/>
      <c r="J332" s="178"/>
      <c r="K332" s="178"/>
      <c r="L332" s="178"/>
      <c r="M332" s="178"/>
      <c r="N332" s="178"/>
      <c r="O332" s="178"/>
      <c r="P332" s="179"/>
      <c r="Q332" s="169"/>
    </row>
    <row r="333" spans="1:17" s="170" customFormat="1" ht="10.5" x14ac:dyDescent="0.25">
      <c r="A333" s="175"/>
      <c r="B333" s="176" t="s">
        <v>1733</v>
      </c>
      <c r="C333" s="177"/>
      <c r="D333" s="178"/>
      <c r="E333" s="178"/>
      <c r="F333" s="178"/>
      <c r="G333" s="178"/>
      <c r="H333" s="178"/>
      <c r="I333" s="178"/>
      <c r="J333" s="178"/>
      <c r="K333" s="178"/>
      <c r="L333" s="178"/>
      <c r="M333" s="178">
        <f>ROUNDUP(E332/500,0)</f>
        <v>2</v>
      </c>
      <c r="N333" s="178"/>
      <c r="O333" s="178"/>
      <c r="P333" s="179"/>
      <c r="Q333" s="169"/>
    </row>
    <row r="334" spans="1:17" s="170" customFormat="1" ht="10.5" x14ac:dyDescent="0.25">
      <c r="A334" s="175"/>
      <c r="B334" s="176" t="s">
        <v>1734</v>
      </c>
      <c r="C334" s="177"/>
      <c r="D334" s="178"/>
      <c r="E334" s="178">
        <v>4</v>
      </c>
      <c r="F334" s="178">
        <v>1</v>
      </c>
      <c r="G334" s="178"/>
      <c r="H334" s="178"/>
      <c r="I334" s="178"/>
      <c r="J334" s="178"/>
      <c r="K334" s="178"/>
      <c r="L334" s="178"/>
      <c r="M334" s="178"/>
      <c r="N334" s="178"/>
      <c r="O334" s="178"/>
      <c r="P334" s="179"/>
      <c r="Q334" s="169"/>
    </row>
    <row r="335" spans="1:17" s="170" customFormat="1" ht="10.5" x14ac:dyDescent="0.25">
      <c r="A335" s="175"/>
      <c r="B335" s="176"/>
      <c r="C335" s="177"/>
      <c r="D335" s="178"/>
      <c r="E335" s="178"/>
      <c r="F335" s="178"/>
      <c r="G335" s="178"/>
      <c r="H335" s="178"/>
      <c r="I335" s="178"/>
      <c r="J335" s="178"/>
      <c r="K335" s="178"/>
      <c r="L335" s="178"/>
      <c r="M335" s="178"/>
      <c r="N335" s="178">
        <f>M333*E334*F334</f>
        <v>8</v>
      </c>
      <c r="O335" s="178"/>
      <c r="P335" s="179"/>
      <c r="Q335" s="169"/>
    </row>
    <row r="336" spans="1:17" s="170" customFormat="1" ht="10.5" x14ac:dyDescent="0.25">
      <c r="A336" s="175"/>
      <c r="B336" s="176"/>
      <c r="C336" s="177"/>
      <c r="D336" s="178"/>
      <c r="E336" s="178"/>
      <c r="F336" s="178"/>
      <c r="G336" s="178"/>
      <c r="H336" s="178"/>
      <c r="I336" s="178"/>
      <c r="J336" s="178"/>
      <c r="K336" s="178"/>
      <c r="L336" s="180"/>
      <c r="M336" s="178"/>
      <c r="N336" s="178"/>
      <c r="O336" s="178"/>
      <c r="P336" s="179"/>
      <c r="Q336" s="169"/>
    </row>
    <row r="337" spans="1:17" s="170" customFormat="1" ht="10.5" x14ac:dyDescent="0.25">
      <c r="A337" s="175"/>
      <c r="B337" s="181" t="s">
        <v>5</v>
      </c>
      <c r="C337" s="182" t="s">
        <v>1328</v>
      </c>
      <c r="D337" s="182"/>
      <c r="E337" s="182"/>
      <c r="F337" s="182"/>
      <c r="G337" s="182"/>
      <c r="H337" s="182"/>
      <c r="I337" s="182"/>
      <c r="J337" s="182"/>
      <c r="K337" s="182"/>
      <c r="L337" s="182"/>
      <c r="M337" s="178"/>
      <c r="N337" s="182">
        <f>SUM(N334:N336)</f>
        <v>8</v>
      </c>
      <c r="O337" s="182"/>
      <c r="P337" s="183"/>
      <c r="Q337" s="169"/>
    </row>
    <row r="338" spans="1:17" s="174" customFormat="1" ht="21" x14ac:dyDescent="0.25">
      <c r="A338" s="171" t="str">
        <f>ORÇAMENTO!A93</f>
        <v>4.1.1.1.4</v>
      </c>
      <c r="B338" s="172" t="str">
        <f>VLOOKUP(A338,ORÇAMENTO!A:K,4,0)</f>
        <v>PASSARELA, EM MADEIRA, PARA COBERTA DE VALAS PARA PASSAGEM DE PEDESTRES.</v>
      </c>
      <c r="C338" s="173" t="str">
        <f>VLOOKUP(A338,ORÇAMENTO!A:K,5,0)</f>
        <v>M²</v>
      </c>
      <c r="D338" s="173">
        <f>SUM(E345:O345)</f>
        <v>10</v>
      </c>
      <c r="E338" s="173" t="s">
        <v>1718</v>
      </c>
      <c r="F338" s="173" t="s">
        <v>1719</v>
      </c>
      <c r="G338" s="173" t="s">
        <v>1720</v>
      </c>
      <c r="H338" s="173" t="s">
        <v>1721</v>
      </c>
      <c r="I338" s="173" t="s">
        <v>1722</v>
      </c>
      <c r="J338" s="173" t="s">
        <v>1723</v>
      </c>
      <c r="K338" s="173" t="s">
        <v>1724</v>
      </c>
      <c r="L338" s="173" t="s">
        <v>1725</v>
      </c>
      <c r="M338" s="173" t="s">
        <v>1726</v>
      </c>
      <c r="N338" s="173" t="s">
        <v>1727</v>
      </c>
      <c r="O338" s="173" t="s">
        <v>1728</v>
      </c>
      <c r="P338" s="169"/>
      <c r="Q338" s="169"/>
    </row>
    <row r="339" spans="1:17" s="170" customFormat="1" ht="10.5" x14ac:dyDescent="0.25">
      <c r="A339" s="175"/>
      <c r="B339" s="176"/>
      <c r="C339" s="177"/>
      <c r="D339" s="178"/>
      <c r="E339" s="178"/>
      <c r="F339" s="178"/>
      <c r="G339" s="178"/>
      <c r="H339" s="178"/>
      <c r="I339" s="178"/>
      <c r="J339" s="178"/>
      <c r="K339" s="178"/>
      <c r="L339" s="178"/>
      <c r="M339" s="178"/>
      <c r="N339" s="178"/>
      <c r="O339" s="178"/>
      <c r="P339" s="179"/>
      <c r="Q339" s="169"/>
    </row>
    <row r="340" spans="1:17" s="170" customFormat="1" ht="10.5" x14ac:dyDescent="0.25">
      <c r="A340" s="175"/>
      <c r="B340" s="176" t="s">
        <v>1732</v>
      </c>
      <c r="C340" s="177"/>
      <c r="D340" s="178"/>
      <c r="E340" s="178">
        <f>E332</f>
        <v>940.26430040516811</v>
      </c>
      <c r="F340" s="178"/>
      <c r="G340" s="178"/>
      <c r="H340" s="178"/>
      <c r="I340" s="178"/>
      <c r="J340" s="178"/>
      <c r="K340" s="178"/>
      <c r="L340" s="178"/>
      <c r="M340" s="178"/>
      <c r="N340" s="178"/>
      <c r="O340" s="178"/>
      <c r="P340" s="179"/>
      <c r="Q340" s="169"/>
    </row>
    <row r="341" spans="1:17" s="170" customFormat="1" ht="10.5" x14ac:dyDescent="0.25">
      <c r="A341" s="175"/>
      <c r="B341" s="176" t="s">
        <v>1735</v>
      </c>
      <c r="C341" s="177"/>
      <c r="D341" s="178"/>
      <c r="E341" s="178"/>
      <c r="F341" s="178"/>
      <c r="G341" s="178"/>
      <c r="H341" s="178"/>
      <c r="I341" s="178"/>
      <c r="J341" s="178"/>
      <c r="K341" s="178"/>
      <c r="L341" s="178"/>
      <c r="M341" s="178">
        <f>ROUNDUP(E340/200,0)</f>
        <v>5</v>
      </c>
      <c r="N341" s="178"/>
      <c r="O341" s="178"/>
      <c r="P341" s="179"/>
      <c r="Q341" s="169"/>
    </row>
    <row r="342" spans="1:17" s="170" customFormat="1" ht="10.5" x14ac:dyDescent="0.25">
      <c r="A342" s="175"/>
      <c r="B342" s="176" t="s">
        <v>1736</v>
      </c>
      <c r="C342" s="177"/>
      <c r="D342" s="178"/>
      <c r="E342" s="178">
        <v>2</v>
      </c>
      <c r="F342" s="178">
        <v>1</v>
      </c>
      <c r="G342" s="178"/>
      <c r="H342" s="178"/>
      <c r="I342" s="178"/>
      <c r="J342" s="178"/>
      <c r="K342" s="178"/>
      <c r="L342" s="178"/>
      <c r="M342" s="178"/>
      <c r="N342" s="178"/>
      <c r="O342" s="178"/>
      <c r="P342" s="179"/>
      <c r="Q342" s="169"/>
    </row>
    <row r="343" spans="1:17" s="170" customFormat="1" ht="10.5" x14ac:dyDescent="0.25">
      <c r="A343" s="175"/>
      <c r="B343" s="176"/>
      <c r="C343" s="177"/>
      <c r="D343" s="178"/>
      <c r="E343" s="178"/>
      <c r="F343" s="178"/>
      <c r="G343" s="178"/>
      <c r="H343" s="178"/>
      <c r="I343" s="178"/>
      <c r="J343" s="178"/>
      <c r="K343" s="178"/>
      <c r="L343" s="178"/>
      <c r="M343" s="178"/>
      <c r="N343" s="178">
        <f>M341*E342*F342</f>
        <v>10</v>
      </c>
      <c r="O343" s="178"/>
      <c r="P343" s="179"/>
      <c r="Q343" s="169"/>
    </row>
    <row r="344" spans="1:17" s="170" customFormat="1" ht="10.5" x14ac:dyDescent="0.25">
      <c r="A344" s="175"/>
      <c r="B344" s="176"/>
      <c r="C344" s="177"/>
      <c r="D344" s="178"/>
      <c r="E344" s="178"/>
      <c r="F344" s="178"/>
      <c r="G344" s="178"/>
      <c r="H344" s="178"/>
      <c r="I344" s="178"/>
      <c r="J344" s="178"/>
      <c r="K344" s="178"/>
      <c r="L344" s="180"/>
      <c r="M344" s="178"/>
      <c r="N344" s="178"/>
      <c r="O344" s="178"/>
      <c r="P344" s="179"/>
      <c r="Q344" s="169"/>
    </row>
    <row r="345" spans="1:17" s="170" customFormat="1" ht="10.5" x14ac:dyDescent="0.25">
      <c r="A345" s="175"/>
      <c r="B345" s="181" t="s">
        <v>5</v>
      </c>
      <c r="C345" s="182" t="s">
        <v>1328</v>
      </c>
      <c r="D345" s="182"/>
      <c r="E345" s="182"/>
      <c r="F345" s="182"/>
      <c r="G345" s="182"/>
      <c r="H345" s="182"/>
      <c r="I345" s="182"/>
      <c r="J345" s="182"/>
      <c r="K345" s="182"/>
      <c r="L345" s="182"/>
      <c r="M345" s="182"/>
      <c r="N345" s="182">
        <f>SUM(N342:N344)</f>
        <v>10</v>
      </c>
      <c r="O345" s="182"/>
      <c r="P345" s="183"/>
      <c r="Q345" s="169"/>
    </row>
    <row r="346" spans="1:17" s="174" customFormat="1" ht="21" x14ac:dyDescent="0.25">
      <c r="A346" s="171" t="str">
        <f>ORÇAMENTO!A94</f>
        <v>4.1.1.1.5</v>
      </c>
      <c r="B346" s="172" t="str">
        <f>VLOOKUP(A346,ORÇAMENTO!A:K,4,0)</f>
        <v>TELA TAPUME, COR LARANJA, COM SUPORTE A CADA 2M (FORNECIMENTO E INSTALAÇÃO)</v>
      </c>
      <c r="C346" s="173" t="str">
        <f>VLOOKUP(A346,ORÇAMENTO!A:K,5,0)</f>
        <v>M</v>
      </c>
      <c r="D346" s="173">
        <f>SUM(E351:O351)</f>
        <v>1880.5286008103362</v>
      </c>
      <c r="E346" s="173" t="s">
        <v>1718</v>
      </c>
      <c r="F346" s="173" t="s">
        <v>1719</v>
      </c>
      <c r="G346" s="173" t="s">
        <v>1720</v>
      </c>
      <c r="H346" s="173" t="s">
        <v>1721</v>
      </c>
      <c r="I346" s="173" t="s">
        <v>1722</v>
      </c>
      <c r="J346" s="173" t="s">
        <v>1723</v>
      </c>
      <c r="K346" s="173" t="s">
        <v>1724</v>
      </c>
      <c r="L346" s="173" t="s">
        <v>1725</v>
      </c>
      <c r="M346" s="173" t="s">
        <v>1726</v>
      </c>
      <c r="N346" s="173" t="s">
        <v>1727</v>
      </c>
      <c r="O346" s="173" t="s">
        <v>1728</v>
      </c>
      <c r="P346" s="169"/>
      <c r="Q346" s="169"/>
    </row>
    <row r="347" spans="1:17" s="170" customFormat="1" ht="10.5" x14ac:dyDescent="0.25">
      <c r="A347" s="175"/>
      <c r="B347" s="176"/>
      <c r="C347" s="177"/>
      <c r="D347" s="178"/>
      <c r="E347" s="178"/>
      <c r="F347" s="178"/>
      <c r="G347" s="178"/>
      <c r="H347" s="178"/>
      <c r="I347" s="178"/>
      <c r="J347" s="178"/>
      <c r="K347" s="178"/>
      <c r="L347" s="178"/>
      <c r="M347" s="178"/>
      <c r="N347" s="178"/>
      <c r="O347" s="178"/>
      <c r="P347" s="179"/>
      <c r="Q347" s="169"/>
    </row>
    <row r="348" spans="1:17" s="170" customFormat="1" ht="10.5" x14ac:dyDescent="0.25">
      <c r="A348" s="175"/>
      <c r="B348" s="176" t="s">
        <v>1732</v>
      </c>
      <c r="C348" s="177"/>
      <c r="D348" s="178"/>
      <c r="E348" s="178">
        <f>E340</f>
        <v>940.26430040516811</v>
      </c>
      <c r="F348" s="178"/>
      <c r="G348" s="178"/>
      <c r="H348" s="178"/>
      <c r="I348" s="178"/>
      <c r="J348" s="178"/>
      <c r="K348" s="178"/>
      <c r="L348" s="178"/>
      <c r="M348" s="178"/>
      <c r="N348" s="178"/>
      <c r="O348" s="178"/>
      <c r="P348" s="179"/>
      <c r="Q348" s="169"/>
    </row>
    <row r="349" spans="1:17" s="170" customFormat="1" ht="10.5" x14ac:dyDescent="0.25">
      <c r="A349" s="175"/>
      <c r="B349" s="176" t="s">
        <v>1737</v>
      </c>
      <c r="C349" s="177"/>
      <c r="D349" s="178"/>
      <c r="E349" s="178">
        <f>E348*2</f>
        <v>1880.5286008103362</v>
      </c>
      <c r="F349" s="178"/>
      <c r="G349" s="178"/>
      <c r="H349" s="178"/>
      <c r="I349" s="178"/>
      <c r="J349" s="178"/>
      <c r="K349" s="178"/>
      <c r="L349" s="178"/>
      <c r="M349" s="178"/>
      <c r="N349" s="178"/>
      <c r="O349" s="178"/>
      <c r="P349" s="179"/>
      <c r="Q349" s="169"/>
    </row>
    <row r="350" spans="1:17" s="170" customFormat="1" ht="10.5" x14ac:dyDescent="0.25">
      <c r="A350" s="175"/>
      <c r="B350" s="176"/>
      <c r="C350" s="177"/>
      <c r="D350" s="178"/>
      <c r="E350" s="178"/>
      <c r="F350" s="178"/>
      <c r="G350" s="178"/>
      <c r="H350" s="178"/>
      <c r="I350" s="178"/>
      <c r="J350" s="178"/>
      <c r="K350" s="178"/>
      <c r="L350" s="180"/>
      <c r="M350" s="178"/>
      <c r="N350" s="178"/>
      <c r="O350" s="178"/>
      <c r="P350" s="179"/>
      <c r="Q350" s="169"/>
    </row>
    <row r="351" spans="1:17" s="170" customFormat="1" ht="10.5" x14ac:dyDescent="0.25">
      <c r="A351" s="175"/>
      <c r="B351" s="181" t="s">
        <v>5</v>
      </c>
      <c r="C351" s="182" t="s">
        <v>1328</v>
      </c>
      <c r="D351" s="182"/>
      <c r="E351" s="182">
        <f>SUM(E349:E350)</f>
        <v>1880.5286008103362</v>
      </c>
      <c r="F351" s="182"/>
      <c r="G351" s="182"/>
      <c r="H351" s="182"/>
      <c r="I351" s="182"/>
      <c r="J351" s="182"/>
      <c r="K351" s="182"/>
      <c r="L351" s="182"/>
      <c r="M351" s="182"/>
      <c r="N351" s="182"/>
      <c r="O351" s="182"/>
      <c r="P351" s="183"/>
      <c r="Q351" s="169"/>
    </row>
    <row r="352" spans="1:17" s="174" customFormat="1" ht="21" x14ac:dyDescent="0.25">
      <c r="A352" s="171" t="str">
        <f>ORÇAMENTO!A95</f>
        <v>4.1.1.1.6</v>
      </c>
      <c r="B352" s="172" t="str">
        <f>VLOOKUP(A352,ORÇAMENTO!A:K,4,0)</f>
        <v>SINALIZADOR ELETRÔNICO</v>
      </c>
      <c r="C352" s="173" t="str">
        <f>VLOOKUP(A352,ORÇAMENTO!A:K,5,0)</f>
        <v>UN</v>
      </c>
      <c r="D352" s="173">
        <f>SUM(E357:O357)</f>
        <v>19</v>
      </c>
      <c r="E352" s="173" t="s">
        <v>1718</v>
      </c>
      <c r="F352" s="173" t="s">
        <v>1719</v>
      </c>
      <c r="G352" s="173" t="s">
        <v>1720</v>
      </c>
      <c r="H352" s="173" t="s">
        <v>1721</v>
      </c>
      <c r="I352" s="173" t="s">
        <v>1722</v>
      </c>
      <c r="J352" s="173" t="s">
        <v>1723</v>
      </c>
      <c r="K352" s="173" t="s">
        <v>1724</v>
      </c>
      <c r="L352" s="173" t="s">
        <v>1725</v>
      </c>
      <c r="M352" s="173" t="s">
        <v>1726</v>
      </c>
      <c r="N352" s="173" t="s">
        <v>1727</v>
      </c>
      <c r="O352" s="173" t="s">
        <v>1728</v>
      </c>
      <c r="P352" s="169"/>
      <c r="Q352" s="169"/>
    </row>
    <row r="353" spans="1:17" s="170" customFormat="1" ht="10.5" x14ac:dyDescent="0.25">
      <c r="A353" s="175"/>
      <c r="B353" s="176"/>
      <c r="C353" s="177"/>
      <c r="D353" s="178"/>
      <c r="E353" s="178"/>
      <c r="F353" s="178"/>
      <c r="G353" s="178"/>
      <c r="H353" s="178"/>
      <c r="I353" s="178"/>
      <c r="J353" s="178"/>
      <c r="K353" s="178"/>
      <c r="L353" s="178"/>
      <c r="M353" s="178"/>
      <c r="N353" s="178"/>
      <c r="O353" s="178"/>
      <c r="P353" s="179"/>
      <c r="Q353" s="169"/>
    </row>
    <row r="354" spans="1:17" s="170" customFormat="1" ht="10.5" x14ac:dyDescent="0.25">
      <c r="A354" s="175"/>
      <c r="B354" s="176" t="s">
        <v>1732</v>
      </c>
      <c r="C354" s="177"/>
      <c r="D354" s="178"/>
      <c r="E354" s="178">
        <f>E348</f>
        <v>940.26430040516811</v>
      </c>
      <c r="F354" s="178"/>
      <c r="G354" s="178"/>
      <c r="H354" s="178"/>
      <c r="I354" s="178"/>
      <c r="J354" s="178"/>
      <c r="K354" s="178"/>
      <c r="L354" s="178"/>
      <c r="M354" s="178"/>
      <c r="N354" s="178"/>
      <c r="O354" s="178"/>
      <c r="P354" s="179"/>
      <c r="Q354" s="169"/>
    </row>
    <row r="355" spans="1:17" s="170" customFormat="1" ht="21" x14ac:dyDescent="0.25">
      <c r="A355" s="175"/>
      <c r="B355" s="176" t="s">
        <v>1738</v>
      </c>
      <c r="C355" s="177"/>
      <c r="D355" s="178"/>
      <c r="E355" s="178"/>
      <c r="F355" s="178"/>
      <c r="G355" s="178"/>
      <c r="H355" s="178"/>
      <c r="I355" s="178"/>
      <c r="J355" s="178"/>
      <c r="K355" s="178"/>
      <c r="L355" s="178"/>
      <c r="M355" s="178">
        <f>ROUNDUP(E354*0.2/10,0)</f>
        <v>19</v>
      </c>
      <c r="N355" s="178"/>
      <c r="O355" s="178"/>
      <c r="P355" s="179"/>
      <c r="Q355" s="169"/>
    </row>
    <row r="356" spans="1:17" s="170" customFormat="1" ht="10.5" x14ac:dyDescent="0.25">
      <c r="A356" s="175"/>
      <c r="B356" s="176"/>
      <c r="C356" s="177"/>
      <c r="D356" s="178"/>
      <c r="E356" s="178"/>
      <c r="F356" s="178"/>
      <c r="G356" s="178"/>
      <c r="H356" s="178"/>
      <c r="I356" s="178"/>
      <c r="J356" s="178"/>
      <c r="K356" s="178"/>
      <c r="L356" s="180"/>
      <c r="M356" s="178"/>
      <c r="N356" s="178"/>
      <c r="O356" s="178"/>
      <c r="P356" s="179"/>
      <c r="Q356" s="169"/>
    </row>
    <row r="357" spans="1:17" s="170" customFormat="1" ht="10.5" x14ac:dyDescent="0.25">
      <c r="A357" s="175"/>
      <c r="B357" s="181" t="s">
        <v>5</v>
      </c>
      <c r="C357" s="182" t="s">
        <v>1328</v>
      </c>
      <c r="D357" s="182"/>
      <c r="E357" s="182"/>
      <c r="F357" s="182"/>
      <c r="G357" s="182"/>
      <c r="H357" s="182"/>
      <c r="I357" s="182"/>
      <c r="J357" s="182"/>
      <c r="K357" s="182"/>
      <c r="L357" s="182"/>
      <c r="M357" s="182">
        <f>SUM(M355:M356)</f>
        <v>19</v>
      </c>
      <c r="N357" s="182"/>
      <c r="O357" s="182"/>
      <c r="P357" s="183"/>
      <c r="Q357" s="169"/>
    </row>
    <row r="358" spans="1:17" s="174" customFormat="1" ht="42" x14ac:dyDescent="0.25">
      <c r="A358" s="171" t="str">
        <f>ORÇAMENTO!A96</f>
        <v>4.1.1.1.7</v>
      </c>
      <c r="B358" s="172" t="str">
        <f>VLOOKUP(A358,ORÇAMENTO!A:K,4,0)</f>
        <v>PLACA PARA SINALIZAÇÃO DE OBRAS MONTADA EM CAVALETE METÁLICO - 1,00 X 1,00 M - UTILIZAÇÃO DE 600 CICLOS - FORNECIMENTO, 01 IMPLANTAÇÃO E 01 RETIRADA DIÁRIA</v>
      </c>
      <c r="C358" s="173" t="str">
        <f>VLOOKUP(A358,ORÇAMENTO!A:K,5,0)</f>
        <v>UN.DIA</v>
      </c>
      <c r="D358" s="173">
        <f>SUM(E364:O364)</f>
        <v>665</v>
      </c>
      <c r="E358" s="173" t="s">
        <v>1718</v>
      </c>
      <c r="F358" s="173" t="s">
        <v>1719</v>
      </c>
      <c r="G358" s="173" t="s">
        <v>1720</v>
      </c>
      <c r="H358" s="173" t="s">
        <v>1721</v>
      </c>
      <c r="I358" s="173" t="s">
        <v>1722</v>
      </c>
      <c r="J358" s="173" t="s">
        <v>1723</v>
      </c>
      <c r="K358" s="173" t="s">
        <v>1724</v>
      </c>
      <c r="L358" s="173" t="s">
        <v>1725</v>
      </c>
      <c r="M358" s="173" t="s">
        <v>1726</v>
      </c>
      <c r="N358" s="173" t="s">
        <v>1727</v>
      </c>
      <c r="O358" s="173" t="s">
        <v>1728</v>
      </c>
      <c r="P358" s="169"/>
      <c r="Q358" s="169"/>
    </row>
    <row r="359" spans="1:17" s="170" customFormat="1" ht="10.5" x14ac:dyDescent="0.25">
      <c r="A359" s="175"/>
      <c r="B359" s="176"/>
      <c r="C359" s="177"/>
      <c r="D359" s="178"/>
      <c r="E359" s="178"/>
      <c r="F359" s="178"/>
      <c r="G359" s="178"/>
      <c r="H359" s="178"/>
      <c r="I359" s="178"/>
      <c r="J359" s="178"/>
      <c r="K359" s="178"/>
      <c r="L359" s="178"/>
      <c r="M359" s="178"/>
      <c r="N359" s="178"/>
      <c r="O359" s="178"/>
      <c r="P359" s="179"/>
      <c r="Q359" s="169"/>
    </row>
    <row r="360" spans="1:17" s="170" customFormat="1" ht="10.5" x14ac:dyDescent="0.25">
      <c r="A360" s="175"/>
      <c r="B360" s="176"/>
      <c r="C360" s="177"/>
      <c r="D360" s="178"/>
      <c r="E360" s="178"/>
      <c r="F360" s="178"/>
      <c r="G360" s="178"/>
      <c r="H360" s="178"/>
      <c r="I360" s="178"/>
      <c r="J360" s="178"/>
      <c r="K360" s="178"/>
      <c r="L360" s="178"/>
      <c r="M360" s="178"/>
      <c r="N360" s="178"/>
      <c r="O360" s="178"/>
      <c r="P360" s="179"/>
      <c r="Q360" s="169"/>
    </row>
    <row r="361" spans="1:17" s="170" customFormat="1" ht="10.5" x14ac:dyDescent="0.25">
      <c r="A361" s="175"/>
      <c r="B361" s="176" t="s">
        <v>1739</v>
      </c>
      <c r="C361" s="177"/>
      <c r="D361" s="178"/>
      <c r="E361" s="178"/>
      <c r="F361" s="178"/>
      <c r="G361" s="178"/>
      <c r="H361" s="178"/>
      <c r="I361" s="178"/>
      <c r="J361" s="178"/>
      <c r="K361" s="178"/>
      <c r="L361" s="178"/>
      <c r="M361" s="178">
        <v>626</v>
      </c>
      <c r="N361" s="178"/>
      <c r="O361" s="178"/>
      <c r="P361" s="179"/>
      <c r="Q361" s="169"/>
    </row>
    <row r="362" spans="1:17" s="170" customFormat="1" ht="10.5" x14ac:dyDescent="0.25">
      <c r="A362" s="175"/>
      <c r="B362" s="176" t="s">
        <v>1740</v>
      </c>
      <c r="C362" s="177"/>
      <c r="D362" s="178"/>
      <c r="E362" s="178"/>
      <c r="F362" s="178"/>
      <c r="G362" s="178"/>
      <c r="H362" s="178"/>
      <c r="I362" s="178"/>
      <c r="J362" s="178"/>
      <c r="K362" s="178"/>
      <c r="L362" s="178"/>
      <c r="M362" s="178">
        <v>39</v>
      </c>
      <c r="N362" s="178"/>
      <c r="O362" s="178"/>
      <c r="P362" s="179"/>
      <c r="Q362" s="169"/>
    </row>
    <row r="363" spans="1:17" s="170" customFormat="1" ht="10.5" x14ac:dyDescent="0.25">
      <c r="A363" s="175"/>
      <c r="B363" s="176"/>
      <c r="C363" s="177"/>
      <c r="D363" s="178"/>
      <c r="E363" s="178"/>
      <c r="F363" s="178"/>
      <c r="G363" s="178"/>
      <c r="H363" s="178"/>
      <c r="I363" s="178"/>
      <c r="J363" s="178"/>
      <c r="K363" s="178"/>
      <c r="L363" s="180"/>
      <c r="M363" s="178"/>
      <c r="N363" s="178"/>
      <c r="O363" s="178"/>
      <c r="P363" s="179"/>
      <c r="Q363" s="169"/>
    </row>
    <row r="364" spans="1:17" s="170" customFormat="1" ht="10.5" x14ac:dyDescent="0.25">
      <c r="A364" s="175"/>
      <c r="B364" s="181" t="s">
        <v>5</v>
      </c>
      <c r="C364" s="182" t="s">
        <v>1328</v>
      </c>
      <c r="D364" s="182"/>
      <c r="E364" s="182"/>
      <c r="F364" s="182"/>
      <c r="G364" s="182"/>
      <c r="H364" s="182"/>
      <c r="I364" s="182"/>
      <c r="J364" s="182"/>
      <c r="K364" s="182"/>
      <c r="L364" s="182"/>
      <c r="M364" s="182">
        <f>SUM(M361:M363)</f>
        <v>665</v>
      </c>
      <c r="N364" s="182"/>
      <c r="O364" s="182"/>
      <c r="P364" s="183"/>
      <c r="Q364" s="169"/>
    </row>
    <row r="365" spans="1:17" s="174" customFormat="1" ht="52.5" x14ac:dyDescent="0.25">
      <c r="A365" s="171" t="str">
        <f>ORÇAMENTO!A97</f>
        <v>4.1.1.1.8</v>
      </c>
      <c r="B365" s="172" t="str">
        <f>VLOOKUP(A365,ORÇAMENTO!A:K,4,0)</f>
        <v>PLACA DE ADVERTÊNCIA PARA SINALIZAÇÃO DE OBRAS MONTADA EM SUPORTE METÁLICO MÓVEL, LADO 1,00 M - UTILIZAÇÃO DE 600 CICLOS - FORNECIMENTO, 01 IMPLANTAÇÃO E 01 RETIRADA DIÁRIA</v>
      </c>
      <c r="C365" s="173" t="str">
        <f>VLOOKUP(A365,ORÇAMENTO!A:K,5,0)</f>
        <v>UN.DIA</v>
      </c>
      <c r="D365" s="173">
        <f>SUM(E371:O371)</f>
        <v>443</v>
      </c>
      <c r="E365" s="173" t="s">
        <v>1718</v>
      </c>
      <c r="F365" s="173" t="s">
        <v>1719</v>
      </c>
      <c r="G365" s="173" t="s">
        <v>1720</v>
      </c>
      <c r="H365" s="173" t="s">
        <v>1721</v>
      </c>
      <c r="I365" s="173" t="s">
        <v>1722</v>
      </c>
      <c r="J365" s="173" t="s">
        <v>1723</v>
      </c>
      <c r="K365" s="173" t="s">
        <v>1724</v>
      </c>
      <c r="L365" s="173" t="s">
        <v>1725</v>
      </c>
      <c r="M365" s="173" t="s">
        <v>1726</v>
      </c>
      <c r="N365" s="173" t="s">
        <v>1727</v>
      </c>
      <c r="O365" s="173" t="s">
        <v>1728</v>
      </c>
      <c r="P365" s="169"/>
      <c r="Q365" s="169"/>
    </row>
    <row r="366" spans="1:17" s="170" customFormat="1" ht="10.5" x14ac:dyDescent="0.25">
      <c r="A366" s="175"/>
      <c r="B366" s="176"/>
      <c r="C366" s="177"/>
      <c r="D366" s="178"/>
      <c r="E366" s="178"/>
      <c r="F366" s="178"/>
      <c r="G366" s="178"/>
      <c r="H366" s="178"/>
      <c r="I366" s="178"/>
      <c r="J366" s="178"/>
      <c r="K366" s="178"/>
      <c r="L366" s="178"/>
      <c r="M366" s="178"/>
      <c r="N366" s="178"/>
      <c r="O366" s="178"/>
      <c r="P366" s="179"/>
      <c r="Q366" s="169"/>
    </row>
    <row r="367" spans="1:17" s="170" customFormat="1" ht="10.5" x14ac:dyDescent="0.25">
      <c r="A367" s="175"/>
      <c r="B367" s="176"/>
      <c r="C367" s="177"/>
      <c r="D367" s="178"/>
      <c r="E367" s="178"/>
      <c r="F367" s="178"/>
      <c r="G367" s="178"/>
      <c r="H367" s="178"/>
      <c r="I367" s="178"/>
      <c r="J367" s="178"/>
      <c r="K367" s="178"/>
      <c r="L367" s="178"/>
      <c r="M367" s="178"/>
      <c r="N367" s="178"/>
      <c r="O367" s="178"/>
      <c r="P367" s="179"/>
      <c r="Q367" s="169"/>
    </row>
    <row r="368" spans="1:17" s="170" customFormat="1" ht="10.5" x14ac:dyDescent="0.25">
      <c r="A368" s="175"/>
      <c r="B368" s="176" t="s">
        <v>1739</v>
      </c>
      <c r="C368" s="177"/>
      <c r="D368" s="178"/>
      <c r="E368" s="178"/>
      <c r="F368" s="178"/>
      <c r="G368" s="178"/>
      <c r="H368" s="178"/>
      <c r="I368" s="178"/>
      <c r="J368" s="178"/>
      <c r="K368" s="178"/>
      <c r="L368" s="178"/>
      <c r="M368" s="178">
        <v>417</v>
      </c>
      <c r="N368" s="178"/>
      <c r="O368" s="178"/>
      <c r="P368" s="179"/>
      <c r="Q368" s="169"/>
    </row>
    <row r="369" spans="1:17" s="170" customFormat="1" ht="10.5" x14ac:dyDescent="0.25">
      <c r="A369" s="175"/>
      <c r="B369" s="176" t="s">
        <v>1740</v>
      </c>
      <c r="C369" s="177"/>
      <c r="D369" s="178"/>
      <c r="E369" s="178"/>
      <c r="F369" s="178"/>
      <c r="G369" s="178"/>
      <c r="H369" s="178"/>
      <c r="I369" s="178"/>
      <c r="J369" s="178"/>
      <c r="K369" s="178"/>
      <c r="L369" s="178"/>
      <c r="M369" s="178">
        <v>26</v>
      </c>
      <c r="N369" s="178"/>
      <c r="O369" s="178"/>
      <c r="P369" s="179"/>
      <c r="Q369" s="169"/>
    </row>
    <row r="370" spans="1:17" s="170" customFormat="1" ht="10.5" x14ac:dyDescent="0.25">
      <c r="A370" s="175"/>
      <c r="B370" s="176"/>
      <c r="C370" s="177"/>
      <c r="D370" s="178"/>
      <c r="E370" s="178"/>
      <c r="F370" s="178"/>
      <c r="G370" s="178"/>
      <c r="H370" s="178"/>
      <c r="I370" s="178"/>
      <c r="J370" s="178"/>
      <c r="K370" s="178"/>
      <c r="L370" s="180"/>
      <c r="M370" s="178"/>
      <c r="N370" s="178"/>
      <c r="O370" s="178"/>
      <c r="P370" s="179"/>
      <c r="Q370" s="169"/>
    </row>
    <row r="371" spans="1:17" s="170" customFormat="1" ht="10.5" x14ac:dyDescent="0.25">
      <c r="A371" s="175"/>
      <c r="B371" s="181" t="s">
        <v>5</v>
      </c>
      <c r="C371" s="182" t="s">
        <v>1328</v>
      </c>
      <c r="D371" s="182"/>
      <c r="E371" s="182"/>
      <c r="F371" s="182"/>
      <c r="G371" s="182"/>
      <c r="H371" s="182"/>
      <c r="I371" s="182"/>
      <c r="J371" s="182"/>
      <c r="K371" s="182"/>
      <c r="L371" s="182"/>
      <c r="M371" s="182">
        <f>SUM(M368:M370)</f>
        <v>443</v>
      </c>
      <c r="N371" s="182"/>
      <c r="O371" s="182"/>
      <c r="P371" s="183"/>
      <c r="Q371" s="169"/>
    </row>
    <row r="372" spans="1:17" s="174" customFormat="1" ht="42" x14ac:dyDescent="0.25">
      <c r="A372" s="171" t="str">
        <f>ORÇAMENTO!A98</f>
        <v>4.1.1.1.9</v>
      </c>
      <c r="B372" s="172" t="str">
        <f>VLOOKUP(A372,ORÇAMENTO!A:K,4,0)</f>
        <v>BARREIRA DE SINALIZAÇÃO TIPO III DE DIRECIONAMENTO OU BLOQUEIO - UTILIZAÇÃO DE 150 CICLOS - FORNECIMENTO, 01 IMPLANTAÇÃO E 01 RETIRADA DIÁRIA</v>
      </c>
      <c r="C372" s="173" t="str">
        <f>VLOOKUP(A372,ORÇAMENTO!A:K,5,0)</f>
        <v>UN.DIA</v>
      </c>
      <c r="D372" s="173">
        <f>SUM(E378:O378)</f>
        <v>222</v>
      </c>
      <c r="E372" s="173" t="s">
        <v>1718</v>
      </c>
      <c r="F372" s="173" t="s">
        <v>1719</v>
      </c>
      <c r="G372" s="173" t="s">
        <v>1720</v>
      </c>
      <c r="H372" s="173" t="s">
        <v>1721</v>
      </c>
      <c r="I372" s="173" t="s">
        <v>1722</v>
      </c>
      <c r="J372" s="173" t="s">
        <v>1723</v>
      </c>
      <c r="K372" s="173" t="s">
        <v>1724</v>
      </c>
      <c r="L372" s="173" t="s">
        <v>1725</v>
      </c>
      <c r="M372" s="173" t="s">
        <v>1726</v>
      </c>
      <c r="N372" s="173" t="s">
        <v>1727</v>
      </c>
      <c r="O372" s="173" t="s">
        <v>1728</v>
      </c>
      <c r="P372" s="169"/>
      <c r="Q372" s="169"/>
    </row>
    <row r="373" spans="1:17" s="170" customFormat="1" ht="10.5" x14ac:dyDescent="0.25">
      <c r="A373" s="175"/>
      <c r="B373" s="176"/>
      <c r="C373" s="177"/>
      <c r="D373" s="178"/>
      <c r="E373" s="178"/>
      <c r="F373" s="178"/>
      <c r="G373" s="178"/>
      <c r="H373" s="178"/>
      <c r="I373" s="178"/>
      <c r="J373" s="178"/>
      <c r="K373" s="178"/>
      <c r="L373" s="178"/>
      <c r="M373" s="178"/>
      <c r="N373" s="178"/>
      <c r="O373" s="178"/>
      <c r="P373" s="179"/>
      <c r="Q373" s="169"/>
    </row>
    <row r="374" spans="1:17" s="170" customFormat="1" ht="10.5" x14ac:dyDescent="0.25">
      <c r="A374" s="175"/>
      <c r="B374" s="176"/>
      <c r="C374" s="177"/>
      <c r="D374" s="178"/>
      <c r="E374" s="178"/>
      <c r="F374" s="178"/>
      <c r="G374" s="178"/>
      <c r="H374" s="178"/>
      <c r="I374" s="178"/>
      <c r="J374" s="178"/>
      <c r="K374" s="178"/>
      <c r="L374" s="178"/>
      <c r="M374" s="178"/>
      <c r="N374" s="178"/>
      <c r="O374" s="178"/>
      <c r="P374" s="179"/>
      <c r="Q374" s="169"/>
    </row>
    <row r="375" spans="1:17" s="170" customFormat="1" ht="10.5" x14ac:dyDescent="0.25">
      <c r="A375" s="175"/>
      <c r="B375" s="176" t="s">
        <v>1739</v>
      </c>
      <c r="C375" s="177"/>
      <c r="D375" s="178"/>
      <c r="E375" s="178"/>
      <c r="F375" s="178"/>
      <c r="G375" s="178"/>
      <c r="H375" s="178"/>
      <c r="I375" s="178"/>
      <c r="J375" s="178"/>
      <c r="K375" s="178"/>
      <c r="L375" s="178"/>
      <c r="M375" s="178">
        <v>209</v>
      </c>
      <c r="N375" s="178"/>
      <c r="O375" s="178"/>
      <c r="P375" s="179"/>
      <c r="Q375" s="169"/>
    </row>
    <row r="376" spans="1:17" s="170" customFormat="1" ht="10.5" x14ac:dyDescent="0.25">
      <c r="A376" s="175"/>
      <c r="B376" s="176" t="s">
        <v>1740</v>
      </c>
      <c r="C376" s="177"/>
      <c r="D376" s="178"/>
      <c r="E376" s="178"/>
      <c r="F376" s="178"/>
      <c r="G376" s="178"/>
      <c r="H376" s="178"/>
      <c r="I376" s="178"/>
      <c r="J376" s="178"/>
      <c r="K376" s="178"/>
      <c r="L376" s="178"/>
      <c r="M376" s="178">
        <v>13</v>
      </c>
      <c r="N376" s="178"/>
      <c r="O376" s="178"/>
      <c r="P376" s="179"/>
      <c r="Q376" s="169"/>
    </row>
    <row r="377" spans="1:17" s="170" customFormat="1" ht="10.5" x14ac:dyDescent="0.25">
      <c r="A377" s="175"/>
      <c r="B377" s="176"/>
      <c r="C377" s="177"/>
      <c r="D377" s="178"/>
      <c r="E377" s="178"/>
      <c r="F377" s="178"/>
      <c r="G377" s="178"/>
      <c r="H377" s="178"/>
      <c r="I377" s="178"/>
      <c r="J377" s="178"/>
      <c r="K377" s="178"/>
      <c r="L377" s="180"/>
      <c r="M377" s="178"/>
      <c r="N377" s="178"/>
      <c r="O377" s="178"/>
      <c r="P377" s="179"/>
      <c r="Q377" s="169"/>
    </row>
    <row r="378" spans="1:17" s="170" customFormat="1" ht="10.5" x14ac:dyDescent="0.25">
      <c r="A378" s="175"/>
      <c r="B378" s="181" t="s">
        <v>5</v>
      </c>
      <c r="C378" s="182" t="s">
        <v>1328</v>
      </c>
      <c r="D378" s="182"/>
      <c r="E378" s="182"/>
      <c r="F378" s="182"/>
      <c r="G378" s="182"/>
      <c r="H378" s="182"/>
      <c r="I378" s="182"/>
      <c r="J378" s="182"/>
      <c r="K378" s="182"/>
      <c r="L378" s="182"/>
      <c r="M378" s="182">
        <f>SUM(M375:M377)</f>
        <v>222</v>
      </c>
      <c r="N378" s="182"/>
      <c r="O378" s="182"/>
      <c r="P378" s="183"/>
      <c r="Q378" s="169"/>
    </row>
    <row r="379" spans="1:17" s="174" customFormat="1" ht="31.5" x14ac:dyDescent="0.25">
      <c r="A379" s="171" t="str">
        <f>ORÇAMENTO!A99</f>
        <v>4.1.1.1.10</v>
      </c>
      <c r="B379" s="172" t="str">
        <f>VLOOKUP(A379,ORÇAMENTO!A:K,4,0)</f>
        <v>CONE PLÁSTICO PARA CANALIZAÇÃO DE TRÂNSITO - UTILIZAÇÃO DE 150 CICLOS - FORNECIMENTO, 01 IMPLANTAÇÃO E 01 RETIRADA DIÁRIA</v>
      </c>
      <c r="C379" s="173" t="str">
        <f>VLOOKUP(A379,ORÇAMENTO!A:K,5,0)</f>
        <v>UN.DIA</v>
      </c>
      <c r="D379" s="173">
        <f>SUM(E385:O385)</f>
        <v>1107</v>
      </c>
      <c r="E379" s="173" t="s">
        <v>1718</v>
      </c>
      <c r="F379" s="173" t="s">
        <v>1719</v>
      </c>
      <c r="G379" s="173" t="s">
        <v>1720</v>
      </c>
      <c r="H379" s="173" t="s">
        <v>1721</v>
      </c>
      <c r="I379" s="173" t="s">
        <v>1722</v>
      </c>
      <c r="J379" s="173" t="s">
        <v>1723</v>
      </c>
      <c r="K379" s="173" t="s">
        <v>1724</v>
      </c>
      <c r="L379" s="173" t="s">
        <v>1725</v>
      </c>
      <c r="M379" s="173" t="s">
        <v>1726</v>
      </c>
      <c r="N379" s="173" t="s">
        <v>1727</v>
      </c>
      <c r="O379" s="173" t="s">
        <v>1728</v>
      </c>
      <c r="P379" s="169"/>
      <c r="Q379" s="169"/>
    </row>
    <row r="380" spans="1:17" s="170" customFormat="1" ht="10.5" x14ac:dyDescent="0.25">
      <c r="A380" s="175"/>
      <c r="B380" s="176"/>
      <c r="C380" s="177"/>
      <c r="D380" s="178"/>
      <c r="E380" s="178"/>
      <c r="F380" s="178"/>
      <c r="G380" s="178"/>
      <c r="H380" s="178"/>
      <c r="I380" s="178"/>
      <c r="J380" s="178"/>
      <c r="K380" s="178"/>
      <c r="L380" s="178"/>
      <c r="M380" s="178"/>
      <c r="N380" s="178"/>
      <c r="O380" s="178"/>
      <c r="P380" s="179"/>
      <c r="Q380" s="169"/>
    </row>
    <row r="381" spans="1:17" s="170" customFormat="1" ht="10.5" x14ac:dyDescent="0.25">
      <c r="A381" s="175"/>
      <c r="B381" s="176"/>
      <c r="C381" s="177"/>
      <c r="D381" s="178"/>
      <c r="E381" s="178"/>
      <c r="F381" s="178"/>
      <c r="G381" s="178"/>
      <c r="H381" s="178"/>
      <c r="I381" s="178"/>
      <c r="J381" s="178"/>
      <c r="K381" s="178"/>
      <c r="L381" s="178"/>
      <c r="M381" s="178"/>
      <c r="N381" s="178"/>
      <c r="O381" s="178"/>
      <c r="P381" s="179"/>
      <c r="Q381" s="169"/>
    </row>
    <row r="382" spans="1:17" s="170" customFormat="1" ht="10.5" x14ac:dyDescent="0.25">
      <c r="A382" s="175"/>
      <c r="B382" s="176" t="s">
        <v>1739</v>
      </c>
      <c r="C382" s="177"/>
      <c r="D382" s="178"/>
      <c r="E382" s="178"/>
      <c r="F382" s="178"/>
      <c r="G382" s="178"/>
      <c r="H382" s="178"/>
      <c r="I382" s="178"/>
      <c r="J382" s="178"/>
      <c r="K382" s="178"/>
      <c r="L382" s="178"/>
      <c r="M382" s="178">
        <v>1043</v>
      </c>
      <c r="N382" s="178"/>
      <c r="O382" s="178"/>
      <c r="P382" s="179"/>
      <c r="Q382" s="169"/>
    </row>
    <row r="383" spans="1:17" s="170" customFormat="1" ht="10.5" x14ac:dyDescent="0.25">
      <c r="A383" s="175"/>
      <c r="B383" s="176" t="s">
        <v>1740</v>
      </c>
      <c r="C383" s="177"/>
      <c r="D383" s="178"/>
      <c r="E383" s="178"/>
      <c r="F383" s="178"/>
      <c r="G383" s="178"/>
      <c r="H383" s="178"/>
      <c r="I383" s="178"/>
      <c r="J383" s="178"/>
      <c r="K383" s="178"/>
      <c r="L383" s="178"/>
      <c r="M383" s="178">
        <v>64</v>
      </c>
      <c r="N383" s="178"/>
      <c r="O383" s="178"/>
      <c r="P383" s="179"/>
      <c r="Q383" s="169"/>
    </row>
    <row r="384" spans="1:17" s="170" customFormat="1" ht="10.5" x14ac:dyDescent="0.25">
      <c r="A384" s="175"/>
      <c r="B384" s="176"/>
      <c r="C384" s="177"/>
      <c r="D384" s="178"/>
      <c r="E384" s="178"/>
      <c r="F384" s="178"/>
      <c r="G384" s="178"/>
      <c r="H384" s="178"/>
      <c r="I384" s="178"/>
      <c r="J384" s="178"/>
      <c r="K384" s="178"/>
      <c r="L384" s="180"/>
      <c r="M384" s="178"/>
      <c r="N384" s="178"/>
      <c r="O384" s="178"/>
      <c r="P384" s="179"/>
      <c r="Q384" s="169"/>
    </row>
    <row r="385" spans="1:17" s="170" customFormat="1" ht="10.5" x14ac:dyDescent="0.25">
      <c r="A385" s="175"/>
      <c r="B385" s="181" t="s">
        <v>5</v>
      </c>
      <c r="C385" s="182" t="s">
        <v>1328</v>
      </c>
      <c r="D385" s="182"/>
      <c r="E385" s="182"/>
      <c r="F385" s="182"/>
      <c r="G385" s="182"/>
      <c r="H385" s="182"/>
      <c r="I385" s="182"/>
      <c r="J385" s="182"/>
      <c r="K385" s="182"/>
      <c r="L385" s="182"/>
      <c r="M385" s="182">
        <f>SUM(M382:M384)</f>
        <v>1107</v>
      </c>
      <c r="N385" s="182"/>
      <c r="O385" s="182"/>
      <c r="P385" s="183"/>
      <c r="Q385" s="169"/>
    </row>
    <row r="386" spans="1:17" s="174" customFormat="1" ht="42" x14ac:dyDescent="0.25">
      <c r="A386" s="171" t="str">
        <f>ORÇAMENTO!A100</f>
        <v>4.1.1.1.11</v>
      </c>
      <c r="B386" s="172" t="str">
        <f>VLOOKUP(A386,ORÇAMENTO!A:K,4,0)</f>
        <v>BALIZADOR CÔNICO REFLETIVO EM POLIETILENO SEMIFLEXÍVEL DE 114 X 11 X 40 CM - UTILIZAÇÃO DE 150 CICLOS - FORNECIMENTO, 01 IMPLANTAÇÃO E 01 RETIRADA DIÁRIA</v>
      </c>
      <c r="C386" s="173" t="str">
        <f>VLOOKUP(A386,ORÇAMENTO!A:K,5,0)</f>
        <v>UN.DIA</v>
      </c>
      <c r="D386" s="173">
        <f>SUM(E392:O392)</f>
        <v>1107</v>
      </c>
      <c r="E386" s="173" t="s">
        <v>1718</v>
      </c>
      <c r="F386" s="173" t="s">
        <v>1719</v>
      </c>
      <c r="G386" s="173" t="s">
        <v>1720</v>
      </c>
      <c r="H386" s="173" t="s">
        <v>1721</v>
      </c>
      <c r="I386" s="173" t="s">
        <v>1722</v>
      </c>
      <c r="J386" s="173" t="s">
        <v>1723</v>
      </c>
      <c r="K386" s="173" t="s">
        <v>1724</v>
      </c>
      <c r="L386" s="173" t="s">
        <v>1725</v>
      </c>
      <c r="M386" s="173" t="s">
        <v>1726</v>
      </c>
      <c r="N386" s="173" t="s">
        <v>1727</v>
      </c>
      <c r="O386" s="173" t="s">
        <v>1728</v>
      </c>
      <c r="P386" s="169"/>
      <c r="Q386" s="169"/>
    </row>
    <row r="387" spans="1:17" s="170" customFormat="1" ht="10.5" x14ac:dyDescent="0.25">
      <c r="A387" s="175"/>
      <c r="B387" s="176"/>
      <c r="C387" s="177"/>
      <c r="D387" s="178"/>
      <c r="E387" s="178"/>
      <c r="F387" s="178"/>
      <c r="G387" s="178"/>
      <c r="H387" s="178"/>
      <c r="I387" s="178"/>
      <c r="J387" s="178"/>
      <c r="K387" s="178"/>
      <c r="L387" s="178"/>
      <c r="M387" s="178"/>
      <c r="N387" s="178"/>
      <c r="O387" s="178"/>
      <c r="P387" s="179"/>
      <c r="Q387" s="169"/>
    </row>
    <row r="388" spans="1:17" s="170" customFormat="1" ht="10.5" x14ac:dyDescent="0.25">
      <c r="A388" s="175"/>
      <c r="B388" s="176"/>
      <c r="C388" s="177"/>
      <c r="D388" s="178"/>
      <c r="E388" s="178"/>
      <c r="F388" s="178"/>
      <c r="G388" s="178"/>
      <c r="H388" s="178"/>
      <c r="I388" s="178"/>
      <c r="J388" s="178"/>
      <c r="K388" s="178"/>
      <c r="L388" s="178"/>
      <c r="M388" s="178"/>
      <c r="N388" s="178"/>
      <c r="O388" s="178"/>
      <c r="P388" s="179"/>
      <c r="Q388" s="169"/>
    </row>
    <row r="389" spans="1:17" s="170" customFormat="1" ht="10.5" x14ac:dyDescent="0.25">
      <c r="A389" s="175"/>
      <c r="B389" s="176" t="s">
        <v>1739</v>
      </c>
      <c r="C389" s="177"/>
      <c r="D389" s="178"/>
      <c r="E389" s="178"/>
      <c r="F389" s="178"/>
      <c r="G389" s="178"/>
      <c r="H389" s="178"/>
      <c r="I389" s="178"/>
      <c r="J389" s="178"/>
      <c r="K389" s="178"/>
      <c r="L389" s="178"/>
      <c r="M389" s="178">
        <v>1043</v>
      </c>
      <c r="N389" s="178"/>
      <c r="O389" s="178"/>
      <c r="P389" s="179"/>
      <c r="Q389" s="169"/>
    </row>
    <row r="390" spans="1:17" s="170" customFormat="1" ht="10.5" x14ac:dyDescent="0.25">
      <c r="A390" s="175"/>
      <c r="B390" s="176" t="s">
        <v>1740</v>
      </c>
      <c r="C390" s="177"/>
      <c r="D390" s="178"/>
      <c r="E390" s="178"/>
      <c r="F390" s="178"/>
      <c r="G390" s="178"/>
      <c r="H390" s="178"/>
      <c r="I390" s="178"/>
      <c r="J390" s="178"/>
      <c r="K390" s="178"/>
      <c r="L390" s="178"/>
      <c r="M390" s="178">
        <v>64</v>
      </c>
      <c r="N390" s="178"/>
      <c r="O390" s="178"/>
      <c r="P390" s="179"/>
      <c r="Q390" s="169"/>
    </row>
    <row r="391" spans="1:17" s="170" customFormat="1" ht="10.5" x14ac:dyDescent="0.25">
      <c r="A391" s="175"/>
      <c r="B391" s="176"/>
      <c r="C391" s="177"/>
      <c r="D391" s="178"/>
      <c r="E391" s="178"/>
      <c r="F391" s="178"/>
      <c r="G391" s="178"/>
      <c r="H391" s="178"/>
      <c r="I391" s="178"/>
      <c r="J391" s="178"/>
      <c r="K391" s="178"/>
      <c r="L391" s="180"/>
      <c r="M391" s="178"/>
      <c r="N391" s="178"/>
      <c r="O391" s="178"/>
      <c r="P391" s="179"/>
      <c r="Q391" s="169"/>
    </row>
    <row r="392" spans="1:17" s="170" customFormat="1" ht="10.5" x14ac:dyDescent="0.25">
      <c r="A392" s="175"/>
      <c r="B392" s="181" t="s">
        <v>5</v>
      </c>
      <c r="C392" s="182" t="s">
        <v>1328</v>
      </c>
      <c r="D392" s="182"/>
      <c r="E392" s="182"/>
      <c r="F392" s="182"/>
      <c r="G392" s="182"/>
      <c r="H392" s="182"/>
      <c r="I392" s="182"/>
      <c r="J392" s="182"/>
      <c r="K392" s="182"/>
      <c r="L392" s="182"/>
      <c r="M392" s="182">
        <f>SUM(M389:M391)</f>
        <v>1107</v>
      </c>
      <c r="N392" s="182"/>
      <c r="O392" s="182"/>
      <c r="P392" s="183"/>
      <c r="Q392" s="169"/>
    </row>
    <row r="393" spans="1:17" s="174" customFormat="1" ht="21" x14ac:dyDescent="0.25">
      <c r="A393" s="171" t="e">
        <f>ORÇAMENTO!#REF!</f>
        <v>#REF!</v>
      </c>
      <c r="B393" s="172" t="e">
        <f>VLOOKUP(A393,ORÇAMENTO!A:K,4,0)</f>
        <v>#REF!</v>
      </c>
      <c r="C393" s="173" t="e">
        <f>VLOOKUP(A393,ORÇAMENTO!A:K,5,0)</f>
        <v>#REF!</v>
      </c>
      <c r="D393" s="173">
        <f>SUM(F397:O397)</f>
        <v>160.09522367297589</v>
      </c>
      <c r="E393" s="173" t="s">
        <v>1718</v>
      </c>
      <c r="F393" s="173" t="s">
        <v>1719</v>
      </c>
      <c r="G393" s="173" t="s">
        <v>1720</v>
      </c>
      <c r="H393" s="173" t="s">
        <v>1721</v>
      </c>
      <c r="I393" s="173" t="s">
        <v>1722</v>
      </c>
      <c r="J393" s="173" t="s">
        <v>1723</v>
      </c>
      <c r="K393" s="173" t="s">
        <v>1724</v>
      </c>
      <c r="L393" s="173" t="s">
        <v>1725</v>
      </c>
      <c r="M393" s="173" t="s">
        <v>1726</v>
      </c>
      <c r="N393" s="173" t="s">
        <v>1727</v>
      </c>
      <c r="O393" s="173" t="s">
        <v>1728</v>
      </c>
      <c r="P393" s="169"/>
      <c r="Q393" s="169"/>
    </row>
    <row r="394" spans="1:17" s="170" customFormat="1" ht="10.5" x14ac:dyDescent="0.25">
      <c r="A394" s="175"/>
      <c r="B394" s="176"/>
      <c r="C394" s="177"/>
      <c r="D394" s="178"/>
      <c r="E394" s="178"/>
      <c r="F394" s="178"/>
      <c r="G394" s="178"/>
      <c r="H394" s="178"/>
      <c r="I394" s="178"/>
      <c r="J394" s="178"/>
      <c r="K394" s="178"/>
      <c r="L394" s="178"/>
      <c r="M394" s="178"/>
      <c r="N394" s="178"/>
      <c r="O394" s="178"/>
      <c r="P394" s="179"/>
      <c r="Q394" s="169"/>
    </row>
    <row r="395" spans="1:17" s="170" customFormat="1" ht="63" x14ac:dyDescent="0.25">
      <c r="A395" s="175"/>
      <c r="B395" s="176" t="s">
        <v>1741</v>
      </c>
      <c r="C395" s="177"/>
      <c r="D395" s="178"/>
      <c r="E395" s="178"/>
      <c r="F395" s="178"/>
      <c r="G395" s="178">
        <f>Quantitativos!I33</f>
        <v>160.09522367297589</v>
      </c>
      <c r="H395" s="178"/>
      <c r="I395" s="178"/>
      <c r="J395" s="178"/>
      <c r="K395" s="178"/>
      <c r="L395" s="178"/>
      <c r="M395" s="178"/>
      <c r="N395" s="178"/>
      <c r="O395" s="178"/>
      <c r="P395" s="179"/>
      <c r="Q395" s="169"/>
    </row>
    <row r="396" spans="1:17" s="170" customFormat="1" ht="10.5" x14ac:dyDescent="0.25">
      <c r="A396" s="175"/>
      <c r="B396" s="176"/>
      <c r="C396" s="177"/>
      <c r="D396" s="178"/>
      <c r="E396" s="178"/>
      <c r="F396" s="178"/>
      <c r="G396" s="178"/>
      <c r="H396" s="178"/>
      <c r="I396" s="178"/>
      <c r="J396" s="178"/>
      <c r="K396" s="178"/>
      <c r="L396" s="180"/>
      <c r="M396" s="178"/>
      <c r="N396" s="178"/>
      <c r="O396" s="178"/>
      <c r="P396" s="179"/>
      <c r="Q396" s="169"/>
    </row>
    <row r="397" spans="1:17" s="170" customFormat="1" ht="10.5" x14ac:dyDescent="0.25">
      <c r="A397" s="175"/>
      <c r="B397" s="181" t="s">
        <v>5</v>
      </c>
      <c r="C397" s="182" t="s">
        <v>1328</v>
      </c>
      <c r="D397" s="182"/>
      <c r="E397" s="182"/>
      <c r="F397" s="182"/>
      <c r="G397" s="182">
        <f>SUM(G394:G396)</f>
        <v>160.09522367297589</v>
      </c>
      <c r="H397" s="182"/>
      <c r="I397" s="182"/>
      <c r="J397" s="182"/>
      <c r="K397" s="182"/>
      <c r="L397" s="182"/>
      <c r="M397" s="182"/>
      <c r="N397" s="182"/>
      <c r="O397" s="182"/>
      <c r="P397" s="183"/>
      <c r="Q397" s="169"/>
    </row>
    <row r="398" spans="1:17" s="174" customFormat="1" ht="21" x14ac:dyDescent="0.25">
      <c r="A398" s="187" t="str">
        <f>ORÇAMENTO!A101</f>
        <v>4.1.1.2</v>
      </c>
      <c r="B398" s="334" t="str">
        <f>VLOOKUP(A398,ORÇAMENTO!A:K,4,0)</f>
        <v>DEMOLIÇÕES E RETIRADAS DE PAVIMENTAÇÃO ASFÁLTICA</v>
      </c>
      <c r="C398" s="188"/>
      <c r="D398" s="188"/>
      <c r="E398" s="188"/>
      <c r="F398" s="188"/>
      <c r="G398" s="188"/>
      <c r="H398" s="188"/>
      <c r="I398" s="188"/>
      <c r="J398" s="188"/>
      <c r="K398" s="188"/>
      <c r="L398" s="188"/>
      <c r="M398" s="188"/>
      <c r="N398" s="188"/>
      <c r="O398" s="188"/>
      <c r="P398" s="169"/>
      <c r="Q398" s="169"/>
    </row>
    <row r="399" spans="1:17" s="174" customFormat="1" ht="31.5" x14ac:dyDescent="0.25">
      <c r="A399" s="171" t="str">
        <f>ORÇAMENTO!A102</f>
        <v>4.1.1.2.1</v>
      </c>
      <c r="B399" s="172" t="str">
        <f>VLOOKUP(A399,ORÇAMENTO!A:K,4,0)</f>
        <v>DEMOLIÇÃO PARCIAL DE PAVIMENTO ASFÁLTICO, DE FORMA MECANIZADA, SEM REAPROVEITAMENTO. AF_09/2023</v>
      </c>
      <c r="C399" s="173" t="str">
        <f>VLOOKUP(A399,ORÇAMENTO!A:K,5,0)</f>
        <v>M²</v>
      </c>
      <c r="D399" s="173">
        <f>SUM(E405:O405)</f>
        <v>2097.2491630365098</v>
      </c>
      <c r="E399" s="173" t="s">
        <v>1718</v>
      </c>
      <c r="F399" s="173" t="s">
        <v>1719</v>
      </c>
      <c r="G399" s="173" t="s">
        <v>1720</v>
      </c>
      <c r="H399" s="173" t="s">
        <v>1721</v>
      </c>
      <c r="I399" s="173" t="s">
        <v>1722</v>
      </c>
      <c r="J399" s="173" t="s">
        <v>1723</v>
      </c>
      <c r="K399" s="173" t="s">
        <v>1724</v>
      </c>
      <c r="L399" s="173" t="s">
        <v>1725</v>
      </c>
      <c r="M399" s="173" t="s">
        <v>1730</v>
      </c>
      <c r="N399" s="173" t="s">
        <v>1727</v>
      </c>
      <c r="O399" s="173" t="s">
        <v>1728</v>
      </c>
      <c r="P399" s="169"/>
      <c r="Q399" s="169"/>
    </row>
    <row r="400" spans="1:17" s="170" customFormat="1" ht="10.5" x14ac:dyDescent="0.25">
      <c r="A400" s="175"/>
      <c r="B400" s="176" t="s">
        <v>1742</v>
      </c>
      <c r="C400" s="184"/>
      <c r="D400" s="185"/>
      <c r="E400" s="185"/>
      <c r="F400" s="185"/>
      <c r="G400" s="185"/>
      <c r="H400" s="185"/>
      <c r="I400" s="185"/>
      <c r="J400" s="185"/>
      <c r="K400" s="185"/>
      <c r="L400" s="185"/>
      <c r="M400" s="185"/>
      <c r="N400" s="185">
        <f>Quantitativos!AA33</f>
        <v>1783.43416303651</v>
      </c>
      <c r="O400" s="185"/>
      <c r="P400" s="179"/>
      <c r="Q400" s="169"/>
    </row>
    <row r="401" spans="1:19" s="170" customFormat="1" ht="21" x14ac:dyDescent="0.25">
      <c r="A401" s="175"/>
      <c r="B401" s="176" t="s">
        <v>1743</v>
      </c>
      <c r="C401" s="184"/>
      <c r="D401" s="185"/>
      <c r="E401" s="185"/>
      <c r="F401" s="185"/>
      <c r="G401" s="185"/>
      <c r="H401" s="185"/>
      <c r="I401" s="185"/>
      <c r="J401" s="185"/>
      <c r="K401" s="185"/>
      <c r="L401" s="185"/>
      <c r="M401" s="185"/>
      <c r="N401" s="185">
        <f>QUANTBL!O96</f>
        <v>225.98999999999998</v>
      </c>
      <c r="O401" s="185"/>
      <c r="P401" s="179"/>
      <c r="Q401" s="169"/>
    </row>
    <row r="402" spans="1:19" s="170" customFormat="1" ht="21" x14ac:dyDescent="0.25">
      <c r="A402" s="175"/>
      <c r="B402" s="176" t="s">
        <v>1744</v>
      </c>
      <c r="C402" s="184"/>
      <c r="D402" s="185"/>
      <c r="E402" s="185"/>
      <c r="F402" s="185"/>
      <c r="G402" s="185"/>
      <c r="H402" s="185"/>
      <c r="I402" s="185"/>
      <c r="J402" s="185"/>
      <c r="K402" s="185"/>
      <c r="L402" s="185"/>
      <c r="M402" s="185"/>
      <c r="N402" s="185">
        <f>QUANTBL!CY96</f>
        <v>87.824999999999932</v>
      </c>
      <c r="O402" s="185"/>
      <c r="P402" s="179"/>
      <c r="Q402" s="169"/>
    </row>
    <row r="403" spans="1:19" s="170" customFormat="1" ht="10.5" x14ac:dyDescent="0.25">
      <c r="A403" s="175"/>
      <c r="B403" s="181" t="s">
        <v>1745</v>
      </c>
      <c r="C403" s="184"/>
      <c r="D403" s="185"/>
      <c r="E403" s="185"/>
      <c r="F403" s="185"/>
      <c r="G403" s="185"/>
      <c r="H403" s="185">
        <v>0.03</v>
      </c>
      <c r="I403" s="185"/>
      <c r="J403" s="185"/>
      <c r="K403" s="185"/>
      <c r="L403" s="185"/>
      <c r="M403" s="185"/>
      <c r="N403" s="185"/>
      <c r="O403" s="185"/>
      <c r="P403" s="179"/>
      <c r="Q403" s="169"/>
    </row>
    <row r="404" spans="1:19" s="170" customFormat="1" ht="10.5" x14ac:dyDescent="0.25">
      <c r="A404" s="175"/>
      <c r="B404" s="176"/>
      <c r="C404" s="184"/>
      <c r="D404" s="185"/>
      <c r="E404" s="185"/>
      <c r="F404" s="185"/>
      <c r="G404" s="185"/>
      <c r="H404" s="185"/>
      <c r="I404" s="185"/>
      <c r="J404" s="185"/>
      <c r="K404" s="185"/>
      <c r="L404" s="186"/>
      <c r="M404" s="185"/>
      <c r="N404" s="185"/>
      <c r="O404" s="185"/>
      <c r="P404" s="179"/>
      <c r="Q404" s="169"/>
    </row>
    <row r="405" spans="1:19" s="170" customFormat="1" ht="10.5" x14ac:dyDescent="0.25">
      <c r="A405" s="175"/>
      <c r="B405" s="181" t="s">
        <v>5</v>
      </c>
      <c r="C405" s="182" t="s">
        <v>1328</v>
      </c>
      <c r="D405" s="182"/>
      <c r="E405" s="182"/>
      <c r="F405" s="182"/>
      <c r="G405" s="182"/>
      <c r="H405" s="182"/>
      <c r="I405" s="182"/>
      <c r="J405" s="182"/>
      <c r="K405" s="182"/>
      <c r="L405" s="182"/>
      <c r="M405" s="182"/>
      <c r="N405" s="182">
        <f>SUM(N400:N404)</f>
        <v>2097.2491630365098</v>
      </c>
      <c r="O405" s="182"/>
      <c r="P405" s="183"/>
      <c r="Q405" s="169"/>
    </row>
    <row r="406" spans="1:19" s="174" customFormat="1" ht="52.5" x14ac:dyDescent="0.25">
      <c r="A406" s="171" t="str">
        <f>ORÇAMENTO!A103</f>
        <v>4.1.1.2.2</v>
      </c>
      <c r="B406" s="172" t="str">
        <f>VLOOKUP(A406,ORÇAMENTO!A:K,4,0)</f>
        <v>CARGA, MANOBRA E DESCARGA DE ENTULHO EM CAMINHÃO BASCULANTE 14 M³ - CARGA COM ESCAVADEIRA HIDRÁULICA  (CAÇAMBA DE 0,80 M³ / 111 HP) E DESCARGA LIVRE (UNIDADE: M3). AF_07/2020</v>
      </c>
      <c r="C406" s="173" t="str">
        <f>VLOOKUP(A406,ORÇAMENTO!A:K,5,0)</f>
        <v>M³</v>
      </c>
      <c r="D406" s="173">
        <f>SUM(E410:O410)</f>
        <v>62.917474891095289</v>
      </c>
      <c r="E406" s="173" t="s">
        <v>1718</v>
      </c>
      <c r="F406" s="173" t="s">
        <v>1719</v>
      </c>
      <c r="G406" s="173" t="s">
        <v>1720</v>
      </c>
      <c r="H406" s="173" t="s">
        <v>1721</v>
      </c>
      <c r="I406" s="173" t="s">
        <v>1722</v>
      </c>
      <c r="J406" s="173" t="s">
        <v>1723</v>
      </c>
      <c r="K406" s="173" t="s">
        <v>1746</v>
      </c>
      <c r="L406" s="173" t="s">
        <v>1747</v>
      </c>
      <c r="M406" s="173" t="s">
        <v>1730</v>
      </c>
      <c r="N406" s="173" t="s">
        <v>1727</v>
      </c>
      <c r="O406" s="173" t="s">
        <v>1728</v>
      </c>
      <c r="P406" s="169"/>
      <c r="Q406" s="169"/>
    </row>
    <row r="407" spans="1:19" s="170" customFormat="1" ht="10.5" x14ac:dyDescent="0.25">
      <c r="A407" s="175"/>
      <c r="B407" s="176" t="s">
        <v>1748</v>
      </c>
      <c r="C407" s="184"/>
      <c r="D407" s="185"/>
      <c r="E407" s="185"/>
      <c r="F407" s="185"/>
      <c r="G407" s="185"/>
      <c r="H407" s="185"/>
      <c r="I407" s="185"/>
      <c r="J407" s="185"/>
      <c r="K407" s="185"/>
      <c r="L407" s="185"/>
      <c r="M407" s="185"/>
      <c r="N407" s="185">
        <f>N405</f>
        <v>2097.2491630365098</v>
      </c>
      <c r="O407" s="185"/>
      <c r="P407" s="179"/>
      <c r="Q407" s="169"/>
    </row>
    <row r="408" spans="1:19" s="170" customFormat="1" ht="10.5" x14ac:dyDescent="0.25">
      <c r="A408" s="175"/>
      <c r="B408" s="181" t="str">
        <f>B403</f>
        <v>TIPO DE TRÁFEGO - LEVE</v>
      </c>
      <c r="C408" s="184"/>
      <c r="D408" s="185"/>
      <c r="E408" s="185"/>
      <c r="F408" s="185"/>
      <c r="G408" s="185"/>
      <c r="H408" s="185">
        <f>H403</f>
        <v>0.03</v>
      </c>
      <c r="I408" s="185"/>
      <c r="J408" s="185"/>
      <c r="K408" s="185"/>
      <c r="L408" s="185"/>
      <c r="M408" s="185"/>
      <c r="N408" s="185"/>
      <c r="O408" s="185">
        <f>N407*H408</f>
        <v>62.917474891095289</v>
      </c>
      <c r="P408" s="179"/>
      <c r="Q408" s="169"/>
    </row>
    <row r="409" spans="1:19" s="170" customFormat="1" ht="10.5" x14ac:dyDescent="0.25">
      <c r="A409" s="175"/>
      <c r="B409" s="176"/>
      <c r="C409" s="184"/>
      <c r="D409" s="185"/>
      <c r="E409" s="185"/>
      <c r="F409" s="185"/>
      <c r="G409" s="185"/>
      <c r="H409" s="185"/>
      <c r="I409" s="185"/>
      <c r="J409" s="185"/>
      <c r="K409" s="185"/>
      <c r="L409" s="186"/>
      <c r="M409" s="185"/>
      <c r="N409" s="185"/>
      <c r="O409" s="185"/>
      <c r="P409" s="179"/>
      <c r="Q409" s="169"/>
    </row>
    <row r="410" spans="1:19" s="170" customFormat="1" ht="10.5" x14ac:dyDescent="0.25">
      <c r="A410" s="175"/>
      <c r="B410" s="181" t="s">
        <v>5</v>
      </c>
      <c r="C410" s="182" t="s">
        <v>1328</v>
      </c>
      <c r="D410" s="182"/>
      <c r="E410" s="182"/>
      <c r="F410" s="182"/>
      <c r="G410" s="182"/>
      <c r="H410" s="182"/>
      <c r="I410" s="182"/>
      <c r="J410" s="182"/>
      <c r="K410" s="182"/>
      <c r="L410" s="182"/>
      <c r="M410" s="182"/>
      <c r="N410" s="182"/>
      <c r="O410" s="182">
        <f>SUM(O408:O409)</f>
        <v>62.917474891095289</v>
      </c>
      <c r="P410" s="183"/>
      <c r="Q410" s="169"/>
    </row>
    <row r="411" spans="1:19" s="174" customFormat="1" ht="31.5" x14ac:dyDescent="0.25">
      <c r="A411" s="171" t="str">
        <f>ORÇAMENTO!A104</f>
        <v>4.1.1.2.3</v>
      </c>
      <c r="B411" s="172" t="str">
        <f>VLOOKUP(A411,ORÇAMENTO!A:K,4,0)</f>
        <v>TRANSPORTE COM CAMINHÃO BASCULANTE DE 14 M³, EM VIA URBANA PAVIMENTADA, DMT ATÉ 30 KM (UNIDADE: M3XKM). AF_07/2020</v>
      </c>
      <c r="C411" s="173" t="str">
        <f>VLOOKUP(A411,ORÇAMENTO!A:K,5,0)</f>
        <v>M3XKM</v>
      </c>
      <c r="D411" s="173">
        <f>SUM(E415:O415)</f>
        <v>1887.5242467328587</v>
      </c>
      <c r="E411" s="173" t="s">
        <v>1749</v>
      </c>
      <c r="F411" s="173" t="s">
        <v>1719</v>
      </c>
      <c r="G411" s="173" t="s">
        <v>1720</v>
      </c>
      <c r="H411" s="173" t="s">
        <v>1721</v>
      </c>
      <c r="I411" s="173" t="s">
        <v>1722</v>
      </c>
      <c r="J411" s="173" t="s">
        <v>1723</v>
      </c>
      <c r="K411" s="173" t="s">
        <v>1746</v>
      </c>
      <c r="L411" s="173" t="s">
        <v>1725</v>
      </c>
      <c r="M411" s="173" t="s">
        <v>1750</v>
      </c>
      <c r="N411" s="173" t="s">
        <v>1727</v>
      </c>
      <c r="O411" s="173" t="s">
        <v>1728</v>
      </c>
      <c r="P411" s="169"/>
      <c r="Q411" s="169"/>
    </row>
    <row r="412" spans="1:19" s="170" customFormat="1" ht="10.5" x14ac:dyDescent="0.25">
      <c r="A412" s="175"/>
      <c r="B412" s="176"/>
      <c r="C412" s="184"/>
      <c r="D412" s="185"/>
      <c r="E412" s="185"/>
      <c r="F412" s="185"/>
      <c r="G412" s="185"/>
      <c r="H412" s="185"/>
      <c r="I412" s="185"/>
      <c r="J412" s="185"/>
      <c r="K412" s="185"/>
      <c r="L412" s="185"/>
      <c r="M412" s="185"/>
      <c r="N412" s="185"/>
      <c r="O412" s="185"/>
      <c r="P412" s="179"/>
      <c r="Q412" s="169"/>
    </row>
    <row r="413" spans="1:19" s="170" customFormat="1" ht="10.5" x14ac:dyDescent="0.25">
      <c r="A413" s="175"/>
      <c r="B413" s="176" t="s">
        <v>1751</v>
      </c>
      <c r="C413" s="184"/>
      <c r="D413" s="185"/>
      <c r="E413" s="185">
        <v>30</v>
      </c>
      <c r="F413" s="185"/>
      <c r="G413" s="185"/>
      <c r="H413" s="185"/>
      <c r="I413" s="185"/>
      <c r="J413" s="185"/>
      <c r="K413" s="185"/>
      <c r="L413" s="185"/>
      <c r="M413" s="185">
        <f>E413*O413</f>
        <v>1887.5242467328587</v>
      </c>
      <c r="N413" s="185"/>
      <c r="O413" s="185">
        <f>O410</f>
        <v>62.917474891095289</v>
      </c>
      <c r="P413" s="179"/>
      <c r="Q413" s="169"/>
    </row>
    <row r="414" spans="1:19" s="170" customFormat="1" ht="10.5" x14ac:dyDescent="0.25">
      <c r="A414" s="175"/>
      <c r="B414" s="176"/>
      <c r="C414" s="184"/>
      <c r="D414" s="185"/>
      <c r="E414" s="185"/>
      <c r="F414" s="185"/>
      <c r="G414" s="185"/>
      <c r="H414" s="185"/>
      <c r="I414" s="185"/>
      <c r="J414" s="185"/>
      <c r="K414" s="185"/>
      <c r="L414" s="186"/>
      <c r="M414" s="185"/>
      <c r="N414" s="185"/>
      <c r="O414" s="185"/>
      <c r="P414" s="179"/>
      <c r="Q414" s="169"/>
    </row>
    <row r="415" spans="1:19" s="170" customFormat="1" ht="10.5" x14ac:dyDescent="0.25">
      <c r="A415" s="175"/>
      <c r="B415" s="181" t="s">
        <v>5</v>
      </c>
      <c r="C415" s="182" t="s">
        <v>1328</v>
      </c>
      <c r="D415" s="182"/>
      <c r="E415" s="182"/>
      <c r="F415" s="182"/>
      <c r="G415" s="182"/>
      <c r="H415" s="182"/>
      <c r="I415" s="182"/>
      <c r="J415" s="182"/>
      <c r="K415" s="182"/>
      <c r="L415" s="182"/>
      <c r="M415" s="182">
        <f>SUM(M413:M414)</f>
        <v>1887.5242467328587</v>
      </c>
      <c r="N415" s="182"/>
      <c r="O415" s="182"/>
      <c r="P415" s="183"/>
      <c r="Q415" s="169"/>
    </row>
    <row r="416" spans="1:19" s="189" customFormat="1" ht="42" x14ac:dyDescent="0.35">
      <c r="A416" s="171" t="str">
        <f>ORÇAMENTO!A105</f>
        <v>4.1.1.2.4</v>
      </c>
      <c r="B416" s="172" t="str">
        <f>VLOOKUP(A416,ORÇAMENTO!A:K,4,0)</f>
        <v>TRANSPORTE COM CAMINHÃO BASCULANTE DE 14 M³, EM VIA URBANA PAVIMENTADA, ADICIONAL PARA DMT EXCEDENTE A 30 KM (UNIDADE: M3XKM). AF_07/2020</v>
      </c>
      <c r="C416" s="173" t="str">
        <f>VLOOKUP(A416,ORÇAMENTO!A:K,5,0)</f>
        <v>M3XKM</v>
      </c>
      <c r="D416" s="173">
        <f>SUM(E419:O419)</f>
        <v>2818.7028751210687</v>
      </c>
      <c r="E416" s="173" t="s">
        <v>1752</v>
      </c>
      <c r="F416" s="173" t="s">
        <v>1719</v>
      </c>
      <c r="G416" s="173" t="s">
        <v>1720</v>
      </c>
      <c r="H416" s="173" t="s">
        <v>1721</v>
      </c>
      <c r="I416" s="173" t="s">
        <v>1722</v>
      </c>
      <c r="J416" s="173" t="s">
        <v>1723</v>
      </c>
      <c r="K416" s="173" t="s">
        <v>1746</v>
      </c>
      <c r="L416" s="173" t="s">
        <v>1753</v>
      </c>
      <c r="M416" s="173" t="s">
        <v>1750</v>
      </c>
      <c r="N416" s="173" t="s">
        <v>1727</v>
      </c>
      <c r="O416" s="173" t="s">
        <v>1728</v>
      </c>
      <c r="P416" s="169"/>
      <c r="Q416" s="169"/>
      <c r="R416" s="169"/>
      <c r="S416" s="169"/>
    </row>
    <row r="417" spans="1:17" s="170" customFormat="1" ht="10.5" x14ac:dyDescent="0.25">
      <c r="A417" s="175"/>
      <c r="B417" s="176" t="s">
        <v>1751</v>
      </c>
      <c r="C417" s="177"/>
      <c r="D417" s="178"/>
      <c r="E417" s="178">
        <f>74.8-E413</f>
        <v>44.8</v>
      </c>
      <c r="F417" s="178"/>
      <c r="G417" s="178"/>
      <c r="H417" s="178"/>
      <c r="I417" s="178"/>
      <c r="J417" s="178"/>
      <c r="K417" s="178"/>
      <c r="L417" s="190"/>
      <c r="M417" s="178">
        <f>E417*O417</f>
        <v>2818.7028751210687</v>
      </c>
      <c r="N417" s="178"/>
      <c r="O417" s="178">
        <f>O413</f>
        <v>62.917474891095289</v>
      </c>
      <c r="P417" s="179"/>
      <c r="Q417" s="169"/>
    </row>
    <row r="418" spans="1:17" s="170" customFormat="1" ht="10.5" x14ac:dyDescent="0.25">
      <c r="A418" s="175"/>
      <c r="B418" s="176"/>
      <c r="C418" s="177"/>
      <c r="D418" s="178"/>
      <c r="E418" s="178"/>
      <c r="F418" s="178"/>
      <c r="G418" s="178"/>
      <c r="H418" s="178"/>
      <c r="I418" s="178"/>
      <c r="J418" s="178"/>
      <c r="K418" s="178"/>
      <c r="L418" s="190"/>
      <c r="M418" s="178"/>
      <c r="N418" s="178"/>
      <c r="O418" s="178"/>
      <c r="P418" s="179"/>
      <c r="Q418" s="169"/>
    </row>
    <row r="419" spans="1:17" s="170" customFormat="1" ht="10.5" x14ac:dyDescent="0.25">
      <c r="A419" s="175"/>
      <c r="B419" s="181" t="s">
        <v>5</v>
      </c>
      <c r="C419" s="182" t="s">
        <v>1328</v>
      </c>
      <c r="D419" s="182"/>
      <c r="E419" s="182"/>
      <c r="F419" s="182"/>
      <c r="G419" s="182"/>
      <c r="H419" s="182"/>
      <c r="I419" s="182"/>
      <c r="J419" s="182"/>
      <c r="K419" s="182"/>
      <c r="L419" s="182"/>
      <c r="M419" s="182">
        <f>SUM(M417)</f>
        <v>2818.7028751210687</v>
      </c>
      <c r="N419" s="182"/>
      <c r="O419" s="182"/>
      <c r="P419" s="183"/>
      <c r="Q419" s="169"/>
    </row>
    <row r="420" spans="1:17" s="174" customFormat="1" ht="21" x14ac:dyDescent="0.25">
      <c r="A420" s="171" t="str">
        <f>ORÇAMENTO!A107</f>
        <v>4.1.1.3.1</v>
      </c>
      <c r="B420" s="172" t="str">
        <f>VLOOKUP(A420,ORÇAMENTO!A:K,4,0)</f>
        <v>DEMOLIÇÃO MANUAL DE CONCRETO ARMADO</v>
      </c>
      <c r="C420" s="173" t="str">
        <f>VLOOKUP(A420,ORÇAMENTO!A:K,5,0)</f>
        <v>M³</v>
      </c>
      <c r="D420" s="173">
        <f>SUM(E425:O425)</f>
        <v>18.417769439846744</v>
      </c>
      <c r="E420" s="173" t="s">
        <v>1718</v>
      </c>
      <c r="F420" s="173" t="s">
        <v>1719</v>
      </c>
      <c r="G420" s="173" t="s">
        <v>1720</v>
      </c>
      <c r="H420" s="173" t="s">
        <v>1721</v>
      </c>
      <c r="I420" s="173" t="s">
        <v>1722</v>
      </c>
      <c r="J420" s="173" t="s">
        <v>1723</v>
      </c>
      <c r="K420" s="173" t="s">
        <v>1724</v>
      </c>
      <c r="L420" s="173" t="s">
        <v>1725</v>
      </c>
      <c r="M420" s="173" t="s">
        <v>1730</v>
      </c>
      <c r="N420" s="173" t="s">
        <v>1727</v>
      </c>
      <c r="O420" s="173" t="s">
        <v>1728</v>
      </c>
      <c r="P420" s="169"/>
      <c r="Q420" s="169"/>
    </row>
    <row r="421" spans="1:17" s="170" customFormat="1" ht="10.5" x14ac:dyDescent="0.25">
      <c r="A421" s="175"/>
      <c r="B421" s="176"/>
      <c r="C421" s="184"/>
      <c r="D421" s="185"/>
      <c r="E421" s="185"/>
      <c r="F421" s="185"/>
      <c r="G421" s="185"/>
      <c r="H421" s="185"/>
      <c r="I421" s="185"/>
      <c r="J421" s="185"/>
      <c r="K421" s="185"/>
      <c r="L421" s="185"/>
      <c r="M421" s="185"/>
      <c r="N421" s="185"/>
      <c r="O421" s="185"/>
      <c r="P421" s="179"/>
      <c r="Q421" s="169"/>
    </row>
    <row r="422" spans="1:17" s="170" customFormat="1" ht="21" x14ac:dyDescent="0.25">
      <c r="A422" s="175"/>
      <c r="B422" s="176" t="s">
        <v>1754</v>
      </c>
      <c r="C422" s="184"/>
      <c r="D422" s="185"/>
      <c r="E422" s="185"/>
      <c r="F422" s="185"/>
      <c r="G422" s="185"/>
      <c r="H422" s="185"/>
      <c r="I422" s="185"/>
      <c r="J422" s="185"/>
      <c r="K422" s="185"/>
      <c r="L422" s="185"/>
      <c r="M422" s="185"/>
      <c r="N422" s="185"/>
      <c r="O422" s="185">
        <f>'Planilha Hidráulica'!Y37</f>
        <v>33.88776943984675</v>
      </c>
      <c r="P422" s="179"/>
      <c r="Q422" s="169"/>
    </row>
    <row r="423" spans="1:17" s="170" customFormat="1" ht="21" x14ac:dyDescent="0.25">
      <c r="A423" s="175"/>
      <c r="B423" s="176" t="s">
        <v>1755</v>
      </c>
      <c r="C423" s="184"/>
      <c r="D423" s="185"/>
      <c r="E423" s="185"/>
      <c r="F423" s="185"/>
      <c r="G423" s="185"/>
      <c r="H423" s="185"/>
      <c r="I423" s="185"/>
      <c r="J423" s="185"/>
      <c r="K423" s="185"/>
      <c r="L423" s="185"/>
      <c r="M423" s="185"/>
      <c r="N423" s="185"/>
      <c r="O423" s="185">
        <f>-'Planilha Hidráulica'!AO37</f>
        <v>-15.470000000000008</v>
      </c>
      <c r="P423" s="179"/>
      <c r="Q423" s="169"/>
    </row>
    <row r="424" spans="1:17" s="170" customFormat="1" ht="10.5" x14ac:dyDescent="0.25">
      <c r="A424" s="175"/>
      <c r="B424" s="176"/>
      <c r="C424" s="184"/>
      <c r="D424" s="185"/>
      <c r="E424" s="185"/>
      <c r="F424" s="185"/>
      <c r="G424" s="185"/>
      <c r="H424" s="185"/>
      <c r="I424" s="185"/>
      <c r="J424" s="185"/>
      <c r="K424" s="185"/>
      <c r="L424" s="186"/>
      <c r="M424" s="185"/>
      <c r="N424" s="185"/>
      <c r="O424" s="185"/>
      <c r="P424" s="179"/>
      <c r="Q424" s="169"/>
    </row>
    <row r="425" spans="1:17" s="170" customFormat="1" ht="10.5" x14ac:dyDescent="0.25">
      <c r="A425" s="175"/>
      <c r="B425" s="181" t="s">
        <v>5</v>
      </c>
      <c r="C425" s="182" t="s">
        <v>1328</v>
      </c>
      <c r="D425" s="182"/>
      <c r="E425" s="182"/>
      <c r="F425" s="182"/>
      <c r="G425" s="182"/>
      <c r="H425" s="182"/>
      <c r="I425" s="182"/>
      <c r="J425" s="182"/>
      <c r="K425" s="182"/>
      <c r="L425" s="182"/>
      <c r="M425" s="182"/>
      <c r="N425" s="182"/>
      <c r="O425" s="182">
        <f>SUM(O422:O424)</f>
        <v>18.417769439846744</v>
      </c>
      <c r="P425" s="183"/>
      <c r="Q425" s="169"/>
    </row>
    <row r="426" spans="1:17" s="174" customFormat="1" ht="31.5" x14ac:dyDescent="0.25">
      <c r="A426" s="171" t="str">
        <f>ORÇAMENTO!A108</f>
        <v>4.1.1.3.2</v>
      </c>
      <c r="B426" s="172" t="str">
        <f>VLOOKUP(A426,ORÇAMENTO!A:K,4,0)</f>
        <v>DEMOLIÇÃO DE ALVENARIA DE BLOCO FURADO, DE FORMA MANUAL, SEM REAPROVEITAMENTO. AF_09/2023</v>
      </c>
      <c r="C426" s="173" t="str">
        <f>VLOOKUP(A426,ORÇAMENTO!A:K,5,0)</f>
        <v>M³</v>
      </c>
      <c r="D426" s="173">
        <f>SUM(E430:O430)</f>
        <v>15.470000000000008</v>
      </c>
      <c r="E426" s="173" t="s">
        <v>1718</v>
      </c>
      <c r="F426" s="173" t="s">
        <v>1719</v>
      </c>
      <c r="G426" s="173" t="s">
        <v>1720</v>
      </c>
      <c r="H426" s="173" t="s">
        <v>1721</v>
      </c>
      <c r="I426" s="173" t="s">
        <v>1722</v>
      </c>
      <c r="J426" s="173" t="s">
        <v>1723</v>
      </c>
      <c r="K426" s="173" t="s">
        <v>1724</v>
      </c>
      <c r="L426" s="173" t="s">
        <v>1725</v>
      </c>
      <c r="M426" s="173" t="s">
        <v>1730</v>
      </c>
      <c r="N426" s="173" t="s">
        <v>1727</v>
      </c>
      <c r="O426" s="173" t="s">
        <v>1728</v>
      </c>
      <c r="P426" s="169"/>
      <c r="Q426" s="169"/>
    </row>
    <row r="427" spans="1:17" s="170" customFormat="1" ht="10.5" x14ac:dyDescent="0.25">
      <c r="A427" s="175"/>
      <c r="B427" s="176"/>
      <c r="C427" s="184"/>
      <c r="D427" s="185"/>
      <c r="E427" s="185"/>
      <c r="F427" s="185"/>
      <c r="G427" s="185"/>
      <c r="H427" s="185"/>
      <c r="I427" s="185"/>
      <c r="J427" s="185"/>
      <c r="K427" s="185"/>
      <c r="L427" s="185"/>
      <c r="M427" s="185"/>
      <c r="N427" s="185"/>
      <c r="O427" s="185"/>
      <c r="P427" s="179"/>
      <c r="Q427" s="169"/>
    </row>
    <row r="428" spans="1:17" s="170" customFormat="1" ht="21" x14ac:dyDescent="0.25">
      <c r="A428" s="175"/>
      <c r="B428" s="176" t="s">
        <v>1754</v>
      </c>
      <c r="C428" s="184"/>
      <c r="D428" s="185"/>
      <c r="E428" s="185"/>
      <c r="F428" s="185"/>
      <c r="G428" s="185"/>
      <c r="H428" s="185"/>
      <c r="I428" s="185"/>
      <c r="J428" s="185"/>
      <c r="K428" s="185"/>
      <c r="L428" s="185"/>
      <c r="M428" s="185"/>
      <c r="N428" s="185"/>
      <c r="O428" s="185">
        <f>-O423</f>
        <v>15.470000000000008</v>
      </c>
      <c r="P428" s="179"/>
      <c r="Q428" s="169"/>
    </row>
    <row r="429" spans="1:17" s="170" customFormat="1" ht="10.5" x14ac:dyDescent="0.25">
      <c r="A429" s="175"/>
      <c r="B429" s="176"/>
      <c r="C429" s="184"/>
      <c r="D429" s="185"/>
      <c r="E429" s="185"/>
      <c r="F429" s="185"/>
      <c r="G429" s="185"/>
      <c r="H429" s="185"/>
      <c r="I429" s="185"/>
      <c r="J429" s="185"/>
      <c r="K429" s="185"/>
      <c r="L429" s="186"/>
      <c r="M429" s="185"/>
      <c r="N429" s="185"/>
      <c r="O429" s="185"/>
      <c r="P429" s="179"/>
      <c r="Q429" s="169"/>
    </row>
    <row r="430" spans="1:17" s="170" customFormat="1" ht="10.5" x14ac:dyDescent="0.25">
      <c r="A430" s="175"/>
      <c r="B430" s="181" t="s">
        <v>5</v>
      </c>
      <c r="C430" s="182" t="s">
        <v>1328</v>
      </c>
      <c r="D430" s="182"/>
      <c r="E430" s="182"/>
      <c r="F430" s="182"/>
      <c r="G430" s="182"/>
      <c r="H430" s="182"/>
      <c r="I430" s="182"/>
      <c r="J430" s="182"/>
      <c r="K430" s="182"/>
      <c r="L430" s="182"/>
      <c r="M430" s="182"/>
      <c r="N430" s="182"/>
      <c r="O430" s="182">
        <f>SUM(O428:O429)</f>
        <v>15.470000000000008</v>
      </c>
      <c r="P430" s="183"/>
      <c r="Q430" s="169"/>
    </row>
    <row r="431" spans="1:17" s="174" customFormat="1" ht="52.5" x14ac:dyDescent="0.25">
      <c r="A431" s="171" t="str">
        <f>ORÇAMENTO!A109</f>
        <v>4.1.1.3.3</v>
      </c>
      <c r="B431" s="172" t="str">
        <f>VLOOKUP(A431,ORÇAMENTO!A:K,4,0)</f>
        <v>CARGA, MANOBRA E DESCARGA DE ENTULHO EM CAMINHÃO BASCULANTE 14 M³ - CARGA COM ESCAVADEIRA HIDRÁULICA  (CAÇAMBA DE 0,80 M³ / 111 HP) E DESCARGA LIVRE (UNIDADE: M3). AF_07/2020</v>
      </c>
      <c r="C431" s="173" t="str">
        <f>VLOOKUP(A431,ORÇAMENTO!A:K,5,0)</f>
        <v>M³</v>
      </c>
      <c r="D431" s="173">
        <f>SUM(E435:O435)</f>
        <v>33.88776943984675</v>
      </c>
      <c r="E431" s="173" t="s">
        <v>1718</v>
      </c>
      <c r="F431" s="173" t="s">
        <v>1719</v>
      </c>
      <c r="G431" s="173" t="s">
        <v>1720</v>
      </c>
      <c r="H431" s="173" t="s">
        <v>1721</v>
      </c>
      <c r="I431" s="173" t="s">
        <v>1722</v>
      </c>
      <c r="J431" s="173" t="s">
        <v>1723</v>
      </c>
      <c r="K431" s="173" t="s">
        <v>1746</v>
      </c>
      <c r="L431" s="173" t="s">
        <v>1756</v>
      </c>
      <c r="M431" s="173" t="s">
        <v>1730</v>
      </c>
      <c r="N431" s="173" t="s">
        <v>1727</v>
      </c>
      <c r="O431" s="173" t="s">
        <v>1728</v>
      </c>
      <c r="P431" s="169"/>
      <c r="Q431" s="169"/>
    </row>
    <row r="432" spans="1:17" s="170" customFormat="1" ht="10.5" x14ac:dyDescent="0.25">
      <c r="A432" s="175"/>
      <c r="B432" s="176"/>
      <c r="C432" s="184"/>
      <c r="D432" s="185"/>
      <c r="E432" s="185"/>
      <c r="F432" s="185"/>
      <c r="G432" s="185"/>
      <c r="H432" s="185"/>
      <c r="I432" s="185"/>
      <c r="J432" s="185"/>
      <c r="K432" s="185"/>
      <c r="L432" s="185"/>
      <c r="M432" s="185"/>
      <c r="N432" s="185"/>
      <c r="O432" s="185"/>
      <c r="P432" s="179"/>
      <c r="Q432" s="169"/>
    </row>
    <row r="433" spans="1:19" s="170" customFormat="1" ht="10.5" x14ac:dyDescent="0.25">
      <c r="A433" s="175"/>
      <c r="B433" s="176" t="s">
        <v>1731</v>
      </c>
      <c r="C433" s="184"/>
      <c r="D433" s="185"/>
      <c r="E433" s="185"/>
      <c r="F433" s="185"/>
      <c r="G433" s="185"/>
      <c r="H433" s="185"/>
      <c r="I433" s="191"/>
      <c r="J433" s="185"/>
      <c r="K433" s="185"/>
      <c r="L433" s="185"/>
      <c r="M433" s="185"/>
      <c r="N433" s="185"/>
      <c r="O433" s="185">
        <f>O422</f>
        <v>33.88776943984675</v>
      </c>
      <c r="P433" s="179"/>
      <c r="Q433" s="169"/>
    </row>
    <row r="434" spans="1:19" s="170" customFormat="1" ht="10.5" x14ac:dyDescent="0.25">
      <c r="A434" s="175"/>
      <c r="B434" s="176"/>
      <c r="C434" s="184"/>
      <c r="D434" s="185"/>
      <c r="E434" s="185"/>
      <c r="F434" s="185"/>
      <c r="G434" s="185"/>
      <c r="H434" s="185"/>
      <c r="I434" s="185"/>
      <c r="J434" s="185"/>
      <c r="K434" s="185"/>
      <c r="L434" s="186"/>
      <c r="M434" s="185"/>
      <c r="N434" s="185"/>
      <c r="O434" s="185"/>
      <c r="P434" s="179"/>
      <c r="Q434" s="169"/>
    </row>
    <row r="435" spans="1:19" s="170" customFormat="1" ht="10.5" x14ac:dyDescent="0.25">
      <c r="A435" s="175"/>
      <c r="B435" s="181" t="s">
        <v>5</v>
      </c>
      <c r="C435" s="182" t="s">
        <v>1328</v>
      </c>
      <c r="D435" s="182"/>
      <c r="E435" s="182"/>
      <c r="F435" s="182"/>
      <c r="G435" s="182"/>
      <c r="H435" s="182"/>
      <c r="I435" s="182"/>
      <c r="J435" s="182"/>
      <c r="K435" s="182"/>
      <c r="L435" s="182"/>
      <c r="M435" s="182"/>
      <c r="N435" s="182"/>
      <c r="O435" s="182">
        <f>SUM(O433:O434)</f>
        <v>33.88776943984675</v>
      </c>
      <c r="P435" s="183"/>
      <c r="Q435" s="169"/>
    </row>
    <row r="436" spans="1:19" s="174" customFormat="1" ht="31.5" x14ac:dyDescent="0.25">
      <c r="A436" s="171" t="str">
        <f>ORÇAMENTO!A110</f>
        <v>4.1.1.3.4</v>
      </c>
      <c r="B436" s="172" t="str">
        <f>VLOOKUP(A436,ORÇAMENTO!A:K,4,0)</f>
        <v>TRANSPORTE COM CAMINHÃO BASCULANTE DE 14 M³, EM VIA URBANA PAVIMENTADA, DMT ATÉ 30 KM (UNIDADE: M3XKM). AF_07/2020</v>
      </c>
      <c r="C436" s="173" t="str">
        <f>VLOOKUP(A436,ORÇAMENTO!A:K,5,0)</f>
        <v>M3XKM</v>
      </c>
      <c r="D436" s="173">
        <f>SUM(E440:O440)</f>
        <v>1016.6330831954025</v>
      </c>
      <c r="E436" s="173" t="s">
        <v>1749</v>
      </c>
      <c r="F436" s="173" t="s">
        <v>1719</v>
      </c>
      <c r="G436" s="173" t="s">
        <v>1720</v>
      </c>
      <c r="H436" s="173" t="s">
        <v>1721</v>
      </c>
      <c r="I436" s="173" t="s">
        <v>1722</v>
      </c>
      <c r="J436" s="173" t="s">
        <v>1750</v>
      </c>
      <c r="K436" s="173" t="s">
        <v>1746</v>
      </c>
      <c r="L436" s="173" t="s">
        <v>1725</v>
      </c>
      <c r="M436" s="173" t="s">
        <v>1730</v>
      </c>
      <c r="N436" s="173" t="s">
        <v>1727</v>
      </c>
      <c r="O436" s="173" t="s">
        <v>1728</v>
      </c>
      <c r="P436" s="169"/>
      <c r="Q436" s="169"/>
    </row>
    <row r="437" spans="1:19" s="170" customFormat="1" ht="10.5" x14ac:dyDescent="0.25">
      <c r="A437" s="175"/>
      <c r="B437" s="176"/>
      <c r="C437" s="184"/>
      <c r="D437" s="185"/>
      <c r="E437" s="185"/>
      <c r="F437" s="185"/>
      <c r="G437" s="185"/>
      <c r="H437" s="185"/>
      <c r="I437" s="185"/>
      <c r="J437" s="185"/>
      <c r="K437" s="185"/>
      <c r="L437" s="185"/>
      <c r="M437" s="185"/>
      <c r="N437" s="185"/>
      <c r="O437" s="185"/>
      <c r="P437" s="179"/>
      <c r="Q437" s="169"/>
    </row>
    <row r="438" spans="1:19" s="170" customFormat="1" ht="10.5" x14ac:dyDescent="0.25">
      <c r="A438" s="175"/>
      <c r="B438" s="176" t="s">
        <v>1751</v>
      </c>
      <c r="C438" s="184"/>
      <c r="D438" s="185"/>
      <c r="E438" s="185">
        <v>30</v>
      </c>
      <c r="F438" s="185"/>
      <c r="G438" s="185"/>
      <c r="H438" s="185"/>
      <c r="I438" s="185"/>
      <c r="J438" s="185">
        <f>O438*E438</f>
        <v>1016.6330831954025</v>
      </c>
      <c r="K438" s="185"/>
      <c r="L438" s="185"/>
      <c r="M438" s="185"/>
      <c r="N438" s="185"/>
      <c r="O438" s="185">
        <f>O435</f>
        <v>33.88776943984675</v>
      </c>
      <c r="P438" s="179"/>
      <c r="Q438" s="169"/>
    </row>
    <row r="439" spans="1:19" s="170" customFormat="1" ht="10.5" x14ac:dyDescent="0.25">
      <c r="A439" s="175"/>
      <c r="B439" s="176"/>
      <c r="C439" s="184"/>
      <c r="D439" s="185"/>
      <c r="E439" s="185"/>
      <c r="F439" s="185"/>
      <c r="G439" s="185"/>
      <c r="H439" s="185"/>
      <c r="I439" s="185"/>
      <c r="J439" s="185"/>
      <c r="K439" s="185"/>
      <c r="L439" s="186"/>
      <c r="M439" s="185"/>
      <c r="N439" s="185"/>
      <c r="O439" s="185"/>
      <c r="P439" s="179"/>
      <c r="Q439" s="169"/>
    </row>
    <row r="440" spans="1:19" s="170" customFormat="1" ht="10.5" x14ac:dyDescent="0.25">
      <c r="A440" s="175"/>
      <c r="B440" s="181" t="s">
        <v>5</v>
      </c>
      <c r="C440" s="182" t="s">
        <v>1328</v>
      </c>
      <c r="D440" s="182"/>
      <c r="E440" s="182"/>
      <c r="F440" s="182"/>
      <c r="G440" s="182"/>
      <c r="H440" s="182"/>
      <c r="I440" s="182"/>
      <c r="J440" s="182">
        <f>SUM(J438:J439)</f>
        <v>1016.6330831954025</v>
      </c>
      <c r="K440" s="182"/>
      <c r="L440" s="182"/>
      <c r="M440" s="182"/>
      <c r="N440" s="182"/>
      <c r="O440" s="182"/>
      <c r="P440" s="183"/>
      <c r="Q440" s="169"/>
    </row>
    <row r="441" spans="1:19" s="189" customFormat="1" ht="42" x14ac:dyDescent="0.35">
      <c r="A441" s="171" t="str">
        <f>ORÇAMENTO!A111</f>
        <v>4.1.1.3.5</v>
      </c>
      <c r="B441" s="172" t="str">
        <f>VLOOKUP(A441,ORÇAMENTO!A:K,4,0)</f>
        <v>TRANSPORTE COM CAMINHÃO BASCULANTE DE 14 M³, EM VIA URBANA PAVIMENTADA, ADICIONAL PARA DMT EXCEDENTE A 30 KM (UNIDADE: M3XKM). AF_07/2020</v>
      </c>
      <c r="C441" s="173" t="str">
        <f>VLOOKUP(A441,ORÇAMENTO!A:K,5,0)</f>
        <v>M3XKM</v>
      </c>
      <c r="D441" s="173">
        <f>SUM(E444:O444)</f>
        <v>1518.1720709051342</v>
      </c>
      <c r="E441" s="173" t="s">
        <v>1752</v>
      </c>
      <c r="F441" s="173" t="s">
        <v>1719</v>
      </c>
      <c r="G441" s="173" t="s">
        <v>1720</v>
      </c>
      <c r="H441" s="173" t="s">
        <v>1721</v>
      </c>
      <c r="I441" s="173" t="s">
        <v>1722</v>
      </c>
      <c r="J441" s="173" t="s">
        <v>1723</v>
      </c>
      <c r="K441" s="173" t="s">
        <v>1746</v>
      </c>
      <c r="L441" s="173" t="s">
        <v>1753</v>
      </c>
      <c r="M441" s="173" t="s">
        <v>1750</v>
      </c>
      <c r="N441" s="173" t="s">
        <v>1727</v>
      </c>
      <c r="O441" s="173" t="s">
        <v>1728</v>
      </c>
      <c r="P441" s="169"/>
      <c r="Q441" s="169"/>
      <c r="R441" s="169"/>
      <c r="S441" s="169"/>
    </row>
    <row r="442" spans="1:19" s="170" customFormat="1" ht="10.5" x14ac:dyDescent="0.25">
      <c r="A442" s="175"/>
      <c r="B442" s="176" t="s">
        <v>1751</v>
      </c>
      <c r="C442" s="177"/>
      <c r="D442" s="178"/>
      <c r="E442" s="178">
        <f>74.8-E438</f>
        <v>44.8</v>
      </c>
      <c r="F442" s="178"/>
      <c r="G442" s="178"/>
      <c r="H442" s="178"/>
      <c r="I442" s="178"/>
      <c r="J442" s="178"/>
      <c r="K442" s="178"/>
      <c r="L442" s="190"/>
      <c r="M442" s="178">
        <f>E442*O442</f>
        <v>1518.1720709051342</v>
      </c>
      <c r="N442" s="178"/>
      <c r="O442" s="178">
        <f>O438</f>
        <v>33.88776943984675</v>
      </c>
      <c r="P442" s="179"/>
      <c r="Q442" s="169"/>
    </row>
    <row r="443" spans="1:19" s="170" customFormat="1" ht="10.5" x14ac:dyDescent="0.25">
      <c r="A443" s="175"/>
      <c r="B443" s="176"/>
      <c r="C443" s="177"/>
      <c r="D443" s="178"/>
      <c r="E443" s="178"/>
      <c r="F443" s="178"/>
      <c r="G443" s="178"/>
      <c r="H443" s="178"/>
      <c r="I443" s="178"/>
      <c r="J443" s="178"/>
      <c r="K443" s="178"/>
      <c r="L443" s="190"/>
      <c r="M443" s="178"/>
      <c r="N443" s="178"/>
      <c r="O443" s="178"/>
      <c r="P443" s="179"/>
      <c r="Q443" s="169"/>
    </row>
    <row r="444" spans="1:19" s="170" customFormat="1" ht="10.5" x14ac:dyDescent="0.25">
      <c r="A444" s="175"/>
      <c r="B444" s="181" t="s">
        <v>5</v>
      </c>
      <c r="C444" s="182" t="s">
        <v>1328</v>
      </c>
      <c r="D444" s="182"/>
      <c r="E444" s="182"/>
      <c r="F444" s="182"/>
      <c r="G444" s="182"/>
      <c r="H444" s="182"/>
      <c r="I444" s="182"/>
      <c r="J444" s="182"/>
      <c r="K444" s="182"/>
      <c r="L444" s="182"/>
      <c r="M444" s="182">
        <f>SUM(M442)</f>
        <v>1518.1720709051342</v>
      </c>
      <c r="N444" s="182"/>
      <c r="O444" s="182"/>
      <c r="P444" s="183"/>
      <c r="Q444" s="169"/>
    </row>
    <row r="445" spans="1:19" s="174" customFormat="1" ht="31.5" x14ac:dyDescent="0.25">
      <c r="A445" s="171" t="str">
        <f>ORÇAMENTO!A113</f>
        <v>4.1.1.4.1</v>
      </c>
      <c r="B445" s="172" t="str">
        <f>VLOOKUP(A445,ORÇAMENTO!A:K,4,0)</f>
        <v>DEMOLICAO MECANICA DE CONCRETO SIMPLES C/ COMPRESSOR E MARTELETE PNEUMATICO INCL. REMOCAO ECARREG. MANUAL DO EXPURGO</v>
      </c>
      <c r="C445" s="173" t="str">
        <f>VLOOKUP(A445,ORÇAMENTO!A:K,5,0)</f>
        <v>M³</v>
      </c>
      <c r="D445" s="173">
        <f>SUM(E449:O449)</f>
        <v>244.23790377722153</v>
      </c>
      <c r="E445" s="173" t="s">
        <v>1718</v>
      </c>
      <c r="F445" s="173" t="s">
        <v>1719</v>
      </c>
      <c r="G445" s="173" t="s">
        <v>1720</v>
      </c>
      <c r="H445" s="173" t="s">
        <v>1721</v>
      </c>
      <c r="I445" s="173" t="s">
        <v>1722</v>
      </c>
      <c r="J445" s="173" t="s">
        <v>1723</v>
      </c>
      <c r="K445" s="173" t="s">
        <v>1724</v>
      </c>
      <c r="L445" s="173" t="s">
        <v>1725</v>
      </c>
      <c r="M445" s="173" t="s">
        <v>1730</v>
      </c>
      <c r="N445" s="173" t="s">
        <v>1727</v>
      </c>
      <c r="O445" s="173" t="s">
        <v>1728</v>
      </c>
      <c r="P445" s="169"/>
      <c r="Q445" s="169"/>
    </row>
    <row r="446" spans="1:19" s="170" customFormat="1" ht="10.5" x14ac:dyDescent="0.25">
      <c r="A446" s="175"/>
      <c r="B446" s="176"/>
      <c r="C446" s="184"/>
      <c r="D446" s="185"/>
      <c r="E446" s="185"/>
      <c r="F446" s="185"/>
      <c r="G446" s="185"/>
      <c r="H446" s="185"/>
      <c r="I446" s="185"/>
      <c r="J446" s="185"/>
      <c r="K446" s="185"/>
      <c r="L446" s="185"/>
      <c r="M446" s="185"/>
      <c r="N446" s="185"/>
      <c r="O446" s="185"/>
      <c r="P446" s="179"/>
      <c r="Q446" s="169"/>
    </row>
    <row r="447" spans="1:19" s="170" customFormat="1" ht="10.5" x14ac:dyDescent="0.25">
      <c r="A447" s="175"/>
      <c r="B447" s="176" t="s">
        <v>1731</v>
      </c>
      <c r="C447" s="184"/>
      <c r="D447" s="185"/>
      <c r="E447" s="185"/>
      <c r="F447" s="185"/>
      <c r="G447" s="185"/>
      <c r="H447" s="185"/>
      <c r="I447" s="185"/>
      <c r="J447" s="185"/>
      <c r="K447" s="185"/>
      <c r="L447" s="185"/>
      <c r="M447" s="185"/>
      <c r="N447" s="185"/>
      <c r="O447" s="185">
        <f>'Planilha Hidráulica'!Z37</f>
        <v>244.23790377722153</v>
      </c>
      <c r="P447" s="179"/>
      <c r="Q447" s="169"/>
    </row>
    <row r="448" spans="1:19" s="170" customFormat="1" ht="10.5" x14ac:dyDescent="0.25">
      <c r="A448" s="175"/>
      <c r="B448" s="176"/>
      <c r="C448" s="184"/>
      <c r="D448" s="185"/>
      <c r="E448" s="185"/>
      <c r="F448" s="185"/>
      <c r="G448" s="185"/>
      <c r="H448" s="185"/>
      <c r="I448" s="185"/>
      <c r="J448" s="185"/>
      <c r="K448" s="185"/>
      <c r="L448" s="186"/>
      <c r="M448" s="185"/>
      <c r="N448" s="185"/>
      <c r="O448" s="185"/>
      <c r="P448" s="179"/>
      <c r="Q448" s="169"/>
    </row>
    <row r="449" spans="1:19" s="170" customFormat="1" ht="10.5" x14ac:dyDescent="0.25">
      <c r="A449" s="175"/>
      <c r="B449" s="181" t="s">
        <v>5</v>
      </c>
      <c r="C449" s="182" t="s">
        <v>1328</v>
      </c>
      <c r="D449" s="182"/>
      <c r="E449" s="182"/>
      <c r="F449" s="182"/>
      <c r="G449" s="182"/>
      <c r="H449" s="182"/>
      <c r="I449" s="182"/>
      <c r="J449" s="182"/>
      <c r="K449" s="182"/>
      <c r="L449" s="182"/>
      <c r="M449" s="182"/>
      <c r="N449" s="182"/>
      <c r="O449" s="182">
        <f>SUM(O447:O448)</f>
        <v>244.23790377722153</v>
      </c>
      <c r="P449" s="183"/>
      <c r="Q449" s="169"/>
    </row>
    <row r="450" spans="1:19" s="174" customFormat="1" ht="52.5" x14ac:dyDescent="0.25">
      <c r="A450" s="171" t="str">
        <f>ORÇAMENTO!A114</f>
        <v>4.1.1.4.2</v>
      </c>
      <c r="B450" s="172" t="str">
        <f>VLOOKUP(A450,ORÇAMENTO!A:K,4,0)</f>
        <v>CARGA, MANOBRA E DESCARGA DE ENTULHO EM CAMINHÃO BASCULANTE 14 M³ - CARGA COM ESCAVADEIRA HIDRÁULICA  (CAÇAMBA DE 0,80 M³ / 111 HP) E DESCARGA LIVRE (UNIDADE: M3). AF_07/2020</v>
      </c>
      <c r="C450" s="173" t="str">
        <f>VLOOKUP(A450,ORÇAMENTO!A:K,5,0)</f>
        <v>M³</v>
      </c>
      <c r="D450" s="173">
        <f>SUM(E454:O454)</f>
        <v>244.23790377722153</v>
      </c>
      <c r="E450" s="173" t="s">
        <v>1718</v>
      </c>
      <c r="F450" s="173" t="s">
        <v>1719</v>
      </c>
      <c r="G450" s="173" t="s">
        <v>1720</v>
      </c>
      <c r="H450" s="173" t="s">
        <v>1721</v>
      </c>
      <c r="I450" s="173" t="s">
        <v>1722</v>
      </c>
      <c r="J450" s="173" t="s">
        <v>1723</v>
      </c>
      <c r="K450" s="173" t="s">
        <v>1746</v>
      </c>
      <c r="L450" s="173" t="s">
        <v>1756</v>
      </c>
      <c r="M450" s="173" t="s">
        <v>1730</v>
      </c>
      <c r="N450" s="173" t="s">
        <v>1727</v>
      </c>
      <c r="O450" s="173" t="s">
        <v>1728</v>
      </c>
      <c r="P450" s="169"/>
      <c r="Q450" s="169"/>
    </row>
    <row r="451" spans="1:19" s="170" customFormat="1" ht="10.5" x14ac:dyDescent="0.25">
      <c r="A451" s="175"/>
      <c r="B451" s="176"/>
      <c r="C451" s="184"/>
      <c r="D451" s="185"/>
      <c r="E451" s="185"/>
      <c r="F451" s="185"/>
      <c r="G451" s="185"/>
      <c r="H451" s="185"/>
      <c r="I451" s="185"/>
      <c r="J451" s="185"/>
      <c r="K451" s="185"/>
      <c r="L451" s="185"/>
      <c r="M451" s="185"/>
      <c r="N451" s="185"/>
      <c r="O451" s="185"/>
      <c r="P451" s="179"/>
      <c r="Q451" s="169"/>
    </row>
    <row r="452" spans="1:19" s="170" customFormat="1" ht="10.5" x14ac:dyDescent="0.25">
      <c r="A452" s="175"/>
      <c r="B452" s="176" t="s">
        <v>1731</v>
      </c>
      <c r="C452" s="184"/>
      <c r="D452" s="185"/>
      <c r="E452" s="185"/>
      <c r="F452" s="185"/>
      <c r="G452" s="185"/>
      <c r="H452" s="185"/>
      <c r="I452" s="185"/>
      <c r="J452" s="185"/>
      <c r="K452" s="185"/>
      <c r="L452" s="185"/>
      <c r="M452" s="185"/>
      <c r="N452" s="185"/>
      <c r="O452" s="185">
        <f>O449</f>
        <v>244.23790377722153</v>
      </c>
      <c r="P452" s="179"/>
      <c r="Q452" s="169"/>
    </row>
    <row r="453" spans="1:19" s="170" customFormat="1" ht="10.5" x14ac:dyDescent="0.25">
      <c r="A453" s="175"/>
      <c r="B453" s="176"/>
      <c r="C453" s="184"/>
      <c r="D453" s="185"/>
      <c r="E453" s="185"/>
      <c r="F453" s="185"/>
      <c r="G453" s="185"/>
      <c r="H453" s="185"/>
      <c r="I453" s="185"/>
      <c r="J453" s="185"/>
      <c r="K453" s="185"/>
      <c r="L453" s="186"/>
      <c r="M453" s="185"/>
      <c r="N453" s="185"/>
      <c r="O453" s="185"/>
      <c r="P453" s="179"/>
      <c r="Q453" s="169"/>
    </row>
    <row r="454" spans="1:19" s="170" customFormat="1" ht="10.5" x14ac:dyDescent="0.25">
      <c r="A454" s="175"/>
      <c r="B454" s="181" t="s">
        <v>5</v>
      </c>
      <c r="C454" s="182" t="s">
        <v>1328</v>
      </c>
      <c r="D454" s="182"/>
      <c r="E454" s="182"/>
      <c r="F454" s="182"/>
      <c r="G454" s="182"/>
      <c r="H454" s="182"/>
      <c r="I454" s="182"/>
      <c r="J454" s="182"/>
      <c r="K454" s="182"/>
      <c r="L454" s="182"/>
      <c r="M454" s="182"/>
      <c r="N454" s="182"/>
      <c r="O454" s="182">
        <f>SUM(O452:O453)</f>
        <v>244.23790377722153</v>
      </c>
      <c r="P454" s="183"/>
      <c r="Q454" s="169"/>
    </row>
    <row r="455" spans="1:19" s="174" customFormat="1" ht="31.5" x14ac:dyDescent="0.25">
      <c r="A455" s="171" t="str">
        <f>ORÇAMENTO!A115</f>
        <v>4.1.1.4.3</v>
      </c>
      <c r="B455" s="172" t="str">
        <f>VLOOKUP(A455,ORÇAMENTO!A:K,4,0)</f>
        <v>TRANSPORTE COM CAMINHÃO BASCULANTE DE 14 M³, EM VIA URBANA PAVIMENTADA, DMT ATÉ 30 KM (UNIDADE: M3XKM). AF_07/2020</v>
      </c>
      <c r="C455" s="173" t="str">
        <f>VLOOKUP(A455,ORÇAMENTO!A:K,5,0)</f>
        <v>M3XKM</v>
      </c>
      <c r="D455" s="173">
        <f>SUM(E459:O459)</f>
        <v>7327.1371133166458</v>
      </c>
      <c r="E455" s="173" t="s">
        <v>1749</v>
      </c>
      <c r="F455" s="173" t="s">
        <v>1719</v>
      </c>
      <c r="G455" s="173" t="s">
        <v>1720</v>
      </c>
      <c r="H455" s="173" t="s">
        <v>1721</v>
      </c>
      <c r="I455" s="173" t="s">
        <v>1722</v>
      </c>
      <c r="J455" s="173" t="s">
        <v>1750</v>
      </c>
      <c r="K455" s="173" t="s">
        <v>1746</v>
      </c>
      <c r="L455" s="173" t="s">
        <v>1725</v>
      </c>
      <c r="M455" s="173" t="s">
        <v>1730</v>
      </c>
      <c r="N455" s="173" t="s">
        <v>1727</v>
      </c>
      <c r="O455" s="173" t="s">
        <v>1728</v>
      </c>
      <c r="P455" s="169"/>
      <c r="Q455" s="169"/>
    </row>
    <row r="456" spans="1:19" s="170" customFormat="1" ht="10.5" x14ac:dyDescent="0.25">
      <c r="A456" s="175"/>
      <c r="B456" s="176"/>
      <c r="C456" s="184"/>
      <c r="D456" s="185"/>
      <c r="E456" s="185"/>
      <c r="F456" s="185"/>
      <c r="G456" s="185"/>
      <c r="H456" s="185"/>
      <c r="I456" s="185"/>
      <c r="J456" s="185"/>
      <c r="K456" s="185"/>
      <c r="L456" s="185"/>
      <c r="M456" s="185"/>
      <c r="N456" s="185"/>
      <c r="O456" s="185"/>
      <c r="P456" s="179"/>
      <c r="Q456" s="169"/>
    </row>
    <row r="457" spans="1:19" s="170" customFormat="1" ht="21" x14ac:dyDescent="0.25">
      <c r="A457" s="175"/>
      <c r="B457" s="176" t="s">
        <v>1757</v>
      </c>
      <c r="C457" s="184"/>
      <c r="D457" s="185"/>
      <c r="E457" s="185">
        <v>30</v>
      </c>
      <c r="F457" s="185"/>
      <c r="G457" s="185"/>
      <c r="H457" s="185"/>
      <c r="I457" s="185"/>
      <c r="J457" s="185">
        <f>O457*E457</f>
        <v>7327.1371133166458</v>
      </c>
      <c r="K457" s="185"/>
      <c r="L457" s="185"/>
      <c r="M457" s="185"/>
      <c r="N457" s="185"/>
      <c r="O457" s="185">
        <f>O454</f>
        <v>244.23790377722153</v>
      </c>
      <c r="P457" s="179"/>
      <c r="Q457" s="169"/>
    </row>
    <row r="458" spans="1:19" s="170" customFormat="1" ht="10.5" x14ac:dyDescent="0.25">
      <c r="A458" s="175"/>
      <c r="B458" s="176"/>
      <c r="C458" s="184"/>
      <c r="D458" s="185"/>
      <c r="E458" s="185"/>
      <c r="F458" s="185"/>
      <c r="G458" s="185"/>
      <c r="H458" s="185"/>
      <c r="I458" s="185"/>
      <c r="J458" s="185"/>
      <c r="K458" s="185"/>
      <c r="L458" s="186"/>
      <c r="M458" s="185"/>
      <c r="N458" s="185"/>
      <c r="O458" s="185"/>
      <c r="P458" s="179"/>
      <c r="Q458" s="169"/>
    </row>
    <row r="459" spans="1:19" s="170" customFormat="1" ht="10.5" x14ac:dyDescent="0.25">
      <c r="A459" s="175"/>
      <c r="B459" s="181" t="s">
        <v>5</v>
      </c>
      <c r="C459" s="182" t="s">
        <v>1328</v>
      </c>
      <c r="D459" s="182"/>
      <c r="E459" s="182"/>
      <c r="F459" s="182"/>
      <c r="G459" s="182"/>
      <c r="H459" s="182"/>
      <c r="I459" s="182"/>
      <c r="J459" s="182">
        <f>SUM(J457:J458)</f>
        <v>7327.1371133166458</v>
      </c>
      <c r="K459" s="182"/>
      <c r="L459" s="182"/>
      <c r="M459" s="182"/>
      <c r="N459" s="182"/>
      <c r="O459" s="182"/>
      <c r="P459" s="183"/>
      <c r="Q459" s="169"/>
    </row>
    <row r="460" spans="1:19" s="189" customFormat="1" ht="42" x14ac:dyDescent="0.35">
      <c r="A460" s="171" t="str">
        <f>ORÇAMENTO!A116</f>
        <v>4.1.1.4.4</v>
      </c>
      <c r="B460" s="172" t="str">
        <f>VLOOKUP(A460,ORÇAMENTO!A:K,4,0)</f>
        <v>TRANSPORTE COM CAMINHÃO BASCULANTE DE 14 M³, EM VIA URBANA PAVIMENTADA, ADICIONAL PARA DMT EXCEDENTE A 30 KM (UNIDADE: M3XKM). AF_07/2020</v>
      </c>
      <c r="C460" s="173" t="str">
        <f>VLOOKUP(A460,ORÇAMENTO!A:K,5,0)</f>
        <v>M3XKM</v>
      </c>
      <c r="D460" s="173">
        <f>SUM(E463:O463)</f>
        <v>10941.858089219524</v>
      </c>
      <c r="E460" s="173" t="s">
        <v>1752</v>
      </c>
      <c r="F460" s="173" t="s">
        <v>1719</v>
      </c>
      <c r="G460" s="173" t="s">
        <v>1720</v>
      </c>
      <c r="H460" s="173" t="s">
        <v>1721</v>
      </c>
      <c r="I460" s="173" t="s">
        <v>1722</v>
      </c>
      <c r="J460" s="173" t="s">
        <v>1723</v>
      </c>
      <c r="K460" s="173" t="s">
        <v>1746</v>
      </c>
      <c r="L460" s="173" t="s">
        <v>1753</v>
      </c>
      <c r="M460" s="173" t="s">
        <v>1750</v>
      </c>
      <c r="N460" s="173" t="s">
        <v>1727</v>
      </c>
      <c r="O460" s="173" t="s">
        <v>1728</v>
      </c>
      <c r="P460" s="169"/>
      <c r="Q460" s="169"/>
      <c r="R460" s="169"/>
      <c r="S460" s="169"/>
    </row>
    <row r="461" spans="1:19" s="170" customFormat="1" ht="21" x14ac:dyDescent="0.25">
      <c r="A461" s="175"/>
      <c r="B461" s="176" t="s">
        <v>1757</v>
      </c>
      <c r="C461" s="177"/>
      <c r="D461" s="178"/>
      <c r="E461" s="178">
        <f>74.8-E457</f>
        <v>44.8</v>
      </c>
      <c r="F461" s="178"/>
      <c r="G461" s="178"/>
      <c r="H461" s="178"/>
      <c r="I461" s="178"/>
      <c r="J461" s="178"/>
      <c r="K461" s="178"/>
      <c r="L461" s="190"/>
      <c r="M461" s="178">
        <f>E461*O461</f>
        <v>10941.858089219524</v>
      </c>
      <c r="N461" s="178"/>
      <c r="O461" s="178">
        <f>O457</f>
        <v>244.23790377722153</v>
      </c>
      <c r="P461" s="179"/>
      <c r="Q461" s="169"/>
    </row>
    <row r="462" spans="1:19" s="170" customFormat="1" ht="10.5" x14ac:dyDescent="0.25">
      <c r="A462" s="175"/>
      <c r="B462" s="176"/>
      <c r="C462" s="177"/>
      <c r="D462" s="178"/>
      <c r="E462" s="178"/>
      <c r="F462" s="178">
        <f>35*0.96</f>
        <v>33.6</v>
      </c>
      <c r="G462" s="178"/>
      <c r="H462" s="178"/>
      <c r="I462" s="178"/>
      <c r="J462" s="178"/>
      <c r="K462" s="178"/>
      <c r="L462" s="190"/>
      <c r="M462" s="178"/>
      <c r="N462" s="178"/>
      <c r="O462" s="178"/>
      <c r="P462" s="179"/>
      <c r="Q462" s="169"/>
    </row>
    <row r="463" spans="1:19" s="170" customFormat="1" ht="10.5" x14ac:dyDescent="0.25">
      <c r="A463" s="175"/>
      <c r="B463" s="181" t="s">
        <v>5</v>
      </c>
      <c r="C463" s="182" t="s">
        <v>1328</v>
      </c>
      <c r="D463" s="182"/>
      <c r="E463" s="182"/>
      <c r="F463" s="182"/>
      <c r="G463" s="182"/>
      <c r="H463" s="182"/>
      <c r="I463" s="182"/>
      <c r="J463" s="182"/>
      <c r="K463" s="182"/>
      <c r="L463" s="182"/>
      <c r="M463" s="182">
        <f>SUM(M461)</f>
        <v>10941.858089219524</v>
      </c>
      <c r="N463" s="182"/>
      <c r="O463" s="182"/>
      <c r="P463" s="183"/>
      <c r="Q463" s="169"/>
    </row>
    <row r="464" spans="1:19" s="189" customFormat="1" x14ac:dyDescent="0.35">
      <c r="A464" s="171"/>
      <c r="B464" s="172" t="str">
        <f>ORÇAMENTO!D117</f>
        <v>DEMOLIÇÕES DE PASSEIOS E MEIO-FIO</v>
      </c>
      <c r="C464" s="173"/>
      <c r="D464" s="173"/>
      <c r="E464" s="173"/>
      <c r="F464" s="173"/>
      <c r="G464" s="173"/>
      <c r="H464" s="173"/>
      <c r="I464" s="173"/>
      <c r="J464" s="173"/>
      <c r="K464" s="173"/>
      <c r="L464" s="173"/>
      <c r="M464" s="173"/>
      <c r="N464" s="173"/>
      <c r="O464" s="173"/>
      <c r="P464" s="169"/>
      <c r="Q464" s="169"/>
      <c r="R464" s="169"/>
      <c r="S464" s="169"/>
    </row>
    <row r="465" spans="1:19" s="189" customFormat="1" ht="52.5" x14ac:dyDescent="0.35">
      <c r="A465" s="171" t="str">
        <f>ORÇAMENTO!A118</f>
        <v>4.1.1.5.1</v>
      </c>
      <c r="B465" s="172" t="str">
        <f>VLOOKUP(A465,ORÇAMENTO!A:K,4,0)</f>
        <v>DEMOLICAO COM EQUIPAMENTO DE AR COMPRIMIDO,DE PASSEIO CIMENT ADO COM ESPESSURA ATE 10CM,INCLUSIVE EMPILHAMENTO LATERAL DE NTRO DO CANTEIRO DE SERVICO 3%-DESGASTE DE FERRAMENTAS E EPI</v>
      </c>
      <c r="C465" s="173" t="str">
        <f>VLOOKUP(A465,ORÇAMENTO!A:K,5,0)</f>
        <v>M2</v>
      </c>
      <c r="D465" s="173">
        <f>SUM(E482:O482)</f>
        <v>325.26479999999992</v>
      </c>
      <c r="E465" s="173" t="s">
        <v>1718</v>
      </c>
      <c r="F465" s="173" t="s">
        <v>1719</v>
      </c>
      <c r="G465" s="173" t="s">
        <v>1720</v>
      </c>
      <c r="H465" s="173" t="s">
        <v>1721</v>
      </c>
      <c r="I465" s="173" t="s">
        <v>1722</v>
      </c>
      <c r="J465" s="173" t="s">
        <v>1723</v>
      </c>
      <c r="K465" s="173" t="s">
        <v>1758</v>
      </c>
      <c r="L465" s="173" t="s">
        <v>1753</v>
      </c>
      <c r="M465" s="173" t="s">
        <v>1750</v>
      </c>
      <c r="N465" s="173" t="s">
        <v>1727</v>
      </c>
      <c r="O465" s="173" t="s">
        <v>1728</v>
      </c>
      <c r="P465" s="169"/>
      <c r="Q465" s="169"/>
      <c r="R465" s="169"/>
      <c r="S465" s="169"/>
    </row>
    <row r="466" spans="1:19" s="170" customFormat="1" ht="31.5" x14ac:dyDescent="0.25">
      <c r="A466" s="175"/>
      <c r="B466" s="176" t="s">
        <v>1759</v>
      </c>
      <c r="C466" s="177"/>
      <c r="D466" s="178"/>
      <c r="E466" s="178"/>
      <c r="F466" s="178"/>
      <c r="G466" s="178"/>
      <c r="H466" s="178"/>
      <c r="I466" s="178"/>
      <c r="J466" s="178"/>
      <c r="K466" s="178"/>
      <c r="L466" s="190"/>
      <c r="M466" s="178"/>
      <c r="N466" s="178"/>
      <c r="O466" s="178"/>
      <c r="P466" s="179"/>
      <c r="Q466" s="169"/>
    </row>
    <row r="467" spans="1:19" s="170" customFormat="1" ht="10.5" x14ac:dyDescent="0.25">
      <c r="A467" s="175"/>
      <c r="B467" s="181" t="s">
        <v>1760</v>
      </c>
      <c r="C467" s="177"/>
      <c r="D467" s="178"/>
      <c r="E467" s="178"/>
      <c r="F467" s="178"/>
      <c r="G467" s="178"/>
      <c r="H467" s="178"/>
      <c r="I467" s="178"/>
      <c r="J467" s="178"/>
      <c r="K467" s="178"/>
      <c r="L467" s="190"/>
      <c r="M467" s="178"/>
      <c r="N467" s="178"/>
      <c r="O467" s="178"/>
      <c r="P467" s="179"/>
      <c r="Q467" s="169"/>
    </row>
    <row r="468" spans="1:19" s="170" customFormat="1" ht="21" x14ac:dyDescent="0.25">
      <c r="A468" s="175"/>
      <c r="B468" s="176" t="s">
        <v>1405</v>
      </c>
      <c r="C468" s="177"/>
      <c r="D468" s="178"/>
      <c r="E468" s="178">
        <f>2.38+0.5</f>
        <v>2.88</v>
      </c>
      <c r="F468" s="178">
        <f>1.18+0.5</f>
        <v>1.68</v>
      </c>
      <c r="G468" s="178"/>
      <c r="H468" s="178">
        <v>7.0000000000000007E-2</v>
      </c>
      <c r="I468" s="178"/>
      <c r="J468" s="178"/>
      <c r="K468" s="178">
        <f>'BOCA DE LOBO'!O3</f>
        <v>3</v>
      </c>
      <c r="L468" s="190"/>
      <c r="M468" s="178"/>
      <c r="N468" s="178">
        <f t="shared" ref="N468:N479" si="0">E468*F468*K468</f>
        <v>14.5152</v>
      </c>
      <c r="O468" s="178">
        <f t="shared" ref="O468:O479" si="1">E468*F468*H468*K468</f>
        <v>1.0160640000000001</v>
      </c>
      <c r="P468" s="179"/>
      <c r="Q468" s="169"/>
    </row>
    <row r="469" spans="1:19" s="170" customFormat="1" ht="21" x14ac:dyDescent="0.25">
      <c r="A469" s="175"/>
      <c r="B469" s="176" t="s">
        <v>1410</v>
      </c>
      <c r="C469" s="177"/>
      <c r="D469" s="178"/>
      <c r="E469" s="178">
        <f>1.19+0.5</f>
        <v>1.69</v>
      </c>
      <c r="F469" s="178">
        <f>1.18+0.5</f>
        <v>1.68</v>
      </c>
      <c r="G469" s="178"/>
      <c r="H469" s="178">
        <v>7.0000000000000007E-2</v>
      </c>
      <c r="I469" s="178"/>
      <c r="J469" s="178"/>
      <c r="K469" s="178">
        <f>'BOCA DE LOBO'!O4</f>
        <v>1</v>
      </c>
      <c r="L469" s="190"/>
      <c r="M469" s="178"/>
      <c r="N469" s="178">
        <f t="shared" si="0"/>
        <v>2.8391999999999999</v>
      </c>
      <c r="O469" s="178">
        <f t="shared" si="1"/>
        <v>0.198744</v>
      </c>
      <c r="P469" s="179"/>
      <c r="Q469" s="169"/>
    </row>
    <row r="470" spans="1:19" s="170" customFormat="1" ht="21" x14ac:dyDescent="0.25">
      <c r="A470" s="175"/>
      <c r="B470" s="176" t="s">
        <v>1413</v>
      </c>
      <c r="C470" s="177"/>
      <c r="D470" s="178"/>
      <c r="E470" s="178">
        <f>3.54+0.5</f>
        <v>4.04</v>
      </c>
      <c r="F470" s="178">
        <f t="shared" ref="F470:F480" si="2">1.18+0.5</f>
        <v>1.68</v>
      </c>
      <c r="G470" s="178"/>
      <c r="H470" s="178">
        <v>7.0000000000000007E-2</v>
      </c>
      <c r="I470" s="178"/>
      <c r="J470" s="178"/>
      <c r="K470" s="178">
        <f>'BOCA DE LOBO'!O5</f>
        <v>0</v>
      </c>
      <c r="L470" s="190"/>
      <c r="M470" s="178"/>
      <c r="N470" s="178">
        <f t="shared" si="0"/>
        <v>0</v>
      </c>
      <c r="O470" s="178">
        <f t="shared" si="1"/>
        <v>0</v>
      </c>
      <c r="P470" s="179"/>
      <c r="Q470" s="169"/>
    </row>
    <row r="471" spans="1:19" s="170" customFormat="1" ht="21" x14ac:dyDescent="0.25">
      <c r="A471" s="175"/>
      <c r="B471" s="176" t="s">
        <v>1415</v>
      </c>
      <c r="C471" s="177"/>
      <c r="D471" s="178"/>
      <c r="E471" s="178">
        <f>1.19+0.5</f>
        <v>1.69</v>
      </c>
      <c r="F471" s="178">
        <f t="shared" si="2"/>
        <v>1.68</v>
      </c>
      <c r="G471" s="178"/>
      <c r="H471" s="178">
        <v>7.0000000000000007E-2</v>
      </c>
      <c r="I471" s="178"/>
      <c r="J471" s="178"/>
      <c r="K471" s="178">
        <f>'BOCA DE LOBO'!O6</f>
        <v>10</v>
      </c>
      <c r="L471" s="190"/>
      <c r="M471" s="178"/>
      <c r="N471" s="178">
        <f t="shared" si="0"/>
        <v>28.391999999999999</v>
      </c>
      <c r="O471" s="178">
        <f t="shared" si="1"/>
        <v>1.9874400000000001</v>
      </c>
      <c r="P471" s="179"/>
      <c r="Q471" s="169"/>
    </row>
    <row r="472" spans="1:19" s="170" customFormat="1" ht="21" x14ac:dyDescent="0.25">
      <c r="A472" s="175"/>
      <c r="B472" s="176" t="s">
        <v>1418</v>
      </c>
      <c r="C472" s="177"/>
      <c r="D472" s="178"/>
      <c r="E472" s="178">
        <f>2.38+0.5</f>
        <v>2.88</v>
      </c>
      <c r="F472" s="178">
        <f t="shared" si="2"/>
        <v>1.68</v>
      </c>
      <c r="G472" s="178"/>
      <c r="H472" s="178">
        <v>7.0000000000000007E-2</v>
      </c>
      <c r="I472" s="178"/>
      <c r="J472" s="178"/>
      <c r="K472" s="178">
        <f>'BOCA DE LOBO'!O7</f>
        <v>2</v>
      </c>
      <c r="L472" s="190"/>
      <c r="M472" s="178"/>
      <c r="N472" s="178">
        <f t="shared" si="0"/>
        <v>9.6768000000000001</v>
      </c>
      <c r="O472" s="178">
        <f t="shared" si="1"/>
        <v>0.67737600000000009</v>
      </c>
      <c r="P472" s="179"/>
      <c r="Q472" s="169"/>
    </row>
    <row r="473" spans="1:19" s="170" customFormat="1" ht="21" x14ac:dyDescent="0.25">
      <c r="A473" s="175"/>
      <c r="B473" s="176" t="s">
        <v>1416</v>
      </c>
      <c r="C473" s="177"/>
      <c r="D473" s="178"/>
      <c r="E473" s="178">
        <f>3.54+0.5</f>
        <v>4.04</v>
      </c>
      <c r="F473" s="178">
        <f t="shared" si="2"/>
        <v>1.68</v>
      </c>
      <c r="G473" s="178"/>
      <c r="H473" s="178">
        <v>7.0000000000000007E-2</v>
      </c>
      <c r="I473" s="178"/>
      <c r="J473" s="178"/>
      <c r="K473" s="178">
        <f>'BOCA DE LOBO'!O8</f>
        <v>0</v>
      </c>
      <c r="L473" s="190"/>
      <c r="M473" s="178"/>
      <c r="N473" s="178">
        <f t="shared" si="0"/>
        <v>0</v>
      </c>
      <c r="O473" s="178">
        <f t="shared" si="1"/>
        <v>0</v>
      </c>
      <c r="P473" s="179"/>
      <c r="Q473" s="169"/>
    </row>
    <row r="474" spans="1:19" s="170" customFormat="1" ht="21" x14ac:dyDescent="0.25">
      <c r="A474" s="175"/>
      <c r="B474" s="176" t="s">
        <v>1420</v>
      </c>
      <c r="C474" s="177"/>
      <c r="D474" s="178"/>
      <c r="E474" s="178">
        <f>1.19+0.5</f>
        <v>1.69</v>
      </c>
      <c r="F474" s="178">
        <f t="shared" si="2"/>
        <v>1.68</v>
      </c>
      <c r="G474" s="178"/>
      <c r="H474" s="178">
        <v>7.0000000000000007E-2</v>
      </c>
      <c r="I474" s="178"/>
      <c r="J474" s="178"/>
      <c r="K474" s="178">
        <f>'BOCA DE LOBO'!O9</f>
        <v>0</v>
      </c>
      <c r="L474" s="190"/>
      <c r="M474" s="178"/>
      <c r="N474" s="178">
        <f t="shared" si="0"/>
        <v>0</v>
      </c>
      <c r="O474" s="178">
        <f t="shared" si="1"/>
        <v>0</v>
      </c>
      <c r="P474" s="179"/>
      <c r="Q474" s="169"/>
    </row>
    <row r="475" spans="1:19" s="170" customFormat="1" ht="21" x14ac:dyDescent="0.25">
      <c r="A475" s="175"/>
      <c r="B475" s="176" t="s">
        <v>1424</v>
      </c>
      <c r="C475" s="177"/>
      <c r="D475" s="178"/>
      <c r="E475" s="178">
        <f>2.38+0.5</f>
        <v>2.88</v>
      </c>
      <c r="F475" s="178">
        <f t="shared" si="2"/>
        <v>1.68</v>
      </c>
      <c r="G475" s="178"/>
      <c r="H475" s="178">
        <v>7.0000000000000007E-2</v>
      </c>
      <c r="I475" s="178"/>
      <c r="J475" s="178"/>
      <c r="K475" s="178">
        <f>'BOCA DE LOBO'!O10</f>
        <v>0</v>
      </c>
      <c r="L475" s="190"/>
      <c r="M475" s="178"/>
      <c r="N475" s="178">
        <f t="shared" si="0"/>
        <v>0</v>
      </c>
      <c r="O475" s="178">
        <f t="shared" si="1"/>
        <v>0</v>
      </c>
      <c r="P475" s="179"/>
      <c r="Q475" s="169"/>
    </row>
    <row r="476" spans="1:19" s="170" customFormat="1" ht="21" x14ac:dyDescent="0.25">
      <c r="A476" s="175"/>
      <c r="B476" s="176" t="s">
        <v>1427</v>
      </c>
      <c r="C476" s="177"/>
      <c r="D476" s="178"/>
      <c r="E476" s="178">
        <f>3.54+0.5</f>
        <v>4.04</v>
      </c>
      <c r="F476" s="178">
        <f t="shared" si="2"/>
        <v>1.68</v>
      </c>
      <c r="G476" s="178"/>
      <c r="H476" s="178">
        <v>7.0000000000000007E-2</v>
      </c>
      <c r="I476" s="178"/>
      <c r="J476" s="178"/>
      <c r="K476" s="178">
        <f>'BOCA DE LOBO'!O11</f>
        <v>0</v>
      </c>
      <c r="L476" s="190"/>
      <c r="M476" s="178"/>
      <c r="N476" s="178">
        <f t="shared" si="0"/>
        <v>0</v>
      </c>
      <c r="O476" s="178">
        <f t="shared" si="1"/>
        <v>0</v>
      </c>
      <c r="P476" s="179"/>
      <c r="Q476" s="169"/>
    </row>
    <row r="477" spans="1:19" s="170" customFormat="1" ht="10.5" x14ac:dyDescent="0.25">
      <c r="A477" s="175"/>
      <c r="B477" s="176" t="s">
        <v>1429</v>
      </c>
      <c r="C477" s="177"/>
      <c r="D477" s="178"/>
      <c r="E477" s="178">
        <f>1.38+0.5+0.5</f>
        <v>2.38</v>
      </c>
      <c r="F477" s="178">
        <f t="shared" si="2"/>
        <v>1.68</v>
      </c>
      <c r="G477" s="178"/>
      <c r="H477" s="178">
        <v>7.0000000000000007E-2</v>
      </c>
      <c r="I477" s="178"/>
      <c r="J477" s="178"/>
      <c r="K477" s="178">
        <f>'BOCA DE LOBO'!O12</f>
        <v>0</v>
      </c>
      <c r="L477" s="190"/>
      <c r="M477" s="178"/>
      <c r="N477" s="178">
        <f t="shared" si="0"/>
        <v>0</v>
      </c>
      <c r="O477" s="178">
        <f t="shared" si="1"/>
        <v>0</v>
      </c>
      <c r="P477" s="179"/>
      <c r="Q477" s="169"/>
    </row>
    <row r="478" spans="1:19" s="170" customFormat="1" ht="10.5" x14ac:dyDescent="0.25">
      <c r="A478" s="175"/>
      <c r="B478" s="176" t="s">
        <v>1431</v>
      </c>
      <c r="C478" s="177"/>
      <c r="D478" s="178"/>
      <c r="E478" s="178">
        <f>2.57+0.5+0.5</f>
        <v>3.57</v>
      </c>
      <c r="F478" s="178">
        <f t="shared" si="2"/>
        <v>1.68</v>
      </c>
      <c r="G478" s="178"/>
      <c r="H478" s="178">
        <v>7.0000000000000007E-2</v>
      </c>
      <c r="I478" s="178"/>
      <c r="J478" s="178"/>
      <c r="K478" s="178">
        <f>'BOCA DE LOBO'!O13</f>
        <v>30</v>
      </c>
      <c r="L478" s="190"/>
      <c r="M478" s="178"/>
      <c r="N478" s="178">
        <f t="shared" si="0"/>
        <v>179.92799999999997</v>
      </c>
      <c r="O478" s="178">
        <f t="shared" si="1"/>
        <v>12.59496</v>
      </c>
      <c r="P478" s="179"/>
      <c r="Q478" s="169"/>
    </row>
    <row r="479" spans="1:19" s="170" customFormat="1" ht="10.5" x14ac:dyDescent="0.25">
      <c r="A479" s="175"/>
      <c r="B479" s="176" t="s">
        <v>1434</v>
      </c>
      <c r="C479" s="177"/>
      <c r="D479" s="178"/>
      <c r="E479" s="178">
        <f>3.76+0.5+0.5</f>
        <v>4.76</v>
      </c>
      <c r="F479" s="178">
        <f t="shared" si="2"/>
        <v>1.68</v>
      </c>
      <c r="G479" s="178"/>
      <c r="H479" s="178">
        <v>7.0000000000000007E-2</v>
      </c>
      <c r="I479" s="178"/>
      <c r="J479" s="178"/>
      <c r="K479" s="178">
        <f>'BOCA DE LOBO'!O14</f>
        <v>10</v>
      </c>
      <c r="L479" s="190"/>
      <c r="M479" s="178"/>
      <c r="N479" s="178">
        <f t="shared" si="0"/>
        <v>79.967999999999989</v>
      </c>
      <c r="O479" s="178">
        <f t="shared" si="1"/>
        <v>5.597760000000001</v>
      </c>
      <c r="P479" s="179"/>
      <c r="Q479" s="169"/>
    </row>
    <row r="480" spans="1:19" s="170" customFormat="1" ht="10.5" x14ac:dyDescent="0.25">
      <c r="A480" s="175"/>
      <c r="B480" s="176" t="str">
        <f>'BOCA DE LOBO'!N15</f>
        <v>BOCA DE LOBO PROJETADA QUADRUPLA</v>
      </c>
      <c r="C480" s="177"/>
      <c r="D480" s="178"/>
      <c r="E480" s="178">
        <f>4.92+0.5+0.5</f>
        <v>5.92</v>
      </c>
      <c r="F480" s="178">
        <f t="shared" si="2"/>
        <v>1.68</v>
      </c>
      <c r="G480" s="178"/>
      <c r="H480" s="178">
        <v>7.0000000000000007E-2</v>
      </c>
      <c r="I480" s="178"/>
      <c r="J480" s="178"/>
      <c r="K480" s="178">
        <f>'BOCA DE LOBO'!O15</f>
        <v>1</v>
      </c>
      <c r="L480" s="190"/>
      <c r="M480" s="178"/>
      <c r="N480" s="178">
        <f t="shared" ref="N480" si="3">E480*F480*K480</f>
        <v>9.9455999999999989</v>
      </c>
      <c r="O480" s="178">
        <f t="shared" ref="O480" si="4">E480*F480*H480*K480</f>
        <v>0.69619200000000003</v>
      </c>
      <c r="P480" s="179"/>
      <c r="Q480" s="169"/>
    </row>
    <row r="481" spans="1:19" s="170" customFormat="1" ht="10.5" x14ac:dyDescent="0.25">
      <c r="A481" s="175"/>
      <c r="B481" s="176"/>
      <c r="C481" s="177"/>
      <c r="D481" s="178"/>
      <c r="E481" s="178"/>
      <c r="F481" s="178"/>
      <c r="G481" s="178"/>
      <c r="H481" s="178"/>
      <c r="I481" s="178"/>
      <c r="J481" s="178"/>
      <c r="K481" s="178"/>
      <c r="L481" s="190"/>
      <c r="M481" s="178"/>
      <c r="N481" s="178"/>
      <c r="O481" s="178"/>
      <c r="P481" s="179"/>
      <c r="Q481" s="169"/>
    </row>
    <row r="482" spans="1:19" s="170" customFormat="1" ht="10.5" x14ac:dyDescent="0.25">
      <c r="A482" s="175"/>
      <c r="B482" s="181" t="s">
        <v>5</v>
      </c>
      <c r="C482" s="182" t="s">
        <v>1328</v>
      </c>
      <c r="D482" s="182"/>
      <c r="E482" s="182"/>
      <c r="F482" s="182"/>
      <c r="G482" s="182"/>
      <c r="H482" s="182"/>
      <c r="I482" s="182"/>
      <c r="J482" s="182"/>
      <c r="K482" s="182"/>
      <c r="L482" s="182"/>
      <c r="M482" s="182"/>
      <c r="N482" s="182">
        <f>SUM(N468:N481)</f>
        <v>325.26479999999992</v>
      </c>
      <c r="O482" s="182"/>
      <c r="P482" s="183"/>
      <c r="Q482" s="169"/>
    </row>
    <row r="483" spans="1:19" s="189" customFormat="1" ht="42" x14ac:dyDescent="0.35">
      <c r="A483" s="171" t="str">
        <f>ORÇAMENTO!A119</f>
        <v>4.1.1.5.2</v>
      </c>
      <c r="B483" s="172" t="str">
        <f>VLOOKUP(A483,ORÇAMENTO!A:K,4,0)</f>
        <v>EXECUÇÃO DE PASSEIO (CALÇADA) OU PISO DE CONCRETO COM CONCRETO MOLDADO IN LOCO, FEITO EM OBRA, ACABAMENTO CONVENCIONAL, NÃO ARMADO. AF_08/2022</v>
      </c>
      <c r="C483" s="173" t="str">
        <f>VLOOKUP(A483,ORÇAMENTO!A:K,5,0)</f>
        <v>M³</v>
      </c>
      <c r="D483" s="173">
        <f>SUM(E499:O499)</f>
        <v>10.127558000000004</v>
      </c>
      <c r="E483" s="173" t="s">
        <v>1718</v>
      </c>
      <c r="F483" s="173" t="s">
        <v>1719</v>
      </c>
      <c r="G483" s="173" t="s">
        <v>1720</v>
      </c>
      <c r="H483" s="173" t="s">
        <v>1721</v>
      </c>
      <c r="I483" s="173" t="s">
        <v>1722</v>
      </c>
      <c r="J483" s="173" t="s">
        <v>1723</v>
      </c>
      <c r="K483" s="173" t="s">
        <v>1758</v>
      </c>
      <c r="L483" s="173" t="s">
        <v>1753</v>
      </c>
      <c r="M483" s="173" t="s">
        <v>1750</v>
      </c>
      <c r="N483" s="173" t="s">
        <v>1727</v>
      </c>
      <c r="O483" s="173" t="s">
        <v>1728</v>
      </c>
      <c r="P483" s="169"/>
      <c r="Q483" s="169"/>
      <c r="R483" s="169"/>
      <c r="S483" s="169"/>
    </row>
    <row r="484" spans="1:19" s="170" customFormat="1" ht="21" x14ac:dyDescent="0.25">
      <c r="A484" s="175"/>
      <c r="B484" s="181" t="s">
        <v>1761</v>
      </c>
      <c r="C484" s="177"/>
      <c r="D484" s="178"/>
      <c r="E484" s="178"/>
      <c r="F484" s="178"/>
      <c r="G484" s="178"/>
      <c r="H484" s="178"/>
      <c r="I484" s="178"/>
      <c r="J484" s="178"/>
      <c r="K484" s="178"/>
      <c r="L484" s="190"/>
      <c r="M484" s="178"/>
      <c r="N484" s="178"/>
      <c r="O484" s="178"/>
      <c r="P484" s="179"/>
      <c r="Q484" s="169"/>
    </row>
    <row r="485" spans="1:19" s="170" customFormat="1" ht="10.5" x14ac:dyDescent="0.25">
      <c r="A485" s="175"/>
      <c r="B485" s="181" t="s">
        <v>1762</v>
      </c>
      <c r="C485" s="177"/>
      <c r="D485" s="178"/>
      <c r="E485" s="178"/>
      <c r="F485" s="178"/>
      <c r="G485" s="178"/>
      <c r="H485" s="178"/>
      <c r="I485" s="178"/>
      <c r="J485" s="178"/>
      <c r="K485" s="178"/>
      <c r="L485" s="190"/>
      <c r="M485" s="178"/>
      <c r="N485" s="178"/>
      <c r="O485" s="177">
        <f>SUM(O468:O479)</f>
        <v>22.072344000000001</v>
      </c>
      <c r="P485" s="179"/>
      <c r="Q485" s="169"/>
    </row>
    <row r="486" spans="1:19" s="170" customFormat="1" ht="21" x14ac:dyDescent="0.25">
      <c r="A486" s="175"/>
      <c r="B486" s="176" t="str">
        <f t="shared" ref="B486:B498" si="5">B468</f>
        <v>BOCA DE LOBO SIMPLES EXISTENTE COM BOCA DE LOBO DUPLA PROJETADA</v>
      </c>
      <c r="C486" s="177"/>
      <c r="D486" s="178"/>
      <c r="E486" s="178">
        <f>2.38</f>
        <v>2.38</v>
      </c>
      <c r="F486" s="178">
        <f>1.18</f>
        <v>1.18</v>
      </c>
      <c r="G486" s="178"/>
      <c r="H486" s="178">
        <f t="shared" ref="H486:H498" si="6">H468</f>
        <v>7.0000000000000007E-2</v>
      </c>
      <c r="I486" s="178"/>
      <c r="J486" s="178"/>
      <c r="K486" s="178">
        <f t="shared" ref="K486:K498" si="7">K468</f>
        <v>3</v>
      </c>
      <c r="L486" s="190"/>
      <c r="M486" s="178"/>
      <c r="N486" s="178"/>
      <c r="O486" s="178">
        <f>-E486*F486*K486*H486</f>
        <v>-0.58976400000000007</v>
      </c>
      <c r="P486" s="179"/>
      <c r="Q486" s="169"/>
    </row>
    <row r="487" spans="1:19" s="170" customFormat="1" ht="21" x14ac:dyDescent="0.25">
      <c r="A487" s="175"/>
      <c r="B487" s="176" t="str">
        <f t="shared" si="5"/>
        <v>BOCA DE LOBO SIMPLES EXISTENTE COM BOCA DE LOBO SIMPLES PROJETADA</v>
      </c>
      <c r="C487" s="177"/>
      <c r="D487" s="178"/>
      <c r="E487" s="178">
        <f>1.19</f>
        <v>1.19</v>
      </c>
      <c r="F487" s="178">
        <f t="shared" ref="F487:F498" si="8">1.18</f>
        <v>1.18</v>
      </c>
      <c r="G487" s="178"/>
      <c r="H487" s="178">
        <f t="shared" si="6"/>
        <v>7.0000000000000007E-2</v>
      </c>
      <c r="I487" s="178"/>
      <c r="J487" s="178"/>
      <c r="K487" s="178">
        <f t="shared" si="7"/>
        <v>1</v>
      </c>
      <c r="L487" s="190"/>
      <c r="M487" s="178"/>
      <c r="N487" s="178"/>
      <c r="O487" s="178">
        <f t="shared" ref="O487:O498" si="9">-E487*F487*K487*H487</f>
        <v>-9.8294000000000006E-2</v>
      </c>
      <c r="P487" s="179"/>
      <c r="Q487" s="169"/>
    </row>
    <row r="488" spans="1:19" s="170" customFormat="1" ht="21" x14ac:dyDescent="0.25">
      <c r="A488" s="175"/>
      <c r="B488" s="176" t="str">
        <f t="shared" si="5"/>
        <v>BOCA DE LOBO SIMPLES EXISTENTE COM BOCA DE LOBO TRIPLA PROJETADA</v>
      </c>
      <c r="C488" s="177"/>
      <c r="D488" s="178"/>
      <c r="E488" s="178">
        <f>3.54</f>
        <v>3.54</v>
      </c>
      <c r="F488" s="178">
        <f t="shared" si="8"/>
        <v>1.18</v>
      </c>
      <c r="G488" s="178"/>
      <c r="H488" s="178">
        <f t="shared" si="6"/>
        <v>7.0000000000000007E-2</v>
      </c>
      <c r="I488" s="178"/>
      <c r="J488" s="178"/>
      <c r="K488" s="178">
        <f t="shared" si="7"/>
        <v>0</v>
      </c>
      <c r="L488" s="190"/>
      <c r="M488" s="178"/>
      <c r="N488" s="178"/>
      <c r="O488" s="178">
        <f t="shared" si="9"/>
        <v>0</v>
      </c>
      <c r="P488" s="179"/>
      <c r="Q488" s="169"/>
    </row>
    <row r="489" spans="1:19" s="170" customFormat="1" ht="21" x14ac:dyDescent="0.25">
      <c r="A489" s="175"/>
      <c r="B489" s="176" t="str">
        <f t="shared" si="5"/>
        <v>BOCA DE LOBO DUPLA EXISTENTE COM BOCA DE LOBO SIMPLES PROJETADA</v>
      </c>
      <c r="C489" s="177"/>
      <c r="D489" s="178"/>
      <c r="E489" s="178">
        <f>1.19</f>
        <v>1.19</v>
      </c>
      <c r="F489" s="178">
        <f t="shared" si="8"/>
        <v>1.18</v>
      </c>
      <c r="G489" s="178"/>
      <c r="H489" s="178">
        <f t="shared" si="6"/>
        <v>7.0000000000000007E-2</v>
      </c>
      <c r="I489" s="178"/>
      <c r="J489" s="178"/>
      <c r="K489" s="178">
        <f t="shared" si="7"/>
        <v>10</v>
      </c>
      <c r="L489" s="190"/>
      <c r="M489" s="178"/>
      <c r="N489" s="178"/>
      <c r="O489" s="178">
        <f t="shared" si="9"/>
        <v>-0.98293999999999992</v>
      </c>
      <c r="P489" s="179"/>
      <c r="Q489" s="169"/>
    </row>
    <row r="490" spans="1:19" s="170" customFormat="1" ht="21" x14ac:dyDescent="0.25">
      <c r="A490" s="175"/>
      <c r="B490" s="176" t="str">
        <f t="shared" si="5"/>
        <v>BOCA DE LOBO DUPLA EXISTENTE COM BOCA DE LOBO DUPLA PROJETADA</v>
      </c>
      <c r="C490" s="177"/>
      <c r="D490" s="178"/>
      <c r="E490" s="178">
        <f>2.38</f>
        <v>2.38</v>
      </c>
      <c r="F490" s="178">
        <f t="shared" si="8"/>
        <v>1.18</v>
      </c>
      <c r="G490" s="178"/>
      <c r="H490" s="178">
        <f t="shared" si="6"/>
        <v>7.0000000000000007E-2</v>
      </c>
      <c r="I490" s="178"/>
      <c r="J490" s="178"/>
      <c r="K490" s="178">
        <f t="shared" si="7"/>
        <v>2</v>
      </c>
      <c r="L490" s="190"/>
      <c r="M490" s="178"/>
      <c r="N490" s="178"/>
      <c r="O490" s="178">
        <f t="shared" si="9"/>
        <v>-0.39317600000000003</v>
      </c>
      <c r="P490" s="179"/>
      <c r="Q490" s="169"/>
    </row>
    <row r="491" spans="1:19" s="170" customFormat="1" ht="21" x14ac:dyDescent="0.25">
      <c r="A491" s="175"/>
      <c r="B491" s="176" t="str">
        <f t="shared" si="5"/>
        <v>BOCA DE LOBO DUPLA EXISTENTE COM BOCA DE LOBO TRIPLA PROJETADA</v>
      </c>
      <c r="C491" s="177"/>
      <c r="D491" s="178"/>
      <c r="E491" s="178">
        <f>3.54</f>
        <v>3.54</v>
      </c>
      <c r="F491" s="178">
        <f t="shared" si="8"/>
        <v>1.18</v>
      </c>
      <c r="G491" s="178"/>
      <c r="H491" s="178">
        <f t="shared" si="6"/>
        <v>7.0000000000000007E-2</v>
      </c>
      <c r="I491" s="178"/>
      <c r="J491" s="178"/>
      <c r="K491" s="178">
        <f t="shared" si="7"/>
        <v>0</v>
      </c>
      <c r="L491" s="190"/>
      <c r="M491" s="178"/>
      <c r="N491" s="178"/>
      <c r="O491" s="178">
        <f t="shared" si="9"/>
        <v>0</v>
      </c>
      <c r="P491" s="179"/>
      <c r="Q491" s="169"/>
    </row>
    <row r="492" spans="1:19" s="170" customFormat="1" ht="21" x14ac:dyDescent="0.25">
      <c r="A492" s="175"/>
      <c r="B492" s="176" t="str">
        <f t="shared" si="5"/>
        <v>BOCA DE LOBO TRIPLA EXISTENTE COM BOCA DE LOBO SIMPLES PROJETADA</v>
      </c>
      <c r="C492" s="177"/>
      <c r="D492" s="178"/>
      <c r="E492" s="178">
        <f>1.19</f>
        <v>1.19</v>
      </c>
      <c r="F492" s="178">
        <f t="shared" si="8"/>
        <v>1.18</v>
      </c>
      <c r="G492" s="178"/>
      <c r="H492" s="178">
        <f t="shared" si="6"/>
        <v>7.0000000000000007E-2</v>
      </c>
      <c r="I492" s="178"/>
      <c r="J492" s="178"/>
      <c r="K492" s="178">
        <f t="shared" si="7"/>
        <v>0</v>
      </c>
      <c r="L492" s="190"/>
      <c r="M492" s="178"/>
      <c r="N492" s="178"/>
      <c r="O492" s="178">
        <f t="shared" si="9"/>
        <v>0</v>
      </c>
      <c r="P492" s="179"/>
      <c r="Q492" s="169"/>
    </row>
    <row r="493" spans="1:19" s="170" customFormat="1" ht="21" x14ac:dyDescent="0.25">
      <c r="A493" s="175"/>
      <c r="B493" s="176" t="str">
        <f t="shared" si="5"/>
        <v>BOCA DE LOBO TRIPLA EXISTENTE COM BOCA DE LOBO DUPLA PROJETADA</v>
      </c>
      <c r="C493" s="177"/>
      <c r="D493" s="178"/>
      <c r="E493" s="178">
        <f>2.38</f>
        <v>2.38</v>
      </c>
      <c r="F493" s="178">
        <f t="shared" si="8"/>
        <v>1.18</v>
      </c>
      <c r="G493" s="178"/>
      <c r="H493" s="178">
        <f t="shared" si="6"/>
        <v>7.0000000000000007E-2</v>
      </c>
      <c r="I493" s="178"/>
      <c r="J493" s="178"/>
      <c r="K493" s="178">
        <f t="shared" si="7"/>
        <v>0</v>
      </c>
      <c r="L493" s="190"/>
      <c r="M493" s="178"/>
      <c r="N493" s="178"/>
      <c r="O493" s="178">
        <f t="shared" si="9"/>
        <v>0</v>
      </c>
      <c r="P493" s="179"/>
      <c r="Q493" s="169"/>
    </row>
    <row r="494" spans="1:19" s="170" customFormat="1" ht="21" x14ac:dyDescent="0.25">
      <c r="A494" s="175"/>
      <c r="B494" s="176" t="str">
        <f t="shared" si="5"/>
        <v>BOCA DE LOBO TRIPLA EXISTENTE COM BOCA DE LOBO TRIPLA PROJETADA</v>
      </c>
      <c r="C494" s="177"/>
      <c r="D494" s="178"/>
      <c r="E494" s="178">
        <f>3.54</f>
        <v>3.54</v>
      </c>
      <c r="F494" s="178">
        <f t="shared" si="8"/>
        <v>1.18</v>
      </c>
      <c r="G494" s="178"/>
      <c r="H494" s="178">
        <f t="shared" si="6"/>
        <v>7.0000000000000007E-2</v>
      </c>
      <c r="I494" s="178"/>
      <c r="J494" s="178"/>
      <c r="K494" s="178">
        <f t="shared" si="7"/>
        <v>0</v>
      </c>
      <c r="L494" s="190"/>
      <c r="M494" s="178"/>
      <c r="N494" s="178"/>
      <c r="O494" s="178">
        <f t="shared" si="9"/>
        <v>0</v>
      </c>
      <c r="P494" s="179"/>
      <c r="Q494" s="169"/>
    </row>
    <row r="495" spans="1:19" s="170" customFormat="1" ht="10.5" x14ac:dyDescent="0.25">
      <c r="A495" s="175"/>
      <c r="B495" s="176" t="str">
        <f t="shared" si="5"/>
        <v>BOCA DE LOBO PROJETADA SIMPLES</v>
      </c>
      <c r="C495" s="177"/>
      <c r="D495" s="178"/>
      <c r="E495" s="178">
        <f>1.38</f>
        <v>1.38</v>
      </c>
      <c r="F495" s="178">
        <f t="shared" si="8"/>
        <v>1.18</v>
      </c>
      <c r="G495" s="178"/>
      <c r="H495" s="178">
        <f t="shared" si="6"/>
        <v>7.0000000000000007E-2</v>
      </c>
      <c r="I495" s="178"/>
      <c r="J495" s="178"/>
      <c r="K495" s="178">
        <f t="shared" si="7"/>
        <v>0</v>
      </c>
      <c r="L495" s="190"/>
      <c r="M495" s="178"/>
      <c r="N495" s="178"/>
      <c r="O495" s="178">
        <f t="shared" si="9"/>
        <v>0</v>
      </c>
      <c r="P495" s="179"/>
      <c r="Q495" s="169"/>
    </row>
    <row r="496" spans="1:19" s="170" customFormat="1" ht="10.5" x14ac:dyDescent="0.25">
      <c r="A496" s="175"/>
      <c r="B496" s="176" t="str">
        <f t="shared" si="5"/>
        <v>BOCA DE LOBO PROJETADA DUPLA</v>
      </c>
      <c r="C496" s="177"/>
      <c r="D496" s="178"/>
      <c r="E496" s="178">
        <f>2.57</f>
        <v>2.57</v>
      </c>
      <c r="F496" s="178">
        <f t="shared" si="8"/>
        <v>1.18</v>
      </c>
      <c r="G496" s="178"/>
      <c r="H496" s="178">
        <f t="shared" si="6"/>
        <v>7.0000000000000007E-2</v>
      </c>
      <c r="I496" s="178"/>
      <c r="J496" s="178"/>
      <c r="K496" s="178">
        <f t="shared" si="7"/>
        <v>30</v>
      </c>
      <c r="L496" s="190"/>
      <c r="M496" s="178"/>
      <c r="N496" s="178"/>
      <c r="O496" s="178">
        <f t="shared" si="9"/>
        <v>-6.3684599999999989</v>
      </c>
      <c r="P496" s="179"/>
      <c r="Q496" s="169"/>
    </row>
    <row r="497" spans="1:19" s="170" customFormat="1" ht="10.5" x14ac:dyDescent="0.25">
      <c r="A497" s="175"/>
      <c r="B497" s="176" t="str">
        <f t="shared" si="5"/>
        <v>BOCA DE LOBO PROJETADA TRIPLA</v>
      </c>
      <c r="C497" s="177"/>
      <c r="D497" s="178"/>
      <c r="E497" s="178">
        <f>3.76</f>
        <v>3.76</v>
      </c>
      <c r="F497" s="178">
        <f t="shared" si="8"/>
        <v>1.18</v>
      </c>
      <c r="G497" s="178"/>
      <c r="H497" s="178">
        <f t="shared" si="6"/>
        <v>7.0000000000000007E-2</v>
      </c>
      <c r="I497" s="178"/>
      <c r="J497" s="178"/>
      <c r="K497" s="178">
        <f t="shared" si="7"/>
        <v>10</v>
      </c>
      <c r="L497" s="190"/>
      <c r="M497" s="178"/>
      <c r="N497" s="178"/>
      <c r="O497" s="178">
        <f t="shared" si="9"/>
        <v>-3.1057600000000001</v>
      </c>
      <c r="P497" s="179"/>
      <c r="Q497" s="169"/>
    </row>
    <row r="498" spans="1:19" s="170" customFormat="1" ht="10.5" x14ac:dyDescent="0.25">
      <c r="A498" s="175"/>
      <c r="B498" s="176" t="str">
        <f t="shared" si="5"/>
        <v>BOCA DE LOBO PROJETADA QUADRUPLA</v>
      </c>
      <c r="C498" s="177"/>
      <c r="D498" s="178"/>
      <c r="E498" s="178">
        <f>E480-1</f>
        <v>4.92</v>
      </c>
      <c r="F498" s="178">
        <f t="shared" si="8"/>
        <v>1.18</v>
      </c>
      <c r="G498" s="178"/>
      <c r="H498" s="178">
        <f t="shared" si="6"/>
        <v>7.0000000000000007E-2</v>
      </c>
      <c r="I498" s="178"/>
      <c r="J498" s="178"/>
      <c r="K498" s="178">
        <f t="shared" si="7"/>
        <v>1</v>
      </c>
      <c r="L498" s="190"/>
      <c r="M498" s="178"/>
      <c r="N498" s="178"/>
      <c r="O498" s="178">
        <f t="shared" si="9"/>
        <v>-0.40639199999999998</v>
      </c>
      <c r="P498" s="179"/>
      <c r="Q498" s="169"/>
    </row>
    <row r="499" spans="1:19" s="170" customFormat="1" ht="10.5" x14ac:dyDescent="0.25">
      <c r="A499" s="175"/>
      <c r="B499" s="181" t="s">
        <v>5</v>
      </c>
      <c r="C499" s="182" t="s">
        <v>1328</v>
      </c>
      <c r="D499" s="182"/>
      <c r="E499" s="182"/>
      <c r="F499" s="182"/>
      <c r="G499" s="182"/>
      <c r="H499" s="182"/>
      <c r="I499" s="182"/>
      <c r="J499" s="182"/>
      <c r="K499" s="182"/>
      <c r="L499" s="182"/>
      <c r="M499" s="182"/>
      <c r="N499" s="182"/>
      <c r="O499" s="182">
        <f>SUM(O485:O498)</f>
        <v>10.127558000000004</v>
      </c>
      <c r="P499" s="183"/>
      <c r="Q499" s="169"/>
    </row>
    <row r="500" spans="1:19" s="189" customFormat="1" ht="21" x14ac:dyDescent="0.35">
      <c r="A500" s="171" t="str">
        <f>ORÇAMENTO!A120</f>
        <v>4.1.1.5.3</v>
      </c>
      <c r="B500" s="172" t="str">
        <f>VLOOKUP(A500,ORÇAMENTO!A:K,4,0)</f>
        <v>RETIRADA MEIO-FIO EM CONCRETO</v>
      </c>
      <c r="C500" s="173" t="str">
        <f>VLOOKUP(A500,ORÇAMENTO!A:K,5,0)</f>
        <v>M</v>
      </c>
      <c r="D500" s="173">
        <f>SUM(E515:O515)</f>
        <v>193.60999999999996</v>
      </c>
      <c r="E500" s="173" t="s">
        <v>1718</v>
      </c>
      <c r="F500" s="173" t="s">
        <v>1719</v>
      </c>
      <c r="G500" s="173" t="s">
        <v>1720</v>
      </c>
      <c r="H500" s="173" t="s">
        <v>1721</v>
      </c>
      <c r="I500" s="173" t="s">
        <v>1722</v>
      </c>
      <c r="J500" s="173" t="s">
        <v>1723</v>
      </c>
      <c r="K500" s="173" t="s">
        <v>1758</v>
      </c>
      <c r="L500" s="173" t="s">
        <v>1753</v>
      </c>
      <c r="M500" s="173" t="s">
        <v>1750</v>
      </c>
      <c r="N500" s="173" t="s">
        <v>1727</v>
      </c>
      <c r="O500" s="173" t="s">
        <v>1728</v>
      </c>
      <c r="P500" s="169"/>
      <c r="Q500" s="169"/>
      <c r="R500" s="169"/>
      <c r="S500" s="169"/>
    </row>
    <row r="501" spans="1:19" s="170" customFormat="1" ht="10.5" x14ac:dyDescent="0.25">
      <c r="A501" s="175"/>
      <c r="B501" s="181"/>
      <c r="C501" s="177"/>
      <c r="D501" s="178"/>
      <c r="E501" s="178"/>
      <c r="F501" s="178"/>
      <c r="G501" s="178"/>
      <c r="H501" s="178"/>
      <c r="I501" s="178"/>
      <c r="J501" s="178"/>
      <c r="K501" s="178"/>
      <c r="L501" s="190"/>
      <c r="M501" s="178"/>
      <c r="N501" s="178"/>
      <c r="O501" s="178"/>
      <c r="P501" s="179"/>
      <c r="Q501" s="169"/>
    </row>
    <row r="502" spans="1:19" s="170" customFormat="1" ht="21" x14ac:dyDescent="0.25">
      <c r="A502" s="175"/>
      <c r="B502" s="176" t="str">
        <f t="shared" ref="B502:B513" si="10">B468</f>
        <v>BOCA DE LOBO SIMPLES EXISTENTE COM BOCA DE LOBO DUPLA PROJETADA</v>
      </c>
      <c r="C502" s="177"/>
      <c r="D502" s="178"/>
      <c r="E502" s="178">
        <f t="shared" ref="E502:E514" si="11">E468</f>
        <v>2.88</v>
      </c>
      <c r="F502" s="178"/>
      <c r="G502" s="178"/>
      <c r="H502" s="178"/>
      <c r="I502" s="178"/>
      <c r="J502" s="178"/>
      <c r="K502" s="178">
        <f t="shared" ref="K502:K514" si="12">K468</f>
        <v>3</v>
      </c>
      <c r="L502" s="190"/>
      <c r="M502" s="178"/>
      <c r="N502" s="178"/>
      <c r="O502" s="178"/>
      <c r="P502" s="179"/>
      <c r="Q502" s="169"/>
    </row>
    <row r="503" spans="1:19" s="170" customFormat="1" ht="21" x14ac:dyDescent="0.25">
      <c r="A503" s="175"/>
      <c r="B503" s="176" t="str">
        <f t="shared" si="10"/>
        <v>BOCA DE LOBO SIMPLES EXISTENTE COM BOCA DE LOBO SIMPLES PROJETADA</v>
      </c>
      <c r="C503" s="177"/>
      <c r="D503" s="178"/>
      <c r="E503" s="178">
        <f t="shared" si="11"/>
        <v>1.69</v>
      </c>
      <c r="F503" s="178"/>
      <c r="G503" s="178"/>
      <c r="H503" s="178"/>
      <c r="I503" s="178"/>
      <c r="J503" s="178"/>
      <c r="K503" s="178">
        <f t="shared" si="12"/>
        <v>1</v>
      </c>
      <c r="L503" s="190"/>
      <c r="M503" s="178"/>
      <c r="N503" s="178"/>
      <c r="O503" s="178"/>
      <c r="P503" s="179"/>
      <c r="Q503" s="169"/>
    </row>
    <row r="504" spans="1:19" s="170" customFormat="1" ht="21" x14ac:dyDescent="0.25">
      <c r="A504" s="175"/>
      <c r="B504" s="176" t="str">
        <f t="shared" si="10"/>
        <v>BOCA DE LOBO SIMPLES EXISTENTE COM BOCA DE LOBO TRIPLA PROJETADA</v>
      </c>
      <c r="C504" s="177"/>
      <c r="D504" s="178"/>
      <c r="E504" s="178">
        <f t="shared" si="11"/>
        <v>4.04</v>
      </c>
      <c r="F504" s="178"/>
      <c r="G504" s="178"/>
      <c r="H504" s="178"/>
      <c r="I504" s="178"/>
      <c r="J504" s="178"/>
      <c r="K504" s="178">
        <f t="shared" si="12"/>
        <v>0</v>
      </c>
      <c r="L504" s="190"/>
      <c r="M504" s="178"/>
      <c r="N504" s="178"/>
      <c r="O504" s="178"/>
      <c r="P504" s="179"/>
      <c r="Q504" s="169"/>
    </row>
    <row r="505" spans="1:19" s="170" customFormat="1" ht="21" x14ac:dyDescent="0.25">
      <c r="A505" s="175"/>
      <c r="B505" s="176" t="str">
        <f t="shared" si="10"/>
        <v>BOCA DE LOBO DUPLA EXISTENTE COM BOCA DE LOBO SIMPLES PROJETADA</v>
      </c>
      <c r="C505" s="177"/>
      <c r="D505" s="178"/>
      <c r="E505" s="178">
        <f t="shared" si="11"/>
        <v>1.69</v>
      </c>
      <c r="F505" s="178"/>
      <c r="G505" s="178"/>
      <c r="H505" s="178"/>
      <c r="I505" s="178"/>
      <c r="J505" s="178"/>
      <c r="K505" s="178">
        <f t="shared" si="12"/>
        <v>10</v>
      </c>
      <c r="L505" s="190"/>
      <c r="M505" s="178"/>
      <c r="N505" s="178"/>
      <c r="O505" s="178"/>
      <c r="P505" s="179"/>
      <c r="Q505" s="169"/>
    </row>
    <row r="506" spans="1:19" s="170" customFormat="1" ht="21" x14ac:dyDescent="0.25">
      <c r="A506" s="175"/>
      <c r="B506" s="176" t="str">
        <f t="shared" si="10"/>
        <v>BOCA DE LOBO DUPLA EXISTENTE COM BOCA DE LOBO DUPLA PROJETADA</v>
      </c>
      <c r="C506" s="177"/>
      <c r="D506" s="178"/>
      <c r="E506" s="178">
        <f t="shared" si="11"/>
        <v>2.88</v>
      </c>
      <c r="F506" s="178"/>
      <c r="G506" s="178"/>
      <c r="H506" s="178"/>
      <c r="I506" s="178"/>
      <c r="J506" s="178"/>
      <c r="K506" s="178">
        <f t="shared" si="12"/>
        <v>2</v>
      </c>
      <c r="L506" s="190"/>
      <c r="M506" s="178"/>
      <c r="N506" s="178"/>
      <c r="O506" s="178"/>
      <c r="P506" s="179"/>
      <c r="Q506" s="169"/>
    </row>
    <row r="507" spans="1:19" s="170" customFormat="1" ht="21" x14ac:dyDescent="0.25">
      <c r="A507" s="175"/>
      <c r="B507" s="176" t="str">
        <f t="shared" si="10"/>
        <v>BOCA DE LOBO DUPLA EXISTENTE COM BOCA DE LOBO TRIPLA PROJETADA</v>
      </c>
      <c r="C507" s="177"/>
      <c r="D507" s="178"/>
      <c r="E507" s="178">
        <f t="shared" si="11"/>
        <v>4.04</v>
      </c>
      <c r="F507" s="178"/>
      <c r="G507" s="178"/>
      <c r="H507" s="178"/>
      <c r="I507" s="178"/>
      <c r="J507" s="178"/>
      <c r="K507" s="178">
        <f t="shared" si="12"/>
        <v>0</v>
      </c>
      <c r="L507" s="190"/>
      <c r="M507" s="178"/>
      <c r="N507" s="178"/>
      <c r="O507" s="178"/>
      <c r="P507" s="179"/>
      <c r="Q507" s="169"/>
    </row>
    <row r="508" spans="1:19" s="170" customFormat="1" ht="21" x14ac:dyDescent="0.25">
      <c r="A508" s="175"/>
      <c r="B508" s="176" t="str">
        <f t="shared" si="10"/>
        <v>BOCA DE LOBO TRIPLA EXISTENTE COM BOCA DE LOBO SIMPLES PROJETADA</v>
      </c>
      <c r="C508" s="177"/>
      <c r="D508" s="178"/>
      <c r="E508" s="178">
        <f t="shared" si="11"/>
        <v>1.69</v>
      </c>
      <c r="F508" s="178"/>
      <c r="G508" s="178"/>
      <c r="H508" s="178"/>
      <c r="I508" s="178"/>
      <c r="J508" s="178"/>
      <c r="K508" s="178">
        <f t="shared" si="12"/>
        <v>0</v>
      </c>
      <c r="L508" s="190"/>
      <c r="M508" s="178"/>
      <c r="N508" s="178"/>
      <c r="O508" s="178"/>
      <c r="P508" s="179"/>
      <c r="Q508" s="169"/>
    </row>
    <row r="509" spans="1:19" s="170" customFormat="1" ht="21" x14ac:dyDescent="0.25">
      <c r="A509" s="175"/>
      <c r="B509" s="176" t="str">
        <f t="shared" si="10"/>
        <v>BOCA DE LOBO TRIPLA EXISTENTE COM BOCA DE LOBO DUPLA PROJETADA</v>
      </c>
      <c r="C509" s="177"/>
      <c r="D509" s="178"/>
      <c r="E509" s="178">
        <f t="shared" si="11"/>
        <v>2.88</v>
      </c>
      <c r="F509" s="178"/>
      <c r="G509" s="178"/>
      <c r="H509" s="178"/>
      <c r="I509" s="178"/>
      <c r="J509" s="178"/>
      <c r="K509" s="178">
        <f t="shared" si="12"/>
        <v>0</v>
      </c>
      <c r="L509" s="190"/>
      <c r="M509" s="178"/>
      <c r="N509" s="178"/>
      <c r="O509" s="178"/>
      <c r="P509" s="179"/>
      <c r="Q509" s="169"/>
    </row>
    <row r="510" spans="1:19" s="170" customFormat="1" ht="21" x14ac:dyDescent="0.25">
      <c r="A510" s="175"/>
      <c r="B510" s="176" t="str">
        <f t="shared" si="10"/>
        <v>BOCA DE LOBO TRIPLA EXISTENTE COM BOCA DE LOBO TRIPLA PROJETADA</v>
      </c>
      <c r="C510" s="177"/>
      <c r="D510" s="178"/>
      <c r="E510" s="178">
        <f t="shared" si="11"/>
        <v>4.04</v>
      </c>
      <c r="F510" s="178"/>
      <c r="G510" s="178"/>
      <c r="H510" s="178"/>
      <c r="I510" s="178"/>
      <c r="J510" s="178"/>
      <c r="K510" s="178">
        <f t="shared" si="12"/>
        <v>0</v>
      </c>
      <c r="L510" s="190"/>
      <c r="M510" s="178"/>
      <c r="N510" s="178"/>
      <c r="O510" s="178"/>
      <c r="P510" s="179"/>
      <c r="Q510" s="169"/>
    </row>
    <row r="511" spans="1:19" s="170" customFormat="1" ht="10.5" x14ac:dyDescent="0.25">
      <c r="A511" s="175"/>
      <c r="B511" s="176" t="str">
        <f t="shared" si="10"/>
        <v>BOCA DE LOBO PROJETADA SIMPLES</v>
      </c>
      <c r="C511" s="177"/>
      <c r="D511" s="178"/>
      <c r="E511" s="178">
        <f t="shared" si="11"/>
        <v>2.38</v>
      </c>
      <c r="F511" s="178"/>
      <c r="G511" s="178"/>
      <c r="H511" s="178"/>
      <c r="I511" s="178"/>
      <c r="J511" s="178"/>
      <c r="K511" s="178">
        <f t="shared" si="12"/>
        <v>0</v>
      </c>
      <c r="L511" s="190"/>
      <c r="M511" s="178"/>
      <c r="N511" s="178"/>
      <c r="O511" s="178"/>
      <c r="P511" s="179"/>
      <c r="Q511" s="169"/>
    </row>
    <row r="512" spans="1:19" s="170" customFormat="1" ht="10.5" x14ac:dyDescent="0.25">
      <c r="A512" s="175"/>
      <c r="B512" s="176" t="str">
        <f t="shared" si="10"/>
        <v>BOCA DE LOBO PROJETADA DUPLA</v>
      </c>
      <c r="C512" s="177"/>
      <c r="D512" s="178"/>
      <c r="E512" s="178">
        <f t="shared" si="11"/>
        <v>3.57</v>
      </c>
      <c r="F512" s="178"/>
      <c r="G512" s="178"/>
      <c r="H512" s="178"/>
      <c r="I512" s="178"/>
      <c r="J512" s="178"/>
      <c r="K512" s="178">
        <f t="shared" si="12"/>
        <v>30</v>
      </c>
      <c r="L512" s="190"/>
      <c r="M512" s="178"/>
      <c r="N512" s="178"/>
      <c r="O512" s="178"/>
      <c r="P512" s="179"/>
      <c r="Q512" s="169"/>
    </row>
    <row r="513" spans="1:19" s="170" customFormat="1" ht="10.5" x14ac:dyDescent="0.25">
      <c r="A513" s="175"/>
      <c r="B513" s="176" t="str">
        <f t="shared" si="10"/>
        <v>BOCA DE LOBO PROJETADA TRIPLA</v>
      </c>
      <c r="C513" s="177"/>
      <c r="D513" s="178"/>
      <c r="E513" s="178">
        <f t="shared" si="11"/>
        <v>4.76</v>
      </c>
      <c r="F513" s="178"/>
      <c r="G513" s="178"/>
      <c r="H513" s="178"/>
      <c r="I513" s="178"/>
      <c r="J513" s="178"/>
      <c r="K513" s="178">
        <f t="shared" si="12"/>
        <v>10</v>
      </c>
      <c r="L513" s="190"/>
      <c r="M513" s="178"/>
      <c r="N513" s="178"/>
      <c r="O513" s="178"/>
      <c r="P513" s="179"/>
      <c r="Q513" s="169"/>
    </row>
    <row r="514" spans="1:19" s="170" customFormat="1" ht="10.5" x14ac:dyDescent="0.25">
      <c r="A514" s="175"/>
      <c r="B514" s="176" t="str">
        <f>B498</f>
        <v>BOCA DE LOBO PROJETADA QUADRUPLA</v>
      </c>
      <c r="C514" s="177"/>
      <c r="D514" s="178"/>
      <c r="E514" s="178">
        <f t="shared" si="11"/>
        <v>5.92</v>
      </c>
      <c r="F514" s="178"/>
      <c r="G514" s="178"/>
      <c r="H514" s="178"/>
      <c r="I514" s="178"/>
      <c r="J514" s="178"/>
      <c r="K514" s="178">
        <f t="shared" si="12"/>
        <v>1</v>
      </c>
      <c r="L514" s="190"/>
      <c r="M514" s="178"/>
      <c r="N514" s="178"/>
      <c r="O514" s="178"/>
      <c r="P514" s="179"/>
      <c r="Q514" s="169"/>
    </row>
    <row r="515" spans="1:19" s="170" customFormat="1" ht="10.5" x14ac:dyDescent="0.25">
      <c r="A515" s="175"/>
      <c r="B515" s="181" t="s">
        <v>5</v>
      </c>
      <c r="C515" s="182" t="s">
        <v>1328</v>
      </c>
      <c r="D515" s="182"/>
      <c r="E515" s="182">
        <f>SUMPRODUCT(E502:E514,K502:K514)</f>
        <v>193.60999999999996</v>
      </c>
      <c r="F515" s="182"/>
      <c r="G515" s="182"/>
      <c r="H515" s="182"/>
      <c r="I515" s="182"/>
      <c r="J515" s="182"/>
      <c r="K515" s="182"/>
      <c r="L515" s="182"/>
      <c r="M515" s="182"/>
      <c r="N515" s="182"/>
      <c r="O515" s="182"/>
      <c r="P515" s="183"/>
      <c r="Q515" s="169"/>
    </row>
    <row r="516" spans="1:19" s="189" customFormat="1" ht="21" x14ac:dyDescent="0.35">
      <c r="A516" s="171" t="str">
        <f>ORÇAMENTO!A121</f>
        <v>4.1.1.5.4</v>
      </c>
      <c r="B516" s="172" t="str">
        <f>VLOOKUP(A516,ORÇAMENTO!A:K,4,0)</f>
        <v>RECONSTRUCAO DE MEIO-FIO EM CONCRETO 10CM MOLDADO NO LOCAL</v>
      </c>
      <c r="C516" s="173" t="str">
        <f>VLOOKUP(A516,ORÇAMENTO!A:K,5,0)</f>
        <v>M</v>
      </c>
      <c r="D516" s="173">
        <f>SUM(E531:O531)</f>
        <v>49</v>
      </c>
      <c r="E516" s="173" t="s">
        <v>1718</v>
      </c>
      <c r="F516" s="173" t="s">
        <v>1719</v>
      </c>
      <c r="G516" s="173" t="s">
        <v>1720</v>
      </c>
      <c r="H516" s="173" t="s">
        <v>1721</v>
      </c>
      <c r="I516" s="173" t="s">
        <v>1722</v>
      </c>
      <c r="J516" s="173" t="s">
        <v>1723</v>
      </c>
      <c r="K516" s="173" t="s">
        <v>1758</v>
      </c>
      <c r="L516" s="173" t="s">
        <v>1753</v>
      </c>
      <c r="M516" s="173" t="s">
        <v>1750</v>
      </c>
      <c r="N516" s="173" t="s">
        <v>1727</v>
      </c>
      <c r="O516" s="173" t="s">
        <v>1728</v>
      </c>
      <c r="P516" s="169"/>
      <c r="Q516" s="169"/>
      <c r="R516" s="169"/>
      <c r="S516" s="169"/>
    </row>
    <row r="517" spans="1:19" s="170" customFormat="1" ht="10.5" x14ac:dyDescent="0.25">
      <c r="A517" s="175"/>
      <c r="B517" s="176"/>
      <c r="C517" s="177"/>
      <c r="D517" s="178"/>
      <c r="E517" s="178"/>
      <c r="F517" s="178"/>
      <c r="G517" s="178"/>
      <c r="H517" s="178"/>
      <c r="I517" s="178"/>
      <c r="J517" s="178"/>
      <c r="K517" s="178"/>
      <c r="L517" s="190"/>
      <c r="M517" s="178"/>
      <c r="N517" s="178"/>
      <c r="O517" s="178"/>
      <c r="P517" s="179"/>
      <c r="Q517" s="169"/>
    </row>
    <row r="518" spans="1:19" s="170" customFormat="1" ht="21" x14ac:dyDescent="0.25">
      <c r="A518" s="175"/>
      <c r="B518" s="176" t="str">
        <f>B502</f>
        <v>BOCA DE LOBO SIMPLES EXISTENTE COM BOCA DE LOBO DUPLA PROJETADA</v>
      </c>
      <c r="C518" s="177"/>
      <c r="D518" s="178"/>
      <c r="E518" s="178">
        <f>E502-E486</f>
        <v>0.5</v>
      </c>
      <c r="F518" s="178"/>
      <c r="G518" s="178"/>
      <c r="H518" s="178"/>
      <c r="I518" s="178"/>
      <c r="J518" s="178"/>
      <c r="K518" s="178">
        <f>K502</f>
        <v>3</v>
      </c>
      <c r="L518" s="190"/>
      <c r="M518" s="178"/>
      <c r="N518" s="178"/>
      <c r="O518" s="178"/>
      <c r="P518" s="179"/>
      <c r="Q518" s="169"/>
    </row>
    <row r="519" spans="1:19" s="170" customFormat="1" ht="21" x14ac:dyDescent="0.25">
      <c r="A519" s="175"/>
      <c r="B519" s="176" t="str">
        <f t="shared" ref="B519:B530" si="13">B503</f>
        <v>BOCA DE LOBO SIMPLES EXISTENTE COM BOCA DE LOBO SIMPLES PROJETADA</v>
      </c>
      <c r="C519" s="177"/>
      <c r="D519" s="178"/>
      <c r="E519" s="178">
        <f t="shared" ref="E519:E530" si="14">E503-E487</f>
        <v>0.5</v>
      </c>
      <c r="F519" s="178"/>
      <c r="G519" s="178"/>
      <c r="H519" s="178"/>
      <c r="I519" s="178"/>
      <c r="J519" s="178"/>
      <c r="K519" s="178">
        <f t="shared" ref="K519:K530" si="15">K503</f>
        <v>1</v>
      </c>
      <c r="L519" s="190"/>
      <c r="M519" s="178"/>
      <c r="N519" s="178"/>
      <c r="O519" s="178"/>
      <c r="P519" s="179"/>
      <c r="Q519" s="169"/>
    </row>
    <row r="520" spans="1:19" s="170" customFormat="1" ht="21" x14ac:dyDescent="0.25">
      <c r="A520" s="175"/>
      <c r="B520" s="176" t="str">
        <f t="shared" si="13"/>
        <v>BOCA DE LOBO SIMPLES EXISTENTE COM BOCA DE LOBO TRIPLA PROJETADA</v>
      </c>
      <c r="C520" s="177"/>
      <c r="D520" s="178"/>
      <c r="E520" s="178">
        <f t="shared" si="14"/>
        <v>0.5</v>
      </c>
      <c r="F520" s="178"/>
      <c r="G520" s="178"/>
      <c r="H520" s="178"/>
      <c r="I520" s="178"/>
      <c r="J520" s="178"/>
      <c r="K520" s="178">
        <f t="shared" si="15"/>
        <v>0</v>
      </c>
      <c r="L520" s="190"/>
      <c r="M520" s="178"/>
      <c r="N520" s="178"/>
      <c r="O520" s="178"/>
      <c r="P520" s="179"/>
      <c r="Q520" s="169"/>
    </row>
    <row r="521" spans="1:19" s="170" customFormat="1" ht="21" x14ac:dyDescent="0.25">
      <c r="A521" s="175"/>
      <c r="B521" s="176" t="str">
        <f t="shared" si="13"/>
        <v>BOCA DE LOBO DUPLA EXISTENTE COM BOCA DE LOBO SIMPLES PROJETADA</v>
      </c>
      <c r="C521" s="177"/>
      <c r="D521" s="178"/>
      <c r="E521" s="178">
        <f t="shared" si="14"/>
        <v>0.5</v>
      </c>
      <c r="F521" s="178"/>
      <c r="G521" s="178"/>
      <c r="H521" s="178"/>
      <c r="I521" s="178"/>
      <c r="J521" s="178"/>
      <c r="K521" s="178">
        <f t="shared" si="15"/>
        <v>10</v>
      </c>
      <c r="L521" s="190"/>
      <c r="M521" s="178"/>
      <c r="N521" s="178"/>
      <c r="O521" s="178"/>
      <c r="P521" s="179"/>
      <c r="Q521" s="169"/>
    </row>
    <row r="522" spans="1:19" s="170" customFormat="1" ht="21" x14ac:dyDescent="0.25">
      <c r="A522" s="175"/>
      <c r="B522" s="176" t="str">
        <f t="shared" si="13"/>
        <v>BOCA DE LOBO DUPLA EXISTENTE COM BOCA DE LOBO DUPLA PROJETADA</v>
      </c>
      <c r="C522" s="177"/>
      <c r="D522" s="178"/>
      <c r="E522" s="178">
        <f t="shared" si="14"/>
        <v>0.5</v>
      </c>
      <c r="F522" s="178"/>
      <c r="G522" s="178"/>
      <c r="H522" s="178"/>
      <c r="I522" s="178"/>
      <c r="J522" s="178"/>
      <c r="K522" s="178">
        <f t="shared" si="15"/>
        <v>2</v>
      </c>
      <c r="L522" s="190"/>
      <c r="M522" s="178"/>
      <c r="N522" s="178"/>
      <c r="O522" s="178"/>
      <c r="P522" s="179"/>
      <c r="Q522" s="169"/>
    </row>
    <row r="523" spans="1:19" s="170" customFormat="1" ht="21" x14ac:dyDescent="0.25">
      <c r="A523" s="175"/>
      <c r="B523" s="176" t="str">
        <f t="shared" si="13"/>
        <v>BOCA DE LOBO DUPLA EXISTENTE COM BOCA DE LOBO TRIPLA PROJETADA</v>
      </c>
      <c r="C523" s="177"/>
      <c r="D523" s="178"/>
      <c r="E523" s="178">
        <f t="shared" si="14"/>
        <v>0.5</v>
      </c>
      <c r="F523" s="178"/>
      <c r="G523" s="178"/>
      <c r="H523" s="178"/>
      <c r="I523" s="178"/>
      <c r="J523" s="178"/>
      <c r="K523" s="178">
        <f t="shared" si="15"/>
        <v>0</v>
      </c>
      <c r="L523" s="190"/>
      <c r="M523" s="178"/>
      <c r="N523" s="178"/>
      <c r="O523" s="178"/>
      <c r="P523" s="179"/>
      <c r="Q523" s="169"/>
    </row>
    <row r="524" spans="1:19" s="170" customFormat="1" ht="21" x14ac:dyDescent="0.25">
      <c r="A524" s="175"/>
      <c r="B524" s="176" t="str">
        <f t="shared" si="13"/>
        <v>BOCA DE LOBO TRIPLA EXISTENTE COM BOCA DE LOBO SIMPLES PROJETADA</v>
      </c>
      <c r="C524" s="177"/>
      <c r="D524" s="178"/>
      <c r="E524" s="178">
        <f t="shared" si="14"/>
        <v>0.5</v>
      </c>
      <c r="F524" s="178"/>
      <c r="G524" s="178"/>
      <c r="H524" s="178"/>
      <c r="I524" s="178"/>
      <c r="J524" s="178"/>
      <c r="K524" s="178">
        <f t="shared" si="15"/>
        <v>0</v>
      </c>
      <c r="L524" s="190"/>
      <c r="M524" s="178"/>
      <c r="N524" s="178"/>
      <c r="O524" s="178"/>
      <c r="P524" s="179"/>
      <c r="Q524" s="169"/>
    </row>
    <row r="525" spans="1:19" s="170" customFormat="1" ht="21" x14ac:dyDescent="0.25">
      <c r="A525" s="175"/>
      <c r="B525" s="176" t="str">
        <f t="shared" si="13"/>
        <v>BOCA DE LOBO TRIPLA EXISTENTE COM BOCA DE LOBO DUPLA PROJETADA</v>
      </c>
      <c r="C525" s="177"/>
      <c r="D525" s="178"/>
      <c r="E525" s="178">
        <f t="shared" si="14"/>
        <v>0.5</v>
      </c>
      <c r="F525" s="178"/>
      <c r="G525" s="178"/>
      <c r="H525" s="178"/>
      <c r="I525" s="178"/>
      <c r="J525" s="178"/>
      <c r="K525" s="178">
        <f t="shared" si="15"/>
        <v>0</v>
      </c>
      <c r="L525" s="190"/>
      <c r="M525" s="178"/>
      <c r="N525" s="178"/>
      <c r="O525" s="178"/>
      <c r="P525" s="179"/>
      <c r="Q525" s="169"/>
    </row>
    <row r="526" spans="1:19" s="170" customFormat="1" ht="21" x14ac:dyDescent="0.25">
      <c r="A526" s="175"/>
      <c r="B526" s="176" t="str">
        <f t="shared" si="13"/>
        <v>BOCA DE LOBO TRIPLA EXISTENTE COM BOCA DE LOBO TRIPLA PROJETADA</v>
      </c>
      <c r="C526" s="177"/>
      <c r="D526" s="178"/>
      <c r="E526" s="178">
        <f t="shared" si="14"/>
        <v>0.5</v>
      </c>
      <c r="F526" s="178"/>
      <c r="G526" s="178"/>
      <c r="H526" s="178"/>
      <c r="I526" s="178"/>
      <c r="J526" s="178"/>
      <c r="K526" s="178">
        <f t="shared" si="15"/>
        <v>0</v>
      </c>
      <c r="L526" s="190"/>
      <c r="M526" s="178"/>
      <c r="N526" s="178"/>
      <c r="O526" s="178"/>
      <c r="P526" s="179"/>
      <c r="Q526" s="169"/>
    </row>
    <row r="527" spans="1:19" s="170" customFormat="1" ht="10.5" x14ac:dyDescent="0.25">
      <c r="A527" s="175"/>
      <c r="B527" s="176" t="str">
        <f t="shared" si="13"/>
        <v>BOCA DE LOBO PROJETADA SIMPLES</v>
      </c>
      <c r="C527" s="177"/>
      <c r="D527" s="178"/>
      <c r="E527" s="178">
        <f t="shared" si="14"/>
        <v>1</v>
      </c>
      <c r="F527" s="178"/>
      <c r="G527" s="178"/>
      <c r="H527" s="178"/>
      <c r="I527" s="178"/>
      <c r="J527" s="178"/>
      <c r="K527" s="178">
        <f t="shared" si="15"/>
        <v>0</v>
      </c>
      <c r="L527" s="190"/>
      <c r="M527" s="178"/>
      <c r="N527" s="178"/>
      <c r="O527" s="178"/>
      <c r="P527" s="179"/>
      <c r="Q527" s="169"/>
    </row>
    <row r="528" spans="1:19" s="170" customFormat="1" ht="10.5" x14ac:dyDescent="0.25">
      <c r="A528" s="175"/>
      <c r="B528" s="176" t="str">
        <f t="shared" si="13"/>
        <v>BOCA DE LOBO PROJETADA DUPLA</v>
      </c>
      <c r="C528" s="177"/>
      <c r="D528" s="178"/>
      <c r="E528" s="178">
        <f t="shared" si="14"/>
        <v>1</v>
      </c>
      <c r="F528" s="178"/>
      <c r="G528" s="178"/>
      <c r="H528" s="178"/>
      <c r="I528" s="178"/>
      <c r="J528" s="178"/>
      <c r="K528" s="178">
        <f t="shared" si="15"/>
        <v>30</v>
      </c>
      <c r="L528" s="190"/>
      <c r="M528" s="178"/>
      <c r="N528" s="178"/>
      <c r="O528" s="178"/>
      <c r="P528" s="179"/>
      <c r="Q528" s="169"/>
    </row>
    <row r="529" spans="1:19" s="170" customFormat="1" ht="10.5" x14ac:dyDescent="0.25">
      <c r="A529" s="175"/>
      <c r="B529" s="176" t="str">
        <f t="shared" si="13"/>
        <v>BOCA DE LOBO PROJETADA TRIPLA</v>
      </c>
      <c r="C529" s="177"/>
      <c r="D529" s="178"/>
      <c r="E529" s="178">
        <f t="shared" si="14"/>
        <v>1</v>
      </c>
      <c r="F529" s="178"/>
      <c r="G529" s="178"/>
      <c r="H529" s="178"/>
      <c r="I529" s="178"/>
      <c r="J529" s="178"/>
      <c r="K529" s="178">
        <f t="shared" si="15"/>
        <v>10</v>
      </c>
      <c r="L529" s="190"/>
      <c r="M529" s="178"/>
      <c r="N529" s="178"/>
      <c r="O529" s="178"/>
      <c r="P529" s="179"/>
      <c r="Q529" s="169"/>
    </row>
    <row r="530" spans="1:19" s="170" customFormat="1" ht="10.5" x14ac:dyDescent="0.25">
      <c r="A530" s="175"/>
      <c r="B530" s="176" t="str">
        <f t="shared" si="13"/>
        <v>BOCA DE LOBO PROJETADA QUADRUPLA</v>
      </c>
      <c r="C530" s="177"/>
      <c r="D530" s="178"/>
      <c r="E530" s="178">
        <f t="shared" si="14"/>
        <v>1</v>
      </c>
      <c r="F530" s="178"/>
      <c r="G530" s="178"/>
      <c r="H530" s="178"/>
      <c r="I530" s="178"/>
      <c r="J530" s="178"/>
      <c r="K530" s="178">
        <f t="shared" si="15"/>
        <v>1</v>
      </c>
      <c r="L530" s="190"/>
      <c r="M530" s="178"/>
      <c r="N530" s="178"/>
      <c r="O530" s="178"/>
      <c r="P530" s="179"/>
      <c r="Q530" s="169"/>
    </row>
    <row r="531" spans="1:19" s="170" customFormat="1" ht="10.5" x14ac:dyDescent="0.25">
      <c r="A531" s="175"/>
      <c r="B531" s="181" t="s">
        <v>5</v>
      </c>
      <c r="C531" s="182" t="s">
        <v>1328</v>
      </c>
      <c r="D531" s="182"/>
      <c r="E531" s="182">
        <f>SUMPRODUCT(E518:E530,K518:K530)</f>
        <v>49</v>
      </c>
      <c r="F531" s="182"/>
      <c r="G531" s="182"/>
      <c r="H531" s="182"/>
      <c r="I531" s="182"/>
      <c r="J531" s="182"/>
      <c r="K531" s="182"/>
      <c r="L531" s="182"/>
      <c r="M531" s="182"/>
      <c r="N531" s="182"/>
      <c r="O531" s="182"/>
      <c r="P531" s="183"/>
      <c r="Q531" s="169"/>
    </row>
    <row r="532" spans="1:19" s="189" customFormat="1" ht="52.5" x14ac:dyDescent="0.35">
      <c r="A532" s="171" t="str">
        <f>ORÇAMENTO!A122</f>
        <v>4.1.1.5.5</v>
      </c>
      <c r="B532" s="172" t="str">
        <f>VLOOKUP(A532,ORÇAMENTO!A:K,4,0)</f>
        <v>CARGA, MANOBRA E DESCARGA DE ENTULHO EM CAMINHÃO BASCULANTE 14 M³ - CARGA COM ESCAVADEIRA HIDRÁULICA  (CAÇAMBA DE 0,80 M³ / 111 HP) E DESCARGA LIVRE (UNIDADE: M3). AF_07/2020</v>
      </c>
      <c r="C532" s="173" t="str">
        <f>VLOOKUP(A532,ORÇAMENTO!A:K,5,0)</f>
        <v>M³</v>
      </c>
      <c r="D532" s="173">
        <f>SUM(E537:O537)</f>
        <v>24.976494000000002</v>
      </c>
      <c r="E532" s="173" t="s">
        <v>1718</v>
      </c>
      <c r="F532" s="173" t="s">
        <v>1719</v>
      </c>
      <c r="G532" s="173" t="s">
        <v>1720</v>
      </c>
      <c r="H532" s="173" t="s">
        <v>1721</v>
      </c>
      <c r="I532" s="173" t="s">
        <v>1722</v>
      </c>
      <c r="J532" s="173" t="s">
        <v>1723</v>
      </c>
      <c r="K532" s="173" t="s">
        <v>1758</v>
      </c>
      <c r="L532" s="173" t="s">
        <v>1753</v>
      </c>
      <c r="M532" s="173" t="s">
        <v>1750</v>
      </c>
      <c r="N532" s="173" t="s">
        <v>1727</v>
      </c>
      <c r="O532" s="173" t="s">
        <v>1728</v>
      </c>
      <c r="P532" s="169"/>
      <c r="Q532" s="169"/>
      <c r="R532" s="169"/>
      <c r="S532" s="169"/>
    </row>
    <row r="533" spans="1:19" s="170" customFormat="1" ht="10.5" x14ac:dyDescent="0.25">
      <c r="A533" s="175"/>
      <c r="B533" s="176"/>
      <c r="C533" s="177"/>
      <c r="D533" s="178"/>
      <c r="E533" s="178"/>
      <c r="F533" s="178"/>
      <c r="G533" s="178"/>
      <c r="H533" s="178"/>
      <c r="I533" s="178"/>
      <c r="J533" s="178"/>
      <c r="K533" s="178"/>
      <c r="L533" s="190"/>
      <c r="M533" s="178"/>
      <c r="N533" s="178"/>
      <c r="O533" s="178"/>
      <c r="P533" s="179"/>
      <c r="Q533" s="169"/>
    </row>
    <row r="534" spans="1:19" s="170" customFormat="1" ht="10.5" x14ac:dyDescent="0.25">
      <c r="A534" s="175"/>
      <c r="B534" s="176" t="s">
        <v>1762</v>
      </c>
      <c r="C534" s="177"/>
      <c r="D534" s="178"/>
      <c r="E534" s="178"/>
      <c r="F534" s="178"/>
      <c r="G534" s="178"/>
      <c r="H534" s="178"/>
      <c r="I534" s="178"/>
      <c r="J534" s="178"/>
      <c r="K534" s="178"/>
      <c r="L534" s="190"/>
      <c r="M534" s="178"/>
      <c r="N534" s="178"/>
      <c r="O534" s="178">
        <f>O485</f>
        <v>22.072344000000001</v>
      </c>
      <c r="P534" s="179"/>
      <c r="Q534" s="169"/>
    </row>
    <row r="535" spans="1:19" s="170" customFormat="1" ht="10.5" x14ac:dyDescent="0.25">
      <c r="A535" s="175"/>
      <c r="B535" s="176" t="s">
        <v>1763</v>
      </c>
      <c r="C535" s="177"/>
      <c r="D535" s="178"/>
      <c r="E535" s="178">
        <f>E515</f>
        <v>193.60999999999996</v>
      </c>
      <c r="F535" s="178">
        <v>0.1</v>
      </c>
      <c r="G535" s="178"/>
      <c r="H535" s="178">
        <v>0.15</v>
      </c>
      <c r="I535" s="178"/>
      <c r="J535" s="178"/>
      <c r="K535" s="178"/>
      <c r="L535" s="190"/>
      <c r="M535" s="178"/>
      <c r="N535" s="178"/>
      <c r="O535" s="178">
        <f>E535*F535*H535</f>
        <v>2.9041499999999996</v>
      </c>
      <c r="P535" s="179"/>
      <c r="Q535" s="169"/>
    </row>
    <row r="536" spans="1:19" s="170" customFormat="1" ht="10.5" x14ac:dyDescent="0.25">
      <c r="A536" s="175"/>
      <c r="B536" s="176"/>
      <c r="C536" s="177"/>
      <c r="D536" s="178"/>
      <c r="E536" s="178"/>
      <c r="F536" s="178"/>
      <c r="G536" s="178"/>
      <c r="H536" s="178"/>
      <c r="I536" s="178"/>
      <c r="J536" s="178"/>
      <c r="K536" s="178"/>
      <c r="L536" s="190"/>
      <c r="M536" s="178"/>
      <c r="N536" s="178"/>
      <c r="O536" s="178"/>
      <c r="P536" s="179"/>
      <c r="Q536" s="169"/>
    </row>
    <row r="537" spans="1:19" s="170" customFormat="1" ht="10.5" x14ac:dyDescent="0.25">
      <c r="A537" s="175"/>
      <c r="B537" s="181" t="s">
        <v>5</v>
      </c>
      <c r="C537" s="182" t="s">
        <v>1328</v>
      </c>
      <c r="D537" s="182"/>
      <c r="E537" s="182"/>
      <c r="F537" s="182"/>
      <c r="G537" s="182"/>
      <c r="H537" s="182"/>
      <c r="I537" s="182"/>
      <c r="J537" s="182"/>
      <c r="K537" s="182"/>
      <c r="L537" s="182"/>
      <c r="M537" s="182"/>
      <c r="N537" s="182"/>
      <c r="O537" s="182">
        <f>SUM(O534:O536)</f>
        <v>24.976494000000002</v>
      </c>
      <c r="P537" s="183"/>
      <c r="Q537" s="169"/>
    </row>
    <row r="538" spans="1:19" s="189" customFormat="1" ht="31.5" x14ac:dyDescent="0.35">
      <c r="A538" s="171" t="str">
        <f>ORÇAMENTO!A123</f>
        <v>4.1.1.5.6</v>
      </c>
      <c r="B538" s="172" t="str">
        <f>VLOOKUP(A538,ORÇAMENTO!A:K,4,0)</f>
        <v>TRANSPORTE COM CAMINHÃO BASCULANTE DE 14 M³, EM VIA URBANA PAVIMENTADA, DMT ATÉ 30 KM (UNIDADE: M3XKM). AF_07/2020</v>
      </c>
      <c r="C538" s="173" t="str">
        <f>VLOOKUP(A538,ORÇAMENTO!A:K,5,0)</f>
        <v>M3XKM</v>
      </c>
      <c r="D538" s="173">
        <f>SUM(E542:O542)</f>
        <v>749.29482000000007</v>
      </c>
      <c r="E538" s="173" t="s">
        <v>1718</v>
      </c>
      <c r="F538" s="173" t="s">
        <v>1719</v>
      </c>
      <c r="G538" s="173" t="s">
        <v>1720</v>
      </c>
      <c r="H538" s="173" t="s">
        <v>1721</v>
      </c>
      <c r="I538" s="173" t="s">
        <v>1722</v>
      </c>
      <c r="J538" s="173" t="s">
        <v>1723</v>
      </c>
      <c r="K538" s="173" t="s">
        <v>1758</v>
      </c>
      <c r="L538" s="173" t="s">
        <v>1753</v>
      </c>
      <c r="M538" s="173" t="s">
        <v>1750</v>
      </c>
      <c r="N538" s="173" t="s">
        <v>1727</v>
      </c>
      <c r="O538" s="173" t="s">
        <v>1728</v>
      </c>
      <c r="P538" s="169"/>
      <c r="Q538" s="169"/>
      <c r="R538" s="169"/>
      <c r="S538" s="169"/>
    </row>
    <row r="539" spans="1:19" s="170" customFormat="1" ht="10.5" x14ac:dyDescent="0.25">
      <c r="A539" s="175"/>
      <c r="B539" s="176"/>
      <c r="C539" s="177"/>
      <c r="D539" s="178"/>
      <c r="E539" s="178"/>
      <c r="F539" s="178"/>
      <c r="G539" s="178"/>
      <c r="H539" s="178"/>
      <c r="I539" s="178"/>
      <c r="J539" s="178"/>
      <c r="K539" s="178"/>
      <c r="L539" s="190"/>
      <c r="M539" s="178"/>
      <c r="N539" s="178"/>
      <c r="O539" s="178"/>
      <c r="P539" s="179"/>
      <c r="Q539" s="169"/>
    </row>
    <row r="540" spans="1:19" s="170" customFormat="1" ht="10.5" x14ac:dyDescent="0.25">
      <c r="A540" s="175"/>
      <c r="B540" s="176" t="s">
        <v>1751</v>
      </c>
      <c r="C540" s="184"/>
      <c r="D540" s="185"/>
      <c r="E540" s="185">
        <v>30</v>
      </c>
      <c r="F540" s="178"/>
      <c r="G540" s="178"/>
      <c r="H540" s="178"/>
      <c r="I540" s="178"/>
      <c r="J540" s="178"/>
      <c r="K540" s="178"/>
      <c r="L540" s="190"/>
      <c r="M540" s="185">
        <f>O540*E540</f>
        <v>749.29482000000007</v>
      </c>
      <c r="N540" s="178"/>
      <c r="O540" s="178">
        <f>O537</f>
        <v>24.976494000000002</v>
      </c>
      <c r="P540" s="179"/>
      <c r="Q540" s="169"/>
    </row>
    <row r="541" spans="1:19" s="170" customFormat="1" ht="10.5" x14ac:dyDescent="0.25">
      <c r="A541" s="175"/>
      <c r="B541" s="176"/>
      <c r="C541" s="177"/>
      <c r="D541" s="178"/>
      <c r="E541" s="178"/>
      <c r="F541" s="178"/>
      <c r="G541" s="178"/>
      <c r="H541" s="178"/>
      <c r="I541" s="178"/>
      <c r="J541" s="178"/>
      <c r="K541" s="178"/>
      <c r="L541" s="190"/>
      <c r="M541" s="185"/>
      <c r="N541" s="178"/>
      <c r="O541" s="178"/>
      <c r="P541" s="179"/>
      <c r="Q541" s="169"/>
    </row>
    <row r="542" spans="1:19" s="170" customFormat="1" ht="10.5" x14ac:dyDescent="0.25">
      <c r="A542" s="175"/>
      <c r="B542" s="181" t="s">
        <v>5</v>
      </c>
      <c r="C542" s="182" t="s">
        <v>1328</v>
      </c>
      <c r="D542" s="182"/>
      <c r="E542" s="182"/>
      <c r="F542" s="182"/>
      <c r="G542" s="182"/>
      <c r="H542" s="182"/>
      <c r="I542" s="182"/>
      <c r="J542" s="182"/>
      <c r="K542" s="182"/>
      <c r="L542" s="182"/>
      <c r="M542" s="182">
        <f>SUM(M540:M541)</f>
        <v>749.29482000000007</v>
      </c>
      <c r="N542" s="182"/>
      <c r="O542" s="182"/>
      <c r="P542" s="183"/>
      <c r="Q542" s="169"/>
    </row>
    <row r="543" spans="1:19" s="189" customFormat="1" ht="42" x14ac:dyDescent="0.35">
      <c r="A543" s="171" t="str">
        <f>ORÇAMENTO!A124</f>
        <v>4.1.1.5.7</v>
      </c>
      <c r="B543" s="172" t="str">
        <f>VLOOKUP(A543,ORÇAMENTO!A:K,4,0)</f>
        <v>TRANSPORTE COM CAMINHÃO BASCULANTE DE 14 M³, EM VIA URBANA PAVIMENTADA, ADICIONAL PARA DMT EXCEDENTE A 30 KM (UNIDADE: M3XKM). AF_07/2020</v>
      </c>
      <c r="C543" s="173" t="str">
        <f>VLOOKUP(A543,ORÇAMENTO!A:K,5,0)</f>
        <v>M3XKM</v>
      </c>
      <c r="D543" s="173">
        <f>SUM(E547:O547)</f>
        <v>1118.9469312000001</v>
      </c>
      <c r="E543" s="173" t="s">
        <v>1718</v>
      </c>
      <c r="F543" s="173" t="s">
        <v>1719</v>
      </c>
      <c r="G543" s="173" t="s">
        <v>1720</v>
      </c>
      <c r="H543" s="173" t="s">
        <v>1721</v>
      </c>
      <c r="I543" s="173" t="s">
        <v>1722</v>
      </c>
      <c r="J543" s="173" t="s">
        <v>1723</v>
      </c>
      <c r="K543" s="173" t="s">
        <v>1758</v>
      </c>
      <c r="L543" s="173" t="s">
        <v>1753</v>
      </c>
      <c r="M543" s="173" t="s">
        <v>1750</v>
      </c>
      <c r="N543" s="173" t="s">
        <v>1727</v>
      </c>
      <c r="O543" s="173" t="s">
        <v>1728</v>
      </c>
      <c r="P543" s="169"/>
      <c r="Q543" s="169"/>
      <c r="R543" s="169"/>
      <c r="S543" s="169"/>
    </row>
    <row r="544" spans="1:19" s="170" customFormat="1" ht="10.5" x14ac:dyDescent="0.25">
      <c r="A544" s="175"/>
      <c r="B544" s="176"/>
      <c r="C544" s="177"/>
      <c r="D544" s="178"/>
      <c r="E544" s="178"/>
      <c r="F544" s="178"/>
      <c r="G544" s="178"/>
      <c r="H544" s="178"/>
      <c r="I544" s="178"/>
      <c r="J544" s="178"/>
      <c r="K544" s="178"/>
      <c r="L544" s="190"/>
      <c r="M544" s="178"/>
      <c r="N544" s="178"/>
      <c r="O544" s="178"/>
      <c r="P544" s="179"/>
      <c r="Q544" s="169"/>
    </row>
    <row r="545" spans="1:19" s="170" customFormat="1" ht="10.5" x14ac:dyDescent="0.25">
      <c r="A545" s="175"/>
      <c r="B545" s="176" t="s">
        <v>1751</v>
      </c>
      <c r="C545" s="177"/>
      <c r="D545" s="178"/>
      <c r="E545" s="178">
        <f>74.8-E540</f>
        <v>44.8</v>
      </c>
      <c r="F545" s="178"/>
      <c r="G545" s="178"/>
      <c r="H545" s="178"/>
      <c r="I545" s="178"/>
      <c r="J545" s="178"/>
      <c r="K545" s="178"/>
      <c r="L545" s="190"/>
      <c r="M545" s="185">
        <f>O545*E545</f>
        <v>1118.9469312000001</v>
      </c>
      <c r="N545" s="178"/>
      <c r="O545" s="178">
        <f>O540</f>
        <v>24.976494000000002</v>
      </c>
      <c r="P545" s="179"/>
      <c r="Q545" s="169"/>
    </row>
    <row r="546" spans="1:19" s="170" customFormat="1" ht="10.5" x14ac:dyDescent="0.25">
      <c r="A546" s="175"/>
      <c r="B546" s="176"/>
      <c r="C546" s="177"/>
      <c r="D546" s="178"/>
      <c r="E546" s="178"/>
      <c r="F546" s="178"/>
      <c r="G546" s="178"/>
      <c r="H546" s="178"/>
      <c r="I546" s="178"/>
      <c r="J546" s="178"/>
      <c r="K546" s="178"/>
      <c r="L546" s="190"/>
      <c r="M546" s="185"/>
      <c r="N546" s="178"/>
      <c r="O546" s="178"/>
      <c r="P546" s="179"/>
      <c r="Q546" s="169"/>
    </row>
    <row r="547" spans="1:19" s="170" customFormat="1" ht="10.5" x14ac:dyDescent="0.25">
      <c r="A547" s="175"/>
      <c r="B547" s="181" t="s">
        <v>5</v>
      </c>
      <c r="C547" s="182" t="s">
        <v>1328</v>
      </c>
      <c r="D547" s="182"/>
      <c r="E547" s="182"/>
      <c r="F547" s="182"/>
      <c r="G547" s="182"/>
      <c r="H547" s="182"/>
      <c r="I547" s="182"/>
      <c r="J547" s="182"/>
      <c r="K547" s="182"/>
      <c r="L547" s="182"/>
      <c r="M547" s="182">
        <f>SUM(M545:M546)</f>
        <v>1118.9469312000001</v>
      </c>
      <c r="N547" s="182"/>
      <c r="O547" s="182"/>
      <c r="P547" s="183"/>
      <c r="Q547" s="169"/>
    </row>
    <row r="548" spans="1:19" s="189" customFormat="1" ht="21" x14ac:dyDescent="0.35">
      <c r="A548" s="171" t="str">
        <f>ORÇAMENTO!A125</f>
        <v>4.1.1.6</v>
      </c>
      <c r="B548" s="172" t="str">
        <f>ORÇAMENTO!D125</f>
        <v>DEMOLIÇÕES DE PAREDES PARA AMPLIAÇÃO DE BOCA DE LOBO</v>
      </c>
      <c r="C548" s="173"/>
      <c r="D548" s="173"/>
      <c r="E548" s="173"/>
      <c r="F548" s="173"/>
      <c r="G548" s="173"/>
      <c r="H548" s="173"/>
      <c r="I548" s="173"/>
      <c r="J548" s="173"/>
      <c r="K548" s="173"/>
      <c r="L548" s="173"/>
      <c r="M548" s="173"/>
      <c r="N548" s="173"/>
      <c r="O548" s="173"/>
      <c r="P548" s="169"/>
      <c r="Q548" s="169"/>
      <c r="R548" s="169"/>
      <c r="S548" s="169"/>
    </row>
    <row r="549" spans="1:19" s="189" customFormat="1" ht="21" x14ac:dyDescent="0.35">
      <c r="A549" s="171" t="str">
        <f>ORÇAMENTO!A126</f>
        <v>4.1.1.6.1</v>
      </c>
      <c r="B549" s="172" t="str">
        <f>VLOOKUP(A549,ORÇAMENTO!A:K,4,0)</f>
        <v>DEMOLIÇÃO MANUAL DE CONCRETO ARMADO</v>
      </c>
      <c r="C549" s="173" t="str">
        <f>VLOOKUP(A549,ORÇAMENTO!A:K,5,0)</f>
        <v>M³</v>
      </c>
      <c r="D549" s="173">
        <f>SUM(E553:O553)</f>
        <v>0.81600000000000028</v>
      </c>
      <c r="E549" s="173" t="s">
        <v>1718</v>
      </c>
      <c r="F549" s="173" t="s">
        <v>1719</v>
      </c>
      <c r="G549" s="173" t="s">
        <v>1720</v>
      </c>
      <c r="H549" s="173" t="s">
        <v>1721</v>
      </c>
      <c r="I549" s="173" t="s">
        <v>1722</v>
      </c>
      <c r="J549" s="173" t="s">
        <v>1723</v>
      </c>
      <c r="K549" s="173" t="s">
        <v>1758</v>
      </c>
      <c r="L549" s="173" t="s">
        <v>1753</v>
      </c>
      <c r="M549" s="173" t="s">
        <v>1750</v>
      </c>
      <c r="N549" s="173" t="s">
        <v>1727</v>
      </c>
      <c r="O549" s="173" t="s">
        <v>1728</v>
      </c>
      <c r="P549" s="169"/>
      <c r="Q549" s="169"/>
      <c r="R549" s="169"/>
      <c r="S549" s="169"/>
    </row>
    <row r="550" spans="1:19" s="170" customFormat="1" ht="10.5" x14ac:dyDescent="0.25">
      <c r="A550" s="175"/>
      <c r="B550" s="176"/>
      <c r="C550" s="177"/>
      <c r="D550" s="178"/>
      <c r="E550" s="178"/>
      <c r="F550" s="178"/>
      <c r="G550" s="178"/>
      <c r="H550" s="178"/>
      <c r="I550" s="178"/>
      <c r="J550" s="178"/>
      <c r="K550" s="178"/>
      <c r="L550" s="190"/>
      <c r="M550" s="178"/>
      <c r="N550" s="178"/>
      <c r="O550" s="178"/>
      <c r="P550" s="179"/>
      <c r="Q550" s="169"/>
    </row>
    <row r="551" spans="1:19" s="170" customFormat="1" ht="21" x14ac:dyDescent="0.25">
      <c r="A551" s="175"/>
      <c r="B551" s="176" t="s">
        <v>1764</v>
      </c>
      <c r="C551" s="177"/>
      <c r="D551" s="178"/>
      <c r="E551" s="178"/>
      <c r="F551" s="178"/>
      <c r="G551" s="178"/>
      <c r="H551" s="178"/>
      <c r="I551" s="178"/>
      <c r="J551" s="178"/>
      <c r="K551" s="178"/>
      <c r="L551" s="190"/>
      <c r="M551" s="178"/>
      <c r="N551" s="178"/>
      <c r="O551" s="178">
        <f>QUANTBL!CS96</f>
        <v>0.81600000000000028</v>
      </c>
      <c r="P551" s="179"/>
      <c r="Q551" s="169"/>
    </row>
    <row r="552" spans="1:19" s="170" customFormat="1" ht="10.5" x14ac:dyDescent="0.25">
      <c r="A552" s="175"/>
      <c r="B552" s="176"/>
      <c r="C552" s="177"/>
      <c r="D552" s="178"/>
      <c r="E552" s="178"/>
      <c r="F552" s="178"/>
      <c r="G552" s="178"/>
      <c r="H552" s="178"/>
      <c r="I552" s="178"/>
      <c r="J552" s="178"/>
      <c r="K552" s="178"/>
      <c r="L552" s="190"/>
      <c r="M552" s="178"/>
      <c r="N552" s="178"/>
      <c r="O552" s="178"/>
      <c r="P552" s="179"/>
      <c r="Q552" s="169"/>
    </row>
    <row r="553" spans="1:19" s="170" customFormat="1" ht="10.5" x14ac:dyDescent="0.25">
      <c r="A553" s="175"/>
      <c r="B553" s="181" t="s">
        <v>5</v>
      </c>
      <c r="C553" s="182" t="s">
        <v>1328</v>
      </c>
      <c r="D553" s="182"/>
      <c r="E553" s="182"/>
      <c r="F553" s="182"/>
      <c r="G553" s="182"/>
      <c r="H553" s="182"/>
      <c r="I553" s="182"/>
      <c r="J553" s="182"/>
      <c r="K553" s="182"/>
      <c r="L553" s="182"/>
      <c r="M553" s="182"/>
      <c r="N553" s="182"/>
      <c r="O553" s="182">
        <f>SUM(O551)</f>
        <v>0.81600000000000028</v>
      </c>
      <c r="P553" s="183"/>
      <c r="Q553" s="169"/>
    </row>
    <row r="554" spans="1:19" s="189" customFormat="1" ht="31.5" x14ac:dyDescent="0.35">
      <c r="A554" s="171" t="str">
        <f>ORÇAMENTO!A127</f>
        <v>4.1.1.6.2</v>
      </c>
      <c r="B554" s="172" t="str">
        <f>VLOOKUP(A554,ORÇAMENTO!A:K,4,0)</f>
        <v>DEMOLIÇÃO DE ALVENARIA DE BLOCO FURADO, DE FORMA MANUAL, SEM REAPROVEITAMENTO. AF_09/2023</v>
      </c>
      <c r="C554" s="173" t="str">
        <f>VLOOKUP(A554,ORÇAMENTO!A:K,5,0)</f>
        <v>M³</v>
      </c>
      <c r="D554" s="173">
        <f>SUM(E558:O558)</f>
        <v>17.599999999999998</v>
      </c>
      <c r="E554" s="173" t="s">
        <v>1718</v>
      </c>
      <c r="F554" s="173" t="s">
        <v>1719</v>
      </c>
      <c r="G554" s="173" t="s">
        <v>1720</v>
      </c>
      <c r="H554" s="173" t="s">
        <v>1721</v>
      </c>
      <c r="I554" s="173" t="s">
        <v>1722</v>
      </c>
      <c r="J554" s="173" t="s">
        <v>1723</v>
      </c>
      <c r="K554" s="173" t="s">
        <v>1758</v>
      </c>
      <c r="L554" s="173" t="s">
        <v>1753</v>
      </c>
      <c r="M554" s="173" t="s">
        <v>1750</v>
      </c>
      <c r="N554" s="173" t="s">
        <v>1727</v>
      </c>
      <c r="O554" s="173" t="s">
        <v>1728</v>
      </c>
      <c r="P554" s="169"/>
      <c r="Q554" s="169"/>
      <c r="R554" s="169"/>
      <c r="S554" s="169"/>
    </row>
    <row r="555" spans="1:19" s="170" customFormat="1" ht="10.5" x14ac:dyDescent="0.25">
      <c r="A555" s="175"/>
      <c r="B555" s="176"/>
      <c r="C555" s="177"/>
      <c r="D555" s="178"/>
      <c r="E555" s="178"/>
      <c r="F555" s="178"/>
      <c r="G555" s="178"/>
      <c r="H555" s="178"/>
      <c r="I555" s="178"/>
      <c r="J555" s="178"/>
      <c r="K555" s="178"/>
      <c r="L555" s="190"/>
      <c r="M555" s="178"/>
      <c r="N555" s="178"/>
      <c r="O555" s="178"/>
      <c r="P555" s="179"/>
      <c r="Q555" s="169"/>
    </row>
    <row r="556" spans="1:19" s="170" customFormat="1" ht="21" x14ac:dyDescent="0.25">
      <c r="A556" s="175"/>
      <c r="B556" s="176" t="s">
        <v>1765</v>
      </c>
      <c r="C556" s="177"/>
      <c r="D556" s="178"/>
      <c r="E556" s="178"/>
      <c r="F556" s="178"/>
      <c r="G556" s="178"/>
      <c r="H556" s="178"/>
      <c r="I556" s="178"/>
      <c r="J556" s="178"/>
      <c r="K556" s="178"/>
      <c r="L556" s="190"/>
      <c r="M556" s="178"/>
      <c r="N556" s="178"/>
      <c r="O556" s="178">
        <f>QUANTBL!CR96</f>
        <v>17.599999999999998</v>
      </c>
      <c r="P556" s="179"/>
      <c r="Q556" s="169"/>
    </row>
    <row r="557" spans="1:19" s="170" customFormat="1" ht="10.5" x14ac:dyDescent="0.25">
      <c r="A557" s="175"/>
      <c r="B557" s="176"/>
      <c r="C557" s="177"/>
      <c r="D557" s="178"/>
      <c r="E557" s="178"/>
      <c r="F557" s="178"/>
      <c r="G557" s="178"/>
      <c r="H557" s="178"/>
      <c r="I557" s="178"/>
      <c r="J557" s="178"/>
      <c r="K557" s="178"/>
      <c r="L557" s="190"/>
      <c r="M557" s="178"/>
      <c r="N557" s="178"/>
      <c r="O557" s="178"/>
      <c r="P557" s="179"/>
      <c r="Q557" s="169"/>
    </row>
    <row r="558" spans="1:19" s="170" customFormat="1" ht="10.5" x14ac:dyDescent="0.25">
      <c r="A558" s="175"/>
      <c r="B558" s="181" t="s">
        <v>5</v>
      </c>
      <c r="C558" s="182" t="s">
        <v>1328</v>
      </c>
      <c r="D558" s="182"/>
      <c r="E558" s="182"/>
      <c r="F558" s="182"/>
      <c r="G558" s="182"/>
      <c r="H558" s="182"/>
      <c r="I558" s="182"/>
      <c r="J558" s="182"/>
      <c r="K558" s="182"/>
      <c r="L558" s="182"/>
      <c r="M558" s="182"/>
      <c r="N558" s="182"/>
      <c r="O558" s="182">
        <f>SUM(O556)</f>
        <v>17.599999999999998</v>
      </c>
      <c r="P558" s="183"/>
      <c r="Q558" s="169"/>
    </row>
    <row r="559" spans="1:19" s="189" customFormat="1" ht="52.5" x14ac:dyDescent="0.35">
      <c r="A559" s="171" t="str">
        <f>ORÇAMENTO!A128</f>
        <v>4.1.1.6.3</v>
      </c>
      <c r="B559" s="172" t="str">
        <f>VLOOKUP(A559,ORÇAMENTO!A:K,4,0)</f>
        <v>CARGA, MANOBRA E DESCARGA DE ENTULHO EM CAMINHÃO BASCULANTE 14 M³ - CARGA COM ESCAVADEIRA HIDRÁULICA  (CAÇAMBA DE 0,80 M³ / 111 HP) E DESCARGA LIVRE (UNIDADE: M3). AF_07/2020</v>
      </c>
      <c r="C559" s="173" t="str">
        <f>VLOOKUP(A559,ORÇAMENTO!A:K,5,0)</f>
        <v>M³</v>
      </c>
      <c r="D559" s="173">
        <f>SUM(E564:O564)</f>
        <v>18.415999999999997</v>
      </c>
      <c r="E559" s="173" t="s">
        <v>1718</v>
      </c>
      <c r="F559" s="173" t="s">
        <v>1719</v>
      </c>
      <c r="G559" s="173" t="s">
        <v>1720</v>
      </c>
      <c r="H559" s="173" t="s">
        <v>1721</v>
      </c>
      <c r="I559" s="173" t="s">
        <v>1722</v>
      </c>
      <c r="J559" s="173" t="s">
        <v>1723</v>
      </c>
      <c r="K559" s="173" t="s">
        <v>1758</v>
      </c>
      <c r="L559" s="173" t="s">
        <v>1753</v>
      </c>
      <c r="M559" s="173" t="s">
        <v>1750</v>
      </c>
      <c r="N559" s="173" t="s">
        <v>1727</v>
      </c>
      <c r="O559" s="173" t="s">
        <v>1728</v>
      </c>
      <c r="P559" s="169"/>
      <c r="Q559" s="169"/>
      <c r="R559" s="169"/>
      <c r="S559" s="169"/>
    </row>
    <row r="560" spans="1:19" s="170" customFormat="1" ht="10.5" x14ac:dyDescent="0.25">
      <c r="A560" s="175"/>
      <c r="B560" s="176"/>
      <c r="C560" s="177"/>
      <c r="D560" s="178"/>
      <c r="E560" s="178"/>
      <c r="F560" s="178"/>
      <c r="G560" s="178"/>
      <c r="H560" s="178"/>
      <c r="I560" s="178"/>
      <c r="J560" s="178"/>
      <c r="K560" s="178"/>
      <c r="L560" s="190"/>
      <c r="M560" s="178"/>
      <c r="N560" s="178"/>
      <c r="O560" s="178"/>
      <c r="P560" s="179"/>
      <c r="Q560" s="169"/>
    </row>
    <row r="561" spans="1:19" s="170" customFormat="1" ht="10.5" x14ac:dyDescent="0.25">
      <c r="A561" s="175"/>
      <c r="B561" s="176" t="s">
        <v>1766</v>
      </c>
      <c r="C561" s="177"/>
      <c r="D561" s="178"/>
      <c r="E561" s="178"/>
      <c r="F561" s="178"/>
      <c r="G561" s="178"/>
      <c r="H561" s="178"/>
      <c r="I561" s="178"/>
      <c r="J561" s="178"/>
      <c r="K561" s="178"/>
      <c r="L561" s="190"/>
      <c r="M561" s="178"/>
      <c r="N561" s="178"/>
      <c r="O561" s="178">
        <f>O551</f>
        <v>0.81600000000000028</v>
      </c>
      <c r="P561" s="179"/>
      <c r="Q561" s="169"/>
    </row>
    <row r="562" spans="1:19" s="170" customFormat="1" ht="10.5" x14ac:dyDescent="0.25">
      <c r="A562" s="175"/>
      <c r="B562" s="176" t="s">
        <v>1767</v>
      </c>
      <c r="C562" s="177"/>
      <c r="D562" s="178"/>
      <c r="E562" s="178"/>
      <c r="F562" s="178"/>
      <c r="G562" s="178"/>
      <c r="H562" s="178"/>
      <c r="I562" s="178"/>
      <c r="J562" s="178"/>
      <c r="K562" s="178"/>
      <c r="L562" s="190"/>
      <c r="M562" s="178"/>
      <c r="N562" s="178"/>
      <c r="O562" s="178">
        <f>O556</f>
        <v>17.599999999999998</v>
      </c>
      <c r="P562" s="179"/>
      <c r="Q562" s="169"/>
    </row>
    <row r="563" spans="1:19" s="170" customFormat="1" ht="10.5" x14ac:dyDescent="0.25">
      <c r="A563" s="175"/>
      <c r="B563" s="176"/>
      <c r="C563" s="177"/>
      <c r="D563" s="178"/>
      <c r="E563" s="178"/>
      <c r="F563" s="178"/>
      <c r="G563" s="178"/>
      <c r="H563" s="178"/>
      <c r="I563" s="178"/>
      <c r="J563" s="178"/>
      <c r="K563" s="178"/>
      <c r="L563" s="190"/>
      <c r="M563" s="178"/>
      <c r="N563" s="178"/>
      <c r="O563" s="178"/>
      <c r="P563" s="179"/>
      <c r="Q563" s="169"/>
    </row>
    <row r="564" spans="1:19" s="170" customFormat="1" ht="10.5" x14ac:dyDescent="0.25">
      <c r="A564" s="175"/>
      <c r="B564" s="181" t="s">
        <v>5</v>
      </c>
      <c r="C564" s="182" t="s">
        <v>1328</v>
      </c>
      <c r="D564" s="182"/>
      <c r="E564" s="182"/>
      <c r="F564" s="182"/>
      <c r="G564" s="182"/>
      <c r="H564" s="182"/>
      <c r="I564" s="182"/>
      <c r="J564" s="182"/>
      <c r="K564" s="182"/>
      <c r="L564" s="182"/>
      <c r="M564" s="182"/>
      <c r="N564" s="182"/>
      <c r="O564" s="182">
        <f>SUM(O561:O563)</f>
        <v>18.415999999999997</v>
      </c>
      <c r="P564" s="183"/>
      <c r="Q564" s="169"/>
    </row>
    <row r="565" spans="1:19" s="189" customFormat="1" ht="31.5" x14ac:dyDescent="0.35">
      <c r="A565" s="171" t="str">
        <f>ORÇAMENTO!A129</f>
        <v>4.1.1.6.4</v>
      </c>
      <c r="B565" s="172" t="str">
        <f>VLOOKUP(A565,ORÇAMENTO!A:K,4,0)</f>
        <v>TRANSPORTE COM CAMINHÃO BASCULANTE DE 14 M³, EM VIA URBANA PAVIMENTADA, DMT ATÉ 30 KM (UNIDADE: M3XKM). AF_07/2020</v>
      </c>
      <c r="C565" s="173" t="str">
        <f>VLOOKUP(A565,ORÇAMENTO!A:K,5,0)</f>
        <v>M3XKM</v>
      </c>
      <c r="D565" s="173">
        <f>SUM(E569:O569)</f>
        <v>552.4799999999999</v>
      </c>
      <c r="E565" s="173" t="s">
        <v>1718</v>
      </c>
      <c r="F565" s="173" t="s">
        <v>1719</v>
      </c>
      <c r="G565" s="173" t="s">
        <v>1720</v>
      </c>
      <c r="H565" s="173" t="s">
        <v>1721</v>
      </c>
      <c r="I565" s="173" t="s">
        <v>1722</v>
      </c>
      <c r="J565" s="173" t="s">
        <v>1723</v>
      </c>
      <c r="K565" s="173" t="s">
        <v>1758</v>
      </c>
      <c r="L565" s="173" t="s">
        <v>1753</v>
      </c>
      <c r="M565" s="173" t="s">
        <v>1750</v>
      </c>
      <c r="N565" s="173" t="s">
        <v>1727</v>
      </c>
      <c r="O565" s="173" t="s">
        <v>1728</v>
      </c>
      <c r="P565" s="169"/>
      <c r="Q565" s="169"/>
      <c r="R565" s="169"/>
      <c r="S565" s="169"/>
    </row>
    <row r="566" spans="1:19" s="170" customFormat="1" ht="10.5" x14ac:dyDescent="0.25">
      <c r="A566" s="175"/>
      <c r="B566" s="176"/>
      <c r="C566" s="177"/>
      <c r="D566" s="178"/>
      <c r="E566" s="178"/>
      <c r="F566" s="178"/>
      <c r="G566" s="178"/>
      <c r="H566" s="178"/>
      <c r="I566" s="178"/>
      <c r="J566" s="178"/>
      <c r="K566" s="178"/>
      <c r="L566" s="190"/>
      <c r="M566" s="178"/>
      <c r="N566" s="178"/>
      <c r="O566" s="178"/>
      <c r="P566" s="179"/>
      <c r="Q566" s="169"/>
    </row>
    <row r="567" spans="1:19" s="170" customFormat="1" ht="10.5" x14ac:dyDescent="0.25">
      <c r="A567" s="175"/>
      <c r="B567" s="176" t="s">
        <v>1751</v>
      </c>
      <c r="C567" s="184"/>
      <c r="D567" s="185"/>
      <c r="E567" s="185">
        <v>30</v>
      </c>
      <c r="F567" s="178"/>
      <c r="G567" s="178"/>
      <c r="H567" s="178"/>
      <c r="I567" s="178"/>
      <c r="J567" s="178"/>
      <c r="K567" s="178"/>
      <c r="L567" s="190"/>
      <c r="M567" s="185">
        <f>O567*E567</f>
        <v>552.4799999999999</v>
      </c>
      <c r="N567" s="178"/>
      <c r="O567" s="178">
        <f>O564</f>
        <v>18.415999999999997</v>
      </c>
      <c r="P567" s="179"/>
      <c r="Q567" s="169"/>
    </row>
    <row r="568" spans="1:19" s="170" customFormat="1" ht="10.5" x14ac:dyDescent="0.25">
      <c r="A568" s="175"/>
      <c r="B568" s="176"/>
      <c r="C568" s="177"/>
      <c r="D568" s="178"/>
      <c r="E568" s="178"/>
      <c r="F568" s="178"/>
      <c r="G568" s="178"/>
      <c r="H568" s="178"/>
      <c r="I568" s="178"/>
      <c r="J568" s="178"/>
      <c r="K568" s="178"/>
      <c r="L568" s="190"/>
      <c r="M568" s="185"/>
      <c r="N568" s="178"/>
      <c r="O568" s="178"/>
      <c r="P568" s="179"/>
      <c r="Q568" s="169"/>
    </row>
    <row r="569" spans="1:19" s="170" customFormat="1" ht="10.5" x14ac:dyDescent="0.25">
      <c r="A569" s="175"/>
      <c r="B569" s="181" t="s">
        <v>5</v>
      </c>
      <c r="C569" s="182" t="s">
        <v>1328</v>
      </c>
      <c r="D569" s="182"/>
      <c r="E569" s="182"/>
      <c r="F569" s="182"/>
      <c r="G569" s="182"/>
      <c r="H569" s="182"/>
      <c r="I569" s="182"/>
      <c r="J569" s="182"/>
      <c r="K569" s="182"/>
      <c r="L569" s="182"/>
      <c r="M569" s="182">
        <f>SUM(M567:M568)</f>
        <v>552.4799999999999</v>
      </c>
      <c r="N569" s="182"/>
      <c r="O569" s="182"/>
      <c r="P569" s="183"/>
      <c r="Q569" s="169"/>
    </row>
    <row r="570" spans="1:19" s="189" customFormat="1" ht="42" x14ac:dyDescent="0.35">
      <c r="A570" s="171" t="str">
        <f>ORÇAMENTO!A130</f>
        <v>4.1.1.6.5</v>
      </c>
      <c r="B570" s="172" t="str">
        <f>VLOOKUP(A570,ORÇAMENTO!A:K,4,0)</f>
        <v>TRANSPORTE COM CAMINHÃO BASCULANTE DE 14 M³, EM VIA URBANA PAVIMENTADA, ADICIONAL PARA DMT EXCEDENTE A 30 KM (UNIDADE: M3XKM). AF_07/2020</v>
      </c>
      <c r="C570" s="173" t="str">
        <f>VLOOKUP(A570,ORÇAMENTO!A:K,5,0)</f>
        <v>M3XKM</v>
      </c>
      <c r="D570" s="173">
        <f>SUM(E574:O574)</f>
        <v>825.03679999999986</v>
      </c>
      <c r="E570" s="173" t="s">
        <v>1718</v>
      </c>
      <c r="F570" s="173" t="s">
        <v>1719</v>
      </c>
      <c r="G570" s="173" t="s">
        <v>1720</v>
      </c>
      <c r="H570" s="173" t="s">
        <v>1721</v>
      </c>
      <c r="I570" s="173" t="s">
        <v>1722</v>
      </c>
      <c r="J570" s="173" t="s">
        <v>1723</v>
      </c>
      <c r="K570" s="173" t="s">
        <v>1758</v>
      </c>
      <c r="L570" s="173" t="s">
        <v>1753</v>
      </c>
      <c r="M570" s="173" t="s">
        <v>1750</v>
      </c>
      <c r="N570" s="173" t="s">
        <v>1727</v>
      </c>
      <c r="O570" s="173" t="s">
        <v>1728</v>
      </c>
      <c r="P570" s="169"/>
      <c r="Q570" s="169"/>
      <c r="R570" s="169"/>
      <c r="S570" s="169"/>
    </row>
    <row r="571" spans="1:19" s="170" customFormat="1" ht="10.5" x14ac:dyDescent="0.25">
      <c r="A571" s="175"/>
      <c r="B571" s="176"/>
      <c r="C571" s="177"/>
      <c r="D571" s="178"/>
      <c r="E571" s="178"/>
      <c r="F571" s="178"/>
      <c r="G571" s="178"/>
      <c r="H571" s="178"/>
      <c r="I571" s="178"/>
      <c r="J571" s="178"/>
      <c r="K571" s="178"/>
      <c r="L571" s="190"/>
      <c r="M571" s="178"/>
      <c r="N571" s="178"/>
      <c r="O571" s="178"/>
      <c r="P571" s="179"/>
      <c r="Q571" s="169"/>
    </row>
    <row r="572" spans="1:19" s="170" customFormat="1" ht="10.5" x14ac:dyDescent="0.25">
      <c r="A572" s="175"/>
      <c r="B572" s="176" t="s">
        <v>1751</v>
      </c>
      <c r="C572" s="177"/>
      <c r="D572" s="178"/>
      <c r="E572" s="178">
        <f>74.8-E567</f>
        <v>44.8</v>
      </c>
      <c r="F572" s="178"/>
      <c r="G572" s="178"/>
      <c r="H572" s="178"/>
      <c r="I572" s="178"/>
      <c r="J572" s="178"/>
      <c r="K572" s="178"/>
      <c r="L572" s="190"/>
      <c r="M572" s="185">
        <f>O572*E572</f>
        <v>825.03679999999986</v>
      </c>
      <c r="N572" s="178"/>
      <c r="O572" s="178">
        <f>O567</f>
        <v>18.415999999999997</v>
      </c>
      <c r="P572" s="179"/>
      <c r="Q572" s="169"/>
    </row>
    <row r="573" spans="1:19" s="170" customFormat="1" ht="10.5" x14ac:dyDescent="0.25">
      <c r="A573" s="175"/>
      <c r="B573" s="176"/>
      <c r="C573" s="177"/>
      <c r="D573" s="178"/>
      <c r="E573" s="178"/>
      <c r="F573" s="178"/>
      <c r="G573" s="178"/>
      <c r="H573" s="178"/>
      <c r="I573" s="178"/>
      <c r="J573" s="178"/>
      <c r="K573" s="178"/>
      <c r="L573" s="190"/>
      <c r="M573" s="185"/>
      <c r="N573" s="178"/>
      <c r="O573" s="178"/>
      <c r="P573" s="179"/>
      <c r="Q573" s="169"/>
    </row>
    <row r="574" spans="1:19" s="170" customFormat="1" ht="10.5" x14ac:dyDescent="0.25">
      <c r="A574" s="175"/>
      <c r="B574" s="181" t="s">
        <v>5</v>
      </c>
      <c r="C574" s="182" t="s">
        <v>1328</v>
      </c>
      <c r="D574" s="182"/>
      <c r="E574" s="182"/>
      <c r="F574" s="182"/>
      <c r="G574" s="182"/>
      <c r="H574" s="182"/>
      <c r="I574" s="182"/>
      <c r="J574" s="182"/>
      <c r="K574" s="182"/>
      <c r="L574" s="182"/>
      <c r="M574" s="182">
        <f>SUM(M572:M573)</f>
        <v>825.03679999999986</v>
      </c>
      <c r="N574" s="182"/>
      <c r="O574" s="182"/>
      <c r="P574" s="183"/>
      <c r="Q574" s="169"/>
    </row>
    <row r="575" spans="1:19" s="170" customFormat="1" ht="10.5" x14ac:dyDescent="0.25">
      <c r="A575" s="165"/>
      <c r="B575" s="166" t="str">
        <f>ORÇAMENTO!D131</f>
        <v>ENSAIOS</v>
      </c>
      <c r="C575" s="167"/>
      <c r="D575" s="167"/>
      <c r="E575" s="168"/>
      <c r="F575" s="168"/>
      <c r="G575" s="168"/>
      <c r="H575" s="168"/>
      <c r="I575" s="168"/>
      <c r="J575" s="168"/>
      <c r="K575" s="168"/>
      <c r="L575" s="168"/>
      <c r="M575" s="168"/>
      <c r="N575" s="168"/>
      <c r="O575" s="168"/>
      <c r="P575" s="169"/>
      <c r="Q575" s="169"/>
    </row>
    <row r="576" spans="1:19" s="189" customFormat="1" ht="31.5" x14ac:dyDescent="0.35">
      <c r="A576" s="171" t="str">
        <f>ORÇAMENTO!A132</f>
        <v>4.1.1.7.1</v>
      </c>
      <c r="B576" s="172" t="str">
        <f>VLOOKUP(A576,ORÇAMENTO!A:K,4,0)</f>
        <v>DETERMINAÇÃO DA DENSIDADE IN SITU DAS MISTURAS ASFÁLTICAS COMPACTADAS (DNIT 431/2020-ME)</v>
      </c>
      <c r="C576" s="173" t="str">
        <f>VLOOKUP(A576,ORÇAMENTO!A:K,5,0)</f>
        <v>UN</v>
      </c>
      <c r="D576" s="173">
        <f>SUM(E583:O583)</f>
        <v>14</v>
      </c>
      <c r="E576" s="173" t="s">
        <v>1718</v>
      </c>
      <c r="F576" s="173" t="s">
        <v>1719</v>
      </c>
      <c r="G576" s="173" t="s">
        <v>1720</v>
      </c>
      <c r="H576" s="173" t="s">
        <v>1721</v>
      </c>
      <c r="I576" s="173" t="s">
        <v>1722</v>
      </c>
      <c r="J576" s="173" t="s">
        <v>1723</v>
      </c>
      <c r="K576" s="173" t="s">
        <v>1758</v>
      </c>
      <c r="L576" s="173" t="s">
        <v>1753</v>
      </c>
      <c r="M576" s="173" t="s">
        <v>1768</v>
      </c>
      <c r="N576" s="173" t="s">
        <v>1727</v>
      </c>
      <c r="O576" s="173" t="s">
        <v>1728</v>
      </c>
      <c r="P576" s="169"/>
      <c r="Q576" s="169"/>
      <c r="R576" s="169"/>
      <c r="S576" s="169"/>
    </row>
    <row r="577" spans="1:19" s="189" customFormat="1" x14ac:dyDescent="0.35">
      <c r="A577" s="175"/>
      <c r="B577" s="181" t="s">
        <v>1769</v>
      </c>
      <c r="C577" s="177"/>
      <c r="D577" s="177"/>
      <c r="E577" s="178"/>
      <c r="F577" s="178"/>
      <c r="G577" s="178"/>
      <c r="H577" s="178"/>
      <c r="I577" s="178"/>
      <c r="J577" s="178"/>
      <c r="K577" s="178"/>
      <c r="L577" s="178"/>
      <c r="M577" s="178"/>
      <c r="N577" s="178"/>
      <c r="O577" s="178"/>
      <c r="P577" s="169"/>
      <c r="Q577" s="169"/>
      <c r="R577" s="169"/>
      <c r="S577" s="169"/>
    </row>
    <row r="578" spans="1:19" s="189" customFormat="1" x14ac:dyDescent="0.35">
      <c r="A578" s="175"/>
      <c r="B578" s="181" t="s">
        <v>1770</v>
      </c>
      <c r="C578" s="177"/>
      <c r="D578" s="177"/>
      <c r="E578" s="178">
        <f>SUMIF(Quantitativos!$O$6:$O$32,"ASFALTO",Quantitativos!$F$6:$F$32)</f>
        <v>833.45318588460066</v>
      </c>
      <c r="F578" s="178"/>
      <c r="G578" s="178"/>
      <c r="H578" s="178"/>
      <c r="I578" s="178"/>
      <c r="J578" s="178"/>
      <c r="K578" s="178">
        <f>ROUND(E578/100,0)</f>
        <v>8</v>
      </c>
      <c r="L578" s="178"/>
      <c r="M578" s="178"/>
      <c r="N578" s="178"/>
      <c r="O578" s="178"/>
      <c r="P578" s="169"/>
      <c r="Q578" s="169"/>
      <c r="R578" s="169"/>
      <c r="S578" s="169"/>
    </row>
    <row r="579" spans="1:19" s="189" customFormat="1" x14ac:dyDescent="0.35">
      <c r="A579" s="175"/>
      <c r="B579" s="181" t="str">
        <f>B1445</f>
        <v>VIA 1 - ESTACA 0+0,00 A 12+13,72</v>
      </c>
      <c r="C579" s="177"/>
      <c r="D579" s="177"/>
      <c r="E579" s="178">
        <f>E1445</f>
        <v>253.72</v>
      </c>
      <c r="F579" s="178"/>
      <c r="G579" s="178"/>
      <c r="H579" s="178"/>
      <c r="I579" s="178"/>
      <c r="J579" s="178"/>
      <c r="K579" s="178">
        <f>ROUND(E579/100,0)</f>
        <v>3</v>
      </c>
      <c r="L579" s="178"/>
      <c r="M579" s="178"/>
      <c r="N579" s="178"/>
      <c r="O579" s="192"/>
      <c r="P579" s="169"/>
      <c r="Q579" s="169"/>
      <c r="R579" s="169"/>
      <c r="S579" s="169"/>
    </row>
    <row r="580" spans="1:19" s="189" customFormat="1" x14ac:dyDescent="0.35">
      <c r="A580" s="175"/>
      <c r="B580" s="181" t="str">
        <f>B1446</f>
        <v>VIA 2 - ESTACA 0+3,47 A 5+16,63</v>
      </c>
      <c r="C580" s="177"/>
      <c r="D580" s="177"/>
      <c r="E580" s="178">
        <f>E1446</f>
        <v>116.63</v>
      </c>
      <c r="F580" s="178"/>
      <c r="G580" s="178"/>
      <c r="H580" s="178"/>
      <c r="I580" s="178"/>
      <c r="J580" s="178"/>
      <c r="K580" s="178">
        <f>ROUND(E580/100,0)</f>
        <v>1</v>
      </c>
      <c r="L580" s="178"/>
      <c r="M580" s="178"/>
      <c r="N580" s="178"/>
      <c r="O580" s="192"/>
      <c r="P580" s="169"/>
      <c r="Q580" s="169"/>
      <c r="R580" s="169"/>
      <c r="S580" s="169"/>
    </row>
    <row r="581" spans="1:19" s="189" customFormat="1" x14ac:dyDescent="0.35">
      <c r="A581" s="175"/>
      <c r="B581" s="181" t="str">
        <f>B1447</f>
        <v>VIA 3 - ESTACA 0+0,00 A 8+18,60</v>
      </c>
      <c r="C581" s="177"/>
      <c r="D581" s="177"/>
      <c r="E581" s="178">
        <f>E1447</f>
        <v>178.6</v>
      </c>
      <c r="F581" s="178"/>
      <c r="G581" s="178"/>
      <c r="H581" s="178"/>
      <c r="I581" s="178"/>
      <c r="J581" s="178"/>
      <c r="K581" s="178">
        <f>ROUND(E581/100,0)</f>
        <v>2</v>
      </c>
      <c r="L581" s="178"/>
      <c r="M581" s="178"/>
      <c r="N581" s="178"/>
      <c r="O581" s="192"/>
      <c r="P581" s="169"/>
      <c r="Q581" s="169"/>
      <c r="R581" s="169"/>
      <c r="S581" s="169"/>
    </row>
    <row r="582" spans="1:19" s="164" customFormat="1" x14ac:dyDescent="0.35">
      <c r="A582" s="175"/>
      <c r="B582" s="176"/>
      <c r="C582" s="178"/>
      <c r="D582" s="178"/>
      <c r="E582" s="178"/>
      <c r="F582" s="178"/>
      <c r="G582" s="178"/>
      <c r="H582" s="178"/>
      <c r="I582" s="178"/>
      <c r="J582" s="178"/>
      <c r="K582" s="178"/>
      <c r="L582" s="178"/>
      <c r="M582" s="178"/>
      <c r="N582" s="178"/>
      <c r="O582" s="193"/>
      <c r="P582" s="194"/>
      <c r="Q582" s="194"/>
      <c r="R582" s="194"/>
      <c r="S582" s="194"/>
    </row>
    <row r="583" spans="1:19" s="189" customFormat="1" x14ac:dyDescent="0.35">
      <c r="A583" s="195"/>
      <c r="B583" s="181" t="s">
        <v>5</v>
      </c>
      <c r="C583" s="182" t="s">
        <v>1328</v>
      </c>
      <c r="D583" s="182"/>
      <c r="E583" s="182"/>
      <c r="F583" s="182"/>
      <c r="G583" s="182"/>
      <c r="H583" s="182"/>
      <c r="I583" s="182"/>
      <c r="J583" s="182"/>
      <c r="K583" s="196">
        <f>SUM(K577:K582)</f>
        <v>14</v>
      </c>
      <c r="L583" s="182"/>
      <c r="M583" s="182"/>
      <c r="N583" s="182"/>
      <c r="O583" s="196"/>
      <c r="P583" s="169"/>
      <c r="Q583" s="169"/>
      <c r="R583" s="169"/>
      <c r="S583" s="169"/>
    </row>
    <row r="584" spans="1:19" s="189" customFormat="1" ht="21" x14ac:dyDescent="0.35">
      <c r="A584" s="171" t="str">
        <f>ORÇAMENTO!A133</f>
        <v>4.1.1.7.2</v>
      </c>
      <c r="B584" s="172" t="str">
        <f>VLOOKUP(A584,ORÇAMENTO!A:K,4,0)</f>
        <v>ENSAIO QUIMICO COMPLETO DE CAL</v>
      </c>
      <c r="C584" s="173" t="str">
        <f>VLOOKUP(A584,ORÇAMENTO!A:K,5,0)</f>
        <v>UN</v>
      </c>
      <c r="D584" s="173">
        <f>SUM(E591:O591)</f>
        <v>14</v>
      </c>
      <c r="E584" s="173" t="s">
        <v>1718</v>
      </c>
      <c r="F584" s="173" t="s">
        <v>1719</v>
      </c>
      <c r="G584" s="173" t="s">
        <v>1720</v>
      </c>
      <c r="H584" s="173" t="s">
        <v>1721</v>
      </c>
      <c r="I584" s="173" t="s">
        <v>1722</v>
      </c>
      <c r="J584" s="173" t="s">
        <v>1723</v>
      </c>
      <c r="K584" s="173" t="s">
        <v>1758</v>
      </c>
      <c r="L584" s="173" t="s">
        <v>1753</v>
      </c>
      <c r="M584" s="173" t="s">
        <v>1768</v>
      </c>
      <c r="N584" s="173" t="s">
        <v>1727</v>
      </c>
      <c r="O584" s="173" t="s">
        <v>1728</v>
      </c>
      <c r="P584" s="169"/>
      <c r="Q584" s="169"/>
      <c r="R584" s="169"/>
      <c r="S584" s="169"/>
    </row>
    <row r="585" spans="1:19" s="189" customFormat="1" x14ac:dyDescent="0.35">
      <c r="A585" s="175"/>
      <c r="B585" s="181" t="str">
        <f>B577</f>
        <v>1 ENSAIO A CADA 100M</v>
      </c>
      <c r="C585" s="177"/>
      <c r="D585" s="177"/>
      <c r="E585" s="178"/>
      <c r="F585" s="178"/>
      <c r="G585" s="178"/>
      <c r="H585" s="178"/>
      <c r="I585" s="178"/>
      <c r="J585" s="178"/>
      <c r="K585" s="178"/>
      <c r="L585" s="178"/>
      <c r="M585" s="178"/>
      <c r="N585" s="178"/>
      <c r="O585" s="178"/>
      <c r="P585" s="169"/>
      <c r="Q585" s="169"/>
      <c r="R585" s="169"/>
      <c r="S585" s="169"/>
    </row>
    <row r="586" spans="1:19" s="189" customFormat="1" x14ac:dyDescent="0.35">
      <c r="A586" s="175"/>
      <c r="B586" s="181" t="str">
        <f>B578</f>
        <v>EXTENSÃO REDE ASFALTADA</v>
      </c>
      <c r="C586" s="177"/>
      <c r="D586" s="177"/>
      <c r="E586" s="178">
        <f>E578</f>
        <v>833.45318588460066</v>
      </c>
      <c r="F586" s="178"/>
      <c r="G586" s="178"/>
      <c r="H586" s="178"/>
      <c r="I586" s="178"/>
      <c r="J586" s="178"/>
      <c r="K586" s="178">
        <f>ROUND(E586/100,0)</f>
        <v>8</v>
      </c>
      <c r="L586" s="178"/>
      <c r="M586" s="178"/>
      <c r="N586" s="178"/>
      <c r="O586" s="178"/>
      <c r="P586" s="169"/>
      <c r="Q586" s="169"/>
      <c r="R586" s="169"/>
      <c r="S586" s="169"/>
    </row>
    <row r="587" spans="1:19" s="189" customFormat="1" x14ac:dyDescent="0.35">
      <c r="A587" s="175"/>
      <c r="B587" s="181" t="str">
        <f>B579</f>
        <v>VIA 1 - ESTACA 0+0,00 A 12+13,72</v>
      </c>
      <c r="C587" s="177"/>
      <c r="D587" s="177"/>
      <c r="E587" s="178">
        <f>E579</f>
        <v>253.72</v>
      </c>
      <c r="F587" s="178"/>
      <c r="G587" s="178"/>
      <c r="H587" s="178"/>
      <c r="I587" s="178"/>
      <c r="J587" s="178"/>
      <c r="K587" s="178">
        <f>ROUND(E587/100,0)</f>
        <v>3</v>
      </c>
      <c r="L587" s="178"/>
      <c r="M587" s="178"/>
      <c r="N587" s="178"/>
      <c r="O587" s="192"/>
      <c r="P587" s="169"/>
      <c r="Q587" s="169"/>
      <c r="R587" s="169"/>
      <c r="S587" s="169"/>
    </row>
    <row r="588" spans="1:19" s="189" customFormat="1" x14ac:dyDescent="0.35">
      <c r="A588" s="175"/>
      <c r="B588" s="181" t="str">
        <f>B580</f>
        <v>VIA 2 - ESTACA 0+3,47 A 5+16,63</v>
      </c>
      <c r="C588" s="177"/>
      <c r="D588" s="177"/>
      <c r="E588" s="178">
        <f>E580</f>
        <v>116.63</v>
      </c>
      <c r="F588" s="178"/>
      <c r="G588" s="178"/>
      <c r="H588" s="178"/>
      <c r="I588" s="178"/>
      <c r="J588" s="178"/>
      <c r="K588" s="178">
        <f>ROUND(E588/100,0)</f>
        <v>1</v>
      </c>
      <c r="L588" s="178"/>
      <c r="M588" s="178"/>
      <c r="N588" s="178"/>
      <c r="O588" s="192"/>
      <c r="P588" s="169"/>
      <c r="Q588" s="169"/>
      <c r="R588" s="169"/>
      <c r="S588" s="169"/>
    </row>
    <row r="589" spans="1:19" s="189" customFormat="1" x14ac:dyDescent="0.35">
      <c r="A589" s="175"/>
      <c r="B589" s="181" t="str">
        <f>B581</f>
        <v>VIA 3 - ESTACA 0+0,00 A 8+18,60</v>
      </c>
      <c r="C589" s="177"/>
      <c r="D589" s="177"/>
      <c r="E589" s="178">
        <f>E581</f>
        <v>178.6</v>
      </c>
      <c r="F589" s="178"/>
      <c r="G589" s="178"/>
      <c r="H589" s="178"/>
      <c r="I589" s="178"/>
      <c r="J589" s="178"/>
      <c r="K589" s="178">
        <f>ROUND(E589/100,0)</f>
        <v>2</v>
      </c>
      <c r="L589" s="178"/>
      <c r="M589" s="178"/>
      <c r="N589" s="178"/>
      <c r="O589" s="192"/>
      <c r="P589" s="169"/>
      <c r="Q589" s="169"/>
      <c r="R589" s="169"/>
      <c r="S589" s="169"/>
    </row>
    <row r="590" spans="1:19" s="164" customFormat="1" x14ac:dyDescent="0.35">
      <c r="A590" s="175"/>
      <c r="B590" s="176"/>
      <c r="C590" s="178"/>
      <c r="D590" s="178"/>
      <c r="E590" s="178"/>
      <c r="F590" s="178"/>
      <c r="G590" s="178"/>
      <c r="H590" s="178"/>
      <c r="I590" s="178"/>
      <c r="J590" s="178"/>
      <c r="K590" s="178"/>
      <c r="L590" s="178"/>
      <c r="M590" s="178"/>
      <c r="N590" s="178"/>
      <c r="O590" s="193"/>
      <c r="P590" s="194"/>
      <c r="Q590" s="194"/>
      <c r="R590" s="194"/>
      <c r="S590" s="194"/>
    </row>
    <row r="591" spans="1:19" s="189" customFormat="1" x14ac:dyDescent="0.35">
      <c r="A591" s="195"/>
      <c r="B591" s="181" t="s">
        <v>5</v>
      </c>
      <c r="C591" s="182" t="s">
        <v>1328</v>
      </c>
      <c r="D591" s="182"/>
      <c r="E591" s="182"/>
      <c r="F591" s="182"/>
      <c r="G591" s="182"/>
      <c r="H591" s="182"/>
      <c r="I591" s="182"/>
      <c r="J591" s="182"/>
      <c r="K591" s="196">
        <f>SUM(K585:K590)</f>
        <v>14</v>
      </c>
      <c r="L591" s="182"/>
      <c r="M591" s="182"/>
      <c r="N591" s="182"/>
      <c r="O591" s="196"/>
      <c r="P591" s="169"/>
      <c r="Q591" s="169"/>
      <c r="R591" s="169"/>
      <c r="S591" s="169"/>
    </row>
    <row r="592" spans="1:19" s="170" customFormat="1" ht="10.5" x14ac:dyDescent="0.25">
      <c r="A592" s="165" t="str">
        <f>ORÇAMENTO!A134</f>
        <v>4.1.2</v>
      </c>
      <c r="B592" s="166" t="str">
        <f>VLOOKUP(A592,ORÇAMENTO!A:K,4,0)</f>
        <v>REDES DE DRENAGEM DE ÁGUAS PLUVIAIS</v>
      </c>
      <c r="C592" s="167"/>
      <c r="D592" s="167"/>
      <c r="E592" s="168"/>
      <c r="F592" s="168"/>
      <c r="G592" s="168"/>
      <c r="H592" s="168"/>
      <c r="I592" s="168"/>
      <c r="J592" s="168"/>
      <c r="K592" s="168"/>
      <c r="L592" s="168"/>
      <c r="M592" s="168"/>
      <c r="N592" s="168"/>
      <c r="O592" s="168"/>
      <c r="P592" s="169"/>
      <c r="Q592" s="169"/>
    </row>
    <row r="593" spans="1:17" s="170" customFormat="1" ht="31.5" x14ac:dyDescent="0.25">
      <c r="A593" s="165" t="str">
        <f>ORÇAMENTO!A135</f>
        <v>4.1.2.1</v>
      </c>
      <c r="B593" s="166" t="str">
        <f>VLOOKUP(A593,ORÇAMENTO!A:K,4,0)</f>
        <v>ESCAVAÇÕES PARA SISTEMAS DESTRUTIVOS, COM DEPOSIÇÃO LATERAL PARA POSTERIOR REAPROVEITAMENTO</v>
      </c>
      <c r="C593" s="167"/>
      <c r="D593" s="167"/>
      <c r="E593" s="168"/>
      <c r="F593" s="168"/>
      <c r="G593" s="168"/>
      <c r="H593" s="168"/>
      <c r="I593" s="168"/>
      <c r="J593" s="168"/>
      <c r="K593" s="168"/>
      <c r="L593" s="168"/>
      <c r="M593" s="168"/>
      <c r="N593" s="168"/>
      <c r="O593" s="168"/>
      <c r="P593" s="169"/>
      <c r="Q593" s="169"/>
    </row>
    <row r="594" spans="1:17" s="174" customFormat="1" ht="63" x14ac:dyDescent="0.25">
      <c r="A594" s="171" t="str">
        <f>ORÇAMENTO!A136</f>
        <v>4.1.2.1.1</v>
      </c>
      <c r="B594" s="172" t="str">
        <f>VLOOKUP(A594,ORÇAMENTO!A:K,4,0)</f>
        <v>ESCAVAÇÃO MECANIZADA DE VALA COM PROF. MAIOR QUE 1,5 M ATÉ 3,0 M (MÉDIA MONTANTE E JUSANTE/UMA COMPOSIÇÃO POR TRECHO), ESCAVADEIRA (0,8 M3), LARGURA ATÉ 1,5 M, EM SOLO MOLE, EM LOCAIS COM ALTO NÍVEL DE INTERFERÊNCIA. AF_09/2024</v>
      </c>
      <c r="C594" s="173" t="str">
        <f>VLOOKUP(A594,ORÇAMENTO!A:K,5,0)</f>
        <v>M³</v>
      </c>
      <c r="D594" s="173">
        <f>SUM(E598:O598)</f>
        <v>64.960000000006957</v>
      </c>
      <c r="E594" s="173" t="s">
        <v>1718</v>
      </c>
      <c r="F594" s="173" t="s">
        <v>1719</v>
      </c>
      <c r="G594" s="173" t="s">
        <v>1720</v>
      </c>
      <c r="H594" s="173" t="s">
        <v>1721</v>
      </c>
      <c r="I594" s="173" t="s">
        <v>1722</v>
      </c>
      <c r="J594" s="173" t="s">
        <v>1723</v>
      </c>
      <c r="K594" s="173" t="s">
        <v>1746</v>
      </c>
      <c r="L594" s="173" t="s">
        <v>1753</v>
      </c>
      <c r="M594" s="173" t="s">
        <v>1771</v>
      </c>
      <c r="N594" s="173" t="s">
        <v>1727</v>
      </c>
      <c r="O594" s="173" t="s">
        <v>1728</v>
      </c>
      <c r="P594" s="169"/>
      <c r="Q594" s="169"/>
    </row>
    <row r="595" spans="1:17" s="170" customFormat="1" ht="10.5" x14ac:dyDescent="0.25">
      <c r="A595" s="175"/>
      <c r="B595" s="176"/>
      <c r="C595" s="177"/>
      <c r="D595" s="178"/>
      <c r="E595" s="178"/>
      <c r="F595" s="178"/>
      <c r="G595" s="178"/>
      <c r="H595" s="178"/>
      <c r="I595" s="178"/>
      <c r="J595" s="178"/>
      <c r="K595" s="178"/>
      <c r="L595" s="178"/>
      <c r="M595" s="178"/>
      <c r="N595" s="178"/>
      <c r="O595" s="178"/>
      <c r="P595" s="179"/>
      <c r="Q595" s="169"/>
    </row>
    <row r="596" spans="1:17" s="170" customFormat="1" ht="10.5" x14ac:dyDescent="0.25">
      <c r="A596" s="175"/>
      <c r="B596" s="176" t="s">
        <v>1731</v>
      </c>
      <c r="C596" s="177"/>
      <c r="D596" s="178"/>
      <c r="E596" s="178"/>
      <c r="F596" s="178"/>
      <c r="G596" s="178"/>
      <c r="H596" s="178"/>
      <c r="I596" s="178"/>
      <c r="J596" s="178"/>
      <c r="K596" s="178"/>
      <c r="L596" s="178"/>
      <c r="M596" s="178"/>
      <c r="N596" s="178"/>
      <c r="O596" s="178">
        <f>Quantitativos!AD33</f>
        <v>64.960000000006957</v>
      </c>
      <c r="P596" s="179"/>
      <c r="Q596" s="169"/>
    </row>
    <row r="597" spans="1:17" s="170" customFormat="1" ht="10.5" x14ac:dyDescent="0.25">
      <c r="A597" s="175"/>
      <c r="B597" s="176"/>
      <c r="C597" s="177"/>
      <c r="D597" s="178"/>
      <c r="E597" s="178"/>
      <c r="F597" s="178"/>
      <c r="G597" s="178"/>
      <c r="H597" s="178"/>
      <c r="I597" s="178"/>
      <c r="J597" s="178"/>
      <c r="K597" s="178"/>
      <c r="L597" s="178"/>
      <c r="M597" s="178"/>
      <c r="N597" s="178"/>
      <c r="O597" s="178"/>
      <c r="P597" s="179"/>
      <c r="Q597" s="169"/>
    </row>
    <row r="598" spans="1:17" s="170" customFormat="1" ht="10.5" x14ac:dyDescent="0.25">
      <c r="A598" s="175"/>
      <c r="B598" s="181" t="s">
        <v>5</v>
      </c>
      <c r="C598" s="182" t="s">
        <v>1328</v>
      </c>
      <c r="D598" s="182"/>
      <c r="E598" s="182"/>
      <c r="F598" s="182"/>
      <c r="G598" s="182"/>
      <c r="H598" s="182"/>
      <c r="I598" s="182"/>
      <c r="J598" s="182"/>
      <c r="K598" s="182"/>
      <c r="L598" s="182"/>
      <c r="M598" s="182"/>
      <c r="N598" s="182"/>
      <c r="O598" s="182">
        <f>SUM(O595:O597)</f>
        <v>64.960000000006957</v>
      </c>
      <c r="P598" s="183"/>
      <c r="Q598" s="169"/>
    </row>
    <row r="599" spans="1:17" s="174" customFormat="1" ht="63" x14ac:dyDescent="0.25">
      <c r="A599" s="171" t="str">
        <f>ORÇAMENTO!A137</f>
        <v>4.1.2.1.2</v>
      </c>
      <c r="B599" s="172" t="str">
        <f>VLOOKUP(A599,ORÇAMENTO!A:K,4,0)</f>
        <v>ESCAVAÇÃO MECANIZADA DE VALA COM PROF. MAIOR QUE 1,5 M ATÉ 3,0 M (MÉDIA MONTANTE E JUSANTE/UMA COMPOSIÇÃO POR TRECHO), RETROESCAV. (0,26 M3), LARG. DE 0,8 M A 1,5 M, EM SOLO MOLE, EM LOCAIS COM ALTO NÍVEL DE INTERFERÊNCIA. AF_09/2024</v>
      </c>
      <c r="C599" s="173" t="str">
        <f>VLOOKUP(A599,ORÇAMENTO!A:K,5,0)</f>
        <v>M³</v>
      </c>
      <c r="D599" s="173">
        <f>SUM(E603:O603)</f>
        <v>3.6133345332620621</v>
      </c>
      <c r="E599" s="173" t="s">
        <v>1718</v>
      </c>
      <c r="F599" s="173" t="s">
        <v>1719</v>
      </c>
      <c r="G599" s="173" t="s">
        <v>1720</v>
      </c>
      <c r="H599" s="173" t="s">
        <v>1721</v>
      </c>
      <c r="I599" s="173" t="s">
        <v>1722</v>
      </c>
      <c r="J599" s="173" t="s">
        <v>1723</v>
      </c>
      <c r="K599" s="173" t="s">
        <v>1746</v>
      </c>
      <c r="L599" s="173" t="s">
        <v>1753</v>
      </c>
      <c r="M599" s="173" t="s">
        <v>1771</v>
      </c>
      <c r="N599" s="173" t="s">
        <v>1727</v>
      </c>
      <c r="O599" s="173" t="s">
        <v>1728</v>
      </c>
      <c r="P599" s="169"/>
      <c r="Q599" s="169"/>
    </row>
    <row r="600" spans="1:17" s="170" customFormat="1" ht="10.5" x14ac:dyDescent="0.25">
      <c r="A600" s="175"/>
      <c r="B600" s="176"/>
      <c r="C600" s="177"/>
      <c r="D600" s="178"/>
      <c r="E600" s="178"/>
      <c r="F600" s="178"/>
      <c r="G600" s="178"/>
      <c r="H600" s="178"/>
      <c r="I600" s="178"/>
      <c r="J600" s="178"/>
      <c r="K600" s="178"/>
      <c r="L600" s="178"/>
      <c r="M600" s="178"/>
      <c r="N600" s="178"/>
      <c r="O600" s="178"/>
      <c r="P600" s="179"/>
      <c r="Q600" s="169"/>
    </row>
    <row r="601" spans="1:17" s="170" customFormat="1" ht="10.5" x14ac:dyDescent="0.25">
      <c r="A601" s="175"/>
      <c r="B601" s="176" t="s">
        <v>1731</v>
      </c>
      <c r="C601" s="177"/>
      <c r="D601" s="178"/>
      <c r="E601" s="178"/>
      <c r="F601" s="178"/>
      <c r="G601" s="178"/>
      <c r="H601" s="178"/>
      <c r="I601" s="178"/>
      <c r="J601" s="178"/>
      <c r="K601" s="178"/>
      <c r="L601" s="178"/>
      <c r="M601" s="178"/>
      <c r="N601" s="178"/>
      <c r="O601" s="178">
        <f>Quantitativos!AE33</f>
        <v>3.6133345332620621</v>
      </c>
      <c r="P601" s="179"/>
      <c r="Q601" s="169"/>
    </row>
    <row r="602" spans="1:17" s="170" customFormat="1" ht="10.5" x14ac:dyDescent="0.25">
      <c r="A602" s="175"/>
      <c r="B602" s="176"/>
      <c r="C602" s="177"/>
      <c r="D602" s="178"/>
      <c r="E602" s="178"/>
      <c r="F602" s="178"/>
      <c r="G602" s="178"/>
      <c r="H602" s="178"/>
      <c r="I602" s="178"/>
      <c r="J602" s="178"/>
      <c r="K602" s="178"/>
      <c r="L602" s="178"/>
      <c r="M602" s="178"/>
      <c r="N602" s="178"/>
      <c r="O602" s="178"/>
      <c r="P602" s="179"/>
      <c r="Q602" s="169"/>
    </row>
    <row r="603" spans="1:17" s="170" customFormat="1" ht="10.5" x14ac:dyDescent="0.25">
      <c r="A603" s="175"/>
      <c r="B603" s="181" t="s">
        <v>5</v>
      </c>
      <c r="C603" s="182" t="s">
        <v>1328</v>
      </c>
      <c r="D603" s="182"/>
      <c r="E603" s="182"/>
      <c r="F603" s="182"/>
      <c r="G603" s="182"/>
      <c r="H603" s="182"/>
      <c r="I603" s="182"/>
      <c r="J603" s="182"/>
      <c r="K603" s="182"/>
      <c r="L603" s="182"/>
      <c r="M603" s="182"/>
      <c r="N603" s="182"/>
      <c r="O603" s="182">
        <f>SUM(O600:O602)</f>
        <v>3.6133345332620621</v>
      </c>
      <c r="P603" s="183"/>
      <c r="Q603" s="169"/>
    </row>
    <row r="604" spans="1:17" s="174" customFormat="1" ht="63" x14ac:dyDescent="0.25">
      <c r="A604" s="171" t="str">
        <f>ORÇAMENTO!A138</f>
        <v>4.1.2.1.3</v>
      </c>
      <c r="B604" s="172" t="str">
        <f>VLOOKUP(A604,ORÇAMENTO!A:K,4,0)</f>
        <v>ESCAVAÇÃO MECANIZADA DE VALA COM PROF. ATÉ 1,5 M (MÉDIA MONTANTE E JUSANTE/UMA COMPOSIÇÃO POR TRECHO), ESCAVADEIRA (0,8 M3), LARG. DE 1,5 M A 2,5 M, EM SOLO MOLE, EM LOCAIS COM ALTO NÍVEL DE INTERFERÊNCIA. AF_09/2024</v>
      </c>
      <c r="C604" s="173" t="str">
        <f>VLOOKUP(A604,ORÇAMENTO!A:K,5,0)</f>
        <v>M³</v>
      </c>
      <c r="D604" s="173">
        <f>SUM(E608:O608)</f>
        <v>416.56334663021261</v>
      </c>
      <c r="E604" s="173" t="s">
        <v>1718</v>
      </c>
      <c r="F604" s="173" t="s">
        <v>1719</v>
      </c>
      <c r="G604" s="173" t="s">
        <v>1720</v>
      </c>
      <c r="H604" s="173" t="s">
        <v>1721</v>
      </c>
      <c r="I604" s="173" t="s">
        <v>1722</v>
      </c>
      <c r="J604" s="173" t="s">
        <v>1723</v>
      </c>
      <c r="K604" s="173" t="s">
        <v>1746</v>
      </c>
      <c r="L604" s="173" t="s">
        <v>1753</v>
      </c>
      <c r="M604" s="173" t="s">
        <v>1771</v>
      </c>
      <c r="N604" s="173" t="s">
        <v>1727</v>
      </c>
      <c r="O604" s="173" t="s">
        <v>1728</v>
      </c>
      <c r="P604" s="169"/>
      <c r="Q604" s="169"/>
    </row>
    <row r="605" spans="1:17" s="170" customFormat="1" ht="10.5" x14ac:dyDescent="0.25">
      <c r="A605" s="175"/>
      <c r="B605" s="176"/>
      <c r="C605" s="177"/>
      <c r="D605" s="178"/>
      <c r="E605" s="178"/>
      <c r="F605" s="178"/>
      <c r="G605" s="178"/>
      <c r="H605" s="178"/>
      <c r="I605" s="178"/>
      <c r="J605" s="178"/>
      <c r="K605" s="178"/>
      <c r="L605" s="178"/>
      <c r="M605" s="178"/>
      <c r="N605" s="178"/>
      <c r="O605" s="178"/>
      <c r="P605" s="179"/>
      <c r="Q605" s="169"/>
    </row>
    <row r="606" spans="1:17" s="170" customFormat="1" ht="10.5" x14ac:dyDescent="0.25">
      <c r="A606" s="175"/>
      <c r="B606" s="176" t="s">
        <v>1731</v>
      </c>
      <c r="C606" s="177"/>
      <c r="D606" s="178"/>
      <c r="E606" s="178"/>
      <c r="F606" s="178"/>
      <c r="G606" s="178"/>
      <c r="H606" s="178"/>
      <c r="I606" s="178"/>
      <c r="J606" s="178"/>
      <c r="K606" s="178"/>
      <c r="L606" s="178"/>
      <c r="M606" s="178"/>
      <c r="N606" s="178"/>
      <c r="O606" s="178">
        <f>Quantitativos!AF33</f>
        <v>416.56334663021261</v>
      </c>
      <c r="P606" s="179"/>
      <c r="Q606" s="169"/>
    </row>
    <row r="607" spans="1:17" s="170" customFormat="1" ht="10.5" x14ac:dyDescent="0.25">
      <c r="A607" s="175"/>
      <c r="B607" s="176"/>
      <c r="C607" s="177"/>
      <c r="D607" s="178"/>
      <c r="E607" s="178"/>
      <c r="F607" s="178"/>
      <c r="G607" s="178"/>
      <c r="H607" s="178"/>
      <c r="I607" s="178"/>
      <c r="J607" s="178"/>
      <c r="K607" s="178"/>
      <c r="L607" s="178"/>
      <c r="M607" s="178"/>
      <c r="N607" s="178"/>
      <c r="O607" s="178"/>
      <c r="P607" s="179"/>
      <c r="Q607" s="169"/>
    </row>
    <row r="608" spans="1:17" s="170" customFormat="1" ht="10.5" x14ac:dyDescent="0.25">
      <c r="A608" s="175"/>
      <c r="B608" s="181" t="s">
        <v>5</v>
      </c>
      <c r="C608" s="182" t="s">
        <v>1328</v>
      </c>
      <c r="D608" s="182"/>
      <c r="E608" s="182"/>
      <c r="F608" s="182"/>
      <c r="G608" s="182"/>
      <c r="H608" s="182"/>
      <c r="I608" s="182"/>
      <c r="J608" s="182"/>
      <c r="K608" s="182"/>
      <c r="L608" s="182"/>
      <c r="M608" s="182"/>
      <c r="N608" s="182"/>
      <c r="O608" s="182">
        <f>SUM(O605:O607)</f>
        <v>416.56334663021261</v>
      </c>
      <c r="P608" s="183"/>
      <c r="Q608" s="169"/>
    </row>
    <row r="609" spans="1:17" s="174" customFormat="1" ht="63" x14ac:dyDescent="0.25">
      <c r="A609" s="171" t="str">
        <f>ORÇAMENTO!A139</f>
        <v>4.1.2.1.4</v>
      </c>
      <c r="B609" s="172" t="str">
        <f>VLOOKUP(A609,ORÇAMENTO!A:K,4,0)</f>
        <v>ESCAVAÇÃO MECANIZADA DE VALA COM PROF. MAIOR QUE 1,5 M ATÉ 3,0 M (MÉDIA MONTANTE E JUSANTE/UMA COMPOSIÇÃO POR TRECHO),COM ESCAVADEIRA (1,2 M3),LARG. DE 1,5 M A 2,5 M, EM SOLO MOLE, EM LOCAIS COM ALTO NÍVEL DE INTERFERÊNCIA. AF_09/2024</v>
      </c>
      <c r="C609" s="173" t="str">
        <f>VLOOKUP(A609,ORÇAMENTO!A:K,5,0)</f>
        <v>M³</v>
      </c>
      <c r="D609" s="173">
        <f>SUM(E613:O613)</f>
        <v>416.56334663021261</v>
      </c>
      <c r="E609" s="173" t="s">
        <v>1718</v>
      </c>
      <c r="F609" s="173" t="s">
        <v>1719</v>
      </c>
      <c r="G609" s="173" t="s">
        <v>1720</v>
      </c>
      <c r="H609" s="173" t="s">
        <v>1721</v>
      </c>
      <c r="I609" s="173" t="s">
        <v>1722</v>
      </c>
      <c r="J609" s="173" t="s">
        <v>1723</v>
      </c>
      <c r="K609" s="173" t="s">
        <v>1746</v>
      </c>
      <c r="L609" s="173" t="s">
        <v>1753</v>
      </c>
      <c r="M609" s="173" t="s">
        <v>1771</v>
      </c>
      <c r="N609" s="173" t="s">
        <v>1727</v>
      </c>
      <c r="O609" s="173" t="s">
        <v>1728</v>
      </c>
      <c r="P609" s="169"/>
      <c r="Q609" s="169"/>
    </row>
    <row r="610" spans="1:17" s="170" customFormat="1" ht="10.5" x14ac:dyDescent="0.25">
      <c r="A610" s="175"/>
      <c r="B610" s="176"/>
      <c r="C610" s="177"/>
      <c r="D610" s="178"/>
      <c r="E610" s="178"/>
      <c r="F610" s="178"/>
      <c r="G610" s="178"/>
      <c r="H610" s="178"/>
      <c r="I610" s="178"/>
      <c r="J610" s="178"/>
      <c r="K610" s="178"/>
      <c r="L610" s="178"/>
      <c r="M610" s="178"/>
      <c r="N610" s="178"/>
      <c r="O610" s="178"/>
      <c r="P610" s="179"/>
      <c r="Q610" s="169"/>
    </row>
    <row r="611" spans="1:17" s="170" customFormat="1" ht="10.5" x14ac:dyDescent="0.25">
      <c r="A611" s="175"/>
      <c r="B611" s="176" t="s">
        <v>1731</v>
      </c>
      <c r="C611" s="177"/>
      <c r="D611" s="178"/>
      <c r="E611" s="178"/>
      <c r="F611" s="178"/>
      <c r="G611" s="178"/>
      <c r="H611" s="178"/>
      <c r="I611" s="178"/>
      <c r="J611" s="178"/>
      <c r="K611" s="178"/>
      <c r="L611" s="178"/>
      <c r="M611" s="178"/>
      <c r="N611" s="178"/>
      <c r="O611" s="178">
        <f>Quantitativos!AG33</f>
        <v>416.56334663021261</v>
      </c>
      <c r="P611" s="179"/>
      <c r="Q611" s="169"/>
    </row>
    <row r="612" spans="1:17" s="170" customFormat="1" ht="10.5" x14ac:dyDescent="0.25">
      <c r="A612" s="175"/>
      <c r="B612" s="176"/>
      <c r="C612" s="177"/>
      <c r="D612" s="178"/>
      <c r="E612" s="178"/>
      <c r="F612" s="178"/>
      <c r="G612" s="178"/>
      <c r="H612" s="178"/>
      <c r="I612" s="178"/>
      <c r="J612" s="178"/>
      <c r="K612" s="178"/>
      <c r="L612" s="178"/>
      <c r="M612" s="178"/>
      <c r="N612" s="178"/>
      <c r="O612" s="178"/>
      <c r="P612" s="179"/>
      <c r="Q612" s="169"/>
    </row>
    <row r="613" spans="1:17" s="170" customFormat="1" ht="10.5" x14ac:dyDescent="0.25">
      <c r="A613" s="175"/>
      <c r="B613" s="181" t="s">
        <v>5</v>
      </c>
      <c r="C613" s="182" t="s">
        <v>1328</v>
      </c>
      <c r="D613" s="182"/>
      <c r="E613" s="182"/>
      <c r="F613" s="182"/>
      <c r="G613" s="182"/>
      <c r="H613" s="182"/>
      <c r="I613" s="182"/>
      <c r="J613" s="182"/>
      <c r="K613" s="182"/>
      <c r="L613" s="182"/>
      <c r="M613" s="182"/>
      <c r="N613" s="182"/>
      <c r="O613" s="182">
        <f>SUM(O610:O612)</f>
        <v>416.56334663021261</v>
      </c>
      <c r="P613" s="183"/>
      <c r="Q613" s="169"/>
    </row>
    <row r="614" spans="1:17" s="174" customFormat="1" ht="63" x14ac:dyDescent="0.25">
      <c r="A614" s="171" t="str">
        <f>ORÇAMENTO!A140</f>
        <v>4.1.2.1.5</v>
      </c>
      <c r="B614" s="172" t="str">
        <f>VLOOKUP(A614,ORÇAMENTO!A:K,4,0)</f>
        <v>ESCAVAÇÃO MECANIZADA DE VALA COM PROF. DE 3,0 M ATÉ 4,5 M (MÉDIA MONTANTE E JUSANTE/UMA COMPOSIÇÃO POR TRECHO), ESCAVADEIRA (1,2 M3), LARG. DE 1,5 M A 2,5 M, EM SOLO MOLE, EM LOCAIS COM ALTO NÍVEL DE INTERFERÊNCIA. AF_09/2024</v>
      </c>
      <c r="C614" s="173" t="str">
        <f>VLOOKUP(A614,ORÇAMENTO!A:K,5,0)</f>
        <v>M³</v>
      </c>
      <c r="D614" s="173">
        <f>SUM(E618:O618)</f>
        <v>287.59993300917779</v>
      </c>
      <c r="E614" s="173" t="s">
        <v>1718</v>
      </c>
      <c r="F614" s="173" t="s">
        <v>1719</v>
      </c>
      <c r="G614" s="173" t="s">
        <v>1720</v>
      </c>
      <c r="H614" s="173" t="s">
        <v>1721</v>
      </c>
      <c r="I614" s="173" t="s">
        <v>1722</v>
      </c>
      <c r="J614" s="173" t="s">
        <v>1723</v>
      </c>
      <c r="K614" s="173" t="s">
        <v>1746</v>
      </c>
      <c r="L614" s="173" t="s">
        <v>1753</v>
      </c>
      <c r="M614" s="173" t="s">
        <v>1771</v>
      </c>
      <c r="N614" s="173" t="s">
        <v>1727</v>
      </c>
      <c r="O614" s="173" t="s">
        <v>1728</v>
      </c>
      <c r="P614" s="169"/>
      <c r="Q614" s="169"/>
    </row>
    <row r="615" spans="1:17" s="170" customFormat="1" ht="10.5" x14ac:dyDescent="0.25">
      <c r="A615" s="175"/>
      <c r="B615" s="176"/>
      <c r="C615" s="177"/>
      <c r="D615" s="178"/>
      <c r="E615" s="178"/>
      <c r="F615" s="178"/>
      <c r="G615" s="178"/>
      <c r="H615" s="178"/>
      <c r="I615" s="178"/>
      <c r="J615" s="178"/>
      <c r="K615" s="178"/>
      <c r="L615" s="178"/>
      <c r="M615" s="178"/>
      <c r="N615" s="178"/>
      <c r="O615" s="178"/>
      <c r="P615" s="179"/>
      <c r="Q615" s="169"/>
    </row>
    <row r="616" spans="1:17" s="170" customFormat="1" ht="10.5" x14ac:dyDescent="0.25">
      <c r="A616" s="175"/>
      <c r="B616" s="176" t="s">
        <v>1731</v>
      </c>
      <c r="C616" s="177"/>
      <c r="D616" s="178"/>
      <c r="E616" s="178"/>
      <c r="F616" s="178"/>
      <c r="G616" s="178"/>
      <c r="H616" s="178"/>
      <c r="I616" s="178"/>
      <c r="J616" s="178"/>
      <c r="K616" s="178"/>
      <c r="L616" s="178"/>
      <c r="M616" s="178"/>
      <c r="N616" s="178"/>
      <c r="O616" s="178">
        <f>Quantitativos!AH33</f>
        <v>287.59993300917779</v>
      </c>
      <c r="P616" s="179"/>
      <c r="Q616" s="169"/>
    </row>
    <row r="617" spans="1:17" s="170" customFormat="1" ht="10.5" x14ac:dyDescent="0.25">
      <c r="A617" s="175"/>
      <c r="B617" s="176"/>
      <c r="C617" s="177"/>
      <c r="D617" s="178"/>
      <c r="E617" s="178"/>
      <c r="F617" s="178"/>
      <c r="G617" s="178"/>
      <c r="H617" s="178"/>
      <c r="I617" s="178"/>
      <c r="J617" s="178"/>
      <c r="K617" s="178"/>
      <c r="L617" s="178"/>
      <c r="M617" s="178"/>
      <c r="N617" s="178"/>
      <c r="O617" s="178"/>
      <c r="P617" s="179"/>
      <c r="Q617" s="169"/>
    </row>
    <row r="618" spans="1:17" s="170" customFormat="1" ht="10.5" x14ac:dyDescent="0.25">
      <c r="A618" s="175"/>
      <c r="B618" s="181" t="s">
        <v>5</v>
      </c>
      <c r="C618" s="182" t="s">
        <v>1328</v>
      </c>
      <c r="D618" s="182"/>
      <c r="E618" s="182"/>
      <c r="F618" s="182"/>
      <c r="G618" s="182"/>
      <c r="H618" s="182"/>
      <c r="I618" s="182"/>
      <c r="J618" s="182"/>
      <c r="K618" s="182"/>
      <c r="L618" s="182"/>
      <c r="M618" s="182"/>
      <c r="N618" s="182"/>
      <c r="O618" s="182">
        <f>SUM(O615:O617)</f>
        <v>287.59993300917779</v>
      </c>
      <c r="P618" s="183"/>
      <c r="Q618" s="169"/>
    </row>
    <row r="619" spans="1:17" s="174" customFormat="1" ht="63" x14ac:dyDescent="0.25">
      <c r="A619" s="171" t="str">
        <f>ORÇAMENTO!A141</f>
        <v>4.1.2.1.6</v>
      </c>
      <c r="B619" s="172" t="str">
        <f>VLOOKUP(A619,ORÇAMENTO!A:K,4,0)</f>
        <v>ESCAVAÇÃO MECANIZADA DE VALA COM PROF. MAIOR QUE 4,5 M ATÉ 6,0 M (MÉDIA MONTANTE E JUSANTE/UMA COMPOSIÇÃO POR TRECHO), ESCAVADEIRA (1,2 M3), LARG. DE 1,5 M A 2,5 M, EM SOLO MOLE, EM LOCAIS COM ALTO NÍVEL DE INTERFERÊNCIA. AF_09/2024</v>
      </c>
      <c r="C619" s="173" t="str">
        <f>VLOOKUP(A619,ORÇAMENTO!A:K,5,0)</f>
        <v>M³</v>
      </c>
      <c r="D619" s="173">
        <f>SUM(E623:O623)</f>
        <v>148.49079890181946</v>
      </c>
      <c r="E619" s="173" t="s">
        <v>1718</v>
      </c>
      <c r="F619" s="173" t="s">
        <v>1719</v>
      </c>
      <c r="G619" s="173" t="s">
        <v>1720</v>
      </c>
      <c r="H619" s="173" t="s">
        <v>1721</v>
      </c>
      <c r="I619" s="173" t="s">
        <v>1722</v>
      </c>
      <c r="J619" s="173" t="s">
        <v>1723</v>
      </c>
      <c r="K619" s="173" t="s">
        <v>1746</v>
      </c>
      <c r="L619" s="173" t="s">
        <v>1753</v>
      </c>
      <c r="M619" s="173" t="s">
        <v>1771</v>
      </c>
      <c r="N619" s="173" t="s">
        <v>1727</v>
      </c>
      <c r="O619" s="173" t="s">
        <v>1728</v>
      </c>
      <c r="P619" s="169"/>
      <c r="Q619" s="169"/>
    </row>
    <row r="620" spans="1:17" s="170" customFormat="1" ht="10.5" x14ac:dyDescent="0.25">
      <c r="A620" s="175"/>
      <c r="B620" s="176"/>
      <c r="C620" s="177"/>
      <c r="D620" s="178"/>
      <c r="E620" s="178"/>
      <c r="F620" s="178"/>
      <c r="G620" s="178"/>
      <c r="H620" s="178"/>
      <c r="I620" s="178"/>
      <c r="J620" s="178"/>
      <c r="K620" s="178"/>
      <c r="L620" s="178"/>
      <c r="M620" s="178"/>
      <c r="N620" s="178"/>
      <c r="O620" s="178"/>
      <c r="P620" s="179"/>
      <c r="Q620" s="169"/>
    </row>
    <row r="621" spans="1:17" s="170" customFormat="1" ht="10.5" x14ac:dyDescent="0.25">
      <c r="A621" s="175"/>
      <c r="B621" s="176" t="s">
        <v>1731</v>
      </c>
      <c r="C621" s="177"/>
      <c r="D621" s="178"/>
      <c r="E621" s="178"/>
      <c r="F621" s="178"/>
      <c r="G621" s="178"/>
      <c r="H621" s="178"/>
      <c r="I621" s="178"/>
      <c r="J621" s="178"/>
      <c r="K621" s="178"/>
      <c r="L621" s="178"/>
      <c r="M621" s="178"/>
      <c r="N621" s="178"/>
      <c r="O621" s="178">
        <f>Quantitativos!AI33</f>
        <v>148.49079890181946</v>
      </c>
      <c r="P621" s="179"/>
      <c r="Q621" s="169"/>
    </row>
    <row r="622" spans="1:17" s="170" customFormat="1" ht="10.5" x14ac:dyDescent="0.25">
      <c r="A622" s="175"/>
      <c r="B622" s="176"/>
      <c r="C622" s="177"/>
      <c r="D622" s="178"/>
      <c r="E622" s="178"/>
      <c r="F622" s="178"/>
      <c r="G622" s="178"/>
      <c r="H622" s="178"/>
      <c r="I622" s="178"/>
      <c r="J622" s="178"/>
      <c r="K622" s="178"/>
      <c r="L622" s="178"/>
      <c r="M622" s="178"/>
      <c r="N622" s="178"/>
      <c r="O622" s="178"/>
      <c r="P622" s="179"/>
      <c r="Q622" s="169"/>
    </row>
    <row r="623" spans="1:17" s="170" customFormat="1" ht="10.5" x14ac:dyDescent="0.25">
      <c r="A623" s="175"/>
      <c r="B623" s="181" t="s">
        <v>5</v>
      </c>
      <c r="C623" s="182" t="s">
        <v>1328</v>
      </c>
      <c r="D623" s="182"/>
      <c r="E623" s="182"/>
      <c r="F623" s="182"/>
      <c r="G623" s="182"/>
      <c r="H623" s="182"/>
      <c r="I623" s="182"/>
      <c r="J623" s="182"/>
      <c r="K623" s="182"/>
      <c r="L623" s="182"/>
      <c r="M623" s="182"/>
      <c r="N623" s="182"/>
      <c r="O623" s="182">
        <f>SUM(O620:O622)</f>
        <v>148.49079890181946</v>
      </c>
      <c r="P623" s="183"/>
      <c r="Q623" s="169"/>
    </row>
    <row r="624" spans="1:17" s="174" customFormat="1" ht="63" x14ac:dyDescent="0.25">
      <c r="A624" s="171" t="str">
        <f>ORÇAMENTO!A142</f>
        <v>4.1.2.1.7</v>
      </c>
      <c r="B624" s="172" t="str">
        <f>VLOOKUP(A624,ORÇAMENTO!A:K,4,0)</f>
        <v>ESCAVAÇÃO MECANIZADA DE VALA COM PROF. ATÉ 1,5 M (MÉDIA MONTANTE E JUSANTE/UMA COMPOSIÇÃO POR TRECHO), ESCAVADEIRA (0,8 M3), LARG. MENOR QUE 1,5 M, EM SOLO DE 1A CATEGORIA, EM LOCAIS COM ALTO NÍVEL DE INTERFERÊNCIA. AF_09/2024</v>
      </c>
      <c r="C624" s="173" t="str">
        <f>VLOOKUP(A624,ORÇAMENTO!A:K,5,0)</f>
        <v>M³</v>
      </c>
      <c r="D624" s="173">
        <f>SUM(E628:O628)</f>
        <v>341.15000450026776</v>
      </c>
      <c r="E624" s="173" t="s">
        <v>1718</v>
      </c>
      <c r="F624" s="173" t="s">
        <v>1719</v>
      </c>
      <c r="G624" s="173" t="s">
        <v>1720</v>
      </c>
      <c r="H624" s="173" t="s">
        <v>1721</v>
      </c>
      <c r="I624" s="173" t="s">
        <v>1722</v>
      </c>
      <c r="J624" s="173" t="s">
        <v>1723</v>
      </c>
      <c r="K624" s="173" t="s">
        <v>1746</v>
      </c>
      <c r="L624" s="173" t="s">
        <v>1753</v>
      </c>
      <c r="M624" s="173" t="s">
        <v>1771</v>
      </c>
      <c r="N624" s="173" t="s">
        <v>1727</v>
      </c>
      <c r="O624" s="173" t="s">
        <v>1728</v>
      </c>
      <c r="P624" s="169"/>
      <c r="Q624" s="169"/>
    </row>
    <row r="625" spans="1:17" s="170" customFormat="1" ht="10.5" x14ac:dyDescent="0.25">
      <c r="A625" s="175"/>
      <c r="B625" s="176"/>
      <c r="C625" s="177"/>
      <c r="D625" s="178"/>
      <c r="E625" s="178"/>
      <c r="F625" s="178"/>
      <c r="G625" s="178"/>
      <c r="H625" s="178"/>
      <c r="I625" s="178"/>
      <c r="J625" s="178"/>
      <c r="K625" s="178"/>
      <c r="L625" s="178"/>
      <c r="M625" s="178"/>
      <c r="N625" s="178"/>
      <c r="O625" s="178"/>
      <c r="P625" s="179"/>
      <c r="Q625" s="169"/>
    </row>
    <row r="626" spans="1:17" s="170" customFormat="1" ht="10.5" x14ac:dyDescent="0.25">
      <c r="A626" s="175"/>
      <c r="B626" s="176" t="s">
        <v>1731</v>
      </c>
      <c r="C626" s="177"/>
      <c r="D626" s="178"/>
      <c r="E626" s="178"/>
      <c r="F626" s="178"/>
      <c r="G626" s="178"/>
      <c r="H626" s="178"/>
      <c r="I626" s="178"/>
      <c r="J626" s="178"/>
      <c r="K626" s="178"/>
      <c r="L626" s="178"/>
      <c r="M626" s="178"/>
      <c r="N626" s="178"/>
      <c r="O626" s="178">
        <f>Quantitativos!AJ33</f>
        <v>341.15000450026776</v>
      </c>
      <c r="P626" s="179"/>
      <c r="Q626" s="169"/>
    </row>
    <row r="627" spans="1:17" s="170" customFormat="1" ht="10.5" x14ac:dyDescent="0.25">
      <c r="A627" s="175"/>
      <c r="B627" s="176"/>
      <c r="C627" s="177"/>
      <c r="D627" s="178"/>
      <c r="E627" s="178"/>
      <c r="F627" s="178"/>
      <c r="G627" s="178"/>
      <c r="H627" s="178"/>
      <c r="I627" s="178"/>
      <c r="J627" s="178"/>
      <c r="K627" s="178"/>
      <c r="L627" s="178"/>
      <c r="M627" s="178"/>
      <c r="N627" s="178"/>
      <c r="O627" s="178"/>
      <c r="P627" s="179"/>
      <c r="Q627" s="169"/>
    </row>
    <row r="628" spans="1:17" s="170" customFormat="1" ht="10.5" x14ac:dyDescent="0.25">
      <c r="A628" s="175"/>
      <c r="B628" s="181" t="s">
        <v>5</v>
      </c>
      <c r="C628" s="182" t="s">
        <v>1328</v>
      </c>
      <c r="D628" s="182"/>
      <c r="E628" s="182"/>
      <c r="F628" s="182"/>
      <c r="G628" s="182"/>
      <c r="H628" s="182"/>
      <c r="I628" s="182"/>
      <c r="J628" s="182"/>
      <c r="K628" s="182"/>
      <c r="L628" s="182"/>
      <c r="M628" s="182"/>
      <c r="N628" s="182"/>
      <c r="O628" s="182">
        <f>SUM(O625:O627)</f>
        <v>341.15000450026776</v>
      </c>
      <c r="P628" s="183"/>
      <c r="Q628" s="169"/>
    </row>
    <row r="629" spans="1:17" s="174" customFormat="1" ht="63" x14ac:dyDescent="0.25">
      <c r="A629" s="171" t="str">
        <f>ORÇAMENTO!A143</f>
        <v>4.1.2.1.8</v>
      </c>
      <c r="B629" s="172" t="str">
        <f>VLOOKUP(A629,ORÇAMENTO!A:K,4,0)</f>
        <v>ESCAVAÇÃO MECANIZADA DE VALA COM PROF. MAIOR QUE 1,5 M ATÉ 3,0 M (MÉDIA MONTANTE E JUSANTE/UMA COMPOSIÇÃO POR TRECHO), ESCAVADEIRA (0,8 M3), LARGURA ATÉ 1,5 M, EM SOLO DE 1A CATEGORIA, EM LOCAIS COM ALTO NÍVEL DE INTERFERÊNCIA. AF_09/2024</v>
      </c>
      <c r="C629" s="173" t="str">
        <f>VLOOKUP(A629,ORÇAMENTO!A:K,5,0)</f>
        <v>M³</v>
      </c>
      <c r="D629" s="173">
        <f>SUM(E633:O633)</f>
        <v>135.90484442746086</v>
      </c>
      <c r="E629" s="173" t="s">
        <v>1718</v>
      </c>
      <c r="F629" s="173" t="s">
        <v>1719</v>
      </c>
      <c r="G629" s="173" t="s">
        <v>1720</v>
      </c>
      <c r="H629" s="173" t="s">
        <v>1721</v>
      </c>
      <c r="I629" s="173" t="s">
        <v>1722</v>
      </c>
      <c r="J629" s="173" t="s">
        <v>1723</v>
      </c>
      <c r="K629" s="173" t="s">
        <v>1746</v>
      </c>
      <c r="L629" s="173" t="s">
        <v>1753</v>
      </c>
      <c r="M629" s="173" t="s">
        <v>1771</v>
      </c>
      <c r="N629" s="173" t="s">
        <v>1727</v>
      </c>
      <c r="O629" s="173" t="s">
        <v>1728</v>
      </c>
      <c r="P629" s="169"/>
      <c r="Q629" s="169"/>
    </row>
    <row r="630" spans="1:17" s="170" customFormat="1" ht="10.5" x14ac:dyDescent="0.25">
      <c r="A630" s="175"/>
      <c r="B630" s="176"/>
      <c r="C630" s="177"/>
      <c r="D630" s="178"/>
      <c r="E630" s="178"/>
      <c r="F630" s="178"/>
      <c r="G630" s="178"/>
      <c r="H630" s="178"/>
      <c r="I630" s="178"/>
      <c r="J630" s="178"/>
      <c r="K630" s="178"/>
      <c r="L630" s="178"/>
      <c r="M630" s="178"/>
      <c r="N630" s="178"/>
      <c r="O630" s="178"/>
      <c r="P630" s="179"/>
      <c r="Q630" s="169"/>
    </row>
    <row r="631" spans="1:17" s="170" customFormat="1" ht="10.5" x14ac:dyDescent="0.25">
      <c r="A631" s="175"/>
      <c r="B631" s="176" t="s">
        <v>1731</v>
      </c>
      <c r="C631" s="177"/>
      <c r="D631" s="178"/>
      <c r="E631" s="178"/>
      <c r="F631" s="178"/>
      <c r="G631" s="178"/>
      <c r="H631" s="178"/>
      <c r="I631" s="178"/>
      <c r="J631" s="178"/>
      <c r="K631" s="178"/>
      <c r="L631" s="178"/>
      <c r="M631" s="178"/>
      <c r="N631" s="178"/>
      <c r="O631" s="178">
        <f>Quantitativos!AK33</f>
        <v>135.90484442746086</v>
      </c>
      <c r="P631" s="179"/>
      <c r="Q631" s="169"/>
    </row>
    <row r="632" spans="1:17" s="170" customFormat="1" ht="10.5" x14ac:dyDescent="0.25">
      <c r="A632" s="175"/>
      <c r="B632" s="176"/>
      <c r="C632" s="177"/>
      <c r="D632" s="178"/>
      <c r="E632" s="178"/>
      <c r="F632" s="178"/>
      <c r="G632" s="178"/>
      <c r="H632" s="178"/>
      <c r="I632" s="178"/>
      <c r="J632" s="178"/>
      <c r="K632" s="178"/>
      <c r="L632" s="178"/>
      <c r="M632" s="178"/>
      <c r="N632" s="178"/>
      <c r="O632" s="178"/>
      <c r="P632" s="179"/>
      <c r="Q632" s="169"/>
    </row>
    <row r="633" spans="1:17" s="170" customFormat="1" ht="10.5" x14ac:dyDescent="0.25">
      <c r="A633" s="175"/>
      <c r="B633" s="181" t="s">
        <v>5</v>
      </c>
      <c r="C633" s="182" t="s">
        <v>1328</v>
      </c>
      <c r="D633" s="182"/>
      <c r="E633" s="182"/>
      <c r="F633" s="182"/>
      <c r="G633" s="182"/>
      <c r="H633" s="182"/>
      <c r="I633" s="182"/>
      <c r="J633" s="182"/>
      <c r="K633" s="182"/>
      <c r="L633" s="182"/>
      <c r="M633" s="182"/>
      <c r="N633" s="182"/>
      <c r="O633" s="182">
        <f>SUM(O630:O632)</f>
        <v>135.90484442746086</v>
      </c>
      <c r="P633" s="183"/>
      <c r="Q633" s="169"/>
    </row>
    <row r="634" spans="1:17" s="174" customFormat="1" ht="63" x14ac:dyDescent="0.25">
      <c r="A634" s="171" t="str">
        <f>ORÇAMENTO!A144</f>
        <v>4.1.2.1.9</v>
      </c>
      <c r="B634" s="172" t="str">
        <f>VLOOKUP(A634,ORÇAMENTO!A:K,4,0)</f>
        <v>ESCAVAÇÃO MECANIZADA DE VALA COM PROF. ATÉ 1,5 M (MÉDIA MONTANTE E JUSANTE/UMA COMPOSIÇÃO POR TRECHO), ESCAVADEIRA (0,8 M3), LARG. DE 1,5 M A 2,5 M, EM SOLO DE 1A CATEGORIA, EM LOCAIS COM ALTO NÍVEL DE INTERFERÊNCIA. AF_09/2024</v>
      </c>
      <c r="C634" s="173" t="str">
        <f>VLOOKUP(A634,ORÇAMENTO!A:K,5,0)</f>
        <v>M³</v>
      </c>
      <c r="D634" s="173">
        <f>SUM(E638:O638)</f>
        <v>846.15485589323043</v>
      </c>
      <c r="E634" s="173" t="s">
        <v>1718</v>
      </c>
      <c r="F634" s="173" t="s">
        <v>1719</v>
      </c>
      <c r="G634" s="173" t="s">
        <v>1720</v>
      </c>
      <c r="H634" s="173" t="s">
        <v>1721</v>
      </c>
      <c r="I634" s="173" t="s">
        <v>1722</v>
      </c>
      <c r="J634" s="173" t="s">
        <v>1723</v>
      </c>
      <c r="K634" s="173" t="s">
        <v>1746</v>
      </c>
      <c r="L634" s="173" t="s">
        <v>1753</v>
      </c>
      <c r="M634" s="173" t="s">
        <v>1771</v>
      </c>
      <c r="N634" s="173" t="s">
        <v>1727</v>
      </c>
      <c r="O634" s="173" t="s">
        <v>1728</v>
      </c>
      <c r="P634" s="169"/>
      <c r="Q634" s="169"/>
    </row>
    <row r="635" spans="1:17" s="170" customFormat="1" ht="10.5" x14ac:dyDescent="0.25">
      <c r="A635" s="175"/>
      <c r="B635" s="176"/>
      <c r="C635" s="177"/>
      <c r="D635" s="178"/>
      <c r="E635" s="178"/>
      <c r="F635" s="178"/>
      <c r="G635" s="178"/>
      <c r="H635" s="178"/>
      <c r="I635" s="178"/>
      <c r="J635" s="178"/>
      <c r="K635" s="178"/>
      <c r="L635" s="178"/>
      <c r="M635" s="178"/>
      <c r="N635" s="178"/>
      <c r="O635" s="178"/>
      <c r="P635" s="179"/>
      <c r="Q635" s="169"/>
    </row>
    <row r="636" spans="1:17" s="170" customFormat="1" ht="10.5" x14ac:dyDescent="0.25">
      <c r="A636" s="175"/>
      <c r="B636" s="176" t="s">
        <v>1731</v>
      </c>
      <c r="C636" s="177"/>
      <c r="D636" s="178"/>
      <c r="E636" s="178"/>
      <c r="F636" s="178"/>
      <c r="G636" s="178"/>
      <c r="H636" s="178"/>
      <c r="I636" s="178"/>
      <c r="J636" s="178"/>
      <c r="K636" s="178"/>
      <c r="L636" s="178"/>
      <c r="M636" s="178"/>
      <c r="N636" s="178"/>
      <c r="O636" s="178">
        <f>Quantitativos!AL33</f>
        <v>846.15485589323043</v>
      </c>
      <c r="P636" s="179"/>
      <c r="Q636" s="169"/>
    </row>
    <row r="637" spans="1:17" s="170" customFormat="1" ht="10.5" x14ac:dyDescent="0.25">
      <c r="A637" s="175"/>
      <c r="B637" s="176"/>
      <c r="C637" s="177"/>
      <c r="D637" s="178"/>
      <c r="E637" s="178"/>
      <c r="F637" s="178"/>
      <c r="G637" s="178"/>
      <c r="H637" s="178"/>
      <c r="I637" s="178"/>
      <c r="J637" s="178"/>
      <c r="K637" s="178"/>
      <c r="L637" s="178"/>
      <c r="M637" s="178"/>
      <c r="N637" s="178"/>
      <c r="O637" s="178"/>
      <c r="P637" s="179"/>
      <c r="Q637" s="169"/>
    </row>
    <row r="638" spans="1:17" s="170" customFormat="1" ht="10.5" x14ac:dyDescent="0.25">
      <c r="A638" s="175"/>
      <c r="B638" s="181" t="s">
        <v>5</v>
      </c>
      <c r="C638" s="182" t="s">
        <v>1328</v>
      </c>
      <c r="D638" s="182"/>
      <c r="E638" s="182"/>
      <c r="F638" s="182"/>
      <c r="G638" s="182"/>
      <c r="H638" s="182"/>
      <c r="I638" s="182"/>
      <c r="J638" s="182"/>
      <c r="K638" s="182"/>
      <c r="L638" s="182"/>
      <c r="M638" s="182"/>
      <c r="N638" s="182"/>
      <c r="O638" s="182">
        <f>SUM(O635:O637)</f>
        <v>846.15485589323043</v>
      </c>
      <c r="P638" s="183"/>
      <c r="Q638" s="169"/>
    </row>
    <row r="639" spans="1:17" s="174" customFormat="1" ht="63" x14ac:dyDescent="0.25">
      <c r="A639" s="171" t="str">
        <f>ORÇAMENTO!A145</f>
        <v>4.1.2.1.10</v>
      </c>
      <c r="B639" s="172" t="str">
        <f>VLOOKUP(A639,ORÇAMENTO!A:K,4,0)</f>
        <v>ESCAVAÇÃO MECANIZADA DE VALA COM PROF. MAIOR QUE 1,50 M ATÉ 3,0 M (MÉDIA MONTANTE E JUSANTE/UMA COMPOSIÇÃO POR TRECHO), ESCAVADEIRA (1,2 M3), LARG. DE 1,5 M A 2,5 M, EM SOLO DE 1A CATEGORIA, EM LOCAIS COM ALTO NÍVEL DE INTERFERÊNCIA. AF_09/2024</v>
      </c>
      <c r="C639" s="173" t="str">
        <f>VLOOKUP(A639,ORÇAMENTO!A:K,5,0)</f>
        <v>M³</v>
      </c>
      <c r="D639" s="173">
        <f>SUM(E643:O643)</f>
        <v>764.29939691022128</v>
      </c>
      <c r="E639" s="173" t="s">
        <v>1718</v>
      </c>
      <c r="F639" s="173" t="s">
        <v>1719</v>
      </c>
      <c r="G639" s="173" t="s">
        <v>1720</v>
      </c>
      <c r="H639" s="173" t="s">
        <v>1721</v>
      </c>
      <c r="I639" s="173" t="s">
        <v>1722</v>
      </c>
      <c r="J639" s="173" t="s">
        <v>1723</v>
      </c>
      <c r="K639" s="173" t="s">
        <v>1746</v>
      </c>
      <c r="L639" s="173" t="s">
        <v>1753</v>
      </c>
      <c r="M639" s="173" t="s">
        <v>1771</v>
      </c>
      <c r="N639" s="173" t="s">
        <v>1727</v>
      </c>
      <c r="O639" s="173" t="s">
        <v>1728</v>
      </c>
      <c r="P639" s="169"/>
      <c r="Q639" s="169"/>
    </row>
    <row r="640" spans="1:17" s="170" customFormat="1" ht="10.5" x14ac:dyDescent="0.25">
      <c r="A640" s="175"/>
      <c r="B640" s="176"/>
      <c r="C640" s="177"/>
      <c r="D640" s="178"/>
      <c r="E640" s="178"/>
      <c r="F640" s="178"/>
      <c r="G640" s="178"/>
      <c r="H640" s="178"/>
      <c r="I640" s="178"/>
      <c r="J640" s="178"/>
      <c r="K640" s="178"/>
      <c r="L640" s="178"/>
      <c r="M640" s="178"/>
      <c r="N640" s="178"/>
      <c r="O640" s="178"/>
      <c r="P640" s="179"/>
      <c r="Q640" s="169"/>
    </row>
    <row r="641" spans="1:17" s="170" customFormat="1" ht="10.5" x14ac:dyDescent="0.25">
      <c r="A641" s="175"/>
      <c r="B641" s="176" t="s">
        <v>1731</v>
      </c>
      <c r="C641" s="177"/>
      <c r="D641" s="178"/>
      <c r="E641" s="178"/>
      <c r="F641" s="178"/>
      <c r="G641" s="178"/>
      <c r="H641" s="178"/>
      <c r="I641" s="178"/>
      <c r="J641" s="178"/>
      <c r="K641" s="178"/>
      <c r="L641" s="178"/>
      <c r="M641" s="178"/>
      <c r="N641" s="178"/>
      <c r="O641" s="178">
        <f>Quantitativos!AM33</f>
        <v>764.29939691022128</v>
      </c>
      <c r="P641" s="179"/>
      <c r="Q641" s="169"/>
    </row>
    <row r="642" spans="1:17" s="170" customFormat="1" ht="10.5" x14ac:dyDescent="0.25">
      <c r="A642" s="175"/>
      <c r="B642" s="176"/>
      <c r="C642" s="177"/>
      <c r="D642" s="178"/>
      <c r="E642" s="178"/>
      <c r="F642" s="178"/>
      <c r="G642" s="178"/>
      <c r="H642" s="178"/>
      <c r="I642" s="178"/>
      <c r="J642" s="178"/>
      <c r="K642" s="178"/>
      <c r="L642" s="178"/>
      <c r="M642" s="178"/>
      <c r="N642" s="178"/>
      <c r="O642" s="178"/>
      <c r="P642" s="179"/>
      <c r="Q642" s="169"/>
    </row>
    <row r="643" spans="1:17" s="170" customFormat="1" ht="10.5" x14ac:dyDescent="0.25">
      <c r="A643" s="175"/>
      <c r="B643" s="181" t="s">
        <v>5</v>
      </c>
      <c r="C643" s="182" t="s">
        <v>1328</v>
      </c>
      <c r="D643" s="182"/>
      <c r="E643" s="182"/>
      <c r="F643" s="182"/>
      <c r="G643" s="182"/>
      <c r="H643" s="182"/>
      <c r="I643" s="182"/>
      <c r="J643" s="182"/>
      <c r="K643" s="182"/>
      <c r="L643" s="182"/>
      <c r="M643" s="182"/>
      <c r="N643" s="182"/>
      <c r="O643" s="182">
        <f>SUM(O640:O642)</f>
        <v>764.29939691022128</v>
      </c>
      <c r="P643" s="183"/>
      <c r="Q643" s="169"/>
    </row>
    <row r="644" spans="1:17" s="174" customFormat="1" ht="63" x14ac:dyDescent="0.25">
      <c r="A644" s="171" t="str">
        <f>ORÇAMENTO!A146</f>
        <v>4.1.2.1.11</v>
      </c>
      <c r="B644" s="172" t="str">
        <f>VLOOKUP(A644,ORÇAMENTO!A:K,4,0)</f>
        <v>ESCAVAÇÃO MECANIZADA DE VALA COM PROF. DE 3,0 M ATÉ 4,5 M(MÉDIA MONTANTE E JUSANTE/UMA COMPOSIÇÃO POR TRECHO), ESCAVADEIRA (1,2 M3), LARG. DE 1,5 M A 2,5 M, EM SOLO DE 1A CATEGORIA, EM LOCAIS COM ALTO NÍVEL DE INTERFERÊNCIA. AF_09/2024</v>
      </c>
      <c r="C644" s="173" t="str">
        <f>VLOOKUP(A644,ORÇAMENTO!A:K,5,0)</f>
        <v>M³</v>
      </c>
      <c r="D644" s="173">
        <f>SUM(E648:O648)</f>
        <v>49.898110681382072</v>
      </c>
      <c r="E644" s="173" t="s">
        <v>1718</v>
      </c>
      <c r="F644" s="173" t="s">
        <v>1719</v>
      </c>
      <c r="G644" s="173" t="s">
        <v>1720</v>
      </c>
      <c r="H644" s="173" t="s">
        <v>1721</v>
      </c>
      <c r="I644" s="173" t="s">
        <v>1722</v>
      </c>
      <c r="J644" s="173" t="s">
        <v>1723</v>
      </c>
      <c r="K644" s="173" t="s">
        <v>1746</v>
      </c>
      <c r="L644" s="173" t="s">
        <v>1753</v>
      </c>
      <c r="M644" s="173" t="s">
        <v>1771</v>
      </c>
      <c r="N644" s="173" t="s">
        <v>1727</v>
      </c>
      <c r="O644" s="173" t="s">
        <v>1728</v>
      </c>
      <c r="P644" s="169"/>
      <c r="Q644" s="169"/>
    </row>
    <row r="645" spans="1:17" s="170" customFormat="1" ht="10.5" x14ac:dyDescent="0.25">
      <c r="A645" s="175"/>
      <c r="B645" s="176"/>
      <c r="C645" s="177"/>
      <c r="D645" s="178"/>
      <c r="E645" s="178"/>
      <c r="F645" s="178"/>
      <c r="G645" s="178"/>
      <c r="H645" s="178"/>
      <c r="I645" s="178"/>
      <c r="J645" s="178"/>
      <c r="K645" s="178"/>
      <c r="L645" s="178"/>
      <c r="M645" s="178"/>
      <c r="N645" s="178"/>
      <c r="O645" s="178"/>
      <c r="P645" s="179"/>
      <c r="Q645" s="169"/>
    </row>
    <row r="646" spans="1:17" s="170" customFormat="1" ht="10.5" x14ac:dyDescent="0.25">
      <c r="A646" s="175"/>
      <c r="B646" s="176" t="s">
        <v>1731</v>
      </c>
      <c r="C646" s="177"/>
      <c r="D646" s="178"/>
      <c r="E646" s="178"/>
      <c r="F646" s="178"/>
      <c r="G646" s="178"/>
      <c r="H646" s="178"/>
      <c r="I646" s="178"/>
      <c r="J646" s="178"/>
      <c r="K646" s="178"/>
      <c r="L646" s="178"/>
      <c r="M646" s="178"/>
      <c r="N646" s="178"/>
      <c r="O646" s="178">
        <f>Quantitativos!AN33</f>
        <v>49.898110681382072</v>
      </c>
      <c r="P646" s="179"/>
      <c r="Q646" s="169"/>
    </row>
    <row r="647" spans="1:17" s="170" customFormat="1" ht="10.5" x14ac:dyDescent="0.25">
      <c r="A647" s="175"/>
      <c r="B647" s="176"/>
      <c r="C647" s="177"/>
      <c r="D647" s="178"/>
      <c r="E647" s="178"/>
      <c r="F647" s="178"/>
      <c r="G647" s="178"/>
      <c r="H647" s="178"/>
      <c r="I647" s="178"/>
      <c r="J647" s="178"/>
      <c r="K647" s="178"/>
      <c r="L647" s="178"/>
      <c r="M647" s="178"/>
      <c r="N647" s="178"/>
      <c r="O647" s="178"/>
      <c r="P647" s="179"/>
      <c r="Q647" s="169"/>
    </row>
    <row r="648" spans="1:17" s="170" customFormat="1" ht="10.5" x14ac:dyDescent="0.25">
      <c r="A648" s="175"/>
      <c r="B648" s="181" t="s">
        <v>5</v>
      </c>
      <c r="C648" s="182" t="s">
        <v>1328</v>
      </c>
      <c r="D648" s="182"/>
      <c r="E648" s="182"/>
      <c r="F648" s="182"/>
      <c r="G648" s="182"/>
      <c r="H648" s="182"/>
      <c r="I648" s="182"/>
      <c r="J648" s="182"/>
      <c r="K648" s="182"/>
      <c r="L648" s="182"/>
      <c r="M648" s="182"/>
      <c r="N648" s="182"/>
      <c r="O648" s="182">
        <f>SUM(O645:O647)</f>
        <v>49.898110681382072</v>
      </c>
      <c r="P648" s="183"/>
      <c r="Q648" s="169"/>
    </row>
    <row r="649" spans="1:17" s="174" customFormat="1" ht="31.5" x14ac:dyDescent="0.25">
      <c r="A649" s="171" t="str">
        <f>ORÇAMENTO!A147</f>
        <v>4.1.2.1.12</v>
      </c>
      <c r="B649" s="172" t="str">
        <f>VLOOKUP(A649,ORÇAMENTO!A:K,4,0)</f>
        <v>ESCAVAÇÃO MECANIZADA DE VALAS EM MATERIAL DE 1ª E/OU 2ª CATEGORIAS, LARGURA MAIOR QUE 2,5M E ATÉ 2,00 M DE PROFUNDIDADE</v>
      </c>
      <c r="C649" s="173" t="str">
        <f>VLOOKUP(A649,ORÇAMENTO!A:K,5,0)</f>
        <v>M³</v>
      </c>
      <c r="D649" s="173">
        <f>SUM(E653:O653)</f>
        <v>1983.7951788816897</v>
      </c>
      <c r="E649" s="173" t="s">
        <v>1718</v>
      </c>
      <c r="F649" s="173" t="s">
        <v>1719</v>
      </c>
      <c r="G649" s="173" t="s">
        <v>1720</v>
      </c>
      <c r="H649" s="173" t="s">
        <v>1721</v>
      </c>
      <c r="I649" s="173" t="s">
        <v>1722</v>
      </c>
      <c r="J649" s="173" t="s">
        <v>1723</v>
      </c>
      <c r="K649" s="173" t="s">
        <v>1746</v>
      </c>
      <c r="L649" s="173" t="s">
        <v>1753</v>
      </c>
      <c r="M649" s="173" t="s">
        <v>1771</v>
      </c>
      <c r="N649" s="173" t="s">
        <v>1727</v>
      </c>
      <c r="O649" s="173" t="s">
        <v>1728</v>
      </c>
      <c r="P649" s="169"/>
      <c r="Q649" s="169"/>
    </row>
    <row r="650" spans="1:17" s="170" customFormat="1" ht="10.5" x14ac:dyDescent="0.25">
      <c r="A650" s="175"/>
      <c r="B650" s="176"/>
      <c r="C650" s="177"/>
      <c r="D650" s="178"/>
      <c r="E650" s="178"/>
      <c r="F650" s="178"/>
      <c r="G650" s="178"/>
      <c r="H650" s="178"/>
      <c r="I650" s="178"/>
      <c r="J650" s="178"/>
      <c r="K650" s="178"/>
      <c r="L650" s="178"/>
      <c r="M650" s="178"/>
      <c r="N650" s="178"/>
      <c r="O650" s="178"/>
      <c r="P650" s="179"/>
      <c r="Q650" s="169"/>
    </row>
    <row r="651" spans="1:17" s="170" customFormat="1" ht="10.5" x14ac:dyDescent="0.25">
      <c r="A651" s="175"/>
      <c r="B651" s="176" t="s">
        <v>1731</v>
      </c>
      <c r="C651" s="177"/>
      <c r="D651" s="178"/>
      <c r="E651" s="178"/>
      <c r="F651" s="178"/>
      <c r="G651" s="178"/>
      <c r="H651" s="178"/>
      <c r="I651" s="178"/>
      <c r="J651" s="178"/>
      <c r="K651" s="178"/>
      <c r="L651" s="178"/>
      <c r="M651" s="178"/>
      <c r="N651" s="178"/>
      <c r="O651" s="178">
        <f>Quantitativos!AO33</f>
        <v>1983.7951788816897</v>
      </c>
      <c r="P651" s="179"/>
      <c r="Q651" s="169"/>
    </row>
    <row r="652" spans="1:17" s="170" customFormat="1" ht="10.5" x14ac:dyDescent="0.25">
      <c r="A652" s="175"/>
      <c r="B652" s="176"/>
      <c r="C652" s="177"/>
      <c r="D652" s="178"/>
      <c r="E652" s="178"/>
      <c r="F652" s="178"/>
      <c r="G652" s="178"/>
      <c r="H652" s="178"/>
      <c r="I652" s="178"/>
      <c r="J652" s="178"/>
      <c r="K652" s="178"/>
      <c r="L652" s="178"/>
      <c r="M652" s="178"/>
      <c r="N652" s="178"/>
      <c r="O652" s="178"/>
      <c r="P652" s="179"/>
      <c r="Q652" s="169"/>
    </row>
    <row r="653" spans="1:17" s="170" customFormat="1" ht="10.5" x14ac:dyDescent="0.25">
      <c r="A653" s="175"/>
      <c r="B653" s="181" t="s">
        <v>5</v>
      </c>
      <c r="C653" s="182" t="s">
        <v>1328</v>
      </c>
      <c r="D653" s="182"/>
      <c r="E653" s="182"/>
      <c r="F653" s="182"/>
      <c r="G653" s="182"/>
      <c r="H653" s="182"/>
      <c r="I653" s="182"/>
      <c r="J653" s="182"/>
      <c r="K653" s="182"/>
      <c r="L653" s="182"/>
      <c r="M653" s="182"/>
      <c r="N653" s="182"/>
      <c r="O653" s="182">
        <f>SUM(O650:O652)</f>
        <v>1983.7951788816897</v>
      </c>
      <c r="P653" s="183"/>
      <c r="Q653" s="169"/>
    </row>
    <row r="654" spans="1:17" s="174" customFormat="1" ht="42" x14ac:dyDescent="0.25">
      <c r="A654" s="171" t="str">
        <f>ORÇAMENTO!A148</f>
        <v>4.1.2.1.13</v>
      </c>
      <c r="B654" s="172" t="str">
        <f>VLOOKUP(A654,ORÇAMENTO!A:K,4,0)</f>
        <v>ESCAVAÇÃO MECANIZADA DE VALAS EM MATERIAL DE 1ª E/OU 2ª CATEGORIAS, LARGURA MAIOR QUE 2,5M EACIMA DE 2,00 M  E ATÉ 4,00 M DE PROFUNDIDADE.</v>
      </c>
      <c r="C654" s="173" t="str">
        <f>VLOOKUP(A654,ORÇAMENTO!A:K,5,0)</f>
        <v>M³</v>
      </c>
      <c r="D654" s="173">
        <f>SUM(E658:O658)</f>
        <v>1131.6166220623754</v>
      </c>
      <c r="E654" s="173" t="s">
        <v>1718</v>
      </c>
      <c r="F654" s="173" t="s">
        <v>1719</v>
      </c>
      <c r="G654" s="173" t="s">
        <v>1720</v>
      </c>
      <c r="H654" s="173" t="s">
        <v>1721</v>
      </c>
      <c r="I654" s="173" t="s">
        <v>1722</v>
      </c>
      <c r="J654" s="173" t="s">
        <v>1723</v>
      </c>
      <c r="K654" s="173" t="s">
        <v>1746</v>
      </c>
      <c r="L654" s="173" t="s">
        <v>1753</v>
      </c>
      <c r="M654" s="173" t="s">
        <v>1771</v>
      </c>
      <c r="N654" s="173" t="s">
        <v>1727</v>
      </c>
      <c r="O654" s="173" t="s">
        <v>1728</v>
      </c>
      <c r="P654" s="169"/>
      <c r="Q654" s="169"/>
    </row>
    <row r="655" spans="1:17" s="170" customFormat="1" ht="10.5" x14ac:dyDescent="0.25">
      <c r="A655" s="175"/>
      <c r="B655" s="176"/>
      <c r="C655" s="177"/>
      <c r="D655" s="178"/>
      <c r="E655" s="178"/>
      <c r="F655" s="178"/>
      <c r="G655" s="178"/>
      <c r="H655" s="178"/>
      <c r="I655" s="178"/>
      <c r="J655" s="178"/>
      <c r="K655" s="178"/>
      <c r="L655" s="178"/>
      <c r="M655" s="178"/>
      <c r="N655" s="178"/>
      <c r="O655" s="178"/>
      <c r="P655" s="179"/>
      <c r="Q655" s="169"/>
    </row>
    <row r="656" spans="1:17" s="170" customFormat="1" ht="10.5" x14ac:dyDescent="0.25">
      <c r="A656" s="175"/>
      <c r="B656" s="176" t="s">
        <v>1731</v>
      </c>
      <c r="C656" s="177"/>
      <c r="D656" s="178"/>
      <c r="E656" s="178"/>
      <c r="F656" s="178"/>
      <c r="G656" s="178"/>
      <c r="H656" s="178"/>
      <c r="I656" s="178"/>
      <c r="J656" s="178"/>
      <c r="K656" s="178"/>
      <c r="L656" s="178"/>
      <c r="M656" s="178"/>
      <c r="N656" s="178"/>
      <c r="O656" s="178">
        <f>Quantitativos!AP33</f>
        <v>1131.6166220623754</v>
      </c>
      <c r="P656" s="179"/>
      <c r="Q656" s="169"/>
    </row>
    <row r="657" spans="1:19" s="170" customFormat="1" ht="10.5" x14ac:dyDescent="0.25">
      <c r="A657" s="175"/>
      <c r="B657" s="176"/>
      <c r="C657" s="177"/>
      <c r="D657" s="178"/>
      <c r="E657" s="178"/>
      <c r="F657" s="178"/>
      <c r="G657" s="178"/>
      <c r="H657" s="178"/>
      <c r="I657" s="178"/>
      <c r="J657" s="178"/>
      <c r="K657" s="178"/>
      <c r="L657" s="178"/>
      <c r="M657" s="178"/>
      <c r="N657" s="178"/>
      <c r="O657" s="178"/>
      <c r="P657" s="179"/>
      <c r="Q657" s="169"/>
    </row>
    <row r="658" spans="1:19" s="170" customFormat="1" ht="10.5" x14ac:dyDescent="0.25">
      <c r="A658" s="175"/>
      <c r="B658" s="181" t="s">
        <v>5</v>
      </c>
      <c r="C658" s="182" t="s">
        <v>1328</v>
      </c>
      <c r="D658" s="182"/>
      <c r="E658" s="182"/>
      <c r="F658" s="182"/>
      <c r="G658" s="182"/>
      <c r="H658" s="182"/>
      <c r="I658" s="182"/>
      <c r="J658" s="182"/>
      <c r="K658" s="182"/>
      <c r="L658" s="182"/>
      <c r="M658" s="182"/>
      <c r="N658" s="182"/>
      <c r="O658" s="182">
        <f>SUM(O655:O657)</f>
        <v>1131.6166220623754</v>
      </c>
      <c r="P658" s="183"/>
      <c r="Q658" s="169"/>
    </row>
    <row r="659" spans="1:19" s="174" customFormat="1" ht="42" x14ac:dyDescent="0.25">
      <c r="A659" s="171" t="str">
        <f>ORÇAMENTO!A149</f>
        <v>4.1.2.1.14</v>
      </c>
      <c r="B659" s="172" t="str">
        <f>VLOOKUP(A659,ORÇAMENTO!A:K,4,0)</f>
        <v>ESCAVAÇÃO MECANIZADA DE VALAS EM MATERIAL DE 1ª E/OU 2ª CATEGORIAS, LARGURA MAIOR QUE 2,5M E ACIMA DE 4,00 M E ATÉ 6,00 M DE PROFUNDIDADE.</v>
      </c>
      <c r="C659" s="173" t="str">
        <f>VLOOKUP(A659,ORÇAMENTO!A:K,5,0)</f>
        <v>M³</v>
      </c>
      <c r="D659" s="173">
        <f>SUM(E663:O663)</f>
        <v>125.4469271791038</v>
      </c>
      <c r="E659" s="173" t="s">
        <v>1718</v>
      </c>
      <c r="F659" s="173" t="s">
        <v>1719</v>
      </c>
      <c r="G659" s="173" t="s">
        <v>1720</v>
      </c>
      <c r="H659" s="173" t="s">
        <v>1721</v>
      </c>
      <c r="I659" s="173" t="s">
        <v>1722</v>
      </c>
      <c r="J659" s="173" t="s">
        <v>1723</v>
      </c>
      <c r="K659" s="173" t="s">
        <v>1746</v>
      </c>
      <c r="L659" s="173" t="s">
        <v>1753</v>
      </c>
      <c r="M659" s="173" t="s">
        <v>1771</v>
      </c>
      <c r="N659" s="173" t="s">
        <v>1727</v>
      </c>
      <c r="O659" s="173" t="s">
        <v>1728</v>
      </c>
      <c r="P659" s="169"/>
      <c r="Q659" s="169"/>
    </row>
    <row r="660" spans="1:19" s="170" customFormat="1" ht="10.5" x14ac:dyDescent="0.25">
      <c r="A660" s="175"/>
      <c r="B660" s="176"/>
      <c r="C660" s="177"/>
      <c r="D660" s="178"/>
      <c r="E660" s="178"/>
      <c r="F660" s="178"/>
      <c r="G660" s="178"/>
      <c r="H660" s="178"/>
      <c r="I660" s="178"/>
      <c r="J660" s="178"/>
      <c r="K660" s="178"/>
      <c r="L660" s="178"/>
      <c r="M660" s="178"/>
      <c r="N660" s="178"/>
      <c r="O660" s="178"/>
      <c r="P660" s="179"/>
      <c r="Q660" s="169"/>
    </row>
    <row r="661" spans="1:19" s="170" customFormat="1" ht="10.5" x14ac:dyDescent="0.25">
      <c r="A661" s="175"/>
      <c r="B661" s="176" t="s">
        <v>1731</v>
      </c>
      <c r="C661" s="177"/>
      <c r="D661" s="178"/>
      <c r="E661" s="178"/>
      <c r="F661" s="178"/>
      <c r="G661" s="178"/>
      <c r="H661" s="178"/>
      <c r="I661" s="178"/>
      <c r="J661" s="178"/>
      <c r="K661" s="178"/>
      <c r="L661" s="178"/>
      <c r="M661" s="178"/>
      <c r="N661" s="178"/>
      <c r="O661" s="178">
        <f>Quantitativos!AQ33</f>
        <v>125.4469271791038</v>
      </c>
      <c r="P661" s="179"/>
      <c r="Q661" s="169"/>
    </row>
    <row r="662" spans="1:19" s="170" customFormat="1" ht="10.5" x14ac:dyDescent="0.25">
      <c r="A662" s="175"/>
      <c r="B662" s="176"/>
      <c r="C662" s="177"/>
      <c r="D662" s="178"/>
      <c r="E662" s="178"/>
      <c r="F662" s="178"/>
      <c r="G662" s="178"/>
      <c r="H662" s="178"/>
      <c r="I662" s="178"/>
      <c r="J662" s="178"/>
      <c r="K662" s="178"/>
      <c r="L662" s="178"/>
      <c r="M662" s="178"/>
      <c r="N662" s="178"/>
      <c r="O662" s="178"/>
      <c r="P662" s="179"/>
      <c r="Q662" s="169"/>
    </row>
    <row r="663" spans="1:19" s="170" customFormat="1" ht="10.5" x14ac:dyDescent="0.25">
      <c r="A663" s="175"/>
      <c r="B663" s="181" t="s">
        <v>5</v>
      </c>
      <c r="C663" s="182" t="s">
        <v>1328</v>
      </c>
      <c r="D663" s="182"/>
      <c r="E663" s="182"/>
      <c r="F663" s="182"/>
      <c r="G663" s="182"/>
      <c r="H663" s="182"/>
      <c r="I663" s="182"/>
      <c r="J663" s="182"/>
      <c r="K663" s="182"/>
      <c r="L663" s="182"/>
      <c r="M663" s="182"/>
      <c r="N663" s="182"/>
      <c r="O663" s="182">
        <f>SUM(O660:O662)</f>
        <v>125.4469271791038</v>
      </c>
      <c r="P663" s="183"/>
      <c r="Q663" s="169"/>
    </row>
    <row r="664" spans="1:19" s="189" customFormat="1" ht="31.5" x14ac:dyDescent="0.35">
      <c r="A664" s="171" t="str">
        <f>ORÇAMENTO!A150</f>
        <v>4.1.2.1.15</v>
      </c>
      <c r="B664" s="172" t="str">
        <f>VLOOKUP(A664,ORÇAMENTO!A:K,4,0)</f>
        <v>ESCAVAÇÃO DE VALA EM MATERIAL DE 3ª CATEGORIA COM ESCAVADEIRA E ROMPEDOR HIDRÁULICO DE 1700KG</v>
      </c>
      <c r="C664" s="173" t="str">
        <f>VLOOKUP(A664,ORÇAMENTO!A:K,5,0)</f>
        <v>M³</v>
      </c>
      <c r="D664" s="173">
        <f>SUM(E666:O666)</f>
        <v>406.58992602701767</v>
      </c>
      <c r="E664" s="173" t="s">
        <v>1752</v>
      </c>
      <c r="F664" s="173" t="s">
        <v>1719</v>
      </c>
      <c r="G664" s="173" t="s">
        <v>1720</v>
      </c>
      <c r="H664" s="173" t="s">
        <v>1721</v>
      </c>
      <c r="I664" s="173" t="s">
        <v>1722</v>
      </c>
      <c r="J664" s="173" t="s">
        <v>1723</v>
      </c>
      <c r="K664" s="173" t="s">
        <v>1724</v>
      </c>
      <c r="L664" s="173" t="s">
        <v>1753</v>
      </c>
      <c r="M664" s="173" t="s">
        <v>1730</v>
      </c>
      <c r="N664" s="173" t="s">
        <v>1727</v>
      </c>
      <c r="O664" s="173" t="s">
        <v>1728</v>
      </c>
      <c r="P664" s="169"/>
      <c r="Q664" s="169"/>
      <c r="R664" s="169"/>
      <c r="S664" s="169"/>
    </row>
    <row r="665" spans="1:19" s="170" customFormat="1" ht="10.5" x14ac:dyDescent="0.25">
      <c r="A665" s="175"/>
      <c r="B665" s="176" t="s">
        <v>1731</v>
      </c>
      <c r="C665" s="184"/>
      <c r="D665" s="185"/>
      <c r="E665" s="185"/>
      <c r="F665" s="185"/>
      <c r="G665" s="185"/>
      <c r="H665" s="185"/>
      <c r="I665" s="185"/>
      <c r="J665" s="185"/>
      <c r="K665" s="185"/>
      <c r="L665" s="197"/>
      <c r="M665" s="185"/>
      <c r="N665" s="185"/>
      <c r="O665" s="185">
        <f>Quantitativos!AR33</f>
        <v>406.58992602701767</v>
      </c>
      <c r="P665" s="179"/>
      <c r="Q665" s="169"/>
    </row>
    <row r="666" spans="1:19" s="170" customFormat="1" ht="10.5" x14ac:dyDescent="0.25">
      <c r="A666" s="175"/>
      <c r="B666" s="181" t="s">
        <v>5</v>
      </c>
      <c r="C666" s="182" t="s">
        <v>1328</v>
      </c>
      <c r="D666" s="182"/>
      <c r="E666" s="182"/>
      <c r="F666" s="182"/>
      <c r="G666" s="182"/>
      <c r="H666" s="182"/>
      <c r="I666" s="182"/>
      <c r="J666" s="182"/>
      <c r="K666" s="185"/>
      <c r="L666" s="182"/>
      <c r="M666" s="184"/>
      <c r="N666" s="182"/>
      <c r="O666" s="182">
        <f>SUM(O665)</f>
        <v>406.58992602701767</v>
      </c>
      <c r="P666" s="183"/>
      <c r="Q666" s="169"/>
    </row>
    <row r="667" spans="1:19" s="189" customFormat="1" ht="52.5" x14ac:dyDescent="0.35">
      <c r="A667" s="171" t="str">
        <f>ORÇAMENTO!A151</f>
        <v>4.1.2.1.16</v>
      </c>
      <c r="B667" s="172" t="str">
        <f>VLOOKUP(A667,ORÇAMENTO!A:K,4,0)</f>
        <v>CARGA, MANOBRA E DESCARGA DE SOLOS E MATERIAIS GRANULARES EM CAMINHÃO BASCULANTE 14 M³ - CARGA COM ESCAVADEIRA HIDRÁULICA (CAÇAMBA DE 1,20 M³ / 155 HP) E DESCARGA LIVRE (UNIDADE: M3). AF_07/2020</v>
      </c>
      <c r="C667" s="173" t="str">
        <f>VLOOKUP(A667,ORÇAMENTO!A:K,5,0)</f>
        <v>M³</v>
      </c>
      <c r="D667" s="173">
        <f>SUM(E670:O670)</f>
        <v>1744.3806857317095</v>
      </c>
      <c r="E667" s="173" t="s">
        <v>1752</v>
      </c>
      <c r="F667" s="173" t="s">
        <v>1719</v>
      </c>
      <c r="G667" s="173" t="s">
        <v>1720</v>
      </c>
      <c r="H667" s="173" t="s">
        <v>1721</v>
      </c>
      <c r="I667" s="173" t="s">
        <v>1722</v>
      </c>
      <c r="J667" s="173" t="s">
        <v>1723</v>
      </c>
      <c r="K667" s="173" t="s">
        <v>1746</v>
      </c>
      <c r="L667" s="173" t="s">
        <v>1753</v>
      </c>
      <c r="M667" s="173" t="s">
        <v>1730</v>
      </c>
      <c r="N667" s="173" t="s">
        <v>1727</v>
      </c>
      <c r="O667" s="173" t="s">
        <v>1728</v>
      </c>
      <c r="P667" s="169"/>
      <c r="Q667" s="169"/>
      <c r="R667" s="169"/>
      <c r="S667" s="169"/>
    </row>
    <row r="668" spans="1:19" s="170" customFormat="1" ht="10.5" x14ac:dyDescent="0.25">
      <c r="A668" s="175"/>
      <c r="B668" s="176"/>
      <c r="C668" s="184"/>
      <c r="D668" s="185"/>
      <c r="E668" s="185"/>
      <c r="F668" s="185"/>
      <c r="G668" s="185"/>
      <c r="H668" s="185"/>
      <c r="I668" s="185"/>
      <c r="J668" s="185"/>
      <c r="K668" s="185"/>
      <c r="L668" s="197"/>
      <c r="M668" s="185"/>
      <c r="N668" s="185"/>
      <c r="O668" s="185"/>
      <c r="P668" s="179"/>
      <c r="Q668" s="169"/>
    </row>
    <row r="669" spans="1:19" s="170" customFormat="1" ht="10.5" x14ac:dyDescent="0.25">
      <c r="A669" s="175"/>
      <c r="B669" s="176" t="s">
        <v>1772</v>
      </c>
      <c r="C669" s="184"/>
      <c r="D669" s="185"/>
      <c r="E669" s="185"/>
      <c r="F669" s="185"/>
      <c r="G669" s="185"/>
      <c r="H669" s="185"/>
      <c r="I669" s="185"/>
      <c r="J669" s="185"/>
      <c r="K669" s="185"/>
      <c r="L669" s="197"/>
      <c r="M669" s="185"/>
      <c r="N669" s="185"/>
      <c r="O669" s="185">
        <f>Quantitativos!BL33</f>
        <v>1744.3806857317095</v>
      </c>
      <c r="P669" s="179"/>
      <c r="Q669" s="169"/>
    </row>
    <row r="670" spans="1:19" s="170" customFormat="1" ht="10.5" x14ac:dyDescent="0.25">
      <c r="A670" s="175"/>
      <c r="B670" s="181" t="s">
        <v>5</v>
      </c>
      <c r="C670" s="182" t="s">
        <v>1328</v>
      </c>
      <c r="D670" s="182"/>
      <c r="E670" s="182"/>
      <c r="F670" s="182"/>
      <c r="G670" s="182"/>
      <c r="H670" s="182"/>
      <c r="I670" s="182"/>
      <c r="J670" s="182"/>
      <c r="K670" s="182"/>
      <c r="L670" s="182"/>
      <c r="M670" s="184"/>
      <c r="N670" s="182"/>
      <c r="O670" s="182">
        <f>SUM(O669:O669)</f>
        <v>1744.3806857317095</v>
      </c>
      <c r="P670" s="183"/>
      <c r="Q670" s="169"/>
    </row>
    <row r="671" spans="1:19" s="189" customFormat="1" ht="31.5" x14ac:dyDescent="0.35">
      <c r="A671" s="171" t="str">
        <f>ORÇAMENTO!A152</f>
        <v>4.1.2.1.17</v>
      </c>
      <c r="B671" s="172" t="str">
        <f>VLOOKUP(A671,ORÇAMENTO!A:K,4,0)</f>
        <v>TRANSPORTE COM CAMINHÃO BASCULANTE DE 14 M³, EM VIA URBANA PAVIMENTADA, DMT ATÉ 30 KM (UNIDADE: M3XKM). AF_07/2020</v>
      </c>
      <c r="C671" s="173" t="str">
        <f>VLOOKUP(A671,ORÇAMENTO!A:K,5,0)</f>
        <v>M3XKM</v>
      </c>
      <c r="D671" s="173">
        <f>SUM(E674:O674)</f>
        <v>52331.420571951283</v>
      </c>
      <c r="E671" s="173" t="s">
        <v>1752</v>
      </c>
      <c r="F671" s="173" t="s">
        <v>1719</v>
      </c>
      <c r="G671" s="173" t="s">
        <v>1720</v>
      </c>
      <c r="H671" s="173" t="s">
        <v>1721</v>
      </c>
      <c r="I671" s="173" t="s">
        <v>1722</v>
      </c>
      <c r="J671" s="173" t="s">
        <v>1723</v>
      </c>
      <c r="K671" s="173" t="s">
        <v>1746</v>
      </c>
      <c r="L671" s="173" t="s">
        <v>1753</v>
      </c>
      <c r="M671" s="173" t="s">
        <v>1750</v>
      </c>
      <c r="N671" s="173" t="s">
        <v>1727</v>
      </c>
      <c r="O671" s="173" t="s">
        <v>1728</v>
      </c>
      <c r="P671" s="169"/>
      <c r="Q671" s="169"/>
      <c r="R671" s="169"/>
      <c r="S671" s="169"/>
    </row>
    <row r="672" spans="1:19" s="170" customFormat="1" ht="21" x14ac:dyDescent="0.25">
      <c r="A672" s="175"/>
      <c r="B672" s="176" t="s">
        <v>1773</v>
      </c>
      <c r="C672" s="177"/>
      <c r="D672" s="178"/>
      <c r="E672" s="178">
        <v>30</v>
      </c>
      <c r="F672" s="178"/>
      <c r="G672" s="178"/>
      <c r="H672" s="178"/>
      <c r="I672" s="178"/>
      <c r="J672" s="178"/>
      <c r="K672" s="178"/>
      <c r="L672" s="190"/>
      <c r="M672" s="178">
        <f>E672*O672</f>
        <v>40133.722791140754</v>
      </c>
      <c r="N672" s="178"/>
      <c r="O672" s="178">
        <f>Quantitativos!BL35</f>
        <v>1337.7907597046917</v>
      </c>
      <c r="P672" s="179"/>
      <c r="Q672" s="169"/>
    </row>
    <row r="673" spans="1:19" s="170" customFormat="1" ht="21" x14ac:dyDescent="0.25">
      <c r="A673" s="175"/>
      <c r="B673" s="176" t="s">
        <v>1774</v>
      </c>
      <c r="C673" s="177"/>
      <c r="D673" s="178"/>
      <c r="E673" s="178">
        <v>30</v>
      </c>
      <c r="F673" s="178"/>
      <c r="G673" s="178"/>
      <c r="H673" s="178"/>
      <c r="I673" s="178"/>
      <c r="J673" s="178"/>
      <c r="K673" s="178"/>
      <c r="L673" s="190"/>
      <c r="M673" s="178">
        <f>E673*O673</f>
        <v>12197.697780810529</v>
      </c>
      <c r="N673" s="178"/>
      <c r="O673" s="178">
        <f>Quantitativos!BL34</f>
        <v>406.58992602701767</v>
      </c>
      <c r="P673" s="179"/>
      <c r="Q673" s="169"/>
    </row>
    <row r="674" spans="1:19" s="170" customFormat="1" ht="10.5" x14ac:dyDescent="0.25">
      <c r="A674" s="175"/>
      <c r="B674" s="181" t="s">
        <v>5</v>
      </c>
      <c r="C674" s="182" t="s">
        <v>1328</v>
      </c>
      <c r="D674" s="182"/>
      <c r="E674" s="182"/>
      <c r="F674" s="182"/>
      <c r="G674" s="182"/>
      <c r="H674" s="182"/>
      <c r="I674" s="182"/>
      <c r="J674" s="182"/>
      <c r="K674" s="182"/>
      <c r="L674" s="182"/>
      <c r="M674" s="182">
        <f>SUM(M672:M673)</f>
        <v>52331.420571951283</v>
      </c>
      <c r="N674" s="182"/>
      <c r="O674" s="182"/>
      <c r="P674" s="183"/>
      <c r="Q674" s="169"/>
    </row>
    <row r="675" spans="1:19" s="189" customFormat="1" ht="42" x14ac:dyDescent="0.35">
      <c r="A675" s="171" t="str">
        <f>ORÇAMENTO!A153</f>
        <v>4.1.2.1.18</v>
      </c>
      <c r="B675" s="172" t="str">
        <f>VLOOKUP(A675,ORÇAMENTO!A:K,4,0)</f>
        <v>TRANSPORTE COM CAMINHÃO BASCULANTE DE 14 M³, EM VIA URBANA PAVIMENTADA, ADICIONAL PARA DMT EXCEDENTE A 30 KM (UNIDADE: M3XKM). AF_07/2020</v>
      </c>
      <c r="C675" s="173" t="str">
        <f>VLOOKUP(A675,ORÇAMENTO!A:K,5,0)</f>
        <v>M3XKM</v>
      </c>
      <c r="D675" s="173">
        <f>SUM(E678:O678)</f>
        <v>37211.857473817014</v>
      </c>
      <c r="E675" s="173" t="s">
        <v>1752</v>
      </c>
      <c r="F675" s="173" t="s">
        <v>1719</v>
      </c>
      <c r="G675" s="173" t="s">
        <v>1720</v>
      </c>
      <c r="H675" s="173" t="s">
        <v>1721</v>
      </c>
      <c r="I675" s="173" t="s">
        <v>1722</v>
      </c>
      <c r="J675" s="173" t="s">
        <v>1723</v>
      </c>
      <c r="K675" s="173" t="s">
        <v>1746</v>
      </c>
      <c r="L675" s="173" t="s">
        <v>1753</v>
      </c>
      <c r="M675" s="173" t="s">
        <v>1750</v>
      </c>
      <c r="N675" s="173" t="s">
        <v>1727</v>
      </c>
      <c r="O675" s="173" t="s">
        <v>1728</v>
      </c>
      <c r="P675" s="169"/>
      <c r="Q675" s="169"/>
      <c r="R675" s="169"/>
      <c r="S675" s="169"/>
    </row>
    <row r="676" spans="1:19" s="170" customFormat="1" ht="21" x14ac:dyDescent="0.25">
      <c r="A676" s="175"/>
      <c r="B676" s="176" t="str">
        <f>B672</f>
        <v>TRANSPORTE ATÉ ATERRO ESTRUTURAL - BOTA FORA - MATERIAL NÃO APROVEITADO</v>
      </c>
      <c r="C676" s="177"/>
      <c r="D676" s="178"/>
      <c r="E676" s="178">
        <f>44.2-E672</f>
        <v>14.200000000000003</v>
      </c>
      <c r="F676" s="178"/>
      <c r="G676" s="178"/>
      <c r="H676" s="178"/>
      <c r="I676" s="178"/>
      <c r="J676" s="178"/>
      <c r="K676" s="178"/>
      <c r="L676" s="190"/>
      <c r="M676" s="178">
        <f>E676*O676</f>
        <v>18996.628787806625</v>
      </c>
      <c r="N676" s="178"/>
      <c r="O676" s="178">
        <f>O672</f>
        <v>1337.7907597046917</v>
      </c>
      <c r="P676" s="179"/>
      <c r="Q676" s="169"/>
    </row>
    <row r="677" spans="1:19" s="170" customFormat="1" ht="21" x14ac:dyDescent="0.25">
      <c r="A677" s="175"/>
      <c r="B677" s="176" t="str">
        <f>B673</f>
        <v>TRANSPORTE ATÉ ATERRO SAMAMBIA - BOTA FORA - ROCHA</v>
      </c>
      <c r="C677" s="177"/>
      <c r="D677" s="178"/>
      <c r="E677" s="178">
        <f>74.8-E673</f>
        <v>44.8</v>
      </c>
      <c r="F677" s="178"/>
      <c r="G677" s="178"/>
      <c r="H677" s="178"/>
      <c r="I677" s="178"/>
      <c r="J677" s="178"/>
      <c r="K677" s="178"/>
      <c r="L677" s="190"/>
      <c r="M677" s="178">
        <f>E677*O677</f>
        <v>18215.228686010389</v>
      </c>
      <c r="N677" s="178"/>
      <c r="O677" s="178">
        <f>O673</f>
        <v>406.58992602701767</v>
      </c>
      <c r="P677" s="179"/>
      <c r="Q677" s="169"/>
    </row>
    <row r="678" spans="1:19" s="170" customFormat="1" ht="10.5" x14ac:dyDescent="0.25">
      <c r="A678" s="175"/>
      <c r="B678" s="181" t="s">
        <v>5</v>
      </c>
      <c r="C678" s="182" t="s">
        <v>1328</v>
      </c>
      <c r="D678" s="182"/>
      <c r="E678" s="182"/>
      <c r="F678" s="182"/>
      <c r="G678" s="182"/>
      <c r="H678" s="182"/>
      <c r="I678" s="182"/>
      <c r="J678" s="182"/>
      <c r="K678" s="182"/>
      <c r="L678" s="182"/>
      <c r="M678" s="182">
        <f>SUM(M676:M677)</f>
        <v>37211.857473817014</v>
      </c>
      <c r="N678" s="182"/>
      <c r="O678" s="182"/>
      <c r="P678" s="183"/>
      <c r="Q678" s="169"/>
    </row>
    <row r="679" spans="1:19" s="189" customFormat="1" ht="21" x14ac:dyDescent="0.35">
      <c r="A679" s="171" t="str">
        <f>ORÇAMENTO!A154</f>
        <v>4.1.2.1.19</v>
      </c>
      <c r="B679" s="172" t="str">
        <f>VLOOKUP(A679,ORÇAMENTO!A:K,4,0)</f>
        <v>ESPALHAMENTO DE MATERIAL COM TRATOR DE ESTEIRAS. AF_09/2024</v>
      </c>
      <c r="C679" s="173" t="str">
        <f>VLOOKUP(A679,ORÇAMENTO!A:K,5,0)</f>
        <v>M³</v>
      </c>
      <c r="D679" s="173">
        <f>SUM(E681:O681)</f>
        <v>1744.3806857317095</v>
      </c>
      <c r="E679" s="173" t="s">
        <v>1752</v>
      </c>
      <c r="F679" s="173" t="s">
        <v>1719</v>
      </c>
      <c r="G679" s="173" t="s">
        <v>1720</v>
      </c>
      <c r="H679" s="173" t="s">
        <v>1721</v>
      </c>
      <c r="I679" s="173" t="s">
        <v>1722</v>
      </c>
      <c r="J679" s="173" t="s">
        <v>1723</v>
      </c>
      <c r="K679" s="173" t="s">
        <v>1746</v>
      </c>
      <c r="L679" s="173" t="s">
        <v>1753</v>
      </c>
      <c r="M679" s="173" t="s">
        <v>1750</v>
      </c>
      <c r="N679" s="173" t="s">
        <v>1727</v>
      </c>
      <c r="O679" s="173" t="s">
        <v>1728</v>
      </c>
      <c r="P679" s="169"/>
      <c r="Q679" s="169"/>
      <c r="R679" s="169"/>
      <c r="S679" s="169"/>
    </row>
    <row r="680" spans="1:19" s="170" customFormat="1" ht="10.5" x14ac:dyDescent="0.25">
      <c r="A680" s="175"/>
      <c r="B680" s="176" t="s">
        <v>1775</v>
      </c>
      <c r="C680" s="177"/>
      <c r="D680" s="178"/>
      <c r="E680" s="178"/>
      <c r="F680" s="178"/>
      <c r="G680" s="178"/>
      <c r="H680" s="178"/>
      <c r="I680" s="178"/>
      <c r="J680" s="178"/>
      <c r="K680" s="178"/>
      <c r="L680" s="190"/>
      <c r="M680" s="178"/>
      <c r="N680" s="178"/>
      <c r="O680" s="178">
        <f>Quantitativos!BL33</f>
        <v>1744.3806857317095</v>
      </c>
      <c r="P680" s="179"/>
      <c r="Q680" s="169"/>
    </row>
    <row r="681" spans="1:19" s="170" customFormat="1" ht="10.5" x14ac:dyDescent="0.25">
      <c r="A681" s="175"/>
      <c r="B681" s="181" t="s">
        <v>5</v>
      </c>
      <c r="C681" s="182" t="s">
        <v>1328</v>
      </c>
      <c r="D681" s="182"/>
      <c r="E681" s="182"/>
      <c r="F681" s="182"/>
      <c r="G681" s="182"/>
      <c r="H681" s="182"/>
      <c r="I681" s="182"/>
      <c r="J681" s="182"/>
      <c r="K681" s="182"/>
      <c r="L681" s="182"/>
      <c r="M681" s="182"/>
      <c r="N681" s="182"/>
      <c r="O681" s="182">
        <f>SUM(O680)</f>
        <v>1744.3806857317095</v>
      </c>
      <c r="P681" s="183"/>
      <c r="Q681" s="169"/>
    </row>
    <row r="682" spans="1:19" s="170" customFormat="1" ht="10.5" x14ac:dyDescent="0.25">
      <c r="A682" s="165" t="str">
        <f>ORÇAMENTO!A155</f>
        <v>4.1.2.2</v>
      </c>
      <c r="B682" s="166" t="str">
        <f>VLOOKUP(A682,ORÇAMENTO!A:K,4,0)</f>
        <v>ESGOTAMENTO DE VALAS</v>
      </c>
      <c r="C682" s="167"/>
      <c r="D682" s="167"/>
      <c r="E682" s="168"/>
      <c r="F682" s="168"/>
      <c r="G682" s="168"/>
      <c r="H682" s="168"/>
      <c r="I682" s="168"/>
      <c r="J682" s="168"/>
      <c r="K682" s="168"/>
      <c r="L682" s="168"/>
      <c r="M682" s="168"/>
      <c r="N682" s="168"/>
      <c r="O682" s="168"/>
      <c r="P682" s="169"/>
      <c r="Q682" s="169"/>
    </row>
    <row r="683" spans="1:19" s="174" customFormat="1" ht="21" x14ac:dyDescent="0.25">
      <c r="A683" s="171" t="str">
        <f>ORÇAMENTO!A156</f>
        <v>4.1.2.2.1</v>
      </c>
      <c r="B683" s="172" t="str">
        <f>VLOOKUP(A683,ORÇAMENTO!A:K,4,0)</f>
        <v>ESGOTAMENTO DE ÁGUA COM BOMBA SUBMERSA</v>
      </c>
      <c r="C683" s="173" t="str">
        <f>VLOOKUP(A683,ORÇAMENTO!A:K,5,0)</f>
        <v>H</v>
      </c>
      <c r="D683" s="173">
        <f>SUM(E686:O686)</f>
        <v>12.189321557942453</v>
      </c>
      <c r="E683" s="173" t="s">
        <v>1718</v>
      </c>
      <c r="F683" s="173" t="s">
        <v>1719</v>
      </c>
      <c r="G683" s="173" t="s">
        <v>1720</v>
      </c>
      <c r="H683" s="173" t="s">
        <v>1721</v>
      </c>
      <c r="I683" s="173" t="s">
        <v>1722</v>
      </c>
      <c r="J683" s="173" t="s">
        <v>1723</v>
      </c>
      <c r="K683" s="173" t="s">
        <v>1724</v>
      </c>
      <c r="L683" s="173" t="s">
        <v>1753</v>
      </c>
      <c r="M683" s="173" t="s">
        <v>1730</v>
      </c>
      <c r="N683" s="173" t="s">
        <v>1727</v>
      </c>
      <c r="O683" s="173" t="s">
        <v>1728</v>
      </c>
      <c r="P683" s="169"/>
      <c r="Q683" s="169"/>
    </row>
    <row r="684" spans="1:19" s="170" customFormat="1" ht="10.5" x14ac:dyDescent="0.25">
      <c r="A684" s="175"/>
      <c r="B684" s="181" t="str">
        <f>Quantitativos!AS4</f>
        <v>ESGOTAMENTO</v>
      </c>
      <c r="C684" s="184"/>
      <c r="D684" s="185"/>
      <c r="E684" s="185"/>
      <c r="F684" s="185"/>
      <c r="G684" s="185"/>
      <c r="H684" s="185"/>
      <c r="I684" s="185"/>
      <c r="J684" s="185"/>
      <c r="K684" s="185"/>
      <c r="L684" s="185"/>
      <c r="M684" s="185"/>
      <c r="N684" s="185"/>
      <c r="O684" s="185">
        <f>Quantitativos!AS33</f>
        <v>12.189321557942453</v>
      </c>
      <c r="P684" s="169"/>
      <c r="Q684" s="169"/>
    </row>
    <row r="685" spans="1:19" s="170" customFormat="1" ht="10.5" x14ac:dyDescent="0.25">
      <c r="A685" s="175"/>
      <c r="B685" s="176"/>
      <c r="C685" s="184"/>
      <c r="D685" s="185"/>
      <c r="E685" s="185"/>
      <c r="F685" s="185"/>
      <c r="G685" s="185"/>
      <c r="H685" s="185"/>
      <c r="I685" s="185"/>
      <c r="J685" s="185"/>
      <c r="K685" s="185"/>
      <c r="L685" s="185"/>
      <c r="M685" s="185"/>
      <c r="N685" s="185"/>
      <c r="O685" s="185"/>
      <c r="P685" s="179"/>
      <c r="Q685" s="169"/>
    </row>
    <row r="686" spans="1:19" s="170" customFormat="1" ht="10.5" x14ac:dyDescent="0.25">
      <c r="A686" s="175"/>
      <c r="B686" s="181" t="s">
        <v>5</v>
      </c>
      <c r="C686" s="182" t="s">
        <v>1328</v>
      </c>
      <c r="D686" s="182"/>
      <c r="E686" s="182"/>
      <c r="F686" s="182"/>
      <c r="G686" s="182"/>
      <c r="H686" s="182"/>
      <c r="I686" s="182"/>
      <c r="J686" s="182"/>
      <c r="K686" s="182"/>
      <c r="L686" s="182"/>
      <c r="M686" s="182"/>
      <c r="N686" s="182"/>
      <c r="O686" s="182">
        <f>SUM(O684:O685)</f>
        <v>12.189321557942453</v>
      </c>
      <c r="P686" s="183"/>
      <c r="Q686" s="169"/>
    </row>
    <row r="687" spans="1:19" s="170" customFormat="1" ht="21" x14ac:dyDescent="0.25">
      <c r="A687" s="165" t="str">
        <f>ORÇAMENTO!A157</f>
        <v>4.1.2.3</v>
      </c>
      <c r="B687" s="166" t="str">
        <f>VLOOKUP(A687,ORÇAMENTO!A:K,4,0)</f>
        <v>ESCORAMENTOS DE VALAS PARA REDE DE DRENAGEM</v>
      </c>
      <c r="C687" s="167"/>
      <c r="D687" s="167"/>
      <c r="E687" s="168"/>
      <c r="F687" s="168"/>
      <c r="G687" s="168"/>
      <c r="H687" s="168"/>
      <c r="I687" s="168"/>
      <c r="J687" s="168"/>
      <c r="K687" s="168"/>
      <c r="L687" s="168"/>
      <c r="M687" s="168"/>
      <c r="N687" s="168"/>
      <c r="O687" s="168"/>
      <c r="P687" s="169"/>
      <c r="Q687" s="169"/>
    </row>
    <row r="688" spans="1:19" s="174" customFormat="1" ht="42" x14ac:dyDescent="0.25">
      <c r="A688" s="171" t="str">
        <f>ORÇAMENTO!A158</f>
        <v>4.1.2.3.1</v>
      </c>
      <c r="B688" s="172" t="str">
        <f>VLOOKUP(A688,ORÇAMENTO!A:K,4,0)</f>
        <v>ESCORAMENTO DE VALA, TIPO BLINDAGEM, COM PROFUNDIDADE DE 0 A 1,5 M, LARGURA MENOR QUE 1,5 M - EXECUÇÃO E FORNECIMENTO, INCLUI MATERIAL (ESCAVAÇÃO EXTERNA AO BLINDADO)</v>
      </c>
      <c r="C688" s="173" t="str">
        <f>VLOOKUP(A688,ORÇAMENTO!A:K,5,0)</f>
        <v>M²</v>
      </c>
      <c r="D688" s="173">
        <f>SUM(E691:O691)</f>
        <v>487.3571492860969</v>
      </c>
      <c r="E688" s="173" t="s">
        <v>1718</v>
      </c>
      <c r="F688" s="173" t="s">
        <v>1719</v>
      </c>
      <c r="G688" s="173" t="s">
        <v>1720</v>
      </c>
      <c r="H688" s="173" t="s">
        <v>1721</v>
      </c>
      <c r="I688" s="173" t="s">
        <v>1722</v>
      </c>
      <c r="J688" s="173" t="s">
        <v>1723</v>
      </c>
      <c r="K688" s="173" t="s">
        <v>1724</v>
      </c>
      <c r="L688" s="173" t="s">
        <v>1753</v>
      </c>
      <c r="M688" s="173" t="s">
        <v>1730</v>
      </c>
      <c r="N688" s="173" t="s">
        <v>1727</v>
      </c>
      <c r="O688" s="173" t="s">
        <v>1728</v>
      </c>
      <c r="P688" s="169"/>
      <c r="Q688" s="169"/>
    </row>
    <row r="689" spans="1:17" s="170" customFormat="1" ht="10.5" x14ac:dyDescent="0.25">
      <c r="A689" s="175"/>
      <c r="B689" s="181" t="s">
        <v>1731</v>
      </c>
      <c r="C689" s="177"/>
      <c r="D689" s="178"/>
      <c r="E689" s="178"/>
      <c r="F689" s="178"/>
      <c r="G689" s="178"/>
      <c r="H689" s="178"/>
      <c r="I689" s="178"/>
      <c r="J689" s="178"/>
      <c r="K689" s="178"/>
      <c r="L689" s="178"/>
      <c r="M689" s="178"/>
      <c r="N689" s="178">
        <f>Quantitativos!DG33</f>
        <v>487.3571492860969</v>
      </c>
      <c r="O689" s="178"/>
      <c r="P689" s="169"/>
      <c r="Q689" s="169"/>
    </row>
    <row r="690" spans="1:17" s="170" customFormat="1" ht="10.5" x14ac:dyDescent="0.25">
      <c r="A690" s="175"/>
      <c r="B690" s="176"/>
      <c r="C690" s="177"/>
      <c r="D690" s="178"/>
      <c r="E690" s="178"/>
      <c r="F690" s="178"/>
      <c r="G690" s="178"/>
      <c r="H690" s="178"/>
      <c r="I690" s="178"/>
      <c r="J690" s="178"/>
      <c r="K690" s="178"/>
      <c r="L690" s="178"/>
      <c r="M690" s="178"/>
      <c r="N690" s="178"/>
      <c r="O690" s="178"/>
      <c r="P690" s="179"/>
      <c r="Q690" s="169"/>
    </row>
    <row r="691" spans="1:17" s="170" customFormat="1" ht="10.5" x14ac:dyDescent="0.25">
      <c r="A691" s="175"/>
      <c r="B691" s="181" t="s">
        <v>5</v>
      </c>
      <c r="C691" s="182" t="s">
        <v>1328</v>
      </c>
      <c r="D691" s="182"/>
      <c r="E691" s="182"/>
      <c r="F691" s="182"/>
      <c r="G691" s="182"/>
      <c r="H691" s="182"/>
      <c r="I691" s="182"/>
      <c r="J691" s="182"/>
      <c r="K691" s="182"/>
      <c r="L691" s="182"/>
      <c r="M691" s="182"/>
      <c r="N691" s="182">
        <f>SUM(N689:N690)</f>
        <v>487.3571492860969</v>
      </c>
      <c r="O691" s="182"/>
      <c r="P691" s="183"/>
      <c r="Q691" s="169"/>
    </row>
    <row r="692" spans="1:17" s="174" customFormat="1" ht="42" x14ac:dyDescent="0.25">
      <c r="A692" s="171" t="str">
        <f>ORÇAMENTO!A159</f>
        <v>4.1.2.3.2</v>
      </c>
      <c r="B692" s="172" t="str">
        <f>VLOOKUP(A692,ORÇAMENTO!A:K,4,0)</f>
        <v>ESCORAMENTO DE VALA, TIPO BLINDAGEM, COM PROFUNDIDADE DE 1,5 A 3,0 M, LARGURA MENOR QUE 1,5 M - EXECUÇÃO E FORNECIMENTO, INCLUI MATERIAL (ESCAVAÇÃO INTERNA AO BLINDADO)</v>
      </c>
      <c r="C692" s="173" t="str">
        <f>VLOOKUP(A692,ORÇAMENTO!A:K,5,0)</f>
        <v>M²</v>
      </c>
      <c r="D692" s="173">
        <f>SUM(E695:O695)</f>
        <v>223.31316137011868</v>
      </c>
      <c r="E692" s="173" t="s">
        <v>1718</v>
      </c>
      <c r="F692" s="173" t="s">
        <v>1719</v>
      </c>
      <c r="G692" s="173" t="s">
        <v>1720</v>
      </c>
      <c r="H692" s="173" t="s">
        <v>1721</v>
      </c>
      <c r="I692" s="173" t="s">
        <v>1722</v>
      </c>
      <c r="J692" s="173" t="s">
        <v>1723</v>
      </c>
      <c r="K692" s="173" t="s">
        <v>1724</v>
      </c>
      <c r="L692" s="173" t="s">
        <v>1753</v>
      </c>
      <c r="M692" s="173" t="s">
        <v>1730</v>
      </c>
      <c r="N692" s="173" t="s">
        <v>1727</v>
      </c>
      <c r="O692" s="173" t="s">
        <v>1728</v>
      </c>
      <c r="P692" s="169"/>
      <c r="Q692" s="169"/>
    </row>
    <row r="693" spans="1:17" s="170" customFormat="1" ht="10.5" x14ac:dyDescent="0.25">
      <c r="A693" s="175"/>
      <c r="B693" s="181" t="s">
        <v>1731</v>
      </c>
      <c r="C693" s="177"/>
      <c r="D693" s="178"/>
      <c r="E693" s="178"/>
      <c r="F693" s="178"/>
      <c r="G693" s="178"/>
      <c r="H693" s="178"/>
      <c r="I693" s="178"/>
      <c r="J693" s="178"/>
      <c r="K693" s="178"/>
      <c r="L693" s="178"/>
      <c r="M693" s="178"/>
      <c r="N693" s="178">
        <f>Quantitativos!DH33</f>
        <v>223.31316137011868</v>
      </c>
      <c r="O693" s="178"/>
      <c r="P693" s="169"/>
      <c r="Q693" s="169"/>
    </row>
    <row r="694" spans="1:17" s="170" customFormat="1" ht="10.5" x14ac:dyDescent="0.25">
      <c r="A694" s="175"/>
      <c r="B694" s="176"/>
      <c r="C694" s="177"/>
      <c r="D694" s="178"/>
      <c r="E694" s="178"/>
      <c r="F694" s="178"/>
      <c r="G694" s="178"/>
      <c r="H694" s="178"/>
      <c r="I694" s="178"/>
      <c r="J694" s="178"/>
      <c r="K694" s="178"/>
      <c r="L694" s="178"/>
      <c r="M694" s="178"/>
      <c r="N694" s="182"/>
      <c r="O694" s="178"/>
      <c r="P694" s="179"/>
      <c r="Q694" s="169"/>
    </row>
    <row r="695" spans="1:17" s="170" customFormat="1" ht="10.5" x14ac:dyDescent="0.25">
      <c r="A695" s="175"/>
      <c r="B695" s="181" t="s">
        <v>5</v>
      </c>
      <c r="C695" s="182" t="s">
        <v>1328</v>
      </c>
      <c r="D695" s="182"/>
      <c r="E695" s="182"/>
      <c r="F695" s="182"/>
      <c r="G695" s="182"/>
      <c r="H695" s="182"/>
      <c r="I695" s="182"/>
      <c r="J695" s="182"/>
      <c r="K695" s="182"/>
      <c r="L695" s="182"/>
      <c r="M695" s="182"/>
      <c r="N695" s="182">
        <f>SUM(N693:N694)</f>
        <v>223.31316137011868</v>
      </c>
      <c r="O695" s="182"/>
      <c r="P695" s="183"/>
      <c r="Q695" s="169"/>
    </row>
    <row r="696" spans="1:17" s="174" customFormat="1" ht="52.5" x14ac:dyDescent="0.25">
      <c r="A696" s="171" t="str">
        <f>ORÇAMENTO!A160</f>
        <v>4.1.2.3.3</v>
      </c>
      <c r="B696" s="172" t="str">
        <f>VLOOKUP(A696,ORÇAMENTO!A:K,4,0)</f>
        <v>ESCORAMENTO DE VALA, TIPO BLINDADEM, COM PROFUNDIDADE DE 0 A 1,5 M, LARGURA MAIOR OU IGUAL A 1,5 M EMENOR QUE 2,5 M - EXECUÇÃO E FORNECIMENTO, INCLUI MATERIAL (ESCAVAÇÃO EXTERNA AO BLINDADO)</v>
      </c>
      <c r="C696" s="173" t="str">
        <f>VLOOKUP(A696,ORÇAMENTO!A:K,5,0)</f>
        <v>M²</v>
      </c>
      <c r="D696" s="173">
        <f>SUM(E699:O699)</f>
        <v>868.50518978211539</v>
      </c>
      <c r="E696" s="173" t="s">
        <v>1718</v>
      </c>
      <c r="F696" s="173" t="s">
        <v>1719</v>
      </c>
      <c r="G696" s="173" t="s">
        <v>1720</v>
      </c>
      <c r="H696" s="173" t="s">
        <v>1721</v>
      </c>
      <c r="I696" s="173" t="s">
        <v>1722</v>
      </c>
      <c r="J696" s="173" t="s">
        <v>1723</v>
      </c>
      <c r="K696" s="173" t="s">
        <v>1724</v>
      </c>
      <c r="L696" s="173" t="s">
        <v>1753</v>
      </c>
      <c r="M696" s="173" t="s">
        <v>1730</v>
      </c>
      <c r="N696" s="173" t="s">
        <v>1727</v>
      </c>
      <c r="O696" s="173" t="s">
        <v>1728</v>
      </c>
      <c r="P696" s="169"/>
      <c r="Q696" s="169"/>
    </row>
    <row r="697" spans="1:17" s="170" customFormat="1" ht="10.5" x14ac:dyDescent="0.25">
      <c r="A697" s="175"/>
      <c r="B697" s="181" t="s">
        <v>1731</v>
      </c>
      <c r="C697" s="184"/>
      <c r="D697" s="185"/>
      <c r="E697" s="185"/>
      <c r="F697" s="185"/>
      <c r="G697" s="185"/>
      <c r="H697" s="185"/>
      <c r="I697" s="185"/>
      <c r="J697" s="185"/>
      <c r="K697" s="185"/>
      <c r="L697" s="185"/>
      <c r="M697" s="185"/>
      <c r="N697" s="185">
        <f>Quantitativos!DJ33</f>
        <v>868.50518978211539</v>
      </c>
      <c r="O697" s="185"/>
      <c r="P697" s="169"/>
      <c r="Q697" s="169"/>
    </row>
    <row r="698" spans="1:17" s="170" customFormat="1" ht="10.5" x14ac:dyDescent="0.25">
      <c r="A698" s="175"/>
      <c r="B698" s="176"/>
      <c r="C698" s="184"/>
      <c r="D698" s="185"/>
      <c r="E698" s="185"/>
      <c r="F698" s="185"/>
      <c r="G698" s="185"/>
      <c r="H698" s="185"/>
      <c r="I698" s="185"/>
      <c r="J698" s="185"/>
      <c r="K698" s="185"/>
      <c r="L698" s="185"/>
      <c r="M698" s="185"/>
      <c r="N698" s="185"/>
      <c r="O698" s="185"/>
      <c r="P698" s="179"/>
      <c r="Q698" s="169"/>
    </row>
    <row r="699" spans="1:17" s="170" customFormat="1" ht="10.5" x14ac:dyDescent="0.25">
      <c r="A699" s="175"/>
      <c r="B699" s="181" t="s">
        <v>5</v>
      </c>
      <c r="C699" s="182" t="s">
        <v>1328</v>
      </c>
      <c r="D699" s="182"/>
      <c r="E699" s="182"/>
      <c r="F699" s="182"/>
      <c r="G699" s="182"/>
      <c r="H699" s="182"/>
      <c r="I699" s="182"/>
      <c r="J699" s="182"/>
      <c r="K699" s="182"/>
      <c r="L699" s="182"/>
      <c r="M699" s="182"/>
      <c r="N699" s="182">
        <f>SUM(N697:N698)</f>
        <v>868.50518978211539</v>
      </c>
      <c r="O699" s="182"/>
      <c r="P699" s="183"/>
      <c r="Q699" s="169"/>
    </row>
    <row r="700" spans="1:17" s="174" customFormat="1" ht="42" x14ac:dyDescent="0.25">
      <c r="A700" s="171" t="str">
        <f>ORÇAMENTO!A161</f>
        <v>4.1.2.3.4</v>
      </c>
      <c r="B700" s="172" t="str">
        <f>VLOOKUP(A700,ORÇAMENTO!A:K,4,0)</f>
        <v>ESCORAMENTO DE VALA, TIPO BLINDAGEM, COM PROFUNDIDADE DE 1,5 A 3,0 M, LARGURA DE 1,5 A 2,5 M - EXECUÇÃO E FORNECIMENTO, INCLUI MATERIAL (ESCAVAÇÃO INTERNA AO BLINDADO)</v>
      </c>
      <c r="C700" s="173" t="str">
        <f>VLOOKUP(A700,ORÇAMENTO!A:K,5,0)</f>
        <v>M²</v>
      </c>
      <c r="D700" s="173">
        <f>SUM(E703:O703)</f>
        <v>862.011251518579</v>
      </c>
      <c r="E700" s="173" t="s">
        <v>1718</v>
      </c>
      <c r="F700" s="173" t="s">
        <v>1719</v>
      </c>
      <c r="G700" s="173" t="s">
        <v>1720</v>
      </c>
      <c r="H700" s="173" t="s">
        <v>1721</v>
      </c>
      <c r="I700" s="173" t="s">
        <v>1722</v>
      </c>
      <c r="J700" s="173" t="s">
        <v>1723</v>
      </c>
      <c r="K700" s="173" t="s">
        <v>1724</v>
      </c>
      <c r="L700" s="173" t="s">
        <v>1753</v>
      </c>
      <c r="M700" s="173" t="s">
        <v>1730</v>
      </c>
      <c r="N700" s="173" t="s">
        <v>1727</v>
      </c>
      <c r="O700" s="173" t="s">
        <v>1728</v>
      </c>
      <c r="P700" s="169"/>
      <c r="Q700" s="169"/>
    </row>
    <row r="701" spans="1:17" s="170" customFormat="1" ht="10.5" x14ac:dyDescent="0.25">
      <c r="A701" s="175"/>
      <c r="B701" s="181" t="s">
        <v>1731</v>
      </c>
      <c r="C701" s="184"/>
      <c r="D701" s="185"/>
      <c r="E701" s="185"/>
      <c r="F701" s="185"/>
      <c r="G701" s="185"/>
      <c r="H701" s="185"/>
      <c r="I701" s="185"/>
      <c r="J701" s="185"/>
      <c r="K701" s="185"/>
      <c r="L701" s="185"/>
      <c r="M701" s="185"/>
      <c r="N701" s="185">
        <f>Quantitativos!DK33</f>
        <v>862.011251518579</v>
      </c>
      <c r="O701" s="185"/>
      <c r="P701" s="169"/>
      <c r="Q701" s="169"/>
    </row>
    <row r="702" spans="1:17" s="170" customFormat="1" ht="10.5" x14ac:dyDescent="0.25">
      <c r="A702" s="175"/>
      <c r="B702" s="176"/>
      <c r="C702" s="184"/>
      <c r="D702" s="185"/>
      <c r="E702" s="185"/>
      <c r="F702" s="185"/>
      <c r="G702" s="185"/>
      <c r="H702" s="185"/>
      <c r="I702" s="185"/>
      <c r="J702" s="185"/>
      <c r="K702" s="185"/>
      <c r="L702" s="185"/>
      <c r="M702" s="185"/>
      <c r="N702" s="182"/>
      <c r="O702" s="185"/>
      <c r="P702" s="179"/>
      <c r="Q702" s="169"/>
    </row>
    <row r="703" spans="1:17" s="170" customFormat="1" ht="10.5" x14ac:dyDescent="0.25">
      <c r="A703" s="175"/>
      <c r="B703" s="181" t="s">
        <v>5</v>
      </c>
      <c r="C703" s="182" t="s">
        <v>1328</v>
      </c>
      <c r="D703" s="182"/>
      <c r="E703" s="182"/>
      <c r="F703" s="182"/>
      <c r="G703" s="182"/>
      <c r="H703" s="182"/>
      <c r="I703" s="182"/>
      <c r="J703" s="182"/>
      <c r="K703" s="182"/>
      <c r="L703" s="182"/>
      <c r="M703" s="182"/>
      <c r="N703" s="182">
        <f>SUM(N701:N702)</f>
        <v>862.011251518579</v>
      </c>
      <c r="O703" s="182"/>
      <c r="P703" s="183"/>
      <c r="Q703" s="169"/>
    </row>
    <row r="704" spans="1:17" s="174" customFormat="1" ht="52.5" x14ac:dyDescent="0.25">
      <c r="A704" s="171" t="str">
        <f>ORÇAMENTO!A162</f>
        <v>4.1.2.3.5</v>
      </c>
      <c r="B704" s="172" t="str">
        <f>VLOOKUP(A704,ORÇAMENTO!A:K,4,0)</f>
        <v>ESCORAMENTO DE VALA, TIPO BLINDAGEM, COM PROFUNDIDADE DE 3,0 A 4,5 M, LARGURA MAIOR OU IGUAL A 1,5 M EMENOR QUE 2,5 M - EXECUÇÃO E FORNECIMENTO, INCLUI MATERIAL (ESCAVAÇÃO EXTERNA AO BLINDADO)</v>
      </c>
      <c r="C704" s="173" t="str">
        <f>VLOOKUP(A704,ORÇAMENTO!A:K,5,0)</f>
        <v>M²</v>
      </c>
      <c r="D704" s="173">
        <f>SUM(E707:O707)</f>
        <v>83.231363532681556</v>
      </c>
      <c r="E704" s="173" t="s">
        <v>1718</v>
      </c>
      <c r="F704" s="173" t="s">
        <v>1719</v>
      </c>
      <c r="G704" s="173" t="s">
        <v>1720</v>
      </c>
      <c r="H704" s="173" t="s">
        <v>1721</v>
      </c>
      <c r="I704" s="173" t="s">
        <v>1722</v>
      </c>
      <c r="J704" s="173" t="s">
        <v>1723</v>
      </c>
      <c r="K704" s="173" t="s">
        <v>1724</v>
      </c>
      <c r="L704" s="173" t="s">
        <v>1753</v>
      </c>
      <c r="M704" s="173" t="s">
        <v>1730</v>
      </c>
      <c r="N704" s="173" t="s">
        <v>1727</v>
      </c>
      <c r="O704" s="173" t="s">
        <v>1728</v>
      </c>
      <c r="P704" s="169"/>
      <c r="Q704" s="169"/>
    </row>
    <row r="705" spans="1:17" s="170" customFormat="1" ht="10.5" x14ac:dyDescent="0.25">
      <c r="A705" s="175"/>
      <c r="B705" s="181"/>
      <c r="C705" s="184"/>
      <c r="D705" s="185"/>
      <c r="E705" s="185"/>
      <c r="F705" s="185"/>
      <c r="G705" s="185"/>
      <c r="H705" s="185"/>
      <c r="I705" s="185"/>
      <c r="J705" s="185"/>
      <c r="K705" s="185"/>
      <c r="L705" s="185"/>
      <c r="M705" s="185"/>
      <c r="N705" s="185">
        <f>Quantitativos!DL33</f>
        <v>83.231363532681556</v>
      </c>
      <c r="O705" s="185"/>
      <c r="P705" s="169"/>
      <c r="Q705" s="169"/>
    </row>
    <row r="706" spans="1:17" s="170" customFormat="1" ht="10.5" x14ac:dyDescent="0.25">
      <c r="A706" s="175"/>
      <c r="B706" s="176"/>
      <c r="C706" s="184"/>
      <c r="D706" s="185"/>
      <c r="E706" s="185"/>
      <c r="F706" s="185"/>
      <c r="G706" s="185"/>
      <c r="H706" s="185"/>
      <c r="I706" s="185"/>
      <c r="J706" s="185"/>
      <c r="K706" s="185"/>
      <c r="L706" s="185"/>
      <c r="M706" s="185"/>
      <c r="N706" s="185"/>
      <c r="O706" s="185"/>
      <c r="P706" s="179"/>
      <c r="Q706" s="169"/>
    </row>
    <row r="707" spans="1:17" s="170" customFormat="1" ht="10.5" x14ac:dyDescent="0.25">
      <c r="A707" s="175"/>
      <c r="B707" s="181" t="s">
        <v>5</v>
      </c>
      <c r="C707" s="182" t="s">
        <v>1328</v>
      </c>
      <c r="D707" s="182"/>
      <c r="E707" s="182"/>
      <c r="F707" s="182"/>
      <c r="G707" s="182"/>
      <c r="H707" s="182"/>
      <c r="I707" s="182"/>
      <c r="J707" s="182"/>
      <c r="K707" s="182"/>
      <c r="L707" s="182"/>
      <c r="M707" s="182"/>
      <c r="N707" s="182">
        <f>SUM(N705:N706)</f>
        <v>83.231363532681556</v>
      </c>
      <c r="O707" s="182"/>
      <c r="P707" s="183"/>
      <c r="Q707" s="169"/>
    </row>
    <row r="708" spans="1:17" s="174" customFormat="1" ht="52.5" x14ac:dyDescent="0.25">
      <c r="A708" s="171" t="str">
        <f>ORÇAMENTO!A163</f>
        <v>4.1.2.3.6</v>
      </c>
      <c r="B708" s="172" t="str">
        <f>VLOOKUP(A708,ORÇAMENTO!A:K,4,0)</f>
        <v>ESCORAMENTO DE VALA, TIPO BLINDADEM, COM PROFUNDIDADE DE 0 A 1,5 M, LARGURA MAIOR OU IGUAL A 2,5 M EMENOR QUE 3,5 M - EXECUÇÃO E FORNECIMENTO, INCLUI MATERIAL (ESCAVAÇÃO EXTERNA AO BLINDADO)</v>
      </c>
      <c r="C708" s="173" t="str">
        <f>VLOOKUP(A708,ORÇAMENTO!A:K,5,0)</f>
        <v>M²</v>
      </c>
      <c r="D708" s="173">
        <f>SUM(E711:O711)</f>
        <v>1464.930562147292</v>
      </c>
      <c r="E708" s="173" t="s">
        <v>1718</v>
      </c>
      <c r="F708" s="173" t="s">
        <v>1719</v>
      </c>
      <c r="G708" s="173" t="s">
        <v>1720</v>
      </c>
      <c r="H708" s="173" t="s">
        <v>1721</v>
      </c>
      <c r="I708" s="173" t="s">
        <v>1722</v>
      </c>
      <c r="J708" s="173" t="s">
        <v>1723</v>
      </c>
      <c r="K708" s="173" t="s">
        <v>1724</v>
      </c>
      <c r="L708" s="173" t="s">
        <v>1753</v>
      </c>
      <c r="M708" s="173" t="s">
        <v>1730</v>
      </c>
      <c r="N708" s="173" t="s">
        <v>1727</v>
      </c>
      <c r="O708" s="173" t="s">
        <v>1728</v>
      </c>
      <c r="P708" s="169"/>
      <c r="Q708" s="169"/>
    </row>
    <row r="709" spans="1:17" s="170" customFormat="1" ht="10.5" x14ac:dyDescent="0.25">
      <c r="A709" s="175"/>
      <c r="B709" s="181"/>
      <c r="C709" s="184"/>
      <c r="D709" s="185"/>
      <c r="E709" s="185"/>
      <c r="F709" s="185"/>
      <c r="G709" s="185"/>
      <c r="H709" s="185"/>
      <c r="I709" s="185"/>
      <c r="J709" s="185"/>
      <c r="K709" s="185"/>
      <c r="L709" s="185"/>
      <c r="M709" s="185"/>
      <c r="N709" s="185">
        <f>Quantitativos!DM33</f>
        <v>1464.930562147292</v>
      </c>
      <c r="O709" s="185"/>
      <c r="P709" s="169"/>
      <c r="Q709" s="169"/>
    </row>
    <row r="710" spans="1:17" s="170" customFormat="1" ht="10.5" x14ac:dyDescent="0.25">
      <c r="A710" s="175"/>
      <c r="B710" s="176"/>
      <c r="C710" s="184"/>
      <c r="D710" s="185"/>
      <c r="E710" s="185"/>
      <c r="F710" s="185"/>
      <c r="G710" s="185"/>
      <c r="H710" s="185"/>
      <c r="I710" s="185"/>
      <c r="J710" s="185"/>
      <c r="K710" s="185"/>
      <c r="L710" s="185"/>
      <c r="M710" s="185"/>
      <c r="N710" s="185"/>
      <c r="O710" s="185"/>
      <c r="P710" s="179"/>
      <c r="Q710" s="169"/>
    </row>
    <row r="711" spans="1:17" s="170" customFormat="1" ht="10.5" x14ac:dyDescent="0.25">
      <c r="A711" s="175"/>
      <c r="B711" s="181" t="s">
        <v>5</v>
      </c>
      <c r="C711" s="182" t="s">
        <v>1328</v>
      </c>
      <c r="D711" s="182"/>
      <c r="E711" s="182"/>
      <c r="F711" s="182"/>
      <c r="G711" s="182"/>
      <c r="H711" s="182"/>
      <c r="I711" s="182"/>
      <c r="J711" s="182"/>
      <c r="K711" s="182"/>
      <c r="L711" s="182"/>
      <c r="M711" s="182"/>
      <c r="N711" s="182">
        <f>SUM(N709:N710)</f>
        <v>1464.930562147292</v>
      </c>
      <c r="O711" s="182"/>
      <c r="P711" s="183"/>
      <c r="Q711" s="169"/>
    </row>
    <row r="712" spans="1:17" s="174" customFormat="1" ht="42" x14ac:dyDescent="0.25">
      <c r="A712" s="171" t="str">
        <f>ORÇAMENTO!A164</f>
        <v>4.1.2.3.7</v>
      </c>
      <c r="B712" s="172" t="str">
        <f>VLOOKUP(A712,ORÇAMENTO!A:K,4,0)</f>
        <v>ESCORAMENTO DE VALA, TIPO BLINDAGEM, COM PROFUNDIDADE DE 1,5 A 3,0 M, LARGURA DE 2,5 A 3,5 M -EXECUÇÃO E FORNECIMENTO, INCLUI MATERIAL (ESCAVAÇÃO INTERNA AO BLINDADO)</v>
      </c>
      <c r="C712" s="173" t="str">
        <f>VLOOKUP(A712,ORÇAMENTO!A:K,5,0)</f>
        <v>M²</v>
      </c>
      <c r="D712" s="173">
        <f>SUM(E715:O715)</f>
        <v>1464.930562147292</v>
      </c>
      <c r="E712" s="173" t="s">
        <v>1718</v>
      </c>
      <c r="F712" s="173" t="s">
        <v>1719</v>
      </c>
      <c r="G712" s="173" t="s">
        <v>1720</v>
      </c>
      <c r="H712" s="173" t="s">
        <v>1721</v>
      </c>
      <c r="I712" s="173" t="s">
        <v>1722</v>
      </c>
      <c r="J712" s="173" t="s">
        <v>1723</v>
      </c>
      <c r="K712" s="173" t="s">
        <v>1724</v>
      </c>
      <c r="L712" s="173" t="s">
        <v>1753</v>
      </c>
      <c r="M712" s="173" t="s">
        <v>1730</v>
      </c>
      <c r="N712" s="173" t="s">
        <v>1727</v>
      </c>
      <c r="O712" s="173" t="s">
        <v>1728</v>
      </c>
      <c r="P712" s="169"/>
      <c r="Q712" s="169"/>
    </row>
    <row r="713" spans="1:17" s="170" customFormat="1" ht="10.5" x14ac:dyDescent="0.25">
      <c r="A713" s="175"/>
      <c r="B713" s="181"/>
      <c r="C713" s="184"/>
      <c r="D713" s="185"/>
      <c r="E713" s="185"/>
      <c r="F713" s="185"/>
      <c r="G713" s="185"/>
      <c r="H713" s="185"/>
      <c r="I713" s="185"/>
      <c r="J713" s="185"/>
      <c r="K713" s="185"/>
      <c r="L713" s="185"/>
      <c r="M713" s="185"/>
      <c r="N713" s="185">
        <f>Quantitativos!DN33</f>
        <v>1464.930562147292</v>
      </c>
      <c r="O713" s="185"/>
      <c r="P713" s="169"/>
      <c r="Q713" s="169"/>
    </row>
    <row r="714" spans="1:17" s="170" customFormat="1" ht="10.5" x14ac:dyDescent="0.25">
      <c r="A714" s="175"/>
      <c r="B714" s="176"/>
      <c r="C714" s="184"/>
      <c r="D714" s="185"/>
      <c r="E714" s="185"/>
      <c r="F714" s="185"/>
      <c r="G714" s="185"/>
      <c r="H714" s="185"/>
      <c r="I714" s="185"/>
      <c r="J714" s="185"/>
      <c r="K714" s="185"/>
      <c r="L714" s="185"/>
      <c r="M714" s="185"/>
      <c r="N714" s="185"/>
      <c r="O714" s="185"/>
      <c r="P714" s="179"/>
      <c r="Q714" s="169"/>
    </row>
    <row r="715" spans="1:17" s="170" customFormat="1" ht="10.5" x14ac:dyDescent="0.25">
      <c r="A715" s="175"/>
      <c r="B715" s="181" t="s">
        <v>5</v>
      </c>
      <c r="C715" s="182" t="s">
        <v>1328</v>
      </c>
      <c r="D715" s="182"/>
      <c r="E715" s="182"/>
      <c r="F715" s="182"/>
      <c r="G715" s="182"/>
      <c r="H715" s="182"/>
      <c r="I715" s="182"/>
      <c r="J715" s="182"/>
      <c r="K715" s="182"/>
      <c r="L715" s="182"/>
      <c r="M715" s="182"/>
      <c r="N715" s="182">
        <f>SUM(N713:N714)</f>
        <v>1464.930562147292</v>
      </c>
      <c r="O715" s="182"/>
      <c r="P715" s="183"/>
      <c r="Q715" s="169"/>
    </row>
    <row r="716" spans="1:17" s="174" customFormat="1" ht="52.5" x14ac:dyDescent="0.25">
      <c r="A716" s="171" t="str">
        <f>ORÇAMENTO!A165</f>
        <v>4.1.2.3.8</v>
      </c>
      <c r="B716" s="172" t="str">
        <f>VLOOKUP(A716,ORÇAMENTO!A:K,4,0)</f>
        <v>ESCORAMENTO DE VALA, TIPO BLINDAGEM, COM PROFUNDIDADE DE 3,0 A 4,5 M, LARGURA MAIOR OU IGUAL A 2,5 M EMENOR QUE 3,5 M - EXECUÇÃO E FORNECIMENTO, INCLUI MATERIAL (ESCAVAÇÃO EXTERNA AO BLINDADO)</v>
      </c>
      <c r="C716" s="173" t="str">
        <f>VLOOKUP(A716,ORÇAMENTO!A:K,5,0)</f>
        <v>M²</v>
      </c>
      <c r="D716" s="173">
        <f>SUM(E719:O719)</f>
        <v>900.66899225701604</v>
      </c>
      <c r="E716" s="173" t="s">
        <v>1718</v>
      </c>
      <c r="F716" s="173" t="s">
        <v>1719</v>
      </c>
      <c r="G716" s="173" t="s">
        <v>1720</v>
      </c>
      <c r="H716" s="173" t="s">
        <v>1721</v>
      </c>
      <c r="I716" s="173" t="s">
        <v>1722</v>
      </c>
      <c r="J716" s="173" t="s">
        <v>1723</v>
      </c>
      <c r="K716" s="173" t="s">
        <v>1724</v>
      </c>
      <c r="L716" s="173" t="s">
        <v>1753</v>
      </c>
      <c r="M716" s="173" t="s">
        <v>1730</v>
      </c>
      <c r="N716" s="173" t="s">
        <v>1727</v>
      </c>
      <c r="O716" s="173" t="s">
        <v>1728</v>
      </c>
      <c r="P716" s="169"/>
      <c r="Q716" s="169"/>
    </row>
    <row r="717" spans="1:17" s="170" customFormat="1" ht="10.5" x14ac:dyDescent="0.25">
      <c r="A717" s="175"/>
      <c r="B717" s="181"/>
      <c r="C717" s="184"/>
      <c r="D717" s="185"/>
      <c r="E717" s="185"/>
      <c r="F717" s="185"/>
      <c r="G717" s="185"/>
      <c r="H717" s="185"/>
      <c r="I717" s="185"/>
      <c r="J717" s="185"/>
      <c r="K717" s="185"/>
      <c r="L717" s="185"/>
      <c r="M717" s="185"/>
      <c r="N717" s="185">
        <f>Quantitativos!DO33</f>
        <v>900.66899225701604</v>
      </c>
      <c r="O717" s="185"/>
      <c r="P717" s="169"/>
      <c r="Q717" s="169"/>
    </row>
    <row r="718" spans="1:17" s="170" customFormat="1" ht="10.5" x14ac:dyDescent="0.25">
      <c r="A718" s="175"/>
      <c r="B718" s="176"/>
      <c r="C718" s="184"/>
      <c r="D718" s="185"/>
      <c r="E718" s="185"/>
      <c r="F718" s="185"/>
      <c r="G718" s="185"/>
      <c r="H718" s="185"/>
      <c r="I718" s="185"/>
      <c r="J718" s="185"/>
      <c r="K718" s="185"/>
      <c r="L718" s="185"/>
      <c r="M718" s="185"/>
      <c r="N718" s="185"/>
      <c r="O718" s="185"/>
      <c r="P718" s="179"/>
      <c r="Q718" s="169"/>
    </row>
    <row r="719" spans="1:17" s="170" customFormat="1" ht="10.5" x14ac:dyDescent="0.25">
      <c r="A719" s="175"/>
      <c r="B719" s="181" t="s">
        <v>5</v>
      </c>
      <c r="C719" s="182" t="s">
        <v>1328</v>
      </c>
      <c r="D719" s="182"/>
      <c r="E719" s="182"/>
      <c r="F719" s="182"/>
      <c r="G719" s="182"/>
      <c r="H719" s="182"/>
      <c r="I719" s="182"/>
      <c r="J719" s="182"/>
      <c r="K719" s="182"/>
      <c r="L719" s="182"/>
      <c r="M719" s="182"/>
      <c r="N719" s="182">
        <f>SUM(N717:N718)</f>
        <v>900.66899225701604</v>
      </c>
      <c r="O719" s="182"/>
      <c r="P719" s="183"/>
      <c r="Q719" s="169"/>
    </row>
    <row r="720" spans="1:17" s="174" customFormat="1" ht="52.5" x14ac:dyDescent="0.25">
      <c r="A720" s="171" t="str">
        <f>ORÇAMENTO!A166</f>
        <v>4.1.2.3.9</v>
      </c>
      <c r="B720" s="172" t="str">
        <f>VLOOKUP(A720,ORÇAMENTO!A:K,4,0)</f>
        <v>ESCORAMENTO DE VALA, TIPO BLINDAGEM, COM PROFUNDIDADE DE 4,5 A 6,0 M, LARGURA MAIOR OU IGUAL A 2,5 M EMENOR QUE 3,5 M - EXECUÇÃO E FORNECIMENTO, INCLUI MATERIAL (ESCAVAÇÃO EXTERNA AO BLINDADO)</v>
      </c>
      <c r="C720" s="173" t="str">
        <f>VLOOKUP(A720,ORÇAMENTO!A:K,5,0)</f>
        <v>M²</v>
      </c>
      <c r="D720" s="173">
        <f>SUM(E723:O723)</f>
        <v>48.860714877843591</v>
      </c>
      <c r="E720" s="173" t="s">
        <v>1718</v>
      </c>
      <c r="F720" s="173" t="s">
        <v>1719</v>
      </c>
      <c r="G720" s="173" t="s">
        <v>1720</v>
      </c>
      <c r="H720" s="173" t="s">
        <v>1721</v>
      </c>
      <c r="I720" s="173" t="s">
        <v>1722</v>
      </c>
      <c r="J720" s="173" t="s">
        <v>1723</v>
      </c>
      <c r="K720" s="173" t="s">
        <v>1724</v>
      </c>
      <c r="L720" s="173" t="s">
        <v>1753</v>
      </c>
      <c r="M720" s="173" t="s">
        <v>1730</v>
      </c>
      <c r="N720" s="173" t="s">
        <v>1727</v>
      </c>
      <c r="O720" s="173" t="s">
        <v>1728</v>
      </c>
      <c r="P720" s="169"/>
      <c r="Q720" s="169"/>
    </row>
    <row r="721" spans="1:17" s="170" customFormat="1" ht="10.5" x14ac:dyDescent="0.25">
      <c r="A721" s="175"/>
      <c r="B721" s="181"/>
      <c r="C721" s="184"/>
      <c r="D721" s="185"/>
      <c r="E721" s="185"/>
      <c r="F721" s="185"/>
      <c r="G721" s="185"/>
      <c r="H721" s="185"/>
      <c r="I721" s="185"/>
      <c r="J721" s="185"/>
      <c r="K721" s="185"/>
      <c r="L721" s="185"/>
      <c r="M721" s="185"/>
      <c r="N721" s="185">
        <f>Quantitativos!DP33</f>
        <v>48.860714877843591</v>
      </c>
      <c r="O721" s="185"/>
      <c r="P721" s="169"/>
      <c r="Q721" s="169"/>
    </row>
    <row r="722" spans="1:17" s="170" customFormat="1" ht="10.5" x14ac:dyDescent="0.25">
      <c r="A722" s="175"/>
      <c r="B722" s="176"/>
      <c r="C722" s="184"/>
      <c r="D722" s="185"/>
      <c r="E722" s="185"/>
      <c r="F722" s="185"/>
      <c r="G722" s="185"/>
      <c r="H722" s="185"/>
      <c r="I722" s="185"/>
      <c r="J722" s="185"/>
      <c r="K722" s="185"/>
      <c r="L722" s="185"/>
      <c r="M722" s="185"/>
      <c r="N722" s="185"/>
      <c r="O722" s="185"/>
      <c r="P722" s="179"/>
      <c r="Q722" s="169"/>
    </row>
    <row r="723" spans="1:17" s="170" customFormat="1" ht="10.5" x14ac:dyDescent="0.25">
      <c r="A723" s="175"/>
      <c r="B723" s="181" t="s">
        <v>5</v>
      </c>
      <c r="C723" s="182" t="s">
        <v>1328</v>
      </c>
      <c r="D723" s="182"/>
      <c r="E723" s="182"/>
      <c r="F723" s="182"/>
      <c r="G723" s="182"/>
      <c r="H723" s="182"/>
      <c r="I723" s="182"/>
      <c r="J723" s="182"/>
      <c r="K723" s="182"/>
      <c r="L723" s="182"/>
      <c r="M723" s="182"/>
      <c r="N723" s="182">
        <f>SUM(N721:N722)</f>
        <v>48.860714877843591</v>
      </c>
      <c r="O723" s="182"/>
      <c r="P723" s="183"/>
      <c r="Q723" s="169"/>
    </row>
    <row r="724" spans="1:17" s="170" customFormat="1" ht="21" x14ac:dyDescent="0.25">
      <c r="A724" s="165" t="str">
        <f>ORÇAMENTO!A167</f>
        <v>4.1.2.4</v>
      </c>
      <c r="B724" s="166" t="str">
        <f>VLOOKUP(A724,ORÇAMENTO!A:K,4,0)</f>
        <v>PREENCHIMENTO DE VALAS E ASSENTAMENTO DE TUBOS</v>
      </c>
      <c r="C724" s="167"/>
      <c r="D724" s="167"/>
      <c r="E724" s="168"/>
      <c r="F724" s="168"/>
      <c r="G724" s="168"/>
      <c r="H724" s="168"/>
      <c r="I724" s="168"/>
      <c r="J724" s="168"/>
      <c r="K724" s="168"/>
      <c r="L724" s="168"/>
      <c r="M724" s="168"/>
      <c r="N724" s="168"/>
      <c r="O724" s="168"/>
      <c r="P724" s="169"/>
      <c r="Q724" s="169"/>
    </row>
    <row r="725" spans="1:17" s="174" customFormat="1" ht="31.5" x14ac:dyDescent="0.25">
      <c r="A725" s="171" t="str">
        <f>ORÇAMENTO!A168</f>
        <v>4.1.2.4.1</v>
      </c>
      <c r="B725" s="172" t="str">
        <f>VLOOKUP(A725,ORÇAMENTO!A:K,4,0)</f>
        <v>PREPARO DE FUNDO DE VALA COM LARGURA MENOR QUE 1,5 M, COM CAMADA DE BRITA, LANÇAMENTO MECANIZADO. AF_08/2020</v>
      </c>
      <c r="C725" s="173" t="str">
        <f>VLOOKUP(A725,ORÇAMENTO!A:K,5,0)</f>
        <v>M³</v>
      </c>
      <c r="D725" s="173">
        <f>SUM(E728:O728)</f>
        <v>22.743333633351188</v>
      </c>
      <c r="E725" s="173" t="s">
        <v>1718</v>
      </c>
      <c r="F725" s="173" t="s">
        <v>1719</v>
      </c>
      <c r="G725" s="173" t="s">
        <v>1720</v>
      </c>
      <c r="H725" s="173" t="s">
        <v>1721</v>
      </c>
      <c r="I725" s="173" t="s">
        <v>1722</v>
      </c>
      <c r="J725" s="173" t="s">
        <v>1723</v>
      </c>
      <c r="K725" s="173" t="s">
        <v>1724</v>
      </c>
      <c r="L725" s="173" t="s">
        <v>1753</v>
      </c>
      <c r="M725" s="173" t="s">
        <v>1730</v>
      </c>
      <c r="N725" s="173" t="s">
        <v>1727</v>
      </c>
      <c r="O725" s="173" t="s">
        <v>1728</v>
      </c>
      <c r="P725" s="169"/>
      <c r="Q725" s="169"/>
    </row>
    <row r="726" spans="1:17" s="170" customFormat="1" ht="10.5" x14ac:dyDescent="0.25">
      <c r="A726" s="175"/>
      <c r="B726" s="181" t="s">
        <v>1732</v>
      </c>
      <c r="C726" s="177"/>
      <c r="D726" s="178"/>
      <c r="E726" s="178"/>
      <c r="F726" s="178"/>
      <c r="G726" s="178"/>
      <c r="H726" s="178"/>
      <c r="I726" s="178"/>
      <c r="J726" s="178"/>
      <c r="K726" s="178"/>
      <c r="L726" s="178"/>
      <c r="M726" s="178"/>
      <c r="N726" s="178"/>
      <c r="O726" s="178">
        <f>Quantitativos!AU33</f>
        <v>22.743333633351188</v>
      </c>
      <c r="P726" s="169"/>
      <c r="Q726" s="169"/>
    </row>
    <row r="727" spans="1:17" s="170" customFormat="1" ht="10.5" x14ac:dyDescent="0.25">
      <c r="A727" s="175"/>
      <c r="B727" s="176"/>
      <c r="C727" s="177"/>
      <c r="D727" s="178"/>
      <c r="E727" s="178"/>
      <c r="F727" s="178"/>
      <c r="G727" s="178"/>
      <c r="H727" s="178"/>
      <c r="I727" s="178"/>
      <c r="J727" s="178"/>
      <c r="K727" s="178"/>
      <c r="L727" s="178"/>
      <c r="M727" s="178"/>
      <c r="N727" s="178"/>
      <c r="O727" s="178"/>
      <c r="P727" s="179"/>
      <c r="Q727" s="169"/>
    </row>
    <row r="728" spans="1:17" s="170" customFormat="1" ht="10.5" x14ac:dyDescent="0.25">
      <c r="A728" s="175"/>
      <c r="B728" s="181" t="s">
        <v>5</v>
      </c>
      <c r="C728" s="182" t="s">
        <v>1328</v>
      </c>
      <c r="D728" s="182"/>
      <c r="E728" s="182"/>
      <c r="F728" s="182"/>
      <c r="G728" s="182"/>
      <c r="H728" s="182"/>
      <c r="I728" s="182"/>
      <c r="J728" s="182"/>
      <c r="K728" s="182"/>
      <c r="L728" s="182"/>
      <c r="M728" s="182"/>
      <c r="N728" s="182"/>
      <c r="O728" s="182">
        <f>SUM(O726:O727)</f>
        <v>22.743333633351188</v>
      </c>
      <c r="P728" s="183"/>
      <c r="Q728" s="169"/>
    </row>
    <row r="729" spans="1:17" s="174" customFormat="1" ht="42" x14ac:dyDescent="0.25">
      <c r="A729" s="171" t="str">
        <f>ORÇAMENTO!A169</f>
        <v>4.1.2.4.2</v>
      </c>
      <c r="B729" s="172" t="str">
        <f>VLOOKUP(A729,ORÇAMENTO!A:K,4,0)</f>
        <v>PREPARO DE FUNDO DE VALA COM LARGURA MAIOR OU IGUAL A 1,5 M E MENOR QUE 2,5 M, COM CAMADA DE BRITA, LANÇAMENTO MECANIZADO. AF_08/2020</v>
      </c>
      <c r="C729" s="173" t="str">
        <f>VLOOKUP(A729,ORÇAMENTO!A:K,5,0)</f>
        <v>M³</v>
      </c>
      <c r="D729" s="173">
        <f>SUM(E732:O732)</f>
        <v>332.33178302823859</v>
      </c>
      <c r="E729" s="173" t="s">
        <v>1718</v>
      </c>
      <c r="F729" s="173" t="s">
        <v>1719</v>
      </c>
      <c r="G729" s="173" t="s">
        <v>1720</v>
      </c>
      <c r="H729" s="173" t="s">
        <v>1721</v>
      </c>
      <c r="I729" s="173" t="s">
        <v>1722</v>
      </c>
      <c r="J729" s="173" t="s">
        <v>1723</v>
      </c>
      <c r="K729" s="173" t="s">
        <v>1724</v>
      </c>
      <c r="L729" s="173" t="s">
        <v>1753</v>
      </c>
      <c r="M729" s="173" t="s">
        <v>1730</v>
      </c>
      <c r="N729" s="173" t="s">
        <v>1727</v>
      </c>
      <c r="O729" s="173" t="s">
        <v>1728</v>
      </c>
      <c r="P729" s="169"/>
      <c r="Q729" s="169"/>
    </row>
    <row r="730" spans="1:17" s="170" customFormat="1" ht="10.5" x14ac:dyDescent="0.25">
      <c r="A730" s="175"/>
      <c r="B730" s="181" t="s">
        <v>1732</v>
      </c>
      <c r="C730" s="184"/>
      <c r="D730" s="185"/>
      <c r="E730" s="185"/>
      <c r="F730" s="185"/>
      <c r="G730" s="185"/>
      <c r="H730" s="185"/>
      <c r="I730" s="185"/>
      <c r="J730" s="185"/>
      <c r="K730" s="185"/>
      <c r="L730" s="185"/>
      <c r="M730" s="185"/>
      <c r="N730" s="185"/>
      <c r="O730" s="185">
        <f>Quantitativos!AV33</f>
        <v>332.33178302823859</v>
      </c>
      <c r="P730" s="169"/>
      <c r="Q730" s="169"/>
    </row>
    <row r="731" spans="1:17" s="170" customFormat="1" ht="10.5" x14ac:dyDescent="0.25">
      <c r="A731" s="175"/>
      <c r="B731" s="176"/>
      <c r="C731" s="184"/>
      <c r="D731" s="185"/>
      <c r="E731" s="185"/>
      <c r="F731" s="185"/>
      <c r="G731" s="185"/>
      <c r="H731" s="185"/>
      <c r="I731" s="185"/>
      <c r="J731" s="185"/>
      <c r="K731" s="185"/>
      <c r="L731" s="185"/>
      <c r="M731" s="185"/>
      <c r="N731" s="185"/>
      <c r="O731" s="185"/>
      <c r="P731" s="179"/>
      <c r="Q731" s="169"/>
    </row>
    <row r="732" spans="1:17" s="170" customFormat="1" ht="10.5" x14ac:dyDescent="0.25">
      <c r="A732" s="175"/>
      <c r="B732" s="181" t="s">
        <v>5</v>
      </c>
      <c r="C732" s="182" t="s">
        <v>1328</v>
      </c>
      <c r="D732" s="182"/>
      <c r="E732" s="182"/>
      <c r="F732" s="182"/>
      <c r="G732" s="182"/>
      <c r="H732" s="182"/>
      <c r="I732" s="182"/>
      <c r="J732" s="182"/>
      <c r="K732" s="182"/>
      <c r="L732" s="182"/>
      <c r="M732" s="182"/>
      <c r="N732" s="182"/>
      <c r="O732" s="182">
        <f>SUM(O730:O731)</f>
        <v>332.33178302823859</v>
      </c>
      <c r="P732" s="183"/>
      <c r="Q732" s="169"/>
    </row>
    <row r="733" spans="1:17" s="174" customFormat="1" ht="52.5" x14ac:dyDescent="0.25">
      <c r="A733" s="171" t="str">
        <f>ORÇAMENTO!A170</f>
        <v>4.1.2.4.3</v>
      </c>
      <c r="B733" s="172" t="str">
        <f>VLOOKUP(A733,ORÇAMENTO!A:K,4,0)</f>
        <v>EXECUÇÃO E COMPACTAÇÃO DE BASE E OU SUB BASE PARA PAVIMENTAÇÃO DE SOLO (PREDOMINANTEMENTE ARENOSO) COM CAL (TEOR DE 4%) - EXCLUSIVE SOLO, ESCAVAÇÃO, CARGA E TRANSPORTE.</v>
      </c>
      <c r="C733" s="173" t="str">
        <f>VLOOKUP(A733,ORÇAMENTO!A:K,5,0)</f>
        <v>M³</v>
      </c>
      <c r="D733" s="173">
        <f>SUM(E736:O736)</f>
        <v>267.51512445547655</v>
      </c>
      <c r="E733" s="173" t="s">
        <v>1718</v>
      </c>
      <c r="F733" s="173" t="s">
        <v>1719</v>
      </c>
      <c r="G733" s="173" t="s">
        <v>1720</v>
      </c>
      <c r="H733" s="173" t="s">
        <v>1721</v>
      </c>
      <c r="I733" s="173" t="s">
        <v>1722</v>
      </c>
      <c r="J733" s="173" t="s">
        <v>1723</v>
      </c>
      <c r="K733" s="173" t="s">
        <v>1724</v>
      </c>
      <c r="L733" s="173" t="s">
        <v>1753</v>
      </c>
      <c r="M733" s="173" t="s">
        <v>1730</v>
      </c>
      <c r="N733" s="173" t="s">
        <v>1727</v>
      </c>
      <c r="O733" s="173" t="s">
        <v>1728</v>
      </c>
      <c r="P733" s="169"/>
      <c r="Q733" s="169"/>
    </row>
    <row r="734" spans="1:17" s="170" customFormat="1" ht="10.5" x14ac:dyDescent="0.25">
      <c r="A734" s="175"/>
      <c r="B734" s="181" t="s">
        <v>1732</v>
      </c>
      <c r="C734" s="184"/>
      <c r="D734" s="185"/>
      <c r="E734" s="185"/>
      <c r="F734" s="185"/>
      <c r="G734" s="185"/>
      <c r="H734" s="185"/>
      <c r="I734" s="185"/>
      <c r="J734" s="185"/>
      <c r="K734" s="185"/>
      <c r="L734" s="185"/>
      <c r="M734" s="185"/>
      <c r="N734" s="185"/>
      <c r="O734" s="185"/>
      <c r="P734" s="169"/>
      <c r="Q734" s="169"/>
    </row>
    <row r="735" spans="1:17" s="170" customFormat="1" ht="21" x14ac:dyDescent="0.25">
      <c r="A735" s="175"/>
      <c r="B735" s="176" t="s">
        <v>1776</v>
      </c>
      <c r="C735" s="184"/>
      <c r="D735" s="185"/>
      <c r="E735" s="185"/>
      <c r="F735" s="185"/>
      <c r="G735" s="185"/>
      <c r="H735" s="185"/>
      <c r="I735" s="185"/>
      <c r="J735" s="185"/>
      <c r="K735" s="185"/>
      <c r="L735" s="185"/>
      <c r="M735" s="185"/>
      <c r="N735" s="185"/>
      <c r="O735" s="185">
        <f>Quantitativos!BB33</f>
        <v>267.51512445547655</v>
      </c>
      <c r="P735" s="179"/>
      <c r="Q735" s="169"/>
    </row>
    <row r="736" spans="1:17" s="170" customFormat="1" ht="10.5" x14ac:dyDescent="0.25">
      <c r="A736" s="175"/>
      <c r="B736" s="181" t="s">
        <v>5</v>
      </c>
      <c r="C736" s="182" t="s">
        <v>1328</v>
      </c>
      <c r="D736" s="182"/>
      <c r="E736" s="182"/>
      <c r="F736" s="182"/>
      <c r="G736" s="182"/>
      <c r="H736" s="182"/>
      <c r="I736" s="182"/>
      <c r="J736" s="182"/>
      <c r="K736" s="182"/>
      <c r="L736" s="182"/>
      <c r="M736" s="182"/>
      <c r="N736" s="182"/>
      <c r="O736" s="182">
        <f>SUM(O734:O735)</f>
        <v>267.51512445547655</v>
      </c>
      <c r="P736" s="183"/>
      <c r="Q736" s="169"/>
    </row>
    <row r="737" spans="1:17" s="174" customFormat="1" ht="21" x14ac:dyDescent="0.25">
      <c r="A737" s="171" t="str">
        <f>ORÇAMENTO!A171</f>
        <v>4.1.2.4.4</v>
      </c>
      <c r="B737" s="172" t="str">
        <f>VLOOKUP(A737,ORÇAMENTO!A:K,4,0)</f>
        <v>BASE OU SUB-BASE DE BRITA GRADUADA COM BRITA COMERCIAL</v>
      </c>
      <c r="C737" s="173" t="str">
        <f>VLOOKUP(A737,ORÇAMENTO!A:K,5,0)</f>
        <v>M³</v>
      </c>
      <c r="D737" s="173">
        <f>SUM(E740:O740)</f>
        <v>267.51512445547655</v>
      </c>
      <c r="E737" s="173" t="s">
        <v>1718</v>
      </c>
      <c r="F737" s="173" t="s">
        <v>1719</v>
      </c>
      <c r="G737" s="173" t="s">
        <v>1720</v>
      </c>
      <c r="H737" s="173" t="s">
        <v>1721</v>
      </c>
      <c r="I737" s="173" t="s">
        <v>1722</v>
      </c>
      <c r="J737" s="173" t="s">
        <v>1723</v>
      </c>
      <c r="K737" s="173" t="s">
        <v>1724</v>
      </c>
      <c r="L737" s="173" t="s">
        <v>1753</v>
      </c>
      <c r="M737" s="173" t="s">
        <v>1730</v>
      </c>
      <c r="N737" s="173" t="s">
        <v>1727</v>
      </c>
      <c r="O737" s="173" t="s">
        <v>1728</v>
      </c>
      <c r="P737" s="169"/>
      <c r="Q737" s="169"/>
    </row>
    <row r="738" spans="1:17" s="170" customFormat="1" ht="10.5" x14ac:dyDescent="0.25">
      <c r="A738" s="175"/>
      <c r="B738" s="181" t="s">
        <v>1732</v>
      </c>
      <c r="C738" s="184"/>
      <c r="D738" s="185"/>
      <c r="E738" s="185"/>
      <c r="F738" s="185"/>
      <c r="G738" s="185"/>
      <c r="H738" s="185"/>
      <c r="I738" s="185"/>
      <c r="J738" s="185"/>
      <c r="K738" s="185"/>
      <c r="L738" s="185"/>
      <c r="M738" s="185"/>
      <c r="N738" s="185"/>
      <c r="O738" s="185"/>
      <c r="P738" s="169"/>
      <c r="Q738" s="169"/>
    </row>
    <row r="739" spans="1:17" s="170" customFormat="1" ht="21" x14ac:dyDescent="0.25">
      <c r="A739" s="175"/>
      <c r="B739" s="176" t="s">
        <v>1776</v>
      </c>
      <c r="C739" s="184"/>
      <c r="D739" s="185"/>
      <c r="E739" s="185"/>
      <c r="F739" s="185"/>
      <c r="G739" s="185"/>
      <c r="H739" s="185"/>
      <c r="I739" s="185"/>
      <c r="J739" s="185"/>
      <c r="K739" s="185"/>
      <c r="L739" s="185"/>
      <c r="M739" s="185"/>
      <c r="N739" s="185"/>
      <c r="O739" s="185">
        <f>Quantitativos!BC33</f>
        <v>267.51512445547655</v>
      </c>
      <c r="P739" s="179"/>
      <c r="Q739" s="169"/>
    </row>
    <row r="740" spans="1:17" s="170" customFormat="1" ht="10.5" x14ac:dyDescent="0.25">
      <c r="A740" s="175"/>
      <c r="B740" s="181" t="s">
        <v>5</v>
      </c>
      <c r="C740" s="182" t="s">
        <v>1328</v>
      </c>
      <c r="D740" s="182"/>
      <c r="E740" s="182"/>
      <c r="F740" s="182"/>
      <c r="G740" s="182"/>
      <c r="H740" s="182"/>
      <c r="I740" s="182"/>
      <c r="J740" s="182"/>
      <c r="K740" s="182"/>
      <c r="L740" s="182"/>
      <c r="M740" s="182"/>
      <c r="N740" s="182"/>
      <c r="O740" s="182">
        <f>SUM(O738:O739)</f>
        <v>267.51512445547655</v>
      </c>
      <c r="P740" s="183"/>
      <c r="Q740" s="169"/>
    </row>
    <row r="741" spans="1:17" s="174" customFormat="1" ht="21" x14ac:dyDescent="0.25">
      <c r="A741" s="171" t="str">
        <f>ORÇAMENTO!A172</f>
        <v>4.1.2.4.5</v>
      </c>
      <c r="B741" s="172" t="str">
        <f>VLOOKUP(A741,ORÇAMENTO!A:K,4,0)</f>
        <v>PINTURA DE LIGAÇÃO (SEM MATERIAL)</v>
      </c>
      <c r="C741" s="173" t="str">
        <f>VLOOKUP(A741,ORÇAMENTO!A:K,5,0)</f>
        <v>M²</v>
      </c>
      <c r="D741" s="173">
        <f>SUM(E744:O744)</f>
        <v>1783.43416303651</v>
      </c>
      <c r="E741" s="173" t="s">
        <v>1718</v>
      </c>
      <c r="F741" s="173" t="s">
        <v>1719</v>
      </c>
      <c r="G741" s="173" t="s">
        <v>1720</v>
      </c>
      <c r="H741" s="173" t="s">
        <v>1721</v>
      </c>
      <c r="I741" s="173" t="s">
        <v>1722</v>
      </c>
      <c r="J741" s="173" t="s">
        <v>1723</v>
      </c>
      <c r="K741" s="173" t="s">
        <v>1724</v>
      </c>
      <c r="L741" s="173" t="s">
        <v>1753</v>
      </c>
      <c r="M741" s="173" t="s">
        <v>1730</v>
      </c>
      <c r="N741" s="173" t="s">
        <v>1727</v>
      </c>
      <c r="O741" s="173" t="s">
        <v>1728</v>
      </c>
      <c r="P741" s="169"/>
      <c r="Q741" s="169"/>
    </row>
    <row r="742" spans="1:17" s="170" customFormat="1" ht="10.5" x14ac:dyDescent="0.25">
      <c r="A742" s="175"/>
      <c r="B742" s="181" t="s">
        <v>1732</v>
      </c>
      <c r="C742" s="184"/>
      <c r="D742" s="185"/>
      <c r="E742" s="185"/>
      <c r="F742" s="185"/>
      <c r="G742" s="185"/>
      <c r="H742" s="185"/>
      <c r="I742" s="185"/>
      <c r="J742" s="185"/>
      <c r="K742" s="185"/>
      <c r="L742" s="185"/>
      <c r="M742" s="185"/>
      <c r="N742" s="185">
        <f>Quantitativos!AA33</f>
        <v>1783.43416303651</v>
      </c>
      <c r="O742" s="185"/>
      <c r="P742" s="169"/>
      <c r="Q742" s="169"/>
    </row>
    <row r="743" spans="1:17" s="170" customFormat="1" ht="10.5" x14ac:dyDescent="0.25">
      <c r="A743" s="175"/>
      <c r="B743" s="176"/>
      <c r="C743" s="184"/>
      <c r="D743" s="185"/>
      <c r="E743" s="185"/>
      <c r="F743" s="185"/>
      <c r="G743" s="185"/>
      <c r="H743" s="185"/>
      <c r="I743" s="185"/>
      <c r="J743" s="185"/>
      <c r="K743" s="185"/>
      <c r="L743" s="185"/>
      <c r="M743" s="185"/>
      <c r="N743" s="185"/>
      <c r="O743" s="185"/>
      <c r="P743" s="179"/>
      <c r="Q743" s="169"/>
    </row>
    <row r="744" spans="1:17" s="170" customFormat="1" ht="10.5" x14ac:dyDescent="0.25">
      <c r="A744" s="175"/>
      <c r="B744" s="181" t="s">
        <v>5</v>
      </c>
      <c r="C744" s="182" t="s">
        <v>1328</v>
      </c>
      <c r="D744" s="182"/>
      <c r="E744" s="182"/>
      <c r="F744" s="182"/>
      <c r="G744" s="182"/>
      <c r="H744" s="182"/>
      <c r="I744" s="182"/>
      <c r="J744" s="182"/>
      <c r="K744" s="182"/>
      <c r="L744" s="182"/>
      <c r="M744" s="182"/>
      <c r="N744" s="182">
        <f>SUM(N742:N743)</f>
        <v>1783.43416303651</v>
      </c>
      <c r="O744" s="182"/>
      <c r="P744" s="183"/>
      <c r="Q744" s="169"/>
    </row>
    <row r="745" spans="1:17" s="174" customFormat="1" ht="21" x14ac:dyDescent="0.25">
      <c r="A745" s="171" t="str">
        <f>ORÇAMENTO!A173</f>
        <v>4.1.2.4.6</v>
      </c>
      <c r="B745" s="172" t="str">
        <f>VLOOKUP(A745,ORÇAMENTO!A:K,4,0)</f>
        <v>EMULSÃO ASFÁLTICA - RR-1C - FORNECIMENTO E TRANSPORTE</v>
      </c>
      <c r="C745" s="173" t="str">
        <f>VLOOKUP(A745,ORÇAMENTO!A:K,5,0)</f>
        <v>T</v>
      </c>
      <c r="D745" s="173">
        <f>SUM(E750:O750)</f>
        <v>0.8025453733664295</v>
      </c>
      <c r="E745" s="173" t="s">
        <v>1718</v>
      </c>
      <c r="F745" s="173" t="s">
        <v>1719</v>
      </c>
      <c r="G745" s="173" t="s">
        <v>1720</v>
      </c>
      <c r="H745" s="173" t="s">
        <v>1721</v>
      </c>
      <c r="I745" s="173" t="s">
        <v>1722</v>
      </c>
      <c r="J745" s="173" t="s">
        <v>1723</v>
      </c>
      <c r="K745" s="173" t="s">
        <v>1746</v>
      </c>
      <c r="L745" s="173" t="s">
        <v>1777</v>
      </c>
      <c r="M745" s="173" t="s">
        <v>1730</v>
      </c>
      <c r="N745" s="173" t="s">
        <v>1727</v>
      </c>
      <c r="O745" s="173" t="s">
        <v>1728</v>
      </c>
      <c r="P745" s="169"/>
      <c r="Q745" s="169"/>
    </row>
    <row r="746" spans="1:17" s="170" customFormat="1" ht="21" x14ac:dyDescent="0.25">
      <c r="A746" s="175"/>
      <c r="B746" s="181" t="s">
        <v>1778</v>
      </c>
      <c r="C746" s="177"/>
      <c r="D746" s="178"/>
      <c r="E746" s="178"/>
      <c r="F746" s="178"/>
      <c r="G746" s="178"/>
      <c r="H746" s="178"/>
      <c r="I746" s="178"/>
      <c r="J746" s="178"/>
      <c r="K746" s="178"/>
      <c r="L746" s="178"/>
      <c r="M746" s="178"/>
      <c r="N746" s="178">
        <f>N742</f>
        <v>1783.43416303651</v>
      </c>
      <c r="O746" s="178"/>
      <c r="P746" s="169"/>
      <c r="Q746" s="169"/>
    </row>
    <row r="747" spans="1:17" s="170" customFormat="1" ht="31.5" x14ac:dyDescent="0.25">
      <c r="A747" s="175"/>
      <c r="B747" s="176" t="s">
        <v>1779</v>
      </c>
      <c r="C747" s="177"/>
      <c r="D747" s="178"/>
      <c r="E747" s="178"/>
      <c r="F747" s="178"/>
      <c r="G747" s="178"/>
      <c r="H747" s="178"/>
      <c r="I747" s="178"/>
      <c r="J747" s="178"/>
      <c r="K747" s="178"/>
      <c r="L747" s="198">
        <v>4.4999999999999999E-4</v>
      </c>
      <c r="M747" s="178"/>
      <c r="N747" s="178"/>
      <c r="O747" s="178"/>
      <c r="P747" s="169"/>
      <c r="Q747" s="169"/>
    </row>
    <row r="748" spans="1:17" s="170" customFormat="1" ht="10.5" x14ac:dyDescent="0.25">
      <c r="A748" s="175"/>
      <c r="B748" s="176"/>
      <c r="C748" s="177"/>
      <c r="D748" s="178"/>
      <c r="E748" s="178"/>
      <c r="F748" s="178"/>
      <c r="G748" s="178"/>
      <c r="H748" s="178"/>
      <c r="I748" s="178"/>
      <c r="J748" s="178"/>
      <c r="K748" s="178">
        <f>L747*N746</f>
        <v>0.8025453733664295</v>
      </c>
      <c r="L748" s="198"/>
      <c r="M748" s="178"/>
      <c r="N748" s="178"/>
      <c r="O748" s="178"/>
      <c r="P748" s="169"/>
      <c r="Q748" s="169"/>
    </row>
    <row r="749" spans="1:17" s="170" customFormat="1" ht="10.5" x14ac:dyDescent="0.25">
      <c r="A749" s="175"/>
      <c r="B749" s="176"/>
      <c r="C749" s="177"/>
      <c r="D749" s="178"/>
      <c r="E749" s="178"/>
      <c r="F749" s="178"/>
      <c r="G749" s="178"/>
      <c r="H749" s="178"/>
      <c r="I749" s="178"/>
      <c r="J749" s="178"/>
      <c r="K749" s="178"/>
      <c r="L749" s="178"/>
      <c r="M749" s="178"/>
      <c r="N749" s="178"/>
      <c r="O749" s="178"/>
      <c r="P749" s="179"/>
      <c r="Q749" s="169"/>
    </row>
    <row r="750" spans="1:17" s="170" customFormat="1" ht="10.5" x14ac:dyDescent="0.25">
      <c r="A750" s="175"/>
      <c r="B750" s="181" t="s">
        <v>5</v>
      </c>
      <c r="C750" s="182" t="s">
        <v>1328</v>
      </c>
      <c r="D750" s="182"/>
      <c r="E750" s="182"/>
      <c r="F750" s="182"/>
      <c r="G750" s="182"/>
      <c r="H750" s="182"/>
      <c r="I750" s="182"/>
      <c r="J750" s="182"/>
      <c r="K750" s="182">
        <f>SUM(K748:K749)</f>
        <v>0.8025453733664295</v>
      </c>
      <c r="L750" s="182"/>
      <c r="M750" s="182"/>
      <c r="N750" s="182"/>
      <c r="O750" s="182"/>
      <c r="P750" s="183"/>
      <c r="Q750" s="169"/>
    </row>
    <row r="751" spans="1:17" s="174" customFormat="1" ht="21" x14ac:dyDescent="0.25">
      <c r="A751" s="171" t="str">
        <f>ORÇAMENTO!A174</f>
        <v>4.1.2.4.7</v>
      </c>
      <c r="B751" s="172" t="str">
        <f>VLOOKUP(A751,ORÇAMENTO!A:K,4,0)</f>
        <v>IMPRIMAÇÃO COM EMULSÃO ASFÁLTICA (SEM MATERIAL)</v>
      </c>
      <c r="C751" s="173" t="str">
        <f>VLOOKUP(A751,ORÇAMENTO!A:K,5,0)</f>
        <v>M²</v>
      </c>
      <c r="D751" s="173">
        <f>SUM(E754:O754)</f>
        <v>1783.43416303651</v>
      </c>
      <c r="E751" s="173" t="s">
        <v>1718</v>
      </c>
      <c r="F751" s="173" t="s">
        <v>1719</v>
      </c>
      <c r="G751" s="173" t="s">
        <v>1720</v>
      </c>
      <c r="H751" s="173" t="s">
        <v>1721</v>
      </c>
      <c r="I751" s="173" t="s">
        <v>1722</v>
      </c>
      <c r="J751" s="173" t="s">
        <v>1723</v>
      </c>
      <c r="K751" s="173" t="s">
        <v>1724</v>
      </c>
      <c r="L751" s="173" t="s">
        <v>1753</v>
      </c>
      <c r="M751" s="173" t="s">
        <v>1730</v>
      </c>
      <c r="N751" s="173" t="s">
        <v>1727</v>
      </c>
      <c r="O751" s="173" t="s">
        <v>1728</v>
      </c>
      <c r="P751" s="169"/>
      <c r="Q751" s="169"/>
    </row>
    <row r="752" spans="1:17" s="170" customFormat="1" ht="10.5" x14ac:dyDescent="0.25">
      <c r="A752" s="175"/>
      <c r="B752" s="181" t="s">
        <v>1732</v>
      </c>
      <c r="C752" s="184"/>
      <c r="D752" s="185"/>
      <c r="E752" s="185"/>
      <c r="F752" s="185"/>
      <c r="G752" s="185"/>
      <c r="H752" s="185"/>
      <c r="I752" s="185"/>
      <c r="J752" s="185"/>
      <c r="K752" s="185"/>
      <c r="L752" s="185"/>
      <c r="M752" s="185"/>
      <c r="N752" s="185">
        <f>N742</f>
        <v>1783.43416303651</v>
      </c>
      <c r="O752" s="185"/>
      <c r="P752" s="169"/>
      <c r="Q752" s="169"/>
    </row>
    <row r="753" spans="1:17" s="170" customFormat="1" ht="10.5" x14ac:dyDescent="0.25">
      <c r="A753" s="175"/>
      <c r="B753" s="176"/>
      <c r="C753" s="184"/>
      <c r="D753" s="185"/>
      <c r="E753" s="185"/>
      <c r="F753" s="185"/>
      <c r="G753" s="185"/>
      <c r="H753" s="185"/>
      <c r="I753" s="185"/>
      <c r="J753" s="185"/>
      <c r="K753" s="185"/>
      <c r="L753" s="185"/>
      <c r="M753" s="185"/>
      <c r="N753" s="185"/>
      <c r="O753" s="185"/>
      <c r="P753" s="179"/>
      <c r="Q753" s="169"/>
    </row>
    <row r="754" spans="1:17" s="170" customFormat="1" ht="10.5" x14ac:dyDescent="0.25">
      <c r="A754" s="175"/>
      <c r="B754" s="181" t="s">
        <v>5</v>
      </c>
      <c r="C754" s="182" t="s">
        <v>1328</v>
      </c>
      <c r="D754" s="182"/>
      <c r="E754" s="182"/>
      <c r="F754" s="182"/>
      <c r="G754" s="182"/>
      <c r="H754" s="182"/>
      <c r="I754" s="182"/>
      <c r="J754" s="182"/>
      <c r="K754" s="182"/>
      <c r="L754" s="182"/>
      <c r="M754" s="182"/>
      <c r="N754" s="182">
        <f>SUM(N752:N753)</f>
        <v>1783.43416303651</v>
      </c>
      <c r="O754" s="182"/>
      <c r="P754" s="183"/>
      <c r="Q754" s="169"/>
    </row>
    <row r="755" spans="1:17" s="174" customFormat="1" ht="21" x14ac:dyDescent="0.25">
      <c r="A755" s="171" t="str">
        <f>ORÇAMENTO!A175</f>
        <v>4.1.2.4.8</v>
      </c>
      <c r="B755" s="172" t="str">
        <f>VLOOKUP(A755,ORÇAMENTO!A:K,4,0)</f>
        <v>EMULSÃO ASFÁLTICA PARA IMPRIMAÇÃO - FORNECIMENTO E TRANSPORTE</v>
      </c>
      <c r="C755" s="173" t="str">
        <f>VLOOKUP(A755,ORÇAMENTO!A:K,5,0)</f>
        <v>T</v>
      </c>
      <c r="D755" s="173">
        <f>SUM(E760:O760)</f>
        <v>2.3184644119474629</v>
      </c>
      <c r="E755" s="173" t="s">
        <v>1718</v>
      </c>
      <c r="F755" s="173" t="s">
        <v>1719</v>
      </c>
      <c r="G755" s="173" t="s">
        <v>1720</v>
      </c>
      <c r="H755" s="173" t="s">
        <v>1721</v>
      </c>
      <c r="I755" s="173" t="s">
        <v>1722</v>
      </c>
      <c r="J755" s="173" t="s">
        <v>1723</v>
      </c>
      <c r="K755" s="173" t="s">
        <v>1746</v>
      </c>
      <c r="L755" s="173" t="s">
        <v>1777</v>
      </c>
      <c r="M755" s="173" t="s">
        <v>1730</v>
      </c>
      <c r="N755" s="173" t="s">
        <v>1727</v>
      </c>
      <c r="O755" s="173" t="s">
        <v>1728</v>
      </c>
      <c r="P755" s="169"/>
      <c r="Q755" s="169"/>
    </row>
    <row r="756" spans="1:17" s="170" customFormat="1" ht="10.5" x14ac:dyDescent="0.25">
      <c r="A756" s="175"/>
      <c r="B756" s="181" t="s">
        <v>1780</v>
      </c>
      <c r="C756" s="177"/>
      <c r="D756" s="178"/>
      <c r="E756" s="178"/>
      <c r="F756" s="178"/>
      <c r="G756" s="178"/>
      <c r="H756" s="178"/>
      <c r="I756" s="178"/>
      <c r="J756" s="178"/>
      <c r="K756" s="178"/>
      <c r="L756" s="178"/>
      <c r="M756" s="178"/>
      <c r="N756" s="178">
        <f>N752</f>
        <v>1783.43416303651</v>
      </c>
      <c r="O756" s="178"/>
      <c r="P756" s="169"/>
      <c r="Q756" s="169"/>
    </row>
    <row r="757" spans="1:17" s="170" customFormat="1" ht="42" x14ac:dyDescent="0.25">
      <c r="A757" s="175"/>
      <c r="B757" s="176" t="s">
        <v>1781</v>
      </c>
      <c r="C757" s="177"/>
      <c r="D757" s="178"/>
      <c r="E757" s="178"/>
      <c r="F757" s="178"/>
      <c r="G757" s="178"/>
      <c r="H757" s="178"/>
      <c r="I757" s="178"/>
      <c r="J757" s="178"/>
      <c r="K757" s="178"/>
      <c r="L757" s="198">
        <v>1.2999999999999999E-3</v>
      </c>
      <c r="M757" s="178"/>
      <c r="N757" s="178"/>
      <c r="O757" s="178"/>
      <c r="P757" s="169"/>
      <c r="Q757" s="169"/>
    </row>
    <row r="758" spans="1:17" s="170" customFormat="1" ht="10.5" x14ac:dyDescent="0.25">
      <c r="A758" s="175"/>
      <c r="B758" s="176"/>
      <c r="C758" s="177"/>
      <c r="D758" s="178"/>
      <c r="E758" s="178"/>
      <c r="F758" s="178"/>
      <c r="G758" s="178"/>
      <c r="H758" s="178"/>
      <c r="I758" s="178"/>
      <c r="J758" s="178"/>
      <c r="K758" s="178">
        <f>L757*N756</f>
        <v>2.3184644119474629</v>
      </c>
      <c r="L758" s="198"/>
      <c r="M758" s="178"/>
      <c r="N758" s="178"/>
      <c r="O758" s="178"/>
      <c r="P758" s="169"/>
      <c r="Q758" s="169"/>
    </row>
    <row r="759" spans="1:17" s="170" customFormat="1" ht="10.5" x14ac:dyDescent="0.25">
      <c r="A759" s="175"/>
      <c r="B759" s="176"/>
      <c r="C759" s="177"/>
      <c r="D759" s="178"/>
      <c r="E759" s="178"/>
      <c r="F759" s="178"/>
      <c r="G759" s="178"/>
      <c r="H759" s="178"/>
      <c r="I759" s="178"/>
      <c r="J759" s="178"/>
      <c r="K759" s="178"/>
      <c r="L759" s="178"/>
      <c r="M759" s="178"/>
      <c r="N759" s="178"/>
      <c r="O759" s="178"/>
      <c r="P759" s="179"/>
      <c r="Q759" s="169"/>
    </row>
    <row r="760" spans="1:17" s="170" customFormat="1" ht="10.5" x14ac:dyDescent="0.25">
      <c r="A760" s="175"/>
      <c r="B760" s="181" t="s">
        <v>5</v>
      </c>
      <c r="C760" s="182" t="s">
        <v>1328</v>
      </c>
      <c r="D760" s="182"/>
      <c r="E760" s="182"/>
      <c r="F760" s="182"/>
      <c r="G760" s="182"/>
      <c r="H760" s="182"/>
      <c r="I760" s="182"/>
      <c r="J760" s="182"/>
      <c r="K760" s="182">
        <f>SUM(K758:K759)</f>
        <v>2.3184644119474629</v>
      </c>
      <c r="L760" s="182"/>
      <c r="M760" s="182"/>
      <c r="N760" s="182"/>
      <c r="O760" s="182"/>
      <c r="P760" s="183"/>
      <c r="Q760" s="169"/>
    </row>
    <row r="761" spans="1:17" s="174" customFormat="1" ht="21" x14ac:dyDescent="0.25">
      <c r="A761" s="171" t="str">
        <f>ORÇAMENTO!A176</f>
        <v>4.1.2.4.9</v>
      </c>
      <c r="B761" s="172" t="str">
        <f>VLOOKUP(A761,ORÇAMENTO!A:K,4,0)</f>
        <v>CAL HIDRATADA - A GRANEL</v>
      </c>
      <c r="C761" s="173" t="str">
        <f>VLOOKUP(A761,ORÇAMENTO!A:K,5,0)</f>
        <v>KG</v>
      </c>
      <c r="D761" s="173">
        <f>SUM(E764:O764)</f>
        <v>51113.454349773325</v>
      </c>
      <c r="E761" s="173" t="s">
        <v>1718</v>
      </c>
      <c r="F761" s="173" t="s">
        <v>1719</v>
      </c>
      <c r="G761" s="173" t="s">
        <v>1720</v>
      </c>
      <c r="H761" s="173" t="s">
        <v>1721</v>
      </c>
      <c r="I761" s="173" t="s">
        <v>1722</v>
      </c>
      <c r="J761" s="173" t="s">
        <v>1723</v>
      </c>
      <c r="K761" s="173" t="s">
        <v>1724</v>
      </c>
      <c r="L761" s="173" t="s">
        <v>1753</v>
      </c>
      <c r="M761" s="173" t="s">
        <v>1730</v>
      </c>
      <c r="N761" s="173" t="s">
        <v>1727</v>
      </c>
      <c r="O761" s="173" t="s">
        <v>1728</v>
      </c>
      <c r="P761" s="169"/>
      <c r="Q761" s="169"/>
    </row>
    <row r="762" spans="1:17" s="170" customFormat="1" ht="10.5" x14ac:dyDescent="0.25">
      <c r="A762" s="175"/>
      <c r="B762" s="181" t="s">
        <v>1732</v>
      </c>
      <c r="C762" s="184"/>
      <c r="D762" s="185"/>
      <c r="E762" s="185"/>
      <c r="F762" s="185"/>
      <c r="G762" s="185"/>
      <c r="H762" s="185"/>
      <c r="I762" s="185"/>
      <c r="J762" s="185"/>
      <c r="K762" s="185"/>
      <c r="L762" s="185"/>
      <c r="M762" s="185"/>
      <c r="N762" s="185"/>
      <c r="O762" s="185">
        <f>Quantitativos!BM33</f>
        <v>24.776274527277423</v>
      </c>
      <c r="P762" s="169"/>
      <c r="Q762" s="169"/>
    </row>
    <row r="763" spans="1:17" s="170" customFormat="1" ht="31.5" x14ac:dyDescent="0.25">
      <c r="A763" s="175"/>
      <c r="B763" s="176" t="s">
        <v>1782</v>
      </c>
      <c r="C763" s="184"/>
      <c r="D763" s="185"/>
      <c r="E763" s="185"/>
      <c r="F763" s="185"/>
      <c r="G763" s="185"/>
      <c r="H763" s="185"/>
      <c r="I763" s="185"/>
      <c r="J763" s="185"/>
      <c r="K763" s="185">
        <f>L763*O762</f>
        <v>51113.454349773325</v>
      </c>
      <c r="L763" s="185">
        <f>82.52/0.04</f>
        <v>2063</v>
      </c>
      <c r="M763" s="185"/>
      <c r="N763" s="185"/>
      <c r="O763" s="185"/>
      <c r="P763" s="179"/>
      <c r="Q763" s="169"/>
    </row>
    <row r="764" spans="1:17" s="170" customFormat="1" ht="10.5" x14ac:dyDescent="0.25">
      <c r="A764" s="175"/>
      <c r="B764" s="181" t="s">
        <v>5</v>
      </c>
      <c r="C764" s="182" t="s">
        <v>1328</v>
      </c>
      <c r="D764" s="182"/>
      <c r="E764" s="182"/>
      <c r="F764" s="182"/>
      <c r="G764" s="182"/>
      <c r="H764" s="182"/>
      <c r="I764" s="182"/>
      <c r="J764" s="182"/>
      <c r="K764" s="182">
        <f>SUM(K762:K763)</f>
        <v>51113.454349773325</v>
      </c>
      <c r="L764" s="182"/>
      <c r="M764" s="182"/>
      <c r="N764" s="182"/>
      <c r="O764" s="182"/>
      <c r="P764" s="183"/>
      <c r="Q764" s="169"/>
    </row>
    <row r="765" spans="1:17" s="174" customFormat="1" ht="52.5" x14ac:dyDescent="0.25">
      <c r="A765" s="171" t="str">
        <f>ORÇAMENTO!A177</f>
        <v>4.1.2.4.10</v>
      </c>
      <c r="B765" s="172" t="str">
        <f>VLOOKUP(A765,ORÇAMENTO!A:K,4,0)</f>
        <v>CONSTRUÇÃO DE PAVIMENTO COM APLICAÇÃO CONCRETO BETUMINOSO USINADO A QUENTE (CBUQ), CAMADA DE ROLAMENTO - EXCLUSIVE TRANSPORTE E CARGA  AF_03/2017 (SEM MATERIAL)</v>
      </c>
      <c r="C765" s="173" t="str">
        <f>VLOOKUP(A765,ORÇAMENTO!A:K,5,0)</f>
        <v>M³</v>
      </c>
      <c r="D765" s="173">
        <f>SUM(E769:O769)</f>
        <v>53.503024891095301</v>
      </c>
      <c r="E765" s="173" t="s">
        <v>1718</v>
      </c>
      <c r="F765" s="173" t="s">
        <v>1719</v>
      </c>
      <c r="G765" s="173" t="s">
        <v>1720</v>
      </c>
      <c r="H765" s="173" t="s">
        <v>1721</v>
      </c>
      <c r="I765" s="173" t="s">
        <v>1722</v>
      </c>
      <c r="J765" s="173" t="s">
        <v>1723</v>
      </c>
      <c r="K765" s="173" t="s">
        <v>1724</v>
      </c>
      <c r="L765" s="173" t="s">
        <v>1783</v>
      </c>
      <c r="M765" s="173" t="s">
        <v>1730</v>
      </c>
      <c r="N765" s="173" t="s">
        <v>1727</v>
      </c>
      <c r="O765" s="173" t="s">
        <v>1728</v>
      </c>
      <c r="P765" s="169"/>
      <c r="Q765" s="169"/>
    </row>
    <row r="766" spans="1:17" s="170" customFormat="1" ht="10.5" x14ac:dyDescent="0.25">
      <c r="A766" s="175"/>
      <c r="B766" s="181" t="s">
        <v>1745</v>
      </c>
      <c r="C766" s="184"/>
      <c r="D766" s="185"/>
      <c r="E766" s="185"/>
      <c r="F766" s="185"/>
      <c r="G766" s="185"/>
      <c r="H766" s="185"/>
      <c r="I766" s="185"/>
      <c r="J766" s="185"/>
      <c r="K766" s="185"/>
      <c r="L766" s="185"/>
      <c r="M766" s="185"/>
      <c r="N766" s="185"/>
      <c r="O766" s="185"/>
      <c r="P766" s="179"/>
      <c r="Q766" s="169"/>
    </row>
    <row r="767" spans="1:17" s="170" customFormat="1" ht="10.5" x14ac:dyDescent="0.25">
      <c r="A767" s="175"/>
      <c r="B767" s="176" t="s">
        <v>1784</v>
      </c>
      <c r="C767" s="184"/>
      <c r="D767" s="185"/>
      <c r="E767" s="185"/>
      <c r="F767" s="185"/>
      <c r="G767" s="185"/>
      <c r="H767" s="185">
        <f>H408</f>
        <v>0.03</v>
      </c>
      <c r="I767" s="185"/>
      <c r="J767" s="185"/>
      <c r="K767" s="185"/>
      <c r="L767" s="185"/>
      <c r="M767" s="185"/>
      <c r="N767" s="185">
        <f>N400</f>
        <v>1783.43416303651</v>
      </c>
      <c r="O767" s="185">
        <f>N767*H767</f>
        <v>53.503024891095301</v>
      </c>
      <c r="P767" s="179"/>
      <c r="Q767" s="169"/>
    </row>
    <row r="768" spans="1:17" s="170" customFormat="1" ht="10.5" x14ac:dyDescent="0.25">
      <c r="A768" s="175"/>
      <c r="B768" s="176"/>
      <c r="C768" s="184"/>
      <c r="D768" s="185"/>
      <c r="E768" s="185"/>
      <c r="F768" s="185"/>
      <c r="G768" s="185"/>
      <c r="H768" s="185"/>
      <c r="I768" s="185"/>
      <c r="J768" s="185"/>
      <c r="K768" s="185"/>
      <c r="L768" s="186"/>
      <c r="M768" s="185"/>
      <c r="N768" s="185"/>
      <c r="O768" s="185"/>
      <c r="P768" s="179"/>
      <c r="Q768" s="169"/>
    </row>
    <row r="769" spans="1:17" s="170" customFormat="1" ht="10.5" x14ac:dyDescent="0.25">
      <c r="A769" s="175"/>
      <c r="B769" s="181" t="s">
        <v>5</v>
      </c>
      <c r="C769" s="182" t="s">
        <v>1328</v>
      </c>
      <c r="D769" s="182"/>
      <c r="E769" s="182"/>
      <c r="F769" s="182"/>
      <c r="G769" s="182"/>
      <c r="H769" s="182"/>
      <c r="I769" s="182"/>
      <c r="J769" s="182"/>
      <c r="K769" s="182"/>
      <c r="L769" s="182"/>
      <c r="M769" s="182"/>
      <c r="N769" s="182"/>
      <c r="O769" s="182">
        <f>SUM(O767:O768)</f>
        <v>53.503024891095301</v>
      </c>
      <c r="P769" s="183"/>
      <c r="Q769" s="169"/>
    </row>
    <row r="770" spans="1:17" s="174" customFormat="1" ht="21" x14ac:dyDescent="0.25">
      <c r="A770" s="171" t="str">
        <f>ORÇAMENTO!A178</f>
        <v>4.1.2.4.11</v>
      </c>
      <c r="B770" s="172" t="str">
        <f>VLOOKUP(A770,ORÇAMENTO!A:K,4,0)</f>
        <v>USINAGEM DE CBUQ SEM  CAP 50/70, PARA CAPA DE ROLAMENTO (SEM MATERIAL  E TRANSPORTE)</v>
      </c>
      <c r="C770" s="173" t="str">
        <f>VLOOKUP(A770,ORÇAMENTO!A:K,5,0)</f>
        <v>T</v>
      </c>
      <c r="D770" s="173">
        <f>SUM(E775:O775)</f>
        <v>128.40725973862871</v>
      </c>
      <c r="E770" s="173" t="s">
        <v>1718</v>
      </c>
      <c r="F770" s="173" t="s">
        <v>1719</v>
      </c>
      <c r="G770" s="173" t="s">
        <v>1720</v>
      </c>
      <c r="H770" s="173" t="s">
        <v>1721</v>
      </c>
      <c r="I770" s="173" t="s">
        <v>1722</v>
      </c>
      <c r="J770" s="173" t="s">
        <v>1723</v>
      </c>
      <c r="K770" s="173" t="s">
        <v>1746</v>
      </c>
      <c r="L770" s="173" t="s">
        <v>1753</v>
      </c>
      <c r="M770" s="173" t="s">
        <v>1730</v>
      </c>
      <c r="N770" s="173" t="s">
        <v>1727</v>
      </c>
      <c r="O770" s="173" t="s">
        <v>1728</v>
      </c>
      <c r="P770" s="169"/>
      <c r="Q770" s="169"/>
    </row>
    <row r="771" spans="1:17" s="170" customFormat="1" ht="10.5" x14ac:dyDescent="0.25">
      <c r="A771" s="175"/>
      <c r="B771" s="181" t="s">
        <v>1745</v>
      </c>
      <c r="C771" s="184"/>
      <c r="D771" s="185"/>
      <c r="E771" s="185"/>
      <c r="F771" s="185"/>
      <c r="G771" s="185"/>
      <c r="H771" s="185"/>
      <c r="I771" s="185"/>
      <c r="J771" s="185"/>
      <c r="K771" s="185"/>
      <c r="L771" s="185"/>
      <c r="M771" s="185"/>
      <c r="N771" s="185"/>
      <c r="O771" s="185"/>
      <c r="P771" s="179"/>
      <c r="Q771" s="169"/>
    </row>
    <row r="772" spans="1:17" s="170" customFormat="1" ht="10.5" x14ac:dyDescent="0.25">
      <c r="A772" s="175"/>
      <c r="B772" s="176" t="s">
        <v>1785</v>
      </c>
      <c r="C772" s="184"/>
      <c r="D772" s="185"/>
      <c r="E772" s="185"/>
      <c r="F772" s="185"/>
      <c r="G772" s="185"/>
      <c r="H772" s="185"/>
      <c r="I772" s="185"/>
      <c r="J772" s="185"/>
      <c r="K772" s="185"/>
      <c r="L772" s="185">
        <v>2.4</v>
      </c>
      <c r="M772" s="185"/>
      <c r="N772" s="185"/>
      <c r="O772" s="185"/>
      <c r="P772" s="179"/>
      <c r="Q772" s="169"/>
    </row>
    <row r="773" spans="1:17" s="170" customFormat="1" ht="10.5" x14ac:dyDescent="0.25">
      <c r="A773" s="175"/>
      <c r="B773" s="176" t="str">
        <f>B767</f>
        <v>CONCRETO BETUMINOSO USINADO A QUENTE</v>
      </c>
      <c r="C773" s="184"/>
      <c r="D773" s="185"/>
      <c r="E773" s="185"/>
      <c r="F773" s="185"/>
      <c r="G773" s="185"/>
      <c r="H773" s="185">
        <f>H767</f>
        <v>0.03</v>
      </c>
      <c r="I773" s="185"/>
      <c r="J773" s="185"/>
      <c r="K773" s="185">
        <f>L772*O773</f>
        <v>128.40725973862871</v>
      </c>
      <c r="L773" s="185"/>
      <c r="M773" s="185"/>
      <c r="N773" s="185">
        <f>N400</f>
        <v>1783.43416303651</v>
      </c>
      <c r="O773" s="185">
        <f>N773*H773</f>
        <v>53.503024891095301</v>
      </c>
      <c r="P773" s="179"/>
      <c r="Q773" s="169"/>
    </row>
    <row r="774" spans="1:17" s="170" customFormat="1" ht="10.5" x14ac:dyDescent="0.25">
      <c r="A774" s="175"/>
      <c r="B774" s="176"/>
      <c r="C774" s="184"/>
      <c r="D774" s="185"/>
      <c r="E774" s="185"/>
      <c r="F774" s="185"/>
      <c r="G774" s="185"/>
      <c r="H774" s="185"/>
      <c r="I774" s="185"/>
      <c r="J774" s="185"/>
      <c r="K774" s="185"/>
      <c r="L774" s="186"/>
      <c r="M774" s="185"/>
      <c r="N774" s="185"/>
      <c r="O774" s="185"/>
      <c r="P774" s="179"/>
      <c r="Q774" s="169"/>
    </row>
    <row r="775" spans="1:17" s="170" customFormat="1" ht="10.5" x14ac:dyDescent="0.25">
      <c r="A775" s="175"/>
      <c r="B775" s="181" t="s">
        <v>5</v>
      </c>
      <c r="C775" s="182" t="s">
        <v>1328</v>
      </c>
      <c r="D775" s="182"/>
      <c r="E775" s="182"/>
      <c r="F775" s="182"/>
      <c r="G775" s="182"/>
      <c r="H775" s="182"/>
      <c r="I775" s="182"/>
      <c r="J775" s="182"/>
      <c r="K775" s="182">
        <f>SUM(K773:K774)</f>
        <v>128.40725973862871</v>
      </c>
      <c r="L775" s="182"/>
      <c r="M775" s="182"/>
      <c r="N775" s="182"/>
      <c r="O775" s="182"/>
      <c r="P775" s="183"/>
      <c r="Q775" s="169"/>
    </row>
    <row r="776" spans="1:17" s="174" customFormat="1" ht="21" x14ac:dyDescent="0.25">
      <c r="A776" s="171" t="str">
        <f>ORÇAMENTO!A179</f>
        <v>4.1.2.4.12</v>
      </c>
      <c r="B776" s="172" t="str">
        <f>VLOOKUP(A776,ORÇAMENTO!A:K,4,0)</f>
        <v>CIMENTO ASFÁLTICO DE PETRÓLEO - CAP 50/70 FORNECIMENTO E TRANSPORTE</v>
      </c>
      <c r="C776" s="173" t="str">
        <f>VLOOKUP(A776,ORÇAMENTO!A:K,5,0)</f>
        <v>T</v>
      </c>
      <c r="D776" s="173">
        <f>SUM(E781:O781)</f>
        <v>8.1191910332734931</v>
      </c>
      <c r="E776" s="173" t="s">
        <v>1718</v>
      </c>
      <c r="F776" s="173" t="s">
        <v>1719</v>
      </c>
      <c r="G776" s="173" t="s">
        <v>1720</v>
      </c>
      <c r="H776" s="173" t="s">
        <v>1721</v>
      </c>
      <c r="I776" s="173" t="s">
        <v>1722</v>
      </c>
      <c r="J776" s="173" t="s">
        <v>1723</v>
      </c>
      <c r="K776" s="173" t="s">
        <v>1746</v>
      </c>
      <c r="L776" s="173" t="s">
        <v>1777</v>
      </c>
      <c r="M776" s="173" t="s">
        <v>1730</v>
      </c>
      <c r="N776" s="173" t="s">
        <v>1727</v>
      </c>
      <c r="O776" s="173" t="s">
        <v>1728</v>
      </c>
      <c r="P776" s="169"/>
      <c r="Q776" s="169"/>
    </row>
    <row r="777" spans="1:17" s="170" customFormat="1" ht="10.5" x14ac:dyDescent="0.25">
      <c r="A777" s="175"/>
      <c r="B777" s="176" t="str">
        <f>B773</f>
        <v>CONCRETO BETUMINOSO USINADO A QUENTE</v>
      </c>
      <c r="C777" s="184"/>
      <c r="D777" s="185"/>
      <c r="E777" s="185"/>
      <c r="F777" s="185"/>
      <c r="G777" s="185"/>
      <c r="H777" s="185"/>
      <c r="I777" s="185"/>
      <c r="J777" s="185"/>
      <c r="K777" s="185">
        <f>K773</f>
        <v>128.40725973862871</v>
      </c>
      <c r="L777" s="185"/>
      <c r="M777" s="185"/>
      <c r="N777" s="185"/>
      <c r="O777" s="185"/>
      <c r="P777" s="179"/>
      <c r="Q777" s="169"/>
    </row>
    <row r="778" spans="1:17" s="170" customFormat="1" ht="10.5" x14ac:dyDescent="0.25">
      <c r="A778" s="175"/>
      <c r="B778" s="176" t="s">
        <v>1786</v>
      </c>
      <c r="C778" s="184"/>
      <c r="D778" s="185"/>
      <c r="E778" s="185"/>
      <c r="F778" s="185"/>
      <c r="G778" s="185"/>
      <c r="H778" s="185"/>
      <c r="I778" s="185"/>
      <c r="J778" s="185"/>
      <c r="K778" s="185"/>
      <c r="L778" s="199">
        <v>6.3229999999999995E-2</v>
      </c>
      <c r="M778" s="185"/>
      <c r="N778" s="185"/>
      <c r="O778" s="185"/>
      <c r="P778" s="179"/>
      <c r="Q778" s="169"/>
    </row>
    <row r="779" spans="1:17" s="170" customFormat="1" ht="10.5" x14ac:dyDescent="0.25">
      <c r="A779" s="175"/>
      <c r="B779" s="176"/>
      <c r="C779" s="184"/>
      <c r="D779" s="185"/>
      <c r="E779" s="185"/>
      <c r="F779" s="185"/>
      <c r="G779" s="185"/>
      <c r="H779" s="185"/>
      <c r="I779" s="185"/>
      <c r="J779" s="185"/>
      <c r="K779" s="185">
        <f>K777*L778</f>
        <v>8.1191910332734931</v>
      </c>
      <c r="L779" s="185"/>
      <c r="M779" s="185"/>
      <c r="N779" s="185"/>
      <c r="O779" s="185"/>
      <c r="P779" s="179"/>
      <c r="Q779" s="169"/>
    </row>
    <row r="780" spans="1:17" s="170" customFormat="1" ht="10.5" x14ac:dyDescent="0.25">
      <c r="A780" s="175"/>
      <c r="B780" s="176"/>
      <c r="C780" s="184"/>
      <c r="D780" s="185"/>
      <c r="E780" s="185"/>
      <c r="F780" s="185"/>
      <c r="G780" s="185"/>
      <c r="H780" s="185"/>
      <c r="I780" s="185"/>
      <c r="J780" s="185"/>
      <c r="K780" s="185"/>
      <c r="L780" s="186"/>
      <c r="M780" s="185"/>
      <c r="N780" s="185"/>
      <c r="O780" s="185"/>
      <c r="P780" s="179"/>
      <c r="Q780" s="169"/>
    </row>
    <row r="781" spans="1:17" s="170" customFormat="1" ht="10.5" x14ac:dyDescent="0.25">
      <c r="A781" s="175"/>
      <c r="B781" s="181" t="s">
        <v>5</v>
      </c>
      <c r="C781" s="182" t="s">
        <v>1328</v>
      </c>
      <c r="D781" s="182"/>
      <c r="E781" s="182"/>
      <c r="F781" s="182"/>
      <c r="G781" s="182"/>
      <c r="H781" s="182"/>
      <c r="I781" s="182"/>
      <c r="J781" s="182"/>
      <c r="K781" s="182">
        <f>SUM(K779:K780)</f>
        <v>8.1191910332734931</v>
      </c>
      <c r="L781" s="182"/>
      <c r="M781" s="182"/>
      <c r="N781" s="182"/>
      <c r="O781" s="182"/>
      <c r="P781" s="183"/>
      <c r="Q781" s="169"/>
    </row>
    <row r="782" spans="1:17" s="174" customFormat="1" ht="21" x14ac:dyDescent="0.25">
      <c r="A782" s="171" t="str">
        <f>ORÇAMENTO!A180</f>
        <v>4.1.2.4.13</v>
      </c>
      <c r="B782" s="172" t="str">
        <f>VLOOKUP(A782,ORÇAMENTO!A:K,4,0)</f>
        <v>REATERRO MANUAL APILOADO COM SOQUETE</v>
      </c>
      <c r="C782" s="173" t="str">
        <f>VLOOKUP(A782,ORÇAMENTO!A:K,5,0)</f>
        <v>M³</v>
      </c>
      <c r="D782" s="173">
        <f>SUM(E785:O785)</f>
        <v>2086.2191290741885</v>
      </c>
      <c r="E782" s="173" t="s">
        <v>1718</v>
      </c>
      <c r="F782" s="173" t="s">
        <v>1719</v>
      </c>
      <c r="G782" s="173" t="s">
        <v>1720</v>
      </c>
      <c r="H782" s="173" t="s">
        <v>1721</v>
      </c>
      <c r="I782" s="173" t="s">
        <v>1722</v>
      </c>
      <c r="J782" s="173" t="s">
        <v>1723</v>
      </c>
      <c r="K782" s="173" t="s">
        <v>1724</v>
      </c>
      <c r="L782" s="173" t="s">
        <v>1753</v>
      </c>
      <c r="M782" s="173" t="s">
        <v>1730</v>
      </c>
      <c r="N782" s="173" t="s">
        <v>1727</v>
      </c>
      <c r="O782" s="173" t="s">
        <v>1728</v>
      </c>
      <c r="P782" s="169"/>
      <c r="Q782" s="169"/>
    </row>
    <row r="783" spans="1:17" s="170" customFormat="1" ht="10.5" x14ac:dyDescent="0.25">
      <c r="A783" s="175"/>
      <c r="B783" s="176" t="s">
        <v>1787</v>
      </c>
      <c r="C783" s="184"/>
      <c r="D783" s="185"/>
      <c r="E783" s="185"/>
      <c r="F783" s="185"/>
      <c r="G783" s="185"/>
      <c r="H783" s="185"/>
      <c r="I783" s="185"/>
      <c r="J783" s="185"/>
      <c r="K783" s="185"/>
      <c r="L783" s="185"/>
      <c r="M783" s="185"/>
      <c r="N783" s="185"/>
      <c r="O783" s="185">
        <f>Quantitativos!AZ33</f>
        <v>2086.2191290741885</v>
      </c>
      <c r="P783" s="169"/>
      <c r="Q783" s="169"/>
    </row>
    <row r="784" spans="1:17" s="170" customFormat="1" ht="10.5" x14ac:dyDescent="0.25">
      <c r="A784" s="175"/>
      <c r="B784" s="176"/>
      <c r="C784" s="184"/>
      <c r="D784" s="185"/>
      <c r="E784" s="185"/>
      <c r="F784" s="185"/>
      <c r="G784" s="185"/>
      <c r="H784" s="185"/>
      <c r="I784" s="185"/>
      <c r="J784" s="185"/>
      <c r="K784" s="185"/>
      <c r="L784" s="185"/>
      <c r="M784" s="185"/>
      <c r="N784" s="185"/>
      <c r="O784" s="185"/>
      <c r="P784" s="179"/>
      <c r="Q784" s="169"/>
    </row>
    <row r="785" spans="1:19" s="170" customFormat="1" ht="10.5" x14ac:dyDescent="0.25">
      <c r="A785" s="175"/>
      <c r="B785" s="181" t="s">
        <v>5</v>
      </c>
      <c r="C785" s="182" t="s">
        <v>1328</v>
      </c>
      <c r="D785" s="182"/>
      <c r="E785" s="182"/>
      <c r="F785" s="182"/>
      <c r="G785" s="182"/>
      <c r="H785" s="182"/>
      <c r="I785" s="182"/>
      <c r="J785" s="182"/>
      <c r="K785" s="182"/>
      <c r="L785" s="182"/>
      <c r="M785" s="182"/>
      <c r="N785" s="182"/>
      <c r="O785" s="182">
        <f>SUM(O783:O784)</f>
        <v>2086.2191290741885</v>
      </c>
      <c r="P785" s="183"/>
      <c r="Q785" s="169"/>
    </row>
    <row r="786" spans="1:19" s="174" customFormat="1" ht="31.5" x14ac:dyDescent="0.25">
      <c r="A786" s="171" t="str">
        <f>ORÇAMENTO!A181</f>
        <v>4.1.2.4.14</v>
      </c>
      <c r="B786" s="172" t="str">
        <f>VLOOKUP(A786,ORÇAMENTO!A:K,4,0)</f>
        <v>REATERRO COMPACTADO MECANICAMENTE EM CAMADAS DE 0,20 M COM APROVEITAMENTO DO MATERIAL ESCAVADO.</v>
      </c>
      <c r="C786" s="173" t="str">
        <f>VLOOKUP(A786,ORÇAMENTO!A:K,5,0)</f>
        <v>M³</v>
      </c>
      <c r="D786" s="173">
        <f>SUM(E791:O791)</f>
        <v>3556.2080331943398</v>
      </c>
      <c r="E786" s="173" t="s">
        <v>1718</v>
      </c>
      <c r="F786" s="173" t="s">
        <v>1719</v>
      </c>
      <c r="G786" s="173" t="s">
        <v>1720</v>
      </c>
      <c r="H786" s="173" t="s">
        <v>1721</v>
      </c>
      <c r="I786" s="173" t="s">
        <v>1722</v>
      </c>
      <c r="J786" s="173" t="s">
        <v>1723</v>
      </c>
      <c r="K786" s="173" t="s">
        <v>1724</v>
      </c>
      <c r="L786" s="173" t="s">
        <v>1753</v>
      </c>
      <c r="M786" s="173" t="s">
        <v>1730</v>
      </c>
      <c r="N786" s="173" t="s">
        <v>1727</v>
      </c>
      <c r="O786" s="173" t="s">
        <v>1728</v>
      </c>
      <c r="P786" s="169"/>
      <c r="Q786" s="169"/>
    </row>
    <row r="787" spans="1:19" s="170" customFormat="1" ht="10.5" x14ac:dyDescent="0.25">
      <c r="A787" s="175"/>
      <c r="B787" s="176" t="s">
        <v>1787</v>
      </c>
      <c r="C787" s="184"/>
      <c r="D787" s="185"/>
      <c r="E787" s="185"/>
      <c r="F787" s="185"/>
      <c r="G787" s="185"/>
      <c r="H787" s="185"/>
      <c r="I787" s="185"/>
      <c r="J787" s="185"/>
      <c r="K787" s="185"/>
      <c r="L787" s="185"/>
      <c r="M787" s="185"/>
      <c r="N787" s="185"/>
      <c r="O787" s="185">
        <f>Quantitativos!BG33</f>
        <v>2564.158015908391</v>
      </c>
      <c r="P787" s="169"/>
      <c r="Q787" s="169"/>
    </row>
    <row r="788" spans="1:19" s="170" customFormat="1" ht="21" x14ac:dyDescent="0.25">
      <c r="A788" s="175"/>
      <c r="B788" s="176" t="s">
        <v>1788</v>
      </c>
      <c r="C788" s="184"/>
      <c r="D788" s="185"/>
      <c r="E788" s="185"/>
      <c r="F788" s="185"/>
      <c r="G788" s="185"/>
      <c r="H788" s="185"/>
      <c r="I788" s="185"/>
      <c r="J788" s="185"/>
      <c r="K788" s="185"/>
      <c r="L788" s="185"/>
      <c r="M788" s="185"/>
      <c r="N788" s="185"/>
      <c r="O788" s="185">
        <f>Quantitativos!BJ33</f>
        <v>108.4819323712164</v>
      </c>
      <c r="P788" s="179"/>
      <c r="Q788" s="169"/>
    </row>
    <row r="789" spans="1:19" s="170" customFormat="1" ht="10.5" x14ac:dyDescent="0.25">
      <c r="A789" s="175"/>
      <c r="B789" s="176" t="s">
        <v>1789</v>
      </c>
      <c r="C789" s="184"/>
      <c r="D789" s="185"/>
      <c r="E789" s="185"/>
      <c r="F789" s="185"/>
      <c r="G789" s="185"/>
      <c r="H789" s="185"/>
      <c r="I789" s="185"/>
      <c r="J789" s="185"/>
      <c r="K789" s="185"/>
      <c r="L789" s="185"/>
      <c r="M789" s="185"/>
      <c r="N789" s="185"/>
      <c r="O789" s="185">
        <f>Quantitativos!BK33</f>
        <v>531.67634618827321</v>
      </c>
      <c r="P789" s="179"/>
      <c r="Q789" s="169"/>
    </row>
    <row r="790" spans="1:19" s="170" customFormat="1" ht="10.5" x14ac:dyDescent="0.25">
      <c r="A790" s="175"/>
      <c r="B790" s="176" t="s">
        <v>1790</v>
      </c>
      <c r="C790" s="184"/>
      <c r="D790" s="185"/>
      <c r="E790" s="185"/>
      <c r="F790" s="185"/>
      <c r="G790" s="185"/>
      <c r="H790" s="185"/>
      <c r="I790" s="185"/>
      <c r="J790" s="185"/>
      <c r="K790" s="185"/>
      <c r="L790" s="185"/>
      <c r="M790" s="185"/>
      <c r="N790" s="185"/>
      <c r="O790" s="185">
        <f>Quantitativos!AW33</f>
        <v>351.89173872645904</v>
      </c>
      <c r="P790" s="179"/>
      <c r="Q790" s="169"/>
    </row>
    <row r="791" spans="1:19" s="170" customFormat="1" ht="10.5" x14ac:dyDescent="0.25">
      <c r="A791" s="175"/>
      <c r="B791" s="181" t="s">
        <v>5</v>
      </c>
      <c r="C791" s="182" t="s">
        <v>1328</v>
      </c>
      <c r="D791" s="182"/>
      <c r="E791" s="182"/>
      <c r="F791" s="182"/>
      <c r="G791" s="182"/>
      <c r="H791" s="182"/>
      <c r="I791" s="182"/>
      <c r="J791" s="182"/>
      <c r="K791" s="182"/>
      <c r="L791" s="182"/>
      <c r="M791" s="182"/>
      <c r="N791" s="182"/>
      <c r="O791" s="182">
        <f>SUM(O787:O790)</f>
        <v>3556.2080331943398</v>
      </c>
      <c r="P791" s="183"/>
      <c r="Q791" s="169"/>
    </row>
    <row r="792" spans="1:19" s="189" customFormat="1" ht="52.5" x14ac:dyDescent="0.35">
      <c r="A792" s="171" t="str">
        <f>ORÇAMENTO!A182</f>
        <v>4.1.2.4.15</v>
      </c>
      <c r="B792" s="172" t="str">
        <f>VLOOKUP(A792,ORÇAMENTO!A:K,4,0)</f>
        <v>CARGA, MANOBRA E DESCARGA DE SOLOS E MATERIAIS GRANULARES EM CAMINHÃO BASCULANTE 14 M³ - CARGA COM ESCAVADEIRA HIDRÁULICA (CAÇAMBA DE 1,20 M³ / 155 HP) E DESCARGA LIVRE (UNIDADE: M3). AF_07/2020</v>
      </c>
      <c r="C792" s="173" t="str">
        <f>VLOOKUP(A792,ORÇAMENTO!A:K,5,0)</f>
        <v>M³</v>
      </c>
      <c r="D792" s="173">
        <f>SUM(E797:O797)</f>
        <v>885.76580444695333</v>
      </c>
      <c r="E792" s="173" t="s">
        <v>1752</v>
      </c>
      <c r="F792" s="173" t="s">
        <v>1719</v>
      </c>
      <c r="G792" s="173" t="s">
        <v>1720</v>
      </c>
      <c r="H792" s="173" t="s">
        <v>1721</v>
      </c>
      <c r="I792" s="173" t="s">
        <v>1722</v>
      </c>
      <c r="J792" s="173" t="s">
        <v>1723</v>
      </c>
      <c r="K792" s="173" t="s">
        <v>1746</v>
      </c>
      <c r="L792" s="173" t="s">
        <v>1753</v>
      </c>
      <c r="M792" s="173" t="s">
        <v>1730</v>
      </c>
      <c r="N792" s="173" t="s">
        <v>1727</v>
      </c>
      <c r="O792" s="173" t="s">
        <v>1728</v>
      </c>
      <c r="P792" s="169"/>
      <c r="Q792" s="169"/>
      <c r="R792" s="169"/>
      <c r="S792" s="169"/>
    </row>
    <row r="793" spans="1:19" s="170" customFormat="1" ht="21" x14ac:dyDescent="0.25">
      <c r="A793" s="175"/>
      <c r="B793" s="176" t="s">
        <v>1791</v>
      </c>
      <c r="C793" s="184"/>
      <c r="D793" s="185"/>
      <c r="E793" s="185"/>
      <c r="F793" s="185"/>
      <c r="G793" s="185"/>
      <c r="H793" s="185"/>
      <c r="I793" s="185"/>
      <c r="J793" s="185"/>
      <c r="K793" s="185"/>
      <c r="L793" s="197"/>
      <c r="M793" s="185"/>
      <c r="N793" s="185"/>
      <c r="O793" s="185">
        <f>O799+O800+O801</f>
        <v>530.69068778536348</v>
      </c>
      <c r="P793" s="179"/>
      <c r="Q793" s="169"/>
    </row>
    <row r="794" spans="1:19" s="170" customFormat="1" ht="21" x14ac:dyDescent="0.25">
      <c r="A794" s="175"/>
      <c r="B794" s="176" t="s">
        <v>1792</v>
      </c>
      <c r="C794" s="184"/>
      <c r="D794" s="185"/>
      <c r="E794" s="185"/>
      <c r="F794" s="185"/>
      <c r="G794" s="185"/>
      <c r="H794" s="185"/>
      <c r="I794" s="185"/>
      <c r="J794" s="185"/>
      <c r="K794" s="185"/>
      <c r="L794" s="197"/>
      <c r="M794" s="185"/>
      <c r="N794" s="185"/>
      <c r="O794" s="185">
        <f>O728</f>
        <v>22.743333633351188</v>
      </c>
      <c r="P794" s="179"/>
      <c r="Q794" s="169"/>
    </row>
    <row r="795" spans="1:19" s="170" customFormat="1" ht="31.5" x14ac:dyDescent="0.25">
      <c r="A795" s="175"/>
      <c r="B795" s="176" t="s">
        <v>1793</v>
      </c>
      <c r="C795" s="184"/>
      <c r="D795" s="185"/>
      <c r="E795" s="185"/>
      <c r="F795" s="185"/>
      <c r="G795" s="185"/>
      <c r="H795" s="185"/>
      <c r="I795" s="185"/>
      <c r="J795" s="185"/>
      <c r="K795" s="185"/>
      <c r="L795" s="197"/>
      <c r="M795" s="185"/>
      <c r="N795" s="185"/>
      <c r="O795" s="185">
        <f>O732</f>
        <v>332.33178302823859</v>
      </c>
      <c r="P795" s="179"/>
      <c r="Q795" s="169"/>
    </row>
    <row r="796" spans="1:19" s="170" customFormat="1" ht="10.5" x14ac:dyDescent="0.25">
      <c r="A796" s="175"/>
      <c r="B796" s="176"/>
      <c r="C796" s="184"/>
      <c r="D796" s="185"/>
      <c r="E796" s="185"/>
      <c r="F796" s="185"/>
      <c r="G796" s="185"/>
      <c r="H796" s="185"/>
      <c r="I796" s="185"/>
      <c r="J796" s="185"/>
      <c r="K796" s="185"/>
      <c r="L796" s="197"/>
      <c r="M796" s="185"/>
      <c r="N796" s="185"/>
      <c r="O796" s="185"/>
      <c r="P796" s="179"/>
      <c r="Q796" s="169"/>
    </row>
    <row r="797" spans="1:19" s="170" customFormat="1" ht="10.5" x14ac:dyDescent="0.25">
      <c r="A797" s="175"/>
      <c r="B797" s="181" t="s">
        <v>5</v>
      </c>
      <c r="C797" s="182" t="s">
        <v>1328</v>
      </c>
      <c r="D797" s="182"/>
      <c r="E797" s="182"/>
      <c r="F797" s="182"/>
      <c r="G797" s="182"/>
      <c r="H797" s="182"/>
      <c r="I797" s="182"/>
      <c r="J797" s="182"/>
      <c r="K797" s="182"/>
      <c r="L797" s="182"/>
      <c r="M797" s="184"/>
      <c r="N797" s="182"/>
      <c r="O797" s="182">
        <f>SUM(O793:O796)</f>
        <v>885.76580444695333</v>
      </c>
      <c r="P797" s="183"/>
      <c r="Q797" s="169"/>
    </row>
    <row r="798" spans="1:19" s="174" customFormat="1" ht="31.5" x14ac:dyDescent="0.25">
      <c r="A798" s="171" t="str">
        <f>ORÇAMENTO!A183</f>
        <v>4.1.2.4.16</v>
      </c>
      <c r="B798" s="172" t="str">
        <f>VLOOKUP(A798,ORÇAMENTO!A:K,4,0)</f>
        <v>TRANSPORTE COM CAMINHÃO BASCULANTE DE 14 M³, EM VIA URBANA PAVIMENTADA, DMT ATÉ 30 KM (UNIDADE: M3XKM). AF_07/2020</v>
      </c>
      <c r="C798" s="173" t="str">
        <f>VLOOKUP(A798,ORÇAMENTO!A:K,5,0)</f>
        <v>M3XKM</v>
      </c>
      <c r="D798" s="173">
        <f>SUM(E805:O805)</f>
        <v>9196.0611240937706</v>
      </c>
      <c r="E798" s="173" t="s">
        <v>1749</v>
      </c>
      <c r="F798" s="173" t="s">
        <v>1719</v>
      </c>
      <c r="G798" s="173" t="s">
        <v>1720</v>
      </c>
      <c r="H798" s="173" t="s">
        <v>1721</v>
      </c>
      <c r="I798" s="173" t="s">
        <v>1722</v>
      </c>
      <c r="J798" s="173" t="s">
        <v>1723</v>
      </c>
      <c r="K798" s="173" t="s">
        <v>1724</v>
      </c>
      <c r="L798" s="173" t="s">
        <v>1753</v>
      </c>
      <c r="M798" s="173" t="s">
        <v>1750</v>
      </c>
      <c r="N798" s="173" t="s">
        <v>1727</v>
      </c>
      <c r="O798" s="173" t="s">
        <v>1728</v>
      </c>
      <c r="P798" s="169"/>
      <c r="Q798" s="169"/>
    </row>
    <row r="799" spans="1:19" s="170" customFormat="1" ht="21" x14ac:dyDescent="0.25">
      <c r="A799" s="175"/>
      <c r="B799" s="176" t="s">
        <v>1794</v>
      </c>
      <c r="C799" s="184"/>
      <c r="D799" s="185"/>
      <c r="E799" s="185">
        <v>0.2</v>
      </c>
      <c r="F799" s="185"/>
      <c r="G799" s="185"/>
      <c r="H799" s="185"/>
      <c r="I799" s="185"/>
      <c r="J799" s="185"/>
      <c r="K799" s="185"/>
      <c r="L799" s="185"/>
      <c r="M799" s="185">
        <f>O799*E799</f>
        <v>21.696386474243283</v>
      </c>
      <c r="N799" s="185"/>
      <c r="O799" s="185">
        <f>O788</f>
        <v>108.4819323712164</v>
      </c>
      <c r="P799" s="169"/>
      <c r="Q799" s="169"/>
    </row>
    <row r="800" spans="1:19" s="170" customFormat="1" ht="31.5" x14ac:dyDescent="0.25">
      <c r="A800" s="175"/>
      <c r="B800" s="176" t="s">
        <v>1795</v>
      </c>
      <c r="C800" s="184"/>
      <c r="D800" s="185"/>
      <c r="E800" s="185">
        <v>0.2</v>
      </c>
      <c r="F800" s="185"/>
      <c r="G800" s="185"/>
      <c r="H800" s="185"/>
      <c r="I800" s="185"/>
      <c r="J800" s="185"/>
      <c r="K800" s="185"/>
      <c r="L800" s="185"/>
      <c r="M800" s="185">
        <f>O800*E800</f>
        <v>22.216711820278011</v>
      </c>
      <c r="N800" s="185"/>
      <c r="O800" s="185">
        <f>Quantitativos!AX33</f>
        <v>111.08355910139005</v>
      </c>
      <c r="P800" s="169"/>
      <c r="Q800" s="169"/>
    </row>
    <row r="801" spans="1:17" s="170" customFormat="1" ht="31.5" x14ac:dyDescent="0.25">
      <c r="A801" s="175"/>
      <c r="B801" s="176" t="s">
        <v>1796</v>
      </c>
      <c r="C801" s="184"/>
      <c r="D801" s="185"/>
      <c r="E801" s="185">
        <v>0.2</v>
      </c>
      <c r="F801" s="185"/>
      <c r="G801" s="185"/>
      <c r="H801" s="185"/>
      <c r="I801" s="185"/>
      <c r="J801" s="185"/>
      <c r="K801" s="185"/>
      <c r="L801" s="185"/>
      <c r="M801" s="185">
        <f>O801*E801</f>
        <v>62.225039262551405</v>
      </c>
      <c r="N801" s="185"/>
      <c r="O801" s="185">
        <f>Quantitativos!BA33</f>
        <v>311.125196312757</v>
      </c>
      <c r="P801" s="179"/>
      <c r="Q801" s="169"/>
    </row>
    <row r="802" spans="1:17" s="170" customFormat="1" ht="31.5" x14ac:dyDescent="0.25">
      <c r="A802" s="175"/>
      <c r="B802" s="176" t="s">
        <v>1797</v>
      </c>
      <c r="C802" s="184"/>
      <c r="D802" s="185"/>
      <c r="E802" s="185">
        <v>25.6</v>
      </c>
      <c r="F802" s="185"/>
      <c r="G802" s="185"/>
      <c r="H802" s="185"/>
      <c r="I802" s="185"/>
      <c r="J802" s="185"/>
      <c r="K802" s="185"/>
      <c r="L802" s="185"/>
      <c r="M802" s="185">
        <f>O802*E802</f>
        <v>582.22934101379042</v>
      </c>
      <c r="N802" s="185"/>
      <c r="O802" s="185">
        <f>O794</f>
        <v>22.743333633351188</v>
      </c>
      <c r="P802" s="179"/>
      <c r="Q802" s="169"/>
    </row>
    <row r="803" spans="1:17" s="170" customFormat="1" ht="31.5" x14ac:dyDescent="0.25">
      <c r="A803" s="175"/>
      <c r="B803" s="176" t="s">
        <v>1798</v>
      </c>
      <c r="C803" s="184"/>
      <c r="D803" s="185"/>
      <c r="E803" s="185">
        <v>25.6</v>
      </c>
      <c r="F803" s="185"/>
      <c r="G803" s="185"/>
      <c r="H803" s="185"/>
      <c r="I803" s="185"/>
      <c r="J803" s="185"/>
      <c r="K803" s="185"/>
      <c r="L803" s="185"/>
      <c r="M803" s="185">
        <f>O803*E803</f>
        <v>8507.6936455229079</v>
      </c>
      <c r="N803" s="185"/>
      <c r="O803" s="185">
        <f>O795</f>
        <v>332.33178302823859</v>
      </c>
      <c r="P803" s="179"/>
      <c r="Q803" s="169"/>
    </row>
    <row r="804" spans="1:17" s="170" customFormat="1" ht="10.5" x14ac:dyDescent="0.25">
      <c r="A804" s="175"/>
      <c r="B804" s="176"/>
      <c r="C804" s="184"/>
      <c r="D804" s="185"/>
      <c r="E804" s="185"/>
      <c r="F804" s="185"/>
      <c r="G804" s="185"/>
      <c r="H804" s="185"/>
      <c r="I804" s="185"/>
      <c r="J804" s="185"/>
      <c r="K804" s="185"/>
      <c r="L804" s="185"/>
      <c r="M804" s="185"/>
      <c r="N804" s="185"/>
      <c r="O804" s="185"/>
      <c r="P804" s="179"/>
      <c r="Q804" s="169"/>
    </row>
    <row r="805" spans="1:17" s="170" customFormat="1" ht="10.5" x14ac:dyDescent="0.25">
      <c r="A805" s="175"/>
      <c r="B805" s="181" t="s">
        <v>5</v>
      </c>
      <c r="C805" s="182" t="s">
        <v>1328</v>
      </c>
      <c r="D805" s="182"/>
      <c r="E805" s="182"/>
      <c r="F805" s="182"/>
      <c r="G805" s="182"/>
      <c r="H805" s="182"/>
      <c r="I805" s="182"/>
      <c r="J805" s="182"/>
      <c r="K805" s="182"/>
      <c r="L805" s="182"/>
      <c r="M805" s="182">
        <f>SUM(M799:M804)</f>
        <v>9196.0611240937706</v>
      </c>
      <c r="N805" s="182"/>
      <c r="O805" s="182"/>
      <c r="P805" s="183"/>
      <c r="Q805" s="169"/>
    </row>
    <row r="806" spans="1:17" s="174" customFormat="1" ht="52.5" x14ac:dyDescent="0.25">
      <c r="A806" s="171" t="str">
        <f>ORÇAMENTO!A184</f>
        <v>4.1.2.4.17</v>
      </c>
      <c r="B806" s="172" t="str">
        <f>VLOOKUP(A806,ORÇAMENTO!A:K,4,0)</f>
        <v>ASSENTAMENTO DE TUBO DE CONCRETO PARA REDES COLETORAS DE ÁGUAS PLUVIAIS, DIÂMETRO DE 600 MM, JUNTA RÍGIDA, INSTALADO EM LOCAL COM ALTO NÍVEL DE INTERFERÊNCIAS (NÃO INCLUI FORNECIMENTO). AF_03/2024</v>
      </c>
      <c r="C806" s="173" t="str">
        <f>VLOOKUP(A806,ORÇAMENTO!A:K,5,0)</f>
        <v>M</v>
      </c>
      <c r="D806" s="173">
        <f>SUM(E809:O809)</f>
        <v>162.4523830953656</v>
      </c>
      <c r="E806" s="173" t="s">
        <v>1718</v>
      </c>
      <c r="F806" s="173" t="s">
        <v>1719</v>
      </c>
      <c r="G806" s="173" t="s">
        <v>1720</v>
      </c>
      <c r="H806" s="173" t="s">
        <v>1721</v>
      </c>
      <c r="I806" s="173" t="s">
        <v>1722</v>
      </c>
      <c r="J806" s="173" t="s">
        <v>1723</v>
      </c>
      <c r="K806" s="173" t="s">
        <v>1724</v>
      </c>
      <c r="L806" s="173" t="s">
        <v>1753</v>
      </c>
      <c r="M806" s="173" t="s">
        <v>1730</v>
      </c>
      <c r="N806" s="173" t="s">
        <v>1727</v>
      </c>
      <c r="O806" s="173" t="s">
        <v>1728</v>
      </c>
      <c r="P806" s="169"/>
      <c r="Q806" s="169"/>
    </row>
    <row r="807" spans="1:17" s="170" customFormat="1" ht="10.5" x14ac:dyDescent="0.25">
      <c r="A807" s="175"/>
      <c r="B807" s="181"/>
      <c r="C807" s="184"/>
      <c r="D807" s="185"/>
      <c r="E807" s="185">
        <f>Quantitativos!BU37</f>
        <v>162.4523830953656</v>
      </c>
      <c r="F807" s="185"/>
      <c r="G807" s="185"/>
      <c r="H807" s="185"/>
      <c r="I807" s="185"/>
      <c r="J807" s="185"/>
      <c r="K807" s="185"/>
      <c r="L807" s="185"/>
      <c r="M807" s="185"/>
      <c r="N807" s="185"/>
      <c r="O807" s="185"/>
      <c r="P807" s="169"/>
      <c r="Q807" s="169"/>
    </row>
    <row r="808" spans="1:17" s="170" customFormat="1" ht="10.5" x14ac:dyDescent="0.25">
      <c r="A808" s="175"/>
      <c r="B808" s="176"/>
      <c r="C808" s="184"/>
      <c r="D808" s="185"/>
      <c r="E808" s="185"/>
      <c r="F808" s="185"/>
      <c r="G808" s="185"/>
      <c r="H808" s="185"/>
      <c r="I808" s="185"/>
      <c r="J808" s="185"/>
      <c r="K808" s="185"/>
      <c r="L808" s="185"/>
      <c r="M808" s="185"/>
      <c r="N808" s="185"/>
      <c r="O808" s="185"/>
      <c r="P808" s="179"/>
      <c r="Q808" s="169"/>
    </row>
    <row r="809" spans="1:17" s="170" customFormat="1" ht="10.5" x14ac:dyDescent="0.25">
      <c r="A809" s="175"/>
      <c r="B809" s="181" t="s">
        <v>5</v>
      </c>
      <c r="C809" s="182" t="s">
        <v>1328</v>
      </c>
      <c r="D809" s="182"/>
      <c r="E809" s="182">
        <f>SUM(E807:E808)</f>
        <v>162.4523830953656</v>
      </c>
      <c r="F809" s="182"/>
      <c r="G809" s="182"/>
      <c r="H809" s="182"/>
      <c r="I809" s="182"/>
      <c r="J809" s="182"/>
      <c r="K809" s="182"/>
      <c r="L809" s="182"/>
      <c r="M809" s="182"/>
      <c r="N809" s="182"/>
      <c r="O809" s="182"/>
      <c r="P809" s="183"/>
      <c r="Q809" s="169"/>
    </row>
    <row r="810" spans="1:17" s="174" customFormat="1" ht="52.5" x14ac:dyDescent="0.25">
      <c r="A810" s="171" t="str">
        <f>ORÇAMENTO!A185</f>
        <v>4.1.2.4.18</v>
      </c>
      <c r="B810" s="172" t="str">
        <f>VLOOKUP(A810,ORÇAMENTO!A:K,4,0)</f>
        <v>ASSENTAMENTO DE TUBO DE CONCRETO PARA REDES COLETORAS DE ÁGUAS PLUVIAIS, DIÂMETRO DE 800 MM, JUNTA RÍGIDA, INSTALADO EM LOCAL COM ALTO NÍVEL DE INTERFERÊNCIAS (NÃO INCLUI FORNECIMENTO). AF_03/2024</v>
      </c>
      <c r="C810" s="173" t="str">
        <f>VLOOKUP(A810,ORÇAMENTO!A:K,5,0)</f>
        <v>M</v>
      </c>
      <c r="D810" s="173">
        <f>SUM(E813:O813)</f>
        <v>72.999999999392372</v>
      </c>
      <c r="E810" s="173" t="s">
        <v>1718</v>
      </c>
      <c r="F810" s="173" t="s">
        <v>1719</v>
      </c>
      <c r="G810" s="173" t="s">
        <v>1720</v>
      </c>
      <c r="H810" s="173" t="s">
        <v>1721</v>
      </c>
      <c r="I810" s="173" t="s">
        <v>1722</v>
      </c>
      <c r="J810" s="173" t="s">
        <v>1723</v>
      </c>
      <c r="K810" s="173" t="s">
        <v>1724</v>
      </c>
      <c r="L810" s="173" t="s">
        <v>1753</v>
      </c>
      <c r="M810" s="173" t="s">
        <v>1730</v>
      </c>
      <c r="N810" s="173" t="s">
        <v>1727</v>
      </c>
      <c r="O810" s="173" t="s">
        <v>1728</v>
      </c>
      <c r="P810" s="169"/>
      <c r="Q810" s="169"/>
    </row>
    <row r="811" spans="1:17" s="170" customFormat="1" ht="10.5" x14ac:dyDescent="0.25">
      <c r="A811" s="175"/>
      <c r="B811" s="181"/>
      <c r="C811" s="184"/>
      <c r="D811" s="185"/>
      <c r="E811" s="185">
        <f>Quantitativos!BY37</f>
        <v>72.999999999392372</v>
      </c>
      <c r="F811" s="185"/>
      <c r="G811" s="185"/>
      <c r="H811" s="185"/>
      <c r="I811" s="185"/>
      <c r="J811" s="185"/>
      <c r="K811" s="185"/>
      <c r="L811" s="185"/>
      <c r="M811" s="185"/>
      <c r="N811" s="185"/>
      <c r="O811" s="185"/>
      <c r="P811" s="169"/>
      <c r="Q811" s="169"/>
    </row>
    <row r="812" spans="1:17" s="170" customFormat="1" ht="10.5" x14ac:dyDescent="0.25">
      <c r="A812" s="175"/>
      <c r="B812" s="176"/>
      <c r="C812" s="184"/>
      <c r="D812" s="185"/>
      <c r="E812" s="185"/>
      <c r="F812" s="185"/>
      <c r="G812" s="185"/>
      <c r="H812" s="185"/>
      <c r="I812" s="185"/>
      <c r="J812" s="185"/>
      <c r="K812" s="185"/>
      <c r="L812" s="185"/>
      <c r="M812" s="185"/>
      <c r="N812" s="185"/>
      <c r="O812" s="185"/>
      <c r="P812" s="179"/>
      <c r="Q812" s="169"/>
    </row>
    <row r="813" spans="1:17" s="170" customFormat="1" ht="10.5" x14ac:dyDescent="0.25">
      <c r="A813" s="175"/>
      <c r="B813" s="181" t="s">
        <v>5</v>
      </c>
      <c r="C813" s="182" t="s">
        <v>1328</v>
      </c>
      <c r="D813" s="182"/>
      <c r="E813" s="182">
        <f>SUM(E811:E812)</f>
        <v>72.999999999392372</v>
      </c>
      <c r="F813" s="182"/>
      <c r="G813" s="182"/>
      <c r="H813" s="182"/>
      <c r="I813" s="182"/>
      <c r="J813" s="182"/>
      <c r="K813" s="182"/>
      <c r="L813" s="182"/>
      <c r="M813" s="182"/>
      <c r="N813" s="182"/>
      <c r="O813" s="182"/>
      <c r="P813" s="183"/>
      <c r="Q813" s="169"/>
    </row>
    <row r="814" spans="1:17" s="174" customFormat="1" ht="52.5" x14ac:dyDescent="0.25">
      <c r="A814" s="171" t="str">
        <f>ORÇAMENTO!A186</f>
        <v>4.1.2.4.19</v>
      </c>
      <c r="B814" s="172" t="str">
        <f>VLOOKUP(A814,ORÇAMENTO!A:K,4,0)</f>
        <v>ASSENTAMENTO DE TUBO DE CONCRETO PARA REDES COLETORAS DE ÁGUAS PLUVIAIS, DIÂMETRO DE 1000 MM, JUNTA RÍGIDA, INSTALADO EM LOCAL COM ALTO NÍVEL DE INTERFERÊNCIAS (NÃO INCLUI FORNECIMENTO). AF_03/2024</v>
      </c>
      <c r="C814" s="173" t="str">
        <f>VLOOKUP(A814,ORÇAMENTO!A:K,5,0)</f>
        <v>M</v>
      </c>
      <c r="D814" s="173">
        <f>SUM(E817:O817)</f>
        <v>181.50284289184066</v>
      </c>
      <c r="E814" s="173" t="s">
        <v>1718</v>
      </c>
      <c r="F814" s="173" t="s">
        <v>1719</v>
      </c>
      <c r="G814" s="173" t="s">
        <v>1720</v>
      </c>
      <c r="H814" s="173" t="s">
        <v>1721</v>
      </c>
      <c r="I814" s="173" t="s">
        <v>1722</v>
      </c>
      <c r="J814" s="173" t="s">
        <v>1723</v>
      </c>
      <c r="K814" s="173" t="s">
        <v>1724</v>
      </c>
      <c r="L814" s="173" t="s">
        <v>1753</v>
      </c>
      <c r="M814" s="173" t="s">
        <v>1730</v>
      </c>
      <c r="N814" s="173" t="s">
        <v>1727</v>
      </c>
      <c r="O814" s="173" t="s">
        <v>1728</v>
      </c>
      <c r="P814" s="169"/>
      <c r="Q814" s="169"/>
    </row>
    <row r="815" spans="1:17" s="170" customFormat="1" ht="10.5" x14ac:dyDescent="0.25">
      <c r="A815" s="175"/>
      <c r="B815" s="181"/>
      <c r="C815" s="184"/>
      <c r="D815" s="185"/>
      <c r="E815" s="185">
        <f>Quantitativos!CC37</f>
        <v>181.50284289184066</v>
      </c>
      <c r="F815" s="185"/>
      <c r="G815" s="185"/>
      <c r="H815" s="185"/>
      <c r="I815" s="185"/>
      <c r="J815" s="185"/>
      <c r="K815" s="185"/>
      <c r="L815" s="185"/>
      <c r="M815" s="185"/>
      <c r="N815" s="185"/>
      <c r="O815" s="185"/>
      <c r="P815" s="169"/>
      <c r="Q815" s="169"/>
    </row>
    <row r="816" spans="1:17" s="170" customFormat="1" ht="10.5" x14ac:dyDescent="0.25">
      <c r="A816" s="175"/>
      <c r="B816" s="176"/>
      <c r="C816" s="184"/>
      <c r="D816" s="185"/>
      <c r="E816" s="185"/>
      <c r="F816" s="185"/>
      <c r="G816" s="185"/>
      <c r="H816" s="185"/>
      <c r="I816" s="185"/>
      <c r="J816" s="185"/>
      <c r="K816" s="185"/>
      <c r="L816" s="185"/>
      <c r="M816" s="185"/>
      <c r="N816" s="185"/>
      <c r="O816" s="185"/>
      <c r="P816" s="179"/>
      <c r="Q816" s="169"/>
    </row>
    <row r="817" spans="1:17" s="170" customFormat="1" ht="10.5" x14ac:dyDescent="0.25">
      <c r="A817" s="175"/>
      <c r="B817" s="181" t="s">
        <v>5</v>
      </c>
      <c r="C817" s="182" t="s">
        <v>1328</v>
      </c>
      <c r="D817" s="182"/>
      <c r="E817" s="182">
        <f>SUM(E815:E816)</f>
        <v>181.50284289184066</v>
      </c>
      <c r="F817" s="182"/>
      <c r="G817" s="182"/>
      <c r="H817" s="182"/>
      <c r="I817" s="182"/>
      <c r="J817" s="182"/>
      <c r="K817" s="182"/>
      <c r="L817" s="182"/>
      <c r="M817" s="182"/>
      <c r="N817" s="182"/>
      <c r="O817" s="182"/>
      <c r="P817" s="183"/>
      <c r="Q817" s="169"/>
    </row>
    <row r="818" spans="1:17" s="174" customFormat="1" ht="52.5" x14ac:dyDescent="0.25">
      <c r="A818" s="171" t="str">
        <f>ORÇAMENTO!A187</f>
        <v>4.1.2.4.20</v>
      </c>
      <c r="B818" s="172" t="str">
        <f>VLOOKUP(A818,ORÇAMENTO!A:K,4,0)</f>
        <v>ASSENTAMENTO DE TUBO DE CONCRETO PARA REDES COLETORAS DE ÁGUAS PLUVIAIS, DIÂMETRO DE 1200 MM, JUNTA RÍGIDA, INSTALADO EM LOCAL COM ALTO NÍVEL DE INTERFERÊNCIAS (NÃO INCLUI FORNECIMENTO). AF_03/2024</v>
      </c>
      <c r="C818" s="173" t="str">
        <f>VLOOKUP(A818,ORÇAMENTO!A:K,5,0)</f>
        <v>M</v>
      </c>
      <c r="D818" s="173">
        <f>SUM(E821:O821)</f>
        <v>34.998887036138747</v>
      </c>
      <c r="E818" s="173" t="s">
        <v>1718</v>
      </c>
      <c r="F818" s="173" t="s">
        <v>1719</v>
      </c>
      <c r="G818" s="173" t="s">
        <v>1720</v>
      </c>
      <c r="H818" s="173" t="s">
        <v>1721</v>
      </c>
      <c r="I818" s="173" t="s">
        <v>1722</v>
      </c>
      <c r="J818" s="173" t="s">
        <v>1723</v>
      </c>
      <c r="K818" s="173" t="s">
        <v>1724</v>
      </c>
      <c r="L818" s="173" t="s">
        <v>1753</v>
      </c>
      <c r="M818" s="173" t="s">
        <v>1730</v>
      </c>
      <c r="N818" s="173" t="s">
        <v>1727</v>
      </c>
      <c r="O818" s="173" t="s">
        <v>1728</v>
      </c>
      <c r="P818" s="169"/>
      <c r="Q818" s="169"/>
    </row>
    <row r="819" spans="1:17" s="170" customFormat="1" ht="10.5" x14ac:dyDescent="0.25">
      <c r="A819" s="175"/>
      <c r="B819" s="181"/>
      <c r="C819" s="184"/>
      <c r="D819" s="185"/>
      <c r="E819" s="185">
        <f>Quantitativos!CG37</f>
        <v>34.998887036138747</v>
      </c>
      <c r="F819" s="185"/>
      <c r="G819" s="185"/>
      <c r="H819" s="185"/>
      <c r="I819" s="185"/>
      <c r="J819" s="185"/>
      <c r="K819" s="185"/>
      <c r="L819" s="185"/>
      <c r="M819" s="185"/>
      <c r="N819" s="185"/>
      <c r="O819" s="185"/>
      <c r="P819" s="169"/>
      <c r="Q819" s="169"/>
    </row>
    <row r="820" spans="1:17" s="170" customFormat="1" ht="10.5" x14ac:dyDescent="0.25">
      <c r="A820" s="175"/>
      <c r="B820" s="176"/>
      <c r="C820" s="184"/>
      <c r="D820" s="185"/>
      <c r="E820" s="185"/>
      <c r="F820" s="185"/>
      <c r="G820" s="185"/>
      <c r="H820" s="185"/>
      <c r="I820" s="185"/>
      <c r="J820" s="185"/>
      <c r="K820" s="185"/>
      <c r="L820" s="185"/>
      <c r="M820" s="185"/>
      <c r="N820" s="185"/>
      <c r="O820" s="185"/>
      <c r="P820" s="179"/>
      <c r="Q820" s="169"/>
    </row>
    <row r="821" spans="1:17" s="170" customFormat="1" ht="10.5" x14ac:dyDescent="0.25">
      <c r="A821" s="175"/>
      <c r="B821" s="181" t="s">
        <v>5</v>
      </c>
      <c r="C821" s="182" t="s">
        <v>1328</v>
      </c>
      <c r="D821" s="182"/>
      <c r="E821" s="182">
        <f>SUM(E819:E820)</f>
        <v>34.998887036138747</v>
      </c>
      <c r="F821" s="182"/>
      <c r="G821" s="182"/>
      <c r="H821" s="182"/>
      <c r="I821" s="182"/>
      <c r="J821" s="182"/>
      <c r="K821" s="182"/>
      <c r="L821" s="182"/>
      <c r="M821" s="182"/>
      <c r="N821" s="182"/>
      <c r="O821" s="182"/>
      <c r="P821" s="183"/>
      <c r="Q821" s="169"/>
    </row>
    <row r="822" spans="1:17" s="174" customFormat="1" ht="52.5" x14ac:dyDescent="0.25">
      <c r="A822" s="171" t="str">
        <f>ORÇAMENTO!A188</f>
        <v>4.1.2.4.21</v>
      </c>
      <c r="B822" s="172" t="str">
        <f>VLOOKUP(A822,ORÇAMENTO!A:K,4,0)</f>
        <v>ASSENTAMENTO DE TUBO DE CONCRETO PARA REDES COLETORAS DE ÁGUAS PLUVIAIS, DIÂMETRO DE 1500 MM, JUNTA RÍGIDA, INSTALADO EM LOCAL COM ALTO NÍVEL DE INTERFERÊNCIAS (NÃO INCLUI FORNECIMENTO). AF_03/2024</v>
      </c>
      <c r="C822" s="173" t="str">
        <f>VLOOKUP(A822,ORÇAMENTO!A:K,5,0)</f>
        <v>M</v>
      </c>
      <c r="D822" s="173">
        <f>SUM(E825:O825)</f>
        <v>488.31018738243068</v>
      </c>
      <c r="E822" s="173" t="s">
        <v>1718</v>
      </c>
      <c r="F822" s="173" t="s">
        <v>1719</v>
      </c>
      <c r="G822" s="173" t="s">
        <v>1720</v>
      </c>
      <c r="H822" s="173" t="s">
        <v>1721</v>
      </c>
      <c r="I822" s="173" t="s">
        <v>1722</v>
      </c>
      <c r="J822" s="173" t="s">
        <v>1723</v>
      </c>
      <c r="K822" s="173" t="s">
        <v>1724</v>
      </c>
      <c r="L822" s="173" t="s">
        <v>1753</v>
      </c>
      <c r="M822" s="173" t="s">
        <v>1730</v>
      </c>
      <c r="N822" s="173" t="s">
        <v>1727</v>
      </c>
      <c r="O822" s="173" t="s">
        <v>1728</v>
      </c>
      <c r="P822" s="169"/>
      <c r="Q822" s="169"/>
    </row>
    <row r="823" spans="1:17" s="170" customFormat="1" ht="10.5" x14ac:dyDescent="0.25">
      <c r="A823" s="175"/>
      <c r="B823" s="181"/>
      <c r="C823" s="184"/>
      <c r="D823" s="185"/>
      <c r="E823" s="185">
        <f>Quantitativos!CK37</f>
        <v>488.31018738243068</v>
      </c>
      <c r="F823" s="185"/>
      <c r="G823" s="185"/>
      <c r="H823" s="185"/>
      <c r="I823" s="185"/>
      <c r="J823" s="185"/>
      <c r="K823" s="185"/>
      <c r="L823" s="185"/>
      <c r="M823" s="185"/>
      <c r="N823" s="185"/>
      <c r="O823" s="185"/>
      <c r="P823" s="169"/>
      <c r="Q823" s="169"/>
    </row>
    <row r="824" spans="1:17" s="170" customFormat="1" ht="10.5" x14ac:dyDescent="0.25">
      <c r="A824" s="175"/>
      <c r="B824" s="176"/>
      <c r="C824" s="184"/>
      <c r="D824" s="185"/>
      <c r="E824" s="185"/>
      <c r="F824" s="185"/>
      <c r="G824" s="185"/>
      <c r="H824" s="185"/>
      <c r="I824" s="185"/>
      <c r="J824" s="185"/>
      <c r="K824" s="185"/>
      <c r="L824" s="185"/>
      <c r="M824" s="185"/>
      <c r="N824" s="185"/>
      <c r="O824" s="185"/>
      <c r="P824" s="179"/>
      <c r="Q824" s="169"/>
    </row>
    <row r="825" spans="1:17" s="170" customFormat="1" ht="10.5" x14ac:dyDescent="0.25">
      <c r="A825" s="175"/>
      <c r="B825" s="181" t="s">
        <v>5</v>
      </c>
      <c r="C825" s="182" t="s">
        <v>1328</v>
      </c>
      <c r="D825" s="182"/>
      <c r="E825" s="182">
        <f>SUM(E823:E824)</f>
        <v>488.31018738243068</v>
      </c>
      <c r="F825" s="182"/>
      <c r="G825" s="182"/>
      <c r="H825" s="182"/>
      <c r="I825" s="182"/>
      <c r="J825" s="182"/>
      <c r="K825" s="182"/>
      <c r="L825" s="182"/>
      <c r="M825" s="182"/>
      <c r="N825" s="182"/>
      <c r="O825" s="182"/>
      <c r="P825" s="183"/>
      <c r="Q825" s="169"/>
    </row>
    <row r="826" spans="1:17" s="174" customFormat="1" ht="10.5" x14ac:dyDescent="0.25">
      <c r="A826" s="171" t="str">
        <f>ORÇAMENTO!A189</f>
        <v>4.1.2.5</v>
      </c>
      <c r="B826" s="172" t="str">
        <f>VLOOKUP(A826,ORÇAMENTO!A:K,4,0)</f>
        <v>FORNECIMENTO DE TUBOS</v>
      </c>
      <c r="C826" s="173"/>
      <c r="D826" s="173"/>
      <c r="E826" s="173"/>
      <c r="F826" s="173"/>
      <c r="G826" s="173"/>
      <c r="H826" s="173"/>
      <c r="I826" s="173"/>
      <c r="J826" s="173"/>
      <c r="K826" s="173"/>
      <c r="L826" s="173"/>
      <c r="M826" s="173"/>
      <c r="N826" s="173"/>
      <c r="O826" s="173"/>
      <c r="P826" s="169"/>
      <c r="Q826" s="169"/>
    </row>
    <row r="827" spans="1:17" s="174" customFormat="1" ht="42" x14ac:dyDescent="0.25">
      <c r="A827" s="171" t="str">
        <f>ORÇAMENTO!A190</f>
        <v>4.1.2.5.1</v>
      </c>
      <c r="B827" s="172" t="str">
        <f>VLOOKUP(A827,ORÇAMENTO!A:K,4,0)</f>
        <v>TRANSPORTE COM CAMINHÃO CARROCERIA COM GUINDAUTO (MUNCK),  MOMENTO MÁXIMO DE CARGA 11,7 TM, EM VIA URBANA PAVIMENTADA, DMT ATÉ 30KM (UNIDADE: TXKM). AF_07/2020</v>
      </c>
      <c r="C827" s="173" t="str">
        <f>VLOOKUP(A827,ORÇAMENTO!A:K,5,0)</f>
        <v>TXKM</v>
      </c>
      <c r="D827" s="173">
        <f>SUM(E830:O830)</f>
        <v>48212.903970230022</v>
      </c>
      <c r="E827" s="173" t="s">
        <v>1749</v>
      </c>
      <c r="F827" s="173" t="s">
        <v>1719</v>
      </c>
      <c r="G827" s="173" t="s">
        <v>1720</v>
      </c>
      <c r="H827" s="173" t="s">
        <v>1721</v>
      </c>
      <c r="I827" s="173" t="s">
        <v>1722</v>
      </c>
      <c r="J827" s="173" t="s">
        <v>1723</v>
      </c>
      <c r="K827" s="173" t="s">
        <v>1746</v>
      </c>
      <c r="L827" s="173" t="s">
        <v>1799</v>
      </c>
      <c r="M827" s="173" t="s">
        <v>1730</v>
      </c>
      <c r="N827" s="173" t="s">
        <v>1727</v>
      </c>
      <c r="O827" s="173" t="s">
        <v>1728</v>
      </c>
      <c r="P827" s="169"/>
      <c r="Q827" s="169"/>
    </row>
    <row r="828" spans="1:17" s="170" customFormat="1" ht="21" x14ac:dyDescent="0.25">
      <c r="A828" s="175"/>
      <c r="B828" s="181" t="s">
        <v>1800</v>
      </c>
      <c r="C828" s="184"/>
      <c r="D828" s="185"/>
      <c r="E828" s="185">
        <v>40</v>
      </c>
      <c r="F828" s="185"/>
      <c r="G828" s="185"/>
      <c r="H828" s="185"/>
      <c r="I828" s="185"/>
      <c r="J828" s="185"/>
      <c r="K828" s="185">
        <f>K834+K846+K858+K870+K882</f>
        <v>1205.3225992557504</v>
      </c>
      <c r="L828" s="185"/>
      <c r="M828" s="185">
        <f>K828*E828</f>
        <v>48212.903970230022</v>
      </c>
      <c r="N828" s="185"/>
      <c r="O828" s="185"/>
      <c r="P828" s="169"/>
      <c r="Q828" s="169"/>
    </row>
    <row r="829" spans="1:17" s="170" customFormat="1" ht="10.5" x14ac:dyDescent="0.25">
      <c r="A829" s="175"/>
      <c r="B829" s="176"/>
      <c r="C829" s="184"/>
      <c r="D829" s="185"/>
      <c r="E829" s="185"/>
      <c r="F829" s="185"/>
      <c r="G829" s="185"/>
      <c r="H829" s="185"/>
      <c r="I829" s="185"/>
      <c r="J829" s="185"/>
      <c r="K829" s="185"/>
      <c r="L829" s="185"/>
      <c r="M829" s="185"/>
      <c r="N829" s="185"/>
      <c r="O829" s="185"/>
      <c r="P829" s="179"/>
      <c r="Q829" s="169"/>
    </row>
    <row r="830" spans="1:17" s="170" customFormat="1" ht="10.5" x14ac:dyDescent="0.25">
      <c r="A830" s="175"/>
      <c r="B830" s="181" t="s">
        <v>5</v>
      </c>
      <c r="C830" s="182" t="s">
        <v>1328</v>
      </c>
      <c r="D830" s="182"/>
      <c r="E830" s="182"/>
      <c r="F830" s="182"/>
      <c r="G830" s="182"/>
      <c r="H830" s="182"/>
      <c r="I830" s="182"/>
      <c r="J830" s="182"/>
      <c r="K830" s="182"/>
      <c r="L830" s="182"/>
      <c r="M830" s="182">
        <f>SUM(M828:M829)</f>
        <v>48212.903970230022</v>
      </c>
      <c r="N830" s="182"/>
      <c r="O830" s="182">
        <f>SUM(O829:O829)</f>
        <v>0</v>
      </c>
      <c r="P830" s="183"/>
      <c r="Q830" s="169"/>
    </row>
    <row r="831" spans="1:17" s="174" customFormat="1" ht="42" x14ac:dyDescent="0.25">
      <c r="A831" s="171" t="str">
        <f>ORÇAMENTO!A191</f>
        <v>4.1.2.5.2</v>
      </c>
      <c r="B831" s="172" t="str">
        <f>VLOOKUP(A831,ORÇAMENTO!A:K,4,0)</f>
        <v>CARGA, MANOBRA E DESCARGA DE TUBOS DE CONCRETO, DN 600 MM, EM CAMINHÃO CARROCERIA COM GUINDAUTO (MUNCK) 11,7 TM. AF_07/2020</v>
      </c>
      <c r="C831" s="173" t="str">
        <f>VLOOKUP(A831,ORÇAMENTO!A:K,5,0)</f>
        <v>T</v>
      </c>
      <c r="D831" s="173">
        <f>SUM(E834:O834)</f>
        <v>71.479048561960866</v>
      </c>
      <c r="E831" s="173" t="s">
        <v>1718</v>
      </c>
      <c r="F831" s="173" t="s">
        <v>1719</v>
      </c>
      <c r="G831" s="173" t="s">
        <v>1720</v>
      </c>
      <c r="H831" s="173" t="s">
        <v>1721</v>
      </c>
      <c r="I831" s="173" t="s">
        <v>1722</v>
      </c>
      <c r="J831" s="173" t="s">
        <v>1723</v>
      </c>
      <c r="K831" s="173" t="s">
        <v>1746</v>
      </c>
      <c r="L831" s="173" t="s">
        <v>1799</v>
      </c>
      <c r="M831" s="173" t="s">
        <v>1730</v>
      </c>
      <c r="N831" s="173" t="s">
        <v>1727</v>
      </c>
      <c r="O831" s="173" t="s">
        <v>1728</v>
      </c>
      <c r="P831" s="169"/>
      <c r="Q831" s="169"/>
    </row>
    <row r="832" spans="1:17" s="170" customFormat="1" ht="31.5" x14ac:dyDescent="0.25">
      <c r="A832" s="175"/>
      <c r="B832" s="181" t="s">
        <v>1801</v>
      </c>
      <c r="C832" s="184"/>
      <c r="D832" s="185"/>
      <c r="E832" s="185">
        <f>E836</f>
        <v>162.4523830953656</v>
      </c>
      <c r="F832" s="185"/>
      <c r="G832" s="185"/>
      <c r="H832" s="185"/>
      <c r="I832" s="185"/>
      <c r="J832" s="185"/>
      <c r="K832" s="185">
        <f>L832*E832</f>
        <v>71.479048561960866</v>
      </c>
      <c r="L832" s="185">
        <v>0.44</v>
      </c>
      <c r="M832" s="185"/>
      <c r="N832" s="185"/>
      <c r="O832" s="185"/>
      <c r="P832" s="169"/>
      <c r="Q832" s="169"/>
    </row>
    <row r="833" spans="1:17" s="170" customFormat="1" ht="10.5" x14ac:dyDescent="0.25">
      <c r="A833" s="175"/>
      <c r="B833" s="176"/>
      <c r="C833" s="184"/>
      <c r="D833" s="185"/>
      <c r="E833" s="185"/>
      <c r="F833" s="185"/>
      <c r="G833" s="185"/>
      <c r="H833" s="185"/>
      <c r="I833" s="185"/>
      <c r="J833" s="185"/>
      <c r="K833" s="185"/>
      <c r="L833" s="185"/>
      <c r="M833" s="185"/>
      <c r="N833" s="185"/>
      <c r="O833" s="185"/>
      <c r="P833" s="179"/>
      <c r="Q833" s="169"/>
    </row>
    <row r="834" spans="1:17" s="170" customFormat="1" ht="10.5" x14ac:dyDescent="0.25">
      <c r="A834" s="175"/>
      <c r="B834" s="181" t="s">
        <v>5</v>
      </c>
      <c r="C834" s="182" t="s">
        <v>1328</v>
      </c>
      <c r="D834" s="182"/>
      <c r="E834" s="182"/>
      <c r="F834" s="182"/>
      <c r="G834" s="182"/>
      <c r="H834" s="182"/>
      <c r="I834" s="182"/>
      <c r="J834" s="182"/>
      <c r="K834" s="182">
        <f>SUM(K832:K833)</f>
        <v>71.479048561960866</v>
      </c>
      <c r="L834" s="182"/>
      <c r="M834" s="182"/>
      <c r="N834" s="182"/>
      <c r="O834" s="182">
        <f>SUM(O833:O833)</f>
        <v>0</v>
      </c>
      <c r="P834" s="183"/>
      <c r="Q834" s="169"/>
    </row>
    <row r="835" spans="1:17" s="174" customFormat="1" ht="31.5" x14ac:dyDescent="0.25">
      <c r="A835" s="171" t="str">
        <f>ORÇAMENTO!A192</f>
        <v>4.1.2.5.3</v>
      </c>
      <c r="B835" s="172" t="str">
        <f>VLOOKUP(A835,ORÇAMENTO!A:K,4,0)</f>
        <v>TUBO DE CONCRETO ARMADO PARA AGUAS PLUVIAIS, CLASSE PA-1, COM ENCAIXE PONTA E BOLSA, DIAMETRO NOMINAL DE = 600 MM</v>
      </c>
      <c r="C835" s="173" t="str">
        <f>VLOOKUP(A835,ORÇAMENTO!A:K,5,0)</f>
        <v>M</v>
      </c>
      <c r="D835" s="173">
        <f>SUM(E838:O838)</f>
        <v>162.4523830953656</v>
      </c>
      <c r="E835" s="173" t="s">
        <v>1718</v>
      </c>
      <c r="F835" s="173" t="s">
        <v>1719</v>
      </c>
      <c r="G835" s="173" t="s">
        <v>1720</v>
      </c>
      <c r="H835" s="173" t="s">
        <v>1721</v>
      </c>
      <c r="I835" s="173" t="s">
        <v>1722</v>
      </c>
      <c r="J835" s="173" t="s">
        <v>1723</v>
      </c>
      <c r="K835" s="173" t="s">
        <v>1746</v>
      </c>
      <c r="L835" s="173" t="s">
        <v>1799</v>
      </c>
      <c r="M835" s="173" t="s">
        <v>1730</v>
      </c>
      <c r="N835" s="173" t="s">
        <v>1727</v>
      </c>
      <c r="O835" s="173" t="s">
        <v>1728</v>
      </c>
      <c r="P835" s="169"/>
      <c r="Q835" s="169"/>
    </row>
    <row r="836" spans="1:17" s="170" customFormat="1" ht="10.5" x14ac:dyDescent="0.25">
      <c r="A836" s="175"/>
      <c r="B836" s="181"/>
      <c r="C836" s="177"/>
      <c r="D836" s="178"/>
      <c r="E836" s="178">
        <f>Quantitativos!BU35</f>
        <v>162.4523830953656</v>
      </c>
      <c r="F836" s="178"/>
      <c r="G836" s="178"/>
      <c r="H836" s="178"/>
      <c r="I836" s="178"/>
      <c r="J836" s="178"/>
      <c r="K836" s="178">
        <f>K850+K862+K874+K886</f>
        <v>0</v>
      </c>
      <c r="L836" s="178"/>
      <c r="M836" s="178">
        <f>K836*E836</f>
        <v>0</v>
      </c>
      <c r="N836" s="178"/>
      <c r="O836" s="178"/>
      <c r="P836" s="169"/>
      <c r="Q836" s="169"/>
    </row>
    <row r="837" spans="1:17" s="170" customFormat="1" ht="10.5" x14ac:dyDescent="0.25">
      <c r="A837" s="175"/>
      <c r="B837" s="176"/>
      <c r="C837" s="177"/>
      <c r="D837" s="178"/>
      <c r="E837" s="178"/>
      <c r="F837" s="178"/>
      <c r="G837" s="178"/>
      <c r="H837" s="178"/>
      <c r="I837" s="178"/>
      <c r="J837" s="178"/>
      <c r="K837" s="178"/>
      <c r="L837" s="178"/>
      <c r="M837" s="178"/>
      <c r="N837" s="178"/>
      <c r="O837" s="178"/>
      <c r="P837" s="179"/>
      <c r="Q837" s="169"/>
    </row>
    <row r="838" spans="1:17" s="170" customFormat="1" ht="10.5" x14ac:dyDescent="0.25">
      <c r="A838" s="175"/>
      <c r="B838" s="181" t="s">
        <v>5</v>
      </c>
      <c r="C838" s="182" t="s">
        <v>1328</v>
      </c>
      <c r="D838" s="182"/>
      <c r="E838" s="182">
        <f>SUM(E836:E837)</f>
        <v>162.4523830953656</v>
      </c>
      <c r="F838" s="182"/>
      <c r="G838" s="182"/>
      <c r="H838" s="182"/>
      <c r="I838" s="182"/>
      <c r="J838" s="182"/>
      <c r="K838" s="182"/>
      <c r="L838" s="182"/>
      <c r="M838" s="182">
        <f>SUM(M836:M837)</f>
        <v>0</v>
      </c>
      <c r="N838" s="182"/>
      <c r="O838" s="182">
        <f>SUM(O837:O837)</f>
        <v>0</v>
      </c>
      <c r="P838" s="183"/>
      <c r="Q838" s="169"/>
    </row>
    <row r="839" spans="1:17" s="174" customFormat="1" ht="31.5" x14ac:dyDescent="0.25">
      <c r="A839" s="171"/>
      <c r="B839" s="172" t="s">
        <v>1802</v>
      </c>
      <c r="C839" s="173" t="s">
        <v>194</v>
      </c>
      <c r="D839" s="173">
        <f>SUM(E842:O842)</f>
        <v>0</v>
      </c>
      <c r="E839" s="173" t="s">
        <v>1718</v>
      </c>
      <c r="F839" s="173" t="s">
        <v>1719</v>
      </c>
      <c r="G839" s="173" t="s">
        <v>1720</v>
      </c>
      <c r="H839" s="173" t="s">
        <v>1721</v>
      </c>
      <c r="I839" s="173" t="s">
        <v>1722</v>
      </c>
      <c r="J839" s="173" t="s">
        <v>1723</v>
      </c>
      <c r="K839" s="173" t="s">
        <v>1746</v>
      </c>
      <c r="L839" s="173" t="s">
        <v>1799</v>
      </c>
      <c r="M839" s="173" t="s">
        <v>1730</v>
      </c>
      <c r="N839" s="173" t="s">
        <v>1727</v>
      </c>
      <c r="O839" s="173" t="s">
        <v>1728</v>
      </c>
      <c r="P839" s="169"/>
      <c r="Q839" s="169"/>
    </row>
    <row r="840" spans="1:17" s="170" customFormat="1" ht="10.5" x14ac:dyDescent="0.25">
      <c r="A840" s="175"/>
      <c r="B840" s="181"/>
      <c r="C840" s="177"/>
      <c r="D840" s="178"/>
      <c r="E840" s="178">
        <f>Quantitativos!BV35</f>
        <v>0</v>
      </c>
      <c r="F840" s="178"/>
      <c r="G840" s="178"/>
      <c r="H840" s="178"/>
      <c r="I840" s="178"/>
      <c r="J840" s="178"/>
      <c r="K840" s="178">
        <f>K854+K866+K882+K890</f>
        <v>859.42592979307801</v>
      </c>
      <c r="L840" s="178"/>
      <c r="M840" s="178">
        <f>K840*E840</f>
        <v>0</v>
      </c>
      <c r="N840" s="178"/>
      <c r="O840" s="178"/>
      <c r="P840" s="169"/>
      <c r="Q840" s="169"/>
    </row>
    <row r="841" spans="1:17" s="170" customFormat="1" ht="10.5" x14ac:dyDescent="0.25">
      <c r="A841" s="175"/>
      <c r="B841" s="176"/>
      <c r="C841" s="177"/>
      <c r="D841" s="178"/>
      <c r="E841" s="178"/>
      <c r="F841" s="178"/>
      <c r="G841" s="178"/>
      <c r="H841" s="178"/>
      <c r="I841" s="178"/>
      <c r="J841" s="178"/>
      <c r="K841" s="178"/>
      <c r="L841" s="178"/>
      <c r="M841" s="178"/>
      <c r="N841" s="178"/>
      <c r="O841" s="178"/>
      <c r="P841" s="179"/>
      <c r="Q841" s="169"/>
    </row>
    <row r="842" spans="1:17" s="170" customFormat="1" ht="10.5" x14ac:dyDescent="0.25">
      <c r="A842" s="175"/>
      <c r="B842" s="181" t="s">
        <v>5</v>
      </c>
      <c r="C842" s="182" t="s">
        <v>1328</v>
      </c>
      <c r="D842" s="182"/>
      <c r="E842" s="182">
        <f>SUM(E840:E841)</f>
        <v>0</v>
      </c>
      <c r="F842" s="182"/>
      <c r="G842" s="182"/>
      <c r="H842" s="182"/>
      <c r="I842" s="182"/>
      <c r="J842" s="182"/>
      <c r="K842" s="182"/>
      <c r="L842" s="182"/>
      <c r="M842" s="182">
        <f>SUM(M840:M841)</f>
        <v>0</v>
      </c>
      <c r="N842" s="182"/>
      <c r="O842" s="182">
        <f>SUM(O841:O841)</f>
        <v>0</v>
      </c>
      <c r="P842" s="183"/>
      <c r="Q842" s="169"/>
    </row>
    <row r="843" spans="1:17" s="174" customFormat="1" ht="42" x14ac:dyDescent="0.25">
      <c r="A843" s="171" t="str">
        <f>ORÇAMENTO!A193</f>
        <v>4.1.2.5.4</v>
      </c>
      <c r="B843" s="172" t="str">
        <f>VLOOKUP(A843,ORÇAMENTO!A:K,4,0)</f>
        <v>CARGA, MANOBRA E DESCARGA DE TUBOS DE CONCRETO, DN 800 MM, EM CAMINHÃO CARROCERIA COM GUINDAUTO (MUNCK) 11,7 TM. AF_07/2020</v>
      </c>
      <c r="C843" s="173" t="str">
        <f>VLOOKUP(A843,ORÇAMENTO!A:K,5,0)</f>
        <v>T</v>
      </c>
      <c r="D843" s="173">
        <f>SUM(E846:O846)</f>
        <v>51.099999999574656</v>
      </c>
      <c r="E843" s="173" t="s">
        <v>1718</v>
      </c>
      <c r="F843" s="173" t="s">
        <v>1719</v>
      </c>
      <c r="G843" s="173" t="s">
        <v>1720</v>
      </c>
      <c r="H843" s="173" t="s">
        <v>1721</v>
      </c>
      <c r="I843" s="173" t="s">
        <v>1722</v>
      </c>
      <c r="J843" s="173" t="s">
        <v>1723</v>
      </c>
      <c r="K843" s="173" t="s">
        <v>1746</v>
      </c>
      <c r="L843" s="173" t="s">
        <v>1799</v>
      </c>
      <c r="M843" s="173" t="s">
        <v>1730</v>
      </c>
      <c r="N843" s="173" t="s">
        <v>1727</v>
      </c>
      <c r="O843" s="173" t="s">
        <v>1728</v>
      </c>
      <c r="P843" s="169"/>
      <c r="Q843" s="169"/>
    </row>
    <row r="844" spans="1:17" s="170" customFormat="1" ht="31.5" x14ac:dyDescent="0.25">
      <c r="A844" s="175"/>
      <c r="B844" s="181" t="s">
        <v>1801</v>
      </c>
      <c r="C844" s="184"/>
      <c r="D844" s="185"/>
      <c r="E844" s="185">
        <f>E848+E852</f>
        <v>72.999999999392372</v>
      </c>
      <c r="F844" s="185"/>
      <c r="G844" s="185"/>
      <c r="H844" s="185"/>
      <c r="I844" s="185"/>
      <c r="J844" s="185"/>
      <c r="K844" s="185">
        <f>L844*E844</f>
        <v>51.099999999574656</v>
      </c>
      <c r="L844" s="185">
        <v>0.7</v>
      </c>
      <c r="M844" s="185"/>
      <c r="N844" s="185"/>
      <c r="O844" s="185"/>
      <c r="P844" s="169"/>
      <c r="Q844" s="169"/>
    </row>
    <row r="845" spans="1:17" s="170" customFormat="1" ht="10.5" x14ac:dyDescent="0.25">
      <c r="A845" s="175"/>
      <c r="B845" s="176"/>
      <c r="C845" s="184"/>
      <c r="D845" s="185"/>
      <c r="E845" s="185"/>
      <c r="F845" s="185"/>
      <c r="G845" s="185"/>
      <c r="H845" s="185"/>
      <c r="I845" s="185"/>
      <c r="J845" s="185"/>
      <c r="K845" s="185"/>
      <c r="L845" s="185"/>
      <c r="M845" s="185"/>
      <c r="N845" s="185"/>
      <c r="O845" s="185"/>
      <c r="P845" s="179"/>
      <c r="Q845" s="169"/>
    </row>
    <row r="846" spans="1:17" s="170" customFormat="1" ht="10.5" x14ac:dyDescent="0.25">
      <c r="A846" s="175"/>
      <c r="B846" s="181" t="s">
        <v>5</v>
      </c>
      <c r="C846" s="182" t="s">
        <v>1328</v>
      </c>
      <c r="D846" s="182"/>
      <c r="E846" s="182"/>
      <c r="F846" s="182"/>
      <c r="G846" s="182"/>
      <c r="H846" s="182"/>
      <c r="I846" s="182"/>
      <c r="J846" s="182"/>
      <c r="K846" s="182">
        <f>SUM(K844:K845)</f>
        <v>51.099999999574656</v>
      </c>
      <c r="L846" s="182"/>
      <c r="M846" s="182"/>
      <c r="N846" s="182"/>
      <c r="O846" s="182"/>
      <c r="P846" s="183"/>
      <c r="Q846" s="169"/>
    </row>
    <row r="847" spans="1:17" s="174" customFormat="1" ht="31.5" x14ac:dyDescent="0.25">
      <c r="A847" s="171"/>
      <c r="B847" s="172" t="s">
        <v>758</v>
      </c>
      <c r="C847" s="173" t="s">
        <v>1803</v>
      </c>
      <c r="D847" s="173">
        <v>0</v>
      </c>
      <c r="E847" s="173" t="s">
        <v>1718</v>
      </c>
      <c r="F847" s="173" t="s">
        <v>1719</v>
      </c>
      <c r="G847" s="173" t="s">
        <v>1720</v>
      </c>
      <c r="H847" s="173" t="s">
        <v>1721</v>
      </c>
      <c r="I847" s="173" t="s">
        <v>1722</v>
      </c>
      <c r="J847" s="173" t="s">
        <v>1723</v>
      </c>
      <c r="K847" s="173" t="s">
        <v>1724</v>
      </c>
      <c r="L847" s="173" t="s">
        <v>1753</v>
      </c>
      <c r="M847" s="173" t="s">
        <v>1730</v>
      </c>
      <c r="N847" s="173" t="s">
        <v>1727</v>
      </c>
      <c r="O847" s="173" t="s">
        <v>1728</v>
      </c>
      <c r="P847" s="169"/>
      <c r="Q847" s="169"/>
    </row>
    <row r="848" spans="1:17" s="170" customFormat="1" ht="10.5" x14ac:dyDescent="0.25">
      <c r="A848" s="175"/>
      <c r="B848" s="181"/>
      <c r="C848" s="184"/>
      <c r="D848" s="185"/>
      <c r="E848" s="185">
        <v>0</v>
      </c>
      <c r="F848" s="185"/>
      <c r="G848" s="185"/>
      <c r="H848" s="185"/>
      <c r="I848" s="185"/>
      <c r="J848" s="185"/>
      <c r="K848" s="185"/>
      <c r="L848" s="185"/>
      <c r="M848" s="185"/>
      <c r="N848" s="185"/>
      <c r="O848" s="185"/>
      <c r="P848" s="169"/>
      <c r="Q848" s="169"/>
    </row>
    <row r="849" spans="1:17" s="170" customFormat="1" ht="10.5" x14ac:dyDescent="0.25">
      <c r="A849" s="175"/>
      <c r="B849" s="176"/>
      <c r="C849" s="184"/>
      <c r="D849" s="185"/>
      <c r="E849" s="185"/>
      <c r="F849" s="185"/>
      <c r="G849" s="185"/>
      <c r="H849" s="185"/>
      <c r="I849" s="185"/>
      <c r="J849" s="185"/>
      <c r="K849" s="185"/>
      <c r="L849" s="185"/>
      <c r="M849" s="185"/>
      <c r="N849" s="185"/>
      <c r="O849" s="185"/>
      <c r="P849" s="179"/>
      <c r="Q849" s="169"/>
    </row>
    <row r="850" spans="1:17" s="170" customFormat="1" ht="10.5" x14ac:dyDescent="0.25">
      <c r="A850" s="175"/>
      <c r="B850" s="181" t="s">
        <v>5</v>
      </c>
      <c r="C850" s="182" t="s">
        <v>1328</v>
      </c>
      <c r="D850" s="182"/>
      <c r="E850" s="182">
        <v>0</v>
      </c>
      <c r="F850" s="182"/>
      <c r="G850" s="182"/>
      <c r="H850" s="182"/>
      <c r="I850" s="182"/>
      <c r="J850" s="182"/>
      <c r="K850" s="182"/>
      <c r="L850" s="182"/>
      <c r="M850" s="182"/>
      <c r="N850" s="182"/>
      <c r="O850" s="182"/>
      <c r="P850" s="183"/>
      <c r="Q850" s="169"/>
    </row>
    <row r="851" spans="1:17" s="174" customFormat="1" ht="31.5" x14ac:dyDescent="0.25">
      <c r="A851" s="171" t="str">
        <f>ORÇAMENTO!A194</f>
        <v>4.1.2.5.5</v>
      </c>
      <c r="B851" s="172" t="str">
        <f>VLOOKUP(A851,ORÇAMENTO!A:K,4,0)</f>
        <v>TUBO DE CONCRETO ARMADO PARA AGUAS PLUVIAIS, CLASSE PA-2, COM ENCAIXE PONTA E BOLSA, DIAMETRO NOMINAL DE 800 MM</v>
      </c>
      <c r="C851" s="173" t="str">
        <f>VLOOKUP(A851,ORÇAMENTO!A:K,5,0)</f>
        <v>M</v>
      </c>
      <c r="D851" s="173">
        <f>SUM(E854:O854)</f>
        <v>72.999999999392372</v>
      </c>
      <c r="E851" s="173" t="s">
        <v>1718</v>
      </c>
      <c r="F851" s="173" t="s">
        <v>1719</v>
      </c>
      <c r="G851" s="173" t="s">
        <v>1720</v>
      </c>
      <c r="H851" s="173" t="s">
        <v>1721</v>
      </c>
      <c r="I851" s="173" t="s">
        <v>1722</v>
      </c>
      <c r="J851" s="173" t="s">
        <v>1723</v>
      </c>
      <c r="K851" s="173" t="s">
        <v>1724</v>
      </c>
      <c r="L851" s="173" t="s">
        <v>1753</v>
      </c>
      <c r="M851" s="173" t="s">
        <v>1730</v>
      </c>
      <c r="N851" s="173" t="s">
        <v>1727</v>
      </c>
      <c r="O851" s="173" t="s">
        <v>1728</v>
      </c>
      <c r="P851" s="169"/>
      <c r="Q851" s="169"/>
    </row>
    <row r="852" spans="1:17" s="170" customFormat="1" ht="10.5" x14ac:dyDescent="0.25">
      <c r="A852" s="175"/>
      <c r="B852" s="181"/>
      <c r="C852" s="184"/>
      <c r="D852" s="185"/>
      <c r="E852" s="185">
        <f>Quantitativos!BZ35</f>
        <v>72.999999999392372</v>
      </c>
      <c r="F852" s="185"/>
      <c r="G852" s="185"/>
      <c r="H852" s="185"/>
      <c r="I852" s="185"/>
      <c r="J852" s="185"/>
      <c r="K852" s="185"/>
      <c r="L852" s="185"/>
      <c r="M852" s="185"/>
      <c r="N852" s="185"/>
      <c r="O852" s="185"/>
      <c r="P852" s="169"/>
      <c r="Q852" s="169"/>
    </row>
    <row r="853" spans="1:17" s="170" customFormat="1" ht="10.5" x14ac:dyDescent="0.25">
      <c r="A853" s="175"/>
      <c r="B853" s="176"/>
      <c r="C853" s="184"/>
      <c r="D853" s="185"/>
      <c r="E853" s="185"/>
      <c r="F853" s="185"/>
      <c r="G853" s="185"/>
      <c r="H853" s="185"/>
      <c r="I853" s="185"/>
      <c r="J853" s="185"/>
      <c r="K853" s="185"/>
      <c r="L853" s="185"/>
      <c r="M853" s="185"/>
      <c r="N853" s="185"/>
      <c r="O853" s="185"/>
      <c r="P853" s="179"/>
      <c r="Q853" s="169"/>
    </row>
    <row r="854" spans="1:17" s="170" customFormat="1" ht="10.5" x14ac:dyDescent="0.25">
      <c r="A854" s="175"/>
      <c r="B854" s="181" t="s">
        <v>5</v>
      </c>
      <c r="C854" s="182" t="s">
        <v>1328</v>
      </c>
      <c r="D854" s="182"/>
      <c r="E854" s="182">
        <f>SUM(E852:E853)</f>
        <v>72.999999999392372</v>
      </c>
      <c r="F854" s="182"/>
      <c r="G854" s="182"/>
      <c r="H854" s="182"/>
      <c r="I854" s="182"/>
      <c r="J854" s="182"/>
      <c r="K854" s="182"/>
      <c r="L854" s="182"/>
      <c r="M854" s="182"/>
      <c r="N854" s="182"/>
      <c r="O854" s="182"/>
      <c r="P854" s="183"/>
      <c r="Q854" s="169"/>
    </row>
    <row r="855" spans="1:17" s="174" customFormat="1" ht="42" x14ac:dyDescent="0.25">
      <c r="A855" s="171" t="str">
        <f>ORÇAMENTO!A195</f>
        <v>4.1.2.5.6</v>
      </c>
      <c r="B855" s="172" t="str">
        <f>VLOOKUP(A855,ORÇAMENTO!A:K,4,0)</f>
        <v>CARGA, MANOBRA E DESCARGA DE TUBOS DE CONCRETO, DN 1000 MM, EM CAMINHÃO CARROCERIA COM GUINDAUTO (MUNCK) 11,7 TM. AF_07/2020</v>
      </c>
      <c r="C855" s="173" t="str">
        <f>VLOOKUP(A855,ORÇAMENTO!A:K,5,0)</f>
        <v>T</v>
      </c>
      <c r="D855" s="173">
        <f>SUM(E858:O858)</f>
        <v>182.71891193921599</v>
      </c>
      <c r="E855" s="173" t="s">
        <v>1718</v>
      </c>
      <c r="F855" s="173" t="s">
        <v>1719</v>
      </c>
      <c r="G855" s="173" t="s">
        <v>1720</v>
      </c>
      <c r="H855" s="173" t="s">
        <v>1721</v>
      </c>
      <c r="I855" s="173" t="s">
        <v>1722</v>
      </c>
      <c r="J855" s="173" t="s">
        <v>1723</v>
      </c>
      <c r="K855" s="173" t="s">
        <v>1746</v>
      </c>
      <c r="L855" s="173" t="s">
        <v>1799</v>
      </c>
      <c r="M855" s="173" t="s">
        <v>1730</v>
      </c>
      <c r="N855" s="173" t="s">
        <v>1727</v>
      </c>
      <c r="O855" s="173" t="s">
        <v>1728</v>
      </c>
      <c r="P855" s="169"/>
      <c r="Q855" s="169"/>
    </row>
    <row r="856" spans="1:17" s="170" customFormat="1" ht="31.5" x14ac:dyDescent="0.25">
      <c r="A856" s="175"/>
      <c r="B856" s="181" t="s">
        <v>1801</v>
      </c>
      <c r="C856" s="184"/>
      <c r="D856" s="185"/>
      <c r="E856" s="185">
        <f>E860+E864</f>
        <v>181.50284289184066</v>
      </c>
      <c r="F856" s="185"/>
      <c r="G856" s="185"/>
      <c r="H856" s="185"/>
      <c r="I856" s="185"/>
      <c r="J856" s="185"/>
      <c r="K856" s="185">
        <f>L856*E856</f>
        <v>182.71891193921599</v>
      </c>
      <c r="L856" s="185">
        <v>1.0066999999999999</v>
      </c>
      <c r="M856" s="185"/>
      <c r="N856" s="185"/>
      <c r="O856" s="185"/>
      <c r="P856" s="169"/>
      <c r="Q856" s="169"/>
    </row>
    <row r="857" spans="1:17" s="170" customFormat="1" ht="10.5" x14ac:dyDescent="0.25">
      <c r="A857" s="175"/>
      <c r="B857" s="176"/>
      <c r="C857" s="184"/>
      <c r="D857" s="185"/>
      <c r="E857" s="185"/>
      <c r="F857" s="185"/>
      <c r="G857" s="185"/>
      <c r="H857" s="185"/>
      <c r="I857" s="185"/>
      <c r="J857" s="185"/>
      <c r="K857" s="185"/>
      <c r="L857" s="185"/>
      <c r="M857" s="185"/>
      <c r="N857" s="185"/>
      <c r="O857" s="185"/>
      <c r="P857" s="179"/>
      <c r="Q857" s="169"/>
    </row>
    <row r="858" spans="1:17" s="170" customFormat="1" ht="10.5" x14ac:dyDescent="0.25">
      <c r="A858" s="175"/>
      <c r="B858" s="181" t="s">
        <v>5</v>
      </c>
      <c r="C858" s="182" t="s">
        <v>1328</v>
      </c>
      <c r="D858" s="182"/>
      <c r="E858" s="182"/>
      <c r="F858" s="182"/>
      <c r="G858" s="182"/>
      <c r="H858" s="182"/>
      <c r="I858" s="182"/>
      <c r="J858" s="182"/>
      <c r="K858" s="182">
        <f>SUM(K856:K857)</f>
        <v>182.71891193921599</v>
      </c>
      <c r="L858" s="182"/>
      <c r="M858" s="182"/>
      <c r="N858" s="182"/>
      <c r="O858" s="182"/>
      <c r="P858" s="183"/>
      <c r="Q858" s="169"/>
    </row>
    <row r="859" spans="1:17" s="174" customFormat="1" ht="31.5" x14ac:dyDescent="0.25">
      <c r="A859" s="171" t="str">
        <f>ORÇAMENTO!A196</f>
        <v>4.1.2.5.7</v>
      </c>
      <c r="B859" s="172" t="str">
        <f>VLOOKUP(A859,ORÇAMENTO!A:K,4,0)</f>
        <v>TUBO DE CONCRETO ARMADO PARA AGUAS PLUVIAIS, CLASSE PA-1, COM ENCAIXE PONTA E BOLSA, DIAMETRO NOMINAL DE 1000 MM</v>
      </c>
      <c r="C859" s="173" t="str">
        <f>VLOOKUP(A859,ORÇAMENTO!A:K,5,0)</f>
        <v>M</v>
      </c>
      <c r="D859" s="173">
        <f>SUM(E862:O862)</f>
        <v>36.499999999964693</v>
      </c>
      <c r="E859" s="173" t="s">
        <v>1718</v>
      </c>
      <c r="F859" s="173" t="s">
        <v>1719</v>
      </c>
      <c r="G859" s="173" t="s">
        <v>1720</v>
      </c>
      <c r="H859" s="173" t="s">
        <v>1721</v>
      </c>
      <c r="I859" s="173" t="s">
        <v>1722</v>
      </c>
      <c r="J859" s="173" t="s">
        <v>1723</v>
      </c>
      <c r="K859" s="173" t="s">
        <v>1724</v>
      </c>
      <c r="L859" s="173" t="s">
        <v>1753</v>
      </c>
      <c r="M859" s="173" t="s">
        <v>1730</v>
      </c>
      <c r="N859" s="173" t="s">
        <v>1727</v>
      </c>
      <c r="O859" s="173" t="s">
        <v>1728</v>
      </c>
      <c r="P859" s="169"/>
      <c r="Q859" s="169"/>
    </row>
    <row r="860" spans="1:17" s="170" customFormat="1" ht="10.5" x14ac:dyDescent="0.25">
      <c r="A860" s="175"/>
      <c r="B860" s="181"/>
      <c r="C860" s="184"/>
      <c r="D860" s="185"/>
      <c r="E860" s="185">
        <f>Quantitativos!CC35</f>
        <v>36.499999999964693</v>
      </c>
      <c r="F860" s="185"/>
      <c r="G860" s="185"/>
      <c r="H860" s="185"/>
      <c r="I860" s="185"/>
      <c r="J860" s="185"/>
      <c r="K860" s="185"/>
      <c r="L860" s="185"/>
      <c r="M860" s="185"/>
      <c r="N860" s="185"/>
      <c r="O860" s="185"/>
      <c r="P860" s="169"/>
      <c r="Q860" s="169"/>
    </row>
    <row r="861" spans="1:17" s="170" customFormat="1" ht="10.5" x14ac:dyDescent="0.25">
      <c r="A861" s="175"/>
      <c r="B861" s="176"/>
      <c r="C861" s="184"/>
      <c r="D861" s="185"/>
      <c r="E861" s="185"/>
      <c r="F861" s="185"/>
      <c r="G861" s="185"/>
      <c r="H861" s="185"/>
      <c r="I861" s="185"/>
      <c r="J861" s="185"/>
      <c r="K861" s="185"/>
      <c r="L861" s="185"/>
      <c r="M861" s="185"/>
      <c r="N861" s="185"/>
      <c r="O861" s="185"/>
      <c r="P861" s="179"/>
      <c r="Q861" s="169"/>
    </row>
    <row r="862" spans="1:17" s="170" customFormat="1" ht="10.5" x14ac:dyDescent="0.25">
      <c r="A862" s="175"/>
      <c r="B862" s="181" t="s">
        <v>5</v>
      </c>
      <c r="C862" s="182" t="s">
        <v>1328</v>
      </c>
      <c r="D862" s="182"/>
      <c r="E862" s="182">
        <f>SUM(E860:E861)</f>
        <v>36.499999999964693</v>
      </c>
      <c r="F862" s="182"/>
      <c r="G862" s="182"/>
      <c r="H862" s="182"/>
      <c r="I862" s="182"/>
      <c r="J862" s="182"/>
      <c r="K862" s="182"/>
      <c r="L862" s="182"/>
      <c r="M862" s="182"/>
      <c r="N862" s="182"/>
      <c r="O862" s="182"/>
      <c r="P862" s="183"/>
      <c r="Q862" s="169"/>
    </row>
    <row r="863" spans="1:17" s="174" customFormat="1" ht="31.5" x14ac:dyDescent="0.25">
      <c r="A863" s="171" t="str">
        <f>ORÇAMENTO!A197</f>
        <v>4.1.2.5.8</v>
      </c>
      <c r="B863" s="172" t="str">
        <f>VLOOKUP(A863,ORÇAMENTO!A:K,4,0)</f>
        <v>TUBO DE CONCRETO ARMADO PARA AGUAS PLUVIAIS, CLASSE PA-2, COM ENCAIXE PONTA E BOLSA, DIAMETRO NOMINAL DE 1000 MM</v>
      </c>
      <c r="C863" s="173" t="str">
        <f>VLOOKUP(A863,ORÇAMENTO!A:K,5,0)</f>
        <v>M</v>
      </c>
      <c r="D863" s="173">
        <f>SUM(E866:O866)</f>
        <v>145.00284289187596</v>
      </c>
      <c r="E863" s="173" t="s">
        <v>1718</v>
      </c>
      <c r="F863" s="173" t="s">
        <v>1719</v>
      </c>
      <c r="G863" s="173" t="s">
        <v>1720</v>
      </c>
      <c r="H863" s="173" t="s">
        <v>1721</v>
      </c>
      <c r="I863" s="173" t="s">
        <v>1722</v>
      </c>
      <c r="J863" s="173" t="s">
        <v>1723</v>
      </c>
      <c r="K863" s="173" t="s">
        <v>1724</v>
      </c>
      <c r="L863" s="173" t="s">
        <v>1753</v>
      </c>
      <c r="M863" s="173" t="s">
        <v>1730</v>
      </c>
      <c r="N863" s="173" t="s">
        <v>1727</v>
      </c>
      <c r="O863" s="173" t="s">
        <v>1728</v>
      </c>
      <c r="P863" s="169"/>
      <c r="Q863" s="169"/>
    </row>
    <row r="864" spans="1:17" s="170" customFormat="1" ht="10.5" x14ac:dyDescent="0.25">
      <c r="A864" s="175"/>
      <c r="B864" s="181"/>
      <c r="C864" s="184"/>
      <c r="D864" s="185"/>
      <c r="E864" s="185">
        <f>Quantitativos!CD35</f>
        <v>145.00284289187596</v>
      </c>
      <c r="F864" s="185"/>
      <c r="G864" s="185"/>
      <c r="H864" s="185"/>
      <c r="I864" s="185"/>
      <c r="J864" s="185"/>
      <c r="K864" s="185"/>
      <c r="L864" s="185"/>
      <c r="M864" s="185"/>
      <c r="N864" s="185"/>
      <c r="O864" s="185"/>
      <c r="P864" s="169"/>
      <c r="Q864" s="169"/>
    </row>
    <row r="865" spans="1:17" s="170" customFormat="1" ht="10.5" x14ac:dyDescent="0.25">
      <c r="A865" s="175"/>
      <c r="B865" s="176"/>
      <c r="C865" s="184"/>
      <c r="D865" s="185"/>
      <c r="E865" s="185"/>
      <c r="F865" s="185"/>
      <c r="G865" s="185"/>
      <c r="H865" s="185"/>
      <c r="I865" s="185"/>
      <c r="J865" s="185"/>
      <c r="K865" s="185"/>
      <c r="L865" s="185"/>
      <c r="M865" s="185"/>
      <c r="N865" s="185"/>
      <c r="O865" s="185"/>
      <c r="P865" s="179"/>
      <c r="Q865" s="169"/>
    </row>
    <row r="866" spans="1:17" s="170" customFormat="1" ht="15" customHeight="1" x14ac:dyDescent="0.25">
      <c r="A866" s="175"/>
      <c r="B866" s="181" t="s">
        <v>5</v>
      </c>
      <c r="C866" s="182" t="s">
        <v>1328</v>
      </c>
      <c r="D866" s="182"/>
      <c r="E866" s="182">
        <f>SUM(E864:E865)</f>
        <v>145.00284289187596</v>
      </c>
      <c r="F866" s="182"/>
      <c r="G866" s="182"/>
      <c r="H866" s="182"/>
      <c r="I866" s="182"/>
      <c r="J866" s="182"/>
      <c r="K866" s="182"/>
      <c r="L866" s="182"/>
      <c r="M866" s="182"/>
      <c r="N866" s="182"/>
      <c r="O866" s="182"/>
      <c r="P866" s="183"/>
      <c r="Q866" s="169"/>
    </row>
    <row r="867" spans="1:17" s="174" customFormat="1" ht="42" x14ac:dyDescent="0.25">
      <c r="A867" s="171" t="str">
        <f>ORÇAMENTO!A198</f>
        <v>4.1.2.5.9</v>
      </c>
      <c r="B867" s="172" t="str">
        <f>VLOOKUP(A867,ORÇAMENTO!A:K,4,0)</f>
        <v>CARGA, MANOBRA E DESCARGA DE TUBOS DE CONCRETO, DN 1200 MM, EM CAMINHÃO CARROCERIA COM GUINDAUTO (MUNCK) 11,7 TM. AF_07/2020</v>
      </c>
      <c r="C867" s="173" t="str">
        <f>VLOOKUP(A867,ORÇAMENTO!A:K,5,0)</f>
        <v>T</v>
      </c>
      <c r="D867" s="173">
        <f>SUM(E870:O870)</f>
        <v>40.598708961920941</v>
      </c>
      <c r="E867" s="173" t="s">
        <v>1718</v>
      </c>
      <c r="F867" s="173" t="s">
        <v>1719</v>
      </c>
      <c r="G867" s="173" t="s">
        <v>1720</v>
      </c>
      <c r="H867" s="173" t="s">
        <v>1721</v>
      </c>
      <c r="I867" s="173" t="s">
        <v>1722</v>
      </c>
      <c r="J867" s="173" t="s">
        <v>1723</v>
      </c>
      <c r="K867" s="173" t="s">
        <v>1746</v>
      </c>
      <c r="L867" s="173" t="s">
        <v>1799</v>
      </c>
      <c r="M867" s="173" t="s">
        <v>1730</v>
      </c>
      <c r="N867" s="173" t="s">
        <v>1727</v>
      </c>
      <c r="O867" s="173" t="s">
        <v>1728</v>
      </c>
      <c r="P867" s="169"/>
      <c r="Q867" s="169"/>
    </row>
    <row r="868" spans="1:17" s="170" customFormat="1" ht="31.5" x14ac:dyDescent="0.25">
      <c r="A868" s="175"/>
      <c r="B868" s="181" t="s">
        <v>1801</v>
      </c>
      <c r="C868" s="184"/>
      <c r="D868" s="185"/>
      <c r="E868" s="185">
        <f>E872+E876</f>
        <v>34.998887036138747</v>
      </c>
      <c r="F868" s="185"/>
      <c r="G868" s="185"/>
      <c r="H868" s="185"/>
      <c r="I868" s="185"/>
      <c r="J868" s="185"/>
      <c r="K868" s="185">
        <f>L868*E868</f>
        <v>40.598708961920941</v>
      </c>
      <c r="L868" s="185">
        <v>1.1599999999999999</v>
      </c>
      <c r="M868" s="185"/>
      <c r="N868" s="185"/>
      <c r="O868" s="185"/>
      <c r="P868" s="169"/>
      <c r="Q868" s="169"/>
    </row>
    <row r="869" spans="1:17" s="170" customFormat="1" ht="10.5" x14ac:dyDescent="0.25">
      <c r="A869" s="175"/>
      <c r="B869" s="176"/>
      <c r="C869" s="184"/>
      <c r="D869" s="185"/>
      <c r="E869" s="185"/>
      <c r="F869" s="185"/>
      <c r="G869" s="185"/>
      <c r="H869" s="185"/>
      <c r="I869" s="185"/>
      <c r="J869" s="185"/>
      <c r="K869" s="185"/>
      <c r="L869" s="185"/>
      <c r="M869" s="185"/>
      <c r="N869" s="185"/>
      <c r="O869" s="185"/>
      <c r="P869" s="179"/>
      <c r="Q869" s="169"/>
    </row>
    <row r="870" spans="1:17" s="170" customFormat="1" ht="10.5" x14ac:dyDescent="0.25">
      <c r="A870" s="175"/>
      <c r="B870" s="181" t="s">
        <v>5</v>
      </c>
      <c r="C870" s="182" t="s">
        <v>1328</v>
      </c>
      <c r="D870" s="182"/>
      <c r="E870" s="182"/>
      <c r="F870" s="182"/>
      <c r="G870" s="182"/>
      <c r="H870" s="182"/>
      <c r="I870" s="182"/>
      <c r="J870" s="182"/>
      <c r="K870" s="182">
        <f>SUM(K868:K869)</f>
        <v>40.598708961920941</v>
      </c>
      <c r="L870" s="182"/>
      <c r="M870" s="182"/>
      <c r="N870" s="182"/>
      <c r="O870" s="182"/>
      <c r="P870" s="183"/>
      <c r="Q870" s="169"/>
    </row>
    <row r="871" spans="1:17" s="174" customFormat="1" ht="31.5" x14ac:dyDescent="0.25">
      <c r="A871" s="171"/>
      <c r="B871" s="172" t="s">
        <v>443</v>
      </c>
      <c r="C871" s="173" t="s">
        <v>1803</v>
      </c>
      <c r="D871" s="173">
        <f>SUM(E874:O874)</f>
        <v>0</v>
      </c>
      <c r="E871" s="173" t="s">
        <v>1718</v>
      </c>
      <c r="F871" s="173" t="s">
        <v>1719</v>
      </c>
      <c r="G871" s="173" t="s">
        <v>1720</v>
      </c>
      <c r="H871" s="173" t="s">
        <v>1721</v>
      </c>
      <c r="I871" s="173" t="s">
        <v>1722</v>
      </c>
      <c r="J871" s="173" t="s">
        <v>1723</v>
      </c>
      <c r="K871" s="173" t="s">
        <v>1724</v>
      </c>
      <c r="L871" s="173" t="s">
        <v>1753</v>
      </c>
      <c r="M871" s="173" t="s">
        <v>1730</v>
      </c>
      <c r="N871" s="173" t="s">
        <v>1727</v>
      </c>
      <c r="O871" s="173" t="s">
        <v>1728</v>
      </c>
      <c r="P871" s="169"/>
      <c r="Q871" s="169"/>
    </row>
    <row r="872" spans="1:17" s="170" customFormat="1" ht="10.5" x14ac:dyDescent="0.25">
      <c r="A872" s="175"/>
      <c r="B872" s="181"/>
      <c r="C872" s="184"/>
      <c r="D872" s="185"/>
      <c r="E872" s="185">
        <f>Quantitativos!CG35</f>
        <v>0</v>
      </c>
      <c r="F872" s="185"/>
      <c r="G872" s="185"/>
      <c r="H872" s="185"/>
      <c r="I872" s="185"/>
      <c r="J872" s="185"/>
      <c r="K872" s="185"/>
      <c r="L872" s="185"/>
      <c r="M872" s="185"/>
      <c r="N872" s="185"/>
      <c r="O872" s="185"/>
      <c r="P872" s="169"/>
      <c r="Q872" s="169"/>
    </row>
    <row r="873" spans="1:17" s="170" customFormat="1" ht="10.5" x14ac:dyDescent="0.25">
      <c r="A873" s="175"/>
      <c r="B873" s="176"/>
      <c r="C873" s="184"/>
      <c r="D873" s="185"/>
      <c r="E873" s="185"/>
      <c r="F873" s="185"/>
      <c r="G873" s="185"/>
      <c r="H873" s="185"/>
      <c r="I873" s="185"/>
      <c r="J873" s="185"/>
      <c r="K873" s="185"/>
      <c r="L873" s="185"/>
      <c r="M873" s="185"/>
      <c r="N873" s="185"/>
      <c r="O873" s="185"/>
      <c r="P873" s="179"/>
      <c r="Q873" s="169"/>
    </row>
    <row r="874" spans="1:17" s="170" customFormat="1" ht="15" customHeight="1" x14ac:dyDescent="0.25">
      <c r="A874" s="175"/>
      <c r="B874" s="181" t="s">
        <v>5</v>
      </c>
      <c r="C874" s="182" t="s">
        <v>1328</v>
      </c>
      <c r="D874" s="182"/>
      <c r="E874" s="182">
        <f>SUM(E872:E873)</f>
        <v>0</v>
      </c>
      <c r="F874" s="182"/>
      <c r="G874" s="182"/>
      <c r="H874" s="182"/>
      <c r="I874" s="182"/>
      <c r="J874" s="182"/>
      <c r="K874" s="182"/>
      <c r="L874" s="182"/>
      <c r="M874" s="182"/>
      <c r="N874" s="182"/>
      <c r="O874" s="182"/>
      <c r="P874" s="183"/>
      <c r="Q874" s="169"/>
    </row>
    <row r="875" spans="1:17" s="174" customFormat="1" ht="31.5" x14ac:dyDescent="0.25">
      <c r="A875" s="171" t="str">
        <f>ORÇAMENTO!A199</f>
        <v>4.1.2.5.10</v>
      </c>
      <c r="B875" s="172" t="str">
        <f>VLOOKUP(A875,ORÇAMENTO!A:K,4,0)</f>
        <v>TUBO DE CONCRETO ARMADO PARA AGUAS PLUVIAIS, CLASSE PA-1, COM ENCAIXE PONTA E BOLSA, DIAMETRO NOMINAL DE 1200 MM</v>
      </c>
      <c r="C875" s="173" t="str">
        <f>VLOOKUP(A875,ORÇAMENTO!A:K,5,0)</f>
        <v>M</v>
      </c>
      <c r="D875" s="173">
        <f>SUM(E878:O878)</f>
        <v>34.998887036138747</v>
      </c>
      <c r="E875" s="173" t="s">
        <v>1718</v>
      </c>
      <c r="F875" s="173" t="s">
        <v>1719</v>
      </c>
      <c r="G875" s="173" t="s">
        <v>1720</v>
      </c>
      <c r="H875" s="173" t="s">
        <v>1721</v>
      </c>
      <c r="I875" s="173" t="s">
        <v>1722</v>
      </c>
      <c r="J875" s="173" t="s">
        <v>1723</v>
      </c>
      <c r="K875" s="173" t="s">
        <v>1724</v>
      </c>
      <c r="L875" s="173" t="s">
        <v>1753</v>
      </c>
      <c r="M875" s="173" t="s">
        <v>1730</v>
      </c>
      <c r="N875" s="173" t="s">
        <v>1727</v>
      </c>
      <c r="O875" s="173" t="s">
        <v>1728</v>
      </c>
      <c r="P875" s="169"/>
      <c r="Q875" s="169"/>
    </row>
    <row r="876" spans="1:17" s="170" customFormat="1" ht="10.5" x14ac:dyDescent="0.25">
      <c r="A876" s="175"/>
      <c r="B876" s="181"/>
      <c r="C876" s="184"/>
      <c r="D876" s="185"/>
      <c r="E876" s="185">
        <f>Quantitativos!CH35</f>
        <v>34.998887036138747</v>
      </c>
      <c r="F876" s="185"/>
      <c r="G876" s="185"/>
      <c r="H876" s="185"/>
      <c r="I876" s="185"/>
      <c r="J876" s="185"/>
      <c r="K876" s="185"/>
      <c r="L876" s="185"/>
      <c r="M876" s="185"/>
      <c r="N876" s="185"/>
      <c r="O876" s="185"/>
      <c r="P876" s="169"/>
      <c r="Q876" s="169"/>
    </row>
    <row r="877" spans="1:17" s="170" customFormat="1" ht="10.5" x14ac:dyDescent="0.25">
      <c r="A877" s="175"/>
      <c r="B877" s="176"/>
      <c r="C877" s="184"/>
      <c r="D877" s="185"/>
      <c r="E877" s="185"/>
      <c r="F877" s="185"/>
      <c r="G877" s="185"/>
      <c r="H877" s="185"/>
      <c r="I877" s="185"/>
      <c r="J877" s="185"/>
      <c r="K877" s="185"/>
      <c r="L877" s="185"/>
      <c r="M877" s="185"/>
      <c r="N877" s="185"/>
      <c r="O877" s="185"/>
      <c r="P877" s="179"/>
      <c r="Q877" s="169"/>
    </row>
    <row r="878" spans="1:17" s="170" customFormat="1" ht="15" customHeight="1" x14ac:dyDescent="0.25">
      <c r="A878" s="175"/>
      <c r="B878" s="181" t="s">
        <v>5</v>
      </c>
      <c r="C878" s="182" t="s">
        <v>1328</v>
      </c>
      <c r="D878" s="182"/>
      <c r="E878" s="182">
        <f>SUM(E876:E877)</f>
        <v>34.998887036138747</v>
      </c>
      <c r="F878" s="182"/>
      <c r="G878" s="182"/>
      <c r="H878" s="182"/>
      <c r="I878" s="182"/>
      <c r="J878" s="182"/>
      <c r="K878" s="182"/>
      <c r="L878" s="182"/>
      <c r="M878" s="182"/>
      <c r="N878" s="182"/>
      <c r="O878" s="182"/>
      <c r="P878" s="183"/>
      <c r="Q878" s="169"/>
    </row>
    <row r="879" spans="1:17" s="174" customFormat="1" ht="31.5" x14ac:dyDescent="0.25">
      <c r="A879" s="171" t="str">
        <f>ORÇAMENTO!A200</f>
        <v>4.1.2.5.11</v>
      </c>
      <c r="B879" s="172" t="str">
        <f>VLOOKUP(A879,ORÇAMENTO!A:K,4,0)</f>
        <v>CARGA, MANOBRA E DESCARGA DE TUBOS DE CONCRETO, DN 1500 MM, EM CAMINHÃO CARROCERIA COM GUINDAUTO (MUNCK) 11,7 TM.</v>
      </c>
      <c r="C879" s="173" t="str">
        <f>VLOOKUP(A879,ORÇAMENTO!A:K,5,0)</f>
        <v>T</v>
      </c>
      <c r="D879" s="173">
        <f>SUM(E882:O882)</f>
        <v>859.42592979307801</v>
      </c>
      <c r="E879" s="173" t="s">
        <v>1718</v>
      </c>
      <c r="F879" s="173" t="s">
        <v>1719</v>
      </c>
      <c r="G879" s="173" t="s">
        <v>1720</v>
      </c>
      <c r="H879" s="173" t="s">
        <v>1721</v>
      </c>
      <c r="I879" s="173" t="s">
        <v>1722</v>
      </c>
      <c r="J879" s="173" t="s">
        <v>1723</v>
      </c>
      <c r="K879" s="173" t="s">
        <v>1746</v>
      </c>
      <c r="L879" s="173" t="s">
        <v>1799</v>
      </c>
      <c r="M879" s="173" t="s">
        <v>1730</v>
      </c>
      <c r="N879" s="173" t="s">
        <v>1727</v>
      </c>
      <c r="O879" s="173" t="s">
        <v>1728</v>
      </c>
      <c r="P879" s="169"/>
      <c r="Q879" s="169"/>
    </row>
    <row r="880" spans="1:17" s="170" customFormat="1" ht="31.5" x14ac:dyDescent="0.25">
      <c r="A880" s="175"/>
      <c r="B880" s="181" t="s">
        <v>1801</v>
      </c>
      <c r="C880" s="184"/>
      <c r="D880" s="185"/>
      <c r="E880" s="185">
        <f>E884+E888</f>
        <v>488.31018738243068</v>
      </c>
      <c r="F880" s="185"/>
      <c r="G880" s="185"/>
      <c r="H880" s="185"/>
      <c r="I880" s="185"/>
      <c r="J880" s="185"/>
      <c r="K880" s="185">
        <f>L880*E880</f>
        <v>859.42592979307801</v>
      </c>
      <c r="L880" s="185">
        <v>1.76</v>
      </c>
      <c r="M880" s="185"/>
      <c r="N880" s="185"/>
      <c r="O880" s="185"/>
      <c r="P880" s="169"/>
      <c r="Q880" s="169"/>
    </row>
    <row r="881" spans="1:17" s="170" customFormat="1" ht="10.5" x14ac:dyDescent="0.25">
      <c r="A881" s="175"/>
      <c r="B881" s="176"/>
      <c r="C881" s="184"/>
      <c r="D881" s="185"/>
      <c r="E881" s="185"/>
      <c r="F881" s="185"/>
      <c r="G881" s="185"/>
      <c r="H881" s="185"/>
      <c r="I881" s="185"/>
      <c r="J881" s="185"/>
      <c r="K881" s="185"/>
      <c r="L881" s="185"/>
      <c r="M881" s="185"/>
      <c r="N881" s="185"/>
      <c r="O881" s="185"/>
      <c r="P881" s="179"/>
      <c r="Q881" s="169"/>
    </row>
    <row r="882" spans="1:17" s="170" customFormat="1" ht="10.5" x14ac:dyDescent="0.25">
      <c r="A882" s="175"/>
      <c r="B882" s="181" t="s">
        <v>5</v>
      </c>
      <c r="C882" s="182" t="s">
        <v>1328</v>
      </c>
      <c r="D882" s="182"/>
      <c r="E882" s="182"/>
      <c r="F882" s="182"/>
      <c r="G882" s="182"/>
      <c r="H882" s="182"/>
      <c r="I882" s="182"/>
      <c r="J882" s="182"/>
      <c r="K882" s="182">
        <f>SUM(K880:K881)</f>
        <v>859.42592979307801</v>
      </c>
      <c r="L882" s="182"/>
      <c r="M882" s="182"/>
      <c r="N882" s="182"/>
      <c r="O882" s="182"/>
      <c r="P882" s="183"/>
      <c r="Q882" s="169"/>
    </row>
    <row r="883" spans="1:17" s="174" customFormat="1" ht="31.5" x14ac:dyDescent="0.25">
      <c r="A883" s="171"/>
      <c r="B883" s="172" t="s">
        <v>982</v>
      </c>
      <c r="C883" s="173" t="s">
        <v>1803</v>
      </c>
      <c r="D883" s="173">
        <f>SUM(E886:O886)</f>
        <v>0</v>
      </c>
      <c r="E883" s="173" t="s">
        <v>1718</v>
      </c>
      <c r="F883" s="173" t="s">
        <v>1719</v>
      </c>
      <c r="G883" s="173" t="s">
        <v>1720</v>
      </c>
      <c r="H883" s="173" t="s">
        <v>1721</v>
      </c>
      <c r="I883" s="173" t="s">
        <v>1722</v>
      </c>
      <c r="J883" s="173" t="s">
        <v>1723</v>
      </c>
      <c r="K883" s="173" t="s">
        <v>1724</v>
      </c>
      <c r="L883" s="173" t="s">
        <v>1753</v>
      </c>
      <c r="M883" s="173" t="s">
        <v>1730</v>
      </c>
      <c r="N883" s="173" t="s">
        <v>1727</v>
      </c>
      <c r="O883" s="173" t="s">
        <v>1728</v>
      </c>
      <c r="P883" s="169"/>
      <c r="Q883" s="169"/>
    </row>
    <row r="884" spans="1:17" s="170" customFormat="1" ht="10.5" x14ac:dyDescent="0.25">
      <c r="A884" s="175"/>
      <c r="B884" s="181"/>
      <c r="C884" s="184"/>
      <c r="D884" s="185"/>
      <c r="E884" s="185">
        <f>Quantitativos!CK35</f>
        <v>0</v>
      </c>
      <c r="F884" s="185"/>
      <c r="G884" s="185"/>
      <c r="H884" s="185"/>
      <c r="I884" s="185"/>
      <c r="J884" s="185"/>
      <c r="K884" s="185"/>
      <c r="L884" s="185"/>
      <c r="M884" s="185"/>
      <c r="N884" s="185"/>
      <c r="O884" s="185"/>
      <c r="P884" s="169"/>
      <c r="Q884" s="169"/>
    </row>
    <row r="885" spans="1:17" s="170" customFormat="1" ht="10.5" x14ac:dyDescent="0.25">
      <c r="A885" s="175"/>
      <c r="B885" s="176"/>
      <c r="C885" s="184"/>
      <c r="D885" s="185"/>
      <c r="E885" s="185"/>
      <c r="F885" s="185"/>
      <c r="G885" s="185"/>
      <c r="H885" s="185"/>
      <c r="I885" s="185"/>
      <c r="J885" s="185"/>
      <c r="K885" s="185"/>
      <c r="L885" s="185"/>
      <c r="M885" s="185"/>
      <c r="N885" s="185"/>
      <c r="O885" s="185"/>
      <c r="P885" s="179"/>
      <c r="Q885" s="169"/>
    </row>
    <row r="886" spans="1:17" s="170" customFormat="1" ht="15" customHeight="1" x14ac:dyDescent="0.25">
      <c r="A886" s="175"/>
      <c r="B886" s="181" t="s">
        <v>5</v>
      </c>
      <c r="C886" s="182" t="s">
        <v>1328</v>
      </c>
      <c r="D886" s="182"/>
      <c r="E886" s="182">
        <f>SUM(E884:E885)</f>
        <v>0</v>
      </c>
      <c r="F886" s="182"/>
      <c r="G886" s="182"/>
      <c r="H886" s="182"/>
      <c r="I886" s="182"/>
      <c r="J886" s="182"/>
      <c r="K886" s="182"/>
      <c r="L886" s="182"/>
      <c r="M886" s="182"/>
      <c r="N886" s="182"/>
      <c r="O886" s="182"/>
      <c r="P886" s="183"/>
      <c r="Q886" s="169"/>
    </row>
    <row r="887" spans="1:17" s="174" customFormat="1" ht="31.5" x14ac:dyDescent="0.25">
      <c r="A887" s="171" t="str">
        <f>ORÇAMENTO!A201</f>
        <v>4.1.2.5.12</v>
      </c>
      <c r="B887" s="172" t="str">
        <f>VLOOKUP(A887,ORÇAMENTO!A:K,4,0)</f>
        <v>TUBO DE CONCRETO ARMADO PARA AGUAS PLUVIAIS, CLASSE PA-2, COM ENCAIXE PONTA E BOLSA, DIAMETRO NOMINAL DE 1500 MM</v>
      </c>
      <c r="C887" s="173" t="str">
        <f>VLOOKUP(A887,ORÇAMENTO!A:K,5,0)</f>
        <v>M</v>
      </c>
      <c r="D887" s="173">
        <f>SUM(E890:O890)</f>
        <v>488.31018738243068</v>
      </c>
      <c r="E887" s="173" t="s">
        <v>1718</v>
      </c>
      <c r="F887" s="173" t="s">
        <v>1719</v>
      </c>
      <c r="G887" s="173" t="s">
        <v>1720</v>
      </c>
      <c r="H887" s="173" t="s">
        <v>1721</v>
      </c>
      <c r="I887" s="173" t="s">
        <v>1722</v>
      </c>
      <c r="J887" s="173" t="s">
        <v>1723</v>
      </c>
      <c r="K887" s="173" t="s">
        <v>1724</v>
      </c>
      <c r="L887" s="173" t="s">
        <v>1753</v>
      </c>
      <c r="M887" s="173" t="s">
        <v>1730</v>
      </c>
      <c r="N887" s="173" t="s">
        <v>1727</v>
      </c>
      <c r="O887" s="173" t="s">
        <v>1728</v>
      </c>
      <c r="P887" s="169"/>
      <c r="Q887" s="169"/>
    </row>
    <row r="888" spans="1:17" s="170" customFormat="1" ht="10.5" x14ac:dyDescent="0.25">
      <c r="A888" s="175"/>
      <c r="B888" s="181"/>
      <c r="C888" s="184"/>
      <c r="D888" s="185"/>
      <c r="E888" s="185">
        <f>Quantitativos!CL35</f>
        <v>488.31018738243068</v>
      </c>
      <c r="F888" s="185"/>
      <c r="G888" s="185"/>
      <c r="H888" s="185"/>
      <c r="I888" s="185"/>
      <c r="J888" s="185"/>
      <c r="K888" s="185"/>
      <c r="L888" s="185"/>
      <c r="M888" s="185"/>
      <c r="N888" s="185"/>
      <c r="O888" s="185"/>
      <c r="P888" s="169"/>
      <c r="Q888" s="169"/>
    </row>
    <row r="889" spans="1:17" s="170" customFormat="1" ht="10.5" x14ac:dyDescent="0.25">
      <c r="A889" s="175"/>
      <c r="B889" s="176"/>
      <c r="C889" s="184"/>
      <c r="D889" s="185"/>
      <c r="E889" s="185"/>
      <c r="F889" s="185"/>
      <c r="G889" s="185"/>
      <c r="H889" s="185"/>
      <c r="I889" s="185"/>
      <c r="J889" s="185"/>
      <c r="K889" s="185"/>
      <c r="L889" s="185"/>
      <c r="M889" s="185"/>
      <c r="N889" s="185"/>
      <c r="O889" s="185"/>
      <c r="P889" s="179"/>
      <c r="Q889" s="169"/>
    </row>
    <row r="890" spans="1:17" s="170" customFormat="1" ht="15" customHeight="1" x14ac:dyDescent="0.25">
      <c r="A890" s="175"/>
      <c r="B890" s="181" t="s">
        <v>5</v>
      </c>
      <c r="C890" s="182" t="s">
        <v>1328</v>
      </c>
      <c r="D890" s="182"/>
      <c r="E890" s="182">
        <f>SUM(E888:E889)</f>
        <v>488.31018738243068</v>
      </c>
      <c r="F890" s="182"/>
      <c r="G890" s="182"/>
      <c r="H890" s="182"/>
      <c r="I890" s="182"/>
      <c r="J890" s="182"/>
      <c r="K890" s="182"/>
      <c r="L890" s="182"/>
      <c r="M890" s="182"/>
      <c r="N890" s="182"/>
      <c r="O890" s="182"/>
      <c r="P890" s="183"/>
      <c r="Q890" s="169"/>
    </row>
    <row r="891" spans="1:17" s="170" customFormat="1" ht="15" customHeight="1" x14ac:dyDescent="0.25">
      <c r="A891" s="165" t="str">
        <f>ORÇAMENTO!A202</f>
        <v>4.1.2.6</v>
      </c>
      <c r="B891" s="166" t="str">
        <f>VLOOKUP(A891,ORÇAMENTO!A:K,4,0)</f>
        <v>BOCAS DE LOBO</v>
      </c>
      <c r="C891" s="167"/>
      <c r="D891" s="167"/>
      <c r="E891" s="168"/>
      <c r="F891" s="168"/>
      <c r="G891" s="168"/>
      <c r="H891" s="168"/>
      <c r="I891" s="168"/>
      <c r="J891" s="168"/>
      <c r="K891" s="168"/>
      <c r="L891" s="168"/>
      <c r="M891" s="168"/>
      <c r="N891" s="168"/>
      <c r="O891" s="168"/>
      <c r="P891" s="169"/>
      <c r="Q891" s="169"/>
    </row>
    <row r="892" spans="1:17" s="174" customFormat="1" ht="21" x14ac:dyDescent="0.25">
      <c r="A892" s="171" t="str">
        <f>ORÇAMENTO!A203</f>
        <v>4.1.2.6.1</v>
      </c>
      <c r="B892" s="172" t="str">
        <f>VLOOKUP(A892,ORÇAMENTO!A:K,4,0)</f>
        <v>LOCAÇÃO DE REDE DE DRENAGEM</v>
      </c>
      <c r="C892" s="173" t="str">
        <f>VLOOKUP(A892,ORÇAMENTO!A:K,5,0)</f>
        <v>M</v>
      </c>
      <c r="D892" s="173">
        <f>ROUND(SUM(E895:O895),2)</f>
        <v>225.99</v>
      </c>
      <c r="E892" s="173" t="s">
        <v>1718</v>
      </c>
      <c r="F892" s="173" t="s">
        <v>1719</v>
      </c>
      <c r="G892" s="173" t="s">
        <v>1720</v>
      </c>
      <c r="H892" s="173" t="s">
        <v>1721</v>
      </c>
      <c r="I892" s="173" t="s">
        <v>1722</v>
      </c>
      <c r="J892" s="173" t="s">
        <v>1723</v>
      </c>
      <c r="K892" s="173" t="s">
        <v>1724</v>
      </c>
      <c r="L892" s="173" t="s">
        <v>1804</v>
      </c>
      <c r="M892" s="173" t="s">
        <v>1726</v>
      </c>
      <c r="N892" s="173" t="s">
        <v>1805</v>
      </c>
      <c r="O892" s="173" t="s">
        <v>1728</v>
      </c>
      <c r="P892" s="169"/>
      <c r="Q892" s="169"/>
    </row>
    <row r="893" spans="1:17" s="170" customFormat="1" ht="10.5" x14ac:dyDescent="0.25">
      <c r="A893" s="175"/>
      <c r="B893" s="176" t="s">
        <v>1806</v>
      </c>
      <c r="C893" s="177"/>
      <c r="D893" s="178"/>
      <c r="E893" s="178">
        <f>QUANTBL!O96/1</f>
        <v>225.98999999999998</v>
      </c>
      <c r="F893" s="178"/>
      <c r="G893" s="178"/>
      <c r="H893" s="178"/>
      <c r="I893" s="178"/>
      <c r="J893" s="178"/>
      <c r="K893" s="178"/>
      <c r="L893" s="178"/>
      <c r="M893" s="178"/>
      <c r="N893" s="200"/>
      <c r="O893" s="178"/>
      <c r="P893" s="179"/>
      <c r="Q893" s="169"/>
    </row>
    <row r="894" spans="1:17" s="170" customFormat="1" ht="15" customHeight="1" x14ac:dyDescent="0.25">
      <c r="A894" s="175"/>
      <c r="B894" s="176"/>
      <c r="C894" s="177"/>
      <c r="D894" s="178"/>
      <c r="E894" s="178"/>
      <c r="F894" s="178"/>
      <c r="G894" s="178"/>
      <c r="H894" s="178"/>
      <c r="I894" s="178"/>
      <c r="J894" s="178"/>
      <c r="K894" s="178"/>
      <c r="L894" s="178"/>
      <c r="M894" s="178"/>
      <c r="N894" s="200"/>
      <c r="O894" s="178"/>
      <c r="P894" s="179"/>
      <c r="Q894" s="169"/>
    </row>
    <row r="895" spans="1:17" s="170" customFormat="1" ht="15" customHeight="1" x14ac:dyDescent="0.25">
      <c r="A895" s="175"/>
      <c r="B895" s="181" t="s">
        <v>5</v>
      </c>
      <c r="C895" s="182" t="s">
        <v>1328</v>
      </c>
      <c r="D895" s="182"/>
      <c r="E895" s="177">
        <f>SUM(E893:E893)</f>
        <v>225.98999999999998</v>
      </c>
      <c r="F895" s="182"/>
      <c r="G895" s="182"/>
      <c r="H895" s="182"/>
      <c r="I895" s="182"/>
      <c r="J895" s="182"/>
      <c r="K895" s="178"/>
      <c r="L895" s="182"/>
      <c r="M895" s="182"/>
      <c r="N895" s="177"/>
      <c r="O895" s="177"/>
      <c r="P895" s="183"/>
      <c r="Q895" s="169"/>
    </row>
    <row r="896" spans="1:17" s="174" customFormat="1" ht="21" x14ac:dyDescent="0.25">
      <c r="A896" s="171" t="str">
        <f>ORÇAMENTO!A204</f>
        <v>4.1.2.6.2</v>
      </c>
      <c r="B896" s="172" t="str">
        <f>VLOOKUP(A896,ORÇAMENTO!A:K,4,0)</f>
        <v>PASSARELA, EM MADEIRA, PARA COBERTA DE VALAS PARA PASSAGEM DE PEDESTRES.</v>
      </c>
      <c r="C896" s="173" t="str">
        <f>VLOOKUP(A896,ORÇAMENTO!A:K,5,0)</f>
        <v>M²</v>
      </c>
      <c r="D896" s="173">
        <f>ROUND(SUM(E899:O899),2)</f>
        <v>2</v>
      </c>
      <c r="E896" s="173" t="s">
        <v>1718</v>
      </c>
      <c r="F896" s="173" t="s">
        <v>1719</v>
      </c>
      <c r="G896" s="173" t="s">
        <v>1720</v>
      </c>
      <c r="H896" s="173" t="s">
        <v>1721</v>
      </c>
      <c r="I896" s="173" t="s">
        <v>1722</v>
      </c>
      <c r="J896" s="173" t="s">
        <v>1723</v>
      </c>
      <c r="K896" s="173" t="s">
        <v>1724</v>
      </c>
      <c r="L896" s="173" t="s">
        <v>1804</v>
      </c>
      <c r="M896" s="173" t="s">
        <v>1726</v>
      </c>
      <c r="N896" s="173" t="s">
        <v>1727</v>
      </c>
      <c r="O896" s="173" t="s">
        <v>1728</v>
      </c>
      <c r="P896" s="169"/>
      <c r="Q896" s="169"/>
    </row>
    <row r="897" spans="1:17" s="170" customFormat="1" ht="10.5" x14ac:dyDescent="0.25">
      <c r="A897" s="175"/>
      <c r="B897" s="176" t="s">
        <v>1735</v>
      </c>
      <c r="C897" s="177"/>
      <c r="D897" s="178"/>
      <c r="E897" s="178">
        <f>E895</f>
        <v>225.98999999999998</v>
      </c>
      <c r="F897" s="178">
        <v>2</v>
      </c>
      <c r="G897" s="178">
        <v>1</v>
      </c>
      <c r="H897" s="178"/>
      <c r="I897" s="178"/>
      <c r="J897" s="178"/>
      <c r="K897" s="178"/>
      <c r="L897" s="178"/>
      <c r="M897" s="178">
        <f>ROUND(E897/200,0)</f>
        <v>1</v>
      </c>
      <c r="N897" s="200">
        <f>M897*G897*F897</f>
        <v>2</v>
      </c>
      <c r="O897" s="178"/>
      <c r="P897" s="179"/>
      <c r="Q897" s="169"/>
    </row>
    <row r="898" spans="1:17" s="170" customFormat="1" ht="15" customHeight="1" x14ac:dyDescent="0.25">
      <c r="A898" s="175"/>
      <c r="B898" s="176"/>
      <c r="C898" s="177"/>
      <c r="D898" s="178"/>
      <c r="E898" s="178"/>
      <c r="F898" s="178"/>
      <c r="G898" s="178"/>
      <c r="H898" s="178"/>
      <c r="I898" s="178"/>
      <c r="J898" s="178"/>
      <c r="K898" s="178"/>
      <c r="L898" s="178"/>
      <c r="M898" s="178"/>
      <c r="N898" s="200"/>
      <c r="O898" s="178"/>
      <c r="P898" s="179"/>
      <c r="Q898" s="169"/>
    </row>
    <row r="899" spans="1:17" s="170" customFormat="1" ht="15" customHeight="1" x14ac:dyDescent="0.25">
      <c r="A899" s="175"/>
      <c r="B899" s="181" t="s">
        <v>5</v>
      </c>
      <c r="C899" s="182" t="s">
        <v>1328</v>
      </c>
      <c r="D899" s="182"/>
      <c r="E899" s="177"/>
      <c r="F899" s="182"/>
      <c r="G899" s="182"/>
      <c r="H899" s="182"/>
      <c r="I899" s="182"/>
      <c r="J899" s="182"/>
      <c r="K899" s="178"/>
      <c r="L899" s="182"/>
      <c r="M899" s="182"/>
      <c r="N899" s="177">
        <f>SUM(N897:N897)</f>
        <v>2</v>
      </c>
      <c r="O899" s="177"/>
      <c r="P899" s="183"/>
      <c r="Q899" s="169"/>
    </row>
    <row r="900" spans="1:17" s="174" customFormat="1" ht="21" x14ac:dyDescent="0.25">
      <c r="A900" s="171" t="str">
        <f>ORÇAMENTO!A205</f>
        <v>4.1.2.6.3</v>
      </c>
      <c r="B900" s="172" t="str">
        <f>VLOOKUP(A900,ORÇAMENTO!A:K,4,0)</f>
        <v>TELA TAPUME, COR LARANJA, COM SUPORTE A CADA 2M (FORNECIMENTO E INSTALAÇÃO)</v>
      </c>
      <c r="C900" s="173" t="str">
        <f>VLOOKUP(A900,ORÇAMENTO!A:K,5,0)</f>
        <v>M</v>
      </c>
      <c r="D900" s="173">
        <f>ROUND(SUM(E903:O903),2)</f>
        <v>451.98</v>
      </c>
      <c r="E900" s="173" t="s">
        <v>1718</v>
      </c>
      <c r="F900" s="173" t="s">
        <v>1719</v>
      </c>
      <c r="G900" s="173" t="s">
        <v>1720</v>
      </c>
      <c r="H900" s="173" t="s">
        <v>1721</v>
      </c>
      <c r="I900" s="173" t="s">
        <v>1722</v>
      </c>
      <c r="J900" s="173" t="s">
        <v>1723</v>
      </c>
      <c r="K900" s="173" t="s">
        <v>1724</v>
      </c>
      <c r="L900" s="173" t="s">
        <v>1804</v>
      </c>
      <c r="M900" s="173" t="s">
        <v>1726</v>
      </c>
      <c r="N900" s="173" t="s">
        <v>1727</v>
      </c>
      <c r="O900" s="173" t="s">
        <v>1728</v>
      </c>
      <c r="P900" s="169"/>
      <c r="Q900" s="169"/>
    </row>
    <row r="901" spans="1:17" s="170" customFormat="1" ht="10.5" x14ac:dyDescent="0.25">
      <c r="A901" s="175"/>
      <c r="B901" s="176" t="s">
        <v>1737</v>
      </c>
      <c r="C901" s="177"/>
      <c r="D901" s="178"/>
      <c r="E901" s="178">
        <f>2*E897</f>
        <v>451.97999999999996</v>
      </c>
      <c r="F901" s="178"/>
      <c r="G901" s="178"/>
      <c r="H901" s="178"/>
      <c r="I901" s="178"/>
      <c r="J901" s="178"/>
      <c r="K901" s="178"/>
      <c r="L901" s="178"/>
      <c r="M901" s="178"/>
      <c r="N901" s="200"/>
      <c r="O901" s="178"/>
      <c r="P901" s="179"/>
      <c r="Q901" s="169"/>
    </row>
    <row r="902" spans="1:17" s="170" customFormat="1" ht="15" customHeight="1" x14ac:dyDescent="0.25">
      <c r="A902" s="175"/>
      <c r="B902" s="176"/>
      <c r="C902" s="177"/>
      <c r="D902" s="178"/>
      <c r="E902" s="178"/>
      <c r="F902" s="178"/>
      <c r="G902" s="178"/>
      <c r="H902" s="178"/>
      <c r="I902" s="178"/>
      <c r="J902" s="178"/>
      <c r="K902" s="178"/>
      <c r="L902" s="178"/>
      <c r="M902" s="178"/>
      <c r="N902" s="200"/>
      <c r="O902" s="178"/>
      <c r="P902" s="179"/>
      <c r="Q902" s="169"/>
    </row>
    <row r="903" spans="1:17" s="170" customFormat="1" ht="15" customHeight="1" x14ac:dyDescent="0.25">
      <c r="A903" s="175"/>
      <c r="B903" s="181" t="s">
        <v>5</v>
      </c>
      <c r="C903" s="182" t="s">
        <v>1328</v>
      </c>
      <c r="D903" s="182"/>
      <c r="E903" s="177">
        <f>SUM(E901:E901)</f>
        <v>451.97999999999996</v>
      </c>
      <c r="F903" s="182"/>
      <c r="G903" s="182"/>
      <c r="H903" s="182"/>
      <c r="I903" s="182"/>
      <c r="J903" s="182"/>
      <c r="K903" s="178"/>
      <c r="L903" s="182"/>
      <c r="M903" s="182"/>
      <c r="N903" s="177"/>
      <c r="O903" s="177"/>
      <c r="P903" s="183"/>
      <c r="Q903" s="169"/>
    </row>
    <row r="904" spans="1:17" s="174" customFormat="1" ht="31.5" x14ac:dyDescent="0.25">
      <c r="A904" s="171" t="str">
        <f>ORÇAMENTO!A206</f>
        <v>4.1.2.6.4</v>
      </c>
      <c r="B904" s="172" t="str">
        <f>VLOOKUP(A904,ORÇAMENTO!A:K,4,0)</f>
        <v>PLACA DE SINALIZAÇÃO E ADVERTÊNCIA EM CHAPA DE AÇO GALVANIZADA Nº 16 (FORNECIMENTO E FIXAÇÃO)</v>
      </c>
      <c r="C904" s="173" t="str">
        <f>VLOOKUP(A904,ORÇAMENTO!A:K,5,0)</f>
        <v>UN</v>
      </c>
      <c r="D904" s="173">
        <f>ROUND(SUM(E907:O907),2)</f>
        <v>5</v>
      </c>
      <c r="E904" s="173" t="s">
        <v>1718</v>
      </c>
      <c r="F904" s="173" t="s">
        <v>1719</v>
      </c>
      <c r="G904" s="173" t="s">
        <v>1720</v>
      </c>
      <c r="H904" s="173" t="s">
        <v>1721</v>
      </c>
      <c r="I904" s="173" t="s">
        <v>1722</v>
      </c>
      <c r="J904" s="173" t="s">
        <v>1723</v>
      </c>
      <c r="K904" s="173" t="s">
        <v>1724</v>
      </c>
      <c r="L904" s="173" t="s">
        <v>1804</v>
      </c>
      <c r="M904" s="173" t="s">
        <v>1726</v>
      </c>
      <c r="N904" s="173" t="s">
        <v>1727</v>
      </c>
      <c r="O904" s="173" t="s">
        <v>1728</v>
      </c>
      <c r="P904" s="169"/>
      <c r="Q904" s="169"/>
    </row>
    <row r="905" spans="1:17" s="170" customFormat="1" ht="10.5" x14ac:dyDescent="0.25">
      <c r="A905" s="175"/>
      <c r="B905" s="176" t="s">
        <v>1807</v>
      </c>
      <c r="C905" s="177"/>
      <c r="D905" s="178"/>
      <c r="E905" s="178">
        <f>E901</f>
        <v>451.97999999999996</v>
      </c>
      <c r="F905" s="178"/>
      <c r="G905" s="178"/>
      <c r="H905" s="178"/>
      <c r="I905" s="178"/>
      <c r="J905" s="178"/>
      <c r="K905" s="178"/>
      <c r="L905" s="178"/>
      <c r="M905" s="178">
        <f>ROUND(E905/100,0)</f>
        <v>5</v>
      </c>
      <c r="N905" s="200"/>
      <c r="O905" s="178"/>
      <c r="P905" s="179"/>
      <c r="Q905" s="169"/>
    </row>
    <row r="906" spans="1:17" s="170" customFormat="1" ht="15" customHeight="1" x14ac:dyDescent="0.25">
      <c r="A906" s="175"/>
      <c r="B906" s="176"/>
      <c r="C906" s="177"/>
      <c r="D906" s="178"/>
      <c r="E906" s="178"/>
      <c r="F906" s="178"/>
      <c r="G906" s="178"/>
      <c r="H906" s="178"/>
      <c r="I906" s="178"/>
      <c r="J906" s="178"/>
      <c r="K906" s="178"/>
      <c r="L906" s="178"/>
      <c r="M906" s="178"/>
      <c r="N906" s="200"/>
      <c r="O906" s="178"/>
      <c r="P906" s="179"/>
      <c r="Q906" s="169"/>
    </row>
    <row r="907" spans="1:17" s="170" customFormat="1" ht="15" customHeight="1" x14ac:dyDescent="0.25">
      <c r="A907" s="175"/>
      <c r="B907" s="181" t="s">
        <v>5</v>
      </c>
      <c r="C907" s="182" t="s">
        <v>1328</v>
      </c>
      <c r="D907" s="182"/>
      <c r="E907" s="177"/>
      <c r="F907" s="182"/>
      <c r="G907" s="182"/>
      <c r="H907" s="182"/>
      <c r="I907" s="182"/>
      <c r="J907" s="182"/>
      <c r="K907" s="178"/>
      <c r="L907" s="182"/>
      <c r="M907" s="177">
        <f>SUM(M905:M905)</f>
        <v>5</v>
      </c>
      <c r="N907" s="177"/>
      <c r="O907" s="177"/>
      <c r="P907" s="183"/>
      <c r="Q907" s="169"/>
    </row>
    <row r="908" spans="1:17" s="174" customFormat="1" ht="21" x14ac:dyDescent="0.25">
      <c r="A908" s="171" t="str">
        <f>ORÇAMENTO!A207</f>
        <v>4.1.2.6.5</v>
      </c>
      <c r="B908" s="172" t="str">
        <f>VLOOKUP(A908,ORÇAMENTO!A:K,4,0)</f>
        <v>SINALIZADOR ELETRÔNICO</v>
      </c>
      <c r="C908" s="173" t="str">
        <f>VLOOKUP(A908,ORÇAMENTO!A:K,5,0)</f>
        <v>UN</v>
      </c>
      <c r="D908" s="173">
        <f>ROUND(SUM(E911:O911),2)</f>
        <v>5</v>
      </c>
      <c r="E908" s="173" t="s">
        <v>1718</v>
      </c>
      <c r="F908" s="173" t="s">
        <v>1719</v>
      </c>
      <c r="G908" s="173" t="s">
        <v>1720</v>
      </c>
      <c r="H908" s="173" t="s">
        <v>1721</v>
      </c>
      <c r="I908" s="173" t="s">
        <v>1722</v>
      </c>
      <c r="J908" s="173" t="s">
        <v>1723</v>
      </c>
      <c r="K908" s="173" t="s">
        <v>1724</v>
      </c>
      <c r="L908" s="173" t="s">
        <v>1804</v>
      </c>
      <c r="M908" s="173" t="s">
        <v>1726</v>
      </c>
      <c r="N908" s="173" t="s">
        <v>1727</v>
      </c>
      <c r="O908" s="173" t="s">
        <v>1728</v>
      </c>
      <c r="P908" s="169"/>
      <c r="Q908" s="169"/>
    </row>
    <row r="909" spans="1:17" s="170" customFormat="1" ht="21" x14ac:dyDescent="0.25">
      <c r="A909" s="175"/>
      <c r="B909" s="176" t="s">
        <v>1738</v>
      </c>
      <c r="C909" s="177"/>
      <c r="D909" s="178"/>
      <c r="E909" s="178">
        <f>E897</f>
        <v>225.98999999999998</v>
      </c>
      <c r="F909" s="178"/>
      <c r="G909" s="178"/>
      <c r="H909" s="178"/>
      <c r="I909" s="178"/>
      <c r="J909" s="178"/>
      <c r="K909" s="178"/>
      <c r="L909" s="178"/>
      <c r="M909" s="178">
        <f>ROUND(E909*0.2/10,0)</f>
        <v>5</v>
      </c>
      <c r="N909" s="200"/>
      <c r="O909" s="178"/>
      <c r="P909" s="179"/>
      <c r="Q909" s="169"/>
    </row>
    <row r="910" spans="1:17" s="170" customFormat="1" ht="15" customHeight="1" x14ac:dyDescent="0.25">
      <c r="A910" s="175"/>
      <c r="B910" s="176"/>
      <c r="C910" s="177"/>
      <c r="D910" s="178"/>
      <c r="E910" s="178"/>
      <c r="F910" s="178"/>
      <c r="G910" s="178"/>
      <c r="H910" s="178"/>
      <c r="I910" s="178"/>
      <c r="J910" s="178"/>
      <c r="K910" s="178"/>
      <c r="L910" s="178"/>
      <c r="M910" s="178"/>
      <c r="N910" s="200"/>
      <c r="O910" s="178"/>
      <c r="P910" s="179"/>
      <c r="Q910" s="169"/>
    </row>
    <row r="911" spans="1:17" s="170" customFormat="1" ht="15" customHeight="1" x14ac:dyDescent="0.25">
      <c r="A911" s="175"/>
      <c r="B911" s="181" t="s">
        <v>5</v>
      </c>
      <c r="C911" s="182" t="s">
        <v>1328</v>
      </c>
      <c r="D911" s="182"/>
      <c r="E911" s="177"/>
      <c r="F911" s="182"/>
      <c r="G911" s="182"/>
      <c r="H911" s="182"/>
      <c r="I911" s="182"/>
      <c r="J911" s="182"/>
      <c r="K911" s="178"/>
      <c r="L911" s="182"/>
      <c r="M911" s="177">
        <f>SUM(M909:M909)</f>
        <v>5</v>
      </c>
      <c r="N911" s="177"/>
      <c r="O911" s="177"/>
      <c r="P911" s="183"/>
      <c r="Q911" s="169"/>
    </row>
    <row r="912" spans="1:17" s="174" customFormat="1" ht="63" x14ac:dyDescent="0.25">
      <c r="A912" s="171" t="str">
        <f>ORÇAMENTO!A208</f>
        <v>4.1.2.6.6</v>
      </c>
      <c r="B912" s="172" t="str">
        <f>VLOOKUP(A912,ORÇAMENTO!A:K,4,0)</f>
        <v>ESCAVAÇÃO MECANIZADA DE VALA COM PROF. ATÉ 1,5 M (MÉDIA MONTANTE E JUSANTE/UMA COMPOSIÇÃO POR TRECHO), ESCAVADEIRA (0,8 M3),LARG. MENOR QUE 1,5 M, EM SOLO DE MOLE, EM LOCAIS COM ALTO NÍVEL DE INTERFERÊNCIA. AF_09/2024</v>
      </c>
      <c r="C912" s="173" t="str">
        <f>VLOOKUP(A912,ORÇAMENTO!A:K,5,0)</f>
        <v>M³</v>
      </c>
      <c r="D912" s="173">
        <f>ROUND(SUM(E917:O917),2)</f>
        <v>91.31</v>
      </c>
      <c r="E912" s="173" t="s">
        <v>1718</v>
      </c>
      <c r="F912" s="173" t="s">
        <v>1719</v>
      </c>
      <c r="G912" s="173" t="s">
        <v>1720</v>
      </c>
      <c r="H912" s="173" t="s">
        <v>1721</v>
      </c>
      <c r="I912" s="173" t="s">
        <v>1722</v>
      </c>
      <c r="J912" s="173" t="s">
        <v>1723</v>
      </c>
      <c r="K912" s="173" t="s">
        <v>1724</v>
      </c>
      <c r="L912" s="173" t="s">
        <v>1804</v>
      </c>
      <c r="M912" s="173" t="s">
        <v>1726</v>
      </c>
      <c r="N912" s="173" t="s">
        <v>1805</v>
      </c>
      <c r="O912" s="173" t="s">
        <v>1728</v>
      </c>
      <c r="P912" s="169"/>
      <c r="Q912" s="169"/>
    </row>
    <row r="913" spans="1:17" s="170" customFormat="1" ht="10.5" x14ac:dyDescent="0.25">
      <c r="A913" s="175"/>
      <c r="B913" s="176"/>
      <c r="C913" s="177"/>
      <c r="D913" s="178"/>
      <c r="E913" s="178"/>
      <c r="F913" s="178"/>
      <c r="G913" s="178"/>
      <c r="H913" s="178"/>
      <c r="I913" s="178"/>
      <c r="J913" s="178"/>
      <c r="K913" s="178"/>
      <c r="L913" s="178"/>
      <c r="M913" s="178"/>
      <c r="N913" s="200"/>
      <c r="O913" s="178"/>
      <c r="P913" s="179"/>
      <c r="Q913" s="169"/>
    </row>
    <row r="914" spans="1:17" s="170" customFormat="1" ht="21" x14ac:dyDescent="0.25">
      <c r="A914" s="175"/>
      <c r="B914" s="176" t="s">
        <v>1808</v>
      </c>
      <c r="C914" s="177"/>
      <c r="D914" s="178"/>
      <c r="E914" s="178"/>
      <c r="F914" s="178"/>
      <c r="G914" s="178"/>
      <c r="H914" s="178"/>
      <c r="I914" s="178"/>
      <c r="J914" s="178"/>
      <c r="K914" s="178"/>
      <c r="L914" s="178"/>
      <c r="M914" s="178"/>
      <c r="N914" s="200"/>
      <c r="O914" s="178">
        <f>QUANTBL!AC96</f>
        <v>91.304999999999993</v>
      </c>
      <c r="P914" s="179"/>
      <c r="Q914" s="169"/>
    </row>
    <row r="915" spans="1:17" s="170" customFormat="1" ht="15" customHeight="1" x14ac:dyDescent="0.25">
      <c r="A915" s="175"/>
      <c r="B915" s="176"/>
      <c r="C915" s="177"/>
      <c r="D915" s="178"/>
      <c r="E915" s="178"/>
      <c r="F915" s="178"/>
      <c r="G915" s="178"/>
      <c r="H915" s="178"/>
      <c r="I915" s="178"/>
      <c r="J915" s="178"/>
      <c r="K915" s="178"/>
      <c r="L915" s="178"/>
      <c r="M915" s="178"/>
      <c r="N915" s="200"/>
      <c r="O915" s="178"/>
      <c r="P915" s="179"/>
      <c r="Q915" s="169"/>
    </row>
    <row r="916" spans="1:17" s="170" customFormat="1" ht="15" customHeight="1" x14ac:dyDescent="0.25">
      <c r="A916" s="175"/>
      <c r="B916" s="176"/>
      <c r="C916" s="177"/>
      <c r="D916" s="178"/>
      <c r="E916" s="178"/>
      <c r="F916" s="178"/>
      <c r="G916" s="178"/>
      <c r="H916" s="178"/>
      <c r="I916" s="178"/>
      <c r="J916" s="178"/>
      <c r="K916" s="178"/>
      <c r="L916" s="178"/>
      <c r="M916" s="178"/>
      <c r="N916" s="200"/>
      <c r="O916" s="178"/>
      <c r="P916" s="179"/>
      <c r="Q916" s="169"/>
    </row>
    <row r="917" spans="1:17" s="170" customFormat="1" ht="15" customHeight="1" x14ac:dyDescent="0.25">
      <c r="A917" s="175"/>
      <c r="B917" s="181" t="s">
        <v>5</v>
      </c>
      <c r="C917" s="182" t="s">
        <v>1328</v>
      </c>
      <c r="D917" s="182"/>
      <c r="E917" s="182"/>
      <c r="F917" s="182"/>
      <c r="G917" s="182"/>
      <c r="H917" s="182"/>
      <c r="I917" s="182"/>
      <c r="J917" s="182"/>
      <c r="K917" s="178"/>
      <c r="L917" s="182"/>
      <c r="M917" s="182"/>
      <c r="N917" s="177"/>
      <c r="O917" s="177">
        <f>SUM(O913:O914)</f>
        <v>91.304999999999993</v>
      </c>
      <c r="P917" s="183"/>
      <c r="Q917" s="169"/>
    </row>
    <row r="918" spans="1:17" s="174" customFormat="1" ht="63" x14ac:dyDescent="0.25">
      <c r="A918" s="171" t="str">
        <f>ORÇAMENTO!A209</f>
        <v>4.1.2.6.7</v>
      </c>
      <c r="B918" s="172" t="str">
        <f>VLOOKUP(A918,ORÇAMENTO!A:K,4,0)</f>
        <v>ESCAVAÇÃO MECANIZADA DE VALA COM PROF. MAIOR QUE 1,5 M ATÉ 3,0 M (MÉDIA MONTANTE E JUSANTE/UMA COMPOSIÇÃO POR TRECHO), ESCAVADEIRA (0,8 M3), LARGURA ATÉ 1,5 M, EM SOLO MOLE, EM LOCAIS COM ALTO NÍVEL DE INTERFERÊNCIA. AF_09/2024</v>
      </c>
      <c r="C918" s="173" t="str">
        <f>VLOOKUP(A918,ORÇAMENTO!A:K,5,0)</f>
        <v>M³</v>
      </c>
      <c r="D918" s="173">
        <f>ROUND(SUM(E923:O923),2)</f>
        <v>82.73</v>
      </c>
      <c r="E918" s="173" t="s">
        <v>1718</v>
      </c>
      <c r="F918" s="173" t="s">
        <v>1719</v>
      </c>
      <c r="G918" s="173" t="s">
        <v>1720</v>
      </c>
      <c r="H918" s="173" t="s">
        <v>1721</v>
      </c>
      <c r="I918" s="173" t="s">
        <v>1722</v>
      </c>
      <c r="J918" s="173" t="s">
        <v>1723</v>
      </c>
      <c r="K918" s="173" t="s">
        <v>1724</v>
      </c>
      <c r="L918" s="173" t="s">
        <v>1804</v>
      </c>
      <c r="M918" s="173" t="s">
        <v>1726</v>
      </c>
      <c r="N918" s="173" t="s">
        <v>1805</v>
      </c>
      <c r="O918" s="173" t="s">
        <v>1728</v>
      </c>
      <c r="P918" s="169"/>
      <c r="Q918" s="169"/>
    </row>
    <row r="919" spans="1:17" s="170" customFormat="1" ht="10.5" x14ac:dyDescent="0.25">
      <c r="A919" s="175"/>
      <c r="B919" s="176"/>
      <c r="C919" s="177"/>
      <c r="D919" s="178"/>
      <c r="E919" s="178"/>
      <c r="F919" s="178"/>
      <c r="G919" s="178"/>
      <c r="H919" s="178"/>
      <c r="I919" s="178"/>
      <c r="J919" s="178"/>
      <c r="K919" s="178"/>
      <c r="L919" s="178"/>
      <c r="M919" s="178"/>
      <c r="N919" s="200"/>
      <c r="O919" s="178"/>
      <c r="P919" s="179"/>
      <c r="Q919" s="169"/>
    </row>
    <row r="920" spans="1:17" s="170" customFormat="1" ht="21" x14ac:dyDescent="0.25">
      <c r="A920" s="175"/>
      <c r="B920" s="176" t="s">
        <v>1808</v>
      </c>
      <c r="C920" s="177"/>
      <c r="D920" s="178"/>
      <c r="E920" s="178"/>
      <c r="F920" s="178"/>
      <c r="G920" s="178"/>
      <c r="H920" s="178"/>
      <c r="I920" s="178"/>
      <c r="J920" s="178"/>
      <c r="K920" s="178"/>
      <c r="L920" s="178"/>
      <c r="M920" s="178"/>
      <c r="N920" s="200"/>
      <c r="O920" s="178">
        <f>QUANTBL!AD96</f>
        <v>82.725927999999996</v>
      </c>
      <c r="P920" s="179"/>
      <c r="Q920" s="169"/>
    </row>
    <row r="921" spans="1:17" s="170" customFormat="1" ht="15" customHeight="1" x14ac:dyDescent="0.25">
      <c r="A921" s="175"/>
      <c r="B921" s="176"/>
      <c r="C921" s="177"/>
      <c r="D921" s="178"/>
      <c r="E921" s="178"/>
      <c r="F921" s="178"/>
      <c r="G921" s="178"/>
      <c r="H921" s="178"/>
      <c r="I921" s="178"/>
      <c r="J921" s="178"/>
      <c r="K921" s="178"/>
      <c r="L921" s="178"/>
      <c r="M921" s="178"/>
      <c r="N921" s="200"/>
      <c r="O921" s="178"/>
      <c r="P921" s="179"/>
      <c r="Q921" s="169"/>
    </row>
    <row r="922" spans="1:17" s="170" customFormat="1" ht="15" customHeight="1" x14ac:dyDescent="0.25">
      <c r="A922" s="175"/>
      <c r="B922" s="176"/>
      <c r="C922" s="177"/>
      <c r="D922" s="178"/>
      <c r="E922" s="178"/>
      <c r="F922" s="178"/>
      <c r="G922" s="178"/>
      <c r="H922" s="178"/>
      <c r="I922" s="178"/>
      <c r="J922" s="178"/>
      <c r="K922" s="178"/>
      <c r="L922" s="178"/>
      <c r="M922" s="178"/>
      <c r="N922" s="200"/>
      <c r="O922" s="178"/>
      <c r="P922" s="179"/>
      <c r="Q922" s="169"/>
    </row>
    <row r="923" spans="1:17" s="170" customFormat="1" ht="15" customHeight="1" x14ac:dyDescent="0.25">
      <c r="A923" s="175"/>
      <c r="B923" s="181" t="s">
        <v>5</v>
      </c>
      <c r="C923" s="182" t="s">
        <v>1328</v>
      </c>
      <c r="D923" s="182"/>
      <c r="E923" s="182"/>
      <c r="F923" s="182"/>
      <c r="G923" s="182"/>
      <c r="H923" s="182"/>
      <c r="I923" s="182"/>
      <c r="J923" s="182"/>
      <c r="K923" s="178"/>
      <c r="L923" s="182"/>
      <c r="M923" s="182"/>
      <c r="N923" s="177"/>
      <c r="O923" s="177">
        <f>SUM(O919:O920)</f>
        <v>82.725927999999996</v>
      </c>
      <c r="P923" s="183"/>
      <c r="Q923" s="169"/>
    </row>
    <row r="924" spans="1:17" s="174" customFormat="1" ht="63" x14ac:dyDescent="0.25">
      <c r="A924" s="171" t="str">
        <f>ORÇAMENTO!A210</f>
        <v>4.1.2.6.8</v>
      </c>
      <c r="B924" s="172" t="str">
        <f>VLOOKUP(A924,ORÇAMENTO!A:K,4,0)</f>
        <v>ESCAVAÇÃO MECANIZADA DE VALA COM PROF. MAIOR QUE 3,0 M ATÉ 4,5 M (MÉDIA MONTANTE E JUSANTE/UMA COMPOSIÇÃO POR TRECHO), ESCAVADEIRA (0,8 M3), LARG. MENOR QUE 1,5 M, EM SOLO MOLE, EM LOCAIS COM ALTO NÍVEL DE INTERFERÊNCIA. AF_09/2024</v>
      </c>
      <c r="C924" s="173" t="str">
        <f>VLOOKUP(A924,ORÇAMENTO!A:K,5,0)</f>
        <v>M³</v>
      </c>
      <c r="D924" s="173">
        <f>ROUND(SUM(E929:O929),2)</f>
        <v>42.13</v>
      </c>
      <c r="E924" s="173" t="s">
        <v>1718</v>
      </c>
      <c r="F924" s="173" t="s">
        <v>1719</v>
      </c>
      <c r="G924" s="173" t="s">
        <v>1720</v>
      </c>
      <c r="H924" s="173" t="s">
        <v>1721</v>
      </c>
      <c r="I924" s="173" t="s">
        <v>1722</v>
      </c>
      <c r="J924" s="173" t="s">
        <v>1723</v>
      </c>
      <c r="K924" s="173" t="s">
        <v>1724</v>
      </c>
      <c r="L924" s="173" t="s">
        <v>1804</v>
      </c>
      <c r="M924" s="173" t="s">
        <v>1726</v>
      </c>
      <c r="N924" s="173" t="s">
        <v>1805</v>
      </c>
      <c r="O924" s="173" t="s">
        <v>1728</v>
      </c>
      <c r="P924" s="169"/>
      <c r="Q924" s="169"/>
    </row>
    <row r="925" spans="1:17" s="170" customFormat="1" ht="10.5" x14ac:dyDescent="0.25">
      <c r="A925" s="175"/>
      <c r="B925" s="176"/>
      <c r="C925" s="177"/>
      <c r="D925" s="178"/>
      <c r="E925" s="178"/>
      <c r="F925" s="178"/>
      <c r="G925" s="178"/>
      <c r="H925" s="178"/>
      <c r="I925" s="178"/>
      <c r="J925" s="178"/>
      <c r="K925" s="178"/>
      <c r="L925" s="178"/>
      <c r="M925" s="178"/>
      <c r="N925" s="200"/>
      <c r="O925" s="178"/>
      <c r="P925" s="179"/>
      <c r="Q925" s="169"/>
    </row>
    <row r="926" spans="1:17" s="170" customFormat="1" ht="21" x14ac:dyDescent="0.25">
      <c r="A926" s="175"/>
      <c r="B926" s="176" t="s">
        <v>1808</v>
      </c>
      <c r="C926" s="177"/>
      <c r="D926" s="178"/>
      <c r="E926" s="178"/>
      <c r="F926" s="178"/>
      <c r="G926" s="178"/>
      <c r="H926" s="178"/>
      <c r="I926" s="178"/>
      <c r="J926" s="178"/>
      <c r="K926" s="178"/>
      <c r="L926" s="178"/>
      <c r="M926" s="178"/>
      <c r="N926" s="200"/>
      <c r="O926" s="178">
        <f>QUANTBL!AE96</f>
        <v>42.134299999999982</v>
      </c>
      <c r="P926" s="179"/>
      <c r="Q926" s="169"/>
    </row>
    <row r="927" spans="1:17" s="170" customFormat="1" ht="15" customHeight="1" x14ac:dyDescent="0.25">
      <c r="A927" s="175"/>
      <c r="B927" s="176"/>
      <c r="C927" s="177"/>
      <c r="D927" s="178"/>
      <c r="E927" s="178"/>
      <c r="F927" s="178"/>
      <c r="G927" s="178"/>
      <c r="H927" s="178"/>
      <c r="I927" s="178"/>
      <c r="J927" s="178"/>
      <c r="K927" s="178"/>
      <c r="L927" s="178"/>
      <c r="M927" s="178"/>
      <c r="N927" s="200"/>
      <c r="O927" s="178"/>
      <c r="P927" s="179"/>
      <c r="Q927" s="169"/>
    </row>
    <row r="928" spans="1:17" s="170" customFormat="1" ht="15" customHeight="1" x14ac:dyDescent="0.25">
      <c r="A928" s="175"/>
      <c r="B928" s="176"/>
      <c r="C928" s="177"/>
      <c r="D928" s="178"/>
      <c r="E928" s="178"/>
      <c r="F928" s="178"/>
      <c r="G928" s="178"/>
      <c r="H928" s="178"/>
      <c r="I928" s="178"/>
      <c r="J928" s="178"/>
      <c r="K928" s="178"/>
      <c r="L928" s="178"/>
      <c r="M928" s="178"/>
      <c r="N928" s="200"/>
      <c r="O928" s="178"/>
      <c r="P928" s="179"/>
      <c r="Q928" s="169"/>
    </row>
    <row r="929" spans="1:17" s="170" customFormat="1" ht="15" customHeight="1" x14ac:dyDescent="0.25">
      <c r="A929" s="175"/>
      <c r="B929" s="181" t="s">
        <v>5</v>
      </c>
      <c r="C929" s="182" t="s">
        <v>1328</v>
      </c>
      <c r="D929" s="182"/>
      <c r="E929" s="182"/>
      <c r="F929" s="182"/>
      <c r="G929" s="182"/>
      <c r="H929" s="182"/>
      <c r="I929" s="182"/>
      <c r="J929" s="182"/>
      <c r="K929" s="178"/>
      <c r="L929" s="182"/>
      <c r="M929" s="182"/>
      <c r="N929" s="177"/>
      <c r="O929" s="177">
        <f>SUM(O925:O926)</f>
        <v>42.134299999999982</v>
      </c>
      <c r="P929" s="183"/>
      <c r="Q929" s="169"/>
    </row>
    <row r="930" spans="1:17" s="174" customFormat="1" ht="63" x14ac:dyDescent="0.25">
      <c r="A930" s="171" t="str">
        <f>ORÇAMENTO!A211</f>
        <v>4.1.2.6.9</v>
      </c>
      <c r="B930" s="172" t="str">
        <f>VLOOKUP(A930,ORÇAMENTO!A:K,4,0)</f>
        <v>ESCAVAÇÃO MECANIZADA DE VALA COM PROF. ATÉ 1,5 M (MÉDIA MONTANTE E JUSANTE/UMA COMPOSIÇÃO POR TRECHO), ESCAVADEIRA (0,8 M3), LARG. DE 1,5 M A 2,5 M, EM SOLO MOLE, EM LOCAIS COM ALTO NÍVEL DE INTERFERÊNCIA. AF_09/2024</v>
      </c>
      <c r="C930" s="173" t="str">
        <f>VLOOKUP(A930,ORÇAMENTO!A:K,5,0)</f>
        <v>M³</v>
      </c>
      <c r="D930" s="173">
        <f>ROUND(SUM(E934:O934),2)</f>
        <v>97.28</v>
      </c>
      <c r="E930" s="173" t="s">
        <v>1718</v>
      </c>
      <c r="F930" s="173" t="s">
        <v>1719</v>
      </c>
      <c r="G930" s="173" t="s">
        <v>1720</v>
      </c>
      <c r="H930" s="173" t="s">
        <v>1721</v>
      </c>
      <c r="I930" s="173" t="s">
        <v>1722</v>
      </c>
      <c r="J930" s="173" t="s">
        <v>1723</v>
      </c>
      <c r="K930" s="173" t="s">
        <v>1724</v>
      </c>
      <c r="L930" s="173" t="s">
        <v>1804</v>
      </c>
      <c r="M930" s="173" t="s">
        <v>1726</v>
      </c>
      <c r="N930" s="173" t="s">
        <v>1809</v>
      </c>
      <c r="O930" s="173" t="s">
        <v>1728</v>
      </c>
      <c r="P930" s="169"/>
      <c r="Q930" s="169"/>
    </row>
    <row r="931" spans="1:17" s="170" customFormat="1" ht="10.5" x14ac:dyDescent="0.25">
      <c r="A931" s="175"/>
      <c r="B931" s="176"/>
      <c r="C931" s="177"/>
      <c r="D931" s="178"/>
      <c r="E931" s="178"/>
      <c r="F931" s="178"/>
      <c r="G931" s="178"/>
      <c r="H931" s="178"/>
      <c r="I931" s="178"/>
      <c r="J931" s="178"/>
      <c r="K931" s="178"/>
      <c r="L931" s="178"/>
      <c r="M931" s="178"/>
      <c r="N931" s="200"/>
      <c r="O931" s="178"/>
      <c r="P931" s="179"/>
      <c r="Q931" s="169"/>
    </row>
    <row r="932" spans="1:17" s="170" customFormat="1" ht="10.5" x14ac:dyDescent="0.25">
      <c r="A932" s="175"/>
      <c r="B932" s="176" t="s">
        <v>1810</v>
      </c>
      <c r="C932" s="177"/>
      <c r="D932" s="178"/>
      <c r="E932" s="178"/>
      <c r="F932" s="178"/>
      <c r="G932" s="178"/>
      <c r="H932" s="178"/>
      <c r="I932" s="178"/>
      <c r="J932" s="178"/>
      <c r="K932" s="178"/>
      <c r="L932" s="178"/>
      <c r="M932" s="178"/>
      <c r="N932" s="200"/>
      <c r="O932" s="178">
        <f>QUANTBL!CE96</f>
        <v>97.282499999999999</v>
      </c>
      <c r="P932" s="179"/>
      <c r="Q932" s="169"/>
    </row>
    <row r="933" spans="1:17" s="170" customFormat="1" ht="10.5" x14ac:dyDescent="0.25">
      <c r="A933" s="175"/>
      <c r="B933" s="176"/>
      <c r="C933" s="177"/>
      <c r="D933" s="178"/>
      <c r="E933" s="178"/>
      <c r="F933" s="178"/>
      <c r="G933" s="178"/>
      <c r="H933" s="178"/>
      <c r="I933" s="178"/>
      <c r="J933" s="178"/>
      <c r="K933" s="178"/>
      <c r="L933" s="178"/>
      <c r="M933" s="178"/>
      <c r="N933" s="200"/>
      <c r="O933" s="178"/>
      <c r="P933" s="179"/>
      <c r="Q933" s="169"/>
    </row>
    <row r="934" spans="1:17" s="170" customFormat="1" ht="15" customHeight="1" x14ac:dyDescent="0.25">
      <c r="A934" s="175"/>
      <c r="B934" s="181" t="s">
        <v>5</v>
      </c>
      <c r="C934" s="182" t="s">
        <v>1328</v>
      </c>
      <c r="D934" s="182"/>
      <c r="E934" s="182"/>
      <c r="F934" s="182"/>
      <c r="G934" s="182"/>
      <c r="H934" s="182"/>
      <c r="I934" s="182"/>
      <c r="J934" s="182"/>
      <c r="K934" s="178"/>
      <c r="L934" s="182"/>
      <c r="M934" s="182"/>
      <c r="N934" s="177"/>
      <c r="O934" s="177">
        <f>SUM(O931:O933)</f>
        <v>97.282499999999999</v>
      </c>
      <c r="P934" s="183"/>
      <c r="Q934" s="169"/>
    </row>
    <row r="935" spans="1:17" s="174" customFormat="1" ht="63" x14ac:dyDescent="0.25">
      <c r="A935" s="171" t="str">
        <f>ORÇAMENTO!A212</f>
        <v>4.1.2.6.10</v>
      </c>
      <c r="B935" s="172" t="str">
        <f>VLOOKUP(A935,ORÇAMENTO!A:K,4,0)</f>
        <v>ESCAVAÇÃO MECANIZADA DE VALA COM PROF. MAIOR QUE 1,5 M ATÉ 3,0 M (MÉDIA MONTANTE E JUSANTE/UMA COMPOSIÇÃO POR TRECHO),COM ESCAVADEIRA (1,2 M3),LARG. DE 1,5 M A 2,5 M, EM SOLO MOLE, EM LOCAIS COM ALTO NÍVEL DE INTERFERÊNCIA. AF_09/2024</v>
      </c>
      <c r="C935" s="173" t="str">
        <f>VLOOKUP(A935,ORÇAMENTO!A:K,5,0)</f>
        <v>M³</v>
      </c>
      <c r="D935" s="173">
        <f>ROUND(SUM(E939:O939),2)</f>
        <v>84.95</v>
      </c>
      <c r="E935" s="173" t="s">
        <v>1718</v>
      </c>
      <c r="F935" s="173" t="s">
        <v>1719</v>
      </c>
      <c r="G935" s="173" t="s">
        <v>1720</v>
      </c>
      <c r="H935" s="173" t="s">
        <v>1721</v>
      </c>
      <c r="I935" s="173" t="s">
        <v>1722</v>
      </c>
      <c r="J935" s="173" t="s">
        <v>1723</v>
      </c>
      <c r="K935" s="173" t="s">
        <v>1724</v>
      </c>
      <c r="L935" s="173" t="s">
        <v>1804</v>
      </c>
      <c r="M935" s="173" t="s">
        <v>1726</v>
      </c>
      <c r="N935" s="173" t="s">
        <v>1809</v>
      </c>
      <c r="O935" s="173" t="s">
        <v>1728</v>
      </c>
      <c r="P935" s="169"/>
      <c r="Q935" s="169"/>
    </row>
    <row r="936" spans="1:17" s="170" customFormat="1" ht="10.5" x14ac:dyDescent="0.25">
      <c r="A936" s="175"/>
      <c r="B936" s="176"/>
      <c r="C936" s="177"/>
      <c r="D936" s="178"/>
      <c r="E936" s="178"/>
      <c r="F936" s="178"/>
      <c r="G936" s="178"/>
      <c r="H936" s="178"/>
      <c r="I936" s="178"/>
      <c r="J936" s="178"/>
      <c r="K936" s="178"/>
      <c r="L936" s="178"/>
      <c r="M936" s="178"/>
      <c r="N936" s="200"/>
      <c r="O936" s="178"/>
      <c r="P936" s="179"/>
      <c r="Q936" s="169"/>
    </row>
    <row r="937" spans="1:17" s="170" customFormat="1" ht="10.5" x14ac:dyDescent="0.25">
      <c r="A937" s="175"/>
      <c r="B937" s="176" t="s">
        <v>1810</v>
      </c>
      <c r="C937" s="177"/>
      <c r="D937" s="178"/>
      <c r="E937" s="178"/>
      <c r="F937" s="178"/>
      <c r="G937" s="178"/>
      <c r="H937" s="178"/>
      <c r="I937" s="178"/>
      <c r="J937" s="178"/>
      <c r="K937" s="178"/>
      <c r="L937" s="178"/>
      <c r="M937" s="178"/>
      <c r="N937" s="200"/>
      <c r="O937" s="178">
        <f>QUANTBL!CF96</f>
        <v>84.951260239999982</v>
      </c>
      <c r="P937" s="179"/>
      <c r="Q937" s="169"/>
    </row>
    <row r="938" spans="1:17" s="170" customFormat="1" ht="10.5" x14ac:dyDescent="0.25">
      <c r="A938" s="175"/>
      <c r="B938" s="176"/>
      <c r="C938" s="177"/>
      <c r="D938" s="178"/>
      <c r="E938" s="178"/>
      <c r="F938" s="178"/>
      <c r="G938" s="178"/>
      <c r="H938" s="178"/>
      <c r="I938" s="178"/>
      <c r="J938" s="178"/>
      <c r="K938" s="178"/>
      <c r="L938" s="178"/>
      <c r="M938" s="178"/>
      <c r="N938" s="200"/>
      <c r="O938" s="178"/>
      <c r="P938" s="179"/>
      <c r="Q938" s="169"/>
    </row>
    <row r="939" spans="1:17" s="170" customFormat="1" ht="15" customHeight="1" x14ac:dyDescent="0.25">
      <c r="A939" s="175"/>
      <c r="B939" s="181" t="s">
        <v>5</v>
      </c>
      <c r="C939" s="182" t="s">
        <v>1328</v>
      </c>
      <c r="D939" s="182"/>
      <c r="E939" s="182"/>
      <c r="F939" s="182"/>
      <c r="G939" s="182"/>
      <c r="H939" s="182"/>
      <c r="I939" s="182"/>
      <c r="J939" s="182"/>
      <c r="K939" s="178"/>
      <c r="L939" s="182"/>
      <c r="M939" s="182"/>
      <c r="N939" s="177"/>
      <c r="O939" s="177">
        <f>SUM(O936:O938)</f>
        <v>84.951260239999982</v>
      </c>
      <c r="P939" s="183"/>
      <c r="Q939" s="169"/>
    </row>
    <row r="940" spans="1:17" s="174" customFormat="1" ht="63" x14ac:dyDescent="0.25">
      <c r="A940" s="171" t="str">
        <f>ORÇAMENTO!A213</f>
        <v>4.1.2.6.11</v>
      </c>
      <c r="B940" s="172" t="str">
        <f>VLOOKUP(A940,ORÇAMENTO!A:K,4,0)</f>
        <v>ESCAVAÇÃO MECANIZADA DE VALA COM PROF. ATÉ 1,5 M (MÉDIA MONTANTE E JUSANTE/UMA COMPOSIÇÃO POR TRECHO), ESCAVADEIRA (0,8 M3), LARG. MENOR QUE 1,5 M, EM SOLO DE 1A CATEGORIA, EM LOCAIS COM ALTO NÍVEL DE INTERFERÊNCIA. AF_09/2024</v>
      </c>
      <c r="C940" s="173" t="str">
        <f>VLOOKUP(A940,ORÇAMENTO!A:K,5,0)</f>
        <v>M³</v>
      </c>
      <c r="D940" s="173">
        <f>ROUND(SUM(E945:O945),2)</f>
        <v>260.39999999999998</v>
      </c>
      <c r="E940" s="173" t="s">
        <v>1718</v>
      </c>
      <c r="F940" s="173" t="s">
        <v>1719</v>
      </c>
      <c r="G940" s="173" t="s">
        <v>1720</v>
      </c>
      <c r="H940" s="173" t="s">
        <v>1721</v>
      </c>
      <c r="I940" s="173" t="s">
        <v>1722</v>
      </c>
      <c r="J940" s="173" t="s">
        <v>1723</v>
      </c>
      <c r="K940" s="173" t="s">
        <v>1724</v>
      </c>
      <c r="L940" s="173" t="s">
        <v>1804</v>
      </c>
      <c r="M940" s="173" t="s">
        <v>1726</v>
      </c>
      <c r="N940" s="173" t="s">
        <v>1805</v>
      </c>
      <c r="O940" s="173" t="s">
        <v>1728</v>
      </c>
      <c r="P940" s="169"/>
      <c r="Q940" s="169"/>
    </row>
    <row r="941" spans="1:17" s="170" customFormat="1" ht="10.5" x14ac:dyDescent="0.25">
      <c r="A941" s="175"/>
      <c r="B941" s="176"/>
      <c r="C941" s="177"/>
      <c r="D941" s="178"/>
      <c r="E941" s="178"/>
      <c r="F941" s="178"/>
      <c r="G941" s="178"/>
      <c r="H941" s="178"/>
      <c r="I941" s="178"/>
      <c r="J941" s="178"/>
      <c r="K941" s="178"/>
      <c r="L941" s="178"/>
      <c r="M941" s="178"/>
      <c r="N941" s="200"/>
      <c r="O941" s="178"/>
      <c r="P941" s="179"/>
      <c r="Q941" s="169"/>
    </row>
    <row r="942" spans="1:17" s="170" customFormat="1" ht="21" x14ac:dyDescent="0.25">
      <c r="A942" s="175"/>
      <c r="B942" s="176" t="s">
        <v>1808</v>
      </c>
      <c r="C942" s="177"/>
      <c r="D942" s="178"/>
      <c r="E942" s="178"/>
      <c r="F942" s="178"/>
      <c r="G942" s="178"/>
      <c r="H942" s="178"/>
      <c r="I942" s="178"/>
      <c r="J942" s="178"/>
      <c r="K942" s="178"/>
      <c r="L942" s="178"/>
      <c r="M942" s="178"/>
      <c r="N942" s="200"/>
      <c r="O942" s="178">
        <f>QUANTBL!AF96</f>
        <v>260.40427199999999</v>
      </c>
      <c r="P942" s="179"/>
      <c r="Q942" s="169"/>
    </row>
    <row r="943" spans="1:17" s="170" customFormat="1" ht="15" customHeight="1" x14ac:dyDescent="0.25">
      <c r="A943" s="175"/>
      <c r="B943" s="176"/>
      <c r="C943" s="177"/>
      <c r="D943" s="178"/>
      <c r="E943" s="178"/>
      <c r="F943" s="178"/>
      <c r="G943" s="178"/>
      <c r="H943" s="178"/>
      <c r="I943" s="178"/>
      <c r="J943" s="178"/>
      <c r="K943" s="178"/>
      <c r="L943" s="178"/>
      <c r="M943" s="178"/>
      <c r="N943" s="200"/>
      <c r="O943" s="178"/>
      <c r="P943" s="179"/>
      <c r="Q943" s="169"/>
    </row>
    <row r="944" spans="1:17" s="170" customFormat="1" ht="15" customHeight="1" x14ac:dyDescent="0.25">
      <c r="A944" s="175"/>
      <c r="B944" s="176"/>
      <c r="C944" s="177"/>
      <c r="D944" s="178"/>
      <c r="E944" s="178"/>
      <c r="F944" s="178"/>
      <c r="G944" s="178"/>
      <c r="H944" s="178"/>
      <c r="I944" s="178"/>
      <c r="J944" s="178"/>
      <c r="K944" s="178"/>
      <c r="L944" s="178"/>
      <c r="M944" s="178"/>
      <c r="N944" s="200"/>
      <c r="O944" s="178"/>
      <c r="P944" s="179"/>
      <c r="Q944" s="169"/>
    </row>
    <row r="945" spans="1:17" s="170" customFormat="1" ht="15" customHeight="1" x14ac:dyDescent="0.25">
      <c r="A945" s="175"/>
      <c r="B945" s="181" t="s">
        <v>5</v>
      </c>
      <c r="C945" s="182" t="s">
        <v>1328</v>
      </c>
      <c r="D945" s="182"/>
      <c r="E945" s="182"/>
      <c r="F945" s="182"/>
      <c r="G945" s="182"/>
      <c r="H945" s="182"/>
      <c r="I945" s="182"/>
      <c r="J945" s="182"/>
      <c r="K945" s="178"/>
      <c r="L945" s="182"/>
      <c r="M945" s="182"/>
      <c r="N945" s="177"/>
      <c r="O945" s="177">
        <f>SUM(O941:O942)</f>
        <v>260.40427199999999</v>
      </c>
      <c r="P945" s="183"/>
      <c r="Q945" s="169"/>
    </row>
    <row r="946" spans="1:17" s="174" customFormat="1" ht="63" x14ac:dyDescent="0.25">
      <c r="A946" s="171" t="str">
        <f>ORÇAMENTO!A214</f>
        <v>4.1.2.6.12</v>
      </c>
      <c r="B946" s="172" t="str">
        <f>VLOOKUP(A946,ORÇAMENTO!A:K,4,0)</f>
        <v>ESCAVAÇÃO MECANIZADA DE VALA COM PROF. MAIOR QUE 1,5 M ATÉ 3,0 M (MÉDIA MONTANTE E JUSANTE/UMA COMPOSIÇÃO POR TRECHO), ESCAVADEIRA (0,8 M3), LARGURA ATÉ 1,5 M, EM SOLO DE 1A CATEGORIA, EM LOCAIS COM ALTO NÍVEL DE INTERFERÊNCIA. AF_09/2024</v>
      </c>
      <c r="C946" s="173" t="str">
        <f>VLOOKUP(A946,ORÇAMENTO!A:K,5,0)</f>
        <v>M³</v>
      </c>
      <c r="D946" s="173">
        <f>ROUND(SUM(E951:O951),2)</f>
        <v>116.59</v>
      </c>
      <c r="E946" s="173" t="s">
        <v>1718</v>
      </c>
      <c r="F946" s="173" t="s">
        <v>1719</v>
      </c>
      <c r="G946" s="173" t="s">
        <v>1720</v>
      </c>
      <c r="H946" s="173" t="s">
        <v>1721</v>
      </c>
      <c r="I946" s="173" t="s">
        <v>1722</v>
      </c>
      <c r="J946" s="173" t="s">
        <v>1723</v>
      </c>
      <c r="K946" s="173" t="s">
        <v>1724</v>
      </c>
      <c r="L946" s="173" t="s">
        <v>1804</v>
      </c>
      <c r="M946" s="173" t="s">
        <v>1726</v>
      </c>
      <c r="N946" s="173" t="s">
        <v>1805</v>
      </c>
      <c r="O946" s="173" t="s">
        <v>1728</v>
      </c>
      <c r="P946" s="169"/>
      <c r="Q946" s="169"/>
    </row>
    <row r="947" spans="1:17" s="170" customFormat="1" ht="10.5" x14ac:dyDescent="0.25">
      <c r="A947" s="175"/>
      <c r="B947" s="176"/>
      <c r="C947" s="177"/>
      <c r="D947" s="178"/>
      <c r="E947" s="178"/>
      <c r="F947" s="178"/>
      <c r="G947" s="178"/>
      <c r="H947" s="178"/>
      <c r="I947" s="178"/>
      <c r="J947" s="178"/>
      <c r="K947" s="178"/>
      <c r="L947" s="178"/>
      <c r="M947" s="178"/>
      <c r="N947" s="200"/>
      <c r="O947" s="178"/>
      <c r="P947" s="179"/>
      <c r="Q947" s="169"/>
    </row>
    <row r="948" spans="1:17" s="170" customFormat="1" ht="21" x14ac:dyDescent="0.25">
      <c r="A948" s="175"/>
      <c r="B948" s="176" t="s">
        <v>1808</v>
      </c>
      <c r="C948" s="177"/>
      <c r="D948" s="178"/>
      <c r="E948" s="178"/>
      <c r="F948" s="178"/>
      <c r="G948" s="178"/>
      <c r="H948" s="178"/>
      <c r="I948" s="178"/>
      <c r="J948" s="178"/>
      <c r="K948" s="178"/>
      <c r="L948" s="178"/>
      <c r="M948" s="178"/>
      <c r="N948" s="200"/>
      <c r="O948" s="178">
        <f>QUANTBL!AG96</f>
        <v>116.59139699999838</v>
      </c>
      <c r="P948" s="179"/>
      <c r="Q948" s="169"/>
    </row>
    <row r="949" spans="1:17" s="170" customFormat="1" ht="15" customHeight="1" x14ac:dyDescent="0.25">
      <c r="A949" s="175"/>
      <c r="B949" s="176"/>
      <c r="C949" s="177"/>
      <c r="D949" s="178"/>
      <c r="E949" s="178"/>
      <c r="F949" s="178"/>
      <c r="G949" s="178"/>
      <c r="H949" s="178"/>
      <c r="I949" s="178"/>
      <c r="J949" s="178"/>
      <c r="K949" s="178"/>
      <c r="L949" s="178"/>
      <c r="M949" s="178"/>
      <c r="N949" s="200"/>
      <c r="O949" s="178"/>
      <c r="P949" s="179"/>
      <c r="Q949" s="169"/>
    </row>
    <row r="950" spans="1:17" s="170" customFormat="1" ht="15" customHeight="1" x14ac:dyDescent="0.25">
      <c r="A950" s="175"/>
      <c r="B950" s="176"/>
      <c r="C950" s="177"/>
      <c r="D950" s="178"/>
      <c r="E950" s="178"/>
      <c r="F950" s="178"/>
      <c r="G950" s="178"/>
      <c r="H950" s="178"/>
      <c r="I950" s="178"/>
      <c r="J950" s="178"/>
      <c r="K950" s="178"/>
      <c r="L950" s="178"/>
      <c r="M950" s="178"/>
      <c r="N950" s="200"/>
      <c r="O950" s="178"/>
      <c r="P950" s="179"/>
      <c r="Q950" s="169"/>
    </row>
    <row r="951" spans="1:17" s="170" customFormat="1" ht="15" customHeight="1" x14ac:dyDescent="0.25">
      <c r="A951" s="175"/>
      <c r="B951" s="181" t="s">
        <v>5</v>
      </c>
      <c r="C951" s="182" t="s">
        <v>1328</v>
      </c>
      <c r="D951" s="182"/>
      <c r="E951" s="182"/>
      <c r="F951" s="182"/>
      <c r="G951" s="182"/>
      <c r="H951" s="182"/>
      <c r="I951" s="182"/>
      <c r="J951" s="182"/>
      <c r="K951" s="178"/>
      <c r="L951" s="182"/>
      <c r="M951" s="182"/>
      <c r="N951" s="177"/>
      <c r="O951" s="177">
        <f>SUM(O947:O948)</f>
        <v>116.59139699999838</v>
      </c>
      <c r="P951" s="183"/>
      <c r="Q951" s="169"/>
    </row>
    <row r="952" spans="1:17" s="174" customFormat="1" ht="63" x14ac:dyDescent="0.25">
      <c r="A952" s="171" t="str">
        <f>ORÇAMENTO!A215</f>
        <v>4.1.2.6.13</v>
      </c>
      <c r="B952" s="172" t="str">
        <f>VLOOKUP(A952,ORÇAMENTO!A:K,4,0)</f>
        <v>ESCAVAÇÃO MECANIZADA DE VALA COM PROF. MAIOR QUE 3,0 M ATÉ 4,5 M(MÉDIA MONTANTE E JUSANTE/UMA COMPOSIÇÃO POR TRECHO), ESCAVADEIRA (0,8 M3), LARG. MENOR QUE 1,5 M, EM SOLO DE 1A CATEGORIA, EM LOCAIS COM ALTO NÍVEL DE INTERFERÊNCIA. AF_09/2024</v>
      </c>
      <c r="C952" s="173" t="str">
        <f>VLOOKUP(A952,ORÇAMENTO!A:K,5,0)</f>
        <v>M³</v>
      </c>
      <c r="D952" s="173">
        <f>ROUND(SUM(E957:O957),2)</f>
        <v>1.18</v>
      </c>
      <c r="E952" s="173" t="s">
        <v>1718</v>
      </c>
      <c r="F952" s="173" t="s">
        <v>1719</v>
      </c>
      <c r="G952" s="173" t="s">
        <v>1720</v>
      </c>
      <c r="H952" s="173" t="s">
        <v>1721</v>
      </c>
      <c r="I952" s="173" t="s">
        <v>1722</v>
      </c>
      <c r="J952" s="173" t="s">
        <v>1723</v>
      </c>
      <c r="K952" s="173" t="s">
        <v>1724</v>
      </c>
      <c r="L952" s="173" t="s">
        <v>1804</v>
      </c>
      <c r="M952" s="173" t="s">
        <v>1726</v>
      </c>
      <c r="N952" s="173" t="s">
        <v>1805</v>
      </c>
      <c r="O952" s="173" t="s">
        <v>1728</v>
      </c>
      <c r="P952" s="169"/>
      <c r="Q952" s="169"/>
    </row>
    <row r="953" spans="1:17" s="170" customFormat="1" ht="10.5" x14ac:dyDescent="0.25">
      <c r="A953" s="175"/>
      <c r="B953" s="176"/>
      <c r="C953" s="177"/>
      <c r="D953" s="178"/>
      <c r="E953" s="178"/>
      <c r="F953" s="178"/>
      <c r="G953" s="178"/>
      <c r="H953" s="178"/>
      <c r="I953" s="178"/>
      <c r="J953" s="178"/>
      <c r="K953" s="178"/>
      <c r="L953" s="178"/>
      <c r="M953" s="178"/>
      <c r="N953" s="200"/>
      <c r="O953" s="178"/>
      <c r="P953" s="179"/>
      <c r="Q953" s="169"/>
    </row>
    <row r="954" spans="1:17" s="170" customFormat="1" ht="21" x14ac:dyDescent="0.25">
      <c r="A954" s="175"/>
      <c r="B954" s="176" t="s">
        <v>1808</v>
      </c>
      <c r="C954" s="177"/>
      <c r="D954" s="178"/>
      <c r="E954" s="178"/>
      <c r="F954" s="178"/>
      <c r="G954" s="178"/>
      <c r="H954" s="178"/>
      <c r="I954" s="178"/>
      <c r="J954" s="178"/>
      <c r="K954" s="178"/>
      <c r="L954" s="178"/>
      <c r="M954" s="178"/>
      <c r="N954" s="200"/>
      <c r="O954" s="178">
        <f>QUANTBL!AH96</f>
        <v>1.1820699999997029</v>
      </c>
      <c r="P954" s="179"/>
      <c r="Q954" s="169"/>
    </row>
    <row r="955" spans="1:17" s="170" customFormat="1" ht="15" customHeight="1" x14ac:dyDescent="0.25">
      <c r="A955" s="175"/>
      <c r="B955" s="176"/>
      <c r="C955" s="177"/>
      <c r="D955" s="178"/>
      <c r="E955" s="178"/>
      <c r="F955" s="178"/>
      <c r="G955" s="178"/>
      <c r="H955" s="178"/>
      <c r="I955" s="178"/>
      <c r="J955" s="178"/>
      <c r="K955" s="178"/>
      <c r="L955" s="178"/>
      <c r="M955" s="178"/>
      <c r="N955" s="200"/>
      <c r="O955" s="178"/>
      <c r="P955" s="179"/>
      <c r="Q955" s="169"/>
    </row>
    <row r="956" spans="1:17" s="170" customFormat="1" ht="10.5" x14ac:dyDescent="0.25">
      <c r="A956" s="175"/>
      <c r="B956" s="176"/>
      <c r="C956" s="177"/>
      <c r="D956" s="178"/>
      <c r="E956" s="178"/>
      <c r="F956" s="178"/>
      <c r="G956" s="178"/>
      <c r="H956" s="178"/>
      <c r="I956" s="178"/>
      <c r="J956" s="178"/>
      <c r="K956" s="178"/>
      <c r="L956" s="178"/>
      <c r="M956" s="178"/>
      <c r="N956" s="200"/>
      <c r="O956" s="178"/>
      <c r="P956" s="179"/>
      <c r="Q956" s="169"/>
    </row>
    <row r="957" spans="1:17" s="170" customFormat="1" ht="15" customHeight="1" x14ac:dyDescent="0.25">
      <c r="A957" s="175"/>
      <c r="B957" s="181" t="s">
        <v>5</v>
      </c>
      <c r="C957" s="182" t="s">
        <v>1328</v>
      </c>
      <c r="D957" s="182"/>
      <c r="E957" s="182"/>
      <c r="F957" s="182"/>
      <c r="G957" s="182"/>
      <c r="H957" s="182"/>
      <c r="I957" s="182"/>
      <c r="J957" s="182"/>
      <c r="K957" s="178"/>
      <c r="L957" s="182"/>
      <c r="M957" s="182"/>
      <c r="N957" s="177"/>
      <c r="O957" s="177">
        <f>SUM(O953:O954)</f>
        <v>1.1820699999997029</v>
      </c>
      <c r="P957" s="183"/>
      <c r="Q957" s="169"/>
    </row>
    <row r="958" spans="1:17" s="174" customFormat="1" ht="63" x14ac:dyDescent="0.25">
      <c r="A958" s="171" t="str">
        <f>ORÇAMENTO!A216</f>
        <v>4.1.2.6.14</v>
      </c>
      <c r="B958" s="172" t="str">
        <f>VLOOKUP(A958,ORÇAMENTO!A:K,4,0)</f>
        <v>ESCAVAÇÃO MECANIZADA DE VALA COM PROF. ATÉ 1,5 M (MÉDIA MONTANTE E JUSANTE/UMA COMPOSIÇÃO POR TRECHO), ESCAVADEIRA (0,8 M3), LARG. DE 1,5 M A 2,5 M, EM SOLO DE 1A CATEGORIA, EM LOCAIS COM ALTO NÍVEL DE INTERFERÊNCIA. AF_09/2024</v>
      </c>
      <c r="C958" s="173" t="str">
        <f>VLOOKUP(A958,ORÇAMENTO!A:K,5,0)</f>
        <v>M³</v>
      </c>
      <c r="D958" s="173">
        <f>ROUND(SUM(E962:O962),2)</f>
        <v>459.5</v>
      </c>
      <c r="E958" s="173" t="s">
        <v>1718</v>
      </c>
      <c r="F958" s="173" t="s">
        <v>1719</v>
      </c>
      <c r="G958" s="173" t="s">
        <v>1720</v>
      </c>
      <c r="H958" s="173" t="s">
        <v>1721</v>
      </c>
      <c r="I958" s="173" t="s">
        <v>1722</v>
      </c>
      <c r="J958" s="173" t="s">
        <v>1723</v>
      </c>
      <c r="K958" s="173" t="s">
        <v>1724</v>
      </c>
      <c r="L958" s="173" t="s">
        <v>1804</v>
      </c>
      <c r="M958" s="173" t="s">
        <v>1726</v>
      </c>
      <c r="N958" s="173" t="s">
        <v>1805</v>
      </c>
      <c r="O958" s="173" t="s">
        <v>1728</v>
      </c>
      <c r="P958" s="169"/>
      <c r="Q958" s="169"/>
    </row>
    <row r="959" spans="1:17" s="170" customFormat="1" ht="10.5" x14ac:dyDescent="0.25">
      <c r="A959" s="175"/>
      <c r="B959" s="176"/>
      <c r="C959" s="177"/>
      <c r="D959" s="178"/>
      <c r="E959" s="178"/>
      <c r="F959" s="178"/>
      <c r="G959" s="178"/>
      <c r="H959" s="178"/>
      <c r="I959" s="178"/>
      <c r="J959" s="178"/>
      <c r="K959" s="178"/>
      <c r="L959" s="178"/>
      <c r="M959" s="178"/>
      <c r="N959" s="200"/>
      <c r="O959" s="178"/>
      <c r="P959" s="179"/>
      <c r="Q959" s="169"/>
    </row>
    <row r="960" spans="1:17" s="170" customFormat="1" ht="15" customHeight="1" x14ac:dyDescent="0.25">
      <c r="A960" s="175"/>
      <c r="B960" s="176" t="s">
        <v>1810</v>
      </c>
      <c r="C960" s="177"/>
      <c r="D960" s="178"/>
      <c r="E960" s="178"/>
      <c r="F960" s="178"/>
      <c r="G960" s="178"/>
      <c r="H960" s="178"/>
      <c r="I960" s="178"/>
      <c r="J960" s="178"/>
      <c r="K960" s="178"/>
      <c r="L960" s="178"/>
      <c r="M960" s="178"/>
      <c r="N960" s="200"/>
      <c r="O960" s="178">
        <f>QUANTBL!CC96</f>
        <v>459.50154232000011</v>
      </c>
      <c r="P960" s="179"/>
      <c r="Q960" s="169"/>
    </row>
    <row r="961" spans="1:17" s="170" customFormat="1" ht="10.5" x14ac:dyDescent="0.25">
      <c r="A961" s="175"/>
      <c r="B961" s="176"/>
      <c r="C961" s="177"/>
      <c r="D961" s="178"/>
      <c r="E961" s="178"/>
      <c r="F961" s="178"/>
      <c r="G961" s="178"/>
      <c r="H961" s="178"/>
      <c r="I961" s="178"/>
      <c r="J961" s="178"/>
      <c r="K961" s="178"/>
      <c r="L961" s="178"/>
      <c r="M961" s="178"/>
      <c r="N961" s="200"/>
      <c r="O961" s="178"/>
      <c r="P961" s="179"/>
      <c r="Q961" s="169"/>
    </row>
    <row r="962" spans="1:17" s="170" customFormat="1" ht="15" customHeight="1" x14ac:dyDescent="0.25">
      <c r="A962" s="175"/>
      <c r="B962" s="181" t="s">
        <v>5</v>
      </c>
      <c r="C962" s="182" t="s">
        <v>1328</v>
      </c>
      <c r="D962" s="182"/>
      <c r="E962" s="182"/>
      <c r="F962" s="182"/>
      <c r="G962" s="182"/>
      <c r="H962" s="182"/>
      <c r="I962" s="182"/>
      <c r="J962" s="182"/>
      <c r="K962" s="178"/>
      <c r="L962" s="182"/>
      <c r="M962" s="182"/>
      <c r="N962" s="177"/>
      <c r="O962" s="177">
        <f>SUM(O960:O961)</f>
        <v>459.50154232000011</v>
      </c>
      <c r="P962" s="183"/>
      <c r="Q962" s="169"/>
    </row>
    <row r="963" spans="1:17" s="174" customFormat="1" ht="63" x14ac:dyDescent="0.25">
      <c r="A963" s="171" t="str">
        <f>ORÇAMENTO!A217</f>
        <v>4.1.2.6.15</v>
      </c>
      <c r="B963" s="172" t="str">
        <f>VLOOKUP(A963,ORÇAMENTO!A:K,4,0)</f>
        <v>ESCAVAÇÃO MECANIZADA DE VALA COM PROF. MAIOR QUE 1,50 M ATÉ 3,0 M (MÉDIA MONTANTE E JUSANTE/UMA COMPOSIÇÃO POR TRECHO), ESCAVADEIRA (1,2 M3), LARG. DE 1,5 M A 2,5 M, EM SOLO DE 1A CATEGORIA, EM LOCAIS COM ALTO NÍVEL DE INTERFERÊNCIA. AF_09/2024</v>
      </c>
      <c r="C963" s="173" t="str">
        <f>VLOOKUP(A963,ORÇAMENTO!A:K,5,0)</f>
        <v>M³</v>
      </c>
      <c r="D963" s="173">
        <f>ROUND(SUM(E967:O967),2)</f>
        <v>179.3</v>
      </c>
      <c r="E963" s="173" t="s">
        <v>1718</v>
      </c>
      <c r="F963" s="173" t="s">
        <v>1719</v>
      </c>
      <c r="G963" s="173" t="s">
        <v>1720</v>
      </c>
      <c r="H963" s="173" t="s">
        <v>1721</v>
      </c>
      <c r="I963" s="173" t="s">
        <v>1722</v>
      </c>
      <c r="J963" s="173" t="s">
        <v>1723</v>
      </c>
      <c r="K963" s="173" t="s">
        <v>1724</v>
      </c>
      <c r="L963" s="173" t="s">
        <v>1804</v>
      </c>
      <c r="M963" s="173" t="s">
        <v>1726</v>
      </c>
      <c r="N963" s="173" t="s">
        <v>1809</v>
      </c>
      <c r="O963" s="173" t="s">
        <v>1728</v>
      </c>
      <c r="P963" s="169"/>
      <c r="Q963" s="169"/>
    </row>
    <row r="964" spans="1:17" s="170" customFormat="1" ht="10.5" x14ac:dyDescent="0.25">
      <c r="A964" s="175"/>
      <c r="B964" s="176"/>
      <c r="C964" s="177"/>
      <c r="D964" s="178"/>
      <c r="E964" s="178"/>
      <c r="F964" s="178"/>
      <c r="G964" s="178"/>
      <c r="H964" s="178"/>
      <c r="I964" s="178"/>
      <c r="J964" s="178"/>
      <c r="K964" s="178"/>
      <c r="L964" s="178"/>
      <c r="M964" s="178"/>
      <c r="N964" s="200"/>
      <c r="O964" s="178"/>
      <c r="P964" s="179"/>
      <c r="Q964" s="169"/>
    </row>
    <row r="965" spans="1:17" s="170" customFormat="1" ht="10.5" x14ac:dyDescent="0.25">
      <c r="A965" s="175"/>
      <c r="B965" s="176" t="s">
        <v>1810</v>
      </c>
      <c r="C965" s="177"/>
      <c r="D965" s="178"/>
      <c r="E965" s="178"/>
      <c r="F965" s="178"/>
      <c r="G965" s="178"/>
      <c r="H965" s="178"/>
      <c r="I965" s="178"/>
      <c r="J965" s="178"/>
      <c r="K965" s="178"/>
      <c r="L965" s="178"/>
      <c r="M965" s="178"/>
      <c r="N965" s="200"/>
      <c r="O965" s="178">
        <f>QUANTBL!CD96</f>
        <v>179.30397539999868</v>
      </c>
      <c r="P965" s="179"/>
      <c r="Q965" s="169"/>
    </row>
    <row r="966" spans="1:17" s="170" customFormat="1" ht="10.5" x14ac:dyDescent="0.25">
      <c r="A966" s="175"/>
      <c r="B966" s="176"/>
      <c r="C966" s="177"/>
      <c r="D966" s="178"/>
      <c r="E966" s="178"/>
      <c r="F966" s="178"/>
      <c r="G966" s="178"/>
      <c r="H966" s="178"/>
      <c r="I966" s="178"/>
      <c r="J966" s="178"/>
      <c r="K966" s="178"/>
      <c r="L966" s="178"/>
      <c r="M966" s="178"/>
      <c r="N966" s="200"/>
      <c r="O966" s="178"/>
      <c r="P966" s="179"/>
      <c r="Q966" s="169"/>
    </row>
    <row r="967" spans="1:17" s="170" customFormat="1" ht="15" customHeight="1" x14ac:dyDescent="0.25">
      <c r="A967" s="175"/>
      <c r="B967" s="181" t="s">
        <v>5</v>
      </c>
      <c r="C967" s="182" t="s">
        <v>1328</v>
      </c>
      <c r="D967" s="182"/>
      <c r="E967" s="182"/>
      <c r="F967" s="182"/>
      <c r="G967" s="182"/>
      <c r="H967" s="182"/>
      <c r="I967" s="182"/>
      <c r="J967" s="182"/>
      <c r="K967" s="178"/>
      <c r="L967" s="182"/>
      <c r="M967" s="182"/>
      <c r="N967" s="177"/>
      <c r="O967" s="177">
        <f>SUM(O964:O966)</f>
        <v>179.30397539999868</v>
      </c>
      <c r="P967" s="183"/>
      <c r="Q967" s="169"/>
    </row>
    <row r="968" spans="1:17" s="174" customFormat="1" ht="31.5" x14ac:dyDescent="0.25">
      <c r="A968" s="171" t="str">
        <f>ORÇAMENTO!A218</f>
        <v>4.1.2.6.16</v>
      </c>
      <c r="B968" s="172" t="str">
        <f>VLOOKUP(A968,ORÇAMENTO!A:K,4,0)</f>
        <v>ESCAVAÇÃO DE VALA EM MATERIAL DE 3ª CATEGORIA COM ESCAVADEIRA E ROMPEDOR HIDRÁULICO DE 1700KG</v>
      </c>
      <c r="C968" s="173" t="str">
        <f>VLOOKUP(A968,ORÇAMENTO!A:K,5,0)</f>
        <v>M³</v>
      </c>
      <c r="D968" s="173">
        <f>ROUND(SUM(E973:O973),2)</f>
        <v>17.690000000000001</v>
      </c>
      <c r="E968" s="173" t="s">
        <v>1718</v>
      </c>
      <c r="F968" s="173" t="s">
        <v>1719</v>
      </c>
      <c r="G968" s="173" t="s">
        <v>1720</v>
      </c>
      <c r="H968" s="173" t="s">
        <v>1721</v>
      </c>
      <c r="I968" s="173" t="s">
        <v>1722</v>
      </c>
      <c r="J968" s="173" t="s">
        <v>1723</v>
      </c>
      <c r="K968" s="173" t="s">
        <v>1724</v>
      </c>
      <c r="L968" s="173" t="s">
        <v>1804</v>
      </c>
      <c r="M968" s="173" t="s">
        <v>1726</v>
      </c>
      <c r="N968" s="173" t="s">
        <v>1805</v>
      </c>
      <c r="O968" s="173" t="s">
        <v>1728</v>
      </c>
      <c r="P968" s="169"/>
      <c r="Q968" s="169"/>
    </row>
    <row r="969" spans="1:17" s="170" customFormat="1" ht="10.5" x14ac:dyDescent="0.25">
      <c r="A969" s="175"/>
      <c r="B969" s="176"/>
      <c r="C969" s="177"/>
      <c r="D969" s="178"/>
      <c r="E969" s="178"/>
      <c r="F969" s="178"/>
      <c r="G969" s="178"/>
      <c r="H969" s="178"/>
      <c r="I969" s="178"/>
      <c r="J969" s="178"/>
      <c r="K969" s="178"/>
      <c r="L969" s="178"/>
      <c r="M969" s="178"/>
      <c r="N969" s="200"/>
      <c r="O969" s="178"/>
      <c r="P969" s="179"/>
      <c r="Q969" s="169"/>
    </row>
    <row r="970" spans="1:17" s="170" customFormat="1" ht="21" x14ac:dyDescent="0.25">
      <c r="A970" s="175"/>
      <c r="B970" s="176" t="s">
        <v>1808</v>
      </c>
      <c r="C970" s="177"/>
      <c r="D970" s="178"/>
      <c r="E970" s="178"/>
      <c r="F970" s="178"/>
      <c r="G970" s="178"/>
      <c r="H970" s="178"/>
      <c r="I970" s="178"/>
      <c r="J970" s="178"/>
      <c r="K970" s="178"/>
      <c r="L970" s="178"/>
      <c r="M970" s="178"/>
      <c r="N970" s="200"/>
      <c r="O970" s="178">
        <f>QUANTBL!AJ96</f>
        <v>10.4678</v>
      </c>
      <c r="P970" s="179"/>
      <c r="Q970" s="169"/>
    </row>
    <row r="971" spans="1:17" s="170" customFormat="1" ht="10.5" x14ac:dyDescent="0.25">
      <c r="A971" s="175"/>
      <c r="B971" s="176" t="s">
        <v>1810</v>
      </c>
      <c r="C971" s="177"/>
      <c r="D971" s="178"/>
      <c r="E971" s="178"/>
      <c r="F971" s="178"/>
      <c r="G971" s="178"/>
      <c r="H971" s="178"/>
      <c r="I971" s="178"/>
      <c r="J971" s="178"/>
      <c r="K971" s="178"/>
      <c r="L971" s="178"/>
      <c r="M971" s="178"/>
      <c r="N971" s="200"/>
      <c r="O971" s="178">
        <f>QUANTBL!CG96</f>
        <v>7.2179799999999954</v>
      </c>
      <c r="P971" s="179"/>
      <c r="Q971" s="169"/>
    </row>
    <row r="972" spans="1:17" s="170" customFormat="1" ht="10.5" x14ac:dyDescent="0.25">
      <c r="A972" s="175"/>
      <c r="B972" s="176"/>
      <c r="C972" s="177"/>
      <c r="D972" s="178"/>
      <c r="E972" s="178"/>
      <c r="F972" s="178"/>
      <c r="G972" s="178"/>
      <c r="H972" s="178"/>
      <c r="I972" s="178"/>
      <c r="J972" s="178"/>
      <c r="K972" s="178"/>
      <c r="L972" s="178"/>
      <c r="M972" s="178"/>
      <c r="N972" s="200"/>
      <c r="O972" s="178"/>
      <c r="P972" s="179"/>
      <c r="Q972" s="169"/>
    </row>
    <row r="973" spans="1:17" s="170" customFormat="1" ht="15" customHeight="1" x14ac:dyDescent="0.25">
      <c r="A973" s="175"/>
      <c r="B973" s="181" t="s">
        <v>5</v>
      </c>
      <c r="C973" s="182" t="s">
        <v>1328</v>
      </c>
      <c r="D973" s="182"/>
      <c r="E973" s="182"/>
      <c r="F973" s="182"/>
      <c r="G973" s="182"/>
      <c r="H973" s="182"/>
      <c r="I973" s="182"/>
      <c r="J973" s="182"/>
      <c r="K973" s="178"/>
      <c r="L973" s="182"/>
      <c r="M973" s="182"/>
      <c r="N973" s="177"/>
      <c r="O973" s="177">
        <f>SUM(O969:O972)</f>
        <v>17.685779999999994</v>
      </c>
      <c r="P973" s="183"/>
      <c r="Q973" s="169"/>
    </row>
    <row r="974" spans="1:17" s="174" customFormat="1" ht="42" x14ac:dyDescent="0.25">
      <c r="A974" s="171" t="str">
        <f>ORÇAMENTO!A219</f>
        <v>4.1.2.6.17</v>
      </c>
      <c r="B974" s="172" t="str">
        <f>VLOOKUP(A974,ORÇAMENTO!A:K,4,0)</f>
        <v>ESCORAMENTO DE VALA, TIPO BLINDAGEM, COM PROFUNDIDADE DE 0 A 1,5 M, LARGURA MENOR QUE 1,5 M - EXECUÇÃO E FORNECIMENTO, INCLUI MATERIAL (ESCAVAÇÃO EXTERNA AO BLINDADO)</v>
      </c>
      <c r="C974" s="173" t="str">
        <f>VLOOKUP(A974,ORÇAMENTO!A:K,5,0)</f>
        <v>M²</v>
      </c>
      <c r="D974" s="173">
        <f>ROUND(SUM(E978:O978),2)</f>
        <v>1682.62</v>
      </c>
      <c r="E974" s="173" t="s">
        <v>1718</v>
      </c>
      <c r="F974" s="173" t="s">
        <v>1719</v>
      </c>
      <c r="G974" s="173" t="s">
        <v>1720</v>
      </c>
      <c r="H974" s="173" t="s">
        <v>1721</v>
      </c>
      <c r="I974" s="173" t="s">
        <v>1722</v>
      </c>
      <c r="J974" s="173" t="s">
        <v>1723</v>
      </c>
      <c r="K974" s="173" t="s">
        <v>1724</v>
      </c>
      <c r="L974" s="173" t="s">
        <v>1804</v>
      </c>
      <c r="M974" s="173" t="s">
        <v>1726</v>
      </c>
      <c r="N974" s="173" t="s">
        <v>1811</v>
      </c>
      <c r="O974" s="173" t="s">
        <v>1728</v>
      </c>
      <c r="P974" s="169"/>
      <c r="Q974" s="169"/>
    </row>
    <row r="975" spans="1:17" s="170" customFormat="1" ht="10.5" x14ac:dyDescent="0.25">
      <c r="A975" s="175"/>
      <c r="B975" s="176"/>
      <c r="C975" s="177"/>
      <c r="D975" s="178"/>
      <c r="E975" s="178"/>
      <c r="F975" s="178"/>
      <c r="G975" s="178"/>
      <c r="H975" s="178"/>
      <c r="I975" s="178"/>
      <c r="J975" s="178"/>
      <c r="K975" s="178"/>
      <c r="L975" s="178"/>
      <c r="M975" s="178"/>
      <c r="N975" s="200"/>
      <c r="O975" s="178"/>
      <c r="P975" s="179"/>
      <c r="Q975" s="169"/>
    </row>
    <row r="976" spans="1:17" s="170" customFormat="1" ht="10.5" x14ac:dyDescent="0.25">
      <c r="A976" s="175"/>
      <c r="B976" s="176" t="s">
        <v>1812</v>
      </c>
      <c r="C976" s="177"/>
      <c r="D976" s="178"/>
      <c r="E976" s="178"/>
      <c r="F976" s="178"/>
      <c r="G976" s="178"/>
      <c r="H976" s="178"/>
      <c r="I976" s="178"/>
      <c r="J976" s="178"/>
      <c r="K976" s="178"/>
      <c r="L976" s="178"/>
      <c r="M976" s="178"/>
      <c r="N976" s="178">
        <f>QUANTBL!BQ96</f>
        <v>1682.6185439999995</v>
      </c>
      <c r="O976" s="178"/>
      <c r="P976" s="179"/>
      <c r="Q976" s="169"/>
    </row>
    <row r="977" spans="1:17" s="170" customFormat="1" ht="10.5" x14ac:dyDescent="0.25">
      <c r="A977" s="175"/>
      <c r="B977" s="176"/>
      <c r="C977" s="177"/>
      <c r="D977" s="178"/>
      <c r="E977" s="178"/>
      <c r="F977" s="178"/>
      <c r="G977" s="178"/>
      <c r="H977" s="178"/>
      <c r="I977" s="178"/>
      <c r="J977" s="178"/>
      <c r="K977" s="178"/>
      <c r="L977" s="178"/>
      <c r="M977" s="178"/>
      <c r="N977" s="200"/>
      <c r="O977" s="178"/>
      <c r="P977" s="179"/>
      <c r="Q977" s="169"/>
    </row>
    <row r="978" spans="1:17" s="170" customFormat="1" ht="15" customHeight="1" x14ac:dyDescent="0.25">
      <c r="A978" s="175"/>
      <c r="B978" s="181" t="s">
        <v>5</v>
      </c>
      <c r="C978" s="182" t="s">
        <v>1328</v>
      </c>
      <c r="D978" s="182"/>
      <c r="E978" s="182"/>
      <c r="F978" s="182"/>
      <c r="G978" s="182"/>
      <c r="H978" s="182"/>
      <c r="I978" s="182"/>
      <c r="J978" s="182"/>
      <c r="K978" s="178"/>
      <c r="L978" s="182"/>
      <c r="M978" s="182"/>
      <c r="N978" s="177">
        <f>SUM(N975:N977)</f>
        <v>1682.6185439999995</v>
      </c>
      <c r="O978" s="177"/>
      <c r="P978" s="183"/>
      <c r="Q978" s="169"/>
    </row>
    <row r="979" spans="1:17" s="174" customFormat="1" ht="42" x14ac:dyDescent="0.25">
      <c r="A979" s="171" t="str">
        <f>ORÇAMENTO!A220</f>
        <v>4.1.2.6.18</v>
      </c>
      <c r="B979" s="172" t="str">
        <f>VLOOKUP(A979,ORÇAMENTO!A:K,4,0)</f>
        <v>ESCORAMENTO DE VALA, TIPO BLINDAGEM, COM PROFUNDIDADE DE 1,5 A 3,0 M, LARGURA MENOR QUE 1,5 M - EXECUÇÃO E FORNECIMENTO, INCLUI MATERIAL (ESCAVAÇÃO INTERNA AO BLINDADO)</v>
      </c>
      <c r="C979" s="173" t="str">
        <f>VLOOKUP(A979,ORÇAMENTO!A:K,5,0)</f>
        <v>M²</v>
      </c>
      <c r="D979" s="173">
        <f>ROUND(SUM(E983:O983),2)</f>
        <v>1142.47</v>
      </c>
      <c r="E979" s="173" t="s">
        <v>1718</v>
      </c>
      <c r="F979" s="173" t="s">
        <v>1719</v>
      </c>
      <c r="G979" s="173" t="s">
        <v>1720</v>
      </c>
      <c r="H979" s="173" t="s">
        <v>1721</v>
      </c>
      <c r="I979" s="173" t="s">
        <v>1722</v>
      </c>
      <c r="J979" s="173" t="s">
        <v>1723</v>
      </c>
      <c r="K979" s="173" t="s">
        <v>1724</v>
      </c>
      <c r="L979" s="173" t="s">
        <v>1804</v>
      </c>
      <c r="M979" s="173" t="s">
        <v>1726</v>
      </c>
      <c r="N979" s="173" t="s">
        <v>1811</v>
      </c>
      <c r="O979" s="173" t="s">
        <v>1728</v>
      </c>
      <c r="P979" s="169"/>
      <c r="Q979" s="169"/>
    </row>
    <row r="980" spans="1:17" s="170" customFormat="1" ht="10.5" x14ac:dyDescent="0.25">
      <c r="A980" s="175"/>
      <c r="B980" s="176"/>
      <c r="C980" s="177"/>
      <c r="D980" s="178"/>
      <c r="E980" s="178"/>
      <c r="F980" s="178"/>
      <c r="G980" s="178"/>
      <c r="H980" s="178"/>
      <c r="I980" s="178"/>
      <c r="J980" s="178"/>
      <c r="K980" s="178"/>
      <c r="L980" s="178"/>
      <c r="M980" s="178"/>
      <c r="N980" s="200"/>
      <c r="O980" s="178"/>
      <c r="P980" s="179"/>
      <c r="Q980" s="169"/>
    </row>
    <row r="981" spans="1:17" s="170" customFormat="1" ht="10.5" x14ac:dyDescent="0.25">
      <c r="A981" s="175"/>
      <c r="B981" s="176" t="s">
        <v>1812</v>
      </c>
      <c r="C981" s="177"/>
      <c r="D981" s="178"/>
      <c r="E981" s="178"/>
      <c r="F981" s="178"/>
      <c r="G981" s="178"/>
      <c r="H981" s="178"/>
      <c r="I981" s="178"/>
      <c r="J981" s="178"/>
      <c r="K981" s="178"/>
      <c r="L981" s="178"/>
      <c r="M981" s="178"/>
      <c r="N981" s="200">
        <f>QUANTBL!BR96</f>
        <v>1142.4677539999968</v>
      </c>
      <c r="O981" s="178"/>
      <c r="P981" s="179"/>
      <c r="Q981" s="169"/>
    </row>
    <row r="982" spans="1:17" s="170" customFormat="1" ht="10.5" x14ac:dyDescent="0.25">
      <c r="A982" s="175"/>
      <c r="B982" s="176"/>
      <c r="C982" s="177"/>
      <c r="D982" s="178"/>
      <c r="E982" s="178"/>
      <c r="F982" s="178"/>
      <c r="G982" s="178"/>
      <c r="H982" s="178"/>
      <c r="I982" s="178"/>
      <c r="J982" s="178"/>
      <c r="K982" s="178"/>
      <c r="L982" s="178"/>
      <c r="M982" s="178"/>
      <c r="N982" s="200"/>
      <c r="O982" s="178"/>
      <c r="P982" s="179"/>
      <c r="Q982" s="169"/>
    </row>
    <row r="983" spans="1:17" s="170" customFormat="1" ht="15" customHeight="1" x14ac:dyDescent="0.25">
      <c r="A983" s="175"/>
      <c r="B983" s="181" t="s">
        <v>5</v>
      </c>
      <c r="C983" s="182" t="s">
        <v>1328</v>
      </c>
      <c r="D983" s="182"/>
      <c r="E983" s="182"/>
      <c r="F983" s="182"/>
      <c r="G983" s="182"/>
      <c r="H983" s="182"/>
      <c r="I983" s="182"/>
      <c r="J983" s="182"/>
      <c r="K983" s="178"/>
      <c r="L983" s="182"/>
      <c r="M983" s="182"/>
      <c r="N983" s="177">
        <f>SUM(N980:N982)</f>
        <v>1142.4677539999968</v>
      </c>
      <c r="O983" s="177"/>
      <c r="P983" s="183"/>
      <c r="Q983" s="169"/>
    </row>
    <row r="984" spans="1:17" s="174" customFormat="1" ht="42" x14ac:dyDescent="0.25">
      <c r="A984" s="171" t="str">
        <f>ORÇAMENTO!A221</f>
        <v>4.1.2.6.19</v>
      </c>
      <c r="B984" s="172" t="str">
        <f>VLOOKUP(A984,ORÇAMENTO!A:K,4,0)</f>
        <v>ESCORAMENTO DE VALA, TIPO BLINDAGEM, COM PROFUNDIDADE DE 3,0 A 4,5 M, LARGURA MENOR QUE 1,5 M -EXECUÇÃO E FORNECIMENTO, INCLUI MATERIAL (ESCAVAÇÃO EXTERNA AO BLINDADO)</v>
      </c>
      <c r="C984" s="173" t="str">
        <f>VLOOKUP(A984,ORÇAMENTO!A:K,5,0)</f>
        <v>M²</v>
      </c>
      <c r="D984" s="173">
        <f>ROUND(SUM(E988:O988),2)</f>
        <v>207.2</v>
      </c>
      <c r="E984" s="173" t="s">
        <v>1718</v>
      </c>
      <c r="F984" s="173" t="s">
        <v>1719</v>
      </c>
      <c r="G984" s="173" t="s">
        <v>1720</v>
      </c>
      <c r="H984" s="173" t="s">
        <v>1721</v>
      </c>
      <c r="I984" s="173" t="s">
        <v>1722</v>
      </c>
      <c r="J984" s="173" t="s">
        <v>1723</v>
      </c>
      <c r="K984" s="173" t="s">
        <v>1724</v>
      </c>
      <c r="L984" s="173" t="s">
        <v>1804</v>
      </c>
      <c r="M984" s="173" t="s">
        <v>1726</v>
      </c>
      <c r="N984" s="173" t="s">
        <v>1811</v>
      </c>
      <c r="O984" s="173" t="s">
        <v>1728</v>
      </c>
      <c r="P984" s="169"/>
      <c r="Q984" s="169"/>
    </row>
    <row r="985" spans="1:17" s="170" customFormat="1" ht="10.5" x14ac:dyDescent="0.25">
      <c r="A985" s="175"/>
      <c r="B985" s="176"/>
      <c r="C985" s="177"/>
      <c r="D985" s="178"/>
      <c r="E985" s="178"/>
      <c r="F985" s="178"/>
      <c r="G985" s="178"/>
      <c r="H985" s="178"/>
      <c r="I985" s="178"/>
      <c r="J985" s="178"/>
      <c r="K985" s="178"/>
      <c r="L985" s="178"/>
      <c r="M985" s="178"/>
      <c r="N985" s="200"/>
      <c r="O985" s="178"/>
      <c r="P985" s="179"/>
      <c r="Q985" s="169"/>
    </row>
    <row r="986" spans="1:17" s="170" customFormat="1" ht="10.5" x14ac:dyDescent="0.25">
      <c r="A986" s="175"/>
      <c r="B986" s="176" t="s">
        <v>1812</v>
      </c>
      <c r="C986" s="177"/>
      <c r="D986" s="178"/>
      <c r="E986" s="178"/>
      <c r="F986" s="178"/>
      <c r="G986" s="178"/>
      <c r="H986" s="178"/>
      <c r="I986" s="178"/>
      <c r="J986" s="178"/>
      <c r="K986" s="178"/>
      <c r="L986" s="178"/>
      <c r="M986" s="178"/>
      <c r="N986" s="200">
        <f>QUANTBL!BS96</f>
        <v>207.20102399999601</v>
      </c>
      <c r="O986" s="178"/>
      <c r="P986" s="179"/>
      <c r="Q986" s="169"/>
    </row>
    <row r="987" spans="1:17" s="170" customFormat="1" ht="10.5" x14ac:dyDescent="0.25">
      <c r="A987" s="175"/>
      <c r="B987" s="176"/>
      <c r="C987" s="177"/>
      <c r="D987" s="178"/>
      <c r="E987" s="178"/>
      <c r="F987" s="178"/>
      <c r="G987" s="178"/>
      <c r="H987" s="178"/>
      <c r="I987" s="178"/>
      <c r="J987" s="178"/>
      <c r="K987" s="178"/>
      <c r="L987" s="178"/>
      <c r="M987" s="178"/>
      <c r="N987" s="200"/>
      <c r="O987" s="178"/>
      <c r="P987" s="179"/>
      <c r="Q987" s="169"/>
    </row>
    <row r="988" spans="1:17" s="170" customFormat="1" ht="15" customHeight="1" x14ac:dyDescent="0.25">
      <c r="A988" s="175"/>
      <c r="B988" s="181" t="s">
        <v>5</v>
      </c>
      <c r="C988" s="182" t="s">
        <v>1328</v>
      </c>
      <c r="D988" s="182"/>
      <c r="E988" s="182"/>
      <c r="F988" s="182"/>
      <c r="G988" s="182"/>
      <c r="H988" s="182"/>
      <c r="I988" s="182"/>
      <c r="J988" s="182"/>
      <c r="K988" s="178"/>
      <c r="L988" s="182"/>
      <c r="M988" s="182"/>
      <c r="N988" s="177">
        <f>SUM(N985:N987)</f>
        <v>207.20102399999601</v>
      </c>
      <c r="O988" s="177"/>
      <c r="P988" s="183"/>
      <c r="Q988" s="169"/>
    </row>
    <row r="989" spans="1:17" s="174" customFormat="1" ht="52.5" x14ac:dyDescent="0.25">
      <c r="A989" s="171" t="str">
        <f>ORÇAMENTO!A222</f>
        <v>4.1.2.6.20</v>
      </c>
      <c r="B989" s="172" t="str">
        <f>VLOOKUP(A989,ORÇAMENTO!A:K,4,0)</f>
        <v>ESCORAMENTO DE VALA, TIPO BLINDADEM, COM PROFUNDIDADE DE 0 A 1,5 M, LARGURA MAIOR OU IGUAL A 1,5 M EMENOR QUE 2,5 M - EXECUÇÃO E FORNECIMENTO, INCLUI MATERIAL (ESCAVAÇÃO EXTERNA AO BLINDADO)</v>
      </c>
      <c r="C989" s="173" t="str">
        <f>VLOOKUP(A989,ORÇAMENTO!A:K,5,0)</f>
        <v>M²</v>
      </c>
      <c r="D989" s="173">
        <f>ROUND(SUM(E993:O993),2)</f>
        <v>510.81</v>
      </c>
      <c r="E989" s="173" t="s">
        <v>1718</v>
      </c>
      <c r="F989" s="173" t="s">
        <v>1719</v>
      </c>
      <c r="G989" s="173" t="s">
        <v>1720</v>
      </c>
      <c r="H989" s="173" t="s">
        <v>1721</v>
      </c>
      <c r="I989" s="173" t="s">
        <v>1722</v>
      </c>
      <c r="J989" s="173" t="s">
        <v>1723</v>
      </c>
      <c r="K989" s="173" t="s">
        <v>1724</v>
      </c>
      <c r="L989" s="173" t="s">
        <v>1804</v>
      </c>
      <c r="M989" s="173" t="s">
        <v>1726</v>
      </c>
      <c r="N989" s="173" t="s">
        <v>1811</v>
      </c>
      <c r="O989" s="173" t="s">
        <v>1728</v>
      </c>
      <c r="P989" s="169"/>
      <c r="Q989" s="169"/>
    </row>
    <row r="990" spans="1:17" s="170" customFormat="1" ht="10.5" x14ac:dyDescent="0.25">
      <c r="A990" s="175"/>
      <c r="B990" s="176"/>
      <c r="C990" s="177"/>
      <c r="D990" s="178"/>
      <c r="E990" s="178"/>
      <c r="F990" s="178"/>
      <c r="G990" s="178"/>
      <c r="H990" s="178"/>
      <c r="I990" s="178"/>
      <c r="J990" s="178"/>
      <c r="K990" s="178"/>
      <c r="L990" s="178"/>
      <c r="M990" s="178"/>
      <c r="N990" s="200"/>
      <c r="O990" s="178"/>
      <c r="P990" s="179"/>
      <c r="Q990" s="169"/>
    </row>
    <row r="991" spans="1:17" s="170" customFormat="1" ht="10.5" x14ac:dyDescent="0.25">
      <c r="A991" s="175"/>
      <c r="B991" s="176" t="s">
        <v>1813</v>
      </c>
      <c r="C991" s="177"/>
      <c r="D991" s="178"/>
      <c r="E991" s="178"/>
      <c r="F991" s="178"/>
      <c r="G991" s="178"/>
      <c r="H991" s="178"/>
      <c r="I991" s="178"/>
      <c r="J991" s="178"/>
      <c r="K991" s="178"/>
      <c r="L991" s="178"/>
      <c r="M991" s="178"/>
      <c r="N991" s="200">
        <f>QUANTBL!CP96</f>
        <v>510.81104799999991</v>
      </c>
      <c r="O991" s="178"/>
      <c r="P991" s="179"/>
      <c r="Q991" s="169"/>
    </row>
    <row r="992" spans="1:17" s="170" customFormat="1" ht="10.5" x14ac:dyDescent="0.25">
      <c r="A992" s="175"/>
      <c r="B992" s="176"/>
      <c r="C992" s="177"/>
      <c r="D992" s="178"/>
      <c r="E992" s="178"/>
      <c r="F992" s="178"/>
      <c r="G992" s="178"/>
      <c r="H992" s="178"/>
      <c r="I992" s="178"/>
      <c r="J992" s="178"/>
      <c r="K992" s="178"/>
      <c r="L992" s="178"/>
      <c r="M992" s="178"/>
      <c r="N992" s="200"/>
      <c r="O992" s="178"/>
      <c r="P992" s="179"/>
      <c r="Q992" s="169"/>
    </row>
    <row r="993" spans="1:17" s="170" customFormat="1" ht="15" customHeight="1" x14ac:dyDescent="0.25">
      <c r="A993" s="175"/>
      <c r="B993" s="181" t="s">
        <v>5</v>
      </c>
      <c r="C993" s="182" t="s">
        <v>1328</v>
      </c>
      <c r="D993" s="182"/>
      <c r="E993" s="182"/>
      <c r="F993" s="182"/>
      <c r="G993" s="182"/>
      <c r="H993" s="182"/>
      <c r="I993" s="182"/>
      <c r="J993" s="182"/>
      <c r="K993" s="178"/>
      <c r="L993" s="182"/>
      <c r="M993" s="182"/>
      <c r="N993" s="177">
        <f>SUM(N990:N992)</f>
        <v>510.81104799999991</v>
      </c>
      <c r="O993" s="177"/>
      <c r="P993" s="183"/>
      <c r="Q993" s="169"/>
    </row>
    <row r="994" spans="1:17" s="174" customFormat="1" ht="42" x14ac:dyDescent="0.25">
      <c r="A994" s="171" t="str">
        <f>ORÇAMENTO!A223</f>
        <v>4.1.2.6.21</v>
      </c>
      <c r="B994" s="172" t="str">
        <f>VLOOKUP(A994,ORÇAMENTO!A:K,4,0)</f>
        <v>ESCORAMENTO DE VALA, TIPO BLINDAGEM, COM PROFUNDIDADE DE 1,5 A 3,0 M, LARGURA DE 1,5 A 2,5 M -EXECUÇÃO E FORNECIMENTO, INCLUI MATERIAL (ESCAVAÇÃO INTERNA AO BLINDADO)</v>
      </c>
      <c r="C994" s="173" t="str">
        <f>VLOOKUP(A994,ORÇAMENTO!A:K,5,0)</f>
        <v>M²</v>
      </c>
      <c r="D994" s="173">
        <f>ROUND(SUM(E998:O998),2)</f>
        <v>249.06</v>
      </c>
      <c r="E994" s="173" t="s">
        <v>1718</v>
      </c>
      <c r="F994" s="173" t="s">
        <v>1719</v>
      </c>
      <c r="G994" s="173" t="s">
        <v>1720</v>
      </c>
      <c r="H994" s="173" t="s">
        <v>1721</v>
      </c>
      <c r="I994" s="173" t="s">
        <v>1722</v>
      </c>
      <c r="J994" s="173" t="s">
        <v>1723</v>
      </c>
      <c r="K994" s="173" t="s">
        <v>1724</v>
      </c>
      <c r="L994" s="173" t="s">
        <v>1804</v>
      </c>
      <c r="M994" s="173" t="s">
        <v>1726</v>
      </c>
      <c r="N994" s="173" t="s">
        <v>1811</v>
      </c>
      <c r="O994" s="173" t="s">
        <v>1728</v>
      </c>
      <c r="P994" s="169"/>
      <c r="Q994" s="169"/>
    </row>
    <row r="995" spans="1:17" s="170" customFormat="1" ht="10.5" x14ac:dyDescent="0.25">
      <c r="A995" s="175"/>
      <c r="B995" s="176"/>
      <c r="C995" s="177"/>
      <c r="D995" s="178"/>
      <c r="E995" s="178"/>
      <c r="F995" s="178"/>
      <c r="G995" s="178"/>
      <c r="H995" s="178"/>
      <c r="I995" s="178"/>
      <c r="J995" s="178"/>
      <c r="K995" s="178"/>
      <c r="L995" s="178"/>
      <c r="M995" s="178"/>
      <c r="N995" s="200"/>
      <c r="O995" s="178"/>
      <c r="P995" s="179"/>
      <c r="Q995" s="169"/>
    </row>
    <row r="996" spans="1:17" s="170" customFormat="1" ht="10.5" x14ac:dyDescent="0.25">
      <c r="A996" s="175"/>
      <c r="B996" s="176" t="s">
        <v>1813</v>
      </c>
      <c r="C996" s="177"/>
      <c r="D996" s="178"/>
      <c r="E996" s="178"/>
      <c r="F996" s="178"/>
      <c r="G996" s="178"/>
      <c r="H996" s="178"/>
      <c r="I996" s="178"/>
      <c r="J996" s="178"/>
      <c r="K996" s="178"/>
      <c r="L996" s="178"/>
      <c r="M996" s="178"/>
      <c r="N996" s="200">
        <f>QUANTBL!CQ96</f>
        <v>249.0579959999987</v>
      </c>
      <c r="O996" s="178"/>
      <c r="P996" s="179"/>
      <c r="Q996" s="169"/>
    </row>
    <row r="997" spans="1:17" s="170" customFormat="1" ht="10.5" x14ac:dyDescent="0.25">
      <c r="A997" s="175"/>
      <c r="B997" s="176"/>
      <c r="C997" s="177"/>
      <c r="D997" s="178"/>
      <c r="E997" s="178"/>
      <c r="F997" s="178"/>
      <c r="G997" s="178"/>
      <c r="H997" s="178"/>
      <c r="I997" s="178"/>
      <c r="J997" s="178"/>
      <c r="K997" s="178"/>
      <c r="L997" s="178"/>
      <c r="M997" s="178"/>
      <c r="N997" s="200"/>
      <c r="O997" s="178"/>
      <c r="P997" s="179"/>
      <c r="Q997" s="169"/>
    </row>
    <row r="998" spans="1:17" s="170" customFormat="1" ht="15" customHeight="1" x14ac:dyDescent="0.25">
      <c r="A998" s="175"/>
      <c r="B998" s="181" t="s">
        <v>5</v>
      </c>
      <c r="C998" s="182" t="s">
        <v>1328</v>
      </c>
      <c r="D998" s="182"/>
      <c r="E998" s="182"/>
      <c r="F998" s="182"/>
      <c r="G998" s="182"/>
      <c r="H998" s="182"/>
      <c r="I998" s="182"/>
      <c r="J998" s="182"/>
      <c r="K998" s="178"/>
      <c r="L998" s="182"/>
      <c r="M998" s="182"/>
      <c r="N998" s="177">
        <f>SUM(N995:N997)</f>
        <v>249.0579959999987</v>
      </c>
      <c r="O998" s="177"/>
      <c r="P998" s="183"/>
      <c r="Q998" s="169"/>
    </row>
    <row r="999" spans="1:17" s="174" customFormat="1" ht="21" x14ac:dyDescent="0.25">
      <c r="A999" s="171" t="str">
        <f>ORÇAMENTO!A224</f>
        <v>4.1.2.6.22</v>
      </c>
      <c r="B999" s="172" t="str">
        <f>VLOOKUP(A999,ORÇAMENTO!A:K,4,0)</f>
        <v>ESGOTAMENTO DE ÁGUA COM BOMBA SUBMERSA</v>
      </c>
      <c r="C999" s="173" t="str">
        <f>VLOOKUP(A999,ORÇAMENTO!A:K,5,0)</f>
        <v>H</v>
      </c>
      <c r="D999" s="173">
        <f>ROUND(SUM(E1003:O1003),2)</f>
        <v>3.1</v>
      </c>
      <c r="E999" s="173" t="s">
        <v>1718</v>
      </c>
      <c r="F999" s="173" t="s">
        <v>1719</v>
      </c>
      <c r="G999" s="173" t="s">
        <v>1720</v>
      </c>
      <c r="H999" s="173" t="s">
        <v>1721</v>
      </c>
      <c r="I999" s="173" t="s">
        <v>1722</v>
      </c>
      <c r="J999" s="173" t="s">
        <v>1723</v>
      </c>
      <c r="K999" s="173" t="s">
        <v>1724</v>
      </c>
      <c r="L999" s="173" t="s">
        <v>1804</v>
      </c>
      <c r="M999" s="173" t="s">
        <v>1726</v>
      </c>
      <c r="N999" s="173" t="s">
        <v>1811</v>
      </c>
      <c r="O999" s="173" t="s">
        <v>1728</v>
      </c>
      <c r="P999" s="169"/>
      <c r="Q999" s="169"/>
    </row>
    <row r="1000" spans="1:17" s="170" customFormat="1" ht="10.5" x14ac:dyDescent="0.25">
      <c r="A1000" s="175"/>
      <c r="B1000" s="176"/>
      <c r="C1000" s="177"/>
      <c r="D1000" s="178"/>
      <c r="E1000" s="178"/>
      <c r="F1000" s="178"/>
      <c r="G1000" s="178"/>
      <c r="H1000" s="178"/>
      <c r="I1000" s="178"/>
      <c r="J1000" s="178"/>
      <c r="K1000" s="178"/>
      <c r="L1000" s="178"/>
      <c r="M1000" s="178"/>
      <c r="N1000" s="200"/>
      <c r="O1000" s="178"/>
      <c r="P1000" s="179"/>
      <c r="Q1000" s="169"/>
    </row>
    <row r="1001" spans="1:17" s="170" customFormat="1" ht="10.5" x14ac:dyDescent="0.25">
      <c r="A1001" s="175"/>
      <c r="B1001" s="176" t="s">
        <v>1813</v>
      </c>
      <c r="C1001" s="177"/>
      <c r="D1001" s="178"/>
      <c r="E1001" s="178"/>
      <c r="F1001" s="178"/>
      <c r="G1001" s="178"/>
      <c r="H1001" s="178"/>
      <c r="I1001" s="178"/>
      <c r="J1001" s="178"/>
      <c r="K1001" s="178"/>
      <c r="L1001" s="178"/>
      <c r="M1001" s="178"/>
      <c r="N1001" s="200"/>
      <c r="O1001" s="178">
        <f>QUANTBL!AK96</f>
        <v>3.0959953599999932</v>
      </c>
      <c r="P1001" s="179"/>
      <c r="Q1001" s="169"/>
    </row>
    <row r="1002" spans="1:17" s="170" customFormat="1" ht="10.5" x14ac:dyDescent="0.25">
      <c r="A1002" s="175"/>
      <c r="B1002" s="176"/>
      <c r="C1002" s="177"/>
      <c r="D1002" s="178"/>
      <c r="E1002" s="178"/>
      <c r="F1002" s="178"/>
      <c r="G1002" s="178"/>
      <c r="H1002" s="178"/>
      <c r="I1002" s="178"/>
      <c r="J1002" s="178"/>
      <c r="K1002" s="178"/>
      <c r="L1002" s="178"/>
      <c r="M1002" s="178"/>
      <c r="N1002" s="200"/>
      <c r="O1002" s="178"/>
      <c r="P1002" s="179"/>
      <c r="Q1002" s="169"/>
    </row>
    <row r="1003" spans="1:17" s="170" customFormat="1" ht="15" customHeight="1" x14ac:dyDescent="0.25">
      <c r="A1003" s="175"/>
      <c r="B1003" s="181" t="s">
        <v>5</v>
      </c>
      <c r="C1003" s="182" t="s">
        <v>1328</v>
      </c>
      <c r="D1003" s="182"/>
      <c r="E1003" s="182"/>
      <c r="F1003" s="182"/>
      <c r="G1003" s="182"/>
      <c r="H1003" s="182"/>
      <c r="I1003" s="182"/>
      <c r="J1003" s="182"/>
      <c r="K1003" s="178"/>
      <c r="L1003" s="182"/>
      <c r="M1003" s="182"/>
      <c r="N1003" s="177"/>
      <c r="O1003" s="177">
        <f>SUM(O1000:O1002)</f>
        <v>3.0959953599999932</v>
      </c>
      <c r="P1003" s="183"/>
      <c r="Q1003" s="169"/>
    </row>
    <row r="1004" spans="1:17" s="174" customFormat="1" ht="31.5" x14ac:dyDescent="0.25">
      <c r="A1004" s="171" t="str">
        <f>ORÇAMENTO!A225</f>
        <v>4.1.2.6.23</v>
      </c>
      <c r="B1004" s="172" t="str">
        <f>VLOOKUP(A1004,ORÇAMENTO!A:K,4,0)</f>
        <v>PREPARO DE FUNDO DE VALA COM LARGURA MENOR QUE 1,5 M, COM CAMADA DE BRITA, LANÇAMENTO MECANIZADO. AF_08/2020</v>
      </c>
      <c r="C1004" s="173" t="str">
        <f>VLOOKUP(A1004,ORÇAMENTO!A:K,5,0)</f>
        <v>M³</v>
      </c>
      <c r="D1004" s="173">
        <f>ROUND(SUM(E1007:O1007),2)</f>
        <v>11.8</v>
      </c>
      <c r="E1004" s="173" t="s">
        <v>1718</v>
      </c>
      <c r="F1004" s="173" t="s">
        <v>1719</v>
      </c>
      <c r="G1004" s="173" t="s">
        <v>1720</v>
      </c>
      <c r="H1004" s="173" t="s">
        <v>1721</v>
      </c>
      <c r="I1004" s="173" t="s">
        <v>1722</v>
      </c>
      <c r="J1004" s="173" t="s">
        <v>1723</v>
      </c>
      <c r="K1004" s="173" t="s">
        <v>1724</v>
      </c>
      <c r="L1004" s="173" t="s">
        <v>1804</v>
      </c>
      <c r="M1004" s="173" t="s">
        <v>1726</v>
      </c>
      <c r="N1004" s="173" t="s">
        <v>1811</v>
      </c>
      <c r="O1004" s="173" t="s">
        <v>1728</v>
      </c>
      <c r="P1004" s="169"/>
      <c r="Q1004" s="169"/>
    </row>
    <row r="1005" spans="1:17" s="170" customFormat="1" ht="15" customHeight="1" x14ac:dyDescent="0.25">
      <c r="A1005" s="175"/>
      <c r="B1005" s="176" t="s">
        <v>1814</v>
      </c>
      <c r="C1005" s="177"/>
      <c r="D1005" s="178"/>
      <c r="E1005" s="178"/>
      <c r="F1005" s="178"/>
      <c r="G1005" s="178"/>
      <c r="H1005" s="178"/>
      <c r="I1005" s="178"/>
      <c r="J1005" s="178"/>
      <c r="K1005" s="178"/>
      <c r="L1005" s="178"/>
      <c r="M1005" s="178"/>
      <c r="N1005" s="200"/>
      <c r="O1005" s="178">
        <f>QUANTBL!AM96</f>
        <v>11.803499999999998</v>
      </c>
      <c r="P1005" s="179"/>
      <c r="Q1005" s="169"/>
    </row>
    <row r="1006" spans="1:17" s="170" customFormat="1" ht="10.5" x14ac:dyDescent="0.25">
      <c r="A1006" s="175"/>
      <c r="B1006" s="176"/>
      <c r="C1006" s="177"/>
      <c r="D1006" s="178"/>
      <c r="E1006" s="178"/>
      <c r="F1006" s="178"/>
      <c r="G1006" s="178"/>
      <c r="H1006" s="178"/>
      <c r="I1006" s="178"/>
      <c r="J1006" s="178"/>
      <c r="K1006" s="178"/>
      <c r="L1006" s="178"/>
      <c r="M1006" s="178"/>
      <c r="N1006" s="200"/>
      <c r="O1006" s="178"/>
      <c r="P1006" s="179"/>
      <c r="Q1006" s="169"/>
    </row>
    <row r="1007" spans="1:17" s="170" customFormat="1" ht="15" customHeight="1" x14ac:dyDescent="0.25">
      <c r="A1007" s="175"/>
      <c r="B1007" s="181" t="s">
        <v>5</v>
      </c>
      <c r="C1007" s="182" t="s">
        <v>1328</v>
      </c>
      <c r="D1007" s="182"/>
      <c r="E1007" s="182"/>
      <c r="F1007" s="182"/>
      <c r="G1007" s="182"/>
      <c r="H1007" s="182"/>
      <c r="I1007" s="182"/>
      <c r="J1007" s="182"/>
      <c r="K1007" s="178"/>
      <c r="L1007" s="182"/>
      <c r="M1007" s="182"/>
      <c r="N1007" s="177"/>
      <c r="O1007" s="177">
        <f>SUM(O1005:O1006)</f>
        <v>11.803499999999998</v>
      </c>
      <c r="P1007" s="183"/>
      <c r="Q1007" s="169"/>
    </row>
    <row r="1008" spans="1:17" s="174" customFormat="1" ht="52.5" x14ac:dyDescent="0.25">
      <c r="A1008" s="171" t="str">
        <f>ORÇAMENTO!A226</f>
        <v>4.1.2.6.24</v>
      </c>
      <c r="B1008" s="172" t="str">
        <f>VLOOKUP(A1008,ORÇAMENTO!A:K,4,0)</f>
        <v>CONSTRUÇÃO DE PAVIMENTO COM APLICAÇÃO CONCRETO BETUMINOSO USINADO A QUENTE (CBUQ), CAMADA DE ROLAMENTO - EXCLUSIVE TRANSPORTE E CARGA  AF_03/2017 (SEM MATERIAL)</v>
      </c>
      <c r="C1008" s="173" t="str">
        <f>VLOOKUP(A1008,ORÇAMENTO!A:K,5,0)</f>
        <v>M³</v>
      </c>
      <c r="D1008" s="173">
        <f>ROUND(SUM(E1011:O1011),2)</f>
        <v>6.78</v>
      </c>
      <c r="E1008" s="173" t="s">
        <v>1718</v>
      </c>
      <c r="F1008" s="173" t="s">
        <v>1719</v>
      </c>
      <c r="G1008" s="173" t="s">
        <v>1720</v>
      </c>
      <c r="H1008" s="173" t="s">
        <v>1721</v>
      </c>
      <c r="I1008" s="173" t="s">
        <v>1722</v>
      </c>
      <c r="J1008" s="173" t="s">
        <v>1723</v>
      </c>
      <c r="K1008" s="173" t="s">
        <v>1724</v>
      </c>
      <c r="L1008" s="173" t="s">
        <v>1804</v>
      </c>
      <c r="M1008" s="173" t="s">
        <v>1726</v>
      </c>
      <c r="N1008" s="173" t="s">
        <v>1811</v>
      </c>
      <c r="O1008" s="173" t="s">
        <v>1728</v>
      </c>
      <c r="P1008" s="169"/>
      <c r="Q1008" s="169"/>
    </row>
    <row r="1009" spans="1:17" s="170" customFormat="1" ht="15" customHeight="1" x14ac:dyDescent="0.25">
      <c r="A1009" s="175"/>
      <c r="B1009" s="176" t="s">
        <v>1784</v>
      </c>
      <c r="C1009" s="177"/>
      <c r="D1009" s="178"/>
      <c r="E1009" s="178"/>
      <c r="F1009" s="178"/>
      <c r="G1009" s="178"/>
      <c r="H1009" s="178"/>
      <c r="I1009" s="178"/>
      <c r="J1009" s="178"/>
      <c r="K1009" s="178"/>
      <c r="L1009" s="178"/>
      <c r="M1009" s="178"/>
      <c r="N1009" s="178">
        <f>QUANTBL!O96</f>
        <v>225.98999999999998</v>
      </c>
      <c r="O1009" s="178">
        <f>QUANTBL!AV96</f>
        <v>6.7797000000000001</v>
      </c>
      <c r="P1009" s="179"/>
      <c r="Q1009" s="169"/>
    </row>
    <row r="1010" spans="1:17" s="170" customFormat="1" ht="10.5" x14ac:dyDescent="0.25">
      <c r="A1010" s="175"/>
      <c r="B1010" s="176"/>
      <c r="C1010" s="177"/>
      <c r="D1010" s="178"/>
      <c r="E1010" s="178"/>
      <c r="F1010" s="178"/>
      <c r="G1010" s="178"/>
      <c r="H1010" s="178"/>
      <c r="I1010" s="178"/>
      <c r="J1010" s="178"/>
      <c r="K1010" s="178"/>
      <c r="L1010" s="178"/>
      <c r="M1010" s="178"/>
      <c r="N1010" s="200"/>
      <c r="O1010" s="178"/>
      <c r="P1010" s="179"/>
      <c r="Q1010" s="169"/>
    </row>
    <row r="1011" spans="1:17" s="170" customFormat="1" ht="15" customHeight="1" x14ac:dyDescent="0.25">
      <c r="A1011" s="175"/>
      <c r="B1011" s="181" t="s">
        <v>5</v>
      </c>
      <c r="C1011" s="182" t="s">
        <v>1328</v>
      </c>
      <c r="D1011" s="182"/>
      <c r="E1011" s="182"/>
      <c r="F1011" s="182"/>
      <c r="G1011" s="182"/>
      <c r="H1011" s="182"/>
      <c r="I1011" s="182"/>
      <c r="J1011" s="182"/>
      <c r="K1011" s="178"/>
      <c r="L1011" s="182"/>
      <c r="M1011" s="182"/>
      <c r="N1011" s="177"/>
      <c r="O1011" s="177">
        <f>SUM(O1009:O1010)</f>
        <v>6.7797000000000001</v>
      </c>
      <c r="P1011" s="183"/>
      <c r="Q1011" s="169"/>
    </row>
    <row r="1012" spans="1:17" s="174" customFormat="1" ht="21" x14ac:dyDescent="0.25">
      <c r="A1012" s="171" t="str">
        <f>ORÇAMENTO!A227</f>
        <v>4.1.2.6.25</v>
      </c>
      <c r="B1012" s="172" t="str">
        <f>VLOOKUP(A1012,ORÇAMENTO!A:K,4,0)</f>
        <v>PINTURA DE LIGAÇÃO (SEM MATERIAL)</v>
      </c>
      <c r="C1012" s="173" t="str">
        <f>VLOOKUP(A1012,ORÇAMENTO!A:K,5,0)</f>
        <v>M²</v>
      </c>
      <c r="D1012" s="173">
        <f>ROUND(SUM(E1015:O1015),2)</f>
        <v>225.99</v>
      </c>
      <c r="E1012" s="173" t="s">
        <v>1718</v>
      </c>
      <c r="F1012" s="173" t="s">
        <v>1719</v>
      </c>
      <c r="G1012" s="173" t="s">
        <v>1720</v>
      </c>
      <c r="H1012" s="173" t="s">
        <v>1721</v>
      </c>
      <c r="I1012" s="173" t="s">
        <v>1722</v>
      </c>
      <c r="J1012" s="173" t="s">
        <v>1723</v>
      </c>
      <c r="K1012" s="173" t="s">
        <v>1724</v>
      </c>
      <c r="L1012" s="173" t="s">
        <v>1804</v>
      </c>
      <c r="M1012" s="173" t="s">
        <v>1726</v>
      </c>
      <c r="N1012" s="173" t="s">
        <v>1811</v>
      </c>
      <c r="O1012" s="173" t="s">
        <v>1728</v>
      </c>
      <c r="P1012" s="169"/>
      <c r="Q1012" s="169"/>
    </row>
    <row r="1013" spans="1:17" s="170" customFormat="1" ht="15" customHeight="1" x14ac:dyDescent="0.25">
      <c r="A1013" s="175"/>
      <c r="B1013" s="176" t="str">
        <f>B1005</f>
        <v>VALAS DO TUBO DE LIGAÇÃO DN 400MM</v>
      </c>
      <c r="C1013" s="177"/>
      <c r="D1013" s="178"/>
      <c r="E1013" s="178"/>
      <c r="F1013" s="178"/>
      <c r="G1013" s="178"/>
      <c r="H1013" s="178"/>
      <c r="I1013" s="178"/>
      <c r="J1013" s="178"/>
      <c r="K1013" s="178"/>
      <c r="L1013" s="178"/>
      <c r="M1013" s="178"/>
      <c r="N1013" s="178">
        <f>N1009</f>
        <v>225.98999999999998</v>
      </c>
      <c r="O1013" s="178"/>
      <c r="P1013" s="179"/>
      <c r="Q1013" s="169"/>
    </row>
    <row r="1014" spans="1:17" s="170" customFormat="1" ht="10.5" x14ac:dyDescent="0.25">
      <c r="A1014" s="175"/>
      <c r="B1014" s="176"/>
      <c r="C1014" s="177"/>
      <c r="D1014" s="178"/>
      <c r="E1014" s="178"/>
      <c r="F1014" s="178"/>
      <c r="G1014" s="178"/>
      <c r="H1014" s="178"/>
      <c r="I1014" s="178"/>
      <c r="J1014" s="178"/>
      <c r="K1014" s="178"/>
      <c r="L1014" s="178"/>
      <c r="M1014" s="178"/>
      <c r="N1014" s="200"/>
      <c r="O1014" s="178"/>
      <c r="P1014" s="179"/>
      <c r="Q1014" s="169"/>
    </row>
    <row r="1015" spans="1:17" s="170" customFormat="1" ht="15" customHeight="1" x14ac:dyDescent="0.25">
      <c r="A1015" s="175"/>
      <c r="B1015" s="181" t="s">
        <v>5</v>
      </c>
      <c r="C1015" s="182" t="s">
        <v>1328</v>
      </c>
      <c r="D1015" s="182"/>
      <c r="E1015" s="182"/>
      <c r="F1015" s="182"/>
      <c r="G1015" s="182"/>
      <c r="H1015" s="182"/>
      <c r="I1015" s="182"/>
      <c r="J1015" s="182"/>
      <c r="K1015" s="178"/>
      <c r="L1015" s="182"/>
      <c r="M1015" s="182"/>
      <c r="N1015" s="177">
        <f>SUM(N1013:N1014)</f>
        <v>225.98999999999998</v>
      </c>
      <c r="O1015" s="177"/>
      <c r="P1015" s="183"/>
      <c r="Q1015" s="169"/>
    </row>
    <row r="1016" spans="1:17" s="174" customFormat="1" ht="15" customHeight="1" x14ac:dyDescent="0.25">
      <c r="A1016" s="171" t="str">
        <f>ORÇAMENTO!A228</f>
        <v>4.1.2.6.26</v>
      </c>
      <c r="B1016" s="172" t="str">
        <f>VLOOKUP(A1016,ORÇAMENTO!A:K,4,0)</f>
        <v>EMULSÃO ASFÁLTICA - RR-1C - FORNECIMENTO E TRANSPORTE</v>
      </c>
      <c r="C1016" s="173" t="str">
        <f>VLOOKUP(A1016,ORÇAMENTO!A:K,5,0)</f>
        <v>T</v>
      </c>
      <c r="D1016" s="173">
        <f>ROUND(SUM(E1021:O1021),2)</f>
        <v>0.1</v>
      </c>
      <c r="E1016" s="173" t="s">
        <v>1718</v>
      </c>
      <c r="F1016" s="173" t="s">
        <v>1719</v>
      </c>
      <c r="G1016" s="173" t="s">
        <v>1720</v>
      </c>
      <c r="H1016" s="173" t="s">
        <v>1721</v>
      </c>
      <c r="I1016" s="173" t="s">
        <v>1722</v>
      </c>
      <c r="J1016" s="173" t="s">
        <v>1723</v>
      </c>
      <c r="K1016" s="173" t="s">
        <v>1746</v>
      </c>
      <c r="L1016" s="173" t="s">
        <v>1777</v>
      </c>
      <c r="M1016" s="173" t="s">
        <v>1726</v>
      </c>
      <c r="N1016" s="173" t="s">
        <v>1811</v>
      </c>
      <c r="O1016" s="173" t="s">
        <v>1728</v>
      </c>
      <c r="P1016" s="169"/>
      <c r="Q1016" s="169"/>
    </row>
    <row r="1017" spans="1:17" s="170" customFormat="1" ht="15" customHeight="1" x14ac:dyDescent="0.25">
      <c r="A1017" s="175"/>
      <c r="B1017" s="181" t="s">
        <v>1778</v>
      </c>
      <c r="C1017" s="177"/>
      <c r="D1017" s="178"/>
      <c r="E1017" s="178"/>
      <c r="F1017" s="178"/>
      <c r="G1017" s="178"/>
      <c r="H1017" s="178"/>
      <c r="I1017" s="178"/>
      <c r="J1017" s="178"/>
      <c r="K1017" s="178"/>
      <c r="L1017" s="178"/>
      <c r="M1017" s="178"/>
      <c r="N1017" s="178">
        <f>N1013</f>
        <v>225.98999999999998</v>
      </c>
      <c r="O1017" s="178"/>
      <c r="P1017" s="179"/>
      <c r="Q1017" s="169"/>
    </row>
    <row r="1018" spans="1:17" s="170" customFormat="1" ht="15" customHeight="1" x14ac:dyDescent="0.25">
      <c r="A1018" s="175"/>
      <c r="B1018" s="176" t="s">
        <v>1779</v>
      </c>
      <c r="C1018" s="177"/>
      <c r="D1018" s="178"/>
      <c r="E1018" s="178"/>
      <c r="F1018" s="178"/>
      <c r="G1018" s="178"/>
      <c r="H1018" s="178"/>
      <c r="I1018" s="178"/>
      <c r="J1018" s="178"/>
      <c r="K1018" s="178"/>
      <c r="L1018" s="198">
        <v>4.4999999999999999E-4</v>
      </c>
      <c r="M1018" s="178"/>
      <c r="N1018" s="200"/>
      <c r="O1018" s="178"/>
      <c r="P1018" s="179"/>
      <c r="Q1018" s="169"/>
    </row>
    <row r="1019" spans="1:17" s="170" customFormat="1" ht="15" customHeight="1" x14ac:dyDescent="0.25">
      <c r="A1019" s="175"/>
      <c r="B1019" s="176"/>
      <c r="C1019" s="177"/>
      <c r="D1019" s="178"/>
      <c r="E1019" s="178"/>
      <c r="F1019" s="178"/>
      <c r="G1019" s="178"/>
      <c r="H1019" s="178"/>
      <c r="I1019" s="178"/>
      <c r="J1019" s="178"/>
      <c r="K1019" s="178">
        <f>L1018*N1017</f>
        <v>0.10169549999999999</v>
      </c>
      <c r="L1019" s="178"/>
      <c r="M1019" s="178"/>
      <c r="N1019" s="200"/>
      <c r="O1019" s="178"/>
      <c r="P1019" s="179"/>
      <c r="Q1019" s="169"/>
    </row>
    <row r="1020" spans="1:17" s="170" customFormat="1" ht="15" customHeight="1" x14ac:dyDescent="0.25">
      <c r="A1020" s="175"/>
      <c r="B1020" s="176"/>
      <c r="C1020" s="177"/>
      <c r="D1020" s="178"/>
      <c r="E1020" s="178"/>
      <c r="F1020" s="178"/>
      <c r="G1020" s="178"/>
      <c r="H1020" s="178"/>
      <c r="I1020" s="178"/>
      <c r="J1020" s="178"/>
      <c r="K1020" s="178"/>
      <c r="L1020" s="178"/>
      <c r="M1020" s="178"/>
      <c r="N1020" s="200"/>
      <c r="O1020" s="178"/>
      <c r="P1020" s="179"/>
      <c r="Q1020" s="169"/>
    </row>
    <row r="1021" spans="1:17" s="170" customFormat="1" ht="15" customHeight="1" x14ac:dyDescent="0.25">
      <c r="A1021" s="175"/>
      <c r="B1021" s="181" t="s">
        <v>5</v>
      </c>
      <c r="C1021" s="182" t="s">
        <v>1328</v>
      </c>
      <c r="D1021" s="182"/>
      <c r="E1021" s="182"/>
      <c r="F1021" s="182"/>
      <c r="G1021" s="182"/>
      <c r="H1021" s="182"/>
      <c r="I1021" s="182"/>
      <c r="J1021" s="182"/>
      <c r="K1021" s="177">
        <f>SUM(K1017:K1020)</f>
        <v>0.10169549999999999</v>
      </c>
      <c r="L1021" s="182"/>
      <c r="M1021" s="182"/>
      <c r="N1021" s="177"/>
      <c r="O1021" s="177"/>
      <c r="P1021" s="183"/>
      <c r="Q1021" s="169"/>
    </row>
    <row r="1022" spans="1:17" s="174" customFormat="1" ht="21" x14ac:dyDescent="0.25">
      <c r="A1022" s="171" t="str">
        <f>ORÇAMENTO!A229</f>
        <v>4.1.2.6.27</v>
      </c>
      <c r="B1022" s="172" t="str">
        <f>VLOOKUP(A1022,ORÇAMENTO!A:K,4,0)</f>
        <v>IMPRIMAÇÃO COM EMULSÃO ASFÁLTICA (SEM MATERIAL)</v>
      </c>
      <c r="C1022" s="173" t="str">
        <f>VLOOKUP(A1022,ORÇAMENTO!A:K,5,0)</f>
        <v>M²</v>
      </c>
      <c r="D1022" s="173">
        <f>ROUND(SUM(E1025:O1025),2)</f>
        <v>225.99</v>
      </c>
      <c r="E1022" s="173" t="s">
        <v>1718</v>
      </c>
      <c r="F1022" s="173" t="s">
        <v>1719</v>
      </c>
      <c r="G1022" s="173" t="s">
        <v>1720</v>
      </c>
      <c r="H1022" s="173" t="s">
        <v>1721</v>
      </c>
      <c r="I1022" s="173" t="s">
        <v>1722</v>
      </c>
      <c r="J1022" s="173" t="s">
        <v>1723</v>
      </c>
      <c r="K1022" s="173" t="s">
        <v>1724</v>
      </c>
      <c r="L1022" s="173" t="s">
        <v>1804</v>
      </c>
      <c r="M1022" s="173" t="s">
        <v>1726</v>
      </c>
      <c r="N1022" s="173" t="s">
        <v>1811</v>
      </c>
      <c r="O1022" s="173" t="s">
        <v>1728</v>
      </c>
      <c r="P1022" s="169"/>
      <c r="Q1022" s="169"/>
    </row>
    <row r="1023" spans="1:17" s="170" customFormat="1" ht="15" customHeight="1" x14ac:dyDescent="0.25">
      <c r="A1023" s="175"/>
      <c r="B1023" s="176" t="str">
        <f>B1013</f>
        <v>VALAS DO TUBO DE LIGAÇÃO DN 400MM</v>
      </c>
      <c r="C1023" s="177"/>
      <c r="D1023" s="178"/>
      <c r="E1023" s="178"/>
      <c r="F1023" s="178"/>
      <c r="G1023" s="178"/>
      <c r="H1023" s="178"/>
      <c r="I1023" s="178"/>
      <c r="J1023" s="178"/>
      <c r="K1023" s="178"/>
      <c r="L1023" s="178"/>
      <c r="M1023" s="178"/>
      <c r="N1023" s="178">
        <f>N1013</f>
        <v>225.98999999999998</v>
      </c>
      <c r="O1023" s="178"/>
      <c r="P1023" s="179"/>
      <c r="Q1023" s="169"/>
    </row>
    <row r="1024" spans="1:17" s="170" customFormat="1" ht="10.5" x14ac:dyDescent="0.25">
      <c r="A1024" s="175"/>
      <c r="B1024" s="176"/>
      <c r="C1024" s="177"/>
      <c r="D1024" s="178"/>
      <c r="E1024" s="178"/>
      <c r="F1024" s="178"/>
      <c r="G1024" s="178"/>
      <c r="H1024" s="178"/>
      <c r="I1024" s="178"/>
      <c r="J1024" s="178"/>
      <c r="K1024" s="178"/>
      <c r="L1024" s="178"/>
      <c r="M1024" s="178"/>
      <c r="N1024" s="200"/>
      <c r="O1024" s="178"/>
      <c r="P1024" s="179"/>
      <c r="Q1024" s="169"/>
    </row>
    <row r="1025" spans="1:17" s="170" customFormat="1" ht="15" customHeight="1" x14ac:dyDescent="0.25">
      <c r="A1025" s="175"/>
      <c r="B1025" s="181" t="s">
        <v>5</v>
      </c>
      <c r="C1025" s="182" t="s">
        <v>1328</v>
      </c>
      <c r="D1025" s="182"/>
      <c r="E1025" s="182"/>
      <c r="F1025" s="182"/>
      <c r="G1025" s="182"/>
      <c r="H1025" s="182"/>
      <c r="I1025" s="182"/>
      <c r="J1025" s="182"/>
      <c r="K1025" s="178"/>
      <c r="L1025" s="182"/>
      <c r="M1025" s="182"/>
      <c r="N1025" s="177">
        <f>SUM(N1023:N1024)</f>
        <v>225.98999999999998</v>
      </c>
      <c r="O1025" s="177"/>
      <c r="P1025" s="183"/>
      <c r="Q1025" s="169"/>
    </row>
    <row r="1026" spans="1:17" s="174" customFormat="1" ht="15" customHeight="1" x14ac:dyDescent="0.25">
      <c r="A1026" s="171" t="str">
        <f>ORÇAMENTO!A230</f>
        <v>4.1.2.6.28</v>
      </c>
      <c r="B1026" s="172" t="str">
        <f>VLOOKUP(A1026,ORÇAMENTO!A:K,4,0)</f>
        <v>EMULSÃO ASFÁLTICA PARA IMPRIMAÇÃO - FORNECIMENTO E TRANSPORTE</v>
      </c>
      <c r="C1026" s="173" t="str">
        <f>VLOOKUP(A1026,ORÇAMENTO!A:K,5,0)</f>
        <v>T</v>
      </c>
      <c r="D1026" s="173">
        <f>ROUND(SUM(E1031:O1031),2)</f>
        <v>0.28999999999999998</v>
      </c>
      <c r="E1026" s="173" t="s">
        <v>1718</v>
      </c>
      <c r="F1026" s="173" t="s">
        <v>1719</v>
      </c>
      <c r="G1026" s="173" t="s">
        <v>1720</v>
      </c>
      <c r="H1026" s="173" t="s">
        <v>1721</v>
      </c>
      <c r="I1026" s="173" t="s">
        <v>1722</v>
      </c>
      <c r="J1026" s="173" t="s">
        <v>1723</v>
      </c>
      <c r="K1026" s="173" t="s">
        <v>1746</v>
      </c>
      <c r="L1026" s="173" t="s">
        <v>1777</v>
      </c>
      <c r="M1026" s="173" t="s">
        <v>1726</v>
      </c>
      <c r="N1026" s="173" t="s">
        <v>1811</v>
      </c>
      <c r="O1026" s="173" t="s">
        <v>1728</v>
      </c>
      <c r="P1026" s="169"/>
      <c r="Q1026" s="169"/>
    </row>
    <row r="1027" spans="1:17" s="170" customFormat="1" ht="15" customHeight="1" x14ac:dyDescent="0.25">
      <c r="A1027" s="175"/>
      <c r="B1027" s="181" t="s">
        <v>1780</v>
      </c>
      <c r="C1027" s="177"/>
      <c r="D1027" s="178"/>
      <c r="E1027" s="178"/>
      <c r="F1027" s="178"/>
      <c r="G1027" s="178"/>
      <c r="H1027" s="178"/>
      <c r="I1027" s="178"/>
      <c r="J1027" s="178"/>
      <c r="K1027" s="178"/>
      <c r="L1027" s="178"/>
      <c r="M1027" s="178"/>
      <c r="N1027" s="178">
        <f>N1023</f>
        <v>225.98999999999998</v>
      </c>
      <c r="O1027" s="178"/>
      <c r="P1027" s="179"/>
      <c r="Q1027" s="169"/>
    </row>
    <row r="1028" spans="1:17" s="170" customFormat="1" ht="15" customHeight="1" x14ac:dyDescent="0.25">
      <c r="A1028" s="175"/>
      <c r="B1028" s="176" t="s">
        <v>1781</v>
      </c>
      <c r="C1028" s="177"/>
      <c r="D1028" s="178"/>
      <c r="E1028" s="178"/>
      <c r="F1028" s="178"/>
      <c r="G1028" s="178"/>
      <c r="H1028" s="178"/>
      <c r="I1028" s="178"/>
      <c r="J1028" s="178"/>
      <c r="K1028" s="178"/>
      <c r="L1028" s="198">
        <v>1.2999999999999999E-3</v>
      </c>
      <c r="M1028" s="178"/>
      <c r="N1028" s="200"/>
      <c r="O1028" s="178"/>
      <c r="P1028" s="179"/>
      <c r="Q1028" s="169"/>
    </row>
    <row r="1029" spans="1:17" s="170" customFormat="1" ht="15" customHeight="1" x14ac:dyDescent="0.25">
      <c r="A1029" s="175"/>
      <c r="B1029" s="176"/>
      <c r="C1029" s="177"/>
      <c r="D1029" s="178"/>
      <c r="E1029" s="178"/>
      <c r="F1029" s="178"/>
      <c r="G1029" s="178"/>
      <c r="H1029" s="178"/>
      <c r="I1029" s="178"/>
      <c r="J1029" s="178"/>
      <c r="K1029" s="178">
        <f>L1028*N1027</f>
        <v>0.29378699999999996</v>
      </c>
      <c r="L1029" s="178"/>
      <c r="M1029" s="178"/>
      <c r="N1029" s="200"/>
      <c r="O1029" s="178"/>
      <c r="P1029" s="179"/>
      <c r="Q1029" s="169"/>
    </row>
    <row r="1030" spans="1:17" s="170" customFormat="1" ht="15" customHeight="1" x14ac:dyDescent="0.25">
      <c r="A1030" s="175"/>
      <c r="B1030" s="176"/>
      <c r="C1030" s="177"/>
      <c r="D1030" s="178"/>
      <c r="E1030" s="178"/>
      <c r="F1030" s="178"/>
      <c r="G1030" s="178"/>
      <c r="H1030" s="178"/>
      <c r="I1030" s="178"/>
      <c r="J1030" s="178"/>
      <c r="K1030" s="178"/>
      <c r="L1030" s="178"/>
      <c r="M1030" s="178"/>
      <c r="N1030" s="200"/>
      <c r="O1030" s="178"/>
      <c r="P1030" s="179"/>
      <c r="Q1030" s="169"/>
    </row>
    <row r="1031" spans="1:17" s="170" customFormat="1" ht="15" customHeight="1" x14ac:dyDescent="0.25">
      <c r="A1031" s="175"/>
      <c r="B1031" s="181" t="s">
        <v>5</v>
      </c>
      <c r="C1031" s="182" t="s">
        <v>1328</v>
      </c>
      <c r="D1031" s="182"/>
      <c r="E1031" s="182"/>
      <c r="F1031" s="182"/>
      <c r="G1031" s="182"/>
      <c r="H1031" s="182"/>
      <c r="I1031" s="182"/>
      <c r="J1031" s="182"/>
      <c r="K1031" s="177">
        <f>SUM(K1027:K1030)</f>
        <v>0.29378699999999996</v>
      </c>
      <c r="L1031" s="182"/>
      <c r="M1031" s="182"/>
      <c r="N1031" s="177"/>
      <c r="O1031" s="177"/>
      <c r="P1031" s="183"/>
      <c r="Q1031" s="169"/>
    </row>
    <row r="1032" spans="1:17" s="174" customFormat="1" ht="21" x14ac:dyDescent="0.25">
      <c r="A1032" s="171" t="str">
        <f>ORÇAMENTO!A231</f>
        <v>4.1.2.6.29</v>
      </c>
      <c r="B1032" s="172" t="str">
        <f>VLOOKUP(A1032,ORÇAMENTO!A:K,4,0)</f>
        <v>USINAGEM DE CBUQ SEM  CAP 50/70, PARA CAPA DE ROLAMENTO (SEM MATERIAL  E TRANSPORTE)</v>
      </c>
      <c r="C1032" s="173" t="str">
        <f>VLOOKUP(A1032,ORÇAMENTO!A:K,5,0)</f>
        <v>T</v>
      </c>
      <c r="D1032" s="173">
        <f>ROUND(SUM(E1037:O1037),2)</f>
        <v>16.27</v>
      </c>
      <c r="E1032" s="173" t="s">
        <v>1718</v>
      </c>
      <c r="F1032" s="173" t="s">
        <v>1719</v>
      </c>
      <c r="G1032" s="173" t="s">
        <v>1720</v>
      </c>
      <c r="H1032" s="173" t="s">
        <v>1721</v>
      </c>
      <c r="I1032" s="173" t="s">
        <v>1722</v>
      </c>
      <c r="J1032" s="173" t="s">
        <v>1723</v>
      </c>
      <c r="K1032" s="173" t="s">
        <v>1746</v>
      </c>
      <c r="L1032" s="173" t="s">
        <v>1804</v>
      </c>
      <c r="M1032" s="173" t="s">
        <v>1726</v>
      </c>
      <c r="N1032" s="173" t="s">
        <v>1811</v>
      </c>
      <c r="O1032" s="173" t="s">
        <v>1728</v>
      </c>
      <c r="P1032" s="169"/>
      <c r="Q1032" s="169"/>
    </row>
    <row r="1033" spans="1:17" s="170" customFormat="1" ht="10.5" x14ac:dyDescent="0.25">
      <c r="A1033" s="175"/>
      <c r="B1033" s="181" t="s">
        <v>1745</v>
      </c>
      <c r="C1033" s="184"/>
      <c r="D1033" s="185"/>
      <c r="E1033" s="185"/>
      <c r="F1033" s="185"/>
      <c r="G1033" s="185"/>
      <c r="H1033" s="185"/>
      <c r="I1033" s="185"/>
      <c r="J1033" s="185"/>
      <c r="K1033" s="185"/>
      <c r="L1033" s="185"/>
      <c r="M1033" s="185"/>
      <c r="N1033" s="185"/>
      <c r="O1033" s="185"/>
      <c r="P1033" s="179"/>
      <c r="Q1033" s="169"/>
    </row>
    <row r="1034" spans="1:17" s="170" customFormat="1" ht="10.5" x14ac:dyDescent="0.25">
      <c r="A1034" s="175"/>
      <c r="B1034" s="176" t="s">
        <v>1785</v>
      </c>
      <c r="C1034" s="184"/>
      <c r="D1034" s="185"/>
      <c r="E1034" s="185"/>
      <c r="F1034" s="185"/>
      <c r="G1034" s="185"/>
      <c r="H1034" s="185"/>
      <c r="I1034" s="185"/>
      <c r="J1034" s="185"/>
      <c r="K1034" s="185"/>
      <c r="L1034" s="185">
        <v>2.4</v>
      </c>
      <c r="M1034" s="185"/>
      <c r="N1034" s="185"/>
      <c r="O1034" s="185"/>
      <c r="P1034" s="179"/>
      <c r="Q1034" s="169"/>
    </row>
    <row r="1035" spans="1:17" s="170" customFormat="1" ht="10.5" x14ac:dyDescent="0.25">
      <c r="A1035" s="175"/>
      <c r="B1035" s="176" t="str">
        <f>B1009</f>
        <v>CONCRETO BETUMINOSO USINADO A QUENTE</v>
      </c>
      <c r="C1035" s="184"/>
      <c r="D1035" s="185"/>
      <c r="E1035" s="185"/>
      <c r="F1035" s="185"/>
      <c r="G1035" s="185"/>
      <c r="H1035" s="185"/>
      <c r="I1035" s="185"/>
      <c r="J1035" s="185"/>
      <c r="K1035" s="185">
        <f>L1034*O1035</f>
        <v>16.271280000000001</v>
      </c>
      <c r="L1035" s="185"/>
      <c r="M1035" s="185"/>
      <c r="N1035" s="185"/>
      <c r="O1035" s="185">
        <f>O1011</f>
        <v>6.7797000000000001</v>
      </c>
      <c r="P1035" s="179"/>
      <c r="Q1035" s="169"/>
    </row>
    <row r="1036" spans="1:17" s="170" customFormat="1" ht="10.5" x14ac:dyDescent="0.25">
      <c r="A1036" s="175"/>
      <c r="B1036" s="176"/>
      <c r="C1036" s="177"/>
      <c r="D1036" s="178"/>
      <c r="E1036" s="178"/>
      <c r="F1036" s="178"/>
      <c r="G1036" s="178"/>
      <c r="H1036" s="178"/>
      <c r="I1036" s="178"/>
      <c r="J1036" s="178"/>
      <c r="K1036" s="178"/>
      <c r="L1036" s="178"/>
      <c r="M1036" s="178"/>
      <c r="N1036" s="200"/>
      <c r="O1036" s="178"/>
      <c r="P1036" s="179"/>
      <c r="Q1036" s="169"/>
    </row>
    <row r="1037" spans="1:17" s="170" customFormat="1" ht="15" customHeight="1" x14ac:dyDescent="0.25">
      <c r="A1037" s="175"/>
      <c r="B1037" s="181" t="s">
        <v>5</v>
      </c>
      <c r="C1037" s="182" t="s">
        <v>1328</v>
      </c>
      <c r="D1037" s="182"/>
      <c r="E1037" s="182"/>
      <c r="F1037" s="182"/>
      <c r="G1037" s="182"/>
      <c r="H1037" s="182"/>
      <c r="I1037" s="182"/>
      <c r="J1037" s="182"/>
      <c r="K1037" s="177">
        <f>SUM(K1033:K1036)</f>
        <v>16.271280000000001</v>
      </c>
      <c r="L1037" s="182"/>
      <c r="M1037" s="182"/>
      <c r="N1037" s="177"/>
      <c r="O1037" s="177"/>
      <c r="P1037" s="183"/>
      <c r="Q1037" s="169"/>
    </row>
    <row r="1038" spans="1:17" s="174" customFormat="1" ht="21" x14ac:dyDescent="0.25">
      <c r="A1038" s="171" t="str">
        <f>ORÇAMENTO!A232</f>
        <v>4.1.2.6.30</v>
      </c>
      <c r="B1038" s="172" t="str">
        <f>VLOOKUP(A1038,ORÇAMENTO!A:K,4,0)</f>
        <v>CIMENTO ASFÁLTICO DE PETRÓLEO - CAP 50/70 FORNECIMENTO E TRANSPORTE</v>
      </c>
      <c r="C1038" s="173" t="str">
        <f>VLOOKUP(A1038,ORÇAMENTO!A:K,5,0)</f>
        <v>T</v>
      </c>
      <c r="D1038" s="173">
        <f>ROUND(SUM(E1042:O1042),2)</f>
        <v>1.03</v>
      </c>
      <c r="E1038" s="173" t="s">
        <v>1718</v>
      </c>
      <c r="F1038" s="173" t="s">
        <v>1719</v>
      </c>
      <c r="G1038" s="173" t="s">
        <v>1720</v>
      </c>
      <c r="H1038" s="173" t="s">
        <v>1721</v>
      </c>
      <c r="I1038" s="173" t="s">
        <v>1722</v>
      </c>
      <c r="J1038" s="173" t="s">
        <v>1723</v>
      </c>
      <c r="K1038" s="173" t="s">
        <v>1746</v>
      </c>
      <c r="L1038" s="173" t="s">
        <v>1753</v>
      </c>
      <c r="M1038" s="173" t="s">
        <v>1730</v>
      </c>
      <c r="N1038" s="173" t="s">
        <v>1727</v>
      </c>
      <c r="O1038" s="173" t="s">
        <v>1728</v>
      </c>
      <c r="P1038" s="169"/>
      <c r="Q1038" s="169"/>
    </row>
    <row r="1039" spans="1:17" s="170" customFormat="1" ht="10.5" x14ac:dyDescent="0.25">
      <c r="A1039" s="175"/>
      <c r="B1039" s="176" t="str">
        <f>B1035</f>
        <v>CONCRETO BETUMINOSO USINADO A QUENTE</v>
      </c>
      <c r="C1039" s="184"/>
      <c r="D1039" s="185"/>
      <c r="E1039" s="185"/>
      <c r="F1039" s="185"/>
      <c r="G1039" s="185"/>
      <c r="H1039" s="185"/>
      <c r="I1039" s="185"/>
      <c r="J1039" s="185"/>
      <c r="K1039" s="185">
        <f>K1035</f>
        <v>16.271280000000001</v>
      </c>
      <c r="L1039" s="185"/>
      <c r="M1039" s="185"/>
      <c r="N1039" s="185"/>
      <c r="O1039" s="185"/>
      <c r="P1039" s="179"/>
      <c r="Q1039" s="169"/>
    </row>
    <row r="1040" spans="1:17" s="170" customFormat="1" ht="10.5" x14ac:dyDescent="0.25">
      <c r="A1040" s="175"/>
      <c r="B1040" s="176" t="s">
        <v>1786</v>
      </c>
      <c r="C1040" s="184"/>
      <c r="D1040" s="185"/>
      <c r="E1040" s="185"/>
      <c r="F1040" s="185"/>
      <c r="G1040" s="185"/>
      <c r="H1040" s="185"/>
      <c r="I1040" s="185"/>
      <c r="J1040" s="185"/>
      <c r="K1040" s="185"/>
      <c r="L1040" s="199">
        <v>6.3229999999999995E-2</v>
      </c>
      <c r="M1040" s="185"/>
      <c r="N1040" s="185"/>
      <c r="O1040" s="185"/>
      <c r="P1040" s="179"/>
      <c r="Q1040" s="169"/>
    </row>
    <row r="1041" spans="1:17" s="170" customFormat="1" ht="10.5" x14ac:dyDescent="0.25">
      <c r="A1041" s="175"/>
      <c r="B1041" s="176"/>
      <c r="C1041" s="184"/>
      <c r="D1041" s="185"/>
      <c r="E1041" s="185"/>
      <c r="F1041" s="185"/>
      <c r="G1041" s="185"/>
      <c r="H1041" s="185"/>
      <c r="I1041" s="185"/>
      <c r="J1041" s="185"/>
      <c r="K1041" s="185">
        <f>K1039*L1040</f>
        <v>1.0288330344000001</v>
      </c>
      <c r="L1041" s="185"/>
      <c r="M1041" s="185"/>
      <c r="N1041" s="185"/>
      <c r="O1041" s="185"/>
      <c r="P1041" s="179"/>
      <c r="Q1041" s="169"/>
    </row>
    <row r="1042" spans="1:17" s="170" customFormat="1" ht="15" customHeight="1" x14ac:dyDescent="0.25">
      <c r="A1042" s="175"/>
      <c r="B1042" s="181" t="s">
        <v>5</v>
      </c>
      <c r="C1042" s="182" t="s">
        <v>1328</v>
      </c>
      <c r="D1042" s="182"/>
      <c r="E1042" s="182"/>
      <c r="F1042" s="182"/>
      <c r="G1042" s="182"/>
      <c r="H1042" s="182"/>
      <c r="I1042" s="182"/>
      <c r="J1042" s="182"/>
      <c r="K1042" s="177">
        <f>SUM(K1041)</f>
        <v>1.0288330344000001</v>
      </c>
      <c r="L1042" s="182"/>
      <c r="M1042" s="182"/>
      <c r="N1042" s="177"/>
      <c r="O1042" s="177"/>
      <c r="P1042" s="183"/>
      <c r="Q1042" s="169"/>
    </row>
    <row r="1043" spans="1:17" s="174" customFormat="1" ht="52.5" x14ac:dyDescent="0.25">
      <c r="A1043" s="171" t="str">
        <f>ORÇAMENTO!A233</f>
        <v>4.1.2.6.31</v>
      </c>
      <c r="B1043" s="172" t="str">
        <f>VLOOKUP(A1043,ORÇAMENTO!A:K,4,0)</f>
        <v>EXECUÇÃO E COMPACTAÇÃO DE BASE E OU SUB BASE PARA PAVIMENTAÇÃO DE SOLO (PREDOMINANTEMENTE ARENOSO) COM CAL (TEOR DE 4%) - EXCLUSIVE SOLO, ESCAVAÇÃO, CARGA E TRANSPORTE.</v>
      </c>
      <c r="C1043" s="173" t="str">
        <f>VLOOKUP(A1043,ORÇAMENTO!A:K,5,0)</f>
        <v>M³</v>
      </c>
      <c r="D1043" s="173">
        <f>ROUND(SUM(E1047:O1047),2)</f>
        <v>33.9</v>
      </c>
      <c r="E1043" s="173" t="s">
        <v>1718</v>
      </c>
      <c r="F1043" s="173" t="s">
        <v>1719</v>
      </c>
      <c r="G1043" s="173" t="s">
        <v>1720</v>
      </c>
      <c r="H1043" s="173" t="s">
        <v>1721</v>
      </c>
      <c r="I1043" s="173" t="s">
        <v>1722</v>
      </c>
      <c r="J1043" s="173" t="s">
        <v>1723</v>
      </c>
      <c r="K1043" s="173" t="s">
        <v>1724</v>
      </c>
      <c r="L1043" s="173" t="s">
        <v>1804</v>
      </c>
      <c r="M1043" s="173" t="s">
        <v>1726</v>
      </c>
      <c r="N1043" s="173" t="s">
        <v>1811</v>
      </c>
      <c r="O1043" s="173" t="s">
        <v>1728</v>
      </c>
      <c r="P1043" s="169"/>
      <c r="Q1043" s="169"/>
    </row>
    <row r="1044" spans="1:17" s="170" customFormat="1" ht="10.5" x14ac:dyDescent="0.25">
      <c r="A1044" s="175"/>
      <c r="B1044" s="176" t="s">
        <v>1814</v>
      </c>
      <c r="C1044" s="177"/>
      <c r="D1044" s="178"/>
      <c r="E1044" s="178"/>
      <c r="F1044" s="178"/>
      <c r="G1044" s="178"/>
      <c r="H1044" s="178"/>
      <c r="I1044" s="178"/>
      <c r="J1044" s="178"/>
      <c r="K1044" s="178"/>
      <c r="L1044" s="178"/>
      <c r="M1044" s="178"/>
      <c r="N1044" s="200"/>
      <c r="O1044" s="178">
        <f>QUANTBL!AT96</f>
        <v>33.898499999999999</v>
      </c>
      <c r="P1044" s="179"/>
      <c r="Q1044" s="169"/>
    </row>
    <row r="1045" spans="1:17" s="170" customFormat="1" ht="10.5" x14ac:dyDescent="0.25">
      <c r="A1045" s="175"/>
      <c r="B1045" s="176"/>
      <c r="C1045" s="177"/>
      <c r="D1045" s="178"/>
      <c r="E1045" s="178"/>
      <c r="F1045" s="178"/>
      <c r="G1045" s="178"/>
      <c r="H1045" s="178"/>
      <c r="I1045" s="178"/>
      <c r="J1045" s="178"/>
      <c r="K1045" s="178"/>
      <c r="L1045" s="178"/>
      <c r="M1045" s="178"/>
      <c r="N1045" s="200"/>
      <c r="O1045" s="178"/>
      <c r="P1045" s="179"/>
      <c r="Q1045" s="169"/>
    </row>
    <row r="1046" spans="1:17" s="170" customFormat="1" ht="10.5" x14ac:dyDescent="0.25">
      <c r="A1046" s="175"/>
      <c r="B1046" s="176"/>
      <c r="C1046" s="177"/>
      <c r="D1046" s="178"/>
      <c r="E1046" s="178"/>
      <c r="F1046" s="178"/>
      <c r="G1046" s="178"/>
      <c r="H1046" s="178"/>
      <c r="I1046" s="178"/>
      <c r="J1046" s="178"/>
      <c r="K1046" s="178"/>
      <c r="L1046" s="178"/>
      <c r="M1046" s="178"/>
      <c r="N1046" s="200"/>
      <c r="O1046" s="178"/>
      <c r="P1046" s="179"/>
      <c r="Q1046" s="169"/>
    </row>
    <row r="1047" spans="1:17" s="170" customFormat="1" ht="15" customHeight="1" x14ac:dyDescent="0.25">
      <c r="A1047" s="175"/>
      <c r="B1047" s="181" t="s">
        <v>5</v>
      </c>
      <c r="C1047" s="182" t="s">
        <v>1328</v>
      </c>
      <c r="D1047" s="182"/>
      <c r="E1047" s="182"/>
      <c r="F1047" s="182"/>
      <c r="G1047" s="182"/>
      <c r="H1047" s="182"/>
      <c r="I1047" s="182"/>
      <c r="J1047" s="182"/>
      <c r="K1047" s="178"/>
      <c r="L1047" s="182"/>
      <c r="M1047" s="182"/>
      <c r="N1047" s="177"/>
      <c r="O1047" s="177">
        <f>SUM(O1044:O1046)</f>
        <v>33.898499999999999</v>
      </c>
      <c r="P1047" s="183"/>
      <c r="Q1047" s="169"/>
    </row>
    <row r="1048" spans="1:17" s="174" customFormat="1" ht="21" x14ac:dyDescent="0.25">
      <c r="A1048" s="171" t="str">
        <f>ORÇAMENTO!A234</f>
        <v>4.1.2.6.32</v>
      </c>
      <c r="B1048" s="172" t="str">
        <f>VLOOKUP(A1048,ORÇAMENTO!A:K,4,0)</f>
        <v>BASE OU SUB-BASE DE BRITA GRADUADA COM BRITA COMERCIAL</v>
      </c>
      <c r="C1048" s="173" t="str">
        <f>VLOOKUP(A1048,ORÇAMENTO!A:K,5,0)</f>
        <v>M³</v>
      </c>
      <c r="D1048" s="173">
        <f>ROUND(SUM(E1052:O1052),2)</f>
        <v>33.9</v>
      </c>
      <c r="E1048" s="173" t="s">
        <v>1718</v>
      </c>
      <c r="F1048" s="173" t="s">
        <v>1719</v>
      </c>
      <c r="G1048" s="173" t="s">
        <v>1720</v>
      </c>
      <c r="H1048" s="173" t="s">
        <v>1721</v>
      </c>
      <c r="I1048" s="173" t="s">
        <v>1722</v>
      </c>
      <c r="J1048" s="173" t="s">
        <v>1723</v>
      </c>
      <c r="K1048" s="173" t="s">
        <v>1724</v>
      </c>
      <c r="L1048" s="173" t="s">
        <v>1804</v>
      </c>
      <c r="M1048" s="173" t="s">
        <v>1726</v>
      </c>
      <c r="N1048" s="173" t="s">
        <v>1811</v>
      </c>
      <c r="O1048" s="173" t="s">
        <v>1728</v>
      </c>
      <c r="P1048" s="169"/>
      <c r="Q1048" s="169"/>
    </row>
    <row r="1049" spans="1:17" s="170" customFormat="1" ht="10.5" x14ac:dyDescent="0.25">
      <c r="A1049" s="175"/>
      <c r="B1049" s="176" t="s">
        <v>1814</v>
      </c>
      <c r="C1049" s="177"/>
      <c r="D1049" s="178"/>
      <c r="E1049" s="178"/>
      <c r="F1049" s="178"/>
      <c r="G1049" s="178"/>
      <c r="H1049" s="178"/>
      <c r="I1049" s="178"/>
      <c r="J1049" s="178"/>
      <c r="K1049" s="178"/>
      <c r="L1049" s="178"/>
      <c r="M1049" s="178"/>
      <c r="N1049" s="200"/>
      <c r="O1049" s="178">
        <f>QUANTBL!AU96</f>
        <v>33.898499999999999</v>
      </c>
      <c r="P1049" s="179"/>
      <c r="Q1049" s="169"/>
    </row>
    <row r="1050" spans="1:17" s="170" customFormat="1" ht="10.5" x14ac:dyDescent="0.25">
      <c r="A1050" s="175"/>
      <c r="B1050" s="176"/>
      <c r="C1050" s="177"/>
      <c r="D1050" s="178"/>
      <c r="E1050" s="178"/>
      <c r="F1050" s="178"/>
      <c r="G1050" s="178"/>
      <c r="H1050" s="178"/>
      <c r="I1050" s="178"/>
      <c r="J1050" s="178"/>
      <c r="K1050" s="178"/>
      <c r="L1050" s="178"/>
      <c r="M1050" s="178"/>
      <c r="N1050" s="200"/>
      <c r="O1050" s="178"/>
      <c r="P1050" s="179"/>
      <c r="Q1050" s="169"/>
    </row>
    <row r="1051" spans="1:17" s="170" customFormat="1" ht="10.5" x14ac:dyDescent="0.25">
      <c r="A1051" s="175"/>
      <c r="B1051" s="176"/>
      <c r="C1051" s="177"/>
      <c r="D1051" s="178"/>
      <c r="E1051" s="178"/>
      <c r="F1051" s="178"/>
      <c r="G1051" s="178"/>
      <c r="H1051" s="178"/>
      <c r="I1051" s="178"/>
      <c r="J1051" s="178"/>
      <c r="K1051" s="178"/>
      <c r="L1051" s="178"/>
      <c r="M1051" s="178"/>
      <c r="N1051" s="200"/>
      <c r="O1051" s="178"/>
      <c r="P1051" s="179"/>
      <c r="Q1051" s="169"/>
    </row>
    <row r="1052" spans="1:17" s="170" customFormat="1" ht="13.5" customHeight="1" x14ac:dyDescent="0.25">
      <c r="A1052" s="175"/>
      <c r="B1052" s="181" t="s">
        <v>5</v>
      </c>
      <c r="C1052" s="182" t="s">
        <v>1328</v>
      </c>
      <c r="D1052" s="182"/>
      <c r="E1052" s="182"/>
      <c r="F1052" s="182"/>
      <c r="G1052" s="182"/>
      <c r="H1052" s="182"/>
      <c r="I1052" s="182"/>
      <c r="J1052" s="182"/>
      <c r="K1052" s="178"/>
      <c r="L1052" s="182"/>
      <c r="M1052" s="182"/>
      <c r="N1052" s="177"/>
      <c r="O1052" s="177">
        <f>SUM(O1049:O1051)</f>
        <v>33.898499999999999</v>
      </c>
      <c r="P1052" s="183"/>
      <c r="Q1052" s="169"/>
    </row>
    <row r="1053" spans="1:17" s="174" customFormat="1" ht="21" x14ac:dyDescent="0.25">
      <c r="A1053" s="171" t="str">
        <f>ORÇAMENTO!A235</f>
        <v>4.1.2.6.33</v>
      </c>
      <c r="B1053" s="172" t="str">
        <f>VLOOKUP(A1053,ORÇAMENTO!A:K,4,0)</f>
        <v>CAL HIDRATADA - A GRANEL</v>
      </c>
      <c r="C1053" s="173" t="str">
        <f>VLOOKUP(A1053,ORÇAMENTO!A:K,5,0)</f>
        <v>KG</v>
      </c>
      <c r="D1053" s="173">
        <f>ROUND(SUM(E1057:O1057),2)</f>
        <v>5616.01</v>
      </c>
      <c r="E1053" s="173" t="s">
        <v>1718</v>
      </c>
      <c r="F1053" s="173" t="s">
        <v>1719</v>
      </c>
      <c r="G1053" s="173" t="s">
        <v>1720</v>
      </c>
      <c r="H1053" s="173" t="s">
        <v>1721</v>
      </c>
      <c r="I1053" s="173" t="s">
        <v>1722</v>
      </c>
      <c r="J1053" s="173" t="s">
        <v>1723</v>
      </c>
      <c r="K1053" s="173" t="s">
        <v>1724</v>
      </c>
      <c r="L1053" s="173" t="s">
        <v>1753</v>
      </c>
      <c r="M1053" s="173" t="s">
        <v>1726</v>
      </c>
      <c r="N1053" s="173" t="s">
        <v>1811</v>
      </c>
      <c r="O1053" s="173" t="s">
        <v>1728</v>
      </c>
      <c r="P1053" s="169"/>
      <c r="Q1053" s="169"/>
    </row>
    <row r="1054" spans="1:17" s="170" customFormat="1" ht="15" customHeight="1" x14ac:dyDescent="0.25">
      <c r="A1054" s="175"/>
      <c r="B1054" s="181" t="s">
        <v>1815</v>
      </c>
      <c r="C1054" s="177"/>
      <c r="D1054" s="178"/>
      <c r="E1054" s="178"/>
      <c r="F1054" s="178"/>
      <c r="G1054" s="178"/>
      <c r="H1054" s="178"/>
      <c r="I1054" s="178"/>
      <c r="J1054" s="178"/>
      <c r="K1054" s="178"/>
      <c r="L1054" s="178"/>
      <c r="M1054" s="178"/>
      <c r="N1054" s="200"/>
      <c r="O1054" s="178">
        <f>QUANTBL!BD96</f>
        <v>1.2786600000000001</v>
      </c>
      <c r="P1054" s="179"/>
      <c r="Q1054" s="169"/>
    </row>
    <row r="1055" spans="1:17" s="170" customFormat="1" ht="15" customHeight="1" x14ac:dyDescent="0.25">
      <c r="A1055" s="175"/>
      <c r="B1055" s="181" t="s">
        <v>451</v>
      </c>
      <c r="C1055" s="177"/>
      <c r="D1055" s="178"/>
      <c r="E1055" s="178"/>
      <c r="F1055" s="178"/>
      <c r="G1055" s="178"/>
      <c r="H1055" s="178"/>
      <c r="I1055" s="178"/>
      <c r="J1055" s="178"/>
      <c r="K1055" s="178"/>
      <c r="L1055" s="178"/>
      <c r="M1055" s="178"/>
      <c r="N1055" s="200"/>
      <c r="O1055" s="178">
        <f>QUANTBL!CM96</f>
        <v>1.4435959999999997</v>
      </c>
      <c r="P1055" s="179"/>
      <c r="Q1055" s="169"/>
    </row>
    <row r="1056" spans="1:17" s="170" customFormat="1" ht="31.5" x14ac:dyDescent="0.25">
      <c r="A1056" s="175"/>
      <c r="B1056" s="176" t="s">
        <v>1782</v>
      </c>
      <c r="C1056" s="177"/>
      <c r="D1056" s="178"/>
      <c r="E1056" s="178"/>
      <c r="F1056" s="178"/>
      <c r="G1056" s="178"/>
      <c r="H1056" s="178"/>
      <c r="I1056" s="178"/>
      <c r="J1056" s="178"/>
      <c r="K1056" s="178">
        <f>L1056*O1054+L1056*O1055</f>
        <v>5616.0141279999998</v>
      </c>
      <c r="L1056" s="178">
        <f>82.52/0.04</f>
        <v>2063</v>
      </c>
      <c r="M1056" s="178"/>
      <c r="N1056" s="200"/>
      <c r="O1056" s="178"/>
      <c r="P1056" s="179"/>
      <c r="Q1056" s="169"/>
    </row>
    <row r="1057" spans="1:17" s="170" customFormat="1" ht="15" customHeight="1" x14ac:dyDescent="0.25">
      <c r="A1057" s="175"/>
      <c r="B1057" s="181" t="s">
        <v>5</v>
      </c>
      <c r="C1057" s="182" t="s">
        <v>1328</v>
      </c>
      <c r="D1057" s="182"/>
      <c r="E1057" s="182"/>
      <c r="F1057" s="182"/>
      <c r="G1057" s="182"/>
      <c r="H1057" s="182"/>
      <c r="I1057" s="182"/>
      <c r="J1057" s="182"/>
      <c r="K1057" s="177">
        <f>SUM(K1054:K1056)</f>
        <v>5616.0141279999998</v>
      </c>
      <c r="L1057" s="182"/>
      <c r="M1057" s="182"/>
      <c r="N1057" s="177"/>
      <c r="O1057" s="177"/>
      <c r="P1057" s="183"/>
      <c r="Q1057" s="169"/>
    </row>
    <row r="1058" spans="1:17" s="174" customFormat="1" ht="21" x14ac:dyDescent="0.25">
      <c r="A1058" s="171" t="str">
        <f>ORÇAMENTO!A236</f>
        <v>4.1.2.6.34</v>
      </c>
      <c r="B1058" s="172" t="str">
        <f>VLOOKUP(A1058,ORÇAMENTO!A:K,4,0)</f>
        <v>REATERRO MANUAL APILOADO COM SOQUETE</v>
      </c>
      <c r="C1058" s="173" t="str">
        <f>VLOOKUP(A1058,ORÇAMENTO!A:K,5,0)</f>
        <v>M³</v>
      </c>
      <c r="D1058" s="173">
        <f>ROUND(SUM(E1061:O1061),2)</f>
        <v>135.58000000000001</v>
      </c>
      <c r="E1058" s="173" t="s">
        <v>1718</v>
      </c>
      <c r="F1058" s="173" t="s">
        <v>1719</v>
      </c>
      <c r="G1058" s="173" t="s">
        <v>1720</v>
      </c>
      <c r="H1058" s="173" t="s">
        <v>1721</v>
      </c>
      <c r="I1058" s="173" t="s">
        <v>1722</v>
      </c>
      <c r="J1058" s="173" t="s">
        <v>1723</v>
      </c>
      <c r="K1058" s="173" t="s">
        <v>1724</v>
      </c>
      <c r="L1058" s="173" t="s">
        <v>1753</v>
      </c>
      <c r="M1058" s="173" t="s">
        <v>1726</v>
      </c>
      <c r="N1058" s="173" t="s">
        <v>1811</v>
      </c>
      <c r="O1058" s="173" t="s">
        <v>1728</v>
      </c>
      <c r="P1058" s="169"/>
      <c r="Q1058" s="169"/>
    </row>
    <row r="1059" spans="1:17" s="170" customFormat="1" ht="15" customHeight="1" x14ac:dyDescent="0.25">
      <c r="A1059" s="175"/>
      <c r="B1059" s="181" t="s">
        <v>1815</v>
      </c>
      <c r="C1059" s="177"/>
      <c r="D1059" s="178"/>
      <c r="E1059" s="178"/>
      <c r="F1059" s="178"/>
      <c r="G1059" s="178"/>
      <c r="H1059" s="178"/>
      <c r="I1059" s="178"/>
      <c r="J1059" s="178"/>
      <c r="K1059" s="178"/>
      <c r="L1059" s="178"/>
      <c r="M1059" s="178"/>
      <c r="N1059" s="200"/>
      <c r="O1059" s="178"/>
      <c r="P1059" s="179"/>
      <c r="Q1059" s="169"/>
    </row>
    <row r="1060" spans="1:17" s="170" customFormat="1" ht="15" customHeight="1" x14ac:dyDescent="0.25">
      <c r="A1060" s="175"/>
      <c r="B1060" s="176" t="s">
        <v>1787</v>
      </c>
      <c r="C1060" s="177"/>
      <c r="D1060" s="178"/>
      <c r="E1060" s="178"/>
      <c r="F1060" s="178"/>
      <c r="G1060" s="178"/>
      <c r="H1060" s="178"/>
      <c r="I1060" s="178"/>
      <c r="J1060" s="178"/>
      <c r="K1060" s="178"/>
      <c r="L1060" s="178"/>
      <c r="M1060" s="178"/>
      <c r="N1060" s="200"/>
      <c r="O1060" s="178">
        <f>QUANTBL!AR96</f>
        <v>135.5835688906823</v>
      </c>
      <c r="P1060" s="179"/>
      <c r="Q1060" s="169"/>
    </row>
    <row r="1061" spans="1:17" s="170" customFormat="1" ht="15" customHeight="1" x14ac:dyDescent="0.25">
      <c r="A1061" s="175"/>
      <c r="B1061" s="181" t="s">
        <v>5</v>
      </c>
      <c r="C1061" s="182" t="s">
        <v>1328</v>
      </c>
      <c r="D1061" s="182"/>
      <c r="E1061" s="182"/>
      <c r="F1061" s="182"/>
      <c r="G1061" s="182"/>
      <c r="H1061" s="182"/>
      <c r="I1061" s="182"/>
      <c r="J1061" s="182"/>
      <c r="K1061" s="177"/>
      <c r="L1061" s="182"/>
      <c r="M1061" s="182"/>
      <c r="N1061" s="177"/>
      <c r="O1061" s="177">
        <f>SUM(O1060:O1060)</f>
        <v>135.5835688906823</v>
      </c>
      <c r="P1061" s="183"/>
      <c r="Q1061" s="169"/>
    </row>
    <row r="1062" spans="1:17" s="174" customFormat="1" ht="31.5" x14ac:dyDescent="0.25">
      <c r="A1062" s="171" t="str">
        <f>ORÇAMENTO!A237</f>
        <v>4.1.2.6.35</v>
      </c>
      <c r="B1062" s="172" t="str">
        <f>VLOOKUP(A1062,ORÇAMENTO!A:K,4,0)</f>
        <v>REATERRO COMPACTADO MECANICAMENTE EM CAMADAS DE 0,20 M COM APROVEITAMENTO DO MATERIAL ESCAVADO.</v>
      </c>
      <c r="C1062" s="173" t="str">
        <f>VLOOKUP(A1062,ORÇAMENTO!A:K,5,0)</f>
        <v>M³</v>
      </c>
      <c r="D1062" s="173">
        <f>ROUND(SUM(E1069:O1069),2)</f>
        <v>674.02</v>
      </c>
      <c r="E1062" s="173" t="s">
        <v>1718</v>
      </c>
      <c r="F1062" s="173" t="s">
        <v>1719</v>
      </c>
      <c r="G1062" s="173" t="s">
        <v>1720</v>
      </c>
      <c r="H1062" s="173" t="s">
        <v>1721</v>
      </c>
      <c r="I1062" s="173" t="s">
        <v>1722</v>
      </c>
      <c r="J1062" s="173" t="s">
        <v>1723</v>
      </c>
      <c r="K1062" s="173" t="s">
        <v>1724</v>
      </c>
      <c r="L1062" s="173" t="s">
        <v>1753</v>
      </c>
      <c r="M1062" s="173" t="s">
        <v>1726</v>
      </c>
      <c r="N1062" s="173" t="s">
        <v>1811</v>
      </c>
      <c r="O1062" s="173" t="s">
        <v>1728</v>
      </c>
      <c r="P1062" s="169"/>
      <c r="Q1062" s="169"/>
    </row>
    <row r="1063" spans="1:17" s="170" customFormat="1" ht="15" customHeight="1" x14ac:dyDescent="0.25">
      <c r="A1063" s="175"/>
      <c r="B1063" s="181" t="s">
        <v>1815</v>
      </c>
      <c r="C1063" s="177"/>
      <c r="D1063" s="178"/>
      <c r="E1063" s="178"/>
      <c r="F1063" s="178"/>
      <c r="G1063" s="178"/>
      <c r="H1063" s="178"/>
      <c r="I1063" s="178"/>
      <c r="J1063" s="178"/>
      <c r="K1063" s="178"/>
      <c r="L1063" s="178"/>
      <c r="M1063" s="178"/>
      <c r="N1063" s="200"/>
      <c r="O1063" s="178"/>
      <c r="P1063" s="179"/>
      <c r="Q1063" s="169"/>
    </row>
    <row r="1064" spans="1:17" s="170" customFormat="1" ht="15" customHeight="1" x14ac:dyDescent="0.25">
      <c r="A1064" s="175"/>
      <c r="B1064" s="176" t="s">
        <v>1787</v>
      </c>
      <c r="C1064" s="177"/>
      <c r="D1064" s="178"/>
      <c r="E1064" s="178"/>
      <c r="F1064" s="178"/>
      <c r="G1064" s="178"/>
      <c r="H1064" s="178"/>
      <c r="I1064" s="178"/>
      <c r="J1064" s="178"/>
      <c r="K1064" s="178"/>
      <c r="L1064" s="178"/>
      <c r="M1064" s="178"/>
      <c r="N1064" s="200"/>
      <c r="O1064" s="178">
        <f>QUANTBL!AY96</f>
        <v>131.52827360988658</v>
      </c>
      <c r="P1064" s="179"/>
      <c r="Q1064" s="169"/>
    </row>
    <row r="1065" spans="1:17" s="170" customFormat="1" ht="15" customHeight="1" x14ac:dyDescent="0.25">
      <c r="A1065" s="175"/>
      <c r="B1065" s="176" t="s">
        <v>1816</v>
      </c>
      <c r="C1065" s="177"/>
      <c r="D1065" s="178"/>
      <c r="E1065" s="178"/>
      <c r="F1065" s="178"/>
      <c r="G1065" s="178"/>
      <c r="H1065" s="178"/>
      <c r="I1065" s="178"/>
      <c r="J1065" s="178"/>
      <c r="K1065" s="178"/>
      <c r="L1065" s="178"/>
      <c r="M1065" s="178"/>
      <c r="N1065" s="200"/>
      <c r="O1065" s="178">
        <f>QUANTBL!BA96</f>
        <v>52.819396499429189</v>
      </c>
      <c r="P1065" s="179"/>
      <c r="Q1065" s="169"/>
    </row>
    <row r="1066" spans="1:17" s="170" customFormat="1" ht="15" customHeight="1" x14ac:dyDescent="0.25">
      <c r="A1066" s="175"/>
      <c r="B1066" s="176" t="s">
        <v>1790</v>
      </c>
      <c r="C1066" s="177"/>
      <c r="D1066" s="178"/>
      <c r="E1066" s="178"/>
      <c r="F1066" s="178"/>
      <c r="G1066" s="178"/>
      <c r="H1066" s="178"/>
      <c r="I1066" s="178"/>
      <c r="J1066" s="178"/>
      <c r="K1066" s="178"/>
      <c r="L1066" s="178"/>
      <c r="M1066" s="178"/>
      <c r="N1066" s="200"/>
      <c r="O1066" s="178">
        <f>QUANTBL!AO96</f>
        <v>24.347999999999999</v>
      </c>
      <c r="P1066" s="179"/>
      <c r="Q1066" s="169"/>
    </row>
    <row r="1067" spans="1:17" s="170" customFormat="1" ht="15" customHeight="1" x14ac:dyDescent="0.25">
      <c r="A1067" s="175"/>
      <c r="B1067" s="181" t="s">
        <v>451</v>
      </c>
      <c r="C1067" s="177"/>
      <c r="D1067" s="178"/>
      <c r="E1067" s="178"/>
      <c r="F1067" s="178"/>
      <c r="G1067" s="178"/>
      <c r="H1067" s="178"/>
      <c r="I1067" s="178"/>
      <c r="J1067" s="178"/>
      <c r="K1067" s="178"/>
      <c r="L1067" s="178"/>
      <c r="M1067" s="178"/>
      <c r="N1067" s="200"/>
      <c r="O1067" s="178"/>
      <c r="P1067" s="179"/>
      <c r="Q1067" s="169"/>
    </row>
    <row r="1068" spans="1:17" s="170" customFormat="1" ht="15" customHeight="1" x14ac:dyDescent="0.25">
      <c r="A1068" s="175"/>
      <c r="B1068" s="176" t="s">
        <v>1787</v>
      </c>
      <c r="C1068" s="177"/>
      <c r="D1068" s="178"/>
      <c r="E1068" s="178"/>
      <c r="F1068" s="178"/>
      <c r="G1068" s="178"/>
      <c r="H1068" s="178"/>
      <c r="I1068" s="178"/>
      <c r="J1068" s="178"/>
      <c r="K1068" s="178"/>
      <c r="L1068" s="178"/>
      <c r="M1068" s="178"/>
      <c r="N1068" s="200"/>
      <c r="O1068" s="178">
        <f>QUANTBL!CK96</f>
        <v>465.3229539999989</v>
      </c>
      <c r="P1068" s="179"/>
      <c r="Q1068" s="169"/>
    </row>
    <row r="1069" spans="1:17" s="170" customFormat="1" ht="15" customHeight="1" x14ac:dyDescent="0.25">
      <c r="A1069" s="175"/>
      <c r="B1069" s="181" t="s">
        <v>5</v>
      </c>
      <c r="C1069" s="182" t="s">
        <v>1328</v>
      </c>
      <c r="D1069" s="182"/>
      <c r="E1069" s="182"/>
      <c r="F1069" s="182"/>
      <c r="G1069" s="182"/>
      <c r="H1069" s="182"/>
      <c r="I1069" s="182"/>
      <c r="J1069" s="182"/>
      <c r="K1069" s="177"/>
      <c r="L1069" s="182"/>
      <c r="M1069" s="182"/>
      <c r="N1069" s="177"/>
      <c r="O1069" s="177">
        <f>SUM(O1064:O1068)</f>
        <v>674.01862410931471</v>
      </c>
      <c r="P1069" s="183"/>
      <c r="Q1069" s="169"/>
    </row>
    <row r="1070" spans="1:17" s="174" customFormat="1" ht="52.5" x14ac:dyDescent="0.25">
      <c r="A1070" s="171" t="str">
        <f>ORÇAMENTO!A238</f>
        <v>4.1.2.6.36</v>
      </c>
      <c r="B1070" s="172" t="str">
        <f>VLOOKUP(A1070,ORÇAMENTO!A:K,4,0)</f>
        <v>CARGA, MANOBRA E DESCARGA DE SOLOS E MATERIAIS GRANULARES EM CAMINHÃO BASCULANTE 14 M³ - CARGA COM ESCAVADEIRA HIDRÁULICA (CAÇAMBA DE 1,20 M³ / 155 HP) E DESCARGA LIVRE (UNIDADE: M3). AF_07/2020</v>
      </c>
      <c r="C1070" s="173" t="str">
        <f>VLOOKUP(A1070,ORÇAMENTO!A:K,5,0)</f>
        <v>M³</v>
      </c>
      <c r="D1070" s="173">
        <f>ROUND(SUM(E1085:O1085),2)</f>
        <v>713.5</v>
      </c>
      <c r="E1070" s="173" t="s">
        <v>1718</v>
      </c>
      <c r="F1070" s="173" t="s">
        <v>1719</v>
      </c>
      <c r="G1070" s="173" t="s">
        <v>1720</v>
      </c>
      <c r="H1070" s="173" t="s">
        <v>1721</v>
      </c>
      <c r="I1070" s="173" t="s">
        <v>1722</v>
      </c>
      <c r="J1070" s="173" t="s">
        <v>1723</v>
      </c>
      <c r="K1070" s="173" t="s">
        <v>1724</v>
      </c>
      <c r="L1070" s="173" t="s">
        <v>1804</v>
      </c>
      <c r="M1070" s="173" t="s">
        <v>1726</v>
      </c>
      <c r="N1070" s="173" t="s">
        <v>1809</v>
      </c>
      <c r="O1070" s="173" t="s">
        <v>1728</v>
      </c>
      <c r="P1070" s="169"/>
      <c r="Q1070" s="169"/>
    </row>
    <row r="1071" spans="1:17" s="174" customFormat="1" ht="15" customHeight="1" x14ac:dyDescent="0.25">
      <c r="A1071" s="201"/>
      <c r="B1071" s="181" t="s">
        <v>1772</v>
      </c>
      <c r="C1071" s="177"/>
      <c r="D1071" s="177"/>
      <c r="E1071" s="177"/>
      <c r="F1071" s="177"/>
      <c r="G1071" s="177"/>
      <c r="H1071" s="177"/>
      <c r="I1071" s="177"/>
      <c r="J1071" s="177"/>
      <c r="K1071" s="177"/>
      <c r="L1071" s="177"/>
      <c r="M1071" s="177"/>
      <c r="N1071" s="202"/>
      <c r="O1071" s="177"/>
      <c r="P1071" s="179"/>
      <c r="Q1071" s="169"/>
    </row>
    <row r="1072" spans="1:17" s="174" customFormat="1" ht="15" customHeight="1" x14ac:dyDescent="0.25">
      <c r="A1072" s="201"/>
      <c r="B1072" s="181" t="str">
        <f>B1063</f>
        <v>LIGAÇÃO BOCA - PV</v>
      </c>
      <c r="C1072" s="177"/>
      <c r="D1072" s="177"/>
      <c r="E1072" s="177"/>
      <c r="F1072" s="177"/>
      <c r="G1072" s="177"/>
      <c r="H1072" s="177"/>
      <c r="I1072" s="177"/>
      <c r="J1072" s="177"/>
      <c r="K1072" s="177"/>
      <c r="L1072" s="177"/>
      <c r="M1072" s="177"/>
      <c r="N1072" s="202"/>
      <c r="O1072" s="177"/>
      <c r="P1072" s="179"/>
      <c r="Q1072" s="169"/>
    </row>
    <row r="1073" spans="1:19" s="170" customFormat="1" ht="15" customHeight="1" x14ac:dyDescent="0.25">
      <c r="A1073" s="175"/>
      <c r="B1073" s="176" t="s">
        <v>1817</v>
      </c>
      <c r="C1073" s="177"/>
      <c r="D1073" s="178"/>
      <c r="E1073" s="178"/>
      <c r="F1073" s="178"/>
      <c r="G1073" s="178"/>
      <c r="H1073" s="178"/>
      <c r="I1073" s="178"/>
      <c r="J1073" s="178"/>
      <c r="K1073" s="178"/>
      <c r="L1073" s="178"/>
      <c r="M1073" s="178"/>
      <c r="N1073" s="200"/>
      <c r="O1073" s="178">
        <f>QUANTBL!BC98</f>
        <v>216.16522799999996</v>
      </c>
      <c r="P1073" s="179"/>
      <c r="Q1073" s="169"/>
    </row>
    <row r="1074" spans="1:19" s="170" customFormat="1" ht="15" customHeight="1" x14ac:dyDescent="0.25">
      <c r="A1074" s="175"/>
      <c r="B1074" s="203" t="s">
        <v>1818</v>
      </c>
      <c r="C1074" s="177"/>
      <c r="D1074" s="178"/>
      <c r="E1074" s="178"/>
      <c r="F1074" s="178"/>
      <c r="G1074" s="178"/>
      <c r="H1074" s="178"/>
      <c r="I1074" s="178"/>
      <c r="J1074" s="178"/>
      <c r="K1074" s="178"/>
      <c r="L1074" s="178"/>
      <c r="M1074" s="178"/>
      <c r="N1074" s="200"/>
      <c r="O1074" s="178">
        <f>QUANTBL!BC97</f>
        <v>10.4678</v>
      </c>
      <c r="P1074" s="179"/>
      <c r="Q1074" s="169"/>
    </row>
    <row r="1075" spans="1:19" s="174" customFormat="1" ht="15" customHeight="1" x14ac:dyDescent="0.25">
      <c r="A1075" s="201"/>
      <c r="B1075" s="204" t="str">
        <f>B1067</f>
        <v>BOCAS DE LOBO</v>
      </c>
      <c r="C1075" s="177"/>
      <c r="D1075" s="177"/>
      <c r="E1075" s="177"/>
      <c r="F1075" s="177"/>
      <c r="G1075" s="177"/>
      <c r="H1075" s="177"/>
      <c r="I1075" s="177"/>
      <c r="J1075" s="177"/>
      <c r="K1075" s="177"/>
      <c r="L1075" s="177"/>
      <c r="M1075" s="177"/>
      <c r="N1075" s="202"/>
      <c r="O1075" s="177"/>
      <c r="P1075" s="179"/>
      <c r="Q1075" s="169"/>
    </row>
    <row r="1076" spans="1:19" s="170" customFormat="1" ht="15" customHeight="1" x14ac:dyDescent="0.25">
      <c r="A1076" s="175"/>
      <c r="B1076" s="176" t="s">
        <v>1817</v>
      </c>
      <c r="C1076" s="177"/>
      <c r="D1076" s="178"/>
      <c r="E1076" s="178"/>
      <c r="F1076" s="178"/>
      <c r="G1076" s="178"/>
      <c r="H1076" s="178"/>
      <c r="I1076" s="178"/>
      <c r="J1076" s="178"/>
      <c r="K1076" s="178"/>
      <c r="L1076" s="178"/>
      <c r="M1076" s="178"/>
      <c r="N1076" s="200"/>
      <c r="O1076" s="178">
        <f>QUANTBL!CM99</f>
        <v>355.71632395999984</v>
      </c>
      <c r="P1076" s="179"/>
      <c r="Q1076" s="169"/>
    </row>
    <row r="1077" spans="1:19" s="170" customFormat="1" ht="15" customHeight="1" x14ac:dyDescent="0.25">
      <c r="A1077" s="175"/>
      <c r="B1077" s="203" t="s">
        <v>1818</v>
      </c>
      <c r="C1077" s="177"/>
      <c r="D1077" s="178"/>
      <c r="E1077" s="178"/>
      <c r="F1077" s="178"/>
      <c r="G1077" s="178"/>
      <c r="H1077" s="178"/>
      <c r="I1077" s="178"/>
      <c r="J1077" s="178"/>
      <c r="K1077" s="178"/>
      <c r="L1077" s="178"/>
      <c r="M1077" s="178"/>
      <c r="N1077" s="200"/>
      <c r="O1077" s="178">
        <f>QUANTBL!CM98</f>
        <v>7.2179799999999954</v>
      </c>
      <c r="P1077" s="179"/>
      <c r="Q1077" s="169"/>
    </row>
    <row r="1078" spans="1:19" s="170" customFormat="1" ht="15" customHeight="1" x14ac:dyDescent="0.25">
      <c r="A1078" s="175"/>
      <c r="B1078" s="203"/>
      <c r="C1078" s="177"/>
      <c r="D1078" s="178"/>
      <c r="E1078" s="178"/>
      <c r="F1078" s="178"/>
      <c r="G1078" s="178"/>
      <c r="H1078" s="178"/>
      <c r="I1078" s="178"/>
      <c r="J1078" s="178"/>
      <c r="K1078" s="178"/>
      <c r="L1078" s="178"/>
      <c r="M1078" s="178"/>
      <c r="N1078" s="200"/>
      <c r="O1078" s="178"/>
      <c r="P1078" s="179"/>
      <c r="Q1078" s="169"/>
    </row>
    <row r="1079" spans="1:19" s="174" customFormat="1" ht="15" customHeight="1" x14ac:dyDescent="0.25">
      <c r="A1079" s="201"/>
      <c r="B1079" s="204" t="s">
        <v>1819</v>
      </c>
      <c r="C1079" s="177"/>
      <c r="D1079" s="177"/>
      <c r="E1079" s="177"/>
      <c r="F1079" s="177"/>
      <c r="G1079" s="177"/>
      <c r="H1079" s="177"/>
      <c r="I1079" s="177"/>
      <c r="J1079" s="177"/>
      <c r="K1079" s="177"/>
      <c r="L1079" s="177"/>
      <c r="M1079" s="177"/>
      <c r="N1079" s="202"/>
      <c r="O1079" s="177"/>
      <c r="P1079" s="179"/>
      <c r="Q1079" s="169"/>
    </row>
    <row r="1080" spans="1:19" s="170" customFormat="1" ht="15" customHeight="1" x14ac:dyDescent="0.25">
      <c r="A1080" s="175"/>
      <c r="B1080" s="203" t="s">
        <v>1820</v>
      </c>
      <c r="C1080" s="177"/>
      <c r="D1080" s="178"/>
      <c r="E1080" s="178"/>
      <c r="F1080" s="178"/>
      <c r="G1080" s="178"/>
      <c r="H1080" s="178"/>
      <c r="I1080" s="178"/>
      <c r="J1080" s="178"/>
      <c r="K1080" s="178"/>
      <c r="L1080" s="178"/>
      <c r="M1080" s="178"/>
      <c r="N1080" s="200"/>
      <c r="O1080" s="178">
        <f>QUANTBL!AP96</f>
        <v>24.347999999999999</v>
      </c>
      <c r="P1080" s="179"/>
      <c r="Q1080" s="169"/>
    </row>
    <row r="1081" spans="1:19" s="170" customFormat="1" ht="15" customHeight="1" x14ac:dyDescent="0.25">
      <c r="A1081" s="175"/>
      <c r="B1081" s="203" t="s">
        <v>1821</v>
      </c>
      <c r="C1081" s="177"/>
      <c r="D1081" s="178"/>
      <c r="E1081" s="178"/>
      <c r="F1081" s="178"/>
      <c r="G1081" s="178"/>
      <c r="H1081" s="178"/>
      <c r="I1081" s="178"/>
      <c r="J1081" s="178"/>
      <c r="K1081" s="178"/>
      <c r="L1081" s="178"/>
      <c r="M1081" s="178"/>
      <c r="N1081" s="200"/>
      <c r="O1081" s="178">
        <f>QUANTBL!AS96</f>
        <v>34.959850207039565</v>
      </c>
      <c r="P1081" s="179"/>
      <c r="Q1081" s="169"/>
    </row>
    <row r="1082" spans="1:19" s="170" customFormat="1" ht="15" customHeight="1" x14ac:dyDescent="0.25">
      <c r="A1082" s="175"/>
      <c r="B1082" s="203" t="s">
        <v>1822</v>
      </c>
      <c r="C1082" s="177"/>
      <c r="D1082" s="178"/>
      <c r="E1082" s="178"/>
      <c r="F1082" s="178"/>
      <c r="G1082" s="178"/>
      <c r="H1082" s="178"/>
      <c r="I1082" s="178"/>
      <c r="J1082" s="178"/>
      <c r="K1082" s="178"/>
      <c r="L1082" s="178"/>
      <c r="M1082" s="178"/>
      <c r="N1082" s="200"/>
      <c r="O1082" s="178">
        <f>QUANTBL!BA96</f>
        <v>52.819396499429189</v>
      </c>
      <c r="P1082" s="179"/>
      <c r="Q1082" s="169"/>
    </row>
    <row r="1083" spans="1:19" s="170" customFormat="1" ht="21" x14ac:dyDescent="0.25">
      <c r="A1083" s="175"/>
      <c r="B1083" s="176" t="s">
        <v>1792</v>
      </c>
      <c r="C1083" s="177"/>
      <c r="D1083" s="178"/>
      <c r="E1083" s="178"/>
      <c r="F1083" s="178"/>
      <c r="G1083" s="178"/>
      <c r="H1083" s="178"/>
      <c r="I1083" s="178"/>
      <c r="J1083" s="178"/>
      <c r="K1083" s="178"/>
      <c r="L1083" s="178"/>
      <c r="M1083" s="178"/>
      <c r="N1083" s="200"/>
      <c r="O1083" s="178">
        <f>O1007</f>
        <v>11.803499999999998</v>
      </c>
      <c r="P1083" s="179"/>
      <c r="Q1083" s="169"/>
    </row>
    <row r="1084" spans="1:19" s="170" customFormat="1" ht="10.5" x14ac:dyDescent="0.25">
      <c r="A1084" s="175"/>
      <c r="B1084" s="176"/>
      <c r="C1084" s="177"/>
      <c r="D1084" s="178"/>
      <c r="E1084" s="178"/>
      <c r="F1084" s="178"/>
      <c r="G1084" s="178"/>
      <c r="H1084" s="178"/>
      <c r="I1084" s="178"/>
      <c r="J1084" s="178"/>
      <c r="K1084" s="178"/>
      <c r="L1084" s="178"/>
      <c r="M1084" s="178"/>
      <c r="N1084" s="200"/>
      <c r="O1084" s="178"/>
      <c r="P1084" s="179"/>
      <c r="Q1084" s="169"/>
    </row>
    <row r="1085" spans="1:19" s="170" customFormat="1" ht="15" customHeight="1" x14ac:dyDescent="0.25">
      <c r="A1085" s="175"/>
      <c r="B1085" s="181" t="s">
        <v>5</v>
      </c>
      <c r="C1085" s="182" t="s">
        <v>1328</v>
      </c>
      <c r="D1085" s="182"/>
      <c r="E1085" s="182"/>
      <c r="F1085" s="182"/>
      <c r="G1085" s="182"/>
      <c r="H1085" s="182"/>
      <c r="I1085" s="182"/>
      <c r="J1085" s="182"/>
      <c r="K1085" s="178"/>
      <c r="L1085" s="182"/>
      <c r="M1085" s="182"/>
      <c r="N1085" s="177"/>
      <c r="O1085" s="177">
        <f>SUM(O1071:O1084)</f>
        <v>713.49807866646859</v>
      </c>
      <c r="P1085" s="183"/>
      <c r="Q1085" s="169"/>
    </row>
    <row r="1086" spans="1:19" s="189" customFormat="1" ht="31.5" x14ac:dyDescent="0.35">
      <c r="A1086" s="171" t="str">
        <f>ORÇAMENTO!A239</f>
        <v>4.1.2.6.37</v>
      </c>
      <c r="B1086" s="172" t="str">
        <f>VLOOKUP(A1086,ORÇAMENTO!A:K,4,0)</f>
        <v>TRANSPORTE COM CAMINHÃO BASCULANTE DE 14 M³, EM VIA URBANA PAVIMENTADA, DMT ATÉ 30 KM (UNIDADE: M3XKM). AF_07/2020</v>
      </c>
      <c r="C1086" s="173" t="str">
        <f>VLOOKUP(A1086,ORÇAMENTO!A:K,5,0)</f>
        <v>M3XKM</v>
      </c>
      <c r="D1086" s="173">
        <f>SUM(E1092:O1092)</f>
        <v>18011.615008141292</v>
      </c>
      <c r="E1086" s="173" t="s">
        <v>1752</v>
      </c>
      <c r="F1086" s="173" t="s">
        <v>1719</v>
      </c>
      <c r="G1086" s="173" t="s">
        <v>1720</v>
      </c>
      <c r="H1086" s="173" t="s">
        <v>1721</v>
      </c>
      <c r="I1086" s="173" t="s">
        <v>1722</v>
      </c>
      <c r="J1086" s="173" t="s">
        <v>1723</v>
      </c>
      <c r="K1086" s="173" t="s">
        <v>1746</v>
      </c>
      <c r="L1086" s="173" t="s">
        <v>1753</v>
      </c>
      <c r="M1086" s="173" t="s">
        <v>1750</v>
      </c>
      <c r="N1086" s="173" t="s">
        <v>1727</v>
      </c>
      <c r="O1086" s="173" t="s">
        <v>1728</v>
      </c>
      <c r="P1086" s="169"/>
      <c r="Q1086" s="169"/>
      <c r="R1086" s="169"/>
      <c r="S1086" s="169"/>
    </row>
    <row r="1087" spans="1:19" s="170" customFormat="1" ht="21" x14ac:dyDescent="0.25">
      <c r="A1087" s="175"/>
      <c r="B1087" s="176" t="s">
        <v>1773</v>
      </c>
      <c r="C1087" s="177"/>
      <c r="D1087" s="178"/>
      <c r="E1087" s="178">
        <v>30</v>
      </c>
      <c r="F1087" s="178"/>
      <c r="G1087" s="178"/>
      <c r="H1087" s="178"/>
      <c r="I1087" s="178"/>
      <c r="J1087" s="178"/>
      <c r="K1087" s="178"/>
      <c r="L1087" s="190"/>
      <c r="M1087" s="178">
        <f>E1087*O1087</f>
        <v>17156.446558799995</v>
      </c>
      <c r="N1087" s="178"/>
      <c r="O1087" s="178">
        <f>O1073+O1076</f>
        <v>571.8815519599998</v>
      </c>
      <c r="P1087" s="179"/>
      <c r="Q1087" s="169"/>
    </row>
    <row r="1088" spans="1:19" s="170" customFormat="1" ht="21" x14ac:dyDescent="0.25">
      <c r="A1088" s="175"/>
      <c r="B1088" s="176" t="s">
        <v>1774</v>
      </c>
      <c r="C1088" s="177"/>
      <c r="D1088" s="178"/>
      <c r="E1088" s="178">
        <v>30</v>
      </c>
      <c r="F1088" s="178"/>
      <c r="G1088" s="178"/>
      <c r="H1088" s="178"/>
      <c r="I1088" s="178"/>
      <c r="J1088" s="178"/>
      <c r="K1088" s="178"/>
      <c r="L1088" s="190"/>
      <c r="M1088" s="178">
        <f>E1088*O1088</f>
        <v>530.57339999999976</v>
      </c>
      <c r="N1088" s="178"/>
      <c r="O1088" s="178">
        <f>O1074+O1077</f>
        <v>17.685779999999994</v>
      </c>
      <c r="P1088" s="179"/>
      <c r="Q1088" s="169"/>
    </row>
    <row r="1089" spans="1:19" s="170" customFormat="1" ht="10.5" x14ac:dyDescent="0.25">
      <c r="A1089" s="175"/>
      <c r="B1089" s="176"/>
      <c r="C1089" s="177"/>
      <c r="D1089" s="178"/>
      <c r="E1089" s="178"/>
      <c r="F1089" s="178"/>
      <c r="G1089" s="178"/>
      <c r="H1089" s="178"/>
      <c r="I1089" s="178"/>
      <c r="J1089" s="178"/>
      <c r="K1089" s="178"/>
      <c r="L1089" s="190"/>
      <c r="M1089" s="178"/>
      <c r="N1089" s="178"/>
      <c r="O1089" s="178"/>
      <c r="P1089" s="179"/>
      <c r="Q1089" s="169"/>
    </row>
    <row r="1090" spans="1:19" s="170" customFormat="1" ht="21" x14ac:dyDescent="0.25">
      <c r="A1090" s="175"/>
      <c r="B1090" s="176" t="s">
        <v>1794</v>
      </c>
      <c r="C1090" s="177"/>
      <c r="D1090" s="178"/>
      <c r="E1090" s="178">
        <v>0.2</v>
      </c>
      <c r="F1090" s="178"/>
      <c r="G1090" s="178"/>
      <c r="H1090" s="178"/>
      <c r="I1090" s="178"/>
      <c r="J1090" s="178"/>
      <c r="K1090" s="178"/>
      <c r="L1090" s="190"/>
      <c r="M1090" s="178">
        <f>E1090*O1090</f>
        <v>22.425449341293753</v>
      </c>
      <c r="N1090" s="178"/>
      <c r="O1090" s="178">
        <f>SUM(O1080:O1082)</f>
        <v>112.12724670646875</v>
      </c>
      <c r="P1090" s="179"/>
      <c r="Q1090" s="169"/>
    </row>
    <row r="1091" spans="1:19" s="170" customFormat="1" ht="31.5" x14ac:dyDescent="0.25">
      <c r="A1091" s="175"/>
      <c r="B1091" s="176" t="s">
        <v>1797</v>
      </c>
      <c r="C1091" s="177"/>
      <c r="D1091" s="178"/>
      <c r="E1091" s="178">
        <v>25.6</v>
      </c>
      <c r="F1091" s="178"/>
      <c r="G1091" s="178"/>
      <c r="H1091" s="178"/>
      <c r="I1091" s="178"/>
      <c r="J1091" s="178"/>
      <c r="K1091" s="178"/>
      <c r="L1091" s="190"/>
      <c r="M1091" s="178">
        <f>E1091*O1091</f>
        <v>302.16959999999995</v>
      </c>
      <c r="N1091" s="178"/>
      <c r="O1091" s="178">
        <f>O1083</f>
        <v>11.803499999999998</v>
      </c>
      <c r="P1091" s="179"/>
      <c r="Q1091" s="169"/>
    </row>
    <row r="1092" spans="1:19" s="170" customFormat="1" ht="15" customHeight="1" x14ac:dyDescent="0.25">
      <c r="A1092" s="175"/>
      <c r="B1092" s="181" t="s">
        <v>5</v>
      </c>
      <c r="C1092" s="182" t="s">
        <v>1328</v>
      </c>
      <c r="D1092" s="182"/>
      <c r="E1092" s="182"/>
      <c r="F1092" s="182"/>
      <c r="G1092" s="182"/>
      <c r="H1092" s="182"/>
      <c r="I1092" s="182"/>
      <c r="J1092" s="182"/>
      <c r="K1092" s="182"/>
      <c r="L1092" s="182"/>
      <c r="M1092" s="182">
        <f>SUM(M1087:M1091)</f>
        <v>18011.615008141292</v>
      </c>
      <c r="N1092" s="182"/>
      <c r="O1092" s="182"/>
      <c r="P1092" s="183"/>
      <c r="Q1092" s="169"/>
    </row>
    <row r="1093" spans="1:19" s="189" customFormat="1" ht="42" x14ac:dyDescent="0.35">
      <c r="A1093" s="171" t="str">
        <f>ORÇAMENTO!A240</f>
        <v>4.1.2.6.38</v>
      </c>
      <c r="B1093" s="172" t="str">
        <f>VLOOKUP(A1093,ORÇAMENTO!A:K,4,0)</f>
        <v>TRANSPORTE COM CAMINHÃO BASCULANTE DE 14 M³, EM VIA URBANA PAVIMENTADA, ADICIONAL PARA DMT EXCEDENTE A 30 KM (UNIDADE: M3XKM). AF_07/2020</v>
      </c>
      <c r="C1093" s="173" t="str">
        <f>VLOOKUP(A1093,ORÇAMENTO!A:K,5,0)</f>
        <v>M3XKM</v>
      </c>
      <c r="D1093" s="173">
        <f>SUM(E1096:O1096)</f>
        <v>8913.0409818319986</v>
      </c>
      <c r="E1093" s="173" t="s">
        <v>1752</v>
      </c>
      <c r="F1093" s="173" t="s">
        <v>1719</v>
      </c>
      <c r="G1093" s="173" t="s">
        <v>1720</v>
      </c>
      <c r="H1093" s="173" t="s">
        <v>1721</v>
      </c>
      <c r="I1093" s="173" t="s">
        <v>1722</v>
      </c>
      <c r="J1093" s="173" t="s">
        <v>1723</v>
      </c>
      <c r="K1093" s="173" t="s">
        <v>1746</v>
      </c>
      <c r="L1093" s="173" t="s">
        <v>1753</v>
      </c>
      <c r="M1093" s="173" t="s">
        <v>1750</v>
      </c>
      <c r="N1093" s="173" t="s">
        <v>1727</v>
      </c>
      <c r="O1093" s="173" t="s">
        <v>1728</v>
      </c>
      <c r="P1093" s="169"/>
      <c r="Q1093" s="169"/>
      <c r="R1093" s="169"/>
      <c r="S1093" s="169"/>
    </row>
    <row r="1094" spans="1:19" s="170" customFormat="1" ht="21" x14ac:dyDescent="0.25">
      <c r="A1094" s="175"/>
      <c r="B1094" s="176" t="str">
        <f>B1087</f>
        <v>TRANSPORTE ATÉ ATERRO ESTRUTURAL - BOTA FORA - MATERIAL NÃO APROVEITADO</v>
      </c>
      <c r="C1094" s="177"/>
      <c r="D1094" s="178"/>
      <c r="E1094" s="178">
        <f>44.2-E1087</f>
        <v>14.200000000000003</v>
      </c>
      <c r="F1094" s="178"/>
      <c r="G1094" s="178"/>
      <c r="H1094" s="178"/>
      <c r="I1094" s="178"/>
      <c r="J1094" s="178"/>
      <c r="K1094" s="178"/>
      <c r="L1094" s="190"/>
      <c r="M1094" s="178">
        <f>E1094*O1094</f>
        <v>8120.718037831999</v>
      </c>
      <c r="N1094" s="178"/>
      <c r="O1094" s="178">
        <f>O1087</f>
        <v>571.8815519599998</v>
      </c>
      <c r="P1094" s="179"/>
      <c r="Q1094" s="169"/>
    </row>
    <row r="1095" spans="1:19" s="170" customFormat="1" ht="21" x14ac:dyDescent="0.25">
      <c r="A1095" s="175"/>
      <c r="B1095" s="176" t="str">
        <f>B1088</f>
        <v>TRANSPORTE ATÉ ATERRO SAMAMBIA - BOTA FORA - ROCHA</v>
      </c>
      <c r="C1095" s="177"/>
      <c r="D1095" s="178"/>
      <c r="E1095" s="178">
        <f>74.8-E1088</f>
        <v>44.8</v>
      </c>
      <c r="F1095" s="178"/>
      <c r="G1095" s="178"/>
      <c r="H1095" s="178"/>
      <c r="I1095" s="178"/>
      <c r="J1095" s="178"/>
      <c r="K1095" s="178"/>
      <c r="L1095" s="190"/>
      <c r="M1095" s="178">
        <f>E1095*O1095</f>
        <v>792.32294399999967</v>
      </c>
      <c r="N1095" s="178"/>
      <c r="O1095" s="178">
        <f>O1088</f>
        <v>17.685779999999994</v>
      </c>
      <c r="P1095" s="179"/>
      <c r="Q1095" s="169"/>
    </row>
    <row r="1096" spans="1:19" s="170" customFormat="1" ht="15" customHeight="1" x14ac:dyDescent="0.25">
      <c r="A1096" s="175"/>
      <c r="B1096" s="181" t="s">
        <v>5</v>
      </c>
      <c r="C1096" s="182" t="s">
        <v>1328</v>
      </c>
      <c r="D1096" s="182"/>
      <c r="E1096" s="182"/>
      <c r="F1096" s="182"/>
      <c r="G1096" s="182"/>
      <c r="H1096" s="182"/>
      <c r="I1096" s="182"/>
      <c r="J1096" s="182"/>
      <c r="K1096" s="182"/>
      <c r="L1096" s="182"/>
      <c r="M1096" s="182">
        <f>SUM(M1094:M1095)</f>
        <v>8913.0409818319986</v>
      </c>
      <c r="N1096" s="182"/>
      <c r="O1096" s="182"/>
      <c r="P1096" s="183"/>
      <c r="Q1096" s="169"/>
    </row>
    <row r="1097" spans="1:19" s="189" customFormat="1" ht="21" x14ac:dyDescent="0.35">
      <c r="A1097" s="171" t="str">
        <f>ORÇAMENTO!A241</f>
        <v>4.1.2.6.39</v>
      </c>
      <c r="B1097" s="172" t="str">
        <f>VLOOKUP(A1097,ORÇAMENTO!A:K,4,0)</f>
        <v>ESPALHAMENTO DE MATERIAL COM TRATOR DE ESTEIRAS. AF_09/2024</v>
      </c>
      <c r="C1097" s="173" t="str">
        <f>VLOOKUP(A1097,ORÇAMENTO!A:K,5,0)</f>
        <v>M³</v>
      </c>
      <c r="D1097" s="173">
        <f>SUM(E1099:O1099)</f>
        <v>589.56733195999982</v>
      </c>
      <c r="E1097" s="173" t="s">
        <v>1752</v>
      </c>
      <c r="F1097" s="173" t="s">
        <v>1719</v>
      </c>
      <c r="G1097" s="173" t="s">
        <v>1720</v>
      </c>
      <c r="H1097" s="173" t="s">
        <v>1721</v>
      </c>
      <c r="I1097" s="173" t="s">
        <v>1722</v>
      </c>
      <c r="J1097" s="173" t="s">
        <v>1723</v>
      </c>
      <c r="K1097" s="173" t="s">
        <v>1746</v>
      </c>
      <c r="L1097" s="173" t="s">
        <v>1753</v>
      </c>
      <c r="M1097" s="173" t="s">
        <v>1750</v>
      </c>
      <c r="N1097" s="173" t="s">
        <v>1727</v>
      </c>
      <c r="O1097" s="173" t="s">
        <v>1728</v>
      </c>
      <c r="P1097" s="169"/>
      <c r="Q1097" s="169"/>
      <c r="R1097" s="169"/>
      <c r="S1097" s="169"/>
    </row>
    <row r="1098" spans="1:19" s="170" customFormat="1" ht="15" customHeight="1" x14ac:dyDescent="0.25">
      <c r="A1098" s="175"/>
      <c r="B1098" s="176" t="s">
        <v>1775</v>
      </c>
      <c r="C1098" s="177"/>
      <c r="D1098" s="178"/>
      <c r="E1098" s="178"/>
      <c r="F1098" s="178"/>
      <c r="G1098" s="178"/>
      <c r="H1098" s="178"/>
      <c r="I1098" s="178"/>
      <c r="J1098" s="178"/>
      <c r="K1098" s="178"/>
      <c r="L1098" s="190"/>
      <c r="M1098" s="178"/>
      <c r="N1098" s="178"/>
      <c r="O1098" s="178">
        <f>SUM(O1094:O1095)</f>
        <v>589.56733195999982</v>
      </c>
      <c r="P1098" s="179"/>
      <c r="Q1098" s="169"/>
    </row>
    <row r="1099" spans="1:19" s="170" customFormat="1" ht="15" customHeight="1" x14ac:dyDescent="0.25">
      <c r="A1099" s="175"/>
      <c r="B1099" s="181" t="s">
        <v>5</v>
      </c>
      <c r="C1099" s="182" t="s">
        <v>1328</v>
      </c>
      <c r="D1099" s="182"/>
      <c r="E1099" s="182"/>
      <c r="F1099" s="182"/>
      <c r="G1099" s="182"/>
      <c r="H1099" s="182"/>
      <c r="I1099" s="182"/>
      <c r="J1099" s="182"/>
      <c r="K1099" s="182"/>
      <c r="L1099" s="182"/>
      <c r="M1099" s="182"/>
      <c r="N1099" s="182"/>
      <c r="O1099" s="182">
        <f>SUM(O1098)</f>
        <v>589.56733195999982</v>
      </c>
      <c r="P1099" s="183"/>
      <c r="Q1099" s="169"/>
    </row>
    <row r="1100" spans="1:19" s="189" customFormat="1" ht="15" customHeight="1" x14ac:dyDescent="0.35">
      <c r="A1100" s="171" t="str">
        <f>ORÇAMENTO!A242</f>
        <v>4.1.2.6.40</v>
      </c>
      <c r="B1100" s="172" t="str">
        <f>VLOOKUP(A1100,ORÇAMENTO!A:K,4,0)</f>
        <v>EXECUÇÃO DE SARJETA DE CONCRETO USINADO, MOLDADA  IN LOCO  EM TRECHO RETO, 60 CM BASE X 15 CM ALTURA. AF_01/2024</v>
      </c>
      <c r="C1100" s="173" t="str">
        <f>VLOOKUP(A1100,ORÇAMENTO!A:K,5,0)</f>
        <v>M</v>
      </c>
      <c r="D1100" s="173">
        <f>SUM(E1103:O1103)</f>
        <v>175.64999999999986</v>
      </c>
      <c r="E1100" s="173" t="s">
        <v>1718</v>
      </c>
      <c r="F1100" s="173" t="s">
        <v>1719</v>
      </c>
      <c r="G1100" s="173" t="s">
        <v>1720</v>
      </c>
      <c r="H1100" s="173" t="s">
        <v>1721</v>
      </c>
      <c r="I1100" s="173" t="s">
        <v>1722</v>
      </c>
      <c r="J1100" s="173" t="s">
        <v>1723</v>
      </c>
      <c r="K1100" s="173" t="s">
        <v>1746</v>
      </c>
      <c r="L1100" s="173" t="s">
        <v>1753</v>
      </c>
      <c r="M1100" s="173" t="s">
        <v>1750</v>
      </c>
      <c r="N1100" s="173" t="s">
        <v>1727</v>
      </c>
      <c r="O1100" s="173" t="s">
        <v>1728</v>
      </c>
      <c r="P1100" s="169"/>
      <c r="Q1100" s="169"/>
      <c r="R1100" s="169"/>
      <c r="S1100" s="169"/>
    </row>
    <row r="1101" spans="1:19" s="170" customFormat="1" ht="15" customHeight="1" x14ac:dyDescent="0.25">
      <c r="A1101" s="175"/>
      <c r="B1101" s="176"/>
      <c r="C1101" s="177"/>
      <c r="D1101" s="178"/>
      <c r="E1101" s="178">
        <f>QUANTBL!CX96</f>
        <v>175.64999999999986</v>
      </c>
      <c r="F1101" s="178"/>
      <c r="G1101" s="178"/>
      <c r="H1101" s="178"/>
      <c r="I1101" s="178"/>
      <c r="J1101" s="178"/>
      <c r="K1101" s="178"/>
      <c r="L1101" s="190"/>
      <c r="M1101" s="178"/>
      <c r="N1101" s="178"/>
      <c r="O1101" s="178"/>
      <c r="P1101" s="179"/>
      <c r="Q1101" s="169"/>
    </row>
    <row r="1102" spans="1:19" s="170" customFormat="1" ht="15" customHeight="1" x14ac:dyDescent="0.25">
      <c r="A1102" s="175"/>
      <c r="B1102" s="176"/>
      <c r="C1102" s="177"/>
      <c r="D1102" s="178"/>
      <c r="E1102" s="178"/>
      <c r="F1102" s="178"/>
      <c r="G1102" s="178"/>
      <c r="H1102" s="178"/>
      <c r="I1102" s="178"/>
      <c r="J1102" s="178"/>
      <c r="K1102" s="178"/>
      <c r="L1102" s="190"/>
      <c r="M1102" s="178"/>
      <c r="N1102" s="178"/>
      <c r="O1102" s="178"/>
      <c r="P1102" s="179"/>
      <c r="Q1102" s="169"/>
    </row>
    <row r="1103" spans="1:19" s="170" customFormat="1" ht="15" customHeight="1" x14ac:dyDescent="0.25">
      <c r="A1103" s="175"/>
      <c r="B1103" s="181" t="s">
        <v>5</v>
      </c>
      <c r="C1103" s="182" t="s">
        <v>1328</v>
      </c>
      <c r="D1103" s="182"/>
      <c r="E1103" s="182">
        <f>SUM(E1101:E1102)</f>
        <v>175.64999999999986</v>
      </c>
      <c r="F1103" s="182"/>
      <c r="G1103" s="182"/>
      <c r="H1103" s="182"/>
      <c r="I1103" s="182"/>
      <c r="J1103" s="182"/>
      <c r="K1103" s="182"/>
      <c r="L1103" s="182"/>
      <c r="M1103" s="182"/>
      <c r="N1103" s="182"/>
      <c r="O1103" s="182"/>
      <c r="P1103" s="183"/>
      <c r="Q1103" s="169"/>
    </row>
    <row r="1104" spans="1:19" s="174" customFormat="1" ht="42" x14ac:dyDescent="0.25">
      <c r="A1104" s="171" t="str">
        <f>ORÇAMENTO!A243</f>
        <v>4.1.2.6.41</v>
      </c>
      <c r="B1104" s="172" t="str">
        <f>VLOOKUP(A1104,ORÇAMENTO!A:K,4,0)</f>
        <v>CONCRETO MAGRO PARA LASTRO, TRAÇO 1:4,5:4,5 (EM MASSA SECA DE CIMENTO/ AREIA MÉDIA/ BRITA 1) - PREPARO MECÂNICO COM BETONEIRA 600 L. AF_05/2021</v>
      </c>
      <c r="C1104" s="173" t="str">
        <f>VLOOKUP(A1104,ORÇAMENTO!A:K,5,0)</f>
        <v>M³</v>
      </c>
      <c r="D1104" s="173">
        <f>ROUND(SUM(E1107:O1107),2)</f>
        <v>16.579999999999998</v>
      </c>
      <c r="E1104" s="173" t="s">
        <v>1718</v>
      </c>
      <c r="F1104" s="173" t="s">
        <v>1719</v>
      </c>
      <c r="G1104" s="173" t="s">
        <v>1720</v>
      </c>
      <c r="H1104" s="173" t="s">
        <v>1721</v>
      </c>
      <c r="I1104" s="173" t="s">
        <v>1722</v>
      </c>
      <c r="J1104" s="173" t="s">
        <v>1723</v>
      </c>
      <c r="K1104" s="173" t="s">
        <v>1724</v>
      </c>
      <c r="L1104" s="173" t="s">
        <v>1804</v>
      </c>
      <c r="M1104" s="173" t="s">
        <v>1726</v>
      </c>
      <c r="N1104" s="173" t="s">
        <v>1809</v>
      </c>
      <c r="O1104" s="173" t="s">
        <v>1728</v>
      </c>
      <c r="P1104" s="169"/>
      <c r="Q1104" s="169"/>
    </row>
    <row r="1105" spans="1:17" s="170" customFormat="1" ht="15" customHeight="1" x14ac:dyDescent="0.25">
      <c r="A1105" s="175"/>
      <c r="B1105" s="176" t="s">
        <v>1823</v>
      </c>
      <c r="C1105" s="177"/>
      <c r="D1105" s="178"/>
      <c r="E1105" s="178"/>
      <c r="F1105" s="178"/>
      <c r="G1105" s="178"/>
      <c r="H1105" s="178"/>
      <c r="I1105" s="178"/>
      <c r="J1105" s="178"/>
      <c r="K1105" s="178"/>
      <c r="L1105" s="178"/>
      <c r="M1105" s="178"/>
      <c r="N1105" s="200"/>
      <c r="O1105" s="178">
        <f>QUANTBL!CT96</f>
        <v>16.581592000000004</v>
      </c>
      <c r="P1105" s="179"/>
      <c r="Q1105" s="169"/>
    </row>
    <row r="1106" spans="1:17" s="170" customFormat="1" ht="15" customHeight="1" x14ac:dyDescent="0.25">
      <c r="A1106" s="175"/>
      <c r="B1106" s="176"/>
      <c r="C1106" s="177"/>
      <c r="D1106" s="178"/>
      <c r="E1106" s="178"/>
      <c r="F1106" s="178"/>
      <c r="G1106" s="178"/>
      <c r="H1106" s="178"/>
      <c r="I1106" s="178"/>
      <c r="J1106" s="178"/>
      <c r="K1106" s="178"/>
      <c r="L1106" s="178"/>
      <c r="M1106" s="178"/>
      <c r="N1106" s="200"/>
      <c r="O1106" s="178"/>
      <c r="P1106" s="179"/>
      <c r="Q1106" s="169"/>
    </row>
    <row r="1107" spans="1:17" s="170" customFormat="1" ht="15" customHeight="1" x14ac:dyDescent="0.25">
      <c r="A1107" s="175"/>
      <c r="B1107" s="181" t="s">
        <v>5</v>
      </c>
      <c r="C1107" s="182" t="s">
        <v>1328</v>
      </c>
      <c r="D1107" s="182"/>
      <c r="E1107" s="182"/>
      <c r="F1107" s="182"/>
      <c r="G1107" s="182"/>
      <c r="H1107" s="182"/>
      <c r="I1107" s="182"/>
      <c r="J1107" s="182"/>
      <c r="K1107" s="177"/>
      <c r="L1107" s="182"/>
      <c r="M1107" s="182"/>
      <c r="N1107" s="177"/>
      <c r="O1107" s="177">
        <f>SUM(O1105:O1106)</f>
        <v>16.581592000000004</v>
      </c>
      <c r="P1107" s="183"/>
      <c r="Q1107" s="169"/>
    </row>
    <row r="1108" spans="1:17" s="174" customFormat="1" ht="21" x14ac:dyDescent="0.25">
      <c r="A1108" s="171" t="str">
        <f>ORÇAMENTO!A244</f>
        <v>4.1.2.6.42</v>
      </c>
      <c r="B1108" s="172" t="str">
        <f>VLOOKUP(A1108,ORÇAMENTO!A:K,4,0)</f>
        <v>ARMAÇÃO EM AÇO CA-50 - FORNECIMENTO, PREPARO E COLOCAÇÃO</v>
      </c>
      <c r="C1108" s="173" t="str">
        <f>VLOOKUP(A1108,ORÇAMENTO!A:K,5,0)</f>
        <v>KG</v>
      </c>
      <c r="D1108" s="173">
        <f>ROUND(SUM(E1123:O1123),2)</f>
        <v>1336</v>
      </c>
      <c r="E1108" s="173" t="s">
        <v>1718</v>
      </c>
      <c r="F1108" s="173" t="s">
        <v>1719</v>
      </c>
      <c r="G1108" s="173" t="s">
        <v>1720</v>
      </c>
      <c r="H1108" s="173" t="s">
        <v>1721</v>
      </c>
      <c r="I1108" s="173" t="s">
        <v>1722</v>
      </c>
      <c r="J1108" s="173" t="s">
        <v>1723</v>
      </c>
      <c r="K1108" s="173" t="s">
        <v>1724</v>
      </c>
      <c r="L1108" s="173" t="s">
        <v>1804</v>
      </c>
      <c r="M1108" s="173" t="s">
        <v>1726</v>
      </c>
      <c r="N1108" s="173" t="s">
        <v>1824</v>
      </c>
      <c r="O1108" s="173" t="s">
        <v>1728</v>
      </c>
      <c r="P1108" s="169"/>
      <c r="Q1108" s="169"/>
    </row>
    <row r="1109" spans="1:17" s="170" customFormat="1" ht="10.5" x14ac:dyDescent="0.25">
      <c r="A1109" s="175"/>
      <c r="B1109" s="176" t="s">
        <v>1825</v>
      </c>
      <c r="C1109" s="177"/>
      <c r="D1109" s="178"/>
      <c r="E1109" s="178"/>
      <c r="F1109" s="178"/>
      <c r="G1109" s="178"/>
      <c r="H1109" s="178"/>
      <c r="I1109" s="178"/>
      <c r="J1109" s="178"/>
      <c r="K1109" s="178"/>
      <c r="L1109" s="178"/>
      <c r="M1109" s="178"/>
      <c r="N1109" s="200"/>
      <c r="O1109" s="178"/>
      <c r="P1109" s="179"/>
      <c r="Q1109" s="169"/>
    </row>
    <row r="1110" spans="1:17" s="170" customFormat="1" ht="21" x14ac:dyDescent="0.25">
      <c r="A1110" s="175"/>
      <c r="B1110" s="176" t="str">
        <f t="shared" ref="B1110:B1121" si="16">B468</f>
        <v>BOCA DE LOBO SIMPLES EXISTENTE COM BOCA DE LOBO DUPLA PROJETADA</v>
      </c>
      <c r="C1110" s="177"/>
      <c r="D1110" s="178"/>
      <c r="E1110" s="178"/>
      <c r="F1110" s="178"/>
      <c r="G1110" s="178"/>
      <c r="H1110" s="178"/>
      <c r="I1110" s="178"/>
      <c r="J1110" s="178"/>
      <c r="K1110" s="178">
        <v>24</v>
      </c>
      <c r="L1110" s="178"/>
      <c r="M1110" s="178">
        <f t="shared" ref="M1110:M1121" si="17">K468</f>
        <v>3</v>
      </c>
      <c r="N1110" s="200">
        <f t="shared" ref="N1110:N1121" si="18">M1110*K1110</f>
        <v>72</v>
      </c>
      <c r="O1110" s="178"/>
      <c r="P1110" s="179"/>
      <c r="Q1110" s="169"/>
    </row>
    <row r="1111" spans="1:17" s="170" customFormat="1" ht="21" x14ac:dyDescent="0.25">
      <c r="A1111" s="175"/>
      <c r="B1111" s="176" t="str">
        <f t="shared" si="16"/>
        <v>BOCA DE LOBO SIMPLES EXISTENTE COM BOCA DE LOBO SIMPLES PROJETADA</v>
      </c>
      <c r="C1111" s="177"/>
      <c r="D1111" s="178"/>
      <c r="E1111" s="178"/>
      <c r="F1111" s="178"/>
      <c r="G1111" s="178"/>
      <c r="H1111" s="178"/>
      <c r="I1111" s="178"/>
      <c r="J1111" s="178"/>
      <c r="K1111" s="178">
        <v>16</v>
      </c>
      <c r="L1111" s="178"/>
      <c r="M1111" s="178">
        <f t="shared" si="17"/>
        <v>1</v>
      </c>
      <c r="N1111" s="200">
        <f t="shared" si="18"/>
        <v>16</v>
      </c>
      <c r="O1111" s="178"/>
      <c r="P1111" s="179"/>
      <c r="Q1111" s="169"/>
    </row>
    <row r="1112" spans="1:17" s="170" customFormat="1" ht="21" x14ac:dyDescent="0.25">
      <c r="A1112" s="175"/>
      <c r="B1112" s="176" t="str">
        <f t="shared" si="16"/>
        <v>BOCA DE LOBO SIMPLES EXISTENTE COM BOCA DE LOBO TRIPLA PROJETADA</v>
      </c>
      <c r="C1112" s="177"/>
      <c r="D1112" s="178"/>
      <c r="E1112" s="178"/>
      <c r="F1112" s="178"/>
      <c r="G1112" s="178"/>
      <c r="H1112" s="178"/>
      <c r="I1112" s="178"/>
      <c r="J1112" s="178"/>
      <c r="K1112" s="178">
        <v>32</v>
      </c>
      <c r="L1112" s="178"/>
      <c r="M1112" s="178">
        <f t="shared" si="17"/>
        <v>0</v>
      </c>
      <c r="N1112" s="200">
        <f t="shared" si="18"/>
        <v>0</v>
      </c>
      <c r="O1112" s="178"/>
      <c r="P1112" s="179"/>
      <c r="Q1112" s="169"/>
    </row>
    <row r="1113" spans="1:17" s="170" customFormat="1" ht="21" x14ac:dyDescent="0.25">
      <c r="A1113" s="175"/>
      <c r="B1113" s="176" t="str">
        <f t="shared" si="16"/>
        <v>BOCA DE LOBO DUPLA EXISTENTE COM BOCA DE LOBO SIMPLES PROJETADA</v>
      </c>
      <c r="C1113" s="177"/>
      <c r="D1113" s="178"/>
      <c r="E1113" s="178"/>
      <c r="F1113" s="178"/>
      <c r="G1113" s="178"/>
      <c r="H1113" s="178"/>
      <c r="I1113" s="178"/>
      <c r="J1113" s="178"/>
      <c r="K1113" s="178">
        <v>16</v>
      </c>
      <c r="L1113" s="178"/>
      <c r="M1113" s="178">
        <f t="shared" si="17"/>
        <v>10</v>
      </c>
      <c r="N1113" s="200">
        <f t="shared" si="18"/>
        <v>160</v>
      </c>
      <c r="O1113" s="178"/>
      <c r="P1113" s="179"/>
      <c r="Q1113" s="169"/>
    </row>
    <row r="1114" spans="1:17" s="170" customFormat="1" ht="21" x14ac:dyDescent="0.25">
      <c r="A1114" s="175"/>
      <c r="B1114" s="176" t="str">
        <f t="shared" si="16"/>
        <v>BOCA DE LOBO DUPLA EXISTENTE COM BOCA DE LOBO DUPLA PROJETADA</v>
      </c>
      <c r="C1114" s="177"/>
      <c r="D1114" s="178"/>
      <c r="E1114" s="178"/>
      <c r="F1114" s="178"/>
      <c r="G1114" s="178"/>
      <c r="H1114" s="178"/>
      <c r="I1114" s="178"/>
      <c r="J1114" s="178"/>
      <c r="K1114" s="178">
        <v>24</v>
      </c>
      <c r="L1114" s="178"/>
      <c r="M1114" s="178">
        <f t="shared" si="17"/>
        <v>2</v>
      </c>
      <c r="N1114" s="200">
        <f t="shared" si="18"/>
        <v>48</v>
      </c>
      <c r="O1114" s="178"/>
      <c r="P1114" s="179"/>
      <c r="Q1114" s="169"/>
    </row>
    <row r="1115" spans="1:17" s="170" customFormat="1" ht="21" x14ac:dyDescent="0.25">
      <c r="A1115" s="175"/>
      <c r="B1115" s="176" t="str">
        <f t="shared" si="16"/>
        <v>BOCA DE LOBO DUPLA EXISTENTE COM BOCA DE LOBO TRIPLA PROJETADA</v>
      </c>
      <c r="C1115" s="177"/>
      <c r="D1115" s="178"/>
      <c r="E1115" s="178"/>
      <c r="F1115" s="178"/>
      <c r="G1115" s="178"/>
      <c r="H1115" s="178"/>
      <c r="I1115" s="178"/>
      <c r="J1115" s="178"/>
      <c r="K1115" s="178">
        <v>32</v>
      </c>
      <c r="L1115" s="178"/>
      <c r="M1115" s="178">
        <f t="shared" si="17"/>
        <v>0</v>
      </c>
      <c r="N1115" s="200">
        <f t="shared" si="18"/>
        <v>0</v>
      </c>
      <c r="O1115" s="178"/>
      <c r="P1115" s="179"/>
      <c r="Q1115" s="169"/>
    </row>
    <row r="1116" spans="1:17" s="170" customFormat="1" ht="21" x14ac:dyDescent="0.25">
      <c r="A1116" s="175"/>
      <c r="B1116" s="176" t="str">
        <f t="shared" si="16"/>
        <v>BOCA DE LOBO TRIPLA EXISTENTE COM BOCA DE LOBO SIMPLES PROJETADA</v>
      </c>
      <c r="C1116" s="177"/>
      <c r="D1116" s="178"/>
      <c r="E1116" s="178"/>
      <c r="F1116" s="178"/>
      <c r="G1116" s="178"/>
      <c r="H1116" s="178"/>
      <c r="I1116" s="178"/>
      <c r="J1116" s="178"/>
      <c r="K1116" s="178">
        <v>16</v>
      </c>
      <c r="L1116" s="178"/>
      <c r="M1116" s="178">
        <f t="shared" si="17"/>
        <v>0</v>
      </c>
      <c r="N1116" s="200">
        <f t="shared" si="18"/>
        <v>0</v>
      </c>
      <c r="O1116" s="178"/>
      <c r="P1116" s="179"/>
      <c r="Q1116" s="169"/>
    </row>
    <row r="1117" spans="1:17" s="170" customFormat="1" ht="21" x14ac:dyDescent="0.25">
      <c r="A1117" s="175"/>
      <c r="B1117" s="176" t="str">
        <f t="shared" si="16"/>
        <v>BOCA DE LOBO TRIPLA EXISTENTE COM BOCA DE LOBO DUPLA PROJETADA</v>
      </c>
      <c r="C1117" s="177"/>
      <c r="D1117" s="178"/>
      <c r="E1117" s="178"/>
      <c r="F1117" s="178"/>
      <c r="G1117" s="178"/>
      <c r="H1117" s="178"/>
      <c r="I1117" s="178"/>
      <c r="J1117" s="178"/>
      <c r="K1117" s="178">
        <v>24</v>
      </c>
      <c r="L1117" s="178"/>
      <c r="M1117" s="178">
        <f t="shared" si="17"/>
        <v>0</v>
      </c>
      <c r="N1117" s="200">
        <f t="shared" si="18"/>
        <v>0</v>
      </c>
      <c r="O1117" s="178"/>
      <c r="P1117" s="179"/>
      <c r="Q1117" s="169"/>
    </row>
    <row r="1118" spans="1:17" s="170" customFormat="1" ht="21" x14ac:dyDescent="0.25">
      <c r="A1118" s="175"/>
      <c r="B1118" s="176" t="str">
        <f t="shared" si="16"/>
        <v>BOCA DE LOBO TRIPLA EXISTENTE COM BOCA DE LOBO TRIPLA PROJETADA</v>
      </c>
      <c r="C1118" s="177"/>
      <c r="D1118" s="178"/>
      <c r="E1118" s="178"/>
      <c r="F1118" s="178"/>
      <c r="G1118" s="178"/>
      <c r="H1118" s="178"/>
      <c r="I1118" s="178"/>
      <c r="J1118" s="178"/>
      <c r="K1118" s="178">
        <v>32</v>
      </c>
      <c r="L1118" s="178"/>
      <c r="M1118" s="178">
        <f t="shared" si="17"/>
        <v>0</v>
      </c>
      <c r="N1118" s="200">
        <f t="shared" si="18"/>
        <v>0</v>
      </c>
      <c r="O1118" s="178"/>
      <c r="P1118" s="179"/>
      <c r="Q1118" s="169"/>
    </row>
    <row r="1119" spans="1:17" s="170" customFormat="1" ht="10.5" x14ac:dyDescent="0.25">
      <c r="A1119" s="175"/>
      <c r="B1119" s="176" t="str">
        <f t="shared" si="16"/>
        <v>BOCA DE LOBO PROJETADA SIMPLES</v>
      </c>
      <c r="C1119" s="177"/>
      <c r="D1119" s="178"/>
      <c r="E1119" s="178"/>
      <c r="F1119" s="178"/>
      <c r="G1119" s="178"/>
      <c r="H1119" s="178"/>
      <c r="I1119" s="178"/>
      <c r="J1119" s="178"/>
      <c r="K1119" s="178">
        <v>16</v>
      </c>
      <c r="L1119" s="178"/>
      <c r="M1119" s="178">
        <f t="shared" si="17"/>
        <v>0</v>
      </c>
      <c r="N1119" s="200">
        <f t="shared" si="18"/>
        <v>0</v>
      </c>
      <c r="O1119" s="178"/>
      <c r="P1119" s="179"/>
      <c r="Q1119" s="169"/>
    </row>
    <row r="1120" spans="1:17" s="170" customFormat="1" ht="10.5" x14ac:dyDescent="0.25">
      <c r="A1120" s="175"/>
      <c r="B1120" s="176" t="str">
        <f t="shared" si="16"/>
        <v>BOCA DE LOBO PROJETADA DUPLA</v>
      </c>
      <c r="C1120" s="177"/>
      <c r="D1120" s="178"/>
      <c r="E1120" s="178"/>
      <c r="F1120" s="178"/>
      <c r="G1120" s="178"/>
      <c r="H1120" s="178"/>
      <c r="I1120" s="178"/>
      <c r="J1120" s="178"/>
      <c r="K1120" s="178">
        <v>24</v>
      </c>
      <c r="L1120" s="178"/>
      <c r="M1120" s="178">
        <f t="shared" si="17"/>
        <v>30</v>
      </c>
      <c r="N1120" s="200">
        <f t="shared" si="18"/>
        <v>720</v>
      </c>
      <c r="O1120" s="178"/>
      <c r="P1120" s="179"/>
      <c r="Q1120" s="169"/>
    </row>
    <row r="1121" spans="1:17" s="170" customFormat="1" ht="10.5" x14ac:dyDescent="0.25">
      <c r="A1121" s="175"/>
      <c r="B1121" s="176" t="str">
        <f t="shared" si="16"/>
        <v>BOCA DE LOBO PROJETADA TRIPLA</v>
      </c>
      <c r="C1121" s="177"/>
      <c r="D1121" s="178"/>
      <c r="E1121" s="178"/>
      <c r="F1121" s="178"/>
      <c r="G1121" s="178"/>
      <c r="H1121" s="178"/>
      <c r="I1121" s="178"/>
      <c r="J1121" s="178"/>
      <c r="K1121" s="178">
        <v>32</v>
      </c>
      <c r="L1121" s="178"/>
      <c r="M1121" s="178">
        <f t="shared" si="17"/>
        <v>10</v>
      </c>
      <c r="N1121" s="200">
        <f t="shared" si="18"/>
        <v>320</v>
      </c>
      <c r="O1121" s="178"/>
      <c r="P1121" s="179"/>
      <c r="Q1121" s="169"/>
    </row>
    <row r="1122" spans="1:17" s="170" customFormat="1" ht="10.5" x14ac:dyDescent="0.25">
      <c r="A1122" s="175"/>
      <c r="B1122" s="176"/>
      <c r="C1122" s="177"/>
      <c r="D1122" s="178"/>
      <c r="E1122" s="178"/>
      <c r="F1122" s="178"/>
      <c r="G1122" s="178"/>
      <c r="H1122" s="178"/>
      <c r="I1122" s="178"/>
      <c r="J1122" s="178"/>
      <c r="K1122" s="178"/>
      <c r="L1122" s="178"/>
      <c r="M1122" s="178"/>
      <c r="N1122" s="200"/>
      <c r="O1122" s="178"/>
      <c r="P1122" s="179"/>
      <c r="Q1122" s="169"/>
    </row>
    <row r="1123" spans="1:17" s="170" customFormat="1" ht="15" customHeight="1" x14ac:dyDescent="0.25">
      <c r="A1123" s="175"/>
      <c r="B1123" s="181" t="s">
        <v>5</v>
      </c>
      <c r="C1123" s="182" t="s">
        <v>1328</v>
      </c>
      <c r="D1123" s="182"/>
      <c r="E1123" s="182"/>
      <c r="F1123" s="182"/>
      <c r="G1123" s="182"/>
      <c r="H1123" s="182"/>
      <c r="I1123" s="182"/>
      <c r="J1123" s="182"/>
      <c r="K1123" s="177"/>
      <c r="L1123" s="182"/>
      <c r="M1123" s="182"/>
      <c r="N1123" s="177">
        <f>SUM(N1109:N1122)</f>
        <v>1336</v>
      </c>
      <c r="O1123" s="182"/>
      <c r="P1123" s="183"/>
      <c r="Q1123" s="169"/>
    </row>
    <row r="1124" spans="1:17" s="174" customFormat="1" ht="42" x14ac:dyDescent="0.25">
      <c r="A1124" s="171" t="str">
        <f>ORÇAMENTO!A245</f>
        <v>4.1.2.6.43</v>
      </c>
      <c r="B1124" s="172" t="str">
        <f>VLOOKUP(A1124,ORÇAMENTO!A:K,4,0)</f>
        <v>ALVENARIA DE VEDAÇÃO DE BLOCOS VAZADOS DE CONCRETO DE 19X19X39 CM (ESPESSURA 19 CM) E ARGAMASSA DE ASSENTAMENTO COM PREPARO EM BETONEIRA. AF_12/2021</v>
      </c>
      <c r="C1124" s="173" t="str">
        <f>VLOOKUP(A1124,ORÇAMENTO!A:K,5,0)</f>
        <v>M²</v>
      </c>
      <c r="D1124" s="173">
        <f>ROUND(SUM(E1127:O1127),2)</f>
        <v>542.49</v>
      </c>
      <c r="E1124" s="173" t="s">
        <v>1718</v>
      </c>
      <c r="F1124" s="173" t="s">
        <v>1719</v>
      </c>
      <c r="G1124" s="173" t="s">
        <v>1720</v>
      </c>
      <c r="H1124" s="173" t="s">
        <v>1721</v>
      </c>
      <c r="I1124" s="173" t="s">
        <v>1722</v>
      </c>
      <c r="J1124" s="173" t="s">
        <v>1723</v>
      </c>
      <c r="K1124" s="173" t="s">
        <v>1724</v>
      </c>
      <c r="L1124" s="173" t="s">
        <v>1804</v>
      </c>
      <c r="M1124" s="173" t="s">
        <v>1726</v>
      </c>
      <c r="N1124" s="173" t="s">
        <v>1826</v>
      </c>
      <c r="O1124" s="173" t="s">
        <v>1728</v>
      </c>
      <c r="P1124" s="169"/>
      <c r="Q1124" s="169"/>
    </row>
    <row r="1125" spans="1:17" s="170" customFormat="1" ht="15" customHeight="1" x14ac:dyDescent="0.25">
      <c r="A1125" s="175"/>
      <c r="B1125" s="176" t="s">
        <v>1827</v>
      </c>
      <c r="C1125" s="177"/>
      <c r="D1125" s="178"/>
      <c r="E1125" s="178"/>
      <c r="F1125" s="178"/>
      <c r="G1125" s="178"/>
      <c r="H1125" s="178"/>
      <c r="I1125" s="178"/>
      <c r="J1125" s="178"/>
      <c r="K1125" s="178"/>
      <c r="L1125" s="178"/>
      <c r="M1125" s="178"/>
      <c r="N1125" s="200">
        <f>QUANTBL!CU96</f>
        <v>542.49287999999899</v>
      </c>
      <c r="O1125" s="178"/>
      <c r="P1125" s="179"/>
      <c r="Q1125" s="169"/>
    </row>
    <row r="1126" spans="1:17" s="170" customFormat="1" ht="15" customHeight="1" x14ac:dyDescent="0.25">
      <c r="A1126" s="175"/>
      <c r="B1126" s="176"/>
      <c r="C1126" s="177"/>
      <c r="D1126" s="178"/>
      <c r="E1126" s="178"/>
      <c r="F1126" s="178"/>
      <c r="G1126" s="178"/>
      <c r="H1126" s="178"/>
      <c r="I1126" s="178"/>
      <c r="J1126" s="178"/>
      <c r="K1126" s="178"/>
      <c r="L1126" s="178"/>
      <c r="M1126" s="178"/>
      <c r="N1126" s="200"/>
      <c r="O1126" s="178"/>
      <c r="P1126" s="179"/>
      <c r="Q1126" s="169"/>
    </row>
    <row r="1127" spans="1:17" s="170" customFormat="1" ht="15" customHeight="1" x14ac:dyDescent="0.25">
      <c r="A1127" s="175"/>
      <c r="B1127" s="181" t="s">
        <v>5</v>
      </c>
      <c r="C1127" s="182" t="s">
        <v>1328</v>
      </c>
      <c r="D1127" s="182"/>
      <c r="E1127" s="182"/>
      <c r="F1127" s="182"/>
      <c r="G1127" s="182"/>
      <c r="H1127" s="182"/>
      <c r="I1127" s="182"/>
      <c r="J1127" s="182"/>
      <c r="K1127" s="178"/>
      <c r="L1127" s="182"/>
      <c r="M1127" s="182"/>
      <c r="N1127" s="177">
        <f>SUM(N1125:N1126)</f>
        <v>542.49287999999899</v>
      </c>
      <c r="O1127" s="182"/>
      <c r="P1127" s="183"/>
      <c r="Q1127" s="169"/>
    </row>
    <row r="1128" spans="1:17" s="174" customFormat="1" ht="31.5" x14ac:dyDescent="0.25">
      <c r="A1128" s="171" t="str">
        <f>ORÇAMENTO!A246</f>
        <v>4.1.2.6.44</v>
      </c>
      <c r="B1128" s="172" t="str">
        <f>VLOOKUP(A1128,ORÇAMENTO!A:K,4,0)</f>
        <v>FÔRMAS DE COMPENSADO RESINADO 12 MM - USO GERAL - UTILIZAÇÃO DE 2 VEZES - CONFECÇÃO, INSTALAÇÃO E RETIRADA</v>
      </c>
      <c r="C1128" s="173" t="str">
        <f>VLOOKUP(A1128,ORÇAMENTO!A:K,5,0)</f>
        <v>M²</v>
      </c>
      <c r="D1128" s="173">
        <f>ROUND(SUM(E1130:O1130),2)</f>
        <v>1008.42</v>
      </c>
      <c r="E1128" s="173" t="s">
        <v>1718</v>
      </c>
      <c r="F1128" s="173" t="s">
        <v>1719</v>
      </c>
      <c r="G1128" s="173" t="s">
        <v>1720</v>
      </c>
      <c r="H1128" s="173" t="s">
        <v>1721</v>
      </c>
      <c r="I1128" s="173" t="s">
        <v>1722</v>
      </c>
      <c r="J1128" s="173" t="s">
        <v>1723</v>
      </c>
      <c r="K1128" s="173" t="s">
        <v>1724</v>
      </c>
      <c r="L1128" s="173" t="s">
        <v>1804</v>
      </c>
      <c r="M1128" s="173" t="s">
        <v>1726</v>
      </c>
      <c r="N1128" s="173" t="s">
        <v>1826</v>
      </c>
      <c r="O1128" s="173" t="s">
        <v>1728</v>
      </c>
      <c r="P1128" s="169"/>
      <c r="Q1128" s="169"/>
    </row>
    <row r="1129" spans="1:17" s="170" customFormat="1" ht="15" customHeight="1" x14ac:dyDescent="0.25">
      <c r="A1129" s="175"/>
      <c r="B1129" s="176" t="s">
        <v>1827</v>
      </c>
      <c r="C1129" s="177"/>
      <c r="D1129" s="178"/>
      <c r="E1129" s="178"/>
      <c r="F1129" s="178"/>
      <c r="G1129" s="178"/>
      <c r="H1129" s="178"/>
      <c r="I1129" s="178"/>
      <c r="J1129" s="178"/>
      <c r="K1129" s="178"/>
      <c r="L1129" s="178"/>
      <c r="M1129" s="178"/>
      <c r="N1129" s="200">
        <f>QUANTBL!CW96</f>
        <v>1008.4227279999986</v>
      </c>
      <c r="O1129" s="178"/>
      <c r="P1129" s="179"/>
      <c r="Q1129" s="169"/>
    </row>
    <row r="1130" spans="1:17" s="170" customFormat="1" ht="15" customHeight="1" x14ac:dyDescent="0.25">
      <c r="A1130" s="175"/>
      <c r="B1130" s="181" t="s">
        <v>5</v>
      </c>
      <c r="C1130" s="182" t="s">
        <v>1328</v>
      </c>
      <c r="D1130" s="182"/>
      <c r="E1130" s="182"/>
      <c r="F1130" s="182"/>
      <c r="G1130" s="182"/>
      <c r="H1130" s="182"/>
      <c r="I1130" s="182"/>
      <c r="J1130" s="182"/>
      <c r="K1130" s="178"/>
      <c r="L1130" s="182"/>
      <c r="M1130" s="182"/>
      <c r="N1130" s="177">
        <f>SUM(N1129)</f>
        <v>1008.4227279999986</v>
      </c>
      <c r="O1130" s="177"/>
      <c r="P1130" s="183"/>
      <c r="Q1130" s="169"/>
    </row>
    <row r="1131" spans="1:17" s="174" customFormat="1" ht="42" x14ac:dyDescent="0.25">
      <c r="A1131" s="171" t="str">
        <f>ORÇAMENTO!A247</f>
        <v>4.1.2.6.45</v>
      </c>
      <c r="B1131" s="172" t="str">
        <f>VLOOKUP(A1131,ORÇAMENTO!A:K,4,0)</f>
        <v>CONCRETO FCK = 25MPA, TRAÇO 1:2,3:2,7 (EM MASSA SECA DE CIMENTO/ AREIA MÉDIA/ BRITA 1) - PREPARO MECÂNICO COM BETONEIRA 600 L. AF_05/2021</v>
      </c>
      <c r="C1131" s="173" t="str">
        <f>VLOOKUP(A1131,ORÇAMENTO!A:K,5,0)</f>
        <v>M³</v>
      </c>
      <c r="D1131" s="173">
        <f>ROUND(SUM(E1133:O1133),2)</f>
        <v>66.8</v>
      </c>
      <c r="E1131" s="173" t="s">
        <v>1718</v>
      </c>
      <c r="F1131" s="173" t="s">
        <v>1719</v>
      </c>
      <c r="G1131" s="173" t="s">
        <v>1720</v>
      </c>
      <c r="H1131" s="173" t="s">
        <v>1721</v>
      </c>
      <c r="I1131" s="173" t="s">
        <v>1722</v>
      </c>
      <c r="J1131" s="173" t="s">
        <v>1723</v>
      </c>
      <c r="K1131" s="173" t="s">
        <v>1724</v>
      </c>
      <c r="L1131" s="173" t="s">
        <v>1804</v>
      </c>
      <c r="M1131" s="173" t="s">
        <v>1726</v>
      </c>
      <c r="N1131" s="173" t="s">
        <v>1809</v>
      </c>
      <c r="O1131" s="173" t="s">
        <v>1728</v>
      </c>
      <c r="P1131" s="169"/>
      <c r="Q1131" s="169"/>
    </row>
    <row r="1132" spans="1:17" s="170" customFormat="1" ht="15" customHeight="1" x14ac:dyDescent="0.25">
      <c r="A1132" s="175"/>
      <c r="B1132" s="176" t="s">
        <v>1828</v>
      </c>
      <c r="C1132" s="177"/>
      <c r="D1132" s="178"/>
      <c r="E1132" s="178"/>
      <c r="F1132" s="178"/>
      <c r="G1132" s="178"/>
      <c r="H1132" s="178"/>
      <c r="I1132" s="178"/>
      <c r="J1132" s="178"/>
      <c r="K1132" s="178"/>
      <c r="L1132" s="178"/>
      <c r="M1132" s="178"/>
      <c r="N1132" s="200"/>
      <c r="O1132" s="178">
        <f>QUANTBL!CV96</f>
        <v>66.803652599999936</v>
      </c>
      <c r="P1132" s="179"/>
      <c r="Q1132" s="169"/>
    </row>
    <row r="1133" spans="1:17" s="170" customFormat="1" ht="15" customHeight="1" x14ac:dyDescent="0.25">
      <c r="A1133" s="175"/>
      <c r="B1133" s="181" t="s">
        <v>5</v>
      </c>
      <c r="C1133" s="182" t="s">
        <v>1328</v>
      </c>
      <c r="D1133" s="182"/>
      <c r="E1133" s="182"/>
      <c r="F1133" s="182"/>
      <c r="G1133" s="182"/>
      <c r="H1133" s="182"/>
      <c r="I1133" s="182"/>
      <c r="J1133" s="182"/>
      <c r="K1133" s="178"/>
      <c r="L1133" s="182"/>
      <c r="M1133" s="182"/>
      <c r="N1133" s="177"/>
      <c r="O1133" s="177">
        <f>SUM(O1132)</f>
        <v>66.803652599999936</v>
      </c>
      <c r="P1133" s="183"/>
      <c r="Q1133" s="169"/>
    </row>
    <row r="1134" spans="1:17" s="174" customFormat="1" ht="31.5" x14ac:dyDescent="0.25">
      <c r="A1134" s="171" t="str">
        <f>ORÇAMENTO!A248</f>
        <v>4.1.2.6.46</v>
      </c>
      <c r="B1134" s="172" t="str">
        <f>VLOOKUP(A1134,ORÇAMENTO!A:K,4,0)</f>
        <v>LANÇAMENTO COM USO DE BALDES, ADENSAMENTO E ACABAMENTO DE CONCRETO EM ESTRUTURAS. AF_02/2022</v>
      </c>
      <c r="C1134" s="173" t="str">
        <f>VLOOKUP(A1134,ORÇAMENTO!A:K,5,0)</f>
        <v>M³</v>
      </c>
      <c r="D1134" s="173">
        <f>ROUND(SUM(E1138:O1138),2)</f>
        <v>83.38</v>
      </c>
      <c r="E1134" s="173" t="s">
        <v>1718</v>
      </c>
      <c r="F1134" s="173" t="s">
        <v>1719</v>
      </c>
      <c r="G1134" s="173" t="s">
        <v>1720</v>
      </c>
      <c r="H1134" s="173" t="s">
        <v>1721</v>
      </c>
      <c r="I1134" s="173" t="s">
        <v>1722</v>
      </c>
      <c r="J1134" s="173" t="s">
        <v>1723</v>
      </c>
      <c r="K1134" s="173" t="s">
        <v>1724</v>
      </c>
      <c r="L1134" s="173" t="s">
        <v>1804</v>
      </c>
      <c r="M1134" s="173" t="s">
        <v>1726</v>
      </c>
      <c r="N1134" s="173" t="s">
        <v>1809</v>
      </c>
      <c r="O1134" s="173" t="s">
        <v>1728</v>
      </c>
      <c r="P1134" s="169"/>
      <c r="Q1134" s="169"/>
    </row>
    <row r="1135" spans="1:17" s="170" customFormat="1" ht="42" x14ac:dyDescent="0.25">
      <c r="A1135" s="175"/>
      <c r="B1135" s="176" t="str">
        <f>B1104</f>
        <v>CONCRETO MAGRO PARA LASTRO, TRAÇO 1:4,5:4,5 (EM MASSA SECA DE CIMENTO/ AREIA MÉDIA/ BRITA 1) - PREPARO MECÂNICO COM BETONEIRA 600 L. AF_05/2021</v>
      </c>
      <c r="C1135" s="177"/>
      <c r="D1135" s="178"/>
      <c r="E1135" s="178"/>
      <c r="F1135" s="178"/>
      <c r="G1135" s="178"/>
      <c r="H1135" s="178"/>
      <c r="I1135" s="178"/>
      <c r="J1135" s="178"/>
      <c r="K1135" s="178"/>
      <c r="L1135" s="178"/>
      <c r="M1135" s="178"/>
      <c r="N1135" s="200"/>
      <c r="O1135" s="178">
        <f>D1104</f>
        <v>16.579999999999998</v>
      </c>
      <c r="P1135" s="179"/>
      <c r="Q1135" s="169"/>
    </row>
    <row r="1136" spans="1:17" s="170" customFormat="1" ht="29.25" customHeight="1" x14ac:dyDescent="0.25">
      <c r="A1136" s="175"/>
      <c r="B1136" s="176" t="str">
        <f>B1131</f>
        <v>CONCRETO FCK = 25MPA, TRAÇO 1:2,3:2,7 (EM MASSA SECA DE CIMENTO/ AREIA MÉDIA/ BRITA 1) - PREPARO MECÂNICO COM BETONEIRA 600 L. AF_05/2021</v>
      </c>
      <c r="C1136" s="177"/>
      <c r="D1136" s="178"/>
      <c r="E1136" s="178"/>
      <c r="F1136" s="178"/>
      <c r="G1136" s="178"/>
      <c r="H1136" s="178"/>
      <c r="I1136" s="178"/>
      <c r="J1136" s="178"/>
      <c r="K1136" s="178"/>
      <c r="L1136" s="178"/>
      <c r="M1136" s="178"/>
      <c r="N1136" s="200"/>
      <c r="O1136" s="178">
        <f>O1133</f>
        <v>66.803652599999936</v>
      </c>
      <c r="P1136" s="179"/>
      <c r="Q1136" s="169"/>
    </row>
    <row r="1137" spans="1:17" s="170" customFormat="1" ht="15" customHeight="1" x14ac:dyDescent="0.25">
      <c r="A1137" s="175"/>
      <c r="B1137" s="176"/>
      <c r="C1137" s="177"/>
      <c r="D1137" s="178"/>
      <c r="E1137" s="178"/>
      <c r="F1137" s="178"/>
      <c r="G1137" s="178"/>
      <c r="H1137" s="178"/>
      <c r="I1137" s="178"/>
      <c r="J1137" s="178"/>
      <c r="K1137" s="178"/>
      <c r="L1137" s="178"/>
      <c r="M1137" s="178"/>
      <c r="N1137" s="200"/>
      <c r="O1137" s="178"/>
      <c r="P1137" s="179"/>
      <c r="Q1137" s="169"/>
    </row>
    <row r="1138" spans="1:17" s="170" customFormat="1" ht="15" customHeight="1" x14ac:dyDescent="0.25">
      <c r="A1138" s="175"/>
      <c r="B1138" s="181" t="s">
        <v>5</v>
      </c>
      <c r="C1138" s="182" t="s">
        <v>1328</v>
      </c>
      <c r="D1138" s="182"/>
      <c r="E1138" s="182"/>
      <c r="F1138" s="182"/>
      <c r="G1138" s="182"/>
      <c r="H1138" s="182"/>
      <c r="I1138" s="182"/>
      <c r="J1138" s="182"/>
      <c r="K1138" s="177"/>
      <c r="L1138" s="182"/>
      <c r="M1138" s="182"/>
      <c r="N1138" s="177"/>
      <c r="O1138" s="177">
        <f>SUM(O1135:O1137)</f>
        <v>83.383652599999934</v>
      </c>
      <c r="P1138" s="183"/>
      <c r="Q1138" s="169"/>
    </row>
    <row r="1139" spans="1:17" s="174" customFormat="1" ht="31.5" x14ac:dyDescent="0.25">
      <c r="A1139" s="171" t="str">
        <f>ORÇAMENTO!A249</f>
        <v>4.1.2.6.47</v>
      </c>
      <c r="B1139" s="172" t="str">
        <f>VLOOKUP(A1139,ORÇAMENTO!A:K,4,0)</f>
        <v>TUBO DE CONCRETO SIMPLES PARA AGUAS PLUVIAIS, CLASSE PS1, COM ENCAIXE PONTA E BOLSA, DIAMETRO NOMINAL DE 400 MM</v>
      </c>
      <c r="C1139" s="173" t="str">
        <f>VLOOKUP(A1139,ORÇAMENTO!A:K,5,0)</f>
        <v>M</v>
      </c>
      <c r="D1139" s="173">
        <f>ROUND(SUM(E1142:O1142),2)</f>
        <v>67.95</v>
      </c>
      <c r="E1139" s="173" t="s">
        <v>1718</v>
      </c>
      <c r="F1139" s="173" t="s">
        <v>1719</v>
      </c>
      <c r="G1139" s="173" t="s">
        <v>1720</v>
      </c>
      <c r="H1139" s="173" t="s">
        <v>1721</v>
      </c>
      <c r="I1139" s="173" t="s">
        <v>1722</v>
      </c>
      <c r="J1139" s="173" t="s">
        <v>1723</v>
      </c>
      <c r="K1139" s="173" t="s">
        <v>1724</v>
      </c>
      <c r="L1139" s="173" t="s">
        <v>1804</v>
      </c>
      <c r="M1139" s="173" t="s">
        <v>1726</v>
      </c>
      <c r="N1139" s="173" t="s">
        <v>1809</v>
      </c>
      <c r="O1139" s="173" t="s">
        <v>1728</v>
      </c>
      <c r="P1139" s="169"/>
      <c r="Q1139" s="169"/>
    </row>
    <row r="1140" spans="1:17" s="170" customFormat="1" ht="15" customHeight="1" x14ac:dyDescent="0.25">
      <c r="A1140" s="175"/>
      <c r="B1140" s="176" t="s">
        <v>1829</v>
      </c>
      <c r="C1140" s="177"/>
      <c r="D1140" s="178"/>
      <c r="E1140" s="178">
        <f>QUANTBL!BF98</f>
        <v>67.95</v>
      </c>
      <c r="F1140" s="178"/>
      <c r="G1140" s="178"/>
      <c r="H1140" s="178"/>
      <c r="I1140" s="178"/>
      <c r="J1140" s="178"/>
      <c r="K1140" s="178"/>
      <c r="L1140" s="178"/>
      <c r="M1140" s="178"/>
      <c r="N1140" s="200"/>
      <c r="O1140" s="178"/>
      <c r="P1140" s="179"/>
      <c r="Q1140" s="169"/>
    </row>
    <row r="1141" spans="1:17" s="170" customFormat="1" ht="10.5" x14ac:dyDescent="0.25">
      <c r="A1141" s="175"/>
      <c r="B1141" s="176"/>
      <c r="C1141" s="177"/>
      <c r="D1141" s="178"/>
      <c r="E1141" s="178"/>
      <c r="F1141" s="178"/>
      <c r="G1141" s="178"/>
      <c r="H1141" s="178"/>
      <c r="I1141" s="178"/>
      <c r="J1141" s="178"/>
      <c r="K1141" s="178"/>
      <c r="L1141" s="178"/>
      <c r="M1141" s="178"/>
      <c r="N1141" s="200"/>
      <c r="O1141" s="178"/>
      <c r="P1141" s="179"/>
      <c r="Q1141" s="169"/>
    </row>
    <row r="1142" spans="1:17" s="170" customFormat="1" ht="15" customHeight="1" x14ac:dyDescent="0.25">
      <c r="A1142" s="175"/>
      <c r="B1142" s="181" t="s">
        <v>5</v>
      </c>
      <c r="C1142" s="182" t="s">
        <v>1328</v>
      </c>
      <c r="D1142" s="182"/>
      <c r="E1142" s="177">
        <f>SUM(E1140:E1141)</f>
        <v>67.95</v>
      </c>
      <c r="F1142" s="182"/>
      <c r="G1142" s="182"/>
      <c r="H1142" s="182"/>
      <c r="I1142" s="182"/>
      <c r="J1142" s="182"/>
      <c r="K1142" s="177"/>
      <c r="L1142" s="182"/>
      <c r="M1142" s="182"/>
      <c r="N1142" s="177"/>
      <c r="O1142" s="177"/>
      <c r="P1142" s="183"/>
      <c r="Q1142" s="169"/>
    </row>
    <row r="1143" spans="1:17" s="174" customFormat="1" ht="31.5" x14ac:dyDescent="0.25">
      <c r="A1143" s="171" t="str">
        <f>ORÇAMENTO!A250</f>
        <v>4.1.2.6.48</v>
      </c>
      <c r="B1143" s="172" t="str">
        <f>VLOOKUP(A1143,ORÇAMENTO!A:K,4,0)</f>
        <v>TUBO DE CONCRETO SIMPLES PARA AGUAS PLUVIAIS, CLASSE PS2, COM ENCAIXE PONTA E BOLSA, DIAMETRO NOMINAL DE 400 MM</v>
      </c>
      <c r="C1143" s="173" t="str">
        <f>VLOOKUP(A1143,ORÇAMENTO!A:K,5,0)</f>
        <v>M</v>
      </c>
      <c r="D1143" s="173">
        <f>ROUND(SUM(E1146:O1146),2)</f>
        <v>92.75</v>
      </c>
      <c r="E1143" s="173" t="s">
        <v>1718</v>
      </c>
      <c r="F1143" s="173" t="s">
        <v>1719</v>
      </c>
      <c r="G1143" s="173" t="s">
        <v>1720</v>
      </c>
      <c r="H1143" s="173" t="s">
        <v>1721</v>
      </c>
      <c r="I1143" s="173" t="s">
        <v>1722</v>
      </c>
      <c r="J1143" s="173" t="s">
        <v>1723</v>
      </c>
      <c r="K1143" s="173" t="s">
        <v>1724</v>
      </c>
      <c r="L1143" s="173" t="s">
        <v>1804</v>
      </c>
      <c r="M1143" s="173" t="s">
        <v>1726</v>
      </c>
      <c r="N1143" s="173" t="s">
        <v>1809</v>
      </c>
      <c r="O1143" s="173" t="s">
        <v>1728</v>
      </c>
      <c r="P1143" s="169"/>
      <c r="Q1143" s="169"/>
    </row>
    <row r="1144" spans="1:17" s="170" customFormat="1" ht="15" customHeight="1" x14ac:dyDescent="0.25">
      <c r="A1144" s="175"/>
      <c r="B1144" s="176" t="s">
        <v>1830</v>
      </c>
      <c r="C1144" s="177"/>
      <c r="D1144" s="178"/>
      <c r="E1144" s="178">
        <f>QUANTBL!BG98</f>
        <v>92.75</v>
      </c>
      <c r="F1144" s="178"/>
      <c r="G1144" s="178"/>
      <c r="H1144" s="178"/>
      <c r="I1144" s="178"/>
      <c r="J1144" s="178"/>
      <c r="K1144" s="178"/>
      <c r="L1144" s="178"/>
      <c r="M1144" s="178"/>
      <c r="N1144" s="200"/>
      <c r="O1144" s="178"/>
      <c r="P1144" s="179"/>
      <c r="Q1144" s="169"/>
    </row>
    <row r="1145" spans="1:17" s="170" customFormat="1" ht="15" customHeight="1" x14ac:dyDescent="0.25">
      <c r="A1145" s="175"/>
      <c r="B1145" s="176"/>
      <c r="C1145" s="177"/>
      <c r="D1145" s="178"/>
      <c r="E1145" s="178"/>
      <c r="F1145" s="178"/>
      <c r="G1145" s="178"/>
      <c r="H1145" s="178"/>
      <c r="I1145" s="178"/>
      <c r="J1145" s="178"/>
      <c r="K1145" s="178"/>
      <c r="L1145" s="178"/>
      <c r="M1145" s="178"/>
      <c r="N1145" s="200"/>
      <c r="O1145" s="178"/>
      <c r="P1145" s="179"/>
      <c r="Q1145" s="169"/>
    </row>
    <row r="1146" spans="1:17" s="170" customFormat="1" ht="15" customHeight="1" x14ac:dyDescent="0.25">
      <c r="A1146" s="175"/>
      <c r="B1146" s="181" t="s">
        <v>5</v>
      </c>
      <c r="C1146" s="182" t="s">
        <v>1328</v>
      </c>
      <c r="D1146" s="182"/>
      <c r="E1146" s="177">
        <f>SUM(E1144:E1145)</f>
        <v>92.75</v>
      </c>
      <c r="F1146" s="182"/>
      <c r="G1146" s="182"/>
      <c r="H1146" s="182"/>
      <c r="I1146" s="182"/>
      <c r="J1146" s="182"/>
      <c r="K1146" s="177"/>
      <c r="L1146" s="182"/>
      <c r="M1146" s="182"/>
      <c r="N1146" s="177"/>
      <c r="O1146" s="177"/>
      <c r="P1146" s="183"/>
      <c r="Q1146" s="169"/>
    </row>
    <row r="1147" spans="1:17" s="174" customFormat="1" ht="15" customHeight="1" x14ac:dyDescent="0.25">
      <c r="A1147" s="171" t="str">
        <f>ORÇAMENTO!A251</f>
        <v>4.1.2.6.49</v>
      </c>
      <c r="B1147" s="172" t="str">
        <f>VLOOKUP(A1147,ORÇAMENTO!A:K,4,0)</f>
        <v>ASSENTAMENTO DE TUBO DE CONCRETO PARA REDES COLETORAS DE ÁGUAS PLUVIAIS, DIÂMETRO DE 400 MM, JUNTA RÍGIDA, INSTALADO EM LOCAL COM ALTO NÍVEL DE INTERFERÊNCIAS (NÃO INCLUI FORNECIMENTO). AF_03/2024</v>
      </c>
      <c r="C1147" s="173" t="str">
        <f>VLOOKUP(A1147,ORÇAMENTO!A:K,5,0)</f>
        <v>M</v>
      </c>
      <c r="D1147" s="173">
        <f>ROUND(SUM(E1150:O1150),2)</f>
        <v>160.69999999999999</v>
      </c>
      <c r="E1147" s="173" t="s">
        <v>1718</v>
      </c>
      <c r="F1147" s="173" t="s">
        <v>1719</v>
      </c>
      <c r="G1147" s="173" t="s">
        <v>1720</v>
      </c>
      <c r="H1147" s="173" t="s">
        <v>1721</v>
      </c>
      <c r="I1147" s="173" t="s">
        <v>1722</v>
      </c>
      <c r="J1147" s="173" t="s">
        <v>1723</v>
      </c>
      <c r="K1147" s="173" t="s">
        <v>1724</v>
      </c>
      <c r="L1147" s="173" t="s">
        <v>1804</v>
      </c>
      <c r="M1147" s="173" t="s">
        <v>1726</v>
      </c>
      <c r="N1147" s="173" t="s">
        <v>1809</v>
      </c>
      <c r="O1147" s="173" t="s">
        <v>1728</v>
      </c>
      <c r="P1147" s="169"/>
      <c r="Q1147" s="169"/>
    </row>
    <row r="1148" spans="1:17" s="170" customFormat="1" ht="15" customHeight="1" x14ac:dyDescent="0.25">
      <c r="A1148" s="175"/>
      <c r="B1148" s="176" t="s">
        <v>1831</v>
      </c>
      <c r="C1148" s="177"/>
      <c r="D1148" s="178"/>
      <c r="E1148" s="178">
        <f>E1146+E1142</f>
        <v>160.69999999999999</v>
      </c>
      <c r="F1148" s="178"/>
      <c r="G1148" s="178"/>
      <c r="H1148" s="178"/>
      <c r="I1148" s="178"/>
      <c r="J1148" s="178"/>
      <c r="K1148" s="178"/>
      <c r="L1148" s="178"/>
      <c r="M1148" s="178"/>
      <c r="N1148" s="200"/>
      <c r="O1148" s="178"/>
      <c r="P1148" s="179"/>
      <c r="Q1148" s="169"/>
    </row>
    <row r="1149" spans="1:17" s="170" customFormat="1" ht="15" customHeight="1" x14ac:dyDescent="0.25">
      <c r="A1149" s="175"/>
      <c r="B1149" s="176"/>
      <c r="C1149" s="177"/>
      <c r="D1149" s="178"/>
      <c r="E1149" s="178"/>
      <c r="F1149" s="178"/>
      <c r="G1149" s="178"/>
      <c r="H1149" s="178"/>
      <c r="I1149" s="178"/>
      <c r="J1149" s="178"/>
      <c r="K1149" s="178"/>
      <c r="L1149" s="178"/>
      <c r="M1149" s="178"/>
      <c r="N1149" s="200"/>
      <c r="O1149" s="178"/>
      <c r="P1149" s="179"/>
      <c r="Q1149" s="169"/>
    </row>
    <row r="1150" spans="1:17" s="170" customFormat="1" ht="15" customHeight="1" x14ac:dyDescent="0.25">
      <c r="A1150" s="175"/>
      <c r="B1150" s="181" t="s">
        <v>5</v>
      </c>
      <c r="C1150" s="182" t="s">
        <v>1328</v>
      </c>
      <c r="D1150" s="182"/>
      <c r="E1150" s="177">
        <f>SUM(E1148:E1149)</f>
        <v>160.69999999999999</v>
      </c>
      <c r="F1150" s="182"/>
      <c r="G1150" s="182"/>
      <c r="H1150" s="182"/>
      <c r="I1150" s="182"/>
      <c r="J1150" s="182"/>
      <c r="K1150" s="177"/>
      <c r="L1150" s="182"/>
      <c r="M1150" s="182"/>
      <c r="N1150" s="177"/>
      <c r="O1150" s="177"/>
      <c r="P1150" s="183"/>
      <c r="Q1150" s="169"/>
    </row>
    <row r="1151" spans="1:17" s="170" customFormat="1" ht="10.5" x14ac:dyDescent="0.25">
      <c r="A1151" s="165"/>
      <c r="B1151" s="166" t="str">
        <f>ORÇAMENTO!D252</f>
        <v>POÇOS DE VISITA</v>
      </c>
      <c r="C1151" s="167"/>
      <c r="D1151" s="167"/>
      <c r="E1151" s="168"/>
      <c r="F1151" s="168"/>
      <c r="G1151" s="168"/>
      <c r="H1151" s="168"/>
      <c r="I1151" s="168"/>
      <c r="J1151" s="168"/>
      <c r="K1151" s="168"/>
      <c r="L1151" s="168"/>
      <c r="M1151" s="168"/>
      <c r="N1151" s="168"/>
      <c r="O1151" s="168"/>
      <c r="P1151" s="169"/>
      <c r="Q1151" s="169"/>
    </row>
    <row r="1152" spans="1:17" s="174" customFormat="1" ht="21.75" customHeight="1" x14ac:dyDescent="0.25">
      <c r="A1152" s="171" t="str">
        <f>ORÇAMENTO!A253</f>
        <v>4.1.2.7.1</v>
      </c>
      <c r="B1152" s="172" t="str">
        <f>VLOOKUP(A1152,ORÇAMENTO!A:K,4,0)</f>
        <v>REVEST. PRIMARIO C CASCALHO OU SAIBRO C\ COMPACTACAO</v>
      </c>
      <c r="C1152" s="173" t="str">
        <f>VLOOKUP(A1152,ORÇAMENTO!A:K,5,0)</f>
        <v>M³</v>
      </c>
      <c r="D1152" s="173">
        <f>ROUND(SUM(E1160:O1160),2)</f>
        <v>13.67</v>
      </c>
      <c r="E1152" s="173" t="s">
        <v>1718</v>
      </c>
      <c r="F1152" s="173" t="s">
        <v>1719</v>
      </c>
      <c r="G1152" s="173" t="s">
        <v>1720</v>
      </c>
      <c r="H1152" s="173" t="s">
        <v>1721</v>
      </c>
      <c r="I1152" s="173" t="s">
        <v>1722</v>
      </c>
      <c r="J1152" s="173" t="s">
        <v>1723</v>
      </c>
      <c r="K1152" s="173" t="s">
        <v>1724</v>
      </c>
      <c r="L1152" s="173" t="s">
        <v>1804</v>
      </c>
      <c r="M1152" s="173" t="s">
        <v>1726</v>
      </c>
      <c r="N1152" s="173" t="s">
        <v>1809</v>
      </c>
      <c r="O1152" s="173" t="s">
        <v>1728</v>
      </c>
      <c r="P1152" s="169"/>
      <c r="Q1152" s="169"/>
    </row>
    <row r="1153" spans="1:17" s="170" customFormat="1" ht="10.5" x14ac:dyDescent="0.25">
      <c r="A1153" s="175"/>
      <c r="B1153" s="176" t="s">
        <v>1832</v>
      </c>
      <c r="C1153" s="184"/>
      <c r="D1153" s="185"/>
      <c r="E1153" s="185"/>
      <c r="F1153" s="185"/>
      <c r="G1153" s="185"/>
      <c r="H1153" s="185"/>
      <c r="I1153" s="185"/>
      <c r="J1153" s="185"/>
      <c r="K1153" s="185"/>
      <c r="L1153" s="185"/>
      <c r="M1153" s="185"/>
      <c r="N1153" s="205"/>
      <c r="O1153" s="185"/>
      <c r="P1153" s="179"/>
      <c r="Q1153" s="169"/>
    </row>
    <row r="1154" spans="1:17" s="170" customFormat="1" ht="10.5" x14ac:dyDescent="0.25">
      <c r="A1154" s="175"/>
      <c r="B1154" s="176" t="s">
        <v>1833</v>
      </c>
      <c r="C1154" s="184"/>
      <c r="D1154" s="185"/>
      <c r="E1154" s="185">
        <v>1.48</v>
      </c>
      <c r="F1154" s="185">
        <v>1.48</v>
      </c>
      <c r="G1154" s="185"/>
      <c r="H1154" s="185">
        <v>0.1</v>
      </c>
      <c r="I1154" s="185"/>
      <c r="J1154" s="185"/>
      <c r="K1154" s="185"/>
      <c r="L1154" s="185"/>
      <c r="M1154" s="185">
        <f>'Planilha Hidráulica'!AF37</f>
        <v>5</v>
      </c>
      <c r="N1154" s="205"/>
      <c r="O1154" s="185">
        <f>M1154*E1154*F1154*H1154</f>
        <v>1.0952</v>
      </c>
      <c r="P1154" s="179"/>
      <c r="Q1154" s="169"/>
    </row>
    <row r="1155" spans="1:17" s="170" customFormat="1" ht="10.5" x14ac:dyDescent="0.25">
      <c r="A1155" s="175"/>
      <c r="B1155" s="176" t="s">
        <v>1834</v>
      </c>
      <c r="C1155" s="184"/>
      <c r="D1155" s="185"/>
      <c r="E1155" s="185">
        <v>1.9</v>
      </c>
      <c r="F1155" s="185">
        <v>1.9</v>
      </c>
      <c r="G1155" s="185"/>
      <c r="H1155" s="185">
        <v>0.1</v>
      </c>
      <c r="I1155" s="185"/>
      <c r="J1155" s="185"/>
      <c r="K1155" s="185"/>
      <c r="L1155" s="185"/>
      <c r="M1155" s="185">
        <f>'Planilha Hidráulica'!AG37</f>
        <v>2</v>
      </c>
      <c r="N1155" s="205"/>
      <c r="O1155" s="185">
        <f t="shared" ref="O1155:O1158" si="19">M1155*E1155*F1155*H1155</f>
        <v>0.72199999999999998</v>
      </c>
      <c r="P1155" s="179"/>
      <c r="Q1155" s="169"/>
    </row>
    <row r="1156" spans="1:17" s="170" customFormat="1" ht="10.5" x14ac:dyDescent="0.25">
      <c r="A1156" s="175"/>
      <c r="B1156" s="176" t="s">
        <v>1835</v>
      </c>
      <c r="C1156" s="184"/>
      <c r="D1156" s="185"/>
      <c r="E1156" s="185">
        <v>2.14</v>
      </c>
      <c r="F1156" s="185">
        <v>2.14</v>
      </c>
      <c r="G1156" s="185"/>
      <c r="H1156" s="185">
        <v>0.1</v>
      </c>
      <c r="I1156" s="185"/>
      <c r="J1156" s="185"/>
      <c r="K1156" s="185"/>
      <c r="L1156" s="185"/>
      <c r="M1156" s="185">
        <f>'Planilha Hidráulica'!AH37</f>
        <v>5</v>
      </c>
      <c r="N1156" s="205"/>
      <c r="O1156" s="185">
        <f t="shared" si="19"/>
        <v>2.2898000000000005</v>
      </c>
      <c r="P1156" s="179"/>
      <c r="Q1156" s="169"/>
    </row>
    <row r="1157" spans="1:17" s="170" customFormat="1" ht="10.5" x14ac:dyDescent="0.25">
      <c r="A1157" s="175"/>
      <c r="B1157" s="176" t="s">
        <v>1836</v>
      </c>
      <c r="C1157" s="184"/>
      <c r="D1157" s="185"/>
      <c r="E1157" s="185">
        <v>2.2400000000000002</v>
      </c>
      <c r="F1157" s="185">
        <v>2.2400000000000002</v>
      </c>
      <c r="G1157" s="185"/>
      <c r="H1157" s="185">
        <v>0.1</v>
      </c>
      <c r="I1157" s="185"/>
      <c r="J1157" s="185"/>
      <c r="K1157" s="185"/>
      <c r="L1157" s="185"/>
      <c r="M1157" s="185">
        <f>'Planilha Hidráulica'!AI37</f>
        <v>1</v>
      </c>
      <c r="N1157" s="205"/>
      <c r="O1157" s="185">
        <f t="shared" si="19"/>
        <v>0.50176000000000009</v>
      </c>
      <c r="P1157" s="179"/>
      <c r="Q1157" s="169"/>
    </row>
    <row r="1158" spans="1:17" s="170" customFormat="1" ht="10.5" x14ac:dyDescent="0.25">
      <c r="A1158" s="175"/>
      <c r="B1158" s="176" t="s">
        <v>1837</v>
      </c>
      <c r="C1158" s="184"/>
      <c r="D1158" s="185"/>
      <c r="E1158" s="185">
        <v>2.64</v>
      </c>
      <c r="F1158" s="185">
        <v>2.64</v>
      </c>
      <c r="G1158" s="185"/>
      <c r="H1158" s="185">
        <v>0.1</v>
      </c>
      <c r="I1158" s="185"/>
      <c r="J1158" s="185"/>
      <c r="K1158" s="185"/>
      <c r="L1158" s="185"/>
      <c r="M1158" s="185">
        <f>'Planilha Hidráulica'!AJ37</f>
        <v>13</v>
      </c>
      <c r="N1158" s="205"/>
      <c r="O1158" s="185">
        <f t="shared" si="19"/>
        <v>9.0604800000000019</v>
      </c>
      <c r="P1158" s="179"/>
      <c r="Q1158" s="169"/>
    </row>
    <row r="1159" spans="1:17" s="170" customFormat="1" ht="10.5" x14ac:dyDescent="0.25">
      <c r="A1159" s="175"/>
      <c r="B1159" s="176"/>
      <c r="C1159" s="184"/>
      <c r="D1159" s="185"/>
      <c r="E1159" s="185"/>
      <c r="F1159" s="185"/>
      <c r="G1159" s="185"/>
      <c r="H1159" s="185"/>
      <c r="I1159" s="185"/>
      <c r="J1159" s="185"/>
      <c r="K1159" s="185"/>
      <c r="L1159" s="185"/>
      <c r="M1159" s="185"/>
      <c r="N1159" s="205"/>
      <c r="O1159" s="185"/>
      <c r="P1159" s="179"/>
      <c r="Q1159" s="169"/>
    </row>
    <row r="1160" spans="1:17" s="170" customFormat="1" ht="10.5" x14ac:dyDescent="0.25">
      <c r="A1160" s="175"/>
      <c r="B1160" s="181" t="s">
        <v>5</v>
      </c>
      <c r="C1160" s="182" t="s">
        <v>1328</v>
      </c>
      <c r="D1160" s="182"/>
      <c r="E1160" s="182"/>
      <c r="F1160" s="182"/>
      <c r="G1160" s="182"/>
      <c r="H1160" s="182"/>
      <c r="I1160" s="182"/>
      <c r="J1160" s="182"/>
      <c r="K1160" s="185"/>
      <c r="L1160" s="182"/>
      <c r="M1160" s="182"/>
      <c r="N1160" s="184"/>
      <c r="O1160" s="184">
        <f>SUM(O1154:O1158)</f>
        <v>13.669240000000002</v>
      </c>
      <c r="P1160" s="183"/>
      <c r="Q1160" s="169"/>
    </row>
    <row r="1161" spans="1:17" s="174" customFormat="1" ht="21.75" customHeight="1" x14ac:dyDescent="0.25">
      <c r="A1161" s="171" t="str">
        <f>ORÇAMENTO!A254</f>
        <v>4.1.2.7.2</v>
      </c>
      <c r="B1161" s="172" t="str">
        <f>VLOOKUP(A1161,ORÇAMENTO!A:K,4,0)</f>
        <v>PEÇA RETANGULAR PRÉ-MOLDADA, VOLUME DE CONCRETO DE ATÉ 10 LITROS, TAXA DE AÇO APROXIMADA DE 30KG/M³. AF_03/2024</v>
      </c>
      <c r="C1161" s="173" t="str">
        <f>VLOOKUP(A1161,ORÇAMENTO!A:K,5,0)</f>
        <v>M³</v>
      </c>
      <c r="D1161" s="173">
        <f>ROUND(SUM(E1166:O1166),2)</f>
        <v>1.27</v>
      </c>
      <c r="E1161" s="173" t="s">
        <v>1718</v>
      </c>
      <c r="F1161" s="173" t="s">
        <v>1719</v>
      </c>
      <c r="G1161" s="173" t="s">
        <v>1720</v>
      </c>
      <c r="H1161" s="173" t="s">
        <v>1721</v>
      </c>
      <c r="I1161" s="173" t="s">
        <v>1722</v>
      </c>
      <c r="J1161" s="173" t="s">
        <v>1723</v>
      </c>
      <c r="K1161" s="173" t="s">
        <v>1724</v>
      </c>
      <c r="L1161" s="173" t="s">
        <v>1804</v>
      </c>
      <c r="M1161" s="173" t="s">
        <v>1726</v>
      </c>
      <c r="N1161" s="173" t="s">
        <v>1809</v>
      </c>
      <c r="O1161" s="173" t="s">
        <v>1728</v>
      </c>
      <c r="P1161" s="169"/>
      <c r="Q1161" s="169"/>
    </row>
    <row r="1162" spans="1:17" s="170" customFormat="1" ht="10.5" x14ac:dyDescent="0.25">
      <c r="A1162" s="175"/>
      <c r="B1162" s="176" t="str">
        <f>B1153</f>
        <v>CONFORME DESENHO TIPO</v>
      </c>
      <c r="C1162" s="184"/>
      <c r="D1162" s="185"/>
      <c r="E1162" s="185"/>
      <c r="F1162" s="185"/>
      <c r="G1162" s="185"/>
      <c r="H1162" s="185"/>
      <c r="I1162" s="185"/>
      <c r="J1162" s="185"/>
      <c r="K1162" s="185"/>
      <c r="L1162" s="185"/>
      <c r="M1162" s="185"/>
      <c r="N1162" s="205"/>
      <c r="O1162" s="185"/>
      <c r="P1162" s="179"/>
      <c r="Q1162" s="169"/>
    </row>
    <row r="1163" spans="1:17" s="170" customFormat="1" ht="10.5" x14ac:dyDescent="0.25">
      <c r="A1163" s="175"/>
      <c r="B1163" s="176" t="str">
        <f t="shared" ref="B1163:B1164" si="20">B1154</f>
        <v>PV DN 600</v>
      </c>
      <c r="C1163" s="184"/>
      <c r="D1163" s="185"/>
      <c r="E1163" s="185">
        <f>E1154-0.2</f>
        <v>1.28</v>
      </c>
      <c r="F1163" s="185">
        <f>F1154-0.2</f>
        <v>1.28</v>
      </c>
      <c r="G1163" s="185"/>
      <c r="H1163" s="185">
        <v>0.1</v>
      </c>
      <c r="I1163" s="185"/>
      <c r="J1163" s="185"/>
      <c r="K1163" s="185"/>
      <c r="L1163" s="185"/>
      <c r="M1163" s="185">
        <f>M1154</f>
        <v>5</v>
      </c>
      <c r="N1163" s="205"/>
      <c r="O1163" s="185">
        <f t="shared" ref="O1163:O1164" si="21">M1163*E1163*F1163*H1163</f>
        <v>0.81920000000000004</v>
      </c>
      <c r="P1163" s="179"/>
      <c r="Q1163" s="169"/>
    </row>
    <row r="1164" spans="1:17" s="170" customFormat="1" ht="10.5" x14ac:dyDescent="0.25">
      <c r="A1164" s="175"/>
      <c r="B1164" s="176" t="str">
        <f t="shared" si="20"/>
        <v>PV DN 800</v>
      </c>
      <c r="C1164" s="184"/>
      <c r="D1164" s="185"/>
      <c r="E1164" s="185">
        <f>E1155-0.2*2</f>
        <v>1.5</v>
      </c>
      <c r="F1164" s="185">
        <f>F1155-0.2*2</f>
        <v>1.5</v>
      </c>
      <c r="G1164" s="185"/>
      <c r="H1164" s="185">
        <v>0.1</v>
      </c>
      <c r="I1164" s="185"/>
      <c r="J1164" s="185"/>
      <c r="K1164" s="185"/>
      <c r="L1164" s="185"/>
      <c r="M1164" s="185">
        <f t="shared" ref="M1164" si="22">M1155</f>
        <v>2</v>
      </c>
      <c r="N1164" s="205"/>
      <c r="O1164" s="185">
        <f t="shared" si="21"/>
        <v>0.45</v>
      </c>
      <c r="P1164" s="179"/>
      <c r="Q1164" s="169"/>
    </row>
    <row r="1165" spans="1:17" s="170" customFormat="1" ht="10.5" x14ac:dyDescent="0.25">
      <c r="A1165" s="175"/>
      <c r="B1165" s="176"/>
      <c r="C1165" s="184"/>
      <c r="D1165" s="185"/>
      <c r="E1165" s="185"/>
      <c r="F1165" s="185"/>
      <c r="G1165" s="185"/>
      <c r="H1165" s="185"/>
      <c r="I1165" s="185"/>
      <c r="J1165" s="185"/>
      <c r="K1165" s="185"/>
      <c r="L1165" s="185"/>
      <c r="M1165" s="185"/>
      <c r="N1165" s="205"/>
      <c r="O1165" s="185"/>
      <c r="P1165" s="179"/>
      <c r="Q1165" s="169"/>
    </row>
    <row r="1166" spans="1:17" s="170" customFormat="1" ht="10.5" x14ac:dyDescent="0.25">
      <c r="A1166" s="175"/>
      <c r="B1166" s="181" t="s">
        <v>5</v>
      </c>
      <c r="C1166" s="182" t="s">
        <v>1328</v>
      </c>
      <c r="D1166" s="182"/>
      <c r="E1166" s="182"/>
      <c r="F1166" s="182"/>
      <c r="G1166" s="182"/>
      <c r="H1166" s="182"/>
      <c r="I1166" s="182"/>
      <c r="J1166" s="182"/>
      <c r="K1166" s="185"/>
      <c r="L1166" s="182"/>
      <c r="M1166" s="182"/>
      <c r="N1166" s="184"/>
      <c r="O1166" s="184">
        <f>SUM(O1162:O1165)</f>
        <v>1.2692000000000001</v>
      </c>
      <c r="P1166" s="183"/>
      <c r="Q1166" s="169"/>
    </row>
    <row r="1167" spans="1:17" s="174" customFormat="1" ht="21.75" customHeight="1" x14ac:dyDescent="0.25">
      <c r="A1167" s="171" t="str">
        <f>ORÇAMENTO!A255</f>
        <v>4.1.2.7.3</v>
      </c>
      <c r="B1167" s="172" t="str">
        <f>VLOOKUP(A1167,ORÇAMENTO!A:K,4,0)</f>
        <v>ALVENARIA DE VEDAÇÃO DE BLOCOS VAZADOS DE CONCRETO DE 19X19X39 CM (ESPESSURA 19 CM) E ARGAMASSA DE ASSENTAMENTO COM PREPARO EM BETONEIRA. AF_12/2021</v>
      </c>
      <c r="C1167" s="173" t="str">
        <f>VLOOKUP(A1167,ORÇAMENTO!A:K,5,0)</f>
        <v>M²</v>
      </c>
      <c r="D1167" s="173">
        <f>ROUND(SUM(E1172:O1172),2)</f>
        <v>42.28</v>
      </c>
      <c r="E1167" s="173" t="s">
        <v>1718</v>
      </c>
      <c r="F1167" s="173" t="s">
        <v>1719</v>
      </c>
      <c r="G1167" s="173" t="s">
        <v>1720</v>
      </c>
      <c r="H1167" s="173" t="s">
        <v>1721</v>
      </c>
      <c r="I1167" s="173" t="s">
        <v>1722</v>
      </c>
      <c r="J1167" s="173" t="s">
        <v>1723</v>
      </c>
      <c r="K1167" s="173" t="s">
        <v>1724</v>
      </c>
      <c r="L1167" s="173" t="s">
        <v>1804</v>
      </c>
      <c r="M1167" s="173" t="s">
        <v>1726</v>
      </c>
      <c r="N1167" s="173" t="s">
        <v>1826</v>
      </c>
      <c r="O1167" s="173" t="s">
        <v>1728</v>
      </c>
      <c r="P1167" s="169"/>
      <c r="Q1167" s="169"/>
    </row>
    <row r="1168" spans="1:17" s="170" customFormat="1" ht="10.5" x14ac:dyDescent="0.25">
      <c r="A1168" s="175"/>
      <c r="B1168" s="176" t="str">
        <f>B1162</f>
        <v>CONFORME DESENHO TIPO</v>
      </c>
      <c r="C1168" s="184"/>
      <c r="D1168" s="185"/>
      <c r="E1168" s="185"/>
      <c r="F1168" s="185"/>
      <c r="G1168" s="185"/>
      <c r="H1168" s="185"/>
      <c r="I1168" s="185"/>
      <c r="J1168" s="185"/>
      <c r="K1168" s="185"/>
      <c r="L1168" s="185"/>
      <c r="M1168" s="185"/>
      <c r="N1168" s="205"/>
      <c r="O1168" s="185"/>
      <c r="P1168" s="179"/>
      <c r="Q1168" s="169"/>
    </row>
    <row r="1169" spans="1:17" s="170" customFormat="1" ht="10.5" x14ac:dyDescent="0.25">
      <c r="A1169" s="175"/>
      <c r="B1169" s="176" t="str">
        <f>B1163</f>
        <v>PV DN 600</v>
      </c>
      <c r="C1169" s="184"/>
      <c r="D1169" s="185"/>
      <c r="E1169" s="185">
        <f>E1163-0.1*2</f>
        <v>1.08</v>
      </c>
      <c r="F1169" s="185">
        <f>F1163-0.1*2</f>
        <v>1.08</v>
      </c>
      <c r="G1169" s="185">
        <v>1.4</v>
      </c>
      <c r="H1169" s="185">
        <v>0.09</v>
      </c>
      <c r="I1169" s="185">
        <f>2*(E1169+F1169-2*H1169)</f>
        <v>3.9600000000000004</v>
      </c>
      <c r="J1169" s="185"/>
      <c r="K1169" s="185"/>
      <c r="L1169" s="185"/>
      <c r="M1169" s="185">
        <f>M1163</f>
        <v>5</v>
      </c>
      <c r="N1169" s="205">
        <f>M1169*I1169*G1169</f>
        <v>27.72</v>
      </c>
      <c r="O1169" s="185"/>
      <c r="P1169" s="179"/>
      <c r="Q1169" s="169"/>
    </row>
    <row r="1170" spans="1:17" s="170" customFormat="1" ht="10.5" x14ac:dyDescent="0.25">
      <c r="A1170" s="175"/>
      <c r="B1170" s="176" t="str">
        <f>B1164</f>
        <v>PV DN 800</v>
      </c>
      <c r="C1170" s="184"/>
      <c r="D1170" s="185"/>
      <c r="E1170" s="185">
        <f>E1164</f>
        <v>1.5</v>
      </c>
      <c r="F1170" s="185">
        <f>F1164</f>
        <v>1.5</v>
      </c>
      <c r="G1170" s="185">
        <v>1.4</v>
      </c>
      <c r="H1170" s="185">
        <v>0.2</v>
      </c>
      <c r="I1170" s="185">
        <f>2*(E1170+F1170-2*H1170)</f>
        <v>5.2</v>
      </c>
      <c r="J1170" s="185"/>
      <c r="K1170" s="185"/>
      <c r="L1170" s="185"/>
      <c r="M1170" s="185">
        <f>M1164</f>
        <v>2</v>
      </c>
      <c r="N1170" s="205">
        <f>M1170*I1170*G1170</f>
        <v>14.559999999999999</v>
      </c>
      <c r="O1170" s="185"/>
      <c r="P1170" s="179"/>
      <c r="Q1170" s="169"/>
    </row>
    <row r="1171" spans="1:17" s="170" customFormat="1" ht="10.5" x14ac:dyDescent="0.25">
      <c r="A1171" s="175"/>
      <c r="B1171" s="176"/>
      <c r="C1171" s="184"/>
      <c r="D1171" s="185"/>
      <c r="E1171" s="185"/>
      <c r="F1171" s="185"/>
      <c r="G1171" s="185"/>
      <c r="H1171" s="185"/>
      <c r="I1171" s="185"/>
      <c r="J1171" s="185"/>
      <c r="K1171" s="185"/>
      <c r="L1171" s="185"/>
      <c r="M1171" s="185"/>
      <c r="N1171" s="205"/>
      <c r="O1171" s="185"/>
      <c r="P1171" s="179"/>
      <c r="Q1171" s="169"/>
    </row>
    <row r="1172" spans="1:17" s="170" customFormat="1" ht="10.5" x14ac:dyDescent="0.25">
      <c r="A1172" s="175"/>
      <c r="B1172" s="181" t="s">
        <v>5</v>
      </c>
      <c r="C1172" s="182" t="s">
        <v>1328</v>
      </c>
      <c r="D1172" s="182"/>
      <c r="E1172" s="182"/>
      <c r="F1172" s="182"/>
      <c r="G1172" s="182"/>
      <c r="H1172" s="182"/>
      <c r="I1172" s="182"/>
      <c r="J1172" s="182"/>
      <c r="K1172" s="185"/>
      <c r="L1172" s="182"/>
      <c r="M1172" s="182"/>
      <c r="N1172" s="184">
        <f>SUM(N1168:N1171)</f>
        <v>42.28</v>
      </c>
      <c r="O1172" s="182"/>
      <c r="P1172" s="183"/>
      <c r="Q1172" s="169"/>
    </row>
    <row r="1173" spans="1:17" s="174" customFormat="1" ht="42" x14ac:dyDescent="0.25">
      <c r="A1173" s="171" t="str">
        <f>ORÇAMENTO!A256</f>
        <v>4.1.2.7.4</v>
      </c>
      <c r="B1173" s="172" t="str">
        <f>VLOOKUP(A1173,ORÇAMENTO!A:K,4,0)</f>
        <v>CONCRETO FCK = 15MPA, TRAÇO 1:3,4:3,5 (EM MASSA SECA DE CIMENTO/ AREIA MÉDIA/ BRITA 1) - PREPARO MECÂNICO COM BETONEIRA 600 L. AF_05/2021</v>
      </c>
      <c r="C1173" s="173" t="str">
        <f>VLOOKUP(A1173,ORÇAMENTO!A:K,5,0)</f>
        <v>M³</v>
      </c>
      <c r="D1173" s="173">
        <f>ROUND(SUM(E1187:O1187),2)</f>
        <v>30.38</v>
      </c>
      <c r="E1173" s="173" t="s">
        <v>1718</v>
      </c>
      <c r="F1173" s="173" t="s">
        <v>1719</v>
      </c>
      <c r="G1173" s="173" t="s">
        <v>1720</v>
      </c>
      <c r="H1173" s="173" t="s">
        <v>1721</v>
      </c>
      <c r="I1173" s="173" t="s">
        <v>1722</v>
      </c>
      <c r="J1173" s="173" t="s">
        <v>1723</v>
      </c>
      <c r="K1173" s="173" t="s">
        <v>1724</v>
      </c>
      <c r="L1173" s="173" t="s">
        <v>1804</v>
      </c>
      <c r="M1173" s="173" t="s">
        <v>1726</v>
      </c>
      <c r="N1173" s="173" t="s">
        <v>1826</v>
      </c>
      <c r="O1173" s="173" t="s">
        <v>1728</v>
      </c>
      <c r="P1173" s="169"/>
      <c r="Q1173" s="169"/>
    </row>
    <row r="1174" spans="1:17" s="170" customFormat="1" ht="10.5" x14ac:dyDescent="0.25">
      <c r="A1174" s="175"/>
      <c r="B1174" s="176" t="str">
        <f>B1189</f>
        <v>CONFORME DESENHO TIPO</v>
      </c>
      <c r="C1174" s="177"/>
      <c r="D1174" s="178"/>
      <c r="E1174" s="178"/>
      <c r="F1174" s="178"/>
      <c r="G1174" s="178"/>
      <c r="H1174" s="178"/>
      <c r="I1174" s="178"/>
      <c r="J1174" s="178"/>
      <c r="K1174" s="178"/>
      <c r="L1174" s="178"/>
      <c r="M1174" s="178"/>
      <c r="N1174" s="200"/>
      <c r="O1174" s="178"/>
      <c r="P1174" s="179"/>
      <c r="Q1174" s="169"/>
    </row>
    <row r="1175" spans="1:17" s="174" customFormat="1" ht="10.5" x14ac:dyDescent="0.25">
      <c r="A1175" s="201"/>
      <c r="B1175" s="181" t="str">
        <f>B1156</f>
        <v>PV DN 1000</v>
      </c>
      <c r="C1175" s="177"/>
      <c r="D1175" s="177"/>
      <c r="E1175" s="177"/>
      <c r="F1175" s="177"/>
      <c r="G1175" s="177"/>
      <c r="H1175" s="177"/>
      <c r="I1175" s="177"/>
      <c r="J1175" s="177"/>
      <c r="K1175" s="177"/>
      <c r="L1175" s="177"/>
      <c r="M1175" s="177"/>
      <c r="N1175" s="202"/>
      <c r="O1175" s="177"/>
      <c r="P1175" s="179"/>
      <c r="Q1175" s="169"/>
    </row>
    <row r="1176" spans="1:17" s="170" customFormat="1" ht="10.5" x14ac:dyDescent="0.25">
      <c r="A1176" s="175"/>
      <c r="B1176" s="176" t="s">
        <v>1838</v>
      </c>
      <c r="C1176" s="177"/>
      <c r="D1176" s="178"/>
      <c r="E1176" s="178">
        <f>E1195</f>
        <v>1.74</v>
      </c>
      <c r="F1176" s="178">
        <f>F1195</f>
        <v>1.74</v>
      </c>
      <c r="G1176" s="178"/>
      <c r="H1176" s="178">
        <v>0.05</v>
      </c>
      <c r="I1176" s="178"/>
      <c r="J1176" s="178"/>
      <c r="K1176" s="178"/>
      <c r="L1176" s="178"/>
      <c r="M1176" s="178">
        <f>M1156</f>
        <v>5</v>
      </c>
      <c r="N1176" s="200"/>
      <c r="O1176" s="178">
        <f>M1176*E1176*F1176*H1176</f>
        <v>0.75689999999999991</v>
      </c>
      <c r="P1176" s="179"/>
      <c r="Q1176" s="169"/>
    </row>
    <row r="1177" spans="1:17" s="170" customFormat="1" ht="10.5" x14ac:dyDescent="0.25">
      <c r="A1177" s="175"/>
      <c r="B1177" s="176" t="s">
        <v>1839</v>
      </c>
      <c r="C1177" s="177"/>
      <c r="D1177" s="178"/>
      <c r="E1177" s="178">
        <f>F1196</f>
        <v>1.5</v>
      </c>
      <c r="F1177" s="178">
        <f>F1196</f>
        <v>1.5</v>
      </c>
      <c r="G1177" s="178"/>
      <c r="H1177" s="178">
        <v>0.23</v>
      </c>
      <c r="I1177" s="178"/>
      <c r="J1177" s="178"/>
      <c r="K1177" s="178"/>
      <c r="L1177" s="178"/>
      <c r="M1177" s="178">
        <f>M1176</f>
        <v>5</v>
      </c>
      <c r="N1177" s="200"/>
      <c r="O1177" s="178">
        <f>M1177*E1177*F1177*H1177</f>
        <v>2.5874999999999999</v>
      </c>
      <c r="P1177" s="179"/>
      <c r="Q1177" s="169"/>
    </row>
    <row r="1178" spans="1:17" s="170" customFormat="1" ht="10.5" x14ac:dyDescent="0.25">
      <c r="A1178" s="175"/>
      <c r="B1178" s="176"/>
      <c r="C1178" s="177"/>
      <c r="D1178" s="178"/>
      <c r="E1178" s="178"/>
      <c r="F1178" s="178"/>
      <c r="G1178" s="178"/>
      <c r="H1178" s="178"/>
      <c r="I1178" s="178"/>
      <c r="J1178" s="178"/>
      <c r="K1178" s="178"/>
      <c r="L1178" s="178"/>
      <c r="M1178" s="178"/>
      <c r="N1178" s="200"/>
      <c r="O1178" s="178"/>
      <c r="P1178" s="179"/>
      <c r="Q1178" s="169"/>
    </row>
    <row r="1179" spans="1:17" s="174" customFormat="1" ht="10.5" x14ac:dyDescent="0.25">
      <c r="A1179" s="201"/>
      <c r="B1179" s="181" t="str">
        <f>B1157</f>
        <v>PV DN 1200</v>
      </c>
      <c r="C1179" s="177"/>
      <c r="D1179" s="177"/>
      <c r="E1179" s="177"/>
      <c r="F1179" s="177"/>
      <c r="G1179" s="177"/>
      <c r="H1179" s="177"/>
      <c r="I1179" s="177"/>
      <c r="J1179" s="177"/>
      <c r="K1179" s="177"/>
      <c r="L1179" s="177"/>
      <c r="M1179" s="177"/>
      <c r="N1179" s="202"/>
      <c r="O1179" s="177"/>
      <c r="P1179" s="179"/>
      <c r="Q1179" s="169"/>
    </row>
    <row r="1180" spans="1:17" s="170" customFormat="1" ht="10.5" x14ac:dyDescent="0.25">
      <c r="A1180" s="175"/>
      <c r="B1180" s="176" t="s">
        <v>1838</v>
      </c>
      <c r="C1180" s="177"/>
      <c r="D1180" s="178"/>
      <c r="E1180" s="178">
        <f>E1199</f>
        <v>2.04</v>
      </c>
      <c r="F1180" s="178">
        <f>F1199</f>
        <v>2.04</v>
      </c>
      <c r="G1180" s="178"/>
      <c r="H1180" s="178">
        <v>0.05</v>
      </c>
      <c r="I1180" s="178"/>
      <c r="J1180" s="178"/>
      <c r="K1180" s="178"/>
      <c r="L1180" s="178"/>
      <c r="M1180" s="178">
        <f>M1157</f>
        <v>1</v>
      </c>
      <c r="N1180" s="200"/>
      <c r="O1180" s="178">
        <f>M1180*E1180*F1180*H1180</f>
        <v>0.20808000000000001</v>
      </c>
      <c r="P1180" s="179"/>
      <c r="Q1180" s="169"/>
    </row>
    <row r="1181" spans="1:17" s="170" customFormat="1" ht="10.5" x14ac:dyDescent="0.25">
      <c r="A1181" s="175"/>
      <c r="B1181" s="176" t="s">
        <v>1839</v>
      </c>
      <c r="C1181" s="177"/>
      <c r="D1181" s="178"/>
      <c r="E1181" s="178">
        <f>F1200</f>
        <v>1.8</v>
      </c>
      <c r="F1181" s="178">
        <f>F1200</f>
        <v>1.8</v>
      </c>
      <c r="G1181" s="178"/>
      <c r="H1181" s="178">
        <v>0.28999999999999998</v>
      </c>
      <c r="I1181" s="178"/>
      <c r="J1181" s="178"/>
      <c r="K1181" s="178"/>
      <c r="L1181" s="178"/>
      <c r="M1181" s="178">
        <f>M1180</f>
        <v>1</v>
      </c>
      <c r="N1181" s="200"/>
      <c r="O1181" s="178">
        <f>M1181*E1181*F1181*H1181</f>
        <v>0.93959999999999999</v>
      </c>
      <c r="P1181" s="179"/>
      <c r="Q1181" s="169"/>
    </row>
    <row r="1182" spans="1:17" s="170" customFormat="1" ht="10.5" x14ac:dyDescent="0.25">
      <c r="A1182" s="175"/>
      <c r="B1182" s="176"/>
      <c r="C1182" s="177"/>
      <c r="D1182" s="178"/>
      <c r="E1182" s="178"/>
      <c r="F1182" s="178"/>
      <c r="G1182" s="178"/>
      <c r="H1182" s="178"/>
      <c r="I1182" s="178"/>
      <c r="J1182" s="178"/>
      <c r="K1182" s="178"/>
      <c r="L1182" s="178"/>
      <c r="M1182" s="178"/>
      <c r="N1182" s="200"/>
      <c r="O1182" s="178"/>
      <c r="P1182" s="179"/>
      <c r="Q1182" s="169"/>
    </row>
    <row r="1183" spans="1:17" s="170" customFormat="1" ht="10.5" x14ac:dyDescent="0.25">
      <c r="A1183" s="175"/>
      <c r="B1183" s="181" t="str">
        <f>B1158</f>
        <v>PV DN 1500</v>
      </c>
      <c r="C1183" s="177"/>
      <c r="D1183" s="178"/>
      <c r="E1183" s="178"/>
      <c r="F1183" s="178"/>
      <c r="G1183" s="178"/>
      <c r="H1183" s="178"/>
      <c r="I1183" s="178"/>
      <c r="J1183" s="178"/>
      <c r="K1183" s="178"/>
      <c r="L1183" s="178"/>
      <c r="M1183" s="178"/>
      <c r="N1183" s="200"/>
      <c r="O1183" s="178"/>
      <c r="P1183" s="179"/>
      <c r="Q1183" s="169"/>
    </row>
    <row r="1184" spans="1:17" s="170" customFormat="1" ht="10.5" x14ac:dyDescent="0.25">
      <c r="A1184" s="175"/>
      <c r="B1184" s="176" t="s">
        <v>1838</v>
      </c>
      <c r="C1184" s="177"/>
      <c r="D1184" s="178"/>
      <c r="E1184" s="178">
        <f>E1203</f>
        <v>2.44</v>
      </c>
      <c r="F1184" s="178">
        <f>F1203</f>
        <v>2.44</v>
      </c>
      <c r="G1184" s="178"/>
      <c r="H1184" s="178">
        <v>0.05</v>
      </c>
      <c r="I1184" s="178"/>
      <c r="J1184" s="178"/>
      <c r="K1184" s="178"/>
      <c r="L1184" s="178"/>
      <c r="M1184" s="178">
        <f>M1203</f>
        <v>13</v>
      </c>
      <c r="N1184" s="200"/>
      <c r="O1184" s="178">
        <f>M1184*E1184*F1184*H1184</f>
        <v>3.8698399999999999</v>
      </c>
      <c r="P1184" s="179"/>
      <c r="Q1184" s="169"/>
    </row>
    <row r="1185" spans="1:17" s="170" customFormat="1" ht="10.5" x14ac:dyDescent="0.25">
      <c r="A1185" s="175"/>
      <c r="B1185" s="176" t="s">
        <v>1839</v>
      </c>
      <c r="C1185" s="177"/>
      <c r="D1185" s="178"/>
      <c r="E1185" s="178">
        <f>F1204</f>
        <v>2.2000000000000002</v>
      </c>
      <c r="F1185" s="178">
        <f>F1204</f>
        <v>2.2000000000000002</v>
      </c>
      <c r="G1185" s="178"/>
      <c r="H1185" s="178">
        <v>0.35</v>
      </c>
      <c r="I1185" s="178"/>
      <c r="J1185" s="178"/>
      <c r="K1185" s="178"/>
      <c r="L1185" s="178"/>
      <c r="M1185" s="178">
        <f>M1204</f>
        <v>13</v>
      </c>
      <c r="N1185" s="200"/>
      <c r="O1185" s="178">
        <f>M1185*E1185*F1185*H1185</f>
        <v>22.022000000000002</v>
      </c>
      <c r="P1185" s="179"/>
      <c r="Q1185" s="169"/>
    </row>
    <row r="1186" spans="1:17" s="170" customFormat="1" ht="10.5" x14ac:dyDescent="0.25">
      <c r="A1186" s="175"/>
      <c r="B1186" s="176"/>
      <c r="C1186" s="177"/>
      <c r="D1186" s="178"/>
      <c r="E1186" s="178"/>
      <c r="F1186" s="178"/>
      <c r="G1186" s="178"/>
      <c r="H1186" s="178"/>
      <c r="I1186" s="178"/>
      <c r="J1186" s="178"/>
      <c r="K1186" s="178"/>
      <c r="L1186" s="178"/>
      <c r="M1186" s="178"/>
      <c r="N1186" s="200"/>
      <c r="O1186" s="178"/>
      <c r="P1186" s="179"/>
      <c r="Q1186" s="169"/>
    </row>
    <row r="1187" spans="1:17" s="170" customFormat="1" ht="10.5" x14ac:dyDescent="0.25">
      <c r="A1187" s="175"/>
      <c r="B1187" s="181" t="s">
        <v>5</v>
      </c>
      <c r="C1187" s="182" t="s">
        <v>1328</v>
      </c>
      <c r="D1187" s="182"/>
      <c r="E1187" s="182"/>
      <c r="F1187" s="182"/>
      <c r="G1187" s="182"/>
      <c r="H1187" s="182"/>
      <c r="I1187" s="182"/>
      <c r="J1187" s="182"/>
      <c r="K1187" s="178"/>
      <c r="L1187" s="182"/>
      <c r="M1187" s="182"/>
      <c r="N1187" s="177"/>
      <c r="O1187" s="177">
        <f>SUM(O1174:O1186)</f>
        <v>30.383920000000003</v>
      </c>
      <c r="P1187" s="183"/>
      <c r="Q1187" s="169"/>
    </row>
    <row r="1188" spans="1:17" s="174" customFormat="1" ht="21.75" customHeight="1" x14ac:dyDescent="0.25">
      <c r="A1188" s="171" t="str">
        <f>ORÇAMENTO!A257</f>
        <v>4.1.2.7.5</v>
      </c>
      <c r="B1188" s="172" t="str">
        <f>VLOOKUP(A1188,ORÇAMENTO!A:K,4,0)</f>
        <v>CONCRETO FCK = 25MPA, TRAÇO 1:2,3:2,7 (EM MASSA SECA DE CIMENTO/ AREIA MÉDIA/ BRITA 1) - PREPARO MECÂNICO COM BETONEIRA 600 L. AF_05/2021</v>
      </c>
      <c r="C1188" s="173" t="str">
        <f>VLOOKUP(A1188,ORÇAMENTO!A:K,5,0)</f>
        <v>M³</v>
      </c>
      <c r="D1188" s="173">
        <f>ROUND(SUM(E1207:O1207),2)</f>
        <v>66.2</v>
      </c>
      <c r="E1188" s="173" t="s">
        <v>1718</v>
      </c>
      <c r="F1188" s="173" t="s">
        <v>1719</v>
      </c>
      <c r="G1188" s="173" t="s">
        <v>1720</v>
      </c>
      <c r="H1188" s="173" t="s">
        <v>1721</v>
      </c>
      <c r="I1188" s="173" t="s">
        <v>1722</v>
      </c>
      <c r="J1188" s="173" t="s">
        <v>1723</v>
      </c>
      <c r="K1188" s="173" t="s">
        <v>1724</v>
      </c>
      <c r="L1188" s="173" t="s">
        <v>1804</v>
      </c>
      <c r="M1188" s="173" t="s">
        <v>1726</v>
      </c>
      <c r="N1188" s="173" t="s">
        <v>1809</v>
      </c>
      <c r="O1188" s="173" t="s">
        <v>1728</v>
      </c>
      <c r="P1188" s="169"/>
      <c r="Q1188" s="169"/>
    </row>
    <row r="1189" spans="1:17" s="170" customFormat="1" ht="10.5" x14ac:dyDescent="0.25">
      <c r="A1189" s="175"/>
      <c r="B1189" s="176" t="str">
        <f>B1168</f>
        <v>CONFORME DESENHO TIPO</v>
      </c>
      <c r="C1189" s="184"/>
      <c r="D1189" s="185"/>
      <c r="E1189" s="185"/>
      <c r="F1189" s="185"/>
      <c r="G1189" s="185"/>
      <c r="H1189" s="185"/>
      <c r="I1189" s="185"/>
      <c r="J1189" s="185"/>
      <c r="K1189" s="185"/>
      <c r="L1189" s="185"/>
      <c r="M1189" s="185"/>
      <c r="N1189" s="205"/>
      <c r="O1189" s="185"/>
      <c r="P1189" s="179"/>
      <c r="Q1189" s="169"/>
    </row>
    <row r="1190" spans="1:17" s="174" customFormat="1" ht="10.5" x14ac:dyDescent="0.25">
      <c r="A1190" s="201"/>
      <c r="B1190" s="181" t="str">
        <f>B1163</f>
        <v>PV DN 600</v>
      </c>
      <c r="C1190" s="184"/>
      <c r="D1190" s="184"/>
      <c r="E1190" s="184">
        <f>E1169</f>
        <v>1.08</v>
      </c>
      <c r="F1190" s="184">
        <f>F1169</f>
        <v>1.08</v>
      </c>
      <c r="G1190" s="184"/>
      <c r="H1190" s="184"/>
      <c r="I1190" s="184"/>
      <c r="J1190" s="184"/>
      <c r="K1190" s="184"/>
      <c r="L1190" s="184"/>
      <c r="M1190" s="184"/>
      <c r="N1190" s="206"/>
      <c r="O1190" s="184"/>
      <c r="P1190" s="179"/>
      <c r="Q1190" s="169"/>
    </row>
    <row r="1191" spans="1:17" s="170" customFormat="1" ht="10.5" x14ac:dyDescent="0.25">
      <c r="A1191" s="175"/>
      <c r="B1191" s="176" t="s">
        <v>1840</v>
      </c>
      <c r="C1191" s="184"/>
      <c r="D1191" s="185"/>
      <c r="E1191" s="185">
        <f>E1190</f>
        <v>1.08</v>
      </c>
      <c r="F1191" s="185">
        <f>F1190</f>
        <v>1.08</v>
      </c>
      <c r="G1191" s="185"/>
      <c r="H1191" s="185">
        <v>0.1</v>
      </c>
      <c r="I1191" s="185"/>
      <c r="J1191" s="185"/>
      <c r="K1191" s="185"/>
      <c r="L1191" s="185"/>
      <c r="M1191" s="185">
        <f>M1163</f>
        <v>5</v>
      </c>
      <c r="N1191" s="205"/>
      <c r="O1191" s="185">
        <f>E1191*F1191*H1191*M1191</f>
        <v>0.58320000000000016</v>
      </c>
      <c r="P1191" s="179"/>
      <c r="Q1191" s="169"/>
    </row>
    <row r="1192" spans="1:17" s="174" customFormat="1" ht="10.5" x14ac:dyDescent="0.25">
      <c r="A1192" s="201"/>
      <c r="B1192" s="181" t="str">
        <f>B1164</f>
        <v>PV DN 800</v>
      </c>
      <c r="C1192" s="184"/>
      <c r="D1192" s="184"/>
      <c r="E1192" s="184">
        <f>E1170</f>
        <v>1.5</v>
      </c>
      <c r="F1192" s="184">
        <f>F1170</f>
        <v>1.5</v>
      </c>
      <c r="G1192" s="184"/>
      <c r="H1192" s="184"/>
      <c r="I1192" s="184"/>
      <c r="J1192" s="184"/>
      <c r="K1192" s="184"/>
      <c r="L1192" s="184"/>
      <c r="M1192" s="184"/>
      <c r="N1192" s="206"/>
      <c r="O1192" s="184"/>
      <c r="P1192" s="179"/>
      <c r="Q1192" s="169"/>
    </row>
    <row r="1193" spans="1:17" s="170" customFormat="1" ht="10.5" x14ac:dyDescent="0.25">
      <c r="A1193" s="175"/>
      <c r="B1193" s="176" t="s">
        <v>1840</v>
      </c>
      <c r="C1193" s="184"/>
      <c r="D1193" s="185"/>
      <c r="E1193" s="185">
        <f>E1192</f>
        <v>1.5</v>
      </c>
      <c r="F1193" s="185">
        <f>F1192</f>
        <v>1.5</v>
      </c>
      <c r="G1193" s="185"/>
      <c r="H1193" s="185">
        <v>0.1</v>
      </c>
      <c r="I1193" s="185"/>
      <c r="J1193" s="185"/>
      <c r="K1193" s="185"/>
      <c r="L1193" s="185"/>
      <c r="M1193" s="185">
        <f>M1164</f>
        <v>2</v>
      </c>
      <c r="N1193" s="205"/>
      <c r="O1193" s="185">
        <f>E1193*F1193*H1193*M1193</f>
        <v>0.45</v>
      </c>
      <c r="P1193" s="179"/>
      <c r="Q1193" s="169"/>
    </row>
    <row r="1194" spans="1:17" s="174" customFormat="1" ht="10.5" x14ac:dyDescent="0.25">
      <c r="A1194" s="201"/>
      <c r="B1194" s="181" t="str">
        <f>B1175</f>
        <v>PV DN 1000</v>
      </c>
      <c r="C1194" s="184"/>
      <c r="D1194" s="184"/>
      <c r="E1194" s="184">
        <v>1.74</v>
      </c>
      <c r="F1194" s="184">
        <v>1.74</v>
      </c>
      <c r="G1194" s="184"/>
      <c r="H1194" s="184"/>
      <c r="I1194" s="184"/>
      <c r="J1194" s="184"/>
      <c r="K1194" s="184"/>
      <c r="L1194" s="184"/>
      <c r="M1194" s="184"/>
      <c r="N1194" s="206"/>
      <c r="O1194" s="184"/>
      <c r="P1194" s="179"/>
      <c r="Q1194" s="169"/>
    </row>
    <row r="1195" spans="1:17" s="170" customFormat="1" ht="10.5" x14ac:dyDescent="0.25">
      <c r="A1195" s="175"/>
      <c r="B1195" s="176" t="s">
        <v>1840</v>
      </c>
      <c r="C1195" s="184"/>
      <c r="D1195" s="185"/>
      <c r="E1195" s="185">
        <f>E1194</f>
        <v>1.74</v>
      </c>
      <c r="F1195" s="185">
        <f>F1194</f>
        <v>1.74</v>
      </c>
      <c r="G1195" s="185"/>
      <c r="H1195" s="185">
        <v>0.1</v>
      </c>
      <c r="I1195" s="185"/>
      <c r="J1195" s="185"/>
      <c r="K1195" s="185"/>
      <c r="L1195" s="185"/>
      <c r="M1195" s="185">
        <f>M1156</f>
        <v>5</v>
      </c>
      <c r="N1195" s="205"/>
      <c r="O1195" s="185">
        <f>E1195*F1195*H1195*M1195</f>
        <v>1.5138000000000003</v>
      </c>
      <c r="P1195" s="179"/>
      <c r="Q1195" s="169"/>
    </row>
    <row r="1196" spans="1:17" s="170" customFormat="1" ht="10.5" x14ac:dyDescent="0.25">
      <c r="A1196" s="175"/>
      <c r="B1196" s="176" t="s">
        <v>1841</v>
      </c>
      <c r="C1196" s="177"/>
      <c r="D1196" s="178"/>
      <c r="E1196" s="178">
        <f>E1195</f>
        <v>1.74</v>
      </c>
      <c r="F1196" s="178">
        <f>F1195-2*H1196</f>
        <v>1.5</v>
      </c>
      <c r="G1196" s="178">
        <v>2</v>
      </c>
      <c r="H1196" s="178">
        <v>0.12</v>
      </c>
      <c r="I1196" s="178">
        <f>2*(E1196+F1196)</f>
        <v>6.48</v>
      </c>
      <c r="J1196" s="178"/>
      <c r="K1196" s="178"/>
      <c r="L1196" s="178"/>
      <c r="M1196" s="178">
        <f>M1195</f>
        <v>5</v>
      </c>
      <c r="N1196" s="200"/>
      <c r="O1196" s="178">
        <f>M1196*I1196*G1196*H1196</f>
        <v>7.7760000000000007</v>
      </c>
      <c r="P1196" s="179"/>
      <c r="Q1196" s="169"/>
    </row>
    <row r="1197" spans="1:17" s="170" customFormat="1" ht="10.5" x14ac:dyDescent="0.25">
      <c r="A1197" s="175"/>
      <c r="B1197" s="176" t="s">
        <v>1823</v>
      </c>
      <c r="C1197" s="177"/>
      <c r="D1197" s="178"/>
      <c r="E1197" s="178">
        <f>F1196</f>
        <v>1.5</v>
      </c>
      <c r="F1197" s="178">
        <f>F1196</f>
        <v>1.5</v>
      </c>
      <c r="G1197" s="178"/>
      <c r="H1197" s="178">
        <v>0.35</v>
      </c>
      <c r="I1197" s="178"/>
      <c r="J1197" s="178"/>
      <c r="K1197" s="178"/>
      <c r="L1197" s="178"/>
      <c r="M1197" s="178">
        <f>M1196</f>
        <v>5</v>
      </c>
      <c r="N1197" s="200"/>
      <c r="O1197" s="178">
        <f>M1197*H1197*F1197*E1197</f>
        <v>3.9375</v>
      </c>
      <c r="P1197" s="179"/>
      <c r="Q1197" s="169"/>
    </row>
    <row r="1198" spans="1:17" s="174" customFormat="1" ht="10.5" x14ac:dyDescent="0.25">
      <c r="A1198" s="201"/>
      <c r="B1198" s="181" t="str">
        <f>B1179</f>
        <v>PV DN 1200</v>
      </c>
      <c r="C1198" s="184"/>
      <c r="D1198" s="184"/>
      <c r="E1198" s="184">
        <v>2.04</v>
      </c>
      <c r="F1198" s="184">
        <v>2.04</v>
      </c>
      <c r="G1198" s="184"/>
      <c r="H1198" s="184"/>
      <c r="I1198" s="184"/>
      <c r="J1198" s="184"/>
      <c r="K1198" s="184"/>
      <c r="L1198" s="184"/>
      <c r="M1198" s="184"/>
      <c r="N1198" s="206"/>
      <c r="O1198" s="184"/>
      <c r="P1198" s="179"/>
      <c r="Q1198" s="169"/>
    </row>
    <row r="1199" spans="1:17" s="170" customFormat="1" ht="10.5" x14ac:dyDescent="0.25">
      <c r="A1199" s="175"/>
      <c r="B1199" s="176" t="s">
        <v>1840</v>
      </c>
      <c r="C1199" s="184"/>
      <c r="D1199" s="185"/>
      <c r="E1199" s="185">
        <f>E1198</f>
        <v>2.04</v>
      </c>
      <c r="F1199" s="185">
        <f>F1198</f>
        <v>2.04</v>
      </c>
      <c r="G1199" s="185"/>
      <c r="H1199" s="185">
        <v>0.1</v>
      </c>
      <c r="I1199" s="185"/>
      <c r="J1199" s="185"/>
      <c r="K1199" s="185"/>
      <c r="L1199" s="185"/>
      <c r="M1199" s="185">
        <f>M1180</f>
        <v>1</v>
      </c>
      <c r="N1199" s="205"/>
      <c r="O1199" s="185">
        <f>E1199*F1199*H1199*M1199</f>
        <v>0.41616000000000003</v>
      </c>
      <c r="P1199" s="179"/>
      <c r="Q1199" s="169"/>
    </row>
    <row r="1200" spans="1:17" s="170" customFormat="1" ht="10.5" x14ac:dyDescent="0.25">
      <c r="A1200" s="175"/>
      <c r="B1200" s="176" t="s">
        <v>1841</v>
      </c>
      <c r="C1200" s="177"/>
      <c r="D1200" s="178"/>
      <c r="E1200" s="178">
        <f>E1199</f>
        <v>2.04</v>
      </c>
      <c r="F1200" s="178">
        <f>F1199-2*H1200</f>
        <v>1.8</v>
      </c>
      <c r="G1200" s="178">
        <v>2</v>
      </c>
      <c r="H1200" s="178">
        <v>0.12</v>
      </c>
      <c r="I1200" s="178">
        <f>2*(E1200+F1200)</f>
        <v>7.68</v>
      </c>
      <c r="J1200" s="178"/>
      <c r="K1200" s="178"/>
      <c r="L1200" s="178"/>
      <c r="M1200" s="178">
        <f>M1199</f>
        <v>1</v>
      </c>
      <c r="N1200" s="200"/>
      <c r="O1200" s="178">
        <f>M1200*I1200*G1200*H1200</f>
        <v>1.8431999999999999</v>
      </c>
      <c r="P1200" s="179"/>
      <c r="Q1200" s="169"/>
    </row>
    <row r="1201" spans="1:17" s="170" customFormat="1" ht="10.5" x14ac:dyDescent="0.25">
      <c r="A1201" s="175"/>
      <c r="B1201" s="176" t="s">
        <v>1823</v>
      </c>
      <c r="C1201" s="177"/>
      <c r="D1201" s="178"/>
      <c r="E1201" s="178">
        <f>F1200</f>
        <v>1.8</v>
      </c>
      <c r="F1201" s="178">
        <f>F1200</f>
        <v>1.8</v>
      </c>
      <c r="G1201" s="178"/>
      <c r="H1201" s="178">
        <v>0.28000000000000003</v>
      </c>
      <c r="I1201" s="178"/>
      <c r="J1201" s="178"/>
      <c r="K1201" s="178"/>
      <c r="L1201" s="178"/>
      <c r="M1201" s="178">
        <f>M1200</f>
        <v>1</v>
      </c>
      <c r="N1201" s="200"/>
      <c r="O1201" s="178">
        <f>M1201*H1201*F1201*E1201</f>
        <v>0.90720000000000023</v>
      </c>
      <c r="P1201" s="179"/>
      <c r="Q1201" s="169"/>
    </row>
    <row r="1202" spans="1:17" s="174" customFormat="1" ht="10.5" x14ac:dyDescent="0.25">
      <c r="A1202" s="201"/>
      <c r="B1202" s="181" t="str">
        <f>B1183</f>
        <v>PV DN 1500</v>
      </c>
      <c r="C1202" s="184"/>
      <c r="D1202" s="184"/>
      <c r="E1202" s="184">
        <v>2.44</v>
      </c>
      <c r="F1202" s="184">
        <v>2.44</v>
      </c>
      <c r="G1202" s="184"/>
      <c r="H1202" s="184"/>
      <c r="I1202" s="184"/>
      <c r="J1202" s="184"/>
      <c r="K1202" s="184"/>
      <c r="L1202" s="184"/>
      <c r="M1202" s="184"/>
      <c r="N1202" s="206"/>
      <c r="O1202" s="184"/>
      <c r="P1202" s="179"/>
      <c r="Q1202" s="169"/>
    </row>
    <row r="1203" spans="1:17" s="170" customFormat="1" ht="10.5" x14ac:dyDescent="0.25">
      <c r="A1203" s="175"/>
      <c r="B1203" s="176" t="s">
        <v>1840</v>
      </c>
      <c r="C1203" s="184"/>
      <c r="D1203" s="185"/>
      <c r="E1203" s="185">
        <f>E1202</f>
        <v>2.44</v>
      </c>
      <c r="F1203" s="185">
        <f>F1202</f>
        <v>2.44</v>
      </c>
      <c r="G1203" s="185"/>
      <c r="H1203" s="185">
        <v>0.1</v>
      </c>
      <c r="I1203" s="185"/>
      <c r="J1203" s="185"/>
      <c r="K1203" s="185"/>
      <c r="L1203" s="185"/>
      <c r="M1203" s="185">
        <f>M1158</f>
        <v>13</v>
      </c>
      <c r="N1203" s="205"/>
      <c r="O1203" s="185">
        <f>E1203*F1203*H1203*M1203</f>
        <v>7.7396799999999999</v>
      </c>
      <c r="P1203" s="179"/>
      <c r="Q1203" s="169"/>
    </row>
    <row r="1204" spans="1:17" s="170" customFormat="1" ht="10.5" x14ac:dyDescent="0.25">
      <c r="A1204" s="175"/>
      <c r="B1204" s="176" t="s">
        <v>1841</v>
      </c>
      <c r="C1204" s="184"/>
      <c r="D1204" s="185"/>
      <c r="E1204" s="185">
        <f>E1203</f>
        <v>2.44</v>
      </c>
      <c r="F1204" s="185">
        <f>F1203-2*H1204</f>
        <v>2.2000000000000002</v>
      </c>
      <c r="G1204" s="185">
        <v>2.4</v>
      </c>
      <c r="H1204" s="185">
        <v>0.12</v>
      </c>
      <c r="I1204" s="185">
        <f>2*(E1204+F1204)</f>
        <v>9.2800000000000011</v>
      </c>
      <c r="J1204" s="185"/>
      <c r="K1204" s="185"/>
      <c r="L1204" s="185"/>
      <c r="M1204" s="185">
        <f>M1203</f>
        <v>13</v>
      </c>
      <c r="N1204" s="205"/>
      <c r="O1204" s="185">
        <f>M1204*I1204*G1204*H1204</f>
        <v>34.744320000000002</v>
      </c>
      <c r="P1204" s="179"/>
      <c r="Q1204" s="169"/>
    </row>
    <row r="1205" spans="1:17" s="170" customFormat="1" ht="10.5" x14ac:dyDescent="0.25">
      <c r="A1205" s="175"/>
      <c r="B1205" s="176" t="s">
        <v>1823</v>
      </c>
      <c r="C1205" s="184"/>
      <c r="D1205" s="185"/>
      <c r="E1205" s="185">
        <f>F1204</f>
        <v>2.2000000000000002</v>
      </c>
      <c r="F1205" s="185">
        <f>F1204</f>
        <v>2.2000000000000002</v>
      </c>
      <c r="G1205" s="185"/>
      <c r="H1205" s="185">
        <v>0.1</v>
      </c>
      <c r="I1205" s="185"/>
      <c r="J1205" s="185"/>
      <c r="K1205" s="185"/>
      <c r="L1205" s="185"/>
      <c r="M1205" s="185">
        <f>M1204</f>
        <v>13</v>
      </c>
      <c r="N1205" s="205"/>
      <c r="O1205" s="185">
        <f>M1205*H1205*F1205*E1205</f>
        <v>6.2920000000000016</v>
      </c>
      <c r="P1205" s="179"/>
      <c r="Q1205" s="169"/>
    </row>
    <row r="1206" spans="1:17" s="170" customFormat="1" ht="10.5" x14ac:dyDescent="0.25">
      <c r="A1206" s="175"/>
      <c r="B1206" s="176"/>
      <c r="C1206" s="184"/>
      <c r="D1206" s="185"/>
      <c r="E1206" s="185"/>
      <c r="F1206" s="185"/>
      <c r="G1206" s="185"/>
      <c r="H1206" s="185"/>
      <c r="I1206" s="185"/>
      <c r="J1206" s="185"/>
      <c r="K1206" s="185"/>
      <c r="L1206" s="185"/>
      <c r="M1206" s="185"/>
      <c r="N1206" s="205"/>
      <c r="O1206" s="185"/>
      <c r="P1206" s="179"/>
      <c r="Q1206" s="169"/>
    </row>
    <row r="1207" spans="1:17" s="170" customFormat="1" ht="10.5" x14ac:dyDescent="0.25">
      <c r="A1207" s="175"/>
      <c r="B1207" s="181" t="s">
        <v>5</v>
      </c>
      <c r="C1207" s="182" t="s">
        <v>1328</v>
      </c>
      <c r="D1207" s="182"/>
      <c r="E1207" s="182"/>
      <c r="F1207" s="182"/>
      <c r="G1207" s="182"/>
      <c r="H1207" s="182"/>
      <c r="I1207" s="182"/>
      <c r="J1207" s="182"/>
      <c r="K1207" s="185"/>
      <c r="L1207" s="182"/>
      <c r="M1207" s="182"/>
      <c r="N1207" s="184"/>
      <c r="O1207" s="184">
        <f>SUM(O1189:O1206)</f>
        <v>66.203060000000008</v>
      </c>
      <c r="P1207" s="183"/>
      <c r="Q1207" s="169"/>
    </row>
    <row r="1208" spans="1:17" s="174" customFormat="1" ht="31.5" x14ac:dyDescent="0.25">
      <c r="A1208" s="171" t="str">
        <f>ORÇAMENTO!A258</f>
        <v>4.1.2.7.6</v>
      </c>
      <c r="B1208" s="172" t="str">
        <f>VLOOKUP(A1208,ORÇAMENTO!A:K,4,0)</f>
        <v>FÔRMAS DE TÁBUAS DE PINHO PARA DISPOSITIVOS DE DRENAGEM - UTILIZAÇÃO DE 3 VEZES - CONFECÇÃO, INSTALAÇÃO E RETIRADA</v>
      </c>
      <c r="C1208" s="173" t="str">
        <f>VLOOKUP(A1208,ORÇAMENTO!A:K,5,0)</f>
        <v>M²</v>
      </c>
      <c r="D1208" s="173">
        <f>ROUND(SUM(E1227:O1227),2)</f>
        <v>872.54</v>
      </c>
      <c r="E1208" s="173" t="s">
        <v>1718</v>
      </c>
      <c r="F1208" s="173" t="s">
        <v>1719</v>
      </c>
      <c r="G1208" s="173" t="s">
        <v>1720</v>
      </c>
      <c r="H1208" s="173" t="s">
        <v>1721</v>
      </c>
      <c r="I1208" s="173" t="s">
        <v>1722</v>
      </c>
      <c r="J1208" s="173" t="s">
        <v>1723</v>
      </c>
      <c r="K1208" s="173" t="s">
        <v>1724</v>
      </c>
      <c r="L1208" s="173" t="s">
        <v>1804</v>
      </c>
      <c r="M1208" s="173" t="s">
        <v>1726</v>
      </c>
      <c r="N1208" s="173" t="s">
        <v>1826</v>
      </c>
      <c r="O1208" s="173" t="s">
        <v>1728</v>
      </c>
      <c r="P1208" s="169"/>
      <c r="Q1208" s="169"/>
    </row>
    <row r="1209" spans="1:17" s="170" customFormat="1" ht="10.5" x14ac:dyDescent="0.25">
      <c r="A1209" s="175"/>
      <c r="B1209" s="176"/>
      <c r="C1209" s="177"/>
      <c r="D1209" s="178"/>
      <c r="E1209" s="178"/>
      <c r="F1209" s="178"/>
      <c r="G1209" s="178"/>
      <c r="H1209" s="178"/>
      <c r="I1209" s="178"/>
      <c r="J1209" s="178"/>
      <c r="K1209" s="178"/>
      <c r="L1209" s="178"/>
      <c r="M1209" s="178"/>
      <c r="N1209" s="200"/>
      <c r="O1209" s="178"/>
      <c r="P1209" s="179"/>
      <c r="Q1209" s="169"/>
    </row>
    <row r="1210" spans="1:17" s="174" customFormat="1" ht="10.5" x14ac:dyDescent="0.25">
      <c r="A1210" s="201"/>
      <c r="B1210" s="181" t="str">
        <f t="shared" ref="B1210:B1225" si="23">B1190</f>
        <v>PV DN 600</v>
      </c>
      <c r="C1210" s="177"/>
      <c r="D1210" s="177"/>
      <c r="E1210" s="177">
        <f t="shared" ref="E1210:F1225" si="24">E1190</f>
        <v>1.08</v>
      </c>
      <c r="F1210" s="177">
        <f t="shared" si="24"/>
        <v>1.08</v>
      </c>
      <c r="G1210" s="177"/>
      <c r="H1210" s="177"/>
      <c r="I1210" s="177"/>
      <c r="J1210" s="177"/>
      <c r="K1210" s="177"/>
      <c r="L1210" s="177"/>
      <c r="M1210" s="177"/>
      <c r="N1210" s="202"/>
      <c r="O1210" s="177"/>
      <c r="P1210" s="179"/>
      <c r="Q1210" s="169"/>
    </row>
    <row r="1211" spans="1:17" s="170" customFormat="1" ht="10.5" x14ac:dyDescent="0.25">
      <c r="A1211" s="175"/>
      <c r="B1211" s="176" t="str">
        <f t="shared" si="23"/>
        <v>TAMPA</v>
      </c>
      <c r="C1211" s="177"/>
      <c r="D1211" s="178"/>
      <c r="E1211" s="178">
        <f t="shared" si="24"/>
        <v>1.08</v>
      </c>
      <c r="F1211" s="178">
        <f t="shared" si="24"/>
        <v>1.08</v>
      </c>
      <c r="G1211" s="178"/>
      <c r="H1211" s="178">
        <f>H1191</f>
        <v>0.1</v>
      </c>
      <c r="I1211" s="178">
        <f>2*(E1211+F1211)</f>
        <v>4.32</v>
      </c>
      <c r="J1211" s="178"/>
      <c r="K1211" s="178"/>
      <c r="L1211" s="178"/>
      <c r="M1211" s="178">
        <f>M1191</f>
        <v>5</v>
      </c>
      <c r="N1211" s="200">
        <f>M1211*I1211*H1211+M1211*F1211*E1211</f>
        <v>7.9920000000000009</v>
      </c>
      <c r="O1211" s="178"/>
      <c r="P1211" s="179"/>
      <c r="Q1211" s="169"/>
    </row>
    <row r="1212" spans="1:17" s="170" customFormat="1" ht="10.5" x14ac:dyDescent="0.25">
      <c r="A1212" s="175"/>
      <c r="B1212" s="176" t="str">
        <f t="shared" si="23"/>
        <v>PV DN 800</v>
      </c>
      <c r="C1212" s="177"/>
      <c r="D1212" s="178"/>
      <c r="E1212" s="177">
        <f t="shared" si="24"/>
        <v>1.5</v>
      </c>
      <c r="F1212" s="177">
        <f t="shared" si="24"/>
        <v>1.5</v>
      </c>
      <c r="G1212" s="178"/>
      <c r="H1212" s="178"/>
      <c r="I1212" s="178"/>
      <c r="J1212" s="178"/>
      <c r="K1212" s="178"/>
      <c r="L1212" s="178"/>
      <c r="M1212" s="178"/>
      <c r="N1212" s="200"/>
      <c r="O1212" s="178"/>
      <c r="P1212" s="179"/>
      <c r="Q1212" s="169"/>
    </row>
    <row r="1213" spans="1:17" s="170" customFormat="1" ht="10.5" x14ac:dyDescent="0.25">
      <c r="A1213" s="175"/>
      <c r="B1213" s="176" t="str">
        <f t="shared" si="23"/>
        <v>TAMPA</v>
      </c>
      <c r="C1213" s="177"/>
      <c r="D1213" s="178"/>
      <c r="E1213" s="178">
        <f t="shared" si="24"/>
        <v>1.5</v>
      </c>
      <c r="F1213" s="178">
        <f t="shared" si="24"/>
        <v>1.5</v>
      </c>
      <c r="G1213" s="178"/>
      <c r="H1213" s="178"/>
      <c r="I1213" s="178"/>
      <c r="J1213" s="178"/>
      <c r="K1213" s="178"/>
      <c r="L1213" s="178"/>
      <c r="M1213" s="178">
        <f>M1193</f>
        <v>2</v>
      </c>
      <c r="N1213" s="200">
        <f>M1213*I1213*H1213+M1213*F1213*E1213</f>
        <v>4.5</v>
      </c>
      <c r="O1213" s="178"/>
      <c r="P1213" s="179"/>
      <c r="Q1213" s="169"/>
    </row>
    <row r="1214" spans="1:17" s="174" customFormat="1" ht="10.5" x14ac:dyDescent="0.25">
      <c r="A1214" s="201"/>
      <c r="B1214" s="181" t="str">
        <f t="shared" si="23"/>
        <v>PV DN 1000</v>
      </c>
      <c r="C1214" s="177"/>
      <c r="D1214" s="177"/>
      <c r="E1214" s="177">
        <f t="shared" si="24"/>
        <v>1.74</v>
      </c>
      <c r="F1214" s="177">
        <f t="shared" si="24"/>
        <v>1.74</v>
      </c>
      <c r="G1214" s="177"/>
      <c r="H1214" s="177"/>
      <c r="I1214" s="177"/>
      <c r="J1214" s="177"/>
      <c r="K1214" s="177"/>
      <c r="L1214" s="177"/>
      <c r="M1214" s="177"/>
      <c r="N1214" s="202"/>
      <c r="O1214" s="177"/>
      <c r="P1214" s="179"/>
      <c r="Q1214" s="169"/>
    </row>
    <row r="1215" spans="1:17" s="170" customFormat="1" ht="10.5" x14ac:dyDescent="0.25">
      <c r="A1215" s="175"/>
      <c r="B1215" s="176" t="str">
        <f t="shared" si="23"/>
        <v>TAMPA</v>
      </c>
      <c r="C1215" s="177"/>
      <c r="D1215" s="178"/>
      <c r="E1215" s="178">
        <f t="shared" si="24"/>
        <v>1.74</v>
      </c>
      <c r="F1215" s="178">
        <f t="shared" si="24"/>
        <v>1.74</v>
      </c>
      <c r="G1215" s="178"/>
      <c r="H1215" s="178"/>
      <c r="I1215" s="178"/>
      <c r="J1215" s="178"/>
      <c r="K1215" s="178"/>
      <c r="L1215" s="178"/>
      <c r="M1215" s="178">
        <f>M1195</f>
        <v>5</v>
      </c>
      <c r="N1215" s="200">
        <f>M1215*I1215*H1215+M1215*F1215*E1215</f>
        <v>15.137999999999998</v>
      </c>
      <c r="O1215" s="178"/>
      <c r="P1215" s="179"/>
      <c r="Q1215" s="169"/>
    </row>
    <row r="1216" spans="1:17" s="170" customFormat="1" ht="10.5" x14ac:dyDescent="0.25">
      <c r="A1216" s="175"/>
      <c r="B1216" s="176" t="str">
        <f t="shared" si="23"/>
        <v>PAREDES</v>
      </c>
      <c r="C1216" s="177"/>
      <c r="D1216" s="178"/>
      <c r="E1216" s="178">
        <f t="shared" si="24"/>
        <v>1.74</v>
      </c>
      <c r="F1216" s="178">
        <f t="shared" si="24"/>
        <v>1.5</v>
      </c>
      <c r="G1216" s="178">
        <f>G1196</f>
        <v>2</v>
      </c>
      <c r="H1216" s="178">
        <f>H1196</f>
        <v>0.12</v>
      </c>
      <c r="I1216" s="178">
        <f>I1196</f>
        <v>6.48</v>
      </c>
      <c r="J1216" s="178"/>
      <c r="K1216" s="178"/>
      <c r="L1216" s="178"/>
      <c r="M1216" s="178">
        <f>M1196</f>
        <v>5</v>
      </c>
      <c r="N1216" s="200">
        <f>2*M1216*I1216*G1216</f>
        <v>129.60000000000002</v>
      </c>
      <c r="O1216" s="178"/>
      <c r="P1216" s="179"/>
      <c r="Q1216" s="169"/>
    </row>
    <row r="1217" spans="1:17" s="170" customFormat="1" ht="10.5" x14ac:dyDescent="0.25">
      <c r="A1217" s="175"/>
      <c r="B1217" s="176" t="str">
        <f t="shared" si="23"/>
        <v>FUNDO</v>
      </c>
      <c r="C1217" s="177"/>
      <c r="D1217" s="178"/>
      <c r="E1217" s="178">
        <f t="shared" si="24"/>
        <v>1.5</v>
      </c>
      <c r="F1217" s="178">
        <f t="shared" si="24"/>
        <v>1.5</v>
      </c>
      <c r="G1217" s="178"/>
      <c r="H1217" s="178">
        <f>H1197</f>
        <v>0.35</v>
      </c>
      <c r="I1217" s="178">
        <f>2*(E1217+F1217)</f>
        <v>6</v>
      </c>
      <c r="J1217" s="178"/>
      <c r="K1217" s="178"/>
      <c r="L1217" s="178"/>
      <c r="M1217" s="178">
        <f>M1197</f>
        <v>5</v>
      </c>
      <c r="N1217" s="200">
        <f>M1217*I1217*H1217</f>
        <v>10.5</v>
      </c>
      <c r="O1217" s="178"/>
      <c r="P1217" s="179"/>
      <c r="Q1217" s="169"/>
    </row>
    <row r="1218" spans="1:17" s="174" customFormat="1" ht="10.5" x14ac:dyDescent="0.25">
      <c r="A1218" s="201"/>
      <c r="B1218" s="181" t="str">
        <f t="shared" si="23"/>
        <v>PV DN 1200</v>
      </c>
      <c r="C1218" s="177"/>
      <c r="D1218" s="177"/>
      <c r="E1218" s="177">
        <f t="shared" si="24"/>
        <v>2.04</v>
      </c>
      <c r="F1218" s="177">
        <f t="shared" si="24"/>
        <v>2.04</v>
      </c>
      <c r="G1218" s="177"/>
      <c r="H1218" s="177"/>
      <c r="I1218" s="177"/>
      <c r="J1218" s="177"/>
      <c r="K1218" s="177"/>
      <c r="L1218" s="177"/>
      <c r="M1218" s="177"/>
      <c r="N1218" s="202"/>
      <c r="O1218" s="177"/>
      <c r="P1218" s="179"/>
      <c r="Q1218" s="169"/>
    </row>
    <row r="1219" spans="1:17" s="170" customFormat="1" ht="10.5" x14ac:dyDescent="0.25">
      <c r="A1219" s="175"/>
      <c r="B1219" s="176" t="str">
        <f t="shared" si="23"/>
        <v>TAMPA</v>
      </c>
      <c r="C1219" s="177"/>
      <c r="D1219" s="178"/>
      <c r="E1219" s="178">
        <f t="shared" si="24"/>
        <v>2.04</v>
      </c>
      <c r="F1219" s="178">
        <f t="shared" si="24"/>
        <v>2.04</v>
      </c>
      <c r="G1219" s="178"/>
      <c r="H1219" s="178"/>
      <c r="I1219" s="178"/>
      <c r="J1219" s="178"/>
      <c r="K1219" s="178"/>
      <c r="L1219" s="178"/>
      <c r="M1219" s="178">
        <f>M1199</f>
        <v>1</v>
      </c>
      <c r="N1219" s="200">
        <f>M1219*I1219*H1219+M1219*F1219*E1219</f>
        <v>4.1616</v>
      </c>
      <c r="O1219" s="178"/>
      <c r="P1219" s="179"/>
      <c r="Q1219" s="169"/>
    </row>
    <row r="1220" spans="1:17" s="170" customFormat="1" ht="10.5" x14ac:dyDescent="0.25">
      <c r="A1220" s="175"/>
      <c r="B1220" s="176" t="str">
        <f t="shared" si="23"/>
        <v>PAREDES</v>
      </c>
      <c r="C1220" s="177"/>
      <c r="D1220" s="178"/>
      <c r="E1220" s="178">
        <f t="shared" si="24"/>
        <v>2.04</v>
      </c>
      <c r="F1220" s="178">
        <f t="shared" si="24"/>
        <v>1.8</v>
      </c>
      <c r="G1220" s="178">
        <f>G1200</f>
        <v>2</v>
      </c>
      <c r="H1220" s="178">
        <f>H1200</f>
        <v>0.12</v>
      </c>
      <c r="I1220" s="178">
        <f>I1200</f>
        <v>7.68</v>
      </c>
      <c r="J1220" s="178"/>
      <c r="K1220" s="178"/>
      <c r="L1220" s="178"/>
      <c r="M1220" s="178">
        <f>M1200</f>
        <v>1</v>
      </c>
      <c r="N1220" s="200">
        <f>2*M1220*I1220*G1220</f>
        <v>30.72</v>
      </c>
      <c r="O1220" s="178"/>
      <c r="P1220" s="179"/>
      <c r="Q1220" s="169"/>
    </row>
    <row r="1221" spans="1:17" s="170" customFormat="1" ht="10.5" x14ac:dyDescent="0.25">
      <c r="A1221" s="175"/>
      <c r="B1221" s="176" t="str">
        <f t="shared" si="23"/>
        <v>FUNDO</v>
      </c>
      <c r="C1221" s="177"/>
      <c r="D1221" s="178"/>
      <c r="E1221" s="178">
        <f t="shared" si="24"/>
        <v>1.8</v>
      </c>
      <c r="F1221" s="178">
        <f t="shared" si="24"/>
        <v>1.8</v>
      </c>
      <c r="G1221" s="178"/>
      <c r="H1221" s="178">
        <f>H1201</f>
        <v>0.28000000000000003</v>
      </c>
      <c r="I1221" s="178">
        <f>2*(E1221+F1221)</f>
        <v>7.2</v>
      </c>
      <c r="J1221" s="178"/>
      <c r="K1221" s="178"/>
      <c r="L1221" s="178"/>
      <c r="M1221" s="178">
        <f>M1201</f>
        <v>1</v>
      </c>
      <c r="N1221" s="200">
        <f>M1221*I1221*H1221</f>
        <v>2.0160000000000005</v>
      </c>
      <c r="O1221" s="178"/>
      <c r="P1221" s="179"/>
      <c r="Q1221" s="169"/>
    </row>
    <row r="1222" spans="1:17" s="174" customFormat="1" ht="10.5" x14ac:dyDescent="0.25">
      <c r="A1222" s="201"/>
      <c r="B1222" s="181" t="str">
        <f t="shared" si="23"/>
        <v>PV DN 1500</v>
      </c>
      <c r="C1222" s="177"/>
      <c r="D1222" s="177"/>
      <c r="E1222" s="177">
        <f t="shared" si="24"/>
        <v>2.44</v>
      </c>
      <c r="F1222" s="177">
        <f t="shared" si="24"/>
        <v>2.44</v>
      </c>
      <c r="G1222" s="177"/>
      <c r="H1222" s="177"/>
      <c r="I1222" s="177"/>
      <c r="J1222" s="177"/>
      <c r="K1222" s="177"/>
      <c r="L1222" s="177"/>
      <c r="M1222" s="177"/>
      <c r="N1222" s="202"/>
      <c r="O1222" s="177"/>
      <c r="P1222" s="179"/>
      <c r="Q1222" s="169"/>
    </row>
    <row r="1223" spans="1:17" s="170" customFormat="1" ht="10.5" x14ac:dyDescent="0.25">
      <c r="A1223" s="175"/>
      <c r="B1223" s="176" t="str">
        <f t="shared" si="23"/>
        <v>TAMPA</v>
      </c>
      <c r="C1223" s="177"/>
      <c r="D1223" s="178"/>
      <c r="E1223" s="178">
        <f t="shared" si="24"/>
        <v>2.44</v>
      </c>
      <c r="F1223" s="178">
        <f t="shared" si="24"/>
        <v>2.44</v>
      </c>
      <c r="G1223" s="178"/>
      <c r="H1223" s="178"/>
      <c r="I1223" s="178"/>
      <c r="J1223" s="178"/>
      <c r="K1223" s="178"/>
      <c r="L1223" s="178"/>
      <c r="M1223" s="178">
        <f>M1203</f>
        <v>13</v>
      </c>
      <c r="N1223" s="200">
        <f>M1223*I1223*H1223+M1223*F1223*E1223</f>
        <v>77.396799999999999</v>
      </c>
      <c r="O1223" s="178"/>
      <c r="P1223" s="179"/>
      <c r="Q1223" s="169"/>
    </row>
    <row r="1224" spans="1:17" s="170" customFormat="1" ht="10.5" x14ac:dyDescent="0.25">
      <c r="A1224" s="175"/>
      <c r="B1224" s="176" t="str">
        <f t="shared" si="23"/>
        <v>PAREDES</v>
      </c>
      <c r="C1224" s="177"/>
      <c r="D1224" s="178"/>
      <c r="E1224" s="178">
        <f t="shared" si="24"/>
        <v>2.44</v>
      </c>
      <c r="F1224" s="178">
        <f t="shared" si="24"/>
        <v>2.2000000000000002</v>
      </c>
      <c r="G1224" s="178">
        <f>G1204</f>
        <v>2.4</v>
      </c>
      <c r="H1224" s="178">
        <f>H1204</f>
        <v>0.12</v>
      </c>
      <c r="I1224" s="178">
        <f>I1204</f>
        <v>9.2800000000000011</v>
      </c>
      <c r="J1224" s="178"/>
      <c r="K1224" s="178"/>
      <c r="L1224" s="178"/>
      <c r="M1224" s="178">
        <f>M1204</f>
        <v>13</v>
      </c>
      <c r="N1224" s="200">
        <f>2*M1224*I1224*G1224</f>
        <v>579.072</v>
      </c>
      <c r="O1224" s="178"/>
      <c r="P1224" s="179"/>
      <c r="Q1224" s="169"/>
    </row>
    <row r="1225" spans="1:17" s="170" customFormat="1" ht="10.5" x14ac:dyDescent="0.25">
      <c r="A1225" s="175"/>
      <c r="B1225" s="176" t="str">
        <f t="shared" si="23"/>
        <v>FUNDO</v>
      </c>
      <c r="C1225" s="177"/>
      <c r="D1225" s="178"/>
      <c r="E1225" s="178">
        <f t="shared" si="24"/>
        <v>2.2000000000000002</v>
      </c>
      <c r="F1225" s="178">
        <f t="shared" si="24"/>
        <v>2.2000000000000002</v>
      </c>
      <c r="G1225" s="178"/>
      <c r="H1225" s="178">
        <f>H1205</f>
        <v>0.1</v>
      </c>
      <c r="I1225" s="178">
        <f>2*(E1225+F1225)</f>
        <v>8.8000000000000007</v>
      </c>
      <c r="J1225" s="178"/>
      <c r="K1225" s="178"/>
      <c r="L1225" s="178"/>
      <c r="M1225" s="178">
        <f>M1205</f>
        <v>13</v>
      </c>
      <c r="N1225" s="200">
        <f>M1225*I1225*H1225</f>
        <v>11.440000000000001</v>
      </c>
      <c r="O1225" s="178"/>
      <c r="P1225" s="179"/>
      <c r="Q1225" s="169"/>
    </row>
    <row r="1226" spans="1:17" s="170" customFormat="1" ht="10.5" x14ac:dyDescent="0.25">
      <c r="A1226" s="175"/>
      <c r="B1226" s="176"/>
      <c r="C1226" s="177"/>
      <c r="D1226" s="178"/>
      <c r="E1226" s="178"/>
      <c r="F1226" s="178"/>
      <c r="G1226" s="178"/>
      <c r="H1226" s="178"/>
      <c r="I1226" s="178">
        <f>(137.5-4)/24</f>
        <v>5.5625</v>
      </c>
      <c r="J1226" s="178"/>
      <c r="K1226" s="178"/>
      <c r="L1226" s="178"/>
      <c r="M1226" s="178"/>
      <c r="N1226" s="200"/>
      <c r="O1226" s="178"/>
      <c r="P1226" s="179"/>
      <c r="Q1226" s="169"/>
    </row>
    <row r="1227" spans="1:17" s="170" customFormat="1" ht="10.5" x14ac:dyDescent="0.25">
      <c r="A1227" s="175"/>
      <c r="B1227" s="181" t="s">
        <v>5</v>
      </c>
      <c r="C1227" s="182" t="s">
        <v>1328</v>
      </c>
      <c r="D1227" s="182"/>
      <c r="E1227" s="182"/>
      <c r="F1227" s="182"/>
      <c r="G1227" s="182"/>
      <c r="H1227" s="182"/>
      <c r="I1227" s="182"/>
      <c r="J1227" s="182"/>
      <c r="K1227" s="177"/>
      <c r="L1227" s="182"/>
      <c r="M1227" s="182"/>
      <c r="N1227" s="177">
        <f>SUM(N1209:N1226)</f>
        <v>872.53640000000007</v>
      </c>
      <c r="O1227" s="177"/>
      <c r="P1227" s="183"/>
      <c r="Q1227" s="169"/>
    </row>
    <row r="1228" spans="1:17" s="174" customFormat="1" ht="31.5" x14ac:dyDescent="0.25">
      <c r="A1228" s="171" t="str">
        <f>ORÇAMENTO!A259</f>
        <v>4.1.2.7.7</v>
      </c>
      <c r="B1228" s="172" t="str">
        <f>VLOOKUP(A1228,ORÇAMENTO!A:K,4,0)</f>
        <v>LANÇAMENTO COM USO DE BALDES, ADENSAMENTO E ACABAMENTO DE CONCRETO EM ESTRUTURAS. AF_02/2022</v>
      </c>
      <c r="C1228" s="173" t="str">
        <f>VLOOKUP(A1228,ORÇAMENTO!A:K,5,0)</f>
        <v>M³</v>
      </c>
      <c r="D1228" s="173">
        <f>ROUND(SUM(E1232:O1232),2)</f>
        <v>96.59</v>
      </c>
      <c r="E1228" s="173" t="s">
        <v>1718</v>
      </c>
      <c r="F1228" s="173" t="s">
        <v>1719</v>
      </c>
      <c r="G1228" s="173" t="s">
        <v>1720</v>
      </c>
      <c r="H1228" s="173" t="s">
        <v>1721</v>
      </c>
      <c r="I1228" s="173" t="s">
        <v>1722</v>
      </c>
      <c r="J1228" s="173" t="s">
        <v>1723</v>
      </c>
      <c r="K1228" s="173" t="s">
        <v>1724</v>
      </c>
      <c r="L1228" s="173" t="s">
        <v>1804</v>
      </c>
      <c r="M1228" s="173" t="s">
        <v>1726</v>
      </c>
      <c r="N1228" s="173" t="s">
        <v>1809</v>
      </c>
      <c r="O1228" s="173" t="s">
        <v>1728</v>
      </c>
      <c r="P1228" s="169"/>
      <c r="Q1228" s="169"/>
    </row>
    <row r="1229" spans="1:17" s="170" customFormat="1" ht="42" x14ac:dyDescent="0.25">
      <c r="A1229" s="175"/>
      <c r="B1229" s="176" t="str">
        <f>B1173</f>
        <v>CONCRETO FCK = 15MPA, TRAÇO 1:3,4:3,5 (EM MASSA SECA DE CIMENTO/ AREIA MÉDIA/ BRITA 1) - PREPARO MECÂNICO COM BETONEIRA 600 L. AF_05/2021</v>
      </c>
      <c r="C1229" s="177"/>
      <c r="D1229" s="178"/>
      <c r="E1229" s="178"/>
      <c r="F1229" s="178"/>
      <c r="G1229" s="178"/>
      <c r="H1229" s="178"/>
      <c r="I1229" s="178"/>
      <c r="J1229" s="178"/>
      <c r="K1229" s="178"/>
      <c r="L1229" s="178"/>
      <c r="M1229" s="178"/>
      <c r="N1229" s="200"/>
      <c r="O1229" s="178">
        <f>O1187</f>
        <v>30.383920000000003</v>
      </c>
      <c r="P1229" s="179"/>
      <c r="Q1229" s="169"/>
    </row>
    <row r="1230" spans="1:17" s="170" customFormat="1" ht="42" x14ac:dyDescent="0.25">
      <c r="A1230" s="175"/>
      <c r="B1230" s="176" t="str">
        <f>B1188</f>
        <v>CONCRETO FCK = 25MPA, TRAÇO 1:2,3:2,7 (EM MASSA SECA DE CIMENTO/ AREIA MÉDIA/ BRITA 1) - PREPARO MECÂNICO COM BETONEIRA 600 L. AF_05/2021</v>
      </c>
      <c r="C1230" s="177"/>
      <c r="D1230" s="178"/>
      <c r="E1230" s="178"/>
      <c r="F1230" s="178"/>
      <c r="G1230" s="178"/>
      <c r="H1230" s="178"/>
      <c r="I1230" s="178"/>
      <c r="J1230" s="178"/>
      <c r="K1230" s="178"/>
      <c r="L1230" s="178"/>
      <c r="M1230" s="178"/>
      <c r="N1230" s="200"/>
      <c r="O1230" s="178">
        <f>O1207</f>
        <v>66.203060000000008</v>
      </c>
      <c r="P1230" s="179"/>
      <c r="Q1230" s="169"/>
    </row>
    <row r="1231" spans="1:17" s="170" customFormat="1" ht="10.5" x14ac:dyDescent="0.25">
      <c r="A1231" s="175"/>
      <c r="B1231" s="176"/>
      <c r="C1231" s="177"/>
      <c r="D1231" s="178"/>
      <c r="E1231" s="178"/>
      <c r="F1231" s="178"/>
      <c r="G1231" s="178"/>
      <c r="H1231" s="178"/>
      <c r="I1231" s="178"/>
      <c r="J1231" s="178"/>
      <c r="K1231" s="178"/>
      <c r="L1231" s="178"/>
      <c r="M1231" s="178"/>
      <c r="N1231" s="200"/>
      <c r="O1231" s="178"/>
      <c r="P1231" s="179"/>
      <c r="Q1231" s="169"/>
    </row>
    <row r="1232" spans="1:17" s="170" customFormat="1" ht="10.5" x14ac:dyDescent="0.25">
      <c r="A1232" s="175"/>
      <c r="B1232" s="181" t="s">
        <v>5</v>
      </c>
      <c r="C1232" s="182" t="s">
        <v>1328</v>
      </c>
      <c r="D1232" s="182"/>
      <c r="E1232" s="182"/>
      <c r="F1232" s="182"/>
      <c r="G1232" s="182"/>
      <c r="H1232" s="182"/>
      <c r="I1232" s="182"/>
      <c r="J1232" s="182"/>
      <c r="K1232" s="177"/>
      <c r="L1232" s="182"/>
      <c r="M1232" s="182"/>
      <c r="N1232" s="177"/>
      <c r="O1232" s="177">
        <f>SUM(O1229:O1231)</f>
        <v>96.586980000000011</v>
      </c>
      <c r="P1232" s="183"/>
      <c r="Q1232" s="169"/>
    </row>
    <row r="1233" spans="1:17" s="174" customFormat="1" ht="21.75" customHeight="1" x14ac:dyDescent="0.25">
      <c r="A1233" s="171" t="str">
        <f>ORÇAMENTO!A260</f>
        <v>4.1.2.7.8</v>
      </c>
      <c r="B1233" s="172" t="str">
        <f>VLOOKUP(A1233,ORÇAMENTO!A:K,4,0)</f>
        <v>ARMAÇÃO EM AÇO CA-50 - FORNECIMENTO, PREPARO E COLOCAÇÃO</v>
      </c>
      <c r="C1233" s="173" t="str">
        <f>VLOOKUP(A1233,ORÇAMENTO!A:K,5,0)</f>
        <v>KG</v>
      </c>
      <c r="D1233" s="173">
        <f>ROUND(SUM(E1241:O1241),2)</f>
        <v>3790.03</v>
      </c>
      <c r="E1233" s="173" t="s">
        <v>1718</v>
      </c>
      <c r="F1233" s="173" t="s">
        <v>1719</v>
      </c>
      <c r="G1233" s="173" t="s">
        <v>1720</v>
      </c>
      <c r="H1233" s="173" t="s">
        <v>1721</v>
      </c>
      <c r="I1233" s="173" t="s">
        <v>1722</v>
      </c>
      <c r="J1233" s="173" t="s">
        <v>1723</v>
      </c>
      <c r="K1233" s="173" t="s">
        <v>1724</v>
      </c>
      <c r="L1233" s="173" t="s">
        <v>1804</v>
      </c>
      <c r="M1233" s="173" t="s">
        <v>1726</v>
      </c>
      <c r="N1233" s="173" t="s">
        <v>1809</v>
      </c>
      <c r="O1233" s="173" t="s">
        <v>1728</v>
      </c>
      <c r="P1233" s="169"/>
      <c r="Q1233" s="169"/>
    </row>
    <row r="1234" spans="1:17" s="170" customFormat="1" ht="10.5" x14ac:dyDescent="0.25">
      <c r="A1234" s="175"/>
      <c r="B1234" s="176" t="str">
        <f>B1189</f>
        <v>CONFORME DESENHO TIPO</v>
      </c>
      <c r="C1234" s="184"/>
      <c r="D1234" s="185"/>
      <c r="E1234" s="185"/>
      <c r="F1234" s="185"/>
      <c r="G1234" s="185"/>
      <c r="H1234" s="185"/>
      <c r="I1234" s="185"/>
      <c r="J1234" s="185"/>
      <c r="K1234" s="185"/>
      <c r="L1234" s="185"/>
      <c r="M1234" s="185"/>
      <c r="N1234" s="205"/>
      <c r="O1234" s="185"/>
      <c r="P1234" s="179"/>
      <c r="Q1234" s="169"/>
    </row>
    <row r="1235" spans="1:17" s="170" customFormat="1" ht="10.5" x14ac:dyDescent="0.25">
      <c r="A1235" s="175"/>
      <c r="B1235" s="176" t="str">
        <f>B1190</f>
        <v>PV DN 600</v>
      </c>
      <c r="C1235" s="184"/>
      <c r="D1235" s="185"/>
      <c r="E1235" s="185"/>
      <c r="F1235" s="185"/>
      <c r="G1235" s="185"/>
      <c r="H1235" s="185"/>
      <c r="I1235" s="185"/>
      <c r="J1235" s="185"/>
      <c r="K1235" s="185">
        <f>6.33*M1235</f>
        <v>31.65</v>
      </c>
      <c r="L1235" s="185"/>
      <c r="M1235" s="185">
        <f>M1154</f>
        <v>5</v>
      </c>
      <c r="N1235" s="205"/>
      <c r="O1235" s="185"/>
      <c r="P1235" s="179"/>
      <c r="Q1235" s="169"/>
    </row>
    <row r="1236" spans="1:17" s="170" customFormat="1" ht="10.5" x14ac:dyDescent="0.25">
      <c r="A1236" s="175"/>
      <c r="B1236" s="176" t="str">
        <f>B1192</f>
        <v>PV DN 800</v>
      </c>
      <c r="C1236" s="184"/>
      <c r="D1236" s="185"/>
      <c r="E1236" s="185"/>
      <c r="F1236" s="185"/>
      <c r="G1236" s="185"/>
      <c r="H1236" s="185"/>
      <c r="I1236" s="185"/>
      <c r="J1236" s="185"/>
      <c r="K1236" s="185">
        <f>29.09*M1236</f>
        <v>58.18</v>
      </c>
      <c r="L1236" s="185"/>
      <c r="M1236" s="185">
        <f>M1155</f>
        <v>2</v>
      </c>
      <c r="N1236" s="205"/>
      <c r="O1236" s="185"/>
      <c r="P1236" s="179"/>
      <c r="Q1236" s="169"/>
    </row>
    <row r="1237" spans="1:17" s="170" customFormat="1" ht="10.5" x14ac:dyDescent="0.25">
      <c r="A1237" s="175"/>
      <c r="B1237" s="176" t="str">
        <f>B1194</f>
        <v>PV DN 1000</v>
      </c>
      <c r="C1237" s="184"/>
      <c r="D1237" s="185"/>
      <c r="E1237" s="185"/>
      <c r="F1237" s="185"/>
      <c r="G1237" s="185"/>
      <c r="H1237" s="185"/>
      <c r="I1237" s="185"/>
      <c r="J1237" s="185"/>
      <c r="K1237" s="185">
        <f>92.82*M1237</f>
        <v>464.09999999999997</v>
      </c>
      <c r="L1237" s="185"/>
      <c r="M1237" s="185">
        <f>M1156</f>
        <v>5</v>
      </c>
      <c r="N1237" s="205"/>
      <c r="O1237" s="185"/>
      <c r="P1237" s="179"/>
      <c r="Q1237" s="169"/>
    </row>
    <row r="1238" spans="1:17" s="170" customFormat="1" ht="10.5" x14ac:dyDescent="0.25">
      <c r="A1238" s="175"/>
      <c r="B1238" s="176" t="str">
        <f>B1198</f>
        <v>PV DN 1200</v>
      </c>
      <c r="C1238" s="184"/>
      <c r="D1238" s="185"/>
      <c r="E1238" s="185"/>
      <c r="F1238" s="185"/>
      <c r="G1238" s="185"/>
      <c r="H1238" s="185"/>
      <c r="I1238" s="185"/>
      <c r="J1238" s="185"/>
      <c r="K1238" s="185">
        <f>154.06*M1238</f>
        <v>154.06</v>
      </c>
      <c r="L1238" s="185"/>
      <c r="M1238" s="185">
        <f>M1157</f>
        <v>1</v>
      </c>
      <c r="N1238" s="205"/>
      <c r="O1238" s="185"/>
      <c r="P1238" s="179"/>
      <c r="Q1238" s="169"/>
    </row>
    <row r="1239" spans="1:17" s="170" customFormat="1" ht="10.5" x14ac:dyDescent="0.25">
      <c r="A1239" s="175"/>
      <c r="B1239" s="176" t="str">
        <f>B1202</f>
        <v>PV DN 1500</v>
      </c>
      <c r="C1239" s="184"/>
      <c r="D1239" s="185"/>
      <c r="E1239" s="185"/>
      <c r="F1239" s="185"/>
      <c r="G1239" s="185"/>
      <c r="H1239" s="185"/>
      <c r="I1239" s="185"/>
      <c r="J1239" s="185"/>
      <c r="K1239" s="185">
        <f>237.08*M1239</f>
        <v>3082.04</v>
      </c>
      <c r="L1239" s="185"/>
      <c r="M1239" s="185">
        <f>M1158</f>
        <v>13</v>
      </c>
      <c r="N1239" s="205"/>
      <c r="O1239" s="185"/>
      <c r="P1239" s="179"/>
      <c r="Q1239" s="169"/>
    </row>
    <row r="1240" spans="1:17" s="170" customFormat="1" ht="10.5" x14ac:dyDescent="0.25">
      <c r="A1240" s="175"/>
      <c r="B1240" s="176"/>
      <c r="C1240" s="184"/>
      <c r="D1240" s="185"/>
      <c r="E1240" s="185"/>
      <c r="F1240" s="185"/>
      <c r="G1240" s="185"/>
      <c r="H1240" s="185"/>
      <c r="I1240" s="185"/>
      <c r="J1240" s="185"/>
      <c r="K1240" s="185"/>
      <c r="L1240" s="185"/>
      <c r="M1240" s="185"/>
      <c r="N1240" s="205"/>
      <c r="O1240" s="185"/>
      <c r="P1240" s="179"/>
      <c r="Q1240" s="169"/>
    </row>
    <row r="1241" spans="1:17" s="170" customFormat="1" ht="10.5" x14ac:dyDescent="0.25">
      <c r="A1241" s="175"/>
      <c r="B1241" s="181" t="s">
        <v>5</v>
      </c>
      <c r="C1241" s="182" t="s">
        <v>1328</v>
      </c>
      <c r="D1241" s="182"/>
      <c r="E1241" s="182"/>
      <c r="F1241" s="182"/>
      <c r="G1241" s="182"/>
      <c r="H1241" s="182"/>
      <c r="I1241" s="182"/>
      <c r="J1241" s="182"/>
      <c r="K1241" s="184">
        <f>SUM(K1235:K1240)</f>
        <v>3790.0299999999997</v>
      </c>
      <c r="L1241" s="182"/>
      <c r="M1241" s="182"/>
      <c r="N1241" s="184"/>
      <c r="O1241" s="182"/>
      <c r="P1241" s="183"/>
      <c r="Q1241" s="169"/>
    </row>
    <row r="1242" spans="1:17" s="174" customFormat="1" ht="21.75" customHeight="1" x14ac:dyDescent="0.25">
      <c r="A1242" s="171" t="str">
        <f>ORÇAMENTO!A261</f>
        <v>4.1.2.7.9</v>
      </c>
      <c r="B1242" s="172" t="str">
        <f>VLOOKUP(A1242,ORÇAMENTO!A:K,4,0)</f>
        <v>CHAMINÉ CIRCULAR PARA POÇO DE VISITA PARA DRENAGEM, EM CONCRETO PRÉ-MOLDADO, DIÂMETRO INTERNO = 0,6 M. AF_12/2020</v>
      </c>
      <c r="C1242" s="173" t="str">
        <f>VLOOKUP(A1242,ORÇAMENTO!A:K,5,0)</f>
        <v>M</v>
      </c>
      <c r="D1242" s="173">
        <f>ROUND(SUM(E1245:O1245),2)</f>
        <v>30.38</v>
      </c>
      <c r="E1242" s="173" t="s">
        <v>1718</v>
      </c>
      <c r="F1242" s="173" t="s">
        <v>1719</v>
      </c>
      <c r="G1242" s="173" t="s">
        <v>1720</v>
      </c>
      <c r="H1242" s="173" t="s">
        <v>1721</v>
      </c>
      <c r="I1242" s="173" t="s">
        <v>1722</v>
      </c>
      <c r="J1242" s="173" t="s">
        <v>1723</v>
      </c>
      <c r="K1242" s="173" t="s">
        <v>1724</v>
      </c>
      <c r="L1242" s="173" t="s">
        <v>1804</v>
      </c>
      <c r="M1242" s="173" t="s">
        <v>1726</v>
      </c>
      <c r="N1242" s="173" t="s">
        <v>1809</v>
      </c>
      <c r="O1242" s="173" t="s">
        <v>1728</v>
      </c>
      <c r="P1242" s="169"/>
      <c r="Q1242" s="169"/>
    </row>
    <row r="1243" spans="1:17" s="170" customFormat="1" ht="21" x14ac:dyDescent="0.25">
      <c r="A1243" s="175"/>
      <c r="B1243" s="176" t="s">
        <v>1842</v>
      </c>
      <c r="C1243" s="184"/>
      <c r="D1243" s="185"/>
      <c r="E1243" s="185">
        <f>Quantitativos!DA33</f>
        <v>30.380936885145307</v>
      </c>
      <c r="F1243" s="185"/>
      <c r="G1243" s="185"/>
      <c r="H1243" s="185"/>
      <c r="I1243" s="185"/>
      <c r="J1243" s="185"/>
      <c r="K1243" s="185"/>
      <c r="L1243" s="185"/>
      <c r="M1243" s="185"/>
      <c r="N1243" s="205"/>
      <c r="O1243" s="185"/>
      <c r="P1243" s="179"/>
      <c r="Q1243" s="169"/>
    </row>
    <row r="1244" spans="1:17" s="170" customFormat="1" ht="10.5" x14ac:dyDescent="0.25">
      <c r="A1244" s="175"/>
      <c r="B1244" s="176"/>
      <c r="C1244" s="184"/>
      <c r="D1244" s="185"/>
      <c r="E1244" s="185"/>
      <c r="F1244" s="185"/>
      <c r="G1244" s="185"/>
      <c r="H1244" s="185"/>
      <c r="I1244" s="185"/>
      <c r="J1244" s="185"/>
      <c r="K1244" s="185"/>
      <c r="L1244" s="185"/>
      <c r="M1244" s="185"/>
      <c r="N1244" s="205"/>
      <c r="O1244" s="185"/>
      <c r="P1244" s="179"/>
      <c r="Q1244" s="169"/>
    </row>
    <row r="1245" spans="1:17" s="170" customFormat="1" ht="10.5" x14ac:dyDescent="0.25">
      <c r="A1245" s="175"/>
      <c r="B1245" s="181" t="s">
        <v>5</v>
      </c>
      <c r="C1245" s="182" t="s">
        <v>1328</v>
      </c>
      <c r="D1245" s="182"/>
      <c r="E1245" s="184">
        <f>SUM(E1243:E1244)</f>
        <v>30.380936885145307</v>
      </c>
      <c r="F1245" s="182"/>
      <c r="G1245" s="182"/>
      <c r="H1245" s="182"/>
      <c r="I1245" s="182"/>
      <c r="J1245" s="182"/>
      <c r="K1245" s="185"/>
      <c r="L1245" s="182"/>
      <c r="M1245" s="182"/>
      <c r="N1245" s="184"/>
      <c r="O1245" s="182"/>
      <c r="P1245" s="183"/>
      <c r="Q1245" s="169"/>
    </row>
    <row r="1246" spans="1:17" s="174" customFormat="1" ht="21.75" customHeight="1" x14ac:dyDescent="0.25">
      <c r="A1246" s="171" t="str">
        <f>ORÇAMENTO!A262</f>
        <v>4.1.2.7.10</v>
      </c>
      <c r="B1246" s="172" t="str">
        <f>VLOOKUP(A1246,ORÇAMENTO!A:K,4,0)</f>
        <v>ESCORAMENTO DE FÔRMAS DE LAJE EM MADEIRA NÃO APARELHADA, PÉ-DIREITO SIMPLES, INCLUSO TRAVAMENTO, 4 UTILIZAÇÕES. AF_09/2020</v>
      </c>
      <c r="C1246" s="173" t="str">
        <f>VLOOKUP(A1246,ORÇAMENTO!A:K,5,0)</f>
        <v>M³</v>
      </c>
      <c r="D1246" s="173">
        <f>ROUND(SUM(E1259:O1259),2)</f>
        <v>238.82</v>
      </c>
      <c r="E1246" s="173" t="s">
        <v>1718</v>
      </c>
      <c r="F1246" s="173" t="s">
        <v>1719</v>
      </c>
      <c r="G1246" s="173" t="s">
        <v>1720</v>
      </c>
      <c r="H1246" s="173" t="s">
        <v>1721</v>
      </c>
      <c r="I1246" s="173" t="s">
        <v>1722</v>
      </c>
      <c r="J1246" s="173" t="s">
        <v>1723</v>
      </c>
      <c r="K1246" s="173" t="s">
        <v>1724</v>
      </c>
      <c r="L1246" s="173" t="s">
        <v>1804</v>
      </c>
      <c r="M1246" s="173" t="s">
        <v>1726</v>
      </c>
      <c r="N1246" s="173" t="s">
        <v>1826</v>
      </c>
      <c r="O1246" s="173" t="s">
        <v>1728</v>
      </c>
      <c r="P1246" s="169"/>
      <c r="Q1246" s="169"/>
    </row>
    <row r="1247" spans="1:17" s="170" customFormat="1" ht="10.5" x14ac:dyDescent="0.25">
      <c r="A1247" s="175"/>
      <c r="B1247" s="176"/>
      <c r="C1247" s="184"/>
      <c r="D1247" s="185"/>
      <c r="E1247" s="185"/>
      <c r="F1247" s="185"/>
      <c r="G1247" s="185"/>
      <c r="H1247" s="185"/>
      <c r="I1247" s="185"/>
      <c r="J1247" s="185"/>
      <c r="K1247" s="185"/>
      <c r="L1247" s="185"/>
      <c r="M1247" s="185"/>
      <c r="N1247" s="205"/>
      <c r="O1247" s="185"/>
      <c r="P1247" s="179"/>
      <c r="Q1247" s="169"/>
    </row>
    <row r="1248" spans="1:17" s="174" customFormat="1" ht="10.5" x14ac:dyDescent="0.25">
      <c r="A1248" s="201"/>
      <c r="B1248" s="181" t="str">
        <f t="shared" ref="B1248:B1253" si="25">B1210</f>
        <v>PV DN 600</v>
      </c>
      <c r="C1248" s="184"/>
      <c r="D1248" s="184"/>
      <c r="E1248" s="184">
        <f t="shared" ref="E1248:F1253" si="26">E1210</f>
        <v>1.08</v>
      </c>
      <c r="F1248" s="184">
        <f t="shared" si="26"/>
        <v>1.08</v>
      </c>
      <c r="G1248" s="184"/>
      <c r="H1248" s="184"/>
      <c r="I1248" s="184"/>
      <c r="J1248" s="184"/>
      <c r="K1248" s="184"/>
      <c r="L1248" s="184"/>
      <c r="M1248" s="184"/>
      <c r="N1248" s="206"/>
      <c r="O1248" s="184"/>
      <c r="P1248" s="179"/>
      <c r="Q1248" s="169"/>
    </row>
    <row r="1249" spans="1:17" s="170" customFormat="1" ht="10.5" x14ac:dyDescent="0.25">
      <c r="A1249" s="175"/>
      <c r="B1249" s="176" t="str">
        <f t="shared" si="25"/>
        <v>TAMPA</v>
      </c>
      <c r="C1249" s="184"/>
      <c r="D1249" s="185"/>
      <c r="E1249" s="185">
        <f t="shared" si="26"/>
        <v>1.08</v>
      </c>
      <c r="F1249" s="185">
        <f t="shared" si="26"/>
        <v>1.08</v>
      </c>
      <c r="G1249" s="185">
        <v>1.4</v>
      </c>
      <c r="H1249" s="185"/>
      <c r="I1249" s="185"/>
      <c r="J1249" s="185"/>
      <c r="K1249" s="185"/>
      <c r="L1249" s="185"/>
      <c r="M1249" s="185">
        <f>M1211</f>
        <v>5</v>
      </c>
      <c r="N1249" s="205">
        <f>M1249*E1249*F1249*G1249</f>
        <v>8.1648000000000014</v>
      </c>
      <c r="O1249" s="185"/>
      <c r="P1249" s="179"/>
      <c r="Q1249" s="169"/>
    </row>
    <row r="1250" spans="1:17" s="174" customFormat="1" ht="10.5" x14ac:dyDescent="0.25">
      <c r="A1250" s="201"/>
      <c r="B1250" s="181" t="str">
        <f t="shared" si="25"/>
        <v>PV DN 800</v>
      </c>
      <c r="C1250" s="184"/>
      <c r="D1250" s="184"/>
      <c r="E1250" s="184">
        <f t="shared" si="26"/>
        <v>1.5</v>
      </c>
      <c r="F1250" s="184">
        <f t="shared" si="26"/>
        <v>1.5</v>
      </c>
      <c r="G1250" s="184"/>
      <c r="H1250" s="184"/>
      <c r="I1250" s="184"/>
      <c r="J1250" s="184"/>
      <c r="K1250" s="184"/>
      <c r="L1250" s="184"/>
      <c r="M1250" s="184"/>
      <c r="N1250" s="206"/>
      <c r="O1250" s="184"/>
      <c r="P1250" s="179"/>
      <c r="Q1250" s="169"/>
    </row>
    <row r="1251" spans="1:17" s="170" customFormat="1" ht="10.5" x14ac:dyDescent="0.25">
      <c r="A1251" s="175"/>
      <c r="B1251" s="176" t="str">
        <f t="shared" si="25"/>
        <v>TAMPA</v>
      </c>
      <c r="C1251" s="184"/>
      <c r="D1251" s="185"/>
      <c r="E1251" s="185">
        <f t="shared" si="26"/>
        <v>1.5</v>
      </c>
      <c r="F1251" s="185">
        <f t="shared" si="26"/>
        <v>1.5</v>
      </c>
      <c r="G1251" s="185">
        <v>1.4</v>
      </c>
      <c r="H1251" s="185"/>
      <c r="I1251" s="185"/>
      <c r="J1251" s="185"/>
      <c r="K1251" s="185"/>
      <c r="L1251" s="185"/>
      <c r="M1251" s="185">
        <f>M1213</f>
        <v>2</v>
      </c>
      <c r="N1251" s="205">
        <f>M1251*E1251*F1251*G1251</f>
        <v>6.3</v>
      </c>
      <c r="O1251" s="185"/>
      <c r="P1251" s="179"/>
      <c r="Q1251" s="169"/>
    </row>
    <row r="1252" spans="1:17" s="174" customFormat="1" ht="10.5" x14ac:dyDescent="0.25">
      <c r="A1252" s="201"/>
      <c r="B1252" s="181" t="str">
        <f t="shared" si="25"/>
        <v>PV DN 1000</v>
      </c>
      <c r="C1252" s="184"/>
      <c r="D1252" s="184"/>
      <c r="E1252" s="184">
        <f t="shared" si="26"/>
        <v>1.74</v>
      </c>
      <c r="F1252" s="184">
        <f t="shared" si="26"/>
        <v>1.74</v>
      </c>
      <c r="G1252" s="184"/>
      <c r="H1252" s="184"/>
      <c r="I1252" s="184"/>
      <c r="J1252" s="184"/>
      <c r="K1252" s="184"/>
      <c r="L1252" s="184"/>
      <c r="M1252" s="184"/>
      <c r="N1252" s="206"/>
      <c r="O1252" s="184"/>
      <c r="P1252" s="179"/>
      <c r="Q1252" s="169"/>
    </row>
    <row r="1253" spans="1:17" s="170" customFormat="1" ht="10.5" x14ac:dyDescent="0.25">
      <c r="A1253" s="175"/>
      <c r="B1253" s="176" t="str">
        <f t="shared" si="25"/>
        <v>TAMPA</v>
      </c>
      <c r="C1253" s="184"/>
      <c r="D1253" s="185"/>
      <c r="E1253" s="185">
        <f t="shared" si="26"/>
        <v>1.74</v>
      </c>
      <c r="F1253" s="185">
        <f t="shared" si="26"/>
        <v>1.74</v>
      </c>
      <c r="G1253" s="185">
        <v>2</v>
      </c>
      <c r="H1253" s="185"/>
      <c r="I1253" s="185"/>
      <c r="J1253" s="185"/>
      <c r="K1253" s="185"/>
      <c r="L1253" s="185"/>
      <c r="M1253" s="185">
        <f>M1215</f>
        <v>5</v>
      </c>
      <c r="N1253" s="205">
        <f>M1253*E1253*F1253*G1253</f>
        <v>30.275999999999996</v>
      </c>
      <c r="O1253" s="185"/>
      <c r="P1253" s="179"/>
      <c r="Q1253" s="169"/>
    </row>
    <row r="1254" spans="1:17" s="174" customFormat="1" ht="10.5" x14ac:dyDescent="0.25">
      <c r="A1254" s="201"/>
      <c r="B1254" s="181" t="str">
        <f>B1218</f>
        <v>PV DN 1200</v>
      </c>
      <c r="C1254" s="184"/>
      <c r="D1254" s="184"/>
      <c r="E1254" s="184">
        <f>E1218</f>
        <v>2.04</v>
      </c>
      <c r="F1254" s="184">
        <f>F1218</f>
        <v>2.04</v>
      </c>
      <c r="G1254" s="184"/>
      <c r="H1254" s="184"/>
      <c r="I1254" s="184"/>
      <c r="J1254" s="184"/>
      <c r="K1254" s="184"/>
      <c r="L1254" s="184"/>
      <c r="M1254" s="184"/>
      <c r="N1254" s="206"/>
      <c r="O1254" s="184"/>
      <c r="P1254" s="179"/>
      <c r="Q1254" s="169"/>
    </row>
    <row r="1255" spans="1:17" s="170" customFormat="1" ht="10.5" x14ac:dyDescent="0.25">
      <c r="A1255" s="175"/>
      <c r="B1255" s="176" t="str">
        <f>B1219</f>
        <v>TAMPA</v>
      </c>
      <c r="C1255" s="184"/>
      <c r="D1255" s="185"/>
      <c r="E1255" s="185">
        <f>E1219</f>
        <v>2.04</v>
      </c>
      <c r="F1255" s="185">
        <f>F1219</f>
        <v>2.04</v>
      </c>
      <c r="G1255" s="185">
        <v>2</v>
      </c>
      <c r="H1255" s="185"/>
      <c r="I1255" s="185"/>
      <c r="J1255" s="185"/>
      <c r="K1255" s="185"/>
      <c r="L1255" s="185"/>
      <c r="M1255" s="185">
        <f>M1219</f>
        <v>1</v>
      </c>
      <c r="N1255" s="205">
        <f>M1255*E1255*F1255*G1255</f>
        <v>8.3231999999999999</v>
      </c>
      <c r="O1255" s="185"/>
      <c r="P1255" s="179"/>
      <c r="Q1255" s="169"/>
    </row>
    <row r="1256" spans="1:17" s="174" customFormat="1" ht="10.5" x14ac:dyDescent="0.25">
      <c r="A1256" s="201"/>
      <c r="B1256" s="181" t="str">
        <f>B1222</f>
        <v>PV DN 1500</v>
      </c>
      <c r="C1256" s="184"/>
      <c r="D1256" s="184"/>
      <c r="E1256" s="184">
        <f>E1222</f>
        <v>2.44</v>
      </c>
      <c r="F1256" s="184">
        <f>F1222</f>
        <v>2.44</v>
      </c>
      <c r="G1256" s="184"/>
      <c r="H1256" s="184"/>
      <c r="I1256" s="184"/>
      <c r="J1256" s="184"/>
      <c r="K1256" s="184"/>
      <c r="L1256" s="184"/>
      <c r="M1256" s="184"/>
      <c r="N1256" s="206"/>
      <c r="O1256" s="184"/>
      <c r="P1256" s="179"/>
      <c r="Q1256" s="169"/>
    </row>
    <row r="1257" spans="1:17" s="170" customFormat="1" ht="10.5" x14ac:dyDescent="0.25">
      <c r="A1257" s="175"/>
      <c r="B1257" s="176" t="str">
        <f>B1223</f>
        <v>TAMPA</v>
      </c>
      <c r="C1257" s="184"/>
      <c r="D1257" s="185"/>
      <c r="E1257" s="185">
        <f>E1223</f>
        <v>2.44</v>
      </c>
      <c r="F1257" s="185">
        <f>F1223</f>
        <v>2.44</v>
      </c>
      <c r="G1257" s="185">
        <v>2.4</v>
      </c>
      <c r="H1257" s="185"/>
      <c r="I1257" s="185"/>
      <c r="J1257" s="185"/>
      <c r="K1257" s="185"/>
      <c r="L1257" s="185"/>
      <c r="M1257" s="185">
        <f>M1223</f>
        <v>13</v>
      </c>
      <c r="N1257" s="205">
        <f>M1257*E1257*F1257*G1257</f>
        <v>185.75232</v>
      </c>
      <c r="O1257" s="185"/>
      <c r="P1257" s="179"/>
      <c r="Q1257" s="169"/>
    </row>
    <row r="1258" spans="1:17" s="170" customFormat="1" ht="10.5" x14ac:dyDescent="0.25">
      <c r="A1258" s="175"/>
      <c r="B1258" s="176"/>
      <c r="C1258" s="184"/>
      <c r="D1258" s="185"/>
      <c r="E1258" s="185"/>
      <c r="F1258" s="185"/>
      <c r="G1258" s="185"/>
      <c r="H1258" s="185"/>
      <c r="I1258" s="185"/>
      <c r="J1258" s="185"/>
      <c r="K1258" s="185"/>
      <c r="L1258" s="185"/>
      <c r="M1258" s="185"/>
      <c r="N1258" s="205"/>
      <c r="O1258" s="185"/>
      <c r="P1258" s="179"/>
      <c r="Q1258" s="169"/>
    </row>
    <row r="1259" spans="1:17" s="170" customFormat="1" ht="10.5" x14ac:dyDescent="0.25">
      <c r="A1259" s="175"/>
      <c r="B1259" s="181" t="s">
        <v>5</v>
      </c>
      <c r="C1259" s="182" t="s">
        <v>1328</v>
      </c>
      <c r="D1259" s="182"/>
      <c r="E1259" s="182"/>
      <c r="F1259" s="182"/>
      <c r="G1259" s="182"/>
      <c r="H1259" s="182"/>
      <c r="I1259" s="182"/>
      <c r="J1259" s="182"/>
      <c r="K1259" s="184"/>
      <c r="L1259" s="182"/>
      <c r="M1259" s="182"/>
      <c r="N1259" s="184">
        <f>SUM(N1247:N1258)</f>
        <v>238.81631999999999</v>
      </c>
      <c r="O1259" s="184"/>
      <c r="P1259" s="183"/>
      <c r="Q1259" s="169"/>
    </row>
    <row r="1260" spans="1:17" s="170" customFormat="1" ht="10.5" x14ac:dyDescent="0.25">
      <c r="A1260" s="165" t="str">
        <f>ORÇAMENTO!A263</f>
        <v>4.1.2.8</v>
      </c>
      <c r="B1260" s="166" t="str">
        <f>VLOOKUP(A1260,ORÇAMENTO!A:K,4,0)</f>
        <v>SERVIÇOS FINAIS PARA DRENAGEM</v>
      </c>
      <c r="C1260" s="167"/>
      <c r="D1260" s="167"/>
      <c r="E1260" s="168"/>
      <c r="F1260" s="168"/>
      <c r="G1260" s="168"/>
      <c r="H1260" s="168"/>
      <c r="I1260" s="168"/>
      <c r="J1260" s="168"/>
      <c r="K1260" s="168"/>
      <c r="L1260" s="168"/>
      <c r="M1260" s="168"/>
      <c r="N1260" s="168"/>
      <c r="O1260" s="168"/>
      <c r="P1260" s="169"/>
      <c r="Q1260" s="169"/>
    </row>
    <row r="1261" spans="1:17" s="174" customFormat="1" ht="21.75" customHeight="1" x14ac:dyDescent="0.25">
      <c r="A1261" s="171" t="str">
        <f>ORÇAMENTO!A264</f>
        <v>4.1.2.8.1</v>
      </c>
      <c r="B1261" s="172" t="str">
        <f>VLOOKUP(A1261,ORÇAMENTO!A:K,4,0)</f>
        <v>LIMPEZA E TESTE DE REDES DE DRENAGEM</v>
      </c>
      <c r="C1261" s="173" t="str">
        <f>VLOOKUP(A1261,ORÇAMENTO!A:K,5,0)</f>
        <v>M</v>
      </c>
      <c r="D1261" s="173">
        <f>ROUND(SUM(E1264:O1264),2)</f>
        <v>940.26</v>
      </c>
      <c r="E1261" s="173" t="s">
        <v>1718</v>
      </c>
      <c r="F1261" s="173" t="s">
        <v>1719</v>
      </c>
      <c r="G1261" s="173" t="s">
        <v>1720</v>
      </c>
      <c r="H1261" s="173" t="s">
        <v>1721</v>
      </c>
      <c r="I1261" s="173" t="s">
        <v>1722</v>
      </c>
      <c r="J1261" s="173" t="s">
        <v>1723</v>
      </c>
      <c r="K1261" s="173" t="s">
        <v>1724</v>
      </c>
      <c r="L1261" s="173" t="s">
        <v>1804</v>
      </c>
      <c r="M1261" s="173" t="s">
        <v>1726</v>
      </c>
      <c r="N1261" s="173" t="s">
        <v>1809</v>
      </c>
      <c r="O1261" s="173" t="s">
        <v>1728</v>
      </c>
      <c r="P1261" s="169"/>
      <c r="Q1261" s="169"/>
    </row>
    <row r="1262" spans="1:17" s="170" customFormat="1" ht="10.5" x14ac:dyDescent="0.25">
      <c r="A1262" s="175"/>
      <c r="B1262" s="176" t="s">
        <v>1843</v>
      </c>
      <c r="C1262" s="184"/>
      <c r="D1262" s="185"/>
      <c r="E1262" s="185">
        <f>Quantitativos!F33</f>
        <v>940.26430040516811</v>
      </c>
      <c r="F1262" s="185"/>
      <c r="G1262" s="185"/>
      <c r="H1262" s="185"/>
      <c r="I1262" s="185"/>
      <c r="J1262" s="185"/>
      <c r="K1262" s="185"/>
      <c r="L1262" s="185"/>
      <c r="M1262" s="185"/>
      <c r="N1262" s="205"/>
      <c r="O1262" s="185"/>
      <c r="P1262" s="179"/>
      <c r="Q1262" s="169"/>
    </row>
    <row r="1263" spans="1:17" s="170" customFormat="1" ht="10.5" x14ac:dyDescent="0.25">
      <c r="A1263" s="175"/>
      <c r="B1263" s="176"/>
      <c r="C1263" s="184"/>
      <c r="D1263" s="185"/>
      <c r="E1263" s="185"/>
      <c r="F1263" s="185"/>
      <c r="G1263" s="185"/>
      <c r="H1263" s="185"/>
      <c r="I1263" s="185"/>
      <c r="J1263" s="185"/>
      <c r="K1263" s="185"/>
      <c r="L1263" s="185"/>
      <c r="M1263" s="185"/>
      <c r="N1263" s="205"/>
      <c r="O1263" s="185"/>
      <c r="P1263" s="179"/>
      <c r="Q1263" s="169"/>
    </row>
    <row r="1264" spans="1:17" s="170" customFormat="1" ht="10.5" x14ac:dyDescent="0.25">
      <c r="A1264" s="175"/>
      <c r="B1264" s="181" t="s">
        <v>5</v>
      </c>
      <c r="C1264" s="182" t="s">
        <v>1328</v>
      </c>
      <c r="D1264" s="182"/>
      <c r="E1264" s="184">
        <f>SUM(E1262:E1263)</f>
        <v>940.26430040516811</v>
      </c>
      <c r="F1264" s="182"/>
      <c r="G1264" s="182"/>
      <c r="H1264" s="182"/>
      <c r="I1264" s="182"/>
      <c r="J1264" s="182"/>
      <c r="K1264" s="185"/>
      <c r="L1264" s="182"/>
      <c r="M1264" s="182"/>
      <c r="N1264" s="184"/>
      <c r="O1264" s="182"/>
      <c r="P1264" s="183"/>
      <c r="Q1264" s="169"/>
    </row>
    <row r="1265" spans="1:19" s="170" customFormat="1" ht="21" x14ac:dyDescent="0.25">
      <c r="A1265" s="165" t="str">
        <f>ORÇAMENTO!A265</f>
        <v>4.2</v>
      </c>
      <c r="B1265" s="166" t="str">
        <f>VLOOKUP(A1265,ORÇAMENTO!A:K,4,0)</f>
        <v>TERRAPLENAGEM (MOVIMENTOS DE TERRA EXCETO OS JÁ INDICADOS NAS DEMAIS PLANILHAS)</v>
      </c>
      <c r="C1265" s="167"/>
      <c r="D1265" s="167"/>
      <c r="E1265" s="168"/>
      <c r="F1265" s="168"/>
      <c r="G1265" s="168"/>
      <c r="H1265" s="168"/>
      <c r="I1265" s="168"/>
      <c r="J1265" s="168"/>
      <c r="K1265" s="168"/>
      <c r="L1265" s="168"/>
      <c r="M1265" s="168"/>
      <c r="N1265" s="168"/>
      <c r="O1265" s="168"/>
      <c r="P1265" s="169"/>
      <c r="Q1265" s="169"/>
    </row>
    <row r="1266" spans="1:19" s="170" customFormat="1" ht="21" x14ac:dyDescent="0.25">
      <c r="A1266" s="165" t="str">
        <f>ORÇAMENTO!A266</f>
        <v>4.2.1</v>
      </c>
      <c r="B1266" s="166" t="str">
        <f>VLOOKUP(A1266,ORÇAMENTO!A:K,4,0)</f>
        <v>PREPARAÇÃO DO TERRENO (RASPAGEM E LIMPEZA)</v>
      </c>
      <c r="C1266" s="167"/>
      <c r="D1266" s="167"/>
      <c r="E1266" s="168"/>
      <c r="F1266" s="168"/>
      <c r="G1266" s="168"/>
      <c r="H1266" s="168"/>
      <c r="I1266" s="168"/>
      <c r="J1266" s="168"/>
      <c r="K1266" s="168"/>
      <c r="L1266" s="168"/>
      <c r="M1266" s="168"/>
      <c r="N1266" s="168"/>
      <c r="O1266" s="168"/>
      <c r="P1266" s="169"/>
      <c r="Q1266" s="169"/>
    </row>
    <row r="1267" spans="1:19" s="189" customFormat="1" ht="45" customHeight="1" x14ac:dyDescent="0.35">
      <c r="A1267" s="171" t="str">
        <f>ORÇAMENTO!A267</f>
        <v>4.2.1.1</v>
      </c>
      <c r="B1267" s="172" t="str">
        <f>VLOOKUP(A1267,ORÇAMENTO!A:K,4,0)</f>
        <v>LIMPEZA MECANIZADA DE CAMADA VEGETAL, VEGETAÇÃO E PEQUENAS ÁRVORES (DIÂMETRO DE TRONCO MENOR QUE 0,20 M), COM TRATOR DE ESTEIRAS. AF_03/2024</v>
      </c>
      <c r="C1267" s="173" t="str">
        <f>VLOOKUP(A1267,ORÇAMENTO!A:K,5,0)</f>
        <v>M²</v>
      </c>
      <c r="D1267" s="173">
        <f>SUM(E1273:O1273)</f>
        <v>4007.34</v>
      </c>
      <c r="E1267" s="173" t="s">
        <v>1718</v>
      </c>
      <c r="F1267" s="173" t="s">
        <v>1719</v>
      </c>
      <c r="G1267" s="173" t="s">
        <v>1720</v>
      </c>
      <c r="H1267" s="173" t="s">
        <v>1721</v>
      </c>
      <c r="I1267" s="173" t="s">
        <v>1722</v>
      </c>
      <c r="J1267" s="173" t="s">
        <v>1723</v>
      </c>
      <c r="K1267" s="173" t="s">
        <v>1724</v>
      </c>
      <c r="L1267" s="173" t="s">
        <v>1844</v>
      </c>
      <c r="M1267" s="207" t="s">
        <v>1750</v>
      </c>
      <c r="N1267" s="173" t="s">
        <v>1727</v>
      </c>
      <c r="O1267" s="173" t="s">
        <v>1728</v>
      </c>
      <c r="P1267" s="169"/>
      <c r="Q1267" s="169"/>
      <c r="R1267" s="169"/>
      <c r="S1267" s="169"/>
    </row>
    <row r="1268" spans="1:19" s="189" customFormat="1" x14ac:dyDescent="0.35">
      <c r="A1268" s="175"/>
      <c r="B1268" s="181" t="s">
        <v>1845</v>
      </c>
      <c r="C1268" s="184"/>
      <c r="D1268" s="184"/>
      <c r="E1268" s="184"/>
      <c r="F1268" s="184"/>
      <c r="G1268" s="184"/>
      <c r="H1268" s="184"/>
      <c r="I1268" s="184"/>
      <c r="J1268" s="184"/>
      <c r="K1268" s="184"/>
      <c r="L1268" s="184"/>
      <c r="M1268" s="184"/>
      <c r="N1268" s="184"/>
      <c r="O1268" s="184"/>
      <c r="P1268" s="169"/>
      <c r="Q1268" s="169"/>
      <c r="R1268" s="169"/>
      <c r="S1268" s="169"/>
    </row>
    <row r="1269" spans="1:19" s="189" customFormat="1" x14ac:dyDescent="0.35">
      <c r="A1269" s="175"/>
      <c r="B1269" s="176" t="s">
        <v>1846</v>
      </c>
      <c r="C1269" s="184"/>
      <c r="D1269" s="184"/>
      <c r="E1269" s="185">
        <v>253.72</v>
      </c>
      <c r="F1269" s="185">
        <v>7.3</v>
      </c>
      <c r="G1269" s="185"/>
      <c r="H1269" s="185">
        <v>0.3</v>
      </c>
      <c r="I1269" s="185"/>
      <c r="J1269" s="185"/>
      <c r="K1269" s="185"/>
      <c r="L1269" s="185"/>
      <c r="M1269" s="184"/>
      <c r="N1269" s="185">
        <f>E1269*F1269</f>
        <v>1852.1559999999999</v>
      </c>
      <c r="O1269" s="184"/>
      <c r="P1269" s="169"/>
      <c r="Q1269" s="169"/>
      <c r="R1269" s="169"/>
      <c r="S1269" s="169"/>
    </row>
    <row r="1270" spans="1:19" s="189" customFormat="1" x14ac:dyDescent="0.35">
      <c r="A1270" s="175"/>
      <c r="B1270" s="176" t="s">
        <v>1847</v>
      </c>
      <c r="C1270" s="184"/>
      <c r="D1270" s="184"/>
      <c r="E1270" s="185">
        <v>116.63</v>
      </c>
      <c r="F1270" s="185">
        <v>7.3</v>
      </c>
      <c r="G1270" s="185"/>
      <c r="H1270" s="185">
        <v>0.3</v>
      </c>
      <c r="I1270" s="185"/>
      <c r="J1270" s="185"/>
      <c r="K1270" s="185"/>
      <c r="L1270" s="185"/>
      <c r="M1270" s="184"/>
      <c r="N1270" s="178">
        <f>E1270*F1270</f>
        <v>851.399</v>
      </c>
      <c r="O1270" s="185"/>
      <c r="P1270" s="169"/>
      <c r="Q1270" s="169"/>
      <c r="R1270" s="169"/>
      <c r="S1270" s="169"/>
    </row>
    <row r="1271" spans="1:19" s="189" customFormat="1" x14ac:dyDescent="0.35">
      <c r="A1271" s="175"/>
      <c r="B1271" s="176" t="s">
        <v>1848</v>
      </c>
      <c r="C1271" s="184"/>
      <c r="D1271" s="184"/>
      <c r="E1271" s="185">
        <v>178.6</v>
      </c>
      <c r="F1271" s="185">
        <v>7.3</v>
      </c>
      <c r="G1271" s="185"/>
      <c r="H1271" s="178">
        <v>0.3</v>
      </c>
      <c r="I1271" s="185"/>
      <c r="J1271" s="185"/>
      <c r="K1271" s="185"/>
      <c r="L1271" s="185"/>
      <c r="M1271" s="184"/>
      <c r="N1271" s="178">
        <f>E1271*F1271</f>
        <v>1303.78</v>
      </c>
      <c r="O1271" s="185"/>
      <c r="P1271" s="169"/>
      <c r="Q1271" s="169"/>
      <c r="R1271" s="169"/>
      <c r="S1271" s="169"/>
    </row>
    <row r="1272" spans="1:19" s="189" customFormat="1" x14ac:dyDescent="0.35">
      <c r="A1272" s="175"/>
      <c r="B1272" s="176"/>
      <c r="C1272" s="184"/>
      <c r="D1272" s="184"/>
      <c r="E1272" s="185"/>
      <c r="F1272" s="185"/>
      <c r="G1272" s="185"/>
      <c r="H1272" s="185"/>
      <c r="I1272" s="185"/>
      <c r="J1272" s="185"/>
      <c r="K1272" s="185"/>
      <c r="L1272" s="185"/>
      <c r="M1272" s="184"/>
      <c r="N1272" s="185"/>
      <c r="O1272" s="185"/>
      <c r="P1272" s="169"/>
      <c r="Q1272" s="169"/>
      <c r="R1272" s="169"/>
      <c r="S1272" s="169"/>
    </row>
    <row r="1273" spans="1:19" s="189" customFormat="1" x14ac:dyDescent="0.35">
      <c r="A1273" s="195"/>
      <c r="B1273" s="181" t="s">
        <v>5</v>
      </c>
      <c r="C1273" s="182" t="s">
        <v>1328</v>
      </c>
      <c r="D1273" s="185"/>
      <c r="E1273" s="182"/>
      <c r="F1273" s="182"/>
      <c r="G1273" s="182"/>
      <c r="H1273" s="182"/>
      <c r="I1273" s="182"/>
      <c r="J1273" s="182"/>
      <c r="K1273" s="182"/>
      <c r="L1273" s="182"/>
      <c r="M1273" s="182"/>
      <c r="N1273" s="182">
        <f>ROUND(SUM(N1269:N1272),2)</f>
        <v>4007.34</v>
      </c>
      <c r="O1273" s="182"/>
      <c r="P1273" s="169"/>
      <c r="Q1273" s="169"/>
      <c r="R1273" s="169"/>
      <c r="S1273" s="169"/>
    </row>
    <row r="1274" spans="1:19" s="189" customFormat="1" ht="44.25" customHeight="1" x14ac:dyDescent="0.35">
      <c r="A1274" s="171" t="str">
        <f>ORÇAMENTO!A268</f>
        <v>4.2.1.2</v>
      </c>
      <c r="B1274" s="172" t="str">
        <f>VLOOKUP(A1274,ORÇAMENTO!A:K,4,0)</f>
        <v>CARGA, MANOBRA E DESCARGA DE ENTULHO EM CAMINHÃO BASCULANTE 14 M³ - CARGA COM ESCAVADEIRA HIDRÁULICA  (CAÇAMBA DE 0,80 M³ / 111 HP) E DESCARGA LIVRE (UNIDADE: M3). AF_07/2020</v>
      </c>
      <c r="C1274" s="173" t="str">
        <f>VLOOKUP(A1274,ORÇAMENTO!A:K,5,0)</f>
        <v>M³</v>
      </c>
      <c r="D1274" s="173">
        <f>SUM(E1280:O1280)</f>
        <v>1202.2</v>
      </c>
      <c r="E1274" s="173" t="s">
        <v>1718</v>
      </c>
      <c r="F1274" s="173" t="s">
        <v>1719</v>
      </c>
      <c r="G1274" s="173" t="s">
        <v>1720</v>
      </c>
      <c r="H1274" s="173" t="s">
        <v>1721</v>
      </c>
      <c r="I1274" s="173" t="s">
        <v>1722</v>
      </c>
      <c r="J1274" s="173" t="s">
        <v>1723</v>
      </c>
      <c r="K1274" s="173" t="s">
        <v>1724</v>
      </c>
      <c r="L1274" s="173" t="s">
        <v>1726</v>
      </c>
      <c r="M1274" s="207" t="s">
        <v>1750</v>
      </c>
      <c r="N1274" s="173" t="s">
        <v>1727</v>
      </c>
      <c r="O1274" s="173" t="s">
        <v>1728</v>
      </c>
      <c r="P1274" s="169"/>
      <c r="Q1274" s="169"/>
      <c r="R1274" s="169"/>
      <c r="S1274" s="169"/>
    </row>
    <row r="1275" spans="1:19" s="189" customFormat="1" x14ac:dyDescent="0.35">
      <c r="A1275" s="175"/>
      <c r="B1275" s="181"/>
      <c r="C1275" s="184"/>
      <c r="D1275" s="184"/>
      <c r="E1275" s="184"/>
      <c r="F1275" s="184"/>
      <c r="G1275" s="184"/>
      <c r="H1275" s="184"/>
      <c r="I1275" s="184"/>
      <c r="J1275" s="184"/>
      <c r="K1275" s="184"/>
      <c r="L1275" s="184"/>
      <c r="M1275" s="184"/>
      <c r="N1275" s="184"/>
      <c r="O1275" s="184"/>
      <c r="P1275" s="169"/>
      <c r="Q1275" s="169"/>
      <c r="R1275" s="169"/>
      <c r="S1275" s="169"/>
    </row>
    <row r="1276" spans="1:19" s="189" customFormat="1" x14ac:dyDescent="0.35">
      <c r="A1276" s="175"/>
      <c r="B1276" s="176" t="str">
        <f>B1269</f>
        <v>VIA 1 - ESTACA 0+0,00 A 12+13,72</v>
      </c>
      <c r="C1276" s="177"/>
      <c r="D1276" s="177"/>
      <c r="E1276" s="177"/>
      <c r="F1276" s="177"/>
      <c r="G1276" s="177"/>
      <c r="H1276" s="178">
        <f>H1269</f>
        <v>0.3</v>
      </c>
      <c r="I1276" s="178"/>
      <c r="J1276" s="178"/>
      <c r="K1276" s="178"/>
      <c r="L1276" s="178"/>
      <c r="M1276" s="178"/>
      <c r="N1276" s="178">
        <f>N1269</f>
        <v>1852.1559999999999</v>
      </c>
      <c r="O1276" s="178">
        <f>H1276*N1276</f>
        <v>555.64679999999998</v>
      </c>
      <c r="P1276" s="169"/>
      <c r="Q1276" s="169"/>
      <c r="R1276" s="169"/>
      <c r="S1276" s="169"/>
    </row>
    <row r="1277" spans="1:19" s="189" customFormat="1" x14ac:dyDescent="0.35">
      <c r="A1277" s="175"/>
      <c r="B1277" s="176" t="str">
        <f>B1270</f>
        <v>VIA 2 - ESTACA 0+0,00 A 5+16,63</v>
      </c>
      <c r="C1277" s="177"/>
      <c r="D1277" s="177"/>
      <c r="E1277" s="177"/>
      <c r="F1277" s="177"/>
      <c r="G1277" s="177"/>
      <c r="H1277" s="178">
        <f>H1270</f>
        <v>0.3</v>
      </c>
      <c r="I1277" s="178"/>
      <c r="J1277" s="178"/>
      <c r="K1277" s="178"/>
      <c r="L1277" s="178"/>
      <c r="M1277" s="178"/>
      <c r="N1277" s="178">
        <f>N1270</f>
        <v>851.399</v>
      </c>
      <c r="O1277" s="178">
        <f>H1277*N1277</f>
        <v>255.41969999999998</v>
      </c>
      <c r="P1277" s="169"/>
      <c r="Q1277" s="169"/>
      <c r="R1277" s="169"/>
      <c r="S1277" s="169"/>
    </row>
    <row r="1278" spans="1:19" s="189" customFormat="1" x14ac:dyDescent="0.35">
      <c r="A1278" s="175"/>
      <c r="B1278" s="176" t="str">
        <f>B1271</f>
        <v>VIA 3 - ESTACA 0+0,00 A 8+18,60</v>
      </c>
      <c r="C1278" s="184"/>
      <c r="D1278" s="184"/>
      <c r="E1278" s="184"/>
      <c r="F1278" s="184"/>
      <c r="G1278" s="184"/>
      <c r="H1278" s="185">
        <f>H1271</f>
        <v>0.3</v>
      </c>
      <c r="I1278" s="185"/>
      <c r="J1278" s="185"/>
      <c r="K1278" s="185"/>
      <c r="L1278" s="185"/>
      <c r="M1278" s="185"/>
      <c r="N1278" s="185">
        <f>N1271</f>
        <v>1303.78</v>
      </c>
      <c r="O1278" s="185">
        <f>H1278*N1278</f>
        <v>391.13399999999996</v>
      </c>
      <c r="P1278" s="169"/>
      <c r="Q1278" s="169"/>
      <c r="R1278" s="169"/>
      <c r="S1278" s="169"/>
    </row>
    <row r="1279" spans="1:19" s="189" customFormat="1" x14ac:dyDescent="0.35">
      <c r="A1279" s="175"/>
      <c r="B1279" s="176"/>
      <c r="C1279" s="184"/>
      <c r="D1279" s="184"/>
      <c r="E1279" s="184"/>
      <c r="F1279" s="184"/>
      <c r="G1279" s="184"/>
      <c r="H1279" s="184"/>
      <c r="I1279" s="184"/>
      <c r="J1279" s="184"/>
      <c r="K1279" s="184"/>
      <c r="L1279" s="184"/>
      <c r="M1279" s="184"/>
      <c r="N1279" s="184"/>
      <c r="O1279" s="184"/>
      <c r="P1279" s="169"/>
      <c r="Q1279" s="169"/>
      <c r="R1279" s="169"/>
      <c r="S1279" s="169"/>
    </row>
    <row r="1280" spans="1:19" s="189" customFormat="1" x14ac:dyDescent="0.35">
      <c r="A1280" s="195"/>
      <c r="B1280" s="181" t="s">
        <v>5</v>
      </c>
      <c r="C1280" s="208" t="s">
        <v>1328</v>
      </c>
      <c r="D1280" s="208"/>
      <c r="E1280" s="208"/>
      <c r="F1280" s="208"/>
      <c r="G1280" s="208"/>
      <c r="H1280" s="208"/>
      <c r="I1280" s="208"/>
      <c r="J1280" s="208"/>
      <c r="K1280" s="208"/>
      <c r="L1280" s="184"/>
      <c r="M1280" s="208"/>
      <c r="N1280" s="208"/>
      <c r="O1280" s="182">
        <f>ROUND(SUM(O1276:O1279),2)</f>
        <v>1202.2</v>
      </c>
      <c r="P1280" s="169"/>
      <c r="Q1280" s="169"/>
      <c r="R1280" s="169"/>
      <c r="S1280" s="169"/>
    </row>
    <row r="1281" spans="1:19" s="189" customFormat="1" ht="31.5" x14ac:dyDescent="0.35">
      <c r="A1281" s="171" t="str">
        <f>ORÇAMENTO!A269</f>
        <v>4.2.1.3</v>
      </c>
      <c r="B1281" s="209" t="str">
        <f>VLOOKUP(A1281,ORÇAMENTO!A:K,4,0)</f>
        <v>TRANSPORTE COM CAMINHÃO BASCULANTE DE 14 M³, EM VIA URBANA PAVIMENTADA, DMT ATÉ 30 KM (UNIDADE: M3XKM). AF_07/2020</v>
      </c>
      <c r="C1281" s="207" t="str">
        <f>VLOOKUP(A1281,ORÇAMENTO!A:K,5,0)</f>
        <v>M3XKM</v>
      </c>
      <c r="D1281" s="207">
        <f>SUM(E1288:O1288)</f>
        <v>36066.019999999997</v>
      </c>
      <c r="E1281" s="207" t="s">
        <v>1749</v>
      </c>
      <c r="F1281" s="207" t="s">
        <v>1849</v>
      </c>
      <c r="G1281" s="207" t="s">
        <v>1850</v>
      </c>
      <c r="H1281" s="207" t="s">
        <v>1851</v>
      </c>
      <c r="I1281" s="207" t="s">
        <v>1722</v>
      </c>
      <c r="J1281" s="207" t="s">
        <v>1723</v>
      </c>
      <c r="K1281" s="207" t="s">
        <v>1724</v>
      </c>
      <c r="L1281" s="207" t="s">
        <v>1726</v>
      </c>
      <c r="M1281" s="207" t="s">
        <v>1750</v>
      </c>
      <c r="N1281" s="207" t="s">
        <v>1727</v>
      </c>
      <c r="O1281" s="207" t="s">
        <v>1728</v>
      </c>
      <c r="P1281" s="169"/>
      <c r="Q1281" s="169"/>
      <c r="R1281" s="169"/>
      <c r="S1281" s="169"/>
    </row>
    <row r="1282" spans="1:19" s="189" customFormat="1" x14ac:dyDescent="0.35">
      <c r="A1282" s="210"/>
      <c r="B1282" s="181" t="s">
        <v>1852</v>
      </c>
      <c r="C1282" s="177"/>
      <c r="D1282" s="178"/>
      <c r="E1282" s="185">
        <v>30</v>
      </c>
      <c r="F1282" s="211"/>
      <c r="G1282" s="211"/>
      <c r="H1282" s="211"/>
      <c r="I1282" s="211"/>
      <c r="J1282" s="211"/>
      <c r="K1282" s="211"/>
      <c r="L1282" s="211"/>
      <c r="M1282" s="211"/>
      <c r="N1282" s="211"/>
      <c r="O1282" s="211"/>
      <c r="P1282" s="169"/>
      <c r="Q1282" s="169"/>
      <c r="R1282" s="169"/>
      <c r="S1282" s="169"/>
    </row>
    <row r="1283" spans="1:19" s="164" customFormat="1" x14ac:dyDescent="0.35">
      <c r="A1283" s="175"/>
      <c r="B1283" s="176"/>
      <c r="C1283" s="185"/>
      <c r="D1283" s="185"/>
      <c r="E1283" s="185"/>
      <c r="F1283" s="185"/>
      <c r="G1283" s="185"/>
      <c r="H1283" s="185"/>
      <c r="I1283" s="185"/>
      <c r="J1283" s="185"/>
      <c r="K1283" s="185"/>
      <c r="L1283" s="212"/>
      <c r="M1283" s="185"/>
      <c r="N1283" s="185"/>
      <c r="O1283" s="185"/>
      <c r="P1283" s="194"/>
      <c r="Q1283" s="194"/>
      <c r="R1283" s="194"/>
      <c r="S1283" s="194"/>
    </row>
    <row r="1284" spans="1:19" s="164" customFormat="1" x14ac:dyDescent="0.35">
      <c r="A1284" s="175"/>
      <c r="B1284" s="176" t="str">
        <f>B1276</f>
        <v>VIA 1 - ESTACA 0+0,00 A 12+13,72</v>
      </c>
      <c r="C1284" s="185"/>
      <c r="D1284" s="185"/>
      <c r="E1284" s="185"/>
      <c r="F1284" s="185"/>
      <c r="G1284" s="185"/>
      <c r="H1284" s="185"/>
      <c r="I1284" s="185"/>
      <c r="J1284" s="185"/>
      <c r="K1284" s="185"/>
      <c r="L1284" s="212"/>
      <c r="M1284" s="185">
        <f>$E$1282*O1284</f>
        <v>16669.403999999999</v>
      </c>
      <c r="N1284" s="185"/>
      <c r="O1284" s="185">
        <f>O1276</f>
        <v>555.64679999999998</v>
      </c>
      <c r="P1284" s="194"/>
      <c r="Q1284" s="194"/>
      <c r="R1284" s="194"/>
      <c r="S1284" s="194"/>
    </row>
    <row r="1285" spans="1:19" s="164" customFormat="1" x14ac:dyDescent="0.35">
      <c r="A1285" s="175"/>
      <c r="B1285" s="176" t="str">
        <f>B1277</f>
        <v>VIA 2 - ESTACA 0+0,00 A 5+16,63</v>
      </c>
      <c r="C1285" s="185"/>
      <c r="D1285" s="185"/>
      <c r="E1285" s="185"/>
      <c r="F1285" s="185"/>
      <c r="G1285" s="185"/>
      <c r="H1285" s="185"/>
      <c r="I1285" s="185"/>
      <c r="J1285" s="185"/>
      <c r="K1285" s="185"/>
      <c r="L1285" s="212"/>
      <c r="M1285" s="185">
        <f>$E$1282*O1285</f>
        <v>7662.5909999999994</v>
      </c>
      <c r="N1285" s="185"/>
      <c r="O1285" s="185">
        <f>O1277</f>
        <v>255.41969999999998</v>
      </c>
      <c r="P1285" s="194"/>
      <c r="Q1285" s="194"/>
      <c r="R1285" s="194"/>
      <c r="S1285" s="194"/>
    </row>
    <row r="1286" spans="1:19" s="164" customFormat="1" x14ac:dyDescent="0.35">
      <c r="A1286" s="175"/>
      <c r="B1286" s="176" t="str">
        <f>B1278</f>
        <v>VIA 3 - ESTACA 0+0,00 A 8+18,60</v>
      </c>
      <c r="C1286" s="185"/>
      <c r="D1286" s="185"/>
      <c r="E1286" s="185"/>
      <c r="F1286" s="185"/>
      <c r="G1286" s="185"/>
      <c r="H1286" s="185"/>
      <c r="I1286" s="185"/>
      <c r="J1286" s="185"/>
      <c r="K1286" s="185"/>
      <c r="L1286" s="212"/>
      <c r="M1286" s="185">
        <f>$E$1282*O1286</f>
        <v>11734.019999999999</v>
      </c>
      <c r="N1286" s="185"/>
      <c r="O1286" s="185">
        <f>O1278</f>
        <v>391.13399999999996</v>
      </c>
      <c r="P1286" s="194"/>
      <c r="Q1286" s="194"/>
      <c r="R1286" s="194"/>
      <c r="S1286" s="194"/>
    </row>
    <row r="1287" spans="1:19" s="164" customFormat="1" x14ac:dyDescent="0.35">
      <c r="A1287" s="175"/>
      <c r="B1287" s="176"/>
      <c r="C1287" s="185"/>
      <c r="D1287" s="185"/>
      <c r="E1287" s="185"/>
      <c r="F1287" s="185"/>
      <c r="G1287" s="185"/>
      <c r="H1287" s="185"/>
      <c r="I1287" s="185"/>
      <c r="J1287" s="185"/>
      <c r="K1287" s="185"/>
      <c r="L1287" s="212"/>
      <c r="M1287" s="185"/>
      <c r="N1287" s="185"/>
      <c r="O1287" s="185"/>
      <c r="P1287" s="194"/>
      <c r="Q1287" s="194"/>
      <c r="R1287" s="194"/>
      <c r="S1287" s="194"/>
    </row>
    <row r="1288" spans="1:19" s="189" customFormat="1" x14ac:dyDescent="0.35">
      <c r="A1288" s="195"/>
      <c r="B1288" s="181" t="s">
        <v>5</v>
      </c>
      <c r="C1288" s="182" t="s">
        <v>1328</v>
      </c>
      <c r="D1288" s="182"/>
      <c r="E1288" s="182"/>
      <c r="F1288" s="182"/>
      <c r="G1288" s="182">
        <f>SUM(G1283:G1287)</f>
        <v>0</v>
      </c>
      <c r="H1288" s="182"/>
      <c r="I1288" s="182"/>
      <c r="J1288" s="182"/>
      <c r="K1288" s="182"/>
      <c r="L1288" s="182"/>
      <c r="M1288" s="182">
        <f>ROUND(SUM(M1284:M1287),2)</f>
        <v>36066.019999999997</v>
      </c>
      <c r="N1288" s="182"/>
      <c r="O1288" s="182"/>
      <c r="P1288" s="169"/>
      <c r="Q1288" s="169"/>
      <c r="R1288" s="169"/>
      <c r="S1288" s="169"/>
    </row>
    <row r="1289" spans="1:19" s="189" customFormat="1" ht="42" x14ac:dyDescent="0.35">
      <c r="A1289" s="171" t="str">
        <f>ORÇAMENTO!A270</f>
        <v>4.2.1.4</v>
      </c>
      <c r="B1289" s="172" t="str">
        <f>VLOOKUP(A1289,ORÇAMENTO!A:K,4,0)</f>
        <v>TRANSPORTE COM CAMINHÃO BASCULANTE DE 14 M³, EM VIA URBANA PAVIMENTADA, ADICIONAL PARA DMT EXCEDENTE A 30 KM (UNIDADE: M3XKM). AF_07/2020</v>
      </c>
      <c r="C1289" s="173" t="str">
        <f>VLOOKUP(A1289,ORÇAMENTO!A:K,5,0)</f>
        <v>M3XKM</v>
      </c>
      <c r="D1289" s="173">
        <f>SUM(E1296:O1296)</f>
        <v>54099.02</v>
      </c>
      <c r="E1289" s="173" t="s">
        <v>1752</v>
      </c>
      <c r="F1289" s="173" t="s">
        <v>1719</v>
      </c>
      <c r="G1289" s="173" t="s">
        <v>1720</v>
      </c>
      <c r="H1289" s="173" t="s">
        <v>1721</v>
      </c>
      <c r="I1289" s="173" t="s">
        <v>1722</v>
      </c>
      <c r="J1289" s="173" t="s">
        <v>1723</v>
      </c>
      <c r="K1289" s="173" t="s">
        <v>1746</v>
      </c>
      <c r="L1289" s="173" t="s">
        <v>1753</v>
      </c>
      <c r="M1289" s="173" t="s">
        <v>1750</v>
      </c>
      <c r="N1289" s="173" t="s">
        <v>1727</v>
      </c>
      <c r="O1289" s="173" t="s">
        <v>1728</v>
      </c>
      <c r="P1289" s="169"/>
      <c r="Q1289" s="169"/>
      <c r="R1289" s="169"/>
      <c r="S1289" s="169"/>
    </row>
    <row r="1290" spans="1:19" s="170" customFormat="1" ht="10.5" x14ac:dyDescent="0.25">
      <c r="A1290" s="175"/>
      <c r="B1290" s="181" t="s">
        <v>1852</v>
      </c>
      <c r="C1290" s="177"/>
      <c r="D1290" s="178"/>
      <c r="E1290" s="178">
        <v>45</v>
      </c>
      <c r="F1290" s="178"/>
      <c r="G1290" s="178"/>
      <c r="H1290" s="178"/>
      <c r="I1290" s="178"/>
      <c r="J1290" s="178"/>
      <c r="K1290" s="178"/>
      <c r="L1290" s="190"/>
      <c r="M1290" s="178"/>
      <c r="N1290" s="178"/>
      <c r="O1290" s="178"/>
      <c r="P1290" s="179"/>
      <c r="Q1290" s="169"/>
    </row>
    <row r="1291" spans="1:19" s="164" customFormat="1" x14ac:dyDescent="0.35">
      <c r="A1291" s="175"/>
      <c r="B1291" s="176"/>
      <c r="C1291" s="185"/>
      <c r="D1291" s="185"/>
      <c r="E1291" s="185"/>
      <c r="F1291" s="185"/>
      <c r="G1291" s="185"/>
      <c r="H1291" s="185"/>
      <c r="I1291" s="185"/>
      <c r="J1291" s="185"/>
      <c r="K1291" s="185"/>
      <c r="L1291" s="212"/>
      <c r="M1291" s="185"/>
      <c r="N1291" s="185"/>
      <c r="O1291" s="185"/>
      <c r="P1291" s="194"/>
      <c r="Q1291" s="194"/>
      <c r="R1291" s="194"/>
      <c r="S1291" s="194"/>
    </row>
    <row r="1292" spans="1:19" s="164" customFormat="1" x14ac:dyDescent="0.35">
      <c r="A1292" s="175"/>
      <c r="B1292" s="176" t="str">
        <f>B1284</f>
        <v>VIA 1 - ESTACA 0+0,00 A 12+13,72</v>
      </c>
      <c r="C1292" s="185"/>
      <c r="D1292" s="185"/>
      <c r="E1292" s="185"/>
      <c r="F1292" s="185"/>
      <c r="G1292" s="185"/>
      <c r="H1292" s="185"/>
      <c r="I1292" s="185"/>
      <c r="J1292" s="185"/>
      <c r="K1292" s="185"/>
      <c r="L1292" s="212"/>
      <c r="M1292" s="185">
        <f>$E$1290*O1292</f>
        <v>25004.106</v>
      </c>
      <c r="N1292" s="185"/>
      <c r="O1292" s="185">
        <f>O1284</f>
        <v>555.64679999999998</v>
      </c>
      <c r="P1292" s="194"/>
      <c r="Q1292" s="194"/>
      <c r="R1292" s="194"/>
      <c r="S1292" s="194"/>
    </row>
    <row r="1293" spans="1:19" s="164" customFormat="1" x14ac:dyDescent="0.35">
      <c r="A1293" s="175"/>
      <c r="B1293" s="176" t="str">
        <f t="shared" ref="B1293:B1294" si="27">B1285</f>
        <v>VIA 2 - ESTACA 0+0,00 A 5+16,63</v>
      </c>
      <c r="C1293" s="185"/>
      <c r="D1293" s="185"/>
      <c r="E1293" s="185"/>
      <c r="F1293" s="185"/>
      <c r="G1293" s="185"/>
      <c r="H1293" s="185"/>
      <c r="I1293" s="185"/>
      <c r="J1293" s="185"/>
      <c r="K1293" s="185"/>
      <c r="L1293" s="212"/>
      <c r="M1293" s="185">
        <f>$E$1290*O1293</f>
        <v>11493.886499999999</v>
      </c>
      <c r="N1293" s="185"/>
      <c r="O1293" s="185">
        <f t="shared" ref="O1293:O1294" si="28">O1285</f>
        <v>255.41969999999998</v>
      </c>
      <c r="P1293" s="194"/>
      <c r="Q1293" s="194"/>
      <c r="R1293" s="194"/>
      <c r="S1293" s="194"/>
    </row>
    <row r="1294" spans="1:19" s="164" customFormat="1" x14ac:dyDescent="0.35">
      <c r="A1294" s="175"/>
      <c r="B1294" s="176" t="str">
        <f t="shared" si="27"/>
        <v>VIA 3 - ESTACA 0+0,00 A 8+18,60</v>
      </c>
      <c r="C1294" s="185"/>
      <c r="D1294" s="185"/>
      <c r="E1294" s="185"/>
      <c r="F1294" s="185"/>
      <c r="G1294" s="185"/>
      <c r="H1294" s="185"/>
      <c r="I1294" s="185"/>
      <c r="J1294" s="185"/>
      <c r="K1294" s="185"/>
      <c r="L1294" s="212"/>
      <c r="M1294" s="185">
        <f>$E$1290*O1294</f>
        <v>17601.03</v>
      </c>
      <c r="N1294" s="185"/>
      <c r="O1294" s="185">
        <f t="shared" si="28"/>
        <v>391.13399999999996</v>
      </c>
      <c r="P1294" s="194"/>
      <c r="Q1294" s="194"/>
      <c r="R1294" s="194"/>
      <c r="S1294" s="194"/>
    </row>
    <row r="1295" spans="1:19" s="164" customFormat="1" x14ac:dyDescent="0.35">
      <c r="A1295" s="175"/>
      <c r="B1295" s="176"/>
      <c r="C1295" s="185"/>
      <c r="D1295" s="185"/>
      <c r="E1295" s="185"/>
      <c r="F1295" s="185"/>
      <c r="G1295" s="185"/>
      <c r="H1295" s="185"/>
      <c r="I1295" s="185"/>
      <c r="J1295" s="185"/>
      <c r="K1295" s="185"/>
      <c r="L1295" s="212"/>
      <c r="M1295" s="185"/>
      <c r="N1295" s="185"/>
      <c r="O1295" s="185"/>
      <c r="P1295" s="194"/>
      <c r="Q1295" s="194"/>
      <c r="R1295" s="194"/>
      <c r="S1295" s="194"/>
    </row>
    <row r="1296" spans="1:19" s="170" customFormat="1" ht="10.5" x14ac:dyDescent="0.25">
      <c r="A1296" s="175"/>
      <c r="B1296" s="181" t="s">
        <v>5</v>
      </c>
      <c r="C1296" s="182" t="s">
        <v>1328</v>
      </c>
      <c r="D1296" s="182"/>
      <c r="E1296" s="182"/>
      <c r="F1296" s="182"/>
      <c r="G1296" s="182"/>
      <c r="H1296" s="182"/>
      <c r="I1296" s="182"/>
      <c r="J1296" s="182"/>
      <c r="K1296" s="182"/>
      <c r="L1296" s="182"/>
      <c r="M1296" s="182">
        <f>ROUND(SUM(M1292:M1295),2)</f>
        <v>54099.02</v>
      </c>
      <c r="N1296" s="182"/>
      <c r="O1296" s="182"/>
      <c r="P1296" s="183"/>
      <c r="Q1296" s="169"/>
    </row>
    <row r="1297" spans="1:19" s="189" customFormat="1" ht="21" x14ac:dyDescent="0.35">
      <c r="A1297" s="171" t="str">
        <f>ORÇAMENTO!A271</f>
        <v>4.2.1.5</v>
      </c>
      <c r="B1297" s="172" t="str">
        <f>VLOOKUP(A1297,ORÇAMENTO!A:K,4,0)</f>
        <v>ESPALHAMENTO DE MATERIAL COM TRATOR DE ESTEIRAS. AF_09/2024</v>
      </c>
      <c r="C1297" s="173" t="str">
        <f>VLOOKUP(A1297,ORÇAMENTO!A:K,5,0)</f>
        <v>M³</v>
      </c>
      <c r="D1297" s="173">
        <f>SUM(E1303:O1303)</f>
        <v>1202.2</v>
      </c>
      <c r="E1297" s="173" t="s">
        <v>1752</v>
      </c>
      <c r="F1297" s="173" t="s">
        <v>1719</v>
      </c>
      <c r="G1297" s="173" t="s">
        <v>1720</v>
      </c>
      <c r="H1297" s="173" t="s">
        <v>1721</v>
      </c>
      <c r="I1297" s="173" t="s">
        <v>1722</v>
      </c>
      <c r="J1297" s="173" t="s">
        <v>1723</v>
      </c>
      <c r="K1297" s="173" t="s">
        <v>1746</v>
      </c>
      <c r="L1297" s="173" t="s">
        <v>1753</v>
      </c>
      <c r="M1297" s="173" t="s">
        <v>1750</v>
      </c>
      <c r="N1297" s="173" t="s">
        <v>1727</v>
      </c>
      <c r="O1297" s="173" t="s">
        <v>1728</v>
      </c>
      <c r="P1297" s="169"/>
      <c r="Q1297" s="169"/>
      <c r="R1297" s="169"/>
      <c r="S1297" s="169"/>
    </row>
    <row r="1298" spans="1:19" s="170" customFormat="1" ht="10.5" x14ac:dyDescent="0.25">
      <c r="A1298" s="175"/>
      <c r="B1298" s="181" t="s">
        <v>1775</v>
      </c>
      <c r="C1298" s="177"/>
      <c r="D1298" s="178"/>
      <c r="E1298" s="178"/>
      <c r="F1298" s="178"/>
      <c r="G1298" s="178"/>
      <c r="H1298" s="178"/>
      <c r="I1298" s="178"/>
      <c r="J1298" s="178"/>
      <c r="K1298" s="178"/>
      <c r="L1298" s="190"/>
      <c r="M1298" s="178"/>
      <c r="N1298" s="178"/>
      <c r="O1298" s="178"/>
      <c r="P1298" s="179"/>
      <c r="Q1298" s="169"/>
    </row>
    <row r="1299" spans="1:19" s="164" customFormat="1" x14ac:dyDescent="0.35">
      <c r="A1299" s="175"/>
      <c r="B1299" s="176" t="str">
        <f>B1292</f>
        <v>VIA 1 - ESTACA 0+0,00 A 12+13,72</v>
      </c>
      <c r="C1299" s="185"/>
      <c r="D1299" s="185"/>
      <c r="E1299" s="185"/>
      <c r="F1299" s="185"/>
      <c r="G1299" s="185"/>
      <c r="H1299" s="185"/>
      <c r="I1299" s="185"/>
      <c r="J1299" s="185"/>
      <c r="K1299" s="185"/>
      <c r="L1299" s="212"/>
      <c r="M1299" s="185"/>
      <c r="N1299" s="185"/>
      <c r="O1299" s="185">
        <f>O1292</f>
        <v>555.64679999999998</v>
      </c>
      <c r="P1299" s="194"/>
      <c r="Q1299" s="194"/>
      <c r="R1299" s="194"/>
      <c r="S1299" s="194"/>
    </row>
    <row r="1300" spans="1:19" s="164" customFormat="1" x14ac:dyDescent="0.35">
      <c r="A1300" s="175"/>
      <c r="B1300" s="176" t="str">
        <f t="shared" ref="B1300:B1301" si="29">B1293</f>
        <v>VIA 2 - ESTACA 0+0,00 A 5+16,63</v>
      </c>
      <c r="C1300" s="185"/>
      <c r="D1300" s="185"/>
      <c r="E1300" s="185"/>
      <c r="F1300" s="185"/>
      <c r="G1300" s="185"/>
      <c r="H1300" s="185"/>
      <c r="I1300" s="185"/>
      <c r="J1300" s="185"/>
      <c r="K1300" s="185"/>
      <c r="L1300" s="212"/>
      <c r="M1300" s="185"/>
      <c r="N1300" s="185"/>
      <c r="O1300" s="185">
        <f t="shared" ref="O1300:O1301" si="30">O1293</f>
        <v>255.41969999999998</v>
      </c>
      <c r="P1300" s="194"/>
      <c r="Q1300" s="194"/>
      <c r="R1300" s="194"/>
      <c r="S1300" s="194"/>
    </row>
    <row r="1301" spans="1:19" s="164" customFormat="1" x14ac:dyDescent="0.35">
      <c r="A1301" s="175"/>
      <c r="B1301" s="176" t="str">
        <f t="shared" si="29"/>
        <v>VIA 3 - ESTACA 0+0,00 A 8+18,60</v>
      </c>
      <c r="C1301" s="185"/>
      <c r="D1301" s="185"/>
      <c r="E1301" s="185"/>
      <c r="F1301" s="185"/>
      <c r="G1301" s="185"/>
      <c r="H1301" s="185"/>
      <c r="I1301" s="185"/>
      <c r="J1301" s="185"/>
      <c r="K1301" s="185"/>
      <c r="L1301" s="212"/>
      <c r="M1301" s="185"/>
      <c r="N1301" s="185"/>
      <c r="O1301" s="185">
        <f t="shared" si="30"/>
        <v>391.13399999999996</v>
      </c>
      <c r="P1301" s="194"/>
      <c r="Q1301" s="194"/>
      <c r="R1301" s="194"/>
      <c r="S1301" s="194"/>
    </row>
    <row r="1302" spans="1:19" s="164" customFormat="1" x14ac:dyDescent="0.35">
      <c r="A1302" s="175"/>
      <c r="B1302" s="176"/>
      <c r="C1302" s="185"/>
      <c r="D1302" s="185"/>
      <c r="E1302" s="185"/>
      <c r="F1302" s="185"/>
      <c r="G1302" s="185"/>
      <c r="H1302" s="185"/>
      <c r="I1302" s="185"/>
      <c r="J1302" s="185"/>
      <c r="K1302" s="185"/>
      <c r="L1302" s="212"/>
      <c r="M1302" s="185"/>
      <c r="N1302" s="185"/>
      <c r="O1302" s="185"/>
      <c r="P1302" s="194"/>
      <c r="Q1302" s="194"/>
      <c r="R1302" s="194"/>
      <c r="S1302" s="194"/>
    </row>
    <row r="1303" spans="1:19" s="170" customFormat="1" ht="10.5" x14ac:dyDescent="0.25">
      <c r="A1303" s="175"/>
      <c r="B1303" s="181" t="s">
        <v>5</v>
      </c>
      <c r="C1303" s="182" t="s">
        <v>1328</v>
      </c>
      <c r="D1303" s="182"/>
      <c r="E1303" s="182"/>
      <c r="F1303" s="182"/>
      <c r="G1303" s="182"/>
      <c r="H1303" s="182"/>
      <c r="I1303" s="182"/>
      <c r="J1303" s="182"/>
      <c r="K1303" s="182"/>
      <c r="L1303" s="182"/>
      <c r="M1303" s="182"/>
      <c r="N1303" s="182"/>
      <c r="O1303" s="182">
        <f>ROUND(SUM(O1299:O1302),2)</f>
        <v>1202.2</v>
      </c>
      <c r="P1303" s="183"/>
      <c r="Q1303" s="169"/>
    </row>
    <row r="1304" spans="1:19" s="170" customFormat="1" ht="21" x14ac:dyDescent="0.25">
      <c r="A1304" s="165" t="str">
        <f>ORÇAMENTO!A272</f>
        <v>4.2.2</v>
      </c>
      <c r="B1304" s="166" t="str">
        <f>VLOOKUP(A1304,ORÇAMENTO!A:K,4,0)</f>
        <v>CORTE COM TRANSPORTE LOCAL PARA ATERRO DE COMPENSAÇÃO</v>
      </c>
      <c r="C1304" s="167"/>
      <c r="D1304" s="167"/>
      <c r="E1304" s="168"/>
      <c r="F1304" s="168"/>
      <c r="G1304" s="168"/>
      <c r="H1304" s="168"/>
      <c r="I1304" s="168"/>
      <c r="J1304" s="168"/>
      <c r="K1304" s="168"/>
      <c r="L1304" s="168"/>
      <c r="M1304" s="168"/>
      <c r="N1304" s="168"/>
      <c r="O1304" s="168"/>
      <c r="P1304" s="169"/>
      <c r="Q1304" s="169"/>
    </row>
    <row r="1305" spans="1:19" s="189" customFormat="1" ht="63" x14ac:dyDescent="0.35">
      <c r="A1305" s="171" t="str">
        <f>ORÇAMENTO!A273</f>
        <v>4.2.2.1</v>
      </c>
      <c r="B1305" s="172" t="str">
        <f>VLOOKUP(A1305,ORÇAMENTO!A:K,4,0)</f>
        <v>ESCAVAÇÃO HORIZONTAL, INCLUINDO CARGA, DESCARGA E TRANSPORTE EM SOLO DE 1A CATEGORIA COM TRATOR DE ESTEIRAS (170HP/LÂMINA: 5,20M3) E CAMINHÃO BASCULANTE DE 14M3, DMT ATÉ 200M. AF_07/2020</v>
      </c>
      <c r="C1305" s="173" t="str">
        <f>VLOOKUP(A1305,ORÇAMENTO!A:K,5,0)</f>
        <v>M³</v>
      </c>
      <c r="D1305" s="173">
        <f>SUM(E1311:O1311)</f>
        <v>3026.63</v>
      </c>
      <c r="E1305" s="173" t="s">
        <v>1718</v>
      </c>
      <c r="F1305" s="173" t="s">
        <v>1719</v>
      </c>
      <c r="G1305" s="173" t="s">
        <v>1720</v>
      </c>
      <c r="H1305" s="173" t="s">
        <v>1721</v>
      </c>
      <c r="I1305" s="173" t="s">
        <v>1722</v>
      </c>
      <c r="J1305" s="173" t="s">
        <v>1723</v>
      </c>
      <c r="K1305" s="173" t="s">
        <v>1724</v>
      </c>
      <c r="L1305" s="173" t="s">
        <v>1753</v>
      </c>
      <c r="M1305" s="207" t="s">
        <v>1750</v>
      </c>
      <c r="N1305" s="173" t="s">
        <v>1727</v>
      </c>
      <c r="O1305" s="173" t="s">
        <v>1728</v>
      </c>
      <c r="P1305" s="169"/>
      <c r="Q1305" s="169"/>
      <c r="R1305" s="169"/>
      <c r="S1305" s="169"/>
    </row>
    <row r="1306" spans="1:19" s="189" customFormat="1" x14ac:dyDescent="0.35">
      <c r="A1306" s="175"/>
      <c r="B1306" s="181" t="s">
        <v>1845</v>
      </c>
      <c r="C1306" s="177"/>
      <c r="D1306" s="177"/>
      <c r="E1306" s="178"/>
      <c r="F1306" s="178"/>
      <c r="G1306" s="178"/>
      <c r="H1306" s="178"/>
      <c r="I1306" s="178"/>
      <c r="J1306" s="178"/>
      <c r="K1306" s="178"/>
      <c r="L1306" s="178"/>
      <c r="M1306" s="178"/>
      <c r="N1306" s="178"/>
      <c r="O1306" s="178"/>
      <c r="P1306" s="169"/>
      <c r="Q1306" s="169"/>
      <c r="R1306" s="169"/>
      <c r="S1306" s="169"/>
    </row>
    <row r="1307" spans="1:19" s="189" customFormat="1" x14ac:dyDescent="0.35">
      <c r="A1307" s="175"/>
      <c r="B1307" s="176" t="str">
        <f>B1299</f>
        <v>VIA 1 - ESTACA 0+0,00 A 12+13,72</v>
      </c>
      <c r="C1307" s="184"/>
      <c r="D1307" s="184"/>
      <c r="E1307" s="185"/>
      <c r="F1307" s="185"/>
      <c r="G1307" s="185"/>
      <c r="H1307" s="185"/>
      <c r="I1307" s="185"/>
      <c r="J1307" s="185"/>
      <c r="K1307" s="185"/>
      <c r="L1307" s="185"/>
      <c r="M1307" s="185"/>
      <c r="N1307" s="185"/>
      <c r="O1307" s="185">
        <v>1531.29</v>
      </c>
      <c r="P1307" s="169"/>
      <c r="Q1307" s="169"/>
      <c r="R1307" s="169"/>
      <c r="S1307" s="169"/>
    </row>
    <row r="1308" spans="1:19" s="189" customFormat="1" x14ac:dyDescent="0.35">
      <c r="A1308" s="175"/>
      <c r="B1308" s="176" t="str">
        <f>B1300</f>
        <v>VIA 2 - ESTACA 0+0,00 A 5+16,63</v>
      </c>
      <c r="C1308" s="184"/>
      <c r="D1308" s="184"/>
      <c r="E1308" s="185"/>
      <c r="F1308" s="185"/>
      <c r="G1308" s="185"/>
      <c r="H1308" s="185"/>
      <c r="I1308" s="185"/>
      <c r="J1308" s="185"/>
      <c r="K1308" s="185"/>
      <c r="L1308" s="185"/>
      <c r="M1308" s="185"/>
      <c r="N1308" s="185"/>
      <c r="O1308" s="185">
        <v>613.08000000000004</v>
      </c>
      <c r="P1308" s="169"/>
      <c r="Q1308" s="169"/>
      <c r="R1308" s="169"/>
      <c r="S1308" s="169"/>
    </row>
    <row r="1309" spans="1:19" s="189" customFormat="1" x14ac:dyDescent="0.35">
      <c r="A1309" s="175"/>
      <c r="B1309" s="176" t="str">
        <f>B1301</f>
        <v>VIA 3 - ESTACA 0+0,00 A 8+18,60</v>
      </c>
      <c r="C1309" s="184"/>
      <c r="D1309" s="184"/>
      <c r="E1309" s="185"/>
      <c r="F1309" s="185"/>
      <c r="G1309" s="185"/>
      <c r="H1309" s="185"/>
      <c r="I1309" s="185"/>
      <c r="J1309" s="185"/>
      <c r="K1309" s="185"/>
      <c r="L1309" s="185"/>
      <c r="M1309" s="185"/>
      <c r="N1309" s="185"/>
      <c r="O1309" s="185">
        <v>882.26</v>
      </c>
      <c r="P1309" s="169"/>
      <c r="Q1309" s="169"/>
      <c r="R1309" s="169"/>
      <c r="S1309" s="169"/>
    </row>
    <row r="1310" spans="1:19" s="189" customFormat="1" x14ac:dyDescent="0.35">
      <c r="A1310" s="175"/>
      <c r="B1310" s="176"/>
      <c r="C1310" s="184"/>
      <c r="D1310" s="184"/>
      <c r="E1310" s="185"/>
      <c r="F1310" s="185"/>
      <c r="G1310" s="185"/>
      <c r="H1310" s="185"/>
      <c r="I1310" s="185"/>
      <c r="J1310" s="185"/>
      <c r="K1310" s="185"/>
      <c r="L1310" s="185"/>
      <c r="M1310" s="185"/>
      <c r="N1310" s="185"/>
      <c r="O1310" s="185"/>
      <c r="P1310" s="169"/>
      <c r="Q1310" s="169"/>
      <c r="R1310" s="169"/>
      <c r="S1310" s="169"/>
    </row>
    <row r="1311" spans="1:19" s="189" customFormat="1" x14ac:dyDescent="0.35">
      <c r="A1311" s="195"/>
      <c r="B1311" s="181" t="s">
        <v>5</v>
      </c>
      <c r="C1311" s="182" t="s">
        <v>1328</v>
      </c>
      <c r="D1311" s="182"/>
      <c r="E1311" s="182"/>
      <c r="F1311" s="182"/>
      <c r="G1311" s="182"/>
      <c r="H1311" s="182"/>
      <c r="I1311" s="182"/>
      <c r="J1311" s="182"/>
      <c r="K1311" s="182"/>
      <c r="L1311" s="182"/>
      <c r="M1311" s="182"/>
      <c r="N1311" s="182"/>
      <c r="O1311" s="182">
        <f>SUM(O1307:O1309)</f>
        <v>3026.63</v>
      </c>
      <c r="P1311" s="169"/>
      <c r="Q1311" s="169"/>
      <c r="R1311" s="169"/>
      <c r="S1311" s="169"/>
    </row>
    <row r="1312" spans="1:19" s="189" customFormat="1" ht="31.5" x14ac:dyDescent="0.35">
      <c r="A1312" s="171" t="str">
        <f>ORÇAMENTO!A274</f>
        <v>4.2.2.2</v>
      </c>
      <c r="B1312" s="172" t="str">
        <f>VLOOKUP(A1312,ORÇAMENTO!A:K,4,0)</f>
        <v>TRANSPORTE COM CAMINHÃO BASCULANTE DE 14 M³, EM VIA URBANA PAVIMENTADA, DMT ATÉ 30 KM (UNIDADE: M3XKM). AF_07/2020</v>
      </c>
      <c r="C1312" s="173" t="str">
        <f>VLOOKUP(A1312,ORÇAMENTO!A:K,5,0)</f>
        <v>M3XKM</v>
      </c>
      <c r="D1312" s="173">
        <f>SUM(E1322:O1322)</f>
        <v>80228.0146106842</v>
      </c>
      <c r="E1312" s="173" t="s">
        <v>1752</v>
      </c>
      <c r="F1312" s="173" t="s">
        <v>1719</v>
      </c>
      <c r="G1312" s="173" t="s">
        <v>1720</v>
      </c>
      <c r="H1312" s="173" t="s">
        <v>1721</v>
      </c>
      <c r="I1312" s="173" t="s">
        <v>1722</v>
      </c>
      <c r="J1312" s="173" t="s">
        <v>1723</v>
      </c>
      <c r="K1312" s="173" t="s">
        <v>1724</v>
      </c>
      <c r="L1312" s="173" t="s">
        <v>1753</v>
      </c>
      <c r="M1312" s="207" t="s">
        <v>1750</v>
      </c>
      <c r="N1312" s="173" t="s">
        <v>1727</v>
      </c>
      <c r="O1312" s="173" t="s">
        <v>1728</v>
      </c>
      <c r="P1312" s="169"/>
      <c r="Q1312" s="169"/>
      <c r="R1312" s="169"/>
      <c r="S1312" s="169"/>
    </row>
    <row r="1313" spans="1:19" s="189" customFormat="1" x14ac:dyDescent="0.35">
      <c r="A1313" s="175"/>
      <c r="B1313" s="181" t="s">
        <v>1853</v>
      </c>
      <c r="C1313" s="177"/>
      <c r="D1313" s="177"/>
      <c r="E1313" s="178"/>
      <c r="F1313" s="178"/>
      <c r="G1313" s="178"/>
      <c r="H1313" s="178"/>
      <c r="I1313" s="178"/>
      <c r="J1313" s="178"/>
      <c r="K1313" s="178"/>
      <c r="L1313" s="178"/>
      <c r="M1313" s="178"/>
      <c r="N1313" s="178"/>
      <c r="O1313" s="178">
        <f>O1311*1.15</f>
        <v>3480.6244999999999</v>
      </c>
      <c r="P1313" s="169"/>
      <c r="Q1313" s="169"/>
      <c r="R1313" s="169"/>
      <c r="S1313" s="169"/>
    </row>
    <row r="1314" spans="1:19" s="189" customFormat="1" x14ac:dyDescent="0.35">
      <c r="A1314" s="175"/>
      <c r="B1314" s="176" t="s">
        <v>1854</v>
      </c>
      <c r="C1314" s="184"/>
      <c r="D1314" s="184"/>
      <c r="E1314" s="185"/>
      <c r="F1314" s="185"/>
      <c r="G1314" s="185"/>
      <c r="H1314" s="185"/>
      <c r="I1314" s="185"/>
      <c r="J1314" s="185"/>
      <c r="K1314" s="185"/>
      <c r="L1314" s="185"/>
      <c r="M1314" s="185"/>
      <c r="N1314" s="185"/>
      <c r="O1314" s="185">
        <f>O1340</f>
        <v>26.21</v>
      </c>
      <c r="P1314" s="169"/>
      <c r="Q1314" s="169"/>
      <c r="R1314" s="169"/>
      <c r="S1314" s="169"/>
    </row>
    <row r="1315" spans="1:19" s="189" customFormat="1" ht="21" x14ac:dyDescent="0.35">
      <c r="A1315" s="175"/>
      <c r="B1315" s="176" t="s">
        <v>1855</v>
      </c>
      <c r="C1315" s="184"/>
      <c r="D1315" s="184"/>
      <c r="E1315" s="185"/>
      <c r="F1315" s="185"/>
      <c r="G1315" s="185"/>
      <c r="H1315" s="185"/>
      <c r="I1315" s="185"/>
      <c r="J1315" s="185"/>
      <c r="K1315" s="185"/>
      <c r="L1315" s="185"/>
      <c r="M1315" s="185"/>
      <c r="N1315" s="185"/>
      <c r="O1315" s="185">
        <f>Quantitativos!BJ36*1.15</f>
        <v>611.42779811651417</v>
      </c>
      <c r="P1315" s="169"/>
      <c r="Q1315" s="169"/>
      <c r="R1315" s="169"/>
      <c r="S1315" s="169"/>
    </row>
    <row r="1316" spans="1:19" s="189" customFormat="1" ht="21" x14ac:dyDescent="0.35">
      <c r="A1316" s="175"/>
      <c r="B1316" s="176" t="s">
        <v>1856</v>
      </c>
      <c r="C1316" s="184"/>
      <c r="D1316" s="184"/>
      <c r="E1316" s="185"/>
      <c r="F1316" s="185"/>
      <c r="G1316" s="185"/>
      <c r="H1316" s="185"/>
      <c r="I1316" s="185"/>
      <c r="J1316" s="185"/>
      <c r="K1316" s="185"/>
      <c r="L1316" s="185"/>
      <c r="M1316" s="185"/>
      <c r="N1316" s="185"/>
      <c r="O1316" s="185">
        <f>QUANTBL!BA99*1.15</f>
        <v>173.95543642428456</v>
      </c>
      <c r="P1316" s="169"/>
      <c r="Q1316" s="169"/>
      <c r="R1316" s="169"/>
      <c r="S1316" s="169"/>
    </row>
    <row r="1317" spans="1:19" s="189" customFormat="1" x14ac:dyDescent="0.35">
      <c r="A1317" s="175"/>
      <c r="B1317" s="176"/>
      <c r="C1317" s="184"/>
      <c r="D1317" s="184"/>
      <c r="E1317" s="185"/>
      <c r="F1317" s="185"/>
      <c r="G1317" s="185"/>
      <c r="H1317" s="185"/>
      <c r="I1317" s="185"/>
      <c r="J1317" s="185"/>
      <c r="K1317" s="185"/>
      <c r="L1317" s="185"/>
      <c r="M1317" s="185"/>
      <c r="N1317" s="185"/>
      <c r="O1317" s="185"/>
      <c r="P1317" s="169"/>
      <c r="Q1317" s="169"/>
      <c r="R1317" s="169"/>
      <c r="S1317" s="169"/>
    </row>
    <row r="1318" spans="1:19" s="189" customFormat="1" x14ac:dyDescent="0.35">
      <c r="A1318" s="175"/>
      <c r="B1318" s="181" t="s">
        <v>1857</v>
      </c>
      <c r="C1318" s="184"/>
      <c r="D1318" s="184"/>
      <c r="E1318" s="185">
        <v>0.2</v>
      </c>
      <c r="F1318" s="185"/>
      <c r="G1318" s="185"/>
      <c r="H1318" s="185"/>
      <c r="I1318" s="185"/>
      <c r="J1318" s="185"/>
      <c r="K1318" s="185"/>
      <c r="L1318" s="185"/>
      <c r="M1318" s="185">
        <f>O1318*E1318</f>
        <v>157.07664690815977</v>
      </c>
      <c r="N1318" s="185"/>
      <c r="O1318" s="185">
        <f>SUM(O1315:O1316)</f>
        <v>785.38323454079875</v>
      </c>
      <c r="P1318" s="169"/>
      <c r="Q1318" s="169"/>
      <c r="R1318" s="169"/>
      <c r="S1318" s="169"/>
    </row>
    <row r="1319" spans="1:19" s="189" customFormat="1" x14ac:dyDescent="0.35">
      <c r="A1319" s="175"/>
      <c r="B1319" s="176" t="s">
        <v>1858</v>
      </c>
      <c r="C1319" s="184"/>
      <c r="D1319" s="184"/>
      <c r="E1319" s="185"/>
      <c r="F1319" s="185"/>
      <c r="G1319" s="185"/>
      <c r="H1319" s="185"/>
      <c r="I1319" s="185"/>
      <c r="J1319" s="185"/>
      <c r="K1319" s="185"/>
      <c r="L1319" s="185"/>
      <c r="M1319" s="185"/>
      <c r="N1319" s="185"/>
      <c r="O1319" s="178"/>
      <c r="P1319" s="169"/>
      <c r="Q1319" s="169">
        <f>5.19*24</f>
        <v>124.56</v>
      </c>
      <c r="R1319" s="169"/>
      <c r="S1319" s="169"/>
    </row>
    <row r="1320" spans="1:19" s="189" customFormat="1" ht="21" x14ac:dyDescent="0.35">
      <c r="A1320" s="175"/>
      <c r="B1320" s="181" t="s">
        <v>1859</v>
      </c>
      <c r="C1320" s="184"/>
      <c r="D1320" s="184"/>
      <c r="E1320" s="185">
        <v>30</v>
      </c>
      <c r="F1320" s="185"/>
      <c r="G1320" s="185"/>
      <c r="H1320" s="185"/>
      <c r="I1320" s="185"/>
      <c r="J1320" s="185"/>
      <c r="K1320" s="185"/>
      <c r="L1320" s="185"/>
      <c r="M1320" s="185">
        <f>E1320*O1320</f>
        <v>80070.937963776043</v>
      </c>
      <c r="N1320" s="185"/>
      <c r="O1320" s="184">
        <f>O1313-O1314-O1315-O1316</f>
        <v>2669.0312654592012</v>
      </c>
      <c r="P1320" s="169"/>
      <c r="Q1320" s="169"/>
      <c r="R1320" s="169"/>
      <c r="S1320" s="169"/>
    </row>
    <row r="1321" spans="1:19" s="189" customFormat="1" x14ac:dyDescent="0.35">
      <c r="A1321" s="175"/>
      <c r="B1321" s="176"/>
      <c r="C1321" s="184"/>
      <c r="D1321" s="184"/>
      <c r="E1321" s="185"/>
      <c r="F1321" s="185"/>
      <c r="G1321" s="185"/>
      <c r="H1321" s="185"/>
      <c r="I1321" s="185"/>
      <c r="J1321" s="185"/>
      <c r="K1321" s="185"/>
      <c r="L1321" s="185"/>
      <c r="M1321" s="185"/>
      <c r="N1321" s="185"/>
      <c r="O1321" s="185"/>
      <c r="P1321" s="169"/>
      <c r="Q1321" s="169"/>
      <c r="R1321" s="169"/>
      <c r="S1321" s="169"/>
    </row>
    <row r="1322" spans="1:19" s="189" customFormat="1" x14ac:dyDescent="0.35">
      <c r="A1322" s="195"/>
      <c r="B1322" s="181" t="s">
        <v>5</v>
      </c>
      <c r="C1322" s="182" t="s">
        <v>1328</v>
      </c>
      <c r="D1322" s="182"/>
      <c r="E1322" s="182"/>
      <c r="F1322" s="182"/>
      <c r="G1322" s="182"/>
      <c r="H1322" s="182"/>
      <c r="I1322" s="182"/>
      <c r="J1322" s="182"/>
      <c r="K1322" s="182"/>
      <c r="L1322" s="182"/>
      <c r="M1322" s="182">
        <f>SUM(M1318:M1320)</f>
        <v>80228.0146106842</v>
      </c>
      <c r="N1322" s="182"/>
      <c r="O1322" s="182"/>
      <c r="P1322" s="169"/>
      <c r="Q1322" s="169"/>
      <c r="R1322" s="169"/>
      <c r="S1322" s="169"/>
    </row>
    <row r="1323" spans="1:19" s="189" customFormat="1" ht="42" x14ac:dyDescent="0.35">
      <c r="A1323" s="171" t="str">
        <f>ORÇAMENTO!A275</f>
        <v>4.2.2.3</v>
      </c>
      <c r="B1323" s="172" t="str">
        <f>VLOOKUP(A1323,ORÇAMENTO!A:K,4,0)</f>
        <v>TRANSPORTE COM CAMINHÃO BASCULANTE DE 14 M³, EM VIA URBANA PAVIMENTADA, ADICIONAL PARA DMT EXCEDENTE A 30 KM (UNIDADE: M3XKM). AF_07/2020</v>
      </c>
      <c r="C1323" s="173" t="str">
        <f>VLOOKUP(A1323,ORÇAMENTO!A:K,5,0)</f>
        <v>M3XKM</v>
      </c>
      <c r="D1323" s="173">
        <f>SUM(E1327:O1327)</f>
        <v>37900.243969520656</v>
      </c>
      <c r="E1323" s="173" t="s">
        <v>1752</v>
      </c>
      <c r="F1323" s="173" t="s">
        <v>1719</v>
      </c>
      <c r="G1323" s="173" t="s">
        <v>1720</v>
      </c>
      <c r="H1323" s="173" t="s">
        <v>1721</v>
      </c>
      <c r="I1323" s="173" t="s">
        <v>1722</v>
      </c>
      <c r="J1323" s="173" t="s">
        <v>1723</v>
      </c>
      <c r="K1323" s="173" t="s">
        <v>1724</v>
      </c>
      <c r="L1323" s="173" t="s">
        <v>1753</v>
      </c>
      <c r="M1323" s="207" t="s">
        <v>1750</v>
      </c>
      <c r="N1323" s="173" t="s">
        <v>1727</v>
      </c>
      <c r="O1323" s="173" t="s">
        <v>1728</v>
      </c>
      <c r="P1323" s="169"/>
      <c r="Q1323" s="169"/>
      <c r="R1323" s="169"/>
      <c r="S1323" s="169"/>
    </row>
    <row r="1324" spans="1:19" s="189" customFormat="1" ht="21" x14ac:dyDescent="0.35">
      <c r="A1324" s="175"/>
      <c r="B1324" s="181" t="s">
        <v>1859</v>
      </c>
      <c r="C1324" s="177"/>
      <c r="D1324" s="178"/>
      <c r="E1324" s="178">
        <v>14.2</v>
      </c>
      <c r="F1324" s="178"/>
      <c r="G1324" s="178"/>
      <c r="H1324" s="178"/>
      <c r="I1324" s="178"/>
      <c r="J1324" s="178"/>
      <c r="K1324" s="178"/>
      <c r="L1324" s="178"/>
      <c r="M1324" s="178"/>
      <c r="N1324" s="178"/>
      <c r="O1324" s="178"/>
      <c r="P1324" s="169"/>
      <c r="Q1324" s="169"/>
      <c r="R1324" s="169"/>
      <c r="S1324" s="169"/>
    </row>
    <row r="1325" spans="1:19" s="164" customFormat="1" x14ac:dyDescent="0.35">
      <c r="A1325" s="175"/>
      <c r="B1325" s="176" t="str">
        <f>B1319</f>
        <v>MATERIAL PARA BOTA FORA</v>
      </c>
      <c r="C1325" s="185"/>
      <c r="D1325" s="184"/>
      <c r="E1325" s="185"/>
      <c r="F1325" s="185"/>
      <c r="G1325" s="185"/>
      <c r="H1325" s="185"/>
      <c r="I1325" s="185"/>
      <c r="J1325" s="185"/>
      <c r="K1325" s="185"/>
      <c r="L1325" s="185"/>
      <c r="M1325" s="185">
        <f>E1324*O1325</f>
        <v>37900.243969520656</v>
      </c>
      <c r="N1325" s="185"/>
      <c r="O1325" s="185">
        <f>O1320</f>
        <v>2669.0312654592012</v>
      </c>
      <c r="P1325" s="194"/>
      <c r="Q1325" s="194"/>
      <c r="R1325" s="194"/>
      <c r="S1325" s="194"/>
    </row>
    <row r="1326" spans="1:19" s="189" customFormat="1" x14ac:dyDescent="0.35">
      <c r="A1326" s="175"/>
      <c r="B1326" s="176"/>
      <c r="C1326" s="184"/>
      <c r="D1326" s="184"/>
      <c r="E1326" s="213"/>
      <c r="F1326" s="185"/>
      <c r="G1326" s="185"/>
      <c r="H1326" s="185"/>
      <c r="I1326" s="185"/>
      <c r="J1326" s="185"/>
      <c r="K1326" s="185"/>
      <c r="L1326" s="185"/>
      <c r="M1326" s="177"/>
      <c r="N1326" s="185"/>
      <c r="O1326" s="177"/>
      <c r="P1326" s="169"/>
      <c r="Q1326" s="169"/>
      <c r="R1326" s="169"/>
      <c r="S1326" s="169"/>
    </row>
    <row r="1327" spans="1:19" s="189" customFormat="1" x14ac:dyDescent="0.35">
      <c r="A1327" s="195"/>
      <c r="B1327" s="181" t="s">
        <v>5</v>
      </c>
      <c r="C1327" s="182" t="s">
        <v>1328</v>
      </c>
      <c r="D1327" s="182"/>
      <c r="E1327" s="182"/>
      <c r="F1327" s="182"/>
      <c r="G1327" s="182"/>
      <c r="H1327" s="182"/>
      <c r="I1327" s="182"/>
      <c r="J1327" s="182"/>
      <c r="K1327" s="182"/>
      <c r="L1327" s="182"/>
      <c r="M1327" s="182">
        <f>SUM(M1325:M1326)</f>
        <v>37900.243969520656</v>
      </c>
      <c r="N1327" s="182"/>
      <c r="O1327" s="182"/>
      <c r="P1327" s="169"/>
      <c r="Q1327" s="169"/>
      <c r="R1327" s="169"/>
      <c r="S1327" s="169"/>
    </row>
    <row r="1328" spans="1:19" s="189" customFormat="1" ht="21" x14ac:dyDescent="0.35">
      <c r="A1328" s="171" t="str">
        <f>ORÇAMENTO!A276</f>
        <v>4.2.2.4</v>
      </c>
      <c r="B1328" s="172" t="str">
        <f>VLOOKUP(A1328,ORÇAMENTO!A:K,4,0)</f>
        <v>ESPALHAMENTO DE MATERIAL COM TRATOR DE ESTEIRAS. AF_09/2024</v>
      </c>
      <c r="C1328" s="173" t="str">
        <f>VLOOKUP(A1328,ORÇAMENTO!A:K,5,0)</f>
        <v>M³</v>
      </c>
      <c r="D1328" s="173">
        <f>SUM(E1332:O1332)</f>
        <v>2669.03</v>
      </c>
      <c r="E1328" s="173" t="s">
        <v>1752</v>
      </c>
      <c r="F1328" s="173" t="s">
        <v>1719</v>
      </c>
      <c r="G1328" s="173" t="s">
        <v>1720</v>
      </c>
      <c r="H1328" s="173" t="s">
        <v>1721</v>
      </c>
      <c r="I1328" s="173" t="s">
        <v>1722</v>
      </c>
      <c r="J1328" s="173" t="s">
        <v>1723</v>
      </c>
      <c r="K1328" s="173" t="s">
        <v>1746</v>
      </c>
      <c r="L1328" s="173" t="s">
        <v>1753</v>
      </c>
      <c r="M1328" s="173" t="s">
        <v>1750</v>
      </c>
      <c r="N1328" s="173" t="s">
        <v>1727</v>
      </c>
      <c r="O1328" s="173" t="s">
        <v>1728</v>
      </c>
      <c r="P1328" s="169"/>
      <c r="Q1328" s="169"/>
      <c r="R1328" s="169"/>
      <c r="S1328" s="169"/>
    </row>
    <row r="1329" spans="1:19" s="164" customFormat="1" x14ac:dyDescent="0.35">
      <c r="A1329" s="175"/>
      <c r="B1329" s="176"/>
      <c r="C1329" s="178"/>
      <c r="D1329" s="178"/>
      <c r="E1329" s="178"/>
      <c r="F1329" s="178"/>
      <c r="G1329" s="178"/>
      <c r="H1329" s="178"/>
      <c r="I1329" s="178"/>
      <c r="J1329" s="178"/>
      <c r="K1329" s="178"/>
      <c r="L1329" s="214"/>
      <c r="M1329" s="178"/>
      <c r="N1329" s="178"/>
      <c r="O1329" s="178"/>
      <c r="P1329" s="194"/>
      <c r="Q1329" s="194"/>
      <c r="R1329" s="194"/>
      <c r="S1329" s="194"/>
    </row>
    <row r="1330" spans="1:19" s="164" customFormat="1" x14ac:dyDescent="0.35">
      <c r="A1330" s="175"/>
      <c r="B1330" s="176" t="str">
        <f>B1325</f>
        <v>MATERIAL PARA BOTA FORA</v>
      </c>
      <c r="C1330" s="178"/>
      <c r="D1330" s="178"/>
      <c r="E1330" s="178"/>
      <c r="F1330" s="178"/>
      <c r="G1330" s="178"/>
      <c r="H1330" s="178"/>
      <c r="I1330" s="178"/>
      <c r="J1330" s="178"/>
      <c r="K1330" s="178"/>
      <c r="L1330" s="214"/>
      <c r="M1330" s="178"/>
      <c r="N1330" s="178"/>
      <c r="O1330" s="178">
        <f>O1325</f>
        <v>2669.0312654592012</v>
      </c>
      <c r="P1330" s="194"/>
      <c r="Q1330" s="194"/>
      <c r="R1330" s="194"/>
      <c r="S1330" s="194"/>
    </row>
    <row r="1331" spans="1:19" s="164" customFormat="1" x14ac:dyDescent="0.35">
      <c r="A1331" s="175"/>
      <c r="B1331" s="176"/>
      <c r="C1331" s="178"/>
      <c r="D1331" s="178"/>
      <c r="E1331" s="178"/>
      <c r="F1331" s="178"/>
      <c r="G1331" s="178"/>
      <c r="H1331" s="178"/>
      <c r="I1331" s="178"/>
      <c r="J1331" s="178"/>
      <c r="K1331" s="178"/>
      <c r="L1331" s="214"/>
      <c r="M1331" s="178"/>
      <c r="N1331" s="178"/>
      <c r="O1331" s="178"/>
      <c r="P1331" s="194"/>
      <c r="Q1331" s="194"/>
      <c r="R1331" s="194"/>
      <c r="S1331" s="194"/>
    </row>
    <row r="1332" spans="1:19" s="170" customFormat="1" ht="10.5" x14ac:dyDescent="0.25">
      <c r="A1332" s="175"/>
      <c r="B1332" s="181" t="s">
        <v>5</v>
      </c>
      <c r="C1332" s="182" t="s">
        <v>1328</v>
      </c>
      <c r="D1332" s="182"/>
      <c r="E1332" s="182"/>
      <c r="F1332" s="182"/>
      <c r="G1332" s="182"/>
      <c r="H1332" s="182"/>
      <c r="I1332" s="182"/>
      <c r="J1332" s="182"/>
      <c r="K1332" s="182"/>
      <c r="L1332" s="182"/>
      <c r="M1332" s="182"/>
      <c r="N1332" s="182"/>
      <c r="O1332" s="182">
        <f>ROUND(SUM(O1329:O1331),2)</f>
        <v>2669.03</v>
      </c>
      <c r="P1332" s="183"/>
      <c r="Q1332" s="169"/>
    </row>
    <row r="1333" spans="1:19" s="170" customFormat="1" ht="21" x14ac:dyDescent="0.25">
      <c r="A1333" s="165" t="str">
        <f>ORÇAMENTO!A277</f>
        <v>4.2.3</v>
      </c>
      <c r="B1333" s="166" t="str">
        <f>VLOOKUP(A1333,ORÇAMENTO!A:K,4,0)</f>
        <v>ATERROS (CONSIDERANDO-SE O APROVEITAMENTO DO MATERIAL DO CORTE)</v>
      </c>
      <c r="C1333" s="167"/>
      <c r="D1333" s="167"/>
      <c r="E1333" s="168"/>
      <c r="F1333" s="168"/>
      <c r="G1333" s="168"/>
      <c r="H1333" s="168"/>
      <c r="I1333" s="168"/>
      <c r="J1333" s="168"/>
      <c r="K1333" s="168"/>
      <c r="L1333" s="168"/>
      <c r="M1333" s="168"/>
      <c r="N1333" s="168"/>
      <c r="O1333" s="168"/>
      <c r="P1333" s="169"/>
      <c r="Q1333" s="169"/>
    </row>
    <row r="1334" spans="1:19" s="189" customFormat="1" ht="63" x14ac:dyDescent="0.35">
      <c r="A1334" s="171" t="str">
        <f>ORÇAMENTO!A278</f>
        <v>4.2.3.1</v>
      </c>
      <c r="B1334" s="172" t="str">
        <f>VLOOKUP(A1334,ORÇAMENTO!A:K,4,0)</f>
        <v>EXECUÇÃO E COMPACTAÇÃO DE CORPO DE ATERRO DE ATERRO (95% DE ENERGIA DO PROCTOR NORMAL) COM SOLO PREDOMINANTEMENTE ARGILOSO ESPESSURA 15 CM - EXCLUSIVE MATERIAL, ESCAVAÇÃO, CARGA E TRANSPORTE. AF_09/2024</v>
      </c>
      <c r="C1334" s="173" t="str">
        <f>VLOOKUP(A1334,ORÇAMENTO!A:K,5,0)</f>
        <v>M³</v>
      </c>
      <c r="D1334" s="173">
        <f>SUM(E1340:O1340)</f>
        <v>26.21</v>
      </c>
      <c r="E1334" s="173" t="s">
        <v>1718</v>
      </c>
      <c r="F1334" s="173" t="s">
        <v>1719</v>
      </c>
      <c r="G1334" s="173" t="s">
        <v>1720</v>
      </c>
      <c r="H1334" s="173" t="s">
        <v>1721</v>
      </c>
      <c r="I1334" s="173" t="s">
        <v>1722</v>
      </c>
      <c r="J1334" s="173" t="s">
        <v>1723</v>
      </c>
      <c r="K1334" s="173" t="s">
        <v>1724</v>
      </c>
      <c r="L1334" s="173" t="s">
        <v>1753</v>
      </c>
      <c r="M1334" s="173" t="s">
        <v>1768</v>
      </c>
      <c r="N1334" s="173" t="s">
        <v>1727</v>
      </c>
      <c r="O1334" s="173" t="s">
        <v>1728</v>
      </c>
      <c r="P1334" s="169"/>
      <c r="Q1334" s="169"/>
      <c r="R1334" s="169"/>
      <c r="S1334" s="169"/>
    </row>
    <row r="1335" spans="1:19" s="189" customFormat="1" x14ac:dyDescent="0.35">
      <c r="A1335" s="175"/>
      <c r="B1335" s="181" t="s">
        <v>1845</v>
      </c>
      <c r="C1335" s="177"/>
      <c r="D1335" s="177"/>
      <c r="E1335" s="178"/>
      <c r="F1335" s="178"/>
      <c r="G1335" s="178"/>
      <c r="H1335" s="178"/>
      <c r="I1335" s="178"/>
      <c r="J1335" s="178"/>
      <c r="K1335" s="178"/>
      <c r="L1335" s="178"/>
      <c r="M1335" s="178"/>
      <c r="N1335" s="178"/>
      <c r="O1335" s="178"/>
      <c r="P1335" s="169"/>
      <c r="Q1335" s="169"/>
      <c r="R1335" s="169"/>
      <c r="S1335" s="169"/>
    </row>
    <row r="1336" spans="1:19" s="164" customFormat="1" x14ac:dyDescent="0.35">
      <c r="A1336" s="175"/>
      <c r="B1336" s="176" t="str">
        <f>B1307</f>
        <v>VIA 1 - ESTACA 0+0,00 A 12+13,72</v>
      </c>
      <c r="C1336" s="185"/>
      <c r="D1336" s="185"/>
      <c r="E1336" s="185"/>
      <c r="F1336" s="185"/>
      <c r="G1336" s="185"/>
      <c r="H1336" s="185"/>
      <c r="I1336" s="185"/>
      <c r="J1336" s="185"/>
      <c r="K1336" s="185"/>
      <c r="L1336" s="185"/>
      <c r="M1336" s="185"/>
      <c r="N1336" s="185"/>
      <c r="O1336" s="215">
        <v>5.5</v>
      </c>
      <c r="P1336" s="194"/>
      <c r="Q1336" s="194"/>
      <c r="R1336" s="194"/>
      <c r="S1336" s="194"/>
    </row>
    <row r="1337" spans="1:19" s="164" customFormat="1" x14ac:dyDescent="0.35">
      <c r="A1337" s="175"/>
      <c r="B1337" s="176" t="str">
        <f>B1308</f>
        <v>VIA 2 - ESTACA 0+0,00 A 5+16,63</v>
      </c>
      <c r="C1337" s="185"/>
      <c r="D1337" s="185"/>
      <c r="E1337" s="185"/>
      <c r="F1337" s="185"/>
      <c r="G1337" s="185"/>
      <c r="H1337" s="185"/>
      <c r="I1337" s="185"/>
      <c r="J1337" s="185"/>
      <c r="K1337" s="185"/>
      <c r="L1337" s="185"/>
      <c r="M1337" s="185"/>
      <c r="N1337" s="185"/>
      <c r="O1337" s="215">
        <v>3.62</v>
      </c>
      <c r="P1337" s="194"/>
      <c r="Q1337" s="194"/>
      <c r="R1337" s="194"/>
      <c r="S1337" s="194"/>
    </row>
    <row r="1338" spans="1:19" s="164" customFormat="1" x14ac:dyDescent="0.35">
      <c r="A1338" s="175"/>
      <c r="B1338" s="176" t="str">
        <f>B1309</f>
        <v>VIA 3 - ESTACA 0+0,00 A 8+18,60</v>
      </c>
      <c r="C1338" s="185"/>
      <c r="D1338" s="185"/>
      <c r="E1338" s="185"/>
      <c r="F1338" s="185"/>
      <c r="G1338" s="185"/>
      <c r="H1338" s="185"/>
      <c r="I1338" s="185"/>
      <c r="J1338" s="185"/>
      <c r="K1338" s="185"/>
      <c r="L1338" s="185"/>
      <c r="M1338" s="185"/>
      <c r="N1338" s="185"/>
      <c r="O1338" s="215">
        <v>17.09</v>
      </c>
      <c r="P1338" s="194"/>
      <c r="Q1338" s="194"/>
      <c r="R1338" s="194"/>
      <c r="S1338" s="194"/>
    </row>
    <row r="1339" spans="1:19" s="164" customFormat="1" x14ac:dyDescent="0.35">
      <c r="A1339" s="175"/>
      <c r="B1339" s="176"/>
      <c r="C1339" s="185"/>
      <c r="D1339" s="185"/>
      <c r="E1339" s="185"/>
      <c r="F1339" s="185"/>
      <c r="G1339" s="185"/>
      <c r="H1339" s="185"/>
      <c r="I1339" s="185"/>
      <c r="J1339" s="185"/>
      <c r="K1339" s="185"/>
      <c r="L1339" s="185"/>
      <c r="M1339" s="185"/>
      <c r="N1339" s="185"/>
      <c r="O1339" s="193"/>
      <c r="P1339" s="194"/>
      <c r="Q1339" s="194"/>
      <c r="R1339" s="194"/>
      <c r="S1339" s="194"/>
    </row>
    <row r="1340" spans="1:19" s="189" customFormat="1" x14ac:dyDescent="0.35">
      <c r="A1340" s="195"/>
      <c r="B1340" s="181" t="s">
        <v>5</v>
      </c>
      <c r="C1340" s="208" t="s">
        <v>1328</v>
      </c>
      <c r="D1340" s="208"/>
      <c r="E1340" s="208"/>
      <c r="F1340" s="208"/>
      <c r="G1340" s="208"/>
      <c r="H1340" s="208"/>
      <c r="I1340" s="208"/>
      <c r="J1340" s="208"/>
      <c r="K1340" s="208"/>
      <c r="L1340" s="208"/>
      <c r="M1340" s="208"/>
      <c r="N1340" s="208"/>
      <c r="O1340" s="196">
        <f>SUM(O1336:O1338)</f>
        <v>26.21</v>
      </c>
      <c r="P1340" s="169"/>
      <c r="Q1340" s="169"/>
      <c r="R1340" s="169"/>
      <c r="S1340" s="169"/>
    </row>
    <row r="1341" spans="1:19" s="170" customFormat="1" ht="10.5" x14ac:dyDescent="0.25">
      <c r="A1341" s="165" t="str">
        <f>ORÇAMENTO!A279</f>
        <v>4.2.4</v>
      </c>
      <c r="B1341" s="166" t="str">
        <f>VLOOKUP(A1341,ORÇAMENTO!A:K,4,0)</f>
        <v>PAVIMENTAÇÃO</v>
      </c>
      <c r="C1341" s="167"/>
      <c r="D1341" s="167"/>
      <c r="E1341" s="168"/>
      <c r="F1341" s="168"/>
      <c r="G1341" s="168"/>
      <c r="H1341" s="168"/>
      <c r="I1341" s="168"/>
      <c r="J1341" s="168"/>
      <c r="K1341" s="168"/>
      <c r="L1341" s="168"/>
      <c r="M1341" s="168"/>
      <c r="N1341" s="168"/>
      <c r="O1341" s="168"/>
      <c r="P1341" s="169"/>
      <c r="Q1341" s="169"/>
    </row>
    <row r="1342" spans="1:19" s="189" customFormat="1" ht="21" x14ac:dyDescent="0.35">
      <c r="A1342" s="171" t="str">
        <f>ORÇAMENTO!A280</f>
        <v>4.2.4.1</v>
      </c>
      <c r="B1342" s="172" t="str">
        <f>VLOOKUP(A1342,ORÇAMENTO!A:K,4,0)</f>
        <v>REGULARIZAÇÃO DO SUBLEITO</v>
      </c>
      <c r="C1342" s="173" t="str">
        <f>VLOOKUP(A1342,ORÇAMENTO!A:K,5,0)</f>
        <v>M²</v>
      </c>
      <c r="D1342" s="173">
        <f>SUM(E1349:O1349)</f>
        <v>4007.8900000000003</v>
      </c>
      <c r="E1342" s="173" t="s">
        <v>1718</v>
      </c>
      <c r="F1342" s="173" t="s">
        <v>1719</v>
      </c>
      <c r="G1342" s="173" t="s">
        <v>1720</v>
      </c>
      <c r="H1342" s="173" t="s">
        <v>1721</v>
      </c>
      <c r="I1342" s="173" t="s">
        <v>1722</v>
      </c>
      <c r="J1342" s="173" t="s">
        <v>1723</v>
      </c>
      <c r="K1342" s="173" t="s">
        <v>1724</v>
      </c>
      <c r="L1342" s="173" t="s">
        <v>1753</v>
      </c>
      <c r="M1342" s="173" t="s">
        <v>1768</v>
      </c>
      <c r="N1342" s="173" t="s">
        <v>1727</v>
      </c>
      <c r="O1342" s="173" t="s">
        <v>1728</v>
      </c>
      <c r="P1342" s="169"/>
      <c r="Q1342" s="169"/>
      <c r="R1342" s="169"/>
      <c r="S1342" s="169"/>
    </row>
    <row r="1343" spans="1:19" s="189" customFormat="1" x14ac:dyDescent="0.35">
      <c r="A1343" s="175"/>
      <c r="B1343" s="181" t="s">
        <v>1845</v>
      </c>
      <c r="C1343" s="177"/>
      <c r="D1343" s="177"/>
      <c r="E1343" s="178"/>
      <c r="F1343" s="178"/>
      <c r="G1343" s="178"/>
      <c r="H1343" s="178"/>
      <c r="I1343" s="178"/>
      <c r="J1343" s="178"/>
      <c r="K1343" s="178"/>
      <c r="L1343" s="178"/>
      <c r="M1343" s="178"/>
      <c r="N1343" s="178"/>
      <c r="O1343" s="178"/>
      <c r="P1343" s="169"/>
      <c r="Q1343" s="169"/>
      <c r="R1343" s="169"/>
      <c r="S1343" s="169"/>
    </row>
    <row r="1344" spans="1:19" s="189" customFormat="1" x14ac:dyDescent="0.35">
      <c r="A1344" s="175"/>
      <c r="B1344" s="181" t="s">
        <v>1860</v>
      </c>
      <c r="C1344" s="177"/>
      <c r="D1344" s="177"/>
      <c r="E1344" s="178"/>
      <c r="F1344" s="178"/>
      <c r="G1344" s="178"/>
      <c r="H1344" s="178"/>
      <c r="I1344" s="178"/>
      <c r="J1344" s="178"/>
      <c r="K1344" s="178"/>
      <c r="L1344" s="178"/>
      <c r="M1344" s="178"/>
      <c r="N1344" s="178"/>
      <c r="O1344" s="178"/>
      <c r="P1344" s="169"/>
      <c r="Q1344" s="169"/>
      <c r="R1344" s="169"/>
      <c r="S1344" s="169"/>
    </row>
    <row r="1345" spans="1:19" s="164" customFormat="1" x14ac:dyDescent="0.35">
      <c r="A1345" s="175"/>
      <c r="B1345" s="176" t="str">
        <f>B1336</f>
        <v>VIA 1 - ESTACA 0+0,00 A 12+13,72</v>
      </c>
      <c r="C1345" s="185"/>
      <c r="D1345" s="185"/>
      <c r="E1345" s="185"/>
      <c r="F1345" s="185"/>
      <c r="G1345" s="185"/>
      <c r="H1345" s="185"/>
      <c r="I1345" s="185"/>
      <c r="J1345" s="185"/>
      <c r="K1345" s="185"/>
      <c r="L1345" s="185"/>
      <c r="M1345" s="185"/>
      <c r="N1345" s="185">
        <v>1852.41</v>
      </c>
      <c r="O1345" s="215"/>
      <c r="P1345" s="194"/>
      <c r="Q1345" s="194"/>
      <c r="R1345" s="194"/>
      <c r="S1345" s="194"/>
    </row>
    <row r="1346" spans="1:19" s="164" customFormat="1" x14ac:dyDescent="0.35">
      <c r="A1346" s="175"/>
      <c r="B1346" s="176" t="str">
        <f>B1337</f>
        <v>VIA 2 - ESTACA 0+0,00 A 5+16,63</v>
      </c>
      <c r="C1346" s="185"/>
      <c r="D1346" s="185"/>
      <c r="E1346" s="185"/>
      <c r="F1346" s="185"/>
      <c r="G1346" s="185"/>
      <c r="H1346" s="185"/>
      <c r="I1346" s="185"/>
      <c r="J1346" s="185"/>
      <c r="K1346" s="185"/>
      <c r="L1346" s="185"/>
      <c r="M1346" s="185"/>
      <c r="N1346" s="185">
        <v>851.52</v>
      </c>
      <c r="O1346" s="215"/>
      <c r="P1346" s="194"/>
      <c r="Q1346" s="194"/>
      <c r="R1346" s="194"/>
      <c r="S1346" s="194"/>
    </row>
    <row r="1347" spans="1:19" s="164" customFormat="1" x14ac:dyDescent="0.35">
      <c r="A1347" s="175"/>
      <c r="B1347" s="176" t="str">
        <f>B1338</f>
        <v>VIA 3 - ESTACA 0+0,00 A 8+18,60</v>
      </c>
      <c r="C1347" s="185"/>
      <c r="D1347" s="185"/>
      <c r="E1347" s="185"/>
      <c r="F1347" s="185"/>
      <c r="G1347" s="185"/>
      <c r="H1347" s="185"/>
      <c r="I1347" s="185"/>
      <c r="J1347" s="185"/>
      <c r="K1347" s="185"/>
      <c r="L1347" s="185"/>
      <c r="M1347" s="185"/>
      <c r="N1347" s="185">
        <v>1303.96</v>
      </c>
      <c r="O1347" s="215"/>
      <c r="P1347" s="194"/>
      <c r="Q1347" s="194"/>
      <c r="R1347" s="194"/>
      <c r="S1347" s="194"/>
    </row>
    <row r="1348" spans="1:19" s="164" customFormat="1" x14ac:dyDescent="0.35">
      <c r="A1348" s="175"/>
      <c r="B1348" s="176"/>
      <c r="C1348" s="185"/>
      <c r="D1348" s="185"/>
      <c r="E1348" s="185"/>
      <c r="F1348" s="185"/>
      <c r="G1348" s="185"/>
      <c r="H1348" s="185"/>
      <c r="I1348" s="185"/>
      <c r="J1348" s="185"/>
      <c r="K1348" s="185"/>
      <c r="L1348" s="185"/>
      <c r="M1348" s="185"/>
      <c r="N1348" s="185"/>
      <c r="O1348" s="193"/>
      <c r="P1348" s="194"/>
      <c r="Q1348" s="194"/>
      <c r="R1348" s="194"/>
      <c r="S1348" s="194"/>
    </row>
    <row r="1349" spans="1:19" s="189" customFormat="1" x14ac:dyDescent="0.35">
      <c r="A1349" s="195"/>
      <c r="B1349" s="181" t="s">
        <v>5</v>
      </c>
      <c r="C1349" s="208" t="s">
        <v>1328</v>
      </c>
      <c r="D1349" s="208"/>
      <c r="E1349" s="208"/>
      <c r="F1349" s="208"/>
      <c r="G1349" s="208"/>
      <c r="H1349" s="208"/>
      <c r="I1349" s="208"/>
      <c r="J1349" s="208"/>
      <c r="K1349" s="208"/>
      <c r="L1349" s="208"/>
      <c r="M1349" s="208"/>
      <c r="N1349" s="196">
        <f>SUM(N1345:N1347)</f>
        <v>4007.8900000000003</v>
      </c>
      <c r="O1349" s="196"/>
      <c r="P1349" s="169"/>
      <c r="Q1349" s="169"/>
      <c r="R1349" s="169"/>
      <c r="S1349" s="169"/>
    </row>
    <row r="1350" spans="1:19" s="189" customFormat="1" ht="21" x14ac:dyDescent="0.35">
      <c r="A1350" s="171" t="str">
        <f>ORÇAMENTO!A281</f>
        <v>4.2.4.2</v>
      </c>
      <c r="B1350" s="172" t="str">
        <f>VLOOKUP(A1350,ORÇAMENTO!A:K,4,0)</f>
        <v>COMPACTAÇÃO DE ATERROS A 100% DO PROCTOR INTERMEDIÁRIO</v>
      </c>
      <c r="C1350" s="173" t="str">
        <f>VLOOKUP(A1350,ORÇAMENTO!A:K,5,0)</f>
        <v>M³</v>
      </c>
      <c r="D1350" s="173">
        <f>SUM(E1357:O1357)</f>
        <v>1602.93</v>
      </c>
      <c r="E1350" s="173" t="s">
        <v>1718</v>
      </c>
      <c r="F1350" s="173" t="s">
        <v>1719</v>
      </c>
      <c r="G1350" s="173" t="s">
        <v>1720</v>
      </c>
      <c r="H1350" s="173" t="s">
        <v>1721</v>
      </c>
      <c r="I1350" s="173" t="s">
        <v>1722</v>
      </c>
      <c r="J1350" s="173" t="s">
        <v>1723</v>
      </c>
      <c r="K1350" s="173" t="s">
        <v>1724</v>
      </c>
      <c r="L1350" s="173" t="s">
        <v>1753</v>
      </c>
      <c r="M1350" s="173" t="s">
        <v>1768</v>
      </c>
      <c r="N1350" s="173" t="s">
        <v>1727</v>
      </c>
      <c r="O1350" s="173" t="s">
        <v>1728</v>
      </c>
      <c r="P1350" s="169"/>
      <c r="Q1350" s="169"/>
      <c r="R1350" s="169"/>
      <c r="S1350" s="169"/>
    </row>
    <row r="1351" spans="1:19" s="189" customFormat="1" x14ac:dyDescent="0.35">
      <c r="A1351" s="175"/>
      <c r="B1351" s="181" t="s">
        <v>1845</v>
      </c>
      <c r="C1351" s="177"/>
      <c r="D1351" s="177"/>
      <c r="E1351" s="178"/>
      <c r="F1351" s="178"/>
      <c r="G1351" s="178"/>
      <c r="H1351" s="178"/>
      <c r="I1351" s="178"/>
      <c r="J1351" s="178"/>
      <c r="K1351" s="178"/>
      <c r="L1351" s="178"/>
      <c r="M1351" s="178"/>
      <c r="N1351" s="178"/>
      <c r="O1351" s="178"/>
      <c r="P1351" s="169"/>
      <c r="Q1351" s="169"/>
      <c r="R1351" s="169"/>
      <c r="S1351" s="169"/>
    </row>
    <row r="1352" spans="1:19" s="189" customFormat="1" x14ac:dyDescent="0.35">
      <c r="A1352" s="175"/>
      <c r="B1352" s="181" t="s">
        <v>1860</v>
      </c>
      <c r="C1352" s="177"/>
      <c r="D1352" s="177"/>
      <c r="E1352" s="178"/>
      <c r="F1352" s="178"/>
      <c r="G1352" s="178"/>
      <c r="H1352" s="178"/>
      <c r="I1352" s="178"/>
      <c r="J1352" s="178"/>
      <c r="K1352" s="178"/>
      <c r="L1352" s="178"/>
      <c r="M1352" s="178"/>
      <c r="N1352" s="178"/>
      <c r="O1352" s="178"/>
      <c r="P1352" s="169"/>
      <c r="Q1352" s="169"/>
      <c r="R1352" s="169"/>
      <c r="S1352" s="169"/>
    </row>
    <row r="1353" spans="1:19" s="164" customFormat="1" x14ac:dyDescent="0.35">
      <c r="A1353" s="175"/>
      <c r="B1353" s="176" t="str">
        <f>B1345</f>
        <v>VIA 1 - ESTACA 0+0,00 A 12+13,72</v>
      </c>
      <c r="C1353" s="185"/>
      <c r="D1353" s="185"/>
      <c r="E1353" s="185"/>
      <c r="F1353" s="185"/>
      <c r="G1353" s="185"/>
      <c r="H1353" s="185"/>
      <c r="I1353" s="185"/>
      <c r="J1353" s="185"/>
      <c r="K1353" s="185"/>
      <c r="L1353" s="185"/>
      <c r="M1353" s="185"/>
      <c r="N1353" s="185"/>
      <c r="O1353" s="215">
        <v>740.86</v>
      </c>
      <c r="P1353" s="194"/>
      <c r="Q1353" s="194"/>
      <c r="R1353" s="194"/>
      <c r="S1353" s="194"/>
    </row>
    <row r="1354" spans="1:19" s="164" customFormat="1" x14ac:dyDescent="0.35">
      <c r="A1354" s="175"/>
      <c r="B1354" s="176" t="str">
        <f>B1346</f>
        <v>VIA 2 - ESTACA 0+0,00 A 5+16,63</v>
      </c>
      <c r="C1354" s="185"/>
      <c r="D1354" s="185"/>
      <c r="E1354" s="185"/>
      <c r="F1354" s="185"/>
      <c r="G1354" s="185"/>
      <c r="H1354" s="185"/>
      <c r="I1354" s="185"/>
      <c r="J1354" s="185"/>
      <c r="K1354" s="185"/>
      <c r="L1354" s="185"/>
      <c r="M1354" s="185"/>
      <c r="N1354" s="185"/>
      <c r="O1354" s="215">
        <v>340.56</v>
      </c>
      <c r="P1354" s="194"/>
      <c r="Q1354" s="194"/>
      <c r="R1354" s="194"/>
      <c r="S1354" s="194"/>
    </row>
    <row r="1355" spans="1:19" s="164" customFormat="1" x14ac:dyDescent="0.35">
      <c r="A1355" s="175"/>
      <c r="B1355" s="176" t="str">
        <f>B1347</f>
        <v>VIA 3 - ESTACA 0+0,00 A 8+18,60</v>
      </c>
      <c r="C1355" s="185"/>
      <c r="D1355" s="185"/>
      <c r="E1355" s="185"/>
      <c r="F1355" s="185"/>
      <c r="G1355" s="185"/>
      <c r="H1355" s="185"/>
      <c r="I1355" s="185"/>
      <c r="J1355" s="185"/>
      <c r="K1355" s="185"/>
      <c r="L1355" s="185"/>
      <c r="M1355" s="185"/>
      <c r="N1355" s="185"/>
      <c r="O1355" s="215">
        <v>521.51</v>
      </c>
      <c r="P1355" s="194"/>
      <c r="Q1355" s="194"/>
      <c r="R1355" s="194"/>
      <c r="S1355" s="194"/>
    </row>
    <row r="1356" spans="1:19" s="164" customFormat="1" x14ac:dyDescent="0.35">
      <c r="A1356" s="175"/>
      <c r="B1356" s="176"/>
      <c r="C1356" s="185"/>
      <c r="D1356" s="185"/>
      <c r="E1356" s="185"/>
      <c r="F1356" s="185"/>
      <c r="G1356" s="185"/>
      <c r="H1356" s="185"/>
      <c r="I1356" s="185"/>
      <c r="J1356" s="185"/>
      <c r="K1356" s="185"/>
      <c r="L1356" s="185"/>
      <c r="M1356" s="185"/>
      <c r="N1356" s="185"/>
      <c r="O1356" s="193"/>
      <c r="P1356" s="194"/>
      <c r="Q1356" s="194"/>
      <c r="R1356" s="194"/>
      <c r="S1356" s="194"/>
    </row>
    <row r="1357" spans="1:19" s="189" customFormat="1" x14ac:dyDescent="0.35">
      <c r="A1357" s="195"/>
      <c r="B1357" s="181" t="s">
        <v>5</v>
      </c>
      <c r="C1357" s="208" t="s">
        <v>1328</v>
      </c>
      <c r="D1357" s="208"/>
      <c r="E1357" s="208"/>
      <c r="F1357" s="208"/>
      <c r="G1357" s="208"/>
      <c r="H1357" s="208"/>
      <c r="I1357" s="208"/>
      <c r="J1357" s="208"/>
      <c r="K1357" s="208"/>
      <c r="L1357" s="208"/>
      <c r="M1357" s="208"/>
      <c r="N1357" s="208"/>
      <c r="O1357" s="196">
        <f>SUM(O1353:O1355)</f>
        <v>1602.93</v>
      </c>
      <c r="P1357" s="169"/>
      <c r="Q1357" s="169"/>
      <c r="R1357" s="169"/>
      <c r="S1357" s="169"/>
    </row>
    <row r="1358" spans="1:19" s="189" customFormat="1" ht="52.5" x14ac:dyDescent="0.35">
      <c r="A1358" s="171" t="str">
        <f>ORÇAMENTO!A282</f>
        <v>4.2.4.3</v>
      </c>
      <c r="B1358" s="172" t="str">
        <f>VLOOKUP(A1358,ORÇAMENTO!A:K,4,0)</f>
        <v>EXECUÇÃO E COMPACTAÇÃO DE BASE E OU SUB BASE PARA PAVIMENTAÇÃO DE SOLO (PREDOMINANTEMENTE ARENOSO) COM CAL (TEOR DE 4%) - EXCLUSIVE SOLO, ESCAVAÇÃO, CARGA E TRANSPORTE.</v>
      </c>
      <c r="C1358" s="173" t="str">
        <f>VLOOKUP(A1358,ORÇAMENTO!A:K,5,0)</f>
        <v>M³</v>
      </c>
      <c r="D1358" s="173">
        <f>SUM(E1365:O1365)</f>
        <v>601.09999999999991</v>
      </c>
      <c r="E1358" s="173" t="s">
        <v>1718</v>
      </c>
      <c r="F1358" s="173" t="s">
        <v>1719</v>
      </c>
      <c r="G1358" s="173" t="s">
        <v>1720</v>
      </c>
      <c r="H1358" s="173" t="s">
        <v>1721</v>
      </c>
      <c r="I1358" s="173" t="s">
        <v>1722</v>
      </c>
      <c r="J1358" s="173" t="s">
        <v>1723</v>
      </c>
      <c r="K1358" s="173" t="s">
        <v>1724</v>
      </c>
      <c r="L1358" s="173" t="s">
        <v>1753</v>
      </c>
      <c r="M1358" s="173" t="s">
        <v>1768</v>
      </c>
      <c r="N1358" s="173" t="s">
        <v>1727</v>
      </c>
      <c r="O1358" s="173" t="s">
        <v>1728</v>
      </c>
      <c r="P1358" s="169"/>
      <c r="Q1358" s="169"/>
      <c r="R1358" s="169"/>
      <c r="S1358" s="169"/>
    </row>
    <row r="1359" spans="1:19" s="189" customFormat="1" x14ac:dyDescent="0.35">
      <c r="A1359" s="175"/>
      <c r="B1359" s="181" t="s">
        <v>1845</v>
      </c>
      <c r="C1359" s="177"/>
      <c r="D1359" s="177"/>
      <c r="E1359" s="178"/>
      <c r="F1359" s="178"/>
      <c r="G1359" s="178"/>
      <c r="H1359" s="178"/>
      <c r="I1359" s="178"/>
      <c r="J1359" s="178"/>
      <c r="K1359" s="178"/>
      <c r="L1359" s="178"/>
      <c r="M1359" s="178"/>
      <c r="N1359" s="178"/>
      <c r="O1359" s="178"/>
      <c r="P1359" s="169"/>
      <c r="Q1359" s="169"/>
      <c r="R1359" s="169"/>
      <c r="S1359" s="169"/>
    </row>
    <row r="1360" spans="1:19" s="189" customFormat="1" x14ac:dyDescent="0.35">
      <c r="A1360" s="175"/>
      <c r="B1360" s="181" t="s">
        <v>1861</v>
      </c>
      <c r="C1360" s="177"/>
      <c r="D1360" s="177"/>
      <c r="E1360" s="178"/>
      <c r="F1360" s="178"/>
      <c r="G1360" s="178"/>
      <c r="H1360" s="178"/>
      <c r="I1360" s="178"/>
      <c r="J1360" s="178"/>
      <c r="K1360" s="178"/>
      <c r="L1360" s="178"/>
      <c r="M1360" s="178"/>
      <c r="N1360" s="178"/>
      <c r="O1360" s="178"/>
      <c r="P1360" s="169"/>
      <c r="Q1360" s="169"/>
      <c r="R1360" s="169"/>
      <c r="S1360" s="169"/>
    </row>
    <row r="1361" spans="1:19" s="164" customFormat="1" x14ac:dyDescent="0.35">
      <c r="A1361" s="175"/>
      <c r="B1361" s="176" t="str">
        <f>B1353</f>
        <v>VIA 1 - ESTACA 0+0,00 A 12+13,72</v>
      </c>
      <c r="C1361" s="185"/>
      <c r="D1361" s="185"/>
      <c r="E1361" s="185"/>
      <c r="F1361" s="185"/>
      <c r="G1361" s="185"/>
      <c r="H1361" s="185">
        <v>0.15</v>
      </c>
      <c r="I1361" s="185"/>
      <c r="J1361" s="185"/>
      <c r="K1361" s="185"/>
      <c r="L1361" s="185"/>
      <c r="M1361" s="185"/>
      <c r="N1361" s="185"/>
      <c r="O1361" s="215">
        <v>277.82</v>
      </c>
      <c r="P1361" s="194"/>
      <c r="Q1361" s="194"/>
      <c r="R1361" s="194"/>
      <c r="S1361" s="194"/>
    </row>
    <row r="1362" spans="1:19" s="164" customFormat="1" x14ac:dyDescent="0.35">
      <c r="A1362" s="175"/>
      <c r="B1362" s="176" t="str">
        <f>B1354</f>
        <v>VIA 2 - ESTACA 0+0,00 A 5+16,63</v>
      </c>
      <c r="C1362" s="185"/>
      <c r="D1362" s="185"/>
      <c r="E1362" s="185"/>
      <c r="F1362" s="185"/>
      <c r="G1362" s="185"/>
      <c r="H1362" s="185">
        <v>0.15</v>
      </c>
      <c r="I1362" s="185"/>
      <c r="J1362" s="185"/>
      <c r="K1362" s="185"/>
      <c r="L1362" s="185"/>
      <c r="M1362" s="185"/>
      <c r="N1362" s="185"/>
      <c r="O1362" s="215">
        <v>127.71</v>
      </c>
      <c r="P1362" s="194"/>
      <c r="Q1362" s="194"/>
      <c r="R1362" s="194"/>
      <c r="S1362" s="194"/>
    </row>
    <row r="1363" spans="1:19" s="164" customFormat="1" x14ac:dyDescent="0.35">
      <c r="A1363" s="175"/>
      <c r="B1363" s="176" t="str">
        <f>B1355</f>
        <v>VIA 3 - ESTACA 0+0,00 A 8+18,60</v>
      </c>
      <c r="C1363" s="185"/>
      <c r="D1363" s="185"/>
      <c r="E1363" s="185"/>
      <c r="F1363" s="185"/>
      <c r="G1363" s="185"/>
      <c r="H1363" s="185">
        <v>0.15</v>
      </c>
      <c r="I1363" s="185"/>
      <c r="J1363" s="185"/>
      <c r="K1363" s="185"/>
      <c r="L1363" s="185"/>
      <c r="M1363" s="185"/>
      <c r="N1363" s="185"/>
      <c r="O1363" s="215">
        <v>195.57</v>
      </c>
      <c r="P1363" s="194"/>
      <c r="Q1363" s="194"/>
      <c r="R1363" s="194"/>
      <c r="S1363" s="194"/>
    </row>
    <row r="1364" spans="1:19" s="164" customFormat="1" x14ac:dyDescent="0.35">
      <c r="A1364" s="175"/>
      <c r="B1364" s="176"/>
      <c r="C1364" s="185"/>
      <c r="D1364" s="185"/>
      <c r="E1364" s="185"/>
      <c r="F1364" s="185"/>
      <c r="G1364" s="185"/>
      <c r="H1364" s="185"/>
      <c r="I1364" s="185"/>
      <c r="J1364" s="185"/>
      <c r="K1364" s="185"/>
      <c r="L1364" s="185"/>
      <c r="M1364" s="185"/>
      <c r="N1364" s="185"/>
      <c r="O1364" s="193"/>
      <c r="P1364" s="194"/>
      <c r="Q1364" s="194"/>
      <c r="R1364" s="194"/>
      <c r="S1364" s="194"/>
    </row>
    <row r="1365" spans="1:19" s="189" customFormat="1" x14ac:dyDescent="0.35">
      <c r="A1365" s="195"/>
      <c r="B1365" s="181" t="s">
        <v>5</v>
      </c>
      <c r="C1365" s="208" t="s">
        <v>1328</v>
      </c>
      <c r="D1365" s="208"/>
      <c r="E1365" s="208"/>
      <c r="F1365" s="208"/>
      <c r="G1365" s="208"/>
      <c r="H1365" s="208"/>
      <c r="I1365" s="208"/>
      <c r="J1365" s="208"/>
      <c r="K1365" s="208"/>
      <c r="L1365" s="208"/>
      <c r="M1365" s="208"/>
      <c r="N1365" s="208"/>
      <c r="O1365" s="196">
        <f>SUM(O1361:O1363)</f>
        <v>601.09999999999991</v>
      </c>
      <c r="P1365" s="169"/>
      <c r="Q1365" s="169"/>
      <c r="R1365" s="169"/>
      <c r="S1365" s="169"/>
    </row>
    <row r="1366" spans="1:19" s="189" customFormat="1" ht="21" x14ac:dyDescent="0.35">
      <c r="A1366" s="171" t="str">
        <f>ORÇAMENTO!A283</f>
        <v>4.2.4.4</v>
      </c>
      <c r="B1366" s="172" t="str">
        <f>VLOOKUP(A1366,ORÇAMENTO!A:K,4,0)</f>
        <v>BASE OU SUB-BASE DE BRITA GRADUADA COM BRITA COMERCIAL</v>
      </c>
      <c r="C1366" s="173" t="str">
        <f>VLOOKUP(A1366,ORÇAMENTO!A:K,5,0)</f>
        <v>M³</v>
      </c>
      <c r="D1366" s="173">
        <f>SUM(E1373:O1373)</f>
        <v>582.16999999999996</v>
      </c>
      <c r="E1366" s="173" t="s">
        <v>1718</v>
      </c>
      <c r="F1366" s="173" t="s">
        <v>1719</v>
      </c>
      <c r="G1366" s="173" t="s">
        <v>1720</v>
      </c>
      <c r="H1366" s="173" t="s">
        <v>1721</v>
      </c>
      <c r="I1366" s="173" t="s">
        <v>1722</v>
      </c>
      <c r="J1366" s="173" t="s">
        <v>1723</v>
      </c>
      <c r="K1366" s="173" t="s">
        <v>1724</v>
      </c>
      <c r="L1366" s="173" t="s">
        <v>1753</v>
      </c>
      <c r="M1366" s="173" t="s">
        <v>1768</v>
      </c>
      <c r="N1366" s="173" t="s">
        <v>1727</v>
      </c>
      <c r="O1366" s="173" t="s">
        <v>1728</v>
      </c>
      <c r="P1366" s="169"/>
      <c r="Q1366" s="169"/>
      <c r="R1366" s="169"/>
      <c r="S1366" s="169"/>
    </row>
    <row r="1367" spans="1:19" s="189" customFormat="1" x14ac:dyDescent="0.35">
      <c r="A1367" s="175"/>
      <c r="B1367" s="181" t="s">
        <v>1845</v>
      </c>
      <c r="C1367" s="177"/>
      <c r="D1367" s="177"/>
      <c r="E1367" s="178"/>
      <c r="F1367" s="178"/>
      <c r="G1367" s="178"/>
      <c r="H1367" s="178"/>
      <c r="I1367" s="178"/>
      <c r="J1367" s="178"/>
      <c r="K1367" s="178"/>
      <c r="L1367" s="178"/>
      <c r="M1367" s="178"/>
      <c r="N1367" s="178"/>
      <c r="O1367" s="178"/>
      <c r="P1367" s="169"/>
      <c r="Q1367" s="169"/>
      <c r="R1367" s="169"/>
      <c r="S1367" s="169"/>
    </row>
    <row r="1368" spans="1:19" s="189" customFormat="1" x14ac:dyDescent="0.35">
      <c r="A1368" s="175"/>
      <c r="B1368" s="181" t="s">
        <v>1862</v>
      </c>
      <c r="C1368" s="177"/>
      <c r="D1368" s="177"/>
      <c r="E1368" s="178"/>
      <c r="F1368" s="178"/>
      <c r="G1368" s="178"/>
      <c r="H1368" s="178"/>
      <c r="I1368" s="178"/>
      <c r="J1368" s="178"/>
      <c r="K1368" s="178"/>
      <c r="L1368" s="178"/>
      <c r="M1368" s="178"/>
      <c r="N1368" s="178"/>
      <c r="O1368" s="178"/>
      <c r="P1368" s="169"/>
      <c r="Q1368" s="169"/>
      <c r="R1368" s="169"/>
      <c r="S1368" s="169"/>
    </row>
    <row r="1369" spans="1:19" s="164" customFormat="1" x14ac:dyDescent="0.35">
      <c r="A1369" s="175"/>
      <c r="B1369" s="176" t="str">
        <f>B1361</f>
        <v>VIA 1 - ESTACA 0+0,00 A 12+13,72</v>
      </c>
      <c r="C1369" s="185"/>
      <c r="D1369" s="185"/>
      <c r="E1369" s="185"/>
      <c r="F1369" s="185"/>
      <c r="G1369" s="185"/>
      <c r="H1369" s="185">
        <v>0.15</v>
      </c>
      <c r="I1369" s="185"/>
      <c r="J1369" s="185"/>
      <c r="K1369" s="185"/>
      <c r="L1369" s="185"/>
      <c r="M1369" s="185"/>
      <c r="N1369" s="185"/>
      <c r="O1369" s="215">
        <v>269.07</v>
      </c>
      <c r="P1369" s="194"/>
      <c r="Q1369" s="194"/>
      <c r="R1369" s="194"/>
      <c r="S1369" s="194"/>
    </row>
    <row r="1370" spans="1:19" s="164" customFormat="1" x14ac:dyDescent="0.35">
      <c r="A1370" s="175"/>
      <c r="B1370" s="176" t="str">
        <f>B1362</f>
        <v>VIA 2 - ESTACA 0+0,00 A 5+16,63</v>
      </c>
      <c r="C1370" s="185"/>
      <c r="D1370" s="185"/>
      <c r="E1370" s="185"/>
      <c r="F1370" s="185"/>
      <c r="G1370" s="185"/>
      <c r="H1370" s="185">
        <v>0.15</v>
      </c>
      <c r="I1370" s="185"/>
      <c r="J1370" s="185"/>
      <c r="K1370" s="185"/>
      <c r="L1370" s="185"/>
      <c r="M1370" s="185"/>
      <c r="N1370" s="185"/>
      <c r="O1370" s="215">
        <v>123.69</v>
      </c>
      <c r="P1370" s="194"/>
      <c r="Q1370" s="194"/>
      <c r="R1370" s="194"/>
      <c r="S1370" s="194"/>
    </row>
    <row r="1371" spans="1:19" s="164" customFormat="1" x14ac:dyDescent="0.35">
      <c r="A1371" s="175"/>
      <c r="B1371" s="176" t="str">
        <f>B1363</f>
        <v>VIA 3 - ESTACA 0+0,00 A 8+18,60</v>
      </c>
      <c r="C1371" s="185"/>
      <c r="D1371" s="185"/>
      <c r="E1371" s="185"/>
      <c r="F1371" s="185"/>
      <c r="G1371" s="185"/>
      <c r="H1371" s="185">
        <v>0.15</v>
      </c>
      <c r="I1371" s="185"/>
      <c r="J1371" s="185"/>
      <c r="K1371" s="185"/>
      <c r="L1371" s="185"/>
      <c r="M1371" s="185"/>
      <c r="N1371" s="185"/>
      <c r="O1371" s="215">
        <v>189.41</v>
      </c>
      <c r="P1371" s="194"/>
      <c r="Q1371" s="194"/>
      <c r="R1371" s="194"/>
      <c r="S1371" s="194"/>
    </row>
    <row r="1372" spans="1:19" s="164" customFormat="1" x14ac:dyDescent="0.35">
      <c r="A1372" s="175"/>
      <c r="B1372" s="176"/>
      <c r="C1372" s="185"/>
      <c r="D1372" s="185"/>
      <c r="E1372" s="185"/>
      <c r="F1372" s="185"/>
      <c r="G1372" s="185"/>
      <c r="H1372" s="185"/>
      <c r="I1372" s="185"/>
      <c r="J1372" s="185"/>
      <c r="K1372" s="185"/>
      <c r="L1372" s="185"/>
      <c r="M1372" s="185"/>
      <c r="N1372" s="185"/>
      <c r="O1372" s="193"/>
      <c r="P1372" s="194"/>
      <c r="Q1372" s="194"/>
      <c r="R1372" s="194"/>
      <c r="S1372" s="194"/>
    </row>
    <row r="1373" spans="1:19" s="189" customFormat="1" x14ac:dyDescent="0.35">
      <c r="A1373" s="195"/>
      <c r="B1373" s="181" t="s">
        <v>5</v>
      </c>
      <c r="C1373" s="208" t="s">
        <v>1328</v>
      </c>
      <c r="D1373" s="208"/>
      <c r="E1373" s="208"/>
      <c r="F1373" s="208"/>
      <c r="G1373" s="208"/>
      <c r="H1373" s="208"/>
      <c r="I1373" s="208"/>
      <c r="J1373" s="208"/>
      <c r="K1373" s="208"/>
      <c r="L1373" s="208"/>
      <c r="M1373" s="208"/>
      <c r="N1373" s="208"/>
      <c r="O1373" s="196">
        <f>SUM(O1369:O1371)</f>
        <v>582.16999999999996</v>
      </c>
      <c r="P1373" s="169"/>
      <c r="Q1373" s="169"/>
      <c r="R1373" s="169"/>
      <c r="S1373" s="169"/>
    </row>
    <row r="1374" spans="1:19" s="189" customFormat="1" ht="21" x14ac:dyDescent="0.35">
      <c r="A1374" s="171" t="str">
        <f>ORÇAMENTO!A284</f>
        <v>4.2.4.5</v>
      </c>
      <c r="B1374" s="172" t="str">
        <f>VLOOKUP(A1374,ORÇAMENTO!A:K,4,0)</f>
        <v>PINTURA DE LIGAÇÃO (SEM MATERIAL)</v>
      </c>
      <c r="C1374" s="173" t="str">
        <f>VLOOKUP(A1374,ORÇAMENTO!A:K,5,0)</f>
        <v>M²</v>
      </c>
      <c r="D1374" s="173">
        <f>SUM(E1380:O1380)</f>
        <v>3842.6666666666661</v>
      </c>
      <c r="E1374" s="173" t="s">
        <v>1718</v>
      </c>
      <c r="F1374" s="173" t="s">
        <v>1719</v>
      </c>
      <c r="G1374" s="173" t="s">
        <v>1720</v>
      </c>
      <c r="H1374" s="173" t="s">
        <v>1721</v>
      </c>
      <c r="I1374" s="173" t="s">
        <v>1722</v>
      </c>
      <c r="J1374" s="173" t="s">
        <v>1723</v>
      </c>
      <c r="K1374" s="173" t="s">
        <v>1724</v>
      </c>
      <c r="L1374" s="173" t="s">
        <v>1753</v>
      </c>
      <c r="M1374" s="173" t="s">
        <v>1768</v>
      </c>
      <c r="N1374" s="173" t="s">
        <v>1727</v>
      </c>
      <c r="O1374" s="173" t="s">
        <v>1728</v>
      </c>
      <c r="P1374" s="169"/>
      <c r="Q1374" s="169"/>
      <c r="R1374" s="169"/>
      <c r="S1374" s="169"/>
    </row>
    <row r="1375" spans="1:19" s="189" customFormat="1" x14ac:dyDescent="0.35">
      <c r="A1375" s="175"/>
      <c r="B1375" s="181"/>
      <c r="C1375" s="177"/>
      <c r="D1375" s="177"/>
      <c r="E1375" s="178"/>
      <c r="F1375" s="178"/>
      <c r="G1375" s="178"/>
      <c r="H1375" s="178"/>
      <c r="I1375" s="178"/>
      <c r="J1375" s="178"/>
      <c r="K1375" s="178"/>
      <c r="L1375" s="178"/>
      <c r="M1375" s="178"/>
      <c r="N1375" s="178"/>
      <c r="O1375" s="178"/>
      <c r="P1375" s="169"/>
      <c r="Q1375" s="169"/>
      <c r="R1375" s="169"/>
      <c r="S1375" s="169"/>
    </row>
    <row r="1376" spans="1:19" s="164" customFormat="1" x14ac:dyDescent="0.35">
      <c r="A1376" s="175"/>
      <c r="B1376" s="176" t="str">
        <f>B1369</f>
        <v>VIA 1 - ESTACA 0+0,00 A 12+13,72</v>
      </c>
      <c r="C1376" s="178"/>
      <c r="D1376" s="178"/>
      <c r="E1376" s="178"/>
      <c r="F1376" s="178"/>
      <c r="G1376" s="178"/>
      <c r="H1376" s="178"/>
      <c r="I1376" s="178"/>
      <c r="J1376" s="178"/>
      <c r="K1376" s="178"/>
      <c r="L1376" s="178"/>
      <c r="M1376" s="178"/>
      <c r="N1376" s="178">
        <f>O1390/H1390</f>
        <v>1776</v>
      </c>
      <c r="O1376" s="215"/>
      <c r="P1376" s="194"/>
      <c r="Q1376" s="194"/>
      <c r="R1376" s="194"/>
      <c r="S1376" s="194"/>
    </row>
    <row r="1377" spans="1:19" s="164" customFormat="1" x14ac:dyDescent="0.35">
      <c r="A1377" s="175"/>
      <c r="B1377" s="176" t="str">
        <f>B1370</f>
        <v>VIA 2 - ESTACA 0+0,00 A 5+16,63</v>
      </c>
      <c r="C1377" s="178"/>
      <c r="D1377" s="178"/>
      <c r="E1377" s="178"/>
      <c r="F1377" s="178"/>
      <c r="G1377" s="178"/>
      <c r="H1377" s="178"/>
      <c r="I1377" s="178"/>
      <c r="J1377" s="178"/>
      <c r="K1377" s="178"/>
      <c r="L1377" s="178"/>
      <c r="M1377" s="178"/>
      <c r="N1377" s="178">
        <f>O1391/H1391</f>
        <v>816.33333333333326</v>
      </c>
      <c r="O1377" s="215"/>
      <c r="P1377" s="194"/>
      <c r="Q1377" s="194"/>
      <c r="R1377" s="194"/>
      <c r="S1377" s="194"/>
    </row>
    <row r="1378" spans="1:19" s="164" customFormat="1" x14ac:dyDescent="0.35">
      <c r="A1378" s="175"/>
      <c r="B1378" s="176" t="str">
        <f>B1371</f>
        <v>VIA 3 - ESTACA 0+0,00 A 8+18,60</v>
      </c>
      <c r="C1378" s="178"/>
      <c r="D1378" s="178"/>
      <c r="E1378" s="178"/>
      <c r="F1378" s="178"/>
      <c r="G1378" s="178"/>
      <c r="H1378" s="178"/>
      <c r="I1378" s="178"/>
      <c r="J1378" s="178"/>
      <c r="K1378" s="178"/>
      <c r="L1378" s="178"/>
      <c r="M1378" s="178"/>
      <c r="N1378" s="178">
        <f>O1392/H1392</f>
        <v>1250.3333333333333</v>
      </c>
      <c r="O1378" s="215"/>
      <c r="P1378" s="194"/>
      <c r="Q1378" s="194"/>
      <c r="R1378" s="194"/>
      <c r="S1378" s="194"/>
    </row>
    <row r="1379" spans="1:19" s="164" customFormat="1" x14ac:dyDescent="0.35">
      <c r="A1379" s="175"/>
      <c r="B1379" s="176"/>
      <c r="C1379" s="178"/>
      <c r="D1379" s="178"/>
      <c r="E1379" s="178"/>
      <c r="F1379" s="178"/>
      <c r="G1379" s="178"/>
      <c r="H1379" s="178"/>
      <c r="I1379" s="178"/>
      <c r="J1379" s="178"/>
      <c r="K1379" s="178"/>
      <c r="L1379" s="178"/>
      <c r="M1379" s="178"/>
      <c r="N1379" s="178"/>
      <c r="O1379" s="193"/>
      <c r="P1379" s="194"/>
      <c r="Q1379" s="194"/>
      <c r="R1379" s="194"/>
      <c r="S1379" s="194"/>
    </row>
    <row r="1380" spans="1:19" s="189" customFormat="1" x14ac:dyDescent="0.35">
      <c r="A1380" s="195"/>
      <c r="B1380" s="181" t="s">
        <v>5</v>
      </c>
      <c r="C1380" s="182" t="s">
        <v>1328</v>
      </c>
      <c r="D1380" s="182"/>
      <c r="E1380" s="182"/>
      <c r="F1380" s="182"/>
      <c r="G1380" s="182"/>
      <c r="H1380" s="182"/>
      <c r="I1380" s="182"/>
      <c r="J1380" s="182"/>
      <c r="K1380" s="182"/>
      <c r="L1380" s="182"/>
      <c r="M1380" s="182"/>
      <c r="N1380" s="196">
        <f>SUM(N1376:N1378)</f>
        <v>3842.6666666666661</v>
      </c>
      <c r="O1380" s="196"/>
      <c r="P1380" s="169"/>
      <c r="Q1380" s="169"/>
      <c r="R1380" s="169"/>
      <c r="S1380" s="169"/>
    </row>
    <row r="1381" spans="1:19" s="189" customFormat="1" ht="21" x14ac:dyDescent="0.35">
      <c r="A1381" s="171" t="str">
        <f>ORÇAMENTO!A285</f>
        <v>4.2.4.6</v>
      </c>
      <c r="B1381" s="172" t="str">
        <f>VLOOKUP(A1381,ORÇAMENTO!A:K,4,0)</f>
        <v>IMPRIMAÇÃO COM EMULSÃO ASFÁLTICA (SEM MATERIAL)</v>
      </c>
      <c r="C1381" s="173" t="str">
        <f>VLOOKUP(A1381,ORÇAMENTO!A:K,5,0)</f>
        <v>M²</v>
      </c>
      <c r="D1381" s="173">
        <f>SUM(E1387:O1387)</f>
        <v>3842.6666666666661</v>
      </c>
      <c r="E1381" s="173" t="s">
        <v>1718</v>
      </c>
      <c r="F1381" s="173" t="s">
        <v>1719</v>
      </c>
      <c r="G1381" s="173" t="s">
        <v>1720</v>
      </c>
      <c r="H1381" s="173" t="s">
        <v>1721</v>
      </c>
      <c r="I1381" s="173" t="s">
        <v>1722</v>
      </c>
      <c r="J1381" s="173" t="s">
        <v>1723</v>
      </c>
      <c r="K1381" s="173" t="s">
        <v>1724</v>
      </c>
      <c r="L1381" s="173" t="s">
        <v>1753</v>
      </c>
      <c r="M1381" s="173" t="s">
        <v>1768</v>
      </c>
      <c r="N1381" s="173" t="s">
        <v>1727</v>
      </c>
      <c r="O1381" s="173" t="s">
        <v>1728</v>
      </c>
      <c r="P1381" s="169"/>
      <c r="Q1381" s="169"/>
      <c r="R1381" s="169"/>
      <c r="S1381" s="169"/>
    </row>
    <row r="1382" spans="1:19" s="189" customFormat="1" x14ac:dyDescent="0.35">
      <c r="A1382" s="175"/>
      <c r="B1382" s="181"/>
      <c r="C1382" s="177"/>
      <c r="D1382" s="177"/>
      <c r="E1382" s="178"/>
      <c r="F1382" s="178"/>
      <c r="G1382" s="178"/>
      <c r="H1382" s="178"/>
      <c r="I1382" s="178"/>
      <c r="J1382" s="178"/>
      <c r="K1382" s="178"/>
      <c r="L1382" s="178"/>
      <c r="M1382" s="178"/>
      <c r="N1382" s="178"/>
      <c r="O1382" s="178"/>
      <c r="P1382" s="169"/>
      <c r="Q1382" s="169"/>
      <c r="R1382" s="169"/>
      <c r="S1382" s="169"/>
    </row>
    <row r="1383" spans="1:19" s="164" customFormat="1" x14ac:dyDescent="0.35">
      <c r="A1383" s="175"/>
      <c r="B1383" s="176" t="str">
        <f>B1376</f>
        <v>VIA 1 - ESTACA 0+0,00 A 12+13,72</v>
      </c>
      <c r="C1383" s="178"/>
      <c r="D1383" s="178"/>
      <c r="E1383" s="178"/>
      <c r="F1383" s="178"/>
      <c r="G1383" s="178"/>
      <c r="H1383" s="178"/>
      <c r="I1383" s="178"/>
      <c r="J1383" s="178"/>
      <c r="K1383" s="178"/>
      <c r="L1383" s="178"/>
      <c r="M1383" s="178"/>
      <c r="N1383" s="178">
        <f>N1376</f>
        <v>1776</v>
      </c>
      <c r="O1383" s="215"/>
      <c r="P1383" s="194"/>
      <c r="Q1383" s="194"/>
      <c r="R1383" s="194"/>
      <c r="S1383" s="194"/>
    </row>
    <row r="1384" spans="1:19" s="164" customFormat="1" x14ac:dyDescent="0.35">
      <c r="A1384" s="175"/>
      <c r="B1384" s="176" t="str">
        <f>B1377</f>
        <v>VIA 2 - ESTACA 0+0,00 A 5+16,63</v>
      </c>
      <c r="C1384" s="178"/>
      <c r="D1384" s="178"/>
      <c r="E1384" s="178"/>
      <c r="F1384" s="178"/>
      <c r="G1384" s="178"/>
      <c r="H1384" s="178"/>
      <c r="I1384" s="178"/>
      <c r="J1384" s="178"/>
      <c r="K1384" s="178"/>
      <c r="L1384" s="178"/>
      <c r="M1384" s="178"/>
      <c r="N1384" s="178">
        <f>N1377</f>
        <v>816.33333333333326</v>
      </c>
      <c r="O1384" s="215"/>
      <c r="P1384" s="194"/>
      <c r="Q1384" s="194"/>
      <c r="R1384" s="194"/>
      <c r="S1384" s="194"/>
    </row>
    <row r="1385" spans="1:19" s="164" customFormat="1" x14ac:dyDescent="0.35">
      <c r="A1385" s="175"/>
      <c r="B1385" s="176" t="str">
        <f>B1378</f>
        <v>VIA 3 - ESTACA 0+0,00 A 8+18,60</v>
      </c>
      <c r="C1385" s="178"/>
      <c r="D1385" s="178"/>
      <c r="E1385" s="178"/>
      <c r="F1385" s="178"/>
      <c r="G1385" s="178"/>
      <c r="H1385" s="178"/>
      <c r="I1385" s="178"/>
      <c r="J1385" s="178"/>
      <c r="K1385" s="178"/>
      <c r="L1385" s="178"/>
      <c r="M1385" s="178"/>
      <c r="N1385" s="178">
        <f>N1378</f>
        <v>1250.3333333333333</v>
      </c>
      <c r="O1385" s="215"/>
      <c r="P1385" s="194"/>
      <c r="Q1385" s="194"/>
      <c r="R1385" s="194"/>
      <c r="S1385" s="194"/>
    </row>
    <row r="1386" spans="1:19" s="164" customFormat="1" x14ac:dyDescent="0.35">
      <c r="A1386" s="175"/>
      <c r="B1386" s="176"/>
      <c r="C1386" s="178"/>
      <c r="D1386" s="178"/>
      <c r="E1386" s="178"/>
      <c r="F1386" s="178"/>
      <c r="G1386" s="178"/>
      <c r="H1386" s="178"/>
      <c r="I1386" s="178"/>
      <c r="J1386" s="178"/>
      <c r="K1386" s="178"/>
      <c r="L1386" s="178"/>
      <c r="M1386" s="178"/>
      <c r="N1386" s="178"/>
      <c r="O1386" s="193"/>
      <c r="P1386" s="194"/>
      <c r="Q1386" s="194"/>
      <c r="R1386" s="194"/>
      <c r="S1386" s="194"/>
    </row>
    <row r="1387" spans="1:19" s="189" customFormat="1" x14ac:dyDescent="0.35">
      <c r="A1387" s="195"/>
      <c r="B1387" s="181" t="s">
        <v>5</v>
      </c>
      <c r="C1387" s="182" t="s">
        <v>1328</v>
      </c>
      <c r="D1387" s="182"/>
      <c r="E1387" s="182"/>
      <c r="F1387" s="182"/>
      <c r="G1387" s="182"/>
      <c r="H1387" s="182"/>
      <c r="I1387" s="182"/>
      <c r="J1387" s="182"/>
      <c r="K1387" s="182"/>
      <c r="L1387" s="182"/>
      <c r="M1387" s="182"/>
      <c r="N1387" s="196">
        <f>SUM(N1383:N1385)</f>
        <v>3842.6666666666661</v>
      </c>
      <c r="O1387" s="196"/>
      <c r="P1387" s="169"/>
      <c r="Q1387" s="169"/>
      <c r="R1387" s="169"/>
      <c r="S1387" s="169"/>
    </row>
    <row r="1388" spans="1:19" s="189" customFormat="1" ht="52.5" x14ac:dyDescent="0.35">
      <c r="A1388" s="171" t="str">
        <f>ORÇAMENTO!A286</f>
        <v>4.2.4.7</v>
      </c>
      <c r="B1388" s="172" t="str">
        <f>VLOOKUP(A1388,ORÇAMENTO!A:K,4,0)</f>
        <v>CONSTRUÇÃO DE PAVIMENTO COM APLICAÇÃO CONCRETO BETUMINOSO USINADO A QUENTE (CBUQ), CAMADA DE ROLAMENTO - EXCLUSIVE TRANSPORTE E CARGA  AF_03/2017 (SEM MATERIAL)</v>
      </c>
      <c r="C1388" s="173" t="str">
        <f>VLOOKUP(A1388,ORÇAMENTO!A:K,5,0)</f>
        <v>M³</v>
      </c>
      <c r="D1388" s="173">
        <f>SUM(E1394:O1394)</f>
        <v>115.28</v>
      </c>
      <c r="E1388" s="173" t="s">
        <v>1718</v>
      </c>
      <c r="F1388" s="173" t="s">
        <v>1719</v>
      </c>
      <c r="G1388" s="173" t="s">
        <v>1720</v>
      </c>
      <c r="H1388" s="173" t="s">
        <v>1721</v>
      </c>
      <c r="I1388" s="173" t="s">
        <v>1722</v>
      </c>
      <c r="J1388" s="173" t="s">
        <v>1723</v>
      </c>
      <c r="K1388" s="173" t="s">
        <v>1724</v>
      </c>
      <c r="L1388" s="173" t="s">
        <v>1753</v>
      </c>
      <c r="M1388" s="173" t="s">
        <v>1768</v>
      </c>
      <c r="N1388" s="173" t="s">
        <v>1727</v>
      </c>
      <c r="O1388" s="173" t="s">
        <v>1728</v>
      </c>
      <c r="P1388" s="169"/>
      <c r="Q1388" s="169"/>
      <c r="R1388" s="169"/>
      <c r="S1388" s="169"/>
    </row>
    <row r="1389" spans="1:19" s="189" customFormat="1" x14ac:dyDescent="0.35">
      <c r="A1389" s="175"/>
      <c r="B1389" s="181" t="s">
        <v>1845</v>
      </c>
      <c r="C1389" s="177"/>
      <c r="D1389" s="177"/>
      <c r="E1389" s="178"/>
      <c r="F1389" s="178"/>
      <c r="G1389" s="178"/>
      <c r="H1389" s="178"/>
      <c r="I1389" s="178"/>
      <c r="J1389" s="178"/>
      <c r="K1389" s="178"/>
      <c r="L1389" s="178"/>
      <c r="M1389" s="178"/>
      <c r="N1389" s="178"/>
      <c r="O1389" s="178"/>
      <c r="P1389" s="169"/>
      <c r="Q1389" s="169"/>
      <c r="R1389" s="169"/>
      <c r="S1389" s="169"/>
    </row>
    <row r="1390" spans="1:19" s="164" customFormat="1" x14ac:dyDescent="0.35">
      <c r="A1390" s="175"/>
      <c r="B1390" s="176" t="str">
        <f>B1369</f>
        <v>VIA 1 - ESTACA 0+0,00 A 12+13,72</v>
      </c>
      <c r="C1390" s="185"/>
      <c r="D1390" s="185"/>
      <c r="E1390" s="185"/>
      <c r="F1390" s="185"/>
      <c r="G1390" s="185"/>
      <c r="H1390" s="185">
        <v>0.03</v>
      </c>
      <c r="I1390" s="185"/>
      <c r="J1390" s="185"/>
      <c r="K1390" s="185"/>
      <c r="L1390" s="185"/>
      <c r="M1390" s="185"/>
      <c r="N1390" s="185"/>
      <c r="O1390" s="215">
        <v>53.28</v>
      </c>
      <c r="P1390" s="194"/>
      <c r="Q1390" s="194"/>
      <c r="R1390" s="194"/>
      <c r="S1390" s="194"/>
    </row>
    <row r="1391" spans="1:19" s="164" customFormat="1" x14ac:dyDescent="0.35">
      <c r="A1391" s="175"/>
      <c r="B1391" s="176" t="str">
        <f>B1370</f>
        <v>VIA 2 - ESTACA 0+0,00 A 5+16,63</v>
      </c>
      <c r="C1391" s="185"/>
      <c r="D1391" s="185"/>
      <c r="E1391" s="185"/>
      <c r="F1391" s="185"/>
      <c r="G1391" s="185"/>
      <c r="H1391" s="185">
        <v>0.03</v>
      </c>
      <c r="I1391" s="185"/>
      <c r="J1391" s="185"/>
      <c r="K1391" s="185"/>
      <c r="L1391" s="185"/>
      <c r="M1391" s="185"/>
      <c r="N1391" s="185"/>
      <c r="O1391" s="215">
        <v>24.49</v>
      </c>
      <c r="P1391" s="194"/>
      <c r="Q1391" s="194"/>
      <c r="R1391" s="194"/>
      <c r="S1391" s="194"/>
    </row>
    <row r="1392" spans="1:19" s="164" customFormat="1" x14ac:dyDescent="0.35">
      <c r="A1392" s="175"/>
      <c r="B1392" s="176" t="str">
        <f>B1371</f>
        <v>VIA 3 - ESTACA 0+0,00 A 8+18,60</v>
      </c>
      <c r="C1392" s="185"/>
      <c r="D1392" s="185"/>
      <c r="E1392" s="185"/>
      <c r="F1392" s="185"/>
      <c r="G1392" s="185"/>
      <c r="H1392" s="185">
        <v>0.03</v>
      </c>
      <c r="I1392" s="185"/>
      <c r="J1392" s="185"/>
      <c r="K1392" s="185"/>
      <c r="L1392" s="185"/>
      <c r="M1392" s="185"/>
      <c r="N1392" s="185"/>
      <c r="O1392" s="215">
        <v>37.51</v>
      </c>
      <c r="P1392" s="194"/>
      <c r="Q1392" s="194"/>
      <c r="R1392" s="194"/>
      <c r="S1392" s="194"/>
    </row>
    <row r="1393" spans="1:19" s="164" customFormat="1" x14ac:dyDescent="0.35">
      <c r="A1393" s="175"/>
      <c r="B1393" s="176"/>
      <c r="C1393" s="185"/>
      <c r="D1393" s="185"/>
      <c r="E1393" s="185"/>
      <c r="F1393" s="185"/>
      <c r="G1393" s="185"/>
      <c r="H1393" s="185"/>
      <c r="I1393" s="185"/>
      <c r="J1393" s="185"/>
      <c r="K1393" s="185"/>
      <c r="L1393" s="185"/>
      <c r="M1393" s="185"/>
      <c r="N1393" s="185"/>
      <c r="O1393" s="193"/>
      <c r="P1393" s="194"/>
      <c r="Q1393" s="194"/>
      <c r="R1393" s="194"/>
      <c r="S1393" s="194"/>
    </row>
    <row r="1394" spans="1:19" s="189" customFormat="1" x14ac:dyDescent="0.35">
      <c r="A1394" s="195"/>
      <c r="B1394" s="181" t="s">
        <v>5</v>
      </c>
      <c r="C1394" s="208" t="s">
        <v>1328</v>
      </c>
      <c r="D1394" s="208"/>
      <c r="E1394" s="208"/>
      <c r="F1394" s="208"/>
      <c r="G1394" s="208"/>
      <c r="H1394" s="208"/>
      <c r="I1394" s="208"/>
      <c r="J1394" s="208"/>
      <c r="K1394" s="208"/>
      <c r="L1394" s="208"/>
      <c r="M1394" s="208"/>
      <c r="N1394" s="208"/>
      <c r="O1394" s="196">
        <f>SUM(O1390:O1392)</f>
        <v>115.28</v>
      </c>
      <c r="P1394" s="169"/>
      <c r="Q1394" s="169"/>
      <c r="R1394" s="169"/>
      <c r="S1394" s="169"/>
    </row>
    <row r="1395" spans="1:19" s="189" customFormat="1" ht="21" x14ac:dyDescent="0.35">
      <c r="A1395" s="171" t="str">
        <f>ORÇAMENTO!A287</f>
        <v>4.2.4.8</v>
      </c>
      <c r="B1395" s="172" t="str">
        <f>VLOOKUP(A1395,ORÇAMENTO!A:K,4,0)</f>
        <v>ENLEIVAMENTO</v>
      </c>
      <c r="C1395" s="173" t="str">
        <f>VLOOKUP(A1395,ORÇAMENTO!A:K,5,0)</f>
        <v>M²</v>
      </c>
      <c r="D1395" s="173">
        <f>SUM(E1401:O1401)</f>
        <v>314.56</v>
      </c>
      <c r="E1395" s="173" t="s">
        <v>1718</v>
      </c>
      <c r="F1395" s="173" t="s">
        <v>1719</v>
      </c>
      <c r="G1395" s="173" t="s">
        <v>1720</v>
      </c>
      <c r="H1395" s="173" t="s">
        <v>1721</v>
      </c>
      <c r="I1395" s="173" t="s">
        <v>1722</v>
      </c>
      <c r="J1395" s="173" t="s">
        <v>1723</v>
      </c>
      <c r="K1395" s="173" t="s">
        <v>1724</v>
      </c>
      <c r="L1395" s="173" t="s">
        <v>1753</v>
      </c>
      <c r="M1395" s="173" t="s">
        <v>1768</v>
      </c>
      <c r="N1395" s="173" t="s">
        <v>1727</v>
      </c>
      <c r="O1395" s="173" t="s">
        <v>1728</v>
      </c>
      <c r="P1395" s="169"/>
      <c r="Q1395" s="169"/>
      <c r="R1395" s="169"/>
      <c r="S1395" s="169"/>
    </row>
    <row r="1396" spans="1:19" s="189" customFormat="1" x14ac:dyDescent="0.35">
      <c r="A1396" s="175"/>
      <c r="B1396" s="181" t="s">
        <v>1845</v>
      </c>
      <c r="C1396" s="177"/>
      <c r="D1396" s="177"/>
      <c r="E1396" s="178"/>
      <c r="F1396" s="178"/>
      <c r="G1396" s="178"/>
      <c r="H1396" s="178"/>
      <c r="I1396" s="178"/>
      <c r="J1396" s="178"/>
      <c r="K1396" s="178"/>
      <c r="L1396" s="178"/>
      <c r="M1396" s="178"/>
      <c r="N1396" s="178"/>
      <c r="O1396" s="178"/>
      <c r="P1396" s="169"/>
      <c r="Q1396" s="169"/>
      <c r="R1396" s="169"/>
      <c r="S1396" s="169"/>
    </row>
    <row r="1397" spans="1:19" s="164" customFormat="1" x14ac:dyDescent="0.35">
      <c r="A1397" s="175"/>
      <c r="B1397" s="176" t="str">
        <f>B1376</f>
        <v>VIA 1 - ESTACA 0+0,00 A 12+13,72</v>
      </c>
      <c r="C1397" s="178"/>
      <c r="D1397" s="178"/>
      <c r="E1397" s="178"/>
      <c r="F1397" s="178"/>
      <c r="G1397" s="178"/>
      <c r="H1397" s="178"/>
      <c r="I1397" s="178"/>
      <c r="J1397" s="178"/>
      <c r="K1397" s="178"/>
      <c r="L1397" s="178"/>
      <c r="M1397" s="178"/>
      <c r="N1397" s="178">
        <v>111.52</v>
      </c>
      <c r="O1397" s="215"/>
      <c r="P1397" s="194"/>
      <c r="Q1397" s="194"/>
      <c r="R1397" s="194"/>
      <c r="S1397" s="194"/>
    </row>
    <row r="1398" spans="1:19" s="164" customFormat="1" x14ac:dyDescent="0.35">
      <c r="A1398" s="175"/>
      <c r="B1398" s="176" t="str">
        <f>B1377</f>
        <v>VIA 2 - ESTACA 0+0,00 A 5+16,63</v>
      </c>
      <c r="C1398" s="178"/>
      <c r="D1398" s="178"/>
      <c r="E1398" s="178"/>
      <c r="F1398" s="178"/>
      <c r="G1398" s="178"/>
      <c r="H1398" s="178"/>
      <c r="I1398" s="178"/>
      <c r="J1398" s="178"/>
      <c r="K1398" s="178"/>
      <c r="L1398" s="178"/>
      <c r="M1398" s="178"/>
      <c r="N1398" s="178">
        <v>50.41</v>
      </c>
      <c r="O1398" s="215"/>
      <c r="P1398" s="194"/>
      <c r="Q1398" s="194"/>
      <c r="R1398" s="194"/>
      <c r="S1398" s="194"/>
    </row>
    <row r="1399" spans="1:19" s="164" customFormat="1" x14ac:dyDescent="0.35">
      <c r="A1399" s="175"/>
      <c r="B1399" s="176" t="str">
        <f>B1378</f>
        <v>VIA 3 - ESTACA 0+0,00 A 8+18,60</v>
      </c>
      <c r="C1399" s="178"/>
      <c r="D1399" s="178"/>
      <c r="E1399" s="178"/>
      <c r="F1399" s="178"/>
      <c r="G1399" s="178"/>
      <c r="H1399" s="178"/>
      <c r="I1399" s="178"/>
      <c r="J1399" s="178"/>
      <c r="K1399" s="178"/>
      <c r="L1399" s="178"/>
      <c r="M1399" s="178"/>
      <c r="N1399" s="178">
        <v>152.63</v>
      </c>
      <c r="O1399" s="215"/>
      <c r="P1399" s="194"/>
      <c r="Q1399" s="194"/>
      <c r="R1399" s="194"/>
      <c r="S1399" s="194"/>
    </row>
    <row r="1400" spans="1:19" s="164" customFormat="1" x14ac:dyDescent="0.35">
      <c r="A1400" s="175"/>
      <c r="B1400" s="176"/>
      <c r="C1400" s="178"/>
      <c r="D1400" s="178"/>
      <c r="E1400" s="178"/>
      <c r="F1400" s="178"/>
      <c r="G1400" s="178"/>
      <c r="H1400" s="178"/>
      <c r="I1400" s="178"/>
      <c r="J1400" s="178"/>
      <c r="K1400" s="178"/>
      <c r="L1400" s="178"/>
      <c r="M1400" s="178"/>
      <c r="N1400" s="178"/>
      <c r="O1400" s="193"/>
      <c r="P1400" s="194"/>
      <c r="Q1400" s="194"/>
      <c r="R1400" s="194"/>
      <c r="S1400" s="194"/>
    </row>
    <row r="1401" spans="1:19" s="189" customFormat="1" x14ac:dyDescent="0.35">
      <c r="A1401" s="195"/>
      <c r="B1401" s="181" t="s">
        <v>5</v>
      </c>
      <c r="C1401" s="182" t="s">
        <v>1328</v>
      </c>
      <c r="D1401" s="182"/>
      <c r="E1401" s="182"/>
      <c r="F1401" s="182"/>
      <c r="G1401" s="182"/>
      <c r="H1401" s="182"/>
      <c r="I1401" s="182"/>
      <c r="J1401" s="182"/>
      <c r="K1401" s="182"/>
      <c r="L1401" s="182"/>
      <c r="M1401" s="182"/>
      <c r="N1401" s="196">
        <f>SUM(N1397:N1399)</f>
        <v>314.56</v>
      </c>
      <c r="O1401" s="196"/>
      <c r="P1401" s="169"/>
      <c r="Q1401" s="169"/>
      <c r="R1401" s="169"/>
      <c r="S1401" s="169"/>
    </row>
    <row r="1402" spans="1:19" s="189" customFormat="1" ht="21" x14ac:dyDescent="0.35">
      <c r="A1402" s="171" t="str">
        <f>ORÇAMENTO!A288</f>
        <v>4.2.4.9</v>
      </c>
      <c r="B1402" s="172" t="str">
        <f>VLOOKUP(A1402,ORÇAMENTO!A:K,4,0)</f>
        <v>USINAGEM DE CBUQ SEM  CAP 50/70, PARA CAPA DE ROLAMENTO (SEM MATERIAL  E TRANSPORTE)</v>
      </c>
      <c r="C1402" s="173" t="str">
        <f>VLOOKUP(A1402,ORÇAMENTO!A:K,5,0)</f>
        <v>T</v>
      </c>
      <c r="D1402" s="173">
        <f>SUM(E1412:O1412)</f>
        <v>276.67199999999997</v>
      </c>
      <c r="E1402" s="173" t="s">
        <v>1718</v>
      </c>
      <c r="F1402" s="173" t="s">
        <v>1719</v>
      </c>
      <c r="G1402" s="173" t="s">
        <v>1720</v>
      </c>
      <c r="H1402" s="173" t="s">
        <v>1721</v>
      </c>
      <c r="I1402" s="173" t="s">
        <v>1722</v>
      </c>
      <c r="J1402" s="173" t="s">
        <v>1723</v>
      </c>
      <c r="K1402" s="173" t="s">
        <v>1746</v>
      </c>
      <c r="L1402" s="173" t="s">
        <v>1753</v>
      </c>
      <c r="M1402" s="173" t="s">
        <v>1768</v>
      </c>
      <c r="N1402" s="173" t="s">
        <v>1727</v>
      </c>
      <c r="O1402" s="173" t="s">
        <v>1728</v>
      </c>
      <c r="P1402" s="169"/>
      <c r="Q1402" s="169"/>
      <c r="R1402" s="169"/>
      <c r="S1402" s="169"/>
    </row>
    <row r="1403" spans="1:19" s="189" customFormat="1" x14ac:dyDescent="0.35">
      <c r="A1403" s="175"/>
      <c r="B1403" s="181"/>
      <c r="C1403" s="177"/>
      <c r="D1403" s="177"/>
      <c r="E1403" s="178"/>
      <c r="F1403" s="178"/>
      <c r="G1403" s="178"/>
      <c r="H1403" s="178"/>
      <c r="I1403" s="178"/>
      <c r="J1403" s="178"/>
      <c r="K1403" s="178"/>
      <c r="L1403" s="178"/>
      <c r="M1403" s="178"/>
      <c r="N1403" s="178"/>
      <c r="O1403" s="178"/>
      <c r="P1403" s="169"/>
      <c r="Q1403" s="169"/>
      <c r="R1403" s="169"/>
      <c r="S1403" s="169"/>
    </row>
    <row r="1404" spans="1:19" s="170" customFormat="1" ht="10.5" x14ac:dyDescent="0.25">
      <c r="A1404" s="175"/>
      <c r="B1404" s="176" t="s">
        <v>1785</v>
      </c>
      <c r="C1404" s="184"/>
      <c r="D1404" s="185"/>
      <c r="E1404" s="185"/>
      <c r="F1404" s="185"/>
      <c r="G1404" s="185"/>
      <c r="H1404" s="185"/>
      <c r="I1404" s="185"/>
      <c r="J1404" s="185"/>
      <c r="K1404" s="185"/>
      <c r="L1404" s="185">
        <v>2.4</v>
      </c>
      <c r="M1404" s="185"/>
      <c r="N1404" s="185"/>
      <c r="O1404" s="185"/>
      <c r="P1404" s="179"/>
      <c r="Q1404" s="169"/>
    </row>
    <row r="1405" spans="1:19" s="170" customFormat="1" ht="21" x14ac:dyDescent="0.25">
      <c r="A1405" s="175"/>
      <c r="B1405" s="176" t="str">
        <f>B1402</f>
        <v>USINAGEM DE CBUQ SEM  CAP 50/70, PARA CAPA DE ROLAMENTO (SEM MATERIAL  E TRANSPORTE)</v>
      </c>
      <c r="C1405" s="184"/>
      <c r="D1405" s="185"/>
      <c r="E1405" s="185"/>
      <c r="F1405" s="185"/>
      <c r="G1405" s="185"/>
      <c r="H1405" s="185"/>
      <c r="I1405" s="185"/>
      <c r="J1405" s="185"/>
      <c r="L1405" s="185"/>
      <c r="M1405" s="185"/>
      <c r="N1405" s="185"/>
      <c r="O1405" s="185"/>
      <c r="P1405" s="179"/>
      <c r="Q1405" s="169"/>
    </row>
    <row r="1406" spans="1:19" s="164" customFormat="1" x14ac:dyDescent="0.35">
      <c r="A1406" s="175"/>
      <c r="B1406" s="176" t="s">
        <v>1846</v>
      </c>
      <c r="C1406" s="185"/>
      <c r="D1406" s="185"/>
      <c r="E1406" s="185"/>
      <c r="F1406" s="185"/>
      <c r="G1406" s="185"/>
      <c r="H1406" s="185"/>
      <c r="I1406" s="185"/>
      <c r="J1406" s="185"/>
      <c r="K1406" s="185">
        <f>L1404*O1406</f>
        <v>127.872</v>
      </c>
      <c r="L1406" s="185"/>
      <c r="M1406" s="185"/>
      <c r="N1406" s="185"/>
      <c r="O1406" s="185">
        <f>O1390</f>
        <v>53.28</v>
      </c>
      <c r="P1406" s="194"/>
      <c r="Q1406" s="194"/>
      <c r="R1406" s="194"/>
      <c r="S1406" s="194"/>
    </row>
    <row r="1407" spans="1:19" s="164" customFormat="1" x14ac:dyDescent="0.35">
      <c r="A1407" s="175"/>
      <c r="B1407" s="176" t="s">
        <v>1863</v>
      </c>
      <c r="C1407" s="185"/>
      <c r="D1407" s="185"/>
      <c r="E1407" s="185"/>
      <c r="F1407" s="185"/>
      <c r="G1407" s="185"/>
      <c r="H1407" s="185"/>
      <c r="I1407" s="185"/>
      <c r="J1407" s="185"/>
      <c r="K1407" s="185">
        <f>L1404*O1407</f>
        <v>58.775999999999996</v>
      </c>
      <c r="L1407" s="185"/>
      <c r="M1407" s="185"/>
      <c r="N1407" s="185"/>
      <c r="O1407" s="185">
        <f>O1391</f>
        <v>24.49</v>
      </c>
      <c r="P1407" s="194"/>
      <c r="Q1407" s="194"/>
      <c r="R1407" s="194"/>
      <c r="S1407" s="194"/>
    </row>
    <row r="1408" spans="1:19" s="164" customFormat="1" x14ac:dyDescent="0.35">
      <c r="A1408" s="175"/>
      <c r="B1408" s="176" t="s">
        <v>1848</v>
      </c>
      <c r="C1408" s="185"/>
      <c r="D1408" s="185"/>
      <c r="E1408" s="185"/>
      <c r="F1408" s="185"/>
      <c r="G1408" s="185"/>
      <c r="H1408" s="185"/>
      <c r="I1408" s="185"/>
      <c r="J1408" s="185"/>
      <c r="K1408" s="185">
        <f>L1404*O1408</f>
        <v>90.023999999999987</v>
      </c>
      <c r="L1408" s="185"/>
      <c r="M1408" s="185"/>
      <c r="N1408" s="185"/>
      <c r="O1408" s="185">
        <f>O1392</f>
        <v>37.51</v>
      </c>
      <c r="P1408" s="194"/>
      <c r="Q1408" s="194"/>
      <c r="R1408" s="194"/>
      <c r="S1408" s="194"/>
    </row>
    <row r="1409" spans="1:19" s="164" customFormat="1" x14ac:dyDescent="0.35">
      <c r="A1409" s="175"/>
      <c r="B1409" s="176"/>
      <c r="C1409" s="185"/>
      <c r="D1409" s="185"/>
      <c r="E1409" s="185"/>
      <c r="F1409" s="185"/>
      <c r="G1409" s="185"/>
      <c r="H1409" s="185"/>
      <c r="I1409" s="185"/>
      <c r="J1409" s="185"/>
      <c r="K1409" s="185"/>
      <c r="L1409" s="185"/>
      <c r="M1409" s="185"/>
      <c r="N1409" s="185"/>
      <c r="O1409" s="185"/>
      <c r="P1409" s="194"/>
      <c r="Q1409" s="194"/>
      <c r="R1409" s="194"/>
      <c r="S1409" s="194"/>
    </row>
    <row r="1410" spans="1:19" s="164" customFormat="1" x14ac:dyDescent="0.35">
      <c r="A1410" s="175"/>
      <c r="B1410" s="176" t="s">
        <v>1784</v>
      </c>
      <c r="C1410" s="185"/>
      <c r="D1410" s="185"/>
      <c r="E1410" s="185"/>
      <c r="F1410" s="185"/>
      <c r="G1410" s="185"/>
      <c r="H1410" s="185"/>
      <c r="I1410" s="185"/>
      <c r="J1410" s="185"/>
      <c r="K1410" s="184">
        <f>SUM(K1406:K1408)</f>
        <v>276.67199999999997</v>
      </c>
      <c r="L1410" s="185"/>
      <c r="M1410" s="185"/>
      <c r="N1410" s="185"/>
      <c r="O1410" s="185"/>
      <c r="P1410" s="194"/>
      <c r="Q1410" s="194"/>
      <c r="R1410" s="194"/>
      <c r="S1410" s="194"/>
    </row>
    <row r="1411" spans="1:19" s="170" customFormat="1" ht="10.5" x14ac:dyDescent="0.25">
      <c r="A1411" s="175"/>
      <c r="B1411" s="176"/>
      <c r="C1411" s="184"/>
      <c r="D1411" s="185"/>
      <c r="E1411" s="185"/>
      <c r="F1411" s="185"/>
      <c r="G1411" s="185"/>
      <c r="H1411" s="185"/>
      <c r="I1411" s="185"/>
      <c r="J1411" s="185"/>
      <c r="K1411" s="185"/>
      <c r="L1411" s="186"/>
      <c r="M1411" s="185"/>
      <c r="N1411" s="185"/>
      <c r="O1411" s="185"/>
      <c r="P1411" s="179"/>
      <c r="Q1411" s="169"/>
    </row>
    <row r="1412" spans="1:19" s="170" customFormat="1" ht="10.5" x14ac:dyDescent="0.25">
      <c r="A1412" s="175"/>
      <c r="B1412" s="181" t="s">
        <v>5</v>
      </c>
      <c r="C1412" s="182" t="s">
        <v>1328</v>
      </c>
      <c r="D1412" s="182"/>
      <c r="E1412" s="182"/>
      <c r="F1412" s="182"/>
      <c r="G1412" s="182"/>
      <c r="H1412" s="182"/>
      <c r="I1412" s="182"/>
      <c r="J1412" s="182"/>
      <c r="K1412" s="182">
        <f>K1410</f>
        <v>276.67199999999997</v>
      </c>
      <c r="L1412" s="182"/>
      <c r="M1412" s="182"/>
      <c r="N1412" s="182"/>
      <c r="O1412" s="182"/>
      <c r="P1412" s="183"/>
      <c r="Q1412" s="169"/>
    </row>
    <row r="1413" spans="1:19" s="189" customFormat="1" ht="21" x14ac:dyDescent="0.35">
      <c r="A1413" s="171" t="str">
        <f>ORÇAMENTO!A289</f>
        <v>4.2.4.10</v>
      </c>
      <c r="B1413" s="172" t="str">
        <f>VLOOKUP(A1413,ORÇAMENTO!A:K,4,0)</f>
        <v>CIMENTO ASFÁLTICO DE PETRÓLEO - CAP 50/70 FORNECIMENTO E TRANSPORTE</v>
      </c>
      <c r="C1413" s="173" t="str">
        <f>VLOOKUP(A1413,ORÇAMENTO!A:K,5,0)</f>
        <v>T</v>
      </c>
      <c r="D1413" s="173">
        <f>SUM(E1418:O1418)</f>
        <v>17.493970559999998</v>
      </c>
      <c r="E1413" s="173" t="s">
        <v>1718</v>
      </c>
      <c r="F1413" s="173" t="s">
        <v>1719</v>
      </c>
      <c r="G1413" s="173" t="s">
        <v>1720</v>
      </c>
      <c r="H1413" s="173" t="s">
        <v>1721</v>
      </c>
      <c r="I1413" s="173" t="s">
        <v>1722</v>
      </c>
      <c r="J1413" s="173" t="s">
        <v>1723</v>
      </c>
      <c r="K1413" s="173" t="s">
        <v>1746</v>
      </c>
      <c r="L1413" s="173" t="s">
        <v>1777</v>
      </c>
      <c r="M1413" s="173" t="s">
        <v>1768</v>
      </c>
      <c r="N1413" s="173" t="s">
        <v>1727</v>
      </c>
      <c r="O1413" s="173" t="s">
        <v>1728</v>
      </c>
      <c r="P1413" s="169"/>
      <c r="Q1413" s="169"/>
      <c r="R1413" s="169"/>
      <c r="S1413" s="169"/>
    </row>
    <row r="1414" spans="1:19" s="170" customFormat="1" ht="10.5" x14ac:dyDescent="0.25">
      <c r="A1414" s="175"/>
      <c r="B1414" s="176" t="str">
        <f>B1410</f>
        <v>CONCRETO BETUMINOSO USINADO A QUENTE</v>
      </c>
      <c r="C1414" s="177"/>
      <c r="D1414" s="178"/>
      <c r="E1414" s="178"/>
      <c r="F1414" s="178"/>
      <c r="G1414" s="178"/>
      <c r="H1414" s="178"/>
      <c r="I1414" s="178"/>
      <c r="J1414" s="178"/>
      <c r="K1414" s="178">
        <f>K1410</f>
        <v>276.67199999999997</v>
      </c>
      <c r="L1414" s="178"/>
      <c r="M1414" s="178"/>
      <c r="N1414" s="178"/>
      <c r="O1414" s="178"/>
      <c r="P1414" s="179"/>
      <c r="Q1414" s="169"/>
    </row>
    <row r="1415" spans="1:19" s="170" customFormat="1" ht="10.5" x14ac:dyDescent="0.25">
      <c r="A1415" s="175"/>
      <c r="B1415" s="176" t="s">
        <v>1786</v>
      </c>
      <c r="C1415" s="177"/>
      <c r="D1415" s="178"/>
      <c r="E1415" s="178"/>
      <c r="F1415" s="178"/>
      <c r="G1415" s="178"/>
      <c r="H1415" s="178"/>
      <c r="I1415" s="178"/>
      <c r="J1415" s="178"/>
      <c r="K1415" s="178"/>
      <c r="L1415" s="198">
        <v>6.3229999999999995E-2</v>
      </c>
      <c r="M1415" s="178"/>
      <c r="N1415" s="178"/>
      <c r="O1415" s="178"/>
      <c r="P1415" s="179"/>
      <c r="Q1415" s="169"/>
    </row>
    <row r="1416" spans="1:19" s="170" customFormat="1" ht="10.5" x14ac:dyDescent="0.25">
      <c r="A1416" s="175"/>
      <c r="B1416" s="176"/>
      <c r="C1416" s="177"/>
      <c r="D1416" s="178"/>
      <c r="E1416" s="178"/>
      <c r="F1416" s="178"/>
      <c r="G1416" s="178"/>
      <c r="H1416" s="178"/>
      <c r="I1416" s="178"/>
      <c r="J1416" s="178"/>
      <c r="K1416" s="178">
        <f>K1414*L1415</f>
        <v>17.493970559999998</v>
      </c>
      <c r="L1416" s="178"/>
      <c r="M1416" s="178"/>
      <c r="N1416" s="178"/>
      <c r="O1416" s="178"/>
      <c r="P1416" s="179"/>
      <c r="Q1416" s="169"/>
    </row>
    <row r="1417" spans="1:19" s="164" customFormat="1" x14ac:dyDescent="0.35">
      <c r="A1417" s="175"/>
      <c r="B1417" s="176"/>
      <c r="C1417" s="185"/>
      <c r="D1417" s="185"/>
      <c r="E1417" s="185"/>
      <c r="F1417" s="185"/>
      <c r="G1417" s="185"/>
      <c r="H1417" s="185"/>
      <c r="I1417" s="185"/>
      <c r="J1417" s="185"/>
      <c r="K1417" s="185"/>
      <c r="L1417" s="185"/>
      <c r="M1417" s="185"/>
      <c r="N1417" s="185"/>
      <c r="O1417" s="193"/>
      <c r="P1417" s="194"/>
      <c r="Q1417" s="194"/>
      <c r="R1417" s="194"/>
      <c r="S1417" s="194"/>
    </row>
    <row r="1418" spans="1:19" s="189" customFormat="1" x14ac:dyDescent="0.35">
      <c r="A1418" s="195"/>
      <c r="B1418" s="181" t="s">
        <v>5</v>
      </c>
      <c r="C1418" s="208" t="s">
        <v>1328</v>
      </c>
      <c r="D1418" s="208"/>
      <c r="E1418" s="208"/>
      <c r="F1418" s="208"/>
      <c r="G1418" s="208"/>
      <c r="H1418" s="182"/>
      <c r="I1418" s="208"/>
      <c r="J1418" s="208"/>
      <c r="K1418" s="208">
        <f>K1416</f>
        <v>17.493970559999998</v>
      </c>
      <c r="L1418" s="208"/>
      <c r="M1418" s="208"/>
      <c r="N1418" s="208"/>
      <c r="O1418" s="196"/>
      <c r="P1418" s="169"/>
      <c r="Q1418" s="169"/>
      <c r="R1418" s="169"/>
      <c r="S1418" s="169"/>
    </row>
    <row r="1419" spans="1:19" s="189" customFormat="1" ht="21" x14ac:dyDescent="0.35">
      <c r="A1419" s="171" t="str">
        <f>ORÇAMENTO!A290</f>
        <v>4.2.4.11</v>
      </c>
      <c r="B1419" s="172" t="str">
        <f>VLOOKUP(A1419,ORÇAMENTO!A:K,4,0)</f>
        <v>EMULSÃO ASFÁLTICA - RR-1C - FORNECIMENTO E TRANSPORTE</v>
      </c>
      <c r="C1419" s="173" t="str">
        <f>VLOOKUP(A1419,ORÇAMENTO!A:K,5,0)</f>
        <v>T</v>
      </c>
      <c r="D1419" s="173">
        <f>SUM(E1426:O1426)</f>
        <v>1.7292000000000001</v>
      </c>
      <c r="E1419" s="173" t="s">
        <v>1718</v>
      </c>
      <c r="F1419" s="173" t="s">
        <v>1719</v>
      </c>
      <c r="G1419" s="173" t="s">
        <v>1720</v>
      </c>
      <c r="H1419" s="173" t="s">
        <v>1721</v>
      </c>
      <c r="I1419" s="173" t="s">
        <v>1722</v>
      </c>
      <c r="J1419" s="173" t="s">
        <v>1723</v>
      </c>
      <c r="K1419" s="173" t="s">
        <v>1746</v>
      </c>
      <c r="L1419" s="173" t="s">
        <v>1777</v>
      </c>
      <c r="M1419" s="173" t="s">
        <v>1768</v>
      </c>
      <c r="N1419" s="173" t="s">
        <v>1727</v>
      </c>
      <c r="O1419" s="173" t="s">
        <v>1728</v>
      </c>
      <c r="P1419" s="169"/>
      <c r="Q1419" s="169"/>
      <c r="R1419" s="169"/>
      <c r="S1419" s="169"/>
    </row>
    <row r="1420" spans="1:19" s="189" customFormat="1" ht="21" x14ac:dyDescent="0.35">
      <c r="A1420" s="175"/>
      <c r="B1420" s="181" t="s">
        <v>1778</v>
      </c>
      <c r="C1420" s="177"/>
      <c r="D1420" s="177"/>
      <c r="E1420" s="178"/>
      <c r="F1420" s="178"/>
      <c r="G1420" s="178"/>
      <c r="H1420" s="178"/>
      <c r="I1420" s="178"/>
      <c r="J1420" s="178"/>
      <c r="K1420" s="178"/>
      <c r="L1420" s="178"/>
      <c r="M1420" s="178"/>
      <c r="N1420" s="178"/>
      <c r="O1420" s="178"/>
      <c r="P1420" s="169"/>
      <c r="Q1420" s="169"/>
      <c r="R1420" s="169"/>
      <c r="S1420" s="169"/>
    </row>
    <row r="1421" spans="1:19" s="170" customFormat="1" ht="31.5" x14ac:dyDescent="0.25">
      <c r="A1421" s="175"/>
      <c r="B1421" s="176" t="s">
        <v>1779</v>
      </c>
      <c r="C1421" s="177"/>
      <c r="D1421" s="178"/>
      <c r="E1421" s="178"/>
      <c r="F1421" s="178"/>
      <c r="G1421" s="178"/>
      <c r="H1421" s="178"/>
      <c r="I1421" s="178"/>
      <c r="J1421" s="178"/>
      <c r="K1421" s="178"/>
      <c r="L1421" s="198">
        <v>4.4999999999999999E-4</v>
      </c>
      <c r="M1421" s="178"/>
      <c r="N1421" s="178"/>
      <c r="O1421" s="178"/>
      <c r="P1421" s="179"/>
      <c r="Q1421" s="169"/>
    </row>
    <row r="1422" spans="1:19" s="164" customFormat="1" x14ac:dyDescent="0.35">
      <c r="A1422" s="175"/>
      <c r="B1422" s="176" t="s">
        <v>1846</v>
      </c>
      <c r="C1422" s="185"/>
      <c r="D1422" s="185"/>
      <c r="E1422" s="185"/>
      <c r="F1422" s="185"/>
      <c r="G1422" s="185"/>
      <c r="H1422" s="185"/>
      <c r="I1422" s="185"/>
      <c r="J1422" s="185"/>
      <c r="K1422" s="185">
        <f>$L$1421*N1422</f>
        <v>0.79920000000000002</v>
      </c>
      <c r="L1422" s="185"/>
      <c r="M1422" s="185"/>
      <c r="N1422" s="215">
        <f>N1376</f>
        <v>1776</v>
      </c>
      <c r="O1422" s="215"/>
      <c r="P1422" s="194"/>
      <c r="Q1422" s="194"/>
      <c r="R1422" s="194"/>
      <c r="S1422" s="194"/>
    </row>
    <row r="1423" spans="1:19" s="164" customFormat="1" x14ac:dyDescent="0.35">
      <c r="A1423" s="175"/>
      <c r="B1423" s="176" t="s">
        <v>1863</v>
      </c>
      <c r="C1423" s="185"/>
      <c r="D1423" s="185"/>
      <c r="E1423" s="185"/>
      <c r="F1423" s="185"/>
      <c r="G1423" s="185"/>
      <c r="H1423" s="185"/>
      <c r="I1423" s="185"/>
      <c r="J1423" s="185"/>
      <c r="K1423" s="185">
        <f>$L$1421*N1423</f>
        <v>0.36734999999999995</v>
      </c>
      <c r="L1423" s="185"/>
      <c r="M1423" s="185"/>
      <c r="N1423" s="215">
        <f>N1377</f>
        <v>816.33333333333326</v>
      </c>
      <c r="O1423" s="215"/>
      <c r="P1423" s="194"/>
      <c r="Q1423" s="194"/>
      <c r="R1423" s="194"/>
      <c r="S1423" s="194"/>
    </row>
    <row r="1424" spans="1:19" s="164" customFormat="1" x14ac:dyDescent="0.35">
      <c r="A1424" s="175"/>
      <c r="B1424" s="176" t="s">
        <v>1848</v>
      </c>
      <c r="C1424" s="185"/>
      <c r="D1424" s="185"/>
      <c r="E1424" s="185"/>
      <c r="F1424" s="185"/>
      <c r="G1424" s="185"/>
      <c r="H1424" s="185"/>
      <c r="I1424" s="185"/>
      <c r="J1424" s="185"/>
      <c r="K1424" s="185">
        <f>$L$1421*N1424</f>
        <v>0.56264999999999998</v>
      </c>
      <c r="L1424" s="185"/>
      <c r="M1424" s="185"/>
      <c r="N1424" s="215">
        <f>N1378</f>
        <v>1250.3333333333333</v>
      </c>
      <c r="O1424" s="215"/>
      <c r="P1424" s="194"/>
      <c r="Q1424" s="194"/>
      <c r="R1424" s="194"/>
      <c r="S1424" s="194"/>
    </row>
    <row r="1425" spans="1:19" s="164" customFormat="1" x14ac:dyDescent="0.35">
      <c r="A1425" s="175"/>
      <c r="B1425" s="176"/>
      <c r="C1425" s="185"/>
      <c r="D1425" s="185"/>
      <c r="E1425" s="185"/>
      <c r="F1425" s="185"/>
      <c r="G1425" s="185"/>
      <c r="H1425" s="185"/>
      <c r="I1425" s="185"/>
      <c r="J1425" s="185"/>
      <c r="K1425" s="185"/>
      <c r="L1425" s="185"/>
      <c r="M1425" s="185"/>
      <c r="N1425" s="185"/>
      <c r="O1425" s="193"/>
      <c r="P1425" s="194"/>
      <c r="Q1425" s="194"/>
      <c r="R1425" s="194"/>
      <c r="S1425" s="194"/>
    </row>
    <row r="1426" spans="1:19" s="189" customFormat="1" x14ac:dyDescent="0.35">
      <c r="A1426" s="195"/>
      <c r="B1426" s="181" t="s">
        <v>5</v>
      </c>
      <c r="C1426" s="208" t="s">
        <v>1328</v>
      </c>
      <c r="D1426" s="208"/>
      <c r="E1426" s="208"/>
      <c r="F1426" s="208"/>
      <c r="G1426" s="208"/>
      <c r="H1426" s="208"/>
      <c r="I1426" s="208"/>
      <c r="J1426" s="208"/>
      <c r="K1426" s="196">
        <f>SUM(K1422:K1424)</f>
        <v>1.7292000000000001</v>
      </c>
      <c r="L1426" s="208"/>
      <c r="M1426" s="208"/>
      <c r="N1426" s="208"/>
      <c r="O1426" s="196"/>
      <c r="P1426" s="169"/>
      <c r="Q1426" s="169"/>
      <c r="R1426" s="169"/>
      <c r="S1426" s="169"/>
    </row>
    <row r="1427" spans="1:19" s="189" customFormat="1" ht="21" x14ac:dyDescent="0.35">
      <c r="A1427" s="171" t="str">
        <f>ORÇAMENTO!A291</f>
        <v>4.2.4.12</v>
      </c>
      <c r="B1427" s="172" t="str">
        <f>VLOOKUP(A1427,ORÇAMENTO!A:K,4,0)</f>
        <v>EMULSÃO ASFÁLTICA PARA IMPRIMAÇÃO - FORNECIMENTO E TRANSPORTE</v>
      </c>
      <c r="C1427" s="173" t="str">
        <f>VLOOKUP(A1427,ORÇAMENTO!A:K,5,0)</f>
        <v>T</v>
      </c>
      <c r="D1427" s="173">
        <f>SUM(E1434:O1434)</f>
        <v>3.2387999999999999</v>
      </c>
      <c r="E1427" s="173" t="s">
        <v>1718</v>
      </c>
      <c r="F1427" s="173" t="s">
        <v>1719</v>
      </c>
      <c r="G1427" s="173" t="s">
        <v>1720</v>
      </c>
      <c r="H1427" s="173" t="s">
        <v>1721</v>
      </c>
      <c r="I1427" s="173" t="s">
        <v>1722</v>
      </c>
      <c r="J1427" s="173" t="s">
        <v>1723</v>
      </c>
      <c r="K1427" s="173" t="s">
        <v>1746</v>
      </c>
      <c r="L1427" s="173" t="s">
        <v>1777</v>
      </c>
      <c r="M1427" s="173" t="s">
        <v>1768</v>
      </c>
      <c r="N1427" s="173" t="s">
        <v>1727</v>
      </c>
      <c r="O1427" s="173" t="s">
        <v>1728</v>
      </c>
      <c r="P1427" s="169"/>
      <c r="Q1427" s="169"/>
      <c r="R1427" s="169"/>
      <c r="S1427" s="169"/>
    </row>
    <row r="1428" spans="1:19" s="189" customFormat="1" x14ac:dyDescent="0.35">
      <c r="A1428" s="175"/>
      <c r="B1428" s="181" t="s">
        <v>1780</v>
      </c>
      <c r="C1428" s="177"/>
      <c r="D1428" s="177"/>
      <c r="E1428" s="178"/>
      <c r="F1428" s="178"/>
      <c r="G1428" s="178"/>
      <c r="H1428" s="178"/>
      <c r="I1428" s="178"/>
      <c r="J1428" s="178"/>
      <c r="K1428" s="178"/>
      <c r="L1428" s="178"/>
      <c r="M1428" s="178"/>
      <c r="N1428" s="178"/>
      <c r="O1428" s="178"/>
      <c r="P1428" s="169"/>
      <c r="Q1428" s="169"/>
      <c r="R1428" s="169"/>
      <c r="S1428" s="169"/>
    </row>
    <row r="1429" spans="1:19" s="170" customFormat="1" ht="42" x14ac:dyDescent="0.25">
      <c r="A1429" s="175"/>
      <c r="B1429" s="176" t="s">
        <v>1781</v>
      </c>
      <c r="C1429" s="177"/>
      <c r="D1429" s="178"/>
      <c r="E1429" s="178"/>
      <c r="F1429" s="178"/>
      <c r="G1429" s="178"/>
      <c r="H1429" s="178"/>
      <c r="I1429" s="178"/>
      <c r="J1429" s="178"/>
      <c r="K1429" s="178"/>
      <c r="L1429" s="198">
        <v>1.2999999999999999E-3</v>
      </c>
      <c r="M1429" s="178"/>
      <c r="N1429" s="178"/>
      <c r="O1429" s="178"/>
      <c r="P1429" s="179"/>
      <c r="Q1429" s="169"/>
    </row>
    <row r="1430" spans="1:19" s="164" customFormat="1" x14ac:dyDescent="0.35">
      <c r="A1430" s="175"/>
      <c r="B1430" s="176" t="s">
        <v>1846</v>
      </c>
      <c r="C1430" s="178"/>
      <c r="D1430" s="178"/>
      <c r="E1430" s="178"/>
      <c r="F1430" s="178"/>
      <c r="G1430" s="178"/>
      <c r="H1430" s="178"/>
      <c r="I1430" s="178"/>
      <c r="J1430" s="178"/>
      <c r="K1430" s="178">
        <f>$L$1429*N1430</f>
        <v>2.3087999999999997</v>
      </c>
      <c r="L1430" s="178"/>
      <c r="M1430" s="178"/>
      <c r="N1430" s="215">
        <f>N1383</f>
        <v>1776</v>
      </c>
      <c r="O1430" s="215"/>
      <c r="P1430" s="194"/>
      <c r="Q1430" s="194"/>
      <c r="R1430" s="194"/>
      <c r="S1430" s="194"/>
    </row>
    <row r="1431" spans="1:19" s="164" customFormat="1" x14ac:dyDescent="0.35">
      <c r="A1431" s="175"/>
      <c r="B1431" s="176" t="s">
        <v>1863</v>
      </c>
      <c r="C1431" s="178"/>
      <c r="D1431" s="178"/>
      <c r="E1431" s="178"/>
      <c r="F1431" s="178"/>
      <c r="G1431" s="178"/>
      <c r="H1431" s="178"/>
      <c r="I1431" s="178"/>
      <c r="J1431" s="178"/>
      <c r="K1431" s="178">
        <f>$L$1421*N1431</f>
        <v>0.36734999999999995</v>
      </c>
      <c r="L1431" s="178"/>
      <c r="M1431" s="178"/>
      <c r="N1431" s="215">
        <f>N1384</f>
        <v>816.33333333333326</v>
      </c>
      <c r="O1431" s="215"/>
      <c r="P1431" s="194"/>
      <c r="Q1431" s="194"/>
      <c r="R1431" s="194"/>
      <c r="S1431" s="194"/>
    </row>
    <row r="1432" spans="1:19" s="164" customFormat="1" x14ac:dyDescent="0.35">
      <c r="A1432" s="175"/>
      <c r="B1432" s="176" t="s">
        <v>1848</v>
      </c>
      <c r="C1432" s="178"/>
      <c r="D1432" s="178"/>
      <c r="E1432" s="178"/>
      <c r="F1432" s="178"/>
      <c r="G1432" s="178"/>
      <c r="H1432" s="178"/>
      <c r="I1432" s="178"/>
      <c r="J1432" s="178"/>
      <c r="K1432" s="178">
        <f>$L$1421*N1432</f>
        <v>0.56264999999999998</v>
      </c>
      <c r="L1432" s="178"/>
      <c r="M1432" s="178"/>
      <c r="N1432" s="215">
        <f>N1385</f>
        <v>1250.3333333333333</v>
      </c>
      <c r="O1432" s="215"/>
      <c r="P1432" s="194"/>
      <c r="Q1432" s="194"/>
      <c r="R1432" s="194"/>
      <c r="S1432" s="194"/>
    </row>
    <row r="1433" spans="1:19" s="164" customFormat="1" x14ac:dyDescent="0.35">
      <c r="A1433" s="175"/>
      <c r="B1433" s="176"/>
      <c r="C1433" s="178"/>
      <c r="D1433" s="178"/>
      <c r="E1433" s="178"/>
      <c r="F1433" s="178"/>
      <c r="G1433" s="178"/>
      <c r="H1433" s="178"/>
      <c r="I1433" s="178"/>
      <c r="J1433" s="178"/>
      <c r="K1433" s="178"/>
      <c r="L1433" s="178"/>
      <c r="M1433" s="178"/>
      <c r="N1433" s="178"/>
      <c r="O1433" s="193"/>
      <c r="P1433" s="194"/>
      <c r="Q1433" s="194"/>
      <c r="R1433" s="194"/>
      <c r="S1433" s="194"/>
    </row>
    <row r="1434" spans="1:19" s="189" customFormat="1" x14ac:dyDescent="0.35">
      <c r="A1434" s="195"/>
      <c r="B1434" s="181" t="s">
        <v>5</v>
      </c>
      <c r="C1434" s="182" t="s">
        <v>1328</v>
      </c>
      <c r="D1434" s="182"/>
      <c r="E1434" s="182"/>
      <c r="F1434" s="182"/>
      <c r="G1434" s="182"/>
      <c r="H1434" s="182"/>
      <c r="I1434" s="182"/>
      <c r="J1434" s="182"/>
      <c r="K1434" s="196">
        <f>SUM(K1430:K1432)</f>
        <v>3.2387999999999999</v>
      </c>
      <c r="L1434" s="182"/>
      <c r="M1434" s="182"/>
      <c r="N1434" s="182"/>
      <c r="O1434" s="196"/>
      <c r="P1434" s="169"/>
      <c r="Q1434" s="169"/>
      <c r="R1434" s="169"/>
      <c r="S1434" s="169"/>
    </row>
    <row r="1435" spans="1:19" s="189" customFormat="1" ht="21" x14ac:dyDescent="0.35">
      <c r="A1435" s="171" t="str">
        <f>ORÇAMENTO!A292</f>
        <v>4.2.4.13</v>
      </c>
      <c r="B1435" s="172" t="str">
        <f>VLOOKUP(A1435,ORÇAMENTO!A:K,4,0)</f>
        <v>CAL HIDRATADA - A GRANEL</v>
      </c>
      <c r="C1435" s="173" t="str">
        <f>VLOOKUP(A1435,ORÇAMENTO!A:K,5,0)</f>
        <v>KG</v>
      </c>
      <c r="D1435" s="173">
        <f>SUM(E1442:O1442)</f>
        <v>420.77</v>
      </c>
      <c r="E1435" s="173" t="s">
        <v>1718</v>
      </c>
      <c r="F1435" s="173" t="s">
        <v>1719</v>
      </c>
      <c r="G1435" s="173" t="s">
        <v>1720</v>
      </c>
      <c r="H1435" s="173" t="s">
        <v>1721</v>
      </c>
      <c r="I1435" s="173" t="s">
        <v>1722</v>
      </c>
      <c r="J1435" s="173" t="s">
        <v>1723</v>
      </c>
      <c r="K1435" s="173" t="s">
        <v>1724</v>
      </c>
      <c r="L1435" s="173" t="s">
        <v>1753</v>
      </c>
      <c r="M1435" s="173" t="s">
        <v>1768</v>
      </c>
      <c r="N1435" s="173" t="s">
        <v>1727</v>
      </c>
      <c r="O1435" s="173" t="s">
        <v>1728</v>
      </c>
      <c r="P1435" s="169"/>
      <c r="Q1435" s="169"/>
      <c r="R1435" s="169"/>
      <c r="S1435" s="169"/>
    </row>
    <row r="1436" spans="1:19" s="189" customFormat="1" x14ac:dyDescent="0.35">
      <c r="A1436" s="175"/>
      <c r="B1436" s="181" t="s">
        <v>1864</v>
      </c>
      <c r="C1436" s="177"/>
      <c r="D1436" s="177"/>
      <c r="E1436" s="178"/>
      <c r="F1436" s="178"/>
      <c r="G1436" s="178"/>
      <c r="H1436" s="178"/>
      <c r="I1436" s="178"/>
      <c r="J1436" s="178"/>
      <c r="K1436" s="178"/>
      <c r="L1436" s="178"/>
      <c r="M1436" s="178"/>
      <c r="N1436" s="178"/>
      <c r="O1436" s="178"/>
      <c r="P1436" s="169"/>
      <c r="Q1436" s="169"/>
      <c r="R1436" s="169"/>
      <c r="S1436" s="169"/>
    </row>
    <row r="1437" spans="1:19" s="170" customFormat="1" ht="10.5" x14ac:dyDescent="0.25">
      <c r="A1437" s="175"/>
      <c r="B1437" s="176" t="s">
        <v>1865</v>
      </c>
      <c r="C1437" s="177"/>
      <c r="D1437" s="178"/>
      <c r="E1437" s="178"/>
      <c r="F1437" s="178"/>
      <c r="G1437" s="178"/>
      <c r="H1437" s="178"/>
      <c r="I1437" s="178"/>
      <c r="J1437" s="178"/>
      <c r="K1437" s="178"/>
      <c r="L1437" s="198">
        <v>0.7</v>
      </c>
      <c r="M1437" s="178"/>
      <c r="N1437" s="178"/>
      <c r="O1437" s="178"/>
      <c r="P1437" s="179"/>
      <c r="Q1437" s="169"/>
    </row>
    <row r="1438" spans="1:19" s="164" customFormat="1" x14ac:dyDescent="0.35">
      <c r="A1438" s="175"/>
      <c r="B1438" s="176" t="s">
        <v>1846</v>
      </c>
      <c r="C1438" s="185"/>
      <c r="D1438" s="185"/>
      <c r="E1438" s="185"/>
      <c r="F1438" s="185"/>
      <c r="G1438" s="185"/>
      <c r="H1438" s="185"/>
      <c r="I1438" s="185"/>
      <c r="J1438" s="185"/>
      <c r="K1438" s="185">
        <f>$L$1437*O1438</f>
        <v>194.47399999999999</v>
      </c>
      <c r="L1438" s="185"/>
      <c r="M1438" s="185"/>
      <c r="N1438" s="185"/>
      <c r="O1438" s="215">
        <f>O1361</f>
        <v>277.82</v>
      </c>
      <c r="P1438" s="194"/>
      <c r="Q1438" s="194"/>
      <c r="R1438" s="194"/>
      <c r="S1438" s="194"/>
    </row>
    <row r="1439" spans="1:19" s="164" customFormat="1" x14ac:dyDescent="0.35">
      <c r="A1439" s="175"/>
      <c r="B1439" s="176" t="s">
        <v>1863</v>
      </c>
      <c r="C1439" s="185"/>
      <c r="D1439" s="185"/>
      <c r="E1439" s="185"/>
      <c r="F1439" s="185"/>
      <c r="G1439" s="185"/>
      <c r="H1439" s="185"/>
      <c r="I1439" s="185"/>
      <c r="J1439" s="185"/>
      <c r="K1439" s="185">
        <f>$L$1437*O1439</f>
        <v>89.396999999999991</v>
      </c>
      <c r="L1439" s="185"/>
      <c r="M1439" s="185"/>
      <c r="N1439" s="185"/>
      <c r="O1439" s="215">
        <f>O1362</f>
        <v>127.71</v>
      </c>
      <c r="P1439" s="194"/>
      <c r="Q1439" s="194"/>
      <c r="R1439" s="194"/>
      <c r="S1439" s="194"/>
    </row>
    <row r="1440" spans="1:19" s="164" customFormat="1" x14ac:dyDescent="0.35">
      <c r="A1440" s="175"/>
      <c r="B1440" s="176" t="s">
        <v>1848</v>
      </c>
      <c r="C1440" s="185"/>
      <c r="D1440" s="185"/>
      <c r="E1440" s="185"/>
      <c r="F1440" s="185"/>
      <c r="G1440" s="185"/>
      <c r="H1440" s="185"/>
      <c r="I1440" s="185"/>
      <c r="J1440" s="185"/>
      <c r="K1440" s="185">
        <f>$L$1437*O1440</f>
        <v>136.89899999999997</v>
      </c>
      <c r="L1440" s="185"/>
      <c r="M1440" s="185"/>
      <c r="N1440" s="185"/>
      <c r="O1440" s="215">
        <f>O1363</f>
        <v>195.57</v>
      </c>
      <c r="P1440" s="194"/>
      <c r="Q1440" s="194"/>
      <c r="R1440" s="194"/>
      <c r="S1440" s="194"/>
    </row>
    <row r="1441" spans="1:19" s="164" customFormat="1" x14ac:dyDescent="0.35">
      <c r="A1441" s="175"/>
      <c r="B1441" s="176"/>
      <c r="C1441" s="185"/>
      <c r="D1441" s="185"/>
      <c r="E1441" s="185"/>
      <c r="F1441" s="185"/>
      <c r="G1441" s="185"/>
      <c r="H1441" s="185"/>
      <c r="I1441" s="185"/>
      <c r="J1441" s="185"/>
      <c r="K1441" s="185"/>
      <c r="L1441" s="185"/>
      <c r="M1441" s="185"/>
      <c r="N1441" s="185"/>
      <c r="O1441" s="193"/>
      <c r="P1441" s="194"/>
      <c r="Q1441" s="194"/>
      <c r="R1441" s="194"/>
      <c r="S1441" s="194"/>
    </row>
    <row r="1442" spans="1:19" s="189" customFormat="1" x14ac:dyDescent="0.35">
      <c r="A1442" s="195"/>
      <c r="B1442" s="181" t="s">
        <v>5</v>
      </c>
      <c r="C1442" s="208" t="s">
        <v>1328</v>
      </c>
      <c r="D1442" s="208"/>
      <c r="E1442" s="208"/>
      <c r="F1442" s="208"/>
      <c r="G1442" s="208"/>
      <c r="H1442" s="208"/>
      <c r="I1442" s="208"/>
      <c r="J1442" s="208"/>
      <c r="K1442" s="196">
        <f>SUM(K1438:K1440)</f>
        <v>420.77</v>
      </c>
      <c r="L1442" s="208"/>
      <c r="M1442" s="208"/>
      <c r="N1442" s="208"/>
      <c r="O1442" s="196"/>
      <c r="P1442" s="169"/>
      <c r="Q1442" s="169"/>
      <c r="R1442" s="169"/>
      <c r="S1442" s="169"/>
    </row>
    <row r="1443" spans="1:19" s="189" customFormat="1" ht="52.5" x14ac:dyDescent="0.35">
      <c r="A1443" s="171" t="str">
        <f>ORÇAMENTO!A293</f>
        <v>4.2.4.14</v>
      </c>
      <c r="B1443" s="172" t="str">
        <f>VLOOKUP(A1443,ORÇAMENTO!A:K,4,0)</f>
        <v>ASSENTAMENTO DE GUIA (MEIO-FIO) EM TRECHO RETO, CONFECCIONADA EM CONCRETO PRÉ-FABRICADO, DIMENSÕES 100X15X13X30 CM (COMPRIMENTO X BASE INFERIOR X BASE SUPERIOR X ALTURA). AF_01/2024</v>
      </c>
      <c r="C1443" s="173" t="str">
        <f>VLOOKUP(A1443,ORÇAMENTO!A:K,5,0)</f>
        <v>M</v>
      </c>
      <c r="D1443" s="173">
        <f>SUM(E1449:O1449)</f>
        <v>1097.9000000000001</v>
      </c>
      <c r="E1443" s="173" t="s">
        <v>1718</v>
      </c>
      <c r="F1443" s="173" t="s">
        <v>1719</v>
      </c>
      <c r="G1443" s="173" t="s">
        <v>1720</v>
      </c>
      <c r="H1443" s="173" t="s">
        <v>1721</v>
      </c>
      <c r="I1443" s="173" t="s">
        <v>1722</v>
      </c>
      <c r="J1443" s="173" t="s">
        <v>1723</v>
      </c>
      <c r="K1443" s="173" t="s">
        <v>1724</v>
      </c>
      <c r="L1443" s="173" t="s">
        <v>1753</v>
      </c>
      <c r="M1443" s="173" t="s">
        <v>1768</v>
      </c>
      <c r="N1443" s="173" t="s">
        <v>1727</v>
      </c>
      <c r="O1443" s="173" t="s">
        <v>1728</v>
      </c>
      <c r="P1443" s="169"/>
      <c r="Q1443" s="169"/>
      <c r="R1443" s="169"/>
      <c r="S1443" s="169"/>
    </row>
    <row r="1444" spans="1:19" s="170" customFormat="1" ht="10.5" x14ac:dyDescent="0.25">
      <c r="A1444" s="175"/>
      <c r="B1444" s="176"/>
      <c r="C1444" s="177"/>
      <c r="D1444" s="178"/>
      <c r="E1444" s="178"/>
      <c r="F1444" s="178"/>
      <c r="G1444" s="178"/>
      <c r="H1444" s="178"/>
      <c r="I1444" s="178"/>
      <c r="J1444" s="178"/>
      <c r="K1444" s="178"/>
      <c r="L1444" s="198"/>
      <c r="M1444" s="178"/>
      <c r="N1444" s="178"/>
      <c r="O1444" s="178"/>
      <c r="P1444" s="179"/>
      <c r="Q1444" s="169"/>
    </row>
    <row r="1445" spans="1:19" s="164" customFormat="1" x14ac:dyDescent="0.35">
      <c r="A1445" s="175"/>
      <c r="B1445" s="176" t="s">
        <v>1846</v>
      </c>
      <c r="C1445" s="178"/>
      <c r="D1445" s="178"/>
      <c r="E1445" s="178">
        <f>E1269</f>
        <v>253.72</v>
      </c>
      <c r="F1445" s="178"/>
      <c r="G1445" s="178"/>
      <c r="H1445" s="178"/>
      <c r="I1445" s="178">
        <f>2*E1445</f>
        <v>507.44</v>
      </c>
      <c r="J1445" s="178"/>
      <c r="K1445" s="178"/>
      <c r="L1445" s="178"/>
      <c r="M1445" s="178"/>
      <c r="N1445" s="178"/>
      <c r="O1445" s="215"/>
      <c r="P1445" s="194"/>
      <c r="Q1445" s="194"/>
      <c r="R1445" s="194"/>
      <c r="S1445" s="194"/>
    </row>
    <row r="1446" spans="1:19" s="164" customFormat="1" x14ac:dyDescent="0.35">
      <c r="A1446" s="175"/>
      <c r="B1446" s="176" t="s">
        <v>1863</v>
      </c>
      <c r="C1446" s="178"/>
      <c r="D1446" s="178"/>
      <c r="E1446" s="178">
        <f>E1270</f>
        <v>116.63</v>
      </c>
      <c r="F1446" s="178"/>
      <c r="G1446" s="178"/>
      <c r="H1446" s="178"/>
      <c r="I1446" s="178">
        <f>2*E1446</f>
        <v>233.26</v>
      </c>
      <c r="J1446" s="178"/>
      <c r="K1446" s="178"/>
      <c r="L1446" s="178"/>
      <c r="M1446" s="178"/>
      <c r="N1446" s="178"/>
      <c r="O1446" s="215"/>
      <c r="P1446" s="194"/>
      <c r="Q1446" s="194"/>
      <c r="R1446" s="194"/>
      <c r="S1446" s="194"/>
    </row>
    <row r="1447" spans="1:19" s="164" customFormat="1" x14ac:dyDescent="0.35">
      <c r="A1447" s="175"/>
      <c r="B1447" s="176" t="s">
        <v>1848</v>
      </c>
      <c r="C1447" s="178"/>
      <c r="D1447" s="178"/>
      <c r="E1447" s="178">
        <f>E1271</f>
        <v>178.6</v>
      </c>
      <c r="F1447" s="178"/>
      <c r="G1447" s="178"/>
      <c r="H1447" s="178"/>
      <c r="I1447" s="178">
        <f>2*E1447</f>
        <v>357.2</v>
      </c>
      <c r="J1447" s="178"/>
      <c r="K1447" s="178"/>
      <c r="L1447" s="178"/>
      <c r="M1447" s="178"/>
      <c r="N1447" s="178"/>
      <c r="O1447" s="215"/>
      <c r="P1447" s="194"/>
      <c r="Q1447" s="194"/>
      <c r="R1447" s="194"/>
      <c r="S1447" s="194"/>
    </row>
    <row r="1448" spans="1:19" s="164" customFormat="1" x14ac:dyDescent="0.35">
      <c r="A1448" s="175"/>
      <c r="B1448" s="176"/>
      <c r="C1448" s="178"/>
      <c r="D1448" s="178"/>
      <c r="E1448" s="178"/>
      <c r="F1448" s="178"/>
      <c r="G1448" s="178"/>
      <c r="H1448" s="178"/>
      <c r="I1448" s="178"/>
      <c r="J1448" s="178"/>
      <c r="K1448" s="178"/>
      <c r="L1448" s="178"/>
      <c r="M1448" s="178"/>
      <c r="N1448" s="178"/>
      <c r="O1448" s="193"/>
      <c r="P1448" s="194"/>
      <c r="Q1448" s="194"/>
      <c r="R1448" s="194"/>
      <c r="S1448" s="194"/>
    </row>
    <row r="1449" spans="1:19" s="189" customFormat="1" x14ac:dyDescent="0.35">
      <c r="A1449" s="195"/>
      <c r="B1449" s="181" t="s">
        <v>5</v>
      </c>
      <c r="C1449" s="182" t="s">
        <v>1328</v>
      </c>
      <c r="D1449" s="182"/>
      <c r="E1449" s="182"/>
      <c r="F1449" s="182"/>
      <c r="G1449" s="182"/>
      <c r="H1449" s="182"/>
      <c r="I1449" s="196">
        <f>SUM(I1445:I1447)</f>
        <v>1097.9000000000001</v>
      </c>
      <c r="J1449" s="182"/>
      <c r="K1449" s="196"/>
      <c r="L1449" s="182"/>
      <c r="M1449" s="182"/>
      <c r="N1449" s="182"/>
      <c r="O1449" s="196"/>
      <c r="P1449" s="169"/>
      <c r="Q1449" s="169"/>
      <c r="R1449" s="169"/>
      <c r="S1449" s="169"/>
    </row>
    <row r="1450" spans="1:19" s="170" customFormat="1" ht="10.5" x14ac:dyDescent="0.25">
      <c r="A1450" s="165" t="str">
        <f>ORÇAMENTO!A294</f>
        <v>4.2.5</v>
      </c>
      <c r="B1450" s="166" t="str">
        <f>VLOOKUP(A1450,ORÇAMENTO!A:K,4,0)</f>
        <v>SINALIZAÇÃO</v>
      </c>
      <c r="C1450" s="167"/>
      <c r="D1450" s="167"/>
      <c r="E1450" s="168"/>
      <c r="F1450" s="168"/>
      <c r="G1450" s="168"/>
      <c r="H1450" s="168"/>
      <c r="I1450" s="168"/>
      <c r="J1450" s="168"/>
      <c r="K1450" s="168"/>
      <c r="L1450" s="168"/>
      <c r="M1450" s="168"/>
      <c r="N1450" s="168"/>
      <c r="O1450" s="168"/>
      <c r="P1450" s="169"/>
      <c r="Q1450" s="169"/>
    </row>
    <row r="1451" spans="1:19" s="189" customFormat="1" ht="21" x14ac:dyDescent="0.35">
      <c r="A1451" s="171" t="str">
        <f>ORÇAMENTO!A295</f>
        <v>4.2.5.1</v>
      </c>
      <c r="B1451" s="172" t="str">
        <f>VLOOKUP(A1451,ORÇAMENTO!A:K,4,0)</f>
        <v>PLACA EM AÇO - PELÍCULA I + III - FORNECIMENTO E IMPLANTAÇÃO</v>
      </c>
      <c r="C1451" s="173" t="str">
        <f>VLOOKUP(A1451,ORÇAMENTO!A:K,5,0)</f>
        <v>M²</v>
      </c>
      <c r="D1451" s="173">
        <f>SUM(E1455:O1455)</f>
        <v>1.1100000000000001</v>
      </c>
      <c r="E1451" s="173" t="s">
        <v>1718</v>
      </c>
      <c r="F1451" s="173" t="s">
        <v>1719</v>
      </c>
      <c r="G1451" s="173" t="s">
        <v>1720</v>
      </c>
      <c r="H1451" s="173" t="s">
        <v>1721</v>
      </c>
      <c r="I1451" s="173" t="s">
        <v>1722</v>
      </c>
      <c r="J1451" s="173" t="s">
        <v>1723</v>
      </c>
      <c r="K1451" s="173" t="s">
        <v>1724</v>
      </c>
      <c r="L1451" s="173" t="s">
        <v>1753</v>
      </c>
      <c r="M1451" s="173" t="s">
        <v>1768</v>
      </c>
      <c r="N1451" s="173" t="s">
        <v>1727</v>
      </c>
      <c r="O1451" s="173" t="s">
        <v>1728</v>
      </c>
      <c r="P1451" s="169"/>
      <c r="Q1451" s="169"/>
      <c r="R1451" s="169"/>
      <c r="S1451" s="169"/>
    </row>
    <row r="1452" spans="1:19" s="189" customFormat="1" x14ac:dyDescent="0.35">
      <c r="A1452" s="175"/>
      <c r="B1452" s="181"/>
      <c r="C1452" s="177"/>
      <c r="D1452" s="177"/>
      <c r="E1452" s="178"/>
      <c r="F1452" s="178"/>
      <c r="G1452" s="178"/>
      <c r="H1452" s="178"/>
      <c r="I1452" s="178"/>
      <c r="J1452" s="178"/>
      <c r="K1452" s="178"/>
      <c r="L1452" s="178"/>
      <c r="M1452" s="178"/>
      <c r="N1452" s="178"/>
      <c r="O1452" s="178"/>
      <c r="P1452" s="169"/>
      <c r="Q1452" s="169"/>
      <c r="R1452" s="169"/>
      <c r="S1452" s="169"/>
    </row>
    <row r="1453" spans="1:19" s="164" customFormat="1" x14ac:dyDescent="0.35">
      <c r="A1453" s="175"/>
      <c r="B1453" s="176" t="s">
        <v>1740</v>
      </c>
      <c r="C1453" s="178"/>
      <c r="D1453" s="178"/>
      <c r="E1453" s="178"/>
      <c r="F1453" s="178"/>
      <c r="G1453" s="178"/>
      <c r="H1453" s="178"/>
      <c r="I1453" s="178"/>
      <c r="J1453" s="178"/>
      <c r="K1453" s="178"/>
      <c r="L1453" s="178"/>
      <c r="M1453" s="178"/>
      <c r="N1453" s="178">
        <v>1.1100000000000001</v>
      </c>
      <c r="O1453" s="215"/>
      <c r="P1453" s="194"/>
      <c r="Q1453" s="194"/>
      <c r="R1453" s="194"/>
      <c r="S1453" s="194"/>
    </row>
    <row r="1454" spans="1:19" s="164" customFormat="1" x14ac:dyDescent="0.35">
      <c r="A1454" s="175"/>
      <c r="B1454" s="176"/>
      <c r="C1454" s="178"/>
      <c r="D1454" s="178"/>
      <c r="E1454" s="178"/>
      <c r="F1454" s="178"/>
      <c r="G1454" s="178"/>
      <c r="H1454" s="178"/>
      <c r="I1454" s="178"/>
      <c r="J1454" s="178"/>
      <c r="K1454" s="178"/>
      <c r="L1454" s="178"/>
      <c r="M1454" s="178"/>
      <c r="N1454" s="178"/>
      <c r="O1454" s="193"/>
      <c r="P1454" s="194"/>
      <c r="Q1454" s="194"/>
      <c r="R1454" s="194"/>
      <c r="S1454" s="194"/>
    </row>
    <row r="1455" spans="1:19" s="189" customFormat="1" x14ac:dyDescent="0.35">
      <c r="A1455" s="195"/>
      <c r="B1455" s="181" t="s">
        <v>5</v>
      </c>
      <c r="C1455" s="182" t="s">
        <v>1328</v>
      </c>
      <c r="D1455" s="182"/>
      <c r="E1455" s="182"/>
      <c r="F1455" s="182"/>
      <c r="G1455" s="182"/>
      <c r="H1455" s="182"/>
      <c r="I1455" s="182"/>
      <c r="J1455" s="182"/>
      <c r="K1455" s="182"/>
      <c r="L1455" s="182"/>
      <c r="M1455" s="182"/>
      <c r="N1455" s="196">
        <f>SUM(N1453:N1453)</f>
        <v>1.1100000000000001</v>
      </c>
      <c r="O1455" s="196"/>
      <c r="P1455" s="169"/>
      <c r="Q1455" s="169"/>
      <c r="R1455" s="169"/>
      <c r="S1455" s="169"/>
    </row>
    <row r="1456" spans="1:19" s="189" customFormat="1" ht="42" x14ac:dyDescent="0.35">
      <c r="A1456" s="171" t="str">
        <f>ORÇAMENTO!A296</f>
        <v>4.2.5.2</v>
      </c>
      <c r="B1456" s="172" t="str">
        <f>VLOOKUP(A1456,ORÇAMENTO!A:K,4,0)</f>
        <v>SUPORTE METÁLICO GALVANIZADO PARA PLACA DE ADVERTÊNCIA OU REGULAMENTAÇÃO - LADO OU DIÂMETRO DE 1,00 M - FORNECIMENTO E IMPLANTAÇÃO</v>
      </c>
      <c r="C1456" s="173" t="str">
        <f>VLOOKUP(A1456,ORÇAMENTO!A:K,5,0)</f>
        <v>UN</v>
      </c>
      <c r="D1456" s="173">
        <f>SUM(E1460:O1460)</f>
        <v>5</v>
      </c>
      <c r="E1456" s="173" t="s">
        <v>1718</v>
      </c>
      <c r="F1456" s="173" t="s">
        <v>1719</v>
      </c>
      <c r="G1456" s="173" t="s">
        <v>1720</v>
      </c>
      <c r="H1456" s="173" t="s">
        <v>1721</v>
      </c>
      <c r="I1456" s="173" t="s">
        <v>1722</v>
      </c>
      <c r="J1456" s="173" t="s">
        <v>1723</v>
      </c>
      <c r="K1456" s="173" t="s">
        <v>1724</v>
      </c>
      <c r="L1456" s="173" t="s">
        <v>1753</v>
      </c>
      <c r="M1456" s="173" t="s">
        <v>1726</v>
      </c>
      <c r="N1456" s="173" t="s">
        <v>1727</v>
      </c>
      <c r="O1456" s="173" t="s">
        <v>1728</v>
      </c>
      <c r="P1456" s="169"/>
      <c r="Q1456" s="169"/>
      <c r="R1456" s="169"/>
      <c r="S1456" s="169"/>
    </row>
    <row r="1457" spans="1:19" s="189" customFormat="1" x14ac:dyDescent="0.35">
      <c r="A1457" s="175"/>
      <c r="B1457" s="181"/>
      <c r="C1457" s="177"/>
      <c r="D1457" s="177"/>
      <c r="E1457" s="178"/>
      <c r="F1457" s="178"/>
      <c r="G1457" s="178"/>
      <c r="H1457" s="178"/>
      <c r="I1457" s="178"/>
      <c r="J1457" s="178"/>
      <c r="K1457" s="178"/>
      <c r="L1457" s="178"/>
      <c r="M1457" s="178"/>
      <c r="N1457" s="178"/>
      <c r="O1457" s="178"/>
      <c r="P1457" s="169"/>
      <c r="Q1457" s="169"/>
      <c r="R1457" s="169"/>
      <c r="S1457" s="169"/>
    </row>
    <row r="1458" spans="1:19" s="164" customFormat="1" x14ac:dyDescent="0.35">
      <c r="A1458" s="175"/>
      <c r="B1458" s="176" t="str">
        <f>B1453</f>
        <v>VIAS</v>
      </c>
      <c r="C1458" s="178"/>
      <c r="D1458" s="178"/>
      <c r="E1458" s="178"/>
      <c r="F1458" s="178"/>
      <c r="G1458" s="178"/>
      <c r="H1458" s="178"/>
      <c r="I1458" s="178"/>
      <c r="J1458" s="178"/>
      <c r="K1458" s="178"/>
      <c r="L1458" s="178"/>
      <c r="M1458" s="178">
        <v>5</v>
      </c>
      <c r="N1458" s="178"/>
      <c r="O1458" s="215"/>
      <c r="P1458" s="194"/>
      <c r="Q1458" s="194"/>
      <c r="R1458" s="194"/>
      <c r="S1458" s="194"/>
    </row>
    <row r="1459" spans="1:19" s="164" customFormat="1" x14ac:dyDescent="0.35">
      <c r="A1459" s="175"/>
      <c r="B1459" s="176"/>
      <c r="C1459" s="178"/>
      <c r="D1459" s="178"/>
      <c r="E1459" s="178"/>
      <c r="F1459" s="178"/>
      <c r="G1459" s="178"/>
      <c r="H1459" s="178"/>
      <c r="I1459" s="178"/>
      <c r="J1459" s="178"/>
      <c r="K1459" s="178"/>
      <c r="L1459" s="178"/>
      <c r="M1459" s="178"/>
      <c r="N1459" s="178"/>
      <c r="O1459" s="193"/>
      <c r="P1459" s="194"/>
      <c r="Q1459" s="194"/>
      <c r="R1459" s="194"/>
      <c r="S1459" s="194"/>
    </row>
    <row r="1460" spans="1:19" s="189" customFormat="1" x14ac:dyDescent="0.35">
      <c r="A1460" s="195"/>
      <c r="B1460" s="181" t="s">
        <v>5</v>
      </c>
      <c r="C1460" s="182" t="s">
        <v>1328</v>
      </c>
      <c r="D1460" s="182"/>
      <c r="E1460" s="182"/>
      <c r="F1460" s="182"/>
      <c r="G1460" s="182"/>
      <c r="H1460" s="182"/>
      <c r="I1460" s="182"/>
      <c r="J1460" s="182"/>
      <c r="K1460" s="182"/>
      <c r="L1460" s="182"/>
      <c r="M1460" s="196">
        <f>SUM(M1458:M1459)</f>
        <v>5</v>
      </c>
      <c r="N1460" s="196"/>
      <c r="O1460" s="196"/>
      <c r="P1460" s="169"/>
      <c r="Q1460" s="169"/>
      <c r="R1460" s="169"/>
      <c r="S1460" s="169"/>
    </row>
    <row r="1461" spans="1:19" s="189" customFormat="1" ht="21" x14ac:dyDescent="0.35">
      <c r="A1461" s="171" t="str">
        <f>ORÇAMENTO!A297</f>
        <v>4.2.5.3</v>
      </c>
      <c r="B1461" s="172" t="str">
        <f>VLOOKUP(A1461,ORÇAMENTO!A:K,4,0)</f>
        <v>PINTURA DE FAIXA COM TERMOPLÁSTICO POR ASPERSÃO - ESPESSURA DE 1,5 MM</v>
      </c>
      <c r="C1461" s="173" t="str">
        <f>VLOOKUP(A1461,ORÇAMENTO!A:K,5,0)</f>
        <v>M²</v>
      </c>
      <c r="D1461" s="173">
        <f>SUM(E1465:O1465)</f>
        <v>1568.08</v>
      </c>
      <c r="E1461" s="173" t="s">
        <v>1718</v>
      </c>
      <c r="F1461" s="173" t="s">
        <v>1719</v>
      </c>
      <c r="G1461" s="173" t="s">
        <v>1720</v>
      </c>
      <c r="H1461" s="173" t="s">
        <v>1721</v>
      </c>
      <c r="I1461" s="173" t="s">
        <v>1722</v>
      </c>
      <c r="J1461" s="173" t="s">
        <v>1723</v>
      </c>
      <c r="K1461" s="173" t="s">
        <v>1724</v>
      </c>
      <c r="L1461" s="173" t="s">
        <v>1753</v>
      </c>
      <c r="M1461" s="173" t="s">
        <v>1726</v>
      </c>
      <c r="N1461" s="173" t="s">
        <v>1727</v>
      </c>
      <c r="O1461" s="173" t="s">
        <v>1728</v>
      </c>
      <c r="P1461" s="169"/>
      <c r="Q1461" s="169"/>
      <c r="R1461" s="169"/>
      <c r="S1461" s="169"/>
    </row>
    <row r="1462" spans="1:19" s="189" customFormat="1" x14ac:dyDescent="0.35">
      <c r="A1462" s="175"/>
      <c r="B1462" s="181"/>
      <c r="C1462" s="177"/>
      <c r="D1462" s="177"/>
      <c r="E1462" s="178"/>
      <c r="F1462" s="178"/>
      <c r="G1462" s="178"/>
      <c r="H1462" s="178"/>
      <c r="I1462" s="178"/>
      <c r="J1462" s="178"/>
      <c r="K1462" s="178"/>
      <c r="L1462" s="178"/>
      <c r="M1462" s="178"/>
      <c r="N1462" s="178"/>
      <c r="O1462" s="178"/>
      <c r="P1462" s="169"/>
      <c r="Q1462" s="169"/>
      <c r="R1462" s="169"/>
      <c r="S1462" s="169"/>
    </row>
    <row r="1463" spans="1:19" s="164" customFormat="1" x14ac:dyDescent="0.35">
      <c r="A1463" s="175"/>
      <c r="B1463" s="176" t="str">
        <f>B1458</f>
        <v>VIAS</v>
      </c>
      <c r="C1463" s="178"/>
      <c r="D1463" s="178"/>
      <c r="E1463" s="178"/>
      <c r="F1463" s="178"/>
      <c r="G1463" s="178"/>
      <c r="H1463" s="178"/>
      <c r="I1463" s="178"/>
      <c r="J1463" s="178"/>
      <c r="K1463" s="178"/>
      <c r="L1463" s="178"/>
      <c r="M1463" s="178"/>
      <c r="N1463" s="178">
        <v>1568.08</v>
      </c>
      <c r="O1463" s="215"/>
      <c r="P1463" s="194"/>
      <c r="Q1463" s="194"/>
      <c r="R1463" s="194"/>
      <c r="S1463" s="194"/>
    </row>
    <row r="1464" spans="1:19" s="164" customFormat="1" x14ac:dyDescent="0.35">
      <c r="A1464" s="175"/>
      <c r="B1464" s="176"/>
      <c r="C1464" s="178"/>
      <c r="D1464" s="178"/>
      <c r="E1464" s="178"/>
      <c r="F1464" s="178"/>
      <c r="G1464" s="178"/>
      <c r="H1464" s="178"/>
      <c r="I1464" s="178"/>
      <c r="J1464" s="178"/>
      <c r="K1464" s="178"/>
      <c r="L1464" s="178"/>
      <c r="M1464" s="178"/>
      <c r="N1464" s="178"/>
      <c r="O1464" s="193"/>
      <c r="P1464" s="194"/>
      <c r="Q1464" s="194"/>
      <c r="R1464" s="194"/>
      <c r="S1464" s="194"/>
    </row>
    <row r="1465" spans="1:19" s="189" customFormat="1" x14ac:dyDescent="0.35">
      <c r="A1465" s="195"/>
      <c r="B1465" s="181" t="s">
        <v>5</v>
      </c>
      <c r="C1465" s="182" t="s">
        <v>1328</v>
      </c>
      <c r="D1465" s="182"/>
      <c r="E1465" s="182"/>
      <c r="F1465" s="182"/>
      <c r="G1465" s="182"/>
      <c r="H1465" s="182"/>
      <c r="I1465" s="182"/>
      <c r="J1465" s="182"/>
      <c r="K1465" s="182"/>
      <c r="L1465" s="182"/>
      <c r="M1465" s="196"/>
      <c r="N1465" s="196">
        <f>SUM(N1463:N1464)</f>
        <v>1568.08</v>
      </c>
      <c r="O1465" s="196"/>
      <c r="P1465" s="169"/>
      <c r="Q1465" s="169"/>
      <c r="R1465" s="169"/>
      <c r="S1465" s="169"/>
    </row>
    <row r="1466" spans="1:19" s="170" customFormat="1" ht="10.5" x14ac:dyDescent="0.25">
      <c r="A1466" s="165" t="str">
        <f>ORÇAMENTO!A298</f>
        <v>4.3</v>
      </c>
      <c r="B1466" s="166" t="str">
        <f>VLOOKUP(A1466,ORÇAMENTO!A:K,4,0)</f>
        <v>MANUTENÇÃO DE DISPOSITIVOS EXISTENTES</v>
      </c>
      <c r="C1466" s="167"/>
      <c r="D1466" s="167"/>
      <c r="E1466" s="168"/>
      <c r="F1466" s="168"/>
      <c r="G1466" s="168"/>
      <c r="H1466" s="168"/>
      <c r="I1466" s="168"/>
      <c r="J1466" s="168"/>
      <c r="K1466" s="168"/>
      <c r="L1466" s="168"/>
      <c r="M1466" s="168"/>
      <c r="N1466" s="168"/>
      <c r="O1466" s="168"/>
      <c r="P1466" s="169"/>
      <c r="Q1466" s="169"/>
    </row>
    <row r="1467" spans="1:19" s="170" customFormat="1" ht="10.5" x14ac:dyDescent="0.25">
      <c r="A1467" s="165" t="str">
        <f>ORÇAMENTO!A299</f>
        <v>4.3.1</v>
      </c>
      <c r="B1467" s="166" t="str">
        <f>VLOOKUP(A1467,ORÇAMENTO!A:K,4,0)</f>
        <v>LIMPEZA E DESOBSTRUÇÃO DE BOCA DE LOBO</v>
      </c>
      <c r="C1467" s="167"/>
      <c r="D1467" s="167"/>
      <c r="E1467" s="168"/>
      <c r="F1467" s="168"/>
      <c r="G1467" s="168"/>
      <c r="H1467" s="168"/>
      <c r="I1467" s="168"/>
      <c r="J1467" s="168"/>
      <c r="K1467" s="168"/>
      <c r="L1467" s="168"/>
      <c r="M1467" s="168"/>
      <c r="N1467" s="168"/>
      <c r="O1467" s="168"/>
      <c r="P1467" s="169"/>
      <c r="Q1467" s="169"/>
    </row>
    <row r="1468" spans="1:19" s="189" customFormat="1" ht="21" x14ac:dyDescent="0.35">
      <c r="A1468" s="171" t="str">
        <f>ORÇAMENTO!A300</f>
        <v>4.3.1.1</v>
      </c>
      <c r="B1468" s="172" t="str">
        <f>VLOOKUP(A1468,ORÇAMENTO!A:K,4,0)</f>
        <v>DESOBSTRUÇÃO E LIMPEZA DE BOCA-DE-LOBO</v>
      </c>
      <c r="C1468" s="173" t="str">
        <f>VLOOKUP(A1468,ORÇAMENTO!A:K,5,0)</f>
        <v>UN</v>
      </c>
      <c r="D1468" s="173">
        <f>SUM(E1471:O1471)</f>
        <v>73</v>
      </c>
      <c r="E1468" s="173" t="s">
        <v>1752</v>
      </c>
      <c r="F1468" s="173" t="s">
        <v>1719</v>
      </c>
      <c r="G1468" s="173" t="s">
        <v>1720</v>
      </c>
      <c r="H1468" s="173" t="s">
        <v>1721</v>
      </c>
      <c r="I1468" s="173" t="s">
        <v>1722</v>
      </c>
      <c r="J1468" s="173" t="s">
        <v>1723</v>
      </c>
      <c r="K1468" s="173" t="s">
        <v>1746</v>
      </c>
      <c r="L1468" s="173" t="s">
        <v>1753</v>
      </c>
      <c r="M1468" s="173" t="s">
        <v>1726</v>
      </c>
      <c r="N1468" s="173" t="s">
        <v>1727</v>
      </c>
      <c r="O1468" s="173" t="s">
        <v>1728</v>
      </c>
      <c r="P1468" s="169"/>
      <c r="Q1468" s="169"/>
      <c r="R1468" s="169"/>
      <c r="S1468" s="169"/>
    </row>
    <row r="1469" spans="1:19" s="189" customFormat="1" x14ac:dyDescent="0.35">
      <c r="A1469" s="175"/>
      <c r="B1469" s="230" t="s">
        <v>1866</v>
      </c>
      <c r="C1469" s="184"/>
      <c r="D1469" s="185"/>
      <c r="E1469" s="185"/>
      <c r="F1469" s="185"/>
      <c r="G1469" s="185"/>
      <c r="H1469" s="185"/>
      <c r="I1469" s="185"/>
      <c r="J1469" s="185"/>
      <c r="K1469" s="185"/>
      <c r="L1469" s="185"/>
      <c r="M1469" s="185">
        <f>'Planilha Hidráulica'!AC37</f>
        <v>73</v>
      </c>
      <c r="N1469" s="185"/>
      <c r="O1469" s="185"/>
      <c r="P1469" s="169"/>
      <c r="Q1469" s="169"/>
      <c r="R1469" s="169"/>
      <c r="S1469" s="169"/>
    </row>
    <row r="1470" spans="1:19" s="189" customFormat="1" x14ac:dyDescent="0.35">
      <c r="A1470" s="175"/>
      <c r="B1470" s="176"/>
      <c r="C1470" s="184"/>
      <c r="D1470" s="185"/>
      <c r="E1470" s="185"/>
      <c r="F1470" s="185"/>
      <c r="G1470" s="185"/>
      <c r="H1470" s="185"/>
      <c r="I1470" s="185"/>
      <c r="J1470" s="185"/>
      <c r="K1470" s="185"/>
      <c r="L1470" s="185"/>
      <c r="M1470" s="185"/>
      <c r="N1470" s="185"/>
      <c r="O1470" s="185"/>
      <c r="P1470" s="169"/>
      <c r="Q1470" s="169"/>
      <c r="R1470" s="169"/>
      <c r="S1470" s="169"/>
    </row>
    <row r="1471" spans="1:19" s="170" customFormat="1" ht="10.5" x14ac:dyDescent="0.3">
      <c r="A1471" s="175"/>
      <c r="B1471" s="181" t="s">
        <v>5</v>
      </c>
      <c r="C1471" s="216" t="s">
        <v>1328</v>
      </c>
      <c r="D1471" s="216"/>
      <c r="E1471" s="216"/>
      <c r="F1471" s="216"/>
      <c r="G1471" s="216"/>
      <c r="H1471" s="216"/>
      <c r="I1471" s="216"/>
      <c r="J1471" s="216"/>
      <c r="K1471" s="216"/>
      <c r="L1471" s="216"/>
      <c r="M1471" s="208">
        <f>SUM(M1469:M1470)</f>
        <v>73</v>
      </c>
      <c r="N1471" s="216"/>
      <c r="O1471" s="208"/>
      <c r="P1471" s="217"/>
    </row>
    <row r="1472" spans="1:19" s="170" customFormat="1" ht="10.5" x14ac:dyDescent="0.25">
      <c r="A1472" s="165" t="str">
        <f>ORÇAMENTO!A301</f>
        <v>4.3.2</v>
      </c>
      <c r="B1472" s="166" t="str">
        <f>VLOOKUP(A1472,ORÇAMENTO!A:K,4,0)</f>
        <v>LIMPEZA E DESOBSTRUÇÃO DE POÇOS DE VISITA</v>
      </c>
      <c r="C1472" s="167"/>
      <c r="D1472" s="167"/>
      <c r="E1472" s="168"/>
      <c r="F1472" s="168"/>
      <c r="G1472" s="168"/>
      <c r="H1472" s="168"/>
      <c r="I1472" s="168"/>
      <c r="J1472" s="168"/>
      <c r="K1472" s="168"/>
      <c r="L1472" s="168"/>
      <c r="M1472" s="168"/>
      <c r="N1472" s="168"/>
      <c r="O1472" s="168"/>
      <c r="P1472" s="169"/>
      <c r="Q1472" s="169"/>
    </row>
    <row r="1473" spans="1:19" s="189" customFormat="1" ht="21" x14ac:dyDescent="0.35">
      <c r="A1473" s="171" t="str">
        <f>ORÇAMENTO!A302</f>
        <v>4.3.2.1</v>
      </c>
      <c r="B1473" s="172" t="str">
        <f>VLOOKUP(A1473,ORÇAMENTO!A:K,4,0)</f>
        <v>BOMBEAMENTO DE POCO DE VISITA</v>
      </c>
      <c r="C1473" s="173"/>
      <c r="D1473" s="173">
        <f>SUM(E1474:O1474)</f>
        <v>55</v>
      </c>
      <c r="E1473" s="173" t="s">
        <v>1752</v>
      </c>
      <c r="F1473" s="173" t="s">
        <v>1719</v>
      </c>
      <c r="G1473" s="173" t="s">
        <v>1720</v>
      </c>
      <c r="H1473" s="173" t="s">
        <v>1721</v>
      </c>
      <c r="I1473" s="173" t="s">
        <v>1722</v>
      </c>
      <c r="J1473" s="173" t="s">
        <v>1723</v>
      </c>
      <c r="K1473" s="173" t="s">
        <v>1746</v>
      </c>
      <c r="L1473" s="173" t="s">
        <v>1753</v>
      </c>
      <c r="M1473" s="173" t="s">
        <v>1726</v>
      </c>
      <c r="N1473" s="173" t="s">
        <v>1727</v>
      </c>
      <c r="O1473" s="173" t="s">
        <v>1728</v>
      </c>
      <c r="P1473" s="169"/>
      <c r="Q1473" s="169"/>
      <c r="R1473" s="169"/>
      <c r="S1473" s="169"/>
    </row>
    <row r="1474" spans="1:19" s="170" customFormat="1" ht="10.5" x14ac:dyDescent="0.3">
      <c r="A1474" s="175"/>
      <c r="B1474" s="176" t="s">
        <v>1867</v>
      </c>
      <c r="C1474" s="185"/>
      <c r="D1474" s="185"/>
      <c r="E1474" s="185"/>
      <c r="F1474" s="185"/>
      <c r="G1474" s="185"/>
      <c r="H1474" s="185"/>
      <c r="I1474" s="185"/>
      <c r="J1474" s="185"/>
      <c r="K1474" s="185"/>
      <c r="L1474" s="197"/>
      <c r="M1474" s="197">
        <v>55</v>
      </c>
      <c r="N1474" s="185"/>
      <c r="O1474" s="185"/>
      <c r="P1474" s="218"/>
    </row>
    <row r="1475" spans="1:19" s="170" customFormat="1" ht="10.5" x14ac:dyDescent="0.3">
      <c r="A1475" s="175"/>
      <c r="B1475" s="181" t="s">
        <v>5</v>
      </c>
      <c r="C1475" s="216" t="s">
        <v>1328</v>
      </c>
      <c r="D1475" s="216"/>
      <c r="E1475" s="216"/>
      <c r="F1475" s="216"/>
      <c r="G1475" s="216"/>
      <c r="H1475" s="216"/>
      <c r="I1475" s="216"/>
      <c r="J1475" s="216"/>
      <c r="K1475" s="216"/>
      <c r="L1475" s="208"/>
      <c r="M1475" s="208">
        <f>SUM(M1474:M1474)</f>
        <v>55</v>
      </c>
      <c r="N1475" s="216"/>
      <c r="O1475" s="216"/>
      <c r="P1475" s="217"/>
    </row>
    <row r="1476" spans="1:19" s="189" customFormat="1" ht="21" x14ac:dyDescent="0.35">
      <c r="A1476" s="171" t="str">
        <f>ORÇAMENTO!A303</f>
        <v>4.3.2.2</v>
      </c>
      <c r="B1476" s="172" t="str">
        <f>VLOOKUP(A1476,ORÇAMENTO!A:K,4,0)</f>
        <v>LIMPEZA PV</v>
      </c>
      <c r="C1476" s="173"/>
      <c r="D1476" s="173">
        <f>SUM(E1477:O1477)</f>
        <v>55</v>
      </c>
      <c r="E1476" s="173" t="s">
        <v>1752</v>
      </c>
      <c r="F1476" s="173" t="s">
        <v>1719</v>
      </c>
      <c r="G1476" s="173" t="s">
        <v>1720</v>
      </c>
      <c r="H1476" s="173" t="s">
        <v>1721</v>
      </c>
      <c r="I1476" s="173" t="s">
        <v>1722</v>
      </c>
      <c r="J1476" s="173" t="s">
        <v>1723</v>
      </c>
      <c r="K1476" s="173" t="s">
        <v>1746</v>
      </c>
      <c r="L1476" s="173" t="s">
        <v>1753</v>
      </c>
      <c r="M1476" s="173" t="s">
        <v>1726</v>
      </c>
      <c r="N1476" s="173" t="s">
        <v>1727</v>
      </c>
      <c r="O1476" s="173" t="s">
        <v>1728</v>
      </c>
      <c r="P1476" s="169"/>
      <c r="Q1476" s="169"/>
      <c r="R1476" s="169"/>
      <c r="S1476" s="169"/>
    </row>
    <row r="1477" spans="1:19" s="170" customFormat="1" ht="10.5" x14ac:dyDescent="0.3">
      <c r="A1477" s="175"/>
      <c r="B1477" s="176" t="s">
        <v>1867</v>
      </c>
      <c r="C1477" s="185"/>
      <c r="D1477" s="185"/>
      <c r="E1477" s="185"/>
      <c r="F1477" s="185"/>
      <c r="G1477" s="185"/>
      <c r="H1477" s="185"/>
      <c r="I1477" s="185"/>
      <c r="J1477" s="185"/>
      <c r="K1477" s="185"/>
      <c r="L1477" s="197"/>
      <c r="M1477" s="197">
        <f>M1474</f>
        <v>55</v>
      </c>
      <c r="N1477" s="185"/>
      <c r="O1477" s="185"/>
      <c r="P1477" s="218"/>
    </row>
    <row r="1478" spans="1:19" s="170" customFormat="1" ht="10.5" x14ac:dyDescent="0.3">
      <c r="A1478" s="175"/>
      <c r="B1478" s="181" t="s">
        <v>5</v>
      </c>
      <c r="C1478" s="216" t="s">
        <v>1328</v>
      </c>
      <c r="D1478" s="216"/>
      <c r="E1478" s="216"/>
      <c r="F1478" s="216"/>
      <c r="G1478" s="216"/>
      <c r="H1478" s="216"/>
      <c r="I1478" s="216"/>
      <c r="J1478" s="216"/>
      <c r="K1478" s="216"/>
      <c r="L1478" s="208"/>
      <c r="M1478" s="208">
        <f>SUM(M1477:M1477)</f>
        <v>55</v>
      </c>
      <c r="N1478" s="216"/>
      <c r="O1478" s="216"/>
      <c r="P1478" s="217"/>
    </row>
    <row r="1479" spans="1:19" s="170" customFormat="1" ht="10.5" x14ac:dyDescent="0.25">
      <c r="A1479" s="165" t="str">
        <f>ORÇAMENTO!A304</f>
        <v>4.4</v>
      </c>
      <c r="B1479" s="166" t="str">
        <f>VLOOKUP(A1479,ORÇAMENTO!A:K,4,0)</f>
        <v>REVITALIZAÇÃO DE POÇO DE VISITA SOB ASFALTO</v>
      </c>
      <c r="C1479" s="167"/>
      <c r="D1479" s="167"/>
      <c r="E1479" s="168"/>
      <c r="F1479" s="168"/>
      <c r="G1479" s="168"/>
      <c r="H1479" s="168"/>
      <c r="I1479" s="168"/>
      <c r="J1479" s="168"/>
      <c r="K1479" s="168"/>
      <c r="L1479" s="168"/>
      <c r="M1479" s="168"/>
      <c r="N1479" s="168"/>
      <c r="O1479" s="168"/>
      <c r="P1479" s="169"/>
      <c r="Q1479" s="169"/>
    </row>
    <row r="1480" spans="1:19" s="189" customFormat="1" ht="21" x14ac:dyDescent="0.35">
      <c r="A1480" s="171" t="str">
        <f>ORÇAMENTO!A305</f>
        <v>4.4.1</v>
      </c>
      <c r="B1480" s="172" t="str">
        <f>VLOOKUP(A1480,ORÇAMENTO!A:K,4,0)</f>
        <v>TELA TAPUME, COR LARANJA, COM SUPORTE A CADA 2M (FORNECIMENTO E INSTALAÇÃO)</v>
      </c>
      <c r="C1480" s="173" t="str">
        <f>VLOOKUP(A1480,ORÇAMENTO!A:K,5,0)</f>
        <v>M</v>
      </c>
      <c r="D1480" s="173">
        <f>SUM(D1486:N1486)</f>
        <v>93.6</v>
      </c>
      <c r="E1480" s="173" t="s">
        <v>1718</v>
      </c>
      <c r="F1480" s="173" t="s">
        <v>1719</v>
      </c>
      <c r="G1480" s="173" t="s">
        <v>1720</v>
      </c>
      <c r="H1480" s="173" t="s">
        <v>1721</v>
      </c>
      <c r="I1480" s="173" t="s">
        <v>1722</v>
      </c>
      <c r="J1480" s="173" t="s">
        <v>1723</v>
      </c>
      <c r="K1480" s="173" t="s">
        <v>1746</v>
      </c>
      <c r="L1480" s="173" t="s">
        <v>1753</v>
      </c>
      <c r="M1480" s="173" t="s">
        <v>1726</v>
      </c>
      <c r="N1480" s="173" t="s">
        <v>1727</v>
      </c>
      <c r="O1480" s="173" t="s">
        <v>1728</v>
      </c>
      <c r="P1480" s="169"/>
      <c r="Q1480" s="169"/>
      <c r="R1480" s="169"/>
      <c r="S1480" s="169"/>
    </row>
    <row r="1481" spans="1:19" s="170" customFormat="1" ht="10.5" x14ac:dyDescent="0.25">
      <c r="A1481" s="175"/>
      <c r="B1481" s="176"/>
      <c r="C1481" s="177"/>
      <c r="D1481" s="178"/>
      <c r="E1481" s="178"/>
      <c r="F1481" s="178"/>
      <c r="G1481" s="178"/>
      <c r="H1481" s="178"/>
      <c r="I1481" s="178"/>
      <c r="J1481" s="178"/>
      <c r="K1481" s="178"/>
      <c r="L1481" s="180"/>
      <c r="M1481" s="178"/>
      <c r="N1481" s="178"/>
      <c r="O1481" s="178"/>
      <c r="P1481" s="179"/>
      <c r="Q1481" s="169"/>
    </row>
    <row r="1482" spans="1:19" s="170" customFormat="1" ht="21" x14ac:dyDescent="0.3">
      <c r="A1482" s="175"/>
      <c r="B1482" s="176" t="s">
        <v>1868</v>
      </c>
      <c r="C1482" s="185"/>
      <c r="D1482" s="185"/>
      <c r="E1482" s="185"/>
      <c r="F1482" s="185"/>
      <c r="G1482" s="185"/>
      <c r="H1482" s="185"/>
      <c r="I1482" s="185"/>
      <c r="J1482" s="185"/>
      <c r="K1482" s="185"/>
      <c r="L1482" s="197"/>
      <c r="M1482" s="197">
        <v>13</v>
      </c>
      <c r="N1482" s="185"/>
      <c r="O1482" s="185"/>
      <c r="P1482" s="218"/>
    </row>
    <row r="1483" spans="1:19" s="170" customFormat="1" ht="10.5" x14ac:dyDescent="0.25">
      <c r="A1483" s="175"/>
      <c r="B1483" s="176" t="s">
        <v>1869</v>
      </c>
      <c r="C1483" s="177"/>
      <c r="D1483" s="178"/>
      <c r="E1483" s="178">
        <f>0.6+0.6*2</f>
        <v>1.7999999999999998</v>
      </c>
      <c r="F1483" s="178">
        <f>0.6+0.6*2</f>
        <v>1.7999999999999998</v>
      </c>
      <c r="G1483" s="178"/>
      <c r="H1483" s="178"/>
      <c r="I1483" s="178">
        <f>2*E1483+2*F1483</f>
        <v>7.1999999999999993</v>
      </c>
      <c r="J1483" s="178"/>
      <c r="K1483" s="178"/>
      <c r="L1483" s="180"/>
      <c r="M1483" s="178"/>
      <c r="N1483" s="178"/>
      <c r="O1483" s="178"/>
      <c r="P1483" s="179"/>
      <c r="Q1483" s="169"/>
    </row>
    <row r="1484" spans="1:19" s="170" customFormat="1" ht="10.5" x14ac:dyDescent="0.25">
      <c r="A1484" s="175"/>
      <c r="B1484" s="176"/>
      <c r="C1484" s="177"/>
      <c r="D1484" s="178"/>
      <c r="E1484" s="178"/>
      <c r="F1484" s="178"/>
      <c r="G1484" s="178"/>
      <c r="H1484" s="178"/>
      <c r="I1484" s="178">
        <f>I1483*M1482</f>
        <v>93.6</v>
      </c>
      <c r="J1484" s="178"/>
      <c r="K1484" s="178"/>
      <c r="L1484" s="180"/>
      <c r="M1484" s="178"/>
      <c r="N1484" s="178"/>
      <c r="O1484" s="178"/>
      <c r="P1484" s="179"/>
      <c r="Q1484" s="169"/>
    </row>
    <row r="1485" spans="1:19" s="170" customFormat="1" ht="10.5" x14ac:dyDescent="0.25">
      <c r="A1485" s="175"/>
      <c r="B1485" s="176"/>
      <c r="C1485" s="177"/>
      <c r="D1485" s="178"/>
      <c r="E1485" s="178"/>
      <c r="F1485" s="178"/>
      <c r="G1485" s="178"/>
      <c r="H1485" s="178"/>
      <c r="I1485" s="178"/>
      <c r="J1485" s="178"/>
      <c r="K1485" s="178"/>
      <c r="L1485" s="180"/>
      <c r="M1485" s="178"/>
      <c r="N1485" s="178"/>
      <c r="O1485" s="178"/>
      <c r="P1485" s="179"/>
      <c r="Q1485" s="169"/>
    </row>
    <row r="1486" spans="1:19" s="170" customFormat="1" ht="10.5" x14ac:dyDescent="0.3">
      <c r="A1486" s="175"/>
      <c r="B1486" s="181" t="s">
        <v>5</v>
      </c>
      <c r="C1486" s="216" t="s">
        <v>1328</v>
      </c>
      <c r="D1486" s="216"/>
      <c r="E1486" s="216"/>
      <c r="F1486" s="216"/>
      <c r="G1486" s="216"/>
      <c r="H1486" s="216"/>
      <c r="I1486" s="182">
        <f>I1484</f>
        <v>93.6</v>
      </c>
      <c r="J1486" s="216"/>
      <c r="K1486" s="216"/>
      <c r="L1486" s="208"/>
      <c r="M1486" s="208"/>
      <c r="N1486" s="216"/>
      <c r="O1486" s="216"/>
      <c r="P1486" s="217"/>
    </row>
    <row r="1487" spans="1:19" s="174" customFormat="1" ht="31.5" x14ac:dyDescent="0.25">
      <c r="A1487" s="171" t="str">
        <f>ORÇAMENTO!A306</f>
        <v>4.4.2</v>
      </c>
      <c r="B1487" s="172" t="str">
        <f>VLOOKUP(A1487,ORÇAMENTO!A:K,4,0)</f>
        <v>DEMOLIÇÃO PARCIAL DE PAVIMENTO ASFÁLTICO, DE FORMA MECANIZADA, SEM REAPROVEITAMENTO. AF_09/2023</v>
      </c>
      <c r="C1487" s="173" t="str">
        <f>VLOOKUP(A1487,ORÇAMENTO!A:K,5,0)</f>
        <v>M²</v>
      </c>
      <c r="D1487" s="173">
        <f>SUM(E1491:O1491)</f>
        <v>42.11999999999999</v>
      </c>
      <c r="E1487" s="173" t="s">
        <v>1718</v>
      </c>
      <c r="F1487" s="173" t="s">
        <v>1719</v>
      </c>
      <c r="G1487" s="173" t="s">
        <v>1720</v>
      </c>
      <c r="H1487" s="173" t="s">
        <v>1721</v>
      </c>
      <c r="I1487" s="173" t="s">
        <v>1722</v>
      </c>
      <c r="J1487" s="173" t="s">
        <v>1723</v>
      </c>
      <c r="K1487" s="173" t="s">
        <v>1724</v>
      </c>
      <c r="L1487" s="173" t="s">
        <v>1725</v>
      </c>
      <c r="M1487" s="173" t="s">
        <v>1726</v>
      </c>
      <c r="N1487" s="173" t="s">
        <v>1727</v>
      </c>
      <c r="O1487" s="173" t="s">
        <v>1728</v>
      </c>
      <c r="P1487" s="169"/>
      <c r="Q1487" s="169"/>
    </row>
    <row r="1488" spans="1:19" s="170" customFormat="1" ht="21" x14ac:dyDescent="0.25">
      <c r="A1488" s="175"/>
      <c r="B1488" s="176" t="s">
        <v>1868</v>
      </c>
      <c r="C1488" s="184"/>
      <c r="D1488" s="185"/>
      <c r="E1488" s="185"/>
      <c r="F1488" s="185"/>
      <c r="G1488" s="185"/>
      <c r="H1488" s="185"/>
      <c r="I1488" s="185"/>
      <c r="J1488" s="185"/>
      <c r="K1488" s="185"/>
      <c r="L1488" s="185"/>
      <c r="M1488" s="185">
        <f>M1482</f>
        <v>13</v>
      </c>
      <c r="N1488" s="185"/>
      <c r="O1488" s="185"/>
      <c r="P1488" s="179"/>
      <c r="Q1488" s="169"/>
    </row>
    <row r="1489" spans="1:17" s="170" customFormat="1" ht="10.5" x14ac:dyDescent="0.25">
      <c r="A1489" s="175"/>
      <c r="B1489" s="176" t="s">
        <v>1748</v>
      </c>
      <c r="C1489" s="184"/>
      <c r="D1489" s="185"/>
      <c r="E1489" s="185">
        <f>E1483</f>
        <v>1.7999999999999998</v>
      </c>
      <c r="F1489" s="185">
        <f>F1483</f>
        <v>1.7999999999999998</v>
      </c>
      <c r="G1489" s="185"/>
      <c r="H1489" s="185">
        <v>0.03</v>
      </c>
      <c r="I1489" s="185"/>
      <c r="J1489" s="185"/>
      <c r="K1489" s="185"/>
      <c r="L1489" s="185"/>
      <c r="M1489" s="185"/>
      <c r="N1489" s="185">
        <f>M1488*E1489*F1489</f>
        <v>42.11999999999999</v>
      </c>
      <c r="O1489" s="185"/>
      <c r="P1489" s="179"/>
      <c r="Q1489" s="169"/>
    </row>
    <row r="1490" spans="1:17" s="170" customFormat="1" ht="10.5" x14ac:dyDescent="0.25">
      <c r="A1490" s="175"/>
      <c r="B1490" s="176"/>
      <c r="C1490" s="184"/>
      <c r="D1490" s="185"/>
      <c r="E1490" s="185"/>
      <c r="F1490" s="185"/>
      <c r="G1490" s="185"/>
      <c r="H1490" s="185"/>
      <c r="I1490" s="185"/>
      <c r="J1490" s="185"/>
      <c r="K1490" s="185"/>
      <c r="L1490" s="186"/>
      <c r="M1490" s="185"/>
      <c r="N1490" s="185"/>
      <c r="O1490" s="185"/>
      <c r="P1490" s="179"/>
      <c r="Q1490" s="169"/>
    </row>
    <row r="1491" spans="1:17" s="170" customFormat="1" ht="10.5" x14ac:dyDescent="0.25">
      <c r="A1491" s="175"/>
      <c r="B1491" s="181" t="s">
        <v>5</v>
      </c>
      <c r="C1491" s="182" t="s">
        <v>1328</v>
      </c>
      <c r="D1491" s="182"/>
      <c r="E1491" s="182"/>
      <c r="F1491" s="182"/>
      <c r="G1491" s="182"/>
      <c r="H1491" s="182"/>
      <c r="I1491" s="182"/>
      <c r="J1491" s="182"/>
      <c r="K1491" s="182"/>
      <c r="L1491" s="182"/>
      <c r="M1491" s="182"/>
      <c r="N1491" s="208">
        <f>SUM(N1489:N1490)</f>
        <v>42.11999999999999</v>
      </c>
      <c r="O1491" s="182"/>
      <c r="P1491" s="183"/>
      <c r="Q1491" s="169"/>
    </row>
    <row r="1492" spans="1:17" s="174" customFormat="1" ht="63" x14ac:dyDescent="0.25">
      <c r="A1492" s="171" t="str">
        <f>ORÇAMENTO!A307</f>
        <v>4.4.3</v>
      </c>
      <c r="B1492" s="172" t="str">
        <f>VLOOKUP(A1492,ORÇAMENTO!A:K,4,0)</f>
        <v>ESCAVAÇÃO MECANIZADA DE VALA COM PROF. ATÉ 1,5 M (MÉDIA MONTANTE E JUSANTE/UMA COMPOSIÇÃO POR TRECHO), ESCAVADEIRA (0,8 M3), LARG. DE 1,5 M A 2,5 M, EM SOLO DE 1A CATEGORIA, EM LOCAIS COM ALTO NÍVEL DE INTERFERÊNCIA. AF_09/2024</v>
      </c>
      <c r="C1492" s="173" t="str">
        <f>VLOOKUP(A1492,ORÇAMENTO!A:K,5,0)</f>
        <v>M³</v>
      </c>
      <c r="D1492" s="173">
        <f>SUM(E1504:O1504)</f>
        <v>11.145599999999998</v>
      </c>
      <c r="E1492" s="173" t="s">
        <v>1718</v>
      </c>
      <c r="F1492" s="173" t="s">
        <v>1719</v>
      </c>
      <c r="G1492" s="173" t="s">
        <v>1720</v>
      </c>
      <c r="H1492" s="173" t="s">
        <v>1870</v>
      </c>
      <c r="I1492" s="173" t="s">
        <v>1721</v>
      </c>
      <c r="J1492" s="173" t="s">
        <v>1723</v>
      </c>
      <c r="K1492" s="173" t="s">
        <v>1724</v>
      </c>
      <c r="L1492" s="173" t="s">
        <v>1725</v>
      </c>
      <c r="M1492" s="173" t="s">
        <v>1726</v>
      </c>
      <c r="N1492" s="173" t="s">
        <v>1727</v>
      </c>
      <c r="O1492" s="173" t="s">
        <v>1728</v>
      </c>
      <c r="P1492" s="169"/>
      <c r="Q1492" s="169"/>
    </row>
    <row r="1493" spans="1:17" s="170" customFormat="1" ht="21" x14ac:dyDescent="0.25">
      <c r="A1493" s="175"/>
      <c r="B1493" s="176" t="s">
        <v>1868</v>
      </c>
      <c r="C1493" s="177"/>
      <c r="D1493" s="178"/>
      <c r="E1493" s="178"/>
      <c r="F1493" s="178"/>
      <c r="G1493" s="178"/>
      <c r="H1493" s="178"/>
      <c r="I1493" s="178"/>
      <c r="J1493" s="178"/>
      <c r="K1493" s="178"/>
      <c r="L1493" s="178"/>
      <c r="M1493" s="178"/>
      <c r="N1493" s="178"/>
      <c r="O1493" s="178"/>
      <c r="P1493" s="179"/>
      <c r="Q1493" s="169"/>
    </row>
    <row r="1494" spans="1:17" s="170" customFormat="1" ht="10.5" x14ac:dyDescent="0.25">
      <c r="A1494" s="175"/>
      <c r="B1494" s="176" t="s">
        <v>1480</v>
      </c>
      <c r="C1494" s="177"/>
      <c r="D1494" s="178"/>
      <c r="E1494" s="178">
        <v>1.8</v>
      </c>
      <c r="F1494" s="178">
        <v>1.8</v>
      </c>
      <c r="G1494" s="185">
        <f t="shared" ref="G1494:G1502" si="31">H1494-0.03</f>
        <v>0.36999999999999988</v>
      </c>
      <c r="H1494" s="178">
        <v>0.39999999999999991</v>
      </c>
      <c r="I1494" s="178"/>
      <c r="J1494" s="178"/>
      <c r="K1494" s="178"/>
      <c r="L1494" s="178"/>
      <c r="M1494" s="178"/>
      <c r="N1494" s="178"/>
      <c r="O1494" s="178">
        <f t="shared" ref="O1494:O1502" si="32">E1494*F1494*G1494</f>
        <v>1.1987999999999996</v>
      </c>
      <c r="P1494" s="179"/>
      <c r="Q1494" s="169"/>
    </row>
    <row r="1495" spans="1:17" s="170" customFormat="1" ht="10.5" x14ac:dyDescent="0.25">
      <c r="A1495" s="175"/>
      <c r="B1495" s="176" t="s">
        <v>1504</v>
      </c>
      <c r="C1495" s="177"/>
      <c r="D1495" s="178"/>
      <c r="E1495" s="178">
        <v>1.8</v>
      </c>
      <c r="F1495" s="178">
        <v>1.8</v>
      </c>
      <c r="G1495" s="185">
        <f t="shared" si="31"/>
        <v>0.11999999999999991</v>
      </c>
      <c r="H1495" s="178">
        <v>0.14999999999999991</v>
      </c>
      <c r="I1495" s="178"/>
      <c r="J1495" s="178"/>
      <c r="K1495" s="178"/>
      <c r="L1495" s="178"/>
      <c r="M1495" s="178"/>
      <c r="N1495" s="178"/>
      <c r="O1495" s="178">
        <f t="shared" si="32"/>
        <v>0.38879999999999976</v>
      </c>
      <c r="P1495" s="179"/>
      <c r="Q1495" s="169"/>
    </row>
    <row r="1496" spans="1:17" s="170" customFormat="1" ht="10.5" x14ac:dyDescent="0.25">
      <c r="A1496" s="175"/>
      <c r="B1496" s="176" t="s">
        <v>1537</v>
      </c>
      <c r="C1496" s="177"/>
      <c r="D1496" s="178"/>
      <c r="E1496" s="178">
        <v>1.8</v>
      </c>
      <c r="F1496" s="178">
        <v>1.8</v>
      </c>
      <c r="G1496" s="185">
        <f t="shared" si="31"/>
        <v>4.999999999999985E-2</v>
      </c>
      <c r="H1496" s="178">
        <v>7.9999999999999849E-2</v>
      </c>
      <c r="I1496" s="178"/>
      <c r="J1496" s="178"/>
      <c r="K1496" s="178"/>
      <c r="L1496" s="178"/>
      <c r="M1496" s="178"/>
      <c r="N1496" s="178"/>
      <c r="O1496" s="178">
        <f t="shared" si="32"/>
        <v>0.16199999999999953</v>
      </c>
      <c r="P1496" s="179"/>
      <c r="Q1496" s="169"/>
    </row>
    <row r="1497" spans="1:17" s="170" customFormat="1" ht="10.5" x14ac:dyDescent="0.25">
      <c r="A1497" s="175"/>
      <c r="B1497" s="176" t="s">
        <v>1548</v>
      </c>
      <c r="C1497" s="177"/>
      <c r="D1497" s="178"/>
      <c r="E1497" s="178">
        <v>1.8</v>
      </c>
      <c r="F1497" s="178">
        <v>1.8</v>
      </c>
      <c r="G1497" s="185">
        <f t="shared" si="31"/>
        <v>6.9999999999999868E-2</v>
      </c>
      <c r="H1497" s="178">
        <v>9.9999999999999867E-2</v>
      </c>
      <c r="I1497" s="178"/>
      <c r="J1497" s="178"/>
      <c r="K1497" s="178"/>
      <c r="L1497" s="178"/>
      <c r="M1497" s="178"/>
      <c r="N1497" s="178"/>
      <c r="O1497" s="178">
        <f t="shared" si="32"/>
        <v>0.22679999999999959</v>
      </c>
      <c r="P1497" s="179"/>
      <c r="Q1497" s="169"/>
    </row>
    <row r="1498" spans="1:17" s="170" customFormat="1" ht="10.5" x14ac:dyDescent="0.25">
      <c r="A1498" s="175"/>
      <c r="B1498" s="176" t="s">
        <v>1552</v>
      </c>
      <c r="C1498" s="177"/>
      <c r="D1498" s="178"/>
      <c r="E1498" s="178">
        <v>1.8</v>
      </c>
      <c r="F1498" s="178">
        <v>1.8</v>
      </c>
      <c r="G1498" s="185">
        <f t="shared" si="31"/>
        <v>0.11999999999999991</v>
      </c>
      <c r="H1498" s="178">
        <v>0.14999999999999991</v>
      </c>
      <c r="I1498" s="178"/>
      <c r="J1498" s="178"/>
      <c r="K1498" s="178"/>
      <c r="L1498" s="178"/>
      <c r="M1498" s="178"/>
      <c r="N1498" s="178"/>
      <c r="O1498" s="178">
        <f t="shared" si="32"/>
        <v>0.38879999999999976</v>
      </c>
      <c r="P1498" s="179"/>
      <c r="Q1498" s="169"/>
    </row>
    <row r="1499" spans="1:17" s="170" customFormat="1" ht="10.5" x14ac:dyDescent="0.25">
      <c r="A1499" s="175"/>
      <c r="B1499" s="176" t="s">
        <v>1555</v>
      </c>
      <c r="C1499" s="177"/>
      <c r="D1499" s="178"/>
      <c r="E1499" s="178">
        <v>1.8</v>
      </c>
      <c r="F1499" s="178">
        <v>1.8</v>
      </c>
      <c r="G1499" s="185">
        <f t="shared" si="31"/>
        <v>0.11999999999999991</v>
      </c>
      <c r="H1499" s="178">
        <v>0.14999999999999991</v>
      </c>
      <c r="I1499" s="178"/>
      <c r="J1499" s="178"/>
      <c r="K1499" s="178"/>
      <c r="L1499" s="178"/>
      <c r="M1499" s="178"/>
      <c r="N1499" s="178"/>
      <c r="O1499" s="178">
        <f t="shared" si="32"/>
        <v>0.38879999999999976</v>
      </c>
      <c r="P1499" s="179"/>
      <c r="Q1499" s="169"/>
    </row>
    <row r="1500" spans="1:17" s="170" customFormat="1" ht="10.5" x14ac:dyDescent="0.25">
      <c r="A1500" s="175"/>
      <c r="B1500" s="176" t="s">
        <v>1550</v>
      </c>
      <c r="C1500" s="177"/>
      <c r="D1500" s="178"/>
      <c r="E1500" s="178">
        <v>1.8</v>
      </c>
      <c r="F1500" s="178">
        <v>1.8</v>
      </c>
      <c r="G1500" s="185">
        <f t="shared" si="31"/>
        <v>1.01</v>
      </c>
      <c r="H1500" s="178">
        <v>1.04</v>
      </c>
      <c r="I1500" s="178"/>
      <c r="J1500" s="178"/>
      <c r="K1500" s="178"/>
      <c r="L1500" s="178"/>
      <c r="M1500" s="178"/>
      <c r="N1500" s="178"/>
      <c r="O1500" s="178">
        <f t="shared" si="32"/>
        <v>3.2724000000000002</v>
      </c>
      <c r="P1500" s="179"/>
      <c r="Q1500" s="169"/>
    </row>
    <row r="1501" spans="1:17" s="170" customFormat="1" ht="10.5" x14ac:dyDescent="0.25">
      <c r="A1501" s="175"/>
      <c r="B1501" s="176" t="s">
        <v>1511</v>
      </c>
      <c r="C1501" s="177"/>
      <c r="D1501" s="178"/>
      <c r="E1501" s="178">
        <v>1.8</v>
      </c>
      <c r="F1501" s="178">
        <v>1.8</v>
      </c>
      <c r="G1501" s="185">
        <f t="shared" si="31"/>
        <v>0.86999999999999988</v>
      </c>
      <c r="H1501" s="178">
        <v>0.89999999999999991</v>
      </c>
      <c r="I1501" s="178"/>
      <c r="J1501" s="178"/>
      <c r="K1501" s="178"/>
      <c r="L1501" s="178"/>
      <c r="M1501" s="178"/>
      <c r="N1501" s="178"/>
      <c r="O1501" s="178">
        <f t="shared" si="32"/>
        <v>2.8188</v>
      </c>
      <c r="P1501" s="179"/>
      <c r="Q1501" s="169"/>
    </row>
    <row r="1502" spans="1:17" s="170" customFormat="1" ht="10.5" x14ac:dyDescent="0.25">
      <c r="A1502" s="175"/>
      <c r="B1502" s="176" t="s">
        <v>1544</v>
      </c>
      <c r="C1502" s="177"/>
      <c r="D1502" s="178"/>
      <c r="E1502" s="178">
        <v>1.8</v>
      </c>
      <c r="F1502" s="178">
        <v>1.8</v>
      </c>
      <c r="G1502" s="185">
        <f t="shared" si="31"/>
        <v>0.71000000000000019</v>
      </c>
      <c r="H1502" s="178">
        <v>0.74000000000000021</v>
      </c>
      <c r="I1502" s="178"/>
      <c r="J1502" s="178"/>
      <c r="K1502" s="178"/>
      <c r="L1502" s="178"/>
      <c r="M1502" s="178"/>
      <c r="N1502" s="178"/>
      <c r="O1502" s="178">
        <f t="shared" si="32"/>
        <v>2.3004000000000007</v>
      </c>
      <c r="P1502" s="179"/>
      <c r="Q1502" s="169"/>
    </row>
    <row r="1503" spans="1:17" s="170" customFormat="1" ht="10.5" x14ac:dyDescent="0.25">
      <c r="A1503" s="175"/>
      <c r="B1503" s="181"/>
      <c r="C1503" s="177"/>
      <c r="D1503" s="178"/>
      <c r="E1503" s="178"/>
      <c r="F1503" s="178"/>
      <c r="G1503" s="178"/>
      <c r="H1503" s="178"/>
      <c r="I1503" s="178"/>
      <c r="J1503" s="178"/>
      <c r="K1503" s="178"/>
      <c r="L1503" s="180"/>
      <c r="M1503" s="178"/>
      <c r="N1503" s="178"/>
      <c r="O1503" s="178"/>
      <c r="P1503" s="179"/>
      <c r="Q1503" s="169"/>
    </row>
    <row r="1504" spans="1:17" s="170" customFormat="1" ht="10.5" x14ac:dyDescent="0.25">
      <c r="A1504" s="175"/>
      <c r="B1504" s="181" t="s">
        <v>5</v>
      </c>
      <c r="C1504" s="182" t="s">
        <v>1328</v>
      </c>
      <c r="D1504" s="182"/>
      <c r="E1504" s="182"/>
      <c r="F1504" s="182"/>
      <c r="G1504" s="182"/>
      <c r="H1504" s="182"/>
      <c r="I1504" s="182"/>
      <c r="J1504" s="182"/>
      <c r="K1504" s="182"/>
      <c r="L1504" s="182"/>
      <c r="M1504" s="182"/>
      <c r="N1504" s="178"/>
      <c r="O1504" s="208">
        <f>SUM(O1494:O1503)</f>
        <v>11.145599999999998</v>
      </c>
      <c r="P1504" s="183"/>
      <c r="Q1504" s="169"/>
    </row>
    <row r="1505" spans="1:19" s="174" customFormat="1" ht="63" x14ac:dyDescent="0.25">
      <c r="A1505" s="171" t="str">
        <f>ORÇAMENTO!A308</f>
        <v>4.4.4</v>
      </c>
      <c r="B1505" s="172" t="str">
        <f>VLOOKUP(A1505,ORÇAMENTO!A:K,4,0)</f>
        <v>ESCAVAÇÃO MECANIZADA DE VALA COM PROF. MAIOR QUE 1,50 M ATÉ 3,0 M (MÉDIA MONTANTE E JUSANTE/UMA COMPOSIÇÃO POR TRECHO), ESCAVADEIRA (1,2 M3), LARG. DE 1,5 M A 2,5 M, EM SOLO DE 1A CATEGORIA, EM LOCAIS COM ALTO NÍVEL DE INTERFERÊNCIA. AF_09/2024</v>
      </c>
      <c r="C1505" s="173" t="str">
        <f>VLOOKUP(A1505,ORÇAMENTO!A:K,5,0)</f>
        <v>M³</v>
      </c>
      <c r="D1505" s="173">
        <f>SUM(E1512:O1512)</f>
        <v>27.462240000000001</v>
      </c>
      <c r="E1505" s="173" t="s">
        <v>1718</v>
      </c>
      <c r="F1505" s="173" t="s">
        <v>1719</v>
      </c>
      <c r="G1505" s="173" t="s">
        <v>1720</v>
      </c>
      <c r="H1505" s="173" t="s">
        <v>1870</v>
      </c>
      <c r="I1505" s="173" t="s">
        <v>1722</v>
      </c>
      <c r="J1505" s="173" t="s">
        <v>1723</v>
      </c>
      <c r="K1505" s="173" t="s">
        <v>1724</v>
      </c>
      <c r="L1505" s="173" t="s">
        <v>1725</v>
      </c>
      <c r="M1505" s="173" t="s">
        <v>1726</v>
      </c>
      <c r="N1505" s="173" t="s">
        <v>1727</v>
      </c>
      <c r="O1505" s="173" t="s">
        <v>1728</v>
      </c>
      <c r="P1505" s="169"/>
      <c r="Q1505" s="169"/>
    </row>
    <row r="1506" spans="1:19" s="170" customFormat="1" ht="21" x14ac:dyDescent="0.25">
      <c r="A1506" s="175"/>
      <c r="B1506" s="176" t="s">
        <v>1868</v>
      </c>
      <c r="C1506" s="177"/>
      <c r="D1506" s="178"/>
      <c r="E1506" s="178"/>
      <c r="F1506" s="178"/>
      <c r="G1506" s="178"/>
      <c r="H1506" s="178"/>
      <c r="I1506" s="178"/>
      <c r="J1506" s="178"/>
      <c r="K1506" s="178"/>
      <c r="L1506" s="178"/>
      <c r="M1506" s="178"/>
      <c r="N1506" s="178"/>
      <c r="O1506" s="178"/>
      <c r="P1506" s="179"/>
      <c r="Q1506" s="169"/>
    </row>
    <row r="1507" spans="1:19" s="170" customFormat="1" ht="10.5" x14ac:dyDescent="0.25">
      <c r="A1507" s="175"/>
      <c r="B1507" s="176" t="s">
        <v>1517</v>
      </c>
      <c r="C1507" s="177"/>
      <c r="D1507" s="178"/>
      <c r="E1507" s="178">
        <v>1.8</v>
      </c>
      <c r="F1507" s="178">
        <v>1.8</v>
      </c>
      <c r="G1507" s="185">
        <f>H1507-0.03</f>
        <v>2.75</v>
      </c>
      <c r="H1507" s="178">
        <v>2.78</v>
      </c>
      <c r="I1507" s="178"/>
      <c r="J1507" s="178"/>
      <c r="K1507" s="178"/>
      <c r="L1507" s="178"/>
      <c r="M1507" s="178"/>
      <c r="N1507" s="178"/>
      <c r="O1507" s="178">
        <f>E1507*F1507*G1507</f>
        <v>8.91</v>
      </c>
      <c r="P1507" s="179"/>
      <c r="Q1507" s="169"/>
    </row>
    <row r="1508" spans="1:19" s="170" customFormat="1" ht="10.5" x14ac:dyDescent="0.25">
      <c r="A1508" s="175"/>
      <c r="B1508" s="176" t="s">
        <v>1546</v>
      </c>
      <c r="C1508" s="177"/>
      <c r="D1508" s="178"/>
      <c r="E1508" s="178">
        <v>1.8</v>
      </c>
      <c r="F1508" s="178">
        <v>1.8</v>
      </c>
      <c r="G1508" s="185">
        <f>H1508-0.03</f>
        <v>1.776</v>
      </c>
      <c r="H1508" s="178">
        <v>1.806</v>
      </c>
      <c r="I1508" s="178"/>
      <c r="J1508" s="178"/>
      <c r="K1508" s="178"/>
      <c r="L1508" s="178"/>
      <c r="M1508" s="178"/>
      <c r="N1508" s="178"/>
      <c r="O1508" s="178">
        <f>E1508*F1508*G1508</f>
        <v>5.7542400000000002</v>
      </c>
      <c r="P1508" s="179"/>
      <c r="Q1508" s="169"/>
    </row>
    <row r="1509" spans="1:19" s="170" customFormat="1" ht="10.5" x14ac:dyDescent="0.25">
      <c r="A1509" s="175"/>
      <c r="B1509" s="176" t="s">
        <v>1871</v>
      </c>
      <c r="C1509" s="177"/>
      <c r="D1509" s="178"/>
      <c r="E1509" s="178">
        <v>1.8</v>
      </c>
      <c r="F1509" s="178">
        <v>1.8</v>
      </c>
      <c r="G1509" s="185">
        <f>H1509-0.03</f>
        <v>2.1300000000000003</v>
      </c>
      <c r="H1509" s="178">
        <v>2.16</v>
      </c>
      <c r="I1509" s="178"/>
      <c r="J1509" s="178"/>
      <c r="K1509" s="178"/>
      <c r="L1509" s="178"/>
      <c r="M1509" s="178"/>
      <c r="N1509" s="178"/>
      <c r="O1509" s="178">
        <f>E1509*F1509*G1509</f>
        <v>6.9012000000000011</v>
      </c>
      <c r="P1509" s="179"/>
      <c r="Q1509" s="169"/>
    </row>
    <row r="1510" spans="1:19" s="170" customFormat="1" ht="10.5" x14ac:dyDescent="0.25">
      <c r="A1510" s="175"/>
      <c r="B1510" s="176" t="s">
        <v>1547</v>
      </c>
      <c r="C1510" s="177"/>
      <c r="D1510" s="178"/>
      <c r="E1510" s="178">
        <v>1.8</v>
      </c>
      <c r="F1510" s="178">
        <v>1.8</v>
      </c>
      <c r="G1510" s="185">
        <f>H1510-0.03</f>
        <v>1.8199999999999996</v>
      </c>
      <c r="H1510" s="178">
        <v>1.8499999999999996</v>
      </c>
      <c r="I1510" s="178"/>
      <c r="J1510" s="178"/>
      <c r="K1510" s="178"/>
      <c r="L1510" s="178"/>
      <c r="M1510" s="178"/>
      <c r="N1510" s="178"/>
      <c r="O1510" s="178">
        <f>E1510*F1510*G1510</f>
        <v>5.8967999999999989</v>
      </c>
      <c r="P1510" s="179"/>
      <c r="Q1510" s="169"/>
    </row>
    <row r="1511" spans="1:19" s="170" customFormat="1" ht="10.5" x14ac:dyDescent="0.25">
      <c r="A1511" s="175"/>
      <c r="B1511" s="181"/>
      <c r="C1511" s="177"/>
      <c r="D1511" s="178"/>
      <c r="E1511" s="178"/>
      <c r="F1511" s="178"/>
      <c r="G1511" s="178"/>
      <c r="H1511" s="178"/>
      <c r="I1511" s="178"/>
      <c r="J1511" s="178"/>
      <c r="K1511" s="178"/>
      <c r="L1511" s="180"/>
      <c r="M1511" s="178"/>
      <c r="N1511" s="178"/>
      <c r="O1511" s="178"/>
      <c r="P1511" s="179"/>
      <c r="Q1511" s="169"/>
    </row>
    <row r="1512" spans="1:19" s="170" customFormat="1" ht="10.5" x14ac:dyDescent="0.25">
      <c r="A1512" s="175"/>
      <c r="B1512" s="181" t="s">
        <v>5</v>
      </c>
      <c r="C1512" s="182" t="s">
        <v>1328</v>
      </c>
      <c r="D1512" s="182"/>
      <c r="E1512" s="182"/>
      <c r="F1512" s="182"/>
      <c r="G1512" s="182"/>
      <c r="H1512" s="182"/>
      <c r="I1512" s="182"/>
      <c r="J1512" s="182"/>
      <c r="K1512" s="182"/>
      <c r="L1512" s="182"/>
      <c r="M1512" s="182"/>
      <c r="N1512" s="178"/>
      <c r="O1512" s="208">
        <f>SUM(O1507:O1511)</f>
        <v>27.462240000000001</v>
      </c>
      <c r="P1512" s="183"/>
      <c r="Q1512" s="169"/>
    </row>
    <row r="1513" spans="1:19" s="189" customFormat="1" ht="21.75" customHeight="1" x14ac:dyDescent="0.35">
      <c r="A1513" s="171" t="str">
        <f>ORÇAMENTO!A309</f>
        <v>4.4.5</v>
      </c>
      <c r="B1513" s="172" t="str">
        <f>VLOOKUP(A1513,ORÇAMENTO!A:K,4,0)</f>
        <v>CHAMINÉ CIRCULAR PARA POÇO DE VISITA PARA DRENAGEM, EM CONCRETO PRÉ-MOLDADO, DIÂMETRO INTERNO = 0,6 M. AF_12/2020</v>
      </c>
      <c r="C1513" s="173" t="str">
        <f>VLOOKUP(A1513,ORÇAMENTO!A:K,5,0)</f>
        <v>M</v>
      </c>
      <c r="D1513" s="173">
        <f>SUM(E1529:O1529)</f>
        <v>11.916</v>
      </c>
      <c r="E1513" s="173" t="s">
        <v>1718</v>
      </c>
      <c r="F1513" s="173" t="s">
        <v>1719</v>
      </c>
      <c r="G1513" s="173" t="s">
        <v>1720</v>
      </c>
      <c r="H1513" s="173" t="s">
        <v>1721</v>
      </c>
      <c r="I1513" s="173" t="s">
        <v>1722</v>
      </c>
      <c r="J1513" s="173" t="s">
        <v>1723</v>
      </c>
      <c r="K1513" s="173" t="s">
        <v>1746</v>
      </c>
      <c r="L1513" s="173" t="s">
        <v>1753</v>
      </c>
      <c r="M1513" s="173" t="s">
        <v>1726</v>
      </c>
      <c r="N1513" s="173" t="s">
        <v>1727</v>
      </c>
      <c r="O1513" s="173" t="s">
        <v>1728</v>
      </c>
      <c r="P1513" s="169"/>
      <c r="Q1513" s="169"/>
      <c r="R1513" s="169"/>
      <c r="S1513" s="169"/>
    </row>
    <row r="1514" spans="1:19" s="170" customFormat="1" ht="21" x14ac:dyDescent="0.3">
      <c r="A1514" s="175"/>
      <c r="B1514" s="176" t="s">
        <v>1868</v>
      </c>
      <c r="C1514" s="178"/>
      <c r="D1514" s="178"/>
      <c r="E1514" s="178"/>
      <c r="F1514" s="178"/>
      <c r="G1514" s="178"/>
      <c r="H1514" s="178"/>
      <c r="I1514" s="178"/>
      <c r="J1514" s="178"/>
      <c r="K1514" s="178"/>
      <c r="L1514" s="190"/>
      <c r="M1514" s="219">
        <f>M1488</f>
        <v>13</v>
      </c>
      <c r="N1514" s="178"/>
      <c r="O1514" s="178"/>
      <c r="P1514" s="218"/>
    </row>
    <row r="1515" spans="1:19" s="170" customFormat="1" ht="10.5" x14ac:dyDescent="0.3">
      <c r="A1515" s="175"/>
      <c r="B1515" s="176" t="s">
        <v>1480</v>
      </c>
      <c r="C1515" s="220"/>
      <c r="D1515" s="220"/>
      <c r="E1515" s="220"/>
      <c r="F1515" s="220"/>
      <c r="G1515" s="216">
        <f t="shared" ref="G1515:G1523" si="33">G1494</f>
        <v>0.36999999999999988</v>
      </c>
      <c r="H1515" s="220"/>
      <c r="I1515" s="220"/>
      <c r="J1515" s="220"/>
      <c r="K1515" s="220"/>
      <c r="L1515" s="182"/>
      <c r="M1515" s="182"/>
      <c r="N1515" s="220"/>
      <c r="O1515" s="220"/>
      <c r="P1515" s="217"/>
    </row>
    <row r="1516" spans="1:19" s="170" customFormat="1" ht="10.5" x14ac:dyDescent="0.3">
      <c r="A1516" s="175"/>
      <c r="B1516" s="176" t="s">
        <v>1504</v>
      </c>
      <c r="C1516" s="220"/>
      <c r="D1516" s="220"/>
      <c r="E1516" s="220"/>
      <c r="F1516" s="220"/>
      <c r="G1516" s="216">
        <f t="shared" si="33"/>
        <v>0.11999999999999991</v>
      </c>
      <c r="H1516" s="220"/>
      <c r="I1516" s="220"/>
      <c r="J1516" s="220"/>
      <c r="K1516" s="220"/>
      <c r="L1516" s="182"/>
      <c r="M1516" s="182"/>
      <c r="N1516" s="220"/>
      <c r="O1516" s="220"/>
      <c r="P1516" s="217"/>
    </row>
    <row r="1517" spans="1:19" s="170" customFormat="1" ht="10.5" x14ac:dyDescent="0.3">
      <c r="A1517" s="175"/>
      <c r="B1517" s="176" t="s">
        <v>1537</v>
      </c>
      <c r="C1517" s="220"/>
      <c r="D1517" s="220"/>
      <c r="E1517" s="220"/>
      <c r="F1517" s="220"/>
      <c r="G1517" s="216">
        <f t="shared" si="33"/>
        <v>4.999999999999985E-2</v>
      </c>
      <c r="H1517" s="220"/>
      <c r="I1517" s="220"/>
      <c r="J1517" s="220"/>
      <c r="K1517" s="220"/>
      <c r="L1517" s="182"/>
      <c r="M1517" s="182"/>
      <c r="N1517" s="220"/>
      <c r="O1517" s="220"/>
      <c r="P1517" s="217"/>
    </row>
    <row r="1518" spans="1:19" s="170" customFormat="1" ht="10.5" x14ac:dyDescent="0.3">
      <c r="A1518" s="175"/>
      <c r="B1518" s="176" t="s">
        <v>1548</v>
      </c>
      <c r="C1518" s="220"/>
      <c r="D1518" s="220"/>
      <c r="E1518" s="220"/>
      <c r="F1518" s="220"/>
      <c r="G1518" s="216">
        <f t="shared" si="33"/>
        <v>6.9999999999999868E-2</v>
      </c>
      <c r="H1518" s="220"/>
      <c r="I1518" s="220"/>
      <c r="J1518" s="220"/>
      <c r="K1518" s="220"/>
      <c r="L1518" s="182"/>
      <c r="M1518" s="182"/>
      <c r="N1518" s="220"/>
      <c r="O1518" s="220"/>
      <c r="P1518" s="217"/>
    </row>
    <row r="1519" spans="1:19" s="170" customFormat="1" ht="10.5" x14ac:dyDescent="0.3">
      <c r="A1519" s="175"/>
      <c r="B1519" s="176" t="s">
        <v>1552</v>
      </c>
      <c r="C1519" s="220"/>
      <c r="D1519" s="220"/>
      <c r="E1519" s="220"/>
      <c r="F1519" s="220"/>
      <c r="G1519" s="216">
        <f t="shared" si="33"/>
        <v>0.11999999999999991</v>
      </c>
      <c r="H1519" s="220"/>
      <c r="I1519" s="220"/>
      <c r="J1519" s="220"/>
      <c r="K1519" s="220"/>
      <c r="L1519" s="182"/>
      <c r="M1519" s="182"/>
      <c r="N1519" s="220"/>
      <c r="O1519" s="220"/>
      <c r="P1519" s="217"/>
    </row>
    <row r="1520" spans="1:19" s="170" customFormat="1" ht="10.5" x14ac:dyDescent="0.3">
      <c r="A1520" s="175"/>
      <c r="B1520" s="176" t="s">
        <v>1555</v>
      </c>
      <c r="C1520" s="220"/>
      <c r="D1520" s="220"/>
      <c r="E1520" s="220"/>
      <c r="F1520" s="220"/>
      <c r="G1520" s="216">
        <f t="shared" si="33"/>
        <v>0.11999999999999991</v>
      </c>
      <c r="H1520" s="220"/>
      <c r="I1520" s="220"/>
      <c r="J1520" s="220"/>
      <c r="K1520" s="220"/>
      <c r="L1520" s="182"/>
      <c r="M1520" s="182"/>
      <c r="N1520" s="220"/>
      <c r="O1520" s="220"/>
      <c r="P1520" s="217"/>
    </row>
    <row r="1521" spans="1:19" s="170" customFormat="1" ht="10.5" x14ac:dyDescent="0.3">
      <c r="A1521" s="175"/>
      <c r="B1521" s="176" t="s">
        <v>1550</v>
      </c>
      <c r="C1521" s="220"/>
      <c r="D1521" s="220"/>
      <c r="E1521" s="220"/>
      <c r="F1521" s="220"/>
      <c r="G1521" s="216">
        <f t="shared" si="33"/>
        <v>1.01</v>
      </c>
      <c r="H1521" s="220"/>
      <c r="I1521" s="220"/>
      <c r="J1521" s="220"/>
      <c r="K1521" s="220"/>
      <c r="L1521" s="182"/>
      <c r="M1521" s="182"/>
      <c r="N1521" s="220"/>
      <c r="O1521" s="220"/>
      <c r="P1521" s="217"/>
    </row>
    <row r="1522" spans="1:19" s="170" customFormat="1" ht="10.5" x14ac:dyDescent="0.3">
      <c r="A1522" s="175"/>
      <c r="B1522" s="176" t="s">
        <v>1511</v>
      </c>
      <c r="C1522" s="220"/>
      <c r="D1522" s="220"/>
      <c r="E1522" s="220"/>
      <c r="F1522" s="220"/>
      <c r="G1522" s="216">
        <f t="shared" si="33"/>
        <v>0.86999999999999988</v>
      </c>
      <c r="H1522" s="220"/>
      <c r="I1522" s="220"/>
      <c r="J1522" s="220"/>
      <c r="K1522" s="220"/>
      <c r="L1522" s="182"/>
      <c r="M1522" s="182"/>
      <c r="N1522" s="220"/>
      <c r="O1522" s="220"/>
      <c r="P1522" s="217"/>
    </row>
    <row r="1523" spans="1:19" s="170" customFormat="1" ht="10.5" x14ac:dyDescent="0.3">
      <c r="A1523" s="175"/>
      <c r="B1523" s="176" t="s">
        <v>1544</v>
      </c>
      <c r="C1523" s="220"/>
      <c r="D1523" s="220"/>
      <c r="E1523" s="220"/>
      <c r="F1523" s="220"/>
      <c r="G1523" s="216">
        <f t="shared" si="33"/>
        <v>0.71000000000000019</v>
      </c>
      <c r="H1523" s="220"/>
      <c r="I1523" s="220"/>
      <c r="J1523" s="220"/>
      <c r="K1523" s="220"/>
      <c r="L1523" s="182"/>
      <c r="M1523" s="182"/>
      <c r="N1523" s="220"/>
      <c r="O1523" s="220"/>
      <c r="P1523" s="217"/>
    </row>
    <row r="1524" spans="1:19" s="170" customFormat="1" ht="10.5" x14ac:dyDescent="0.3">
      <c r="A1524" s="175"/>
      <c r="B1524" s="176" t="s">
        <v>1517</v>
      </c>
      <c r="C1524" s="220"/>
      <c r="D1524" s="220"/>
      <c r="E1524" s="220"/>
      <c r="F1524" s="220"/>
      <c r="G1524" s="216">
        <f>G1507</f>
        <v>2.75</v>
      </c>
      <c r="H1524" s="220"/>
      <c r="I1524" s="220"/>
      <c r="J1524" s="220"/>
      <c r="K1524" s="220"/>
      <c r="L1524" s="182"/>
      <c r="M1524" s="182"/>
      <c r="N1524" s="220"/>
      <c r="O1524" s="220"/>
      <c r="P1524" s="217"/>
    </row>
    <row r="1525" spans="1:19" s="170" customFormat="1" ht="10.5" x14ac:dyDescent="0.3">
      <c r="A1525" s="175"/>
      <c r="B1525" s="176" t="s">
        <v>1546</v>
      </c>
      <c r="C1525" s="220"/>
      <c r="D1525" s="220"/>
      <c r="E1525" s="220"/>
      <c r="F1525" s="220"/>
      <c r="G1525" s="216">
        <f>G1508</f>
        <v>1.776</v>
      </c>
      <c r="H1525" s="220"/>
      <c r="I1525" s="220"/>
      <c r="J1525" s="220"/>
      <c r="K1525" s="220"/>
      <c r="L1525" s="182"/>
      <c r="M1525" s="182"/>
      <c r="N1525" s="220"/>
      <c r="O1525" s="220"/>
      <c r="P1525" s="217"/>
    </row>
    <row r="1526" spans="1:19" s="170" customFormat="1" ht="10.5" x14ac:dyDescent="0.3">
      <c r="A1526" s="175"/>
      <c r="B1526" s="176" t="s">
        <v>1871</v>
      </c>
      <c r="C1526" s="220"/>
      <c r="D1526" s="220"/>
      <c r="E1526" s="220"/>
      <c r="F1526" s="220"/>
      <c r="G1526" s="216">
        <f>G1509</f>
        <v>2.1300000000000003</v>
      </c>
      <c r="H1526" s="220"/>
      <c r="I1526" s="220"/>
      <c r="J1526" s="220"/>
      <c r="K1526" s="220"/>
      <c r="L1526" s="182"/>
      <c r="M1526" s="182"/>
      <c r="N1526" s="220"/>
      <c r="O1526" s="220"/>
      <c r="P1526" s="217"/>
    </row>
    <row r="1527" spans="1:19" s="170" customFormat="1" ht="10.5" x14ac:dyDescent="0.3">
      <c r="A1527" s="175"/>
      <c r="B1527" s="176" t="s">
        <v>1547</v>
      </c>
      <c r="C1527" s="220"/>
      <c r="D1527" s="220"/>
      <c r="E1527" s="220"/>
      <c r="F1527" s="220"/>
      <c r="G1527" s="216">
        <f>G1510</f>
        <v>1.8199999999999996</v>
      </c>
      <c r="H1527" s="220"/>
      <c r="I1527" s="220"/>
      <c r="J1527" s="220"/>
      <c r="K1527" s="220"/>
      <c r="L1527" s="182"/>
      <c r="M1527" s="182"/>
      <c r="N1527" s="220"/>
      <c r="O1527" s="220"/>
      <c r="P1527" s="217"/>
    </row>
    <row r="1528" spans="1:19" s="170" customFormat="1" ht="10.5" x14ac:dyDescent="0.3">
      <c r="A1528" s="175"/>
      <c r="B1528" s="181"/>
      <c r="C1528" s="220"/>
      <c r="D1528" s="220"/>
      <c r="E1528" s="220"/>
      <c r="F1528" s="220"/>
      <c r="G1528" s="220"/>
      <c r="H1528" s="220"/>
      <c r="I1528" s="220"/>
      <c r="J1528" s="220"/>
      <c r="K1528" s="220"/>
      <c r="L1528" s="182"/>
      <c r="M1528" s="182"/>
      <c r="N1528" s="220"/>
      <c r="O1528" s="220"/>
      <c r="P1528" s="217"/>
    </row>
    <row r="1529" spans="1:19" s="170" customFormat="1" ht="10.5" x14ac:dyDescent="0.25">
      <c r="A1529" s="175"/>
      <c r="B1529" s="181" t="s">
        <v>5</v>
      </c>
      <c r="C1529" s="182" t="s">
        <v>1328</v>
      </c>
      <c r="D1529" s="182"/>
      <c r="E1529" s="182"/>
      <c r="F1529" s="182"/>
      <c r="G1529" s="182">
        <f>SUM(G1515:G1528)</f>
        <v>11.916</v>
      </c>
      <c r="I1529" s="182"/>
      <c r="J1529" s="182"/>
      <c r="K1529" s="182"/>
      <c r="L1529" s="182"/>
      <c r="M1529" s="182"/>
      <c r="N1529" s="182"/>
      <c r="O1529" s="182"/>
      <c r="P1529" s="183"/>
      <c r="Q1529" s="169"/>
    </row>
    <row r="1530" spans="1:19" s="189" customFormat="1" ht="21.75" customHeight="1" x14ac:dyDescent="0.35">
      <c r="A1530" s="171" t="str">
        <f>ORÇAMENTO!A310</f>
        <v>4.4.6</v>
      </c>
      <c r="B1530" s="172" t="str">
        <f>VLOOKUP(A1530,ORÇAMENTO!A:K,4,0)</f>
        <v>FORNECIMENTO E ASSENTAMENTO DE TAMPÃO CIRCULAR PARA DRENAGEM, EM FERRO FUNDIDO, DIÂMETRO = 0,6 M</v>
      </c>
      <c r="C1530" s="173" t="str">
        <f>VLOOKUP(A1530,ORÇAMENTO!A:K,5,0)</f>
        <v>UN</v>
      </c>
      <c r="D1530" s="173">
        <f>SUM(E1533:O1533)</f>
        <v>13</v>
      </c>
      <c r="E1530" s="173" t="s">
        <v>1752</v>
      </c>
      <c r="F1530" s="173" t="s">
        <v>1719</v>
      </c>
      <c r="G1530" s="173" t="s">
        <v>1720</v>
      </c>
      <c r="H1530" s="173" t="s">
        <v>1721</v>
      </c>
      <c r="I1530" s="173" t="s">
        <v>1722</v>
      </c>
      <c r="J1530" s="173" t="s">
        <v>1723</v>
      </c>
      <c r="K1530" s="173" t="s">
        <v>1746</v>
      </c>
      <c r="L1530" s="173" t="s">
        <v>1753</v>
      </c>
      <c r="M1530" s="173" t="s">
        <v>1726</v>
      </c>
      <c r="N1530" s="173" t="s">
        <v>1727</v>
      </c>
      <c r="O1530" s="173" t="s">
        <v>1728</v>
      </c>
      <c r="P1530" s="169"/>
      <c r="Q1530" s="169"/>
      <c r="R1530" s="169"/>
      <c r="S1530" s="169"/>
    </row>
    <row r="1531" spans="1:19" s="170" customFormat="1" ht="21" x14ac:dyDescent="0.3">
      <c r="A1531" s="175"/>
      <c r="B1531" s="176" t="s">
        <v>1868</v>
      </c>
      <c r="C1531" s="178"/>
      <c r="D1531" s="178"/>
      <c r="E1531" s="178"/>
      <c r="F1531" s="178"/>
      <c r="G1531" s="178"/>
      <c r="H1531" s="178"/>
      <c r="I1531" s="178"/>
      <c r="J1531" s="178"/>
      <c r="K1531" s="178"/>
      <c r="L1531" s="190"/>
      <c r="M1531" s="219">
        <f>M1514</f>
        <v>13</v>
      </c>
      <c r="N1531" s="178"/>
      <c r="O1531" s="178"/>
      <c r="P1531" s="218"/>
    </row>
    <row r="1532" spans="1:19" s="170" customFormat="1" ht="10.5" x14ac:dyDescent="0.3">
      <c r="A1532" s="175"/>
      <c r="B1532" s="176"/>
      <c r="C1532" s="178"/>
      <c r="D1532" s="178"/>
      <c r="E1532" s="178"/>
      <c r="F1532" s="178"/>
      <c r="G1532" s="178"/>
      <c r="H1532" s="178"/>
      <c r="I1532" s="178"/>
      <c r="J1532" s="178"/>
      <c r="K1532" s="178"/>
      <c r="L1532" s="190"/>
      <c r="M1532" s="190"/>
      <c r="N1532" s="178"/>
      <c r="O1532" s="178"/>
      <c r="P1532" s="218"/>
    </row>
    <row r="1533" spans="1:19" s="170" customFormat="1" ht="10.5" x14ac:dyDescent="0.3">
      <c r="A1533" s="175"/>
      <c r="B1533" s="181" t="s">
        <v>5</v>
      </c>
      <c r="C1533" s="220" t="s">
        <v>1328</v>
      </c>
      <c r="D1533" s="220"/>
      <c r="E1533" s="220"/>
      <c r="F1533" s="220"/>
      <c r="G1533" s="220"/>
      <c r="H1533" s="220"/>
      <c r="I1533" s="220"/>
      <c r="J1533" s="220"/>
      <c r="K1533" s="220"/>
      <c r="L1533" s="182"/>
      <c r="M1533" s="182">
        <f>SUM(M1531:M1531)</f>
        <v>13</v>
      </c>
      <c r="N1533" s="220"/>
      <c r="O1533" s="220"/>
      <c r="P1533" s="217"/>
    </row>
    <row r="1534" spans="1:19" s="174" customFormat="1" ht="52.5" x14ac:dyDescent="0.25">
      <c r="A1534" s="171" t="str">
        <f>ORÇAMENTO!A311</f>
        <v>4.4.7</v>
      </c>
      <c r="B1534" s="172" t="str">
        <f>VLOOKUP(A1534,ORÇAMENTO!A:K,4,0)</f>
        <v>CONSTRUÇÃO DE PAVIMENTO COM APLICAÇÃO CONCRETO BETUMINOSO USINADO A QUENTE (CBUQ), CAMADA DE ROLAMENTO - EXCLUSIVE TRANSPORTE E CARGA  AF_03/2017 (SEM MATERIAL)</v>
      </c>
      <c r="C1534" s="173" t="str">
        <f>VLOOKUP(A1534,ORÇAMENTO!A:K,5,0)</f>
        <v>M³</v>
      </c>
      <c r="D1534" s="173">
        <f>SUM(E1541:O1541)</f>
        <v>1.1533300978589978</v>
      </c>
      <c r="E1534" s="173" t="s">
        <v>1718</v>
      </c>
      <c r="F1534" s="173" t="s">
        <v>1719</v>
      </c>
      <c r="G1534" s="173" t="s">
        <v>1720</v>
      </c>
      <c r="H1534" s="173" t="s">
        <v>1721</v>
      </c>
      <c r="I1534" s="173" t="s">
        <v>1722</v>
      </c>
      <c r="J1534" s="173" t="s">
        <v>1723</v>
      </c>
      <c r="K1534" s="173" t="s">
        <v>1724</v>
      </c>
      <c r="L1534" s="173" t="s">
        <v>1725</v>
      </c>
      <c r="M1534" s="173" t="s">
        <v>1726</v>
      </c>
      <c r="N1534" s="173" t="s">
        <v>1727</v>
      </c>
      <c r="O1534" s="173" t="s">
        <v>1728</v>
      </c>
      <c r="P1534" s="169"/>
      <c r="Q1534" s="169"/>
    </row>
    <row r="1535" spans="1:19" s="170" customFormat="1" ht="10.5" x14ac:dyDescent="0.25">
      <c r="A1535" s="175"/>
      <c r="B1535" s="181" t="s">
        <v>1745</v>
      </c>
      <c r="C1535" s="184"/>
      <c r="D1535" s="185"/>
      <c r="E1535" s="185"/>
      <c r="F1535" s="185"/>
      <c r="G1535" s="185"/>
      <c r="H1535" s="185"/>
      <c r="I1535" s="185"/>
      <c r="J1535" s="185"/>
      <c r="K1535" s="185"/>
      <c r="L1535" s="185"/>
      <c r="M1535" s="185"/>
      <c r="N1535" s="185"/>
      <c r="O1535" s="185"/>
      <c r="P1535" s="179"/>
      <c r="Q1535" s="169"/>
    </row>
    <row r="1536" spans="1:19" s="170" customFormat="1" ht="10.5" x14ac:dyDescent="0.25">
      <c r="A1536" s="175"/>
      <c r="B1536" s="176" t="s">
        <v>1872</v>
      </c>
      <c r="C1536" s="184"/>
      <c r="D1536" s="185"/>
      <c r="E1536" s="185"/>
      <c r="F1536" s="185"/>
      <c r="G1536" s="185"/>
      <c r="H1536" s="185">
        <v>0.03</v>
      </c>
      <c r="I1536" s="185"/>
      <c r="J1536" s="185"/>
      <c r="K1536" s="185"/>
      <c r="L1536" s="185"/>
      <c r="M1536" s="185"/>
      <c r="N1536" s="185">
        <f>N1489</f>
        <v>42.11999999999999</v>
      </c>
      <c r="O1536" s="185">
        <f>N1536*H1536</f>
        <v>1.2635999999999996</v>
      </c>
      <c r="P1536" s="179"/>
      <c r="Q1536" s="169"/>
    </row>
    <row r="1537" spans="1:17" s="170" customFormat="1" ht="10.5" x14ac:dyDescent="0.25">
      <c r="A1537" s="175"/>
      <c r="B1537" s="176" t="s">
        <v>1873</v>
      </c>
      <c r="C1537" s="184"/>
      <c r="D1537" s="185"/>
      <c r="E1537" s="185"/>
      <c r="F1537" s="185"/>
      <c r="G1537" s="185"/>
      <c r="H1537" s="185">
        <v>0.03</v>
      </c>
      <c r="I1537" s="185"/>
      <c r="J1537" s="185">
        <v>0.6</v>
      </c>
      <c r="K1537" s="185"/>
      <c r="L1537" s="185"/>
      <c r="M1537" s="185">
        <f>M1488</f>
        <v>13</v>
      </c>
      <c r="N1537" s="185">
        <f>PI()*(J1537/2)^2</f>
        <v>0.28274333882308139</v>
      </c>
      <c r="O1537" s="185">
        <f>M1537*N1537*H1537</f>
        <v>0.11026990214100174</v>
      </c>
      <c r="P1537" s="179"/>
      <c r="Q1537" s="169"/>
    </row>
    <row r="1538" spans="1:17" s="170" customFormat="1" ht="10.5" x14ac:dyDescent="0.25">
      <c r="A1538" s="175"/>
      <c r="B1538" s="176"/>
      <c r="C1538" s="184"/>
      <c r="D1538" s="185"/>
      <c r="E1538" s="185"/>
      <c r="F1538" s="185"/>
      <c r="G1538" s="185"/>
      <c r="H1538" s="185"/>
      <c r="I1538" s="185"/>
      <c r="J1538" s="185"/>
      <c r="K1538" s="185"/>
      <c r="L1538" s="185"/>
      <c r="M1538" s="185"/>
      <c r="N1538" s="185"/>
      <c r="O1538" s="185"/>
      <c r="P1538" s="179"/>
      <c r="Q1538" s="169"/>
    </row>
    <row r="1539" spans="1:17" s="170" customFormat="1" ht="10.5" x14ac:dyDescent="0.25">
      <c r="A1539" s="175"/>
      <c r="B1539" s="176" t="s">
        <v>1784</v>
      </c>
      <c r="C1539" s="184"/>
      <c r="D1539" s="185"/>
      <c r="E1539" s="185"/>
      <c r="F1539" s="185"/>
      <c r="G1539" s="185"/>
      <c r="H1539" s="185"/>
      <c r="I1539" s="185"/>
      <c r="J1539" s="185"/>
      <c r="K1539" s="185"/>
      <c r="L1539" s="185"/>
      <c r="M1539" s="185"/>
      <c r="N1539" s="185"/>
      <c r="O1539" s="184">
        <f>O1536-O1537</f>
        <v>1.1533300978589978</v>
      </c>
      <c r="P1539" s="179"/>
      <c r="Q1539" s="169"/>
    </row>
    <row r="1540" spans="1:17" s="170" customFormat="1" ht="10.5" x14ac:dyDescent="0.25">
      <c r="A1540" s="175"/>
      <c r="B1540" s="176"/>
      <c r="C1540" s="184"/>
      <c r="D1540" s="185"/>
      <c r="E1540" s="185"/>
      <c r="F1540" s="185"/>
      <c r="G1540" s="185"/>
      <c r="H1540" s="185"/>
      <c r="I1540" s="185"/>
      <c r="J1540" s="185"/>
      <c r="K1540" s="185"/>
      <c r="L1540" s="186"/>
      <c r="M1540" s="185"/>
      <c r="N1540" s="185"/>
      <c r="O1540" s="185"/>
      <c r="P1540" s="179"/>
      <c r="Q1540" s="169"/>
    </row>
    <row r="1541" spans="1:17" s="170" customFormat="1" ht="10.5" x14ac:dyDescent="0.25">
      <c r="A1541" s="175"/>
      <c r="B1541" s="181" t="s">
        <v>5</v>
      </c>
      <c r="C1541" s="182" t="s">
        <v>1328</v>
      </c>
      <c r="D1541" s="182"/>
      <c r="E1541" s="182"/>
      <c r="F1541" s="182"/>
      <c r="G1541" s="182"/>
      <c r="H1541" s="182"/>
      <c r="I1541" s="182"/>
      <c r="J1541" s="182"/>
      <c r="K1541" s="182"/>
      <c r="L1541" s="182"/>
      <c r="M1541" s="182"/>
      <c r="N1541" s="182"/>
      <c r="O1541" s="182">
        <f>SUM(O1539:O1540)</f>
        <v>1.1533300978589978</v>
      </c>
      <c r="P1541" s="183"/>
      <c r="Q1541" s="169"/>
    </row>
    <row r="1542" spans="1:17" s="174" customFormat="1" ht="21" x14ac:dyDescent="0.25">
      <c r="A1542" s="171" t="str">
        <f>ORÇAMENTO!A312</f>
        <v>4.4.8</v>
      </c>
      <c r="B1542" s="172" t="str">
        <f>VLOOKUP(A1542,ORÇAMENTO!A:K,4,0)</f>
        <v>PINTURA DE LIGAÇÃO (SEM MATERIAL)</v>
      </c>
      <c r="C1542" s="173" t="str">
        <f>VLOOKUP(A1542,ORÇAMENTO!A:K,5,0)</f>
        <v>M²</v>
      </c>
      <c r="D1542" s="173">
        <f>SUM(E1559:O1559)</f>
        <v>38.444336595299951</v>
      </c>
      <c r="E1542" s="173" t="s">
        <v>1718</v>
      </c>
      <c r="F1542" s="173" t="s">
        <v>1719</v>
      </c>
      <c r="G1542" s="173" t="s">
        <v>1720</v>
      </c>
      <c r="H1542" s="173" t="s">
        <v>1721</v>
      </c>
      <c r="I1542" s="173" t="s">
        <v>1722</v>
      </c>
      <c r="J1542" s="173" t="s">
        <v>1723</v>
      </c>
      <c r="K1542" s="173" t="s">
        <v>1724</v>
      </c>
      <c r="L1542" s="173" t="s">
        <v>1725</v>
      </c>
      <c r="M1542" s="173" t="s">
        <v>1726</v>
      </c>
      <c r="N1542" s="173" t="s">
        <v>1727</v>
      </c>
      <c r="O1542" s="173" t="s">
        <v>1728</v>
      </c>
      <c r="P1542" s="169"/>
      <c r="Q1542" s="169"/>
    </row>
    <row r="1543" spans="1:17" s="170" customFormat="1" ht="10.5" x14ac:dyDescent="0.25">
      <c r="A1543" s="175"/>
      <c r="B1543" s="181"/>
      <c r="C1543" s="177"/>
      <c r="D1543" s="178"/>
      <c r="E1543" s="178"/>
      <c r="F1543" s="178"/>
      <c r="G1543" s="178"/>
      <c r="H1543" s="178"/>
      <c r="I1543" s="178"/>
      <c r="J1543" s="178"/>
      <c r="K1543" s="178"/>
      <c r="L1543" s="178"/>
      <c r="M1543" s="178"/>
      <c r="N1543" s="178"/>
      <c r="O1543" s="178"/>
      <c r="P1543" s="179"/>
      <c r="Q1543" s="169"/>
    </row>
    <row r="1544" spans="1:17" s="170" customFormat="1" ht="10.5" x14ac:dyDescent="0.25">
      <c r="A1544" s="175"/>
      <c r="B1544" s="176" t="s">
        <v>1874</v>
      </c>
      <c r="C1544" s="177"/>
      <c r="D1544" s="178"/>
      <c r="E1544" s="178"/>
      <c r="F1544" s="178"/>
      <c r="G1544" s="178"/>
      <c r="H1544" s="178"/>
      <c r="I1544" s="178"/>
      <c r="J1544" s="178"/>
      <c r="K1544" s="178"/>
      <c r="L1544" s="178"/>
      <c r="M1544" s="178"/>
      <c r="N1544" s="178"/>
      <c r="O1544" s="178"/>
      <c r="P1544" s="179"/>
      <c r="Q1544" s="169"/>
    </row>
    <row r="1545" spans="1:17" s="170" customFormat="1" ht="10.5" x14ac:dyDescent="0.25">
      <c r="A1545" s="175"/>
      <c r="B1545" s="176" t="str">
        <f t="shared" ref="B1545:B1557" si="34">B1515</f>
        <v>PV1-19</v>
      </c>
      <c r="C1545" s="177"/>
      <c r="D1545" s="178"/>
      <c r="E1545" s="178">
        <v>1.8</v>
      </c>
      <c r="F1545" s="178">
        <v>1.8</v>
      </c>
      <c r="G1545" s="178"/>
      <c r="H1545" s="178"/>
      <c r="I1545" s="178"/>
      <c r="J1545" s="178">
        <v>0.6</v>
      </c>
      <c r="K1545" s="178"/>
      <c r="L1545" s="178"/>
      <c r="M1545" s="178"/>
      <c r="N1545" s="178">
        <f t="shared" ref="N1545:N1557" si="35">(E1545*F1545)-(PI()*(J1545/2)^2)</f>
        <v>2.9572566611769187</v>
      </c>
      <c r="O1545" s="178"/>
      <c r="P1545" s="179"/>
      <c r="Q1545" s="169"/>
    </row>
    <row r="1546" spans="1:17" s="170" customFormat="1" ht="10.5" x14ac:dyDescent="0.25">
      <c r="A1546" s="175"/>
      <c r="B1546" s="176" t="str">
        <f t="shared" si="34"/>
        <v>PV1-20</v>
      </c>
      <c r="C1546" s="177"/>
      <c r="D1546" s="178"/>
      <c r="E1546" s="178">
        <v>1.8</v>
      </c>
      <c r="F1546" s="178">
        <v>1.8</v>
      </c>
      <c r="G1546" s="178"/>
      <c r="H1546" s="178"/>
      <c r="I1546" s="178"/>
      <c r="J1546" s="178">
        <v>0.6</v>
      </c>
      <c r="K1546" s="178"/>
      <c r="L1546" s="178"/>
      <c r="M1546" s="178"/>
      <c r="N1546" s="178">
        <f t="shared" si="35"/>
        <v>2.9572566611769187</v>
      </c>
      <c r="O1546" s="178"/>
      <c r="P1546" s="179"/>
      <c r="Q1546" s="169"/>
    </row>
    <row r="1547" spans="1:17" s="170" customFormat="1" ht="10.5" x14ac:dyDescent="0.25">
      <c r="A1547" s="175"/>
      <c r="B1547" s="176" t="str">
        <f t="shared" si="34"/>
        <v>PV1-22</v>
      </c>
      <c r="C1547" s="177"/>
      <c r="D1547" s="178"/>
      <c r="E1547" s="178">
        <v>1.8</v>
      </c>
      <c r="F1547" s="178">
        <v>1.8</v>
      </c>
      <c r="G1547" s="178"/>
      <c r="H1547" s="178"/>
      <c r="I1547" s="178"/>
      <c r="J1547" s="178">
        <v>0.6</v>
      </c>
      <c r="K1547" s="178"/>
      <c r="L1547" s="178"/>
      <c r="M1547" s="178"/>
      <c r="N1547" s="178">
        <f t="shared" si="35"/>
        <v>2.9572566611769187</v>
      </c>
      <c r="O1547" s="178"/>
      <c r="P1547" s="179"/>
      <c r="Q1547" s="169"/>
    </row>
    <row r="1548" spans="1:17" s="170" customFormat="1" ht="10.5" x14ac:dyDescent="0.25">
      <c r="A1548" s="175"/>
      <c r="B1548" s="176" t="str">
        <f t="shared" si="34"/>
        <v>PV1-24</v>
      </c>
      <c r="C1548" s="177"/>
      <c r="D1548" s="178"/>
      <c r="E1548" s="178">
        <v>1.8</v>
      </c>
      <c r="F1548" s="178">
        <v>1.8</v>
      </c>
      <c r="G1548" s="178"/>
      <c r="H1548" s="178"/>
      <c r="I1548" s="178"/>
      <c r="J1548" s="178">
        <v>0.6</v>
      </c>
      <c r="K1548" s="178"/>
      <c r="L1548" s="178"/>
      <c r="M1548" s="178"/>
      <c r="N1548" s="178">
        <f t="shared" si="35"/>
        <v>2.9572566611769187</v>
      </c>
      <c r="O1548" s="178"/>
      <c r="P1548" s="179"/>
      <c r="Q1548" s="169"/>
    </row>
    <row r="1549" spans="1:17" s="170" customFormat="1" ht="10.5" x14ac:dyDescent="0.25">
      <c r="A1549" s="175"/>
      <c r="B1549" s="176" t="str">
        <f t="shared" si="34"/>
        <v>PV1-25</v>
      </c>
      <c r="C1549" s="177"/>
      <c r="D1549" s="178"/>
      <c r="E1549" s="178">
        <v>1.8</v>
      </c>
      <c r="F1549" s="178">
        <v>1.8</v>
      </c>
      <c r="G1549" s="178"/>
      <c r="H1549" s="178"/>
      <c r="I1549" s="178"/>
      <c r="J1549" s="178">
        <v>0.6</v>
      </c>
      <c r="K1549" s="178"/>
      <c r="L1549" s="178"/>
      <c r="M1549" s="178"/>
      <c r="N1549" s="178">
        <f t="shared" si="35"/>
        <v>2.9572566611769187</v>
      </c>
      <c r="O1549" s="178"/>
      <c r="P1549" s="179"/>
      <c r="Q1549" s="169"/>
    </row>
    <row r="1550" spans="1:17" s="170" customFormat="1" ht="10.5" x14ac:dyDescent="0.25">
      <c r="A1550" s="175"/>
      <c r="B1550" s="176" t="str">
        <f t="shared" si="34"/>
        <v>PV1-30</v>
      </c>
      <c r="C1550" s="177"/>
      <c r="D1550" s="178"/>
      <c r="E1550" s="178">
        <v>1.8</v>
      </c>
      <c r="F1550" s="178">
        <v>1.8</v>
      </c>
      <c r="G1550" s="178"/>
      <c r="H1550" s="178"/>
      <c r="I1550" s="178"/>
      <c r="J1550" s="178">
        <v>0.6</v>
      </c>
      <c r="K1550" s="178"/>
      <c r="L1550" s="178"/>
      <c r="M1550" s="178"/>
      <c r="N1550" s="178">
        <f t="shared" si="35"/>
        <v>2.9572566611769187</v>
      </c>
      <c r="O1550" s="178"/>
      <c r="P1550" s="179"/>
      <c r="Q1550" s="169"/>
    </row>
    <row r="1551" spans="1:17" s="170" customFormat="1" ht="10.5" x14ac:dyDescent="0.25">
      <c r="A1551" s="175"/>
      <c r="B1551" s="176" t="str">
        <f t="shared" si="34"/>
        <v>PV2-24</v>
      </c>
      <c r="C1551" s="177"/>
      <c r="D1551" s="178"/>
      <c r="E1551" s="178">
        <v>1.8</v>
      </c>
      <c r="F1551" s="178">
        <v>1.8</v>
      </c>
      <c r="G1551" s="178"/>
      <c r="H1551" s="178"/>
      <c r="I1551" s="178"/>
      <c r="J1551" s="178">
        <v>0.6</v>
      </c>
      <c r="K1551" s="178"/>
      <c r="L1551" s="178"/>
      <c r="M1551" s="178"/>
      <c r="N1551" s="178">
        <f t="shared" si="35"/>
        <v>2.9572566611769187</v>
      </c>
      <c r="O1551" s="178"/>
      <c r="P1551" s="179"/>
      <c r="Q1551" s="169"/>
    </row>
    <row r="1552" spans="1:17" s="170" customFormat="1" ht="10.5" x14ac:dyDescent="0.25">
      <c r="A1552" s="175"/>
      <c r="B1552" s="176" t="str">
        <f t="shared" si="34"/>
        <v>PV3-21</v>
      </c>
      <c r="C1552" s="177"/>
      <c r="D1552" s="178"/>
      <c r="E1552" s="178">
        <v>1.8</v>
      </c>
      <c r="F1552" s="178">
        <v>1.8</v>
      </c>
      <c r="G1552" s="178"/>
      <c r="H1552" s="178"/>
      <c r="I1552" s="178"/>
      <c r="J1552" s="178">
        <v>0.6</v>
      </c>
      <c r="K1552" s="178"/>
      <c r="L1552" s="178"/>
      <c r="M1552" s="178"/>
      <c r="N1552" s="178">
        <f t="shared" si="35"/>
        <v>2.9572566611769187</v>
      </c>
      <c r="O1552" s="178"/>
      <c r="P1552" s="179"/>
      <c r="Q1552" s="169"/>
    </row>
    <row r="1553" spans="1:17" s="170" customFormat="1" ht="10.5" x14ac:dyDescent="0.25">
      <c r="A1553" s="175"/>
      <c r="B1553" s="176" t="str">
        <f t="shared" si="34"/>
        <v>PV4-23</v>
      </c>
      <c r="C1553" s="177"/>
      <c r="D1553" s="178"/>
      <c r="E1553" s="178">
        <v>1.8</v>
      </c>
      <c r="F1553" s="178">
        <v>1.8</v>
      </c>
      <c r="G1553" s="178"/>
      <c r="H1553" s="178"/>
      <c r="I1553" s="178"/>
      <c r="J1553" s="178">
        <v>0.6</v>
      </c>
      <c r="K1553" s="178"/>
      <c r="L1553" s="178"/>
      <c r="M1553" s="178"/>
      <c r="N1553" s="178">
        <f t="shared" si="35"/>
        <v>2.9572566611769187</v>
      </c>
      <c r="O1553" s="178"/>
      <c r="P1553" s="179"/>
      <c r="Q1553" s="169"/>
    </row>
    <row r="1554" spans="1:17" s="170" customFormat="1" ht="10.5" x14ac:dyDescent="0.25">
      <c r="A1554" s="175"/>
      <c r="B1554" s="176" t="str">
        <f t="shared" si="34"/>
        <v>PV5-21</v>
      </c>
      <c r="C1554" s="177"/>
      <c r="D1554" s="178"/>
      <c r="E1554" s="178">
        <v>1.8</v>
      </c>
      <c r="F1554" s="178">
        <v>1.8</v>
      </c>
      <c r="G1554" s="178"/>
      <c r="H1554" s="178"/>
      <c r="I1554" s="178"/>
      <c r="J1554" s="178">
        <v>0.6</v>
      </c>
      <c r="K1554" s="178"/>
      <c r="L1554" s="178"/>
      <c r="M1554" s="178"/>
      <c r="N1554" s="178">
        <f t="shared" si="35"/>
        <v>2.9572566611769187</v>
      </c>
      <c r="O1554" s="178"/>
      <c r="P1554" s="179"/>
      <c r="Q1554" s="169"/>
    </row>
    <row r="1555" spans="1:17" s="170" customFormat="1" ht="10.5" x14ac:dyDescent="0.25">
      <c r="A1555" s="175"/>
      <c r="B1555" s="176" t="str">
        <f t="shared" si="34"/>
        <v>PV5-23</v>
      </c>
      <c r="C1555" s="177"/>
      <c r="D1555" s="178"/>
      <c r="E1555" s="178">
        <v>1.8</v>
      </c>
      <c r="F1555" s="178">
        <v>1.8</v>
      </c>
      <c r="G1555" s="178"/>
      <c r="H1555" s="178"/>
      <c r="I1555" s="178"/>
      <c r="J1555" s="178">
        <v>0.6</v>
      </c>
      <c r="K1555" s="178"/>
      <c r="L1555" s="178"/>
      <c r="M1555" s="178"/>
      <c r="N1555" s="178">
        <f t="shared" si="35"/>
        <v>2.9572566611769187</v>
      </c>
      <c r="O1555" s="178"/>
      <c r="P1555" s="179"/>
      <c r="Q1555" s="169"/>
    </row>
    <row r="1556" spans="1:17" s="170" customFormat="1" ht="10.5" x14ac:dyDescent="0.25">
      <c r="A1556" s="175"/>
      <c r="B1556" s="176" t="str">
        <f t="shared" si="34"/>
        <v>PV6-21</v>
      </c>
      <c r="C1556" s="177"/>
      <c r="D1556" s="178"/>
      <c r="E1556" s="178">
        <v>1.8</v>
      </c>
      <c r="F1556" s="178">
        <v>1.8</v>
      </c>
      <c r="G1556" s="178"/>
      <c r="H1556" s="178"/>
      <c r="I1556" s="178"/>
      <c r="J1556" s="178">
        <v>0.6</v>
      </c>
      <c r="K1556" s="178"/>
      <c r="L1556" s="178"/>
      <c r="M1556" s="178"/>
      <c r="N1556" s="178">
        <f t="shared" si="35"/>
        <v>2.9572566611769187</v>
      </c>
      <c r="O1556" s="178"/>
      <c r="P1556" s="179"/>
      <c r="Q1556" s="169"/>
    </row>
    <row r="1557" spans="1:17" s="170" customFormat="1" ht="10.5" x14ac:dyDescent="0.25">
      <c r="A1557" s="175"/>
      <c r="B1557" s="176" t="str">
        <f t="shared" si="34"/>
        <v>PV6-23</v>
      </c>
      <c r="C1557" s="177"/>
      <c r="D1557" s="178"/>
      <c r="E1557" s="178">
        <v>1.8</v>
      </c>
      <c r="F1557" s="178">
        <v>1.8</v>
      </c>
      <c r="G1557" s="178"/>
      <c r="H1557" s="178"/>
      <c r="I1557" s="178"/>
      <c r="J1557" s="178">
        <v>0.6</v>
      </c>
      <c r="K1557" s="178"/>
      <c r="L1557" s="178"/>
      <c r="M1557" s="178"/>
      <c r="N1557" s="178">
        <f t="shared" si="35"/>
        <v>2.9572566611769187</v>
      </c>
      <c r="O1557" s="178"/>
      <c r="P1557" s="179"/>
      <c r="Q1557" s="169"/>
    </row>
    <row r="1558" spans="1:17" s="170" customFormat="1" ht="10.5" x14ac:dyDescent="0.25">
      <c r="A1558" s="175"/>
      <c r="B1558" s="176"/>
      <c r="C1558" s="177"/>
      <c r="D1558" s="178"/>
      <c r="E1558" s="178"/>
      <c r="F1558" s="178"/>
      <c r="G1558" s="178"/>
      <c r="H1558" s="178"/>
      <c r="I1558" s="178"/>
      <c r="J1558" s="178"/>
      <c r="K1558" s="178"/>
      <c r="L1558" s="180"/>
      <c r="M1558" s="178"/>
      <c r="N1558" s="178"/>
      <c r="O1558" s="178"/>
      <c r="P1558" s="179"/>
      <c r="Q1558" s="169"/>
    </row>
    <row r="1559" spans="1:17" s="170" customFormat="1" ht="10.5" x14ac:dyDescent="0.25">
      <c r="A1559" s="175"/>
      <c r="B1559" s="181" t="s">
        <v>5</v>
      </c>
      <c r="C1559" s="182" t="s">
        <v>1328</v>
      </c>
      <c r="D1559" s="182"/>
      <c r="E1559" s="182"/>
      <c r="F1559" s="182"/>
      <c r="G1559" s="182"/>
      <c r="H1559" s="182"/>
      <c r="I1559" s="182"/>
      <c r="J1559" s="182"/>
      <c r="K1559" s="182"/>
      <c r="L1559" s="182"/>
      <c r="M1559" s="182"/>
      <c r="N1559" s="182">
        <f>SUM(N1545:N1558)</f>
        <v>38.444336595299951</v>
      </c>
      <c r="O1559" s="182"/>
      <c r="P1559" s="183"/>
      <c r="Q1559" s="169"/>
    </row>
    <row r="1560" spans="1:17" s="174" customFormat="1" ht="21" x14ac:dyDescent="0.25">
      <c r="A1560" s="171" t="str">
        <f>ORÇAMENTO!A313</f>
        <v>4.4.9</v>
      </c>
      <c r="B1560" s="172" t="str">
        <f>VLOOKUP(A1560,ORÇAMENTO!A:K,4,0)</f>
        <v>IMPRIMAÇÃO COM EMULSÃO ASFÁLTICA (SEM MATERIAL)</v>
      </c>
      <c r="C1560" s="173" t="str">
        <f>VLOOKUP(A1560,ORÇAMENTO!A:K,5,0)</f>
        <v>M²</v>
      </c>
      <c r="D1560" s="173">
        <f>SUM(E1577:O1577)</f>
        <v>38.444336595299951</v>
      </c>
      <c r="E1560" s="173" t="s">
        <v>1718</v>
      </c>
      <c r="F1560" s="173" t="s">
        <v>1719</v>
      </c>
      <c r="G1560" s="173" t="s">
        <v>1720</v>
      </c>
      <c r="H1560" s="173" t="s">
        <v>1721</v>
      </c>
      <c r="I1560" s="173" t="s">
        <v>1722</v>
      </c>
      <c r="J1560" s="173" t="s">
        <v>1723</v>
      </c>
      <c r="K1560" s="173" t="s">
        <v>1724</v>
      </c>
      <c r="L1560" s="173" t="s">
        <v>1725</v>
      </c>
      <c r="M1560" s="173" t="s">
        <v>1726</v>
      </c>
      <c r="N1560" s="173" t="s">
        <v>1727</v>
      </c>
      <c r="O1560" s="173" t="s">
        <v>1728</v>
      </c>
      <c r="P1560" s="169"/>
      <c r="Q1560" s="169"/>
    </row>
    <row r="1561" spans="1:17" s="170" customFormat="1" ht="10.5" x14ac:dyDescent="0.25">
      <c r="A1561" s="175"/>
      <c r="B1561" s="181"/>
      <c r="C1561" s="177"/>
      <c r="D1561" s="178"/>
      <c r="E1561" s="178"/>
      <c r="F1561" s="178"/>
      <c r="G1561" s="178"/>
      <c r="H1561" s="178"/>
      <c r="I1561" s="178"/>
      <c r="J1561" s="178"/>
      <c r="K1561" s="178"/>
      <c r="L1561" s="178"/>
      <c r="M1561" s="178"/>
      <c r="N1561" s="178"/>
      <c r="O1561" s="178"/>
      <c r="P1561" s="179"/>
      <c r="Q1561" s="169"/>
    </row>
    <row r="1562" spans="1:17" s="170" customFormat="1" ht="10.5" x14ac:dyDescent="0.25">
      <c r="A1562" s="175"/>
      <c r="B1562" s="176" t="str">
        <f t="shared" ref="B1562:B1575" si="36">B1544</f>
        <v>ÁREA = ÁREA DEMOLIDA - ÁREA DO PV</v>
      </c>
      <c r="C1562" s="177"/>
      <c r="D1562" s="178"/>
      <c r="E1562" s="178"/>
      <c r="F1562" s="178"/>
      <c r="G1562" s="178"/>
      <c r="H1562" s="178"/>
      <c r="I1562" s="178"/>
      <c r="J1562" s="178"/>
      <c r="K1562" s="178"/>
      <c r="L1562" s="178"/>
      <c r="M1562" s="178"/>
      <c r="N1562" s="178"/>
      <c r="O1562" s="178"/>
      <c r="P1562" s="179"/>
      <c r="Q1562" s="169"/>
    </row>
    <row r="1563" spans="1:17" s="170" customFormat="1" ht="10.5" x14ac:dyDescent="0.25">
      <c r="A1563" s="175"/>
      <c r="B1563" s="176" t="str">
        <f t="shared" si="36"/>
        <v>PV1-19</v>
      </c>
      <c r="C1563" s="177"/>
      <c r="D1563" s="178"/>
      <c r="E1563" s="178">
        <v>1.8</v>
      </c>
      <c r="F1563" s="178">
        <v>1.8</v>
      </c>
      <c r="G1563" s="178"/>
      <c r="H1563" s="178"/>
      <c r="I1563" s="178"/>
      <c r="J1563" s="178">
        <v>0.6</v>
      </c>
      <c r="K1563" s="178"/>
      <c r="L1563" s="178"/>
      <c r="M1563" s="178"/>
      <c r="N1563" s="178">
        <f t="shared" ref="N1563:N1575" si="37">(E1563*F1563)-(PI()*(J1563/2)^2)</f>
        <v>2.9572566611769187</v>
      </c>
      <c r="O1563" s="178"/>
      <c r="P1563" s="179"/>
      <c r="Q1563" s="169"/>
    </row>
    <row r="1564" spans="1:17" s="170" customFormat="1" ht="10.5" x14ac:dyDescent="0.25">
      <c r="A1564" s="175"/>
      <c r="B1564" s="176" t="str">
        <f t="shared" si="36"/>
        <v>PV1-20</v>
      </c>
      <c r="C1564" s="177"/>
      <c r="D1564" s="178"/>
      <c r="E1564" s="178">
        <v>1.8</v>
      </c>
      <c r="F1564" s="178">
        <v>1.8</v>
      </c>
      <c r="G1564" s="178"/>
      <c r="H1564" s="178"/>
      <c r="I1564" s="178"/>
      <c r="J1564" s="178">
        <v>0.6</v>
      </c>
      <c r="K1564" s="178"/>
      <c r="L1564" s="178"/>
      <c r="M1564" s="178"/>
      <c r="N1564" s="178">
        <f t="shared" si="37"/>
        <v>2.9572566611769187</v>
      </c>
      <c r="O1564" s="178"/>
      <c r="P1564" s="179"/>
      <c r="Q1564" s="169"/>
    </row>
    <row r="1565" spans="1:17" s="170" customFormat="1" ht="10.5" x14ac:dyDescent="0.25">
      <c r="A1565" s="175"/>
      <c r="B1565" s="176" t="str">
        <f t="shared" si="36"/>
        <v>PV1-22</v>
      </c>
      <c r="C1565" s="177"/>
      <c r="D1565" s="178"/>
      <c r="E1565" s="178">
        <v>1.8</v>
      </c>
      <c r="F1565" s="178">
        <v>1.8</v>
      </c>
      <c r="G1565" s="178"/>
      <c r="H1565" s="178"/>
      <c r="I1565" s="178"/>
      <c r="J1565" s="178">
        <v>0.6</v>
      </c>
      <c r="K1565" s="178"/>
      <c r="L1565" s="178"/>
      <c r="M1565" s="178"/>
      <c r="N1565" s="178">
        <f t="shared" si="37"/>
        <v>2.9572566611769187</v>
      </c>
      <c r="O1565" s="178"/>
      <c r="P1565" s="179"/>
      <c r="Q1565" s="169"/>
    </row>
    <row r="1566" spans="1:17" s="170" customFormat="1" ht="10.5" x14ac:dyDescent="0.25">
      <c r="A1566" s="175"/>
      <c r="B1566" s="176" t="str">
        <f t="shared" si="36"/>
        <v>PV1-24</v>
      </c>
      <c r="C1566" s="177"/>
      <c r="D1566" s="178"/>
      <c r="E1566" s="178">
        <v>1.8</v>
      </c>
      <c r="F1566" s="178">
        <v>1.8</v>
      </c>
      <c r="G1566" s="178"/>
      <c r="H1566" s="178"/>
      <c r="I1566" s="178"/>
      <c r="J1566" s="178">
        <v>0.6</v>
      </c>
      <c r="K1566" s="178"/>
      <c r="L1566" s="178"/>
      <c r="M1566" s="178"/>
      <c r="N1566" s="178">
        <f t="shared" si="37"/>
        <v>2.9572566611769187</v>
      </c>
      <c r="O1566" s="178"/>
      <c r="P1566" s="179"/>
      <c r="Q1566" s="169"/>
    </row>
    <row r="1567" spans="1:17" s="170" customFormat="1" ht="10.5" x14ac:dyDescent="0.25">
      <c r="A1567" s="175"/>
      <c r="B1567" s="176" t="str">
        <f t="shared" si="36"/>
        <v>PV1-25</v>
      </c>
      <c r="C1567" s="177"/>
      <c r="D1567" s="178"/>
      <c r="E1567" s="178">
        <v>1.8</v>
      </c>
      <c r="F1567" s="178">
        <v>1.8</v>
      </c>
      <c r="G1567" s="178"/>
      <c r="H1567" s="178"/>
      <c r="I1567" s="178"/>
      <c r="J1567" s="178">
        <v>0.6</v>
      </c>
      <c r="K1567" s="178"/>
      <c r="L1567" s="178"/>
      <c r="M1567" s="178"/>
      <c r="N1567" s="178">
        <f t="shared" si="37"/>
        <v>2.9572566611769187</v>
      </c>
      <c r="O1567" s="178"/>
      <c r="P1567" s="179"/>
      <c r="Q1567" s="169"/>
    </row>
    <row r="1568" spans="1:17" s="170" customFormat="1" ht="10.5" x14ac:dyDescent="0.25">
      <c r="A1568" s="175"/>
      <c r="B1568" s="176" t="str">
        <f t="shared" si="36"/>
        <v>PV1-30</v>
      </c>
      <c r="C1568" s="177"/>
      <c r="D1568" s="178"/>
      <c r="E1568" s="178">
        <v>1.8</v>
      </c>
      <c r="F1568" s="178">
        <v>1.8</v>
      </c>
      <c r="G1568" s="178"/>
      <c r="H1568" s="178"/>
      <c r="I1568" s="178"/>
      <c r="J1568" s="178">
        <v>0.6</v>
      </c>
      <c r="K1568" s="178"/>
      <c r="L1568" s="178"/>
      <c r="M1568" s="178"/>
      <c r="N1568" s="178">
        <f t="shared" si="37"/>
        <v>2.9572566611769187</v>
      </c>
      <c r="O1568" s="178"/>
      <c r="P1568" s="179"/>
      <c r="Q1568" s="169"/>
    </row>
    <row r="1569" spans="1:17" s="170" customFormat="1" ht="10.5" x14ac:dyDescent="0.25">
      <c r="A1569" s="175"/>
      <c r="B1569" s="176" t="str">
        <f t="shared" si="36"/>
        <v>PV2-24</v>
      </c>
      <c r="C1569" s="177"/>
      <c r="D1569" s="178"/>
      <c r="E1569" s="178">
        <v>1.8</v>
      </c>
      <c r="F1569" s="178">
        <v>1.8</v>
      </c>
      <c r="G1569" s="178"/>
      <c r="H1569" s="178"/>
      <c r="I1569" s="178"/>
      <c r="J1569" s="178">
        <v>0.6</v>
      </c>
      <c r="K1569" s="178"/>
      <c r="L1569" s="178"/>
      <c r="M1569" s="178"/>
      <c r="N1569" s="178">
        <f t="shared" si="37"/>
        <v>2.9572566611769187</v>
      </c>
      <c r="O1569" s="178"/>
      <c r="P1569" s="179"/>
      <c r="Q1569" s="169"/>
    </row>
    <row r="1570" spans="1:17" s="170" customFormat="1" ht="10.5" x14ac:dyDescent="0.25">
      <c r="A1570" s="175"/>
      <c r="B1570" s="176" t="str">
        <f t="shared" si="36"/>
        <v>PV3-21</v>
      </c>
      <c r="C1570" s="177"/>
      <c r="D1570" s="178"/>
      <c r="E1570" s="178">
        <v>1.8</v>
      </c>
      <c r="F1570" s="178">
        <v>1.8</v>
      </c>
      <c r="G1570" s="178"/>
      <c r="H1570" s="178"/>
      <c r="I1570" s="178"/>
      <c r="J1570" s="178">
        <v>0.6</v>
      </c>
      <c r="K1570" s="178"/>
      <c r="L1570" s="178"/>
      <c r="M1570" s="178"/>
      <c r="N1570" s="178">
        <f t="shared" si="37"/>
        <v>2.9572566611769187</v>
      </c>
      <c r="O1570" s="178"/>
      <c r="P1570" s="179"/>
      <c r="Q1570" s="169"/>
    </row>
    <row r="1571" spans="1:17" s="170" customFormat="1" ht="10.5" x14ac:dyDescent="0.25">
      <c r="A1571" s="175"/>
      <c r="B1571" s="176" t="str">
        <f t="shared" si="36"/>
        <v>PV4-23</v>
      </c>
      <c r="C1571" s="177"/>
      <c r="D1571" s="178"/>
      <c r="E1571" s="178">
        <v>1.8</v>
      </c>
      <c r="F1571" s="178">
        <v>1.8</v>
      </c>
      <c r="G1571" s="178"/>
      <c r="H1571" s="178"/>
      <c r="I1571" s="178"/>
      <c r="J1571" s="178">
        <v>0.6</v>
      </c>
      <c r="K1571" s="178"/>
      <c r="L1571" s="178"/>
      <c r="M1571" s="178"/>
      <c r="N1571" s="178">
        <f t="shared" si="37"/>
        <v>2.9572566611769187</v>
      </c>
      <c r="O1571" s="178"/>
      <c r="P1571" s="179"/>
      <c r="Q1571" s="169"/>
    </row>
    <row r="1572" spans="1:17" s="170" customFormat="1" ht="10.5" x14ac:dyDescent="0.25">
      <c r="A1572" s="175"/>
      <c r="B1572" s="176" t="str">
        <f t="shared" si="36"/>
        <v>PV5-21</v>
      </c>
      <c r="C1572" s="177"/>
      <c r="D1572" s="178"/>
      <c r="E1572" s="178">
        <v>1.8</v>
      </c>
      <c r="F1572" s="178">
        <v>1.8</v>
      </c>
      <c r="G1572" s="178"/>
      <c r="H1572" s="178"/>
      <c r="I1572" s="178"/>
      <c r="J1572" s="178">
        <v>0.6</v>
      </c>
      <c r="K1572" s="178"/>
      <c r="L1572" s="178"/>
      <c r="M1572" s="178"/>
      <c r="N1572" s="178">
        <f t="shared" si="37"/>
        <v>2.9572566611769187</v>
      </c>
      <c r="O1572" s="178"/>
      <c r="P1572" s="179"/>
      <c r="Q1572" s="169"/>
    </row>
    <row r="1573" spans="1:17" s="170" customFormat="1" ht="10.5" x14ac:dyDescent="0.25">
      <c r="A1573" s="175"/>
      <c r="B1573" s="176" t="str">
        <f t="shared" si="36"/>
        <v>PV5-23</v>
      </c>
      <c r="C1573" s="177"/>
      <c r="D1573" s="178"/>
      <c r="E1573" s="178">
        <v>1.8</v>
      </c>
      <c r="F1573" s="178">
        <v>1.8</v>
      </c>
      <c r="G1573" s="178"/>
      <c r="H1573" s="178"/>
      <c r="I1573" s="178"/>
      <c r="J1573" s="178">
        <v>0.6</v>
      </c>
      <c r="K1573" s="178"/>
      <c r="L1573" s="178"/>
      <c r="M1573" s="178"/>
      <c r="N1573" s="178">
        <f t="shared" si="37"/>
        <v>2.9572566611769187</v>
      </c>
      <c r="O1573" s="178"/>
      <c r="P1573" s="179"/>
      <c r="Q1573" s="169"/>
    </row>
    <row r="1574" spans="1:17" s="170" customFormat="1" ht="10.5" x14ac:dyDescent="0.25">
      <c r="A1574" s="175"/>
      <c r="B1574" s="176" t="str">
        <f t="shared" si="36"/>
        <v>PV6-21</v>
      </c>
      <c r="C1574" s="177"/>
      <c r="D1574" s="178"/>
      <c r="E1574" s="178">
        <v>1.8</v>
      </c>
      <c r="F1574" s="178">
        <v>1.8</v>
      </c>
      <c r="G1574" s="178"/>
      <c r="H1574" s="178"/>
      <c r="I1574" s="178"/>
      <c r="J1574" s="178">
        <v>0.6</v>
      </c>
      <c r="K1574" s="178"/>
      <c r="L1574" s="178"/>
      <c r="M1574" s="178"/>
      <c r="N1574" s="178">
        <f t="shared" si="37"/>
        <v>2.9572566611769187</v>
      </c>
      <c r="O1574" s="178"/>
      <c r="P1574" s="179"/>
      <c r="Q1574" s="169"/>
    </row>
    <row r="1575" spans="1:17" s="170" customFormat="1" ht="10.5" x14ac:dyDescent="0.25">
      <c r="A1575" s="175"/>
      <c r="B1575" s="176" t="str">
        <f t="shared" si="36"/>
        <v>PV6-23</v>
      </c>
      <c r="C1575" s="177"/>
      <c r="D1575" s="178"/>
      <c r="E1575" s="178">
        <v>1.8</v>
      </c>
      <c r="F1575" s="178">
        <v>1.8</v>
      </c>
      <c r="G1575" s="178"/>
      <c r="H1575" s="178"/>
      <c r="I1575" s="178"/>
      <c r="J1575" s="178">
        <v>0.6</v>
      </c>
      <c r="K1575" s="178"/>
      <c r="L1575" s="178"/>
      <c r="M1575" s="178"/>
      <c r="N1575" s="178">
        <f t="shared" si="37"/>
        <v>2.9572566611769187</v>
      </c>
      <c r="O1575" s="178"/>
      <c r="P1575" s="179"/>
      <c r="Q1575" s="169"/>
    </row>
    <row r="1576" spans="1:17" s="170" customFormat="1" ht="10.5" x14ac:dyDescent="0.25">
      <c r="A1576" s="175"/>
      <c r="B1576" s="176"/>
      <c r="C1576" s="177"/>
      <c r="D1576" s="178"/>
      <c r="E1576" s="178"/>
      <c r="F1576" s="178"/>
      <c r="G1576" s="178"/>
      <c r="H1576" s="178"/>
      <c r="I1576" s="178"/>
      <c r="J1576" s="178"/>
      <c r="K1576" s="178"/>
      <c r="L1576" s="180"/>
      <c r="M1576" s="178"/>
      <c r="N1576" s="178"/>
      <c r="O1576" s="178"/>
      <c r="P1576" s="179"/>
      <c r="Q1576" s="169"/>
    </row>
    <row r="1577" spans="1:17" s="170" customFormat="1" ht="10.5" x14ac:dyDescent="0.25">
      <c r="A1577" s="175"/>
      <c r="B1577" s="181" t="s">
        <v>5</v>
      </c>
      <c r="C1577" s="182" t="s">
        <v>1328</v>
      </c>
      <c r="D1577" s="182"/>
      <c r="E1577" s="182"/>
      <c r="F1577" s="182"/>
      <c r="G1577" s="182"/>
      <c r="H1577" s="182"/>
      <c r="I1577" s="182"/>
      <c r="J1577" s="182"/>
      <c r="K1577" s="182"/>
      <c r="L1577" s="182"/>
      <c r="M1577" s="182"/>
      <c r="N1577" s="182">
        <f>SUM(N1563:N1576)</f>
        <v>38.444336595299951</v>
      </c>
      <c r="O1577" s="182"/>
      <c r="P1577" s="183"/>
      <c r="Q1577" s="169"/>
    </row>
    <row r="1578" spans="1:17" s="174" customFormat="1" ht="21" x14ac:dyDescent="0.25">
      <c r="A1578" s="171" t="str">
        <f>ORÇAMENTO!A314</f>
        <v>4.4.10</v>
      </c>
      <c r="B1578" s="172" t="str">
        <f>VLOOKUP(A1578,ORÇAMENTO!A:K,4,0)</f>
        <v>BASE OU SUB-BASE DE BRITA GRADUADA COM BRITA COMERCIAL</v>
      </c>
      <c r="C1578" s="173" t="str">
        <f>VLOOKUP(A1578,ORÇAMENTO!A:K,5,0)</f>
        <v>M³</v>
      </c>
      <c r="D1578" s="173">
        <f>SUM(E1595:O1595)</f>
        <v>4.9681911907772225</v>
      </c>
      <c r="E1578" s="173" t="s">
        <v>1718</v>
      </c>
      <c r="F1578" s="173" t="s">
        <v>1719</v>
      </c>
      <c r="G1578" s="173" t="s">
        <v>1720</v>
      </c>
      <c r="H1578" s="173" t="s">
        <v>1721</v>
      </c>
      <c r="I1578" s="173" t="s">
        <v>1722</v>
      </c>
      <c r="J1578" s="173" t="s">
        <v>1723</v>
      </c>
      <c r="K1578" s="173" t="s">
        <v>1724</v>
      </c>
      <c r="L1578" s="173" t="s">
        <v>1725</v>
      </c>
      <c r="M1578" s="173" t="s">
        <v>1726</v>
      </c>
      <c r="N1578" s="173" t="s">
        <v>1727</v>
      </c>
      <c r="O1578" s="173" t="s">
        <v>1728</v>
      </c>
      <c r="P1578" s="169"/>
      <c r="Q1578" s="169"/>
    </row>
    <row r="1579" spans="1:17" s="170" customFormat="1" ht="10.5" x14ac:dyDescent="0.25">
      <c r="A1579" s="175"/>
      <c r="B1579" s="181" t="s">
        <v>1875</v>
      </c>
      <c r="C1579" s="177"/>
      <c r="D1579" s="178"/>
      <c r="E1579" s="178"/>
      <c r="F1579" s="178"/>
      <c r="G1579" s="178">
        <v>0.15</v>
      </c>
      <c r="H1579" s="178"/>
      <c r="I1579" s="178"/>
      <c r="J1579" s="178"/>
      <c r="K1579" s="178"/>
      <c r="L1579" s="178"/>
      <c r="M1579" s="178"/>
      <c r="N1579" s="178"/>
      <c r="O1579" s="178"/>
      <c r="P1579" s="179"/>
      <c r="Q1579" s="169"/>
    </row>
    <row r="1580" spans="1:17" s="170" customFormat="1" ht="10.5" x14ac:dyDescent="0.25">
      <c r="A1580" s="175"/>
      <c r="B1580" s="176" t="s">
        <v>1876</v>
      </c>
      <c r="C1580" s="177"/>
      <c r="D1580" s="178"/>
      <c r="E1580" s="178"/>
      <c r="F1580" s="178"/>
      <c r="G1580" s="178"/>
      <c r="H1580" s="178"/>
      <c r="I1580" s="178"/>
      <c r="J1580" s="178"/>
      <c r="K1580" s="178"/>
      <c r="L1580" s="178"/>
      <c r="M1580" s="178"/>
      <c r="N1580" s="178"/>
      <c r="O1580" s="178"/>
      <c r="P1580" s="179"/>
      <c r="Q1580" s="169"/>
    </row>
    <row r="1581" spans="1:17" s="170" customFormat="1" ht="10.5" x14ac:dyDescent="0.25">
      <c r="A1581" s="175"/>
      <c r="B1581" s="176" t="str">
        <f t="shared" ref="B1581:B1593" si="38">B1515</f>
        <v>PV1-19</v>
      </c>
      <c r="C1581" s="177"/>
      <c r="D1581" s="178"/>
      <c r="E1581" s="178">
        <v>1.8</v>
      </c>
      <c r="F1581" s="178">
        <v>1.8</v>
      </c>
      <c r="G1581" s="178">
        <f t="shared" ref="G1581:G1593" si="39">IF(G1515&gt;=$G$1579,$G$1579,G1515)</f>
        <v>0.15</v>
      </c>
      <c r="H1581" s="178"/>
      <c r="I1581" s="178"/>
      <c r="J1581" s="178">
        <v>0.6</v>
      </c>
      <c r="K1581" s="178"/>
      <c r="L1581" s="178"/>
      <c r="M1581" s="178"/>
      <c r="N1581" s="178">
        <f t="shared" ref="N1581:N1593" si="40">(E1581*F1581)-(PI()*(J1581/2)^2)</f>
        <v>2.9572566611769187</v>
      </c>
      <c r="O1581" s="178">
        <f t="shared" ref="O1581:O1593" si="41">N1581*G1581</f>
        <v>0.44358849917653781</v>
      </c>
      <c r="P1581" s="179"/>
      <c r="Q1581" s="169"/>
    </row>
    <row r="1582" spans="1:17" s="170" customFormat="1" ht="10.5" x14ac:dyDescent="0.25">
      <c r="A1582" s="175"/>
      <c r="B1582" s="176" t="str">
        <f t="shared" si="38"/>
        <v>PV1-20</v>
      </c>
      <c r="C1582" s="177"/>
      <c r="D1582" s="178"/>
      <c r="E1582" s="178">
        <v>1.8</v>
      </c>
      <c r="F1582" s="178">
        <v>1.8</v>
      </c>
      <c r="G1582" s="178">
        <f t="shared" si="39"/>
        <v>0.11999999999999991</v>
      </c>
      <c r="H1582" s="178"/>
      <c r="I1582" s="178"/>
      <c r="J1582" s="178">
        <v>0.6</v>
      </c>
      <c r="K1582" s="178"/>
      <c r="L1582" s="178"/>
      <c r="M1582" s="178"/>
      <c r="N1582" s="178">
        <f t="shared" si="40"/>
        <v>2.9572566611769187</v>
      </c>
      <c r="O1582" s="178">
        <f t="shared" si="41"/>
        <v>0.35487079934123</v>
      </c>
      <c r="P1582" s="179"/>
      <c r="Q1582" s="169"/>
    </row>
    <row r="1583" spans="1:17" s="170" customFormat="1" ht="10.5" x14ac:dyDescent="0.25">
      <c r="A1583" s="175"/>
      <c r="B1583" s="176" t="str">
        <f t="shared" si="38"/>
        <v>PV1-22</v>
      </c>
      <c r="C1583" s="177"/>
      <c r="D1583" s="178"/>
      <c r="E1583" s="178">
        <v>1.8</v>
      </c>
      <c r="F1583" s="178">
        <v>1.8</v>
      </c>
      <c r="G1583" s="178">
        <f t="shared" si="39"/>
        <v>4.999999999999985E-2</v>
      </c>
      <c r="H1583" s="178"/>
      <c r="I1583" s="178"/>
      <c r="J1583" s="178">
        <v>0.6</v>
      </c>
      <c r="K1583" s="178"/>
      <c r="L1583" s="178"/>
      <c r="M1583" s="178"/>
      <c r="N1583" s="178">
        <f t="shared" si="40"/>
        <v>2.9572566611769187</v>
      </c>
      <c r="O1583" s="178">
        <f t="shared" si="41"/>
        <v>0.14786283305884548</v>
      </c>
      <c r="P1583" s="179"/>
      <c r="Q1583" s="169"/>
    </row>
    <row r="1584" spans="1:17" s="170" customFormat="1" ht="10.5" x14ac:dyDescent="0.25">
      <c r="A1584" s="175"/>
      <c r="B1584" s="176" t="str">
        <f t="shared" si="38"/>
        <v>PV1-24</v>
      </c>
      <c r="C1584" s="177"/>
      <c r="D1584" s="178"/>
      <c r="E1584" s="178">
        <v>1.8</v>
      </c>
      <c r="F1584" s="178">
        <v>1.8</v>
      </c>
      <c r="G1584" s="178">
        <f t="shared" si="39"/>
        <v>6.9999999999999868E-2</v>
      </c>
      <c r="H1584" s="178"/>
      <c r="I1584" s="178"/>
      <c r="J1584" s="178">
        <v>0.6</v>
      </c>
      <c r="K1584" s="178"/>
      <c r="L1584" s="178"/>
      <c r="M1584" s="178"/>
      <c r="N1584" s="178">
        <f t="shared" si="40"/>
        <v>2.9572566611769187</v>
      </c>
      <c r="O1584" s="178">
        <f t="shared" si="41"/>
        <v>0.20700796628238391</v>
      </c>
      <c r="P1584" s="179"/>
      <c r="Q1584" s="169"/>
    </row>
    <row r="1585" spans="1:17" s="170" customFormat="1" ht="10.5" x14ac:dyDescent="0.25">
      <c r="A1585" s="175"/>
      <c r="B1585" s="176" t="str">
        <f t="shared" si="38"/>
        <v>PV1-25</v>
      </c>
      <c r="C1585" s="177"/>
      <c r="D1585" s="178"/>
      <c r="E1585" s="178">
        <v>1.8</v>
      </c>
      <c r="F1585" s="178">
        <v>1.8</v>
      </c>
      <c r="G1585" s="178">
        <f t="shared" si="39"/>
        <v>0.11999999999999991</v>
      </c>
      <c r="H1585" s="178"/>
      <c r="I1585" s="178"/>
      <c r="J1585" s="178">
        <v>0.6</v>
      </c>
      <c r="K1585" s="178"/>
      <c r="L1585" s="178"/>
      <c r="M1585" s="178"/>
      <c r="N1585" s="178">
        <f t="shared" si="40"/>
        <v>2.9572566611769187</v>
      </c>
      <c r="O1585" s="178">
        <f t="shared" si="41"/>
        <v>0.35487079934123</v>
      </c>
      <c r="P1585" s="179"/>
      <c r="Q1585" s="169"/>
    </row>
    <row r="1586" spans="1:17" s="170" customFormat="1" ht="10.5" x14ac:dyDescent="0.25">
      <c r="A1586" s="175"/>
      <c r="B1586" s="176" t="str">
        <f t="shared" si="38"/>
        <v>PV1-30</v>
      </c>
      <c r="C1586" s="177"/>
      <c r="D1586" s="178"/>
      <c r="E1586" s="178">
        <v>1.8</v>
      </c>
      <c r="F1586" s="178">
        <v>1.8</v>
      </c>
      <c r="G1586" s="178">
        <f t="shared" si="39"/>
        <v>0.11999999999999991</v>
      </c>
      <c r="H1586" s="178"/>
      <c r="I1586" s="178"/>
      <c r="J1586" s="178">
        <v>0.6</v>
      </c>
      <c r="K1586" s="178"/>
      <c r="L1586" s="178"/>
      <c r="M1586" s="178"/>
      <c r="N1586" s="178">
        <f t="shared" si="40"/>
        <v>2.9572566611769187</v>
      </c>
      <c r="O1586" s="178">
        <f t="shared" si="41"/>
        <v>0.35487079934123</v>
      </c>
      <c r="P1586" s="179"/>
      <c r="Q1586" s="169"/>
    </row>
    <row r="1587" spans="1:17" s="170" customFormat="1" ht="10.5" x14ac:dyDescent="0.25">
      <c r="A1587" s="175"/>
      <c r="B1587" s="176" t="str">
        <f t="shared" si="38"/>
        <v>PV2-24</v>
      </c>
      <c r="C1587" s="177"/>
      <c r="D1587" s="178"/>
      <c r="E1587" s="178">
        <v>1.8</v>
      </c>
      <c r="F1587" s="178">
        <v>1.8</v>
      </c>
      <c r="G1587" s="178">
        <f t="shared" si="39"/>
        <v>0.15</v>
      </c>
      <c r="H1587" s="178"/>
      <c r="I1587" s="178"/>
      <c r="J1587" s="178">
        <v>0.6</v>
      </c>
      <c r="K1587" s="178"/>
      <c r="L1587" s="178"/>
      <c r="M1587" s="178"/>
      <c r="N1587" s="178">
        <f t="shared" si="40"/>
        <v>2.9572566611769187</v>
      </c>
      <c r="O1587" s="178">
        <f t="shared" si="41"/>
        <v>0.44358849917653781</v>
      </c>
      <c r="P1587" s="179"/>
      <c r="Q1587" s="169"/>
    </row>
    <row r="1588" spans="1:17" s="170" customFormat="1" ht="10.5" x14ac:dyDescent="0.25">
      <c r="A1588" s="175"/>
      <c r="B1588" s="176" t="str">
        <f t="shared" si="38"/>
        <v>PV3-21</v>
      </c>
      <c r="C1588" s="177"/>
      <c r="D1588" s="178"/>
      <c r="E1588" s="178">
        <v>1.8</v>
      </c>
      <c r="F1588" s="178">
        <v>1.8</v>
      </c>
      <c r="G1588" s="178">
        <f t="shared" si="39"/>
        <v>0.15</v>
      </c>
      <c r="H1588" s="178"/>
      <c r="I1588" s="178"/>
      <c r="J1588" s="178">
        <v>0.6</v>
      </c>
      <c r="K1588" s="178"/>
      <c r="L1588" s="178"/>
      <c r="M1588" s="178"/>
      <c r="N1588" s="178">
        <f t="shared" si="40"/>
        <v>2.9572566611769187</v>
      </c>
      <c r="O1588" s="178">
        <f t="shared" si="41"/>
        <v>0.44358849917653781</v>
      </c>
      <c r="P1588" s="179"/>
      <c r="Q1588" s="169"/>
    </row>
    <row r="1589" spans="1:17" s="170" customFormat="1" ht="10.5" x14ac:dyDescent="0.25">
      <c r="A1589" s="175"/>
      <c r="B1589" s="176" t="str">
        <f t="shared" si="38"/>
        <v>PV4-23</v>
      </c>
      <c r="C1589" s="177"/>
      <c r="D1589" s="178"/>
      <c r="E1589" s="178">
        <v>1.8</v>
      </c>
      <c r="F1589" s="178">
        <v>1.8</v>
      </c>
      <c r="G1589" s="178">
        <f t="shared" si="39"/>
        <v>0.15</v>
      </c>
      <c r="H1589" s="178"/>
      <c r="I1589" s="178"/>
      <c r="J1589" s="178">
        <v>0.6</v>
      </c>
      <c r="K1589" s="178"/>
      <c r="L1589" s="178"/>
      <c r="M1589" s="178"/>
      <c r="N1589" s="178">
        <f t="shared" si="40"/>
        <v>2.9572566611769187</v>
      </c>
      <c r="O1589" s="178">
        <f t="shared" si="41"/>
        <v>0.44358849917653781</v>
      </c>
      <c r="P1589" s="179"/>
      <c r="Q1589" s="169"/>
    </row>
    <row r="1590" spans="1:17" s="170" customFormat="1" ht="10.5" x14ac:dyDescent="0.25">
      <c r="A1590" s="175"/>
      <c r="B1590" s="176" t="str">
        <f t="shared" si="38"/>
        <v>PV5-21</v>
      </c>
      <c r="C1590" s="177"/>
      <c r="D1590" s="178"/>
      <c r="E1590" s="178">
        <v>1.8</v>
      </c>
      <c r="F1590" s="178">
        <v>1.8</v>
      </c>
      <c r="G1590" s="178">
        <f t="shared" si="39"/>
        <v>0.15</v>
      </c>
      <c r="H1590" s="178"/>
      <c r="I1590" s="178"/>
      <c r="J1590" s="178">
        <v>0.6</v>
      </c>
      <c r="K1590" s="178"/>
      <c r="L1590" s="178"/>
      <c r="M1590" s="178"/>
      <c r="N1590" s="178">
        <f t="shared" si="40"/>
        <v>2.9572566611769187</v>
      </c>
      <c r="O1590" s="178">
        <f t="shared" si="41"/>
        <v>0.44358849917653781</v>
      </c>
      <c r="P1590" s="179"/>
      <c r="Q1590" s="169"/>
    </row>
    <row r="1591" spans="1:17" s="170" customFormat="1" ht="10.5" x14ac:dyDescent="0.25">
      <c r="A1591" s="175"/>
      <c r="B1591" s="176" t="str">
        <f t="shared" si="38"/>
        <v>PV5-23</v>
      </c>
      <c r="C1591" s="177"/>
      <c r="D1591" s="178"/>
      <c r="E1591" s="178">
        <v>1.8</v>
      </c>
      <c r="F1591" s="178">
        <v>1.8</v>
      </c>
      <c r="G1591" s="178">
        <f t="shared" si="39"/>
        <v>0.15</v>
      </c>
      <c r="H1591" s="178"/>
      <c r="I1591" s="178"/>
      <c r="J1591" s="178">
        <v>0.6</v>
      </c>
      <c r="K1591" s="178"/>
      <c r="L1591" s="178"/>
      <c r="M1591" s="178"/>
      <c r="N1591" s="178">
        <f t="shared" si="40"/>
        <v>2.9572566611769187</v>
      </c>
      <c r="O1591" s="178">
        <f t="shared" si="41"/>
        <v>0.44358849917653781</v>
      </c>
      <c r="P1591" s="179"/>
      <c r="Q1591" s="169"/>
    </row>
    <row r="1592" spans="1:17" s="170" customFormat="1" ht="10.5" x14ac:dyDescent="0.25">
      <c r="A1592" s="175"/>
      <c r="B1592" s="176" t="str">
        <f t="shared" si="38"/>
        <v>PV6-21</v>
      </c>
      <c r="C1592" s="177"/>
      <c r="D1592" s="178"/>
      <c r="E1592" s="178">
        <v>1.8</v>
      </c>
      <c r="F1592" s="178">
        <v>1.8</v>
      </c>
      <c r="G1592" s="178">
        <f t="shared" si="39"/>
        <v>0.15</v>
      </c>
      <c r="H1592" s="178"/>
      <c r="I1592" s="178"/>
      <c r="J1592" s="178">
        <v>0.6</v>
      </c>
      <c r="K1592" s="178"/>
      <c r="L1592" s="178"/>
      <c r="M1592" s="178"/>
      <c r="N1592" s="178">
        <f t="shared" si="40"/>
        <v>2.9572566611769187</v>
      </c>
      <c r="O1592" s="178">
        <f t="shared" si="41"/>
        <v>0.44358849917653781</v>
      </c>
      <c r="P1592" s="179"/>
      <c r="Q1592" s="169"/>
    </row>
    <row r="1593" spans="1:17" s="170" customFormat="1" ht="10.5" x14ac:dyDescent="0.25">
      <c r="A1593" s="175"/>
      <c r="B1593" s="176" t="str">
        <f t="shared" si="38"/>
        <v>PV6-23</v>
      </c>
      <c r="C1593" s="177"/>
      <c r="D1593" s="178"/>
      <c r="E1593" s="178">
        <v>1.8</v>
      </c>
      <c r="F1593" s="178">
        <v>1.8</v>
      </c>
      <c r="G1593" s="178">
        <f t="shared" si="39"/>
        <v>0.15</v>
      </c>
      <c r="H1593" s="178"/>
      <c r="I1593" s="178"/>
      <c r="J1593" s="178">
        <v>0.6</v>
      </c>
      <c r="K1593" s="178"/>
      <c r="L1593" s="178"/>
      <c r="M1593" s="178"/>
      <c r="N1593" s="178">
        <f t="shared" si="40"/>
        <v>2.9572566611769187</v>
      </c>
      <c r="O1593" s="178">
        <f t="shared" si="41"/>
        <v>0.44358849917653781</v>
      </c>
      <c r="P1593" s="179"/>
      <c r="Q1593" s="169"/>
    </row>
    <row r="1594" spans="1:17" s="170" customFormat="1" ht="10.5" x14ac:dyDescent="0.25">
      <c r="A1594" s="175"/>
      <c r="B1594" s="176"/>
      <c r="C1594" s="177"/>
      <c r="D1594" s="178"/>
      <c r="E1594" s="178"/>
      <c r="F1594" s="178"/>
      <c r="G1594" s="178"/>
      <c r="H1594" s="178"/>
      <c r="I1594" s="178"/>
      <c r="J1594" s="178"/>
      <c r="K1594" s="178"/>
      <c r="L1594" s="180"/>
      <c r="M1594" s="178"/>
      <c r="N1594" s="178"/>
      <c r="O1594" s="178"/>
      <c r="P1594" s="179"/>
      <c r="Q1594" s="169"/>
    </row>
    <row r="1595" spans="1:17" s="170" customFormat="1" ht="10.5" x14ac:dyDescent="0.25">
      <c r="A1595" s="175"/>
      <c r="B1595" s="181" t="s">
        <v>5</v>
      </c>
      <c r="C1595" s="182" t="s">
        <v>1328</v>
      </c>
      <c r="D1595" s="182"/>
      <c r="E1595" s="182"/>
      <c r="F1595" s="182"/>
      <c r="G1595" s="182"/>
      <c r="H1595" s="182"/>
      <c r="I1595" s="182"/>
      <c r="J1595" s="182"/>
      <c r="K1595" s="182"/>
      <c r="L1595" s="182"/>
      <c r="M1595" s="182"/>
      <c r="N1595" s="182"/>
      <c r="O1595" s="182">
        <f>SUM(O1581:O1594)</f>
        <v>4.9681911907772225</v>
      </c>
      <c r="P1595" s="183"/>
      <c r="Q1595" s="169"/>
    </row>
    <row r="1596" spans="1:17" s="174" customFormat="1" ht="52.5" x14ac:dyDescent="0.25">
      <c r="A1596" s="171" t="str">
        <f>ORÇAMENTO!A315</f>
        <v>4.4.11</v>
      </c>
      <c r="B1596" s="172" t="str">
        <f>VLOOKUP(A1596,ORÇAMENTO!A:K,4,0)</f>
        <v>EXECUÇÃO E COMPACTAÇÃO DE BASE E OU SUB BASE PARA PAVIMENTAÇÃO DE SOLO (PREDOMINANTEMENTE ARENOSO) COM CAL (TEOR DE 4%) - EXCLUSIVE SOLO, ESCAVAÇÃO, CARGA E TRANSPORTE.</v>
      </c>
      <c r="C1596" s="173" t="str">
        <f>VLOOKUP(A1596,ORÇAMENTO!A:K,5,0)</f>
        <v>M³</v>
      </c>
      <c r="D1596" s="173">
        <f>SUM(E1613:O1613)</f>
        <v>3.5487079934123029</v>
      </c>
      <c r="E1596" s="173" t="s">
        <v>1718</v>
      </c>
      <c r="F1596" s="173" t="s">
        <v>1719</v>
      </c>
      <c r="G1596" s="173" t="s">
        <v>1720</v>
      </c>
      <c r="H1596" s="173" t="s">
        <v>1721</v>
      </c>
      <c r="I1596" s="173" t="s">
        <v>1722</v>
      </c>
      <c r="J1596" s="173" t="s">
        <v>1723</v>
      </c>
      <c r="K1596" s="173" t="s">
        <v>1724</v>
      </c>
      <c r="L1596" s="173" t="s">
        <v>1725</v>
      </c>
      <c r="M1596" s="173" t="s">
        <v>1726</v>
      </c>
      <c r="N1596" s="173" t="s">
        <v>1727</v>
      </c>
      <c r="O1596" s="173" t="s">
        <v>1728</v>
      </c>
      <c r="P1596" s="169"/>
      <c r="Q1596" s="169"/>
    </row>
    <row r="1597" spans="1:17" s="170" customFormat="1" ht="10.5" x14ac:dyDescent="0.25">
      <c r="A1597" s="175"/>
      <c r="B1597" s="181" t="s">
        <v>1877</v>
      </c>
      <c r="C1597" s="177"/>
      <c r="D1597" s="178"/>
      <c r="E1597" s="178"/>
      <c r="F1597" s="178"/>
      <c r="G1597" s="177">
        <v>0.15</v>
      </c>
      <c r="H1597" s="178"/>
      <c r="I1597" s="178"/>
      <c r="J1597" s="178"/>
      <c r="K1597" s="178"/>
      <c r="L1597" s="178"/>
      <c r="M1597" s="178"/>
      <c r="N1597" s="178"/>
      <c r="O1597" s="178"/>
      <c r="P1597" s="179"/>
      <c r="Q1597" s="169"/>
    </row>
    <row r="1598" spans="1:17" s="170" customFormat="1" ht="10.5" x14ac:dyDescent="0.25">
      <c r="A1598" s="175"/>
      <c r="B1598" s="176" t="s">
        <v>1876</v>
      </c>
      <c r="C1598" s="177"/>
      <c r="D1598" s="178"/>
      <c r="E1598" s="178"/>
      <c r="F1598" s="178"/>
      <c r="G1598" s="178"/>
      <c r="H1598" s="178"/>
      <c r="I1598" s="178"/>
      <c r="J1598" s="178"/>
      <c r="K1598" s="178"/>
      <c r="L1598" s="178"/>
      <c r="M1598" s="178"/>
      <c r="N1598" s="178"/>
      <c r="O1598" s="178"/>
      <c r="P1598" s="179"/>
      <c r="Q1598" s="169"/>
    </row>
    <row r="1599" spans="1:17" s="170" customFormat="1" ht="10.5" x14ac:dyDescent="0.25">
      <c r="A1599" s="175"/>
      <c r="B1599" s="176" t="str">
        <f t="shared" ref="B1599:B1611" si="42">B1581</f>
        <v>PV1-19</v>
      </c>
      <c r="C1599" s="177"/>
      <c r="D1599" s="178"/>
      <c r="E1599" s="178">
        <v>1.8</v>
      </c>
      <c r="F1599" s="178">
        <v>1.8</v>
      </c>
      <c r="G1599" s="178">
        <f t="shared" ref="G1599:G1611" si="43">IF(G1515&gt;0.15,IF(G1515&gt;=0.3,0.15,G1515-0.15),0)</f>
        <v>0.15</v>
      </c>
      <c r="H1599" s="178"/>
      <c r="I1599" s="178"/>
      <c r="J1599" s="178">
        <v>0.6</v>
      </c>
      <c r="K1599" s="178"/>
      <c r="L1599" s="178"/>
      <c r="M1599" s="178"/>
      <c r="N1599" s="178">
        <f t="shared" ref="N1599:N1611" si="44">(E1599*F1599)-(PI()*(J1599/2)^2)</f>
        <v>2.9572566611769187</v>
      </c>
      <c r="O1599" s="178">
        <f t="shared" ref="O1599:O1611" si="45">N1599*G1599</f>
        <v>0.44358849917653781</v>
      </c>
      <c r="P1599" s="179"/>
      <c r="Q1599" s="169"/>
    </row>
    <row r="1600" spans="1:17" s="170" customFormat="1" ht="10.5" x14ac:dyDescent="0.25">
      <c r="A1600" s="175"/>
      <c r="B1600" s="176" t="str">
        <f t="shared" si="42"/>
        <v>PV1-20</v>
      </c>
      <c r="C1600" s="177"/>
      <c r="D1600" s="178"/>
      <c r="E1600" s="178">
        <v>1.8</v>
      </c>
      <c r="F1600" s="178">
        <v>1.8</v>
      </c>
      <c r="G1600" s="178">
        <f t="shared" si="43"/>
        <v>0</v>
      </c>
      <c r="H1600" s="178"/>
      <c r="I1600" s="178"/>
      <c r="J1600" s="178">
        <v>0.6</v>
      </c>
      <c r="K1600" s="178"/>
      <c r="L1600" s="178"/>
      <c r="M1600" s="178"/>
      <c r="N1600" s="178">
        <f t="shared" si="44"/>
        <v>2.9572566611769187</v>
      </c>
      <c r="O1600" s="178">
        <f t="shared" si="45"/>
        <v>0</v>
      </c>
      <c r="P1600" s="179"/>
      <c r="Q1600" s="169"/>
    </row>
    <row r="1601" spans="1:17" s="170" customFormat="1" ht="10.5" x14ac:dyDescent="0.25">
      <c r="A1601" s="175"/>
      <c r="B1601" s="176" t="str">
        <f t="shared" si="42"/>
        <v>PV1-22</v>
      </c>
      <c r="C1601" s="177"/>
      <c r="D1601" s="178"/>
      <c r="E1601" s="178">
        <v>1.8</v>
      </c>
      <c r="F1601" s="178">
        <v>1.8</v>
      </c>
      <c r="G1601" s="178">
        <f t="shared" si="43"/>
        <v>0</v>
      </c>
      <c r="H1601" s="178"/>
      <c r="I1601" s="178"/>
      <c r="J1601" s="178">
        <v>0.6</v>
      </c>
      <c r="K1601" s="178"/>
      <c r="L1601" s="178"/>
      <c r="M1601" s="178"/>
      <c r="N1601" s="178">
        <f t="shared" si="44"/>
        <v>2.9572566611769187</v>
      </c>
      <c r="O1601" s="178">
        <f t="shared" si="45"/>
        <v>0</v>
      </c>
      <c r="P1601" s="179"/>
      <c r="Q1601" s="169"/>
    </row>
    <row r="1602" spans="1:17" s="170" customFormat="1" ht="10.5" x14ac:dyDescent="0.25">
      <c r="A1602" s="175"/>
      <c r="B1602" s="176" t="str">
        <f t="shared" si="42"/>
        <v>PV1-24</v>
      </c>
      <c r="C1602" s="177"/>
      <c r="D1602" s="178"/>
      <c r="E1602" s="178">
        <v>1.8</v>
      </c>
      <c r="F1602" s="178">
        <v>1.8</v>
      </c>
      <c r="G1602" s="178">
        <f t="shared" si="43"/>
        <v>0</v>
      </c>
      <c r="H1602" s="178"/>
      <c r="I1602" s="178"/>
      <c r="J1602" s="178">
        <v>0.6</v>
      </c>
      <c r="K1602" s="178"/>
      <c r="L1602" s="178"/>
      <c r="M1602" s="178"/>
      <c r="N1602" s="178">
        <f t="shared" si="44"/>
        <v>2.9572566611769187</v>
      </c>
      <c r="O1602" s="178">
        <f t="shared" si="45"/>
        <v>0</v>
      </c>
      <c r="P1602" s="179"/>
      <c r="Q1602" s="169"/>
    </row>
    <row r="1603" spans="1:17" s="170" customFormat="1" ht="10.5" x14ac:dyDescent="0.25">
      <c r="A1603" s="175"/>
      <c r="B1603" s="176" t="str">
        <f t="shared" si="42"/>
        <v>PV1-25</v>
      </c>
      <c r="C1603" s="177"/>
      <c r="D1603" s="178"/>
      <c r="E1603" s="178">
        <v>1.8</v>
      </c>
      <c r="F1603" s="178">
        <v>1.8</v>
      </c>
      <c r="G1603" s="178">
        <f t="shared" si="43"/>
        <v>0</v>
      </c>
      <c r="H1603" s="178"/>
      <c r="I1603" s="178"/>
      <c r="J1603" s="178">
        <v>0.6</v>
      </c>
      <c r="K1603" s="178"/>
      <c r="L1603" s="178"/>
      <c r="M1603" s="178"/>
      <c r="N1603" s="178">
        <f t="shared" si="44"/>
        <v>2.9572566611769187</v>
      </c>
      <c r="O1603" s="178">
        <f t="shared" si="45"/>
        <v>0</v>
      </c>
      <c r="P1603" s="179"/>
      <c r="Q1603" s="169"/>
    </row>
    <row r="1604" spans="1:17" s="170" customFormat="1" ht="10.5" x14ac:dyDescent="0.25">
      <c r="A1604" s="175"/>
      <c r="B1604" s="176" t="str">
        <f t="shared" si="42"/>
        <v>PV1-30</v>
      </c>
      <c r="C1604" s="177"/>
      <c r="D1604" s="178"/>
      <c r="E1604" s="178">
        <v>1.8</v>
      </c>
      <c r="F1604" s="178">
        <v>1.8</v>
      </c>
      <c r="G1604" s="178">
        <f t="shared" si="43"/>
        <v>0</v>
      </c>
      <c r="H1604" s="178"/>
      <c r="I1604" s="178"/>
      <c r="J1604" s="178">
        <v>0.6</v>
      </c>
      <c r="K1604" s="178"/>
      <c r="L1604" s="178"/>
      <c r="M1604" s="178"/>
      <c r="N1604" s="178">
        <f t="shared" si="44"/>
        <v>2.9572566611769187</v>
      </c>
      <c r="O1604" s="178">
        <f t="shared" si="45"/>
        <v>0</v>
      </c>
      <c r="P1604" s="179"/>
      <c r="Q1604" s="169"/>
    </row>
    <row r="1605" spans="1:17" s="170" customFormat="1" ht="10.5" x14ac:dyDescent="0.25">
      <c r="A1605" s="175"/>
      <c r="B1605" s="176" t="str">
        <f t="shared" si="42"/>
        <v>PV2-24</v>
      </c>
      <c r="C1605" s="177"/>
      <c r="D1605" s="178"/>
      <c r="E1605" s="178">
        <v>1.8</v>
      </c>
      <c r="F1605" s="178">
        <v>1.8</v>
      </c>
      <c r="G1605" s="178">
        <f t="shared" si="43"/>
        <v>0.15</v>
      </c>
      <c r="H1605" s="178"/>
      <c r="I1605" s="178"/>
      <c r="J1605" s="178">
        <v>0.6</v>
      </c>
      <c r="K1605" s="178"/>
      <c r="L1605" s="178"/>
      <c r="M1605" s="178"/>
      <c r="N1605" s="178">
        <f t="shared" si="44"/>
        <v>2.9572566611769187</v>
      </c>
      <c r="O1605" s="178">
        <f t="shared" si="45"/>
        <v>0.44358849917653781</v>
      </c>
      <c r="P1605" s="179"/>
      <c r="Q1605" s="169"/>
    </row>
    <row r="1606" spans="1:17" s="170" customFormat="1" ht="10.5" x14ac:dyDescent="0.25">
      <c r="A1606" s="175"/>
      <c r="B1606" s="176" t="str">
        <f t="shared" si="42"/>
        <v>PV3-21</v>
      </c>
      <c r="C1606" s="177"/>
      <c r="D1606" s="178"/>
      <c r="E1606" s="178">
        <v>1.8</v>
      </c>
      <c r="F1606" s="178">
        <v>1.8</v>
      </c>
      <c r="G1606" s="178">
        <f t="shared" si="43"/>
        <v>0.15</v>
      </c>
      <c r="H1606" s="178"/>
      <c r="I1606" s="178"/>
      <c r="J1606" s="178">
        <v>0.6</v>
      </c>
      <c r="K1606" s="178"/>
      <c r="L1606" s="178"/>
      <c r="M1606" s="178"/>
      <c r="N1606" s="178">
        <f t="shared" si="44"/>
        <v>2.9572566611769187</v>
      </c>
      <c r="O1606" s="178">
        <f t="shared" si="45"/>
        <v>0.44358849917653781</v>
      </c>
      <c r="P1606" s="179"/>
      <c r="Q1606" s="169"/>
    </row>
    <row r="1607" spans="1:17" s="170" customFormat="1" ht="10.5" x14ac:dyDescent="0.25">
      <c r="A1607" s="175"/>
      <c r="B1607" s="176" t="str">
        <f t="shared" si="42"/>
        <v>PV4-23</v>
      </c>
      <c r="C1607" s="177"/>
      <c r="D1607" s="178"/>
      <c r="E1607" s="178">
        <v>1.8</v>
      </c>
      <c r="F1607" s="178">
        <v>1.8</v>
      </c>
      <c r="G1607" s="178">
        <f t="shared" si="43"/>
        <v>0.15</v>
      </c>
      <c r="H1607" s="178"/>
      <c r="I1607" s="178"/>
      <c r="J1607" s="178">
        <v>0.6</v>
      </c>
      <c r="K1607" s="178"/>
      <c r="L1607" s="178"/>
      <c r="M1607" s="178"/>
      <c r="N1607" s="178">
        <f t="shared" si="44"/>
        <v>2.9572566611769187</v>
      </c>
      <c r="O1607" s="178">
        <f t="shared" si="45"/>
        <v>0.44358849917653781</v>
      </c>
      <c r="P1607" s="179"/>
      <c r="Q1607" s="169"/>
    </row>
    <row r="1608" spans="1:17" s="170" customFormat="1" ht="10.5" x14ac:dyDescent="0.25">
      <c r="A1608" s="175"/>
      <c r="B1608" s="176" t="str">
        <f t="shared" si="42"/>
        <v>PV5-21</v>
      </c>
      <c r="C1608" s="177"/>
      <c r="D1608" s="178"/>
      <c r="E1608" s="178">
        <v>1.8</v>
      </c>
      <c r="F1608" s="178">
        <v>1.8</v>
      </c>
      <c r="G1608" s="178">
        <f t="shared" si="43"/>
        <v>0.15</v>
      </c>
      <c r="H1608" s="178"/>
      <c r="I1608" s="178"/>
      <c r="J1608" s="178">
        <v>0.6</v>
      </c>
      <c r="K1608" s="178"/>
      <c r="L1608" s="178"/>
      <c r="M1608" s="178"/>
      <c r="N1608" s="178">
        <f t="shared" si="44"/>
        <v>2.9572566611769187</v>
      </c>
      <c r="O1608" s="178">
        <f t="shared" si="45"/>
        <v>0.44358849917653781</v>
      </c>
      <c r="P1608" s="179"/>
      <c r="Q1608" s="169"/>
    </row>
    <row r="1609" spans="1:17" s="170" customFormat="1" ht="10.5" x14ac:dyDescent="0.25">
      <c r="A1609" s="175"/>
      <c r="B1609" s="176" t="str">
        <f t="shared" si="42"/>
        <v>PV5-23</v>
      </c>
      <c r="C1609" s="177"/>
      <c r="D1609" s="178"/>
      <c r="E1609" s="178">
        <v>1.8</v>
      </c>
      <c r="F1609" s="178">
        <v>1.8</v>
      </c>
      <c r="G1609" s="178">
        <f t="shared" si="43"/>
        <v>0.15</v>
      </c>
      <c r="H1609" s="178"/>
      <c r="I1609" s="178"/>
      <c r="J1609" s="178">
        <v>0.6</v>
      </c>
      <c r="K1609" s="178"/>
      <c r="L1609" s="178"/>
      <c r="M1609" s="178"/>
      <c r="N1609" s="178">
        <f t="shared" si="44"/>
        <v>2.9572566611769187</v>
      </c>
      <c r="O1609" s="178">
        <f t="shared" si="45"/>
        <v>0.44358849917653781</v>
      </c>
      <c r="P1609" s="179"/>
      <c r="Q1609" s="169"/>
    </row>
    <row r="1610" spans="1:17" s="170" customFormat="1" ht="10.5" x14ac:dyDescent="0.25">
      <c r="A1610" s="175"/>
      <c r="B1610" s="176" t="str">
        <f t="shared" si="42"/>
        <v>PV6-21</v>
      </c>
      <c r="C1610" s="177"/>
      <c r="D1610" s="178"/>
      <c r="E1610" s="178">
        <v>1.8</v>
      </c>
      <c r="F1610" s="178">
        <v>1.8</v>
      </c>
      <c r="G1610" s="178">
        <f t="shared" si="43"/>
        <v>0.15</v>
      </c>
      <c r="H1610" s="178"/>
      <c r="I1610" s="178"/>
      <c r="J1610" s="178">
        <v>0.6</v>
      </c>
      <c r="K1610" s="178"/>
      <c r="L1610" s="178"/>
      <c r="M1610" s="178"/>
      <c r="N1610" s="178">
        <f t="shared" si="44"/>
        <v>2.9572566611769187</v>
      </c>
      <c r="O1610" s="178">
        <f t="shared" si="45"/>
        <v>0.44358849917653781</v>
      </c>
      <c r="P1610" s="179"/>
      <c r="Q1610" s="169"/>
    </row>
    <row r="1611" spans="1:17" s="170" customFormat="1" ht="10.5" x14ac:dyDescent="0.25">
      <c r="A1611" s="175"/>
      <c r="B1611" s="176" t="str">
        <f t="shared" si="42"/>
        <v>PV6-23</v>
      </c>
      <c r="C1611" s="177"/>
      <c r="D1611" s="178"/>
      <c r="E1611" s="178">
        <v>1.8</v>
      </c>
      <c r="F1611" s="178">
        <v>1.8</v>
      </c>
      <c r="G1611" s="178">
        <f t="shared" si="43"/>
        <v>0.15</v>
      </c>
      <c r="H1611" s="178"/>
      <c r="I1611" s="178"/>
      <c r="J1611" s="178">
        <v>0.6</v>
      </c>
      <c r="K1611" s="178"/>
      <c r="L1611" s="178"/>
      <c r="M1611" s="178"/>
      <c r="N1611" s="178">
        <f t="shared" si="44"/>
        <v>2.9572566611769187</v>
      </c>
      <c r="O1611" s="178">
        <f t="shared" si="45"/>
        <v>0.44358849917653781</v>
      </c>
      <c r="P1611" s="179"/>
      <c r="Q1611" s="169"/>
    </row>
    <row r="1612" spans="1:17" s="170" customFormat="1" ht="10.5" x14ac:dyDescent="0.25">
      <c r="A1612" s="175"/>
      <c r="B1612" s="176"/>
      <c r="C1612" s="177"/>
      <c r="D1612" s="178"/>
      <c r="E1612" s="178"/>
      <c r="F1612" s="178"/>
      <c r="G1612" s="178"/>
      <c r="H1612" s="178"/>
      <c r="I1612" s="178"/>
      <c r="J1612" s="178"/>
      <c r="K1612" s="178"/>
      <c r="L1612" s="180"/>
      <c r="M1612" s="178"/>
      <c r="N1612" s="178"/>
      <c r="O1612" s="178"/>
      <c r="P1612" s="179"/>
      <c r="Q1612" s="169"/>
    </row>
    <row r="1613" spans="1:17" s="170" customFormat="1" ht="10.5" x14ac:dyDescent="0.25">
      <c r="A1613" s="175"/>
      <c r="B1613" s="181" t="s">
        <v>5</v>
      </c>
      <c r="C1613" s="182" t="s">
        <v>1328</v>
      </c>
      <c r="D1613" s="182"/>
      <c r="E1613" s="182"/>
      <c r="F1613" s="182"/>
      <c r="G1613" s="182"/>
      <c r="H1613" s="182"/>
      <c r="I1613" s="182"/>
      <c r="J1613" s="182"/>
      <c r="K1613" s="182"/>
      <c r="L1613" s="182"/>
      <c r="M1613" s="182"/>
      <c r="N1613" s="182"/>
      <c r="O1613" s="182">
        <f>SUM(O1599:O1612)</f>
        <v>3.5487079934123029</v>
      </c>
      <c r="P1613" s="183"/>
      <c r="Q1613" s="169"/>
    </row>
    <row r="1614" spans="1:17" s="174" customFormat="1" ht="21" x14ac:dyDescent="0.25">
      <c r="A1614" s="171" t="str">
        <f>ORÇAMENTO!A316</f>
        <v>4.4.12</v>
      </c>
      <c r="B1614" s="172" t="str">
        <f>VLOOKUP(A1614,ORÇAMENTO!A:K,4,0)</f>
        <v>REATERRO MANUAL APILOADO COM SOQUETE</v>
      </c>
      <c r="C1614" s="173" t="str">
        <f>VLOOKUP(A1614,ORÇAMENTO!A:K,5,0)</f>
        <v>M³</v>
      </c>
      <c r="D1614" s="173">
        <f>SUM(E1631:O1631)</f>
        <v>26.721771190394634</v>
      </c>
      <c r="E1614" s="173" t="s">
        <v>1718</v>
      </c>
      <c r="F1614" s="173" t="s">
        <v>1719</v>
      </c>
      <c r="G1614" s="173" t="s">
        <v>1720</v>
      </c>
      <c r="H1614" s="173" t="s">
        <v>1721</v>
      </c>
      <c r="I1614" s="173" t="s">
        <v>1722</v>
      </c>
      <c r="J1614" s="173" t="s">
        <v>1723</v>
      </c>
      <c r="K1614" s="173" t="s">
        <v>1724</v>
      </c>
      <c r="L1614" s="173" t="s">
        <v>1725</v>
      </c>
      <c r="M1614" s="173" t="s">
        <v>1726</v>
      </c>
      <c r="N1614" s="173" t="s">
        <v>1727</v>
      </c>
      <c r="O1614" s="173" t="s">
        <v>1728</v>
      </c>
      <c r="P1614" s="169"/>
      <c r="Q1614" s="169"/>
    </row>
    <row r="1615" spans="1:17" s="170" customFormat="1" ht="10.5" x14ac:dyDescent="0.25">
      <c r="A1615" s="175"/>
      <c r="B1615" s="181"/>
      <c r="C1615" s="177"/>
      <c r="D1615" s="178"/>
      <c r="E1615" s="178"/>
      <c r="F1615" s="178"/>
      <c r="G1615" s="178"/>
      <c r="H1615" s="178"/>
      <c r="I1615" s="178"/>
      <c r="J1615" s="178"/>
      <c r="K1615" s="178"/>
      <c r="L1615" s="178"/>
      <c r="M1615" s="178"/>
      <c r="N1615" s="178"/>
      <c r="O1615" s="178"/>
      <c r="P1615" s="179"/>
      <c r="Q1615" s="169"/>
    </row>
    <row r="1616" spans="1:17" s="170" customFormat="1" ht="10.5" x14ac:dyDescent="0.25">
      <c r="A1616" s="175"/>
      <c r="B1616" s="176" t="s">
        <v>1876</v>
      </c>
      <c r="C1616" s="177"/>
      <c r="D1616" s="178"/>
      <c r="E1616" s="178"/>
      <c r="F1616" s="178"/>
      <c r="G1616" s="178"/>
      <c r="H1616" s="178"/>
      <c r="I1616" s="178"/>
      <c r="J1616" s="178"/>
      <c r="K1616" s="178"/>
      <c r="L1616" s="178"/>
      <c r="M1616" s="178"/>
      <c r="N1616" s="178"/>
      <c r="O1616" s="178"/>
      <c r="P1616" s="179"/>
      <c r="Q1616" s="169"/>
    </row>
    <row r="1617" spans="1:17" s="170" customFormat="1" ht="10.5" x14ac:dyDescent="0.25">
      <c r="A1617" s="175"/>
      <c r="B1617" s="176" t="str">
        <f t="shared" ref="B1617:B1629" si="46">B1599</f>
        <v>PV1-19</v>
      </c>
      <c r="C1617" s="177"/>
      <c r="D1617" s="178"/>
      <c r="E1617" s="178">
        <v>1.8</v>
      </c>
      <c r="F1617" s="178">
        <v>1.8</v>
      </c>
      <c r="G1617" s="178">
        <f t="shared" ref="G1617:G1629" si="47">IF(G1515&lt;=0.3,0,G1515-0.3)</f>
        <v>6.9999999999999896E-2</v>
      </c>
      <c r="H1617" s="178"/>
      <c r="I1617" s="178"/>
      <c r="J1617" s="178">
        <v>0.6</v>
      </c>
      <c r="K1617" s="178"/>
      <c r="L1617" s="178"/>
      <c r="M1617" s="178"/>
      <c r="N1617" s="178">
        <f t="shared" ref="N1617:N1629" si="48">(E1617*F1617)-(PI()*(J1617/2)^2)</f>
        <v>2.9572566611769187</v>
      </c>
      <c r="O1617" s="178">
        <f t="shared" ref="O1617:O1629" si="49">N1617*G1617</f>
        <v>0.20700796628238399</v>
      </c>
      <c r="P1617" s="179"/>
      <c r="Q1617" s="169"/>
    </row>
    <row r="1618" spans="1:17" s="170" customFormat="1" ht="10.5" x14ac:dyDescent="0.25">
      <c r="A1618" s="175"/>
      <c r="B1618" s="176" t="str">
        <f t="shared" si="46"/>
        <v>PV1-20</v>
      </c>
      <c r="C1618" s="177"/>
      <c r="D1618" s="178"/>
      <c r="E1618" s="178">
        <v>1.8</v>
      </c>
      <c r="F1618" s="178">
        <v>1.8</v>
      </c>
      <c r="G1618" s="178">
        <f t="shared" si="47"/>
        <v>0</v>
      </c>
      <c r="H1618" s="178"/>
      <c r="I1618" s="178"/>
      <c r="J1618" s="178">
        <v>0.6</v>
      </c>
      <c r="K1618" s="178"/>
      <c r="L1618" s="178"/>
      <c r="M1618" s="178"/>
      <c r="N1618" s="178">
        <f t="shared" si="48"/>
        <v>2.9572566611769187</v>
      </c>
      <c r="O1618" s="178">
        <f t="shared" si="49"/>
        <v>0</v>
      </c>
      <c r="P1618" s="179"/>
      <c r="Q1618" s="169"/>
    </row>
    <row r="1619" spans="1:17" s="170" customFormat="1" ht="10.5" x14ac:dyDescent="0.25">
      <c r="A1619" s="175"/>
      <c r="B1619" s="176" t="str">
        <f t="shared" si="46"/>
        <v>PV1-22</v>
      </c>
      <c r="C1619" s="177"/>
      <c r="D1619" s="178"/>
      <c r="E1619" s="178">
        <v>1.8</v>
      </c>
      <c r="F1619" s="178">
        <v>1.8</v>
      </c>
      <c r="G1619" s="178">
        <f t="shared" si="47"/>
        <v>0</v>
      </c>
      <c r="H1619" s="178"/>
      <c r="I1619" s="178"/>
      <c r="J1619" s="178">
        <v>0.6</v>
      </c>
      <c r="K1619" s="178"/>
      <c r="L1619" s="178"/>
      <c r="M1619" s="178"/>
      <c r="N1619" s="178">
        <f t="shared" si="48"/>
        <v>2.9572566611769187</v>
      </c>
      <c r="O1619" s="178">
        <f t="shared" si="49"/>
        <v>0</v>
      </c>
      <c r="P1619" s="179"/>
      <c r="Q1619" s="169"/>
    </row>
    <row r="1620" spans="1:17" s="170" customFormat="1" ht="10.5" x14ac:dyDescent="0.25">
      <c r="A1620" s="175"/>
      <c r="B1620" s="176" t="str">
        <f t="shared" si="46"/>
        <v>PV1-24</v>
      </c>
      <c r="C1620" s="177"/>
      <c r="D1620" s="178"/>
      <c r="E1620" s="178">
        <v>1.8</v>
      </c>
      <c r="F1620" s="178">
        <v>1.8</v>
      </c>
      <c r="G1620" s="178">
        <f t="shared" si="47"/>
        <v>0</v>
      </c>
      <c r="H1620" s="178"/>
      <c r="I1620" s="178"/>
      <c r="J1620" s="178">
        <v>0.6</v>
      </c>
      <c r="K1620" s="178"/>
      <c r="L1620" s="178"/>
      <c r="M1620" s="178"/>
      <c r="N1620" s="178">
        <f t="shared" si="48"/>
        <v>2.9572566611769187</v>
      </c>
      <c r="O1620" s="178">
        <f t="shared" si="49"/>
        <v>0</v>
      </c>
      <c r="P1620" s="179"/>
      <c r="Q1620" s="169"/>
    </row>
    <row r="1621" spans="1:17" s="170" customFormat="1" ht="10.5" x14ac:dyDescent="0.25">
      <c r="A1621" s="175"/>
      <c r="B1621" s="176" t="str">
        <f t="shared" si="46"/>
        <v>PV1-25</v>
      </c>
      <c r="C1621" s="177"/>
      <c r="D1621" s="178"/>
      <c r="E1621" s="178">
        <v>1.8</v>
      </c>
      <c r="F1621" s="178">
        <v>1.8</v>
      </c>
      <c r="G1621" s="178">
        <f t="shared" si="47"/>
        <v>0</v>
      </c>
      <c r="H1621" s="178"/>
      <c r="I1621" s="178"/>
      <c r="J1621" s="178">
        <v>0.6</v>
      </c>
      <c r="K1621" s="178"/>
      <c r="L1621" s="178"/>
      <c r="M1621" s="178"/>
      <c r="N1621" s="178">
        <f t="shared" si="48"/>
        <v>2.9572566611769187</v>
      </c>
      <c r="O1621" s="178">
        <f t="shared" si="49"/>
        <v>0</v>
      </c>
      <c r="P1621" s="179"/>
      <c r="Q1621" s="169"/>
    </row>
    <row r="1622" spans="1:17" s="170" customFormat="1" ht="10.5" x14ac:dyDescent="0.25">
      <c r="A1622" s="175"/>
      <c r="B1622" s="176" t="str">
        <f t="shared" si="46"/>
        <v>PV1-30</v>
      </c>
      <c r="C1622" s="177"/>
      <c r="D1622" s="178"/>
      <c r="E1622" s="178">
        <v>1.8</v>
      </c>
      <c r="F1622" s="178">
        <v>1.8</v>
      </c>
      <c r="G1622" s="178">
        <f t="shared" si="47"/>
        <v>0</v>
      </c>
      <c r="H1622" s="178"/>
      <c r="I1622" s="178"/>
      <c r="J1622" s="178">
        <v>0.6</v>
      </c>
      <c r="K1622" s="178"/>
      <c r="L1622" s="178"/>
      <c r="M1622" s="178"/>
      <c r="N1622" s="178">
        <f t="shared" si="48"/>
        <v>2.9572566611769187</v>
      </c>
      <c r="O1622" s="178">
        <f t="shared" si="49"/>
        <v>0</v>
      </c>
      <c r="P1622" s="179"/>
      <c r="Q1622" s="169"/>
    </row>
    <row r="1623" spans="1:17" s="170" customFormat="1" ht="10.5" x14ac:dyDescent="0.25">
      <c r="A1623" s="175"/>
      <c r="B1623" s="176" t="str">
        <f t="shared" si="46"/>
        <v>PV2-24</v>
      </c>
      <c r="C1623" s="177"/>
      <c r="D1623" s="178"/>
      <c r="E1623" s="178">
        <v>1.8</v>
      </c>
      <c r="F1623" s="178">
        <v>1.8</v>
      </c>
      <c r="G1623" s="178">
        <f t="shared" si="47"/>
        <v>0.71</v>
      </c>
      <c r="H1623" s="178"/>
      <c r="I1623" s="178"/>
      <c r="J1623" s="178">
        <v>0.6</v>
      </c>
      <c r="K1623" s="178"/>
      <c r="L1623" s="178"/>
      <c r="M1623" s="178"/>
      <c r="N1623" s="178">
        <f t="shared" si="48"/>
        <v>2.9572566611769187</v>
      </c>
      <c r="O1623" s="178">
        <f t="shared" si="49"/>
        <v>2.0996522294356121</v>
      </c>
      <c r="P1623" s="179"/>
      <c r="Q1623" s="169"/>
    </row>
    <row r="1624" spans="1:17" s="170" customFormat="1" ht="10.5" x14ac:dyDescent="0.25">
      <c r="A1624" s="175"/>
      <c r="B1624" s="176" t="str">
        <f t="shared" si="46"/>
        <v>PV3-21</v>
      </c>
      <c r="C1624" s="177"/>
      <c r="D1624" s="178"/>
      <c r="E1624" s="178">
        <v>1.8</v>
      </c>
      <c r="F1624" s="178">
        <v>1.8</v>
      </c>
      <c r="G1624" s="178">
        <f t="shared" si="47"/>
        <v>0.56999999999999984</v>
      </c>
      <c r="H1624" s="178"/>
      <c r="I1624" s="178"/>
      <c r="J1624" s="178">
        <v>0.6</v>
      </c>
      <c r="K1624" s="178"/>
      <c r="L1624" s="178"/>
      <c r="M1624" s="178"/>
      <c r="N1624" s="178">
        <f t="shared" si="48"/>
        <v>2.9572566611769187</v>
      </c>
      <c r="O1624" s="178">
        <f t="shared" si="49"/>
        <v>1.6856362968708432</v>
      </c>
      <c r="P1624" s="179"/>
      <c r="Q1624" s="169"/>
    </row>
    <row r="1625" spans="1:17" s="170" customFormat="1" ht="10.5" x14ac:dyDescent="0.25">
      <c r="A1625" s="175"/>
      <c r="B1625" s="176" t="str">
        <f t="shared" si="46"/>
        <v>PV4-23</v>
      </c>
      <c r="C1625" s="177"/>
      <c r="D1625" s="178"/>
      <c r="E1625" s="178">
        <v>1.8</v>
      </c>
      <c r="F1625" s="178">
        <v>1.8</v>
      </c>
      <c r="G1625" s="178">
        <f t="shared" si="47"/>
        <v>0.4100000000000002</v>
      </c>
      <c r="H1625" s="178"/>
      <c r="I1625" s="178"/>
      <c r="J1625" s="178">
        <v>0.6</v>
      </c>
      <c r="K1625" s="178"/>
      <c r="L1625" s="178"/>
      <c r="M1625" s="178"/>
      <c r="N1625" s="178">
        <f t="shared" si="48"/>
        <v>2.9572566611769187</v>
      </c>
      <c r="O1625" s="178">
        <f t="shared" si="49"/>
        <v>1.2124752310825373</v>
      </c>
      <c r="P1625" s="179"/>
      <c r="Q1625" s="169"/>
    </row>
    <row r="1626" spans="1:17" s="170" customFormat="1" ht="10.5" x14ac:dyDescent="0.25">
      <c r="A1626" s="175"/>
      <c r="B1626" s="176" t="str">
        <f t="shared" si="46"/>
        <v>PV5-21</v>
      </c>
      <c r="C1626" s="177"/>
      <c r="D1626" s="178"/>
      <c r="E1626" s="178">
        <v>1.8</v>
      </c>
      <c r="F1626" s="178">
        <v>1.8</v>
      </c>
      <c r="G1626" s="178">
        <f t="shared" si="47"/>
        <v>2.4500000000000002</v>
      </c>
      <c r="H1626" s="178"/>
      <c r="I1626" s="178"/>
      <c r="J1626" s="178">
        <v>0.6</v>
      </c>
      <c r="K1626" s="178"/>
      <c r="L1626" s="178"/>
      <c r="M1626" s="178"/>
      <c r="N1626" s="178">
        <f t="shared" si="48"/>
        <v>2.9572566611769187</v>
      </c>
      <c r="O1626" s="178">
        <f t="shared" si="49"/>
        <v>7.2452788198834508</v>
      </c>
      <c r="P1626" s="179"/>
      <c r="Q1626" s="169"/>
    </row>
    <row r="1627" spans="1:17" s="170" customFormat="1" ht="10.5" x14ac:dyDescent="0.25">
      <c r="A1627" s="175"/>
      <c r="B1627" s="176" t="str">
        <f t="shared" si="46"/>
        <v>PV5-23</v>
      </c>
      <c r="C1627" s="177"/>
      <c r="D1627" s="178"/>
      <c r="E1627" s="178">
        <v>1.8</v>
      </c>
      <c r="F1627" s="178">
        <v>1.8</v>
      </c>
      <c r="G1627" s="178">
        <f t="shared" si="47"/>
        <v>1.476</v>
      </c>
      <c r="H1627" s="178"/>
      <c r="I1627" s="178"/>
      <c r="J1627" s="178">
        <v>0.6</v>
      </c>
      <c r="K1627" s="178"/>
      <c r="L1627" s="178"/>
      <c r="M1627" s="178"/>
      <c r="N1627" s="178">
        <f t="shared" si="48"/>
        <v>2.9572566611769187</v>
      </c>
      <c r="O1627" s="178">
        <f t="shared" si="49"/>
        <v>4.3649108318971317</v>
      </c>
      <c r="P1627" s="179"/>
      <c r="Q1627" s="169"/>
    </row>
    <row r="1628" spans="1:17" s="170" customFormat="1" ht="10.5" x14ac:dyDescent="0.25">
      <c r="A1628" s="175"/>
      <c r="B1628" s="176" t="str">
        <f t="shared" si="46"/>
        <v>PV6-21</v>
      </c>
      <c r="C1628" s="177"/>
      <c r="D1628" s="178"/>
      <c r="E1628" s="178">
        <v>1.8</v>
      </c>
      <c r="F1628" s="178">
        <v>1.8</v>
      </c>
      <c r="G1628" s="178">
        <f t="shared" si="47"/>
        <v>1.8300000000000003</v>
      </c>
      <c r="H1628" s="178"/>
      <c r="I1628" s="178"/>
      <c r="J1628" s="178">
        <v>0.6</v>
      </c>
      <c r="K1628" s="178"/>
      <c r="L1628" s="178"/>
      <c r="M1628" s="178"/>
      <c r="N1628" s="178">
        <f t="shared" si="48"/>
        <v>2.9572566611769187</v>
      </c>
      <c r="O1628" s="178">
        <f t="shared" si="49"/>
        <v>5.4117796899537618</v>
      </c>
      <c r="P1628" s="179"/>
      <c r="Q1628" s="169"/>
    </row>
    <row r="1629" spans="1:17" s="170" customFormat="1" ht="10.5" x14ac:dyDescent="0.25">
      <c r="A1629" s="175"/>
      <c r="B1629" s="176" t="str">
        <f t="shared" si="46"/>
        <v>PV6-23</v>
      </c>
      <c r="C1629" s="177"/>
      <c r="D1629" s="178"/>
      <c r="E1629" s="178">
        <v>1.8</v>
      </c>
      <c r="F1629" s="178">
        <v>1.8</v>
      </c>
      <c r="G1629" s="178">
        <f t="shared" si="47"/>
        <v>1.5199999999999996</v>
      </c>
      <c r="H1629" s="178"/>
      <c r="I1629" s="178"/>
      <c r="J1629" s="178">
        <v>0.6</v>
      </c>
      <c r="K1629" s="178"/>
      <c r="L1629" s="178"/>
      <c r="M1629" s="178"/>
      <c r="N1629" s="178">
        <f t="shared" si="48"/>
        <v>2.9572566611769187</v>
      </c>
      <c r="O1629" s="178">
        <f t="shared" si="49"/>
        <v>4.4950301249889151</v>
      </c>
      <c r="P1629" s="179"/>
      <c r="Q1629" s="169"/>
    </row>
    <row r="1630" spans="1:17" s="170" customFormat="1" ht="10.5" x14ac:dyDescent="0.25">
      <c r="A1630" s="175"/>
      <c r="B1630" s="176"/>
      <c r="C1630" s="177"/>
      <c r="D1630" s="178"/>
      <c r="E1630" s="178"/>
      <c r="F1630" s="178"/>
      <c r="G1630" s="178"/>
      <c r="H1630" s="178"/>
      <c r="I1630" s="178"/>
      <c r="J1630" s="178"/>
      <c r="K1630" s="178"/>
      <c r="L1630" s="180"/>
      <c r="M1630" s="178"/>
      <c r="N1630" s="178"/>
      <c r="O1630" s="178"/>
      <c r="P1630" s="179"/>
      <c r="Q1630" s="169"/>
    </row>
    <row r="1631" spans="1:17" s="170" customFormat="1" ht="10.5" x14ac:dyDescent="0.25">
      <c r="A1631" s="175"/>
      <c r="B1631" s="181" t="s">
        <v>5</v>
      </c>
      <c r="C1631" s="182" t="s">
        <v>1328</v>
      </c>
      <c r="D1631" s="182"/>
      <c r="E1631" s="182"/>
      <c r="F1631" s="182"/>
      <c r="G1631" s="182"/>
      <c r="H1631" s="182"/>
      <c r="I1631" s="182"/>
      <c r="J1631" s="182"/>
      <c r="K1631" s="182"/>
      <c r="L1631" s="182"/>
      <c r="M1631" s="182"/>
      <c r="N1631" s="182"/>
      <c r="O1631" s="182">
        <f>SUM(O1617:O1630)</f>
        <v>26.721771190394634</v>
      </c>
      <c r="P1631" s="183"/>
      <c r="Q1631" s="169"/>
    </row>
    <row r="1632" spans="1:17" s="174" customFormat="1" ht="21" x14ac:dyDescent="0.25">
      <c r="A1632" s="171" t="str">
        <f>ORÇAMENTO!A317</f>
        <v>4.4.13</v>
      </c>
      <c r="B1632" s="172" t="str">
        <f>VLOOKUP(A1632,ORÇAMENTO!A:K,4,0)</f>
        <v>COMPACTAÇÃO DE ATERROS A 100% DO PROCTOR INTERMEDIÁRIO</v>
      </c>
      <c r="C1632" s="173" t="str">
        <f>VLOOKUP(A1632,ORÇAMENTO!A:K,5,0)</f>
        <v>M³</v>
      </c>
      <c r="D1632" s="173">
        <f>SUM(E1649:O1649)</f>
        <v>26.721771190394634</v>
      </c>
      <c r="E1632" s="173" t="s">
        <v>1718</v>
      </c>
      <c r="F1632" s="173" t="s">
        <v>1719</v>
      </c>
      <c r="G1632" s="173" t="s">
        <v>1720</v>
      </c>
      <c r="H1632" s="173" t="s">
        <v>1721</v>
      </c>
      <c r="I1632" s="173" t="s">
        <v>1722</v>
      </c>
      <c r="J1632" s="173" t="s">
        <v>1723</v>
      </c>
      <c r="K1632" s="173" t="s">
        <v>1724</v>
      </c>
      <c r="L1632" s="173" t="s">
        <v>1725</v>
      </c>
      <c r="M1632" s="173" t="s">
        <v>1726</v>
      </c>
      <c r="N1632" s="173" t="s">
        <v>1727</v>
      </c>
      <c r="O1632" s="173" t="s">
        <v>1728</v>
      </c>
      <c r="P1632" s="169"/>
      <c r="Q1632" s="169"/>
    </row>
    <row r="1633" spans="1:17" s="170" customFormat="1" ht="10.5" x14ac:dyDescent="0.25">
      <c r="A1633" s="175"/>
      <c r="B1633" s="181"/>
      <c r="C1633" s="177"/>
      <c r="D1633" s="178"/>
      <c r="E1633" s="178"/>
      <c r="F1633" s="178"/>
      <c r="G1633" s="178"/>
      <c r="H1633" s="178"/>
      <c r="I1633" s="178"/>
      <c r="J1633" s="178"/>
      <c r="K1633" s="178"/>
      <c r="L1633" s="178"/>
      <c r="M1633" s="178"/>
      <c r="N1633" s="178"/>
      <c r="O1633" s="178"/>
      <c r="P1633" s="179"/>
      <c r="Q1633" s="169"/>
    </row>
    <row r="1634" spans="1:17" s="170" customFormat="1" ht="10.5" x14ac:dyDescent="0.25">
      <c r="A1634" s="175"/>
      <c r="B1634" s="176" t="str">
        <f t="shared" ref="B1634:B1647" si="50">B1616</f>
        <v>VOLUME = VOLUME DEMOLIDO - VOLUME DO PV</v>
      </c>
      <c r="C1634" s="177"/>
      <c r="D1634" s="178"/>
      <c r="E1634" s="178"/>
      <c r="F1634" s="178"/>
      <c r="G1634" s="178"/>
      <c r="H1634" s="178"/>
      <c r="I1634" s="178"/>
      <c r="J1634" s="178"/>
      <c r="K1634" s="178"/>
      <c r="L1634" s="178"/>
      <c r="M1634" s="178"/>
      <c r="N1634" s="178"/>
      <c r="O1634" s="178"/>
      <c r="P1634" s="179"/>
      <c r="Q1634" s="169"/>
    </row>
    <row r="1635" spans="1:17" s="170" customFormat="1" ht="10.5" x14ac:dyDescent="0.25">
      <c r="A1635" s="175"/>
      <c r="B1635" s="176" t="str">
        <f t="shared" si="50"/>
        <v>PV1-19</v>
      </c>
      <c r="C1635" s="177"/>
      <c r="D1635" s="178"/>
      <c r="E1635" s="178">
        <f t="shared" ref="E1635:G1647" si="51">E1617</f>
        <v>1.8</v>
      </c>
      <c r="F1635" s="178">
        <f t="shared" si="51"/>
        <v>1.8</v>
      </c>
      <c r="G1635" s="178">
        <f t="shared" si="51"/>
        <v>6.9999999999999896E-2</v>
      </c>
      <c r="H1635" s="178"/>
      <c r="I1635" s="178"/>
      <c r="J1635" s="178">
        <f t="shared" ref="J1635:J1647" si="52">J1617</f>
        <v>0.6</v>
      </c>
      <c r="K1635" s="178"/>
      <c r="L1635" s="178"/>
      <c r="M1635" s="178"/>
      <c r="N1635" s="178">
        <f t="shared" ref="N1635:N1647" si="53">(E1635*F1635)-(PI()*(J1635/2)^2)</f>
        <v>2.9572566611769187</v>
      </c>
      <c r="O1635" s="178">
        <f t="shared" ref="O1635:O1647" si="54">N1635*G1635</f>
        <v>0.20700796628238399</v>
      </c>
      <c r="P1635" s="179"/>
      <c r="Q1635" s="169"/>
    </row>
    <row r="1636" spans="1:17" s="170" customFormat="1" ht="10.5" x14ac:dyDescent="0.25">
      <c r="A1636" s="175"/>
      <c r="B1636" s="176" t="str">
        <f t="shared" si="50"/>
        <v>PV1-20</v>
      </c>
      <c r="C1636" s="177"/>
      <c r="D1636" s="178"/>
      <c r="E1636" s="178">
        <f t="shared" si="51"/>
        <v>1.8</v>
      </c>
      <c r="F1636" s="178">
        <f t="shared" si="51"/>
        <v>1.8</v>
      </c>
      <c r="G1636" s="178">
        <f t="shared" si="51"/>
        <v>0</v>
      </c>
      <c r="H1636" s="178"/>
      <c r="I1636" s="178"/>
      <c r="J1636" s="178">
        <f t="shared" si="52"/>
        <v>0.6</v>
      </c>
      <c r="K1636" s="178"/>
      <c r="L1636" s="178"/>
      <c r="M1636" s="178"/>
      <c r="N1636" s="178">
        <f t="shared" si="53"/>
        <v>2.9572566611769187</v>
      </c>
      <c r="O1636" s="178">
        <f t="shared" si="54"/>
        <v>0</v>
      </c>
      <c r="P1636" s="179"/>
      <c r="Q1636" s="169"/>
    </row>
    <row r="1637" spans="1:17" s="170" customFormat="1" ht="10.5" x14ac:dyDescent="0.25">
      <c r="A1637" s="175"/>
      <c r="B1637" s="176" t="str">
        <f t="shared" si="50"/>
        <v>PV1-22</v>
      </c>
      <c r="C1637" s="177"/>
      <c r="D1637" s="178"/>
      <c r="E1637" s="178">
        <f t="shared" si="51"/>
        <v>1.8</v>
      </c>
      <c r="F1637" s="178">
        <f t="shared" si="51"/>
        <v>1.8</v>
      </c>
      <c r="G1637" s="178">
        <f t="shared" si="51"/>
        <v>0</v>
      </c>
      <c r="H1637" s="178"/>
      <c r="I1637" s="178"/>
      <c r="J1637" s="178">
        <f t="shared" si="52"/>
        <v>0.6</v>
      </c>
      <c r="K1637" s="178"/>
      <c r="L1637" s="178"/>
      <c r="M1637" s="178"/>
      <c r="N1637" s="178">
        <f t="shared" si="53"/>
        <v>2.9572566611769187</v>
      </c>
      <c r="O1637" s="178">
        <f t="shared" si="54"/>
        <v>0</v>
      </c>
      <c r="P1637" s="179"/>
      <c r="Q1637" s="169"/>
    </row>
    <row r="1638" spans="1:17" s="170" customFormat="1" ht="10.5" x14ac:dyDescent="0.25">
      <c r="A1638" s="175"/>
      <c r="B1638" s="176" t="str">
        <f t="shared" si="50"/>
        <v>PV1-24</v>
      </c>
      <c r="C1638" s="177"/>
      <c r="D1638" s="178"/>
      <c r="E1638" s="178">
        <f t="shared" si="51"/>
        <v>1.8</v>
      </c>
      <c r="F1638" s="178">
        <f t="shared" si="51"/>
        <v>1.8</v>
      </c>
      <c r="G1638" s="178">
        <f t="shared" si="51"/>
        <v>0</v>
      </c>
      <c r="H1638" s="178"/>
      <c r="I1638" s="178"/>
      <c r="J1638" s="178">
        <f t="shared" si="52"/>
        <v>0.6</v>
      </c>
      <c r="K1638" s="178"/>
      <c r="L1638" s="178"/>
      <c r="M1638" s="178"/>
      <c r="N1638" s="178">
        <f t="shared" si="53"/>
        <v>2.9572566611769187</v>
      </c>
      <c r="O1638" s="178">
        <f t="shared" si="54"/>
        <v>0</v>
      </c>
      <c r="P1638" s="179"/>
      <c r="Q1638" s="169"/>
    </row>
    <row r="1639" spans="1:17" s="170" customFormat="1" ht="10.5" x14ac:dyDescent="0.25">
      <c r="A1639" s="175"/>
      <c r="B1639" s="176" t="str">
        <f t="shared" si="50"/>
        <v>PV1-25</v>
      </c>
      <c r="C1639" s="177"/>
      <c r="D1639" s="178"/>
      <c r="E1639" s="178">
        <f t="shared" si="51"/>
        <v>1.8</v>
      </c>
      <c r="F1639" s="178">
        <f t="shared" si="51"/>
        <v>1.8</v>
      </c>
      <c r="G1639" s="178">
        <f t="shared" si="51"/>
        <v>0</v>
      </c>
      <c r="H1639" s="178"/>
      <c r="I1639" s="178"/>
      <c r="J1639" s="178">
        <f t="shared" si="52"/>
        <v>0.6</v>
      </c>
      <c r="K1639" s="178"/>
      <c r="L1639" s="178"/>
      <c r="M1639" s="178"/>
      <c r="N1639" s="178">
        <f t="shared" si="53"/>
        <v>2.9572566611769187</v>
      </c>
      <c r="O1639" s="178">
        <f t="shared" si="54"/>
        <v>0</v>
      </c>
      <c r="P1639" s="179"/>
      <c r="Q1639" s="169"/>
    </row>
    <row r="1640" spans="1:17" s="170" customFormat="1" ht="10.5" x14ac:dyDescent="0.25">
      <c r="A1640" s="175"/>
      <c r="B1640" s="176" t="str">
        <f t="shared" si="50"/>
        <v>PV1-30</v>
      </c>
      <c r="C1640" s="177"/>
      <c r="D1640" s="178"/>
      <c r="E1640" s="178">
        <f t="shared" si="51"/>
        <v>1.8</v>
      </c>
      <c r="F1640" s="178">
        <f t="shared" si="51"/>
        <v>1.8</v>
      </c>
      <c r="G1640" s="178">
        <f t="shared" si="51"/>
        <v>0</v>
      </c>
      <c r="H1640" s="178"/>
      <c r="I1640" s="178"/>
      <c r="J1640" s="178">
        <f t="shared" si="52"/>
        <v>0.6</v>
      </c>
      <c r="K1640" s="178"/>
      <c r="L1640" s="178"/>
      <c r="M1640" s="178"/>
      <c r="N1640" s="178">
        <f t="shared" si="53"/>
        <v>2.9572566611769187</v>
      </c>
      <c r="O1640" s="178">
        <f t="shared" si="54"/>
        <v>0</v>
      </c>
      <c r="P1640" s="179"/>
      <c r="Q1640" s="169"/>
    </row>
    <row r="1641" spans="1:17" s="170" customFormat="1" ht="10.5" x14ac:dyDescent="0.25">
      <c r="A1641" s="175"/>
      <c r="B1641" s="176" t="str">
        <f t="shared" si="50"/>
        <v>PV2-24</v>
      </c>
      <c r="C1641" s="177"/>
      <c r="D1641" s="178"/>
      <c r="E1641" s="178">
        <f t="shared" si="51"/>
        <v>1.8</v>
      </c>
      <c r="F1641" s="178">
        <f t="shared" si="51"/>
        <v>1.8</v>
      </c>
      <c r="G1641" s="178">
        <f t="shared" si="51"/>
        <v>0.71</v>
      </c>
      <c r="H1641" s="178"/>
      <c r="I1641" s="178"/>
      <c r="J1641" s="178">
        <f t="shared" si="52"/>
        <v>0.6</v>
      </c>
      <c r="K1641" s="178"/>
      <c r="L1641" s="178"/>
      <c r="M1641" s="178"/>
      <c r="N1641" s="178">
        <f t="shared" si="53"/>
        <v>2.9572566611769187</v>
      </c>
      <c r="O1641" s="178">
        <f t="shared" si="54"/>
        <v>2.0996522294356121</v>
      </c>
      <c r="P1641" s="179"/>
      <c r="Q1641" s="169"/>
    </row>
    <row r="1642" spans="1:17" s="170" customFormat="1" ht="10.5" x14ac:dyDescent="0.25">
      <c r="A1642" s="175"/>
      <c r="B1642" s="176" t="str">
        <f t="shared" si="50"/>
        <v>PV3-21</v>
      </c>
      <c r="C1642" s="177"/>
      <c r="D1642" s="178"/>
      <c r="E1642" s="178">
        <f t="shared" si="51"/>
        <v>1.8</v>
      </c>
      <c r="F1642" s="178">
        <f t="shared" si="51"/>
        <v>1.8</v>
      </c>
      <c r="G1642" s="178">
        <f t="shared" si="51"/>
        <v>0.56999999999999984</v>
      </c>
      <c r="H1642" s="178"/>
      <c r="I1642" s="178"/>
      <c r="J1642" s="178">
        <f t="shared" si="52"/>
        <v>0.6</v>
      </c>
      <c r="K1642" s="178"/>
      <c r="L1642" s="178"/>
      <c r="M1642" s="178"/>
      <c r="N1642" s="178">
        <f t="shared" si="53"/>
        <v>2.9572566611769187</v>
      </c>
      <c r="O1642" s="178">
        <f t="shared" si="54"/>
        <v>1.6856362968708432</v>
      </c>
      <c r="P1642" s="179"/>
      <c r="Q1642" s="169"/>
    </row>
    <row r="1643" spans="1:17" s="170" customFormat="1" ht="10.5" x14ac:dyDescent="0.25">
      <c r="A1643" s="175"/>
      <c r="B1643" s="176" t="str">
        <f t="shared" si="50"/>
        <v>PV4-23</v>
      </c>
      <c r="C1643" s="177"/>
      <c r="D1643" s="178"/>
      <c r="E1643" s="178">
        <f t="shared" si="51"/>
        <v>1.8</v>
      </c>
      <c r="F1643" s="178">
        <f t="shared" si="51"/>
        <v>1.8</v>
      </c>
      <c r="G1643" s="178">
        <f t="shared" si="51"/>
        <v>0.4100000000000002</v>
      </c>
      <c r="H1643" s="178"/>
      <c r="I1643" s="178"/>
      <c r="J1643" s="178">
        <f t="shared" si="52"/>
        <v>0.6</v>
      </c>
      <c r="K1643" s="178"/>
      <c r="L1643" s="178"/>
      <c r="M1643" s="178"/>
      <c r="N1643" s="178">
        <f t="shared" si="53"/>
        <v>2.9572566611769187</v>
      </c>
      <c r="O1643" s="178">
        <f t="shared" si="54"/>
        <v>1.2124752310825373</v>
      </c>
      <c r="P1643" s="179"/>
      <c r="Q1643" s="169"/>
    </row>
    <row r="1644" spans="1:17" s="170" customFormat="1" ht="10.5" x14ac:dyDescent="0.25">
      <c r="A1644" s="175"/>
      <c r="B1644" s="176" t="str">
        <f t="shared" si="50"/>
        <v>PV5-21</v>
      </c>
      <c r="C1644" s="177"/>
      <c r="D1644" s="178"/>
      <c r="E1644" s="178">
        <f t="shared" si="51"/>
        <v>1.8</v>
      </c>
      <c r="F1644" s="178">
        <f t="shared" si="51"/>
        <v>1.8</v>
      </c>
      <c r="G1644" s="178">
        <f t="shared" si="51"/>
        <v>2.4500000000000002</v>
      </c>
      <c r="H1644" s="178"/>
      <c r="I1644" s="178"/>
      <c r="J1644" s="178">
        <f t="shared" si="52"/>
        <v>0.6</v>
      </c>
      <c r="K1644" s="178"/>
      <c r="L1644" s="178"/>
      <c r="M1644" s="178"/>
      <c r="N1644" s="178">
        <f t="shared" si="53"/>
        <v>2.9572566611769187</v>
      </c>
      <c r="O1644" s="178">
        <f t="shared" si="54"/>
        <v>7.2452788198834508</v>
      </c>
      <c r="P1644" s="179"/>
      <c r="Q1644" s="169"/>
    </row>
    <row r="1645" spans="1:17" s="170" customFormat="1" ht="10.5" x14ac:dyDescent="0.25">
      <c r="A1645" s="175"/>
      <c r="B1645" s="176" t="str">
        <f t="shared" si="50"/>
        <v>PV5-23</v>
      </c>
      <c r="C1645" s="177"/>
      <c r="D1645" s="178"/>
      <c r="E1645" s="178">
        <f t="shared" si="51"/>
        <v>1.8</v>
      </c>
      <c r="F1645" s="178">
        <f t="shared" si="51"/>
        <v>1.8</v>
      </c>
      <c r="G1645" s="178">
        <f t="shared" si="51"/>
        <v>1.476</v>
      </c>
      <c r="H1645" s="178"/>
      <c r="I1645" s="178"/>
      <c r="J1645" s="178">
        <f t="shared" si="52"/>
        <v>0.6</v>
      </c>
      <c r="K1645" s="178"/>
      <c r="L1645" s="178"/>
      <c r="M1645" s="178"/>
      <c r="N1645" s="178">
        <f t="shared" si="53"/>
        <v>2.9572566611769187</v>
      </c>
      <c r="O1645" s="178">
        <f t="shared" si="54"/>
        <v>4.3649108318971317</v>
      </c>
      <c r="P1645" s="179"/>
      <c r="Q1645" s="169"/>
    </row>
    <row r="1646" spans="1:17" s="170" customFormat="1" ht="10.5" x14ac:dyDescent="0.25">
      <c r="A1646" s="175"/>
      <c r="B1646" s="176" t="str">
        <f t="shared" si="50"/>
        <v>PV6-21</v>
      </c>
      <c r="C1646" s="177"/>
      <c r="D1646" s="178"/>
      <c r="E1646" s="178">
        <f t="shared" si="51"/>
        <v>1.8</v>
      </c>
      <c r="F1646" s="178">
        <f t="shared" si="51"/>
        <v>1.8</v>
      </c>
      <c r="G1646" s="178">
        <f t="shared" si="51"/>
        <v>1.8300000000000003</v>
      </c>
      <c r="H1646" s="178"/>
      <c r="I1646" s="178"/>
      <c r="J1646" s="178">
        <f t="shared" si="52"/>
        <v>0.6</v>
      </c>
      <c r="K1646" s="178"/>
      <c r="L1646" s="178"/>
      <c r="M1646" s="178"/>
      <c r="N1646" s="178">
        <f t="shared" si="53"/>
        <v>2.9572566611769187</v>
      </c>
      <c r="O1646" s="178">
        <f t="shared" si="54"/>
        <v>5.4117796899537618</v>
      </c>
      <c r="P1646" s="179"/>
      <c r="Q1646" s="169"/>
    </row>
    <row r="1647" spans="1:17" s="170" customFormat="1" ht="10.5" x14ac:dyDescent="0.25">
      <c r="A1647" s="175"/>
      <c r="B1647" s="176" t="str">
        <f t="shared" si="50"/>
        <v>PV6-23</v>
      </c>
      <c r="C1647" s="177"/>
      <c r="D1647" s="178"/>
      <c r="E1647" s="178">
        <f t="shared" si="51"/>
        <v>1.8</v>
      </c>
      <c r="F1647" s="178">
        <f t="shared" si="51"/>
        <v>1.8</v>
      </c>
      <c r="G1647" s="178">
        <f t="shared" si="51"/>
        <v>1.5199999999999996</v>
      </c>
      <c r="H1647" s="178"/>
      <c r="I1647" s="178"/>
      <c r="J1647" s="178">
        <f t="shared" si="52"/>
        <v>0.6</v>
      </c>
      <c r="K1647" s="178"/>
      <c r="L1647" s="178"/>
      <c r="M1647" s="178"/>
      <c r="N1647" s="178">
        <f t="shared" si="53"/>
        <v>2.9572566611769187</v>
      </c>
      <c r="O1647" s="178">
        <f t="shared" si="54"/>
        <v>4.4950301249889151</v>
      </c>
      <c r="P1647" s="179"/>
      <c r="Q1647" s="169"/>
    </row>
    <row r="1648" spans="1:17" s="170" customFormat="1" ht="10.5" x14ac:dyDescent="0.25">
      <c r="A1648" s="175"/>
      <c r="B1648" s="176"/>
      <c r="C1648" s="177"/>
      <c r="D1648" s="178"/>
      <c r="E1648" s="178"/>
      <c r="F1648" s="178"/>
      <c r="G1648" s="178"/>
      <c r="H1648" s="178"/>
      <c r="I1648" s="178"/>
      <c r="J1648" s="178"/>
      <c r="K1648" s="178"/>
      <c r="L1648" s="180"/>
      <c r="M1648" s="178"/>
      <c r="N1648" s="178"/>
      <c r="O1648" s="178"/>
      <c r="P1648" s="179"/>
      <c r="Q1648" s="169"/>
    </row>
    <row r="1649" spans="1:17" s="170" customFormat="1" ht="10.5" x14ac:dyDescent="0.25">
      <c r="A1649" s="175"/>
      <c r="B1649" s="181" t="s">
        <v>5</v>
      </c>
      <c r="C1649" s="182" t="s">
        <v>1328</v>
      </c>
      <c r="D1649" s="182"/>
      <c r="E1649" s="182"/>
      <c r="F1649" s="182"/>
      <c r="G1649" s="182"/>
      <c r="H1649" s="182"/>
      <c r="I1649" s="182"/>
      <c r="J1649" s="182"/>
      <c r="K1649" s="182"/>
      <c r="L1649" s="182"/>
      <c r="M1649" s="182"/>
      <c r="N1649" s="182"/>
      <c r="O1649" s="182">
        <f>SUM(O1635:O1648)</f>
        <v>26.721771190394634</v>
      </c>
      <c r="P1649" s="183"/>
      <c r="Q1649" s="169"/>
    </row>
    <row r="1650" spans="1:17" s="174" customFormat="1" ht="52.5" x14ac:dyDescent="0.25">
      <c r="A1650" s="171" t="str">
        <f>ORÇAMENTO!A318</f>
        <v>4.4.14</v>
      </c>
      <c r="B1650" s="172" t="str">
        <f>VLOOKUP(A1650,ORÇAMENTO!A:K,4,0)</f>
        <v>CARGA, MANOBRA E DESCARGA DE ENTULHO EM CAMINHÃO BASCULANTE 14 M³ - CARGA COM ESCAVADEIRA HIDRÁULICA  (CAÇAMBA DE 0,80 M³ / 111 HP) E DESCARGA LIVRE (UNIDADE: M3). AF_07/2020</v>
      </c>
      <c r="C1650" s="173" t="str">
        <f>VLOOKUP(A1650,ORÇAMENTO!A:K,5,0)</f>
        <v>M³</v>
      </c>
      <c r="D1650" s="173">
        <f>SUM(E1654:O1654)</f>
        <v>1.2635999999999996</v>
      </c>
      <c r="E1650" s="173" t="s">
        <v>1718</v>
      </c>
      <c r="F1650" s="173" t="s">
        <v>1719</v>
      </c>
      <c r="G1650" s="173" t="s">
        <v>1720</v>
      </c>
      <c r="H1650" s="173" t="s">
        <v>1721</v>
      </c>
      <c r="I1650" s="173" t="s">
        <v>1722</v>
      </c>
      <c r="J1650" s="173" t="s">
        <v>1723</v>
      </c>
      <c r="K1650" s="173" t="s">
        <v>1746</v>
      </c>
      <c r="L1650" s="173" t="s">
        <v>1747</v>
      </c>
      <c r="M1650" s="173" t="s">
        <v>1730</v>
      </c>
      <c r="N1650" s="173" t="s">
        <v>1727</v>
      </c>
      <c r="O1650" s="173" t="s">
        <v>1728</v>
      </c>
      <c r="P1650" s="169"/>
      <c r="Q1650" s="169"/>
    </row>
    <row r="1651" spans="1:17" s="170" customFormat="1" ht="10.5" x14ac:dyDescent="0.25">
      <c r="A1651" s="175"/>
      <c r="B1651" s="176" t="s">
        <v>1748</v>
      </c>
      <c r="C1651" s="184"/>
      <c r="D1651" s="185"/>
      <c r="E1651" s="185"/>
      <c r="F1651" s="185"/>
      <c r="G1651" s="185"/>
      <c r="H1651" s="185">
        <v>0.03</v>
      </c>
      <c r="I1651" s="185"/>
      <c r="J1651" s="185"/>
      <c r="K1651" s="185"/>
      <c r="L1651" s="185"/>
      <c r="M1651" s="185"/>
      <c r="N1651" s="185">
        <f>N1491</f>
        <v>42.11999999999999</v>
      </c>
      <c r="O1651" s="185"/>
      <c r="P1651" s="179"/>
      <c r="Q1651" s="169"/>
    </row>
    <row r="1652" spans="1:17" s="170" customFormat="1" ht="10.5" x14ac:dyDescent="0.25">
      <c r="A1652" s="175"/>
      <c r="B1652" s="176" t="s">
        <v>1878</v>
      </c>
      <c r="C1652" s="184"/>
      <c r="D1652" s="185"/>
      <c r="E1652" s="185"/>
      <c r="F1652" s="185"/>
      <c r="G1652" s="185"/>
      <c r="H1652" s="185"/>
      <c r="I1652" s="185"/>
      <c r="J1652" s="185"/>
      <c r="K1652" s="185"/>
      <c r="L1652" s="185"/>
      <c r="M1652" s="185"/>
      <c r="N1652" s="185"/>
      <c r="O1652" s="185">
        <f>N1651*H1651</f>
        <v>1.2635999999999996</v>
      </c>
      <c r="P1652" s="179"/>
      <c r="Q1652" s="169"/>
    </row>
    <row r="1653" spans="1:17" s="170" customFormat="1" ht="10.5" x14ac:dyDescent="0.25">
      <c r="A1653" s="175"/>
      <c r="B1653" s="176"/>
      <c r="C1653" s="184"/>
      <c r="D1653" s="185"/>
      <c r="E1653" s="185"/>
      <c r="F1653" s="185"/>
      <c r="G1653" s="185"/>
      <c r="H1653" s="185"/>
      <c r="I1653" s="185"/>
      <c r="J1653" s="185"/>
      <c r="K1653" s="185"/>
      <c r="L1653" s="186"/>
      <c r="M1653" s="185"/>
      <c r="N1653" s="185"/>
      <c r="O1653" s="185"/>
      <c r="P1653" s="179"/>
      <c r="Q1653" s="169"/>
    </row>
    <row r="1654" spans="1:17" s="170" customFormat="1" ht="10.5" x14ac:dyDescent="0.25">
      <c r="A1654" s="175"/>
      <c r="B1654" s="181" t="s">
        <v>5</v>
      </c>
      <c r="C1654" s="182" t="s">
        <v>1328</v>
      </c>
      <c r="D1654" s="182"/>
      <c r="E1654" s="182"/>
      <c r="F1654" s="182"/>
      <c r="G1654" s="182"/>
      <c r="H1654" s="182"/>
      <c r="I1654" s="182"/>
      <c r="J1654" s="182"/>
      <c r="K1654" s="182"/>
      <c r="L1654" s="182"/>
      <c r="M1654" s="182"/>
      <c r="N1654" s="182"/>
      <c r="O1654" s="182">
        <f>SUM(O1652:O1653)</f>
        <v>1.2635999999999996</v>
      </c>
      <c r="P1654" s="183"/>
      <c r="Q1654" s="169"/>
    </row>
    <row r="1655" spans="1:17" s="174" customFormat="1" ht="52.5" x14ac:dyDescent="0.25">
      <c r="A1655" s="171" t="str">
        <f>ORÇAMENTO!A319</f>
        <v>4.4.15</v>
      </c>
      <c r="B1655" s="172" t="str">
        <f>VLOOKUP(A1655,ORÇAMENTO!A:K,4,0)</f>
        <v>CARGA, MANOBRA E DESCARGA DE SOLOS E MATERIAIS GRANULARES EM CAMINHÃO BASCULANTE 14 M³ - CARGA COM ESCAVADEIRA HIDRÁULICA (CAÇAMBA DE 1,20 M³ / 155 HP) E DESCARGA LIVRE (UNIDADE: M3). AF_07/2020</v>
      </c>
      <c r="C1655" s="173" t="str">
        <f>VLOOKUP(A1655,ORÇAMENTO!A:K,5,0)</f>
        <v>M³</v>
      </c>
      <c r="D1655" s="173">
        <f>SUM(E1662:O1662)</f>
        <v>8.3373608161930584</v>
      </c>
      <c r="E1655" s="173" t="s">
        <v>1718</v>
      </c>
      <c r="F1655" s="173" t="s">
        <v>1719</v>
      </c>
      <c r="G1655" s="173" t="s">
        <v>1720</v>
      </c>
      <c r="H1655" s="173" t="s">
        <v>1721</v>
      </c>
      <c r="I1655" s="173" t="s">
        <v>1722</v>
      </c>
      <c r="J1655" s="173" t="s">
        <v>1723</v>
      </c>
      <c r="K1655" s="173" t="s">
        <v>1746</v>
      </c>
      <c r="L1655" s="173" t="s">
        <v>1747</v>
      </c>
      <c r="M1655" s="173" t="s">
        <v>1730</v>
      </c>
      <c r="N1655" s="173" t="s">
        <v>1727</v>
      </c>
      <c r="O1655" s="173" t="s">
        <v>1728</v>
      </c>
      <c r="P1655" s="169"/>
      <c r="Q1655" s="169"/>
    </row>
    <row r="1656" spans="1:17" s="170" customFormat="1" ht="10.5" x14ac:dyDescent="0.25">
      <c r="A1656" s="175"/>
      <c r="B1656" s="176"/>
      <c r="C1656" s="177"/>
      <c r="D1656" s="178"/>
      <c r="E1656" s="178"/>
      <c r="F1656" s="178"/>
      <c r="G1656" s="178"/>
      <c r="H1656" s="178"/>
      <c r="I1656" s="178"/>
      <c r="J1656" s="178"/>
      <c r="K1656" s="178"/>
      <c r="L1656" s="178"/>
      <c r="M1656" s="178"/>
      <c r="N1656" s="178"/>
      <c r="O1656" s="178"/>
      <c r="P1656" s="179"/>
      <c r="Q1656" s="169"/>
    </row>
    <row r="1657" spans="1:17" s="170" customFormat="1" ht="10.5" x14ac:dyDescent="0.25">
      <c r="A1657" s="175"/>
      <c r="B1657" s="176" t="s">
        <v>1879</v>
      </c>
      <c r="C1657" s="177"/>
      <c r="D1657" s="178"/>
      <c r="E1657" s="178"/>
      <c r="F1657" s="178"/>
      <c r="G1657" s="178"/>
      <c r="H1657" s="178"/>
      <c r="I1657" s="178"/>
      <c r="J1657" s="178"/>
      <c r="K1657" s="178"/>
      <c r="L1657" s="178"/>
      <c r="M1657" s="178"/>
      <c r="N1657" s="178"/>
      <c r="O1657" s="178">
        <f>O1504+O1512</f>
        <v>38.607839999999996</v>
      </c>
      <c r="P1657" s="179"/>
      <c r="Q1657" s="169"/>
    </row>
    <row r="1658" spans="1:17" s="170" customFormat="1" ht="10.5" x14ac:dyDescent="0.25">
      <c r="A1658" s="175"/>
      <c r="B1658" s="176" t="s">
        <v>1880</v>
      </c>
      <c r="C1658" s="177"/>
      <c r="D1658" s="178"/>
      <c r="E1658" s="178"/>
      <c r="F1658" s="178"/>
      <c r="G1658" s="178"/>
      <c r="H1658" s="178"/>
      <c r="I1658" s="178"/>
      <c r="J1658" s="178"/>
      <c r="K1658" s="178"/>
      <c r="L1658" s="178"/>
      <c r="M1658" s="178"/>
      <c r="N1658" s="178"/>
      <c r="O1658" s="178">
        <f>O1649+O1613</f>
        <v>30.270479183806938</v>
      </c>
      <c r="P1658" s="179"/>
      <c r="Q1658" s="169"/>
    </row>
    <row r="1659" spans="1:17" s="170" customFormat="1" ht="10.5" x14ac:dyDescent="0.25">
      <c r="A1659" s="175"/>
      <c r="B1659" s="176"/>
      <c r="C1659" s="177"/>
      <c r="D1659" s="178"/>
      <c r="E1659" s="178"/>
      <c r="F1659" s="178"/>
      <c r="G1659" s="178"/>
      <c r="H1659" s="178"/>
      <c r="I1659" s="178"/>
      <c r="J1659" s="178"/>
      <c r="K1659" s="178"/>
      <c r="L1659" s="178"/>
      <c r="M1659" s="178"/>
      <c r="N1659" s="178"/>
      <c r="O1659" s="178"/>
      <c r="P1659" s="179"/>
      <c r="Q1659" s="169"/>
    </row>
    <row r="1660" spans="1:17" s="170" customFormat="1" ht="21" x14ac:dyDescent="0.25">
      <c r="A1660" s="175"/>
      <c r="B1660" s="181" t="s">
        <v>1881</v>
      </c>
      <c r="C1660" s="177"/>
      <c r="D1660" s="178"/>
      <c r="E1660" s="178"/>
      <c r="F1660" s="178"/>
      <c r="G1660" s="178"/>
      <c r="H1660" s="178"/>
      <c r="I1660" s="178"/>
      <c r="J1660" s="178"/>
      <c r="K1660" s="178"/>
      <c r="L1660" s="178"/>
      <c r="M1660" s="178"/>
      <c r="N1660" s="178"/>
      <c r="O1660" s="177">
        <f>O1657-O1658</f>
        <v>8.3373608161930584</v>
      </c>
      <c r="P1660" s="179"/>
      <c r="Q1660" s="169"/>
    </row>
    <row r="1661" spans="1:17" s="170" customFormat="1" ht="10.5" x14ac:dyDescent="0.25">
      <c r="A1661" s="175"/>
      <c r="B1661" s="176"/>
      <c r="C1661" s="177"/>
      <c r="D1661" s="178"/>
      <c r="E1661" s="178"/>
      <c r="F1661" s="178"/>
      <c r="G1661" s="178"/>
      <c r="H1661" s="178"/>
      <c r="I1661" s="178"/>
      <c r="J1661" s="178"/>
      <c r="K1661" s="178"/>
      <c r="L1661" s="180"/>
      <c r="M1661" s="178"/>
      <c r="N1661" s="178"/>
      <c r="O1661" s="178"/>
      <c r="P1661" s="179"/>
      <c r="Q1661" s="169"/>
    </row>
    <row r="1662" spans="1:17" s="170" customFormat="1" ht="10.5" x14ac:dyDescent="0.25">
      <c r="A1662" s="175"/>
      <c r="B1662" s="181" t="s">
        <v>5</v>
      </c>
      <c r="C1662" s="182" t="s">
        <v>1328</v>
      </c>
      <c r="D1662" s="182"/>
      <c r="E1662" s="182"/>
      <c r="F1662" s="182"/>
      <c r="G1662" s="182"/>
      <c r="H1662" s="182"/>
      <c r="I1662" s="182"/>
      <c r="J1662" s="182"/>
      <c r="K1662" s="182"/>
      <c r="L1662" s="182"/>
      <c r="M1662" s="182"/>
      <c r="N1662" s="182"/>
      <c r="O1662" s="182">
        <f>SUM(O1660:O1661)</f>
        <v>8.3373608161930584</v>
      </c>
      <c r="P1662" s="183"/>
      <c r="Q1662" s="169"/>
    </row>
    <row r="1663" spans="1:17" s="174" customFormat="1" ht="31.5" x14ac:dyDescent="0.25">
      <c r="A1663" s="171" t="str">
        <f>ORÇAMENTO!A320</f>
        <v>4.4.16</v>
      </c>
      <c r="B1663" s="172" t="str">
        <f>VLOOKUP(A1663,ORÇAMENTO!A:K,4,0)</f>
        <v>TRANSPORTE COM CAMINHÃO BASCULANTE DE 14 M³, EM VIA URBANA PAVIMENTADA, DMT ATÉ 30 KM (UNIDADE: M3XKM). AF_07/2020</v>
      </c>
      <c r="C1663" s="173" t="str">
        <f>VLOOKUP(A1663,ORÇAMENTO!A:K,5,0)</f>
        <v>M3XKM</v>
      </c>
      <c r="D1663" s="173">
        <f>SUM(E1668:O1668)</f>
        <v>288.02882448579174</v>
      </c>
      <c r="E1663" s="173" t="s">
        <v>1749</v>
      </c>
      <c r="F1663" s="173" t="s">
        <v>1719</v>
      </c>
      <c r="G1663" s="173" t="s">
        <v>1720</v>
      </c>
      <c r="H1663" s="173" t="s">
        <v>1721</v>
      </c>
      <c r="I1663" s="173" t="s">
        <v>1722</v>
      </c>
      <c r="J1663" s="173" t="s">
        <v>1750</v>
      </c>
      <c r="K1663" s="173" t="s">
        <v>1746</v>
      </c>
      <c r="L1663" s="173" t="s">
        <v>1725</v>
      </c>
      <c r="M1663" s="173" t="s">
        <v>1730</v>
      </c>
      <c r="N1663" s="173" t="s">
        <v>1727</v>
      </c>
      <c r="O1663" s="173" t="s">
        <v>1728</v>
      </c>
      <c r="P1663" s="169"/>
      <c r="Q1663" s="169"/>
    </row>
    <row r="1664" spans="1:17" s="170" customFormat="1" ht="10.5" x14ac:dyDescent="0.25">
      <c r="A1664" s="175"/>
      <c r="B1664" s="176"/>
      <c r="C1664" s="177"/>
      <c r="D1664" s="178"/>
      <c r="E1664" s="178"/>
      <c r="F1664" s="178"/>
      <c r="G1664" s="178"/>
      <c r="H1664" s="178"/>
      <c r="I1664" s="178"/>
      <c r="J1664" s="178"/>
      <c r="K1664" s="178"/>
      <c r="L1664" s="180"/>
      <c r="M1664" s="178"/>
      <c r="N1664" s="178"/>
      <c r="O1664" s="178"/>
      <c r="P1664" s="179"/>
      <c r="Q1664" s="169"/>
    </row>
    <row r="1665" spans="1:19" s="170" customFormat="1" ht="21" x14ac:dyDescent="0.25">
      <c r="A1665" s="175"/>
      <c r="B1665" s="176" t="s">
        <v>1773</v>
      </c>
      <c r="C1665" s="184"/>
      <c r="D1665" s="185"/>
      <c r="E1665" s="185">
        <v>30</v>
      </c>
      <c r="F1665" s="185"/>
      <c r="G1665" s="185"/>
      <c r="H1665" s="185"/>
      <c r="I1665" s="185"/>
      <c r="J1665" s="185">
        <f>E1665*O1665</f>
        <v>250.12082448579176</v>
      </c>
      <c r="K1665" s="185"/>
      <c r="L1665" s="185"/>
      <c r="M1665" s="185"/>
      <c r="N1665" s="185"/>
      <c r="O1665" s="185">
        <f>O1662</f>
        <v>8.3373608161930584</v>
      </c>
      <c r="P1665" s="179"/>
      <c r="Q1665" s="169"/>
    </row>
    <row r="1666" spans="1:19" s="170" customFormat="1" ht="21" x14ac:dyDescent="0.25">
      <c r="A1666" s="175"/>
      <c r="B1666" s="176" t="s">
        <v>1774</v>
      </c>
      <c r="C1666" s="184"/>
      <c r="D1666" s="185"/>
      <c r="E1666" s="185">
        <v>30</v>
      </c>
      <c r="F1666" s="185"/>
      <c r="G1666" s="185"/>
      <c r="H1666" s="185"/>
      <c r="I1666" s="185"/>
      <c r="J1666" s="185">
        <f>E1666*O1666</f>
        <v>37.907999999999987</v>
      </c>
      <c r="K1666" s="185"/>
      <c r="L1666" s="185"/>
      <c r="M1666" s="185"/>
      <c r="N1666" s="185"/>
      <c r="O1666" s="185">
        <f>O1654</f>
        <v>1.2635999999999996</v>
      </c>
      <c r="P1666" s="179"/>
      <c r="Q1666" s="169"/>
    </row>
    <row r="1667" spans="1:19" s="170" customFormat="1" ht="10.5" x14ac:dyDescent="0.25">
      <c r="A1667" s="175"/>
      <c r="B1667" s="176"/>
      <c r="C1667" s="184"/>
      <c r="D1667" s="185"/>
      <c r="E1667" s="185"/>
      <c r="F1667" s="185"/>
      <c r="G1667" s="185"/>
      <c r="H1667" s="185"/>
      <c r="I1667" s="185"/>
      <c r="J1667" s="185"/>
      <c r="K1667" s="185"/>
      <c r="L1667" s="186"/>
      <c r="M1667" s="185"/>
      <c r="N1667" s="185"/>
      <c r="O1667" s="185"/>
      <c r="P1667" s="179"/>
      <c r="Q1667" s="169"/>
    </row>
    <row r="1668" spans="1:19" s="170" customFormat="1" ht="10.5" x14ac:dyDescent="0.25">
      <c r="A1668" s="175"/>
      <c r="B1668" s="181" t="s">
        <v>5</v>
      </c>
      <c r="C1668" s="182" t="s">
        <v>1328</v>
      </c>
      <c r="D1668" s="182"/>
      <c r="E1668" s="182"/>
      <c r="F1668" s="182"/>
      <c r="G1668" s="182"/>
      <c r="H1668" s="182"/>
      <c r="I1668" s="182"/>
      <c r="J1668" s="182">
        <f>SUM(J1665:J1667)</f>
        <v>288.02882448579174</v>
      </c>
      <c r="K1668" s="182"/>
      <c r="L1668" s="182"/>
      <c r="M1668" s="182"/>
      <c r="N1668" s="182"/>
      <c r="O1668" s="182"/>
      <c r="P1668" s="183"/>
      <c r="Q1668" s="169"/>
    </row>
    <row r="1669" spans="1:19" s="189" customFormat="1" ht="42" x14ac:dyDescent="0.35">
      <c r="A1669" s="171" t="str">
        <f>ORÇAMENTO!A321</f>
        <v>4.4.17</v>
      </c>
      <c r="B1669" s="172" t="str">
        <f>VLOOKUP(A1669,ORÇAMENTO!A:K,4,0)</f>
        <v>TRANSPORTE COM CAMINHÃO BASCULANTE DE 14 M³, EM VIA URBANA PAVIMENTADA, ADICIONAL PARA DMT EXCEDENTE A 30 KM (UNIDADE: M3XKM). AF_07/2020</v>
      </c>
      <c r="C1669" s="173" t="str">
        <f>VLOOKUP(A1669,ORÇAMENTO!A:K,5,0)</f>
        <v>M3XKM</v>
      </c>
      <c r="D1669" s="173">
        <f>SUM(E1674:O1674)</f>
        <v>174.99980358994142</v>
      </c>
      <c r="E1669" s="173" t="s">
        <v>1752</v>
      </c>
      <c r="F1669" s="173" t="s">
        <v>1719</v>
      </c>
      <c r="G1669" s="173" t="s">
        <v>1720</v>
      </c>
      <c r="H1669" s="173" t="s">
        <v>1721</v>
      </c>
      <c r="I1669" s="173" t="s">
        <v>1722</v>
      </c>
      <c r="J1669" s="173" t="s">
        <v>1750</v>
      </c>
      <c r="K1669" s="173" t="s">
        <v>1746</v>
      </c>
      <c r="L1669" s="173" t="s">
        <v>1753</v>
      </c>
      <c r="M1669" s="173" t="s">
        <v>1730</v>
      </c>
      <c r="N1669" s="173" t="s">
        <v>1727</v>
      </c>
      <c r="O1669" s="173" t="s">
        <v>1728</v>
      </c>
      <c r="P1669" s="169"/>
      <c r="Q1669" s="169"/>
      <c r="R1669" s="169"/>
      <c r="S1669" s="169"/>
    </row>
    <row r="1670" spans="1:19" s="170" customFormat="1" ht="10.5" x14ac:dyDescent="0.25">
      <c r="A1670" s="175"/>
      <c r="B1670" s="176"/>
      <c r="C1670" s="177"/>
      <c r="D1670" s="178"/>
      <c r="E1670" s="178"/>
      <c r="F1670" s="178"/>
      <c r="G1670" s="178"/>
      <c r="H1670" s="178"/>
      <c r="I1670" s="178"/>
      <c r="J1670" s="178"/>
      <c r="K1670" s="178"/>
      <c r="L1670" s="180"/>
      <c r="M1670" s="178"/>
      <c r="N1670" s="178"/>
      <c r="O1670" s="178"/>
      <c r="P1670" s="179"/>
      <c r="Q1670" s="169"/>
    </row>
    <row r="1671" spans="1:19" s="170" customFormat="1" ht="21" x14ac:dyDescent="0.25">
      <c r="A1671" s="175"/>
      <c r="B1671" s="176" t="str">
        <f>B1665</f>
        <v>TRANSPORTE ATÉ ATERRO ESTRUTURAL - BOTA FORA - MATERIAL NÃO APROVEITADO</v>
      </c>
      <c r="C1671" s="177"/>
      <c r="D1671" s="178"/>
      <c r="E1671" s="178">
        <f>44.2-E1665</f>
        <v>14.200000000000003</v>
      </c>
      <c r="F1671" s="178"/>
      <c r="G1671" s="178"/>
      <c r="H1671" s="178"/>
      <c r="I1671" s="178"/>
      <c r="J1671" s="178">
        <f>E1671*O1671</f>
        <v>118.39052358994145</v>
      </c>
      <c r="K1671" s="178"/>
      <c r="L1671" s="190"/>
      <c r="M1671" s="178"/>
      <c r="N1671" s="178"/>
      <c r="O1671" s="178">
        <f>O1665</f>
        <v>8.3373608161930584</v>
      </c>
      <c r="P1671" s="179"/>
      <c r="Q1671" s="169"/>
    </row>
    <row r="1672" spans="1:19" s="170" customFormat="1" ht="21" x14ac:dyDescent="0.25">
      <c r="A1672" s="175"/>
      <c r="B1672" s="176" t="str">
        <f>B1666</f>
        <v>TRANSPORTE ATÉ ATERRO SAMAMBIA - BOTA FORA - ROCHA</v>
      </c>
      <c r="C1672" s="177"/>
      <c r="D1672" s="178"/>
      <c r="E1672" s="178">
        <f>74.8-E1666</f>
        <v>44.8</v>
      </c>
      <c r="F1672" s="178"/>
      <c r="G1672" s="178"/>
      <c r="H1672" s="178"/>
      <c r="I1672" s="178"/>
      <c r="J1672" s="178">
        <f>E1672*O1672</f>
        <v>56.609279999999977</v>
      </c>
      <c r="K1672" s="178"/>
      <c r="L1672" s="190"/>
      <c r="M1672" s="178"/>
      <c r="N1672" s="178"/>
      <c r="O1672" s="178">
        <f>O1666</f>
        <v>1.2635999999999996</v>
      </c>
      <c r="P1672" s="179"/>
      <c r="Q1672" s="169"/>
    </row>
    <row r="1673" spans="1:19" s="170" customFormat="1" ht="10.5" x14ac:dyDescent="0.25">
      <c r="A1673" s="175"/>
      <c r="B1673" s="176"/>
      <c r="C1673" s="177"/>
      <c r="D1673" s="178"/>
      <c r="E1673" s="178"/>
      <c r="F1673" s="178"/>
      <c r="G1673" s="178"/>
      <c r="H1673" s="178"/>
      <c r="I1673" s="178"/>
      <c r="J1673" s="178"/>
      <c r="K1673" s="178"/>
      <c r="L1673" s="190"/>
      <c r="M1673" s="178"/>
      <c r="N1673" s="178"/>
      <c r="O1673" s="178"/>
      <c r="P1673" s="179"/>
      <c r="Q1673" s="169"/>
    </row>
    <row r="1674" spans="1:19" s="170" customFormat="1" ht="10.5" x14ac:dyDescent="0.25">
      <c r="A1674" s="175"/>
      <c r="B1674" s="181" t="s">
        <v>5</v>
      </c>
      <c r="C1674" s="182" t="s">
        <v>1328</v>
      </c>
      <c r="D1674" s="182"/>
      <c r="E1674" s="182"/>
      <c r="F1674" s="182"/>
      <c r="G1674" s="182"/>
      <c r="H1674" s="182"/>
      <c r="I1674" s="182"/>
      <c r="J1674" s="182">
        <f>SUM(J1671:J1673)</f>
        <v>174.99980358994142</v>
      </c>
      <c r="K1674" s="182"/>
      <c r="L1674" s="182"/>
      <c r="M1674" s="182"/>
      <c r="N1674" s="182"/>
      <c r="O1674" s="182"/>
      <c r="P1674" s="183"/>
      <c r="Q1674" s="169"/>
    </row>
    <row r="1675" spans="1:19" s="174" customFormat="1" ht="21" x14ac:dyDescent="0.25">
      <c r="A1675" s="171" t="str">
        <f>ORÇAMENTO!A322</f>
        <v>4.4.18</v>
      </c>
      <c r="B1675" s="172" t="str">
        <f>VLOOKUP(A1675,ORÇAMENTO!A:K,4,0)</f>
        <v>USINAGEM DE CBUQ SEM  CAP 50/70, PARA CAPA DE ROLAMENTO (SEM MATERIAL  E TRANSPORTE)</v>
      </c>
      <c r="C1675" s="173" t="str">
        <f>VLOOKUP(A1675,ORÇAMENTO!A:K,5,0)</f>
        <v>T</v>
      </c>
      <c r="D1675" s="173">
        <f>SUM(E1680:O1680)</f>
        <v>2.7679922348615946</v>
      </c>
      <c r="E1675" s="173" t="s">
        <v>1718</v>
      </c>
      <c r="F1675" s="173" t="s">
        <v>1719</v>
      </c>
      <c r="G1675" s="173" t="s">
        <v>1720</v>
      </c>
      <c r="H1675" s="173" t="s">
        <v>1721</v>
      </c>
      <c r="I1675" s="173" t="s">
        <v>1722</v>
      </c>
      <c r="J1675" s="173" t="s">
        <v>1723</v>
      </c>
      <c r="K1675" s="173" t="s">
        <v>1746</v>
      </c>
      <c r="L1675" s="173" t="s">
        <v>1753</v>
      </c>
      <c r="M1675" s="173" t="s">
        <v>1730</v>
      </c>
      <c r="N1675" s="173" t="s">
        <v>1727</v>
      </c>
      <c r="O1675" s="173" t="s">
        <v>1728</v>
      </c>
      <c r="P1675" s="169"/>
      <c r="Q1675" s="169"/>
    </row>
    <row r="1676" spans="1:19" s="170" customFormat="1" ht="10.5" x14ac:dyDescent="0.25">
      <c r="A1676" s="175"/>
      <c r="B1676" s="181" t="s">
        <v>1745</v>
      </c>
      <c r="C1676" s="184"/>
      <c r="D1676" s="185"/>
      <c r="E1676" s="185"/>
      <c r="F1676" s="185"/>
      <c r="G1676" s="185"/>
      <c r="H1676" s="185"/>
      <c r="I1676" s="185"/>
      <c r="J1676" s="185"/>
      <c r="K1676" s="185"/>
      <c r="L1676" s="185"/>
      <c r="M1676" s="185"/>
      <c r="N1676" s="185"/>
      <c r="O1676" s="185"/>
      <c r="P1676" s="179"/>
      <c r="Q1676" s="169"/>
    </row>
    <row r="1677" spans="1:19" s="170" customFormat="1" ht="10.5" x14ac:dyDescent="0.25">
      <c r="A1677" s="175"/>
      <c r="B1677" s="176" t="s">
        <v>1785</v>
      </c>
      <c r="C1677" s="184"/>
      <c r="D1677" s="185"/>
      <c r="E1677" s="185"/>
      <c r="F1677" s="185"/>
      <c r="G1677" s="185"/>
      <c r="H1677" s="185"/>
      <c r="I1677" s="185"/>
      <c r="J1677" s="185"/>
      <c r="K1677" s="185"/>
      <c r="L1677" s="185">
        <v>2.4</v>
      </c>
      <c r="M1677" s="185"/>
      <c r="N1677" s="185"/>
      <c r="O1677" s="185"/>
      <c r="P1677" s="179"/>
      <c r="Q1677" s="169"/>
    </row>
    <row r="1678" spans="1:19" s="170" customFormat="1" ht="10.5" x14ac:dyDescent="0.25">
      <c r="A1678" s="175"/>
      <c r="B1678" s="176" t="str">
        <f>B1539</f>
        <v>CONCRETO BETUMINOSO USINADO A QUENTE</v>
      </c>
      <c r="C1678" s="184"/>
      <c r="D1678" s="185"/>
      <c r="E1678" s="185"/>
      <c r="F1678" s="185"/>
      <c r="G1678" s="185"/>
      <c r="H1678" s="185">
        <f>H1536</f>
        <v>0.03</v>
      </c>
      <c r="I1678" s="185"/>
      <c r="J1678" s="185"/>
      <c r="K1678" s="185">
        <f>L1677*O1678</f>
        <v>2.7679922348615946</v>
      </c>
      <c r="L1678" s="185"/>
      <c r="M1678" s="185"/>
      <c r="N1678" s="185"/>
      <c r="O1678" s="185">
        <f>O1539</f>
        <v>1.1533300978589978</v>
      </c>
      <c r="P1678" s="179"/>
      <c r="Q1678" s="169"/>
    </row>
    <row r="1679" spans="1:19" s="170" customFormat="1" ht="10.5" x14ac:dyDescent="0.25">
      <c r="A1679" s="175"/>
      <c r="B1679" s="176"/>
      <c r="C1679" s="184"/>
      <c r="D1679" s="185"/>
      <c r="E1679" s="185"/>
      <c r="F1679" s="185"/>
      <c r="G1679" s="185"/>
      <c r="H1679" s="185"/>
      <c r="I1679" s="185"/>
      <c r="J1679" s="185"/>
      <c r="K1679" s="185"/>
      <c r="L1679" s="186"/>
      <c r="M1679" s="185"/>
      <c r="N1679" s="185"/>
      <c r="O1679" s="185"/>
      <c r="P1679" s="179"/>
      <c r="Q1679" s="169"/>
    </row>
    <row r="1680" spans="1:19" s="170" customFormat="1" ht="10.5" x14ac:dyDescent="0.25">
      <c r="A1680" s="175"/>
      <c r="B1680" s="181" t="s">
        <v>5</v>
      </c>
      <c r="C1680" s="182" t="s">
        <v>1328</v>
      </c>
      <c r="D1680" s="182"/>
      <c r="E1680" s="182"/>
      <c r="F1680" s="182"/>
      <c r="G1680" s="182"/>
      <c r="H1680" s="182"/>
      <c r="I1680" s="182"/>
      <c r="J1680" s="182"/>
      <c r="K1680" s="182">
        <f>SUM(K1678:K1679)</f>
        <v>2.7679922348615946</v>
      </c>
      <c r="L1680" s="182"/>
      <c r="M1680" s="182"/>
      <c r="N1680" s="182"/>
      <c r="O1680" s="182"/>
      <c r="P1680" s="183"/>
      <c r="Q1680" s="169"/>
    </row>
    <row r="1681" spans="1:19" s="174" customFormat="1" ht="21" x14ac:dyDescent="0.25">
      <c r="A1681" s="171" t="str">
        <f>ORÇAMENTO!A323</f>
        <v>4.4.19</v>
      </c>
      <c r="B1681" s="172" t="str">
        <f>VLOOKUP(A1681,ORÇAMENTO!A:K,4,0)</f>
        <v>CIMENTO ASFÁLTICO DE PETRÓLEO - CAP 50/70 FORNECIMENTO E TRANSPORTE</v>
      </c>
      <c r="C1681" s="173" t="str">
        <f>VLOOKUP(A1681,ORÇAMENTO!A:K,5,0)</f>
        <v>T</v>
      </c>
      <c r="D1681" s="173">
        <f>SUM(E1685:O1685)</f>
        <v>0.17502014901029861</v>
      </c>
      <c r="E1681" s="173" t="s">
        <v>1718</v>
      </c>
      <c r="F1681" s="173" t="s">
        <v>1719</v>
      </c>
      <c r="G1681" s="173" t="s">
        <v>1720</v>
      </c>
      <c r="H1681" s="173" t="s">
        <v>1721</v>
      </c>
      <c r="I1681" s="173" t="s">
        <v>1722</v>
      </c>
      <c r="J1681" s="173" t="s">
        <v>1723</v>
      </c>
      <c r="K1681" s="173" t="s">
        <v>1746</v>
      </c>
      <c r="L1681" s="173" t="s">
        <v>1777</v>
      </c>
      <c r="M1681" s="173" t="s">
        <v>1730</v>
      </c>
      <c r="N1681" s="173" t="s">
        <v>1727</v>
      </c>
      <c r="O1681" s="173" t="s">
        <v>1728</v>
      </c>
      <c r="P1681" s="169"/>
      <c r="Q1681" s="169"/>
    </row>
    <row r="1682" spans="1:19" s="170" customFormat="1" ht="10.5" x14ac:dyDescent="0.25">
      <c r="A1682" s="175"/>
      <c r="B1682" s="176" t="str">
        <f>B1678</f>
        <v>CONCRETO BETUMINOSO USINADO A QUENTE</v>
      </c>
      <c r="C1682" s="184"/>
      <c r="D1682" s="185"/>
      <c r="E1682" s="185"/>
      <c r="F1682" s="185"/>
      <c r="G1682" s="185"/>
      <c r="H1682" s="185"/>
      <c r="I1682" s="185"/>
      <c r="J1682" s="185"/>
      <c r="K1682" s="185">
        <f>K1678</f>
        <v>2.7679922348615946</v>
      </c>
      <c r="L1682" s="185"/>
      <c r="M1682" s="185"/>
      <c r="N1682" s="185"/>
      <c r="O1682" s="185"/>
      <c r="P1682" s="179"/>
      <c r="Q1682" s="169"/>
    </row>
    <row r="1683" spans="1:19" s="170" customFormat="1" ht="10.5" x14ac:dyDescent="0.25">
      <c r="A1683" s="175"/>
      <c r="B1683" s="176" t="s">
        <v>1786</v>
      </c>
      <c r="C1683" s="184"/>
      <c r="D1683" s="185"/>
      <c r="E1683" s="185"/>
      <c r="F1683" s="185"/>
      <c r="G1683" s="185"/>
      <c r="H1683" s="185"/>
      <c r="I1683" s="185"/>
      <c r="J1683" s="185"/>
      <c r="K1683" s="185"/>
      <c r="L1683" s="199">
        <v>6.3229999999999995E-2</v>
      </c>
      <c r="M1683" s="185"/>
      <c r="N1683" s="185"/>
      <c r="O1683" s="185"/>
      <c r="P1683" s="179"/>
      <c r="Q1683" s="169"/>
    </row>
    <row r="1684" spans="1:19" s="170" customFormat="1" ht="10.5" x14ac:dyDescent="0.25">
      <c r="A1684" s="175"/>
      <c r="B1684" s="176"/>
      <c r="C1684" s="184"/>
      <c r="D1684" s="185"/>
      <c r="E1684" s="185"/>
      <c r="F1684" s="185"/>
      <c r="G1684" s="185"/>
      <c r="H1684" s="185"/>
      <c r="I1684" s="185"/>
      <c r="J1684" s="185"/>
      <c r="L1684" s="185"/>
      <c r="M1684" s="185"/>
      <c r="N1684" s="185"/>
      <c r="O1684" s="185"/>
      <c r="P1684" s="179"/>
      <c r="Q1684" s="169"/>
    </row>
    <row r="1685" spans="1:19" s="170" customFormat="1" ht="10.5" x14ac:dyDescent="0.25">
      <c r="A1685" s="175"/>
      <c r="B1685" s="181" t="s">
        <v>5</v>
      </c>
      <c r="C1685" s="184"/>
      <c r="D1685" s="185"/>
      <c r="E1685" s="185"/>
      <c r="F1685" s="185"/>
      <c r="G1685" s="185"/>
      <c r="H1685" s="185"/>
      <c r="I1685" s="185"/>
      <c r="J1685" s="185"/>
      <c r="K1685" s="185">
        <f>K1682*L1683</f>
        <v>0.17502014901029861</v>
      </c>
      <c r="L1685" s="186"/>
      <c r="M1685" s="185"/>
      <c r="N1685" s="185"/>
      <c r="O1685" s="185"/>
      <c r="P1685" s="179"/>
      <c r="Q1685" s="169"/>
    </row>
    <row r="1686" spans="1:19" s="189" customFormat="1" ht="21" x14ac:dyDescent="0.35">
      <c r="A1686" s="171" t="str">
        <f>ORÇAMENTO!A324</f>
        <v>4.4.20</v>
      </c>
      <c r="B1686" s="172" t="str">
        <f>VLOOKUP(A1686,ORÇAMENTO!A:K,4,0)</f>
        <v>EMULSÃO ASFÁLTICA - RR-1C - FORNECIMENTO E TRANSPORTE</v>
      </c>
      <c r="C1686" s="173" t="str">
        <f>VLOOKUP(A1686,ORÇAMENTO!A:K,5,0)</f>
        <v>T</v>
      </c>
      <c r="D1686" s="173">
        <f>SUM(E1703:O1703)</f>
        <v>1.7299951467884978E-2</v>
      </c>
      <c r="E1686" s="173" t="s">
        <v>1718</v>
      </c>
      <c r="F1686" s="173" t="s">
        <v>1719</v>
      </c>
      <c r="G1686" s="173" t="s">
        <v>1720</v>
      </c>
      <c r="H1686" s="173" t="s">
        <v>1721</v>
      </c>
      <c r="I1686" s="173" t="s">
        <v>1722</v>
      </c>
      <c r="J1686" s="173" t="s">
        <v>1723</v>
      </c>
      <c r="K1686" s="173" t="s">
        <v>1746</v>
      </c>
      <c r="L1686" s="173" t="s">
        <v>1777</v>
      </c>
      <c r="M1686" s="173" t="s">
        <v>1768</v>
      </c>
      <c r="N1686" s="173" t="s">
        <v>1727</v>
      </c>
      <c r="O1686" s="173" t="s">
        <v>1728</v>
      </c>
      <c r="P1686" s="169"/>
      <c r="Q1686" s="169"/>
      <c r="R1686" s="169"/>
      <c r="S1686" s="169"/>
    </row>
    <row r="1687" spans="1:19" s="189" customFormat="1" ht="21" x14ac:dyDescent="0.35">
      <c r="A1687" s="175"/>
      <c r="B1687" s="181" t="s">
        <v>1778</v>
      </c>
      <c r="C1687" s="177"/>
      <c r="D1687" s="177"/>
      <c r="E1687" s="178"/>
      <c r="F1687" s="178"/>
      <c r="G1687" s="178"/>
      <c r="H1687" s="178"/>
      <c r="I1687" s="178"/>
      <c r="J1687" s="178"/>
      <c r="K1687" s="178"/>
      <c r="L1687" s="178"/>
      <c r="M1687" s="178"/>
      <c r="N1687" s="178"/>
      <c r="O1687" s="178"/>
      <c r="P1687" s="169"/>
      <c r="Q1687" s="169"/>
      <c r="R1687" s="169"/>
      <c r="S1687" s="169"/>
    </row>
    <row r="1688" spans="1:19" s="170" customFormat="1" ht="31.5" x14ac:dyDescent="0.25">
      <c r="A1688" s="175"/>
      <c r="B1688" s="176" t="s">
        <v>1779</v>
      </c>
      <c r="C1688" s="177"/>
      <c r="D1688" s="178"/>
      <c r="E1688" s="178"/>
      <c r="F1688" s="178"/>
      <c r="G1688" s="178"/>
      <c r="H1688" s="178"/>
      <c r="I1688" s="178"/>
      <c r="J1688" s="178"/>
      <c r="K1688" s="178"/>
      <c r="L1688" s="198">
        <v>4.4999999999999999E-4</v>
      </c>
      <c r="M1688" s="178"/>
      <c r="N1688" s="178"/>
      <c r="O1688" s="178"/>
      <c r="P1688" s="179"/>
      <c r="Q1688" s="169"/>
    </row>
    <row r="1689" spans="1:19" s="164" customFormat="1" x14ac:dyDescent="0.35">
      <c r="A1689" s="175"/>
      <c r="B1689" s="176" t="str">
        <f t="shared" ref="B1689:B1701" si="55">B1545</f>
        <v>PV1-19</v>
      </c>
      <c r="C1689" s="178"/>
      <c r="D1689" s="178"/>
      <c r="E1689" s="178"/>
      <c r="F1689" s="178"/>
      <c r="G1689" s="178"/>
      <c r="H1689" s="178"/>
      <c r="I1689" s="178"/>
      <c r="J1689" s="178"/>
      <c r="K1689" s="221">
        <f t="shared" ref="K1689:K1701" si="56">$L$1688*N1689</f>
        <v>1.3307654975296135E-3</v>
      </c>
      <c r="L1689" s="178"/>
      <c r="M1689" s="178"/>
      <c r="N1689" s="215">
        <f t="shared" ref="N1689:N1701" si="57">N1545</f>
        <v>2.9572566611769187</v>
      </c>
      <c r="O1689" s="215"/>
      <c r="P1689" s="194"/>
      <c r="Q1689" s="194"/>
      <c r="R1689" s="194"/>
      <c r="S1689" s="194"/>
    </row>
    <row r="1690" spans="1:19" s="164" customFormat="1" x14ac:dyDescent="0.35">
      <c r="A1690" s="175"/>
      <c r="B1690" s="176" t="str">
        <f t="shared" si="55"/>
        <v>PV1-20</v>
      </c>
      <c r="C1690" s="178"/>
      <c r="D1690" s="178"/>
      <c r="E1690" s="178"/>
      <c r="F1690" s="178"/>
      <c r="G1690" s="178"/>
      <c r="H1690" s="178"/>
      <c r="I1690" s="178"/>
      <c r="J1690" s="178"/>
      <c r="K1690" s="221">
        <f t="shared" si="56"/>
        <v>1.3307654975296135E-3</v>
      </c>
      <c r="L1690" s="178"/>
      <c r="M1690" s="178"/>
      <c r="N1690" s="215">
        <f t="shared" si="57"/>
        <v>2.9572566611769187</v>
      </c>
      <c r="O1690" s="215"/>
      <c r="P1690" s="194"/>
      <c r="Q1690" s="194"/>
      <c r="R1690" s="194"/>
      <c r="S1690" s="194"/>
    </row>
    <row r="1691" spans="1:19" s="164" customFormat="1" x14ac:dyDescent="0.35">
      <c r="A1691" s="175"/>
      <c r="B1691" s="176" t="str">
        <f t="shared" si="55"/>
        <v>PV1-22</v>
      </c>
      <c r="C1691" s="178"/>
      <c r="D1691" s="178"/>
      <c r="E1691" s="178"/>
      <c r="F1691" s="178"/>
      <c r="G1691" s="178"/>
      <c r="H1691" s="178"/>
      <c r="I1691" s="178"/>
      <c r="J1691" s="178"/>
      <c r="K1691" s="221">
        <f t="shared" si="56"/>
        <v>1.3307654975296135E-3</v>
      </c>
      <c r="L1691" s="178"/>
      <c r="M1691" s="178"/>
      <c r="N1691" s="215">
        <f t="shared" si="57"/>
        <v>2.9572566611769187</v>
      </c>
      <c r="O1691" s="215"/>
      <c r="P1691" s="194"/>
      <c r="Q1691" s="194"/>
      <c r="R1691" s="194"/>
      <c r="S1691" s="194"/>
    </row>
    <row r="1692" spans="1:19" s="164" customFormat="1" x14ac:dyDescent="0.35">
      <c r="A1692" s="175"/>
      <c r="B1692" s="176" t="str">
        <f t="shared" si="55"/>
        <v>PV1-24</v>
      </c>
      <c r="C1692" s="178"/>
      <c r="D1692" s="178"/>
      <c r="E1692" s="178"/>
      <c r="F1692" s="178"/>
      <c r="G1692" s="178"/>
      <c r="H1692" s="178"/>
      <c r="I1692" s="178"/>
      <c r="J1692" s="178"/>
      <c r="K1692" s="221">
        <f t="shared" si="56"/>
        <v>1.3307654975296135E-3</v>
      </c>
      <c r="L1692" s="178"/>
      <c r="M1692" s="178"/>
      <c r="N1692" s="215">
        <f t="shared" si="57"/>
        <v>2.9572566611769187</v>
      </c>
      <c r="O1692" s="215"/>
      <c r="P1692" s="194"/>
      <c r="Q1692" s="194"/>
      <c r="R1692" s="194"/>
      <c r="S1692" s="194"/>
    </row>
    <row r="1693" spans="1:19" s="164" customFormat="1" x14ac:dyDescent="0.35">
      <c r="A1693" s="175"/>
      <c r="B1693" s="176" t="str">
        <f t="shared" si="55"/>
        <v>PV1-25</v>
      </c>
      <c r="C1693" s="178"/>
      <c r="D1693" s="178"/>
      <c r="E1693" s="178"/>
      <c r="F1693" s="178"/>
      <c r="G1693" s="178"/>
      <c r="H1693" s="178"/>
      <c r="I1693" s="178"/>
      <c r="J1693" s="178"/>
      <c r="K1693" s="221">
        <f t="shared" si="56"/>
        <v>1.3307654975296135E-3</v>
      </c>
      <c r="L1693" s="178"/>
      <c r="M1693" s="178"/>
      <c r="N1693" s="215">
        <f t="shared" si="57"/>
        <v>2.9572566611769187</v>
      </c>
      <c r="O1693" s="215"/>
      <c r="P1693" s="194"/>
      <c r="Q1693" s="194"/>
      <c r="R1693" s="194"/>
      <c r="S1693" s="194"/>
    </row>
    <row r="1694" spans="1:19" s="164" customFormat="1" x14ac:dyDescent="0.35">
      <c r="A1694" s="175"/>
      <c r="B1694" s="176" t="str">
        <f t="shared" si="55"/>
        <v>PV1-30</v>
      </c>
      <c r="C1694" s="178"/>
      <c r="D1694" s="178"/>
      <c r="E1694" s="178"/>
      <c r="F1694" s="178"/>
      <c r="G1694" s="178"/>
      <c r="H1694" s="178"/>
      <c r="I1694" s="178"/>
      <c r="J1694" s="178"/>
      <c r="K1694" s="221">
        <f t="shared" si="56"/>
        <v>1.3307654975296135E-3</v>
      </c>
      <c r="L1694" s="178"/>
      <c r="M1694" s="178"/>
      <c r="N1694" s="215">
        <f t="shared" si="57"/>
        <v>2.9572566611769187</v>
      </c>
      <c r="O1694" s="215"/>
      <c r="P1694" s="194"/>
      <c r="Q1694" s="194"/>
      <c r="R1694" s="194"/>
      <c r="S1694" s="194"/>
    </row>
    <row r="1695" spans="1:19" s="164" customFormat="1" x14ac:dyDescent="0.35">
      <c r="A1695" s="175"/>
      <c r="B1695" s="176" t="str">
        <f t="shared" si="55"/>
        <v>PV2-24</v>
      </c>
      <c r="C1695" s="178"/>
      <c r="D1695" s="178"/>
      <c r="E1695" s="178"/>
      <c r="F1695" s="178"/>
      <c r="G1695" s="178"/>
      <c r="H1695" s="178"/>
      <c r="I1695" s="178"/>
      <c r="J1695" s="178"/>
      <c r="K1695" s="221">
        <f t="shared" si="56"/>
        <v>1.3307654975296135E-3</v>
      </c>
      <c r="L1695" s="178"/>
      <c r="M1695" s="178"/>
      <c r="N1695" s="215">
        <f t="shared" si="57"/>
        <v>2.9572566611769187</v>
      </c>
      <c r="O1695" s="215"/>
      <c r="P1695" s="194"/>
      <c r="Q1695" s="194"/>
      <c r="R1695" s="194"/>
      <c r="S1695" s="194"/>
    </row>
    <row r="1696" spans="1:19" s="164" customFormat="1" x14ac:dyDescent="0.35">
      <c r="A1696" s="175"/>
      <c r="B1696" s="176" t="str">
        <f t="shared" si="55"/>
        <v>PV3-21</v>
      </c>
      <c r="C1696" s="178"/>
      <c r="D1696" s="178"/>
      <c r="E1696" s="178"/>
      <c r="F1696" s="178"/>
      <c r="G1696" s="178"/>
      <c r="H1696" s="178"/>
      <c r="I1696" s="178"/>
      <c r="J1696" s="178"/>
      <c r="K1696" s="221">
        <f t="shared" si="56"/>
        <v>1.3307654975296135E-3</v>
      </c>
      <c r="L1696" s="178"/>
      <c r="M1696" s="178"/>
      <c r="N1696" s="215">
        <f t="shared" si="57"/>
        <v>2.9572566611769187</v>
      </c>
      <c r="O1696" s="215"/>
      <c r="P1696" s="194"/>
      <c r="Q1696" s="194"/>
      <c r="R1696" s="194"/>
      <c r="S1696" s="194"/>
    </row>
    <row r="1697" spans="1:19" s="164" customFormat="1" x14ac:dyDescent="0.35">
      <c r="A1697" s="175"/>
      <c r="B1697" s="176" t="str">
        <f t="shared" si="55"/>
        <v>PV4-23</v>
      </c>
      <c r="C1697" s="178"/>
      <c r="D1697" s="178"/>
      <c r="E1697" s="178"/>
      <c r="F1697" s="178"/>
      <c r="G1697" s="178"/>
      <c r="H1697" s="178"/>
      <c r="I1697" s="178"/>
      <c r="J1697" s="178"/>
      <c r="K1697" s="221">
        <f t="shared" si="56"/>
        <v>1.3307654975296135E-3</v>
      </c>
      <c r="L1697" s="178"/>
      <c r="M1697" s="178"/>
      <c r="N1697" s="215">
        <f t="shared" si="57"/>
        <v>2.9572566611769187</v>
      </c>
      <c r="O1697" s="215"/>
      <c r="P1697" s="194"/>
      <c r="Q1697" s="194"/>
      <c r="R1697" s="194"/>
      <c r="S1697" s="194"/>
    </row>
    <row r="1698" spans="1:19" s="164" customFormat="1" x14ac:dyDescent="0.35">
      <c r="A1698" s="175"/>
      <c r="B1698" s="176" t="str">
        <f t="shared" si="55"/>
        <v>PV5-21</v>
      </c>
      <c r="C1698" s="178"/>
      <c r="D1698" s="178"/>
      <c r="E1698" s="178"/>
      <c r="F1698" s="178"/>
      <c r="G1698" s="178"/>
      <c r="H1698" s="178"/>
      <c r="I1698" s="178"/>
      <c r="J1698" s="178"/>
      <c r="K1698" s="221">
        <f t="shared" si="56"/>
        <v>1.3307654975296135E-3</v>
      </c>
      <c r="L1698" s="178"/>
      <c r="M1698" s="178"/>
      <c r="N1698" s="215">
        <f t="shared" si="57"/>
        <v>2.9572566611769187</v>
      </c>
      <c r="O1698" s="215"/>
      <c r="P1698" s="194"/>
      <c r="Q1698" s="194"/>
      <c r="R1698" s="194"/>
      <c r="S1698" s="194"/>
    </row>
    <row r="1699" spans="1:19" s="164" customFormat="1" x14ac:dyDescent="0.35">
      <c r="A1699" s="175"/>
      <c r="B1699" s="176" t="str">
        <f t="shared" si="55"/>
        <v>PV5-23</v>
      </c>
      <c r="C1699" s="178"/>
      <c r="D1699" s="178"/>
      <c r="E1699" s="178"/>
      <c r="F1699" s="178"/>
      <c r="G1699" s="178"/>
      <c r="H1699" s="178"/>
      <c r="I1699" s="178"/>
      <c r="J1699" s="178"/>
      <c r="K1699" s="221">
        <f t="shared" si="56"/>
        <v>1.3307654975296135E-3</v>
      </c>
      <c r="L1699" s="178"/>
      <c r="M1699" s="178"/>
      <c r="N1699" s="215">
        <f t="shared" si="57"/>
        <v>2.9572566611769187</v>
      </c>
      <c r="O1699" s="215"/>
      <c r="P1699" s="194"/>
      <c r="Q1699" s="194"/>
      <c r="R1699" s="194"/>
      <c r="S1699" s="194"/>
    </row>
    <row r="1700" spans="1:19" s="164" customFormat="1" x14ac:dyDescent="0.35">
      <c r="A1700" s="175"/>
      <c r="B1700" s="176" t="str">
        <f t="shared" si="55"/>
        <v>PV6-21</v>
      </c>
      <c r="C1700" s="178"/>
      <c r="D1700" s="178"/>
      <c r="E1700" s="178"/>
      <c r="F1700" s="178"/>
      <c r="G1700" s="178"/>
      <c r="H1700" s="178"/>
      <c r="I1700" s="178"/>
      <c r="J1700" s="178"/>
      <c r="K1700" s="221">
        <f t="shared" si="56"/>
        <v>1.3307654975296135E-3</v>
      </c>
      <c r="L1700" s="178"/>
      <c r="M1700" s="178"/>
      <c r="N1700" s="215">
        <f t="shared" si="57"/>
        <v>2.9572566611769187</v>
      </c>
      <c r="O1700" s="215"/>
      <c r="P1700" s="194"/>
      <c r="Q1700" s="194"/>
      <c r="R1700" s="194"/>
      <c r="S1700" s="194"/>
    </row>
    <row r="1701" spans="1:19" s="164" customFormat="1" x14ac:dyDescent="0.35">
      <c r="A1701" s="175"/>
      <c r="B1701" s="176" t="str">
        <f t="shared" si="55"/>
        <v>PV6-23</v>
      </c>
      <c r="C1701" s="178"/>
      <c r="D1701" s="178"/>
      <c r="E1701" s="178"/>
      <c r="F1701" s="178"/>
      <c r="G1701" s="178"/>
      <c r="H1701" s="178"/>
      <c r="I1701" s="178"/>
      <c r="J1701" s="178"/>
      <c r="K1701" s="221">
        <f t="shared" si="56"/>
        <v>1.3307654975296135E-3</v>
      </c>
      <c r="L1701" s="178"/>
      <c r="M1701" s="178"/>
      <c r="N1701" s="215">
        <f t="shared" si="57"/>
        <v>2.9572566611769187</v>
      </c>
      <c r="O1701" s="215"/>
      <c r="P1701" s="194"/>
      <c r="Q1701" s="194"/>
      <c r="R1701" s="194"/>
      <c r="S1701" s="194"/>
    </row>
    <row r="1702" spans="1:19" s="164" customFormat="1" x14ac:dyDescent="0.35">
      <c r="A1702" s="175"/>
      <c r="B1702" s="176"/>
      <c r="C1702" s="178"/>
      <c r="D1702" s="178"/>
      <c r="E1702" s="178"/>
      <c r="F1702" s="178"/>
      <c r="G1702" s="178"/>
      <c r="H1702" s="178"/>
      <c r="I1702" s="178"/>
      <c r="J1702" s="178"/>
      <c r="K1702" s="178"/>
      <c r="L1702" s="178"/>
      <c r="M1702" s="178"/>
      <c r="N1702" s="178"/>
      <c r="O1702" s="193"/>
      <c r="P1702" s="194"/>
      <c r="Q1702" s="194"/>
      <c r="R1702" s="194"/>
      <c r="S1702" s="194"/>
    </row>
    <row r="1703" spans="1:19" s="189" customFormat="1" x14ac:dyDescent="0.35">
      <c r="A1703" s="195"/>
      <c r="B1703" s="181" t="s">
        <v>5</v>
      </c>
      <c r="C1703" s="182" t="s">
        <v>1328</v>
      </c>
      <c r="D1703" s="182"/>
      <c r="E1703" s="182"/>
      <c r="F1703" s="182"/>
      <c r="G1703" s="182"/>
      <c r="H1703" s="182"/>
      <c r="I1703" s="182"/>
      <c r="J1703" s="182"/>
      <c r="K1703" s="196">
        <f>SUM(K1689:K1701)</f>
        <v>1.7299951467884978E-2</v>
      </c>
      <c r="L1703" s="182"/>
      <c r="M1703" s="182"/>
      <c r="N1703" s="182"/>
      <c r="O1703" s="196"/>
      <c r="P1703" s="169"/>
      <c r="Q1703" s="169"/>
      <c r="R1703" s="169"/>
      <c r="S1703" s="169"/>
    </row>
    <row r="1704" spans="1:19" s="189" customFormat="1" ht="21" x14ac:dyDescent="0.35">
      <c r="A1704" s="171" t="str">
        <f>ORÇAMENTO!A325</f>
        <v>4.4.21</v>
      </c>
      <c r="B1704" s="172" t="str">
        <f>VLOOKUP(A1704,ORÇAMENTO!A:K,4,0)</f>
        <v>EMULSÃO ASFÁLTICA PARA IMPRIMAÇÃO - FORNECIMENTO E TRANSPORTE</v>
      </c>
      <c r="C1704" s="173" t="str">
        <f>VLOOKUP(A1704,ORÇAMENTO!A:K,5,0)</f>
        <v>T</v>
      </c>
      <c r="D1704" s="173">
        <f>SUM(E1721:O1721)</f>
        <v>4.997763757388992E-2</v>
      </c>
      <c r="E1704" s="173" t="s">
        <v>1718</v>
      </c>
      <c r="F1704" s="173" t="s">
        <v>1719</v>
      </c>
      <c r="G1704" s="173" t="s">
        <v>1720</v>
      </c>
      <c r="H1704" s="173" t="s">
        <v>1721</v>
      </c>
      <c r="I1704" s="173" t="s">
        <v>1722</v>
      </c>
      <c r="J1704" s="173" t="s">
        <v>1723</v>
      </c>
      <c r="K1704" s="173" t="s">
        <v>1746</v>
      </c>
      <c r="L1704" s="173" t="s">
        <v>1777</v>
      </c>
      <c r="M1704" s="173" t="s">
        <v>1768</v>
      </c>
      <c r="N1704" s="173" t="s">
        <v>1727</v>
      </c>
      <c r="O1704" s="173" t="s">
        <v>1728</v>
      </c>
      <c r="P1704" s="169"/>
      <c r="Q1704" s="169"/>
      <c r="R1704" s="169"/>
      <c r="S1704" s="169"/>
    </row>
    <row r="1705" spans="1:19" s="189" customFormat="1" x14ac:dyDescent="0.35">
      <c r="A1705" s="175"/>
      <c r="B1705" s="181" t="s">
        <v>1780</v>
      </c>
      <c r="C1705" s="177"/>
      <c r="D1705" s="177"/>
      <c r="E1705" s="178"/>
      <c r="F1705" s="178"/>
      <c r="G1705" s="178"/>
      <c r="H1705" s="178"/>
      <c r="I1705" s="178"/>
      <c r="J1705" s="178"/>
      <c r="K1705" s="178"/>
      <c r="L1705" s="178"/>
      <c r="M1705" s="178"/>
      <c r="N1705" s="178"/>
      <c r="O1705" s="178"/>
      <c r="P1705" s="169"/>
      <c r="Q1705" s="169"/>
      <c r="R1705" s="169"/>
      <c r="S1705" s="169"/>
    </row>
    <row r="1706" spans="1:19" s="170" customFormat="1" ht="42" x14ac:dyDescent="0.25">
      <c r="A1706" s="175"/>
      <c r="B1706" s="176" t="s">
        <v>1781</v>
      </c>
      <c r="C1706" s="177"/>
      <c r="D1706" s="178"/>
      <c r="E1706" s="178"/>
      <c r="F1706" s="178"/>
      <c r="G1706" s="178"/>
      <c r="H1706" s="178"/>
      <c r="I1706" s="178"/>
      <c r="J1706" s="178"/>
      <c r="K1706" s="178"/>
      <c r="L1706" s="198">
        <v>1.2999999999999999E-3</v>
      </c>
      <c r="M1706" s="178"/>
      <c r="N1706" s="178"/>
      <c r="O1706" s="178"/>
      <c r="P1706" s="179"/>
      <c r="Q1706" s="169"/>
    </row>
    <row r="1707" spans="1:19" s="164" customFormat="1" x14ac:dyDescent="0.35">
      <c r="A1707" s="175"/>
      <c r="B1707" s="176" t="str">
        <f t="shared" ref="B1707:B1719" si="58">B1563</f>
        <v>PV1-19</v>
      </c>
      <c r="C1707" s="178"/>
      <c r="D1707" s="178"/>
      <c r="E1707" s="178"/>
      <c r="F1707" s="178"/>
      <c r="G1707" s="178"/>
      <c r="H1707" s="178"/>
      <c r="I1707" s="178"/>
      <c r="J1707" s="178"/>
      <c r="K1707" s="221">
        <f t="shared" ref="K1707:K1719" si="59">$L$1706*N1707</f>
        <v>3.844433659529994E-3</v>
      </c>
      <c r="L1707" s="178"/>
      <c r="M1707" s="178"/>
      <c r="N1707" s="215">
        <f t="shared" ref="N1707:N1719" si="60">N1563</f>
        <v>2.9572566611769187</v>
      </c>
      <c r="O1707" s="215"/>
      <c r="P1707" s="194"/>
      <c r="Q1707" s="194"/>
      <c r="R1707" s="194"/>
      <c r="S1707" s="194"/>
    </row>
    <row r="1708" spans="1:19" s="164" customFormat="1" x14ac:dyDescent="0.35">
      <c r="A1708" s="175"/>
      <c r="B1708" s="176" t="str">
        <f t="shared" si="58"/>
        <v>PV1-20</v>
      </c>
      <c r="C1708" s="178"/>
      <c r="D1708" s="178"/>
      <c r="E1708" s="178"/>
      <c r="F1708" s="178"/>
      <c r="G1708" s="178"/>
      <c r="H1708" s="178"/>
      <c r="I1708" s="178"/>
      <c r="J1708" s="178"/>
      <c r="K1708" s="221">
        <f t="shared" si="59"/>
        <v>3.844433659529994E-3</v>
      </c>
      <c r="L1708" s="178"/>
      <c r="M1708" s="178"/>
      <c r="N1708" s="215">
        <f t="shared" si="60"/>
        <v>2.9572566611769187</v>
      </c>
      <c r="O1708" s="215"/>
      <c r="P1708" s="194"/>
      <c r="Q1708" s="194"/>
      <c r="R1708" s="194"/>
      <c r="S1708" s="194"/>
    </row>
    <row r="1709" spans="1:19" s="164" customFormat="1" x14ac:dyDescent="0.35">
      <c r="A1709" s="175"/>
      <c r="B1709" s="176" t="str">
        <f t="shared" si="58"/>
        <v>PV1-22</v>
      </c>
      <c r="C1709" s="178"/>
      <c r="D1709" s="178"/>
      <c r="E1709" s="178"/>
      <c r="F1709" s="178"/>
      <c r="G1709" s="178"/>
      <c r="H1709" s="178"/>
      <c r="I1709" s="178"/>
      <c r="J1709" s="178"/>
      <c r="K1709" s="221">
        <f t="shared" si="59"/>
        <v>3.844433659529994E-3</v>
      </c>
      <c r="L1709" s="178"/>
      <c r="M1709" s="178"/>
      <c r="N1709" s="215">
        <f t="shared" si="60"/>
        <v>2.9572566611769187</v>
      </c>
      <c r="O1709" s="215"/>
      <c r="P1709" s="194"/>
      <c r="Q1709" s="194"/>
      <c r="R1709" s="194"/>
      <c r="S1709" s="194"/>
    </row>
    <row r="1710" spans="1:19" s="164" customFormat="1" x14ac:dyDescent="0.35">
      <c r="A1710" s="175"/>
      <c r="B1710" s="176" t="str">
        <f t="shared" si="58"/>
        <v>PV1-24</v>
      </c>
      <c r="C1710" s="178"/>
      <c r="D1710" s="178"/>
      <c r="E1710" s="178"/>
      <c r="F1710" s="178"/>
      <c r="G1710" s="178"/>
      <c r="H1710" s="178"/>
      <c r="I1710" s="178"/>
      <c r="J1710" s="178"/>
      <c r="K1710" s="221">
        <f t="shared" si="59"/>
        <v>3.844433659529994E-3</v>
      </c>
      <c r="L1710" s="178"/>
      <c r="M1710" s="178"/>
      <c r="N1710" s="215">
        <f t="shared" si="60"/>
        <v>2.9572566611769187</v>
      </c>
      <c r="O1710" s="215"/>
      <c r="P1710" s="194"/>
      <c r="Q1710" s="194"/>
      <c r="R1710" s="194"/>
      <c r="S1710" s="194"/>
    </row>
    <row r="1711" spans="1:19" s="164" customFormat="1" x14ac:dyDescent="0.35">
      <c r="A1711" s="175"/>
      <c r="B1711" s="176" t="str">
        <f t="shared" si="58"/>
        <v>PV1-25</v>
      </c>
      <c r="C1711" s="178"/>
      <c r="D1711" s="178"/>
      <c r="E1711" s="178"/>
      <c r="F1711" s="178"/>
      <c r="G1711" s="178"/>
      <c r="H1711" s="178"/>
      <c r="I1711" s="178"/>
      <c r="J1711" s="178"/>
      <c r="K1711" s="221">
        <f t="shared" si="59"/>
        <v>3.844433659529994E-3</v>
      </c>
      <c r="L1711" s="178"/>
      <c r="M1711" s="178"/>
      <c r="N1711" s="215">
        <f t="shared" si="60"/>
        <v>2.9572566611769187</v>
      </c>
      <c r="O1711" s="215"/>
      <c r="P1711" s="194"/>
      <c r="Q1711" s="194"/>
      <c r="R1711" s="194"/>
      <c r="S1711" s="194"/>
    </row>
    <row r="1712" spans="1:19" s="164" customFormat="1" x14ac:dyDescent="0.35">
      <c r="A1712" s="175"/>
      <c r="B1712" s="176" t="str">
        <f t="shared" si="58"/>
        <v>PV1-30</v>
      </c>
      <c r="C1712" s="178"/>
      <c r="D1712" s="178"/>
      <c r="E1712" s="178"/>
      <c r="F1712" s="178"/>
      <c r="G1712" s="178"/>
      <c r="H1712" s="178"/>
      <c r="I1712" s="178"/>
      <c r="J1712" s="178"/>
      <c r="K1712" s="221">
        <f t="shared" si="59"/>
        <v>3.844433659529994E-3</v>
      </c>
      <c r="L1712" s="178"/>
      <c r="M1712" s="178"/>
      <c r="N1712" s="215">
        <f t="shared" si="60"/>
        <v>2.9572566611769187</v>
      </c>
      <c r="O1712" s="215"/>
      <c r="P1712" s="194"/>
      <c r="Q1712" s="194"/>
      <c r="R1712" s="194"/>
      <c r="S1712" s="194"/>
    </row>
    <row r="1713" spans="1:19" s="164" customFormat="1" x14ac:dyDescent="0.35">
      <c r="A1713" s="175"/>
      <c r="B1713" s="176" t="str">
        <f t="shared" si="58"/>
        <v>PV2-24</v>
      </c>
      <c r="C1713" s="178"/>
      <c r="D1713" s="178"/>
      <c r="E1713" s="178"/>
      <c r="F1713" s="178"/>
      <c r="G1713" s="178"/>
      <c r="H1713" s="178"/>
      <c r="I1713" s="178"/>
      <c r="J1713" s="178"/>
      <c r="K1713" s="221">
        <f t="shared" si="59"/>
        <v>3.844433659529994E-3</v>
      </c>
      <c r="L1713" s="178"/>
      <c r="M1713" s="178"/>
      <c r="N1713" s="215">
        <f t="shared" si="60"/>
        <v>2.9572566611769187</v>
      </c>
      <c r="O1713" s="215"/>
      <c r="P1713" s="194"/>
      <c r="Q1713" s="194"/>
      <c r="R1713" s="194"/>
      <c r="S1713" s="194"/>
    </row>
    <row r="1714" spans="1:19" s="164" customFormat="1" x14ac:dyDescent="0.35">
      <c r="A1714" s="175"/>
      <c r="B1714" s="176" t="str">
        <f t="shared" si="58"/>
        <v>PV3-21</v>
      </c>
      <c r="C1714" s="178"/>
      <c r="D1714" s="178"/>
      <c r="E1714" s="178"/>
      <c r="F1714" s="178"/>
      <c r="G1714" s="178"/>
      <c r="H1714" s="178"/>
      <c r="I1714" s="178"/>
      <c r="J1714" s="178"/>
      <c r="K1714" s="221">
        <f t="shared" si="59"/>
        <v>3.844433659529994E-3</v>
      </c>
      <c r="L1714" s="178"/>
      <c r="M1714" s="178"/>
      <c r="N1714" s="215">
        <f t="shared" si="60"/>
        <v>2.9572566611769187</v>
      </c>
      <c r="O1714" s="215"/>
      <c r="P1714" s="194"/>
      <c r="Q1714" s="194"/>
      <c r="R1714" s="194"/>
      <c r="S1714" s="194"/>
    </row>
    <row r="1715" spans="1:19" s="164" customFormat="1" x14ac:dyDescent="0.35">
      <c r="A1715" s="175"/>
      <c r="B1715" s="176" t="str">
        <f t="shared" si="58"/>
        <v>PV4-23</v>
      </c>
      <c r="C1715" s="178"/>
      <c r="D1715" s="178"/>
      <c r="E1715" s="178"/>
      <c r="F1715" s="178"/>
      <c r="G1715" s="178"/>
      <c r="H1715" s="178"/>
      <c r="I1715" s="178"/>
      <c r="J1715" s="178"/>
      <c r="K1715" s="221">
        <f t="shared" si="59"/>
        <v>3.844433659529994E-3</v>
      </c>
      <c r="L1715" s="178"/>
      <c r="M1715" s="178"/>
      <c r="N1715" s="215">
        <f t="shared" si="60"/>
        <v>2.9572566611769187</v>
      </c>
      <c r="O1715" s="215"/>
      <c r="P1715" s="194"/>
      <c r="Q1715" s="194"/>
      <c r="R1715" s="194"/>
      <c r="S1715" s="194"/>
    </row>
    <row r="1716" spans="1:19" s="164" customFormat="1" x14ac:dyDescent="0.35">
      <c r="A1716" s="175"/>
      <c r="B1716" s="176" t="str">
        <f t="shared" si="58"/>
        <v>PV5-21</v>
      </c>
      <c r="C1716" s="178"/>
      <c r="D1716" s="178"/>
      <c r="E1716" s="178"/>
      <c r="F1716" s="178"/>
      <c r="G1716" s="178"/>
      <c r="H1716" s="178"/>
      <c r="I1716" s="178"/>
      <c r="J1716" s="178"/>
      <c r="K1716" s="221">
        <f t="shared" si="59"/>
        <v>3.844433659529994E-3</v>
      </c>
      <c r="L1716" s="178"/>
      <c r="M1716" s="178"/>
      <c r="N1716" s="215">
        <f t="shared" si="60"/>
        <v>2.9572566611769187</v>
      </c>
      <c r="O1716" s="215"/>
      <c r="P1716" s="194"/>
      <c r="Q1716" s="194"/>
      <c r="R1716" s="194"/>
      <c r="S1716" s="194"/>
    </row>
    <row r="1717" spans="1:19" s="164" customFormat="1" x14ac:dyDescent="0.35">
      <c r="A1717" s="175"/>
      <c r="B1717" s="176" t="str">
        <f t="shared" si="58"/>
        <v>PV5-23</v>
      </c>
      <c r="C1717" s="178"/>
      <c r="D1717" s="178"/>
      <c r="E1717" s="178"/>
      <c r="F1717" s="178"/>
      <c r="G1717" s="178"/>
      <c r="H1717" s="178"/>
      <c r="I1717" s="178"/>
      <c r="J1717" s="178"/>
      <c r="K1717" s="221">
        <f t="shared" si="59"/>
        <v>3.844433659529994E-3</v>
      </c>
      <c r="L1717" s="178"/>
      <c r="M1717" s="178"/>
      <c r="N1717" s="215">
        <f t="shared" si="60"/>
        <v>2.9572566611769187</v>
      </c>
      <c r="O1717" s="215"/>
      <c r="P1717" s="194"/>
      <c r="Q1717" s="194"/>
      <c r="R1717" s="194"/>
      <c r="S1717" s="194"/>
    </row>
    <row r="1718" spans="1:19" s="164" customFormat="1" x14ac:dyDescent="0.35">
      <c r="A1718" s="175"/>
      <c r="B1718" s="176" t="str">
        <f t="shared" si="58"/>
        <v>PV6-21</v>
      </c>
      <c r="C1718" s="178"/>
      <c r="D1718" s="178"/>
      <c r="E1718" s="178"/>
      <c r="F1718" s="178"/>
      <c r="G1718" s="178"/>
      <c r="H1718" s="178"/>
      <c r="I1718" s="178"/>
      <c r="J1718" s="178"/>
      <c r="K1718" s="221">
        <f t="shared" si="59"/>
        <v>3.844433659529994E-3</v>
      </c>
      <c r="L1718" s="178"/>
      <c r="M1718" s="178"/>
      <c r="N1718" s="215">
        <f t="shared" si="60"/>
        <v>2.9572566611769187</v>
      </c>
      <c r="O1718" s="215"/>
      <c r="P1718" s="194"/>
      <c r="Q1718" s="194"/>
      <c r="R1718" s="194"/>
      <c r="S1718" s="194"/>
    </row>
    <row r="1719" spans="1:19" s="164" customFormat="1" x14ac:dyDescent="0.35">
      <c r="A1719" s="175"/>
      <c r="B1719" s="176" t="str">
        <f t="shared" si="58"/>
        <v>PV6-23</v>
      </c>
      <c r="C1719" s="178"/>
      <c r="D1719" s="178"/>
      <c r="E1719" s="178"/>
      <c r="F1719" s="178"/>
      <c r="G1719" s="178"/>
      <c r="H1719" s="178"/>
      <c r="I1719" s="178"/>
      <c r="J1719" s="178"/>
      <c r="K1719" s="221">
        <f t="shared" si="59"/>
        <v>3.844433659529994E-3</v>
      </c>
      <c r="L1719" s="178"/>
      <c r="M1719" s="178"/>
      <c r="N1719" s="215">
        <f t="shared" si="60"/>
        <v>2.9572566611769187</v>
      </c>
      <c r="O1719" s="215"/>
      <c r="P1719" s="194"/>
      <c r="Q1719" s="194"/>
      <c r="R1719" s="194"/>
      <c r="S1719" s="194"/>
    </row>
    <row r="1720" spans="1:19" s="164" customFormat="1" x14ac:dyDescent="0.35">
      <c r="A1720" s="175"/>
      <c r="B1720" s="176"/>
      <c r="C1720" s="178"/>
      <c r="D1720" s="178"/>
      <c r="E1720" s="178"/>
      <c r="F1720" s="178"/>
      <c r="G1720" s="178"/>
      <c r="H1720" s="178"/>
      <c r="I1720" s="178"/>
      <c r="J1720" s="178"/>
      <c r="K1720" s="178"/>
      <c r="L1720" s="178"/>
      <c r="M1720" s="178"/>
      <c r="N1720" s="178"/>
      <c r="O1720" s="193"/>
      <c r="P1720" s="194"/>
      <c r="Q1720" s="194"/>
      <c r="R1720" s="194"/>
      <c r="S1720" s="194"/>
    </row>
    <row r="1721" spans="1:19" s="189" customFormat="1" x14ac:dyDescent="0.35">
      <c r="A1721" s="195"/>
      <c r="B1721" s="181" t="s">
        <v>5</v>
      </c>
      <c r="C1721" s="182" t="s">
        <v>1328</v>
      </c>
      <c r="D1721" s="182"/>
      <c r="E1721" s="182"/>
      <c r="F1721" s="182"/>
      <c r="G1721" s="182"/>
      <c r="H1721" s="182"/>
      <c r="I1721" s="182"/>
      <c r="J1721" s="182"/>
      <c r="K1721" s="196">
        <f>SUM(K1707:K1719)</f>
        <v>4.997763757388992E-2</v>
      </c>
      <c r="L1721" s="182"/>
      <c r="M1721" s="182"/>
      <c r="N1721" s="182"/>
      <c r="O1721" s="196"/>
      <c r="P1721" s="169"/>
      <c r="Q1721" s="169"/>
      <c r="R1721" s="169"/>
      <c r="S1721" s="169"/>
    </row>
    <row r="1722" spans="1:19" s="189" customFormat="1" ht="21" x14ac:dyDescent="0.35">
      <c r="A1722" s="171" t="str">
        <f>ORÇAMENTO!A326</f>
        <v>4.4.22</v>
      </c>
      <c r="B1722" s="172" t="str">
        <f>VLOOKUP(A1722,ORÇAMENTO!A:K,4,0)</f>
        <v>CAL HIDRATADA - A GRANEL</v>
      </c>
      <c r="C1722" s="173" t="str">
        <f>VLOOKUP(A1722,ORÇAMENTO!A:K,5,0)</f>
        <v>KG</v>
      </c>
      <c r="D1722" s="173">
        <f>SUM(E1739:O1739)</f>
        <v>2.4840955953886117</v>
      </c>
      <c r="E1722" s="173" t="s">
        <v>1718</v>
      </c>
      <c r="F1722" s="173" t="s">
        <v>1719</v>
      </c>
      <c r="G1722" s="173" t="s">
        <v>1720</v>
      </c>
      <c r="H1722" s="173" t="s">
        <v>1721</v>
      </c>
      <c r="I1722" s="173" t="s">
        <v>1722</v>
      </c>
      <c r="J1722" s="173" t="s">
        <v>1723</v>
      </c>
      <c r="K1722" s="173" t="s">
        <v>1724</v>
      </c>
      <c r="L1722" s="173" t="s">
        <v>1753</v>
      </c>
      <c r="M1722" s="173" t="s">
        <v>1768</v>
      </c>
      <c r="N1722" s="173" t="s">
        <v>1727</v>
      </c>
      <c r="O1722" s="173" t="s">
        <v>1728</v>
      </c>
      <c r="P1722" s="169"/>
      <c r="Q1722" s="169"/>
      <c r="R1722" s="169"/>
      <c r="S1722" s="169"/>
    </row>
    <row r="1723" spans="1:19" s="189" customFormat="1" x14ac:dyDescent="0.35">
      <c r="A1723" s="175"/>
      <c r="B1723" s="181" t="s">
        <v>1864</v>
      </c>
      <c r="C1723" s="177"/>
      <c r="D1723" s="177"/>
      <c r="E1723" s="178"/>
      <c r="F1723" s="178"/>
      <c r="G1723" s="178"/>
      <c r="H1723" s="178"/>
      <c r="I1723" s="178"/>
      <c r="J1723" s="178"/>
      <c r="K1723" s="178"/>
      <c r="L1723" s="178"/>
      <c r="M1723" s="178"/>
      <c r="N1723" s="178"/>
      <c r="O1723" s="178"/>
      <c r="P1723" s="169"/>
      <c r="Q1723" s="169"/>
      <c r="R1723" s="169"/>
      <c r="S1723" s="169"/>
    </row>
    <row r="1724" spans="1:19" s="170" customFormat="1" ht="10.5" x14ac:dyDescent="0.25">
      <c r="A1724" s="175"/>
      <c r="B1724" s="176" t="s">
        <v>1865</v>
      </c>
      <c r="C1724" s="177"/>
      <c r="D1724" s="178"/>
      <c r="E1724" s="178"/>
      <c r="F1724" s="178"/>
      <c r="G1724" s="178"/>
      <c r="H1724" s="178"/>
      <c r="I1724" s="178"/>
      <c r="J1724" s="178"/>
      <c r="K1724" s="178"/>
      <c r="L1724" s="198">
        <v>0.7</v>
      </c>
      <c r="M1724" s="178"/>
      <c r="N1724" s="178"/>
      <c r="O1724" s="178"/>
      <c r="P1724" s="179"/>
      <c r="Q1724" s="169"/>
    </row>
    <row r="1725" spans="1:19" s="164" customFormat="1" x14ac:dyDescent="0.35">
      <c r="A1725" s="175"/>
      <c r="B1725" s="176" t="str">
        <f t="shared" ref="B1725:B1737" si="61">B1599</f>
        <v>PV1-19</v>
      </c>
      <c r="C1725" s="178"/>
      <c r="D1725" s="178"/>
      <c r="E1725" s="178"/>
      <c r="F1725" s="178"/>
      <c r="G1725" s="178"/>
      <c r="H1725" s="178"/>
      <c r="I1725" s="178"/>
      <c r="J1725" s="178"/>
      <c r="K1725" s="178">
        <f t="shared" ref="K1725:K1737" si="62">$L$1724*O1725</f>
        <v>0.31051194942357646</v>
      </c>
      <c r="L1725" s="178"/>
      <c r="M1725" s="178"/>
      <c r="N1725" s="178"/>
      <c r="O1725" s="215">
        <f t="shared" ref="O1725:O1737" si="63">O1599</f>
        <v>0.44358849917653781</v>
      </c>
      <c r="P1725" s="194"/>
      <c r="Q1725" s="194"/>
      <c r="R1725" s="194"/>
      <c r="S1725" s="194"/>
    </row>
    <row r="1726" spans="1:19" s="164" customFormat="1" x14ac:dyDescent="0.35">
      <c r="A1726" s="175"/>
      <c r="B1726" s="176" t="str">
        <f t="shared" si="61"/>
        <v>PV1-20</v>
      </c>
      <c r="C1726" s="178"/>
      <c r="D1726" s="178"/>
      <c r="E1726" s="178"/>
      <c r="F1726" s="178"/>
      <c r="G1726" s="178"/>
      <c r="H1726" s="178"/>
      <c r="I1726" s="178"/>
      <c r="J1726" s="178"/>
      <c r="K1726" s="178">
        <f t="shared" si="62"/>
        <v>0</v>
      </c>
      <c r="L1726" s="178"/>
      <c r="M1726" s="178"/>
      <c r="N1726" s="178"/>
      <c r="O1726" s="215">
        <f t="shared" si="63"/>
        <v>0</v>
      </c>
      <c r="P1726" s="194"/>
      <c r="Q1726" s="194"/>
      <c r="R1726" s="194"/>
      <c r="S1726" s="194"/>
    </row>
    <row r="1727" spans="1:19" s="164" customFormat="1" x14ac:dyDescent="0.35">
      <c r="A1727" s="175"/>
      <c r="B1727" s="176" t="str">
        <f t="shared" si="61"/>
        <v>PV1-22</v>
      </c>
      <c r="C1727" s="178"/>
      <c r="D1727" s="178"/>
      <c r="E1727" s="178"/>
      <c r="F1727" s="178"/>
      <c r="G1727" s="178"/>
      <c r="H1727" s="178"/>
      <c r="I1727" s="178"/>
      <c r="J1727" s="178"/>
      <c r="K1727" s="178">
        <f t="shared" si="62"/>
        <v>0</v>
      </c>
      <c r="L1727" s="178"/>
      <c r="M1727" s="178"/>
      <c r="N1727" s="178"/>
      <c r="O1727" s="215">
        <f t="shared" si="63"/>
        <v>0</v>
      </c>
      <c r="P1727" s="194"/>
      <c r="Q1727" s="194"/>
      <c r="R1727" s="194"/>
      <c r="S1727" s="194"/>
    </row>
    <row r="1728" spans="1:19" s="164" customFormat="1" x14ac:dyDescent="0.35">
      <c r="A1728" s="175"/>
      <c r="B1728" s="176" t="str">
        <f t="shared" si="61"/>
        <v>PV1-24</v>
      </c>
      <c r="C1728" s="178"/>
      <c r="D1728" s="178"/>
      <c r="E1728" s="178"/>
      <c r="F1728" s="178"/>
      <c r="G1728" s="178"/>
      <c r="H1728" s="178"/>
      <c r="I1728" s="178"/>
      <c r="J1728" s="178"/>
      <c r="K1728" s="178">
        <f t="shared" si="62"/>
        <v>0</v>
      </c>
      <c r="L1728" s="178"/>
      <c r="M1728" s="178"/>
      <c r="N1728" s="178"/>
      <c r="O1728" s="215">
        <f t="shared" si="63"/>
        <v>0</v>
      </c>
      <c r="P1728" s="194"/>
      <c r="Q1728" s="194"/>
      <c r="R1728" s="194"/>
      <c r="S1728" s="194"/>
    </row>
    <row r="1729" spans="1:19" s="164" customFormat="1" x14ac:dyDescent="0.35">
      <c r="A1729" s="175"/>
      <c r="B1729" s="176" t="str">
        <f t="shared" si="61"/>
        <v>PV1-25</v>
      </c>
      <c r="C1729" s="178"/>
      <c r="D1729" s="178"/>
      <c r="E1729" s="178"/>
      <c r="F1729" s="178"/>
      <c r="G1729" s="178"/>
      <c r="H1729" s="178"/>
      <c r="I1729" s="178"/>
      <c r="J1729" s="178"/>
      <c r="K1729" s="178">
        <f t="shared" si="62"/>
        <v>0</v>
      </c>
      <c r="L1729" s="178"/>
      <c r="M1729" s="178"/>
      <c r="N1729" s="178"/>
      <c r="O1729" s="215">
        <f t="shared" si="63"/>
        <v>0</v>
      </c>
      <c r="P1729" s="194"/>
      <c r="Q1729" s="194"/>
      <c r="R1729" s="194"/>
      <c r="S1729" s="194"/>
    </row>
    <row r="1730" spans="1:19" s="164" customFormat="1" x14ac:dyDescent="0.35">
      <c r="A1730" s="175"/>
      <c r="B1730" s="176" t="str">
        <f t="shared" si="61"/>
        <v>PV1-30</v>
      </c>
      <c r="C1730" s="178"/>
      <c r="D1730" s="178"/>
      <c r="E1730" s="178"/>
      <c r="F1730" s="178"/>
      <c r="G1730" s="178"/>
      <c r="H1730" s="178"/>
      <c r="I1730" s="178"/>
      <c r="J1730" s="178"/>
      <c r="K1730" s="178">
        <f t="shared" si="62"/>
        <v>0</v>
      </c>
      <c r="L1730" s="178"/>
      <c r="M1730" s="178"/>
      <c r="N1730" s="178"/>
      <c r="O1730" s="215">
        <f t="shared" si="63"/>
        <v>0</v>
      </c>
      <c r="P1730" s="194"/>
      <c r="Q1730" s="194"/>
      <c r="R1730" s="194"/>
      <c r="S1730" s="194"/>
    </row>
    <row r="1731" spans="1:19" s="164" customFormat="1" x14ac:dyDescent="0.35">
      <c r="A1731" s="175"/>
      <c r="B1731" s="176" t="str">
        <f t="shared" si="61"/>
        <v>PV2-24</v>
      </c>
      <c r="C1731" s="178"/>
      <c r="D1731" s="178"/>
      <c r="E1731" s="178"/>
      <c r="F1731" s="178"/>
      <c r="G1731" s="178"/>
      <c r="H1731" s="178"/>
      <c r="I1731" s="178"/>
      <c r="J1731" s="178"/>
      <c r="K1731" s="178">
        <f t="shared" si="62"/>
        <v>0.31051194942357646</v>
      </c>
      <c r="L1731" s="178"/>
      <c r="M1731" s="178"/>
      <c r="N1731" s="178"/>
      <c r="O1731" s="215">
        <f t="shared" si="63"/>
        <v>0.44358849917653781</v>
      </c>
      <c r="P1731" s="194"/>
      <c r="Q1731" s="194"/>
      <c r="R1731" s="194"/>
      <c r="S1731" s="194"/>
    </row>
    <row r="1732" spans="1:19" s="164" customFormat="1" x14ac:dyDescent="0.35">
      <c r="A1732" s="175"/>
      <c r="B1732" s="176" t="str">
        <f t="shared" si="61"/>
        <v>PV3-21</v>
      </c>
      <c r="C1732" s="178"/>
      <c r="D1732" s="178"/>
      <c r="E1732" s="178"/>
      <c r="F1732" s="178"/>
      <c r="G1732" s="178"/>
      <c r="H1732" s="178"/>
      <c r="I1732" s="178"/>
      <c r="J1732" s="178"/>
      <c r="K1732" s="178">
        <f t="shared" si="62"/>
        <v>0.31051194942357646</v>
      </c>
      <c r="L1732" s="178"/>
      <c r="M1732" s="178"/>
      <c r="N1732" s="178"/>
      <c r="O1732" s="215">
        <f t="shared" si="63"/>
        <v>0.44358849917653781</v>
      </c>
      <c r="P1732" s="194"/>
      <c r="Q1732" s="194"/>
      <c r="R1732" s="194"/>
      <c r="S1732" s="194"/>
    </row>
    <row r="1733" spans="1:19" s="164" customFormat="1" x14ac:dyDescent="0.35">
      <c r="A1733" s="175"/>
      <c r="B1733" s="176" t="str">
        <f t="shared" si="61"/>
        <v>PV4-23</v>
      </c>
      <c r="C1733" s="178"/>
      <c r="D1733" s="178"/>
      <c r="E1733" s="178"/>
      <c r="F1733" s="178"/>
      <c r="G1733" s="178"/>
      <c r="H1733" s="178"/>
      <c r="I1733" s="178"/>
      <c r="J1733" s="178"/>
      <c r="K1733" s="178">
        <f t="shared" si="62"/>
        <v>0.31051194942357646</v>
      </c>
      <c r="L1733" s="178"/>
      <c r="M1733" s="178"/>
      <c r="N1733" s="178"/>
      <c r="O1733" s="215">
        <f t="shared" si="63"/>
        <v>0.44358849917653781</v>
      </c>
      <c r="P1733" s="194"/>
      <c r="Q1733" s="194"/>
      <c r="R1733" s="194"/>
      <c r="S1733" s="194"/>
    </row>
    <row r="1734" spans="1:19" s="164" customFormat="1" x14ac:dyDescent="0.35">
      <c r="A1734" s="175"/>
      <c r="B1734" s="176" t="str">
        <f t="shared" si="61"/>
        <v>PV5-21</v>
      </c>
      <c r="C1734" s="178"/>
      <c r="D1734" s="178"/>
      <c r="E1734" s="178"/>
      <c r="F1734" s="178"/>
      <c r="G1734" s="178"/>
      <c r="H1734" s="178"/>
      <c r="I1734" s="178"/>
      <c r="J1734" s="178"/>
      <c r="K1734" s="178">
        <f t="shared" si="62"/>
        <v>0.31051194942357646</v>
      </c>
      <c r="L1734" s="178"/>
      <c r="M1734" s="178"/>
      <c r="N1734" s="178"/>
      <c r="O1734" s="215">
        <f t="shared" si="63"/>
        <v>0.44358849917653781</v>
      </c>
      <c r="P1734" s="194"/>
      <c r="Q1734" s="194"/>
      <c r="R1734" s="194"/>
      <c r="S1734" s="194"/>
    </row>
    <row r="1735" spans="1:19" s="164" customFormat="1" x14ac:dyDescent="0.35">
      <c r="A1735" s="175"/>
      <c r="B1735" s="176" t="str">
        <f t="shared" si="61"/>
        <v>PV5-23</v>
      </c>
      <c r="C1735" s="178"/>
      <c r="D1735" s="178"/>
      <c r="E1735" s="178"/>
      <c r="F1735" s="178"/>
      <c r="G1735" s="178"/>
      <c r="H1735" s="178"/>
      <c r="I1735" s="178"/>
      <c r="J1735" s="178"/>
      <c r="K1735" s="178">
        <f t="shared" si="62"/>
        <v>0.31051194942357646</v>
      </c>
      <c r="L1735" s="178"/>
      <c r="M1735" s="178"/>
      <c r="N1735" s="178"/>
      <c r="O1735" s="215">
        <f t="shared" si="63"/>
        <v>0.44358849917653781</v>
      </c>
      <c r="P1735" s="194"/>
      <c r="Q1735" s="194"/>
      <c r="R1735" s="194"/>
      <c r="S1735" s="194"/>
    </row>
    <row r="1736" spans="1:19" s="164" customFormat="1" x14ac:dyDescent="0.35">
      <c r="A1736" s="175"/>
      <c r="B1736" s="176" t="str">
        <f t="shared" si="61"/>
        <v>PV6-21</v>
      </c>
      <c r="C1736" s="178"/>
      <c r="D1736" s="178"/>
      <c r="E1736" s="178"/>
      <c r="F1736" s="178"/>
      <c r="G1736" s="178"/>
      <c r="H1736" s="178"/>
      <c r="I1736" s="178"/>
      <c r="J1736" s="178"/>
      <c r="K1736" s="178">
        <f t="shared" si="62"/>
        <v>0.31051194942357646</v>
      </c>
      <c r="L1736" s="178"/>
      <c r="M1736" s="178"/>
      <c r="N1736" s="178"/>
      <c r="O1736" s="215">
        <f t="shared" si="63"/>
        <v>0.44358849917653781</v>
      </c>
      <c r="P1736" s="194"/>
      <c r="Q1736" s="194"/>
      <c r="R1736" s="194"/>
      <c r="S1736" s="194"/>
    </row>
    <row r="1737" spans="1:19" s="164" customFormat="1" x14ac:dyDescent="0.35">
      <c r="A1737" s="175"/>
      <c r="B1737" s="176" t="str">
        <f t="shared" si="61"/>
        <v>PV6-23</v>
      </c>
      <c r="C1737" s="178"/>
      <c r="D1737" s="178"/>
      <c r="E1737" s="178"/>
      <c r="F1737" s="178"/>
      <c r="G1737" s="178"/>
      <c r="H1737" s="178"/>
      <c r="I1737" s="178"/>
      <c r="J1737" s="178"/>
      <c r="K1737" s="178">
        <f t="shared" si="62"/>
        <v>0.31051194942357646</v>
      </c>
      <c r="L1737" s="178"/>
      <c r="M1737" s="178"/>
      <c r="N1737" s="178"/>
      <c r="O1737" s="215">
        <f t="shared" si="63"/>
        <v>0.44358849917653781</v>
      </c>
      <c r="P1737" s="194"/>
      <c r="Q1737" s="194"/>
      <c r="R1737" s="194"/>
      <c r="S1737" s="194"/>
    </row>
    <row r="1738" spans="1:19" s="164" customFormat="1" x14ac:dyDescent="0.35">
      <c r="A1738" s="175"/>
      <c r="B1738" s="176"/>
      <c r="C1738" s="178"/>
      <c r="D1738" s="178"/>
      <c r="E1738" s="178"/>
      <c r="F1738" s="178"/>
      <c r="G1738" s="178"/>
      <c r="H1738" s="178"/>
      <c r="I1738" s="178"/>
      <c r="J1738" s="178"/>
      <c r="K1738" s="178"/>
      <c r="L1738" s="178"/>
      <c r="M1738" s="178"/>
      <c r="N1738" s="178"/>
      <c r="O1738" s="193"/>
      <c r="P1738" s="194"/>
      <c r="Q1738" s="194"/>
      <c r="R1738" s="194"/>
      <c r="S1738" s="194"/>
    </row>
    <row r="1739" spans="1:19" s="189" customFormat="1" x14ac:dyDescent="0.35">
      <c r="A1739" s="195"/>
      <c r="B1739" s="181" t="s">
        <v>5</v>
      </c>
      <c r="C1739" s="182" t="s">
        <v>1328</v>
      </c>
      <c r="D1739" s="182"/>
      <c r="E1739" s="182"/>
      <c r="F1739" s="182"/>
      <c r="G1739" s="182"/>
      <c r="H1739" s="182"/>
      <c r="I1739" s="182"/>
      <c r="J1739" s="182"/>
      <c r="K1739" s="196">
        <f>SUM(K1725:K1737)</f>
        <v>2.4840955953886117</v>
      </c>
      <c r="L1739" s="182"/>
      <c r="M1739" s="182"/>
      <c r="N1739" s="182"/>
      <c r="O1739" s="196"/>
      <c r="P1739" s="169"/>
      <c r="Q1739" s="169"/>
      <c r="R1739" s="169"/>
      <c r="S1739" s="169"/>
    </row>
    <row r="1740" spans="1:19" s="225" customFormat="1" ht="10.5" x14ac:dyDescent="0.25">
      <c r="A1740" s="222" t="str">
        <f>ORÇAMENTO!A328</f>
        <v>5.1</v>
      </c>
      <c r="B1740" s="223" t="str">
        <f>VLOOKUP(A1740,ORÇAMENTO!A:K,4,0)</f>
        <v>OBRAS DE DRENAGEM DE ÁGUAS PLUVIAIS</v>
      </c>
      <c r="C1740" s="167"/>
      <c r="D1740" s="167"/>
      <c r="E1740" s="168"/>
      <c r="F1740" s="168"/>
      <c r="G1740" s="168"/>
      <c r="H1740" s="168"/>
      <c r="I1740" s="168"/>
      <c r="J1740" s="168"/>
      <c r="K1740" s="168"/>
      <c r="L1740" s="168"/>
      <c r="M1740" s="168"/>
      <c r="N1740" s="168"/>
      <c r="O1740" s="168"/>
      <c r="P1740" s="224"/>
      <c r="Q1740" s="224"/>
    </row>
    <row r="1741" spans="1:19" s="225" customFormat="1" ht="10.5" x14ac:dyDescent="0.25">
      <c r="A1741" s="222" t="str">
        <f>ORÇAMENTO!A329</f>
        <v>5.1.1</v>
      </c>
      <c r="B1741" s="223" t="str">
        <f>VLOOKUP(A1741,ORÇAMENTO!A:K,4,0)</f>
        <v>SERVIÇOS PRELIMINARES</v>
      </c>
      <c r="C1741" s="167"/>
      <c r="D1741" s="167"/>
      <c r="E1741" s="168"/>
      <c r="F1741" s="168"/>
      <c r="G1741" s="168"/>
      <c r="H1741" s="168"/>
      <c r="I1741" s="168"/>
      <c r="J1741" s="168"/>
      <c r="K1741" s="168"/>
      <c r="L1741" s="168"/>
      <c r="M1741" s="168"/>
      <c r="N1741" s="168"/>
      <c r="O1741" s="168"/>
      <c r="P1741" s="224"/>
      <c r="Q1741" s="224"/>
    </row>
    <row r="1742" spans="1:19" s="228" customFormat="1" ht="21" x14ac:dyDescent="0.25">
      <c r="A1742" s="226" t="str">
        <f>ORÇAMENTO!A331</f>
        <v>5.1.1.1.1</v>
      </c>
      <c r="B1742" s="227" t="str">
        <f>VLOOKUP(A1742,ORÇAMENTO!A:K,4,0)</f>
        <v>PLACA DE OBRA EM CHAPA DE ACO GALVANIZADO</v>
      </c>
      <c r="C1742" s="173" t="str">
        <f>VLOOKUP(A1742,ORÇAMENTO!A:K,5,0)</f>
        <v>M²</v>
      </c>
      <c r="D1742" s="173">
        <f>SUM(E1746:O1746)</f>
        <v>12</v>
      </c>
      <c r="E1742" s="173" t="s">
        <v>1718</v>
      </c>
      <c r="F1742" s="173" t="s">
        <v>1719</v>
      </c>
      <c r="G1742" s="173" t="s">
        <v>1720</v>
      </c>
      <c r="H1742" s="173" t="s">
        <v>1721</v>
      </c>
      <c r="I1742" s="173" t="s">
        <v>1722</v>
      </c>
      <c r="J1742" s="173" t="s">
        <v>1723</v>
      </c>
      <c r="K1742" s="173" t="s">
        <v>1724</v>
      </c>
      <c r="L1742" s="173" t="s">
        <v>1725</v>
      </c>
      <c r="M1742" s="173" t="s">
        <v>1726</v>
      </c>
      <c r="N1742" s="173" t="s">
        <v>1727</v>
      </c>
      <c r="O1742" s="173" t="s">
        <v>1728</v>
      </c>
      <c r="P1742" s="224"/>
      <c r="Q1742" s="224"/>
    </row>
    <row r="1743" spans="1:19" s="225" customFormat="1" ht="10.5" x14ac:dyDescent="0.25">
      <c r="A1743" s="229"/>
      <c r="B1743" s="230"/>
      <c r="C1743" s="177"/>
      <c r="D1743" s="178"/>
      <c r="E1743" s="178"/>
      <c r="F1743" s="178"/>
      <c r="G1743" s="178"/>
      <c r="H1743" s="178"/>
      <c r="I1743" s="178"/>
      <c r="J1743" s="178"/>
      <c r="K1743" s="178"/>
      <c r="L1743" s="178"/>
      <c r="M1743" s="178"/>
      <c r="N1743" s="178"/>
      <c r="O1743" s="178"/>
      <c r="P1743" s="231"/>
      <c r="Q1743" s="224"/>
    </row>
    <row r="1744" spans="1:19" s="225" customFormat="1" ht="21" x14ac:dyDescent="0.25">
      <c r="A1744" s="229"/>
      <c r="B1744" s="230" t="s">
        <v>1729</v>
      </c>
      <c r="C1744" s="177"/>
      <c r="D1744" s="178"/>
      <c r="E1744" s="178">
        <v>3</v>
      </c>
      <c r="F1744" s="178"/>
      <c r="G1744" s="178">
        <v>2</v>
      </c>
      <c r="H1744" s="178"/>
      <c r="I1744" s="178"/>
      <c r="J1744" s="178"/>
      <c r="K1744" s="178"/>
      <c r="L1744" s="178"/>
      <c r="M1744" s="178">
        <v>2</v>
      </c>
      <c r="N1744" s="178">
        <f>E1744*G1744*M1744</f>
        <v>12</v>
      </c>
      <c r="O1744" s="178"/>
      <c r="P1744" s="231"/>
      <c r="Q1744" s="224"/>
    </row>
    <row r="1745" spans="1:17" s="225" customFormat="1" ht="10.5" x14ac:dyDescent="0.25">
      <c r="A1745" s="229"/>
      <c r="B1745" s="230"/>
      <c r="C1745" s="177"/>
      <c r="D1745" s="178"/>
      <c r="E1745" s="178"/>
      <c r="F1745" s="178"/>
      <c r="G1745" s="178"/>
      <c r="H1745" s="178"/>
      <c r="I1745" s="178"/>
      <c r="J1745" s="178"/>
      <c r="K1745" s="178"/>
      <c r="L1745" s="180"/>
      <c r="M1745" s="178"/>
      <c r="N1745" s="178"/>
      <c r="O1745" s="178"/>
      <c r="P1745" s="231"/>
      <c r="Q1745" s="224"/>
    </row>
    <row r="1746" spans="1:17" s="225" customFormat="1" ht="10.5" x14ac:dyDescent="0.25">
      <c r="A1746" s="229"/>
      <c r="B1746" s="232" t="s">
        <v>5</v>
      </c>
      <c r="C1746" s="182" t="s">
        <v>1328</v>
      </c>
      <c r="D1746" s="182"/>
      <c r="E1746" s="182"/>
      <c r="F1746" s="182"/>
      <c r="G1746" s="182"/>
      <c r="H1746" s="182"/>
      <c r="I1746" s="182"/>
      <c r="J1746" s="182"/>
      <c r="K1746" s="182"/>
      <c r="L1746" s="182"/>
      <c r="M1746" s="182"/>
      <c r="N1746" s="182">
        <f>SUM(N1743:N1745)</f>
        <v>12</v>
      </c>
      <c r="O1746" s="182"/>
      <c r="P1746" s="233"/>
      <c r="Q1746" s="224"/>
    </row>
    <row r="1747" spans="1:17" s="228" customFormat="1" ht="21" x14ac:dyDescent="0.25">
      <c r="A1747" s="226" t="str">
        <f>ORÇAMENTO!A332</f>
        <v>5.1.1.1.2</v>
      </c>
      <c r="B1747" s="227" t="str">
        <f>VLOOKUP(A1747,ORÇAMENTO!A:K,4,0)</f>
        <v>LOCAÇÃO DE REDE DE DRENAGEM</v>
      </c>
      <c r="C1747" s="173" t="str">
        <f>VLOOKUP(A1747,ORÇAMENTO!A:K,5,0)</f>
        <v>M</v>
      </c>
      <c r="D1747" s="173">
        <f>SUM(E1751:O1751)</f>
        <v>1892.75</v>
      </c>
      <c r="E1747" s="173" t="s">
        <v>1718</v>
      </c>
      <c r="F1747" s="173" t="s">
        <v>1719</v>
      </c>
      <c r="G1747" s="173" t="s">
        <v>1720</v>
      </c>
      <c r="H1747" s="173" t="s">
        <v>1721</v>
      </c>
      <c r="I1747" s="173" t="s">
        <v>1722</v>
      </c>
      <c r="J1747" s="173" t="s">
        <v>1723</v>
      </c>
      <c r="K1747" s="173" t="s">
        <v>1724</v>
      </c>
      <c r="L1747" s="173" t="s">
        <v>1725</v>
      </c>
      <c r="M1747" s="173" t="s">
        <v>1730</v>
      </c>
      <c r="N1747" s="173" t="s">
        <v>1727</v>
      </c>
      <c r="O1747" s="173" t="s">
        <v>1728</v>
      </c>
      <c r="P1747" s="224"/>
      <c r="Q1747" s="224"/>
    </row>
    <row r="1748" spans="1:17" s="225" customFormat="1" ht="10.5" x14ac:dyDescent="0.25">
      <c r="A1748" s="229"/>
      <c r="B1748" s="230"/>
      <c r="C1748" s="184"/>
      <c r="D1748" s="185"/>
      <c r="E1748" s="185"/>
      <c r="F1748" s="185"/>
      <c r="G1748" s="185"/>
      <c r="H1748" s="185"/>
      <c r="I1748" s="185"/>
      <c r="J1748" s="185"/>
      <c r="K1748" s="185"/>
      <c r="L1748" s="185"/>
      <c r="M1748" s="185"/>
      <c r="N1748" s="185"/>
      <c r="O1748" s="185"/>
      <c r="P1748" s="231"/>
      <c r="Q1748" s="224"/>
    </row>
    <row r="1749" spans="1:17" s="225" customFormat="1" ht="10.5" x14ac:dyDescent="0.25">
      <c r="A1749" s="229"/>
      <c r="B1749" s="230" t="s">
        <v>1731</v>
      </c>
      <c r="C1749" s="184"/>
      <c r="D1749" s="185"/>
      <c r="E1749" s="185">
        <f>Quantitativos!F89</f>
        <v>1892.75</v>
      </c>
      <c r="F1749" s="185"/>
      <c r="G1749" s="185"/>
      <c r="H1749" s="185"/>
      <c r="I1749" s="185"/>
      <c r="J1749" s="185"/>
      <c r="K1749" s="185"/>
      <c r="L1749" s="185"/>
      <c r="M1749" s="185"/>
      <c r="N1749" s="185"/>
      <c r="O1749" s="185"/>
      <c r="P1749" s="231"/>
      <c r="Q1749" s="224"/>
    </row>
    <row r="1750" spans="1:17" s="225" customFormat="1" ht="10.5" x14ac:dyDescent="0.25">
      <c r="A1750" s="229"/>
      <c r="B1750" s="230"/>
      <c r="C1750" s="184"/>
      <c r="D1750" s="185"/>
      <c r="E1750" s="185"/>
      <c r="F1750" s="185"/>
      <c r="G1750" s="185"/>
      <c r="H1750" s="185"/>
      <c r="I1750" s="185"/>
      <c r="J1750" s="185"/>
      <c r="K1750" s="185"/>
      <c r="L1750" s="186"/>
      <c r="M1750" s="185"/>
      <c r="N1750" s="185"/>
      <c r="O1750" s="185"/>
      <c r="P1750" s="231"/>
      <c r="Q1750" s="224"/>
    </row>
    <row r="1751" spans="1:17" s="225" customFormat="1" ht="10.5" x14ac:dyDescent="0.25">
      <c r="A1751" s="229"/>
      <c r="B1751" s="232" t="s">
        <v>5</v>
      </c>
      <c r="C1751" s="182" t="s">
        <v>1328</v>
      </c>
      <c r="D1751" s="182"/>
      <c r="E1751" s="182">
        <f>SUM(E1748:E1750)</f>
        <v>1892.75</v>
      </c>
      <c r="F1751" s="182"/>
      <c r="G1751" s="182"/>
      <c r="H1751" s="182"/>
      <c r="I1751" s="182"/>
      <c r="J1751" s="182"/>
      <c r="K1751" s="182"/>
      <c r="L1751" s="182"/>
      <c r="M1751" s="182"/>
      <c r="N1751" s="182"/>
      <c r="O1751" s="182"/>
      <c r="P1751" s="233"/>
      <c r="Q1751" s="224"/>
    </row>
    <row r="1752" spans="1:17" s="228" customFormat="1" ht="21" x14ac:dyDescent="0.25">
      <c r="A1752" s="226" t="str">
        <f>ORÇAMENTO!A333</f>
        <v>5.1.1.1.3</v>
      </c>
      <c r="B1752" s="227" t="str">
        <f>VLOOKUP(A1752,ORÇAMENTO!A:K,4,0)</f>
        <v>PASSARELA, EM MADEIRA, PARA COBERTA DE VALAS PARA PASSAGEM DE VEÍCULOS.</v>
      </c>
      <c r="C1752" s="173" t="str">
        <f>VLOOKUP(A1752,ORÇAMENTO!A:K,5,0)</f>
        <v>M²</v>
      </c>
      <c r="D1752" s="173">
        <f>SUM(E1759:O1759)</f>
        <v>16</v>
      </c>
      <c r="E1752" s="173" t="s">
        <v>1718</v>
      </c>
      <c r="F1752" s="173" t="s">
        <v>1719</v>
      </c>
      <c r="G1752" s="173" t="s">
        <v>1720</v>
      </c>
      <c r="H1752" s="173" t="s">
        <v>1721</v>
      </c>
      <c r="I1752" s="173" t="s">
        <v>1722</v>
      </c>
      <c r="J1752" s="173" t="s">
        <v>1723</v>
      </c>
      <c r="K1752" s="173" t="s">
        <v>1724</v>
      </c>
      <c r="L1752" s="173" t="s">
        <v>1725</v>
      </c>
      <c r="M1752" s="173" t="s">
        <v>1726</v>
      </c>
      <c r="N1752" s="173" t="s">
        <v>1727</v>
      </c>
      <c r="O1752" s="173" t="s">
        <v>1728</v>
      </c>
      <c r="P1752" s="224"/>
      <c r="Q1752" s="224"/>
    </row>
    <row r="1753" spans="1:17" s="225" customFormat="1" ht="10.5" x14ac:dyDescent="0.25">
      <c r="A1753" s="229"/>
      <c r="B1753" s="230"/>
      <c r="C1753" s="177"/>
      <c r="D1753" s="178"/>
      <c r="E1753" s="178"/>
      <c r="F1753" s="178"/>
      <c r="G1753" s="178"/>
      <c r="H1753" s="178"/>
      <c r="I1753" s="178"/>
      <c r="J1753" s="178"/>
      <c r="K1753" s="178"/>
      <c r="L1753" s="178"/>
      <c r="M1753" s="178"/>
      <c r="N1753" s="178"/>
      <c r="O1753" s="178"/>
      <c r="P1753" s="231"/>
      <c r="Q1753" s="224"/>
    </row>
    <row r="1754" spans="1:17" s="225" customFormat="1" ht="10.5" x14ac:dyDescent="0.25">
      <c r="A1754" s="229"/>
      <c r="B1754" s="230" t="s">
        <v>1732</v>
      </c>
      <c r="C1754" s="177"/>
      <c r="D1754" s="178"/>
      <c r="E1754" s="178">
        <f>E1749</f>
        <v>1892.75</v>
      </c>
      <c r="F1754" s="178"/>
      <c r="G1754" s="178"/>
      <c r="H1754" s="178"/>
      <c r="I1754" s="178"/>
      <c r="J1754" s="178"/>
      <c r="K1754" s="178"/>
      <c r="L1754" s="178"/>
      <c r="M1754" s="178"/>
      <c r="N1754" s="178"/>
      <c r="O1754" s="178"/>
      <c r="P1754" s="231"/>
      <c r="Q1754" s="224"/>
    </row>
    <row r="1755" spans="1:17" s="225" customFormat="1" ht="10.5" x14ac:dyDescent="0.25">
      <c r="A1755" s="229"/>
      <c r="B1755" s="230" t="s">
        <v>1733</v>
      </c>
      <c r="C1755" s="177"/>
      <c r="D1755" s="178"/>
      <c r="E1755" s="178"/>
      <c r="F1755" s="178"/>
      <c r="G1755" s="178"/>
      <c r="H1755" s="178"/>
      <c r="I1755" s="178"/>
      <c r="J1755" s="178"/>
      <c r="K1755" s="178"/>
      <c r="L1755" s="178"/>
      <c r="M1755" s="178">
        <f>ROUNDUP(E1754/500,0)</f>
        <v>4</v>
      </c>
      <c r="N1755" s="178"/>
      <c r="O1755" s="178"/>
      <c r="P1755" s="231"/>
      <c r="Q1755" s="224"/>
    </row>
    <row r="1756" spans="1:17" s="225" customFormat="1" ht="10.5" x14ac:dyDescent="0.25">
      <c r="A1756" s="229"/>
      <c r="B1756" s="230" t="s">
        <v>1734</v>
      </c>
      <c r="C1756" s="177"/>
      <c r="D1756" s="178"/>
      <c r="E1756" s="178">
        <v>4</v>
      </c>
      <c r="F1756" s="178">
        <v>1</v>
      </c>
      <c r="G1756" s="178"/>
      <c r="H1756" s="178"/>
      <c r="I1756" s="178"/>
      <c r="J1756" s="178"/>
      <c r="K1756" s="178"/>
      <c r="L1756" s="178"/>
      <c r="M1756" s="178"/>
      <c r="N1756" s="178"/>
      <c r="O1756" s="178"/>
      <c r="P1756" s="231"/>
      <c r="Q1756" s="224"/>
    </row>
    <row r="1757" spans="1:17" s="225" customFormat="1" ht="10.5" x14ac:dyDescent="0.25">
      <c r="A1757" s="229"/>
      <c r="B1757" s="230"/>
      <c r="C1757" s="177"/>
      <c r="D1757" s="178"/>
      <c r="E1757" s="178"/>
      <c r="F1757" s="178"/>
      <c r="G1757" s="178"/>
      <c r="H1757" s="178"/>
      <c r="I1757" s="178"/>
      <c r="J1757" s="178"/>
      <c r="K1757" s="178"/>
      <c r="L1757" s="178"/>
      <c r="M1757" s="178"/>
      <c r="N1757" s="178">
        <f>M1755*E1756*F1756</f>
        <v>16</v>
      </c>
      <c r="O1757" s="178"/>
      <c r="P1757" s="231"/>
      <c r="Q1757" s="224"/>
    </row>
    <row r="1758" spans="1:17" s="225" customFormat="1" ht="10.5" x14ac:dyDescent="0.25">
      <c r="A1758" s="229"/>
      <c r="B1758" s="230"/>
      <c r="C1758" s="177"/>
      <c r="D1758" s="178"/>
      <c r="E1758" s="178"/>
      <c r="F1758" s="178"/>
      <c r="G1758" s="178"/>
      <c r="H1758" s="178"/>
      <c r="I1758" s="178"/>
      <c r="J1758" s="178"/>
      <c r="K1758" s="178"/>
      <c r="L1758" s="180"/>
      <c r="M1758" s="178"/>
      <c r="N1758" s="178"/>
      <c r="O1758" s="178"/>
      <c r="P1758" s="231"/>
      <c r="Q1758" s="224"/>
    </row>
    <row r="1759" spans="1:17" s="225" customFormat="1" ht="10.5" x14ac:dyDescent="0.25">
      <c r="A1759" s="229"/>
      <c r="B1759" s="232" t="s">
        <v>5</v>
      </c>
      <c r="C1759" s="182" t="s">
        <v>1328</v>
      </c>
      <c r="D1759" s="182"/>
      <c r="E1759" s="182"/>
      <c r="F1759" s="182"/>
      <c r="G1759" s="182"/>
      <c r="H1759" s="182"/>
      <c r="I1759" s="182"/>
      <c r="J1759" s="182"/>
      <c r="K1759" s="182"/>
      <c r="L1759" s="182"/>
      <c r="M1759" s="178"/>
      <c r="N1759" s="182">
        <f>SUM(N1756:N1758)</f>
        <v>16</v>
      </c>
      <c r="O1759" s="182"/>
      <c r="P1759" s="233"/>
      <c r="Q1759" s="224"/>
    </row>
    <row r="1760" spans="1:17" s="228" customFormat="1" ht="21" x14ac:dyDescent="0.25">
      <c r="A1760" s="226" t="str">
        <f>ORÇAMENTO!A334</f>
        <v>5.1.1.1.4</v>
      </c>
      <c r="B1760" s="227" t="str">
        <f>VLOOKUP(A1760,ORÇAMENTO!A:K,4,0)</f>
        <v>PASSARELA, EM MADEIRA, PARA COBERTA DE VALAS PARA PASSAGEM DE PEDESTRES.</v>
      </c>
      <c r="C1760" s="173" t="str">
        <f>VLOOKUP(A1760,ORÇAMENTO!A:K,5,0)</f>
        <v>M²</v>
      </c>
      <c r="D1760" s="173">
        <f>SUM(E1767:O1767)</f>
        <v>20</v>
      </c>
      <c r="E1760" s="173" t="s">
        <v>1718</v>
      </c>
      <c r="F1760" s="173" t="s">
        <v>1719</v>
      </c>
      <c r="G1760" s="173" t="s">
        <v>1720</v>
      </c>
      <c r="H1760" s="173" t="s">
        <v>1721</v>
      </c>
      <c r="I1760" s="173" t="s">
        <v>1722</v>
      </c>
      <c r="J1760" s="173" t="s">
        <v>1723</v>
      </c>
      <c r="K1760" s="173" t="s">
        <v>1724</v>
      </c>
      <c r="L1760" s="173" t="s">
        <v>1725</v>
      </c>
      <c r="M1760" s="173" t="s">
        <v>1726</v>
      </c>
      <c r="N1760" s="173" t="s">
        <v>1727</v>
      </c>
      <c r="O1760" s="173" t="s">
        <v>1728</v>
      </c>
      <c r="P1760" s="224"/>
      <c r="Q1760" s="224"/>
    </row>
    <row r="1761" spans="1:17" s="225" customFormat="1" ht="10.5" x14ac:dyDescent="0.25">
      <c r="A1761" s="229"/>
      <c r="B1761" s="230"/>
      <c r="C1761" s="177"/>
      <c r="D1761" s="178"/>
      <c r="E1761" s="178"/>
      <c r="F1761" s="178"/>
      <c r="G1761" s="178"/>
      <c r="H1761" s="178"/>
      <c r="I1761" s="178"/>
      <c r="J1761" s="178"/>
      <c r="K1761" s="178"/>
      <c r="L1761" s="178"/>
      <c r="M1761" s="178"/>
      <c r="N1761" s="178"/>
      <c r="O1761" s="178"/>
      <c r="P1761" s="231"/>
      <c r="Q1761" s="224"/>
    </row>
    <row r="1762" spans="1:17" s="225" customFormat="1" ht="10.5" x14ac:dyDescent="0.25">
      <c r="A1762" s="229"/>
      <c r="B1762" s="230" t="s">
        <v>1732</v>
      </c>
      <c r="C1762" s="177"/>
      <c r="D1762" s="178"/>
      <c r="E1762" s="178">
        <f>E1754</f>
        <v>1892.75</v>
      </c>
      <c r="F1762" s="178"/>
      <c r="G1762" s="178"/>
      <c r="H1762" s="178"/>
      <c r="I1762" s="178"/>
      <c r="J1762" s="178"/>
      <c r="K1762" s="178"/>
      <c r="L1762" s="178"/>
      <c r="M1762" s="178"/>
      <c r="N1762" s="178"/>
      <c r="O1762" s="178"/>
      <c r="P1762" s="231"/>
      <c r="Q1762" s="224"/>
    </row>
    <row r="1763" spans="1:17" s="225" customFormat="1" ht="10.5" x14ac:dyDescent="0.25">
      <c r="A1763" s="229"/>
      <c r="B1763" s="230" t="s">
        <v>1735</v>
      </c>
      <c r="C1763" s="177"/>
      <c r="D1763" s="178"/>
      <c r="E1763" s="178"/>
      <c r="F1763" s="178"/>
      <c r="G1763" s="178"/>
      <c r="H1763" s="178"/>
      <c r="I1763" s="178"/>
      <c r="J1763" s="178"/>
      <c r="K1763" s="178"/>
      <c r="L1763" s="178"/>
      <c r="M1763" s="178">
        <f>ROUNDUP(E1762/200,0)</f>
        <v>10</v>
      </c>
      <c r="N1763" s="178"/>
      <c r="O1763" s="178"/>
      <c r="P1763" s="231"/>
      <c r="Q1763" s="224"/>
    </row>
    <row r="1764" spans="1:17" s="225" customFormat="1" ht="10.5" x14ac:dyDescent="0.25">
      <c r="A1764" s="229"/>
      <c r="B1764" s="230" t="s">
        <v>1736</v>
      </c>
      <c r="C1764" s="177"/>
      <c r="D1764" s="178"/>
      <c r="E1764" s="178">
        <v>2</v>
      </c>
      <c r="F1764" s="178">
        <v>1</v>
      </c>
      <c r="G1764" s="178"/>
      <c r="H1764" s="178"/>
      <c r="I1764" s="178"/>
      <c r="J1764" s="178"/>
      <c r="K1764" s="178"/>
      <c r="L1764" s="178"/>
      <c r="M1764" s="178"/>
      <c r="N1764" s="178"/>
      <c r="O1764" s="178"/>
      <c r="P1764" s="231"/>
      <c r="Q1764" s="224"/>
    </row>
    <row r="1765" spans="1:17" s="225" customFormat="1" ht="10.5" x14ac:dyDescent="0.25">
      <c r="A1765" s="229"/>
      <c r="B1765" s="230"/>
      <c r="C1765" s="177"/>
      <c r="D1765" s="178"/>
      <c r="E1765" s="178"/>
      <c r="F1765" s="178"/>
      <c r="G1765" s="178"/>
      <c r="H1765" s="178"/>
      <c r="I1765" s="178"/>
      <c r="J1765" s="178"/>
      <c r="K1765" s="178"/>
      <c r="L1765" s="178"/>
      <c r="M1765" s="178"/>
      <c r="N1765" s="178">
        <f>M1763*E1764*F1764</f>
        <v>20</v>
      </c>
      <c r="O1765" s="178"/>
      <c r="P1765" s="231"/>
      <c r="Q1765" s="224"/>
    </row>
    <row r="1766" spans="1:17" s="225" customFormat="1" ht="10.5" x14ac:dyDescent="0.25">
      <c r="A1766" s="229"/>
      <c r="B1766" s="230"/>
      <c r="C1766" s="177"/>
      <c r="D1766" s="178"/>
      <c r="E1766" s="178"/>
      <c r="F1766" s="178"/>
      <c r="G1766" s="178"/>
      <c r="H1766" s="178"/>
      <c r="I1766" s="178"/>
      <c r="J1766" s="178"/>
      <c r="K1766" s="178"/>
      <c r="L1766" s="180"/>
      <c r="M1766" s="178"/>
      <c r="N1766" s="178"/>
      <c r="O1766" s="178"/>
      <c r="P1766" s="231"/>
      <c r="Q1766" s="224"/>
    </row>
    <row r="1767" spans="1:17" s="225" customFormat="1" ht="10.5" x14ac:dyDescent="0.25">
      <c r="A1767" s="229"/>
      <c r="B1767" s="232" t="s">
        <v>5</v>
      </c>
      <c r="C1767" s="182" t="s">
        <v>1328</v>
      </c>
      <c r="D1767" s="182"/>
      <c r="E1767" s="182"/>
      <c r="F1767" s="182"/>
      <c r="G1767" s="182"/>
      <c r="H1767" s="182"/>
      <c r="I1767" s="182"/>
      <c r="J1767" s="182"/>
      <c r="K1767" s="182"/>
      <c r="L1767" s="182"/>
      <c r="M1767" s="182"/>
      <c r="N1767" s="182">
        <f>SUM(N1764:N1766)</f>
        <v>20</v>
      </c>
      <c r="O1767" s="182"/>
      <c r="P1767" s="233"/>
      <c r="Q1767" s="224"/>
    </row>
    <row r="1768" spans="1:17" s="228" customFormat="1" ht="21" x14ac:dyDescent="0.25">
      <c r="A1768" s="226" t="str">
        <f>ORÇAMENTO!A335</f>
        <v>5.1.1.1.5</v>
      </c>
      <c r="B1768" s="227" t="str">
        <f>VLOOKUP(A1768,ORÇAMENTO!A:K,4,0)</f>
        <v>TELA TAPUME, COR LARANJA, COM SUPORTE A CADA 2M (FORNECIMENTO E INSTALAÇÃO)</v>
      </c>
      <c r="C1768" s="173" t="str">
        <f>VLOOKUP(A1768,ORÇAMENTO!A:K,5,0)</f>
        <v>M</v>
      </c>
      <c r="D1768" s="173">
        <f>SUM(E1773:O1773)</f>
        <v>3785.5</v>
      </c>
      <c r="E1768" s="173" t="s">
        <v>1718</v>
      </c>
      <c r="F1768" s="173" t="s">
        <v>1719</v>
      </c>
      <c r="G1768" s="173" t="s">
        <v>1720</v>
      </c>
      <c r="H1768" s="173" t="s">
        <v>1721</v>
      </c>
      <c r="I1768" s="173" t="s">
        <v>1722</v>
      </c>
      <c r="J1768" s="173" t="s">
        <v>1723</v>
      </c>
      <c r="K1768" s="173" t="s">
        <v>1724</v>
      </c>
      <c r="L1768" s="173" t="s">
        <v>1725</v>
      </c>
      <c r="M1768" s="173" t="s">
        <v>1726</v>
      </c>
      <c r="N1768" s="173" t="s">
        <v>1727</v>
      </c>
      <c r="O1768" s="173" t="s">
        <v>1728</v>
      </c>
      <c r="P1768" s="224"/>
      <c r="Q1768" s="224"/>
    </row>
    <row r="1769" spans="1:17" s="225" customFormat="1" ht="10.5" x14ac:dyDescent="0.25">
      <c r="A1769" s="229"/>
      <c r="B1769" s="230"/>
      <c r="C1769" s="177"/>
      <c r="D1769" s="178"/>
      <c r="E1769" s="178"/>
      <c r="F1769" s="178"/>
      <c r="G1769" s="178"/>
      <c r="H1769" s="178"/>
      <c r="I1769" s="178"/>
      <c r="J1769" s="178"/>
      <c r="K1769" s="178"/>
      <c r="L1769" s="178"/>
      <c r="M1769" s="178"/>
      <c r="N1769" s="178"/>
      <c r="O1769" s="178"/>
      <c r="P1769" s="231"/>
      <c r="Q1769" s="224"/>
    </row>
    <row r="1770" spans="1:17" s="225" customFormat="1" ht="10.5" x14ac:dyDescent="0.25">
      <c r="A1770" s="229"/>
      <c r="B1770" s="230" t="s">
        <v>1732</v>
      </c>
      <c r="C1770" s="177"/>
      <c r="D1770" s="178"/>
      <c r="E1770" s="178">
        <f>E1762</f>
        <v>1892.75</v>
      </c>
      <c r="F1770" s="178"/>
      <c r="G1770" s="178"/>
      <c r="H1770" s="178"/>
      <c r="I1770" s="178"/>
      <c r="J1770" s="178"/>
      <c r="K1770" s="178"/>
      <c r="L1770" s="178"/>
      <c r="M1770" s="178"/>
      <c r="N1770" s="178"/>
      <c r="O1770" s="178"/>
      <c r="P1770" s="231"/>
      <c r="Q1770" s="224"/>
    </row>
    <row r="1771" spans="1:17" s="225" customFormat="1" ht="10.5" x14ac:dyDescent="0.25">
      <c r="A1771" s="229"/>
      <c r="B1771" s="230" t="s">
        <v>1737</v>
      </c>
      <c r="C1771" s="177"/>
      <c r="D1771" s="178"/>
      <c r="E1771" s="178">
        <f>E1770*2</f>
        <v>3785.5</v>
      </c>
      <c r="F1771" s="178"/>
      <c r="G1771" s="178"/>
      <c r="H1771" s="178"/>
      <c r="I1771" s="178"/>
      <c r="J1771" s="178"/>
      <c r="K1771" s="178"/>
      <c r="L1771" s="178"/>
      <c r="M1771" s="178"/>
      <c r="N1771" s="178"/>
      <c r="O1771" s="178"/>
      <c r="P1771" s="231"/>
      <c r="Q1771" s="224"/>
    </row>
    <row r="1772" spans="1:17" s="225" customFormat="1" ht="10.5" x14ac:dyDescent="0.25">
      <c r="A1772" s="229"/>
      <c r="B1772" s="230"/>
      <c r="C1772" s="177"/>
      <c r="D1772" s="178"/>
      <c r="E1772" s="178"/>
      <c r="F1772" s="178"/>
      <c r="G1772" s="178"/>
      <c r="H1772" s="178"/>
      <c r="I1772" s="178"/>
      <c r="J1772" s="178"/>
      <c r="K1772" s="178"/>
      <c r="L1772" s="180"/>
      <c r="M1772" s="178"/>
      <c r="N1772" s="178"/>
      <c r="O1772" s="178"/>
      <c r="P1772" s="231"/>
      <c r="Q1772" s="224"/>
    </row>
    <row r="1773" spans="1:17" s="225" customFormat="1" ht="10.5" x14ac:dyDescent="0.25">
      <c r="A1773" s="229"/>
      <c r="B1773" s="232" t="s">
        <v>5</v>
      </c>
      <c r="C1773" s="182" t="s">
        <v>1328</v>
      </c>
      <c r="D1773" s="182"/>
      <c r="E1773" s="182">
        <f>SUM(E1771:E1772)</f>
        <v>3785.5</v>
      </c>
      <c r="F1773" s="182"/>
      <c r="G1773" s="182"/>
      <c r="H1773" s="182"/>
      <c r="I1773" s="182"/>
      <c r="J1773" s="182"/>
      <c r="K1773" s="182"/>
      <c r="L1773" s="182"/>
      <c r="M1773" s="182"/>
      <c r="N1773" s="182"/>
      <c r="O1773" s="182"/>
      <c r="P1773" s="233"/>
      <c r="Q1773" s="224"/>
    </row>
    <row r="1774" spans="1:17" s="228" customFormat="1" ht="21" x14ac:dyDescent="0.25">
      <c r="A1774" s="226" t="str">
        <f>ORÇAMENTO!A336</f>
        <v>5.1.1.1.6</v>
      </c>
      <c r="B1774" s="227" t="str">
        <f>VLOOKUP(A1774,ORÇAMENTO!A:K,4,0)</f>
        <v>SINALIZADOR ELETRÔNICO</v>
      </c>
      <c r="C1774" s="173" t="str">
        <f>VLOOKUP(A1774,ORÇAMENTO!A:K,5,0)</f>
        <v>UN</v>
      </c>
      <c r="D1774" s="173">
        <f>SUM(E1779:O1779)</f>
        <v>38</v>
      </c>
      <c r="E1774" s="173" t="s">
        <v>1718</v>
      </c>
      <c r="F1774" s="173" t="s">
        <v>1719</v>
      </c>
      <c r="G1774" s="173" t="s">
        <v>1720</v>
      </c>
      <c r="H1774" s="173" t="s">
        <v>1721</v>
      </c>
      <c r="I1774" s="173" t="s">
        <v>1722</v>
      </c>
      <c r="J1774" s="173" t="s">
        <v>1723</v>
      </c>
      <c r="K1774" s="173" t="s">
        <v>1724</v>
      </c>
      <c r="L1774" s="173" t="s">
        <v>1725</v>
      </c>
      <c r="M1774" s="173" t="s">
        <v>1726</v>
      </c>
      <c r="N1774" s="173" t="s">
        <v>1727</v>
      </c>
      <c r="O1774" s="173" t="s">
        <v>1728</v>
      </c>
      <c r="P1774" s="224"/>
      <c r="Q1774" s="224"/>
    </row>
    <row r="1775" spans="1:17" s="225" customFormat="1" ht="10.5" x14ac:dyDescent="0.25">
      <c r="A1775" s="229"/>
      <c r="B1775" s="230"/>
      <c r="C1775" s="177"/>
      <c r="D1775" s="178"/>
      <c r="E1775" s="178"/>
      <c r="F1775" s="178"/>
      <c r="G1775" s="178"/>
      <c r="H1775" s="178"/>
      <c r="I1775" s="178"/>
      <c r="J1775" s="178"/>
      <c r="K1775" s="178"/>
      <c r="L1775" s="178"/>
      <c r="M1775" s="178"/>
      <c r="N1775" s="178"/>
      <c r="O1775" s="178"/>
      <c r="P1775" s="231"/>
      <c r="Q1775" s="224"/>
    </row>
    <row r="1776" spans="1:17" s="225" customFormat="1" ht="10.5" x14ac:dyDescent="0.25">
      <c r="A1776" s="229"/>
      <c r="B1776" s="230" t="s">
        <v>1732</v>
      </c>
      <c r="C1776" s="177"/>
      <c r="D1776" s="178"/>
      <c r="E1776" s="178">
        <f>E1770</f>
        <v>1892.75</v>
      </c>
      <c r="F1776" s="178"/>
      <c r="G1776" s="178"/>
      <c r="H1776" s="178"/>
      <c r="I1776" s="178"/>
      <c r="J1776" s="178"/>
      <c r="K1776" s="178"/>
      <c r="L1776" s="178"/>
      <c r="M1776" s="178"/>
      <c r="N1776" s="178"/>
      <c r="O1776" s="178"/>
      <c r="P1776" s="231"/>
      <c r="Q1776" s="224"/>
    </row>
    <row r="1777" spans="1:17" s="225" customFormat="1" ht="21" x14ac:dyDescent="0.25">
      <c r="A1777" s="229"/>
      <c r="B1777" s="230" t="s">
        <v>1738</v>
      </c>
      <c r="C1777" s="177"/>
      <c r="D1777" s="178"/>
      <c r="E1777" s="178"/>
      <c r="F1777" s="178"/>
      <c r="G1777" s="178"/>
      <c r="H1777" s="178"/>
      <c r="I1777" s="178"/>
      <c r="J1777" s="178"/>
      <c r="K1777" s="178"/>
      <c r="L1777" s="178"/>
      <c r="M1777" s="178">
        <f>ROUNDUP(E1776*0.2/10,0)</f>
        <v>38</v>
      </c>
      <c r="N1777" s="178"/>
      <c r="O1777" s="178"/>
      <c r="P1777" s="231"/>
      <c r="Q1777" s="224"/>
    </row>
    <row r="1778" spans="1:17" s="225" customFormat="1" ht="10.5" x14ac:dyDescent="0.25">
      <c r="A1778" s="229"/>
      <c r="B1778" s="230"/>
      <c r="C1778" s="177"/>
      <c r="D1778" s="178"/>
      <c r="E1778" s="178"/>
      <c r="F1778" s="178"/>
      <c r="G1778" s="178"/>
      <c r="H1778" s="178"/>
      <c r="I1778" s="178"/>
      <c r="J1778" s="178"/>
      <c r="K1778" s="178"/>
      <c r="L1778" s="180"/>
      <c r="M1778" s="178"/>
      <c r="N1778" s="178"/>
      <c r="O1778" s="178"/>
      <c r="P1778" s="231"/>
      <c r="Q1778" s="224"/>
    </row>
    <row r="1779" spans="1:17" s="225" customFormat="1" ht="10.5" x14ac:dyDescent="0.25">
      <c r="A1779" s="229"/>
      <c r="B1779" s="232" t="s">
        <v>5</v>
      </c>
      <c r="C1779" s="182" t="s">
        <v>1328</v>
      </c>
      <c r="D1779" s="182"/>
      <c r="E1779" s="182"/>
      <c r="F1779" s="182"/>
      <c r="G1779" s="182"/>
      <c r="H1779" s="182"/>
      <c r="I1779" s="182"/>
      <c r="J1779" s="182"/>
      <c r="K1779" s="182"/>
      <c r="L1779" s="182"/>
      <c r="M1779" s="182">
        <f>SUM(M1777:M1778)</f>
        <v>38</v>
      </c>
      <c r="N1779" s="182"/>
      <c r="O1779" s="182"/>
      <c r="P1779" s="233"/>
      <c r="Q1779" s="224"/>
    </row>
    <row r="1780" spans="1:17" s="228" customFormat="1" ht="42" x14ac:dyDescent="0.25">
      <c r="A1780" s="226" t="str">
        <f>ORÇAMENTO!A337</f>
        <v>5.1.1.1.7</v>
      </c>
      <c r="B1780" s="227" t="str">
        <f>VLOOKUP(A1780,ORÇAMENTO!A:K,4,0)</f>
        <v>PLACA PARA SINALIZAÇÃO DE OBRAS MONTADA EM CAVALETE METÁLICO - 1,00 X 1,00 M - UTILIZAÇÃO DE 600 CICLOS - FORNECIMENTO, 01IMPLANTAÇÃO E 01 RETIRADA DIÁRIA</v>
      </c>
      <c r="C1780" s="173" t="str">
        <f>VLOOKUP(A1780,ORÇAMENTO!A:K,5,0)</f>
        <v>UN.DIA</v>
      </c>
      <c r="D1780" s="173">
        <f>SUM(E1784:O1784)</f>
        <v>1154</v>
      </c>
      <c r="E1780" s="173" t="s">
        <v>1718</v>
      </c>
      <c r="F1780" s="173" t="s">
        <v>1719</v>
      </c>
      <c r="G1780" s="173" t="s">
        <v>1720</v>
      </c>
      <c r="H1780" s="173" t="s">
        <v>1721</v>
      </c>
      <c r="I1780" s="173" t="s">
        <v>1722</v>
      </c>
      <c r="J1780" s="173" t="s">
        <v>1723</v>
      </c>
      <c r="K1780" s="173" t="s">
        <v>1724</v>
      </c>
      <c r="L1780" s="173" t="s">
        <v>1725</v>
      </c>
      <c r="M1780" s="173" t="s">
        <v>1726</v>
      </c>
      <c r="N1780" s="173" t="s">
        <v>1727</v>
      </c>
      <c r="O1780" s="173" t="s">
        <v>1728</v>
      </c>
      <c r="P1780" s="224"/>
      <c r="Q1780" s="224"/>
    </row>
    <row r="1781" spans="1:17" s="225" customFormat="1" ht="10.5" x14ac:dyDescent="0.25">
      <c r="A1781" s="229"/>
      <c r="B1781" s="230"/>
      <c r="C1781" s="177"/>
      <c r="D1781" s="178"/>
      <c r="E1781" s="178"/>
      <c r="F1781" s="178"/>
      <c r="G1781" s="178"/>
      <c r="H1781" s="178"/>
      <c r="I1781" s="178"/>
      <c r="J1781" s="178"/>
      <c r="K1781" s="178"/>
      <c r="L1781" s="178"/>
      <c r="M1781" s="178"/>
      <c r="N1781" s="178"/>
      <c r="O1781" s="178"/>
      <c r="P1781" s="231"/>
      <c r="Q1781" s="224"/>
    </row>
    <row r="1782" spans="1:17" s="225" customFormat="1" ht="10.5" x14ac:dyDescent="0.25">
      <c r="A1782" s="229"/>
      <c r="B1782" s="230"/>
      <c r="C1782" s="177"/>
      <c r="D1782" s="178"/>
      <c r="E1782" s="178"/>
      <c r="F1782" s="178"/>
      <c r="G1782" s="178"/>
      <c r="H1782" s="178"/>
      <c r="I1782" s="178"/>
      <c r="J1782" s="178"/>
      <c r="K1782" s="178"/>
      <c r="L1782" s="178"/>
      <c r="M1782" s="178">
        <v>1154</v>
      </c>
      <c r="N1782" s="178"/>
      <c r="O1782" s="178"/>
      <c r="P1782" s="231"/>
      <c r="Q1782" s="224"/>
    </row>
    <row r="1783" spans="1:17" s="225" customFormat="1" ht="10.5" x14ac:dyDescent="0.25">
      <c r="A1783" s="229"/>
      <c r="B1783" s="230"/>
      <c r="C1783" s="177"/>
      <c r="D1783" s="178"/>
      <c r="E1783" s="178"/>
      <c r="F1783" s="178"/>
      <c r="G1783" s="178"/>
      <c r="H1783" s="178"/>
      <c r="I1783" s="178"/>
      <c r="J1783" s="178"/>
      <c r="K1783" s="178"/>
      <c r="L1783" s="180"/>
      <c r="M1783" s="178"/>
      <c r="N1783" s="178"/>
      <c r="O1783" s="178"/>
      <c r="P1783" s="231"/>
      <c r="Q1783" s="224"/>
    </row>
    <row r="1784" spans="1:17" s="225" customFormat="1" ht="10.5" x14ac:dyDescent="0.25">
      <c r="A1784" s="229"/>
      <c r="B1784" s="232" t="s">
        <v>5</v>
      </c>
      <c r="C1784" s="182" t="s">
        <v>1328</v>
      </c>
      <c r="D1784" s="182"/>
      <c r="E1784" s="182"/>
      <c r="F1784" s="182"/>
      <c r="G1784" s="182"/>
      <c r="H1784" s="182"/>
      <c r="I1784" s="182"/>
      <c r="J1784" s="182"/>
      <c r="K1784" s="182"/>
      <c r="L1784" s="182"/>
      <c r="M1784" s="182">
        <f>SUM(M1781:M1783)</f>
        <v>1154</v>
      </c>
      <c r="N1784" s="182"/>
      <c r="O1784" s="182"/>
      <c r="P1784" s="233"/>
      <c r="Q1784" s="224"/>
    </row>
    <row r="1785" spans="1:17" s="228" customFormat="1" ht="52.5" x14ac:dyDescent="0.25">
      <c r="A1785" s="226" t="str">
        <f>ORÇAMENTO!A338</f>
        <v>5.1.1.1.8</v>
      </c>
      <c r="B1785" s="227" t="str">
        <f>VLOOKUP(A1785,ORÇAMENTO!A:K,4,0)</f>
        <v>PLACA DE ADVERTÊNCIA PARA SINALIZAÇÃO DE OBRAS MONTADA EM SUPORTE METÁLICO MÓVEL, LADO 1,00 M - UTILIZAÇÃO DE 600 CICLOS - FORNECIMENTO, 01 IMPLANTAÇÃO E 01 RETIRADA DIÁRIA</v>
      </c>
      <c r="C1785" s="173" t="str">
        <f>VLOOKUP(A1785,ORÇAMENTO!A:K,5,0)</f>
        <v>UN.DIA</v>
      </c>
      <c r="D1785" s="173">
        <f>SUM(E1789:O1789)</f>
        <v>769</v>
      </c>
      <c r="E1785" s="173" t="s">
        <v>1718</v>
      </c>
      <c r="F1785" s="173" t="s">
        <v>1719</v>
      </c>
      <c r="G1785" s="173" t="s">
        <v>1720</v>
      </c>
      <c r="H1785" s="173" t="s">
        <v>1721</v>
      </c>
      <c r="I1785" s="173" t="s">
        <v>1722</v>
      </c>
      <c r="J1785" s="173" t="s">
        <v>1723</v>
      </c>
      <c r="K1785" s="173" t="s">
        <v>1724</v>
      </c>
      <c r="L1785" s="173" t="s">
        <v>1725</v>
      </c>
      <c r="M1785" s="173" t="s">
        <v>1726</v>
      </c>
      <c r="N1785" s="173" t="s">
        <v>1727</v>
      </c>
      <c r="O1785" s="173" t="s">
        <v>1728</v>
      </c>
      <c r="P1785" s="224"/>
      <c r="Q1785" s="224"/>
    </row>
    <row r="1786" spans="1:17" s="225" customFormat="1" ht="10.5" x14ac:dyDescent="0.25">
      <c r="A1786" s="229"/>
      <c r="B1786" s="230"/>
      <c r="C1786" s="177"/>
      <c r="D1786" s="178"/>
      <c r="E1786" s="178"/>
      <c r="F1786" s="178"/>
      <c r="G1786" s="178"/>
      <c r="H1786" s="178"/>
      <c r="I1786" s="178"/>
      <c r="J1786" s="178"/>
      <c r="K1786" s="178"/>
      <c r="L1786" s="178"/>
      <c r="M1786" s="178"/>
      <c r="N1786" s="178"/>
      <c r="O1786" s="178"/>
      <c r="P1786" s="231"/>
      <c r="Q1786" s="224"/>
    </row>
    <row r="1787" spans="1:17" s="225" customFormat="1" ht="10.5" x14ac:dyDescent="0.25">
      <c r="A1787" s="229"/>
      <c r="B1787" s="230"/>
      <c r="C1787" s="177"/>
      <c r="D1787" s="178"/>
      <c r="E1787" s="178"/>
      <c r="F1787" s="178"/>
      <c r="G1787" s="178"/>
      <c r="H1787" s="178"/>
      <c r="I1787" s="178"/>
      <c r="J1787" s="178"/>
      <c r="K1787" s="178"/>
      <c r="L1787" s="178"/>
      <c r="M1787" s="178">
        <v>769</v>
      </c>
      <c r="N1787" s="178"/>
      <c r="O1787" s="178"/>
      <c r="P1787" s="231"/>
      <c r="Q1787" s="224"/>
    </row>
    <row r="1788" spans="1:17" s="225" customFormat="1" ht="10.5" x14ac:dyDescent="0.25">
      <c r="A1788" s="229"/>
      <c r="B1788" s="230"/>
      <c r="C1788" s="177"/>
      <c r="D1788" s="178"/>
      <c r="E1788" s="178"/>
      <c r="F1788" s="178"/>
      <c r="G1788" s="178"/>
      <c r="H1788" s="178"/>
      <c r="I1788" s="178"/>
      <c r="J1788" s="178"/>
      <c r="K1788" s="178"/>
      <c r="L1788" s="180"/>
      <c r="M1788" s="178"/>
      <c r="N1788" s="178"/>
      <c r="O1788" s="178"/>
      <c r="P1788" s="231"/>
      <c r="Q1788" s="224"/>
    </row>
    <row r="1789" spans="1:17" s="225" customFormat="1" ht="10.5" x14ac:dyDescent="0.25">
      <c r="A1789" s="229"/>
      <c r="B1789" s="232" t="s">
        <v>5</v>
      </c>
      <c r="C1789" s="182" t="s">
        <v>1328</v>
      </c>
      <c r="D1789" s="182"/>
      <c r="E1789" s="182"/>
      <c r="F1789" s="182"/>
      <c r="G1789" s="182"/>
      <c r="H1789" s="182"/>
      <c r="I1789" s="182"/>
      <c r="J1789" s="182"/>
      <c r="K1789" s="182"/>
      <c r="L1789" s="182"/>
      <c r="M1789" s="182">
        <f>SUM(M1786:M1788)</f>
        <v>769</v>
      </c>
      <c r="N1789" s="182"/>
      <c r="O1789" s="182"/>
      <c r="P1789" s="233"/>
      <c r="Q1789" s="224"/>
    </row>
    <row r="1790" spans="1:17" s="228" customFormat="1" ht="42" x14ac:dyDescent="0.25">
      <c r="A1790" s="226" t="str">
        <f>ORÇAMENTO!A339</f>
        <v>5.1.1.1.9</v>
      </c>
      <c r="B1790" s="227" t="str">
        <f>VLOOKUP(A1790,ORÇAMENTO!A:K,4,0)</f>
        <v>BARREIRA DE SINALIZAÇÃO TIPO III DE DIRECIONAMENTO OU BLOQUEIO - UTILIZAÇÃO DE 150 CICLOS - FORNECIMENTO, 01 IMPLANTAÇÃO E 01 RETIRADA DIÁRIA</v>
      </c>
      <c r="C1790" s="173" t="str">
        <f>VLOOKUP(A1790,ORÇAMENTO!A:K,5,0)</f>
        <v>UN.DIA</v>
      </c>
      <c r="D1790" s="173">
        <f>SUM(E1794:O1794)</f>
        <v>385</v>
      </c>
      <c r="E1790" s="173" t="s">
        <v>1718</v>
      </c>
      <c r="F1790" s="173" t="s">
        <v>1719</v>
      </c>
      <c r="G1790" s="173" t="s">
        <v>1720</v>
      </c>
      <c r="H1790" s="173" t="s">
        <v>1721</v>
      </c>
      <c r="I1790" s="173" t="s">
        <v>1722</v>
      </c>
      <c r="J1790" s="173" t="s">
        <v>1723</v>
      </c>
      <c r="K1790" s="173" t="s">
        <v>1724</v>
      </c>
      <c r="L1790" s="173" t="s">
        <v>1725</v>
      </c>
      <c r="M1790" s="173" t="s">
        <v>1726</v>
      </c>
      <c r="N1790" s="173" t="s">
        <v>1727</v>
      </c>
      <c r="O1790" s="173" t="s">
        <v>1728</v>
      </c>
      <c r="P1790" s="224"/>
      <c r="Q1790" s="224"/>
    </row>
    <row r="1791" spans="1:17" s="225" customFormat="1" ht="10.5" x14ac:dyDescent="0.25">
      <c r="A1791" s="229"/>
      <c r="B1791" s="230"/>
      <c r="C1791" s="177"/>
      <c r="D1791" s="178"/>
      <c r="E1791" s="178"/>
      <c r="F1791" s="178"/>
      <c r="G1791" s="178"/>
      <c r="H1791" s="178"/>
      <c r="I1791" s="178"/>
      <c r="J1791" s="178"/>
      <c r="K1791" s="178"/>
      <c r="L1791" s="178"/>
      <c r="M1791" s="178"/>
      <c r="N1791" s="178"/>
      <c r="O1791" s="178"/>
      <c r="P1791" s="231"/>
      <c r="Q1791" s="224"/>
    </row>
    <row r="1792" spans="1:17" s="225" customFormat="1" ht="10.5" x14ac:dyDescent="0.25">
      <c r="A1792" s="229"/>
      <c r="B1792" s="230"/>
      <c r="C1792" s="177"/>
      <c r="D1792" s="178"/>
      <c r="E1792" s="178"/>
      <c r="F1792" s="178"/>
      <c r="G1792" s="178"/>
      <c r="H1792" s="178"/>
      <c r="I1792" s="178"/>
      <c r="J1792" s="178"/>
      <c r="K1792" s="178"/>
      <c r="L1792" s="178"/>
      <c r="M1792" s="178">
        <v>385</v>
      </c>
      <c r="N1792" s="178"/>
      <c r="O1792" s="178"/>
      <c r="P1792" s="231"/>
      <c r="Q1792" s="224"/>
    </row>
    <row r="1793" spans="1:17" s="225" customFormat="1" ht="10.5" x14ac:dyDescent="0.25">
      <c r="A1793" s="229"/>
      <c r="B1793" s="230"/>
      <c r="C1793" s="177"/>
      <c r="D1793" s="178"/>
      <c r="E1793" s="178"/>
      <c r="F1793" s="178"/>
      <c r="G1793" s="178"/>
      <c r="H1793" s="178"/>
      <c r="I1793" s="178"/>
      <c r="J1793" s="178"/>
      <c r="K1793" s="178"/>
      <c r="L1793" s="180"/>
      <c r="M1793" s="178"/>
      <c r="N1793" s="178"/>
      <c r="O1793" s="178"/>
      <c r="P1793" s="231"/>
      <c r="Q1793" s="224"/>
    </row>
    <row r="1794" spans="1:17" s="225" customFormat="1" ht="10.5" x14ac:dyDescent="0.25">
      <c r="A1794" s="229"/>
      <c r="B1794" s="232" t="s">
        <v>5</v>
      </c>
      <c r="C1794" s="182" t="s">
        <v>1328</v>
      </c>
      <c r="D1794" s="182"/>
      <c r="E1794" s="182"/>
      <c r="F1794" s="182"/>
      <c r="G1794" s="182"/>
      <c r="H1794" s="182"/>
      <c r="I1794" s="182"/>
      <c r="J1794" s="182"/>
      <c r="K1794" s="182"/>
      <c r="L1794" s="182"/>
      <c r="M1794" s="182">
        <f>SUM(M1791:M1793)</f>
        <v>385</v>
      </c>
      <c r="N1794" s="182"/>
      <c r="O1794" s="182"/>
      <c r="P1794" s="233"/>
      <c r="Q1794" s="224"/>
    </row>
    <row r="1795" spans="1:17" s="228" customFormat="1" ht="31.5" x14ac:dyDescent="0.25">
      <c r="A1795" s="226" t="str">
        <f>ORÇAMENTO!A340</f>
        <v>5.1.1.1.10</v>
      </c>
      <c r="B1795" s="227" t="str">
        <f>VLOOKUP(A1795,ORÇAMENTO!A:K,4,0)</f>
        <v>CONE PLÁSTICO PARA CANALIZAÇÃO DE TRÂNSITO - UTILIZAÇÃO DE 150 CICLOS - FORNECIMENTO, 01 IMPLANTAÇÃO E 01 RETIRADA DIÁRIA</v>
      </c>
      <c r="C1795" s="173" t="str">
        <f>VLOOKUP(A1795,ORÇAMENTO!A:K,5,0)</f>
        <v>UN.DIA</v>
      </c>
      <c r="D1795" s="173">
        <f>SUM(E1799:O1799)</f>
        <v>1923</v>
      </c>
      <c r="E1795" s="173" t="s">
        <v>1718</v>
      </c>
      <c r="F1795" s="173" t="s">
        <v>1719</v>
      </c>
      <c r="G1795" s="173" t="s">
        <v>1720</v>
      </c>
      <c r="H1795" s="173" t="s">
        <v>1721</v>
      </c>
      <c r="I1795" s="173" t="s">
        <v>1722</v>
      </c>
      <c r="J1795" s="173" t="s">
        <v>1723</v>
      </c>
      <c r="K1795" s="173" t="s">
        <v>1724</v>
      </c>
      <c r="L1795" s="173" t="s">
        <v>1725</v>
      </c>
      <c r="M1795" s="173" t="s">
        <v>1726</v>
      </c>
      <c r="N1795" s="173" t="s">
        <v>1727</v>
      </c>
      <c r="O1795" s="173" t="s">
        <v>1728</v>
      </c>
      <c r="P1795" s="224"/>
      <c r="Q1795" s="224"/>
    </row>
    <row r="1796" spans="1:17" s="225" customFormat="1" ht="10.5" x14ac:dyDescent="0.25">
      <c r="A1796" s="229"/>
      <c r="B1796" s="230"/>
      <c r="C1796" s="177"/>
      <c r="D1796" s="178"/>
      <c r="E1796" s="178"/>
      <c r="F1796" s="178"/>
      <c r="G1796" s="178"/>
      <c r="H1796" s="178"/>
      <c r="I1796" s="178"/>
      <c r="J1796" s="178"/>
      <c r="K1796" s="178"/>
      <c r="L1796" s="178"/>
      <c r="M1796" s="178"/>
      <c r="N1796" s="178"/>
      <c r="O1796" s="178"/>
      <c r="P1796" s="231"/>
      <c r="Q1796" s="224"/>
    </row>
    <row r="1797" spans="1:17" s="225" customFormat="1" ht="10.5" x14ac:dyDescent="0.25">
      <c r="A1797" s="229"/>
      <c r="B1797" s="230"/>
      <c r="C1797" s="177"/>
      <c r="D1797" s="178"/>
      <c r="E1797" s="178"/>
      <c r="F1797" s="178"/>
      <c r="G1797" s="178"/>
      <c r="H1797" s="178"/>
      <c r="I1797" s="178"/>
      <c r="J1797" s="178"/>
      <c r="K1797" s="178"/>
      <c r="L1797" s="178"/>
      <c r="M1797" s="178">
        <v>1923</v>
      </c>
      <c r="N1797" s="178"/>
      <c r="O1797" s="178"/>
      <c r="P1797" s="231"/>
      <c r="Q1797" s="224"/>
    </row>
    <row r="1798" spans="1:17" s="225" customFormat="1" ht="10.5" x14ac:dyDescent="0.25">
      <c r="A1798" s="229"/>
      <c r="B1798" s="230"/>
      <c r="C1798" s="177"/>
      <c r="D1798" s="178"/>
      <c r="E1798" s="178"/>
      <c r="F1798" s="178"/>
      <c r="G1798" s="178"/>
      <c r="H1798" s="178"/>
      <c r="I1798" s="178"/>
      <c r="J1798" s="178"/>
      <c r="K1798" s="178"/>
      <c r="L1798" s="180"/>
      <c r="M1798" s="178"/>
      <c r="N1798" s="178"/>
      <c r="O1798" s="178"/>
      <c r="P1798" s="231"/>
      <c r="Q1798" s="224"/>
    </row>
    <row r="1799" spans="1:17" s="225" customFormat="1" ht="10.5" x14ac:dyDescent="0.25">
      <c r="A1799" s="229"/>
      <c r="B1799" s="232" t="s">
        <v>5</v>
      </c>
      <c r="C1799" s="182" t="s">
        <v>1328</v>
      </c>
      <c r="D1799" s="182"/>
      <c r="E1799" s="182"/>
      <c r="F1799" s="182"/>
      <c r="G1799" s="182"/>
      <c r="H1799" s="182"/>
      <c r="I1799" s="182"/>
      <c r="J1799" s="182"/>
      <c r="K1799" s="182"/>
      <c r="L1799" s="182"/>
      <c r="M1799" s="182">
        <f>SUM(M1796:M1798)</f>
        <v>1923</v>
      </c>
      <c r="N1799" s="182"/>
      <c r="O1799" s="182"/>
      <c r="P1799" s="233"/>
      <c r="Q1799" s="224"/>
    </row>
    <row r="1800" spans="1:17" s="228" customFormat="1" ht="42" x14ac:dyDescent="0.25">
      <c r="A1800" s="226" t="str">
        <f>ORÇAMENTO!A341</f>
        <v>5.1.1.1.11</v>
      </c>
      <c r="B1800" s="227" t="str">
        <f>VLOOKUP(A1800,ORÇAMENTO!A:K,4,0)</f>
        <v>BALIZADOR CÔNICO REFLETIVO EM POLIETILENO SEMIFLEXÍVEL DE 114 X 11 X 40 CM - UTILIZAÇÃO DE 150 CICLOS - FORNECIMENTO, 01 IMPLANTAÇÃO E 01 RETIRADA DIÁRIA</v>
      </c>
      <c r="C1800" s="173" t="str">
        <f>VLOOKUP(A1800,ORÇAMENTO!A:K,5,0)</f>
        <v>UN.DIA</v>
      </c>
      <c r="D1800" s="173">
        <f>SUM(E1804:O1804)</f>
        <v>1923</v>
      </c>
      <c r="E1800" s="173" t="s">
        <v>1718</v>
      </c>
      <c r="F1800" s="173" t="s">
        <v>1719</v>
      </c>
      <c r="G1800" s="173" t="s">
        <v>1720</v>
      </c>
      <c r="H1800" s="173" t="s">
        <v>1721</v>
      </c>
      <c r="I1800" s="173" t="s">
        <v>1722</v>
      </c>
      <c r="J1800" s="173" t="s">
        <v>1723</v>
      </c>
      <c r="K1800" s="173" t="s">
        <v>1724</v>
      </c>
      <c r="L1800" s="173" t="s">
        <v>1725</v>
      </c>
      <c r="M1800" s="173" t="s">
        <v>1726</v>
      </c>
      <c r="N1800" s="173" t="s">
        <v>1727</v>
      </c>
      <c r="O1800" s="173" t="s">
        <v>1728</v>
      </c>
      <c r="P1800" s="224"/>
      <c r="Q1800" s="224"/>
    </row>
    <row r="1801" spans="1:17" s="225" customFormat="1" ht="10.5" x14ac:dyDescent="0.25">
      <c r="A1801" s="229"/>
      <c r="B1801" s="230"/>
      <c r="C1801" s="177"/>
      <c r="D1801" s="178"/>
      <c r="E1801" s="178"/>
      <c r="F1801" s="178"/>
      <c r="G1801" s="178"/>
      <c r="H1801" s="178"/>
      <c r="I1801" s="178"/>
      <c r="J1801" s="178"/>
      <c r="K1801" s="178"/>
      <c r="L1801" s="178"/>
      <c r="M1801" s="178"/>
      <c r="N1801" s="178"/>
      <c r="O1801" s="178"/>
      <c r="P1801" s="231"/>
      <c r="Q1801" s="224"/>
    </row>
    <row r="1802" spans="1:17" s="225" customFormat="1" ht="10.5" x14ac:dyDescent="0.25">
      <c r="A1802" s="229"/>
      <c r="B1802" s="230"/>
      <c r="C1802" s="177"/>
      <c r="D1802" s="178"/>
      <c r="E1802" s="178"/>
      <c r="F1802" s="178"/>
      <c r="G1802" s="178"/>
      <c r="H1802" s="178"/>
      <c r="I1802" s="178"/>
      <c r="J1802" s="178"/>
      <c r="K1802" s="178"/>
      <c r="L1802" s="178"/>
      <c r="M1802" s="178">
        <v>1923</v>
      </c>
      <c r="N1802" s="178"/>
      <c r="O1802" s="178"/>
      <c r="P1802" s="231"/>
      <c r="Q1802" s="224"/>
    </row>
    <row r="1803" spans="1:17" s="225" customFormat="1" ht="10.5" x14ac:dyDescent="0.25">
      <c r="A1803" s="229"/>
      <c r="B1803" s="230"/>
      <c r="C1803" s="177"/>
      <c r="D1803" s="178"/>
      <c r="E1803" s="178"/>
      <c r="F1803" s="178"/>
      <c r="G1803" s="178"/>
      <c r="H1803" s="178"/>
      <c r="I1803" s="178"/>
      <c r="J1803" s="178"/>
      <c r="K1803" s="178"/>
      <c r="L1803" s="180"/>
      <c r="M1803" s="178"/>
      <c r="N1803" s="178"/>
      <c r="O1803" s="178"/>
      <c r="P1803" s="231"/>
      <c r="Q1803" s="224"/>
    </row>
    <row r="1804" spans="1:17" s="225" customFormat="1" ht="10.5" x14ac:dyDescent="0.25">
      <c r="A1804" s="229"/>
      <c r="B1804" s="232" t="s">
        <v>5</v>
      </c>
      <c r="C1804" s="182" t="s">
        <v>1328</v>
      </c>
      <c r="D1804" s="182"/>
      <c r="E1804" s="182"/>
      <c r="F1804" s="182"/>
      <c r="G1804" s="182"/>
      <c r="H1804" s="182"/>
      <c r="I1804" s="182"/>
      <c r="J1804" s="182"/>
      <c r="K1804" s="182"/>
      <c r="L1804" s="182"/>
      <c r="M1804" s="182">
        <f>SUM(M1801:M1803)</f>
        <v>1923</v>
      </c>
      <c r="N1804" s="182"/>
      <c r="O1804" s="182"/>
      <c r="P1804" s="233"/>
      <c r="Q1804" s="224"/>
    </row>
    <row r="1805" spans="1:17" s="228" customFormat="1" ht="21" x14ac:dyDescent="0.25">
      <c r="A1805" s="226" t="str">
        <f>ORÇAMENTO!A342</f>
        <v>5.1.1.1.12</v>
      </c>
      <c r="B1805" s="227" t="str">
        <f>VLOOKUP(A1805,ORÇAMENTO!A:K,4,0)</f>
        <v>ESCADA DE MADEIRA PARA OBRA, EM TÁBUA DE CONSTRUÇÃO, LARGURA 1,00M</v>
      </c>
      <c r="C1805" s="173" t="str">
        <f>VLOOKUP(A1805,ORÇAMENTO!A:K,5,0)</f>
        <v>M</v>
      </c>
      <c r="D1805" s="173">
        <f>SUM(F1809:O1809)</f>
        <v>293.82420000000008</v>
      </c>
      <c r="E1805" s="173" t="s">
        <v>1718</v>
      </c>
      <c r="F1805" s="173" t="s">
        <v>1719</v>
      </c>
      <c r="G1805" s="173" t="s">
        <v>1720</v>
      </c>
      <c r="H1805" s="173" t="s">
        <v>1721</v>
      </c>
      <c r="I1805" s="173" t="s">
        <v>1722</v>
      </c>
      <c r="J1805" s="173" t="s">
        <v>1723</v>
      </c>
      <c r="K1805" s="173" t="s">
        <v>1724</v>
      </c>
      <c r="L1805" s="173" t="s">
        <v>1725</v>
      </c>
      <c r="M1805" s="173" t="s">
        <v>1726</v>
      </c>
      <c r="N1805" s="173" t="s">
        <v>1727</v>
      </c>
      <c r="O1805" s="173" t="s">
        <v>1728</v>
      </c>
      <c r="P1805" s="224"/>
      <c r="Q1805" s="224"/>
    </row>
    <row r="1806" spans="1:17" s="225" customFormat="1" ht="10.5" x14ac:dyDescent="0.25">
      <c r="A1806" s="229"/>
      <c r="B1806" s="230"/>
      <c r="C1806" s="177"/>
      <c r="D1806" s="178"/>
      <c r="E1806" s="178"/>
      <c r="F1806" s="178"/>
      <c r="G1806" s="178"/>
      <c r="H1806" s="178"/>
      <c r="I1806" s="178"/>
      <c r="J1806" s="178"/>
      <c r="K1806" s="178"/>
      <c r="L1806" s="178"/>
      <c r="M1806" s="178"/>
      <c r="N1806" s="178"/>
      <c r="O1806" s="178"/>
      <c r="P1806" s="231"/>
      <c r="Q1806" s="224"/>
    </row>
    <row r="1807" spans="1:17" s="225" customFormat="1" ht="63" x14ac:dyDescent="0.25">
      <c r="A1807" s="229"/>
      <c r="B1807" s="230" t="s">
        <v>1741</v>
      </c>
      <c r="C1807" s="177"/>
      <c r="D1807" s="178"/>
      <c r="E1807" s="178"/>
      <c r="F1807" s="178"/>
      <c r="G1807" s="178">
        <f>Quantitativos!I89</f>
        <v>293.82420000000008</v>
      </c>
      <c r="H1807" s="178"/>
      <c r="I1807" s="178"/>
      <c r="J1807" s="178"/>
      <c r="K1807" s="178"/>
      <c r="L1807" s="178"/>
      <c r="M1807" s="178"/>
      <c r="N1807" s="178"/>
      <c r="O1807" s="178"/>
      <c r="P1807" s="231"/>
      <c r="Q1807" s="224"/>
    </row>
    <row r="1808" spans="1:17" s="225" customFormat="1" ht="10.5" x14ac:dyDescent="0.25">
      <c r="A1808" s="229"/>
      <c r="B1808" s="230"/>
      <c r="C1808" s="177"/>
      <c r="D1808" s="178"/>
      <c r="E1808" s="178"/>
      <c r="F1808" s="178"/>
      <c r="G1808" s="178"/>
      <c r="H1808" s="178"/>
      <c r="I1808" s="178"/>
      <c r="J1808" s="178"/>
      <c r="K1808" s="178"/>
      <c r="L1808" s="180"/>
      <c r="M1808" s="178"/>
      <c r="N1808" s="178"/>
      <c r="O1808" s="178"/>
      <c r="P1808" s="231"/>
      <c r="Q1808" s="224"/>
    </row>
    <row r="1809" spans="1:17" s="225" customFormat="1" ht="10.5" x14ac:dyDescent="0.25">
      <c r="A1809" s="229"/>
      <c r="B1809" s="232" t="s">
        <v>5</v>
      </c>
      <c r="C1809" s="182" t="s">
        <v>1328</v>
      </c>
      <c r="D1809" s="182"/>
      <c r="E1809" s="182"/>
      <c r="F1809" s="182"/>
      <c r="G1809" s="182">
        <f>SUM(G1806:G1808)</f>
        <v>293.82420000000008</v>
      </c>
      <c r="H1809" s="182"/>
      <c r="I1809" s="182"/>
      <c r="J1809" s="182"/>
      <c r="K1809" s="182"/>
      <c r="L1809" s="182"/>
      <c r="M1809" s="182"/>
      <c r="N1809" s="182"/>
      <c r="O1809" s="182"/>
      <c r="P1809" s="233"/>
      <c r="Q1809" s="224"/>
    </row>
    <row r="1810" spans="1:17" s="228" customFormat="1" ht="31.5" x14ac:dyDescent="0.25">
      <c r="A1810" s="226" t="str">
        <f>ORÇAMENTO!A344</f>
        <v>5.1.1.2.1</v>
      </c>
      <c r="B1810" s="227" t="str">
        <f>VLOOKUP(A1810,ORÇAMENTO!A:K,4,0)</f>
        <v>DEMOLIÇÃO PARCIAL DE PAVIMENTO ASFÁLTICO, DE FORMA MECANIZADA, SEM REAPROVEITAMENTO. AF_09/2023</v>
      </c>
      <c r="C1810" s="173" t="str">
        <f>VLOOKUP(A1810,ORÇAMENTO!A:K,5,0)</f>
        <v>M²</v>
      </c>
      <c r="D1810" s="173">
        <f>SUM(E1816:O1816)</f>
        <v>3483.233999999999</v>
      </c>
      <c r="E1810" s="173" t="s">
        <v>1718</v>
      </c>
      <c r="F1810" s="173" t="s">
        <v>1719</v>
      </c>
      <c r="G1810" s="173" t="s">
        <v>1720</v>
      </c>
      <c r="H1810" s="173" t="s">
        <v>1721</v>
      </c>
      <c r="I1810" s="173" t="s">
        <v>1722</v>
      </c>
      <c r="J1810" s="173" t="s">
        <v>1723</v>
      </c>
      <c r="K1810" s="173" t="s">
        <v>1724</v>
      </c>
      <c r="L1810" s="173" t="s">
        <v>1725</v>
      </c>
      <c r="M1810" s="173" t="s">
        <v>1730</v>
      </c>
      <c r="N1810" s="173" t="s">
        <v>1727</v>
      </c>
      <c r="O1810" s="173" t="s">
        <v>1728</v>
      </c>
      <c r="P1810" s="224"/>
      <c r="Q1810" s="224"/>
    </row>
    <row r="1811" spans="1:17" s="225" customFormat="1" ht="10.5" x14ac:dyDescent="0.25">
      <c r="A1811" s="229"/>
      <c r="B1811" s="230" t="s">
        <v>1748</v>
      </c>
      <c r="C1811" s="184"/>
      <c r="D1811" s="185"/>
      <c r="E1811" s="185"/>
      <c r="F1811" s="185"/>
      <c r="G1811" s="185"/>
      <c r="H1811" s="185"/>
      <c r="I1811" s="185"/>
      <c r="J1811" s="185"/>
      <c r="K1811" s="185"/>
      <c r="L1811" s="185"/>
      <c r="M1811" s="185"/>
      <c r="N1811" s="185">
        <f>Quantitativos!AA89</f>
        <v>3246.5089999999991</v>
      </c>
      <c r="O1811" s="185"/>
      <c r="P1811" s="231"/>
      <c r="Q1811" s="224"/>
    </row>
    <row r="1812" spans="1:17" s="225" customFormat="1" ht="21" x14ac:dyDescent="0.25">
      <c r="A1812" s="229"/>
      <c r="B1812" s="230" t="s">
        <v>1743</v>
      </c>
      <c r="C1812" s="184"/>
      <c r="D1812" s="185"/>
      <c r="E1812" s="185"/>
      <c r="F1812" s="185"/>
      <c r="G1812" s="185"/>
      <c r="H1812" s="185"/>
      <c r="I1812" s="185"/>
      <c r="J1812" s="185"/>
      <c r="K1812" s="185"/>
      <c r="L1812" s="185"/>
      <c r="M1812" s="185"/>
      <c r="N1812" s="185">
        <f>QUANTBL!O183</f>
        <v>139.18</v>
      </c>
      <c r="O1812" s="185"/>
      <c r="P1812" s="231"/>
      <c r="Q1812" s="224"/>
    </row>
    <row r="1813" spans="1:17" s="225" customFormat="1" ht="21" x14ac:dyDescent="0.25">
      <c r="A1813" s="229"/>
      <c r="B1813" s="230" t="s">
        <v>1744</v>
      </c>
      <c r="C1813" s="184"/>
      <c r="D1813" s="185"/>
      <c r="E1813" s="185"/>
      <c r="F1813" s="185"/>
      <c r="G1813" s="185"/>
      <c r="H1813" s="185"/>
      <c r="I1813" s="185"/>
      <c r="J1813" s="185"/>
      <c r="K1813" s="185"/>
      <c r="L1813" s="185"/>
      <c r="M1813" s="185"/>
      <c r="N1813" s="234">
        <f>QUANTBL!CY183</f>
        <v>97.545000000000059</v>
      </c>
      <c r="O1813" s="185"/>
      <c r="P1813" s="231"/>
      <c r="Q1813" s="224"/>
    </row>
    <row r="1814" spans="1:17" s="225" customFormat="1" ht="10.5" x14ac:dyDescent="0.25">
      <c r="A1814" s="229"/>
      <c r="B1814" s="232" t="s">
        <v>1745</v>
      </c>
      <c r="C1814" s="184"/>
      <c r="D1814" s="185"/>
      <c r="E1814" s="185"/>
      <c r="F1814" s="185"/>
      <c r="G1814" s="185"/>
      <c r="H1814" s="185">
        <v>0.03</v>
      </c>
      <c r="I1814" s="185"/>
      <c r="J1814" s="185"/>
      <c r="K1814" s="185"/>
      <c r="L1814" s="185"/>
      <c r="M1814" s="185"/>
      <c r="O1814" s="185"/>
      <c r="P1814" s="231"/>
      <c r="Q1814" s="224"/>
    </row>
    <row r="1815" spans="1:17" s="225" customFormat="1" ht="10.5" x14ac:dyDescent="0.25">
      <c r="A1815" s="229"/>
      <c r="B1815" s="230"/>
      <c r="C1815" s="184"/>
      <c r="D1815" s="185"/>
      <c r="E1815" s="185"/>
      <c r="F1815" s="185"/>
      <c r="G1815" s="185"/>
      <c r="H1815" s="185"/>
      <c r="I1815" s="185"/>
      <c r="J1815" s="185"/>
      <c r="K1815" s="185"/>
      <c r="L1815" s="186"/>
      <c r="M1815" s="185"/>
      <c r="N1815" s="185"/>
      <c r="O1815" s="185"/>
      <c r="P1815" s="231"/>
      <c r="Q1815" s="224"/>
    </row>
    <row r="1816" spans="1:17" s="225" customFormat="1" ht="10.5" x14ac:dyDescent="0.25">
      <c r="A1816" s="229"/>
      <c r="B1816" s="232" t="s">
        <v>5</v>
      </c>
      <c r="C1816" s="182" t="s">
        <v>1328</v>
      </c>
      <c r="D1816" s="182"/>
      <c r="E1816" s="182"/>
      <c r="F1816" s="182"/>
      <c r="G1816" s="182"/>
      <c r="H1816" s="182"/>
      <c r="I1816" s="182"/>
      <c r="J1816" s="182"/>
      <c r="K1816" s="182"/>
      <c r="L1816" s="182"/>
      <c r="M1816" s="182"/>
      <c r="N1816" s="182">
        <f>SUM(N1811:N1815)</f>
        <v>3483.233999999999</v>
      </c>
      <c r="O1816" s="182"/>
      <c r="P1816" s="233"/>
      <c r="Q1816" s="224"/>
    </row>
    <row r="1817" spans="1:17" s="228" customFormat="1" ht="52.5" x14ac:dyDescent="0.25">
      <c r="A1817" s="226" t="str">
        <f>ORÇAMENTO!A345</f>
        <v>5.1.1.2.2</v>
      </c>
      <c r="B1817" s="227" t="str">
        <f>VLOOKUP(A1817,ORÇAMENTO!A:K,4,0)</f>
        <v>CARGA, MANOBRA E DESCARGA DE ENTULHO EM CAMINHÃO BASCULANTE 14 M³ - CARGA COM ESCAVADEIRA HIDRÁULICA  (CAÇAMBA DE 0,80 M³ / 111 HP) E DESCARGA LIVRE (UNIDADE: M3). AF_07/2020</v>
      </c>
      <c r="C1817" s="173" t="str">
        <f>VLOOKUP(A1817,ORÇAMENTO!A:K,5,0)</f>
        <v>M³</v>
      </c>
      <c r="D1817" s="173">
        <f>SUM(E1821:O1821)</f>
        <v>104.49701999999996</v>
      </c>
      <c r="E1817" s="173" t="s">
        <v>1718</v>
      </c>
      <c r="F1817" s="173" t="s">
        <v>1719</v>
      </c>
      <c r="G1817" s="173" t="s">
        <v>1720</v>
      </c>
      <c r="H1817" s="173" t="s">
        <v>1721</v>
      </c>
      <c r="I1817" s="173" t="s">
        <v>1722</v>
      </c>
      <c r="J1817" s="173" t="s">
        <v>1723</v>
      </c>
      <c r="K1817" s="173" t="s">
        <v>1746</v>
      </c>
      <c r="L1817" s="173" t="s">
        <v>1747</v>
      </c>
      <c r="M1817" s="173" t="s">
        <v>1730</v>
      </c>
      <c r="N1817" s="173" t="s">
        <v>1727</v>
      </c>
      <c r="O1817" s="173" t="s">
        <v>1728</v>
      </c>
      <c r="P1817" s="224"/>
      <c r="Q1817" s="224"/>
    </row>
    <row r="1818" spans="1:17" s="225" customFormat="1" ht="10.5" x14ac:dyDescent="0.25">
      <c r="A1818" s="229"/>
      <c r="B1818" s="230" t="str">
        <f>B1811</f>
        <v>ÁREA DE DEMOLIÇÃO ASFÁLTICA</v>
      </c>
      <c r="C1818" s="184"/>
      <c r="D1818" s="185"/>
      <c r="E1818" s="185"/>
      <c r="F1818" s="185"/>
      <c r="G1818" s="185"/>
      <c r="H1818" s="185"/>
      <c r="I1818" s="185"/>
      <c r="J1818" s="185"/>
      <c r="K1818" s="185"/>
      <c r="L1818" s="185"/>
      <c r="M1818" s="185"/>
      <c r="N1818" s="185">
        <f>N1816</f>
        <v>3483.233999999999</v>
      </c>
      <c r="O1818" s="185"/>
      <c r="P1818" s="231"/>
      <c r="Q1818" s="224"/>
    </row>
    <row r="1819" spans="1:17" s="225" customFormat="1" ht="10.5" x14ac:dyDescent="0.25">
      <c r="A1819" s="229"/>
      <c r="B1819" s="232" t="str">
        <f>B1814</f>
        <v>TIPO DE TRÁFEGO - LEVE</v>
      </c>
      <c r="C1819" s="184"/>
      <c r="D1819" s="185"/>
      <c r="E1819" s="185"/>
      <c r="F1819" s="185"/>
      <c r="G1819" s="185"/>
      <c r="H1819" s="185">
        <f>H1814</f>
        <v>0.03</v>
      </c>
      <c r="I1819" s="185"/>
      <c r="J1819" s="185"/>
      <c r="K1819" s="185"/>
      <c r="L1819" s="185"/>
      <c r="M1819" s="185"/>
      <c r="N1819" s="185"/>
      <c r="O1819" s="185">
        <f>N1818*H1819</f>
        <v>104.49701999999996</v>
      </c>
      <c r="P1819" s="231"/>
      <c r="Q1819" s="224"/>
    </row>
    <row r="1820" spans="1:17" s="225" customFormat="1" ht="10.5" x14ac:dyDescent="0.25">
      <c r="A1820" s="229"/>
      <c r="B1820" s="230"/>
      <c r="C1820" s="184"/>
      <c r="D1820" s="185"/>
      <c r="E1820" s="185"/>
      <c r="F1820" s="185"/>
      <c r="G1820" s="185"/>
      <c r="H1820" s="185"/>
      <c r="I1820" s="185"/>
      <c r="J1820" s="185"/>
      <c r="K1820" s="185"/>
      <c r="L1820" s="186"/>
      <c r="M1820" s="185"/>
      <c r="N1820" s="185"/>
      <c r="O1820" s="185"/>
      <c r="P1820" s="231"/>
      <c r="Q1820" s="224"/>
    </row>
    <row r="1821" spans="1:17" s="225" customFormat="1" ht="10.5" x14ac:dyDescent="0.25">
      <c r="A1821" s="229"/>
      <c r="B1821" s="232" t="s">
        <v>5</v>
      </c>
      <c r="C1821" s="182" t="s">
        <v>1328</v>
      </c>
      <c r="D1821" s="182"/>
      <c r="E1821" s="182"/>
      <c r="F1821" s="182"/>
      <c r="G1821" s="182"/>
      <c r="H1821" s="182"/>
      <c r="I1821" s="182"/>
      <c r="J1821" s="182"/>
      <c r="K1821" s="182"/>
      <c r="L1821" s="182"/>
      <c r="M1821" s="182"/>
      <c r="N1821" s="182"/>
      <c r="O1821" s="182">
        <f>SUM(O1819:O1820)</f>
        <v>104.49701999999996</v>
      </c>
      <c r="P1821" s="233"/>
      <c r="Q1821" s="224"/>
    </row>
    <row r="1822" spans="1:17" s="228" customFormat="1" ht="31.5" x14ac:dyDescent="0.25">
      <c r="A1822" s="226" t="str">
        <f>ORÇAMENTO!A346</f>
        <v>5.1.1.2.3</v>
      </c>
      <c r="B1822" s="227" t="str">
        <f>VLOOKUP(A1822,ORÇAMENTO!A:K,4,0)</f>
        <v>TRANSPORTE COM CAMINHÃO BASCULANTE DE 14 M³, EM VIA URBANA PAVIMENTADA, DMT ATÉ 30 KM (UNIDADE: M3XKM). AF_07/2020</v>
      </c>
      <c r="C1822" s="173" t="str">
        <f>VLOOKUP(A1822,ORÇAMENTO!A:K,5,0)</f>
        <v>M3XKM</v>
      </c>
      <c r="D1822" s="173">
        <f>SUM(E1826:O1826)</f>
        <v>3134.9105999999988</v>
      </c>
      <c r="E1822" s="173" t="s">
        <v>1749</v>
      </c>
      <c r="F1822" s="173" t="s">
        <v>1719</v>
      </c>
      <c r="G1822" s="173" t="s">
        <v>1720</v>
      </c>
      <c r="H1822" s="173" t="s">
        <v>1721</v>
      </c>
      <c r="I1822" s="173" t="s">
        <v>1722</v>
      </c>
      <c r="J1822" s="173" t="s">
        <v>1723</v>
      </c>
      <c r="K1822" s="173" t="s">
        <v>1746</v>
      </c>
      <c r="L1822" s="173" t="s">
        <v>1725</v>
      </c>
      <c r="M1822" s="173" t="s">
        <v>1750</v>
      </c>
      <c r="N1822" s="173" t="s">
        <v>1727</v>
      </c>
      <c r="O1822" s="173" t="s">
        <v>1728</v>
      </c>
      <c r="P1822" s="224"/>
      <c r="Q1822" s="224"/>
    </row>
    <row r="1823" spans="1:17" s="225" customFormat="1" ht="10.5" x14ac:dyDescent="0.25">
      <c r="A1823" s="229"/>
      <c r="B1823" s="230"/>
      <c r="C1823" s="184"/>
      <c r="D1823" s="185"/>
      <c r="E1823" s="185"/>
      <c r="F1823" s="185"/>
      <c r="G1823" s="185"/>
      <c r="H1823" s="185"/>
      <c r="I1823" s="185"/>
      <c r="J1823" s="178"/>
      <c r="K1823" s="185"/>
      <c r="L1823" s="185"/>
      <c r="M1823" s="185"/>
      <c r="N1823" s="185"/>
      <c r="O1823" s="185"/>
      <c r="P1823" s="231"/>
      <c r="Q1823" s="224"/>
    </row>
    <row r="1824" spans="1:17" s="225" customFormat="1" ht="10.5" x14ac:dyDescent="0.25">
      <c r="A1824" s="229"/>
      <c r="B1824" s="230" t="s">
        <v>1751</v>
      </c>
      <c r="C1824" s="184"/>
      <c r="D1824" s="185"/>
      <c r="E1824" s="185">
        <v>30</v>
      </c>
      <c r="F1824" s="185"/>
      <c r="G1824" s="185"/>
      <c r="H1824" s="185"/>
      <c r="I1824" s="185"/>
      <c r="J1824" s="178"/>
      <c r="K1824" s="185"/>
      <c r="L1824" s="185"/>
      <c r="M1824" s="185">
        <f>E1824*O1824</f>
        <v>3134.9105999999988</v>
      </c>
      <c r="N1824" s="185"/>
      <c r="O1824" s="185">
        <f>O1821</f>
        <v>104.49701999999996</v>
      </c>
      <c r="P1824" s="231"/>
      <c r="Q1824" s="224"/>
    </row>
    <row r="1825" spans="1:19" s="225" customFormat="1" ht="10.5" x14ac:dyDescent="0.25">
      <c r="A1825" s="229"/>
      <c r="B1825" s="230"/>
      <c r="C1825" s="184"/>
      <c r="D1825" s="185"/>
      <c r="E1825" s="185"/>
      <c r="F1825" s="185"/>
      <c r="G1825" s="185"/>
      <c r="H1825" s="185"/>
      <c r="I1825" s="185"/>
      <c r="J1825" s="182"/>
      <c r="K1825" s="185"/>
      <c r="L1825" s="186"/>
      <c r="M1825" s="185"/>
      <c r="N1825" s="185"/>
      <c r="O1825" s="185"/>
      <c r="P1825" s="231"/>
      <c r="Q1825" s="224"/>
    </row>
    <row r="1826" spans="1:19" s="225" customFormat="1" ht="10.5" x14ac:dyDescent="0.25">
      <c r="A1826" s="229"/>
      <c r="B1826" s="232" t="s">
        <v>5</v>
      </c>
      <c r="C1826" s="182" t="s">
        <v>1328</v>
      </c>
      <c r="D1826" s="182"/>
      <c r="E1826" s="182"/>
      <c r="F1826" s="182"/>
      <c r="G1826" s="182"/>
      <c r="H1826" s="182"/>
      <c r="I1826" s="182"/>
      <c r="K1826" s="182"/>
      <c r="L1826" s="182"/>
      <c r="M1826" s="182">
        <f>SUM(M1824:M1825)</f>
        <v>3134.9105999999988</v>
      </c>
      <c r="N1826" s="182"/>
      <c r="O1826" s="182"/>
      <c r="P1826" s="233"/>
      <c r="Q1826" s="224"/>
    </row>
    <row r="1827" spans="1:19" s="235" customFormat="1" ht="42" x14ac:dyDescent="0.35">
      <c r="A1827" s="226" t="str">
        <f>ORÇAMENTO!A347</f>
        <v>5.1.1.2.4</v>
      </c>
      <c r="B1827" s="227" t="str">
        <f>VLOOKUP(A1827,ORÇAMENTO!A:K,4,0)</f>
        <v>TRANSPORTE COM CAMINHÃO BASCULANTE DE 14 M³, EM VIA URBANA PAVIMENTADA, ADICIONAL PARA DMT EXCEDENTE A 30 KM (UNIDADE: M3XKM). AF_07/2020</v>
      </c>
      <c r="C1827" s="173" t="str">
        <f>VLOOKUP(A1827,ORÇAMENTO!A:K,5,0)</f>
        <v>M3XKM</v>
      </c>
      <c r="D1827" s="173">
        <f>SUM(E1830:O1830)</f>
        <v>4681.4664959999982</v>
      </c>
      <c r="E1827" s="173" t="s">
        <v>1752</v>
      </c>
      <c r="F1827" s="173" t="s">
        <v>1719</v>
      </c>
      <c r="G1827" s="173" t="s">
        <v>1720</v>
      </c>
      <c r="H1827" s="173" t="s">
        <v>1721</v>
      </c>
      <c r="I1827" s="173" t="s">
        <v>1722</v>
      </c>
      <c r="J1827" s="173" t="s">
        <v>1723</v>
      </c>
      <c r="K1827" s="173" t="s">
        <v>1746</v>
      </c>
      <c r="L1827" s="173" t="s">
        <v>1753</v>
      </c>
      <c r="M1827" s="173" t="s">
        <v>1750</v>
      </c>
      <c r="N1827" s="173" t="s">
        <v>1727</v>
      </c>
      <c r="O1827" s="173" t="s">
        <v>1728</v>
      </c>
      <c r="P1827" s="224"/>
      <c r="Q1827" s="224"/>
      <c r="R1827" s="224"/>
      <c r="S1827" s="224"/>
    </row>
    <row r="1828" spans="1:19" s="225" customFormat="1" ht="10.5" x14ac:dyDescent="0.25">
      <c r="A1828" s="229"/>
      <c r="B1828" s="230" t="s">
        <v>1751</v>
      </c>
      <c r="C1828" s="177"/>
      <c r="D1828" s="178"/>
      <c r="E1828" s="178">
        <f>74.8-E1824</f>
        <v>44.8</v>
      </c>
      <c r="F1828" s="178"/>
      <c r="G1828" s="178"/>
      <c r="H1828" s="178"/>
      <c r="I1828" s="178"/>
      <c r="J1828" s="178"/>
      <c r="K1828" s="178"/>
      <c r="L1828" s="190"/>
      <c r="M1828" s="178">
        <f>E1828*O1828</f>
        <v>4681.4664959999982</v>
      </c>
      <c r="N1828" s="178"/>
      <c r="O1828" s="178">
        <f>O1824</f>
        <v>104.49701999999996</v>
      </c>
      <c r="P1828" s="231"/>
      <c r="Q1828" s="224"/>
    </row>
    <row r="1829" spans="1:19" s="225" customFormat="1" ht="10.5" x14ac:dyDescent="0.25">
      <c r="A1829" s="229"/>
      <c r="B1829" s="230"/>
      <c r="C1829" s="177"/>
      <c r="D1829" s="178"/>
      <c r="E1829" s="178"/>
      <c r="F1829" s="178"/>
      <c r="G1829" s="178"/>
      <c r="H1829" s="178"/>
      <c r="I1829" s="178"/>
      <c r="J1829" s="178"/>
      <c r="K1829" s="178"/>
      <c r="L1829" s="190"/>
      <c r="M1829" s="178"/>
      <c r="N1829" s="178"/>
      <c r="O1829" s="178"/>
      <c r="P1829" s="231"/>
      <c r="Q1829" s="224"/>
    </row>
    <row r="1830" spans="1:19" s="225" customFormat="1" ht="10.5" x14ac:dyDescent="0.25">
      <c r="A1830" s="229"/>
      <c r="B1830" s="232" t="s">
        <v>5</v>
      </c>
      <c r="C1830" s="182" t="s">
        <v>1328</v>
      </c>
      <c r="D1830" s="182"/>
      <c r="E1830" s="182"/>
      <c r="F1830" s="182"/>
      <c r="G1830" s="182"/>
      <c r="H1830" s="182"/>
      <c r="I1830" s="182"/>
      <c r="J1830" s="182"/>
      <c r="K1830" s="182"/>
      <c r="L1830" s="182"/>
      <c r="M1830" s="182">
        <f>SUM(M1828)</f>
        <v>4681.4664959999982</v>
      </c>
      <c r="N1830" s="182"/>
      <c r="O1830" s="182"/>
      <c r="P1830" s="233"/>
      <c r="Q1830" s="224"/>
    </row>
    <row r="1831" spans="1:19" s="228" customFormat="1" ht="21" x14ac:dyDescent="0.25">
      <c r="A1831" s="226" t="str">
        <f>ORÇAMENTO!A349</f>
        <v>5.1.1.3.1</v>
      </c>
      <c r="B1831" s="227" t="str">
        <f>VLOOKUP(A1831,ORÇAMENTO!A:K,4,0)</f>
        <v>DEMOLIÇÃO MANUAL DE CONCRETO ARMADO</v>
      </c>
      <c r="C1831" s="173" t="str">
        <f>VLOOKUP(A1831,ORÇAMENTO!A:K,5,0)</f>
        <v>M³</v>
      </c>
      <c r="D1831" s="173">
        <f>SUM(E1836:O1836)</f>
        <v>27.202866984817941</v>
      </c>
      <c r="E1831" s="173" t="s">
        <v>1718</v>
      </c>
      <c r="F1831" s="173" t="s">
        <v>1719</v>
      </c>
      <c r="G1831" s="173" t="s">
        <v>1720</v>
      </c>
      <c r="H1831" s="173" t="s">
        <v>1721</v>
      </c>
      <c r="I1831" s="173" t="s">
        <v>1722</v>
      </c>
      <c r="J1831" s="173" t="s">
        <v>1723</v>
      </c>
      <c r="K1831" s="173" t="s">
        <v>1724</v>
      </c>
      <c r="L1831" s="173" t="s">
        <v>1725</v>
      </c>
      <c r="M1831" s="173" t="s">
        <v>1730</v>
      </c>
      <c r="N1831" s="173" t="s">
        <v>1727</v>
      </c>
      <c r="O1831" s="173" t="s">
        <v>1728</v>
      </c>
      <c r="P1831" s="224"/>
      <c r="Q1831" s="224"/>
    </row>
    <row r="1832" spans="1:19" s="225" customFormat="1" ht="10.5" x14ac:dyDescent="0.25">
      <c r="A1832" s="229"/>
      <c r="B1832" s="230"/>
      <c r="C1832" s="184"/>
      <c r="D1832" s="185"/>
      <c r="E1832" s="185"/>
      <c r="F1832" s="185"/>
      <c r="G1832" s="185"/>
      <c r="H1832" s="185"/>
      <c r="I1832" s="185"/>
      <c r="J1832" s="185"/>
      <c r="K1832" s="185"/>
      <c r="L1832" s="185"/>
      <c r="M1832" s="185"/>
      <c r="N1832" s="185"/>
      <c r="O1832" s="185"/>
      <c r="P1832" s="231"/>
      <c r="Q1832" s="224"/>
    </row>
    <row r="1833" spans="1:19" s="225" customFormat="1" ht="21" x14ac:dyDescent="0.25">
      <c r="A1833" s="229"/>
      <c r="B1833" s="230" t="s">
        <v>1754</v>
      </c>
      <c r="C1833" s="184"/>
      <c r="D1833" s="185"/>
      <c r="E1833" s="185"/>
      <c r="F1833" s="185"/>
      <c r="G1833" s="185"/>
      <c r="H1833" s="185"/>
      <c r="I1833" s="185"/>
      <c r="J1833" s="185"/>
      <c r="K1833" s="185"/>
      <c r="L1833" s="185"/>
      <c r="M1833" s="185"/>
      <c r="N1833" s="185"/>
      <c r="O1833" s="185">
        <f>'Planilha Hidráulica'!Y95</f>
        <v>56.550366984817941</v>
      </c>
      <c r="P1833" s="231"/>
      <c r="Q1833" s="224"/>
    </row>
    <row r="1834" spans="1:19" s="225" customFormat="1" ht="21" x14ac:dyDescent="0.25">
      <c r="A1834" s="229"/>
      <c r="B1834" s="230" t="s">
        <v>1755</v>
      </c>
      <c r="C1834" s="184"/>
      <c r="D1834" s="185"/>
      <c r="E1834" s="185"/>
      <c r="F1834" s="185"/>
      <c r="G1834" s="185"/>
      <c r="H1834" s="185"/>
      <c r="I1834" s="185"/>
      <c r="J1834" s="185"/>
      <c r="K1834" s="185"/>
      <c r="L1834" s="185"/>
      <c r="M1834" s="185"/>
      <c r="N1834" s="185"/>
      <c r="O1834" s="185">
        <f>-'Planilha Hidráulica'!AO95</f>
        <v>-29.3475</v>
      </c>
      <c r="P1834" s="231"/>
      <c r="Q1834" s="224"/>
    </row>
    <row r="1835" spans="1:19" s="225" customFormat="1" ht="10.5" x14ac:dyDescent="0.25">
      <c r="A1835" s="229"/>
      <c r="B1835" s="230"/>
      <c r="C1835" s="184"/>
      <c r="D1835" s="185"/>
      <c r="E1835" s="185"/>
      <c r="F1835" s="185"/>
      <c r="G1835" s="185"/>
      <c r="H1835" s="185"/>
      <c r="I1835" s="185"/>
      <c r="J1835" s="185"/>
      <c r="K1835" s="185"/>
      <c r="L1835" s="186"/>
      <c r="M1835" s="185"/>
      <c r="N1835" s="185"/>
      <c r="O1835" s="185"/>
      <c r="P1835" s="231"/>
      <c r="Q1835" s="224"/>
    </row>
    <row r="1836" spans="1:19" s="225" customFormat="1" ht="10.5" x14ac:dyDescent="0.25">
      <c r="A1836" s="229"/>
      <c r="B1836" s="232" t="s">
        <v>5</v>
      </c>
      <c r="C1836" s="182" t="s">
        <v>1328</v>
      </c>
      <c r="D1836" s="182"/>
      <c r="E1836" s="182"/>
      <c r="F1836" s="182"/>
      <c r="G1836" s="182"/>
      <c r="H1836" s="182"/>
      <c r="I1836" s="182"/>
      <c r="J1836" s="182"/>
      <c r="K1836" s="182"/>
      <c r="L1836" s="182"/>
      <c r="M1836" s="182"/>
      <c r="N1836" s="182"/>
      <c r="O1836" s="182">
        <f>SUM(O1833:O1835)</f>
        <v>27.202866984817941</v>
      </c>
      <c r="P1836" s="233"/>
      <c r="Q1836" s="224"/>
    </row>
    <row r="1837" spans="1:19" s="228" customFormat="1" ht="31.5" x14ac:dyDescent="0.25">
      <c r="A1837" s="226" t="str">
        <f>ORÇAMENTO!A350</f>
        <v>5.1.1.3.2</v>
      </c>
      <c r="B1837" s="227" t="str">
        <f>VLOOKUP(A1837,ORÇAMENTO!A:K,4,0)</f>
        <v>DEMOLIÇÃO DE ALVENARIA DE BLOCO FURADO, DE FORMA MANUAL, SEM REAPROVEITAMENTO. AF_09/2023</v>
      </c>
      <c r="C1837" s="173" t="str">
        <f>VLOOKUP(A1837,ORÇAMENTO!A:K,5,0)</f>
        <v>M³</v>
      </c>
      <c r="D1837" s="173">
        <f>SUM(E1841:O1841)</f>
        <v>29.3475</v>
      </c>
      <c r="E1837" s="173" t="s">
        <v>1718</v>
      </c>
      <c r="F1837" s="173" t="s">
        <v>1719</v>
      </c>
      <c r="G1837" s="173" t="s">
        <v>1720</v>
      </c>
      <c r="H1837" s="173" t="s">
        <v>1721</v>
      </c>
      <c r="I1837" s="173" t="s">
        <v>1722</v>
      </c>
      <c r="J1837" s="173" t="s">
        <v>1723</v>
      </c>
      <c r="K1837" s="173" t="s">
        <v>1724</v>
      </c>
      <c r="L1837" s="173" t="s">
        <v>1725</v>
      </c>
      <c r="M1837" s="173" t="s">
        <v>1730</v>
      </c>
      <c r="N1837" s="173" t="s">
        <v>1727</v>
      </c>
      <c r="O1837" s="173" t="s">
        <v>1728</v>
      </c>
      <c r="P1837" s="224"/>
      <c r="Q1837" s="224"/>
    </row>
    <row r="1838" spans="1:19" s="225" customFormat="1" ht="10.5" x14ac:dyDescent="0.25">
      <c r="A1838" s="229"/>
      <c r="B1838" s="230"/>
      <c r="C1838" s="184"/>
      <c r="D1838" s="185"/>
      <c r="E1838" s="185"/>
      <c r="F1838" s="185"/>
      <c r="G1838" s="185"/>
      <c r="H1838" s="185"/>
      <c r="I1838" s="185"/>
      <c r="J1838" s="185"/>
      <c r="K1838" s="185"/>
      <c r="L1838" s="185"/>
      <c r="M1838" s="185"/>
      <c r="N1838" s="185"/>
      <c r="O1838" s="185"/>
      <c r="P1838" s="231"/>
      <c r="Q1838" s="224"/>
    </row>
    <row r="1839" spans="1:19" s="225" customFormat="1" ht="21" x14ac:dyDescent="0.25">
      <c r="A1839" s="229"/>
      <c r="B1839" s="230" t="s">
        <v>1754</v>
      </c>
      <c r="C1839" s="184"/>
      <c r="D1839" s="185"/>
      <c r="E1839" s="185"/>
      <c r="F1839" s="185"/>
      <c r="G1839" s="185"/>
      <c r="H1839" s="185"/>
      <c r="I1839" s="185"/>
      <c r="J1839" s="185"/>
      <c r="K1839" s="185"/>
      <c r="L1839" s="185"/>
      <c r="M1839" s="185"/>
      <c r="N1839" s="185"/>
      <c r="O1839" s="185">
        <f>'Planilha Hidráulica'!AO95</f>
        <v>29.3475</v>
      </c>
      <c r="P1839" s="231"/>
      <c r="Q1839" s="224"/>
    </row>
    <row r="1840" spans="1:19" s="225" customFormat="1" ht="10.5" x14ac:dyDescent="0.25">
      <c r="A1840" s="229"/>
      <c r="B1840" s="230"/>
      <c r="C1840" s="184"/>
      <c r="D1840" s="185"/>
      <c r="E1840" s="185"/>
      <c r="F1840" s="185"/>
      <c r="G1840" s="185"/>
      <c r="H1840" s="185"/>
      <c r="I1840" s="185"/>
      <c r="J1840" s="185"/>
      <c r="K1840" s="185"/>
      <c r="L1840" s="186"/>
      <c r="M1840" s="185"/>
      <c r="N1840" s="185"/>
      <c r="O1840" s="185"/>
      <c r="P1840" s="231"/>
      <c r="Q1840" s="224"/>
    </row>
    <row r="1841" spans="1:19" s="225" customFormat="1" ht="10.5" x14ac:dyDescent="0.25">
      <c r="A1841" s="229"/>
      <c r="B1841" s="232" t="s">
        <v>5</v>
      </c>
      <c r="C1841" s="182" t="s">
        <v>1328</v>
      </c>
      <c r="D1841" s="182"/>
      <c r="E1841" s="182"/>
      <c r="F1841" s="182"/>
      <c r="G1841" s="182"/>
      <c r="H1841" s="182"/>
      <c r="I1841" s="182"/>
      <c r="J1841" s="182"/>
      <c r="K1841" s="182"/>
      <c r="L1841" s="182"/>
      <c r="M1841" s="182"/>
      <c r="N1841" s="182"/>
      <c r="O1841" s="182">
        <f>SUM(O1839:O1840)</f>
        <v>29.3475</v>
      </c>
      <c r="P1841" s="233"/>
      <c r="Q1841" s="224"/>
    </row>
    <row r="1842" spans="1:19" s="228" customFormat="1" ht="52.5" x14ac:dyDescent="0.25">
      <c r="A1842" s="226" t="str">
        <f>ORÇAMENTO!A351</f>
        <v>5.1.1.3.3</v>
      </c>
      <c r="B1842" s="227" t="str">
        <f>VLOOKUP(A1842,ORÇAMENTO!A:K,4,0)</f>
        <v>CARGA, MANOBRA E DESCARGA DE ENTULHO EM CAMINHÃO BASCULANTE 14 M³ - CARGA COM ESCAVADEIRA HIDRÁULICA  (CAÇAMBA DE 0,80 M³ / 111 HP) E DESCARGA LIVRE (UNIDADE: M3). AF_07/2020</v>
      </c>
      <c r="C1842" s="173" t="str">
        <f>VLOOKUP(A1842,ORÇAMENTO!A:K,5,0)</f>
        <v>M³</v>
      </c>
      <c r="D1842" s="173">
        <f>SUM(E1846:O1846)</f>
        <v>56.550366984817941</v>
      </c>
      <c r="E1842" s="173" t="s">
        <v>1718</v>
      </c>
      <c r="F1842" s="173" t="s">
        <v>1719</v>
      </c>
      <c r="G1842" s="173" t="s">
        <v>1720</v>
      </c>
      <c r="H1842" s="173" t="s">
        <v>1721</v>
      </c>
      <c r="I1842" s="173" t="s">
        <v>1722</v>
      </c>
      <c r="J1842" s="173" t="s">
        <v>1723</v>
      </c>
      <c r="K1842" s="173" t="s">
        <v>1746</v>
      </c>
      <c r="L1842" s="173" t="s">
        <v>1756</v>
      </c>
      <c r="M1842" s="173" t="s">
        <v>1730</v>
      </c>
      <c r="N1842" s="173" t="s">
        <v>1727</v>
      </c>
      <c r="O1842" s="173" t="s">
        <v>1728</v>
      </c>
      <c r="P1842" s="224"/>
      <c r="Q1842" s="224"/>
    </row>
    <row r="1843" spans="1:19" s="225" customFormat="1" ht="10.5" x14ac:dyDescent="0.25">
      <c r="A1843" s="229"/>
      <c r="B1843" s="230"/>
      <c r="C1843" s="184"/>
      <c r="D1843" s="185"/>
      <c r="E1843" s="185"/>
      <c r="F1843" s="185"/>
      <c r="G1843" s="185"/>
      <c r="H1843" s="185"/>
      <c r="I1843" s="185"/>
      <c r="J1843" s="185"/>
      <c r="K1843" s="185"/>
      <c r="L1843" s="185"/>
      <c r="M1843" s="185"/>
      <c r="N1843" s="185"/>
      <c r="O1843" s="185"/>
      <c r="P1843" s="231"/>
      <c r="Q1843" s="224"/>
    </row>
    <row r="1844" spans="1:19" s="225" customFormat="1" ht="10.5" x14ac:dyDescent="0.25">
      <c r="A1844" s="229"/>
      <c r="B1844" s="230" t="s">
        <v>1731</v>
      </c>
      <c r="C1844" s="184"/>
      <c r="D1844" s="185"/>
      <c r="E1844" s="185"/>
      <c r="F1844" s="185"/>
      <c r="G1844" s="185"/>
      <c r="H1844" s="185"/>
      <c r="I1844" s="191"/>
      <c r="J1844" s="185"/>
      <c r="K1844" s="185"/>
      <c r="L1844" s="185"/>
      <c r="M1844" s="185"/>
      <c r="N1844" s="185"/>
      <c r="O1844" s="185">
        <f>O1833</f>
        <v>56.550366984817941</v>
      </c>
      <c r="P1844" s="231"/>
      <c r="Q1844" s="224"/>
    </row>
    <row r="1845" spans="1:19" s="225" customFormat="1" ht="10.5" x14ac:dyDescent="0.25">
      <c r="A1845" s="229"/>
      <c r="B1845" s="230"/>
      <c r="C1845" s="184"/>
      <c r="D1845" s="185"/>
      <c r="E1845" s="185"/>
      <c r="F1845" s="185"/>
      <c r="G1845" s="185"/>
      <c r="H1845" s="185"/>
      <c r="I1845" s="185"/>
      <c r="J1845" s="185"/>
      <c r="K1845" s="185"/>
      <c r="L1845" s="186"/>
      <c r="M1845" s="185"/>
      <c r="N1845" s="185"/>
      <c r="O1845" s="185"/>
      <c r="P1845" s="231"/>
      <c r="Q1845" s="224"/>
    </row>
    <row r="1846" spans="1:19" s="225" customFormat="1" ht="10.5" x14ac:dyDescent="0.25">
      <c r="A1846" s="229"/>
      <c r="B1846" s="232" t="s">
        <v>5</v>
      </c>
      <c r="C1846" s="182" t="s">
        <v>1328</v>
      </c>
      <c r="D1846" s="182"/>
      <c r="E1846" s="182"/>
      <c r="F1846" s="182"/>
      <c r="G1846" s="182"/>
      <c r="H1846" s="182"/>
      <c r="I1846" s="182"/>
      <c r="J1846" s="182"/>
      <c r="K1846" s="182"/>
      <c r="L1846" s="182"/>
      <c r="M1846" s="182"/>
      <c r="N1846" s="182"/>
      <c r="O1846" s="182">
        <f>SUM(O1844:O1845)</f>
        <v>56.550366984817941</v>
      </c>
      <c r="P1846" s="233"/>
      <c r="Q1846" s="224"/>
    </row>
    <row r="1847" spans="1:19" s="228" customFormat="1" ht="31.5" x14ac:dyDescent="0.25">
      <c r="A1847" s="226" t="str">
        <f>ORÇAMENTO!A352</f>
        <v>5.1.1.3.4</v>
      </c>
      <c r="B1847" s="227" t="str">
        <f>VLOOKUP(A1847,ORÇAMENTO!A:K,4,0)</f>
        <v>TRANSPORTE COM CAMINHÃO BASCULANTE DE 14 M³, EM VIA URBANA PAVIMENTADA, DMT ATÉ 30 KM (UNIDADE: M3XKM). AF_07/2020</v>
      </c>
      <c r="C1847" s="173" t="str">
        <f>VLOOKUP(A1847,ORÇAMENTO!A:K,5,0)</f>
        <v>M3XKM</v>
      </c>
      <c r="D1847" s="173">
        <f>SUM(E1851:O1851)</f>
        <v>1696.5110095445382</v>
      </c>
      <c r="E1847" s="173" t="s">
        <v>1749</v>
      </c>
      <c r="F1847" s="173" t="s">
        <v>1719</v>
      </c>
      <c r="G1847" s="173" t="s">
        <v>1720</v>
      </c>
      <c r="H1847" s="173" t="s">
        <v>1721</v>
      </c>
      <c r="I1847" s="173" t="s">
        <v>1722</v>
      </c>
      <c r="J1847" s="173" t="s">
        <v>1723</v>
      </c>
      <c r="K1847" s="173" t="s">
        <v>1746</v>
      </c>
      <c r="L1847" s="173" t="s">
        <v>1725</v>
      </c>
      <c r="M1847" s="173" t="s">
        <v>1750</v>
      </c>
      <c r="N1847" s="173" t="s">
        <v>1727</v>
      </c>
      <c r="O1847" s="173" t="s">
        <v>1728</v>
      </c>
      <c r="P1847" s="224"/>
      <c r="Q1847" s="224"/>
    </row>
    <row r="1848" spans="1:19" s="225" customFormat="1" ht="10.5" x14ac:dyDescent="0.25">
      <c r="A1848" s="229"/>
      <c r="B1848" s="230"/>
      <c r="C1848" s="184"/>
      <c r="D1848" s="185"/>
      <c r="E1848" s="185"/>
      <c r="F1848" s="185"/>
      <c r="G1848" s="185"/>
      <c r="H1848" s="185"/>
      <c r="I1848" s="185"/>
      <c r="J1848" s="185"/>
      <c r="K1848" s="185"/>
      <c r="L1848" s="185"/>
      <c r="M1848" s="185"/>
      <c r="N1848" s="185"/>
      <c r="O1848" s="185"/>
      <c r="P1848" s="231"/>
      <c r="Q1848" s="224"/>
    </row>
    <row r="1849" spans="1:19" s="225" customFormat="1" ht="10.5" x14ac:dyDescent="0.25">
      <c r="A1849" s="229"/>
      <c r="B1849" s="230" t="s">
        <v>1751</v>
      </c>
      <c r="C1849" s="184"/>
      <c r="D1849" s="185"/>
      <c r="E1849" s="185">
        <v>30</v>
      </c>
      <c r="F1849" s="185"/>
      <c r="G1849" s="185"/>
      <c r="H1849" s="185"/>
      <c r="I1849" s="185"/>
      <c r="J1849" s="185"/>
      <c r="K1849" s="185"/>
      <c r="L1849" s="185"/>
      <c r="M1849" s="185">
        <f>O1849*E1849</f>
        <v>1696.5110095445382</v>
      </c>
      <c r="N1849" s="185"/>
      <c r="O1849" s="185">
        <f>O1846</f>
        <v>56.550366984817941</v>
      </c>
      <c r="P1849" s="231"/>
      <c r="Q1849" s="224"/>
    </row>
    <row r="1850" spans="1:19" s="225" customFormat="1" ht="10.5" x14ac:dyDescent="0.25">
      <c r="A1850" s="229"/>
      <c r="B1850" s="230"/>
      <c r="C1850" s="184"/>
      <c r="D1850" s="185"/>
      <c r="E1850" s="185"/>
      <c r="F1850" s="185"/>
      <c r="G1850" s="185"/>
      <c r="H1850" s="185"/>
      <c r="I1850" s="185"/>
      <c r="J1850" s="185"/>
      <c r="K1850" s="185"/>
      <c r="L1850" s="186"/>
      <c r="M1850" s="185"/>
      <c r="N1850" s="185"/>
      <c r="O1850" s="185"/>
      <c r="P1850" s="231"/>
      <c r="Q1850" s="224"/>
    </row>
    <row r="1851" spans="1:19" s="225" customFormat="1" ht="10.5" x14ac:dyDescent="0.25">
      <c r="A1851" s="229"/>
      <c r="B1851" s="232" t="s">
        <v>5</v>
      </c>
      <c r="C1851" s="182" t="s">
        <v>1328</v>
      </c>
      <c r="D1851" s="182"/>
      <c r="E1851" s="182"/>
      <c r="F1851" s="182"/>
      <c r="G1851" s="182"/>
      <c r="H1851" s="182"/>
      <c r="I1851" s="182"/>
      <c r="J1851" s="182"/>
      <c r="K1851" s="182"/>
      <c r="L1851" s="182"/>
      <c r="M1851" s="182">
        <f>SUM(M1849:M1850)</f>
        <v>1696.5110095445382</v>
      </c>
      <c r="N1851" s="182"/>
      <c r="O1851" s="182"/>
      <c r="P1851" s="233"/>
      <c r="Q1851" s="224"/>
    </row>
    <row r="1852" spans="1:19" s="235" customFormat="1" ht="42" x14ac:dyDescent="0.35">
      <c r="A1852" s="226" t="str">
        <f>ORÇAMENTO!A353</f>
        <v>5.1.1.3.5</v>
      </c>
      <c r="B1852" s="227" t="str">
        <f>VLOOKUP(A1852,ORÇAMENTO!A:K,4,0)</f>
        <v>TRANSPORTE COM CAMINHÃO BASCULANTE DE 14 M³, EM VIA URBANA PAVIMENTADA, ADICIONAL PARA DMT EXCEDENTE A 30 KM (UNIDADE: M3XKM). AF_07/2020</v>
      </c>
      <c r="C1852" s="173" t="str">
        <f>VLOOKUP(A1852,ORÇAMENTO!A:K,5,0)</f>
        <v>M3XKM</v>
      </c>
      <c r="D1852" s="173">
        <f>SUM(E1855:O1855)</f>
        <v>2533.4564409198438</v>
      </c>
      <c r="E1852" s="173" t="s">
        <v>1752</v>
      </c>
      <c r="F1852" s="173" t="s">
        <v>1719</v>
      </c>
      <c r="G1852" s="173" t="s">
        <v>1720</v>
      </c>
      <c r="H1852" s="173" t="s">
        <v>1721</v>
      </c>
      <c r="I1852" s="173" t="s">
        <v>1722</v>
      </c>
      <c r="J1852" s="173" t="s">
        <v>1723</v>
      </c>
      <c r="K1852" s="173" t="s">
        <v>1746</v>
      </c>
      <c r="L1852" s="173" t="s">
        <v>1753</v>
      </c>
      <c r="M1852" s="173" t="s">
        <v>1750</v>
      </c>
      <c r="N1852" s="173" t="s">
        <v>1727</v>
      </c>
      <c r="O1852" s="173" t="s">
        <v>1728</v>
      </c>
      <c r="P1852" s="224"/>
      <c r="Q1852" s="224"/>
      <c r="R1852" s="224"/>
      <c r="S1852" s="224"/>
    </row>
    <row r="1853" spans="1:19" s="225" customFormat="1" ht="10.5" x14ac:dyDescent="0.25">
      <c r="A1853" s="229"/>
      <c r="B1853" s="230" t="s">
        <v>1751</v>
      </c>
      <c r="C1853" s="177"/>
      <c r="D1853" s="178"/>
      <c r="E1853" s="178">
        <f>74.8-E1849</f>
        <v>44.8</v>
      </c>
      <c r="F1853" s="178"/>
      <c r="G1853" s="178"/>
      <c r="H1853" s="178"/>
      <c r="I1853" s="178"/>
      <c r="J1853" s="178"/>
      <c r="K1853" s="178"/>
      <c r="L1853" s="190"/>
      <c r="M1853" s="178">
        <f>E1853*O1853</f>
        <v>2533.4564409198438</v>
      </c>
      <c r="N1853" s="178"/>
      <c r="O1853" s="178">
        <f>O1849</f>
        <v>56.550366984817941</v>
      </c>
      <c r="P1853" s="231"/>
      <c r="Q1853" s="224"/>
    </row>
    <row r="1854" spans="1:19" s="225" customFormat="1" ht="10.5" x14ac:dyDescent="0.25">
      <c r="A1854" s="229"/>
      <c r="B1854" s="230"/>
      <c r="C1854" s="177"/>
      <c r="D1854" s="178"/>
      <c r="E1854" s="178"/>
      <c r="F1854" s="178"/>
      <c r="G1854" s="178"/>
      <c r="H1854" s="178"/>
      <c r="I1854" s="178"/>
      <c r="J1854" s="178"/>
      <c r="K1854" s="178"/>
      <c r="L1854" s="190"/>
      <c r="M1854" s="178"/>
      <c r="N1854" s="178"/>
      <c r="O1854" s="178"/>
      <c r="P1854" s="231"/>
      <c r="Q1854" s="224"/>
    </row>
    <row r="1855" spans="1:19" s="225" customFormat="1" ht="10.5" x14ac:dyDescent="0.25">
      <c r="A1855" s="229"/>
      <c r="B1855" s="232" t="s">
        <v>5</v>
      </c>
      <c r="C1855" s="182" t="s">
        <v>1328</v>
      </c>
      <c r="D1855" s="182"/>
      <c r="E1855" s="182"/>
      <c r="F1855" s="182"/>
      <c r="G1855" s="182"/>
      <c r="H1855" s="182"/>
      <c r="I1855" s="182"/>
      <c r="J1855" s="182"/>
      <c r="K1855" s="182"/>
      <c r="L1855" s="182"/>
      <c r="M1855" s="182">
        <f>SUM(M1853)</f>
        <v>2533.4564409198438</v>
      </c>
      <c r="N1855" s="182"/>
      <c r="O1855" s="182"/>
      <c r="P1855" s="233"/>
      <c r="Q1855" s="224"/>
    </row>
    <row r="1856" spans="1:19" s="228" customFormat="1" ht="31.5" x14ac:dyDescent="0.25">
      <c r="A1856" s="226" t="str">
        <f>ORÇAMENTO!A355</f>
        <v>5.1.1.4.1</v>
      </c>
      <c r="B1856" s="227" t="str">
        <f>VLOOKUP(A1856,ORÇAMENTO!A:K,4,0)</f>
        <v>DEMOLICAO MECANICA DE CONCRETO SIMPLES C/ COMPRESSOR E MARTELETE PNEUMATICO INCL. REMOCAO ECARREG. MANUAL DO EXPURGO</v>
      </c>
      <c r="C1856" s="173" t="str">
        <f>VLOOKUP(A1856,ORÇAMENTO!A:K,5,0)</f>
        <v>M³</v>
      </c>
      <c r="D1856" s="173">
        <f>SUM(E1861:O1861)</f>
        <v>319.74166187610786</v>
      </c>
      <c r="E1856" s="173" t="s">
        <v>1718</v>
      </c>
      <c r="F1856" s="173" t="s">
        <v>1719</v>
      </c>
      <c r="G1856" s="173" t="s">
        <v>1720</v>
      </c>
      <c r="H1856" s="173" t="s">
        <v>1721</v>
      </c>
      <c r="I1856" s="173" t="s">
        <v>1722</v>
      </c>
      <c r="J1856" s="173" t="s">
        <v>1723</v>
      </c>
      <c r="K1856" s="173" t="s">
        <v>1724</v>
      </c>
      <c r="L1856" s="173" t="s">
        <v>1725</v>
      </c>
      <c r="M1856" s="173" t="s">
        <v>1730</v>
      </c>
      <c r="N1856" s="173" t="s">
        <v>1727</v>
      </c>
      <c r="O1856" s="173" t="s">
        <v>1728</v>
      </c>
      <c r="P1856" s="224"/>
      <c r="Q1856" s="224"/>
    </row>
    <row r="1857" spans="1:19" s="225" customFormat="1" ht="10.5" x14ac:dyDescent="0.25">
      <c r="A1857" s="229"/>
      <c r="B1857" s="230"/>
      <c r="C1857" s="184"/>
      <c r="D1857" s="185"/>
      <c r="E1857" s="185"/>
      <c r="F1857" s="185"/>
      <c r="G1857" s="185"/>
      <c r="H1857" s="185"/>
      <c r="I1857" s="185"/>
      <c r="J1857" s="185"/>
      <c r="K1857" s="185"/>
      <c r="L1857" s="185"/>
      <c r="M1857" s="185"/>
      <c r="N1857" s="185"/>
      <c r="O1857" s="185"/>
      <c r="P1857" s="231"/>
      <c r="Q1857" s="224"/>
    </row>
    <row r="1858" spans="1:19" s="225" customFormat="1" ht="10.5" x14ac:dyDescent="0.25">
      <c r="A1858" s="229"/>
      <c r="B1858" s="230" t="s">
        <v>1731</v>
      </c>
      <c r="C1858" s="184"/>
      <c r="D1858" s="185"/>
      <c r="E1858" s="185"/>
      <c r="F1858" s="185"/>
      <c r="G1858" s="185"/>
      <c r="H1858" s="185"/>
      <c r="I1858" s="185"/>
      <c r="J1858" s="185"/>
      <c r="K1858" s="185"/>
      <c r="L1858" s="185"/>
      <c r="M1858" s="185"/>
      <c r="N1858" s="185"/>
      <c r="O1858" s="185">
        <f>'Planilha Hidráulica'!Z95</f>
        <v>319.74166187610786</v>
      </c>
      <c r="P1858" s="231"/>
      <c r="Q1858" s="224"/>
    </row>
    <row r="1859" spans="1:19" s="225" customFormat="1" ht="21" x14ac:dyDescent="0.25">
      <c r="A1859" s="229"/>
      <c r="B1859" s="230" t="s">
        <v>1755</v>
      </c>
      <c r="C1859" s="184"/>
      <c r="D1859" s="185"/>
      <c r="E1859" s="185"/>
      <c r="F1859" s="185"/>
      <c r="G1859" s="185"/>
      <c r="H1859" s="185"/>
      <c r="I1859" s="185"/>
      <c r="J1859" s="185"/>
      <c r="K1859" s="185"/>
      <c r="L1859" s="185"/>
      <c r="M1859" s="185"/>
      <c r="N1859" s="185"/>
      <c r="O1859" s="185"/>
      <c r="P1859" s="231"/>
      <c r="Q1859" s="224"/>
    </row>
    <row r="1860" spans="1:19" s="225" customFormat="1" ht="10.5" x14ac:dyDescent="0.25">
      <c r="A1860" s="229"/>
      <c r="B1860" s="230"/>
      <c r="C1860" s="184"/>
      <c r="D1860" s="185"/>
      <c r="E1860" s="185"/>
      <c r="F1860" s="185"/>
      <c r="G1860" s="185"/>
      <c r="H1860" s="185"/>
      <c r="I1860" s="185"/>
      <c r="J1860" s="185"/>
      <c r="K1860" s="185"/>
      <c r="L1860" s="186"/>
      <c r="M1860" s="185"/>
      <c r="N1860" s="185"/>
      <c r="O1860" s="185"/>
      <c r="P1860" s="231"/>
      <c r="Q1860" s="224"/>
    </row>
    <row r="1861" spans="1:19" s="225" customFormat="1" ht="10.5" x14ac:dyDescent="0.25">
      <c r="A1861" s="229"/>
      <c r="B1861" s="232" t="s">
        <v>5</v>
      </c>
      <c r="C1861" s="182" t="s">
        <v>1328</v>
      </c>
      <c r="D1861" s="182"/>
      <c r="E1861" s="182"/>
      <c r="F1861" s="182"/>
      <c r="G1861" s="182"/>
      <c r="H1861" s="182"/>
      <c r="I1861" s="182"/>
      <c r="J1861" s="182"/>
      <c r="K1861" s="182"/>
      <c r="L1861" s="182"/>
      <c r="M1861" s="182"/>
      <c r="N1861" s="182"/>
      <c r="O1861" s="182">
        <f>SUM(O1858:O1860)</f>
        <v>319.74166187610786</v>
      </c>
      <c r="P1861" s="233"/>
      <c r="Q1861" s="224"/>
    </row>
    <row r="1862" spans="1:19" s="228" customFormat="1" ht="52.5" x14ac:dyDescent="0.25">
      <c r="A1862" s="226" t="str">
        <f>ORÇAMENTO!A356</f>
        <v>5.1.1.4.2</v>
      </c>
      <c r="B1862" s="227" t="str">
        <f>VLOOKUP(A1862,ORÇAMENTO!A:K,4,0)</f>
        <v>CARGA, MANOBRA E DESCARGA DE ENTULHO EM CAMINHÃO BASCULANTE 14 M³ - CARGA COM ESCAVADEIRA HIDRÁULICA  (CAÇAMBA DE 0,80 M³ / 111 HP) E DESCARGA LIVRE (UNIDADE: M3). AF_07/2020</v>
      </c>
      <c r="C1862" s="173" t="str">
        <f>VLOOKUP(A1862,ORÇAMENTO!A:K,5,0)</f>
        <v>M³</v>
      </c>
      <c r="D1862" s="173">
        <f>SUM(E1866:O1866)</f>
        <v>319.74166187610786</v>
      </c>
      <c r="E1862" s="173" t="s">
        <v>1718</v>
      </c>
      <c r="F1862" s="173" t="s">
        <v>1719</v>
      </c>
      <c r="G1862" s="173" t="s">
        <v>1720</v>
      </c>
      <c r="H1862" s="173" t="s">
        <v>1721</v>
      </c>
      <c r="I1862" s="173" t="s">
        <v>1722</v>
      </c>
      <c r="J1862" s="173" t="s">
        <v>1723</v>
      </c>
      <c r="K1862" s="173" t="s">
        <v>1746</v>
      </c>
      <c r="L1862" s="173" t="s">
        <v>1756</v>
      </c>
      <c r="M1862" s="173" t="s">
        <v>1730</v>
      </c>
      <c r="N1862" s="173" t="s">
        <v>1727</v>
      </c>
      <c r="O1862" s="173" t="s">
        <v>1728</v>
      </c>
      <c r="P1862" s="224"/>
      <c r="Q1862" s="224"/>
    </row>
    <row r="1863" spans="1:19" s="225" customFormat="1" ht="10.5" x14ac:dyDescent="0.25">
      <c r="A1863" s="229"/>
      <c r="B1863" s="230"/>
      <c r="C1863" s="184"/>
      <c r="D1863" s="185"/>
      <c r="E1863" s="185"/>
      <c r="F1863" s="185"/>
      <c r="G1863" s="185"/>
      <c r="H1863" s="185"/>
      <c r="I1863" s="185"/>
      <c r="J1863" s="185"/>
      <c r="K1863" s="185"/>
      <c r="L1863" s="185"/>
      <c r="M1863" s="185"/>
      <c r="N1863" s="185"/>
      <c r="O1863" s="185"/>
      <c r="P1863" s="231"/>
      <c r="Q1863" s="224"/>
    </row>
    <row r="1864" spans="1:19" s="225" customFormat="1" ht="10.5" x14ac:dyDescent="0.25">
      <c r="A1864" s="229"/>
      <c r="B1864" s="230" t="s">
        <v>1731</v>
      </c>
      <c r="C1864" s="184"/>
      <c r="D1864" s="185"/>
      <c r="E1864" s="185"/>
      <c r="F1864" s="185"/>
      <c r="G1864" s="185"/>
      <c r="H1864" s="185"/>
      <c r="I1864" s="185"/>
      <c r="J1864" s="185"/>
      <c r="K1864" s="185"/>
      <c r="L1864" s="185"/>
      <c r="M1864" s="185"/>
      <c r="N1864" s="185"/>
      <c r="O1864" s="185">
        <f>O1861</f>
        <v>319.74166187610786</v>
      </c>
      <c r="P1864" s="231"/>
      <c r="Q1864" s="224"/>
    </row>
    <row r="1865" spans="1:19" s="225" customFormat="1" ht="10.5" x14ac:dyDescent="0.25">
      <c r="A1865" s="229"/>
      <c r="B1865" s="230"/>
      <c r="C1865" s="184"/>
      <c r="D1865" s="185"/>
      <c r="E1865" s="185"/>
      <c r="F1865" s="185"/>
      <c r="G1865" s="185"/>
      <c r="H1865" s="185"/>
      <c r="I1865" s="185"/>
      <c r="J1865" s="185"/>
      <c r="K1865" s="185"/>
      <c r="L1865" s="186"/>
      <c r="M1865" s="185"/>
      <c r="N1865" s="185"/>
      <c r="O1865" s="185"/>
      <c r="P1865" s="231"/>
      <c r="Q1865" s="224"/>
    </row>
    <row r="1866" spans="1:19" s="225" customFormat="1" ht="10.5" x14ac:dyDescent="0.25">
      <c r="A1866" s="229"/>
      <c r="B1866" s="232" t="s">
        <v>5</v>
      </c>
      <c r="C1866" s="182" t="s">
        <v>1328</v>
      </c>
      <c r="D1866" s="182"/>
      <c r="E1866" s="182"/>
      <c r="F1866" s="182"/>
      <c r="G1866" s="182"/>
      <c r="H1866" s="182"/>
      <c r="I1866" s="182"/>
      <c r="J1866" s="182"/>
      <c r="K1866" s="182"/>
      <c r="L1866" s="182"/>
      <c r="M1866" s="182"/>
      <c r="N1866" s="182"/>
      <c r="O1866" s="182">
        <f>SUM(O1864:O1865)</f>
        <v>319.74166187610786</v>
      </c>
      <c r="P1866" s="233"/>
      <c r="Q1866" s="224"/>
    </row>
    <row r="1867" spans="1:19" s="228" customFormat="1" ht="31.5" x14ac:dyDescent="0.25">
      <c r="A1867" s="226" t="str">
        <f>ORÇAMENTO!A357</f>
        <v>5.1.1.4.3</v>
      </c>
      <c r="B1867" s="227" t="str">
        <f>VLOOKUP(A1867,ORÇAMENTO!A:K,4,0)</f>
        <v>TRANSPORTE COM CAMINHÃO BASCULANTE DE 14 M³, EM VIA URBANA PAVIMENTADA, DMT ATÉ 30 KM (UNIDADE: M3XKM). AF_07/2020</v>
      </c>
      <c r="C1867" s="173" t="str">
        <f>VLOOKUP(A1867,ORÇAMENTO!A:K,5,0)</f>
        <v>M3XKM</v>
      </c>
      <c r="D1867" s="173">
        <f>SUM(E1871:O1871)</f>
        <v>9592.2498562832352</v>
      </c>
      <c r="E1867" s="173" t="s">
        <v>1749</v>
      </c>
      <c r="F1867" s="173" t="s">
        <v>1719</v>
      </c>
      <c r="G1867" s="173" t="s">
        <v>1720</v>
      </c>
      <c r="H1867" s="173" t="s">
        <v>1721</v>
      </c>
      <c r="I1867" s="173" t="s">
        <v>1722</v>
      </c>
      <c r="J1867" s="173" t="s">
        <v>1723</v>
      </c>
      <c r="K1867" s="173" t="s">
        <v>1746</v>
      </c>
      <c r="L1867" s="173" t="s">
        <v>1725</v>
      </c>
      <c r="M1867" s="173" t="s">
        <v>1750</v>
      </c>
      <c r="N1867" s="173" t="s">
        <v>1727</v>
      </c>
      <c r="O1867" s="173" t="s">
        <v>1728</v>
      </c>
      <c r="P1867" s="224"/>
      <c r="Q1867" s="224"/>
    </row>
    <row r="1868" spans="1:19" s="225" customFormat="1" ht="10.5" x14ac:dyDescent="0.25">
      <c r="A1868" s="229"/>
      <c r="B1868" s="230"/>
      <c r="C1868" s="184"/>
      <c r="D1868" s="185"/>
      <c r="E1868" s="185"/>
      <c r="F1868" s="185"/>
      <c r="G1868" s="185"/>
      <c r="H1868" s="185"/>
      <c r="I1868" s="185"/>
      <c r="J1868" s="185"/>
      <c r="K1868" s="185"/>
      <c r="L1868" s="185"/>
      <c r="M1868" s="185"/>
      <c r="N1868" s="185"/>
      <c r="O1868" s="185"/>
      <c r="P1868" s="231"/>
      <c r="Q1868" s="224"/>
    </row>
    <row r="1869" spans="1:19" s="225" customFormat="1" ht="10.5" x14ac:dyDescent="0.25">
      <c r="A1869" s="229"/>
      <c r="B1869" s="230" t="s">
        <v>1751</v>
      </c>
      <c r="C1869" s="184"/>
      <c r="D1869" s="185"/>
      <c r="E1869" s="185">
        <v>30</v>
      </c>
      <c r="F1869" s="185"/>
      <c r="G1869" s="185"/>
      <c r="H1869" s="185"/>
      <c r="I1869" s="185"/>
      <c r="J1869" s="185"/>
      <c r="K1869" s="185"/>
      <c r="L1869" s="185"/>
      <c r="M1869" s="185">
        <f>O1869*E1869</f>
        <v>9592.2498562832352</v>
      </c>
      <c r="N1869" s="185"/>
      <c r="O1869" s="185">
        <f>O1866</f>
        <v>319.74166187610786</v>
      </c>
      <c r="P1869" s="231"/>
      <c r="Q1869" s="224"/>
    </row>
    <row r="1870" spans="1:19" s="225" customFormat="1" ht="10.5" x14ac:dyDescent="0.25">
      <c r="A1870" s="229"/>
      <c r="B1870" s="230"/>
      <c r="C1870" s="184"/>
      <c r="D1870" s="185"/>
      <c r="E1870" s="185"/>
      <c r="F1870" s="185"/>
      <c r="G1870" s="185"/>
      <c r="H1870" s="185"/>
      <c r="I1870" s="185"/>
      <c r="J1870" s="185"/>
      <c r="K1870" s="185"/>
      <c r="L1870" s="186"/>
      <c r="M1870" s="185"/>
      <c r="N1870" s="185"/>
      <c r="O1870" s="185"/>
      <c r="P1870" s="231"/>
      <c r="Q1870" s="224"/>
    </row>
    <row r="1871" spans="1:19" s="225" customFormat="1" ht="10.5" x14ac:dyDescent="0.25">
      <c r="A1871" s="229"/>
      <c r="B1871" s="232" t="s">
        <v>5</v>
      </c>
      <c r="C1871" s="182" t="s">
        <v>1328</v>
      </c>
      <c r="D1871" s="182"/>
      <c r="E1871" s="182"/>
      <c r="F1871" s="182"/>
      <c r="G1871" s="182"/>
      <c r="H1871" s="182"/>
      <c r="I1871" s="182"/>
      <c r="J1871" s="182"/>
      <c r="K1871" s="182"/>
      <c r="L1871" s="182"/>
      <c r="M1871" s="182">
        <f>SUM(M1869:M1870)</f>
        <v>9592.2498562832352</v>
      </c>
      <c r="N1871" s="182"/>
      <c r="O1871" s="182"/>
      <c r="P1871" s="233"/>
      <c r="Q1871" s="224"/>
    </row>
    <row r="1872" spans="1:19" s="235" customFormat="1" ht="42" x14ac:dyDescent="0.35">
      <c r="A1872" s="226" t="str">
        <f>ORÇAMENTO!A358</f>
        <v>5.1.1.4.4</v>
      </c>
      <c r="B1872" s="227" t="str">
        <f>VLOOKUP(A1872,ORÇAMENTO!A:K,4,0)</f>
        <v>TRANSPORTE COM CAMINHÃO BASCULANTE DE 14 M³, EM VIA URBANA PAVIMENTADA, ADICIONAL PARA DMT EXCEDENTE A 30 KM (UNIDADE: M3XKM). AF_07/2020</v>
      </c>
      <c r="C1872" s="173" t="str">
        <f>VLOOKUP(A1872,ORÇAMENTO!A:K,5,0)</f>
        <v>M3XKM</v>
      </c>
      <c r="D1872" s="173">
        <f>SUM(E1875:O1875)</f>
        <v>14324.426452049631</v>
      </c>
      <c r="E1872" s="173" t="s">
        <v>1752</v>
      </c>
      <c r="F1872" s="173" t="s">
        <v>1719</v>
      </c>
      <c r="G1872" s="173" t="s">
        <v>1720</v>
      </c>
      <c r="H1872" s="173" t="s">
        <v>1721</v>
      </c>
      <c r="I1872" s="173" t="s">
        <v>1722</v>
      </c>
      <c r="J1872" s="173" t="s">
        <v>1723</v>
      </c>
      <c r="K1872" s="173" t="s">
        <v>1746</v>
      </c>
      <c r="L1872" s="173" t="s">
        <v>1753</v>
      </c>
      <c r="M1872" s="173" t="s">
        <v>1750</v>
      </c>
      <c r="N1872" s="173" t="s">
        <v>1727</v>
      </c>
      <c r="O1872" s="173" t="s">
        <v>1728</v>
      </c>
      <c r="P1872" s="224"/>
      <c r="Q1872" s="224"/>
      <c r="R1872" s="224"/>
      <c r="S1872" s="224"/>
    </row>
    <row r="1873" spans="1:19" s="225" customFormat="1" ht="10.5" x14ac:dyDescent="0.25">
      <c r="A1873" s="229"/>
      <c r="B1873" s="230" t="s">
        <v>1751</v>
      </c>
      <c r="C1873" s="177"/>
      <c r="D1873" s="178"/>
      <c r="E1873" s="178">
        <f>74.8-E1869</f>
        <v>44.8</v>
      </c>
      <c r="F1873" s="178"/>
      <c r="G1873" s="178"/>
      <c r="H1873" s="178"/>
      <c r="I1873" s="178"/>
      <c r="J1873" s="178"/>
      <c r="K1873" s="178"/>
      <c r="L1873" s="190"/>
      <c r="M1873" s="178">
        <f>E1873*O1873</f>
        <v>14324.426452049631</v>
      </c>
      <c r="N1873" s="178"/>
      <c r="O1873" s="178">
        <f>O1869</f>
        <v>319.74166187610786</v>
      </c>
      <c r="P1873" s="231"/>
      <c r="Q1873" s="224"/>
    </row>
    <row r="1874" spans="1:19" s="225" customFormat="1" ht="10.5" x14ac:dyDescent="0.25">
      <c r="A1874" s="229"/>
      <c r="B1874" s="230"/>
      <c r="C1874" s="177"/>
      <c r="D1874" s="178"/>
      <c r="E1874" s="178"/>
      <c r="F1874" s="178"/>
      <c r="G1874" s="178"/>
      <c r="H1874" s="178"/>
      <c r="I1874" s="178"/>
      <c r="J1874" s="178"/>
      <c r="K1874" s="178"/>
      <c r="L1874" s="190"/>
      <c r="M1874" s="178"/>
      <c r="N1874" s="178"/>
      <c r="O1874" s="178"/>
      <c r="P1874" s="231"/>
      <c r="Q1874" s="224"/>
    </row>
    <row r="1875" spans="1:19" s="225" customFormat="1" ht="10.5" x14ac:dyDescent="0.25">
      <c r="A1875" s="229"/>
      <c r="B1875" s="232" t="s">
        <v>5</v>
      </c>
      <c r="C1875" s="182" t="s">
        <v>1328</v>
      </c>
      <c r="D1875" s="182"/>
      <c r="E1875" s="182"/>
      <c r="F1875" s="182"/>
      <c r="G1875" s="182"/>
      <c r="H1875" s="182"/>
      <c r="I1875" s="182"/>
      <c r="J1875" s="182"/>
      <c r="K1875" s="182"/>
      <c r="L1875" s="182"/>
      <c r="M1875" s="182">
        <f>SUM(M1873)</f>
        <v>14324.426452049631</v>
      </c>
      <c r="N1875" s="182"/>
      <c r="O1875" s="182"/>
      <c r="P1875" s="233"/>
      <c r="Q1875" s="224"/>
    </row>
    <row r="1876" spans="1:19" s="235" customFormat="1" x14ac:dyDescent="0.35">
      <c r="A1876" s="226" t="str">
        <f>ORÇAMENTO!A359</f>
        <v>5.1.1.5</v>
      </c>
      <c r="B1876" s="227" t="str">
        <f>VLOOKUP(A1876,ORÇAMENTO!A:K,4,0)</f>
        <v>DEMOLIÇÕES DE PASSEIOS E MEIO-FIO</v>
      </c>
      <c r="C1876" s="173"/>
      <c r="D1876" s="173"/>
      <c r="E1876" s="173"/>
      <c r="F1876" s="173"/>
      <c r="G1876" s="173"/>
      <c r="H1876" s="173"/>
      <c r="I1876" s="173"/>
      <c r="J1876" s="173"/>
      <c r="K1876" s="173"/>
      <c r="L1876" s="173"/>
      <c r="M1876" s="173"/>
      <c r="N1876" s="173"/>
      <c r="O1876" s="173"/>
      <c r="P1876" s="224"/>
      <c r="Q1876" s="224"/>
      <c r="R1876" s="224"/>
      <c r="S1876" s="224"/>
    </row>
    <row r="1877" spans="1:19" s="235" customFormat="1" ht="52.5" x14ac:dyDescent="0.35">
      <c r="A1877" s="226" t="str">
        <f>ORÇAMENTO!A360</f>
        <v>5.1.1.5.1</v>
      </c>
      <c r="B1877" s="227" t="str">
        <f>VLOOKUP(A1877,ORÇAMENTO!A:K,4,0)</f>
        <v>DEMOLICAO COM EQUIPAMENTO DE AR COMPRIMIDO,DE PASSEIO CIMENT ADO COM ESPESSURA ATE 10CM,INCLUSIVE EMPILHAMENTO LATERAL DE NTRO DO CANTEIRO DE SERVICO 3%-DESGASTE DE FERRAMENTAS E EPI</v>
      </c>
      <c r="C1877" s="173" t="str">
        <f>VLOOKUP(A1877,ORÇAMENTO!A:K,5,0)</f>
        <v>M2</v>
      </c>
      <c r="D1877" s="173">
        <f>SUM(E1894:O1894)</f>
        <v>328.12079999999997</v>
      </c>
      <c r="E1877" s="173" t="s">
        <v>1718</v>
      </c>
      <c r="F1877" s="173" t="s">
        <v>1719</v>
      </c>
      <c r="G1877" s="173" t="s">
        <v>1720</v>
      </c>
      <c r="H1877" s="173" t="s">
        <v>1721</v>
      </c>
      <c r="I1877" s="173" t="s">
        <v>1722</v>
      </c>
      <c r="J1877" s="173" t="s">
        <v>1723</v>
      </c>
      <c r="K1877" s="173" t="s">
        <v>1758</v>
      </c>
      <c r="L1877" s="173" t="s">
        <v>1753</v>
      </c>
      <c r="M1877" s="173" t="s">
        <v>1758</v>
      </c>
      <c r="N1877" s="173" t="s">
        <v>1727</v>
      </c>
      <c r="O1877" s="173" t="s">
        <v>1728</v>
      </c>
      <c r="P1877" s="224"/>
      <c r="Q1877" s="224"/>
      <c r="R1877" s="224"/>
      <c r="S1877" s="224"/>
    </row>
    <row r="1878" spans="1:19" s="225" customFormat="1" ht="31.5" x14ac:dyDescent="0.25">
      <c r="A1878" s="229"/>
      <c r="B1878" s="230" t="s">
        <v>1759</v>
      </c>
      <c r="C1878" s="177"/>
      <c r="D1878" s="178"/>
      <c r="E1878" s="178"/>
      <c r="F1878" s="178"/>
      <c r="G1878" s="178"/>
      <c r="H1878" s="178"/>
      <c r="I1878" s="178"/>
      <c r="J1878" s="178"/>
      <c r="K1878" s="178"/>
      <c r="L1878" s="190"/>
      <c r="M1878" s="190"/>
      <c r="N1878" s="178"/>
      <c r="O1878" s="178"/>
      <c r="P1878" s="231"/>
      <c r="Q1878" s="224"/>
    </row>
    <row r="1879" spans="1:19" s="225" customFormat="1" ht="10.5" x14ac:dyDescent="0.25">
      <c r="A1879" s="229"/>
      <c r="B1879" s="232" t="s">
        <v>1760</v>
      </c>
      <c r="C1879" s="177"/>
      <c r="D1879" s="178"/>
      <c r="E1879" s="178"/>
      <c r="F1879" s="178"/>
      <c r="G1879" s="178"/>
      <c r="H1879" s="178"/>
      <c r="I1879" s="178"/>
      <c r="J1879" s="178"/>
      <c r="K1879" s="178"/>
      <c r="L1879" s="190"/>
      <c r="M1879" s="178"/>
      <c r="N1879" s="178"/>
      <c r="O1879" s="178"/>
      <c r="P1879" s="231"/>
      <c r="Q1879" s="224"/>
    </row>
    <row r="1880" spans="1:19" s="225" customFormat="1" ht="21" x14ac:dyDescent="0.25">
      <c r="A1880" s="229"/>
      <c r="B1880" s="230" t="s">
        <v>1405</v>
      </c>
      <c r="C1880" s="177"/>
      <c r="D1880" s="178"/>
      <c r="E1880" s="178">
        <f>2.38+0.5</f>
        <v>2.88</v>
      </c>
      <c r="F1880" s="178">
        <f t="shared" ref="F1880:F1892" si="64">1.18+0.5</f>
        <v>1.68</v>
      </c>
      <c r="G1880" s="178"/>
      <c r="H1880" s="178">
        <v>7.0000000000000007E-2</v>
      </c>
      <c r="I1880" s="178"/>
      <c r="J1880" s="178"/>
      <c r="K1880" s="178">
        <f>'BOCA DE LOBO'!O98</f>
        <v>14</v>
      </c>
      <c r="L1880" s="190"/>
      <c r="M1880" s="178"/>
      <c r="N1880" s="178">
        <f t="shared" ref="N1880:N1892" si="65">E1880*F1880*K1880</f>
        <v>67.7376</v>
      </c>
      <c r="O1880" s="178">
        <f t="shared" ref="O1880:O1892" si="66">E1880*F1880*H1880*K1880</f>
        <v>4.741632000000001</v>
      </c>
      <c r="P1880" s="231"/>
      <c r="Q1880" s="224"/>
    </row>
    <row r="1881" spans="1:19" s="225" customFormat="1" ht="21" x14ac:dyDescent="0.25">
      <c r="A1881" s="229"/>
      <c r="B1881" s="230" t="s">
        <v>1410</v>
      </c>
      <c r="C1881" s="177"/>
      <c r="D1881" s="178"/>
      <c r="E1881" s="178">
        <f>1.19+0.5</f>
        <v>1.69</v>
      </c>
      <c r="F1881" s="178">
        <f t="shared" si="64"/>
        <v>1.68</v>
      </c>
      <c r="G1881" s="178"/>
      <c r="H1881" s="178">
        <v>7.0000000000000007E-2</v>
      </c>
      <c r="I1881" s="178"/>
      <c r="J1881" s="178"/>
      <c r="K1881" s="178">
        <f>'BOCA DE LOBO'!O99</f>
        <v>0</v>
      </c>
      <c r="L1881" s="190"/>
      <c r="M1881" s="178"/>
      <c r="N1881" s="178">
        <f t="shared" si="65"/>
        <v>0</v>
      </c>
      <c r="O1881" s="178">
        <f t="shared" si="66"/>
        <v>0</v>
      </c>
      <c r="P1881" s="231"/>
      <c r="Q1881" s="224"/>
    </row>
    <row r="1882" spans="1:19" s="225" customFormat="1" ht="21" x14ac:dyDescent="0.25">
      <c r="A1882" s="229"/>
      <c r="B1882" s="230" t="s">
        <v>1413</v>
      </c>
      <c r="C1882" s="177"/>
      <c r="D1882" s="178"/>
      <c r="E1882" s="178">
        <f>3.54+0.5</f>
        <v>4.04</v>
      </c>
      <c r="F1882" s="178">
        <f t="shared" si="64"/>
        <v>1.68</v>
      </c>
      <c r="G1882" s="178"/>
      <c r="H1882" s="178">
        <v>7.0000000000000007E-2</v>
      </c>
      <c r="I1882" s="178"/>
      <c r="J1882" s="178"/>
      <c r="K1882" s="178">
        <f>'BOCA DE LOBO'!O100</f>
        <v>0</v>
      </c>
      <c r="L1882" s="190"/>
      <c r="M1882" s="178"/>
      <c r="N1882" s="178">
        <f t="shared" si="65"/>
        <v>0</v>
      </c>
      <c r="O1882" s="178">
        <f t="shared" si="66"/>
        <v>0</v>
      </c>
      <c r="P1882" s="231"/>
      <c r="Q1882" s="224"/>
    </row>
    <row r="1883" spans="1:19" s="225" customFormat="1" ht="21" x14ac:dyDescent="0.25">
      <c r="A1883" s="229"/>
      <c r="B1883" s="230" t="s">
        <v>1415</v>
      </c>
      <c r="C1883" s="177"/>
      <c r="D1883" s="178"/>
      <c r="E1883" s="178">
        <f>1.19+0.5</f>
        <v>1.69</v>
      </c>
      <c r="F1883" s="178">
        <f t="shared" si="64"/>
        <v>1.68</v>
      </c>
      <c r="G1883" s="178"/>
      <c r="H1883" s="178">
        <v>7.0000000000000007E-2</v>
      </c>
      <c r="I1883" s="178"/>
      <c r="J1883" s="178"/>
      <c r="K1883" s="178">
        <f>'BOCA DE LOBO'!O101</f>
        <v>22</v>
      </c>
      <c r="L1883" s="190"/>
      <c r="M1883" s="178"/>
      <c r="N1883" s="178">
        <f t="shared" si="65"/>
        <v>62.462400000000002</v>
      </c>
      <c r="O1883" s="178">
        <f t="shared" si="66"/>
        <v>4.3723679999999998</v>
      </c>
      <c r="P1883" s="231"/>
      <c r="Q1883" s="224"/>
    </row>
    <row r="1884" spans="1:19" s="225" customFormat="1" ht="21" x14ac:dyDescent="0.25">
      <c r="A1884" s="229"/>
      <c r="B1884" s="230" t="s">
        <v>1418</v>
      </c>
      <c r="C1884" s="177"/>
      <c r="D1884" s="178"/>
      <c r="E1884" s="178">
        <f>2.38+0.5</f>
        <v>2.88</v>
      </c>
      <c r="F1884" s="178">
        <f t="shared" si="64"/>
        <v>1.68</v>
      </c>
      <c r="G1884" s="178"/>
      <c r="H1884" s="178">
        <v>7.0000000000000007E-2</v>
      </c>
      <c r="I1884" s="178"/>
      <c r="J1884" s="178"/>
      <c r="K1884" s="178">
        <f>'BOCA DE LOBO'!O102</f>
        <v>0</v>
      </c>
      <c r="L1884" s="190"/>
      <c r="M1884" s="178"/>
      <c r="N1884" s="178">
        <f t="shared" si="65"/>
        <v>0</v>
      </c>
      <c r="O1884" s="178">
        <f t="shared" si="66"/>
        <v>0</v>
      </c>
      <c r="P1884" s="231"/>
      <c r="Q1884" s="224"/>
    </row>
    <row r="1885" spans="1:19" s="225" customFormat="1" ht="21" x14ac:dyDescent="0.25">
      <c r="A1885" s="229"/>
      <c r="B1885" s="230" t="s">
        <v>1416</v>
      </c>
      <c r="C1885" s="177"/>
      <c r="D1885" s="178"/>
      <c r="E1885" s="178">
        <f>3.54+0.5</f>
        <v>4.04</v>
      </c>
      <c r="F1885" s="178">
        <f t="shared" si="64"/>
        <v>1.68</v>
      </c>
      <c r="G1885" s="178"/>
      <c r="H1885" s="178">
        <v>7.0000000000000007E-2</v>
      </c>
      <c r="I1885" s="178"/>
      <c r="J1885" s="178"/>
      <c r="K1885" s="178">
        <f>'BOCA DE LOBO'!O103</f>
        <v>0</v>
      </c>
      <c r="L1885" s="190"/>
      <c r="M1885" s="178"/>
      <c r="N1885" s="178">
        <f t="shared" si="65"/>
        <v>0</v>
      </c>
      <c r="O1885" s="178">
        <f t="shared" si="66"/>
        <v>0</v>
      </c>
      <c r="P1885" s="231"/>
      <c r="Q1885" s="224"/>
    </row>
    <row r="1886" spans="1:19" s="225" customFormat="1" ht="21" x14ac:dyDescent="0.25">
      <c r="A1886" s="229"/>
      <c r="B1886" s="230" t="s">
        <v>1420</v>
      </c>
      <c r="C1886" s="177"/>
      <c r="D1886" s="178"/>
      <c r="E1886" s="178">
        <f>1.19+0.5</f>
        <v>1.69</v>
      </c>
      <c r="F1886" s="178">
        <f t="shared" si="64"/>
        <v>1.68</v>
      </c>
      <c r="G1886" s="178"/>
      <c r="H1886" s="178">
        <v>7.0000000000000007E-2</v>
      </c>
      <c r="I1886" s="178"/>
      <c r="J1886" s="178"/>
      <c r="K1886" s="178">
        <f>'BOCA DE LOBO'!O104</f>
        <v>0</v>
      </c>
      <c r="L1886" s="190"/>
      <c r="M1886" s="178"/>
      <c r="N1886" s="178">
        <f t="shared" si="65"/>
        <v>0</v>
      </c>
      <c r="O1886" s="178">
        <f t="shared" si="66"/>
        <v>0</v>
      </c>
      <c r="P1886" s="231"/>
      <c r="Q1886" s="224"/>
    </row>
    <row r="1887" spans="1:19" s="225" customFormat="1" ht="21" x14ac:dyDescent="0.25">
      <c r="A1887" s="229"/>
      <c r="B1887" s="230" t="s">
        <v>1424</v>
      </c>
      <c r="C1887" s="177"/>
      <c r="D1887" s="178"/>
      <c r="E1887" s="178">
        <f>2.38+0.5</f>
        <v>2.88</v>
      </c>
      <c r="F1887" s="178">
        <f t="shared" si="64"/>
        <v>1.68</v>
      </c>
      <c r="G1887" s="178"/>
      <c r="H1887" s="178">
        <v>7.0000000000000007E-2</v>
      </c>
      <c r="I1887" s="178"/>
      <c r="J1887" s="178"/>
      <c r="K1887" s="178">
        <f>'BOCA DE LOBO'!O105</f>
        <v>0</v>
      </c>
      <c r="L1887" s="190"/>
      <c r="M1887" s="178"/>
      <c r="N1887" s="178">
        <f t="shared" si="65"/>
        <v>0</v>
      </c>
      <c r="O1887" s="178">
        <f t="shared" si="66"/>
        <v>0</v>
      </c>
      <c r="P1887" s="231"/>
      <c r="Q1887" s="224"/>
    </row>
    <row r="1888" spans="1:19" s="225" customFormat="1" ht="21" x14ac:dyDescent="0.25">
      <c r="A1888" s="229"/>
      <c r="B1888" s="230" t="s">
        <v>1427</v>
      </c>
      <c r="C1888" s="177"/>
      <c r="D1888" s="178"/>
      <c r="E1888" s="178">
        <f>3.54+0.5</f>
        <v>4.04</v>
      </c>
      <c r="F1888" s="178">
        <f t="shared" si="64"/>
        <v>1.68</v>
      </c>
      <c r="G1888" s="178"/>
      <c r="H1888" s="178">
        <v>7.0000000000000007E-2</v>
      </c>
      <c r="I1888" s="178"/>
      <c r="J1888" s="178"/>
      <c r="K1888" s="178">
        <f>'BOCA DE LOBO'!O106</f>
        <v>0</v>
      </c>
      <c r="L1888" s="190"/>
      <c r="M1888" s="178"/>
      <c r="N1888" s="178">
        <f t="shared" si="65"/>
        <v>0</v>
      </c>
      <c r="O1888" s="178">
        <f t="shared" si="66"/>
        <v>0</v>
      </c>
      <c r="P1888" s="231"/>
      <c r="Q1888" s="224"/>
    </row>
    <row r="1889" spans="1:19" s="225" customFormat="1" ht="10.5" x14ac:dyDescent="0.25">
      <c r="A1889" s="229"/>
      <c r="B1889" s="230" t="s">
        <v>1429</v>
      </c>
      <c r="C1889" s="177"/>
      <c r="D1889" s="178"/>
      <c r="E1889" s="178">
        <f>1.38+0.5+0.5</f>
        <v>2.38</v>
      </c>
      <c r="F1889" s="178">
        <f t="shared" si="64"/>
        <v>1.68</v>
      </c>
      <c r="G1889" s="178"/>
      <c r="H1889" s="178">
        <v>7.0000000000000007E-2</v>
      </c>
      <c r="I1889" s="178"/>
      <c r="J1889" s="178"/>
      <c r="K1889" s="178">
        <f>'BOCA DE LOBO'!O107</f>
        <v>0</v>
      </c>
      <c r="L1889" s="190"/>
      <c r="M1889" s="178"/>
      <c r="N1889" s="178">
        <f t="shared" si="65"/>
        <v>0</v>
      </c>
      <c r="O1889" s="178">
        <f t="shared" si="66"/>
        <v>0</v>
      </c>
      <c r="P1889" s="231"/>
      <c r="Q1889" s="224"/>
    </row>
    <row r="1890" spans="1:19" s="225" customFormat="1" ht="10.5" x14ac:dyDescent="0.25">
      <c r="A1890" s="229"/>
      <c r="B1890" s="230" t="s">
        <v>1431</v>
      </c>
      <c r="C1890" s="177"/>
      <c r="D1890" s="178"/>
      <c r="E1890" s="178">
        <f>2.57+0.5+0.5</f>
        <v>3.57</v>
      </c>
      <c r="F1890" s="178">
        <f t="shared" si="64"/>
        <v>1.68</v>
      </c>
      <c r="G1890" s="178"/>
      <c r="H1890" s="178">
        <v>7.0000000000000007E-2</v>
      </c>
      <c r="I1890" s="178"/>
      <c r="J1890" s="178"/>
      <c r="K1890" s="178">
        <f>'BOCA DE LOBO'!O108</f>
        <v>1</v>
      </c>
      <c r="L1890" s="190"/>
      <c r="M1890" s="178"/>
      <c r="N1890" s="178">
        <f t="shared" si="65"/>
        <v>5.9975999999999994</v>
      </c>
      <c r="O1890" s="178">
        <f t="shared" si="66"/>
        <v>0.41983199999999998</v>
      </c>
      <c r="P1890" s="231"/>
      <c r="Q1890" s="224"/>
    </row>
    <row r="1891" spans="1:19" s="225" customFormat="1" ht="10.5" x14ac:dyDescent="0.25">
      <c r="A1891" s="229"/>
      <c r="B1891" s="230" t="s">
        <v>1434</v>
      </c>
      <c r="C1891" s="177"/>
      <c r="D1891" s="178"/>
      <c r="E1891" s="178">
        <f>3.76+0.5+0.5</f>
        <v>4.76</v>
      </c>
      <c r="F1891" s="178">
        <f t="shared" si="64"/>
        <v>1.68</v>
      </c>
      <c r="G1891" s="178"/>
      <c r="H1891" s="178">
        <v>7.0000000000000007E-2</v>
      </c>
      <c r="I1891" s="178"/>
      <c r="J1891" s="178"/>
      <c r="K1891" s="178">
        <f>'BOCA DE LOBO'!O109</f>
        <v>24</v>
      </c>
      <c r="L1891" s="190"/>
      <c r="M1891" s="178"/>
      <c r="N1891" s="178">
        <f t="shared" si="65"/>
        <v>191.92319999999998</v>
      </c>
      <c r="O1891" s="178">
        <f t="shared" si="66"/>
        <v>13.434624000000001</v>
      </c>
      <c r="P1891" s="231"/>
      <c r="Q1891" s="224"/>
    </row>
    <row r="1892" spans="1:19" s="225" customFormat="1" ht="10.5" x14ac:dyDescent="0.25">
      <c r="A1892" s="229"/>
      <c r="B1892" s="230" t="s">
        <v>1438</v>
      </c>
      <c r="C1892" s="177"/>
      <c r="D1892" s="178"/>
      <c r="E1892" s="178">
        <f>4.92+0.5+0.5</f>
        <v>5.92</v>
      </c>
      <c r="F1892" s="178">
        <f t="shared" si="64"/>
        <v>1.68</v>
      </c>
      <c r="G1892" s="178"/>
      <c r="H1892" s="178">
        <v>7.0000000000000007E-2</v>
      </c>
      <c r="I1892" s="178"/>
      <c r="J1892" s="178"/>
      <c r="K1892" s="178">
        <f>'BOCA DE LOBO'!O110</f>
        <v>0</v>
      </c>
      <c r="L1892" s="190"/>
      <c r="M1892" s="178"/>
      <c r="N1892" s="178">
        <f t="shared" si="65"/>
        <v>0</v>
      </c>
      <c r="O1892" s="178">
        <f t="shared" si="66"/>
        <v>0</v>
      </c>
      <c r="P1892" s="231"/>
      <c r="Q1892" s="224"/>
    </row>
    <row r="1893" spans="1:19" s="225" customFormat="1" ht="10.5" x14ac:dyDescent="0.25">
      <c r="A1893" s="229"/>
      <c r="B1893" s="230"/>
      <c r="C1893" s="177"/>
      <c r="D1893" s="178"/>
      <c r="E1893" s="178"/>
      <c r="F1893" s="178"/>
      <c r="G1893" s="178"/>
      <c r="H1893" s="178"/>
      <c r="I1893" s="178"/>
      <c r="J1893" s="178"/>
      <c r="K1893" s="178"/>
      <c r="L1893" s="190"/>
      <c r="M1893" s="190"/>
      <c r="N1893" s="178"/>
      <c r="O1893" s="178"/>
      <c r="P1893" s="231"/>
      <c r="Q1893" s="224"/>
    </row>
    <row r="1894" spans="1:19" s="225" customFormat="1" ht="10.5" x14ac:dyDescent="0.25">
      <c r="A1894" s="229"/>
      <c r="B1894" s="232" t="s">
        <v>5</v>
      </c>
      <c r="C1894" s="182" t="s">
        <v>1328</v>
      </c>
      <c r="D1894" s="182"/>
      <c r="E1894" s="182"/>
      <c r="F1894" s="182"/>
      <c r="G1894" s="182"/>
      <c r="H1894" s="182"/>
      <c r="I1894" s="182"/>
      <c r="J1894" s="182"/>
      <c r="K1894" s="182"/>
      <c r="L1894" s="182"/>
      <c r="M1894" s="182"/>
      <c r="N1894" s="182">
        <f>SUM(N1878:N1893)</f>
        <v>328.12079999999997</v>
      </c>
      <c r="O1894" s="182"/>
      <c r="P1894" s="233"/>
      <c r="Q1894" s="224"/>
    </row>
    <row r="1895" spans="1:19" s="235" customFormat="1" ht="42" x14ac:dyDescent="0.35">
      <c r="A1895" s="226" t="str">
        <f>ORÇAMENTO!A361</f>
        <v>5.1.1.5.2</v>
      </c>
      <c r="B1895" s="227" t="str">
        <f>VLOOKUP(A1895,ORÇAMENTO!A:K,4,0)</f>
        <v>EXECUÇÃO DE PASSEIO (CALÇADA) OU PISO DE CONCRETO COM CONCRETO MOLDADO IN LOCO, FEITO EM OBRA, ACABAMENTO CONVENCIONAL, NÃO ARMADO. AF_08/2022</v>
      </c>
      <c r="C1895" s="173" t="str">
        <f>VLOOKUP(A1895,ORÇAMENTO!A:K,5,0)</f>
        <v>M³</v>
      </c>
      <c r="D1895" s="173">
        <f>SUM(E1911:O1911)</f>
        <v>10.387650000000004</v>
      </c>
      <c r="E1895" s="173" t="s">
        <v>1718</v>
      </c>
      <c r="F1895" s="173" t="s">
        <v>1719</v>
      </c>
      <c r="G1895" s="173" t="s">
        <v>1720</v>
      </c>
      <c r="H1895" s="173" t="s">
        <v>1721</v>
      </c>
      <c r="I1895" s="173" t="s">
        <v>1722</v>
      </c>
      <c r="J1895" s="173" t="s">
        <v>1723</v>
      </c>
      <c r="K1895" s="173" t="s">
        <v>1758</v>
      </c>
      <c r="L1895" s="173" t="s">
        <v>1753</v>
      </c>
      <c r="M1895" s="173" t="s">
        <v>1750</v>
      </c>
      <c r="N1895" s="173" t="s">
        <v>1727</v>
      </c>
      <c r="O1895" s="173" t="s">
        <v>1728</v>
      </c>
      <c r="P1895" s="224"/>
      <c r="Q1895" s="224"/>
      <c r="R1895" s="224"/>
      <c r="S1895" s="224"/>
    </row>
    <row r="1896" spans="1:19" s="225" customFormat="1" ht="10.5" x14ac:dyDescent="0.25">
      <c r="A1896" s="229"/>
      <c r="B1896" s="230" t="s">
        <v>1761</v>
      </c>
      <c r="C1896" s="177"/>
      <c r="D1896" s="178"/>
      <c r="E1896" s="178"/>
      <c r="F1896" s="178"/>
      <c r="G1896" s="178"/>
      <c r="H1896" s="178"/>
      <c r="I1896" s="178"/>
      <c r="J1896" s="178"/>
      <c r="K1896" s="178"/>
      <c r="L1896" s="190"/>
      <c r="M1896" s="178"/>
      <c r="N1896" s="178"/>
      <c r="O1896" s="178"/>
      <c r="P1896" s="231"/>
      <c r="Q1896" s="224"/>
    </row>
    <row r="1897" spans="1:19" s="225" customFormat="1" ht="10.5" x14ac:dyDescent="0.25">
      <c r="A1897" s="229"/>
      <c r="B1897" s="230" t="s">
        <v>1762</v>
      </c>
      <c r="C1897" s="177"/>
      <c r="D1897" s="178"/>
      <c r="E1897" s="178"/>
      <c r="F1897" s="178"/>
      <c r="G1897" s="178"/>
      <c r="H1897" s="178"/>
      <c r="I1897" s="178"/>
      <c r="J1897" s="178"/>
      <c r="K1897" s="178"/>
      <c r="L1897" s="190"/>
      <c r="M1897" s="178"/>
      <c r="N1897" s="178"/>
      <c r="O1897" s="177">
        <f>SUM(O1880:O1891)</f>
        <v>22.968456000000003</v>
      </c>
      <c r="P1897" s="231"/>
      <c r="Q1897" s="224"/>
    </row>
    <row r="1898" spans="1:19" s="225" customFormat="1" ht="21" x14ac:dyDescent="0.25">
      <c r="A1898" s="229"/>
      <c r="B1898" s="230" t="str">
        <f t="shared" ref="B1898:B1910" si="67">B1880</f>
        <v>BOCA DE LOBO SIMPLES EXISTENTE COM BOCA DE LOBO DUPLA PROJETADA</v>
      </c>
      <c r="C1898" s="177"/>
      <c r="D1898" s="178"/>
      <c r="E1898" s="178">
        <f>2.38</f>
        <v>2.38</v>
      </c>
      <c r="F1898" s="178">
        <f t="shared" ref="F1898:F1910" si="68">1.18</f>
        <v>1.18</v>
      </c>
      <c r="G1898" s="178"/>
      <c r="H1898" s="178">
        <f t="shared" ref="H1898:H1910" si="69">H1880</f>
        <v>7.0000000000000007E-2</v>
      </c>
      <c r="I1898" s="178"/>
      <c r="J1898" s="178"/>
      <c r="K1898" s="178">
        <f t="shared" ref="K1898:K1910" si="70">K1880</f>
        <v>14</v>
      </c>
      <c r="L1898" s="190"/>
      <c r="M1898" s="178"/>
      <c r="N1898" s="178"/>
      <c r="O1898" s="178">
        <f t="shared" ref="O1898:O1909" si="71">-E1898*F1898*K1898*H1898</f>
        <v>-2.7522320000000002</v>
      </c>
      <c r="P1898" s="231"/>
      <c r="Q1898" s="224"/>
    </row>
    <row r="1899" spans="1:19" s="225" customFormat="1" ht="21" x14ac:dyDescent="0.25">
      <c r="A1899" s="229"/>
      <c r="B1899" s="230" t="str">
        <f t="shared" si="67"/>
        <v>BOCA DE LOBO SIMPLES EXISTENTE COM BOCA DE LOBO SIMPLES PROJETADA</v>
      </c>
      <c r="C1899" s="177"/>
      <c r="D1899" s="178"/>
      <c r="E1899" s="178">
        <f>1.19</f>
        <v>1.19</v>
      </c>
      <c r="F1899" s="178">
        <f t="shared" si="68"/>
        <v>1.18</v>
      </c>
      <c r="G1899" s="178"/>
      <c r="H1899" s="178">
        <f t="shared" si="69"/>
        <v>7.0000000000000007E-2</v>
      </c>
      <c r="I1899" s="178"/>
      <c r="J1899" s="178"/>
      <c r="K1899" s="178">
        <f t="shared" si="70"/>
        <v>0</v>
      </c>
      <c r="L1899" s="190"/>
      <c r="M1899" s="178"/>
      <c r="N1899" s="178"/>
      <c r="O1899" s="178">
        <f t="shared" si="71"/>
        <v>0</v>
      </c>
      <c r="P1899" s="231"/>
      <c r="Q1899" s="224"/>
    </row>
    <row r="1900" spans="1:19" s="225" customFormat="1" ht="21" x14ac:dyDescent="0.25">
      <c r="A1900" s="229"/>
      <c r="B1900" s="230" t="str">
        <f t="shared" si="67"/>
        <v>BOCA DE LOBO SIMPLES EXISTENTE COM BOCA DE LOBO TRIPLA PROJETADA</v>
      </c>
      <c r="C1900" s="177"/>
      <c r="D1900" s="178"/>
      <c r="E1900" s="178">
        <f>3.54</f>
        <v>3.54</v>
      </c>
      <c r="F1900" s="178">
        <f t="shared" si="68"/>
        <v>1.18</v>
      </c>
      <c r="G1900" s="178"/>
      <c r="H1900" s="178">
        <f t="shared" si="69"/>
        <v>7.0000000000000007E-2</v>
      </c>
      <c r="I1900" s="178"/>
      <c r="J1900" s="178"/>
      <c r="K1900" s="178">
        <f t="shared" si="70"/>
        <v>0</v>
      </c>
      <c r="L1900" s="190"/>
      <c r="M1900" s="178"/>
      <c r="N1900" s="178"/>
      <c r="O1900" s="178">
        <f t="shared" si="71"/>
        <v>0</v>
      </c>
      <c r="P1900" s="231"/>
      <c r="Q1900" s="224"/>
    </row>
    <row r="1901" spans="1:19" s="225" customFormat="1" ht="21" x14ac:dyDescent="0.25">
      <c r="A1901" s="229"/>
      <c r="B1901" s="230" t="str">
        <f t="shared" si="67"/>
        <v>BOCA DE LOBO DUPLA EXISTENTE COM BOCA DE LOBO SIMPLES PROJETADA</v>
      </c>
      <c r="C1901" s="177"/>
      <c r="D1901" s="178"/>
      <c r="E1901" s="178">
        <f>1.19</f>
        <v>1.19</v>
      </c>
      <c r="F1901" s="178">
        <f t="shared" si="68"/>
        <v>1.18</v>
      </c>
      <c r="G1901" s="178"/>
      <c r="H1901" s="178">
        <f t="shared" si="69"/>
        <v>7.0000000000000007E-2</v>
      </c>
      <c r="I1901" s="178"/>
      <c r="J1901" s="178"/>
      <c r="K1901" s="178">
        <f t="shared" si="70"/>
        <v>22</v>
      </c>
      <c r="L1901" s="190"/>
      <c r="M1901" s="178"/>
      <c r="N1901" s="178"/>
      <c r="O1901" s="178">
        <f t="shared" si="71"/>
        <v>-2.1624680000000001</v>
      </c>
      <c r="P1901" s="231"/>
      <c r="Q1901" s="224"/>
    </row>
    <row r="1902" spans="1:19" s="225" customFormat="1" ht="21" x14ac:dyDescent="0.25">
      <c r="A1902" s="229"/>
      <c r="B1902" s="230" t="str">
        <f t="shared" si="67"/>
        <v>BOCA DE LOBO DUPLA EXISTENTE COM BOCA DE LOBO DUPLA PROJETADA</v>
      </c>
      <c r="C1902" s="177"/>
      <c r="D1902" s="178"/>
      <c r="E1902" s="178">
        <f>2.38</f>
        <v>2.38</v>
      </c>
      <c r="F1902" s="178">
        <f t="shared" si="68"/>
        <v>1.18</v>
      </c>
      <c r="G1902" s="178"/>
      <c r="H1902" s="178">
        <f t="shared" si="69"/>
        <v>7.0000000000000007E-2</v>
      </c>
      <c r="I1902" s="178"/>
      <c r="J1902" s="178"/>
      <c r="K1902" s="178">
        <f t="shared" si="70"/>
        <v>0</v>
      </c>
      <c r="L1902" s="190"/>
      <c r="M1902" s="178"/>
      <c r="N1902" s="178"/>
      <c r="O1902" s="178">
        <f t="shared" si="71"/>
        <v>0</v>
      </c>
      <c r="P1902" s="231"/>
      <c r="Q1902" s="224"/>
    </row>
    <row r="1903" spans="1:19" s="225" customFormat="1" ht="21" x14ac:dyDescent="0.25">
      <c r="A1903" s="229"/>
      <c r="B1903" s="230" t="str">
        <f t="shared" si="67"/>
        <v>BOCA DE LOBO DUPLA EXISTENTE COM BOCA DE LOBO TRIPLA PROJETADA</v>
      </c>
      <c r="C1903" s="177"/>
      <c r="D1903" s="178"/>
      <c r="E1903" s="178">
        <f>3.54</f>
        <v>3.54</v>
      </c>
      <c r="F1903" s="178">
        <f t="shared" si="68"/>
        <v>1.18</v>
      </c>
      <c r="G1903" s="178"/>
      <c r="H1903" s="178">
        <f t="shared" si="69"/>
        <v>7.0000000000000007E-2</v>
      </c>
      <c r="I1903" s="178"/>
      <c r="J1903" s="178"/>
      <c r="K1903" s="178">
        <f t="shared" si="70"/>
        <v>0</v>
      </c>
      <c r="L1903" s="190"/>
      <c r="M1903" s="178"/>
      <c r="N1903" s="178"/>
      <c r="O1903" s="178">
        <f t="shared" si="71"/>
        <v>0</v>
      </c>
      <c r="P1903" s="231"/>
      <c r="Q1903" s="224"/>
    </row>
    <row r="1904" spans="1:19" s="225" customFormat="1" ht="21" x14ac:dyDescent="0.25">
      <c r="A1904" s="229"/>
      <c r="B1904" s="230" t="str">
        <f t="shared" si="67"/>
        <v>BOCA DE LOBO TRIPLA EXISTENTE COM BOCA DE LOBO SIMPLES PROJETADA</v>
      </c>
      <c r="C1904" s="177"/>
      <c r="D1904" s="178"/>
      <c r="E1904" s="178">
        <f>1.19</f>
        <v>1.19</v>
      </c>
      <c r="F1904" s="178">
        <f t="shared" si="68"/>
        <v>1.18</v>
      </c>
      <c r="G1904" s="178"/>
      <c r="H1904" s="178">
        <f t="shared" si="69"/>
        <v>7.0000000000000007E-2</v>
      </c>
      <c r="I1904" s="178"/>
      <c r="J1904" s="178"/>
      <c r="K1904" s="178">
        <f t="shared" si="70"/>
        <v>0</v>
      </c>
      <c r="L1904" s="190"/>
      <c r="M1904" s="178"/>
      <c r="N1904" s="178"/>
      <c r="O1904" s="178">
        <f t="shared" si="71"/>
        <v>0</v>
      </c>
      <c r="P1904" s="231"/>
      <c r="Q1904" s="224"/>
    </row>
    <row r="1905" spans="1:19" s="225" customFormat="1" ht="21" x14ac:dyDescent="0.25">
      <c r="A1905" s="229"/>
      <c r="B1905" s="230" t="str">
        <f t="shared" si="67"/>
        <v>BOCA DE LOBO TRIPLA EXISTENTE COM BOCA DE LOBO DUPLA PROJETADA</v>
      </c>
      <c r="C1905" s="177"/>
      <c r="D1905" s="178"/>
      <c r="E1905" s="178">
        <f>2.38</f>
        <v>2.38</v>
      </c>
      <c r="F1905" s="178">
        <f t="shared" si="68"/>
        <v>1.18</v>
      </c>
      <c r="G1905" s="178"/>
      <c r="H1905" s="178">
        <f t="shared" si="69"/>
        <v>7.0000000000000007E-2</v>
      </c>
      <c r="I1905" s="178"/>
      <c r="J1905" s="178"/>
      <c r="K1905" s="178">
        <f t="shared" si="70"/>
        <v>0</v>
      </c>
      <c r="L1905" s="190"/>
      <c r="M1905" s="178"/>
      <c r="N1905" s="178"/>
      <c r="O1905" s="178">
        <f t="shared" si="71"/>
        <v>0</v>
      </c>
      <c r="P1905" s="231"/>
      <c r="Q1905" s="224"/>
    </row>
    <row r="1906" spans="1:19" s="225" customFormat="1" ht="21" x14ac:dyDescent="0.25">
      <c r="A1906" s="229"/>
      <c r="B1906" s="230" t="str">
        <f t="shared" si="67"/>
        <v>BOCA DE LOBO TRIPLA EXISTENTE COM BOCA DE LOBO TRIPLA PROJETADA</v>
      </c>
      <c r="C1906" s="177"/>
      <c r="D1906" s="178"/>
      <c r="E1906" s="178">
        <f>3.54</f>
        <v>3.54</v>
      </c>
      <c r="F1906" s="178">
        <f t="shared" si="68"/>
        <v>1.18</v>
      </c>
      <c r="G1906" s="178"/>
      <c r="H1906" s="178">
        <f t="shared" si="69"/>
        <v>7.0000000000000007E-2</v>
      </c>
      <c r="I1906" s="178"/>
      <c r="J1906" s="178"/>
      <c r="K1906" s="178">
        <f t="shared" si="70"/>
        <v>0</v>
      </c>
      <c r="L1906" s="190"/>
      <c r="M1906" s="178"/>
      <c r="N1906" s="178"/>
      <c r="O1906" s="178">
        <f t="shared" si="71"/>
        <v>0</v>
      </c>
      <c r="P1906" s="231"/>
      <c r="Q1906" s="224"/>
    </row>
    <row r="1907" spans="1:19" s="225" customFormat="1" ht="10.5" x14ac:dyDescent="0.25">
      <c r="A1907" s="229"/>
      <c r="B1907" s="230" t="str">
        <f t="shared" si="67"/>
        <v>BOCA DE LOBO PROJETADA SIMPLES</v>
      </c>
      <c r="C1907" s="177"/>
      <c r="D1907" s="178"/>
      <c r="E1907" s="178">
        <f>1.38</f>
        <v>1.38</v>
      </c>
      <c r="F1907" s="178">
        <f t="shared" si="68"/>
        <v>1.18</v>
      </c>
      <c r="G1907" s="178"/>
      <c r="H1907" s="178">
        <f t="shared" si="69"/>
        <v>7.0000000000000007E-2</v>
      </c>
      <c r="I1907" s="178"/>
      <c r="J1907" s="178"/>
      <c r="K1907" s="178">
        <f t="shared" si="70"/>
        <v>0</v>
      </c>
      <c r="L1907" s="190"/>
      <c r="M1907" s="178"/>
      <c r="N1907" s="178"/>
      <c r="O1907" s="178">
        <f t="shared" si="71"/>
        <v>0</v>
      </c>
      <c r="P1907" s="231"/>
      <c r="Q1907" s="224"/>
    </row>
    <row r="1908" spans="1:19" s="225" customFormat="1" ht="10.5" x14ac:dyDescent="0.25">
      <c r="A1908" s="229"/>
      <c r="B1908" s="230" t="str">
        <f t="shared" si="67"/>
        <v>BOCA DE LOBO PROJETADA DUPLA</v>
      </c>
      <c r="C1908" s="177"/>
      <c r="D1908" s="178"/>
      <c r="E1908" s="178">
        <f>2.57</f>
        <v>2.57</v>
      </c>
      <c r="F1908" s="178">
        <f t="shared" si="68"/>
        <v>1.18</v>
      </c>
      <c r="G1908" s="178"/>
      <c r="H1908" s="178">
        <f t="shared" si="69"/>
        <v>7.0000000000000007E-2</v>
      </c>
      <c r="I1908" s="178"/>
      <c r="J1908" s="178"/>
      <c r="K1908" s="178">
        <f t="shared" si="70"/>
        <v>1</v>
      </c>
      <c r="L1908" s="190"/>
      <c r="M1908" s="178"/>
      <c r="N1908" s="178"/>
      <c r="O1908" s="178">
        <f t="shared" si="71"/>
        <v>-0.212282</v>
      </c>
      <c r="P1908" s="231"/>
      <c r="Q1908" s="224"/>
    </row>
    <row r="1909" spans="1:19" s="225" customFormat="1" ht="10.5" x14ac:dyDescent="0.25">
      <c r="A1909" s="229"/>
      <c r="B1909" s="230" t="str">
        <f t="shared" si="67"/>
        <v>BOCA DE LOBO PROJETADA TRIPLA</v>
      </c>
      <c r="C1909" s="177"/>
      <c r="D1909" s="178"/>
      <c r="E1909" s="178">
        <f>3.76</f>
        <v>3.76</v>
      </c>
      <c r="F1909" s="178">
        <f t="shared" si="68"/>
        <v>1.18</v>
      </c>
      <c r="G1909" s="178"/>
      <c r="H1909" s="178">
        <f t="shared" si="69"/>
        <v>7.0000000000000007E-2</v>
      </c>
      <c r="I1909" s="178"/>
      <c r="J1909" s="178"/>
      <c r="K1909" s="178">
        <f t="shared" si="70"/>
        <v>24</v>
      </c>
      <c r="L1909" s="190"/>
      <c r="M1909" s="178"/>
      <c r="N1909" s="178"/>
      <c r="O1909" s="178">
        <f t="shared" si="71"/>
        <v>-7.4538240000000009</v>
      </c>
      <c r="P1909" s="231"/>
      <c r="Q1909" s="224"/>
    </row>
    <row r="1910" spans="1:19" s="225" customFormat="1" ht="10.5" x14ac:dyDescent="0.25">
      <c r="A1910" s="229"/>
      <c r="B1910" s="230" t="str">
        <f t="shared" si="67"/>
        <v>BOCA DE LOBO PROJETADA QUADRUPLA</v>
      </c>
      <c r="C1910" s="177"/>
      <c r="D1910" s="178"/>
      <c r="E1910" s="178">
        <v>4.92</v>
      </c>
      <c r="F1910" s="178">
        <f t="shared" si="68"/>
        <v>1.18</v>
      </c>
      <c r="G1910" s="178"/>
      <c r="H1910" s="178">
        <f t="shared" si="69"/>
        <v>7.0000000000000007E-2</v>
      </c>
      <c r="I1910" s="178"/>
      <c r="J1910" s="178"/>
      <c r="K1910" s="178">
        <f t="shared" si="70"/>
        <v>0</v>
      </c>
      <c r="L1910" s="190"/>
      <c r="M1910" s="178"/>
      <c r="N1910" s="178"/>
      <c r="O1910" s="178">
        <f t="shared" ref="O1910" si="72">-E1910*F1910*K1910*H1910</f>
        <v>0</v>
      </c>
      <c r="P1910" s="231"/>
      <c r="Q1910" s="224"/>
    </row>
    <row r="1911" spans="1:19" s="225" customFormat="1" ht="10.5" x14ac:dyDescent="0.25">
      <c r="A1911" s="229"/>
      <c r="B1911" s="232" t="s">
        <v>5</v>
      </c>
      <c r="C1911" s="182" t="s">
        <v>1328</v>
      </c>
      <c r="D1911" s="182"/>
      <c r="E1911" s="182"/>
      <c r="F1911" s="182"/>
      <c r="G1911" s="182"/>
      <c r="H1911" s="182"/>
      <c r="I1911" s="182"/>
      <c r="J1911" s="182"/>
      <c r="K1911" s="182"/>
      <c r="L1911" s="182"/>
      <c r="M1911" s="182"/>
      <c r="N1911" s="182"/>
      <c r="O1911" s="182">
        <f>SUM(O1896:O1910)</f>
        <v>10.387650000000004</v>
      </c>
      <c r="P1911" s="233"/>
      <c r="Q1911" s="224"/>
    </row>
    <row r="1912" spans="1:19" s="235" customFormat="1" ht="21" x14ac:dyDescent="0.35">
      <c r="A1912" s="226" t="str">
        <f>ORÇAMENTO!A362</f>
        <v>5.1.1.5.3</v>
      </c>
      <c r="B1912" s="227" t="str">
        <f>VLOOKUP(A1912,ORÇAMENTO!A:K,4,0)</f>
        <v>RETIRADA MEIO-FIO EM CONCRETO</v>
      </c>
      <c r="C1912" s="173" t="str">
        <f>VLOOKUP(A1912,ORÇAMENTO!A:K,5,0)</f>
        <v>M</v>
      </c>
      <c r="D1912" s="173">
        <f>SUM(E1927:O1927)</f>
        <v>195.31</v>
      </c>
      <c r="E1912" s="173" t="s">
        <v>1718</v>
      </c>
      <c r="F1912" s="173" t="s">
        <v>1882</v>
      </c>
      <c r="G1912" s="173" t="s">
        <v>1720</v>
      </c>
      <c r="H1912" s="173" t="s">
        <v>1721</v>
      </c>
      <c r="I1912" s="173" t="s">
        <v>1722</v>
      </c>
      <c r="J1912" s="173" t="s">
        <v>1723</v>
      </c>
      <c r="K1912" s="173" t="s">
        <v>1758</v>
      </c>
      <c r="L1912" s="173" t="s">
        <v>1753</v>
      </c>
      <c r="M1912" s="173" t="s">
        <v>1750</v>
      </c>
      <c r="N1912" s="173" t="s">
        <v>1727</v>
      </c>
      <c r="O1912" s="173" t="s">
        <v>1728</v>
      </c>
      <c r="P1912" s="224"/>
      <c r="Q1912" s="224"/>
      <c r="R1912" s="224"/>
      <c r="S1912" s="224"/>
    </row>
    <row r="1913" spans="1:19" s="225" customFormat="1" ht="10.5" x14ac:dyDescent="0.25">
      <c r="A1913" s="229"/>
      <c r="B1913" s="230"/>
      <c r="C1913" s="177"/>
      <c r="D1913" s="178"/>
      <c r="E1913" s="178"/>
      <c r="F1913" s="178"/>
      <c r="G1913" s="178"/>
      <c r="H1913" s="178"/>
      <c r="I1913" s="178"/>
      <c r="J1913" s="178"/>
      <c r="K1913" s="178"/>
      <c r="L1913" s="190"/>
      <c r="M1913" s="178"/>
      <c r="N1913" s="178"/>
      <c r="O1913" s="178"/>
      <c r="P1913" s="231"/>
      <c r="Q1913" s="224"/>
    </row>
    <row r="1914" spans="1:19" s="225" customFormat="1" ht="21" x14ac:dyDescent="0.25">
      <c r="A1914" s="229"/>
      <c r="B1914" s="230" t="str">
        <f t="shared" ref="B1914:B1925" si="73">B1898</f>
        <v>BOCA DE LOBO SIMPLES EXISTENTE COM BOCA DE LOBO DUPLA PROJETADA</v>
      </c>
      <c r="C1914" s="177"/>
      <c r="D1914" s="178"/>
      <c r="E1914" s="178">
        <f t="shared" ref="E1914:E1925" si="74">E1880</f>
        <v>2.88</v>
      </c>
      <c r="F1914" s="178"/>
      <c r="G1914" s="178"/>
      <c r="H1914" s="178"/>
      <c r="I1914" s="178"/>
      <c r="J1914" s="178"/>
      <c r="K1914" s="178">
        <f t="shared" ref="K1914:K1925" si="75">K1880</f>
        <v>14</v>
      </c>
      <c r="L1914" s="190"/>
      <c r="M1914" s="178"/>
      <c r="N1914" s="178"/>
      <c r="O1914" s="178"/>
      <c r="P1914" s="231"/>
      <c r="Q1914" s="224"/>
    </row>
    <row r="1915" spans="1:19" s="225" customFormat="1" ht="21" x14ac:dyDescent="0.25">
      <c r="A1915" s="229"/>
      <c r="B1915" s="230" t="str">
        <f t="shared" si="73"/>
        <v>BOCA DE LOBO SIMPLES EXISTENTE COM BOCA DE LOBO SIMPLES PROJETADA</v>
      </c>
      <c r="C1915" s="177"/>
      <c r="D1915" s="178"/>
      <c r="E1915" s="178">
        <f t="shared" si="74"/>
        <v>1.69</v>
      </c>
      <c r="F1915" s="178"/>
      <c r="G1915" s="178"/>
      <c r="H1915" s="178"/>
      <c r="I1915" s="178"/>
      <c r="J1915" s="178"/>
      <c r="K1915" s="178">
        <f t="shared" si="75"/>
        <v>0</v>
      </c>
      <c r="L1915" s="190"/>
      <c r="M1915" s="178"/>
      <c r="N1915" s="178"/>
      <c r="O1915" s="178"/>
      <c r="P1915" s="231"/>
      <c r="Q1915" s="224"/>
    </row>
    <row r="1916" spans="1:19" s="225" customFormat="1" ht="21" x14ac:dyDescent="0.25">
      <c r="A1916" s="229"/>
      <c r="B1916" s="230" t="str">
        <f t="shared" si="73"/>
        <v>BOCA DE LOBO SIMPLES EXISTENTE COM BOCA DE LOBO TRIPLA PROJETADA</v>
      </c>
      <c r="C1916" s="177"/>
      <c r="D1916" s="178"/>
      <c r="E1916" s="178">
        <f t="shared" si="74"/>
        <v>4.04</v>
      </c>
      <c r="F1916" s="178"/>
      <c r="G1916" s="178"/>
      <c r="H1916" s="178"/>
      <c r="I1916" s="178"/>
      <c r="J1916" s="178"/>
      <c r="K1916" s="178">
        <f t="shared" si="75"/>
        <v>0</v>
      </c>
      <c r="L1916" s="190"/>
      <c r="M1916" s="178"/>
      <c r="N1916" s="178"/>
      <c r="O1916" s="178"/>
      <c r="P1916" s="231"/>
      <c r="Q1916" s="224"/>
    </row>
    <row r="1917" spans="1:19" s="225" customFormat="1" ht="21" x14ac:dyDescent="0.25">
      <c r="A1917" s="229"/>
      <c r="B1917" s="230" t="str">
        <f t="shared" si="73"/>
        <v>BOCA DE LOBO DUPLA EXISTENTE COM BOCA DE LOBO SIMPLES PROJETADA</v>
      </c>
      <c r="C1917" s="177"/>
      <c r="D1917" s="178"/>
      <c r="E1917" s="178">
        <f t="shared" si="74"/>
        <v>1.69</v>
      </c>
      <c r="F1917" s="178"/>
      <c r="G1917" s="178"/>
      <c r="H1917" s="178"/>
      <c r="I1917" s="178"/>
      <c r="J1917" s="178"/>
      <c r="K1917" s="178">
        <f t="shared" si="75"/>
        <v>22</v>
      </c>
      <c r="L1917" s="190"/>
      <c r="M1917" s="178"/>
      <c r="N1917" s="178"/>
      <c r="O1917" s="178"/>
      <c r="P1917" s="231"/>
      <c r="Q1917" s="224"/>
    </row>
    <row r="1918" spans="1:19" s="225" customFormat="1" ht="21" x14ac:dyDescent="0.25">
      <c r="A1918" s="229"/>
      <c r="B1918" s="230" t="str">
        <f t="shared" si="73"/>
        <v>BOCA DE LOBO DUPLA EXISTENTE COM BOCA DE LOBO DUPLA PROJETADA</v>
      </c>
      <c r="C1918" s="177"/>
      <c r="D1918" s="178"/>
      <c r="E1918" s="178">
        <f t="shared" si="74"/>
        <v>2.88</v>
      </c>
      <c r="F1918" s="178"/>
      <c r="G1918" s="178"/>
      <c r="H1918" s="178"/>
      <c r="I1918" s="178"/>
      <c r="J1918" s="178"/>
      <c r="K1918" s="178">
        <f t="shared" si="75"/>
        <v>0</v>
      </c>
      <c r="L1918" s="190"/>
      <c r="M1918" s="178"/>
      <c r="N1918" s="178"/>
      <c r="O1918" s="178"/>
      <c r="P1918" s="231"/>
      <c r="Q1918" s="224"/>
    </row>
    <row r="1919" spans="1:19" s="225" customFormat="1" ht="21" x14ac:dyDescent="0.25">
      <c r="A1919" s="229"/>
      <c r="B1919" s="230" t="str">
        <f t="shared" si="73"/>
        <v>BOCA DE LOBO DUPLA EXISTENTE COM BOCA DE LOBO TRIPLA PROJETADA</v>
      </c>
      <c r="C1919" s="177"/>
      <c r="D1919" s="178"/>
      <c r="E1919" s="178">
        <f t="shared" si="74"/>
        <v>4.04</v>
      </c>
      <c r="F1919" s="178"/>
      <c r="G1919" s="178"/>
      <c r="H1919" s="178"/>
      <c r="I1919" s="178"/>
      <c r="J1919" s="178"/>
      <c r="K1919" s="178">
        <f t="shared" si="75"/>
        <v>0</v>
      </c>
      <c r="L1919" s="190"/>
      <c r="M1919" s="178"/>
      <c r="N1919" s="178"/>
      <c r="O1919" s="178"/>
      <c r="P1919" s="231"/>
      <c r="Q1919" s="224"/>
    </row>
    <row r="1920" spans="1:19" s="225" customFormat="1" ht="21" x14ac:dyDescent="0.25">
      <c r="A1920" s="229"/>
      <c r="B1920" s="230" t="str">
        <f t="shared" si="73"/>
        <v>BOCA DE LOBO TRIPLA EXISTENTE COM BOCA DE LOBO SIMPLES PROJETADA</v>
      </c>
      <c r="C1920" s="177"/>
      <c r="D1920" s="178"/>
      <c r="E1920" s="178">
        <f t="shared" si="74"/>
        <v>1.69</v>
      </c>
      <c r="F1920" s="178"/>
      <c r="G1920" s="178"/>
      <c r="H1920" s="178"/>
      <c r="I1920" s="178"/>
      <c r="J1920" s="178"/>
      <c r="K1920" s="178">
        <f t="shared" si="75"/>
        <v>0</v>
      </c>
      <c r="L1920" s="190"/>
      <c r="M1920" s="178"/>
      <c r="N1920" s="178"/>
      <c r="O1920" s="178"/>
      <c r="P1920" s="231"/>
      <c r="Q1920" s="224"/>
    </row>
    <row r="1921" spans="1:19" s="225" customFormat="1" ht="21" x14ac:dyDescent="0.25">
      <c r="A1921" s="229"/>
      <c r="B1921" s="230" t="str">
        <f t="shared" si="73"/>
        <v>BOCA DE LOBO TRIPLA EXISTENTE COM BOCA DE LOBO DUPLA PROJETADA</v>
      </c>
      <c r="C1921" s="177"/>
      <c r="D1921" s="178"/>
      <c r="E1921" s="178">
        <f t="shared" si="74"/>
        <v>2.88</v>
      </c>
      <c r="F1921" s="178"/>
      <c r="G1921" s="178"/>
      <c r="H1921" s="178"/>
      <c r="I1921" s="178"/>
      <c r="J1921" s="178"/>
      <c r="K1921" s="178">
        <f t="shared" si="75"/>
        <v>0</v>
      </c>
      <c r="L1921" s="190"/>
      <c r="M1921" s="178"/>
      <c r="N1921" s="178"/>
      <c r="O1921" s="178"/>
      <c r="P1921" s="231"/>
      <c r="Q1921" s="224"/>
    </row>
    <row r="1922" spans="1:19" s="225" customFormat="1" ht="21" x14ac:dyDescent="0.25">
      <c r="A1922" s="229"/>
      <c r="B1922" s="230" t="str">
        <f t="shared" si="73"/>
        <v>BOCA DE LOBO TRIPLA EXISTENTE COM BOCA DE LOBO TRIPLA PROJETADA</v>
      </c>
      <c r="C1922" s="177"/>
      <c r="D1922" s="178"/>
      <c r="E1922" s="178">
        <f t="shared" si="74"/>
        <v>4.04</v>
      </c>
      <c r="F1922" s="178"/>
      <c r="G1922" s="178"/>
      <c r="H1922" s="178"/>
      <c r="I1922" s="178"/>
      <c r="J1922" s="178"/>
      <c r="K1922" s="178">
        <f t="shared" si="75"/>
        <v>0</v>
      </c>
      <c r="L1922" s="190"/>
      <c r="M1922" s="178"/>
      <c r="N1922" s="178"/>
      <c r="O1922" s="178"/>
      <c r="P1922" s="231"/>
      <c r="Q1922" s="224"/>
    </row>
    <row r="1923" spans="1:19" s="225" customFormat="1" ht="10.5" x14ac:dyDescent="0.25">
      <c r="A1923" s="229"/>
      <c r="B1923" s="230" t="str">
        <f t="shared" si="73"/>
        <v>BOCA DE LOBO PROJETADA SIMPLES</v>
      </c>
      <c r="C1923" s="177"/>
      <c r="D1923" s="178"/>
      <c r="E1923" s="178">
        <f t="shared" si="74"/>
        <v>2.38</v>
      </c>
      <c r="F1923" s="178"/>
      <c r="G1923" s="178"/>
      <c r="H1923" s="178"/>
      <c r="I1923" s="178"/>
      <c r="J1923" s="178"/>
      <c r="K1923" s="178">
        <f t="shared" si="75"/>
        <v>0</v>
      </c>
      <c r="L1923" s="190"/>
      <c r="M1923" s="178"/>
      <c r="N1923" s="178"/>
      <c r="O1923" s="178"/>
      <c r="P1923" s="231"/>
      <c r="Q1923" s="224"/>
    </row>
    <row r="1924" spans="1:19" s="225" customFormat="1" ht="10.5" x14ac:dyDescent="0.25">
      <c r="A1924" s="229"/>
      <c r="B1924" s="230" t="str">
        <f t="shared" si="73"/>
        <v>BOCA DE LOBO PROJETADA DUPLA</v>
      </c>
      <c r="C1924" s="177"/>
      <c r="D1924" s="178"/>
      <c r="E1924" s="178">
        <f t="shared" si="74"/>
        <v>3.57</v>
      </c>
      <c r="F1924" s="178"/>
      <c r="G1924" s="178"/>
      <c r="H1924" s="178"/>
      <c r="I1924" s="178"/>
      <c r="J1924" s="178"/>
      <c r="K1924" s="178">
        <f t="shared" si="75"/>
        <v>1</v>
      </c>
      <c r="L1924" s="190"/>
      <c r="M1924" s="178"/>
      <c r="N1924" s="178"/>
      <c r="O1924" s="178"/>
      <c r="P1924" s="231"/>
      <c r="Q1924" s="224"/>
    </row>
    <row r="1925" spans="1:19" s="225" customFormat="1" ht="10.5" x14ac:dyDescent="0.25">
      <c r="A1925" s="229"/>
      <c r="B1925" s="230" t="str">
        <f t="shared" si="73"/>
        <v>BOCA DE LOBO PROJETADA TRIPLA</v>
      </c>
      <c r="C1925" s="177"/>
      <c r="D1925" s="178"/>
      <c r="E1925" s="178">
        <f t="shared" si="74"/>
        <v>4.76</v>
      </c>
      <c r="F1925" s="178"/>
      <c r="G1925" s="178"/>
      <c r="H1925" s="178"/>
      <c r="I1925" s="178"/>
      <c r="J1925" s="178"/>
      <c r="K1925" s="178">
        <f t="shared" si="75"/>
        <v>24</v>
      </c>
      <c r="L1925" s="190"/>
      <c r="M1925" s="178"/>
      <c r="N1925" s="178"/>
      <c r="O1925" s="178"/>
      <c r="P1925" s="231"/>
      <c r="Q1925" s="224"/>
    </row>
    <row r="1926" spans="1:19" s="225" customFormat="1" ht="10.5" x14ac:dyDescent="0.25">
      <c r="A1926" s="229"/>
      <c r="B1926" s="230"/>
      <c r="C1926" s="177"/>
      <c r="D1926" s="178"/>
      <c r="E1926" s="178"/>
      <c r="F1926" s="178"/>
      <c r="G1926" s="178"/>
      <c r="H1926" s="178"/>
      <c r="I1926" s="178"/>
      <c r="J1926" s="178"/>
      <c r="K1926" s="178"/>
      <c r="L1926" s="190"/>
      <c r="M1926" s="178"/>
      <c r="N1926" s="178"/>
      <c r="O1926" s="178"/>
      <c r="P1926" s="231"/>
      <c r="Q1926" s="224"/>
    </row>
    <row r="1927" spans="1:19" s="225" customFormat="1" ht="10.5" x14ac:dyDescent="0.25">
      <c r="A1927" s="229"/>
      <c r="B1927" s="232" t="s">
        <v>5</v>
      </c>
      <c r="C1927" s="182" t="s">
        <v>1328</v>
      </c>
      <c r="D1927" s="182"/>
      <c r="E1927" s="182">
        <f>SUMPRODUCT(E1914:E1925,K1914:K1925)</f>
        <v>195.31</v>
      </c>
      <c r="F1927" s="182"/>
      <c r="G1927" s="182"/>
      <c r="H1927" s="182"/>
      <c r="I1927" s="182"/>
      <c r="J1927" s="182"/>
      <c r="K1927" s="182"/>
      <c r="L1927" s="182"/>
      <c r="M1927" s="182"/>
      <c r="N1927" s="182"/>
      <c r="O1927" s="182"/>
      <c r="P1927" s="233"/>
      <c r="Q1927" s="224"/>
    </row>
    <row r="1928" spans="1:19" s="235" customFormat="1" ht="21" x14ac:dyDescent="0.35">
      <c r="A1928" s="226" t="str">
        <f>ORÇAMENTO!A363</f>
        <v>5.1.1.5.4</v>
      </c>
      <c r="B1928" s="227" t="str">
        <f>VLOOKUP(A1928,ORÇAMENTO!A:K,4,0)</f>
        <v>RECONSTRUCAO DE MEIO-FIO EM CONCRETO 10CM MOLDADO NO LOCAL</v>
      </c>
      <c r="C1928" s="173" t="str">
        <f>VLOOKUP(A1928,ORÇAMENTO!A:K,5,0)</f>
        <v>M</v>
      </c>
      <c r="D1928" s="173">
        <f>SUM(E1943:O1943)</f>
        <v>43</v>
      </c>
      <c r="E1928" s="173" t="s">
        <v>1718</v>
      </c>
      <c r="F1928" s="173" t="s">
        <v>1882</v>
      </c>
      <c r="G1928" s="173" t="s">
        <v>1720</v>
      </c>
      <c r="H1928" s="173" t="s">
        <v>1721</v>
      </c>
      <c r="I1928" s="173" t="s">
        <v>1722</v>
      </c>
      <c r="J1928" s="173" t="s">
        <v>1723</v>
      </c>
      <c r="K1928" s="173" t="s">
        <v>1758</v>
      </c>
      <c r="L1928" s="173" t="s">
        <v>1753</v>
      </c>
      <c r="M1928" s="173" t="s">
        <v>1750</v>
      </c>
      <c r="N1928" s="173" t="s">
        <v>1727</v>
      </c>
      <c r="O1928" s="173" t="s">
        <v>1728</v>
      </c>
      <c r="P1928" s="224"/>
      <c r="Q1928" s="224"/>
      <c r="R1928" s="224"/>
      <c r="S1928" s="224"/>
    </row>
    <row r="1929" spans="1:19" s="225" customFormat="1" ht="10.5" x14ac:dyDescent="0.25">
      <c r="A1929" s="229"/>
      <c r="B1929" s="230"/>
      <c r="C1929" s="177"/>
      <c r="D1929" s="178"/>
      <c r="E1929" s="178"/>
      <c r="F1929" s="178"/>
      <c r="G1929" s="178"/>
      <c r="H1929" s="178"/>
      <c r="I1929" s="178"/>
      <c r="J1929" s="178"/>
      <c r="K1929" s="178"/>
      <c r="L1929" s="190"/>
      <c r="M1929" s="178"/>
      <c r="N1929" s="178"/>
      <c r="O1929" s="178"/>
      <c r="P1929" s="231"/>
      <c r="Q1929" s="224"/>
    </row>
    <row r="1930" spans="1:19" s="225" customFormat="1" ht="21" x14ac:dyDescent="0.25">
      <c r="A1930" s="229"/>
      <c r="B1930" s="230" t="str">
        <f t="shared" ref="B1930:B1941" si="76">B1914</f>
        <v>BOCA DE LOBO SIMPLES EXISTENTE COM BOCA DE LOBO DUPLA PROJETADA</v>
      </c>
      <c r="C1930" s="177"/>
      <c r="D1930" s="178"/>
      <c r="E1930" s="178">
        <f t="shared" ref="E1930:E1941" si="77">E1914-E1898</f>
        <v>0.5</v>
      </c>
      <c r="F1930" s="178"/>
      <c r="G1930" s="178"/>
      <c r="H1930" s="178"/>
      <c r="I1930" s="178"/>
      <c r="J1930" s="178"/>
      <c r="K1930" s="230">
        <f t="shared" ref="K1930:K1941" si="78">K1914</f>
        <v>14</v>
      </c>
      <c r="L1930" s="190"/>
      <c r="M1930" s="178"/>
      <c r="N1930" s="178"/>
      <c r="O1930" s="178"/>
      <c r="P1930" s="231"/>
      <c r="Q1930" s="224"/>
    </row>
    <row r="1931" spans="1:19" s="225" customFormat="1" ht="21" x14ac:dyDescent="0.25">
      <c r="A1931" s="229"/>
      <c r="B1931" s="230" t="str">
        <f t="shared" si="76"/>
        <v>BOCA DE LOBO SIMPLES EXISTENTE COM BOCA DE LOBO SIMPLES PROJETADA</v>
      </c>
      <c r="C1931" s="177"/>
      <c r="D1931" s="178"/>
      <c r="E1931" s="178">
        <f t="shared" si="77"/>
        <v>0.5</v>
      </c>
      <c r="F1931" s="178"/>
      <c r="G1931" s="178"/>
      <c r="H1931" s="178"/>
      <c r="I1931" s="178"/>
      <c r="J1931" s="178"/>
      <c r="K1931" s="230">
        <f t="shared" si="78"/>
        <v>0</v>
      </c>
      <c r="L1931" s="190"/>
      <c r="M1931" s="178"/>
      <c r="N1931" s="178"/>
      <c r="O1931" s="178"/>
      <c r="P1931" s="231"/>
      <c r="Q1931" s="224"/>
    </row>
    <row r="1932" spans="1:19" s="225" customFormat="1" ht="21" x14ac:dyDescent="0.25">
      <c r="A1932" s="229"/>
      <c r="B1932" s="230" t="str">
        <f t="shared" si="76"/>
        <v>BOCA DE LOBO SIMPLES EXISTENTE COM BOCA DE LOBO TRIPLA PROJETADA</v>
      </c>
      <c r="C1932" s="177"/>
      <c r="D1932" s="178"/>
      <c r="E1932" s="178">
        <f t="shared" si="77"/>
        <v>0.5</v>
      </c>
      <c r="F1932" s="178"/>
      <c r="G1932" s="178"/>
      <c r="H1932" s="178"/>
      <c r="I1932" s="178"/>
      <c r="J1932" s="178"/>
      <c r="K1932" s="230">
        <f t="shared" si="78"/>
        <v>0</v>
      </c>
      <c r="L1932" s="190"/>
      <c r="M1932" s="178"/>
      <c r="N1932" s="178"/>
      <c r="O1932" s="178"/>
      <c r="P1932" s="231"/>
      <c r="Q1932" s="224"/>
    </row>
    <row r="1933" spans="1:19" s="225" customFormat="1" ht="21" x14ac:dyDescent="0.25">
      <c r="A1933" s="229"/>
      <c r="B1933" s="230" t="str">
        <f t="shared" si="76"/>
        <v>BOCA DE LOBO DUPLA EXISTENTE COM BOCA DE LOBO SIMPLES PROJETADA</v>
      </c>
      <c r="C1933" s="177"/>
      <c r="D1933" s="178"/>
      <c r="E1933" s="178">
        <f t="shared" si="77"/>
        <v>0.5</v>
      </c>
      <c r="F1933" s="178"/>
      <c r="G1933" s="178"/>
      <c r="H1933" s="178"/>
      <c r="I1933" s="178"/>
      <c r="J1933" s="178"/>
      <c r="K1933" s="230">
        <f t="shared" si="78"/>
        <v>22</v>
      </c>
      <c r="L1933" s="190"/>
      <c r="M1933" s="178"/>
      <c r="N1933" s="178"/>
      <c r="O1933" s="178"/>
      <c r="P1933" s="231"/>
      <c r="Q1933" s="224"/>
    </row>
    <row r="1934" spans="1:19" s="225" customFormat="1" ht="21" x14ac:dyDescent="0.25">
      <c r="A1934" s="229"/>
      <c r="B1934" s="230" t="str">
        <f t="shared" si="76"/>
        <v>BOCA DE LOBO DUPLA EXISTENTE COM BOCA DE LOBO DUPLA PROJETADA</v>
      </c>
      <c r="C1934" s="177"/>
      <c r="D1934" s="178"/>
      <c r="E1934" s="178">
        <f t="shared" si="77"/>
        <v>0.5</v>
      </c>
      <c r="F1934" s="178"/>
      <c r="G1934" s="178"/>
      <c r="H1934" s="178"/>
      <c r="I1934" s="178"/>
      <c r="J1934" s="178"/>
      <c r="K1934" s="230">
        <f t="shared" si="78"/>
        <v>0</v>
      </c>
      <c r="L1934" s="190"/>
      <c r="M1934" s="178"/>
      <c r="N1934" s="178"/>
      <c r="O1934" s="178"/>
      <c r="P1934" s="231"/>
      <c r="Q1934" s="224"/>
    </row>
    <row r="1935" spans="1:19" s="225" customFormat="1" ht="21" x14ac:dyDescent="0.25">
      <c r="A1935" s="229"/>
      <c r="B1935" s="230" t="str">
        <f t="shared" si="76"/>
        <v>BOCA DE LOBO DUPLA EXISTENTE COM BOCA DE LOBO TRIPLA PROJETADA</v>
      </c>
      <c r="C1935" s="177"/>
      <c r="D1935" s="178"/>
      <c r="E1935" s="178">
        <f t="shared" si="77"/>
        <v>0.5</v>
      </c>
      <c r="F1935" s="178"/>
      <c r="G1935" s="178"/>
      <c r="H1935" s="178"/>
      <c r="I1935" s="178"/>
      <c r="J1935" s="178"/>
      <c r="K1935" s="230">
        <f t="shared" si="78"/>
        <v>0</v>
      </c>
      <c r="L1935" s="190"/>
      <c r="M1935" s="178"/>
      <c r="N1935" s="178"/>
      <c r="O1935" s="178"/>
      <c r="P1935" s="231"/>
      <c r="Q1935" s="224"/>
    </row>
    <row r="1936" spans="1:19" s="225" customFormat="1" ht="21" x14ac:dyDescent="0.25">
      <c r="A1936" s="229"/>
      <c r="B1936" s="230" t="str">
        <f t="shared" si="76"/>
        <v>BOCA DE LOBO TRIPLA EXISTENTE COM BOCA DE LOBO SIMPLES PROJETADA</v>
      </c>
      <c r="C1936" s="177"/>
      <c r="D1936" s="178"/>
      <c r="E1936" s="178">
        <f t="shared" si="77"/>
        <v>0.5</v>
      </c>
      <c r="F1936" s="178"/>
      <c r="G1936" s="178"/>
      <c r="H1936" s="178"/>
      <c r="I1936" s="178"/>
      <c r="J1936" s="178"/>
      <c r="K1936" s="230">
        <f t="shared" si="78"/>
        <v>0</v>
      </c>
      <c r="L1936" s="190"/>
      <c r="M1936" s="178"/>
      <c r="N1936" s="178"/>
      <c r="O1936" s="178"/>
      <c r="P1936" s="231"/>
      <c r="Q1936" s="224"/>
    </row>
    <row r="1937" spans="1:19" s="225" customFormat="1" ht="21" x14ac:dyDescent="0.25">
      <c r="A1937" s="229"/>
      <c r="B1937" s="230" t="str">
        <f t="shared" si="76"/>
        <v>BOCA DE LOBO TRIPLA EXISTENTE COM BOCA DE LOBO DUPLA PROJETADA</v>
      </c>
      <c r="C1937" s="177"/>
      <c r="D1937" s="178"/>
      <c r="E1937" s="178">
        <f t="shared" si="77"/>
        <v>0.5</v>
      </c>
      <c r="F1937" s="178"/>
      <c r="G1937" s="178"/>
      <c r="H1937" s="178"/>
      <c r="I1937" s="178"/>
      <c r="J1937" s="178"/>
      <c r="K1937" s="230">
        <f t="shared" si="78"/>
        <v>0</v>
      </c>
      <c r="L1937" s="190"/>
      <c r="M1937" s="178"/>
      <c r="N1937" s="178"/>
      <c r="O1937" s="178"/>
      <c r="P1937" s="231"/>
      <c r="Q1937" s="224"/>
    </row>
    <row r="1938" spans="1:19" s="225" customFormat="1" ht="21" x14ac:dyDescent="0.25">
      <c r="A1938" s="229"/>
      <c r="B1938" s="230" t="str">
        <f t="shared" si="76"/>
        <v>BOCA DE LOBO TRIPLA EXISTENTE COM BOCA DE LOBO TRIPLA PROJETADA</v>
      </c>
      <c r="C1938" s="177"/>
      <c r="D1938" s="178"/>
      <c r="E1938" s="178">
        <f t="shared" si="77"/>
        <v>0.5</v>
      </c>
      <c r="F1938" s="178"/>
      <c r="G1938" s="178"/>
      <c r="H1938" s="178"/>
      <c r="I1938" s="178"/>
      <c r="J1938" s="178"/>
      <c r="K1938" s="230">
        <f t="shared" si="78"/>
        <v>0</v>
      </c>
      <c r="L1938" s="190"/>
      <c r="M1938" s="178"/>
      <c r="N1938" s="178"/>
      <c r="O1938" s="178"/>
      <c r="P1938" s="231"/>
      <c r="Q1938" s="224"/>
    </row>
    <row r="1939" spans="1:19" s="225" customFormat="1" ht="10.5" x14ac:dyDescent="0.25">
      <c r="A1939" s="229"/>
      <c r="B1939" s="230" t="str">
        <f t="shared" si="76"/>
        <v>BOCA DE LOBO PROJETADA SIMPLES</v>
      </c>
      <c r="C1939" s="177"/>
      <c r="D1939" s="178"/>
      <c r="E1939" s="178">
        <f t="shared" si="77"/>
        <v>1</v>
      </c>
      <c r="F1939" s="178"/>
      <c r="G1939" s="178"/>
      <c r="H1939" s="178"/>
      <c r="I1939" s="178"/>
      <c r="J1939" s="178"/>
      <c r="K1939" s="230">
        <f t="shared" si="78"/>
        <v>0</v>
      </c>
      <c r="L1939" s="190"/>
      <c r="M1939" s="178"/>
      <c r="N1939" s="178"/>
      <c r="O1939" s="178"/>
      <c r="P1939" s="231"/>
      <c r="Q1939" s="224"/>
    </row>
    <row r="1940" spans="1:19" s="225" customFormat="1" ht="10.5" x14ac:dyDescent="0.25">
      <c r="A1940" s="229"/>
      <c r="B1940" s="230" t="str">
        <f t="shared" si="76"/>
        <v>BOCA DE LOBO PROJETADA DUPLA</v>
      </c>
      <c r="C1940" s="177"/>
      <c r="D1940" s="178"/>
      <c r="E1940" s="178">
        <f t="shared" si="77"/>
        <v>1</v>
      </c>
      <c r="F1940" s="178"/>
      <c r="G1940" s="178"/>
      <c r="H1940" s="178"/>
      <c r="I1940" s="178"/>
      <c r="J1940" s="178"/>
      <c r="K1940" s="230">
        <f t="shared" si="78"/>
        <v>1</v>
      </c>
      <c r="L1940" s="190"/>
      <c r="M1940" s="178"/>
      <c r="N1940" s="178"/>
      <c r="O1940" s="178"/>
      <c r="P1940" s="231"/>
      <c r="Q1940" s="224"/>
    </row>
    <row r="1941" spans="1:19" s="225" customFormat="1" ht="10.5" x14ac:dyDescent="0.25">
      <c r="A1941" s="229"/>
      <c r="B1941" s="230" t="str">
        <f t="shared" si="76"/>
        <v>BOCA DE LOBO PROJETADA TRIPLA</v>
      </c>
      <c r="C1941" s="177"/>
      <c r="D1941" s="178"/>
      <c r="E1941" s="178">
        <f t="shared" si="77"/>
        <v>1</v>
      </c>
      <c r="F1941" s="178"/>
      <c r="G1941" s="178"/>
      <c r="H1941" s="178"/>
      <c r="I1941" s="178"/>
      <c r="J1941" s="178"/>
      <c r="K1941" s="230">
        <f t="shared" si="78"/>
        <v>24</v>
      </c>
      <c r="L1941" s="190"/>
      <c r="M1941" s="178"/>
      <c r="N1941" s="178"/>
      <c r="O1941" s="178"/>
      <c r="P1941" s="231"/>
      <c r="Q1941" s="224"/>
    </row>
    <row r="1942" spans="1:19" s="225" customFormat="1" ht="10.5" x14ac:dyDescent="0.25">
      <c r="A1942" s="229"/>
      <c r="B1942" s="230"/>
      <c r="C1942" s="177"/>
      <c r="D1942" s="178"/>
      <c r="E1942" s="178"/>
      <c r="F1942" s="178"/>
      <c r="G1942" s="178"/>
      <c r="H1942" s="178"/>
      <c r="I1942" s="178"/>
      <c r="J1942" s="178"/>
      <c r="K1942" s="178"/>
      <c r="L1942" s="190"/>
      <c r="M1942" s="178"/>
      <c r="N1942" s="178"/>
      <c r="O1942" s="178"/>
      <c r="P1942" s="231"/>
      <c r="Q1942" s="224"/>
    </row>
    <row r="1943" spans="1:19" s="225" customFormat="1" ht="10.5" x14ac:dyDescent="0.25">
      <c r="A1943" s="229"/>
      <c r="B1943" s="232" t="s">
        <v>5</v>
      </c>
      <c r="C1943" s="182" t="s">
        <v>1328</v>
      </c>
      <c r="D1943" s="182"/>
      <c r="E1943" s="182">
        <f>SUMPRODUCT(E1930:E1942,K1930:K1942)</f>
        <v>43</v>
      </c>
      <c r="F1943" s="182"/>
      <c r="G1943" s="182"/>
      <c r="H1943" s="182"/>
      <c r="I1943" s="182"/>
      <c r="J1943" s="182"/>
      <c r="K1943" s="182"/>
      <c r="L1943" s="182"/>
      <c r="M1943" s="182"/>
      <c r="N1943" s="182"/>
      <c r="O1943" s="182"/>
      <c r="P1943" s="233"/>
      <c r="Q1943" s="224"/>
    </row>
    <row r="1944" spans="1:19" s="235" customFormat="1" ht="52.5" x14ac:dyDescent="0.35">
      <c r="A1944" s="226" t="str">
        <f>ORÇAMENTO!A364</f>
        <v>5.1.1.5.5</v>
      </c>
      <c r="B1944" s="227" t="str">
        <f>VLOOKUP(A1944,ORÇAMENTO!A:K,4,0)</f>
        <v>CARGA, MANOBRA E DESCARGA DE ENTULHO EM CAMINHÃO BASCULANTE 14 M³ - CARGA COM ESCAVADEIRA HIDRÁULICA  (CAÇAMBA DE 0,80 M³ / 111 HP) E DESCARGA LIVRE (UNIDADE: M3). AF_07/2020</v>
      </c>
      <c r="C1944" s="173" t="str">
        <f>VLOOKUP(A1944,ORÇAMENTO!A:K,5,0)</f>
        <v>M³</v>
      </c>
      <c r="D1944" s="173">
        <f>SUM(E1959:O1959)</f>
        <v>1160.2351487999999</v>
      </c>
      <c r="E1944" s="173" t="s">
        <v>1718</v>
      </c>
      <c r="F1944" s="173" t="s">
        <v>1719</v>
      </c>
      <c r="G1944" s="173" t="s">
        <v>1720</v>
      </c>
      <c r="H1944" s="173" t="s">
        <v>1721</v>
      </c>
      <c r="I1944" s="173" t="s">
        <v>1722</v>
      </c>
      <c r="J1944" s="173" t="s">
        <v>1723</v>
      </c>
      <c r="K1944" s="173" t="s">
        <v>1758</v>
      </c>
      <c r="L1944" s="173" t="s">
        <v>1753</v>
      </c>
      <c r="M1944" s="173" t="s">
        <v>1750</v>
      </c>
      <c r="N1944" s="173" t="s">
        <v>1727</v>
      </c>
      <c r="O1944" s="173" t="s">
        <v>1728</v>
      </c>
      <c r="P1944" s="224"/>
      <c r="Q1944" s="224"/>
      <c r="R1944" s="224"/>
      <c r="S1944" s="224"/>
    </row>
    <row r="1945" spans="1:19" s="225" customFormat="1" ht="10.5" x14ac:dyDescent="0.25">
      <c r="A1945" s="229"/>
      <c r="B1945" s="230"/>
      <c r="C1945" s="177"/>
      <c r="D1945" s="178"/>
      <c r="E1945" s="178"/>
      <c r="F1945" s="178"/>
      <c r="G1945" s="178"/>
      <c r="H1945" s="178"/>
      <c r="I1945" s="178"/>
      <c r="J1945" s="178"/>
      <c r="K1945" s="178"/>
      <c r="L1945" s="190"/>
      <c r="M1945" s="178"/>
      <c r="N1945" s="178"/>
      <c r="O1945" s="178"/>
      <c r="P1945" s="231"/>
      <c r="Q1945" s="224"/>
    </row>
    <row r="1946" spans="1:19" s="225" customFormat="1" ht="10.5" x14ac:dyDescent="0.25">
      <c r="A1946" s="229"/>
      <c r="B1946" s="230" t="s">
        <v>1762</v>
      </c>
      <c r="C1946" s="177"/>
      <c r="D1946" s="178"/>
      <c r="E1946" s="178"/>
      <c r="F1946" s="178"/>
      <c r="G1946" s="178"/>
      <c r="H1946" s="178"/>
      <c r="I1946" s="178"/>
      <c r="J1946" s="178"/>
      <c r="K1946" s="178"/>
      <c r="L1946" s="190"/>
      <c r="M1946" s="178"/>
      <c r="N1946" s="178"/>
      <c r="O1946" s="178">
        <f>O1897</f>
        <v>22.968456000000003</v>
      </c>
      <c r="P1946" s="231"/>
      <c r="Q1946" s="224"/>
    </row>
    <row r="1947" spans="1:19" s="225" customFormat="1" ht="10.5" x14ac:dyDescent="0.25">
      <c r="A1947" s="229"/>
      <c r="B1947" s="230" t="s">
        <v>1763</v>
      </c>
      <c r="C1947" s="177"/>
      <c r="D1947" s="178"/>
      <c r="E1947" s="178">
        <f>E1927</f>
        <v>195.31</v>
      </c>
      <c r="F1947" s="178">
        <v>0.1</v>
      </c>
      <c r="G1947" s="178"/>
      <c r="H1947" s="178">
        <v>0.15</v>
      </c>
      <c r="I1947" s="178"/>
      <c r="J1947" s="178"/>
      <c r="K1947" s="178"/>
      <c r="L1947" s="190"/>
      <c r="M1947" s="178"/>
      <c r="N1947" s="178"/>
      <c r="O1947" s="178">
        <f>E1947*F1947*H1947</f>
        <v>2.9296500000000001</v>
      </c>
      <c r="P1947" s="231"/>
      <c r="Q1947" s="224"/>
    </row>
    <row r="1948" spans="1:19" s="225" customFormat="1" ht="10.5" x14ac:dyDescent="0.25">
      <c r="A1948" s="229"/>
      <c r="B1948" s="230"/>
      <c r="C1948" s="177"/>
      <c r="D1948" s="178"/>
      <c r="E1948" s="178"/>
      <c r="F1948" s="178"/>
      <c r="G1948" s="178"/>
      <c r="H1948" s="178"/>
      <c r="I1948" s="178"/>
      <c r="J1948" s="178"/>
      <c r="K1948" s="178"/>
      <c r="L1948" s="190"/>
      <c r="M1948" s="178"/>
      <c r="N1948" s="178"/>
      <c r="O1948" s="178"/>
      <c r="P1948" s="231"/>
      <c r="Q1948" s="224"/>
    </row>
    <row r="1949" spans="1:19" s="225" customFormat="1" ht="10.5" x14ac:dyDescent="0.25">
      <c r="A1949" s="229"/>
      <c r="B1949" s="232" t="s">
        <v>5</v>
      </c>
      <c r="C1949" s="182" t="s">
        <v>1328</v>
      </c>
      <c r="D1949" s="182"/>
      <c r="E1949" s="182"/>
      <c r="F1949" s="182"/>
      <c r="G1949" s="182"/>
      <c r="H1949" s="182"/>
      <c r="I1949" s="182"/>
      <c r="J1949" s="182"/>
      <c r="K1949" s="182"/>
      <c r="L1949" s="182"/>
      <c r="M1949" s="182"/>
      <c r="N1949" s="182"/>
      <c r="O1949" s="182">
        <f>SUM(O1946:O1948)</f>
        <v>25.898106000000002</v>
      </c>
      <c r="P1949" s="233"/>
      <c r="Q1949" s="224"/>
    </row>
    <row r="1950" spans="1:19" s="235" customFormat="1" ht="31.5" x14ac:dyDescent="0.35">
      <c r="A1950" s="226" t="str">
        <f>ORÇAMENTO!A365</f>
        <v>5.1.1.5.6</v>
      </c>
      <c r="B1950" s="227" t="str">
        <f>VLOOKUP(A1950,ORÇAMENTO!A:K,4,0)</f>
        <v>TRANSPORTE COM CAMINHÃO BASCULANTE DE 14 M³, EM VIA URBANA PAVIMENTADA, DMT ATÉ 30 KM (UNIDADE: M3XKM). AF_07/2020</v>
      </c>
      <c r="C1950" s="173" t="str">
        <f>VLOOKUP(A1950,ORÇAMENTO!A:K,5,0)</f>
        <v>M3XKM</v>
      </c>
      <c r="D1950" s="173">
        <f>SUM(E1954:O1954)</f>
        <v>776.9431800000001</v>
      </c>
      <c r="E1950" s="173" t="s">
        <v>1718</v>
      </c>
      <c r="F1950" s="173" t="s">
        <v>1719</v>
      </c>
      <c r="G1950" s="173" t="s">
        <v>1720</v>
      </c>
      <c r="H1950" s="173" t="s">
        <v>1721</v>
      </c>
      <c r="I1950" s="173" t="s">
        <v>1722</v>
      </c>
      <c r="J1950" s="173" t="s">
        <v>1723</v>
      </c>
      <c r="K1950" s="173" t="s">
        <v>1758</v>
      </c>
      <c r="L1950" s="173" t="s">
        <v>1753</v>
      </c>
      <c r="M1950" s="173" t="s">
        <v>1750</v>
      </c>
      <c r="N1950" s="173" t="s">
        <v>1727</v>
      </c>
      <c r="O1950" s="173" t="s">
        <v>1728</v>
      </c>
      <c r="P1950" s="224"/>
      <c r="Q1950" s="224"/>
      <c r="R1950" s="224"/>
      <c r="S1950" s="224"/>
    </row>
    <row r="1951" spans="1:19" s="225" customFormat="1" ht="10.5" x14ac:dyDescent="0.25">
      <c r="A1951" s="229"/>
      <c r="B1951" s="230"/>
      <c r="C1951" s="177"/>
      <c r="D1951" s="178"/>
      <c r="E1951" s="178"/>
      <c r="F1951" s="178"/>
      <c r="G1951" s="178"/>
      <c r="H1951" s="178"/>
      <c r="I1951" s="178"/>
      <c r="J1951" s="178"/>
      <c r="K1951" s="178"/>
      <c r="L1951" s="190"/>
      <c r="M1951" s="178"/>
      <c r="N1951" s="178"/>
      <c r="O1951" s="178"/>
      <c r="P1951" s="231"/>
      <c r="Q1951" s="224"/>
    </row>
    <row r="1952" spans="1:19" s="225" customFormat="1" ht="10.5" x14ac:dyDescent="0.25">
      <c r="A1952" s="229"/>
      <c r="B1952" s="230" t="s">
        <v>1751</v>
      </c>
      <c r="C1952" s="177"/>
      <c r="D1952" s="178"/>
      <c r="E1952" s="178">
        <v>30</v>
      </c>
      <c r="F1952" s="178"/>
      <c r="G1952" s="178"/>
      <c r="H1952" s="178"/>
      <c r="I1952" s="178"/>
      <c r="J1952" s="178"/>
      <c r="K1952" s="178"/>
      <c r="L1952" s="190"/>
      <c r="M1952" s="178">
        <f>O1952*E1952</f>
        <v>776.9431800000001</v>
      </c>
      <c r="N1952" s="178"/>
      <c r="O1952" s="178">
        <f>O1949</f>
        <v>25.898106000000002</v>
      </c>
      <c r="P1952" s="231"/>
      <c r="Q1952" s="224"/>
    </row>
    <row r="1953" spans="1:19" s="225" customFormat="1" ht="10.5" x14ac:dyDescent="0.25">
      <c r="A1953" s="229"/>
      <c r="B1953" s="230"/>
      <c r="C1953" s="177"/>
      <c r="D1953" s="178"/>
      <c r="E1953" s="178"/>
      <c r="F1953" s="178"/>
      <c r="G1953" s="178"/>
      <c r="H1953" s="178"/>
      <c r="I1953" s="178"/>
      <c r="J1953" s="178"/>
      <c r="K1953" s="178"/>
      <c r="L1953" s="190"/>
      <c r="M1953" s="178"/>
      <c r="N1953" s="178"/>
      <c r="O1953" s="178"/>
      <c r="P1953" s="231"/>
      <c r="Q1953" s="224"/>
    </row>
    <row r="1954" spans="1:19" s="225" customFormat="1" ht="10.5" x14ac:dyDescent="0.25">
      <c r="A1954" s="229"/>
      <c r="B1954" s="232" t="s">
        <v>5</v>
      </c>
      <c r="C1954" s="182" t="s">
        <v>1328</v>
      </c>
      <c r="D1954" s="182"/>
      <c r="E1954" s="182"/>
      <c r="F1954" s="182"/>
      <c r="G1954" s="182"/>
      <c r="H1954" s="182"/>
      <c r="I1954" s="182"/>
      <c r="J1954" s="182"/>
      <c r="K1954" s="182"/>
      <c r="L1954" s="182"/>
      <c r="M1954" s="182">
        <f>SUM(M1952:M1953)</f>
        <v>776.9431800000001</v>
      </c>
      <c r="N1954" s="182"/>
      <c r="O1954" s="182"/>
      <c r="P1954" s="233"/>
      <c r="Q1954" s="224"/>
    </row>
    <row r="1955" spans="1:19" s="235" customFormat="1" ht="42" x14ac:dyDescent="0.35">
      <c r="A1955" s="226" t="str">
        <f>ORÇAMENTO!A366</f>
        <v>5.1.1.5.7</v>
      </c>
      <c r="B1955" s="227" t="str">
        <f>VLOOKUP(A1955,ORÇAMENTO!A:K,4,0)</f>
        <v>TRANSPORTE COM CAMINHÃO BASCULANTE DE 14 M³, EM VIA URBANA PAVIMENTADA, ADICIONAL PARA DMT EXCEDENTE A 30 KM (UNIDADE: M3XKM). AF_07/2020</v>
      </c>
      <c r="C1955" s="173" t="str">
        <f>VLOOKUP(A1955,ORÇAMENTO!A:K,5,0)</f>
        <v>M3XKM</v>
      </c>
      <c r="D1955" s="173">
        <f>SUM(E1959:O1959)</f>
        <v>1160.2351487999999</v>
      </c>
      <c r="E1955" s="173" t="s">
        <v>1718</v>
      </c>
      <c r="F1955" s="173" t="s">
        <v>1719</v>
      </c>
      <c r="G1955" s="173" t="s">
        <v>1720</v>
      </c>
      <c r="H1955" s="173" t="s">
        <v>1721</v>
      </c>
      <c r="I1955" s="173" t="s">
        <v>1722</v>
      </c>
      <c r="J1955" s="173" t="s">
        <v>1723</v>
      </c>
      <c r="K1955" s="173" t="s">
        <v>1758</v>
      </c>
      <c r="L1955" s="173" t="s">
        <v>1753</v>
      </c>
      <c r="M1955" s="173" t="s">
        <v>1750</v>
      </c>
      <c r="N1955" s="173" t="s">
        <v>1727</v>
      </c>
      <c r="O1955" s="173" t="s">
        <v>1728</v>
      </c>
      <c r="P1955" s="224"/>
      <c r="Q1955" s="224"/>
      <c r="R1955" s="224"/>
      <c r="S1955" s="224"/>
    </row>
    <row r="1956" spans="1:19" s="225" customFormat="1" ht="10.5" x14ac:dyDescent="0.25">
      <c r="A1956" s="229"/>
      <c r="B1956" s="230"/>
      <c r="C1956" s="177"/>
      <c r="D1956" s="178"/>
      <c r="E1956" s="178"/>
      <c r="F1956" s="178"/>
      <c r="G1956" s="178"/>
      <c r="H1956" s="178"/>
      <c r="I1956" s="178"/>
      <c r="J1956" s="178"/>
      <c r="K1956" s="178"/>
      <c r="L1956" s="190"/>
      <c r="M1956" s="178"/>
      <c r="N1956" s="178"/>
      <c r="O1956" s="178"/>
      <c r="P1956" s="231"/>
      <c r="Q1956" s="224"/>
    </row>
    <row r="1957" spans="1:19" s="225" customFormat="1" ht="10.5" x14ac:dyDescent="0.25">
      <c r="A1957" s="229"/>
      <c r="B1957" s="230" t="s">
        <v>1751</v>
      </c>
      <c r="C1957" s="177"/>
      <c r="D1957" s="178"/>
      <c r="E1957" s="178">
        <f>74.8-E1952</f>
        <v>44.8</v>
      </c>
      <c r="F1957" s="178"/>
      <c r="G1957" s="178"/>
      <c r="H1957" s="178"/>
      <c r="I1957" s="178"/>
      <c r="J1957" s="178"/>
      <c r="K1957" s="178"/>
      <c r="L1957" s="190"/>
      <c r="M1957" s="178">
        <f>O1957*E1957</f>
        <v>1160.2351487999999</v>
      </c>
      <c r="N1957" s="178"/>
      <c r="O1957" s="178">
        <f>O1952</f>
        <v>25.898106000000002</v>
      </c>
      <c r="P1957" s="231"/>
      <c r="Q1957" s="224"/>
    </row>
    <row r="1958" spans="1:19" s="225" customFormat="1" ht="10.5" x14ac:dyDescent="0.25">
      <c r="A1958" s="229"/>
      <c r="B1958" s="230"/>
      <c r="C1958" s="177"/>
      <c r="D1958" s="178"/>
      <c r="E1958" s="178"/>
      <c r="F1958" s="178"/>
      <c r="G1958" s="178"/>
      <c r="H1958" s="178"/>
      <c r="I1958" s="178"/>
      <c r="J1958" s="178"/>
      <c r="K1958" s="178"/>
      <c r="L1958" s="190"/>
      <c r="M1958" s="178"/>
      <c r="N1958" s="178"/>
      <c r="O1958" s="178"/>
      <c r="P1958" s="231"/>
      <c r="Q1958" s="224"/>
    </row>
    <row r="1959" spans="1:19" s="225" customFormat="1" ht="10.5" x14ac:dyDescent="0.25">
      <c r="A1959" s="229"/>
      <c r="B1959" s="232" t="s">
        <v>5</v>
      </c>
      <c r="C1959" s="182" t="s">
        <v>1328</v>
      </c>
      <c r="D1959" s="182"/>
      <c r="E1959" s="182"/>
      <c r="F1959" s="182"/>
      <c r="G1959" s="182"/>
      <c r="H1959" s="182"/>
      <c r="I1959" s="182"/>
      <c r="J1959" s="182"/>
      <c r="K1959" s="182"/>
      <c r="L1959" s="182"/>
      <c r="M1959" s="182">
        <f>SUM(M1957:M1958)</f>
        <v>1160.2351487999999</v>
      </c>
      <c r="N1959" s="182"/>
      <c r="O1959" s="182"/>
      <c r="P1959" s="233"/>
      <c r="Q1959" s="224"/>
    </row>
    <row r="1960" spans="1:19" s="235" customFormat="1" ht="21" x14ac:dyDescent="0.35">
      <c r="A1960" s="226" t="str">
        <f>ORÇAMENTO!A367</f>
        <v>5.1.1.6</v>
      </c>
      <c r="B1960" s="227" t="str">
        <f>VLOOKUP(A1960,ORÇAMENTO!A:K,4,0)</f>
        <v>DEMOLIÇÕES DE PAREDES PARA AMPLIAÇÃO DE BOCA DE LOBO</v>
      </c>
      <c r="C1960" s="173"/>
      <c r="D1960" s="173"/>
      <c r="E1960" s="173"/>
      <c r="F1960" s="173"/>
      <c r="G1960" s="173"/>
      <c r="H1960" s="173"/>
      <c r="I1960" s="173"/>
      <c r="J1960" s="173"/>
      <c r="K1960" s="173"/>
      <c r="L1960" s="173"/>
      <c r="M1960" s="173"/>
      <c r="N1960" s="173"/>
      <c r="O1960" s="173"/>
      <c r="P1960" s="224"/>
      <c r="Q1960" s="224"/>
      <c r="R1960" s="224"/>
      <c r="S1960" s="224"/>
    </row>
    <row r="1961" spans="1:19" s="235" customFormat="1" ht="21" x14ac:dyDescent="0.35">
      <c r="A1961" s="226" t="str">
        <f>ORÇAMENTO!A368</f>
        <v>5.1.1.6.1</v>
      </c>
      <c r="B1961" s="227" t="str">
        <f>VLOOKUP(A1961,ORÇAMENTO!A:K,4,0)</f>
        <v>DEMOLIÇÃO MANUAL DE CONCRETO ARMADO</v>
      </c>
      <c r="C1961" s="173" t="str">
        <f>VLOOKUP(A1961,ORÇAMENTO!A:K,5,0)</f>
        <v>M³</v>
      </c>
      <c r="D1961" s="173">
        <f>SUM(E1964:O1964)</f>
        <v>1.5345190080000013</v>
      </c>
      <c r="E1961" s="173" t="s">
        <v>1718</v>
      </c>
      <c r="F1961" s="173" t="s">
        <v>1719</v>
      </c>
      <c r="G1961" s="173" t="s">
        <v>1720</v>
      </c>
      <c r="H1961" s="173" t="s">
        <v>1721</v>
      </c>
      <c r="I1961" s="173" t="s">
        <v>1722</v>
      </c>
      <c r="J1961" s="173" t="s">
        <v>1723</v>
      </c>
      <c r="K1961" s="173" t="s">
        <v>1758</v>
      </c>
      <c r="L1961" s="173" t="s">
        <v>1753</v>
      </c>
      <c r="M1961" s="173" t="s">
        <v>1750</v>
      </c>
      <c r="N1961" s="173" t="s">
        <v>1727</v>
      </c>
      <c r="O1961" s="173" t="s">
        <v>1728</v>
      </c>
      <c r="P1961" s="224"/>
      <c r="Q1961" s="224"/>
      <c r="R1961" s="224"/>
      <c r="S1961" s="224"/>
    </row>
    <row r="1962" spans="1:19" s="225" customFormat="1" ht="10.5" x14ac:dyDescent="0.25">
      <c r="A1962" s="229"/>
      <c r="B1962" s="230" t="s">
        <v>1883</v>
      </c>
      <c r="C1962" s="177"/>
      <c r="D1962" s="178"/>
      <c r="E1962" s="178"/>
      <c r="F1962" s="178"/>
      <c r="G1962" s="178"/>
      <c r="H1962" s="178"/>
      <c r="I1962" s="178"/>
      <c r="J1962" s="178"/>
      <c r="K1962" s="178"/>
      <c r="L1962" s="190"/>
      <c r="M1962" s="178"/>
      <c r="N1962" s="178"/>
      <c r="O1962" s="178">
        <f>QUANTBL!CS183</f>
        <v>1.5345190080000013</v>
      </c>
      <c r="P1962" s="231"/>
      <c r="Q1962" s="224"/>
    </row>
    <row r="1963" spans="1:19" s="225" customFormat="1" ht="10.5" x14ac:dyDescent="0.25">
      <c r="A1963" s="229"/>
      <c r="B1963" s="230"/>
      <c r="C1963" s="177"/>
      <c r="D1963" s="178"/>
      <c r="E1963" s="178"/>
      <c r="F1963" s="178"/>
      <c r="G1963" s="178"/>
      <c r="H1963" s="178"/>
      <c r="I1963" s="178"/>
      <c r="J1963" s="178"/>
      <c r="K1963" s="178"/>
      <c r="L1963" s="190"/>
      <c r="M1963" s="178"/>
      <c r="N1963" s="178"/>
      <c r="O1963" s="178"/>
      <c r="P1963" s="231"/>
      <c r="Q1963" s="224"/>
    </row>
    <row r="1964" spans="1:19" s="225" customFormat="1" ht="10.5" x14ac:dyDescent="0.25">
      <c r="A1964" s="229"/>
      <c r="B1964" s="232" t="s">
        <v>5</v>
      </c>
      <c r="C1964" s="177"/>
      <c r="D1964" s="178"/>
      <c r="E1964" s="178"/>
      <c r="F1964" s="178"/>
      <c r="G1964" s="178"/>
      <c r="H1964" s="178"/>
      <c r="I1964" s="178"/>
      <c r="J1964" s="178"/>
      <c r="K1964" s="178"/>
      <c r="L1964" s="190"/>
      <c r="M1964" s="178"/>
      <c r="N1964" s="178"/>
      <c r="O1964" s="182">
        <f>SUM(O1962)</f>
        <v>1.5345190080000013</v>
      </c>
      <c r="P1964" s="231"/>
      <c r="Q1964" s="224"/>
    </row>
    <row r="1965" spans="1:19" s="235" customFormat="1" ht="31.5" x14ac:dyDescent="0.35">
      <c r="A1965" s="226" t="str">
        <f>ORÇAMENTO!A369</f>
        <v>5.1.1.6.2</v>
      </c>
      <c r="B1965" s="227" t="str">
        <f>VLOOKUP(A1965,ORÇAMENTO!A:K,4,0)</f>
        <v>DEMOLIÇÃO DE ALVENARIA DE BLOCO FURADO, DE FORMA MANUAL, SEM REAPROVEITAMENTO. AF_09/2023</v>
      </c>
      <c r="C1965" s="173" t="str">
        <f>VLOOKUP(A1965,ORÇAMENTO!A:K,5,0)</f>
        <v>M³</v>
      </c>
      <c r="D1965" s="173">
        <f>SUM(E1968:O1968)</f>
        <v>30.958136000000021</v>
      </c>
      <c r="E1965" s="173" t="s">
        <v>1718</v>
      </c>
      <c r="F1965" s="173" t="s">
        <v>1719</v>
      </c>
      <c r="G1965" s="173" t="s">
        <v>1720</v>
      </c>
      <c r="H1965" s="173" t="s">
        <v>1721</v>
      </c>
      <c r="I1965" s="173" t="s">
        <v>1722</v>
      </c>
      <c r="J1965" s="173" t="s">
        <v>1723</v>
      </c>
      <c r="K1965" s="173" t="s">
        <v>1758</v>
      </c>
      <c r="L1965" s="173" t="s">
        <v>1753</v>
      </c>
      <c r="M1965" s="173" t="s">
        <v>1750</v>
      </c>
      <c r="N1965" s="173" t="s">
        <v>1727</v>
      </c>
      <c r="O1965" s="173" t="s">
        <v>1728</v>
      </c>
      <c r="P1965" s="224"/>
      <c r="Q1965" s="224"/>
      <c r="R1965" s="224"/>
      <c r="S1965" s="224"/>
    </row>
    <row r="1966" spans="1:19" s="225" customFormat="1" ht="10.5" x14ac:dyDescent="0.25">
      <c r="A1966" s="229"/>
      <c r="B1966" s="230" t="s">
        <v>1883</v>
      </c>
      <c r="C1966" s="177"/>
      <c r="D1966" s="178"/>
      <c r="E1966" s="178"/>
      <c r="F1966" s="178"/>
      <c r="G1966" s="178"/>
      <c r="H1966" s="178"/>
      <c r="I1966" s="178"/>
      <c r="J1966" s="178"/>
      <c r="K1966" s="178"/>
      <c r="L1966" s="190"/>
      <c r="M1966" s="178"/>
      <c r="N1966" s="178"/>
      <c r="O1966" s="178">
        <f>QUANTBL!CR183</f>
        <v>30.958136000000021</v>
      </c>
      <c r="P1966" s="231"/>
      <c r="Q1966" s="224"/>
    </row>
    <row r="1967" spans="1:19" s="225" customFormat="1" ht="10.5" x14ac:dyDescent="0.25">
      <c r="A1967" s="229"/>
      <c r="B1967" s="230"/>
      <c r="C1967" s="177"/>
      <c r="D1967" s="178"/>
      <c r="E1967" s="178"/>
      <c r="F1967" s="178"/>
      <c r="G1967" s="178"/>
      <c r="H1967" s="178"/>
      <c r="I1967" s="178"/>
      <c r="J1967" s="178"/>
      <c r="K1967" s="178"/>
      <c r="L1967" s="190"/>
      <c r="M1967" s="178"/>
      <c r="N1967" s="178"/>
      <c r="O1967" s="178"/>
      <c r="P1967" s="231"/>
      <c r="Q1967" s="224"/>
    </row>
    <row r="1968" spans="1:19" s="225" customFormat="1" ht="10.5" x14ac:dyDescent="0.25">
      <c r="A1968" s="229"/>
      <c r="B1968" s="232" t="s">
        <v>5</v>
      </c>
      <c r="C1968" s="182" t="s">
        <v>1328</v>
      </c>
      <c r="D1968" s="182"/>
      <c r="E1968" s="182"/>
      <c r="F1968" s="182"/>
      <c r="G1968" s="182"/>
      <c r="H1968" s="182"/>
      <c r="I1968" s="182"/>
      <c r="J1968" s="182"/>
      <c r="K1968" s="182"/>
      <c r="L1968" s="182"/>
      <c r="M1968" s="182"/>
      <c r="N1968" s="182"/>
      <c r="O1968" s="182">
        <f>SUM(O1966:O1967)</f>
        <v>30.958136000000021</v>
      </c>
      <c r="P1968" s="233"/>
      <c r="Q1968" s="224"/>
    </row>
    <row r="1969" spans="1:19" s="228" customFormat="1" ht="52.5" x14ac:dyDescent="0.25">
      <c r="A1969" s="226" t="str">
        <f>ORÇAMENTO!A370</f>
        <v>5.1.1.6.3</v>
      </c>
      <c r="B1969" s="227" t="str">
        <f>VLOOKUP(A1969,ORÇAMENTO!A:K,4,0)</f>
        <v>CARGA, MANOBRA E DESCARGA DE ENTULHO EM CAMINHÃO BASCULANTE 14 M³ - CARGA COM ESCAVADEIRA HIDRÁULICA  (CAÇAMBA DE 0,80 M³ / 111 HP) E DESCARGA LIVRE (UNIDADE: M3). AF_07/2020</v>
      </c>
      <c r="C1969" s="173" t="str">
        <f>VLOOKUP(A1969,ORÇAMENTO!A:K,5,0)</f>
        <v>M³</v>
      </c>
      <c r="D1969" s="173">
        <f>SUM(E1973:O1973)</f>
        <v>30.958136000000021</v>
      </c>
      <c r="E1969" s="173" t="s">
        <v>1718</v>
      </c>
      <c r="F1969" s="173" t="s">
        <v>1719</v>
      </c>
      <c r="G1969" s="173" t="s">
        <v>1720</v>
      </c>
      <c r="H1969" s="173" t="s">
        <v>1721</v>
      </c>
      <c r="I1969" s="173" t="s">
        <v>1722</v>
      </c>
      <c r="J1969" s="173" t="s">
        <v>1723</v>
      </c>
      <c r="K1969" s="173" t="s">
        <v>1746</v>
      </c>
      <c r="L1969" s="173" t="s">
        <v>1756</v>
      </c>
      <c r="M1969" s="173" t="s">
        <v>1730</v>
      </c>
      <c r="N1969" s="173" t="s">
        <v>1727</v>
      </c>
      <c r="O1969" s="173" t="s">
        <v>1728</v>
      </c>
      <c r="P1969" s="224"/>
      <c r="Q1969" s="224"/>
    </row>
    <row r="1970" spans="1:19" s="225" customFormat="1" ht="10.5" x14ac:dyDescent="0.25">
      <c r="A1970" s="229"/>
      <c r="B1970" s="230"/>
      <c r="C1970" s="184"/>
      <c r="D1970" s="185"/>
      <c r="E1970" s="185"/>
      <c r="F1970" s="185"/>
      <c r="G1970" s="185"/>
      <c r="H1970" s="185"/>
      <c r="I1970" s="185"/>
      <c r="J1970" s="185"/>
      <c r="K1970" s="185"/>
      <c r="L1970" s="185"/>
      <c r="M1970" s="185"/>
      <c r="N1970" s="185"/>
      <c r="O1970" s="185"/>
      <c r="P1970" s="231"/>
      <c r="Q1970" s="224"/>
    </row>
    <row r="1971" spans="1:19" s="225" customFormat="1" ht="10.5" x14ac:dyDescent="0.25">
      <c r="A1971" s="229"/>
      <c r="B1971" s="230" t="s">
        <v>1884</v>
      </c>
      <c r="C1971" s="184"/>
      <c r="D1971" s="185"/>
      <c r="E1971" s="185"/>
      <c r="F1971" s="185"/>
      <c r="G1971" s="185"/>
      <c r="H1971" s="185"/>
      <c r="I1971" s="185"/>
      <c r="J1971" s="185"/>
      <c r="K1971" s="185"/>
      <c r="L1971" s="185"/>
      <c r="M1971" s="185"/>
      <c r="N1971" s="185"/>
      <c r="O1971" s="185">
        <f>O1966</f>
        <v>30.958136000000021</v>
      </c>
      <c r="P1971" s="231"/>
      <c r="Q1971" s="224"/>
    </row>
    <row r="1972" spans="1:19" s="225" customFormat="1" ht="10.5" x14ac:dyDescent="0.25">
      <c r="A1972" s="229"/>
      <c r="B1972" s="230"/>
      <c r="C1972" s="184"/>
      <c r="D1972" s="185"/>
      <c r="E1972" s="185"/>
      <c r="F1972" s="185"/>
      <c r="G1972" s="185"/>
      <c r="H1972" s="185"/>
      <c r="I1972" s="185"/>
      <c r="J1972" s="185"/>
      <c r="K1972" s="185"/>
      <c r="L1972" s="186"/>
      <c r="M1972" s="185"/>
      <c r="N1972" s="185"/>
      <c r="O1972" s="185"/>
      <c r="P1972" s="231"/>
      <c r="Q1972" s="224"/>
    </row>
    <row r="1973" spans="1:19" s="225" customFormat="1" ht="10.5" x14ac:dyDescent="0.25">
      <c r="A1973" s="229"/>
      <c r="B1973" s="232" t="s">
        <v>5</v>
      </c>
      <c r="C1973" s="182" t="s">
        <v>1328</v>
      </c>
      <c r="D1973" s="182"/>
      <c r="E1973" s="182"/>
      <c r="F1973" s="182"/>
      <c r="G1973" s="182"/>
      <c r="H1973" s="182"/>
      <c r="I1973" s="182"/>
      <c r="J1973" s="182"/>
      <c r="K1973" s="182"/>
      <c r="L1973" s="182"/>
      <c r="M1973" s="182"/>
      <c r="N1973" s="182"/>
      <c r="O1973" s="182">
        <f>SUM(O1971:O1972)</f>
        <v>30.958136000000021</v>
      </c>
      <c r="P1973" s="233"/>
      <c r="Q1973" s="224"/>
    </row>
    <row r="1974" spans="1:19" s="228" customFormat="1" ht="31.5" x14ac:dyDescent="0.25">
      <c r="A1974" s="226" t="str">
        <f>ORÇAMENTO!A371</f>
        <v>5.1.1.6.4</v>
      </c>
      <c r="B1974" s="227" t="str">
        <f>VLOOKUP(A1974,ORÇAMENTO!A:K,4,0)</f>
        <v>TRANSPORTE COM CAMINHÃO BASCULANTE DE 14 M³, EM VIA URBANA PAVIMENTADA, DMT ATÉ 30 KM (UNIDADE: M3XKM). AF_07/2020</v>
      </c>
      <c r="C1974" s="173" t="str">
        <f>VLOOKUP(A1974,ORÇAMENTO!A:K,5,0)</f>
        <v>M3XKM</v>
      </c>
      <c r="D1974" s="173">
        <f>SUM(E1978:O1978)</f>
        <v>928.74408000000062</v>
      </c>
      <c r="E1974" s="173" t="s">
        <v>1749</v>
      </c>
      <c r="F1974" s="173" t="s">
        <v>1719</v>
      </c>
      <c r="G1974" s="173" t="s">
        <v>1720</v>
      </c>
      <c r="H1974" s="173" t="s">
        <v>1721</v>
      </c>
      <c r="I1974" s="173" t="s">
        <v>1722</v>
      </c>
      <c r="J1974" s="173" t="s">
        <v>1723</v>
      </c>
      <c r="K1974" s="173" t="s">
        <v>1746</v>
      </c>
      <c r="L1974" s="173" t="s">
        <v>1725</v>
      </c>
      <c r="M1974" s="173" t="s">
        <v>1750</v>
      </c>
      <c r="N1974" s="173" t="s">
        <v>1727</v>
      </c>
      <c r="O1974" s="173" t="s">
        <v>1728</v>
      </c>
      <c r="P1974" s="224"/>
      <c r="Q1974" s="224"/>
    </row>
    <row r="1975" spans="1:19" s="225" customFormat="1" ht="10.5" x14ac:dyDescent="0.25">
      <c r="A1975" s="229"/>
      <c r="B1975" s="230"/>
      <c r="C1975" s="184"/>
      <c r="D1975" s="185"/>
      <c r="E1975" s="185"/>
      <c r="F1975" s="185"/>
      <c r="G1975" s="185"/>
      <c r="H1975" s="185"/>
      <c r="I1975" s="185"/>
      <c r="J1975" s="185"/>
      <c r="K1975" s="185"/>
      <c r="L1975" s="185"/>
      <c r="M1975" s="185"/>
      <c r="N1975" s="185"/>
      <c r="O1975" s="185"/>
      <c r="P1975" s="231"/>
      <c r="Q1975" s="224"/>
    </row>
    <row r="1976" spans="1:19" s="225" customFormat="1" ht="10.5" x14ac:dyDescent="0.25">
      <c r="A1976" s="229"/>
      <c r="B1976" s="230" t="s">
        <v>1751</v>
      </c>
      <c r="C1976" s="184"/>
      <c r="D1976" s="185"/>
      <c r="E1976" s="185">
        <v>30</v>
      </c>
      <c r="F1976" s="185"/>
      <c r="G1976" s="185"/>
      <c r="H1976" s="185"/>
      <c r="I1976" s="185"/>
      <c r="J1976" s="185"/>
      <c r="K1976" s="185"/>
      <c r="L1976" s="185"/>
      <c r="M1976" s="185">
        <f>O1976*E1976</f>
        <v>928.74408000000062</v>
      </c>
      <c r="N1976" s="185"/>
      <c r="O1976" s="185">
        <f>O1973</f>
        <v>30.958136000000021</v>
      </c>
      <c r="P1976" s="231"/>
      <c r="Q1976" s="224"/>
    </row>
    <row r="1977" spans="1:19" s="225" customFormat="1" ht="10.5" x14ac:dyDescent="0.25">
      <c r="A1977" s="229"/>
      <c r="B1977" s="230"/>
      <c r="C1977" s="184"/>
      <c r="D1977" s="185"/>
      <c r="E1977" s="185"/>
      <c r="F1977" s="185"/>
      <c r="G1977" s="185"/>
      <c r="H1977" s="185"/>
      <c r="I1977" s="185"/>
      <c r="J1977" s="185"/>
      <c r="K1977" s="185"/>
      <c r="L1977" s="186"/>
      <c r="M1977" s="185"/>
      <c r="N1977" s="185"/>
      <c r="O1977" s="185"/>
      <c r="P1977" s="231"/>
      <c r="Q1977" s="224"/>
    </row>
    <row r="1978" spans="1:19" s="225" customFormat="1" ht="10.5" x14ac:dyDescent="0.25">
      <c r="A1978" s="229"/>
      <c r="B1978" s="232" t="s">
        <v>5</v>
      </c>
      <c r="C1978" s="182" t="s">
        <v>1328</v>
      </c>
      <c r="D1978" s="182"/>
      <c r="E1978" s="182"/>
      <c r="F1978" s="182"/>
      <c r="G1978" s="182"/>
      <c r="H1978" s="182"/>
      <c r="I1978" s="182"/>
      <c r="J1978" s="182"/>
      <c r="K1978" s="182"/>
      <c r="L1978" s="182"/>
      <c r="M1978" s="182">
        <f>SUM(M1976:M1977)</f>
        <v>928.74408000000062</v>
      </c>
      <c r="N1978" s="182"/>
      <c r="O1978" s="182"/>
      <c r="P1978" s="233"/>
      <c r="Q1978" s="224"/>
    </row>
    <row r="1979" spans="1:19" s="235" customFormat="1" ht="42" x14ac:dyDescent="0.35">
      <c r="A1979" s="226" t="str">
        <f>ORÇAMENTO!A372</f>
        <v>5.1.1.6.5</v>
      </c>
      <c r="B1979" s="227" t="str">
        <f>VLOOKUP(A1979,ORÇAMENTO!A:K,4,0)</f>
        <v>TRANSPORTE COM CAMINHÃO BASCULANTE DE 14 M³, EM VIA URBANA PAVIMENTADA, ADICIONAL PARA DMT EXCEDENTE A 30 KM (UNIDADE: M3XKM). AF_07/2020</v>
      </c>
      <c r="C1979" s="173" t="str">
        <f>VLOOKUP(A1979,ORÇAMENTO!A:K,5,0)</f>
        <v>M3XKM</v>
      </c>
      <c r="D1979" s="173">
        <f>SUM(E1982:O1982)</f>
        <v>1386.924492800001</v>
      </c>
      <c r="E1979" s="173" t="s">
        <v>1752</v>
      </c>
      <c r="F1979" s="173" t="s">
        <v>1719</v>
      </c>
      <c r="G1979" s="173" t="s">
        <v>1720</v>
      </c>
      <c r="H1979" s="173" t="s">
        <v>1721</v>
      </c>
      <c r="I1979" s="173" t="s">
        <v>1722</v>
      </c>
      <c r="J1979" s="173" t="s">
        <v>1723</v>
      </c>
      <c r="K1979" s="173" t="s">
        <v>1746</v>
      </c>
      <c r="L1979" s="173" t="s">
        <v>1753</v>
      </c>
      <c r="M1979" s="173" t="s">
        <v>1750</v>
      </c>
      <c r="N1979" s="173" t="s">
        <v>1727</v>
      </c>
      <c r="O1979" s="173" t="s">
        <v>1728</v>
      </c>
      <c r="P1979" s="224"/>
      <c r="Q1979" s="224"/>
      <c r="R1979" s="224"/>
      <c r="S1979" s="224"/>
    </row>
    <row r="1980" spans="1:19" s="225" customFormat="1" ht="10.5" x14ac:dyDescent="0.25">
      <c r="A1980" s="229"/>
      <c r="B1980" s="230" t="s">
        <v>1751</v>
      </c>
      <c r="C1980" s="177"/>
      <c r="D1980" s="178"/>
      <c r="E1980" s="178">
        <f>74.8-E1976</f>
        <v>44.8</v>
      </c>
      <c r="F1980" s="178"/>
      <c r="G1980" s="178"/>
      <c r="H1980" s="178"/>
      <c r="I1980" s="178"/>
      <c r="J1980" s="178"/>
      <c r="K1980" s="178"/>
      <c r="L1980" s="190"/>
      <c r="M1980" s="178">
        <f>E1980*O1980</f>
        <v>1386.924492800001</v>
      </c>
      <c r="N1980" s="178"/>
      <c r="O1980" s="178">
        <f>O1976</f>
        <v>30.958136000000021</v>
      </c>
      <c r="P1980" s="231"/>
      <c r="Q1980" s="224"/>
    </row>
    <row r="1981" spans="1:19" s="225" customFormat="1" ht="10.5" x14ac:dyDescent="0.25">
      <c r="A1981" s="229"/>
      <c r="B1981" s="230"/>
      <c r="C1981" s="177"/>
      <c r="D1981" s="178"/>
      <c r="E1981" s="178"/>
      <c r="F1981" s="178"/>
      <c r="G1981" s="178"/>
      <c r="H1981" s="178"/>
      <c r="I1981" s="178"/>
      <c r="J1981" s="178"/>
      <c r="K1981" s="178"/>
      <c r="L1981" s="190"/>
      <c r="M1981" s="178"/>
      <c r="N1981" s="178"/>
      <c r="O1981" s="178"/>
      <c r="P1981" s="231"/>
      <c r="Q1981" s="224"/>
    </row>
    <row r="1982" spans="1:19" s="225" customFormat="1" ht="10.5" x14ac:dyDescent="0.25">
      <c r="A1982" s="229"/>
      <c r="B1982" s="232" t="s">
        <v>5</v>
      </c>
      <c r="C1982" s="182" t="s">
        <v>1328</v>
      </c>
      <c r="D1982" s="182"/>
      <c r="E1982" s="182"/>
      <c r="F1982" s="182"/>
      <c r="G1982" s="182"/>
      <c r="H1982" s="182"/>
      <c r="I1982" s="182"/>
      <c r="J1982" s="182"/>
      <c r="K1982" s="182"/>
      <c r="L1982" s="182"/>
      <c r="M1982" s="182">
        <f>SUM(M1980)</f>
        <v>1386.924492800001</v>
      </c>
      <c r="N1982" s="182"/>
      <c r="O1982" s="182"/>
      <c r="P1982" s="233"/>
      <c r="Q1982" s="224"/>
    </row>
    <row r="1983" spans="1:19" s="225" customFormat="1" ht="10.5" x14ac:dyDescent="0.25">
      <c r="A1983" s="167" t="str">
        <f>ORÇAMENTO!A373</f>
        <v>5.1.1.7</v>
      </c>
      <c r="B1983" s="332" t="str">
        <f>VLOOKUP(A1983,ORÇAMENTO!A:K,4,0)</f>
        <v>ENSAIOS</v>
      </c>
      <c r="C1983" s="167"/>
      <c r="D1983" s="167"/>
      <c r="E1983" s="168"/>
      <c r="F1983" s="168"/>
      <c r="G1983" s="168"/>
      <c r="H1983" s="168"/>
      <c r="I1983" s="168"/>
      <c r="J1983" s="168"/>
      <c r="K1983" s="168"/>
      <c r="L1983" s="168"/>
      <c r="M1983" s="168"/>
      <c r="N1983" s="168"/>
      <c r="O1983" s="168"/>
      <c r="P1983" s="224"/>
      <c r="Q1983" s="224"/>
    </row>
    <row r="1984" spans="1:19" s="235" customFormat="1" ht="31.5" x14ac:dyDescent="0.35">
      <c r="A1984" s="226" t="str">
        <f>ORÇAMENTO!A374</f>
        <v>5.1.1.7.1</v>
      </c>
      <c r="B1984" s="227" t="str">
        <f>VLOOKUP(A1984,ORÇAMENTO!A:K,4,0)</f>
        <v>DETERMINAÇÃO DA DENSIDADE IN SITU DAS MISTURAS ASFÁLTICAS COMPACTADAS (DNIT 431/2020-ME)</v>
      </c>
      <c r="C1984" s="173" t="str">
        <f>VLOOKUP(A1984,ORÇAMENTO!A:K,5,0)</f>
        <v>UN</v>
      </c>
      <c r="D1984" s="173">
        <f>SUM(E1988:O1988)</f>
        <v>17</v>
      </c>
      <c r="E1984" s="173" t="s">
        <v>1718</v>
      </c>
      <c r="F1984" s="173" t="s">
        <v>1719</v>
      </c>
      <c r="G1984" s="173" t="s">
        <v>1720</v>
      </c>
      <c r="H1984" s="173" t="s">
        <v>1721</v>
      </c>
      <c r="I1984" s="173" t="s">
        <v>1722</v>
      </c>
      <c r="J1984" s="173" t="s">
        <v>1723</v>
      </c>
      <c r="K1984" s="173" t="s">
        <v>1758</v>
      </c>
      <c r="L1984" s="173" t="s">
        <v>1753</v>
      </c>
      <c r="M1984" s="173" t="s">
        <v>1768</v>
      </c>
      <c r="N1984" s="173" t="s">
        <v>1727</v>
      </c>
      <c r="O1984" s="173" t="s">
        <v>1728</v>
      </c>
      <c r="P1984" s="224"/>
      <c r="Q1984" s="224"/>
      <c r="R1984" s="224"/>
      <c r="S1984" s="224"/>
    </row>
    <row r="1985" spans="1:19" s="235" customFormat="1" x14ac:dyDescent="0.35">
      <c r="A1985" s="229"/>
      <c r="B1985" s="232" t="s">
        <v>1769</v>
      </c>
      <c r="C1985" s="177"/>
      <c r="D1985" s="177"/>
      <c r="E1985" s="178"/>
      <c r="F1985" s="178"/>
      <c r="G1985" s="178"/>
      <c r="H1985" s="178"/>
      <c r="I1985" s="178"/>
      <c r="J1985" s="178"/>
      <c r="K1985" s="178"/>
      <c r="L1985" s="178"/>
      <c r="M1985" s="178"/>
      <c r="N1985" s="178"/>
      <c r="O1985" s="178"/>
      <c r="P1985" s="224"/>
      <c r="Q1985" s="224"/>
      <c r="R1985" s="224"/>
      <c r="S1985" s="224"/>
    </row>
    <row r="1986" spans="1:19" s="235" customFormat="1" x14ac:dyDescent="0.35">
      <c r="A1986" s="229"/>
      <c r="B1986" s="232" t="s">
        <v>1770</v>
      </c>
      <c r="C1986" s="177"/>
      <c r="D1986" s="177"/>
      <c r="E1986" s="178">
        <f>SUMIF(Quantitativos!$O$43:$O$88,"ASFALTO",Quantitativos!$F$43:$F$88)</f>
        <v>1734.34</v>
      </c>
      <c r="F1986" s="178"/>
      <c r="G1986" s="178"/>
      <c r="H1986" s="178"/>
      <c r="I1986" s="178"/>
      <c r="J1986" s="178"/>
      <c r="K1986" s="178">
        <f>ROUND(E1986/100,0)</f>
        <v>17</v>
      </c>
      <c r="L1986" s="178"/>
      <c r="M1986" s="178"/>
      <c r="N1986" s="178"/>
      <c r="O1986" s="178"/>
      <c r="P1986" s="224"/>
      <c r="Q1986" s="224"/>
      <c r="R1986" s="224"/>
      <c r="S1986" s="224"/>
    </row>
    <row r="1987" spans="1:19" s="237" customFormat="1" x14ac:dyDescent="0.35">
      <c r="A1987" s="229"/>
      <c r="B1987" s="230"/>
      <c r="C1987" s="178"/>
      <c r="D1987" s="178"/>
      <c r="E1987" s="178"/>
      <c r="F1987" s="178"/>
      <c r="G1987" s="178"/>
      <c r="H1987" s="178"/>
      <c r="I1987" s="178"/>
      <c r="J1987" s="178"/>
      <c r="K1987" s="178"/>
      <c r="L1987" s="178"/>
      <c r="M1987" s="178"/>
      <c r="N1987" s="178"/>
      <c r="O1987" s="193"/>
      <c r="P1987" s="236"/>
      <c r="Q1987" s="236"/>
      <c r="R1987" s="236"/>
      <c r="S1987" s="236"/>
    </row>
    <row r="1988" spans="1:19" s="235" customFormat="1" x14ac:dyDescent="0.35">
      <c r="A1988" s="238"/>
      <c r="B1988" s="232" t="s">
        <v>5</v>
      </c>
      <c r="C1988" s="182" t="s">
        <v>1328</v>
      </c>
      <c r="D1988" s="182"/>
      <c r="E1988" s="182"/>
      <c r="F1988" s="182"/>
      <c r="G1988" s="182"/>
      <c r="H1988" s="182"/>
      <c r="I1988" s="182"/>
      <c r="J1988" s="182"/>
      <c r="K1988" s="196">
        <f>SUM(K1985:K1987)</f>
        <v>17</v>
      </c>
      <c r="L1988" s="182"/>
      <c r="M1988" s="182"/>
      <c r="N1988" s="182"/>
      <c r="O1988" s="196"/>
      <c r="P1988" s="224"/>
      <c r="Q1988" s="224"/>
      <c r="R1988" s="224"/>
      <c r="S1988" s="224"/>
    </row>
    <row r="1989" spans="1:19" s="235" customFormat="1" ht="21" x14ac:dyDescent="0.35">
      <c r="A1989" s="226" t="str">
        <f>ORÇAMENTO!A375</f>
        <v>5.1.1.7.2</v>
      </c>
      <c r="B1989" s="227" t="str">
        <f>VLOOKUP(A1989,ORÇAMENTO!A:K,4,0)</f>
        <v>ENSAIO QUIMICO COMPLETO DE CAL</v>
      </c>
      <c r="C1989" s="173" t="str">
        <f>VLOOKUP(A1989,ORÇAMENTO!A:K,5,0)</f>
        <v>UN</v>
      </c>
      <c r="D1989" s="173">
        <f>SUM(E1993:O1993)</f>
        <v>17</v>
      </c>
      <c r="E1989" s="173" t="s">
        <v>1718</v>
      </c>
      <c r="F1989" s="173" t="s">
        <v>1719</v>
      </c>
      <c r="G1989" s="173" t="s">
        <v>1720</v>
      </c>
      <c r="H1989" s="173" t="s">
        <v>1721</v>
      </c>
      <c r="I1989" s="173" t="s">
        <v>1722</v>
      </c>
      <c r="J1989" s="173" t="s">
        <v>1723</v>
      </c>
      <c r="K1989" s="173" t="s">
        <v>1758</v>
      </c>
      <c r="L1989" s="173" t="s">
        <v>1753</v>
      </c>
      <c r="M1989" s="173" t="s">
        <v>1768</v>
      </c>
      <c r="N1989" s="173" t="s">
        <v>1727</v>
      </c>
      <c r="O1989" s="173" t="s">
        <v>1728</v>
      </c>
      <c r="P1989" s="224"/>
      <c r="Q1989" s="224"/>
      <c r="R1989" s="224"/>
      <c r="S1989" s="224"/>
    </row>
    <row r="1990" spans="1:19" s="235" customFormat="1" x14ac:dyDescent="0.35">
      <c r="A1990" s="229"/>
      <c r="B1990" s="232" t="str">
        <f>B1985</f>
        <v>1 ENSAIO A CADA 100M</v>
      </c>
      <c r="C1990" s="177"/>
      <c r="D1990" s="177"/>
      <c r="E1990" s="178"/>
      <c r="F1990" s="178"/>
      <c r="G1990" s="178"/>
      <c r="H1990" s="178"/>
      <c r="I1990" s="178"/>
      <c r="J1990" s="178"/>
      <c r="K1990" s="178"/>
      <c r="L1990" s="178"/>
      <c r="M1990" s="178"/>
      <c r="N1990" s="178"/>
      <c r="O1990" s="178"/>
      <c r="P1990" s="224"/>
      <c r="Q1990" s="224"/>
      <c r="R1990" s="224"/>
      <c r="S1990" s="224"/>
    </row>
    <row r="1991" spans="1:19" s="235" customFormat="1" x14ac:dyDescent="0.35">
      <c r="A1991" s="229"/>
      <c r="B1991" s="232" t="str">
        <f>B1986</f>
        <v>EXTENSÃO REDE ASFALTADA</v>
      </c>
      <c r="C1991" s="177"/>
      <c r="D1991" s="177"/>
      <c r="E1991" s="178">
        <f>E1986</f>
        <v>1734.34</v>
      </c>
      <c r="F1991" s="178"/>
      <c r="G1991" s="178"/>
      <c r="H1991" s="178"/>
      <c r="I1991" s="178"/>
      <c r="J1991" s="178"/>
      <c r="K1991" s="178">
        <f>ROUND(E1991/100,0)</f>
        <v>17</v>
      </c>
      <c r="L1991" s="178"/>
      <c r="M1991" s="178"/>
      <c r="N1991" s="178"/>
      <c r="O1991" s="178"/>
      <c r="P1991" s="224"/>
      <c r="Q1991" s="224"/>
      <c r="R1991" s="224"/>
      <c r="S1991" s="224"/>
    </row>
    <row r="1992" spans="1:19" s="237" customFormat="1" x14ac:dyDescent="0.35">
      <c r="A1992" s="229"/>
      <c r="B1992" s="230"/>
      <c r="C1992" s="178"/>
      <c r="D1992" s="178"/>
      <c r="E1992" s="178"/>
      <c r="F1992" s="178"/>
      <c r="G1992" s="178"/>
      <c r="H1992" s="178"/>
      <c r="I1992" s="178"/>
      <c r="J1992" s="178"/>
      <c r="K1992" s="178"/>
      <c r="L1992" s="178"/>
      <c r="M1992" s="178"/>
      <c r="N1992" s="178"/>
      <c r="O1992" s="193"/>
      <c r="P1992" s="236"/>
      <c r="Q1992" s="236"/>
      <c r="R1992" s="236"/>
      <c r="S1992" s="236"/>
    </row>
    <row r="1993" spans="1:19" s="235" customFormat="1" x14ac:dyDescent="0.35">
      <c r="A1993" s="238"/>
      <c r="B1993" s="232" t="s">
        <v>5</v>
      </c>
      <c r="C1993" s="182" t="s">
        <v>1328</v>
      </c>
      <c r="D1993" s="182"/>
      <c r="E1993" s="182"/>
      <c r="F1993" s="182"/>
      <c r="G1993" s="182"/>
      <c r="H1993" s="182"/>
      <c r="I1993" s="182"/>
      <c r="J1993" s="182"/>
      <c r="K1993" s="196">
        <f>SUM(K1990:K1992)</f>
        <v>17</v>
      </c>
      <c r="L1993" s="182"/>
      <c r="M1993" s="182"/>
      <c r="N1993" s="182"/>
      <c r="O1993" s="196"/>
      <c r="P1993" s="224"/>
      <c r="Q1993" s="224"/>
      <c r="R1993" s="224"/>
      <c r="S1993" s="224"/>
    </row>
    <row r="1994" spans="1:19" s="225" customFormat="1" ht="10.5" x14ac:dyDescent="0.25">
      <c r="A1994" s="222" t="str">
        <f>ORÇAMENTO!A376</f>
        <v>5.1.2</v>
      </c>
      <c r="B1994" s="223" t="str">
        <f>VLOOKUP(A1994,ORÇAMENTO!A:K,4,0)</f>
        <v>REDES DE DRENAGEM DE ÁGUAS PLUVIAIS</v>
      </c>
      <c r="C1994" s="167"/>
      <c r="D1994" s="167"/>
      <c r="E1994" s="168"/>
      <c r="F1994" s="168"/>
      <c r="G1994" s="168"/>
      <c r="H1994" s="168"/>
      <c r="I1994" s="168"/>
      <c r="J1994" s="168"/>
      <c r="K1994" s="168"/>
      <c r="L1994" s="168"/>
      <c r="M1994" s="168"/>
      <c r="N1994" s="168"/>
      <c r="O1994" s="168"/>
      <c r="P1994" s="224"/>
      <c r="Q1994" s="224"/>
    </row>
    <row r="1995" spans="1:19" s="225" customFormat="1" ht="31.5" x14ac:dyDescent="0.25">
      <c r="A1995" s="222" t="str">
        <f>ORÇAMENTO!A377</f>
        <v>5.1.2.1</v>
      </c>
      <c r="B1995" s="223" t="str">
        <f>VLOOKUP(A1995,ORÇAMENTO!A:K,4,0)</f>
        <v>ESCAVAÇÕES PARA SISTEMAS DESTRUTIVOS, COM DEPOSIÇÃO LATERAL PARA POSTERIOR REAPROVEITAMENTO</v>
      </c>
      <c r="C1995" s="167"/>
      <c r="D1995" s="167"/>
      <c r="E1995" s="168"/>
      <c r="F1995" s="168"/>
      <c r="G1995" s="168"/>
      <c r="H1995" s="168"/>
      <c r="I1995" s="168"/>
      <c r="J1995" s="168"/>
      <c r="K1995" s="168"/>
      <c r="L1995" s="168"/>
      <c r="M1995" s="168"/>
      <c r="N1995" s="168"/>
      <c r="O1995" s="168"/>
      <c r="P1995" s="224"/>
      <c r="Q1995" s="224"/>
    </row>
    <row r="1996" spans="1:19" s="228" customFormat="1" ht="63" x14ac:dyDescent="0.25">
      <c r="A1996" s="226" t="str">
        <f>ORÇAMENTO!A378</f>
        <v>5.1.2.1.1</v>
      </c>
      <c r="B1996" s="227" t="str">
        <f>VLOOKUP(A1996,ORÇAMENTO!A:K,4,0)</f>
        <v>ESCAVAÇÃO MECANIZADA DE VALA COM PROF. ATÉ 1,5 M (MÉDIA MONTANTE E JUSANTE/UMA COMPOSIÇÃO POR TRECHO), ESCAVADEIRA (0,8 M3), LARG. DE 1,5 M A 2,5 M, EM SOLO MOLE, EM LOCAIS COM ALTO NÍVEL DE INTERFERÊNCIA. AF_09/2024</v>
      </c>
      <c r="C1996" s="173" t="str">
        <f>VLOOKUP(A1996,ORÇAMENTO!A:K,5,0)</f>
        <v>M³</v>
      </c>
      <c r="D1996" s="173">
        <f>SUM(E2000:O2000)</f>
        <v>617.79899999999998</v>
      </c>
      <c r="E1996" s="173" t="s">
        <v>1718</v>
      </c>
      <c r="F1996" s="173" t="s">
        <v>1719</v>
      </c>
      <c r="G1996" s="173" t="s">
        <v>1720</v>
      </c>
      <c r="H1996" s="173" t="s">
        <v>1721</v>
      </c>
      <c r="I1996" s="173" t="s">
        <v>1722</v>
      </c>
      <c r="J1996" s="173" t="s">
        <v>1723</v>
      </c>
      <c r="K1996" s="173" t="s">
        <v>1746</v>
      </c>
      <c r="L1996" s="173" t="s">
        <v>1753</v>
      </c>
      <c r="M1996" s="173" t="s">
        <v>1771</v>
      </c>
      <c r="N1996" s="173" t="s">
        <v>1727</v>
      </c>
      <c r="O1996" s="173" t="s">
        <v>1728</v>
      </c>
      <c r="P1996" s="224"/>
      <c r="Q1996" s="224"/>
    </row>
    <row r="1997" spans="1:19" s="225" customFormat="1" ht="10.5" x14ac:dyDescent="0.25">
      <c r="A1997" s="229"/>
      <c r="B1997" s="230"/>
      <c r="C1997" s="177"/>
      <c r="D1997" s="178"/>
      <c r="E1997" s="178"/>
      <c r="F1997" s="178"/>
      <c r="G1997" s="178"/>
      <c r="H1997" s="178"/>
      <c r="I1997" s="178"/>
      <c r="J1997" s="178"/>
      <c r="K1997" s="178"/>
      <c r="L1997" s="178"/>
      <c r="M1997" s="178"/>
      <c r="N1997" s="178"/>
      <c r="O1997" s="178"/>
      <c r="P1997" s="231"/>
      <c r="Q1997" s="224"/>
    </row>
    <row r="1998" spans="1:19" s="225" customFormat="1" ht="10.5" x14ac:dyDescent="0.25">
      <c r="A1998" s="229"/>
      <c r="B1998" s="230" t="s">
        <v>1731</v>
      </c>
      <c r="C1998" s="177"/>
      <c r="D1998" s="178"/>
      <c r="E1998" s="178"/>
      <c r="F1998" s="178"/>
      <c r="G1998" s="178"/>
      <c r="H1998" s="178"/>
      <c r="I1998" s="178"/>
      <c r="J1998" s="178"/>
      <c r="K1998" s="178"/>
      <c r="L1998" s="178"/>
      <c r="M1998" s="178"/>
      <c r="N1998" s="178"/>
      <c r="O1998" s="178">
        <f>Quantitativos!AF89</f>
        <v>617.79899999999998</v>
      </c>
      <c r="P1998" s="231"/>
      <c r="Q1998" s="224"/>
    </row>
    <row r="1999" spans="1:19" s="225" customFormat="1" ht="10.5" x14ac:dyDescent="0.25">
      <c r="A1999" s="229"/>
      <c r="B1999" s="230"/>
      <c r="C1999" s="177"/>
      <c r="D1999" s="178"/>
      <c r="E1999" s="178"/>
      <c r="F1999" s="178"/>
      <c r="G1999" s="178"/>
      <c r="H1999" s="178"/>
      <c r="I1999" s="178"/>
      <c r="J1999" s="178"/>
      <c r="K1999" s="178"/>
      <c r="L1999" s="178"/>
      <c r="M1999" s="178"/>
      <c r="N1999" s="178"/>
      <c r="O1999" s="178"/>
      <c r="P1999" s="231"/>
      <c r="Q1999" s="224"/>
    </row>
    <row r="2000" spans="1:19" s="225" customFormat="1" ht="10.5" x14ac:dyDescent="0.25">
      <c r="A2000" s="229"/>
      <c r="B2000" s="232" t="s">
        <v>5</v>
      </c>
      <c r="C2000" s="182" t="s">
        <v>1328</v>
      </c>
      <c r="D2000" s="182"/>
      <c r="E2000" s="182"/>
      <c r="F2000" s="182"/>
      <c r="G2000" s="182"/>
      <c r="H2000" s="182"/>
      <c r="I2000" s="182"/>
      <c r="J2000" s="182"/>
      <c r="K2000" s="182"/>
      <c r="L2000" s="182"/>
      <c r="M2000" s="182"/>
      <c r="N2000" s="182"/>
      <c r="O2000" s="182">
        <f>SUM(O1997:O1999)</f>
        <v>617.79899999999998</v>
      </c>
      <c r="P2000" s="233"/>
      <c r="Q2000" s="224"/>
    </row>
    <row r="2001" spans="1:17" s="228" customFormat="1" ht="63" x14ac:dyDescent="0.25">
      <c r="A2001" s="226" t="str">
        <f>ORÇAMENTO!A379</f>
        <v>5.1.2.1.2</v>
      </c>
      <c r="B2001" s="227" t="str">
        <f>VLOOKUP(A2001,ORÇAMENTO!A:K,4,0)</f>
        <v>ESCAVAÇÃO MECANIZADA DE VALA COM PROF. MAIOR QUE 1,5 M ATÉ 3,0 M (MÉDIA MONTANTE E JUSANTE/UMA COMPOSIÇÃO POR TRECHO),COM ESCAVADEIRA (1,2 M3),LARG. DE 1,5 M A 2,5 M, EM SOLO MOLE, EM LOCAIS COM ALTO NÍVEL DE INTERFERÊNCIA. AF_09/2024</v>
      </c>
      <c r="C2001" s="173" t="str">
        <f>VLOOKUP(A2001,ORÇAMENTO!A:K,5,0)</f>
        <v>M³</v>
      </c>
      <c r="D2001" s="173">
        <f>SUM(E2005:O2005)</f>
        <v>717.279</v>
      </c>
      <c r="E2001" s="173" t="s">
        <v>1718</v>
      </c>
      <c r="F2001" s="173" t="s">
        <v>1719</v>
      </c>
      <c r="G2001" s="173" t="s">
        <v>1720</v>
      </c>
      <c r="H2001" s="173" t="s">
        <v>1721</v>
      </c>
      <c r="I2001" s="173" t="s">
        <v>1722</v>
      </c>
      <c r="J2001" s="173" t="s">
        <v>1723</v>
      </c>
      <c r="K2001" s="173" t="s">
        <v>1746</v>
      </c>
      <c r="L2001" s="173" t="s">
        <v>1753</v>
      </c>
      <c r="M2001" s="173" t="s">
        <v>1771</v>
      </c>
      <c r="N2001" s="173" t="s">
        <v>1727</v>
      </c>
      <c r="O2001" s="173" t="s">
        <v>1728</v>
      </c>
      <c r="P2001" s="224"/>
      <c r="Q2001" s="224"/>
    </row>
    <row r="2002" spans="1:17" s="225" customFormat="1" ht="10.5" x14ac:dyDescent="0.25">
      <c r="A2002" s="229"/>
      <c r="B2002" s="230"/>
      <c r="C2002" s="177"/>
      <c r="D2002" s="178"/>
      <c r="E2002" s="178"/>
      <c r="F2002" s="178"/>
      <c r="G2002" s="178"/>
      <c r="H2002" s="178"/>
      <c r="I2002" s="178"/>
      <c r="J2002" s="178"/>
      <c r="K2002" s="178"/>
      <c r="L2002" s="178"/>
      <c r="M2002" s="178"/>
      <c r="N2002" s="178"/>
      <c r="O2002" s="178"/>
      <c r="P2002" s="231"/>
      <c r="Q2002" s="224"/>
    </row>
    <row r="2003" spans="1:17" s="225" customFormat="1" ht="10.5" x14ac:dyDescent="0.25">
      <c r="A2003" s="229"/>
      <c r="B2003" s="230" t="s">
        <v>1731</v>
      </c>
      <c r="C2003" s="177"/>
      <c r="D2003" s="178"/>
      <c r="E2003" s="178"/>
      <c r="F2003" s="178"/>
      <c r="G2003" s="178"/>
      <c r="H2003" s="178"/>
      <c r="I2003" s="178"/>
      <c r="J2003" s="178"/>
      <c r="K2003" s="178"/>
      <c r="L2003" s="178"/>
      <c r="M2003" s="178"/>
      <c r="N2003" s="178"/>
      <c r="O2003" s="178">
        <f>Quantitativos!AG89</f>
        <v>717.279</v>
      </c>
      <c r="P2003" s="231"/>
      <c r="Q2003" s="224"/>
    </row>
    <row r="2004" spans="1:17" s="225" customFormat="1" ht="10.5" x14ac:dyDescent="0.25">
      <c r="A2004" s="229"/>
      <c r="B2004" s="230"/>
      <c r="C2004" s="177"/>
      <c r="D2004" s="178"/>
      <c r="E2004" s="178"/>
      <c r="F2004" s="178"/>
      <c r="G2004" s="178"/>
      <c r="H2004" s="178"/>
      <c r="I2004" s="178"/>
      <c r="J2004" s="178"/>
      <c r="K2004" s="178"/>
      <c r="L2004" s="178"/>
      <c r="M2004" s="178"/>
      <c r="N2004" s="178"/>
      <c r="O2004" s="178"/>
      <c r="P2004" s="231"/>
      <c r="Q2004" s="224"/>
    </row>
    <row r="2005" spans="1:17" s="225" customFormat="1" ht="10.5" x14ac:dyDescent="0.25">
      <c r="A2005" s="229"/>
      <c r="B2005" s="232" t="s">
        <v>5</v>
      </c>
      <c r="C2005" s="182" t="s">
        <v>1328</v>
      </c>
      <c r="D2005" s="182"/>
      <c r="E2005" s="182"/>
      <c r="F2005" s="182"/>
      <c r="G2005" s="182"/>
      <c r="H2005" s="182"/>
      <c r="I2005" s="182"/>
      <c r="J2005" s="182"/>
      <c r="K2005" s="182"/>
      <c r="L2005" s="182"/>
      <c r="M2005" s="182"/>
      <c r="N2005" s="182"/>
      <c r="O2005" s="182">
        <f>SUM(O2002:O2004)</f>
        <v>717.279</v>
      </c>
      <c r="P2005" s="233"/>
      <c r="Q2005" s="224"/>
    </row>
    <row r="2006" spans="1:17" s="228" customFormat="1" ht="63" x14ac:dyDescent="0.25">
      <c r="A2006" s="226" t="str">
        <f>ORÇAMENTO!A380</f>
        <v>5.1.2.1.3</v>
      </c>
      <c r="B2006" s="227" t="str">
        <f>VLOOKUP(A2006,ORÇAMENTO!A:K,4,0)</f>
        <v>ESCAVAÇÃO MECANIZADA DE VALA COM PROF. DE 3,0 M ATÉ 4,5 M (MÉDIA MONTANTE E JUSANTE/UMA COMPOSIÇÃO POR TRECHO), ESCAVADEIRA (1,2 M3), LARG. DE 1,5 M A 2,5 M, EM SOLO MOLE, EM LOCAIS COM ALTO NÍVEL DE INTERFERÊNCIA. AF_09/2024</v>
      </c>
      <c r="C2006" s="173" t="str">
        <f>VLOOKUP(A2006,ORÇAMENTO!A:K,5,0)</f>
        <v>M³</v>
      </c>
      <c r="D2006" s="173">
        <f>SUM(E2010:O2010)</f>
        <v>465.59627999999998</v>
      </c>
      <c r="E2006" s="173" t="s">
        <v>1718</v>
      </c>
      <c r="F2006" s="173" t="s">
        <v>1719</v>
      </c>
      <c r="G2006" s="173" t="s">
        <v>1720</v>
      </c>
      <c r="H2006" s="173" t="s">
        <v>1721</v>
      </c>
      <c r="I2006" s="173" t="s">
        <v>1722</v>
      </c>
      <c r="J2006" s="173" t="s">
        <v>1723</v>
      </c>
      <c r="K2006" s="173" t="s">
        <v>1746</v>
      </c>
      <c r="L2006" s="173" t="s">
        <v>1753</v>
      </c>
      <c r="M2006" s="173" t="s">
        <v>1771</v>
      </c>
      <c r="N2006" s="173" t="s">
        <v>1727</v>
      </c>
      <c r="O2006" s="173" t="s">
        <v>1728</v>
      </c>
      <c r="P2006" s="224"/>
      <c r="Q2006" s="224"/>
    </row>
    <row r="2007" spans="1:17" s="225" customFormat="1" ht="10.5" x14ac:dyDescent="0.25">
      <c r="A2007" s="229"/>
      <c r="B2007" s="230"/>
      <c r="C2007" s="177"/>
      <c r="D2007" s="178"/>
      <c r="E2007" s="178"/>
      <c r="F2007" s="178"/>
      <c r="G2007" s="178"/>
      <c r="H2007" s="178"/>
      <c r="I2007" s="178"/>
      <c r="J2007" s="178"/>
      <c r="K2007" s="178"/>
      <c r="L2007" s="178"/>
      <c r="M2007" s="178"/>
      <c r="N2007" s="178"/>
      <c r="O2007" s="178"/>
      <c r="P2007" s="231"/>
      <c r="Q2007" s="224"/>
    </row>
    <row r="2008" spans="1:17" s="225" customFormat="1" ht="10.5" x14ac:dyDescent="0.25">
      <c r="A2008" s="229"/>
      <c r="B2008" s="230" t="s">
        <v>1731</v>
      </c>
      <c r="C2008" s="177"/>
      <c r="D2008" s="178"/>
      <c r="E2008" s="178"/>
      <c r="F2008" s="178"/>
      <c r="G2008" s="178"/>
      <c r="H2008" s="178"/>
      <c r="I2008" s="178"/>
      <c r="J2008" s="178"/>
      <c r="K2008" s="178"/>
      <c r="L2008" s="178"/>
      <c r="M2008" s="178"/>
      <c r="N2008" s="178"/>
      <c r="O2008" s="178">
        <f>Quantitativos!AH89</f>
        <v>465.59627999999998</v>
      </c>
      <c r="P2008" s="231"/>
      <c r="Q2008" s="224"/>
    </row>
    <row r="2009" spans="1:17" s="225" customFormat="1" ht="10.5" x14ac:dyDescent="0.25">
      <c r="A2009" s="229"/>
      <c r="B2009" s="230"/>
      <c r="C2009" s="177"/>
      <c r="D2009" s="178"/>
      <c r="E2009" s="178"/>
      <c r="F2009" s="178"/>
      <c r="G2009" s="178"/>
      <c r="H2009" s="178"/>
      <c r="I2009" s="178"/>
      <c r="J2009" s="178"/>
      <c r="K2009" s="178"/>
      <c r="L2009" s="178"/>
      <c r="M2009" s="178"/>
      <c r="N2009" s="178"/>
      <c r="O2009" s="178"/>
      <c r="P2009" s="231"/>
      <c r="Q2009" s="224"/>
    </row>
    <row r="2010" spans="1:17" s="225" customFormat="1" ht="10.5" x14ac:dyDescent="0.25">
      <c r="A2010" s="229"/>
      <c r="B2010" s="232" t="s">
        <v>5</v>
      </c>
      <c r="C2010" s="182" t="s">
        <v>1328</v>
      </c>
      <c r="D2010" s="182"/>
      <c r="E2010" s="182"/>
      <c r="F2010" s="182"/>
      <c r="G2010" s="182"/>
      <c r="H2010" s="182"/>
      <c r="I2010" s="182"/>
      <c r="J2010" s="182"/>
      <c r="K2010" s="182"/>
      <c r="L2010" s="182"/>
      <c r="M2010" s="182"/>
      <c r="N2010" s="182"/>
      <c r="O2010" s="182">
        <f>SUM(O2007:O2009)</f>
        <v>465.59627999999998</v>
      </c>
      <c r="P2010" s="233"/>
      <c r="Q2010" s="224"/>
    </row>
    <row r="2011" spans="1:17" s="228" customFormat="1" ht="63" x14ac:dyDescent="0.25">
      <c r="A2011" s="226" t="str">
        <f>ORÇAMENTO!A381</f>
        <v>5.1.2.1.4</v>
      </c>
      <c r="B2011" s="227" t="str">
        <f>VLOOKUP(A2011,ORÇAMENTO!A:K,4,0)</f>
        <v>ESCAVAÇÃO MECANIZADA DE VALA COM PROF. MAIOR QUE 4,5 M ATÉ 6,0 M (MÉDIA MONTANTE E JUSANTE/UMA COMPOSIÇÃO POR TRECHO), ESCAVADEIRA (1,2 M3), LARG. DE 1,5 M A 2,5 M, EM SOLO MOLE, EM LOCAIS COM ALTO NÍVEL DE INTERFERÊNCIA. AF_09/2024</v>
      </c>
      <c r="C2011" s="173" t="str">
        <f>VLOOKUP(A2011,ORÇAMENTO!A:K,5,0)</f>
        <v>M³</v>
      </c>
      <c r="D2011" s="173">
        <f>SUM(E2015:O2015)</f>
        <v>14.040000000000035</v>
      </c>
      <c r="E2011" s="173" t="s">
        <v>1718</v>
      </c>
      <c r="F2011" s="173" t="s">
        <v>1719</v>
      </c>
      <c r="G2011" s="173" t="s">
        <v>1720</v>
      </c>
      <c r="H2011" s="173" t="s">
        <v>1721</v>
      </c>
      <c r="I2011" s="173" t="s">
        <v>1722</v>
      </c>
      <c r="J2011" s="173" t="s">
        <v>1723</v>
      </c>
      <c r="K2011" s="173" t="s">
        <v>1746</v>
      </c>
      <c r="L2011" s="173" t="s">
        <v>1753</v>
      </c>
      <c r="M2011" s="173" t="s">
        <v>1771</v>
      </c>
      <c r="N2011" s="173" t="s">
        <v>1727</v>
      </c>
      <c r="O2011" s="173" t="s">
        <v>1728</v>
      </c>
      <c r="P2011" s="224"/>
      <c r="Q2011" s="224"/>
    </row>
    <row r="2012" spans="1:17" s="225" customFormat="1" ht="10.5" x14ac:dyDescent="0.25">
      <c r="A2012" s="229"/>
      <c r="B2012" s="230"/>
      <c r="C2012" s="177"/>
      <c r="D2012" s="178"/>
      <c r="E2012" s="178"/>
      <c r="F2012" s="178"/>
      <c r="G2012" s="178"/>
      <c r="H2012" s="178"/>
      <c r="I2012" s="178"/>
      <c r="J2012" s="178"/>
      <c r="K2012" s="178"/>
      <c r="L2012" s="178"/>
      <c r="M2012" s="178"/>
      <c r="N2012" s="178"/>
      <c r="O2012" s="178"/>
      <c r="P2012" s="231"/>
      <c r="Q2012" s="224"/>
    </row>
    <row r="2013" spans="1:17" s="225" customFormat="1" ht="10.5" x14ac:dyDescent="0.25">
      <c r="A2013" s="229"/>
      <c r="B2013" s="230" t="s">
        <v>1731</v>
      </c>
      <c r="C2013" s="177"/>
      <c r="D2013" s="178"/>
      <c r="E2013" s="178"/>
      <c r="F2013" s="178"/>
      <c r="G2013" s="178"/>
      <c r="H2013" s="178"/>
      <c r="I2013" s="178"/>
      <c r="J2013" s="178"/>
      <c r="K2013" s="178"/>
      <c r="L2013" s="178"/>
      <c r="M2013" s="178"/>
      <c r="N2013" s="178"/>
      <c r="O2013" s="178">
        <f>Quantitativos!AI89</f>
        <v>14.040000000000035</v>
      </c>
      <c r="P2013" s="231"/>
      <c r="Q2013" s="224"/>
    </row>
    <row r="2014" spans="1:17" s="225" customFormat="1" ht="10.5" x14ac:dyDescent="0.25">
      <c r="A2014" s="229"/>
      <c r="B2014" s="230"/>
      <c r="C2014" s="177"/>
      <c r="D2014" s="178"/>
      <c r="E2014" s="178"/>
      <c r="F2014" s="178"/>
      <c r="G2014" s="178"/>
      <c r="H2014" s="178"/>
      <c r="I2014" s="178"/>
      <c r="J2014" s="178"/>
      <c r="K2014" s="178"/>
      <c r="L2014" s="178"/>
      <c r="M2014" s="178"/>
      <c r="N2014" s="178"/>
      <c r="O2014" s="178"/>
      <c r="P2014" s="231"/>
      <c r="Q2014" s="224"/>
    </row>
    <row r="2015" spans="1:17" s="225" customFormat="1" ht="10.5" x14ac:dyDescent="0.25">
      <c r="A2015" s="229"/>
      <c r="B2015" s="232" t="s">
        <v>5</v>
      </c>
      <c r="C2015" s="182" t="s">
        <v>1328</v>
      </c>
      <c r="D2015" s="182"/>
      <c r="E2015" s="182"/>
      <c r="F2015" s="182"/>
      <c r="G2015" s="182"/>
      <c r="H2015" s="182"/>
      <c r="I2015" s="182"/>
      <c r="J2015" s="182"/>
      <c r="K2015" s="182"/>
      <c r="L2015" s="182"/>
      <c r="M2015" s="182"/>
      <c r="N2015" s="182"/>
      <c r="O2015" s="182">
        <f>SUM(O2012:O2014)</f>
        <v>14.040000000000035</v>
      </c>
      <c r="P2015" s="233"/>
      <c r="Q2015" s="224"/>
    </row>
    <row r="2016" spans="1:17" s="228" customFormat="1" ht="63" x14ac:dyDescent="0.25">
      <c r="A2016" s="226" t="str">
        <f>ORÇAMENTO!A382</f>
        <v>5.1.2.1.5</v>
      </c>
      <c r="B2016" s="227" t="str">
        <f>VLOOKUP(A2016,ORÇAMENTO!A:K,4,0)</f>
        <v>ESCAVAÇÃO MECANIZADA DE VALA COM PROF. ATÉ 1,5 M (MÉDIA MONTANTE E JUSANTE/UMA COMPOSIÇÃO POR TRECHO), ESCAVADEIRA (0,8 M3), LARG. MENOR QUE 1,5 M, EM SOLO DE 1A CATEGORIA, EM LOCAIS COM ALTO NÍVEL DE INTERFERÊNCIA. AF_09/2024</v>
      </c>
      <c r="C2016" s="173" t="str">
        <f>VLOOKUP(A2016,ORÇAMENTO!A:K,5,0)</f>
        <v>M³</v>
      </c>
      <c r="D2016" s="173">
        <f>SUM(E2020:O2020)</f>
        <v>1091.9789999999998</v>
      </c>
      <c r="E2016" s="173" t="s">
        <v>1718</v>
      </c>
      <c r="F2016" s="173" t="s">
        <v>1719</v>
      </c>
      <c r="G2016" s="173" t="s">
        <v>1720</v>
      </c>
      <c r="H2016" s="173" t="s">
        <v>1721</v>
      </c>
      <c r="I2016" s="173" t="s">
        <v>1722</v>
      </c>
      <c r="J2016" s="173" t="s">
        <v>1723</v>
      </c>
      <c r="K2016" s="173" t="s">
        <v>1746</v>
      </c>
      <c r="L2016" s="173" t="s">
        <v>1753</v>
      </c>
      <c r="M2016" s="173" t="s">
        <v>1771</v>
      </c>
      <c r="N2016" s="173" t="s">
        <v>1727</v>
      </c>
      <c r="O2016" s="173" t="s">
        <v>1728</v>
      </c>
      <c r="P2016" s="224"/>
      <c r="Q2016" s="224"/>
    </row>
    <row r="2017" spans="1:17" s="225" customFormat="1" ht="10.5" x14ac:dyDescent="0.25">
      <c r="A2017" s="229"/>
      <c r="B2017" s="230"/>
      <c r="C2017" s="177"/>
      <c r="D2017" s="178"/>
      <c r="E2017" s="178"/>
      <c r="F2017" s="178"/>
      <c r="G2017" s="178"/>
      <c r="H2017" s="178"/>
      <c r="I2017" s="178"/>
      <c r="J2017" s="178"/>
      <c r="K2017" s="178"/>
      <c r="L2017" s="178"/>
      <c r="M2017" s="178"/>
      <c r="N2017" s="178"/>
      <c r="O2017" s="178"/>
      <c r="P2017" s="231"/>
      <c r="Q2017" s="224"/>
    </row>
    <row r="2018" spans="1:17" s="225" customFormat="1" ht="10.5" x14ac:dyDescent="0.25">
      <c r="A2018" s="229"/>
      <c r="B2018" s="230" t="s">
        <v>1731</v>
      </c>
      <c r="C2018" s="177"/>
      <c r="D2018" s="178"/>
      <c r="E2018" s="178"/>
      <c r="F2018" s="178"/>
      <c r="G2018" s="178"/>
      <c r="H2018" s="178"/>
      <c r="I2018" s="178"/>
      <c r="J2018" s="178"/>
      <c r="K2018" s="178"/>
      <c r="L2018" s="178"/>
      <c r="M2018" s="178"/>
      <c r="N2018" s="178"/>
      <c r="O2018" s="178">
        <f>Quantitativos!AJ89</f>
        <v>1091.9789999999998</v>
      </c>
      <c r="P2018" s="231"/>
      <c r="Q2018" s="224"/>
    </row>
    <row r="2019" spans="1:17" s="225" customFormat="1" ht="10.5" x14ac:dyDescent="0.25">
      <c r="A2019" s="229"/>
      <c r="B2019" s="230"/>
      <c r="C2019" s="177"/>
      <c r="D2019" s="178"/>
      <c r="E2019" s="178"/>
      <c r="F2019" s="178"/>
      <c r="G2019" s="178"/>
      <c r="H2019" s="178"/>
      <c r="I2019" s="178"/>
      <c r="J2019" s="178"/>
      <c r="K2019" s="178"/>
      <c r="L2019" s="178"/>
      <c r="M2019" s="178"/>
      <c r="N2019" s="178"/>
      <c r="O2019" s="178"/>
      <c r="P2019" s="231"/>
      <c r="Q2019" s="224"/>
    </row>
    <row r="2020" spans="1:17" s="225" customFormat="1" ht="10.5" x14ac:dyDescent="0.25">
      <c r="A2020" s="229"/>
      <c r="B2020" s="232" t="s">
        <v>5</v>
      </c>
      <c r="C2020" s="182" t="s">
        <v>1328</v>
      </c>
      <c r="D2020" s="182"/>
      <c r="E2020" s="182"/>
      <c r="F2020" s="182"/>
      <c r="G2020" s="182"/>
      <c r="H2020" s="182"/>
      <c r="I2020" s="182"/>
      <c r="J2020" s="182"/>
      <c r="K2020" s="182"/>
      <c r="L2020" s="182"/>
      <c r="M2020" s="182"/>
      <c r="N2020" s="182"/>
      <c r="O2020" s="182">
        <f>SUM(O2017:O2019)</f>
        <v>1091.9789999999998</v>
      </c>
      <c r="P2020" s="233"/>
      <c r="Q2020" s="224"/>
    </row>
    <row r="2021" spans="1:17" s="228" customFormat="1" ht="63" x14ac:dyDescent="0.25">
      <c r="A2021" s="226" t="str">
        <f>ORÇAMENTO!A383</f>
        <v>5.1.2.1.6</v>
      </c>
      <c r="B2021" s="227" t="str">
        <f>VLOOKUP(A2021,ORÇAMENTO!A:K,4,0)</f>
        <v>ESCAVAÇÃO MECANIZADA DE VALA COM PROF. MAIOR QUE 1,5 M ATÉ 3,0 M (MÉDIA MONTANTE E JUSANTE/UMA COMPOSIÇÃO POR TRECHO), ESCAVADEIRA (0,8 M3), LARGURA ATÉ 1,5 M, EM SOLO DE 1A CATEGORIA, EM LOCAIS COM ALTO NÍVEL DE INTERFERÊNCIA. AF_09/2024</v>
      </c>
      <c r="C2021" s="173" t="str">
        <f>VLOOKUP(A2021,ORÇAMENTO!A:K,5,0)</f>
        <v>M³</v>
      </c>
      <c r="D2021" s="173">
        <f>SUM(E2025:O2025)</f>
        <v>773.3958752627691</v>
      </c>
      <c r="E2021" s="173" t="s">
        <v>1718</v>
      </c>
      <c r="F2021" s="173" t="s">
        <v>1719</v>
      </c>
      <c r="G2021" s="173" t="s">
        <v>1720</v>
      </c>
      <c r="H2021" s="173" t="s">
        <v>1721</v>
      </c>
      <c r="I2021" s="173" t="s">
        <v>1722</v>
      </c>
      <c r="J2021" s="173" t="s">
        <v>1723</v>
      </c>
      <c r="K2021" s="173" t="s">
        <v>1746</v>
      </c>
      <c r="L2021" s="173" t="s">
        <v>1753</v>
      </c>
      <c r="M2021" s="173" t="s">
        <v>1771</v>
      </c>
      <c r="N2021" s="173" t="s">
        <v>1727</v>
      </c>
      <c r="O2021" s="173" t="s">
        <v>1728</v>
      </c>
      <c r="P2021" s="224"/>
      <c r="Q2021" s="224"/>
    </row>
    <row r="2022" spans="1:17" s="225" customFormat="1" ht="10.5" x14ac:dyDescent="0.25">
      <c r="A2022" s="229"/>
      <c r="B2022" s="230"/>
      <c r="C2022" s="177"/>
      <c r="D2022" s="178"/>
      <c r="E2022" s="178"/>
      <c r="F2022" s="178"/>
      <c r="G2022" s="178"/>
      <c r="H2022" s="178"/>
      <c r="I2022" s="178"/>
      <c r="J2022" s="178"/>
      <c r="K2022" s="178"/>
      <c r="L2022" s="178"/>
      <c r="M2022" s="178"/>
      <c r="N2022" s="178"/>
      <c r="O2022" s="178"/>
      <c r="P2022" s="231"/>
      <c r="Q2022" s="224"/>
    </row>
    <row r="2023" spans="1:17" s="225" customFormat="1" ht="10.5" x14ac:dyDescent="0.25">
      <c r="A2023" s="229"/>
      <c r="B2023" s="230" t="s">
        <v>1731</v>
      </c>
      <c r="C2023" s="177"/>
      <c r="D2023" s="178"/>
      <c r="E2023" s="178"/>
      <c r="F2023" s="178"/>
      <c r="G2023" s="178"/>
      <c r="H2023" s="178"/>
      <c r="I2023" s="178"/>
      <c r="J2023" s="178"/>
      <c r="K2023" s="178"/>
      <c r="L2023" s="178"/>
      <c r="M2023" s="178"/>
      <c r="N2023" s="178"/>
      <c r="O2023" s="178">
        <f>Quantitativos!AK89</f>
        <v>773.3958752627691</v>
      </c>
      <c r="P2023" s="231"/>
      <c r="Q2023" s="224"/>
    </row>
    <row r="2024" spans="1:17" s="225" customFormat="1" ht="10.5" x14ac:dyDescent="0.25">
      <c r="A2024" s="229"/>
      <c r="B2024" s="230"/>
      <c r="C2024" s="177"/>
      <c r="D2024" s="178"/>
      <c r="E2024" s="178"/>
      <c r="F2024" s="178"/>
      <c r="G2024" s="178"/>
      <c r="H2024" s="178"/>
      <c r="I2024" s="178"/>
      <c r="J2024" s="178"/>
      <c r="K2024" s="178"/>
      <c r="L2024" s="178"/>
      <c r="M2024" s="178"/>
      <c r="N2024" s="178"/>
      <c r="O2024" s="178"/>
      <c r="P2024" s="231"/>
      <c r="Q2024" s="224"/>
    </row>
    <row r="2025" spans="1:17" s="225" customFormat="1" ht="10.5" x14ac:dyDescent="0.25">
      <c r="A2025" s="229"/>
      <c r="B2025" s="232" t="s">
        <v>5</v>
      </c>
      <c r="C2025" s="182" t="s">
        <v>1328</v>
      </c>
      <c r="D2025" s="182"/>
      <c r="E2025" s="182"/>
      <c r="F2025" s="182"/>
      <c r="G2025" s="182"/>
      <c r="H2025" s="182"/>
      <c r="I2025" s="182"/>
      <c r="J2025" s="182"/>
      <c r="K2025" s="182"/>
      <c r="L2025" s="182"/>
      <c r="M2025" s="182"/>
      <c r="N2025" s="182"/>
      <c r="O2025" s="182">
        <f>SUM(O2022:O2024)</f>
        <v>773.3958752627691</v>
      </c>
      <c r="P2025" s="233"/>
      <c r="Q2025" s="224"/>
    </row>
    <row r="2026" spans="1:17" s="228" customFormat="1" ht="63" x14ac:dyDescent="0.25">
      <c r="A2026" s="226" t="str">
        <f>ORÇAMENTO!A384</f>
        <v>5.1.2.1.7</v>
      </c>
      <c r="B2026" s="227" t="str">
        <f>VLOOKUP(A2026,ORÇAMENTO!A:K,4,0)</f>
        <v>ESCAVAÇÃO MECANIZADA DE VALA COM PROF. ATÉ 1,5 M (MÉDIA MONTANTE E JUSANTE/UMA COMPOSIÇÃO POR TRECHO), ESCAVADEIRA (0,8 M3), LARG. DE 1,5 M A 2,5 M, EM SOLO DE 1A CATEGORIA, EM LOCAIS COM ALTO NÍVEL DE INTERFERÊNCIA. AF_09/2024</v>
      </c>
      <c r="C2026" s="173" t="str">
        <f>VLOOKUP(A2026,ORÇAMENTO!A:K,5,0)</f>
        <v>M³</v>
      </c>
      <c r="D2026" s="173">
        <f>SUM(E2030:O2030)</f>
        <v>3183.1514999999999</v>
      </c>
      <c r="E2026" s="173" t="s">
        <v>1718</v>
      </c>
      <c r="F2026" s="173" t="s">
        <v>1719</v>
      </c>
      <c r="G2026" s="173" t="s">
        <v>1720</v>
      </c>
      <c r="H2026" s="173" t="s">
        <v>1721</v>
      </c>
      <c r="I2026" s="173" t="s">
        <v>1722</v>
      </c>
      <c r="J2026" s="173" t="s">
        <v>1723</v>
      </c>
      <c r="K2026" s="173" t="s">
        <v>1746</v>
      </c>
      <c r="L2026" s="173" t="s">
        <v>1753</v>
      </c>
      <c r="M2026" s="173" t="s">
        <v>1771</v>
      </c>
      <c r="N2026" s="173" t="s">
        <v>1727</v>
      </c>
      <c r="O2026" s="173" t="s">
        <v>1728</v>
      </c>
      <c r="P2026" s="224"/>
      <c r="Q2026" s="224"/>
    </row>
    <row r="2027" spans="1:17" s="225" customFormat="1" ht="10.5" x14ac:dyDescent="0.25">
      <c r="A2027" s="229"/>
      <c r="B2027" s="230"/>
      <c r="C2027" s="177"/>
      <c r="D2027" s="178"/>
      <c r="E2027" s="178"/>
      <c r="F2027" s="178"/>
      <c r="G2027" s="178"/>
      <c r="H2027" s="178"/>
      <c r="I2027" s="178"/>
      <c r="J2027" s="178"/>
      <c r="K2027" s="178"/>
      <c r="L2027" s="178"/>
      <c r="M2027" s="178"/>
      <c r="N2027" s="178"/>
      <c r="O2027" s="178"/>
      <c r="P2027" s="231"/>
      <c r="Q2027" s="224"/>
    </row>
    <row r="2028" spans="1:17" s="225" customFormat="1" ht="10.5" x14ac:dyDescent="0.25">
      <c r="A2028" s="229"/>
      <c r="B2028" s="230" t="s">
        <v>1731</v>
      </c>
      <c r="C2028" s="177"/>
      <c r="D2028" s="178"/>
      <c r="E2028" s="178"/>
      <c r="F2028" s="178"/>
      <c r="G2028" s="178"/>
      <c r="H2028" s="178"/>
      <c r="I2028" s="178"/>
      <c r="J2028" s="178"/>
      <c r="K2028" s="178"/>
      <c r="L2028" s="178"/>
      <c r="M2028" s="178"/>
      <c r="N2028" s="178"/>
      <c r="O2028" s="178">
        <f>Quantitativos!AL89</f>
        <v>3183.1514999999999</v>
      </c>
      <c r="P2028" s="231"/>
      <c r="Q2028" s="224"/>
    </row>
    <row r="2029" spans="1:17" s="225" customFormat="1" ht="10.5" x14ac:dyDescent="0.25">
      <c r="A2029" s="229"/>
      <c r="B2029" s="230"/>
      <c r="C2029" s="177"/>
      <c r="D2029" s="178"/>
      <c r="E2029" s="178"/>
      <c r="F2029" s="178"/>
      <c r="G2029" s="178"/>
      <c r="H2029" s="178"/>
      <c r="I2029" s="178"/>
      <c r="J2029" s="178"/>
      <c r="K2029" s="178"/>
      <c r="L2029" s="178"/>
      <c r="M2029" s="178"/>
      <c r="N2029" s="178"/>
      <c r="O2029" s="178"/>
      <c r="P2029" s="231"/>
      <c r="Q2029" s="224"/>
    </row>
    <row r="2030" spans="1:17" s="225" customFormat="1" ht="10.5" x14ac:dyDescent="0.25">
      <c r="A2030" s="229"/>
      <c r="B2030" s="232" t="s">
        <v>5</v>
      </c>
      <c r="C2030" s="182" t="s">
        <v>1328</v>
      </c>
      <c r="D2030" s="182"/>
      <c r="E2030" s="182"/>
      <c r="F2030" s="182"/>
      <c r="G2030" s="182"/>
      <c r="H2030" s="182"/>
      <c r="I2030" s="182"/>
      <c r="J2030" s="182"/>
      <c r="K2030" s="182"/>
      <c r="L2030" s="182"/>
      <c r="M2030" s="182"/>
      <c r="N2030" s="182"/>
      <c r="O2030" s="182">
        <f>SUM(O2027:O2029)</f>
        <v>3183.1514999999999</v>
      </c>
      <c r="P2030" s="233"/>
      <c r="Q2030" s="224"/>
    </row>
    <row r="2031" spans="1:17" s="228" customFormat="1" ht="63" x14ac:dyDescent="0.25">
      <c r="A2031" s="226" t="str">
        <f>ORÇAMENTO!A385</f>
        <v>5.1.2.1.8</v>
      </c>
      <c r="B2031" s="227" t="str">
        <f>VLOOKUP(A2031,ORÇAMENTO!A:K,4,0)</f>
        <v>ESCAVAÇÃO MECANIZADA DE VALA COM PROF. MAIOR QUE 1,50 M ATÉ 3,0 M (MÉDIA MONTANTE E JUSANTE/UMA COMPOSIÇÃO POR TRECHO), ESCAVADEIRA (1,2 M3), LARG. DE 1,5 M A 2,5 M, EM SOLO DE 1A CATEGORIA, EM LOCAIS COM ALTO NÍVEL DE INTERFERÊNCIA. AF_09/2024</v>
      </c>
      <c r="C2031" s="173" t="str">
        <f>VLOOKUP(A2031,ORÇAMENTO!A:K,5,0)</f>
        <v>M³</v>
      </c>
      <c r="D2031" s="173">
        <f>SUM(E2035:O2035)</f>
        <v>2400.794770174291</v>
      </c>
      <c r="E2031" s="173" t="s">
        <v>1718</v>
      </c>
      <c r="F2031" s="173" t="s">
        <v>1719</v>
      </c>
      <c r="G2031" s="173" t="s">
        <v>1720</v>
      </c>
      <c r="H2031" s="173" t="s">
        <v>1721</v>
      </c>
      <c r="I2031" s="173" t="s">
        <v>1722</v>
      </c>
      <c r="J2031" s="173" t="s">
        <v>1723</v>
      </c>
      <c r="K2031" s="173" t="s">
        <v>1746</v>
      </c>
      <c r="L2031" s="173" t="s">
        <v>1753</v>
      </c>
      <c r="M2031" s="173" t="s">
        <v>1771</v>
      </c>
      <c r="N2031" s="173" t="s">
        <v>1727</v>
      </c>
      <c r="O2031" s="173" t="s">
        <v>1728</v>
      </c>
      <c r="P2031" s="224"/>
      <c r="Q2031" s="224"/>
    </row>
    <row r="2032" spans="1:17" s="225" customFormat="1" ht="10.5" x14ac:dyDescent="0.25">
      <c r="A2032" s="229"/>
      <c r="B2032" s="230"/>
      <c r="C2032" s="177"/>
      <c r="D2032" s="178"/>
      <c r="E2032" s="178"/>
      <c r="F2032" s="178"/>
      <c r="G2032" s="178"/>
      <c r="H2032" s="178"/>
      <c r="I2032" s="178"/>
      <c r="J2032" s="178"/>
      <c r="K2032" s="178"/>
      <c r="L2032" s="178"/>
      <c r="M2032" s="178"/>
      <c r="N2032" s="178"/>
      <c r="O2032" s="178"/>
      <c r="P2032" s="231"/>
      <c r="Q2032" s="224"/>
    </row>
    <row r="2033" spans="1:17" s="225" customFormat="1" ht="10.5" x14ac:dyDescent="0.25">
      <c r="A2033" s="229"/>
      <c r="B2033" s="230" t="s">
        <v>1731</v>
      </c>
      <c r="C2033" s="177"/>
      <c r="D2033" s="178"/>
      <c r="E2033" s="178"/>
      <c r="F2033" s="178"/>
      <c r="G2033" s="178"/>
      <c r="H2033" s="178"/>
      <c r="I2033" s="178"/>
      <c r="J2033" s="178"/>
      <c r="K2033" s="178"/>
      <c r="L2033" s="178"/>
      <c r="M2033" s="178"/>
      <c r="N2033" s="178"/>
      <c r="O2033" s="178">
        <f>Quantitativos!AM89</f>
        <v>2400.794770174291</v>
      </c>
      <c r="P2033" s="231"/>
      <c r="Q2033" s="224"/>
    </row>
    <row r="2034" spans="1:17" s="225" customFormat="1" ht="10.5" x14ac:dyDescent="0.25">
      <c r="A2034" s="229"/>
      <c r="B2034" s="230"/>
      <c r="C2034" s="177"/>
      <c r="D2034" s="178"/>
      <c r="E2034" s="178"/>
      <c r="F2034" s="178"/>
      <c r="G2034" s="178"/>
      <c r="H2034" s="178"/>
      <c r="I2034" s="178"/>
      <c r="J2034" s="178"/>
      <c r="K2034" s="178"/>
      <c r="L2034" s="178"/>
      <c r="M2034" s="178"/>
      <c r="N2034" s="178"/>
      <c r="O2034" s="178"/>
      <c r="P2034" s="231"/>
      <c r="Q2034" s="224"/>
    </row>
    <row r="2035" spans="1:17" s="225" customFormat="1" ht="10.5" x14ac:dyDescent="0.25">
      <c r="A2035" s="229"/>
      <c r="B2035" s="232" t="s">
        <v>5</v>
      </c>
      <c r="C2035" s="182" t="s">
        <v>1328</v>
      </c>
      <c r="D2035" s="182"/>
      <c r="E2035" s="182"/>
      <c r="F2035" s="182"/>
      <c r="G2035" s="182"/>
      <c r="H2035" s="182"/>
      <c r="I2035" s="182"/>
      <c r="J2035" s="182"/>
      <c r="K2035" s="182"/>
      <c r="L2035" s="182"/>
      <c r="M2035" s="182"/>
      <c r="N2035" s="182"/>
      <c r="O2035" s="182">
        <f>SUM(O2032:O2034)</f>
        <v>2400.794770174291</v>
      </c>
      <c r="P2035" s="233"/>
      <c r="Q2035" s="224"/>
    </row>
    <row r="2036" spans="1:17" s="228" customFormat="1" ht="63" x14ac:dyDescent="0.25">
      <c r="A2036" s="226" t="str">
        <f>ORÇAMENTO!A386</f>
        <v>5.1.2.1.9</v>
      </c>
      <c r="B2036" s="227" t="str">
        <f>VLOOKUP(A2036,ORÇAMENTO!A:K,4,0)</f>
        <v>ESCAVAÇÃO MECANIZADA DE VALA COM PROF. DE 3,0 M ATÉ 4,5 M(MÉDIA MONTANTE E JUSANTE/UMA COMPOSIÇÃO POR TRECHO), ESCAVADEIRA (1,2 M3), LARG. DE 1,5 M A 2,5 M, EM SOLO DE 1A CATEGORIA, EM LOCAIS COM ALTO NÍVEL DE INTERFERÊNCIA. AF_09/2024</v>
      </c>
      <c r="C2036" s="173" t="str">
        <f>VLOOKUP(A2036,ORÇAMENTO!A:K,5,0)</f>
        <v>M³</v>
      </c>
      <c r="D2036" s="173">
        <f>SUM(E2040:O2040)</f>
        <v>515.67360938614024</v>
      </c>
      <c r="E2036" s="173" t="s">
        <v>1718</v>
      </c>
      <c r="F2036" s="173" t="s">
        <v>1719</v>
      </c>
      <c r="G2036" s="173" t="s">
        <v>1720</v>
      </c>
      <c r="H2036" s="173" t="s">
        <v>1721</v>
      </c>
      <c r="I2036" s="173" t="s">
        <v>1722</v>
      </c>
      <c r="J2036" s="173" t="s">
        <v>1723</v>
      </c>
      <c r="K2036" s="173" t="s">
        <v>1746</v>
      </c>
      <c r="L2036" s="173" t="s">
        <v>1753</v>
      </c>
      <c r="M2036" s="173" t="s">
        <v>1771</v>
      </c>
      <c r="N2036" s="173" t="s">
        <v>1727</v>
      </c>
      <c r="O2036" s="173" t="s">
        <v>1728</v>
      </c>
      <c r="P2036" s="224"/>
      <c r="Q2036" s="224"/>
    </row>
    <row r="2037" spans="1:17" s="225" customFormat="1" ht="10.5" x14ac:dyDescent="0.25">
      <c r="A2037" s="229"/>
      <c r="B2037" s="230"/>
      <c r="C2037" s="177"/>
      <c r="D2037" s="178"/>
      <c r="E2037" s="178"/>
      <c r="F2037" s="178"/>
      <c r="G2037" s="178"/>
      <c r="H2037" s="178"/>
      <c r="I2037" s="178"/>
      <c r="J2037" s="178"/>
      <c r="K2037" s="178"/>
      <c r="L2037" s="178"/>
      <c r="M2037" s="178"/>
      <c r="N2037" s="178"/>
      <c r="O2037" s="178"/>
      <c r="P2037" s="231"/>
      <c r="Q2037" s="224"/>
    </row>
    <row r="2038" spans="1:17" s="225" customFormat="1" ht="10.5" x14ac:dyDescent="0.25">
      <c r="A2038" s="229"/>
      <c r="B2038" s="230" t="s">
        <v>1731</v>
      </c>
      <c r="C2038" s="177"/>
      <c r="D2038" s="178"/>
      <c r="E2038" s="178"/>
      <c r="F2038" s="178"/>
      <c r="G2038" s="178"/>
      <c r="H2038" s="178"/>
      <c r="I2038" s="178"/>
      <c r="J2038" s="178"/>
      <c r="K2038" s="178"/>
      <c r="L2038" s="178"/>
      <c r="M2038" s="178"/>
      <c r="N2038" s="178"/>
      <c r="O2038" s="178">
        <f>Quantitativos!AN89</f>
        <v>515.67360938614024</v>
      </c>
      <c r="P2038" s="231"/>
      <c r="Q2038" s="224"/>
    </row>
    <row r="2039" spans="1:17" s="225" customFormat="1" ht="10.5" x14ac:dyDescent="0.25">
      <c r="A2039" s="229"/>
      <c r="B2039" s="230"/>
      <c r="C2039" s="177"/>
      <c r="D2039" s="178"/>
      <c r="E2039" s="178"/>
      <c r="F2039" s="178"/>
      <c r="G2039" s="178"/>
      <c r="H2039" s="178"/>
      <c r="I2039" s="178"/>
      <c r="J2039" s="178"/>
      <c r="K2039" s="178"/>
      <c r="L2039" s="178"/>
      <c r="M2039" s="178"/>
      <c r="N2039" s="178"/>
      <c r="O2039" s="178"/>
      <c r="P2039" s="231"/>
      <c r="Q2039" s="224"/>
    </row>
    <row r="2040" spans="1:17" s="225" customFormat="1" ht="10.5" x14ac:dyDescent="0.25">
      <c r="A2040" s="229"/>
      <c r="B2040" s="232" t="s">
        <v>5</v>
      </c>
      <c r="C2040" s="182" t="s">
        <v>1328</v>
      </c>
      <c r="D2040" s="182"/>
      <c r="E2040" s="182"/>
      <c r="F2040" s="182"/>
      <c r="G2040" s="182"/>
      <c r="H2040" s="182"/>
      <c r="I2040" s="182"/>
      <c r="J2040" s="182"/>
      <c r="K2040" s="182"/>
      <c r="L2040" s="182"/>
      <c r="M2040" s="182"/>
      <c r="N2040" s="182"/>
      <c r="O2040" s="182">
        <f>SUM(O2037:O2039)</f>
        <v>515.67360938614024</v>
      </c>
      <c r="P2040" s="233"/>
      <c r="Q2040" s="224"/>
    </row>
    <row r="2041" spans="1:17" s="228" customFormat="1" ht="31.5" x14ac:dyDescent="0.25">
      <c r="A2041" s="226" t="str">
        <f>ORÇAMENTO!A387</f>
        <v>5.1.2.1.10</v>
      </c>
      <c r="B2041" s="227" t="str">
        <f>VLOOKUP(A2041,ORÇAMENTO!A:K,4,0)</f>
        <v>ESCAVAÇÃO MECANIZADA DE VALAS EM MATERIAL DE 1ª E/OU 2ª CATEGORIAS, LARGURA MAIOR QUE 2,5M E ATÉ 2,00 M DE PROFUNDIDADE</v>
      </c>
      <c r="C2041" s="173" t="str">
        <f>VLOOKUP(A2041,ORÇAMENTO!A:K,5,0)</f>
        <v>M³</v>
      </c>
      <c r="D2041" s="173">
        <f>SUM(E2045:O2045)</f>
        <v>792.846</v>
      </c>
      <c r="E2041" s="173" t="s">
        <v>1718</v>
      </c>
      <c r="F2041" s="173" t="s">
        <v>1719</v>
      </c>
      <c r="G2041" s="173" t="s">
        <v>1720</v>
      </c>
      <c r="H2041" s="173" t="s">
        <v>1721</v>
      </c>
      <c r="I2041" s="173" t="s">
        <v>1722</v>
      </c>
      <c r="J2041" s="173" t="s">
        <v>1723</v>
      </c>
      <c r="K2041" s="173" t="s">
        <v>1746</v>
      </c>
      <c r="L2041" s="173" t="s">
        <v>1753</v>
      </c>
      <c r="M2041" s="173" t="s">
        <v>1771</v>
      </c>
      <c r="N2041" s="173" t="s">
        <v>1727</v>
      </c>
      <c r="O2041" s="173" t="s">
        <v>1728</v>
      </c>
      <c r="P2041" s="224"/>
      <c r="Q2041" s="224"/>
    </row>
    <row r="2042" spans="1:17" s="225" customFormat="1" ht="10.5" x14ac:dyDescent="0.25">
      <c r="A2042" s="229"/>
      <c r="B2042" s="230"/>
      <c r="C2042" s="177"/>
      <c r="D2042" s="178"/>
      <c r="E2042" s="178"/>
      <c r="F2042" s="178"/>
      <c r="G2042" s="178"/>
      <c r="H2042" s="178"/>
      <c r="I2042" s="178"/>
      <c r="J2042" s="178"/>
      <c r="K2042" s="178"/>
      <c r="L2042" s="178"/>
      <c r="M2042" s="178"/>
      <c r="N2042" s="178"/>
      <c r="O2042" s="178"/>
      <c r="P2042" s="231"/>
      <c r="Q2042" s="224"/>
    </row>
    <row r="2043" spans="1:17" s="225" customFormat="1" ht="10.5" x14ac:dyDescent="0.25">
      <c r="A2043" s="229"/>
      <c r="B2043" s="230" t="s">
        <v>1731</v>
      </c>
      <c r="C2043" s="177"/>
      <c r="D2043" s="178"/>
      <c r="E2043" s="178"/>
      <c r="F2043" s="178"/>
      <c r="G2043" s="178"/>
      <c r="H2043" s="178"/>
      <c r="I2043" s="178"/>
      <c r="J2043" s="178"/>
      <c r="K2043" s="178"/>
      <c r="L2043" s="178"/>
      <c r="M2043" s="178"/>
      <c r="N2043" s="178"/>
      <c r="O2043" s="178">
        <f>Quantitativos!AO89</f>
        <v>792.846</v>
      </c>
      <c r="P2043" s="231"/>
      <c r="Q2043" s="224"/>
    </row>
    <row r="2044" spans="1:17" s="225" customFormat="1" ht="10.5" x14ac:dyDescent="0.25">
      <c r="A2044" s="229"/>
      <c r="B2044" s="230"/>
      <c r="C2044" s="177"/>
      <c r="D2044" s="178"/>
      <c r="E2044" s="178"/>
      <c r="F2044" s="178"/>
      <c r="G2044" s="178"/>
      <c r="H2044" s="178"/>
      <c r="I2044" s="178"/>
      <c r="J2044" s="178"/>
      <c r="K2044" s="178"/>
      <c r="L2044" s="178"/>
      <c r="M2044" s="178"/>
      <c r="N2044" s="178"/>
      <c r="O2044" s="178"/>
      <c r="P2044" s="231"/>
      <c r="Q2044" s="224"/>
    </row>
    <row r="2045" spans="1:17" s="225" customFormat="1" ht="10.5" x14ac:dyDescent="0.25">
      <c r="A2045" s="229"/>
      <c r="B2045" s="232" t="s">
        <v>5</v>
      </c>
      <c r="C2045" s="182" t="s">
        <v>1328</v>
      </c>
      <c r="D2045" s="182"/>
      <c r="E2045" s="182"/>
      <c r="F2045" s="182"/>
      <c r="G2045" s="182"/>
      <c r="H2045" s="182"/>
      <c r="I2045" s="182"/>
      <c r="J2045" s="182"/>
      <c r="K2045" s="182"/>
      <c r="L2045" s="182"/>
      <c r="M2045" s="182"/>
      <c r="N2045" s="182"/>
      <c r="O2045" s="182">
        <f>SUM(O2042:O2044)</f>
        <v>792.846</v>
      </c>
      <c r="P2045" s="233"/>
      <c r="Q2045" s="224"/>
    </row>
    <row r="2046" spans="1:17" s="228" customFormat="1" ht="42" x14ac:dyDescent="0.25">
      <c r="A2046" s="226" t="str">
        <f>ORÇAMENTO!A388</f>
        <v>5.1.2.1.11</v>
      </c>
      <c r="B2046" s="227" t="str">
        <f>VLOOKUP(A2046,ORÇAMENTO!A:K,4,0)</f>
        <v>ESCAVAÇÃO MECANIZADA DE VALAS EM MATERIAL DE 1ª E/OU 2ª CATEGORIAS, LARGURA MAIOR QUE 2,5M EACIMA DE 2,00 M  E ATÉ 4,00 M DE PROFUNDIDADE.</v>
      </c>
      <c r="C2046" s="173" t="str">
        <f>VLOOKUP(A2046,ORÇAMENTO!A:K,5,0)</f>
        <v>M³</v>
      </c>
      <c r="D2046" s="173">
        <f>SUM(E2050:O2050)</f>
        <v>332.83466560515706</v>
      </c>
      <c r="E2046" s="173" t="s">
        <v>1718</v>
      </c>
      <c r="F2046" s="173" t="s">
        <v>1719</v>
      </c>
      <c r="G2046" s="173" t="s">
        <v>1720</v>
      </c>
      <c r="H2046" s="173" t="s">
        <v>1721</v>
      </c>
      <c r="I2046" s="173" t="s">
        <v>1722</v>
      </c>
      <c r="J2046" s="173" t="s">
        <v>1723</v>
      </c>
      <c r="K2046" s="173" t="s">
        <v>1746</v>
      </c>
      <c r="L2046" s="173" t="s">
        <v>1753</v>
      </c>
      <c r="M2046" s="173" t="s">
        <v>1771</v>
      </c>
      <c r="N2046" s="173" t="s">
        <v>1727</v>
      </c>
      <c r="O2046" s="173" t="s">
        <v>1728</v>
      </c>
      <c r="P2046" s="224"/>
      <c r="Q2046" s="224"/>
    </row>
    <row r="2047" spans="1:17" s="225" customFormat="1" ht="10.5" x14ac:dyDescent="0.25">
      <c r="A2047" s="229"/>
      <c r="B2047" s="230"/>
      <c r="C2047" s="177"/>
      <c r="D2047" s="178"/>
      <c r="E2047" s="178"/>
      <c r="F2047" s="178"/>
      <c r="G2047" s="178"/>
      <c r="H2047" s="178"/>
      <c r="I2047" s="178"/>
      <c r="J2047" s="178"/>
      <c r="K2047" s="178"/>
      <c r="L2047" s="178"/>
      <c r="M2047" s="178"/>
      <c r="N2047" s="178"/>
      <c r="O2047" s="178"/>
      <c r="P2047" s="231"/>
      <c r="Q2047" s="224"/>
    </row>
    <row r="2048" spans="1:17" s="225" customFormat="1" ht="10.5" x14ac:dyDescent="0.25">
      <c r="A2048" s="229"/>
      <c r="B2048" s="230" t="s">
        <v>1731</v>
      </c>
      <c r="C2048" s="177"/>
      <c r="D2048" s="178"/>
      <c r="E2048" s="178"/>
      <c r="F2048" s="178"/>
      <c r="G2048" s="178"/>
      <c r="H2048" s="178"/>
      <c r="I2048" s="178"/>
      <c r="J2048" s="178"/>
      <c r="K2048" s="178"/>
      <c r="L2048" s="178"/>
      <c r="M2048" s="178"/>
      <c r="N2048" s="178"/>
      <c r="O2048" s="178">
        <f>Quantitativos!AP89</f>
        <v>332.83466560515706</v>
      </c>
      <c r="P2048" s="231"/>
      <c r="Q2048" s="224"/>
    </row>
    <row r="2049" spans="1:19" s="225" customFormat="1" ht="10.5" x14ac:dyDescent="0.25">
      <c r="A2049" s="229"/>
      <c r="B2049" s="230"/>
      <c r="C2049" s="177"/>
      <c r="D2049" s="178"/>
      <c r="E2049" s="178"/>
      <c r="F2049" s="178"/>
      <c r="G2049" s="178"/>
      <c r="H2049" s="178"/>
      <c r="I2049" s="178"/>
      <c r="J2049" s="178"/>
      <c r="K2049" s="178"/>
      <c r="L2049" s="178"/>
      <c r="M2049" s="178"/>
      <c r="N2049" s="178"/>
      <c r="O2049" s="178"/>
      <c r="P2049" s="231"/>
      <c r="Q2049" s="224"/>
    </row>
    <row r="2050" spans="1:19" s="225" customFormat="1" ht="10.5" x14ac:dyDescent="0.25">
      <c r="A2050" s="229"/>
      <c r="B2050" s="232" t="s">
        <v>5</v>
      </c>
      <c r="C2050" s="182" t="s">
        <v>1328</v>
      </c>
      <c r="D2050" s="182"/>
      <c r="E2050" s="182"/>
      <c r="F2050" s="182"/>
      <c r="G2050" s="182"/>
      <c r="H2050" s="182"/>
      <c r="I2050" s="182"/>
      <c r="J2050" s="182"/>
      <c r="K2050" s="182"/>
      <c r="L2050" s="182"/>
      <c r="M2050" s="182"/>
      <c r="N2050" s="182"/>
      <c r="O2050" s="182">
        <f>SUM(O2047:O2049)</f>
        <v>332.83466560515706</v>
      </c>
      <c r="P2050" s="233"/>
      <c r="Q2050" s="224"/>
    </row>
    <row r="2051" spans="1:19" s="235" customFormat="1" ht="31.5" x14ac:dyDescent="0.35">
      <c r="A2051" s="226" t="str">
        <f>ORÇAMENTO!A389</f>
        <v>5.1.2.1.12</v>
      </c>
      <c r="B2051" s="227" t="str">
        <f>VLOOKUP(A2051,ORÇAMENTO!A:K,4,0)</f>
        <v>ESCAVAÇÃO DE VALA EM MATERIAL DE 3ª CATEGORIA COM ESCAVADEIRA E ROMPEDOR HIDRÁULICO DE 1700KG</v>
      </c>
      <c r="C2051" s="173" t="str">
        <f>VLOOKUP(A2051,ORÇAMENTO!A:K,5,0)</f>
        <v>M³</v>
      </c>
      <c r="D2051" s="173">
        <f>SUM(E2053:O2053)</f>
        <v>222.18</v>
      </c>
      <c r="E2051" s="173" t="s">
        <v>1752</v>
      </c>
      <c r="F2051" s="173" t="s">
        <v>1719</v>
      </c>
      <c r="G2051" s="173" t="s">
        <v>1720</v>
      </c>
      <c r="H2051" s="173" t="s">
        <v>1721</v>
      </c>
      <c r="I2051" s="173" t="s">
        <v>1722</v>
      </c>
      <c r="J2051" s="173" t="s">
        <v>1723</v>
      </c>
      <c r="K2051" s="173" t="s">
        <v>1724</v>
      </c>
      <c r="L2051" s="173" t="s">
        <v>1753</v>
      </c>
      <c r="M2051" s="173" t="s">
        <v>1730</v>
      </c>
      <c r="N2051" s="173" t="s">
        <v>1727</v>
      </c>
      <c r="O2051" s="173" t="s">
        <v>1728</v>
      </c>
      <c r="P2051" s="224"/>
      <c r="Q2051" s="224"/>
      <c r="R2051" s="224"/>
      <c r="S2051" s="224"/>
    </row>
    <row r="2052" spans="1:19" s="225" customFormat="1" ht="10.5" x14ac:dyDescent="0.25">
      <c r="A2052" s="229"/>
      <c r="B2052" s="230"/>
      <c r="C2052" s="184"/>
      <c r="D2052" s="185"/>
      <c r="E2052" s="185"/>
      <c r="F2052" s="185"/>
      <c r="G2052" s="185"/>
      <c r="H2052" s="185"/>
      <c r="I2052" s="185"/>
      <c r="J2052" s="185"/>
      <c r="K2052" s="185"/>
      <c r="L2052" s="197"/>
      <c r="M2052" s="185"/>
      <c r="N2052" s="185"/>
      <c r="O2052" s="185">
        <f>Quantitativos!AR89</f>
        <v>222.18</v>
      </c>
      <c r="P2052" s="231"/>
      <c r="Q2052" s="224"/>
    </row>
    <row r="2053" spans="1:19" s="225" customFormat="1" ht="10.5" x14ac:dyDescent="0.25">
      <c r="A2053" s="229"/>
      <c r="B2053" s="232" t="s">
        <v>5</v>
      </c>
      <c r="C2053" s="182" t="s">
        <v>1328</v>
      </c>
      <c r="D2053" s="182"/>
      <c r="E2053" s="182"/>
      <c r="F2053" s="182"/>
      <c r="G2053" s="182"/>
      <c r="H2053" s="182"/>
      <c r="I2053" s="182"/>
      <c r="J2053" s="182"/>
      <c r="K2053" s="185"/>
      <c r="L2053" s="182"/>
      <c r="M2053" s="184"/>
      <c r="N2053" s="182"/>
      <c r="O2053" s="182">
        <f>SUM(O2052)</f>
        <v>222.18</v>
      </c>
      <c r="P2053" s="233"/>
      <c r="Q2053" s="224"/>
    </row>
    <row r="2054" spans="1:19" s="235" customFormat="1" ht="52.5" x14ac:dyDescent="0.35">
      <c r="A2054" s="226" t="str">
        <f>ORÇAMENTO!A390</f>
        <v>5.1.2.1.13</v>
      </c>
      <c r="B2054" s="227" t="str">
        <f>VLOOKUP(A2054,ORÇAMENTO!A:K,4,0)</f>
        <v>CARGA, MANOBRA E DESCARGA DE SOLOS E MATERIAIS GRANULARES EM CAMINHÃO BASCULANTE 14 M³ - CARGA COM ESCAVADEIRA HIDRÁULICA (CAÇAMBA DE 1,20 M³ / 155 HP) E DESCARGA LIVRE (UNIDADE: M3). AF_07/2020</v>
      </c>
      <c r="C2054" s="173" t="str">
        <f>VLOOKUP(A2054,ORÇAMENTO!A:K,5,0)</f>
        <v>M³</v>
      </c>
      <c r="D2054" s="173">
        <f>SUM(E2056:O2056)</f>
        <v>2036.89428</v>
      </c>
      <c r="E2054" s="173" t="s">
        <v>1752</v>
      </c>
      <c r="F2054" s="173" t="s">
        <v>1719</v>
      </c>
      <c r="G2054" s="173" t="s">
        <v>1720</v>
      </c>
      <c r="H2054" s="173" t="s">
        <v>1721</v>
      </c>
      <c r="I2054" s="173" t="s">
        <v>1722</v>
      </c>
      <c r="J2054" s="173" t="s">
        <v>1723</v>
      </c>
      <c r="K2054" s="173" t="s">
        <v>1746</v>
      </c>
      <c r="L2054" s="173" t="s">
        <v>1753</v>
      </c>
      <c r="M2054" s="173" t="s">
        <v>1730</v>
      </c>
      <c r="N2054" s="173" t="s">
        <v>1727</v>
      </c>
      <c r="O2054" s="173" t="s">
        <v>1728</v>
      </c>
      <c r="P2054" s="224"/>
      <c r="Q2054" s="224"/>
      <c r="R2054" s="224"/>
      <c r="S2054" s="224"/>
    </row>
    <row r="2055" spans="1:19" s="225" customFormat="1" ht="10.5" x14ac:dyDescent="0.25">
      <c r="A2055" s="229"/>
      <c r="B2055" s="230" t="s">
        <v>1885</v>
      </c>
      <c r="C2055" s="184"/>
      <c r="D2055" s="185"/>
      <c r="E2055" s="185"/>
      <c r="F2055" s="185"/>
      <c r="G2055" s="185"/>
      <c r="H2055" s="185"/>
      <c r="I2055" s="185"/>
      <c r="J2055" s="185"/>
      <c r="K2055" s="185"/>
      <c r="L2055" s="197"/>
      <c r="M2055" s="185"/>
      <c r="N2055" s="185"/>
      <c r="O2055" s="185">
        <f>Quantitativos!BL89</f>
        <v>2036.89428</v>
      </c>
      <c r="P2055" s="231"/>
      <c r="Q2055" s="224"/>
    </row>
    <row r="2056" spans="1:19" s="225" customFormat="1" ht="10.5" x14ac:dyDescent="0.25">
      <c r="A2056" s="229"/>
      <c r="B2056" s="232" t="s">
        <v>5</v>
      </c>
      <c r="C2056" s="182" t="s">
        <v>1328</v>
      </c>
      <c r="D2056" s="182"/>
      <c r="E2056" s="182"/>
      <c r="F2056" s="182"/>
      <c r="G2056" s="182"/>
      <c r="H2056" s="182"/>
      <c r="I2056" s="182"/>
      <c r="J2056" s="182"/>
      <c r="K2056" s="182"/>
      <c r="L2056" s="182"/>
      <c r="M2056" s="184"/>
      <c r="N2056" s="182"/>
      <c r="O2056" s="182">
        <f>SUM(O2055)</f>
        <v>2036.89428</v>
      </c>
      <c r="P2056" s="233"/>
      <c r="Q2056" s="224"/>
    </row>
    <row r="2057" spans="1:19" s="235" customFormat="1" ht="31.5" x14ac:dyDescent="0.35">
      <c r="A2057" s="226" t="str">
        <f>ORÇAMENTO!A391</f>
        <v>5.1.2.1.14</v>
      </c>
      <c r="B2057" s="227" t="str">
        <f>VLOOKUP(A2057,ORÇAMENTO!A:K,4,0)</f>
        <v>TRANSPORTE COM CAMINHÃO BASCULANTE DE 14 M³, EM VIA URBANA PAVIMENTADA, DMT ATÉ 30 KM (UNIDADE: M3XKM). AF_07/2020</v>
      </c>
      <c r="C2057" s="173" t="str">
        <f>VLOOKUP(A2057,ORÇAMENTO!A:K,5,0)</f>
        <v>M3XKM</v>
      </c>
      <c r="D2057" s="173">
        <f>SUM(E2060:O2060)</f>
        <v>61106.828399999999</v>
      </c>
      <c r="E2057" s="173" t="s">
        <v>1752</v>
      </c>
      <c r="F2057" s="173" t="s">
        <v>1719</v>
      </c>
      <c r="G2057" s="173" t="s">
        <v>1720</v>
      </c>
      <c r="H2057" s="173" t="s">
        <v>1721</v>
      </c>
      <c r="I2057" s="173" t="s">
        <v>1722</v>
      </c>
      <c r="J2057" s="173" t="s">
        <v>1723</v>
      </c>
      <c r="K2057" s="173" t="s">
        <v>1746</v>
      </c>
      <c r="L2057" s="173" t="s">
        <v>1753</v>
      </c>
      <c r="M2057" s="173" t="s">
        <v>1750</v>
      </c>
      <c r="N2057" s="173" t="s">
        <v>1727</v>
      </c>
      <c r="O2057" s="173" t="s">
        <v>1728</v>
      </c>
      <c r="P2057" s="224"/>
      <c r="Q2057" s="224"/>
      <c r="R2057" s="224"/>
      <c r="S2057" s="224"/>
    </row>
    <row r="2058" spans="1:19" s="225" customFormat="1" ht="10.5" x14ac:dyDescent="0.25">
      <c r="A2058" s="229"/>
      <c r="B2058" s="230" t="s">
        <v>1886</v>
      </c>
      <c r="C2058" s="177"/>
      <c r="D2058" s="178"/>
      <c r="E2058" s="178">
        <v>30</v>
      </c>
      <c r="F2058" s="178"/>
      <c r="G2058" s="178"/>
      <c r="H2058" s="178"/>
      <c r="I2058" s="178"/>
      <c r="J2058" s="178"/>
      <c r="K2058" s="178"/>
      <c r="L2058" s="190"/>
      <c r="M2058" s="178">
        <f>E2058*O2058</f>
        <v>54441.428399999997</v>
      </c>
      <c r="N2058" s="178"/>
      <c r="O2058" s="178">
        <f>Quantitativos!BL91</f>
        <v>1814.7142799999999</v>
      </c>
      <c r="P2058" s="231"/>
      <c r="Q2058" s="224"/>
    </row>
    <row r="2059" spans="1:19" s="225" customFormat="1" ht="10.5" x14ac:dyDescent="0.25">
      <c r="A2059" s="229"/>
      <c r="B2059" s="230" t="s">
        <v>1751</v>
      </c>
      <c r="C2059" s="177"/>
      <c r="D2059" s="178"/>
      <c r="E2059" s="178">
        <v>30</v>
      </c>
      <c r="F2059" s="178"/>
      <c r="G2059" s="178"/>
      <c r="H2059" s="178"/>
      <c r="I2059" s="178"/>
      <c r="J2059" s="178"/>
      <c r="K2059" s="178"/>
      <c r="L2059" s="190"/>
      <c r="M2059" s="178">
        <f>E2059*O2059</f>
        <v>6665.4000000000005</v>
      </c>
      <c r="N2059" s="178"/>
      <c r="O2059" s="178">
        <f>Quantitativos!BL90</f>
        <v>222.18</v>
      </c>
      <c r="P2059" s="231"/>
      <c r="Q2059" s="224"/>
    </row>
    <row r="2060" spans="1:19" s="225" customFormat="1" ht="10.5" x14ac:dyDescent="0.25">
      <c r="A2060" s="229"/>
      <c r="B2060" s="232" t="s">
        <v>5</v>
      </c>
      <c r="C2060" s="182" t="s">
        <v>1328</v>
      </c>
      <c r="D2060" s="182"/>
      <c r="E2060" s="182"/>
      <c r="F2060" s="182"/>
      <c r="G2060" s="182"/>
      <c r="H2060" s="182"/>
      <c r="I2060" s="182"/>
      <c r="J2060" s="182"/>
      <c r="K2060" s="182"/>
      <c r="L2060" s="182"/>
      <c r="M2060" s="182">
        <f>SUM(M2058:M2059)</f>
        <v>61106.828399999999</v>
      </c>
      <c r="N2060" s="182"/>
      <c r="O2060" s="182"/>
      <c r="P2060" s="233"/>
      <c r="Q2060" s="224"/>
    </row>
    <row r="2061" spans="1:19" s="235" customFormat="1" ht="42" x14ac:dyDescent="0.35">
      <c r="A2061" s="226" t="str">
        <f>ORÇAMENTO!A392</f>
        <v>5.1.2.1.15</v>
      </c>
      <c r="B2061" s="227" t="str">
        <f>VLOOKUP(A2061,ORÇAMENTO!A:K,4,0)</f>
        <v>TRANSPORTE COM CAMINHÃO BASCULANTE DE 14 M³, EM VIA URBANA PAVIMENTADA, ADICIONAL PARA DMT EXCEDENTE A 30 KM (UNIDADE: M3XKM). AF_07/2020</v>
      </c>
      <c r="C2061" s="173" t="str">
        <f>VLOOKUP(A2061,ORÇAMENTO!A:K,5,0)</f>
        <v>M3XKM</v>
      </c>
      <c r="D2061" s="173">
        <f>SUM(E2064:O2064)</f>
        <v>35722.606776000001</v>
      </c>
      <c r="E2061" s="173" t="s">
        <v>1752</v>
      </c>
      <c r="F2061" s="173" t="s">
        <v>1719</v>
      </c>
      <c r="G2061" s="173" t="s">
        <v>1720</v>
      </c>
      <c r="H2061" s="173" t="s">
        <v>1721</v>
      </c>
      <c r="I2061" s="173" t="s">
        <v>1722</v>
      </c>
      <c r="J2061" s="173" t="s">
        <v>1723</v>
      </c>
      <c r="K2061" s="173" t="s">
        <v>1746</v>
      </c>
      <c r="L2061" s="173" t="s">
        <v>1753</v>
      </c>
      <c r="M2061" s="173" t="s">
        <v>1750</v>
      </c>
      <c r="N2061" s="173" t="s">
        <v>1727</v>
      </c>
      <c r="O2061" s="173" t="s">
        <v>1728</v>
      </c>
      <c r="P2061" s="224"/>
      <c r="Q2061" s="224"/>
      <c r="R2061" s="224"/>
      <c r="S2061" s="224"/>
    </row>
    <row r="2062" spans="1:19" s="225" customFormat="1" ht="10.5" x14ac:dyDescent="0.25">
      <c r="A2062" s="229"/>
      <c r="B2062" s="230" t="str">
        <f>B2058</f>
        <v>TRANSPORTE ATÉ ATERRO ESTRUTURAL</v>
      </c>
      <c r="C2062" s="177"/>
      <c r="D2062" s="178"/>
      <c r="E2062" s="178">
        <f>44.2-E2058</f>
        <v>14.200000000000003</v>
      </c>
      <c r="F2062" s="178"/>
      <c r="G2062" s="178"/>
      <c r="H2062" s="178"/>
      <c r="I2062" s="178"/>
      <c r="J2062" s="178"/>
      <c r="K2062" s="178"/>
      <c r="L2062" s="190"/>
      <c r="M2062" s="178">
        <f>E2062*O2062</f>
        <v>25768.942776000004</v>
      </c>
      <c r="N2062" s="178"/>
      <c r="O2062" s="178">
        <f>O2058</f>
        <v>1814.7142799999999</v>
      </c>
      <c r="P2062" s="231"/>
      <c r="Q2062" s="224"/>
    </row>
    <row r="2063" spans="1:19" s="225" customFormat="1" ht="10.5" x14ac:dyDescent="0.25">
      <c r="A2063" s="229"/>
      <c r="B2063" s="230" t="str">
        <f>B2059</f>
        <v>TRANSPORTE ATÉ ATERRO SAMAMBAIA</v>
      </c>
      <c r="C2063" s="177"/>
      <c r="D2063" s="178"/>
      <c r="E2063" s="178">
        <v>44.8</v>
      </c>
      <c r="F2063" s="178"/>
      <c r="G2063" s="178"/>
      <c r="H2063" s="178"/>
      <c r="I2063" s="178"/>
      <c r="J2063" s="178"/>
      <c r="K2063" s="178"/>
      <c r="L2063" s="190"/>
      <c r="M2063" s="178">
        <f>E2063*O2063</f>
        <v>9953.6639999999989</v>
      </c>
      <c r="N2063" s="178"/>
      <c r="O2063" s="178">
        <f>O2059</f>
        <v>222.18</v>
      </c>
      <c r="P2063" s="231"/>
      <c r="Q2063" s="224"/>
    </row>
    <row r="2064" spans="1:19" s="225" customFormat="1" ht="10.5" x14ac:dyDescent="0.25">
      <c r="A2064" s="229"/>
      <c r="B2064" s="232" t="s">
        <v>5</v>
      </c>
      <c r="C2064" s="182" t="s">
        <v>1328</v>
      </c>
      <c r="D2064" s="182"/>
      <c r="E2064" s="182"/>
      <c r="F2064" s="182"/>
      <c r="G2064" s="182"/>
      <c r="H2064" s="182"/>
      <c r="I2064" s="182"/>
      <c r="J2064" s="182"/>
      <c r="K2064" s="182"/>
      <c r="L2064" s="182"/>
      <c r="M2064" s="182">
        <f>SUM(M2062:M2063)</f>
        <v>35722.606776000001</v>
      </c>
      <c r="N2064" s="182"/>
      <c r="O2064" s="182"/>
      <c r="P2064" s="233"/>
      <c r="Q2064" s="224"/>
    </row>
    <row r="2065" spans="1:19" s="235" customFormat="1" ht="21" x14ac:dyDescent="0.35">
      <c r="A2065" s="226" t="str">
        <f>ORÇAMENTO!A393</f>
        <v>5.1.2.1.16</v>
      </c>
      <c r="B2065" s="227" t="str">
        <f>VLOOKUP(A2065,ORÇAMENTO!A:K,4,0)</f>
        <v>ESPALHAMENTO DE MATERIAL COM TRATOR DE ESTEIRAS. AF_09/2024</v>
      </c>
      <c r="C2065" s="173" t="str">
        <f>VLOOKUP(A2065,ORÇAMENTO!A:K,5,0)</f>
        <v>M³</v>
      </c>
      <c r="D2065" s="173">
        <f>SUM(E2067:O2067)</f>
        <v>2036.89428</v>
      </c>
      <c r="E2065" s="173" t="s">
        <v>1752</v>
      </c>
      <c r="F2065" s="173" t="s">
        <v>1719</v>
      </c>
      <c r="G2065" s="173" t="s">
        <v>1720</v>
      </c>
      <c r="H2065" s="173" t="s">
        <v>1721</v>
      </c>
      <c r="I2065" s="173" t="s">
        <v>1722</v>
      </c>
      <c r="J2065" s="173" t="s">
        <v>1723</v>
      </c>
      <c r="K2065" s="173" t="s">
        <v>1746</v>
      </c>
      <c r="L2065" s="173" t="s">
        <v>1753</v>
      </c>
      <c r="M2065" s="173" t="s">
        <v>1750</v>
      </c>
      <c r="N2065" s="173" t="s">
        <v>1727</v>
      </c>
      <c r="O2065" s="173" t="s">
        <v>1728</v>
      </c>
      <c r="P2065" s="224"/>
      <c r="Q2065" s="224"/>
      <c r="R2065" s="224"/>
      <c r="S2065" s="224"/>
    </row>
    <row r="2066" spans="1:19" s="225" customFormat="1" ht="10.5" x14ac:dyDescent="0.25">
      <c r="A2066" s="229"/>
      <c r="B2066" s="230" t="s">
        <v>1775</v>
      </c>
      <c r="C2066" s="177"/>
      <c r="D2066" s="178"/>
      <c r="E2066" s="178"/>
      <c r="F2066" s="178"/>
      <c r="G2066" s="178"/>
      <c r="H2066" s="178"/>
      <c r="I2066" s="178"/>
      <c r="J2066" s="178"/>
      <c r="K2066" s="178"/>
      <c r="L2066" s="190"/>
      <c r="M2066" s="178"/>
      <c r="N2066" s="178"/>
      <c r="O2066" s="178">
        <f>SUM(O2062:O2063)</f>
        <v>2036.89428</v>
      </c>
      <c r="P2066" s="231"/>
      <c r="Q2066" s="224"/>
    </row>
    <row r="2067" spans="1:19" s="225" customFormat="1" ht="10.5" x14ac:dyDescent="0.25">
      <c r="A2067" s="229"/>
      <c r="B2067" s="232" t="s">
        <v>5</v>
      </c>
      <c r="C2067" s="182" t="s">
        <v>1328</v>
      </c>
      <c r="D2067" s="182"/>
      <c r="E2067" s="182"/>
      <c r="F2067" s="182"/>
      <c r="G2067" s="182"/>
      <c r="H2067" s="182"/>
      <c r="I2067" s="182"/>
      <c r="J2067" s="182"/>
      <c r="K2067" s="182"/>
      <c r="L2067" s="182"/>
      <c r="M2067" s="182"/>
      <c r="N2067" s="182"/>
      <c r="O2067" s="182">
        <f>SUM(O2066)</f>
        <v>2036.89428</v>
      </c>
      <c r="P2067" s="233"/>
      <c r="Q2067" s="224"/>
    </row>
    <row r="2068" spans="1:19" s="225" customFormat="1" ht="21" x14ac:dyDescent="0.25">
      <c r="A2068" s="222" t="str">
        <f>ORÇAMENTO!A396</f>
        <v>5.1.2.3</v>
      </c>
      <c r="B2068" s="223" t="str">
        <f>VLOOKUP(A2068,ORÇAMENTO!A:K,4,0)</f>
        <v>ESCORAMENTOS DE VALAS PARA REDE DE DRENAGEM</v>
      </c>
      <c r="C2068" s="167"/>
      <c r="D2068" s="167"/>
      <c r="E2068" s="168"/>
      <c r="F2068" s="168"/>
      <c r="G2068" s="168"/>
      <c r="H2068" s="168"/>
      <c r="I2068" s="168"/>
      <c r="J2068" s="168"/>
      <c r="K2068" s="168"/>
      <c r="L2068" s="168"/>
      <c r="M2068" s="168"/>
      <c r="N2068" s="168"/>
      <c r="O2068" s="168"/>
      <c r="P2068" s="224"/>
      <c r="Q2068" s="224"/>
    </row>
    <row r="2069" spans="1:19" s="228" customFormat="1" ht="42" x14ac:dyDescent="0.25">
      <c r="A2069" s="226" t="str">
        <f>ORÇAMENTO!A397</f>
        <v>5.1.2.3.1</v>
      </c>
      <c r="B2069" s="227" t="str">
        <f>VLOOKUP(A2069,ORÇAMENTO!A:K,4,0)</f>
        <v>ESCORAMENTO DE VALA, TIPO BLINDAGEM, COM PROFUNDIDADE DE 0 A 1,5 M, LARGURA MENOR QUE 1,5 M - EXECUÇÃO E FORNECIMENTO, INCLUI MATERIAL (ESCAVAÇÃO EXTERNA AO BLINDADO)</v>
      </c>
      <c r="C2069" s="173" t="str">
        <f>VLOOKUP(A2069,ORÇAMENTO!A:K,5,0)</f>
        <v>M²</v>
      </c>
      <c r="D2069" s="173">
        <f>SUM(E2072:O2072)</f>
        <v>1559.97</v>
      </c>
      <c r="E2069" s="173" t="s">
        <v>1718</v>
      </c>
      <c r="F2069" s="173" t="s">
        <v>1719</v>
      </c>
      <c r="G2069" s="173" t="s">
        <v>1720</v>
      </c>
      <c r="H2069" s="173" t="s">
        <v>1721</v>
      </c>
      <c r="I2069" s="173" t="s">
        <v>1722</v>
      </c>
      <c r="J2069" s="173" t="s">
        <v>1723</v>
      </c>
      <c r="K2069" s="173" t="s">
        <v>1724</v>
      </c>
      <c r="L2069" s="173" t="s">
        <v>1753</v>
      </c>
      <c r="M2069" s="173" t="s">
        <v>1730</v>
      </c>
      <c r="N2069" s="173" t="s">
        <v>1727</v>
      </c>
      <c r="O2069" s="173" t="s">
        <v>1728</v>
      </c>
      <c r="P2069" s="224"/>
      <c r="Q2069" s="224"/>
    </row>
    <row r="2070" spans="1:19" s="225" customFormat="1" ht="10.5" x14ac:dyDescent="0.25">
      <c r="A2070" s="229"/>
      <c r="B2070" s="232" t="s">
        <v>1731</v>
      </c>
      <c r="C2070" s="177"/>
      <c r="D2070" s="178"/>
      <c r="E2070" s="178"/>
      <c r="F2070" s="178"/>
      <c r="G2070" s="178"/>
      <c r="H2070" s="178"/>
      <c r="I2070" s="178"/>
      <c r="J2070" s="178"/>
      <c r="K2070" s="178"/>
      <c r="L2070" s="178"/>
      <c r="M2070" s="178"/>
      <c r="N2070" s="178">
        <f>Quantitativos!DG89</f>
        <v>1559.97</v>
      </c>
      <c r="O2070" s="178"/>
      <c r="P2070" s="224"/>
      <c r="Q2070" s="224"/>
    </row>
    <row r="2071" spans="1:19" s="225" customFormat="1" ht="10.5" x14ac:dyDescent="0.25">
      <c r="A2071" s="229"/>
      <c r="B2071" s="230"/>
      <c r="C2071" s="177"/>
      <c r="D2071" s="178"/>
      <c r="E2071" s="178"/>
      <c r="F2071" s="178"/>
      <c r="G2071" s="178"/>
      <c r="H2071" s="178"/>
      <c r="I2071" s="178"/>
      <c r="J2071" s="178"/>
      <c r="K2071" s="178"/>
      <c r="L2071" s="178"/>
      <c r="M2071" s="178"/>
      <c r="N2071" s="178"/>
      <c r="O2071" s="178"/>
      <c r="P2071" s="231"/>
      <c r="Q2071" s="224"/>
    </row>
    <row r="2072" spans="1:19" s="225" customFormat="1" ht="10.5" x14ac:dyDescent="0.25">
      <c r="A2072" s="229"/>
      <c r="B2072" s="232" t="s">
        <v>5</v>
      </c>
      <c r="C2072" s="182" t="s">
        <v>1328</v>
      </c>
      <c r="D2072" s="182"/>
      <c r="E2072" s="182"/>
      <c r="F2072" s="182"/>
      <c r="G2072" s="182"/>
      <c r="H2072" s="182"/>
      <c r="I2072" s="182"/>
      <c r="J2072" s="182"/>
      <c r="K2072" s="182"/>
      <c r="L2072" s="182"/>
      <c r="M2072" s="182"/>
      <c r="N2072" s="182">
        <f>SUM(N2070:N2071)</f>
        <v>1559.97</v>
      </c>
      <c r="O2072" s="182"/>
      <c r="P2072" s="233"/>
      <c r="Q2072" s="224"/>
    </row>
    <row r="2073" spans="1:19" s="228" customFormat="1" ht="42" x14ac:dyDescent="0.25">
      <c r="A2073" s="226" t="str">
        <f>ORÇAMENTO!A398</f>
        <v>5.1.2.3.2</v>
      </c>
      <c r="B2073" s="227" t="str">
        <f>VLOOKUP(A2073,ORÇAMENTO!A:K,4,0)</f>
        <v>ESCORAMENTO DE VALA, TIPO BLINDAGEM, COM PROFUNDIDADE DE 1,5 A 3,0 M, LARGURA MENOR QUE 1,5 M - EXECUÇÃO E FORNECIMENTO, INCLUI MATERIAL (ESCAVAÇÃO INTERNA AO BLINDADO)</v>
      </c>
      <c r="C2073" s="173" t="str">
        <f>VLOOKUP(A2073,ORÇAMENTO!A:K,5,0)</f>
        <v>M²</v>
      </c>
      <c r="D2073" s="173">
        <f>SUM(E2076:O2076)</f>
        <v>1126.3936000000001</v>
      </c>
      <c r="E2073" s="173" t="s">
        <v>1718</v>
      </c>
      <c r="F2073" s="173" t="s">
        <v>1719</v>
      </c>
      <c r="G2073" s="173" t="s">
        <v>1720</v>
      </c>
      <c r="H2073" s="173" t="s">
        <v>1721</v>
      </c>
      <c r="I2073" s="173" t="s">
        <v>1722</v>
      </c>
      <c r="J2073" s="173" t="s">
        <v>1723</v>
      </c>
      <c r="K2073" s="173" t="s">
        <v>1724</v>
      </c>
      <c r="L2073" s="173" t="s">
        <v>1753</v>
      </c>
      <c r="M2073" s="173" t="s">
        <v>1730</v>
      </c>
      <c r="N2073" s="173" t="s">
        <v>1727</v>
      </c>
      <c r="O2073" s="173" t="s">
        <v>1728</v>
      </c>
      <c r="P2073" s="224"/>
      <c r="Q2073" s="224"/>
    </row>
    <row r="2074" spans="1:19" s="225" customFormat="1" ht="10.5" x14ac:dyDescent="0.25">
      <c r="A2074" s="229"/>
      <c r="B2074" s="232" t="s">
        <v>1731</v>
      </c>
      <c r="C2074" s="177"/>
      <c r="D2074" s="178"/>
      <c r="E2074" s="178"/>
      <c r="F2074" s="178"/>
      <c r="G2074" s="178"/>
      <c r="H2074" s="178"/>
      <c r="I2074" s="178"/>
      <c r="J2074" s="178"/>
      <c r="K2074" s="178"/>
      <c r="L2074" s="178"/>
      <c r="M2074" s="178"/>
      <c r="N2074" s="178">
        <f>Quantitativos!DH89</f>
        <v>1126.3936000000001</v>
      </c>
      <c r="O2074" s="178"/>
      <c r="P2074" s="224"/>
      <c r="Q2074" s="224"/>
    </row>
    <row r="2075" spans="1:19" s="225" customFormat="1" ht="10.5" x14ac:dyDescent="0.25">
      <c r="A2075" s="229"/>
      <c r="B2075" s="230"/>
      <c r="C2075" s="177"/>
      <c r="D2075" s="178"/>
      <c r="E2075" s="178"/>
      <c r="F2075" s="178"/>
      <c r="G2075" s="178"/>
      <c r="H2075" s="178"/>
      <c r="I2075" s="178"/>
      <c r="J2075" s="178"/>
      <c r="K2075" s="178"/>
      <c r="L2075" s="178"/>
      <c r="M2075" s="178"/>
      <c r="N2075" s="182"/>
      <c r="O2075" s="178"/>
      <c r="P2075" s="231"/>
      <c r="Q2075" s="224"/>
    </row>
    <row r="2076" spans="1:19" s="225" customFormat="1" ht="10.5" x14ac:dyDescent="0.25">
      <c r="A2076" s="229"/>
      <c r="B2076" s="232" t="s">
        <v>5</v>
      </c>
      <c r="C2076" s="182" t="s">
        <v>1328</v>
      </c>
      <c r="D2076" s="182"/>
      <c r="E2076" s="182"/>
      <c r="F2076" s="182"/>
      <c r="G2076" s="182"/>
      <c r="H2076" s="182"/>
      <c r="I2076" s="182"/>
      <c r="J2076" s="182"/>
      <c r="K2076" s="182"/>
      <c r="L2076" s="182"/>
      <c r="M2076" s="182"/>
      <c r="N2076" s="182">
        <f>SUM(N2074:N2075)</f>
        <v>1126.3936000000001</v>
      </c>
      <c r="O2076" s="182"/>
      <c r="P2076" s="233"/>
      <c r="Q2076" s="224"/>
    </row>
    <row r="2077" spans="1:19" s="228" customFormat="1" ht="42" x14ac:dyDescent="0.25">
      <c r="A2077" s="226" t="str">
        <f>ORÇAMENTO!A399</f>
        <v>5.1.2.3.3</v>
      </c>
      <c r="B2077" s="227" t="str">
        <f>VLOOKUP(A2077,ORÇAMENTO!A:K,4,0)</f>
        <v>ESCORAMENTO DE VALA, TIPO BLINDAGEM, COM PROFUNDIDADE DE 3,0 A 4,5 M, LARGURA MENOR QUE 1,5 M - EXECUÇÃO E FORNECIMENTO, INCLUI MATERIAL (ESCAVAÇÃO INTERNA AO BLINDADO)</v>
      </c>
      <c r="C2077" s="173" t="str">
        <f>VLOOKUP(A2077,ORÇAMENTO!A:K,5,0)</f>
        <v>M²</v>
      </c>
      <c r="D2077" s="173">
        <f>SUM(E2080:O2080)</f>
        <v>242.74000000000009</v>
      </c>
      <c r="E2077" s="173" t="s">
        <v>1718</v>
      </c>
      <c r="F2077" s="173" t="s">
        <v>1719</v>
      </c>
      <c r="G2077" s="173" t="s">
        <v>1720</v>
      </c>
      <c r="H2077" s="173" t="s">
        <v>1721</v>
      </c>
      <c r="I2077" s="173" t="s">
        <v>1722</v>
      </c>
      <c r="J2077" s="173" t="s">
        <v>1723</v>
      </c>
      <c r="K2077" s="173" t="s">
        <v>1724</v>
      </c>
      <c r="L2077" s="173" t="s">
        <v>1753</v>
      </c>
      <c r="M2077" s="173" t="s">
        <v>1730</v>
      </c>
      <c r="N2077" s="173" t="s">
        <v>1727</v>
      </c>
      <c r="O2077" s="173" t="s">
        <v>1728</v>
      </c>
      <c r="P2077" s="224"/>
      <c r="Q2077" s="224"/>
    </row>
    <row r="2078" spans="1:19" s="225" customFormat="1" ht="10.5" x14ac:dyDescent="0.25">
      <c r="A2078" s="229"/>
      <c r="B2078" s="232" t="s">
        <v>1731</v>
      </c>
      <c r="C2078" s="177"/>
      <c r="D2078" s="178"/>
      <c r="E2078" s="178"/>
      <c r="F2078" s="178"/>
      <c r="G2078" s="178"/>
      <c r="H2078" s="178"/>
      <c r="I2078" s="178"/>
      <c r="J2078" s="178"/>
      <c r="K2078" s="178"/>
      <c r="L2078" s="178"/>
      <c r="M2078" s="178"/>
      <c r="N2078" s="178">
        <f>Quantitativos!DI89</f>
        <v>242.74000000000009</v>
      </c>
      <c r="O2078" s="178"/>
      <c r="P2078" s="224"/>
      <c r="Q2078" s="224"/>
    </row>
    <row r="2079" spans="1:19" s="225" customFormat="1" ht="10.5" x14ac:dyDescent="0.25">
      <c r="A2079" s="229"/>
      <c r="B2079" s="230"/>
      <c r="C2079" s="177"/>
      <c r="D2079" s="178"/>
      <c r="E2079" s="178"/>
      <c r="F2079" s="178"/>
      <c r="G2079" s="178"/>
      <c r="H2079" s="178"/>
      <c r="I2079" s="178"/>
      <c r="J2079" s="178"/>
      <c r="K2079" s="178"/>
      <c r="L2079" s="178"/>
      <c r="M2079" s="178"/>
      <c r="N2079" s="182"/>
      <c r="O2079" s="178"/>
      <c r="P2079" s="231"/>
      <c r="Q2079" s="224"/>
    </row>
    <row r="2080" spans="1:19" s="225" customFormat="1" ht="10.5" x14ac:dyDescent="0.25">
      <c r="A2080" s="229"/>
      <c r="B2080" s="232" t="s">
        <v>5</v>
      </c>
      <c r="C2080" s="182" t="s">
        <v>1328</v>
      </c>
      <c r="D2080" s="182"/>
      <c r="E2080" s="182"/>
      <c r="F2080" s="182"/>
      <c r="G2080" s="182"/>
      <c r="H2080" s="182"/>
      <c r="I2080" s="182"/>
      <c r="J2080" s="182"/>
      <c r="K2080" s="182"/>
      <c r="L2080" s="182"/>
      <c r="M2080" s="182"/>
      <c r="N2080" s="182">
        <f>SUM(N2078:N2079)</f>
        <v>242.74000000000009</v>
      </c>
      <c r="O2080" s="182"/>
      <c r="P2080" s="233"/>
      <c r="Q2080" s="224"/>
    </row>
    <row r="2081" spans="1:17" s="228" customFormat="1" ht="52.5" x14ac:dyDescent="0.25">
      <c r="A2081" s="226" t="str">
        <f>ORÇAMENTO!A400</f>
        <v>5.1.2.3.4</v>
      </c>
      <c r="B2081" s="227" t="str">
        <f>VLOOKUP(A2081,ORÇAMENTO!A:K,4,0)</f>
        <v>ESCORAMENTO DE VALA, TIPO BLINDADEM, COM PROFUNDIDADE DE 0 A 1,5 M, LARGURA MAIOR OU IGUAL A 1,5 M EMENOR QUE 2,5 M - EXECUÇÃO E FORNECIMENTO, INCLUI MATERIAL (ESCAVAÇÃO EXTERNA AO BLINDADO)</v>
      </c>
      <c r="C2081" s="173" t="str">
        <f>VLOOKUP(A2081,ORÇAMENTO!A:K,5,0)</f>
        <v>M²</v>
      </c>
      <c r="D2081" s="173">
        <f>SUM(E2084:O2084)</f>
        <v>3185.6399999999994</v>
      </c>
      <c r="E2081" s="173" t="s">
        <v>1718</v>
      </c>
      <c r="F2081" s="173" t="s">
        <v>1719</v>
      </c>
      <c r="G2081" s="173" t="s">
        <v>1720</v>
      </c>
      <c r="H2081" s="173" t="s">
        <v>1721</v>
      </c>
      <c r="I2081" s="173" t="s">
        <v>1722</v>
      </c>
      <c r="J2081" s="173" t="s">
        <v>1723</v>
      </c>
      <c r="K2081" s="173" t="s">
        <v>1724</v>
      </c>
      <c r="L2081" s="173" t="s">
        <v>1753</v>
      </c>
      <c r="M2081" s="173" t="s">
        <v>1730</v>
      </c>
      <c r="N2081" s="173" t="s">
        <v>1727</v>
      </c>
      <c r="O2081" s="173" t="s">
        <v>1728</v>
      </c>
      <c r="P2081" s="224"/>
      <c r="Q2081" s="224"/>
    </row>
    <row r="2082" spans="1:17" s="225" customFormat="1" ht="10.5" x14ac:dyDescent="0.25">
      <c r="A2082" s="229"/>
      <c r="B2082" s="232" t="s">
        <v>1731</v>
      </c>
      <c r="C2082" s="184"/>
      <c r="D2082" s="185"/>
      <c r="E2082" s="185"/>
      <c r="F2082" s="185"/>
      <c r="G2082" s="185"/>
      <c r="H2082" s="185"/>
      <c r="I2082" s="185"/>
      <c r="J2082" s="185"/>
      <c r="K2082" s="185"/>
      <c r="L2082" s="185"/>
      <c r="M2082" s="185"/>
      <c r="N2082" s="185">
        <f>Quantitativos!DJ89</f>
        <v>3185.6399999999994</v>
      </c>
      <c r="O2082" s="185"/>
      <c r="P2082" s="224"/>
      <c r="Q2082" s="224"/>
    </row>
    <row r="2083" spans="1:17" s="225" customFormat="1" ht="10.5" x14ac:dyDescent="0.25">
      <c r="A2083" s="229"/>
      <c r="B2083" s="230"/>
      <c r="C2083" s="184"/>
      <c r="D2083" s="185"/>
      <c r="E2083" s="185"/>
      <c r="F2083" s="185"/>
      <c r="G2083" s="185"/>
      <c r="H2083" s="185"/>
      <c r="I2083" s="185"/>
      <c r="J2083" s="185"/>
      <c r="K2083" s="185"/>
      <c r="L2083" s="185"/>
      <c r="M2083" s="185"/>
      <c r="N2083" s="185"/>
      <c r="O2083" s="185"/>
      <c r="P2083" s="231"/>
      <c r="Q2083" s="224"/>
    </row>
    <row r="2084" spans="1:17" s="225" customFormat="1" ht="10.5" x14ac:dyDescent="0.25">
      <c r="A2084" s="229"/>
      <c r="B2084" s="232" t="s">
        <v>5</v>
      </c>
      <c r="C2084" s="182" t="s">
        <v>1328</v>
      </c>
      <c r="D2084" s="182"/>
      <c r="E2084" s="182"/>
      <c r="F2084" s="182"/>
      <c r="G2084" s="182"/>
      <c r="H2084" s="182"/>
      <c r="I2084" s="182"/>
      <c r="J2084" s="182"/>
      <c r="K2084" s="182"/>
      <c r="L2084" s="182"/>
      <c r="M2084" s="182"/>
      <c r="N2084" s="182">
        <f>SUM(N2082:N2083)</f>
        <v>3185.6399999999994</v>
      </c>
      <c r="O2084" s="182"/>
      <c r="P2084" s="233"/>
      <c r="Q2084" s="224"/>
    </row>
    <row r="2085" spans="1:17" s="228" customFormat="1" ht="42" x14ac:dyDescent="0.25">
      <c r="A2085" s="226" t="str">
        <f>ORÇAMENTO!A401</f>
        <v>5.1.2.3.5</v>
      </c>
      <c r="B2085" s="227" t="str">
        <f>VLOOKUP(A2085,ORÇAMENTO!A:K,4,0)</f>
        <v>ESCORAMENTO DE VALA, TIPO BLINDAGEM, COM PROFUNDIDADE DE 1,5 A 3,0 M, LARGURA DE 1,5 A 2,5 M -EXECUÇÃO E FORNECIMENTO, INCLUI MATERIAL (ESCAVAÇÃO INTERNA AO BLINDADO)</v>
      </c>
      <c r="C2085" s="173" t="str">
        <f>VLOOKUP(A2085,ORÇAMENTO!A:K,5,0)</f>
        <v>M²</v>
      </c>
      <c r="D2085" s="173">
        <f>SUM(E2088:O2088)</f>
        <v>2755.7893000000004</v>
      </c>
      <c r="E2085" s="173" t="s">
        <v>1718</v>
      </c>
      <c r="F2085" s="173" t="s">
        <v>1719</v>
      </c>
      <c r="G2085" s="173" t="s">
        <v>1720</v>
      </c>
      <c r="H2085" s="173" t="s">
        <v>1721</v>
      </c>
      <c r="I2085" s="173" t="s">
        <v>1722</v>
      </c>
      <c r="J2085" s="173" t="s">
        <v>1723</v>
      </c>
      <c r="K2085" s="173" t="s">
        <v>1724</v>
      </c>
      <c r="L2085" s="173" t="s">
        <v>1753</v>
      </c>
      <c r="M2085" s="173" t="s">
        <v>1730</v>
      </c>
      <c r="N2085" s="173" t="s">
        <v>1727</v>
      </c>
      <c r="O2085" s="173" t="s">
        <v>1728</v>
      </c>
      <c r="P2085" s="224"/>
      <c r="Q2085" s="224"/>
    </row>
    <row r="2086" spans="1:17" s="225" customFormat="1" ht="10.5" x14ac:dyDescent="0.25">
      <c r="A2086" s="229"/>
      <c r="B2086" s="232" t="s">
        <v>1731</v>
      </c>
      <c r="C2086" s="184"/>
      <c r="D2086" s="185"/>
      <c r="E2086" s="185"/>
      <c r="F2086" s="185"/>
      <c r="G2086" s="185"/>
      <c r="H2086" s="185"/>
      <c r="I2086" s="185"/>
      <c r="J2086" s="185"/>
      <c r="K2086" s="185"/>
      <c r="L2086" s="185"/>
      <c r="M2086" s="185"/>
      <c r="N2086" s="185">
        <f>Quantitativos!DK89</f>
        <v>2755.7893000000004</v>
      </c>
      <c r="O2086" s="185"/>
      <c r="P2086" s="224"/>
      <c r="Q2086" s="224"/>
    </row>
    <row r="2087" spans="1:17" s="225" customFormat="1" ht="10.5" x14ac:dyDescent="0.25">
      <c r="A2087" s="229"/>
      <c r="B2087" s="230"/>
      <c r="C2087" s="184"/>
      <c r="D2087" s="185"/>
      <c r="E2087" s="185"/>
      <c r="F2087" s="185"/>
      <c r="G2087" s="185"/>
      <c r="H2087" s="185"/>
      <c r="I2087" s="185"/>
      <c r="J2087" s="185"/>
      <c r="K2087" s="185"/>
      <c r="L2087" s="185"/>
      <c r="M2087" s="185"/>
      <c r="N2087" s="182"/>
      <c r="O2087" s="185"/>
      <c r="P2087" s="231"/>
      <c r="Q2087" s="224"/>
    </row>
    <row r="2088" spans="1:17" s="225" customFormat="1" ht="10.5" x14ac:dyDescent="0.25">
      <c r="A2088" s="229"/>
      <c r="B2088" s="232" t="s">
        <v>5</v>
      </c>
      <c r="C2088" s="182" t="s">
        <v>1328</v>
      </c>
      <c r="D2088" s="182"/>
      <c r="E2088" s="182"/>
      <c r="F2088" s="182"/>
      <c r="G2088" s="182"/>
      <c r="H2088" s="182"/>
      <c r="I2088" s="182"/>
      <c r="J2088" s="182"/>
      <c r="K2088" s="182"/>
      <c r="L2088" s="182"/>
      <c r="M2088" s="182"/>
      <c r="N2088" s="182">
        <f>SUM(N2086:N2087)</f>
        <v>2755.7893000000004</v>
      </c>
      <c r="O2088" s="182"/>
      <c r="P2088" s="233"/>
      <c r="Q2088" s="224"/>
    </row>
    <row r="2089" spans="1:17" s="228" customFormat="1" ht="52.5" x14ac:dyDescent="0.25">
      <c r="A2089" s="226" t="str">
        <f>ORÇAMENTO!A402</f>
        <v>5.1.2.3.6</v>
      </c>
      <c r="B2089" s="227" t="str">
        <f>VLOOKUP(A2089,ORÇAMENTO!A:K,4,0)</f>
        <v>ESCORAMENTO DE VALA, TIPO BLINDAGEM, COM PROFUNDIDADE DE 3,0 A 4,5 M, LARGURA MAIOR OU IGUAL A 1,5 M EMENOR QUE 2,5 M - EXECUÇÃO E FORNECIMENTO, INCLUI MATERIAL (ESCAVAÇÃO EXTERNA AO BLINDADO)</v>
      </c>
      <c r="C2089" s="173" t="str">
        <f>VLOOKUP(A2089,ORÇAMENTO!A:K,5,0)</f>
        <v>M²</v>
      </c>
      <c r="D2089" s="173">
        <f>SUM(E2092:O2092)</f>
        <v>696.10670000000005</v>
      </c>
      <c r="E2089" s="173" t="s">
        <v>1718</v>
      </c>
      <c r="F2089" s="173" t="s">
        <v>1719</v>
      </c>
      <c r="G2089" s="173" t="s">
        <v>1720</v>
      </c>
      <c r="H2089" s="173" t="s">
        <v>1721</v>
      </c>
      <c r="I2089" s="173" t="s">
        <v>1722</v>
      </c>
      <c r="J2089" s="173" t="s">
        <v>1723</v>
      </c>
      <c r="K2089" s="173" t="s">
        <v>1724</v>
      </c>
      <c r="L2089" s="173" t="s">
        <v>1753</v>
      </c>
      <c r="M2089" s="173" t="s">
        <v>1730</v>
      </c>
      <c r="N2089" s="173" t="s">
        <v>1727</v>
      </c>
      <c r="O2089" s="173" t="s">
        <v>1728</v>
      </c>
      <c r="P2089" s="224"/>
      <c r="Q2089" s="224"/>
    </row>
    <row r="2090" spans="1:17" s="225" customFormat="1" ht="10.5" x14ac:dyDescent="0.25">
      <c r="A2090" s="229"/>
      <c r="B2090" s="232"/>
      <c r="C2090" s="184"/>
      <c r="D2090" s="185"/>
      <c r="E2090" s="185"/>
      <c r="F2090" s="185"/>
      <c r="G2090" s="185"/>
      <c r="H2090" s="185"/>
      <c r="I2090" s="185"/>
      <c r="J2090" s="185"/>
      <c r="K2090" s="185"/>
      <c r="L2090" s="185"/>
      <c r="M2090" s="185"/>
      <c r="N2090" s="185">
        <f>Quantitativos!DL89</f>
        <v>696.10670000000005</v>
      </c>
      <c r="O2090" s="185"/>
      <c r="P2090" s="224"/>
      <c r="Q2090" s="224"/>
    </row>
    <row r="2091" spans="1:17" s="225" customFormat="1" ht="10.5" x14ac:dyDescent="0.25">
      <c r="A2091" s="229"/>
      <c r="B2091" s="230"/>
      <c r="C2091" s="184"/>
      <c r="D2091" s="185"/>
      <c r="E2091" s="185"/>
      <c r="F2091" s="185"/>
      <c r="G2091" s="185"/>
      <c r="H2091" s="185"/>
      <c r="I2091" s="185"/>
      <c r="J2091" s="185"/>
      <c r="K2091" s="185"/>
      <c r="L2091" s="185"/>
      <c r="M2091" s="185"/>
      <c r="N2091" s="185"/>
      <c r="O2091" s="185"/>
      <c r="P2091" s="231"/>
      <c r="Q2091" s="224"/>
    </row>
    <row r="2092" spans="1:17" s="225" customFormat="1" ht="10.5" x14ac:dyDescent="0.25">
      <c r="A2092" s="229"/>
      <c r="B2092" s="232" t="s">
        <v>5</v>
      </c>
      <c r="C2092" s="182" t="s">
        <v>1328</v>
      </c>
      <c r="D2092" s="182"/>
      <c r="E2092" s="182"/>
      <c r="F2092" s="182"/>
      <c r="G2092" s="182"/>
      <c r="H2092" s="182"/>
      <c r="I2092" s="182"/>
      <c r="J2092" s="182"/>
      <c r="K2092" s="182"/>
      <c r="L2092" s="182"/>
      <c r="M2092" s="182"/>
      <c r="N2092" s="182">
        <f>SUM(N2090:N2091)</f>
        <v>696.10670000000005</v>
      </c>
      <c r="O2092" s="182"/>
      <c r="P2092" s="233"/>
      <c r="Q2092" s="224"/>
    </row>
    <row r="2093" spans="1:17" s="228" customFormat="1" ht="52.5" x14ac:dyDescent="0.25">
      <c r="A2093" s="226" t="str">
        <f>ORÇAMENTO!A403</f>
        <v>5.1.2.3.7</v>
      </c>
      <c r="B2093" s="227" t="str">
        <f>VLOOKUP(A2093,ORÇAMENTO!A:K,4,0)</f>
        <v>ESCORAMENTO DE VALA, TIPO BLINDADEM, COM PROFUNDIDADE DE 0 A 1,5 M, LARGURA MAIOR OU IGUAL A 2,5 M EMENOR QUE 3,5 M - EXECUÇÃO E FORNECIMENTO, INCLUI MATERIAL (ESCAVAÇÃO EXTERNA AO BLINDADO)</v>
      </c>
      <c r="C2093" s="173" t="str">
        <f>VLOOKUP(A2093,ORÇAMENTO!A:K,5,0)</f>
        <v>M²</v>
      </c>
      <c r="D2093" s="173">
        <f>SUM(E2096:O2096)</f>
        <v>932.64</v>
      </c>
      <c r="E2093" s="173" t="s">
        <v>1718</v>
      </c>
      <c r="F2093" s="173" t="s">
        <v>1719</v>
      </c>
      <c r="G2093" s="173" t="s">
        <v>1720</v>
      </c>
      <c r="H2093" s="173" t="s">
        <v>1721</v>
      </c>
      <c r="I2093" s="173" t="s">
        <v>1722</v>
      </c>
      <c r="J2093" s="173" t="s">
        <v>1723</v>
      </c>
      <c r="K2093" s="173" t="s">
        <v>1724</v>
      </c>
      <c r="L2093" s="173" t="s">
        <v>1753</v>
      </c>
      <c r="M2093" s="173" t="s">
        <v>1730</v>
      </c>
      <c r="N2093" s="173" t="s">
        <v>1727</v>
      </c>
      <c r="O2093" s="173" t="s">
        <v>1728</v>
      </c>
      <c r="P2093" s="224"/>
      <c r="Q2093" s="224"/>
    </row>
    <row r="2094" spans="1:17" s="225" customFormat="1" ht="10.5" x14ac:dyDescent="0.25">
      <c r="A2094" s="229"/>
      <c r="B2094" s="232"/>
      <c r="C2094" s="184"/>
      <c r="D2094" s="185"/>
      <c r="E2094" s="185"/>
      <c r="F2094" s="185"/>
      <c r="G2094" s="185"/>
      <c r="H2094" s="185"/>
      <c r="I2094" s="185"/>
      <c r="J2094" s="185"/>
      <c r="K2094" s="185"/>
      <c r="L2094" s="185"/>
      <c r="M2094" s="185"/>
      <c r="N2094" s="185">
        <f>Quantitativos!DM89</f>
        <v>932.64</v>
      </c>
      <c r="O2094" s="185"/>
      <c r="P2094" s="224"/>
      <c r="Q2094" s="224"/>
    </row>
    <row r="2095" spans="1:17" s="225" customFormat="1" ht="10.5" x14ac:dyDescent="0.25">
      <c r="A2095" s="229"/>
      <c r="B2095" s="230"/>
      <c r="C2095" s="184"/>
      <c r="D2095" s="185"/>
      <c r="E2095" s="185"/>
      <c r="F2095" s="185"/>
      <c r="G2095" s="185"/>
      <c r="H2095" s="185"/>
      <c r="I2095" s="185"/>
      <c r="J2095" s="185"/>
      <c r="K2095" s="185"/>
      <c r="L2095" s="185"/>
      <c r="M2095" s="185"/>
      <c r="N2095" s="185"/>
      <c r="O2095" s="185"/>
      <c r="P2095" s="231"/>
      <c r="Q2095" s="224"/>
    </row>
    <row r="2096" spans="1:17" s="225" customFormat="1" ht="10.5" x14ac:dyDescent="0.25">
      <c r="A2096" s="229"/>
      <c r="B2096" s="232" t="s">
        <v>5</v>
      </c>
      <c r="C2096" s="182" t="s">
        <v>1328</v>
      </c>
      <c r="D2096" s="182"/>
      <c r="E2096" s="182"/>
      <c r="F2096" s="182"/>
      <c r="G2096" s="182"/>
      <c r="H2096" s="182"/>
      <c r="I2096" s="182"/>
      <c r="J2096" s="182"/>
      <c r="K2096" s="182"/>
      <c r="L2096" s="182"/>
      <c r="M2096" s="182"/>
      <c r="N2096" s="182">
        <f>SUM(N2094:N2095)</f>
        <v>932.64</v>
      </c>
      <c r="O2096" s="182"/>
      <c r="P2096" s="233"/>
      <c r="Q2096" s="224"/>
    </row>
    <row r="2097" spans="1:17" s="228" customFormat="1" ht="42" x14ac:dyDescent="0.25">
      <c r="A2097" s="226" t="str">
        <f>ORÇAMENTO!A404</f>
        <v>5.1.2.3.8</v>
      </c>
      <c r="B2097" s="227" t="str">
        <f>VLOOKUP(A2097,ORÇAMENTO!A:K,4,0)</f>
        <v>ESCORAMENTO DE VALA, TIPO BLINDAGEM, COM PROFUNDIDADE DE 1,5 A 3,0 M, LARGURA DE 2,5 A 3,5 M -EXECUÇÃO E FORNECIMENTO, INCLUI MATERIAL (ESCAVAÇÃO INTERNA AO BLINDADO)</v>
      </c>
      <c r="C2097" s="173" t="str">
        <f>VLOOKUP(A2097,ORÇAMENTO!A:K,5,0)</f>
        <v>M²</v>
      </c>
      <c r="D2097" s="173">
        <f>SUM(E2100:O2100)</f>
        <v>932.64</v>
      </c>
      <c r="E2097" s="173" t="s">
        <v>1718</v>
      </c>
      <c r="F2097" s="173" t="s">
        <v>1719</v>
      </c>
      <c r="G2097" s="173" t="s">
        <v>1720</v>
      </c>
      <c r="H2097" s="173" t="s">
        <v>1721</v>
      </c>
      <c r="I2097" s="173" t="s">
        <v>1722</v>
      </c>
      <c r="J2097" s="173" t="s">
        <v>1723</v>
      </c>
      <c r="K2097" s="173" t="s">
        <v>1724</v>
      </c>
      <c r="L2097" s="173" t="s">
        <v>1753</v>
      </c>
      <c r="M2097" s="173" t="s">
        <v>1730</v>
      </c>
      <c r="N2097" s="173" t="s">
        <v>1727</v>
      </c>
      <c r="O2097" s="173" t="s">
        <v>1728</v>
      </c>
      <c r="P2097" s="224"/>
      <c r="Q2097" s="224"/>
    </row>
    <row r="2098" spans="1:17" s="225" customFormat="1" ht="10.5" x14ac:dyDescent="0.25">
      <c r="A2098" s="229"/>
      <c r="B2098" s="232"/>
      <c r="C2098" s="184"/>
      <c r="D2098" s="185"/>
      <c r="E2098" s="185"/>
      <c r="F2098" s="185"/>
      <c r="G2098" s="185"/>
      <c r="H2098" s="185"/>
      <c r="I2098" s="185"/>
      <c r="J2098" s="185"/>
      <c r="K2098" s="185"/>
      <c r="L2098" s="185"/>
      <c r="M2098" s="185"/>
      <c r="N2098" s="185">
        <f>Quantitativos!DN89</f>
        <v>932.64</v>
      </c>
      <c r="O2098" s="185"/>
      <c r="P2098" s="224"/>
      <c r="Q2098" s="224"/>
    </row>
    <row r="2099" spans="1:17" s="225" customFormat="1" ht="10.5" x14ac:dyDescent="0.25">
      <c r="A2099" s="229"/>
      <c r="B2099" s="230"/>
      <c r="C2099" s="184"/>
      <c r="D2099" s="185"/>
      <c r="E2099" s="185"/>
      <c r="F2099" s="185"/>
      <c r="G2099" s="185"/>
      <c r="H2099" s="185"/>
      <c r="I2099" s="185"/>
      <c r="J2099" s="185"/>
      <c r="K2099" s="185"/>
      <c r="L2099" s="185"/>
      <c r="M2099" s="185"/>
      <c r="N2099" s="185"/>
      <c r="O2099" s="185"/>
      <c r="P2099" s="231"/>
      <c r="Q2099" s="224"/>
    </row>
    <row r="2100" spans="1:17" s="225" customFormat="1" ht="10.5" x14ac:dyDescent="0.25">
      <c r="A2100" s="229"/>
      <c r="B2100" s="232" t="s">
        <v>5</v>
      </c>
      <c r="C2100" s="182" t="s">
        <v>1328</v>
      </c>
      <c r="D2100" s="182"/>
      <c r="E2100" s="182"/>
      <c r="F2100" s="182"/>
      <c r="G2100" s="182"/>
      <c r="H2100" s="182"/>
      <c r="I2100" s="182"/>
      <c r="J2100" s="182"/>
      <c r="K2100" s="182"/>
      <c r="L2100" s="182"/>
      <c r="M2100" s="182"/>
      <c r="N2100" s="182">
        <f>SUM(N2098:N2099)</f>
        <v>932.64</v>
      </c>
      <c r="O2100" s="182"/>
      <c r="P2100" s="233"/>
      <c r="Q2100" s="224"/>
    </row>
    <row r="2101" spans="1:17" s="228" customFormat="1" ht="52.5" x14ac:dyDescent="0.25">
      <c r="A2101" s="226" t="str">
        <f>ORÇAMENTO!A405</f>
        <v>5.1.2.3.9</v>
      </c>
      <c r="B2101" s="227" t="str">
        <f>VLOOKUP(A2101,ORÇAMENTO!A:K,4,0)</f>
        <v>ESCORAMENTO DE VALA, TIPO BLINDAGEM, COM PROFUNDIDADE DE 3,0 A 4,5 M, LARGURA MAIOR OU IGUAL A 2,5 M EMENOR QUE 3,5 M - EXECUÇÃO E FORNECIMENTO, INCLUI MATERIAL (ESCAVAÇÃO EXTERNA AO BLINDADO)</v>
      </c>
      <c r="C2101" s="173" t="str">
        <f>VLOOKUP(A2101,ORÇAMENTO!A:K,5,0)</f>
        <v>M²</v>
      </c>
      <c r="D2101" s="173">
        <f>SUM(E2104:O2104)</f>
        <v>321.0483999999999</v>
      </c>
      <c r="E2101" s="173" t="s">
        <v>1718</v>
      </c>
      <c r="F2101" s="173" t="s">
        <v>1719</v>
      </c>
      <c r="G2101" s="173" t="s">
        <v>1720</v>
      </c>
      <c r="H2101" s="173" t="s">
        <v>1721</v>
      </c>
      <c r="I2101" s="173" t="s">
        <v>1722</v>
      </c>
      <c r="J2101" s="173" t="s">
        <v>1723</v>
      </c>
      <c r="K2101" s="173" t="s">
        <v>1724</v>
      </c>
      <c r="L2101" s="173" t="s">
        <v>1753</v>
      </c>
      <c r="M2101" s="173" t="s">
        <v>1730</v>
      </c>
      <c r="N2101" s="173" t="s">
        <v>1727</v>
      </c>
      <c r="O2101" s="173" t="s">
        <v>1728</v>
      </c>
      <c r="P2101" s="224"/>
      <c r="Q2101" s="224"/>
    </row>
    <row r="2102" spans="1:17" s="225" customFormat="1" ht="10.5" x14ac:dyDescent="0.25">
      <c r="A2102" s="229"/>
      <c r="B2102" s="232"/>
      <c r="C2102" s="184"/>
      <c r="D2102" s="185"/>
      <c r="E2102" s="185"/>
      <c r="F2102" s="185"/>
      <c r="G2102" s="185"/>
      <c r="H2102" s="185"/>
      <c r="I2102" s="185"/>
      <c r="J2102" s="185"/>
      <c r="K2102" s="185"/>
      <c r="L2102" s="185"/>
      <c r="M2102" s="185"/>
      <c r="N2102" s="185">
        <f>Quantitativos!DO89</f>
        <v>321.0483999999999</v>
      </c>
      <c r="O2102" s="185"/>
      <c r="P2102" s="224"/>
      <c r="Q2102" s="224"/>
    </row>
    <row r="2103" spans="1:17" s="225" customFormat="1" ht="10.5" x14ac:dyDescent="0.25">
      <c r="A2103" s="229"/>
      <c r="B2103" s="230"/>
      <c r="C2103" s="184"/>
      <c r="D2103" s="185"/>
      <c r="E2103" s="185"/>
      <c r="F2103" s="185"/>
      <c r="G2103" s="185"/>
      <c r="H2103" s="185"/>
      <c r="I2103" s="185"/>
      <c r="J2103" s="185"/>
      <c r="K2103" s="185"/>
      <c r="L2103" s="185"/>
      <c r="M2103" s="185"/>
      <c r="N2103" s="185"/>
      <c r="O2103" s="185"/>
      <c r="P2103" s="231"/>
      <c r="Q2103" s="224"/>
    </row>
    <row r="2104" spans="1:17" s="225" customFormat="1" ht="10.5" x14ac:dyDescent="0.25">
      <c r="A2104" s="229"/>
      <c r="B2104" s="232" t="s">
        <v>5</v>
      </c>
      <c r="C2104" s="182" t="s">
        <v>1328</v>
      </c>
      <c r="D2104" s="182"/>
      <c r="E2104" s="182"/>
      <c r="F2104" s="182"/>
      <c r="G2104" s="182"/>
      <c r="H2104" s="182"/>
      <c r="I2104" s="182"/>
      <c r="J2104" s="182"/>
      <c r="K2104" s="182"/>
      <c r="L2104" s="182"/>
      <c r="M2104" s="182"/>
      <c r="N2104" s="182">
        <f>SUM(N2102:N2103)</f>
        <v>321.0483999999999</v>
      </c>
      <c r="O2104" s="182"/>
      <c r="P2104" s="233"/>
      <c r="Q2104" s="224"/>
    </row>
    <row r="2105" spans="1:17" s="225" customFormat="1" ht="10.5" x14ac:dyDescent="0.25">
      <c r="A2105" s="222" t="str">
        <f>ORÇAMENTO!A394</f>
        <v>5.1.2.2</v>
      </c>
      <c r="B2105" s="223" t="str">
        <f>VLOOKUP(A2105,ORÇAMENTO!A:K,4,0)</f>
        <v>ESGOTAMENTO DE VALAS</v>
      </c>
      <c r="C2105" s="167"/>
      <c r="D2105" s="167"/>
      <c r="E2105" s="168"/>
      <c r="F2105" s="168"/>
      <c r="G2105" s="168"/>
      <c r="H2105" s="168"/>
      <c r="I2105" s="168"/>
      <c r="J2105" s="168"/>
      <c r="K2105" s="168"/>
      <c r="L2105" s="168"/>
      <c r="M2105" s="168"/>
      <c r="N2105" s="168"/>
      <c r="O2105" s="168"/>
      <c r="P2105" s="224"/>
      <c r="Q2105" s="224"/>
    </row>
    <row r="2106" spans="1:17" s="228" customFormat="1" ht="21" x14ac:dyDescent="0.25">
      <c r="A2106" s="226" t="str">
        <f>ORÇAMENTO!A395</f>
        <v>5.1.2.2.1</v>
      </c>
      <c r="B2106" s="227" t="str">
        <f>VLOOKUP(A2106,ORÇAMENTO!A:K,4,0)</f>
        <v>ESGOTAMENTO DE ÁGUA COM BOMBA SUBMERSA</v>
      </c>
      <c r="C2106" s="173" t="str">
        <f>VLOOKUP(A2106,ORÇAMENTO!A:K,5,0)</f>
        <v>H</v>
      </c>
      <c r="D2106" s="173">
        <f>SUM(E2109:O2109)</f>
        <v>13.241074666666666</v>
      </c>
      <c r="E2106" s="173" t="s">
        <v>1718</v>
      </c>
      <c r="F2106" s="173" t="s">
        <v>1719</v>
      </c>
      <c r="G2106" s="173" t="s">
        <v>1720</v>
      </c>
      <c r="H2106" s="173" t="s">
        <v>1721</v>
      </c>
      <c r="I2106" s="173" t="s">
        <v>1722</v>
      </c>
      <c r="J2106" s="173" t="s">
        <v>1723</v>
      </c>
      <c r="K2106" s="173" t="s">
        <v>1724</v>
      </c>
      <c r="L2106" s="173" t="s">
        <v>1753</v>
      </c>
      <c r="M2106" s="173" t="s">
        <v>1730</v>
      </c>
      <c r="N2106" s="173" t="s">
        <v>1727</v>
      </c>
      <c r="O2106" s="173" t="s">
        <v>1728</v>
      </c>
      <c r="P2106" s="224"/>
      <c r="Q2106" s="224"/>
    </row>
    <row r="2107" spans="1:17" s="225" customFormat="1" ht="10.5" x14ac:dyDescent="0.25">
      <c r="A2107" s="229"/>
      <c r="B2107" s="232" t="str">
        <f>Quantitativos!AS41</f>
        <v>ESGOTAMENTO</v>
      </c>
      <c r="C2107" s="184"/>
      <c r="D2107" s="185"/>
      <c r="E2107" s="185"/>
      <c r="F2107" s="185"/>
      <c r="G2107" s="185"/>
      <c r="H2107" s="185"/>
      <c r="I2107" s="185"/>
      <c r="J2107" s="185"/>
      <c r="K2107" s="185"/>
      <c r="L2107" s="185"/>
      <c r="M2107" s="185"/>
      <c r="N2107" s="185"/>
      <c r="O2107" s="185">
        <f>Quantitativos!AS89</f>
        <v>13.241074666666666</v>
      </c>
      <c r="P2107" s="224"/>
      <c r="Q2107" s="224"/>
    </row>
    <row r="2108" spans="1:17" s="225" customFormat="1" ht="10.5" x14ac:dyDescent="0.25">
      <c r="A2108" s="229"/>
      <c r="B2108" s="230"/>
      <c r="C2108" s="184"/>
      <c r="D2108" s="185"/>
      <c r="E2108" s="185"/>
      <c r="F2108" s="185"/>
      <c r="G2108" s="185"/>
      <c r="H2108" s="185"/>
      <c r="I2108" s="185"/>
      <c r="J2108" s="185"/>
      <c r="K2108" s="185"/>
      <c r="L2108" s="185"/>
      <c r="M2108" s="185"/>
      <c r="N2108" s="185"/>
      <c r="O2108" s="185"/>
      <c r="P2108" s="231"/>
      <c r="Q2108" s="224"/>
    </row>
    <row r="2109" spans="1:17" s="225" customFormat="1" ht="10.5" x14ac:dyDescent="0.25">
      <c r="A2109" s="229"/>
      <c r="B2109" s="232" t="s">
        <v>5</v>
      </c>
      <c r="C2109" s="182" t="s">
        <v>1328</v>
      </c>
      <c r="D2109" s="182"/>
      <c r="E2109" s="182"/>
      <c r="F2109" s="182"/>
      <c r="G2109" s="182"/>
      <c r="H2109" s="182"/>
      <c r="I2109" s="182"/>
      <c r="J2109" s="182"/>
      <c r="K2109" s="182"/>
      <c r="L2109" s="182"/>
      <c r="M2109" s="182"/>
      <c r="N2109" s="182"/>
      <c r="O2109" s="182">
        <f>SUM(O2107:O2108)</f>
        <v>13.241074666666666</v>
      </c>
      <c r="P2109" s="233"/>
      <c r="Q2109" s="224"/>
    </row>
    <row r="2110" spans="1:17" s="225" customFormat="1" ht="21" x14ac:dyDescent="0.25">
      <c r="A2110" s="222" t="str">
        <f>ORÇAMENTO!A406</f>
        <v>5.1.2.4</v>
      </c>
      <c r="B2110" s="223" t="str">
        <f>VLOOKUP(A2110,ORÇAMENTO!A:K,4,0)</f>
        <v>PREENCHIMENTO DE VALAS E ASSENTAMENTO DE TUBOS</v>
      </c>
      <c r="C2110" s="167"/>
      <c r="D2110" s="167"/>
      <c r="E2110" s="168"/>
      <c r="F2110" s="168"/>
      <c r="G2110" s="168"/>
      <c r="H2110" s="168"/>
      <c r="I2110" s="168"/>
      <c r="J2110" s="168"/>
      <c r="K2110" s="168"/>
      <c r="L2110" s="168"/>
      <c r="M2110" s="168"/>
      <c r="N2110" s="168"/>
      <c r="O2110" s="168"/>
      <c r="P2110" s="224"/>
      <c r="Q2110" s="224"/>
    </row>
    <row r="2111" spans="1:17" s="228" customFormat="1" ht="31.5" x14ac:dyDescent="0.25">
      <c r="A2111" s="226" t="str">
        <f>ORÇAMENTO!A407</f>
        <v>5.1.2.4.1</v>
      </c>
      <c r="B2111" s="227" t="str">
        <f>VLOOKUP(A2111,ORÇAMENTO!A:K,4,0)</f>
        <v>PREPARO DE FUNDO DE VALA COM LARGURA MENOR QUE 1,5 M, COM CAMADA DE BRITA, LANÇAMENTO MECANIZADO. AF_08/2020</v>
      </c>
      <c r="C2111" s="173" t="str">
        <f>VLOOKUP(A2111,ORÇAMENTO!A:K,5,0)</f>
        <v>M³</v>
      </c>
      <c r="D2111" s="173">
        <f>SUM(E2114:O2114)</f>
        <v>72.798600000000008</v>
      </c>
      <c r="E2111" s="173" t="s">
        <v>1718</v>
      </c>
      <c r="F2111" s="173" t="s">
        <v>1719</v>
      </c>
      <c r="G2111" s="173" t="s">
        <v>1720</v>
      </c>
      <c r="H2111" s="173" t="s">
        <v>1721</v>
      </c>
      <c r="I2111" s="173" t="s">
        <v>1722</v>
      </c>
      <c r="J2111" s="173" t="s">
        <v>1723</v>
      </c>
      <c r="K2111" s="173" t="s">
        <v>1724</v>
      </c>
      <c r="L2111" s="173" t="s">
        <v>1753</v>
      </c>
      <c r="M2111" s="173" t="s">
        <v>1730</v>
      </c>
      <c r="N2111" s="173" t="s">
        <v>1727</v>
      </c>
      <c r="O2111" s="173" t="s">
        <v>1728</v>
      </c>
      <c r="P2111" s="224"/>
      <c r="Q2111" s="224"/>
    </row>
    <row r="2112" spans="1:17" s="225" customFormat="1" ht="10.5" x14ac:dyDescent="0.25">
      <c r="A2112" s="229"/>
      <c r="B2112" s="232" t="s">
        <v>1732</v>
      </c>
      <c r="C2112" s="177"/>
      <c r="D2112" s="178"/>
      <c r="E2112" s="178"/>
      <c r="F2112" s="178"/>
      <c r="G2112" s="178"/>
      <c r="H2112" s="178"/>
      <c r="I2112" s="178"/>
      <c r="J2112" s="178"/>
      <c r="K2112" s="178"/>
      <c r="L2112" s="178"/>
      <c r="M2112" s="178"/>
      <c r="N2112" s="178"/>
      <c r="O2112" s="178">
        <f>Quantitativos!AU89</f>
        <v>72.798600000000008</v>
      </c>
      <c r="P2112" s="224"/>
      <c r="Q2112" s="224"/>
    </row>
    <row r="2113" spans="1:17" s="225" customFormat="1" ht="10.5" x14ac:dyDescent="0.25">
      <c r="A2113" s="229"/>
      <c r="B2113" s="230"/>
      <c r="C2113" s="177"/>
      <c r="D2113" s="178"/>
      <c r="E2113" s="178"/>
      <c r="F2113" s="178"/>
      <c r="G2113" s="178"/>
      <c r="H2113" s="178"/>
      <c r="I2113" s="178"/>
      <c r="J2113" s="178"/>
      <c r="K2113" s="178"/>
      <c r="L2113" s="178"/>
      <c r="M2113" s="178"/>
      <c r="N2113" s="178"/>
      <c r="O2113" s="178"/>
      <c r="P2113" s="231"/>
      <c r="Q2113" s="224"/>
    </row>
    <row r="2114" spans="1:17" s="225" customFormat="1" ht="10.5" x14ac:dyDescent="0.25">
      <c r="A2114" s="229"/>
      <c r="B2114" s="232" t="s">
        <v>5</v>
      </c>
      <c r="C2114" s="182" t="s">
        <v>1328</v>
      </c>
      <c r="D2114" s="182"/>
      <c r="E2114" s="182"/>
      <c r="F2114" s="182"/>
      <c r="G2114" s="182"/>
      <c r="H2114" s="182"/>
      <c r="I2114" s="182"/>
      <c r="J2114" s="182"/>
      <c r="K2114" s="182"/>
      <c r="L2114" s="182"/>
      <c r="M2114" s="182"/>
      <c r="N2114" s="182"/>
      <c r="O2114" s="182">
        <f>SUM(O2112:O2113)</f>
        <v>72.798600000000008</v>
      </c>
      <c r="P2114" s="233"/>
      <c r="Q2114" s="224"/>
    </row>
    <row r="2115" spans="1:17" s="228" customFormat="1" ht="42" x14ac:dyDescent="0.25">
      <c r="A2115" s="226" t="str">
        <f>ORÇAMENTO!A408</f>
        <v>5.1.2.4.2</v>
      </c>
      <c r="B2115" s="227" t="str">
        <f>VLOOKUP(A2115,ORÇAMENTO!A:K,4,0)</f>
        <v>PREPARO DE FUNDO DE VALA COM LARGURA MAIOR OU IGUAL A 1,5 M E MENOR QUE 2,5 M, COM CAMADA DE BRITA, LANÇAMENTO MECANIZADO. AF_08/2020</v>
      </c>
      <c r="C2115" s="173" t="str">
        <f>VLOOKUP(A2115,ORÇAMENTO!A:K,5,0)</f>
        <v>M³</v>
      </c>
      <c r="D2115" s="173">
        <f>SUM(E2118:O2118)</f>
        <v>466.29710000000006</v>
      </c>
      <c r="E2115" s="173" t="s">
        <v>1718</v>
      </c>
      <c r="F2115" s="173" t="s">
        <v>1719</v>
      </c>
      <c r="G2115" s="173" t="s">
        <v>1720</v>
      </c>
      <c r="H2115" s="173" t="s">
        <v>1721</v>
      </c>
      <c r="I2115" s="173" t="s">
        <v>1722</v>
      </c>
      <c r="J2115" s="173" t="s">
        <v>1723</v>
      </c>
      <c r="K2115" s="173" t="s">
        <v>1724</v>
      </c>
      <c r="L2115" s="173" t="s">
        <v>1753</v>
      </c>
      <c r="M2115" s="173" t="s">
        <v>1730</v>
      </c>
      <c r="N2115" s="173" t="s">
        <v>1727</v>
      </c>
      <c r="O2115" s="173" t="s">
        <v>1728</v>
      </c>
      <c r="P2115" s="224"/>
      <c r="Q2115" s="224"/>
    </row>
    <row r="2116" spans="1:17" s="225" customFormat="1" ht="10.5" x14ac:dyDescent="0.25">
      <c r="A2116" s="229"/>
      <c r="B2116" s="232" t="s">
        <v>1732</v>
      </c>
      <c r="C2116" s="184"/>
      <c r="D2116" s="185"/>
      <c r="E2116" s="185"/>
      <c r="F2116" s="185"/>
      <c r="G2116" s="185"/>
      <c r="H2116" s="185"/>
      <c r="I2116" s="185"/>
      <c r="J2116" s="185"/>
      <c r="K2116" s="185"/>
      <c r="L2116" s="185"/>
      <c r="M2116" s="185"/>
      <c r="N2116" s="185"/>
      <c r="O2116" s="185">
        <f>Quantitativos!AV89</f>
        <v>466.29710000000006</v>
      </c>
      <c r="P2116" s="224"/>
      <c r="Q2116" s="224"/>
    </row>
    <row r="2117" spans="1:17" s="225" customFormat="1" ht="10.5" x14ac:dyDescent="0.25">
      <c r="A2117" s="229"/>
      <c r="B2117" s="230"/>
      <c r="C2117" s="184"/>
      <c r="D2117" s="185"/>
      <c r="E2117" s="185"/>
      <c r="F2117" s="185"/>
      <c r="G2117" s="185"/>
      <c r="H2117" s="185"/>
      <c r="I2117" s="185"/>
      <c r="J2117" s="185"/>
      <c r="K2117" s="185"/>
      <c r="L2117" s="185"/>
      <c r="M2117" s="185"/>
      <c r="N2117" s="185"/>
      <c r="O2117" s="185"/>
      <c r="P2117" s="231"/>
      <c r="Q2117" s="224"/>
    </row>
    <row r="2118" spans="1:17" s="225" customFormat="1" ht="10.5" x14ac:dyDescent="0.25">
      <c r="A2118" s="229"/>
      <c r="B2118" s="232" t="s">
        <v>5</v>
      </c>
      <c r="C2118" s="182" t="s">
        <v>1328</v>
      </c>
      <c r="D2118" s="182"/>
      <c r="E2118" s="182"/>
      <c r="F2118" s="182"/>
      <c r="G2118" s="182"/>
      <c r="H2118" s="182"/>
      <c r="I2118" s="182"/>
      <c r="J2118" s="182"/>
      <c r="K2118" s="182"/>
      <c r="L2118" s="182"/>
      <c r="M2118" s="182"/>
      <c r="N2118" s="182"/>
      <c r="O2118" s="182">
        <f>SUM(O2116:O2117)</f>
        <v>466.29710000000006</v>
      </c>
      <c r="P2118" s="233"/>
      <c r="Q2118" s="224"/>
    </row>
    <row r="2119" spans="1:17" s="228" customFormat="1" ht="52.5" x14ac:dyDescent="0.25">
      <c r="A2119" s="226" t="str">
        <f>ORÇAMENTO!A409</f>
        <v>5.1.2.4.3</v>
      </c>
      <c r="B2119" s="227" t="str">
        <f>VLOOKUP(A2119,ORÇAMENTO!A:K,4,0)</f>
        <v>EXECUÇÃO E COMPACTAÇÃO DE BASE E OU SUB BASE PARA PAVIMENTAÇÃO DE SOLO (PREDOMINANTEMENTE ARENOSO) COM CAL (TEOR DE 4%) - EXCLUSIVE SOLO, ESCAVAÇÃO, CARGA E TRANSPORTE.</v>
      </c>
      <c r="C2119" s="173" t="str">
        <f>VLOOKUP(A2119,ORÇAMENTO!A:K,5,0)</f>
        <v>M³</v>
      </c>
      <c r="D2119" s="173">
        <f>SUM(E2122:O2122)</f>
        <v>486.97635000000002</v>
      </c>
      <c r="E2119" s="173" t="s">
        <v>1718</v>
      </c>
      <c r="F2119" s="173" t="s">
        <v>1719</v>
      </c>
      <c r="G2119" s="173" t="s">
        <v>1720</v>
      </c>
      <c r="H2119" s="173" t="s">
        <v>1721</v>
      </c>
      <c r="I2119" s="173" t="s">
        <v>1722</v>
      </c>
      <c r="J2119" s="173" t="s">
        <v>1723</v>
      </c>
      <c r="K2119" s="173" t="s">
        <v>1724</v>
      </c>
      <c r="L2119" s="173" t="s">
        <v>1753</v>
      </c>
      <c r="M2119" s="173" t="s">
        <v>1730</v>
      </c>
      <c r="N2119" s="173" t="s">
        <v>1727</v>
      </c>
      <c r="O2119" s="173" t="s">
        <v>1728</v>
      </c>
      <c r="P2119" s="224"/>
      <c r="Q2119" s="224"/>
    </row>
    <row r="2120" spans="1:17" s="225" customFormat="1" ht="10.5" x14ac:dyDescent="0.25">
      <c r="A2120" s="229"/>
      <c r="B2120" s="232" t="s">
        <v>1732</v>
      </c>
      <c r="C2120" s="184"/>
      <c r="D2120" s="185"/>
      <c r="E2120" s="185"/>
      <c r="F2120" s="185"/>
      <c r="G2120" s="185"/>
      <c r="H2120" s="185"/>
      <c r="I2120" s="185"/>
      <c r="J2120" s="185"/>
      <c r="K2120" s="185"/>
      <c r="L2120" s="185"/>
      <c r="M2120" s="185"/>
      <c r="N2120" s="185"/>
      <c r="O2120" s="185"/>
      <c r="P2120" s="224"/>
      <c r="Q2120" s="224"/>
    </row>
    <row r="2121" spans="1:17" s="225" customFormat="1" ht="21" x14ac:dyDescent="0.25">
      <c r="A2121" s="229"/>
      <c r="B2121" s="230" t="s">
        <v>1776</v>
      </c>
      <c r="C2121" s="184"/>
      <c r="D2121" s="185"/>
      <c r="E2121" s="185"/>
      <c r="F2121" s="185"/>
      <c r="G2121" s="185"/>
      <c r="H2121" s="185"/>
      <c r="I2121" s="185"/>
      <c r="J2121" s="185"/>
      <c r="K2121" s="185"/>
      <c r="L2121" s="185"/>
      <c r="M2121" s="185"/>
      <c r="N2121" s="185"/>
      <c r="O2121" s="185">
        <f>Quantitativos!BB89</f>
        <v>486.97635000000002</v>
      </c>
      <c r="P2121" s="231"/>
      <c r="Q2121" s="224"/>
    </row>
    <row r="2122" spans="1:17" s="225" customFormat="1" ht="10.5" x14ac:dyDescent="0.25">
      <c r="A2122" s="229"/>
      <c r="B2122" s="232" t="s">
        <v>5</v>
      </c>
      <c r="C2122" s="182" t="s">
        <v>1328</v>
      </c>
      <c r="D2122" s="182"/>
      <c r="E2122" s="182"/>
      <c r="F2122" s="182"/>
      <c r="G2122" s="182"/>
      <c r="H2122" s="182"/>
      <c r="I2122" s="182"/>
      <c r="J2122" s="182"/>
      <c r="K2122" s="182"/>
      <c r="L2122" s="182"/>
      <c r="M2122" s="182"/>
      <c r="N2122" s="182"/>
      <c r="O2122" s="182">
        <f>SUM(O2120:O2121)</f>
        <v>486.97635000000002</v>
      </c>
      <c r="P2122" s="233"/>
      <c r="Q2122" s="224"/>
    </row>
    <row r="2123" spans="1:17" s="228" customFormat="1" ht="21" x14ac:dyDescent="0.25">
      <c r="A2123" s="226" t="str">
        <f>ORÇAMENTO!A410</f>
        <v>5.1.2.4.4</v>
      </c>
      <c r="B2123" s="227" t="str">
        <f>VLOOKUP(A2123,ORÇAMENTO!A:K,4,0)</f>
        <v>BASE OU SUB-BASE DE BRITA GRADUADA COM BRITA COMERCIAL</v>
      </c>
      <c r="C2123" s="173" t="str">
        <f>VLOOKUP(A2123,ORÇAMENTO!A:K,5,0)</f>
        <v>M³</v>
      </c>
      <c r="D2123" s="173">
        <f>SUM(E2126:O2126)</f>
        <v>486.97635000000002</v>
      </c>
      <c r="E2123" s="173" t="s">
        <v>1718</v>
      </c>
      <c r="F2123" s="173" t="s">
        <v>1719</v>
      </c>
      <c r="G2123" s="173" t="s">
        <v>1720</v>
      </c>
      <c r="H2123" s="173" t="s">
        <v>1721</v>
      </c>
      <c r="I2123" s="173" t="s">
        <v>1722</v>
      </c>
      <c r="J2123" s="173" t="s">
        <v>1723</v>
      </c>
      <c r="K2123" s="173" t="s">
        <v>1724</v>
      </c>
      <c r="L2123" s="173" t="s">
        <v>1753</v>
      </c>
      <c r="M2123" s="173" t="s">
        <v>1730</v>
      </c>
      <c r="N2123" s="173" t="s">
        <v>1727</v>
      </c>
      <c r="O2123" s="173" t="s">
        <v>1728</v>
      </c>
      <c r="P2123" s="224"/>
      <c r="Q2123" s="224"/>
    </row>
    <row r="2124" spans="1:17" s="225" customFormat="1" ht="10.5" x14ac:dyDescent="0.25">
      <c r="A2124" s="229"/>
      <c r="B2124" s="232" t="s">
        <v>1732</v>
      </c>
      <c r="C2124" s="184"/>
      <c r="D2124" s="185"/>
      <c r="E2124" s="185"/>
      <c r="F2124" s="185"/>
      <c r="G2124" s="185"/>
      <c r="H2124" s="185"/>
      <c r="I2124" s="185"/>
      <c r="J2124" s="185"/>
      <c r="K2124" s="185"/>
      <c r="L2124" s="185"/>
      <c r="M2124" s="185"/>
      <c r="N2124" s="185"/>
      <c r="O2124" s="185"/>
      <c r="P2124" s="224"/>
      <c r="Q2124" s="224"/>
    </row>
    <row r="2125" spans="1:17" s="225" customFormat="1" ht="21" x14ac:dyDescent="0.25">
      <c r="A2125" s="229"/>
      <c r="B2125" s="230" t="s">
        <v>1776</v>
      </c>
      <c r="C2125" s="184"/>
      <c r="D2125" s="185"/>
      <c r="E2125" s="185"/>
      <c r="F2125" s="185"/>
      <c r="G2125" s="185"/>
      <c r="H2125" s="185"/>
      <c r="I2125" s="185"/>
      <c r="J2125" s="185"/>
      <c r="K2125" s="185"/>
      <c r="L2125" s="185"/>
      <c r="M2125" s="185"/>
      <c r="N2125" s="185"/>
      <c r="O2125" s="185">
        <f>Quantitativos!BC89</f>
        <v>486.97635000000002</v>
      </c>
      <c r="P2125" s="231"/>
      <c r="Q2125" s="224"/>
    </row>
    <row r="2126" spans="1:17" s="225" customFormat="1" ht="10.5" x14ac:dyDescent="0.25">
      <c r="A2126" s="229"/>
      <c r="B2126" s="232" t="s">
        <v>5</v>
      </c>
      <c r="C2126" s="182" t="s">
        <v>1328</v>
      </c>
      <c r="D2126" s="182"/>
      <c r="E2126" s="182"/>
      <c r="F2126" s="182"/>
      <c r="G2126" s="182"/>
      <c r="H2126" s="182"/>
      <c r="I2126" s="182"/>
      <c r="J2126" s="182"/>
      <c r="K2126" s="182"/>
      <c r="L2126" s="182"/>
      <c r="M2126" s="182"/>
      <c r="N2126" s="182"/>
      <c r="O2126" s="182">
        <f>SUM(O2124:O2125)</f>
        <v>486.97635000000002</v>
      </c>
      <c r="P2126" s="233"/>
      <c r="Q2126" s="224"/>
    </row>
    <row r="2127" spans="1:17" s="228" customFormat="1" ht="21" x14ac:dyDescent="0.25">
      <c r="A2127" s="226" t="str">
        <f>ORÇAMENTO!A411</f>
        <v>5.1.2.4.5</v>
      </c>
      <c r="B2127" s="227" t="str">
        <f>VLOOKUP(A2127,ORÇAMENTO!A:K,4,0)</f>
        <v>PINTURA DE LIGAÇÃO (SEM MATERIAL)</v>
      </c>
      <c r="C2127" s="173" t="str">
        <f>VLOOKUP(A2127,ORÇAMENTO!A:K,5,0)</f>
        <v>M²</v>
      </c>
      <c r="D2127" s="173">
        <f>SUM(E2130:O2130)</f>
        <v>3246.5089999999991</v>
      </c>
      <c r="E2127" s="173" t="s">
        <v>1718</v>
      </c>
      <c r="F2127" s="173" t="s">
        <v>1719</v>
      </c>
      <c r="G2127" s="173" t="s">
        <v>1720</v>
      </c>
      <c r="H2127" s="173" t="s">
        <v>1721</v>
      </c>
      <c r="I2127" s="173" t="s">
        <v>1722</v>
      </c>
      <c r="J2127" s="173" t="s">
        <v>1723</v>
      </c>
      <c r="K2127" s="173" t="s">
        <v>1724</v>
      </c>
      <c r="L2127" s="173" t="s">
        <v>1753</v>
      </c>
      <c r="M2127" s="173" t="s">
        <v>1730</v>
      </c>
      <c r="N2127" s="173" t="s">
        <v>1727</v>
      </c>
      <c r="O2127" s="173" t="s">
        <v>1728</v>
      </c>
      <c r="P2127" s="224"/>
      <c r="Q2127" s="224"/>
    </row>
    <row r="2128" spans="1:17" s="225" customFormat="1" ht="10.5" x14ac:dyDescent="0.25">
      <c r="A2128" s="229"/>
      <c r="B2128" s="232" t="s">
        <v>1732</v>
      </c>
      <c r="C2128" s="184"/>
      <c r="D2128" s="185"/>
      <c r="E2128" s="185"/>
      <c r="F2128" s="185"/>
      <c r="G2128" s="185"/>
      <c r="H2128" s="185"/>
      <c r="I2128" s="185"/>
      <c r="J2128" s="185"/>
      <c r="K2128" s="185"/>
      <c r="L2128" s="185"/>
      <c r="M2128" s="185"/>
      <c r="N2128" s="185">
        <f>Quantitativos!AA89</f>
        <v>3246.5089999999991</v>
      </c>
      <c r="O2128" s="185"/>
      <c r="P2128" s="224"/>
      <c r="Q2128" s="224"/>
    </row>
    <row r="2129" spans="1:17" s="225" customFormat="1" ht="10.5" x14ac:dyDescent="0.25">
      <c r="A2129" s="229"/>
      <c r="B2129" s="230"/>
      <c r="C2129" s="184"/>
      <c r="D2129" s="185"/>
      <c r="E2129" s="185"/>
      <c r="F2129" s="185"/>
      <c r="G2129" s="185"/>
      <c r="H2129" s="185"/>
      <c r="I2129" s="185"/>
      <c r="J2129" s="185"/>
      <c r="K2129" s="185"/>
      <c r="L2129" s="185"/>
      <c r="M2129" s="185"/>
      <c r="N2129" s="185"/>
      <c r="O2129" s="185"/>
      <c r="P2129" s="231"/>
      <c r="Q2129" s="224"/>
    </row>
    <row r="2130" spans="1:17" s="225" customFormat="1" ht="10.5" x14ac:dyDescent="0.25">
      <c r="A2130" s="229"/>
      <c r="B2130" s="232" t="s">
        <v>5</v>
      </c>
      <c r="C2130" s="182" t="s">
        <v>1328</v>
      </c>
      <c r="D2130" s="182"/>
      <c r="E2130" s="182"/>
      <c r="F2130" s="182"/>
      <c r="G2130" s="182"/>
      <c r="H2130" s="182"/>
      <c r="I2130" s="182"/>
      <c r="J2130" s="182"/>
      <c r="K2130" s="182"/>
      <c r="L2130" s="182"/>
      <c r="M2130" s="182"/>
      <c r="N2130" s="182">
        <f>SUM(N2128:N2129)</f>
        <v>3246.5089999999991</v>
      </c>
      <c r="O2130" s="182"/>
      <c r="P2130" s="233"/>
      <c r="Q2130" s="224"/>
    </row>
    <row r="2131" spans="1:17" s="228" customFormat="1" ht="21" x14ac:dyDescent="0.25">
      <c r="A2131" s="226" t="str">
        <f>ORÇAMENTO!A412</f>
        <v>5.1.2.4.6</v>
      </c>
      <c r="B2131" s="227" t="str">
        <f>VLOOKUP(A2131,ORÇAMENTO!A:K,4,0)</f>
        <v>EMULSÃO ASFÁLTICA - RR-1C - FORNECIMENTO E TRANSPORTE</v>
      </c>
      <c r="C2131" s="173" t="str">
        <f>VLOOKUP(A2131,ORÇAMENTO!A:K,5,0)</f>
        <v>T</v>
      </c>
      <c r="D2131" s="173">
        <f>ROUND(SUM(E2136:O2136),2)</f>
        <v>1.46</v>
      </c>
      <c r="E2131" s="173" t="s">
        <v>1718</v>
      </c>
      <c r="F2131" s="173" t="s">
        <v>1719</v>
      </c>
      <c r="G2131" s="173" t="s">
        <v>1720</v>
      </c>
      <c r="H2131" s="173" t="s">
        <v>1721</v>
      </c>
      <c r="I2131" s="173" t="s">
        <v>1722</v>
      </c>
      <c r="J2131" s="173" t="s">
        <v>1723</v>
      </c>
      <c r="K2131" s="173" t="s">
        <v>1746</v>
      </c>
      <c r="L2131" s="173" t="s">
        <v>1777</v>
      </c>
      <c r="M2131" s="173" t="s">
        <v>1726</v>
      </c>
      <c r="N2131" s="173" t="s">
        <v>1811</v>
      </c>
      <c r="O2131" s="173" t="s">
        <v>1728</v>
      </c>
      <c r="P2131" s="224"/>
      <c r="Q2131" s="224"/>
    </row>
    <row r="2132" spans="1:17" s="225" customFormat="1" ht="21" x14ac:dyDescent="0.25">
      <c r="A2132" s="229"/>
      <c r="B2132" s="232" t="s">
        <v>1778</v>
      </c>
      <c r="C2132" s="177"/>
      <c r="D2132" s="178"/>
      <c r="E2132" s="178"/>
      <c r="F2132" s="178"/>
      <c r="G2132" s="178"/>
      <c r="H2132" s="178"/>
      <c r="I2132" s="178"/>
      <c r="J2132" s="178"/>
      <c r="K2132" s="178"/>
      <c r="L2132" s="178"/>
      <c r="M2132" s="178"/>
      <c r="N2132" s="178">
        <f>N2128</f>
        <v>3246.5089999999991</v>
      </c>
      <c r="O2132" s="178"/>
      <c r="P2132" s="231"/>
      <c r="Q2132" s="224"/>
    </row>
    <row r="2133" spans="1:17" s="225" customFormat="1" ht="31.5" x14ac:dyDescent="0.25">
      <c r="A2133" s="229"/>
      <c r="B2133" s="230" t="s">
        <v>1779</v>
      </c>
      <c r="C2133" s="177"/>
      <c r="D2133" s="178"/>
      <c r="E2133" s="178"/>
      <c r="F2133" s="178"/>
      <c r="G2133" s="178"/>
      <c r="H2133" s="178"/>
      <c r="I2133" s="178"/>
      <c r="J2133" s="178"/>
      <c r="K2133" s="178"/>
      <c r="L2133" s="198">
        <v>4.4999999999999999E-4</v>
      </c>
      <c r="M2133" s="178"/>
      <c r="N2133" s="200"/>
      <c r="O2133" s="178"/>
      <c r="P2133" s="231"/>
      <c r="Q2133" s="224"/>
    </row>
    <row r="2134" spans="1:17" s="225" customFormat="1" ht="10.5" x14ac:dyDescent="0.25">
      <c r="A2134" s="229"/>
      <c r="B2134" s="230"/>
      <c r="C2134" s="177"/>
      <c r="D2134" s="178"/>
      <c r="E2134" s="178"/>
      <c r="F2134" s="178"/>
      <c r="G2134" s="178"/>
      <c r="H2134" s="178"/>
      <c r="I2134" s="178"/>
      <c r="J2134" s="178"/>
      <c r="K2134" s="178">
        <f>L2133*N2132</f>
        <v>1.4609290499999996</v>
      </c>
      <c r="L2134" s="178"/>
      <c r="M2134" s="178"/>
      <c r="N2134" s="200"/>
      <c r="O2134" s="178"/>
      <c r="P2134" s="231"/>
      <c r="Q2134" s="224"/>
    </row>
    <row r="2135" spans="1:17" s="225" customFormat="1" ht="10.5" x14ac:dyDescent="0.25">
      <c r="A2135" s="229"/>
      <c r="B2135" s="230"/>
      <c r="C2135" s="177"/>
      <c r="D2135" s="178"/>
      <c r="E2135" s="178"/>
      <c r="F2135" s="178"/>
      <c r="G2135" s="178"/>
      <c r="H2135" s="178"/>
      <c r="I2135" s="178"/>
      <c r="J2135" s="178"/>
      <c r="K2135" s="178"/>
      <c r="L2135" s="178"/>
      <c r="M2135" s="178"/>
      <c r="N2135" s="200"/>
      <c r="O2135" s="178"/>
      <c r="P2135" s="231"/>
      <c r="Q2135" s="224"/>
    </row>
    <row r="2136" spans="1:17" s="225" customFormat="1" ht="10.5" x14ac:dyDescent="0.25">
      <c r="A2136" s="229"/>
      <c r="B2136" s="232" t="s">
        <v>5</v>
      </c>
      <c r="C2136" s="182" t="s">
        <v>1328</v>
      </c>
      <c r="D2136" s="182"/>
      <c r="E2136" s="182"/>
      <c r="F2136" s="182"/>
      <c r="G2136" s="182"/>
      <c r="H2136" s="182"/>
      <c r="I2136" s="182"/>
      <c r="J2136" s="182"/>
      <c r="K2136" s="177">
        <f>SUM(K2132:K2135)</f>
        <v>1.4609290499999996</v>
      </c>
      <c r="L2136" s="182"/>
      <c r="M2136" s="182"/>
      <c r="N2136" s="177"/>
      <c r="O2136" s="177"/>
      <c r="P2136" s="233"/>
      <c r="Q2136" s="224"/>
    </row>
    <row r="2137" spans="1:17" s="228" customFormat="1" ht="21" x14ac:dyDescent="0.25">
      <c r="A2137" s="226" t="str">
        <f>ORÇAMENTO!A413</f>
        <v>5.1.2.4.7</v>
      </c>
      <c r="B2137" s="227" t="str">
        <f>VLOOKUP(A2137,ORÇAMENTO!A:K,4,0)</f>
        <v>IMPRIMAÇÃO COM EMULSÃO ASFÁLTICA (SEM MATERIAL)</v>
      </c>
      <c r="C2137" s="173" t="str">
        <f>VLOOKUP(A2137,ORÇAMENTO!A:K,5,0)</f>
        <v>M²</v>
      </c>
      <c r="D2137" s="173">
        <f>SUM(E2140:O2140)</f>
        <v>3246.5089999999991</v>
      </c>
      <c r="E2137" s="173" t="s">
        <v>1718</v>
      </c>
      <c r="F2137" s="173" t="s">
        <v>1719</v>
      </c>
      <c r="G2137" s="173" t="s">
        <v>1720</v>
      </c>
      <c r="H2137" s="173" t="s">
        <v>1721</v>
      </c>
      <c r="I2137" s="173" t="s">
        <v>1722</v>
      </c>
      <c r="J2137" s="173" t="s">
        <v>1723</v>
      </c>
      <c r="K2137" s="173" t="s">
        <v>1724</v>
      </c>
      <c r="L2137" s="173" t="s">
        <v>1753</v>
      </c>
      <c r="M2137" s="173" t="s">
        <v>1730</v>
      </c>
      <c r="N2137" s="173" t="s">
        <v>1727</v>
      </c>
      <c r="O2137" s="173" t="s">
        <v>1728</v>
      </c>
      <c r="P2137" s="224"/>
      <c r="Q2137" s="224"/>
    </row>
    <row r="2138" spans="1:17" s="225" customFormat="1" ht="10.5" x14ac:dyDescent="0.25">
      <c r="A2138" s="229"/>
      <c r="B2138" s="232" t="s">
        <v>1732</v>
      </c>
      <c r="C2138" s="184"/>
      <c r="D2138" s="185"/>
      <c r="E2138" s="185"/>
      <c r="F2138" s="185"/>
      <c r="G2138" s="185"/>
      <c r="H2138" s="185"/>
      <c r="I2138" s="185"/>
      <c r="J2138" s="185"/>
      <c r="K2138" s="185"/>
      <c r="L2138" s="185"/>
      <c r="M2138" s="185"/>
      <c r="N2138" s="185">
        <f>N2128</f>
        <v>3246.5089999999991</v>
      </c>
      <c r="O2138" s="185"/>
      <c r="P2138" s="224"/>
      <c r="Q2138" s="224"/>
    </row>
    <row r="2139" spans="1:17" s="225" customFormat="1" ht="10.5" x14ac:dyDescent="0.25">
      <c r="A2139" s="229"/>
      <c r="B2139" s="230"/>
      <c r="C2139" s="184"/>
      <c r="D2139" s="185"/>
      <c r="E2139" s="185"/>
      <c r="F2139" s="185"/>
      <c r="G2139" s="185"/>
      <c r="H2139" s="185"/>
      <c r="I2139" s="185"/>
      <c r="J2139" s="185"/>
      <c r="K2139" s="185"/>
      <c r="L2139" s="185"/>
      <c r="M2139" s="185"/>
      <c r="N2139" s="185"/>
      <c r="O2139" s="185"/>
      <c r="P2139" s="231"/>
      <c r="Q2139" s="224"/>
    </row>
    <row r="2140" spans="1:17" s="225" customFormat="1" ht="10.5" x14ac:dyDescent="0.25">
      <c r="A2140" s="229"/>
      <c r="B2140" s="232" t="s">
        <v>5</v>
      </c>
      <c r="C2140" s="182" t="s">
        <v>1328</v>
      </c>
      <c r="D2140" s="182"/>
      <c r="E2140" s="182"/>
      <c r="F2140" s="182"/>
      <c r="G2140" s="182"/>
      <c r="H2140" s="182"/>
      <c r="I2140" s="182"/>
      <c r="J2140" s="182"/>
      <c r="K2140" s="182"/>
      <c r="L2140" s="182"/>
      <c r="M2140" s="182"/>
      <c r="N2140" s="182">
        <f>SUM(N2138:N2139)</f>
        <v>3246.5089999999991</v>
      </c>
      <c r="O2140" s="182"/>
      <c r="P2140" s="233"/>
      <c r="Q2140" s="224"/>
    </row>
    <row r="2141" spans="1:17" s="228" customFormat="1" ht="21" x14ac:dyDescent="0.25">
      <c r="A2141" s="226" t="str">
        <f>ORÇAMENTO!A414</f>
        <v>5.1.2.4.8</v>
      </c>
      <c r="B2141" s="227" t="str">
        <f>VLOOKUP(A2141,ORÇAMENTO!A:K,4,0)</f>
        <v>EMULSÃO ASFÁLTICA PARA IMPRIMAÇÃO - FORNECIMENTO E TRANSPORTE</v>
      </c>
      <c r="C2141" s="173" t="str">
        <f>VLOOKUP(A2141,ORÇAMENTO!A:K,5,0)</f>
        <v>T</v>
      </c>
      <c r="D2141" s="173">
        <f>ROUND(SUM(E2146:O2146),2)</f>
        <v>4.22</v>
      </c>
      <c r="E2141" s="173" t="s">
        <v>1718</v>
      </c>
      <c r="F2141" s="173" t="s">
        <v>1719</v>
      </c>
      <c r="G2141" s="173" t="s">
        <v>1720</v>
      </c>
      <c r="H2141" s="173" t="s">
        <v>1721</v>
      </c>
      <c r="I2141" s="173" t="s">
        <v>1722</v>
      </c>
      <c r="J2141" s="173" t="s">
        <v>1723</v>
      </c>
      <c r="K2141" s="173" t="s">
        <v>1746</v>
      </c>
      <c r="L2141" s="173" t="s">
        <v>1777</v>
      </c>
      <c r="M2141" s="173" t="s">
        <v>1726</v>
      </c>
      <c r="N2141" s="173" t="s">
        <v>1811</v>
      </c>
      <c r="O2141" s="173" t="s">
        <v>1728</v>
      </c>
      <c r="P2141" s="224"/>
      <c r="Q2141" s="224"/>
    </row>
    <row r="2142" spans="1:17" s="225" customFormat="1" ht="10.5" x14ac:dyDescent="0.25">
      <c r="A2142" s="229"/>
      <c r="B2142" s="232" t="s">
        <v>1780</v>
      </c>
      <c r="C2142" s="177"/>
      <c r="D2142" s="178"/>
      <c r="E2142" s="178"/>
      <c r="F2142" s="178"/>
      <c r="G2142" s="178"/>
      <c r="H2142" s="178"/>
      <c r="I2142" s="178"/>
      <c r="J2142" s="178"/>
      <c r="K2142" s="178"/>
      <c r="L2142" s="178"/>
      <c r="M2142" s="178"/>
      <c r="N2142" s="178">
        <f>N2138</f>
        <v>3246.5089999999991</v>
      </c>
      <c r="O2142" s="178"/>
      <c r="P2142" s="231"/>
      <c r="Q2142" s="224"/>
    </row>
    <row r="2143" spans="1:17" s="225" customFormat="1" ht="42" x14ac:dyDescent="0.25">
      <c r="A2143" s="229"/>
      <c r="B2143" s="230" t="s">
        <v>1781</v>
      </c>
      <c r="C2143" s="177"/>
      <c r="D2143" s="178"/>
      <c r="E2143" s="178"/>
      <c r="F2143" s="178"/>
      <c r="G2143" s="178"/>
      <c r="H2143" s="178"/>
      <c r="I2143" s="178"/>
      <c r="J2143" s="178"/>
      <c r="K2143" s="178"/>
      <c r="L2143" s="198">
        <v>1.2999999999999999E-3</v>
      </c>
      <c r="M2143" s="178"/>
      <c r="N2143" s="200"/>
      <c r="O2143" s="178"/>
      <c r="P2143" s="231"/>
      <c r="Q2143" s="224"/>
    </row>
    <row r="2144" spans="1:17" s="225" customFormat="1" ht="10.5" x14ac:dyDescent="0.25">
      <c r="A2144" s="229"/>
      <c r="B2144" s="230"/>
      <c r="C2144" s="177"/>
      <c r="D2144" s="178"/>
      <c r="E2144" s="178"/>
      <c r="F2144" s="178"/>
      <c r="G2144" s="178"/>
      <c r="H2144" s="178"/>
      <c r="I2144" s="178"/>
      <c r="J2144" s="178"/>
      <c r="K2144" s="178">
        <f>L2143*N2142</f>
        <v>4.2204616999999987</v>
      </c>
      <c r="L2144" s="178"/>
      <c r="M2144" s="178"/>
      <c r="N2144" s="200"/>
      <c r="O2144" s="178"/>
      <c r="P2144" s="231"/>
      <c r="Q2144" s="224"/>
    </row>
    <row r="2145" spans="1:17" s="225" customFormat="1" ht="10.5" x14ac:dyDescent="0.25">
      <c r="A2145" s="229"/>
      <c r="B2145" s="230"/>
      <c r="C2145" s="177"/>
      <c r="D2145" s="178"/>
      <c r="E2145" s="178"/>
      <c r="F2145" s="178"/>
      <c r="G2145" s="178"/>
      <c r="H2145" s="178"/>
      <c r="I2145" s="178"/>
      <c r="J2145" s="178"/>
      <c r="K2145" s="178"/>
      <c r="L2145" s="178"/>
      <c r="M2145" s="178"/>
      <c r="N2145" s="200"/>
      <c r="O2145" s="178"/>
      <c r="P2145" s="231"/>
      <c r="Q2145" s="224"/>
    </row>
    <row r="2146" spans="1:17" s="225" customFormat="1" ht="10.5" x14ac:dyDescent="0.25">
      <c r="A2146" s="229"/>
      <c r="B2146" s="232" t="s">
        <v>5</v>
      </c>
      <c r="C2146" s="182" t="s">
        <v>1328</v>
      </c>
      <c r="D2146" s="182"/>
      <c r="E2146" s="182"/>
      <c r="F2146" s="182"/>
      <c r="G2146" s="182"/>
      <c r="H2146" s="182"/>
      <c r="I2146" s="182"/>
      <c r="J2146" s="182"/>
      <c r="K2146" s="177">
        <f>SUM(K2142:K2145)</f>
        <v>4.2204616999999987</v>
      </c>
      <c r="L2146" s="182"/>
      <c r="M2146" s="182"/>
      <c r="N2146" s="177"/>
      <c r="O2146" s="177"/>
      <c r="P2146" s="233"/>
      <c r="Q2146" s="224"/>
    </row>
    <row r="2147" spans="1:17" s="228" customFormat="1" ht="21" x14ac:dyDescent="0.25">
      <c r="A2147" s="226" t="str">
        <f>ORÇAMENTO!A415</f>
        <v>5.1.2.4.9</v>
      </c>
      <c r="B2147" s="227" t="str">
        <f>VLOOKUP(A2147,ORÇAMENTO!A:K,4,0)</f>
        <v>CAL HIDRATADA - A GRANEL</v>
      </c>
      <c r="C2147" s="173" t="str">
        <f>VLOOKUP(A2147,ORÇAMENTO!A:K,5,0)</f>
        <v>KG</v>
      </c>
      <c r="D2147" s="173">
        <f>SUM(E2150:O2150)</f>
        <v>64002.078770000022</v>
      </c>
      <c r="E2147" s="173" t="s">
        <v>1718</v>
      </c>
      <c r="F2147" s="173" t="s">
        <v>1719</v>
      </c>
      <c r="G2147" s="173" t="s">
        <v>1720</v>
      </c>
      <c r="H2147" s="173" t="s">
        <v>1721</v>
      </c>
      <c r="I2147" s="173" t="s">
        <v>1722</v>
      </c>
      <c r="J2147" s="173" t="s">
        <v>1723</v>
      </c>
      <c r="K2147" s="173" t="s">
        <v>1724</v>
      </c>
      <c r="L2147" s="173" t="s">
        <v>1753</v>
      </c>
      <c r="M2147" s="173" t="s">
        <v>1730</v>
      </c>
      <c r="N2147" s="173" t="s">
        <v>1727</v>
      </c>
      <c r="O2147" s="173" t="s">
        <v>1728</v>
      </c>
      <c r="P2147" s="224"/>
      <c r="Q2147" s="224"/>
    </row>
    <row r="2148" spans="1:17" s="225" customFormat="1" ht="10.5" x14ac:dyDescent="0.25">
      <c r="A2148" s="229"/>
      <c r="B2148" s="232" t="s">
        <v>1732</v>
      </c>
      <c r="C2148" s="184"/>
      <c r="D2148" s="185"/>
      <c r="E2148" s="185"/>
      <c r="F2148" s="185"/>
      <c r="G2148" s="185"/>
      <c r="H2148" s="185"/>
      <c r="I2148" s="185"/>
      <c r="J2148" s="185"/>
      <c r="K2148" s="185"/>
      <c r="L2148" s="185"/>
      <c r="M2148" s="185"/>
      <c r="N2148" s="185"/>
      <c r="O2148" s="185">
        <f>Quantitativos!BM89</f>
        <v>31.023790000000009</v>
      </c>
      <c r="P2148" s="224"/>
      <c r="Q2148" s="224"/>
    </row>
    <row r="2149" spans="1:17" s="225" customFormat="1" ht="31.5" x14ac:dyDescent="0.25">
      <c r="A2149" s="229"/>
      <c r="B2149" s="230" t="s">
        <v>1782</v>
      </c>
      <c r="C2149" s="184"/>
      <c r="D2149" s="185"/>
      <c r="E2149" s="185"/>
      <c r="F2149" s="185"/>
      <c r="G2149" s="185"/>
      <c r="H2149" s="185"/>
      <c r="I2149" s="185"/>
      <c r="J2149" s="185"/>
      <c r="K2149" s="185">
        <f>L2149*O2148</f>
        <v>64002.078770000022</v>
      </c>
      <c r="L2149" s="185">
        <f>82.52/0.04</f>
        <v>2063</v>
      </c>
      <c r="M2149" s="185"/>
      <c r="N2149" s="185"/>
      <c r="O2149" s="185"/>
      <c r="P2149" s="231"/>
      <c r="Q2149" s="224"/>
    </row>
    <row r="2150" spans="1:17" s="225" customFormat="1" ht="10.5" x14ac:dyDescent="0.25">
      <c r="A2150" s="229"/>
      <c r="B2150" s="232" t="s">
        <v>5</v>
      </c>
      <c r="C2150" s="182" t="s">
        <v>1328</v>
      </c>
      <c r="D2150" s="182"/>
      <c r="E2150" s="182"/>
      <c r="F2150" s="182"/>
      <c r="G2150" s="182"/>
      <c r="H2150" s="182"/>
      <c r="I2150" s="182"/>
      <c r="J2150" s="182"/>
      <c r="K2150" s="182">
        <f>SUM(K2148:K2149)</f>
        <v>64002.078770000022</v>
      </c>
      <c r="L2150" s="182"/>
      <c r="M2150" s="182"/>
      <c r="N2150" s="182"/>
      <c r="O2150" s="182"/>
      <c r="P2150" s="233"/>
      <c r="Q2150" s="224"/>
    </row>
    <row r="2151" spans="1:17" s="228" customFormat="1" ht="52.5" x14ac:dyDescent="0.25">
      <c r="A2151" s="226" t="str">
        <f>ORÇAMENTO!A416</f>
        <v>5.1.2.4.10</v>
      </c>
      <c r="B2151" s="227" t="str">
        <f>VLOOKUP(A2151,ORÇAMENTO!A:K,4,0)</f>
        <v>CONSTRUÇÃO DE PAVIMENTO COM APLICAÇÃO CONCRETO BETUMINOSO USINADO A QUENTE (CBUQ), CAMADA DE ROLAMENTO - EXCLUSIVE TRANSPORTE E CARGA  AF_03/2017 (SEM MATERIAL)</v>
      </c>
      <c r="C2151" s="173" t="str">
        <f>VLOOKUP(A2151,ORÇAMENTO!A:K,5,0)</f>
        <v>M³</v>
      </c>
      <c r="D2151" s="173">
        <f>SUM(E2155:O2155)</f>
        <v>97.395269999999968</v>
      </c>
      <c r="E2151" s="173" t="s">
        <v>1718</v>
      </c>
      <c r="F2151" s="173" t="s">
        <v>1719</v>
      </c>
      <c r="G2151" s="173" t="s">
        <v>1720</v>
      </c>
      <c r="H2151" s="173" t="s">
        <v>1721</v>
      </c>
      <c r="I2151" s="173" t="s">
        <v>1722</v>
      </c>
      <c r="J2151" s="173" t="s">
        <v>1723</v>
      </c>
      <c r="K2151" s="173" t="s">
        <v>1724</v>
      </c>
      <c r="L2151" s="173" t="s">
        <v>1783</v>
      </c>
      <c r="M2151" s="173" t="s">
        <v>1730</v>
      </c>
      <c r="N2151" s="173" t="s">
        <v>1727</v>
      </c>
      <c r="O2151" s="173" t="s">
        <v>1728</v>
      </c>
      <c r="P2151" s="224"/>
      <c r="Q2151" s="224"/>
    </row>
    <row r="2152" spans="1:17" s="225" customFormat="1" ht="10.5" x14ac:dyDescent="0.25">
      <c r="A2152" s="229"/>
      <c r="B2152" s="232" t="s">
        <v>1745</v>
      </c>
      <c r="C2152" s="184"/>
      <c r="D2152" s="185"/>
      <c r="E2152" s="185"/>
      <c r="F2152" s="185"/>
      <c r="G2152" s="185"/>
      <c r="H2152" s="185"/>
      <c r="I2152" s="185"/>
      <c r="J2152" s="185"/>
      <c r="K2152" s="185"/>
      <c r="L2152" s="185"/>
      <c r="M2152" s="185"/>
      <c r="N2152" s="185"/>
      <c r="O2152" s="185"/>
      <c r="P2152" s="231"/>
      <c r="Q2152" s="224"/>
    </row>
    <row r="2153" spans="1:17" s="225" customFormat="1" ht="10.5" x14ac:dyDescent="0.25">
      <c r="A2153" s="229"/>
      <c r="B2153" s="230" t="s">
        <v>1784</v>
      </c>
      <c r="C2153" s="184"/>
      <c r="D2153" s="185"/>
      <c r="E2153" s="185"/>
      <c r="F2153" s="185"/>
      <c r="G2153" s="185"/>
      <c r="H2153" s="185">
        <f>H1819</f>
        <v>0.03</v>
      </c>
      <c r="I2153" s="185"/>
      <c r="J2153" s="185"/>
      <c r="K2153" s="185"/>
      <c r="L2153" s="185"/>
      <c r="M2153" s="185"/>
      <c r="N2153" s="185">
        <f>N1811</f>
        <v>3246.5089999999991</v>
      </c>
      <c r="O2153" s="185">
        <f>N2153*H2153</f>
        <v>97.395269999999968</v>
      </c>
      <c r="P2153" s="231"/>
      <c r="Q2153" s="224"/>
    </row>
    <row r="2154" spans="1:17" s="225" customFormat="1" ht="10.5" x14ac:dyDescent="0.25">
      <c r="A2154" s="229"/>
      <c r="B2154" s="230"/>
      <c r="C2154" s="184"/>
      <c r="D2154" s="185"/>
      <c r="E2154" s="185"/>
      <c r="F2154" s="185"/>
      <c r="G2154" s="185"/>
      <c r="H2154" s="185"/>
      <c r="I2154" s="185"/>
      <c r="J2154" s="185"/>
      <c r="K2154" s="185"/>
      <c r="L2154" s="186"/>
      <c r="M2154" s="185"/>
      <c r="N2154" s="185"/>
      <c r="O2154" s="185"/>
      <c r="P2154" s="231"/>
      <c r="Q2154" s="224"/>
    </row>
    <row r="2155" spans="1:17" s="225" customFormat="1" ht="10.5" x14ac:dyDescent="0.25">
      <c r="A2155" s="229"/>
      <c r="B2155" s="232" t="s">
        <v>5</v>
      </c>
      <c r="C2155" s="182" t="s">
        <v>1328</v>
      </c>
      <c r="D2155" s="182"/>
      <c r="E2155" s="182"/>
      <c r="F2155" s="182"/>
      <c r="G2155" s="182"/>
      <c r="H2155" s="182"/>
      <c r="I2155" s="182"/>
      <c r="J2155" s="182"/>
      <c r="K2155" s="182"/>
      <c r="L2155" s="182"/>
      <c r="M2155" s="182"/>
      <c r="N2155" s="182"/>
      <c r="O2155" s="182">
        <f>SUM(O2153:O2154)</f>
        <v>97.395269999999968</v>
      </c>
      <c r="P2155" s="233"/>
      <c r="Q2155" s="224"/>
    </row>
    <row r="2156" spans="1:17" s="228" customFormat="1" ht="21" x14ac:dyDescent="0.25">
      <c r="A2156" s="226" t="str">
        <f>ORÇAMENTO!A417</f>
        <v>5.1.2.4.11</v>
      </c>
      <c r="B2156" s="227" t="str">
        <f>VLOOKUP(A2156,ORÇAMENTO!A:K,4,0)</f>
        <v>USINAGEM DE CBUQ SEM  CAP 50/70, PARA CAPA DE ROLAMENTO (SEM MATERIAL  E TRANSPORTE)</v>
      </c>
      <c r="C2156" s="173" t="str">
        <f>VLOOKUP(A2156,ORÇAMENTO!A:K,5,0)</f>
        <v>T</v>
      </c>
      <c r="D2156" s="173">
        <f>SUM(E2161:O2161)</f>
        <v>233.74864799999992</v>
      </c>
      <c r="E2156" s="173" t="s">
        <v>1718</v>
      </c>
      <c r="F2156" s="173" t="s">
        <v>1719</v>
      </c>
      <c r="G2156" s="173" t="s">
        <v>1720</v>
      </c>
      <c r="H2156" s="173" t="s">
        <v>1721</v>
      </c>
      <c r="I2156" s="173" t="s">
        <v>1722</v>
      </c>
      <c r="J2156" s="173" t="s">
        <v>1723</v>
      </c>
      <c r="K2156" s="173" t="s">
        <v>1746</v>
      </c>
      <c r="L2156" s="173" t="s">
        <v>1753</v>
      </c>
      <c r="M2156" s="173" t="s">
        <v>1730</v>
      </c>
      <c r="N2156" s="173" t="s">
        <v>1727</v>
      </c>
      <c r="O2156" s="173" t="s">
        <v>1728</v>
      </c>
      <c r="P2156" s="224"/>
      <c r="Q2156" s="224"/>
    </row>
    <row r="2157" spans="1:17" s="225" customFormat="1" ht="10.5" x14ac:dyDescent="0.25">
      <c r="A2157" s="229"/>
      <c r="B2157" s="232" t="s">
        <v>1745</v>
      </c>
      <c r="C2157" s="184"/>
      <c r="D2157" s="185"/>
      <c r="E2157" s="185"/>
      <c r="F2157" s="185"/>
      <c r="G2157" s="185"/>
      <c r="H2157" s="185"/>
      <c r="I2157" s="185"/>
      <c r="J2157" s="185"/>
      <c r="K2157" s="185"/>
      <c r="L2157" s="185"/>
      <c r="M2157" s="185"/>
      <c r="N2157" s="185"/>
      <c r="O2157" s="185"/>
      <c r="P2157" s="231"/>
      <c r="Q2157" s="224"/>
    </row>
    <row r="2158" spans="1:17" s="225" customFormat="1" ht="10.5" x14ac:dyDescent="0.25">
      <c r="A2158" s="229"/>
      <c r="B2158" s="230" t="s">
        <v>1785</v>
      </c>
      <c r="C2158" s="184"/>
      <c r="D2158" s="185"/>
      <c r="E2158" s="185"/>
      <c r="F2158" s="185"/>
      <c r="G2158" s="185"/>
      <c r="H2158" s="185"/>
      <c r="I2158" s="185"/>
      <c r="J2158" s="185"/>
      <c r="K2158" s="185"/>
      <c r="L2158" s="185">
        <v>2.4</v>
      </c>
      <c r="M2158" s="185"/>
      <c r="N2158" s="185"/>
      <c r="O2158" s="185"/>
      <c r="P2158" s="231"/>
      <c r="Q2158" s="224"/>
    </row>
    <row r="2159" spans="1:17" s="225" customFormat="1" ht="10.5" x14ac:dyDescent="0.25">
      <c r="A2159" s="229"/>
      <c r="B2159" s="230" t="str">
        <f>B2153</f>
        <v>CONCRETO BETUMINOSO USINADO A QUENTE</v>
      </c>
      <c r="C2159" s="184"/>
      <c r="D2159" s="185"/>
      <c r="E2159" s="185"/>
      <c r="F2159" s="185"/>
      <c r="G2159" s="185"/>
      <c r="H2159" s="185">
        <f>H2153</f>
        <v>0.03</v>
      </c>
      <c r="I2159" s="185"/>
      <c r="J2159" s="185"/>
      <c r="K2159" s="185">
        <f>L2158*O2159</f>
        <v>233.74864799999992</v>
      </c>
      <c r="L2159" s="185"/>
      <c r="M2159" s="185"/>
      <c r="N2159" s="185">
        <f>N2153</f>
        <v>3246.5089999999991</v>
      </c>
      <c r="O2159" s="185">
        <f>O2153</f>
        <v>97.395269999999968</v>
      </c>
      <c r="P2159" s="231"/>
      <c r="Q2159" s="224"/>
    </row>
    <row r="2160" spans="1:17" s="225" customFormat="1" ht="10.5" x14ac:dyDescent="0.25">
      <c r="A2160" s="229"/>
      <c r="B2160" s="230"/>
      <c r="C2160" s="184"/>
      <c r="D2160" s="185"/>
      <c r="E2160" s="185"/>
      <c r="F2160" s="185"/>
      <c r="G2160" s="185"/>
      <c r="H2160" s="185"/>
      <c r="I2160" s="185"/>
      <c r="J2160" s="185"/>
      <c r="K2160" s="185"/>
      <c r="L2160" s="186"/>
      <c r="M2160" s="185"/>
      <c r="N2160" s="185"/>
      <c r="O2160" s="185"/>
      <c r="P2160" s="231"/>
      <c r="Q2160" s="224"/>
    </row>
    <row r="2161" spans="1:17" s="225" customFormat="1" ht="10.5" x14ac:dyDescent="0.25">
      <c r="A2161" s="229"/>
      <c r="B2161" s="232" t="s">
        <v>5</v>
      </c>
      <c r="C2161" s="182" t="s">
        <v>1328</v>
      </c>
      <c r="D2161" s="182"/>
      <c r="E2161" s="182"/>
      <c r="F2161" s="182"/>
      <c r="G2161" s="182"/>
      <c r="H2161" s="182"/>
      <c r="I2161" s="182"/>
      <c r="J2161" s="182"/>
      <c r="K2161" s="182">
        <f>SUM(K2159:K2160)</f>
        <v>233.74864799999992</v>
      </c>
      <c r="L2161" s="182"/>
      <c r="M2161" s="182"/>
      <c r="N2161" s="182"/>
      <c r="O2161" s="182"/>
      <c r="P2161" s="233"/>
      <c r="Q2161" s="224"/>
    </row>
    <row r="2162" spans="1:17" s="228" customFormat="1" ht="21" x14ac:dyDescent="0.25">
      <c r="A2162" s="226" t="str">
        <f>ORÇAMENTO!A418</f>
        <v>5.1.2.4.12</v>
      </c>
      <c r="B2162" s="227" t="str">
        <f>VLOOKUP(A2162,ORÇAMENTO!A:K,4,0)</f>
        <v>CIMENTO ASFÁLTICO DE PETRÓLEO - CAP 50/70 FORNECIMENTO E TRANSPORTE</v>
      </c>
      <c r="C2162" s="173" t="str">
        <f>VLOOKUP(A2162,ORÇAMENTO!A:K,5,0)</f>
        <v>T</v>
      </c>
      <c r="D2162" s="173">
        <f>SUM(E2167:O2167)</f>
        <v>14.779927013039993</v>
      </c>
      <c r="E2162" s="173" t="s">
        <v>1718</v>
      </c>
      <c r="F2162" s="173" t="s">
        <v>1719</v>
      </c>
      <c r="G2162" s="173" t="s">
        <v>1720</v>
      </c>
      <c r="H2162" s="173" t="s">
        <v>1721</v>
      </c>
      <c r="I2162" s="173" t="s">
        <v>1722</v>
      </c>
      <c r="J2162" s="173" t="s">
        <v>1723</v>
      </c>
      <c r="K2162" s="173" t="s">
        <v>1746</v>
      </c>
      <c r="L2162" s="173" t="s">
        <v>1777</v>
      </c>
      <c r="M2162" s="173" t="s">
        <v>1730</v>
      </c>
      <c r="N2162" s="173" t="s">
        <v>1727</v>
      </c>
      <c r="O2162" s="173" t="s">
        <v>1728</v>
      </c>
      <c r="P2162" s="224"/>
      <c r="Q2162" s="224"/>
    </row>
    <row r="2163" spans="1:17" s="225" customFormat="1" ht="10.5" x14ac:dyDescent="0.25">
      <c r="A2163" s="229"/>
      <c r="B2163" s="230" t="str">
        <f>B2159</f>
        <v>CONCRETO BETUMINOSO USINADO A QUENTE</v>
      </c>
      <c r="C2163" s="184"/>
      <c r="D2163" s="185"/>
      <c r="E2163" s="185"/>
      <c r="F2163" s="185"/>
      <c r="G2163" s="185"/>
      <c r="H2163" s="185"/>
      <c r="I2163" s="185"/>
      <c r="J2163" s="185"/>
      <c r="K2163" s="185">
        <f>K2159</f>
        <v>233.74864799999992</v>
      </c>
      <c r="L2163" s="185"/>
      <c r="M2163" s="185"/>
      <c r="N2163" s="185"/>
      <c r="O2163" s="185"/>
      <c r="P2163" s="231"/>
      <c r="Q2163" s="224"/>
    </row>
    <row r="2164" spans="1:17" s="225" customFormat="1" ht="10.5" x14ac:dyDescent="0.25">
      <c r="A2164" s="229"/>
      <c r="B2164" s="230" t="s">
        <v>1786</v>
      </c>
      <c r="C2164" s="184"/>
      <c r="D2164" s="185"/>
      <c r="E2164" s="185"/>
      <c r="F2164" s="185"/>
      <c r="G2164" s="185"/>
      <c r="H2164" s="185"/>
      <c r="I2164" s="185"/>
      <c r="J2164" s="185"/>
      <c r="K2164" s="185"/>
      <c r="L2164" s="199">
        <v>6.3229999999999995E-2</v>
      </c>
      <c r="M2164" s="185"/>
      <c r="N2164" s="185"/>
      <c r="O2164" s="185"/>
      <c r="P2164" s="231"/>
      <c r="Q2164" s="224"/>
    </row>
    <row r="2165" spans="1:17" s="225" customFormat="1" ht="10.5" x14ac:dyDescent="0.25">
      <c r="A2165" s="229"/>
      <c r="B2165" s="230"/>
      <c r="C2165" s="184"/>
      <c r="D2165" s="185"/>
      <c r="E2165" s="185"/>
      <c r="F2165" s="185"/>
      <c r="G2165" s="185"/>
      <c r="H2165" s="185"/>
      <c r="I2165" s="185"/>
      <c r="J2165" s="185"/>
      <c r="K2165" s="185">
        <f>K2163*L2164</f>
        <v>14.779927013039993</v>
      </c>
      <c r="L2165" s="185"/>
      <c r="M2165" s="185"/>
      <c r="N2165" s="185"/>
      <c r="O2165" s="185"/>
      <c r="P2165" s="231"/>
      <c r="Q2165" s="224"/>
    </row>
    <row r="2166" spans="1:17" s="225" customFormat="1" ht="10.5" x14ac:dyDescent="0.25">
      <c r="A2166" s="229"/>
      <c r="B2166" s="230"/>
      <c r="C2166" s="184"/>
      <c r="D2166" s="185"/>
      <c r="E2166" s="185"/>
      <c r="F2166" s="185"/>
      <c r="G2166" s="185"/>
      <c r="H2166" s="185"/>
      <c r="I2166" s="185"/>
      <c r="J2166" s="185"/>
      <c r="K2166" s="185"/>
      <c r="L2166" s="186"/>
      <c r="M2166" s="185"/>
      <c r="N2166" s="185"/>
      <c r="O2166" s="185"/>
      <c r="P2166" s="231"/>
      <c r="Q2166" s="224"/>
    </row>
    <row r="2167" spans="1:17" s="225" customFormat="1" ht="10.5" x14ac:dyDescent="0.25">
      <c r="A2167" s="229"/>
      <c r="B2167" s="232" t="s">
        <v>5</v>
      </c>
      <c r="C2167" s="182" t="s">
        <v>1328</v>
      </c>
      <c r="D2167" s="182"/>
      <c r="E2167" s="182"/>
      <c r="F2167" s="182"/>
      <c r="G2167" s="182"/>
      <c r="H2167" s="182"/>
      <c r="I2167" s="182"/>
      <c r="J2167" s="182"/>
      <c r="K2167" s="182">
        <f>SUM(K2165:K2166)</f>
        <v>14.779927013039993</v>
      </c>
      <c r="L2167" s="182"/>
      <c r="M2167" s="182"/>
      <c r="N2167" s="182"/>
      <c r="O2167" s="182"/>
      <c r="P2167" s="233"/>
      <c r="Q2167" s="224"/>
    </row>
    <row r="2168" spans="1:17" s="228" customFormat="1" ht="21" x14ac:dyDescent="0.25">
      <c r="A2168" s="226" t="str">
        <f>ORÇAMENTO!A419</f>
        <v>5.1.2.4.13</v>
      </c>
      <c r="B2168" s="227" t="str">
        <f>VLOOKUP(A2168,ORÇAMENTO!A:K,4,0)</f>
        <v>REATERRO MANUAL APILOADO COM SOQUETE</v>
      </c>
      <c r="C2168" s="173" t="str">
        <f>VLOOKUP(A2168,ORÇAMENTO!A:K,5,0)</f>
        <v>M³</v>
      </c>
      <c r="D2168" s="173">
        <f>SUM(E2171:O2171)</f>
        <v>3351.2372152277189</v>
      </c>
      <c r="E2168" s="173" t="s">
        <v>1718</v>
      </c>
      <c r="F2168" s="173" t="s">
        <v>1719</v>
      </c>
      <c r="G2168" s="173" t="s">
        <v>1720</v>
      </c>
      <c r="H2168" s="173" t="s">
        <v>1721</v>
      </c>
      <c r="I2168" s="173" t="s">
        <v>1722</v>
      </c>
      <c r="J2168" s="173" t="s">
        <v>1723</v>
      </c>
      <c r="K2168" s="173" t="s">
        <v>1724</v>
      </c>
      <c r="L2168" s="173" t="s">
        <v>1753</v>
      </c>
      <c r="M2168" s="173" t="s">
        <v>1730</v>
      </c>
      <c r="N2168" s="173" t="s">
        <v>1727</v>
      </c>
      <c r="O2168" s="173" t="s">
        <v>1728</v>
      </c>
      <c r="P2168" s="224"/>
      <c r="Q2168" s="224"/>
    </row>
    <row r="2169" spans="1:17" s="225" customFormat="1" ht="10.5" x14ac:dyDescent="0.25">
      <c r="A2169" s="229"/>
      <c r="B2169" s="230" t="s">
        <v>1787</v>
      </c>
      <c r="C2169" s="177"/>
      <c r="D2169" s="178"/>
      <c r="E2169" s="178"/>
      <c r="F2169" s="178"/>
      <c r="G2169" s="178"/>
      <c r="H2169" s="178"/>
      <c r="I2169" s="178"/>
      <c r="J2169" s="178"/>
      <c r="K2169" s="178"/>
      <c r="L2169" s="178"/>
      <c r="M2169" s="178"/>
      <c r="N2169" s="178"/>
      <c r="O2169" s="178">
        <f>Quantitativos!AZ89</f>
        <v>3351.2372152277189</v>
      </c>
      <c r="P2169" s="224"/>
      <c r="Q2169" s="224"/>
    </row>
    <row r="2170" spans="1:17" s="225" customFormat="1" ht="10.5" x14ac:dyDescent="0.25">
      <c r="A2170" s="229"/>
      <c r="B2170" s="230"/>
      <c r="C2170" s="177"/>
      <c r="D2170" s="178"/>
      <c r="E2170" s="178"/>
      <c r="F2170" s="178"/>
      <c r="G2170" s="178"/>
      <c r="H2170" s="178"/>
      <c r="I2170" s="178"/>
      <c r="J2170" s="178"/>
      <c r="K2170" s="178"/>
      <c r="L2170" s="178"/>
      <c r="M2170" s="178"/>
      <c r="N2170" s="178"/>
      <c r="O2170" s="178"/>
      <c r="P2170" s="231"/>
      <c r="Q2170" s="224"/>
    </row>
    <row r="2171" spans="1:17" s="225" customFormat="1" ht="10.5" x14ac:dyDescent="0.25">
      <c r="A2171" s="229"/>
      <c r="B2171" s="232" t="s">
        <v>5</v>
      </c>
      <c r="C2171" s="182" t="s">
        <v>1328</v>
      </c>
      <c r="D2171" s="182"/>
      <c r="E2171" s="182"/>
      <c r="F2171" s="182"/>
      <c r="G2171" s="182"/>
      <c r="H2171" s="182"/>
      <c r="I2171" s="182"/>
      <c r="J2171" s="182"/>
      <c r="K2171" s="182"/>
      <c r="L2171" s="182"/>
      <c r="M2171" s="182"/>
      <c r="N2171" s="182"/>
      <c r="O2171" s="182">
        <f>SUM(O2169:O2170)</f>
        <v>3351.2372152277189</v>
      </c>
      <c r="P2171" s="233"/>
      <c r="Q2171" s="224"/>
    </row>
    <row r="2172" spans="1:17" s="228" customFormat="1" ht="31.5" x14ac:dyDescent="0.25">
      <c r="A2172" s="226" t="str">
        <f>ORÇAMENTO!A420</f>
        <v>5.1.2.4.14</v>
      </c>
      <c r="B2172" s="227" t="str">
        <f>VLOOKUP(A2172,ORÇAMENTO!A:K,4,0)</f>
        <v>REATERRO COMPACTADO MECANICAMENTE EM CAMADAS DE 0,20 M COM APROVEITAMENTO DO MATERIAL ESCAVADO.</v>
      </c>
      <c r="C2172" s="173" t="str">
        <f>VLOOKUP(A2172,ORÇAMENTO!A:K,5,0)</f>
        <v>M³</v>
      </c>
      <c r="D2172" s="173">
        <f>SUM(E2177:O2177)</f>
        <v>5392.0377449999996</v>
      </c>
      <c r="E2172" s="173" t="s">
        <v>1718</v>
      </c>
      <c r="F2172" s="173" t="s">
        <v>1719</v>
      </c>
      <c r="G2172" s="173" t="s">
        <v>1720</v>
      </c>
      <c r="H2172" s="173" t="s">
        <v>1721</v>
      </c>
      <c r="I2172" s="173" t="s">
        <v>1722</v>
      </c>
      <c r="J2172" s="173" t="s">
        <v>1723</v>
      </c>
      <c r="K2172" s="173" t="s">
        <v>1724</v>
      </c>
      <c r="L2172" s="173" t="s">
        <v>1753</v>
      </c>
      <c r="M2172" s="173" t="s">
        <v>1730</v>
      </c>
      <c r="N2172" s="173" t="s">
        <v>1727</v>
      </c>
      <c r="O2172" s="173" t="s">
        <v>1728</v>
      </c>
      <c r="P2172" s="224"/>
      <c r="Q2172" s="224"/>
    </row>
    <row r="2173" spans="1:17" s="225" customFormat="1" ht="10.5" x14ac:dyDescent="0.25">
      <c r="A2173" s="229"/>
      <c r="B2173" s="230" t="s">
        <v>1787</v>
      </c>
      <c r="C2173" s="184"/>
      <c r="D2173" s="185"/>
      <c r="E2173" s="185"/>
      <c r="F2173" s="185"/>
      <c r="G2173" s="185"/>
      <c r="H2173" s="185"/>
      <c r="I2173" s="185"/>
      <c r="J2173" s="185"/>
      <c r="K2173" s="185"/>
      <c r="L2173" s="185"/>
      <c r="M2173" s="185"/>
      <c r="N2173" s="185"/>
      <c r="O2173" s="185">
        <f>Quantitativos!BG89</f>
        <v>4256.1356914275802</v>
      </c>
      <c r="P2173" s="224"/>
      <c r="Q2173" s="224"/>
    </row>
    <row r="2174" spans="1:17" s="225" customFormat="1" ht="21" x14ac:dyDescent="0.25">
      <c r="A2174" s="229"/>
      <c r="B2174" s="230" t="s">
        <v>1788</v>
      </c>
      <c r="C2174" s="184"/>
      <c r="D2174" s="185"/>
      <c r="E2174" s="185"/>
      <c r="F2174" s="185"/>
      <c r="G2174" s="185"/>
      <c r="H2174" s="185"/>
      <c r="I2174" s="185"/>
      <c r="J2174" s="185"/>
      <c r="K2174" s="185"/>
      <c r="L2174" s="185"/>
      <c r="M2174" s="185"/>
      <c r="N2174" s="185"/>
      <c r="O2174" s="185">
        <f>Quantitativos!BJ89</f>
        <v>707.70776377305572</v>
      </c>
      <c r="P2174" s="231"/>
      <c r="Q2174" s="224"/>
    </row>
    <row r="2175" spans="1:17" s="225" customFormat="1" ht="10.5" x14ac:dyDescent="0.25">
      <c r="A2175" s="229"/>
      <c r="B2175" s="230" t="s">
        <v>1789</v>
      </c>
      <c r="C2175" s="184"/>
      <c r="D2175" s="185"/>
      <c r="E2175" s="185"/>
      <c r="F2175" s="185"/>
      <c r="G2175" s="185"/>
      <c r="H2175" s="185"/>
      <c r="I2175" s="185"/>
      <c r="J2175" s="185"/>
      <c r="K2175" s="185"/>
      <c r="L2175" s="185"/>
      <c r="M2175" s="185"/>
      <c r="N2175" s="185"/>
      <c r="O2175" s="185">
        <f>Quantitativos!BK89</f>
        <v>139.57588979936406</v>
      </c>
      <c r="P2175" s="231"/>
      <c r="Q2175" s="224"/>
    </row>
    <row r="2176" spans="1:17" s="225" customFormat="1" ht="10.5" x14ac:dyDescent="0.25">
      <c r="A2176" s="229"/>
      <c r="B2176" s="230" t="s">
        <v>1790</v>
      </c>
      <c r="C2176" s="184"/>
      <c r="D2176" s="185"/>
      <c r="E2176" s="185"/>
      <c r="F2176" s="185"/>
      <c r="G2176" s="185"/>
      <c r="H2176" s="185"/>
      <c r="I2176" s="185"/>
      <c r="J2176" s="185"/>
      <c r="K2176" s="185"/>
      <c r="L2176" s="185"/>
      <c r="M2176" s="185"/>
      <c r="N2176" s="185"/>
      <c r="O2176" s="185">
        <f>Quantitativos!AW89</f>
        <v>288.61840000000001</v>
      </c>
      <c r="P2176" s="231"/>
      <c r="Q2176" s="224"/>
    </row>
    <row r="2177" spans="1:19" s="225" customFormat="1" ht="10.5" x14ac:dyDescent="0.25">
      <c r="A2177" s="229"/>
      <c r="B2177" s="232" t="s">
        <v>5</v>
      </c>
      <c r="C2177" s="182" t="s">
        <v>1328</v>
      </c>
      <c r="D2177" s="182"/>
      <c r="E2177" s="182"/>
      <c r="F2177" s="182"/>
      <c r="G2177" s="182"/>
      <c r="H2177" s="182"/>
      <c r="I2177" s="182"/>
      <c r="J2177" s="182"/>
      <c r="K2177" s="182"/>
      <c r="L2177" s="182"/>
      <c r="M2177" s="182"/>
      <c r="N2177" s="182"/>
      <c r="O2177" s="182">
        <f>SUM(O2173:O2176)</f>
        <v>5392.0377449999996</v>
      </c>
      <c r="P2177" s="233"/>
      <c r="Q2177" s="224"/>
    </row>
    <row r="2178" spans="1:19" s="235" customFormat="1" ht="52.5" x14ac:dyDescent="0.35">
      <c r="A2178" s="226" t="str">
        <f>ORÇAMENTO!A421</f>
        <v>5.1.2.4.15</v>
      </c>
      <c r="B2178" s="227" t="str">
        <f>VLOOKUP(A2178,ORÇAMENTO!A:K,4,0)</f>
        <v>CARGA, MANOBRA E DESCARGA DE SOLOS E MATERIAIS GRANULARES EM CAMINHÃO BASCULANTE 14 M³ - CARGA COM ESCAVADEIRA HIDRÁULICA (CAÇAMBA DE 1,20 M³ / 155 HP) E DESCARGA LIVRE (UNIDADE: M3). AF_07/2020</v>
      </c>
      <c r="C2178" s="173" t="str">
        <f>VLOOKUP(A2178,ORÇAMENTO!A:K,5,0)</f>
        <v>M³</v>
      </c>
      <c r="D2178" s="173">
        <f>SUM(E2183:O2183)</f>
        <v>1872.9750868795288</v>
      </c>
      <c r="E2178" s="173" t="s">
        <v>1752</v>
      </c>
      <c r="F2178" s="173" t="s">
        <v>1719</v>
      </c>
      <c r="G2178" s="173" t="s">
        <v>1720</v>
      </c>
      <c r="H2178" s="173" t="s">
        <v>1721</v>
      </c>
      <c r="I2178" s="173" t="s">
        <v>1722</v>
      </c>
      <c r="J2178" s="173" t="s">
        <v>1723</v>
      </c>
      <c r="K2178" s="173" t="s">
        <v>1746</v>
      </c>
      <c r="L2178" s="173" t="s">
        <v>1753</v>
      </c>
      <c r="M2178" s="173" t="s">
        <v>1730</v>
      </c>
      <c r="N2178" s="173" t="s">
        <v>1727</v>
      </c>
      <c r="O2178" s="173" t="s">
        <v>1728</v>
      </c>
      <c r="P2178" s="224"/>
      <c r="Q2178" s="224"/>
      <c r="R2178" s="224"/>
      <c r="S2178" s="224"/>
    </row>
    <row r="2179" spans="1:19" s="225" customFormat="1" ht="21" x14ac:dyDescent="0.25">
      <c r="A2179" s="229"/>
      <c r="B2179" s="230" t="s">
        <v>1791</v>
      </c>
      <c r="C2179" s="184"/>
      <c r="D2179" s="185"/>
      <c r="E2179" s="185"/>
      <c r="F2179" s="185"/>
      <c r="G2179" s="185"/>
      <c r="H2179" s="185"/>
      <c r="I2179" s="185"/>
      <c r="J2179" s="185"/>
      <c r="K2179" s="185"/>
      <c r="L2179" s="197"/>
      <c r="M2179" s="185"/>
      <c r="N2179" s="185"/>
      <c r="O2179" s="185">
        <f>O2185+O2186+O2187</f>
        <v>1333.8793868795287</v>
      </c>
      <c r="P2179" s="231"/>
      <c r="Q2179" s="224"/>
    </row>
    <row r="2180" spans="1:19" s="225" customFormat="1" ht="21" x14ac:dyDescent="0.25">
      <c r="A2180" s="229"/>
      <c r="B2180" s="230" t="s">
        <v>1792</v>
      </c>
      <c r="C2180" s="184"/>
      <c r="D2180" s="185"/>
      <c r="E2180" s="185"/>
      <c r="F2180" s="185"/>
      <c r="G2180" s="185"/>
      <c r="H2180" s="185"/>
      <c r="I2180" s="185"/>
      <c r="J2180" s="185"/>
      <c r="K2180" s="185"/>
      <c r="L2180" s="197"/>
      <c r="M2180" s="185"/>
      <c r="N2180" s="185"/>
      <c r="O2180" s="185">
        <f>O2114</f>
        <v>72.798600000000008</v>
      </c>
      <c r="P2180" s="231"/>
      <c r="Q2180" s="224"/>
    </row>
    <row r="2181" spans="1:19" s="225" customFormat="1" ht="31.5" x14ac:dyDescent="0.25">
      <c r="A2181" s="229"/>
      <c r="B2181" s="230" t="s">
        <v>1793</v>
      </c>
      <c r="C2181" s="184"/>
      <c r="D2181" s="185"/>
      <c r="E2181" s="185"/>
      <c r="F2181" s="185"/>
      <c r="G2181" s="185"/>
      <c r="H2181" s="185"/>
      <c r="I2181" s="185"/>
      <c r="J2181" s="185"/>
      <c r="K2181" s="185"/>
      <c r="L2181" s="197"/>
      <c r="M2181" s="185"/>
      <c r="N2181" s="185"/>
      <c r="O2181" s="185">
        <f>O2118</f>
        <v>466.29710000000006</v>
      </c>
      <c r="P2181" s="231"/>
      <c r="Q2181" s="224"/>
    </row>
    <row r="2182" spans="1:19" s="225" customFormat="1" ht="10.5" x14ac:dyDescent="0.25">
      <c r="A2182" s="229"/>
      <c r="B2182" s="230"/>
      <c r="C2182" s="184"/>
      <c r="D2182" s="185"/>
      <c r="E2182" s="185"/>
      <c r="F2182" s="185"/>
      <c r="G2182" s="185"/>
      <c r="H2182" s="185"/>
      <c r="I2182" s="185"/>
      <c r="J2182" s="185"/>
      <c r="K2182" s="185"/>
      <c r="L2182" s="197"/>
      <c r="M2182" s="185"/>
      <c r="N2182" s="185"/>
      <c r="O2182" s="185"/>
      <c r="P2182" s="231"/>
      <c r="Q2182" s="224"/>
    </row>
    <row r="2183" spans="1:19" s="225" customFormat="1" ht="10.5" x14ac:dyDescent="0.25">
      <c r="A2183" s="229"/>
      <c r="B2183" s="232" t="s">
        <v>5</v>
      </c>
      <c r="C2183" s="182" t="s">
        <v>1328</v>
      </c>
      <c r="D2183" s="182"/>
      <c r="E2183" s="182"/>
      <c r="F2183" s="182"/>
      <c r="G2183" s="182"/>
      <c r="H2183" s="182"/>
      <c r="I2183" s="182"/>
      <c r="J2183" s="182"/>
      <c r="K2183" s="182"/>
      <c r="L2183" s="182"/>
      <c r="M2183" s="184"/>
      <c r="N2183" s="182"/>
      <c r="O2183" s="182">
        <f>SUM(O2179:O2182)</f>
        <v>1872.9750868795288</v>
      </c>
      <c r="P2183" s="233"/>
      <c r="Q2183" s="224"/>
    </row>
    <row r="2184" spans="1:19" s="228" customFormat="1" ht="31.5" x14ac:dyDescent="0.25">
      <c r="A2184" s="226" t="str">
        <f>ORÇAMENTO!A422</f>
        <v>5.1.2.4.16</v>
      </c>
      <c r="B2184" s="227" t="str">
        <f>VLOOKUP(A2184,ORÇAMENTO!A:K,4,0)</f>
        <v>TRANSPORTE COM CAMINHÃO BASCULANTE DE 14 M³, EM VIA URBANA PAVIMENTADA, DMT ATÉ 30 KM (UNIDADE: M3XKM). AF_07/2020</v>
      </c>
      <c r="C2184" s="173" t="str">
        <f>VLOOKUP(A2184,ORÇAMENTO!A:K,5,0)</f>
        <v>M3XKM</v>
      </c>
      <c r="D2184" s="173">
        <f>SUM(E2190:O2190)</f>
        <v>14067.625797375909</v>
      </c>
      <c r="E2184" s="173" t="s">
        <v>1749</v>
      </c>
      <c r="F2184" s="173" t="s">
        <v>1719</v>
      </c>
      <c r="G2184" s="173" t="s">
        <v>1720</v>
      </c>
      <c r="H2184" s="173" t="s">
        <v>1721</v>
      </c>
      <c r="I2184" s="173" t="s">
        <v>1722</v>
      </c>
      <c r="J2184" s="173" t="s">
        <v>1723</v>
      </c>
      <c r="K2184" s="173" t="s">
        <v>1724</v>
      </c>
      <c r="L2184" s="173" t="s">
        <v>1753</v>
      </c>
      <c r="M2184" s="173" t="s">
        <v>1750</v>
      </c>
      <c r="N2184" s="173" t="s">
        <v>1727</v>
      </c>
      <c r="O2184" s="173" t="s">
        <v>1728</v>
      </c>
      <c r="P2184" s="224"/>
      <c r="Q2184" s="224"/>
    </row>
    <row r="2185" spans="1:19" s="225" customFormat="1" ht="21" x14ac:dyDescent="0.25">
      <c r="A2185" s="229"/>
      <c r="B2185" s="230" t="s">
        <v>1794</v>
      </c>
      <c r="C2185" s="184"/>
      <c r="D2185" s="185"/>
      <c r="E2185" s="185">
        <v>0.2</v>
      </c>
      <c r="F2185" s="185"/>
      <c r="G2185" s="185"/>
      <c r="H2185" s="185"/>
      <c r="I2185" s="185"/>
      <c r="J2185" s="185"/>
      <c r="K2185" s="185"/>
      <c r="L2185" s="185"/>
      <c r="M2185" s="185">
        <f>O2185*E2185</f>
        <v>141.54155275461116</v>
      </c>
      <c r="N2185" s="185"/>
      <c r="O2185" s="185">
        <f>O2174</f>
        <v>707.70776377305572</v>
      </c>
      <c r="P2185" s="224"/>
      <c r="Q2185" s="224"/>
    </row>
    <row r="2186" spans="1:19" s="225" customFormat="1" ht="31.5" x14ac:dyDescent="0.25">
      <c r="A2186" s="229"/>
      <c r="B2186" s="230" t="s">
        <v>1795</v>
      </c>
      <c r="C2186" s="184"/>
      <c r="D2186" s="185"/>
      <c r="E2186" s="185">
        <v>0.2</v>
      </c>
      <c r="F2186" s="185"/>
      <c r="G2186" s="185"/>
      <c r="H2186" s="185"/>
      <c r="I2186" s="185"/>
      <c r="J2186" s="185"/>
      <c r="K2186" s="185"/>
      <c r="L2186" s="185"/>
      <c r="M2186" s="185">
        <f>O2186*E2186</f>
        <v>32.949280000000002</v>
      </c>
      <c r="N2186" s="185"/>
      <c r="O2186" s="185">
        <f>Quantitativos!AX89</f>
        <v>164.74639999999999</v>
      </c>
      <c r="P2186" s="224"/>
      <c r="Q2186" s="224"/>
    </row>
    <row r="2187" spans="1:19" s="225" customFormat="1" ht="31.5" x14ac:dyDescent="0.25">
      <c r="A2187" s="229"/>
      <c r="B2187" s="230" t="s">
        <v>1796</v>
      </c>
      <c r="C2187" s="184"/>
      <c r="D2187" s="185"/>
      <c r="E2187" s="185">
        <v>0.2</v>
      </c>
      <c r="F2187" s="185"/>
      <c r="G2187" s="185"/>
      <c r="H2187" s="185"/>
      <c r="I2187" s="185"/>
      <c r="J2187" s="185"/>
      <c r="K2187" s="185"/>
      <c r="L2187" s="185"/>
      <c r="M2187" s="185">
        <f>O2187*E2187</f>
        <v>92.285044621294617</v>
      </c>
      <c r="N2187" s="185"/>
      <c r="O2187" s="185">
        <f>Quantitativos!BA89</f>
        <v>461.42522310647303</v>
      </c>
      <c r="P2187" s="231"/>
      <c r="Q2187" s="224"/>
    </row>
    <row r="2188" spans="1:19" s="225" customFormat="1" ht="31.5" x14ac:dyDescent="0.25">
      <c r="A2188" s="229"/>
      <c r="B2188" s="230" t="s">
        <v>1797</v>
      </c>
      <c r="C2188" s="184"/>
      <c r="D2188" s="185"/>
      <c r="E2188" s="185">
        <v>25.6</v>
      </c>
      <c r="F2188" s="185"/>
      <c r="G2188" s="185"/>
      <c r="H2188" s="185"/>
      <c r="I2188" s="185"/>
      <c r="J2188" s="185"/>
      <c r="K2188" s="185"/>
      <c r="L2188" s="185"/>
      <c r="M2188" s="185">
        <f>O2188*E2188</f>
        <v>1863.6441600000003</v>
      </c>
      <c r="N2188" s="185"/>
      <c r="O2188" s="185">
        <f>O2180</f>
        <v>72.798600000000008</v>
      </c>
      <c r="P2188" s="231"/>
      <c r="Q2188" s="224"/>
    </row>
    <row r="2189" spans="1:19" s="225" customFormat="1" ht="31.5" x14ac:dyDescent="0.25">
      <c r="A2189" s="229"/>
      <c r="B2189" s="230" t="s">
        <v>1798</v>
      </c>
      <c r="C2189" s="184"/>
      <c r="D2189" s="185"/>
      <c r="E2189" s="185">
        <v>25.6</v>
      </c>
      <c r="F2189" s="185"/>
      <c r="G2189" s="185"/>
      <c r="H2189" s="185"/>
      <c r="I2189" s="185"/>
      <c r="J2189" s="185"/>
      <c r="K2189" s="185"/>
      <c r="L2189" s="185"/>
      <c r="M2189" s="185">
        <f>O2189*E2189</f>
        <v>11937.205760000003</v>
      </c>
      <c r="N2189" s="185"/>
      <c r="O2189" s="185">
        <f>O2181</f>
        <v>466.29710000000006</v>
      </c>
      <c r="P2189" s="231"/>
      <c r="Q2189" s="224"/>
    </row>
    <row r="2190" spans="1:19" s="225" customFormat="1" ht="10.5" x14ac:dyDescent="0.25">
      <c r="A2190" s="229"/>
      <c r="B2190" s="232" t="s">
        <v>5</v>
      </c>
      <c r="C2190" s="182" t="s">
        <v>1328</v>
      </c>
      <c r="D2190" s="182"/>
      <c r="E2190" s="182"/>
      <c r="F2190" s="182"/>
      <c r="G2190" s="182"/>
      <c r="H2190" s="182"/>
      <c r="I2190" s="182"/>
      <c r="J2190" s="182"/>
      <c r="K2190" s="182"/>
      <c r="L2190" s="182"/>
      <c r="M2190" s="182">
        <f>SUM(M2185:M2189)</f>
        <v>14067.625797375909</v>
      </c>
      <c r="N2190" s="182"/>
      <c r="O2190" s="182"/>
      <c r="P2190" s="233"/>
      <c r="Q2190" s="224"/>
    </row>
    <row r="2191" spans="1:19" s="228" customFormat="1" ht="52.5" x14ac:dyDescent="0.25">
      <c r="A2191" s="226" t="str">
        <f>ORÇAMENTO!A423</f>
        <v>5.1.2.4.17</v>
      </c>
      <c r="B2191" s="227" t="str">
        <f>VLOOKUP(A2191,ORÇAMENTO!A:K,4,0)</f>
        <v>ASSENTAMENTO DE TUBO DE CONCRETO PARA REDES COLETORAS DE ÁGUAS PLUVIAIS, DIÂMETRO DE 600 MM, JUNTA RÍGIDA, INSTALADO EM LOCAL COM ALTO NÍVEL DE INTERFERÊNCIAS (NÃO INCLUI FORNECIMENTO). AF_03/2024</v>
      </c>
      <c r="C2191" s="173" t="str">
        <f>VLOOKUP(A2191,ORÇAMENTO!A:K,5,0)</f>
        <v>M</v>
      </c>
      <c r="D2191" s="173">
        <f>SUM(E2194:O2194)</f>
        <v>519.99</v>
      </c>
      <c r="E2191" s="173" t="s">
        <v>1718</v>
      </c>
      <c r="F2191" s="173" t="s">
        <v>1719</v>
      </c>
      <c r="G2191" s="173" t="s">
        <v>1720</v>
      </c>
      <c r="H2191" s="173" t="s">
        <v>1721</v>
      </c>
      <c r="I2191" s="173" t="s">
        <v>1722</v>
      </c>
      <c r="J2191" s="173" t="s">
        <v>1723</v>
      </c>
      <c r="K2191" s="173" t="s">
        <v>1724</v>
      </c>
      <c r="L2191" s="173" t="s">
        <v>1753</v>
      </c>
      <c r="M2191" s="173" t="s">
        <v>1730</v>
      </c>
      <c r="N2191" s="173" t="s">
        <v>1727</v>
      </c>
      <c r="O2191" s="173" t="s">
        <v>1728</v>
      </c>
      <c r="P2191" s="224"/>
      <c r="Q2191" s="224"/>
    </row>
    <row r="2192" spans="1:19" s="225" customFormat="1" ht="10.5" x14ac:dyDescent="0.25">
      <c r="A2192" s="229"/>
      <c r="B2192" s="232"/>
      <c r="C2192" s="184"/>
      <c r="D2192" s="185"/>
      <c r="E2192" s="185">
        <f>Quantitativos!BU93</f>
        <v>519.99</v>
      </c>
      <c r="F2192" s="185"/>
      <c r="G2192" s="185"/>
      <c r="H2192" s="185"/>
      <c r="I2192" s="185"/>
      <c r="J2192" s="185"/>
      <c r="K2192" s="185"/>
      <c r="L2192" s="185"/>
      <c r="M2192" s="185"/>
      <c r="N2192" s="185"/>
      <c r="O2192" s="185"/>
      <c r="P2192" s="224"/>
      <c r="Q2192" s="224"/>
    </row>
    <row r="2193" spans="1:17" s="225" customFormat="1" ht="10.5" x14ac:dyDescent="0.25">
      <c r="A2193" s="229"/>
      <c r="B2193" s="230"/>
      <c r="C2193" s="184"/>
      <c r="D2193" s="185"/>
      <c r="E2193" s="185"/>
      <c r="F2193" s="185"/>
      <c r="G2193" s="185"/>
      <c r="H2193" s="185"/>
      <c r="I2193" s="185"/>
      <c r="J2193" s="185"/>
      <c r="K2193" s="185"/>
      <c r="L2193" s="185"/>
      <c r="M2193" s="185"/>
      <c r="N2193" s="185"/>
      <c r="O2193" s="185"/>
      <c r="P2193" s="231"/>
      <c r="Q2193" s="224"/>
    </row>
    <row r="2194" spans="1:17" s="225" customFormat="1" ht="10.5" x14ac:dyDescent="0.25">
      <c r="A2194" s="229"/>
      <c r="B2194" s="232" t="s">
        <v>5</v>
      </c>
      <c r="C2194" s="182" t="s">
        <v>1328</v>
      </c>
      <c r="D2194" s="182"/>
      <c r="E2194" s="182">
        <f>SUM(E2192:E2193)</f>
        <v>519.99</v>
      </c>
      <c r="F2194" s="182"/>
      <c r="G2194" s="182"/>
      <c r="H2194" s="182"/>
      <c r="I2194" s="182"/>
      <c r="J2194" s="182"/>
      <c r="K2194" s="182"/>
      <c r="L2194" s="182"/>
      <c r="M2194" s="182"/>
      <c r="N2194" s="182"/>
      <c r="O2194" s="182"/>
      <c r="P2194" s="233"/>
      <c r="Q2194" s="224"/>
    </row>
    <row r="2195" spans="1:17" s="228" customFormat="1" ht="52.5" x14ac:dyDescent="0.25">
      <c r="A2195" s="226" t="str">
        <f>ORÇAMENTO!A424</f>
        <v>5.1.2.4.18</v>
      </c>
      <c r="B2195" s="227" t="str">
        <f>VLOOKUP(A2195,ORÇAMENTO!A:K,4,0)</f>
        <v>ASSENTAMENTO DE TUBO DE CONCRETO PARA REDES COLETORAS DE ÁGUAS PLUVIAIS, DIÂMETRO DE 800 MM, JUNTA RÍGIDA, INSTALADO EM LOCAL COM ALTO NÍVEL DE INTERFERÊNCIAS (NÃO INCLUI FORNECIMENTO). AF_03/2024</v>
      </c>
      <c r="C2195" s="173" t="str">
        <f>VLOOKUP(A2195,ORÇAMENTO!A:K,5,0)</f>
        <v>M</v>
      </c>
      <c r="D2195" s="173">
        <f>SUM(E2198:O2198)</f>
        <v>160.88999999999999</v>
      </c>
      <c r="E2195" s="173" t="s">
        <v>1718</v>
      </c>
      <c r="F2195" s="173" t="s">
        <v>1719</v>
      </c>
      <c r="G2195" s="173" t="s">
        <v>1720</v>
      </c>
      <c r="H2195" s="173" t="s">
        <v>1721</v>
      </c>
      <c r="I2195" s="173" t="s">
        <v>1722</v>
      </c>
      <c r="J2195" s="173" t="s">
        <v>1723</v>
      </c>
      <c r="K2195" s="173" t="s">
        <v>1724</v>
      </c>
      <c r="L2195" s="173" t="s">
        <v>1753</v>
      </c>
      <c r="M2195" s="173" t="s">
        <v>1730</v>
      </c>
      <c r="N2195" s="173" t="s">
        <v>1727</v>
      </c>
      <c r="O2195" s="173" t="s">
        <v>1728</v>
      </c>
      <c r="P2195" s="224"/>
      <c r="Q2195" s="224"/>
    </row>
    <row r="2196" spans="1:17" s="225" customFormat="1" ht="10.5" x14ac:dyDescent="0.25">
      <c r="A2196" s="229"/>
      <c r="B2196" s="232"/>
      <c r="C2196" s="184"/>
      <c r="D2196" s="185"/>
      <c r="E2196" s="185">
        <f>Quantitativos!BY93</f>
        <v>160.88999999999999</v>
      </c>
      <c r="F2196" s="185"/>
      <c r="G2196" s="185"/>
      <c r="H2196" s="185"/>
      <c r="I2196" s="185"/>
      <c r="J2196" s="185"/>
      <c r="K2196" s="185"/>
      <c r="L2196" s="185"/>
      <c r="M2196" s="185"/>
      <c r="N2196" s="185"/>
      <c r="O2196" s="185"/>
      <c r="P2196" s="224"/>
      <c r="Q2196" s="224"/>
    </row>
    <row r="2197" spans="1:17" s="225" customFormat="1" ht="10.5" x14ac:dyDescent="0.25">
      <c r="A2197" s="229"/>
      <c r="B2197" s="230"/>
      <c r="C2197" s="184"/>
      <c r="D2197" s="185"/>
      <c r="E2197" s="185"/>
      <c r="F2197" s="185"/>
      <c r="G2197" s="185"/>
      <c r="H2197" s="185"/>
      <c r="I2197" s="185"/>
      <c r="J2197" s="185"/>
      <c r="K2197" s="185"/>
      <c r="L2197" s="185"/>
      <c r="M2197" s="185"/>
      <c r="N2197" s="185"/>
      <c r="O2197" s="185"/>
      <c r="P2197" s="231"/>
      <c r="Q2197" s="224"/>
    </row>
    <row r="2198" spans="1:17" s="225" customFormat="1" ht="10.5" x14ac:dyDescent="0.25">
      <c r="A2198" s="229"/>
      <c r="B2198" s="232" t="s">
        <v>5</v>
      </c>
      <c r="C2198" s="182" t="s">
        <v>1328</v>
      </c>
      <c r="D2198" s="182"/>
      <c r="E2198" s="182">
        <f>SUM(E2196:E2197)</f>
        <v>160.88999999999999</v>
      </c>
      <c r="F2198" s="182"/>
      <c r="G2198" s="182"/>
      <c r="H2198" s="182"/>
      <c r="I2198" s="182"/>
      <c r="J2198" s="182"/>
      <c r="K2198" s="182"/>
      <c r="L2198" s="182"/>
      <c r="M2198" s="182"/>
      <c r="N2198" s="182"/>
      <c r="O2198" s="182"/>
      <c r="P2198" s="233"/>
      <c r="Q2198" s="224"/>
    </row>
    <row r="2199" spans="1:17" s="228" customFormat="1" ht="52.5" x14ac:dyDescent="0.25">
      <c r="A2199" s="226" t="str">
        <f>ORÇAMENTO!A425</f>
        <v>5.1.2.4.19</v>
      </c>
      <c r="B2199" s="227" t="str">
        <f>VLOOKUP(A2199,ORÇAMENTO!A:K,4,0)</f>
        <v>ASSENTAMENTO DE TUBO DE CONCRETO PARA REDES COLETORAS DE ÁGUAS PLUVIAIS, DIÂMETRO DE 1000 MM, JUNTA RÍGIDA, INSTALADO EM LOCAL COM ALTO NÍVEL DE INTERFERÊNCIAS (NÃO INCLUI FORNECIMENTO). AF_03/2024</v>
      </c>
      <c r="C2199" s="173" t="str">
        <f>VLOOKUP(A2199,ORÇAMENTO!A:K,5,0)</f>
        <v>M</v>
      </c>
      <c r="D2199" s="173">
        <f>SUM(E2202:O2202)</f>
        <v>667.95</v>
      </c>
      <c r="E2199" s="173" t="s">
        <v>1718</v>
      </c>
      <c r="F2199" s="173" t="s">
        <v>1719</v>
      </c>
      <c r="G2199" s="173" t="s">
        <v>1720</v>
      </c>
      <c r="H2199" s="173" t="s">
        <v>1721</v>
      </c>
      <c r="I2199" s="173" t="s">
        <v>1722</v>
      </c>
      <c r="J2199" s="173" t="s">
        <v>1723</v>
      </c>
      <c r="K2199" s="173" t="s">
        <v>1724</v>
      </c>
      <c r="L2199" s="173" t="s">
        <v>1753</v>
      </c>
      <c r="M2199" s="173" t="s">
        <v>1730</v>
      </c>
      <c r="N2199" s="173" t="s">
        <v>1727</v>
      </c>
      <c r="O2199" s="173" t="s">
        <v>1728</v>
      </c>
      <c r="P2199" s="224"/>
      <c r="Q2199" s="224"/>
    </row>
    <row r="2200" spans="1:17" s="225" customFormat="1" ht="10.5" x14ac:dyDescent="0.25">
      <c r="A2200" s="229"/>
      <c r="B2200" s="232"/>
      <c r="C2200" s="184"/>
      <c r="D2200" s="185"/>
      <c r="E2200" s="185">
        <f>Quantitativos!CC93</f>
        <v>667.95</v>
      </c>
      <c r="F2200" s="185"/>
      <c r="G2200" s="185"/>
      <c r="H2200" s="185"/>
      <c r="I2200" s="185"/>
      <c r="J2200" s="185"/>
      <c r="K2200" s="185"/>
      <c r="L2200" s="185"/>
      <c r="M2200" s="185"/>
      <c r="N2200" s="185"/>
      <c r="O2200" s="185"/>
      <c r="P2200" s="224"/>
      <c r="Q2200" s="224"/>
    </row>
    <row r="2201" spans="1:17" s="225" customFormat="1" ht="10.5" x14ac:dyDescent="0.25">
      <c r="A2201" s="229"/>
      <c r="B2201" s="230"/>
      <c r="C2201" s="184"/>
      <c r="D2201" s="185"/>
      <c r="E2201" s="185"/>
      <c r="F2201" s="185"/>
      <c r="G2201" s="185"/>
      <c r="H2201" s="185"/>
      <c r="I2201" s="185"/>
      <c r="J2201" s="185"/>
      <c r="K2201" s="185"/>
      <c r="L2201" s="185"/>
      <c r="M2201" s="185"/>
      <c r="N2201" s="185"/>
      <c r="O2201" s="185"/>
      <c r="P2201" s="231"/>
      <c r="Q2201" s="224"/>
    </row>
    <row r="2202" spans="1:17" s="225" customFormat="1" ht="10.5" x14ac:dyDescent="0.25">
      <c r="A2202" s="229"/>
      <c r="B2202" s="232" t="s">
        <v>5</v>
      </c>
      <c r="C2202" s="182" t="s">
        <v>1328</v>
      </c>
      <c r="D2202" s="182"/>
      <c r="E2202" s="182">
        <f>SUM(E2200:E2201)</f>
        <v>667.95</v>
      </c>
      <c r="F2202" s="182"/>
      <c r="G2202" s="182"/>
      <c r="H2202" s="182"/>
      <c r="I2202" s="182"/>
      <c r="J2202" s="182"/>
      <c r="K2202" s="182"/>
      <c r="L2202" s="182"/>
      <c r="M2202" s="182"/>
      <c r="N2202" s="182"/>
      <c r="O2202" s="182"/>
      <c r="P2202" s="233"/>
      <c r="Q2202" s="224"/>
    </row>
    <row r="2203" spans="1:17" s="228" customFormat="1" ht="52.5" x14ac:dyDescent="0.25">
      <c r="A2203" s="226" t="str">
        <f>ORÇAMENTO!A426</f>
        <v>5.1.2.4.20</v>
      </c>
      <c r="B2203" s="227" t="str">
        <f>VLOOKUP(A2203,ORÇAMENTO!A:K,4,0)</f>
        <v>ASSENTAMENTO DE TUBO DE CONCRETO PARA REDES COLETORAS DE ÁGUAS PLUVIAIS, DIÂMETRO DE 1200 MM, JUNTA RÍGIDA, INSTALADO EM LOCAL COM ALTO NÍVEL DE INTERFERÊNCIAS (NÃO INCLUI FORNECIMENTO). AF_03/2024</v>
      </c>
      <c r="C2203" s="173" t="str">
        <f>VLOOKUP(A2203,ORÇAMENTO!A:K,5,0)</f>
        <v>M</v>
      </c>
      <c r="D2203" s="173">
        <f>SUM(E2206:O2206)</f>
        <v>233.04</v>
      </c>
      <c r="E2203" s="173" t="s">
        <v>1718</v>
      </c>
      <c r="F2203" s="173" t="s">
        <v>1719</v>
      </c>
      <c r="G2203" s="173" t="s">
        <v>1720</v>
      </c>
      <c r="H2203" s="173" t="s">
        <v>1721</v>
      </c>
      <c r="I2203" s="173" t="s">
        <v>1722</v>
      </c>
      <c r="J2203" s="173" t="s">
        <v>1723</v>
      </c>
      <c r="K2203" s="173" t="s">
        <v>1724</v>
      </c>
      <c r="L2203" s="173" t="s">
        <v>1753</v>
      </c>
      <c r="M2203" s="173" t="s">
        <v>1730</v>
      </c>
      <c r="N2203" s="173" t="s">
        <v>1727</v>
      </c>
      <c r="O2203" s="173" t="s">
        <v>1728</v>
      </c>
      <c r="P2203" s="224"/>
      <c r="Q2203" s="224"/>
    </row>
    <row r="2204" spans="1:17" s="225" customFormat="1" ht="10.5" x14ac:dyDescent="0.25">
      <c r="A2204" s="229"/>
      <c r="B2204" s="232"/>
      <c r="C2204" s="184"/>
      <c r="D2204" s="185"/>
      <c r="E2204" s="185">
        <f>Quantitativos!CG93</f>
        <v>233.04</v>
      </c>
      <c r="F2204" s="185"/>
      <c r="G2204" s="185"/>
      <c r="H2204" s="185"/>
      <c r="I2204" s="185"/>
      <c r="J2204" s="185"/>
      <c r="K2204" s="185"/>
      <c r="L2204" s="185"/>
      <c r="M2204" s="185"/>
      <c r="N2204" s="185"/>
      <c r="O2204" s="185"/>
      <c r="P2204" s="224"/>
      <c r="Q2204" s="224"/>
    </row>
    <row r="2205" spans="1:17" s="225" customFormat="1" ht="10.5" x14ac:dyDescent="0.25">
      <c r="A2205" s="229"/>
      <c r="B2205" s="230"/>
      <c r="C2205" s="184"/>
      <c r="D2205" s="185"/>
      <c r="E2205" s="185"/>
      <c r="F2205" s="185"/>
      <c r="G2205" s="185"/>
      <c r="H2205" s="185"/>
      <c r="I2205" s="185"/>
      <c r="J2205" s="185"/>
      <c r="K2205" s="185"/>
      <c r="L2205" s="185"/>
      <c r="M2205" s="185"/>
      <c r="N2205" s="185"/>
      <c r="O2205" s="185"/>
      <c r="P2205" s="231"/>
      <c r="Q2205" s="224"/>
    </row>
    <row r="2206" spans="1:17" s="225" customFormat="1" ht="10.5" x14ac:dyDescent="0.25">
      <c r="A2206" s="229"/>
      <c r="B2206" s="232" t="s">
        <v>5</v>
      </c>
      <c r="C2206" s="182" t="s">
        <v>1328</v>
      </c>
      <c r="D2206" s="182"/>
      <c r="E2206" s="182">
        <f>SUM(E2204:E2205)</f>
        <v>233.04</v>
      </c>
      <c r="F2206" s="182"/>
      <c r="G2206" s="182"/>
      <c r="H2206" s="182"/>
      <c r="I2206" s="182"/>
      <c r="J2206" s="182"/>
      <c r="K2206" s="182"/>
      <c r="L2206" s="182"/>
      <c r="M2206" s="182"/>
      <c r="N2206" s="182"/>
      <c r="O2206" s="182"/>
      <c r="P2206" s="233"/>
      <c r="Q2206" s="224"/>
    </row>
    <row r="2207" spans="1:17" s="228" customFormat="1" ht="52.5" x14ac:dyDescent="0.25">
      <c r="A2207" s="226" t="str">
        <f>ORÇAMENTO!A427</f>
        <v>5.1.2.4.21</v>
      </c>
      <c r="B2207" s="227" t="str">
        <f>VLOOKUP(A2207,ORÇAMENTO!A:K,4,0)</f>
        <v>ASSENTAMENTO DE TUBO DE CONCRETO PARA REDES COLETORAS DE ÁGUAS PLUVIAIS, DIÂMETRO DE 1500 MM, JUNTA RÍGIDA, INSTALADO EM LOCAL COM ALTO NÍVEL DE INTERFERÊNCIAS (NÃO INCLUI FORNECIMENTO). AF_03/2024</v>
      </c>
      <c r="C2207" s="173" t="str">
        <f>VLOOKUP(A2207,ORÇAMENTO!A:K,5,0)</f>
        <v>M</v>
      </c>
      <c r="D2207" s="173">
        <f>SUM(E2210:O2210)</f>
        <v>310.88</v>
      </c>
      <c r="E2207" s="173" t="s">
        <v>1718</v>
      </c>
      <c r="F2207" s="173" t="s">
        <v>1719</v>
      </c>
      <c r="G2207" s="173" t="s">
        <v>1720</v>
      </c>
      <c r="H2207" s="173" t="s">
        <v>1721</v>
      </c>
      <c r="I2207" s="173" t="s">
        <v>1722</v>
      </c>
      <c r="J2207" s="173" t="s">
        <v>1723</v>
      </c>
      <c r="K2207" s="173" t="s">
        <v>1724</v>
      </c>
      <c r="L2207" s="173" t="s">
        <v>1753</v>
      </c>
      <c r="M2207" s="173" t="s">
        <v>1730</v>
      </c>
      <c r="N2207" s="173" t="s">
        <v>1727</v>
      </c>
      <c r="O2207" s="173" t="s">
        <v>1728</v>
      </c>
      <c r="P2207" s="224"/>
      <c r="Q2207" s="224"/>
    </row>
    <row r="2208" spans="1:17" s="225" customFormat="1" ht="10.5" x14ac:dyDescent="0.25">
      <c r="A2208" s="229"/>
      <c r="B2208" s="232"/>
      <c r="C2208" s="184"/>
      <c r="D2208" s="185"/>
      <c r="E2208" s="185">
        <f>Quantitativos!CK93</f>
        <v>310.88</v>
      </c>
      <c r="F2208" s="185"/>
      <c r="G2208" s="185"/>
      <c r="H2208" s="185"/>
      <c r="I2208" s="185"/>
      <c r="J2208" s="185"/>
      <c r="K2208" s="185"/>
      <c r="L2208" s="185"/>
      <c r="M2208" s="185"/>
      <c r="N2208" s="185"/>
      <c r="O2208" s="185"/>
      <c r="P2208" s="224"/>
      <c r="Q2208" s="224"/>
    </row>
    <row r="2209" spans="1:17" s="225" customFormat="1" ht="10.5" x14ac:dyDescent="0.25">
      <c r="A2209" s="229"/>
      <c r="B2209" s="230"/>
      <c r="C2209" s="184"/>
      <c r="D2209" s="185"/>
      <c r="E2209" s="185"/>
      <c r="F2209" s="185"/>
      <c r="G2209" s="185"/>
      <c r="H2209" s="185"/>
      <c r="I2209" s="185"/>
      <c r="J2209" s="185"/>
      <c r="K2209" s="185"/>
      <c r="L2209" s="185"/>
      <c r="M2209" s="185"/>
      <c r="N2209" s="185"/>
      <c r="O2209" s="185"/>
      <c r="P2209" s="231"/>
      <c r="Q2209" s="224"/>
    </row>
    <row r="2210" spans="1:17" s="225" customFormat="1" ht="10.5" x14ac:dyDescent="0.25">
      <c r="A2210" s="229"/>
      <c r="B2210" s="232" t="s">
        <v>5</v>
      </c>
      <c r="C2210" s="182" t="s">
        <v>1328</v>
      </c>
      <c r="D2210" s="182"/>
      <c r="E2210" s="182">
        <f>SUM(E2208:E2209)</f>
        <v>310.88</v>
      </c>
      <c r="F2210" s="182"/>
      <c r="G2210" s="182"/>
      <c r="H2210" s="182"/>
      <c r="I2210" s="182"/>
      <c r="J2210" s="182"/>
      <c r="K2210" s="182"/>
      <c r="L2210" s="182"/>
      <c r="M2210" s="182"/>
      <c r="N2210" s="182"/>
      <c r="O2210" s="182"/>
      <c r="P2210" s="233"/>
      <c r="Q2210" s="224"/>
    </row>
    <row r="2211" spans="1:17" s="228" customFormat="1" ht="10.5" x14ac:dyDescent="0.25">
      <c r="A2211" s="226" t="str">
        <f>ORÇAMENTO!A428</f>
        <v>5.1.2.5</v>
      </c>
      <c r="B2211" s="227" t="str">
        <f>VLOOKUP(A2211,ORÇAMENTO!A:K,4,0)</f>
        <v>FORNECIMENTO DE TUBOS</v>
      </c>
      <c r="C2211" s="173"/>
      <c r="D2211" s="173"/>
      <c r="E2211" s="173"/>
      <c r="F2211" s="173"/>
      <c r="G2211" s="173"/>
      <c r="H2211" s="173"/>
      <c r="I2211" s="173"/>
      <c r="J2211" s="173"/>
      <c r="K2211" s="173"/>
      <c r="L2211" s="173"/>
      <c r="M2211" s="173"/>
      <c r="N2211" s="173"/>
      <c r="O2211" s="173"/>
      <c r="P2211" s="224"/>
      <c r="Q2211" s="224"/>
    </row>
    <row r="2212" spans="1:17" s="228" customFormat="1" ht="42" x14ac:dyDescent="0.25">
      <c r="A2212" s="226" t="str">
        <f>ORÇAMENTO!A429</f>
        <v>5.1.2.5.1</v>
      </c>
      <c r="B2212" s="227" t="str">
        <f>VLOOKUP(A2212,ORÇAMENTO!A:K,4,0)</f>
        <v>TRANSPORTE COM CAMINHÃO CARROCERIA COM GUINDAUTO (MUNCK),  MOMENTO MÁXIMO DE CARGA 11,7 TM, EM VIA URBANA PAVIMENTADA, DMT ATÉ 30KM (UNIDADE: TXKM). AF_07/2020</v>
      </c>
      <c r="C2212" s="173" t="str">
        <f>VLOOKUP(A2212,ORÇAMENTO!A:K,5,0)</f>
        <v>TXKM</v>
      </c>
      <c r="D2212" s="173">
        <f>SUM(E2215:O2215)</f>
        <v>73252.762600000002</v>
      </c>
      <c r="E2212" s="173" t="s">
        <v>1749</v>
      </c>
      <c r="F2212" s="173" t="s">
        <v>1719</v>
      </c>
      <c r="G2212" s="173" t="s">
        <v>1720</v>
      </c>
      <c r="H2212" s="173" t="s">
        <v>1721</v>
      </c>
      <c r="I2212" s="173" t="s">
        <v>1722</v>
      </c>
      <c r="J2212" s="173" t="s">
        <v>1723</v>
      </c>
      <c r="K2212" s="173" t="s">
        <v>1746</v>
      </c>
      <c r="L2212" s="173" t="s">
        <v>1799</v>
      </c>
      <c r="M2212" s="173" t="s">
        <v>1730</v>
      </c>
      <c r="N2212" s="173" t="s">
        <v>1727</v>
      </c>
      <c r="O2212" s="173" t="s">
        <v>1728</v>
      </c>
      <c r="P2212" s="224"/>
      <c r="Q2212" s="224"/>
    </row>
    <row r="2213" spans="1:17" s="225" customFormat="1" ht="21" x14ac:dyDescent="0.25">
      <c r="A2213" s="229"/>
      <c r="B2213" s="232" t="s">
        <v>1800</v>
      </c>
      <c r="C2213" s="184"/>
      <c r="D2213" s="185"/>
      <c r="E2213" s="185">
        <v>40</v>
      </c>
      <c r="F2213" s="185"/>
      <c r="G2213" s="185"/>
      <c r="H2213" s="185"/>
      <c r="I2213" s="185"/>
      <c r="J2213" s="185"/>
      <c r="K2213" s="185">
        <f>K2219+K2231+K2243+K2255+K2267</f>
        <v>1831.3190650000001</v>
      </c>
      <c r="L2213" s="185"/>
      <c r="M2213" s="185">
        <f>K2213*E2213</f>
        <v>73252.762600000002</v>
      </c>
      <c r="N2213" s="185"/>
      <c r="O2213" s="185"/>
      <c r="P2213" s="224"/>
      <c r="Q2213" s="224"/>
    </row>
    <row r="2214" spans="1:17" s="225" customFormat="1" ht="10.5" x14ac:dyDescent="0.25">
      <c r="A2214" s="229"/>
      <c r="B2214" s="230"/>
      <c r="C2214" s="184"/>
      <c r="D2214" s="185"/>
      <c r="E2214" s="185"/>
      <c r="F2214" s="185"/>
      <c r="G2214" s="185"/>
      <c r="H2214" s="185"/>
      <c r="I2214" s="185"/>
      <c r="J2214" s="185"/>
      <c r="K2214" s="185"/>
      <c r="L2214" s="185"/>
      <c r="M2214" s="185"/>
      <c r="N2214" s="185"/>
      <c r="O2214" s="185"/>
      <c r="P2214" s="231"/>
      <c r="Q2214" s="224"/>
    </row>
    <row r="2215" spans="1:17" s="225" customFormat="1" ht="10.5" x14ac:dyDescent="0.25">
      <c r="A2215" s="229"/>
      <c r="B2215" s="232" t="s">
        <v>5</v>
      </c>
      <c r="C2215" s="182" t="s">
        <v>1328</v>
      </c>
      <c r="D2215" s="182"/>
      <c r="E2215" s="182"/>
      <c r="F2215" s="182"/>
      <c r="G2215" s="182"/>
      <c r="H2215" s="182"/>
      <c r="I2215" s="182"/>
      <c r="J2215" s="182"/>
      <c r="K2215" s="182"/>
      <c r="L2215" s="182"/>
      <c r="M2215" s="182">
        <f>SUM(M2213:M2214)</f>
        <v>73252.762600000002</v>
      </c>
      <c r="N2215" s="182"/>
      <c r="O2215" s="182">
        <f>SUM(O2214:O2214)</f>
        <v>0</v>
      </c>
      <c r="P2215" s="233"/>
      <c r="Q2215" s="224"/>
    </row>
    <row r="2216" spans="1:17" s="228" customFormat="1" ht="42" x14ac:dyDescent="0.25">
      <c r="A2216" s="226" t="str">
        <f>ORÇAMENTO!A430</f>
        <v>5.1.2.5.2</v>
      </c>
      <c r="B2216" s="227" t="str">
        <f>VLOOKUP(A2216,ORÇAMENTO!A:K,4,0)</f>
        <v>CARGA, MANOBRA E DESCARGA DE TUBOS DE CONCRETO, DN 600 MM, EM CAMINHÃO CARROCERIA COM GUINDAUTO (MUNCK) 11,7 TM. AF_07/2020</v>
      </c>
      <c r="C2216" s="173" t="str">
        <f>VLOOKUP(A2216,ORÇAMENTO!A:K,5,0)</f>
        <v>T</v>
      </c>
      <c r="D2216" s="173">
        <f>SUM(E2219:O2219)</f>
        <v>228.79560000000001</v>
      </c>
      <c r="E2216" s="173" t="s">
        <v>1718</v>
      </c>
      <c r="F2216" s="173" t="s">
        <v>1719</v>
      </c>
      <c r="G2216" s="173" t="s">
        <v>1720</v>
      </c>
      <c r="H2216" s="173" t="s">
        <v>1721</v>
      </c>
      <c r="I2216" s="173" t="s">
        <v>1722</v>
      </c>
      <c r="J2216" s="173" t="s">
        <v>1723</v>
      </c>
      <c r="K2216" s="173" t="s">
        <v>1746</v>
      </c>
      <c r="L2216" s="173" t="s">
        <v>1799</v>
      </c>
      <c r="M2216" s="173" t="s">
        <v>1730</v>
      </c>
      <c r="N2216" s="173" t="s">
        <v>1727</v>
      </c>
      <c r="O2216" s="173" t="s">
        <v>1728</v>
      </c>
      <c r="P2216" s="224"/>
      <c r="Q2216" s="224"/>
    </row>
    <row r="2217" spans="1:17" s="225" customFormat="1" ht="31.5" x14ac:dyDescent="0.25">
      <c r="A2217" s="229"/>
      <c r="B2217" s="232" t="s">
        <v>1801</v>
      </c>
      <c r="C2217" s="184"/>
      <c r="D2217" s="185"/>
      <c r="E2217" s="185">
        <f>E2221+E2225</f>
        <v>519.99</v>
      </c>
      <c r="F2217" s="185"/>
      <c r="G2217" s="185"/>
      <c r="H2217" s="185"/>
      <c r="I2217" s="185"/>
      <c r="J2217" s="185"/>
      <c r="K2217" s="185">
        <f>L2217*E2217</f>
        <v>228.79560000000001</v>
      </c>
      <c r="L2217" s="185">
        <v>0.44</v>
      </c>
      <c r="M2217" s="185"/>
      <c r="N2217" s="185"/>
      <c r="O2217" s="185"/>
      <c r="P2217" s="224"/>
      <c r="Q2217" s="224"/>
    </row>
    <row r="2218" spans="1:17" s="225" customFormat="1" ht="10.5" x14ac:dyDescent="0.25">
      <c r="A2218" s="229"/>
      <c r="B2218" s="230"/>
      <c r="C2218" s="184"/>
      <c r="D2218" s="185"/>
      <c r="E2218" s="185"/>
      <c r="F2218" s="185"/>
      <c r="G2218" s="185"/>
      <c r="H2218" s="185"/>
      <c r="I2218" s="185"/>
      <c r="J2218" s="185"/>
      <c r="K2218" s="185"/>
      <c r="L2218" s="185"/>
      <c r="M2218" s="185"/>
      <c r="N2218" s="185"/>
      <c r="O2218" s="185"/>
      <c r="P2218" s="231"/>
      <c r="Q2218" s="224"/>
    </row>
    <row r="2219" spans="1:17" s="225" customFormat="1" ht="10.5" x14ac:dyDescent="0.25">
      <c r="A2219" s="229"/>
      <c r="B2219" s="232" t="s">
        <v>5</v>
      </c>
      <c r="C2219" s="182" t="s">
        <v>1328</v>
      </c>
      <c r="D2219" s="182"/>
      <c r="E2219" s="182"/>
      <c r="F2219" s="182"/>
      <c r="G2219" s="182"/>
      <c r="H2219" s="182"/>
      <c r="I2219" s="182"/>
      <c r="J2219" s="182"/>
      <c r="K2219" s="182">
        <f>SUM(K2217:K2218)</f>
        <v>228.79560000000001</v>
      </c>
      <c r="L2219" s="182"/>
      <c r="M2219" s="182"/>
      <c r="N2219" s="182"/>
      <c r="O2219" s="182">
        <f>SUM(O2218:O2218)</f>
        <v>0</v>
      </c>
      <c r="P2219" s="233"/>
      <c r="Q2219" s="224"/>
    </row>
    <row r="2220" spans="1:17" s="228" customFormat="1" ht="31.5" x14ac:dyDescent="0.25">
      <c r="A2220" s="226" t="str">
        <f>ORÇAMENTO!A431</f>
        <v>5.1.2.5.3</v>
      </c>
      <c r="B2220" s="227" t="str">
        <f>VLOOKUP(A2220,ORÇAMENTO!A:K,4,0)</f>
        <v>TUBO DE CONCRETO ARMADO PARA AGUAS PLUVIAIS, CLASSE PA-1, COM ENCAIXE PONTA E BOLSA, DIAMETRO NOMINAL DE = 600 MM</v>
      </c>
      <c r="C2220" s="173" t="str">
        <f>VLOOKUP(A2220,ORÇAMENTO!A:K,5,0)</f>
        <v>M</v>
      </c>
      <c r="D2220" s="173">
        <f>SUM(E2223:O2223)</f>
        <v>179.99</v>
      </c>
      <c r="E2220" s="173" t="s">
        <v>1718</v>
      </c>
      <c r="F2220" s="173" t="s">
        <v>1719</v>
      </c>
      <c r="G2220" s="173" t="s">
        <v>1720</v>
      </c>
      <c r="H2220" s="173" t="s">
        <v>1721</v>
      </c>
      <c r="I2220" s="173" t="s">
        <v>1722</v>
      </c>
      <c r="J2220" s="173" t="s">
        <v>1723</v>
      </c>
      <c r="K2220" s="173" t="s">
        <v>1746</v>
      </c>
      <c r="L2220" s="173" t="s">
        <v>1799</v>
      </c>
      <c r="M2220" s="173" t="s">
        <v>1730</v>
      </c>
      <c r="N2220" s="173" t="s">
        <v>1727</v>
      </c>
      <c r="O2220" s="173" t="s">
        <v>1728</v>
      </c>
      <c r="P2220" s="224"/>
      <c r="Q2220" s="224"/>
    </row>
    <row r="2221" spans="1:17" s="225" customFormat="1" ht="10.5" x14ac:dyDescent="0.25">
      <c r="A2221" s="229"/>
      <c r="B2221" s="232"/>
      <c r="C2221" s="177"/>
      <c r="D2221" s="178"/>
      <c r="E2221" s="178">
        <f>Quantitativos!BU91</f>
        <v>179.99</v>
      </c>
      <c r="F2221" s="178"/>
      <c r="G2221" s="178"/>
      <c r="H2221" s="178"/>
      <c r="I2221" s="178"/>
      <c r="J2221" s="178"/>
      <c r="K2221" s="178"/>
      <c r="L2221" s="178"/>
      <c r="M2221" s="178"/>
      <c r="N2221" s="178"/>
      <c r="O2221" s="178"/>
      <c r="P2221" s="224"/>
      <c r="Q2221" s="224"/>
    </row>
    <row r="2222" spans="1:17" s="225" customFormat="1" ht="10.5" x14ac:dyDescent="0.25">
      <c r="A2222" s="229"/>
      <c r="B2222" s="230"/>
      <c r="C2222" s="177"/>
      <c r="D2222" s="178"/>
      <c r="E2222" s="178"/>
      <c r="F2222" s="178"/>
      <c r="G2222" s="178"/>
      <c r="H2222" s="178"/>
      <c r="I2222" s="178"/>
      <c r="J2222" s="178"/>
      <c r="K2222" s="178"/>
      <c r="L2222" s="178"/>
      <c r="M2222" s="178"/>
      <c r="N2222" s="178"/>
      <c r="O2222" s="178"/>
      <c r="P2222" s="231"/>
      <c r="Q2222" s="224"/>
    </row>
    <row r="2223" spans="1:17" s="225" customFormat="1" ht="10.5" x14ac:dyDescent="0.25">
      <c r="A2223" s="229"/>
      <c r="B2223" s="232" t="s">
        <v>5</v>
      </c>
      <c r="C2223" s="182" t="s">
        <v>1328</v>
      </c>
      <c r="D2223" s="182"/>
      <c r="E2223" s="182">
        <f>SUM(E2221:E2222)</f>
        <v>179.99</v>
      </c>
      <c r="F2223" s="182"/>
      <c r="G2223" s="182"/>
      <c r="H2223" s="182"/>
      <c r="I2223" s="182"/>
      <c r="J2223" s="182"/>
      <c r="K2223" s="182"/>
      <c r="L2223" s="182"/>
      <c r="M2223" s="182"/>
      <c r="N2223" s="182"/>
      <c r="O2223" s="182"/>
      <c r="P2223" s="233"/>
      <c r="Q2223" s="224"/>
    </row>
    <row r="2224" spans="1:17" s="228" customFormat="1" ht="31.5" x14ac:dyDescent="0.25">
      <c r="A2224" s="226" t="str">
        <f>ORÇAMENTO!A432</f>
        <v>5.1.2.5.4</v>
      </c>
      <c r="B2224" s="227" t="str">
        <f>VLOOKUP(A2224,ORÇAMENTO!A:K,4,0)</f>
        <v>TUBO DE CONCRETO ARMADO PARA AGUAS PLUVIAIS, CLASSE PA-2, COM ENCAIXE PONTA E BOLSA, DIAMETRO NOMINAL DE 600 MM</v>
      </c>
      <c r="C2224" s="173" t="str">
        <f>VLOOKUP(A2224,ORÇAMENTO!A:K,5,0)</f>
        <v>M</v>
      </c>
      <c r="D2224" s="173">
        <f>SUM(E2227:O2227)</f>
        <v>340</v>
      </c>
      <c r="E2224" s="173" t="s">
        <v>1718</v>
      </c>
      <c r="F2224" s="173" t="s">
        <v>1719</v>
      </c>
      <c r="G2224" s="173" t="s">
        <v>1720</v>
      </c>
      <c r="H2224" s="173" t="s">
        <v>1721</v>
      </c>
      <c r="I2224" s="173" t="s">
        <v>1722</v>
      </c>
      <c r="J2224" s="173" t="s">
        <v>1723</v>
      </c>
      <c r="K2224" s="173" t="s">
        <v>1746</v>
      </c>
      <c r="L2224" s="173" t="s">
        <v>1799</v>
      </c>
      <c r="M2224" s="173" t="s">
        <v>1730</v>
      </c>
      <c r="N2224" s="173" t="s">
        <v>1727</v>
      </c>
      <c r="O2224" s="173" t="s">
        <v>1728</v>
      </c>
      <c r="P2224" s="224"/>
      <c r="Q2224" s="224"/>
    </row>
    <row r="2225" spans="1:17" s="225" customFormat="1" ht="10.5" x14ac:dyDescent="0.25">
      <c r="A2225" s="229"/>
      <c r="B2225" s="232"/>
      <c r="C2225" s="177"/>
      <c r="D2225" s="178"/>
      <c r="E2225" s="178">
        <f>Quantitativos!BV91</f>
        <v>340</v>
      </c>
      <c r="F2225" s="178"/>
      <c r="G2225" s="178"/>
      <c r="H2225" s="178"/>
      <c r="I2225" s="178"/>
      <c r="J2225" s="178"/>
      <c r="K2225" s="178"/>
      <c r="L2225" s="178"/>
      <c r="M2225" s="178"/>
      <c r="N2225" s="178"/>
      <c r="O2225" s="178"/>
      <c r="P2225" s="224"/>
      <c r="Q2225" s="224"/>
    </row>
    <row r="2226" spans="1:17" s="225" customFormat="1" ht="10.5" x14ac:dyDescent="0.25">
      <c r="A2226" s="229"/>
      <c r="B2226" s="230"/>
      <c r="C2226" s="177"/>
      <c r="D2226" s="178"/>
      <c r="E2226" s="178"/>
      <c r="F2226" s="178"/>
      <c r="G2226" s="178"/>
      <c r="H2226" s="178"/>
      <c r="I2226" s="178"/>
      <c r="J2226" s="178"/>
      <c r="K2226" s="178"/>
      <c r="L2226" s="178"/>
      <c r="M2226" s="178"/>
      <c r="N2226" s="178"/>
      <c r="O2226" s="178"/>
      <c r="P2226" s="231"/>
      <c r="Q2226" s="224"/>
    </row>
    <row r="2227" spans="1:17" s="225" customFormat="1" ht="10.5" x14ac:dyDescent="0.25">
      <c r="A2227" s="229"/>
      <c r="B2227" s="232" t="s">
        <v>5</v>
      </c>
      <c r="C2227" s="182" t="s">
        <v>1328</v>
      </c>
      <c r="D2227" s="182"/>
      <c r="E2227" s="182">
        <f>SUM(E2225:E2226)</f>
        <v>340</v>
      </c>
      <c r="F2227" s="182"/>
      <c r="G2227" s="182"/>
      <c r="H2227" s="182"/>
      <c r="I2227" s="182"/>
      <c r="J2227" s="182"/>
      <c r="K2227" s="182"/>
      <c r="L2227" s="182"/>
      <c r="M2227" s="182"/>
      <c r="N2227" s="182"/>
      <c r="O2227" s="182"/>
      <c r="P2227" s="233"/>
      <c r="Q2227" s="224"/>
    </row>
    <row r="2228" spans="1:17" s="228" customFormat="1" ht="42" x14ac:dyDescent="0.25">
      <c r="A2228" s="226" t="str">
        <f>ORÇAMENTO!A433</f>
        <v>5.1.2.5.5</v>
      </c>
      <c r="B2228" s="227" t="str">
        <f>VLOOKUP(A2228,ORÇAMENTO!A:K,4,0)</f>
        <v>CARGA, MANOBRA E DESCARGA DE TUBOS DE CONCRETO, DN 800 MM, EM CAMINHÃO CARROCERIA COM GUINDAUTO (MUNCK) 11,7 TM. AF_07/2020</v>
      </c>
      <c r="C2228" s="173" t="str">
        <f>VLOOKUP(A2228,ORÇAMENTO!A:K,5,0)</f>
        <v>T</v>
      </c>
      <c r="D2228" s="173">
        <f>SUM(E2231:O2231)</f>
        <v>112.62299999999998</v>
      </c>
      <c r="E2228" s="173" t="s">
        <v>1718</v>
      </c>
      <c r="F2228" s="173" t="s">
        <v>1719</v>
      </c>
      <c r="G2228" s="173" t="s">
        <v>1720</v>
      </c>
      <c r="H2228" s="173" t="s">
        <v>1721</v>
      </c>
      <c r="I2228" s="173" t="s">
        <v>1722</v>
      </c>
      <c r="J2228" s="173" t="s">
        <v>1723</v>
      </c>
      <c r="K2228" s="173" t="s">
        <v>1746</v>
      </c>
      <c r="L2228" s="173" t="s">
        <v>1799</v>
      </c>
      <c r="M2228" s="173" t="s">
        <v>1730</v>
      </c>
      <c r="N2228" s="173" t="s">
        <v>1727</v>
      </c>
      <c r="O2228" s="173" t="s">
        <v>1728</v>
      </c>
      <c r="P2228" s="224"/>
      <c r="Q2228" s="224"/>
    </row>
    <row r="2229" spans="1:17" s="225" customFormat="1" ht="31.5" x14ac:dyDescent="0.25">
      <c r="A2229" s="229"/>
      <c r="B2229" s="232" t="s">
        <v>1801</v>
      </c>
      <c r="C2229" s="184"/>
      <c r="D2229" s="185"/>
      <c r="E2229" s="185">
        <f>E2233+E2237</f>
        <v>160.88999999999999</v>
      </c>
      <c r="F2229" s="185"/>
      <c r="G2229" s="185"/>
      <c r="H2229" s="185"/>
      <c r="I2229" s="185"/>
      <c r="J2229" s="185"/>
      <c r="K2229" s="185">
        <f>L2229*E2229</f>
        <v>112.62299999999998</v>
      </c>
      <c r="L2229" s="185">
        <v>0.7</v>
      </c>
      <c r="M2229" s="185"/>
      <c r="N2229" s="185"/>
      <c r="O2229" s="185"/>
      <c r="P2229" s="224"/>
      <c r="Q2229" s="224"/>
    </row>
    <row r="2230" spans="1:17" s="225" customFormat="1" ht="10.5" x14ac:dyDescent="0.25">
      <c r="A2230" s="229"/>
      <c r="B2230" s="230"/>
      <c r="C2230" s="184"/>
      <c r="D2230" s="185"/>
      <c r="E2230" s="185"/>
      <c r="F2230" s="185"/>
      <c r="G2230" s="185"/>
      <c r="H2230" s="185"/>
      <c r="I2230" s="185"/>
      <c r="J2230" s="185"/>
      <c r="K2230" s="185"/>
      <c r="L2230" s="185"/>
      <c r="M2230" s="185"/>
      <c r="N2230" s="185"/>
      <c r="O2230" s="185"/>
      <c r="P2230" s="231"/>
      <c r="Q2230" s="224"/>
    </row>
    <row r="2231" spans="1:17" s="225" customFormat="1" ht="10.5" x14ac:dyDescent="0.25">
      <c r="A2231" s="229"/>
      <c r="B2231" s="232" t="s">
        <v>5</v>
      </c>
      <c r="C2231" s="182" t="s">
        <v>1328</v>
      </c>
      <c r="D2231" s="182"/>
      <c r="E2231" s="182"/>
      <c r="F2231" s="182"/>
      <c r="G2231" s="182"/>
      <c r="H2231" s="182"/>
      <c r="I2231" s="182"/>
      <c r="J2231" s="182"/>
      <c r="K2231" s="182">
        <f>SUM(K2229:K2230)</f>
        <v>112.62299999999998</v>
      </c>
      <c r="L2231" s="182"/>
      <c r="M2231" s="182"/>
      <c r="N2231" s="182"/>
      <c r="O2231" s="182"/>
      <c r="P2231" s="233"/>
      <c r="Q2231" s="224"/>
    </row>
    <row r="2232" spans="1:17" s="228" customFormat="1" ht="31.5" x14ac:dyDescent="0.25">
      <c r="A2232" s="226" t="str">
        <f>ORÇAMENTO!A434</f>
        <v>5.1.2.5.6</v>
      </c>
      <c r="B2232" s="227" t="str">
        <f>VLOOKUP(A2232,ORÇAMENTO!A:K,4,0)</f>
        <v>TUBO DE CONCRETO ARMADO PARA AGUAS PLUVIAIS, CLASSE PA-1, COM ENCAIXE PONTA E BOLSA, DIAMETRO NOMINAL DE 800 MM</v>
      </c>
      <c r="C2232" s="173" t="str">
        <f>VLOOKUP(A2232,ORÇAMENTO!A:K,5,0)</f>
        <v>M</v>
      </c>
      <c r="D2232" s="173">
        <f>SUM(E2235:O2235)</f>
        <v>110.89</v>
      </c>
      <c r="E2232" s="173" t="s">
        <v>1718</v>
      </c>
      <c r="F2232" s="173" t="s">
        <v>1719</v>
      </c>
      <c r="G2232" s="173" t="s">
        <v>1720</v>
      </c>
      <c r="H2232" s="173" t="s">
        <v>1721</v>
      </c>
      <c r="I2232" s="173" t="s">
        <v>1722</v>
      </c>
      <c r="J2232" s="173" t="s">
        <v>1723</v>
      </c>
      <c r="K2232" s="173" t="s">
        <v>1724</v>
      </c>
      <c r="L2232" s="173" t="s">
        <v>1753</v>
      </c>
      <c r="M2232" s="173" t="s">
        <v>1730</v>
      </c>
      <c r="N2232" s="173" t="s">
        <v>1727</v>
      </c>
      <c r="O2232" s="173" t="s">
        <v>1728</v>
      </c>
      <c r="P2232" s="224"/>
      <c r="Q2232" s="224"/>
    </row>
    <row r="2233" spans="1:17" s="225" customFormat="1" ht="10.5" x14ac:dyDescent="0.25">
      <c r="A2233" s="229"/>
      <c r="B2233" s="232"/>
      <c r="C2233" s="184"/>
      <c r="D2233" s="185"/>
      <c r="E2233" s="185">
        <f>Quantitativos!BY91</f>
        <v>110.89</v>
      </c>
      <c r="F2233" s="185"/>
      <c r="G2233" s="185"/>
      <c r="H2233" s="185"/>
      <c r="I2233" s="185"/>
      <c r="J2233" s="185"/>
      <c r="K2233" s="185"/>
      <c r="L2233" s="185"/>
      <c r="M2233" s="185"/>
      <c r="N2233" s="185"/>
      <c r="O2233" s="185"/>
      <c r="P2233" s="224"/>
      <c r="Q2233" s="224"/>
    </row>
    <row r="2234" spans="1:17" s="225" customFormat="1" ht="10.5" x14ac:dyDescent="0.25">
      <c r="A2234" s="229"/>
      <c r="B2234" s="230"/>
      <c r="C2234" s="184"/>
      <c r="D2234" s="185"/>
      <c r="E2234" s="185"/>
      <c r="F2234" s="185"/>
      <c r="G2234" s="185"/>
      <c r="H2234" s="185"/>
      <c r="I2234" s="185"/>
      <c r="J2234" s="185"/>
      <c r="K2234" s="185"/>
      <c r="L2234" s="185"/>
      <c r="M2234" s="185"/>
      <c r="N2234" s="185"/>
      <c r="O2234" s="185"/>
      <c r="P2234" s="231"/>
      <c r="Q2234" s="224"/>
    </row>
    <row r="2235" spans="1:17" s="225" customFormat="1" ht="10.5" x14ac:dyDescent="0.25">
      <c r="A2235" s="229"/>
      <c r="B2235" s="232" t="s">
        <v>5</v>
      </c>
      <c r="C2235" s="182" t="s">
        <v>1328</v>
      </c>
      <c r="D2235" s="182"/>
      <c r="E2235" s="182">
        <f>SUM(E2233:E2234)</f>
        <v>110.89</v>
      </c>
      <c r="F2235" s="182"/>
      <c r="G2235" s="182"/>
      <c r="H2235" s="182"/>
      <c r="I2235" s="182"/>
      <c r="J2235" s="182"/>
      <c r="K2235" s="182"/>
      <c r="L2235" s="182"/>
      <c r="M2235" s="182"/>
      <c r="N2235" s="182"/>
      <c r="O2235" s="182"/>
      <c r="P2235" s="233"/>
      <c r="Q2235" s="224"/>
    </row>
    <row r="2236" spans="1:17" s="228" customFormat="1" ht="31.5" x14ac:dyDescent="0.25">
      <c r="A2236" s="226" t="str">
        <f>ORÇAMENTO!A435</f>
        <v>5.1.2.5.7</v>
      </c>
      <c r="B2236" s="227" t="str">
        <f>VLOOKUP(A2236,ORÇAMENTO!A:K,4,0)</f>
        <v>TUBO DE CONCRETO ARMADO PARA AGUAS PLUVIAIS, CLASSE PA-2, COM ENCAIXE PONTA E BOLSA, DIAMETRO NOMINAL DE 800 MM</v>
      </c>
      <c r="C2236" s="173" t="str">
        <f>VLOOKUP(A2236,ORÇAMENTO!A:K,5,0)</f>
        <v>M</v>
      </c>
      <c r="D2236" s="173">
        <f>SUM(E2239:O2239)</f>
        <v>50</v>
      </c>
      <c r="E2236" s="173" t="s">
        <v>1718</v>
      </c>
      <c r="F2236" s="173" t="s">
        <v>1719</v>
      </c>
      <c r="G2236" s="173" t="s">
        <v>1720</v>
      </c>
      <c r="H2236" s="173" t="s">
        <v>1721</v>
      </c>
      <c r="I2236" s="173" t="s">
        <v>1722</v>
      </c>
      <c r="J2236" s="173" t="s">
        <v>1723</v>
      </c>
      <c r="K2236" s="173" t="s">
        <v>1724</v>
      </c>
      <c r="L2236" s="173" t="s">
        <v>1753</v>
      </c>
      <c r="M2236" s="173" t="s">
        <v>1730</v>
      </c>
      <c r="N2236" s="173" t="s">
        <v>1727</v>
      </c>
      <c r="O2236" s="173" t="s">
        <v>1728</v>
      </c>
      <c r="P2236" s="224"/>
      <c r="Q2236" s="224"/>
    </row>
    <row r="2237" spans="1:17" s="225" customFormat="1" ht="10.5" x14ac:dyDescent="0.25">
      <c r="A2237" s="229"/>
      <c r="B2237" s="232"/>
      <c r="C2237" s="184"/>
      <c r="D2237" s="185"/>
      <c r="E2237" s="185">
        <f>Quantitativos!BZ91</f>
        <v>50</v>
      </c>
      <c r="F2237" s="185"/>
      <c r="G2237" s="185"/>
      <c r="H2237" s="185"/>
      <c r="I2237" s="185"/>
      <c r="J2237" s="185"/>
      <c r="K2237" s="185"/>
      <c r="L2237" s="185"/>
      <c r="M2237" s="185"/>
      <c r="N2237" s="185"/>
      <c r="O2237" s="185"/>
      <c r="P2237" s="224"/>
      <c r="Q2237" s="224"/>
    </row>
    <row r="2238" spans="1:17" s="225" customFormat="1" ht="10.5" x14ac:dyDescent="0.25">
      <c r="A2238" s="229"/>
      <c r="B2238" s="230"/>
      <c r="C2238" s="184"/>
      <c r="D2238" s="185"/>
      <c r="E2238" s="185"/>
      <c r="F2238" s="185"/>
      <c r="G2238" s="185"/>
      <c r="H2238" s="185"/>
      <c r="I2238" s="185"/>
      <c r="J2238" s="185"/>
      <c r="K2238" s="185"/>
      <c r="L2238" s="185"/>
      <c r="M2238" s="185"/>
      <c r="N2238" s="185"/>
      <c r="O2238" s="185"/>
      <c r="P2238" s="231"/>
      <c r="Q2238" s="224"/>
    </row>
    <row r="2239" spans="1:17" s="225" customFormat="1" ht="10.5" x14ac:dyDescent="0.25">
      <c r="A2239" s="229"/>
      <c r="B2239" s="232" t="s">
        <v>5</v>
      </c>
      <c r="C2239" s="182" t="s">
        <v>1328</v>
      </c>
      <c r="D2239" s="182"/>
      <c r="E2239" s="182">
        <f>SUM(E2237:E2238)</f>
        <v>50</v>
      </c>
      <c r="F2239" s="182"/>
      <c r="G2239" s="182"/>
      <c r="H2239" s="182"/>
      <c r="I2239" s="182"/>
      <c r="J2239" s="182"/>
      <c r="K2239" s="182"/>
      <c r="L2239" s="182"/>
      <c r="M2239" s="182"/>
      <c r="N2239" s="182"/>
      <c r="O2239" s="182"/>
      <c r="P2239" s="233"/>
      <c r="Q2239" s="224"/>
    </row>
    <row r="2240" spans="1:17" s="228" customFormat="1" ht="42" x14ac:dyDescent="0.25">
      <c r="A2240" s="226" t="str">
        <f>ORÇAMENTO!A436</f>
        <v>5.1.2.5.8</v>
      </c>
      <c r="B2240" s="227" t="str">
        <f>VLOOKUP(A2240,ORÇAMENTO!A:K,4,0)</f>
        <v>CARGA, MANOBRA E DESCARGA DE TUBOS DE CONCRETO, DN 1000 MM, EM CAMINHÃO CARROCERIA COM GUINDAUTO (MUNCK) 11,7 TM. AF_07/2020</v>
      </c>
      <c r="C2240" s="173" t="str">
        <f>VLOOKUP(A2240,ORÇAMENTO!A:K,5,0)</f>
        <v>T</v>
      </c>
      <c r="D2240" s="173">
        <f>SUM(E2243:O2243)</f>
        <v>672.42526499999997</v>
      </c>
      <c r="E2240" s="173" t="s">
        <v>1718</v>
      </c>
      <c r="F2240" s="173" t="s">
        <v>1719</v>
      </c>
      <c r="G2240" s="173" t="s">
        <v>1720</v>
      </c>
      <c r="H2240" s="173" t="s">
        <v>1721</v>
      </c>
      <c r="I2240" s="173" t="s">
        <v>1722</v>
      </c>
      <c r="J2240" s="173" t="s">
        <v>1723</v>
      </c>
      <c r="K2240" s="173" t="s">
        <v>1746</v>
      </c>
      <c r="L2240" s="173" t="s">
        <v>1799</v>
      </c>
      <c r="M2240" s="173" t="s">
        <v>1730</v>
      </c>
      <c r="N2240" s="173" t="s">
        <v>1727</v>
      </c>
      <c r="O2240" s="173" t="s">
        <v>1728</v>
      </c>
      <c r="P2240" s="224"/>
      <c r="Q2240" s="224"/>
    </row>
    <row r="2241" spans="1:17" s="225" customFormat="1" ht="31.5" x14ac:dyDescent="0.25">
      <c r="A2241" s="229"/>
      <c r="B2241" s="232" t="s">
        <v>1801</v>
      </c>
      <c r="C2241" s="184"/>
      <c r="D2241" s="185"/>
      <c r="E2241" s="185">
        <f>E2245+E2249</f>
        <v>667.95</v>
      </c>
      <c r="F2241" s="185"/>
      <c r="G2241" s="185"/>
      <c r="H2241" s="185"/>
      <c r="I2241" s="185"/>
      <c r="J2241" s="185"/>
      <c r="K2241" s="185">
        <f>L2241*E2241</f>
        <v>672.42526499999997</v>
      </c>
      <c r="L2241" s="185">
        <v>1.0066999999999999</v>
      </c>
      <c r="M2241" s="185"/>
      <c r="N2241" s="185"/>
      <c r="O2241" s="185"/>
      <c r="P2241" s="224"/>
      <c r="Q2241" s="224"/>
    </row>
    <row r="2242" spans="1:17" s="225" customFormat="1" ht="10.5" x14ac:dyDescent="0.25">
      <c r="A2242" s="229"/>
      <c r="B2242" s="230"/>
      <c r="C2242" s="184"/>
      <c r="D2242" s="185"/>
      <c r="E2242" s="185"/>
      <c r="F2242" s="185"/>
      <c r="G2242" s="185"/>
      <c r="H2242" s="185"/>
      <c r="I2242" s="185"/>
      <c r="J2242" s="185"/>
      <c r="K2242" s="185"/>
      <c r="L2242" s="185"/>
      <c r="M2242" s="185"/>
      <c r="N2242" s="185"/>
      <c r="O2242" s="185"/>
      <c r="P2242" s="231"/>
      <c r="Q2242" s="224"/>
    </row>
    <row r="2243" spans="1:17" s="225" customFormat="1" ht="10.5" x14ac:dyDescent="0.25">
      <c r="A2243" s="229"/>
      <c r="B2243" s="232" t="s">
        <v>5</v>
      </c>
      <c r="C2243" s="182" t="s">
        <v>1328</v>
      </c>
      <c r="D2243" s="182"/>
      <c r="E2243" s="182"/>
      <c r="F2243" s="182"/>
      <c r="G2243" s="182"/>
      <c r="H2243" s="182"/>
      <c r="I2243" s="182"/>
      <c r="J2243" s="182"/>
      <c r="K2243" s="182">
        <f>SUM(K2241:K2242)</f>
        <v>672.42526499999997</v>
      </c>
      <c r="L2243" s="182"/>
      <c r="M2243" s="182"/>
      <c r="N2243" s="182"/>
      <c r="O2243" s="182"/>
      <c r="P2243" s="233"/>
      <c r="Q2243" s="224"/>
    </row>
    <row r="2244" spans="1:17" s="228" customFormat="1" ht="31.5" x14ac:dyDescent="0.25">
      <c r="A2244" s="226" t="str">
        <f>ORÇAMENTO!A437</f>
        <v>5.1.2.5.9</v>
      </c>
      <c r="B2244" s="227" t="str">
        <f>VLOOKUP(A2244,ORÇAMENTO!A:K,4,0)</f>
        <v>TUBO DE CONCRETO ARMADO PARA AGUAS PLUVIAIS, CLASSE PA-1, COM ENCAIXE PONTA E BOLSA, DIAMETRO NOMINAL DE 1000 MM</v>
      </c>
      <c r="C2244" s="173" t="str">
        <f>VLOOKUP(A2244,ORÇAMENTO!A:K,5,0)</f>
        <v>M</v>
      </c>
      <c r="D2244" s="173">
        <f>SUM(E2247:O2247)</f>
        <v>236.84</v>
      </c>
      <c r="E2244" s="173" t="s">
        <v>1718</v>
      </c>
      <c r="F2244" s="173" t="s">
        <v>1719</v>
      </c>
      <c r="G2244" s="173" t="s">
        <v>1720</v>
      </c>
      <c r="H2244" s="173" t="s">
        <v>1721</v>
      </c>
      <c r="I2244" s="173" t="s">
        <v>1722</v>
      </c>
      <c r="J2244" s="173" t="s">
        <v>1723</v>
      </c>
      <c r="K2244" s="173" t="s">
        <v>1724</v>
      </c>
      <c r="L2244" s="173" t="s">
        <v>1753</v>
      </c>
      <c r="M2244" s="173" t="s">
        <v>1730</v>
      </c>
      <c r="N2244" s="173" t="s">
        <v>1727</v>
      </c>
      <c r="O2244" s="173" t="s">
        <v>1728</v>
      </c>
      <c r="P2244" s="224"/>
      <c r="Q2244" s="224"/>
    </row>
    <row r="2245" spans="1:17" s="225" customFormat="1" ht="10.5" x14ac:dyDescent="0.25">
      <c r="A2245" s="229"/>
      <c r="B2245" s="232"/>
      <c r="C2245" s="184"/>
      <c r="D2245" s="185"/>
      <c r="E2245" s="185">
        <f>Quantitativos!CC91</f>
        <v>236.84</v>
      </c>
      <c r="F2245" s="185"/>
      <c r="G2245" s="185"/>
      <c r="H2245" s="185"/>
      <c r="I2245" s="185"/>
      <c r="J2245" s="185"/>
      <c r="K2245" s="185"/>
      <c r="L2245" s="185"/>
      <c r="M2245" s="185"/>
      <c r="N2245" s="185"/>
      <c r="O2245" s="185"/>
      <c r="P2245" s="224"/>
      <c r="Q2245" s="224"/>
    </row>
    <row r="2246" spans="1:17" s="225" customFormat="1" ht="10.5" x14ac:dyDescent="0.25">
      <c r="A2246" s="229"/>
      <c r="B2246" s="230"/>
      <c r="C2246" s="184"/>
      <c r="D2246" s="185"/>
      <c r="E2246" s="185"/>
      <c r="F2246" s="185"/>
      <c r="G2246" s="185"/>
      <c r="H2246" s="185"/>
      <c r="I2246" s="185"/>
      <c r="J2246" s="185"/>
      <c r="K2246" s="185"/>
      <c r="L2246" s="185"/>
      <c r="M2246" s="185"/>
      <c r="N2246" s="185"/>
      <c r="O2246" s="185"/>
      <c r="P2246" s="231"/>
      <c r="Q2246" s="224"/>
    </row>
    <row r="2247" spans="1:17" s="225" customFormat="1" ht="10.5" x14ac:dyDescent="0.25">
      <c r="A2247" s="229"/>
      <c r="B2247" s="232" t="s">
        <v>5</v>
      </c>
      <c r="C2247" s="182" t="s">
        <v>1328</v>
      </c>
      <c r="D2247" s="182"/>
      <c r="E2247" s="182">
        <f>SUM(E2245:E2246)</f>
        <v>236.84</v>
      </c>
      <c r="F2247" s="182"/>
      <c r="G2247" s="182"/>
      <c r="H2247" s="182"/>
      <c r="I2247" s="182"/>
      <c r="J2247" s="182"/>
      <c r="K2247" s="182"/>
      <c r="L2247" s="182"/>
      <c r="M2247" s="182"/>
      <c r="N2247" s="182"/>
      <c r="O2247" s="182"/>
      <c r="P2247" s="233"/>
      <c r="Q2247" s="224"/>
    </row>
    <row r="2248" spans="1:17" s="228" customFormat="1" ht="31.5" x14ac:dyDescent="0.25">
      <c r="A2248" s="226" t="str">
        <f>ORÇAMENTO!A438</f>
        <v>5.1.2.5.10</v>
      </c>
      <c r="B2248" s="227" t="str">
        <f>VLOOKUP(A2248,ORÇAMENTO!A:K,4,0)</f>
        <v>TUBO DE CONCRETO ARMADO PARA AGUAS PLUVIAIS, CLASSE PA-2, COM ENCAIXE PONTA E BOLSA, DIAMETRO NOMINAL DE 1000 MM</v>
      </c>
      <c r="C2248" s="173" t="str">
        <f>VLOOKUP(A2248,ORÇAMENTO!A:K,5,0)</f>
        <v>M</v>
      </c>
      <c r="D2248" s="173">
        <f>SUM(E2251:O2251)</f>
        <v>431.11</v>
      </c>
      <c r="E2248" s="173" t="s">
        <v>1718</v>
      </c>
      <c r="F2248" s="173" t="s">
        <v>1719</v>
      </c>
      <c r="G2248" s="173" t="s">
        <v>1720</v>
      </c>
      <c r="H2248" s="173" t="s">
        <v>1721</v>
      </c>
      <c r="I2248" s="173" t="s">
        <v>1722</v>
      </c>
      <c r="J2248" s="173" t="s">
        <v>1723</v>
      </c>
      <c r="K2248" s="173" t="s">
        <v>1724</v>
      </c>
      <c r="L2248" s="173" t="s">
        <v>1753</v>
      </c>
      <c r="M2248" s="173" t="s">
        <v>1730</v>
      </c>
      <c r="N2248" s="173" t="s">
        <v>1727</v>
      </c>
      <c r="O2248" s="173" t="s">
        <v>1728</v>
      </c>
      <c r="P2248" s="224"/>
      <c r="Q2248" s="224"/>
    </row>
    <row r="2249" spans="1:17" s="225" customFormat="1" ht="10.5" x14ac:dyDescent="0.25">
      <c r="A2249" s="229"/>
      <c r="B2249" s="232"/>
      <c r="C2249" s="184"/>
      <c r="D2249" s="185"/>
      <c r="E2249" s="185">
        <f>Quantitativos!CD91</f>
        <v>431.11</v>
      </c>
      <c r="F2249" s="185"/>
      <c r="G2249" s="185"/>
      <c r="H2249" s="185"/>
      <c r="I2249" s="185"/>
      <c r="J2249" s="185"/>
      <c r="K2249" s="185"/>
      <c r="L2249" s="185"/>
      <c r="M2249" s="185"/>
      <c r="N2249" s="185"/>
      <c r="O2249" s="185"/>
      <c r="P2249" s="224"/>
      <c r="Q2249" s="224"/>
    </row>
    <row r="2250" spans="1:17" s="225" customFormat="1" ht="10.5" x14ac:dyDescent="0.25">
      <c r="A2250" s="229"/>
      <c r="B2250" s="230"/>
      <c r="C2250" s="184"/>
      <c r="D2250" s="185"/>
      <c r="E2250" s="185"/>
      <c r="F2250" s="185"/>
      <c r="G2250" s="185"/>
      <c r="H2250" s="185"/>
      <c r="I2250" s="185"/>
      <c r="J2250" s="185"/>
      <c r="K2250" s="185"/>
      <c r="L2250" s="185"/>
      <c r="M2250" s="185"/>
      <c r="N2250" s="185"/>
      <c r="O2250" s="185"/>
      <c r="P2250" s="231"/>
      <c r="Q2250" s="224"/>
    </row>
    <row r="2251" spans="1:17" s="225" customFormat="1" ht="10.5" x14ac:dyDescent="0.25">
      <c r="A2251" s="229"/>
      <c r="B2251" s="232" t="s">
        <v>5</v>
      </c>
      <c r="C2251" s="182" t="s">
        <v>1328</v>
      </c>
      <c r="D2251" s="182"/>
      <c r="E2251" s="182">
        <f>SUM(E2249:E2250)</f>
        <v>431.11</v>
      </c>
      <c r="F2251" s="182"/>
      <c r="G2251" s="182"/>
      <c r="H2251" s="182"/>
      <c r="I2251" s="182"/>
      <c r="J2251" s="182"/>
      <c r="K2251" s="182"/>
      <c r="L2251" s="182"/>
      <c r="M2251" s="182"/>
      <c r="N2251" s="182"/>
      <c r="O2251" s="182">
        <f>SUM(O2250:O2250)</f>
        <v>0</v>
      </c>
      <c r="P2251" s="233"/>
      <c r="Q2251" s="224"/>
    </row>
    <row r="2252" spans="1:17" s="228" customFormat="1" ht="42" x14ac:dyDescent="0.25">
      <c r="A2252" s="226" t="str">
        <f>ORÇAMENTO!A439</f>
        <v>5.1.2.5.11</v>
      </c>
      <c r="B2252" s="227" t="str">
        <f>VLOOKUP(A2252,ORÇAMENTO!A:K,4,0)</f>
        <v>CARGA, MANOBRA E DESCARGA DE TUBOS DE CONCRETO, DN 1200 MM, EM CAMINHÃO CARROCERIA COM GUINDAUTO (MUNCK) 11,7 TM. AF_07/2020</v>
      </c>
      <c r="C2252" s="173" t="str">
        <f>VLOOKUP(A2252,ORÇAMENTO!A:K,5,0)</f>
        <v>T</v>
      </c>
      <c r="D2252" s="173">
        <f>SUM(E2255:O2255)</f>
        <v>270.32639999999998</v>
      </c>
      <c r="E2252" s="173" t="s">
        <v>1718</v>
      </c>
      <c r="F2252" s="173" t="s">
        <v>1719</v>
      </c>
      <c r="G2252" s="173" t="s">
        <v>1720</v>
      </c>
      <c r="H2252" s="173" t="s">
        <v>1721</v>
      </c>
      <c r="I2252" s="173" t="s">
        <v>1722</v>
      </c>
      <c r="J2252" s="173" t="s">
        <v>1723</v>
      </c>
      <c r="K2252" s="173" t="s">
        <v>1746</v>
      </c>
      <c r="L2252" s="173" t="s">
        <v>1799</v>
      </c>
      <c r="M2252" s="173" t="s">
        <v>1730</v>
      </c>
      <c r="N2252" s="173" t="s">
        <v>1727</v>
      </c>
      <c r="O2252" s="173" t="s">
        <v>1728</v>
      </c>
      <c r="P2252" s="224"/>
      <c r="Q2252" s="224"/>
    </row>
    <row r="2253" spans="1:17" s="225" customFormat="1" ht="31.5" x14ac:dyDescent="0.25">
      <c r="A2253" s="229"/>
      <c r="B2253" s="232" t="s">
        <v>1801</v>
      </c>
      <c r="C2253" s="184"/>
      <c r="D2253" s="185"/>
      <c r="E2253" s="185">
        <f>E2257+E2261</f>
        <v>233.04</v>
      </c>
      <c r="F2253" s="185"/>
      <c r="G2253" s="185"/>
      <c r="H2253" s="185"/>
      <c r="I2253" s="185"/>
      <c r="J2253" s="185"/>
      <c r="K2253" s="185">
        <f>L2253*E2253</f>
        <v>270.32639999999998</v>
      </c>
      <c r="L2253" s="185">
        <v>1.1599999999999999</v>
      </c>
      <c r="M2253" s="185"/>
      <c r="N2253" s="185"/>
      <c r="O2253" s="185"/>
      <c r="P2253" s="224"/>
      <c r="Q2253" s="224"/>
    </row>
    <row r="2254" spans="1:17" s="225" customFormat="1" ht="10.5" x14ac:dyDescent="0.25">
      <c r="A2254" s="229"/>
      <c r="B2254" s="230"/>
      <c r="C2254" s="184"/>
      <c r="D2254" s="185"/>
      <c r="E2254" s="185"/>
      <c r="F2254" s="185"/>
      <c r="G2254" s="185"/>
      <c r="H2254" s="185"/>
      <c r="I2254" s="185"/>
      <c r="J2254" s="185"/>
      <c r="K2254" s="185"/>
      <c r="L2254" s="185"/>
      <c r="M2254" s="185"/>
      <c r="N2254" s="185"/>
      <c r="O2254" s="185"/>
      <c r="P2254" s="231"/>
      <c r="Q2254" s="224"/>
    </row>
    <row r="2255" spans="1:17" s="225" customFormat="1" ht="10.5" x14ac:dyDescent="0.25">
      <c r="A2255" s="229"/>
      <c r="B2255" s="232" t="s">
        <v>5</v>
      </c>
      <c r="C2255" s="182" t="s">
        <v>1328</v>
      </c>
      <c r="D2255" s="182"/>
      <c r="E2255" s="182"/>
      <c r="F2255" s="182"/>
      <c r="G2255" s="182"/>
      <c r="H2255" s="182"/>
      <c r="I2255" s="182"/>
      <c r="J2255" s="182"/>
      <c r="K2255" s="182">
        <f>SUM(K2253:K2254)</f>
        <v>270.32639999999998</v>
      </c>
      <c r="L2255" s="182"/>
      <c r="M2255" s="182"/>
      <c r="N2255" s="182"/>
      <c r="O2255" s="182">
        <f>SUM(O2254:O2254)</f>
        <v>0</v>
      </c>
      <c r="P2255" s="233"/>
      <c r="Q2255" s="224"/>
    </row>
    <row r="2256" spans="1:17" s="228" customFormat="1" ht="31.5" x14ac:dyDescent="0.25">
      <c r="A2256" s="226" t="str">
        <f>ORÇAMENTO!A440</f>
        <v>5.1.2.5.12</v>
      </c>
      <c r="B2256" s="227" t="str">
        <f>VLOOKUP(A2256,ORÇAMENTO!A:K,4,0)</f>
        <v>TUBO DE CONCRETO ARMADO PARA AGUAS PLUVIAIS, CLASSE PA-1, COM ENCAIXE PONTA E BOLSA, DIAMETRO NOMINAL DE 1200 MM</v>
      </c>
      <c r="C2256" s="173" t="str">
        <f>VLOOKUP(A2256,ORÇAMENTO!A:K,5,0)</f>
        <v>M</v>
      </c>
      <c r="D2256" s="173">
        <f>SUM(E2259:O2259)</f>
        <v>182.04</v>
      </c>
      <c r="E2256" s="173" t="s">
        <v>1718</v>
      </c>
      <c r="F2256" s="173" t="s">
        <v>1719</v>
      </c>
      <c r="G2256" s="173" t="s">
        <v>1720</v>
      </c>
      <c r="H2256" s="173" t="s">
        <v>1721</v>
      </c>
      <c r="I2256" s="173" t="s">
        <v>1722</v>
      </c>
      <c r="J2256" s="173" t="s">
        <v>1723</v>
      </c>
      <c r="K2256" s="173" t="s">
        <v>1724</v>
      </c>
      <c r="L2256" s="173" t="s">
        <v>1753</v>
      </c>
      <c r="M2256" s="173" t="s">
        <v>1730</v>
      </c>
      <c r="N2256" s="173" t="s">
        <v>1727</v>
      </c>
      <c r="O2256" s="173" t="s">
        <v>1728</v>
      </c>
      <c r="P2256" s="224"/>
      <c r="Q2256" s="224"/>
    </row>
    <row r="2257" spans="1:17" s="225" customFormat="1" ht="10.5" x14ac:dyDescent="0.25">
      <c r="A2257" s="229"/>
      <c r="B2257" s="232"/>
      <c r="C2257" s="184"/>
      <c r="D2257" s="185"/>
      <c r="E2257" s="185">
        <f>Quantitativos!CG91</f>
        <v>182.04</v>
      </c>
      <c r="F2257" s="185"/>
      <c r="G2257" s="185"/>
      <c r="H2257" s="185"/>
      <c r="I2257" s="185"/>
      <c r="J2257" s="185"/>
      <c r="K2257" s="185"/>
      <c r="L2257" s="185"/>
      <c r="M2257" s="185"/>
      <c r="N2257" s="185"/>
      <c r="O2257" s="185"/>
      <c r="P2257" s="224"/>
      <c r="Q2257" s="224"/>
    </row>
    <row r="2258" spans="1:17" s="225" customFormat="1" ht="10.5" x14ac:dyDescent="0.25">
      <c r="A2258" s="229"/>
      <c r="B2258" s="230"/>
      <c r="C2258" s="184"/>
      <c r="D2258" s="185"/>
      <c r="E2258" s="185"/>
      <c r="F2258" s="185"/>
      <c r="G2258" s="185"/>
      <c r="H2258" s="185"/>
      <c r="I2258" s="185"/>
      <c r="J2258" s="185"/>
      <c r="K2258" s="185"/>
      <c r="L2258" s="185"/>
      <c r="M2258" s="185"/>
      <c r="N2258" s="185"/>
      <c r="O2258" s="185"/>
      <c r="P2258" s="231"/>
      <c r="Q2258" s="224"/>
    </row>
    <row r="2259" spans="1:17" s="225" customFormat="1" ht="10.5" x14ac:dyDescent="0.25">
      <c r="A2259" s="229"/>
      <c r="B2259" s="232" t="s">
        <v>5</v>
      </c>
      <c r="C2259" s="182" t="s">
        <v>1328</v>
      </c>
      <c r="D2259" s="182"/>
      <c r="E2259" s="182">
        <f>SUM(E2257:E2258)</f>
        <v>182.04</v>
      </c>
      <c r="F2259" s="182"/>
      <c r="G2259" s="182"/>
      <c r="H2259" s="182"/>
      <c r="I2259" s="182"/>
      <c r="J2259" s="182"/>
      <c r="K2259" s="182"/>
      <c r="L2259" s="182"/>
      <c r="M2259" s="182"/>
      <c r="N2259" s="182"/>
      <c r="O2259" s="182">
        <f>SUM(O2258:O2258)</f>
        <v>0</v>
      </c>
      <c r="P2259" s="233"/>
      <c r="Q2259" s="224"/>
    </row>
    <row r="2260" spans="1:17" s="228" customFormat="1" ht="31.5" x14ac:dyDescent="0.25">
      <c r="A2260" s="226" t="str">
        <f>ORÇAMENTO!A441</f>
        <v>5.1.2.5.13</v>
      </c>
      <c r="B2260" s="227" t="str">
        <f>VLOOKUP(A2260,ORÇAMENTO!A:K,4,0)</f>
        <v>TUBO DE CONCRETO ARMADO PARA AGUAS PLUVIAIS, CLASSE PA-2, COM ENCAIXE PONTA E BOLSA, DIAMETRO NOMINAL DE 1200 MM</v>
      </c>
      <c r="C2260" s="173" t="str">
        <f>VLOOKUP(A2260,ORÇAMENTO!A:K,5,0)</f>
        <v>M</v>
      </c>
      <c r="D2260" s="173">
        <f>SUM(E2263:O2263)</f>
        <v>51</v>
      </c>
      <c r="E2260" s="173" t="s">
        <v>1718</v>
      </c>
      <c r="F2260" s="173" t="s">
        <v>1719</v>
      </c>
      <c r="G2260" s="173" t="s">
        <v>1720</v>
      </c>
      <c r="H2260" s="173" t="s">
        <v>1721</v>
      </c>
      <c r="I2260" s="173" t="s">
        <v>1722</v>
      </c>
      <c r="J2260" s="173" t="s">
        <v>1723</v>
      </c>
      <c r="K2260" s="173" t="s">
        <v>1724</v>
      </c>
      <c r="L2260" s="173" t="s">
        <v>1753</v>
      </c>
      <c r="M2260" s="173" t="s">
        <v>1730</v>
      </c>
      <c r="N2260" s="173" t="s">
        <v>1727</v>
      </c>
      <c r="O2260" s="173" t="s">
        <v>1728</v>
      </c>
      <c r="P2260" s="224"/>
      <c r="Q2260" s="224"/>
    </row>
    <row r="2261" spans="1:17" s="225" customFormat="1" ht="10.5" x14ac:dyDescent="0.25">
      <c r="A2261" s="229"/>
      <c r="B2261" s="232"/>
      <c r="C2261" s="184"/>
      <c r="D2261" s="185"/>
      <c r="E2261" s="185">
        <f>Quantitativos!CH91</f>
        <v>51</v>
      </c>
      <c r="F2261" s="185"/>
      <c r="G2261" s="185"/>
      <c r="H2261" s="185"/>
      <c r="I2261" s="185"/>
      <c r="J2261" s="185"/>
      <c r="K2261" s="185"/>
      <c r="L2261" s="185"/>
      <c r="M2261" s="185"/>
      <c r="N2261" s="185"/>
      <c r="O2261" s="185"/>
      <c r="P2261" s="224"/>
      <c r="Q2261" s="224"/>
    </row>
    <row r="2262" spans="1:17" s="225" customFormat="1" ht="10.5" x14ac:dyDescent="0.25">
      <c r="A2262" s="229"/>
      <c r="B2262" s="230"/>
      <c r="C2262" s="184"/>
      <c r="D2262" s="185"/>
      <c r="E2262" s="185"/>
      <c r="F2262" s="185"/>
      <c r="G2262" s="185"/>
      <c r="H2262" s="185"/>
      <c r="I2262" s="185"/>
      <c r="J2262" s="185"/>
      <c r="K2262" s="185"/>
      <c r="L2262" s="185"/>
      <c r="M2262" s="185"/>
      <c r="N2262" s="185"/>
      <c r="O2262" s="185"/>
      <c r="P2262" s="231"/>
      <c r="Q2262" s="224"/>
    </row>
    <row r="2263" spans="1:17" s="225" customFormat="1" ht="10.5" x14ac:dyDescent="0.25">
      <c r="A2263" s="229"/>
      <c r="B2263" s="232" t="s">
        <v>5</v>
      </c>
      <c r="C2263" s="182" t="s">
        <v>1328</v>
      </c>
      <c r="D2263" s="182"/>
      <c r="E2263" s="182">
        <f>SUM(E2261:E2262)</f>
        <v>51</v>
      </c>
      <c r="F2263" s="182"/>
      <c r="G2263" s="182"/>
      <c r="H2263" s="182"/>
      <c r="I2263" s="182"/>
      <c r="J2263" s="182"/>
      <c r="K2263" s="182"/>
      <c r="L2263" s="182"/>
      <c r="M2263" s="182"/>
      <c r="N2263" s="182"/>
      <c r="O2263" s="182">
        <f>SUM(O2262:O2262)</f>
        <v>0</v>
      </c>
      <c r="P2263" s="233"/>
      <c r="Q2263" s="224"/>
    </row>
    <row r="2264" spans="1:17" s="228" customFormat="1" ht="31.5" x14ac:dyDescent="0.25">
      <c r="A2264" s="226" t="str">
        <f>ORÇAMENTO!A442</f>
        <v>5.1.2.5.14</v>
      </c>
      <c r="B2264" s="227" t="str">
        <f>VLOOKUP(A2264,ORÇAMENTO!A:K,4,0)</f>
        <v>CARGA, MANOBRA E DESCARGA DE TUBOS DE CONCRETO, DN 1500 MM, EM CAMINHÃO CARROCERIA COM GUINDAUTO (MUNCK) 11,7 TM.</v>
      </c>
      <c r="C2264" s="173" t="str">
        <f>VLOOKUP(A2264,ORÇAMENTO!A:K,5,0)</f>
        <v>T</v>
      </c>
      <c r="D2264" s="173">
        <f>SUM(E2267:O2267)</f>
        <v>547.14880000000005</v>
      </c>
      <c r="E2264" s="173" t="s">
        <v>1718</v>
      </c>
      <c r="F2264" s="173" t="s">
        <v>1719</v>
      </c>
      <c r="G2264" s="173" t="s">
        <v>1720</v>
      </c>
      <c r="H2264" s="173" t="s">
        <v>1721</v>
      </c>
      <c r="I2264" s="173" t="s">
        <v>1722</v>
      </c>
      <c r="J2264" s="173" t="s">
        <v>1723</v>
      </c>
      <c r="K2264" s="173" t="s">
        <v>1746</v>
      </c>
      <c r="L2264" s="173" t="s">
        <v>1799</v>
      </c>
      <c r="M2264" s="173" t="s">
        <v>1730</v>
      </c>
      <c r="N2264" s="173" t="s">
        <v>1727</v>
      </c>
      <c r="O2264" s="173" t="s">
        <v>1728</v>
      </c>
      <c r="P2264" s="224"/>
      <c r="Q2264" s="224"/>
    </row>
    <row r="2265" spans="1:17" s="225" customFormat="1" ht="31.5" x14ac:dyDescent="0.25">
      <c r="A2265" s="229"/>
      <c r="B2265" s="232" t="s">
        <v>1801</v>
      </c>
      <c r="C2265" s="184"/>
      <c r="D2265" s="185"/>
      <c r="E2265" s="185">
        <f>E2269</f>
        <v>310.88</v>
      </c>
      <c r="F2265" s="185"/>
      <c r="G2265" s="185"/>
      <c r="H2265" s="185"/>
      <c r="I2265" s="185"/>
      <c r="J2265" s="185"/>
      <c r="K2265" s="185">
        <f>L2265*E2265</f>
        <v>547.14880000000005</v>
      </c>
      <c r="L2265" s="185">
        <v>1.76</v>
      </c>
      <c r="M2265" s="185"/>
      <c r="N2265" s="185"/>
      <c r="O2265" s="185"/>
      <c r="P2265" s="224"/>
      <c r="Q2265" s="224"/>
    </row>
    <row r="2266" spans="1:17" s="225" customFormat="1" ht="10.5" x14ac:dyDescent="0.25">
      <c r="A2266" s="229"/>
      <c r="B2266" s="230"/>
      <c r="C2266" s="184"/>
      <c r="D2266" s="185"/>
      <c r="E2266" s="185"/>
      <c r="F2266" s="185"/>
      <c r="G2266" s="185"/>
      <c r="H2266" s="185"/>
      <c r="I2266" s="185"/>
      <c r="J2266" s="185"/>
      <c r="K2266" s="185"/>
      <c r="L2266" s="185"/>
      <c r="M2266" s="185"/>
      <c r="N2266" s="185"/>
      <c r="O2266" s="185"/>
      <c r="P2266" s="231"/>
      <c r="Q2266" s="224"/>
    </row>
    <row r="2267" spans="1:17" s="225" customFormat="1" ht="10.5" x14ac:dyDescent="0.25">
      <c r="A2267" s="229"/>
      <c r="B2267" s="232" t="s">
        <v>5</v>
      </c>
      <c r="C2267" s="182" t="s">
        <v>1328</v>
      </c>
      <c r="D2267" s="182"/>
      <c r="E2267" s="182"/>
      <c r="F2267" s="182"/>
      <c r="G2267" s="182"/>
      <c r="H2267" s="182"/>
      <c r="I2267" s="182"/>
      <c r="J2267" s="182"/>
      <c r="K2267" s="182">
        <f>SUM(K2265:K2266)</f>
        <v>547.14880000000005</v>
      </c>
      <c r="L2267" s="182"/>
      <c r="M2267" s="182"/>
      <c r="N2267" s="182"/>
      <c r="O2267" s="182">
        <f>SUM(O2266:O2266)</f>
        <v>0</v>
      </c>
      <c r="P2267" s="233"/>
      <c r="Q2267" s="224"/>
    </row>
    <row r="2268" spans="1:17" s="228" customFormat="1" ht="31.5" x14ac:dyDescent="0.25">
      <c r="A2268" s="226" t="str">
        <f>ORÇAMENTO!A443</f>
        <v>5.1.2.5.15</v>
      </c>
      <c r="B2268" s="227" t="str">
        <f>VLOOKUP(A2268,ORÇAMENTO!A:K,4,0)</f>
        <v>TUBO DE CONCRETO ARMADO PARA AGUAS PLUVIAIS, CLASSE PA-2, COM ENCAIXE PONTA E BOLSA, DIAMETRO NOMINAL DE 1500 MM</v>
      </c>
      <c r="C2268" s="173" t="str">
        <f>VLOOKUP(A2268,ORÇAMENTO!A:K,5,0)</f>
        <v>M</v>
      </c>
      <c r="D2268" s="173">
        <f>SUM(E2271:O2271)</f>
        <v>310.88</v>
      </c>
      <c r="E2268" s="173" t="s">
        <v>1718</v>
      </c>
      <c r="F2268" s="173" t="s">
        <v>1719</v>
      </c>
      <c r="G2268" s="173" t="s">
        <v>1720</v>
      </c>
      <c r="H2268" s="173" t="s">
        <v>1721</v>
      </c>
      <c r="I2268" s="173" t="s">
        <v>1722</v>
      </c>
      <c r="J2268" s="173" t="s">
        <v>1723</v>
      </c>
      <c r="K2268" s="173" t="s">
        <v>1724</v>
      </c>
      <c r="L2268" s="173" t="s">
        <v>1753</v>
      </c>
      <c r="M2268" s="173" t="s">
        <v>1730</v>
      </c>
      <c r="N2268" s="173" t="s">
        <v>1727</v>
      </c>
      <c r="O2268" s="173" t="s">
        <v>1728</v>
      </c>
      <c r="P2268" s="224"/>
      <c r="Q2268" s="224"/>
    </row>
    <row r="2269" spans="1:17" s="225" customFormat="1" ht="10.5" x14ac:dyDescent="0.25">
      <c r="A2269" s="229"/>
      <c r="B2269" s="232"/>
      <c r="C2269" s="184"/>
      <c r="D2269" s="185"/>
      <c r="E2269" s="185">
        <f>Quantitativos!CL91</f>
        <v>310.88</v>
      </c>
      <c r="F2269" s="185"/>
      <c r="G2269" s="185"/>
      <c r="H2269" s="185"/>
      <c r="I2269" s="185"/>
      <c r="J2269" s="185"/>
      <c r="K2269" s="185"/>
      <c r="L2269" s="185"/>
      <c r="M2269" s="185"/>
      <c r="N2269" s="185"/>
      <c r="O2269" s="185"/>
      <c r="P2269" s="224"/>
      <c r="Q2269" s="224"/>
    </row>
    <row r="2270" spans="1:17" s="225" customFormat="1" ht="10.5" x14ac:dyDescent="0.25">
      <c r="A2270" s="229"/>
      <c r="B2270" s="230"/>
      <c r="C2270" s="184"/>
      <c r="D2270" s="185"/>
      <c r="E2270" s="185"/>
      <c r="F2270" s="185"/>
      <c r="G2270" s="185"/>
      <c r="H2270" s="185"/>
      <c r="I2270" s="185"/>
      <c r="J2270" s="185"/>
      <c r="K2270" s="185"/>
      <c r="L2270" s="185"/>
      <c r="M2270" s="185"/>
      <c r="N2270" s="185"/>
      <c r="O2270" s="185"/>
      <c r="P2270" s="231"/>
      <c r="Q2270" s="224"/>
    </row>
    <row r="2271" spans="1:17" s="225" customFormat="1" ht="10.5" x14ac:dyDescent="0.25">
      <c r="A2271" s="229"/>
      <c r="B2271" s="232" t="s">
        <v>5</v>
      </c>
      <c r="C2271" s="182" t="s">
        <v>1328</v>
      </c>
      <c r="D2271" s="182"/>
      <c r="E2271" s="182">
        <f>SUM(E2269:E2270)</f>
        <v>310.88</v>
      </c>
      <c r="F2271" s="182"/>
      <c r="G2271" s="182"/>
      <c r="H2271" s="182"/>
      <c r="I2271" s="182"/>
      <c r="J2271" s="182"/>
      <c r="K2271" s="182"/>
      <c r="L2271" s="182"/>
      <c r="M2271" s="182"/>
      <c r="N2271" s="182"/>
      <c r="O2271" s="182">
        <f>SUM(O2270:O2270)</f>
        <v>0</v>
      </c>
      <c r="P2271" s="233"/>
      <c r="Q2271" s="224"/>
    </row>
    <row r="2272" spans="1:17" s="225" customFormat="1" ht="10.5" x14ac:dyDescent="0.25">
      <c r="A2272" s="222" t="str">
        <f>ORÇAMENTO!A444</f>
        <v>5.1.2.6</v>
      </c>
      <c r="B2272" s="223" t="str">
        <f>VLOOKUP(A2272,ORÇAMENTO!A:K,4,0)</f>
        <v>BOCAS DE LOBO</v>
      </c>
      <c r="C2272" s="167"/>
      <c r="D2272" s="167"/>
      <c r="E2272" s="168"/>
      <c r="F2272" s="168"/>
      <c r="G2272" s="168"/>
      <c r="H2272" s="168"/>
      <c r="I2272" s="168"/>
      <c r="J2272" s="168"/>
      <c r="K2272" s="168"/>
      <c r="L2272" s="168"/>
      <c r="M2272" s="168"/>
      <c r="N2272" s="168"/>
      <c r="O2272" s="168"/>
      <c r="P2272" s="224"/>
      <c r="Q2272" s="224"/>
    </row>
    <row r="2273" spans="1:17" s="228" customFormat="1" ht="21" x14ac:dyDescent="0.25">
      <c r="A2273" s="226" t="str">
        <f>ORÇAMENTO!A445</f>
        <v>5.1.2.6.1</v>
      </c>
      <c r="B2273" s="227" t="str">
        <f>VLOOKUP(A2273,ORÇAMENTO!A:K,4,0)</f>
        <v>LOCAÇÃO DE REDE DE DRENAGEM</v>
      </c>
      <c r="C2273" s="173" t="str">
        <f>VLOOKUP(A2273,ORÇAMENTO!A:K,5,0)</f>
        <v>M</v>
      </c>
      <c r="D2273" s="173">
        <f>ROUND(SUM(E2276:O2276),2)</f>
        <v>139.18</v>
      </c>
      <c r="E2273" s="173" t="s">
        <v>1718</v>
      </c>
      <c r="F2273" s="173" t="s">
        <v>1719</v>
      </c>
      <c r="G2273" s="173" t="s">
        <v>1720</v>
      </c>
      <c r="H2273" s="173" t="s">
        <v>1721</v>
      </c>
      <c r="I2273" s="173" t="s">
        <v>1722</v>
      </c>
      <c r="J2273" s="173" t="s">
        <v>1723</v>
      </c>
      <c r="K2273" s="173" t="s">
        <v>1724</v>
      </c>
      <c r="L2273" s="173" t="s">
        <v>1804</v>
      </c>
      <c r="M2273" s="173" t="s">
        <v>1726</v>
      </c>
      <c r="N2273" s="173" t="s">
        <v>1805</v>
      </c>
      <c r="O2273" s="173" t="s">
        <v>1728</v>
      </c>
      <c r="P2273" s="224"/>
      <c r="Q2273" s="224"/>
    </row>
    <row r="2274" spans="1:17" s="225" customFormat="1" ht="10.5" x14ac:dyDescent="0.25">
      <c r="A2274" s="229"/>
      <c r="B2274" s="230" t="s">
        <v>1806</v>
      </c>
      <c r="C2274" s="177"/>
      <c r="D2274" s="178"/>
      <c r="E2274" s="178">
        <f>QUANTBL!O183/1</f>
        <v>139.18</v>
      </c>
      <c r="F2274" s="178"/>
      <c r="G2274" s="178"/>
      <c r="H2274" s="178"/>
      <c r="I2274" s="178"/>
      <c r="J2274" s="178"/>
      <c r="K2274" s="178"/>
      <c r="L2274" s="178"/>
      <c r="M2274" s="178"/>
      <c r="N2274" s="200"/>
      <c r="O2274" s="178"/>
      <c r="P2274" s="231"/>
      <c r="Q2274" s="224"/>
    </row>
    <row r="2275" spans="1:17" s="225" customFormat="1" ht="10.5" x14ac:dyDescent="0.25">
      <c r="A2275" s="229"/>
      <c r="B2275" s="230"/>
      <c r="C2275" s="177"/>
      <c r="D2275" s="178"/>
      <c r="E2275" s="178"/>
      <c r="F2275" s="178"/>
      <c r="G2275" s="178"/>
      <c r="H2275" s="178"/>
      <c r="I2275" s="178"/>
      <c r="J2275" s="178"/>
      <c r="K2275" s="178"/>
      <c r="L2275" s="178"/>
      <c r="M2275" s="178"/>
      <c r="N2275" s="200"/>
      <c r="O2275" s="178"/>
      <c r="P2275" s="231"/>
      <c r="Q2275" s="224"/>
    </row>
    <row r="2276" spans="1:17" s="225" customFormat="1" ht="10.5" x14ac:dyDescent="0.25">
      <c r="A2276" s="229"/>
      <c r="B2276" s="232" t="s">
        <v>5</v>
      </c>
      <c r="C2276" s="182" t="s">
        <v>1328</v>
      </c>
      <c r="D2276" s="182"/>
      <c r="E2276" s="177">
        <f>SUM(E2274:E2274)</f>
        <v>139.18</v>
      </c>
      <c r="F2276" s="182"/>
      <c r="G2276" s="182"/>
      <c r="H2276" s="182"/>
      <c r="I2276" s="182"/>
      <c r="J2276" s="182"/>
      <c r="K2276" s="178"/>
      <c r="L2276" s="182"/>
      <c r="M2276" s="182"/>
      <c r="N2276" s="177"/>
      <c r="O2276" s="177"/>
      <c r="P2276" s="233"/>
      <c r="Q2276" s="224"/>
    </row>
    <row r="2277" spans="1:17" s="228" customFormat="1" ht="21" x14ac:dyDescent="0.25">
      <c r="A2277" s="226" t="str">
        <f>ORÇAMENTO!A446</f>
        <v>5.1.2.6.2</v>
      </c>
      <c r="B2277" s="227" t="str">
        <f>VLOOKUP(A2277,ORÇAMENTO!A:K,4,0)</f>
        <v>PASSARELA, EM MADEIRA, PARA COBERTA DE VALAS PARA PASSAGEM DE PEDESTRES.</v>
      </c>
      <c r="C2277" s="173" t="str">
        <f>VLOOKUP(A2277,ORÇAMENTO!A:K,5,0)</f>
        <v>M²</v>
      </c>
      <c r="D2277" s="173">
        <f>ROUND(SUM(E2280:O2280),2)</f>
        <v>2</v>
      </c>
      <c r="E2277" s="173" t="s">
        <v>1718</v>
      </c>
      <c r="F2277" s="173" t="s">
        <v>1719</v>
      </c>
      <c r="G2277" s="173" t="s">
        <v>1720</v>
      </c>
      <c r="H2277" s="173" t="s">
        <v>1721</v>
      </c>
      <c r="I2277" s="173" t="s">
        <v>1722</v>
      </c>
      <c r="J2277" s="173" t="s">
        <v>1723</v>
      </c>
      <c r="K2277" s="173" t="s">
        <v>1724</v>
      </c>
      <c r="L2277" s="173" t="s">
        <v>1804</v>
      </c>
      <c r="M2277" s="173" t="s">
        <v>1726</v>
      </c>
      <c r="N2277" s="173" t="s">
        <v>1727</v>
      </c>
      <c r="O2277" s="173" t="s">
        <v>1728</v>
      </c>
      <c r="P2277" s="224"/>
      <c r="Q2277" s="224"/>
    </row>
    <row r="2278" spans="1:17" s="225" customFormat="1" ht="10.5" x14ac:dyDescent="0.25">
      <c r="A2278" s="229"/>
      <c r="B2278" s="230" t="s">
        <v>1735</v>
      </c>
      <c r="C2278" s="177"/>
      <c r="D2278" s="178"/>
      <c r="E2278" s="178">
        <f>E2274</f>
        <v>139.18</v>
      </c>
      <c r="F2278" s="178">
        <v>2</v>
      </c>
      <c r="G2278" s="178">
        <v>1</v>
      </c>
      <c r="H2278" s="178"/>
      <c r="I2278" s="178"/>
      <c r="J2278" s="178"/>
      <c r="K2278" s="178"/>
      <c r="L2278" s="178"/>
      <c r="M2278" s="178">
        <f>ROUND(E2278/200,0)</f>
        <v>1</v>
      </c>
      <c r="N2278" s="200">
        <f>M2278*G2278*F2278</f>
        <v>2</v>
      </c>
      <c r="O2278" s="178"/>
      <c r="P2278" s="231"/>
      <c r="Q2278" s="224"/>
    </row>
    <row r="2279" spans="1:17" s="225" customFormat="1" ht="10.5" x14ac:dyDescent="0.25">
      <c r="A2279" s="229"/>
      <c r="B2279" s="230"/>
      <c r="C2279" s="177"/>
      <c r="D2279" s="178"/>
      <c r="E2279" s="178"/>
      <c r="F2279" s="178"/>
      <c r="G2279" s="178"/>
      <c r="H2279" s="178"/>
      <c r="I2279" s="178"/>
      <c r="J2279" s="178"/>
      <c r="K2279" s="178"/>
      <c r="L2279" s="178"/>
      <c r="M2279" s="178"/>
      <c r="N2279" s="200"/>
      <c r="O2279" s="178"/>
      <c r="P2279" s="231"/>
      <c r="Q2279" s="224"/>
    </row>
    <row r="2280" spans="1:17" s="225" customFormat="1" ht="10.5" x14ac:dyDescent="0.25">
      <c r="A2280" s="229"/>
      <c r="B2280" s="232" t="s">
        <v>5</v>
      </c>
      <c r="C2280" s="182" t="s">
        <v>1328</v>
      </c>
      <c r="D2280" s="182"/>
      <c r="E2280" s="177"/>
      <c r="F2280" s="182"/>
      <c r="G2280" s="182"/>
      <c r="H2280" s="182"/>
      <c r="I2280" s="182"/>
      <c r="J2280" s="182"/>
      <c r="K2280" s="178"/>
      <c r="L2280" s="182"/>
      <c r="M2280" s="182"/>
      <c r="N2280" s="177">
        <f>SUM(N2278:N2278)</f>
        <v>2</v>
      </c>
      <c r="O2280" s="177"/>
      <c r="P2280" s="233"/>
      <c r="Q2280" s="224"/>
    </row>
    <row r="2281" spans="1:17" s="228" customFormat="1" ht="21" x14ac:dyDescent="0.25">
      <c r="A2281" s="226" t="str">
        <f>ORÇAMENTO!A447</f>
        <v>5.1.2.6.3</v>
      </c>
      <c r="B2281" s="227" t="str">
        <f>VLOOKUP(A2281,ORÇAMENTO!A:K,4,0)</f>
        <v>TELA TAPUME, COR LARANJA, COM SUPORTE A CADA 2M (FORNECIMENTO E INSTALAÇÃO)</v>
      </c>
      <c r="C2281" s="173" t="str">
        <f>VLOOKUP(A2281,ORÇAMENTO!A:K,5,0)</f>
        <v>M</v>
      </c>
      <c r="D2281" s="173">
        <f>ROUND(SUM(E2284:O2284),2)</f>
        <v>278.36</v>
      </c>
      <c r="E2281" s="173" t="s">
        <v>1718</v>
      </c>
      <c r="F2281" s="173" t="s">
        <v>1719</v>
      </c>
      <c r="G2281" s="173" t="s">
        <v>1720</v>
      </c>
      <c r="H2281" s="173" t="s">
        <v>1721</v>
      </c>
      <c r="I2281" s="173" t="s">
        <v>1722</v>
      </c>
      <c r="J2281" s="173" t="s">
        <v>1723</v>
      </c>
      <c r="K2281" s="173" t="s">
        <v>1724</v>
      </c>
      <c r="L2281" s="173" t="s">
        <v>1804</v>
      </c>
      <c r="M2281" s="173" t="s">
        <v>1726</v>
      </c>
      <c r="N2281" s="173" t="s">
        <v>1727</v>
      </c>
      <c r="O2281" s="173" t="s">
        <v>1728</v>
      </c>
      <c r="P2281" s="224"/>
      <c r="Q2281" s="224"/>
    </row>
    <row r="2282" spans="1:17" s="225" customFormat="1" ht="10.5" x14ac:dyDescent="0.25">
      <c r="A2282" s="229"/>
      <c r="B2282" s="230" t="s">
        <v>1737</v>
      </c>
      <c r="C2282" s="177"/>
      <c r="D2282" s="178"/>
      <c r="E2282" s="178">
        <f>2*E2278</f>
        <v>278.36</v>
      </c>
      <c r="F2282" s="178"/>
      <c r="G2282" s="178"/>
      <c r="H2282" s="178"/>
      <c r="I2282" s="178"/>
      <c r="J2282" s="178"/>
      <c r="K2282" s="178"/>
      <c r="L2282" s="178"/>
      <c r="M2282" s="178"/>
      <c r="N2282" s="200"/>
      <c r="O2282" s="178"/>
      <c r="P2282" s="231"/>
      <c r="Q2282" s="224"/>
    </row>
    <row r="2283" spans="1:17" s="225" customFormat="1" ht="10.5" x14ac:dyDescent="0.25">
      <c r="A2283" s="229"/>
      <c r="B2283" s="230"/>
      <c r="C2283" s="177"/>
      <c r="D2283" s="178"/>
      <c r="E2283" s="178"/>
      <c r="F2283" s="178"/>
      <c r="G2283" s="178"/>
      <c r="H2283" s="178"/>
      <c r="I2283" s="178"/>
      <c r="J2283" s="178"/>
      <c r="K2283" s="178"/>
      <c r="L2283" s="178"/>
      <c r="M2283" s="178"/>
      <c r="N2283" s="200"/>
      <c r="O2283" s="178"/>
      <c r="P2283" s="231"/>
      <c r="Q2283" s="224"/>
    </row>
    <row r="2284" spans="1:17" s="225" customFormat="1" ht="10.5" x14ac:dyDescent="0.25">
      <c r="A2284" s="229"/>
      <c r="B2284" s="232" t="s">
        <v>5</v>
      </c>
      <c r="C2284" s="182" t="s">
        <v>1328</v>
      </c>
      <c r="D2284" s="182"/>
      <c r="E2284" s="177">
        <f>SUM(E2282:E2282)</f>
        <v>278.36</v>
      </c>
      <c r="F2284" s="182"/>
      <c r="G2284" s="182"/>
      <c r="H2284" s="182"/>
      <c r="I2284" s="182"/>
      <c r="J2284" s="182"/>
      <c r="K2284" s="178"/>
      <c r="L2284" s="182"/>
      <c r="M2284" s="182"/>
      <c r="N2284" s="177"/>
      <c r="O2284" s="177"/>
      <c r="P2284" s="233"/>
      <c r="Q2284" s="224"/>
    </row>
    <row r="2285" spans="1:17" s="228" customFormat="1" ht="31.5" x14ac:dyDescent="0.25">
      <c r="A2285" s="226" t="str">
        <f>ORÇAMENTO!A448</f>
        <v>5.1.2.6.4</v>
      </c>
      <c r="B2285" s="227" t="str">
        <f>VLOOKUP(A2285,ORÇAMENTO!A:K,4,0)</f>
        <v>PLACA DE SINALIZAÇÃO E ADVERTÊNCIA EM CHAPA DE AÇO GALVANIZADA Nº 16 (FORNECIMENTO E FIXAÇÃO)</v>
      </c>
      <c r="C2285" s="173" t="str">
        <f>VLOOKUP(A2285,ORÇAMENTO!A:K,5,0)</f>
        <v>UN</v>
      </c>
      <c r="D2285" s="173">
        <f>ROUND(SUM(E2288:O2288),2)</f>
        <v>3</v>
      </c>
      <c r="E2285" s="173" t="s">
        <v>1718</v>
      </c>
      <c r="F2285" s="173" t="s">
        <v>1719</v>
      </c>
      <c r="G2285" s="173" t="s">
        <v>1720</v>
      </c>
      <c r="H2285" s="173" t="s">
        <v>1721</v>
      </c>
      <c r="I2285" s="173" t="s">
        <v>1722</v>
      </c>
      <c r="J2285" s="173" t="s">
        <v>1723</v>
      </c>
      <c r="K2285" s="173" t="s">
        <v>1724</v>
      </c>
      <c r="L2285" s="173" t="s">
        <v>1804</v>
      </c>
      <c r="M2285" s="173" t="s">
        <v>1726</v>
      </c>
      <c r="N2285" s="173" t="s">
        <v>1727</v>
      </c>
      <c r="O2285" s="173" t="s">
        <v>1728</v>
      </c>
      <c r="P2285" s="224"/>
      <c r="Q2285" s="224"/>
    </row>
    <row r="2286" spans="1:17" s="225" customFormat="1" ht="10.5" x14ac:dyDescent="0.25">
      <c r="A2286" s="229"/>
      <c r="B2286" s="230" t="s">
        <v>1807</v>
      </c>
      <c r="C2286" s="177"/>
      <c r="D2286" s="178"/>
      <c r="E2286" s="178">
        <f>E2282</f>
        <v>278.36</v>
      </c>
      <c r="F2286" s="178"/>
      <c r="G2286" s="178"/>
      <c r="H2286" s="178"/>
      <c r="I2286" s="178"/>
      <c r="J2286" s="178"/>
      <c r="K2286" s="178"/>
      <c r="L2286" s="178"/>
      <c r="M2286" s="178">
        <f>ROUND(E2286/100,0)</f>
        <v>3</v>
      </c>
      <c r="N2286" s="200"/>
      <c r="O2286" s="178"/>
      <c r="P2286" s="231"/>
      <c r="Q2286" s="224"/>
    </row>
    <row r="2287" spans="1:17" s="225" customFormat="1" ht="10.5" x14ac:dyDescent="0.25">
      <c r="A2287" s="229"/>
      <c r="B2287" s="230"/>
      <c r="C2287" s="177"/>
      <c r="D2287" s="178"/>
      <c r="E2287" s="178"/>
      <c r="F2287" s="178"/>
      <c r="G2287" s="178"/>
      <c r="H2287" s="178"/>
      <c r="I2287" s="178"/>
      <c r="J2287" s="178"/>
      <c r="K2287" s="178"/>
      <c r="L2287" s="178"/>
      <c r="M2287" s="178"/>
      <c r="N2287" s="200"/>
      <c r="O2287" s="178"/>
      <c r="P2287" s="231"/>
      <c r="Q2287" s="224"/>
    </row>
    <row r="2288" spans="1:17" s="225" customFormat="1" ht="10.5" x14ac:dyDescent="0.25">
      <c r="A2288" s="229"/>
      <c r="B2288" s="232" t="s">
        <v>5</v>
      </c>
      <c r="C2288" s="182" t="s">
        <v>1328</v>
      </c>
      <c r="D2288" s="182"/>
      <c r="E2288" s="177"/>
      <c r="F2288" s="182"/>
      <c r="G2288" s="182"/>
      <c r="H2288" s="182"/>
      <c r="I2288" s="182"/>
      <c r="J2288" s="182"/>
      <c r="K2288" s="178"/>
      <c r="L2288" s="182"/>
      <c r="M2288" s="177">
        <f>SUM(M2286:M2286)</f>
        <v>3</v>
      </c>
      <c r="N2288" s="177"/>
      <c r="O2288" s="177"/>
      <c r="P2288" s="233"/>
      <c r="Q2288" s="224"/>
    </row>
    <row r="2289" spans="1:17" s="228" customFormat="1" ht="21" x14ac:dyDescent="0.25">
      <c r="A2289" s="226" t="str">
        <f>ORÇAMENTO!A449</f>
        <v>5.1.2.6.5</v>
      </c>
      <c r="B2289" s="227" t="str">
        <f>VLOOKUP(A2289,ORÇAMENTO!A:K,4,0)</f>
        <v>SINALIZADOR ELETRÔNICO</v>
      </c>
      <c r="C2289" s="173" t="str">
        <f>VLOOKUP(A2289,ORÇAMENTO!A:K,5,0)</f>
        <v>UN</v>
      </c>
      <c r="D2289" s="173">
        <f>ROUND(SUM(E2292:O2292),2)</f>
        <v>3</v>
      </c>
      <c r="E2289" s="173" t="s">
        <v>1718</v>
      </c>
      <c r="F2289" s="173" t="s">
        <v>1719</v>
      </c>
      <c r="G2289" s="173" t="s">
        <v>1720</v>
      </c>
      <c r="H2289" s="173" t="s">
        <v>1721</v>
      </c>
      <c r="I2289" s="173" t="s">
        <v>1722</v>
      </c>
      <c r="J2289" s="173" t="s">
        <v>1723</v>
      </c>
      <c r="K2289" s="173" t="s">
        <v>1724</v>
      </c>
      <c r="L2289" s="173" t="s">
        <v>1804</v>
      </c>
      <c r="M2289" s="173" t="s">
        <v>1726</v>
      </c>
      <c r="N2289" s="173" t="s">
        <v>1727</v>
      </c>
      <c r="O2289" s="173" t="s">
        <v>1728</v>
      </c>
      <c r="P2289" s="224"/>
      <c r="Q2289" s="224"/>
    </row>
    <row r="2290" spans="1:17" s="225" customFormat="1" ht="21" x14ac:dyDescent="0.25">
      <c r="A2290" s="229"/>
      <c r="B2290" s="230" t="s">
        <v>1738</v>
      </c>
      <c r="C2290" s="177"/>
      <c r="D2290" s="178"/>
      <c r="E2290" s="178">
        <f>E2278</f>
        <v>139.18</v>
      </c>
      <c r="F2290" s="178"/>
      <c r="G2290" s="178"/>
      <c r="H2290" s="178"/>
      <c r="I2290" s="178"/>
      <c r="J2290" s="178"/>
      <c r="K2290" s="178"/>
      <c r="L2290" s="178"/>
      <c r="M2290" s="178">
        <f>ROUND(E2290*0.2/10,0)</f>
        <v>3</v>
      </c>
      <c r="N2290" s="200"/>
      <c r="O2290" s="178"/>
      <c r="P2290" s="231"/>
      <c r="Q2290" s="224"/>
    </row>
    <row r="2291" spans="1:17" s="225" customFormat="1" ht="10.5" x14ac:dyDescent="0.25">
      <c r="A2291" s="229"/>
      <c r="B2291" s="230"/>
      <c r="C2291" s="177"/>
      <c r="D2291" s="178"/>
      <c r="E2291" s="178"/>
      <c r="F2291" s="178"/>
      <c r="G2291" s="178"/>
      <c r="H2291" s="178"/>
      <c r="I2291" s="178"/>
      <c r="J2291" s="178"/>
      <c r="K2291" s="178"/>
      <c r="L2291" s="178"/>
      <c r="M2291" s="178"/>
      <c r="N2291" s="200"/>
      <c r="O2291" s="178"/>
      <c r="P2291" s="231"/>
      <c r="Q2291" s="224"/>
    </row>
    <row r="2292" spans="1:17" s="225" customFormat="1" ht="10.5" x14ac:dyDescent="0.25">
      <c r="A2292" s="229"/>
      <c r="B2292" s="232" t="s">
        <v>5</v>
      </c>
      <c r="C2292" s="182" t="s">
        <v>1328</v>
      </c>
      <c r="D2292" s="182"/>
      <c r="E2292" s="177"/>
      <c r="F2292" s="182"/>
      <c r="G2292" s="182"/>
      <c r="H2292" s="182"/>
      <c r="I2292" s="182"/>
      <c r="J2292" s="182"/>
      <c r="K2292" s="178"/>
      <c r="L2292" s="182"/>
      <c r="M2292" s="177">
        <f>SUM(M2290:M2290)</f>
        <v>3</v>
      </c>
      <c r="N2292" s="177"/>
      <c r="O2292" s="177"/>
      <c r="P2292" s="233"/>
      <c r="Q2292" s="224"/>
    </row>
    <row r="2293" spans="1:17" s="228" customFormat="1" ht="21" x14ac:dyDescent="0.25">
      <c r="A2293" s="226" t="str">
        <f>ORÇAMENTO!A450</f>
        <v>5.1.2.6.6</v>
      </c>
      <c r="B2293" s="227" t="str">
        <f>VLOOKUP(A2293,ORÇAMENTO!A:K,4,0)</f>
        <v>ESCADA DE MADEIRA PARA OBRA, EM TÁBUA DE CONSTRUÇÃO, LARGURA 1,00M</v>
      </c>
      <c r="C2293" s="173" t="str">
        <f>VLOOKUP(A2293,ORÇAMENTO!A:K,5,0)</f>
        <v>M</v>
      </c>
      <c r="D2293" s="173">
        <f>ROUND(SUM(E2296:O2296),2)</f>
        <v>51.3</v>
      </c>
      <c r="E2293" s="173" t="s">
        <v>1718</v>
      </c>
      <c r="F2293" s="173" t="s">
        <v>1719</v>
      </c>
      <c r="G2293" s="173" t="s">
        <v>1720</v>
      </c>
      <c r="H2293" s="173" t="s">
        <v>1721</v>
      </c>
      <c r="I2293" s="173" t="s">
        <v>1722</v>
      </c>
      <c r="J2293" s="173" t="s">
        <v>1723</v>
      </c>
      <c r="K2293" s="173" t="s">
        <v>1724</v>
      </c>
      <c r="L2293" s="173" t="s">
        <v>1804</v>
      </c>
      <c r="M2293" s="173" t="s">
        <v>1726</v>
      </c>
      <c r="N2293" s="173" t="s">
        <v>1727</v>
      </c>
      <c r="O2293" s="173" t="s">
        <v>1728</v>
      </c>
      <c r="P2293" s="224"/>
      <c r="Q2293" s="224"/>
    </row>
    <row r="2294" spans="1:17" s="225" customFormat="1" ht="63" x14ac:dyDescent="0.25">
      <c r="A2294" s="229"/>
      <c r="B2294" s="230" t="s">
        <v>1741</v>
      </c>
      <c r="C2294" s="177"/>
      <c r="D2294" s="178"/>
      <c r="E2294" s="178"/>
      <c r="F2294" s="178"/>
      <c r="G2294" s="178">
        <f>QUANTBL!J183</f>
        <v>51.300066090999891</v>
      </c>
      <c r="H2294" s="178"/>
      <c r="I2294" s="178"/>
      <c r="J2294" s="178"/>
      <c r="K2294" s="178"/>
      <c r="L2294" s="178"/>
      <c r="M2294" s="178"/>
      <c r="N2294" s="200"/>
      <c r="O2294" s="178"/>
      <c r="P2294" s="231"/>
      <c r="Q2294" s="224"/>
    </row>
    <row r="2295" spans="1:17" s="225" customFormat="1" ht="10.5" x14ac:dyDescent="0.25">
      <c r="A2295" s="229"/>
      <c r="B2295" s="230"/>
      <c r="C2295" s="177"/>
      <c r="D2295" s="178"/>
      <c r="E2295" s="178"/>
      <c r="F2295" s="178"/>
      <c r="G2295" s="178"/>
      <c r="H2295" s="178"/>
      <c r="I2295" s="178"/>
      <c r="J2295" s="178"/>
      <c r="K2295" s="178"/>
      <c r="L2295" s="178"/>
      <c r="M2295" s="178"/>
      <c r="N2295" s="200"/>
      <c r="O2295" s="178"/>
      <c r="P2295" s="231"/>
      <c r="Q2295" s="224"/>
    </row>
    <row r="2296" spans="1:17" s="225" customFormat="1" ht="10.5" x14ac:dyDescent="0.25">
      <c r="A2296" s="229"/>
      <c r="B2296" s="232" t="s">
        <v>5</v>
      </c>
      <c r="C2296" s="182" t="s">
        <v>1328</v>
      </c>
      <c r="D2296" s="182"/>
      <c r="E2296" s="177"/>
      <c r="F2296" s="182"/>
      <c r="G2296" s="177">
        <f>SUM(G2294:G2294)</f>
        <v>51.300066090999891</v>
      </c>
      <c r="H2296" s="182"/>
      <c r="I2296" s="182"/>
      <c r="J2296" s="182"/>
      <c r="K2296" s="178"/>
      <c r="L2296" s="182"/>
      <c r="M2296" s="177"/>
      <c r="N2296" s="177"/>
      <c r="O2296" s="177"/>
      <c r="P2296" s="233"/>
      <c r="Q2296" s="224"/>
    </row>
    <row r="2297" spans="1:17" s="228" customFormat="1" ht="63" x14ac:dyDescent="0.25">
      <c r="A2297" s="226" t="str">
        <f>ORÇAMENTO!A451</f>
        <v>5.1.2.6.7</v>
      </c>
      <c r="B2297" s="227" t="str">
        <f>VLOOKUP(A2297,ORÇAMENTO!A:K,4,0)</f>
        <v>ESCAVAÇÃO MECANIZADA DE VALA COM PROF. ATÉ 1,5 M (MÉDIA MONTANTE E JUSANTE/UMA COMPOSIÇÃO POR TRECHO), ESCAVADEIRA (0,8 M3),LARG. MENOR QUE 1,5 M, EM SOLO DE MOLE, EM LOCAIS COM ALTO NÍVEL DE INTERFERÊNCIA. AF_09/2024</v>
      </c>
      <c r="C2297" s="173" t="str">
        <f>VLOOKUP(A2297,ORÇAMENTO!A:K,5,0)</f>
        <v>M³</v>
      </c>
      <c r="D2297" s="173">
        <f>ROUND(SUM(E2302:O2302),2)</f>
        <v>40.44</v>
      </c>
      <c r="E2297" s="173" t="s">
        <v>1718</v>
      </c>
      <c r="F2297" s="173" t="s">
        <v>1719</v>
      </c>
      <c r="G2297" s="173" t="s">
        <v>1720</v>
      </c>
      <c r="H2297" s="173" t="s">
        <v>1721</v>
      </c>
      <c r="I2297" s="173" t="s">
        <v>1722</v>
      </c>
      <c r="J2297" s="173" t="s">
        <v>1723</v>
      </c>
      <c r="K2297" s="173" t="s">
        <v>1724</v>
      </c>
      <c r="L2297" s="173" t="s">
        <v>1804</v>
      </c>
      <c r="M2297" s="173" t="s">
        <v>1726</v>
      </c>
      <c r="N2297" s="173" t="s">
        <v>1809</v>
      </c>
      <c r="O2297" s="173" t="s">
        <v>1728</v>
      </c>
      <c r="P2297" s="224"/>
      <c r="Q2297" s="224"/>
    </row>
    <row r="2298" spans="1:17" s="225" customFormat="1" ht="10.5" x14ac:dyDescent="0.25">
      <c r="A2298" s="229"/>
      <c r="B2298" s="230"/>
      <c r="C2298" s="177"/>
      <c r="D2298" s="178"/>
      <c r="E2298" s="178"/>
      <c r="F2298" s="178"/>
      <c r="G2298" s="178"/>
      <c r="H2298" s="178"/>
      <c r="I2298" s="178"/>
      <c r="J2298" s="178"/>
      <c r="K2298" s="178"/>
      <c r="L2298" s="178"/>
      <c r="M2298" s="178"/>
      <c r="N2298" s="200"/>
      <c r="O2298" s="178"/>
      <c r="P2298" s="231"/>
      <c r="Q2298" s="224"/>
    </row>
    <row r="2299" spans="1:17" s="225" customFormat="1" ht="21" x14ac:dyDescent="0.25">
      <c r="A2299" s="229"/>
      <c r="B2299" s="230" t="s">
        <v>1808</v>
      </c>
      <c r="C2299" s="177"/>
      <c r="D2299" s="178"/>
      <c r="E2299" s="178"/>
      <c r="F2299" s="178"/>
      <c r="G2299" s="178"/>
      <c r="H2299" s="178"/>
      <c r="I2299" s="178"/>
      <c r="J2299" s="178"/>
      <c r="K2299" s="178"/>
      <c r="L2299" s="178"/>
      <c r="M2299" s="178"/>
      <c r="N2299" s="200"/>
      <c r="O2299" s="178">
        <f>QUANTBL!AC183</f>
        <v>40.44</v>
      </c>
      <c r="P2299" s="231"/>
      <c r="Q2299" s="224"/>
    </row>
    <row r="2300" spans="1:17" s="225" customFormat="1" ht="10.5" x14ac:dyDescent="0.25">
      <c r="A2300" s="229"/>
      <c r="B2300" s="230"/>
      <c r="C2300" s="177"/>
      <c r="D2300" s="178"/>
      <c r="E2300" s="178"/>
      <c r="F2300" s="178"/>
      <c r="G2300" s="178"/>
      <c r="H2300" s="178"/>
      <c r="I2300" s="178"/>
      <c r="J2300" s="178"/>
      <c r="K2300" s="178"/>
      <c r="L2300" s="178"/>
      <c r="M2300" s="178"/>
      <c r="N2300" s="200"/>
      <c r="O2300" s="178"/>
      <c r="P2300" s="231"/>
      <c r="Q2300" s="224"/>
    </row>
    <row r="2301" spans="1:17" s="225" customFormat="1" ht="10.5" x14ac:dyDescent="0.25">
      <c r="A2301" s="229"/>
      <c r="B2301" s="230"/>
      <c r="C2301" s="177"/>
      <c r="D2301" s="178"/>
      <c r="E2301" s="178"/>
      <c r="F2301" s="178"/>
      <c r="G2301" s="178"/>
      <c r="H2301" s="178"/>
      <c r="I2301" s="178"/>
      <c r="J2301" s="178"/>
      <c r="K2301" s="178"/>
      <c r="L2301" s="178"/>
      <c r="M2301" s="178"/>
      <c r="N2301" s="200"/>
      <c r="O2301" s="178"/>
      <c r="P2301" s="231"/>
      <c r="Q2301" s="224"/>
    </row>
    <row r="2302" spans="1:17" s="225" customFormat="1" ht="10.5" x14ac:dyDescent="0.25">
      <c r="A2302" s="229"/>
      <c r="B2302" s="232" t="s">
        <v>5</v>
      </c>
      <c r="C2302" s="182" t="s">
        <v>1328</v>
      </c>
      <c r="D2302" s="182"/>
      <c r="E2302" s="182"/>
      <c r="F2302" s="182"/>
      <c r="G2302" s="182"/>
      <c r="H2302" s="182"/>
      <c r="I2302" s="182"/>
      <c r="J2302" s="182"/>
      <c r="K2302" s="178"/>
      <c r="L2302" s="182"/>
      <c r="M2302" s="182"/>
      <c r="N2302" s="177"/>
      <c r="O2302" s="177">
        <f>SUM(O2298:O2301)</f>
        <v>40.44</v>
      </c>
      <c r="P2302" s="233"/>
      <c r="Q2302" s="224"/>
    </row>
    <row r="2303" spans="1:17" s="228" customFormat="1" ht="63" x14ac:dyDescent="0.25">
      <c r="A2303" s="226" t="str">
        <f>ORÇAMENTO!A452</f>
        <v>5.1.2.6.8</v>
      </c>
      <c r="B2303" s="227" t="str">
        <f>VLOOKUP(A2303,ORÇAMENTO!A:K,4,0)</f>
        <v>ESCAVAÇÃO MECANIZADA DE VALA COM PROF. MAIOR QUE 1,5 M ATÉ 3,0 M (MÉDIA MONTANTE E JUSANTE/UMA COMPOSIÇÃO POR TRECHO), ESCAVADEIRA (0,8 M3), LARGURA ATÉ 1,5 M, EM SOLO MOLE, EM LOCAIS COM ALTO NÍVEL DE INTERFERÊNCIA. AF_09/2024</v>
      </c>
      <c r="C2303" s="173" t="str">
        <f>VLOOKUP(A2303,ORÇAMENTO!A:K,5,0)</f>
        <v>M³</v>
      </c>
      <c r="D2303" s="173">
        <f>ROUND(SUM(E2308:O2308),2)</f>
        <v>31.49</v>
      </c>
      <c r="E2303" s="173" t="s">
        <v>1718</v>
      </c>
      <c r="F2303" s="173" t="s">
        <v>1719</v>
      </c>
      <c r="G2303" s="173" t="s">
        <v>1720</v>
      </c>
      <c r="H2303" s="173" t="s">
        <v>1721</v>
      </c>
      <c r="I2303" s="173" t="s">
        <v>1722</v>
      </c>
      <c r="J2303" s="173" t="s">
        <v>1723</v>
      </c>
      <c r="K2303" s="173" t="s">
        <v>1724</v>
      </c>
      <c r="L2303" s="173" t="s">
        <v>1804</v>
      </c>
      <c r="M2303" s="173" t="s">
        <v>1726</v>
      </c>
      <c r="N2303" s="173" t="s">
        <v>1809</v>
      </c>
      <c r="O2303" s="173" t="s">
        <v>1728</v>
      </c>
      <c r="P2303" s="224"/>
      <c r="Q2303" s="224"/>
    </row>
    <row r="2304" spans="1:17" s="225" customFormat="1" ht="10.5" x14ac:dyDescent="0.25">
      <c r="A2304" s="229"/>
      <c r="B2304" s="230"/>
      <c r="C2304" s="177"/>
      <c r="D2304" s="178"/>
      <c r="E2304" s="178"/>
      <c r="F2304" s="178"/>
      <c r="G2304" s="178"/>
      <c r="H2304" s="178"/>
      <c r="I2304" s="178"/>
      <c r="J2304" s="178"/>
      <c r="K2304" s="178"/>
      <c r="L2304" s="178"/>
      <c r="M2304" s="178"/>
      <c r="N2304" s="200"/>
      <c r="O2304" s="178"/>
      <c r="P2304" s="231"/>
      <c r="Q2304" s="224"/>
    </row>
    <row r="2305" spans="1:17" s="225" customFormat="1" ht="21" x14ac:dyDescent="0.25">
      <c r="A2305" s="229"/>
      <c r="B2305" s="230" t="s">
        <v>1808</v>
      </c>
      <c r="C2305" s="177"/>
      <c r="D2305" s="178"/>
      <c r="E2305" s="178"/>
      <c r="F2305" s="178"/>
      <c r="G2305" s="178"/>
      <c r="H2305" s="178"/>
      <c r="I2305" s="178"/>
      <c r="J2305" s="178"/>
      <c r="K2305" s="178"/>
      <c r="L2305" s="178"/>
      <c r="M2305" s="178"/>
      <c r="N2305" s="200"/>
      <c r="O2305" s="178">
        <f>QUANTBL!AD183</f>
        <v>31.490201999999996</v>
      </c>
      <c r="P2305" s="231"/>
      <c r="Q2305" s="224"/>
    </row>
    <row r="2306" spans="1:17" s="225" customFormat="1" ht="10.5" x14ac:dyDescent="0.25">
      <c r="A2306" s="229"/>
      <c r="B2306" s="230"/>
      <c r="C2306" s="177"/>
      <c r="D2306" s="178"/>
      <c r="E2306" s="178"/>
      <c r="F2306" s="178"/>
      <c r="G2306" s="178"/>
      <c r="H2306" s="178"/>
      <c r="I2306" s="178"/>
      <c r="J2306" s="178"/>
      <c r="K2306" s="178"/>
      <c r="L2306" s="178"/>
      <c r="M2306" s="178"/>
      <c r="N2306" s="200"/>
      <c r="O2306" s="178"/>
      <c r="P2306" s="231"/>
      <c r="Q2306" s="224"/>
    </row>
    <row r="2307" spans="1:17" s="225" customFormat="1" ht="10.5" x14ac:dyDescent="0.25">
      <c r="A2307" s="229"/>
      <c r="B2307" s="230"/>
      <c r="C2307" s="177"/>
      <c r="D2307" s="178"/>
      <c r="E2307" s="178"/>
      <c r="F2307" s="178"/>
      <c r="G2307" s="178"/>
      <c r="H2307" s="178"/>
      <c r="I2307" s="178"/>
      <c r="J2307" s="178"/>
      <c r="K2307" s="178"/>
      <c r="L2307" s="178"/>
      <c r="M2307" s="178"/>
      <c r="N2307" s="200"/>
      <c r="O2307" s="178"/>
      <c r="P2307" s="231"/>
      <c r="Q2307" s="224"/>
    </row>
    <row r="2308" spans="1:17" s="225" customFormat="1" ht="10.5" x14ac:dyDescent="0.25">
      <c r="A2308" s="229"/>
      <c r="B2308" s="232" t="s">
        <v>5</v>
      </c>
      <c r="C2308" s="182" t="s">
        <v>1328</v>
      </c>
      <c r="D2308" s="182"/>
      <c r="E2308" s="182"/>
      <c r="F2308" s="182"/>
      <c r="G2308" s="182"/>
      <c r="H2308" s="182"/>
      <c r="I2308" s="182"/>
      <c r="J2308" s="182"/>
      <c r="K2308" s="178"/>
      <c r="L2308" s="182"/>
      <c r="M2308" s="182"/>
      <c r="N2308" s="177"/>
      <c r="O2308" s="177">
        <f>SUM(O2305:O2307)</f>
        <v>31.490201999999996</v>
      </c>
      <c r="P2308" s="233"/>
      <c r="Q2308" s="224"/>
    </row>
    <row r="2309" spans="1:17" s="228" customFormat="1" ht="63" x14ac:dyDescent="0.25">
      <c r="A2309" s="226" t="str">
        <f>ORÇAMENTO!A453</f>
        <v>5.1.2.6.9</v>
      </c>
      <c r="B2309" s="227" t="str">
        <f>VLOOKUP(A2309,ORÇAMENTO!A:K,4,0)</f>
        <v>ESCAVAÇÃO MECANIZADA DE VALA COM PROF. MAIOR QUE 3,0 M ATÉ 4,5 M (MÉDIA MONTANTE E JUSANTE/UMA COMPOSIÇÃO POR TRECHO), ESCAVADEIRA (0,8 M3), LARG. MENOR QUE 1,5 M, EM SOLO MOLE, EM LOCAIS COM ALTO NÍVEL DE INTERFERÊNCIA. AF_09/2024</v>
      </c>
      <c r="C2309" s="173" t="str">
        <f>VLOOKUP(A2309,ORÇAMENTO!A:K,5,0)</f>
        <v>M³</v>
      </c>
      <c r="D2309" s="173">
        <f>ROUND(SUM(E2314:O2314),2)</f>
        <v>8.86</v>
      </c>
      <c r="E2309" s="173" t="s">
        <v>1718</v>
      </c>
      <c r="F2309" s="173" t="s">
        <v>1719</v>
      </c>
      <c r="G2309" s="173" t="s">
        <v>1720</v>
      </c>
      <c r="H2309" s="173" t="s">
        <v>1721</v>
      </c>
      <c r="I2309" s="173" t="s">
        <v>1722</v>
      </c>
      <c r="J2309" s="173" t="s">
        <v>1723</v>
      </c>
      <c r="K2309" s="173" t="s">
        <v>1724</v>
      </c>
      <c r="L2309" s="173" t="s">
        <v>1804</v>
      </c>
      <c r="M2309" s="173" t="s">
        <v>1726</v>
      </c>
      <c r="N2309" s="173" t="s">
        <v>1809</v>
      </c>
      <c r="O2309" s="173" t="s">
        <v>1728</v>
      </c>
      <c r="P2309" s="224"/>
      <c r="Q2309" s="224"/>
    </row>
    <row r="2310" spans="1:17" s="225" customFormat="1" ht="10.5" x14ac:dyDescent="0.25">
      <c r="A2310" s="229"/>
      <c r="B2310" s="230"/>
      <c r="C2310" s="177"/>
      <c r="D2310" s="178"/>
      <c r="E2310" s="178"/>
      <c r="F2310" s="178"/>
      <c r="G2310" s="178"/>
      <c r="H2310" s="178"/>
      <c r="I2310" s="178"/>
      <c r="J2310" s="178"/>
      <c r="K2310" s="178"/>
      <c r="L2310" s="178"/>
      <c r="M2310" s="178"/>
      <c r="N2310" s="200"/>
      <c r="O2310" s="178"/>
      <c r="P2310" s="231"/>
      <c r="Q2310" s="224"/>
    </row>
    <row r="2311" spans="1:17" s="225" customFormat="1" ht="21" x14ac:dyDescent="0.25">
      <c r="A2311" s="229"/>
      <c r="B2311" s="230" t="s">
        <v>1808</v>
      </c>
      <c r="C2311" s="177"/>
      <c r="D2311" s="178"/>
      <c r="E2311" s="178"/>
      <c r="F2311" s="178"/>
      <c r="G2311" s="178"/>
      <c r="H2311" s="178"/>
      <c r="I2311" s="178"/>
      <c r="J2311" s="178"/>
      <c r="K2311" s="178"/>
      <c r="L2311" s="178"/>
      <c r="M2311" s="178"/>
      <c r="N2311" s="200"/>
      <c r="O2311" s="178">
        <f>QUANTBL!AE183</f>
        <v>8.8637999999999977</v>
      </c>
      <c r="P2311" s="231"/>
      <c r="Q2311" s="224"/>
    </row>
    <row r="2312" spans="1:17" s="225" customFormat="1" ht="10.5" x14ac:dyDescent="0.25">
      <c r="A2312" s="229"/>
      <c r="B2312" s="230"/>
      <c r="C2312" s="177"/>
      <c r="D2312" s="178"/>
      <c r="E2312" s="178"/>
      <c r="F2312" s="178"/>
      <c r="G2312" s="178"/>
      <c r="H2312" s="178"/>
      <c r="I2312" s="178"/>
      <c r="J2312" s="178"/>
      <c r="K2312" s="178"/>
      <c r="L2312" s="178"/>
      <c r="M2312" s="178"/>
      <c r="N2312" s="200"/>
      <c r="O2312" s="178"/>
      <c r="P2312" s="231"/>
      <c r="Q2312" s="224"/>
    </row>
    <row r="2313" spans="1:17" s="225" customFormat="1" ht="10.5" x14ac:dyDescent="0.25">
      <c r="A2313" s="229"/>
      <c r="B2313" s="230"/>
      <c r="C2313" s="177"/>
      <c r="D2313" s="178"/>
      <c r="E2313" s="178"/>
      <c r="F2313" s="178"/>
      <c r="G2313" s="178"/>
      <c r="H2313" s="178"/>
      <c r="I2313" s="178"/>
      <c r="J2313" s="178"/>
      <c r="K2313" s="178"/>
      <c r="L2313" s="178"/>
      <c r="M2313" s="178"/>
      <c r="N2313" s="200"/>
      <c r="O2313" s="178"/>
      <c r="P2313" s="231"/>
      <c r="Q2313" s="224"/>
    </row>
    <row r="2314" spans="1:17" s="225" customFormat="1" ht="10.5" x14ac:dyDescent="0.25">
      <c r="A2314" s="229"/>
      <c r="B2314" s="232" t="s">
        <v>5</v>
      </c>
      <c r="C2314" s="182" t="s">
        <v>1328</v>
      </c>
      <c r="D2314" s="182"/>
      <c r="E2314" s="182"/>
      <c r="F2314" s="182"/>
      <c r="G2314" s="182"/>
      <c r="H2314" s="182"/>
      <c r="I2314" s="182"/>
      <c r="J2314" s="182"/>
      <c r="K2314" s="178"/>
      <c r="L2314" s="182"/>
      <c r="M2314" s="182"/>
      <c r="N2314" s="177"/>
      <c r="O2314" s="177">
        <f>SUM(O2311)</f>
        <v>8.8637999999999977</v>
      </c>
      <c r="P2314" s="233"/>
      <c r="Q2314" s="224"/>
    </row>
    <row r="2315" spans="1:17" s="228" customFormat="1" ht="63" x14ac:dyDescent="0.25">
      <c r="A2315" s="226" t="str">
        <f>ORÇAMENTO!A454</f>
        <v>5.1.2.6.10</v>
      </c>
      <c r="B2315" s="227" t="str">
        <f>VLOOKUP(A2315,ORÇAMENTO!A:K,4,0)</f>
        <v>ESCAVAÇÃO MECANIZADA DE VALA COM PROF. ATÉ 1,5 M (MÉDIA MONTANTE E JUSANTE/UMA COMPOSIÇÃO POR TRECHO), ESCAVADEIRA (0,8 M3), LARG. DE 1,5 M A 2,5 M, EM SOLO MOLE, EM LOCAIS COM ALTO NÍVEL DE INTERFERÊNCIA. AF_09/2024</v>
      </c>
      <c r="C2315" s="173" t="str">
        <f>VLOOKUP(A2315,ORÇAMENTO!A:K,5,0)</f>
        <v>M³</v>
      </c>
      <c r="D2315" s="173">
        <f>ROUND(SUM(E2319:O2319),2)</f>
        <v>62.26</v>
      </c>
      <c r="E2315" s="173" t="s">
        <v>1718</v>
      </c>
      <c r="F2315" s="173" t="s">
        <v>1719</v>
      </c>
      <c r="G2315" s="173" t="s">
        <v>1720</v>
      </c>
      <c r="H2315" s="173" t="s">
        <v>1721</v>
      </c>
      <c r="I2315" s="173" t="s">
        <v>1722</v>
      </c>
      <c r="J2315" s="173" t="s">
        <v>1723</v>
      </c>
      <c r="K2315" s="173" t="s">
        <v>1724</v>
      </c>
      <c r="L2315" s="173" t="s">
        <v>1804</v>
      </c>
      <c r="M2315" s="173" t="s">
        <v>1726</v>
      </c>
      <c r="N2315" s="173" t="s">
        <v>1809</v>
      </c>
      <c r="O2315" s="173" t="s">
        <v>1728</v>
      </c>
      <c r="P2315" s="224"/>
      <c r="Q2315" s="224"/>
    </row>
    <row r="2316" spans="1:17" s="225" customFormat="1" ht="10.5" x14ac:dyDescent="0.25">
      <c r="A2316" s="229"/>
      <c r="B2316" s="230"/>
      <c r="C2316" s="177"/>
      <c r="D2316" s="178"/>
      <c r="E2316" s="178"/>
      <c r="F2316" s="178"/>
      <c r="G2316" s="178"/>
      <c r="H2316" s="178"/>
      <c r="I2316" s="178"/>
      <c r="J2316" s="178"/>
      <c r="K2316" s="178"/>
      <c r="L2316" s="178"/>
      <c r="M2316" s="178"/>
      <c r="N2316" s="200"/>
      <c r="O2316" s="178"/>
      <c r="P2316" s="231"/>
      <c r="Q2316" s="224"/>
    </row>
    <row r="2317" spans="1:17" s="225" customFormat="1" ht="10.5" x14ac:dyDescent="0.25">
      <c r="A2317" s="229"/>
      <c r="B2317" s="230" t="s">
        <v>1810</v>
      </c>
      <c r="C2317" s="177"/>
      <c r="D2317" s="178"/>
      <c r="E2317" s="178"/>
      <c r="F2317" s="178"/>
      <c r="G2317" s="178"/>
      <c r="H2317" s="178"/>
      <c r="I2317" s="178"/>
      <c r="J2317" s="178"/>
      <c r="K2317" s="178"/>
      <c r="L2317" s="178"/>
      <c r="M2317" s="178"/>
      <c r="N2317" s="200"/>
      <c r="O2317" s="178">
        <f>QUANTBL!CE183</f>
        <v>62.260799999999989</v>
      </c>
      <c r="P2317" s="231"/>
      <c r="Q2317" s="224"/>
    </row>
    <row r="2318" spans="1:17" s="225" customFormat="1" ht="10.5" x14ac:dyDescent="0.25">
      <c r="A2318" s="229"/>
      <c r="B2318" s="230"/>
      <c r="C2318" s="177"/>
      <c r="D2318" s="178"/>
      <c r="E2318" s="178"/>
      <c r="F2318" s="178"/>
      <c r="G2318" s="178"/>
      <c r="H2318" s="178"/>
      <c r="I2318" s="178"/>
      <c r="J2318" s="178"/>
      <c r="K2318" s="178"/>
      <c r="L2318" s="178"/>
      <c r="M2318" s="178"/>
      <c r="N2318" s="200"/>
      <c r="O2318" s="178"/>
      <c r="P2318" s="231"/>
      <c r="Q2318" s="224"/>
    </row>
    <row r="2319" spans="1:17" s="225" customFormat="1" ht="10.5" x14ac:dyDescent="0.25">
      <c r="A2319" s="229"/>
      <c r="B2319" s="232" t="s">
        <v>5</v>
      </c>
      <c r="C2319" s="182" t="s">
        <v>1328</v>
      </c>
      <c r="D2319" s="182"/>
      <c r="E2319" s="182"/>
      <c r="F2319" s="182"/>
      <c r="G2319" s="182"/>
      <c r="H2319" s="182"/>
      <c r="I2319" s="182"/>
      <c r="J2319" s="182"/>
      <c r="K2319" s="178"/>
      <c r="L2319" s="182"/>
      <c r="M2319" s="182"/>
      <c r="N2319" s="177"/>
      <c r="O2319" s="177">
        <f>SUM(O2316:O2318)</f>
        <v>62.260799999999989</v>
      </c>
      <c r="P2319" s="233"/>
      <c r="Q2319" s="224"/>
    </row>
    <row r="2320" spans="1:17" s="228" customFormat="1" ht="63" x14ac:dyDescent="0.25">
      <c r="A2320" s="226" t="str">
        <f>ORÇAMENTO!A455</f>
        <v>5.1.2.6.11</v>
      </c>
      <c r="B2320" s="227" t="str">
        <f>VLOOKUP(A2320,ORÇAMENTO!A:K,4,0)</f>
        <v>ESCAVAÇÃO MECANIZADA DE VALA COM PROF. MAIOR QUE 1,5 M ATÉ 3,0 M (MÉDIA MONTANTE E JUSANTE/UMA COMPOSIÇÃO POR TRECHO),COM ESCAVADEIRA (1,2 M3),LARG. DE 1,5 M A 2,5 M, EM SOLO MOLE, EM LOCAIS COM ALTO NÍVEL DE INTERFERÊNCIA. AF_09/2024</v>
      </c>
      <c r="C2320" s="173" t="str">
        <f>VLOOKUP(A2320,ORÇAMENTO!A:K,5,0)</f>
        <v>M³</v>
      </c>
      <c r="D2320" s="173">
        <f>ROUND(SUM(E2324:O2324),2)</f>
        <v>48.59</v>
      </c>
      <c r="E2320" s="173" t="s">
        <v>1718</v>
      </c>
      <c r="F2320" s="173" t="s">
        <v>1719</v>
      </c>
      <c r="G2320" s="173" t="s">
        <v>1720</v>
      </c>
      <c r="H2320" s="173" t="s">
        <v>1721</v>
      </c>
      <c r="I2320" s="173" t="s">
        <v>1722</v>
      </c>
      <c r="J2320" s="173" t="s">
        <v>1723</v>
      </c>
      <c r="K2320" s="173" t="s">
        <v>1724</v>
      </c>
      <c r="L2320" s="173" t="s">
        <v>1804</v>
      </c>
      <c r="M2320" s="173" t="s">
        <v>1726</v>
      </c>
      <c r="N2320" s="173" t="s">
        <v>1809</v>
      </c>
      <c r="O2320" s="173" t="s">
        <v>1728</v>
      </c>
      <c r="P2320" s="224"/>
      <c r="Q2320" s="224"/>
    </row>
    <row r="2321" spans="1:17" s="225" customFormat="1" ht="10.5" x14ac:dyDescent="0.25">
      <c r="A2321" s="229"/>
      <c r="B2321" s="230"/>
      <c r="C2321" s="177"/>
      <c r="D2321" s="178"/>
      <c r="E2321" s="178"/>
      <c r="F2321" s="178"/>
      <c r="G2321" s="178"/>
      <c r="H2321" s="178"/>
      <c r="I2321" s="178"/>
      <c r="J2321" s="178"/>
      <c r="K2321" s="178"/>
      <c r="L2321" s="178"/>
      <c r="M2321" s="178"/>
      <c r="N2321" s="200"/>
      <c r="O2321" s="178"/>
      <c r="P2321" s="231"/>
      <c r="Q2321" s="224"/>
    </row>
    <row r="2322" spans="1:17" s="225" customFormat="1" ht="10.5" x14ac:dyDescent="0.25">
      <c r="A2322" s="229"/>
      <c r="B2322" s="230" t="s">
        <v>1810</v>
      </c>
      <c r="C2322" s="177"/>
      <c r="D2322" s="178"/>
      <c r="E2322" s="178"/>
      <c r="F2322" s="178"/>
      <c r="G2322" s="178"/>
      <c r="H2322" s="178"/>
      <c r="I2322" s="178"/>
      <c r="J2322" s="178"/>
      <c r="K2322" s="178"/>
      <c r="L2322" s="178"/>
      <c r="M2322" s="178"/>
      <c r="N2322" s="200"/>
      <c r="O2322" s="178">
        <f>QUANTBL!CF183</f>
        <v>48.592479039999994</v>
      </c>
      <c r="P2322" s="231"/>
      <c r="Q2322" s="224"/>
    </row>
    <row r="2323" spans="1:17" s="225" customFormat="1" ht="10.5" x14ac:dyDescent="0.25">
      <c r="A2323" s="229"/>
      <c r="B2323" s="230"/>
      <c r="C2323" s="177"/>
      <c r="D2323" s="178"/>
      <c r="E2323" s="178"/>
      <c r="F2323" s="178"/>
      <c r="G2323" s="178"/>
      <c r="H2323" s="178"/>
      <c r="I2323" s="178"/>
      <c r="J2323" s="178"/>
      <c r="K2323" s="178"/>
      <c r="L2323" s="178"/>
      <c r="M2323" s="178"/>
      <c r="N2323" s="200"/>
      <c r="O2323" s="178"/>
      <c r="P2323" s="231"/>
      <c r="Q2323" s="224"/>
    </row>
    <row r="2324" spans="1:17" s="225" customFormat="1" ht="10.5" x14ac:dyDescent="0.25">
      <c r="A2324" s="229"/>
      <c r="B2324" s="232" t="s">
        <v>5</v>
      </c>
      <c r="C2324" s="182" t="s">
        <v>1328</v>
      </c>
      <c r="D2324" s="182"/>
      <c r="E2324" s="182"/>
      <c r="F2324" s="182"/>
      <c r="G2324" s="182"/>
      <c r="H2324" s="182"/>
      <c r="I2324" s="182"/>
      <c r="J2324" s="182"/>
      <c r="K2324" s="178"/>
      <c r="L2324" s="182"/>
      <c r="M2324" s="182"/>
      <c r="N2324" s="177"/>
      <c r="O2324" s="177">
        <f>SUM(O2321:O2323)</f>
        <v>48.592479039999994</v>
      </c>
      <c r="P2324" s="233"/>
      <c r="Q2324" s="224"/>
    </row>
    <row r="2325" spans="1:17" s="228" customFormat="1" ht="63" x14ac:dyDescent="0.25">
      <c r="A2325" s="226" t="str">
        <f>ORÇAMENTO!A456</f>
        <v>5.1.2.6.12</v>
      </c>
      <c r="B2325" s="227" t="str">
        <f>VLOOKUP(A2325,ORÇAMENTO!A:K,4,0)</f>
        <v>ESCAVAÇÃO MECANIZADA DE VALA COM PROF. ATÉ 1,5 M (MÉDIA MONTANTE E JUSANTE/UMA COMPOSIÇÃO POR TRECHO), ESCAVADEIRA (0,8 M3), LARG. MENOR QUE 1,5 M, EM SOLO DE 1A CATEGORIA, EM LOCAIS COM ALTO NÍVEL DE INTERFERÊNCIA. AF_09/2024</v>
      </c>
      <c r="C2325" s="173" t="str">
        <f>VLOOKUP(A2325,ORÇAMENTO!A:K,5,0)</f>
        <v>M³</v>
      </c>
      <c r="D2325" s="173">
        <f>ROUND(SUM(E2330:O2330),2)</f>
        <v>184.7</v>
      </c>
      <c r="E2325" s="173" t="s">
        <v>1718</v>
      </c>
      <c r="F2325" s="173" t="s">
        <v>1719</v>
      </c>
      <c r="G2325" s="173" t="s">
        <v>1720</v>
      </c>
      <c r="H2325" s="173" t="s">
        <v>1721</v>
      </c>
      <c r="I2325" s="173" t="s">
        <v>1722</v>
      </c>
      <c r="J2325" s="173" t="s">
        <v>1723</v>
      </c>
      <c r="K2325" s="173" t="s">
        <v>1724</v>
      </c>
      <c r="L2325" s="173" t="s">
        <v>1804</v>
      </c>
      <c r="M2325" s="173" t="s">
        <v>1726</v>
      </c>
      <c r="N2325" s="173" t="s">
        <v>1805</v>
      </c>
      <c r="O2325" s="173" t="s">
        <v>1728</v>
      </c>
      <c r="P2325" s="224"/>
      <c r="Q2325" s="224"/>
    </row>
    <row r="2326" spans="1:17" s="225" customFormat="1" ht="10.5" x14ac:dyDescent="0.25">
      <c r="A2326" s="229"/>
      <c r="B2326" s="230"/>
      <c r="C2326" s="177"/>
      <c r="D2326" s="178"/>
      <c r="E2326" s="178"/>
      <c r="F2326" s="178"/>
      <c r="G2326" s="178"/>
      <c r="H2326" s="178"/>
      <c r="I2326" s="178"/>
      <c r="J2326" s="178"/>
      <c r="K2326" s="178"/>
      <c r="L2326" s="178"/>
      <c r="M2326" s="178"/>
      <c r="N2326" s="200"/>
      <c r="O2326" s="178"/>
      <c r="P2326" s="231"/>
      <c r="Q2326" s="224"/>
    </row>
    <row r="2327" spans="1:17" s="225" customFormat="1" ht="21" x14ac:dyDescent="0.25">
      <c r="A2327" s="229"/>
      <c r="B2327" s="230" t="s">
        <v>1808</v>
      </c>
      <c r="C2327" s="177"/>
      <c r="D2327" s="178"/>
      <c r="E2327" s="178"/>
      <c r="F2327" s="178"/>
      <c r="G2327" s="178"/>
      <c r="H2327" s="178"/>
      <c r="I2327" s="178"/>
      <c r="J2327" s="178"/>
      <c r="K2327" s="178"/>
      <c r="L2327" s="178"/>
      <c r="M2327" s="178"/>
      <c r="N2327" s="200"/>
      <c r="O2327" s="178">
        <f>QUANTBL!AF183</f>
        <v>184.69500000000002</v>
      </c>
      <c r="P2327" s="231"/>
      <c r="Q2327" s="224"/>
    </row>
    <row r="2328" spans="1:17" s="225" customFormat="1" ht="10.5" x14ac:dyDescent="0.25">
      <c r="A2328" s="229"/>
      <c r="B2328" s="230" t="s">
        <v>1810</v>
      </c>
      <c r="C2328" s="177"/>
      <c r="D2328" s="178"/>
      <c r="E2328" s="178"/>
      <c r="F2328" s="178"/>
      <c r="G2328" s="178"/>
      <c r="H2328" s="178"/>
      <c r="I2328" s="178"/>
      <c r="J2328" s="178"/>
      <c r="K2328" s="178"/>
      <c r="L2328" s="178"/>
      <c r="M2328" s="178"/>
      <c r="N2328" s="200"/>
      <c r="O2328" s="178"/>
      <c r="P2328" s="231"/>
      <c r="Q2328" s="224"/>
    </row>
    <row r="2329" spans="1:17" s="225" customFormat="1" ht="10.5" x14ac:dyDescent="0.25">
      <c r="A2329" s="229"/>
      <c r="B2329" s="230"/>
      <c r="C2329" s="177"/>
      <c r="D2329" s="178"/>
      <c r="E2329" s="178"/>
      <c r="F2329" s="178"/>
      <c r="G2329" s="178"/>
      <c r="H2329" s="178"/>
      <c r="I2329" s="178"/>
      <c r="J2329" s="178"/>
      <c r="K2329" s="178"/>
      <c r="L2329" s="178"/>
      <c r="M2329" s="178"/>
      <c r="N2329" s="200"/>
      <c r="O2329" s="178"/>
      <c r="P2329" s="231"/>
      <c r="Q2329" s="224"/>
    </row>
    <row r="2330" spans="1:17" s="225" customFormat="1" ht="10.5" x14ac:dyDescent="0.25">
      <c r="A2330" s="229"/>
      <c r="B2330" s="232" t="s">
        <v>5</v>
      </c>
      <c r="C2330" s="182" t="s">
        <v>1328</v>
      </c>
      <c r="D2330" s="182"/>
      <c r="E2330" s="182"/>
      <c r="F2330" s="182"/>
      <c r="G2330" s="182"/>
      <c r="H2330" s="182"/>
      <c r="I2330" s="182"/>
      <c r="J2330" s="182"/>
      <c r="K2330" s="178"/>
      <c r="L2330" s="182"/>
      <c r="M2330" s="182"/>
      <c r="N2330" s="177"/>
      <c r="O2330" s="177">
        <f>SUM(O2326:O2327)</f>
        <v>184.69500000000002</v>
      </c>
      <c r="P2330" s="233"/>
      <c r="Q2330" s="224"/>
    </row>
    <row r="2331" spans="1:17" s="228" customFormat="1" ht="63" x14ac:dyDescent="0.25">
      <c r="A2331" s="226" t="str">
        <f>ORÇAMENTO!A457</f>
        <v>5.1.2.6.13</v>
      </c>
      <c r="B2331" s="227" t="str">
        <f>VLOOKUP(A2331,ORÇAMENTO!A:K,4,0)</f>
        <v>ESCAVAÇÃO MECANIZADA DE VALA COM PROF. MAIOR QUE 1,5 M ATÉ 3,0 M (MÉDIA MONTANTE E JUSANTE/UMA COMPOSIÇÃO POR TRECHO), ESCAVADEIRA (0,8 M3), LARGURA ATÉ 1,5 M, EM SOLO DE 1A CATEGORIA, EM LOCAIS COM ALTO NÍVEL DE INTERFERÊNCIA. AF_09/2024</v>
      </c>
      <c r="C2331" s="173" t="str">
        <f>VLOOKUP(A2331,ORÇAMENTO!A:K,5,0)</f>
        <v>M³</v>
      </c>
      <c r="D2331" s="173">
        <f>ROUND(SUM(E2336:O2336),2)</f>
        <v>112</v>
      </c>
      <c r="E2331" s="173" t="s">
        <v>1718</v>
      </c>
      <c r="F2331" s="173" t="s">
        <v>1719</v>
      </c>
      <c r="G2331" s="173" t="s">
        <v>1720</v>
      </c>
      <c r="H2331" s="173" t="s">
        <v>1721</v>
      </c>
      <c r="I2331" s="173" t="s">
        <v>1722</v>
      </c>
      <c r="J2331" s="173" t="s">
        <v>1723</v>
      </c>
      <c r="K2331" s="173" t="s">
        <v>1724</v>
      </c>
      <c r="L2331" s="173" t="s">
        <v>1804</v>
      </c>
      <c r="M2331" s="173" t="s">
        <v>1726</v>
      </c>
      <c r="N2331" s="173" t="s">
        <v>1805</v>
      </c>
      <c r="O2331" s="173" t="s">
        <v>1728</v>
      </c>
      <c r="P2331" s="224"/>
      <c r="Q2331" s="224"/>
    </row>
    <row r="2332" spans="1:17" s="225" customFormat="1" ht="10.5" x14ac:dyDescent="0.25">
      <c r="A2332" s="229"/>
      <c r="B2332" s="230"/>
      <c r="C2332" s="177"/>
      <c r="D2332" s="178"/>
      <c r="E2332" s="178"/>
      <c r="F2332" s="178"/>
      <c r="G2332" s="178"/>
      <c r="H2332" s="178"/>
      <c r="I2332" s="178"/>
      <c r="J2332" s="178"/>
      <c r="K2332" s="178"/>
      <c r="L2332" s="178"/>
      <c r="M2332" s="178"/>
      <c r="N2332" s="200"/>
      <c r="O2332" s="178"/>
      <c r="P2332" s="231"/>
      <c r="Q2332" s="224"/>
    </row>
    <row r="2333" spans="1:17" s="225" customFormat="1" ht="21" x14ac:dyDescent="0.25">
      <c r="A2333" s="229"/>
      <c r="B2333" s="230" t="s">
        <v>1808</v>
      </c>
      <c r="C2333" s="177"/>
      <c r="D2333" s="178"/>
      <c r="E2333" s="178"/>
      <c r="F2333" s="178"/>
      <c r="G2333" s="178"/>
      <c r="H2333" s="178"/>
      <c r="I2333" s="178"/>
      <c r="J2333" s="178"/>
      <c r="K2333" s="178"/>
      <c r="L2333" s="178"/>
      <c r="M2333" s="178"/>
      <c r="N2333" s="200"/>
      <c r="O2333" s="178">
        <f>QUANTBL!AG183</f>
        <v>111.99740399999973</v>
      </c>
      <c r="P2333" s="231"/>
      <c r="Q2333" s="224"/>
    </row>
    <row r="2334" spans="1:17" s="225" customFormat="1" ht="10.5" x14ac:dyDescent="0.25">
      <c r="A2334" s="229"/>
      <c r="B2334" s="230"/>
      <c r="C2334" s="177"/>
      <c r="D2334" s="178"/>
      <c r="E2334" s="178"/>
      <c r="F2334" s="178"/>
      <c r="G2334" s="178"/>
      <c r="H2334" s="178"/>
      <c r="I2334" s="178"/>
      <c r="J2334" s="178"/>
      <c r="K2334" s="178"/>
      <c r="L2334" s="178"/>
      <c r="M2334" s="178"/>
      <c r="N2334" s="200"/>
      <c r="O2334" s="178"/>
      <c r="P2334" s="231"/>
      <c r="Q2334" s="224"/>
    </row>
    <row r="2335" spans="1:17" s="225" customFormat="1" ht="10.5" x14ac:dyDescent="0.25">
      <c r="A2335" s="229"/>
      <c r="B2335" s="230"/>
      <c r="C2335" s="177"/>
      <c r="D2335" s="178"/>
      <c r="E2335" s="178"/>
      <c r="F2335" s="178"/>
      <c r="G2335" s="178"/>
      <c r="H2335" s="178"/>
      <c r="I2335" s="178"/>
      <c r="J2335" s="178"/>
      <c r="K2335" s="178"/>
      <c r="L2335" s="178"/>
      <c r="M2335" s="178"/>
      <c r="N2335" s="200"/>
      <c r="O2335" s="178"/>
      <c r="P2335" s="231"/>
      <c r="Q2335" s="224"/>
    </row>
    <row r="2336" spans="1:17" s="225" customFormat="1" ht="10.5" x14ac:dyDescent="0.25">
      <c r="A2336" s="229"/>
      <c r="B2336" s="232" t="s">
        <v>5</v>
      </c>
      <c r="C2336" s="182" t="s">
        <v>1328</v>
      </c>
      <c r="D2336" s="182"/>
      <c r="E2336" s="182"/>
      <c r="F2336" s="182"/>
      <c r="G2336" s="182"/>
      <c r="H2336" s="182"/>
      <c r="I2336" s="182"/>
      <c r="J2336" s="182"/>
      <c r="K2336" s="178"/>
      <c r="L2336" s="182"/>
      <c r="M2336" s="182"/>
      <c r="N2336" s="177"/>
      <c r="O2336" s="177">
        <f>SUM(O2332:O2333)</f>
        <v>111.99740399999973</v>
      </c>
      <c r="P2336" s="233"/>
      <c r="Q2336" s="224"/>
    </row>
    <row r="2337" spans="1:17" s="228" customFormat="1" ht="63" x14ac:dyDescent="0.25">
      <c r="A2337" s="226" t="str">
        <f>ORÇAMENTO!A458</f>
        <v>5.1.2.6.14</v>
      </c>
      <c r="B2337" s="227" t="str">
        <f>VLOOKUP(A2337,ORÇAMENTO!A:K,4,0)</f>
        <v>ESCAVAÇÃO MECANIZADA DE VALA COM PROF. MAIOR QUE 3,0 M ATÉ 4,5 M(MÉDIA MONTANTE E JUSANTE/UMA COMPOSIÇÃO POR TRECHO), ESCAVADEIRA (0,8 M3), LARG. MENOR QUE 1,5 M, EM SOLO DE 1A CATEGORIA, EM LOCAIS COM ALTO NÍVEL DE INTERFERÊNCIA. AF_09/2024</v>
      </c>
      <c r="C2337" s="173" t="str">
        <f>VLOOKUP(A2337,ORÇAMENTO!A:K,5,0)</f>
        <v>M³</v>
      </c>
      <c r="D2337" s="173">
        <f>ROUND(SUM(E2342:O2342),2)</f>
        <v>2.2999999999999998</v>
      </c>
      <c r="E2337" s="173" t="s">
        <v>1718</v>
      </c>
      <c r="F2337" s="173" t="s">
        <v>1719</v>
      </c>
      <c r="G2337" s="173" t="s">
        <v>1720</v>
      </c>
      <c r="H2337" s="173" t="s">
        <v>1721</v>
      </c>
      <c r="I2337" s="173" t="s">
        <v>1722</v>
      </c>
      <c r="J2337" s="173" t="s">
        <v>1723</v>
      </c>
      <c r="K2337" s="173" t="s">
        <v>1724</v>
      </c>
      <c r="L2337" s="173" t="s">
        <v>1804</v>
      </c>
      <c r="M2337" s="173" t="s">
        <v>1726</v>
      </c>
      <c r="N2337" s="173" t="s">
        <v>1805</v>
      </c>
      <c r="O2337" s="173" t="s">
        <v>1728</v>
      </c>
      <c r="P2337" s="224"/>
      <c r="Q2337" s="224"/>
    </row>
    <row r="2338" spans="1:17" s="225" customFormat="1" ht="10.5" x14ac:dyDescent="0.25">
      <c r="A2338" s="229"/>
      <c r="B2338" s="230"/>
      <c r="C2338" s="177"/>
      <c r="D2338" s="178"/>
      <c r="E2338" s="178"/>
      <c r="F2338" s="178"/>
      <c r="G2338" s="178"/>
      <c r="H2338" s="178"/>
      <c r="I2338" s="178"/>
      <c r="J2338" s="178"/>
      <c r="K2338" s="178"/>
      <c r="L2338" s="178"/>
      <c r="M2338" s="178"/>
      <c r="N2338" s="200"/>
      <c r="O2338" s="178"/>
      <c r="P2338" s="231"/>
      <c r="Q2338" s="224"/>
    </row>
    <row r="2339" spans="1:17" s="225" customFormat="1" ht="21" x14ac:dyDescent="0.25">
      <c r="A2339" s="229"/>
      <c r="B2339" s="230" t="s">
        <v>1808</v>
      </c>
      <c r="C2339" s="177"/>
      <c r="D2339" s="178"/>
      <c r="E2339" s="178"/>
      <c r="F2339" s="178"/>
      <c r="G2339" s="178"/>
      <c r="H2339" s="178"/>
      <c r="I2339" s="178"/>
      <c r="J2339" s="178"/>
      <c r="K2339" s="178"/>
      <c r="L2339" s="178"/>
      <c r="M2339" s="178"/>
      <c r="N2339" s="200"/>
      <c r="O2339" s="178">
        <f>QUANTBL!AH183</f>
        <v>2.2992499999999061</v>
      </c>
      <c r="P2339" s="231"/>
      <c r="Q2339" s="224"/>
    </row>
    <row r="2340" spans="1:17" s="225" customFormat="1" ht="10.5" x14ac:dyDescent="0.25">
      <c r="A2340" s="229"/>
      <c r="B2340" s="230"/>
      <c r="C2340" s="177"/>
      <c r="D2340" s="178"/>
      <c r="E2340" s="178"/>
      <c r="F2340" s="178"/>
      <c r="G2340" s="178"/>
      <c r="H2340" s="178"/>
      <c r="I2340" s="178"/>
      <c r="J2340" s="178"/>
      <c r="K2340" s="178"/>
      <c r="L2340" s="178"/>
      <c r="M2340" s="178"/>
      <c r="N2340" s="200"/>
      <c r="O2340" s="178"/>
      <c r="P2340" s="231"/>
      <c r="Q2340" s="224"/>
    </row>
    <row r="2341" spans="1:17" s="225" customFormat="1" ht="10.5" x14ac:dyDescent="0.25">
      <c r="A2341" s="229"/>
      <c r="B2341" s="230"/>
      <c r="C2341" s="177"/>
      <c r="D2341" s="178"/>
      <c r="E2341" s="178"/>
      <c r="F2341" s="178"/>
      <c r="G2341" s="178"/>
      <c r="H2341" s="178"/>
      <c r="I2341" s="178"/>
      <c r="J2341" s="178"/>
      <c r="K2341" s="178"/>
      <c r="L2341" s="178"/>
      <c r="M2341" s="178"/>
      <c r="N2341" s="200"/>
      <c r="O2341" s="178"/>
      <c r="P2341" s="231"/>
      <c r="Q2341" s="224"/>
    </row>
    <row r="2342" spans="1:17" s="225" customFormat="1" ht="10.5" x14ac:dyDescent="0.25">
      <c r="A2342" s="229"/>
      <c r="B2342" s="232" t="s">
        <v>5</v>
      </c>
      <c r="C2342" s="182" t="s">
        <v>1328</v>
      </c>
      <c r="D2342" s="182"/>
      <c r="E2342" s="182"/>
      <c r="F2342" s="182"/>
      <c r="G2342" s="182"/>
      <c r="H2342" s="182"/>
      <c r="I2342" s="182"/>
      <c r="J2342" s="182"/>
      <c r="K2342" s="178"/>
      <c r="L2342" s="182"/>
      <c r="M2342" s="182"/>
      <c r="N2342" s="177"/>
      <c r="O2342" s="177">
        <f>SUM(O2338:O2339)</f>
        <v>2.2992499999999061</v>
      </c>
      <c r="P2342" s="233"/>
      <c r="Q2342" s="224"/>
    </row>
    <row r="2343" spans="1:17" s="228" customFormat="1" ht="63" x14ac:dyDescent="0.25">
      <c r="A2343" s="226" t="str">
        <f>ORÇAMENTO!A459</f>
        <v>5.1.2.6.15</v>
      </c>
      <c r="B2343" s="227" t="str">
        <f>VLOOKUP(A2343,ORÇAMENTO!A:K,4,0)</f>
        <v>ESCAVAÇÃO MECANIZADA DE VALA COM PROF. ATÉ 1,5 M (MÉDIA MONTANTE E JUSANTE/UMA COMPOSIÇÃO POR TRECHO), ESCAVADEIRA (0,8 M3), LARG. DE 1,5 M A 2,5 M, EM SOLO DE 1A CATEGORIA, EM LOCAIS COM ALTO NÍVEL DE INTERFERÊNCIA. AF_09/2024</v>
      </c>
      <c r="C2343" s="173" t="str">
        <f>VLOOKUP(A2343,ORÇAMENTO!A:K,5,0)</f>
        <v>M³</v>
      </c>
      <c r="D2343" s="173">
        <f>ROUND(SUM(E2347:O2347),2)</f>
        <v>568.17999999999995</v>
      </c>
      <c r="E2343" s="173" t="s">
        <v>1718</v>
      </c>
      <c r="F2343" s="173" t="s">
        <v>1719</v>
      </c>
      <c r="G2343" s="173" t="s">
        <v>1720</v>
      </c>
      <c r="H2343" s="173" t="s">
        <v>1721</v>
      </c>
      <c r="I2343" s="173" t="s">
        <v>1722</v>
      </c>
      <c r="J2343" s="173" t="s">
        <v>1723</v>
      </c>
      <c r="K2343" s="173" t="s">
        <v>1724</v>
      </c>
      <c r="L2343" s="173" t="s">
        <v>1804</v>
      </c>
      <c r="M2343" s="173" t="s">
        <v>1726</v>
      </c>
      <c r="N2343" s="173" t="s">
        <v>1805</v>
      </c>
      <c r="O2343" s="173" t="s">
        <v>1728</v>
      </c>
      <c r="P2343" s="224"/>
      <c r="Q2343" s="224"/>
    </row>
    <row r="2344" spans="1:17" s="225" customFormat="1" ht="10.5" x14ac:dyDescent="0.25">
      <c r="A2344" s="229"/>
      <c r="B2344" s="230"/>
      <c r="C2344" s="177"/>
      <c r="D2344" s="178"/>
      <c r="E2344" s="178"/>
      <c r="F2344" s="178"/>
      <c r="G2344" s="178"/>
      <c r="H2344" s="178"/>
      <c r="I2344" s="178"/>
      <c r="J2344" s="178"/>
      <c r="K2344" s="178"/>
      <c r="L2344" s="178"/>
      <c r="M2344" s="178"/>
      <c r="N2344" s="200"/>
      <c r="O2344" s="178"/>
      <c r="P2344" s="231"/>
      <c r="Q2344" s="224"/>
    </row>
    <row r="2345" spans="1:17" s="225" customFormat="1" ht="10.5" x14ac:dyDescent="0.25">
      <c r="A2345" s="229"/>
      <c r="B2345" s="230" t="s">
        <v>1810</v>
      </c>
      <c r="C2345" s="177"/>
      <c r="D2345" s="178"/>
      <c r="E2345" s="178"/>
      <c r="F2345" s="178"/>
      <c r="G2345" s="178"/>
      <c r="H2345" s="178"/>
      <c r="I2345" s="178"/>
      <c r="J2345" s="178"/>
      <c r="K2345" s="178"/>
      <c r="L2345" s="178"/>
      <c r="M2345" s="178"/>
      <c r="N2345" s="200"/>
      <c r="O2345" s="178">
        <f>QUANTBL!CC183</f>
        <v>568.18015276800077</v>
      </c>
      <c r="P2345" s="231"/>
      <c r="Q2345" s="224"/>
    </row>
    <row r="2346" spans="1:17" s="225" customFormat="1" ht="10.5" x14ac:dyDescent="0.25">
      <c r="A2346" s="229"/>
      <c r="B2346" s="230"/>
      <c r="C2346" s="177"/>
      <c r="D2346" s="178"/>
      <c r="E2346" s="178"/>
      <c r="F2346" s="178"/>
      <c r="G2346" s="178"/>
      <c r="H2346" s="178"/>
      <c r="I2346" s="178"/>
      <c r="J2346" s="178"/>
      <c r="K2346" s="178"/>
      <c r="L2346" s="178"/>
      <c r="M2346" s="178"/>
      <c r="N2346" s="200"/>
      <c r="O2346" s="178"/>
      <c r="P2346" s="231"/>
      <c r="Q2346" s="224"/>
    </row>
    <row r="2347" spans="1:17" s="225" customFormat="1" ht="10.5" x14ac:dyDescent="0.25">
      <c r="A2347" s="229"/>
      <c r="B2347" s="232" t="s">
        <v>5</v>
      </c>
      <c r="C2347" s="182" t="s">
        <v>1328</v>
      </c>
      <c r="D2347" s="182"/>
      <c r="E2347" s="182"/>
      <c r="F2347" s="182"/>
      <c r="G2347" s="182"/>
      <c r="H2347" s="182"/>
      <c r="I2347" s="182"/>
      <c r="J2347" s="182"/>
      <c r="K2347" s="178"/>
      <c r="L2347" s="182"/>
      <c r="M2347" s="182"/>
      <c r="N2347" s="177"/>
      <c r="O2347" s="177">
        <f>SUM(O2345:O2346)</f>
        <v>568.18015276800077</v>
      </c>
      <c r="P2347" s="233"/>
      <c r="Q2347" s="224"/>
    </row>
    <row r="2348" spans="1:17" s="228" customFormat="1" ht="63" x14ac:dyDescent="0.25">
      <c r="A2348" s="226" t="str">
        <f>ORÇAMENTO!A460</f>
        <v>5.1.2.6.16</v>
      </c>
      <c r="B2348" s="227" t="str">
        <f>VLOOKUP(A2348,ORÇAMENTO!A:K,4,0)</f>
        <v>ESCAVAÇÃO MECANIZADA DE VALA COM PROF. MAIOR QUE 1,50 M ATÉ 3,0 M (MÉDIA MONTANTE E JUSANTE/UMA COMPOSIÇÃO POR TRECHO), ESCAVADEIRA (1,2 M3), LARG. DE 1,5 M A 2,5 M, EM SOLO DE 1A CATEGORIA, EM LOCAIS COM ALTO NÍVEL DE INTERFERÊNCIA. AF_09/2024</v>
      </c>
      <c r="C2348" s="173" t="str">
        <f>VLOOKUP(A2348,ORÇAMENTO!A:K,5,0)</f>
        <v>M³</v>
      </c>
      <c r="D2348" s="173">
        <f>ROUND(SUM(E2352:O2352),2)</f>
        <v>253.41</v>
      </c>
      <c r="E2348" s="173" t="s">
        <v>1718</v>
      </c>
      <c r="F2348" s="173" t="s">
        <v>1719</v>
      </c>
      <c r="G2348" s="173" t="s">
        <v>1720</v>
      </c>
      <c r="H2348" s="173" t="s">
        <v>1721</v>
      </c>
      <c r="I2348" s="173" t="s">
        <v>1722</v>
      </c>
      <c r="J2348" s="173" t="s">
        <v>1723</v>
      </c>
      <c r="K2348" s="173" t="s">
        <v>1724</v>
      </c>
      <c r="L2348" s="173" t="s">
        <v>1804</v>
      </c>
      <c r="M2348" s="173" t="s">
        <v>1726</v>
      </c>
      <c r="N2348" s="173" t="s">
        <v>1809</v>
      </c>
      <c r="O2348" s="173" t="s">
        <v>1728</v>
      </c>
      <c r="P2348" s="224"/>
      <c r="Q2348" s="224"/>
    </row>
    <row r="2349" spans="1:17" s="225" customFormat="1" ht="10.5" x14ac:dyDescent="0.25">
      <c r="A2349" s="229"/>
      <c r="B2349" s="230"/>
      <c r="C2349" s="177"/>
      <c r="D2349" s="178"/>
      <c r="E2349" s="178"/>
      <c r="F2349" s="178"/>
      <c r="G2349" s="178"/>
      <c r="H2349" s="178"/>
      <c r="I2349" s="178"/>
      <c r="J2349" s="178"/>
      <c r="K2349" s="178"/>
      <c r="L2349" s="178"/>
      <c r="M2349" s="178"/>
      <c r="N2349" s="200"/>
      <c r="O2349" s="178"/>
      <c r="P2349" s="231"/>
      <c r="Q2349" s="224"/>
    </row>
    <row r="2350" spans="1:17" s="225" customFormat="1" ht="10.5" x14ac:dyDescent="0.25">
      <c r="A2350" s="229"/>
      <c r="B2350" s="230" t="s">
        <v>1810</v>
      </c>
      <c r="C2350" s="177"/>
      <c r="D2350" s="178"/>
      <c r="E2350" s="178"/>
      <c r="F2350" s="178"/>
      <c r="G2350" s="178"/>
      <c r="H2350" s="178"/>
      <c r="I2350" s="178"/>
      <c r="J2350" s="178"/>
      <c r="K2350" s="178"/>
      <c r="L2350" s="178"/>
      <c r="M2350" s="178"/>
      <c r="N2350" s="200"/>
      <c r="O2350" s="178">
        <f>QUANTBL!CD183</f>
        <v>253.41059455999871</v>
      </c>
      <c r="P2350" s="231"/>
      <c r="Q2350" s="224"/>
    </row>
    <row r="2351" spans="1:17" s="225" customFormat="1" ht="10.5" x14ac:dyDescent="0.25">
      <c r="A2351" s="229"/>
      <c r="B2351" s="230"/>
      <c r="C2351" s="177"/>
      <c r="D2351" s="178"/>
      <c r="E2351" s="178"/>
      <c r="F2351" s="178"/>
      <c r="G2351" s="178"/>
      <c r="H2351" s="178"/>
      <c r="I2351" s="178"/>
      <c r="J2351" s="178"/>
      <c r="K2351" s="178"/>
      <c r="L2351" s="178"/>
      <c r="M2351" s="178"/>
      <c r="N2351" s="200"/>
      <c r="O2351" s="178"/>
      <c r="P2351" s="231"/>
      <c r="Q2351" s="224"/>
    </row>
    <row r="2352" spans="1:17" s="225" customFormat="1" ht="10.5" x14ac:dyDescent="0.25">
      <c r="A2352" s="229"/>
      <c r="B2352" s="232" t="s">
        <v>5</v>
      </c>
      <c r="C2352" s="182" t="s">
        <v>1328</v>
      </c>
      <c r="D2352" s="182"/>
      <c r="E2352" s="182"/>
      <c r="F2352" s="182"/>
      <c r="G2352" s="182"/>
      <c r="H2352" s="182"/>
      <c r="I2352" s="182"/>
      <c r="J2352" s="182"/>
      <c r="K2352" s="178"/>
      <c r="L2352" s="182"/>
      <c r="M2352" s="182"/>
      <c r="N2352" s="177"/>
      <c r="O2352" s="177">
        <f>SUM(O2349:O2351)</f>
        <v>253.41059455999871</v>
      </c>
      <c r="P2352" s="233"/>
      <c r="Q2352" s="224"/>
    </row>
    <row r="2353" spans="1:17" s="228" customFormat="1" ht="31.5" x14ac:dyDescent="0.25">
      <c r="A2353" s="226" t="str">
        <f>ORÇAMENTO!A461</f>
        <v>5.1.2.6.17</v>
      </c>
      <c r="B2353" s="227" t="str">
        <f>VLOOKUP(A2353,ORÇAMENTO!A:K,4,0)</f>
        <v>ESCAVAÇÃO DE VALA EM MATERIAL DE 3ª CATEGORIA COM ESCAVADEIRA E ROMPEDOR HIDRÁULICO DE 1700KG</v>
      </c>
      <c r="C2353" s="173" t="str">
        <f>VLOOKUP(A2353,ORÇAMENTO!A:K,5,0)</f>
        <v>M³</v>
      </c>
      <c r="D2353" s="173">
        <f>ROUND(SUM(E2358:O2358),2)</f>
        <v>8.06</v>
      </c>
      <c r="E2353" s="173" t="s">
        <v>1718</v>
      </c>
      <c r="F2353" s="173" t="s">
        <v>1719</v>
      </c>
      <c r="G2353" s="173" t="s">
        <v>1720</v>
      </c>
      <c r="H2353" s="173" t="s">
        <v>1721</v>
      </c>
      <c r="I2353" s="173" t="s">
        <v>1722</v>
      </c>
      <c r="J2353" s="173" t="s">
        <v>1723</v>
      </c>
      <c r="K2353" s="173" t="s">
        <v>1724</v>
      </c>
      <c r="L2353" s="173" t="s">
        <v>1804</v>
      </c>
      <c r="M2353" s="173" t="s">
        <v>1726</v>
      </c>
      <c r="N2353" s="173" t="s">
        <v>1805</v>
      </c>
      <c r="O2353" s="173" t="s">
        <v>1728</v>
      </c>
      <c r="P2353" s="224"/>
      <c r="Q2353" s="224"/>
    </row>
    <row r="2354" spans="1:17" s="225" customFormat="1" ht="10.5" x14ac:dyDescent="0.25">
      <c r="A2354" s="229"/>
      <c r="B2354" s="230"/>
      <c r="C2354" s="177"/>
      <c r="D2354" s="178"/>
      <c r="E2354" s="178"/>
      <c r="F2354" s="178"/>
      <c r="G2354" s="178"/>
      <c r="H2354" s="178"/>
      <c r="I2354" s="178"/>
      <c r="J2354" s="178"/>
      <c r="K2354" s="178"/>
      <c r="L2354" s="178"/>
      <c r="M2354" s="178"/>
      <c r="N2354" s="200"/>
      <c r="O2354" s="178"/>
      <c r="P2354" s="231"/>
      <c r="Q2354" s="224"/>
    </row>
    <row r="2355" spans="1:17" s="225" customFormat="1" ht="21" x14ac:dyDescent="0.25">
      <c r="A2355" s="229"/>
      <c r="B2355" s="230" t="s">
        <v>1808</v>
      </c>
      <c r="C2355" s="177"/>
      <c r="D2355" s="178"/>
      <c r="E2355" s="178"/>
      <c r="F2355" s="178"/>
      <c r="G2355" s="178"/>
      <c r="H2355" s="178"/>
      <c r="I2355" s="178"/>
      <c r="J2355" s="178"/>
      <c r="K2355" s="178"/>
      <c r="L2355" s="178"/>
      <c r="M2355" s="178"/>
      <c r="N2355" s="200"/>
      <c r="O2355" s="178">
        <f>QUANTBL!AJ183</f>
        <v>6.599891999999997</v>
      </c>
      <c r="P2355" s="231"/>
      <c r="Q2355" s="224"/>
    </row>
    <row r="2356" spans="1:17" s="225" customFormat="1" ht="10.5" x14ac:dyDescent="0.25">
      <c r="A2356" s="229"/>
      <c r="B2356" s="230" t="s">
        <v>1810</v>
      </c>
      <c r="C2356" s="177"/>
      <c r="D2356" s="178"/>
      <c r="E2356" s="178"/>
      <c r="F2356" s="178"/>
      <c r="G2356" s="178"/>
      <c r="H2356" s="178"/>
      <c r="I2356" s="178"/>
      <c r="J2356" s="178"/>
      <c r="K2356" s="178"/>
      <c r="L2356" s="178"/>
      <c r="M2356" s="178"/>
      <c r="N2356" s="200"/>
      <c r="O2356" s="178">
        <f>QUANTBL!CG183</f>
        <v>1.4649600000000014</v>
      </c>
      <c r="P2356" s="231"/>
      <c r="Q2356" s="224"/>
    </row>
    <row r="2357" spans="1:17" s="225" customFormat="1" ht="10.5" x14ac:dyDescent="0.25">
      <c r="A2357" s="229"/>
      <c r="B2357" s="230"/>
      <c r="C2357" s="177"/>
      <c r="D2357" s="178"/>
      <c r="E2357" s="178"/>
      <c r="F2357" s="178"/>
      <c r="G2357" s="178"/>
      <c r="H2357" s="178"/>
      <c r="I2357" s="178"/>
      <c r="J2357" s="178"/>
      <c r="K2357" s="178"/>
      <c r="L2357" s="178"/>
      <c r="M2357" s="178"/>
      <c r="N2357" s="200"/>
      <c r="O2357" s="178"/>
      <c r="P2357" s="231"/>
      <c r="Q2357" s="224"/>
    </row>
    <row r="2358" spans="1:17" s="225" customFormat="1" ht="10.5" x14ac:dyDescent="0.25">
      <c r="A2358" s="229"/>
      <c r="B2358" s="232" t="s">
        <v>5</v>
      </c>
      <c r="C2358" s="182" t="s">
        <v>1328</v>
      </c>
      <c r="D2358" s="182"/>
      <c r="E2358" s="182"/>
      <c r="F2358" s="182"/>
      <c r="G2358" s="182"/>
      <c r="H2358" s="182"/>
      <c r="I2358" s="182"/>
      <c r="J2358" s="182"/>
      <c r="K2358" s="178"/>
      <c r="L2358" s="182"/>
      <c r="M2358" s="182"/>
      <c r="N2358" s="177"/>
      <c r="O2358" s="177">
        <f>SUM(O2354:O2357)</f>
        <v>8.0648519999999984</v>
      </c>
      <c r="P2358" s="233"/>
      <c r="Q2358" s="224"/>
    </row>
    <row r="2359" spans="1:17" s="228" customFormat="1" ht="42" x14ac:dyDescent="0.25">
      <c r="A2359" s="226" t="str">
        <f>ORÇAMENTO!A462</f>
        <v>5.1.2.6.18</v>
      </c>
      <c r="B2359" s="227" t="str">
        <f>VLOOKUP(A2359,ORÇAMENTO!A:K,4,0)</f>
        <v>ESCORAMENTO DE VALA, TIPO BLINDAGEM, COM PROFUNDIDADE DE 0 A 1,5 M, LARGURA MENOR QUE 1,5 M - EXECUÇÃO E FORNECIMENTO, INCLUI MATERIAL (ESCAVAÇÃO EXTERNA AO BLINDADO)</v>
      </c>
      <c r="C2359" s="173" t="str">
        <f>VLOOKUP(A2359,ORÇAMENTO!A:K,5,0)</f>
        <v>M²</v>
      </c>
      <c r="D2359" s="173">
        <f>ROUND(SUM(E2363:O2363),2)</f>
        <v>1252.76</v>
      </c>
      <c r="E2359" s="173" t="s">
        <v>1718</v>
      </c>
      <c r="F2359" s="173" t="s">
        <v>1719</v>
      </c>
      <c r="G2359" s="173" t="s">
        <v>1720</v>
      </c>
      <c r="H2359" s="173" t="s">
        <v>1721</v>
      </c>
      <c r="I2359" s="173" t="s">
        <v>1722</v>
      </c>
      <c r="J2359" s="173" t="s">
        <v>1723</v>
      </c>
      <c r="K2359" s="173" t="s">
        <v>1724</v>
      </c>
      <c r="L2359" s="173" t="s">
        <v>1804</v>
      </c>
      <c r="M2359" s="173" t="s">
        <v>1726</v>
      </c>
      <c r="N2359" s="173" t="s">
        <v>1811</v>
      </c>
      <c r="O2359" s="173" t="s">
        <v>1728</v>
      </c>
      <c r="P2359" s="224"/>
      <c r="Q2359" s="224"/>
    </row>
    <row r="2360" spans="1:17" s="225" customFormat="1" ht="10.5" x14ac:dyDescent="0.25">
      <c r="A2360" s="229"/>
      <c r="B2360" s="230"/>
      <c r="C2360" s="177"/>
      <c r="D2360" s="178"/>
      <c r="E2360" s="178"/>
      <c r="F2360" s="178"/>
      <c r="G2360" s="178"/>
      <c r="H2360" s="178"/>
      <c r="I2360" s="178"/>
      <c r="J2360" s="178"/>
      <c r="K2360" s="178"/>
      <c r="L2360" s="178"/>
      <c r="M2360" s="178"/>
      <c r="N2360" s="200"/>
      <c r="O2360" s="178"/>
      <c r="P2360" s="231"/>
      <c r="Q2360" s="224"/>
    </row>
    <row r="2361" spans="1:17" s="225" customFormat="1" ht="10.5" x14ac:dyDescent="0.25">
      <c r="A2361" s="229"/>
      <c r="B2361" s="230" t="s">
        <v>1812</v>
      </c>
      <c r="C2361" s="177"/>
      <c r="D2361" s="178"/>
      <c r="E2361" s="178"/>
      <c r="F2361" s="178"/>
      <c r="G2361" s="178"/>
      <c r="H2361" s="178"/>
      <c r="I2361" s="178"/>
      <c r="J2361" s="178"/>
      <c r="K2361" s="178"/>
      <c r="L2361" s="178"/>
      <c r="M2361" s="178"/>
      <c r="N2361" s="178">
        <f>QUANTBL!BQ183</f>
        <v>1252.7588636400014</v>
      </c>
      <c r="O2361" s="178"/>
      <c r="P2361" s="231"/>
      <c r="Q2361" s="224"/>
    </row>
    <row r="2362" spans="1:17" s="225" customFormat="1" ht="10.5" x14ac:dyDescent="0.25">
      <c r="A2362" s="229"/>
      <c r="B2362" s="230"/>
      <c r="C2362" s="177"/>
      <c r="D2362" s="178"/>
      <c r="E2362" s="178"/>
      <c r="F2362" s="178"/>
      <c r="G2362" s="178"/>
      <c r="H2362" s="178"/>
      <c r="I2362" s="178"/>
      <c r="J2362" s="178"/>
      <c r="K2362" s="178"/>
      <c r="L2362" s="178"/>
      <c r="M2362" s="178"/>
      <c r="N2362" s="200"/>
      <c r="O2362" s="178"/>
      <c r="P2362" s="231"/>
      <c r="Q2362" s="224"/>
    </row>
    <row r="2363" spans="1:17" s="225" customFormat="1" ht="10.5" x14ac:dyDescent="0.25">
      <c r="A2363" s="229"/>
      <c r="B2363" s="232" t="s">
        <v>5</v>
      </c>
      <c r="C2363" s="182" t="s">
        <v>1328</v>
      </c>
      <c r="D2363" s="182"/>
      <c r="E2363" s="182"/>
      <c r="F2363" s="182"/>
      <c r="G2363" s="182"/>
      <c r="H2363" s="182"/>
      <c r="I2363" s="182"/>
      <c r="J2363" s="182"/>
      <c r="K2363" s="178"/>
      <c r="L2363" s="182"/>
      <c r="M2363" s="182"/>
      <c r="N2363" s="177">
        <f>SUM(N2361:N2362)</f>
        <v>1252.7588636400014</v>
      </c>
      <c r="O2363" s="177"/>
      <c r="P2363" s="233"/>
      <c r="Q2363" s="224"/>
    </row>
    <row r="2364" spans="1:17" s="228" customFormat="1" ht="42" x14ac:dyDescent="0.25">
      <c r="A2364" s="226" t="str">
        <f>ORÇAMENTO!A463</f>
        <v>5.1.2.6.19</v>
      </c>
      <c r="B2364" s="227" t="str">
        <f>VLOOKUP(A2364,ORÇAMENTO!A:K,4,0)</f>
        <v>ESCORAMENTO DE VALA, TIPO BLINDAGEM, COM PROFUNDIDADE DE 1,5 A 3,0 M, LARGURA MENOR QUE 1,5 M - EXECUÇÃO E FORNECIMENTO, INCLUI MATERIAL (ESCAVAÇÃO INTERNA AO BLINDADO)</v>
      </c>
      <c r="C2364" s="173" t="str">
        <f>VLOOKUP(A2364,ORÇAMENTO!A:K,5,0)</f>
        <v>M²</v>
      </c>
      <c r="D2364" s="173">
        <f>ROUND(SUM(E2368:O2368),2)</f>
        <v>789.81</v>
      </c>
      <c r="E2364" s="173" t="s">
        <v>1718</v>
      </c>
      <c r="F2364" s="173" t="s">
        <v>1719</v>
      </c>
      <c r="G2364" s="173" t="s">
        <v>1720</v>
      </c>
      <c r="H2364" s="173" t="s">
        <v>1721</v>
      </c>
      <c r="I2364" s="173" t="s">
        <v>1722</v>
      </c>
      <c r="J2364" s="173" t="s">
        <v>1723</v>
      </c>
      <c r="K2364" s="173" t="s">
        <v>1724</v>
      </c>
      <c r="L2364" s="173" t="s">
        <v>1804</v>
      </c>
      <c r="M2364" s="173" t="s">
        <v>1726</v>
      </c>
      <c r="N2364" s="173" t="s">
        <v>1811</v>
      </c>
      <c r="O2364" s="173" t="s">
        <v>1728</v>
      </c>
      <c r="P2364" s="224"/>
      <c r="Q2364" s="224"/>
    </row>
    <row r="2365" spans="1:17" s="225" customFormat="1" ht="10.5" x14ac:dyDescent="0.25">
      <c r="A2365" s="229"/>
      <c r="B2365" s="230"/>
      <c r="C2365" s="177"/>
      <c r="D2365" s="178"/>
      <c r="E2365" s="178"/>
      <c r="F2365" s="178"/>
      <c r="G2365" s="178"/>
      <c r="H2365" s="178"/>
      <c r="I2365" s="178"/>
      <c r="J2365" s="178"/>
      <c r="K2365" s="178"/>
      <c r="L2365" s="178"/>
      <c r="M2365" s="178"/>
      <c r="N2365" s="200"/>
      <c r="O2365" s="178"/>
      <c r="P2365" s="231"/>
      <c r="Q2365" s="224"/>
    </row>
    <row r="2366" spans="1:17" s="225" customFormat="1" ht="10.5" x14ac:dyDescent="0.25">
      <c r="A2366" s="229"/>
      <c r="B2366" s="230" t="s">
        <v>1812</v>
      </c>
      <c r="C2366" s="177"/>
      <c r="D2366" s="178"/>
      <c r="E2366" s="178"/>
      <c r="F2366" s="178"/>
      <c r="G2366" s="178"/>
      <c r="H2366" s="178"/>
      <c r="I2366" s="178"/>
      <c r="J2366" s="178"/>
      <c r="K2366" s="178"/>
      <c r="L2366" s="178"/>
      <c r="M2366" s="178"/>
      <c r="N2366" s="200">
        <f>QUANTBL!BR183</f>
        <v>789.81314999999472</v>
      </c>
      <c r="O2366" s="178"/>
      <c r="P2366" s="231"/>
      <c r="Q2366" s="224"/>
    </row>
    <row r="2367" spans="1:17" s="225" customFormat="1" ht="10.5" x14ac:dyDescent="0.25">
      <c r="A2367" s="229"/>
      <c r="B2367" s="230"/>
      <c r="C2367" s="177"/>
      <c r="D2367" s="178"/>
      <c r="E2367" s="178"/>
      <c r="F2367" s="178"/>
      <c r="G2367" s="178"/>
      <c r="H2367" s="178"/>
      <c r="I2367" s="178"/>
      <c r="J2367" s="178"/>
      <c r="K2367" s="178"/>
      <c r="L2367" s="178"/>
      <c r="M2367" s="178"/>
      <c r="N2367" s="200"/>
      <c r="O2367" s="178"/>
      <c r="P2367" s="231"/>
      <c r="Q2367" s="224"/>
    </row>
    <row r="2368" spans="1:17" s="225" customFormat="1" ht="10.5" x14ac:dyDescent="0.25">
      <c r="A2368" s="229"/>
      <c r="B2368" s="232" t="s">
        <v>5</v>
      </c>
      <c r="C2368" s="182" t="s">
        <v>1328</v>
      </c>
      <c r="D2368" s="182"/>
      <c r="E2368" s="182"/>
      <c r="F2368" s="182"/>
      <c r="G2368" s="182"/>
      <c r="H2368" s="182"/>
      <c r="I2368" s="182"/>
      <c r="J2368" s="182"/>
      <c r="K2368" s="178"/>
      <c r="L2368" s="182"/>
      <c r="M2368" s="182"/>
      <c r="N2368" s="177">
        <f>SUM(N2366:N2367)</f>
        <v>789.81314999999472</v>
      </c>
      <c r="O2368" s="177"/>
      <c r="P2368" s="233"/>
      <c r="Q2368" s="224"/>
    </row>
    <row r="2369" spans="1:17" s="228" customFormat="1" ht="42" x14ac:dyDescent="0.25">
      <c r="A2369" s="226" t="str">
        <f>ORÇAMENTO!A464</f>
        <v>5.1.2.6.20</v>
      </c>
      <c r="B2369" s="227" t="str">
        <f>VLOOKUP(A2369,ORÇAMENTO!A:K,4,0)</f>
        <v>ESCORAMENTO DE VALA, TIPO BLINDAGEM, COM PROFUNDIDADE DE 3,0 A 4,5 M, LARGURA MENOR QUE 1,5 M -EXECUÇÃO E FORNECIMENTO, INCLUI MATERIAL (ESCAVAÇÃO EXTERNA AO BLINDADO)</v>
      </c>
      <c r="C2369" s="173" t="str">
        <f>VLOOKUP(A2369,ORÇAMENTO!A:K,5,0)</f>
        <v>M²</v>
      </c>
      <c r="D2369" s="173">
        <f>ROUND(SUM(E2373:O2373),2)</f>
        <v>45.65</v>
      </c>
      <c r="E2369" s="173" t="s">
        <v>1718</v>
      </c>
      <c r="F2369" s="173" t="s">
        <v>1719</v>
      </c>
      <c r="G2369" s="173" t="s">
        <v>1720</v>
      </c>
      <c r="H2369" s="173" t="s">
        <v>1721</v>
      </c>
      <c r="I2369" s="173" t="s">
        <v>1722</v>
      </c>
      <c r="J2369" s="173" t="s">
        <v>1723</v>
      </c>
      <c r="K2369" s="173" t="s">
        <v>1724</v>
      </c>
      <c r="L2369" s="173" t="s">
        <v>1804</v>
      </c>
      <c r="M2369" s="173" t="s">
        <v>1726</v>
      </c>
      <c r="N2369" s="173" t="s">
        <v>1811</v>
      </c>
      <c r="O2369" s="173" t="s">
        <v>1728</v>
      </c>
      <c r="P2369" s="224"/>
      <c r="Q2369" s="224"/>
    </row>
    <row r="2370" spans="1:17" s="225" customFormat="1" ht="10.5" x14ac:dyDescent="0.25">
      <c r="A2370" s="229"/>
      <c r="B2370" s="230"/>
      <c r="C2370" s="177"/>
      <c r="D2370" s="178"/>
      <c r="E2370" s="178"/>
      <c r="F2370" s="178"/>
      <c r="G2370" s="178"/>
      <c r="H2370" s="178"/>
      <c r="I2370" s="178"/>
      <c r="J2370" s="178"/>
      <c r="K2370" s="178"/>
      <c r="L2370" s="178"/>
      <c r="M2370" s="178"/>
      <c r="N2370" s="200"/>
      <c r="O2370" s="178"/>
      <c r="P2370" s="231"/>
      <c r="Q2370" s="224"/>
    </row>
    <row r="2371" spans="1:17" s="225" customFormat="1" ht="10.5" x14ac:dyDescent="0.25">
      <c r="A2371" s="229"/>
      <c r="B2371" s="230" t="s">
        <v>1812</v>
      </c>
      <c r="C2371" s="177"/>
      <c r="D2371" s="178"/>
      <c r="E2371" s="178"/>
      <c r="F2371" s="178"/>
      <c r="G2371" s="178"/>
      <c r="H2371" s="178"/>
      <c r="I2371" s="178"/>
      <c r="J2371" s="178"/>
      <c r="K2371" s="178"/>
      <c r="L2371" s="178"/>
      <c r="M2371" s="178"/>
      <c r="N2371" s="200">
        <f>QUANTBL!BS183</f>
        <v>45.650629999999794</v>
      </c>
      <c r="O2371" s="178"/>
      <c r="P2371" s="231"/>
      <c r="Q2371" s="224"/>
    </row>
    <row r="2372" spans="1:17" s="225" customFormat="1" ht="10.5" x14ac:dyDescent="0.25">
      <c r="A2372" s="229"/>
      <c r="B2372" s="230"/>
      <c r="C2372" s="177"/>
      <c r="D2372" s="178"/>
      <c r="E2372" s="178"/>
      <c r="F2372" s="178"/>
      <c r="G2372" s="178"/>
      <c r="H2372" s="178"/>
      <c r="I2372" s="178"/>
      <c r="J2372" s="178"/>
      <c r="K2372" s="178"/>
      <c r="L2372" s="178"/>
      <c r="M2372" s="178"/>
      <c r="N2372" s="200"/>
      <c r="O2372" s="178"/>
      <c r="P2372" s="231"/>
      <c r="Q2372" s="224"/>
    </row>
    <row r="2373" spans="1:17" s="225" customFormat="1" ht="10.5" x14ac:dyDescent="0.25">
      <c r="A2373" s="229"/>
      <c r="B2373" s="232" t="s">
        <v>5</v>
      </c>
      <c r="C2373" s="182" t="s">
        <v>1328</v>
      </c>
      <c r="D2373" s="182"/>
      <c r="E2373" s="182"/>
      <c r="F2373" s="182"/>
      <c r="G2373" s="182"/>
      <c r="H2373" s="182"/>
      <c r="I2373" s="182"/>
      <c r="J2373" s="182"/>
      <c r="K2373" s="178"/>
      <c r="L2373" s="182"/>
      <c r="M2373" s="182"/>
      <c r="N2373" s="177">
        <f>SUM(N2370:N2372)</f>
        <v>45.650629999999794</v>
      </c>
      <c r="O2373" s="177"/>
      <c r="P2373" s="233"/>
      <c r="Q2373" s="224"/>
    </row>
    <row r="2374" spans="1:17" s="228" customFormat="1" ht="52.5" x14ac:dyDescent="0.25">
      <c r="A2374" s="226" t="str">
        <f>ORÇAMENTO!A465</f>
        <v>5.1.2.6.21</v>
      </c>
      <c r="B2374" s="227" t="str">
        <f>VLOOKUP(A2374,ORÇAMENTO!A:K,4,0)</f>
        <v>ESCORAMENTO DE VALA, TIPO BLINDADEM, COM PROFUNDIDADE DE 0 A 1,5 M, LARGURA MAIOR OU IGUAL A 1,5 M EMENOR QUE 2,5 M - EXECUÇÃO E FORNECIMENTO, INCLUI MATERIAL (ESCAVAÇÃO EXTERNA AO BLINDADO)</v>
      </c>
      <c r="C2374" s="173" t="str">
        <f>VLOOKUP(A2374,ORÇAMENTO!A:K,5,0)</f>
        <v>M²</v>
      </c>
      <c r="D2374" s="173">
        <f>ROUND(SUM(E2378:O2378),2)</f>
        <v>578.39</v>
      </c>
      <c r="E2374" s="173" t="s">
        <v>1718</v>
      </c>
      <c r="F2374" s="173" t="s">
        <v>1719</v>
      </c>
      <c r="G2374" s="173" t="s">
        <v>1720</v>
      </c>
      <c r="H2374" s="173" t="s">
        <v>1721</v>
      </c>
      <c r="I2374" s="173" t="s">
        <v>1722</v>
      </c>
      <c r="J2374" s="173" t="s">
        <v>1723</v>
      </c>
      <c r="K2374" s="173" t="s">
        <v>1724</v>
      </c>
      <c r="L2374" s="173" t="s">
        <v>1804</v>
      </c>
      <c r="M2374" s="173" t="s">
        <v>1726</v>
      </c>
      <c r="N2374" s="173" t="s">
        <v>1811</v>
      </c>
      <c r="O2374" s="173" t="s">
        <v>1728</v>
      </c>
      <c r="P2374" s="224"/>
      <c r="Q2374" s="224"/>
    </row>
    <row r="2375" spans="1:17" s="225" customFormat="1" ht="10.5" x14ac:dyDescent="0.25">
      <c r="A2375" s="229"/>
      <c r="B2375" s="230"/>
      <c r="C2375" s="177"/>
      <c r="D2375" s="178"/>
      <c r="E2375" s="178"/>
      <c r="F2375" s="178"/>
      <c r="G2375" s="178"/>
      <c r="H2375" s="178"/>
      <c r="I2375" s="178"/>
      <c r="J2375" s="178"/>
      <c r="K2375" s="178"/>
      <c r="L2375" s="178"/>
      <c r="M2375" s="178"/>
      <c r="N2375" s="200"/>
      <c r="O2375" s="178"/>
      <c r="P2375" s="231"/>
      <c r="Q2375" s="224"/>
    </row>
    <row r="2376" spans="1:17" s="225" customFormat="1" ht="10.5" x14ac:dyDescent="0.25">
      <c r="A2376" s="229"/>
      <c r="B2376" s="230" t="s">
        <v>1813</v>
      </c>
      <c r="C2376" s="177"/>
      <c r="D2376" s="178"/>
      <c r="E2376" s="178"/>
      <c r="F2376" s="178"/>
      <c r="G2376" s="178"/>
      <c r="H2376" s="178"/>
      <c r="I2376" s="178"/>
      <c r="J2376" s="178"/>
      <c r="K2376" s="178"/>
      <c r="L2376" s="178"/>
      <c r="M2376" s="178"/>
      <c r="N2376" s="200">
        <f>QUANTBL!CP183</f>
        <v>578.38619520000043</v>
      </c>
      <c r="O2376" s="178"/>
      <c r="P2376" s="231"/>
      <c r="Q2376" s="224"/>
    </row>
    <row r="2377" spans="1:17" s="225" customFormat="1" ht="10.5" x14ac:dyDescent="0.25">
      <c r="A2377" s="229"/>
      <c r="B2377" s="230"/>
      <c r="C2377" s="177"/>
      <c r="D2377" s="178"/>
      <c r="E2377" s="178"/>
      <c r="F2377" s="178"/>
      <c r="G2377" s="178"/>
      <c r="H2377" s="178"/>
      <c r="I2377" s="178"/>
      <c r="J2377" s="178"/>
      <c r="K2377" s="178"/>
      <c r="L2377" s="178"/>
      <c r="M2377" s="178"/>
      <c r="N2377" s="200"/>
      <c r="O2377" s="178"/>
      <c r="P2377" s="231"/>
      <c r="Q2377" s="224"/>
    </row>
    <row r="2378" spans="1:17" s="225" customFormat="1" ht="10.5" x14ac:dyDescent="0.25">
      <c r="A2378" s="229"/>
      <c r="B2378" s="232" t="s">
        <v>5</v>
      </c>
      <c r="C2378" s="182" t="s">
        <v>1328</v>
      </c>
      <c r="D2378" s="182"/>
      <c r="E2378" s="182"/>
      <c r="F2378" s="182"/>
      <c r="G2378" s="182"/>
      <c r="H2378" s="182"/>
      <c r="I2378" s="182"/>
      <c r="J2378" s="182"/>
      <c r="K2378" s="178"/>
      <c r="L2378" s="182"/>
      <c r="M2378" s="182"/>
      <c r="N2378" s="177">
        <f>SUM(N2375:N2377)</f>
        <v>578.38619520000043</v>
      </c>
      <c r="O2378" s="177"/>
      <c r="P2378" s="233"/>
      <c r="Q2378" s="224"/>
    </row>
    <row r="2379" spans="1:17" s="228" customFormat="1" ht="42" x14ac:dyDescent="0.25">
      <c r="A2379" s="226" t="str">
        <f>ORÇAMENTO!A466</f>
        <v>5.1.2.6.22</v>
      </c>
      <c r="B2379" s="227" t="str">
        <f>VLOOKUP(A2379,ORÇAMENTO!A:K,4,0)</f>
        <v>ESCORAMENTO DE VALA, TIPO BLINDAGEM, COM PROFUNDIDADE DE 1,5 A 3,0 M, LARGURA DE 1,5 A 2,5 M -EXECUÇÃO E FORNECIMENTO, INCLUI MATERIAL (ESCAVAÇÃO INTERNA AO BLINDADO)</v>
      </c>
      <c r="C2379" s="173" t="str">
        <f>VLOOKUP(A2379,ORÇAMENTO!A:K,5,0)</f>
        <v>M²</v>
      </c>
      <c r="D2379" s="173">
        <f>ROUND(SUM(E2383:O2383),2)</f>
        <v>278.41000000000003</v>
      </c>
      <c r="E2379" s="173" t="s">
        <v>1718</v>
      </c>
      <c r="F2379" s="173" t="s">
        <v>1719</v>
      </c>
      <c r="G2379" s="173" t="s">
        <v>1720</v>
      </c>
      <c r="H2379" s="173" t="s">
        <v>1721</v>
      </c>
      <c r="I2379" s="173" t="s">
        <v>1722</v>
      </c>
      <c r="J2379" s="173" t="s">
        <v>1723</v>
      </c>
      <c r="K2379" s="173" t="s">
        <v>1724</v>
      </c>
      <c r="L2379" s="173" t="s">
        <v>1804</v>
      </c>
      <c r="M2379" s="173" t="s">
        <v>1726</v>
      </c>
      <c r="N2379" s="173" t="s">
        <v>1811</v>
      </c>
      <c r="O2379" s="173" t="s">
        <v>1728</v>
      </c>
      <c r="P2379" s="224"/>
      <c r="Q2379" s="224"/>
    </row>
    <row r="2380" spans="1:17" s="225" customFormat="1" ht="10.5" x14ac:dyDescent="0.25">
      <c r="A2380" s="229"/>
      <c r="B2380" s="230"/>
      <c r="C2380" s="177"/>
      <c r="D2380" s="178"/>
      <c r="E2380" s="178"/>
      <c r="F2380" s="178"/>
      <c r="G2380" s="178"/>
      <c r="H2380" s="178"/>
      <c r="I2380" s="178"/>
      <c r="J2380" s="178"/>
      <c r="K2380" s="178"/>
      <c r="L2380" s="178"/>
      <c r="M2380" s="178"/>
      <c r="N2380" s="200"/>
      <c r="O2380" s="178"/>
      <c r="P2380" s="231"/>
      <c r="Q2380" s="224"/>
    </row>
    <row r="2381" spans="1:17" s="225" customFormat="1" ht="10.5" x14ac:dyDescent="0.25">
      <c r="A2381" s="229"/>
      <c r="B2381" s="230" t="s">
        <v>1813</v>
      </c>
      <c r="C2381" s="177"/>
      <c r="D2381" s="178"/>
      <c r="E2381" s="178"/>
      <c r="F2381" s="178"/>
      <c r="G2381" s="178"/>
      <c r="H2381" s="178"/>
      <c r="I2381" s="178"/>
      <c r="J2381" s="178"/>
      <c r="K2381" s="178"/>
      <c r="L2381" s="178"/>
      <c r="M2381" s="178"/>
      <c r="N2381" s="200">
        <f>QUANTBL!CQ183</f>
        <v>278.41103999999899</v>
      </c>
      <c r="O2381" s="178"/>
      <c r="P2381" s="231"/>
      <c r="Q2381" s="224"/>
    </row>
    <row r="2382" spans="1:17" s="225" customFormat="1" ht="10.5" x14ac:dyDescent="0.25">
      <c r="A2382" s="229"/>
      <c r="B2382" s="230"/>
      <c r="C2382" s="177"/>
      <c r="D2382" s="178"/>
      <c r="E2382" s="178"/>
      <c r="F2382" s="178"/>
      <c r="G2382" s="178"/>
      <c r="H2382" s="178"/>
      <c r="I2382" s="178"/>
      <c r="J2382" s="178"/>
      <c r="K2382" s="178"/>
      <c r="L2382" s="178"/>
      <c r="M2382" s="178"/>
      <c r="N2382" s="200"/>
      <c r="O2382" s="178"/>
      <c r="P2382" s="231"/>
      <c r="Q2382" s="224"/>
    </row>
    <row r="2383" spans="1:17" s="225" customFormat="1" ht="10.5" x14ac:dyDescent="0.25">
      <c r="A2383" s="229"/>
      <c r="B2383" s="232" t="s">
        <v>5</v>
      </c>
      <c r="C2383" s="182" t="s">
        <v>1328</v>
      </c>
      <c r="D2383" s="182"/>
      <c r="E2383" s="182"/>
      <c r="F2383" s="182"/>
      <c r="G2383" s="182"/>
      <c r="H2383" s="182"/>
      <c r="I2383" s="182"/>
      <c r="J2383" s="182"/>
      <c r="K2383" s="178"/>
      <c r="L2383" s="182"/>
      <c r="M2383" s="182"/>
      <c r="N2383" s="177">
        <f>SUM(N2380:N2382)</f>
        <v>278.41103999999899</v>
      </c>
      <c r="O2383" s="177"/>
      <c r="P2383" s="233"/>
      <c r="Q2383" s="224"/>
    </row>
    <row r="2384" spans="1:17" s="228" customFormat="1" ht="21" x14ac:dyDescent="0.25">
      <c r="A2384" s="226" t="str">
        <f>ORÇAMENTO!A467</f>
        <v>5.1.2.6.23</v>
      </c>
      <c r="B2384" s="227" t="str">
        <f>VLOOKUP(A2384,ORÇAMENTO!A:K,4,0)</f>
        <v>ESGOTAMENTO DE ÁGUA COM BOMBA SUBMERSA</v>
      </c>
      <c r="C2384" s="173" t="str">
        <f>VLOOKUP(A2384,ORÇAMENTO!A:K,5,0)</f>
        <v>H</v>
      </c>
      <c r="D2384" s="173">
        <f>ROUND(SUM(E2388:O2388),2)</f>
        <v>1.02</v>
      </c>
      <c r="E2384" s="173" t="s">
        <v>1718</v>
      </c>
      <c r="F2384" s="173" t="s">
        <v>1719</v>
      </c>
      <c r="G2384" s="173" t="s">
        <v>1720</v>
      </c>
      <c r="H2384" s="173" t="s">
        <v>1721</v>
      </c>
      <c r="I2384" s="173" t="s">
        <v>1722</v>
      </c>
      <c r="J2384" s="173" t="s">
        <v>1723</v>
      </c>
      <c r="K2384" s="173" t="s">
        <v>1724</v>
      </c>
      <c r="L2384" s="173" t="s">
        <v>1804</v>
      </c>
      <c r="M2384" s="173" t="s">
        <v>1726</v>
      </c>
      <c r="N2384" s="173" t="s">
        <v>1811</v>
      </c>
      <c r="O2384" s="173" t="s">
        <v>1728</v>
      </c>
      <c r="P2384" s="224"/>
      <c r="Q2384" s="224"/>
    </row>
    <row r="2385" spans="1:17" s="225" customFormat="1" ht="10.5" x14ac:dyDescent="0.25">
      <c r="A2385" s="229"/>
      <c r="B2385" s="230"/>
      <c r="C2385" s="177"/>
      <c r="D2385" s="178"/>
      <c r="E2385" s="178"/>
      <c r="F2385" s="178"/>
      <c r="G2385" s="178"/>
      <c r="H2385" s="178"/>
      <c r="I2385" s="178"/>
      <c r="J2385" s="178"/>
      <c r="K2385" s="178"/>
      <c r="L2385" s="178"/>
      <c r="M2385" s="178"/>
      <c r="N2385" s="200"/>
      <c r="O2385" s="178"/>
      <c r="P2385" s="231"/>
      <c r="Q2385" s="224"/>
    </row>
    <row r="2386" spans="1:17" s="225" customFormat="1" ht="10.5" x14ac:dyDescent="0.25">
      <c r="A2386" s="229"/>
      <c r="B2386" s="230" t="s">
        <v>1813</v>
      </c>
      <c r="C2386" s="177"/>
      <c r="D2386" s="178"/>
      <c r="E2386" s="178"/>
      <c r="F2386" s="178"/>
      <c r="G2386" s="178"/>
      <c r="H2386" s="178"/>
      <c r="I2386" s="178"/>
      <c r="J2386" s="178"/>
      <c r="K2386" s="178"/>
      <c r="L2386" s="178"/>
      <c r="M2386" s="178"/>
      <c r="N2386" s="200"/>
      <c r="O2386" s="178">
        <f>QUANTBL!AK183</f>
        <v>1.022238</v>
      </c>
      <c r="P2386" s="231"/>
      <c r="Q2386" s="224"/>
    </row>
    <row r="2387" spans="1:17" s="225" customFormat="1" ht="10.5" x14ac:dyDescent="0.25">
      <c r="A2387" s="229"/>
      <c r="B2387" s="230"/>
      <c r="C2387" s="177"/>
      <c r="D2387" s="178"/>
      <c r="E2387" s="178"/>
      <c r="F2387" s="178"/>
      <c r="G2387" s="178"/>
      <c r="H2387" s="178"/>
      <c r="I2387" s="178"/>
      <c r="J2387" s="178"/>
      <c r="K2387" s="178"/>
      <c r="L2387" s="178"/>
      <c r="M2387" s="178"/>
      <c r="N2387" s="200"/>
      <c r="O2387" s="178"/>
      <c r="P2387" s="231"/>
      <c r="Q2387" s="224"/>
    </row>
    <row r="2388" spans="1:17" s="225" customFormat="1" ht="10.5" x14ac:dyDescent="0.25">
      <c r="A2388" s="229"/>
      <c r="B2388" s="232" t="s">
        <v>5</v>
      </c>
      <c r="C2388" s="182" t="s">
        <v>1328</v>
      </c>
      <c r="D2388" s="182"/>
      <c r="E2388" s="182"/>
      <c r="F2388" s="182"/>
      <c r="G2388" s="182"/>
      <c r="H2388" s="182"/>
      <c r="I2388" s="182"/>
      <c r="J2388" s="182"/>
      <c r="K2388" s="178"/>
      <c r="L2388" s="182"/>
      <c r="M2388" s="182"/>
      <c r="N2388" s="177"/>
      <c r="O2388" s="177">
        <f>SUM(O2385:O2387)</f>
        <v>1.022238</v>
      </c>
      <c r="P2388" s="233"/>
      <c r="Q2388" s="224"/>
    </row>
    <row r="2389" spans="1:17" s="228" customFormat="1" ht="31.5" x14ac:dyDescent="0.25">
      <c r="A2389" s="226" t="str">
        <f>ORÇAMENTO!A468</f>
        <v>5.1.2.6.24</v>
      </c>
      <c r="B2389" s="227" t="str">
        <f>VLOOKUP(A2389,ORÇAMENTO!A:K,4,0)</f>
        <v>PREPARO DE FUNDO DE VALA COM LARGURA MENOR QUE 1,5 M, COM CAMADA DE BRITA, LANÇAMENTO MECANIZADO. AF_08/2020</v>
      </c>
      <c r="C2389" s="173" t="str">
        <f>VLOOKUP(A2389,ORÇAMENTO!A:K,5,0)</f>
        <v>M³</v>
      </c>
      <c r="D2389" s="173">
        <f>ROUND(SUM(E2392:O2392),2)</f>
        <v>6.96</v>
      </c>
      <c r="E2389" s="173" t="s">
        <v>1718</v>
      </c>
      <c r="F2389" s="173" t="s">
        <v>1719</v>
      </c>
      <c r="G2389" s="173" t="s">
        <v>1720</v>
      </c>
      <c r="H2389" s="173" t="s">
        <v>1721</v>
      </c>
      <c r="I2389" s="173" t="s">
        <v>1722</v>
      </c>
      <c r="J2389" s="173" t="s">
        <v>1723</v>
      </c>
      <c r="K2389" s="173" t="s">
        <v>1724</v>
      </c>
      <c r="L2389" s="173" t="s">
        <v>1804</v>
      </c>
      <c r="M2389" s="173" t="s">
        <v>1726</v>
      </c>
      <c r="N2389" s="173" t="s">
        <v>1811</v>
      </c>
      <c r="O2389" s="173" t="s">
        <v>1728</v>
      </c>
      <c r="P2389" s="224"/>
      <c r="Q2389" s="224"/>
    </row>
    <row r="2390" spans="1:17" s="225" customFormat="1" ht="10.5" x14ac:dyDescent="0.25">
      <c r="A2390" s="229"/>
      <c r="B2390" s="230" t="s">
        <v>1814</v>
      </c>
      <c r="C2390" s="177"/>
      <c r="D2390" s="178"/>
      <c r="E2390" s="178">
        <f>QUANTBL!O183</f>
        <v>139.18</v>
      </c>
      <c r="F2390" s="178">
        <v>1</v>
      </c>
      <c r="G2390" s="178"/>
      <c r="H2390" s="178">
        <v>0.05</v>
      </c>
      <c r="I2390" s="178"/>
      <c r="J2390" s="178"/>
      <c r="K2390" s="178"/>
      <c r="L2390" s="178"/>
      <c r="M2390" s="178"/>
      <c r="N2390" s="200"/>
      <c r="O2390" s="178">
        <f>E2390*F2390*H2390</f>
        <v>6.9590000000000005</v>
      </c>
      <c r="P2390" s="231"/>
      <c r="Q2390" s="224"/>
    </row>
    <row r="2391" spans="1:17" s="225" customFormat="1" ht="10.5" x14ac:dyDescent="0.25">
      <c r="A2391" s="229"/>
      <c r="B2391" s="230"/>
      <c r="C2391" s="177"/>
      <c r="D2391" s="178"/>
      <c r="E2391" s="178"/>
      <c r="F2391" s="178"/>
      <c r="G2391" s="178"/>
      <c r="H2391" s="178"/>
      <c r="I2391" s="178"/>
      <c r="J2391" s="178"/>
      <c r="K2391" s="178"/>
      <c r="L2391" s="178"/>
      <c r="M2391" s="178"/>
      <c r="N2391" s="200"/>
      <c r="O2391" s="178"/>
      <c r="P2391" s="231"/>
      <c r="Q2391" s="224"/>
    </row>
    <row r="2392" spans="1:17" s="225" customFormat="1" ht="10.5" x14ac:dyDescent="0.25">
      <c r="A2392" s="229"/>
      <c r="B2392" s="232" t="s">
        <v>5</v>
      </c>
      <c r="C2392" s="182" t="s">
        <v>1328</v>
      </c>
      <c r="D2392" s="182"/>
      <c r="E2392" s="182"/>
      <c r="F2392" s="182"/>
      <c r="G2392" s="182"/>
      <c r="H2392" s="182"/>
      <c r="I2392" s="182"/>
      <c r="J2392" s="182"/>
      <c r="K2392" s="178"/>
      <c r="L2392" s="182"/>
      <c r="M2392" s="182"/>
      <c r="N2392" s="177"/>
      <c r="O2392" s="177">
        <f>SUM(O2390:O2391)</f>
        <v>6.9590000000000005</v>
      </c>
      <c r="P2392" s="233"/>
      <c r="Q2392" s="224"/>
    </row>
    <row r="2393" spans="1:17" s="228" customFormat="1" ht="52.5" x14ac:dyDescent="0.25">
      <c r="A2393" s="226" t="str">
        <f>ORÇAMENTO!A469</f>
        <v>5.1.2.6.25</v>
      </c>
      <c r="B2393" s="227" t="str">
        <f>VLOOKUP(A2393,ORÇAMENTO!A:K,4,0)</f>
        <v>CONSTRUÇÃO DE PAVIMENTO COM APLICAÇÃO CONCRETO BETUMINOSO USINADO A QUENTE (CBUQ), CAMADA DE ROLAMENTO - EXCLUSIVE TRANSPORTE E CARGA  AF_03/2017 (SEM MATERIAL)</v>
      </c>
      <c r="C2393" s="173" t="str">
        <f>VLOOKUP(A2393,ORÇAMENTO!A:K,5,0)</f>
        <v>M³</v>
      </c>
      <c r="D2393" s="173">
        <f>ROUND(SUM(E2396:O2396),2)</f>
        <v>4.5</v>
      </c>
      <c r="E2393" s="173" t="s">
        <v>1718</v>
      </c>
      <c r="F2393" s="173" t="s">
        <v>1719</v>
      </c>
      <c r="G2393" s="173" t="s">
        <v>1720</v>
      </c>
      <c r="H2393" s="173" t="s">
        <v>1721</v>
      </c>
      <c r="I2393" s="173" t="s">
        <v>1722</v>
      </c>
      <c r="J2393" s="173" t="s">
        <v>1723</v>
      </c>
      <c r="K2393" s="173" t="s">
        <v>1724</v>
      </c>
      <c r="L2393" s="173" t="s">
        <v>1804</v>
      </c>
      <c r="M2393" s="173" t="s">
        <v>1726</v>
      </c>
      <c r="N2393" s="173" t="s">
        <v>1811</v>
      </c>
      <c r="O2393" s="173" t="s">
        <v>1728</v>
      </c>
      <c r="P2393" s="224"/>
      <c r="Q2393" s="224"/>
    </row>
    <row r="2394" spans="1:17" s="225" customFormat="1" ht="10.5" x14ac:dyDescent="0.25">
      <c r="A2394" s="229"/>
      <c r="B2394" s="230" t="s">
        <v>1784</v>
      </c>
      <c r="C2394" s="177"/>
      <c r="D2394" s="178"/>
      <c r="E2394" s="178"/>
      <c r="F2394" s="178"/>
      <c r="G2394" s="178"/>
      <c r="H2394" s="178"/>
      <c r="I2394" s="178"/>
      <c r="J2394" s="178"/>
      <c r="K2394" s="178"/>
      <c r="L2394" s="178"/>
      <c r="M2394" s="178"/>
      <c r="N2394" s="178">
        <f>QUANTBL!O183</f>
        <v>139.18</v>
      </c>
      <c r="O2394" s="178">
        <f>QUANTBL!AV183</f>
        <v>4.5026999999999999</v>
      </c>
      <c r="P2394" s="231"/>
      <c r="Q2394" s="224"/>
    </row>
    <row r="2395" spans="1:17" s="225" customFormat="1" ht="10.5" x14ac:dyDescent="0.25">
      <c r="A2395" s="229"/>
      <c r="B2395" s="230"/>
      <c r="C2395" s="177"/>
      <c r="D2395" s="178"/>
      <c r="E2395" s="178"/>
      <c r="F2395" s="178"/>
      <c r="G2395" s="178"/>
      <c r="H2395" s="178"/>
      <c r="I2395" s="178"/>
      <c r="J2395" s="178"/>
      <c r="K2395" s="178"/>
      <c r="L2395" s="178"/>
      <c r="M2395" s="178"/>
      <c r="N2395" s="200"/>
      <c r="O2395" s="178"/>
      <c r="P2395" s="231"/>
      <c r="Q2395" s="224"/>
    </row>
    <row r="2396" spans="1:17" s="225" customFormat="1" ht="10.5" x14ac:dyDescent="0.25">
      <c r="A2396" s="229"/>
      <c r="B2396" s="232" t="s">
        <v>5</v>
      </c>
      <c r="C2396" s="182" t="s">
        <v>1328</v>
      </c>
      <c r="D2396" s="182"/>
      <c r="E2396" s="182"/>
      <c r="F2396" s="182"/>
      <c r="G2396" s="182"/>
      <c r="H2396" s="182"/>
      <c r="I2396" s="182"/>
      <c r="J2396" s="182"/>
      <c r="K2396" s="178"/>
      <c r="L2396" s="182"/>
      <c r="M2396" s="182"/>
      <c r="N2396" s="177"/>
      <c r="O2396" s="177">
        <f>SUM(O2394:O2395)</f>
        <v>4.5026999999999999</v>
      </c>
      <c r="P2396" s="233"/>
      <c r="Q2396" s="224"/>
    </row>
    <row r="2397" spans="1:17" s="228" customFormat="1" ht="21" x14ac:dyDescent="0.25">
      <c r="A2397" s="226" t="str">
        <f>ORÇAMENTO!A470</f>
        <v>5.1.2.6.26</v>
      </c>
      <c r="B2397" s="227" t="str">
        <f>VLOOKUP(A2397,ORÇAMENTO!A:K,4,0)</f>
        <v>PINTURA DE LIGAÇÃO (SEM MATERIAL)</v>
      </c>
      <c r="C2397" s="173" t="str">
        <f>VLOOKUP(A2397,ORÇAMENTO!A:K,5,0)</f>
        <v>M²</v>
      </c>
      <c r="D2397" s="173">
        <f>ROUND(SUM(E2400:O2400),2)</f>
        <v>139.18</v>
      </c>
      <c r="E2397" s="173" t="s">
        <v>1718</v>
      </c>
      <c r="F2397" s="173" t="s">
        <v>1719</v>
      </c>
      <c r="G2397" s="173" t="s">
        <v>1720</v>
      </c>
      <c r="H2397" s="173" t="s">
        <v>1721</v>
      </c>
      <c r="I2397" s="173" t="s">
        <v>1722</v>
      </c>
      <c r="J2397" s="173" t="s">
        <v>1723</v>
      </c>
      <c r="K2397" s="173" t="s">
        <v>1724</v>
      </c>
      <c r="L2397" s="173" t="s">
        <v>1804</v>
      </c>
      <c r="M2397" s="173" t="s">
        <v>1726</v>
      </c>
      <c r="N2397" s="173" t="s">
        <v>1811</v>
      </c>
      <c r="O2397" s="173" t="s">
        <v>1728</v>
      </c>
      <c r="P2397" s="224"/>
      <c r="Q2397" s="224"/>
    </row>
    <row r="2398" spans="1:17" s="225" customFormat="1" ht="10.5" x14ac:dyDescent="0.25">
      <c r="A2398" s="229"/>
      <c r="B2398" s="230" t="str">
        <f>B2390</f>
        <v>VALAS DO TUBO DE LIGAÇÃO DN 400MM</v>
      </c>
      <c r="C2398" s="177"/>
      <c r="D2398" s="178"/>
      <c r="E2398" s="178"/>
      <c r="F2398" s="178"/>
      <c r="G2398" s="178"/>
      <c r="H2398" s="178"/>
      <c r="I2398" s="178"/>
      <c r="J2398" s="178"/>
      <c r="K2398" s="178"/>
      <c r="L2398" s="178"/>
      <c r="M2398" s="178"/>
      <c r="N2398" s="178">
        <f>N2394</f>
        <v>139.18</v>
      </c>
      <c r="O2398" s="178"/>
      <c r="P2398" s="231"/>
      <c r="Q2398" s="224"/>
    </row>
    <row r="2399" spans="1:17" s="225" customFormat="1" ht="10.5" x14ac:dyDescent="0.25">
      <c r="A2399" s="229"/>
      <c r="B2399" s="230"/>
      <c r="C2399" s="177"/>
      <c r="D2399" s="178"/>
      <c r="E2399" s="178"/>
      <c r="F2399" s="178"/>
      <c r="G2399" s="178"/>
      <c r="H2399" s="178"/>
      <c r="I2399" s="178"/>
      <c r="J2399" s="178"/>
      <c r="K2399" s="178"/>
      <c r="L2399" s="178"/>
      <c r="M2399" s="178"/>
      <c r="N2399" s="200"/>
      <c r="O2399" s="178"/>
      <c r="P2399" s="231"/>
      <c r="Q2399" s="224"/>
    </row>
    <row r="2400" spans="1:17" s="225" customFormat="1" ht="10.5" x14ac:dyDescent="0.25">
      <c r="A2400" s="229"/>
      <c r="B2400" s="232" t="s">
        <v>5</v>
      </c>
      <c r="C2400" s="182" t="s">
        <v>1328</v>
      </c>
      <c r="D2400" s="182"/>
      <c r="E2400" s="182"/>
      <c r="F2400" s="182"/>
      <c r="G2400" s="182"/>
      <c r="H2400" s="182"/>
      <c r="I2400" s="182"/>
      <c r="J2400" s="182"/>
      <c r="K2400" s="178"/>
      <c r="L2400" s="182"/>
      <c r="M2400" s="182"/>
      <c r="N2400" s="177">
        <f>SUM(N2398:N2399)</f>
        <v>139.18</v>
      </c>
      <c r="O2400" s="177"/>
      <c r="P2400" s="233"/>
      <c r="Q2400" s="224"/>
    </row>
    <row r="2401" spans="1:17" s="228" customFormat="1" ht="21" x14ac:dyDescent="0.25">
      <c r="A2401" s="226" t="str">
        <f>ORÇAMENTO!A471</f>
        <v>5.1.2.6.27</v>
      </c>
      <c r="B2401" s="227" t="str">
        <f>VLOOKUP(A2401,ORÇAMENTO!A:K,4,0)</f>
        <v>EMULSÃO ASFÁLTICA - RR-1C - FORNECIMENTO E TRANSPORTE</v>
      </c>
      <c r="C2401" s="173" t="str">
        <f>VLOOKUP(A2401,ORÇAMENTO!A:K,5,0)</f>
        <v>T</v>
      </c>
      <c r="D2401" s="173">
        <f>ROUND(SUM(E2406:O2406),2)</f>
        <v>0.06</v>
      </c>
      <c r="E2401" s="173" t="s">
        <v>1718</v>
      </c>
      <c r="F2401" s="173" t="s">
        <v>1719</v>
      </c>
      <c r="G2401" s="173" t="s">
        <v>1720</v>
      </c>
      <c r="H2401" s="173" t="s">
        <v>1721</v>
      </c>
      <c r="I2401" s="173" t="s">
        <v>1722</v>
      </c>
      <c r="J2401" s="173" t="s">
        <v>1723</v>
      </c>
      <c r="K2401" s="173" t="s">
        <v>1746</v>
      </c>
      <c r="L2401" s="173" t="s">
        <v>1777</v>
      </c>
      <c r="M2401" s="173" t="s">
        <v>1726</v>
      </c>
      <c r="N2401" s="173" t="s">
        <v>1811</v>
      </c>
      <c r="O2401" s="173" t="s">
        <v>1728</v>
      </c>
      <c r="P2401" s="224"/>
      <c r="Q2401" s="224"/>
    </row>
    <row r="2402" spans="1:17" s="225" customFormat="1" ht="21" x14ac:dyDescent="0.25">
      <c r="A2402" s="229"/>
      <c r="B2402" s="232" t="s">
        <v>1778</v>
      </c>
      <c r="C2402" s="177"/>
      <c r="D2402" s="178"/>
      <c r="E2402" s="178"/>
      <c r="F2402" s="178"/>
      <c r="G2402" s="178"/>
      <c r="H2402" s="178"/>
      <c r="I2402" s="178"/>
      <c r="J2402" s="178"/>
      <c r="K2402" s="178"/>
      <c r="L2402" s="178"/>
      <c r="M2402" s="178"/>
      <c r="N2402" s="178">
        <f>N2398</f>
        <v>139.18</v>
      </c>
      <c r="O2402" s="178"/>
      <c r="P2402" s="231"/>
      <c r="Q2402" s="224"/>
    </row>
    <row r="2403" spans="1:17" s="225" customFormat="1" ht="31.5" x14ac:dyDescent="0.25">
      <c r="A2403" s="229"/>
      <c r="B2403" s="230" t="s">
        <v>1779</v>
      </c>
      <c r="C2403" s="177"/>
      <c r="D2403" s="178"/>
      <c r="E2403" s="178"/>
      <c r="F2403" s="178"/>
      <c r="G2403" s="178"/>
      <c r="H2403" s="178"/>
      <c r="I2403" s="178"/>
      <c r="J2403" s="178"/>
      <c r="K2403" s="178"/>
      <c r="L2403" s="198">
        <v>4.4999999999999999E-4</v>
      </c>
      <c r="M2403" s="178"/>
      <c r="N2403" s="200"/>
      <c r="O2403" s="178"/>
      <c r="P2403" s="231"/>
      <c r="Q2403" s="224"/>
    </row>
    <row r="2404" spans="1:17" s="225" customFormat="1" ht="10.5" x14ac:dyDescent="0.25">
      <c r="A2404" s="229"/>
      <c r="B2404" s="230"/>
      <c r="C2404" s="177"/>
      <c r="D2404" s="178"/>
      <c r="E2404" s="178"/>
      <c r="F2404" s="178"/>
      <c r="G2404" s="178"/>
      <c r="H2404" s="178"/>
      <c r="I2404" s="178"/>
      <c r="J2404" s="178"/>
      <c r="K2404" s="178">
        <f>L2403*N2402</f>
        <v>6.2631000000000006E-2</v>
      </c>
      <c r="L2404" s="178"/>
      <c r="M2404" s="178"/>
      <c r="N2404" s="200"/>
      <c r="O2404" s="178"/>
      <c r="P2404" s="231"/>
      <c r="Q2404" s="224"/>
    </row>
    <row r="2405" spans="1:17" s="225" customFormat="1" ht="10.5" x14ac:dyDescent="0.25">
      <c r="A2405" s="229"/>
      <c r="B2405" s="230"/>
      <c r="C2405" s="177"/>
      <c r="D2405" s="178"/>
      <c r="E2405" s="178"/>
      <c r="F2405" s="178"/>
      <c r="G2405" s="178"/>
      <c r="H2405" s="178"/>
      <c r="I2405" s="178"/>
      <c r="J2405" s="178"/>
      <c r="K2405" s="178"/>
      <c r="L2405" s="178"/>
      <c r="M2405" s="178"/>
      <c r="N2405" s="200"/>
      <c r="O2405" s="178"/>
      <c r="P2405" s="231"/>
      <c r="Q2405" s="224"/>
    </row>
    <row r="2406" spans="1:17" s="225" customFormat="1" ht="10.5" x14ac:dyDescent="0.25">
      <c r="A2406" s="229"/>
      <c r="B2406" s="232" t="s">
        <v>5</v>
      </c>
      <c r="C2406" s="182" t="s">
        <v>1328</v>
      </c>
      <c r="D2406" s="182"/>
      <c r="E2406" s="182"/>
      <c r="F2406" s="182"/>
      <c r="G2406" s="182"/>
      <c r="H2406" s="182"/>
      <c r="I2406" s="182"/>
      <c r="J2406" s="182"/>
      <c r="K2406" s="177">
        <f>SUM(K2402:K2405)</f>
        <v>6.2631000000000006E-2</v>
      </c>
      <c r="L2406" s="182"/>
      <c r="M2406" s="182"/>
      <c r="N2406" s="177"/>
      <c r="O2406" s="177"/>
      <c r="P2406" s="233"/>
      <c r="Q2406" s="224"/>
    </row>
    <row r="2407" spans="1:17" s="228" customFormat="1" ht="21" x14ac:dyDescent="0.25">
      <c r="A2407" s="226" t="str">
        <f>ORÇAMENTO!A472</f>
        <v>5.1.2.6.28</v>
      </c>
      <c r="B2407" s="227" t="str">
        <f>VLOOKUP(A2407,ORÇAMENTO!A:K,4,0)</f>
        <v>IMPRIMAÇÃO COM EMULSÃO ASFÁLTICA (SEM MATERIAL)</v>
      </c>
      <c r="C2407" s="173" t="str">
        <f>VLOOKUP(A2407,ORÇAMENTO!A:K,5,0)</f>
        <v>M²</v>
      </c>
      <c r="D2407" s="173">
        <f>ROUND(SUM(E2410:O2410),2)</f>
        <v>139.18</v>
      </c>
      <c r="E2407" s="173" t="s">
        <v>1718</v>
      </c>
      <c r="F2407" s="173" t="s">
        <v>1719</v>
      </c>
      <c r="G2407" s="173" t="s">
        <v>1720</v>
      </c>
      <c r="H2407" s="173" t="s">
        <v>1721</v>
      </c>
      <c r="I2407" s="173" t="s">
        <v>1722</v>
      </c>
      <c r="J2407" s="173" t="s">
        <v>1723</v>
      </c>
      <c r="K2407" s="173" t="s">
        <v>1724</v>
      </c>
      <c r="L2407" s="173" t="s">
        <v>1804</v>
      </c>
      <c r="M2407" s="173" t="s">
        <v>1726</v>
      </c>
      <c r="N2407" s="173" t="s">
        <v>1811</v>
      </c>
      <c r="O2407" s="173" t="s">
        <v>1728</v>
      </c>
      <c r="P2407" s="224"/>
      <c r="Q2407" s="224"/>
    </row>
    <row r="2408" spans="1:17" s="225" customFormat="1" ht="10.5" x14ac:dyDescent="0.25">
      <c r="A2408" s="229"/>
      <c r="B2408" s="230" t="str">
        <f>B2398</f>
        <v>VALAS DO TUBO DE LIGAÇÃO DN 400MM</v>
      </c>
      <c r="C2408" s="177"/>
      <c r="D2408" s="178"/>
      <c r="E2408" s="178"/>
      <c r="F2408" s="178"/>
      <c r="G2408" s="178"/>
      <c r="H2408" s="178"/>
      <c r="I2408" s="178"/>
      <c r="J2408" s="178"/>
      <c r="K2408" s="178"/>
      <c r="L2408" s="178"/>
      <c r="M2408" s="178"/>
      <c r="N2408" s="178">
        <f>N2398</f>
        <v>139.18</v>
      </c>
      <c r="O2408" s="178"/>
      <c r="P2408" s="231"/>
      <c r="Q2408" s="224"/>
    </row>
    <row r="2409" spans="1:17" s="225" customFormat="1" ht="10.5" x14ac:dyDescent="0.25">
      <c r="A2409" s="229"/>
      <c r="B2409" s="230"/>
      <c r="C2409" s="177"/>
      <c r="D2409" s="178"/>
      <c r="E2409" s="178"/>
      <c r="F2409" s="178"/>
      <c r="G2409" s="178"/>
      <c r="H2409" s="178"/>
      <c r="I2409" s="178"/>
      <c r="J2409" s="178"/>
      <c r="K2409" s="178"/>
      <c r="L2409" s="178"/>
      <c r="M2409" s="178"/>
      <c r="N2409" s="200"/>
      <c r="O2409" s="178"/>
      <c r="P2409" s="231"/>
      <c r="Q2409" s="224"/>
    </row>
    <row r="2410" spans="1:17" s="225" customFormat="1" ht="10.5" x14ac:dyDescent="0.25">
      <c r="A2410" s="229"/>
      <c r="B2410" s="232" t="s">
        <v>5</v>
      </c>
      <c r="C2410" s="182" t="s">
        <v>1328</v>
      </c>
      <c r="D2410" s="182"/>
      <c r="E2410" s="182"/>
      <c r="F2410" s="182"/>
      <c r="G2410" s="182"/>
      <c r="H2410" s="182"/>
      <c r="I2410" s="182"/>
      <c r="J2410" s="182"/>
      <c r="K2410" s="178"/>
      <c r="L2410" s="182"/>
      <c r="M2410" s="182"/>
      <c r="N2410" s="177">
        <f>SUM(N2408:N2409)</f>
        <v>139.18</v>
      </c>
      <c r="O2410" s="177"/>
      <c r="P2410" s="233"/>
      <c r="Q2410" s="224"/>
    </row>
    <row r="2411" spans="1:17" s="228" customFormat="1" ht="21" x14ac:dyDescent="0.25">
      <c r="A2411" s="226" t="str">
        <f>ORÇAMENTO!A473</f>
        <v>5.1.2.6.29</v>
      </c>
      <c r="B2411" s="227" t="str">
        <f>VLOOKUP(A2411,ORÇAMENTO!A:K,4,0)</f>
        <v>EMULSÃO ASFÁLTICA PARA IMPRIMAÇÃO - FORNECIMENTO E TRANSPORTE</v>
      </c>
      <c r="C2411" s="173" t="str">
        <f>VLOOKUP(A2411,ORÇAMENTO!A:K,5,0)</f>
        <v>T</v>
      </c>
      <c r="D2411" s="173">
        <f>ROUND(SUM(E2416:O2416),2)</f>
        <v>0.18</v>
      </c>
      <c r="E2411" s="173" t="s">
        <v>1718</v>
      </c>
      <c r="F2411" s="173" t="s">
        <v>1719</v>
      </c>
      <c r="G2411" s="173" t="s">
        <v>1720</v>
      </c>
      <c r="H2411" s="173" t="s">
        <v>1721</v>
      </c>
      <c r="I2411" s="173" t="s">
        <v>1722</v>
      </c>
      <c r="J2411" s="173" t="s">
        <v>1723</v>
      </c>
      <c r="K2411" s="173" t="s">
        <v>1746</v>
      </c>
      <c r="L2411" s="173" t="s">
        <v>1777</v>
      </c>
      <c r="M2411" s="173" t="s">
        <v>1726</v>
      </c>
      <c r="N2411" s="173" t="s">
        <v>1811</v>
      </c>
      <c r="O2411" s="173" t="s">
        <v>1728</v>
      </c>
      <c r="P2411" s="224"/>
      <c r="Q2411" s="224"/>
    </row>
    <row r="2412" spans="1:17" s="225" customFormat="1" ht="10.5" x14ac:dyDescent="0.25">
      <c r="A2412" s="229"/>
      <c r="B2412" s="232" t="s">
        <v>1780</v>
      </c>
      <c r="C2412" s="177"/>
      <c r="D2412" s="178"/>
      <c r="E2412" s="178"/>
      <c r="F2412" s="178"/>
      <c r="G2412" s="178"/>
      <c r="H2412" s="178"/>
      <c r="I2412" s="178"/>
      <c r="J2412" s="178"/>
      <c r="K2412" s="178"/>
      <c r="L2412" s="178"/>
      <c r="M2412" s="178"/>
      <c r="N2412" s="178">
        <f>N2408</f>
        <v>139.18</v>
      </c>
      <c r="O2412" s="178"/>
      <c r="P2412" s="231"/>
      <c r="Q2412" s="224"/>
    </row>
    <row r="2413" spans="1:17" s="225" customFormat="1" ht="42" x14ac:dyDescent="0.25">
      <c r="A2413" s="229"/>
      <c r="B2413" s="230" t="s">
        <v>1781</v>
      </c>
      <c r="C2413" s="177"/>
      <c r="D2413" s="178"/>
      <c r="E2413" s="178"/>
      <c r="F2413" s="178"/>
      <c r="G2413" s="178"/>
      <c r="H2413" s="178"/>
      <c r="I2413" s="178"/>
      <c r="J2413" s="178"/>
      <c r="K2413" s="178"/>
      <c r="L2413" s="198">
        <v>1.2999999999999999E-3</v>
      </c>
      <c r="M2413" s="178"/>
      <c r="N2413" s="200"/>
      <c r="O2413" s="178"/>
      <c r="P2413" s="231"/>
      <c r="Q2413" s="224"/>
    </row>
    <row r="2414" spans="1:17" s="225" customFormat="1" ht="10.5" x14ac:dyDescent="0.25">
      <c r="A2414" s="229"/>
      <c r="B2414" s="230"/>
      <c r="C2414" s="177"/>
      <c r="D2414" s="178"/>
      <c r="E2414" s="178"/>
      <c r="F2414" s="178"/>
      <c r="G2414" s="178"/>
      <c r="H2414" s="178"/>
      <c r="I2414" s="178"/>
      <c r="J2414" s="178"/>
      <c r="K2414" s="178">
        <f>L2413*N2412</f>
        <v>0.18093400000000001</v>
      </c>
      <c r="L2414" s="178"/>
      <c r="M2414" s="178"/>
      <c r="N2414" s="200"/>
      <c r="O2414" s="178"/>
      <c r="P2414" s="231"/>
      <c r="Q2414" s="224"/>
    </row>
    <row r="2415" spans="1:17" s="225" customFormat="1" ht="10.5" x14ac:dyDescent="0.25">
      <c r="A2415" s="229"/>
      <c r="B2415" s="230"/>
      <c r="C2415" s="177"/>
      <c r="D2415" s="178"/>
      <c r="E2415" s="178"/>
      <c r="F2415" s="178"/>
      <c r="G2415" s="178"/>
      <c r="H2415" s="178"/>
      <c r="I2415" s="178"/>
      <c r="J2415" s="178"/>
      <c r="K2415" s="178"/>
      <c r="L2415" s="178"/>
      <c r="M2415" s="178"/>
      <c r="N2415" s="200"/>
      <c r="O2415" s="178"/>
      <c r="P2415" s="231"/>
      <c r="Q2415" s="224"/>
    </row>
    <row r="2416" spans="1:17" s="225" customFormat="1" ht="10.5" x14ac:dyDescent="0.25">
      <c r="A2416" s="229"/>
      <c r="B2416" s="232" t="s">
        <v>5</v>
      </c>
      <c r="C2416" s="182" t="s">
        <v>1328</v>
      </c>
      <c r="D2416" s="182"/>
      <c r="E2416" s="182"/>
      <c r="F2416" s="182"/>
      <c r="G2416" s="182"/>
      <c r="H2416" s="182"/>
      <c r="I2416" s="182"/>
      <c r="J2416" s="182"/>
      <c r="K2416" s="177">
        <f>SUM(K2412:K2415)</f>
        <v>0.18093400000000001</v>
      </c>
      <c r="L2416" s="182"/>
      <c r="M2416" s="182"/>
      <c r="N2416" s="177"/>
      <c r="O2416" s="177"/>
      <c r="P2416" s="233"/>
      <c r="Q2416" s="224"/>
    </row>
    <row r="2417" spans="1:17" s="228" customFormat="1" ht="21" x14ac:dyDescent="0.25">
      <c r="A2417" s="226" t="str">
        <f>ORÇAMENTO!A474</f>
        <v>5.1.2.6.30</v>
      </c>
      <c r="B2417" s="227" t="str">
        <f>VLOOKUP(A2417,ORÇAMENTO!A:K,4,0)</f>
        <v>USINAGEM DE CBUQ SEM  CAP 50/70, PARA CAPA DE ROLAMENTO (SEM MATERIAL  E TRANSPORTE)</v>
      </c>
      <c r="C2417" s="173" t="str">
        <f>VLOOKUP(A2417,ORÇAMENTO!A:K,5,0)</f>
        <v>T</v>
      </c>
      <c r="D2417" s="173">
        <f>ROUND(SUM(E2422:O2422),2)</f>
        <v>10.81</v>
      </c>
      <c r="E2417" s="173" t="s">
        <v>1718</v>
      </c>
      <c r="F2417" s="173" t="s">
        <v>1719</v>
      </c>
      <c r="G2417" s="173" t="s">
        <v>1720</v>
      </c>
      <c r="H2417" s="173" t="s">
        <v>1721</v>
      </c>
      <c r="I2417" s="173" t="s">
        <v>1722</v>
      </c>
      <c r="J2417" s="173" t="s">
        <v>1723</v>
      </c>
      <c r="K2417" s="173" t="s">
        <v>1746</v>
      </c>
      <c r="L2417" s="173" t="s">
        <v>1804</v>
      </c>
      <c r="M2417" s="173" t="s">
        <v>1726</v>
      </c>
      <c r="N2417" s="173" t="s">
        <v>1811</v>
      </c>
      <c r="O2417" s="173" t="s">
        <v>1728</v>
      </c>
      <c r="P2417" s="224"/>
      <c r="Q2417" s="224"/>
    </row>
    <row r="2418" spans="1:17" s="225" customFormat="1" ht="10.5" x14ac:dyDescent="0.25">
      <c r="A2418" s="229"/>
      <c r="B2418" s="232" t="s">
        <v>1745</v>
      </c>
      <c r="C2418" s="184"/>
      <c r="D2418" s="185"/>
      <c r="E2418" s="185"/>
      <c r="F2418" s="185"/>
      <c r="G2418" s="185"/>
      <c r="H2418" s="185"/>
      <c r="I2418" s="185"/>
      <c r="J2418" s="185"/>
      <c r="K2418" s="185"/>
      <c r="L2418" s="185"/>
      <c r="M2418" s="185"/>
      <c r="N2418" s="185"/>
      <c r="O2418" s="185"/>
      <c r="P2418" s="231"/>
      <c r="Q2418" s="224"/>
    </row>
    <row r="2419" spans="1:17" s="225" customFormat="1" ht="10.5" x14ac:dyDescent="0.25">
      <c r="A2419" s="229"/>
      <c r="B2419" s="230" t="s">
        <v>1785</v>
      </c>
      <c r="C2419" s="184"/>
      <c r="D2419" s="185"/>
      <c r="E2419" s="185"/>
      <c r="F2419" s="185"/>
      <c r="G2419" s="185"/>
      <c r="H2419" s="185"/>
      <c r="I2419" s="185"/>
      <c r="J2419" s="185"/>
      <c r="K2419" s="185"/>
      <c r="L2419" s="185">
        <v>2.4</v>
      </c>
      <c r="M2419" s="185"/>
      <c r="N2419" s="185"/>
      <c r="O2419" s="185"/>
      <c r="P2419" s="231"/>
      <c r="Q2419" s="224"/>
    </row>
    <row r="2420" spans="1:17" s="225" customFormat="1" ht="10.5" x14ac:dyDescent="0.25">
      <c r="A2420" s="229"/>
      <c r="B2420" s="230" t="str">
        <f>B2394</f>
        <v>CONCRETO BETUMINOSO USINADO A QUENTE</v>
      </c>
      <c r="C2420" s="184"/>
      <c r="D2420" s="185"/>
      <c r="E2420" s="185"/>
      <c r="F2420" s="185"/>
      <c r="G2420" s="185"/>
      <c r="H2420" s="185"/>
      <c r="I2420" s="185"/>
      <c r="J2420" s="185"/>
      <c r="K2420" s="185">
        <f>L2419*O2420</f>
        <v>10.806479999999999</v>
      </c>
      <c r="L2420" s="185"/>
      <c r="M2420" s="185"/>
      <c r="N2420" s="185"/>
      <c r="O2420" s="185">
        <f>O2396</f>
        <v>4.5026999999999999</v>
      </c>
      <c r="P2420" s="231"/>
      <c r="Q2420" s="224"/>
    </row>
    <row r="2421" spans="1:17" s="225" customFormat="1" ht="10.5" x14ac:dyDescent="0.25">
      <c r="A2421" s="229"/>
      <c r="B2421" s="230"/>
      <c r="C2421" s="177"/>
      <c r="D2421" s="178"/>
      <c r="E2421" s="178"/>
      <c r="F2421" s="178"/>
      <c r="G2421" s="178"/>
      <c r="H2421" s="178"/>
      <c r="I2421" s="178"/>
      <c r="J2421" s="178"/>
      <c r="K2421" s="178"/>
      <c r="L2421" s="178"/>
      <c r="M2421" s="178"/>
      <c r="N2421" s="200"/>
      <c r="O2421" s="178"/>
      <c r="P2421" s="231"/>
      <c r="Q2421" s="224"/>
    </row>
    <row r="2422" spans="1:17" s="225" customFormat="1" ht="10.5" x14ac:dyDescent="0.25">
      <c r="A2422" s="229"/>
      <c r="B2422" s="232" t="s">
        <v>5</v>
      </c>
      <c r="C2422" s="182" t="s">
        <v>1328</v>
      </c>
      <c r="D2422" s="182"/>
      <c r="E2422" s="182"/>
      <c r="F2422" s="182"/>
      <c r="G2422" s="182"/>
      <c r="H2422" s="182"/>
      <c r="I2422" s="182"/>
      <c r="J2422" s="182"/>
      <c r="K2422" s="177">
        <f>SUM(K2418:K2421)</f>
        <v>10.806479999999999</v>
      </c>
      <c r="L2422" s="182"/>
      <c r="M2422" s="182"/>
      <c r="N2422" s="177"/>
      <c r="O2422" s="177"/>
      <c r="P2422" s="233"/>
      <c r="Q2422" s="224"/>
    </row>
    <row r="2423" spans="1:17" s="228" customFormat="1" ht="21" x14ac:dyDescent="0.25">
      <c r="A2423" s="226" t="str">
        <f>ORÇAMENTO!A475</f>
        <v>5.1.2.6.31</v>
      </c>
      <c r="B2423" s="227" t="str">
        <f>VLOOKUP(A2423,ORÇAMENTO!A:K,4,0)</f>
        <v>CIMENTO ASFÁLTICO DE PETRÓLEO - CAP 50/70 FORNECIMENTO E TRANSPORTE</v>
      </c>
      <c r="C2423" s="173" t="str">
        <f>VLOOKUP(A2423,ORÇAMENTO!A:K,5,0)</f>
        <v>T</v>
      </c>
      <c r="D2423" s="173">
        <f>ROUND(SUM(E2427:O2427),2)</f>
        <v>0.68</v>
      </c>
      <c r="E2423" s="173" t="s">
        <v>1718</v>
      </c>
      <c r="F2423" s="173" t="s">
        <v>1719</v>
      </c>
      <c r="G2423" s="173" t="s">
        <v>1720</v>
      </c>
      <c r="H2423" s="173" t="s">
        <v>1721</v>
      </c>
      <c r="I2423" s="173" t="s">
        <v>1722</v>
      </c>
      <c r="J2423" s="173" t="s">
        <v>1723</v>
      </c>
      <c r="K2423" s="173" t="s">
        <v>1746</v>
      </c>
      <c r="L2423" s="173" t="s">
        <v>1753</v>
      </c>
      <c r="M2423" s="173" t="s">
        <v>1730</v>
      </c>
      <c r="N2423" s="173" t="s">
        <v>1727</v>
      </c>
      <c r="O2423" s="173" t="s">
        <v>1728</v>
      </c>
      <c r="P2423" s="224"/>
      <c r="Q2423" s="224"/>
    </row>
    <row r="2424" spans="1:17" s="225" customFormat="1" ht="10.5" x14ac:dyDescent="0.25">
      <c r="A2424" s="229"/>
      <c r="B2424" s="230" t="str">
        <f>B2420</f>
        <v>CONCRETO BETUMINOSO USINADO A QUENTE</v>
      </c>
      <c r="C2424" s="184"/>
      <c r="D2424" s="185"/>
      <c r="E2424" s="185"/>
      <c r="F2424" s="185"/>
      <c r="G2424" s="185"/>
      <c r="H2424" s="185"/>
      <c r="I2424" s="185"/>
      <c r="J2424" s="185"/>
      <c r="K2424" s="185">
        <f>K2420</f>
        <v>10.806479999999999</v>
      </c>
      <c r="L2424" s="185"/>
      <c r="M2424" s="185"/>
      <c r="N2424" s="185"/>
      <c r="O2424" s="185"/>
      <c r="P2424" s="231"/>
      <c r="Q2424" s="224"/>
    </row>
    <row r="2425" spans="1:17" s="225" customFormat="1" ht="10.5" x14ac:dyDescent="0.25">
      <c r="A2425" s="229"/>
      <c r="B2425" s="230" t="s">
        <v>1786</v>
      </c>
      <c r="C2425" s="184"/>
      <c r="D2425" s="185"/>
      <c r="E2425" s="185"/>
      <c r="F2425" s="185"/>
      <c r="G2425" s="185"/>
      <c r="H2425" s="185"/>
      <c r="I2425" s="185"/>
      <c r="J2425" s="185"/>
      <c r="K2425" s="185"/>
      <c r="L2425" s="199">
        <v>6.3229999999999995E-2</v>
      </c>
      <c r="M2425" s="185"/>
      <c r="N2425" s="185"/>
      <c r="O2425" s="185"/>
      <c r="P2425" s="231"/>
      <c r="Q2425" s="224"/>
    </row>
    <row r="2426" spans="1:17" s="225" customFormat="1" ht="10.5" x14ac:dyDescent="0.25">
      <c r="A2426" s="229"/>
      <c r="B2426" s="230"/>
      <c r="C2426" s="184"/>
      <c r="D2426" s="185"/>
      <c r="E2426" s="185"/>
      <c r="F2426" s="185"/>
      <c r="G2426" s="185"/>
      <c r="H2426" s="185"/>
      <c r="I2426" s="185"/>
      <c r="J2426" s="185"/>
      <c r="K2426" s="185">
        <f>K2424*L2425</f>
        <v>0.68329373039999985</v>
      </c>
      <c r="L2426" s="185"/>
      <c r="M2426" s="185"/>
      <c r="N2426" s="185"/>
      <c r="O2426" s="185"/>
      <c r="P2426" s="231"/>
      <c r="Q2426" s="224"/>
    </row>
    <row r="2427" spans="1:17" s="225" customFormat="1" ht="10.5" x14ac:dyDescent="0.25">
      <c r="A2427" s="229"/>
      <c r="B2427" s="232" t="s">
        <v>5</v>
      </c>
      <c r="C2427" s="182" t="s">
        <v>1328</v>
      </c>
      <c r="D2427" s="182"/>
      <c r="E2427" s="182"/>
      <c r="F2427" s="182"/>
      <c r="G2427" s="182"/>
      <c r="H2427" s="182"/>
      <c r="I2427" s="182"/>
      <c r="J2427" s="182"/>
      <c r="K2427" s="177">
        <f>SUM(K2426)</f>
        <v>0.68329373039999985</v>
      </c>
      <c r="L2427" s="182"/>
      <c r="M2427" s="182"/>
      <c r="N2427" s="177"/>
      <c r="O2427" s="177"/>
      <c r="P2427" s="233"/>
      <c r="Q2427" s="224"/>
    </row>
    <row r="2428" spans="1:17" s="228" customFormat="1" ht="52.5" x14ac:dyDescent="0.25">
      <c r="A2428" s="226" t="str">
        <f>ORÇAMENTO!A476</f>
        <v>5.1.2.6.32</v>
      </c>
      <c r="B2428" s="227" t="str">
        <f>VLOOKUP(A2428,ORÇAMENTO!A:K,4,0)</f>
        <v>EXECUÇÃO E COMPACTAÇÃO DE BASE E OU SUB BASE PARA PAVIMENTAÇÃO DE SOLO (PREDOMINANTEMENTE ARENOSO) COM CAL (TEOR DE 4%) - EXCLUSIVE SOLO, ESCAVAÇÃO, CARGA E TRANSPORTE.</v>
      </c>
      <c r="C2428" s="173" t="str">
        <f>VLOOKUP(A2428,ORÇAMENTO!A:K,5,0)</f>
        <v>M³</v>
      </c>
      <c r="D2428" s="173">
        <f>ROUND(SUM(E2432:O2432),2)</f>
        <v>22.51</v>
      </c>
      <c r="E2428" s="173" t="s">
        <v>1718</v>
      </c>
      <c r="F2428" s="173" t="s">
        <v>1719</v>
      </c>
      <c r="G2428" s="173" t="s">
        <v>1720</v>
      </c>
      <c r="H2428" s="173" t="s">
        <v>1721</v>
      </c>
      <c r="I2428" s="173" t="s">
        <v>1722</v>
      </c>
      <c r="J2428" s="173" t="s">
        <v>1723</v>
      </c>
      <c r="K2428" s="173" t="s">
        <v>1724</v>
      </c>
      <c r="L2428" s="173" t="s">
        <v>1804</v>
      </c>
      <c r="M2428" s="173" t="s">
        <v>1726</v>
      </c>
      <c r="N2428" s="173" t="s">
        <v>1811</v>
      </c>
      <c r="O2428" s="173" t="s">
        <v>1728</v>
      </c>
      <c r="P2428" s="224"/>
      <c r="Q2428" s="224"/>
    </row>
    <row r="2429" spans="1:17" s="225" customFormat="1" ht="10.5" x14ac:dyDescent="0.25">
      <c r="A2429" s="229"/>
      <c r="B2429" s="230" t="s">
        <v>1814</v>
      </c>
      <c r="C2429" s="177"/>
      <c r="D2429" s="178"/>
      <c r="E2429" s="178"/>
      <c r="F2429" s="178"/>
      <c r="G2429" s="178"/>
      <c r="H2429" s="178"/>
      <c r="I2429" s="178"/>
      <c r="J2429" s="178"/>
      <c r="K2429" s="178"/>
      <c r="L2429" s="178"/>
      <c r="M2429" s="178"/>
      <c r="N2429" s="200"/>
      <c r="O2429" s="178">
        <f>QUANTBL!AT183</f>
        <v>22.513499999999997</v>
      </c>
      <c r="P2429" s="231"/>
      <c r="Q2429" s="224"/>
    </row>
    <row r="2430" spans="1:17" s="225" customFormat="1" ht="10.5" x14ac:dyDescent="0.25">
      <c r="A2430" s="229"/>
      <c r="B2430" s="230"/>
      <c r="C2430" s="177"/>
      <c r="D2430" s="178"/>
      <c r="E2430" s="178"/>
      <c r="F2430" s="178"/>
      <c r="G2430" s="178"/>
      <c r="H2430" s="178"/>
      <c r="I2430" s="178"/>
      <c r="J2430" s="178"/>
      <c r="K2430" s="178"/>
      <c r="L2430" s="178"/>
      <c r="M2430" s="178"/>
      <c r="N2430" s="200"/>
      <c r="O2430" s="178"/>
      <c r="P2430" s="231"/>
      <c r="Q2430" s="224"/>
    </row>
    <row r="2431" spans="1:17" s="225" customFormat="1" ht="10.5" x14ac:dyDescent="0.25">
      <c r="A2431" s="229"/>
      <c r="B2431" s="230"/>
      <c r="C2431" s="177"/>
      <c r="D2431" s="178"/>
      <c r="E2431" s="178"/>
      <c r="F2431" s="178"/>
      <c r="G2431" s="178"/>
      <c r="H2431" s="178"/>
      <c r="I2431" s="178"/>
      <c r="J2431" s="178"/>
      <c r="K2431" s="178"/>
      <c r="L2431" s="178"/>
      <c r="M2431" s="178"/>
      <c r="N2431" s="200"/>
      <c r="O2431" s="178"/>
      <c r="P2431" s="231"/>
      <c r="Q2431" s="224"/>
    </row>
    <row r="2432" spans="1:17" s="225" customFormat="1" ht="10.5" x14ac:dyDescent="0.25">
      <c r="A2432" s="229"/>
      <c r="B2432" s="232" t="s">
        <v>5</v>
      </c>
      <c r="C2432" s="182" t="s">
        <v>1328</v>
      </c>
      <c r="D2432" s="182"/>
      <c r="E2432" s="182"/>
      <c r="F2432" s="182"/>
      <c r="G2432" s="182"/>
      <c r="H2432" s="182"/>
      <c r="I2432" s="182"/>
      <c r="J2432" s="182"/>
      <c r="K2432" s="178"/>
      <c r="L2432" s="182"/>
      <c r="M2432" s="182"/>
      <c r="N2432" s="177"/>
      <c r="O2432" s="177">
        <f>SUM(O2429:O2431)</f>
        <v>22.513499999999997</v>
      </c>
      <c r="P2432" s="233"/>
      <c r="Q2432" s="224"/>
    </row>
    <row r="2433" spans="1:17" s="228" customFormat="1" ht="21" x14ac:dyDescent="0.25">
      <c r="A2433" s="226" t="str">
        <f>ORÇAMENTO!A477</f>
        <v>5.1.2.6.33</v>
      </c>
      <c r="B2433" s="227" t="str">
        <f>VLOOKUP(A2433,ORÇAMENTO!A:K,4,0)</f>
        <v>BASE OU SUB-BASE DE BRITA GRADUADA COM BRITA COMERCIAL</v>
      </c>
      <c r="C2433" s="173" t="str">
        <f>VLOOKUP(A2433,ORÇAMENTO!A:K,5,0)</f>
        <v>M³</v>
      </c>
      <c r="D2433" s="173">
        <f>ROUND(SUM(E2437:O2437),2)</f>
        <v>22.51</v>
      </c>
      <c r="E2433" s="173" t="s">
        <v>1718</v>
      </c>
      <c r="F2433" s="173" t="s">
        <v>1719</v>
      </c>
      <c r="G2433" s="173" t="s">
        <v>1720</v>
      </c>
      <c r="H2433" s="173" t="s">
        <v>1721</v>
      </c>
      <c r="I2433" s="173" t="s">
        <v>1722</v>
      </c>
      <c r="J2433" s="173" t="s">
        <v>1723</v>
      </c>
      <c r="K2433" s="173" t="s">
        <v>1724</v>
      </c>
      <c r="L2433" s="173" t="s">
        <v>1804</v>
      </c>
      <c r="M2433" s="173" t="s">
        <v>1726</v>
      </c>
      <c r="N2433" s="173" t="s">
        <v>1811</v>
      </c>
      <c r="O2433" s="173" t="s">
        <v>1728</v>
      </c>
      <c r="P2433" s="224"/>
      <c r="Q2433" s="224"/>
    </row>
    <row r="2434" spans="1:17" s="225" customFormat="1" ht="10.5" x14ac:dyDescent="0.25">
      <c r="A2434" s="229"/>
      <c r="B2434" s="230" t="s">
        <v>1814</v>
      </c>
      <c r="C2434" s="177"/>
      <c r="D2434" s="178"/>
      <c r="E2434" s="178"/>
      <c r="F2434" s="178"/>
      <c r="G2434" s="178"/>
      <c r="H2434" s="178"/>
      <c r="I2434" s="178"/>
      <c r="J2434" s="178"/>
      <c r="K2434" s="178"/>
      <c r="L2434" s="178"/>
      <c r="M2434" s="178"/>
      <c r="N2434" s="200"/>
      <c r="O2434" s="178">
        <f>QUANTBL!AU183</f>
        <v>22.513499999999997</v>
      </c>
      <c r="P2434" s="231"/>
      <c r="Q2434" s="224"/>
    </row>
    <row r="2435" spans="1:17" s="225" customFormat="1" ht="10.5" x14ac:dyDescent="0.25">
      <c r="A2435" s="229"/>
      <c r="B2435" s="230"/>
      <c r="C2435" s="177"/>
      <c r="D2435" s="178"/>
      <c r="E2435" s="178"/>
      <c r="F2435" s="178"/>
      <c r="G2435" s="178"/>
      <c r="H2435" s="178"/>
      <c r="I2435" s="178"/>
      <c r="J2435" s="178"/>
      <c r="K2435" s="178"/>
      <c r="L2435" s="178"/>
      <c r="M2435" s="178"/>
      <c r="N2435" s="200"/>
      <c r="O2435" s="178"/>
      <c r="P2435" s="231"/>
      <c r="Q2435" s="224"/>
    </row>
    <row r="2436" spans="1:17" s="225" customFormat="1" ht="10.5" x14ac:dyDescent="0.25">
      <c r="A2436" s="229"/>
      <c r="B2436" s="230"/>
      <c r="C2436" s="177"/>
      <c r="D2436" s="178"/>
      <c r="E2436" s="178"/>
      <c r="F2436" s="178"/>
      <c r="G2436" s="178"/>
      <c r="H2436" s="178"/>
      <c r="I2436" s="178"/>
      <c r="J2436" s="178"/>
      <c r="K2436" s="178"/>
      <c r="L2436" s="178"/>
      <c r="M2436" s="178"/>
      <c r="N2436" s="200"/>
      <c r="O2436" s="178"/>
      <c r="P2436" s="231"/>
      <c r="Q2436" s="224"/>
    </row>
    <row r="2437" spans="1:17" s="225" customFormat="1" ht="10.5" x14ac:dyDescent="0.25">
      <c r="A2437" s="229"/>
      <c r="B2437" s="232" t="s">
        <v>5</v>
      </c>
      <c r="C2437" s="182" t="s">
        <v>1328</v>
      </c>
      <c r="D2437" s="182"/>
      <c r="E2437" s="182"/>
      <c r="F2437" s="182"/>
      <c r="G2437" s="182"/>
      <c r="H2437" s="182"/>
      <c r="I2437" s="182"/>
      <c r="J2437" s="182"/>
      <c r="K2437" s="178"/>
      <c r="L2437" s="182"/>
      <c r="M2437" s="182"/>
      <c r="N2437" s="177"/>
      <c r="O2437" s="177">
        <f>SUM(O2434:O2436)</f>
        <v>22.513499999999997</v>
      </c>
      <c r="P2437" s="233"/>
      <c r="Q2437" s="224"/>
    </row>
    <row r="2438" spans="1:17" s="228" customFormat="1" ht="21" x14ac:dyDescent="0.25">
      <c r="A2438" s="226" t="str">
        <f>ORÇAMENTO!A478</f>
        <v>5.1.2.6.34</v>
      </c>
      <c r="B2438" s="227" t="str">
        <f>VLOOKUP(A2438,ORÇAMENTO!A:K,4,0)</f>
        <v>CAL HIDRATADA - A GRANEL</v>
      </c>
      <c r="C2438" s="173" t="str">
        <f>VLOOKUP(A2438,ORÇAMENTO!A:K,5,0)</f>
        <v>KG</v>
      </c>
      <c r="D2438" s="173">
        <f>ROUND(SUM(E2442:O2442),2)</f>
        <v>2936.19</v>
      </c>
      <c r="E2438" s="173" t="s">
        <v>1718</v>
      </c>
      <c r="F2438" s="173" t="s">
        <v>1719</v>
      </c>
      <c r="G2438" s="173" t="s">
        <v>1720</v>
      </c>
      <c r="H2438" s="173" t="s">
        <v>1721</v>
      </c>
      <c r="I2438" s="173" t="s">
        <v>1722</v>
      </c>
      <c r="J2438" s="173" t="s">
        <v>1723</v>
      </c>
      <c r="K2438" s="173" t="s">
        <v>1724</v>
      </c>
      <c r="L2438" s="173" t="s">
        <v>1753</v>
      </c>
      <c r="M2438" s="173" t="s">
        <v>1726</v>
      </c>
      <c r="N2438" s="173" t="s">
        <v>1811</v>
      </c>
      <c r="O2438" s="173" t="s">
        <v>1728</v>
      </c>
      <c r="P2438" s="224"/>
      <c r="Q2438" s="224"/>
    </row>
    <row r="2439" spans="1:17" s="225" customFormat="1" ht="10.5" x14ac:dyDescent="0.25">
      <c r="A2439" s="229"/>
      <c r="B2439" s="232" t="s">
        <v>1815</v>
      </c>
      <c r="C2439" s="177"/>
      <c r="D2439" s="178"/>
      <c r="E2439" s="178"/>
      <c r="F2439" s="178"/>
      <c r="G2439" s="178"/>
      <c r="H2439" s="178"/>
      <c r="I2439" s="178"/>
      <c r="J2439" s="178"/>
      <c r="K2439" s="178"/>
      <c r="L2439" s="178"/>
      <c r="M2439" s="178"/>
      <c r="N2439" s="200"/>
      <c r="O2439" s="178">
        <f>QUANTBL!BD183</f>
        <v>0.59311999999999998</v>
      </c>
      <c r="P2439" s="231"/>
      <c r="Q2439" s="224"/>
    </row>
    <row r="2440" spans="1:17" s="225" customFormat="1" ht="10.5" x14ac:dyDescent="0.25">
      <c r="A2440" s="229"/>
      <c r="B2440" s="232" t="s">
        <v>451</v>
      </c>
      <c r="C2440" s="177"/>
      <c r="D2440" s="178"/>
      <c r="E2440" s="178"/>
      <c r="F2440" s="178"/>
      <c r="G2440" s="178"/>
      <c r="H2440" s="178"/>
      <c r="I2440" s="178"/>
      <c r="J2440" s="178"/>
      <c r="K2440" s="178"/>
      <c r="L2440" s="178"/>
      <c r="M2440" s="178"/>
      <c r="N2440" s="200"/>
      <c r="O2440" s="178">
        <f>QUANTBL!CM183</f>
        <v>0.83014399999999977</v>
      </c>
      <c r="P2440" s="231"/>
      <c r="Q2440" s="224"/>
    </row>
    <row r="2441" spans="1:17" s="225" customFormat="1" ht="31.5" x14ac:dyDescent="0.25">
      <c r="A2441" s="229"/>
      <c r="B2441" s="230" t="s">
        <v>1782</v>
      </c>
      <c r="C2441" s="177"/>
      <c r="D2441" s="178"/>
      <c r="E2441" s="178"/>
      <c r="F2441" s="178"/>
      <c r="G2441" s="178"/>
      <c r="H2441" s="178"/>
      <c r="I2441" s="178"/>
      <c r="J2441" s="178"/>
      <c r="K2441" s="178">
        <f>L2441*O2439+L2441*O2440</f>
        <v>2936.1936319999995</v>
      </c>
      <c r="L2441" s="178">
        <f>82.52/0.04</f>
        <v>2063</v>
      </c>
      <c r="M2441" s="178"/>
      <c r="N2441" s="200"/>
      <c r="O2441" s="178"/>
      <c r="P2441" s="231"/>
      <c r="Q2441" s="224"/>
    </row>
    <row r="2442" spans="1:17" s="225" customFormat="1" ht="10.5" x14ac:dyDescent="0.25">
      <c r="A2442" s="229"/>
      <c r="B2442" s="232" t="s">
        <v>5</v>
      </c>
      <c r="C2442" s="182" t="s">
        <v>1328</v>
      </c>
      <c r="D2442" s="182"/>
      <c r="E2442" s="182"/>
      <c r="F2442" s="182"/>
      <c r="G2442" s="182"/>
      <c r="H2442" s="182"/>
      <c r="I2442" s="182"/>
      <c r="J2442" s="182"/>
      <c r="K2442" s="177">
        <f>SUM(K2439:K2441)</f>
        <v>2936.1936319999995</v>
      </c>
      <c r="L2442" s="182"/>
      <c r="M2442" s="182"/>
      <c r="N2442" s="177"/>
      <c r="O2442" s="177"/>
      <c r="P2442" s="233"/>
      <c r="Q2442" s="224"/>
    </row>
    <row r="2443" spans="1:17" s="228" customFormat="1" ht="21" x14ac:dyDescent="0.25">
      <c r="A2443" s="226" t="str">
        <f>ORÇAMENTO!A479</f>
        <v>5.1.2.6.35</v>
      </c>
      <c r="B2443" s="227" t="str">
        <f>VLOOKUP(A2443,ORÇAMENTO!A:K,4,0)</f>
        <v>REATERRO MANUAL APILOADO COM SOQUETE</v>
      </c>
      <c r="C2443" s="173" t="str">
        <f>VLOOKUP(A2443,ORÇAMENTO!A:K,5,0)</f>
        <v>M³</v>
      </c>
      <c r="D2443" s="173">
        <f>ROUND(SUM(E2446:O2446),2)</f>
        <v>86.2</v>
      </c>
      <c r="E2443" s="173" t="s">
        <v>1718</v>
      </c>
      <c r="F2443" s="173" t="s">
        <v>1719</v>
      </c>
      <c r="G2443" s="173" t="s">
        <v>1720</v>
      </c>
      <c r="H2443" s="173" t="s">
        <v>1721</v>
      </c>
      <c r="I2443" s="173" t="s">
        <v>1722</v>
      </c>
      <c r="J2443" s="173" t="s">
        <v>1723</v>
      </c>
      <c r="K2443" s="173" t="s">
        <v>1724</v>
      </c>
      <c r="L2443" s="173" t="s">
        <v>1753</v>
      </c>
      <c r="M2443" s="173" t="s">
        <v>1726</v>
      </c>
      <c r="N2443" s="173" t="s">
        <v>1811</v>
      </c>
      <c r="O2443" s="173" t="s">
        <v>1728</v>
      </c>
      <c r="P2443" s="224"/>
      <c r="Q2443" s="224"/>
    </row>
    <row r="2444" spans="1:17" s="225" customFormat="1" ht="10.5" x14ac:dyDescent="0.25">
      <c r="A2444" s="229"/>
      <c r="B2444" s="232" t="s">
        <v>1815</v>
      </c>
      <c r="C2444" s="177"/>
      <c r="D2444" s="178"/>
      <c r="E2444" s="178"/>
      <c r="F2444" s="178"/>
      <c r="G2444" s="178"/>
      <c r="H2444" s="178"/>
      <c r="I2444" s="178"/>
      <c r="J2444" s="178"/>
      <c r="K2444" s="178"/>
      <c r="L2444" s="178"/>
      <c r="M2444" s="178"/>
      <c r="N2444" s="200"/>
      <c r="O2444" s="178"/>
      <c r="P2444" s="231"/>
      <c r="Q2444" s="224"/>
    </row>
    <row r="2445" spans="1:17" s="225" customFormat="1" ht="10.5" x14ac:dyDescent="0.25">
      <c r="A2445" s="229"/>
      <c r="B2445" s="230" t="s">
        <v>1787</v>
      </c>
      <c r="C2445" s="177"/>
      <c r="D2445" s="178"/>
      <c r="E2445" s="178"/>
      <c r="F2445" s="178"/>
      <c r="G2445" s="178"/>
      <c r="H2445" s="178"/>
      <c r="I2445" s="178"/>
      <c r="J2445" s="178"/>
      <c r="K2445" s="178"/>
      <c r="L2445" s="178"/>
      <c r="M2445" s="178"/>
      <c r="N2445" s="200"/>
      <c r="O2445" s="178">
        <f>QUANTBL!AR183</f>
        <v>86.202134344908316</v>
      </c>
      <c r="P2445" s="231"/>
      <c r="Q2445" s="224"/>
    </row>
    <row r="2446" spans="1:17" s="225" customFormat="1" ht="10.5" x14ac:dyDescent="0.25">
      <c r="A2446" s="229"/>
      <c r="B2446" s="232" t="s">
        <v>5</v>
      </c>
      <c r="C2446" s="182" t="s">
        <v>1328</v>
      </c>
      <c r="D2446" s="182"/>
      <c r="E2446" s="182"/>
      <c r="F2446" s="182"/>
      <c r="G2446" s="182"/>
      <c r="H2446" s="182"/>
      <c r="I2446" s="182"/>
      <c r="J2446" s="182"/>
      <c r="K2446" s="177"/>
      <c r="L2446" s="182"/>
      <c r="M2446" s="182"/>
      <c r="N2446" s="177"/>
      <c r="O2446" s="177">
        <f>SUM(O2445:O2445)</f>
        <v>86.202134344908316</v>
      </c>
      <c r="P2446" s="233"/>
      <c r="Q2446" s="224"/>
    </row>
    <row r="2447" spans="1:17" s="228" customFormat="1" ht="31.5" x14ac:dyDescent="0.25">
      <c r="A2447" s="226" t="str">
        <f>ORÇAMENTO!A480</f>
        <v>5.1.2.6.36</v>
      </c>
      <c r="B2447" s="227" t="str">
        <f>VLOOKUP(A2447,ORÇAMENTO!A:K,4,0)</f>
        <v>REATERRO COMPACTADO MECANICAMENTE EM CAMADAS DE 0,20 M COM APROVEITAMENTO DO MATERIAL ESCAVADO.</v>
      </c>
      <c r="C2447" s="173" t="str">
        <f>VLOOKUP(A2447,ORÇAMENTO!A:K,5,0)</f>
        <v>M³</v>
      </c>
      <c r="D2447" s="173">
        <f>ROUND(SUM(E2454:O2454),2)</f>
        <v>698.24</v>
      </c>
      <c r="E2447" s="173" t="s">
        <v>1718</v>
      </c>
      <c r="F2447" s="173" t="s">
        <v>1719</v>
      </c>
      <c r="G2447" s="173" t="s">
        <v>1720</v>
      </c>
      <c r="H2447" s="173" t="s">
        <v>1721</v>
      </c>
      <c r="I2447" s="173" t="s">
        <v>1722</v>
      </c>
      <c r="J2447" s="173" t="s">
        <v>1723</v>
      </c>
      <c r="K2447" s="173" t="s">
        <v>1724</v>
      </c>
      <c r="L2447" s="173" t="s">
        <v>1753</v>
      </c>
      <c r="M2447" s="173" t="s">
        <v>1726</v>
      </c>
      <c r="N2447" s="173" t="s">
        <v>1811</v>
      </c>
      <c r="O2447" s="173" t="s">
        <v>1728</v>
      </c>
      <c r="P2447" s="224"/>
      <c r="Q2447" s="224"/>
    </row>
    <row r="2448" spans="1:17" s="225" customFormat="1" ht="10.5" x14ac:dyDescent="0.25">
      <c r="A2448" s="229"/>
      <c r="B2448" s="232" t="s">
        <v>1815</v>
      </c>
      <c r="C2448" s="177"/>
      <c r="D2448" s="178"/>
      <c r="E2448" s="178"/>
      <c r="F2448" s="178"/>
      <c r="G2448" s="178"/>
      <c r="H2448" s="178"/>
      <c r="I2448" s="178"/>
      <c r="J2448" s="178"/>
      <c r="K2448" s="178"/>
      <c r="L2448" s="178"/>
      <c r="M2448" s="178"/>
      <c r="N2448" s="200"/>
      <c r="O2448" s="178"/>
      <c r="P2448" s="231"/>
      <c r="Q2448" s="224"/>
    </row>
    <row r="2449" spans="1:17" s="225" customFormat="1" ht="10.5" x14ac:dyDescent="0.25">
      <c r="A2449" s="229"/>
      <c r="B2449" s="230" t="s">
        <v>1787</v>
      </c>
      <c r="C2449" s="177"/>
      <c r="D2449" s="178"/>
      <c r="E2449" s="178"/>
      <c r="F2449" s="178"/>
      <c r="G2449" s="178"/>
      <c r="H2449" s="178"/>
      <c r="I2449" s="178"/>
      <c r="J2449" s="178"/>
      <c r="K2449" s="178"/>
      <c r="L2449" s="178"/>
      <c r="M2449" s="178"/>
      <c r="N2449" s="200"/>
      <c r="O2449" s="178">
        <f>QUANTBL!AY183</f>
        <v>145.74353592882994</v>
      </c>
      <c r="P2449" s="231"/>
      <c r="Q2449" s="224"/>
    </row>
    <row r="2450" spans="1:17" s="225" customFormat="1" ht="10.5" x14ac:dyDescent="0.25">
      <c r="A2450" s="229"/>
      <c r="B2450" s="230" t="s">
        <v>1816</v>
      </c>
      <c r="C2450" s="177"/>
      <c r="D2450" s="178"/>
      <c r="E2450" s="178"/>
      <c r="F2450" s="178"/>
      <c r="G2450" s="178"/>
      <c r="H2450" s="178"/>
      <c r="I2450" s="178"/>
      <c r="J2450" s="178"/>
      <c r="K2450" s="178"/>
      <c r="L2450" s="178"/>
      <c r="M2450" s="178"/>
      <c r="N2450" s="200"/>
      <c r="O2450" s="178">
        <f>QUANTBL!BA183</f>
        <v>33.748483726261455</v>
      </c>
      <c r="P2450" s="231"/>
      <c r="Q2450" s="224"/>
    </row>
    <row r="2451" spans="1:17" s="225" customFormat="1" ht="10.5" x14ac:dyDescent="0.25">
      <c r="A2451" s="229"/>
      <c r="B2451" s="230" t="s">
        <v>1790</v>
      </c>
      <c r="C2451" s="177"/>
      <c r="D2451" s="178"/>
      <c r="E2451" s="178"/>
      <c r="F2451" s="178"/>
      <c r="G2451" s="178"/>
      <c r="H2451" s="178"/>
      <c r="I2451" s="178"/>
      <c r="J2451" s="178"/>
      <c r="K2451" s="178"/>
      <c r="L2451" s="178"/>
      <c r="M2451" s="178"/>
      <c r="N2451" s="200"/>
      <c r="O2451" s="178">
        <f>QUANTBL!AO183</f>
        <v>10.783999999999999</v>
      </c>
      <c r="P2451" s="231"/>
      <c r="Q2451" s="224"/>
    </row>
    <row r="2452" spans="1:17" s="225" customFormat="1" ht="10.5" x14ac:dyDescent="0.25">
      <c r="A2452" s="229"/>
      <c r="B2452" s="232" t="s">
        <v>451</v>
      </c>
      <c r="C2452" s="177"/>
      <c r="D2452" s="178"/>
      <c r="E2452" s="178"/>
      <c r="F2452" s="178"/>
      <c r="G2452" s="178"/>
      <c r="H2452" s="178"/>
      <c r="I2452" s="178"/>
      <c r="J2452" s="178"/>
      <c r="K2452" s="178"/>
      <c r="L2452" s="178"/>
      <c r="M2452" s="178"/>
      <c r="N2452" s="200"/>
      <c r="O2452" s="178"/>
      <c r="P2452" s="231"/>
      <c r="Q2452" s="224"/>
    </row>
    <row r="2453" spans="1:17" s="225" customFormat="1" ht="10.5" x14ac:dyDescent="0.25">
      <c r="A2453" s="229"/>
      <c r="B2453" s="230" t="s">
        <v>1787</v>
      </c>
      <c r="C2453" s="177"/>
      <c r="D2453" s="178"/>
      <c r="E2453" s="178"/>
      <c r="F2453" s="178"/>
      <c r="G2453" s="178"/>
      <c r="H2453" s="178"/>
      <c r="I2453" s="178"/>
      <c r="J2453" s="178"/>
      <c r="K2453" s="178"/>
      <c r="L2453" s="178"/>
      <c r="M2453" s="178"/>
      <c r="N2453" s="200"/>
      <c r="O2453" s="178">
        <f>QUANTBL!CK183</f>
        <v>507.96368639999946</v>
      </c>
      <c r="P2453" s="231"/>
      <c r="Q2453" s="224"/>
    </row>
    <row r="2454" spans="1:17" s="225" customFormat="1" ht="10.5" x14ac:dyDescent="0.25">
      <c r="A2454" s="229"/>
      <c r="B2454" s="232" t="s">
        <v>5</v>
      </c>
      <c r="C2454" s="182" t="s">
        <v>1328</v>
      </c>
      <c r="D2454" s="182"/>
      <c r="E2454" s="182"/>
      <c r="F2454" s="182"/>
      <c r="G2454" s="182"/>
      <c r="H2454" s="182"/>
      <c r="I2454" s="182"/>
      <c r="J2454" s="182"/>
      <c r="K2454" s="177"/>
      <c r="L2454" s="182"/>
      <c r="M2454" s="182"/>
      <c r="N2454" s="177"/>
      <c r="O2454" s="177">
        <f>SUM(O2449:O2453)</f>
        <v>698.23970605509089</v>
      </c>
      <c r="P2454" s="233"/>
      <c r="Q2454" s="224"/>
    </row>
    <row r="2455" spans="1:17" s="228" customFormat="1" ht="52.5" x14ac:dyDescent="0.25">
      <c r="A2455" s="226" t="str">
        <f>ORÇAMENTO!A481</f>
        <v>5.1.2.6.37</v>
      </c>
      <c r="B2455" s="227" t="str">
        <f>VLOOKUP(A2455,ORÇAMENTO!A:K,4,0)</f>
        <v>CARGA, MANOBRA E DESCARGA DE SOLOS E MATERIAIS GRANULARES EM CAMINHÃO BASCULANTE 14 M³ - CARGA COM ESCAVADEIRA HIDRÁULICA (CAÇAMBA DE 1,20 M³ / 155 HP) E DESCARGA LIVRE (UNIDADE: M3). AF_07/2020</v>
      </c>
      <c r="C2455" s="173" t="str">
        <f>VLOOKUP(A2455,ORÇAMENTO!A:K,5,0)</f>
        <v>M³</v>
      </c>
      <c r="D2455" s="173">
        <f>ROUND(SUM(E2470:O2470),2)</f>
        <v>580.30999999999995</v>
      </c>
      <c r="E2455" s="173" t="s">
        <v>1718</v>
      </c>
      <c r="F2455" s="173" t="s">
        <v>1719</v>
      </c>
      <c r="G2455" s="173" t="s">
        <v>1720</v>
      </c>
      <c r="H2455" s="173" t="s">
        <v>1721</v>
      </c>
      <c r="I2455" s="173" t="s">
        <v>1722</v>
      </c>
      <c r="J2455" s="173" t="s">
        <v>1723</v>
      </c>
      <c r="K2455" s="173" t="s">
        <v>1724</v>
      </c>
      <c r="L2455" s="173" t="s">
        <v>1804</v>
      </c>
      <c r="M2455" s="173" t="s">
        <v>1726</v>
      </c>
      <c r="N2455" s="173" t="s">
        <v>1809</v>
      </c>
      <c r="O2455" s="173" t="s">
        <v>1728</v>
      </c>
      <c r="P2455" s="224"/>
      <c r="Q2455" s="224"/>
    </row>
    <row r="2456" spans="1:17" s="225" customFormat="1" ht="10.5" x14ac:dyDescent="0.25">
      <c r="A2456" s="229"/>
      <c r="B2456" s="230" t="s">
        <v>1772</v>
      </c>
      <c r="C2456" s="177"/>
      <c r="D2456" s="178"/>
      <c r="E2456" s="178"/>
      <c r="F2456" s="178"/>
      <c r="G2456" s="178"/>
      <c r="H2456" s="178"/>
      <c r="I2456" s="178"/>
      <c r="J2456" s="178"/>
      <c r="K2456" s="178"/>
      <c r="L2456" s="178"/>
      <c r="M2456" s="178"/>
      <c r="N2456" s="200"/>
      <c r="O2456" s="178"/>
      <c r="P2456" s="231"/>
      <c r="Q2456" s="224"/>
    </row>
    <row r="2457" spans="1:17" s="228" customFormat="1" ht="10.5" x14ac:dyDescent="0.25">
      <c r="A2457" s="239"/>
      <c r="B2457" s="232" t="str">
        <f>B2448</f>
        <v>LIGAÇÃO BOCA - PV</v>
      </c>
      <c r="C2457" s="177"/>
      <c r="D2457" s="177"/>
      <c r="E2457" s="177"/>
      <c r="F2457" s="177"/>
      <c r="G2457" s="177"/>
      <c r="H2457" s="177"/>
      <c r="I2457" s="177"/>
      <c r="J2457" s="177"/>
      <c r="K2457" s="177"/>
      <c r="L2457" s="177"/>
      <c r="M2457" s="177"/>
      <c r="N2457" s="202"/>
      <c r="O2457" s="177"/>
      <c r="P2457" s="231"/>
      <c r="Q2457" s="224"/>
    </row>
    <row r="2458" spans="1:17" s="225" customFormat="1" ht="10.5" x14ac:dyDescent="0.25">
      <c r="A2458" s="229"/>
      <c r="B2458" s="230" t="s">
        <v>1817</v>
      </c>
      <c r="C2458" s="177"/>
      <c r="D2458" s="178"/>
      <c r="E2458" s="178"/>
      <c r="F2458" s="178"/>
      <c r="G2458" s="178"/>
      <c r="H2458" s="178"/>
      <c r="I2458" s="178"/>
      <c r="J2458" s="178"/>
      <c r="K2458" s="178"/>
      <c r="L2458" s="178"/>
      <c r="M2458" s="178"/>
      <c r="N2458" s="200"/>
      <c r="O2458" s="178">
        <f>QUANTBL!BC185</f>
        <v>80.794001999999992</v>
      </c>
      <c r="P2458" s="231"/>
      <c r="Q2458" s="224"/>
    </row>
    <row r="2459" spans="1:17" s="225" customFormat="1" ht="10.5" x14ac:dyDescent="0.25">
      <c r="A2459" s="229"/>
      <c r="B2459" s="240" t="s">
        <v>1818</v>
      </c>
      <c r="C2459" s="177"/>
      <c r="D2459" s="178"/>
      <c r="E2459" s="178"/>
      <c r="F2459" s="178"/>
      <c r="G2459" s="178"/>
      <c r="H2459" s="178"/>
      <c r="I2459" s="178"/>
      <c r="J2459" s="178"/>
      <c r="K2459" s="178"/>
      <c r="L2459" s="178"/>
      <c r="M2459" s="178"/>
      <c r="N2459" s="200"/>
      <c r="O2459" s="178">
        <f>QUANTBL!BC184</f>
        <v>6.599891999999997</v>
      </c>
      <c r="P2459" s="231"/>
      <c r="Q2459" s="224"/>
    </row>
    <row r="2460" spans="1:17" s="228" customFormat="1" ht="10.5" x14ac:dyDescent="0.25">
      <c r="A2460" s="239"/>
      <c r="B2460" s="241" t="str">
        <f>B2452</f>
        <v>BOCAS DE LOBO</v>
      </c>
      <c r="C2460" s="177"/>
      <c r="D2460" s="177"/>
      <c r="E2460" s="177"/>
      <c r="F2460" s="177"/>
      <c r="G2460" s="177"/>
      <c r="H2460" s="177"/>
      <c r="I2460" s="177"/>
      <c r="J2460" s="177"/>
      <c r="K2460" s="177"/>
      <c r="L2460" s="177"/>
      <c r="M2460" s="177"/>
      <c r="N2460" s="202"/>
      <c r="O2460" s="177"/>
      <c r="P2460" s="231"/>
      <c r="Q2460" s="224"/>
    </row>
    <row r="2461" spans="1:17" s="225" customFormat="1" ht="10.5" x14ac:dyDescent="0.25">
      <c r="A2461" s="229"/>
      <c r="B2461" s="230" t="s">
        <v>1817</v>
      </c>
      <c r="C2461" s="177"/>
      <c r="D2461" s="178"/>
      <c r="E2461" s="178"/>
      <c r="F2461" s="178"/>
      <c r="G2461" s="178"/>
      <c r="H2461" s="178"/>
      <c r="I2461" s="178"/>
      <c r="J2461" s="178"/>
      <c r="K2461" s="178"/>
      <c r="L2461" s="178"/>
      <c r="M2461" s="178"/>
      <c r="N2461" s="200"/>
      <c r="O2461" s="178">
        <f>QUANTBL!CM186</f>
        <v>424.48033996799995</v>
      </c>
      <c r="P2461" s="231"/>
      <c r="Q2461" s="224"/>
    </row>
    <row r="2462" spans="1:17" s="225" customFormat="1" ht="10.5" x14ac:dyDescent="0.25">
      <c r="A2462" s="229"/>
      <c r="B2462" s="240" t="s">
        <v>1818</v>
      </c>
      <c r="C2462" s="177"/>
      <c r="D2462" s="178"/>
      <c r="E2462" s="178"/>
      <c r="F2462" s="178"/>
      <c r="G2462" s="178"/>
      <c r="H2462" s="178"/>
      <c r="I2462" s="178"/>
      <c r="J2462" s="178"/>
      <c r="K2462" s="178"/>
      <c r="L2462" s="178"/>
      <c r="M2462" s="178"/>
      <c r="N2462" s="200"/>
      <c r="O2462" s="178">
        <f>QUANTBL!CM185</f>
        <v>1.4649600000000014</v>
      </c>
      <c r="P2462" s="231"/>
      <c r="Q2462" s="224"/>
    </row>
    <row r="2463" spans="1:17" s="225" customFormat="1" ht="10.5" x14ac:dyDescent="0.25">
      <c r="A2463" s="229"/>
      <c r="B2463" s="240"/>
      <c r="C2463" s="177"/>
      <c r="D2463" s="178"/>
      <c r="E2463" s="178"/>
      <c r="F2463" s="178"/>
      <c r="G2463" s="178"/>
      <c r="H2463" s="178"/>
      <c r="I2463" s="178"/>
      <c r="J2463" s="178"/>
      <c r="K2463" s="178"/>
      <c r="L2463" s="178"/>
      <c r="M2463" s="178"/>
      <c r="N2463" s="200"/>
      <c r="O2463" s="178"/>
      <c r="P2463" s="231"/>
      <c r="Q2463" s="224"/>
    </row>
    <row r="2464" spans="1:17" s="228" customFormat="1" ht="10.5" x14ac:dyDescent="0.25">
      <c r="A2464" s="239"/>
      <c r="B2464" s="241" t="s">
        <v>1819</v>
      </c>
      <c r="C2464" s="177"/>
      <c r="D2464" s="177"/>
      <c r="E2464" s="177"/>
      <c r="F2464" s="177"/>
      <c r="G2464" s="177"/>
      <c r="H2464" s="177"/>
      <c r="I2464" s="177"/>
      <c r="J2464" s="177"/>
      <c r="K2464" s="177"/>
      <c r="L2464" s="177"/>
      <c r="M2464" s="177"/>
      <c r="N2464" s="202"/>
      <c r="O2464" s="177"/>
      <c r="P2464" s="231"/>
      <c r="Q2464" s="224"/>
    </row>
    <row r="2465" spans="1:19" s="225" customFormat="1" ht="10.5" x14ac:dyDescent="0.25">
      <c r="A2465" s="229"/>
      <c r="B2465" s="240" t="s">
        <v>1820</v>
      </c>
      <c r="C2465" s="177"/>
      <c r="D2465" s="178"/>
      <c r="E2465" s="178"/>
      <c r="F2465" s="178"/>
      <c r="G2465" s="178"/>
      <c r="H2465" s="178"/>
      <c r="I2465" s="178"/>
      <c r="J2465" s="178"/>
      <c r="K2465" s="178"/>
      <c r="L2465" s="178"/>
      <c r="M2465" s="178"/>
      <c r="N2465" s="200"/>
      <c r="O2465" s="178">
        <f>QUANTBL!AP183</f>
        <v>10.783999999999999</v>
      </c>
      <c r="P2465" s="231"/>
      <c r="Q2465" s="224"/>
    </row>
    <row r="2466" spans="1:19" s="225" customFormat="1" ht="10.5" x14ac:dyDescent="0.25">
      <c r="A2466" s="229"/>
      <c r="B2466" s="240" t="s">
        <v>1821</v>
      </c>
      <c r="C2466" s="177"/>
      <c r="D2466" s="178"/>
      <c r="E2466" s="178"/>
      <c r="F2466" s="178"/>
      <c r="G2466" s="178"/>
      <c r="H2466" s="178"/>
      <c r="I2466" s="178"/>
      <c r="J2466" s="178"/>
      <c r="K2466" s="178"/>
      <c r="L2466" s="178"/>
      <c r="M2466" s="178"/>
      <c r="N2466" s="200"/>
      <c r="O2466" s="178">
        <f>QUANTBL!AS183</f>
        <v>15.484106482368764</v>
      </c>
      <c r="P2466" s="231"/>
      <c r="Q2466" s="224"/>
    </row>
    <row r="2467" spans="1:19" s="225" customFormat="1" ht="10.5" x14ac:dyDescent="0.25">
      <c r="A2467" s="229"/>
      <c r="B2467" s="240" t="s">
        <v>1822</v>
      </c>
      <c r="C2467" s="177"/>
      <c r="D2467" s="178"/>
      <c r="E2467" s="178"/>
      <c r="F2467" s="178"/>
      <c r="G2467" s="178"/>
      <c r="H2467" s="178"/>
      <c r="I2467" s="178"/>
      <c r="J2467" s="178"/>
      <c r="K2467" s="178"/>
      <c r="L2467" s="178"/>
      <c r="M2467" s="178"/>
      <c r="N2467" s="200"/>
      <c r="O2467" s="178">
        <f>QUANTBL!BA183</f>
        <v>33.748483726261455</v>
      </c>
      <c r="P2467" s="231"/>
      <c r="Q2467" s="224"/>
    </row>
    <row r="2468" spans="1:19" s="225" customFormat="1" ht="31.5" x14ac:dyDescent="0.25">
      <c r="A2468" s="229"/>
      <c r="B2468" s="230" t="s">
        <v>1793</v>
      </c>
      <c r="C2468" s="177"/>
      <c r="D2468" s="178"/>
      <c r="E2468" s="178"/>
      <c r="F2468" s="178"/>
      <c r="G2468" s="178"/>
      <c r="H2468" s="178"/>
      <c r="I2468" s="178"/>
      <c r="J2468" s="178"/>
      <c r="K2468" s="178"/>
      <c r="L2468" s="178"/>
      <c r="M2468" s="178"/>
      <c r="N2468" s="200"/>
      <c r="O2468" s="178">
        <f>O2392</f>
        <v>6.9590000000000005</v>
      </c>
      <c r="P2468" s="231"/>
      <c r="Q2468" s="224"/>
    </row>
    <row r="2469" spans="1:19" s="225" customFormat="1" ht="10.5" x14ac:dyDescent="0.25">
      <c r="A2469" s="229"/>
      <c r="B2469" s="230"/>
      <c r="C2469" s="177"/>
      <c r="D2469" s="178"/>
      <c r="E2469" s="178"/>
      <c r="F2469" s="178"/>
      <c r="G2469" s="178"/>
      <c r="H2469" s="178"/>
      <c r="I2469" s="178"/>
      <c r="J2469" s="178"/>
      <c r="K2469" s="178"/>
      <c r="L2469" s="178"/>
      <c r="M2469" s="178"/>
      <c r="N2469" s="200"/>
      <c r="O2469" s="178"/>
      <c r="P2469" s="231"/>
      <c r="Q2469" s="224"/>
    </row>
    <row r="2470" spans="1:19" s="225" customFormat="1" ht="10.5" x14ac:dyDescent="0.25">
      <c r="A2470" s="229"/>
      <c r="B2470" s="232" t="s">
        <v>5</v>
      </c>
      <c r="C2470" s="182" t="s">
        <v>1328</v>
      </c>
      <c r="D2470" s="182"/>
      <c r="E2470" s="182"/>
      <c r="F2470" s="182"/>
      <c r="G2470" s="182"/>
      <c r="H2470" s="182"/>
      <c r="I2470" s="182"/>
      <c r="J2470" s="182"/>
      <c r="K2470" s="178"/>
      <c r="L2470" s="182"/>
      <c r="M2470" s="182"/>
      <c r="N2470" s="177"/>
      <c r="O2470" s="177">
        <f>SUM(O2456:O2469)</f>
        <v>580.31478417663016</v>
      </c>
      <c r="P2470" s="233"/>
      <c r="Q2470" s="224"/>
    </row>
    <row r="2471" spans="1:19" s="235" customFormat="1" ht="31.5" x14ac:dyDescent="0.35">
      <c r="A2471" s="226" t="str">
        <f>ORÇAMENTO!A482</f>
        <v>5.1.2.6.38</v>
      </c>
      <c r="B2471" s="227" t="str">
        <f>VLOOKUP(A2471,ORÇAMENTO!A:K,4,0)</f>
        <v>TRANSPORTE COM CAMINHÃO BASCULANTE DE 14 M³, EM VIA URBANA PAVIMENTADA, DMT ATÉ 30 KM (UNIDADE: M3XKM). AF_07/2020</v>
      </c>
      <c r="C2471" s="173" t="str">
        <f>VLOOKUP(A2471,ORÇAMENTO!A:K,5,0)</f>
        <v>M3XKM</v>
      </c>
      <c r="D2471" s="173">
        <f>SUM(E2478:O2478)</f>
        <v>9487.1537722775138</v>
      </c>
      <c r="E2471" s="173" t="s">
        <v>1752</v>
      </c>
      <c r="F2471" s="173" t="s">
        <v>1719</v>
      </c>
      <c r="G2471" s="173" t="s">
        <v>1720</v>
      </c>
      <c r="H2471" s="173" t="s">
        <v>1721</v>
      </c>
      <c r="I2471" s="173" t="s">
        <v>1722</v>
      </c>
      <c r="J2471" s="173" t="s">
        <v>1723</v>
      </c>
      <c r="K2471" s="173" t="s">
        <v>1746</v>
      </c>
      <c r="L2471" s="173" t="s">
        <v>1753</v>
      </c>
      <c r="M2471" s="173" t="s">
        <v>1750</v>
      </c>
      <c r="N2471" s="173" t="s">
        <v>1727</v>
      </c>
      <c r="O2471" s="173" t="s">
        <v>1728</v>
      </c>
      <c r="P2471" s="224"/>
      <c r="Q2471" s="224"/>
      <c r="R2471" s="224"/>
      <c r="S2471" s="224"/>
    </row>
    <row r="2472" spans="1:19" s="225" customFormat="1" ht="31.5" x14ac:dyDescent="0.25">
      <c r="A2472" s="229"/>
      <c r="B2472" s="230" t="s">
        <v>4398</v>
      </c>
      <c r="C2472" s="177"/>
      <c r="D2472" s="178"/>
      <c r="E2472" s="178">
        <v>0.2</v>
      </c>
      <c r="F2472" s="178"/>
      <c r="G2472" s="178"/>
      <c r="H2472" s="178"/>
      <c r="I2472" s="178"/>
      <c r="J2472" s="178"/>
      <c r="K2472" s="178"/>
      <c r="L2472" s="190"/>
      <c r="M2472" s="178">
        <f>E2472*O2472</f>
        <v>40.960911173182623</v>
      </c>
      <c r="N2472" s="178"/>
      <c r="O2472" s="178">
        <f>(Quantitativos!BJ92+QUANTBL!BA186)*1.15</f>
        <v>204.8045558659131</v>
      </c>
      <c r="P2472" s="231"/>
      <c r="Q2472" s="224"/>
    </row>
    <row r="2473" spans="1:19" s="225" customFormat="1" ht="21" x14ac:dyDescent="0.25">
      <c r="A2473" s="229"/>
      <c r="B2473" s="230" t="s">
        <v>1773</v>
      </c>
      <c r="C2473" s="177"/>
      <c r="D2473" s="178"/>
      <c r="E2473" s="178">
        <v>30</v>
      </c>
      <c r="F2473" s="178"/>
      <c r="G2473" s="178"/>
      <c r="H2473" s="178"/>
      <c r="I2473" s="178"/>
      <c r="J2473" s="178"/>
      <c r="K2473" s="178"/>
      <c r="L2473" s="190"/>
      <c r="M2473" s="178">
        <f>E2473*O2473</f>
        <v>9014.093583062604</v>
      </c>
      <c r="N2473" s="178"/>
      <c r="O2473" s="178">
        <f>O2458+O2461-O2472</f>
        <v>300.4697861020868</v>
      </c>
      <c r="P2473" s="231"/>
      <c r="Q2473" s="224"/>
    </row>
    <row r="2474" spans="1:19" s="225" customFormat="1" ht="21" x14ac:dyDescent="0.25">
      <c r="A2474" s="229"/>
      <c r="B2474" s="230" t="s">
        <v>1774</v>
      </c>
      <c r="C2474" s="177"/>
      <c r="D2474" s="178"/>
      <c r="E2474" s="178">
        <v>30</v>
      </c>
      <c r="F2474" s="178"/>
      <c r="G2474" s="178"/>
      <c r="H2474" s="178"/>
      <c r="I2474" s="178"/>
      <c r="J2474" s="178"/>
      <c r="K2474" s="178"/>
      <c r="L2474" s="190"/>
      <c r="M2474" s="178">
        <f>E2474*O2474</f>
        <v>241.94555999999994</v>
      </c>
      <c r="N2474" s="178"/>
      <c r="O2474" s="178">
        <f>O2459+O2462</f>
        <v>8.0648519999999984</v>
      </c>
      <c r="P2474" s="231"/>
      <c r="Q2474" s="224"/>
    </row>
    <row r="2475" spans="1:19" s="225" customFormat="1" ht="10.5" x14ac:dyDescent="0.25">
      <c r="A2475" s="229"/>
      <c r="B2475" s="230"/>
      <c r="C2475" s="177"/>
      <c r="D2475" s="178"/>
      <c r="E2475" s="178"/>
      <c r="F2475" s="178"/>
      <c r="G2475" s="178"/>
      <c r="H2475" s="178"/>
      <c r="I2475" s="178"/>
      <c r="J2475" s="178"/>
      <c r="K2475" s="178"/>
      <c r="L2475" s="190"/>
      <c r="M2475" s="178"/>
      <c r="N2475" s="178"/>
      <c r="O2475" s="178"/>
      <c r="P2475" s="231"/>
      <c r="Q2475" s="224"/>
    </row>
    <row r="2476" spans="1:19" s="225" customFormat="1" ht="21" x14ac:dyDescent="0.25">
      <c r="A2476" s="229"/>
      <c r="B2476" s="230" t="s">
        <v>1794</v>
      </c>
      <c r="C2476" s="177"/>
      <c r="D2476" s="178"/>
      <c r="E2476" s="178">
        <v>0.2</v>
      </c>
      <c r="F2476" s="178"/>
      <c r="G2476" s="178"/>
      <c r="H2476" s="178"/>
      <c r="I2476" s="178"/>
      <c r="J2476" s="178"/>
      <c r="K2476" s="178"/>
      <c r="L2476" s="190"/>
      <c r="M2476" s="178">
        <f>E2476*O2476</f>
        <v>12.003318041726045</v>
      </c>
      <c r="N2476" s="178"/>
      <c r="O2476" s="178">
        <f>SUM(O2465:O2467)</f>
        <v>60.01659020863022</v>
      </c>
      <c r="P2476" s="231"/>
      <c r="Q2476" s="224"/>
    </row>
    <row r="2477" spans="1:19" s="225" customFormat="1" ht="31.5" x14ac:dyDescent="0.25">
      <c r="A2477" s="229"/>
      <c r="B2477" s="230" t="s">
        <v>1797</v>
      </c>
      <c r="C2477" s="177"/>
      <c r="D2477" s="178"/>
      <c r="E2477" s="178">
        <v>25.6</v>
      </c>
      <c r="F2477" s="178"/>
      <c r="G2477" s="178"/>
      <c r="H2477" s="178"/>
      <c r="I2477" s="178"/>
      <c r="J2477" s="178"/>
      <c r="K2477" s="178"/>
      <c r="L2477" s="190"/>
      <c r="M2477" s="178">
        <f>E2477*O2477</f>
        <v>178.15040000000002</v>
      </c>
      <c r="N2477" s="178"/>
      <c r="O2477" s="178">
        <f>O2468</f>
        <v>6.9590000000000005</v>
      </c>
      <c r="P2477" s="231"/>
      <c r="Q2477" s="224"/>
    </row>
    <row r="2478" spans="1:19" s="225" customFormat="1" ht="10.5" x14ac:dyDescent="0.25">
      <c r="A2478" s="229"/>
      <c r="B2478" s="232" t="s">
        <v>5</v>
      </c>
      <c r="C2478" s="182" t="s">
        <v>1328</v>
      </c>
      <c r="D2478" s="182"/>
      <c r="E2478" s="182"/>
      <c r="F2478" s="182"/>
      <c r="G2478" s="182"/>
      <c r="H2478" s="182"/>
      <c r="I2478" s="182"/>
      <c r="J2478" s="182"/>
      <c r="K2478" s="182"/>
      <c r="L2478" s="182"/>
      <c r="M2478" s="182">
        <f>SUM(M2472:M2477)</f>
        <v>9487.1537722775138</v>
      </c>
      <c r="N2478" s="182"/>
      <c r="O2478" s="182"/>
      <c r="P2478" s="233"/>
      <c r="Q2478" s="224"/>
    </row>
    <row r="2479" spans="1:19" s="235" customFormat="1" ht="42" x14ac:dyDescent="0.35">
      <c r="A2479" s="226" t="str">
        <f>ORÇAMENTO!A483</f>
        <v>5.1.2.6.39</v>
      </c>
      <c r="B2479" s="227" t="str">
        <f>VLOOKUP(A2479,ORÇAMENTO!A:K,4,0)</f>
        <v>TRANSPORTE COM CAMINHÃO BASCULANTE DE 14 M³, EM VIA URBANA PAVIMENTADA, ADICIONAL PARA DMT EXCEDENTE A 30 KM (UNIDADE: M3XKM). AF_07/2020</v>
      </c>
      <c r="C2479" s="173" t="str">
        <f>VLOOKUP(A2479,ORÇAMENTO!A:K,5,0)</f>
        <v>M3XKM</v>
      </c>
      <c r="D2479" s="173">
        <f>SUM(E2482:O2482)</f>
        <v>4548.9407826496326</v>
      </c>
      <c r="E2479" s="173" t="s">
        <v>1752</v>
      </c>
      <c r="F2479" s="173" t="s">
        <v>1719</v>
      </c>
      <c r="G2479" s="173" t="s">
        <v>1720</v>
      </c>
      <c r="H2479" s="173" t="s">
        <v>1721</v>
      </c>
      <c r="I2479" s="173" t="s">
        <v>1722</v>
      </c>
      <c r="J2479" s="173" t="s">
        <v>1723</v>
      </c>
      <c r="K2479" s="173" t="s">
        <v>1746</v>
      </c>
      <c r="L2479" s="173" t="s">
        <v>1753</v>
      </c>
      <c r="M2479" s="173" t="s">
        <v>1750</v>
      </c>
      <c r="N2479" s="173" t="s">
        <v>1727</v>
      </c>
      <c r="O2479" s="173" t="s">
        <v>1728</v>
      </c>
      <c r="P2479" s="224"/>
      <c r="Q2479" s="224"/>
      <c r="R2479" s="224"/>
      <c r="S2479" s="224"/>
    </row>
    <row r="2480" spans="1:19" s="225" customFormat="1" ht="21" x14ac:dyDescent="0.25">
      <c r="A2480" s="229"/>
      <c r="B2480" s="230" t="str">
        <f>B2473</f>
        <v>TRANSPORTE ATÉ ATERRO ESTRUTURAL - BOTA FORA - MATERIAL NÃO APROVEITADO</v>
      </c>
      <c r="C2480" s="177"/>
      <c r="D2480" s="178"/>
      <c r="E2480" s="178">
        <f>44.2-E2473</f>
        <v>14.200000000000003</v>
      </c>
      <c r="F2480" s="178"/>
      <c r="G2480" s="178"/>
      <c r="H2480" s="178"/>
      <c r="I2480" s="178"/>
      <c r="J2480" s="178"/>
      <c r="K2480" s="178"/>
      <c r="L2480" s="190"/>
      <c r="M2480" s="178">
        <f>E2480*O2480</f>
        <v>4266.6709626496331</v>
      </c>
      <c r="N2480" s="178"/>
      <c r="O2480" s="178">
        <f>O2473</f>
        <v>300.4697861020868</v>
      </c>
      <c r="P2480" s="231"/>
      <c r="Q2480" s="224"/>
    </row>
    <row r="2481" spans="1:19" s="225" customFormat="1" ht="21" x14ac:dyDescent="0.25">
      <c r="A2481" s="229"/>
      <c r="B2481" s="230" t="str">
        <f>B2474</f>
        <v>TRANSPORTE ATÉ ATERRO SAMAMBIA - BOTA FORA - ROCHA</v>
      </c>
      <c r="C2481" s="177"/>
      <c r="D2481" s="178"/>
      <c r="E2481" s="178">
        <v>35</v>
      </c>
      <c r="F2481" s="178"/>
      <c r="G2481" s="178"/>
      <c r="H2481" s="178"/>
      <c r="I2481" s="178"/>
      <c r="J2481" s="178"/>
      <c r="K2481" s="178"/>
      <c r="L2481" s="190"/>
      <c r="M2481" s="178">
        <f>E2481*O2481</f>
        <v>282.26981999999992</v>
      </c>
      <c r="N2481" s="178"/>
      <c r="O2481" s="178">
        <f>O2474</f>
        <v>8.0648519999999984</v>
      </c>
      <c r="P2481" s="231"/>
      <c r="Q2481" s="224"/>
    </row>
    <row r="2482" spans="1:19" s="225" customFormat="1" ht="10.5" x14ac:dyDescent="0.25">
      <c r="A2482" s="229"/>
      <c r="B2482" s="232" t="s">
        <v>5</v>
      </c>
      <c r="C2482" s="182" t="s">
        <v>1328</v>
      </c>
      <c r="D2482" s="182"/>
      <c r="E2482" s="182"/>
      <c r="F2482" s="182"/>
      <c r="G2482" s="182"/>
      <c r="H2482" s="182"/>
      <c r="I2482" s="182"/>
      <c r="J2482" s="182"/>
      <c r="K2482" s="182"/>
      <c r="L2482" s="182"/>
      <c r="M2482" s="182">
        <f>SUM(M2480:M2481)</f>
        <v>4548.9407826496326</v>
      </c>
      <c r="N2482" s="182"/>
      <c r="O2482" s="182"/>
      <c r="P2482" s="233"/>
      <c r="Q2482" s="224"/>
    </row>
    <row r="2483" spans="1:19" s="235" customFormat="1" ht="21" x14ac:dyDescent="0.35">
      <c r="A2483" s="226" t="str">
        <f>ORÇAMENTO!A484</f>
        <v>5.1.2.6.40</v>
      </c>
      <c r="B2483" s="227" t="str">
        <f>VLOOKUP(A2483,ORÇAMENTO!A:K,4,0)</f>
        <v>ESPALHAMENTO DE MATERIAL COM TRATOR DE ESTEIRAS. AF_09/2024</v>
      </c>
      <c r="C2483" s="173" t="str">
        <f>VLOOKUP(A2483,ORÇAMENTO!A:K,5,0)</f>
        <v>M³</v>
      </c>
      <c r="D2483" s="173">
        <f>SUM(E2485:O2485)</f>
        <v>308.53463810208677</v>
      </c>
      <c r="E2483" s="173" t="s">
        <v>1752</v>
      </c>
      <c r="F2483" s="173" t="s">
        <v>1719</v>
      </c>
      <c r="G2483" s="173" t="s">
        <v>1720</v>
      </c>
      <c r="H2483" s="173" t="s">
        <v>1721</v>
      </c>
      <c r="I2483" s="173" t="s">
        <v>1722</v>
      </c>
      <c r="J2483" s="173" t="s">
        <v>1723</v>
      </c>
      <c r="K2483" s="173" t="s">
        <v>1746</v>
      </c>
      <c r="L2483" s="173" t="s">
        <v>1753</v>
      </c>
      <c r="M2483" s="173" t="s">
        <v>1750</v>
      </c>
      <c r="N2483" s="173" t="s">
        <v>1727</v>
      </c>
      <c r="O2483" s="173" t="s">
        <v>1728</v>
      </c>
      <c r="P2483" s="224"/>
      <c r="Q2483" s="224"/>
      <c r="R2483" s="224"/>
      <c r="S2483" s="224"/>
    </row>
    <row r="2484" spans="1:19" s="225" customFormat="1" ht="10.5" x14ac:dyDescent="0.25">
      <c r="A2484" s="229"/>
      <c r="B2484" s="230" t="s">
        <v>1775</v>
      </c>
      <c r="C2484" s="177"/>
      <c r="D2484" s="178"/>
      <c r="E2484" s="178"/>
      <c r="F2484" s="178"/>
      <c r="G2484" s="178"/>
      <c r="H2484" s="178"/>
      <c r="I2484" s="178"/>
      <c r="J2484" s="178"/>
      <c r="K2484" s="178"/>
      <c r="L2484" s="190"/>
      <c r="M2484" s="178"/>
      <c r="N2484" s="178"/>
      <c r="O2484" s="178">
        <f>SUM(O2480:O2481)</f>
        <v>308.53463810208677</v>
      </c>
      <c r="P2484" s="231"/>
      <c r="Q2484" s="224"/>
    </row>
    <row r="2485" spans="1:19" s="225" customFormat="1" ht="10.5" x14ac:dyDescent="0.25">
      <c r="A2485" s="229"/>
      <c r="B2485" s="232" t="s">
        <v>5</v>
      </c>
      <c r="C2485" s="182" t="s">
        <v>1328</v>
      </c>
      <c r="D2485" s="182"/>
      <c r="E2485" s="182"/>
      <c r="F2485" s="182"/>
      <c r="G2485" s="182"/>
      <c r="H2485" s="182"/>
      <c r="I2485" s="182"/>
      <c r="J2485" s="182"/>
      <c r="K2485" s="182"/>
      <c r="L2485" s="182"/>
      <c r="M2485" s="182"/>
      <c r="N2485" s="182"/>
      <c r="O2485" s="182">
        <f>SUM(O2484)</f>
        <v>308.53463810208677</v>
      </c>
      <c r="P2485" s="233"/>
      <c r="Q2485" s="224"/>
    </row>
    <row r="2486" spans="1:19" s="228" customFormat="1" ht="31.5" x14ac:dyDescent="0.25">
      <c r="A2486" s="226" t="str">
        <f>ORÇAMENTO!A485</f>
        <v>5.1.2.6.41</v>
      </c>
      <c r="B2486" s="227" t="str">
        <f>VLOOKUP(A2486,ORÇAMENTO!A:K,4,0)</f>
        <v>EXECUÇÃO DE SARJETA DE CONCRETO USINADO, MOLDADA  IN LOCO  EM TRECHO RETO, 60 CM BASE X 15 CM ALTURA. AF_01/2024</v>
      </c>
      <c r="C2486" s="173" t="str">
        <f>VLOOKUP(A2486,ORÇAMENTO!A:K,5,0)</f>
        <v>M</v>
      </c>
      <c r="D2486" s="173">
        <f>ROUND(SUM(E2489:O2489),2)</f>
        <v>195.09</v>
      </c>
      <c r="E2486" s="173" t="s">
        <v>1718</v>
      </c>
      <c r="F2486" s="173" t="s">
        <v>1719</v>
      </c>
      <c r="G2486" s="173" t="s">
        <v>1720</v>
      </c>
      <c r="H2486" s="173" t="s">
        <v>1721</v>
      </c>
      <c r="I2486" s="173" t="s">
        <v>1722</v>
      </c>
      <c r="J2486" s="173" t="s">
        <v>1723</v>
      </c>
      <c r="K2486" s="173" t="s">
        <v>1724</v>
      </c>
      <c r="L2486" s="173" t="s">
        <v>1804</v>
      </c>
      <c r="M2486" s="173" t="s">
        <v>1726</v>
      </c>
      <c r="N2486" s="173" t="s">
        <v>1809</v>
      </c>
      <c r="O2486" s="173" t="s">
        <v>1728</v>
      </c>
      <c r="P2486" s="224"/>
      <c r="Q2486" s="224"/>
    </row>
    <row r="2487" spans="1:19" s="225" customFormat="1" ht="10.5" x14ac:dyDescent="0.25">
      <c r="A2487" s="229"/>
      <c r="B2487" s="230"/>
      <c r="C2487" s="177"/>
      <c r="D2487" s="178"/>
      <c r="E2487" s="178">
        <f>QUANTBL!CX183</f>
        <v>195.09000000000012</v>
      </c>
      <c r="F2487" s="178"/>
      <c r="H2487" s="178"/>
      <c r="I2487" s="178"/>
      <c r="J2487" s="178"/>
      <c r="K2487" s="178"/>
      <c r="L2487" s="178"/>
      <c r="M2487" s="178"/>
      <c r="N2487" s="200"/>
      <c r="O2487" s="178"/>
      <c r="P2487" s="231"/>
      <c r="Q2487" s="224"/>
    </row>
    <row r="2488" spans="1:19" s="225" customFormat="1" ht="10.5" x14ac:dyDescent="0.25">
      <c r="A2488" s="229"/>
      <c r="B2488" s="230"/>
      <c r="C2488" s="177"/>
      <c r="D2488" s="178"/>
      <c r="E2488" s="178"/>
      <c r="F2488" s="178"/>
      <c r="G2488" s="178"/>
      <c r="H2488" s="178"/>
      <c r="I2488" s="178"/>
      <c r="J2488" s="178"/>
      <c r="K2488" s="178"/>
      <c r="L2488" s="178"/>
      <c r="M2488" s="178"/>
      <c r="N2488" s="200"/>
      <c r="O2488" s="178"/>
      <c r="P2488" s="231"/>
      <c r="Q2488" s="224"/>
    </row>
    <row r="2489" spans="1:19" s="225" customFormat="1" ht="10.5" x14ac:dyDescent="0.25">
      <c r="A2489" s="229"/>
      <c r="B2489" s="232" t="s">
        <v>5</v>
      </c>
      <c r="C2489" s="182"/>
      <c r="D2489" s="182"/>
      <c r="E2489" s="182">
        <f>SUM(E2487:E2488)</f>
        <v>195.09000000000012</v>
      </c>
      <c r="F2489" s="182"/>
      <c r="G2489" s="182"/>
      <c r="H2489" s="182"/>
      <c r="I2489" s="182"/>
      <c r="J2489" s="182"/>
      <c r="K2489" s="178"/>
      <c r="L2489" s="182"/>
      <c r="M2489" s="182"/>
      <c r="N2489" s="177"/>
      <c r="O2489" s="177"/>
      <c r="P2489" s="233"/>
      <c r="Q2489" s="224"/>
    </row>
    <row r="2490" spans="1:19" s="228" customFormat="1" ht="42" x14ac:dyDescent="0.25">
      <c r="A2490" s="226" t="str">
        <f>ORÇAMENTO!A486</f>
        <v>5.1.2.6.42</v>
      </c>
      <c r="B2490" s="227" t="str">
        <f>VLOOKUP(A2490,ORÇAMENTO!A:K,4,0)</f>
        <v>CONCRETO MAGRO PARA LASTRO, TRAÇO 1:4,5:4,5 (EM MASSA SECA DE CIMENTO/ AREIA MÉDIA/ BRITA 1) - PREPARO MECÂNICO COM BETONEIRA 600 L. AF_05/2021</v>
      </c>
      <c r="C2490" s="173" t="str">
        <f>VLOOKUP(A2490,ORÇAMENTO!A:K,5,0)</f>
        <v>M³</v>
      </c>
      <c r="D2490" s="173">
        <f>ROUND(SUM(E2493:O2493),2)</f>
        <v>18.98</v>
      </c>
      <c r="E2490" s="173" t="s">
        <v>1718</v>
      </c>
      <c r="F2490" s="173" t="s">
        <v>1719</v>
      </c>
      <c r="G2490" s="173" t="s">
        <v>1720</v>
      </c>
      <c r="H2490" s="173" t="s">
        <v>1721</v>
      </c>
      <c r="I2490" s="173" t="s">
        <v>1722</v>
      </c>
      <c r="J2490" s="173" t="s">
        <v>1723</v>
      </c>
      <c r="K2490" s="173" t="s">
        <v>1724</v>
      </c>
      <c r="L2490" s="173" t="s">
        <v>1804</v>
      </c>
      <c r="M2490" s="173" t="s">
        <v>1726</v>
      </c>
      <c r="N2490" s="173" t="s">
        <v>1809</v>
      </c>
      <c r="O2490" s="173" t="s">
        <v>1728</v>
      </c>
      <c r="P2490" s="224"/>
      <c r="Q2490" s="224"/>
    </row>
    <row r="2491" spans="1:19" s="225" customFormat="1" ht="10.5" x14ac:dyDescent="0.25">
      <c r="A2491" s="229"/>
      <c r="B2491" s="230" t="s">
        <v>1823</v>
      </c>
      <c r="C2491" s="177"/>
      <c r="D2491" s="178"/>
      <c r="E2491" s="178"/>
      <c r="F2491" s="178"/>
      <c r="G2491" s="178"/>
      <c r="H2491" s="178"/>
      <c r="I2491" s="178"/>
      <c r="J2491" s="178"/>
      <c r="K2491" s="178"/>
      <c r="L2491" s="178"/>
      <c r="M2491" s="178"/>
      <c r="N2491" s="200"/>
      <c r="O2491" s="178">
        <f>QUANTBL!CT183</f>
        <v>18.976695600000003</v>
      </c>
      <c r="P2491" s="231"/>
      <c r="Q2491" s="224"/>
    </row>
    <row r="2492" spans="1:19" s="225" customFormat="1" ht="10.5" x14ac:dyDescent="0.25">
      <c r="A2492" s="229"/>
      <c r="B2492" s="230"/>
      <c r="C2492" s="177"/>
      <c r="D2492" s="178"/>
      <c r="E2492" s="178"/>
      <c r="F2492" s="178"/>
      <c r="G2492" s="178"/>
      <c r="H2492" s="178"/>
      <c r="I2492" s="178"/>
      <c r="J2492" s="178"/>
      <c r="K2492" s="178"/>
      <c r="L2492" s="178"/>
      <c r="M2492" s="178"/>
      <c r="N2492" s="200"/>
      <c r="O2492" s="178"/>
      <c r="P2492" s="231"/>
      <c r="Q2492" s="224"/>
    </row>
    <row r="2493" spans="1:19" s="225" customFormat="1" ht="10.5" x14ac:dyDescent="0.25">
      <c r="A2493" s="229"/>
      <c r="B2493" s="232" t="s">
        <v>5</v>
      </c>
      <c r="C2493" s="182" t="s">
        <v>1328</v>
      </c>
      <c r="D2493" s="182"/>
      <c r="E2493" s="182"/>
      <c r="F2493" s="182"/>
      <c r="G2493" s="182"/>
      <c r="H2493" s="182"/>
      <c r="I2493" s="182"/>
      <c r="J2493" s="182"/>
      <c r="K2493" s="178"/>
      <c r="L2493" s="182"/>
      <c r="M2493" s="182"/>
      <c r="N2493" s="177"/>
      <c r="O2493" s="177">
        <f>SUM(O2491:O2492)</f>
        <v>18.976695600000003</v>
      </c>
      <c r="P2493" s="233"/>
      <c r="Q2493" s="224"/>
    </row>
    <row r="2494" spans="1:19" s="228" customFormat="1" ht="21" x14ac:dyDescent="0.25">
      <c r="A2494" s="226" t="str">
        <f>ORÇAMENTO!A487</f>
        <v>5.1.2.6.43</v>
      </c>
      <c r="B2494" s="227" t="str">
        <f>VLOOKUP(A2494,ORÇAMENTO!A:K,4,0)</f>
        <v>ARMAÇÃO EM AÇO CA-50 - FORNECIMENTO, PREPARO E COLOCAÇÃO</v>
      </c>
      <c r="C2494" s="173" t="str">
        <f>VLOOKUP(A2494,ORÇAMENTO!A:K,5,0)</f>
        <v>KG</v>
      </c>
      <c r="D2494" s="173">
        <f>ROUND(SUM(E2509:O2509),2)</f>
        <v>1480</v>
      </c>
      <c r="E2494" s="173" t="s">
        <v>1718</v>
      </c>
      <c r="F2494" s="173" t="s">
        <v>1719</v>
      </c>
      <c r="G2494" s="173" t="s">
        <v>1720</v>
      </c>
      <c r="H2494" s="173" t="s">
        <v>1721</v>
      </c>
      <c r="I2494" s="173" t="s">
        <v>1722</v>
      </c>
      <c r="J2494" s="173" t="s">
        <v>1723</v>
      </c>
      <c r="K2494" s="173" t="s">
        <v>1724</v>
      </c>
      <c r="L2494" s="173" t="s">
        <v>1804</v>
      </c>
      <c r="M2494" s="173" t="s">
        <v>1726</v>
      </c>
      <c r="N2494" s="173" t="s">
        <v>1824</v>
      </c>
      <c r="O2494" s="173" t="s">
        <v>1728</v>
      </c>
      <c r="P2494" s="224"/>
      <c r="Q2494" s="224"/>
    </row>
    <row r="2495" spans="1:19" s="225" customFormat="1" ht="10.5" x14ac:dyDescent="0.25">
      <c r="A2495" s="229"/>
      <c r="B2495" s="230" t="s">
        <v>1825</v>
      </c>
      <c r="C2495" s="177"/>
      <c r="D2495" s="178"/>
      <c r="E2495" s="178"/>
      <c r="F2495" s="178"/>
      <c r="G2495" s="178"/>
      <c r="H2495" s="178"/>
      <c r="I2495" s="178"/>
      <c r="J2495" s="178"/>
      <c r="K2495" s="178"/>
      <c r="L2495" s="178"/>
      <c r="M2495" s="178"/>
      <c r="N2495" s="200"/>
      <c r="O2495" s="178"/>
      <c r="P2495" s="231"/>
      <c r="Q2495" s="224"/>
    </row>
    <row r="2496" spans="1:19" s="225" customFormat="1" ht="21" x14ac:dyDescent="0.25">
      <c r="A2496" s="229"/>
      <c r="B2496" s="230" t="str">
        <f t="shared" ref="B2496:B2507" si="79">B1880</f>
        <v>BOCA DE LOBO SIMPLES EXISTENTE COM BOCA DE LOBO DUPLA PROJETADA</v>
      </c>
      <c r="C2496" s="177"/>
      <c r="D2496" s="178"/>
      <c r="E2496" s="178"/>
      <c r="F2496" s="178"/>
      <c r="G2496" s="178"/>
      <c r="H2496" s="178"/>
      <c r="I2496" s="178"/>
      <c r="J2496" s="178"/>
      <c r="K2496" s="178">
        <v>24</v>
      </c>
      <c r="L2496" s="178"/>
      <c r="M2496" s="242">
        <f t="shared" ref="M2496:M2507" si="80">K1880</f>
        <v>14</v>
      </c>
      <c r="N2496" s="200">
        <f t="shared" ref="N2496:N2507" si="81">M2496*K2496</f>
        <v>336</v>
      </c>
      <c r="O2496" s="178"/>
      <c r="P2496" s="231"/>
      <c r="Q2496" s="224"/>
    </row>
    <row r="2497" spans="1:17" s="225" customFormat="1" ht="21" x14ac:dyDescent="0.25">
      <c r="A2497" s="229"/>
      <c r="B2497" s="230" t="str">
        <f t="shared" si="79"/>
        <v>BOCA DE LOBO SIMPLES EXISTENTE COM BOCA DE LOBO SIMPLES PROJETADA</v>
      </c>
      <c r="C2497" s="177"/>
      <c r="D2497" s="178"/>
      <c r="E2497" s="178"/>
      <c r="F2497" s="178"/>
      <c r="G2497" s="178"/>
      <c r="H2497" s="178"/>
      <c r="I2497" s="178"/>
      <c r="J2497" s="178"/>
      <c r="K2497" s="178">
        <v>16</v>
      </c>
      <c r="L2497" s="178"/>
      <c r="M2497" s="242">
        <f t="shared" si="80"/>
        <v>0</v>
      </c>
      <c r="N2497" s="200">
        <f t="shared" si="81"/>
        <v>0</v>
      </c>
      <c r="O2497" s="178"/>
      <c r="P2497" s="231"/>
      <c r="Q2497" s="224"/>
    </row>
    <row r="2498" spans="1:17" s="225" customFormat="1" ht="21" x14ac:dyDescent="0.25">
      <c r="A2498" s="229"/>
      <c r="B2498" s="230" t="str">
        <f t="shared" si="79"/>
        <v>BOCA DE LOBO SIMPLES EXISTENTE COM BOCA DE LOBO TRIPLA PROJETADA</v>
      </c>
      <c r="C2498" s="177"/>
      <c r="D2498" s="178"/>
      <c r="E2498" s="178"/>
      <c r="F2498" s="178"/>
      <c r="G2498" s="178"/>
      <c r="H2498" s="178"/>
      <c r="I2498" s="178"/>
      <c r="J2498" s="178"/>
      <c r="K2498" s="178">
        <v>32</v>
      </c>
      <c r="L2498" s="178"/>
      <c r="M2498" s="242">
        <f t="shared" si="80"/>
        <v>0</v>
      </c>
      <c r="N2498" s="200">
        <f t="shared" si="81"/>
        <v>0</v>
      </c>
      <c r="O2498" s="178"/>
      <c r="P2498" s="231"/>
      <c r="Q2498" s="224"/>
    </row>
    <row r="2499" spans="1:17" s="225" customFormat="1" ht="21" x14ac:dyDescent="0.25">
      <c r="A2499" s="229"/>
      <c r="B2499" s="230" t="str">
        <f t="shared" si="79"/>
        <v>BOCA DE LOBO DUPLA EXISTENTE COM BOCA DE LOBO SIMPLES PROJETADA</v>
      </c>
      <c r="C2499" s="177"/>
      <c r="D2499" s="178"/>
      <c r="E2499" s="178"/>
      <c r="F2499" s="178"/>
      <c r="G2499" s="178"/>
      <c r="H2499" s="178"/>
      <c r="I2499" s="178"/>
      <c r="J2499" s="178"/>
      <c r="K2499" s="178">
        <v>16</v>
      </c>
      <c r="L2499" s="178"/>
      <c r="M2499" s="242">
        <f t="shared" si="80"/>
        <v>22</v>
      </c>
      <c r="N2499" s="200">
        <f t="shared" si="81"/>
        <v>352</v>
      </c>
      <c r="O2499" s="178"/>
      <c r="P2499" s="231"/>
      <c r="Q2499" s="224"/>
    </row>
    <row r="2500" spans="1:17" s="225" customFormat="1" ht="21" x14ac:dyDescent="0.25">
      <c r="A2500" s="229"/>
      <c r="B2500" s="230" t="str">
        <f t="shared" si="79"/>
        <v>BOCA DE LOBO DUPLA EXISTENTE COM BOCA DE LOBO DUPLA PROJETADA</v>
      </c>
      <c r="C2500" s="177"/>
      <c r="D2500" s="178"/>
      <c r="E2500" s="178"/>
      <c r="F2500" s="178"/>
      <c r="G2500" s="178"/>
      <c r="H2500" s="178"/>
      <c r="I2500" s="178"/>
      <c r="J2500" s="178"/>
      <c r="K2500" s="178">
        <v>24</v>
      </c>
      <c r="L2500" s="178"/>
      <c r="M2500" s="242">
        <f t="shared" si="80"/>
        <v>0</v>
      </c>
      <c r="N2500" s="200">
        <f t="shared" si="81"/>
        <v>0</v>
      </c>
      <c r="O2500" s="178"/>
      <c r="P2500" s="231"/>
      <c r="Q2500" s="224"/>
    </row>
    <row r="2501" spans="1:17" s="225" customFormat="1" ht="21" x14ac:dyDescent="0.25">
      <c r="A2501" s="229"/>
      <c r="B2501" s="230" t="str">
        <f t="shared" si="79"/>
        <v>BOCA DE LOBO DUPLA EXISTENTE COM BOCA DE LOBO TRIPLA PROJETADA</v>
      </c>
      <c r="C2501" s="177"/>
      <c r="D2501" s="178"/>
      <c r="E2501" s="178"/>
      <c r="F2501" s="178"/>
      <c r="G2501" s="178"/>
      <c r="H2501" s="178"/>
      <c r="I2501" s="178"/>
      <c r="J2501" s="178"/>
      <c r="K2501" s="178">
        <v>32</v>
      </c>
      <c r="L2501" s="178"/>
      <c r="M2501" s="242">
        <f t="shared" si="80"/>
        <v>0</v>
      </c>
      <c r="N2501" s="200">
        <f t="shared" si="81"/>
        <v>0</v>
      </c>
      <c r="O2501" s="178"/>
      <c r="P2501" s="231"/>
      <c r="Q2501" s="224"/>
    </row>
    <row r="2502" spans="1:17" s="225" customFormat="1" ht="21" x14ac:dyDescent="0.25">
      <c r="A2502" s="229"/>
      <c r="B2502" s="230" t="str">
        <f t="shared" si="79"/>
        <v>BOCA DE LOBO TRIPLA EXISTENTE COM BOCA DE LOBO SIMPLES PROJETADA</v>
      </c>
      <c r="C2502" s="177"/>
      <c r="D2502" s="178"/>
      <c r="E2502" s="178"/>
      <c r="F2502" s="178"/>
      <c r="G2502" s="178"/>
      <c r="H2502" s="178"/>
      <c r="I2502" s="178"/>
      <c r="J2502" s="178"/>
      <c r="K2502" s="178">
        <v>16</v>
      </c>
      <c r="L2502" s="178"/>
      <c r="M2502" s="242">
        <f t="shared" si="80"/>
        <v>0</v>
      </c>
      <c r="N2502" s="200">
        <f t="shared" si="81"/>
        <v>0</v>
      </c>
      <c r="O2502" s="178"/>
      <c r="P2502" s="231"/>
      <c r="Q2502" s="224"/>
    </row>
    <row r="2503" spans="1:17" s="225" customFormat="1" ht="21" x14ac:dyDescent="0.25">
      <c r="A2503" s="229"/>
      <c r="B2503" s="230" t="str">
        <f t="shared" si="79"/>
        <v>BOCA DE LOBO TRIPLA EXISTENTE COM BOCA DE LOBO DUPLA PROJETADA</v>
      </c>
      <c r="C2503" s="177"/>
      <c r="D2503" s="178"/>
      <c r="E2503" s="178"/>
      <c r="F2503" s="178"/>
      <c r="G2503" s="178"/>
      <c r="H2503" s="178"/>
      <c r="I2503" s="178"/>
      <c r="J2503" s="178"/>
      <c r="K2503" s="178">
        <v>24</v>
      </c>
      <c r="L2503" s="178"/>
      <c r="M2503" s="242">
        <f t="shared" si="80"/>
        <v>0</v>
      </c>
      <c r="N2503" s="200">
        <f t="shared" si="81"/>
        <v>0</v>
      </c>
      <c r="O2503" s="178"/>
      <c r="P2503" s="231"/>
      <c r="Q2503" s="224"/>
    </row>
    <row r="2504" spans="1:17" s="225" customFormat="1" ht="21" x14ac:dyDescent="0.25">
      <c r="A2504" s="229"/>
      <c r="B2504" s="230" t="str">
        <f t="shared" si="79"/>
        <v>BOCA DE LOBO TRIPLA EXISTENTE COM BOCA DE LOBO TRIPLA PROJETADA</v>
      </c>
      <c r="C2504" s="177"/>
      <c r="D2504" s="178"/>
      <c r="E2504" s="178"/>
      <c r="F2504" s="178"/>
      <c r="G2504" s="178"/>
      <c r="H2504" s="178"/>
      <c r="I2504" s="178"/>
      <c r="J2504" s="178"/>
      <c r="K2504" s="178">
        <v>32</v>
      </c>
      <c r="L2504" s="178"/>
      <c r="M2504" s="242">
        <f t="shared" si="80"/>
        <v>0</v>
      </c>
      <c r="N2504" s="200">
        <f t="shared" si="81"/>
        <v>0</v>
      </c>
      <c r="O2504" s="178"/>
      <c r="P2504" s="231"/>
      <c r="Q2504" s="224"/>
    </row>
    <row r="2505" spans="1:17" s="225" customFormat="1" ht="10.5" x14ac:dyDescent="0.25">
      <c r="A2505" s="229"/>
      <c r="B2505" s="230" t="str">
        <f t="shared" si="79"/>
        <v>BOCA DE LOBO PROJETADA SIMPLES</v>
      </c>
      <c r="C2505" s="177"/>
      <c r="D2505" s="178"/>
      <c r="E2505" s="178"/>
      <c r="F2505" s="178"/>
      <c r="G2505" s="178"/>
      <c r="H2505" s="178"/>
      <c r="I2505" s="178"/>
      <c r="J2505" s="178"/>
      <c r="K2505" s="178">
        <v>16</v>
      </c>
      <c r="L2505" s="178"/>
      <c r="M2505" s="242">
        <f t="shared" si="80"/>
        <v>0</v>
      </c>
      <c r="N2505" s="200">
        <f t="shared" si="81"/>
        <v>0</v>
      </c>
      <c r="O2505" s="178"/>
      <c r="P2505" s="231"/>
      <c r="Q2505" s="224"/>
    </row>
    <row r="2506" spans="1:17" s="225" customFormat="1" ht="10.5" x14ac:dyDescent="0.25">
      <c r="A2506" s="229"/>
      <c r="B2506" s="230" t="str">
        <f t="shared" si="79"/>
        <v>BOCA DE LOBO PROJETADA DUPLA</v>
      </c>
      <c r="C2506" s="177"/>
      <c r="D2506" s="178"/>
      <c r="E2506" s="178"/>
      <c r="F2506" s="178"/>
      <c r="G2506" s="178"/>
      <c r="H2506" s="178"/>
      <c r="I2506" s="178"/>
      <c r="J2506" s="178"/>
      <c r="K2506" s="178">
        <v>24</v>
      </c>
      <c r="L2506" s="178"/>
      <c r="M2506" s="242">
        <f t="shared" si="80"/>
        <v>1</v>
      </c>
      <c r="N2506" s="200">
        <f t="shared" si="81"/>
        <v>24</v>
      </c>
      <c r="O2506" s="178"/>
      <c r="P2506" s="231"/>
      <c r="Q2506" s="224"/>
    </row>
    <row r="2507" spans="1:17" s="225" customFormat="1" ht="10.5" x14ac:dyDescent="0.25">
      <c r="A2507" s="229"/>
      <c r="B2507" s="230" t="str">
        <f t="shared" si="79"/>
        <v>BOCA DE LOBO PROJETADA TRIPLA</v>
      </c>
      <c r="C2507" s="177"/>
      <c r="D2507" s="178"/>
      <c r="E2507" s="178"/>
      <c r="F2507" s="178"/>
      <c r="G2507" s="178"/>
      <c r="H2507" s="178"/>
      <c r="I2507" s="178"/>
      <c r="J2507" s="178"/>
      <c r="K2507" s="178">
        <v>32</v>
      </c>
      <c r="L2507" s="178"/>
      <c r="M2507" s="242">
        <f t="shared" si="80"/>
        <v>24</v>
      </c>
      <c r="N2507" s="200">
        <f t="shared" si="81"/>
        <v>768</v>
      </c>
      <c r="O2507" s="178"/>
      <c r="P2507" s="231"/>
      <c r="Q2507" s="224"/>
    </row>
    <row r="2508" spans="1:17" s="225" customFormat="1" ht="10.5" x14ac:dyDescent="0.25">
      <c r="A2508" s="229"/>
      <c r="B2508" s="230"/>
      <c r="C2508" s="177"/>
      <c r="D2508" s="178"/>
      <c r="E2508" s="178"/>
      <c r="F2508" s="178"/>
      <c r="G2508" s="178"/>
      <c r="H2508" s="178"/>
      <c r="I2508" s="178"/>
      <c r="J2508" s="178"/>
      <c r="K2508" s="178"/>
      <c r="L2508" s="178"/>
      <c r="M2508" s="178"/>
      <c r="N2508" s="200"/>
      <c r="O2508" s="178"/>
      <c r="P2508" s="231"/>
      <c r="Q2508" s="224"/>
    </row>
    <row r="2509" spans="1:17" s="225" customFormat="1" ht="10.5" x14ac:dyDescent="0.25">
      <c r="A2509" s="229"/>
      <c r="B2509" s="232" t="s">
        <v>5</v>
      </c>
      <c r="C2509" s="182" t="s">
        <v>1328</v>
      </c>
      <c r="D2509" s="182"/>
      <c r="E2509" s="182"/>
      <c r="F2509" s="182"/>
      <c r="G2509" s="182"/>
      <c r="H2509" s="182"/>
      <c r="I2509" s="182"/>
      <c r="J2509" s="182"/>
      <c r="K2509" s="177"/>
      <c r="L2509" s="182"/>
      <c r="M2509" s="182"/>
      <c r="N2509" s="177">
        <f>SUM(N2495:N2508)</f>
        <v>1480</v>
      </c>
      <c r="O2509" s="182"/>
      <c r="P2509" s="233"/>
      <c r="Q2509" s="224"/>
    </row>
    <row r="2510" spans="1:17" s="228" customFormat="1" ht="42" x14ac:dyDescent="0.25">
      <c r="A2510" s="226" t="str">
        <f>ORÇAMENTO!A488</f>
        <v>5.1.2.6.44</v>
      </c>
      <c r="B2510" s="227" t="str">
        <f>VLOOKUP(A2510,ORÇAMENTO!A:K,4,0)</f>
        <v>ALVENARIA DE VEDAÇÃO DE BLOCOS VAZADOS DE CONCRETO DE 19X19X39 CM (ESPESSURA 19 CM) E ARGAMASSA DE ASSENTAMENTO COM PREPARO EM BETONEIRA. AF_12/2021</v>
      </c>
      <c r="C2510" s="173" t="str">
        <f>VLOOKUP(A2510,ORÇAMENTO!A:K,5,0)</f>
        <v>M²</v>
      </c>
      <c r="D2510" s="173">
        <f>ROUND(SUM(E2513:O2513),2)</f>
        <v>643</v>
      </c>
      <c r="E2510" s="173" t="s">
        <v>1718</v>
      </c>
      <c r="F2510" s="173" t="s">
        <v>1719</v>
      </c>
      <c r="G2510" s="173" t="s">
        <v>1720</v>
      </c>
      <c r="H2510" s="173" t="s">
        <v>1721</v>
      </c>
      <c r="I2510" s="173" t="s">
        <v>1722</v>
      </c>
      <c r="J2510" s="173" t="s">
        <v>1723</v>
      </c>
      <c r="K2510" s="173" t="s">
        <v>1724</v>
      </c>
      <c r="L2510" s="173" t="s">
        <v>1804</v>
      </c>
      <c r="M2510" s="173" t="s">
        <v>1726</v>
      </c>
      <c r="N2510" s="173" t="s">
        <v>1826</v>
      </c>
      <c r="O2510" s="173" t="s">
        <v>1728</v>
      </c>
      <c r="P2510" s="224"/>
      <c r="Q2510" s="224"/>
    </row>
    <row r="2511" spans="1:17" s="225" customFormat="1" ht="10.5" x14ac:dyDescent="0.25">
      <c r="A2511" s="229"/>
      <c r="B2511" s="230" t="s">
        <v>1827</v>
      </c>
      <c r="C2511" s="177"/>
      <c r="D2511" s="178"/>
      <c r="E2511" s="178"/>
      <c r="F2511" s="178"/>
      <c r="G2511" s="178"/>
      <c r="H2511" s="178"/>
      <c r="I2511" s="178"/>
      <c r="J2511" s="178"/>
      <c r="K2511" s="178"/>
      <c r="L2511" s="178"/>
      <c r="M2511" s="178"/>
      <c r="N2511" s="200">
        <f>QUANTBL!CU183</f>
        <v>643.00227199999938</v>
      </c>
      <c r="O2511" s="178"/>
      <c r="P2511" s="231"/>
      <c r="Q2511" s="224"/>
    </row>
    <row r="2512" spans="1:17" s="225" customFormat="1" ht="10.5" x14ac:dyDescent="0.25">
      <c r="A2512" s="229"/>
      <c r="B2512" s="230"/>
      <c r="C2512" s="177"/>
      <c r="D2512" s="178"/>
      <c r="E2512" s="178"/>
      <c r="F2512" s="178"/>
      <c r="G2512" s="178"/>
      <c r="H2512" s="178"/>
      <c r="I2512" s="178"/>
      <c r="J2512" s="178"/>
      <c r="K2512" s="178"/>
      <c r="L2512" s="178"/>
      <c r="M2512" s="178"/>
      <c r="N2512" s="200"/>
      <c r="O2512" s="178"/>
      <c r="P2512" s="231"/>
      <c r="Q2512" s="224"/>
    </row>
    <row r="2513" spans="1:17" s="225" customFormat="1" ht="10.5" x14ac:dyDescent="0.25">
      <c r="A2513" s="229"/>
      <c r="B2513" s="232" t="s">
        <v>5</v>
      </c>
      <c r="C2513" s="182" t="s">
        <v>1328</v>
      </c>
      <c r="D2513" s="182"/>
      <c r="E2513" s="182"/>
      <c r="F2513" s="182"/>
      <c r="G2513" s="182"/>
      <c r="H2513" s="182"/>
      <c r="I2513" s="182"/>
      <c r="J2513" s="182"/>
      <c r="K2513" s="178"/>
      <c r="L2513" s="182"/>
      <c r="M2513" s="182"/>
      <c r="N2513" s="177">
        <f>SUM(N2511:N2512)</f>
        <v>643.00227199999938</v>
      </c>
      <c r="O2513" s="182"/>
      <c r="P2513" s="233"/>
      <c r="Q2513" s="224"/>
    </row>
    <row r="2514" spans="1:17" s="228" customFormat="1" ht="31.5" x14ac:dyDescent="0.25">
      <c r="A2514" s="226" t="str">
        <f>ORÇAMENTO!A489</f>
        <v>5.1.2.6.45</v>
      </c>
      <c r="B2514" s="227" t="str">
        <f>VLOOKUP(A2514,ORÇAMENTO!A:K,4,0)</f>
        <v>FÔRMAS DE COMPENSADO RESINADO 12 MM - USO GERAL - UTILIZAÇÃO DE 2 VEZES - CONFECÇÃO, INSTALAÇÃO E RETIRADA</v>
      </c>
      <c r="C2514" s="173" t="str">
        <f>VLOOKUP(A2514,ORÇAMENTO!A:K,5,0)</f>
        <v>M²</v>
      </c>
      <c r="D2514" s="173">
        <f>ROUND(SUM(E2516:O2516),2)</f>
        <v>1148.94</v>
      </c>
      <c r="E2514" s="173" t="s">
        <v>1718</v>
      </c>
      <c r="F2514" s="173" t="s">
        <v>1719</v>
      </c>
      <c r="G2514" s="173" t="s">
        <v>1720</v>
      </c>
      <c r="H2514" s="173" t="s">
        <v>1721</v>
      </c>
      <c r="I2514" s="173" t="s">
        <v>1722</v>
      </c>
      <c r="J2514" s="173" t="s">
        <v>1723</v>
      </c>
      <c r="K2514" s="173" t="s">
        <v>1724</v>
      </c>
      <c r="L2514" s="173" t="s">
        <v>1804</v>
      </c>
      <c r="M2514" s="173" t="s">
        <v>1726</v>
      </c>
      <c r="N2514" s="173" t="s">
        <v>1826</v>
      </c>
      <c r="O2514" s="173" t="s">
        <v>1728</v>
      </c>
      <c r="P2514" s="224"/>
      <c r="Q2514" s="224"/>
    </row>
    <row r="2515" spans="1:17" s="225" customFormat="1" ht="10.5" x14ac:dyDescent="0.25">
      <c r="A2515" s="229"/>
      <c r="B2515" s="230" t="s">
        <v>1827</v>
      </c>
      <c r="C2515" s="177"/>
      <c r="D2515" s="178"/>
      <c r="E2515" s="178"/>
      <c r="F2515" s="178"/>
      <c r="G2515" s="178"/>
      <c r="H2515" s="178"/>
      <c r="I2515" s="178"/>
      <c r="J2515" s="178"/>
      <c r="K2515" s="178"/>
      <c r="L2515" s="178"/>
      <c r="M2515" s="178"/>
      <c r="N2515" s="200">
        <f>QUANTBL!CW183</f>
        <v>1148.9436655999993</v>
      </c>
      <c r="O2515" s="178"/>
      <c r="P2515" s="231"/>
      <c r="Q2515" s="224"/>
    </row>
    <row r="2516" spans="1:17" s="225" customFormat="1" ht="10.5" x14ac:dyDescent="0.25">
      <c r="A2516" s="229"/>
      <c r="B2516" s="232" t="s">
        <v>5</v>
      </c>
      <c r="C2516" s="182" t="s">
        <v>1328</v>
      </c>
      <c r="D2516" s="182"/>
      <c r="E2516" s="182"/>
      <c r="F2516" s="182"/>
      <c r="G2516" s="182"/>
      <c r="H2516" s="182"/>
      <c r="I2516" s="182"/>
      <c r="J2516" s="182"/>
      <c r="K2516" s="178"/>
      <c r="L2516" s="182"/>
      <c r="M2516" s="182"/>
      <c r="N2516" s="177">
        <f>SUM(N2515)</f>
        <v>1148.9436655999993</v>
      </c>
      <c r="O2516" s="177"/>
      <c r="P2516" s="233"/>
      <c r="Q2516" s="224"/>
    </row>
    <row r="2517" spans="1:17" s="228" customFormat="1" ht="42" x14ac:dyDescent="0.25">
      <c r="A2517" s="226" t="str">
        <f>ORÇAMENTO!A490</f>
        <v>5.1.2.6.46</v>
      </c>
      <c r="B2517" s="227" t="str">
        <f>VLOOKUP(A2517,ORÇAMENTO!A:K,4,0)</f>
        <v>CONCRETO FCK = 25MPA, TRAÇO 1:2,3:2,7 (EM MASSA SECA DE CIMENTO/ AREIA MÉDIA/ BRITA 1) - PREPARO MECÂNICO COM BETONEIRA 600 L. AF_05/2021</v>
      </c>
      <c r="C2517" s="173" t="str">
        <f>VLOOKUP(A2517,ORÇAMENTO!A:K,5,0)</f>
        <v>M³</v>
      </c>
      <c r="D2517" s="173">
        <f>ROUND(SUM(E2519:O2519),2)</f>
        <v>77.23</v>
      </c>
      <c r="E2517" s="173" t="s">
        <v>1718</v>
      </c>
      <c r="F2517" s="173" t="s">
        <v>1719</v>
      </c>
      <c r="G2517" s="173" t="s">
        <v>1720</v>
      </c>
      <c r="H2517" s="173" t="s">
        <v>1721</v>
      </c>
      <c r="I2517" s="173" t="s">
        <v>1722</v>
      </c>
      <c r="J2517" s="173" t="s">
        <v>1723</v>
      </c>
      <c r="K2517" s="173" t="s">
        <v>1724</v>
      </c>
      <c r="L2517" s="173" t="s">
        <v>1804</v>
      </c>
      <c r="M2517" s="173" t="s">
        <v>1726</v>
      </c>
      <c r="N2517" s="173" t="s">
        <v>1809</v>
      </c>
      <c r="O2517" s="173" t="s">
        <v>1728</v>
      </c>
      <c r="P2517" s="224"/>
      <c r="Q2517" s="224"/>
    </row>
    <row r="2518" spans="1:17" s="225" customFormat="1" ht="10.5" x14ac:dyDescent="0.25">
      <c r="A2518" s="229"/>
      <c r="B2518" s="230" t="s">
        <v>1827</v>
      </c>
      <c r="C2518" s="177"/>
      <c r="D2518" s="178"/>
      <c r="E2518" s="178"/>
      <c r="F2518" s="178"/>
      <c r="G2518" s="178"/>
      <c r="H2518" s="178"/>
      <c r="I2518" s="178"/>
      <c r="J2518" s="178"/>
      <c r="K2518" s="178"/>
      <c r="L2518" s="178"/>
      <c r="M2518" s="178"/>
      <c r="N2518" s="200"/>
      <c r="O2518" s="178">
        <f>QUANTBL!CV183</f>
        <v>77.23203402</v>
      </c>
      <c r="P2518" s="231"/>
      <c r="Q2518" s="224"/>
    </row>
    <row r="2519" spans="1:17" s="225" customFormat="1" ht="10.5" x14ac:dyDescent="0.25">
      <c r="A2519" s="229"/>
      <c r="B2519" s="232" t="s">
        <v>5</v>
      </c>
      <c r="C2519" s="182" t="s">
        <v>1328</v>
      </c>
      <c r="D2519" s="182"/>
      <c r="E2519" s="182"/>
      <c r="F2519" s="182"/>
      <c r="G2519" s="182"/>
      <c r="H2519" s="182"/>
      <c r="I2519" s="182"/>
      <c r="J2519" s="182"/>
      <c r="K2519" s="178"/>
      <c r="L2519" s="182"/>
      <c r="M2519" s="182"/>
      <c r="N2519" s="177"/>
      <c r="O2519" s="177">
        <f>SUM(O2518)</f>
        <v>77.23203402</v>
      </c>
      <c r="P2519" s="233"/>
      <c r="Q2519" s="224"/>
    </row>
    <row r="2520" spans="1:17" s="228" customFormat="1" ht="31.5" x14ac:dyDescent="0.25">
      <c r="A2520" s="226" t="str">
        <f>ORÇAMENTO!A491</f>
        <v>5.1.2.6.47</v>
      </c>
      <c r="B2520" s="227" t="str">
        <f>VLOOKUP(A2520,ORÇAMENTO!A:K,4,0)</f>
        <v>LANÇAMENTO COM USO DE BALDES, ADENSAMENTO E ACABAMENTO DE CONCRETO EM ESTRUTURAS. AF_02/2022</v>
      </c>
      <c r="C2520" s="173" t="str">
        <f>VLOOKUP(A2520,ORÇAMENTO!A:K,5,0)</f>
        <v>M³</v>
      </c>
      <c r="D2520" s="173">
        <f>ROUND(SUM(E2524:O2524),2)</f>
        <v>96.21</v>
      </c>
      <c r="E2520" s="173" t="s">
        <v>1718</v>
      </c>
      <c r="F2520" s="173" t="s">
        <v>1719</v>
      </c>
      <c r="G2520" s="173" t="s">
        <v>1720</v>
      </c>
      <c r="H2520" s="173" t="s">
        <v>1721</v>
      </c>
      <c r="I2520" s="173" t="s">
        <v>1722</v>
      </c>
      <c r="J2520" s="173" t="s">
        <v>1723</v>
      </c>
      <c r="K2520" s="173" t="s">
        <v>1724</v>
      </c>
      <c r="L2520" s="173" t="s">
        <v>1804</v>
      </c>
      <c r="M2520" s="173" t="s">
        <v>1726</v>
      </c>
      <c r="N2520" s="173" t="s">
        <v>1809</v>
      </c>
      <c r="O2520" s="173" t="s">
        <v>1728</v>
      </c>
      <c r="P2520" s="224"/>
      <c r="Q2520" s="224"/>
    </row>
    <row r="2521" spans="1:17" s="225" customFormat="1" ht="42" x14ac:dyDescent="0.25">
      <c r="A2521" s="229"/>
      <c r="B2521" s="230" t="str">
        <f>B2490</f>
        <v>CONCRETO MAGRO PARA LASTRO, TRAÇO 1:4,5:4,5 (EM MASSA SECA DE CIMENTO/ AREIA MÉDIA/ BRITA 1) - PREPARO MECÂNICO COM BETONEIRA 600 L. AF_05/2021</v>
      </c>
      <c r="C2521" s="184"/>
      <c r="D2521" s="185"/>
      <c r="E2521" s="185"/>
      <c r="F2521" s="185"/>
      <c r="G2521" s="185"/>
      <c r="H2521" s="185"/>
      <c r="I2521" s="185"/>
      <c r="J2521" s="185"/>
      <c r="K2521" s="185"/>
      <c r="L2521" s="185"/>
      <c r="M2521" s="185"/>
      <c r="N2521" s="205"/>
      <c r="O2521" s="185">
        <f>O2493</f>
        <v>18.976695600000003</v>
      </c>
      <c r="P2521" s="231"/>
      <c r="Q2521" s="224"/>
    </row>
    <row r="2522" spans="1:17" s="225" customFormat="1" ht="42" x14ac:dyDescent="0.25">
      <c r="A2522" s="229"/>
      <c r="B2522" s="230" t="str">
        <f>B2517</f>
        <v>CONCRETO FCK = 25MPA, TRAÇO 1:2,3:2,7 (EM MASSA SECA DE CIMENTO/ AREIA MÉDIA/ BRITA 1) - PREPARO MECÂNICO COM BETONEIRA 600 L. AF_05/2021</v>
      </c>
      <c r="C2522" s="184"/>
      <c r="D2522" s="185"/>
      <c r="E2522" s="185"/>
      <c r="F2522" s="185"/>
      <c r="G2522" s="185"/>
      <c r="H2522" s="185"/>
      <c r="I2522" s="185"/>
      <c r="J2522" s="185"/>
      <c r="K2522" s="185"/>
      <c r="L2522" s="185"/>
      <c r="M2522" s="185"/>
      <c r="N2522" s="205"/>
      <c r="O2522" s="185">
        <f>O2519</f>
        <v>77.23203402</v>
      </c>
      <c r="P2522" s="231"/>
      <c r="Q2522" s="224"/>
    </row>
    <row r="2523" spans="1:17" s="225" customFormat="1" ht="10.5" x14ac:dyDescent="0.25">
      <c r="A2523" s="229"/>
      <c r="B2523" s="230"/>
      <c r="C2523" s="184"/>
      <c r="D2523" s="185"/>
      <c r="E2523" s="185"/>
      <c r="F2523" s="185"/>
      <c r="G2523" s="185"/>
      <c r="H2523" s="185"/>
      <c r="I2523" s="185"/>
      <c r="J2523" s="185"/>
      <c r="K2523" s="185"/>
      <c r="L2523" s="185"/>
      <c r="M2523" s="185"/>
      <c r="N2523" s="205"/>
      <c r="O2523" s="185"/>
      <c r="P2523" s="231"/>
      <c r="Q2523" s="224"/>
    </row>
    <row r="2524" spans="1:17" s="225" customFormat="1" ht="10.5" x14ac:dyDescent="0.25">
      <c r="A2524" s="229"/>
      <c r="B2524" s="232" t="s">
        <v>5</v>
      </c>
      <c r="C2524" s="182" t="s">
        <v>1328</v>
      </c>
      <c r="D2524" s="182"/>
      <c r="E2524" s="182"/>
      <c r="F2524" s="182"/>
      <c r="G2524" s="182"/>
      <c r="H2524" s="182"/>
      <c r="I2524" s="182"/>
      <c r="J2524" s="182"/>
      <c r="K2524" s="184"/>
      <c r="L2524" s="182"/>
      <c r="M2524" s="182"/>
      <c r="N2524" s="184"/>
      <c r="O2524" s="184">
        <f>SUM(O2521:O2523)</f>
        <v>96.20872962</v>
      </c>
      <c r="P2524" s="233"/>
      <c r="Q2524" s="224"/>
    </row>
    <row r="2525" spans="1:17" s="228" customFormat="1" ht="31.5" x14ac:dyDescent="0.25">
      <c r="A2525" s="226" t="str">
        <f>ORÇAMENTO!A492</f>
        <v>5.1.2.6.48</v>
      </c>
      <c r="B2525" s="227" t="str">
        <f>VLOOKUP(A2525,ORÇAMENTO!A:K,4,0)</f>
        <v>TUBO DE CONCRETO SIMPLES PARA AGUAS PLUVIAIS, CLASSE PS1, COM ENCAIXE PONTA E BOLSA, DIAMETRO NOMINAL DE 400 MM</v>
      </c>
      <c r="C2525" s="173" t="str">
        <f>VLOOKUP(A2525,ORÇAMENTO!A:K,5,0)</f>
        <v>M</v>
      </c>
      <c r="D2525" s="173">
        <f>ROUND(SUM(E2528:O2528),2)</f>
        <v>63.97</v>
      </c>
      <c r="E2525" s="173" t="s">
        <v>1718</v>
      </c>
      <c r="F2525" s="173" t="s">
        <v>1719</v>
      </c>
      <c r="G2525" s="173" t="s">
        <v>1720</v>
      </c>
      <c r="H2525" s="173" t="s">
        <v>1721</v>
      </c>
      <c r="I2525" s="173" t="s">
        <v>1722</v>
      </c>
      <c r="J2525" s="173" t="s">
        <v>1723</v>
      </c>
      <c r="K2525" s="173" t="s">
        <v>1724</v>
      </c>
      <c r="L2525" s="173" t="s">
        <v>1804</v>
      </c>
      <c r="M2525" s="173" t="s">
        <v>1726</v>
      </c>
      <c r="N2525" s="173" t="s">
        <v>1809</v>
      </c>
      <c r="O2525" s="173" t="s">
        <v>1728</v>
      </c>
      <c r="P2525" s="224"/>
      <c r="Q2525" s="224"/>
    </row>
    <row r="2526" spans="1:17" s="225" customFormat="1" ht="10.5" x14ac:dyDescent="0.25">
      <c r="A2526" s="229"/>
      <c r="B2526" s="230" t="s">
        <v>1829</v>
      </c>
      <c r="C2526" s="177"/>
      <c r="D2526" s="178"/>
      <c r="E2526" s="178">
        <f>QUANTBL!BF185</f>
        <v>63.966999999999999</v>
      </c>
      <c r="F2526" s="178"/>
      <c r="G2526" s="178"/>
      <c r="H2526" s="178"/>
      <c r="I2526" s="178"/>
      <c r="J2526" s="178"/>
      <c r="K2526" s="178"/>
      <c r="L2526" s="178"/>
      <c r="M2526" s="178"/>
      <c r="N2526" s="200"/>
      <c r="O2526" s="178"/>
      <c r="P2526" s="231"/>
      <c r="Q2526" s="224"/>
    </row>
    <row r="2527" spans="1:17" s="225" customFormat="1" ht="10.5" x14ac:dyDescent="0.25">
      <c r="A2527" s="229"/>
      <c r="B2527" s="230"/>
      <c r="C2527" s="184"/>
      <c r="D2527" s="185"/>
      <c r="E2527" s="185"/>
      <c r="F2527" s="185"/>
      <c r="G2527" s="185"/>
      <c r="H2527" s="185"/>
      <c r="I2527" s="185"/>
      <c r="J2527" s="185"/>
      <c r="K2527" s="185"/>
      <c r="L2527" s="185"/>
      <c r="M2527" s="185"/>
      <c r="N2527" s="205"/>
      <c r="O2527" s="185"/>
      <c r="P2527" s="231"/>
      <c r="Q2527" s="224"/>
    </row>
    <row r="2528" spans="1:17" s="225" customFormat="1" ht="10.5" x14ac:dyDescent="0.25">
      <c r="A2528" s="229"/>
      <c r="B2528" s="232" t="s">
        <v>5</v>
      </c>
      <c r="C2528" s="182" t="s">
        <v>1328</v>
      </c>
      <c r="D2528" s="182"/>
      <c r="E2528" s="184">
        <f>SUM(E2526:E2527)</f>
        <v>63.966999999999999</v>
      </c>
      <c r="F2528" s="182"/>
      <c r="G2528" s="182"/>
      <c r="H2528" s="182"/>
      <c r="I2528" s="182"/>
      <c r="J2528" s="182"/>
      <c r="K2528" s="184"/>
      <c r="L2528" s="182"/>
      <c r="M2528" s="182"/>
      <c r="N2528" s="184"/>
      <c r="O2528" s="184"/>
      <c r="P2528" s="233"/>
      <c r="Q2528" s="224"/>
    </row>
    <row r="2529" spans="1:17" s="228" customFormat="1" ht="31.5" x14ac:dyDescent="0.25">
      <c r="A2529" s="226" t="str">
        <f>ORÇAMENTO!A493</f>
        <v>5.1.2.6.49</v>
      </c>
      <c r="B2529" s="227" t="str">
        <f>VLOOKUP(A2529,ORÇAMENTO!A:K,4,0)</f>
        <v>TUBO DE CONCRETO SIMPLES PARA AGUAS PLUVIAIS, CLASSE PS2, COM ENCAIXE PONTA E BOLSA, DIAMETRO NOMINAL DE 400 MM</v>
      </c>
      <c r="C2529" s="173" t="str">
        <f>VLOOKUP(A2529,ORÇAMENTO!A:K,5,0)</f>
        <v>M</v>
      </c>
      <c r="D2529" s="173">
        <f>ROUND(SUM(E2532:O2532),2)</f>
        <v>265.87</v>
      </c>
      <c r="E2529" s="173" t="s">
        <v>1718</v>
      </c>
      <c r="F2529" s="173" t="s">
        <v>1719</v>
      </c>
      <c r="G2529" s="173" t="s">
        <v>1720</v>
      </c>
      <c r="H2529" s="173" t="s">
        <v>1721</v>
      </c>
      <c r="I2529" s="173" t="s">
        <v>1722</v>
      </c>
      <c r="J2529" s="173" t="s">
        <v>1723</v>
      </c>
      <c r="K2529" s="173" t="s">
        <v>1724</v>
      </c>
      <c r="L2529" s="173" t="s">
        <v>1804</v>
      </c>
      <c r="M2529" s="173" t="s">
        <v>1726</v>
      </c>
      <c r="N2529" s="173" t="s">
        <v>1809</v>
      </c>
      <c r="O2529" s="173" t="s">
        <v>1728</v>
      </c>
      <c r="P2529" s="224"/>
      <c r="Q2529" s="224"/>
    </row>
    <row r="2530" spans="1:17" s="225" customFormat="1" ht="21" x14ac:dyDescent="0.25">
      <c r="A2530" s="229"/>
      <c r="B2530" s="230" t="s">
        <v>1830</v>
      </c>
      <c r="C2530" s="177"/>
      <c r="D2530" s="178"/>
      <c r="E2530" s="178">
        <f>QUANTBL!BG185</f>
        <v>265.87</v>
      </c>
      <c r="F2530" s="178"/>
      <c r="G2530" s="178"/>
      <c r="H2530" s="178"/>
      <c r="I2530" s="178"/>
      <c r="J2530" s="178"/>
      <c r="K2530" s="178"/>
      <c r="L2530" s="178"/>
      <c r="M2530" s="178"/>
      <c r="N2530" s="200"/>
      <c r="O2530" s="178"/>
      <c r="P2530" s="231"/>
      <c r="Q2530" s="224"/>
    </row>
    <row r="2531" spans="1:17" s="225" customFormat="1" ht="10.5" x14ac:dyDescent="0.25">
      <c r="A2531" s="229"/>
      <c r="B2531" s="230"/>
      <c r="C2531" s="184"/>
      <c r="D2531" s="185"/>
      <c r="E2531" s="185"/>
      <c r="F2531" s="185"/>
      <c r="G2531" s="185"/>
      <c r="H2531" s="185"/>
      <c r="I2531" s="185"/>
      <c r="J2531" s="185"/>
      <c r="K2531" s="185"/>
      <c r="L2531" s="185"/>
      <c r="M2531" s="185"/>
      <c r="N2531" s="205"/>
      <c r="O2531" s="185"/>
      <c r="P2531" s="231"/>
      <c r="Q2531" s="224"/>
    </row>
    <row r="2532" spans="1:17" s="225" customFormat="1" ht="10.5" x14ac:dyDescent="0.25">
      <c r="A2532" s="229"/>
      <c r="B2532" s="232" t="s">
        <v>5</v>
      </c>
      <c r="C2532" s="182" t="s">
        <v>1328</v>
      </c>
      <c r="D2532" s="182"/>
      <c r="E2532" s="184">
        <f>SUM(E2530:E2531)</f>
        <v>265.87</v>
      </c>
      <c r="F2532" s="182"/>
      <c r="G2532" s="182"/>
      <c r="H2532" s="182"/>
      <c r="I2532" s="182"/>
      <c r="J2532" s="182"/>
      <c r="K2532" s="184"/>
      <c r="L2532" s="182"/>
      <c r="M2532" s="182"/>
      <c r="N2532" s="184"/>
      <c r="O2532" s="184"/>
      <c r="P2532" s="233"/>
      <c r="Q2532" s="224"/>
    </row>
    <row r="2533" spans="1:17" s="228" customFormat="1" ht="52.5" x14ac:dyDescent="0.25">
      <c r="A2533" s="226" t="str">
        <f>ORÇAMENTO!A494</f>
        <v>5.1.2.6.50</v>
      </c>
      <c r="B2533" s="227" t="str">
        <f>VLOOKUP(A2533,ORÇAMENTO!A:K,4,0)</f>
        <v>ASSENTAMENTO DE TUBO DE CONCRETO PARA REDES COLETORAS DE ÁGUAS PLUVIAIS, DIÂMETRO DE 400 MM, JUNTA RÍGIDA, INSTALADO EM LOCAL COM ALTO NÍVEL DE INTERFERÊNCIAS (NÃO INCLUI FORNECIMENTO). AF_03/2024</v>
      </c>
      <c r="C2533" s="173" t="str">
        <f>VLOOKUP(A2533,ORÇAMENTO!A:K,5,0)</f>
        <v>M</v>
      </c>
      <c r="D2533" s="173">
        <f>ROUND(SUM(E2536:O2536),2)</f>
        <v>329.84</v>
      </c>
      <c r="E2533" s="173" t="s">
        <v>1718</v>
      </c>
      <c r="F2533" s="173" t="s">
        <v>1719</v>
      </c>
      <c r="G2533" s="173" t="s">
        <v>1720</v>
      </c>
      <c r="H2533" s="173" t="s">
        <v>1721</v>
      </c>
      <c r="I2533" s="173" t="s">
        <v>1722</v>
      </c>
      <c r="J2533" s="173" t="s">
        <v>1723</v>
      </c>
      <c r="K2533" s="173" t="s">
        <v>1724</v>
      </c>
      <c r="L2533" s="173" t="s">
        <v>1804</v>
      </c>
      <c r="M2533" s="173" t="s">
        <v>1726</v>
      </c>
      <c r="N2533" s="173" t="s">
        <v>1809</v>
      </c>
      <c r="O2533" s="173" t="s">
        <v>1728</v>
      </c>
      <c r="P2533" s="224"/>
      <c r="Q2533" s="224"/>
    </row>
    <row r="2534" spans="1:17" s="225" customFormat="1" ht="10.5" x14ac:dyDescent="0.25">
      <c r="A2534" s="229"/>
      <c r="B2534" s="230" t="s">
        <v>1831</v>
      </c>
      <c r="C2534" s="184"/>
      <c r="D2534" s="185"/>
      <c r="E2534" s="185">
        <f>E2528+E2532</f>
        <v>329.83699999999999</v>
      </c>
      <c r="F2534" s="185"/>
      <c r="G2534" s="185"/>
      <c r="H2534" s="185"/>
      <c r="I2534" s="185"/>
      <c r="J2534" s="185"/>
      <c r="K2534" s="185"/>
      <c r="L2534" s="185"/>
      <c r="M2534" s="185"/>
      <c r="N2534" s="205"/>
      <c r="O2534" s="185"/>
      <c r="P2534" s="231"/>
      <c r="Q2534" s="224"/>
    </row>
    <row r="2535" spans="1:17" s="225" customFormat="1" ht="10.5" x14ac:dyDescent="0.25">
      <c r="A2535" s="229"/>
      <c r="B2535" s="230"/>
      <c r="C2535" s="184"/>
      <c r="D2535" s="185"/>
      <c r="E2535" s="185"/>
      <c r="F2535" s="185"/>
      <c r="G2535" s="185"/>
      <c r="H2535" s="185"/>
      <c r="I2535" s="185"/>
      <c r="J2535" s="185"/>
      <c r="K2535" s="185"/>
      <c r="L2535" s="185"/>
      <c r="M2535" s="185"/>
      <c r="N2535" s="205"/>
      <c r="O2535" s="185"/>
      <c r="P2535" s="231"/>
      <c r="Q2535" s="224"/>
    </row>
    <row r="2536" spans="1:17" s="225" customFormat="1" ht="10.5" x14ac:dyDescent="0.25">
      <c r="A2536" s="229"/>
      <c r="B2536" s="232" t="s">
        <v>5</v>
      </c>
      <c r="C2536" s="182" t="s">
        <v>1328</v>
      </c>
      <c r="D2536" s="182"/>
      <c r="E2536" s="184">
        <f>SUM(E2534:E2535)</f>
        <v>329.83699999999999</v>
      </c>
      <c r="F2536" s="182"/>
      <c r="G2536" s="182"/>
      <c r="H2536" s="182"/>
      <c r="I2536" s="182"/>
      <c r="J2536" s="182"/>
      <c r="K2536" s="184"/>
      <c r="L2536" s="182"/>
      <c r="M2536" s="182"/>
      <c r="N2536" s="184"/>
      <c r="O2536" s="184"/>
      <c r="P2536" s="233"/>
      <c r="Q2536" s="224"/>
    </row>
    <row r="2537" spans="1:17" s="225" customFormat="1" ht="10.5" x14ac:dyDescent="0.25">
      <c r="A2537" s="222" t="str">
        <f>ORÇAMENTO!A495</f>
        <v>5.1.2.7</v>
      </c>
      <c r="B2537" s="223" t="str">
        <f>VLOOKUP(A2537,ORÇAMENTO!A:K,4,0)</f>
        <v>POÇOS DE VISITA</v>
      </c>
      <c r="C2537" s="167"/>
      <c r="D2537" s="167"/>
      <c r="E2537" s="168"/>
      <c r="F2537" s="168"/>
      <c r="G2537" s="168"/>
      <c r="H2537" s="168"/>
      <c r="I2537" s="168"/>
      <c r="J2537" s="168"/>
      <c r="K2537" s="168"/>
      <c r="L2537" s="168"/>
      <c r="M2537" s="168"/>
      <c r="N2537" s="168"/>
      <c r="O2537" s="168"/>
      <c r="P2537" s="224"/>
      <c r="Q2537" s="224"/>
    </row>
    <row r="2538" spans="1:17" s="228" customFormat="1" ht="21" x14ac:dyDescent="0.25">
      <c r="A2538" s="226" t="str">
        <f>ORÇAMENTO!A496</f>
        <v>5.1.2.7.1</v>
      </c>
      <c r="B2538" s="227" t="str">
        <f>VLOOKUP(A2538,ORÇAMENTO!A:K,4,0)</f>
        <v>REVEST. PRIMARIO C CASCALHO OU SAIBRO C\ COMPACTACAO</v>
      </c>
      <c r="C2538" s="173" t="str">
        <f>VLOOKUP(A2538,ORÇAMENTO!A:K,5,0)</f>
        <v>M³</v>
      </c>
      <c r="D2538" s="173">
        <f>ROUND(SUM(E2546:O2546),2)</f>
        <v>18.77</v>
      </c>
      <c r="E2538" s="173" t="s">
        <v>1718</v>
      </c>
      <c r="F2538" s="173" t="s">
        <v>1719</v>
      </c>
      <c r="G2538" s="173" t="s">
        <v>1720</v>
      </c>
      <c r="H2538" s="173" t="s">
        <v>1721</v>
      </c>
      <c r="I2538" s="173" t="s">
        <v>1722</v>
      </c>
      <c r="J2538" s="173" t="s">
        <v>1723</v>
      </c>
      <c r="K2538" s="173" t="s">
        <v>1724</v>
      </c>
      <c r="L2538" s="173" t="s">
        <v>1804</v>
      </c>
      <c r="M2538" s="173" t="s">
        <v>1726</v>
      </c>
      <c r="N2538" s="173" t="s">
        <v>1809</v>
      </c>
      <c r="O2538" s="173" t="s">
        <v>1728</v>
      </c>
      <c r="P2538" s="224"/>
      <c r="Q2538" s="224"/>
    </row>
    <row r="2539" spans="1:17" s="225" customFormat="1" ht="10.5" x14ac:dyDescent="0.25">
      <c r="A2539" s="229"/>
      <c r="B2539" s="230" t="s">
        <v>1832</v>
      </c>
      <c r="C2539" s="184"/>
      <c r="D2539" s="185"/>
      <c r="E2539" s="185"/>
      <c r="F2539" s="185"/>
      <c r="G2539" s="185"/>
      <c r="H2539" s="185"/>
      <c r="I2539" s="185"/>
      <c r="J2539" s="185"/>
      <c r="K2539" s="185"/>
      <c r="L2539" s="185"/>
      <c r="M2539" s="185"/>
      <c r="N2539" s="205"/>
      <c r="O2539" s="185"/>
      <c r="P2539" s="231"/>
      <c r="Q2539" s="224"/>
    </row>
    <row r="2540" spans="1:17" s="225" customFormat="1" ht="10.5" x14ac:dyDescent="0.25">
      <c r="A2540" s="229"/>
      <c r="B2540" s="230" t="s">
        <v>1833</v>
      </c>
      <c r="C2540" s="184"/>
      <c r="D2540" s="185"/>
      <c r="E2540" s="185">
        <v>1.48</v>
      </c>
      <c r="F2540" s="185">
        <v>1.48</v>
      </c>
      <c r="G2540" s="185"/>
      <c r="H2540" s="185">
        <v>0.1</v>
      </c>
      <c r="I2540" s="185"/>
      <c r="J2540" s="185"/>
      <c r="K2540" s="185"/>
      <c r="L2540" s="185"/>
      <c r="M2540" s="185">
        <f>'Planilha Hidráulica'!AF95</f>
        <v>13</v>
      </c>
      <c r="N2540" s="205"/>
      <c r="O2540" s="185">
        <f>M2540*E2540*F2540*H2540</f>
        <v>2.8475199999999998</v>
      </c>
      <c r="P2540" s="231"/>
      <c r="Q2540" s="224"/>
    </row>
    <row r="2541" spans="1:17" s="225" customFormat="1" ht="10.5" x14ac:dyDescent="0.25">
      <c r="A2541" s="229"/>
      <c r="B2541" s="230" t="s">
        <v>1834</v>
      </c>
      <c r="C2541" s="184"/>
      <c r="D2541" s="185"/>
      <c r="E2541" s="185">
        <v>1.9</v>
      </c>
      <c r="F2541" s="185">
        <v>1.9</v>
      </c>
      <c r="G2541" s="185"/>
      <c r="H2541" s="185">
        <v>0.1</v>
      </c>
      <c r="I2541" s="185"/>
      <c r="J2541" s="185"/>
      <c r="K2541" s="185"/>
      <c r="L2541" s="185"/>
      <c r="M2541" s="185">
        <f>'Planilha Hidráulica'!AG95</f>
        <v>4</v>
      </c>
      <c r="N2541" s="205"/>
      <c r="O2541" s="185">
        <f>M2541*E2541*F2541*H2541</f>
        <v>1.444</v>
      </c>
      <c r="P2541" s="231"/>
      <c r="Q2541" s="224"/>
    </row>
    <row r="2542" spans="1:17" s="225" customFormat="1" ht="10.5" x14ac:dyDescent="0.25">
      <c r="A2542" s="229"/>
      <c r="B2542" s="230" t="s">
        <v>1835</v>
      </c>
      <c r="C2542" s="184"/>
      <c r="D2542" s="185"/>
      <c r="E2542" s="185">
        <v>2.14</v>
      </c>
      <c r="F2542" s="185">
        <v>2.14</v>
      </c>
      <c r="G2542" s="185"/>
      <c r="H2542" s="185">
        <v>0.1</v>
      </c>
      <c r="I2542" s="185"/>
      <c r="J2542" s="185"/>
      <c r="K2542" s="185"/>
      <c r="L2542" s="185"/>
      <c r="M2542" s="185">
        <f>'Planilha Hidráulica'!AH95</f>
        <v>17</v>
      </c>
      <c r="N2542" s="205"/>
      <c r="O2542" s="185">
        <f>M2542*E2542*F2542*H2542</f>
        <v>7.7853200000000022</v>
      </c>
      <c r="P2542" s="231"/>
      <c r="Q2542" s="224"/>
    </row>
    <row r="2543" spans="1:17" s="225" customFormat="1" ht="10.5" x14ac:dyDescent="0.25">
      <c r="A2543" s="229"/>
      <c r="B2543" s="230" t="s">
        <v>1836</v>
      </c>
      <c r="C2543" s="184"/>
      <c r="D2543" s="185"/>
      <c r="E2543" s="185">
        <v>2.2400000000000002</v>
      </c>
      <c r="F2543" s="185">
        <v>2.2400000000000002</v>
      </c>
      <c r="G2543" s="185"/>
      <c r="H2543" s="185">
        <v>0.1</v>
      </c>
      <c r="I2543" s="185"/>
      <c r="J2543" s="185"/>
      <c r="K2543" s="185"/>
      <c r="L2543" s="185"/>
      <c r="M2543" s="185">
        <f>'Planilha Hidráulica'!AI95</f>
        <v>5</v>
      </c>
      <c r="N2543" s="205"/>
      <c r="O2543" s="185">
        <f>M2543*E2543*F2543*H2543</f>
        <v>2.5088000000000008</v>
      </c>
      <c r="P2543" s="231"/>
      <c r="Q2543" s="224"/>
    </row>
    <row r="2544" spans="1:17" s="225" customFormat="1" ht="10.5" x14ac:dyDescent="0.25">
      <c r="A2544" s="229"/>
      <c r="B2544" s="230" t="s">
        <v>1837</v>
      </c>
      <c r="C2544" s="184"/>
      <c r="D2544" s="185"/>
      <c r="E2544" s="185">
        <v>2.64</v>
      </c>
      <c r="F2544" s="185">
        <v>2.64</v>
      </c>
      <c r="G2544" s="185"/>
      <c r="H2544" s="185">
        <v>0.1</v>
      </c>
      <c r="I2544" s="185"/>
      <c r="J2544" s="185"/>
      <c r="K2544" s="185"/>
      <c r="L2544" s="185"/>
      <c r="M2544" s="185">
        <f>'Planilha Hidráulica'!AJ95</f>
        <v>6</v>
      </c>
      <c r="N2544" s="205"/>
      <c r="O2544" s="185">
        <f>M2544*E2544*F2544*H2544</f>
        <v>4.1817599999999997</v>
      </c>
      <c r="P2544" s="231"/>
      <c r="Q2544" s="224"/>
    </row>
    <row r="2545" spans="1:17" s="225" customFormat="1" ht="10.5" x14ac:dyDescent="0.25">
      <c r="A2545" s="229"/>
      <c r="B2545" s="230"/>
      <c r="C2545" s="184"/>
      <c r="D2545" s="185"/>
      <c r="E2545" s="185"/>
      <c r="F2545" s="185"/>
      <c r="G2545" s="185"/>
      <c r="H2545" s="185"/>
      <c r="I2545" s="185"/>
      <c r="J2545" s="185"/>
      <c r="K2545" s="185"/>
      <c r="L2545" s="185"/>
      <c r="M2545" s="185"/>
      <c r="N2545" s="205"/>
      <c r="O2545" s="185"/>
      <c r="P2545" s="231"/>
      <c r="Q2545" s="224"/>
    </row>
    <row r="2546" spans="1:17" s="225" customFormat="1" ht="10.5" x14ac:dyDescent="0.25">
      <c r="A2546" s="229"/>
      <c r="B2546" s="232" t="s">
        <v>5</v>
      </c>
      <c r="C2546" s="182" t="s">
        <v>1328</v>
      </c>
      <c r="D2546" s="182"/>
      <c r="E2546" s="182"/>
      <c r="F2546" s="182"/>
      <c r="G2546" s="182"/>
      <c r="H2546" s="182"/>
      <c r="I2546" s="182"/>
      <c r="J2546" s="182"/>
      <c r="K2546" s="185"/>
      <c r="L2546" s="182"/>
      <c r="M2546" s="182"/>
      <c r="N2546" s="184"/>
      <c r="O2546" s="184">
        <f>SUM(O2540:O2544)</f>
        <v>18.767400000000002</v>
      </c>
      <c r="P2546" s="233"/>
      <c r="Q2546" s="224"/>
    </row>
    <row r="2547" spans="1:17" s="228" customFormat="1" ht="31.5" x14ac:dyDescent="0.25">
      <c r="A2547" s="226" t="str">
        <f>ORÇAMENTO!A497</f>
        <v>5.1.2.7.2</v>
      </c>
      <c r="B2547" s="227" t="str">
        <f>VLOOKUP(A2547,ORÇAMENTO!A:K,4,0)</f>
        <v>PEÇA RETANGULAR PRÉ-MOLDADA, VOLUME DE CONCRETO DE ATÉ 10 LITROS, TAXA DE AÇO APROXIMADA DE 30KG/M³. AF_03/2024</v>
      </c>
      <c r="C2547" s="173" t="str">
        <f>VLOOKUP(A2547,ORÇAMENTO!A:K,5,0)</f>
        <v>M³</v>
      </c>
      <c r="D2547" s="173">
        <f>ROUND(SUM(E2552:O2552),2)</f>
        <v>3.03</v>
      </c>
      <c r="E2547" s="173" t="s">
        <v>1718</v>
      </c>
      <c r="F2547" s="173" t="s">
        <v>1719</v>
      </c>
      <c r="G2547" s="173" t="s">
        <v>1720</v>
      </c>
      <c r="H2547" s="173" t="s">
        <v>1721</v>
      </c>
      <c r="I2547" s="173" t="s">
        <v>1722</v>
      </c>
      <c r="J2547" s="173" t="s">
        <v>1723</v>
      </c>
      <c r="K2547" s="173" t="s">
        <v>1724</v>
      </c>
      <c r="L2547" s="173" t="s">
        <v>1804</v>
      </c>
      <c r="M2547" s="173" t="s">
        <v>1726</v>
      </c>
      <c r="N2547" s="173" t="s">
        <v>1809</v>
      </c>
      <c r="O2547" s="173" t="s">
        <v>1728</v>
      </c>
      <c r="P2547" s="224"/>
      <c r="Q2547" s="224"/>
    </row>
    <row r="2548" spans="1:17" s="225" customFormat="1" ht="10.5" x14ac:dyDescent="0.25">
      <c r="A2548" s="229"/>
      <c r="B2548" s="230" t="str">
        <f>B2539</f>
        <v>CONFORME DESENHO TIPO</v>
      </c>
      <c r="C2548" s="184"/>
      <c r="D2548" s="185"/>
      <c r="E2548" s="185"/>
      <c r="F2548" s="185"/>
      <c r="G2548" s="185"/>
      <c r="H2548" s="185"/>
      <c r="I2548" s="185"/>
      <c r="J2548" s="185"/>
      <c r="K2548" s="185"/>
      <c r="L2548" s="185"/>
      <c r="M2548" s="185"/>
      <c r="N2548" s="205"/>
      <c r="O2548" s="185"/>
      <c r="P2548" s="231"/>
      <c r="Q2548" s="224"/>
    </row>
    <row r="2549" spans="1:17" s="225" customFormat="1" ht="10.5" x14ac:dyDescent="0.25">
      <c r="A2549" s="229"/>
      <c r="B2549" s="230" t="str">
        <f>B2540</f>
        <v>PV DN 600</v>
      </c>
      <c r="C2549" s="184"/>
      <c r="D2549" s="185"/>
      <c r="E2549" s="185">
        <f>E2540-0.2</f>
        <v>1.28</v>
      </c>
      <c r="F2549" s="185">
        <f>F2540-0.2</f>
        <v>1.28</v>
      </c>
      <c r="G2549" s="185"/>
      <c r="H2549" s="185">
        <v>0.1</v>
      </c>
      <c r="I2549" s="185"/>
      <c r="J2549" s="185"/>
      <c r="K2549" s="185"/>
      <c r="L2549" s="185"/>
      <c r="M2549" s="185">
        <f>M2540</f>
        <v>13</v>
      </c>
      <c r="N2549" s="205"/>
      <c r="O2549" s="185">
        <f>M2549*E2549*F2549*H2549</f>
        <v>2.1299200000000003</v>
      </c>
      <c r="P2549" s="231"/>
      <c r="Q2549" s="224"/>
    </row>
    <row r="2550" spans="1:17" s="225" customFormat="1" ht="10.5" x14ac:dyDescent="0.25">
      <c r="A2550" s="229"/>
      <c r="B2550" s="230" t="str">
        <f>B2541</f>
        <v>PV DN 800</v>
      </c>
      <c r="C2550" s="184"/>
      <c r="D2550" s="185"/>
      <c r="E2550" s="185">
        <f>E2541-0.2*2</f>
        <v>1.5</v>
      </c>
      <c r="F2550" s="185">
        <f>F2541-0.2*2</f>
        <v>1.5</v>
      </c>
      <c r="G2550" s="185"/>
      <c r="H2550" s="185">
        <v>0.1</v>
      </c>
      <c r="I2550" s="185"/>
      <c r="J2550" s="185"/>
      <c r="K2550" s="185"/>
      <c r="L2550" s="185"/>
      <c r="M2550" s="185">
        <f>M2541</f>
        <v>4</v>
      </c>
      <c r="N2550" s="205"/>
      <c r="O2550" s="185">
        <f>M2550*E2550*F2550*H2550</f>
        <v>0.9</v>
      </c>
      <c r="P2550" s="231"/>
      <c r="Q2550" s="224"/>
    </row>
    <row r="2551" spans="1:17" s="225" customFormat="1" ht="10.5" x14ac:dyDescent="0.25">
      <c r="A2551" s="229"/>
      <c r="B2551" s="230"/>
      <c r="C2551" s="184"/>
      <c r="D2551" s="185"/>
      <c r="E2551" s="185"/>
      <c r="F2551" s="185"/>
      <c r="G2551" s="185"/>
      <c r="H2551" s="185"/>
      <c r="I2551" s="185"/>
      <c r="J2551" s="185"/>
      <c r="K2551" s="185"/>
      <c r="L2551" s="185"/>
      <c r="M2551" s="185"/>
      <c r="N2551" s="205"/>
      <c r="O2551" s="185"/>
      <c r="P2551" s="231"/>
      <c r="Q2551" s="224"/>
    </row>
    <row r="2552" spans="1:17" s="225" customFormat="1" ht="10.5" x14ac:dyDescent="0.25">
      <c r="A2552" s="229"/>
      <c r="B2552" s="232" t="s">
        <v>5</v>
      </c>
      <c r="C2552" s="182" t="s">
        <v>1328</v>
      </c>
      <c r="D2552" s="182"/>
      <c r="E2552" s="182"/>
      <c r="F2552" s="182"/>
      <c r="G2552" s="182"/>
      <c r="H2552" s="182"/>
      <c r="I2552" s="182"/>
      <c r="J2552" s="182"/>
      <c r="K2552" s="185"/>
      <c r="L2552" s="182"/>
      <c r="M2552" s="182"/>
      <c r="N2552" s="184"/>
      <c r="O2552" s="184">
        <f>SUM(O2548:O2551)</f>
        <v>3.0299200000000002</v>
      </c>
      <c r="P2552" s="233"/>
      <c r="Q2552" s="224"/>
    </row>
    <row r="2553" spans="1:17" s="228" customFormat="1" ht="42" x14ac:dyDescent="0.25">
      <c r="A2553" s="226" t="str">
        <f>ORÇAMENTO!A498</f>
        <v>5.1.2.7.3</v>
      </c>
      <c r="B2553" s="227" t="str">
        <f>VLOOKUP(A2553,ORÇAMENTO!A:K,4,0)</f>
        <v>ALVENARIA DE VEDAÇÃO DE BLOCOS VAZADOS DE CONCRETO DE 19X19X39 CM (ESPESSURA 19 CM) E ARGAMASSA DE ASSENTAMENTO COM PREPARO EM BETONEIRA. AF_12/2021</v>
      </c>
      <c r="C2553" s="173" t="str">
        <f>VLOOKUP(A2553,ORÇAMENTO!A:K,5,0)</f>
        <v>M²</v>
      </c>
      <c r="D2553" s="173">
        <f>ROUND(SUM(E2558:O2558),2)</f>
        <v>101.19</v>
      </c>
      <c r="E2553" s="173" t="s">
        <v>1718</v>
      </c>
      <c r="F2553" s="173" t="s">
        <v>1719</v>
      </c>
      <c r="G2553" s="173" t="s">
        <v>1720</v>
      </c>
      <c r="H2553" s="173" t="s">
        <v>1721</v>
      </c>
      <c r="I2553" s="173" t="s">
        <v>1722</v>
      </c>
      <c r="J2553" s="173" t="s">
        <v>1723</v>
      </c>
      <c r="K2553" s="173" t="s">
        <v>1724</v>
      </c>
      <c r="L2553" s="173" t="s">
        <v>1804</v>
      </c>
      <c r="M2553" s="173" t="s">
        <v>1726</v>
      </c>
      <c r="N2553" s="173" t="s">
        <v>1826</v>
      </c>
      <c r="O2553" s="173" t="s">
        <v>1728</v>
      </c>
      <c r="P2553" s="224"/>
      <c r="Q2553" s="224"/>
    </row>
    <row r="2554" spans="1:17" s="225" customFormat="1" ht="10.5" x14ac:dyDescent="0.25">
      <c r="A2554" s="229"/>
      <c r="B2554" s="230" t="str">
        <f>B2548</f>
        <v>CONFORME DESENHO TIPO</v>
      </c>
      <c r="C2554" s="184"/>
      <c r="D2554" s="185"/>
      <c r="E2554" s="185"/>
      <c r="F2554" s="185"/>
      <c r="G2554" s="185"/>
      <c r="H2554" s="185"/>
      <c r="I2554" s="185"/>
      <c r="J2554" s="185"/>
      <c r="K2554" s="185"/>
      <c r="L2554" s="185"/>
      <c r="M2554" s="185"/>
      <c r="N2554" s="205"/>
      <c r="O2554" s="185"/>
      <c r="P2554" s="231"/>
      <c r="Q2554" s="224"/>
    </row>
    <row r="2555" spans="1:17" s="225" customFormat="1" ht="10.5" x14ac:dyDescent="0.25">
      <c r="A2555" s="229"/>
      <c r="B2555" s="230" t="str">
        <f>B2549</f>
        <v>PV DN 600</v>
      </c>
      <c r="C2555" s="184"/>
      <c r="D2555" s="185"/>
      <c r="E2555" s="185">
        <f>E2549-0.1*2</f>
        <v>1.08</v>
      </c>
      <c r="F2555" s="185">
        <f>F2549-0.1*2</f>
        <v>1.08</v>
      </c>
      <c r="G2555" s="185">
        <v>1.4</v>
      </c>
      <c r="H2555" s="185">
        <v>0.09</v>
      </c>
      <c r="I2555" s="185">
        <f>2*(E2555+F2555-2*H2555)</f>
        <v>3.9600000000000004</v>
      </c>
      <c r="J2555" s="185"/>
      <c r="K2555" s="185"/>
      <c r="L2555" s="185"/>
      <c r="M2555" s="185">
        <f>M2549</f>
        <v>13</v>
      </c>
      <c r="N2555" s="205">
        <f>M2555*I2555*G2555</f>
        <v>72.072000000000003</v>
      </c>
      <c r="O2555" s="185"/>
      <c r="P2555" s="231"/>
      <c r="Q2555" s="224"/>
    </row>
    <row r="2556" spans="1:17" s="225" customFormat="1" ht="10.5" x14ac:dyDescent="0.25">
      <c r="A2556" s="229"/>
      <c r="B2556" s="230" t="str">
        <f>B2550</f>
        <v>PV DN 800</v>
      </c>
      <c r="C2556" s="184"/>
      <c r="D2556" s="185"/>
      <c r="E2556" s="185">
        <f>E2550</f>
        <v>1.5</v>
      </c>
      <c r="F2556" s="185">
        <f>F2550</f>
        <v>1.5</v>
      </c>
      <c r="G2556" s="185">
        <v>1.4</v>
      </c>
      <c r="H2556" s="185">
        <v>0.2</v>
      </c>
      <c r="I2556" s="185">
        <f>2*(E2556+F2556-2*H2556)</f>
        <v>5.2</v>
      </c>
      <c r="J2556" s="185"/>
      <c r="K2556" s="185"/>
      <c r="L2556" s="185"/>
      <c r="M2556" s="185">
        <f>M2550</f>
        <v>4</v>
      </c>
      <c r="N2556" s="205">
        <f>M2556*I2556*G2556</f>
        <v>29.119999999999997</v>
      </c>
      <c r="O2556" s="185"/>
      <c r="P2556" s="231"/>
      <c r="Q2556" s="224"/>
    </row>
    <row r="2557" spans="1:17" s="225" customFormat="1" ht="10.5" x14ac:dyDescent="0.25">
      <c r="A2557" s="229"/>
      <c r="B2557" s="230"/>
      <c r="C2557" s="184"/>
      <c r="D2557" s="185"/>
      <c r="E2557" s="185"/>
      <c r="F2557" s="185"/>
      <c r="G2557" s="185"/>
      <c r="H2557" s="185"/>
      <c r="I2557" s="185"/>
      <c r="J2557" s="185"/>
      <c r="K2557" s="185"/>
      <c r="L2557" s="185"/>
      <c r="M2557" s="185"/>
      <c r="N2557" s="205"/>
      <c r="O2557" s="185"/>
      <c r="P2557" s="231"/>
      <c r="Q2557" s="224"/>
    </row>
    <row r="2558" spans="1:17" s="225" customFormat="1" ht="10.5" x14ac:dyDescent="0.25">
      <c r="A2558" s="229"/>
      <c r="B2558" s="232" t="s">
        <v>5</v>
      </c>
      <c r="C2558" s="182" t="s">
        <v>1328</v>
      </c>
      <c r="D2558" s="182"/>
      <c r="E2558" s="182"/>
      <c r="F2558" s="182"/>
      <c r="G2558" s="182"/>
      <c r="H2558" s="182"/>
      <c r="I2558" s="182"/>
      <c r="J2558" s="182"/>
      <c r="K2558" s="185"/>
      <c r="L2558" s="182"/>
      <c r="M2558" s="182"/>
      <c r="N2558" s="184">
        <f>SUM(N2554:N2557)</f>
        <v>101.19200000000001</v>
      </c>
      <c r="O2558" s="182"/>
      <c r="P2558" s="233"/>
      <c r="Q2558" s="224"/>
    </row>
    <row r="2559" spans="1:17" s="228" customFormat="1" ht="42" x14ac:dyDescent="0.25">
      <c r="A2559" s="226" t="str">
        <f>ORÇAMENTO!A499</f>
        <v>5.1.2.7.4</v>
      </c>
      <c r="B2559" s="227" t="str">
        <f>VLOOKUP(A2559,ORÇAMENTO!A:K,4,0)</f>
        <v>CONCRETO FCK = 15MPA, TRAÇO 1:3,4:3,5 (EM MASSA SECA DE CIMENTO/ AREIA MÉDIA/ BRITA 1) - PREPARO MECÂNICO COM BETONEIRA 600 L. AF_05/2021</v>
      </c>
      <c r="C2559" s="173" t="str">
        <f>VLOOKUP(A2559,ORÇAMENTO!A:K,5,0)</f>
        <v>M³</v>
      </c>
      <c r="D2559" s="173">
        <f>ROUND(SUM(E2573:O2573),2)</f>
        <v>29.06</v>
      </c>
      <c r="E2559" s="173" t="s">
        <v>1718</v>
      </c>
      <c r="F2559" s="173" t="s">
        <v>1719</v>
      </c>
      <c r="G2559" s="173" t="s">
        <v>1720</v>
      </c>
      <c r="H2559" s="173" t="s">
        <v>1721</v>
      </c>
      <c r="I2559" s="173" t="s">
        <v>1722</v>
      </c>
      <c r="J2559" s="173" t="s">
        <v>1723</v>
      </c>
      <c r="K2559" s="173" t="s">
        <v>1724</v>
      </c>
      <c r="L2559" s="173" t="s">
        <v>1804</v>
      </c>
      <c r="M2559" s="173" t="s">
        <v>1726</v>
      </c>
      <c r="N2559" s="173" t="s">
        <v>1826</v>
      </c>
      <c r="O2559" s="173" t="s">
        <v>1728</v>
      </c>
      <c r="P2559" s="224"/>
      <c r="Q2559" s="224"/>
    </row>
    <row r="2560" spans="1:17" s="225" customFormat="1" ht="10.5" x14ac:dyDescent="0.25">
      <c r="A2560" s="229"/>
      <c r="B2560" s="230" t="str">
        <f>B2575</f>
        <v>CONFORME DESENHO TIPO</v>
      </c>
      <c r="C2560" s="177"/>
      <c r="D2560" s="178"/>
      <c r="E2560" s="178"/>
      <c r="F2560" s="178"/>
      <c r="G2560" s="178"/>
      <c r="H2560" s="178"/>
      <c r="I2560" s="178"/>
      <c r="J2560" s="178"/>
      <c r="K2560" s="178"/>
      <c r="L2560" s="178"/>
      <c r="M2560" s="178"/>
      <c r="N2560" s="200"/>
      <c r="O2560" s="178"/>
      <c r="P2560" s="231"/>
      <c r="Q2560" s="224"/>
    </row>
    <row r="2561" spans="1:17" s="228" customFormat="1" ht="10.5" x14ac:dyDescent="0.25">
      <c r="A2561" s="239"/>
      <c r="B2561" s="232" t="str">
        <f>B2542</f>
        <v>PV DN 1000</v>
      </c>
      <c r="C2561" s="177"/>
      <c r="D2561" s="177"/>
      <c r="E2561" s="177"/>
      <c r="F2561" s="177"/>
      <c r="G2561" s="177"/>
      <c r="H2561" s="177"/>
      <c r="I2561" s="177"/>
      <c r="J2561" s="177"/>
      <c r="K2561" s="177"/>
      <c r="L2561" s="177"/>
      <c r="M2561" s="177"/>
      <c r="N2561" s="202"/>
      <c r="O2561" s="177"/>
      <c r="P2561" s="231"/>
      <c r="Q2561" s="224"/>
    </row>
    <row r="2562" spans="1:17" s="225" customFormat="1" ht="10.5" x14ac:dyDescent="0.25">
      <c r="A2562" s="229"/>
      <c r="B2562" s="230" t="s">
        <v>1838</v>
      </c>
      <c r="C2562" s="177"/>
      <c r="D2562" s="178"/>
      <c r="E2562" s="178">
        <f>E2581</f>
        <v>1.74</v>
      </c>
      <c r="F2562" s="178">
        <f>F2581</f>
        <v>1.74</v>
      </c>
      <c r="G2562" s="178"/>
      <c r="H2562" s="178">
        <v>0.05</v>
      </c>
      <c r="I2562" s="178"/>
      <c r="J2562" s="178"/>
      <c r="K2562" s="178"/>
      <c r="L2562" s="178"/>
      <c r="M2562" s="178">
        <f>M2542</f>
        <v>17</v>
      </c>
      <c r="N2562" s="200"/>
      <c r="O2562" s="178">
        <f>M2562*E2562*F2562*H2562</f>
        <v>2.5734599999999999</v>
      </c>
      <c r="P2562" s="231"/>
      <c r="Q2562" s="224"/>
    </row>
    <row r="2563" spans="1:17" s="225" customFormat="1" ht="10.5" x14ac:dyDescent="0.25">
      <c r="A2563" s="229"/>
      <c r="B2563" s="230" t="s">
        <v>1839</v>
      </c>
      <c r="C2563" s="177"/>
      <c r="D2563" s="178"/>
      <c r="E2563" s="178">
        <f>F2582</f>
        <v>1.5</v>
      </c>
      <c r="F2563" s="178">
        <f>F2582</f>
        <v>1.5</v>
      </c>
      <c r="G2563" s="178"/>
      <c r="H2563" s="178">
        <v>0.23</v>
      </c>
      <c r="I2563" s="178"/>
      <c r="J2563" s="178"/>
      <c r="K2563" s="178"/>
      <c r="L2563" s="178"/>
      <c r="M2563" s="178">
        <f>M2562</f>
        <v>17</v>
      </c>
      <c r="N2563" s="200"/>
      <c r="O2563" s="178">
        <f>M2563*E2563*F2563*H2563</f>
        <v>8.7975000000000012</v>
      </c>
      <c r="P2563" s="231"/>
      <c r="Q2563" s="224"/>
    </row>
    <row r="2564" spans="1:17" s="225" customFormat="1" ht="10.5" x14ac:dyDescent="0.25">
      <c r="A2564" s="229"/>
      <c r="B2564" s="230"/>
      <c r="C2564" s="177"/>
      <c r="D2564" s="178"/>
      <c r="E2564" s="178"/>
      <c r="F2564" s="178"/>
      <c r="G2564" s="178"/>
      <c r="H2564" s="178"/>
      <c r="I2564" s="178"/>
      <c r="J2564" s="178"/>
      <c r="K2564" s="178"/>
      <c r="L2564" s="178"/>
      <c r="M2564" s="178"/>
      <c r="N2564" s="200"/>
      <c r="O2564" s="178"/>
      <c r="P2564" s="231"/>
      <c r="Q2564" s="224"/>
    </row>
    <row r="2565" spans="1:17" s="228" customFormat="1" ht="10.5" x14ac:dyDescent="0.25">
      <c r="A2565" s="239"/>
      <c r="B2565" s="232" t="str">
        <f>B2543</f>
        <v>PV DN 1200</v>
      </c>
      <c r="C2565" s="177"/>
      <c r="D2565" s="177"/>
      <c r="E2565" s="177"/>
      <c r="F2565" s="177"/>
      <c r="G2565" s="177"/>
      <c r="H2565" s="177"/>
      <c r="I2565" s="177"/>
      <c r="J2565" s="177"/>
      <c r="K2565" s="177"/>
      <c r="L2565" s="177"/>
      <c r="M2565" s="177"/>
      <c r="N2565" s="202"/>
      <c r="O2565" s="177"/>
      <c r="P2565" s="231"/>
      <c r="Q2565" s="224"/>
    </row>
    <row r="2566" spans="1:17" s="225" customFormat="1" ht="10.5" x14ac:dyDescent="0.25">
      <c r="A2566" s="229"/>
      <c r="B2566" s="230" t="s">
        <v>1838</v>
      </c>
      <c r="C2566" s="177"/>
      <c r="D2566" s="178"/>
      <c r="E2566" s="178">
        <f>E2585</f>
        <v>2.04</v>
      </c>
      <c r="F2566" s="178">
        <f>F2585</f>
        <v>2.04</v>
      </c>
      <c r="G2566" s="178"/>
      <c r="H2566" s="178">
        <v>0.05</v>
      </c>
      <c r="I2566" s="178"/>
      <c r="J2566" s="178"/>
      <c r="K2566" s="178"/>
      <c r="L2566" s="178"/>
      <c r="M2566" s="178">
        <f>M2543</f>
        <v>5</v>
      </c>
      <c r="N2566" s="200"/>
      <c r="O2566" s="178">
        <f>M2566*E2566*F2566*H2566</f>
        <v>1.0404</v>
      </c>
      <c r="P2566" s="231"/>
      <c r="Q2566" s="224"/>
    </row>
    <row r="2567" spans="1:17" s="225" customFormat="1" ht="10.5" x14ac:dyDescent="0.25">
      <c r="A2567" s="229"/>
      <c r="B2567" s="230" t="s">
        <v>1839</v>
      </c>
      <c r="C2567" s="177"/>
      <c r="D2567" s="178"/>
      <c r="E2567" s="178">
        <f>F2586</f>
        <v>1.8</v>
      </c>
      <c r="F2567" s="178">
        <f>F2586</f>
        <v>1.8</v>
      </c>
      <c r="G2567" s="178"/>
      <c r="H2567" s="178">
        <v>0.28999999999999998</v>
      </c>
      <c r="I2567" s="178"/>
      <c r="J2567" s="178"/>
      <c r="K2567" s="178"/>
      <c r="L2567" s="178"/>
      <c r="M2567" s="178">
        <f>M2566</f>
        <v>5</v>
      </c>
      <c r="N2567" s="200"/>
      <c r="O2567" s="178">
        <f>M2567*E2567*F2567*H2567</f>
        <v>4.6979999999999995</v>
      </c>
      <c r="P2567" s="231"/>
      <c r="Q2567" s="224"/>
    </row>
    <row r="2568" spans="1:17" s="225" customFormat="1" ht="10.5" x14ac:dyDescent="0.25">
      <c r="A2568" s="229"/>
      <c r="B2568" s="230"/>
      <c r="C2568" s="177"/>
      <c r="D2568" s="178"/>
      <c r="E2568" s="178"/>
      <c r="F2568" s="178"/>
      <c r="G2568" s="178"/>
      <c r="H2568" s="178"/>
      <c r="I2568" s="178"/>
      <c r="J2568" s="178"/>
      <c r="K2568" s="178"/>
      <c r="L2568" s="178"/>
      <c r="M2568" s="178"/>
      <c r="N2568" s="200"/>
      <c r="O2568" s="178"/>
      <c r="P2568" s="231"/>
      <c r="Q2568" s="224"/>
    </row>
    <row r="2569" spans="1:17" s="225" customFormat="1" ht="10.5" x14ac:dyDescent="0.25">
      <c r="A2569" s="229"/>
      <c r="B2569" s="232" t="str">
        <f>B2544</f>
        <v>PV DN 1500</v>
      </c>
      <c r="C2569" s="177"/>
      <c r="D2569" s="178"/>
      <c r="E2569" s="178"/>
      <c r="F2569" s="178"/>
      <c r="G2569" s="178"/>
      <c r="H2569" s="178"/>
      <c r="I2569" s="178"/>
      <c r="J2569" s="178"/>
      <c r="K2569" s="178"/>
      <c r="L2569" s="178"/>
      <c r="M2569" s="178"/>
      <c r="N2569" s="200"/>
      <c r="O2569" s="178"/>
      <c r="P2569" s="231"/>
      <c r="Q2569" s="224"/>
    </row>
    <row r="2570" spans="1:17" s="225" customFormat="1" ht="10.5" x14ac:dyDescent="0.25">
      <c r="A2570" s="229"/>
      <c r="B2570" s="230" t="s">
        <v>1838</v>
      </c>
      <c r="C2570" s="177"/>
      <c r="D2570" s="178"/>
      <c r="E2570" s="178">
        <f>E2589</f>
        <v>2.44</v>
      </c>
      <c r="F2570" s="178">
        <f>F2589</f>
        <v>2.44</v>
      </c>
      <c r="G2570" s="178"/>
      <c r="H2570" s="178">
        <v>0.05</v>
      </c>
      <c r="I2570" s="178"/>
      <c r="J2570" s="178"/>
      <c r="K2570" s="178"/>
      <c r="L2570" s="178"/>
      <c r="M2570" s="178">
        <f>M2589</f>
        <v>6</v>
      </c>
      <c r="N2570" s="200"/>
      <c r="O2570" s="178">
        <f>M2570*E2570*F2570*H2570</f>
        <v>1.7860800000000001</v>
      </c>
      <c r="P2570" s="231"/>
      <c r="Q2570" s="224"/>
    </row>
    <row r="2571" spans="1:17" s="225" customFormat="1" ht="10.5" x14ac:dyDescent="0.25">
      <c r="A2571" s="229"/>
      <c r="B2571" s="230" t="s">
        <v>1839</v>
      </c>
      <c r="C2571" s="177"/>
      <c r="D2571" s="178"/>
      <c r="E2571" s="178">
        <f>F2590</f>
        <v>2.2000000000000002</v>
      </c>
      <c r="F2571" s="178">
        <f>F2590</f>
        <v>2.2000000000000002</v>
      </c>
      <c r="G2571" s="178"/>
      <c r="H2571" s="178">
        <v>0.35</v>
      </c>
      <c r="I2571" s="178"/>
      <c r="J2571" s="178"/>
      <c r="K2571" s="178"/>
      <c r="L2571" s="178"/>
      <c r="M2571" s="178">
        <f>M2590</f>
        <v>6</v>
      </c>
      <c r="N2571" s="200"/>
      <c r="O2571" s="178">
        <f>M2571*E2571*F2571*H2571</f>
        <v>10.164000000000001</v>
      </c>
      <c r="P2571" s="231"/>
      <c r="Q2571" s="224"/>
    </row>
    <row r="2572" spans="1:17" s="225" customFormat="1" ht="10.5" x14ac:dyDescent="0.25">
      <c r="A2572" s="229"/>
      <c r="B2572" s="230"/>
      <c r="C2572" s="177"/>
      <c r="D2572" s="178"/>
      <c r="E2572" s="178"/>
      <c r="F2572" s="178"/>
      <c r="G2572" s="178"/>
      <c r="H2572" s="178"/>
      <c r="I2572" s="178"/>
      <c r="J2572" s="178"/>
      <c r="K2572" s="178"/>
      <c r="L2572" s="178"/>
      <c r="M2572" s="178"/>
      <c r="N2572" s="200"/>
      <c r="O2572" s="178"/>
      <c r="P2572" s="231"/>
      <c r="Q2572" s="224"/>
    </row>
    <row r="2573" spans="1:17" s="225" customFormat="1" ht="10.5" x14ac:dyDescent="0.25">
      <c r="A2573" s="229"/>
      <c r="B2573" s="232" t="s">
        <v>5</v>
      </c>
      <c r="C2573" s="182" t="s">
        <v>1328</v>
      </c>
      <c r="D2573" s="182"/>
      <c r="E2573" s="182"/>
      <c r="F2573" s="182"/>
      <c r="G2573" s="182"/>
      <c r="H2573" s="182"/>
      <c r="I2573" s="182"/>
      <c r="J2573" s="182"/>
      <c r="K2573" s="178"/>
      <c r="L2573" s="182"/>
      <c r="M2573" s="182"/>
      <c r="N2573" s="177"/>
      <c r="O2573" s="177">
        <f>SUM(O2560:O2572)</f>
        <v>29.059440000000002</v>
      </c>
      <c r="P2573" s="233"/>
      <c r="Q2573" s="224"/>
    </row>
    <row r="2574" spans="1:17" s="228" customFormat="1" ht="42" x14ac:dyDescent="0.25">
      <c r="A2574" s="226" t="str">
        <f>ORÇAMENTO!A500</f>
        <v>5.1.2.7.5</v>
      </c>
      <c r="B2574" s="227" t="str">
        <f>VLOOKUP(A2574,ORÇAMENTO!A:K,4,0)</f>
        <v>CONCRETO FCK = 25MPA, TRAÇO 1:2,3:2,7 (EM MASSA SECA DE CIMENTO/ AREIA MÉDIA/ BRITA 1) - PREPARO MECÂNICO COM BETONEIRA 600 L. AF_05/2021</v>
      </c>
      <c r="C2574" s="173" t="str">
        <f>VLOOKUP(A2574,ORÇAMENTO!A:K,5,0)</f>
        <v>M³</v>
      </c>
      <c r="D2574" s="173">
        <f>ROUND(SUM(E2593:O2593),2)</f>
        <v>85.73</v>
      </c>
      <c r="E2574" s="173" t="s">
        <v>1718</v>
      </c>
      <c r="F2574" s="173" t="s">
        <v>1719</v>
      </c>
      <c r="G2574" s="173" t="s">
        <v>1720</v>
      </c>
      <c r="H2574" s="173" t="s">
        <v>1721</v>
      </c>
      <c r="I2574" s="173" t="s">
        <v>1722</v>
      </c>
      <c r="J2574" s="173" t="s">
        <v>1723</v>
      </c>
      <c r="K2574" s="173" t="s">
        <v>1724</v>
      </c>
      <c r="L2574" s="173" t="s">
        <v>1804</v>
      </c>
      <c r="M2574" s="173" t="s">
        <v>1726</v>
      </c>
      <c r="N2574" s="173" t="s">
        <v>1809</v>
      </c>
      <c r="O2574" s="173" t="s">
        <v>1728</v>
      </c>
      <c r="P2574" s="224"/>
      <c r="Q2574" s="224"/>
    </row>
    <row r="2575" spans="1:17" s="225" customFormat="1" ht="10.5" x14ac:dyDescent="0.25">
      <c r="A2575" s="229"/>
      <c r="B2575" s="230" t="str">
        <f>B2554</f>
        <v>CONFORME DESENHO TIPO</v>
      </c>
      <c r="C2575" s="184"/>
      <c r="D2575" s="185"/>
      <c r="E2575" s="185"/>
      <c r="F2575" s="185"/>
      <c r="G2575" s="185"/>
      <c r="H2575" s="185"/>
      <c r="I2575" s="185"/>
      <c r="J2575" s="185"/>
      <c r="K2575" s="185"/>
      <c r="L2575" s="185"/>
      <c r="M2575" s="185"/>
      <c r="N2575" s="205"/>
      <c r="O2575" s="185"/>
      <c r="P2575" s="231"/>
      <c r="Q2575" s="224"/>
    </row>
    <row r="2576" spans="1:17" s="228" customFormat="1" ht="10.5" x14ac:dyDescent="0.25">
      <c r="A2576" s="239"/>
      <c r="B2576" s="232" t="str">
        <f>B2549</f>
        <v>PV DN 600</v>
      </c>
      <c r="C2576" s="184"/>
      <c r="D2576" s="184"/>
      <c r="E2576" s="184">
        <f>E2555</f>
        <v>1.08</v>
      </c>
      <c r="F2576" s="184">
        <f>F2555</f>
        <v>1.08</v>
      </c>
      <c r="G2576" s="184"/>
      <c r="H2576" s="184"/>
      <c r="I2576" s="184"/>
      <c r="J2576" s="184"/>
      <c r="K2576" s="184"/>
      <c r="L2576" s="184"/>
      <c r="M2576" s="184"/>
      <c r="N2576" s="206"/>
      <c r="O2576" s="184"/>
      <c r="P2576" s="231"/>
      <c r="Q2576" s="224"/>
    </row>
    <row r="2577" spans="1:17" s="225" customFormat="1" ht="10.5" x14ac:dyDescent="0.25">
      <c r="A2577" s="229"/>
      <c r="B2577" s="230" t="s">
        <v>1840</v>
      </c>
      <c r="C2577" s="184"/>
      <c r="D2577" s="185"/>
      <c r="E2577" s="185">
        <f>E2576</f>
        <v>1.08</v>
      </c>
      <c r="F2577" s="185">
        <f>F2576</f>
        <v>1.08</v>
      </c>
      <c r="G2577" s="185"/>
      <c r="H2577" s="185">
        <v>0.1</v>
      </c>
      <c r="I2577" s="185"/>
      <c r="J2577" s="185"/>
      <c r="K2577" s="185"/>
      <c r="L2577" s="185"/>
      <c r="M2577" s="185">
        <f>M2549</f>
        <v>13</v>
      </c>
      <c r="N2577" s="205"/>
      <c r="O2577" s="185">
        <f>E2577*F2577*H2577*M2577</f>
        <v>1.5163200000000003</v>
      </c>
      <c r="P2577" s="231"/>
      <c r="Q2577" s="224"/>
    </row>
    <row r="2578" spans="1:17" s="228" customFormat="1" ht="10.5" x14ac:dyDescent="0.25">
      <c r="A2578" s="239"/>
      <c r="B2578" s="232" t="str">
        <f>B2550</f>
        <v>PV DN 800</v>
      </c>
      <c r="C2578" s="184"/>
      <c r="D2578" s="184"/>
      <c r="E2578" s="184">
        <f>E2556</f>
        <v>1.5</v>
      </c>
      <c r="F2578" s="184">
        <f>F2556</f>
        <v>1.5</v>
      </c>
      <c r="G2578" s="184"/>
      <c r="H2578" s="184"/>
      <c r="I2578" s="184"/>
      <c r="J2578" s="184"/>
      <c r="K2578" s="184"/>
      <c r="L2578" s="184"/>
      <c r="M2578" s="184"/>
      <c r="N2578" s="206"/>
      <c r="O2578" s="184"/>
      <c r="P2578" s="231"/>
      <c r="Q2578" s="224"/>
    </row>
    <row r="2579" spans="1:17" s="225" customFormat="1" ht="10.5" x14ac:dyDescent="0.25">
      <c r="A2579" s="229"/>
      <c r="B2579" s="230" t="s">
        <v>1840</v>
      </c>
      <c r="C2579" s="184"/>
      <c r="D2579" s="185"/>
      <c r="E2579" s="185">
        <f>E2578</f>
        <v>1.5</v>
      </c>
      <c r="F2579" s="185">
        <f>F2578</f>
        <v>1.5</v>
      </c>
      <c r="G2579" s="185"/>
      <c r="H2579" s="185">
        <v>0.1</v>
      </c>
      <c r="I2579" s="185"/>
      <c r="J2579" s="185"/>
      <c r="K2579" s="185"/>
      <c r="L2579" s="185"/>
      <c r="M2579" s="185">
        <f>M2550</f>
        <v>4</v>
      </c>
      <c r="N2579" s="205"/>
      <c r="O2579" s="185">
        <f>E2579*F2579*H2579*M2579</f>
        <v>0.9</v>
      </c>
      <c r="P2579" s="231"/>
      <c r="Q2579" s="224"/>
    </row>
    <row r="2580" spans="1:17" s="228" customFormat="1" ht="10.5" x14ac:dyDescent="0.25">
      <c r="A2580" s="239"/>
      <c r="B2580" s="232" t="str">
        <f>B2561</f>
        <v>PV DN 1000</v>
      </c>
      <c r="C2580" s="184"/>
      <c r="D2580" s="184"/>
      <c r="E2580" s="184">
        <v>1.74</v>
      </c>
      <c r="F2580" s="184">
        <v>1.74</v>
      </c>
      <c r="G2580" s="184"/>
      <c r="H2580" s="184"/>
      <c r="I2580" s="184"/>
      <c r="J2580" s="184"/>
      <c r="K2580" s="184"/>
      <c r="L2580" s="184"/>
      <c r="M2580" s="184"/>
      <c r="N2580" s="206"/>
      <c r="O2580" s="184"/>
      <c r="P2580" s="231"/>
      <c r="Q2580" s="224"/>
    </row>
    <row r="2581" spans="1:17" s="225" customFormat="1" ht="10.5" x14ac:dyDescent="0.25">
      <c r="A2581" s="229"/>
      <c r="B2581" s="230" t="s">
        <v>1840</v>
      </c>
      <c r="C2581" s="184"/>
      <c r="D2581" s="185"/>
      <c r="E2581" s="185">
        <f>E2580</f>
        <v>1.74</v>
      </c>
      <c r="F2581" s="185">
        <f>F2580</f>
        <v>1.74</v>
      </c>
      <c r="G2581" s="185"/>
      <c r="H2581" s="185">
        <v>0.1</v>
      </c>
      <c r="I2581" s="185"/>
      <c r="J2581" s="185"/>
      <c r="K2581" s="185"/>
      <c r="L2581" s="185"/>
      <c r="M2581" s="185">
        <f>M2542</f>
        <v>17</v>
      </c>
      <c r="N2581" s="205"/>
      <c r="O2581" s="185">
        <f>E2581*F2581*H2581*M2581</f>
        <v>5.1469200000000006</v>
      </c>
      <c r="P2581" s="231"/>
      <c r="Q2581" s="224"/>
    </row>
    <row r="2582" spans="1:17" s="225" customFormat="1" ht="10.5" x14ac:dyDescent="0.25">
      <c r="A2582" s="229"/>
      <c r="B2582" s="230" t="s">
        <v>1841</v>
      </c>
      <c r="C2582" s="177"/>
      <c r="D2582" s="178"/>
      <c r="E2582" s="178">
        <f>E2581</f>
        <v>1.74</v>
      </c>
      <c r="F2582" s="178">
        <f>F2581-2*H2582</f>
        <v>1.5</v>
      </c>
      <c r="G2582" s="178">
        <v>2</v>
      </c>
      <c r="H2582" s="178">
        <v>0.12</v>
      </c>
      <c r="I2582" s="178">
        <f>2*(E2582+F2582)</f>
        <v>6.48</v>
      </c>
      <c r="J2582" s="178"/>
      <c r="K2582" s="178"/>
      <c r="L2582" s="178"/>
      <c r="M2582" s="178">
        <f>M2581</f>
        <v>17</v>
      </c>
      <c r="N2582" s="200"/>
      <c r="O2582" s="178">
        <f>M2582*I2582*G2582*H2582</f>
        <v>26.438400000000001</v>
      </c>
      <c r="P2582" s="231"/>
      <c r="Q2582" s="224"/>
    </row>
    <row r="2583" spans="1:17" s="225" customFormat="1" ht="10.5" x14ac:dyDescent="0.25">
      <c r="A2583" s="229"/>
      <c r="B2583" s="230" t="s">
        <v>1823</v>
      </c>
      <c r="C2583" s="177"/>
      <c r="D2583" s="178"/>
      <c r="E2583" s="178">
        <f>F2582</f>
        <v>1.5</v>
      </c>
      <c r="F2583" s="178">
        <f>F2582</f>
        <v>1.5</v>
      </c>
      <c r="G2583" s="178"/>
      <c r="H2583" s="178">
        <v>0.35</v>
      </c>
      <c r="I2583" s="178"/>
      <c r="J2583" s="178"/>
      <c r="K2583" s="178"/>
      <c r="L2583" s="178"/>
      <c r="M2583" s="178">
        <f>M2582</f>
        <v>17</v>
      </c>
      <c r="N2583" s="200"/>
      <c r="O2583" s="178">
        <f>M2583*H2583*F2583*E2583</f>
        <v>13.387499999999999</v>
      </c>
      <c r="P2583" s="231"/>
      <c r="Q2583" s="224"/>
    </row>
    <row r="2584" spans="1:17" s="228" customFormat="1" ht="10.5" x14ac:dyDescent="0.25">
      <c r="A2584" s="239"/>
      <c r="B2584" s="232" t="str">
        <f>B2565</f>
        <v>PV DN 1200</v>
      </c>
      <c r="C2584" s="184"/>
      <c r="D2584" s="184"/>
      <c r="E2584" s="184">
        <v>2.04</v>
      </c>
      <c r="F2584" s="184">
        <v>2.04</v>
      </c>
      <c r="G2584" s="184"/>
      <c r="H2584" s="184"/>
      <c r="I2584" s="184"/>
      <c r="J2584" s="184"/>
      <c r="K2584" s="184"/>
      <c r="L2584" s="184"/>
      <c r="M2584" s="184"/>
      <c r="N2584" s="206"/>
      <c r="O2584" s="184"/>
      <c r="P2584" s="231"/>
      <c r="Q2584" s="224"/>
    </row>
    <row r="2585" spans="1:17" s="225" customFormat="1" ht="10.5" x14ac:dyDescent="0.25">
      <c r="A2585" s="229"/>
      <c r="B2585" s="230" t="s">
        <v>1840</v>
      </c>
      <c r="C2585" s="184"/>
      <c r="D2585" s="185"/>
      <c r="E2585" s="185">
        <f>E2584</f>
        <v>2.04</v>
      </c>
      <c r="F2585" s="185">
        <f>F2584</f>
        <v>2.04</v>
      </c>
      <c r="G2585" s="185"/>
      <c r="H2585" s="185">
        <v>0.1</v>
      </c>
      <c r="I2585" s="185"/>
      <c r="J2585" s="185"/>
      <c r="K2585" s="185"/>
      <c r="L2585" s="185"/>
      <c r="M2585" s="185">
        <f>M2566</f>
        <v>5</v>
      </c>
      <c r="N2585" s="205"/>
      <c r="O2585" s="185">
        <f>E2585*F2585*H2585*M2585</f>
        <v>2.0808</v>
      </c>
      <c r="P2585" s="231"/>
      <c r="Q2585" s="224"/>
    </row>
    <row r="2586" spans="1:17" s="225" customFormat="1" ht="10.5" x14ac:dyDescent="0.25">
      <c r="A2586" s="229"/>
      <c r="B2586" s="230" t="s">
        <v>1841</v>
      </c>
      <c r="C2586" s="177"/>
      <c r="D2586" s="178"/>
      <c r="E2586" s="178">
        <f>E2585</f>
        <v>2.04</v>
      </c>
      <c r="F2586" s="178">
        <f>F2585-2*H2586</f>
        <v>1.8</v>
      </c>
      <c r="G2586" s="178">
        <v>2</v>
      </c>
      <c r="H2586" s="178">
        <v>0.12</v>
      </c>
      <c r="I2586" s="178">
        <f>2*(E2586+F2586)</f>
        <v>7.68</v>
      </c>
      <c r="J2586" s="178"/>
      <c r="K2586" s="178"/>
      <c r="L2586" s="178"/>
      <c r="M2586" s="178">
        <f>M2585</f>
        <v>5</v>
      </c>
      <c r="N2586" s="200"/>
      <c r="O2586" s="178">
        <f>M2586*I2586*G2586*H2586</f>
        <v>9.2159999999999993</v>
      </c>
      <c r="P2586" s="231"/>
      <c r="Q2586" s="224"/>
    </row>
    <row r="2587" spans="1:17" s="225" customFormat="1" ht="10.5" x14ac:dyDescent="0.25">
      <c r="A2587" s="229"/>
      <c r="B2587" s="230" t="s">
        <v>1823</v>
      </c>
      <c r="C2587" s="177"/>
      <c r="D2587" s="178"/>
      <c r="E2587" s="178">
        <f>F2586</f>
        <v>1.8</v>
      </c>
      <c r="F2587" s="178">
        <f>F2586</f>
        <v>1.8</v>
      </c>
      <c r="G2587" s="178"/>
      <c r="H2587" s="178">
        <v>0.28000000000000003</v>
      </c>
      <c r="I2587" s="178"/>
      <c r="J2587" s="178"/>
      <c r="K2587" s="178"/>
      <c r="L2587" s="178"/>
      <c r="M2587" s="178">
        <f>M2586</f>
        <v>5</v>
      </c>
      <c r="N2587" s="200"/>
      <c r="O2587" s="178">
        <f>M2587*H2587*F2587*E2587</f>
        <v>4.5360000000000014</v>
      </c>
      <c r="P2587" s="231"/>
      <c r="Q2587" s="224"/>
    </row>
    <row r="2588" spans="1:17" s="228" customFormat="1" ht="10.5" x14ac:dyDescent="0.25">
      <c r="A2588" s="239"/>
      <c r="B2588" s="232" t="str">
        <f>B2569</f>
        <v>PV DN 1500</v>
      </c>
      <c r="C2588" s="184"/>
      <c r="D2588" s="184"/>
      <c r="E2588" s="184">
        <v>2.44</v>
      </c>
      <c r="F2588" s="184">
        <v>2.44</v>
      </c>
      <c r="G2588" s="184"/>
      <c r="H2588" s="184"/>
      <c r="I2588" s="184"/>
      <c r="J2588" s="184"/>
      <c r="K2588" s="184"/>
      <c r="L2588" s="184"/>
      <c r="M2588" s="184"/>
      <c r="N2588" s="206"/>
      <c r="O2588" s="184"/>
      <c r="P2588" s="231"/>
      <c r="Q2588" s="224"/>
    </row>
    <row r="2589" spans="1:17" s="225" customFormat="1" ht="10.5" x14ac:dyDescent="0.25">
      <c r="A2589" s="229"/>
      <c r="B2589" s="230" t="s">
        <v>1840</v>
      </c>
      <c r="C2589" s="184"/>
      <c r="D2589" s="185"/>
      <c r="E2589" s="185">
        <f>E2588</f>
        <v>2.44</v>
      </c>
      <c r="F2589" s="185">
        <f>F2588</f>
        <v>2.44</v>
      </c>
      <c r="G2589" s="185"/>
      <c r="H2589" s="185">
        <v>0.1</v>
      </c>
      <c r="I2589" s="185"/>
      <c r="J2589" s="185"/>
      <c r="K2589" s="185"/>
      <c r="L2589" s="185"/>
      <c r="M2589" s="185">
        <f>M2544</f>
        <v>6</v>
      </c>
      <c r="N2589" s="205"/>
      <c r="O2589" s="185">
        <f>E2589*F2589*H2589*M2589</f>
        <v>3.5721600000000002</v>
      </c>
      <c r="P2589" s="231"/>
      <c r="Q2589" s="224"/>
    </row>
    <row r="2590" spans="1:17" s="225" customFormat="1" ht="10.5" x14ac:dyDescent="0.25">
      <c r="A2590" s="229"/>
      <c r="B2590" s="230" t="s">
        <v>1841</v>
      </c>
      <c r="C2590" s="184"/>
      <c r="D2590" s="185"/>
      <c r="E2590" s="185">
        <f>E2589</f>
        <v>2.44</v>
      </c>
      <c r="F2590" s="185">
        <f>F2589-2*H2590</f>
        <v>2.2000000000000002</v>
      </c>
      <c r="G2590" s="185">
        <v>2.4</v>
      </c>
      <c r="H2590" s="185">
        <v>0.12</v>
      </c>
      <c r="I2590" s="185">
        <f>2*(E2590+F2590)</f>
        <v>9.2800000000000011</v>
      </c>
      <c r="J2590" s="185"/>
      <c r="K2590" s="185"/>
      <c r="L2590" s="185"/>
      <c r="M2590" s="185">
        <f>M2589</f>
        <v>6</v>
      </c>
      <c r="N2590" s="205"/>
      <c r="O2590" s="185">
        <f>M2590*I2590*G2590*H2590</f>
        <v>16.03584</v>
      </c>
      <c r="P2590" s="231"/>
      <c r="Q2590" s="224"/>
    </row>
    <row r="2591" spans="1:17" s="225" customFormat="1" ht="10.5" x14ac:dyDescent="0.25">
      <c r="A2591" s="229"/>
      <c r="B2591" s="230" t="s">
        <v>1823</v>
      </c>
      <c r="C2591" s="184"/>
      <c r="D2591" s="185"/>
      <c r="E2591" s="185">
        <f>F2590</f>
        <v>2.2000000000000002</v>
      </c>
      <c r="F2591" s="185">
        <f>F2590</f>
        <v>2.2000000000000002</v>
      </c>
      <c r="G2591" s="185"/>
      <c r="H2591" s="185">
        <v>0.1</v>
      </c>
      <c r="I2591" s="185"/>
      <c r="J2591" s="185"/>
      <c r="K2591" s="185"/>
      <c r="L2591" s="185"/>
      <c r="M2591" s="185">
        <f>M2590</f>
        <v>6</v>
      </c>
      <c r="N2591" s="205"/>
      <c r="O2591" s="185">
        <f>M2591*H2591*F2591*E2591</f>
        <v>2.9040000000000008</v>
      </c>
      <c r="P2591" s="231"/>
      <c r="Q2591" s="224"/>
    </row>
    <row r="2592" spans="1:17" s="225" customFormat="1" ht="10.5" x14ac:dyDescent="0.25">
      <c r="A2592" s="229"/>
      <c r="B2592" s="230"/>
      <c r="C2592" s="184"/>
      <c r="D2592" s="185"/>
      <c r="E2592" s="185"/>
      <c r="F2592" s="185"/>
      <c r="G2592" s="185"/>
      <c r="H2592" s="185"/>
      <c r="I2592" s="185"/>
      <c r="J2592" s="185"/>
      <c r="K2592" s="185"/>
      <c r="L2592" s="185"/>
      <c r="M2592" s="185"/>
      <c r="N2592" s="205"/>
      <c r="O2592" s="185"/>
      <c r="P2592" s="231"/>
      <c r="Q2592" s="224"/>
    </row>
    <row r="2593" spans="1:17" s="225" customFormat="1" ht="10.5" x14ac:dyDescent="0.25">
      <c r="A2593" s="229"/>
      <c r="B2593" s="232" t="s">
        <v>5</v>
      </c>
      <c r="C2593" s="182" t="s">
        <v>1328</v>
      </c>
      <c r="D2593" s="182"/>
      <c r="E2593" s="182"/>
      <c r="F2593" s="182"/>
      <c r="G2593" s="182"/>
      <c r="H2593" s="182"/>
      <c r="I2593" s="182"/>
      <c r="J2593" s="182"/>
      <c r="K2593" s="185"/>
      <c r="L2593" s="182"/>
      <c r="M2593" s="182"/>
      <c r="N2593" s="184"/>
      <c r="O2593" s="184">
        <f>SUM(O2575:O2592)</f>
        <v>85.73393999999999</v>
      </c>
      <c r="P2593" s="233"/>
      <c r="Q2593" s="224"/>
    </row>
    <row r="2594" spans="1:17" s="228" customFormat="1" ht="31.5" x14ac:dyDescent="0.25">
      <c r="A2594" s="226" t="str">
        <f>ORÇAMENTO!A501</f>
        <v>5.1.2.7.6</v>
      </c>
      <c r="B2594" s="227" t="str">
        <f>VLOOKUP(A2594,ORÇAMENTO!A:K,4,0)</f>
        <v>FÔRMAS DE TÁBUAS DE PINHO PARA DISPOSITIVOS DE DRENAGEM - UTILIZAÇÃO DE 3 VEZES - CONFECÇÃO, INSTALAÇÃO E RETIRADA</v>
      </c>
      <c r="C2594" s="173" t="str">
        <f>VLOOKUP(A2594,ORÇAMENTO!A:K,5,0)</f>
        <v>M²</v>
      </c>
      <c r="D2594" s="173">
        <f>ROUND(SUM(E2613:O2613),2)</f>
        <v>1050.3399999999999</v>
      </c>
      <c r="E2594" s="173" t="s">
        <v>1718</v>
      </c>
      <c r="F2594" s="173" t="s">
        <v>1719</v>
      </c>
      <c r="G2594" s="173" t="s">
        <v>1720</v>
      </c>
      <c r="H2594" s="173" t="s">
        <v>1721</v>
      </c>
      <c r="I2594" s="173" t="s">
        <v>1722</v>
      </c>
      <c r="J2594" s="173" t="s">
        <v>1723</v>
      </c>
      <c r="K2594" s="173" t="s">
        <v>1724</v>
      </c>
      <c r="L2594" s="173" t="s">
        <v>1804</v>
      </c>
      <c r="M2594" s="173" t="s">
        <v>1726</v>
      </c>
      <c r="N2594" s="173" t="s">
        <v>1826</v>
      </c>
      <c r="O2594" s="173" t="s">
        <v>1728</v>
      </c>
      <c r="P2594" s="224"/>
      <c r="Q2594" s="224"/>
    </row>
    <row r="2595" spans="1:17" s="225" customFormat="1" ht="10.5" x14ac:dyDescent="0.25">
      <c r="A2595" s="229"/>
      <c r="B2595" s="230"/>
      <c r="C2595" s="184"/>
      <c r="D2595" s="185"/>
      <c r="E2595" s="185"/>
      <c r="F2595" s="185"/>
      <c r="G2595" s="185"/>
      <c r="H2595" s="185"/>
      <c r="I2595" s="185"/>
      <c r="J2595" s="185"/>
      <c r="K2595" s="185"/>
      <c r="L2595" s="185"/>
      <c r="M2595" s="185"/>
      <c r="N2595" s="205"/>
      <c r="O2595" s="185"/>
      <c r="P2595" s="231"/>
      <c r="Q2595" s="224"/>
    </row>
    <row r="2596" spans="1:17" s="228" customFormat="1" ht="10.5" x14ac:dyDescent="0.25">
      <c r="A2596" s="239"/>
      <c r="B2596" s="232" t="str">
        <f t="shared" ref="B2596:B2611" si="82">B2576</f>
        <v>PV DN 600</v>
      </c>
      <c r="C2596" s="184"/>
      <c r="D2596" s="184"/>
      <c r="E2596" s="184">
        <f t="shared" ref="E2596:F2611" si="83">E2576</f>
        <v>1.08</v>
      </c>
      <c r="F2596" s="184">
        <f t="shared" si="83"/>
        <v>1.08</v>
      </c>
      <c r="G2596" s="184"/>
      <c r="H2596" s="184"/>
      <c r="I2596" s="184"/>
      <c r="J2596" s="184"/>
      <c r="K2596" s="184"/>
      <c r="L2596" s="184"/>
      <c r="M2596" s="184"/>
      <c r="N2596" s="206"/>
      <c r="O2596" s="184"/>
      <c r="P2596" s="231"/>
      <c r="Q2596" s="224"/>
    </row>
    <row r="2597" spans="1:17" s="225" customFormat="1" ht="10.5" x14ac:dyDescent="0.25">
      <c r="A2597" s="229"/>
      <c r="B2597" s="230" t="str">
        <f t="shared" si="82"/>
        <v>TAMPA</v>
      </c>
      <c r="C2597" s="184"/>
      <c r="D2597" s="185"/>
      <c r="E2597" s="185">
        <f t="shared" si="83"/>
        <v>1.08</v>
      </c>
      <c r="F2597" s="185">
        <f t="shared" si="83"/>
        <v>1.08</v>
      </c>
      <c r="G2597" s="185"/>
      <c r="H2597" s="185">
        <f>H2577</f>
        <v>0.1</v>
      </c>
      <c r="I2597" s="185">
        <f>2*(E2597+F2597)</f>
        <v>4.32</v>
      </c>
      <c r="J2597" s="185"/>
      <c r="K2597" s="185"/>
      <c r="L2597" s="185"/>
      <c r="M2597" s="185">
        <f>M2577</f>
        <v>13</v>
      </c>
      <c r="N2597" s="205">
        <f>M2597*I2597*H2597+M2597*F2597*E2597</f>
        <v>20.779200000000003</v>
      </c>
      <c r="O2597" s="185"/>
      <c r="P2597" s="231"/>
      <c r="Q2597" s="224"/>
    </row>
    <row r="2598" spans="1:17" s="225" customFormat="1" ht="10.5" x14ac:dyDescent="0.25">
      <c r="A2598" s="229"/>
      <c r="B2598" s="230" t="str">
        <f t="shared" si="82"/>
        <v>PV DN 800</v>
      </c>
      <c r="C2598" s="184"/>
      <c r="D2598" s="185"/>
      <c r="E2598" s="184">
        <f t="shared" si="83"/>
        <v>1.5</v>
      </c>
      <c r="F2598" s="184">
        <f t="shared" si="83"/>
        <v>1.5</v>
      </c>
      <c r="G2598" s="185"/>
      <c r="H2598" s="185"/>
      <c r="I2598" s="185"/>
      <c r="J2598" s="185"/>
      <c r="K2598" s="185"/>
      <c r="L2598" s="185"/>
      <c r="M2598" s="185"/>
      <c r="N2598" s="205"/>
      <c r="O2598" s="185"/>
      <c r="P2598" s="231"/>
      <c r="Q2598" s="224"/>
    </row>
    <row r="2599" spans="1:17" s="225" customFormat="1" ht="10.5" x14ac:dyDescent="0.25">
      <c r="A2599" s="229"/>
      <c r="B2599" s="230" t="str">
        <f t="shared" si="82"/>
        <v>TAMPA</v>
      </c>
      <c r="C2599" s="184"/>
      <c r="D2599" s="185"/>
      <c r="E2599" s="185">
        <f t="shared" si="83"/>
        <v>1.5</v>
      </c>
      <c r="F2599" s="185">
        <f t="shared" si="83"/>
        <v>1.5</v>
      </c>
      <c r="G2599" s="185"/>
      <c r="H2599" s="185"/>
      <c r="I2599" s="185"/>
      <c r="J2599" s="185"/>
      <c r="K2599" s="185"/>
      <c r="L2599" s="185"/>
      <c r="M2599" s="185">
        <f>M2579</f>
        <v>4</v>
      </c>
      <c r="N2599" s="205">
        <f>M2599*I2599*H2599+M2599*F2599*E2599</f>
        <v>9</v>
      </c>
      <c r="O2599" s="185"/>
      <c r="P2599" s="231"/>
      <c r="Q2599" s="224"/>
    </row>
    <row r="2600" spans="1:17" s="228" customFormat="1" ht="10.5" x14ac:dyDescent="0.25">
      <c r="A2600" s="239"/>
      <c r="B2600" s="232" t="str">
        <f t="shared" si="82"/>
        <v>PV DN 1000</v>
      </c>
      <c r="C2600" s="184"/>
      <c r="D2600" s="184"/>
      <c r="E2600" s="184">
        <f t="shared" si="83"/>
        <v>1.74</v>
      </c>
      <c r="F2600" s="184">
        <f t="shared" si="83"/>
        <v>1.74</v>
      </c>
      <c r="G2600" s="184"/>
      <c r="H2600" s="184"/>
      <c r="I2600" s="184"/>
      <c r="J2600" s="184"/>
      <c r="K2600" s="184"/>
      <c r="L2600" s="184"/>
      <c r="M2600" s="184"/>
      <c r="N2600" s="206"/>
      <c r="O2600" s="184"/>
      <c r="P2600" s="231"/>
      <c r="Q2600" s="224"/>
    </row>
    <row r="2601" spans="1:17" s="225" customFormat="1" ht="10.5" x14ac:dyDescent="0.25">
      <c r="A2601" s="229"/>
      <c r="B2601" s="230" t="str">
        <f t="shared" si="82"/>
        <v>TAMPA</v>
      </c>
      <c r="C2601" s="184"/>
      <c r="D2601" s="185"/>
      <c r="E2601" s="185">
        <f t="shared" si="83"/>
        <v>1.74</v>
      </c>
      <c r="F2601" s="185">
        <f t="shared" si="83"/>
        <v>1.74</v>
      </c>
      <c r="G2601" s="185"/>
      <c r="H2601" s="185"/>
      <c r="I2601" s="185"/>
      <c r="J2601" s="185"/>
      <c r="K2601" s="185"/>
      <c r="L2601" s="185"/>
      <c r="M2601" s="185">
        <f>M2581</f>
        <v>17</v>
      </c>
      <c r="N2601" s="205">
        <f>M2601*I2601*H2601+M2601*F2601*E2601</f>
        <v>51.469199999999994</v>
      </c>
      <c r="O2601" s="185"/>
      <c r="P2601" s="231"/>
      <c r="Q2601" s="224"/>
    </row>
    <row r="2602" spans="1:17" s="225" customFormat="1" ht="10.5" x14ac:dyDescent="0.25">
      <c r="A2602" s="229"/>
      <c r="B2602" s="230" t="str">
        <f t="shared" si="82"/>
        <v>PAREDES</v>
      </c>
      <c r="C2602" s="184"/>
      <c r="D2602" s="185"/>
      <c r="E2602" s="178">
        <f t="shared" si="83"/>
        <v>1.74</v>
      </c>
      <c r="F2602" s="178">
        <f t="shared" si="83"/>
        <v>1.5</v>
      </c>
      <c r="G2602" s="178">
        <f>G2582</f>
        <v>2</v>
      </c>
      <c r="H2602" s="178">
        <f>H2582</f>
        <v>0.12</v>
      </c>
      <c r="I2602" s="178">
        <f>I2582</f>
        <v>6.48</v>
      </c>
      <c r="J2602" s="185"/>
      <c r="K2602" s="185"/>
      <c r="L2602" s="185"/>
      <c r="M2602" s="185">
        <f>M2582</f>
        <v>17</v>
      </c>
      <c r="N2602" s="205">
        <f>2*M2602*I2602*G2602</f>
        <v>440.64000000000004</v>
      </c>
      <c r="O2602" s="185"/>
      <c r="P2602" s="231"/>
      <c r="Q2602" s="224"/>
    </row>
    <row r="2603" spans="1:17" s="225" customFormat="1" ht="10.5" x14ac:dyDescent="0.25">
      <c r="A2603" s="229"/>
      <c r="B2603" s="230" t="str">
        <f t="shared" si="82"/>
        <v>FUNDO</v>
      </c>
      <c r="C2603" s="184"/>
      <c r="D2603" s="185"/>
      <c r="E2603" s="178">
        <f t="shared" si="83"/>
        <v>1.5</v>
      </c>
      <c r="F2603" s="178">
        <f t="shared" si="83"/>
        <v>1.5</v>
      </c>
      <c r="G2603" s="185"/>
      <c r="H2603" s="185">
        <f>H2583</f>
        <v>0.35</v>
      </c>
      <c r="I2603" s="185">
        <f>2*(E2603+F2603)</f>
        <v>6</v>
      </c>
      <c r="J2603" s="185"/>
      <c r="K2603" s="185"/>
      <c r="L2603" s="185"/>
      <c r="M2603" s="185">
        <f>M2583</f>
        <v>17</v>
      </c>
      <c r="N2603" s="205">
        <f>M2603*I2603*H2603</f>
        <v>35.699999999999996</v>
      </c>
      <c r="O2603" s="185"/>
      <c r="P2603" s="231"/>
      <c r="Q2603" s="224"/>
    </row>
    <row r="2604" spans="1:17" s="228" customFormat="1" ht="10.5" x14ac:dyDescent="0.25">
      <c r="A2604" s="239"/>
      <c r="B2604" s="232" t="str">
        <f t="shared" si="82"/>
        <v>PV DN 1200</v>
      </c>
      <c r="C2604" s="184"/>
      <c r="D2604" s="184"/>
      <c r="E2604" s="184">
        <f t="shared" si="83"/>
        <v>2.04</v>
      </c>
      <c r="F2604" s="184">
        <f t="shared" si="83"/>
        <v>2.04</v>
      </c>
      <c r="G2604" s="184"/>
      <c r="H2604" s="184"/>
      <c r="I2604" s="184"/>
      <c r="J2604" s="184"/>
      <c r="K2604" s="184"/>
      <c r="L2604" s="184"/>
      <c r="M2604" s="184"/>
      <c r="N2604" s="206"/>
      <c r="O2604" s="184"/>
      <c r="P2604" s="231"/>
      <c r="Q2604" s="224"/>
    </row>
    <row r="2605" spans="1:17" s="225" customFormat="1" ht="10.5" x14ac:dyDescent="0.25">
      <c r="A2605" s="229"/>
      <c r="B2605" s="230" t="str">
        <f t="shared" si="82"/>
        <v>TAMPA</v>
      </c>
      <c r="C2605" s="184"/>
      <c r="D2605" s="185"/>
      <c r="E2605" s="185">
        <f t="shared" si="83"/>
        <v>2.04</v>
      </c>
      <c r="F2605" s="185">
        <f t="shared" si="83"/>
        <v>2.04</v>
      </c>
      <c r="G2605" s="185"/>
      <c r="H2605" s="185"/>
      <c r="I2605" s="185"/>
      <c r="J2605" s="185"/>
      <c r="K2605" s="185"/>
      <c r="L2605" s="185"/>
      <c r="M2605" s="185">
        <f>M2585</f>
        <v>5</v>
      </c>
      <c r="N2605" s="205">
        <f>M2605*I2605*H2605+M2605*F2605*E2605</f>
        <v>20.808</v>
      </c>
      <c r="O2605" s="185"/>
      <c r="P2605" s="231"/>
      <c r="Q2605" s="224"/>
    </row>
    <row r="2606" spans="1:17" s="225" customFormat="1" ht="10.5" x14ac:dyDescent="0.25">
      <c r="A2606" s="229"/>
      <c r="B2606" s="230" t="str">
        <f t="shared" si="82"/>
        <v>PAREDES</v>
      </c>
      <c r="C2606" s="184"/>
      <c r="D2606" s="185"/>
      <c r="E2606" s="178">
        <f t="shared" si="83"/>
        <v>2.04</v>
      </c>
      <c r="F2606" s="178">
        <f t="shared" si="83"/>
        <v>1.8</v>
      </c>
      <c r="G2606" s="178">
        <f>G2586</f>
        <v>2</v>
      </c>
      <c r="H2606" s="178">
        <f>H2586</f>
        <v>0.12</v>
      </c>
      <c r="I2606" s="178">
        <f>I2586</f>
        <v>7.68</v>
      </c>
      <c r="J2606" s="185"/>
      <c r="K2606" s="185"/>
      <c r="L2606" s="185"/>
      <c r="M2606" s="185">
        <f>M2586</f>
        <v>5</v>
      </c>
      <c r="N2606" s="205">
        <f>2*M2606*I2606*G2606</f>
        <v>153.6</v>
      </c>
      <c r="O2606" s="185"/>
      <c r="P2606" s="231"/>
      <c r="Q2606" s="224"/>
    </row>
    <row r="2607" spans="1:17" s="225" customFormat="1" ht="10.5" x14ac:dyDescent="0.25">
      <c r="A2607" s="229"/>
      <c r="B2607" s="230" t="str">
        <f t="shared" si="82"/>
        <v>FUNDO</v>
      </c>
      <c r="C2607" s="184"/>
      <c r="D2607" s="185"/>
      <c r="E2607" s="178">
        <f t="shared" si="83"/>
        <v>1.8</v>
      </c>
      <c r="F2607" s="178">
        <f t="shared" si="83"/>
        <v>1.8</v>
      </c>
      <c r="G2607" s="185"/>
      <c r="H2607" s="185">
        <f>H2587</f>
        <v>0.28000000000000003</v>
      </c>
      <c r="I2607" s="185">
        <f>2*(E2607+F2607)</f>
        <v>7.2</v>
      </c>
      <c r="J2607" s="185"/>
      <c r="K2607" s="185"/>
      <c r="L2607" s="185"/>
      <c r="M2607" s="185">
        <f>M2587</f>
        <v>5</v>
      </c>
      <c r="N2607" s="205">
        <f>M2607*I2607*H2607</f>
        <v>10.080000000000002</v>
      </c>
      <c r="O2607" s="185"/>
      <c r="P2607" s="231"/>
      <c r="Q2607" s="224"/>
    </row>
    <row r="2608" spans="1:17" s="228" customFormat="1" ht="10.5" x14ac:dyDescent="0.25">
      <c r="A2608" s="239"/>
      <c r="B2608" s="232" t="str">
        <f t="shared" si="82"/>
        <v>PV DN 1500</v>
      </c>
      <c r="C2608" s="184"/>
      <c r="D2608" s="184"/>
      <c r="E2608" s="184">
        <f t="shared" si="83"/>
        <v>2.44</v>
      </c>
      <c r="F2608" s="184">
        <f t="shared" si="83"/>
        <v>2.44</v>
      </c>
      <c r="G2608" s="184"/>
      <c r="H2608" s="184"/>
      <c r="I2608" s="184"/>
      <c r="J2608" s="184"/>
      <c r="K2608" s="184"/>
      <c r="L2608" s="184"/>
      <c r="M2608" s="184"/>
      <c r="N2608" s="206"/>
      <c r="O2608" s="184"/>
      <c r="P2608" s="231"/>
      <c r="Q2608" s="224"/>
    </row>
    <row r="2609" spans="1:17" s="225" customFormat="1" ht="10.5" x14ac:dyDescent="0.25">
      <c r="A2609" s="229"/>
      <c r="B2609" s="230" t="str">
        <f t="shared" si="82"/>
        <v>TAMPA</v>
      </c>
      <c r="C2609" s="184"/>
      <c r="D2609" s="185"/>
      <c r="E2609" s="185">
        <f t="shared" si="83"/>
        <v>2.44</v>
      </c>
      <c r="F2609" s="185">
        <f t="shared" si="83"/>
        <v>2.44</v>
      </c>
      <c r="G2609" s="185"/>
      <c r="H2609" s="185"/>
      <c r="I2609" s="185"/>
      <c r="J2609" s="185"/>
      <c r="K2609" s="185"/>
      <c r="L2609" s="185"/>
      <c r="M2609" s="185">
        <f>M2589</f>
        <v>6</v>
      </c>
      <c r="N2609" s="205">
        <f>M2609*I2609*H2609+M2609*F2609*E2609</f>
        <v>35.721600000000002</v>
      </c>
      <c r="O2609" s="185"/>
      <c r="P2609" s="231"/>
      <c r="Q2609" s="224"/>
    </row>
    <row r="2610" spans="1:17" s="225" customFormat="1" ht="10.5" x14ac:dyDescent="0.25">
      <c r="A2610" s="229"/>
      <c r="B2610" s="230" t="str">
        <f t="shared" si="82"/>
        <v>PAREDES</v>
      </c>
      <c r="C2610" s="184"/>
      <c r="D2610" s="185"/>
      <c r="E2610" s="185">
        <f t="shared" si="83"/>
        <v>2.44</v>
      </c>
      <c r="F2610" s="185">
        <f t="shared" si="83"/>
        <v>2.2000000000000002</v>
      </c>
      <c r="G2610" s="178">
        <f>G2590</f>
        <v>2.4</v>
      </c>
      <c r="H2610" s="178">
        <f>H2590</f>
        <v>0.12</v>
      </c>
      <c r="I2610" s="178">
        <f>I2590</f>
        <v>9.2800000000000011</v>
      </c>
      <c r="J2610" s="185"/>
      <c r="K2610" s="185"/>
      <c r="L2610" s="185"/>
      <c r="M2610" s="185">
        <f>M2590</f>
        <v>6</v>
      </c>
      <c r="N2610" s="205">
        <f>2*M2610*I2610*G2610</f>
        <v>267.26400000000001</v>
      </c>
      <c r="O2610" s="185"/>
      <c r="P2610" s="231"/>
      <c r="Q2610" s="224"/>
    </row>
    <row r="2611" spans="1:17" s="225" customFormat="1" ht="10.5" x14ac:dyDescent="0.25">
      <c r="A2611" s="229"/>
      <c r="B2611" s="230" t="str">
        <f t="shared" si="82"/>
        <v>FUNDO</v>
      </c>
      <c r="C2611" s="184"/>
      <c r="D2611" s="185"/>
      <c r="E2611" s="185">
        <f t="shared" si="83"/>
        <v>2.2000000000000002</v>
      </c>
      <c r="F2611" s="185">
        <f t="shared" si="83"/>
        <v>2.2000000000000002</v>
      </c>
      <c r="G2611" s="185"/>
      <c r="H2611" s="185">
        <f>H2591</f>
        <v>0.1</v>
      </c>
      <c r="I2611" s="185">
        <f>2*(E2611+F2611)</f>
        <v>8.8000000000000007</v>
      </c>
      <c r="J2611" s="185"/>
      <c r="K2611" s="185"/>
      <c r="L2611" s="185"/>
      <c r="M2611" s="185">
        <f>M2591</f>
        <v>6</v>
      </c>
      <c r="N2611" s="205">
        <f>M2611*I2611*H2611</f>
        <v>5.2800000000000011</v>
      </c>
      <c r="O2611" s="185"/>
      <c r="P2611" s="231"/>
      <c r="Q2611" s="224"/>
    </row>
    <row r="2612" spans="1:17" s="225" customFormat="1" ht="10.5" x14ac:dyDescent="0.25">
      <c r="A2612" s="229"/>
      <c r="B2612" s="230"/>
      <c r="C2612" s="184"/>
      <c r="D2612" s="185"/>
      <c r="E2612" s="185"/>
      <c r="F2612" s="185"/>
      <c r="G2612" s="185"/>
      <c r="H2612" s="185"/>
      <c r="I2612" s="185">
        <f>(137.5-4)/24</f>
        <v>5.5625</v>
      </c>
      <c r="J2612" s="185"/>
      <c r="K2612" s="185"/>
      <c r="L2612" s="185"/>
      <c r="M2612" s="185"/>
      <c r="N2612" s="205"/>
      <c r="O2612" s="185"/>
      <c r="P2612" s="231"/>
      <c r="Q2612" s="224"/>
    </row>
    <row r="2613" spans="1:17" s="225" customFormat="1" ht="10.5" x14ac:dyDescent="0.25">
      <c r="A2613" s="229"/>
      <c r="B2613" s="232" t="s">
        <v>5</v>
      </c>
      <c r="C2613" s="182" t="s">
        <v>1328</v>
      </c>
      <c r="D2613" s="182"/>
      <c r="E2613" s="182"/>
      <c r="F2613" s="182"/>
      <c r="G2613" s="182"/>
      <c r="H2613" s="182"/>
      <c r="I2613" s="182"/>
      <c r="J2613" s="182"/>
      <c r="K2613" s="184"/>
      <c r="L2613" s="182"/>
      <c r="M2613" s="182"/>
      <c r="N2613" s="184">
        <f>SUM(N2595:N2612)</f>
        <v>1050.3420000000001</v>
      </c>
      <c r="O2613" s="184"/>
      <c r="P2613" s="233"/>
      <c r="Q2613" s="224"/>
    </row>
    <row r="2614" spans="1:17" s="228" customFormat="1" ht="31.5" x14ac:dyDescent="0.25">
      <c r="A2614" s="226" t="str">
        <f>ORÇAMENTO!A502</f>
        <v>5.1.2.7.7</v>
      </c>
      <c r="B2614" s="227" t="str">
        <f>VLOOKUP(A2614,ORÇAMENTO!A:K,4,0)</f>
        <v>LANÇAMENTO COM USO DE BALDES, ADENSAMENTO E ACABAMENTO DE CONCRETO EM ESTRUTURAS. AF_02/2022</v>
      </c>
      <c r="C2614" s="173" t="str">
        <f>VLOOKUP(A2614,ORÇAMENTO!A:K,5,0)</f>
        <v>M³</v>
      </c>
      <c r="D2614" s="173">
        <f>ROUND(SUM(E2618:O2618),2)</f>
        <v>114.79</v>
      </c>
      <c r="E2614" s="173" t="s">
        <v>1718</v>
      </c>
      <c r="F2614" s="173" t="s">
        <v>1719</v>
      </c>
      <c r="G2614" s="173" t="s">
        <v>1720</v>
      </c>
      <c r="H2614" s="173" t="s">
        <v>1721</v>
      </c>
      <c r="I2614" s="173" t="s">
        <v>1722</v>
      </c>
      <c r="J2614" s="173" t="s">
        <v>1723</v>
      </c>
      <c r="K2614" s="173" t="s">
        <v>1724</v>
      </c>
      <c r="L2614" s="173" t="s">
        <v>1804</v>
      </c>
      <c r="M2614" s="173" t="s">
        <v>1726</v>
      </c>
      <c r="N2614" s="173" t="s">
        <v>1809</v>
      </c>
      <c r="O2614" s="173" t="s">
        <v>1728</v>
      </c>
      <c r="P2614" s="224"/>
      <c r="Q2614" s="224"/>
    </row>
    <row r="2615" spans="1:17" s="225" customFormat="1" ht="42" x14ac:dyDescent="0.25">
      <c r="A2615" s="229"/>
      <c r="B2615" s="230" t="str">
        <f>B2559</f>
        <v>CONCRETO FCK = 15MPA, TRAÇO 1:3,4:3,5 (EM MASSA SECA DE CIMENTO/ AREIA MÉDIA/ BRITA 1) - PREPARO MECÂNICO COM BETONEIRA 600 L. AF_05/2021</v>
      </c>
      <c r="C2615" s="184"/>
      <c r="D2615" s="185"/>
      <c r="E2615" s="185"/>
      <c r="F2615" s="185"/>
      <c r="G2615" s="185"/>
      <c r="H2615" s="185"/>
      <c r="I2615" s="185"/>
      <c r="J2615" s="185"/>
      <c r="K2615" s="185"/>
      <c r="L2615" s="185"/>
      <c r="M2615" s="185"/>
      <c r="N2615" s="205"/>
      <c r="O2615" s="185">
        <f>O2573</f>
        <v>29.059440000000002</v>
      </c>
      <c r="P2615" s="231"/>
      <c r="Q2615" s="224"/>
    </row>
    <row r="2616" spans="1:17" s="225" customFormat="1" ht="42" x14ac:dyDescent="0.25">
      <c r="A2616" s="229"/>
      <c r="B2616" s="230" t="str">
        <f>B2574</f>
        <v>CONCRETO FCK = 25MPA, TRAÇO 1:2,3:2,7 (EM MASSA SECA DE CIMENTO/ AREIA MÉDIA/ BRITA 1) - PREPARO MECÂNICO COM BETONEIRA 600 L. AF_05/2021</v>
      </c>
      <c r="C2616" s="184"/>
      <c r="D2616" s="185"/>
      <c r="E2616" s="185"/>
      <c r="F2616" s="185"/>
      <c r="G2616" s="185"/>
      <c r="H2616" s="185"/>
      <c r="I2616" s="185"/>
      <c r="J2616" s="185"/>
      <c r="K2616" s="185"/>
      <c r="L2616" s="185"/>
      <c r="M2616" s="185"/>
      <c r="N2616" s="205"/>
      <c r="O2616" s="185">
        <f>O2593</f>
        <v>85.73393999999999</v>
      </c>
      <c r="P2616" s="231"/>
      <c r="Q2616" s="224"/>
    </row>
    <row r="2617" spans="1:17" s="225" customFormat="1" ht="10.5" x14ac:dyDescent="0.25">
      <c r="A2617" s="229"/>
      <c r="B2617" s="230"/>
      <c r="C2617" s="184"/>
      <c r="D2617" s="185"/>
      <c r="E2617" s="185"/>
      <c r="F2617" s="185"/>
      <c r="G2617" s="185"/>
      <c r="H2617" s="185"/>
      <c r="I2617" s="185"/>
      <c r="J2617" s="185"/>
      <c r="K2617" s="185"/>
      <c r="L2617" s="185"/>
      <c r="M2617" s="185"/>
      <c r="N2617" s="205"/>
      <c r="O2617" s="185"/>
      <c r="P2617" s="231"/>
      <c r="Q2617" s="224"/>
    </row>
    <row r="2618" spans="1:17" s="225" customFormat="1" ht="10.5" x14ac:dyDescent="0.25">
      <c r="A2618" s="229"/>
      <c r="B2618" s="232" t="s">
        <v>5</v>
      </c>
      <c r="C2618" s="182" t="s">
        <v>1328</v>
      </c>
      <c r="D2618" s="182"/>
      <c r="E2618" s="182"/>
      <c r="F2618" s="182"/>
      <c r="G2618" s="182"/>
      <c r="H2618" s="182"/>
      <c r="I2618" s="182"/>
      <c r="J2618" s="182"/>
      <c r="K2618" s="184"/>
      <c r="L2618" s="182"/>
      <c r="M2618" s="182"/>
      <c r="N2618" s="184"/>
      <c r="O2618" s="184">
        <f>SUM(O2615:O2617)</f>
        <v>114.79337999999998</v>
      </c>
      <c r="P2618" s="233"/>
      <c r="Q2618" s="224"/>
    </row>
    <row r="2619" spans="1:17" s="228" customFormat="1" ht="21" x14ac:dyDescent="0.25">
      <c r="A2619" s="226" t="str">
        <f>ORÇAMENTO!A503</f>
        <v>5.1.2.7.8</v>
      </c>
      <c r="B2619" s="227" t="str">
        <f>VLOOKUP(A2619,ORÇAMENTO!A:K,4,0)</f>
        <v>ARMAÇÃO EM AÇO CA-50 - FORNECIMENTO, PREPARO E COLOCAÇÃO</v>
      </c>
      <c r="C2619" s="173" t="str">
        <f>VLOOKUP(A2619,ORÇAMENTO!A:K,5,0)</f>
        <v>KG</v>
      </c>
      <c r="D2619" s="173">
        <f>ROUND(SUM(E2627:O2627),2)</f>
        <v>3969.37</v>
      </c>
      <c r="E2619" s="173" t="s">
        <v>1718</v>
      </c>
      <c r="F2619" s="173" t="s">
        <v>1719</v>
      </c>
      <c r="G2619" s="173" t="s">
        <v>1720</v>
      </c>
      <c r="H2619" s="173" t="s">
        <v>1721</v>
      </c>
      <c r="I2619" s="173" t="s">
        <v>1722</v>
      </c>
      <c r="J2619" s="173" t="s">
        <v>1723</v>
      </c>
      <c r="K2619" s="173" t="s">
        <v>1724</v>
      </c>
      <c r="L2619" s="173" t="s">
        <v>1804</v>
      </c>
      <c r="M2619" s="173" t="s">
        <v>1726</v>
      </c>
      <c r="N2619" s="173" t="s">
        <v>1809</v>
      </c>
      <c r="O2619" s="173" t="s">
        <v>1728</v>
      </c>
      <c r="P2619" s="224"/>
      <c r="Q2619" s="224"/>
    </row>
    <row r="2620" spans="1:17" s="225" customFormat="1" ht="10.5" x14ac:dyDescent="0.25">
      <c r="A2620" s="229"/>
      <c r="B2620" s="230" t="str">
        <f>B2575</f>
        <v>CONFORME DESENHO TIPO</v>
      </c>
      <c r="C2620" s="184"/>
      <c r="D2620" s="185"/>
      <c r="E2620" s="185"/>
      <c r="F2620" s="185"/>
      <c r="G2620" s="185"/>
      <c r="H2620" s="185"/>
      <c r="I2620" s="185"/>
      <c r="J2620" s="185"/>
      <c r="K2620" s="185"/>
      <c r="L2620" s="185"/>
      <c r="M2620" s="185"/>
      <c r="N2620" s="205"/>
      <c r="O2620" s="185"/>
      <c r="P2620" s="231"/>
      <c r="Q2620" s="224"/>
    </row>
    <row r="2621" spans="1:17" s="225" customFormat="1" ht="10.5" x14ac:dyDescent="0.25">
      <c r="A2621" s="229"/>
      <c r="B2621" s="230" t="str">
        <f>B2576</f>
        <v>PV DN 600</v>
      </c>
      <c r="C2621" s="184"/>
      <c r="D2621" s="185"/>
      <c r="E2621" s="185"/>
      <c r="F2621" s="185"/>
      <c r="G2621" s="185"/>
      <c r="H2621" s="185"/>
      <c r="I2621" s="185"/>
      <c r="J2621" s="185"/>
      <c r="K2621" s="185">
        <f>6.33*M2621</f>
        <v>82.29</v>
      </c>
      <c r="L2621" s="185"/>
      <c r="M2621" s="185">
        <f>M2540</f>
        <v>13</v>
      </c>
      <c r="N2621" s="205"/>
      <c r="O2621" s="185"/>
      <c r="P2621" s="231"/>
      <c r="Q2621" s="224"/>
    </row>
    <row r="2622" spans="1:17" s="225" customFormat="1" ht="10.5" x14ac:dyDescent="0.25">
      <c r="A2622" s="229"/>
      <c r="B2622" s="230" t="str">
        <f>B2578</f>
        <v>PV DN 800</v>
      </c>
      <c r="C2622" s="184"/>
      <c r="D2622" s="185"/>
      <c r="E2622" s="185"/>
      <c r="F2622" s="185"/>
      <c r="G2622" s="185"/>
      <c r="H2622" s="185"/>
      <c r="I2622" s="185"/>
      <c r="J2622" s="185"/>
      <c r="K2622" s="185">
        <f>29.09*M2622</f>
        <v>116.36</v>
      </c>
      <c r="L2622" s="185"/>
      <c r="M2622" s="185">
        <f>M2541</f>
        <v>4</v>
      </c>
      <c r="N2622" s="205"/>
      <c r="O2622" s="185"/>
      <c r="P2622" s="231"/>
      <c r="Q2622" s="224"/>
    </row>
    <row r="2623" spans="1:17" s="225" customFormat="1" ht="10.5" x14ac:dyDescent="0.25">
      <c r="A2623" s="229"/>
      <c r="B2623" s="230" t="str">
        <f>B2580</f>
        <v>PV DN 1000</v>
      </c>
      <c r="C2623" s="184"/>
      <c r="D2623" s="185"/>
      <c r="E2623" s="185"/>
      <c r="F2623" s="185"/>
      <c r="G2623" s="185"/>
      <c r="H2623" s="185"/>
      <c r="I2623" s="185"/>
      <c r="J2623" s="185"/>
      <c r="K2623" s="185">
        <f>92.82*M2623</f>
        <v>1577.9399999999998</v>
      </c>
      <c r="L2623" s="185"/>
      <c r="M2623" s="185">
        <f>M2542</f>
        <v>17</v>
      </c>
      <c r="N2623" s="205"/>
      <c r="O2623" s="185"/>
      <c r="P2623" s="231"/>
      <c r="Q2623" s="224"/>
    </row>
    <row r="2624" spans="1:17" s="225" customFormat="1" ht="10.5" x14ac:dyDescent="0.25">
      <c r="A2624" s="229"/>
      <c r="B2624" s="230" t="str">
        <f>B2584</f>
        <v>PV DN 1200</v>
      </c>
      <c r="C2624" s="184"/>
      <c r="D2624" s="185"/>
      <c r="E2624" s="185"/>
      <c r="F2624" s="185"/>
      <c r="G2624" s="185"/>
      <c r="H2624" s="185"/>
      <c r="I2624" s="185"/>
      <c r="J2624" s="185"/>
      <c r="K2624" s="185">
        <f>154.06*M2624</f>
        <v>770.3</v>
      </c>
      <c r="L2624" s="185"/>
      <c r="M2624" s="185">
        <f>M2543</f>
        <v>5</v>
      </c>
      <c r="N2624" s="205"/>
      <c r="O2624" s="185"/>
      <c r="P2624" s="231"/>
      <c r="Q2624" s="224"/>
    </row>
    <row r="2625" spans="1:17" s="225" customFormat="1" ht="10.5" x14ac:dyDescent="0.25">
      <c r="A2625" s="229"/>
      <c r="B2625" s="230" t="str">
        <f>B2588</f>
        <v>PV DN 1500</v>
      </c>
      <c r="C2625" s="184"/>
      <c r="D2625" s="185"/>
      <c r="E2625" s="185"/>
      <c r="F2625" s="185"/>
      <c r="G2625" s="185"/>
      <c r="H2625" s="185"/>
      <c r="I2625" s="185"/>
      <c r="J2625" s="185"/>
      <c r="K2625" s="185">
        <f>237.08*M2625</f>
        <v>1422.48</v>
      </c>
      <c r="L2625" s="185"/>
      <c r="M2625" s="185">
        <f>M2544</f>
        <v>6</v>
      </c>
      <c r="N2625" s="205"/>
      <c r="O2625" s="185"/>
      <c r="P2625" s="231"/>
      <c r="Q2625" s="224"/>
    </row>
    <row r="2626" spans="1:17" s="225" customFormat="1" ht="10.5" x14ac:dyDescent="0.25">
      <c r="A2626" s="229"/>
      <c r="B2626" s="230"/>
      <c r="C2626" s="184"/>
      <c r="D2626" s="185"/>
      <c r="E2626" s="185"/>
      <c r="F2626" s="185"/>
      <c r="G2626" s="185"/>
      <c r="H2626" s="185"/>
      <c r="I2626" s="185"/>
      <c r="J2626" s="185"/>
      <c r="K2626" s="185"/>
      <c r="L2626" s="185"/>
      <c r="M2626" s="185"/>
      <c r="N2626" s="205"/>
      <c r="O2626" s="185"/>
      <c r="P2626" s="231"/>
      <c r="Q2626" s="224"/>
    </row>
    <row r="2627" spans="1:17" s="225" customFormat="1" ht="10.5" x14ac:dyDescent="0.25">
      <c r="A2627" s="229"/>
      <c r="B2627" s="232" t="s">
        <v>5</v>
      </c>
      <c r="C2627" s="182" t="s">
        <v>1328</v>
      </c>
      <c r="D2627" s="182"/>
      <c r="E2627" s="182"/>
      <c r="F2627" s="182"/>
      <c r="G2627" s="182"/>
      <c r="H2627" s="182"/>
      <c r="I2627" s="182"/>
      <c r="J2627" s="182"/>
      <c r="K2627" s="184">
        <f>SUM(K2620:K2625)</f>
        <v>3969.37</v>
      </c>
      <c r="L2627" s="182"/>
      <c r="M2627" s="182"/>
      <c r="N2627" s="184"/>
      <c r="O2627" s="182"/>
      <c r="P2627" s="233"/>
      <c r="Q2627" s="224"/>
    </row>
    <row r="2628" spans="1:17" s="228" customFormat="1" ht="31.5" x14ac:dyDescent="0.25">
      <c r="A2628" s="226" t="str">
        <f>ORÇAMENTO!A504</f>
        <v>5.1.2.7.9</v>
      </c>
      <c r="B2628" s="227" t="str">
        <f>VLOOKUP(A2628,ORÇAMENTO!A:K,4,0)</f>
        <v>CHAMINÉ CIRCULAR PARA POÇO DE VISITA PARA DRENAGEM, EM CONCRETO PRÉ-MOLDADO, DIÂMETRO INTERNO = 0,6 M. AF_12/2020</v>
      </c>
      <c r="C2628" s="173" t="str">
        <f>VLOOKUP(A2628,ORÇAMENTO!A:K,5,0)</f>
        <v>M</v>
      </c>
      <c r="D2628" s="173">
        <f>ROUND(SUM(E2631:O2631),2)</f>
        <v>49.99</v>
      </c>
      <c r="E2628" s="173" t="s">
        <v>1718</v>
      </c>
      <c r="F2628" s="173" t="s">
        <v>1719</v>
      </c>
      <c r="G2628" s="173" t="s">
        <v>1720</v>
      </c>
      <c r="H2628" s="173" t="s">
        <v>1721</v>
      </c>
      <c r="I2628" s="173" t="s">
        <v>1722</v>
      </c>
      <c r="J2628" s="173" t="s">
        <v>1723</v>
      </c>
      <c r="K2628" s="173" t="s">
        <v>1724</v>
      </c>
      <c r="L2628" s="173" t="s">
        <v>1804</v>
      </c>
      <c r="M2628" s="173" t="s">
        <v>1726</v>
      </c>
      <c r="N2628" s="173" t="s">
        <v>1809</v>
      </c>
      <c r="O2628" s="173" t="s">
        <v>1728</v>
      </c>
      <c r="P2628" s="224"/>
      <c r="Q2628" s="224"/>
    </row>
    <row r="2629" spans="1:17" s="225" customFormat="1" ht="21" x14ac:dyDescent="0.25">
      <c r="A2629" s="229"/>
      <c r="B2629" s="230" t="s">
        <v>1887</v>
      </c>
      <c r="C2629" s="184"/>
      <c r="D2629" s="185"/>
      <c r="E2629" s="185">
        <f>Quantitativos!DA89</f>
        <v>49.990000000000009</v>
      </c>
      <c r="F2629" s="185"/>
      <c r="G2629" s="185"/>
      <c r="H2629" s="185"/>
      <c r="I2629" s="185"/>
      <c r="J2629" s="185"/>
      <c r="K2629" s="185"/>
      <c r="L2629" s="185"/>
      <c r="M2629" s="185"/>
      <c r="N2629" s="205"/>
      <c r="O2629" s="185"/>
      <c r="P2629" s="231"/>
      <c r="Q2629" s="224"/>
    </row>
    <row r="2630" spans="1:17" s="225" customFormat="1" ht="10.5" x14ac:dyDescent="0.25">
      <c r="A2630" s="229"/>
      <c r="B2630" s="230"/>
      <c r="C2630" s="184"/>
      <c r="D2630" s="185"/>
      <c r="E2630" s="185"/>
      <c r="F2630" s="185"/>
      <c r="G2630" s="185"/>
      <c r="H2630" s="185"/>
      <c r="I2630" s="185"/>
      <c r="J2630" s="185"/>
      <c r="K2630" s="185"/>
      <c r="L2630" s="185"/>
      <c r="M2630" s="185"/>
      <c r="N2630" s="205"/>
      <c r="O2630" s="185"/>
      <c r="P2630" s="231"/>
      <c r="Q2630" s="224"/>
    </row>
    <row r="2631" spans="1:17" s="225" customFormat="1" ht="10.5" x14ac:dyDescent="0.25">
      <c r="A2631" s="229"/>
      <c r="B2631" s="232" t="s">
        <v>5</v>
      </c>
      <c r="C2631" s="182" t="s">
        <v>1328</v>
      </c>
      <c r="D2631" s="182"/>
      <c r="E2631" s="184">
        <f>SUM(E2629:E2630)</f>
        <v>49.990000000000009</v>
      </c>
      <c r="F2631" s="182"/>
      <c r="G2631" s="182"/>
      <c r="H2631" s="182"/>
      <c r="I2631" s="182"/>
      <c r="J2631" s="182"/>
      <c r="K2631" s="185"/>
      <c r="L2631" s="182"/>
      <c r="M2631" s="182"/>
      <c r="N2631" s="184"/>
      <c r="O2631" s="182"/>
      <c r="P2631" s="233"/>
      <c r="Q2631" s="224"/>
    </row>
    <row r="2632" spans="1:17" s="228" customFormat="1" ht="31.5" x14ac:dyDescent="0.25">
      <c r="A2632" s="226" t="str">
        <f>ORÇAMENTO!A505</f>
        <v>5.1.2.7.10</v>
      </c>
      <c r="B2632" s="227" t="str">
        <f>VLOOKUP(A2632,ORÇAMENTO!A:K,4,0)</f>
        <v>ESCORAMENTO DE FÔRMAS DE LAJE EM MADEIRA NÃO APARELHADA, PÉ-DIREITO SIMPLES, INCLUSO TRAVAMENTO, 4 UTILIZAÇÕES. AF_09/2020</v>
      </c>
      <c r="C2632" s="173" t="str">
        <f>VLOOKUP(A2632,ORÇAMENTO!A:K,5,0)</f>
        <v>M³</v>
      </c>
      <c r="D2632" s="173">
        <f>ROUND(SUM(E2645:O2645),2)</f>
        <v>264.11</v>
      </c>
      <c r="E2632" s="173" t="s">
        <v>1718</v>
      </c>
      <c r="F2632" s="173" t="s">
        <v>1719</v>
      </c>
      <c r="G2632" s="173" t="s">
        <v>1720</v>
      </c>
      <c r="H2632" s="173" t="s">
        <v>1721</v>
      </c>
      <c r="I2632" s="173" t="s">
        <v>1722</v>
      </c>
      <c r="J2632" s="173" t="s">
        <v>1723</v>
      </c>
      <c r="K2632" s="173" t="s">
        <v>1724</v>
      </c>
      <c r="L2632" s="173" t="s">
        <v>1804</v>
      </c>
      <c r="M2632" s="173" t="s">
        <v>1726</v>
      </c>
      <c r="N2632" s="173" t="s">
        <v>1826</v>
      </c>
      <c r="O2632" s="173" t="s">
        <v>1728</v>
      </c>
      <c r="P2632" s="224"/>
      <c r="Q2632" s="224"/>
    </row>
    <row r="2633" spans="1:17" s="225" customFormat="1" ht="10.5" x14ac:dyDescent="0.25">
      <c r="A2633" s="229"/>
      <c r="B2633" s="230"/>
      <c r="C2633" s="184"/>
      <c r="D2633" s="185"/>
      <c r="E2633" s="185"/>
      <c r="F2633" s="185"/>
      <c r="G2633" s="185"/>
      <c r="H2633" s="185"/>
      <c r="I2633" s="185"/>
      <c r="J2633" s="185"/>
      <c r="K2633" s="185"/>
      <c r="L2633" s="185"/>
      <c r="M2633" s="185"/>
      <c r="N2633" s="205"/>
      <c r="O2633" s="185"/>
      <c r="P2633" s="231"/>
      <c r="Q2633" s="224"/>
    </row>
    <row r="2634" spans="1:17" s="228" customFormat="1" ht="10.5" x14ac:dyDescent="0.25">
      <c r="A2634" s="239"/>
      <c r="B2634" s="232" t="str">
        <f t="shared" ref="B2634:B2639" si="84">B2596</f>
        <v>PV DN 600</v>
      </c>
      <c r="C2634" s="184"/>
      <c r="D2634" s="184"/>
      <c r="E2634" s="184">
        <f t="shared" ref="E2634:F2639" si="85">E2596</f>
        <v>1.08</v>
      </c>
      <c r="F2634" s="184">
        <f t="shared" si="85"/>
        <v>1.08</v>
      </c>
      <c r="G2634" s="184"/>
      <c r="H2634" s="184"/>
      <c r="I2634" s="184"/>
      <c r="J2634" s="184"/>
      <c r="K2634" s="184"/>
      <c r="L2634" s="184"/>
      <c r="M2634" s="184"/>
      <c r="N2634" s="206"/>
      <c r="O2634" s="184"/>
      <c r="P2634" s="231"/>
      <c r="Q2634" s="224"/>
    </row>
    <row r="2635" spans="1:17" s="225" customFormat="1" ht="10.5" x14ac:dyDescent="0.25">
      <c r="A2635" s="229"/>
      <c r="B2635" s="230" t="str">
        <f t="shared" si="84"/>
        <v>TAMPA</v>
      </c>
      <c r="C2635" s="184"/>
      <c r="D2635" s="185"/>
      <c r="E2635" s="185">
        <f t="shared" si="85"/>
        <v>1.08</v>
      </c>
      <c r="F2635" s="185">
        <f t="shared" si="85"/>
        <v>1.08</v>
      </c>
      <c r="G2635" s="185">
        <v>1.4</v>
      </c>
      <c r="H2635" s="185"/>
      <c r="I2635" s="185"/>
      <c r="J2635" s="185"/>
      <c r="K2635" s="185"/>
      <c r="L2635" s="185"/>
      <c r="M2635" s="185">
        <f>M2597</f>
        <v>13</v>
      </c>
      <c r="N2635" s="205">
        <f>M2635*E2635*F2635*G2635</f>
        <v>21.228480000000001</v>
      </c>
      <c r="O2635" s="185"/>
      <c r="P2635" s="231"/>
      <c r="Q2635" s="224"/>
    </row>
    <row r="2636" spans="1:17" s="228" customFormat="1" ht="10.5" x14ac:dyDescent="0.25">
      <c r="A2636" s="239"/>
      <c r="B2636" s="232" t="str">
        <f t="shared" si="84"/>
        <v>PV DN 800</v>
      </c>
      <c r="C2636" s="184"/>
      <c r="D2636" s="184"/>
      <c r="E2636" s="184">
        <f t="shared" si="85"/>
        <v>1.5</v>
      </c>
      <c r="F2636" s="184">
        <f t="shared" si="85"/>
        <v>1.5</v>
      </c>
      <c r="G2636" s="184"/>
      <c r="H2636" s="184"/>
      <c r="I2636" s="184"/>
      <c r="J2636" s="184"/>
      <c r="K2636" s="184"/>
      <c r="L2636" s="184"/>
      <c r="M2636" s="184"/>
      <c r="N2636" s="206"/>
      <c r="O2636" s="184"/>
      <c r="P2636" s="231"/>
      <c r="Q2636" s="224"/>
    </row>
    <row r="2637" spans="1:17" s="225" customFormat="1" ht="10.5" x14ac:dyDescent="0.25">
      <c r="A2637" s="229"/>
      <c r="B2637" s="230" t="str">
        <f t="shared" si="84"/>
        <v>TAMPA</v>
      </c>
      <c r="C2637" s="184"/>
      <c r="D2637" s="185"/>
      <c r="E2637" s="185">
        <f t="shared" si="85"/>
        <v>1.5</v>
      </c>
      <c r="F2637" s="185">
        <f t="shared" si="85"/>
        <v>1.5</v>
      </c>
      <c r="G2637" s="185">
        <v>1.4</v>
      </c>
      <c r="H2637" s="185"/>
      <c r="I2637" s="185"/>
      <c r="J2637" s="185"/>
      <c r="K2637" s="185"/>
      <c r="L2637" s="185"/>
      <c r="M2637" s="185">
        <f>M2599</f>
        <v>4</v>
      </c>
      <c r="N2637" s="205">
        <f>M2637*E2637*F2637*G2637</f>
        <v>12.6</v>
      </c>
      <c r="O2637" s="185"/>
      <c r="P2637" s="231"/>
      <c r="Q2637" s="224"/>
    </row>
    <row r="2638" spans="1:17" s="228" customFormat="1" ht="10.5" x14ac:dyDescent="0.25">
      <c r="A2638" s="239"/>
      <c r="B2638" s="232" t="str">
        <f t="shared" si="84"/>
        <v>PV DN 1000</v>
      </c>
      <c r="C2638" s="184"/>
      <c r="D2638" s="184"/>
      <c r="E2638" s="184">
        <f t="shared" si="85"/>
        <v>1.74</v>
      </c>
      <c r="F2638" s="184">
        <f t="shared" si="85"/>
        <v>1.74</v>
      </c>
      <c r="G2638" s="184"/>
      <c r="H2638" s="184"/>
      <c r="I2638" s="184"/>
      <c r="J2638" s="184"/>
      <c r="K2638" s="184"/>
      <c r="L2638" s="184"/>
      <c r="M2638" s="184"/>
      <c r="N2638" s="206"/>
      <c r="O2638" s="184"/>
      <c r="P2638" s="231"/>
      <c r="Q2638" s="224"/>
    </row>
    <row r="2639" spans="1:17" s="225" customFormat="1" ht="10.5" x14ac:dyDescent="0.25">
      <c r="A2639" s="229"/>
      <c r="B2639" s="230" t="str">
        <f t="shared" si="84"/>
        <v>TAMPA</v>
      </c>
      <c r="C2639" s="184"/>
      <c r="D2639" s="185"/>
      <c r="E2639" s="185">
        <f t="shared" si="85"/>
        <v>1.74</v>
      </c>
      <c r="F2639" s="185">
        <f t="shared" si="85"/>
        <v>1.74</v>
      </c>
      <c r="G2639" s="185">
        <v>2</v>
      </c>
      <c r="H2639" s="185"/>
      <c r="I2639" s="185"/>
      <c r="J2639" s="185"/>
      <c r="K2639" s="185"/>
      <c r="L2639" s="185"/>
      <c r="M2639" s="185">
        <f>M2601</f>
        <v>17</v>
      </c>
      <c r="N2639" s="205">
        <f>M2639*E2639*F2639*G2639</f>
        <v>102.93839999999999</v>
      </c>
      <c r="O2639" s="185"/>
      <c r="P2639" s="231"/>
      <c r="Q2639" s="224"/>
    </row>
    <row r="2640" spans="1:17" s="228" customFormat="1" ht="10.5" x14ac:dyDescent="0.25">
      <c r="A2640" s="239"/>
      <c r="B2640" s="232" t="str">
        <f>B2604</f>
        <v>PV DN 1200</v>
      </c>
      <c r="C2640" s="184"/>
      <c r="D2640" s="184"/>
      <c r="E2640" s="184">
        <f>E2604</f>
        <v>2.04</v>
      </c>
      <c r="F2640" s="184">
        <f>F2604</f>
        <v>2.04</v>
      </c>
      <c r="G2640" s="184"/>
      <c r="H2640" s="184"/>
      <c r="I2640" s="184"/>
      <c r="J2640" s="184"/>
      <c r="K2640" s="184"/>
      <c r="L2640" s="184"/>
      <c r="M2640" s="184"/>
      <c r="N2640" s="206"/>
      <c r="O2640" s="184"/>
      <c r="P2640" s="231"/>
      <c r="Q2640" s="224"/>
    </row>
    <row r="2641" spans="1:19" s="225" customFormat="1" ht="10.5" x14ac:dyDescent="0.25">
      <c r="A2641" s="229"/>
      <c r="B2641" s="230" t="str">
        <f>B2605</f>
        <v>TAMPA</v>
      </c>
      <c r="C2641" s="184"/>
      <c r="D2641" s="185"/>
      <c r="E2641" s="185">
        <f>E2605</f>
        <v>2.04</v>
      </c>
      <c r="F2641" s="185">
        <f>F2605</f>
        <v>2.04</v>
      </c>
      <c r="G2641" s="185">
        <v>2</v>
      </c>
      <c r="H2641" s="185"/>
      <c r="I2641" s="185"/>
      <c r="J2641" s="185"/>
      <c r="K2641" s="185"/>
      <c r="L2641" s="185"/>
      <c r="M2641" s="185">
        <f>M2605</f>
        <v>5</v>
      </c>
      <c r="N2641" s="205">
        <f>M2641*E2641*F2641*G2641</f>
        <v>41.616</v>
      </c>
      <c r="O2641" s="185"/>
      <c r="P2641" s="231"/>
      <c r="Q2641" s="224"/>
    </row>
    <row r="2642" spans="1:19" s="228" customFormat="1" ht="10.5" x14ac:dyDescent="0.25">
      <c r="A2642" s="239"/>
      <c r="B2642" s="232" t="str">
        <f>B2608</f>
        <v>PV DN 1500</v>
      </c>
      <c r="C2642" s="184"/>
      <c r="D2642" s="184"/>
      <c r="E2642" s="184">
        <f>E2608</f>
        <v>2.44</v>
      </c>
      <c r="F2642" s="184">
        <f>F2608</f>
        <v>2.44</v>
      </c>
      <c r="G2642" s="184"/>
      <c r="H2642" s="184"/>
      <c r="I2642" s="184"/>
      <c r="J2642" s="184"/>
      <c r="K2642" s="184"/>
      <c r="L2642" s="184"/>
      <c r="M2642" s="184"/>
      <c r="N2642" s="206"/>
      <c r="O2642" s="184"/>
      <c r="P2642" s="231"/>
      <c r="Q2642" s="224"/>
    </row>
    <row r="2643" spans="1:19" s="225" customFormat="1" ht="10.5" x14ac:dyDescent="0.25">
      <c r="A2643" s="229"/>
      <c r="B2643" s="230" t="str">
        <f>B2609</f>
        <v>TAMPA</v>
      </c>
      <c r="C2643" s="184"/>
      <c r="D2643" s="185"/>
      <c r="E2643" s="185">
        <f>E2609</f>
        <v>2.44</v>
      </c>
      <c r="F2643" s="185">
        <f>F2609</f>
        <v>2.44</v>
      </c>
      <c r="G2643" s="185">
        <v>2.4</v>
      </c>
      <c r="H2643" s="185"/>
      <c r="I2643" s="185"/>
      <c r="J2643" s="185"/>
      <c r="K2643" s="185"/>
      <c r="L2643" s="185"/>
      <c r="M2643" s="185">
        <f>M2609</f>
        <v>6</v>
      </c>
      <c r="N2643" s="205">
        <f>M2643*E2643*F2643*G2643</f>
        <v>85.731840000000005</v>
      </c>
      <c r="O2643" s="185"/>
      <c r="P2643" s="231"/>
      <c r="Q2643" s="224"/>
    </row>
    <row r="2644" spans="1:19" s="225" customFormat="1" ht="10.5" x14ac:dyDescent="0.25">
      <c r="A2644" s="229"/>
      <c r="B2644" s="230"/>
      <c r="C2644" s="184"/>
      <c r="D2644" s="185"/>
      <c r="E2644" s="185"/>
      <c r="F2644" s="185"/>
      <c r="G2644" s="185"/>
      <c r="H2644" s="185"/>
      <c r="I2644" s="185"/>
      <c r="J2644" s="185"/>
      <c r="K2644" s="185"/>
      <c r="L2644" s="185"/>
      <c r="M2644" s="185"/>
      <c r="N2644" s="205"/>
      <c r="O2644" s="185"/>
      <c r="P2644" s="231"/>
      <c r="Q2644" s="224"/>
    </row>
    <row r="2645" spans="1:19" s="225" customFormat="1" ht="10.5" x14ac:dyDescent="0.25">
      <c r="A2645" s="229"/>
      <c r="B2645" s="232" t="s">
        <v>5</v>
      </c>
      <c r="C2645" s="182" t="s">
        <v>1328</v>
      </c>
      <c r="D2645" s="182"/>
      <c r="E2645" s="182"/>
      <c r="F2645" s="182"/>
      <c r="G2645" s="182"/>
      <c r="H2645" s="182"/>
      <c r="I2645" s="182"/>
      <c r="J2645" s="182"/>
      <c r="K2645" s="184"/>
      <c r="L2645" s="182"/>
      <c r="M2645" s="182"/>
      <c r="N2645" s="184">
        <f>SUM(N2633:N2644)</f>
        <v>264.11472000000003</v>
      </c>
      <c r="O2645" s="184"/>
      <c r="P2645" s="233"/>
      <c r="Q2645" s="224"/>
    </row>
    <row r="2646" spans="1:19" s="225" customFormat="1" ht="10.5" x14ac:dyDescent="0.25">
      <c r="A2646" s="222" t="str">
        <f>ORÇAMENTO!A506</f>
        <v>5.1.2.8</v>
      </c>
      <c r="B2646" s="223" t="str">
        <f>VLOOKUP(A2646,ORÇAMENTO!A:K,4,0)</f>
        <v>SERVIÇOS FINAIS PARA DRENAGEM</v>
      </c>
      <c r="C2646" s="167"/>
      <c r="D2646" s="167"/>
      <c r="E2646" s="168"/>
      <c r="F2646" s="168"/>
      <c r="G2646" s="168"/>
      <c r="H2646" s="168"/>
      <c r="I2646" s="168"/>
      <c r="J2646" s="168"/>
      <c r="K2646" s="168"/>
      <c r="L2646" s="168"/>
      <c r="M2646" s="168"/>
      <c r="N2646" s="168"/>
      <c r="O2646" s="168"/>
      <c r="P2646" s="224"/>
      <c r="Q2646" s="224"/>
    </row>
    <row r="2647" spans="1:19" s="228" customFormat="1" ht="21" x14ac:dyDescent="0.25">
      <c r="A2647" s="226" t="str">
        <f>ORÇAMENTO!A507</f>
        <v>5.1.2.8.1</v>
      </c>
      <c r="B2647" s="227" t="str">
        <f>VLOOKUP(A2647,ORÇAMENTO!A:K,4,0)</f>
        <v>LIMPEZA E TESTE DE REDES DE DRENAGEM</v>
      </c>
      <c r="C2647" s="173" t="str">
        <f>VLOOKUP(A2647,ORÇAMENTO!A:K,5,0)</f>
        <v>M</v>
      </c>
      <c r="D2647" s="173">
        <f>ROUND(SUM(E2650:O2650),2)</f>
        <v>1892.75</v>
      </c>
      <c r="E2647" s="173" t="s">
        <v>1718</v>
      </c>
      <c r="F2647" s="173" t="s">
        <v>1719</v>
      </c>
      <c r="G2647" s="173" t="s">
        <v>1720</v>
      </c>
      <c r="H2647" s="173" t="s">
        <v>1721</v>
      </c>
      <c r="I2647" s="173" t="s">
        <v>1722</v>
      </c>
      <c r="J2647" s="173" t="s">
        <v>1723</v>
      </c>
      <c r="K2647" s="173" t="s">
        <v>1724</v>
      </c>
      <c r="L2647" s="173" t="s">
        <v>1804</v>
      </c>
      <c r="M2647" s="173" t="s">
        <v>1726</v>
      </c>
      <c r="N2647" s="173" t="s">
        <v>1809</v>
      </c>
      <c r="O2647" s="173" t="s">
        <v>1728</v>
      </c>
      <c r="P2647" s="224"/>
      <c r="Q2647" s="224"/>
    </row>
    <row r="2648" spans="1:19" s="225" customFormat="1" ht="10.5" x14ac:dyDescent="0.25">
      <c r="A2648" s="229"/>
      <c r="B2648" s="230" t="s">
        <v>1843</v>
      </c>
      <c r="C2648" s="184"/>
      <c r="D2648" s="185"/>
      <c r="E2648" s="185">
        <f>Quantitativos!F89</f>
        <v>1892.75</v>
      </c>
      <c r="F2648" s="185"/>
      <c r="G2648" s="185"/>
      <c r="H2648" s="185"/>
      <c r="I2648" s="185"/>
      <c r="J2648" s="185"/>
      <c r="K2648" s="185"/>
      <c r="L2648" s="185"/>
      <c r="M2648" s="185"/>
      <c r="N2648" s="205"/>
      <c r="O2648" s="185"/>
      <c r="P2648" s="231"/>
      <c r="Q2648" s="224"/>
    </row>
    <row r="2649" spans="1:19" s="225" customFormat="1" ht="10.5" x14ac:dyDescent="0.25">
      <c r="A2649" s="229"/>
      <c r="B2649" s="230"/>
      <c r="C2649" s="184"/>
      <c r="D2649" s="185"/>
      <c r="E2649" s="185"/>
      <c r="F2649" s="185"/>
      <c r="G2649" s="185"/>
      <c r="H2649" s="185"/>
      <c r="I2649" s="185"/>
      <c r="J2649" s="185"/>
      <c r="K2649" s="185"/>
      <c r="L2649" s="185"/>
      <c r="M2649" s="185"/>
      <c r="N2649" s="205"/>
      <c r="O2649" s="185"/>
      <c r="P2649" s="231"/>
      <c r="Q2649" s="224"/>
    </row>
    <row r="2650" spans="1:19" s="225" customFormat="1" ht="10.5" x14ac:dyDescent="0.25">
      <c r="A2650" s="229"/>
      <c r="B2650" s="232" t="s">
        <v>5</v>
      </c>
      <c r="C2650" s="182" t="s">
        <v>1328</v>
      </c>
      <c r="D2650" s="182"/>
      <c r="E2650" s="184">
        <f>SUM(E2648:E2649)</f>
        <v>1892.75</v>
      </c>
      <c r="F2650" s="182"/>
      <c r="G2650" s="182"/>
      <c r="H2650" s="182"/>
      <c r="I2650" s="182"/>
      <c r="J2650" s="182"/>
      <c r="K2650" s="185"/>
      <c r="L2650" s="182"/>
      <c r="M2650" s="182"/>
      <c r="N2650" s="184"/>
      <c r="O2650" s="182"/>
      <c r="P2650" s="233"/>
      <c r="Q2650" s="224"/>
    </row>
    <row r="2651" spans="1:19" s="225" customFormat="1" ht="21" x14ac:dyDescent="0.25">
      <c r="A2651" s="222" t="str">
        <f>ORÇAMENTO!A508</f>
        <v>5.2</v>
      </c>
      <c r="B2651" s="223" t="str">
        <f>VLOOKUP(A2651,ORÇAMENTO!A:K,4,0)</f>
        <v>MANUTENÇÃO E LIMPEZA DO DISSIPADOR DE ENERGIA EXISTENTE</v>
      </c>
      <c r="C2651" s="167"/>
      <c r="D2651" s="167"/>
      <c r="E2651" s="168"/>
      <c r="F2651" s="168"/>
      <c r="G2651" s="168"/>
      <c r="H2651" s="168"/>
      <c r="I2651" s="168"/>
      <c r="J2651" s="168"/>
      <c r="K2651" s="168"/>
      <c r="L2651" s="168"/>
      <c r="M2651" s="168"/>
      <c r="N2651" s="168"/>
      <c r="O2651" s="168"/>
      <c r="P2651" s="224"/>
      <c r="Q2651" s="224"/>
    </row>
    <row r="2652" spans="1:19" s="235" customFormat="1" ht="21" x14ac:dyDescent="0.35">
      <c r="A2652" s="226" t="str">
        <f>ORÇAMENTO!A509</f>
        <v>5.2.1</v>
      </c>
      <c r="B2652" s="227" t="str">
        <f>VLOOKUP(A2652,ORÇAMENTO!A:K,4,0)</f>
        <v>LIMPEZA MANUAL DE VEGETAÇÃO EM TERRENO COM ENXADA. AF_03/2024</v>
      </c>
      <c r="C2652" s="173" t="str">
        <f>VLOOKUP(A2652,ORÇAMENTO!A:K,5,0)</f>
        <v>M²</v>
      </c>
      <c r="D2652" s="173">
        <f>SUM(E2657:O2657)</f>
        <v>107.07</v>
      </c>
      <c r="E2652" s="173" t="s">
        <v>1718</v>
      </c>
      <c r="F2652" s="173" t="s">
        <v>1719</v>
      </c>
      <c r="G2652" s="173" t="s">
        <v>1720</v>
      </c>
      <c r="H2652" s="173" t="s">
        <v>1721</v>
      </c>
      <c r="I2652" s="173" t="s">
        <v>1722</v>
      </c>
      <c r="J2652" s="173" t="s">
        <v>1723</v>
      </c>
      <c r="K2652" s="173" t="s">
        <v>1724</v>
      </c>
      <c r="L2652" s="173" t="s">
        <v>1844</v>
      </c>
      <c r="M2652" s="207" t="s">
        <v>1750</v>
      </c>
      <c r="N2652" s="173" t="s">
        <v>1727</v>
      </c>
      <c r="O2652" s="173" t="s">
        <v>1728</v>
      </c>
      <c r="P2652" s="224"/>
      <c r="Q2652" s="224"/>
      <c r="R2652" s="224"/>
      <c r="S2652" s="224"/>
    </row>
    <row r="2653" spans="1:19" s="235" customFormat="1" x14ac:dyDescent="0.35">
      <c r="A2653" s="229"/>
      <c r="B2653" s="232"/>
      <c r="C2653" s="184"/>
      <c r="D2653" s="184"/>
      <c r="E2653" s="184"/>
      <c r="F2653" s="184"/>
      <c r="G2653" s="184"/>
      <c r="H2653" s="184"/>
      <c r="I2653" s="184"/>
      <c r="J2653" s="184"/>
      <c r="K2653" s="184"/>
      <c r="L2653" s="184"/>
      <c r="M2653" s="184"/>
      <c r="N2653" s="184"/>
      <c r="O2653" s="184"/>
      <c r="P2653" s="224"/>
      <c r="Q2653" s="224"/>
      <c r="R2653" s="224"/>
      <c r="S2653" s="224"/>
    </row>
    <row r="2654" spans="1:19" s="235" customFormat="1" x14ac:dyDescent="0.35">
      <c r="A2654" s="229"/>
      <c r="B2654" s="230" t="s">
        <v>1888</v>
      </c>
      <c r="C2654" s="184"/>
      <c r="D2654" s="184"/>
      <c r="E2654" s="185">
        <v>5.55</v>
      </c>
      <c r="F2654" s="185">
        <v>7.4</v>
      </c>
      <c r="G2654" s="185"/>
      <c r="H2654" s="185">
        <v>0.95</v>
      </c>
      <c r="I2654" s="185"/>
      <c r="J2654" s="185"/>
      <c r="K2654" s="185"/>
      <c r="L2654" s="185"/>
      <c r="M2654" s="184"/>
      <c r="N2654" s="185">
        <f>E2654*F2654</f>
        <v>41.07</v>
      </c>
      <c r="O2654" s="184"/>
      <c r="P2654" s="224"/>
      <c r="Q2654" s="224"/>
      <c r="R2654" s="224"/>
      <c r="S2654" s="224"/>
    </row>
    <row r="2655" spans="1:19" s="235" customFormat="1" x14ac:dyDescent="0.35">
      <c r="A2655" s="229"/>
      <c r="B2655" s="230" t="s">
        <v>1889</v>
      </c>
      <c r="C2655" s="184"/>
      <c r="D2655" s="184"/>
      <c r="E2655" s="185">
        <v>12</v>
      </c>
      <c r="F2655" s="185">
        <v>5.5</v>
      </c>
      <c r="G2655" s="185"/>
      <c r="H2655" s="185"/>
      <c r="I2655" s="185"/>
      <c r="J2655" s="185"/>
      <c r="K2655" s="185"/>
      <c r="L2655" s="185"/>
      <c r="M2655" s="184"/>
      <c r="N2655" s="185">
        <f>E2655*F2655</f>
        <v>66</v>
      </c>
      <c r="O2655" s="184"/>
      <c r="P2655" s="224"/>
      <c r="Q2655" s="224"/>
      <c r="R2655" s="224"/>
      <c r="S2655" s="224"/>
    </row>
    <row r="2656" spans="1:19" s="235" customFormat="1" x14ac:dyDescent="0.35">
      <c r="A2656" s="229"/>
      <c r="B2656" s="230"/>
      <c r="C2656" s="184"/>
      <c r="D2656" s="184"/>
      <c r="E2656" s="185"/>
      <c r="F2656" s="185"/>
      <c r="G2656" s="185"/>
      <c r="H2656" s="185"/>
      <c r="I2656" s="185"/>
      <c r="J2656" s="185"/>
      <c r="K2656" s="185"/>
      <c r="L2656" s="185"/>
      <c r="M2656" s="184"/>
      <c r="N2656" s="185"/>
      <c r="O2656" s="185"/>
      <c r="P2656" s="224"/>
      <c r="Q2656" s="224"/>
      <c r="R2656" s="224"/>
      <c r="S2656" s="224"/>
    </row>
    <row r="2657" spans="1:19" s="235" customFormat="1" x14ac:dyDescent="0.35">
      <c r="A2657" s="238"/>
      <c r="B2657" s="232" t="s">
        <v>5</v>
      </c>
      <c r="C2657" s="182" t="s">
        <v>1328</v>
      </c>
      <c r="D2657" s="185"/>
      <c r="E2657" s="182"/>
      <c r="F2657" s="182"/>
      <c r="G2657" s="182"/>
      <c r="H2657" s="182"/>
      <c r="I2657" s="182"/>
      <c r="J2657" s="182"/>
      <c r="K2657" s="182"/>
      <c r="L2657" s="182"/>
      <c r="M2657" s="182"/>
      <c r="N2657" s="182">
        <f>ROUND(SUM(N2654:N2656),2)</f>
        <v>107.07</v>
      </c>
      <c r="O2657" s="182"/>
      <c r="P2657" s="224"/>
      <c r="Q2657" s="224"/>
      <c r="R2657" s="224"/>
      <c r="S2657" s="224"/>
    </row>
    <row r="2658" spans="1:19" s="235" customFormat="1" ht="21" x14ac:dyDescent="0.35">
      <c r="A2658" s="226" t="str">
        <f>ORÇAMENTO!A510</f>
        <v>5.2.2</v>
      </c>
      <c r="B2658" s="227" t="str">
        <f>VLOOKUP(A2658,ORÇAMENTO!A:K,4,0)</f>
        <v>DESASSOREAMENTO, LIMPEZA E REMOÇÃO DE MATERIAL DE GALERIA MOLDADA</v>
      </c>
      <c r="C2658" s="173" t="str">
        <f>VLOOKUP(A2658,ORÇAMENTO!A:K,5,0)</f>
        <v>M³</v>
      </c>
      <c r="D2658" s="173">
        <f>SUM(E2662:O2662)</f>
        <v>39.020000000000003</v>
      </c>
      <c r="E2658" s="173" t="s">
        <v>1718</v>
      </c>
      <c r="F2658" s="173" t="s">
        <v>1719</v>
      </c>
      <c r="G2658" s="173" t="s">
        <v>1720</v>
      </c>
      <c r="H2658" s="173" t="s">
        <v>1721</v>
      </c>
      <c r="I2658" s="173" t="s">
        <v>1722</v>
      </c>
      <c r="J2658" s="173" t="s">
        <v>1723</v>
      </c>
      <c r="K2658" s="173" t="s">
        <v>1724</v>
      </c>
      <c r="L2658" s="173" t="s">
        <v>1726</v>
      </c>
      <c r="M2658" s="207" t="s">
        <v>1750</v>
      </c>
      <c r="N2658" s="173" t="s">
        <v>1727</v>
      </c>
      <c r="O2658" s="173" t="s">
        <v>1728</v>
      </c>
      <c r="P2658" s="224"/>
      <c r="Q2658" s="224"/>
      <c r="R2658" s="224"/>
      <c r="S2658" s="224"/>
    </row>
    <row r="2659" spans="1:19" s="235" customFormat="1" x14ac:dyDescent="0.35">
      <c r="A2659" s="229"/>
      <c r="B2659" s="232"/>
      <c r="C2659" s="184"/>
      <c r="D2659" s="184"/>
      <c r="E2659" s="184"/>
      <c r="F2659" s="184"/>
      <c r="G2659" s="184"/>
      <c r="H2659" s="184"/>
      <c r="I2659" s="184"/>
      <c r="J2659" s="184"/>
      <c r="K2659" s="184"/>
      <c r="L2659" s="184"/>
      <c r="M2659" s="184"/>
      <c r="N2659" s="184"/>
      <c r="O2659" s="184"/>
      <c r="P2659" s="224"/>
      <c r="Q2659" s="224"/>
      <c r="R2659" s="224"/>
      <c r="S2659" s="224"/>
    </row>
    <row r="2660" spans="1:19" s="235" customFormat="1" x14ac:dyDescent="0.35">
      <c r="A2660" s="229"/>
      <c r="B2660" s="230" t="str">
        <f>B2654</f>
        <v>DISSIPADOR DE ENERGIA EXISTENTE</v>
      </c>
      <c r="C2660" s="177"/>
      <c r="D2660" s="177"/>
      <c r="E2660" s="178">
        <f>E2654</f>
        <v>5.55</v>
      </c>
      <c r="F2660" s="178">
        <f>F2654</f>
        <v>7.4</v>
      </c>
      <c r="G2660" s="178"/>
      <c r="H2660" s="178">
        <f>H2654</f>
        <v>0.95</v>
      </c>
      <c r="I2660" s="178"/>
      <c r="J2660" s="178"/>
      <c r="K2660" s="178"/>
      <c r="L2660" s="178"/>
      <c r="M2660" s="178"/>
      <c r="N2660" s="185">
        <f>E2660*F2660</f>
        <v>41.07</v>
      </c>
      <c r="O2660" s="178">
        <f>H2660*N2660</f>
        <v>39.016500000000001</v>
      </c>
      <c r="P2660" s="224"/>
      <c r="Q2660" s="224"/>
      <c r="R2660" s="224"/>
      <c r="S2660" s="224"/>
    </row>
    <row r="2661" spans="1:19" s="235" customFormat="1" x14ac:dyDescent="0.35">
      <c r="A2661" s="229"/>
      <c r="B2661" s="230"/>
      <c r="C2661" s="184"/>
      <c r="D2661" s="184"/>
      <c r="E2661" s="184"/>
      <c r="F2661" s="184"/>
      <c r="G2661" s="184"/>
      <c r="H2661" s="184"/>
      <c r="I2661" s="184"/>
      <c r="J2661" s="184"/>
      <c r="K2661" s="184"/>
      <c r="L2661" s="184"/>
      <c r="M2661" s="184"/>
      <c r="N2661" s="184"/>
      <c r="O2661" s="184"/>
      <c r="P2661" s="224"/>
      <c r="Q2661" s="224"/>
      <c r="R2661" s="224"/>
      <c r="S2661" s="224"/>
    </row>
    <row r="2662" spans="1:19" s="235" customFormat="1" x14ac:dyDescent="0.35">
      <c r="A2662" s="238"/>
      <c r="B2662" s="232" t="s">
        <v>5</v>
      </c>
      <c r="C2662" s="208" t="s">
        <v>1328</v>
      </c>
      <c r="D2662" s="208"/>
      <c r="E2662" s="208"/>
      <c r="F2662" s="208"/>
      <c r="G2662" s="208"/>
      <c r="H2662" s="208"/>
      <c r="I2662" s="208"/>
      <c r="J2662" s="208"/>
      <c r="K2662" s="208"/>
      <c r="L2662" s="184"/>
      <c r="M2662" s="208"/>
      <c r="N2662" s="208"/>
      <c r="O2662" s="182">
        <f>ROUND(SUM(O2660:O2661),2)</f>
        <v>39.020000000000003</v>
      </c>
      <c r="P2662" s="224"/>
      <c r="Q2662" s="224"/>
      <c r="R2662" s="224"/>
      <c r="S2662" s="224"/>
    </row>
    <row r="2663" spans="1:19" s="225" customFormat="1" ht="10.5" x14ac:dyDescent="0.25">
      <c r="A2663" s="222" t="str">
        <f>ORÇAMENTO!A511</f>
        <v>5.3</v>
      </c>
      <c r="B2663" s="223" t="str">
        <f>VLOOKUP(A2663,ORÇAMENTO!A:K,4,0)</f>
        <v>MANUTENÇÃO DE DISPOSITIVOS EXISTENTES</v>
      </c>
      <c r="C2663" s="167"/>
      <c r="D2663" s="167"/>
      <c r="E2663" s="168"/>
      <c r="F2663" s="168"/>
      <c r="G2663" s="168"/>
      <c r="H2663" s="168"/>
      <c r="I2663" s="168"/>
      <c r="J2663" s="168"/>
      <c r="K2663" s="168"/>
      <c r="L2663" s="168"/>
      <c r="M2663" s="168"/>
      <c r="N2663" s="168"/>
      <c r="O2663" s="168"/>
      <c r="P2663" s="224"/>
      <c r="Q2663" s="224"/>
    </row>
    <row r="2664" spans="1:19" s="225" customFormat="1" ht="10.5" x14ac:dyDescent="0.25">
      <c r="A2664" s="222" t="str">
        <f>ORÇAMENTO!A512</f>
        <v>5.3.1</v>
      </c>
      <c r="B2664" s="223" t="str">
        <f>VLOOKUP(A2664,ORÇAMENTO!A:K,4,0)</f>
        <v>LIMPEZA E DESOBSTRUÇÃO DE BOCA DE LOBO</v>
      </c>
      <c r="C2664" s="167"/>
      <c r="D2664" s="167"/>
      <c r="E2664" s="168"/>
      <c r="F2664" s="168"/>
      <c r="G2664" s="168"/>
      <c r="H2664" s="168"/>
      <c r="I2664" s="168"/>
      <c r="J2664" s="168"/>
      <c r="K2664" s="168"/>
      <c r="L2664" s="168"/>
      <c r="M2664" s="168"/>
      <c r="N2664" s="168"/>
      <c r="O2664" s="168"/>
      <c r="P2664" s="224"/>
      <c r="Q2664" s="224"/>
    </row>
    <row r="2665" spans="1:19" s="235" customFormat="1" ht="21" x14ac:dyDescent="0.35">
      <c r="A2665" s="226" t="str">
        <f>ORÇAMENTO!A513</f>
        <v>5.3.1.1</v>
      </c>
      <c r="B2665" s="227" t="str">
        <f>VLOOKUP(A2665,ORÇAMENTO!A:K,4,0)</f>
        <v>DESOBSTRUÇÃO E LIMPEZA DE BOCA-DE-LOBO</v>
      </c>
      <c r="C2665" s="173" t="str">
        <f>VLOOKUP(A2665,ORÇAMENTO!A:K,5,0)</f>
        <v>UN</v>
      </c>
      <c r="D2665" s="173">
        <f>SUM(E2668:O2668)</f>
        <v>64</v>
      </c>
      <c r="E2665" s="173" t="s">
        <v>1752</v>
      </c>
      <c r="F2665" s="173" t="s">
        <v>1719</v>
      </c>
      <c r="G2665" s="173" t="s">
        <v>1720</v>
      </c>
      <c r="H2665" s="173" t="s">
        <v>1721</v>
      </c>
      <c r="I2665" s="173" t="s">
        <v>1722</v>
      </c>
      <c r="J2665" s="173" t="s">
        <v>1723</v>
      </c>
      <c r="K2665" s="173" t="s">
        <v>1746</v>
      </c>
      <c r="L2665" s="173" t="s">
        <v>1753</v>
      </c>
      <c r="M2665" s="173" t="s">
        <v>1726</v>
      </c>
      <c r="N2665" s="173" t="s">
        <v>1727</v>
      </c>
      <c r="O2665" s="173" t="s">
        <v>1728</v>
      </c>
      <c r="P2665" s="224"/>
      <c r="Q2665" s="224"/>
      <c r="R2665" s="224"/>
      <c r="S2665" s="224"/>
    </row>
    <row r="2666" spans="1:19" s="235" customFormat="1" x14ac:dyDescent="0.35">
      <c r="A2666" s="229"/>
      <c r="B2666" s="230" t="s">
        <v>1866</v>
      </c>
      <c r="C2666" s="184"/>
      <c r="D2666" s="185"/>
      <c r="E2666" s="185"/>
      <c r="F2666" s="185"/>
      <c r="G2666" s="185"/>
      <c r="H2666" s="185"/>
      <c r="I2666" s="185"/>
      <c r="J2666" s="185"/>
      <c r="K2666" s="185"/>
      <c r="L2666" s="185"/>
      <c r="M2666" s="185">
        <f>'Planilha Hidráulica'!AC95</f>
        <v>64</v>
      </c>
      <c r="N2666" s="185"/>
      <c r="O2666" s="185"/>
      <c r="P2666" s="224"/>
      <c r="Q2666" s="224"/>
      <c r="R2666" s="224"/>
      <c r="S2666" s="224"/>
    </row>
    <row r="2667" spans="1:19" s="235" customFormat="1" x14ac:dyDescent="0.35">
      <c r="A2667" s="229"/>
      <c r="B2667" s="230"/>
      <c r="C2667" s="184"/>
      <c r="D2667" s="185"/>
      <c r="E2667" s="185"/>
      <c r="F2667" s="185"/>
      <c r="G2667" s="185"/>
      <c r="H2667" s="185"/>
      <c r="I2667" s="185"/>
      <c r="J2667" s="185"/>
      <c r="K2667" s="185"/>
      <c r="L2667" s="185"/>
      <c r="M2667" s="185"/>
      <c r="N2667" s="185"/>
      <c r="O2667" s="185"/>
      <c r="P2667" s="224"/>
      <c r="Q2667" s="224"/>
      <c r="R2667" s="224"/>
      <c r="S2667" s="224"/>
    </row>
    <row r="2668" spans="1:19" s="225" customFormat="1" ht="10.5" x14ac:dyDescent="0.3">
      <c r="A2668" s="229"/>
      <c r="B2668" s="232" t="s">
        <v>5</v>
      </c>
      <c r="C2668" s="216" t="s">
        <v>1328</v>
      </c>
      <c r="D2668" s="216"/>
      <c r="E2668" s="216"/>
      <c r="F2668" s="216"/>
      <c r="G2668" s="216"/>
      <c r="H2668" s="216"/>
      <c r="I2668" s="216"/>
      <c r="J2668" s="216"/>
      <c r="K2668" s="216"/>
      <c r="L2668" s="216"/>
      <c r="M2668" s="208">
        <f>SUM(M2666:M2667)</f>
        <v>64</v>
      </c>
      <c r="N2668" s="216"/>
      <c r="O2668" s="208"/>
      <c r="P2668" s="243"/>
    </row>
    <row r="2669" spans="1:19" s="225" customFormat="1" ht="10.5" x14ac:dyDescent="0.25">
      <c r="A2669" s="222" t="str">
        <f>ORÇAMENTO!A514</f>
        <v>5.3.2</v>
      </c>
      <c r="B2669" s="223" t="str">
        <f>VLOOKUP(A2669,ORÇAMENTO!A:K,4,0)</f>
        <v>LIMPEZA E DESOBSTRUÇÃO DE POÇOS DE VISITA</v>
      </c>
      <c r="C2669" s="167"/>
      <c r="D2669" s="167"/>
      <c r="E2669" s="168"/>
      <c r="F2669" s="168"/>
      <c r="G2669" s="168"/>
      <c r="H2669" s="168"/>
      <c r="I2669" s="168"/>
      <c r="J2669" s="168"/>
      <c r="K2669" s="168"/>
      <c r="L2669" s="168"/>
      <c r="M2669" s="168"/>
      <c r="N2669" s="168"/>
      <c r="O2669" s="168"/>
      <c r="P2669" s="224"/>
      <c r="Q2669" s="224"/>
    </row>
    <row r="2670" spans="1:19" s="235" customFormat="1" ht="21" x14ac:dyDescent="0.35">
      <c r="A2670" s="226" t="str">
        <f>ORÇAMENTO!A515</f>
        <v>5.3.2.1</v>
      </c>
      <c r="B2670" s="227" t="str">
        <f>VLOOKUP(A2670,ORÇAMENTO!A:K,4,0)</f>
        <v>BOMBEAMENTO DE POCO DE VISITA</v>
      </c>
      <c r="C2670" s="173"/>
      <c r="D2670" s="173">
        <f>SUM(E2671:O2671)</f>
        <v>35</v>
      </c>
      <c r="E2670" s="173" t="s">
        <v>1752</v>
      </c>
      <c r="F2670" s="173" t="s">
        <v>1719</v>
      </c>
      <c r="G2670" s="173" t="s">
        <v>1720</v>
      </c>
      <c r="H2670" s="173" t="s">
        <v>1721</v>
      </c>
      <c r="I2670" s="173" t="s">
        <v>1722</v>
      </c>
      <c r="J2670" s="173" t="s">
        <v>1723</v>
      </c>
      <c r="K2670" s="173" t="s">
        <v>1746</v>
      </c>
      <c r="L2670" s="173" t="s">
        <v>1753</v>
      </c>
      <c r="M2670" s="173" t="s">
        <v>1726</v>
      </c>
      <c r="N2670" s="173" t="s">
        <v>1727</v>
      </c>
      <c r="O2670" s="173" t="s">
        <v>1728</v>
      </c>
      <c r="P2670" s="224"/>
      <c r="Q2670" s="224"/>
      <c r="R2670" s="224"/>
      <c r="S2670" s="224"/>
    </row>
    <row r="2671" spans="1:19" s="225" customFormat="1" ht="10.5" x14ac:dyDescent="0.3">
      <c r="A2671" s="229"/>
      <c r="B2671" s="230" t="s">
        <v>1867</v>
      </c>
      <c r="C2671" s="185"/>
      <c r="D2671" s="185"/>
      <c r="E2671" s="185"/>
      <c r="F2671" s="185"/>
      <c r="G2671" s="185"/>
      <c r="H2671" s="185"/>
      <c r="I2671" s="185"/>
      <c r="J2671" s="185"/>
      <c r="K2671" s="185"/>
      <c r="L2671" s="197"/>
      <c r="M2671" s="197">
        <v>35</v>
      </c>
      <c r="N2671" s="185"/>
      <c r="O2671" s="185"/>
      <c r="P2671" s="244"/>
    </row>
    <row r="2672" spans="1:19" s="225" customFormat="1" ht="10.5" x14ac:dyDescent="0.3">
      <c r="A2672" s="229"/>
      <c r="B2672" s="232" t="s">
        <v>5</v>
      </c>
      <c r="C2672" s="216" t="s">
        <v>1328</v>
      </c>
      <c r="D2672" s="216"/>
      <c r="E2672" s="216"/>
      <c r="F2672" s="216"/>
      <c r="G2672" s="216"/>
      <c r="H2672" s="216"/>
      <c r="I2672" s="216"/>
      <c r="J2672" s="216"/>
      <c r="K2672" s="216"/>
      <c r="L2672" s="208"/>
      <c r="M2672" s="208">
        <f>SUM(M2671:M2671)</f>
        <v>35</v>
      </c>
      <c r="N2672" s="216"/>
      <c r="O2672" s="216"/>
      <c r="P2672" s="243"/>
    </row>
    <row r="2673" spans="1:19" s="235" customFormat="1" ht="21" x14ac:dyDescent="0.35">
      <c r="A2673" s="226" t="str">
        <f>ORÇAMENTO!A516</f>
        <v>5.3.2.2</v>
      </c>
      <c r="B2673" s="227" t="str">
        <f>VLOOKUP(A2673,ORÇAMENTO!A:K,4,0)</f>
        <v>LIMPEZA PV</v>
      </c>
      <c r="C2673" s="173"/>
      <c r="D2673" s="173">
        <f>SUM(E2674:O2674)</f>
        <v>35</v>
      </c>
      <c r="E2673" s="173" t="s">
        <v>1752</v>
      </c>
      <c r="F2673" s="173" t="s">
        <v>1719</v>
      </c>
      <c r="G2673" s="173" t="s">
        <v>1720</v>
      </c>
      <c r="H2673" s="173" t="s">
        <v>1721</v>
      </c>
      <c r="I2673" s="173" t="s">
        <v>1722</v>
      </c>
      <c r="J2673" s="173" t="s">
        <v>1723</v>
      </c>
      <c r="K2673" s="173" t="s">
        <v>1746</v>
      </c>
      <c r="L2673" s="173" t="s">
        <v>1753</v>
      </c>
      <c r="M2673" s="173" t="s">
        <v>1726</v>
      </c>
      <c r="N2673" s="173" t="s">
        <v>1727</v>
      </c>
      <c r="O2673" s="173" t="s">
        <v>1728</v>
      </c>
      <c r="P2673" s="224"/>
      <c r="Q2673" s="224"/>
      <c r="R2673" s="224"/>
      <c r="S2673" s="224"/>
    </row>
    <row r="2674" spans="1:19" s="225" customFormat="1" ht="10.5" x14ac:dyDescent="0.3">
      <c r="A2674" s="229"/>
      <c r="B2674" s="230" t="s">
        <v>1867</v>
      </c>
      <c r="C2674" s="185"/>
      <c r="D2674" s="185"/>
      <c r="E2674" s="185"/>
      <c r="F2674" s="185"/>
      <c r="G2674" s="185"/>
      <c r="H2674" s="185"/>
      <c r="I2674" s="185"/>
      <c r="J2674" s="185"/>
      <c r="K2674" s="185"/>
      <c r="L2674" s="197"/>
      <c r="M2674" s="197">
        <f>M2671</f>
        <v>35</v>
      </c>
      <c r="N2674" s="185"/>
      <c r="O2674" s="185"/>
      <c r="P2674" s="244"/>
    </row>
    <row r="2675" spans="1:19" s="225" customFormat="1" ht="10.5" x14ac:dyDescent="0.3">
      <c r="A2675" s="229"/>
      <c r="B2675" s="232" t="s">
        <v>5</v>
      </c>
      <c r="C2675" s="216" t="s">
        <v>1328</v>
      </c>
      <c r="D2675" s="216"/>
      <c r="E2675" s="216"/>
      <c r="F2675" s="216"/>
      <c r="G2675" s="216"/>
      <c r="H2675" s="216"/>
      <c r="I2675" s="216"/>
      <c r="J2675" s="216"/>
      <c r="K2675" s="216"/>
      <c r="L2675" s="208"/>
      <c r="M2675" s="208">
        <f>SUM(M2674:M2674)</f>
        <v>35</v>
      </c>
      <c r="N2675" s="216"/>
      <c r="O2675" s="216"/>
      <c r="P2675" s="243"/>
    </row>
    <row r="2676" spans="1:19" s="225" customFormat="1" ht="10.5" x14ac:dyDescent="0.25">
      <c r="A2676" s="222" t="str">
        <f>ORÇAMENTO!A517</f>
        <v>5.4</v>
      </c>
      <c r="B2676" s="223" t="str">
        <f>VLOOKUP(A2676,ORÇAMENTO!A:K,4,0)</f>
        <v>REVITALIZAÇÃO DE POÇO DE VISITA SOB ASFALTO</v>
      </c>
      <c r="C2676" s="167"/>
      <c r="D2676" s="167"/>
      <c r="E2676" s="168"/>
      <c r="F2676" s="168"/>
      <c r="G2676" s="168"/>
      <c r="H2676" s="168"/>
      <c r="I2676" s="168"/>
      <c r="J2676" s="168"/>
      <c r="K2676" s="168"/>
      <c r="L2676" s="168"/>
      <c r="M2676" s="168"/>
      <c r="N2676" s="168"/>
      <c r="O2676" s="168"/>
      <c r="P2676" s="224"/>
      <c r="Q2676" s="224"/>
    </row>
    <row r="2677" spans="1:19" s="235" customFormat="1" ht="21" x14ac:dyDescent="0.35">
      <c r="A2677" s="226" t="str">
        <f>ORÇAMENTO!A518</f>
        <v>5.4.1</v>
      </c>
      <c r="B2677" s="227" t="str">
        <f>VLOOKUP(A2677,ORÇAMENTO!A:K,4,0)</f>
        <v>TELA TAPUME, COR LARANJA, COM SUPORTE A CADA 2M (FORNECIMENTO E INSTALAÇÃO)</v>
      </c>
      <c r="C2677" s="173" t="str">
        <f>VLOOKUP(A2677,ORÇAMENTO!A:K,5,0)</f>
        <v>M</v>
      </c>
      <c r="D2677" s="173">
        <f>SUM(D2683:N2683)</f>
        <v>28.799999999999997</v>
      </c>
      <c r="E2677" s="173" t="s">
        <v>1718</v>
      </c>
      <c r="F2677" s="173" t="s">
        <v>1719</v>
      </c>
      <c r="G2677" s="173" t="s">
        <v>1720</v>
      </c>
      <c r="H2677" s="173" t="s">
        <v>1721</v>
      </c>
      <c r="I2677" s="173" t="s">
        <v>1722</v>
      </c>
      <c r="J2677" s="173" t="s">
        <v>1723</v>
      </c>
      <c r="K2677" s="173" t="s">
        <v>1746</v>
      </c>
      <c r="L2677" s="173" t="s">
        <v>1753</v>
      </c>
      <c r="M2677" s="173" t="s">
        <v>1726</v>
      </c>
      <c r="N2677" s="173" t="s">
        <v>1727</v>
      </c>
      <c r="O2677" s="173" t="s">
        <v>1728</v>
      </c>
      <c r="P2677" s="224"/>
      <c r="Q2677" s="224"/>
      <c r="R2677" s="224"/>
      <c r="S2677" s="224"/>
    </row>
    <row r="2678" spans="1:19" s="225" customFormat="1" ht="10.5" x14ac:dyDescent="0.25">
      <c r="A2678" s="229"/>
      <c r="B2678" s="230"/>
      <c r="C2678" s="177"/>
      <c r="D2678" s="178"/>
      <c r="E2678" s="178"/>
      <c r="F2678" s="178"/>
      <c r="G2678" s="178"/>
      <c r="H2678" s="178"/>
      <c r="I2678" s="178"/>
      <c r="J2678" s="178"/>
      <c r="K2678" s="178"/>
      <c r="L2678" s="180"/>
      <c r="M2678" s="178"/>
      <c r="N2678" s="178"/>
      <c r="O2678" s="178"/>
      <c r="P2678" s="231"/>
      <c r="Q2678" s="224"/>
    </row>
    <row r="2679" spans="1:19" s="225" customFormat="1" ht="21" x14ac:dyDescent="0.3">
      <c r="A2679" s="229"/>
      <c r="B2679" s="230" t="s">
        <v>1868</v>
      </c>
      <c r="C2679" s="185"/>
      <c r="D2679" s="185"/>
      <c r="E2679" s="185"/>
      <c r="F2679" s="185"/>
      <c r="G2679" s="185"/>
      <c r="H2679" s="185"/>
      <c r="I2679" s="185"/>
      <c r="J2679" s="185"/>
      <c r="K2679" s="185"/>
      <c r="L2679" s="197"/>
      <c r="M2679" s="185">
        <v>4</v>
      </c>
      <c r="N2679" s="185"/>
      <c r="O2679" s="185"/>
      <c r="P2679" s="244"/>
    </row>
    <row r="2680" spans="1:19" s="225" customFormat="1" ht="10.5" x14ac:dyDescent="0.25">
      <c r="A2680" s="229"/>
      <c r="B2680" s="230" t="s">
        <v>1890</v>
      </c>
      <c r="C2680" s="177"/>
      <c r="D2680" s="178"/>
      <c r="E2680" s="178">
        <f>0.6+0.6*2</f>
        <v>1.7999999999999998</v>
      </c>
      <c r="F2680" s="178">
        <f>0.6+0.6*2</f>
        <v>1.7999999999999998</v>
      </c>
      <c r="G2680" s="178"/>
      <c r="H2680" s="178"/>
      <c r="I2680" s="178">
        <f>2*E2680+2*F2680</f>
        <v>7.1999999999999993</v>
      </c>
      <c r="J2680" s="178"/>
      <c r="K2680" s="178"/>
      <c r="L2680" s="180"/>
      <c r="M2680" s="178"/>
      <c r="N2680" s="178"/>
      <c r="O2680" s="178"/>
      <c r="P2680" s="231"/>
      <c r="Q2680" s="224"/>
    </row>
    <row r="2681" spans="1:19" s="225" customFormat="1" ht="10.5" x14ac:dyDescent="0.25">
      <c r="A2681" s="229"/>
      <c r="B2681" s="230"/>
      <c r="C2681" s="177"/>
      <c r="D2681" s="178"/>
      <c r="E2681" s="178"/>
      <c r="F2681" s="178"/>
      <c r="G2681" s="178"/>
      <c r="H2681" s="178"/>
      <c r="I2681" s="178">
        <f>I2680*M2679</f>
        <v>28.799999999999997</v>
      </c>
      <c r="J2681" s="178"/>
      <c r="K2681" s="178"/>
      <c r="L2681" s="180"/>
      <c r="M2681" s="178"/>
      <c r="N2681" s="178"/>
      <c r="O2681" s="178"/>
      <c r="P2681" s="231"/>
      <c r="Q2681" s="224"/>
    </row>
    <row r="2682" spans="1:19" s="225" customFormat="1" ht="10.5" x14ac:dyDescent="0.25">
      <c r="A2682" s="229"/>
      <c r="B2682" s="230"/>
      <c r="C2682" s="177"/>
      <c r="D2682" s="178"/>
      <c r="E2682" s="178"/>
      <c r="F2682" s="178"/>
      <c r="G2682" s="178"/>
      <c r="H2682" s="178"/>
      <c r="I2682" s="178"/>
      <c r="J2682" s="178"/>
      <c r="K2682" s="178"/>
      <c r="L2682" s="180"/>
      <c r="M2682" s="178"/>
      <c r="N2682" s="178"/>
      <c r="O2682" s="178"/>
      <c r="P2682" s="231"/>
      <c r="Q2682" s="224"/>
    </row>
    <row r="2683" spans="1:19" s="225" customFormat="1" ht="10.5" x14ac:dyDescent="0.3">
      <c r="A2683" s="229"/>
      <c r="B2683" s="232" t="s">
        <v>5</v>
      </c>
      <c r="C2683" s="216" t="s">
        <v>1328</v>
      </c>
      <c r="D2683" s="216"/>
      <c r="E2683" s="216"/>
      <c r="F2683" s="216"/>
      <c r="G2683" s="216"/>
      <c r="H2683" s="216"/>
      <c r="I2683" s="182">
        <f>I2681</f>
        <v>28.799999999999997</v>
      </c>
      <c r="J2683" s="216"/>
      <c r="K2683" s="216"/>
      <c r="L2683" s="208"/>
      <c r="M2683" s="208"/>
      <c r="N2683" s="216"/>
      <c r="O2683" s="216"/>
      <c r="P2683" s="243"/>
    </row>
    <row r="2684" spans="1:19" s="228" customFormat="1" ht="31.5" x14ac:dyDescent="0.25">
      <c r="A2684" s="226" t="str">
        <f>ORÇAMENTO!A519</f>
        <v>5.4.2</v>
      </c>
      <c r="B2684" s="227" t="str">
        <f>VLOOKUP(A2684,ORÇAMENTO!A:K,4,0)</f>
        <v>DEMOLIÇÃO PARCIAL DE PAVIMENTO ASFÁLTICO, DE FORMA MECANIZADA, SEM REAPROVEITAMENTO. AF_09/2023</v>
      </c>
      <c r="C2684" s="173" t="str">
        <f>VLOOKUP(A2684,ORÇAMENTO!A:K,5,0)</f>
        <v>M²</v>
      </c>
      <c r="D2684" s="173">
        <f>SUM(E2688:O2688)</f>
        <v>12.959999999999997</v>
      </c>
      <c r="E2684" s="173" t="s">
        <v>1718</v>
      </c>
      <c r="F2684" s="173" t="s">
        <v>1719</v>
      </c>
      <c r="G2684" s="173" t="s">
        <v>1720</v>
      </c>
      <c r="H2684" s="173" t="s">
        <v>1721</v>
      </c>
      <c r="I2684" s="173" t="s">
        <v>1722</v>
      </c>
      <c r="J2684" s="173" t="s">
        <v>1723</v>
      </c>
      <c r="K2684" s="173" t="s">
        <v>1724</v>
      </c>
      <c r="L2684" s="173" t="s">
        <v>1725</v>
      </c>
      <c r="M2684" s="173" t="s">
        <v>1726</v>
      </c>
      <c r="N2684" s="173" t="s">
        <v>1727</v>
      </c>
      <c r="O2684" s="173" t="s">
        <v>1728</v>
      </c>
      <c r="P2684" s="224"/>
      <c r="Q2684" s="224"/>
    </row>
    <row r="2685" spans="1:19" s="225" customFormat="1" ht="21" x14ac:dyDescent="0.25">
      <c r="A2685" s="229"/>
      <c r="B2685" s="230" t="s">
        <v>1868</v>
      </c>
      <c r="C2685" s="184"/>
      <c r="D2685" s="185"/>
      <c r="E2685" s="185"/>
      <c r="F2685" s="185"/>
      <c r="G2685" s="185"/>
      <c r="H2685" s="185"/>
      <c r="I2685" s="185"/>
      <c r="J2685" s="185"/>
      <c r="K2685" s="185"/>
      <c r="L2685" s="185"/>
      <c r="M2685" s="185">
        <f>M2679</f>
        <v>4</v>
      </c>
      <c r="N2685" s="185"/>
      <c r="O2685" s="185"/>
      <c r="P2685" s="231"/>
      <c r="Q2685" s="224"/>
    </row>
    <row r="2686" spans="1:19" s="225" customFormat="1" ht="10.5" x14ac:dyDescent="0.25">
      <c r="A2686" s="229"/>
      <c r="B2686" s="230" t="s">
        <v>1748</v>
      </c>
      <c r="C2686" s="184"/>
      <c r="D2686" s="185"/>
      <c r="E2686" s="185">
        <f>E2680</f>
        <v>1.7999999999999998</v>
      </c>
      <c r="F2686" s="185">
        <f>F2680</f>
        <v>1.7999999999999998</v>
      </c>
      <c r="G2686" s="185"/>
      <c r="H2686" s="185">
        <v>0.03</v>
      </c>
      <c r="I2686" s="185"/>
      <c r="J2686" s="185"/>
      <c r="K2686" s="185"/>
      <c r="L2686" s="185"/>
      <c r="M2686" s="185"/>
      <c r="N2686" s="185">
        <f>M2685*E2686*F2686</f>
        <v>12.959999999999997</v>
      </c>
      <c r="O2686" s="185"/>
      <c r="P2686" s="231"/>
      <c r="Q2686" s="224"/>
    </row>
    <row r="2687" spans="1:19" s="225" customFormat="1" ht="10.5" x14ac:dyDescent="0.25">
      <c r="A2687" s="229"/>
      <c r="B2687" s="230"/>
      <c r="C2687" s="184"/>
      <c r="D2687" s="185"/>
      <c r="E2687" s="185"/>
      <c r="F2687" s="185"/>
      <c r="G2687" s="185"/>
      <c r="H2687" s="185"/>
      <c r="I2687" s="185"/>
      <c r="J2687" s="185"/>
      <c r="K2687" s="185"/>
      <c r="L2687" s="186"/>
      <c r="M2687" s="185"/>
      <c r="N2687" s="185"/>
      <c r="O2687" s="185"/>
      <c r="P2687" s="231"/>
      <c r="Q2687" s="224"/>
    </row>
    <row r="2688" spans="1:19" s="225" customFormat="1" ht="10.5" x14ac:dyDescent="0.25">
      <c r="A2688" s="229"/>
      <c r="B2688" s="232" t="s">
        <v>5</v>
      </c>
      <c r="C2688" s="182" t="s">
        <v>1328</v>
      </c>
      <c r="D2688" s="182"/>
      <c r="E2688" s="182"/>
      <c r="F2688" s="182"/>
      <c r="G2688" s="182"/>
      <c r="H2688" s="182"/>
      <c r="I2688" s="182"/>
      <c r="J2688" s="182"/>
      <c r="K2688" s="182"/>
      <c r="L2688" s="182"/>
      <c r="M2688" s="182"/>
      <c r="N2688" s="208">
        <f>SUM(N2686:N2687)</f>
        <v>12.959999999999997</v>
      </c>
      <c r="O2688" s="182"/>
      <c r="P2688" s="233"/>
      <c r="Q2688" s="224"/>
    </row>
    <row r="2689" spans="1:19" s="228" customFormat="1" ht="63" x14ac:dyDescent="0.25">
      <c r="A2689" s="226" t="str">
        <f>ORÇAMENTO!A520</f>
        <v>5.4.3</v>
      </c>
      <c r="B2689" s="227" t="str">
        <f>VLOOKUP(A2689,ORÇAMENTO!A:K,4,0)</f>
        <v>ESCAVAÇÃO MECANIZADA DE VALA COM PROF. ATÉ 1,5 M (MÉDIA MONTANTE E JUSANTE/UMA COMPOSIÇÃO POR TRECHO), ESCAVADEIRA (0,8 M3), LARG. DE 1,5 M A 2,5 M, EM SOLO DE 1A CATEGORIA, EM LOCAIS COM ALTO NÍVEL DE INTERFERÊNCIA. AF_09/2024</v>
      </c>
      <c r="C2689" s="173" t="str">
        <f>VLOOKUP(A2689,ORÇAMENTO!A:K,5,0)</f>
        <v>M³</v>
      </c>
      <c r="D2689" s="173">
        <f>SUM(E2693:O2693)</f>
        <v>0.61559999999999993</v>
      </c>
      <c r="E2689" s="173" t="s">
        <v>1718</v>
      </c>
      <c r="F2689" s="173" t="s">
        <v>1719</v>
      </c>
      <c r="G2689" s="173" t="s">
        <v>1720</v>
      </c>
      <c r="H2689" s="173" t="s">
        <v>1870</v>
      </c>
      <c r="I2689" s="173" t="s">
        <v>1721</v>
      </c>
      <c r="J2689" s="173" t="s">
        <v>1723</v>
      </c>
      <c r="K2689" s="173" t="s">
        <v>1724</v>
      </c>
      <c r="L2689" s="173" t="s">
        <v>1725</v>
      </c>
      <c r="M2689" s="173" t="s">
        <v>1726</v>
      </c>
      <c r="N2689" s="173" t="s">
        <v>1727</v>
      </c>
      <c r="O2689" s="173" t="s">
        <v>1728</v>
      </c>
      <c r="P2689" s="224"/>
      <c r="Q2689" s="224"/>
    </row>
    <row r="2690" spans="1:19" s="225" customFormat="1" ht="21" x14ac:dyDescent="0.25">
      <c r="A2690" s="229"/>
      <c r="B2690" s="230" t="s">
        <v>1868</v>
      </c>
      <c r="C2690" s="177"/>
      <c r="D2690" s="178"/>
      <c r="E2690" s="178"/>
      <c r="F2690" s="178"/>
      <c r="G2690" s="178"/>
      <c r="H2690" s="178"/>
      <c r="I2690" s="178"/>
      <c r="J2690" s="178"/>
      <c r="K2690" s="178"/>
      <c r="L2690" s="178"/>
      <c r="M2690" s="178"/>
      <c r="N2690" s="178"/>
      <c r="O2690" s="178"/>
      <c r="P2690" s="231"/>
      <c r="Q2690" s="224"/>
    </row>
    <row r="2691" spans="1:19" s="225" customFormat="1" ht="10.5" x14ac:dyDescent="0.25">
      <c r="A2691" s="229"/>
      <c r="B2691" s="230" t="s">
        <v>1618</v>
      </c>
      <c r="C2691" s="177"/>
      <c r="D2691" s="178"/>
      <c r="E2691" s="178">
        <v>1.8</v>
      </c>
      <c r="F2691" s="178">
        <v>1.8</v>
      </c>
      <c r="G2691" s="185">
        <f>H2691-0.03</f>
        <v>0.18999999999999997</v>
      </c>
      <c r="H2691" s="178">
        <v>0.21999999999999997</v>
      </c>
      <c r="I2691" s="178"/>
      <c r="J2691" s="178"/>
      <c r="K2691" s="178"/>
      <c r="L2691" s="178"/>
      <c r="M2691" s="178"/>
      <c r="N2691" s="178"/>
      <c r="O2691" s="178">
        <f>E2691*F2691*G2691</f>
        <v>0.61559999999999993</v>
      </c>
      <c r="P2691" s="231"/>
      <c r="Q2691" s="224"/>
    </row>
    <row r="2692" spans="1:19" s="225" customFormat="1" ht="10.5" x14ac:dyDescent="0.25">
      <c r="A2692" s="229"/>
      <c r="B2692" s="232"/>
      <c r="C2692" s="177"/>
      <c r="D2692" s="178"/>
      <c r="E2692" s="178"/>
      <c r="F2692" s="178"/>
      <c r="G2692" s="178"/>
      <c r="H2692" s="178"/>
      <c r="I2692" s="178"/>
      <c r="J2692" s="178"/>
      <c r="K2692" s="178"/>
      <c r="L2692" s="180"/>
      <c r="M2692" s="178"/>
      <c r="N2692" s="178"/>
      <c r="O2692" s="178"/>
      <c r="P2692" s="231"/>
      <c r="Q2692" s="224"/>
    </row>
    <row r="2693" spans="1:19" s="225" customFormat="1" ht="10.5" x14ac:dyDescent="0.25">
      <c r="A2693" s="229"/>
      <c r="B2693" s="232" t="s">
        <v>5</v>
      </c>
      <c r="C2693" s="182" t="s">
        <v>1328</v>
      </c>
      <c r="D2693" s="182"/>
      <c r="E2693" s="182"/>
      <c r="F2693" s="182"/>
      <c r="G2693" s="182"/>
      <c r="H2693" s="182"/>
      <c r="I2693" s="182"/>
      <c r="J2693" s="182"/>
      <c r="K2693" s="182"/>
      <c r="L2693" s="182"/>
      <c r="M2693" s="182"/>
      <c r="N2693" s="178"/>
      <c r="O2693" s="208">
        <f>SUM(O2691:O2692)</f>
        <v>0.61559999999999993</v>
      </c>
      <c r="P2693" s="233"/>
      <c r="Q2693" s="224"/>
    </row>
    <row r="2694" spans="1:19" s="228" customFormat="1" ht="63" x14ac:dyDescent="0.25">
      <c r="A2694" s="226" t="str">
        <f>ORÇAMENTO!A521</f>
        <v>5.4.4</v>
      </c>
      <c r="B2694" s="227" t="str">
        <f>VLOOKUP(A2694,ORÇAMENTO!A:K,4,0)</f>
        <v>ESCAVAÇÃO MECANIZADA DE VALA COM PROF. MAIOR QUE 1,50 M ATÉ 3,0 M (MÉDIA MONTANTE E JUSANTE/UMA COMPOSIÇÃO POR TRECHO), ESCAVADEIRA (1,2 M3), LARG. DE 1,5 M A 2,5 M, EM SOLO DE 1A CATEGORIA, EM LOCAIS COM ALTO NÍVEL DE INTERFERÊNCIA. AF_09/2024</v>
      </c>
      <c r="C2694" s="173" t="str">
        <f>VLOOKUP(A2694,ORÇAMENTO!A:K,5,0)</f>
        <v>M³</v>
      </c>
      <c r="D2694" s="173">
        <f>SUM(E2701:O2701)</f>
        <v>16.718399999999999</v>
      </c>
      <c r="E2694" s="173" t="s">
        <v>1718</v>
      </c>
      <c r="F2694" s="173" t="s">
        <v>1719</v>
      </c>
      <c r="G2694" s="173" t="s">
        <v>1720</v>
      </c>
      <c r="H2694" s="173" t="s">
        <v>1870</v>
      </c>
      <c r="I2694" s="173" t="s">
        <v>1722</v>
      </c>
      <c r="J2694" s="173" t="s">
        <v>1723</v>
      </c>
      <c r="K2694" s="173" t="s">
        <v>1724</v>
      </c>
      <c r="L2694" s="173" t="s">
        <v>1725</v>
      </c>
      <c r="M2694" s="173" t="s">
        <v>1726</v>
      </c>
      <c r="N2694" s="173" t="s">
        <v>1727</v>
      </c>
      <c r="O2694" s="173" t="s">
        <v>1728</v>
      </c>
      <c r="P2694" s="224"/>
      <c r="Q2694" s="224"/>
    </row>
    <row r="2695" spans="1:19" s="225" customFormat="1" ht="21" x14ac:dyDescent="0.25">
      <c r="A2695" s="229"/>
      <c r="B2695" s="230" t="s">
        <v>1868</v>
      </c>
      <c r="C2695" s="177"/>
      <c r="D2695" s="178"/>
      <c r="E2695" s="178"/>
      <c r="F2695" s="178"/>
      <c r="G2695" s="178"/>
      <c r="H2695" s="178"/>
      <c r="I2695" s="178"/>
      <c r="J2695" s="178"/>
      <c r="K2695" s="178"/>
      <c r="L2695" s="178"/>
      <c r="M2695" s="178"/>
      <c r="N2695" s="178"/>
      <c r="O2695" s="178"/>
      <c r="P2695" s="231"/>
      <c r="Q2695" s="224"/>
    </row>
    <row r="2696" spans="1:19" s="225" customFormat="1" ht="10.5" x14ac:dyDescent="0.25">
      <c r="A2696" s="229"/>
      <c r="B2696" s="230" t="s">
        <v>1609</v>
      </c>
      <c r="C2696" s="177"/>
      <c r="D2696" s="178"/>
      <c r="E2696" s="178">
        <v>1.8</v>
      </c>
      <c r="F2696" s="178">
        <v>1.8</v>
      </c>
      <c r="G2696" s="185">
        <f>H2696-0.03</f>
        <v>1.6299999999999997</v>
      </c>
      <c r="H2696" s="178">
        <v>1.6599999999999997</v>
      </c>
      <c r="I2696" s="178"/>
      <c r="J2696" s="178"/>
      <c r="K2696" s="178"/>
      <c r="L2696" s="178"/>
      <c r="M2696" s="178"/>
      <c r="N2696" s="178"/>
      <c r="O2696" s="178">
        <f>E2696*F2696*G2696</f>
        <v>5.2811999999999992</v>
      </c>
      <c r="P2696" s="231"/>
      <c r="Q2696" s="224"/>
    </row>
    <row r="2697" spans="1:19" s="225" customFormat="1" ht="10.5" x14ac:dyDescent="0.25">
      <c r="A2697" s="229"/>
      <c r="B2697" s="230" t="s">
        <v>1607</v>
      </c>
      <c r="C2697" s="177"/>
      <c r="D2697" s="178"/>
      <c r="E2697" s="178">
        <v>1.8</v>
      </c>
      <c r="F2697" s="178">
        <v>1.8</v>
      </c>
      <c r="G2697" s="185">
        <f>H2697-0.03</f>
        <v>1.8999999999999997</v>
      </c>
      <c r="H2697" s="178">
        <v>1.9299999999999997</v>
      </c>
      <c r="I2697" s="178"/>
      <c r="J2697" s="178"/>
      <c r="K2697" s="178"/>
      <c r="L2697" s="178"/>
      <c r="M2697" s="178"/>
      <c r="N2697" s="178"/>
      <c r="O2697" s="178">
        <f>E2697*F2697*G2697</f>
        <v>6.1559999999999997</v>
      </c>
      <c r="P2697" s="231"/>
      <c r="Q2697" s="224"/>
    </row>
    <row r="2698" spans="1:19" s="225" customFormat="1" ht="10.5" x14ac:dyDescent="0.25">
      <c r="A2698" s="229"/>
      <c r="B2698" s="230" t="s">
        <v>1609</v>
      </c>
      <c r="C2698" s="177"/>
      <c r="D2698" s="178"/>
      <c r="E2698" s="178">
        <v>1.8</v>
      </c>
      <c r="F2698" s="178">
        <v>1.8</v>
      </c>
      <c r="G2698" s="185">
        <f>H2698-0.03</f>
        <v>1.6299999999999997</v>
      </c>
      <c r="H2698" s="178">
        <v>1.6599999999999997</v>
      </c>
      <c r="I2698" s="178"/>
      <c r="J2698" s="178"/>
      <c r="K2698" s="178"/>
      <c r="L2698" s="178"/>
      <c r="M2698" s="178"/>
      <c r="N2698" s="178"/>
      <c r="O2698" s="178">
        <f>E2698*F2698*G2698</f>
        <v>5.2811999999999992</v>
      </c>
      <c r="P2698" s="231"/>
      <c r="Q2698" s="224"/>
    </row>
    <row r="2699" spans="1:19" s="225" customFormat="1" ht="10.5" x14ac:dyDescent="0.25">
      <c r="A2699" s="229"/>
      <c r="B2699" s="230"/>
      <c r="C2699" s="177"/>
      <c r="D2699" s="178"/>
      <c r="E2699" s="178"/>
      <c r="F2699" s="178"/>
      <c r="G2699" s="185"/>
      <c r="H2699" s="178"/>
      <c r="I2699" s="178"/>
      <c r="J2699" s="178"/>
      <c r="K2699" s="178"/>
      <c r="L2699" s="178"/>
      <c r="M2699" s="178"/>
      <c r="N2699" s="178"/>
      <c r="O2699" s="178">
        <f>E2699*F2699*G2699</f>
        <v>0</v>
      </c>
      <c r="P2699" s="231"/>
      <c r="Q2699" s="224"/>
    </row>
    <row r="2700" spans="1:19" s="225" customFormat="1" ht="10.5" x14ac:dyDescent="0.25">
      <c r="A2700" s="229"/>
      <c r="B2700" s="232"/>
      <c r="C2700" s="177"/>
      <c r="D2700" s="178"/>
      <c r="E2700" s="178"/>
      <c r="F2700" s="178"/>
      <c r="G2700" s="178"/>
      <c r="H2700" s="178"/>
      <c r="I2700" s="178"/>
      <c r="J2700" s="178"/>
      <c r="K2700" s="178"/>
      <c r="L2700" s="180"/>
      <c r="M2700" s="178"/>
      <c r="N2700" s="178"/>
      <c r="O2700" s="178"/>
      <c r="P2700" s="231"/>
      <c r="Q2700" s="224"/>
    </row>
    <row r="2701" spans="1:19" s="225" customFormat="1" ht="10.5" x14ac:dyDescent="0.25">
      <c r="A2701" s="229"/>
      <c r="B2701" s="232" t="s">
        <v>5</v>
      </c>
      <c r="C2701" s="182" t="s">
        <v>1328</v>
      </c>
      <c r="D2701" s="182"/>
      <c r="E2701" s="182"/>
      <c r="F2701" s="182"/>
      <c r="G2701" s="182"/>
      <c r="H2701" s="182"/>
      <c r="I2701" s="182"/>
      <c r="J2701" s="182"/>
      <c r="K2701" s="182"/>
      <c r="L2701" s="182"/>
      <c r="M2701" s="182"/>
      <c r="N2701" s="178"/>
      <c r="O2701" s="208">
        <f>SUM(O2696:O2700)</f>
        <v>16.718399999999999</v>
      </c>
      <c r="P2701" s="233"/>
      <c r="Q2701" s="224"/>
    </row>
    <row r="2702" spans="1:19" s="235" customFormat="1" ht="31.5" x14ac:dyDescent="0.35">
      <c r="A2702" s="226" t="str">
        <f>ORÇAMENTO!A522</f>
        <v>5.4.5</v>
      </c>
      <c r="B2702" s="227" t="str">
        <f>VLOOKUP(A2702,ORÇAMENTO!A:K,4,0)</f>
        <v>CHAMINÉ CIRCULAR PARA POÇO DE VISITA PARA DRENAGEM, EM CONCRETO PRÉ-MOLDADO, DIÂMETRO INTERNO = 0,6 M. AF_12/2020</v>
      </c>
      <c r="C2702" s="173" t="str">
        <f>VLOOKUP(A2702,ORÇAMENTO!A:K,5,0)</f>
        <v>M</v>
      </c>
      <c r="D2702" s="173">
        <f>SUM(E2709:O2709)</f>
        <v>5.3499999999999988</v>
      </c>
      <c r="E2702" s="173" t="s">
        <v>1718</v>
      </c>
      <c r="F2702" s="173" t="s">
        <v>1719</v>
      </c>
      <c r="G2702" s="173" t="s">
        <v>1720</v>
      </c>
      <c r="H2702" s="173" t="s">
        <v>1721</v>
      </c>
      <c r="I2702" s="173" t="s">
        <v>1722</v>
      </c>
      <c r="J2702" s="173" t="s">
        <v>1723</v>
      </c>
      <c r="K2702" s="173" t="s">
        <v>1746</v>
      </c>
      <c r="L2702" s="173" t="s">
        <v>1753</v>
      </c>
      <c r="M2702" s="173" t="s">
        <v>1726</v>
      </c>
      <c r="N2702" s="173" t="s">
        <v>1727</v>
      </c>
      <c r="O2702" s="173" t="s">
        <v>1728</v>
      </c>
      <c r="P2702" s="224"/>
      <c r="Q2702" s="224"/>
      <c r="R2702" s="224"/>
      <c r="S2702" s="224"/>
    </row>
    <row r="2703" spans="1:19" s="225" customFormat="1" ht="21" x14ac:dyDescent="0.3">
      <c r="A2703" s="229"/>
      <c r="B2703" s="230" t="s">
        <v>1868</v>
      </c>
      <c r="C2703" s="178"/>
      <c r="D2703" s="178"/>
      <c r="E2703" s="178"/>
      <c r="F2703" s="178"/>
      <c r="G2703" s="178"/>
      <c r="H2703" s="178"/>
      <c r="I2703" s="178"/>
      <c r="J2703" s="178"/>
      <c r="K2703" s="178"/>
      <c r="L2703" s="190"/>
      <c r="M2703" s="219">
        <f>M2685</f>
        <v>4</v>
      </c>
      <c r="N2703" s="178"/>
      <c r="O2703" s="178"/>
      <c r="P2703" s="244"/>
    </row>
    <row r="2704" spans="1:19" s="225" customFormat="1" ht="10.5" x14ac:dyDescent="0.3">
      <c r="A2704" s="229"/>
      <c r="B2704" s="230" t="str">
        <f>B2691</f>
        <v>PV1-50</v>
      </c>
      <c r="C2704" s="220"/>
      <c r="D2704" s="220"/>
      <c r="E2704" s="220"/>
      <c r="F2704" s="220"/>
      <c r="G2704" s="216">
        <f>G2691</f>
        <v>0.18999999999999997</v>
      </c>
      <c r="H2704" s="220"/>
      <c r="I2704" s="220"/>
      <c r="J2704" s="220"/>
      <c r="K2704" s="220"/>
      <c r="L2704" s="182"/>
      <c r="M2704" s="182"/>
      <c r="N2704" s="220"/>
      <c r="O2704" s="220"/>
      <c r="P2704" s="243"/>
    </row>
    <row r="2705" spans="1:19" s="225" customFormat="1" ht="10.5" x14ac:dyDescent="0.3">
      <c r="A2705" s="229"/>
      <c r="B2705" s="230" t="str">
        <f>B2696</f>
        <v>PV5-45</v>
      </c>
      <c r="C2705" s="220"/>
      <c r="D2705" s="220"/>
      <c r="E2705" s="220"/>
      <c r="F2705" s="220"/>
      <c r="G2705" s="216">
        <f>G2696</f>
        <v>1.6299999999999997</v>
      </c>
      <c r="H2705" s="220"/>
      <c r="I2705" s="220"/>
      <c r="J2705" s="220"/>
      <c r="K2705" s="220"/>
      <c r="L2705" s="182"/>
      <c r="M2705" s="182"/>
      <c r="N2705" s="220"/>
      <c r="O2705" s="220"/>
      <c r="P2705" s="243"/>
    </row>
    <row r="2706" spans="1:19" s="225" customFormat="1" ht="10.5" x14ac:dyDescent="0.3">
      <c r="A2706" s="229"/>
      <c r="B2706" s="230" t="str">
        <f>B2697</f>
        <v>PV3-45</v>
      </c>
      <c r="C2706" s="220"/>
      <c r="D2706" s="220"/>
      <c r="E2706" s="220"/>
      <c r="F2706" s="220"/>
      <c r="G2706" s="216">
        <f>G2697</f>
        <v>1.8999999999999997</v>
      </c>
      <c r="H2706" s="220"/>
      <c r="I2706" s="220"/>
      <c r="J2706" s="220"/>
      <c r="K2706" s="220"/>
      <c r="L2706" s="182"/>
      <c r="M2706" s="182"/>
      <c r="N2706" s="220"/>
      <c r="O2706" s="220"/>
      <c r="P2706" s="243"/>
    </row>
    <row r="2707" spans="1:19" s="225" customFormat="1" ht="10.5" x14ac:dyDescent="0.3">
      <c r="A2707" s="229"/>
      <c r="B2707" s="230" t="str">
        <f>B2698</f>
        <v>PV5-45</v>
      </c>
      <c r="C2707" s="220"/>
      <c r="D2707" s="220"/>
      <c r="E2707" s="220"/>
      <c r="F2707" s="220"/>
      <c r="G2707" s="216">
        <f>G2698</f>
        <v>1.6299999999999997</v>
      </c>
      <c r="H2707" s="220"/>
      <c r="I2707" s="220"/>
      <c r="J2707" s="220"/>
      <c r="K2707" s="220"/>
      <c r="L2707" s="182"/>
      <c r="M2707" s="182"/>
      <c r="N2707" s="220"/>
      <c r="O2707" s="220"/>
      <c r="P2707" s="243"/>
    </row>
    <row r="2708" spans="1:19" s="225" customFormat="1" ht="10.5" x14ac:dyDescent="0.3">
      <c r="A2708" s="229"/>
      <c r="B2708" s="232"/>
      <c r="C2708" s="220"/>
      <c r="D2708" s="220"/>
      <c r="E2708" s="220"/>
      <c r="F2708" s="220"/>
      <c r="G2708" s="220"/>
      <c r="H2708" s="220"/>
      <c r="I2708" s="220"/>
      <c r="J2708" s="220"/>
      <c r="K2708" s="220"/>
      <c r="L2708" s="182"/>
      <c r="M2708" s="182"/>
      <c r="N2708" s="220"/>
      <c r="O2708" s="220"/>
      <c r="P2708" s="243"/>
    </row>
    <row r="2709" spans="1:19" s="225" customFormat="1" ht="10.5" x14ac:dyDescent="0.25">
      <c r="A2709" s="229"/>
      <c r="B2709" s="232" t="s">
        <v>5</v>
      </c>
      <c r="C2709" s="182" t="s">
        <v>1328</v>
      </c>
      <c r="D2709" s="182"/>
      <c r="E2709" s="182"/>
      <c r="F2709" s="182"/>
      <c r="G2709" s="182">
        <f>SUM(G2704:G2708)</f>
        <v>5.3499999999999988</v>
      </c>
      <c r="I2709" s="182"/>
      <c r="J2709" s="182"/>
      <c r="K2709" s="182"/>
      <c r="L2709" s="182"/>
      <c r="M2709" s="182"/>
      <c r="N2709" s="182"/>
      <c r="O2709" s="182"/>
      <c r="P2709" s="233"/>
      <c r="Q2709" s="224"/>
    </row>
    <row r="2710" spans="1:19" s="235" customFormat="1" ht="31.5" x14ac:dyDescent="0.35">
      <c r="A2710" s="226" t="str">
        <f>ORÇAMENTO!A523</f>
        <v>5.4.6</v>
      </c>
      <c r="B2710" s="227" t="str">
        <f>VLOOKUP(A2710,ORÇAMENTO!A:K,4,0)</f>
        <v>FORNECIMENTO E ASSENTAMENTO DE TAMPÃO CIRCULAR PARA DRENAGEM, EM FERRO FUNDIDO, DIÂMETRO = 0,6 M</v>
      </c>
      <c r="C2710" s="173" t="str">
        <f>VLOOKUP(A2710,ORÇAMENTO!A:K,5,0)</f>
        <v>UN</v>
      </c>
      <c r="D2710" s="173">
        <f>SUM(E2713:O2713)</f>
        <v>4</v>
      </c>
      <c r="E2710" s="173" t="s">
        <v>1752</v>
      </c>
      <c r="F2710" s="173" t="s">
        <v>1719</v>
      </c>
      <c r="G2710" s="173" t="s">
        <v>1720</v>
      </c>
      <c r="H2710" s="173" t="s">
        <v>1721</v>
      </c>
      <c r="I2710" s="173" t="s">
        <v>1722</v>
      </c>
      <c r="J2710" s="173" t="s">
        <v>1723</v>
      </c>
      <c r="K2710" s="173" t="s">
        <v>1746</v>
      </c>
      <c r="L2710" s="173" t="s">
        <v>1753</v>
      </c>
      <c r="M2710" s="173" t="s">
        <v>1726</v>
      </c>
      <c r="N2710" s="173" t="s">
        <v>1727</v>
      </c>
      <c r="O2710" s="173" t="s">
        <v>1728</v>
      </c>
      <c r="P2710" s="224"/>
      <c r="Q2710" s="224"/>
      <c r="R2710" s="224"/>
      <c r="S2710" s="224"/>
    </row>
    <row r="2711" spans="1:19" s="225" customFormat="1" ht="21" x14ac:dyDescent="0.3">
      <c r="A2711" s="229"/>
      <c r="B2711" s="230" t="s">
        <v>1868</v>
      </c>
      <c r="C2711" s="178"/>
      <c r="D2711" s="178"/>
      <c r="E2711" s="178"/>
      <c r="F2711" s="178"/>
      <c r="G2711" s="178"/>
      <c r="H2711" s="178"/>
      <c r="I2711" s="178"/>
      <c r="J2711" s="178"/>
      <c r="K2711" s="178"/>
      <c r="L2711" s="190"/>
      <c r="M2711" s="219">
        <f>M2703</f>
        <v>4</v>
      </c>
      <c r="N2711" s="178"/>
      <c r="O2711" s="178"/>
      <c r="P2711" s="244"/>
    </row>
    <row r="2712" spans="1:19" s="225" customFormat="1" ht="10.5" x14ac:dyDescent="0.3">
      <c r="A2712" s="229"/>
      <c r="B2712" s="230"/>
      <c r="C2712" s="178"/>
      <c r="D2712" s="178"/>
      <c r="E2712" s="178"/>
      <c r="F2712" s="178"/>
      <c r="G2712" s="178"/>
      <c r="H2712" s="178"/>
      <c r="I2712" s="178"/>
      <c r="J2712" s="178"/>
      <c r="K2712" s="178"/>
      <c r="L2712" s="190"/>
      <c r="M2712" s="190"/>
      <c r="N2712" s="178"/>
      <c r="O2712" s="178"/>
      <c r="P2712" s="244"/>
    </row>
    <row r="2713" spans="1:19" s="225" customFormat="1" ht="10.5" x14ac:dyDescent="0.3">
      <c r="A2713" s="229"/>
      <c r="B2713" s="232" t="s">
        <v>5</v>
      </c>
      <c r="C2713" s="220" t="s">
        <v>1328</v>
      </c>
      <c r="D2713" s="220"/>
      <c r="E2713" s="220"/>
      <c r="F2713" s="220"/>
      <c r="G2713" s="220"/>
      <c r="H2713" s="220"/>
      <c r="I2713" s="220"/>
      <c r="J2713" s="220"/>
      <c r="K2713" s="220"/>
      <c r="L2713" s="182"/>
      <c r="M2713" s="182">
        <f>SUM(M2711:M2711)</f>
        <v>4</v>
      </c>
      <c r="N2713" s="220"/>
      <c r="O2713" s="220"/>
      <c r="P2713" s="243"/>
    </row>
    <row r="2714" spans="1:19" s="228" customFormat="1" ht="52.5" x14ac:dyDescent="0.25">
      <c r="A2714" s="226" t="str">
        <f>ORÇAMENTO!A524</f>
        <v>5.4.7</v>
      </c>
      <c r="B2714" s="227" t="str">
        <f>VLOOKUP(A2714,ORÇAMENTO!A:K,4,0)</f>
        <v>CONSTRUÇÃO DE PAVIMENTO COM APLICAÇÃO CONCRETO BETUMINOSO USINADO A QUENTE (CBUQ), CAMADA DE ROLAMENTO - EXCLUSIVE TRANSPORTE E CARGA  AF_03/2017 (SEM MATERIAL)</v>
      </c>
      <c r="C2714" s="173" t="str">
        <f>VLOOKUP(A2714,ORÇAMENTO!A:K,5,0)</f>
        <v>M³</v>
      </c>
      <c r="D2714" s="173">
        <f>SUM(E2721:O2721)</f>
        <v>0.35487079934123017</v>
      </c>
      <c r="E2714" s="173" t="s">
        <v>1718</v>
      </c>
      <c r="F2714" s="173" t="s">
        <v>1719</v>
      </c>
      <c r="G2714" s="173" t="s">
        <v>1720</v>
      </c>
      <c r="H2714" s="173" t="s">
        <v>1721</v>
      </c>
      <c r="I2714" s="173" t="s">
        <v>1722</v>
      </c>
      <c r="J2714" s="173" t="s">
        <v>1723</v>
      </c>
      <c r="K2714" s="173" t="s">
        <v>1724</v>
      </c>
      <c r="L2714" s="173" t="s">
        <v>1725</v>
      </c>
      <c r="M2714" s="173" t="s">
        <v>1726</v>
      </c>
      <c r="N2714" s="173" t="s">
        <v>1727</v>
      </c>
      <c r="O2714" s="173" t="s">
        <v>1728</v>
      </c>
      <c r="P2714" s="224"/>
      <c r="Q2714" s="224"/>
    </row>
    <row r="2715" spans="1:19" s="225" customFormat="1" ht="10.5" x14ac:dyDescent="0.25">
      <c r="A2715" s="229"/>
      <c r="B2715" s="232" t="s">
        <v>1745</v>
      </c>
      <c r="C2715" s="184"/>
      <c r="D2715" s="185"/>
      <c r="E2715" s="185"/>
      <c r="F2715" s="185"/>
      <c r="G2715" s="185"/>
      <c r="H2715" s="185"/>
      <c r="I2715" s="185"/>
      <c r="J2715" s="185"/>
      <c r="K2715" s="185"/>
      <c r="L2715" s="185"/>
      <c r="M2715" s="185"/>
      <c r="N2715" s="185"/>
      <c r="O2715" s="185"/>
      <c r="P2715" s="231"/>
      <c r="Q2715" s="224"/>
    </row>
    <row r="2716" spans="1:19" s="225" customFormat="1" ht="10.5" x14ac:dyDescent="0.25">
      <c r="A2716" s="229"/>
      <c r="B2716" s="230" t="s">
        <v>1872</v>
      </c>
      <c r="C2716" s="184"/>
      <c r="D2716" s="185"/>
      <c r="E2716" s="185"/>
      <c r="F2716" s="185"/>
      <c r="G2716" s="185"/>
      <c r="H2716" s="185">
        <v>0.03</v>
      </c>
      <c r="I2716" s="185"/>
      <c r="J2716" s="185"/>
      <c r="K2716" s="185"/>
      <c r="L2716" s="185"/>
      <c r="M2716" s="185"/>
      <c r="N2716" s="185">
        <f>N2686</f>
        <v>12.959999999999997</v>
      </c>
      <c r="O2716" s="185">
        <f>N2716*H2716</f>
        <v>0.38879999999999992</v>
      </c>
      <c r="P2716" s="231"/>
      <c r="Q2716" s="224"/>
    </row>
    <row r="2717" spans="1:19" s="225" customFormat="1" ht="10.5" x14ac:dyDescent="0.25">
      <c r="A2717" s="229"/>
      <c r="B2717" s="230" t="s">
        <v>1873</v>
      </c>
      <c r="C2717" s="184"/>
      <c r="D2717" s="185"/>
      <c r="E2717" s="185"/>
      <c r="F2717" s="185"/>
      <c r="G2717" s="185"/>
      <c r="H2717" s="185">
        <v>0.03</v>
      </c>
      <c r="I2717" s="185"/>
      <c r="J2717" s="185">
        <v>0.6</v>
      </c>
      <c r="K2717" s="185"/>
      <c r="L2717" s="185"/>
      <c r="M2717" s="185">
        <f>M2685</f>
        <v>4</v>
      </c>
      <c r="N2717" s="185">
        <f>PI()*(J2717/2)^2</f>
        <v>0.28274333882308139</v>
      </c>
      <c r="O2717" s="185">
        <f>M2717*N2717*H2717</f>
        <v>3.3929200658769768E-2</v>
      </c>
      <c r="P2717" s="231"/>
      <c r="Q2717" s="224"/>
    </row>
    <row r="2718" spans="1:19" s="225" customFormat="1" ht="10.5" x14ac:dyDescent="0.25">
      <c r="A2718" s="229"/>
      <c r="B2718" s="230"/>
      <c r="C2718" s="184"/>
      <c r="D2718" s="185"/>
      <c r="E2718" s="185"/>
      <c r="F2718" s="185"/>
      <c r="G2718" s="185"/>
      <c r="H2718" s="185"/>
      <c r="I2718" s="185"/>
      <c r="J2718" s="185"/>
      <c r="K2718" s="185"/>
      <c r="L2718" s="185"/>
      <c r="M2718" s="185"/>
      <c r="N2718" s="185"/>
      <c r="O2718" s="185"/>
      <c r="P2718" s="231"/>
      <c r="Q2718" s="224"/>
    </row>
    <row r="2719" spans="1:19" s="225" customFormat="1" ht="10.5" x14ac:dyDescent="0.25">
      <c r="A2719" s="229"/>
      <c r="B2719" s="230" t="s">
        <v>1784</v>
      </c>
      <c r="C2719" s="184"/>
      <c r="D2719" s="185"/>
      <c r="E2719" s="185"/>
      <c r="F2719" s="185"/>
      <c r="G2719" s="185"/>
      <c r="H2719" s="185"/>
      <c r="I2719" s="185"/>
      <c r="J2719" s="185"/>
      <c r="K2719" s="185"/>
      <c r="L2719" s="185"/>
      <c r="M2719" s="185"/>
      <c r="N2719" s="185"/>
      <c r="O2719" s="184">
        <f>O2716-O2717</f>
        <v>0.35487079934123017</v>
      </c>
      <c r="P2719" s="231"/>
      <c r="Q2719" s="224"/>
    </row>
    <row r="2720" spans="1:19" s="225" customFormat="1" ht="10.5" x14ac:dyDescent="0.25">
      <c r="A2720" s="229"/>
      <c r="B2720" s="230"/>
      <c r="C2720" s="184"/>
      <c r="D2720" s="185"/>
      <c r="E2720" s="185"/>
      <c r="F2720" s="185"/>
      <c r="G2720" s="185"/>
      <c r="H2720" s="185"/>
      <c r="I2720" s="185"/>
      <c r="J2720" s="185"/>
      <c r="K2720" s="185"/>
      <c r="L2720" s="186"/>
      <c r="M2720" s="185"/>
      <c r="N2720" s="185"/>
      <c r="O2720" s="185"/>
      <c r="P2720" s="231"/>
      <c r="Q2720" s="224"/>
    </row>
    <row r="2721" spans="1:17" s="225" customFormat="1" ht="10.5" x14ac:dyDescent="0.25">
      <c r="A2721" s="229"/>
      <c r="B2721" s="232" t="s">
        <v>5</v>
      </c>
      <c r="C2721" s="182" t="s">
        <v>1328</v>
      </c>
      <c r="D2721" s="182"/>
      <c r="E2721" s="182"/>
      <c r="F2721" s="182"/>
      <c r="G2721" s="182"/>
      <c r="H2721" s="182"/>
      <c r="I2721" s="182"/>
      <c r="J2721" s="182"/>
      <c r="K2721" s="182"/>
      <c r="L2721" s="182"/>
      <c r="M2721" s="182"/>
      <c r="N2721" s="182"/>
      <c r="O2721" s="182">
        <f>SUM(O2719:O2720)</f>
        <v>0.35487079934123017</v>
      </c>
      <c r="P2721" s="233"/>
      <c r="Q2721" s="224"/>
    </row>
    <row r="2722" spans="1:17" s="228" customFormat="1" ht="21" x14ac:dyDescent="0.25">
      <c r="A2722" s="226" t="str">
        <f>ORÇAMENTO!A525</f>
        <v>5.4.8</v>
      </c>
      <c r="B2722" s="227" t="str">
        <f>VLOOKUP(A2722,ORÇAMENTO!A:K,4,0)</f>
        <v>PINTURA DE LIGAÇÃO (SEM MATERIAL)</v>
      </c>
      <c r="C2722" s="173" t="str">
        <f>VLOOKUP(A2722,ORÇAMENTO!A:K,5,0)</f>
        <v>M²</v>
      </c>
      <c r="D2722" s="173">
        <f>SUM(E2730:O2730)</f>
        <v>11.829026644707675</v>
      </c>
      <c r="E2722" s="173" t="s">
        <v>1718</v>
      </c>
      <c r="F2722" s="173" t="s">
        <v>1719</v>
      </c>
      <c r="G2722" s="173" t="s">
        <v>1720</v>
      </c>
      <c r="H2722" s="173" t="s">
        <v>1721</v>
      </c>
      <c r="I2722" s="173" t="s">
        <v>1722</v>
      </c>
      <c r="J2722" s="173" t="s">
        <v>1723</v>
      </c>
      <c r="K2722" s="173" t="s">
        <v>1724</v>
      </c>
      <c r="L2722" s="173" t="s">
        <v>1725</v>
      </c>
      <c r="M2722" s="173" t="s">
        <v>1726</v>
      </c>
      <c r="N2722" s="173" t="s">
        <v>1727</v>
      </c>
      <c r="O2722" s="173" t="s">
        <v>1728</v>
      </c>
      <c r="P2722" s="224"/>
      <c r="Q2722" s="224"/>
    </row>
    <row r="2723" spans="1:17" s="225" customFormat="1" ht="10.5" x14ac:dyDescent="0.25">
      <c r="A2723" s="229"/>
      <c r="B2723" s="232"/>
      <c r="C2723" s="177"/>
      <c r="D2723" s="178"/>
      <c r="E2723" s="178"/>
      <c r="F2723" s="178"/>
      <c r="G2723" s="178"/>
      <c r="H2723" s="178"/>
      <c r="I2723" s="178"/>
      <c r="J2723" s="178"/>
      <c r="K2723" s="178"/>
      <c r="L2723" s="178"/>
      <c r="M2723" s="178"/>
      <c r="N2723" s="178"/>
      <c r="O2723" s="178"/>
      <c r="P2723" s="231"/>
      <c r="Q2723" s="224"/>
    </row>
    <row r="2724" spans="1:17" s="225" customFormat="1" ht="10.5" x14ac:dyDescent="0.25">
      <c r="A2724" s="229"/>
      <c r="B2724" s="230" t="s">
        <v>1874</v>
      </c>
      <c r="C2724" s="177"/>
      <c r="D2724" s="178"/>
      <c r="E2724" s="178"/>
      <c r="F2724" s="178"/>
      <c r="G2724" s="178"/>
      <c r="H2724" s="178"/>
      <c r="I2724" s="178"/>
      <c r="J2724" s="178"/>
      <c r="K2724" s="178"/>
      <c r="L2724" s="178"/>
      <c r="M2724" s="178"/>
      <c r="N2724" s="178"/>
      <c r="O2724" s="178"/>
      <c r="P2724" s="231"/>
      <c r="Q2724" s="224"/>
    </row>
    <row r="2725" spans="1:17" s="225" customFormat="1" ht="10.5" x14ac:dyDescent="0.25">
      <c r="A2725" s="229"/>
      <c r="B2725" s="230" t="str">
        <f>B2704</f>
        <v>PV1-50</v>
      </c>
      <c r="C2725" s="177"/>
      <c r="D2725" s="178"/>
      <c r="E2725" s="178">
        <v>1.8</v>
      </c>
      <c r="F2725" s="178">
        <v>1.8</v>
      </c>
      <c r="G2725" s="178"/>
      <c r="H2725" s="178"/>
      <c r="I2725" s="178"/>
      <c r="J2725" s="178">
        <v>0.6</v>
      </c>
      <c r="K2725" s="178"/>
      <c r="L2725" s="178"/>
      <c r="M2725" s="178"/>
      <c r="N2725" s="178">
        <f>(E2725*F2725)-(PI()*(J2725/2)^2)</f>
        <v>2.9572566611769187</v>
      </c>
      <c r="O2725" s="178"/>
      <c r="P2725" s="231"/>
      <c r="Q2725" s="224"/>
    </row>
    <row r="2726" spans="1:17" s="225" customFormat="1" ht="10.5" x14ac:dyDescent="0.25">
      <c r="A2726" s="229"/>
      <c r="B2726" s="230" t="str">
        <f>B2705</f>
        <v>PV5-45</v>
      </c>
      <c r="C2726" s="177"/>
      <c r="D2726" s="178"/>
      <c r="E2726" s="178">
        <v>1.8</v>
      </c>
      <c r="F2726" s="178">
        <v>1.8</v>
      </c>
      <c r="G2726" s="178"/>
      <c r="H2726" s="178"/>
      <c r="I2726" s="178"/>
      <c r="J2726" s="178">
        <v>0.6</v>
      </c>
      <c r="K2726" s="178"/>
      <c r="L2726" s="178"/>
      <c r="M2726" s="178"/>
      <c r="N2726" s="178">
        <f>(E2726*F2726)-(PI()*(J2726/2)^2)</f>
        <v>2.9572566611769187</v>
      </c>
      <c r="O2726" s="178"/>
      <c r="P2726" s="231"/>
      <c r="Q2726" s="224"/>
    </row>
    <row r="2727" spans="1:17" s="225" customFormat="1" ht="10.5" x14ac:dyDescent="0.25">
      <c r="A2727" s="229"/>
      <c r="B2727" s="230" t="str">
        <f>B2706</f>
        <v>PV3-45</v>
      </c>
      <c r="C2727" s="177"/>
      <c r="D2727" s="178"/>
      <c r="E2727" s="178">
        <v>1.8</v>
      </c>
      <c r="F2727" s="178">
        <v>1.8</v>
      </c>
      <c r="G2727" s="178"/>
      <c r="H2727" s="178"/>
      <c r="I2727" s="178"/>
      <c r="J2727" s="178">
        <v>0.6</v>
      </c>
      <c r="K2727" s="178"/>
      <c r="L2727" s="178"/>
      <c r="M2727" s="178"/>
      <c r="N2727" s="178">
        <f>(E2727*F2727)-(PI()*(J2727/2)^2)</f>
        <v>2.9572566611769187</v>
      </c>
      <c r="O2727" s="178"/>
      <c r="P2727" s="231"/>
      <c r="Q2727" s="224"/>
    </row>
    <row r="2728" spans="1:17" s="225" customFormat="1" ht="10.5" x14ac:dyDescent="0.25">
      <c r="A2728" s="229"/>
      <c r="B2728" s="230" t="str">
        <f>B2707</f>
        <v>PV5-45</v>
      </c>
      <c r="C2728" s="177"/>
      <c r="D2728" s="178"/>
      <c r="E2728" s="178">
        <v>1.8</v>
      </c>
      <c r="F2728" s="178">
        <v>1.8</v>
      </c>
      <c r="G2728" s="178"/>
      <c r="H2728" s="178"/>
      <c r="I2728" s="178"/>
      <c r="J2728" s="178">
        <v>0.6</v>
      </c>
      <c r="K2728" s="178"/>
      <c r="L2728" s="178"/>
      <c r="M2728" s="178"/>
      <c r="N2728" s="178">
        <f>(E2728*F2728)-(PI()*(J2728/2)^2)</f>
        <v>2.9572566611769187</v>
      </c>
      <c r="O2728" s="178"/>
      <c r="P2728" s="231"/>
      <c r="Q2728" s="224"/>
    </row>
    <row r="2729" spans="1:17" s="225" customFormat="1" ht="10.5" x14ac:dyDescent="0.25">
      <c r="A2729" s="229"/>
      <c r="B2729" s="230"/>
      <c r="C2729" s="177"/>
      <c r="D2729" s="178"/>
      <c r="E2729" s="178"/>
      <c r="F2729" s="178"/>
      <c r="G2729" s="178"/>
      <c r="H2729" s="178"/>
      <c r="I2729" s="178"/>
      <c r="J2729" s="178"/>
      <c r="K2729" s="178"/>
      <c r="L2729" s="180"/>
      <c r="M2729" s="178"/>
      <c r="N2729" s="178"/>
      <c r="O2729" s="178"/>
      <c r="P2729" s="231"/>
      <c r="Q2729" s="224"/>
    </row>
    <row r="2730" spans="1:17" s="225" customFormat="1" ht="10.5" x14ac:dyDescent="0.25">
      <c r="A2730" s="229"/>
      <c r="B2730" s="232" t="s">
        <v>5</v>
      </c>
      <c r="C2730" s="182" t="s">
        <v>1328</v>
      </c>
      <c r="D2730" s="182"/>
      <c r="E2730" s="182"/>
      <c r="F2730" s="182"/>
      <c r="G2730" s="182"/>
      <c r="H2730" s="182"/>
      <c r="I2730" s="182"/>
      <c r="J2730" s="182"/>
      <c r="K2730" s="182"/>
      <c r="L2730" s="182"/>
      <c r="M2730" s="182"/>
      <c r="N2730" s="182">
        <f>SUM(N2725:N2729)</f>
        <v>11.829026644707675</v>
      </c>
      <c r="O2730" s="182"/>
      <c r="P2730" s="233"/>
      <c r="Q2730" s="224"/>
    </row>
    <row r="2731" spans="1:17" s="228" customFormat="1" ht="21" x14ac:dyDescent="0.25">
      <c r="A2731" s="226" t="str">
        <f>ORÇAMENTO!A526</f>
        <v>5.4.9</v>
      </c>
      <c r="B2731" s="227" t="str">
        <f>VLOOKUP(A2731,ORÇAMENTO!A:K,4,0)</f>
        <v>IMPRIMAÇÃO COM EMULSÃO ASFÁLTICA (SEM MATERIAL)</v>
      </c>
      <c r="C2731" s="173" t="str">
        <f>VLOOKUP(A2731,ORÇAMENTO!A:K,5,0)</f>
        <v>M²</v>
      </c>
      <c r="D2731" s="173">
        <f>SUM(E2739:O2739)</f>
        <v>11.829026644707675</v>
      </c>
      <c r="E2731" s="173" t="s">
        <v>1718</v>
      </c>
      <c r="F2731" s="173" t="s">
        <v>1719</v>
      </c>
      <c r="G2731" s="173" t="s">
        <v>1720</v>
      </c>
      <c r="H2731" s="173" t="s">
        <v>1721</v>
      </c>
      <c r="I2731" s="173" t="s">
        <v>1722</v>
      </c>
      <c r="J2731" s="173" t="s">
        <v>1723</v>
      </c>
      <c r="K2731" s="173" t="s">
        <v>1724</v>
      </c>
      <c r="L2731" s="173" t="s">
        <v>1725</v>
      </c>
      <c r="M2731" s="173" t="s">
        <v>1726</v>
      </c>
      <c r="N2731" s="173" t="s">
        <v>1727</v>
      </c>
      <c r="O2731" s="173" t="s">
        <v>1728</v>
      </c>
      <c r="P2731" s="224"/>
      <c r="Q2731" s="224"/>
    </row>
    <row r="2732" spans="1:17" s="225" customFormat="1" ht="10.5" x14ac:dyDescent="0.25">
      <c r="A2732" s="229"/>
      <c r="B2732" s="232"/>
      <c r="C2732" s="177"/>
      <c r="D2732" s="178"/>
      <c r="E2732" s="178"/>
      <c r="F2732" s="178"/>
      <c r="G2732" s="178"/>
      <c r="H2732" s="178"/>
      <c r="I2732" s="178"/>
      <c r="J2732" s="178"/>
      <c r="K2732" s="178"/>
      <c r="L2732" s="178"/>
      <c r="M2732" s="178"/>
      <c r="N2732" s="178"/>
      <c r="O2732" s="178"/>
      <c r="P2732" s="231"/>
      <c r="Q2732" s="224"/>
    </row>
    <row r="2733" spans="1:17" s="225" customFormat="1" ht="10.5" x14ac:dyDescent="0.25">
      <c r="A2733" s="229"/>
      <c r="B2733" s="230" t="str">
        <f>B2724</f>
        <v>ÁREA = ÁREA DEMOLIDA - ÁREA DO PV</v>
      </c>
      <c r="C2733" s="177"/>
      <c r="D2733" s="178"/>
      <c r="E2733" s="178"/>
      <c r="F2733" s="178"/>
      <c r="G2733" s="178"/>
      <c r="H2733" s="178"/>
      <c r="I2733" s="178"/>
      <c r="J2733" s="178"/>
      <c r="K2733" s="178"/>
      <c r="L2733" s="178"/>
      <c r="M2733" s="178"/>
      <c r="N2733" s="178"/>
      <c r="O2733" s="178"/>
      <c r="P2733" s="231"/>
      <c r="Q2733" s="224"/>
    </row>
    <row r="2734" spans="1:17" s="225" customFormat="1" ht="10.5" x14ac:dyDescent="0.25">
      <c r="A2734" s="229"/>
      <c r="B2734" s="230" t="str">
        <f>B2725</f>
        <v>PV1-50</v>
      </c>
      <c r="C2734" s="177"/>
      <c r="D2734" s="178"/>
      <c r="E2734" s="178">
        <v>1.8</v>
      </c>
      <c r="F2734" s="178">
        <v>1.8</v>
      </c>
      <c r="G2734" s="178"/>
      <c r="H2734" s="178"/>
      <c r="I2734" s="178"/>
      <c r="J2734" s="178">
        <v>0.6</v>
      </c>
      <c r="K2734" s="178"/>
      <c r="L2734" s="178"/>
      <c r="M2734" s="178"/>
      <c r="N2734" s="178">
        <f>(E2734*F2734)-(PI()*(J2734/2)^2)</f>
        <v>2.9572566611769187</v>
      </c>
      <c r="O2734" s="178"/>
      <c r="P2734" s="231"/>
      <c r="Q2734" s="224"/>
    </row>
    <row r="2735" spans="1:17" s="225" customFormat="1" ht="10.5" x14ac:dyDescent="0.25">
      <c r="A2735" s="229"/>
      <c r="B2735" s="230" t="str">
        <f>B2726</f>
        <v>PV5-45</v>
      </c>
      <c r="C2735" s="177"/>
      <c r="D2735" s="178"/>
      <c r="E2735" s="178">
        <v>1.8</v>
      </c>
      <c r="F2735" s="178">
        <v>1.8</v>
      </c>
      <c r="G2735" s="178"/>
      <c r="H2735" s="178"/>
      <c r="I2735" s="178"/>
      <c r="J2735" s="178">
        <v>0.6</v>
      </c>
      <c r="K2735" s="178"/>
      <c r="L2735" s="178"/>
      <c r="M2735" s="178"/>
      <c r="N2735" s="178">
        <f>(E2735*F2735)-(PI()*(J2735/2)^2)</f>
        <v>2.9572566611769187</v>
      </c>
      <c r="O2735" s="178"/>
      <c r="P2735" s="231"/>
      <c r="Q2735" s="224"/>
    </row>
    <row r="2736" spans="1:17" s="225" customFormat="1" ht="10.5" x14ac:dyDescent="0.25">
      <c r="A2736" s="229"/>
      <c r="B2736" s="230" t="str">
        <f>B2727</f>
        <v>PV3-45</v>
      </c>
      <c r="C2736" s="177"/>
      <c r="D2736" s="178"/>
      <c r="E2736" s="178">
        <v>1.8</v>
      </c>
      <c r="F2736" s="178">
        <v>1.8</v>
      </c>
      <c r="G2736" s="178"/>
      <c r="H2736" s="178"/>
      <c r="I2736" s="178"/>
      <c r="J2736" s="178">
        <v>0.6</v>
      </c>
      <c r="K2736" s="178"/>
      <c r="L2736" s="178"/>
      <c r="M2736" s="178"/>
      <c r="N2736" s="178">
        <f>(E2736*F2736)-(PI()*(J2736/2)^2)</f>
        <v>2.9572566611769187</v>
      </c>
      <c r="O2736" s="178"/>
      <c r="P2736" s="231"/>
      <c r="Q2736" s="224"/>
    </row>
    <row r="2737" spans="1:17" s="225" customFormat="1" ht="10.5" x14ac:dyDescent="0.25">
      <c r="A2737" s="229"/>
      <c r="B2737" s="230" t="str">
        <f>B2728</f>
        <v>PV5-45</v>
      </c>
      <c r="C2737" s="177"/>
      <c r="D2737" s="178"/>
      <c r="E2737" s="178">
        <v>1.8</v>
      </c>
      <c r="F2737" s="178">
        <v>1.8</v>
      </c>
      <c r="G2737" s="178"/>
      <c r="H2737" s="178"/>
      <c r="I2737" s="178"/>
      <c r="J2737" s="178">
        <v>0.6</v>
      </c>
      <c r="K2737" s="178"/>
      <c r="L2737" s="178"/>
      <c r="M2737" s="178"/>
      <c r="N2737" s="178">
        <f>(E2737*F2737)-(PI()*(J2737/2)^2)</f>
        <v>2.9572566611769187</v>
      </c>
      <c r="O2737" s="178"/>
      <c r="P2737" s="231"/>
      <c r="Q2737" s="224"/>
    </row>
    <row r="2738" spans="1:17" s="225" customFormat="1" ht="10.5" x14ac:dyDescent="0.25">
      <c r="A2738" s="229"/>
      <c r="B2738" s="230"/>
      <c r="C2738" s="177"/>
      <c r="D2738" s="178"/>
      <c r="E2738" s="178"/>
      <c r="F2738" s="178"/>
      <c r="G2738" s="178"/>
      <c r="H2738" s="178"/>
      <c r="I2738" s="178"/>
      <c r="J2738" s="178"/>
      <c r="K2738" s="178"/>
      <c r="L2738" s="180"/>
      <c r="M2738" s="178"/>
      <c r="N2738" s="178"/>
      <c r="O2738" s="178"/>
      <c r="P2738" s="231"/>
      <c r="Q2738" s="224"/>
    </row>
    <row r="2739" spans="1:17" s="225" customFormat="1" ht="10.5" x14ac:dyDescent="0.25">
      <c r="A2739" s="229"/>
      <c r="B2739" s="232" t="s">
        <v>5</v>
      </c>
      <c r="C2739" s="182" t="s">
        <v>1328</v>
      </c>
      <c r="D2739" s="182"/>
      <c r="E2739" s="182"/>
      <c r="F2739" s="182"/>
      <c r="G2739" s="182"/>
      <c r="H2739" s="182"/>
      <c r="I2739" s="182"/>
      <c r="J2739" s="182"/>
      <c r="K2739" s="182"/>
      <c r="L2739" s="182"/>
      <c r="M2739" s="182"/>
      <c r="N2739" s="182">
        <f>SUM(N2734:N2738)</f>
        <v>11.829026644707675</v>
      </c>
      <c r="O2739" s="182"/>
      <c r="P2739" s="233"/>
      <c r="Q2739" s="224"/>
    </row>
    <row r="2740" spans="1:17" s="228" customFormat="1" ht="21" x14ac:dyDescent="0.25">
      <c r="A2740" s="226" t="str">
        <f>ORÇAMENTO!A527</f>
        <v>5.4.10</v>
      </c>
      <c r="B2740" s="227" t="str">
        <f>VLOOKUP(A2740,ORÇAMENTO!A:K,4,0)</f>
        <v>BASE OU SUB-BASE DE BRITA GRADUADA COM BRITA COMERCIAL</v>
      </c>
      <c r="C2740" s="173" t="str">
        <f>VLOOKUP(A2740,ORÇAMENTO!A:K,5,0)</f>
        <v>M³</v>
      </c>
      <c r="D2740" s="173">
        <f>SUM(E2748:O2748)</f>
        <v>1.7743539967061512</v>
      </c>
      <c r="E2740" s="173" t="s">
        <v>1718</v>
      </c>
      <c r="F2740" s="173" t="s">
        <v>1719</v>
      </c>
      <c r="G2740" s="173" t="s">
        <v>1720</v>
      </c>
      <c r="H2740" s="173" t="s">
        <v>1721</v>
      </c>
      <c r="I2740" s="173" t="s">
        <v>1722</v>
      </c>
      <c r="J2740" s="173" t="s">
        <v>1723</v>
      </c>
      <c r="K2740" s="173" t="s">
        <v>1724</v>
      </c>
      <c r="L2740" s="173" t="s">
        <v>1725</v>
      </c>
      <c r="M2740" s="173" t="s">
        <v>1726</v>
      </c>
      <c r="N2740" s="173" t="s">
        <v>1727</v>
      </c>
      <c r="O2740" s="173" t="s">
        <v>1728</v>
      </c>
      <c r="P2740" s="224"/>
      <c r="Q2740" s="224"/>
    </row>
    <row r="2741" spans="1:17" s="225" customFormat="1" ht="10.5" x14ac:dyDescent="0.25">
      <c r="A2741" s="229"/>
      <c r="B2741" s="232" t="s">
        <v>1875</v>
      </c>
      <c r="C2741" s="177"/>
      <c r="D2741" s="178"/>
      <c r="E2741" s="178"/>
      <c r="F2741" s="178"/>
      <c r="G2741" s="178">
        <v>0.15</v>
      </c>
      <c r="H2741" s="178"/>
      <c r="I2741" s="178"/>
      <c r="J2741" s="178"/>
      <c r="K2741" s="178"/>
      <c r="L2741" s="178"/>
      <c r="M2741" s="178"/>
      <c r="N2741" s="178"/>
      <c r="O2741" s="178"/>
      <c r="P2741" s="231"/>
      <c r="Q2741" s="224"/>
    </row>
    <row r="2742" spans="1:17" s="225" customFormat="1" ht="10.5" x14ac:dyDescent="0.25">
      <c r="A2742" s="229"/>
      <c r="B2742" s="230" t="s">
        <v>1876</v>
      </c>
      <c r="C2742" s="177"/>
      <c r="D2742" s="178"/>
      <c r="E2742" s="178"/>
      <c r="F2742" s="178"/>
      <c r="G2742" s="178"/>
      <c r="H2742" s="178"/>
      <c r="I2742" s="178"/>
      <c r="J2742" s="178"/>
      <c r="K2742" s="178"/>
      <c r="L2742" s="178"/>
      <c r="M2742" s="178"/>
      <c r="N2742" s="178"/>
      <c r="O2742" s="178"/>
      <c r="P2742" s="231"/>
      <c r="Q2742" s="224"/>
    </row>
    <row r="2743" spans="1:17" s="225" customFormat="1" ht="10.5" x14ac:dyDescent="0.25">
      <c r="A2743" s="229"/>
      <c r="B2743" s="230" t="str">
        <f>B2704</f>
        <v>PV1-50</v>
      </c>
      <c r="C2743" s="177"/>
      <c r="D2743" s="178"/>
      <c r="E2743" s="178">
        <v>1.8</v>
      </c>
      <c r="F2743" s="178">
        <v>1.8</v>
      </c>
      <c r="G2743" s="178">
        <f>IF(G2704&gt;=$G$2741,$G$2741,G2704)</f>
        <v>0.15</v>
      </c>
      <c r="H2743" s="178"/>
      <c r="I2743" s="178"/>
      <c r="J2743" s="178">
        <v>0.6</v>
      </c>
      <c r="K2743" s="178"/>
      <c r="L2743" s="178"/>
      <c r="M2743" s="178"/>
      <c r="N2743" s="178">
        <f>(E2743*F2743)-(PI()*(J2743/2)^2)</f>
        <v>2.9572566611769187</v>
      </c>
      <c r="O2743" s="178">
        <f>N2743*G2743</f>
        <v>0.44358849917653781</v>
      </c>
      <c r="P2743" s="231"/>
      <c r="Q2743" s="224"/>
    </row>
    <row r="2744" spans="1:17" s="225" customFormat="1" ht="10.5" x14ac:dyDescent="0.25">
      <c r="A2744" s="229"/>
      <c r="B2744" s="230" t="str">
        <f>B2705</f>
        <v>PV5-45</v>
      </c>
      <c r="C2744" s="177"/>
      <c r="D2744" s="178"/>
      <c r="E2744" s="178">
        <v>1.8</v>
      </c>
      <c r="F2744" s="178">
        <v>1.8</v>
      </c>
      <c r="G2744" s="178">
        <f>IF(G2705&gt;=$G$2741,$G$2741,G2705)</f>
        <v>0.15</v>
      </c>
      <c r="H2744" s="178"/>
      <c r="I2744" s="178"/>
      <c r="J2744" s="178">
        <v>0.6</v>
      </c>
      <c r="K2744" s="178"/>
      <c r="L2744" s="178"/>
      <c r="M2744" s="178"/>
      <c r="N2744" s="178">
        <f>(E2744*F2744)-(PI()*(J2744/2)^2)</f>
        <v>2.9572566611769187</v>
      </c>
      <c r="O2744" s="178">
        <f>N2744*G2744</f>
        <v>0.44358849917653781</v>
      </c>
      <c r="P2744" s="231"/>
      <c r="Q2744" s="224"/>
    </row>
    <row r="2745" spans="1:17" s="225" customFormat="1" ht="10.5" x14ac:dyDescent="0.25">
      <c r="A2745" s="229"/>
      <c r="B2745" s="230" t="str">
        <f>B2706</f>
        <v>PV3-45</v>
      </c>
      <c r="C2745" s="177"/>
      <c r="D2745" s="178"/>
      <c r="E2745" s="178">
        <v>1.8</v>
      </c>
      <c r="F2745" s="178">
        <v>1.8</v>
      </c>
      <c r="G2745" s="178">
        <f>IF(G2706&gt;=$G$2741,$G$2741,G2706)</f>
        <v>0.15</v>
      </c>
      <c r="H2745" s="178"/>
      <c r="I2745" s="178"/>
      <c r="J2745" s="178">
        <v>0.6</v>
      </c>
      <c r="K2745" s="178"/>
      <c r="L2745" s="178"/>
      <c r="M2745" s="178"/>
      <c r="N2745" s="178">
        <f>(E2745*F2745)-(PI()*(J2745/2)^2)</f>
        <v>2.9572566611769187</v>
      </c>
      <c r="O2745" s="178">
        <f>N2745*G2745</f>
        <v>0.44358849917653781</v>
      </c>
      <c r="P2745" s="231"/>
      <c r="Q2745" s="224"/>
    </row>
    <row r="2746" spans="1:17" s="225" customFormat="1" ht="10.5" x14ac:dyDescent="0.25">
      <c r="A2746" s="229"/>
      <c r="B2746" s="230" t="str">
        <f>B2707</f>
        <v>PV5-45</v>
      </c>
      <c r="C2746" s="177"/>
      <c r="D2746" s="178"/>
      <c r="E2746" s="178">
        <v>1.8</v>
      </c>
      <c r="F2746" s="178">
        <v>1.8</v>
      </c>
      <c r="G2746" s="178">
        <f>IF(G2707&gt;=$G$2741,$G$2741,G2707)</f>
        <v>0.15</v>
      </c>
      <c r="H2746" s="178"/>
      <c r="I2746" s="178"/>
      <c r="J2746" s="178">
        <v>0.6</v>
      </c>
      <c r="K2746" s="178"/>
      <c r="L2746" s="178"/>
      <c r="M2746" s="178"/>
      <c r="N2746" s="178">
        <f>(E2746*F2746)-(PI()*(J2746/2)^2)</f>
        <v>2.9572566611769187</v>
      </c>
      <c r="O2746" s="178">
        <f>N2746*G2746</f>
        <v>0.44358849917653781</v>
      </c>
      <c r="P2746" s="231"/>
      <c r="Q2746" s="224"/>
    </row>
    <row r="2747" spans="1:17" s="225" customFormat="1" ht="10.5" x14ac:dyDescent="0.25">
      <c r="A2747" s="229"/>
      <c r="B2747" s="230"/>
      <c r="C2747" s="177"/>
      <c r="D2747" s="178"/>
      <c r="E2747" s="178"/>
      <c r="F2747" s="178"/>
      <c r="G2747" s="178"/>
      <c r="H2747" s="178"/>
      <c r="I2747" s="178"/>
      <c r="J2747" s="178"/>
      <c r="K2747" s="178"/>
      <c r="L2747" s="180"/>
      <c r="M2747" s="178"/>
      <c r="N2747" s="178"/>
      <c r="O2747" s="178"/>
      <c r="P2747" s="231"/>
      <c r="Q2747" s="224"/>
    </row>
    <row r="2748" spans="1:17" s="225" customFormat="1" ht="10.5" x14ac:dyDescent="0.25">
      <c r="A2748" s="229"/>
      <c r="B2748" s="232" t="s">
        <v>5</v>
      </c>
      <c r="C2748" s="182" t="s">
        <v>1328</v>
      </c>
      <c r="D2748" s="182"/>
      <c r="E2748" s="182"/>
      <c r="F2748" s="182"/>
      <c r="G2748" s="182"/>
      <c r="H2748" s="182"/>
      <c r="I2748" s="182"/>
      <c r="J2748" s="182"/>
      <c r="K2748" s="182"/>
      <c r="L2748" s="182"/>
      <c r="M2748" s="182"/>
      <c r="N2748" s="182"/>
      <c r="O2748" s="182">
        <f>SUM(O2743:O2747)</f>
        <v>1.7743539967061512</v>
      </c>
      <c r="P2748" s="233"/>
      <c r="Q2748" s="224"/>
    </row>
    <row r="2749" spans="1:17" s="228" customFormat="1" ht="52.5" x14ac:dyDescent="0.25">
      <c r="A2749" s="226" t="str">
        <f>ORÇAMENTO!A528</f>
        <v>5.4.11</v>
      </c>
      <c r="B2749" s="227" t="str">
        <f>VLOOKUP(A2749,ORÇAMENTO!A:K,4,0)</f>
        <v>EXECUÇÃO E COMPACTAÇÃO DE BASE E OU SUB BASE PARA PAVIMENTAÇÃO DE SOLO (PREDOMINANTEMENTE ARENOSO) COM CAL (TEOR DE 4%) - EXCLUSIVE SOLO, ESCAVAÇÃO, CARGA E TRANSPORTE.</v>
      </c>
      <c r="C2749" s="173" t="str">
        <f>VLOOKUP(A2749,ORÇAMENTO!A:K,5,0)</f>
        <v>M³</v>
      </c>
      <c r="D2749" s="173">
        <f>SUM(E2757:O2757)</f>
        <v>1.4490557639766901</v>
      </c>
      <c r="E2749" s="173" t="s">
        <v>1718</v>
      </c>
      <c r="F2749" s="173" t="s">
        <v>1719</v>
      </c>
      <c r="G2749" s="173" t="s">
        <v>1720</v>
      </c>
      <c r="H2749" s="173" t="s">
        <v>1721</v>
      </c>
      <c r="I2749" s="173" t="s">
        <v>1722</v>
      </c>
      <c r="J2749" s="173" t="s">
        <v>1723</v>
      </c>
      <c r="K2749" s="173" t="s">
        <v>1724</v>
      </c>
      <c r="L2749" s="173" t="s">
        <v>1725</v>
      </c>
      <c r="M2749" s="173" t="s">
        <v>1726</v>
      </c>
      <c r="N2749" s="173" t="s">
        <v>1727</v>
      </c>
      <c r="O2749" s="173" t="s">
        <v>1728</v>
      </c>
      <c r="P2749" s="224"/>
      <c r="Q2749" s="224"/>
    </row>
    <row r="2750" spans="1:17" s="225" customFormat="1" ht="10.5" x14ac:dyDescent="0.25">
      <c r="A2750" s="229"/>
      <c r="B2750" s="232" t="s">
        <v>1877</v>
      </c>
      <c r="C2750" s="177"/>
      <c r="D2750" s="178"/>
      <c r="E2750" s="178"/>
      <c r="F2750" s="178"/>
      <c r="G2750" s="177">
        <v>0.15</v>
      </c>
      <c r="H2750" s="178"/>
      <c r="I2750" s="178"/>
      <c r="J2750" s="178"/>
      <c r="K2750" s="178"/>
      <c r="L2750" s="178"/>
      <c r="M2750" s="178"/>
      <c r="N2750" s="178"/>
      <c r="O2750" s="178"/>
      <c r="P2750" s="231"/>
      <c r="Q2750" s="224"/>
    </row>
    <row r="2751" spans="1:17" s="225" customFormat="1" ht="10.5" x14ac:dyDescent="0.25">
      <c r="A2751" s="229"/>
      <c r="B2751" s="230" t="s">
        <v>1876</v>
      </c>
      <c r="C2751" s="177"/>
      <c r="D2751" s="178"/>
      <c r="E2751" s="178"/>
      <c r="F2751" s="178"/>
      <c r="G2751" s="178"/>
      <c r="H2751" s="178"/>
      <c r="I2751" s="178"/>
      <c r="J2751" s="178"/>
      <c r="K2751" s="178"/>
      <c r="L2751" s="178"/>
      <c r="M2751" s="178"/>
      <c r="N2751" s="178"/>
      <c r="O2751" s="178"/>
      <c r="P2751" s="231"/>
      <c r="Q2751" s="224"/>
    </row>
    <row r="2752" spans="1:17" s="225" customFormat="1" ht="10.5" x14ac:dyDescent="0.25">
      <c r="A2752" s="229"/>
      <c r="B2752" s="230" t="str">
        <f>B2743</f>
        <v>PV1-50</v>
      </c>
      <c r="C2752" s="177"/>
      <c r="D2752" s="178"/>
      <c r="E2752" s="178">
        <v>1.8</v>
      </c>
      <c r="F2752" s="178">
        <v>1.8</v>
      </c>
      <c r="G2752" s="178">
        <f>IF(G2704&gt;0.15,IF(G2704&gt;=0.3,0.15,G2704-0.15),0)</f>
        <v>3.999999999999998E-2</v>
      </c>
      <c r="H2752" s="178"/>
      <c r="I2752" s="178"/>
      <c r="J2752" s="178">
        <v>0.6</v>
      </c>
      <c r="K2752" s="178"/>
      <c r="L2752" s="178"/>
      <c r="M2752" s="178"/>
      <c r="N2752" s="178">
        <f>(E2752*F2752)-(PI()*(J2752/2)^2)</f>
        <v>2.9572566611769187</v>
      </c>
      <c r="O2752" s="178">
        <f>N2752*G2752</f>
        <v>0.11829026644707669</v>
      </c>
      <c r="P2752" s="231"/>
      <c r="Q2752" s="224"/>
    </row>
    <row r="2753" spans="1:17" s="225" customFormat="1" ht="10.5" x14ac:dyDescent="0.25">
      <c r="A2753" s="229"/>
      <c r="B2753" s="230" t="str">
        <f>B2744</f>
        <v>PV5-45</v>
      </c>
      <c r="C2753" s="177"/>
      <c r="D2753" s="178"/>
      <c r="E2753" s="178">
        <v>1.8</v>
      </c>
      <c r="F2753" s="178">
        <v>1.8</v>
      </c>
      <c r="G2753" s="178">
        <f>IF(G2705&gt;0.15,IF(G2705&gt;=0.3,0.15,G2705-0.15),0)</f>
        <v>0.15</v>
      </c>
      <c r="H2753" s="178"/>
      <c r="I2753" s="178"/>
      <c r="J2753" s="178">
        <v>0.6</v>
      </c>
      <c r="K2753" s="178"/>
      <c r="L2753" s="178"/>
      <c r="M2753" s="178"/>
      <c r="N2753" s="178">
        <f>(E2753*F2753)-(PI()*(J2753/2)^2)</f>
        <v>2.9572566611769187</v>
      </c>
      <c r="O2753" s="178">
        <f>N2753*G2753</f>
        <v>0.44358849917653781</v>
      </c>
      <c r="P2753" s="231"/>
      <c r="Q2753" s="224"/>
    </row>
    <row r="2754" spans="1:17" s="225" customFormat="1" ht="10.5" x14ac:dyDescent="0.25">
      <c r="A2754" s="229"/>
      <c r="B2754" s="230" t="str">
        <f>B2745</f>
        <v>PV3-45</v>
      </c>
      <c r="C2754" s="177"/>
      <c r="D2754" s="178"/>
      <c r="E2754" s="178">
        <v>1.8</v>
      </c>
      <c r="F2754" s="178">
        <v>1.8</v>
      </c>
      <c r="G2754" s="178">
        <f>IF(G2706&gt;0.15,IF(G2706&gt;=0.3,0.15,G2706-0.15),0)</f>
        <v>0.15</v>
      </c>
      <c r="H2754" s="178"/>
      <c r="I2754" s="178"/>
      <c r="J2754" s="178">
        <v>0.6</v>
      </c>
      <c r="K2754" s="178"/>
      <c r="L2754" s="178"/>
      <c r="M2754" s="178"/>
      <c r="N2754" s="178">
        <f>(E2754*F2754)-(PI()*(J2754/2)^2)</f>
        <v>2.9572566611769187</v>
      </c>
      <c r="O2754" s="178">
        <f>N2754*G2754</f>
        <v>0.44358849917653781</v>
      </c>
      <c r="P2754" s="231"/>
      <c r="Q2754" s="224"/>
    </row>
    <row r="2755" spans="1:17" s="225" customFormat="1" ht="10.5" x14ac:dyDescent="0.25">
      <c r="A2755" s="229"/>
      <c r="B2755" s="230" t="str">
        <f>B2746</f>
        <v>PV5-45</v>
      </c>
      <c r="C2755" s="177"/>
      <c r="D2755" s="178"/>
      <c r="E2755" s="178">
        <v>1.8</v>
      </c>
      <c r="F2755" s="178">
        <v>1.8</v>
      </c>
      <c r="G2755" s="178">
        <f>IF(G2707&gt;0.15,IF(G2707&gt;=0.3,0.15,G2707-0.15),0)</f>
        <v>0.15</v>
      </c>
      <c r="H2755" s="178"/>
      <c r="I2755" s="178"/>
      <c r="J2755" s="178">
        <v>0.6</v>
      </c>
      <c r="K2755" s="178"/>
      <c r="L2755" s="178"/>
      <c r="M2755" s="178"/>
      <c r="N2755" s="178">
        <f>(E2755*F2755)-(PI()*(J2755/2)^2)</f>
        <v>2.9572566611769187</v>
      </c>
      <c r="O2755" s="178">
        <f>N2755*G2755</f>
        <v>0.44358849917653781</v>
      </c>
      <c r="P2755" s="231"/>
      <c r="Q2755" s="224"/>
    </row>
    <row r="2756" spans="1:17" s="225" customFormat="1" ht="10.5" x14ac:dyDescent="0.25">
      <c r="A2756" s="229"/>
      <c r="B2756" s="230"/>
      <c r="C2756" s="177"/>
      <c r="D2756" s="178"/>
      <c r="E2756" s="178"/>
      <c r="F2756" s="178"/>
      <c r="G2756" s="178"/>
      <c r="H2756" s="178"/>
      <c r="I2756" s="178"/>
      <c r="J2756" s="178"/>
      <c r="K2756" s="178"/>
      <c r="L2756" s="180"/>
      <c r="M2756" s="178"/>
      <c r="N2756" s="178"/>
      <c r="O2756" s="178"/>
      <c r="P2756" s="231"/>
      <c r="Q2756" s="224"/>
    </row>
    <row r="2757" spans="1:17" s="225" customFormat="1" ht="10.5" x14ac:dyDescent="0.25">
      <c r="A2757" s="229"/>
      <c r="B2757" s="232" t="s">
        <v>5</v>
      </c>
      <c r="C2757" s="182" t="s">
        <v>1328</v>
      </c>
      <c r="D2757" s="182"/>
      <c r="E2757" s="182"/>
      <c r="F2757" s="182"/>
      <c r="G2757" s="182"/>
      <c r="H2757" s="182"/>
      <c r="I2757" s="182"/>
      <c r="J2757" s="182"/>
      <c r="K2757" s="182"/>
      <c r="L2757" s="182"/>
      <c r="M2757" s="182"/>
      <c r="N2757" s="182"/>
      <c r="O2757" s="182">
        <f>SUM(O2752:O2756)</f>
        <v>1.4490557639766901</v>
      </c>
      <c r="P2757" s="233"/>
      <c r="Q2757" s="224"/>
    </row>
    <row r="2758" spans="1:17" s="228" customFormat="1" ht="21" x14ac:dyDescent="0.25">
      <c r="A2758" s="226" t="str">
        <f>ORÇAMENTO!A529</f>
        <v>5.4.12</v>
      </c>
      <c r="B2758" s="227" t="str">
        <f>VLOOKUP(A2758,ORÇAMENTO!A:K,4,0)</f>
        <v>REATERRO MANUAL APILOADO COM SOQUETE</v>
      </c>
      <c r="C2758" s="173" t="str">
        <f>VLOOKUP(A2758,ORÇAMENTO!A:K,5,0)</f>
        <v>M³</v>
      </c>
      <c r="D2758" s="173">
        <f>SUM(E2766:O2766)</f>
        <v>12.59791337661367</v>
      </c>
      <c r="E2758" s="173" t="s">
        <v>1718</v>
      </c>
      <c r="F2758" s="173" t="s">
        <v>1719</v>
      </c>
      <c r="G2758" s="173" t="s">
        <v>1720</v>
      </c>
      <c r="H2758" s="173" t="s">
        <v>1721</v>
      </c>
      <c r="I2758" s="173" t="s">
        <v>1722</v>
      </c>
      <c r="J2758" s="173" t="s">
        <v>1723</v>
      </c>
      <c r="K2758" s="173" t="s">
        <v>1724</v>
      </c>
      <c r="L2758" s="173" t="s">
        <v>1725</v>
      </c>
      <c r="M2758" s="173" t="s">
        <v>1726</v>
      </c>
      <c r="N2758" s="173" t="s">
        <v>1727</v>
      </c>
      <c r="O2758" s="173" t="s">
        <v>1728</v>
      </c>
      <c r="P2758" s="224"/>
      <c r="Q2758" s="224"/>
    </row>
    <row r="2759" spans="1:17" s="225" customFormat="1" ht="10.5" x14ac:dyDescent="0.25">
      <c r="A2759" s="229"/>
      <c r="B2759" s="232"/>
      <c r="C2759" s="177"/>
      <c r="D2759" s="178"/>
      <c r="E2759" s="178"/>
      <c r="F2759" s="178"/>
      <c r="G2759" s="178"/>
      <c r="H2759" s="178"/>
      <c r="I2759" s="178"/>
      <c r="J2759" s="178"/>
      <c r="K2759" s="178"/>
      <c r="L2759" s="178"/>
      <c r="M2759" s="178"/>
      <c r="N2759" s="178"/>
      <c r="O2759" s="178"/>
      <c r="P2759" s="231"/>
      <c r="Q2759" s="224"/>
    </row>
    <row r="2760" spans="1:17" s="225" customFormat="1" ht="10.5" x14ac:dyDescent="0.25">
      <c r="A2760" s="229"/>
      <c r="B2760" s="230" t="s">
        <v>1876</v>
      </c>
      <c r="C2760" s="177"/>
      <c r="D2760" s="178"/>
      <c r="E2760" s="178"/>
      <c r="F2760" s="178"/>
      <c r="G2760" s="178"/>
      <c r="H2760" s="178"/>
      <c r="I2760" s="178"/>
      <c r="J2760" s="178"/>
      <c r="K2760" s="178"/>
      <c r="L2760" s="178"/>
      <c r="M2760" s="178"/>
      <c r="N2760" s="178"/>
      <c r="O2760" s="178"/>
      <c r="P2760" s="231"/>
      <c r="Q2760" s="224"/>
    </row>
    <row r="2761" spans="1:17" s="225" customFormat="1" ht="10.5" x14ac:dyDescent="0.25">
      <c r="A2761" s="229"/>
      <c r="B2761" s="230" t="str">
        <f>B2752</f>
        <v>PV1-50</v>
      </c>
      <c r="C2761" s="177"/>
      <c r="D2761" s="178"/>
      <c r="E2761" s="178">
        <v>1.8</v>
      </c>
      <c r="F2761" s="178">
        <v>1.8</v>
      </c>
      <c r="G2761" s="178">
        <f>IF(G2704&lt;=0.3,0,G2704-0.3)</f>
        <v>0</v>
      </c>
      <c r="H2761" s="178"/>
      <c r="I2761" s="178"/>
      <c r="J2761" s="178">
        <v>0.6</v>
      </c>
      <c r="K2761" s="178"/>
      <c r="L2761" s="178"/>
      <c r="M2761" s="178"/>
      <c r="N2761" s="178">
        <f>(E2761*F2761)-(PI()*(J2761/2)^2)</f>
        <v>2.9572566611769187</v>
      </c>
      <c r="O2761" s="178">
        <f>N2761*G2761</f>
        <v>0</v>
      </c>
      <c r="P2761" s="231"/>
      <c r="Q2761" s="224"/>
    </row>
    <row r="2762" spans="1:17" s="225" customFormat="1" ht="10.5" x14ac:dyDescent="0.25">
      <c r="A2762" s="229"/>
      <c r="B2762" s="230" t="str">
        <f>B2753</f>
        <v>PV5-45</v>
      </c>
      <c r="C2762" s="177"/>
      <c r="D2762" s="178"/>
      <c r="E2762" s="178">
        <v>1.8</v>
      </c>
      <c r="F2762" s="178">
        <v>1.8</v>
      </c>
      <c r="G2762" s="178">
        <f>IF(G2705&lt;=0.3,0,G2705-0.3)</f>
        <v>1.3299999999999996</v>
      </c>
      <c r="H2762" s="178"/>
      <c r="I2762" s="178"/>
      <c r="J2762" s="178">
        <v>0.6</v>
      </c>
      <c r="K2762" s="178"/>
      <c r="L2762" s="178"/>
      <c r="M2762" s="178"/>
      <c r="N2762" s="178">
        <f>(E2762*F2762)-(PI()*(J2762/2)^2)</f>
        <v>2.9572566611769187</v>
      </c>
      <c r="O2762" s="178">
        <f>N2762*G2762</f>
        <v>3.9331513593653007</v>
      </c>
      <c r="P2762" s="231"/>
      <c r="Q2762" s="224"/>
    </row>
    <row r="2763" spans="1:17" s="225" customFormat="1" ht="10.5" x14ac:dyDescent="0.25">
      <c r="A2763" s="229"/>
      <c r="B2763" s="230" t="str">
        <f>B2754</f>
        <v>PV3-45</v>
      </c>
      <c r="C2763" s="177"/>
      <c r="D2763" s="178"/>
      <c r="E2763" s="178">
        <v>1.8</v>
      </c>
      <c r="F2763" s="178">
        <v>1.8</v>
      </c>
      <c r="G2763" s="178">
        <f>IF(G2706&lt;=0.3,0,G2706-0.3)</f>
        <v>1.5999999999999996</v>
      </c>
      <c r="H2763" s="178"/>
      <c r="I2763" s="178"/>
      <c r="J2763" s="178">
        <v>0.6</v>
      </c>
      <c r="K2763" s="178"/>
      <c r="L2763" s="178"/>
      <c r="M2763" s="178"/>
      <c r="N2763" s="178">
        <f>(E2763*F2763)-(PI()*(J2763/2)^2)</f>
        <v>2.9572566611769187</v>
      </c>
      <c r="O2763" s="178">
        <f>N2763*G2763</f>
        <v>4.7316106578830688</v>
      </c>
      <c r="P2763" s="231"/>
      <c r="Q2763" s="224"/>
    </row>
    <row r="2764" spans="1:17" s="225" customFormat="1" ht="10.5" x14ac:dyDescent="0.25">
      <c r="A2764" s="229"/>
      <c r="B2764" s="230" t="str">
        <f>B2755</f>
        <v>PV5-45</v>
      </c>
      <c r="C2764" s="177"/>
      <c r="D2764" s="178"/>
      <c r="E2764" s="178">
        <v>1.8</v>
      </c>
      <c r="F2764" s="178">
        <v>1.8</v>
      </c>
      <c r="G2764" s="178">
        <f>IF(G2707&lt;=0.3,0,G2707-0.3)</f>
        <v>1.3299999999999996</v>
      </c>
      <c r="H2764" s="178"/>
      <c r="I2764" s="178"/>
      <c r="J2764" s="178">
        <v>0.6</v>
      </c>
      <c r="K2764" s="178"/>
      <c r="L2764" s="178"/>
      <c r="M2764" s="178"/>
      <c r="N2764" s="178">
        <f>(E2764*F2764)-(PI()*(J2764/2)^2)</f>
        <v>2.9572566611769187</v>
      </c>
      <c r="O2764" s="178">
        <f>N2764*G2764</f>
        <v>3.9331513593653007</v>
      </c>
      <c r="P2764" s="231"/>
      <c r="Q2764" s="224"/>
    </row>
    <row r="2765" spans="1:17" s="225" customFormat="1" ht="10.5" x14ac:dyDescent="0.25">
      <c r="A2765" s="229"/>
      <c r="B2765" s="230"/>
      <c r="C2765" s="177"/>
      <c r="D2765" s="178"/>
      <c r="E2765" s="178"/>
      <c r="F2765" s="178"/>
      <c r="G2765" s="178"/>
      <c r="H2765" s="178"/>
      <c r="I2765" s="178"/>
      <c r="J2765" s="178"/>
      <c r="K2765" s="178"/>
      <c r="L2765" s="180"/>
      <c r="M2765" s="178"/>
      <c r="N2765" s="178"/>
      <c r="O2765" s="178"/>
      <c r="P2765" s="231"/>
      <c r="Q2765" s="224"/>
    </row>
    <row r="2766" spans="1:17" s="225" customFormat="1" ht="10.5" x14ac:dyDescent="0.25">
      <c r="A2766" s="229"/>
      <c r="B2766" s="232" t="s">
        <v>5</v>
      </c>
      <c r="C2766" s="182" t="s">
        <v>1328</v>
      </c>
      <c r="D2766" s="182"/>
      <c r="E2766" s="182"/>
      <c r="F2766" s="182"/>
      <c r="G2766" s="182"/>
      <c r="H2766" s="182"/>
      <c r="I2766" s="182"/>
      <c r="J2766" s="182"/>
      <c r="K2766" s="182"/>
      <c r="L2766" s="182"/>
      <c r="M2766" s="182"/>
      <c r="N2766" s="182"/>
      <c r="O2766" s="182">
        <f>SUM(O2761:O2765)</f>
        <v>12.59791337661367</v>
      </c>
      <c r="P2766" s="233"/>
      <c r="Q2766" s="224"/>
    </row>
    <row r="2767" spans="1:17" s="228" customFormat="1" ht="21" x14ac:dyDescent="0.25">
      <c r="A2767" s="226" t="str">
        <f>ORÇAMENTO!A530</f>
        <v>5.4.13</v>
      </c>
      <c r="B2767" s="227" t="str">
        <f>VLOOKUP(A2767,ORÇAMENTO!A:K,4,0)</f>
        <v>COMPACTAÇÃO DE ATERROS A 100% DO PROCTOR INTERMEDIÁRIO</v>
      </c>
      <c r="C2767" s="173" t="str">
        <f>VLOOKUP(A2767,ORÇAMENTO!A:K,5,0)</f>
        <v>M³</v>
      </c>
      <c r="D2767" s="173">
        <f>SUM(E2775:O2775)</f>
        <v>12.59791337661367</v>
      </c>
      <c r="E2767" s="173" t="s">
        <v>1718</v>
      </c>
      <c r="F2767" s="173" t="s">
        <v>1719</v>
      </c>
      <c r="G2767" s="173" t="s">
        <v>1720</v>
      </c>
      <c r="H2767" s="173" t="s">
        <v>1721</v>
      </c>
      <c r="I2767" s="173" t="s">
        <v>1722</v>
      </c>
      <c r="J2767" s="173" t="s">
        <v>1723</v>
      </c>
      <c r="K2767" s="173" t="s">
        <v>1724</v>
      </c>
      <c r="L2767" s="173" t="s">
        <v>1725</v>
      </c>
      <c r="M2767" s="173" t="s">
        <v>1726</v>
      </c>
      <c r="N2767" s="173" t="s">
        <v>1727</v>
      </c>
      <c r="O2767" s="173" t="s">
        <v>1728</v>
      </c>
      <c r="P2767" s="224"/>
      <c r="Q2767" s="224"/>
    </row>
    <row r="2768" spans="1:17" s="225" customFormat="1" ht="10.5" x14ac:dyDescent="0.25">
      <c r="A2768" s="229"/>
      <c r="B2768" s="232"/>
      <c r="C2768" s="177"/>
      <c r="D2768" s="178"/>
      <c r="E2768" s="178"/>
      <c r="F2768" s="178"/>
      <c r="G2768" s="178"/>
      <c r="H2768" s="178"/>
      <c r="I2768" s="178"/>
      <c r="J2768" s="178"/>
      <c r="K2768" s="178"/>
      <c r="L2768" s="178"/>
      <c r="M2768" s="178"/>
      <c r="N2768" s="178"/>
      <c r="O2768" s="178"/>
      <c r="P2768" s="231"/>
      <c r="Q2768" s="224"/>
    </row>
    <row r="2769" spans="1:17" s="225" customFormat="1" ht="10.5" x14ac:dyDescent="0.25">
      <c r="A2769" s="229"/>
      <c r="B2769" s="230" t="str">
        <f>B2760</f>
        <v>VOLUME = VOLUME DEMOLIDO - VOLUME DO PV</v>
      </c>
      <c r="C2769" s="177"/>
      <c r="D2769" s="178"/>
      <c r="E2769" s="178"/>
      <c r="F2769" s="178"/>
      <c r="G2769" s="178"/>
      <c r="H2769" s="178"/>
      <c r="I2769" s="178"/>
      <c r="J2769" s="178"/>
      <c r="K2769" s="178"/>
      <c r="L2769" s="178"/>
      <c r="M2769" s="178"/>
      <c r="N2769" s="178"/>
      <c r="O2769" s="178"/>
      <c r="P2769" s="231"/>
      <c r="Q2769" s="224"/>
    </row>
    <row r="2770" spans="1:17" s="225" customFormat="1" ht="10.5" x14ac:dyDescent="0.25">
      <c r="A2770" s="229"/>
      <c r="B2770" s="230" t="str">
        <f>B2761</f>
        <v>PV1-50</v>
      </c>
      <c r="C2770" s="177"/>
      <c r="D2770" s="178"/>
      <c r="E2770" s="178">
        <f t="shared" ref="E2770:G2773" si="86">E2761</f>
        <v>1.8</v>
      </c>
      <c r="F2770" s="178">
        <f t="shared" si="86"/>
        <v>1.8</v>
      </c>
      <c r="G2770" s="178">
        <f t="shared" si="86"/>
        <v>0</v>
      </c>
      <c r="H2770" s="178"/>
      <c r="I2770" s="178"/>
      <c r="J2770" s="178">
        <f>J2761</f>
        <v>0.6</v>
      </c>
      <c r="K2770" s="178"/>
      <c r="L2770" s="178"/>
      <c r="M2770" s="178"/>
      <c r="N2770" s="178">
        <f>(E2770*F2770)-(PI()*(J2770/2)^2)</f>
        <v>2.9572566611769187</v>
      </c>
      <c r="O2770" s="178">
        <f>N2770*G2770</f>
        <v>0</v>
      </c>
      <c r="P2770" s="231"/>
      <c r="Q2770" s="224"/>
    </row>
    <row r="2771" spans="1:17" s="225" customFormat="1" ht="10.5" x14ac:dyDescent="0.25">
      <c r="A2771" s="229"/>
      <c r="B2771" s="230" t="str">
        <f>B2762</f>
        <v>PV5-45</v>
      </c>
      <c r="C2771" s="177"/>
      <c r="D2771" s="178"/>
      <c r="E2771" s="178">
        <f t="shared" si="86"/>
        <v>1.8</v>
      </c>
      <c r="F2771" s="178">
        <f t="shared" si="86"/>
        <v>1.8</v>
      </c>
      <c r="G2771" s="178">
        <f t="shared" si="86"/>
        <v>1.3299999999999996</v>
      </c>
      <c r="H2771" s="178"/>
      <c r="I2771" s="178"/>
      <c r="J2771" s="178">
        <f>J2762</f>
        <v>0.6</v>
      </c>
      <c r="K2771" s="178"/>
      <c r="L2771" s="178"/>
      <c r="M2771" s="178"/>
      <c r="N2771" s="178">
        <f>(E2771*F2771)-(PI()*(J2771/2)^2)</f>
        <v>2.9572566611769187</v>
      </c>
      <c r="O2771" s="178">
        <f>N2771*G2771</f>
        <v>3.9331513593653007</v>
      </c>
      <c r="P2771" s="231"/>
      <c r="Q2771" s="224"/>
    </row>
    <row r="2772" spans="1:17" s="225" customFormat="1" ht="10.5" x14ac:dyDescent="0.25">
      <c r="A2772" s="229"/>
      <c r="B2772" s="230" t="str">
        <f>B2763</f>
        <v>PV3-45</v>
      </c>
      <c r="C2772" s="177"/>
      <c r="D2772" s="178"/>
      <c r="E2772" s="178">
        <f t="shared" si="86"/>
        <v>1.8</v>
      </c>
      <c r="F2772" s="178">
        <f t="shared" si="86"/>
        <v>1.8</v>
      </c>
      <c r="G2772" s="178">
        <f t="shared" si="86"/>
        <v>1.5999999999999996</v>
      </c>
      <c r="H2772" s="178"/>
      <c r="I2772" s="178"/>
      <c r="J2772" s="178">
        <f>J2763</f>
        <v>0.6</v>
      </c>
      <c r="K2772" s="178"/>
      <c r="L2772" s="178"/>
      <c r="M2772" s="178"/>
      <c r="N2772" s="178">
        <f>(E2772*F2772)-(PI()*(J2772/2)^2)</f>
        <v>2.9572566611769187</v>
      </c>
      <c r="O2772" s="178">
        <f>N2772*G2772</f>
        <v>4.7316106578830688</v>
      </c>
      <c r="P2772" s="231"/>
      <c r="Q2772" s="224"/>
    </row>
    <row r="2773" spans="1:17" s="225" customFormat="1" ht="10.5" x14ac:dyDescent="0.25">
      <c r="A2773" s="229"/>
      <c r="B2773" s="230" t="str">
        <f>B2764</f>
        <v>PV5-45</v>
      </c>
      <c r="C2773" s="177"/>
      <c r="D2773" s="178"/>
      <c r="E2773" s="178">
        <f t="shared" si="86"/>
        <v>1.8</v>
      </c>
      <c r="F2773" s="178">
        <f t="shared" si="86"/>
        <v>1.8</v>
      </c>
      <c r="G2773" s="178">
        <f t="shared" si="86"/>
        <v>1.3299999999999996</v>
      </c>
      <c r="H2773" s="178"/>
      <c r="I2773" s="178"/>
      <c r="J2773" s="178">
        <f>J2764</f>
        <v>0.6</v>
      </c>
      <c r="K2773" s="178"/>
      <c r="L2773" s="178"/>
      <c r="M2773" s="178"/>
      <c r="N2773" s="178">
        <f>(E2773*F2773)-(PI()*(J2773/2)^2)</f>
        <v>2.9572566611769187</v>
      </c>
      <c r="O2773" s="178">
        <f>N2773*G2773</f>
        <v>3.9331513593653007</v>
      </c>
      <c r="P2773" s="231"/>
      <c r="Q2773" s="224"/>
    </row>
    <row r="2774" spans="1:17" s="225" customFormat="1" ht="10.5" x14ac:dyDescent="0.25">
      <c r="A2774" s="229"/>
      <c r="B2774" s="230"/>
      <c r="C2774" s="177"/>
      <c r="D2774" s="178"/>
      <c r="E2774" s="178"/>
      <c r="F2774" s="178"/>
      <c r="G2774" s="178"/>
      <c r="H2774" s="178"/>
      <c r="I2774" s="178"/>
      <c r="J2774" s="178"/>
      <c r="K2774" s="178"/>
      <c r="L2774" s="180"/>
      <c r="M2774" s="178"/>
      <c r="N2774" s="178"/>
      <c r="O2774" s="178"/>
      <c r="P2774" s="231"/>
      <c r="Q2774" s="224"/>
    </row>
    <row r="2775" spans="1:17" s="225" customFormat="1" ht="10.5" x14ac:dyDescent="0.25">
      <c r="A2775" s="229"/>
      <c r="B2775" s="232" t="s">
        <v>5</v>
      </c>
      <c r="C2775" s="182" t="s">
        <v>1328</v>
      </c>
      <c r="D2775" s="182"/>
      <c r="E2775" s="182"/>
      <c r="F2775" s="182"/>
      <c r="G2775" s="182"/>
      <c r="H2775" s="182"/>
      <c r="I2775" s="182"/>
      <c r="J2775" s="182"/>
      <c r="K2775" s="182"/>
      <c r="L2775" s="182"/>
      <c r="M2775" s="182"/>
      <c r="N2775" s="182"/>
      <c r="O2775" s="182">
        <f>SUM(O2770:O2774)</f>
        <v>12.59791337661367</v>
      </c>
      <c r="P2775" s="233"/>
      <c r="Q2775" s="224"/>
    </row>
    <row r="2776" spans="1:17" s="228" customFormat="1" ht="52.5" x14ac:dyDescent="0.25">
      <c r="A2776" s="226" t="str">
        <f>ORÇAMENTO!A531</f>
        <v>5.4.14</v>
      </c>
      <c r="B2776" s="227" t="str">
        <f>VLOOKUP(A2776,ORÇAMENTO!A:K,4,0)</f>
        <v>CARGA, MANOBRA E DESCARGA DE ENTULHO EM CAMINHÃO BASCULANTE 14 M³ - CARGA COM ESCAVADEIRA HIDRÁULICA  (CAÇAMBA DE 0,80 M³ / 111 HP) E DESCARGA LIVRE (UNIDADE: M3). AF_07/2020</v>
      </c>
      <c r="C2776" s="173" t="str">
        <f>VLOOKUP(A2776,ORÇAMENTO!A:K,5,0)</f>
        <v>M³</v>
      </c>
      <c r="D2776" s="173">
        <f>SUM(E2780:O2780)</f>
        <v>0.38879999999999992</v>
      </c>
      <c r="E2776" s="173" t="s">
        <v>1718</v>
      </c>
      <c r="F2776" s="173" t="s">
        <v>1719</v>
      </c>
      <c r="G2776" s="173" t="s">
        <v>1720</v>
      </c>
      <c r="H2776" s="173" t="s">
        <v>1721</v>
      </c>
      <c r="I2776" s="173" t="s">
        <v>1722</v>
      </c>
      <c r="J2776" s="173" t="s">
        <v>1723</v>
      </c>
      <c r="K2776" s="173" t="s">
        <v>1746</v>
      </c>
      <c r="L2776" s="173" t="s">
        <v>1747</v>
      </c>
      <c r="M2776" s="173" t="s">
        <v>1730</v>
      </c>
      <c r="N2776" s="173" t="s">
        <v>1727</v>
      </c>
      <c r="O2776" s="173" t="s">
        <v>1728</v>
      </c>
      <c r="P2776" s="224"/>
      <c r="Q2776" s="224"/>
    </row>
    <row r="2777" spans="1:17" s="225" customFormat="1" ht="10.5" x14ac:dyDescent="0.25">
      <c r="A2777" s="229"/>
      <c r="B2777" s="230" t="s">
        <v>1748</v>
      </c>
      <c r="C2777" s="184"/>
      <c r="D2777" s="185"/>
      <c r="E2777" s="185"/>
      <c r="F2777" s="185"/>
      <c r="G2777" s="185"/>
      <c r="H2777" s="185">
        <v>0.03</v>
      </c>
      <c r="I2777" s="185"/>
      <c r="J2777" s="185"/>
      <c r="K2777" s="185"/>
      <c r="L2777" s="185"/>
      <c r="M2777" s="185"/>
      <c r="N2777" s="185">
        <f>N2688</f>
        <v>12.959999999999997</v>
      </c>
      <c r="O2777" s="185"/>
      <c r="P2777" s="231"/>
      <c r="Q2777" s="224"/>
    </row>
    <row r="2778" spans="1:17" s="225" customFormat="1" ht="10.5" x14ac:dyDescent="0.25">
      <c r="A2778" s="229"/>
      <c r="B2778" s="230" t="s">
        <v>1878</v>
      </c>
      <c r="C2778" s="184"/>
      <c r="D2778" s="185"/>
      <c r="E2778" s="185"/>
      <c r="F2778" s="185"/>
      <c r="G2778" s="185"/>
      <c r="H2778" s="185"/>
      <c r="I2778" s="185"/>
      <c r="J2778" s="185"/>
      <c r="K2778" s="185"/>
      <c r="L2778" s="185"/>
      <c r="M2778" s="185"/>
      <c r="N2778" s="185"/>
      <c r="O2778" s="185">
        <f>N2777*H2777</f>
        <v>0.38879999999999992</v>
      </c>
      <c r="P2778" s="231"/>
      <c r="Q2778" s="224"/>
    </row>
    <row r="2779" spans="1:17" s="225" customFormat="1" ht="10.5" x14ac:dyDescent="0.25">
      <c r="A2779" s="229"/>
      <c r="B2779" s="230"/>
      <c r="C2779" s="184"/>
      <c r="D2779" s="185"/>
      <c r="E2779" s="185"/>
      <c r="F2779" s="185"/>
      <c r="G2779" s="185"/>
      <c r="H2779" s="185"/>
      <c r="I2779" s="185"/>
      <c r="J2779" s="185"/>
      <c r="K2779" s="185"/>
      <c r="L2779" s="186"/>
      <c r="M2779" s="185"/>
      <c r="N2779" s="185"/>
      <c r="O2779" s="185"/>
      <c r="P2779" s="231"/>
      <c r="Q2779" s="224"/>
    </row>
    <row r="2780" spans="1:17" s="225" customFormat="1" ht="10.5" x14ac:dyDescent="0.25">
      <c r="A2780" s="229"/>
      <c r="B2780" s="232" t="s">
        <v>5</v>
      </c>
      <c r="C2780" s="182" t="s">
        <v>1328</v>
      </c>
      <c r="D2780" s="182"/>
      <c r="E2780" s="182"/>
      <c r="F2780" s="182"/>
      <c r="G2780" s="182"/>
      <c r="H2780" s="182"/>
      <c r="I2780" s="182"/>
      <c r="J2780" s="182"/>
      <c r="K2780" s="182"/>
      <c r="L2780" s="182"/>
      <c r="M2780" s="182"/>
      <c r="N2780" s="182"/>
      <c r="O2780" s="182">
        <f>SUM(O2778:O2779)</f>
        <v>0.38879999999999992</v>
      </c>
      <c r="P2780" s="233"/>
      <c r="Q2780" s="224"/>
    </row>
    <row r="2781" spans="1:17" s="228" customFormat="1" ht="52.5" x14ac:dyDescent="0.25">
      <c r="A2781" s="226" t="str">
        <f>ORÇAMENTO!A532</f>
        <v>5.4.15</v>
      </c>
      <c r="B2781" s="227" t="str">
        <f>VLOOKUP(A2781,ORÇAMENTO!A:K,4,0)</f>
        <v>CARGA, MANOBRA E DESCARGA DE SOLOS E MATERIAIS GRANULARES EM CAMINHÃO BASCULANTE 14 M³ - CARGA COM ESCAVADEIRA HIDRÁULICA (CAÇAMBA DE 1,20 M³ / 155 HP) E DESCARGA LIVRE (UNIDADE: M3). AF_07/2020</v>
      </c>
      <c r="C2781" s="173" t="str">
        <f>VLOOKUP(A2781,ORÇAMENTO!A:K,5,0)</f>
        <v>M³</v>
      </c>
      <c r="D2781" s="173">
        <f>SUM(E2788:O2788)</f>
        <v>3.28703085940964</v>
      </c>
      <c r="E2781" s="173" t="s">
        <v>1718</v>
      </c>
      <c r="F2781" s="173" t="s">
        <v>1719</v>
      </c>
      <c r="G2781" s="173" t="s">
        <v>1720</v>
      </c>
      <c r="H2781" s="173" t="s">
        <v>1721</v>
      </c>
      <c r="I2781" s="173" t="s">
        <v>1722</v>
      </c>
      <c r="J2781" s="173" t="s">
        <v>1723</v>
      </c>
      <c r="K2781" s="173" t="s">
        <v>1746</v>
      </c>
      <c r="L2781" s="173" t="s">
        <v>1747</v>
      </c>
      <c r="M2781" s="173" t="s">
        <v>1730</v>
      </c>
      <c r="N2781" s="173" t="s">
        <v>1727</v>
      </c>
      <c r="O2781" s="173" t="s">
        <v>1728</v>
      </c>
      <c r="P2781" s="224"/>
      <c r="Q2781" s="224"/>
    </row>
    <row r="2782" spans="1:17" s="225" customFormat="1" ht="10.5" x14ac:dyDescent="0.25">
      <c r="A2782" s="229"/>
      <c r="B2782" s="230"/>
      <c r="C2782" s="177"/>
      <c r="D2782" s="178"/>
      <c r="E2782" s="178"/>
      <c r="F2782" s="178"/>
      <c r="G2782" s="178"/>
      <c r="H2782" s="178"/>
      <c r="I2782" s="178"/>
      <c r="J2782" s="178"/>
      <c r="K2782" s="178"/>
      <c r="L2782" s="178"/>
      <c r="M2782" s="178"/>
      <c r="N2782" s="178"/>
      <c r="O2782" s="178"/>
      <c r="P2782" s="231"/>
      <c r="Q2782" s="224"/>
    </row>
    <row r="2783" spans="1:17" s="225" customFormat="1" ht="10.5" x14ac:dyDescent="0.25">
      <c r="A2783" s="229"/>
      <c r="B2783" s="230" t="s">
        <v>1879</v>
      </c>
      <c r="C2783" s="177"/>
      <c r="D2783" s="178"/>
      <c r="E2783" s="178"/>
      <c r="F2783" s="178"/>
      <c r="G2783" s="178"/>
      <c r="H2783" s="178"/>
      <c r="I2783" s="178"/>
      <c r="J2783" s="178"/>
      <c r="K2783" s="178"/>
      <c r="L2783" s="178"/>
      <c r="M2783" s="178"/>
      <c r="N2783" s="178"/>
      <c r="O2783" s="178">
        <f>O2693+O2701</f>
        <v>17.334</v>
      </c>
      <c r="P2783" s="231"/>
      <c r="Q2783" s="224"/>
    </row>
    <row r="2784" spans="1:17" s="225" customFormat="1" ht="10.5" x14ac:dyDescent="0.25">
      <c r="A2784" s="229"/>
      <c r="B2784" s="230" t="s">
        <v>1880</v>
      </c>
      <c r="C2784" s="177"/>
      <c r="D2784" s="178"/>
      <c r="E2784" s="178"/>
      <c r="F2784" s="178"/>
      <c r="G2784" s="178"/>
      <c r="H2784" s="178"/>
      <c r="I2784" s="178"/>
      <c r="J2784" s="178"/>
      <c r="K2784" s="178"/>
      <c r="L2784" s="178"/>
      <c r="M2784" s="178"/>
      <c r="N2784" s="178"/>
      <c r="O2784" s="178">
        <f>O2775+O2757</f>
        <v>14.04696914059036</v>
      </c>
      <c r="P2784" s="231"/>
      <c r="Q2784" s="224"/>
    </row>
    <row r="2785" spans="1:19" s="225" customFormat="1" ht="10.5" x14ac:dyDescent="0.25">
      <c r="A2785" s="229"/>
      <c r="B2785" s="230"/>
      <c r="C2785" s="177"/>
      <c r="D2785" s="178"/>
      <c r="E2785" s="178"/>
      <c r="F2785" s="178"/>
      <c r="G2785" s="178"/>
      <c r="H2785" s="178"/>
      <c r="I2785" s="178"/>
      <c r="J2785" s="178"/>
      <c r="K2785" s="178"/>
      <c r="L2785" s="178"/>
      <c r="M2785" s="178"/>
      <c r="N2785" s="178"/>
      <c r="O2785" s="178"/>
      <c r="P2785" s="231"/>
      <c r="Q2785" s="224"/>
    </row>
    <row r="2786" spans="1:19" s="225" customFormat="1" ht="21" x14ac:dyDescent="0.25">
      <c r="A2786" s="229"/>
      <c r="B2786" s="232" t="s">
        <v>1881</v>
      </c>
      <c r="C2786" s="177"/>
      <c r="D2786" s="178"/>
      <c r="E2786" s="178"/>
      <c r="F2786" s="178"/>
      <c r="G2786" s="178"/>
      <c r="H2786" s="178"/>
      <c r="I2786" s="178"/>
      <c r="J2786" s="178"/>
      <c r="K2786" s="178"/>
      <c r="L2786" s="178"/>
      <c r="M2786" s="178"/>
      <c r="N2786" s="178"/>
      <c r="O2786" s="177">
        <f>O2783-O2784</f>
        <v>3.28703085940964</v>
      </c>
      <c r="P2786" s="231"/>
      <c r="Q2786" s="224"/>
    </row>
    <row r="2787" spans="1:19" s="225" customFormat="1" ht="10.5" x14ac:dyDescent="0.25">
      <c r="A2787" s="229"/>
      <c r="B2787" s="230"/>
      <c r="C2787" s="177"/>
      <c r="D2787" s="178"/>
      <c r="E2787" s="178"/>
      <c r="F2787" s="178"/>
      <c r="G2787" s="178"/>
      <c r="H2787" s="178"/>
      <c r="I2787" s="178"/>
      <c r="J2787" s="178"/>
      <c r="K2787" s="178"/>
      <c r="L2787" s="180"/>
      <c r="M2787" s="178"/>
      <c r="N2787" s="178"/>
      <c r="O2787" s="178"/>
      <c r="P2787" s="231"/>
      <c r="Q2787" s="224"/>
    </row>
    <row r="2788" spans="1:19" s="225" customFormat="1" ht="10.5" x14ac:dyDescent="0.25">
      <c r="A2788" s="229"/>
      <c r="B2788" s="232" t="s">
        <v>5</v>
      </c>
      <c r="C2788" s="182" t="s">
        <v>1328</v>
      </c>
      <c r="D2788" s="182"/>
      <c r="E2788" s="182"/>
      <c r="F2788" s="182"/>
      <c r="G2788" s="182"/>
      <c r="H2788" s="182"/>
      <c r="I2788" s="182"/>
      <c r="J2788" s="182"/>
      <c r="K2788" s="182"/>
      <c r="L2788" s="182"/>
      <c r="M2788" s="182"/>
      <c r="N2788" s="182"/>
      <c r="O2788" s="182">
        <f>SUM(O2786:O2787)</f>
        <v>3.28703085940964</v>
      </c>
      <c r="P2788" s="233"/>
      <c r="Q2788" s="224"/>
    </row>
    <row r="2789" spans="1:19" s="228" customFormat="1" ht="31.5" x14ac:dyDescent="0.25">
      <c r="A2789" s="226" t="str">
        <f>ORÇAMENTO!A533</f>
        <v>5.4.16</v>
      </c>
      <c r="B2789" s="227" t="str">
        <f>VLOOKUP(A2789,ORÇAMENTO!A:K,4,0)</f>
        <v>TRANSPORTE COM CAMINHÃO BASCULANTE DE 14 M³, EM VIA URBANA PAVIMENTADA, DMT ATÉ 30 KM (UNIDADE: M3XKM). AF_07/2020</v>
      </c>
      <c r="C2789" s="173" t="str">
        <f>VLOOKUP(A2789,ORÇAMENTO!A:K,5,0)</f>
        <v>M3XKM</v>
      </c>
      <c r="D2789" s="173">
        <f>SUM(E2794:O2794)</f>
        <v>110.2749257822892</v>
      </c>
      <c r="E2789" s="173" t="s">
        <v>1749</v>
      </c>
      <c r="F2789" s="173" t="s">
        <v>1719</v>
      </c>
      <c r="G2789" s="173" t="s">
        <v>1720</v>
      </c>
      <c r="H2789" s="173" t="s">
        <v>1721</v>
      </c>
      <c r="I2789" s="173" t="s">
        <v>1722</v>
      </c>
      <c r="J2789" s="173" t="s">
        <v>1750</v>
      </c>
      <c r="K2789" s="173" t="s">
        <v>1746</v>
      </c>
      <c r="L2789" s="173" t="s">
        <v>1725</v>
      </c>
      <c r="M2789" s="173" t="s">
        <v>1730</v>
      </c>
      <c r="N2789" s="173" t="s">
        <v>1727</v>
      </c>
      <c r="O2789" s="173" t="s">
        <v>1728</v>
      </c>
      <c r="P2789" s="224"/>
      <c r="Q2789" s="224"/>
    </row>
    <row r="2790" spans="1:19" s="225" customFormat="1" ht="10.5" x14ac:dyDescent="0.25">
      <c r="A2790" s="229"/>
      <c r="B2790" s="230"/>
      <c r="C2790" s="177"/>
      <c r="D2790" s="178"/>
      <c r="E2790" s="178"/>
      <c r="F2790" s="178"/>
      <c r="G2790" s="178"/>
      <c r="H2790" s="178"/>
      <c r="I2790" s="178"/>
      <c r="J2790" s="178"/>
      <c r="K2790" s="178"/>
      <c r="L2790" s="180"/>
      <c r="M2790" s="178"/>
      <c r="N2790" s="178"/>
      <c r="O2790" s="178"/>
      <c r="P2790" s="231"/>
      <c r="Q2790" s="224"/>
    </row>
    <row r="2791" spans="1:19" s="225" customFormat="1" ht="21" x14ac:dyDescent="0.25">
      <c r="A2791" s="229"/>
      <c r="B2791" s="230" t="s">
        <v>1773</v>
      </c>
      <c r="C2791" s="184"/>
      <c r="D2791" s="185"/>
      <c r="E2791" s="185">
        <v>30</v>
      </c>
      <c r="F2791" s="185"/>
      <c r="G2791" s="185"/>
      <c r="H2791" s="185"/>
      <c r="I2791" s="185"/>
      <c r="J2791" s="185">
        <f>E2791*O2791</f>
        <v>98.6109257822892</v>
      </c>
      <c r="K2791" s="185"/>
      <c r="L2791" s="185"/>
      <c r="M2791" s="185"/>
      <c r="N2791" s="185"/>
      <c r="O2791" s="185">
        <f>O2788</f>
        <v>3.28703085940964</v>
      </c>
      <c r="P2791" s="231"/>
      <c r="Q2791" s="224"/>
    </row>
    <row r="2792" spans="1:19" s="225" customFormat="1" ht="21" x14ac:dyDescent="0.25">
      <c r="A2792" s="229"/>
      <c r="B2792" s="230" t="s">
        <v>1774</v>
      </c>
      <c r="C2792" s="184"/>
      <c r="D2792" s="185"/>
      <c r="E2792" s="185">
        <v>30</v>
      </c>
      <c r="F2792" s="185"/>
      <c r="G2792" s="185"/>
      <c r="H2792" s="185"/>
      <c r="I2792" s="185"/>
      <c r="J2792" s="185">
        <f>E2792*O2792</f>
        <v>11.663999999999998</v>
      </c>
      <c r="K2792" s="185"/>
      <c r="L2792" s="185"/>
      <c r="M2792" s="185"/>
      <c r="N2792" s="185"/>
      <c r="O2792" s="185">
        <f>O2780</f>
        <v>0.38879999999999992</v>
      </c>
      <c r="P2792" s="231"/>
      <c r="Q2792" s="224"/>
    </row>
    <row r="2793" spans="1:19" s="225" customFormat="1" ht="10.5" x14ac:dyDescent="0.25">
      <c r="A2793" s="229"/>
      <c r="B2793" s="230"/>
      <c r="C2793" s="184"/>
      <c r="D2793" s="185"/>
      <c r="E2793" s="185"/>
      <c r="F2793" s="185"/>
      <c r="G2793" s="185"/>
      <c r="H2793" s="185"/>
      <c r="I2793" s="185"/>
      <c r="J2793" s="185"/>
      <c r="K2793" s="185"/>
      <c r="L2793" s="186"/>
      <c r="M2793" s="185"/>
      <c r="N2793" s="185"/>
      <c r="O2793" s="185"/>
      <c r="P2793" s="231"/>
      <c r="Q2793" s="224"/>
    </row>
    <row r="2794" spans="1:19" s="225" customFormat="1" ht="10.5" x14ac:dyDescent="0.25">
      <c r="A2794" s="229"/>
      <c r="B2794" s="232" t="s">
        <v>5</v>
      </c>
      <c r="C2794" s="182" t="s">
        <v>1328</v>
      </c>
      <c r="D2794" s="182"/>
      <c r="E2794" s="182"/>
      <c r="F2794" s="182"/>
      <c r="G2794" s="182"/>
      <c r="H2794" s="182"/>
      <c r="I2794" s="182"/>
      <c r="J2794" s="182">
        <f>SUM(J2791:J2793)</f>
        <v>110.2749257822892</v>
      </c>
      <c r="K2794" s="182"/>
      <c r="L2794" s="182"/>
      <c r="M2794" s="182"/>
      <c r="N2794" s="182"/>
      <c r="O2794" s="182"/>
      <c r="P2794" s="233"/>
      <c r="Q2794" s="224"/>
    </row>
    <row r="2795" spans="1:19" s="235" customFormat="1" ht="42" x14ac:dyDescent="0.35">
      <c r="A2795" s="226" t="str">
        <f>ORÇAMENTO!A534</f>
        <v>5.4.17</v>
      </c>
      <c r="B2795" s="227" t="str">
        <f>VLOOKUP(A2795,ORÇAMENTO!A:K,4,0)</f>
        <v>TRANSPORTE COM CAMINHÃO BASCULANTE DE 14 M³, EM VIA URBANA PAVIMENTADA, ADICIONAL PARA DMT EXCEDENTE A 30 KM (UNIDADE: M3XKM). AF_07/2020</v>
      </c>
      <c r="C2795" s="173" t="str">
        <f>VLOOKUP(A2795,ORÇAMENTO!A:K,5,0)</f>
        <v>M3XKM</v>
      </c>
      <c r="D2795" s="173">
        <f>SUM(E2800:O2800)</f>
        <v>64.094078203616888</v>
      </c>
      <c r="E2795" s="173" t="s">
        <v>1752</v>
      </c>
      <c r="F2795" s="173" t="s">
        <v>1719</v>
      </c>
      <c r="G2795" s="173" t="s">
        <v>1720</v>
      </c>
      <c r="H2795" s="173" t="s">
        <v>1721</v>
      </c>
      <c r="I2795" s="173" t="s">
        <v>1722</v>
      </c>
      <c r="J2795" s="173" t="s">
        <v>1750</v>
      </c>
      <c r="K2795" s="173" t="s">
        <v>1746</v>
      </c>
      <c r="L2795" s="173" t="s">
        <v>1753</v>
      </c>
      <c r="M2795" s="173" t="s">
        <v>1730</v>
      </c>
      <c r="N2795" s="173" t="s">
        <v>1727</v>
      </c>
      <c r="O2795" s="173" t="s">
        <v>1728</v>
      </c>
      <c r="P2795" s="224"/>
      <c r="Q2795" s="224"/>
      <c r="R2795" s="224"/>
      <c r="S2795" s="224"/>
    </row>
    <row r="2796" spans="1:19" s="225" customFormat="1" ht="10.5" x14ac:dyDescent="0.25">
      <c r="A2796" s="229"/>
      <c r="B2796" s="230"/>
      <c r="C2796" s="177"/>
      <c r="D2796" s="178"/>
      <c r="E2796" s="178"/>
      <c r="F2796" s="178"/>
      <c r="G2796" s="178"/>
      <c r="H2796" s="178"/>
      <c r="I2796" s="178"/>
      <c r="J2796" s="178"/>
      <c r="K2796" s="178"/>
      <c r="L2796" s="180"/>
      <c r="M2796" s="178"/>
      <c r="N2796" s="178"/>
      <c r="O2796" s="178"/>
      <c r="P2796" s="231"/>
      <c r="Q2796" s="224"/>
    </row>
    <row r="2797" spans="1:19" s="225" customFormat="1" ht="21" x14ac:dyDescent="0.25">
      <c r="A2797" s="229"/>
      <c r="B2797" s="230" t="str">
        <f>B2791</f>
        <v>TRANSPORTE ATÉ ATERRO ESTRUTURAL - BOTA FORA - MATERIAL NÃO APROVEITADO</v>
      </c>
      <c r="C2797" s="177"/>
      <c r="D2797" s="178"/>
      <c r="E2797" s="178">
        <f>44.2-E2791</f>
        <v>14.200000000000003</v>
      </c>
      <c r="F2797" s="178"/>
      <c r="G2797" s="178"/>
      <c r="H2797" s="178"/>
      <c r="I2797" s="178"/>
      <c r="J2797" s="178">
        <f>E2797*O2797</f>
        <v>46.675838203616898</v>
      </c>
      <c r="K2797" s="178"/>
      <c r="L2797" s="190"/>
      <c r="M2797" s="178"/>
      <c r="N2797" s="178"/>
      <c r="O2797" s="178">
        <f>O2791</f>
        <v>3.28703085940964</v>
      </c>
      <c r="P2797" s="231"/>
      <c r="Q2797" s="224"/>
    </row>
    <row r="2798" spans="1:19" s="225" customFormat="1" ht="21" x14ac:dyDescent="0.25">
      <c r="A2798" s="229"/>
      <c r="B2798" s="230" t="str">
        <f>B2792</f>
        <v>TRANSPORTE ATÉ ATERRO SAMAMBIA - BOTA FORA - ROCHA</v>
      </c>
      <c r="C2798" s="177"/>
      <c r="D2798" s="178"/>
      <c r="E2798" s="178">
        <f>74.8-E2792</f>
        <v>44.8</v>
      </c>
      <c r="F2798" s="178"/>
      <c r="G2798" s="178"/>
      <c r="H2798" s="178"/>
      <c r="I2798" s="178"/>
      <c r="J2798" s="178">
        <f>E2798*O2798</f>
        <v>17.418239999999994</v>
      </c>
      <c r="K2798" s="178"/>
      <c r="L2798" s="190"/>
      <c r="M2798" s="178"/>
      <c r="N2798" s="178"/>
      <c r="O2798" s="178">
        <f>O2792</f>
        <v>0.38879999999999992</v>
      </c>
      <c r="P2798" s="231"/>
      <c r="Q2798" s="224"/>
    </row>
    <row r="2799" spans="1:19" s="225" customFormat="1" ht="10.5" x14ac:dyDescent="0.25">
      <c r="A2799" s="229"/>
      <c r="B2799" s="230"/>
      <c r="C2799" s="177"/>
      <c r="D2799" s="178"/>
      <c r="E2799" s="178"/>
      <c r="F2799" s="178"/>
      <c r="G2799" s="178"/>
      <c r="H2799" s="178"/>
      <c r="I2799" s="178"/>
      <c r="J2799" s="178"/>
      <c r="K2799" s="178"/>
      <c r="L2799" s="190"/>
      <c r="M2799" s="178"/>
      <c r="N2799" s="178"/>
      <c r="O2799" s="178"/>
      <c r="P2799" s="231"/>
      <c r="Q2799" s="224"/>
    </row>
    <row r="2800" spans="1:19" s="225" customFormat="1" ht="10.5" x14ac:dyDescent="0.25">
      <c r="A2800" s="229"/>
      <c r="B2800" s="232" t="s">
        <v>5</v>
      </c>
      <c r="C2800" s="182" t="s">
        <v>1328</v>
      </c>
      <c r="D2800" s="182"/>
      <c r="E2800" s="182"/>
      <c r="F2800" s="182"/>
      <c r="G2800" s="182"/>
      <c r="H2800" s="182"/>
      <c r="I2800" s="182"/>
      <c r="J2800" s="182">
        <f>SUM(J2797:J2799)</f>
        <v>64.094078203616888</v>
      </c>
      <c r="K2800" s="182"/>
      <c r="L2800" s="182"/>
      <c r="M2800" s="182"/>
      <c r="N2800" s="182"/>
      <c r="O2800" s="182"/>
      <c r="P2800" s="233"/>
      <c r="Q2800" s="224"/>
    </row>
    <row r="2801" spans="1:19" s="228" customFormat="1" ht="21" x14ac:dyDescent="0.25">
      <c r="A2801" s="226" t="str">
        <f>ORÇAMENTO!A535</f>
        <v>5.4.18</v>
      </c>
      <c r="B2801" s="227" t="str">
        <f>VLOOKUP(A2801,ORÇAMENTO!A:K,4,0)</f>
        <v>USINAGEM DE CBUQ SEM  CAP 50/70, PARA CAPA DE ROLAMENTO (SEM MATERIAL  E TRANSPORTE)</v>
      </c>
      <c r="C2801" s="173" t="str">
        <f>VLOOKUP(A2801,ORÇAMENTO!A:K,5,0)</f>
        <v>T</v>
      </c>
      <c r="D2801" s="173">
        <f>SUM(E2806:O2806)</f>
        <v>0.85168991841895236</v>
      </c>
      <c r="E2801" s="173" t="s">
        <v>1718</v>
      </c>
      <c r="F2801" s="173" t="s">
        <v>1719</v>
      </c>
      <c r="G2801" s="173" t="s">
        <v>1720</v>
      </c>
      <c r="H2801" s="173" t="s">
        <v>1721</v>
      </c>
      <c r="I2801" s="173" t="s">
        <v>1722</v>
      </c>
      <c r="J2801" s="173" t="s">
        <v>1723</v>
      </c>
      <c r="K2801" s="173" t="s">
        <v>1746</v>
      </c>
      <c r="L2801" s="173" t="s">
        <v>1753</v>
      </c>
      <c r="M2801" s="173" t="s">
        <v>1730</v>
      </c>
      <c r="N2801" s="173" t="s">
        <v>1727</v>
      </c>
      <c r="O2801" s="173" t="s">
        <v>1728</v>
      </c>
      <c r="P2801" s="224"/>
      <c r="Q2801" s="224"/>
    </row>
    <row r="2802" spans="1:19" s="225" customFormat="1" ht="10.5" x14ac:dyDescent="0.25">
      <c r="A2802" s="229"/>
      <c r="B2802" s="232" t="s">
        <v>1745</v>
      </c>
      <c r="C2802" s="184"/>
      <c r="D2802" s="185"/>
      <c r="E2802" s="185"/>
      <c r="F2802" s="185"/>
      <c r="G2802" s="185"/>
      <c r="H2802" s="185"/>
      <c r="I2802" s="185"/>
      <c r="J2802" s="185"/>
      <c r="K2802" s="185"/>
      <c r="L2802" s="185"/>
      <c r="M2802" s="185"/>
      <c r="N2802" s="185"/>
      <c r="O2802" s="185"/>
      <c r="P2802" s="231"/>
      <c r="Q2802" s="224"/>
    </row>
    <row r="2803" spans="1:19" s="225" customFormat="1" ht="10.5" x14ac:dyDescent="0.25">
      <c r="A2803" s="229"/>
      <c r="B2803" s="230" t="s">
        <v>1785</v>
      </c>
      <c r="C2803" s="184"/>
      <c r="D2803" s="185"/>
      <c r="E2803" s="185"/>
      <c r="F2803" s="185"/>
      <c r="G2803" s="185"/>
      <c r="H2803" s="185"/>
      <c r="I2803" s="185"/>
      <c r="J2803" s="185"/>
      <c r="K2803" s="185"/>
      <c r="L2803" s="185">
        <v>2.4</v>
      </c>
      <c r="M2803" s="185"/>
      <c r="N2803" s="185"/>
      <c r="O2803" s="185"/>
      <c r="P2803" s="231"/>
      <c r="Q2803" s="224"/>
    </row>
    <row r="2804" spans="1:19" s="225" customFormat="1" ht="10.5" x14ac:dyDescent="0.25">
      <c r="A2804" s="229"/>
      <c r="B2804" s="230" t="str">
        <f>B2719</f>
        <v>CONCRETO BETUMINOSO USINADO A QUENTE</v>
      </c>
      <c r="C2804" s="184"/>
      <c r="D2804" s="185"/>
      <c r="E2804" s="185"/>
      <c r="F2804" s="185"/>
      <c r="G2804" s="185"/>
      <c r="H2804" s="185">
        <f>H2716</f>
        <v>0.03</v>
      </c>
      <c r="I2804" s="185"/>
      <c r="J2804" s="185"/>
      <c r="K2804" s="185">
        <f>L2803*O2804</f>
        <v>0.85168991841895236</v>
      </c>
      <c r="L2804" s="185"/>
      <c r="M2804" s="185"/>
      <c r="N2804" s="185"/>
      <c r="O2804" s="185">
        <f>O2719</f>
        <v>0.35487079934123017</v>
      </c>
      <c r="P2804" s="231"/>
      <c r="Q2804" s="224"/>
    </row>
    <row r="2805" spans="1:19" s="225" customFormat="1" ht="10.5" x14ac:dyDescent="0.25">
      <c r="A2805" s="229"/>
      <c r="B2805" s="230"/>
      <c r="C2805" s="184"/>
      <c r="D2805" s="185"/>
      <c r="E2805" s="185"/>
      <c r="F2805" s="185"/>
      <c r="G2805" s="185"/>
      <c r="H2805" s="185"/>
      <c r="I2805" s="185"/>
      <c r="J2805" s="185"/>
      <c r="K2805" s="185"/>
      <c r="L2805" s="186"/>
      <c r="M2805" s="185"/>
      <c r="N2805" s="185"/>
      <c r="O2805" s="185"/>
      <c r="P2805" s="231"/>
      <c r="Q2805" s="224"/>
    </row>
    <row r="2806" spans="1:19" s="225" customFormat="1" ht="10.5" x14ac:dyDescent="0.25">
      <c r="A2806" s="229"/>
      <c r="B2806" s="232" t="s">
        <v>5</v>
      </c>
      <c r="C2806" s="182" t="s">
        <v>1328</v>
      </c>
      <c r="D2806" s="182"/>
      <c r="E2806" s="182"/>
      <c r="F2806" s="182"/>
      <c r="G2806" s="182"/>
      <c r="H2806" s="182"/>
      <c r="I2806" s="182"/>
      <c r="J2806" s="182"/>
      <c r="K2806" s="182">
        <f>SUM(K2804:K2805)</f>
        <v>0.85168991841895236</v>
      </c>
      <c r="L2806" s="182"/>
      <c r="M2806" s="182"/>
      <c r="N2806" s="182"/>
      <c r="O2806" s="182"/>
      <c r="P2806" s="233"/>
      <c r="Q2806" s="224"/>
    </row>
    <row r="2807" spans="1:19" s="228" customFormat="1" ht="21" x14ac:dyDescent="0.25">
      <c r="A2807" s="226" t="str">
        <f>ORÇAMENTO!A536</f>
        <v>5.4.19</v>
      </c>
      <c r="B2807" s="227" t="str">
        <f>VLOOKUP(A2807,ORÇAMENTO!A:K,4,0)</f>
        <v>CIMENTO ASFÁLTICO DE PETRÓLEO - CAP 50/70 FORNECIMENTO E TRANSPORTE</v>
      </c>
      <c r="C2807" s="173" t="str">
        <f>VLOOKUP(A2807,ORÇAMENTO!A:K,5,0)</f>
        <v>T</v>
      </c>
      <c r="D2807" s="173">
        <f>SUM(E2811:O2811)</f>
        <v>5.385235354163035E-2</v>
      </c>
      <c r="E2807" s="173" t="s">
        <v>1718</v>
      </c>
      <c r="F2807" s="173" t="s">
        <v>1719</v>
      </c>
      <c r="G2807" s="173" t="s">
        <v>1720</v>
      </c>
      <c r="H2807" s="173" t="s">
        <v>1721</v>
      </c>
      <c r="I2807" s="173" t="s">
        <v>1722</v>
      </c>
      <c r="J2807" s="173" t="s">
        <v>1723</v>
      </c>
      <c r="K2807" s="173" t="s">
        <v>1746</v>
      </c>
      <c r="L2807" s="173" t="s">
        <v>1777</v>
      </c>
      <c r="M2807" s="173" t="s">
        <v>1730</v>
      </c>
      <c r="N2807" s="173" t="s">
        <v>1727</v>
      </c>
      <c r="O2807" s="173" t="s">
        <v>1728</v>
      </c>
      <c r="P2807" s="224"/>
      <c r="Q2807" s="224"/>
    </row>
    <row r="2808" spans="1:19" s="225" customFormat="1" ht="10.5" x14ac:dyDescent="0.25">
      <c r="A2808" s="229"/>
      <c r="B2808" s="230" t="str">
        <f>B2804</f>
        <v>CONCRETO BETUMINOSO USINADO A QUENTE</v>
      </c>
      <c r="C2808" s="184"/>
      <c r="D2808" s="185"/>
      <c r="E2808" s="185"/>
      <c r="F2808" s="185"/>
      <c r="G2808" s="185"/>
      <c r="H2808" s="185"/>
      <c r="I2808" s="185"/>
      <c r="J2808" s="185"/>
      <c r="K2808" s="185">
        <f>K2804</f>
        <v>0.85168991841895236</v>
      </c>
      <c r="L2808" s="185"/>
      <c r="M2808" s="185"/>
      <c r="N2808" s="185"/>
      <c r="O2808" s="185"/>
      <c r="P2808" s="231"/>
      <c r="Q2808" s="224"/>
    </row>
    <row r="2809" spans="1:19" s="225" customFormat="1" ht="10.5" x14ac:dyDescent="0.25">
      <c r="A2809" s="229"/>
      <c r="B2809" s="230" t="s">
        <v>1786</v>
      </c>
      <c r="C2809" s="184"/>
      <c r="D2809" s="185"/>
      <c r="E2809" s="185"/>
      <c r="F2809" s="185"/>
      <c r="G2809" s="185"/>
      <c r="H2809" s="185"/>
      <c r="I2809" s="185"/>
      <c r="J2809" s="185"/>
      <c r="K2809" s="185"/>
      <c r="L2809" s="199">
        <v>6.3229999999999995E-2</v>
      </c>
      <c r="M2809" s="185"/>
      <c r="N2809" s="185"/>
      <c r="O2809" s="185"/>
      <c r="P2809" s="231"/>
      <c r="Q2809" s="224"/>
    </row>
    <row r="2810" spans="1:19" s="225" customFormat="1" ht="10.5" x14ac:dyDescent="0.25">
      <c r="A2810" s="229"/>
      <c r="B2810" s="230"/>
      <c r="C2810" s="184"/>
      <c r="D2810" s="185"/>
      <c r="E2810" s="185"/>
      <c r="F2810" s="185"/>
      <c r="G2810" s="185"/>
      <c r="H2810" s="185"/>
      <c r="I2810" s="185"/>
      <c r="J2810" s="185"/>
      <c r="L2810" s="185"/>
      <c r="M2810" s="185"/>
      <c r="N2810" s="185"/>
      <c r="O2810" s="185"/>
      <c r="P2810" s="231"/>
      <c r="Q2810" s="224"/>
    </row>
    <row r="2811" spans="1:19" s="225" customFormat="1" ht="10.5" x14ac:dyDescent="0.25">
      <c r="A2811" s="229"/>
      <c r="B2811" s="232" t="s">
        <v>5</v>
      </c>
      <c r="C2811" s="184"/>
      <c r="D2811" s="185"/>
      <c r="E2811" s="185"/>
      <c r="F2811" s="185"/>
      <c r="G2811" s="185"/>
      <c r="H2811" s="185"/>
      <c r="I2811" s="185"/>
      <c r="J2811" s="185"/>
      <c r="K2811" s="185">
        <f>K2808*L2809</f>
        <v>5.385235354163035E-2</v>
      </c>
      <c r="L2811" s="186"/>
      <c r="M2811" s="185"/>
      <c r="N2811" s="185"/>
      <c r="O2811" s="185"/>
      <c r="P2811" s="231"/>
      <c r="Q2811" s="224"/>
    </row>
    <row r="2812" spans="1:19" s="235" customFormat="1" ht="21" x14ac:dyDescent="0.35">
      <c r="A2812" s="226" t="str">
        <f>ORÇAMENTO!A537</f>
        <v>5.4.20</v>
      </c>
      <c r="B2812" s="227" t="str">
        <f>VLOOKUP(A2812,ORÇAMENTO!A:K,4,0)</f>
        <v>EMULSÃO ASFÁLTICA - RR-1C - FORNECIMENTO E TRANSPORTE</v>
      </c>
      <c r="C2812" s="173" t="str">
        <f>VLOOKUP(A2812,ORÇAMENTO!A:K,5,0)</f>
        <v>T</v>
      </c>
      <c r="D2812" s="173">
        <f>SUM(E2820:O2820)</f>
        <v>5.3230619901184538E-3</v>
      </c>
      <c r="E2812" s="173" t="s">
        <v>1718</v>
      </c>
      <c r="F2812" s="173" t="s">
        <v>1719</v>
      </c>
      <c r="G2812" s="173" t="s">
        <v>1720</v>
      </c>
      <c r="H2812" s="173" t="s">
        <v>1721</v>
      </c>
      <c r="I2812" s="173" t="s">
        <v>1722</v>
      </c>
      <c r="J2812" s="173" t="s">
        <v>1723</v>
      </c>
      <c r="K2812" s="173" t="s">
        <v>1746</v>
      </c>
      <c r="L2812" s="173" t="s">
        <v>1777</v>
      </c>
      <c r="M2812" s="173" t="s">
        <v>1768</v>
      </c>
      <c r="N2812" s="173" t="s">
        <v>1727</v>
      </c>
      <c r="O2812" s="173" t="s">
        <v>1728</v>
      </c>
      <c r="P2812" s="224"/>
      <c r="Q2812" s="224"/>
      <c r="R2812" s="224"/>
      <c r="S2812" s="224"/>
    </row>
    <row r="2813" spans="1:19" s="235" customFormat="1" ht="21" x14ac:dyDescent="0.35">
      <c r="A2813" s="229"/>
      <c r="B2813" s="232" t="s">
        <v>1778</v>
      </c>
      <c r="C2813" s="177"/>
      <c r="D2813" s="177"/>
      <c r="E2813" s="178"/>
      <c r="F2813" s="178"/>
      <c r="G2813" s="178"/>
      <c r="H2813" s="178"/>
      <c r="I2813" s="178"/>
      <c r="J2813" s="178"/>
      <c r="K2813" s="178"/>
      <c r="L2813" s="178"/>
      <c r="M2813" s="178"/>
      <c r="N2813" s="178"/>
      <c r="O2813" s="178"/>
      <c r="P2813" s="224"/>
      <c r="Q2813" s="224"/>
      <c r="R2813" s="224"/>
      <c r="S2813" s="224"/>
    </row>
    <row r="2814" spans="1:19" s="225" customFormat="1" ht="31.5" x14ac:dyDescent="0.25">
      <c r="A2814" s="229"/>
      <c r="B2814" s="230" t="s">
        <v>1779</v>
      </c>
      <c r="C2814" s="177"/>
      <c r="D2814" s="178"/>
      <c r="E2814" s="178"/>
      <c r="F2814" s="178"/>
      <c r="G2814" s="178"/>
      <c r="H2814" s="178"/>
      <c r="I2814" s="178"/>
      <c r="J2814" s="178"/>
      <c r="K2814" s="178"/>
      <c r="L2814" s="198">
        <v>4.4999999999999999E-4</v>
      </c>
      <c r="M2814" s="178"/>
      <c r="N2814" s="178"/>
      <c r="O2814" s="178"/>
      <c r="P2814" s="231"/>
      <c r="Q2814" s="224"/>
    </row>
    <row r="2815" spans="1:19" s="237" customFormat="1" x14ac:dyDescent="0.35">
      <c r="A2815" s="229"/>
      <c r="B2815" s="230" t="str">
        <f>B2725</f>
        <v>PV1-50</v>
      </c>
      <c r="C2815" s="185"/>
      <c r="D2815" s="185"/>
      <c r="E2815" s="185"/>
      <c r="F2815" s="185"/>
      <c r="G2815" s="185"/>
      <c r="H2815" s="185"/>
      <c r="I2815" s="185"/>
      <c r="J2815" s="185"/>
      <c r="K2815" s="191">
        <f>$L$2814*N2815</f>
        <v>1.3307654975296135E-3</v>
      </c>
      <c r="L2815" s="185"/>
      <c r="M2815" s="185"/>
      <c r="N2815" s="215">
        <f>N2725</f>
        <v>2.9572566611769187</v>
      </c>
      <c r="O2815" s="215"/>
      <c r="P2815" s="236"/>
      <c r="Q2815" s="236"/>
      <c r="R2815" s="236"/>
      <c r="S2815" s="236"/>
    </row>
    <row r="2816" spans="1:19" s="237" customFormat="1" x14ac:dyDescent="0.35">
      <c r="A2816" s="229"/>
      <c r="B2816" s="230" t="str">
        <f>B2726</f>
        <v>PV5-45</v>
      </c>
      <c r="C2816" s="185"/>
      <c r="D2816" s="185"/>
      <c r="E2816" s="185"/>
      <c r="F2816" s="185"/>
      <c r="G2816" s="185"/>
      <c r="H2816" s="185"/>
      <c r="I2816" s="185"/>
      <c r="J2816" s="185"/>
      <c r="K2816" s="191">
        <f>$L$2814*N2816</f>
        <v>1.3307654975296135E-3</v>
      </c>
      <c r="L2816" s="185"/>
      <c r="M2816" s="185"/>
      <c r="N2816" s="215">
        <f>N2726</f>
        <v>2.9572566611769187</v>
      </c>
      <c r="O2816" s="215"/>
      <c r="P2816" s="236"/>
      <c r="Q2816" s="236"/>
      <c r="R2816" s="236"/>
      <c r="S2816" s="236"/>
    </row>
    <row r="2817" spans="1:19" s="237" customFormat="1" x14ac:dyDescent="0.35">
      <c r="A2817" s="229"/>
      <c r="B2817" s="230" t="str">
        <f>B2727</f>
        <v>PV3-45</v>
      </c>
      <c r="C2817" s="185"/>
      <c r="D2817" s="185"/>
      <c r="E2817" s="185"/>
      <c r="F2817" s="185"/>
      <c r="G2817" s="185"/>
      <c r="H2817" s="185"/>
      <c r="I2817" s="185"/>
      <c r="J2817" s="185"/>
      <c r="K2817" s="191">
        <f>$L$2814*N2817</f>
        <v>1.3307654975296135E-3</v>
      </c>
      <c r="L2817" s="185"/>
      <c r="M2817" s="185"/>
      <c r="N2817" s="215">
        <f>N2727</f>
        <v>2.9572566611769187</v>
      </c>
      <c r="O2817" s="215"/>
      <c r="P2817" s="236"/>
      <c r="Q2817" s="236"/>
      <c r="R2817" s="236"/>
      <c r="S2817" s="236"/>
    </row>
    <row r="2818" spans="1:19" s="237" customFormat="1" x14ac:dyDescent="0.35">
      <c r="A2818" s="229"/>
      <c r="B2818" s="230" t="str">
        <f>B2728</f>
        <v>PV5-45</v>
      </c>
      <c r="C2818" s="185"/>
      <c r="D2818" s="185"/>
      <c r="E2818" s="185"/>
      <c r="F2818" s="185"/>
      <c r="G2818" s="185"/>
      <c r="H2818" s="185"/>
      <c r="I2818" s="185"/>
      <c r="J2818" s="185"/>
      <c r="K2818" s="191">
        <f>$L$2814*N2818</f>
        <v>1.3307654975296135E-3</v>
      </c>
      <c r="L2818" s="185"/>
      <c r="M2818" s="185"/>
      <c r="N2818" s="215">
        <f>N2728</f>
        <v>2.9572566611769187</v>
      </c>
      <c r="O2818" s="215"/>
      <c r="P2818" s="236"/>
      <c r="Q2818" s="236"/>
      <c r="R2818" s="236"/>
      <c r="S2818" s="236"/>
    </row>
    <row r="2819" spans="1:19" s="237" customFormat="1" x14ac:dyDescent="0.35">
      <c r="A2819" s="229"/>
      <c r="B2819" s="230"/>
      <c r="C2819" s="185"/>
      <c r="D2819" s="185"/>
      <c r="E2819" s="185"/>
      <c r="F2819" s="185"/>
      <c r="G2819" s="185"/>
      <c r="H2819" s="185"/>
      <c r="I2819" s="185"/>
      <c r="J2819" s="185"/>
      <c r="K2819" s="185"/>
      <c r="L2819" s="185"/>
      <c r="M2819" s="185"/>
      <c r="N2819" s="185"/>
      <c r="O2819" s="193"/>
      <c r="P2819" s="236"/>
      <c r="Q2819" s="236"/>
      <c r="R2819" s="236"/>
      <c r="S2819" s="236"/>
    </row>
    <row r="2820" spans="1:19" s="235" customFormat="1" x14ac:dyDescent="0.35">
      <c r="A2820" s="238"/>
      <c r="B2820" s="232" t="s">
        <v>5</v>
      </c>
      <c r="C2820" s="208" t="s">
        <v>1328</v>
      </c>
      <c r="D2820" s="208"/>
      <c r="E2820" s="208"/>
      <c r="F2820" s="208"/>
      <c r="G2820" s="208"/>
      <c r="H2820" s="208"/>
      <c r="I2820" s="208"/>
      <c r="J2820" s="208"/>
      <c r="K2820" s="196">
        <f>SUM(K2815:K2818)</f>
        <v>5.3230619901184538E-3</v>
      </c>
      <c r="L2820" s="208"/>
      <c r="M2820" s="208"/>
      <c r="N2820" s="208"/>
      <c r="O2820" s="196"/>
      <c r="P2820" s="224"/>
      <c r="Q2820" s="224"/>
      <c r="R2820" s="224"/>
      <c r="S2820" s="224"/>
    </row>
    <row r="2821" spans="1:19" s="235" customFormat="1" ht="21" x14ac:dyDescent="0.35">
      <c r="A2821" s="226" t="str">
        <f>ORÇAMENTO!A538</f>
        <v>5.4.21</v>
      </c>
      <c r="B2821" s="227" t="str">
        <f>VLOOKUP(A2821,ORÇAMENTO!A:K,4,0)</f>
        <v>EMULSÃO ASFÁLTICA PARA IMPRIMAÇÃO - FORNECIMENTO E TRANSPORTE</v>
      </c>
      <c r="C2821" s="173" t="str">
        <f>VLOOKUP(A2821,ORÇAMENTO!A:K,5,0)</f>
        <v>T</v>
      </c>
      <c r="D2821" s="173">
        <f>SUM(E2829:O2829)</f>
        <v>1.5377734638119976E-2</v>
      </c>
      <c r="E2821" s="173" t="s">
        <v>1718</v>
      </c>
      <c r="F2821" s="173" t="s">
        <v>1719</v>
      </c>
      <c r="G2821" s="173" t="s">
        <v>1720</v>
      </c>
      <c r="H2821" s="173" t="s">
        <v>1721</v>
      </c>
      <c r="I2821" s="173" t="s">
        <v>1722</v>
      </c>
      <c r="J2821" s="173" t="s">
        <v>1723</v>
      </c>
      <c r="K2821" s="173" t="s">
        <v>1746</v>
      </c>
      <c r="L2821" s="173" t="s">
        <v>1777</v>
      </c>
      <c r="M2821" s="173" t="s">
        <v>1768</v>
      </c>
      <c r="N2821" s="173" t="s">
        <v>1727</v>
      </c>
      <c r="O2821" s="173" t="s">
        <v>1728</v>
      </c>
      <c r="P2821" s="224"/>
      <c r="Q2821" s="224"/>
      <c r="R2821" s="224"/>
      <c r="S2821" s="224"/>
    </row>
    <row r="2822" spans="1:19" s="235" customFormat="1" x14ac:dyDescent="0.35">
      <c r="A2822" s="229"/>
      <c r="B2822" s="232" t="s">
        <v>1780</v>
      </c>
      <c r="C2822" s="177"/>
      <c r="D2822" s="177"/>
      <c r="E2822" s="178"/>
      <c r="F2822" s="178"/>
      <c r="G2822" s="178"/>
      <c r="H2822" s="178"/>
      <c r="I2822" s="178"/>
      <c r="J2822" s="178"/>
      <c r="K2822" s="178"/>
      <c r="L2822" s="178"/>
      <c r="M2822" s="178"/>
      <c r="N2822" s="178"/>
      <c r="O2822" s="178"/>
      <c r="P2822" s="224"/>
      <c r="Q2822" s="224"/>
      <c r="R2822" s="224"/>
      <c r="S2822" s="224"/>
    </row>
    <row r="2823" spans="1:19" s="225" customFormat="1" ht="42" x14ac:dyDescent="0.25">
      <c r="A2823" s="229"/>
      <c r="B2823" s="230" t="s">
        <v>1781</v>
      </c>
      <c r="C2823" s="177"/>
      <c r="D2823" s="178"/>
      <c r="E2823" s="178"/>
      <c r="F2823" s="178"/>
      <c r="G2823" s="178"/>
      <c r="H2823" s="178"/>
      <c r="I2823" s="178"/>
      <c r="J2823" s="178"/>
      <c r="K2823" s="178"/>
      <c r="L2823" s="198">
        <v>1.2999999999999999E-3</v>
      </c>
      <c r="M2823" s="178"/>
      <c r="N2823" s="178"/>
      <c r="O2823" s="178"/>
      <c r="P2823" s="231"/>
      <c r="Q2823" s="224"/>
    </row>
    <row r="2824" spans="1:19" s="237" customFormat="1" x14ac:dyDescent="0.35">
      <c r="A2824" s="229"/>
      <c r="B2824" s="230" t="str">
        <f>B2734</f>
        <v>PV1-50</v>
      </c>
      <c r="C2824" s="185"/>
      <c r="D2824" s="185"/>
      <c r="E2824" s="185"/>
      <c r="F2824" s="185"/>
      <c r="G2824" s="185"/>
      <c r="H2824" s="185"/>
      <c r="I2824" s="185"/>
      <c r="J2824" s="185"/>
      <c r="K2824" s="191">
        <f>$L$2823*N2824</f>
        <v>3.844433659529994E-3</v>
      </c>
      <c r="L2824" s="185"/>
      <c r="M2824" s="185"/>
      <c r="N2824" s="215">
        <f>N2734</f>
        <v>2.9572566611769187</v>
      </c>
      <c r="O2824" s="215"/>
      <c r="P2824" s="236"/>
      <c r="Q2824" s="236"/>
      <c r="R2824" s="236"/>
      <c r="S2824" s="236"/>
    </row>
    <row r="2825" spans="1:19" s="237" customFormat="1" x14ac:dyDescent="0.35">
      <c r="A2825" s="229"/>
      <c r="B2825" s="230" t="str">
        <f>B2735</f>
        <v>PV5-45</v>
      </c>
      <c r="C2825" s="185"/>
      <c r="D2825" s="185"/>
      <c r="E2825" s="185"/>
      <c r="F2825" s="185"/>
      <c r="G2825" s="185"/>
      <c r="H2825" s="185"/>
      <c r="I2825" s="185"/>
      <c r="J2825" s="185"/>
      <c r="K2825" s="191">
        <f>$L$2823*N2825</f>
        <v>3.844433659529994E-3</v>
      </c>
      <c r="L2825" s="185"/>
      <c r="M2825" s="185"/>
      <c r="N2825" s="215">
        <f>N2735</f>
        <v>2.9572566611769187</v>
      </c>
      <c r="O2825" s="215"/>
      <c r="P2825" s="236"/>
      <c r="Q2825" s="236"/>
      <c r="R2825" s="236"/>
      <c r="S2825" s="236"/>
    </row>
    <row r="2826" spans="1:19" s="237" customFormat="1" x14ac:dyDescent="0.35">
      <c r="A2826" s="229"/>
      <c r="B2826" s="230" t="str">
        <f>B2736</f>
        <v>PV3-45</v>
      </c>
      <c r="C2826" s="185"/>
      <c r="D2826" s="185"/>
      <c r="E2826" s="185"/>
      <c r="F2826" s="185"/>
      <c r="G2826" s="185"/>
      <c r="H2826" s="185"/>
      <c r="I2826" s="185"/>
      <c r="J2826" s="185"/>
      <c r="K2826" s="191">
        <f>$L$2823*N2826</f>
        <v>3.844433659529994E-3</v>
      </c>
      <c r="L2826" s="185"/>
      <c r="M2826" s="185"/>
      <c r="N2826" s="215">
        <f>N2736</f>
        <v>2.9572566611769187</v>
      </c>
      <c r="O2826" s="215"/>
      <c r="P2826" s="236"/>
      <c r="Q2826" s="236"/>
      <c r="R2826" s="236"/>
      <c r="S2826" s="236"/>
    </row>
    <row r="2827" spans="1:19" s="237" customFormat="1" x14ac:dyDescent="0.35">
      <c r="A2827" s="229"/>
      <c r="B2827" s="230" t="str">
        <f>B2737</f>
        <v>PV5-45</v>
      </c>
      <c r="C2827" s="185"/>
      <c r="D2827" s="185"/>
      <c r="E2827" s="185"/>
      <c r="F2827" s="185"/>
      <c r="G2827" s="185"/>
      <c r="H2827" s="185"/>
      <c r="I2827" s="185"/>
      <c r="J2827" s="185"/>
      <c r="K2827" s="191">
        <f>$L$2823*N2827</f>
        <v>3.844433659529994E-3</v>
      </c>
      <c r="L2827" s="185"/>
      <c r="M2827" s="185"/>
      <c r="N2827" s="215">
        <f>N2737</f>
        <v>2.9572566611769187</v>
      </c>
      <c r="O2827" s="215"/>
      <c r="P2827" s="236"/>
      <c r="Q2827" s="236"/>
      <c r="R2827" s="236"/>
      <c r="S2827" s="236"/>
    </row>
    <row r="2828" spans="1:19" s="237" customFormat="1" x14ac:dyDescent="0.35">
      <c r="A2828" s="229"/>
      <c r="B2828" s="230"/>
      <c r="C2828" s="185"/>
      <c r="D2828" s="185"/>
      <c r="E2828" s="185"/>
      <c r="F2828" s="185"/>
      <c r="G2828" s="185"/>
      <c r="H2828" s="185"/>
      <c r="I2828" s="185"/>
      <c r="J2828" s="185"/>
      <c r="K2828" s="185"/>
      <c r="L2828" s="185"/>
      <c r="M2828" s="185"/>
      <c r="N2828" s="185"/>
      <c r="O2828" s="193"/>
      <c r="P2828" s="236"/>
      <c r="Q2828" s="236"/>
      <c r="R2828" s="236"/>
      <c r="S2828" s="236"/>
    </row>
    <row r="2829" spans="1:19" s="235" customFormat="1" x14ac:dyDescent="0.35">
      <c r="A2829" s="238"/>
      <c r="B2829" s="232" t="s">
        <v>5</v>
      </c>
      <c r="C2829" s="208" t="s">
        <v>1328</v>
      </c>
      <c r="D2829" s="208"/>
      <c r="E2829" s="208"/>
      <c r="F2829" s="208"/>
      <c r="G2829" s="208"/>
      <c r="H2829" s="208"/>
      <c r="I2829" s="208"/>
      <c r="J2829" s="208"/>
      <c r="K2829" s="196">
        <f>SUM(K2824:K2827)</f>
        <v>1.5377734638119976E-2</v>
      </c>
      <c r="L2829" s="208"/>
      <c r="M2829" s="208"/>
      <c r="N2829" s="208"/>
      <c r="O2829" s="196"/>
      <c r="P2829" s="224"/>
      <c r="Q2829" s="224"/>
      <c r="R2829" s="224"/>
      <c r="S2829" s="224"/>
    </row>
    <row r="2830" spans="1:19" s="235" customFormat="1" ht="21" x14ac:dyDescent="0.35">
      <c r="A2830" s="226" t="str">
        <f>ORÇAMENTO!A539</f>
        <v>5.4.22</v>
      </c>
      <c r="B2830" s="227" t="str">
        <f>VLOOKUP(A2830,ORÇAMENTO!A:K,4,0)</f>
        <v>CAL HIDRATADA - A GRANEL</v>
      </c>
      <c r="C2830" s="173" t="str">
        <f>VLOOKUP(A2830,ORÇAMENTO!A:K,5,0)</f>
        <v>KG</v>
      </c>
      <c r="D2830" s="173">
        <f>SUM(E2838:O2838)</f>
        <v>1.0143390347836829</v>
      </c>
      <c r="E2830" s="173" t="s">
        <v>1718</v>
      </c>
      <c r="F2830" s="173" t="s">
        <v>1719</v>
      </c>
      <c r="G2830" s="173" t="s">
        <v>1720</v>
      </c>
      <c r="H2830" s="173" t="s">
        <v>1721</v>
      </c>
      <c r="I2830" s="173" t="s">
        <v>1722</v>
      </c>
      <c r="J2830" s="173" t="s">
        <v>1723</v>
      </c>
      <c r="K2830" s="173" t="s">
        <v>1724</v>
      </c>
      <c r="L2830" s="173" t="s">
        <v>1753</v>
      </c>
      <c r="M2830" s="173" t="s">
        <v>1768</v>
      </c>
      <c r="N2830" s="173" t="s">
        <v>1727</v>
      </c>
      <c r="O2830" s="173" t="s">
        <v>1728</v>
      </c>
      <c r="P2830" s="224"/>
      <c r="Q2830" s="224"/>
      <c r="R2830" s="224"/>
      <c r="S2830" s="224"/>
    </row>
    <row r="2831" spans="1:19" s="235" customFormat="1" x14ac:dyDescent="0.35">
      <c r="A2831" s="229"/>
      <c r="B2831" s="232" t="s">
        <v>1864</v>
      </c>
      <c r="C2831" s="177"/>
      <c r="D2831" s="177"/>
      <c r="E2831" s="178"/>
      <c r="F2831" s="178"/>
      <c r="G2831" s="178"/>
      <c r="H2831" s="178"/>
      <c r="I2831" s="178"/>
      <c r="J2831" s="178"/>
      <c r="K2831" s="178"/>
      <c r="L2831" s="178"/>
      <c r="M2831" s="178"/>
      <c r="N2831" s="178"/>
      <c r="O2831" s="178"/>
      <c r="P2831" s="224"/>
      <c r="Q2831" s="224"/>
      <c r="R2831" s="224"/>
      <c r="S2831" s="224"/>
    </row>
    <row r="2832" spans="1:19" s="225" customFormat="1" ht="10.5" x14ac:dyDescent="0.25">
      <c r="A2832" s="229"/>
      <c r="B2832" s="230" t="s">
        <v>1865</v>
      </c>
      <c r="C2832" s="177"/>
      <c r="D2832" s="178"/>
      <c r="E2832" s="178"/>
      <c r="F2832" s="178"/>
      <c r="G2832" s="178"/>
      <c r="H2832" s="178"/>
      <c r="I2832" s="178"/>
      <c r="J2832" s="178"/>
      <c r="K2832" s="178"/>
      <c r="L2832" s="198">
        <v>0.7</v>
      </c>
      <c r="M2832" s="178"/>
      <c r="N2832" s="178"/>
      <c r="O2832" s="178"/>
      <c r="P2832" s="231"/>
      <c r="Q2832" s="224"/>
    </row>
    <row r="2833" spans="1:19" s="237" customFormat="1" x14ac:dyDescent="0.35">
      <c r="A2833" s="229"/>
      <c r="B2833" s="230" t="str">
        <f>B2752</f>
        <v>PV1-50</v>
      </c>
      <c r="C2833" s="185"/>
      <c r="D2833" s="185"/>
      <c r="E2833" s="185"/>
      <c r="F2833" s="185"/>
      <c r="G2833" s="185"/>
      <c r="H2833" s="185"/>
      <c r="I2833" s="185"/>
      <c r="J2833" s="185"/>
      <c r="K2833" s="185">
        <f>$L$2832*O2833</f>
        <v>8.280318651295368E-2</v>
      </c>
      <c r="L2833" s="185"/>
      <c r="M2833" s="185"/>
      <c r="N2833" s="185"/>
      <c r="O2833" s="215">
        <f>O2752</f>
        <v>0.11829026644707669</v>
      </c>
      <c r="P2833" s="236"/>
      <c r="Q2833" s="236"/>
      <c r="R2833" s="236"/>
      <c r="S2833" s="236"/>
    </row>
    <row r="2834" spans="1:19" s="237" customFormat="1" x14ac:dyDescent="0.35">
      <c r="A2834" s="229"/>
      <c r="B2834" s="230" t="str">
        <f>B2753</f>
        <v>PV5-45</v>
      </c>
      <c r="C2834" s="185"/>
      <c r="D2834" s="185"/>
      <c r="E2834" s="185"/>
      <c r="F2834" s="185"/>
      <c r="G2834" s="185"/>
      <c r="H2834" s="185"/>
      <c r="I2834" s="185"/>
      <c r="J2834" s="185"/>
      <c r="K2834" s="185">
        <f>$L$2832*O2834</f>
        <v>0.31051194942357646</v>
      </c>
      <c r="L2834" s="185"/>
      <c r="M2834" s="185"/>
      <c r="N2834" s="185"/>
      <c r="O2834" s="215">
        <f>O2753</f>
        <v>0.44358849917653781</v>
      </c>
      <c r="P2834" s="236"/>
      <c r="Q2834" s="236"/>
      <c r="R2834" s="236"/>
      <c r="S2834" s="236"/>
    </row>
    <row r="2835" spans="1:19" s="237" customFormat="1" x14ac:dyDescent="0.35">
      <c r="A2835" s="229"/>
      <c r="B2835" s="230" t="str">
        <f>B2754</f>
        <v>PV3-45</v>
      </c>
      <c r="C2835" s="185"/>
      <c r="D2835" s="185"/>
      <c r="E2835" s="185"/>
      <c r="F2835" s="185"/>
      <c r="G2835" s="185"/>
      <c r="H2835" s="185"/>
      <c r="I2835" s="185"/>
      <c r="J2835" s="185"/>
      <c r="K2835" s="185">
        <f>$L$2832*O2835</f>
        <v>0.31051194942357646</v>
      </c>
      <c r="L2835" s="185"/>
      <c r="M2835" s="185"/>
      <c r="N2835" s="185"/>
      <c r="O2835" s="215">
        <f>O2754</f>
        <v>0.44358849917653781</v>
      </c>
      <c r="P2835" s="236"/>
      <c r="Q2835" s="236"/>
      <c r="R2835" s="236"/>
      <c r="S2835" s="236"/>
    </row>
    <row r="2836" spans="1:19" s="237" customFormat="1" x14ac:dyDescent="0.35">
      <c r="A2836" s="229"/>
      <c r="B2836" s="230" t="str">
        <f>B2755</f>
        <v>PV5-45</v>
      </c>
      <c r="C2836" s="185"/>
      <c r="D2836" s="185"/>
      <c r="E2836" s="185"/>
      <c r="F2836" s="185"/>
      <c r="G2836" s="185"/>
      <c r="H2836" s="185"/>
      <c r="I2836" s="185"/>
      <c r="J2836" s="185"/>
      <c r="K2836" s="185">
        <f>$L$2832*O2836</f>
        <v>0.31051194942357646</v>
      </c>
      <c r="L2836" s="185"/>
      <c r="M2836" s="185"/>
      <c r="N2836" s="185"/>
      <c r="O2836" s="215">
        <f>O2755</f>
        <v>0.44358849917653781</v>
      </c>
      <c r="P2836" s="236"/>
      <c r="Q2836" s="236"/>
      <c r="R2836" s="236"/>
      <c r="S2836" s="236"/>
    </row>
    <row r="2837" spans="1:19" s="237" customFormat="1" x14ac:dyDescent="0.35">
      <c r="A2837" s="229"/>
      <c r="B2837" s="230"/>
      <c r="C2837" s="185"/>
      <c r="D2837" s="185"/>
      <c r="E2837" s="185"/>
      <c r="F2837" s="185"/>
      <c r="G2837" s="185"/>
      <c r="H2837" s="185"/>
      <c r="I2837" s="185"/>
      <c r="J2837" s="185"/>
      <c r="K2837" s="185"/>
      <c r="L2837" s="185"/>
      <c r="M2837" s="185"/>
      <c r="N2837" s="185"/>
      <c r="O2837" s="193"/>
      <c r="P2837" s="236"/>
      <c r="Q2837" s="236"/>
      <c r="R2837" s="236"/>
      <c r="S2837" s="236"/>
    </row>
    <row r="2838" spans="1:19" s="235" customFormat="1" x14ac:dyDescent="0.35">
      <c r="A2838" s="238"/>
      <c r="B2838" s="232" t="s">
        <v>5</v>
      </c>
      <c r="C2838" s="208" t="s">
        <v>1328</v>
      </c>
      <c r="D2838" s="208"/>
      <c r="E2838" s="208"/>
      <c r="F2838" s="208"/>
      <c r="G2838" s="208"/>
      <c r="H2838" s="208"/>
      <c r="I2838" s="208"/>
      <c r="J2838" s="208"/>
      <c r="K2838" s="196">
        <f>SUM(K2833:K2836)</f>
        <v>1.0143390347836829</v>
      </c>
      <c r="L2838" s="208"/>
      <c r="M2838" s="208"/>
      <c r="N2838" s="208"/>
      <c r="O2838" s="196"/>
      <c r="P2838" s="224"/>
      <c r="Q2838" s="224"/>
      <c r="R2838" s="224"/>
      <c r="S2838" s="224"/>
    </row>
    <row r="2839" spans="1:19" s="225" customFormat="1" ht="10.5" x14ac:dyDescent="0.25">
      <c r="A2839" s="222" t="str">
        <f>ORÇAMENTO!A541</f>
        <v>6.1</v>
      </c>
      <c r="B2839" s="223" t="str">
        <f>VLOOKUP(A2839,ORÇAMENTO!A:K,4,0)</f>
        <v>OBRAS DE DRENAGEM DE ÁGUAS PLUVIAIS</v>
      </c>
      <c r="C2839" s="167"/>
      <c r="D2839" s="167"/>
      <c r="E2839" s="168"/>
      <c r="F2839" s="168"/>
      <c r="G2839" s="168"/>
      <c r="H2839" s="168"/>
      <c r="I2839" s="168"/>
      <c r="J2839" s="168"/>
      <c r="K2839" s="168"/>
      <c r="L2839" s="168"/>
      <c r="M2839" s="168"/>
      <c r="N2839" s="168"/>
      <c r="O2839" s="168"/>
      <c r="P2839" s="224"/>
      <c r="Q2839" s="224"/>
    </row>
    <row r="2840" spans="1:19" s="225" customFormat="1" ht="10.5" x14ac:dyDescent="0.25">
      <c r="A2840" s="222" t="str">
        <f>ORÇAMENTO!A542</f>
        <v>6.1.1</v>
      </c>
      <c r="B2840" s="223" t="str">
        <f>VLOOKUP(A2840,ORÇAMENTO!A:K,4,0)</f>
        <v>SERVIÇOS PRELIMINARES</v>
      </c>
      <c r="C2840" s="167"/>
      <c r="D2840" s="167"/>
      <c r="E2840" s="168"/>
      <c r="F2840" s="168"/>
      <c r="G2840" s="168"/>
      <c r="H2840" s="168"/>
      <c r="I2840" s="168"/>
      <c r="J2840" s="168"/>
      <c r="K2840" s="168"/>
      <c r="L2840" s="168"/>
      <c r="M2840" s="168"/>
      <c r="N2840" s="168"/>
      <c r="O2840" s="168"/>
      <c r="P2840" s="224"/>
      <c r="Q2840" s="224"/>
    </row>
    <row r="2841" spans="1:19" s="228" customFormat="1" ht="21" x14ac:dyDescent="0.25">
      <c r="A2841" s="226" t="str">
        <f>ORÇAMENTO!A544</f>
        <v>6.1.1.1.1</v>
      </c>
      <c r="B2841" s="227" t="str">
        <f>VLOOKUP(A2841,ORÇAMENTO!A:K,4,0)</f>
        <v>PLACA DE OBRA EM CHAPA DE ACO GALVANIZADO</v>
      </c>
      <c r="C2841" s="173" t="str">
        <f>VLOOKUP(A2841,ORÇAMENTO!A:K,5,0)</f>
        <v>M²</v>
      </c>
      <c r="D2841" s="173">
        <f>SUM(E2845:O2845)</f>
        <v>12</v>
      </c>
      <c r="E2841" s="173" t="s">
        <v>1718</v>
      </c>
      <c r="F2841" s="173" t="s">
        <v>1719</v>
      </c>
      <c r="G2841" s="173" t="s">
        <v>1720</v>
      </c>
      <c r="H2841" s="173" t="s">
        <v>1721</v>
      </c>
      <c r="I2841" s="173" t="s">
        <v>1722</v>
      </c>
      <c r="J2841" s="173" t="s">
        <v>1723</v>
      </c>
      <c r="K2841" s="173" t="s">
        <v>1724</v>
      </c>
      <c r="L2841" s="173" t="s">
        <v>1725</v>
      </c>
      <c r="M2841" s="173" t="s">
        <v>1726</v>
      </c>
      <c r="N2841" s="173" t="s">
        <v>1727</v>
      </c>
      <c r="O2841" s="173" t="s">
        <v>1728</v>
      </c>
      <c r="P2841" s="224"/>
      <c r="Q2841" s="224"/>
    </row>
    <row r="2842" spans="1:19" s="225" customFormat="1" ht="10.5" x14ac:dyDescent="0.25">
      <c r="A2842" s="229"/>
      <c r="B2842" s="230"/>
      <c r="C2842" s="177"/>
      <c r="D2842" s="178"/>
      <c r="E2842" s="178"/>
      <c r="F2842" s="178"/>
      <c r="G2842" s="178"/>
      <c r="H2842" s="178"/>
      <c r="I2842" s="178"/>
      <c r="J2842" s="178"/>
      <c r="K2842" s="178"/>
      <c r="L2842" s="178"/>
      <c r="M2842" s="178"/>
      <c r="N2842" s="178"/>
      <c r="O2842" s="178"/>
      <c r="P2842" s="231"/>
      <c r="Q2842" s="224"/>
    </row>
    <row r="2843" spans="1:19" s="225" customFormat="1" ht="21" x14ac:dyDescent="0.25">
      <c r="A2843" s="229"/>
      <c r="B2843" s="230" t="s">
        <v>1729</v>
      </c>
      <c r="C2843" s="177"/>
      <c r="D2843" s="178"/>
      <c r="E2843" s="178">
        <v>3</v>
      </c>
      <c r="F2843" s="178"/>
      <c r="G2843" s="178">
        <v>2</v>
      </c>
      <c r="H2843" s="178"/>
      <c r="I2843" s="178"/>
      <c r="J2843" s="178"/>
      <c r="K2843" s="178"/>
      <c r="L2843" s="178"/>
      <c r="M2843" s="178">
        <v>2</v>
      </c>
      <c r="N2843" s="178">
        <f>E2843*G2843*M2843</f>
        <v>12</v>
      </c>
      <c r="O2843" s="178"/>
      <c r="P2843" s="231"/>
      <c r="Q2843" s="224"/>
    </row>
    <row r="2844" spans="1:19" s="225" customFormat="1" ht="10.5" x14ac:dyDescent="0.25">
      <c r="A2844" s="229"/>
      <c r="B2844" s="230"/>
      <c r="C2844" s="177"/>
      <c r="D2844" s="178"/>
      <c r="E2844" s="178"/>
      <c r="F2844" s="178"/>
      <c r="G2844" s="178"/>
      <c r="H2844" s="178"/>
      <c r="I2844" s="178"/>
      <c r="J2844" s="178"/>
      <c r="K2844" s="178"/>
      <c r="L2844" s="180"/>
      <c r="M2844" s="178"/>
      <c r="N2844" s="178"/>
      <c r="O2844" s="178"/>
      <c r="P2844" s="231"/>
      <c r="Q2844" s="224"/>
    </row>
    <row r="2845" spans="1:19" s="225" customFormat="1" ht="10.5" x14ac:dyDescent="0.25">
      <c r="A2845" s="229"/>
      <c r="B2845" s="232" t="s">
        <v>5</v>
      </c>
      <c r="C2845" s="182" t="s">
        <v>1328</v>
      </c>
      <c r="D2845" s="182"/>
      <c r="E2845" s="182"/>
      <c r="F2845" s="182"/>
      <c r="G2845" s="182"/>
      <c r="H2845" s="182"/>
      <c r="I2845" s="182"/>
      <c r="J2845" s="182"/>
      <c r="K2845" s="182"/>
      <c r="L2845" s="182"/>
      <c r="M2845" s="182"/>
      <c r="N2845" s="182">
        <f>SUM(N2842:N2844)</f>
        <v>12</v>
      </c>
      <c r="O2845" s="182"/>
      <c r="P2845" s="233"/>
      <c r="Q2845" s="224"/>
    </row>
    <row r="2846" spans="1:19" s="228" customFormat="1" ht="21" x14ac:dyDescent="0.25">
      <c r="A2846" s="226" t="str">
        <f>ORÇAMENTO!A545</f>
        <v>6.1.1.1.2</v>
      </c>
      <c r="B2846" s="227" t="str">
        <f>VLOOKUP(A2846,ORÇAMENTO!A:K,4,0)</f>
        <v>LOCAÇÃO DE REDE DE DRENAGEM</v>
      </c>
      <c r="C2846" s="173" t="str">
        <f>VLOOKUP(A2846,ORÇAMENTO!A:K,5,0)</f>
        <v>M</v>
      </c>
      <c r="D2846" s="173">
        <f>SUM(E2850:O2850)</f>
        <v>638.88023103113801</v>
      </c>
      <c r="E2846" s="173" t="s">
        <v>1718</v>
      </c>
      <c r="F2846" s="173" t="s">
        <v>1719</v>
      </c>
      <c r="G2846" s="173" t="s">
        <v>1720</v>
      </c>
      <c r="H2846" s="173" t="s">
        <v>1721</v>
      </c>
      <c r="I2846" s="173" t="s">
        <v>1722</v>
      </c>
      <c r="J2846" s="173" t="s">
        <v>1723</v>
      </c>
      <c r="K2846" s="173" t="s">
        <v>1724</v>
      </c>
      <c r="L2846" s="173" t="s">
        <v>1725</v>
      </c>
      <c r="M2846" s="173" t="s">
        <v>1730</v>
      </c>
      <c r="N2846" s="173" t="s">
        <v>1727</v>
      </c>
      <c r="O2846" s="173" t="s">
        <v>1728</v>
      </c>
      <c r="P2846" s="224"/>
      <c r="Q2846" s="224"/>
    </row>
    <row r="2847" spans="1:19" s="225" customFormat="1" ht="10.5" x14ac:dyDescent="0.25">
      <c r="A2847" s="229"/>
      <c r="B2847" s="230"/>
      <c r="C2847" s="184"/>
      <c r="D2847" s="185"/>
      <c r="E2847" s="185"/>
      <c r="F2847" s="185"/>
      <c r="G2847" s="185"/>
      <c r="H2847" s="185"/>
      <c r="I2847" s="185"/>
      <c r="J2847" s="185"/>
      <c r="K2847" s="185"/>
      <c r="L2847" s="185"/>
      <c r="M2847" s="185"/>
      <c r="N2847" s="185"/>
      <c r="O2847" s="185"/>
      <c r="P2847" s="231"/>
      <c r="Q2847" s="224"/>
    </row>
    <row r="2848" spans="1:19" s="225" customFormat="1" ht="10.5" x14ac:dyDescent="0.25">
      <c r="A2848" s="229"/>
      <c r="B2848" s="230" t="s">
        <v>1731</v>
      </c>
      <c r="C2848" s="184"/>
      <c r="D2848" s="185"/>
      <c r="E2848" s="185">
        <f>Quantitativos!F120</f>
        <v>638.88023103113801</v>
      </c>
      <c r="F2848" s="185"/>
      <c r="G2848" s="185"/>
      <c r="H2848" s="185"/>
      <c r="I2848" s="185"/>
      <c r="J2848" s="185"/>
      <c r="K2848" s="185"/>
      <c r="L2848" s="185"/>
      <c r="M2848" s="185"/>
      <c r="N2848" s="185"/>
      <c r="O2848" s="185"/>
      <c r="P2848" s="231"/>
      <c r="Q2848" s="224"/>
    </row>
    <row r="2849" spans="1:17" s="225" customFormat="1" ht="10.5" x14ac:dyDescent="0.25">
      <c r="A2849" s="229"/>
      <c r="B2849" s="230"/>
      <c r="C2849" s="184"/>
      <c r="D2849" s="185"/>
      <c r="E2849" s="185"/>
      <c r="F2849" s="185"/>
      <c r="G2849" s="185"/>
      <c r="H2849" s="185"/>
      <c r="I2849" s="185"/>
      <c r="J2849" s="185"/>
      <c r="K2849" s="185"/>
      <c r="L2849" s="186"/>
      <c r="M2849" s="185"/>
      <c r="N2849" s="185"/>
      <c r="O2849" s="185"/>
      <c r="P2849" s="231"/>
      <c r="Q2849" s="224"/>
    </row>
    <row r="2850" spans="1:17" s="225" customFormat="1" ht="10.5" x14ac:dyDescent="0.25">
      <c r="A2850" s="229"/>
      <c r="B2850" s="232" t="s">
        <v>5</v>
      </c>
      <c r="C2850" s="182" t="s">
        <v>1328</v>
      </c>
      <c r="D2850" s="182"/>
      <c r="E2850" s="182">
        <f>SUM(E2847:E2849)</f>
        <v>638.88023103113801</v>
      </c>
      <c r="F2850" s="182"/>
      <c r="G2850" s="182"/>
      <c r="H2850" s="182"/>
      <c r="I2850" s="182"/>
      <c r="J2850" s="182"/>
      <c r="K2850" s="182"/>
      <c r="L2850" s="182"/>
      <c r="M2850" s="182"/>
      <c r="N2850" s="182"/>
      <c r="O2850" s="182"/>
      <c r="P2850" s="233"/>
      <c r="Q2850" s="224"/>
    </row>
    <row r="2851" spans="1:17" s="228" customFormat="1" ht="21" x14ac:dyDescent="0.25">
      <c r="A2851" s="226" t="str">
        <f>ORÇAMENTO!A546</f>
        <v>6.1.1.1.3</v>
      </c>
      <c r="B2851" s="227" t="str">
        <f>VLOOKUP(A2851,ORÇAMENTO!A:K,4,0)</f>
        <v>PASSARELA, EM MADEIRA, PARA COBERTA DE VALAS PARA PASSAGEM DE VEÍCULOS.</v>
      </c>
      <c r="C2851" s="173" t="str">
        <f>VLOOKUP(A2851,ORÇAMENTO!A:K,5,0)</f>
        <v>M²</v>
      </c>
      <c r="D2851" s="173">
        <f>SUM(E2858:O2858)</f>
        <v>8</v>
      </c>
      <c r="E2851" s="173" t="s">
        <v>1718</v>
      </c>
      <c r="F2851" s="173" t="s">
        <v>1719</v>
      </c>
      <c r="G2851" s="173" t="s">
        <v>1720</v>
      </c>
      <c r="H2851" s="173" t="s">
        <v>1721</v>
      </c>
      <c r="I2851" s="173" t="s">
        <v>1722</v>
      </c>
      <c r="J2851" s="173" t="s">
        <v>1723</v>
      </c>
      <c r="K2851" s="173" t="s">
        <v>1724</v>
      </c>
      <c r="L2851" s="173" t="s">
        <v>1725</v>
      </c>
      <c r="M2851" s="173" t="s">
        <v>1726</v>
      </c>
      <c r="N2851" s="173" t="s">
        <v>1727</v>
      </c>
      <c r="O2851" s="173" t="s">
        <v>1728</v>
      </c>
      <c r="P2851" s="224"/>
      <c r="Q2851" s="224"/>
    </row>
    <row r="2852" spans="1:17" s="225" customFormat="1" ht="10.5" x14ac:dyDescent="0.25">
      <c r="A2852" s="229"/>
      <c r="B2852" s="230"/>
      <c r="C2852" s="177"/>
      <c r="D2852" s="178"/>
      <c r="E2852" s="178"/>
      <c r="F2852" s="178"/>
      <c r="G2852" s="178"/>
      <c r="H2852" s="178"/>
      <c r="I2852" s="178"/>
      <c r="J2852" s="178"/>
      <c r="K2852" s="178"/>
      <c r="L2852" s="178"/>
      <c r="M2852" s="178"/>
      <c r="N2852" s="178"/>
      <c r="O2852" s="178"/>
      <c r="P2852" s="231"/>
      <c r="Q2852" s="224"/>
    </row>
    <row r="2853" spans="1:17" s="225" customFormat="1" ht="10.5" x14ac:dyDescent="0.25">
      <c r="A2853" s="229"/>
      <c r="B2853" s="230" t="s">
        <v>1732</v>
      </c>
      <c r="C2853" s="177"/>
      <c r="D2853" s="178"/>
      <c r="E2853" s="178">
        <f>E2848</f>
        <v>638.88023103113801</v>
      </c>
      <c r="F2853" s="178"/>
      <c r="G2853" s="178"/>
      <c r="H2853" s="178"/>
      <c r="I2853" s="178"/>
      <c r="J2853" s="178"/>
      <c r="K2853" s="178"/>
      <c r="L2853" s="178"/>
      <c r="M2853" s="178"/>
      <c r="N2853" s="178"/>
      <c r="O2853" s="178"/>
      <c r="P2853" s="231"/>
      <c r="Q2853" s="224"/>
    </row>
    <row r="2854" spans="1:17" s="225" customFormat="1" ht="10.5" x14ac:dyDescent="0.25">
      <c r="A2854" s="229"/>
      <c r="B2854" s="230" t="s">
        <v>1733</v>
      </c>
      <c r="C2854" s="177"/>
      <c r="D2854" s="178"/>
      <c r="E2854" s="178"/>
      <c r="F2854" s="178"/>
      <c r="G2854" s="178"/>
      <c r="H2854" s="178"/>
      <c r="I2854" s="178"/>
      <c r="J2854" s="178"/>
      <c r="K2854" s="178"/>
      <c r="L2854" s="178"/>
      <c r="M2854" s="178">
        <f>ROUNDUP(E2853/500,0)</f>
        <v>2</v>
      </c>
      <c r="N2854" s="178"/>
      <c r="O2854" s="178"/>
      <c r="P2854" s="231"/>
      <c r="Q2854" s="224"/>
    </row>
    <row r="2855" spans="1:17" s="225" customFormat="1" ht="10.5" x14ac:dyDescent="0.25">
      <c r="A2855" s="229"/>
      <c r="B2855" s="230" t="s">
        <v>1734</v>
      </c>
      <c r="C2855" s="177"/>
      <c r="D2855" s="178"/>
      <c r="E2855" s="178">
        <v>4</v>
      </c>
      <c r="F2855" s="178">
        <v>1</v>
      </c>
      <c r="G2855" s="178"/>
      <c r="H2855" s="178"/>
      <c r="I2855" s="178"/>
      <c r="J2855" s="178"/>
      <c r="K2855" s="178"/>
      <c r="L2855" s="178"/>
      <c r="M2855" s="178"/>
      <c r="N2855" s="178"/>
      <c r="O2855" s="178"/>
      <c r="P2855" s="231"/>
      <c r="Q2855" s="224"/>
    </row>
    <row r="2856" spans="1:17" s="225" customFormat="1" ht="10.5" x14ac:dyDescent="0.25">
      <c r="A2856" s="229"/>
      <c r="B2856" s="230"/>
      <c r="C2856" s="177"/>
      <c r="D2856" s="178"/>
      <c r="E2856" s="178"/>
      <c r="F2856" s="178"/>
      <c r="G2856" s="178"/>
      <c r="H2856" s="178"/>
      <c r="I2856" s="178"/>
      <c r="J2856" s="178"/>
      <c r="K2856" s="178"/>
      <c r="L2856" s="178"/>
      <c r="M2856" s="178"/>
      <c r="N2856" s="178">
        <f>M2854*E2855*F2855</f>
        <v>8</v>
      </c>
      <c r="O2856" s="178"/>
      <c r="P2856" s="231"/>
      <c r="Q2856" s="224"/>
    </row>
    <row r="2857" spans="1:17" s="225" customFormat="1" ht="10.5" x14ac:dyDescent="0.25">
      <c r="A2857" s="229"/>
      <c r="B2857" s="230"/>
      <c r="C2857" s="177"/>
      <c r="D2857" s="178"/>
      <c r="E2857" s="178"/>
      <c r="F2857" s="178"/>
      <c r="G2857" s="178"/>
      <c r="H2857" s="178"/>
      <c r="I2857" s="178"/>
      <c r="J2857" s="178"/>
      <c r="K2857" s="178"/>
      <c r="L2857" s="180"/>
      <c r="M2857" s="178"/>
      <c r="N2857" s="178"/>
      <c r="O2857" s="178"/>
      <c r="P2857" s="231"/>
      <c r="Q2857" s="224"/>
    </row>
    <row r="2858" spans="1:17" s="225" customFormat="1" ht="10.5" x14ac:dyDescent="0.25">
      <c r="A2858" s="229"/>
      <c r="B2858" s="232" t="s">
        <v>5</v>
      </c>
      <c r="C2858" s="182" t="s">
        <v>1328</v>
      </c>
      <c r="D2858" s="182"/>
      <c r="E2858" s="182"/>
      <c r="F2858" s="182"/>
      <c r="G2858" s="182"/>
      <c r="H2858" s="182"/>
      <c r="I2858" s="182"/>
      <c r="J2858" s="182"/>
      <c r="K2858" s="182"/>
      <c r="L2858" s="182"/>
      <c r="M2858" s="178"/>
      <c r="N2858" s="182">
        <f>SUM(N2855:N2857)</f>
        <v>8</v>
      </c>
      <c r="O2858" s="182"/>
      <c r="P2858" s="233"/>
      <c r="Q2858" s="224"/>
    </row>
    <row r="2859" spans="1:17" s="228" customFormat="1" ht="21" x14ac:dyDescent="0.25">
      <c r="A2859" s="226" t="str">
        <f>ORÇAMENTO!A547</f>
        <v>6.1.1.1.4</v>
      </c>
      <c r="B2859" s="227" t="str">
        <f>VLOOKUP(A2859,ORÇAMENTO!A:K,4,0)</f>
        <v>PASSARELA, EM MADEIRA, PARA COBERTA DE VALAS PARA PASSAGEM DE PEDESTRES.</v>
      </c>
      <c r="C2859" s="173" t="str">
        <f>VLOOKUP(A2859,ORÇAMENTO!A:K,5,0)</f>
        <v>M²</v>
      </c>
      <c r="D2859" s="173">
        <f>SUM(E2866:O2866)</f>
        <v>8</v>
      </c>
      <c r="E2859" s="173" t="s">
        <v>1718</v>
      </c>
      <c r="F2859" s="173" t="s">
        <v>1719</v>
      </c>
      <c r="G2859" s="173" t="s">
        <v>1720</v>
      </c>
      <c r="H2859" s="173" t="s">
        <v>1721</v>
      </c>
      <c r="I2859" s="173" t="s">
        <v>1722</v>
      </c>
      <c r="J2859" s="173" t="s">
        <v>1723</v>
      </c>
      <c r="K2859" s="173" t="s">
        <v>1724</v>
      </c>
      <c r="L2859" s="173" t="s">
        <v>1725</v>
      </c>
      <c r="M2859" s="173" t="s">
        <v>1726</v>
      </c>
      <c r="N2859" s="173" t="s">
        <v>1727</v>
      </c>
      <c r="O2859" s="173" t="s">
        <v>1728</v>
      </c>
      <c r="P2859" s="224"/>
      <c r="Q2859" s="224"/>
    </row>
    <row r="2860" spans="1:17" s="225" customFormat="1" ht="10.5" x14ac:dyDescent="0.25">
      <c r="A2860" s="229"/>
      <c r="B2860" s="230"/>
      <c r="C2860" s="177"/>
      <c r="D2860" s="178"/>
      <c r="E2860" s="178"/>
      <c r="F2860" s="178"/>
      <c r="G2860" s="178"/>
      <c r="H2860" s="178"/>
      <c r="I2860" s="178"/>
      <c r="J2860" s="178"/>
      <c r="K2860" s="178"/>
      <c r="L2860" s="178"/>
      <c r="M2860" s="178"/>
      <c r="N2860" s="178"/>
      <c r="O2860" s="178"/>
      <c r="P2860" s="231"/>
      <c r="Q2860" s="224"/>
    </row>
    <row r="2861" spans="1:17" s="225" customFormat="1" ht="10.5" x14ac:dyDescent="0.25">
      <c r="A2861" s="229"/>
      <c r="B2861" s="230" t="s">
        <v>1732</v>
      </c>
      <c r="C2861" s="177"/>
      <c r="D2861" s="178"/>
      <c r="E2861" s="178">
        <f>E2853</f>
        <v>638.88023103113801</v>
      </c>
      <c r="F2861" s="178"/>
      <c r="G2861" s="178"/>
      <c r="H2861" s="178"/>
      <c r="I2861" s="178"/>
      <c r="J2861" s="178"/>
      <c r="K2861" s="178"/>
      <c r="L2861" s="178"/>
      <c r="M2861" s="178"/>
      <c r="N2861" s="178"/>
      <c r="O2861" s="178"/>
      <c r="P2861" s="231"/>
      <c r="Q2861" s="224"/>
    </row>
    <row r="2862" spans="1:17" s="225" customFormat="1" ht="10.5" x14ac:dyDescent="0.25">
      <c r="A2862" s="229"/>
      <c r="B2862" s="230" t="s">
        <v>1735</v>
      </c>
      <c r="C2862" s="177"/>
      <c r="D2862" s="178"/>
      <c r="E2862" s="178"/>
      <c r="F2862" s="178"/>
      <c r="G2862" s="178"/>
      <c r="H2862" s="178"/>
      <c r="I2862" s="178"/>
      <c r="J2862" s="178"/>
      <c r="K2862" s="178"/>
      <c r="L2862" s="178"/>
      <c r="M2862" s="178">
        <f>ROUNDUP(E2861/200,0)</f>
        <v>4</v>
      </c>
      <c r="N2862" s="178"/>
      <c r="O2862" s="178"/>
      <c r="P2862" s="231"/>
      <c r="Q2862" s="224"/>
    </row>
    <row r="2863" spans="1:17" s="225" customFormat="1" ht="10.5" x14ac:dyDescent="0.25">
      <c r="A2863" s="229"/>
      <c r="B2863" s="230" t="s">
        <v>1736</v>
      </c>
      <c r="C2863" s="177"/>
      <c r="D2863" s="178"/>
      <c r="E2863" s="178">
        <v>2</v>
      </c>
      <c r="F2863" s="178">
        <v>1</v>
      </c>
      <c r="G2863" s="178"/>
      <c r="H2863" s="178"/>
      <c r="I2863" s="178"/>
      <c r="J2863" s="178"/>
      <c r="K2863" s="178"/>
      <c r="L2863" s="178"/>
      <c r="M2863" s="178"/>
      <c r="N2863" s="178"/>
      <c r="O2863" s="178"/>
      <c r="P2863" s="231"/>
      <c r="Q2863" s="224"/>
    </row>
    <row r="2864" spans="1:17" s="225" customFormat="1" ht="10.5" x14ac:dyDescent="0.25">
      <c r="A2864" s="229"/>
      <c r="B2864" s="230"/>
      <c r="C2864" s="177"/>
      <c r="D2864" s="178"/>
      <c r="E2864" s="178"/>
      <c r="F2864" s="178"/>
      <c r="G2864" s="178"/>
      <c r="H2864" s="178"/>
      <c r="I2864" s="178"/>
      <c r="J2864" s="178"/>
      <c r="K2864" s="178"/>
      <c r="L2864" s="178"/>
      <c r="M2864" s="178"/>
      <c r="N2864" s="178">
        <f>M2862*E2863*F2863</f>
        <v>8</v>
      </c>
      <c r="O2864" s="178"/>
      <c r="P2864" s="231"/>
      <c r="Q2864" s="224"/>
    </row>
    <row r="2865" spans="1:17" s="225" customFormat="1" ht="10.5" x14ac:dyDescent="0.25">
      <c r="A2865" s="229"/>
      <c r="B2865" s="230"/>
      <c r="C2865" s="177"/>
      <c r="D2865" s="178"/>
      <c r="E2865" s="178"/>
      <c r="F2865" s="178"/>
      <c r="G2865" s="178"/>
      <c r="H2865" s="178"/>
      <c r="I2865" s="178"/>
      <c r="J2865" s="178"/>
      <c r="K2865" s="178"/>
      <c r="L2865" s="180"/>
      <c r="M2865" s="178"/>
      <c r="N2865" s="178"/>
      <c r="O2865" s="178"/>
      <c r="P2865" s="231"/>
      <c r="Q2865" s="224"/>
    </row>
    <row r="2866" spans="1:17" s="225" customFormat="1" ht="10.5" x14ac:dyDescent="0.25">
      <c r="A2866" s="229"/>
      <c r="B2866" s="232" t="s">
        <v>5</v>
      </c>
      <c r="C2866" s="182" t="s">
        <v>1328</v>
      </c>
      <c r="D2866" s="182"/>
      <c r="E2866" s="182"/>
      <c r="F2866" s="182"/>
      <c r="G2866" s="182"/>
      <c r="H2866" s="182"/>
      <c r="I2866" s="182"/>
      <c r="J2866" s="182"/>
      <c r="K2866" s="182"/>
      <c r="L2866" s="182"/>
      <c r="M2866" s="182"/>
      <c r="N2866" s="182">
        <f>SUM(N2863:N2865)</f>
        <v>8</v>
      </c>
      <c r="O2866" s="182"/>
      <c r="P2866" s="233"/>
      <c r="Q2866" s="224"/>
    </row>
    <row r="2867" spans="1:17" s="228" customFormat="1" ht="21" x14ac:dyDescent="0.25">
      <c r="A2867" s="226" t="str">
        <f>ORÇAMENTO!A548</f>
        <v>6.1.1.1.5</v>
      </c>
      <c r="B2867" s="227" t="str">
        <f>VLOOKUP(A2867,ORÇAMENTO!A:K,4,0)</f>
        <v>TELA TAPUME, COR LARANJA, COM SUPORTE A CADA 2M (FORNECIMENTO E INSTALAÇÃO)</v>
      </c>
      <c r="C2867" s="173" t="str">
        <f>VLOOKUP(A2867,ORÇAMENTO!A:K,5,0)</f>
        <v>M</v>
      </c>
      <c r="D2867" s="173">
        <f>SUM(E2872:O2872)</f>
        <v>1277.760462062276</v>
      </c>
      <c r="E2867" s="173" t="s">
        <v>1718</v>
      </c>
      <c r="F2867" s="173" t="s">
        <v>1719</v>
      </c>
      <c r="G2867" s="173" t="s">
        <v>1720</v>
      </c>
      <c r="H2867" s="173" t="s">
        <v>1721</v>
      </c>
      <c r="I2867" s="173" t="s">
        <v>1722</v>
      </c>
      <c r="J2867" s="173" t="s">
        <v>1723</v>
      </c>
      <c r="K2867" s="173" t="s">
        <v>1724</v>
      </c>
      <c r="L2867" s="173" t="s">
        <v>1725</v>
      </c>
      <c r="M2867" s="173" t="s">
        <v>1726</v>
      </c>
      <c r="N2867" s="173" t="s">
        <v>1727</v>
      </c>
      <c r="O2867" s="173" t="s">
        <v>1728</v>
      </c>
      <c r="P2867" s="224"/>
      <c r="Q2867" s="224"/>
    </row>
    <row r="2868" spans="1:17" s="225" customFormat="1" ht="10.5" x14ac:dyDescent="0.25">
      <c r="A2868" s="229"/>
      <c r="B2868" s="230"/>
      <c r="C2868" s="177"/>
      <c r="D2868" s="178"/>
      <c r="E2868" s="178"/>
      <c r="F2868" s="178"/>
      <c r="G2868" s="178"/>
      <c r="H2868" s="178"/>
      <c r="I2868" s="178"/>
      <c r="J2868" s="178"/>
      <c r="K2868" s="178"/>
      <c r="L2868" s="178"/>
      <c r="M2868" s="178"/>
      <c r="N2868" s="178"/>
      <c r="O2868" s="178"/>
      <c r="P2868" s="231"/>
      <c r="Q2868" s="224"/>
    </row>
    <row r="2869" spans="1:17" s="225" customFormat="1" ht="10.5" x14ac:dyDescent="0.25">
      <c r="A2869" s="229"/>
      <c r="B2869" s="230" t="s">
        <v>1732</v>
      </c>
      <c r="C2869" s="177"/>
      <c r="D2869" s="178"/>
      <c r="E2869" s="178">
        <f>E2861</f>
        <v>638.88023103113801</v>
      </c>
      <c r="F2869" s="178"/>
      <c r="G2869" s="178"/>
      <c r="H2869" s="178"/>
      <c r="I2869" s="178"/>
      <c r="J2869" s="178"/>
      <c r="K2869" s="178"/>
      <c r="L2869" s="178"/>
      <c r="M2869" s="178"/>
      <c r="N2869" s="178"/>
      <c r="O2869" s="178"/>
      <c r="P2869" s="231"/>
      <c r="Q2869" s="224"/>
    </row>
    <row r="2870" spans="1:17" s="225" customFormat="1" ht="10.5" x14ac:dyDescent="0.25">
      <c r="A2870" s="229"/>
      <c r="B2870" s="230" t="s">
        <v>1737</v>
      </c>
      <c r="C2870" s="177"/>
      <c r="D2870" s="178"/>
      <c r="E2870" s="178">
        <f>E2869*2</f>
        <v>1277.760462062276</v>
      </c>
      <c r="F2870" s="178"/>
      <c r="G2870" s="178"/>
      <c r="H2870" s="178"/>
      <c r="I2870" s="178"/>
      <c r="J2870" s="178"/>
      <c r="K2870" s="178"/>
      <c r="L2870" s="178"/>
      <c r="M2870" s="178"/>
      <c r="N2870" s="178"/>
      <c r="O2870" s="178"/>
      <c r="P2870" s="231"/>
      <c r="Q2870" s="224"/>
    </row>
    <row r="2871" spans="1:17" s="225" customFormat="1" ht="10.5" x14ac:dyDescent="0.25">
      <c r="A2871" s="229"/>
      <c r="B2871" s="230"/>
      <c r="C2871" s="177"/>
      <c r="D2871" s="178"/>
      <c r="E2871" s="178"/>
      <c r="F2871" s="178"/>
      <c r="G2871" s="178"/>
      <c r="H2871" s="178"/>
      <c r="I2871" s="178"/>
      <c r="J2871" s="178"/>
      <c r="K2871" s="178"/>
      <c r="L2871" s="180"/>
      <c r="M2871" s="178"/>
      <c r="N2871" s="178"/>
      <c r="O2871" s="178"/>
      <c r="P2871" s="231"/>
      <c r="Q2871" s="224"/>
    </row>
    <row r="2872" spans="1:17" s="225" customFormat="1" ht="10.5" x14ac:dyDescent="0.25">
      <c r="A2872" s="229"/>
      <c r="B2872" s="232" t="s">
        <v>5</v>
      </c>
      <c r="C2872" s="182" t="s">
        <v>1328</v>
      </c>
      <c r="D2872" s="182"/>
      <c r="E2872" s="182">
        <f>SUM(E2870:E2871)</f>
        <v>1277.760462062276</v>
      </c>
      <c r="F2872" s="182"/>
      <c r="G2872" s="182"/>
      <c r="H2872" s="182"/>
      <c r="I2872" s="182"/>
      <c r="J2872" s="182"/>
      <c r="K2872" s="182"/>
      <c r="L2872" s="182"/>
      <c r="M2872" s="182"/>
      <c r="N2872" s="182"/>
      <c r="O2872" s="182"/>
      <c r="P2872" s="233"/>
      <c r="Q2872" s="224"/>
    </row>
    <row r="2873" spans="1:17" s="228" customFormat="1" ht="21" x14ac:dyDescent="0.25">
      <c r="A2873" s="226" t="str">
        <f>ORÇAMENTO!A549</f>
        <v>6.1.1.1.6</v>
      </c>
      <c r="B2873" s="227" t="str">
        <f>VLOOKUP(A2873,ORÇAMENTO!A:K,4,0)</f>
        <v>SINALIZADOR ELETRÔNICO</v>
      </c>
      <c r="C2873" s="173" t="str">
        <f>VLOOKUP(A2873,ORÇAMENTO!A:K,5,0)</f>
        <v>UN</v>
      </c>
      <c r="D2873" s="173">
        <f>SUM(E2878:O2878)</f>
        <v>13</v>
      </c>
      <c r="E2873" s="173" t="s">
        <v>1718</v>
      </c>
      <c r="F2873" s="173" t="s">
        <v>1719</v>
      </c>
      <c r="G2873" s="173" t="s">
        <v>1720</v>
      </c>
      <c r="H2873" s="173" t="s">
        <v>1721</v>
      </c>
      <c r="I2873" s="173" t="s">
        <v>1722</v>
      </c>
      <c r="J2873" s="173" t="s">
        <v>1723</v>
      </c>
      <c r="K2873" s="173" t="s">
        <v>1724</v>
      </c>
      <c r="L2873" s="173" t="s">
        <v>1725</v>
      </c>
      <c r="M2873" s="173" t="s">
        <v>1726</v>
      </c>
      <c r="N2873" s="173" t="s">
        <v>1727</v>
      </c>
      <c r="O2873" s="173" t="s">
        <v>1728</v>
      </c>
      <c r="P2873" s="224"/>
      <c r="Q2873" s="224"/>
    </row>
    <row r="2874" spans="1:17" s="225" customFormat="1" ht="10.5" x14ac:dyDescent="0.25">
      <c r="A2874" s="229"/>
      <c r="B2874" s="230"/>
      <c r="C2874" s="177"/>
      <c r="D2874" s="178"/>
      <c r="E2874" s="178"/>
      <c r="F2874" s="178"/>
      <c r="G2874" s="178"/>
      <c r="H2874" s="178"/>
      <c r="I2874" s="178"/>
      <c r="J2874" s="178"/>
      <c r="K2874" s="178"/>
      <c r="L2874" s="178"/>
      <c r="M2874" s="178"/>
      <c r="N2874" s="178"/>
      <c r="O2874" s="178"/>
      <c r="P2874" s="231"/>
      <c r="Q2874" s="224"/>
    </row>
    <row r="2875" spans="1:17" s="225" customFormat="1" ht="10.5" x14ac:dyDescent="0.25">
      <c r="A2875" s="229"/>
      <c r="B2875" s="230" t="s">
        <v>1732</v>
      </c>
      <c r="C2875" s="177"/>
      <c r="D2875" s="178"/>
      <c r="E2875" s="178">
        <f>E2869</f>
        <v>638.88023103113801</v>
      </c>
      <c r="F2875" s="178"/>
      <c r="G2875" s="178"/>
      <c r="H2875" s="178"/>
      <c r="I2875" s="178"/>
      <c r="J2875" s="178"/>
      <c r="K2875" s="178"/>
      <c r="L2875" s="178"/>
      <c r="M2875" s="178"/>
      <c r="N2875" s="178"/>
      <c r="O2875" s="178"/>
      <c r="P2875" s="231"/>
      <c r="Q2875" s="224"/>
    </row>
    <row r="2876" spans="1:17" s="225" customFormat="1" ht="21" x14ac:dyDescent="0.25">
      <c r="A2876" s="229"/>
      <c r="B2876" s="230" t="s">
        <v>1738</v>
      </c>
      <c r="C2876" s="177"/>
      <c r="D2876" s="178"/>
      <c r="E2876" s="178"/>
      <c r="F2876" s="178"/>
      <c r="G2876" s="178"/>
      <c r="H2876" s="178"/>
      <c r="I2876" s="178"/>
      <c r="J2876" s="178"/>
      <c r="K2876" s="178"/>
      <c r="L2876" s="178"/>
      <c r="M2876" s="178">
        <f>ROUNDUP(E2875*0.2/10,0)</f>
        <v>13</v>
      </c>
      <c r="N2876" s="178"/>
      <c r="O2876" s="178"/>
      <c r="P2876" s="231"/>
      <c r="Q2876" s="224"/>
    </row>
    <row r="2877" spans="1:17" s="225" customFormat="1" ht="10.5" x14ac:dyDescent="0.25">
      <c r="A2877" s="229"/>
      <c r="B2877" s="230"/>
      <c r="C2877" s="177"/>
      <c r="D2877" s="178"/>
      <c r="E2877" s="178"/>
      <c r="F2877" s="178"/>
      <c r="G2877" s="178"/>
      <c r="H2877" s="178"/>
      <c r="I2877" s="178"/>
      <c r="J2877" s="178"/>
      <c r="K2877" s="178"/>
      <c r="L2877" s="180"/>
      <c r="M2877" s="178"/>
      <c r="N2877" s="178"/>
      <c r="O2877" s="178"/>
      <c r="P2877" s="231"/>
      <c r="Q2877" s="224"/>
    </row>
    <row r="2878" spans="1:17" s="225" customFormat="1" ht="10.5" x14ac:dyDescent="0.25">
      <c r="A2878" s="229"/>
      <c r="B2878" s="232" t="s">
        <v>5</v>
      </c>
      <c r="C2878" s="182" t="s">
        <v>1328</v>
      </c>
      <c r="D2878" s="182"/>
      <c r="E2878" s="182"/>
      <c r="F2878" s="182"/>
      <c r="G2878" s="182"/>
      <c r="H2878" s="182"/>
      <c r="I2878" s="182"/>
      <c r="J2878" s="182"/>
      <c r="K2878" s="182"/>
      <c r="L2878" s="182"/>
      <c r="M2878" s="182">
        <f>SUM(M2876:M2877)</f>
        <v>13</v>
      </c>
      <c r="N2878" s="182"/>
      <c r="O2878" s="182"/>
      <c r="P2878" s="233"/>
      <c r="Q2878" s="224"/>
    </row>
    <row r="2879" spans="1:17" s="228" customFormat="1" ht="42" x14ac:dyDescent="0.25">
      <c r="A2879" s="226" t="str">
        <f>ORÇAMENTO!A550</f>
        <v>6.1.1.1.7</v>
      </c>
      <c r="B2879" s="227" t="str">
        <f>VLOOKUP(A2879,ORÇAMENTO!A:K,4,0)</f>
        <v>PLACA PARA SINALIZAÇÃO DE OBRAS MONTADA EM CAVALETE METÁLICO - 1,00 X 1,00 M - UTILIZAÇÃO DE 600 CICLOS - FORNECIMENTO, 01IMPLANTAÇÃO E 01 RETIRADA DIÁRIA</v>
      </c>
      <c r="C2879" s="173" t="str">
        <f>VLOOKUP(A2879,ORÇAMENTO!A:K,5,0)</f>
        <v>UN.DIA</v>
      </c>
      <c r="D2879" s="173">
        <f>SUM(E2884:O2884)</f>
        <v>386</v>
      </c>
      <c r="E2879" s="173" t="s">
        <v>1718</v>
      </c>
      <c r="F2879" s="173" t="s">
        <v>1719</v>
      </c>
      <c r="G2879" s="173" t="s">
        <v>1720</v>
      </c>
      <c r="H2879" s="173" t="s">
        <v>1721</v>
      </c>
      <c r="I2879" s="173" t="s">
        <v>1722</v>
      </c>
      <c r="J2879" s="173" t="s">
        <v>1723</v>
      </c>
      <c r="K2879" s="173" t="s">
        <v>1724</v>
      </c>
      <c r="L2879" s="173" t="s">
        <v>1725</v>
      </c>
      <c r="M2879" s="173" t="s">
        <v>1726</v>
      </c>
      <c r="N2879" s="173" t="s">
        <v>1727</v>
      </c>
      <c r="O2879" s="173" t="s">
        <v>1728</v>
      </c>
      <c r="P2879" s="224"/>
      <c r="Q2879" s="224"/>
    </row>
    <row r="2880" spans="1:17" s="225" customFormat="1" ht="10.5" x14ac:dyDescent="0.25">
      <c r="A2880" s="229"/>
      <c r="B2880" s="230"/>
      <c r="C2880" s="177"/>
      <c r="D2880" s="178"/>
      <c r="E2880" s="178"/>
      <c r="F2880" s="178"/>
      <c r="G2880" s="178"/>
      <c r="H2880" s="178"/>
      <c r="I2880" s="178"/>
      <c r="J2880" s="178"/>
      <c r="K2880" s="178"/>
      <c r="L2880" s="178"/>
      <c r="M2880" s="178"/>
      <c r="N2880" s="178"/>
      <c r="O2880" s="178"/>
      <c r="P2880" s="231"/>
      <c r="Q2880" s="224"/>
    </row>
    <row r="2881" spans="1:17" s="225" customFormat="1" ht="10.5" x14ac:dyDescent="0.25">
      <c r="A2881" s="229"/>
      <c r="B2881" s="230"/>
      <c r="C2881" s="177"/>
      <c r="D2881" s="178"/>
      <c r="E2881" s="178"/>
      <c r="F2881" s="178"/>
      <c r="G2881" s="178"/>
      <c r="H2881" s="178"/>
      <c r="I2881" s="178"/>
      <c r="J2881" s="178"/>
      <c r="K2881" s="178"/>
      <c r="L2881" s="178"/>
      <c r="M2881" s="178"/>
      <c r="N2881" s="178"/>
      <c r="O2881" s="178"/>
      <c r="P2881" s="231"/>
      <c r="Q2881" s="224"/>
    </row>
    <row r="2882" spans="1:17" s="225" customFormat="1" ht="10.5" x14ac:dyDescent="0.25">
      <c r="A2882" s="229"/>
      <c r="B2882" s="230"/>
      <c r="C2882" s="177"/>
      <c r="D2882" s="178"/>
      <c r="E2882" s="178"/>
      <c r="F2882" s="178"/>
      <c r="G2882" s="178"/>
      <c r="H2882" s="178"/>
      <c r="I2882" s="178"/>
      <c r="J2882" s="178"/>
      <c r="K2882" s="178"/>
      <c r="L2882" s="178"/>
      <c r="M2882" s="178">
        <v>386</v>
      </c>
      <c r="N2882" s="178"/>
      <c r="O2882" s="178"/>
      <c r="P2882" s="231"/>
      <c r="Q2882" s="224"/>
    </row>
    <row r="2883" spans="1:17" s="225" customFormat="1" ht="10.5" x14ac:dyDescent="0.25">
      <c r="A2883" s="229"/>
      <c r="B2883" s="230"/>
      <c r="C2883" s="177"/>
      <c r="D2883" s="178"/>
      <c r="E2883" s="178"/>
      <c r="F2883" s="178"/>
      <c r="G2883" s="178"/>
      <c r="H2883" s="178"/>
      <c r="I2883" s="178"/>
      <c r="J2883" s="178"/>
      <c r="K2883" s="178"/>
      <c r="L2883" s="180"/>
      <c r="M2883" s="178"/>
      <c r="N2883" s="178"/>
      <c r="O2883" s="178"/>
      <c r="P2883" s="231"/>
      <c r="Q2883" s="224"/>
    </row>
    <row r="2884" spans="1:17" s="225" customFormat="1" ht="10.5" x14ac:dyDescent="0.25">
      <c r="A2884" s="229"/>
      <c r="B2884" s="232" t="s">
        <v>5</v>
      </c>
      <c r="C2884" s="182" t="s">
        <v>1328</v>
      </c>
      <c r="D2884" s="182"/>
      <c r="E2884" s="182"/>
      <c r="F2884" s="182"/>
      <c r="G2884" s="182"/>
      <c r="H2884" s="182"/>
      <c r="I2884" s="182"/>
      <c r="J2884" s="182"/>
      <c r="K2884" s="182"/>
      <c r="L2884" s="182"/>
      <c r="M2884" s="182">
        <f>SUM(M2882:M2883)</f>
        <v>386</v>
      </c>
      <c r="N2884" s="182"/>
      <c r="O2884" s="182"/>
      <c r="P2884" s="233"/>
      <c r="Q2884" s="224"/>
    </row>
    <row r="2885" spans="1:17" s="228" customFormat="1" ht="52.5" x14ac:dyDescent="0.25">
      <c r="A2885" s="226" t="str">
        <f>ORÇAMENTO!A551</f>
        <v>6.1.1.1.8</v>
      </c>
      <c r="B2885" s="227" t="str">
        <f>VLOOKUP(A2885,ORÇAMENTO!A:K,4,0)</f>
        <v>PLACA DE ADVERTÊNCIA PARA SINALIZAÇÃO DE OBRAS MONTADA EM SUPORTE METÁLICO MÓVEL, LADO 1,00 M - UTILIZAÇÃO DE 600 CICLOS - FORNECIMENTO, 01 IMPLANTAÇÃO E 01 RETIRADA DIÁRIA</v>
      </c>
      <c r="C2885" s="173" t="str">
        <f>VLOOKUP(A2885,ORÇAMENTO!A:K,5,0)</f>
        <v>UN.DIA</v>
      </c>
      <c r="D2885" s="173">
        <f>SUM(E2890:O2890)</f>
        <v>257</v>
      </c>
      <c r="E2885" s="173" t="s">
        <v>1718</v>
      </c>
      <c r="F2885" s="173" t="s">
        <v>1719</v>
      </c>
      <c r="G2885" s="173" t="s">
        <v>1720</v>
      </c>
      <c r="H2885" s="173" t="s">
        <v>1721</v>
      </c>
      <c r="I2885" s="173" t="s">
        <v>1722</v>
      </c>
      <c r="J2885" s="173" t="s">
        <v>1723</v>
      </c>
      <c r="K2885" s="173" t="s">
        <v>1724</v>
      </c>
      <c r="L2885" s="173" t="s">
        <v>1725</v>
      </c>
      <c r="M2885" s="173" t="s">
        <v>1726</v>
      </c>
      <c r="N2885" s="173" t="s">
        <v>1727</v>
      </c>
      <c r="O2885" s="173" t="s">
        <v>1728</v>
      </c>
      <c r="P2885" s="224"/>
      <c r="Q2885" s="224"/>
    </row>
    <row r="2886" spans="1:17" s="225" customFormat="1" ht="10.5" x14ac:dyDescent="0.25">
      <c r="A2886" s="229"/>
      <c r="B2886" s="230"/>
      <c r="C2886" s="177"/>
      <c r="D2886" s="178"/>
      <c r="E2886" s="178"/>
      <c r="F2886" s="178"/>
      <c r="G2886" s="178"/>
      <c r="H2886" s="178"/>
      <c r="I2886" s="178"/>
      <c r="J2886" s="178"/>
      <c r="K2886" s="178"/>
      <c r="L2886" s="178"/>
      <c r="M2886" s="178"/>
      <c r="N2886" s="178"/>
      <c r="O2886" s="178"/>
      <c r="P2886" s="231"/>
      <c r="Q2886" s="224"/>
    </row>
    <row r="2887" spans="1:17" s="225" customFormat="1" ht="10.5" x14ac:dyDescent="0.25">
      <c r="A2887" s="229"/>
      <c r="B2887" s="230"/>
      <c r="C2887" s="177"/>
      <c r="D2887" s="178"/>
      <c r="E2887" s="178"/>
      <c r="F2887" s="178"/>
      <c r="G2887" s="178"/>
      <c r="H2887" s="178"/>
      <c r="I2887" s="178"/>
      <c r="J2887" s="178"/>
      <c r="K2887" s="178"/>
      <c r="L2887" s="178"/>
      <c r="M2887" s="178"/>
      <c r="N2887" s="178"/>
      <c r="O2887" s="178"/>
      <c r="P2887" s="231"/>
      <c r="Q2887" s="224"/>
    </row>
    <row r="2888" spans="1:17" s="225" customFormat="1" ht="10.5" x14ac:dyDescent="0.25">
      <c r="A2888" s="229"/>
      <c r="B2888" s="230"/>
      <c r="C2888" s="177"/>
      <c r="D2888" s="178"/>
      <c r="E2888" s="178"/>
      <c r="F2888" s="178"/>
      <c r="G2888" s="178"/>
      <c r="H2888" s="178"/>
      <c r="I2888" s="178"/>
      <c r="J2888" s="178"/>
      <c r="K2888" s="178"/>
      <c r="L2888" s="178"/>
      <c r="M2888" s="178">
        <v>257</v>
      </c>
      <c r="N2888" s="178"/>
      <c r="O2888" s="178"/>
      <c r="P2888" s="231"/>
      <c r="Q2888" s="224"/>
    </row>
    <row r="2889" spans="1:17" s="225" customFormat="1" ht="10.5" x14ac:dyDescent="0.25">
      <c r="A2889" s="229"/>
      <c r="B2889" s="230"/>
      <c r="C2889" s="177"/>
      <c r="D2889" s="178"/>
      <c r="E2889" s="178"/>
      <c r="F2889" s="178"/>
      <c r="G2889" s="178"/>
      <c r="H2889" s="178"/>
      <c r="I2889" s="178"/>
      <c r="J2889" s="178"/>
      <c r="K2889" s="178"/>
      <c r="L2889" s="180"/>
      <c r="M2889" s="178"/>
      <c r="N2889" s="178"/>
      <c r="O2889" s="178"/>
      <c r="P2889" s="231"/>
      <c r="Q2889" s="224"/>
    </row>
    <row r="2890" spans="1:17" s="225" customFormat="1" ht="10.5" x14ac:dyDescent="0.25">
      <c r="A2890" s="229"/>
      <c r="B2890" s="232" t="s">
        <v>5</v>
      </c>
      <c r="C2890" s="182" t="s">
        <v>1328</v>
      </c>
      <c r="D2890" s="182"/>
      <c r="E2890" s="182"/>
      <c r="F2890" s="182"/>
      <c r="G2890" s="182"/>
      <c r="H2890" s="182"/>
      <c r="I2890" s="182"/>
      <c r="J2890" s="182"/>
      <c r="K2890" s="182"/>
      <c r="L2890" s="182"/>
      <c r="M2890" s="182">
        <f>SUM(M2888:M2889)</f>
        <v>257</v>
      </c>
      <c r="N2890" s="182"/>
      <c r="O2890" s="182"/>
      <c r="P2890" s="233"/>
      <c r="Q2890" s="224"/>
    </row>
    <row r="2891" spans="1:17" s="228" customFormat="1" ht="42" x14ac:dyDescent="0.25">
      <c r="A2891" s="226" t="str">
        <f>ORÇAMENTO!A552</f>
        <v>6.1.1.1.9</v>
      </c>
      <c r="B2891" s="227" t="str">
        <f>VLOOKUP(A2891,ORÇAMENTO!A:K,4,0)</f>
        <v>BARREIRA DE SINALIZAÇÃO TIPO III DE DIRECIONAMENTO OU BLOQUEIO - UTILIZAÇÃO DE 150 CICLOS - FORNECIMENTO, 01 IMPLANTAÇÃO E 01 RETIRADA DIÁRIA</v>
      </c>
      <c r="C2891" s="173" t="str">
        <f>VLOOKUP(A2891,ORÇAMENTO!A:K,5,0)</f>
        <v>UN.DIA</v>
      </c>
      <c r="D2891" s="173">
        <f>SUM(E2896:O2896)</f>
        <v>129</v>
      </c>
      <c r="E2891" s="173" t="s">
        <v>1718</v>
      </c>
      <c r="F2891" s="173" t="s">
        <v>1719</v>
      </c>
      <c r="G2891" s="173" t="s">
        <v>1720</v>
      </c>
      <c r="H2891" s="173" t="s">
        <v>1721</v>
      </c>
      <c r="I2891" s="173" t="s">
        <v>1722</v>
      </c>
      <c r="J2891" s="173" t="s">
        <v>1723</v>
      </c>
      <c r="K2891" s="173" t="s">
        <v>1724</v>
      </c>
      <c r="L2891" s="173" t="s">
        <v>1725</v>
      </c>
      <c r="M2891" s="173" t="s">
        <v>1726</v>
      </c>
      <c r="N2891" s="173" t="s">
        <v>1727</v>
      </c>
      <c r="O2891" s="173" t="s">
        <v>1728</v>
      </c>
      <c r="P2891" s="224"/>
      <c r="Q2891" s="224"/>
    </row>
    <row r="2892" spans="1:17" s="225" customFormat="1" ht="10.5" x14ac:dyDescent="0.25">
      <c r="A2892" s="229"/>
      <c r="B2892" s="230"/>
      <c r="C2892" s="177"/>
      <c r="D2892" s="178"/>
      <c r="E2892" s="178"/>
      <c r="F2892" s="178"/>
      <c r="G2892" s="178"/>
      <c r="H2892" s="178"/>
      <c r="I2892" s="178"/>
      <c r="J2892" s="178"/>
      <c r="K2892" s="178"/>
      <c r="L2892" s="178"/>
      <c r="M2892" s="178"/>
      <c r="N2892" s="178"/>
      <c r="O2892" s="178"/>
      <c r="P2892" s="231"/>
      <c r="Q2892" s="224"/>
    </row>
    <row r="2893" spans="1:17" s="225" customFormat="1" ht="10.5" x14ac:dyDescent="0.25">
      <c r="A2893" s="229"/>
      <c r="B2893" s="230"/>
      <c r="C2893" s="177"/>
      <c r="D2893" s="178"/>
      <c r="E2893" s="178"/>
      <c r="F2893" s="178"/>
      <c r="G2893" s="178"/>
      <c r="H2893" s="178"/>
      <c r="I2893" s="178"/>
      <c r="J2893" s="178"/>
      <c r="K2893" s="178"/>
      <c r="L2893" s="178"/>
      <c r="M2893" s="178"/>
      <c r="N2893" s="178"/>
      <c r="O2893" s="178"/>
      <c r="P2893" s="231"/>
      <c r="Q2893" s="224"/>
    </row>
    <row r="2894" spans="1:17" s="225" customFormat="1" ht="10.5" x14ac:dyDescent="0.25">
      <c r="A2894" s="229"/>
      <c r="B2894" s="230"/>
      <c r="C2894" s="177"/>
      <c r="D2894" s="178"/>
      <c r="E2894" s="178"/>
      <c r="F2894" s="178"/>
      <c r="G2894" s="178"/>
      <c r="H2894" s="178"/>
      <c r="I2894" s="178"/>
      <c r="J2894" s="178"/>
      <c r="K2894" s="178"/>
      <c r="L2894" s="178"/>
      <c r="M2894" s="178">
        <v>129</v>
      </c>
      <c r="N2894" s="178"/>
      <c r="O2894" s="178"/>
      <c r="P2894" s="231"/>
      <c r="Q2894" s="224"/>
    </row>
    <row r="2895" spans="1:17" s="225" customFormat="1" ht="10.5" x14ac:dyDescent="0.25">
      <c r="A2895" s="229"/>
      <c r="B2895" s="230"/>
      <c r="C2895" s="177"/>
      <c r="D2895" s="178"/>
      <c r="E2895" s="178"/>
      <c r="F2895" s="178"/>
      <c r="G2895" s="178"/>
      <c r="H2895" s="178"/>
      <c r="I2895" s="178"/>
      <c r="J2895" s="178"/>
      <c r="K2895" s="178"/>
      <c r="L2895" s="180"/>
      <c r="M2895" s="178"/>
      <c r="N2895" s="178"/>
      <c r="O2895" s="178"/>
      <c r="P2895" s="231"/>
      <c r="Q2895" s="224"/>
    </row>
    <row r="2896" spans="1:17" s="225" customFormat="1" ht="10.5" x14ac:dyDescent="0.25">
      <c r="A2896" s="229"/>
      <c r="B2896" s="232" t="s">
        <v>5</v>
      </c>
      <c r="C2896" s="182" t="s">
        <v>1328</v>
      </c>
      <c r="D2896" s="182"/>
      <c r="E2896" s="182"/>
      <c r="F2896" s="182"/>
      <c r="G2896" s="182"/>
      <c r="H2896" s="182"/>
      <c r="I2896" s="182"/>
      <c r="J2896" s="182"/>
      <c r="K2896" s="182"/>
      <c r="L2896" s="182"/>
      <c r="M2896" s="182">
        <f>SUM(M2894:M2895)</f>
        <v>129</v>
      </c>
      <c r="N2896" s="182"/>
      <c r="O2896" s="182"/>
      <c r="P2896" s="233"/>
      <c r="Q2896" s="224"/>
    </row>
    <row r="2897" spans="1:17" s="228" customFormat="1" ht="31.5" x14ac:dyDescent="0.25">
      <c r="A2897" s="226" t="str">
        <f>ORÇAMENTO!A553</f>
        <v>6.1.1.1.10</v>
      </c>
      <c r="B2897" s="227" t="str">
        <f>VLOOKUP(A2897,ORÇAMENTO!A:K,4,0)</f>
        <v>CONE PLÁSTICO PARA CANALIZAÇÃO DE TRÂNSITO - UTILIZAÇÃO DE 150 CICLOS - FORNECIMENTO, 01 IMPLANTAÇÃO E 01 RETIRADA DIÁRIA</v>
      </c>
      <c r="C2897" s="173" t="str">
        <f>VLOOKUP(A2897,ORÇAMENTO!A:K,5,0)</f>
        <v>UN.DIA</v>
      </c>
      <c r="D2897" s="173">
        <f>SUM(E2902:O2902)</f>
        <v>643</v>
      </c>
      <c r="E2897" s="173" t="s">
        <v>1718</v>
      </c>
      <c r="F2897" s="173" t="s">
        <v>1719</v>
      </c>
      <c r="G2897" s="173" t="s">
        <v>1720</v>
      </c>
      <c r="H2897" s="173" t="s">
        <v>1721</v>
      </c>
      <c r="I2897" s="173" t="s">
        <v>1722</v>
      </c>
      <c r="J2897" s="173" t="s">
        <v>1723</v>
      </c>
      <c r="K2897" s="173" t="s">
        <v>1724</v>
      </c>
      <c r="L2897" s="173" t="s">
        <v>1725</v>
      </c>
      <c r="M2897" s="173" t="s">
        <v>1726</v>
      </c>
      <c r="N2897" s="173" t="s">
        <v>1727</v>
      </c>
      <c r="O2897" s="173" t="s">
        <v>1728</v>
      </c>
      <c r="P2897" s="224"/>
      <c r="Q2897" s="224"/>
    </row>
    <row r="2898" spans="1:17" s="225" customFormat="1" ht="10.5" x14ac:dyDescent="0.25">
      <c r="A2898" s="229"/>
      <c r="B2898" s="230"/>
      <c r="C2898" s="177"/>
      <c r="D2898" s="178"/>
      <c r="E2898" s="178"/>
      <c r="F2898" s="178"/>
      <c r="G2898" s="178"/>
      <c r="H2898" s="178"/>
      <c r="I2898" s="178"/>
      <c r="J2898" s="178"/>
      <c r="K2898" s="178"/>
      <c r="L2898" s="178"/>
      <c r="M2898" s="178"/>
      <c r="N2898" s="178"/>
      <c r="O2898" s="178"/>
      <c r="P2898" s="231"/>
      <c r="Q2898" s="224"/>
    </row>
    <row r="2899" spans="1:17" s="225" customFormat="1" ht="10.5" x14ac:dyDescent="0.25">
      <c r="A2899" s="229"/>
      <c r="B2899" s="230"/>
      <c r="C2899" s="177"/>
      <c r="D2899" s="178"/>
      <c r="E2899" s="178"/>
      <c r="F2899" s="178"/>
      <c r="G2899" s="178"/>
      <c r="H2899" s="178"/>
      <c r="I2899" s="178"/>
      <c r="J2899" s="178"/>
      <c r="K2899" s="178"/>
      <c r="L2899" s="178"/>
      <c r="M2899" s="178"/>
      <c r="N2899" s="178"/>
      <c r="O2899" s="178"/>
      <c r="P2899" s="231"/>
      <c r="Q2899" s="224"/>
    </row>
    <row r="2900" spans="1:17" s="225" customFormat="1" ht="10.5" x14ac:dyDescent="0.25">
      <c r="A2900" s="229"/>
      <c r="B2900" s="230"/>
      <c r="C2900" s="177"/>
      <c r="D2900" s="178"/>
      <c r="E2900" s="178"/>
      <c r="F2900" s="178"/>
      <c r="G2900" s="178"/>
      <c r="H2900" s="178"/>
      <c r="I2900" s="178"/>
      <c r="J2900" s="178"/>
      <c r="K2900" s="178"/>
      <c r="L2900" s="178"/>
      <c r="M2900" s="178">
        <v>643</v>
      </c>
      <c r="N2900" s="178"/>
      <c r="O2900" s="178"/>
      <c r="P2900" s="231"/>
      <c r="Q2900" s="224"/>
    </row>
    <row r="2901" spans="1:17" s="225" customFormat="1" ht="10.5" x14ac:dyDescent="0.25">
      <c r="A2901" s="229"/>
      <c r="B2901" s="230"/>
      <c r="C2901" s="177"/>
      <c r="D2901" s="178"/>
      <c r="E2901" s="178"/>
      <c r="F2901" s="178"/>
      <c r="G2901" s="178"/>
      <c r="H2901" s="178"/>
      <c r="I2901" s="178"/>
      <c r="J2901" s="178"/>
      <c r="K2901" s="178"/>
      <c r="L2901" s="180"/>
      <c r="M2901" s="178"/>
      <c r="N2901" s="178"/>
      <c r="O2901" s="178"/>
      <c r="P2901" s="231"/>
      <c r="Q2901" s="224"/>
    </row>
    <row r="2902" spans="1:17" s="225" customFormat="1" ht="10.5" x14ac:dyDescent="0.25">
      <c r="A2902" s="229"/>
      <c r="B2902" s="232" t="s">
        <v>5</v>
      </c>
      <c r="C2902" s="182" t="s">
        <v>1328</v>
      </c>
      <c r="D2902" s="182"/>
      <c r="E2902" s="182"/>
      <c r="F2902" s="182"/>
      <c r="G2902" s="182"/>
      <c r="H2902" s="182"/>
      <c r="I2902" s="182"/>
      <c r="J2902" s="182"/>
      <c r="K2902" s="182"/>
      <c r="L2902" s="182"/>
      <c r="M2902" s="182">
        <f>SUM(M2900:M2901)</f>
        <v>643</v>
      </c>
      <c r="N2902" s="182"/>
      <c r="O2902" s="182"/>
      <c r="P2902" s="233"/>
      <c r="Q2902" s="224"/>
    </row>
    <row r="2903" spans="1:17" s="228" customFormat="1" ht="42" x14ac:dyDescent="0.25">
      <c r="A2903" s="226" t="str">
        <f>ORÇAMENTO!A554</f>
        <v>6.1.1.1.11</v>
      </c>
      <c r="B2903" s="227" t="str">
        <f>VLOOKUP(A2903,ORÇAMENTO!A:K,4,0)</f>
        <v>BALIZADOR CÔNICO REFLETIVO EM POLIETILENO SEMIFLEXÍVEL DE 114 X 11 X 40 CM - UTILIZAÇÃO DE 150 CICLOS - FORNECIMENTO, 01 IMPLANTAÇÃO E 01 RETIRADA DIÁRIA</v>
      </c>
      <c r="C2903" s="173" t="str">
        <f>VLOOKUP(A2903,ORÇAMENTO!A:K,5,0)</f>
        <v>UN.DIA</v>
      </c>
      <c r="D2903" s="173">
        <f>SUM(E2908:O2908)</f>
        <v>643</v>
      </c>
      <c r="E2903" s="173" t="s">
        <v>1718</v>
      </c>
      <c r="F2903" s="173" t="s">
        <v>1719</v>
      </c>
      <c r="G2903" s="173" t="s">
        <v>1720</v>
      </c>
      <c r="H2903" s="173" t="s">
        <v>1721</v>
      </c>
      <c r="I2903" s="173" t="s">
        <v>1722</v>
      </c>
      <c r="J2903" s="173" t="s">
        <v>1723</v>
      </c>
      <c r="K2903" s="173" t="s">
        <v>1724</v>
      </c>
      <c r="L2903" s="173" t="s">
        <v>1725</v>
      </c>
      <c r="M2903" s="173" t="s">
        <v>1726</v>
      </c>
      <c r="N2903" s="173" t="s">
        <v>1727</v>
      </c>
      <c r="O2903" s="173" t="s">
        <v>1728</v>
      </c>
      <c r="P2903" s="224"/>
      <c r="Q2903" s="224"/>
    </row>
    <row r="2904" spans="1:17" s="225" customFormat="1" ht="10.5" x14ac:dyDescent="0.25">
      <c r="A2904" s="229"/>
      <c r="B2904" s="230"/>
      <c r="C2904" s="177"/>
      <c r="D2904" s="178"/>
      <c r="E2904" s="178"/>
      <c r="F2904" s="178"/>
      <c r="G2904" s="178"/>
      <c r="H2904" s="178"/>
      <c r="I2904" s="178"/>
      <c r="J2904" s="178"/>
      <c r="K2904" s="178"/>
      <c r="L2904" s="178"/>
      <c r="M2904" s="178"/>
      <c r="N2904" s="178"/>
      <c r="O2904" s="178"/>
      <c r="P2904" s="231"/>
      <c r="Q2904" s="224"/>
    </row>
    <row r="2905" spans="1:17" s="225" customFormat="1" ht="10.5" x14ac:dyDescent="0.25">
      <c r="A2905" s="229"/>
      <c r="B2905" s="230"/>
      <c r="C2905" s="177"/>
      <c r="D2905" s="178"/>
      <c r="E2905" s="178"/>
      <c r="F2905" s="178"/>
      <c r="G2905" s="178"/>
      <c r="H2905" s="178"/>
      <c r="I2905" s="178"/>
      <c r="J2905" s="178"/>
      <c r="K2905" s="178"/>
      <c r="L2905" s="178"/>
      <c r="M2905" s="178"/>
      <c r="N2905" s="178"/>
      <c r="O2905" s="178"/>
      <c r="P2905" s="231"/>
      <c r="Q2905" s="224"/>
    </row>
    <row r="2906" spans="1:17" s="225" customFormat="1" ht="10.5" x14ac:dyDescent="0.25">
      <c r="A2906" s="229"/>
      <c r="B2906" s="230"/>
      <c r="C2906" s="177"/>
      <c r="D2906" s="178"/>
      <c r="E2906" s="178"/>
      <c r="F2906" s="178"/>
      <c r="G2906" s="178"/>
      <c r="H2906" s="178"/>
      <c r="I2906" s="178"/>
      <c r="J2906" s="178"/>
      <c r="K2906" s="178"/>
      <c r="L2906" s="178"/>
      <c r="M2906" s="178">
        <v>643</v>
      </c>
      <c r="N2906" s="178"/>
      <c r="O2906" s="178"/>
      <c r="P2906" s="231"/>
      <c r="Q2906" s="224"/>
    </row>
    <row r="2907" spans="1:17" s="225" customFormat="1" ht="10.5" x14ac:dyDescent="0.25">
      <c r="A2907" s="229"/>
      <c r="B2907" s="230"/>
      <c r="C2907" s="177"/>
      <c r="D2907" s="178"/>
      <c r="E2907" s="178"/>
      <c r="F2907" s="178"/>
      <c r="G2907" s="178"/>
      <c r="H2907" s="178"/>
      <c r="I2907" s="178"/>
      <c r="J2907" s="178"/>
      <c r="K2907" s="178"/>
      <c r="L2907" s="180"/>
      <c r="M2907" s="178"/>
      <c r="N2907" s="178"/>
      <c r="O2907" s="178"/>
      <c r="P2907" s="231"/>
      <c r="Q2907" s="224"/>
    </row>
    <row r="2908" spans="1:17" s="225" customFormat="1" ht="10.5" x14ac:dyDescent="0.25">
      <c r="A2908" s="229"/>
      <c r="B2908" s="232" t="s">
        <v>5</v>
      </c>
      <c r="C2908" s="182" t="s">
        <v>1328</v>
      </c>
      <c r="D2908" s="182"/>
      <c r="E2908" s="182"/>
      <c r="F2908" s="182"/>
      <c r="G2908" s="182"/>
      <c r="H2908" s="182"/>
      <c r="I2908" s="182"/>
      <c r="J2908" s="182"/>
      <c r="K2908" s="182"/>
      <c r="L2908" s="182"/>
      <c r="M2908" s="182">
        <f>SUM(M2906:M2907)</f>
        <v>643</v>
      </c>
      <c r="N2908" s="182"/>
      <c r="O2908" s="182"/>
      <c r="P2908" s="233"/>
      <c r="Q2908" s="224"/>
    </row>
    <row r="2909" spans="1:17" s="228" customFormat="1" ht="21" x14ac:dyDescent="0.25">
      <c r="A2909" s="226" t="str">
        <f>ORÇAMENTO!A555</f>
        <v>6.1.1.1.12</v>
      </c>
      <c r="B2909" s="227" t="str">
        <f>VLOOKUP(A2909,ORÇAMENTO!A:K,4,0)</f>
        <v>ESCADA DE MADEIRA PARA OBRA, EM TÁBUA DE CONSTRUÇÃO, LARGURA 1,00M</v>
      </c>
      <c r="C2909" s="173" t="str">
        <f>VLOOKUP(A2909,ORÇAMENTO!A:K,5,0)</f>
        <v>M</v>
      </c>
      <c r="D2909" s="173">
        <f>SUM(F2913:O2913)</f>
        <v>70.780111055555849</v>
      </c>
      <c r="E2909" s="173" t="s">
        <v>1718</v>
      </c>
      <c r="F2909" s="173" t="s">
        <v>1719</v>
      </c>
      <c r="G2909" s="173" t="s">
        <v>1720</v>
      </c>
      <c r="H2909" s="173" t="s">
        <v>1721</v>
      </c>
      <c r="I2909" s="173" t="s">
        <v>1722</v>
      </c>
      <c r="J2909" s="173" t="s">
        <v>1723</v>
      </c>
      <c r="K2909" s="173" t="s">
        <v>1724</v>
      </c>
      <c r="L2909" s="173" t="s">
        <v>1725</v>
      </c>
      <c r="M2909" s="173" t="s">
        <v>1726</v>
      </c>
      <c r="N2909" s="173" t="s">
        <v>1727</v>
      </c>
      <c r="O2909" s="173" t="s">
        <v>1728</v>
      </c>
      <c r="P2909" s="224"/>
      <c r="Q2909" s="224"/>
    </row>
    <row r="2910" spans="1:17" s="225" customFormat="1" ht="10.5" x14ac:dyDescent="0.25">
      <c r="A2910" s="229"/>
      <c r="B2910" s="230"/>
      <c r="C2910" s="177"/>
      <c r="D2910" s="178"/>
      <c r="E2910" s="178"/>
      <c r="F2910" s="178"/>
      <c r="G2910" s="178"/>
      <c r="H2910" s="178"/>
      <c r="I2910" s="178"/>
      <c r="J2910" s="178"/>
      <c r="K2910" s="178"/>
      <c r="L2910" s="178"/>
      <c r="M2910" s="178"/>
      <c r="N2910" s="178"/>
      <c r="O2910" s="178"/>
      <c r="P2910" s="231"/>
      <c r="Q2910" s="224"/>
    </row>
    <row r="2911" spans="1:17" s="225" customFormat="1" ht="63" x14ac:dyDescent="0.25">
      <c r="A2911" s="229"/>
      <c r="B2911" s="230" t="s">
        <v>1741</v>
      </c>
      <c r="C2911" s="177"/>
      <c r="D2911" s="178"/>
      <c r="E2911" s="178"/>
      <c r="F2911" s="178"/>
      <c r="G2911" s="178">
        <f>Quantitativos!I120</f>
        <v>70.780111055555849</v>
      </c>
      <c r="H2911" s="178"/>
      <c r="I2911" s="178"/>
      <c r="J2911" s="178"/>
      <c r="K2911" s="178"/>
      <c r="L2911" s="178"/>
      <c r="M2911" s="178"/>
      <c r="N2911" s="178"/>
      <c r="O2911" s="178"/>
      <c r="P2911" s="231"/>
      <c r="Q2911" s="224"/>
    </row>
    <row r="2912" spans="1:17" s="225" customFormat="1" ht="10.5" x14ac:dyDescent="0.25">
      <c r="A2912" s="229"/>
      <c r="B2912" s="230"/>
      <c r="C2912" s="177"/>
      <c r="D2912" s="178"/>
      <c r="E2912" s="178"/>
      <c r="F2912" s="178"/>
      <c r="G2912" s="178"/>
      <c r="H2912" s="178"/>
      <c r="I2912" s="178"/>
      <c r="J2912" s="178"/>
      <c r="K2912" s="178"/>
      <c r="L2912" s="180"/>
      <c r="M2912" s="178"/>
      <c r="N2912" s="178"/>
      <c r="O2912" s="178"/>
      <c r="P2912" s="231"/>
      <c r="Q2912" s="224"/>
    </row>
    <row r="2913" spans="1:17" s="225" customFormat="1" ht="10.5" x14ac:dyDescent="0.25">
      <c r="A2913" s="229"/>
      <c r="B2913" s="232" t="s">
        <v>5</v>
      </c>
      <c r="C2913" s="182" t="s">
        <v>1328</v>
      </c>
      <c r="D2913" s="182"/>
      <c r="E2913" s="182"/>
      <c r="F2913" s="182"/>
      <c r="G2913" s="182">
        <f>SUM(G2910:G2912)</f>
        <v>70.780111055555849</v>
      </c>
      <c r="H2913" s="182"/>
      <c r="I2913" s="182"/>
      <c r="J2913" s="182"/>
      <c r="K2913" s="182"/>
      <c r="L2913" s="182"/>
      <c r="M2913" s="182"/>
      <c r="N2913" s="182"/>
      <c r="O2913" s="182"/>
      <c r="P2913" s="233"/>
      <c r="Q2913" s="224"/>
    </row>
    <row r="2914" spans="1:17" s="228" customFormat="1" ht="31.5" x14ac:dyDescent="0.25">
      <c r="A2914" s="226" t="str">
        <f>ORÇAMENTO!A557</f>
        <v>6.1.1.2.1</v>
      </c>
      <c r="B2914" s="227" t="str">
        <f>VLOOKUP(A2914,ORÇAMENTO!A:K,4,0)</f>
        <v>DEMOLIÇÃO PARCIAL DE PAVIMENTO ASFÁLTICO, DE FORMA MECANIZADA, SEM REAPROVEITAMENTO. AF_09/2023</v>
      </c>
      <c r="C2914" s="173" t="str">
        <f>VLOOKUP(A2914,ORÇAMENTO!A:K,5,0)</f>
        <v>M²</v>
      </c>
      <c r="D2914" s="173">
        <f>SUM(E2919:O2919)</f>
        <v>1230.0907945402287</v>
      </c>
      <c r="E2914" s="173" t="s">
        <v>1718</v>
      </c>
      <c r="F2914" s="173" t="s">
        <v>1719</v>
      </c>
      <c r="G2914" s="173" t="s">
        <v>1720</v>
      </c>
      <c r="H2914" s="173" t="s">
        <v>1721</v>
      </c>
      <c r="I2914" s="173" t="s">
        <v>1722</v>
      </c>
      <c r="J2914" s="173" t="s">
        <v>1723</v>
      </c>
      <c r="K2914" s="173" t="s">
        <v>1724</v>
      </c>
      <c r="L2914" s="173" t="s">
        <v>1725</v>
      </c>
      <c r="M2914" s="173" t="s">
        <v>1730</v>
      </c>
      <c r="N2914" s="173" t="s">
        <v>1727</v>
      </c>
      <c r="O2914" s="173" t="s">
        <v>1728</v>
      </c>
      <c r="P2914" s="224"/>
      <c r="Q2914" s="224"/>
    </row>
    <row r="2915" spans="1:17" s="225" customFormat="1" ht="10.5" x14ac:dyDescent="0.25">
      <c r="A2915" s="229"/>
      <c r="B2915" s="230" t="s">
        <v>1742</v>
      </c>
      <c r="C2915" s="184"/>
      <c r="D2915" s="185"/>
      <c r="E2915" s="185"/>
      <c r="F2915" s="185"/>
      <c r="G2915" s="185"/>
      <c r="H2915" s="185"/>
      <c r="I2915" s="185"/>
      <c r="J2915" s="185"/>
      <c r="K2915" s="185"/>
      <c r="L2915" s="185"/>
      <c r="M2915" s="185"/>
      <c r="N2915" s="185">
        <f>Quantitativos!AA120</f>
        <v>1042.2457945402286</v>
      </c>
      <c r="O2915" s="185"/>
      <c r="P2915" s="231"/>
      <c r="Q2915" s="224"/>
    </row>
    <row r="2916" spans="1:17" s="225" customFormat="1" ht="21" x14ac:dyDescent="0.25">
      <c r="A2916" s="229"/>
      <c r="B2916" s="230" t="s">
        <v>1743</v>
      </c>
      <c r="C2916" s="184"/>
      <c r="D2916" s="185"/>
      <c r="E2916" s="185"/>
      <c r="F2916" s="185"/>
      <c r="G2916" s="185"/>
      <c r="H2916" s="185"/>
      <c r="I2916" s="185"/>
      <c r="J2916" s="185"/>
      <c r="K2916" s="185"/>
      <c r="L2916" s="185"/>
      <c r="M2916" s="185"/>
      <c r="N2916" s="185">
        <f>QUANTBL!O246</f>
        <v>187.845</v>
      </c>
      <c r="O2916" s="185"/>
      <c r="P2916" s="231"/>
      <c r="Q2916" s="224"/>
    </row>
    <row r="2917" spans="1:17" s="225" customFormat="1" ht="10.5" x14ac:dyDescent="0.25">
      <c r="A2917" s="229"/>
      <c r="B2917" s="232" t="s">
        <v>1745</v>
      </c>
      <c r="C2917" s="184"/>
      <c r="D2917" s="185"/>
      <c r="E2917" s="185"/>
      <c r="F2917" s="185"/>
      <c r="G2917" s="185"/>
      <c r="H2917" s="185">
        <v>0.03</v>
      </c>
      <c r="I2917" s="185"/>
      <c r="J2917" s="185"/>
      <c r="K2917" s="185"/>
      <c r="L2917" s="185"/>
      <c r="M2917" s="185"/>
      <c r="O2917" s="185"/>
      <c r="P2917" s="231"/>
      <c r="Q2917" s="224"/>
    </row>
    <row r="2918" spans="1:17" s="225" customFormat="1" ht="10.5" x14ac:dyDescent="0.25">
      <c r="A2918" s="229"/>
      <c r="B2918" s="230"/>
      <c r="C2918" s="184"/>
      <c r="D2918" s="185"/>
      <c r="E2918" s="185"/>
      <c r="F2918" s="185"/>
      <c r="G2918" s="185"/>
      <c r="H2918" s="185"/>
      <c r="I2918" s="185"/>
      <c r="J2918" s="185"/>
      <c r="K2918" s="185"/>
      <c r="L2918" s="186"/>
      <c r="M2918" s="185"/>
      <c r="N2918" s="185"/>
      <c r="O2918" s="185"/>
      <c r="P2918" s="231"/>
      <c r="Q2918" s="224"/>
    </row>
    <row r="2919" spans="1:17" s="225" customFormat="1" ht="10.5" x14ac:dyDescent="0.25">
      <c r="A2919" s="229"/>
      <c r="B2919" s="232" t="s">
        <v>5</v>
      </c>
      <c r="C2919" s="182" t="s">
        <v>1328</v>
      </c>
      <c r="D2919" s="182"/>
      <c r="E2919" s="182"/>
      <c r="F2919" s="182"/>
      <c r="G2919" s="182"/>
      <c r="H2919" s="182"/>
      <c r="I2919" s="182"/>
      <c r="J2919" s="182"/>
      <c r="K2919" s="182"/>
      <c r="L2919" s="182"/>
      <c r="M2919" s="182"/>
      <c r="N2919" s="182">
        <f>SUM(N2915:N2918)</f>
        <v>1230.0907945402287</v>
      </c>
      <c r="O2919" s="182"/>
      <c r="P2919" s="233"/>
      <c r="Q2919" s="224"/>
    </row>
    <row r="2920" spans="1:17" s="228" customFormat="1" ht="52.5" x14ac:dyDescent="0.25">
      <c r="A2920" s="226" t="str">
        <f>ORÇAMENTO!A558</f>
        <v>6.1.1.2.2</v>
      </c>
      <c r="B2920" s="227" t="str">
        <f>VLOOKUP(A2920,ORÇAMENTO!A:K,4,0)</f>
        <v>CARGA, MANOBRA E DESCARGA DE ENTULHO EM CAMINHÃO BASCULANTE 14 M³ - CARGA COM ESCAVADEIRA HIDRÁULICA  (CAÇAMBA DE 0,80 M³ / 111 HP) E DESCARGA LIVRE (UNIDADE: M3). AF_07/2020</v>
      </c>
      <c r="C2920" s="173" t="str">
        <f>VLOOKUP(A2920,ORÇAMENTO!A:K,5,0)</f>
        <v>M³</v>
      </c>
      <c r="D2920" s="173">
        <f>SUM(E2924:O2924)</f>
        <v>36.90272383620686</v>
      </c>
      <c r="E2920" s="173" t="s">
        <v>1718</v>
      </c>
      <c r="F2920" s="173" t="s">
        <v>1719</v>
      </c>
      <c r="G2920" s="173" t="s">
        <v>1720</v>
      </c>
      <c r="H2920" s="173" t="s">
        <v>1721</v>
      </c>
      <c r="I2920" s="173" t="s">
        <v>1722</v>
      </c>
      <c r="J2920" s="173" t="s">
        <v>1723</v>
      </c>
      <c r="K2920" s="173" t="s">
        <v>1746</v>
      </c>
      <c r="L2920" s="173" t="s">
        <v>1747</v>
      </c>
      <c r="M2920" s="173" t="s">
        <v>1730</v>
      </c>
      <c r="N2920" s="173" t="s">
        <v>1727</v>
      </c>
      <c r="O2920" s="173" t="s">
        <v>1728</v>
      </c>
      <c r="P2920" s="224"/>
      <c r="Q2920" s="224"/>
    </row>
    <row r="2921" spans="1:17" s="225" customFormat="1" ht="10.5" x14ac:dyDescent="0.25">
      <c r="A2921" s="229"/>
      <c r="B2921" s="230" t="str">
        <f>B2915</f>
        <v>ÁREA DE DEMOLIÇÃO ASFÁLTICA NA REDE</v>
      </c>
      <c r="C2921" s="184"/>
      <c r="D2921" s="185"/>
      <c r="E2921" s="185"/>
      <c r="F2921" s="185"/>
      <c r="G2921" s="185"/>
      <c r="I2921" s="185"/>
      <c r="J2921" s="185"/>
      <c r="K2921" s="185"/>
      <c r="L2921" s="185"/>
      <c r="M2921" s="185"/>
      <c r="N2921" s="185">
        <f>N2919</f>
        <v>1230.0907945402287</v>
      </c>
      <c r="O2921" s="185"/>
      <c r="P2921" s="231"/>
      <c r="Q2921" s="224"/>
    </row>
    <row r="2922" spans="1:17" s="225" customFormat="1" ht="10.5" x14ac:dyDescent="0.25">
      <c r="A2922" s="229"/>
      <c r="B2922" s="232" t="str">
        <f>B2917</f>
        <v>TIPO DE TRÁFEGO - LEVE</v>
      </c>
      <c r="C2922" s="184"/>
      <c r="D2922" s="185"/>
      <c r="E2922" s="185"/>
      <c r="F2922" s="185"/>
      <c r="G2922" s="185"/>
      <c r="H2922" s="185">
        <f>H2917</f>
        <v>0.03</v>
      </c>
      <c r="I2922" s="185"/>
      <c r="J2922" s="185"/>
      <c r="K2922" s="185"/>
      <c r="L2922" s="185"/>
      <c r="M2922" s="185"/>
      <c r="N2922" s="185"/>
      <c r="O2922" s="185">
        <f>N2921*H2922</f>
        <v>36.90272383620686</v>
      </c>
      <c r="P2922" s="231"/>
      <c r="Q2922" s="224"/>
    </row>
    <row r="2923" spans="1:17" s="225" customFormat="1" ht="10.5" x14ac:dyDescent="0.25">
      <c r="A2923" s="229"/>
      <c r="B2923" s="230"/>
      <c r="C2923" s="184"/>
      <c r="D2923" s="185"/>
      <c r="E2923" s="185"/>
      <c r="F2923" s="185"/>
      <c r="G2923" s="185"/>
      <c r="H2923" s="185"/>
      <c r="I2923" s="185"/>
      <c r="J2923" s="185"/>
      <c r="K2923" s="185"/>
      <c r="L2923" s="186"/>
      <c r="M2923" s="185"/>
      <c r="N2923" s="185"/>
      <c r="O2923" s="185"/>
      <c r="P2923" s="231"/>
      <c r="Q2923" s="224"/>
    </row>
    <row r="2924" spans="1:17" s="225" customFormat="1" ht="10.5" x14ac:dyDescent="0.25">
      <c r="A2924" s="229"/>
      <c r="B2924" s="232" t="s">
        <v>5</v>
      </c>
      <c r="C2924" s="182" t="s">
        <v>1328</v>
      </c>
      <c r="D2924" s="182"/>
      <c r="E2924" s="182"/>
      <c r="F2924" s="182"/>
      <c r="G2924" s="182"/>
      <c r="H2924" s="182"/>
      <c r="I2924" s="182"/>
      <c r="J2924" s="182"/>
      <c r="K2924" s="182"/>
      <c r="L2924" s="182"/>
      <c r="M2924" s="182"/>
      <c r="N2924" s="182"/>
      <c r="O2924" s="182">
        <f>SUM(O2922:O2923)</f>
        <v>36.90272383620686</v>
      </c>
      <c r="P2924" s="233"/>
      <c r="Q2924" s="224"/>
    </row>
    <row r="2925" spans="1:17" s="228" customFormat="1" ht="31.5" x14ac:dyDescent="0.25">
      <c r="A2925" s="226" t="str">
        <f>ORÇAMENTO!A559</f>
        <v>6.1.1.2.3</v>
      </c>
      <c r="B2925" s="227" t="str">
        <f>VLOOKUP(A2925,ORÇAMENTO!A:K,4,0)</f>
        <v>TRANSPORTE COM CAMINHÃO BASCULANTE DE 14 M³, EM VIA URBANA PAVIMENTADA, DMT ATÉ 30 KM (UNIDADE: M3XKM). AF_07/2020</v>
      </c>
      <c r="C2925" s="173" t="str">
        <f>VLOOKUP(A2925,ORÇAMENTO!A:K,5,0)</f>
        <v>M3XKM</v>
      </c>
      <c r="D2925" s="173">
        <f>SUM(E2929:O2929)</f>
        <v>1107.0817150862058</v>
      </c>
      <c r="E2925" s="173" t="s">
        <v>1749</v>
      </c>
      <c r="F2925" s="173" t="s">
        <v>1719</v>
      </c>
      <c r="G2925" s="173" t="s">
        <v>1720</v>
      </c>
      <c r="H2925" s="173" t="s">
        <v>1721</v>
      </c>
      <c r="I2925" s="173" t="s">
        <v>1722</v>
      </c>
      <c r="J2925" s="173" t="s">
        <v>1723</v>
      </c>
      <c r="K2925" s="173" t="s">
        <v>1746</v>
      </c>
      <c r="L2925" s="173" t="s">
        <v>1725</v>
      </c>
      <c r="M2925" s="173" t="s">
        <v>1750</v>
      </c>
      <c r="N2925" s="173" t="s">
        <v>1727</v>
      </c>
      <c r="O2925" s="173" t="s">
        <v>1728</v>
      </c>
      <c r="P2925" s="224"/>
      <c r="Q2925" s="224"/>
    </row>
    <row r="2926" spans="1:17" s="225" customFormat="1" ht="10.5" x14ac:dyDescent="0.25">
      <c r="A2926" s="229"/>
      <c r="B2926" s="230"/>
      <c r="C2926" s="184"/>
      <c r="D2926" s="185"/>
      <c r="E2926" s="185"/>
      <c r="F2926" s="185"/>
      <c r="G2926" s="185"/>
      <c r="H2926" s="185"/>
      <c r="I2926" s="185"/>
      <c r="J2926" s="178"/>
      <c r="K2926" s="185"/>
      <c r="L2926" s="185"/>
      <c r="M2926" s="185"/>
      <c r="N2926" s="185"/>
      <c r="O2926" s="185"/>
      <c r="P2926" s="231"/>
      <c r="Q2926" s="224"/>
    </row>
    <row r="2927" spans="1:17" s="225" customFormat="1" ht="10.5" x14ac:dyDescent="0.25">
      <c r="A2927" s="229"/>
      <c r="B2927" s="230" t="s">
        <v>1751</v>
      </c>
      <c r="C2927" s="184"/>
      <c r="D2927" s="185"/>
      <c r="E2927" s="185">
        <v>30</v>
      </c>
      <c r="F2927" s="185"/>
      <c r="G2927" s="185"/>
      <c r="H2927" s="185"/>
      <c r="I2927" s="185"/>
      <c r="J2927" s="178"/>
      <c r="K2927" s="185"/>
      <c r="L2927" s="185"/>
      <c r="M2927" s="185">
        <f>E2927*O2927</f>
        <v>1107.0817150862058</v>
      </c>
      <c r="N2927" s="185"/>
      <c r="O2927" s="185">
        <f>O2924</f>
        <v>36.90272383620686</v>
      </c>
      <c r="P2927" s="231"/>
      <c r="Q2927" s="224"/>
    </row>
    <row r="2928" spans="1:17" s="225" customFormat="1" ht="10.5" x14ac:dyDescent="0.25">
      <c r="A2928" s="229"/>
      <c r="B2928" s="230"/>
      <c r="C2928" s="184"/>
      <c r="D2928" s="185"/>
      <c r="E2928" s="185"/>
      <c r="F2928" s="185"/>
      <c r="G2928" s="185"/>
      <c r="H2928" s="185"/>
      <c r="I2928" s="185"/>
      <c r="J2928" s="182"/>
      <c r="K2928" s="185"/>
      <c r="L2928" s="186"/>
      <c r="M2928" s="185"/>
      <c r="N2928" s="185"/>
      <c r="O2928" s="185"/>
      <c r="P2928" s="231"/>
      <c r="Q2928" s="224"/>
    </row>
    <row r="2929" spans="1:19" s="225" customFormat="1" ht="10.5" x14ac:dyDescent="0.25">
      <c r="A2929" s="229"/>
      <c r="B2929" s="232" t="s">
        <v>5</v>
      </c>
      <c r="C2929" s="182" t="s">
        <v>1328</v>
      </c>
      <c r="D2929" s="182"/>
      <c r="E2929" s="182"/>
      <c r="F2929" s="182"/>
      <c r="G2929" s="182"/>
      <c r="H2929" s="182"/>
      <c r="I2929" s="182"/>
      <c r="J2929" s="182"/>
      <c r="K2929" s="182"/>
      <c r="L2929" s="182"/>
      <c r="M2929" s="182">
        <f>SUM(M2927:M2928)</f>
        <v>1107.0817150862058</v>
      </c>
      <c r="N2929" s="182"/>
      <c r="O2929" s="182"/>
      <c r="P2929" s="233"/>
      <c r="Q2929" s="224"/>
    </row>
    <row r="2930" spans="1:19" s="235" customFormat="1" ht="42" x14ac:dyDescent="0.35">
      <c r="A2930" s="226" t="str">
        <f>ORÇAMENTO!A560</f>
        <v>6.1.1.2.4</v>
      </c>
      <c r="B2930" s="227" t="str">
        <f>VLOOKUP(A2930,ORÇAMENTO!A:K,4,0)</f>
        <v>TRANSPORTE COM CAMINHÃO BASCULANTE DE 14 M³, EM VIA URBANA PAVIMENTADA, ADICIONAL PARA DMT EXCEDENTE A 30 KM (UNIDADE: M3XKM). AF_07/2020</v>
      </c>
      <c r="C2930" s="173" t="str">
        <f>VLOOKUP(A2930,ORÇAMENTO!A:K,5,0)</f>
        <v>M3XKM</v>
      </c>
      <c r="D2930" s="173">
        <f>SUM(E2933:O2933)</f>
        <v>1653.2420278620673</v>
      </c>
      <c r="E2930" s="173" t="s">
        <v>1752</v>
      </c>
      <c r="F2930" s="173" t="s">
        <v>1719</v>
      </c>
      <c r="G2930" s="173" t="s">
        <v>1720</v>
      </c>
      <c r="H2930" s="173" t="s">
        <v>1721</v>
      </c>
      <c r="I2930" s="173" t="s">
        <v>1722</v>
      </c>
      <c r="J2930" s="173" t="s">
        <v>1723</v>
      </c>
      <c r="K2930" s="173" t="s">
        <v>1746</v>
      </c>
      <c r="L2930" s="173" t="s">
        <v>1753</v>
      </c>
      <c r="M2930" s="173" t="s">
        <v>1750</v>
      </c>
      <c r="N2930" s="173" t="s">
        <v>1727</v>
      </c>
      <c r="O2930" s="173" t="s">
        <v>1728</v>
      </c>
      <c r="P2930" s="224"/>
      <c r="Q2930" s="224"/>
      <c r="R2930" s="224"/>
      <c r="S2930" s="224"/>
    </row>
    <row r="2931" spans="1:19" s="225" customFormat="1" ht="10.5" x14ac:dyDescent="0.25">
      <c r="A2931" s="229"/>
      <c r="B2931" s="230" t="s">
        <v>1751</v>
      </c>
      <c r="C2931" s="177"/>
      <c r="D2931" s="178"/>
      <c r="E2931" s="178">
        <f>74.8-E2927</f>
        <v>44.8</v>
      </c>
      <c r="F2931" s="178"/>
      <c r="G2931" s="178"/>
      <c r="H2931" s="178"/>
      <c r="I2931" s="178"/>
      <c r="J2931" s="178"/>
      <c r="K2931" s="178"/>
      <c r="L2931" s="190"/>
      <c r="M2931" s="178">
        <f>E2931*O2931</f>
        <v>1653.2420278620673</v>
      </c>
      <c r="N2931" s="178"/>
      <c r="O2931" s="178">
        <f>O2927</f>
        <v>36.90272383620686</v>
      </c>
      <c r="P2931" s="231"/>
      <c r="Q2931" s="224"/>
    </row>
    <row r="2932" spans="1:19" s="225" customFormat="1" ht="10.5" x14ac:dyDescent="0.25">
      <c r="A2932" s="229"/>
      <c r="B2932" s="230"/>
      <c r="C2932" s="177"/>
      <c r="D2932" s="178"/>
      <c r="E2932" s="178"/>
      <c r="F2932" s="178"/>
      <c r="G2932" s="178"/>
      <c r="H2932" s="178"/>
      <c r="I2932" s="178"/>
      <c r="J2932" s="178"/>
      <c r="K2932" s="178"/>
      <c r="L2932" s="190"/>
      <c r="M2932" s="178"/>
      <c r="N2932" s="178"/>
      <c r="O2932" s="178"/>
      <c r="P2932" s="231"/>
      <c r="Q2932" s="224"/>
    </row>
    <row r="2933" spans="1:19" s="225" customFormat="1" ht="10.5" x14ac:dyDescent="0.25">
      <c r="A2933" s="229"/>
      <c r="B2933" s="232" t="s">
        <v>5</v>
      </c>
      <c r="C2933" s="182" t="s">
        <v>1328</v>
      </c>
      <c r="D2933" s="182"/>
      <c r="E2933" s="182"/>
      <c r="F2933" s="182"/>
      <c r="G2933" s="182"/>
      <c r="H2933" s="182"/>
      <c r="I2933" s="182"/>
      <c r="J2933" s="182"/>
      <c r="K2933" s="182"/>
      <c r="L2933" s="182"/>
      <c r="M2933" s="182">
        <f>SUM(M2931)</f>
        <v>1653.2420278620673</v>
      </c>
      <c r="N2933" s="182"/>
      <c r="O2933" s="182"/>
      <c r="P2933" s="233"/>
      <c r="Q2933" s="224"/>
    </row>
    <row r="2934" spans="1:19" s="228" customFormat="1" ht="21" x14ac:dyDescent="0.25">
      <c r="A2934" s="226" t="str">
        <f>ORÇAMENTO!A562</f>
        <v>6.1.1.3.1</v>
      </c>
      <c r="B2934" s="227" t="str">
        <f>VLOOKUP(A2934,ORÇAMENTO!A:K,4,0)</f>
        <v>DEMOLIÇÃO MANUAL DE CONCRETO ARMADO</v>
      </c>
      <c r="C2934" s="173" t="str">
        <f>VLOOKUP(A2934,ORÇAMENTO!A:K,5,0)</f>
        <v>M³</v>
      </c>
      <c r="D2934" s="173">
        <f>SUM(E2938:O2938)</f>
        <v>16.234851242947787</v>
      </c>
      <c r="E2934" s="173" t="s">
        <v>1718</v>
      </c>
      <c r="F2934" s="173" t="s">
        <v>1719</v>
      </c>
      <c r="G2934" s="173" t="s">
        <v>1720</v>
      </c>
      <c r="H2934" s="173" t="s">
        <v>1721</v>
      </c>
      <c r="I2934" s="173" t="s">
        <v>1722</v>
      </c>
      <c r="J2934" s="173" t="s">
        <v>1723</v>
      </c>
      <c r="K2934" s="173" t="s">
        <v>1724</v>
      </c>
      <c r="L2934" s="173" t="s">
        <v>1725</v>
      </c>
      <c r="M2934" s="173" t="s">
        <v>1730</v>
      </c>
      <c r="N2934" s="173" t="s">
        <v>1727</v>
      </c>
      <c r="O2934" s="173" t="s">
        <v>1728</v>
      </c>
      <c r="P2934" s="224"/>
      <c r="Q2934" s="224"/>
    </row>
    <row r="2935" spans="1:19" s="225" customFormat="1" ht="10.5" x14ac:dyDescent="0.25">
      <c r="A2935" s="229"/>
      <c r="B2935" s="230"/>
      <c r="C2935" s="184"/>
      <c r="D2935" s="185"/>
      <c r="E2935" s="185"/>
      <c r="F2935" s="185"/>
      <c r="G2935" s="185"/>
      <c r="H2935" s="185"/>
      <c r="I2935" s="185"/>
      <c r="J2935" s="185"/>
      <c r="K2935" s="185"/>
      <c r="L2935" s="185"/>
      <c r="M2935" s="185"/>
      <c r="N2935" s="185"/>
      <c r="O2935" s="185"/>
      <c r="P2935" s="231"/>
      <c r="Q2935" s="224"/>
    </row>
    <row r="2936" spans="1:19" s="225" customFormat="1" ht="21" x14ac:dyDescent="0.25">
      <c r="A2936" s="229"/>
      <c r="B2936" s="230" t="s">
        <v>1754</v>
      </c>
      <c r="C2936" s="184"/>
      <c r="D2936" s="185"/>
      <c r="E2936" s="185"/>
      <c r="F2936" s="185"/>
      <c r="G2936" s="185"/>
      <c r="H2936" s="185"/>
      <c r="I2936" s="185"/>
      <c r="J2936" s="185"/>
      <c r="K2936" s="185"/>
      <c r="L2936" s="185"/>
      <c r="M2936" s="185"/>
      <c r="N2936" s="185"/>
      <c r="O2936" s="185">
        <f>'Planilha Hidráulica'!Y130</f>
        <v>16.234851242947787</v>
      </c>
      <c r="P2936" s="231"/>
      <c r="Q2936" s="224"/>
    </row>
    <row r="2937" spans="1:19" s="225" customFormat="1" ht="10.5" x14ac:dyDescent="0.25">
      <c r="A2937" s="229"/>
      <c r="B2937" s="230"/>
      <c r="C2937" s="184"/>
      <c r="D2937" s="185"/>
      <c r="E2937" s="185"/>
      <c r="F2937" s="185"/>
      <c r="G2937" s="185"/>
      <c r="H2937" s="185"/>
      <c r="I2937" s="185"/>
      <c r="J2937" s="185"/>
      <c r="K2937" s="185"/>
      <c r="L2937" s="186"/>
      <c r="M2937" s="185"/>
      <c r="N2937" s="185"/>
      <c r="O2937" s="185"/>
      <c r="P2937" s="231"/>
      <c r="Q2937" s="224"/>
    </row>
    <row r="2938" spans="1:19" s="225" customFormat="1" ht="10.5" x14ac:dyDescent="0.25">
      <c r="A2938" s="229"/>
      <c r="B2938" s="232" t="s">
        <v>5</v>
      </c>
      <c r="C2938" s="182" t="s">
        <v>1328</v>
      </c>
      <c r="D2938" s="182"/>
      <c r="E2938" s="182"/>
      <c r="F2938" s="182"/>
      <c r="G2938" s="182"/>
      <c r="H2938" s="182"/>
      <c r="I2938" s="182"/>
      <c r="J2938" s="182"/>
      <c r="K2938" s="182"/>
      <c r="L2938" s="182"/>
      <c r="M2938" s="182"/>
      <c r="N2938" s="182"/>
      <c r="O2938" s="182">
        <f>SUM(O2936:O2937)</f>
        <v>16.234851242947787</v>
      </c>
      <c r="P2938" s="233"/>
      <c r="Q2938" s="224"/>
    </row>
    <row r="2939" spans="1:19" s="228" customFormat="1" ht="52.5" x14ac:dyDescent="0.25">
      <c r="A2939" s="226" t="str">
        <f>ORÇAMENTO!A563</f>
        <v>6.1.1.3.2</v>
      </c>
      <c r="B2939" s="227" t="str">
        <f>VLOOKUP(A2939,ORÇAMENTO!A:K,4,0)</f>
        <v>CARGA, MANOBRA E DESCARGA DE ENTULHO EM CAMINHÃO BASCULANTE 14 M³ - CARGA COM ESCAVADEIRA HIDRÁULICA  (CAÇAMBA DE 0,80 M³ / 111 HP) E DESCARGA LIVRE (UNIDADE: M3). AF_07/2020</v>
      </c>
      <c r="C2939" s="173" t="str">
        <f>VLOOKUP(A2939,ORÇAMENTO!A:K,5,0)</f>
        <v>M³</v>
      </c>
      <c r="D2939" s="173">
        <f>SUM(E2943:O2943)</f>
        <v>16.234851242947787</v>
      </c>
      <c r="E2939" s="173" t="s">
        <v>1718</v>
      </c>
      <c r="F2939" s="173" t="s">
        <v>1719</v>
      </c>
      <c r="G2939" s="173" t="s">
        <v>1720</v>
      </c>
      <c r="H2939" s="173" t="s">
        <v>1721</v>
      </c>
      <c r="I2939" s="173" t="s">
        <v>1722</v>
      </c>
      <c r="J2939" s="173" t="s">
        <v>1723</v>
      </c>
      <c r="K2939" s="173" t="s">
        <v>1746</v>
      </c>
      <c r="L2939" s="173" t="s">
        <v>1756</v>
      </c>
      <c r="M2939" s="173" t="s">
        <v>1730</v>
      </c>
      <c r="N2939" s="173" t="s">
        <v>1727</v>
      </c>
      <c r="O2939" s="173" t="s">
        <v>1728</v>
      </c>
      <c r="P2939" s="224"/>
      <c r="Q2939" s="224"/>
    </row>
    <row r="2940" spans="1:19" s="225" customFormat="1" ht="10.5" x14ac:dyDescent="0.25">
      <c r="A2940" s="229"/>
      <c r="B2940" s="230"/>
      <c r="C2940" s="184"/>
      <c r="D2940" s="185"/>
      <c r="E2940" s="185"/>
      <c r="F2940" s="185"/>
      <c r="G2940" s="185"/>
      <c r="H2940" s="185"/>
      <c r="I2940" s="185"/>
      <c r="J2940" s="185"/>
      <c r="K2940" s="185"/>
      <c r="L2940" s="185"/>
      <c r="M2940" s="185"/>
      <c r="N2940" s="185"/>
      <c r="O2940" s="185"/>
      <c r="P2940" s="231"/>
      <c r="Q2940" s="224"/>
    </row>
    <row r="2941" spans="1:19" s="225" customFormat="1" ht="10.5" x14ac:dyDescent="0.25">
      <c r="A2941" s="229"/>
      <c r="B2941" s="230" t="s">
        <v>1731</v>
      </c>
      <c r="C2941" s="184"/>
      <c r="D2941" s="185"/>
      <c r="E2941" s="185"/>
      <c r="F2941" s="185"/>
      <c r="G2941" s="185"/>
      <c r="H2941" s="185"/>
      <c r="I2941" s="191"/>
      <c r="J2941" s="185"/>
      <c r="K2941" s="185"/>
      <c r="L2941" s="185"/>
      <c r="M2941" s="185"/>
      <c r="N2941" s="185"/>
      <c r="O2941" s="185">
        <f>O2936</f>
        <v>16.234851242947787</v>
      </c>
      <c r="P2941" s="231"/>
      <c r="Q2941" s="224"/>
    </row>
    <row r="2942" spans="1:19" s="225" customFormat="1" ht="10.5" x14ac:dyDescent="0.25">
      <c r="A2942" s="229"/>
      <c r="B2942" s="230"/>
      <c r="C2942" s="184"/>
      <c r="D2942" s="185"/>
      <c r="E2942" s="185"/>
      <c r="F2942" s="185"/>
      <c r="G2942" s="185"/>
      <c r="H2942" s="185"/>
      <c r="I2942" s="185"/>
      <c r="J2942" s="185"/>
      <c r="K2942" s="185"/>
      <c r="L2942" s="186"/>
      <c r="M2942" s="185"/>
      <c r="N2942" s="185"/>
      <c r="O2942" s="185"/>
      <c r="P2942" s="231"/>
      <c r="Q2942" s="224"/>
    </row>
    <row r="2943" spans="1:19" s="225" customFormat="1" ht="10.5" x14ac:dyDescent="0.25">
      <c r="A2943" s="229"/>
      <c r="B2943" s="232" t="s">
        <v>5</v>
      </c>
      <c r="C2943" s="182" t="s">
        <v>1328</v>
      </c>
      <c r="D2943" s="182"/>
      <c r="E2943" s="182"/>
      <c r="F2943" s="182"/>
      <c r="G2943" s="182"/>
      <c r="H2943" s="182"/>
      <c r="I2943" s="182"/>
      <c r="J2943" s="182"/>
      <c r="K2943" s="182"/>
      <c r="L2943" s="182"/>
      <c r="M2943" s="182"/>
      <c r="N2943" s="182"/>
      <c r="O2943" s="182">
        <f>SUM(O2941:O2942)</f>
        <v>16.234851242947787</v>
      </c>
      <c r="P2943" s="233"/>
      <c r="Q2943" s="224"/>
    </row>
    <row r="2944" spans="1:19" s="228" customFormat="1" ht="31.5" x14ac:dyDescent="0.25">
      <c r="A2944" s="226" t="str">
        <f>ORÇAMENTO!A564</f>
        <v>6.1.1.3.3</v>
      </c>
      <c r="B2944" s="227" t="str">
        <f>VLOOKUP(A2944,ORÇAMENTO!A:K,4,0)</f>
        <v>TRANSPORTE COM CAMINHÃO BASCULANTE DE 14 M³, EM VIA URBANA PAVIMENTADA, DMT ATÉ 30 KM (UNIDADE: M3XKM). AF_07/2020</v>
      </c>
      <c r="C2944" s="173" t="str">
        <f>VLOOKUP(A2944,ORÇAMENTO!A:K,5,0)</f>
        <v>M3XKM</v>
      </c>
      <c r="D2944" s="173">
        <f>SUM(E2948:O2948)</f>
        <v>487.04553728843359</v>
      </c>
      <c r="E2944" s="173" t="s">
        <v>1749</v>
      </c>
      <c r="F2944" s="173" t="s">
        <v>1719</v>
      </c>
      <c r="G2944" s="173" t="s">
        <v>1720</v>
      </c>
      <c r="H2944" s="173" t="s">
        <v>1721</v>
      </c>
      <c r="I2944" s="173" t="s">
        <v>1722</v>
      </c>
      <c r="J2944" s="173" t="s">
        <v>1723</v>
      </c>
      <c r="K2944" s="173" t="s">
        <v>1746</v>
      </c>
      <c r="L2944" s="173" t="s">
        <v>1725</v>
      </c>
      <c r="M2944" s="173" t="s">
        <v>1750</v>
      </c>
      <c r="N2944" s="173" t="s">
        <v>1727</v>
      </c>
      <c r="O2944" s="173" t="s">
        <v>1728</v>
      </c>
      <c r="P2944" s="224"/>
      <c r="Q2944" s="224"/>
    </row>
    <row r="2945" spans="1:19" s="225" customFormat="1" ht="10.5" x14ac:dyDescent="0.25">
      <c r="A2945" s="229"/>
      <c r="B2945" s="230"/>
      <c r="C2945" s="184"/>
      <c r="D2945" s="185"/>
      <c r="E2945" s="185"/>
      <c r="F2945" s="185"/>
      <c r="G2945" s="185"/>
      <c r="H2945" s="185"/>
      <c r="I2945" s="185"/>
      <c r="J2945" s="178"/>
      <c r="K2945" s="185"/>
      <c r="L2945" s="185"/>
      <c r="M2945" s="185"/>
      <c r="N2945" s="185"/>
      <c r="O2945" s="185"/>
      <c r="P2945" s="231"/>
      <c r="Q2945" s="224"/>
    </row>
    <row r="2946" spans="1:19" s="225" customFormat="1" ht="10.5" x14ac:dyDescent="0.25">
      <c r="A2946" s="229"/>
      <c r="B2946" s="230" t="s">
        <v>1751</v>
      </c>
      <c r="C2946" s="184"/>
      <c r="D2946" s="185"/>
      <c r="E2946" s="185">
        <v>30</v>
      </c>
      <c r="F2946" s="185"/>
      <c r="G2946" s="185"/>
      <c r="H2946" s="185"/>
      <c r="I2946" s="185"/>
      <c r="J2946" s="178"/>
      <c r="K2946" s="185"/>
      <c r="L2946" s="185"/>
      <c r="M2946" s="185">
        <f>O2946*E2946</f>
        <v>487.04553728843359</v>
      </c>
      <c r="N2946" s="185"/>
      <c r="O2946" s="185">
        <f>O2943</f>
        <v>16.234851242947787</v>
      </c>
      <c r="P2946" s="231"/>
      <c r="Q2946" s="224"/>
    </row>
    <row r="2947" spans="1:19" s="225" customFormat="1" ht="10.5" x14ac:dyDescent="0.25">
      <c r="A2947" s="229"/>
      <c r="B2947" s="230"/>
      <c r="C2947" s="184"/>
      <c r="D2947" s="185"/>
      <c r="E2947" s="185"/>
      <c r="F2947" s="185"/>
      <c r="G2947" s="185"/>
      <c r="H2947" s="185"/>
      <c r="I2947" s="185"/>
      <c r="J2947" s="182"/>
      <c r="K2947" s="185"/>
      <c r="L2947" s="186"/>
      <c r="M2947" s="185"/>
      <c r="N2947" s="185"/>
      <c r="O2947" s="185"/>
      <c r="P2947" s="231"/>
      <c r="Q2947" s="224"/>
    </row>
    <row r="2948" spans="1:19" s="225" customFormat="1" ht="10.5" x14ac:dyDescent="0.25">
      <c r="A2948" s="229"/>
      <c r="B2948" s="232" t="s">
        <v>5</v>
      </c>
      <c r="C2948" s="182" t="s">
        <v>1328</v>
      </c>
      <c r="D2948" s="182"/>
      <c r="E2948" s="182"/>
      <c r="F2948" s="182"/>
      <c r="G2948" s="182"/>
      <c r="H2948" s="182"/>
      <c r="I2948" s="182"/>
      <c r="K2948" s="182"/>
      <c r="L2948" s="182"/>
      <c r="M2948" s="182">
        <f>SUM(M2946:M2947)</f>
        <v>487.04553728843359</v>
      </c>
      <c r="N2948" s="182"/>
      <c r="O2948" s="182"/>
      <c r="P2948" s="233"/>
      <c r="Q2948" s="224"/>
    </row>
    <row r="2949" spans="1:19" s="235" customFormat="1" ht="42" x14ac:dyDescent="0.35">
      <c r="A2949" s="226" t="str">
        <f>ORÇAMENTO!A565</f>
        <v>6.1.1.3.4</v>
      </c>
      <c r="B2949" s="227" t="str">
        <f>VLOOKUP(A2949,ORÇAMENTO!A:K,4,0)</f>
        <v>TRANSPORTE COM CAMINHÃO BASCULANTE DE 14 M³, EM VIA URBANA PAVIMENTADA, ADICIONAL PARA DMT EXCEDENTE A 30 KM (UNIDADE: M3XKM). AF_07/2020</v>
      </c>
      <c r="C2949" s="173" t="str">
        <f>VLOOKUP(A2949,ORÇAMENTO!A:K,5,0)</f>
        <v>M3XKM</v>
      </c>
      <c r="D2949" s="173">
        <f>SUM(E2952:O2952)</f>
        <v>727.32133568406084</v>
      </c>
      <c r="E2949" s="173" t="s">
        <v>1752</v>
      </c>
      <c r="F2949" s="173" t="s">
        <v>1719</v>
      </c>
      <c r="G2949" s="173" t="s">
        <v>1720</v>
      </c>
      <c r="H2949" s="173" t="s">
        <v>1721</v>
      </c>
      <c r="I2949" s="173" t="s">
        <v>1722</v>
      </c>
      <c r="J2949" s="173" t="s">
        <v>1723</v>
      </c>
      <c r="K2949" s="173" t="s">
        <v>1746</v>
      </c>
      <c r="L2949" s="173" t="s">
        <v>1753</v>
      </c>
      <c r="M2949" s="173" t="s">
        <v>1750</v>
      </c>
      <c r="N2949" s="173" t="s">
        <v>1727</v>
      </c>
      <c r="O2949" s="173" t="s">
        <v>1728</v>
      </c>
      <c r="P2949" s="224"/>
      <c r="Q2949" s="224"/>
      <c r="R2949" s="224"/>
      <c r="S2949" s="224"/>
    </row>
    <row r="2950" spans="1:19" s="225" customFormat="1" ht="10.5" x14ac:dyDescent="0.25">
      <c r="A2950" s="229"/>
      <c r="B2950" s="230" t="s">
        <v>1751</v>
      </c>
      <c r="C2950" s="177"/>
      <c r="D2950" s="178"/>
      <c r="E2950" s="178">
        <f>74.8-E2946</f>
        <v>44.8</v>
      </c>
      <c r="F2950" s="178"/>
      <c r="G2950" s="178"/>
      <c r="H2950" s="178"/>
      <c r="I2950" s="178"/>
      <c r="J2950" s="178"/>
      <c r="K2950" s="178"/>
      <c r="L2950" s="190"/>
      <c r="M2950" s="178">
        <f>E2950*O2950</f>
        <v>727.32133568406084</v>
      </c>
      <c r="N2950" s="178"/>
      <c r="O2950" s="178">
        <f>O2946</f>
        <v>16.234851242947787</v>
      </c>
      <c r="P2950" s="231"/>
      <c r="Q2950" s="224"/>
    </row>
    <row r="2951" spans="1:19" s="225" customFormat="1" ht="10.5" x14ac:dyDescent="0.25">
      <c r="A2951" s="229"/>
      <c r="B2951" s="230"/>
      <c r="C2951" s="177"/>
      <c r="D2951" s="178"/>
      <c r="E2951" s="178"/>
      <c r="F2951" s="178"/>
      <c r="G2951" s="178"/>
      <c r="H2951" s="178"/>
      <c r="I2951" s="178"/>
      <c r="J2951" s="178"/>
      <c r="K2951" s="178"/>
      <c r="L2951" s="190"/>
      <c r="M2951" s="178"/>
      <c r="N2951" s="178"/>
      <c r="O2951" s="178"/>
      <c r="P2951" s="231"/>
      <c r="Q2951" s="224"/>
    </row>
    <row r="2952" spans="1:19" s="225" customFormat="1" ht="10.5" x14ac:dyDescent="0.25">
      <c r="A2952" s="229"/>
      <c r="B2952" s="232" t="s">
        <v>5</v>
      </c>
      <c r="C2952" s="182" t="s">
        <v>1328</v>
      </c>
      <c r="D2952" s="182"/>
      <c r="E2952" s="182"/>
      <c r="F2952" s="182"/>
      <c r="G2952" s="182"/>
      <c r="H2952" s="182"/>
      <c r="I2952" s="182"/>
      <c r="J2952" s="182"/>
      <c r="K2952" s="182"/>
      <c r="L2952" s="182"/>
      <c r="M2952" s="182">
        <f>SUM(M2950)</f>
        <v>727.32133568406084</v>
      </c>
      <c r="N2952" s="182"/>
      <c r="O2952" s="182"/>
      <c r="P2952" s="233"/>
      <c r="Q2952" s="224"/>
    </row>
    <row r="2953" spans="1:19" s="228" customFormat="1" ht="31.5" x14ac:dyDescent="0.25">
      <c r="A2953" s="226" t="str">
        <f>ORÇAMENTO!A567</f>
        <v>6.1.1.4.1</v>
      </c>
      <c r="B2953" s="227" t="str">
        <f>VLOOKUP(A2953,ORÇAMENTO!A:K,4,0)</f>
        <v>DEMOLICAO MECANICA DE CONCRETO SIMPLES C/ COMPRESSOR E MARTELETE PNEUMATICO INCL. REMOCAO ECARREG. MANUAL DO EXPURGO</v>
      </c>
      <c r="C2953" s="173" t="str">
        <f>VLOOKUP(A2953,ORÇAMENTO!A:K,5,0)</f>
        <v>M³</v>
      </c>
      <c r="D2953" s="173">
        <f>SUM(E2957:O2957)</f>
        <v>93.569601024270938</v>
      </c>
      <c r="E2953" s="173" t="s">
        <v>1718</v>
      </c>
      <c r="F2953" s="173" t="s">
        <v>1719</v>
      </c>
      <c r="G2953" s="173" t="s">
        <v>1720</v>
      </c>
      <c r="H2953" s="173" t="s">
        <v>1721</v>
      </c>
      <c r="I2953" s="173" t="s">
        <v>1722</v>
      </c>
      <c r="J2953" s="173" t="s">
        <v>1723</v>
      </c>
      <c r="K2953" s="173" t="s">
        <v>1724</v>
      </c>
      <c r="L2953" s="173" t="s">
        <v>1725</v>
      </c>
      <c r="M2953" s="173" t="s">
        <v>1730</v>
      </c>
      <c r="N2953" s="173" t="s">
        <v>1727</v>
      </c>
      <c r="O2953" s="173" t="s">
        <v>1728</v>
      </c>
      <c r="P2953" s="224"/>
      <c r="Q2953" s="224"/>
    </row>
    <row r="2954" spans="1:19" s="225" customFormat="1" ht="10.5" x14ac:dyDescent="0.25">
      <c r="A2954" s="229"/>
      <c r="B2954" s="230"/>
      <c r="C2954" s="184"/>
      <c r="D2954" s="185"/>
      <c r="E2954" s="185"/>
      <c r="F2954" s="185"/>
      <c r="G2954" s="185"/>
      <c r="H2954" s="185"/>
      <c r="I2954" s="185"/>
      <c r="J2954" s="185"/>
      <c r="K2954" s="185"/>
      <c r="L2954" s="185"/>
      <c r="M2954" s="185"/>
      <c r="N2954" s="185"/>
      <c r="O2954" s="185"/>
      <c r="P2954" s="231"/>
      <c r="Q2954" s="224"/>
    </row>
    <row r="2955" spans="1:19" s="225" customFormat="1" ht="10.5" x14ac:dyDescent="0.25">
      <c r="A2955" s="229"/>
      <c r="B2955" s="230" t="s">
        <v>1731</v>
      </c>
      <c r="C2955" s="184"/>
      <c r="D2955" s="185"/>
      <c r="E2955" s="185"/>
      <c r="F2955" s="185"/>
      <c r="G2955" s="185"/>
      <c r="H2955" s="185"/>
      <c r="I2955" s="185"/>
      <c r="J2955" s="185"/>
      <c r="K2955" s="185"/>
      <c r="L2955" s="185"/>
      <c r="M2955" s="185"/>
      <c r="N2955" s="185"/>
      <c r="O2955" s="185">
        <f>'Planilha Hidráulica'!Z130</f>
        <v>93.569601024270938</v>
      </c>
      <c r="P2955" s="231"/>
      <c r="Q2955" s="224"/>
    </row>
    <row r="2956" spans="1:19" s="225" customFormat="1" ht="10.5" x14ac:dyDescent="0.25">
      <c r="A2956" s="229"/>
      <c r="B2956" s="230"/>
      <c r="C2956" s="184"/>
      <c r="D2956" s="185"/>
      <c r="E2956" s="185"/>
      <c r="F2956" s="185"/>
      <c r="G2956" s="185"/>
      <c r="H2956" s="185"/>
      <c r="I2956" s="185"/>
      <c r="J2956" s="185"/>
      <c r="K2956" s="185"/>
      <c r="L2956" s="186"/>
      <c r="M2956" s="185"/>
      <c r="N2956" s="185"/>
      <c r="O2956" s="185"/>
      <c r="P2956" s="231"/>
      <c r="Q2956" s="224"/>
    </row>
    <row r="2957" spans="1:19" s="225" customFormat="1" ht="10.5" x14ac:dyDescent="0.25">
      <c r="A2957" s="229"/>
      <c r="B2957" s="232" t="s">
        <v>5</v>
      </c>
      <c r="C2957" s="182" t="s">
        <v>1328</v>
      </c>
      <c r="D2957" s="182"/>
      <c r="E2957" s="182"/>
      <c r="F2957" s="182"/>
      <c r="G2957" s="182"/>
      <c r="H2957" s="182"/>
      <c r="I2957" s="182"/>
      <c r="J2957" s="182"/>
      <c r="K2957" s="182"/>
      <c r="L2957" s="182"/>
      <c r="M2957" s="182"/>
      <c r="N2957" s="182"/>
      <c r="O2957" s="182">
        <f>SUM(O2955:O2956)</f>
        <v>93.569601024270938</v>
      </c>
      <c r="P2957" s="233"/>
      <c r="Q2957" s="224"/>
    </row>
    <row r="2958" spans="1:19" s="228" customFormat="1" ht="52.5" x14ac:dyDescent="0.25">
      <c r="A2958" s="226" t="str">
        <f>ORÇAMENTO!A568</f>
        <v>6.1.1.4.2</v>
      </c>
      <c r="B2958" s="227" t="str">
        <f>VLOOKUP(A2958,ORÇAMENTO!A:K,4,0)</f>
        <v>CARGA, MANOBRA E DESCARGA DE ENTULHO EM CAMINHÃO BASCULANTE 14 M³ - CARGA COM ESCAVADEIRA HIDRÁULICA  (CAÇAMBA DE 0,80 M³ / 111 HP) E DESCARGA LIVRE (UNIDADE: M3). AF_07/2020</v>
      </c>
      <c r="C2958" s="173" t="str">
        <f>VLOOKUP(A2958,ORÇAMENTO!A:K,5,0)</f>
        <v>M³</v>
      </c>
      <c r="D2958" s="173">
        <f>SUM(E2962:O2962)</f>
        <v>93.569601024270938</v>
      </c>
      <c r="E2958" s="173" t="s">
        <v>1718</v>
      </c>
      <c r="F2958" s="173" t="s">
        <v>1719</v>
      </c>
      <c r="G2958" s="173" t="s">
        <v>1720</v>
      </c>
      <c r="H2958" s="173" t="s">
        <v>1721</v>
      </c>
      <c r="I2958" s="173" t="s">
        <v>1722</v>
      </c>
      <c r="J2958" s="173" t="s">
        <v>1723</v>
      </c>
      <c r="K2958" s="173" t="s">
        <v>1746</v>
      </c>
      <c r="L2958" s="173" t="s">
        <v>1756</v>
      </c>
      <c r="M2958" s="173" t="s">
        <v>1730</v>
      </c>
      <c r="N2958" s="173" t="s">
        <v>1727</v>
      </c>
      <c r="O2958" s="173" t="s">
        <v>1728</v>
      </c>
      <c r="P2958" s="224"/>
      <c r="Q2958" s="224"/>
    </row>
    <row r="2959" spans="1:19" s="225" customFormat="1" ht="10.5" x14ac:dyDescent="0.25">
      <c r="A2959" s="229"/>
      <c r="B2959" s="230"/>
      <c r="C2959" s="184"/>
      <c r="D2959" s="185"/>
      <c r="E2959" s="185"/>
      <c r="F2959" s="185"/>
      <c r="G2959" s="185"/>
      <c r="H2959" s="185"/>
      <c r="I2959" s="185"/>
      <c r="J2959" s="185"/>
      <c r="K2959" s="185"/>
      <c r="L2959" s="185"/>
      <c r="M2959" s="185"/>
      <c r="N2959" s="185"/>
      <c r="O2959" s="185"/>
      <c r="P2959" s="231"/>
      <c r="Q2959" s="224"/>
    </row>
    <row r="2960" spans="1:19" s="225" customFormat="1" ht="10.5" x14ac:dyDescent="0.25">
      <c r="A2960" s="229"/>
      <c r="B2960" s="230" t="s">
        <v>1731</v>
      </c>
      <c r="C2960" s="184"/>
      <c r="D2960" s="185"/>
      <c r="E2960" s="185"/>
      <c r="F2960" s="185"/>
      <c r="G2960" s="185"/>
      <c r="H2960" s="185"/>
      <c r="I2960" s="185"/>
      <c r="J2960" s="185"/>
      <c r="K2960" s="185"/>
      <c r="L2960" s="185"/>
      <c r="M2960" s="185"/>
      <c r="N2960" s="185"/>
      <c r="O2960" s="185">
        <f>O2957</f>
        <v>93.569601024270938</v>
      </c>
      <c r="P2960" s="231"/>
      <c r="Q2960" s="224"/>
    </row>
    <row r="2961" spans="1:19" s="225" customFormat="1" ht="10.5" x14ac:dyDescent="0.25">
      <c r="A2961" s="229"/>
      <c r="B2961" s="230"/>
      <c r="C2961" s="184"/>
      <c r="D2961" s="185"/>
      <c r="E2961" s="185"/>
      <c r="F2961" s="185"/>
      <c r="G2961" s="185"/>
      <c r="H2961" s="185"/>
      <c r="I2961" s="185"/>
      <c r="J2961" s="185"/>
      <c r="K2961" s="185"/>
      <c r="L2961" s="186"/>
      <c r="M2961" s="185"/>
      <c r="N2961" s="185"/>
      <c r="O2961" s="185"/>
      <c r="P2961" s="231"/>
      <c r="Q2961" s="224"/>
    </row>
    <row r="2962" spans="1:19" s="225" customFormat="1" ht="10.5" x14ac:dyDescent="0.25">
      <c r="A2962" s="229"/>
      <c r="B2962" s="232" t="s">
        <v>5</v>
      </c>
      <c r="C2962" s="182" t="s">
        <v>1328</v>
      </c>
      <c r="D2962" s="182"/>
      <c r="E2962" s="182"/>
      <c r="F2962" s="182"/>
      <c r="G2962" s="182"/>
      <c r="H2962" s="182"/>
      <c r="I2962" s="182"/>
      <c r="J2962" s="182"/>
      <c r="K2962" s="182"/>
      <c r="L2962" s="182"/>
      <c r="M2962" s="182"/>
      <c r="N2962" s="182"/>
      <c r="O2962" s="182">
        <f>SUM(O2960:O2961)</f>
        <v>93.569601024270938</v>
      </c>
      <c r="P2962" s="233"/>
      <c r="Q2962" s="224"/>
    </row>
    <row r="2963" spans="1:19" s="228" customFormat="1" ht="31.5" x14ac:dyDescent="0.25">
      <c r="A2963" s="226" t="str">
        <f>ORÇAMENTO!A569</f>
        <v>6.1.1.4.3</v>
      </c>
      <c r="B2963" s="227" t="str">
        <f>VLOOKUP(A2963,ORÇAMENTO!A:K,4,0)</f>
        <v>TRANSPORTE COM CAMINHÃO BASCULANTE DE 14 M³, EM VIA URBANA PAVIMENTADA, DMT ATÉ 30 KM (UNIDADE: M3XKM). AF_07/2020</v>
      </c>
      <c r="C2963" s="173" t="str">
        <f>VLOOKUP(A2963,ORÇAMENTO!A:K,5,0)</f>
        <v>M3XKM</v>
      </c>
      <c r="D2963" s="173">
        <f>SUM(E2967:O2967)</f>
        <v>2807.0880307281282</v>
      </c>
      <c r="E2963" s="173" t="s">
        <v>1749</v>
      </c>
      <c r="F2963" s="173" t="s">
        <v>1719</v>
      </c>
      <c r="G2963" s="173" t="s">
        <v>1720</v>
      </c>
      <c r="H2963" s="173" t="s">
        <v>1721</v>
      </c>
      <c r="I2963" s="173" t="s">
        <v>1722</v>
      </c>
      <c r="J2963" s="173" t="s">
        <v>1723</v>
      </c>
      <c r="K2963" s="173" t="s">
        <v>1746</v>
      </c>
      <c r="L2963" s="173" t="s">
        <v>1725</v>
      </c>
      <c r="M2963" s="173" t="s">
        <v>1750</v>
      </c>
      <c r="N2963" s="173" t="s">
        <v>1727</v>
      </c>
      <c r="O2963" s="173" t="s">
        <v>1728</v>
      </c>
      <c r="P2963" s="224"/>
      <c r="Q2963" s="224"/>
    </row>
    <row r="2964" spans="1:19" s="225" customFormat="1" ht="10.5" x14ac:dyDescent="0.25">
      <c r="A2964" s="229"/>
      <c r="B2964" s="230"/>
      <c r="C2964" s="184"/>
      <c r="D2964" s="185"/>
      <c r="E2964" s="185"/>
      <c r="F2964" s="185"/>
      <c r="G2964" s="185"/>
      <c r="H2964" s="185"/>
      <c r="I2964" s="185"/>
      <c r="J2964" s="178"/>
      <c r="K2964" s="185"/>
      <c r="L2964" s="185"/>
      <c r="M2964" s="185"/>
      <c r="N2964" s="185"/>
      <c r="O2964" s="185"/>
      <c r="P2964" s="231"/>
      <c r="Q2964" s="224"/>
    </row>
    <row r="2965" spans="1:19" s="225" customFormat="1" ht="10.5" x14ac:dyDescent="0.25">
      <c r="A2965" s="229"/>
      <c r="B2965" s="230" t="s">
        <v>1751</v>
      </c>
      <c r="C2965" s="184"/>
      <c r="D2965" s="185"/>
      <c r="E2965" s="185">
        <v>30</v>
      </c>
      <c r="F2965" s="185"/>
      <c r="G2965" s="185"/>
      <c r="H2965" s="185"/>
      <c r="I2965" s="185"/>
      <c r="J2965" s="178"/>
      <c r="K2965" s="185"/>
      <c r="L2965" s="185"/>
      <c r="M2965" s="185">
        <f>O2965*E2965</f>
        <v>2807.0880307281282</v>
      </c>
      <c r="N2965" s="185"/>
      <c r="O2965" s="185">
        <f>O2962</f>
        <v>93.569601024270938</v>
      </c>
      <c r="P2965" s="231"/>
      <c r="Q2965" s="224"/>
    </row>
    <row r="2966" spans="1:19" s="225" customFormat="1" ht="10.5" x14ac:dyDescent="0.25">
      <c r="A2966" s="229"/>
      <c r="B2966" s="230"/>
      <c r="C2966" s="184"/>
      <c r="D2966" s="185"/>
      <c r="E2966" s="185"/>
      <c r="F2966" s="185"/>
      <c r="G2966" s="185"/>
      <c r="H2966" s="185"/>
      <c r="I2966" s="185"/>
      <c r="J2966" s="182"/>
      <c r="K2966" s="185"/>
      <c r="L2966" s="186"/>
      <c r="M2966" s="185"/>
      <c r="N2966" s="185"/>
      <c r="O2966" s="185"/>
      <c r="P2966" s="231"/>
      <c r="Q2966" s="224"/>
    </row>
    <row r="2967" spans="1:19" s="225" customFormat="1" ht="10.5" x14ac:dyDescent="0.25">
      <c r="A2967" s="229"/>
      <c r="B2967" s="232" t="s">
        <v>5</v>
      </c>
      <c r="C2967" s="182" t="s">
        <v>1328</v>
      </c>
      <c r="D2967" s="182"/>
      <c r="E2967" s="182"/>
      <c r="F2967" s="182"/>
      <c r="G2967" s="182"/>
      <c r="H2967" s="182"/>
      <c r="I2967" s="182"/>
      <c r="K2967" s="182"/>
      <c r="L2967" s="182"/>
      <c r="M2967" s="182">
        <f>SUM(M2965:M2966)</f>
        <v>2807.0880307281282</v>
      </c>
      <c r="N2967" s="182"/>
      <c r="O2967" s="182"/>
      <c r="P2967" s="233"/>
      <c r="Q2967" s="224"/>
    </row>
    <row r="2968" spans="1:19" s="235" customFormat="1" ht="42" x14ac:dyDescent="0.35">
      <c r="A2968" s="226" t="str">
        <f>ORÇAMENTO!A570</f>
        <v>6.1.1.4.4</v>
      </c>
      <c r="B2968" s="227" t="str">
        <f>VLOOKUP(A2968,ORÇAMENTO!A:K,4,0)</f>
        <v>TRANSPORTE COM CAMINHÃO BASCULANTE DE 14 M³, EM VIA URBANA PAVIMENTADA, ADICIONAL PARA DMT EXCEDENTE A 30 KM (UNIDADE: M3XKM). AF_07/2020</v>
      </c>
      <c r="C2968" s="173" t="str">
        <f>VLOOKUP(A2968,ORÇAMENTO!A:K,5,0)</f>
        <v>M3XKM</v>
      </c>
      <c r="D2968" s="173">
        <f>SUM(E2971:O2971)</f>
        <v>4191.9181258873377</v>
      </c>
      <c r="E2968" s="173" t="s">
        <v>1752</v>
      </c>
      <c r="F2968" s="173" t="s">
        <v>1719</v>
      </c>
      <c r="G2968" s="173" t="s">
        <v>1720</v>
      </c>
      <c r="H2968" s="173" t="s">
        <v>1721</v>
      </c>
      <c r="I2968" s="173" t="s">
        <v>1722</v>
      </c>
      <c r="J2968" s="173" t="s">
        <v>1723</v>
      </c>
      <c r="K2968" s="173" t="s">
        <v>1746</v>
      </c>
      <c r="L2968" s="173" t="s">
        <v>1753</v>
      </c>
      <c r="M2968" s="173" t="s">
        <v>1750</v>
      </c>
      <c r="N2968" s="173" t="s">
        <v>1727</v>
      </c>
      <c r="O2968" s="173" t="s">
        <v>1728</v>
      </c>
      <c r="P2968" s="224"/>
      <c r="Q2968" s="224"/>
      <c r="R2968" s="224"/>
      <c r="S2968" s="224"/>
    </row>
    <row r="2969" spans="1:19" s="225" customFormat="1" ht="10.5" x14ac:dyDescent="0.25">
      <c r="A2969" s="229"/>
      <c r="B2969" s="230" t="s">
        <v>1751</v>
      </c>
      <c r="C2969" s="177"/>
      <c r="D2969" s="178"/>
      <c r="E2969" s="178">
        <f>74.8-E2965</f>
        <v>44.8</v>
      </c>
      <c r="F2969" s="178"/>
      <c r="G2969" s="178"/>
      <c r="H2969" s="178"/>
      <c r="I2969" s="178"/>
      <c r="J2969" s="178"/>
      <c r="K2969" s="178"/>
      <c r="L2969" s="190"/>
      <c r="M2969" s="178">
        <f>E2969*O2969</f>
        <v>4191.9181258873377</v>
      </c>
      <c r="N2969" s="178"/>
      <c r="O2969" s="178">
        <f>O2965</f>
        <v>93.569601024270938</v>
      </c>
      <c r="P2969" s="231"/>
      <c r="Q2969" s="224"/>
    </row>
    <row r="2970" spans="1:19" s="225" customFormat="1" ht="10.5" x14ac:dyDescent="0.25">
      <c r="A2970" s="229"/>
      <c r="B2970" s="230"/>
      <c r="C2970" s="177"/>
      <c r="D2970" s="178"/>
      <c r="E2970" s="178"/>
      <c r="F2970" s="178"/>
      <c r="G2970" s="178"/>
      <c r="H2970" s="178"/>
      <c r="I2970" s="178"/>
      <c r="J2970" s="178"/>
      <c r="K2970" s="178"/>
      <c r="L2970" s="190"/>
      <c r="M2970" s="178"/>
      <c r="N2970" s="178"/>
      <c r="O2970" s="178"/>
      <c r="P2970" s="231"/>
      <c r="Q2970" s="224"/>
    </row>
    <row r="2971" spans="1:19" s="225" customFormat="1" ht="10.5" x14ac:dyDescent="0.25">
      <c r="A2971" s="229"/>
      <c r="B2971" s="232" t="s">
        <v>5</v>
      </c>
      <c r="C2971" s="182" t="s">
        <v>1328</v>
      </c>
      <c r="D2971" s="182"/>
      <c r="E2971" s="182"/>
      <c r="F2971" s="182"/>
      <c r="G2971" s="182"/>
      <c r="H2971" s="182"/>
      <c r="I2971" s="182"/>
      <c r="J2971" s="182"/>
      <c r="K2971" s="182"/>
      <c r="L2971" s="182"/>
      <c r="M2971" s="182">
        <f>SUM(M2969)</f>
        <v>4191.9181258873377</v>
      </c>
      <c r="N2971" s="182"/>
      <c r="O2971" s="182"/>
      <c r="P2971" s="233"/>
      <c r="Q2971" s="224"/>
    </row>
    <row r="2972" spans="1:19" s="235" customFormat="1" x14ac:dyDescent="0.35">
      <c r="A2972" s="226" t="str">
        <f>ORÇAMENTO!A571</f>
        <v>6.1.1.5</v>
      </c>
      <c r="B2972" s="227" t="str">
        <f>VLOOKUP(A2972,ORÇAMENTO!A:K,4,0)</f>
        <v>DEMOLIÇÕES DE PASSEIOS E MEIO-FIO</v>
      </c>
      <c r="C2972" s="173"/>
      <c r="D2972" s="173"/>
      <c r="E2972" s="173"/>
      <c r="F2972" s="173"/>
      <c r="G2972" s="173"/>
      <c r="H2972" s="173"/>
      <c r="I2972" s="173"/>
      <c r="J2972" s="173"/>
      <c r="K2972" s="173"/>
      <c r="L2972" s="173"/>
      <c r="M2972" s="173"/>
      <c r="N2972" s="173"/>
      <c r="O2972" s="173"/>
      <c r="P2972" s="224"/>
      <c r="Q2972" s="224"/>
      <c r="R2972" s="224"/>
      <c r="S2972" s="224"/>
    </row>
    <row r="2973" spans="1:19" s="235" customFormat="1" ht="52.5" x14ac:dyDescent="0.35">
      <c r="A2973" s="226" t="str">
        <f>ORÇAMENTO!A572</f>
        <v>6.1.1.5.1</v>
      </c>
      <c r="B2973" s="227" t="str">
        <f>VLOOKUP(A2973,ORÇAMENTO!A:K,4,0)</f>
        <v>DEMOLICAO COM EQUIPAMENTO DE AR COMPRIMIDO,DE PASSEIO CIMENT ADO COM ESPESSURA ATE 10CM,INCLUSIVE EMPILHAMENTO LATERAL DE NTRO DO CANTEIRO DE SERVICO 3%-DESGASTE DE FERRAMENTAS E EPI</v>
      </c>
      <c r="C2973" s="173" t="str">
        <f>VLOOKUP(A2973,ORÇAMENTO!A:K,5,0)</f>
        <v>M2</v>
      </c>
      <c r="D2973" s="173">
        <f>SUM(E2990:O2990)</f>
        <v>190.76399999999998</v>
      </c>
      <c r="E2973" s="173" t="s">
        <v>1718</v>
      </c>
      <c r="F2973" s="173" t="s">
        <v>1719</v>
      </c>
      <c r="G2973" s="173" t="s">
        <v>1720</v>
      </c>
      <c r="H2973" s="173" t="s">
        <v>1721</v>
      </c>
      <c r="I2973" s="173" t="s">
        <v>1722</v>
      </c>
      <c r="J2973" s="173" t="s">
        <v>1723</v>
      </c>
      <c r="K2973" s="173" t="s">
        <v>1758</v>
      </c>
      <c r="L2973" s="173" t="s">
        <v>1753</v>
      </c>
      <c r="M2973" s="173" t="s">
        <v>1750</v>
      </c>
      <c r="N2973" s="173" t="s">
        <v>1727</v>
      </c>
      <c r="O2973" s="173" t="s">
        <v>1728</v>
      </c>
      <c r="P2973" s="224"/>
      <c r="Q2973" s="224"/>
      <c r="R2973" s="224"/>
      <c r="S2973" s="224"/>
    </row>
    <row r="2974" spans="1:19" s="225" customFormat="1" ht="31.5" x14ac:dyDescent="0.25">
      <c r="A2974" s="229"/>
      <c r="B2974" s="230" t="s">
        <v>1759</v>
      </c>
      <c r="C2974" s="177"/>
      <c r="D2974" s="178"/>
      <c r="E2974" s="178"/>
      <c r="F2974" s="178"/>
      <c r="G2974" s="178"/>
      <c r="H2974" s="178"/>
      <c r="I2974" s="178"/>
      <c r="J2974" s="178"/>
      <c r="K2974" s="178"/>
      <c r="L2974" s="190"/>
      <c r="M2974" s="178"/>
      <c r="N2974" s="178"/>
      <c r="O2974" s="178"/>
      <c r="P2974" s="231"/>
      <c r="Q2974" s="224"/>
    </row>
    <row r="2975" spans="1:19" s="225" customFormat="1" ht="10.5" x14ac:dyDescent="0.25">
      <c r="A2975" s="229"/>
      <c r="B2975" s="232" t="s">
        <v>1760</v>
      </c>
      <c r="C2975" s="177"/>
      <c r="D2975" s="178"/>
      <c r="E2975" s="178"/>
      <c r="F2975" s="178"/>
      <c r="G2975" s="178"/>
      <c r="H2975" s="178"/>
      <c r="I2975" s="178"/>
      <c r="J2975" s="178"/>
      <c r="K2975" s="178"/>
      <c r="L2975" s="190"/>
      <c r="M2975" s="178"/>
      <c r="N2975" s="178"/>
      <c r="O2975" s="178"/>
      <c r="P2975" s="231"/>
      <c r="Q2975" s="224"/>
    </row>
    <row r="2976" spans="1:19" s="225" customFormat="1" ht="21" x14ac:dyDescent="0.25">
      <c r="A2976" s="229"/>
      <c r="B2976" s="230" t="s">
        <v>1405</v>
      </c>
      <c r="C2976" s="177"/>
      <c r="D2976" s="178"/>
      <c r="E2976" s="178">
        <f>2.38+0.5</f>
        <v>2.88</v>
      </c>
      <c r="F2976" s="178">
        <f t="shared" ref="F2976:F2988" si="87">1.18+0.5</f>
        <v>1.68</v>
      </c>
      <c r="G2976" s="178"/>
      <c r="H2976" s="178">
        <v>7.0000000000000007E-2</v>
      </c>
      <c r="I2976" s="178"/>
      <c r="J2976" s="178"/>
      <c r="K2976" s="178">
        <f>'BOCA DE LOBO'!O177</f>
        <v>0</v>
      </c>
      <c r="L2976" s="190"/>
      <c r="M2976" s="178"/>
      <c r="N2976" s="178">
        <f t="shared" ref="N2976:N2987" si="88">E2976*F2976*K2976</f>
        <v>0</v>
      </c>
      <c r="O2976" s="178">
        <f t="shared" ref="O2976:O2987" si="89">E2976*F2976*H2976*K2976</f>
        <v>0</v>
      </c>
      <c r="P2976" s="231"/>
      <c r="Q2976" s="224"/>
    </row>
    <row r="2977" spans="1:19" s="225" customFormat="1" ht="21" x14ac:dyDescent="0.25">
      <c r="A2977" s="229"/>
      <c r="B2977" s="230" t="s">
        <v>1410</v>
      </c>
      <c r="C2977" s="177"/>
      <c r="D2977" s="178"/>
      <c r="E2977" s="178">
        <f>1.19+0.5</f>
        <v>1.69</v>
      </c>
      <c r="F2977" s="178">
        <f t="shared" si="87"/>
        <v>1.68</v>
      </c>
      <c r="G2977" s="178"/>
      <c r="H2977" s="178">
        <v>7.0000000000000007E-2</v>
      </c>
      <c r="I2977" s="178"/>
      <c r="J2977" s="178"/>
      <c r="K2977" s="178">
        <f>'BOCA DE LOBO'!O178</f>
        <v>1</v>
      </c>
      <c r="L2977" s="190"/>
      <c r="M2977" s="178"/>
      <c r="N2977" s="178">
        <f t="shared" si="88"/>
        <v>2.8391999999999999</v>
      </c>
      <c r="O2977" s="178">
        <f t="shared" si="89"/>
        <v>0.198744</v>
      </c>
      <c r="P2977" s="231"/>
      <c r="Q2977" s="224"/>
    </row>
    <row r="2978" spans="1:19" s="225" customFormat="1" ht="21" x14ac:dyDescent="0.25">
      <c r="A2978" s="229"/>
      <c r="B2978" s="230" t="s">
        <v>1413</v>
      </c>
      <c r="C2978" s="177"/>
      <c r="D2978" s="178"/>
      <c r="E2978" s="178">
        <f>3.54+0.5</f>
        <v>4.04</v>
      </c>
      <c r="F2978" s="178">
        <f t="shared" si="87"/>
        <v>1.68</v>
      </c>
      <c r="G2978" s="178"/>
      <c r="H2978" s="178">
        <v>7.0000000000000007E-2</v>
      </c>
      <c r="I2978" s="178"/>
      <c r="J2978" s="178"/>
      <c r="K2978" s="178">
        <f>'BOCA DE LOBO'!O179</f>
        <v>0</v>
      </c>
      <c r="L2978" s="190"/>
      <c r="M2978" s="178"/>
      <c r="N2978" s="178">
        <f t="shared" si="88"/>
        <v>0</v>
      </c>
      <c r="O2978" s="178">
        <f t="shared" si="89"/>
        <v>0</v>
      </c>
      <c r="P2978" s="231"/>
      <c r="Q2978" s="224"/>
    </row>
    <row r="2979" spans="1:19" s="225" customFormat="1" ht="21" x14ac:dyDescent="0.25">
      <c r="A2979" s="229"/>
      <c r="B2979" s="230" t="s">
        <v>1415</v>
      </c>
      <c r="C2979" s="177"/>
      <c r="D2979" s="178"/>
      <c r="E2979" s="178">
        <f>1.19+0.5</f>
        <v>1.69</v>
      </c>
      <c r="F2979" s="178">
        <f t="shared" si="87"/>
        <v>1.68</v>
      </c>
      <c r="G2979" s="178"/>
      <c r="H2979" s="178">
        <v>7.0000000000000007E-2</v>
      </c>
      <c r="I2979" s="178"/>
      <c r="J2979" s="178"/>
      <c r="K2979" s="178">
        <f>'BOCA DE LOBO'!O180</f>
        <v>0</v>
      </c>
      <c r="L2979" s="190"/>
      <c r="M2979" s="178"/>
      <c r="N2979" s="178">
        <f t="shared" si="88"/>
        <v>0</v>
      </c>
      <c r="O2979" s="178">
        <f t="shared" si="89"/>
        <v>0</v>
      </c>
      <c r="P2979" s="231"/>
      <c r="Q2979" s="224"/>
    </row>
    <row r="2980" spans="1:19" s="225" customFormat="1" ht="21" x14ac:dyDescent="0.25">
      <c r="A2980" s="229"/>
      <c r="B2980" s="230" t="s">
        <v>1418</v>
      </c>
      <c r="C2980" s="177"/>
      <c r="D2980" s="178"/>
      <c r="E2980" s="178">
        <f>2.38+0.5</f>
        <v>2.88</v>
      </c>
      <c r="F2980" s="178">
        <f t="shared" si="87"/>
        <v>1.68</v>
      </c>
      <c r="G2980" s="178"/>
      <c r="H2980" s="178">
        <v>7.0000000000000007E-2</v>
      </c>
      <c r="I2980" s="178"/>
      <c r="J2980" s="178"/>
      <c r="K2980" s="178">
        <f>'BOCA DE LOBO'!O181</f>
        <v>0</v>
      </c>
      <c r="L2980" s="190"/>
      <c r="M2980" s="178"/>
      <c r="N2980" s="178">
        <f t="shared" si="88"/>
        <v>0</v>
      </c>
      <c r="O2980" s="178">
        <f t="shared" si="89"/>
        <v>0</v>
      </c>
      <c r="P2980" s="231"/>
      <c r="Q2980" s="224"/>
    </row>
    <row r="2981" spans="1:19" s="225" customFormat="1" ht="21" x14ac:dyDescent="0.25">
      <c r="A2981" s="229"/>
      <c r="B2981" s="230" t="s">
        <v>1416</v>
      </c>
      <c r="C2981" s="177"/>
      <c r="D2981" s="178"/>
      <c r="E2981" s="178">
        <f>3.54+0.5</f>
        <v>4.04</v>
      </c>
      <c r="F2981" s="178">
        <f t="shared" si="87"/>
        <v>1.68</v>
      </c>
      <c r="G2981" s="178"/>
      <c r="H2981" s="178">
        <v>7.0000000000000007E-2</v>
      </c>
      <c r="I2981" s="178"/>
      <c r="J2981" s="178"/>
      <c r="K2981" s="178">
        <f>'BOCA DE LOBO'!O182</f>
        <v>0</v>
      </c>
      <c r="L2981" s="190"/>
      <c r="M2981" s="178"/>
      <c r="N2981" s="178">
        <f t="shared" si="88"/>
        <v>0</v>
      </c>
      <c r="O2981" s="178">
        <f t="shared" si="89"/>
        <v>0</v>
      </c>
      <c r="P2981" s="231"/>
      <c r="Q2981" s="224"/>
    </row>
    <row r="2982" spans="1:19" s="225" customFormat="1" ht="21" x14ac:dyDescent="0.25">
      <c r="A2982" s="229"/>
      <c r="B2982" s="230" t="s">
        <v>1420</v>
      </c>
      <c r="C2982" s="177"/>
      <c r="D2982" s="178"/>
      <c r="E2982" s="178">
        <f>1.19+0.5</f>
        <v>1.69</v>
      </c>
      <c r="F2982" s="178">
        <f t="shared" si="87"/>
        <v>1.68</v>
      </c>
      <c r="G2982" s="178"/>
      <c r="H2982" s="178">
        <v>7.0000000000000007E-2</v>
      </c>
      <c r="I2982" s="178"/>
      <c r="J2982" s="178"/>
      <c r="K2982" s="178">
        <f>'BOCA DE LOBO'!O183</f>
        <v>0</v>
      </c>
      <c r="L2982" s="190"/>
      <c r="M2982" s="178"/>
      <c r="N2982" s="178">
        <f t="shared" si="88"/>
        <v>0</v>
      </c>
      <c r="O2982" s="178">
        <f t="shared" si="89"/>
        <v>0</v>
      </c>
      <c r="P2982" s="231"/>
      <c r="Q2982" s="224"/>
    </row>
    <row r="2983" spans="1:19" s="225" customFormat="1" ht="21" x14ac:dyDescent="0.25">
      <c r="A2983" s="229"/>
      <c r="B2983" s="230" t="s">
        <v>1424</v>
      </c>
      <c r="C2983" s="177"/>
      <c r="D2983" s="178"/>
      <c r="E2983" s="178">
        <f>2.38+0.5</f>
        <v>2.88</v>
      </c>
      <c r="F2983" s="178">
        <f t="shared" si="87"/>
        <v>1.68</v>
      </c>
      <c r="G2983" s="178"/>
      <c r="H2983" s="178">
        <v>7.0000000000000007E-2</v>
      </c>
      <c r="I2983" s="178"/>
      <c r="J2983" s="178"/>
      <c r="K2983" s="178">
        <f>'BOCA DE LOBO'!O184</f>
        <v>0</v>
      </c>
      <c r="L2983" s="190"/>
      <c r="M2983" s="178"/>
      <c r="N2983" s="178">
        <f t="shared" si="88"/>
        <v>0</v>
      </c>
      <c r="O2983" s="178">
        <f t="shared" si="89"/>
        <v>0</v>
      </c>
      <c r="P2983" s="231"/>
      <c r="Q2983" s="224"/>
    </row>
    <row r="2984" spans="1:19" s="225" customFormat="1" ht="21" x14ac:dyDescent="0.25">
      <c r="A2984" s="229"/>
      <c r="B2984" s="230" t="s">
        <v>1427</v>
      </c>
      <c r="C2984" s="177"/>
      <c r="D2984" s="178"/>
      <c r="E2984" s="178">
        <f>3.54+0.5</f>
        <v>4.04</v>
      </c>
      <c r="F2984" s="178">
        <f t="shared" si="87"/>
        <v>1.68</v>
      </c>
      <c r="G2984" s="178"/>
      <c r="H2984" s="178">
        <v>7.0000000000000007E-2</v>
      </c>
      <c r="I2984" s="178"/>
      <c r="J2984" s="178"/>
      <c r="K2984" s="178">
        <f>'BOCA DE LOBO'!O185</f>
        <v>0</v>
      </c>
      <c r="L2984" s="190"/>
      <c r="M2984" s="178"/>
      <c r="N2984" s="178">
        <f t="shared" si="88"/>
        <v>0</v>
      </c>
      <c r="O2984" s="178">
        <f t="shared" si="89"/>
        <v>0</v>
      </c>
      <c r="P2984" s="231"/>
      <c r="Q2984" s="224"/>
    </row>
    <row r="2985" spans="1:19" s="225" customFormat="1" ht="10.5" x14ac:dyDescent="0.25">
      <c r="A2985" s="229"/>
      <c r="B2985" s="230" t="s">
        <v>1429</v>
      </c>
      <c r="C2985" s="177"/>
      <c r="D2985" s="178"/>
      <c r="E2985" s="178">
        <f>1.38+0.5+0.5</f>
        <v>2.38</v>
      </c>
      <c r="F2985" s="178">
        <f t="shared" si="87"/>
        <v>1.68</v>
      </c>
      <c r="G2985" s="178"/>
      <c r="H2985" s="178">
        <v>7.0000000000000007E-2</v>
      </c>
      <c r="I2985" s="178"/>
      <c r="J2985" s="178"/>
      <c r="K2985" s="178">
        <f>'BOCA DE LOBO'!O186</f>
        <v>0</v>
      </c>
      <c r="L2985" s="190"/>
      <c r="M2985" s="178"/>
      <c r="N2985" s="178">
        <f t="shared" si="88"/>
        <v>0</v>
      </c>
      <c r="O2985" s="178">
        <f t="shared" si="89"/>
        <v>0</v>
      </c>
      <c r="P2985" s="231"/>
      <c r="Q2985" s="224"/>
    </row>
    <row r="2986" spans="1:19" s="225" customFormat="1" ht="10.5" x14ac:dyDescent="0.25">
      <c r="A2986" s="229"/>
      <c r="B2986" s="230" t="s">
        <v>1431</v>
      </c>
      <c r="C2986" s="177"/>
      <c r="D2986" s="178"/>
      <c r="E2986" s="178">
        <f>2.57+0.5+0.5</f>
        <v>3.57</v>
      </c>
      <c r="F2986" s="178">
        <f t="shared" si="87"/>
        <v>1.68</v>
      </c>
      <c r="G2986" s="178"/>
      <c r="H2986" s="178">
        <v>7.0000000000000007E-2</v>
      </c>
      <c r="I2986" s="178"/>
      <c r="J2986" s="178"/>
      <c r="K2986" s="178">
        <f>'BOCA DE LOBO'!O187</f>
        <v>30</v>
      </c>
      <c r="L2986" s="190"/>
      <c r="M2986" s="178"/>
      <c r="N2986" s="178">
        <f t="shared" si="88"/>
        <v>179.92799999999997</v>
      </c>
      <c r="O2986" s="178">
        <f t="shared" si="89"/>
        <v>12.59496</v>
      </c>
      <c r="P2986" s="231"/>
      <c r="Q2986" s="224"/>
    </row>
    <row r="2987" spans="1:19" s="225" customFormat="1" ht="10.5" x14ac:dyDescent="0.25">
      <c r="A2987" s="229"/>
      <c r="B2987" s="230" t="s">
        <v>1434</v>
      </c>
      <c r="C2987" s="177"/>
      <c r="D2987" s="178"/>
      <c r="E2987" s="178">
        <f>3.76+0.5+0.5</f>
        <v>4.76</v>
      </c>
      <c r="F2987" s="178">
        <f t="shared" si="87"/>
        <v>1.68</v>
      </c>
      <c r="G2987" s="178"/>
      <c r="H2987" s="178">
        <v>7.0000000000000007E-2</v>
      </c>
      <c r="I2987" s="178"/>
      <c r="J2987" s="178"/>
      <c r="K2987" s="178">
        <f>'BOCA DE LOBO'!O188</f>
        <v>1</v>
      </c>
      <c r="L2987" s="190"/>
      <c r="M2987" s="178"/>
      <c r="N2987" s="178">
        <f t="shared" si="88"/>
        <v>7.9967999999999995</v>
      </c>
      <c r="O2987" s="178">
        <f t="shared" si="89"/>
        <v>0.55977600000000005</v>
      </c>
      <c r="P2987" s="231"/>
      <c r="Q2987" s="224"/>
    </row>
    <row r="2988" spans="1:19" s="225" customFormat="1" ht="10.5" x14ac:dyDescent="0.25">
      <c r="A2988" s="229"/>
      <c r="B2988" s="230" t="s">
        <v>1438</v>
      </c>
      <c r="C2988" s="177"/>
      <c r="D2988" s="178"/>
      <c r="E2988" s="178">
        <f>4.92+0.5+0.5</f>
        <v>5.92</v>
      </c>
      <c r="F2988" s="178">
        <f t="shared" si="87"/>
        <v>1.68</v>
      </c>
      <c r="G2988" s="178"/>
      <c r="H2988" s="178">
        <v>7.0000000000000007E-2</v>
      </c>
      <c r="I2988" s="178"/>
      <c r="J2988" s="178"/>
      <c r="K2988" s="178">
        <f>'BOCA DE LOBO'!O189</f>
        <v>0</v>
      </c>
      <c r="L2988" s="190"/>
      <c r="M2988" s="178"/>
      <c r="N2988" s="178"/>
      <c r="O2988" s="178"/>
      <c r="P2988" s="231"/>
      <c r="Q2988" s="224"/>
    </row>
    <row r="2989" spans="1:19" s="225" customFormat="1" ht="10.5" x14ac:dyDescent="0.25">
      <c r="A2989" s="229"/>
      <c r="B2989" s="230"/>
      <c r="C2989" s="177"/>
      <c r="D2989" s="178"/>
      <c r="E2989" s="178"/>
      <c r="F2989" s="178"/>
      <c r="G2989" s="178"/>
      <c r="H2989" s="178"/>
      <c r="I2989" s="178"/>
      <c r="J2989" s="178"/>
      <c r="K2989" s="178"/>
      <c r="L2989" s="190"/>
      <c r="M2989" s="178"/>
      <c r="N2989" s="178"/>
      <c r="O2989" s="178"/>
      <c r="P2989" s="231"/>
      <c r="Q2989" s="224"/>
    </row>
    <row r="2990" spans="1:19" s="225" customFormat="1" ht="10.5" x14ac:dyDescent="0.25">
      <c r="A2990" s="229"/>
      <c r="B2990" s="232" t="s">
        <v>5</v>
      </c>
      <c r="C2990" s="182" t="s">
        <v>1328</v>
      </c>
      <c r="D2990" s="182"/>
      <c r="E2990" s="182"/>
      <c r="F2990" s="182"/>
      <c r="G2990" s="182"/>
      <c r="H2990" s="182"/>
      <c r="I2990" s="182"/>
      <c r="J2990" s="182"/>
      <c r="K2990" s="182"/>
      <c r="L2990" s="182"/>
      <c r="M2990" s="182"/>
      <c r="N2990" s="182">
        <f>SUM(N2974:N2989)</f>
        <v>190.76399999999998</v>
      </c>
      <c r="O2990" s="182"/>
      <c r="P2990" s="233"/>
      <c r="Q2990" s="224"/>
    </row>
    <row r="2991" spans="1:19" s="235" customFormat="1" ht="42" x14ac:dyDescent="0.35">
      <c r="A2991" s="226" t="str">
        <f>ORÇAMENTO!A573</f>
        <v>6.1.1.5.2</v>
      </c>
      <c r="B2991" s="227" t="str">
        <f>VLOOKUP(A2991,ORÇAMENTO!A:K,4,0)</f>
        <v>EXECUÇÃO DE PASSEIO (CALÇADA) OU PISO DE CONCRETO COM CONCRETO MOLDADO IN LOCO, FEITO EM OBRA, ACABAMENTO CONVENCIONAL, NÃO ARMADO. AF_08/2022</v>
      </c>
      <c r="C2991" s="173" t="str">
        <f>VLOOKUP(A2991,ORÇAMENTO!A:K,5,0)</f>
        <v>M³</v>
      </c>
      <c r="D2991" s="173">
        <f>SUM(E3007:O3007)</f>
        <v>6.5761500000000011</v>
      </c>
      <c r="E2991" s="173" t="s">
        <v>1718</v>
      </c>
      <c r="F2991" s="173" t="s">
        <v>1719</v>
      </c>
      <c r="G2991" s="173" t="s">
        <v>1720</v>
      </c>
      <c r="H2991" s="173" t="s">
        <v>1721</v>
      </c>
      <c r="I2991" s="173" t="s">
        <v>1722</v>
      </c>
      <c r="J2991" s="173" t="s">
        <v>1723</v>
      </c>
      <c r="K2991" s="173" t="s">
        <v>1758</v>
      </c>
      <c r="L2991" s="173" t="s">
        <v>1753</v>
      </c>
      <c r="M2991" s="173" t="s">
        <v>1750</v>
      </c>
      <c r="N2991" s="173" t="s">
        <v>1727</v>
      </c>
      <c r="O2991" s="173" t="s">
        <v>1728</v>
      </c>
      <c r="P2991" s="224"/>
      <c r="Q2991" s="224"/>
      <c r="R2991" s="224"/>
      <c r="S2991" s="224"/>
    </row>
    <row r="2992" spans="1:19" s="228" customFormat="1" ht="21" x14ac:dyDescent="0.25">
      <c r="A2992" s="239"/>
      <c r="B2992" s="232" t="s">
        <v>1761</v>
      </c>
      <c r="C2992" s="177"/>
      <c r="D2992" s="177"/>
      <c r="E2992" s="177"/>
      <c r="F2992" s="177"/>
      <c r="G2992" s="177"/>
      <c r="H2992" s="177"/>
      <c r="I2992" s="177"/>
      <c r="J2992" s="177"/>
      <c r="K2992" s="177"/>
      <c r="L2992" s="245"/>
      <c r="M2992" s="177"/>
      <c r="N2992" s="177"/>
      <c r="O2992" s="177"/>
      <c r="P2992" s="231"/>
      <c r="Q2992" s="224"/>
    </row>
    <row r="2993" spans="1:19" s="228" customFormat="1" ht="10.5" x14ac:dyDescent="0.25">
      <c r="A2993" s="239"/>
      <c r="B2993" s="232" t="s">
        <v>1762</v>
      </c>
      <c r="C2993" s="177"/>
      <c r="D2993" s="177"/>
      <c r="E2993" s="177"/>
      <c r="F2993" s="177"/>
      <c r="G2993" s="177"/>
      <c r="H2993" s="177"/>
      <c r="I2993" s="177"/>
      <c r="J2993" s="177"/>
      <c r="K2993" s="177"/>
      <c r="L2993" s="245"/>
      <c r="M2993" s="177"/>
      <c r="N2993" s="177"/>
      <c r="O2993" s="177">
        <f>SUM(O2974:O2989)</f>
        <v>13.353479999999999</v>
      </c>
      <c r="P2993" s="231"/>
      <c r="Q2993" s="224"/>
    </row>
    <row r="2994" spans="1:19" s="225" customFormat="1" ht="21" x14ac:dyDescent="0.25">
      <c r="A2994" s="229"/>
      <c r="B2994" s="230" t="str">
        <f t="shared" ref="B2994:B3005" si="90">B2976</f>
        <v>BOCA DE LOBO SIMPLES EXISTENTE COM BOCA DE LOBO DUPLA PROJETADA</v>
      </c>
      <c r="C2994" s="177"/>
      <c r="D2994" s="178"/>
      <c r="E2994" s="178">
        <f>2.38</f>
        <v>2.38</v>
      </c>
      <c r="F2994" s="178">
        <f t="shared" ref="F2994:F3005" si="91">1.18</f>
        <v>1.18</v>
      </c>
      <c r="G2994" s="178"/>
      <c r="H2994" s="178">
        <f t="shared" ref="H2994:H3005" si="92">H2976</f>
        <v>7.0000000000000007E-2</v>
      </c>
      <c r="I2994" s="178"/>
      <c r="J2994" s="178"/>
      <c r="K2994" s="178">
        <f t="shared" ref="K2994:K3005" si="93">K2976</f>
        <v>0</v>
      </c>
      <c r="L2994" s="190"/>
      <c r="M2994" s="178"/>
      <c r="N2994" s="178"/>
      <c r="O2994" s="178">
        <f t="shared" ref="O2994:O3005" si="94">-E2994*F2994*K2994*H2994</f>
        <v>0</v>
      </c>
      <c r="P2994" s="231"/>
      <c r="Q2994" s="224"/>
    </row>
    <row r="2995" spans="1:19" s="225" customFormat="1" ht="21" x14ac:dyDescent="0.25">
      <c r="A2995" s="229"/>
      <c r="B2995" s="230" t="str">
        <f t="shared" si="90"/>
        <v>BOCA DE LOBO SIMPLES EXISTENTE COM BOCA DE LOBO SIMPLES PROJETADA</v>
      </c>
      <c r="C2995" s="177"/>
      <c r="D2995" s="178"/>
      <c r="E2995" s="178">
        <f>1.19</f>
        <v>1.19</v>
      </c>
      <c r="F2995" s="178">
        <f t="shared" si="91"/>
        <v>1.18</v>
      </c>
      <c r="G2995" s="178"/>
      <c r="H2995" s="178">
        <f t="shared" si="92"/>
        <v>7.0000000000000007E-2</v>
      </c>
      <c r="I2995" s="178"/>
      <c r="J2995" s="178"/>
      <c r="K2995" s="178">
        <f t="shared" si="93"/>
        <v>1</v>
      </c>
      <c r="L2995" s="190"/>
      <c r="M2995" s="178"/>
      <c r="N2995" s="178"/>
      <c r="O2995" s="178">
        <f t="shared" si="94"/>
        <v>-9.8294000000000006E-2</v>
      </c>
      <c r="P2995" s="231"/>
      <c r="Q2995" s="224"/>
    </row>
    <row r="2996" spans="1:19" s="225" customFormat="1" ht="21" x14ac:dyDescent="0.25">
      <c r="A2996" s="229"/>
      <c r="B2996" s="230" t="str">
        <f t="shared" si="90"/>
        <v>BOCA DE LOBO SIMPLES EXISTENTE COM BOCA DE LOBO TRIPLA PROJETADA</v>
      </c>
      <c r="C2996" s="177"/>
      <c r="D2996" s="178"/>
      <c r="E2996" s="178">
        <f>3.54</f>
        <v>3.54</v>
      </c>
      <c r="F2996" s="178">
        <f t="shared" si="91"/>
        <v>1.18</v>
      </c>
      <c r="G2996" s="178"/>
      <c r="H2996" s="178">
        <f t="shared" si="92"/>
        <v>7.0000000000000007E-2</v>
      </c>
      <c r="I2996" s="178"/>
      <c r="J2996" s="178"/>
      <c r="K2996" s="178">
        <f t="shared" si="93"/>
        <v>0</v>
      </c>
      <c r="L2996" s="190"/>
      <c r="M2996" s="178"/>
      <c r="N2996" s="178"/>
      <c r="O2996" s="178">
        <f t="shared" si="94"/>
        <v>0</v>
      </c>
      <c r="P2996" s="231"/>
      <c r="Q2996" s="224"/>
    </row>
    <row r="2997" spans="1:19" s="225" customFormat="1" ht="21" x14ac:dyDescent="0.25">
      <c r="A2997" s="229"/>
      <c r="B2997" s="230" t="str">
        <f t="shared" si="90"/>
        <v>BOCA DE LOBO DUPLA EXISTENTE COM BOCA DE LOBO SIMPLES PROJETADA</v>
      </c>
      <c r="C2997" s="177"/>
      <c r="D2997" s="178"/>
      <c r="E2997" s="178">
        <f>1.19</f>
        <v>1.19</v>
      </c>
      <c r="F2997" s="178">
        <f t="shared" si="91"/>
        <v>1.18</v>
      </c>
      <c r="G2997" s="178"/>
      <c r="H2997" s="178">
        <f t="shared" si="92"/>
        <v>7.0000000000000007E-2</v>
      </c>
      <c r="I2997" s="178"/>
      <c r="J2997" s="178"/>
      <c r="K2997" s="178">
        <f t="shared" si="93"/>
        <v>0</v>
      </c>
      <c r="L2997" s="190"/>
      <c r="M2997" s="178"/>
      <c r="N2997" s="178"/>
      <c r="O2997" s="178">
        <f t="shared" si="94"/>
        <v>0</v>
      </c>
      <c r="P2997" s="231"/>
      <c r="Q2997" s="224"/>
    </row>
    <row r="2998" spans="1:19" s="225" customFormat="1" ht="21" x14ac:dyDescent="0.25">
      <c r="A2998" s="229"/>
      <c r="B2998" s="230" t="str">
        <f t="shared" si="90"/>
        <v>BOCA DE LOBO DUPLA EXISTENTE COM BOCA DE LOBO DUPLA PROJETADA</v>
      </c>
      <c r="C2998" s="177"/>
      <c r="D2998" s="178"/>
      <c r="E2998" s="178">
        <f>2.38</f>
        <v>2.38</v>
      </c>
      <c r="F2998" s="178">
        <f t="shared" si="91"/>
        <v>1.18</v>
      </c>
      <c r="G2998" s="178"/>
      <c r="H2998" s="178">
        <f t="shared" si="92"/>
        <v>7.0000000000000007E-2</v>
      </c>
      <c r="I2998" s="178"/>
      <c r="J2998" s="178"/>
      <c r="K2998" s="178">
        <f t="shared" si="93"/>
        <v>0</v>
      </c>
      <c r="L2998" s="190"/>
      <c r="M2998" s="178"/>
      <c r="N2998" s="178"/>
      <c r="O2998" s="178">
        <f t="shared" si="94"/>
        <v>0</v>
      </c>
      <c r="P2998" s="231"/>
      <c r="Q2998" s="224"/>
    </row>
    <row r="2999" spans="1:19" s="225" customFormat="1" ht="21" x14ac:dyDescent="0.25">
      <c r="A2999" s="229"/>
      <c r="B2999" s="230" t="str">
        <f t="shared" si="90"/>
        <v>BOCA DE LOBO DUPLA EXISTENTE COM BOCA DE LOBO TRIPLA PROJETADA</v>
      </c>
      <c r="C2999" s="177"/>
      <c r="D2999" s="178"/>
      <c r="E2999" s="178">
        <f>3.54</f>
        <v>3.54</v>
      </c>
      <c r="F2999" s="178">
        <f t="shared" si="91"/>
        <v>1.18</v>
      </c>
      <c r="G2999" s="178"/>
      <c r="H2999" s="178">
        <f t="shared" si="92"/>
        <v>7.0000000000000007E-2</v>
      </c>
      <c r="I2999" s="178"/>
      <c r="J2999" s="178"/>
      <c r="K2999" s="178">
        <f t="shared" si="93"/>
        <v>0</v>
      </c>
      <c r="L2999" s="190"/>
      <c r="M2999" s="178"/>
      <c r="N2999" s="178"/>
      <c r="O2999" s="178">
        <f t="shared" si="94"/>
        <v>0</v>
      </c>
      <c r="P2999" s="231"/>
      <c r="Q2999" s="224"/>
    </row>
    <row r="3000" spans="1:19" s="225" customFormat="1" ht="21" x14ac:dyDescent="0.25">
      <c r="A3000" s="229"/>
      <c r="B3000" s="230" t="str">
        <f t="shared" si="90"/>
        <v>BOCA DE LOBO TRIPLA EXISTENTE COM BOCA DE LOBO SIMPLES PROJETADA</v>
      </c>
      <c r="C3000" s="177"/>
      <c r="D3000" s="178"/>
      <c r="E3000" s="178">
        <f>1.19</f>
        <v>1.19</v>
      </c>
      <c r="F3000" s="178">
        <f t="shared" si="91"/>
        <v>1.18</v>
      </c>
      <c r="G3000" s="178"/>
      <c r="H3000" s="178">
        <f t="shared" si="92"/>
        <v>7.0000000000000007E-2</v>
      </c>
      <c r="I3000" s="178"/>
      <c r="J3000" s="178"/>
      <c r="K3000" s="178">
        <f t="shared" si="93"/>
        <v>0</v>
      </c>
      <c r="L3000" s="190"/>
      <c r="M3000" s="178"/>
      <c r="N3000" s="178"/>
      <c r="O3000" s="178">
        <f t="shared" si="94"/>
        <v>0</v>
      </c>
      <c r="P3000" s="231"/>
      <c r="Q3000" s="224"/>
    </row>
    <row r="3001" spans="1:19" s="225" customFormat="1" ht="21" x14ac:dyDescent="0.25">
      <c r="A3001" s="229"/>
      <c r="B3001" s="230" t="str">
        <f t="shared" si="90"/>
        <v>BOCA DE LOBO TRIPLA EXISTENTE COM BOCA DE LOBO DUPLA PROJETADA</v>
      </c>
      <c r="C3001" s="177"/>
      <c r="D3001" s="178"/>
      <c r="E3001" s="178">
        <f>2.38</f>
        <v>2.38</v>
      </c>
      <c r="F3001" s="178">
        <f t="shared" si="91"/>
        <v>1.18</v>
      </c>
      <c r="G3001" s="178"/>
      <c r="H3001" s="178">
        <f t="shared" si="92"/>
        <v>7.0000000000000007E-2</v>
      </c>
      <c r="I3001" s="178"/>
      <c r="J3001" s="178"/>
      <c r="K3001" s="178">
        <f t="shared" si="93"/>
        <v>0</v>
      </c>
      <c r="L3001" s="190"/>
      <c r="M3001" s="178"/>
      <c r="N3001" s="178"/>
      <c r="O3001" s="178">
        <f t="shared" si="94"/>
        <v>0</v>
      </c>
      <c r="P3001" s="231"/>
      <c r="Q3001" s="224"/>
    </row>
    <row r="3002" spans="1:19" s="225" customFormat="1" ht="21" x14ac:dyDescent="0.25">
      <c r="A3002" s="229"/>
      <c r="B3002" s="230" t="str">
        <f t="shared" si="90"/>
        <v>BOCA DE LOBO TRIPLA EXISTENTE COM BOCA DE LOBO TRIPLA PROJETADA</v>
      </c>
      <c r="C3002" s="177"/>
      <c r="D3002" s="178"/>
      <c r="E3002" s="178">
        <f>3.54</f>
        <v>3.54</v>
      </c>
      <c r="F3002" s="178">
        <f t="shared" si="91"/>
        <v>1.18</v>
      </c>
      <c r="G3002" s="178"/>
      <c r="H3002" s="178">
        <f t="shared" si="92"/>
        <v>7.0000000000000007E-2</v>
      </c>
      <c r="I3002" s="178"/>
      <c r="J3002" s="178"/>
      <c r="K3002" s="178">
        <f t="shared" si="93"/>
        <v>0</v>
      </c>
      <c r="L3002" s="190"/>
      <c r="M3002" s="178"/>
      <c r="N3002" s="178"/>
      <c r="O3002" s="178">
        <f t="shared" si="94"/>
        <v>0</v>
      </c>
      <c r="P3002" s="231"/>
      <c r="Q3002" s="224"/>
    </row>
    <row r="3003" spans="1:19" s="225" customFormat="1" ht="10.5" x14ac:dyDescent="0.25">
      <c r="A3003" s="229"/>
      <c r="B3003" s="230" t="str">
        <f t="shared" si="90"/>
        <v>BOCA DE LOBO PROJETADA SIMPLES</v>
      </c>
      <c r="C3003" s="177"/>
      <c r="D3003" s="178"/>
      <c r="E3003" s="178">
        <f>1.38</f>
        <v>1.38</v>
      </c>
      <c r="F3003" s="178">
        <f t="shared" si="91"/>
        <v>1.18</v>
      </c>
      <c r="G3003" s="178"/>
      <c r="H3003" s="178">
        <f t="shared" si="92"/>
        <v>7.0000000000000007E-2</v>
      </c>
      <c r="I3003" s="178"/>
      <c r="J3003" s="178"/>
      <c r="K3003" s="178">
        <f t="shared" si="93"/>
        <v>0</v>
      </c>
      <c r="L3003" s="190"/>
      <c r="M3003" s="178"/>
      <c r="N3003" s="178"/>
      <c r="O3003" s="178">
        <f t="shared" si="94"/>
        <v>0</v>
      </c>
      <c r="P3003" s="231"/>
      <c r="Q3003" s="224"/>
    </row>
    <row r="3004" spans="1:19" s="225" customFormat="1" ht="10.5" x14ac:dyDescent="0.25">
      <c r="A3004" s="229"/>
      <c r="B3004" s="230" t="str">
        <f t="shared" si="90"/>
        <v>BOCA DE LOBO PROJETADA DUPLA</v>
      </c>
      <c r="C3004" s="177"/>
      <c r="D3004" s="178"/>
      <c r="E3004" s="178">
        <f>2.57</f>
        <v>2.57</v>
      </c>
      <c r="F3004" s="178">
        <f t="shared" si="91"/>
        <v>1.18</v>
      </c>
      <c r="G3004" s="178"/>
      <c r="H3004" s="178">
        <f t="shared" si="92"/>
        <v>7.0000000000000007E-2</v>
      </c>
      <c r="I3004" s="178"/>
      <c r="J3004" s="178"/>
      <c r="K3004" s="178">
        <f t="shared" si="93"/>
        <v>30</v>
      </c>
      <c r="L3004" s="190"/>
      <c r="M3004" s="178"/>
      <c r="N3004" s="178"/>
      <c r="O3004" s="178">
        <f t="shared" si="94"/>
        <v>-6.3684599999999989</v>
      </c>
      <c r="P3004" s="231"/>
      <c r="Q3004" s="224"/>
    </row>
    <row r="3005" spans="1:19" s="225" customFormat="1" ht="10.5" x14ac:dyDescent="0.25">
      <c r="A3005" s="229"/>
      <c r="B3005" s="230" t="str">
        <f t="shared" si="90"/>
        <v>BOCA DE LOBO PROJETADA TRIPLA</v>
      </c>
      <c r="C3005" s="177"/>
      <c r="D3005" s="178"/>
      <c r="E3005" s="178">
        <f>3.76</f>
        <v>3.76</v>
      </c>
      <c r="F3005" s="178">
        <f t="shared" si="91"/>
        <v>1.18</v>
      </c>
      <c r="G3005" s="178"/>
      <c r="H3005" s="178">
        <f t="shared" si="92"/>
        <v>7.0000000000000007E-2</v>
      </c>
      <c r="I3005" s="178"/>
      <c r="J3005" s="178"/>
      <c r="K3005" s="178">
        <f t="shared" si="93"/>
        <v>1</v>
      </c>
      <c r="L3005" s="190"/>
      <c r="M3005" s="178"/>
      <c r="N3005" s="178"/>
      <c r="O3005" s="178">
        <f t="shared" si="94"/>
        <v>-0.31057600000000002</v>
      </c>
      <c r="P3005" s="231"/>
      <c r="Q3005" s="224"/>
    </row>
    <row r="3006" spans="1:19" s="225" customFormat="1" ht="10.5" x14ac:dyDescent="0.25">
      <c r="A3006" s="229"/>
      <c r="B3006" s="230"/>
      <c r="C3006" s="177"/>
      <c r="D3006" s="178"/>
      <c r="E3006" s="178"/>
      <c r="F3006" s="178"/>
      <c r="G3006" s="178"/>
      <c r="H3006" s="178"/>
      <c r="I3006" s="178"/>
      <c r="J3006" s="178"/>
      <c r="K3006" s="178"/>
      <c r="L3006" s="190"/>
      <c r="M3006" s="178"/>
      <c r="N3006" s="178"/>
      <c r="O3006" s="178"/>
      <c r="P3006" s="231"/>
      <c r="Q3006" s="224"/>
    </row>
    <row r="3007" spans="1:19" s="225" customFormat="1" ht="10.5" x14ac:dyDescent="0.25">
      <c r="A3007" s="229"/>
      <c r="B3007" s="232" t="s">
        <v>5</v>
      </c>
      <c r="C3007" s="182" t="s">
        <v>1328</v>
      </c>
      <c r="D3007" s="182"/>
      <c r="E3007" s="182"/>
      <c r="F3007" s="182"/>
      <c r="G3007" s="182"/>
      <c r="H3007" s="182"/>
      <c r="I3007" s="182"/>
      <c r="J3007" s="182"/>
      <c r="K3007" s="182"/>
      <c r="L3007" s="182"/>
      <c r="M3007" s="182"/>
      <c r="N3007" s="182"/>
      <c r="O3007" s="182">
        <f>SUM(O2992:O3006)</f>
        <v>6.5761500000000011</v>
      </c>
      <c r="P3007" s="233"/>
      <c r="Q3007" s="224"/>
    </row>
    <row r="3008" spans="1:19" s="235" customFormat="1" ht="21" x14ac:dyDescent="0.35">
      <c r="A3008" s="226" t="str">
        <f>ORÇAMENTO!A574</f>
        <v>6.1.1.5.3</v>
      </c>
      <c r="B3008" s="227" t="str">
        <f>VLOOKUP(A3008,ORÇAMENTO!A:K,4,0)</f>
        <v>RETIRADA MEIO-FIO EM CONCRETO</v>
      </c>
      <c r="C3008" s="173" t="str">
        <f>VLOOKUP(A3008,ORÇAMENTO!A:K,5,0)</f>
        <v>M</v>
      </c>
      <c r="D3008" s="173">
        <f>SUM(E3023:O3023)</f>
        <v>113.55</v>
      </c>
      <c r="E3008" s="173" t="s">
        <v>1718</v>
      </c>
      <c r="F3008" s="173" t="s">
        <v>1719</v>
      </c>
      <c r="G3008" s="173" t="s">
        <v>1720</v>
      </c>
      <c r="H3008" s="173" t="s">
        <v>1721</v>
      </c>
      <c r="I3008" s="173" t="s">
        <v>1722</v>
      </c>
      <c r="J3008" s="173" t="s">
        <v>1723</v>
      </c>
      <c r="K3008" s="173" t="s">
        <v>1758</v>
      </c>
      <c r="L3008" s="173" t="s">
        <v>1753</v>
      </c>
      <c r="M3008" s="173" t="s">
        <v>1750</v>
      </c>
      <c r="N3008" s="173" t="s">
        <v>1727</v>
      </c>
      <c r="O3008" s="173" t="s">
        <v>1728</v>
      </c>
      <c r="P3008" s="224"/>
      <c r="Q3008" s="224"/>
      <c r="R3008" s="224"/>
      <c r="S3008" s="224"/>
    </row>
    <row r="3009" spans="1:19" s="225" customFormat="1" ht="10.5" x14ac:dyDescent="0.25">
      <c r="A3009" s="229"/>
      <c r="B3009" s="232"/>
      <c r="C3009" s="177"/>
      <c r="D3009" s="178"/>
      <c r="E3009" s="178"/>
      <c r="F3009" s="178"/>
      <c r="G3009" s="178"/>
      <c r="H3009" s="178"/>
      <c r="I3009" s="178"/>
      <c r="J3009" s="178"/>
      <c r="K3009" s="178"/>
      <c r="L3009" s="190"/>
      <c r="M3009" s="178"/>
      <c r="N3009" s="178"/>
      <c r="O3009" s="178"/>
      <c r="P3009" s="231"/>
      <c r="Q3009" s="224"/>
    </row>
    <row r="3010" spans="1:19" s="225" customFormat="1" ht="21" x14ac:dyDescent="0.25">
      <c r="A3010" s="229"/>
      <c r="B3010" s="230" t="str">
        <f t="shared" ref="B3010:B3021" si="95">B2976</f>
        <v>BOCA DE LOBO SIMPLES EXISTENTE COM BOCA DE LOBO DUPLA PROJETADA</v>
      </c>
      <c r="C3010" s="177"/>
      <c r="D3010" s="178"/>
      <c r="E3010" s="178">
        <f t="shared" ref="E3010:E3021" si="96">E2976</f>
        <v>2.88</v>
      </c>
      <c r="F3010" s="178"/>
      <c r="G3010" s="178"/>
      <c r="H3010" s="178"/>
      <c r="I3010" s="178"/>
      <c r="J3010" s="178"/>
      <c r="K3010" s="178">
        <f t="shared" ref="K3010:K3021" si="97">K2976</f>
        <v>0</v>
      </c>
      <c r="L3010" s="190"/>
      <c r="M3010" s="178"/>
      <c r="N3010" s="178"/>
      <c r="O3010" s="178"/>
      <c r="P3010" s="231"/>
      <c r="Q3010" s="224"/>
    </row>
    <row r="3011" spans="1:19" s="225" customFormat="1" ht="21" x14ac:dyDescent="0.25">
      <c r="A3011" s="229"/>
      <c r="B3011" s="230" t="str">
        <f t="shared" si="95"/>
        <v>BOCA DE LOBO SIMPLES EXISTENTE COM BOCA DE LOBO SIMPLES PROJETADA</v>
      </c>
      <c r="C3011" s="177"/>
      <c r="D3011" s="178"/>
      <c r="E3011" s="178">
        <f t="shared" si="96"/>
        <v>1.69</v>
      </c>
      <c r="F3011" s="178"/>
      <c r="G3011" s="178"/>
      <c r="H3011" s="178"/>
      <c r="I3011" s="178"/>
      <c r="J3011" s="178"/>
      <c r="K3011" s="178">
        <f t="shared" si="97"/>
        <v>1</v>
      </c>
      <c r="L3011" s="190"/>
      <c r="M3011" s="178"/>
      <c r="N3011" s="178"/>
      <c r="O3011" s="178"/>
      <c r="P3011" s="231"/>
      <c r="Q3011" s="224"/>
    </row>
    <row r="3012" spans="1:19" s="225" customFormat="1" ht="21" x14ac:dyDescent="0.25">
      <c r="A3012" s="229"/>
      <c r="B3012" s="230" t="str">
        <f t="shared" si="95"/>
        <v>BOCA DE LOBO SIMPLES EXISTENTE COM BOCA DE LOBO TRIPLA PROJETADA</v>
      </c>
      <c r="C3012" s="177"/>
      <c r="D3012" s="178"/>
      <c r="E3012" s="178">
        <f t="shared" si="96"/>
        <v>4.04</v>
      </c>
      <c r="F3012" s="178"/>
      <c r="G3012" s="178"/>
      <c r="H3012" s="178"/>
      <c r="I3012" s="178"/>
      <c r="J3012" s="178"/>
      <c r="K3012" s="178">
        <f t="shared" si="97"/>
        <v>0</v>
      </c>
      <c r="L3012" s="190"/>
      <c r="M3012" s="178"/>
      <c r="N3012" s="178"/>
      <c r="O3012" s="178"/>
      <c r="P3012" s="231"/>
      <c r="Q3012" s="224"/>
    </row>
    <row r="3013" spans="1:19" s="225" customFormat="1" ht="21" x14ac:dyDescent="0.25">
      <c r="A3013" s="229"/>
      <c r="B3013" s="230" t="str">
        <f t="shared" si="95"/>
        <v>BOCA DE LOBO DUPLA EXISTENTE COM BOCA DE LOBO SIMPLES PROJETADA</v>
      </c>
      <c r="C3013" s="177"/>
      <c r="D3013" s="178"/>
      <c r="E3013" s="178">
        <f t="shared" si="96"/>
        <v>1.69</v>
      </c>
      <c r="F3013" s="178"/>
      <c r="G3013" s="178"/>
      <c r="H3013" s="178"/>
      <c r="I3013" s="178"/>
      <c r="J3013" s="178"/>
      <c r="K3013" s="178">
        <f t="shared" si="97"/>
        <v>0</v>
      </c>
      <c r="L3013" s="190"/>
      <c r="M3013" s="178"/>
      <c r="N3013" s="178"/>
      <c r="O3013" s="178"/>
      <c r="P3013" s="231"/>
      <c r="Q3013" s="224"/>
    </row>
    <row r="3014" spans="1:19" s="225" customFormat="1" ht="21" x14ac:dyDescent="0.25">
      <c r="A3014" s="229"/>
      <c r="B3014" s="230" t="str">
        <f t="shared" si="95"/>
        <v>BOCA DE LOBO DUPLA EXISTENTE COM BOCA DE LOBO DUPLA PROJETADA</v>
      </c>
      <c r="C3014" s="177"/>
      <c r="D3014" s="178"/>
      <c r="E3014" s="178">
        <f t="shared" si="96"/>
        <v>2.88</v>
      </c>
      <c r="F3014" s="178"/>
      <c r="G3014" s="178"/>
      <c r="H3014" s="178"/>
      <c r="I3014" s="178"/>
      <c r="J3014" s="178"/>
      <c r="K3014" s="178">
        <f t="shared" si="97"/>
        <v>0</v>
      </c>
      <c r="L3014" s="190"/>
      <c r="M3014" s="178"/>
      <c r="N3014" s="178"/>
      <c r="O3014" s="178"/>
      <c r="P3014" s="231"/>
      <c r="Q3014" s="224"/>
    </row>
    <row r="3015" spans="1:19" s="225" customFormat="1" ht="21" x14ac:dyDescent="0.25">
      <c r="A3015" s="229"/>
      <c r="B3015" s="230" t="str">
        <f t="shared" si="95"/>
        <v>BOCA DE LOBO DUPLA EXISTENTE COM BOCA DE LOBO TRIPLA PROJETADA</v>
      </c>
      <c r="C3015" s="177"/>
      <c r="D3015" s="178"/>
      <c r="E3015" s="178">
        <f t="shared" si="96"/>
        <v>4.04</v>
      </c>
      <c r="F3015" s="178"/>
      <c r="G3015" s="178"/>
      <c r="H3015" s="178"/>
      <c r="I3015" s="178"/>
      <c r="J3015" s="178"/>
      <c r="K3015" s="178">
        <f t="shared" si="97"/>
        <v>0</v>
      </c>
      <c r="L3015" s="190"/>
      <c r="M3015" s="178"/>
      <c r="N3015" s="178"/>
      <c r="O3015" s="178"/>
      <c r="P3015" s="231"/>
      <c r="Q3015" s="224"/>
    </row>
    <row r="3016" spans="1:19" s="225" customFormat="1" ht="21" x14ac:dyDescent="0.25">
      <c r="A3016" s="229"/>
      <c r="B3016" s="230" t="str">
        <f t="shared" si="95"/>
        <v>BOCA DE LOBO TRIPLA EXISTENTE COM BOCA DE LOBO SIMPLES PROJETADA</v>
      </c>
      <c r="C3016" s="177"/>
      <c r="D3016" s="178"/>
      <c r="E3016" s="178">
        <f t="shared" si="96"/>
        <v>1.69</v>
      </c>
      <c r="F3016" s="178"/>
      <c r="G3016" s="178"/>
      <c r="H3016" s="178"/>
      <c r="I3016" s="178"/>
      <c r="J3016" s="178"/>
      <c r="K3016" s="178">
        <f t="shared" si="97"/>
        <v>0</v>
      </c>
      <c r="L3016" s="190"/>
      <c r="M3016" s="178"/>
      <c r="N3016" s="178"/>
      <c r="O3016" s="178"/>
      <c r="P3016" s="231"/>
      <c r="Q3016" s="224"/>
    </row>
    <row r="3017" spans="1:19" s="225" customFormat="1" ht="21" x14ac:dyDescent="0.25">
      <c r="A3017" s="229"/>
      <c r="B3017" s="230" t="str">
        <f t="shared" si="95"/>
        <v>BOCA DE LOBO TRIPLA EXISTENTE COM BOCA DE LOBO DUPLA PROJETADA</v>
      </c>
      <c r="C3017" s="177"/>
      <c r="D3017" s="178"/>
      <c r="E3017" s="178">
        <f t="shared" si="96"/>
        <v>2.88</v>
      </c>
      <c r="F3017" s="178"/>
      <c r="G3017" s="178"/>
      <c r="H3017" s="178"/>
      <c r="I3017" s="178"/>
      <c r="J3017" s="178"/>
      <c r="K3017" s="178">
        <f t="shared" si="97"/>
        <v>0</v>
      </c>
      <c r="L3017" s="190"/>
      <c r="M3017" s="178"/>
      <c r="N3017" s="178"/>
      <c r="O3017" s="178"/>
      <c r="P3017" s="231"/>
      <c r="Q3017" s="224"/>
    </row>
    <row r="3018" spans="1:19" s="225" customFormat="1" ht="21" x14ac:dyDescent="0.25">
      <c r="A3018" s="229"/>
      <c r="B3018" s="230" t="str">
        <f t="shared" si="95"/>
        <v>BOCA DE LOBO TRIPLA EXISTENTE COM BOCA DE LOBO TRIPLA PROJETADA</v>
      </c>
      <c r="C3018" s="177"/>
      <c r="D3018" s="178"/>
      <c r="E3018" s="178">
        <f t="shared" si="96"/>
        <v>4.04</v>
      </c>
      <c r="F3018" s="178"/>
      <c r="G3018" s="178"/>
      <c r="H3018" s="178"/>
      <c r="I3018" s="178"/>
      <c r="J3018" s="178"/>
      <c r="K3018" s="178">
        <f t="shared" si="97"/>
        <v>0</v>
      </c>
      <c r="L3018" s="190"/>
      <c r="M3018" s="178"/>
      <c r="N3018" s="178"/>
      <c r="O3018" s="178"/>
      <c r="P3018" s="231"/>
      <c r="Q3018" s="224"/>
    </row>
    <row r="3019" spans="1:19" s="225" customFormat="1" ht="10.5" x14ac:dyDescent="0.25">
      <c r="A3019" s="229"/>
      <c r="B3019" s="230" t="str">
        <f t="shared" si="95"/>
        <v>BOCA DE LOBO PROJETADA SIMPLES</v>
      </c>
      <c r="C3019" s="177"/>
      <c r="D3019" s="178"/>
      <c r="E3019" s="178">
        <f t="shared" si="96"/>
        <v>2.38</v>
      </c>
      <c r="F3019" s="178"/>
      <c r="G3019" s="178"/>
      <c r="H3019" s="178"/>
      <c r="I3019" s="178"/>
      <c r="J3019" s="178"/>
      <c r="K3019" s="178">
        <f t="shared" si="97"/>
        <v>0</v>
      </c>
      <c r="L3019" s="190"/>
      <c r="M3019" s="178"/>
      <c r="N3019" s="178"/>
      <c r="O3019" s="178"/>
      <c r="P3019" s="231"/>
      <c r="Q3019" s="224"/>
    </row>
    <row r="3020" spans="1:19" s="225" customFormat="1" ht="10.5" x14ac:dyDescent="0.25">
      <c r="A3020" s="229"/>
      <c r="B3020" s="230" t="str">
        <f t="shared" si="95"/>
        <v>BOCA DE LOBO PROJETADA DUPLA</v>
      </c>
      <c r="C3020" s="177"/>
      <c r="D3020" s="178"/>
      <c r="E3020" s="178">
        <f t="shared" si="96"/>
        <v>3.57</v>
      </c>
      <c r="F3020" s="178"/>
      <c r="G3020" s="178"/>
      <c r="H3020" s="178"/>
      <c r="I3020" s="178"/>
      <c r="J3020" s="178"/>
      <c r="K3020" s="178">
        <f t="shared" si="97"/>
        <v>30</v>
      </c>
      <c r="L3020" s="190"/>
      <c r="M3020" s="178"/>
      <c r="N3020" s="178"/>
      <c r="O3020" s="178"/>
      <c r="P3020" s="231"/>
      <c r="Q3020" s="224"/>
    </row>
    <row r="3021" spans="1:19" s="225" customFormat="1" ht="10.5" x14ac:dyDescent="0.25">
      <c r="A3021" s="229"/>
      <c r="B3021" s="230" t="str">
        <f t="shared" si="95"/>
        <v>BOCA DE LOBO PROJETADA TRIPLA</v>
      </c>
      <c r="C3021" s="177"/>
      <c r="D3021" s="178"/>
      <c r="E3021" s="178">
        <f t="shared" si="96"/>
        <v>4.76</v>
      </c>
      <c r="F3021" s="178"/>
      <c r="G3021" s="178"/>
      <c r="H3021" s="178"/>
      <c r="I3021" s="178"/>
      <c r="J3021" s="178"/>
      <c r="K3021" s="178">
        <f t="shared" si="97"/>
        <v>1</v>
      </c>
      <c r="L3021" s="190"/>
      <c r="M3021" s="178"/>
      <c r="N3021" s="178"/>
      <c r="O3021" s="178"/>
      <c r="P3021" s="231"/>
      <c r="Q3021" s="224"/>
    </row>
    <row r="3022" spans="1:19" s="225" customFormat="1" ht="10.5" x14ac:dyDescent="0.25">
      <c r="A3022" s="229"/>
      <c r="B3022" s="230"/>
      <c r="C3022" s="177"/>
      <c r="D3022" s="178"/>
      <c r="E3022" s="178"/>
      <c r="F3022" s="178"/>
      <c r="G3022" s="178"/>
      <c r="H3022" s="178"/>
      <c r="I3022" s="178"/>
      <c r="J3022" s="178"/>
      <c r="K3022" s="178"/>
      <c r="L3022" s="190"/>
      <c r="M3022" s="178"/>
      <c r="N3022" s="178"/>
      <c r="O3022" s="178"/>
      <c r="P3022" s="231"/>
      <c r="Q3022" s="224"/>
    </row>
    <row r="3023" spans="1:19" s="225" customFormat="1" ht="10.5" x14ac:dyDescent="0.25">
      <c r="A3023" s="229"/>
      <c r="B3023" s="232" t="s">
        <v>5</v>
      </c>
      <c r="C3023" s="182" t="s">
        <v>1328</v>
      </c>
      <c r="D3023" s="182"/>
      <c r="E3023" s="182">
        <f>SUMPRODUCT(E3010:E3021,K3010:K3021)</f>
        <v>113.55</v>
      </c>
      <c r="F3023" s="182"/>
      <c r="G3023" s="182"/>
      <c r="H3023" s="182"/>
      <c r="I3023" s="182"/>
      <c r="J3023" s="182"/>
      <c r="K3023" s="182"/>
      <c r="L3023" s="182"/>
      <c r="M3023" s="182"/>
      <c r="N3023" s="182"/>
      <c r="O3023" s="182"/>
      <c r="P3023" s="233"/>
      <c r="Q3023" s="224"/>
    </row>
    <row r="3024" spans="1:19" s="235" customFormat="1" ht="21" x14ac:dyDescent="0.35">
      <c r="A3024" s="226" t="str">
        <f>ORÇAMENTO!A575</f>
        <v>6.1.1.5.4</v>
      </c>
      <c r="B3024" s="227" t="str">
        <f>VLOOKUP(A3024,ORÇAMENTO!A:K,4,0)</f>
        <v>RECONSTRUCAO DE MEIO-FIO EM CONCRETO 10CM MOLDADO NO LOCAL</v>
      </c>
      <c r="C3024" s="173" t="str">
        <f>VLOOKUP(A3024,ORÇAMENTO!A:K,5,0)</f>
        <v>M</v>
      </c>
      <c r="D3024" s="173">
        <f>SUM(E3039:O3039)</f>
        <v>31.5</v>
      </c>
      <c r="E3024" s="173" t="s">
        <v>1718</v>
      </c>
      <c r="F3024" s="173" t="s">
        <v>1719</v>
      </c>
      <c r="G3024" s="173" t="s">
        <v>1720</v>
      </c>
      <c r="H3024" s="173" t="s">
        <v>1721</v>
      </c>
      <c r="I3024" s="173" t="s">
        <v>1722</v>
      </c>
      <c r="J3024" s="173" t="s">
        <v>1723</v>
      </c>
      <c r="K3024" s="173" t="s">
        <v>1758</v>
      </c>
      <c r="L3024" s="173" t="s">
        <v>1753</v>
      </c>
      <c r="M3024" s="173" t="s">
        <v>1750</v>
      </c>
      <c r="N3024" s="173" t="s">
        <v>1727</v>
      </c>
      <c r="O3024" s="173" t="s">
        <v>1728</v>
      </c>
      <c r="P3024" s="224"/>
      <c r="Q3024" s="224"/>
      <c r="R3024" s="224"/>
      <c r="S3024" s="224"/>
    </row>
    <row r="3025" spans="1:19" s="225" customFormat="1" ht="10.5" x14ac:dyDescent="0.25">
      <c r="A3025" s="229"/>
      <c r="B3025" s="230"/>
      <c r="C3025" s="177"/>
      <c r="D3025" s="178"/>
      <c r="E3025" s="178"/>
      <c r="F3025" s="178"/>
      <c r="G3025" s="178"/>
      <c r="H3025" s="178"/>
      <c r="I3025" s="178"/>
      <c r="J3025" s="178"/>
      <c r="K3025" s="178"/>
      <c r="L3025" s="190"/>
      <c r="M3025" s="178"/>
      <c r="N3025" s="178"/>
      <c r="O3025" s="178"/>
      <c r="P3025" s="231"/>
      <c r="Q3025" s="224"/>
    </row>
    <row r="3026" spans="1:19" s="225" customFormat="1" ht="21" x14ac:dyDescent="0.25">
      <c r="A3026" s="229"/>
      <c r="B3026" s="230" t="str">
        <f t="shared" ref="B3026:B3037" si="98">B3010</f>
        <v>BOCA DE LOBO SIMPLES EXISTENTE COM BOCA DE LOBO DUPLA PROJETADA</v>
      </c>
      <c r="C3026" s="177"/>
      <c r="D3026" s="178"/>
      <c r="E3026" s="178">
        <f t="shared" ref="E3026:E3037" si="99">E3010-E2994</f>
        <v>0.5</v>
      </c>
      <c r="F3026" s="178"/>
      <c r="G3026" s="178"/>
      <c r="H3026" s="178"/>
      <c r="I3026" s="178"/>
      <c r="J3026" s="178"/>
      <c r="K3026" s="178">
        <f t="shared" ref="K3026:K3037" si="100">K3010</f>
        <v>0</v>
      </c>
      <c r="L3026" s="190"/>
      <c r="M3026" s="178"/>
      <c r="N3026" s="178"/>
      <c r="O3026" s="178"/>
      <c r="P3026" s="231"/>
      <c r="Q3026" s="224"/>
    </row>
    <row r="3027" spans="1:19" s="225" customFormat="1" ht="21" x14ac:dyDescent="0.25">
      <c r="A3027" s="229"/>
      <c r="B3027" s="230" t="str">
        <f t="shared" si="98"/>
        <v>BOCA DE LOBO SIMPLES EXISTENTE COM BOCA DE LOBO SIMPLES PROJETADA</v>
      </c>
      <c r="C3027" s="177"/>
      <c r="D3027" s="178"/>
      <c r="E3027" s="178">
        <f t="shared" si="99"/>
        <v>0.5</v>
      </c>
      <c r="F3027" s="178"/>
      <c r="G3027" s="178"/>
      <c r="H3027" s="178"/>
      <c r="I3027" s="178"/>
      <c r="J3027" s="178"/>
      <c r="K3027" s="178">
        <f t="shared" si="100"/>
        <v>1</v>
      </c>
      <c r="L3027" s="190"/>
      <c r="M3027" s="178"/>
      <c r="N3027" s="178"/>
      <c r="O3027" s="178"/>
      <c r="P3027" s="231"/>
      <c r="Q3027" s="224"/>
    </row>
    <row r="3028" spans="1:19" s="225" customFormat="1" ht="21" x14ac:dyDescent="0.25">
      <c r="A3028" s="229"/>
      <c r="B3028" s="230" t="str">
        <f t="shared" si="98"/>
        <v>BOCA DE LOBO SIMPLES EXISTENTE COM BOCA DE LOBO TRIPLA PROJETADA</v>
      </c>
      <c r="C3028" s="177"/>
      <c r="D3028" s="178"/>
      <c r="E3028" s="178">
        <f t="shared" si="99"/>
        <v>0.5</v>
      </c>
      <c r="F3028" s="178"/>
      <c r="G3028" s="178"/>
      <c r="H3028" s="178"/>
      <c r="I3028" s="178"/>
      <c r="J3028" s="178"/>
      <c r="K3028" s="178">
        <f t="shared" si="100"/>
        <v>0</v>
      </c>
      <c r="L3028" s="190"/>
      <c r="M3028" s="178"/>
      <c r="N3028" s="178"/>
      <c r="O3028" s="178"/>
      <c r="P3028" s="231"/>
      <c r="Q3028" s="224"/>
    </row>
    <row r="3029" spans="1:19" s="225" customFormat="1" ht="21" x14ac:dyDescent="0.25">
      <c r="A3029" s="229"/>
      <c r="B3029" s="230" t="str">
        <f t="shared" si="98"/>
        <v>BOCA DE LOBO DUPLA EXISTENTE COM BOCA DE LOBO SIMPLES PROJETADA</v>
      </c>
      <c r="C3029" s="177"/>
      <c r="D3029" s="178"/>
      <c r="E3029" s="178">
        <f t="shared" si="99"/>
        <v>0.5</v>
      </c>
      <c r="F3029" s="178"/>
      <c r="G3029" s="178"/>
      <c r="H3029" s="178"/>
      <c r="I3029" s="178"/>
      <c r="J3029" s="178"/>
      <c r="K3029" s="178">
        <f t="shared" si="100"/>
        <v>0</v>
      </c>
      <c r="L3029" s="190"/>
      <c r="M3029" s="178"/>
      <c r="N3029" s="178"/>
      <c r="O3029" s="178"/>
      <c r="P3029" s="231"/>
      <c r="Q3029" s="224"/>
    </row>
    <row r="3030" spans="1:19" s="225" customFormat="1" ht="21" x14ac:dyDescent="0.25">
      <c r="A3030" s="229"/>
      <c r="B3030" s="230" t="str">
        <f t="shared" si="98"/>
        <v>BOCA DE LOBO DUPLA EXISTENTE COM BOCA DE LOBO DUPLA PROJETADA</v>
      </c>
      <c r="C3030" s="177"/>
      <c r="D3030" s="178"/>
      <c r="E3030" s="178">
        <f t="shared" si="99"/>
        <v>0.5</v>
      </c>
      <c r="F3030" s="178"/>
      <c r="G3030" s="178"/>
      <c r="H3030" s="178"/>
      <c r="I3030" s="178"/>
      <c r="J3030" s="178"/>
      <c r="K3030" s="178">
        <f t="shared" si="100"/>
        <v>0</v>
      </c>
      <c r="L3030" s="190"/>
      <c r="M3030" s="178"/>
      <c r="N3030" s="178"/>
      <c r="O3030" s="178"/>
      <c r="P3030" s="231"/>
      <c r="Q3030" s="224"/>
    </row>
    <row r="3031" spans="1:19" s="225" customFormat="1" ht="21" x14ac:dyDescent="0.25">
      <c r="A3031" s="229"/>
      <c r="B3031" s="230" t="str">
        <f t="shared" si="98"/>
        <v>BOCA DE LOBO DUPLA EXISTENTE COM BOCA DE LOBO TRIPLA PROJETADA</v>
      </c>
      <c r="C3031" s="177"/>
      <c r="D3031" s="178"/>
      <c r="E3031" s="178">
        <f t="shared" si="99"/>
        <v>0.5</v>
      </c>
      <c r="F3031" s="178"/>
      <c r="G3031" s="178"/>
      <c r="H3031" s="178"/>
      <c r="I3031" s="178"/>
      <c r="J3031" s="178"/>
      <c r="K3031" s="178">
        <f t="shared" si="100"/>
        <v>0</v>
      </c>
      <c r="L3031" s="190"/>
      <c r="M3031" s="178"/>
      <c r="N3031" s="178"/>
      <c r="O3031" s="178"/>
      <c r="P3031" s="231"/>
      <c r="Q3031" s="224"/>
    </row>
    <row r="3032" spans="1:19" s="225" customFormat="1" ht="21" x14ac:dyDescent="0.25">
      <c r="A3032" s="229"/>
      <c r="B3032" s="230" t="str">
        <f t="shared" si="98"/>
        <v>BOCA DE LOBO TRIPLA EXISTENTE COM BOCA DE LOBO SIMPLES PROJETADA</v>
      </c>
      <c r="C3032" s="177"/>
      <c r="D3032" s="178"/>
      <c r="E3032" s="178">
        <f t="shared" si="99"/>
        <v>0.5</v>
      </c>
      <c r="F3032" s="178"/>
      <c r="G3032" s="178"/>
      <c r="H3032" s="178"/>
      <c r="I3032" s="178"/>
      <c r="J3032" s="178"/>
      <c r="K3032" s="178">
        <f t="shared" si="100"/>
        <v>0</v>
      </c>
      <c r="L3032" s="190"/>
      <c r="M3032" s="178"/>
      <c r="N3032" s="178"/>
      <c r="O3032" s="178"/>
      <c r="P3032" s="231"/>
      <c r="Q3032" s="224"/>
    </row>
    <row r="3033" spans="1:19" s="225" customFormat="1" ht="21" x14ac:dyDescent="0.25">
      <c r="A3033" s="229"/>
      <c r="B3033" s="230" t="str">
        <f t="shared" si="98"/>
        <v>BOCA DE LOBO TRIPLA EXISTENTE COM BOCA DE LOBO DUPLA PROJETADA</v>
      </c>
      <c r="C3033" s="177"/>
      <c r="D3033" s="178"/>
      <c r="E3033" s="178">
        <f t="shared" si="99"/>
        <v>0.5</v>
      </c>
      <c r="F3033" s="178"/>
      <c r="G3033" s="178"/>
      <c r="H3033" s="178"/>
      <c r="I3033" s="178"/>
      <c r="J3033" s="178"/>
      <c r="K3033" s="178">
        <f t="shared" si="100"/>
        <v>0</v>
      </c>
      <c r="L3033" s="190"/>
      <c r="M3033" s="178"/>
      <c r="N3033" s="178"/>
      <c r="O3033" s="178"/>
      <c r="P3033" s="231"/>
      <c r="Q3033" s="224"/>
    </row>
    <row r="3034" spans="1:19" s="225" customFormat="1" ht="21" x14ac:dyDescent="0.25">
      <c r="A3034" s="229"/>
      <c r="B3034" s="230" t="str">
        <f t="shared" si="98"/>
        <v>BOCA DE LOBO TRIPLA EXISTENTE COM BOCA DE LOBO TRIPLA PROJETADA</v>
      </c>
      <c r="C3034" s="177"/>
      <c r="D3034" s="178"/>
      <c r="E3034" s="178">
        <f t="shared" si="99"/>
        <v>0.5</v>
      </c>
      <c r="F3034" s="178"/>
      <c r="G3034" s="178"/>
      <c r="H3034" s="178"/>
      <c r="I3034" s="178"/>
      <c r="J3034" s="178"/>
      <c r="K3034" s="178">
        <f t="shared" si="100"/>
        <v>0</v>
      </c>
      <c r="L3034" s="190"/>
      <c r="M3034" s="178"/>
      <c r="N3034" s="178"/>
      <c r="O3034" s="178"/>
      <c r="P3034" s="231"/>
      <c r="Q3034" s="224"/>
    </row>
    <row r="3035" spans="1:19" s="225" customFormat="1" ht="10.5" x14ac:dyDescent="0.25">
      <c r="A3035" s="229"/>
      <c r="B3035" s="230" t="str">
        <f t="shared" si="98"/>
        <v>BOCA DE LOBO PROJETADA SIMPLES</v>
      </c>
      <c r="C3035" s="177"/>
      <c r="D3035" s="178"/>
      <c r="E3035" s="178">
        <f t="shared" si="99"/>
        <v>1</v>
      </c>
      <c r="F3035" s="178"/>
      <c r="G3035" s="178"/>
      <c r="H3035" s="178"/>
      <c r="I3035" s="178"/>
      <c r="J3035" s="178"/>
      <c r="K3035" s="178">
        <f t="shared" si="100"/>
        <v>0</v>
      </c>
      <c r="L3035" s="190"/>
      <c r="M3035" s="178"/>
      <c r="N3035" s="178"/>
      <c r="O3035" s="178"/>
      <c r="P3035" s="231"/>
      <c r="Q3035" s="224"/>
    </row>
    <row r="3036" spans="1:19" s="225" customFormat="1" ht="10.5" x14ac:dyDescent="0.25">
      <c r="A3036" s="229"/>
      <c r="B3036" s="230" t="str">
        <f t="shared" si="98"/>
        <v>BOCA DE LOBO PROJETADA DUPLA</v>
      </c>
      <c r="C3036" s="177"/>
      <c r="D3036" s="178"/>
      <c r="E3036" s="178">
        <f t="shared" si="99"/>
        <v>1</v>
      </c>
      <c r="F3036" s="178"/>
      <c r="G3036" s="178"/>
      <c r="H3036" s="178"/>
      <c r="I3036" s="178"/>
      <c r="J3036" s="178"/>
      <c r="K3036" s="178">
        <f t="shared" si="100"/>
        <v>30</v>
      </c>
      <c r="L3036" s="190"/>
      <c r="M3036" s="178"/>
      <c r="N3036" s="178"/>
      <c r="O3036" s="178"/>
      <c r="P3036" s="231"/>
      <c r="Q3036" s="224"/>
    </row>
    <row r="3037" spans="1:19" s="225" customFormat="1" ht="10.5" x14ac:dyDescent="0.25">
      <c r="A3037" s="229"/>
      <c r="B3037" s="230" t="str">
        <f t="shared" si="98"/>
        <v>BOCA DE LOBO PROJETADA TRIPLA</v>
      </c>
      <c r="C3037" s="177"/>
      <c r="D3037" s="178"/>
      <c r="E3037" s="178">
        <f t="shared" si="99"/>
        <v>1</v>
      </c>
      <c r="F3037" s="178"/>
      <c r="G3037" s="178"/>
      <c r="H3037" s="178"/>
      <c r="I3037" s="178"/>
      <c r="J3037" s="178"/>
      <c r="K3037" s="178">
        <f t="shared" si="100"/>
        <v>1</v>
      </c>
      <c r="L3037" s="190"/>
      <c r="M3037" s="178"/>
      <c r="N3037" s="178"/>
      <c r="O3037" s="178"/>
      <c r="P3037" s="231"/>
      <c r="Q3037" s="224"/>
    </row>
    <row r="3038" spans="1:19" s="225" customFormat="1" ht="10.5" x14ac:dyDescent="0.25">
      <c r="A3038" s="229"/>
      <c r="B3038" s="230"/>
      <c r="C3038" s="177"/>
      <c r="D3038" s="178"/>
      <c r="E3038" s="178"/>
      <c r="F3038" s="178"/>
      <c r="G3038" s="178"/>
      <c r="H3038" s="178"/>
      <c r="I3038" s="178"/>
      <c r="J3038" s="178"/>
      <c r="K3038" s="178"/>
      <c r="L3038" s="190"/>
      <c r="M3038" s="178"/>
      <c r="N3038" s="178"/>
      <c r="O3038" s="178"/>
      <c r="P3038" s="231"/>
      <c r="Q3038" s="224"/>
    </row>
    <row r="3039" spans="1:19" s="225" customFormat="1" ht="10.5" x14ac:dyDescent="0.25">
      <c r="A3039" s="229"/>
      <c r="B3039" s="232" t="s">
        <v>5</v>
      </c>
      <c r="C3039" s="182" t="s">
        <v>1328</v>
      </c>
      <c r="D3039" s="182"/>
      <c r="E3039" s="182">
        <f>SUMPRODUCT(E3026:E3038,K3026:K3038)</f>
        <v>31.5</v>
      </c>
      <c r="F3039" s="182"/>
      <c r="G3039" s="182"/>
      <c r="H3039" s="182"/>
      <c r="I3039" s="182"/>
      <c r="J3039" s="182"/>
      <c r="K3039" s="182"/>
      <c r="L3039" s="182"/>
      <c r="M3039" s="182"/>
      <c r="N3039" s="182"/>
      <c r="O3039" s="182"/>
      <c r="P3039" s="233"/>
      <c r="Q3039" s="224"/>
    </row>
    <row r="3040" spans="1:19" s="235" customFormat="1" ht="52.5" x14ac:dyDescent="0.35">
      <c r="A3040" s="226" t="str">
        <f>ORÇAMENTO!A576</f>
        <v>6.1.1.5.5</v>
      </c>
      <c r="B3040" s="227" t="str">
        <f>VLOOKUP(A3040,ORÇAMENTO!A:K,4,0)</f>
        <v>CARGA, MANOBRA E DESCARGA DE ENTULHO EM CAMINHÃO BASCULANTE 14 M³ - CARGA COM ESCAVADEIRA HIDRÁULICA  (CAÇAMBA DE 0,80 M³ / 111 HP) E DESCARGA LIVRE (UNIDADE: M3). AF_07/2020</v>
      </c>
      <c r="C3040" s="173" t="str">
        <f>VLOOKUP(A3040,ORÇAMENTO!A:K,5,0)</f>
        <v>M³</v>
      </c>
      <c r="D3040" s="173">
        <f>SUM(E3045:O3045)</f>
        <v>15.05673</v>
      </c>
      <c r="E3040" s="173" t="s">
        <v>1718</v>
      </c>
      <c r="F3040" s="173" t="s">
        <v>1719</v>
      </c>
      <c r="G3040" s="173" t="s">
        <v>1720</v>
      </c>
      <c r="H3040" s="173" t="s">
        <v>1721</v>
      </c>
      <c r="I3040" s="173" t="s">
        <v>1722</v>
      </c>
      <c r="J3040" s="173" t="s">
        <v>1723</v>
      </c>
      <c r="K3040" s="173" t="s">
        <v>1758</v>
      </c>
      <c r="L3040" s="173" t="s">
        <v>1753</v>
      </c>
      <c r="M3040" s="173" t="s">
        <v>1750</v>
      </c>
      <c r="N3040" s="173" t="s">
        <v>1727</v>
      </c>
      <c r="O3040" s="173" t="s">
        <v>1728</v>
      </c>
      <c r="P3040" s="224"/>
      <c r="Q3040" s="224"/>
      <c r="R3040" s="224"/>
      <c r="S3040" s="224"/>
    </row>
    <row r="3041" spans="1:19" s="225" customFormat="1" ht="10.5" x14ac:dyDescent="0.25">
      <c r="A3041" s="229"/>
      <c r="B3041" s="230"/>
      <c r="C3041" s="177"/>
      <c r="D3041" s="178"/>
      <c r="E3041" s="178"/>
      <c r="F3041" s="178"/>
      <c r="G3041" s="178"/>
      <c r="H3041" s="178"/>
      <c r="I3041" s="178"/>
      <c r="J3041" s="178"/>
      <c r="K3041" s="178"/>
      <c r="L3041" s="190"/>
      <c r="M3041" s="178"/>
      <c r="N3041" s="178"/>
      <c r="O3041" s="178"/>
      <c r="P3041" s="231"/>
      <c r="Q3041" s="224"/>
    </row>
    <row r="3042" spans="1:19" s="225" customFormat="1" ht="10.5" x14ac:dyDescent="0.25">
      <c r="A3042" s="229"/>
      <c r="B3042" s="230" t="s">
        <v>1762</v>
      </c>
      <c r="C3042" s="177"/>
      <c r="D3042" s="178"/>
      <c r="E3042" s="178"/>
      <c r="F3042" s="178"/>
      <c r="G3042" s="178"/>
      <c r="H3042" s="178"/>
      <c r="I3042" s="178"/>
      <c r="J3042" s="178"/>
      <c r="K3042" s="178"/>
      <c r="L3042" s="190"/>
      <c r="M3042" s="178"/>
      <c r="N3042" s="178"/>
      <c r="O3042" s="178">
        <f>O2993</f>
        <v>13.353479999999999</v>
      </c>
      <c r="P3042" s="231"/>
      <c r="Q3042" s="224"/>
    </row>
    <row r="3043" spans="1:19" s="225" customFormat="1" ht="10.5" x14ac:dyDescent="0.25">
      <c r="A3043" s="229"/>
      <c r="B3043" s="230" t="s">
        <v>1763</v>
      </c>
      <c r="C3043" s="177"/>
      <c r="D3043" s="178"/>
      <c r="E3043" s="178">
        <f>E3023</f>
        <v>113.55</v>
      </c>
      <c r="F3043" s="178">
        <v>0.1</v>
      </c>
      <c r="G3043" s="178"/>
      <c r="H3043" s="178">
        <v>0.15</v>
      </c>
      <c r="I3043" s="178"/>
      <c r="J3043" s="178"/>
      <c r="K3043" s="178"/>
      <c r="L3043" s="190"/>
      <c r="M3043" s="178"/>
      <c r="N3043" s="178"/>
      <c r="O3043" s="178">
        <f>E3043*F3043*H3043</f>
        <v>1.7032499999999999</v>
      </c>
      <c r="P3043" s="231"/>
      <c r="Q3043" s="224"/>
    </row>
    <row r="3044" spans="1:19" s="225" customFormat="1" ht="10.5" x14ac:dyDescent="0.25">
      <c r="A3044" s="229"/>
      <c r="B3044" s="230"/>
      <c r="C3044" s="177"/>
      <c r="D3044" s="178"/>
      <c r="E3044" s="178"/>
      <c r="F3044" s="178"/>
      <c r="G3044" s="178"/>
      <c r="H3044" s="178"/>
      <c r="I3044" s="178"/>
      <c r="J3044" s="178"/>
      <c r="K3044" s="178"/>
      <c r="L3044" s="190"/>
      <c r="M3044" s="178"/>
      <c r="N3044" s="178"/>
      <c r="O3044" s="178"/>
      <c r="P3044" s="231"/>
      <c r="Q3044" s="224"/>
    </row>
    <row r="3045" spans="1:19" s="225" customFormat="1" ht="10.5" x14ac:dyDescent="0.25">
      <c r="A3045" s="229"/>
      <c r="B3045" s="232" t="s">
        <v>5</v>
      </c>
      <c r="C3045" s="182" t="s">
        <v>1328</v>
      </c>
      <c r="D3045" s="182"/>
      <c r="E3045" s="182"/>
      <c r="F3045" s="182"/>
      <c r="G3045" s="182"/>
      <c r="H3045" s="182"/>
      <c r="I3045" s="182"/>
      <c r="J3045" s="182"/>
      <c r="K3045" s="182"/>
      <c r="L3045" s="182"/>
      <c r="M3045" s="182"/>
      <c r="N3045" s="182"/>
      <c r="O3045" s="182">
        <f>SUM(O3042:O3044)</f>
        <v>15.05673</v>
      </c>
      <c r="P3045" s="233"/>
      <c r="Q3045" s="224"/>
    </row>
    <row r="3046" spans="1:19" s="235" customFormat="1" ht="31.5" x14ac:dyDescent="0.35">
      <c r="A3046" s="226" t="str">
        <f>ORÇAMENTO!A577</f>
        <v>6.1.1.5.6</v>
      </c>
      <c r="B3046" s="227" t="str">
        <f>VLOOKUP(A3046,ORÇAMENTO!A:K,4,0)</f>
        <v>TRANSPORTE COM CAMINHÃO BASCULANTE DE 14 M³, EM VIA URBANA PAVIMENTADA, DMT ATÉ 30 KM (UNIDADE: M3XKM). AF_07/2020</v>
      </c>
      <c r="C3046" s="173" t="str">
        <f>VLOOKUP(A3046,ORÇAMENTO!A:K,5,0)</f>
        <v>M3XKM</v>
      </c>
      <c r="D3046" s="173">
        <f>SUM(E3050:O3050)</f>
        <v>451.70190000000002</v>
      </c>
      <c r="E3046" s="173" t="s">
        <v>1718</v>
      </c>
      <c r="F3046" s="173" t="s">
        <v>1719</v>
      </c>
      <c r="G3046" s="173" t="s">
        <v>1720</v>
      </c>
      <c r="H3046" s="173" t="s">
        <v>1721</v>
      </c>
      <c r="I3046" s="173" t="s">
        <v>1722</v>
      </c>
      <c r="J3046" s="173" t="s">
        <v>1723</v>
      </c>
      <c r="K3046" s="173" t="s">
        <v>1758</v>
      </c>
      <c r="L3046" s="173" t="s">
        <v>1753</v>
      </c>
      <c r="M3046" s="173" t="s">
        <v>1750</v>
      </c>
      <c r="N3046" s="173" t="s">
        <v>1727</v>
      </c>
      <c r="O3046" s="173" t="s">
        <v>1728</v>
      </c>
      <c r="P3046" s="224"/>
      <c r="Q3046" s="224"/>
      <c r="R3046" s="224"/>
      <c r="S3046" s="224"/>
    </row>
    <row r="3047" spans="1:19" s="225" customFormat="1" ht="10.5" x14ac:dyDescent="0.25">
      <c r="A3047" s="229"/>
      <c r="B3047" s="230"/>
      <c r="C3047" s="177"/>
      <c r="D3047" s="178"/>
      <c r="E3047" s="178"/>
      <c r="F3047" s="178"/>
      <c r="G3047" s="178"/>
      <c r="H3047" s="178"/>
      <c r="I3047" s="178"/>
      <c r="J3047" s="178"/>
      <c r="K3047" s="178"/>
      <c r="L3047" s="190"/>
      <c r="M3047" s="178"/>
      <c r="N3047" s="178"/>
      <c r="O3047" s="178"/>
      <c r="P3047" s="231"/>
      <c r="Q3047" s="224"/>
    </row>
    <row r="3048" spans="1:19" s="225" customFormat="1" ht="10.5" x14ac:dyDescent="0.25">
      <c r="A3048" s="229"/>
      <c r="B3048" s="230" t="s">
        <v>1751</v>
      </c>
      <c r="C3048" s="184"/>
      <c r="D3048" s="185"/>
      <c r="E3048" s="185">
        <v>30</v>
      </c>
      <c r="F3048" s="178"/>
      <c r="G3048" s="178"/>
      <c r="H3048" s="178"/>
      <c r="I3048" s="178"/>
      <c r="J3048" s="178"/>
      <c r="K3048" s="178"/>
      <c r="L3048" s="190"/>
      <c r="M3048" s="185">
        <f>O3048*E3048</f>
        <v>451.70190000000002</v>
      </c>
      <c r="N3048" s="178"/>
      <c r="O3048" s="178">
        <f>O3045</f>
        <v>15.05673</v>
      </c>
      <c r="P3048" s="231"/>
      <c r="Q3048" s="224"/>
    </row>
    <row r="3049" spans="1:19" s="225" customFormat="1" ht="10.5" x14ac:dyDescent="0.25">
      <c r="A3049" s="229"/>
      <c r="B3049" s="230"/>
      <c r="C3049" s="177"/>
      <c r="D3049" s="178"/>
      <c r="E3049" s="178"/>
      <c r="F3049" s="178"/>
      <c r="G3049" s="178"/>
      <c r="H3049" s="178"/>
      <c r="I3049" s="178"/>
      <c r="J3049" s="178"/>
      <c r="K3049" s="178"/>
      <c r="L3049" s="190"/>
      <c r="M3049" s="185"/>
      <c r="N3049" s="178"/>
      <c r="O3049" s="178"/>
      <c r="P3049" s="231"/>
      <c r="Q3049" s="224"/>
    </row>
    <row r="3050" spans="1:19" s="225" customFormat="1" ht="10.5" x14ac:dyDescent="0.25">
      <c r="A3050" s="229"/>
      <c r="B3050" s="232" t="s">
        <v>5</v>
      </c>
      <c r="C3050" s="182" t="s">
        <v>1328</v>
      </c>
      <c r="D3050" s="182"/>
      <c r="E3050" s="182"/>
      <c r="F3050" s="182"/>
      <c r="G3050" s="182"/>
      <c r="H3050" s="182"/>
      <c r="I3050" s="182"/>
      <c r="J3050" s="182"/>
      <c r="K3050" s="182"/>
      <c r="L3050" s="182"/>
      <c r="M3050" s="182">
        <f>SUM(M3048:M3049)</f>
        <v>451.70190000000002</v>
      </c>
      <c r="N3050" s="182"/>
      <c r="O3050" s="182"/>
      <c r="P3050" s="233"/>
      <c r="Q3050" s="224"/>
    </row>
    <row r="3051" spans="1:19" s="235" customFormat="1" ht="42" x14ac:dyDescent="0.35">
      <c r="A3051" s="226" t="str">
        <f>ORÇAMENTO!A578</f>
        <v>6.1.1.5.7</v>
      </c>
      <c r="B3051" s="227" t="str">
        <f>VLOOKUP(A3051,ORÇAMENTO!A:K,4,0)</f>
        <v>TRANSPORTE COM CAMINHÃO BASCULANTE DE 14 M³, EM VIA URBANA PAVIMENTADA, ADICIONAL PARA DMT EXCEDENTE A 30 KM (UNIDADE: M3XKM). AF_07/2020</v>
      </c>
      <c r="C3051" s="173" t="str">
        <f>VLOOKUP(A3051,ORÇAMENTO!A:K,5,0)</f>
        <v>M3XKM</v>
      </c>
      <c r="D3051" s="173">
        <f>SUM(E3055:O3055)</f>
        <v>674.54150399999992</v>
      </c>
      <c r="E3051" s="173" t="s">
        <v>1718</v>
      </c>
      <c r="F3051" s="173" t="s">
        <v>1719</v>
      </c>
      <c r="G3051" s="173" t="s">
        <v>1720</v>
      </c>
      <c r="H3051" s="173" t="s">
        <v>1721</v>
      </c>
      <c r="I3051" s="173" t="s">
        <v>1722</v>
      </c>
      <c r="J3051" s="173" t="s">
        <v>1723</v>
      </c>
      <c r="K3051" s="173" t="s">
        <v>1758</v>
      </c>
      <c r="L3051" s="173" t="s">
        <v>1753</v>
      </c>
      <c r="M3051" s="173" t="s">
        <v>1750</v>
      </c>
      <c r="N3051" s="173" t="s">
        <v>1727</v>
      </c>
      <c r="O3051" s="173" t="s">
        <v>1728</v>
      </c>
      <c r="P3051" s="224"/>
      <c r="Q3051" s="224"/>
      <c r="R3051" s="224"/>
      <c r="S3051" s="224"/>
    </row>
    <row r="3052" spans="1:19" s="225" customFormat="1" ht="10.5" x14ac:dyDescent="0.25">
      <c r="A3052" s="229"/>
      <c r="B3052" s="230"/>
      <c r="C3052" s="177"/>
      <c r="D3052" s="178"/>
      <c r="E3052" s="178"/>
      <c r="F3052" s="178"/>
      <c r="G3052" s="178"/>
      <c r="H3052" s="178"/>
      <c r="I3052" s="178"/>
      <c r="J3052" s="178"/>
      <c r="K3052" s="178"/>
      <c r="L3052" s="190"/>
      <c r="M3052" s="178"/>
      <c r="N3052" s="178"/>
      <c r="O3052" s="178"/>
      <c r="P3052" s="231"/>
      <c r="Q3052" s="224"/>
    </row>
    <row r="3053" spans="1:19" s="225" customFormat="1" ht="10.5" x14ac:dyDescent="0.25">
      <c r="A3053" s="229"/>
      <c r="B3053" s="230" t="s">
        <v>1751</v>
      </c>
      <c r="C3053" s="177"/>
      <c r="D3053" s="178"/>
      <c r="E3053" s="178">
        <f>74.8-E3048</f>
        <v>44.8</v>
      </c>
      <c r="F3053" s="178"/>
      <c r="G3053" s="178"/>
      <c r="H3053" s="178"/>
      <c r="I3053" s="178"/>
      <c r="J3053" s="178"/>
      <c r="K3053" s="178"/>
      <c r="L3053" s="190"/>
      <c r="M3053" s="185">
        <f>O3053*E3053</f>
        <v>674.54150399999992</v>
      </c>
      <c r="N3053" s="178"/>
      <c r="O3053" s="178">
        <f>O3048</f>
        <v>15.05673</v>
      </c>
      <c r="P3053" s="231"/>
      <c r="Q3053" s="224"/>
    </row>
    <row r="3054" spans="1:19" s="225" customFormat="1" ht="10.5" x14ac:dyDescent="0.25">
      <c r="A3054" s="229"/>
      <c r="B3054" s="230"/>
      <c r="C3054" s="177"/>
      <c r="D3054" s="178"/>
      <c r="E3054" s="178"/>
      <c r="F3054" s="178"/>
      <c r="G3054" s="178"/>
      <c r="H3054" s="178"/>
      <c r="I3054" s="178"/>
      <c r="J3054" s="178"/>
      <c r="K3054" s="178"/>
      <c r="L3054" s="190"/>
      <c r="M3054" s="185"/>
      <c r="N3054" s="178"/>
      <c r="O3054" s="178"/>
      <c r="P3054" s="231"/>
      <c r="Q3054" s="224"/>
    </row>
    <row r="3055" spans="1:19" s="225" customFormat="1" ht="10.5" x14ac:dyDescent="0.25">
      <c r="A3055" s="229"/>
      <c r="B3055" s="232" t="s">
        <v>5</v>
      </c>
      <c r="C3055" s="182" t="s">
        <v>1328</v>
      </c>
      <c r="D3055" s="182"/>
      <c r="E3055" s="182"/>
      <c r="F3055" s="182"/>
      <c r="G3055" s="182"/>
      <c r="H3055" s="182"/>
      <c r="I3055" s="182"/>
      <c r="J3055" s="182"/>
      <c r="K3055" s="182"/>
      <c r="L3055" s="182"/>
      <c r="M3055" s="182">
        <f>SUM(M3053:M3054)</f>
        <v>674.54150399999992</v>
      </c>
      <c r="N3055" s="182"/>
      <c r="O3055" s="182"/>
      <c r="P3055" s="233"/>
      <c r="Q3055" s="224"/>
    </row>
    <row r="3056" spans="1:19" s="235" customFormat="1" ht="21" x14ac:dyDescent="0.35">
      <c r="A3056" s="226" t="str">
        <f>ORÇAMENTO!A579</f>
        <v>6.1.1.6</v>
      </c>
      <c r="B3056" s="227" t="str">
        <f>VLOOKUP(A3056,ORÇAMENTO!A:K,4,0)</f>
        <v>DEMOLIÇÕES DE PAREDES PARA AMPLIAÇÃO DE BOCA DE LOBO</v>
      </c>
      <c r="C3056" s="173"/>
      <c r="D3056" s="173"/>
      <c r="E3056" s="173"/>
      <c r="F3056" s="173"/>
      <c r="G3056" s="173"/>
      <c r="H3056" s="173"/>
      <c r="I3056" s="173"/>
      <c r="J3056" s="173"/>
      <c r="K3056" s="173"/>
      <c r="L3056" s="173"/>
      <c r="M3056" s="173"/>
      <c r="N3056" s="173"/>
      <c r="O3056" s="173"/>
      <c r="P3056" s="224"/>
      <c r="Q3056" s="224"/>
      <c r="R3056" s="224"/>
      <c r="S3056" s="224"/>
    </row>
    <row r="3057" spans="1:19" s="235" customFormat="1" ht="21" x14ac:dyDescent="0.35">
      <c r="A3057" s="226" t="str">
        <f>ORÇAMENTO!A580</f>
        <v>6.1.1.6.1</v>
      </c>
      <c r="B3057" s="227" t="str">
        <f>VLOOKUP(A3057,ORÇAMENTO!A:K,4,0)</f>
        <v>DEMOLIÇÃO MANUAL DE CONCRETO ARMADO</v>
      </c>
      <c r="C3057" s="173" t="str">
        <f>VLOOKUP(A3057,ORÇAMENTO!A:K,5,0)</f>
        <v>M³</v>
      </c>
      <c r="D3057" s="173">
        <f>SUM(E3061:O3061)</f>
        <v>3.4679999999998608E-2</v>
      </c>
      <c r="E3057" s="173" t="s">
        <v>1718</v>
      </c>
      <c r="F3057" s="173" t="s">
        <v>1719</v>
      </c>
      <c r="G3057" s="173" t="s">
        <v>1720</v>
      </c>
      <c r="H3057" s="173" t="s">
        <v>1721</v>
      </c>
      <c r="I3057" s="173" t="s">
        <v>1722</v>
      </c>
      <c r="J3057" s="173" t="s">
        <v>1723</v>
      </c>
      <c r="K3057" s="173" t="s">
        <v>1758</v>
      </c>
      <c r="L3057" s="173" t="s">
        <v>1753</v>
      </c>
      <c r="M3057" s="173" t="s">
        <v>1750</v>
      </c>
      <c r="N3057" s="173" t="s">
        <v>1727</v>
      </c>
      <c r="O3057" s="173" t="s">
        <v>1728</v>
      </c>
      <c r="P3057" s="224"/>
      <c r="Q3057" s="224"/>
      <c r="R3057" s="224"/>
      <c r="S3057" s="224"/>
    </row>
    <row r="3058" spans="1:19" s="225" customFormat="1" ht="10.5" x14ac:dyDescent="0.25">
      <c r="A3058" s="229"/>
      <c r="B3058" s="230"/>
      <c r="C3058" s="177"/>
      <c r="D3058" s="178"/>
      <c r="E3058" s="178"/>
      <c r="F3058" s="178"/>
      <c r="G3058" s="178"/>
      <c r="H3058" s="178"/>
      <c r="I3058" s="178"/>
      <c r="J3058" s="178"/>
      <c r="K3058" s="178"/>
      <c r="L3058" s="190"/>
      <c r="M3058" s="178"/>
      <c r="N3058" s="178"/>
      <c r="O3058" s="178"/>
      <c r="P3058" s="231"/>
      <c r="Q3058" s="224"/>
    </row>
    <row r="3059" spans="1:19" s="225" customFormat="1" ht="21" x14ac:dyDescent="0.25">
      <c r="A3059" s="229"/>
      <c r="B3059" s="230" t="s">
        <v>1764</v>
      </c>
      <c r="C3059" s="177"/>
      <c r="D3059" s="178"/>
      <c r="E3059" s="178"/>
      <c r="F3059" s="178"/>
      <c r="G3059" s="178"/>
      <c r="H3059" s="178"/>
      <c r="I3059" s="178"/>
      <c r="J3059" s="178"/>
      <c r="K3059" s="178"/>
      <c r="L3059" s="190"/>
      <c r="M3059" s="178"/>
      <c r="N3059" s="178"/>
      <c r="O3059" s="178">
        <f>QUANTBL!CS246</f>
        <v>3.4679999999998608E-2</v>
      </c>
      <c r="P3059" s="231"/>
      <c r="Q3059" s="224"/>
    </row>
    <row r="3060" spans="1:19" s="225" customFormat="1" ht="10.5" x14ac:dyDescent="0.25">
      <c r="A3060" s="229"/>
      <c r="B3060" s="230"/>
      <c r="C3060" s="177"/>
      <c r="D3060" s="178"/>
      <c r="E3060" s="178"/>
      <c r="F3060" s="178"/>
      <c r="G3060" s="178"/>
      <c r="H3060" s="178"/>
      <c r="I3060" s="178"/>
      <c r="J3060" s="178"/>
      <c r="K3060" s="178"/>
      <c r="L3060" s="190"/>
      <c r="M3060" s="178"/>
      <c r="N3060" s="178"/>
      <c r="O3060" s="178"/>
      <c r="P3060" s="231"/>
      <c r="Q3060" s="224"/>
    </row>
    <row r="3061" spans="1:19" s="225" customFormat="1" ht="10.5" x14ac:dyDescent="0.25">
      <c r="A3061" s="229"/>
      <c r="B3061" s="232" t="s">
        <v>5</v>
      </c>
      <c r="C3061" s="182" t="s">
        <v>1328</v>
      </c>
      <c r="D3061" s="182"/>
      <c r="E3061" s="182"/>
      <c r="F3061" s="182"/>
      <c r="G3061" s="182"/>
      <c r="H3061" s="182"/>
      <c r="I3061" s="182"/>
      <c r="J3061" s="182"/>
      <c r="K3061" s="182"/>
      <c r="L3061" s="182"/>
      <c r="M3061" s="182"/>
      <c r="N3061" s="182"/>
      <c r="O3061" s="182">
        <f>SUM(O3059)</f>
        <v>3.4679999999998608E-2</v>
      </c>
      <c r="P3061" s="233"/>
      <c r="Q3061" s="224"/>
    </row>
    <row r="3062" spans="1:19" s="235" customFormat="1" ht="31.5" x14ac:dyDescent="0.35">
      <c r="A3062" s="226" t="str">
        <f>ORÇAMENTO!A581</f>
        <v>6.1.1.6.2</v>
      </c>
      <c r="B3062" s="227" t="str">
        <f>VLOOKUP(A3062,ORÇAMENTO!A:K,4,0)</f>
        <v>DEMOLIÇÃO DE ALVENARIA DE BLOCO FURADO, DE FORMA MANUAL, SEM REAPROVEITAMENTO. AF_09/2023</v>
      </c>
      <c r="C3062" s="173" t="str">
        <f>VLOOKUP(A3062,ORÇAMENTO!A:K,5,0)</f>
        <v>M³</v>
      </c>
      <c r="D3062" s="173">
        <f>SUM(E3066:O3066)</f>
        <v>0.65999999999996251</v>
      </c>
      <c r="E3062" s="173" t="s">
        <v>1718</v>
      </c>
      <c r="F3062" s="173" t="s">
        <v>1719</v>
      </c>
      <c r="G3062" s="173" t="s">
        <v>1720</v>
      </c>
      <c r="H3062" s="173" t="s">
        <v>1721</v>
      </c>
      <c r="I3062" s="173" t="s">
        <v>1722</v>
      </c>
      <c r="J3062" s="173" t="s">
        <v>1723</v>
      </c>
      <c r="K3062" s="173" t="s">
        <v>1758</v>
      </c>
      <c r="L3062" s="173" t="s">
        <v>1753</v>
      </c>
      <c r="M3062" s="173" t="s">
        <v>1750</v>
      </c>
      <c r="N3062" s="173" t="s">
        <v>1727</v>
      </c>
      <c r="O3062" s="173" t="s">
        <v>1728</v>
      </c>
      <c r="P3062" s="224"/>
      <c r="Q3062" s="224"/>
      <c r="R3062" s="224"/>
      <c r="S3062" s="224"/>
    </row>
    <row r="3063" spans="1:19" s="225" customFormat="1" ht="10.5" x14ac:dyDescent="0.25">
      <c r="A3063" s="229"/>
      <c r="B3063" s="230"/>
      <c r="C3063" s="177"/>
      <c r="D3063" s="178"/>
      <c r="E3063" s="178"/>
      <c r="F3063" s="178"/>
      <c r="G3063" s="178"/>
      <c r="H3063" s="178"/>
      <c r="I3063" s="178"/>
      <c r="J3063" s="178"/>
      <c r="K3063" s="178"/>
      <c r="L3063" s="190"/>
      <c r="M3063" s="178"/>
      <c r="N3063" s="178"/>
      <c r="O3063" s="178"/>
      <c r="P3063" s="231"/>
      <c r="Q3063" s="224"/>
    </row>
    <row r="3064" spans="1:19" s="225" customFormat="1" ht="21" x14ac:dyDescent="0.25">
      <c r="A3064" s="229"/>
      <c r="B3064" s="230" t="s">
        <v>1765</v>
      </c>
      <c r="C3064" s="177"/>
      <c r="D3064" s="178"/>
      <c r="E3064" s="178"/>
      <c r="F3064" s="178"/>
      <c r="G3064" s="178"/>
      <c r="H3064" s="178"/>
      <c r="I3064" s="178"/>
      <c r="J3064" s="178"/>
      <c r="K3064" s="178"/>
      <c r="L3064" s="190"/>
      <c r="M3064" s="178"/>
      <c r="N3064" s="178"/>
      <c r="O3064" s="178">
        <f>QUANTBL!CR246</f>
        <v>0.65999999999996251</v>
      </c>
      <c r="P3064" s="231"/>
      <c r="Q3064" s="224"/>
    </row>
    <row r="3065" spans="1:19" s="225" customFormat="1" ht="10.5" x14ac:dyDescent="0.25">
      <c r="A3065" s="229"/>
      <c r="B3065" s="230"/>
      <c r="C3065" s="177"/>
      <c r="D3065" s="178"/>
      <c r="E3065" s="178"/>
      <c r="F3065" s="178"/>
      <c r="G3065" s="178"/>
      <c r="H3065" s="178"/>
      <c r="I3065" s="178"/>
      <c r="J3065" s="178"/>
      <c r="K3065" s="178"/>
      <c r="L3065" s="190"/>
      <c r="M3065" s="178"/>
      <c r="N3065" s="178"/>
      <c r="O3065" s="178"/>
      <c r="P3065" s="231"/>
      <c r="Q3065" s="224"/>
    </row>
    <row r="3066" spans="1:19" s="225" customFormat="1" ht="10.5" x14ac:dyDescent="0.25">
      <c r="A3066" s="229"/>
      <c r="B3066" s="232" t="s">
        <v>5</v>
      </c>
      <c r="C3066" s="182" t="s">
        <v>1328</v>
      </c>
      <c r="D3066" s="182"/>
      <c r="E3066" s="182"/>
      <c r="F3066" s="182"/>
      <c r="G3066" s="182"/>
      <c r="H3066" s="182"/>
      <c r="I3066" s="182"/>
      <c r="J3066" s="182"/>
      <c r="K3066" s="182"/>
      <c r="L3066" s="182"/>
      <c r="M3066" s="182"/>
      <c r="N3066" s="182"/>
      <c r="O3066" s="182">
        <f>SUM(O3064)</f>
        <v>0.65999999999996251</v>
      </c>
      <c r="P3066" s="233"/>
      <c r="Q3066" s="224"/>
    </row>
    <row r="3067" spans="1:19" s="235" customFormat="1" ht="52.5" x14ac:dyDescent="0.35">
      <c r="A3067" s="226" t="str">
        <f>ORÇAMENTO!A582</f>
        <v>6.1.1.6.3</v>
      </c>
      <c r="B3067" s="227" t="str">
        <f>VLOOKUP(A3067,ORÇAMENTO!A:K,4,0)</f>
        <v>CARGA, MANOBRA E DESCARGA DE ENTULHO EM CAMINHÃO BASCULANTE 14 M³ - CARGA COM ESCAVADEIRA HIDRÁULICA  (CAÇAMBA DE 0,80 M³ / 111 HP) E DESCARGA LIVRE (UNIDADE: M3). AF_07/2020</v>
      </c>
      <c r="C3067" s="173" t="str">
        <f>VLOOKUP(A3067,ORÇAMENTO!A:K,5,0)</f>
        <v>M³</v>
      </c>
      <c r="D3067" s="173">
        <f>SUM(E3072:O3072)</f>
        <v>0.69467999999996111</v>
      </c>
      <c r="E3067" s="173" t="s">
        <v>1718</v>
      </c>
      <c r="F3067" s="173" t="s">
        <v>1719</v>
      </c>
      <c r="G3067" s="173" t="s">
        <v>1720</v>
      </c>
      <c r="H3067" s="173" t="s">
        <v>1721</v>
      </c>
      <c r="I3067" s="173" t="s">
        <v>1722</v>
      </c>
      <c r="J3067" s="173" t="s">
        <v>1723</v>
      </c>
      <c r="K3067" s="173" t="s">
        <v>1758</v>
      </c>
      <c r="L3067" s="173" t="s">
        <v>1753</v>
      </c>
      <c r="M3067" s="173" t="s">
        <v>1750</v>
      </c>
      <c r="N3067" s="173" t="s">
        <v>1727</v>
      </c>
      <c r="O3067" s="173" t="s">
        <v>1728</v>
      </c>
      <c r="P3067" s="224"/>
      <c r="Q3067" s="224"/>
      <c r="R3067" s="224"/>
      <c r="S3067" s="224"/>
    </row>
    <row r="3068" spans="1:19" s="225" customFormat="1" ht="10.5" x14ac:dyDescent="0.25">
      <c r="A3068" s="229"/>
      <c r="B3068" s="230"/>
      <c r="C3068" s="177"/>
      <c r="D3068" s="178"/>
      <c r="E3068" s="178"/>
      <c r="F3068" s="178"/>
      <c r="G3068" s="178"/>
      <c r="H3068" s="178"/>
      <c r="I3068" s="178"/>
      <c r="J3068" s="178"/>
      <c r="K3068" s="178"/>
      <c r="L3068" s="190"/>
      <c r="M3068" s="178"/>
      <c r="N3068" s="178"/>
      <c r="O3068" s="178"/>
      <c r="P3068" s="231"/>
      <c r="Q3068" s="224"/>
    </row>
    <row r="3069" spans="1:19" s="225" customFormat="1" ht="10.5" x14ac:dyDescent="0.25">
      <c r="A3069" s="229"/>
      <c r="B3069" s="230" t="s">
        <v>1766</v>
      </c>
      <c r="C3069" s="177"/>
      <c r="D3069" s="178"/>
      <c r="E3069" s="178"/>
      <c r="F3069" s="178"/>
      <c r="G3069" s="178"/>
      <c r="H3069" s="178"/>
      <c r="I3069" s="178"/>
      <c r="J3069" s="178"/>
      <c r="K3069" s="178"/>
      <c r="L3069" s="190"/>
      <c r="M3069" s="178"/>
      <c r="N3069" s="178"/>
      <c r="O3069" s="178">
        <f>O3059</f>
        <v>3.4679999999998608E-2</v>
      </c>
      <c r="P3069" s="231"/>
      <c r="Q3069" s="224"/>
    </row>
    <row r="3070" spans="1:19" s="225" customFormat="1" ht="10.5" x14ac:dyDescent="0.25">
      <c r="A3070" s="229"/>
      <c r="B3070" s="230" t="s">
        <v>1767</v>
      </c>
      <c r="C3070" s="177"/>
      <c r="D3070" s="178"/>
      <c r="E3070" s="178"/>
      <c r="F3070" s="178"/>
      <c r="G3070" s="178"/>
      <c r="H3070" s="178"/>
      <c r="I3070" s="178"/>
      <c r="J3070" s="178"/>
      <c r="K3070" s="178"/>
      <c r="L3070" s="190"/>
      <c r="M3070" s="178"/>
      <c r="N3070" s="178"/>
      <c r="O3070" s="178">
        <f>O3064</f>
        <v>0.65999999999996251</v>
      </c>
      <c r="P3070" s="231"/>
      <c r="Q3070" s="224"/>
    </row>
    <row r="3071" spans="1:19" s="225" customFormat="1" ht="10.5" x14ac:dyDescent="0.25">
      <c r="A3071" s="229"/>
      <c r="B3071" s="230"/>
      <c r="C3071" s="177"/>
      <c r="D3071" s="178"/>
      <c r="E3071" s="178"/>
      <c r="F3071" s="178"/>
      <c r="G3071" s="178"/>
      <c r="H3071" s="178"/>
      <c r="I3071" s="178"/>
      <c r="J3071" s="178"/>
      <c r="K3071" s="178"/>
      <c r="L3071" s="190"/>
      <c r="M3071" s="178"/>
      <c r="N3071" s="178"/>
      <c r="O3071" s="178"/>
      <c r="P3071" s="231"/>
      <c r="Q3071" s="224"/>
    </row>
    <row r="3072" spans="1:19" s="225" customFormat="1" ht="10.5" x14ac:dyDescent="0.25">
      <c r="A3072" s="229"/>
      <c r="B3072" s="232" t="s">
        <v>5</v>
      </c>
      <c r="C3072" s="182" t="s">
        <v>1328</v>
      </c>
      <c r="D3072" s="182"/>
      <c r="E3072" s="182"/>
      <c r="F3072" s="182"/>
      <c r="G3072" s="182"/>
      <c r="H3072" s="182"/>
      <c r="I3072" s="182"/>
      <c r="J3072" s="182"/>
      <c r="K3072" s="182"/>
      <c r="L3072" s="182"/>
      <c r="M3072" s="182"/>
      <c r="N3072" s="182"/>
      <c r="O3072" s="182">
        <f>SUM(O3069:O3071)</f>
        <v>0.69467999999996111</v>
      </c>
      <c r="P3072" s="233"/>
      <c r="Q3072" s="224"/>
    </row>
    <row r="3073" spans="1:19" s="235" customFormat="1" ht="31.5" x14ac:dyDescent="0.35">
      <c r="A3073" s="226" t="str">
        <f>ORÇAMENTO!A583</f>
        <v>6.1.1.6.4</v>
      </c>
      <c r="B3073" s="227" t="str">
        <f>VLOOKUP(A3073,ORÇAMENTO!A:K,4,0)</f>
        <v>TRANSPORTE COM CAMINHÃO BASCULANTE DE 14 M³, EM VIA URBANA PAVIMENTADA, DMT ATÉ 30 KM (UNIDADE: M3XKM). AF_07/2020</v>
      </c>
      <c r="C3073" s="173" t="str">
        <f>VLOOKUP(A3073,ORÇAMENTO!A:K,5,0)</f>
        <v>M3XKM</v>
      </c>
      <c r="D3073" s="173">
        <f>SUM(E3077:O3077)</f>
        <v>20.840399999998834</v>
      </c>
      <c r="E3073" s="173" t="s">
        <v>1718</v>
      </c>
      <c r="F3073" s="173" t="s">
        <v>1719</v>
      </c>
      <c r="G3073" s="173" t="s">
        <v>1720</v>
      </c>
      <c r="H3073" s="173" t="s">
        <v>1721</v>
      </c>
      <c r="I3073" s="173" t="s">
        <v>1722</v>
      </c>
      <c r="J3073" s="173" t="s">
        <v>1723</v>
      </c>
      <c r="K3073" s="173" t="s">
        <v>1758</v>
      </c>
      <c r="L3073" s="173" t="s">
        <v>1753</v>
      </c>
      <c r="M3073" s="173" t="s">
        <v>1750</v>
      </c>
      <c r="N3073" s="173" t="s">
        <v>1727</v>
      </c>
      <c r="O3073" s="173" t="s">
        <v>1728</v>
      </c>
      <c r="P3073" s="224"/>
      <c r="Q3073" s="224"/>
      <c r="R3073" s="224"/>
      <c r="S3073" s="224"/>
    </row>
    <row r="3074" spans="1:19" s="225" customFormat="1" ht="10.5" x14ac:dyDescent="0.25">
      <c r="A3074" s="229"/>
      <c r="B3074" s="230"/>
      <c r="C3074" s="177"/>
      <c r="D3074" s="178"/>
      <c r="E3074" s="178"/>
      <c r="F3074" s="178"/>
      <c r="G3074" s="178"/>
      <c r="H3074" s="178"/>
      <c r="I3074" s="178"/>
      <c r="J3074" s="178"/>
      <c r="K3074" s="178"/>
      <c r="L3074" s="190"/>
      <c r="M3074" s="178"/>
      <c r="N3074" s="178"/>
      <c r="O3074" s="178"/>
      <c r="P3074" s="231"/>
      <c r="Q3074" s="224"/>
    </row>
    <row r="3075" spans="1:19" s="225" customFormat="1" ht="10.5" x14ac:dyDescent="0.25">
      <c r="A3075" s="229"/>
      <c r="B3075" s="230" t="s">
        <v>1751</v>
      </c>
      <c r="C3075" s="184"/>
      <c r="D3075" s="185"/>
      <c r="E3075" s="185">
        <v>30</v>
      </c>
      <c r="F3075" s="178"/>
      <c r="G3075" s="178"/>
      <c r="H3075" s="178"/>
      <c r="I3075" s="178"/>
      <c r="J3075" s="178"/>
      <c r="K3075" s="178"/>
      <c r="L3075" s="190"/>
      <c r="M3075" s="185">
        <f>O3075*E3075</f>
        <v>20.840399999998834</v>
      </c>
      <c r="N3075" s="178"/>
      <c r="O3075" s="178">
        <f>O3072</f>
        <v>0.69467999999996111</v>
      </c>
      <c r="P3075" s="231"/>
      <c r="Q3075" s="224"/>
    </row>
    <row r="3076" spans="1:19" s="225" customFormat="1" ht="10.5" x14ac:dyDescent="0.25">
      <c r="A3076" s="229"/>
      <c r="B3076" s="230"/>
      <c r="C3076" s="177"/>
      <c r="D3076" s="178"/>
      <c r="E3076" s="178"/>
      <c r="F3076" s="178"/>
      <c r="G3076" s="178"/>
      <c r="H3076" s="178"/>
      <c r="I3076" s="178"/>
      <c r="J3076" s="178"/>
      <c r="K3076" s="178"/>
      <c r="L3076" s="190"/>
      <c r="M3076" s="185"/>
      <c r="N3076" s="178"/>
      <c r="O3076" s="178"/>
      <c r="P3076" s="231"/>
      <c r="Q3076" s="224"/>
    </row>
    <row r="3077" spans="1:19" s="225" customFormat="1" ht="10.5" x14ac:dyDescent="0.25">
      <c r="A3077" s="229"/>
      <c r="B3077" s="232" t="s">
        <v>5</v>
      </c>
      <c r="C3077" s="182" t="s">
        <v>1328</v>
      </c>
      <c r="D3077" s="182"/>
      <c r="E3077" s="182"/>
      <c r="F3077" s="182"/>
      <c r="G3077" s="182"/>
      <c r="H3077" s="182"/>
      <c r="I3077" s="182"/>
      <c r="J3077" s="182"/>
      <c r="K3077" s="182"/>
      <c r="L3077" s="182"/>
      <c r="M3077" s="182">
        <f>SUM(M3075:M3076)</f>
        <v>20.840399999998834</v>
      </c>
      <c r="N3077" s="182"/>
      <c r="O3077" s="182"/>
      <c r="P3077" s="233"/>
      <c r="Q3077" s="224"/>
    </row>
    <row r="3078" spans="1:19" s="235" customFormat="1" ht="42" x14ac:dyDescent="0.35">
      <c r="A3078" s="226" t="str">
        <f>ORÇAMENTO!A584</f>
        <v>6.1.1.6.5</v>
      </c>
      <c r="B3078" s="227" t="str">
        <f>VLOOKUP(A3078,ORÇAMENTO!A:K,4,0)</f>
        <v>TRANSPORTE COM CAMINHÃO BASCULANTE DE 14 M³, EM VIA URBANA PAVIMENTADA, ADICIONAL PARA DMT EXCEDENTE A 30 KM (UNIDADE: M3XKM). AF_07/2020</v>
      </c>
      <c r="C3078" s="173" t="str">
        <f>VLOOKUP(A3078,ORÇAMENTO!A:K,5,0)</f>
        <v>M3XKM</v>
      </c>
      <c r="D3078" s="173">
        <f>SUM(E3082:O3082)</f>
        <v>31.121663999998255</v>
      </c>
      <c r="E3078" s="173" t="s">
        <v>1718</v>
      </c>
      <c r="F3078" s="173" t="s">
        <v>1719</v>
      </c>
      <c r="G3078" s="173" t="s">
        <v>1720</v>
      </c>
      <c r="H3078" s="173" t="s">
        <v>1721</v>
      </c>
      <c r="I3078" s="173" t="s">
        <v>1722</v>
      </c>
      <c r="J3078" s="173" t="s">
        <v>1723</v>
      </c>
      <c r="K3078" s="173" t="s">
        <v>1758</v>
      </c>
      <c r="L3078" s="173" t="s">
        <v>1753</v>
      </c>
      <c r="M3078" s="173" t="s">
        <v>1750</v>
      </c>
      <c r="N3078" s="173" t="s">
        <v>1727</v>
      </c>
      <c r="O3078" s="173" t="s">
        <v>1728</v>
      </c>
      <c r="P3078" s="224"/>
      <c r="Q3078" s="224"/>
      <c r="R3078" s="224"/>
      <c r="S3078" s="224"/>
    </row>
    <row r="3079" spans="1:19" s="225" customFormat="1" ht="10.5" x14ac:dyDescent="0.25">
      <c r="A3079" s="229"/>
      <c r="B3079" s="230"/>
      <c r="C3079" s="177"/>
      <c r="D3079" s="178"/>
      <c r="E3079" s="178"/>
      <c r="F3079" s="178"/>
      <c r="G3079" s="178"/>
      <c r="H3079" s="178"/>
      <c r="I3079" s="178"/>
      <c r="J3079" s="178"/>
      <c r="K3079" s="178"/>
      <c r="L3079" s="190"/>
      <c r="M3079" s="178"/>
      <c r="N3079" s="178"/>
      <c r="O3079" s="178"/>
      <c r="P3079" s="231"/>
      <c r="Q3079" s="224"/>
    </row>
    <row r="3080" spans="1:19" s="225" customFormat="1" ht="10.5" x14ac:dyDescent="0.25">
      <c r="A3080" s="229"/>
      <c r="B3080" s="230" t="s">
        <v>1751</v>
      </c>
      <c r="C3080" s="177"/>
      <c r="D3080" s="178"/>
      <c r="E3080" s="178">
        <f>74.8-E3075</f>
        <v>44.8</v>
      </c>
      <c r="F3080" s="178"/>
      <c r="G3080" s="178"/>
      <c r="H3080" s="178"/>
      <c r="I3080" s="178"/>
      <c r="J3080" s="178"/>
      <c r="K3080" s="178"/>
      <c r="L3080" s="190"/>
      <c r="M3080" s="185">
        <f>O3080*E3080</f>
        <v>31.121663999998255</v>
      </c>
      <c r="N3080" s="178"/>
      <c r="O3080" s="178">
        <f>O3075</f>
        <v>0.69467999999996111</v>
      </c>
      <c r="P3080" s="231"/>
      <c r="Q3080" s="224"/>
    </row>
    <row r="3081" spans="1:19" s="225" customFormat="1" ht="10.5" x14ac:dyDescent="0.25">
      <c r="A3081" s="229"/>
      <c r="B3081" s="230"/>
      <c r="C3081" s="177"/>
      <c r="D3081" s="178"/>
      <c r="E3081" s="178"/>
      <c r="F3081" s="178"/>
      <c r="G3081" s="178"/>
      <c r="H3081" s="178"/>
      <c r="I3081" s="178"/>
      <c r="J3081" s="178"/>
      <c r="K3081" s="178"/>
      <c r="L3081" s="190"/>
      <c r="M3081" s="185"/>
      <c r="N3081" s="178"/>
      <c r="O3081" s="178"/>
      <c r="P3081" s="231"/>
      <c r="Q3081" s="224"/>
    </row>
    <row r="3082" spans="1:19" s="225" customFormat="1" ht="10.5" x14ac:dyDescent="0.25">
      <c r="A3082" s="229"/>
      <c r="B3082" s="232" t="s">
        <v>5</v>
      </c>
      <c r="C3082" s="182" t="s">
        <v>1328</v>
      </c>
      <c r="D3082" s="182"/>
      <c r="E3082" s="182"/>
      <c r="F3082" s="182"/>
      <c r="G3082" s="182"/>
      <c r="H3082" s="182"/>
      <c r="I3082" s="182"/>
      <c r="J3082" s="182"/>
      <c r="K3082" s="182"/>
      <c r="L3082" s="182"/>
      <c r="M3082" s="182">
        <f>SUM(M3080:M3081)</f>
        <v>31.121663999998255</v>
      </c>
      <c r="N3082" s="182"/>
      <c r="O3082" s="182"/>
      <c r="P3082" s="233"/>
      <c r="Q3082" s="224"/>
    </row>
    <row r="3083" spans="1:19" s="235" customFormat="1" x14ac:dyDescent="0.35">
      <c r="A3083" s="226" t="str">
        <f>ORÇAMENTO!A585</f>
        <v>6.1.1.7</v>
      </c>
      <c r="B3083" s="227" t="s">
        <v>920</v>
      </c>
      <c r="C3083" s="173"/>
      <c r="D3083" s="173"/>
      <c r="E3083" s="173"/>
      <c r="F3083" s="173"/>
      <c r="G3083" s="173"/>
      <c r="H3083" s="173"/>
      <c r="I3083" s="173"/>
      <c r="J3083" s="173"/>
      <c r="K3083" s="173"/>
      <c r="L3083" s="173"/>
      <c r="M3083" s="173"/>
      <c r="N3083" s="173"/>
      <c r="O3083" s="173"/>
      <c r="P3083" s="224"/>
      <c r="Q3083" s="224"/>
      <c r="R3083" s="224"/>
      <c r="S3083" s="224"/>
    </row>
    <row r="3084" spans="1:19" s="235" customFormat="1" ht="31.5" x14ac:dyDescent="0.35">
      <c r="A3084" s="226" t="str">
        <f>ORÇAMENTO!A586</f>
        <v>6.1.1.7.1</v>
      </c>
      <c r="B3084" s="227" t="str">
        <f>VLOOKUP(A3084,ORÇAMENTO!A:K,4,0)</f>
        <v>DEMOLIÇÃO DE ALVENARIA DE BLOCO FURADO, DE FORMA MANUAL, SEM REAPROVEITAMENTO. AF_09/2023</v>
      </c>
      <c r="C3084" s="173" t="str">
        <f>VLOOKUP(A3084,ORÇAMENTO!A:K,5,0)</f>
        <v>M³</v>
      </c>
      <c r="D3084" s="173">
        <f>SUM(E3088:O3088)</f>
        <v>56.769999999999953</v>
      </c>
      <c r="E3084" s="173" t="s">
        <v>1718</v>
      </c>
      <c r="F3084" s="173" t="s">
        <v>1719</v>
      </c>
      <c r="G3084" s="173" t="s">
        <v>1720</v>
      </c>
      <c r="H3084" s="173" t="s">
        <v>1721</v>
      </c>
      <c r="I3084" s="173" t="s">
        <v>1722</v>
      </c>
      <c r="J3084" s="173" t="s">
        <v>1723</v>
      </c>
      <c r="K3084" s="173" t="s">
        <v>1758</v>
      </c>
      <c r="L3084" s="173" t="s">
        <v>1753</v>
      </c>
      <c r="M3084" s="173" t="s">
        <v>1750</v>
      </c>
      <c r="N3084" s="173" t="s">
        <v>1727</v>
      </c>
      <c r="O3084" s="173" t="s">
        <v>1728</v>
      </c>
      <c r="P3084" s="224"/>
      <c r="Q3084" s="224"/>
      <c r="R3084" s="224"/>
      <c r="S3084" s="224"/>
    </row>
    <row r="3085" spans="1:19" s="225" customFormat="1" ht="10.5" x14ac:dyDescent="0.25">
      <c r="A3085" s="229"/>
      <c r="B3085" s="230"/>
      <c r="C3085" s="177"/>
      <c r="D3085" s="178"/>
      <c r="E3085" s="178"/>
      <c r="F3085" s="178"/>
      <c r="G3085" s="178"/>
      <c r="H3085" s="178"/>
      <c r="I3085" s="178"/>
      <c r="J3085" s="178"/>
      <c r="K3085" s="178"/>
      <c r="L3085" s="190"/>
      <c r="M3085" s="178"/>
      <c r="N3085" s="178"/>
      <c r="O3085" s="178"/>
      <c r="P3085" s="231"/>
      <c r="Q3085" s="224"/>
    </row>
    <row r="3086" spans="1:19" s="225" customFormat="1" ht="10.5" x14ac:dyDescent="0.25">
      <c r="A3086" s="229"/>
      <c r="B3086" s="230" t="s">
        <v>1891</v>
      </c>
      <c r="C3086" s="177"/>
      <c r="D3086" s="178"/>
      <c r="E3086" s="178"/>
      <c r="F3086" s="178"/>
      <c r="G3086" s="178"/>
      <c r="H3086" s="178"/>
      <c r="I3086" s="178"/>
      <c r="J3086" s="178"/>
      <c r="K3086" s="178"/>
      <c r="L3086" s="190"/>
      <c r="M3086" s="178"/>
      <c r="N3086" s="178"/>
      <c r="O3086" s="178">
        <f>QUANTBL!CY246</f>
        <v>56.769999999999953</v>
      </c>
      <c r="P3086" s="231"/>
      <c r="Q3086" s="224"/>
    </row>
    <row r="3087" spans="1:19" s="225" customFormat="1" ht="10.5" x14ac:dyDescent="0.25">
      <c r="A3087" s="229"/>
      <c r="B3087" s="230"/>
      <c r="C3087" s="177"/>
      <c r="D3087" s="178"/>
      <c r="E3087" s="178"/>
      <c r="F3087" s="178"/>
      <c r="G3087" s="178"/>
      <c r="H3087" s="178"/>
      <c r="I3087" s="178"/>
      <c r="J3087" s="178"/>
      <c r="K3087" s="178"/>
      <c r="L3087" s="190"/>
      <c r="M3087" s="178"/>
      <c r="N3087" s="178"/>
      <c r="O3087" s="178"/>
      <c r="P3087" s="231"/>
      <c r="Q3087" s="224"/>
    </row>
    <row r="3088" spans="1:19" s="225" customFormat="1" ht="10.5" x14ac:dyDescent="0.25">
      <c r="A3088" s="229"/>
      <c r="B3088" s="232" t="s">
        <v>5</v>
      </c>
      <c r="C3088" s="182" t="s">
        <v>1328</v>
      </c>
      <c r="D3088" s="182"/>
      <c r="E3088" s="182"/>
      <c r="F3088" s="182"/>
      <c r="G3088" s="182"/>
      <c r="H3088" s="182"/>
      <c r="I3088" s="182"/>
      <c r="J3088" s="182"/>
      <c r="K3088" s="182"/>
      <c r="L3088" s="182"/>
      <c r="M3088" s="182"/>
      <c r="N3088" s="182"/>
      <c r="O3088" s="182">
        <f>SUM(O3086)</f>
        <v>56.769999999999953</v>
      </c>
      <c r="P3088" s="233"/>
      <c r="Q3088" s="224"/>
    </row>
    <row r="3089" spans="1:19" s="235" customFormat="1" ht="52.5" x14ac:dyDescent="0.35">
      <c r="A3089" s="226" t="str">
        <f>ORÇAMENTO!A587</f>
        <v>6.1.1.7.2</v>
      </c>
      <c r="B3089" s="227" t="str">
        <f>VLOOKUP(A3089,ORÇAMENTO!A:K,4,0)</f>
        <v>CARGA, MANOBRA E DESCARGA DE ENTULHO EM CAMINHÃO BASCULANTE 14 M³ - CARGA COM ESCAVADEIRA HIDRÁULICA  (CAÇAMBA DE 0,80 M³ / 111 HP) E DESCARGA LIVRE (UNIDADE: M3). AF_07/2020</v>
      </c>
      <c r="C3089" s="173" t="str">
        <f>VLOOKUP(A3089,ORÇAMENTO!A:K,5,0)</f>
        <v>M³</v>
      </c>
      <c r="D3089" s="173">
        <f>SUM(E3093:O3093)</f>
        <v>56.769999999999953</v>
      </c>
      <c r="E3089" s="173" t="s">
        <v>1718</v>
      </c>
      <c r="F3089" s="173" t="s">
        <v>1719</v>
      </c>
      <c r="G3089" s="173" t="s">
        <v>1720</v>
      </c>
      <c r="H3089" s="173" t="s">
        <v>1721</v>
      </c>
      <c r="I3089" s="173" t="s">
        <v>1722</v>
      </c>
      <c r="J3089" s="173" t="s">
        <v>1723</v>
      </c>
      <c r="K3089" s="173" t="s">
        <v>1758</v>
      </c>
      <c r="L3089" s="173" t="s">
        <v>1753</v>
      </c>
      <c r="M3089" s="173" t="s">
        <v>1750</v>
      </c>
      <c r="N3089" s="173" t="s">
        <v>1727</v>
      </c>
      <c r="O3089" s="173" t="s">
        <v>1728</v>
      </c>
      <c r="P3089" s="224"/>
      <c r="Q3089" s="224"/>
      <c r="R3089" s="224"/>
      <c r="S3089" s="224"/>
    </row>
    <row r="3090" spans="1:19" s="225" customFormat="1" ht="10.5" x14ac:dyDescent="0.25">
      <c r="A3090" s="229"/>
      <c r="B3090" s="230"/>
      <c r="C3090" s="177"/>
      <c r="D3090" s="178"/>
      <c r="E3090" s="178"/>
      <c r="F3090" s="178"/>
      <c r="G3090" s="178"/>
      <c r="H3090" s="178"/>
      <c r="I3090" s="178"/>
      <c r="J3090" s="178"/>
      <c r="K3090" s="178"/>
      <c r="L3090" s="190"/>
      <c r="M3090" s="178"/>
      <c r="N3090" s="178"/>
      <c r="O3090" s="178"/>
      <c r="P3090" s="231"/>
      <c r="Q3090" s="224"/>
    </row>
    <row r="3091" spans="1:19" s="225" customFormat="1" ht="10.5" x14ac:dyDescent="0.25">
      <c r="A3091" s="229"/>
      <c r="B3091" s="230" t="s">
        <v>1767</v>
      </c>
      <c r="C3091" s="177"/>
      <c r="D3091" s="178"/>
      <c r="E3091" s="178"/>
      <c r="F3091" s="178"/>
      <c r="G3091" s="178"/>
      <c r="H3091" s="178"/>
      <c r="I3091" s="178"/>
      <c r="J3091" s="178"/>
      <c r="K3091" s="178"/>
      <c r="L3091" s="190"/>
      <c r="M3091" s="178"/>
      <c r="N3091" s="178"/>
      <c r="O3091" s="178">
        <f>O3086</f>
        <v>56.769999999999953</v>
      </c>
      <c r="P3091" s="231"/>
      <c r="Q3091" s="224"/>
    </row>
    <row r="3092" spans="1:19" s="225" customFormat="1" ht="10.5" x14ac:dyDescent="0.25">
      <c r="A3092" s="229"/>
      <c r="B3092" s="230"/>
      <c r="C3092" s="177"/>
      <c r="D3092" s="178"/>
      <c r="E3092" s="178"/>
      <c r="F3092" s="178"/>
      <c r="G3092" s="178"/>
      <c r="H3092" s="178"/>
      <c r="I3092" s="178"/>
      <c r="J3092" s="178"/>
      <c r="K3092" s="178"/>
      <c r="L3092" s="190"/>
      <c r="M3092" s="178"/>
      <c r="N3092" s="178"/>
      <c r="O3092" s="178"/>
      <c r="P3092" s="231"/>
      <c r="Q3092" s="224"/>
    </row>
    <row r="3093" spans="1:19" s="225" customFormat="1" ht="10.5" x14ac:dyDescent="0.25">
      <c r="A3093" s="229"/>
      <c r="B3093" s="232" t="s">
        <v>5</v>
      </c>
      <c r="C3093" s="182" t="s">
        <v>1328</v>
      </c>
      <c r="D3093" s="182"/>
      <c r="E3093" s="182"/>
      <c r="F3093" s="182"/>
      <c r="G3093" s="182"/>
      <c r="H3093" s="182"/>
      <c r="I3093" s="182"/>
      <c r="J3093" s="182"/>
      <c r="K3093" s="182"/>
      <c r="L3093" s="182"/>
      <c r="M3093" s="182"/>
      <c r="N3093" s="182"/>
      <c r="O3093" s="182">
        <f>SUM(O3091:O3092)</f>
        <v>56.769999999999953</v>
      </c>
      <c r="P3093" s="233"/>
      <c r="Q3093" s="224"/>
    </row>
    <row r="3094" spans="1:19" s="235" customFormat="1" ht="31.5" x14ac:dyDescent="0.35">
      <c r="A3094" s="226" t="str">
        <f>ORÇAMENTO!A588</f>
        <v>6.1.1.7.3</v>
      </c>
      <c r="B3094" s="227" t="str">
        <f>VLOOKUP(A3094,ORÇAMENTO!A:K,4,0)</f>
        <v>TRANSPORTE COM CAMINHÃO BASCULANTE DE 14 M³, EM VIA URBANA PAVIMENTADA, DMT ATÉ 30 KM (UNIDADE: M3XKM). AF_07/2020</v>
      </c>
      <c r="C3094" s="173" t="str">
        <f>VLOOKUP(A3094,ORÇAMENTO!A:K,5,0)</f>
        <v>M3XKM</v>
      </c>
      <c r="D3094" s="173">
        <f>SUM(E3098:O3098)</f>
        <v>1703.0999999999985</v>
      </c>
      <c r="E3094" s="173" t="s">
        <v>1718</v>
      </c>
      <c r="F3094" s="173" t="s">
        <v>1719</v>
      </c>
      <c r="G3094" s="173" t="s">
        <v>1720</v>
      </c>
      <c r="H3094" s="173" t="s">
        <v>1721</v>
      </c>
      <c r="I3094" s="173" t="s">
        <v>1722</v>
      </c>
      <c r="J3094" s="173" t="s">
        <v>1723</v>
      </c>
      <c r="K3094" s="173" t="s">
        <v>1758</v>
      </c>
      <c r="L3094" s="173" t="s">
        <v>1753</v>
      </c>
      <c r="M3094" s="173" t="s">
        <v>1750</v>
      </c>
      <c r="N3094" s="173" t="s">
        <v>1727</v>
      </c>
      <c r="O3094" s="173" t="s">
        <v>1728</v>
      </c>
      <c r="P3094" s="224"/>
      <c r="Q3094" s="224"/>
      <c r="R3094" s="224"/>
      <c r="S3094" s="224"/>
    </row>
    <row r="3095" spans="1:19" s="225" customFormat="1" ht="10.5" x14ac:dyDescent="0.25">
      <c r="A3095" s="229"/>
      <c r="B3095" s="230"/>
      <c r="C3095" s="177"/>
      <c r="D3095" s="178"/>
      <c r="E3095" s="178"/>
      <c r="F3095" s="178"/>
      <c r="G3095" s="178"/>
      <c r="H3095" s="178"/>
      <c r="I3095" s="178"/>
      <c r="J3095" s="178"/>
      <c r="K3095" s="178"/>
      <c r="L3095" s="190"/>
      <c r="M3095" s="178"/>
      <c r="N3095" s="178"/>
      <c r="O3095" s="178"/>
      <c r="P3095" s="231"/>
      <c r="Q3095" s="224"/>
    </row>
    <row r="3096" spans="1:19" s="225" customFormat="1" ht="10.5" x14ac:dyDescent="0.25">
      <c r="A3096" s="229"/>
      <c r="B3096" s="230" t="s">
        <v>1751</v>
      </c>
      <c r="C3096" s="177"/>
      <c r="D3096" s="178"/>
      <c r="E3096" s="178">
        <v>30</v>
      </c>
      <c r="F3096" s="178"/>
      <c r="G3096" s="178"/>
      <c r="H3096" s="178"/>
      <c r="I3096" s="178"/>
      <c r="J3096" s="178"/>
      <c r="K3096" s="178"/>
      <c r="L3096" s="190"/>
      <c r="M3096" s="178">
        <f>O3096*E3096</f>
        <v>1703.0999999999985</v>
      </c>
      <c r="N3096" s="178"/>
      <c r="O3096" s="178">
        <f>O3093</f>
        <v>56.769999999999953</v>
      </c>
      <c r="P3096" s="231"/>
      <c r="Q3096" s="224"/>
    </row>
    <row r="3097" spans="1:19" s="225" customFormat="1" ht="10.5" x14ac:dyDescent="0.25">
      <c r="A3097" s="229"/>
      <c r="B3097" s="230"/>
      <c r="C3097" s="177"/>
      <c r="D3097" s="178"/>
      <c r="E3097" s="178"/>
      <c r="F3097" s="178"/>
      <c r="G3097" s="178"/>
      <c r="H3097" s="178"/>
      <c r="I3097" s="178"/>
      <c r="J3097" s="178"/>
      <c r="K3097" s="178"/>
      <c r="L3097" s="190"/>
      <c r="M3097" s="178"/>
      <c r="N3097" s="178"/>
      <c r="O3097" s="178"/>
      <c r="P3097" s="231"/>
      <c r="Q3097" s="224"/>
    </row>
    <row r="3098" spans="1:19" s="225" customFormat="1" ht="10.5" x14ac:dyDescent="0.25">
      <c r="A3098" s="229"/>
      <c r="B3098" s="232" t="s">
        <v>5</v>
      </c>
      <c r="C3098" s="182" t="s">
        <v>1328</v>
      </c>
      <c r="D3098" s="182"/>
      <c r="E3098" s="182"/>
      <c r="F3098" s="182"/>
      <c r="G3098" s="182"/>
      <c r="H3098" s="182"/>
      <c r="I3098" s="182"/>
      <c r="J3098" s="182"/>
      <c r="K3098" s="182"/>
      <c r="L3098" s="182"/>
      <c r="M3098" s="182">
        <f>SUM(M3096:M3097)</f>
        <v>1703.0999999999985</v>
      </c>
      <c r="N3098" s="182"/>
      <c r="O3098" s="182"/>
      <c r="P3098" s="233"/>
      <c r="Q3098" s="224"/>
    </row>
    <row r="3099" spans="1:19" s="235" customFormat="1" ht="42" x14ac:dyDescent="0.35">
      <c r="A3099" s="226" t="str">
        <f>ORÇAMENTO!A589</f>
        <v>6.1.1.7.4</v>
      </c>
      <c r="B3099" s="227" t="str">
        <f>VLOOKUP(A3099,ORÇAMENTO!A:K,4,0)</f>
        <v>TRANSPORTE COM CAMINHÃO BASCULANTE DE 14 M³, EM VIA URBANA PAVIMENTADA, ADICIONAL PARA DMT EXCEDENTE A 30 KM (UNIDADE: M3XKM). AF_07/2020</v>
      </c>
      <c r="C3099" s="173" t="str">
        <f>VLOOKUP(A3099,ORÇAMENTO!A:K,5,0)</f>
        <v>M3XKM</v>
      </c>
      <c r="D3099" s="173">
        <f>SUM(E3103:O3103)</f>
        <v>2543.2959999999975</v>
      </c>
      <c r="E3099" s="173" t="s">
        <v>1718</v>
      </c>
      <c r="F3099" s="173" t="s">
        <v>1719</v>
      </c>
      <c r="G3099" s="173" t="s">
        <v>1720</v>
      </c>
      <c r="H3099" s="173" t="s">
        <v>1721</v>
      </c>
      <c r="I3099" s="173" t="s">
        <v>1722</v>
      </c>
      <c r="J3099" s="173" t="s">
        <v>1723</v>
      </c>
      <c r="K3099" s="173" t="s">
        <v>1758</v>
      </c>
      <c r="L3099" s="173" t="s">
        <v>1753</v>
      </c>
      <c r="M3099" s="173" t="s">
        <v>1750</v>
      </c>
      <c r="N3099" s="173" t="s">
        <v>1727</v>
      </c>
      <c r="O3099" s="173" t="s">
        <v>1728</v>
      </c>
      <c r="P3099" s="224"/>
      <c r="Q3099" s="224"/>
      <c r="R3099" s="224"/>
      <c r="S3099" s="224"/>
    </row>
    <row r="3100" spans="1:19" s="225" customFormat="1" ht="10.5" x14ac:dyDescent="0.25">
      <c r="A3100" s="229"/>
      <c r="B3100" s="230"/>
      <c r="C3100" s="177"/>
      <c r="D3100" s="178"/>
      <c r="E3100" s="178"/>
      <c r="F3100" s="178"/>
      <c r="G3100" s="178"/>
      <c r="H3100" s="178"/>
      <c r="I3100" s="178"/>
      <c r="J3100" s="178"/>
      <c r="K3100" s="178"/>
      <c r="L3100" s="190"/>
      <c r="M3100" s="178"/>
      <c r="N3100" s="178"/>
      <c r="O3100" s="178"/>
      <c r="P3100" s="231"/>
      <c r="Q3100" s="224"/>
    </row>
    <row r="3101" spans="1:19" s="225" customFormat="1" ht="10.5" x14ac:dyDescent="0.25">
      <c r="A3101" s="229"/>
      <c r="B3101" s="230" t="s">
        <v>1751</v>
      </c>
      <c r="C3101" s="177"/>
      <c r="D3101" s="178"/>
      <c r="E3101" s="178">
        <f>74.8-E3096</f>
        <v>44.8</v>
      </c>
      <c r="F3101" s="178"/>
      <c r="G3101" s="178"/>
      <c r="H3101" s="178"/>
      <c r="I3101" s="178"/>
      <c r="J3101" s="178"/>
      <c r="K3101" s="178"/>
      <c r="L3101" s="190"/>
      <c r="M3101" s="178">
        <f>O3101*E3101</f>
        <v>2543.2959999999975</v>
      </c>
      <c r="N3101" s="178"/>
      <c r="O3101" s="178">
        <f>O3096</f>
        <v>56.769999999999953</v>
      </c>
      <c r="P3101" s="231"/>
      <c r="Q3101" s="224"/>
    </row>
    <row r="3102" spans="1:19" s="225" customFormat="1" ht="10.5" x14ac:dyDescent="0.25">
      <c r="A3102" s="229"/>
      <c r="B3102" s="230"/>
      <c r="C3102" s="177"/>
      <c r="D3102" s="178"/>
      <c r="E3102" s="178"/>
      <c r="F3102" s="178"/>
      <c r="G3102" s="178"/>
      <c r="H3102" s="178"/>
      <c r="I3102" s="178"/>
      <c r="J3102" s="178"/>
      <c r="K3102" s="178"/>
      <c r="L3102" s="190"/>
      <c r="M3102" s="178"/>
      <c r="N3102" s="178"/>
      <c r="O3102" s="178"/>
      <c r="P3102" s="231"/>
      <c r="Q3102" s="224"/>
    </row>
    <row r="3103" spans="1:19" s="225" customFormat="1" ht="10.5" x14ac:dyDescent="0.25">
      <c r="A3103" s="229"/>
      <c r="B3103" s="232" t="s">
        <v>5</v>
      </c>
      <c r="C3103" s="182" t="s">
        <v>1328</v>
      </c>
      <c r="D3103" s="182"/>
      <c r="E3103" s="182"/>
      <c r="F3103" s="182"/>
      <c r="G3103" s="182"/>
      <c r="H3103" s="182"/>
      <c r="I3103" s="182"/>
      <c r="J3103" s="182"/>
      <c r="K3103" s="182"/>
      <c r="L3103" s="182"/>
      <c r="M3103" s="182">
        <f>SUM(M3101:M3102)</f>
        <v>2543.2959999999975</v>
      </c>
      <c r="N3103" s="182"/>
      <c r="O3103" s="182"/>
      <c r="P3103" s="233"/>
      <c r="Q3103" s="224"/>
    </row>
    <row r="3104" spans="1:19" s="225" customFormat="1" ht="10.5" x14ac:dyDescent="0.25">
      <c r="A3104" s="167" t="str">
        <f>ORÇAMENTO!A590</f>
        <v>6.1.1.8</v>
      </c>
      <c r="B3104" s="332" t="str">
        <f>VLOOKUP(A3104,ORÇAMENTO!A:K,4,0)</f>
        <v>ENSAIOS</v>
      </c>
      <c r="C3104" s="167"/>
      <c r="D3104" s="167"/>
      <c r="E3104" s="168"/>
      <c r="F3104" s="168"/>
      <c r="G3104" s="168"/>
      <c r="H3104" s="168"/>
      <c r="I3104" s="168"/>
      <c r="J3104" s="168"/>
      <c r="K3104" s="168"/>
      <c r="L3104" s="168"/>
      <c r="M3104" s="168"/>
      <c r="N3104" s="168"/>
      <c r="O3104" s="168"/>
      <c r="P3104" s="224"/>
      <c r="Q3104" s="224"/>
    </row>
    <row r="3105" spans="1:19" s="235" customFormat="1" ht="31.5" x14ac:dyDescent="0.35">
      <c r="A3105" s="226" t="str">
        <f>ORÇAMENTO!A591</f>
        <v>6.1.1.8.1</v>
      </c>
      <c r="B3105" s="227" t="str">
        <f>VLOOKUP(A3105,ORÇAMENTO!A:K,4,0)</f>
        <v>DETERMINAÇÃO DA DENSIDADE IN SITU DAS MISTURAS ASFÁLTICAS COMPACTADAS (DNIT 431/2020-ME)</v>
      </c>
      <c r="C3105" s="173" t="str">
        <f>VLOOKUP(A3105,ORÇAMENTO!A:K,5,0)</f>
        <v>UN</v>
      </c>
      <c r="D3105" s="173">
        <f>SUM(E3109:O3109)</f>
        <v>6</v>
      </c>
      <c r="E3105" s="173" t="s">
        <v>1718</v>
      </c>
      <c r="F3105" s="173" t="s">
        <v>1719</v>
      </c>
      <c r="G3105" s="173" t="s">
        <v>1720</v>
      </c>
      <c r="H3105" s="173" t="s">
        <v>1721</v>
      </c>
      <c r="I3105" s="173" t="s">
        <v>1722</v>
      </c>
      <c r="J3105" s="173" t="s">
        <v>1723</v>
      </c>
      <c r="K3105" s="173" t="s">
        <v>1758</v>
      </c>
      <c r="L3105" s="173" t="s">
        <v>1753</v>
      </c>
      <c r="M3105" s="173" t="s">
        <v>1768</v>
      </c>
      <c r="N3105" s="173" t="s">
        <v>1727</v>
      </c>
      <c r="O3105" s="173" t="s">
        <v>1728</v>
      </c>
      <c r="P3105" s="224"/>
      <c r="Q3105" s="224"/>
      <c r="R3105" s="224"/>
      <c r="S3105" s="224"/>
    </row>
    <row r="3106" spans="1:19" s="235" customFormat="1" x14ac:dyDescent="0.35">
      <c r="A3106" s="229"/>
      <c r="B3106" s="232" t="s">
        <v>1769</v>
      </c>
      <c r="C3106" s="177"/>
      <c r="D3106" s="177"/>
      <c r="E3106" s="178"/>
      <c r="F3106" s="178"/>
      <c r="G3106" s="178"/>
      <c r="H3106" s="178"/>
      <c r="I3106" s="178"/>
      <c r="J3106" s="178"/>
      <c r="K3106" s="178"/>
      <c r="L3106" s="178"/>
      <c r="M3106" s="178"/>
      <c r="N3106" s="178"/>
      <c r="O3106" s="178"/>
      <c r="P3106" s="224"/>
      <c r="Q3106" s="224"/>
      <c r="R3106" s="224"/>
      <c r="S3106" s="224"/>
    </row>
    <row r="3107" spans="1:19" s="235" customFormat="1" x14ac:dyDescent="0.35">
      <c r="A3107" s="229"/>
      <c r="B3107" s="232" t="s">
        <v>1770</v>
      </c>
      <c r="C3107" s="177"/>
      <c r="D3107" s="177"/>
      <c r="E3107" s="178">
        <f>SUMIF(Quantitativos!$O$100:$O$119,"ASFALTO",Quantitativos!$F$100:$F$119)</f>
        <v>638.88023103113801</v>
      </c>
      <c r="F3107" s="178"/>
      <c r="G3107" s="178"/>
      <c r="H3107" s="178"/>
      <c r="I3107" s="178"/>
      <c r="J3107" s="178"/>
      <c r="K3107" s="178">
        <f>ROUND(E3107/100,0)</f>
        <v>6</v>
      </c>
      <c r="L3107" s="178"/>
      <c r="M3107" s="178"/>
      <c r="N3107" s="178"/>
      <c r="O3107" s="178"/>
      <c r="P3107" s="224"/>
      <c r="Q3107" s="224"/>
      <c r="R3107" s="224"/>
      <c r="S3107" s="224"/>
    </row>
    <row r="3108" spans="1:19" s="237" customFormat="1" x14ac:dyDescent="0.35">
      <c r="A3108" s="229"/>
      <c r="B3108" s="230"/>
      <c r="C3108" s="178"/>
      <c r="D3108" s="178"/>
      <c r="E3108" s="178"/>
      <c r="F3108" s="178"/>
      <c r="G3108" s="178"/>
      <c r="H3108" s="178"/>
      <c r="I3108" s="178"/>
      <c r="J3108" s="178"/>
      <c r="K3108" s="178"/>
      <c r="L3108" s="178"/>
      <c r="M3108" s="178"/>
      <c r="N3108" s="178"/>
      <c r="O3108" s="193"/>
      <c r="P3108" s="236"/>
      <c r="Q3108" s="236"/>
      <c r="R3108" s="236"/>
      <c r="S3108" s="236"/>
    </row>
    <row r="3109" spans="1:19" s="235" customFormat="1" x14ac:dyDescent="0.35">
      <c r="A3109" s="238"/>
      <c r="B3109" s="232" t="s">
        <v>5</v>
      </c>
      <c r="C3109" s="182" t="s">
        <v>1328</v>
      </c>
      <c r="D3109" s="182"/>
      <c r="E3109" s="182"/>
      <c r="F3109" s="182"/>
      <c r="G3109" s="182"/>
      <c r="H3109" s="182"/>
      <c r="I3109" s="182"/>
      <c r="J3109" s="182"/>
      <c r="K3109" s="196">
        <f>SUM(K3106:K3108)</f>
        <v>6</v>
      </c>
      <c r="L3109" s="182"/>
      <c r="M3109" s="182"/>
      <c r="N3109" s="182"/>
      <c r="O3109" s="196"/>
      <c r="P3109" s="224"/>
      <c r="Q3109" s="224"/>
      <c r="R3109" s="224"/>
      <c r="S3109" s="224"/>
    </row>
    <row r="3110" spans="1:19" s="235" customFormat="1" ht="21" x14ac:dyDescent="0.35">
      <c r="A3110" s="226" t="str">
        <f>ORÇAMENTO!A592</f>
        <v>6.1.1.8.2</v>
      </c>
      <c r="B3110" s="227" t="str">
        <f>VLOOKUP(A3110,ORÇAMENTO!A:K,4,0)</f>
        <v>ENSAIO QUIMICO COMPLETO DE CAL</v>
      </c>
      <c r="C3110" s="173" t="str">
        <f>VLOOKUP(A3110,ORÇAMENTO!A:K,5,0)</f>
        <v>UN</v>
      </c>
      <c r="D3110" s="173">
        <f>SUM(E3114:O3114)</f>
        <v>6</v>
      </c>
      <c r="E3110" s="173" t="s">
        <v>1718</v>
      </c>
      <c r="F3110" s="173" t="s">
        <v>1719</v>
      </c>
      <c r="G3110" s="173" t="s">
        <v>1720</v>
      </c>
      <c r="H3110" s="173" t="s">
        <v>1721</v>
      </c>
      <c r="I3110" s="173" t="s">
        <v>1722</v>
      </c>
      <c r="J3110" s="173" t="s">
        <v>1723</v>
      </c>
      <c r="K3110" s="173" t="s">
        <v>1758</v>
      </c>
      <c r="L3110" s="173" t="s">
        <v>1753</v>
      </c>
      <c r="M3110" s="173" t="s">
        <v>1768</v>
      </c>
      <c r="N3110" s="173" t="s">
        <v>1727</v>
      </c>
      <c r="O3110" s="173" t="s">
        <v>1728</v>
      </c>
      <c r="P3110" s="224"/>
      <c r="Q3110" s="224"/>
      <c r="R3110" s="224"/>
      <c r="S3110" s="224"/>
    </row>
    <row r="3111" spans="1:19" s="235" customFormat="1" x14ac:dyDescent="0.35">
      <c r="A3111" s="229"/>
      <c r="B3111" s="232" t="str">
        <f>B3106</f>
        <v>1 ENSAIO A CADA 100M</v>
      </c>
      <c r="C3111" s="177"/>
      <c r="D3111" s="177"/>
      <c r="E3111" s="178"/>
      <c r="F3111" s="178"/>
      <c r="G3111" s="178"/>
      <c r="H3111" s="178"/>
      <c r="I3111" s="178"/>
      <c r="J3111" s="178"/>
      <c r="K3111" s="178"/>
      <c r="L3111" s="178"/>
      <c r="M3111" s="178"/>
      <c r="N3111" s="178"/>
      <c r="O3111" s="178"/>
      <c r="P3111" s="224"/>
      <c r="Q3111" s="224"/>
      <c r="R3111" s="224"/>
      <c r="S3111" s="224"/>
    </row>
    <row r="3112" spans="1:19" s="235" customFormat="1" x14ac:dyDescent="0.35">
      <c r="A3112" s="229"/>
      <c r="B3112" s="232" t="str">
        <f>B3107</f>
        <v>EXTENSÃO REDE ASFALTADA</v>
      </c>
      <c r="C3112" s="177"/>
      <c r="D3112" s="177"/>
      <c r="E3112" s="178">
        <f>E3107</f>
        <v>638.88023103113801</v>
      </c>
      <c r="F3112" s="178"/>
      <c r="G3112" s="178"/>
      <c r="H3112" s="178"/>
      <c r="I3112" s="178"/>
      <c r="J3112" s="178"/>
      <c r="K3112" s="178">
        <f>ROUND(E3112/100,0)</f>
        <v>6</v>
      </c>
      <c r="L3112" s="178"/>
      <c r="M3112" s="178"/>
      <c r="N3112" s="178"/>
      <c r="O3112" s="178"/>
      <c r="P3112" s="224"/>
      <c r="Q3112" s="224"/>
      <c r="R3112" s="224"/>
      <c r="S3112" s="224"/>
    </row>
    <row r="3113" spans="1:19" s="237" customFormat="1" x14ac:dyDescent="0.35">
      <c r="A3113" s="229"/>
      <c r="B3113" s="230"/>
      <c r="C3113" s="178"/>
      <c r="D3113" s="178"/>
      <c r="E3113" s="178"/>
      <c r="F3113" s="178"/>
      <c r="G3113" s="178"/>
      <c r="H3113" s="178"/>
      <c r="I3113" s="178"/>
      <c r="J3113" s="178"/>
      <c r="K3113" s="178"/>
      <c r="L3113" s="178"/>
      <c r="M3113" s="178"/>
      <c r="N3113" s="178"/>
      <c r="O3113" s="193"/>
      <c r="P3113" s="236"/>
      <c r="Q3113" s="236"/>
      <c r="R3113" s="236"/>
      <c r="S3113" s="236"/>
    </row>
    <row r="3114" spans="1:19" s="235" customFormat="1" x14ac:dyDescent="0.35">
      <c r="A3114" s="238"/>
      <c r="B3114" s="232" t="s">
        <v>5</v>
      </c>
      <c r="C3114" s="182" t="s">
        <v>1328</v>
      </c>
      <c r="D3114" s="182"/>
      <c r="E3114" s="182"/>
      <c r="F3114" s="182"/>
      <c r="G3114" s="182"/>
      <c r="H3114" s="182"/>
      <c r="I3114" s="182"/>
      <c r="J3114" s="182"/>
      <c r="K3114" s="196">
        <f>SUM(K3111:K3113)</f>
        <v>6</v>
      </c>
      <c r="L3114" s="182"/>
      <c r="M3114" s="182"/>
      <c r="N3114" s="182"/>
      <c r="O3114" s="196"/>
      <c r="P3114" s="224"/>
      <c r="Q3114" s="224"/>
      <c r="R3114" s="224"/>
      <c r="S3114" s="224"/>
    </row>
    <row r="3115" spans="1:19" s="225" customFormat="1" ht="10.5" x14ac:dyDescent="0.25">
      <c r="A3115" s="222" t="str">
        <f>ORÇAMENTO!A593</f>
        <v>6.1.2</v>
      </c>
      <c r="B3115" s="223" t="str">
        <f>VLOOKUP(A3115,ORÇAMENTO!A:K,4,0)</f>
        <v>REDES DE DRENAGEM DE ÁGUAS PLUVIAIS</v>
      </c>
      <c r="C3115" s="167"/>
      <c r="D3115" s="167"/>
      <c r="E3115" s="168"/>
      <c r="F3115" s="168"/>
      <c r="G3115" s="168"/>
      <c r="H3115" s="168"/>
      <c r="I3115" s="168"/>
      <c r="J3115" s="168"/>
      <c r="K3115" s="168"/>
      <c r="L3115" s="168"/>
      <c r="M3115" s="168"/>
      <c r="N3115" s="168"/>
      <c r="O3115" s="168"/>
      <c r="P3115" s="224"/>
      <c r="Q3115" s="224"/>
    </row>
    <row r="3116" spans="1:19" s="225" customFormat="1" ht="31.5" x14ac:dyDescent="0.25">
      <c r="A3116" s="222" t="str">
        <f>ORÇAMENTO!A594</f>
        <v>6.1.2.1</v>
      </c>
      <c r="B3116" s="223" t="str">
        <f>VLOOKUP(A3116,ORÇAMENTO!A:K,4,0)</f>
        <v>ESCAVAÇÕES PARA SISTEMAS DESTRUTIVOS, COM DEPOSIÇÃO LATERAL PARA POSTERIOR REAPROVEITAMENTO</v>
      </c>
      <c r="C3116" s="167"/>
      <c r="D3116" s="167"/>
      <c r="E3116" s="168"/>
      <c r="F3116" s="168"/>
      <c r="G3116" s="168"/>
      <c r="H3116" s="168"/>
      <c r="I3116" s="168"/>
      <c r="J3116" s="168"/>
      <c r="K3116" s="168"/>
      <c r="L3116" s="168"/>
      <c r="M3116" s="168"/>
      <c r="N3116" s="168"/>
      <c r="O3116" s="168"/>
      <c r="P3116" s="224"/>
      <c r="Q3116" s="224"/>
    </row>
    <row r="3117" spans="1:19" s="228" customFormat="1" ht="63" x14ac:dyDescent="0.25">
      <c r="A3117" s="226" t="str">
        <f>ORÇAMENTO!A595</f>
        <v>6.1.2.1.1</v>
      </c>
      <c r="B3117" s="227" t="str">
        <f>VLOOKUP(A3117,ORÇAMENTO!A:K,4,0)</f>
        <v>ESCAVAÇÃO MECANIZADA DE VALA COM PROF. MAIOR QUE 1,5 M ATÉ 3,0 M (MÉDIA MONTANTE E JUSANTE/UMA COMPOSIÇÃO POR TRECHO), ESCAVADEIRA (0,8 M3), LARGURA ATÉ 1,5 M, EM SOLO MOLE, EM LOCAIS COM ALTO NÍVEL DE INTERFERÊNCIA. AF_09/2024</v>
      </c>
      <c r="C3117" s="173" t="str">
        <f>VLOOKUP(A3117,ORÇAMENTO!A:K,5,0)</f>
        <v>M³</v>
      </c>
      <c r="D3117" s="173">
        <f>SUM(E3121:O3121)</f>
        <v>38.091200000000001</v>
      </c>
      <c r="E3117" s="173" t="s">
        <v>1718</v>
      </c>
      <c r="F3117" s="173" t="s">
        <v>1719</v>
      </c>
      <c r="G3117" s="173" t="s">
        <v>1720</v>
      </c>
      <c r="H3117" s="173" t="s">
        <v>1721</v>
      </c>
      <c r="I3117" s="173" t="s">
        <v>1722</v>
      </c>
      <c r="J3117" s="173" t="s">
        <v>1723</v>
      </c>
      <c r="K3117" s="173" t="s">
        <v>1746</v>
      </c>
      <c r="L3117" s="173" t="s">
        <v>1753</v>
      </c>
      <c r="M3117" s="173" t="s">
        <v>1771</v>
      </c>
      <c r="N3117" s="173" t="s">
        <v>1727</v>
      </c>
      <c r="O3117" s="173" t="s">
        <v>1728</v>
      </c>
      <c r="P3117" s="224"/>
      <c r="Q3117" s="224"/>
    </row>
    <row r="3118" spans="1:19" s="225" customFormat="1" ht="10.5" x14ac:dyDescent="0.25">
      <c r="A3118" s="229"/>
      <c r="B3118" s="230"/>
      <c r="C3118" s="177"/>
      <c r="D3118" s="178"/>
      <c r="E3118" s="178"/>
      <c r="F3118" s="178"/>
      <c r="G3118" s="178"/>
      <c r="H3118" s="178"/>
      <c r="I3118" s="178"/>
      <c r="J3118" s="178"/>
      <c r="K3118" s="178"/>
      <c r="L3118" s="178"/>
      <c r="M3118" s="178"/>
      <c r="N3118" s="178"/>
      <c r="O3118" s="178"/>
      <c r="P3118" s="231"/>
      <c r="Q3118" s="224"/>
    </row>
    <row r="3119" spans="1:19" s="225" customFormat="1" ht="10.5" x14ac:dyDescent="0.25">
      <c r="A3119" s="229"/>
      <c r="B3119" s="230" t="s">
        <v>1731</v>
      </c>
      <c r="C3119" s="177"/>
      <c r="D3119" s="178"/>
      <c r="E3119" s="178"/>
      <c r="F3119" s="178"/>
      <c r="G3119" s="178"/>
      <c r="H3119" s="178"/>
      <c r="I3119" s="178"/>
      <c r="J3119" s="178"/>
      <c r="K3119" s="178"/>
      <c r="L3119" s="178"/>
      <c r="M3119" s="178"/>
      <c r="N3119" s="178"/>
      <c r="O3119" s="178">
        <f>Quantitativos!AD120</f>
        <v>38.091200000000001</v>
      </c>
      <c r="P3119" s="231"/>
      <c r="Q3119" s="224"/>
    </row>
    <row r="3120" spans="1:19" s="225" customFormat="1" ht="10.5" x14ac:dyDescent="0.25">
      <c r="A3120" s="229"/>
      <c r="B3120" s="230"/>
      <c r="C3120" s="177"/>
      <c r="D3120" s="178"/>
      <c r="E3120" s="178"/>
      <c r="F3120" s="178"/>
      <c r="G3120" s="178"/>
      <c r="H3120" s="178"/>
      <c r="I3120" s="178"/>
      <c r="J3120" s="178"/>
      <c r="K3120" s="178"/>
      <c r="L3120" s="178"/>
      <c r="M3120" s="178"/>
      <c r="N3120" s="178"/>
      <c r="O3120" s="178"/>
      <c r="P3120" s="231"/>
      <c r="Q3120" s="224"/>
    </row>
    <row r="3121" spans="1:17" s="225" customFormat="1" ht="10.5" x14ac:dyDescent="0.25">
      <c r="A3121" s="229"/>
      <c r="B3121" s="232" t="s">
        <v>5</v>
      </c>
      <c r="C3121" s="182" t="s">
        <v>1328</v>
      </c>
      <c r="D3121" s="182"/>
      <c r="E3121" s="182"/>
      <c r="F3121" s="182"/>
      <c r="G3121" s="182"/>
      <c r="H3121" s="182"/>
      <c r="I3121" s="182"/>
      <c r="J3121" s="182"/>
      <c r="K3121" s="182"/>
      <c r="L3121" s="182"/>
      <c r="M3121" s="182"/>
      <c r="N3121" s="182"/>
      <c r="O3121" s="182">
        <f>SUM(O3118:O3120)</f>
        <v>38.091200000000001</v>
      </c>
      <c r="P3121" s="233"/>
      <c r="Q3121" s="224"/>
    </row>
    <row r="3122" spans="1:17" s="228" customFormat="1" ht="63" x14ac:dyDescent="0.25">
      <c r="A3122" s="226"/>
      <c r="B3122" s="227" t="s">
        <v>465</v>
      </c>
      <c r="C3122" s="173" t="s">
        <v>268</v>
      </c>
      <c r="D3122" s="173">
        <f>SUM(E3126:O3126)</f>
        <v>0</v>
      </c>
      <c r="E3122" s="173" t="s">
        <v>1718</v>
      </c>
      <c r="F3122" s="173" t="s">
        <v>1719</v>
      </c>
      <c r="G3122" s="173" t="s">
        <v>1720</v>
      </c>
      <c r="H3122" s="173" t="s">
        <v>1721</v>
      </c>
      <c r="I3122" s="173" t="s">
        <v>1722</v>
      </c>
      <c r="J3122" s="173" t="s">
        <v>1723</v>
      </c>
      <c r="K3122" s="173" t="s">
        <v>1746</v>
      </c>
      <c r="L3122" s="173" t="s">
        <v>1753</v>
      </c>
      <c r="M3122" s="173" t="s">
        <v>1771</v>
      </c>
      <c r="N3122" s="173" t="s">
        <v>1727</v>
      </c>
      <c r="O3122" s="173" t="s">
        <v>1728</v>
      </c>
      <c r="P3122" s="224"/>
      <c r="Q3122" s="224"/>
    </row>
    <row r="3123" spans="1:17" s="225" customFormat="1" ht="10.5" x14ac:dyDescent="0.25">
      <c r="A3123" s="229"/>
      <c r="B3123" s="230"/>
      <c r="C3123" s="177"/>
      <c r="D3123" s="178"/>
      <c r="E3123" s="178"/>
      <c r="F3123" s="178"/>
      <c r="G3123" s="178"/>
      <c r="H3123" s="178"/>
      <c r="I3123" s="178"/>
      <c r="J3123" s="178"/>
      <c r="K3123" s="178"/>
      <c r="L3123" s="178"/>
      <c r="M3123" s="178"/>
      <c r="N3123" s="178"/>
      <c r="O3123" s="178"/>
      <c r="P3123" s="231"/>
      <c r="Q3123" s="224"/>
    </row>
    <row r="3124" spans="1:17" s="225" customFormat="1" ht="10.5" x14ac:dyDescent="0.25">
      <c r="A3124" s="229"/>
      <c r="B3124" s="230" t="s">
        <v>1731</v>
      </c>
      <c r="C3124" s="177"/>
      <c r="D3124" s="178"/>
      <c r="E3124" s="178"/>
      <c r="F3124" s="178"/>
      <c r="G3124" s="178"/>
      <c r="H3124" s="178"/>
      <c r="I3124" s="178"/>
      <c r="J3124" s="178"/>
      <c r="K3124" s="178"/>
      <c r="L3124" s="178"/>
      <c r="M3124" s="178"/>
      <c r="N3124" s="178"/>
      <c r="O3124" s="178">
        <f>Quantitativos!AE120</f>
        <v>0</v>
      </c>
      <c r="P3124" s="231"/>
      <c r="Q3124" s="224"/>
    </row>
    <row r="3125" spans="1:17" s="225" customFormat="1" ht="10.5" x14ac:dyDescent="0.25">
      <c r="A3125" s="229"/>
      <c r="B3125" s="230"/>
      <c r="C3125" s="177"/>
      <c r="D3125" s="178"/>
      <c r="E3125" s="178"/>
      <c r="F3125" s="178"/>
      <c r="G3125" s="178"/>
      <c r="H3125" s="178"/>
      <c r="I3125" s="178"/>
      <c r="J3125" s="178"/>
      <c r="K3125" s="178"/>
      <c r="L3125" s="178"/>
      <c r="M3125" s="178"/>
      <c r="N3125" s="178"/>
      <c r="O3125" s="178"/>
      <c r="P3125" s="231"/>
      <c r="Q3125" s="224"/>
    </row>
    <row r="3126" spans="1:17" s="225" customFormat="1" ht="10.5" x14ac:dyDescent="0.25">
      <c r="A3126" s="229"/>
      <c r="B3126" s="232" t="s">
        <v>5</v>
      </c>
      <c r="C3126" s="182" t="s">
        <v>1328</v>
      </c>
      <c r="D3126" s="182"/>
      <c r="E3126" s="182"/>
      <c r="F3126" s="182"/>
      <c r="G3126" s="182"/>
      <c r="H3126" s="182"/>
      <c r="I3126" s="182"/>
      <c r="J3126" s="182"/>
      <c r="K3126" s="182"/>
      <c r="L3126" s="182"/>
      <c r="M3126" s="182"/>
      <c r="N3126" s="182"/>
      <c r="O3126" s="182">
        <f>SUM(O3123:O3125)</f>
        <v>0</v>
      </c>
      <c r="P3126" s="233"/>
      <c r="Q3126" s="224"/>
    </row>
    <row r="3127" spans="1:17" s="228" customFormat="1" ht="63" x14ac:dyDescent="0.25">
      <c r="A3127" s="226" t="str">
        <f>ORÇAMENTO!A596</f>
        <v>6.1.2.1.2</v>
      </c>
      <c r="B3127" s="227" t="str">
        <f>VLOOKUP(A3127,ORÇAMENTO!A:K,4,0)</f>
        <v>ESCAVAÇÃO MECANIZADA DE VALA COM PROF. ATÉ 1,5 M (MÉDIA MONTANTE E JUSANTE/UMA COMPOSIÇÃO POR TRECHO), ESCAVADEIRA (0,8 M3), LARG. MENOR QUE 1,5 M, EM SOLO DE 1A CATEGORIA, EM LOCAIS COM ALTO NÍVEL DE INTERFERÊNCIA. AF_09/2024</v>
      </c>
      <c r="C3127" s="173" t="str">
        <f>VLOOKUP(A3127,ORÇAMENTO!A:K,5,0)</f>
        <v>M³</v>
      </c>
      <c r="D3127" s="173">
        <f>SUM(E3131:O3131)</f>
        <v>1058.3999999985729</v>
      </c>
      <c r="E3127" s="173" t="s">
        <v>1718</v>
      </c>
      <c r="F3127" s="173" t="s">
        <v>1719</v>
      </c>
      <c r="G3127" s="173" t="s">
        <v>1720</v>
      </c>
      <c r="H3127" s="173" t="s">
        <v>1721</v>
      </c>
      <c r="I3127" s="173" t="s">
        <v>1722</v>
      </c>
      <c r="J3127" s="173" t="s">
        <v>1723</v>
      </c>
      <c r="K3127" s="173" t="s">
        <v>1746</v>
      </c>
      <c r="L3127" s="173" t="s">
        <v>1753</v>
      </c>
      <c r="M3127" s="173" t="s">
        <v>1771</v>
      </c>
      <c r="N3127" s="173" t="s">
        <v>1727</v>
      </c>
      <c r="O3127" s="173" t="s">
        <v>1728</v>
      </c>
      <c r="P3127" s="224"/>
      <c r="Q3127" s="224"/>
    </row>
    <row r="3128" spans="1:17" s="225" customFormat="1" ht="10.5" x14ac:dyDescent="0.25">
      <c r="A3128" s="229"/>
      <c r="B3128" s="230"/>
      <c r="C3128" s="177"/>
      <c r="D3128" s="178"/>
      <c r="E3128" s="178"/>
      <c r="F3128" s="178"/>
      <c r="G3128" s="178"/>
      <c r="H3128" s="178"/>
      <c r="I3128" s="178"/>
      <c r="J3128" s="178"/>
      <c r="K3128" s="178"/>
      <c r="L3128" s="178"/>
      <c r="M3128" s="178"/>
      <c r="N3128" s="178"/>
      <c r="O3128" s="178"/>
      <c r="P3128" s="231"/>
      <c r="Q3128" s="224"/>
    </row>
    <row r="3129" spans="1:17" s="225" customFormat="1" ht="10.5" x14ac:dyDescent="0.25">
      <c r="A3129" s="229"/>
      <c r="B3129" s="230" t="s">
        <v>1731</v>
      </c>
      <c r="C3129" s="177"/>
      <c r="D3129" s="178"/>
      <c r="E3129" s="178"/>
      <c r="F3129" s="178"/>
      <c r="G3129" s="178"/>
      <c r="H3129" s="178"/>
      <c r="I3129" s="178"/>
      <c r="J3129" s="178"/>
      <c r="K3129" s="178"/>
      <c r="L3129" s="178"/>
      <c r="M3129" s="178"/>
      <c r="N3129" s="178"/>
      <c r="O3129" s="178">
        <f>Quantitativos!AJ120</f>
        <v>1058.3999999985729</v>
      </c>
      <c r="P3129" s="231"/>
      <c r="Q3129" s="224"/>
    </row>
    <row r="3130" spans="1:17" s="225" customFormat="1" ht="10.5" x14ac:dyDescent="0.25">
      <c r="A3130" s="229"/>
      <c r="B3130" s="230"/>
      <c r="C3130" s="177"/>
      <c r="D3130" s="178"/>
      <c r="E3130" s="178"/>
      <c r="F3130" s="178"/>
      <c r="G3130" s="178"/>
      <c r="H3130" s="178"/>
      <c r="I3130" s="178"/>
      <c r="J3130" s="178"/>
      <c r="K3130" s="178"/>
      <c r="L3130" s="178"/>
      <c r="M3130" s="178"/>
      <c r="N3130" s="178"/>
      <c r="O3130" s="178"/>
      <c r="P3130" s="231"/>
      <c r="Q3130" s="224"/>
    </row>
    <row r="3131" spans="1:17" s="225" customFormat="1" ht="10.5" x14ac:dyDescent="0.25">
      <c r="A3131" s="229"/>
      <c r="B3131" s="232" t="s">
        <v>5</v>
      </c>
      <c r="C3131" s="182" t="s">
        <v>1328</v>
      </c>
      <c r="D3131" s="182"/>
      <c r="E3131" s="182"/>
      <c r="F3131" s="182"/>
      <c r="G3131" s="182"/>
      <c r="H3131" s="182"/>
      <c r="I3131" s="182"/>
      <c r="J3131" s="182"/>
      <c r="K3131" s="182"/>
      <c r="L3131" s="182"/>
      <c r="M3131" s="182"/>
      <c r="N3131" s="182"/>
      <c r="O3131" s="182">
        <f>SUM(O3128:O3130)</f>
        <v>1058.3999999985729</v>
      </c>
      <c r="P3131" s="233"/>
      <c r="Q3131" s="224"/>
    </row>
    <row r="3132" spans="1:17" s="228" customFormat="1" ht="63" x14ac:dyDescent="0.25">
      <c r="A3132" s="226" t="str">
        <f>ORÇAMENTO!A597</f>
        <v>6.1.2.1.3</v>
      </c>
      <c r="B3132" s="227" t="str">
        <f>VLOOKUP(A3132,ORÇAMENTO!A:K,4,0)</f>
        <v>ESCAVAÇÃO MECANIZADA DE VALA COM PROF. MAIOR QUE 1,5 M ATÉ 3,0 M (MÉDIA MONTANTE E JUSANTE/UMA COMPOSIÇÃO POR TRECHO), ESCAVADEIRA (0,8 M3), LARGURA ATÉ 1,5 M, EM SOLO DE 1A CATEGORIA, EM LOCAIS COM ALTO NÍVEL DE INTERFERÊNCIA. AF_09/2024</v>
      </c>
      <c r="C3132" s="173" t="str">
        <f>VLOOKUP(A3132,ORÇAMENTO!A:K,5,0)</f>
        <v>M³</v>
      </c>
      <c r="D3132" s="173">
        <f>SUM(E3136:O3136)</f>
        <v>308.1919693233811</v>
      </c>
      <c r="E3132" s="173" t="s">
        <v>1718</v>
      </c>
      <c r="F3132" s="173" t="s">
        <v>1719</v>
      </c>
      <c r="G3132" s="173" t="s">
        <v>1720</v>
      </c>
      <c r="H3132" s="173" t="s">
        <v>1721</v>
      </c>
      <c r="I3132" s="173" t="s">
        <v>1722</v>
      </c>
      <c r="J3132" s="173" t="s">
        <v>1723</v>
      </c>
      <c r="K3132" s="173" t="s">
        <v>1746</v>
      </c>
      <c r="L3132" s="173" t="s">
        <v>1753</v>
      </c>
      <c r="M3132" s="173" t="s">
        <v>1771</v>
      </c>
      <c r="N3132" s="173" t="s">
        <v>1727</v>
      </c>
      <c r="O3132" s="173" t="s">
        <v>1728</v>
      </c>
      <c r="P3132" s="224"/>
      <c r="Q3132" s="224"/>
    </row>
    <row r="3133" spans="1:17" s="225" customFormat="1" ht="10.5" x14ac:dyDescent="0.25">
      <c r="A3133" s="229"/>
      <c r="B3133" s="230"/>
      <c r="C3133" s="177"/>
      <c r="D3133" s="178"/>
      <c r="E3133" s="178"/>
      <c r="F3133" s="178"/>
      <c r="G3133" s="178"/>
      <c r="H3133" s="178"/>
      <c r="I3133" s="178"/>
      <c r="J3133" s="178"/>
      <c r="K3133" s="178"/>
      <c r="L3133" s="178"/>
      <c r="M3133" s="178"/>
      <c r="N3133" s="178"/>
      <c r="O3133" s="178"/>
      <c r="P3133" s="231"/>
      <c r="Q3133" s="224"/>
    </row>
    <row r="3134" spans="1:17" s="225" customFormat="1" ht="10.5" x14ac:dyDescent="0.25">
      <c r="A3134" s="229"/>
      <c r="B3134" s="230" t="s">
        <v>1731</v>
      </c>
      <c r="C3134" s="177"/>
      <c r="D3134" s="178"/>
      <c r="E3134" s="178"/>
      <c r="F3134" s="178"/>
      <c r="G3134" s="178"/>
      <c r="H3134" s="178"/>
      <c r="I3134" s="178"/>
      <c r="J3134" s="178"/>
      <c r="K3134" s="178"/>
      <c r="L3134" s="178"/>
      <c r="M3134" s="178"/>
      <c r="N3134" s="178"/>
      <c r="O3134" s="178">
        <f>Quantitativos!AK120</f>
        <v>308.1919693233811</v>
      </c>
      <c r="P3134" s="231"/>
      <c r="Q3134" s="224"/>
    </row>
    <row r="3135" spans="1:17" s="225" customFormat="1" ht="10.5" x14ac:dyDescent="0.25">
      <c r="A3135" s="229"/>
      <c r="B3135" s="230"/>
      <c r="C3135" s="177"/>
      <c r="D3135" s="178"/>
      <c r="E3135" s="178"/>
      <c r="F3135" s="178"/>
      <c r="G3135" s="178"/>
      <c r="H3135" s="178"/>
      <c r="I3135" s="178"/>
      <c r="J3135" s="178"/>
      <c r="K3135" s="178"/>
      <c r="L3135" s="178"/>
      <c r="M3135" s="178"/>
      <c r="N3135" s="178"/>
      <c r="O3135" s="178"/>
      <c r="P3135" s="231"/>
      <c r="Q3135" s="224"/>
    </row>
    <row r="3136" spans="1:17" s="225" customFormat="1" ht="10.5" x14ac:dyDescent="0.25">
      <c r="A3136" s="229"/>
      <c r="B3136" s="232" t="s">
        <v>5</v>
      </c>
      <c r="C3136" s="182" t="s">
        <v>1328</v>
      </c>
      <c r="D3136" s="182"/>
      <c r="E3136" s="182"/>
      <c r="F3136" s="182"/>
      <c r="G3136" s="182"/>
      <c r="H3136" s="182"/>
      <c r="I3136" s="182"/>
      <c r="J3136" s="182"/>
      <c r="K3136" s="182"/>
      <c r="L3136" s="182"/>
      <c r="M3136" s="182"/>
      <c r="N3136" s="182"/>
      <c r="O3136" s="182">
        <f>SUM(O3133:O3135)</f>
        <v>308.1919693233811</v>
      </c>
      <c r="P3136" s="233"/>
      <c r="Q3136" s="224"/>
    </row>
    <row r="3137" spans="1:17" s="228" customFormat="1" ht="63" x14ac:dyDescent="0.25">
      <c r="A3137" s="226" t="str">
        <f>ORÇAMENTO!A598</f>
        <v>6.1.2.1.4</v>
      </c>
      <c r="B3137" s="227" t="str">
        <f>VLOOKUP(A3137,ORÇAMENTO!A:K,4,0)</f>
        <v>ESCAVAÇÃO MECANIZADA DE VALA COM PROF. ATÉ 1,5 M (MÉDIA MONTANTE E JUSANTE/UMA COMPOSIÇÃO POR TRECHO), ESCAVADEIRA (0,8 M3), LARG. DE 1,5 M A 2,5 M, EM SOLO DE 1A CATEGORIA, EM LOCAIS COM ALTO NÍVEL DE INTERFERÊNCIA. AF_09/2024</v>
      </c>
      <c r="C3137" s="173" t="str">
        <f>VLOOKUP(A3137,ORÇAMENTO!A:K,5,0)</f>
        <v>M³</v>
      </c>
      <c r="D3137" s="173">
        <f>SUM(E3141:O3141)</f>
        <v>115.8531506677528</v>
      </c>
      <c r="E3137" s="173" t="s">
        <v>1718</v>
      </c>
      <c r="F3137" s="173" t="s">
        <v>1719</v>
      </c>
      <c r="G3137" s="173" t="s">
        <v>1720</v>
      </c>
      <c r="H3137" s="173" t="s">
        <v>1721</v>
      </c>
      <c r="I3137" s="173" t="s">
        <v>1722</v>
      </c>
      <c r="J3137" s="173" t="s">
        <v>1723</v>
      </c>
      <c r="K3137" s="173" t="s">
        <v>1746</v>
      </c>
      <c r="L3137" s="173" t="s">
        <v>1753</v>
      </c>
      <c r="M3137" s="173" t="s">
        <v>1771</v>
      </c>
      <c r="N3137" s="173" t="s">
        <v>1727</v>
      </c>
      <c r="O3137" s="173" t="s">
        <v>1728</v>
      </c>
      <c r="P3137" s="224"/>
      <c r="Q3137" s="224"/>
    </row>
    <row r="3138" spans="1:17" s="225" customFormat="1" ht="10.5" x14ac:dyDescent="0.25">
      <c r="A3138" s="229"/>
      <c r="B3138" s="230"/>
      <c r="C3138" s="177"/>
      <c r="D3138" s="178"/>
      <c r="E3138" s="178"/>
      <c r="F3138" s="178"/>
      <c r="G3138" s="178"/>
      <c r="H3138" s="178"/>
      <c r="I3138" s="178"/>
      <c r="J3138" s="178"/>
      <c r="K3138" s="178"/>
      <c r="L3138" s="178"/>
      <c r="M3138" s="178"/>
      <c r="N3138" s="178"/>
      <c r="O3138" s="178"/>
      <c r="P3138" s="231"/>
      <c r="Q3138" s="224"/>
    </row>
    <row r="3139" spans="1:17" s="225" customFormat="1" ht="10.5" x14ac:dyDescent="0.25">
      <c r="A3139" s="229"/>
      <c r="B3139" s="230" t="s">
        <v>1731</v>
      </c>
      <c r="C3139" s="177"/>
      <c r="D3139" s="178"/>
      <c r="E3139" s="178"/>
      <c r="F3139" s="178"/>
      <c r="G3139" s="178"/>
      <c r="H3139" s="178"/>
      <c r="I3139" s="178"/>
      <c r="J3139" s="178"/>
      <c r="K3139" s="178"/>
      <c r="L3139" s="178"/>
      <c r="M3139" s="178"/>
      <c r="N3139" s="178"/>
      <c r="O3139" s="178">
        <f>Quantitativos!AL120</f>
        <v>115.8531506677528</v>
      </c>
      <c r="P3139" s="231"/>
      <c r="Q3139" s="224"/>
    </row>
    <row r="3140" spans="1:17" s="225" customFormat="1" ht="10.5" x14ac:dyDescent="0.25">
      <c r="A3140" s="229"/>
      <c r="B3140" s="230"/>
      <c r="C3140" s="177"/>
      <c r="D3140" s="178"/>
      <c r="E3140" s="178"/>
      <c r="F3140" s="178"/>
      <c r="G3140" s="178"/>
      <c r="H3140" s="178"/>
      <c r="I3140" s="178"/>
      <c r="J3140" s="178"/>
      <c r="K3140" s="178"/>
      <c r="L3140" s="178"/>
      <c r="M3140" s="178"/>
      <c r="N3140" s="178"/>
      <c r="O3140" s="178"/>
      <c r="P3140" s="231"/>
      <c r="Q3140" s="224"/>
    </row>
    <row r="3141" spans="1:17" s="225" customFormat="1" ht="10.5" x14ac:dyDescent="0.25">
      <c r="A3141" s="229"/>
      <c r="B3141" s="232" t="s">
        <v>5</v>
      </c>
      <c r="C3141" s="182" t="s">
        <v>1328</v>
      </c>
      <c r="D3141" s="182"/>
      <c r="E3141" s="182"/>
      <c r="F3141" s="182"/>
      <c r="G3141" s="182"/>
      <c r="H3141" s="182"/>
      <c r="I3141" s="182"/>
      <c r="J3141" s="182"/>
      <c r="K3141" s="182"/>
      <c r="L3141" s="182"/>
      <c r="M3141" s="182"/>
      <c r="N3141" s="182"/>
      <c r="O3141" s="182">
        <f>SUM(O3138:O3140)</f>
        <v>115.8531506677528</v>
      </c>
      <c r="P3141" s="233"/>
      <c r="Q3141" s="224"/>
    </row>
    <row r="3142" spans="1:17" s="228" customFormat="1" ht="63" x14ac:dyDescent="0.25">
      <c r="A3142" s="226" t="str">
        <f>ORÇAMENTO!A599</f>
        <v>6.1.2.1.5</v>
      </c>
      <c r="B3142" s="227" t="str">
        <f>VLOOKUP(A3142,ORÇAMENTO!A:K,4,0)</f>
        <v>ESCAVAÇÃO MECANIZADA DE VALA COM PROF. MAIOR QUE 1,50 M ATÉ 3,0 M (MÉDIA MONTANTE E JUSANTE/UMA COMPOSIÇÃO POR TRECHO), ESCAVADEIRA (1,2 M3), LARG. DE 1,5 M A 2,5 M, EM SOLO DE 1A CATEGORIA, EM LOCAIS COM ALTO NÍVEL DE INTERFERÊNCIA. AF_09/2024</v>
      </c>
      <c r="C3142" s="173" t="str">
        <f>VLOOKUP(A3142,ORÇAMENTO!A:K,5,0)</f>
        <v>M³</v>
      </c>
      <c r="D3142" s="173">
        <f>SUM(E3146:O3146)</f>
        <v>88.280165286461624</v>
      </c>
      <c r="E3142" s="173" t="s">
        <v>1718</v>
      </c>
      <c r="F3142" s="173" t="s">
        <v>1719</v>
      </c>
      <c r="G3142" s="173" t="s">
        <v>1720</v>
      </c>
      <c r="H3142" s="173" t="s">
        <v>1721</v>
      </c>
      <c r="I3142" s="173" t="s">
        <v>1722</v>
      </c>
      <c r="J3142" s="173" t="s">
        <v>1723</v>
      </c>
      <c r="K3142" s="173" t="s">
        <v>1746</v>
      </c>
      <c r="L3142" s="173" t="s">
        <v>1753</v>
      </c>
      <c r="M3142" s="173" t="s">
        <v>1771</v>
      </c>
      <c r="N3142" s="173" t="s">
        <v>1727</v>
      </c>
      <c r="O3142" s="173" t="s">
        <v>1728</v>
      </c>
      <c r="P3142" s="224"/>
      <c r="Q3142" s="224"/>
    </row>
    <row r="3143" spans="1:17" s="225" customFormat="1" ht="10.5" x14ac:dyDescent="0.25">
      <c r="A3143" s="229"/>
      <c r="B3143" s="230"/>
      <c r="C3143" s="177"/>
      <c r="D3143" s="178"/>
      <c r="E3143" s="178"/>
      <c r="F3143" s="178"/>
      <c r="G3143" s="178"/>
      <c r="H3143" s="178"/>
      <c r="I3143" s="178"/>
      <c r="J3143" s="178"/>
      <c r="K3143" s="178"/>
      <c r="L3143" s="178"/>
      <c r="M3143" s="178"/>
      <c r="N3143" s="178"/>
      <c r="O3143" s="178"/>
      <c r="P3143" s="231"/>
      <c r="Q3143" s="224"/>
    </row>
    <row r="3144" spans="1:17" s="225" customFormat="1" ht="10.5" x14ac:dyDescent="0.25">
      <c r="A3144" s="229"/>
      <c r="B3144" s="230" t="s">
        <v>1731</v>
      </c>
      <c r="C3144" s="177"/>
      <c r="D3144" s="178"/>
      <c r="E3144" s="178"/>
      <c r="F3144" s="178"/>
      <c r="G3144" s="178"/>
      <c r="H3144" s="178"/>
      <c r="I3144" s="178"/>
      <c r="J3144" s="178"/>
      <c r="K3144" s="178"/>
      <c r="L3144" s="178"/>
      <c r="M3144" s="178"/>
      <c r="N3144" s="178"/>
      <c r="O3144" s="178">
        <f>Quantitativos!AM120</f>
        <v>88.280165286461624</v>
      </c>
      <c r="P3144" s="231"/>
      <c r="Q3144" s="224"/>
    </row>
    <row r="3145" spans="1:17" s="225" customFormat="1" ht="10.5" x14ac:dyDescent="0.25">
      <c r="A3145" s="229"/>
      <c r="B3145" s="230"/>
      <c r="C3145" s="177"/>
      <c r="D3145" s="178"/>
      <c r="E3145" s="178"/>
      <c r="F3145" s="178"/>
      <c r="G3145" s="178"/>
      <c r="H3145" s="178"/>
      <c r="I3145" s="178"/>
      <c r="J3145" s="178"/>
      <c r="K3145" s="178"/>
      <c r="L3145" s="178"/>
      <c r="M3145" s="178"/>
      <c r="N3145" s="178"/>
      <c r="O3145" s="178"/>
      <c r="P3145" s="231"/>
      <c r="Q3145" s="224"/>
    </row>
    <row r="3146" spans="1:17" s="225" customFormat="1" ht="10.5" x14ac:dyDescent="0.25">
      <c r="A3146" s="229"/>
      <c r="B3146" s="232" t="s">
        <v>5</v>
      </c>
      <c r="C3146" s="182" t="s">
        <v>1328</v>
      </c>
      <c r="D3146" s="182"/>
      <c r="E3146" s="182"/>
      <c r="F3146" s="182"/>
      <c r="G3146" s="182"/>
      <c r="H3146" s="182"/>
      <c r="I3146" s="182"/>
      <c r="J3146" s="182"/>
      <c r="K3146" s="182"/>
      <c r="L3146" s="182"/>
      <c r="M3146" s="182"/>
      <c r="N3146" s="182"/>
      <c r="O3146" s="182">
        <f>SUM(O3143:O3145)</f>
        <v>88.280165286461624</v>
      </c>
      <c r="P3146" s="233"/>
      <c r="Q3146" s="224"/>
    </row>
    <row r="3147" spans="1:17" s="228" customFormat="1" ht="31.5" x14ac:dyDescent="0.25">
      <c r="A3147" s="226" t="str">
        <f>ORÇAMENTO!A600</f>
        <v>6.1.2.1.6</v>
      </c>
      <c r="B3147" s="227" t="str">
        <f>VLOOKUP(A3147,ORÇAMENTO!A:K,4,0)</f>
        <v>ESCAVAÇÃO MECANIZADA DE VALAS EM MATERIAL DE 1ª E/OU 2ª CATEGORIAS, LARGURA MAIOR QUE 2,5M E ATÉ 2,00 M DE PROFUNDIDADE</v>
      </c>
      <c r="C3147" s="173" t="str">
        <f>VLOOKUP(A3147,ORÇAMENTO!A:K,5,0)</f>
        <v>M³</v>
      </c>
      <c r="D3147" s="173">
        <f>SUM(E3151:O3151)</f>
        <v>518.82072152535636</v>
      </c>
      <c r="E3147" s="173" t="s">
        <v>1718</v>
      </c>
      <c r="F3147" s="173" t="s">
        <v>1719</v>
      </c>
      <c r="G3147" s="173" t="s">
        <v>1720</v>
      </c>
      <c r="H3147" s="173" t="s">
        <v>1721</v>
      </c>
      <c r="I3147" s="173" t="s">
        <v>1722</v>
      </c>
      <c r="J3147" s="173" t="s">
        <v>1723</v>
      </c>
      <c r="K3147" s="173" t="s">
        <v>1746</v>
      </c>
      <c r="L3147" s="173" t="s">
        <v>1753</v>
      </c>
      <c r="M3147" s="173" t="s">
        <v>1771</v>
      </c>
      <c r="N3147" s="173" t="s">
        <v>1727</v>
      </c>
      <c r="O3147" s="173" t="s">
        <v>1728</v>
      </c>
      <c r="P3147" s="224"/>
      <c r="Q3147" s="224"/>
    </row>
    <row r="3148" spans="1:17" s="225" customFormat="1" ht="10.5" x14ac:dyDescent="0.25">
      <c r="A3148" s="229"/>
      <c r="B3148" s="230"/>
      <c r="C3148" s="177"/>
      <c r="D3148" s="178"/>
      <c r="E3148" s="178"/>
      <c r="F3148" s="178"/>
      <c r="G3148" s="178"/>
      <c r="H3148" s="178"/>
      <c r="I3148" s="178"/>
      <c r="J3148" s="178"/>
      <c r="K3148" s="178"/>
      <c r="L3148" s="178"/>
      <c r="M3148" s="178"/>
      <c r="N3148" s="178"/>
      <c r="O3148" s="178"/>
      <c r="P3148" s="231"/>
      <c r="Q3148" s="224"/>
    </row>
    <row r="3149" spans="1:17" s="225" customFormat="1" ht="10.5" x14ac:dyDescent="0.25">
      <c r="A3149" s="229"/>
      <c r="B3149" s="230" t="s">
        <v>1731</v>
      </c>
      <c r="C3149" s="177"/>
      <c r="D3149" s="178"/>
      <c r="E3149" s="178"/>
      <c r="F3149" s="178"/>
      <c r="G3149" s="178"/>
      <c r="H3149" s="178"/>
      <c r="I3149" s="178"/>
      <c r="J3149" s="178"/>
      <c r="K3149" s="178"/>
      <c r="L3149" s="178"/>
      <c r="M3149" s="178"/>
      <c r="N3149" s="178"/>
      <c r="O3149" s="178">
        <f>Quantitativos!AO120</f>
        <v>518.82072152535636</v>
      </c>
      <c r="P3149" s="231"/>
      <c r="Q3149" s="224"/>
    </row>
    <row r="3150" spans="1:17" s="225" customFormat="1" ht="10.5" x14ac:dyDescent="0.25">
      <c r="A3150" s="229"/>
      <c r="B3150" s="230"/>
      <c r="C3150" s="177"/>
      <c r="D3150" s="178"/>
      <c r="E3150" s="178"/>
      <c r="F3150" s="178"/>
      <c r="G3150" s="178"/>
      <c r="H3150" s="178"/>
      <c r="I3150" s="178"/>
      <c r="J3150" s="178"/>
      <c r="K3150" s="178"/>
      <c r="L3150" s="178"/>
      <c r="M3150" s="178"/>
      <c r="N3150" s="178"/>
      <c r="O3150" s="178"/>
      <c r="P3150" s="231"/>
      <c r="Q3150" s="224"/>
    </row>
    <row r="3151" spans="1:17" s="225" customFormat="1" ht="10.5" x14ac:dyDescent="0.25">
      <c r="A3151" s="229"/>
      <c r="B3151" s="232" t="s">
        <v>5</v>
      </c>
      <c r="C3151" s="182" t="s">
        <v>1328</v>
      </c>
      <c r="D3151" s="182"/>
      <c r="E3151" s="182"/>
      <c r="F3151" s="182"/>
      <c r="G3151" s="182"/>
      <c r="H3151" s="182"/>
      <c r="I3151" s="182"/>
      <c r="J3151" s="182"/>
      <c r="K3151" s="182"/>
      <c r="L3151" s="182"/>
      <c r="M3151" s="182"/>
      <c r="N3151" s="182"/>
      <c r="O3151" s="182">
        <f>SUM(O3148:O3150)</f>
        <v>518.82072152535636</v>
      </c>
      <c r="P3151" s="233"/>
      <c r="Q3151" s="224"/>
    </row>
    <row r="3152" spans="1:17" s="228" customFormat="1" ht="42" x14ac:dyDescent="0.25">
      <c r="A3152" s="226" t="str">
        <f>ORÇAMENTO!A601</f>
        <v>6.1.2.1.7</v>
      </c>
      <c r="B3152" s="227" t="str">
        <f>VLOOKUP(A3152,ORÇAMENTO!A:K,4,0)</f>
        <v>ESCAVAÇÃO MECANIZADA DE VALAS EM MATERIAL DE 1ª E/OU 2ª CATEGORIAS, LARGURA MAIOR QUE 2,5M EACIMA DE 2,00 M  E ATÉ 4,00 M DE PROFUNDIDADE.</v>
      </c>
      <c r="C3152" s="173" t="str">
        <f>VLOOKUP(A3152,ORÇAMENTO!A:K,5,0)</f>
        <v>M³</v>
      </c>
      <c r="D3152" s="173">
        <f>SUM(E3156:O3156)</f>
        <v>112.65387743670635</v>
      </c>
      <c r="E3152" s="173" t="s">
        <v>1718</v>
      </c>
      <c r="F3152" s="173" t="s">
        <v>1719</v>
      </c>
      <c r="G3152" s="173" t="s">
        <v>1720</v>
      </c>
      <c r="H3152" s="173" t="s">
        <v>1721</v>
      </c>
      <c r="I3152" s="173" t="s">
        <v>1722</v>
      </c>
      <c r="J3152" s="173" t="s">
        <v>1723</v>
      </c>
      <c r="K3152" s="173" t="s">
        <v>1746</v>
      </c>
      <c r="L3152" s="173" t="s">
        <v>1753</v>
      </c>
      <c r="M3152" s="173" t="s">
        <v>1771</v>
      </c>
      <c r="N3152" s="173" t="s">
        <v>1727</v>
      </c>
      <c r="O3152" s="173" t="s">
        <v>1728</v>
      </c>
      <c r="P3152" s="224"/>
      <c r="Q3152" s="224"/>
    </row>
    <row r="3153" spans="1:19" s="225" customFormat="1" ht="10.5" x14ac:dyDescent="0.25">
      <c r="A3153" s="229"/>
      <c r="B3153" s="230"/>
      <c r="C3153" s="177"/>
      <c r="D3153" s="178"/>
      <c r="E3153" s="178"/>
      <c r="F3153" s="178"/>
      <c r="G3153" s="178"/>
      <c r="H3153" s="178"/>
      <c r="I3153" s="178"/>
      <c r="J3153" s="178"/>
      <c r="K3153" s="178"/>
      <c r="L3153" s="178"/>
      <c r="M3153" s="178"/>
      <c r="N3153" s="178"/>
      <c r="O3153" s="178"/>
      <c r="P3153" s="231"/>
      <c r="Q3153" s="224"/>
    </row>
    <row r="3154" spans="1:19" s="225" customFormat="1" ht="10.5" x14ac:dyDescent="0.25">
      <c r="A3154" s="229"/>
      <c r="B3154" s="230" t="s">
        <v>1731</v>
      </c>
      <c r="C3154" s="177"/>
      <c r="D3154" s="178"/>
      <c r="E3154" s="178"/>
      <c r="F3154" s="178"/>
      <c r="G3154" s="178"/>
      <c r="H3154" s="178"/>
      <c r="I3154" s="178"/>
      <c r="J3154" s="178"/>
      <c r="K3154" s="178"/>
      <c r="L3154" s="178"/>
      <c r="M3154" s="178"/>
      <c r="N3154" s="178"/>
      <c r="O3154" s="178">
        <f>Quantitativos!AP120</f>
        <v>112.65387743670635</v>
      </c>
      <c r="P3154" s="231"/>
      <c r="Q3154" s="224"/>
    </row>
    <row r="3155" spans="1:19" s="225" customFormat="1" ht="10.5" x14ac:dyDescent="0.25">
      <c r="A3155" s="229"/>
      <c r="B3155" s="230"/>
      <c r="C3155" s="177"/>
      <c r="D3155" s="178"/>
      <c r="E3155" s="178"/>
      <c r="F3155" s="178"/>
      <c r="G3155" s="178"/>
      <c r="H3155" s="178"/>
      <c r="I3155" s="178"/>
      <c r="J3155" s="178"/>
      <c r="K3155" s="178"/>
      <c r="L3155" s="178"/>
      <c r="M3155" s="178"/>
      <c r="N3155" s="178"/>
      <c r="O3155" s="178"/>
      <c r="P3155" s="231"/>
      <c r="Q3155" s="224"/>
    </row>
    <row r="3156" spans="1:19" s="225" customFormat="1" ht="10.5" x14ac:dyDescent="0.25">
      <c r="A3156" s="229"/>
      <c r="B3156" s="232" t="s">
        <v>5</v>
      </c>
      <c r="C3156" s="182" t="s">
        <v>1328</v>
      </c>
      <c r="D3156" s="182"/>
      <c r="E3156" s="182"/>
      <c r="F3156" s="182"/>
      <c r="G3156" s="182"/>
      <c r="H3156" s="182"/>
      <c r="I3156" s="182"/>
      <c r="J3156" s="182"/>
      <c r="K3156" s="182"/>
      <c r="L3156" s="182"/>
      <c r="M3156" s="182"/>
      <c r="N3156" s="182"/>
      <c r="O3156" s="182">
        <f>SUM(O3153:O3155)</f>
        <v>112.65387743670635</v>
      </c>
      <c r="P3156" s="233"/>
      <c r="Q3156" s="224"/>
    </row>
    <row r="3157" spans="1:19" s="228" customFormat="1" ht="31.5" x14ac:dyDescent="0.25">
      <c r="A3157" s="226" t="str">
        <f>ORÇAMENTO!A602</f>
        <v>6.1.2.1.8</v>
      </c>
      <c r="B3157" s="227" t="str">
        <f>VLOOKUP(A3157,ORÇAMENTO!A:K,4,0)</f>
        <v>ESCAVAÇÃO DE VALA EM MATERIAL DE 3ª CATEGORIA COM ESCAVADEIRA E ROMPEDOR HIDRÁULICO DE 1700KG</v>
      </c>
      <c r="C3157" s="173" t="str">
        <f>VLOOKUP(A3157,ORÇAMENTO!A:K,5,0)</f>
        <v>M³</v>
      </c>
      <c r="D3157" s="173">
        <f>SUM(E3161:O3161)</f>
        <v>22.56</v>
      </c>
      <c r="E3157" s="173" t="s">
        <v>1718</v>
      </c>
      <c r="F3157" s="173" t="s">
        <v>1719</v>
      </c>
      <c r="G3157" s="173" t="s">
        <v>1720</v>
      </c>
      <c r="H3157" s="173" t="s">
        <v>1721</v>
      </c>
      <c r="I3157" s="173" t="s">
        <v>1722</v>
      </c>
      <c r="J3157" s="173" t="s">
        <v>1723</v>
      </c>
      <c r="K3157" s="173" t="s">
        <v>1746</v>
      </c>
      <c r="L3157" s="173" t="s">
        <v>1753</v>
      </c>
      <c r="M3157" s="173" t="s">
        <v>1771</v>
      </c>
      <c r="N3157" s="173" t="s">
        <v>1727</v>
      </c>
      <c r="O3157" s="173" t="s">
        <v>1728</v>
      </c>
      <c r="P3157" s="224"/>
      <c r="Q3157" s="224"/>
    </row>
    <row r="3158" spans="1:19" s="225" customFormat="1" ht="10.5" x14ac:dyDescent="0.25">
      <c r="A3158" s="229"/>
      <c r="B3158" s="230"/>
      <c r="C3158" s="177"/>
      <c r="D3158" s="178"/>
      <c r="E3158" s="178"/>
      <c r="F3158" s="178"/>
      <c r="G3158" s="178"/>
      <c r="H3158" s="178"/>
      <c r="I3158" s="178"/>
      <c r="J3158" s="178"/>
      <c r="K3158" s="178"/>
      <c r="L3158" s="178"/>
      <c r="M3158" s="178"/>
      <c r="N3158" s="178"/>
      <c r="O3158" s="178"/>
      <c r="P3158" s="231"/>
      <c r="Q3158" s="224"/>
    </row>
    <row r="3159" spans="1:19" s="225" customFormat="1" ht="10.5" x14ac:dyDescent="0.25">
      <c r="A3159" s="229"/>
      <c r="B3159" s="230" t="s">
        <v>1731</v>
      </c>
      <c r="C3159" s="177"/>
      <c r="D3159" s="178"/>
      <c r="E3159" s="178"/>
      <c r="F3159" s="178"/>
      <c r="G3159" s="178"/>
      <c r="H3159" s="178"/>
      <c r="I3159" s="178"/>
      <c r="J3159" s="178"/>
      <c r="K3159" s="178"/>
      <c r="L3159" s="178"/>
      <c r="M3159" s="178"/>
      <c r="N3159" s="178"/>
      <c r="O3159" s="178">
        <f>Quantitativos!AR120</f>
        <v>22.56</v>
      </c>
      <c r="P3159" s="231"/>
      <c r="Q3159" s="224"/>
    </row>
    <row r="3160" spans="1:19" s="225" customFormat="1" ht="10.5" x14ac:dyDescent="0.25">
      <c r="A3160" s="229"/>
      <c r="B3160" s="230"/>
      <c r="C3160" s="177"/>
      <c r="D3160" s="178"/>
      <c r="E3160" s="178"/>
      <c r="F3160" s="178"/>
      <c r="G3160" s="178"/>
      <c r="H3160" s="178"/>
      <c r="I3160" s="178"/>
      <c r="J3160" s="178"/>
      <c r="K3160" s="178"/>
      <c r="L3160" s="178"/>
      <c r="M3160" s="178"/>
      <c r="N3160" s="178"/>
      <c r="O3160" s="178"/>
      <c r="P3160" s="231"/>
      <c r="Q3160" s="224"/>
    </row>
    <row r="3161" spans="1:19" s="225" customFormat="1" ht="10.5" x14ac:dyDescent="0.25">
      <c r="A3161" s="229"/>
      <c r="B3161" s="232" t="s">
        <v>5</v>
      </c>
      <c r="C3161" s="182" t="s">
        <v>1328</v>
      </c>
      <c r="D3161" s="182"/>
      <c r="E3161" s="182"/>
      <c r="F3161" s="182"/>
      <c r="G3161" s="182"/>
      <c r="H3161" s="182"/>
      <c r="I3161" s="182"/>
      <c r="J3161" s="182"/>
      <c r="K3161" s="182"/>
      <c r="L3161" s="182"/>
      <c r="M3161" s="182"/>
      <c r="N3161" s="182"/>
      <c r="O3161" s="182">
        <f>SUM(O3158:O3160)</f>
        <v>22.56</v>
      </c>
      <c r="P3161" s="233"/>
      <c r="Q3161" s="224"/>
    </row>
    <row r="3162" spans="1:19" s="235" customFormat="1" ht="52.5" x14ac:dyDescent="0.35">
      <c r="A3162" s="226" t="str">
        <f>ORÇAMENTO!A603</f>
        <v>6.1.2.1.9</v>
      </c>
      <c r="B3162" s="227" t="str">
        <f>VLOOKUP(A3162,ORÇAMENTO!A:K,4,0)</f>
        <v>CARGA, MANOBRA E DESCARGA DE SOLOS E MATERIAIS GRANULARES EM CAMINHÃO BASCULANTE 14 M³ - CARGA COM ESCAVADEIRA HIDRÁULICA (CAÇAMBA DE 1,20 M³ / 155 HP) E DESCARGA LIVRE (UNIDADE: M3). AF_07/2020</v>
      </c>
      <c r="C3162" s="173" t="str">
        <f>VLOOKUP(A3162,ORÇAMENTO!A:K,5,0)</f>
        <v>M³</v>
      </c>
      <c r="D3162" s="173">
        <f>SUM(E3165:O3165)</f>
        <v>453.90722392076123</v>
      </c>
      <c r="E3162" s="173" t="s">
        <v>1752</v>
      </c>
      <c r="F3162" s="173" t="s">
        <v>1719</v>
      </c>
      <c r="G3162" s="173" t="s">
        <v>1720</v>
      </c>
      <c r="H3162" s="173" t="s">
        <v>1721</v>
      </c>
      <c r="I3162" s="173" t="s">
        <v>1722</v>
      </c>
      <c r="J3162" s="173" t="s">
        <v>1723</v>
      </c>
      <c r="K3162" s="173" t="s">
        <v>1746</v>
      </c>
      <c r="L3162" s="173" t="s">
        <v>1753</v>
      </c>
      <c r="M3162" s="173" t="s">
        <v>1730</v>
      </c>
      <c r="N3162" s="173" t="s">
        <v>1727</v>
      </c>
      <c r="O3162" s="173" t="s">
        <v>1728</v>
      </c>
      <c r="P3162" s="224"/>
      <c r="Q3162" s="224"/>
      <c r="R3162" s="224"/>
      <c r="S3162" s="224"/>
    </row>
    <row r="3163" spans="1:19" s="225" customFormat="1" ht="10.5" x14ac:dyDescent="0.25">
      <c r="A3163" s="229"/>
      <c r="B3163" s="230"/>
      <c r="C3163" s="184"/>
      <c r="D3163" s="185"/>
      <c r="E3163" s="185"/>
      <c r="F3163" s="185"/>
      <c r="G3163" s="185"/>
      <c r="H3163" s="185"/>
      <c r="I3163" s="185"/>
      <c r="J3163" s="185"/>
      <c r="K3163" s="185"/>
      <c r="L3163" s="197"/>
      <c r="M3163" s="185"/>
      <c r="N3163" s="185"/>
      <c r="O3163" s="185"/>
      <c r="P3163" s="231"/>
      <c r="Q3163" s="224"/>
    </row>
    <row r="3164" spans="1:19" s="225" customFormat="1" ht="10.5" x14ac:dyDescent="0.25">
      <c r="A3164" s="229"/>
      <c r="B3164" s="230" t="s">
        <v>1772</v>
      </c>
      <c r="C3164" s="177"/>
      <c r="D3164" s="178"/>
      <c r="E3164" s="178"/>
      <c r="F3164" s="178"/>
      <c r="G3164" s="178"/>
      <c r="H3164" s="178"/>
      <c r="I3164" s="178"/>
      <c r="J3164" s="178"/>
      <c r="K3164" s="178"/>
      <c r="L3164" s="190"/>
      <c r="M3164" s="178"/>
      <c r="N3164" s="178"/>
      <c r="O3164" s="178">
        <f>Quantitativos!BL120</f>
        <v>453.90722392076123</v>
      </c>
      <c r="P3164" s="231"/>
      <c r="Q3164" s="224"/>
    </row>
    <row r="3165" spans="1:19" s="225" customFormat="1" ht="10.5" x14ac:dyDescent="0.25">
      <c r="A3165" s="229"/>
      <c r="B3165" s="232" t="s">
        <v>5</v>
      </c>
      <c r="C3165" s="182" t="s">
        <v>1328</v>
      </c>
      <c r="D3165" s="182"/>
      <c r="E3165" s="182"/>
      <c r="F3165" s="182"/>
      <c r="G3165" s="182"/>
      <c r="H3165" s="182"/>
      <c r="I3165" s="182"/>
      <c r="J3165" s="182"/>
      <c r="K3165" s="182"/>
      <c r="L3165" s="182"/>
      <c r="M3165" s="184"/>
      <c r="N3165" s="182"/>
      <c r="O3165" s="182">
        <f>SUM(O3163:O3164)</f>
        <v>453.90722392076123</v>
      </c>
      <c r="P3165" s="233"/>
      <c r="Q3165" s="224"/>
    </row>
    <row r="3166" spans="1:19" s="235" customFormat="1" ht="31.5" x14ac:dyDescent="0.35">
      <c r="A3166" s="226" t="str">
        <f>ORÇAMENTO!A604</f>
        <v>6.1.2.1.10</v>
      </c>
      <c r="B3166" s="227" t="str">
        <f>VLOOKUP(A3166,ORÇAMENTO!A:K,4,0)</f>
        <v>TRANSPORTE COM CAMINHÃO BASCULANTE DE 14 M³, EM VIA URBANA PAVIMENTADA, DMT ATÉ 30 KM (UNIDADE: M3XKM). AF_07/2020</v>
      </c>
      <c r="C3166" s="173" t="str">
        <f>VLOOKUP(A3166,ORÇAMENTO!A:K,5,0)</f>
        <v>M3XKM</v>
      </c>
      <c r="D3166" s="173">
        <f>SUM(E3169:O3169)</f>
        <v>13617.216717622836</v>
      </c>
      <c r="E3166" s="173" t="s">
        <v>1752</v>
      </c>
      <c r="F3166" s="173" t="s">
        <v>1719</v>
      </c>
      <c r="G3166" s="173" t="s">
        <v>1720</v>
      </c>
      <c r="H3166" s="173" t="s">
        <v>1721</v>
      </c>
      <c r="I3166" s="173" t="s">
        <v>1722</v>
      </c>
      <c r="J3166" s="173" t="s">
        <v>1723</v>
      </c>
      <c r="K3166" s="173" t="s">
        <v>1746</v>
      </c>
      <c r="L3166" s="173" t="s">
        <v>1753</v>
      </c>
      <c r="M3166" s="173" t="s">
        <v>1750</v>
      </c>
      <c r="N3166" s="173" t="s">
        <v>1727</v>
      </c>
      <c r="O3166" s="173" t="s">
        <v>1728</v>
      </c>
      <c r="P3166" s="224"/>
      <c r="Q3166" s="224"/>
      <c r="R3166" s="224"/>
      <c r="S3166" s="224"/>
    </row>
    <row r="3167" spans="1:19" s="225" customFormat="1" ht="21" x14ac:dyDescent="0.25">
      <c r="A3167" s="229"/>
      <c r="B3167" s="230" t="s">
        <v>1773</v>
      </c>
      <c r="C3167" s="177"/>
      <c r="D3167" s="178"/>
      <c r="E3167" s="178">
        <v>30</v>
      </c>
      <c r="F3167" s="178"/>
      <c r="G3167" s="178"/>
      <c r="H3167" s="178"/>
      <c r="I3167" s="178"/>
      <c r="J3167" s="178"/>
      <c r="K3167" s="178"/>
      <c r="L3167" s="190"/>
      <c r="M3167" s="178">
        <f>E3167*O3167</f>
        <v>12940.416717622837</v>
      </c>
      <c r="N3167" s="178"/>
      <c r="O3167" s="178">
        <f>Quantitativos!BL122</f>
        <v>431.34722392076122</v>
      </c>
      <c r="P3167" s="231"/>
      <c r="Q3167" s="224"/>
    </row>
    <row r="3168" spans="1:19" s="225" customFormat="1" ht="21" x14ac:dyDescent="0.25">
      <c r="A3168" s="229"/>
      <c r="B3168" s="230" t="s">
        <v>1774</v>
      </c>
      <c r="C3168" s="177"/>
      <c r="D3168" s="178"/>
      <c r="E3168" s="178">
        <v>30</v>
      </c>
      <c r="F3168" s="178"/>
      <c r="G3168" s="178"/>
      <c r="H3168" s="178"/>
      <c r="I3168" s="178"/>
      <c r="J3168" s="178"/>
      <c r="K3168" s="178"/>
      <c r="L3168" s="190"/>
      <c r="M3168" s="178">
        <f>E3168*O3168</f>
        <v>676.8</v>
      </c>
      <c r="N3168" s="178"/>
      <c r="O3168" s="178">
        <f>Quantitativos!BL121</f>
        <v>22.56</v>
      </c>
      <c r="P3168" s="231"/>
      <c r="Q3168" s="224"/>
    </row>
    <row r="3169" spans="1:19" s="225" customFormat="1" ht="10.5" x14ac:dyDescent="0.25">
      <c r="A3169" s="229"/>
      <c r="B3169" s="232" t="s">
        <v>5</v>
      </c>
      <c r="C3169" s="182" t="s">
        <v>1328</v>
      </c>
      <c r="D3169" s="182"/>
      <c r="E3169" s="182"/>
      <c r="F3169" s="182"/>
      <c r="G3169" s="182"/>
      <c r="H3169" s="182"/>
      <c r="I3169" s="182"/>
      <c r="J3169" s="182"/>
      <c r="K3169" s="182"/>
      <c r="L3169" s="182"/>
      <c r="M3169" s="182">
        <f>SUM(M3167:M3168)</f>
        <v>13617.216717622836</v>
      </c>
      <c r="N3169" s="182"/>
      <c r="O3169" s="182"/>
      <c r="P3169" s="233"/>
      <c r="Q3169" s="224"/>
    </row>
    <row r="3170" spans="1:19" s="235" customFormat="1" ht="42" x14ac:dyDescent="0.35">
      <c r="A3170" s="226" t="str">
        <f>ORÇAMENTO!A605</f>
        <v>6.1.2.1.11</v>
      </c>
      <c r="B3170" s="227" t="str">
        <f>VLOOKUP(A3170,ORÇAMENTO!A:K,4,0)</f>
        <v>TRANSPORTE COM CAMINHÃO BASCULANTE DE 14 M³, EM VIA URBANA PAVIMENTADA, ADICIONAL PARA DMT EXCEDENTE A 30 KM (UNIDADE: M3XKM). AF_07/2020</v>
      </c>
      <c r="C3170" s="173" t="str">
        <f>VLOOKUP(A3170,ORÇAMENTO!A:K,5,0)</f>
        <v>M3XKM</v>
      </c>
      <c r="D3170" s="173">
        <f>SUM(E3173:O3173)</f>
        <v>7135.8185796748103</v>
      </c>
      <c r="E3170" s="173" t="s">
        <v>1752</v>
      </c>
      <c r="F3170" s="173" t="s">
        <v>1719</v>
      </c>
      <c r="G3170" s="173" t="s">
        <v>1720</v>
      </c>
      <c r="H3170" s="173" t="s">
        <v>1721</v>
      </c>
      <c r="I3170" s="173" t="s">
        <v>1722</v>
      </c>
      <c r="J3170" s="173" t="s">
        <v>1723</v>
      </c>
      <c r="K3170" s="173" t="s">
        <v>1746</v>
      </c>
      <c r="L3170" s="173" t="s">
        <v>1753</v>
      </c>
      <c r="M3170" s="173" t="s">
        <v>1750</v>
      </c>
      <c r="N3170" s="173" t="s">
        <v>1727</v>
      </c>
      <c r="O3170" s="173" t="s">
        <v>1728</v>
      </c>
      <c r="P3170" s="224"/>
      <c r="Q3170" s="224"/>
      <c r="R3170" s="224"/>
      <c r="S3170" s="224"/>
    </row>
    <row r="3171" spans="1:19" s="225" customFormat="1" ht="21" x14ac:dyDescent="0.25">
      <c r="A3171" s="229"/>
      <c r="B3171" s="230" t="str">
        <f>B3167</f>
        <v>TRANSPORTE ATÉ ATERRO ESTRUTURAL - BOTA FORA - MATERIAL NÃO APROVEITADO</v>
      </c>
      <c r="C3171" s="177"/>
      <c r="D3171" s="178"/>
      <c r="E3171" s="178">
        <f>44.2-E3167</f>
        <v>14.200000000000003</v>
      </c>
      <c r="F3171" s="178"/>
      <c r="G3171" s="178"/>
      <c r="H3171" s="178"/>
      <c r="I3171" s="178"/>
      <c r="J3171" s="178"/>
      <c r="K3171" s="178"/>
      <c r="L3171" s="190"/>
      <c r="M3171" s="178">
        <f>E3171*O3171</f>
        <v>6125.1305796748102</v>
      </c>
      <c r="N3171" s="178"/>
      <c r="O3171" s="178">
        <f>O3167</f>
        <v>431.34722392076122</v>
      </c>
      <c r="P3171" s="231"/>
      <c r="Q3171" s="224"/>
    </row>
    <row r="3172" spans="1:19" s="225" customFormat="1" ht="21" x14ac:dyDescent="0.25">
      <c r="A3172" s="229"/>
      <c r="B3172" s="230" t="str">
        <f>B3168</f>
        <v>TRANSPORTE ATÉ ATERRO SAMAMBIA - BOTA FORA - ROCHA</v>
      </c>
      <c r="C3172" s="177"/>
      <c r="D3172" s="178"/>
      <c r="E3172" s="178">
        <v>44.8</v>
      </c>
      <c r="F3172" s="178"/>
      <c r="G3172" s="178"/>
      <c r="H3172" s="178"/>
      <c r="I3172" s="178"/>
      <c r="J3172" s="178"/>
      <c r="K3172" s="178"/>
      <c r="L3172" s="190"/>
      <c r="M3172" s="178">
        <f>E3172*O3172</f>
        <v>1010.6879999999999</v>
      </c>
      <c r="N3172" s="178"/>
      <c r="O3172" s="178">
        <f>O3168</f>
        <v>22.56</v>
      </c>
      <c r="P3172" s="231"/>
      <c r="Q3172" s="224"/>
    </row>
    <row r="3173" spans="1:19" s="225" customFormat="1" ht="10.5" x14ac:dyDescent="0.25">
      <c r="A3173" s="229"/>
      <c r="B3173" s="232" t="s">
        <v>5</v>
      </c>
      <c r="C3173" s="182" t="s">
        <v>1328</v>
      </c>
      <c r="D3173" s="182"/>
      <c r="E3173" s="182"/>
      <c r="F3173" s="182"/>
      <c r="G3173" s="182"/>
      <c r="H3173" s="182"/>
      <c r="I3173" s="182"/>
      <c r="J3173" s="182"/>
      <c r="K3173" s="182"/>
      <c r="L3173" s="182"/>
      <c r="M3173" s="182">
        <f>SUM(M3171:M3172)</f>
        <v>7135.8185796748103</v>
      </c>
      <c r="N3173" s="182"/>
      <c r="O3173" s="182"/>
      <c r="P3173" s="233"/>
      <c r="Q3173" s="224"/>
    </row>
    <row r="3174" spans="1:19" s="235" customFormat="1" ht="21" x14ac:dyDescent="0.35">
      <c r="A3174" s="226" t="str">
        <f>ORÇAMENTO!A606</f>
        <v>6.1.2.1.12</v>
      </c>
      <c r="B3174" s="227" t="str">
        <f>VLOOKUP(A3174,ORÇAMENTO!A:K,4,0)</f>
        <v>ESPALHAMENTO DE MATERIAL COM TRATOR DE ESTEIRAS. AF_09/2024</v>
      </c>
      <c r="C3174" s="173" t="str">
        <f>VLOOKUP(A3174,ORÇAMENTO!A:K,5,0)</f>
        <v>M³</v>
      </c>
      <c r="D3174" s="173">
        <f>SUM(E3176:O3176)</f>
        <v>453.90722392076123</v>
      </c>
      <c r="E3174" s="173" t="s">
        <v>1752</v>
      </c>
      <c r="F3174" s="173" t="s">
        <v>1719</v>
      </c>
      <c r="G3174" s="173" t="s">
        <v>1720</v>
      </c>
      <c r="H3174" s="173" t="s">
        <v>1721</v>
      </c>
      <c r="I3174" s="173" t="s">
        <v>1722</v>
      </c>
      <c r="J3174" s="173" t="s">
        <v>1723</v>
      </c>
      <c r="K3174" s="173" t="s">
        <v>1746</v>
      </c>
      <c r="L3174" s="173" t="s">
        <v>1753</v>
      </c>
      <c r="M3174" s="173" t="s">
        <v>1750</v>
      </c>
      <c r="N3174" s="173" t="s">
        <v>1727</v>
      </c>
      <c r="O3174" s="173" t="s">
        <v>1728</v>
      </c>
      <c r="P3174" s="224"/>
      <c r="Q3174" s="224"/>
      <c r="R3174" s="224"/>
      <c r="S3174" s="224"/>
    </row>
    <row r="3175" spans="1:19" s="225" customFormat="1" ht="10.5" x14ac:dyDescent="0.25">
      <c r="A3175" s="229"/>
      <c r="B3175" s="230" t="s">
        <v>1775</v>
      </c>
      <c r="C3175" s="177"/>
      <c r="D3175" s="178"/>
      <c r="E3175" s="178"/>
      <c r="F3175" s="178"/>
      <c r="G3175" s="178"/>
      <c r="H3175" s="178"/>
      <c r="I3175" s="178"/>
      <c r="J3175" s="178"/>
      <c r="K3175" s="178"/>
      <c r="L3175" s="190"/>
      <c r="M3175" s="178"/>
      <c r="N3175" s="178"/>
      <c r="O3175" s="178">
        <f>Quantitativos!BL120</f>
        <v>453.90722392076123</v>
      </c>
      <c r="P3175" s="231"/>
      <c r="Q3175" s="224"/>
    </row>
    <row r="3176" spans="1:19" s="225" customFormat="1" ht="10.5" x14ac:dyDescent="0.25">
      <c r="A3176" s="229"/>
      <c r="B3176" s="232" t="s">
        <v>5</v>
      </c>
      <c r="C3176" s="182" t="s">
        <v>1328</v>
      </c>
      <c r="D3176" s="182"/>
      <c r="E3176" s="182"/>
      <c r="F3176" s="182"/>
      <c r="G3176" s="182"/>
      <c r="H3176" s="182"/>
      <c r="I3176" s="182"/>
      <c r="J3176" s="182"/>
      <c r="K3176" s="182"/>
      <c r="L3176" s="182"/>
      <c r="M3176" s="182"/>
      <c r="N3176" s="182"/>
      <c r="O3176" s="182">
        <f>SUM(O3175)</f>
        <v>453.90722392076123</v>
      </c>
      <c r="P3176" s="233"/>
      <c r="Q3176" s="224"/>
    </row>
    <row r="3177" spans="1:19" s="225" customFormat="1" ht="10.5" x14ac:dyDescent="0.25">
      <c r="A3177" s="222" t="str">
        <f>ORÇAMENTO!A607</f>
        <v>6.1.2.2</v>
      </c>
      <c r="B3177" s="223" t="str">
        <f>VLOOKUP(A3177,ORÇAMENTO!A:K,4,0)</f>
        <v>ESGOTAMENTO DE VALAS</v>
      </c>
      <c r="C3177" s="167"/>
      <c r="D3177" s="167"/>
      <c r="E3177" s="168"/>
      <c r="F3177" s="168"/>
      <c r="G3177" s="168"/>
      <c r="H3177" s="168"/>
      <c r="I3177" s="168"/>
      <c r="J3177" s="168"/>
      <c r="K3177" s="168"/>
      <c r="L3177" s="168"/>
      <c r="M3177" s="168"/>
      <c r="N3177" s="168"/>
      <c r="O3177" s="168"/>
      <c r="P3177" s="224"/>
      <c r="Q3177" s="224"/>
    </row>
    <row r="3178" spans="1:19" s="228" customFormat="1" ht="21" x14ac:dyDescent="0.25">
      <c r="A3178" s="226" t="str">
        <f>ORÇAMENTO!A608</f>
        <v>6.1.2.2.1</v>
      </c>
      <c r="B3178" s="227" t="str">
        <f>VLOOKUP(A3178,ORÇAMENTO!A:K,4,0)</f>
        <v>ESGOTAMENTO DE ÁGUA COM BOMBA SUBMERSA</v>
      </c>
      <c r="C3178" s="173" t="str">
        <f>VLOOKUP(A3178,ORÇAMENTO!A:K,5,0)</f>
        <v>H</v>
      </c>
      <c r="D3178" s="173">
        <f>SUM(E3181:O3181)</f>
        <v>4.1826852966510426</v>
      </c>
      <c r="E3178" s="173" t="s">
        <v>1718</v>
      </c>
      <c r="F3178" s="173" t="s">
        <v>1719</v>
      </c>
      <c r="G3178" s="173" t="s">
        <v>1720</v>
      </c>
      <c r="H3178" s="173" t="s">
        <v>1721</v>
      </c>
      <c r="I3178" s="173" t="s">
        <v>1722</v>
      </c>
      <c r="J3178" s="173" t="s">
        <v>1723</v>
      </c>
      <c r="K3178" s="173" t="s">
        <v>1724</v>
      </c>
      <c r="L3178" s="173" t="s">
        <v>1753</v>
      </c>
      <c r="M3178" s="173" t="s">
        <v>1730</v>
      </c>
      <c r="N3178" s="173" t="s">
        <v>1727</v>
      </c>
      <c r="O3178" s="173" t="s">
        <v>1728</v>
      </c>
      <c r="P3178" s="224"/>
      <c r="Q3178" s="224"/>
    </row>
    <row r="3179" spans="1:19" s="225" customFormat="1" ht="10.5" x14ac:dyDescent="0.25">
      <c r="A3179" s="229"/>
      <c r="B3179" s="232" t="str">
        <f>Quantitativos!AS98</f>
        <v>ESGOTAMENTO</v>
      </c>
      <c r="C3179" s="184"/>
      <c r="D3179" s="185"/>
      <c r="E3179" s="185"/>
      <c r="F3179" s="185"/>
      <c r="G3179" s="185"/>
      <c r="H3179" s="185"/>
      <c r="I3179" s="185"/>
      <c r="J3179" s="185"/>
      <c r="K3179" s="185"/>
      <c r="L3179" s="185"/>
      <c r="M3179" s="185"/>
      <c r="N3179" s="185"/>
      <c r="O3179" s="185">
        <f>Quantitativos!AS120</f>
        <v>4.1826852966510426</v>
      </c>
      <c r="P3179" s="224"/>
      <c r="Q3179" s="224"/>
    </row>
    <row r="3180" spans="1:19" s="225" customFormat="1" ht="10.5" x14ac:dyDescent="0.25">
      <c r="A3180" s="229"/>
      <c r="B3180" s="230"/>
      <c r="C3180" s="184"/>
      <c r="D3180" s="185"/>
      <c r="E3180" s="185"/>
      <c r="F3180" s="185"/>
      <c r="G3180" s="185"/>
      <c r="H3180" s="185"/>
      <c r="I3180" s="185"/>
      <c r="J3180" s="185"/>
      <c r="K3180" s="185"/>
      <c r="L3180" s="185"/>
      <c r="M3180" s="185"/>
      <c r="N3180" s="185"/>
      <c r="O3180" s="185"/>
      <c r="P3180" s="231"/>
      <c r="Q3180" s="224"/>
    </row>
    <row r="3181" spans="1:19" s="225" customFormat="1" ht="10.5" x14ac:dyDescent="0.25">
      <c r="A3181" s="229"/>
      <c r="B3181" s="232" t="s">
        <v>5</v>
      </c>
      <c r="C3181" s="182" t="s">
        <v>1328</v>
      </c>
      <c r="D3181" s="182"/>
      <c r="E3181" s="182"/>
      <c r="F3181" s="182"/>
      <c r="G3181" s="182"/>
      <c r="H3181" s="182"/>
      <c r="I3181" s="182"/>
      <c r="J3181" s="182"/>
      <c r="K3181" s="182"/>
      <c r="L3181" s="182"/>
      <c r="M3181" s="182"/>
      <c r="N3181" s="182"/>
      <c r="O3181" s="182">
        <f>SUM(O3179:O3180)</f>
        <v>4.1826852966510426</v>
      </c>
      <c r="P3181" s="233"/>
      <c r="Q3181" s="224"/>
    </row>
    <row r="3182" spans="1:19" s="225" customFormat="1" ht="21" x14ac:dyDescent="0.25">
      <c r="A3182" s="222" t="str">
        <f>ORÇAMENTO!A609</f>
        <v>6.1.2.3</v>
      </c>
      <c r="B3182" s="223" t="str">
        <f>VLOOKUP(A3182,ORÇAMENTO!A:K,4,0)</f>
        <v>ESCORAMENTOS DE VALAS PARA REDE DE DRENAGEM</v>
      </c>
      <c r="C3182" s="167"/>
      <c r="D3182" s="167"/>
      <c r="E3182" s="168"/>
      <c r="F3182" s="168"/>
      <c r="G3182" s="168"/>
      <c r="H3182" s="168"/>
      <c r="I3182" s="168"/>
      <c r="J3182" s="168"/>
      <c r="K3182" s="168"/>
      <c r="L3182" s="168"/>
      <c r="M3182" s="168"/>
      <c r="N3182" s="168"/>
      <c r="O3182" s="168"/>
      <c r="P3182" s="224"/>
      <c r="Q3182" s="224"/>
    </row>
    <row r="3183" spans="1:19" s="228" customFormat="1" ht="42" x14ac:dyDescent="0.25">
      <c r="A3183" s="226" t="str">
        <f>ORÇAMENTO!A610</f>
        <v>6.1.2.3.1</v>
      </c>
      <c r="B3183" s="227" t="str">
        <f>VLOOKUP(A3183,ORÇAMENTO!A:K,4,0)</f>
        <v>ESCORAMENTO DE VALA, TIPO BLINDAGEM, COM PROFUNDIDADE DE 0 A 1,5 M, LARGURA MENOR QUE 1,5 M - EXECUÇÃO E FORNECIMENTO, INCLUI MATERIAL (ESCAVAÇÃO EXTERNA AO BLINDADO)</v>
      </c>
      <c r="C3183" s="173" t="str">
        <f>VLOOKUP(A3183,ORÇAMENTO!A:K,5,0)</f>
        <v>M²</v>
      </c>
      <c r="D3183" s="173">
        <f>SUM(E3186:O3186)</f>
        <v>1511.9999999979614</v>
      </c>
      <c r="E3183" s="173" t="s">
        <v>1718</v>
      </c>
      <c r="F3183" s="173" t="s">
        <v>1719</v>
      </c>
      <c r="G3183" s="173" t="s">
        <v>1720</v>
      </c>
      <c r="H3183" s="173" t="s">
        <v>1721</v>
      </c>
      <c r="I3183" s="173" t="s">
        <v>1722</v>
      </c>
      <c r="J3183" s="173" t="s">
        <v>1723</v>
      </c>
      <c r="K3183" s="173" t="s">
        <v>1724</v>
      </c>
      <c r="L3183" s="173" t="s">
        <v>1753</v>
      </c>
      <c r="M3183" s="173" t="s">
        <v>1730</v>
      </c>
      <c r="N3183" s="173" t="s">
        <v>1727</v>
      </c>
      <c r="O3183" s="173" t="s">
        <v>1728</v>
      </c>
      <c r="P3183" s="224"/>
      <c r="Q3183" s="224"/>
    </row>
    <row r="3184" spans="1:19" s="225" customFormat="1" ht="10.5" x14ac:dyDescent="0.25">
      <c r="A3184" s="229"/>
      <c r="B3184" s="232" t="s">
        <v>1731</v>
      </c>
      <c r="C3184" s="177"/>
      <c r="D3184" s="178"/>
      <c r="E3184" s="178"/>
      <c r="F3184" s="178"/>
      <c r="G3184" s="178"/>
      <c r="H3184" s="178"/>
      <c r="I3184" s="178"/>
      <c r="J3184" s="178"/>
      <c r="K3184" s="178"/>
      <c r="L3184" s="178"/>
      <c r="M3184" s="178"/>
      <c r="N3184" s="178">
        <f>Quantitativos!DG120</f>
        <v>1511.9999999979614</v>
      </c>
      <c r="O3184" s="178"/>
      <c r="P3184" s="224"/>
      <c r="Q3184" s="224"/>
    </row>
    <row r="3185" spans="1:17" s="225" customFormat="1" ht="10.5" x14ac:dyDescent="0.25">
      <c r="A3185" s="229"/>
      <c r="B3185" s="230"/>
      <c r="C3185" s="177"/>
      <c r="D3185" s="178"/>
      <c r="E3185" s="178"/>
      <c r="F3185" s="178"/>
      <c r="G3185" s="178"/>
      <c r="H3185" s="178"/>
      <c r="I3185" s="178"/>
      <c r="J3185" s="178"/>
      <c r="K3185" s="178"/>
      <c r="L3185" s="178"/>
      <c r="M3185" s="178"/>
      <c r="N3185" s="178"/>
      <c r="O3185" s="178"/>
      <c r="P3185" s="231"/>
      <c r="Q3185" s="224"/>
    </row>
    <row r="3186" spans="1:17" s="225" customFormat="1" ht="10.5" x14ac:dyDescent="0.25">
      <c r="A3186" s="229"/>
      <c r="B3186" s="232" t="s">
        <v>5</v>
      </c>
      <c r="C3186" s="182" t="s">
        <v>1328</v>
      </c>
      <c r="D3186" s="182"/>
      <c r="E3186" s="182"/>
      <c r="F3186" s="182"/>
      <c r="G3186" s="182"/>
      <c r="H3186" s="182"/>
      <c r="I3186" s="182"/>
      <c r="J3186" s="182"/>
      <c r="K3186" s="182"/>
      <c r="L3186" s="182"/>
      <c r="M3186" s="182"/>
      <c r="N3186" s="182">
        <f>SUM(N3184:N3185)</f>
        <v>1511.9999999979614</v>
      </c>
      <c r="O3186" s="182"/>
      <c r="P3186" s="233"/>
      <c r="Q3186" s="224"/>
    </row>
    <row r="3187" spans="1:17" s="228" customFormat="1" ht="42" x14ac:dyDescent="0.25">
      <c r="A3187" s="226" t="str">
        <f>ORÇAMENTO!A611</f>
        <v>6.1.2.3.2</v>
      </c>
      <c r="B3187" s="227" t="str">
        <f>VLOOKUP(A3187,ORÇAMENTO!A:K,4,0)</f>
        <v>ESCORAMENTO DE VALA, TIPO BLINDAGEM, COM PROFUNDIDADE DE 1,5 A 3,0 M, LARGURA MENOR QUE 1,5 M - EXECUÇÃO E FORNECIMENTO, INCLUI MATERIAL (ESCAVAÇÃO INTERNA AO BLINDADO)</v>
      </c>
      <c r="C3187" s="173" t="str">
        <f>VLOOKUP(A3187,ORÇAMENTO!A:K,5,0)</f>
        <v>M²</v>
      </c>
      <c r="D3187" s="173">
        <f>SUM(E3190:O3190)</f>
        <v>518.22859999922434</v>
      </c>
      <c r="E3187" s="173" t="s">
        <v>1718</v>
      </c>
      <c r="F3187" s="173" t="s">
        <v>1719</v>
      </c>
      <c r="G3187" s="173" t="s">
        <v>1720</v>
      </c>
      <c r="H3187" s="173" t="s">
        <v>1721</v>
      </c>
      <c r="I3187" s="173" t="s">
        <v>1722</v>
      </c>
      <c r="J3187" s="173" t="s">
        <v>1723</v>
      </c>
      <c r="K3187" s="173" t="s">
        <v>1724</v>
      </c>
      <c r="L3187" s="173" t="s">
        <v>1753</v>
      </c>
      <c r="M3187" s="173" t="s">
        <v>1730</v>
      </c>
      <c r="N3187" s="173" t="s">
        <v>1727</v>
      </c>
      <c r="O3187" s="173" t="s">
        <v>1728</v>
      </c>
      <c r="P3187" s="224"/>
      <c r="Q3187" s="224"/>
    </row>
    <row r="3188" spans="1:17" s="225" customFormat="1" ht="10.5" x14ac:dyDescent="0.25">
      <c r="A3188" s="229"/>
      <c r="B3188" s="232" t="s">
        <v>1731</v>
      </c>
      <c r="C3188" s="177"/>
      <c r="D3188" s="178"/>
      <c r="E3188" s="178"/>
      <c r="F3188" s="178"/>
      <c r="G3188" s="178"/>
      <c r="H3188" s="178"/>
      <c r="I3188" s="178"/>
      <c r="J3188" s="178"/>
      <c r="K3188" s="178"/>
      <c r="L3188" s="178"/>
      <c r="M3188" s="178"/>
      <c r="N3188" s="178">
        <f>Quantitativos!DH120</f>
        <v>518.22859999922434</v>
      </c>
      <c r="O3188" s="178"/>
      <c r="P3188" s="224"/>
      <c r="Q3188" s="224"/>
    </row>
    <row r="3189" spans="1:17" s="225" customFormat="1" ht="10.5" x14ac:dyDescent="0.25">
      <c r="A3189" s="229"/>
      <c r="B3189" s="230"/>
      <c r="C3189" s="177"/>
      <c r="D3189" s="178"/>
      <c r="E3189" s="178"/>
      <c r="F3189" s="178"/>
      <c r="G3189" s="178"/>
      <c r="H3189" s="178"/>
      <c r="I3189" s="178"/>
      <c r="J3189" s="178"/>
      <c r="K3189" s="178"/>
      <c r="L3189" s="178"/>
      <c r="M3189" s="178"/>
      <c r="N3189" s="182"/>
      <c r="O3189" s="178"/>
      <c r="P3189" s="231"/>
      <c r="Q3189" s="224"/>
    </row>
    <row r="3190" spans="1:17" s="225" customFormat="1" ht="10.5" x14ac:dyDescent="0.25">
      <c r="A3190" s="229"/>
      <c r="B3190" s="232" t="s">
        <v>5</v>
      </c>
      <c r="C3190" s="182" t="s">
        <v>1328</v>
      </c>
      <c r="D3190" s="182"/>
      <c r="E3190" s="182"/>
      <c r="F3190" s="182"/>
      <c r="G3190" s="182"/>
      <c r="H3190" s="182"/>
      <c r="I3190" s="182"/>
      <c r="J3190" s="182"/>
      <c r="K3190" s="182"/>
      <c r="L3190" s="182"/>
      <c r="M3190" s="182"/>
      <c r="N3190" s="182">
        <f>SUM(N3188:N3189)</f>
        <v>518.22859999922434</v>
      </c>
      <c r="O3190" s="182"/>
      <c r="P3190" s="233"/>
      <c r="Q3190" s="224"/>
    </row>
    <row r="3191" spans="1:17" s="228" customFormat="1" ht="52.5" x14ac:dyDescent="0.25">
      <c r="A3191" s="226" t="str">
        <f>ORÇAMENTO!A612</f>
        <v>6.1.2.3.3</v>
      </c>
      <c r="B3191" s="227" t="str">
        <f>VLOOKUP(A3191,ORÇAMENTO!A:K,4,0)</f>
        <v>ESCORAMENTO DE VALA, TIPO BLINDADEM, COM PROFUNDIDADE DE 0 A 1,5 M, LARGURA MAIOR OU IGUAL A 1,5 M EMENOR QUE 2,5 M - EXECUÇÃO E FORNECIMENTO, INCLUI MATERIAL (ESCAVAÇÃO EXTERNA AO BLINDADO)</v>
      </c>
      <c r="C3191" s="173" t="str">
        <f>VLOOKUP(A3191,ORÇAMENTO!A:K,5,0)</f>
        <v>M²</v>
      </c>
      <c r="D3191" s="173">
        <f>SUM(E3194:O3194)</f>
        <v>105.32104606159345</v>
      </c>
      <c r="E3191" s="173" t="s">
        <v>1718</v>
      </c>
      <c r="F3191" s="173" t="s">
        <v>1719</v>
      </c>
      <c r="G3191" s="173" t="s">
        <v>1720</v>
      </c>
      <c r="H3191" s="173" t="s">
        <v>1721</v>
      </c>
      <c r="I3191" s="173" t="s">
        <v>1722</v>
      </c>
      <c r="J3191" s="173" t="s">
        <v>1723</v>
      </c>
      <c r="K3191" s="173" t="s">
        <v>1724</v>
      </c>
      <c r="L3191" s="173" t="s">
        <v>1753</v>
      </c>
      <c r="M3191" s="173" t="s">
        <v>1730</v>
      </c>
      <c r="N3191" s="173" t="s">
        <v>1727</v>
      </c>
      <c r="O3191" s="173" t="s">
        <v>1728</v>
      </c>
      <c r="P3191" s="224"/>
      <c r="Q3191" s="224"/>
    </row>
    <row r="3192" spans="1:17" s="225" customFormat="1" ht="10.5" x14ac:dyDescent="0.25">
      <c r="A3192" s="229"/>
      <c r="B3192" s="232" t="s">
        <v>1731</v>
      </c>
      <c r="C3192" s="184"/>
      <c r="D3192" s="185"/>
      <c r="E3192" s="185"/>
      <c r="F3192" s="185"/>
      <c r="G3192" s="185"/>
      <c r="H3192" s="185"/>
      <c r="I3192" s="185"/>
      <c r="J3192" s="185"/>
      <c r="K3192" s="185"/>
      <c r="L3192" s="185"/>
      <c r="M3192" s="185"/>
      <c r="N3192" s="185">
        <f>Quantitativos!DJ120</f>
        <v>105.32104606159345</v>
      </c>
      <c r="O3192" s="185"/>
      <c r="P3192" s="224"/>
      <c r="Q3192" s="224"/>
    </row>
    <row r="3193" spans="1:17" s="225" customFormat="1" ht="10.5" x14ac:dyDescent="0.25">
      <c r="A3193" s="229"/>
      <c r="B3193" s="230"/>
      <c r="C3193" s="184"/>
      <c r="D3193" s="185"/>
      <c r="E3193" s="185"/>
      <c r="F3193" s="185"/>
      <c r="G3193" s="185"/>
      <c r="H3193" s="185"/>
      <c r="I3193" s="185"/>
      <c r="J3193" s="185"/>
      <c r="K3193" s="185"/>
      <c r="L3193" s="185"/>
      <c r="M3193" s="185"/>
      <c r="N3193" s="185"/>
      <c r="O3193" s="185"/>
      <c r="P3193" s="231"/>
      <c r="Q3193" s="224"/>
    </row>
    <row r="3194" spans="1:17" s="225" customFormat="1" ht="10.5" x14ac:dyDescent="0.25">
      <c r="A3194" s="229"/>
      <c r="B3194" s="232" t="s">
        <v>5</v>
      </c>
      <c r="C3194" s="182" t="s">
        <v>1328</v>
      </c>
      <c r="D3194" s="182"/>
      <c r="E3194" s="182"/>
      <c r="F3194" s="182"/>
      <c r="G3194" s="182"/>
      <c r="H3194" s="182"/>
      <c r="I3194" s="182"/>
      <c r="J3194" s="182"/>
      <c r="K3194" s="182"/>
      <c r="L3194" s="182"/>
      <c r="M3194" s="182"/>
      <c r="N3194" s="182">
        <f>SUM(N3192:N3193)</f>
        <v>105.32104606159345</v>
      </c>
      <c r="O3194" s="182"/>
      <c r="P3194" s="233"/>
      <c r="Q3194" s="224"/>
    </row>
    <row r="3195" spans="1:17" s="228" customFormat="1" ht="42" x14ac:dyDescent="0.25">
      <c r="A3195" s="226" t="str">
        <f>ORÇAMENTO!A613</f>
        <v>6.1.2.3.4</v>
      </c>
      <c r="B3195" s="227" t="str">
        <f>VLOOKUP(A3195,ORÇAMENTO!A:K,4,0)</f>
        <v>ESCORAMENTO DE VALA, TIPO BLINDAGEM, COM PROFUNDIDADE DE 1,5 A 3,0 M, LARGURA DE 1,5 A 2,5 M -EXECUÇÃO E FORNECIMENTO, INCLUI MATERIAL (ESCAVAÇÃO INTERNA AO BLINDADO)</v>
      </c>
      <c r="C3195" s="173" t="str">
        <f>VLOOKUP(A3195,ORÇAMENTO!A:K,5,0)</f>
        <v>M²</v>
      </c>
      <c r="D3195" s="173">
        <f>SUM(E3198:O3198)</f>
        <v>105.32104606159345</v>
      </c>
      <c r="E3195" s="173" t="s">
        <v>1718</v>
      </c>
      <c r="F3195" s="173" t="s">
        <v>1719</v>
      </c>
      <c r="G3195" s="173" t="s">
        <v>1720</v>
      </c>
      <c r="H3195" s="173" t="s">
        <v>1721</v>
      </c>
      <c r="I3195" s="173" t="s">
        <v>1722</v>
      </c>
      <c r="J3195" s="173" t="s">
        <v>1723</v>
      </c>
      <c r="K3195" s="173" t="s">
        <v>1724</v>
      </c>
      <c r="L3195" s="173" t="s">
        <v>1753</v>
      </c>
      <c r="M3195" s="173" t="s">
        <v>1730</v>
      </c>
      <c r="N3195" s="173" t="s">
        <v>1727</v>
      </c>
      <c r="O3195" s="173" t="s">
        <v>1728</v>
      </c>
      <c r="P3195" s="224"/>
      <c r="Q3195" s="224"/>
    </row>
    <row r="3196" spans="1:17" s="225" customFormat="1" ht="10.5" x14ac:dyDescent="0.25">
      <c r="A3196" s="229"/>
      <c r="B3196" s="232" t="s">
        <v>1731</v>
      </c>
      <c r="C3196" s="184"/>
      <c r="D3196" s="185"/>
      <c r="E3196" s="185"/>
      <c r="F3196" s="185"/>
      <c r="G3196" s="185"/>
      <c r="H3196" s="185"/>
      <c r="I3196" s="185"/>
      <c r="J3196" s="185"/>
      <c r="K3196" s="185"/>
      <c r="L3196" s="185"/>
      <c r="M3196" s="185"/>
      <c r="N3196" s="185">
        <f>Quantitativos!DK120</f>
        <v>105.32104606159345</v>
      </c>
      <c r="O3196" s="185"/>
      <c r="P3196" s="224"/>
      <c r="Q3196" s="224"/>
    </row>
    <row r="3197" spans="1:17" s="225" customFormat="1" ht="10.5" x14ac:dyDescent="0.25">
      <c r="A3197" s="229"/>
      <c r="B3197" s="230"/>
      <c r="C3197" s="184"/>
      <c r="D3197" s="185"/>
      <c r="E3197" s="185"/>
      <c r="F3197" s="185"/>
      <c r="G3197" s="185"/>
      <c r="H3197" s="185"/>
      <c r="I3197" s="185"/>
      <c r="J3197" s="185"/>
      <c r="K3197" s="185"/>
      <c r="L3197" s="185"/>
      <c r="M3197" s="185"/>
      <c r="N3197" s="182"/>
      <c r="O3197" s="185"/>
      <c r="P3197" s="231"/>
      <c r="Q3197" s="224"/>
    </row>
    <row r="3198" spans="1:17" s="225" customFormat="1" ht="10.5" x14ac:dyDescent="0.25">
      <c r="A3198" s="229"/>
      <c r="B3198" s="232" t="s">
        <v>5</v>
      </c>
      <c r="C3198" s="182" t="s">
        <v>1328</v>
      </c>
      <c r="D3198" s="182"/>
      <c r="E3198" s="182"/>
      <c r="F3198" s="182"/>
      <c r="G3198" s="182"/>
      <c r="H3198" s="182"/>
      <c r="I3198" s="182"/>
      <c r="J3198" s="182"/>
      <c r="K3198" s="182"/>
      <c r="L3198" s="182"/>
      <c r="M3198" s="182"/>
      <c r="N3198" s="182">
        <f>SUM(N3196:N3197)</f>
        <v>105.32104606159345</v>
      </c>
      <c r="O3198" s="182"/>
      <c r="P3198" s="233"/>
      <c r="Q3198" s="224"/>
    </row>
    <row r="3199" spans="1:17" s="228" customFormat="1" ht="52.5" x14ac:dyDescent="0.25">
      <c r="A3199" s="226" t="str">
        <f>ORÇAMENTO!A614</f>
        <v>6.1.2.3.5</v>
      </c>
      <c r="B3199" s="227" t="str">
        <f>VLOOKUP(A3199,ORÇAMENTO!A:K,4,0)</f>
        <v>ESCORAMENTO DE VALA, TIPO BLINDAGEM, COM PROFUNDIDADE DE 3,0 A 4,5 M, LARGURA MAIOR OU IGUAL A 1,5 M EMENOR QUE 2,5 M - EXECUÇÃO E FORNECIMENTO, INCLUI MATERIAL (ESCAVAÇÃO EXTERNA AO BLINDADO)</v>
      </c>
      <c r="C3199" s="173" t="str">
        <f>VLOOKUP(A3199,ORÇAMENTO!A:K,5,0)</f>
        <v>M²</v>
      </c>
      <c r="D3199" s="173">
        <f>SUM(E3202:O3202)</f>
        <v>2.8085612283091299</v>
      </c>
      <c r="E3199" s="173" t="s">
        <v>1718</v>
      </c>
      <c r="F3199" s="173" t="s">
        <v>1719</v>
      </c>
      <c r="G3199" s="173" t="s">
        <v>1720</v>
      </c>
      <c r="H3199" s="173" t="s">
        <v>1721</v>
      </c>
      <c r="I3199" s="173" t="s">
        <v>1722</v>
      </c>
      <c r="J3199" s="173" t="s">
        <v>1723</v>
      </c>
      <c r="K3199" s="173" t="s">
        <v>1724</v>
      </c>
      <c r="L3199" s="173" t="s">
        <v>1753</v>
      </c>
      <c r="M3199" s="173" t="s">
        <v>1730</v>
      </c>
      <c r="N3199" s="173" t="s">
        <v>1727</v>
      </c>
      <c r="O3199" s="173" t="s">
        <v>1728</v>
      </c>
      <c r="P3199" s="224"/>
      <c r="Q3199" s="224"/>
    </row>
    <row r="3200" spans="1:17" s="225" customFormat="1" ht="10.5" x14ac:dyDescent="0.25">
      <c r="A3200" s="229"/>
      <c r="B3200" s="232" t="s">
        <v>1731</v>
      </c>
      <c r="C3200" s="184"/>
      <c r="D3200" s="185"/>
      <c r="E3200" s="185"/>
      <c r="F3200" s="185"/>
      <c r="G3200" s="185"/>
      <c r="H3200" s="185"/>
      <c r="I3200" s="185"/>
      <c r="J3200" s="185"/>
      <c r="K3200" s="185"/>
      <c r="L3200" s="185"/>
      <c r="M3200" s="185"/>
      <c r="N3200" s="185">
        <f>Quantitativos!DL120</f>
        <v>2.8085612283091299</v>
      </c>
      <c r="O3200" s="185"/>
      <c r="P3200" s="224"/>
      <c r="Q3200" s="224"/>
    </row>
    <row r="3201" spans="1:17" s="225" customFormat="1" ht="10.5" x14ac:dyDescent="0.25">
      <c r="A3201" s="229"/>
      <c r="B3201" s="230"/>
      <c r="C3201" s="184"/>
      <c r="D3201" s="185"/>
      <c r="E3201" s="185"/>
      <c r="F3201" s="185"/>
      <c r="G3201" s="185"/>
      <c r="H3201" s="185"/>
      <c r="I3201" s="185"/>
      <c r="J3201" s="185"/>
      <c r="K3201" s="185"/>
      <c r="L3201" s="185"/>
      <c r="M3201" s="185"/>
      <c r="N3201" s="182"/>
      <c r="O3201" s="185"/>
      <c r="P3201" s="231"/>
      <c r="Q3201" s="224"/>
    </row>
    <row r="3202" spans="1:17" s="225" customFormat="1" ht="10.5" x14ac:dyDescent="0.25">
      <c r="A3202" s="229"/>
      <c r="B3202" s="232" t="s">
        <v>5</v>
      </c>
      <c r="C3202" s="182" t="s">
        <v>1328</v>
      </c>
      <c r="D3202" s="182"/>
      <c r="E3202" s="182"/>
      <c r="F3202" s="182"/>
      <c r="G3202" s="182"/>
      <c r="H3202" s="182"/>
      <c r="I3202" s="182"/>
      <c r="J3202" s="182"/>
      <c r="K3202" s="182"/>
      <c r="L3202" s="182"/>
      <c r="M3202" s="182"/>
      <c r="N3202" s="182">
        <f>SUM(N3200:N3201)</f>
        <v>2.8085612283091299</v>
      </c>
      <c r="O3202" s="182"/>
      <c r="P3202" s="233"/>
      <c r="Q3202" s="224"/>
    </row>
    <row r="3203" spans="1:17" s="228" customFormat="1" ht="52.5" x14ac:dyDescent="0.25">
      <c r="A3203" s="226" t="str">
        <f>ORÇAMENTO!A615</f>
        <v>6.1.2.3.6</v>
      </c>
      <c r="B3203" s="227" t="str">
        <f>VLOOKUP(A3203,ORÇAMENTO!A:K,4,0)</f>
        <v>ESCORAMENTO DE VALA, TIPO BLINDADEM, COM PROFUNDIDADE DE 0 A 1,5 M, LARGURA MAIOR OU IGUAL A 2,5 M EMENOR QUE 3,5 M - EXECUÇÃO E FORNECIMENTO, INCLUI MATERIAL (ESCAVAÇÃO EXTERNA AO BLINDADO)</v>
      </c>
      <c r="C3203" s="173" t="str">
        <f>VLOOKUP(A3203,ORÇAMENTO!A:K,5,0)</f>
        <v>M²</v>
      </c>
      <c r="D3203" s="173">
        <f>SUM(E3206:O3206)</f>
        <v>299.31964703385944</v>
      </c>
      <c r="E3203" s="173" t="s">
        <v>1718</v>
      </c>
      <c r="F3203" s="173" t="s">
        <v>1719</v>
      </c>
      <c r="G3203" s="173" t="s">
        <v>1720</v>
      </c>
      <c r="H3203" s="173" t="s">
        <v>1721</v>
      </c>
      <c r="I3203" s="173" t="s">
        <v>1722</v>
      </c>
      <c r="J3203" s="173" t="s">
        <v>1723</v>
      </c>
      <c r="K3203" s="173" t="s">
        <v>1724</v>
      </c>
      <c r="L3203" s="173" t="s">
        <v>1753</v>
      </c>
      <c r="M3203" s="173" t="s">
        <v>1730</v>
      </c>
      <c r="N3203" s="173" t="s">
        <v>1727</v>
      </c>
      <c r="O3203" s="173" t="s">
        <v>1728</v>
      </c>
      <c r="P3203" s="224"/>
      <c r="Q3203" s="224"/>
    </row>
    <row r="3204" spans="1:17" s="225" customFormat="1" ht="10.5" x14ac:dyDescent="0.25">
      <c r="A3204" s="229"/>
      <c r="B3204" s="232"/>
      <c r="C3204" s="184"/>
      <c r="D3204" s="185"/>
      <c r="E3204" s="185"/>
      <c r="F3204" s="185"/>
      <c r="G3204" s="185"/>
      <c r="H3204" s="185"/>
      <c r="I3204" s="185"/>
      <c r="J3204" s="185"/>
      <c r="K3204" s="185"/>
      <c r="L3204" s="185"/>
      <c r="M3204" s="185"/>
      <c r="N3204" s="185">
        <f>Quantitativos!DM120</f>
        <v>299.31964703385944</v>
      </c>
      <c r="O3204" s="185"/>
      <c r="P3204" s="224"/>
      <c r="Q3204" s="224"/>
    </row>
    <row r="3205" spans="1:17" s="225" customFormat="1" ht="10.5" x14ac:dyDescent="0.25">
      <c r="A3205" s="229"/>
      <c r="B3205" s="230"/>
      <c r="C3205" s="184"/>
      <c r="D3205" s="185"/>
      <c r="E3205" s="185"/>
      <c r="F3205" s="185"/>
      <c r="G3205" s="185"/>
      <c r="H3205" s="185"/>
      <c r="I3205" s="185"/>
      <c r="J3205" s="185"/>
      <c r="K3205" s="185"/>
      <c r="L3205" s="185"/>
      <c r="M3205" s="185"/>
      <c r="N3205" s="185"/>
      <c r="O3205" s="185"/>
      <c r="P3205" s="231"/>
      <c r="Q3205" s="224"/>
    </row>
    <row r="3206" spans="1:17" s="225" customFormat="1" ht="10.5" x14ac:dyDescent="0.25">
      <c r="A3206" s="229"/>
      <c r="B3206" s="232" t="s">
        <v>5</v>
      </c>
      <c r="C3206" s="182" t="s">
        <v>1328</v>
      </c>
      <c r="D3206" s="182"/>
      <c r="E3206" s="182"/>
      <c r="F3206" s="182"/>
      <c r="G3206" s="182"/>
      <c r="H3206" s="182"/>
      <c r="I3206" s="182"/>
      <c r="J3206" s="182"/>
      <c r="K3206" s="182"/>
      <c r="L3206" s="182"/>
      <c r="M3206" s="182"/>
      <c r="N3206" s="182">
        <f>SUM(N3204:N3205)</f>
        <v>299.31964703385944</v>
      </c>
      <c r="O3206" s="182"/>
      <c r="P3206" s="233"/>
      <c r="Q3206" s="224"/>
    </row>
    <row r="3207" spans="1:17" s="228" customFormat="1" ht="42" x14ac:dyDescent="0.25">
      <c r="A3207" s="226" t="str">
        <f>ORÇAMENTO!A616</f>
        <v>6.1.2.3.7</v>
      </c>
      <c r="B3207" s="227" t="str">
        <f>VLOOKUP(A3207,ORÇAMENTO!A:K,4,0)</f>
        <v>ESCORAMENTO DE VALA, TIPO BLINDAGEM, COM PROFUNDIDADE DE 1,5 A 3,0 M, LARGURA DE 2,5 A 3,5 M -EXECUÇÃO E FORNECIMENTO, INCLUI MATERIAL (ESCAVAÇÃO INTERNA AO BLINDADO)</v>
      </c>
      <c r="C3207" s="173" t="str">
        <f>VLOOKUP(A3207,ORÇAMENTO!A:K,5,0)</f>
        <v>M²</v>
      </c>
      <c r="D3207" s="173">
        <f>SUM(E3210:O3210)</f>
        <v>279.18456475551534</v>
      </c>
      <c r="E3207" s="173" t="s">
        <v>1718</v>
      </c>
      <c r="F3207" s="173" t="s">
        <v>1719</v>
      </c>
      <c r="G3207" s="173" t="s">
        <v>1720</v>
      </c>
      <c r="H3207" s="173" t="s">
        <v>1721</v>
      </c>
      <c r="I3207" s="173" t="s">
        <v>1722</v>
      </c>
      <c r="J3207" s="173" t="s">
        <v>1723</v>
      </c>
      <c r="K3207" s="173" t="s">
        <v>1724</v>
      </c>
      <c r="L3207" s="173" t="s">
        <v>1753</v>
      </c>
      <c r="M3207" s="173" t="s">
        <v>1730</v>
      </c>
      <c r="N3207" s="173" t="s">
        <v>1727</v>
      </c>
      <c r="O3207" s="173" t="s">
        <v>1728</v>
      </c>
      <c r="P3207" s="224"/>
      <c r="Q3207" s="224"/>
    </row>
    <row r="3208" spans="1:17" s="225" customFormat="1" ht="10.5" x14ac:dyDescent="0.25">
      <c r="A3208" s="229"/>
      <c r="B3208" s="232"/>
      <c r="C3208" s="184"/>
      <c r="D3208" s="185"/>
      <c r="E3208" s="185"/>
      <c r="F3208" s="185"/>
      <c r="G3208" s="185"/>
      <c r="H3208" s="185"/>
      <c r="I3208" s="185"/>
      <c r="J3208" s="185"/>
      <c r="K3208" s="185"/>
      <c r="L3208" s="185"/>
      <c r="M3208" s="185"/>
      <c r="N3208" s="185">
        <f>Quantitativos!DN120</f>
        <v>279.18456475551534</v>
      </c>
      <c r="O3208" s="185"/>
      <c r="P3208" s="224"/>
      <c r="Q3208" s="224"/>
    </row>
    <row r="3209" spans="1:17" s="225" customFormat="1" ht="10.5" x14ac:dyDescent="0.25">
      <c r="A3209" s="229"/>
      <c r="B3209" s="230"/>
      <c r="C3209" s="184"/>
      <c r="D3209" s="185"/>
      <c r="E3209" s="185"/>
      <c r="F3209" s="185"/>
      <c r="G3209" s="185"/>
      <c r="H3209" s="185"/>
      <c r="I3209" s="185"/>
      <c r="J3209" s="185"/>
      <c r="K3209" s="185"/>
      <c r="L3209" s="185"/>
      <c r="M3209" s="185"/>
      <c r="N3209" s="185"/>
      <c r="O3209" s="185"/>
      <c r="P3209" s="231"/>
      <c r="Q3209" s="224"/>
    </row>
    <row r="3210" spans="1:17" s="225" customFormat="1" ht="10.5" x14ac:dyDescent="0.25">
      <c r="A3210" s="229"/>
      <c r="B3210" s="232" t="s">
        <v>5</v>
      </c>
      <c r="C3210" s="182" t="s">
        <v>1328</v>
      </c>
      <c r="D3210" s="182"/>
      <c r="E3210" s="182"/>
      <c r="F3210" s="182"/>
      <c r="G3210" s="182"/>
      <c r="H3210" s="182"/>
      <c r="I3210" s="182"/>
      <c r="J3210" s="182"/>
      <c r="K3210" s="182"/>
      <c r="L3210" s="182"/>
      <c r="M3210" s="182"/>
      <c r="N3210" s="182">
        <f>SUM(N3208:N3209)</f>
        <v>279.18456475551534</v>
      </c>
      <c r="O3210" s="182"/>
      <c r="P3210" s="233"/>
      <c r="Q3210" s="224"/>
    </row>
    <row r="3211" spans="1:17" s="228" customFormat="1" ht="52.5" x14ac:dyDescent="0.25">
      <c r="A3211" s="226" t="str">
        <f>ORÇAMENTO!A617</f>
        <v>6.1.2.3.8</v>
      </c>
      <c r="B3211" s="227" t="str">
        <f>VLOOKUP(A3211,ORÇAMENTO!A:K,4,0)</f>
        <v>ESCORAMENTO DE VALA, TIPO BLINDAGEM, COM PROFUNDIDADE DE 3,0 A 4,5 M, LARGURA MAIOR OU IGUAL A 2,5 M EMENOR QUE 3,5 M - EXECUÇÃO E FORNECIMENTO, INCLUI MATERIAL (ESCAVAÇÃO EXTERNA AO BLINDADO)</v>
      </c>
      <c r="C3211" s="173" t="str">
        <f>VLOOKUP(A3211,ORÇAMENTO!A:K,5,0)</f>
        <v>M²</v>
      </c>
      <c r="D3211" s="173">
        <f>SUM(E3214:O3214)</f>
        <v>9.0209770841779271</v>
      </c>
      <c r="E3211" s="173" t="s">
        <v>1718</v>
      </c>
      <c r="F3211" s="173" t="s">
        <v>1719</v>
      </c>
      <c r="G3211" s="173" t="s">
        <v>1720</v>
      </c>
      <c r="H3211" s="173" t="s">
        <v>1721</v>
      </c>
      <c r="I3211" s="173" t="s">
        <v>1722</v>
      </c>
      <c r="J3211" s="173" t="s">
        <v>1723</v>
      </c>
      <c r="K3211" s="173" t="s">
        <v>1724</v>
      </c>
      <c r="L3211" s="173" t="s">
        <v>1753</v>
      </c>
      <c r="M3211" s="173" t="s">
        <v>1730</v>
      </c>
      <c r="N3211" s="173" t="s">
        <v>1727</v>
      </c>
      <c r="O3211" s="173" t="s">
        <v>1728</v>
      </c>
      <c r="P3211" s="224"/>
      <c r="Q3211" s="224"/>
    </row>
    <row r="3212" spans="1:17" s="225" customFormat="1" ht="10.5" x14ac:dyDescent="0.25">
      <c r="A3212" s="229"/>
      <c r="B3212" s="232"/>
      <c r="C3212" s="184"/>
      <c r="D3212" s="185"/>
      <c r="E3212" s="185"/>
      <c r="F3212" s="185"/>
      <c r="G3212" s="185"/>
      <c r="H3212" s="185"/>
      <c r="I3212" s="185"/>
      <c r="J3212" s="185"/>
      <c r="K3212" s="185"/>
      <c r="L3212" s="185"/>
      <c r="M3212" s="185"/>
      <c r="N3212" s="185">
        <f>Quantitativos!DO120</f>
        <v>9.0209770841779271</v>
      </c>
      <c r="O3212" s="185"/>
      <c r="P3212" s="224"/>
      <c r="Q3212" s="224"/>
    </row>
    <row r="3213" spans="1:17" s="225" customFormat="1" ht="10.5" x14ac:dyDescent="0.25">
      <c r="A3213" s="229"/>
      <c r="B3213" s="230"/>
      <c r="C3213" s="184"/>
      <c r="D3213" s="185"/>
      <c r="E3213" s="185"/>
      <c r="F3213" s="185"/>
      <c r="G3213" s="185"/>
      <c r="H3213" s="185"/>
      <c r="I3213" s="185"/>
      <c r="J3213" s="185"/>
      <c r="K3213" s="185"/>
      <c r="L3213" s="185"/>
      <c r="M3213" s="185"/>
      <c r="N3213" s="185"/>
      <c r="O3213" s="185"/>
      <c r="P3213" s="231"/>
      <c r="Q3213" s="224"/>
    </row>
    <row r="3214" spans="1:17" s="225" customFormat="1" ht="10.5" x14ac:dyDescent="0.25">
      <c r="A3214" s="229"/>
      <c r="B3214" s="232" t="s">
        <v>5</v>
      </c>
      <c r="C3214" s="182" t="s">
        <v>1328</v>
      </c>
      <c r="D3214" s="182"/>
      <c r="E3214" s="182"/>
      <c r="F3214" s="182"/>
      <c r="G3214" s="182"/>
      <c r="H3214" s="182"/>
      <c r="I3214" s="182"/>
      <c r="J3214" s="182"/>
      <c r="K3214" s="182"/>
      <c r="L3214" s="182"/>
      <c r="M3214" s="182"/>
      <c r="N3214" s="182">
        <f>SUM(N3212:N3213)</f>
        <v>9.0209770841779271</v>
      </c>
      <c r="O3214" s="182"/>
      <c r="P3214" s="233"/>
      <c r="Q3214" s="224"/>
    </row>
    <row r="3215" spans="1:17" s="225" customFormat="1" ht="21" x14ac:dyDescent="0.25">
      <c r="A3215" s="222" t="str">
        <f>ORÇAMENTO!A618</f>
        <v>6.1.2.4</v>
      </c>
      <c r="B3215" s="223" t="str">
        <f>VLOOKUP(A3215,ORÇAMENTO!A:K,4,0)</f>
        <v>PREENCHIMENTO DE VALAS E ASSENTAMENTO DE TUBOS</v>
      </c>
      <c r="C3215" s="167"/>
      <c r="D3215" s="167"/>
      <c r="E3215" s="168"/>
      <c r="F3215" s="168"/>
      <c r="G3215" s="168"/>
      <c r="H3215" s="168"/>
      <c r="I3215" s="168"/>
      <c r="J3215" s="168"/>
      <c r="K3215" s="168"/>
      <c r="L3215" s="168"/>
      <c r="M3215" s="168"/>
      <c r="N3215" s="168"/>
      <c r="O3215" s="168"/>
      <c r="P3215" s="224"/>
      <c r="Q3215" s="224"/>
    </row>
    <row r="3216" spans="1:17" s="228" customFormat="1" ht="31.5" x14ac:dyDescent="0.25">
      <c r="A3216" s="226" t="str">
        <f>ORÇAMENTO!A619</f>
        <v>6.1.2.4.1</v>
      </c>
      <c r="B3216" s="227" t="str">
        <f>VLOOKUP(A3216,ORÇAMENTO!A:K,4,0)</f>
        <v>PREPARO DE FUNDO DE VALA COM LARGURA MENOR QUE 1,5 M, COM CAMADA DE BRITA, LANÇAMENTO MECANIZADO. AF_08/2020</v>
      </c>
      <c r="C3216" s="173" t="str">
        <f>VLOOKUP(A3216,ORÇAMENTO!A:K,5,0)</f>
        <v>M³</v>
      </c>
      <c r="D3216" s="173">
        <f>SUM(E3219:O3219)</f>
        <v>70.559999999904861</v>
      </c>
      <c r="E3216" s="173" t="s">
        <v>1718</v>
      </c>
      <c r="F3216" s="173" t="s">
        <v>1719</v>
      </c>
      <c r="G3216" s="173" t="s">
        <v>1720</v>
      </c>
      <c r="H3216" s="173" t="s">
        <v>1721</v>
      </c>
      <c r="I3216" s="173" t="s">
        <v>1722</v>
      </c>
      <c r="J3216" s="173" t="s">
        <v>1723</v>
      </c>
      <c r="K3216" s="173" t="s">
        <v>1724</v>
      </c>
      <c r="L3216" s="173" t="s">
        <v>1753</v>
      </c>
      <c r="M3216" s="173" t="s">
        <v>1730</v>
      </c>
      <c r="N3216" s="173" t="s">
        <v>1727</v>
      </c>
      <c r="O3216" s="173" t="s">
        <v>1728</v>
      </c>
      <c r="P3216" s="224"/>
      <c r="Q3216" s="224"/>
    </row>
    <row r="3217" spans="1:17" s="225" customFormat="1" ht="10.5" x14ac:dyDescent="0.25">
      <c r="A3217" s="229"/>
      <c r="B3217" s="232" t="s">
        <v>1732</v>
      </c>
      <c r="C3217" s="177"/>
      <c r="D3217" s="178"/>
      <c r="E3217" s="178"/>
      <c r="F3217" s="178"/>
      <c r="G3217" s="178"/>
      <c r="H3217" s="178"/>
      <c r="I3217" s="178"/>
      <c r="J3217" s="178"/>
      <c r="K3217" s="178"/>
      <c r="L3217" s="178"/>
      <c r="M3217" s="178"/>
      <c r="N3217" s="178"/>
      <c r="O3217" s="178">
        <f>Quantitativos!AU120</f>
        <v>70.559999999904861</v>
      </c>
      <c r="P3217" s="224"/>
      <c r="Q3217" s="224"/>
    </row>
    <row r="3218" spans="1:17" s="225" customFormat="1" ht="10.5" x14ac:dyDescent="0.25">
      <c r="A3218" s="229"/>
      <c r="B3218" s="230"/>
      <c r="C3218" s="177"/>
      <c r="D3218" s="178"/>
      <c r="E3218" s="178"/>
      <c r="F3218" s="178"/>
      <c r="G3218" s="178"/>
      <c r="H3218" s="178"/>
      <c r="I3218" s="178"/>
      <c r="J3218" s="178"/>
      <c r="K3218" s="178"/>
      <c r="L3218" s="178"/>
      <c r="M3218" s="178"/>
      <c r="N3218" s="178"/>
      <c r="O3218" s="178"/>
      <c r="P3218" s="231"/>
      <c r="Q3218" s="224"/>
    </row>
    <row r="3219" spans="1:17" s="225" customFormat="1" ht="10.5" x14ac:dyDescent="0.25">
      <c r="A3219" s="229"/>
      <c r="B3219" s="232" t="s">
        <v>5</v>
      </c>
      <c r="C3219" s="182" t="s">
        <v>1328</v>
      </c>
      <c r="D3219" s="182"/>
      <c r="E3219" s="182"/>
      <c r="F3219" s="182"/>
      <c r="G3219" s="182"/>
      <c r="H3219" s="182"/>
      <c r="I3219" s="182"/>
      <c r="J3219" s="182"/>
      <c r="K3219" s="182"/>
      <c r="L3219" s="182"/>
      <c r="M3219" s="182"/>
      <c r="N3219" s="182"/>
      <c r="O3219" s="182">
        <f>SUM(O3217:O3218)</f>
        <v>70.559999999904861</v>
      </c>
      <c r="P3219" s="233"/>
      <c r="Q3219" s="224"/>
    </row>
    <row r="3220" spans="1:17" s="228" customFormat="1" ht="42" x14ac:dyDescent="0.25">
      <c r="A3220" s="226" t="str">
        <f>ORÇAMENTO!A620</f>
        <v>6.1.2.4.2</v>
      </c>
      <c r="B3220" s="227" t="str">
        <f>VLOOKUP(A3220,ORÇAMENTO!A:K,4,0)</f>
        <v>PREPARO DE FUNDO DE VALA COM LARGURA MAIOR OU IGUAL A 1,5 M E MENOR QUE 2,5 M, COM CAMADA DE BRITA, LANÇAMENTO MECANIZADO. AF_08/2020</v>
      </c>
      <c r="C3220" s="173" t="str">
        <f>VLOOKUP(A3220,ORÇAMENTO!A:K,5,0)</f>
        <v>M³</v>
      </c>
      <c r="D3220" s="173">
        <f>SUM(E3223:O3223)</f>
        <v>63.467387219310922</v>
      </c>
      <c r="E3220" s="173" t="s">
        <v>1718</v>
      </c>
      <c r="F3220" s="173" t="s">
        <v>1719</v>
      </c>
      <c r="G3220" s="173" t="s">
        <v>1720</v>
      </c>
      <c r="H3220" s="173" t="s">
        <v>1721</v>
      </c>
      <c r="I3220" s="173" t="s">
        <v>1722</v>
      </c>
      <c r="J3220" s="173" t="s">
        <v>1723</v>
      </c>
      <c r="K3220" s="173" t="s">
        <v>1724</v>
      </c>
      <c r="L3220" s="173" t="s">
        <v>1753</v>
      </c>
      <c r="M3220" s="173" t="s">
        <v>1730</v>
      </c>
      <c r="N3220" s="173" t="s">
        <v>1727</v>
      </c>
      <c r="O3220" s="173" t="s">
        <v>1728</v>
      </c>
      <c r="P3220" s="224"/>
      <c r="Q3220" s="224"/>
    </row>
    <row r="3221" spans="1:17" s="225" customFormat="1" ht="10.5" x14ac:dyDescent="0.25">
      <c r="A3221" s="229"/>
      <c r="B3221" s="232" t="s">
        <v>1732</v>
      </c>
      <c r="C3221" s="184"/>
      <c r="D3221" s="185"/>
      <c r="E3221" s="185"/>
      <c r="F3221" s="185"/>
      <c r="G3221" s="185"/>
      <c r="H3221" s="185"/>
      <c r="I3221" s="185"/>
      <c r="J3221" s="185"/>
      <c r="K3221" s="185"/>
      <c r="L3221" s="185"/>
      <c r="M3221" s="185"/>
      <c r="N3221" s="185"/>
      <c r="O3221" s="185">
        <f>Quantitativos!AV120</f>
        <v>63.467387219310922</v>
      </c>
      <c r="P3221" s="224"/>
      <c r="Q3221" s="224"/>
    </row>
    <row r="3222" spans="1:17" s="225" customFormat="1" ht="10.5" x14ac:dyDescent="0.25">
      <c r="A3222" s="229"/>
      <c r="B3222" s="230"/>
      <c r="C3222" s="184"/>
      <c r="D3222" s="185"/>
      <c r="E3222" s="185"/>
      <c r="F3222" s="185"/>
      <c r="G3222" s="185"/>
      <c r="H3222" s="185"/>
      <c r="I3222" s="185"/>
      <c r="J3222" s="185"/>
      <c r="K3222" s="185"/>
      <c r="L3222" s="185"/>
      <c r="M3222" s="185"/>
      <c r="N3222" s="185"/>
      <c r="O3222" s="185"/>
      <c r="P3222" s="231"/>
      <c r="Q3222" s="224"/>
    </row>
    <row r="3223" spans="1:17" s="225" customFormat="1" ht="10.5" x14ac:dyDescent="0.25">
      <c r="A3223" s="229"/>
      <c r="B3223" s="232" t="s">
        <v>5</v>
      </c>
      <c r="C3223" s="182" t="s">
        <v>1328</v>
      </c>
      <c r="D3223" s="182"/>
      <c r="E3223" s="182"/>
      <c r="F3223" s="182"/>
      <c r="G3223" s="182"/>
      <c r="H3223" s="182"/>
      <c r="I3223" s="182"/>
      <c r="J3223" s="182"/>
      <c r="K3223" s="182"/>
      <c r="L3223" s="182"/>
      <c r="M3223" s="182"/>
      <c r="N3223" s="182"/>
      <c r="O3223" s="182">
        <f>SUM(O3221:O3222)</f>
        <v>63.467387219310922</v>
      </c>
      <c r="P3223" s="233"/>
      <c r="Q3223" s="224"/>
    </row>
    <row r="3224" spans="1:17" s="228" customFormat="1" ht="52.5" x14ac:dyDescent="0.25">
      <c r="A3224" s="226" t="str">
        <f>ORÇAMENTO!A621</f>
        <v>6.1.2.4.3</v>
      </c>
      <c r="B3224" s="227" t="str">
        <f>VLOOKUP(A3224,ORÇAMENTO!A:K,4,0)</f>
        <v>EXECUÇÃO E COMPACTAÇÃO DE BASE E OU SUB BASE PARA PAVIMENTAÇÃO DE SOLO (PREDOMINANTEMENTE ARENOSO) COM CAL (TEOR DE 4%) - EXCLUSIVE SOLO, ESCAVAÇÃO, CARGA E TRANSPORTE.</v>
      </c>
      <c r="C3224" s="173" t="str">
        <f>VLOOKUP(A3224,ORÇAMENTO!A:K,5,0)</f>
        <v>M³</v>
      </c>
      <c r="D3224" s="173">
        <f>SUM(E3227:O3227)</f>
        <v>156.33686918103427</v>
      </c>
      <c r="E3224" s="173" t="s">
        <v>1718</v>
      </c>
      <c r="F3224" s="173" t="s">
        <v>1719</v>
      </c>
      <c r="G3224" s="173" t="s">
        <v>1720</v>
      </c>
      <c r="H3224" s="173" t="s">
        <v>1721</v>
      </c>
      <c r="I3224" s="173" t="s">
        <v>1722</v>
      </c>
      <c r="J3224" s="173" t="s">
        <v>1723</v>
      </c>
      <c r="K3224" s="173" t="s">
        <v>1724</v>
      </c>
      <c r="L3224" s="173" t="s">
        <v>1753</v>
      </c>
      <c r="M3224" s="173" t="s">
        <v>1730</v>
      </c>
      <c r="N3224" s="173" t="s">
        <v>1727</v>
      </c>
      <c r="O3224" s="173" t="s">
        <v>1728</v>
      </c>
      <c r="P3224" s="224"/>
      <c r="Q3224" s="224"/>
    </row>
    <row r="3225" spans="1:17" s="225" customFormat="1" ht="10.5" x14ac:dyDescent="0.25">
      <c r="A3225" s="229"/>
      <c r="B3225" s="232" t="s">
        <v>1732</v>
      </c>
      <c r="C3225" s="177"/>
      <c r="D3225" s="178"/>
      <c r="E3225" s="178"/>
      <c r="F3225" s="178"/>
      <c r="G3225" s="178"/>
      <c r="H3225" s="178"/>
      <c r="I3225" s="178"/>
      <c r="J3225" s="178"/>
      <c r="K3225" s="178"/>
      <c r="L3225" s="178"/>
      <c r="M3225" s="178"/>
      <c r="N3225" s="178"/>
      <c r="O3225" s="178"/>
      <c r="P3225" s="224"/>
      <c r="Q3225" s="224"/>
    </row>
    <row r="3226" spans="1:17" s="225" customFormat="1" ht="21" x14ac:dyDescent="0.25">
      <c r="A3226" s="229"/>
      <c r="B3226" s="230" t="s">
        <v>1776</v>
      </c>
      <c r="C3226" s="177"/>
      <c r="D3226" s="178"/>
      <c r="E3226" s="178"/>
      <c r="F3226" s="178"/>
      <c r="G3226" s="178"/>
      <c r="H3226" s="178"/>
      <c r="I3226" s="178"/>
      <c r="J3226" s="178"/>
      <c r="K3226" s="178"/>
      <c r="L3226" s="178"/>
      <c r="M3226" s="178"/>
      <c r="N3226" s="178"/>
      <c r="O3226" s="178">
        <f>Quantitativos!BB120</f>
        <v>156.33686918103427</v>
      </c>
      <c r="P3226" s="231"/>
      <c r="Q3226" s="224"/>
    </row>
    <row r="3227" spans="1:17" s="225" customFormat="1" ht="10.5" x14ac:dyDescent="0.25">
      <c r="A3227" s="229"/>
      <c r="B3227" s="232" t="s">
        <v>5</v>
      </c>
      <c r="C3227" s="182" t="s">
        <v>1328</v>
      </c>
      <c r="D3227" s="182"/>
      <c r="E3227" s="182"/>
      <c r="F3227" s="182"/>
      <c r="G3227" s="182"/>
      <c r="H3227" s="182"/>
      <c r="I3227" s="182"/>
      <c r="J3227" s="182"/>
      <c r="K3227" s="182"/>
      <c r="L3227" s="182"/>
      <c r="M3227" s="182"/>
      <c r="N3227" s="182"/>
      <c r="O3227" s="182">
        <f>SUM(O3225:O3226)</f>
        <v>156.33686918103427</v>
      </c>
      <c r="P3227" s="233"/>
      <c r="Q3227" s="224"/>
    </row>
    <row r="3228" spans="1:17" s="228" customFormat="1" ht="21" x14ac:dyDescent="0.25">
      <c r="A3228" s="226" t="str">
        <f>ORÇAMENTO!A622</f>
        <v>6.1.2.4.4</v>
      </c>
      <c r="B3228" s="227" t="str">
        <f>VLOOKUP(A3228,ORÇAMENTO!A:K,4,0)</f>
        <v>BASE OU SUB-BASE DE BRITA GRADUADA COM BRITA COMERCIAL</v>
      </c>
      <c r="C3228" s="173" t="str">
        <f>VLOOKUP(A3228,ORÇAMENTO!A:K,5,0)</f>
        <v>M³</v>
      </c>
      <c r="D3228" s="173">
        <f>SUM(E3231:O3231)</f>
        <v>156.33686918103427</v>
      </c>
      <c r="E3228" s="173" t="s">
        <v>1718</v>
      </c>
      <c r="F3228" s="173" t="s">
        <v>1719</v>
      </c>
      <c r="G3228" s="173" t="s">
        <v>1720</v>
      </c>
      <c r="H3228" s="173" t="s">
        <v>1721</v>
      </c>
      <c r="I3228" s="173" t="s">
        <v>1722</v>
      </c>
      <c r="J3228" s="173" t="s">
        <v>1723</v>
      </c>
      <c r="K3228" s="173" t="s">
        <v>1724</v>
      </c>
      <c r="L3228" s="173" t="s">
        <v>1753</v>
      </c>
      <c r="M3228" s="173" t="s">
        <v>1730</v>
      </c>
      <c r="N3228" s="173" t="s">
        <v>1727</v>
      </c>
      <c r="O3228" s="173" t="s">
        <v>1728</v>
      </c>
      <c r="P3228" s="224"/>
      <c r="Q3228" s="224"/>
    </row>
    <row r="3229" spans="1:17" s="225" customFormat="1" ht="10.5" x14ac:dyDescent="0.25">
      <c r="A3229" s="229"/>
      <c r="B3229" s="232" t="s">
        <v>1732</v>
      </c>
      <c r="C3229" s="177"/>
      <c r="D3229" s="178"/>
      <c r="E3229" s="178"/>
      <c r="F3229" s="178"/>
      <c r="G3229" s="178"/>
      <c r="H3229" s="178"/>
      <c r="I3229" s="178"/>
      <c r="J3229" s="178"/>
      <c r="K3229" s="178"/>
      <c r="L3229" s="178"/>
      <c r="M3229" s="178"/>
      <c r="N3229" s="178"/>
      <c r="O3229" s="178"/>
      <c r="P3229" s="224"/>
      <c r="Q3229" s="224"/>
    </row>
    <row r="3230" spans="1:17" s="225" customFormat="1" ht="21" x14ac:dyDescent="0.25">
      <c r="A3230" s="229"/>
      <c r="B3230" s="230" t="s">
        <v>1776</v>
      </c>
      <c r="C3230" s="177"/>
      <c r="D3230" s="178"/>
      <c r="E3230" s="178"/>
      <c r="F3230" s="178"/>
      <c r="G3230" s="178"/>
      <c r="H3230" s="178"/>
      <c r="I3230" s="178"/>
      <c r="J3230" s="178"/>
      <c r="K3230" s="178"/>
      <c r="L3230" s="178"/>
      <c r="M3230" s="178"/>
      <c r="N3230" s="178"/>
      <c r="O3230" s="178">
        <f>Quantitativos!BC120</f>
        <v>156.33686918103427</v>
      </c>
      <c r="P3230" s="231"/>
      <c r="Q3230" s="224"/>
    </row>
    <row r="3231" spans="1:17" s="225" customFormat="1" ht="10.5" x14ac:dyDescent="0.25">
      <c r="A3231" s="229"/>
      <c r="B3231" s="232" t="s">
        <v>5</v>
      </c>
      <c r="C3231" s="182" t="s">
        <v>1328</v>
      </c>
      <c r="D3231" s="182"/>
      <c r="E3231" s="182"/>
      <c r="F3231" s="182"/>
      <c r="G3231" s="182"/>
      <c r="H3231" s="182"/>
      <c r="I3231" s="182"/>
      <c r="J3231" s="182"/>
      <c r="K3231" s="182"/>
      <c r="L3231" s="182"/>
      <c r="M3231" s="182"/>
      <c r="N3231" s="182"/>
      <c r="O3231" s="182">
        <f>SUM(O3229:O3230)</f>
        <v>156.33686918103427</v>
      </c>
      <c r="P3231" s="233"/>
      <c r="Q3231" s="224"/>
    </row>
    <row r="3232" spans="1:17" s="228" customFormat="1" ht="21" x14ac:dyDescent="0.25">
      <c r="A3232" s="226" t="str">
        <f>ORÇAMENTO!A623</f>
        <v>6.1.2.4.5</v>
      </c>
      <c r="B3232" s="227" t="str">
        <f>VLOOKUP(A3232,ORÇAMENTO!A:K,4,0)</f>
        <v>PINTURA DE LIGAÇÃO (SEM MATERIAL)</v>
      </c>
      <c r="C3232" s="173" t="str">
        <f>VLOOKUP(A3232,ORÇAMENTO!A:K,5,0)</f>
        <v>M²</v>
      </c>
      <c r="D3232" s="173">
        <f>SUM(E3235:O3235)</f>
        <v>1042.2457945402286</v>
      </c>
      <c r="E3232" s="173" t="s">
        <v>1718</v>
      </c>
      <c r="F3232" s="173" t="s">
        <v>1719</v>
      </c>
      <c r="G3232" s="173" t="s">
        <v>1720</v>
      </c>
      <c r="H3232" s="173" t="s">
        <v>1721</v>
      </c>
      <c r="I3232" s="173" t="s">
        <v>1722</v>
      </c>
      <c r="J3232" s="173" t="s">
        <v>1723</v>
      </c>
      <c r="K3232" s="173" t="s">
        <v>1724</v>
      </c>
      <c r="L3232" s="173" t="s">
        <v>1753</v>
      </c>
      <c r="M3232" s="173" t="s">
        <v>1730</v>
      </c>
      <c r="N3232" s="173" t="s">
        <v>1727</v>
      </c>
      <c r="O3232" s="173" t="s">
        <v>1728</v>
      </c>
      <c r="P3232" s="224"/>
      <c r="Q3232" s="224"/>
    </row>
    <row r="3233" spans="1:17" s="225" customFormat="1" ht="10.5" x14ac:dyDescent="0.25">
      <c r="A3233" s="229"/>
      <c r="B3233" s="232" t="s">
        <v>1732</v>
      </c>
      <c r="C3233" s="177"/>
      <c r="D3233" s="178"/>
      <c r="E3233" s="178"/>
      <c r="F3233" s="178"/>
      <c r="G3233" s="178"/>
      <c r="H3233" s="178"/>
      <c r="I3233" s="178"/>
      <c r="J3233" s="178"/>
      <c r="K3233" s="178"/>
      <c r="L3233" s="178"/>
      <c r="M3233" s="178"/>
      <c r="N3233" s="178">
        <f>Quantitativos!AA120</f>
        <v>1042.2457945402286</v>
      </c>
      <c r="O3233" s="178"/>
      <c r="P3233" s="224"/>
      <c r="Q3233" s="224"/>
    </row>
    <row r="3234" spans="1:17" s="225" customFormat="1" ht="10.5" x14ac:dyDescent="0.25">
      <c r="A3234" s="229"/>
      <c r="B3234" s="230"/>
      <c r="C3234" s="177"/>
      <c r="D3234" s="178"/>
      <c r="E3234" s="178"/>
      <c r="F3234" s="178"/>
      <c r="G3234" s="178"/>
      <c r="H3234" s="178"/>
      <c r="I3234" s="178"/>
      <c r="J3234" s="178"/>
      <c r="K3234" s="178"/>
      <c r="L3234" s="178"/>
      <c r="M3234" s="178"/>
      <c r="N3234" s="178"/>
      <c r="O3234" s="178"/>
      <c r="P3234" s="231"/>
      <c r="Q3234" s="224"/>
    </row>
    <row r="3235" spans="1:17" s="225" customFormat="1" ht="10.5" x14ac:dyDescent="0.25">
      <c r="A3235" s="229"/>
      <c r="B3235" s="232" t="s">
        <v>5</v>
      </c>
      <c r="C3235" s="182" t="s">
        <v>1328</v>
      </c>
      <c r="D3235" s="182"/>
      <c r="E3235" s="182"/>
      <c r="F3235" s="182"/>
      <c r="G3235" s="182"/>
      <c r="H3235" s="182"/>
      <c r="I3235" s="182"/>
      <c r="J3235" s="182"/>
      <c r="K3235" s="182"/>
      <c r="L3235" s="182"/>
      <c r="M3235" s="182"/>
      <c r="N3235" s="182">
        <f>SUM(N3233:N3234)</f>
        <v>1042.2457945402286</v>
      </c>
      <c r="O3235" s="182"/>
      <c r="P3235" s="233"/>
      <c r="Q3235" s="224"/>
    </row>
    <row r="3236" spans="1:17" s="228" customFormat="1" ht="21" x14ac:dyDescent="0.25">
      <c r="A3236" s="226" t="str">
        <f>ORÇAMENTO!A624</f>
        <v>6.1.2.4.6</v>
      </c>
      <c r="B3236" s="227" t="str">
        <f>VLOOKUP(A3236,ORÇAMENTO!A:K,4,0)</f>
        <v>EMULSÃO ASFÁLTICA - RR-1C - FORNECIMENTO E TRANSPORTE</v>
      </c>
      <c r="C3236" s="173" t="str">
        <f>VLOOKUP(A3236,ORÇAMENTO!A:K,5,0)</f>
        <v>T</v>
      </c>
      <c r="D3236" s="173">
        <f>ROUND(SUM(E3241:O3241),2)</f>
        <v>0.47</v>
      </c>
      <c r="E3236" s="173" t="s">
        <v>1718</v>
      </c>
      <c r="F3236" s="173" t="s">
        <v>1719</v>
      </c>
      <c r="G3236" s="173" t="s">
        <v>1720</v>
      </c>
      <c r="H3236" s="173" t="s">
        <v>1721</v>
      </c>
      <c r="I3236" s="173" t="s">
        <v>1722</v>
      </c>
      <c r="J3236" s="173" t="s">
        <v>1723</v>
      </c>
      <c r="K3236" s="173" t="s">
        <v>1746</v>
      </c>
      <c r="L3236" s="173" t="s">
        <v>1777</v>
      </c>
      <c r="M3236" s="173" t="s">
        <v>1726</v>
      </c>
      <c r="N3236" s="173" t="s">
        <v>1811</v>
      </c>
      <c r="O3236" s="173" t="s">
        <v>1728</v>
      </c>
      <c r="P3236" s="224"/>
      <c r="Q3236" s="224"/>
    </row>
    <row r="3237" spans="1:17" s="225" customFormat="1" ht="21" x14ac:dyDescent="0.25">
      <c r="A3237" s="229"/>
      <c r="B3237" s="232" t="s">
        <v>1778</v>
      </c>
      <c r="C3237" s="177"/>
      <c r="D3237" s="178"/>
      <c r="E3237" s="178"/>
      <c r="F3237" s="178"/>
      <c r="G3237" s="178"/>
      <c r="H3237" s="178"/>
      <c r="I3237" s="178"/>
      <c r="J3237" s="178"/>
      <c r="K3237" s="178"/>
      <c r="L3237" s="178"/>
      <c r="M3237" s="178"/>
      <c r="N3237" s="178">
        <f>N3233</f>
        <v>1042.2457945402286</v>
      </c>
      <c r="O3237" s="178"/>
      <c r="P3237" s="231"/>
      <c r="Q3237" s="224"/>
    </row>
    <row r="3238" spans="1:17" s="225" customFormat="1" ht="31.5" x14ac:dyDescent="0.25">
      <c r="A3238" s="229"/>
      <c r="B3238" s="230" t="s">
        <v>1779</v>
      </c>
      <c r="C3238" s="177"/>
      <c r="D3238" s="178"/>
      <c r="E3238" s="178"/>
      <c r="F3238" s="178"/>
      <c r="G3238" s="178"/>
      <c r="H3238" s="178"/>
      <c r="I3238" s="178"/>
      <c r="J3238" s="178"/>
      <c r="K3238" s="178"/>
      <c r="L3238" s="198">
        <v>4.4999999999999999E-4</v>
      </c>
      <c r="M3238" s="178"/>
      <c r="N3238" s="200"/>
      <c r="O3238" s="178"/>
      <c r="P3238" s="231"/>
      <c r="Q3238" s="224"/>
    </row>
    <row r="3239" spans="1:17" s="225" customFormat="1" ht="10.5" x14ac:dyDescent="0.25">
      <c r="A3239" s="229"/>
      <c r="B3239" s="230"/>
      <c r="C3239" s="177"/>
      <c r="D3239" s="178"/>
      <c r="E3239" s="178"/>
      <c r="F3239" s="178"/>
      <c r="G3239" s="178"/>
      <c r="H3239" s="178"/>
      <c r="I3239" s="178"/>
      <c r="J3239" s="178"/>
      <c r="K3239" s="178">
        <f>L3238*N3237</f>
        <v>0.46901060754310286</v>
      </c>
      <c r="L3239" s="178"/>
      <c r="M3239" s="178"/>
      <c r="N3239" s="200"/>
      <c r="O3239" s="178"/>
      <c r="P3239" s="231"/>
      <c r="Q3239" s="224"/>
    </row>
    <row r="3240" spans="1:17" s="225" customFormat="1" ht="10.5" x14ac:dyDescent="0.25">
      <c r="A3240" s="229"/>
      <c r="B3240" s="230"/>
      <c r="C3240" s="177"/>
      <c r="D3240" s="178"/>
      <c r="E3240" s="178"/>
      <c r="F3240" s="178"/>
      <c r="G3240" s="178"/>
      <c r="H3240" s="178"/>
      <c r="I3240" s="178"/>
      <c r="J3240" s="178"/>
      <c r="K3240" s="178"/>
      <c r="L3240" s="178"/>
      <c r="M3240" s="178"/>
      <c r="N3240" s="200"/>
      <c r="O3240" s="178"/>
      <c r="P3240" s="231"/>
      <c r="Q3240" s="224"/>
    </row>
    <row r="3241" spans="1:17" s="225" customFormat="1" ht="10.5" x14ac:dyDescent="0.25">
      <c r="A3241" s="229"/>
      <c r="B3241" s="232" t="s">
        <v>5</v>
      </c>
      <c r="C3241" s="182" t="s">
        <v>1328</v>
      </c>
      <c r="D3241" s="182"/>
      <c r="E3241" s="182"/>
      <c r="F3241" s="182"/>
      <c r="G3241" s="182"/>
      <c r="H3241" s="182"/>
      <c r="I3241" s="182"/>
      <c r="J3241" s="182"/>
      <c r="K3241" s="177">
        <f>SUM(K3237:K3240)</f>
        <v>0.46901060754310286</v>
      </c>
      <c r="L3241" s="182"/>
      <c r="M3241" s="182"/>
      <c r="N3241" s="177"/>
      <c r="O3241" s="177"/>
      <c r="P3241" s="233"/>
      <c r="Q3241" s="224"/>
    </row>
    <row r="3242" spans="1:17" s="228" customFormat="1" ht="21" x14ac:dyDescent="0.25">
      <c r="A3242" s="226" t="str">
        <f>ORÇAMENTO!A625</f>
        <v>6.1.2.4.7</v>
      </c>
      <c r="B3242" s="227" t="str">
        <f>VLOOKUP(A3242,ORÇAMENTO!A:K,4,0)</f>
        <v>IMPRIMAÇÃO COM EMULSÃO ASFÁLTICA (SEM MATERIAL)</v>
      </c>
      <c r="C3242" s="173" t="str">
        <f>VLOOKUP(A3242,ORÇAMENTO!A:K,5,0)</f>
        <v>M²</v>
      </c>
      <c r="D3242" s="173">
        <f>SUM(E3245:O3245)</f>
        <v>1042.2457945402286</v>
      </c>
      <c r="E3242" s="173" t="s">
        <v>1718</v>
      </c>
      <c r="F3242" s="173" t="s">
        <v>1719</v>
      </c>
      <c r="G3242" s="173" t="s">
        <v>1720</v>
      </c>
      <c r="H3242" s="173" t="s">
        <v>1721</v>
      </c>
      <c r="I3242" s="173" t="s">
        <v>1722</v>
      </c>
      <c r="J3242" s="173" t="s">
        <v>1723</v>
      </c>
      <c r="K3242" s="173" t="s">
        <v>1724</v>
      </c>
      <c r="L3242" s="173" t="s">
        <v>1753</v>
      </c>
      <c r="M3242" s="173" t="s">
        <v>1730</v>
      </c>
      <c r="N3242" s="173" t="s">
        <v>1727</v>
      </c>
      <c r="O3242" s="173" t="s">
        <v>1728</v>
      </c>
      <c r="P3242" s="224"/>
      <c r="Q3242" s="224"/>
    </row>
    <row r="3243" spans="1:17" s="225" customFormat="1" ht="10.5" x14ac:dyDescent="0.25">
      <c r="A3243" s="229"/>
      <c r="B3243" s="232" t="s">
        <v>1732</v>
      </c>
      <c r="C3243" s="177"/>
      <c r="D3243" s="178"/>
      <c r="E3243" s="178"/>
      <c r="F3243" s="178"/>
      <c r="G3243" s="178"/>
      <c r="H3243" s="178"/>
      <c r="I3243" s="178"/>
      <c r="J3243" s="178"/>
      <c r="K3243" s="178"/>
      <c r="L3243" s="178"/>
      <c r="M3243" s="178"/>
      <c r="N3243" s="178">
        <f>N3233</f>
        <v>1042.2457945402286</v>
      </c>
      <c r="O3243" s="178"/>
      <c r="P3243" s="224"/>
      <c r="Q3243" s="224"/>
    </row>
    <row r="3244" spans="1:17" s="225" customFormat="1" ht="10.5" x14ac:dyDescent="0.25">
      <c r="A3244" s="229"/>
      <c r="B3244" s="230"/>
      <c r="C3244" s="177"/>
      <c r="D3244" s="178"/>
      <c r="E3244" s="178"/>
      <c r="F3244" s="178"/>
      <c r="G3244" s="178"/>
      <c r="H3244" s="178"/>
      <c r="I3244" s="178"/>
      <c r="J3244" s="178"/>
      <c r="K3244" s="178"/>
      <c r="L3244" s="178"/>
      <c r="M3244" s="178"/>
      <c r="N3244" s="178"/>
      <c r="O3244" s="178"/>
      <c r="P3244" s="231"/>
      <c r="Q3244" s="224"/>
    </row>
    <row r="3245" spans="1:17" s="225" customFormat="1" ht="10.5" x14ac:dyDescent="0.25">
      <c r="A3245" s="229"/>
      <c r="B3245" s="232" t="s">
        <v>5</v>
      </c>
      <c r="C3245" s="182" t="s">
        <v>1328</v>
      </c>
      <c r="D3245" s="182"/>
      <c r="E3245" s="182"/>
      <c r="F3245" s="182"/>
      <c r="G3245" s="182"/>
      <c r="H3245" s="182"/>
      <c r="I3245" s="182"/>
      <c r="J3245" s="182"/>
      <c r="K3245" s="182"/>
      <c r="L3245" s="182"/>
      <c r="M3245" s="182"/>
      <c r="N3245" s="182">
        <f>SUM(N3243:N3244)</f>
        <v>1042.2457945402286</v>
      </c>
      <c r="O3245" s="182"/>
      <c r="P3245" s="233"/>
      <c r="Q3245" s="224"/>
    </row>
    <row r="3246" spans="1:17" s="228" customFormat="1" ht="21" x14ac:dyDescent="0.25">
      <c r="A3246" s="226" t="str">
        <f>ORÇAMENTO!A626</f>
        <v>6.1.2.4.8</v>
      </c>
      <c r="B3246" s="227" t="str">
        <f>VLOOKUP(A3246,ORÇAMENTO!A:K,4,0)</f>
        <v>EMULSÃO ASFÁLTICA PARA IMPRIMAÇÃO - FORNECIMENTO E TRANSPORTE</v>
      </c>
      <c r="C3246" s="173" t="str">
        <f>VLOOKUP(A3246,ORÇAMENTO!A:K,5,0)</f>
        <v>T</v>
      </c>
      <c r="D3246" s="173">
        <f>ROUND(SUM(E3251:O3251),2)</f>
        <v>1.35</v>
      </c>
      <c r="E3246" s="173" t="s">
        <v>1718</v>
      </c>
      <c r="F3246" s="173" t="s">
        <v>1719</v>
      </c>
      <c r="G3246" s="173" t="s">
        <v>1720</v>
      </c>
      <c r="H3246" s="173" t="s">
        <v>1721</v>
      </c>
      <c r="I3246" s="173" t="s">
        <v>1722</v>
      </c>
      <c r="J3246" s="173" t="s">
        <v>1723</v>
      </c>
      <c r="K3246" s="173" t="s">
        <v>1746</v>
      </c>
      <c r="L3246" s="173" t="s">
        <v>1777</v>
      </c>
      <c r="M3246" s="173" t="s">
        <v>1726</v>
      </c>
      <c r="N3246" s="173" t="s">
        <v>1811</v>
      </c>
      <c r="O3246" s="173" t="s">
        <v>1728</v>
      </c>
      <c r="P3246" s="224"/>
      <c r="Q3246" s="224"/>
    </row>
    <row r="3247" spans="1:17" s="225" customFormat="1" ht="10.5" x14ac:dyDescent="0.25">
      <c r="A3247" s="229"/>
      <c r="B3247" s="232" t="s">
        <v>1780</v>
      </c>
      <c r="C3247" s="177"/>
      <c r="D3247" s="178"/>
      <c r="E3247" s="178"/>
      <c r="F3247" s="178"/>
      <c r="G3247" s="178"/>
      <c r="H3247" s="178"/>
      <c r="I3247" s="178"/>
      <c r="J3247" s="178"/>
      <c r="K3247" s="178"/>
      <c r="L3247" s="178"/>
      <c r="M3247" s="178"/>
      <c r="N3247" s="178">
        <f>N3243</f>
        <v>1042.2457945402286</v>
      </c>
      <c r="O3247" s="178"/>
      <c r="P3247" s="231"/>
      <c r="Q3247" s="224"/>
    </row>
    <row r="3248" spans="1:17" s="225" customFormat="1" ht="42" x14ac:dyDescent="0.25">
      <c r="A3248" s="229"/>
      <c r="B3248" s="230" t="s">
        <v>1781</v>
      </c>
      <c r="C3248" s="177"/>
      <c r="D3248" s="178"/>
      <c r="E3248" s="178"/>
      <c r="F3248" s="178"/>
      <c r="G3248" s="178"/>
      <c r="H3248" s="178"/>
      <c r="I3248" s="178"/>
      <c r="J3248" s="178"/>
      <c r="K3248" s="178"/>
      <c r="L3248" s="198">
        <v>1.2999999999999999E-3</v>
      </c>
      <c r="M3248" s="178"/>
      <c r="N3248" s="200"/>
      <c r="O3248" s="178"/>
      <c r="P3248" s="231"/>
      <c r="Q3248" s="224"/>
    </row>
    <row r="3249" spans="1:17" s="225" customFormat="1" ht="10.5" x14ac:dyDescent="0.25">
      <c r="A3249" s="229"/>
      <c r="B3249" s="230"/>
      <c r="C3249" s="177"/>
      <c r="D3249" s="178"/>
      <c r="E3249" s="178"/>
      <c r="F3249" s="178"/>
      <c r="G3249" s="178"/>
      <c r="H3249" s="178"/>
      <c r="I3249" s="178"/>
      <c r="J3249" s="178"/>
      <c r="K3249" s="178">
        <f>L3248*N3247</f>
        <v>1.3549195329022972</v>
      </c>
      <c r="L3249" s="178"/>
      <c r="M3249" s="178"/>
      <c r="N3249" s="200"/>
      <c r="O3249" s="178"/>
      <c r="P3249" s="231"/>
      <c r="Q3249" s="224"/>
    </row>
    <row r="3250" spans="1:17" s="225" customFormat="1" ht="10.5" x14ac:dyDescent="0.25">
      <c r="A3250" s="229"/>
      <c r="B3250" s="230"/>
      <c r="C3250" s="177"/>
      <c r="D3250" s="178"/>
      <c r="E3250" s="178"/>
      <c r="F3250" s="178"/>
      <c r="G3250" s="178"/>
      <c r="H3250" s="178"/>
      <c r="I3250" s="178"/>
      <c r="J3250" s="178"/>
      <c r="K3250" s="178"/>
      <c r="L3250" s="178"/>
      <c r="M3250" s="178"/>
      <c r="N3250" s="200"/>
      <c r="O3250" s="178"/>
      <c r="P3250" s="231"/>
      <c r="Q3250" s="224"/>
    </row>
    <row r="3251" spans="1:17" s="225" customFormat="1" ht="10.5" x14ac:dyDescent="0.25">
      <c r="A3251" s="229"/>
      <c r="B3251" s="232" t="s">
        <v>5</v>
      </c>
      <c r="C3251" s="182" t="s">
        <v>1328</v>
      </c>
      <c r="D3251" s="182"/>
      <c r="E3251" s="182"/>
      <c r="F3251" s="182"/>
      <c r="G3251" s="182"/>
      <c r="H3251" s="182"/>
      <c r="I3251" s="182"/>
      <c r="J3251" s="182"/>
      <c r="K3251" s="177">
        <f>SUM(K3247:K3250)</f>
        <v>1.3549195329022972</v>
      </c>
      <c r="L3251" s="182"/>
      <c r="M3251" s="182"/>
      <c r="N3251" s="177"/>
      <c r="O3251" s="177"/>
      <c r="P3251" s="233"/>
      <c r="Q3251" s="224"/>
    </row>
    <row r="3252" spans="1:17" s="228" customFormat="1" ht="21" x14ac:dyDescent="0.25">
      <c r="A3252" s="226" t="str">
        <f>ORÇAMENTO!A627</f>
        <v>6.1.2.4.9</v>
      </c>
      <c r="B3252" s="227" t="str">
        <f>VLOOKUP(A3252,ORÇAMENTO!A:K,4,0)</f>
        <v>CAL HIDRATADA - A GRANEL</v>
      </c>
      <c r="C3252" s="173" t="str">
        <f>VLOOKUP(A3252,ORÇAMENTO!A:K,5,0)</f>
        <v>KG</v>
      </c>
      <c r="D3252" s="173">
        <f>SUM(E3255:O3255)</f>
        <v>16044.204268818952</v>
      </c>
      <c r="E3252" s="173" t="s">
        <v>1718</v>
      </c>
      <c r="F3252" s="173" t="s">
        <v>1719</v>
      </c>
      <c r="G3252" s="173" t="s">
        <v>1720</v>
      </c>
      <c r="H3252" s="173" t="s">
        <v>1721</v>
      </c>
      <c r="I3252" s="173" t="s">
        <v>1722</v>
      </c>
      <c r="J3252" s="173" t="s">
        <v>1723</v>
      </c>
      <c r="K3252" s="173" t="s">
        <v>1724</v>
      </c>
      <c r="L3252" s="173" t="s">
        <v>1753</v>
      </c>
      <c r="M3252" s="173" t="s">
        <v>1730</v>
      </c>
      <c r="N3252" s="173" t="s">
        <v>1727</v>
      </c>
      <c r="O3252" s="173" t="s">
        <v>1728</v>
      </c>
      <c r="P3252" s="224"/>
      <c r="Q3252" s="224"/>
    </row>
    <row r="3253" spans="1:17" s="225" customFormat="1" ht="10.5" x14ac:dyDescent="0.25">
      <c r="A3253" s="229"/>
      <c r="B3253" s="232" t="s">
        <v>1732</v>
      </c>
      <c r="C3253" s="184"/>
      <c r="D3253" s="185"/>
      <c r="E3253" s="185"/>
      <c r="F3253" s="185"/>
      <c r="G3253" s="185"/>
      <c r="H3253" s="185"/>
      <c r="I3253" s="185"/>
      <c r="J3253" s="185"/>
      <c r="K3253" s="185"/>
      <c r="L3253" s="185"/>
      <c r="M3253" s="185"/>
      <c r="N3253" s="185"/>
      <c r="O3253" s="185">
        <f>Quantitativos!BM120</f>
        <v>7.777122767241373</v>
      </c>
      <c r="P3253" s="224"/>
      <c r="Q3253" s="224"/>
    </row>
    <row r="3254" spans="1:17" s="225" customFormat="1" ht="31.5" x14ac:dyDescent="0.25">
      <c r="A3254" s="229"/>
      <c r="B3254" s="230" t="s">
        <v>1782</v>
      </c>
      <c r="C3254" s="184"/>
      <c r="D3254" s="185"/>
      <c r="E3254" s="185"/>
      <c r="F3254" s="185"/>
      <c r="G3254" s="185"/>
      <c r="H3254" s="185"/>
      <c r="I3254" s="185"/>
      <c r="J3254" s="185"/>
      <c r="K3254" s="185">
        <f>L3254*O3253</f>
        <v>16044.204268818952</v>
      </c>
      <c r="L3254" s="185">
        <f>82.52/0.04</f>
        <v>2063</v>
      </c>
      <c r="M3254" s="185"/>
      <c r="N3254" s="185"/>
      <c r="O3254" s="185"/>
      <c r="P3254" s="231"/>
      <c r="Q3254" s="224"/>
    </row>
    <row r="3255" spans="1:17" s="225" customFormat="1" ht="10.5" x14ac:dyDescent="0.25">
      <c r="A3255" s="229"/>
      <c r="B3255" s="232" t="s">
        <v>5</v>
      </c>
      <c r="C3255" s="182" t="s">
        <v>1328</v>
      </c>
      <c r="D3255" s="182"/>
      <c r="E3255" s="182"/>
      <c r="F3255" s="182"/>
      <c r="G3255" s="182"/>
      <c r="H3255" s="182"/>
      <c r="I3255" s="182"/>
      <c r="J3255" s="182"/>
      <c r="K3255" s="182">
        <f>SUM(K3253:K3254)</f>
        <v>16044.204268818952</v>
      </c>
      <c r="L3255" s="182"/>
      <c r="M3255" s="182"/>
      <c r="N3255" s="182"/>
      <c r="O3255" s="182"/>
      <c r="P3255" s="233"/>
      <c r="Q3255" s="224"/>
    </row>
    <row r="3256" spans="1:17" s="228" customFormat="1" ht="52.5" x14ac:dyDescent="0.25">
      <c r="A3256" s="226" t="str">
        <f>ORÇAMENTO!A628</f>
        <v>6.1.2.4.10</v>
      </c>
      <c r="B3256" s="227" t="str">
        <f>VLOOKUP(A3256,ORÇAMENTO!A:K,4,0)</f>
        <v>CONSTRUÇÃO DE PAVIMENTO COM APLICAÇÃO CONCRETO BETUMINOSO USINADO A QUENTE (CBUQ), CAMADA DE ROLAMENTO - EXCLUSIVE TRANSPORTE E CARGA  AF_03/2017 (SEM MATERIAL)</v>
      </c>
      <c r="C3256" s="173" t="str">
        <f>VLOOKUP(A3256,ORÇAMENTO!A:K,5,0)</f>
        <v>M³</v>
      </c>
      <c r="D3256" s="173">
        <f>SUM(E3260:O3260)</f>
        <v>36.90272383620686</v>
      </c>
      <c r="E3256" s="173" t="s">
        <v>1718</v>
      </c>
      <c r="F3256" s="173" t="s">
        <v>1719</v>
      </c>
      <c r="G3256" s="173" t="s">
        <v>1720</v>
      </c>
      <c r="H3256" s="173" t="s">
        <v>1721</v>
      </c>
      <c r="I3256" s="173" t="s">
        <v>1722</v>
      </c>
      <c r="J3256" s="173" t="s">
        <v>1723</v>
      </c>
      <c r="K3256" s="173" t="s">
        <v>1724</v>
      </c>
      <c r="L3256" s="173" t="s">
        <v>1783</v>
      </c>
      <c r="M3256" s="173" t="s">
        <v>1730</v>
      </c>
      <c r="N3256" s="173" t="s">
        <v>1727</v>
      </c>
      <c r="O3256" s="173" t="s">
        <v>1728</v>
      </c>
      <c r="P3256" s="224"/>
      <c r="Q3256" s="224"/>
    </row>
    <row r="3257" spans="1:17" s="225" customFormat="1" ht="10.5" x14ac:dyDescent="0.25">
      <c r="A3257" s="229"/>
      <c r="B3257" s="232" t="s">
        <v>1745</v>
      </c>
      <c r="C3257" s="184"/>
      <c r="D3257" s="185"/>
      <c r="E3257" s="185"/>
      <c r="F3257" s="185"/>
      <c r="G3257" s="185"/>
      <c r="H3257" s="185"/>
      <c r="I3257" s="185"/>
      <c r="J3257" s="185"/>
      <c r="K3257" s="185"/>
      <c r="L3257" s="185"/>
      <c r="M3257" s="185"/>
      <c r="N3257" s="185"/>
      <c r="O3257" s="185"/>
      <c r="P3257" s="231"/>
      <c r="Q3257" s="224"/>
    </row>
    <row r="3258" spans="1:17" s="225" customFormat="1" ht="10.5" x14ac:dyDescent="0.25">
      <c r="A3258" s="229"/>
      <c r="B3258" s="230" t="s">
        <v>1784</v>
      </c>
      <c r="C3258" s="184"/>
      <c r="D3258" s="185"/>
      <c r="E3258" s="185"/>
      <c r="F3258" s="185"/>
      <c r="G3258" s="185"/>
      <c r="H3258" s="185">
        <f>H2922</f>
        <v>0.03</v>
      </c>
      <c r="I3258" s="185"/>
      <c r="J3258" s="185"/>
      <c r="K3258" s="185"/>
      <c r="L3258" s="185"/>
      <c r="M3258" s="185"/>
      <c r="N3258" s="185">
        <f>N2921</f>
        <v>1230.0907945402287</v>
      </c>
      <c r="O3258" s="185">
        <f>N3258*H3258</f>
        <v>36.90272383620686</v>
      </c>
      <c r="P3258" s="231"/>
      <c r="Q3258" s="224"/>
    </row>
    <row r="3259" spans="1:17" s="225" customFormat="1" ht="10.5" x14ac:dyDescent="0.25">
      <c r="A3259" s="229"/>
      <c r="B3259" s="230"/>
      <c r="C3259" s="184"/>
      <c r="D3259" s="185"/>
      <c r="E3259" s="185"/>
      <c r="F3259" s="185"/>
      <c r="G3259" s="185"/>
      <c r="H3259" s="185"/>
      <c r="I3259" s="185"/>
      <c r="J3259" s="185"/>
      <c r="K3259" s="185"/>
      <c r="L3259" s="186"/>
      <c r="M3259" s="185"/>
      <c r="N3259" s="185"/>
      <c r="O3259" s="185"/>
      <c r="P3259" s="231"/>
      <c r="Q3259" s="224"/>
    </row>
    <row r="3260" spans="1:17" s="225" customFormat="1" ht="10.5" x14ac:dyDescent="0.25">
      <c r="A3260" s="229"/>
      <c r="B3260" s="232" t="s">
        <v>5</v>
      </c>
      <c r="C3260" s="182" t="s">
        <v>1328</v>
      </c>
      <c r="D3260" s="182"/>
      <c r="E3260" s="182"/>
      <c r="F3260" s="182"/>
      <c r="G3260" s="182"/>
      <c r="H3260" s="182"/>
      <c r="I3260" s="182"/>
      <c r="J3260" s="182"/>
      <c r="K3260" s="182"/>
      <c r="L3260" s="182"/>
      <c r="M3260" s="182"/>
      <c r="N3260" s="182"/>
      <c r="O3260" s="182">
        <f>SUM(O3258:O3259)</f>
        <v>36.90272383620686</v>
      </c>
      <c r="P3260" s="233"/>
      <c r="Q3260" s="224"/>
    </row>
    <row r="3261" spans="1:17" s="228" customFormat="1" ht="21" x14ac:dyDescent="0.25">
      <c r="A3261" s="226" t="str">
        <f>ORÇAMENTO!A629</f>
        <v>6.1.2.4.11</v>
      </c>
      <c r="B3261" s="227" t="str">
        <f>VLOOKUP(A3261,ORÇAMENTO!A:K,4,0)</f>
        <v>USINAGEM DE CBUQ SEM  CAP 50/70, PARA CAPA DE ROLAMENTO (SEM MATERIAL  E TRANSPORTE)</v>
      </c>
      <c r="C3261" s="173" t="str">
        <f>VLOOKUP(A3261,ORÇAMENTO!A:K,5,0)</f>
        <v>T</v>
      </c>
      <c r="D3261" s="173">
        <f>SUM(E3266:O3266)</f>
        <v>88.566537206896456</v>
      </c>
      <c r="E3261" s="173" t="s">
        <v>1718</v>
      </c>
      <c r="F3261" s="173" t="s">
        <v>1719</v>
      </c>
      <c r="G3261" s="173" t="s">
        <v>1720</v>
      </c>
      <c r="H3261" s="173" t="s">
        <v>1721</v>
      </c>
      <c r="I3261" s="173" t="s">
        <v>1722</v>
      </c>
      <c r="J3261" s="173" t="s">
        <v>1723</v>
      </c>
      <c r="K3261" s="173" t="s">
        <v>1746</v>
      </c>
      <c r="L3261" s="173" t="s">
        <v>1753</v>
      </c>
      <c r="M3261" s="173" t="s">
        <v>1730</v>
      </c>
      <c r="N3261" s="173" t="s">
        <v>1727</v>
      </c>
      <c r="O3261" s="173" t="s">
        <v>1728</v>
      </c>
      <c r="P3261" s="224"/>
      <c r="Q3261" s="224"/>
    </row>
    <row r="3262" spans="1:17" s="225" customFormat="1" ht="10.5" x14ac:dyDescent="0.25">
      <c r="A3262" s="229"/>
      <c r="B3262" s="232" t="s">
        <v>1745</v>
      </c>
      <c r="C3262" s="184"/>
      <c r="D3262" s="185"/>
      <c r="E3262" s="185"/>
      <c r="F3262" s="185"/>
      <c r="G3262" s="185"/>
      <c r="H3262" s="185"/>
      <c r="I3262" s="185"/>
      <c r="J3262" s="185"/>
      <c r="K3262" s="185"/>
      <c r="L3262" s="185"/>
      <c r="M3262" s="185"/>
      <c r="N3262" s="185"/>
      <c r="O3262" s="185"/>
      <c r="P3262" s="231"/>
      <c r="Q3262" s="224"/>
    </row>
    <row r="3263" spans="1:17" s="225" customFormat="1" ht="10.5" x14ac:dyDescent="0.25">
      <c r="A3263" s="229"/>
      <c r="B3263" s="230" t="s">
        <v>1785</v>
      </c>
      <c r="C3263" s="184"/>
      <c r="D3263" s="185"/>
      <c r="E3263" s="185"/>
      <c r="F3263" s="185"/>
      <c r="G3263" s="185"/>
      <c r="H3263" s="185"/>
      <c r="I3263" s="185"/>
      <c r="J3263" s="185"/>
      <c r="K3263" s="185"/>
      <c r="L3263" s="185">
        <v>2.4</v>
      </c>
      <c r="M3263" s="185"/>
      <c r="N3263" s="185"/>
      <c r="O3263" s="185"/>
      <c r="P3263" s="231"/>
      <c r="Q3263" s="224"/>
    </row>
    <row r="3264" spans="1:17" s="225" customFormat="1" ht="10.5" x14ac:dyDescent="0.25">
      <c r="A3264" s="229"/>
      <c r="B3264" s="230" t="str">
        <f>B3258</f>
        <v>CONCRETO BETUMINOSO USINADO A QUENTE</v>
      </c>
      <c r="C3264" s="184"/>
      <c r="D3264" s="185"/>
      <c r="E3264" s="185"/>
      <c r="F3264" s="185"/>
      <c r="G3264" s="185"/>
      <c r="H3264" s="185">
        <f>H3258</f>
        <v>0.03</v>
      </c>
      <c r="I3264" s="185"/>
      <c r="J3264" s="185"/>
      <c r="K3264" s="185">
        <f>L3263*O3264</f>
        <v>88.566537206896456</v>
      </c>
      <c r="L3264" s="185"/>
      <c r="M3264" s="185"/>
      <c r="N3264" s="185">
        <f>N3258</f>
        <v>1230.0907945402287</v>
      </c>
      <c r="O3264" s="185">
        <f>O3258</f>
        <v>36.90272383620686</v>
      </c>
      <c r="P3264" s="231"/>
      <c r="Q3264" s="224"/>
    </row>
    <row r="3265" spans="1:17" s="225" customFormat="1" ht="10.5" x14ac:dyDescent="0.25">
      <c r="A3265" s="229"/>
      <c r="B3265" s="230"/>
      <c r="C3265" s="184"/>
      <c r="D3265" s="185"/>
      <c r="E3265" s="185"/>
      <c r="F3265" s="185"/>
      <c r="G3265" s="185"/>
      <c r="H3265" s="185"/>
      <c r="I3265" s="185"/>
      <c r="J3265" s="185"/>
      <c r="K3265" s="185"/>
      <c r="L3265" s="186"/>
      <c r="M3265" s="185"/>
      <c r="N3265" s="185"/>
      <c r="O3265" s="185"/>
      <c r="P3265" s="231"/>
      <c r="Q3265" s="224"/>
    </row>
    <row r="3266" spans="1:17" s="225" customFormat="1" ht="10.5" x14ac:dyDescent="0.25">
      <c r="A3266" s="229"/>
      <c r="B3266" s="232" t="s">
        <v>5</v>
      </c>
      <c r="C3266" s="182" t="s">
        <v>1328</v>
      </c>
      <c r="D3266" s="182"/>
      <c r="E3266" s="182"/>
      <c r="F3266" s="182"/>
      <c r="G3266" s="182"/>
      <c r="H3266" s="182"/>
      <c r="I3266" s="182"/>
      <c r="J3266" s="182"/>
      <c r="K3266" s="182">
        <f>SUM(K3264:K3265)</f>
        <v>88.566537206896456</v>
      </c>
      <c r="L3266" s="182"/>
      <c r="M3266" s="182"/>
      <c r="N3266" s="182"/>
      <c r="O3266" s="182"/>
      <c r="P3266" s="233"/>
      <c r="Q3266" s="224"/>
    </row>
    <row r="3267" spans="1:17" s="228" customFormat="1" ht="21" x14ac:dyDescent="0.25">
      <c r="A3267" s="226" t="str">
        <f>ORÇAMENTO!A630</f>
        <v>6.1.2.4.12</v>
      </c>
      <c r="B3267" s="227" t="str">
        <f>VLOOKUP(A3267,ORÇAMENTO!A:K,4,0)</f>
        <v>CIMENTO ASFÁLTICO DE PETRÓLEO - CAP 50/70 FORNECIMENTO E TRANSPORTE</v>
      </c>
      <c r="C3267" s="173" t="str">
        <f>VLOOKUP(A3267,ORÇAMENTO!A:K,5,0)</f>
        <v>T</v>
      </c>
      <c r="D3267" s="173">
        <f>SUM(E3272:O3272)</f>
        <v>5.6000621475920624</v>
      </c>
      <c r="E3267" s="173" t="s">
        <v>1718</v>
      </c>
      <c r="F3267" s="173" t="s">
        <v>1719</v>
      </c>
      <c r="G3267" s="173" t="s">
        <v>1720</v>
      </c>
      <c r="H3267" s="173" t="s">
        <v>1721</v>
      </c>
      <c r="I3267" s="173" t="s">
        <v>1722</v>
      </c>
      <c r="J3267" s="173" t="s">
        <v>1723</v>
      </c>
      <c r="K3267" s="173" t="s">
        <v>1746</v>
      </c>
      <c r="L3267" s="173" t="s">
        <v>1777</v>
      </c>
      <c r="M3267" s="173" t="s">
        <v>1730</v>
      </c>
      <c r="N3267" s="173" t="s">
        <v>1727</v>
      </c>
      <c r="O3267" s="173" t="s">
        <v>1728</v>
      </c>
      <c r="P3267" s="224"/>
      <c r="Q3267" s="224"/>
    </row>
    <row r="3268" spans="1:17" s="225" customFormat="1" ht="10.5" x14ac:dyDescent="0.25">
      <c r="A3268" s="229"/>
      <c r="B3268" s="230" t="str">
        <f>B3264</f>
        <v>CONCRETO BETUMINOSO USINADO A QUENTE</v>
      </c>
      <c r="C3268" s="184"/>
      <c r="D3268" s="185"/>
      <c r="E3268" s="185"/>
      <c r="F3268" s="185"/>
      <c r="G3268" s="185"/>
      <c r="H3268" s="185"/>
      <c r="I3268" s="185"/>
      <c r="J3268" s="185"/>
      <c r="K3268" s="185">
        <f>K3264</f>
        <v>88.566537206896456</v>
      </c>
      <c r="L3268" s="185"/>
      <c r="M3268" s="185"/>
      <c r="N3268" s="185"/>
      <c r="O3268" s="185"/>
      <c r="P3268" s="231"/>
      <c r="Q3268" s="224"/>
    </row>
    <row r="3269" spans="1:17" s="225" customFormat="1" ht="10.5" x14ac:dyDescent="0.25">
      <c r="A3269" s="229"/>
      <c r="B3269" s="230" t="s">
        <v>1786</v>
      </c>
      <c r="C3269" s="184"/>
      <c r="D3269" s="185"/>
      <c r="E3269" s="185"/>
      <c r="F3269" s="185"/>
      <c r="G3269" s="185"/>
      <c r="H3269" s="185"/>
      <c r="I3269" s="185"/>
      <c r="J3269" s="185"/>
      <c r="K3269" s="185"/>
      <c r="L3269" s="199">
        <v>6.3229999999999995E-2</v>
      </c>
      <c r="M3269" s="185"/>
      <c r="N3269" s="185"/>
      <c r="O3269" s="185"/>
      <c r="P3269" s="231"/>
      <c r="Q3269" s="224"/>
    </row>
    <row r="3270" spans="1:17" s="225" customFormat="1" ht="10.5" x14ac:dyDescent="0.25">
      <c r="A3270" s="229"/>
      <c r="B3270" s="230"/>
      <c r="C3270" s="184"/>
      <c r="D3270" s="185"/>
      <c r="E3270" s="185"/>
      <c r="F3270" s="185"/>
      <c r="G3270" s="185"/>
      <c r="H3270" s="185"/>
      <c r="I3270" s="185"/>
      <c r="J3270" s="185"/>
      <c r="K3270" s="185">
        <f>K3268*L3269</f>
        <v>5.6000621475920624</v>
      </c>
      <c r="L3270" s="185"/>
      <c r="M3270" s="185"/>
      <c r="N3270" s="185"/>
      <c r="O3270" s="185"/>
      <c r="P3270" s="231"/>
      <c r="Q3270" s="224"/>
    </row>
    <row r="3271" spans="1:17" s="225" customFormat="1" ht="10.5" x14ac:dyDescent="0.25">
      <c r="A3271" s="229"/>
      <c r="B3271" s="230"/>
      <c r="C3271" s="184"/>
      <c r="D3271" s="185"/>
      <c r="E3271" s="185"/>
      <c r="F3271" s="185"/>
      <c r="G3271" s="185"/>
      <c r="H3271" s="185"/>
      <c r="I3271" s="185"/>
      <c r="J3271" s="185"/>
      <c r="K3271" s="185"/>
      <c r="L3271" s="186"/>
      <c r="M3271" s="185"/>
      <c r="N3271" s="185"/>
      <c r="O3271" s="185"/>
      <c r="P3271" s="231"/>
      <c r="Q3271" s="224"/>
    </row>
    <row r="3272" spans="1:17" s="225" customFormat="1" ht="10.5" x14ac:dyDescent="0.25">
      <c r="A3272" s="229"/>
      <c r="B3272" s="232" t="s">
        <v>5</v>
      </c>
      <c r="C3272" s="182" t="s">
        <v>1328</v>
      </c>
      <c r="D3272" s="182"/>
      <c r="E3272" s="182"/>
      <c r="F3272" s="182"/>
      <c r="G3272" s="182"/>
      <c r="H3272" s="182"/>
      <c r="I3272" s="182"/>
      <c r="J3272" s="182"/>
      <c r="K3272" s="182">
        <f>SUM(K3270:K3271)</f>
        <v>5.6000621475920624</v>
      </c>
      <c r="L3272" s="182"/>
      <c r="M3272" s="182"/>
      <c r="N3272" s="182"/>
      <c r="O3272" s="182"/>
      <c r="P3272" s="233"/>
      <c r="Q3272" s="224"/>
    </row>
    <row r="3273" spans="1:17" s="228" customFormat="1" ht="21" x14ac:dyDescent="0.25">
      <c r="A3273" s="226" t="str">
        <f>ORÇAMENTO!A631</f>
        <v>6.1.2.4.13</v>
      </c>
      <c r="B3273" s="227" t="str">
        <f>VLOOKUP(A3273,ORÇAMENTO!A:K,4,0)</f>
        <v>REATERRO MANUAL APILOADO COM SOQUETE</v>
      </c>
      <c r="C3273" s="173" t="str">
        <f>VLOOKUP(A3273,ORÇAMENTO!A:K,5,0)</f>
        <v>M³</v>
      </c>
      <c r="D3273" s="173">
        <f>SUM(E3276:O3276)</f>
        <v>859.31023253714272</v>
      </c>
      <c r="E3273" s="173" t="s">
        <v>1718</v>
      </c>
      <c r="F3273" s="173" t="s">
        <v>1719</v>
      </c>
      <c r="G3273" s="173" t="s">
        <v>1720</v>
      </c>
      <c r="H3273" s="173" t="s">
        <v>1721</v>
      </c>
      <c r="I3273" s="173" t="s">
        <v>1722</v>
      </c>
      <c r="J3273" s="173" t="s">
        <v>1723</v>
      </c>
      <c r="K3273" s="173" t="s">
        <v>1724</v>
      </c>
      <c r="L3273" s="173" t="s">
        <v>1753</v>
      </c>
      <c r="M3273" s="173" t="s">
        <v>1730</v>
      </c>
      <c r="N3273" s="173" t="s">
        <v>1727</v>
      </c>
      <c r="O3273" s="173" t="s">
        <v>1728</v>
      </c>
      <c r="P3273" s="224"/>
      <c r="Q3273" s="224"/>
    </row>
    <row r="3274" spans="1:17" s="225" customFormat="1" ht="10.5" x14ac:dyDescent="0.25">
      <c r="A3274" s="229"/>
      <c r="B3274" s="232" t="s">
        <v>1732</v>
      </c>
      <c r="C3274" s="184"/>
      <c r="D3274" s="185"/>
      <c r="E3274" s="185"/>
      <c r="F3274" s="185"/>
      <c r="G3274" s="185"/>
      <c r="H3274" s="185"/>
      <c r="I3274" s="185"/>
      <c r="J3274" s="185"/>
      <c r="K3274" s="185"/>
      <c r="L3274" s="185"/>
      <c r="M3274" s="185"/>
      <c r="N3274" s="185"/>
      <c r="O3274" s="185">
        <f>Quantitativos!AZ120</f>
        <v>859.31023253714272</v>
      </c>
      <c r="P3274" s="224"/>
      <c r="Q3274" s="224"/>
    </row>
    <row r="3275" spans="1:17" s="225" customFormat="1" ht="10.5" x14ac:dyDescent="0.25">
      <c r="A3275" s="229"/>
      <c r="B3275" s="230"/>
      <c r="C3275" s="184"/>
      <c r="D3275" s="185"/>
      <c r="E3275" s="185"/>
      <c r="F3275" s="185"/>
      <c r="G3275" s="185"/>
      <c r="H3275" s="185"/>
      <c r="I3275" s="185"/>
      <c r="J3275" s="185"/>
      <c r="K3275" s="185"/>
      <c r="L3275" s="185"/>
      <c r="M3275" s="185"/>
      <c r="N3275" s="185"/>
      <c r="O3275" s="185"/>
      <c r="P3275" s="231"/>
      <c r="Q3275" s="224"/>
    </row>
    <row r="3276" spans="1:17" s="225" customFormat="1" ht="10.5" x14ac:dyDescent="0.25">
      <c r="A3276" s="229"/>
      <c r="B3276" s="232" t="s">
        <v>5</v>
      </c>
      <c r="C3276" s="182" t="s">
        <v>1328</v>
      </c>
      <c r="D3276" s="182"/>
      <c r="E3276" s="182"/>
      <c r="F3276" s="182"/>
      <c r="G3276" s="182"/>
      <c r="H3276" s="182"/>
      <c r="I3276" s="182"/>
      <c r="J3276" s="182"/>
      <c r="K3276" s="182"/>
      <c r="L3276" s="182"/>
      <c r="M3276" s="182"/>
      <c r="N3276" s="182"/>
      <c r="O3276" s="182">
        <f>SUM(O3274:O3275)</f>
        <v>859.31023253714272</v>
      </c>
      <c r="P3276" s="233"/>
      <c r="Q3276" s="224"/>
    </row>
    <row r="3277" spans="1:17" s="228" customFormat="1" ht="31.5" x14ac:dyDescent="0.25">
      <c r="A3277" s="226" t="str">
        <f>ORÇAMENTO!A632</f>
        <v>6.1.2.4.14</v>
      </c>
      <c r="B3277" s="227" t="str">
        <f>VLOOKUP(A3277,ORÇAMENTO!A:K,4,0)</f>
        <v>REATERRO COMPACTADO MECANICAMENTE EM CAMADAS DE 0,20 M COM APROVEITAMENTO DO MATERIAL ESCAVADO.</v>
      </c>
      <c r="C3277" s="173" t="str">
        <f>VLOOKUP(A3277,ORÇAMENTO!A:K,5,0)</f>
        <v>M³</v>
      </c>
      <c r="D3277" s="173">
        <f>SUM(E3282:O3282)</f>
        <v>793.2967585992925</v>
      </c>
      <c r="E3277" s="173" t="s">
        <v>1718</v>
      </c>
      <c r="F3277" s="173" t="s">
        <v>1719</v>
      </c>
      <c r="G3277" s="173" t="s">
        <v>1720</v>
      </c>
      <c r="H3277" s="173" t="s">
        <v>1721</v>
      </c>
      <c r="I3277" s="173" t="s">
        <v>1722</v>
      </c>
      <c r="J3277" s="173" t="s">
        <v>1723</v>
      </c>
      <c r="K3277" s="173" t="s">
        <v>1724</v>
      </c>
      <c r="L3277" s="173" t="s">
        <v>1753</v>
      </c>
      <c r="M3277" s="173" t="s">
        <v>1730</v>
      </c>
      <c r="N3277" s="173" t="s">
        <v>1727</v>
      </c>
      <c r="O3277" s="173" t="s">
        <v>1728</v>
      </c>
      <c r="P3277" s="224"/>
      <c r="Q3277" s="224"/>
    </row>
    <row r="3278" spans="1:17" s="225" customFormat="1" ht="10.5" x14ac:dyDescent="0.25">
      <c r="A3278" s="229"/>
      <c r="B3278" s="230" t="s">
        <v>1787</v>
      </c>
      <c r="C3278" s="184"/>
      <c r="D3278" s="185"/>
      <c r="E3278" s="185"/>
      <c r="F3278" s="185"/>
      <c r="G3278" s="185"/>
      <c r="H3278" s="185"/>
      <c r="I3278" s="185"/>
      <c r="J3278" s="185"/>
      <c r="K3278" s="185"/>
      <c r="L3278" s="185"/>
      <c r="M3278" s="185"/>
      <c r="N3278" s="185"/>
      <c r="O3278" s="185">
        <f>Quantitativos!BG120</f>
        <v>751.60591521415142</v>
      </c>
      <c r="P3278" s="224"/>
      <c r="Q3278" s="224"/>
    </row>
    <row r="3279" spans="1:17" s="225" customFormat="1" ht="21" x14ac:dyDescent="0.25">
      <c r="A3279" s="229"/>
      <c r="B3279" s="230" t="s">
        <v>1788</v>
      </c>
      <c r="C3279" s="184"/>
      <c r="D3279" s="185"/>
      <c r="E3279" s="185"/>
      <c r="F3279" s="185"/>
      <c r="G3279" s="185"/>
      <c r="H3279" s="185"/>
      <c r="I3279" s="185"/>
      <c r="J3279" s="185"/>
      <c r="K3279" s="185"/>
      <c r="L3279" s="185"/>
      <c r="M3279" s="185"/>
      <c r="N3279" s="185"/>
      <c r="O3279" s="185">
        <f>Quantitativos!BJ120</f>
        <v>3.5996433851411211</v>
      </c>
      <c r="P3279" s="231"/>
      <c r="Q3279" s="224"/>
    </row>
    <row r="3280" spans="1:17" s="225" customFormat="1" ht="10.5" x14ac:dyDescent="0.25">
      <c r="A3280" s="229"/>
      <c r="B3280" s="230" t="s">
        <v>1789</v>
      </c>
      <c r="C3280" s="184"/>
      <c r="D3280" s="185"/>
      <c r="E3280" s="185"/>
      <c r="F3280" s="185"/>
      <c r="G3280" s="185"/>
      <c r="H3280" s="185"/>
      <c r="I3280" s="185"/>
      <c r="J3280" s="185"/>
      <c r="K3280" s="185"/>
      <c r="L3280" s="185"/>
      <c r="M3280" s="185"/>
      <c r="N3280" s="185"/>
      <c r="O3280" s="178">
        <f>Quantitativos!BK120</f>
        <v>0</v>
      </c>
      <c r="P3280" s="231"/>
      <c r="Q3280" s="224"/>
    </row>
    <row r="3281" spans="1:19" s="225" customFormat="1" ht="10.5" x14ac:dyDescent="0.25">
      <c r="A3281" s="229"/>
      <c r="B3281" s="230" t="s">
        <v>1790</v>
      </c>
      <c r="C3281" s="184"/>
      <c r="D3281" s="185"/>
      <c r="E3281" s="185"/>
      <c r="F3281" s="185"/>
      <c r="G3281" s="185"/>
      <c r="H3281" s="185"/>
      <c r="I3281" s="185"/>
      <c r="J3281" s="185"/>
      <c r="K3281" s="185"/>
      <c r="L3281" s="185"/>
      <c r="M3281" s="185"/>
      <c r="N3281" s="185"/>
      <c r="O3281" s="185">
        <f>Quantitativos!AW120</f>
        <v>38.091199999999994</v>
      </c>
      <c r="P3281" s="231"/>
      <c r="Q3281" s="224"/>
    </row>
    <row r="3282" spans="1:19" s="225" customFormat="1" ht="10.5" x14ac:dyDescent="0.25">
      <c r="A3282" s="229"/>
      <c r="B3282" s="232" t="s">
        <v>5</v>
      </c>
      <c r="C3282" s="182" t="s">
        <v>1328</v>
      </c>
      <c r="D3282" s="182"/>
      <c r="E3282" s="182"/>
      <c r="F3282" s="182"/>
      <c r="G3282" s="182"/>
      <c r="H3282" s="182"/>
      <c r="I3282" s="182"/>
      <c r="J3282" s="182"/>
      <c r="K3282" s="182"/>
      <c r="L3282" s="182"/>
      <c r="M3282" s="182"/>
      <c r="N3282" s="182"/>
      <c r="O3282" s="182">
        <f>SUM(O3278:O3281)</f>
        <v>793.2967585992925</v>
      </c>
      <c r="P3282" s="233"/>
      <c r="Q3282" s="224"/>
    </row>
    <row r="3283" spans="1:19" s="235" customFormat="1" ht="52.5" x14ac:dyDescent="0.35">
      <c r="A3283" s="226" t="str">
        <f>ORÇAMENTO!A633</f>
        <v>6.1.2.4.15</v>
      </c>
      <c r="B3283" s="227" t="str">
        <f>VLOOKUP(A3283,ORÇAMENTO!A:K,4,0)</f>
        <v>CARGA, MANOBRA E DESCARGA DE SOLOS E MATERIAIS GRANULARES EM CAMINHÃO BASCULANTE 14 M³ - CARGA COM ESCAVADEIRA HIDRÁULICA (CAÇAMBA DE 1,20 M³ / 155 HP) E DESCARGA LIVRE (UNIDADE: M3). AF_07/2020</v>
      </c>
      <c r="C3283" s="173" t="str">
        <f>VLOOKUP(A3283,ORÇAMENTO!A:K,5,0)</f>
        <v>M³</v>
      </c>
      <c r="D3283" s="173">
        <f>SUM(E3288:O3288)</f>
        <v>137.62703060435689</v>
      </c>
      <c r="E3283" s="173" t="s">
        <v>1752</v>
      </c>
      <c r="F3283" s="173" t="s">
        <v>1719</v>
      </c>
      <c r="G3283" s="173" t="s">
        <v>1720</v>
      </c>
      <c r="H3283" s="173" t="s">
        <v>1721</v>
      </c>
      <c r="I3283" s="173" t="s">
        <v>1722</v>
      </c>
      <c r="J3283" s="173" t="s">
        <v>1723</v>
      </c>
      <c r="K3283" s="173" t="s">
        <v>1746</v>
      </c>
      <c r="L3283" s="173" t="s">
        <v>1753</v>
      </c>
      <c r="M3283" s="173" t="s">
        <v>1730</v>
      </c>
      <c r="N3283" s="173" t="s">
        <v>1727</v>
      </c>
      <c r="O3283" s="173" t="s">
        <v>1728</v>
      </c>
      <c r="P3283" s="224"/>
      <c r="Q3283" s="224"/>
      <c r="R3283" s="224"/>
      <c r="S3283" s="224"/>
    </row>
    <row r="3284" spans="1:19" s="225" customFormat="1" ht="21" x14ac:dyDescent="0.25">
      <c r="A3284" s="229"/>
      <c r="B3284" s="230" t="s">
        <v>1791</v>
      </c>
      <c r="C3284" s="177"/>
      <c r="D3284" s="178"/>
      <c r="E3284" s="178"/>
      <c r="F3284" s="178"/>
      <c r="G3284" s="178"/>
      <c r="H3284" s="178"/>
      <c r="I3284" s="178"/>
      <c r="J3284" s="178"/>
      <c r="K3284" s="178"/>
      <c r="L3284" s="190"/>
      <c r="M3284" s="178"/>
      <c r="N3284" s="178"/>
      <c r="O3284" s="178">
        <f>O3290+O3291+O3292</f>
        <v>3.5996433851411211</v>
      </c>
      <c r="P3284" s="231"/>
      <c r="Q3284" s="224"/>
    </row>
    <row r="3285" spans="1:19" s="225" customFormat="1" ht="21" x14ac:dyDescent="0.25">
      <c r="A3285" s="229"/>
      <c r="B3285" s="230" t="s">
        <v>1792</v>
      </c>
      <c r="C3285" s="177"/>
      <c r="D3285" s="178"/>
      <c r="E3285" s="178"/>
      <c r="F3285" s="178"/>
      <c r="G3285" s="178"/>
      <c r="H3285" s="178"/>
      <c r="I3285" s="178"/>
      <c r="J3285" s="178"/>
      <c r="K3285" s="178"/>
      <c r="L3285" s="190"/>
      <c r="M3285" s="178"/>
      <c r="N3285" s="178"/>
      <c r="O3285" s="178">
        <f>O3219</f>
        <v>70.559999999904861</v>
      </c>
      <c r="P3285" s="231"/>
      <c r="Q3285" s="224"/>
    </row>
    <row r="3286" spans="1:19" s="225" customFormat="1" ht="31.5" x14ac:dyDescent="0.25">
      <c r="A3286" s="229"/>
      <c r="B3286" s="230" t="s">
        <v>1793</v>
      </c>
      <c r="C3286" s="177"/>
      <c r="D3286" s="178"/>
      <c r="E3286" s="178"/>
      <c r="F3286" s="178"/>
      <c r="G3286" s="178"/>
      <c r="H3286" s="178"/>
      <c r="I3286" s="178"/>
      <c r="J3286" s="178"/>
      <c r="K3286" s="178"/>
      <c r="L3286" s="190"/>
      <c r="M3286" s="178"/>
      <c r="N3286" s="178"/>
      <c r="O3286" s="178">
        <f>O3223</f>
        <v>63.467387219310922</v>
      </c>
      <c r="P3286" s="231"/>
      <c r="Q3286" s="224"/>
    </row>
    <row r="3287" spans="1:19" s="225" customFormat="1" ht="10.5" x14ac:dyDescent="0.25">
      <c r="A3287" s="229"/>
      <c r="B3287" s="230"/>
      <c r="C3287" s="177"/>
      <c r="D3287" s="178"/>
      <c r="E3287" s="178"/>
      <c r="F3287" s="178"/>
      <c r="G3287" s="178"/>
      <c r="H3287" s="178"/>
      <c r="I3287" s="178"/>
      <c r="J3287" s="178"/>
      <c r="K3287" s="178"/>
      <c r="L3287" s="190"/>
      <c r="M3287" s="178"/>
      <c r="N3287" s="178"/>
      <c r="O3287" s="178"/>
      <c r="P3287" s="231"/>
      <c r="Q3287" s="224"/>
    </row>
    <row r="3288" spans="1:19" s="225" customFormat="1" ht="10.5" x14ac:dyDescent="0.25">
      <c r="A3288" s="229"/>
      <c r="B3288" s="232" t="s">
        <v>5</v>
      </c>
      <c r="C3288" s="182" t="s">
        <v>1328</v>
      </c>
      <c r="D3288" s="182"/>
      <c r="E3288" s="182"/>
      <c r="F3288" s="182"/>
      <c r="G3288" s="182"/>
      <c r="H3288" s="182"/>
      <c r="I3288" s="182"/>
      <c r="J3288" s="182"/>
      <c r="K3288" s="182"/>
      <c r="L3288" s="182"/>
      <c r="M3288" s="177"/>
      <c r="N3288" s="182"/>
      <c r="O3288" s="182">
        <f>SUM(O3284:O3287)</f>
        <v>137.62703060435689</v>
      </c>
      <c r="P3288" s="233"/>
      <c r="Q3288" s="224"/>
    </row>
    <row r="3289" spans="1:19" s="228" customFormat="1" ht="31.5" x14ac:dyDescent="0.25">
      <c r="A3289" s="226" t="str">
        <f>ORÇAMENTO!A634</f>
        <v>6.1.2.4.16</v>
      </c>
      <c r="B3289" s="227" t="str">
        <f>VLOOKUP(A3289,ORÇAMENTO!A:K,4,0)</f>
        <v>TRANSPORTE COM CAMINHÃO BASCULANTE DE 14 M³, EM VIA URBANA PAVIMENTADA, DMT ATÉ 30 KM (UNIDADE: M3XKM). AF_07/2020</v>
      </c>
      <c r="C3289" s="173" t="str">
        <f>VLOOKUP(A3289,ORÇAMENTO!A:K,5,0)</f>
        <v>M3XKM</v>
      </c>
      <c r="D3289" s="173">
        <f>SUM(E3295:O3295)</f>
        <v>3431.8210414889527</v>
      </c>
      <c r="E3289" s="173" t="s">
        <v>1749</v>
      </c>
      <c r="F3289" s="173" t="s">
        <v>1719</v>
      </c>
      <c r="G3289" s="173" t="s">
        <v>1720</v>
      </c>
      <c r="H3289" s="173" t="s">
        <v>1721</v>
      </c>
      <c r="I3289" s="173" t="s">
        <v>1722</v>
      </c>
      <c r="J3289" s="173" t="s">
        <v>1723</v>
      </c>
      <c r="K3289" s="173" t="s">
        <v>1724</v>
      </c>
      <c r="L3289" s="173" t="s">
        <v>1753</v>
      </c>
      <c r="M3289" s="173" t="s">
        <v>1750</v>
      </c>
      <c r="N3289" s="173" t="s">
        <v>1727</v>
      </c>
      <c r="O3289" s="173" t="s">
        <v>1728</v>
      </c>
      <c r="P3289" s="224"/>
      <c r="Q3289" s="224"/>
    </row>
    <row r="3290" spans="1:19" s="225" customFormat="1" ht="21" x14ac:dyDescent="0.25">
      <c r="A3290" s="229"/>
      <c r="B3290" s="230" t="s">
        <v>1794</v>
      </c>
      <c r="C3290" s="177"/>
      <c r="D3290" s="178"/>
      <c r="E3290" s="178">
        <v>0.2</v>
      </c>
      <c r="F3290" s="178"/>
      <c r="G3290" s="178"/>
      <c r="H3290" s="178"/>
      <c r="I3290" s="178"/>
      <c r="J3290" s="178"/>
      <c r="K3290" s="178"/>
      <c r="L3290" s="178"/>
      <c r="M3290" s="178">
        <f>O3290*E3290</f>
        <v>0.71992867702822427</v>
      </c>
      <c r="N3290" s="178"/>
      <c r="O3290" s="178">
        <f>O3279</f>
        <v>3.5996433851411211</v>
      </c>
      <c r="P3290" s="224"/>
      <c r="Q3290" s="224"/>
    </row>
    <row r="3291" spans="1:19" s="225" customFormat="1" ht="31.5" x14ac:dyDescent="0.25">
      <c r="A3291" s="229"/>
      <c r="B3291" s="230" t="s">
        <v>1795</v>
      </c>
      <c r="C3291" s="177"/>
      <c r="D3291" s="178"/>
      <c r="E3291" s="178">
        <v>0.2</v>
      </c>
      <c r="F3291" s="178"/>
      <c r="G3291" s="178"/>
      <c r="H3291" s="178"/>
      <c r="I3291" s="178"/>
      <c r="J3291" s="178"/>
      <c r="K3291" s="178"/>
      <c r="L3291" s="178"/>
      <c r="M3291" s="178">
        <f>O3291*E3291</f>
        <v>0</v>
      </c>
      <c r="N3291" s="178"/>
      <c r="O3291" s="178">
        <f>Quantitativos!AX120</f>
        <v>0</v>
      </c>
      <c r="P3291" s="224"/>
      <c r="Q3291" s="224"/>
    </row>
    <row r="3292" spans="1:19" s="225" customFormat="1" ht="31.5" x14ac:dyDescent="0.25">
      <c r="A3292" s="229"/>
      <c r="B3292" s="230" t="s">
        <v>1796</v>
      </c>
      <c r="C3292" s="177"/>
      <c r="D3292" s="178"/>
      <c r="E3292" s="178">
        <v>0.2</v>
      </c>
      <c r="F3292" s="178"/>
      <c r="G3292" s="178"/>
      <c r="H3292" s="178"/>
      <c r="I3292" s="178"/>
      <c r="J3292" s="178"/>
      <c r="K3292" s="178"/>
      <c r="L3292" s="178"/>
      <c r="M3292" s="178">
        <f>O3292*E3292</f>
        <v>0</v>
      </c>
      <c r="N3292" s="178"/>
      <c r="O3292" s="178">
        <f>Quantitativos!BA120</f>
        <v>0</v>
      </c>
      <c r="P3292" s="231"/>
      <c r="Q3292" s="224"/>
    </row>
    <row r="3293" spans="1:19" s="225" customFormat="1" ht="31.5" x14ac:dyDescent="0.25">
      <c r="A3293" s="229"/>
      <c r="B3293" s="230" t="s">
        <v>1797</v>
      </c>
      <c r="C3293" s="184"/>
      <c r="D3293" s="185"/>
      <c r="E3293" s="185">
        <v>25.6</v>
      </c>
      <c r="F3293" s="178"/>
      <c r="G3293" s="178"/>
      <c r="H3293" s="178"/>
      <c r="I3293" s="178"/>
      <c r="J3293" s="178"/>
      <c r="K3293" s="178"/>
      <c r="L3293" s="178"/>
      <c r="M3293" s="178">
        <f>O3293*E3293</f>
        <v>1806.3359999975646</v>
      </c>
      <c r="N3293" s="178"/>
      <c r="O3293" s="178">
        <f>O3285</f>
        <v>70.559999999904861</v>
      </c>
      <c r="P3293" s="231"/>
      <c r="Q3293" s="224"/>
    </row>
    <row r="3294" spans="1:19" s="225" customFormat="1" ht="31.5" x14ac:dyDescent="0.25">
      <c r="A3294" s="229"/>
      <c r="B3294" s="230" t="s">
        <v>1798</v>
      </c>
      <c r="C3294" s="184"/>
      <c r="D3294" s="185"/>
      <c r="E3294" s="185">
        <v>25.6</v>
      </c>
      <c r="F3294" s="178"/>
      <c r="G3294" s="178"/>
      <c r="H3294" s="178"/>
      <c r="I3294" s="178"/>
      <c r="J3294" s="178"/>
      <c r="K3294" s="178"/>
      <c r="L3294" s="178"/>
      <c r="M3294" s="178">
        <f>O3294*E3294</f>
        <v>1624.7651128143598</v>
      </c>
      <c r="N3294" s="178"/>
      <c r="O3294" s="178">
        <f>O3286</f>
        <v>63.467387219310922</v>
      </c>
      <c r="P3294" s="231"/>
      <c r="Q3294" s="224"/>
    </row>
    <row r="3295" spans="1:19" s="225" customFormat="1" ht="10.5" x14ac:dyDescent="0.25">
      <c r="A3295" s="229"/>
      <c r="B3295" s="232" t="s">
        <v>5</v>
      </c>
      <c r="C3295" s="182" t="s">
        <v>1328</v>
      </c>
      <c r="D3295" s="182"/>
      <c r="E3295" s="182"/>
      <c r="F3295" s="182"/>
      <c r="G3295" s="182"/>
      <c r="H3295" s="182"/>
      <c r="I3295" s="182"/>
      <c r="J3295" s="182"/>
      <c r="K3295" s="182"/>
      <c r="L3295" s="182"/>
      <c r="M3295" s="182">
        <f>SUM(M3290:M3294)</f>
        <v>3431.8210414889527</v>
      </c>
      <c r="N3295" s="182"/>
      <c r="O3295" s="182"/>
      <c r="P3295" s="233"/>
      <c r="Q3295" s="224"/>
    </row>
    <row r="3296" spans="1:19" s="228" customFormat="1" ht="52.5" x14ac:dyDescent="0.25">
      <c r="A3296" s="226" t="str">
        <f>ORÇAMENTO!A635</f>
        <v>6.1.2.4.17</v>
      </c>
      <c r="B3296" s="227" t="str">
        <f>VLOOKUP(A3296,ORÇAMENTO!A:K,4,0)</f>
        <v>ASSENTAMENTO DE TUBO DE CONCRETO PARA REDES COLETORAS DE ÁGUAS PLUVIAIS, DIÂMETRO DE 600 MM, JUNTA RÍGIDA, INSTALADO EM LOCAL COM ALTO NÍVEL DE INTERFERÊNCIAS (NÃO INCLUI FORNECIMENTO). AF_03/2024</v>
      </c>
      <c r="C3296" s="173" t="str">
        <f>VLOOKUP(A3296,ORÇAMENTO!A:K,5,0)</f>
        <v>M</v>
      </c>
      <c r="D3296" s="173">
        <f>SUM(E3299:O3299)</f>
        <v>503.99999999932044</v>
      </c>
      <c r="E3296" s="173" t="s">
        <v>1718</v>
      </c>
      <c r="F3296" s="173" t="s">
        <v>1719</v>
      </c>
      <c r="G3296" s="173" t="s">
        <v>1720</v>
      </c>
      <c r="H3296" s="173" t="s">
        <v>1721</v>
      </c>
      <c r="I3296" s="173" t="s">
        <v>1722</v>
      </c>
      <c r="J3296" s="173" t="s">
        <v>1723</v>
      </c>
      <c r="K3296" s="173" t="s">
        <v>1724</v>
      </c>
      <c r="L3296" s="173" t="s">
        <v>1753</v>
      </c>
      <c r="M3296" s="173" t="s">
        <v>1730</v>
      </c>
      <c r="N3296" s="173" t="s">
        <v>1727</v>
      </c>
      <c r="O3296" s="173" t="s">
        <v>1728</v>
      </c>
      <c r="P3296" s="224"/>
      <c r="Q3296" s="224"/>
    </row>
    <row r="3297" spans="1:17" s="225" customFormat="1" ht="10.5" x14ac:dyDescent="0.25">
      <c r="A3297" s="229"/>
      <c r="B3297" s="232"/>
      <c r="C3297" s="184"/>
      <c r="D3297" s="185"/>
      <c r="E3297" s="185">
        <f>Quantitativos!BU124</f>
        <v>503.99999999932044</v>
      </c>
      <c r="F3297" s="185"/>
      <c r="G3297" s="185"/>
      <c r="H3297" s="185"/>
      <c r="I3297" s="185"/>
      <c r="J3297" s="185"/>
      <c r="K3297" s="185"/>
      <c r="L3297" s="185"/>
      <c r="M3297" s="185"/>
      <c r="N3297" s="185"/>
      <c r="O3297" s="185"/>
      <c r="P3297" s="224"/>
      <c r="Q3297" s="224"/>
    </row>
    <row r="3298" spans="1:17" s="225" customFormat="1" ht="10.5" x14ac:dyDescent="0.25">
      <c r="A3298" s="229"/>
      <c r="B3298" s="230"/>
      <c r="C3298" s="184"/>
      <c r="D3298" s="185"/>
      <c r="E3298" s="185"/>
      <c r="F3298" s="185"/>
      <c r="G3298" s="185"/>
      <c r="H3298" s="185"/>
      <c r="I3298" s="185"/>
      <c r="J3298" s="185"/>
      <c r="K3298" s="185"/>
      <c r="L3298" s="185"/>
      <c r="M3298" s="185"/>
      <c r="N3298" s="185"/>
      <c r="O3298" s="185"/>
      <c r="P3298" s="231"/>
      <c r="Q3298" s="224"/>
    </row>
    <row r="3299" spans="1:17" s="225" customFormat="1" ht="10.5" x14ac:dyDescent="0.25">
      <c r="A3299" s="229"/>
      <c r="B3299" s="232" t="s">
        <v>5</v>
      </c>
      <c r="C3299" s="182" t="s">
        <v>1328</v>
      </c>
      <c r="D3299" s="182"/>
      <c r="E3299" s="182">
        <f>SUM(E3297:E3298)</f>
        <v>503.99999999932044</v>
      </c>
      <c r="F3299" s="182"/>
      <c r="G3299" s="182"/>
      <c r="H3299" s="182"/>
      <c r="I3299" s="182"/>
      <c r="J3299" s="182"/>
      <c r="K3299" s="182"/>
      <c r="L3299" s="182"/>
      <c r="M3299" s="182"/>
      <c r="N3299" s="182"/>
      <c r="O3299" s="182"/>
      <c r="P3299" s="233"/>
      <c r="Q3299" s="224"/>
    </row>
    <row r="3300" spans="1:17" s="228" customFormat="1" ht="52.5" x14ac:dyDescent="0.25">
      <c r="A3300" s="226" t="str">
        <f>ORÇAMENTO!A636</f>
        <v>6.1.2.4.18</v>
      </c>
      <c r="B3300" s="227" t="str">
        <f>VLOOKUP(A3300,ORÇAMENTO!A:K,4,0)</f>
        <v>ASSENTAMENTO DE TUBO DE CONCRETO PARA REDES COLETORAS DE ÁGUAS PLUVIAIS, DIÂMETRO DE 1200 MM, JUNTA RÍGIDA, INSTALADO EM LOCAL COM ALTO NÍVEL DE INTERFERÊNCIAS (NÃO INCLUI FORNECIMENTO). AF_03/2024</v>
      </c>
      <c r="C3300" s="173" t="str">
        <f>VLOOKUP(A3300,ORÇAMENTO!A:K,5,0)</f>
        <v>M</v>
      </c>
      <c r="D3300" s="173">
        <f>SUM(E3303:O3303)</f>
        <v>35.107015353864483</v>
      </c>
      <c r="E3300" s="173" t="s">
        <v>1718</v>
      </c>
      <c r="F3300" s="173" t="s">
        <v>1719</v>
      </c>
      <c r="G3300" s="173" t="s">
        <v>1720</v>
      </c>
      <c r="H3300" s="173" t="s">
        <v>1721</v>
      </c>
      <c r="I3300" s="173" t="s">
        <v>1722</v>
      </c>
      <c r="J3300" s="173" t="s">
        <v>1723</v>
      </c>
      <c r="K3300" s="173" t="s">
        <v>1724</v>
      </c>
      <c r="L3300" s="173" t="s">
        <v>1753</v>
      </c>
      <c r="M3300" s="173" t="s">
        <v>1730</v>
      </c>
      <c r="N3300" s="173" t="s">
        <v>1727</v>
      </c>
      <c r="O3300" s="173" t="s">
        <v>1728</v>
      </c>
      <c r="P3300" s="224"/>
      <c r="Q3300" s="224"/>
    </row>
    <row r="3301" spans="1:17" s="225" customFormat="1" ht="10.5" x14ac:dyDescent="0.25">
      <c r="A3301" s="229"/>
      <c r="B3301" s="232"/>
      <c r="C3301" s="184"/>
      <c r="D3301" s="185"/>
      <c r="E3301" s="185">
        <f>Quantitativos!CG124</f>
        <v>35.107015353864483</v>
      </c>
      <c r="F3301" s="185"/>
      <c r="G3301" s="185"/>
      <c r="H3301" s="185"/>
      <c r="I3301" s="185"/>
      <c r="J3301" s="185"/>
      <c r="K3301" s="185"/>
      <c r="L3301" s="185"/>
      <c r="M3301" s="185"/>
      <c r="N3301" s="185"/>
      <c r="O3301" s="185"/>
      <c r="P3301" s="224"/>
      <c r="Q3301" s="224"/>
    </row>
    <row r="3302" spans="1:17" s="225" customFormat="1" ht="10.5" x14ac:dyDescent="0.25">
      <c r="A3302" s="229"/>
      <c r="B3302" s="230"/>
      <c r="C3302" s="184"/>
      <c r="D3302" s="185"/>
      <c r="E3302" s="185"/>
      <c r="F3302" s="185"/>
      <c r="G3302" s="185"/>
      <c r="H3302" s="185"/>
      <c r="I3302" s="185"/>
      <c r="J3302" s="185"/>
      <c r="K3302" s="185"/>
      <c r="L3302" s="185"/>
      <c r="M3302" s="185"/>
      <c r="N3302" s="185"/>
      <c r="O3302" s="185"/>
      <c r="P3302" s="231"/>
      <c r="Q3302" s="224"/>
    </row>
    <row r="3303" spans="1:17" s="225" customFormat="1" ht="10.5" x14ac:dyDescent="0.25">
      <c r="A3303" s="229"/>
      <c r="B3303" s="232" t="s">
        <v>5</v>
      </c>
      <c r="C3303" s="182" t="s">
        <v>1328</v>
      </c>
      <c r="D3303" s="182"/>
      <c r="E3303" s="182">
        <f>SUM(E3301:E3302)</f>
        <v>35.107015353864483</v>
      </c>
      <c r="F3303" s="182"/>
      <c r="G3303" s="182"/>
      <c r="H3303" s="182"/>
      <c r="I3303" s="182"/>
      <c r="J3303" s="182"/>
      <c r="K3303" s="182"/>
      <c r="L3303" s="182"/>
      <c r="M3303" s="182"/>
      <c r="N3303" s="182"/>
      <c r="O3303" s="182"/>
      <c r="P3303" s="233"/>
      <c r="Q3303" s="224"/>
    </row>
    <row r="3304" spans="1:17" s="228" customFormat="1" ht="52.5" x14ac:dyDescent="0.25">
      <c r="A3304" s="226" t="str">
        <f>ORÇAMENTO!A637</f>
        <v>6.1.2.4.19</v>
      </c>
      <c r="B3304" s="227" t="str">
        <f>VLOOKUP(A3304,ORÇAMENTO!A:K,4,0)</f>
        <v>ASSENTAMENTO DE TUBO DE CONCRETO PARA REDES COLETORAS DE ÁGUAS PLUVIAIS, DIÂMETRO DE 1500 MM, JUNTA RÍGIDA, INSTALADO EM LOCAL COM ALTO NÍVEL DE INTERFERÊNCIAS (NÃO INCLUI FORNECIMENTO). AF_03/2024</v>
      </c>
      <c r="C3304" s="173" t="str">
        <f>VLOOKUP(A3304,ORÇAMENTO!A:K,5,0)</f>
        <v>M</v>
      </c>
      <c r="D3304" s="173">
        <f>SUM(E3307:O3307)</f>
        <v>99.773215677953146</v>
      </c>
      <c r="E3304" s="173" t="s">
        <v>1718</v>
      </c>
      <c r="F3304" s="173" t="s">
        <v>1719</v>
      </c>
      <c r="G3304" s="173" t="s">
        <v>1720</v>
      </c>
      <c r="H3304" s="173" t="s">
        <v>1721</v>
      </c>
      <c r="I3304" s="173" t="s">
        <v>1722</v>
      </c>
      <c r="J3304" s="173" t="s">
        <v>1723</v>
      </c>
      <c r="K3304" s="173" t="s">
        <v>1724</v>
      </c>
      <c r="L3304" s="173" t="s">
        <v>1753</v>
      </c>
      <c r="M3304" s="173" t="s">
        <v>1730</v>
      </c>
      <c r="N3304" s="173" t="s">
        <v>1727</v>
      </c>
      <c r="O3304" s="173" t="s">
        <v>1728</v>
      </c>
      <c r="P3304" s="224"/>
      <c r="Q3304" s="224"/>
    </row>
    <row r="3305" spans="1:17" s="225" customFormat="1" ht="10.5" x14ac:dyDescent="0.25">
      <c r="A3305" s="229"/>
      <c r="B3305" s="232"/>
      <c r="C3305" s="184"/>
      <c r="D3305" s="185"/>
      <c r="E3305" s="185">
        <f>Quantitativos!CK124</f>
        <v>99.773215677953146</v>
      </c>
      <c r="F3305" s="185"/>
      <c r="G3305" s="185"/>
      <c r="H3305" s="185"/>
      <c r="I3305" s="185"/>
      <c r="J3305" s="185"/>
      <c r="K3305" s="185"/>
      <c r="L3305" s="185"/>
      <c r="M3305" s="185"/>
      <c r="N3305" s="185"/>
      <c r="O3305" s="185"/>
      <c r="P3305" s="224"/>
      <c r="Q3305" s="224"/>
    </row>
    <row r="3306" spans="1:17" s="225" customFormat="1" ht="10.5" x14ac:dyDescent="0.25">
      <c r="A3306" s="229"/>
      <c r="B3306" s="230"/>
      <c r="C3306" s="184"/>
      <c r="D3306" s="185"/>
      <c r="E3306" s="185"/>
      <c r="F3306" s="185"/>
      <c r="G3306" s="185"/>
      <c r="H3306" s="185"/>
      <c r="I3306" s="185"/>
      <c r="J3306" s="185"/>
      <c r="K3306" s="185"/>
      <c r="L3306" s="185"/>
      <c r="M3306" s="185"/>
      <c r="N3306" s="185"/>
      <c r="O3306" s="185"/>
      <c r="P3306" s="231"/>
      <c r="Q3306" s="224"/>
    </row>
    <row r="3307" spans="1:17" s="225" customFormat="1" ht="10.5" x14ac:dyDescent="0.25">
      <c r="A3307" s="229"/>
      <c r="B3307" s="232" t="s">
        <v>5</v>
      </c>
      <c r="C3307" s="182" t="s">
        <v>1328</v>
      </c>
      <c r="D3307" s="182"/>
      <c r="E3307" s="182">
        <f>SUM(E3305:E3306)</f>
        <v>99.773215677953146</v>
      </c>
      <c r="F3307" s="182"/>
      <c r="G3307" s="182"/>
      <c r="H3307" s="182"/>
      <c r="I3307" s="182"/>
      <c r="J3307" s="182"/>
      <c r="K3307" s="182"/>
      <c r="L3307" s="182"/>
      <c r="M3307" s="182"/>
      <c r="N3307" s="182"/>
      <c r="O3307" s="182"/>
      <c r="P3307" s="233"/>
      <c r="Q3307" s="224"/>
    </row>
    <row r="3308" spans="1:17" s="228" customFormat="1" ht="10.5" x14ac:dyDescent="0.25">
      <c r="A3308" s="226" t="str">
        <f>ORÇAMENTO!A638</f>
        <v>6.1.2.5</v>
      </c>
      <c r="B3308" s="227" t="str">
        <f>VLOOKUP(A3308,ORÇAMENTO!A:K,4,0)</f>
        <v>FORNECIMENTO DE TUBOS</v>
      </c>
      <c r="C3308" s="173"/>
      <c r="D3308" s="173"/>
      <c r="E3308" s="173"/>
      <c r="F3308" s="173"/>
      <c r="G3308" s="173"/>
      <c r="H3308" s="173"/>
      <c r="I3308" s="173"/>
      <c r="J3308" s="173"/>
      <c r="K3308" s="173"/>
      <c r="L3308" s="173"/>
      <c r="M3308" s="173"/>
      <c r="N3308" s="173"/>
      <c r="O3308" s="173"/>
      <c r="P3308" s="224"/>
      <c r="Q3308" s="224"/>
    </row>
    <row r="3309" spans="1:17" s="228" customFormat="1" ht="42" x14ac:dyDescent="0.25">
      <c r="A3309" s="226" t="str">
        <f>ORÇAMENTO!A639</f>
        <v>6.1.2.5.1</v>
      </c>
      <c r="B3309" s="227" t="str">
        <f>VLOOKUP(A3309,ORÇAMENTO!A:K,4,0)</f>
        <v>TRANSPORTE COM CAMINHÃO CARROCERIA COM GUINDAUTO (MUNCK),  MOMENTO MÁXIMO DE CARGA 11,7 TM, EM VIA URBANA PAVIMENTADA, DMT ATÉ 30KM (UNIDADE: TXKM). AF_07/2020</v>
      </c>
      <c r="C3309" s="173" t="str">
        <f>VLOOKUP(A3309,ORÇAMENTO!A:K,5,0)</f>
        <v>TXKM</v>
      </c>
      <c r="D3309" s="173">
        <f>SUM(E3312:O3312)</f>
        <v>17523.399896135252</v>
      </c>
      <c r="E3309" s="173" t="s">
        <v>1749</v>
      </c>
      <c r="F3309" s="173" t="s">
        <v>1719</v>
      </c>
      <c r="G3309" s="173" t="s">
        <v>1720</v>
      </c>
      <c r="H3309" s="173" t="s">
        <v>1721</v>
      </c>
      <c r="I3309" s="173" t="s">
        <v>1722</v>
      </c>
      <c r="J3309" s="173" t="s">
        <v>1723</v>
      </c>
      <c r="K3309" s="173" t="s">
        <v>1746</v>
      </c>
      <c r="L3309" s="173" t="s">
        <v>1799</v>
      </c>
      <c r="M3309" s="173" t="s">
        <v>1730</v>
      </c>
      <c r="N3309" s="173" t="s">
        <v>1727</v>
      </c>
      <c r="O3309" s="173" t="s">
        <v>1728</v>
      </c>
      <c r="P3309" s="224"/>
      <c r="Q3309" s="224"/>
    </row>
    <row r="3310" spans="1:17" s="225" customFormat="1" ht="21" x14ac:dyDescent="0.25">
      <c r="A3310" s="229"/>
      <c r="B3310" s="232" t="s">
        <v>1800</v>
      </c>
      <c r="C3310" s="184"/>
      <c r="D3310" s="185"/>
      <c r="E3310" s="185">
        <v>40</v>
      </c>
      <c r="F3310" s="185"/>
      <c r="G3310" s="185"/>
      <c r="H3310" s="185"/>
      <c r="I3310" s="185"/>
      <c r="J3310" s="185"/>
      <c r="K3310" s="185">
        <f>K3316+K3324+K3336</f>
        <v>438.08499740338129</v>
      </c>
      <c r="L3310" s="185"/>
      <c r="M3310" s="185">
        <f>K3310*E3310</f>
        <v>17523.399896135252</v>
      </c>
      <c r="N3310" s="185"/>
      <c r="O3310" s="185"/>
      <c r="P3310" s="224"/>
      <c r="Q3310" s="224"/>
    </row>
    <row r="3311" spans="1:17" s="225" customFormat="1" ht="10.5" x14ac:dyDescent="0.25">
      <c r="A3311" s="229"/>
      <c r="B3311" s="230"/>
      <c r="C3311" s="184"/>
      <c r="D3311" s="185"/>
      <c r="E3311" s="185"/>
      <c r="F3311" s="185"/>
      <c r="G3311" s="185"/>
      <c r="H3311" s="185"/>
      <c r="I3311" s="185"/>
      <c r="J3311" s="185"/>
      <c r="K3311" s="185"/>
      <c r="L3311" s="185"/>
      <c r="M3311" s="185"/>
      <c r="N3311" s="185"/>
      <c r="O3311" s="185"/>
      <c r="P3311" s="231"/>
      <c r="Q3311" s="224"/>
    </row>
    <row r="3312" spans="1:17" s="225" customFormat="1" ht="10.5" x14ac:dyDescent="0.25">
      <c r="A3312" s="229"/>
      <c r="B3312" s="232" t="s">
        <v>5</v>
      </c>
      <c r="C3312" s="182" t="s">
        <v>1328</v>
      </c>
      <c r="D3312" s="182"/>
      <c r="E3312" s="182"/>
      <c r="F3312" s="182"/>
      <c r="G3312" s="182"/>
      <c r="H3312" s="182"/>
      <c r="I3312" s="182"/>
      <c r="J3312" s="182"/>
      <c r="K3312" s="182"/>
      <c r="L3312" s="182"/>
      <c r="M3312" s="182">
        <f>SUM(M3310:M3311)</f>
        <v>17523.399896135252</v>
      </c>
      <c r="N3312" s="182"/>
      <c r="O3312" s="182">
        <f>SUM(O3311:O3311)</f>
        <v>0</v>
      </c>
      <c r="P3312" s="233"/>
      <c r="Q3312" s="224"/>
    </row>
    <row r="3313" spans="1:17" s="228" customFormat="1" ht="42" x14ac:dyDescent="0.25">
      <c r="A3313" s="226" t="str">
        <f>ORÇAMENTO!A640</f>
        <v>6.1.2.5.2</v>
      </c>
      <c r="B3313" s="227" t="str">
        <f>VLOOKUP(A3313,ORÇAMENTO!A:K,4,0)</f>
        <v>CARGA, MANOBRA E DESCARGA DE TUBOS DE CONCRETO, DN 600 MM, EM CAMINHÃO CARROCERIA COM GUINDAUTO (MUNCK) 11,7 TM. AF_07/2020</v>
      </c>
      <c r="C3313" s="173" t="str">
        <f>VLOOKUP(A3313,ORÇAMENTO!A:K,5,0)</f>
        <v>T</v>
      </c>
      <c r="D3313" s="173">
        <f>SUM(E3316:O3316)</f>
        <v>221.75999999970099</v>
      </c>
      <c r="E3313" s="173" t="s">
        <v>1718</v>
      </c>
      <c r="F3313" s="173" t="s">
        <v>1719</v>
      </c>
      <c r="G3313" s="173" t="s">
        <v>1720</v>
      </c>
      <c r="H3313" s="173" t="s">
        <v>1721</v>
      </c>
      <c r="I3313" s="173" t="s">
        <v>1722</v>
      </c>
      <c r="J3313" s="173" t="s">
        <v>1723</v>
      </c>
      <c r="K3313" s="173" t="s">
        <v>1746</v>
      </c>
      <c r="L3313" s="173" t="s">
        <v>1799</v>
      </c>
      <c r="M3313" s="173" t="s">
        <v>1730</v>
      </c>
      <c r="N3313" s="173" t="s">
        <v>1727</v>
      </c>
      <c r="O3313" s="173" t="s">
        <v>1728</v>
      </c>
      <c r="P3313" s="224"/>
      <c r="Q3313" s="224"/>
    </row>
    <row r="3314" spans="1:17" s="225" customFormat="1" ht="31.5" x14ac:dyDescent="0.25">
      <c r="A3314" s="229"/>
      <c r="B3314" s="232" t="s">
        <v>1801</v>
      </c>
      <c r="C3314" s="184"/>
      <c r="D3314" s="185"/>
      <c r="E3314" s="185">
        <f>E3318</f>
        <v>503.99999999932044</v>
      </c>
      <c r="F3314" s="185"/>
      <c r="G3314" s="185"/>
      <c r="H3314" s="185"/>
      <c r="I3314" s="185"/>
      <c r="J3314" s="185"/>
      <c r="K3314" s="185">
        <f>L3314*E3314</f>
        <v>221.75999999970099</v>
      </c>
      <c r="L3314" s="185">
        <v>0.44</v>
      </c>
      <c r="M3314" s="185"/>
      <c r="N3314" s="185"/>
      <c r="O3314" s="185"/>
      <c r="P3314" s="224"/>
      <c r="Q3314" s="224"/>
    </row>
    <row r="3315" spans="1:17" s="225" customFormat="1" ht="10.5" x14ac:dyDescent="0.25">
      <c r="A3315" s="229"/>
      <c r="B3315" s="230"/>
      <c r="C3315" s="184"/>
      <c r="D3315" s="185"/>
      <c r="E3315" s="185"/>
      <c r="F3315" s="185"/>
      <c r="G3315" s="185"/>
      <c r="H3315" s="185"/>
      <c r="I3315" s="185"/>
      <c r="J3315" s="185"/>
      <c r="K3315" s="185"/>
      <c r="L3315" s="185"/>
      <c r="M3315" s="185"/>
      <c r="N3315" s="185"/>
      <c r="O3315" s="185"/>
      <c r="P3315" s="231"/>
      <c r="Q3315" s="224"/>
    </row>
    <row r="3316" spans="1:17" s="225" customFormat="1" ht="10.5" x14ac:dyDescent="0.25">
      <c r="A3316" s="229"/>
      <c r="B3316" s="232" t="s">
        <v>5</v>
      </c>
      <c r="C3316" s="182" t="s">
        <v>1328</v>
      </c>
      <c r="D3316" s="182"/>
      <c r="E3316" s="182"/>
      <c r="F3316" s="182"/>
      <c r="G3316" s="182"/>
      <c r="H3316" s="182"/>
      <c r="I3316" s="182"/>
      <c r="J3316" s="182"/>
      <c r="K3316" s="182">
        <f>SUM(K3314:K3315)</f>
        <v>221.75999999970099</v>
      </c>
      <c r="L3316" s="182"/>
      <c r="M3316" s="182"/>
      <c r="N3316" s="182"/>
      <c r="O3316" s="182">
        <f>SUM(O3315:O3315)</f>
        <v>0</v>
      </c>
      <c r="P3316" s="233"/>
      <c r="Q3316" s="224"/>
    </row>
    <row r="3317" spans="1:17" s="228" customFormat="1" ht="31.5" x14ac:dyDescent="0.25">
      <c r="A3317" s="226" t="str">
        <f>ORÇAMENTO!A641</f>
        <v>6.1.2.5.3</v>
      </c>
      <c r="B3317" s="227" t="str">
        <f>VLOOKUP(A3317,ORÇAMENTO!A:K,4,0)</f>
        <v>TUBO DE CONCRETO ARMADO PARA AGUAS PLUVIAIS, CLASSE PA-1, COM ENCAIXE PONTA E BOLSA, DIAMETRO NOMINAL DE = 600 MM</v>
      </c>
      <c r="C3317" s="173" t="str">
        <f>VLOOKUP(A3317,ORÇAMENTO!A:K,5,0)</f>
        <v>M</v>
      </c>
      <c r="D3317" s="173">
        <f>SUM(E3320:O3320)</f>
        <v>503.99999999932044</v>
      </c>
      <c r="E3317" s="173" t="s">
        <v>1718</v>
      </c>
      <c r="F3317" s="173" t="s">
        <v>1719</v>
      </c>
      <c r="G3317" s="173" t="s">
        <v>1720</v>
      </c>
      <c r="H3317" s="173" t="s">
        <v>1721</v>
      </c>
      <c r="I3317" s="173" t="s">
        <v>1722</v>
      </c>
      <c r="J3317" s="173" t="s">
        <v>1723</v>
      </c>
      <c r="K3317" s="173" t="s">
        <v>1746</v>
      </c>
      <c r="L3317" s="173" t="s">
        <v>1799</v>
      </c>
      <c r="M3317" s="173" t="s">
        <v>1730</v>
      </c>
      <c r="N3317" s="173" t="s">
        <v>1727</v>
      </c>
      <c r="O3317" s="173" t="s">
        <v>1728</v>
      </c>
      <c r="P3317" s="224"/>
      <c r="Q3317" s="224"/>
    </row>
    <row r="3318" spans="1:17" s="225" customFormat="1" ht="10.5" x14ac:dyDescent="0.25">
      <c r="A3318" s="229"/>
      <c r="B3318" s="232"/>
      <c r="C3318" s="177"/>
      <c r="D3318" s="178"/>
      <c r="E3318" s="178">
        <f>Quantitativos!BU122</f>
        <v>503.99999999932044</v>
      </c>
      <c r="F3318" s="178"/>
      <c r="G3318" s="178"/>
      <c r="H3318" s="178"/>
      <c r="I3318" s="178"/>
      <c r="J3318" s="178"/>
      <c r="K3318" s="178"/>
      <c r="L3318" s="178"/>
      <c r="M3318" s="178"/>
      <c r="N3318" s="178"/>
      <c r="O3318" s="178"/>
      <c r="P3318" s="224"/>
      <c r="Q3318" s="224"/>
    </row>
    <row r="3319" spans="1:17" s="225" customFormat="1" ht="10.5" x14ac:dyDescent="0.25">
      <c r="A3319" s="229"/>
      <c r="B3319" s="230"/>
      <c r="C3319" s="177"/>
      <c r="D3319" s="178"/>
      <c r="E3319" s="178"/>
      <c r="F3319" s="178"/>
      <c r="G3319" s="178"/>
      <c r="H3319" s="178"/>
      <c r="I3319" s="178"/>
      <c r="J3319" s="178"/>
      <c r="K3319" s="178"/>
      <c r="L3319" s="178"/>
      <c r="M3319" s="178"/>
      <c r="N3319" s="178"/>
      <c r="O3319" s="178"/>
      <c r="P3319" s="231"/>
      <c r="Q3319" s="224"/>
    </row>
    <row r="3320" spans="1:17" s="225" customFormat="1" ht="10.5" x14ac:dyDescent="0.25">
      <c r="A3320" s="229"/>
      <c r="B3320" s="232" t="s">
        <v>5</v>
      </c>
      <c r="C3320" s="182" t="s">
        <v>1328</v>
      </c>
      <c r="D3320" s="182"/>
      <c r="E3320" s="182">
        <f>SUM(E3318:E3319)</f>
        <v>503.99999999932044</v>
      </c>
      <c r="F3320" s="182"/>
      <c r="G3320" s="182"/>
      <c r="H3320" s="182"/>
      <c r="I3320" s="182"/>
      <c r="J3320" s="182"/>
      <c r="K3320" s="182"/>
      <c r="L3320" s="182"/>
      <c r="M3320" s="182"/>
      <c r="N3320" s="182"/>
      <c r="O3320" s="182"/>
      <c r="P3320" s="233"/>
      <c r="Q3320" s="224"/>
    </row>
    <row r="3321" spans="1:17" s="228" customFormat="1" ht="42" x14ac:dyDescent="0.25">
      <c r="A3321" s="226" t="str">
        <f>ORÇAMENTO!A642</f>
        <v>6.1.2.5.4</v>
      </c>
      <c r="B3321" s="227" t="str">
        <f>VLOOKUP(A3321,ORÇAMENTO!A:K,4,0)</f>
        <v>CARGA, MANOBRA E DESCARGA DE TUBOS DE CONCRETO, DN 1200 MM, EM CAMINHÃO CARROCERIA COM GUINDAUTO (MUNCK) 11,7 TM. AF_07/2020</v>
      </c>
      <c r="C3321" s="173" t="str">
        <f>VLOOKUP(A3321,ORÇAMENTO!A:K,5,0)</f>
        <v>T</v>
      </c>
      <c r="D3321" s="173">
        <f>SUM(E3324:O3324)</f>
        <v>40.724137810482794</v>
      </c>
      <c r="E3321" s="173" t="s">
        <v>1718</v>
      </c>
      <c r="F3321" s="173" t="s">
        <v>1719</v>
      </c>
      <c r="G3321" s="173" t="s">
        <v>1720</v>
      </c>
      <c r="H3321" s="173" t="s">
        <v>1721</v>
      </c>
      <c r="I3321" s="173" t="s">
        <v>1722</v>
      </c>
      <c r="J3321" s="173" t="s">
        <v>1723</v>
      </c>
      <c r="K3321" s="173" t="s">
        <v>1746</v>
      </c>
      <c r="L3321" s="173" t="s">
        <v>1799</v>
      </c>
      <c r="M3321" s="173" t="s">
        <v>1730</v>
      </c>
      <c r="N3321" s="173" t="s">
        <v>1727</v>
      </c>
      <c r="O3321" s="173" t="s">
        <v>1728</v>
      </c>
      <c r="P3321" s="224"/>
      <c r="Q3321" s="224"/>
    </row>
    <row r="3322" spans="1:17" s="225" customFormat="1" ht="31.5" x14ac:dyDescent="0.25">
      <c r="A3322" s="229"/>
      <c r="B3322" s="232" t="s">
        <v>1801</v>
      </c>
      <c r="C3322" s="184"/>
      <c r="D3322" s="185"/>
      <c r="E3322" s="185">
        <f>E3326+E3330</f>
        <v>35.107015353864483</v>
      </c>
      <c r="F3322" s="185"/>
      <c r="G3322" s="185"/>
      <c r="H3322" s="185"/>
      <c r="I3322" s="185"/>
      <c r="J3322" s="185"/>
      <c r="K3322" s="185">
        <f>L3322*E3322</f>
        <v>40.724137810482794</v>
      </c>
      <c r="L3322" s="185">
        <v>1.1599999999999999</v>
      </c>
      <c r="M3322" s="185"/>
      <c r="N3322" s="185"/>
      <c r="O3322" s="185"/>
      <c r="P3322" s="224"/>
      <c r="Q3322" s="224"/>
    </row>
    <row r="3323" spans="1:17" s="225" customFormat="1" ht="10.5" x14ac:dyDescent="0.25">
      <c r="A3323" s="229"/>
      <c r="B3323" s="230"/>
      <c r="C3323" s="184"/>
      <c r="D3323" s="185"/>
      <c r="E3323" s="185"/>
      <c r="F3323" s="185"/>
      <c r="G3323" s="185"/>
      <c r="H3323" s="185"/>
      <c r="I3323" s="185"/>
      <c r="J3323" s="185"/>
      <c r="K3323" s="185"/>
      <c r="L3323" s="185"/>
      <c r="M3323" s="185"/>
      <c r="N3323" s="185"/>
      <c r="O3323" s="185"/>
      <c r="P3323" s="231"/>
      <c r="Q3323" s="224"/>
    </row>
    <row r="3324" spans="1:17" s="225" customFormat="1" ht="10.5" x14ac:dyDescent="0.25">
      <c r="A3324" s="229"/>
      <c r="B3324" s="232" t="s">
        <v>5</v>
      </c>
      <c r="C3324" s="182" t="s">
        <v>1328</v>
      </c>
      <c r="D3324" s="182"/>
      <c r="E3324" s="182"/>
      <c r="F3324" s="182"/>
      <c r="G3324" s="182"/>
      <c r="H3324" s="182"/>
      <c r="I3324" s="182"/>
      <c r="J3324" s="182"/>
      <c r="K3324" s="182">
        <f>SUM(K3322:K3323)</f>
        <v>40.724137810482794</v>
      </c>
      <c r="L3324" s="182"/>
      <c r="M3324" s="182"/>
      <c r="N3324" s="182"/>
      <c r="O3324" s="182">
        <f>SUM(O3323:O3323)</f>
        <v>0</v>
      </c>
      <c r="P3324" s="233"/>
      <c r="Q3324" s="224"/>
    </row>
    <row r="3325" spans="1:17" s="228" customFormat="1" ht="31.5" x14ac:dyDescent="0.25">
      <c r="A3325" s="226"/>
      <c r="B3325" s="227" t="s">
        <v>443</v>
      </c>
      <c r="C3325" s="173" t="s">
        <v>1803</v>
      </c>
      <c r="D3325" s="173">
        <f>SUM(E3328:O3328)</f>
        <v>0</v>
      </c>
      <c r="E3325" s="173" t="s">
        <v>1718</v>
      </c>
      <c r="F3325" s="173" t="s">
        <v>1719</v>
      </c>
      <c r="G3325" s="173" t="s">
        <v>1720</v>
      </c>
      <c r="H3325" s="173" t="s">
        <v>1721</v>
      </c>
      <c r="I3325" s="173" t="s">
        <v>1722</v>
      </c>
      <c r="J3325" s="173" t="s">
        <v>1723</v>
      </c>
      <c r="K3325" s="173" t="s">
        <v>1724</v>
      </c>
      <c r="L3325" s="173" t="s">
        <v>1753</v>
      </c>
      <c r="M3325" s="173" t="s">
        <v>1730</v>
      </c>
      <c r="N3325" s="173" t="s">
        <v>1727</v>
      </c>
      <c r="O3325" s="173" t="s">
        <v>1728</v>
      </c>
      <c r="P3325" s="224"/>
      <c r="Q3325" s="224"/>
    </row>
    <row r="3326" spans="1:17" s="225" customFormat="1" ht="10.5" x14ac:dyDescent="0.25">
      <c r="A3326" s="229"/>
      <c r="B3326" s="232"/>
      <c r="C3326" s="184"/>
      <c r="D3326" s="185"/>
      <c r="E3326" s="185">
        <f>Quantitativos!CG122</f>
        <v>0</v>
      </c>
      <c r="F3326" s="185"/>
      <c r="G3326" s="185"/>
      <c r="H3326" s="185"/>
      <c r="I3326" s="185"/>
      <c r="J3326" s="185"/>
      <c r="K3326" s="185"/>
      <c r="L3326" s="185"/>
      <c r="M3326" s="185"/>
      <c r="N3326" s="185"/>
      <c r="O3326" s="185"/>
      <c r="P3326" s="224"/>
      <c r="Q3326" s="224"/>
    </row>
    <row r="3327" spans="1:17" s="225" customFormat="1" ht="10.5" x14ac:dyDescent="0.25">
      <c r="A3327" s="229"/>
      <c r="B3327" s="230"/>
      <c r="C3327" s="184"/>
      <c r="D3327" s="185"/>
      <c r="E3327" s="185"/>
      <c r="F3327" s="185"/>
      <c r="G3327" s="185"/>
      <c r="H3327" s="185"/>
      <c r="I3327" s="185"/>
      <c r="J3327" s="185"/>
      <c r="K3327" s="185"/>
      <c r="L3327" s="185"/>
      <c r="M3327" s="185"/>
      <c r="N3327" s="185"/>
      <c r="O3327" s="185"/>
      <c r="P3327" s="231"/>
      <c r="Q3327" s="224"/>
    </row>
    <row r="3328" spans="1:17" s="225" customFormat="1" ht="10.5" x14ac:dyDescent="0.25">
      <c r="A3328" s="229"/>
      <c r="B3328" s="232" t="s">
        <v>5</v>
      </c>
      <c r="C3328" s="182" t="s">
        <v>1328</v>
      </c>
      <c r="D3328" s="182"/>
      <c r="E3328" s="182">
        <f>SUM(E3326:E3327)</f>
        <v>0</v>
      </c>
      <c r="F3328" s="182"/>
      <c r="G3328" s="182"/>
      <c r="H3328" s="182"/>
      <c r="I3328" s="182"/>
      <c r="J3328" s="182"/>
      <c r="K3328" s="182"/>
      <c r="L3328" s="182"/>
      <c r="M3328" s="182"/>
      <c r="N3328" s="182"/>
      <c r="O3328" s="182">
        <f>SUM(O3327:O3327)</f>
        <v>0</v>
      </c>
      <c r="P3328" s="233"/>
      <c r="Q3328" s="224"/>
    </row>
    <row r="3329" spans="1:17" s="228" customFormat="1" ht="31.5" x14ac:dyDescent="0.25">
      <c r="A3329" s="226" t="str">
        <f>ORÇAMENTO!A643</f>
        <v>6.1.2.5.5</v>
      </c>
      <c r="B3329" s="227" t="str">
        <f>VLOOKUP(A3329,ORÇAMENTO!A:K,4,0)</f>
        <v>TUBO DE CONCRETO ARMADO PARA AGUAS PLUVIAIS, CLASSE PA-2, COM ENCAIXE PONTA E BOLSA, DIAMETRO NOMINAL DE 1200 MM</v>
      </c>
      <c r="C3329" s="173" t="str">
        <f>VLOOKUP(A3329,ORÇAMENTO!A:K,5,0)</f>
        <v>M</v>
      </c>
      <c r="D3329" s="173">
        <f>SUM(E3332:O3332)</f>
        <v>35.107015353864483</v>
      </c>
      <c r="E3329" s="173" t="s">
        <v>1718</v>
      </c>
      <c r="F3329" s="173" t="s">
        <v>1719</v>
      </c>
      <c r="G3329" s="173" t="s">
        <v>1720</v>
      </c>
      <c r="H3329" s="173" t="s">
        <v>1721</v>
      </c>
      <c r="I3329" s="173" t="s">
        <v>1722</v>
      </c>
      <c r="J3329" s="173" t="s">
        <v>1723</v>
      </c>
      <c r="K3329" s="173" t="s">
        <v>1746</v>
      </c>
      <c r="L3329" s="173" t="s">
        <v>1799</v>
      </c>
      <c r="M3329" s="173" t="s">
        <v>1730</v>
      </c>
      <c r="N3329" s="173" t="s">
        <v>1727</v>
      </c>
      <c r="O3329" s="173" t="s">
        <v>1728</v>
      </c>
      <c r="P3329" s="224"/>
      <c r="Q3329" s="224"/>
    </row>
    <row r="3330" spans="1:17" s="225" customFormat="1" ht="10.5" x14ac:dyDescent="0.25">
      <c r="A3330" s="229"/>
      <c r="B3330" s="232"/>
      <c r="C3330" s="177"/>
      <c r="D3330" s="178"/>
      <c r="E3330" s="178">
        <f>Quantitativos!CH122</f>
        <v>35.107015353864483</v>
      </c>
      <c r="F3330" s="178"/>
      <c r="G3330" s="178"/>
      <c r="H3330" s="178"/>
      <c r="I3330" s="178"/>
      <c r="J3330" s="178"/>
      <c r="K3330" s="178"/>
      <c r="L3330" s="178"/>
      <c r="M3330" s="178"/>
      <c r="N3330" s="178"/>
      <c r="O3330" s="178"/>
      <c r="P3330" s="224"/>
      <c r="Q3330" s="224"/>
    </row>
    <row r="3331" spans="1:17" s="225" customFormat="1" ht="10.5" x14ac:dyDescent="0.25">
      <c r="A3331" s="229"/>
      <c r="B3331" s="230"/>
      <c r="C3331" s="177"/>
      <c r="D3331" s="178"/>
      <c r="E3331" s="178"/>
      <c r="F3331" s="178"/>
      <c r="G3331" s="178"/>
      <c r="H3331" s="178"/>
      <c r="I3331" s="178"/>
      <c r="J3331" s="178"/>
      <c r="K3331" s="178"/>
      <c r="L3331" s="178"/>
      <c r="M3331" s="178"/>
      <c r="N3331" s="178"/>
      <c r="O3331" s="178"/>
      <c r="P3331" s="231"/>
      <c r="Q3331" s="224"/>
    </row>
    <row r="3332" spans="1:17" s="225" customFormat="1" ht="10.5" x14ac:dyDescent="0.25">
      <c r="A3332" s="229"/>
      <c r="B3332" s="232" t="s">
        <v>5</v>
      </c>
      <c r="C3332" s="182" t="s">
        <v>1328</v>
      </c>
      <c r="D3332" s="182"/>
      <c r="E3332" s="182">
        <f>SUM(E3330:E3331)</f>
        <v>35.107015353864483</v>
      </c>
      <c r="F3332" s="182"/>
      <c r="G3332" s="182"/>
      <c r="H3332" s="182"/>
      <c r="I3332" s="182"/>
      <c r="J3332" s="182"/>
      <c r="K3332" s="182"/>
      <c r="L3332" s="182"/>
      <c r="M3332" s="182"/>
      <c r="N3332" s="182"/>
      <c r="O3332" s="182"/>
      <c r="P3332" s="233"/>
      <c r="Q3332" s="224"/>
    </row>
    <row r="3333" spans="1:17" s="228" customFormat="1" ht="31.5" x14ac:dyDescent="0.25">
      <c r="A3333" s="226" t="str">
        <f>ORÇAMENTO!A644</f>
        <v>6.1.2.5.6</v>
      </c>
      <c r="B3333" s="227" t="str">
        <f>VLOOKUP(A3333,ORÇAMENTO!A:K,4,0)</f>
        <v>CARGA, MANOBRA E DESCARGA DE TUBOS DE CONCRETO, DN 1500 MM, EM CAMINHÃO CARROCERIA COM GUINDAUTO (MUNCK) 11,7 TM.</v>
      </c>
      <c r="C3333" s="173" t="str">
        <f>VLOOKUP(A3333,ORÇAMENTO!A:K,5,0)</f>
        <v>T</v>
      </c>
      <c r="D3333" s="173">
        <f>SUM(E3336:O3336)</f>
        <v>175.60085959319753</v>
      </c>
      <c r="E3333" s="173" t="s">
        <v>1718</v>
      </c>
      <c r="F3333" s="173" t="s">
        <v>1719</v>
      </c>
      <c r="G3333" s="173" t="s">
        <v>1720</v>
      </c>
      <c r="H3333" s="173" t="s">
        <v>1721</v>
      </c>
      <c r="I3333" s="173" t="s">
        <v>1722</v>
      </c>
      <c r="J3333" s="173" t="s">
        <v>1723</v>
      </c>
      <c r="K3333" s="173" t="s">
        <v>1746</v>
      </c>
      <c r="L3333" s="173" t="s">
        <v>1799</v>
      </c>
      <c r="M3333" s="173" t="s">
        <v>1730</v>
      </c>
      <c r="N3333" s="173" t="s">
        <v>1727</v>
      </c>
      <c r="O3333" s="173" t="s">
        <v>1728</v>
      </c>
      <c r="P3333" s="224"/>
      <c r="Q3333" s="224"/>
    </row>
    <row r="3334" spans="1:17" s="225" customFormat="1" ht="31.5" x14ac:dyDescent="0.25">
      <c r="A3334" s="229"/>
      <c r="B3334" s="232" t="s">
        <v>1801</v>
      </c>
      <c r="C3334" s="184"/>
      <c r="D3334" s="185"/>
      <c r="E3334" s="185">
        <f>E3338+E3342</f>
        <v>99.773215677953146</v>
      </c>
      <c r="F3334" s="185"/>
      <c r="G3334" s="185"/>
      <c r="H3334" s="185"/>
      <c r="I3334" s="185"/>
      <c r="J3334" s="185"/>
      <c r="K3334" s="185">
        <f>L3334*E3334</f>
        <v>175.60085959319753</v>
      </c>
      <c r="L3334" s="185">
        <v>1.76</v>
      </c>
      <c r="M3334" s="185"/>
      <c r="N3334" s="185"/>
      <c r="O3334" s="185"/>
      <c r="P3334" s="224"/>
      <c r="Q3334" s="224"/>
    </row>
    <row r="3335" spans="1:17" s="225" customFormat="1" ht="10.5" x14ac:dyDescent="0.25">
      <c r="A3335" s="229"/>
      <c r="B3335" s="230"/>
      <c r="C3335" s="184"/>
      <c r="D3335" s="185"/>
      <c r="E3335" s="185"/>
      <c r="F3335" s="185"/>
      <c r="G3335" s="185"/>
      <c r="H3335" s="185"/>
      <c r="I3335" s="185"/>
      <c r="J3335" s="185"/>
      <c r="K3335" s="185"/>
      <c r="L3335" s="185"/>
      <c r="M3335" s="185"/>
      <c r="N3335" s="185"/>
      <c r="O3335" s="185"/>
      <c r="P3335" s="231"/>
      <c r="Q3335" s="224"/>
    </row>
    <row r="3336" spans="1:17" s="225" customFormat="1" ht="10.5" x14ac:dyDescent="0.25">
      <c r="A3336" s="229"/>
      <c r="B3336" s="232" t="s">
        <v>5</v>
      </c>
      <c r="C3336" s="182" t="s">
        <v>1328</v>
      </c>
      <c r="D3336" s="182"/>
      <c r="E3336" s="182"/>
      <c r="F3336" s="182"/>
      <c r="G3336" s="182"/>
      <c r="H3336" s="182"/>
      <c r="I3336" s="182"/>
      <c r="J3336" s="182"/>
      <c r="K3336" s="182">
        <f>SUM(K3334:K3335)</f>
        <v>175.60085959319753</v>
      </c>
      <c r="L3336" s="182"/>
      <c r="M3336" s="182"/>
      <c r="N3336" s="182"/>
      <c r="O3336" s="182">
        <f>SUM(O3335:O3335)</f>
        <v>0</v>
      </c>
      <c r="P3336" s="233"/>
      <c r="Q3336" s="224"/>
    </row>
    <row r="3337" spans="1:17" s="228" customFormat="1" ht="31.5" x14ac:dyDescent="0.25">
      <c r="A3337" s="226" t="str">
        <f>ORÇAMENTO!A645</f>
        <v>6.1.2.5.7</v>
      </c>
      <c r="B3337" s="227" t="str">
        <f>VLOOKUP(A3337,ORÇAMENTO!A:K,4,0)</f>
        <v>TUBO DE CONCRETO ARMADO PARA AGUAS PLUVIAIS, CLASSE PA-1, COM ENCAIXE PONTA E BOLSA, DIAMETRO NOMINAL DE 1500 MM</v>
      </c>
      <c r="C3337" s="173" t="str">
        <f>VLOOKUP(A3337,ORÇAMENTO!A:K,5,0)</f>
        <v>M</v>
      </c>
      <c r="D3337" s="173">
        <f>SUM(E3340:O3340)</f>
        <v>53.981453829334242</v>
      </c>
      <c r="E3337" s="173" t="s">
        <v>1718</v>
      </c>
      <c r="F3337" s="173" t="s">
        <v>1719</v>
      </c>
      <c r="G3337" s="173" t="s">
        <v>1720</v>
      </c>
      <c r="H3337" s="173" t="s">
        <v>1721</v>
      </c>
      <c r="I3337" s="173" t="s">
        <v>1722</v>
      </c>
      <c r="J3337" s="173" t="s">
        <v>1723</v>
      </c>
      <c r="K3337" s="173" t="s">
        <v>1724</v>
      </c>
      <c r="L3337" s="173" t="s">
        <v>1753</v>
      </c>
      <c r="M3337" s="173" t="s">
        <v>1730</v>
      </c>
      <c r="N3337" s="173" t="s">
        <v>1727</v>
      </c>
      <c r="O3337" s="173" t="s">
        <v>1728</v>
      </c>
      <c r="P3337" s="224"/>
      <c r="Q3337" s="224"/>
    </row>
    <row r="3338" spans="1:17" s="225" customFormat="1" ht="10.5" x14ac:dyDescent="0.25">
      <c r="A3338" s="229"/>
      <c r="B3338" s="232"/>
      <c r="C3338" s="184"/>
      <c r="D3338" s="185"/>
      <c r="E3338" s="185">
        <f>Quantitativos!CK122</f>
        <v>53.981453829334242</v>
      </c>
      <c r="F3338" s="185"/>
      <c r="G3338" s="185"/>
      <c r="H3338" s="185"/>
      <c r="I3338" s="185"/>
      <c r="J3338" s="185"/>
      <c r="K3338" s="185"/>
      <c r="L3338" s="185"/>
      <c r="M3338" s="185"/>
      <c r="N3338" s="185"/>
      <c r="O3338" s="185"/>
      <c r="P3338" s="224"/>
      <c r="Q3338" s="224"/>
    </row>
    <row r="3339" spans="1:17" s="225" customFormat="1" ht="10.5" x14ac:dyDescent="0.25">
      <c r="A3339" s="229"/>
      <c r="B3339" s="230"/>
      <c r="C3339" s="184"/>
      <c r="D3339" s="185"/>
      <c r="E3339" s="185"/>
      <c r="F3339" s="185"/>
      <c r="G3339" s="185"/>
      <c r="H3339" s="185"/>
      <c r="I3339" s="185"/>
      <c r="J3339" s="185"/>
      <c r="K3339" s="185"/>
      <c r="L3339" s="185"/>
      <c r="M3339" s="185"/>
      <c r="N3339" s="185"/>
      <c r="O3339" s="185"/>
      <c r="P3339" s="231"/>
      <c r="Q3339" s="224"/>
    </row>
    <row r="3340" spans="1:17" s="225" customFormat="1" ht="10.5" x14ac:dyDescent="0.25">
      <c r="A3340" s="229"/>
      <c r="B3340" s="232" t="s">
        <v>5</v>
      </c>
      <c r="C3340" s="182" t="s">
        <v>1328</v>
      </c>
      <c r="D3340" s="182"/>
      <c r="E3340" s="182">
        <f>SUM(E3338:E3339)</f>
        <v>53.981453829334242</v>
      </c>
      <c r="F3340" s="182"/>
      <c r="G3340" s="182"/>
      <c r="H3340" s="182"/>
      <c r="I3340" s="182"/>
      <c r="J3340" s="182"/>
      <c r="K3340" s="182"/>
      <c r="L3340" s="182"/>
      <c r="M3340" s="182"/>
      <c r="N3340" s="182"/>
      <c r="O3340" s="182">
        <f>SUM(O3339:O3339)</f>
        <v>0</v>
      </c>
      <c r="P3340" s="233"/>
      <c r="Q3340" s="224"/>
    </row>
    <row r="3341" spans="1:17" s="228" customFormat="1" ht="31.5" x14ac:dyDescent="0.25">
      <c r="A3341" s="226" t="str">
        <f>ORÇAMENTO!A646</f>
        <v>6.1.2.5.8</v>
      </c>
      <c r="B3341" s="227" t="str">
        <f>VLOOKUP(A3341,ORÇAMENTO!A:K,4,0)</f>
        <v>TUBO DE CONCRETO ARMADO PARA AGUAS PLUVIAIS, CLASSE PA-2, COM ENCAIXE PONTA E BOLSA, DIAMETRO NOMINAL DE 1500 MM</v>
      </c>
      <c r="C3341" s="173" t="str">
        <f>VLOOKUP(A3341,ORÇAMENTO!A:K,5,0)</f>
        <v>M</v>
      </c>
      <c r="D3341" s="173">
        <f>SUM(E3344:O3344)</f>
        <v>45.791761848618904</v>
      </c>
      <c r="E3341" s="173" t="s">
        <v>1718</v>
      </c>
      <c r="F3341" s="173" t="s">
        <v>1719</v>
      </c>
      <c r="G3341" s="173" t="s">
        <v>1720</v>
      </c>
      <c r="H3341" s="173" t="s">
        <v>1721</v>
      </c>
      <c r="I3341" s="173" t="s">
        <v>1722</v>
      </c>
      <c r="J3341" s="173" t="s">
        <v>1723</v>
      </c>
      <c r="K3341" s="173" t="s">
        <v>1724</v>
      </c>
      <c r="L3341" s="173" t="s">
        <v>1753</v>
      </c>
      <c r="M3341" s="173" t="s">
        <v>1730</v>
      </c>
      <c r="N3341" s="173" t="s">
        <v>1727</v>
      </c>
      <c r="O3341" s="173" t="s">
        <v>1728</v>
      </c>
      <c r="P3341" s="224"/>
      <c r="Q3341" s="224"/>
    </row>
    <row r="3342" spans="1:17" s="225" customFormat="1" ht="10.5" x14ac:dyDescent="0.25">
      <c r="A3342" s="229"/>
      <c r="B3342" s="232"/>
      <c r="C3342" s="184"/>
      <c r="D3342" s="185"/>
      <c r="E3342" s="185">
        <f>Quantitativos!CL122</f>
        <v>45.791761848618904</v>
      </c>
      <c r="F3342" s="185"/>
      <c r="G3342" s="185"/>
      <c r="H3342" s="185"/>
      <c r="I3342" s="185"/>
      <c r="J3342" s="185"/>
      <c r="K3342" s="185"/>
      <c r="L3342" s="185"/>
      <c r="M3342" s="185"/>
      <c r="N3342" s="185"/>
      <c r="O3342" s="185"/>
      <c r="P3342" s="224"/>
      <c r="Q3342" s="224"/>
    </row>
    <row r="3343" spans="1:17" s="225" customFormat="1" ht="10.5" x14ac:dyDescent="0.25">
      <c r="A3343" s="229"/>
      <c r="B3343" s="230"/>
      <c r="C3343" s="184"/>
      <c r="D3343" s="185"/>
      <c r="E3343" s="185"/>
      <c r="F3343" s="185"/>
      <c r="G3343" s="185"/>
      <c r="H3343" s="185"/>
      <c r="I3343" s="185"/>
      <c r="J3343" s="185"/>
      <c r="K3343" s="185"/>
      <c r="L3343" s="185"/>
      <c r="M3343" s="185"/>
      <c r="N3343" s="185"/>
      <c r="O3343" s="185"/>
      <c r="P3343" s="231"/>
      <c r="Q3343" s="224"/>
    </row>
    <row r="3344" spans="1:17" s="225" customFormat="1" ht="10.5" x14ac:dyDescent="0.25">
      <c r="A3344" s="229"/>
      <c r="B3344" s="232" t="s">
        <v>5</v>
      </c>
      <c r="C3344" s="182" t="s">
        <v>1328</v>
      </c>
      <c r="D3344" s="182"/>
      <c r="E3344" s="182">
        <f>SUM(E3342:E3343)</f>
        <v>45.791761848618904</v>
      </c>
      <c r="F3344" s="182"/>
      <c r="G3344" s="182"/>
      <c r="H3344" s="182"/>
      <c r="I3344" s="182"/>
      <c r="J3344" s="182"/>
      <c r="K3344" s="182"/>
      <c r="L3344" s="182"/>
      <c r="M3344" s="182"/>
      <c r="N3344" s="182"/>
      <c r="O3344" s="182">
        <f>SUM(O3343:O3343)</f>
        <v>0</v>
      </c>
      <c r="P3344" s="233"/>
      <c r="Q3344" s="224"/>
    </row>
    <row r="3345" spans="1:17" s="225" customFormat="1" ht="10.5" x14ac:dyDescent="0.25">
      <c r="A3345" s="222" t="str">
        <f>ORÇAMENTO!A647</f>
        <v>6.1.2.6</v>
      </c>
      <c r="B3345" s="223" t="str">
        <f>VLOOKUP(A3345,ORÇAMENTO!A:K,4,0)</f>
        <v>BOCAS DE LOBO</v>
      </c>
      <c r="C3345" s="167"/>
      <c r="D3345" s="167"/>
      <c r="E3345" s="168"/>
      <c r="F3345" s="168"/>
      <c r="G3345" s="168"/>
      <c r="H3345" s="168"/>
      <c r="I3345" s="168"/>
      <c r="J3345" s="168"/>
      <c r="K3345" s="168"/>
      <c r="L3345" s="168"/>
      <c r="M3345" s="168"/>
      <c r="N3345" s="168"/>
      <c r="O3345" s="168"/>
      <c r="P3345" s="224"/>
      <c r="Q3345" s="224"/>
    </row>
    <row r="3346" spans="1:17" s="228" customFormat="1" ht="21" x14ac:dyDescent="0.25">
      <c r="A3346" s="226" t="str">
        <f>ORÇAMENTO!A648</f>
        <v>6.1.2.6.1</v>
      </c>
      <c r="B3346" s="227" t="str">
        <f>VLOOKUP(A3346,ORÇAMENTO!A:K,4,0)</f>
        <v>LOCAÇÃO DE REDE DE DRENAGEM</v>
      </c>
      <c r="C3346" s="173" t="str">
        <f>VLOOKUP(A3346,ORÇAMENTO!A:K,5,0)</f>
        <v>M</v>
      </c>
      <c r="D3346" s="173">
        <f>ROUND(SUM(E3349:O3349),2)</f>
        <v>187.85</v>
      </c>
      <c r="E3346" s="173" t="s">
        <v>1718</v>
      </c>
      <c r="F3346" s="173" t="s">
        <v>1719</v>
      </c>
      <c r="G3346" s="173" t="s">
        <v>1720</v>
      </c>
      <c r="H3346" s="173" t="s">
        <v>1721</v>
      </c>
      <c r="I3346" s="173" t="s">
        <v>1722</v>
      </c>
      <c r="J3346" s="173" t="s">
        <v>1723</v>
      </c>
      <c r="K3346" s="173" t="s">
        <v>1724</v>
      </c>
      <c r="L3346" s="173" t="s">
        <v>1804</v>
      </c>
      <c r="M3346" s="173" t="s">
        <v>1726</v>
      </c>
      <c r="N3346" s="173" t="s">
        <v>1805</v>
      </c>
      <c r="O3346" s="173" t="s">
        <v>1728</v>
      </c>
      <c r="P3346" s="224"/>
      <c r="Q3346" s="224"/>
    </row>
    <row r="3347" spans="1:17" s="225" customFormat="1" ht="10.5" x14ac:dyDescent="0.25">
      <c r="A3347" s="229"/>
      <c r="B3347" s="230" t="s">
        <v>1806</v>
      </c>
      <c r="C3347" s="177"/>
      <c r="D3347" s="178"/>
      <c r="E3347" s="178">
        <f>QUANTBL!O246/1</f>
        <v>187.845</v>
      </c>
      <c r="F3347" s="178"/>
      <c r="G3347" s="178"/>
      <c r="H3347" s="178"/>
      <c r="I3347" s="178"/>
      <c r="J3347" s="178"/>
      <c r="K3347" s="178"/>
      <c r="L3347" s="178"/>
      <c r="M3347" s="178"/>
      <c r="N3347" s="200"/>
      <c r="O3347" s="178"/>
      <c r="P3347" s="231"/>
      <c r="Q3347" s="224"/>
    </row>
    <row r="3348" spans="1:17" s="225" customFormat="1" ht="10.5" x14ac:dyDescent="0.25">
      <c r="A3348" s="229"/>
      <c r="B3348" s="230"/>
      <c r="C3348" s="177"/>
      <c r="D3348" s="178"/>
      <c r="E3348" s="178"/>
      <c r="F3348" s="178"/>
      <c r="G3348" s="178"/>
      <c r="H3348" s="178"/>
      <c r="I3348" s="178"/>
      <c r="J3348" s="178"/>
      <c r="K3348" s="178"/>
      <c r="L3348" s="178"/>
      <c r="M3348" s="178"/>
      <c r="N3348" s="200"/>
      <c r="O3348" s="178"/>
      <c r="P3348" s="231"/>
      <c r="Q3348" s="224"/>
    </row>
    <row r="3349" spans="1:17" s="225" customFormat="1" ht="10.5" x14ac:dyDescent="0.25">
      <c r="A3349" s="229"/>
      <c r="B3349" s="232" t="s">
        <v>5</v>
      </c>
      <c r="C3349" s="182" t="s">
        <v>1328</v>
      </c>
      <c r="D3349" s="182"/>
      <c r="E3349" s="177">
        <f>SUM(E3347:E3347)</f>
        <v>187.845</v>
      </c>
      <c r="F3349" s="182"/>
      <c r="G3349" s="182"/>
      <c r="H3349" s="182"/>
      <c r="I3349" s="182"/>
      <c r="J3349" s="182"/>
      <c r="K3349" s="178"/>
      <c r="L3349" s="182"/>
      <c r="M3349" s="182"/>
      <c r="N3349" s="177"/>
      <c r="O3349" s="177"/>
      <c r="P3349" s="233"/>
      <c r="Q3349" s="224"/>
    </row>
    <row r="3350" spans="1:17" s="228" customFormat="1" ht="21" x14ac:dyDescent="0.25">
      <c r="A3350" s="226"/>
      <c r="B3350" s="227" t="s">
        <v>774</v>
      </c>
      <c r="C3350" s="173" t="s">
        <v>1332</v>
      </c>
      <c r="D3350" s="173">
        <f>ROUND(SUM(E3353:O3353),2)</f>
        <v>0</v>
      </c>
      <c r="E3350" s="173" t="s">
        <v>1718</v>
      </c>
      <c r="F3350" s="173" t="s">
        <v>1719</v>
      </c>
      <c r="G3350" s="173" t="s">
        <v>1720</v>
      </c>
      <c r="H3350" s="173" t="s">
        <v>1721</v>
      </c>
      <c r="I3350" s="173" t="s">
        <v>1722</v>
      </c>
      <c r="J3350" s="173" t="s">
        <v>1723</v>
      </c>
      <c r="K3350" s="173" t="s">
        <v>1724</v>
      </c>
      <c r="L3350" s="173" t="s">
        <v>1804</v>
      </c>
      <c r="M3350" s="173" t="s">
        <v>1726</v>
      </c>
      <c r="N3350" s="173" t="s">
        <v>1727</v>
      </c>
      <c r="O3350" s="173" t="s">
        <v>1728</v>
      </c>
      <c r="P3350" s="224"/>
      <c r="Q3350" s="224"/>
    </row>
    <row r="3351" spans="1:17" s="225" customFormat="1" ht="10.5" x14ac:dyDescent="0.25">
      <c r="A3351" s="229"/>
      <c r="B3351" s="230" t="s">
        <v>1735</v>
      </c>
      <c r="C3351" s="177"/>
      <c r="D3351" s="178"/>
      <c r="E3351" s="178">
        <f>E3505</f>
        <v>0</v>
      </c>
      <c r="F3351" s="178">
        <v>2</v>
      </c>
      <c r="G3351" s="178">
        <v>1</v>
      </c>
      <c r="H3351" s="178"/>
      <c r="I3351" s="178"/>
      <c r="J3351" s="178"/>
      <c r="K3351" s="178"/>
      <c r="L3351" s="178"/>
      <c r="M3351" s="178">
        <f>ROUND(E3351/200,0)</f>
        <v>0</v>
      </c>
      <c r="N3351" s="200">
        <f>M3351*G3351*F3351</f>
        <v>0</v>
      </c>
      <c r="O3351" s="178"/>
      <c r="P3351" s="231"/>
      <c r="Q3351" s="224"/>
    </row>
    <row r="3352" spans="1:17" s="225" customFormat="1" ht="10.5" x14ac:dyDescent="0.25">
      <c r="A3352" s="229"/>
      <c r="B3352" s="230"/>
      <c r="C3352" s="177"/>
      <c r="D3352" s="178"/>
      <c r="E3352" s="178"/>
      <c r="F3352" s="178"/>
      <c r="G3352" s="178"/>
      <c r="H3352" s="178"/>
      <c r="I3352" s="178"/>
      <c r="J3352" s="178"/>
      <c r="K3352" s="178"/>
      <c r="L3352" s="178"/>
      <c r="M3352" s="178"/>
      <c r="N3352" s="200"/>
      <c r="O3352" s="178"/>
      <c r="P3352" s="231"/>
      <c r="Q3352" s="224"/>
    </row>
    <row r="3353" spans="1:17" s="225" customFormat="1" ht="10.5" x14ac:dyDescent="0.25">
      <c r="A3353" s="229"/>
      <c r="B3353" s="232" t="s">
        <v>5</v>
      </c>
      <c r="C3353" s="182" t="s">
        <v>1328</v>
      </c>
      <c r="D3353" s="182"/>
      <c r="E3353" s="177"/>
      <c r="F3353" s="182"/>
      <c r="G3353" s="182"/>
      <c r="H3353" s="182"/>
      <c r="I3353" s="182"/>
      <c r="J3353" s="182"/>
      <c r="K3353" s="178"/>
      <c r="L3353" s="182"/>
      <c r="M3353" s="182"/>
      <c r="N3353" s="177">
        <f>SUM(N3351:N3351)</f>
        <v>0</v>
      </c>
      <c r="O3353" s="177"/>
      <c r="P3353" s="233"/>
      <c r="Q3353" s="224"/>
    </row>
    <row r="3354" spans="1:17" s="228" customFormat="1" ht="21" x14ac:dyDescent="0.25">
      <c r="A3354" s="226" t="str">
        <f>ORÇAMENTO!A649</f>
        <v>6.1.2.6.2</v>
      </c>
      <c r="B3354" s="227" t="str">
        <f>VLOOKUP(A3354,ORÇAMENTO!A:K,4,0)</f>
        <v>ESCADA DE MADEIRA PARA OBRA, EM TÁBUA DE CONSTRUÇÃO, LARGURA 1,00M</v>
      </c>
      <c r="C3354" s="173" t="str">
        <f>VLOOKUP(A3354,ORÇAMENTO!A:K,5,0)</f>
        <v>M</v>
      </c>
      <c r="D3354" s="173">
        <f>ROUND(SUM(E3357:O3357),2)</f>
        <v>21.2</v>
      </c>
      <c r="E3354" s="173" t="s">
        <v>1718</v>
      </c>
      <c r="F3354" s="173" t="s">
        <v>1719</v>
      </c>
      <c r="G3354" s="173" t="s">
        <v>1720</v>
      </c>
      <c r="H3354" s="173" t="s">
        <v>1721</v>
      </c>
      <c r="I3354" s="173" t="s">
        <v>1722</v>
      </c>
      <c r="J3354" s="173" t="s">
        <v>1723</v>
      </c>
      <c r="K3354" s="173" t="s">
        <v>1724</v>
      </c>
      <c r="L3354" s="173" t="s">
        <v>1804</v>
      </c>
      <c r="M3354" s="173" t="s">
        <v>1726</v>
      </c>
      <c r="N3354" s="173" t="s">
        <v>1727</v>
      </c>
      <c r="O3354" s="173" t="s">
        <v>1728</v>
      </c>
      <c r="P3354" s="224"/>
      <c r="Q3354" s="224"/>
    </row>
    <row r="3355" spans="1:17" s="225" customFormat="1" ht="63" x14ac:dyDescent="0.25">
      <c r="A3355" s="229"/>
      <c r="B3355" s="230" t="s">
        <v>1741</v>
      </c>
      <c r="C3355" s="177"/>
      <c r="D3355" s="178"/>
      <c r="E3355" s="178"/>
      <c r="F3355" s="178"/>
      <c r="G3355" s="178">
        <f>QUANTBL!J246</f>
        <v>21.204402975000008</v>
      </c>
      <c r="H3355" s="178"/>
      <c r="I3355" s="178"/>
      <c r="J3355" s="178"/>
      <c r="K3355" s="178"/>
      <c r="L3355" s="178"/>
      <c r="M3355" s="178"/>
      <c r="N3355" s="200"/>
      <c r="O3355" s="178"/>
      <c r="P3355" s="231"/>
      <c r="Q3355" s="224"/>
    </row>
    <row r="3356" spans="1:17" s="225" customFormat="1" ht="10.5" x14ac:dyDescent="0.25">
      <c r="A3356" s="229"/>
      <c r="B3356" s="230"/>
      <c r="C3356" s="177"/>
      <c r="D3356" s="178"/>
      <c r="E3356" s="178"/>
      <c r="F3356" s="178"/>
      <c r="G3356" s="178"/>
      <c r="H3356" s="178"/>
      <c r="I3356" s="178"/>
      <c r="J3356" s="178"/>
      <c r="K3356" s="178"/>
      <c r="L3356" s="178"/>
      <c r="M3356" s="178"/>
      <c r="N3356" s="200"/>
      <c r="O3356" s="178"/>
      <c r="P3356" s="231"/>
      <c r="Q3356" s="224"/>
    </row>
    <row r="3357" spans="1:17" s="225" customFormat="1" ht="10.5" x14ac:dyDescent="0.25">
      <c r="A3357" s="229"/>
      <c r="B3357" s="232" t="s">
        <v>5</v>
      </c>
      <c r="C3357" s="182" t="s">
        <v>1328</v>
      </c>
      <c r="D3357" s="182"/>
      <c r="E3357" s="177"/>
      <c r="F3357" s="182"/>
      <c r="G3357" s="177">
        <f>SUM(G3355:G3355)</f>
        <v>21.204402975000008</v>
      </c>
      <c r="H3357" s="182"/>
      <c r="I3357" s="182"/>
      <c r="J3357" s="182"/>
      <c r="K3357" s="178"/>
      <c r="L3357" s="182"/>
      <c r="M3357" s="177"/>
      <c r="N3357" s="177"/>
      <c r="O3357" s="177"/>
      <c r="P3357" s="233"/>
      <c r="Q3357" s="224"/>
    </row>
    <row r="3358" spans="1:17" s="228" customFormat="1" ht="63" x14ac:dyDescent="0.25">
      <c r="A3358" s="226"/>
      <c r="B3358" s="227" t="s">
        <v>461</v>
      </c>
      <c r="C3358" s="173" t="s">
        <v>268</v>
      </c>
      <c r="D3358" s="173">
        <f>ROUND(SUM(E3363:O3363),2)</f>
        <v>0</v>
      </c>
      <c r="E3358" s="173" t="s">
        <v>1718</v>
      </c>
      <c r="F3358" s="173" t="s">
        <v>1719</v>
      </c>
      <c r="G3358" s="173" t="s">
        <v>1720</v>
      </c>
      <c r="H3358" s="173" t="s">
        <v>1721</v>
      </c>
      <c r="I3358" s="173" t="s">
        <v>1722</v>
      </c>
      <c r="J3358" s="173" t="s">
        <v>1723</v>
      </c>
      <c r="K3358" s="173" t="s">
        <v>1724</v>
      </c>
      <c r="L3358" s="173" t="s">
        <v>1804</v>
      </c>
      <c r="M3358" s="173" t="s">
        <v>1726</v>
      </c>
      <c r="N3358" s="173" t="s">
        <v>1809</v>
      </c>
      <c r="O3358" s="173" t="s">
        <v>1728</v>
      </c>
      <c r="P3358" s="224"/>
      <c r="Q3358" s="224"/>
    </row>
    <row r="3359" spans="1:17" s="225" customFormat="1" ht="10.5" x14ac:dyDescent="0.25">
      <c r="A3359" s="229"/>
      <c r="B3359" s="230"/>
      <c r="C3359" s="177"/>
      <c r="D3359" s="178"/>
      <c r="E3359" s="178"/>
      <c r="F3359" s="178"/>
      <c r="G3359" s="178"/>
      <c r="H3359" s="178"/>
      <c r="I3359" s="178"/>
      <c r="J3359" s="178"/>
      <c r="K3359" s="178"/>
      <c r="L3359" s="178"/>
      <c r="M3359" s="178"/>
      <c r="N3359" s="200"/>
      <c r="O3359" s="178"/>
      <c r="P3359" s="231"/>
      <c r="Q3359" s="224"/>
    </row>
    <row r="3360" spans="1:17" s="225" customFormat="1" ht="21" x14ac:dyDescent="0.25">
      <c r="A3360" s="229"/>
      <c r="B3360" s="230" t="s">
        <v>1808</v>
      </c>
      <c r="C3360" s="177"/>
      <c r="D3360" s="178"/>
      <c r="E3360" s="178"/>
      <c r="F3360" s="178"/>
      <c r="G3360" s="178"/>
      <c r="H3360" s="178"/>
      <c r="I3360" s="178"/>
      <c r="J3360" s="178"/>
      <c r="K3360" s="178"/>
      <c r="L3360" s="178"/>
      <c r="M3360" s="178"/>
      <c r="N3360" s="200"/>
      <c r="O3360" s="178">
        <f>QUANTBL!AC246</f>
        <v>0</v>
      </c>
      <c r="P3360" s="231"/>
      <c r="Q3360" s="224"/>
    </row>
    <row r="3361" spans="1:17" s="225" customFormat="1" ht="10.5" x14ac:dyDescent="0.25">
      <c r="A3361" s="229"/>
      <c r="B3361" s="230"/>
      <c r="C3361" s="177"/>
      <c r="D3361" s="178"/>
      <c r="E3361" s="178"/>
      <c r="F3361" s="178"/>
      <c r="G3361" s="178"/>
      <c r="H3361" s="178"/>
      <c r="I3361" s="178"/>
      <c r="J3361" s="178"/>
      <c r="K3361" s="178"/>
      <c r="L3361" s="178"/>
      <c r="M3361" s="178"/>
      <c r="N3361" s="200"/>
      <c r="O3361" s="178"/>
      <c r="P3361" s="231"/>
      <c r="Q3361" s="224"/>
    </row>
    <row r="3362" spans="1:17" s="225" customFormat="1" ht="10.5" x14ac:dyDescent="0.25">
      <c r="A3362" s="229"/>
      <c r="B3362" s="230"/>
      <c r="C3362" s="177"/>
      <c r="D3362" s="178"/>
      <c r="E3362" s="178"/>
      <c r="F3362" s="178"/>
      <c r="G3362" s="178"/>
      <c r="H3362" s="178"/>
      <c r="I3362" s="178"/>
      <c r="J3362" s="178"/>
      <c r="K3362" s="178"/>
      <c r="L3362" s="178"/>
      <c r="M3362" s="178"/>
      <c r="N3362" s="200"/>
      <c r="O3362" s="178"/>
      <c r="P3362" s="231"/>
      <c r="Q3362" s="224"/>
    </row>
    <row r="3363" spans="1:17" s="225" customFormat="1" ht="10.5" x14ac:dyDescent="0.25">
      <c r="A3363" s="229"/>
      <c r="B3363" s="232" t="s">
        <v>5</v>
      </c>
      <c r="C3363" s="182" t="s">
        <v>1328</v>
      </c>
      <c r="D3363" s="182"/>
      <c r="E3363" s="182"/>
      <c r="F3363" s="182"/>
      <c r="G3363" s="182"/>
      <c r="H3363" s="182"/>
      <c r="I3363" s="182"/>
      <c r="J3363" s="182"/>
      <c r="K3363" s="178"/>
      <c r="L3363" s="182"/>
      <c r="M3363" s="182"/>
      <c r="N3363" s="177"/>
      <c r="O3363" s="177">
        <f>SUM(O3359:O3360)</f>
        <v>0</v>
      </c>
      <c r="P3363" s="233"/>
      <c r="Q3363" s="224"/>
    </row>
    <row r="3364" spans="1:17" s="228" customFormat="1" ht="63" x14ac:dyDescent="0.25">
      <c r="A3364" s="226"/>
      <c r="B3364" s="227" t="s">
        <v>285</v>
      </c>
      <c r="C3364" s="173" t="s">
        <v>268</v>
      </c>
      <c r="D3364" s="173">
        <f>ROUND(SUM(E3369:O3369),2)</f>
        <v>0</v>
      </c>
      <c r="E3364" s="173" t="s">
        <v>1718</v>
      </c>
      <c r="F3364" s="173" t="s">
        <v>1719</v>
      </c>
      <c r="G3364" s="173" t="s">
        <v>1720</v>
      </c>
      <c r="H3364" s="173" t="s">
        <v>1721</v>
      </c>
      <c r="I3364" s="173" t="s">
        <v>1722</v>
      </c>
      <c r="J3364" s="173" t="s">
        <v>1723</v>
      </c>
      <c r="K3364" s="173" t="s">
        <v>1724</v>
      </c>
      <c r="L3364" s="173" t="s">
        <v>1804</v>
      </c>
      <c r="M3364" s="173" t="s">
        <v>1726</v>
      </c>
      <c r="N3364" s="173" t="s">
        <v>1809</v>
      </c>
      <c r="O3364" s="173" t="s">
        <v>1728</v>
      </c>
      <c r="P3364" s="224"/>
      <c r="Q3364" s="224"/>
    </row>
    <row r="3365" spans="1:17" s="225" customFormat="1" ht="10.5" x14ac:dyDescent="0.25">
      <c r="A3365" s="229"/>
      <c r="B3365" s="230"/>
      <c r="C3365" s="177"/>
      <c r="D3365" s="178"/>
      <c r="E3365" s="178"/>
      <c r="F3365" s="178"/>
      <c r="G3365" s="178"/>
      <c r="H3365" s="178"/>
      <c r="I3365" s="178"/>
      <c r="J3365" s="178"/>
      <c r="K3365" s="178"/>
      <c r="L3365" s="178"/>
      <c r="M3365" s="178"/>
      <c r="N3365" s="200"/>
      <c r="O3365" s="178"/>
      <c r="P3365" s="231"/>
      <c r="Q3365" s="224"/>
    </row>
    <row r="3366" spans="1:17" s="225" customFormat="1" ht="21" x14ac:dyDescent="0.25">
      <c r="A3366" s="229"/>
      <c r="B3366" s="230" t="s">
        <v>1808</v>
      </c>
      <c r="C3366" s="177"/>
      <c r="D3366" s="178"/>
      <c r="E3366" s="178"/>
      <c r="F3366" s="178"/>
      <c r="G3366" s="178"/>
      <c r="H3366" s="178"/>
      <c r="I3366" s="178"/>
      <c r="J3366" s="178"/>
      <c r="K3366" s="178"/>
      <c r="L3366" s="178"/>
      <c r="M3366" s="178"/>
      <c r="N3366" s="200"/>
      <c r="O3366" s="178">
        <f>QUANTBL!AD246</f>
        <v>0</v>
      </c>
      <c r="P3366" s="231"/>
      <c r="Q3366" s="224"/>
    </row>
    <row r="3367" spans="1:17" s="225" customFormat="1" ht="10.5" x14ac:dyDescent="0.25">
      <c r="A3367" s="229"/>
      <c r="B3367" s="230"/>
      <c r="C3367" s="177"/>
      <c r="D3367" s="178"/>
      <c r="E3367" s="178"/>
      <c r="F3367" s="178"/>
      <c r="G3367" s="178"/>
      <c r="H3367" s="178"/>
      <c r="I3367" s="178"/>
      <c r="J3367" s="178"/>
      <c r="K3367" s="178"/>
      <c r="L3367" s="178"/>
      <c r="M3367" s="178"/>
      <c r="N3367" s="200"/>
      <c r="O3367" s="178"/>
      <c r="P3367" s="231"/>
      <c r="Q3367" s="224"/>
    </row>
    <row r="3368" spans="1:17" s="225" customFormat="1" ht="10.5" x14ac:dyDescent="0.25">
      <c r="A3368" s="229"/>
      <c r="B3368" s="230"/>
      <c r="C3368" s="177"/>
      <c r="D3368" s="178"/>
      <c r="E3368" s="178"/>
      <c r="F3368" s="178"/>
      <c r="G3368" s="178"/>
      <c r="H3368" s="178"/>
      <c r="I3368" s="178"/>
      <c r="J3368" s="178"/>
      <c r="K3368" s="178"/>
      <c r="L3368" s="178"/>
      <c r="M3368" s="178"/>
      <c r="N3368" s="200"/>
      <c r="O3368" s="178"/>
      <c r="P3368" s="231"/>
      <c r="Q3368" s="224"/>
    </row>
    <row r="3369" spans="1:17" s="225" customFormat="1" ht="10.5" x14ac:dyDescent="0.25">
      <c r="A3369" s="229"/>
      <c r="B3369" s="232" t="s">
        <v>5</v>
      </c>
      <c r="C3369" s="182" t="s">
        <v>1328</v>
      </c>
      <c r="D3369" s="182"/>
      <c r="E3369" s="182"/>
      <c r="F3369" s="182"/>
      <c r="G3369" s="182"/>
      <c r="H3369" s="182"/>
      <c r="I3369" s="182"/>
      <c r="J3369" s="182"/>
      <c r="K3369" s="178"/>
      <c r="L3369" s="182"/>
      <c r="M3369" s="182"/>
      <c r="N3369" s="177"/>
      <c r="O3369" s="177">
        <f>SUM(O3365:O3366)</f>
        <v>0</v>
      </c>
      <c r="P3369" s="233"/>
      <c r="Q3369" s="224"/>
    </row>
    <row r="3370" spans="1:17" s="228" customFormat="1" ht="63" x14ac:dyDescent="0.25">
      <c r="A3370" s="226"/>
      <c r="B3370" s="227" t="s">
        <v>465</v>
      </c>
      <c r="C3370" s="173" t="s">
        <v>268</v>
      </c>
      <c r="D3370" s="173">
        <f>ROUND(SUM(E3375:O3375),2)</f>
        <v>0</v>
      </c>
      <c r="E3370" s="173" t="s">
        <v>1718</v>
      </c>
      <c r="F3370" s="173" t="s">
        <v>1719</v>
      </c>
      <c r="G3370" s="173" t="s">
        <v>1720</v>
      </c>
      <c r="H3370" s="173" t="s">
        <v>1721</v>
      </c>
      <c r="I3370" s="173" t="s">
        <v>1722</v>
      </c>
      <c r="J3370" s="173" t="s">
        <v>1723</v>
      </c>
      <c r="K3370" s="173" t="s">
        <v>1724</v>
      </c>
      <c r="L3370" s="173" t="s">
        <v>1804</v>
      </c>
      <c r="M3370" s="173" t="s">
        <v>1726</v>
      </c>
      <c r="N3370" s="173" t="s">
        <v>1805</v>
      </c>
      <c r="O3370" s="173" t="s">
        <v>1728</v>
      </c>
      <c r="P3370" s="224"/>
      <c r="Q3370" s="224"/>
    </row>
    <row r="3371" spans="1:17" s="225" customFormat="1" ht="10.5" x14ac:dyDescent="0.25">
      <c r="A3371" s="229"/>
      <c r="B3371" s="230"/>
      <c r="C3371" s="177"/>
      <c r="D3371" s="178"/>
      <c r="E3371" s="178"/>
      <c r="F3371" s="178"/>
      <c r="G3371" s="178"/>
      <c r="H3371" s="178"/>
      <c r="I3371" s="178"/>
      <c r="J3371" s="178"/>
      <c r="K3371" s="178"/>
      <c r="L3371" s="178"/>
      <c r="M3371" s="178"/>
      <c r="N3371" s="200"/>
      <c r="O3371" s="178"/>
      <c r="P3371" s="231"/>
      <c r="Q3371" s="224"/>
    </row>
    <row r="3372" spans="1:17" s="225" customFormat="1" ht="21" x14ac:dyDescent="0.25">
      <c r="A3372" s="229"/>
      <c r="B3372" s="230" t="s">
        <v>1808</v>
      </c>
      <c r="C3372" s="177"/>
      <c r="D3372" s="178"/>
      <c r="E3372" s="178"/>
      <c r="F3372" s="178"/>
      <c r="G3372" s="178"/>
      <c r="H3372" s="178"/>
      <c r="I3372" s="178"/>
      <c r="J3372" s="178"/>
      <c r="K3372" s="178"/>
      <c r="L3372" s="178"/>
      <c r="M3372" s="178"/>
      <c r="N3372" s="200"/>
      <c r="O3372" s="178">
        <f>QUANTBL!AE246</f>
        <v>0</v>
      </c>
      <c r="P3372" s="231"/>
      <c r="Q3372" s="224"/>
    </row>
    <row r="3373" spans="1:17" s="225" customFormat="1" ht="10.5" x14ac:dyDescent="0.25">
      <c r="A3373" s="229"/>
      <c r="B3373" s="230"/>
      <c r="C3373" s="177"/>
      <c r="D3373" s="178"/>
      <c r="E3373" s="178"/>
      <c r="F3373" s="178"/>
      <c r="G3373" s="178"/>
      <c r="H3373" s="178"/>
      <c r="I3373" s="178"/>
      <c r="J3373" s="178"/>
      <c r="K3373" s="178"/>
      <c r="L3373" s="178"/>
      <c r="M3373" s="178"/>
      <c r="N3373" s="200"/>
      <c r="O3373" s="178"/>
      <c r="P3373" s="231"/>
      <c r="Q3373" s="224"/>
    </row>
    <row r="3374" spans="1:17" s="225" customFormat="1" ht="10.5" x14ac:dyDescent="0.25">
      <c r="A3374" s="229"/>
      <c r="B3374" s="230"/>
      <c r="C3374" s="177"/>
      <c r="D3374" s="178"/>
      <c r="E3374" s="178"/>
      <c r="F3374" s="178"/>
      <c r="G3374" s="178"/>
      <c r="H3374" s="178"/>
      <c r="I3374" s="178"/>
      <c r="J3374" s="178"/>
      <c r="K3374" s="178"/>
      <c r="L3374" s="178"/>
      <c r="M3374" s="178"/>
      <c r="N3374" s="200"/>
      <c r="O3374" s="178"/>
      <c r="P3374" s="231"/>
      <c r="Q3374" s="224"/>
    </row>
    <row r="3375" spans="1:17" s="225" customFormat="1" ht="10.5" x14ac:dyDescent="0.25">
      <c r="A3375" s="229"/>
      <c r="B3375" s="232" t="s">
        <v>5</v>
      </c>
      <c r="C3375" s="182" t="s">
        <v>1328</v>
      </c>
      <c r="D3375" s="182"/>
      <c r="E3375" s="182"/>
      <c r="F3375" s="182"/>
      <c r="G3375" s="182"/>
      <c r="H3375" s="182"/>
      <c r="I3375" s="182"/>
      <c r="J3375" s="182"/>
      <c r="K3375" s="178"/>
      <c r="L3375" s="182"/>
      <c r="M3375" s="182"/>
      <c r="N3375" s="177"/>
      <c r="O3375" s="177">
        <f>SUM(O3371:O3372)</f>
        <v>0</v>
      </c>
      <c r="P3375" s="233"/>
      <c r="Q3375" s="224"/>
    </row>
    <row r="3376" spans="1:17" s="228" customFormat="1" ht="63" x14ac:dyDescent="0.25">
      <c r="A3376" s="226"/>
      <c r="B3376" s="227" t="s">
        <v>290</v>
      </c>
      <c r="C3376" s="173" t="s">
        <v>268</v>
      </c>
      <c r="D3376" s="173">
        <f>ROUND(SUM(E3380:O3380),2)</f>
        <v>0</v>
      </c>
      <c r="E3376" s="173" t="s">
        <v>1718</v>
      </c>
      <c r="F3376" s="173" t="s">
        <v>1719</v>
      </c>
      <c r="G3376" s="173" t="s">
        <v>1720</v>
      </c>
      <c r="H3376" s="173" t="s">
        <v>1721</v>
      </c>
      <c r="I3376" s="173" t="s">
        <v>1722</v>
      </c>
      <c r="J3376" s="173" t="s">
        <v>1723</v>
      </c>
      <c r="K3376" s="173" t="s">
        <v>1724</v>
      </c>
      <c r="L3376" s="173" t="s">
        <v>1804</v>
      </c>
      <c r="M3376" s="173" t="s">
        <v>1726</v>
      </c>
      <c r="N3376" s="173" t="s">
        <v>1809</v>
      </c>
      <c r="O3376" s="173" t="s">
        <v>1728</v>
      </c>
      <c r="P3376" s="224"/>
      <c r="Q3376" s="224"/>
    </row>
    <row r="3377" spans="1:17" s="225" customFormat="1" ht="10.5" x14ac:dyDescent="0.25">
      <c r="A3377" s="229"/>
      <c r="B3377" s="230"/>
      <c r="C3377" s="177"/>
      <c r="D3377" s="178"/>
      <c r="E3377" s="178"/>
      <c r="F3377" s="178"/>
      <c r="G3377" s="178"/>
      <c r="H3377" s="178"/>
      <c r="I3377" s="178"/>
      <c r="J3377" s="178"/>
      <c r="K3377" s="178"/>
      <c r="L3377" s="178"/>
      <c r="M3377" s="178"/>
      <c r="N3377" s="200"/>
      <c r="O3377" s="178"/>
      <c r="P3377" s="231"/>
      <c r="Q3377" s="224"/>
    </row>
    <row r="3378" spans="1:17" s="225" customFormat="1" ht="10.5" x14ac:dyDescent="0.25">
      <c r="A3378" s="229"/>
      <c r="B3378" s="230" t="s">
        <v>1810</v>
      </c>
      <c r="C3378" s="177"/>
      <c r="D3378" s="178"/>
      <c r="E3378" s="178"/>
      <c r="F3378" s="178"/>
      <c r="G3378" s="178"/>
      <c r="H3378" s="178"/>
      <c r="I3378" s="178"/>
      <c r="J3378" s="178"/>
      <c r="K3378" s="178"/>
      <c r="L3378" s="178"/>
      <c r="M3378" s="178"/>
      <c r="N3378" s="200"/>
      <c r="O3378" s="178">
        <f>QUANTBL!CE246</f>
        <v>0</v>
      </c>
      <c r="P3378" s="231"/>
      <c r="Q3378" s="224"/>
    </row>
    <row r="3379" spans="1:17" s="225" customFormat="1" ht="10.5" x14ac:dyDescent="0.25">
      <c r="A3379" s="229"/>
      <c r="B3379" s="230"/>
      <c r="C3379" s="177"/>
      <c r="D3379" s="178"/>
      <c r="E3379" s="178"/>
      <c r="F3379" s="178"/>
      <c r="G3379" s="178"/>
      <c r="H3379" s="178"/>
      <c r="I3379" s="178"/>
      <c r="J3379" s="178"/>
      <c r="K3379" s="178"/>
      <c r="L3379" s="178"/>
      <c r="M3379" s="178"/>
      <c r="N3379" s="200"/>
      <c r="O3379" s="178"/>
      <c r="P3379" s="231"/>
      <c r="Q3379" s="224"/>
    </row>
    <row r="3380" spans="1:17" s="225" customFormat="1" ht="10.5" x14ac:dyDescent="0.25">
      <c r="A3380" s="229"/>
      <c r="B3380" s="232" t="s">
        <v>5</v>
      </c>
      <c r="C3380" s="182" t="s">
        <v>1328</v>
      </c>
      <c r="D3380" s="182"/>
      <c r="E3380" s="182"/>
      <c r="F3380" s="182"/>
      <c r="G3380" s="182"/>
      <c r="H3380" s="182"/>
      <c r="I3380" s="182"/>
      <c r="J3380" s="182"/>
      <c r="K3380" s="178"/>
      <c r="L3380" s="182"/>
      <c r="M3380" s="182"/>
      <c r="N3380" s="177"/>
      <c r="O3380" s="177">
        <f>SUM(O3377:O3379)</f>
        <v>0</v>
      </c>
      <c r="P3380" s="233"/>
      <c r="Q3380" s="224"/>
    </row>
    <row r="3381" spans="1:17" s="228" customFormat="1" ht="63" x14ac:dyDescent="0.25">
      <c r="A3381" s="226" t="str">
        <f>ORÇAMENTO!A650</f>
        <v>6.1.2.6.3</v>
      </c>
      <c r="B3381" s="227" t="str">
        <f>VLOOKUP(A3381,ORÇAMENTO!A:K,4,0)</f>
        <v>ESCAVAÇÃO MECANIZADA DE VALA COM PROF. MAIOR QUE 1,5 M ATÉ 3,0 M (MÉDIA MONTANTE E JUSANTE/UMA COMPOSIÇÃO POR TRECHO),COM ESCAVADEIRA (1,2 M3),LARG. DE 1,5 M A 2,5 M, EM SOLO MOLE, EM LOCAIS COM ALTO NÍVEL DE INTERFERÊNCIA. AF_09/2024</v>
      </c>
      <c r="C3381" s="173" t="str">
        <f>VLOOKUP(A3381,ORÇAMENTO!A:K,5,0)</f>
        <v>M³</v>
      </c>
      <c r="D3381" s="173">
        <f>ROUND(SUM(E3385:O3385),2)</f>
        <v>1.46</v>
      </c>
      <c r="E3381" s="173" t="s">
        <v>1718</v>
      </c>
      <c r="F3381" s="173" t="s">
        <v>1719</v>
      </c>
      <c r="G3381" s="173" t="s">
        <v>1720</v>
      </c>
      <c r="H3381" s="173" t="s">
        <v>1721</v>
      </c>
      <c r="I3381" s="173" t="s">
        <v>1722</v>
      </c>
      <c r="J3381" s="173" t="s">
        <v>1723</v>
      </c>
      <c r="K3381" s="173" t="s">
        <v>1724</v>
      </c>
      <c r="L3381" s="173" t="s">
        <v>1804</v>
      </c>
      <c r="M3381" s="173" t="s">
        <v>1726</v>
      </c>
      <c r="N3381" s="173" t="s">
        <v>1809</v>
      </c>
      <c r="O3381" s="173" t="s">
        <v>1728</v>
      </c>
      <c r="P3381" s="224"/>
      <c r="Q3381" s="224"/>
    </row>
    <row r="3382" spans="1:17" s="225" customFormat="1" ht="10.5" x14ac:dyDescent="0.25">
      <c r="A3382" s="229"/>
      <c r="B3382" s="230"/>
      <c r="C3382" s="177"/>
      <c r="D3382" s="178"/>
      <c r="E3382" s="178"/>
      <c r="F3382" s="178"/>
      <c r="G3382" s="178"/>
      <c r="H3382" s="178"/>
      <c r="I3382" s="178"/>
      <c r="J3382" s="178"/>
      <c r="K3382" s="178"/>
      <c r="L3382" s="178"/>
      <c r="M3382" s="178"/>
      <c r="N3382" s="200"/>
      <c r="O3382" s="178"/>
      <c r="P3382" s="231"/>
      <c r="Q3382" s="224"/>
    </row>
    <row r="3383" spans="1:17" s="225" customFormat="1" ht="10.5" x14ac:dyDescent="0.25">
      <c r="A3383" s="229"/>
      <c r="B3383" s="230" t="s">
        <v>1810</v>
      </c>
      <c r="C3383" s="177"/>
      <c r="D3383" s="178"/>
      <c r="E3383" s="178"/>
      <c r="F3383" s="178"/>
      <c r="G3383" s="178"/>
      <c r="H3383" s="178"/>
      <c r="I3383" s="178"/>
      <c r="J3383" s="178"/>
      <c r="K3383" s="178"/>
      <c r="L3383" s="178"/>
      <c r="M3383" s="178"/>
      <c r="N3383" s="200"/>
      <c r="O3383" s="178">
        <f>QUANTBL!CF246</f>
        <v>1.4649599999999998</v>
      </c>
      <c r="P3383" s="231"/>
      <c r="Q3383" s="224"/>
    </row>
    <row r="3384" spans="1:17" s="225" customFormat="1" ht="10.5" x14ac:dyDescent="0.25">
      <c r="A3384" s="229"/>
      <c r="B3384" s="230"/>
      <c r="C3384" s="177"/>
      <c r="D3384" s="178"/>
      <c r="E3384" s="178"/>
      <c r="F3384" s="178"/>
      <c r="G3384" s="178"/>
      <c r="H3384" s="178"/>
      <c r="I3384" s="178"/>
      <c r="J3384" s="178"/>
      <c r="K3384" s="178"/>
      <c r="L3384" s="178"/>
      <c r="M3384" s="178"/>
      <c r="N3384" s="200"/>
      <c r="O3384" s="178"/>
      <c r="P3384" s="231"/>
      <c r="Q3384" s="224"/>
    </row>
    <row r="3385" spans="1:17" s="225" customFormat="1" ht="10.5" x14ac:dyDescent="0.25">
      <c r="A3385" s="229"/>
      <c r="B3385" s="232" t="s">
        <v>5</v>
      </c>
      <c r="C3385" s="182" t="s">
        <v>1328</v>
      </c>
      <c r="D3385" s="182"/>
      <c r="E3385" s="182"/>
      <c r="F3385" s="182"/>
      <c r="G3385" s="182"/>
      <c r="H3385" s="182"/>
      <c r="I3385" s="182"/>
      <c r="J3385" s="182"/>
      <c r="K3385" s="178"/>
      <c r="L3385" s="182"/>
      <c r="M3385" s="182"/>
      <c r="N3385" s="177"/>
      <c r="O3385" s="177">
        <f>SUM(O3382:O3384)</f>
        <v>1.4649599999999998</v>
      </c>
      <c r="P3385" s="233"/>
      <c r="Q3385" s="224"/>
    </row>
    <row r="3386" spans="1:17" s="228" customFormat="1" ht="63" x14ac:dyDescent="0.25">
      <c r="A3386" s="226" t="str">
        <f>ORÇAMENTO!A651</f>
        <v>6.1.2.6.4</v>
      </c>
      <c r="B3386" s="227" t="str">
        <f>VLOOKUP(A3386,ORÇAMENTO!A:K,4,0)</f>
        <v>ESCAVAÇÃO MECANIZADA DE VALA COM PROF. ATÉ 1,5 M (MÉDIA MONTANTE E JUSANTE/UMA COMPOSIÇÃO POR TRECHO), ESCAVADEIRA (0,8 M3), LARG. MENOR QUE 1,5 M, EM SOLO DE 1A CATEGORIA, EM LOCAIS COM ALTO NÍVEL DE INTERFERÊNCIA. AF_09/2024</v>
      </c>
      <c r="C3386" s="173" t="str">
        <f>VLOOKUP(A3386,ORÇAMENTO!A:K,5,0)</f>
        <v>M³</v>
      </c>
      <c r="D3386" s="173">
        <f>ROUND(SUM(E3391:O3391),2)</f>
        <v>281.58999999999997</v>
      </c>
      <c r="E3386" s="173" t="s">
        <v>1718</v>
      </c>
      <c r="F3386" s="173" t="s">
        <v>1719</v>
      </c>
      <c r="G3386" s="173" t="s">
        <v>1720</v>
      </c>
      <c r="H3386" s="173" t="s">
        <v>1721</v>
      </c>
      <c r="I3386" s="173" t="s">
        <v>1722</v>
      </c>
      <c r="J3386" s="173" t="s">
        <v>1723</v>
      </c>
      <c r="K3386" s="173" t="s">
        <v>1724</v>
      </c>
      <c r="L3386" s="173" t="s">
        <v>1804</v>
      </c>
      <c r="M3386" s="173" t="s">
        <v>1726</v>
      </c>
      <c r="N3386" s="173" t="s">
        <v>1805</v>
      </c>
      <c r="O3386" s="173" t="s">
        <v>1728</v>
      </c>
      <c r="P3386" s="224"/>
      <c r="Q3386" s="224"/>
    </row>
    <row r="3387" spans="1:17" s="225" customFormat="1" ht="10.5" x14ac:dyDescent="0.25">
      <c r="A3387" s="229"/>
      <c r="B3387" s="230"/>
      <c r="C3387" s="177"/>
      <c r="D3387" s="178"/>
      <c r="E3387" s="178"/>
      <c r="F3387" s="178"/>
      <c r="G3387" s="178"/>
      <c r="H3387" s="178"/>
      <c r="I3387" s="178"/>
      <c r="J3387" s="178"/>
      <c r="K3387" s="178"/>
      <c r="L3387" s="178"/>
      <c r="M3387" s="178"/>
      <c r="N3387" s="200"/>
      <c r="O3387" s="178"/>
      <c r="P3387" s="231"/>
      <c r="Q3387" s="224"/>
    </row>
    <row r="3388" spans="1:17" s="225" customFormat="1" ht="21" x14ac:dyDescent="0.25">
      <c r="A3388" s="229"/>
      <c r="B3388" s="230" t="s">
        <v>1808</v>
      </c>
      <c r="C3388" s="177"/>
      <c r="D3388" s="178"/>
      <c r="E3388" s="178"/>
      <c r="F3388" s="178"/>
      <c r="G3388" s="178"/>
      <c r="H3388" s="178"/>
      <c r="I3388" s="178"/>
      <c r="J3388" s="178"/>
      <c r="K3388" s="178"/>
      <c r="L3388" s="178"/>
      <c r="M3388" s="178"/>
      <c r="N3388" s="200"/>
      <c r="O3388" s="178">
        <f>QUANTBL!AF246</f>
        <v>281.58929999999958</v>
      </c>
      <c r="P3388" s="231"/>
      <c r="Q3388" s="224"/>
    </row>
    <row r="3389" spans="1:17" s="225" customFormat="1" ht="10.5" x14ac:dyDescent="0.25">
      <c r="A3389" s="229"/>
      <c r="B3389" s="230" t="s">
        <v>1810</v>
      </c>
      <c r="C3389" s="177"/>
      <c r="D3389" s="178"/>
      <c r="E3389" s="178"/>
      <c r="F3389" s="178"/>
      <c r="G3389" s="178"/>
      <c r="H3389" s="178"/>
      <c r="I3389" s="178"/>
      <c r="J3389" s="178"/>
      <c r="K3389" s="178"/>
      <c r="L3389" s="178"/>
      <c r="M3389" s="178"/>
      <c r="N3389" s="200"/>
      <c r="O3389" s="178"/>
      <c r="P3389" s="231"/>
      <c r="Q3389" s="224"/>
    </row>
    <row r="3390" spans="1:17" s="225" customFormat="1" ht="10.5" x14ac:dyDescent="0.25">
      <c r="A3390" s="229"/>
      <c r="B3390" s="230"/>
      <c r="C3390" s="177"/>
      <c r="D3390" s="178"/>
      <c r="E3390" s="178"/>
      <c r="F3390" s="178"/>
      <c r="G3390" s="178"/>
      <c r="H3390" s="178"/>
      <c r="I3390" s="178"/>
      <c r="J3390" s="178"/>
      <c r="K3390" s="178"/>
      <c r="L3390" s="178"/>
      <c r="M3390" s="178"/>
      <c r="N3390" s="200"/>
      <c r="O3390" s="178"/>
      <c r="P3390" s="231"/>
      <c r="Q3390" s="224"/>
    </row>
    <row r="3391" spans="1:17" s="225" customFormat="1" ht="10.5" x14ac:dyDescent="0.25">
      <c r="A3391" s="229"/>
      <c r="B3391" s="232" t="s">
        <v>5</v>
      </c>
      <c r="C3391" s="182" t="s">
        <v>1328</v>
      </c>
      <c r="D3391" s="182"/>
      <c r="E3391" s="182"/>
      <c r="F3391" s="182"/>
      <c r="G3391" s="182"/>
      <c r="H3391" s="182"/>
      <c r="I3391" s="182"/>
      <c r="J3391" s="182"/>
      <c r="K3391" s="178"/>
      <c r="L3391" s="182"/>
      <c r="M3391" s="182"/>
      <c r="N3391" s="177"/>
      <c r="O3391" s="177">
        <f>SUM(O3387:O3388)</f>
        <v>281.58929999999958</v>
      </c>
      <c r="P3391" s="233"/>
      <c r="Q3391" s="224"/>
    </row>
    <row r="3392" spans="1:17" s="228" customFormat="1" ht="63" x14ac:dyDescent="0.25">
      <c r="A3392" s="226" t="str">
        <f>ORÇAMENTO!A652</f>
        <v>6.1.2.6.5</v>
      </c>
      <c r="B3392" s="227" t="str">
        <f>VLOOKUP(A3392,ORÇAMENTO!A:K,4,0)</f>
        <v>ESCAVAÇÃO MECANIZADA DE VALA COM PROF. MAIOR QUE 1,5 M ATÉ 3,0 M (MÉDIA MONTANTE E JUSANTE/UMA COMPOSIÇÃO POR TRECHO), ESCAVADEIRA (0,8 M3), LARGURA ATÉ 1,5 M, EM SOLO DE 1A CATEGORIA, EM LOCAIS COM ALTO NÍVEL DE INTERFERÊNCIA. AF_09/2024</v>
      </c>
      <c r="C3392" s="173" t="str">
        <f>VLOOKUP(A3392,ORÇAMENTO!A:K,5,0)</f>
        <v>M³</v>
      </c>
      <c r="D3392" s="173">
        <f>ROUND(SUM(E3397:O3397),2)</f>
        <v>139.35</v>
      </c>
      <c r="E3392" s="173" t="s">
        <v>1718</v>
      </c>
      <c r="F3392" s="173" t="s">
        <v>1719</v>
      </c>
      <c r="G3392" s="173" t="s">
        <v>1720</v>
      </c>
      <c r="H3392" s="173" t="s">
        <v>1721</v>
      </c>
      <c r="I3392" s="173" t="s">
        <v>1722</v>
      </c>
      <c r="J3392" s="173" t="s">
        <v>1723</v>
      </c>
      <c r="K3392" s="173" t="s">
        <v>1724</v>
      </c>
      <c r="L3392" s="173" t="s">
        <v>1804</v>
      </c>
      <c r="M3392" s="173" t="s">
        <v>1726</v>
      </c>
      <c r="N3392" s="173" t="s">
        <v>1805</v>
      </c>
      <c r="O3392" s="173" t="s">
        <v>1728</v>
      </c>
      <c r="P3392" s="224"/>
      <c r="Q3392" s="224"/>
    </row>
    <row r="3393" spans="1:17" s="225" customFormat="1" ht="10.5" x14ac:dyDescent="0.25">
      <c r="A3393" s="229"/>
      <c r="B3393" s="230"/>
      <c r="C3393" s="177"/>
      <c r="D3393" s="178"/>
      <c r="E3393" s="178"/>
      <c r="F3393" s="178"/>
      <c r="G3393" s="178"/>
      <c r="H3393" s="178"/>
      <c r="I3393" s="178"/>
      <c r="J3393" s="178"/>
      <c r="K3393" s="178"/>
      <c r="L3393" s="178"/>
      <c r="M3393" s="178"/>
      <c r="N3393" s="200"/>
      <c r="O3393" s="178"/>
      <c r="P3393" s="231"/>
      <c r="Q3393" s="224"/>
    </row>
    <row r="3394" spans="1:17" s="225" customFormat="1" ht="21" x14ac:dyDescent="0.25">
      <c r="A3394" s="229"/>
      <c r="B3394" s="230" t="s">
        <v>1808</v>
      </c>
      <c r="C3394" s="177"/>
      <c r="D3394" s="178"/>
      <c r="E3394" s="178"/>
      <c r="F3394" s="178"/>
      <c r="G3394" s="178"/>
      <c r="H3394" s="178"/>
      <c r="I3394" s="178"/>
      <c r="J3394" s="178"/>
      <c r="K3394" s="178"/>
      <c r="L3394" s="178"/>
      <c r="M3394" s="178"/>
      <c r="N3394" s="200"/>
      <c r="O3394" s="178">
        <f>QUANTBL!AG246</f>
        <v>139.34683749999999</v>
      </c>
      <c r="P3394" s="231"/>
      <c r="Q3394" s="224"/>
    </row>
    <row r="3395" spans="1:17" s="225" customFormat="1" ht="10.5" x14ac:dyDescent="0.25">
      <c r="A3395" s="229"/>
      <c r="B3395" s="230"/>
      <c r="C3395" s="177"/>
      <c r="D3395" s="178"/>
      <c r="E3395" s="178"/>
      <c r="F3395" s="178"/>
      <c r="G3395" s="178"/>
      <c r="H3395" s="178"/>
      <c r="I3395" s="178"/>
      <c r="J3395" s="178"/>
      <c r="K3395" s="178"/>
      <c r="L3395" s="178"/>
      <c r="M3395" s="178"/>
      <c r="N3395" s="200"/>
      <c r="O3395" s="178"/>
      <c r="P3395" s="231"/>
      <c r="Q3395" s="224"/>
    </row>
    <row r="3396" spans="1:17" s="225" customFormat="1" ht="10.5" x14ac:dyDescent="0.25">
      <c r="A3396" s="229"/>
      <c r="B3396" s="230"/>
      <c r="C3396" s="177"/>
      <c r="D3396" s="178"/>
      <c r="E3396" s="178"/>
      <c r="F3396" s="178"/>
      <c r="G3396" s="178"/>
      <c r="H3396" s="178"/>
      <c r="I3396" s="178"/>
      <c r="J3396" s="178"/>
      <c r="K3396" s="178"/>
      <c r="L3396" s="178"/>
      <c r="M3396" s="178"/>
      <c r="N3396" s="200"/>
      <c r="O3396" s="178"/>
      <c r="P3396" s="231"/>
      <c r="Q3396" s="224"/>
    </row>
    <row r="3397" spans="1:17" s="225" customFormat="1" ht="10.5" x14ac:dyDescent="0.25">
      <c r="A3397" s="229"/>
      <c r="B3397" s="232" t="s">
        <v>5</v>
      </c>
      <c r="C3397" s="182" t="s">
        <v>1328</v>
      </c>
      <c r="D3397" s="182"/>
      <c r="E3397" s="182"/>
      <c r="F3397" s="182"/>
      <c r="G3397" s="182"/>
      <c r="H3397" s="182"/>
      <c r="I3397" s="182"/>
      <c r="J3397" s="182"/>
      <c r="K3397" s="178"/>
      <c r="L3397" s="182"/>
      <c r="M3397" s="182"/>
      <c r="N3397" s="177"/>
      <c r="O3397" s="177">
        <f>SUM(O3393:O3394)</f>
        <v>139.34683749999999</v>
      </c>
      <c r="P3397" s="233"/>
      <c r="Q3397" s="224"/>
    </row>
    <row r="3398" spans="1:17" s="228" customFormat="1" ht="63" x14ac:dyDescent="0.25">
      <c r="A3398" s="226" t="str">
        <f>ORÇAMENTO!A653</f>
        <v>6.1.2.6.6</v>
      </c>
      <c r="B3398" s="227" t="str">
        <f>VLOOKUP(A3398,ORÇAMENTO!A:K,4,0)</f>
        <v>ESCAVAÇÃO MECANIZADA DE VALA COM PROF. MAIOR QUE 3,0 M ATÉ 4,5 M(MÉDIA MONTANTE E JUSANTE/UMA COMPOSIÇÃO POR TRECHO), ESCAVADEIRA (0,8 M3), LARG. MENOR QUE 1,5 M, EM SOLO DE 1A CATEGORIA, EM LOCAIS COM ALTO NÍVEL DE INTERFERÊNCIA. AF_09/2024</v>
      </c>
      <c r="C3398" s="173" t="str">
        <f>VLOOKUP(A3398,ORÇAMENTO!A:K,5,0)</f>
        <v>M³</v>
      </c>
      <c r="D3398" s="173">
        <f>ROUND(SUM(E3403:O3403),2)</f>
        <v>0.1</v>
      </c>
      <c r="E3398" s="173" t="s">
        <v>1718</v>
      </c>
      <c r="F3398" s="173" t="s">
        <v>1719</v>
      </c>
      <c r="G3398" s="173" t="s">
        <v>1720</v>
      </c>
      <c r="H3398" s="173" t="s">
        <v>1721</v>
      </c>
      <c r="I3398" s="173" t="s">
        <v>1722</v>
      </c>
      <c r="J3398" s="173" t="s">
        <v>1723</v>
      </c>
      <c r="K3398" s="173" t="s">
        <v>1724</v>
      </c>
      <c r="L3398" s="173" t="s">
        <v>1804</v>
      </c>
      <c r="M3398" s="173" t="s">
        <v>1726</v>
      </c>
      <c r="N3398" s="173" t="s">
        <v>1805</v>
      </c>
      <c r="O3398" s="173" t="s">
        <v>1728</v>
      </c>
      <c r="P3398" s="224"/>
      <c r="Q3398" s="224"/>
    </row>
    <row r="3399" spans="1:17" s="225" customFormat="1" ht="10.5" x14ac:dyDescent="0.25">
      <c r="A3399" s="229"/>
      <c r="B3399" s="230"/>
      <c r="C3399" s="177"/>
      <c r="D3399" s="178"/>
      <c r="E3399" s="178"/>
      <c r="F3399" s="178"/>
      <c r="G3399" s="178"/>
      <c r="H3399" s="178"/>
      <c r="I3399" s="178"/>
      <c r="J3399" s="178"/>
      <c r="K3399" s="178"/>
      <c r="L3399" s="178"/>
      <c r="M3399" s="178"/>
      <c r="N3399" s="200"/>
      <c r="O3399" s="178"/>
      <c r="P3399" s="231"/>
      <c r="Q3399" s="224"/>
    </row>
    <row r="3400" spans="1:17" s="225" customFormat="1" ht="21" x14ac:dyDescent="0.25">
      <c r="A3400" s="229"/>
      <c r="B3400" s="230" t="s">
        <v>1808</v>
      </c>
      <c r="C3400" s="177"/>
      <c r="D3400" s="178"/>
      <c r="E3400" s="178"/>
      <c r="F3400" s="178"/>
      <c r="G3400" s="178"/>
      <c r="H3400" s="178"/>
      <c r="I3400" s="178"/>
      <c r="J3400" s="178"/>
      <c r="K3400" s="178"/>
      <c r="L3400" s="178"/>
      <c r="M3400" s="178"/>
      <c r="N3400" s="200"/>
      <c r="O3400" s="178">
        <f>QUANTBL!AH246</f>
        <v>0.10104999999999784</v>
      </c>
      <c r="P3400" s="231"/>
      <c r="Q3400" s="224"/>
    </row>
    <row r="3401" spans="1:17" s="225" customFormat="1" ht="10.5" x14ac:dyDescent="0.25">
      <c r="A3401" s="229"/>
      <c r="B3401" s="230"/>
      <c r="C3401" s="177"/>
      <c r="D3401" s="178"/>
      <c r="E3401" s="178"/>
      <c r="F3401" s="178"/>
      <c r="G3401" s="178"/>
      <c r="H3401" s="178"/>
      <c r="I3401" s="178"/>
      <c r="J3401" s="178"/>
      <c r="K3401" s="178"/>
      <c r="L3401" s="178"/>
      <c r="M3401" s="178"/>
      <c r="N3401" s="200"/>
      <c r="O3401" s="178"/>
      <c r="P3401" s="231"/>
      <c r="Q3401" s="224"/>
    </row>
    <row r="3402" spans="1:17" s="225" customFormat="1" ht="10.5" x14ac:dyDescent="0.25">
      <c r="A3402" s="229"/>
      <c r="B3402" s="230"/>
      <c r="C3402" s="177"/>
      <c r="D3402" s="178"/>
      <c r="E3402" s="178"/>
      <c r="F3402" s="178"/>
      <c r="G3402" s="178"/>
      <c r="H3402" s="178"/>
      <c r="I3402" s="178"/>
      <c r="J3402" s="178"/>
      <c r="K3402" s="178"/>
      <c r="L3402" s="178"/>
      <c r="M3402" s="178"/>
      <c r="N3402" s="200"/>
      <c r="O3402" s="178"/>
      <c r="P3402" s="231"/>
      <c r="Q3402" s="224"/>
    </row>
    <row r="3403" spans="1:17" s="225" customFormat="1" ht="10.5" x14ac:dyDescent="0.25">
      <c r="A3403" s="229"/>
      <c r="B3403" s="232" t="s">
        <v>5</v>
      </c>
      <c r="C3403" s="182" t="s">
        <v>1328</v>
      </c>
      <c r="D3403" s="182"/>
      <c r="E3403" s="182"/>
      <c r="F3403" s="182"/>
      <c r="G3403" s="182"/>
      <c r="H3403" s="182"/>
      <c r="I3403" s="182"/>
      <c r="J3403" s="182"/>
      <c r="K3403" s="178"/>
      <c r="L3403" s="182"/>
      <c r="M3403" s="182"/>
      <c r="N3403" s="177"/>
      <c r="O3403" s="177">
        <f>SUM(O3399:O3400)</f>
        <v>0.10104999999999784</v>
      </c>
      <c r="P3403" s="233"/>
      <c r="Q3403" s="224"/>
    </row>
    <row r="3404" spans="1:17" s="228" customFormat="1" ht="63" x14ac:dyDescent="0.25">
      <c r="A3404" s="226" t="str">
        <f>ORÇAMENTO!A654</f>
        <v>6.1.2.6.7</v>
      </c>
      <c r="B3404" s="227" t="str">
        <f>VLOOKUP(A3404,ORÇAMENTO!A:K,4,0)</f>
        <v>ESCAVAÇÃO MECANIZADA DE VALA COM PROF. ATÉ 1,5 M (MÉDIA MONTANTE E JUSANTE/UMA COMPOSIÇÃO POR TRECHO), ESCAVADEIRA (0,8 M3), LARG. DE 1,5 M A 2,5 M, EM SOLO DE 1A CATEGORIA, EM LOCAIS COM ALTO NÍVEL DE INTERFERÊNCIA. AF_09/2024</v>
      </c>
      <c r="C3404" s="173" t="str">
        <f>VLOOKUP(A3404,ORÇAMENTO!A:K,5,0)</f>
        <v>M³</v>
      </c>
      <c r="D3404" s="173">
        <f>ROUND(SUM(E3408:O3408),2)</f>
        <v>362.94</v>
      </c>
      <c r="E3404" s="173" t="s">
        <v>1718</v>
      </c>
      <c r="F3404" s="173" t="s">
        <v>1719</v>
      </c>
      <c r="G3404" s="173" t="s">
        <v>1720</v>
      </c>
      <c r="H3404" s="173" t="s">
        <v>1721</v>
      </c>
      <c r="I3404" s="173" t="s">
        <v>1722</v>
      </c>
      <c r="J3404" s="173" t="s">
        <v>1723</v>
      </c>
      <c r="K3404" s="173" t="s">
        <v>1724</v>
      </c>
      <c r="L3404" s="173" t="s">
        <v>1804</v>
      </c>
      <c r="M3404" s="173" t="s">
        <v>1726</v>
      </c>
      <c r="N3404" s="173" t="s">
        <v>1805</v>
      </c>
      <c r="O3404" s="173" t="s">
        <v>1728</v>
      </c>
      <c r="P3404" s="224"/>
      <c r="Q3404" s="224"/>
    </row>
    <row r="3405" spans="1:17" s="225" customFormat="1" ht="10.5" x14ac:dyDescent="0.25">
      <c r="A3405" s="229"/>
      <c r="B3405" s="230"/>
      <c r="C3405" s="177"/>
      <c r="D3405" s="178"/>
      <c r="E3405" s="178"/>
      <c r="F3405" s="178"/>
      <c r="G3405" s="178"/>
      <c r="H3405" s="178"/>
      <c r="I3405" s="178"/>
      <c r="J3405" s="178"/>
      <c r="K3405" s="178"/>
      <c r="L3405" s="178"/>
      <c r="M3405" s="178"/>
      <c r="N3405" s="200"/>
      <c r="O3405" s="178"/>
      <c r="P3405" s="231"/>
      <c r="Q3405" s="224"/>
    </row>
    <row r="3406" spans="1:17" s="225" customFormat="1" ht="10.5" x14ac:dyDescent="0.25">
      <c r="A3406" s="229"/>
      <c r="B3406" s="230" t="s">
        <v>1810</v>
      </c>
      <c r="C3406" s="177"/>
      <c r="D3406" s="178"/>
      <c r="E3406" s="178"/>
      <c r="F3406" s="178"/>
      <c r="G3406" s="178"/>
      <c r="H3406" s="178"/>
      <c r="I3406" s="178"/>
      <c r="J3406" s="178"/>
      <c r="K3406" s="178"/>
      <c r="L3406" s="178"/>
      <c r="M3406" s="178"/>
      <c r="N3406" s="200"/>
      <c r="O3406" s="178">
        <f>QUANTBL!CC246</f>
        <v>362.94219191999974</v>
      </c>
      <c r="P3406" s="231"/>
      <c r="Q3406" s="224"/>
    </row>
    <row r="3407" spans="1:17" s="225" customFormat="1" ht="10.5" x14ac:dyDescent="0.25">
      <c r="A3407" s="229"/>
      <c r="B3407" s="230"/>
      <c r="C3407" s="177"/>
      <c r="D3407" s="178"/>
      <c r="E3407" s="178"/>
      <c r="F3407" s="178"/>
      <c r="G3407" s="178"/>
      <c r="H3407" s="178"/>
      <c r="I3407" s="178"/>
      <c r="J3407" s="178"/>
      <c r="K3407" s="178"/>
      <c r="L3407" s="178"/>
      <c r="M3407" s="178"/>
      <c r="N3407" s="200"/>
      <c r="O3407" s="178"/>
      <c r="P3407" s="231"/>
      <c r="Q3407" s="224"/>
    </row>
    <row r="3408" spans="1:17" s="225" customFormat="1" ht="10.5" x14ac:dyDescent="0.25">
      <c r="A3408" s="229"/>
      <c r="B3408" s="232" t="s">
        <v>5</v>
      </c>
      <c r="C3408" s="182" t="s">
        <v>1328</v>
      </c>
      <c r="D3408" s="182"/>
      <c r="E3408" s="182"/>
      <c r="F3408" s="182"/>
      <c r="G3408" s="182"/>
      <c r="H3408" s="182"/>
      <c r="I3408" s="182"/>
      <c r="J3408" s="182"/>
      <c r="K3408" s="178"/>
      <c r="L3408" s="182"/>
      <c r="M3408" s="182"/>
      <c r="N3408" s="177"/>
      <c r="O3408" s="177">
        <f>SUM(O3406:O3407)</f>
        <v>362.94219191999974</v>
      </c>
      <c r="P3408" s="233"/>
      <c r="Q3408" s="224"/>
    </row>
    <row r="3409" spans="1:17" s="228" customFormat="1" ht="63" x14ac:dyDescent="0.25">
      <c r="A3409" s="226" t="str">
        <f>ORÇAMENTO!A655</f>
        <v>6.1.2.6.8</v>
      </c>
      <c r="B3409" s="227" t="str">
        <f>VLOOKUP(A3409,ORÇAMENTO!A:K,4,0)</f>
        <v>ESCAVAÇÃO MECANIZADA DE VALA COM PROF. MAIOR QUE 1,50 M ATÉ 3,0 M (MÉDIA MONTANTE E JUSANTE/UMA COMPOSIÇÃO POR TRECHO), ESCAVADEIRA (1,2 M3), LARG. DE 1,5 M A 2,5 M, EM SOLO DE 1A CATEGORIA, EM LOCAIS COM ALTO NÍVEL DE INTERFERÊNCIA. AF_09/2024</v>
      </c>
      <c r="C3409" s="173" t="str">
        <f>VLOOKUP(A3409,ORÇAMENTO!A:K,5,0)</f>
        <v>M³</v>
      </c>
      <c r="D3409" s="173">
        <f>ROUND(SUM(E3413:O3413),2)</f>
        <v>109.39</v>
      </c>
      <c r="E3409" s="173" t="s">
        <v>1718</v>
      </c>
      <c r="F3409" s="173" t="s">
        <v>1719</v>
      </c>
      <c r="G3409" s="173" t="s">
        <v>1720</v>
      </c>
      <c r="H3409" s="173" t="s">
        <v>1721</v>
      </c>
      <c r="I3409" s="173" t="s">
        <v>1722</v>
      </c>
      <c r="J3409" s="173" t="s">
        <v>1723</v>
      </c>
      <c r="K3409" s="173" t="s">
        <v>1724</v>
      </c>
      <c r="L3409" s="173" t="s">
        <v>1804</v>
      </c>
      <c r="M3409" s="173" t="s">
        <v>1726</v>
      </c>
      <c r="N3409" s="173" t="s">
        <v>1809</v>
      </c>
      <c r="O3409" s="173" t="s">
        <v>1728</v>
      </c>
      <c r="P3409" s="224"/>
      <c r="Q3409" s="224"/>
    </row>
    <row r="3410" spans="1:17" s="225" customFormat="1" ht="10.5" x14ac:dyDescent="0.25">
      <c r="A3410" s="229"/>
      <c r="B3410" s="230"/>
      <c r="C3410" s="177"/>
      <c r="D3410" s="178"/>
      <c r="E3410" s="178"/>
      <c r="F3410" s="178"/>
      <c r="G3410" s="178"/>
      <c r="H3410" s="178"/>
      <c r="I3410" s="178"/>
      <c r="J3410" s="178"/>
      <c r="K3410" s="178"/>
      <c r="L3410" s="178"/>
      <c r="M3410" s="178"/>
      <c r="N3410" s="200"/>
      <c r="O3410" s="178"/>
      <c r="P3410" s="231"/>
      <c r="Q3410" s="224"/>
    </row>
    <row r="3411" spans="1:17" s="225" customFormat="1" ht="10.5" x14ac:dyDescent="0.25">
      <c r="A3411" s="229"/>
      <c r="B3411" s="230" t="s">
        <v>1810</v>
      </c>
      <c r="C3411" s="177"/>
      <c r="D3411" s="178"/>
      <c r="E3411" s="178"/>
      <c r="F3411" s="178"/>
      <c r="G3411" s="178"/>
      <c r="H3411" s="178"/>
      <c r="I3411" s="178"/>
      <c r="J3411" s="178"/>
      <c r="K3411" s="178"/>
      <c r="L3411" s="178"/>
      <c r="M3411" s="178"/>
      <c r="N3411" s="200"/>
      <c r="O3411" s="178">
        <f>QUANTBL!CD246</f>
        <v>109.38587743999953</v>
      </c>
      <c r="P3411" s="231"/>
      <c r="Q3411" s="224"/>
    </row>
    <row r="3412" spans="1:17" s="225" customFormat="1" ht="10.5" x14ac:dyDescent="0.25">
      <c r="A3412" s="229"/>
      <c r="B3412" s="230"/>
      <c r="C3412" s="177"/>
      <c r="D3412" s="178"/>
      <c r="E3412" s="178"/>
      <c r="F3412" s="178"/>
      <c r="G3412" s="178"/>
      <c r="H3412" s="178"/>
      <c r="I3412" s="178"/>
      <c r="J3412" s="178"/>
      <c r="K3412" s="178"/>
      <c r="L3412" s="178"/>
      <c r="M3412" s="178"/>
      <c r="N3412" s="200"/>
      <c r="O3412" s="178"/>
      <c r="P3412" s="231"/>
      <c r="Q3412" s="224"/>
    </row>
    <row r="3413" spans="1:17" s="225" customFormat="1" ht="10.5" x14ac:dyDescent="0.25">
      <c r="A3413" s="229"/>
      <c r="B3413" s="232" t="s">
        <v>5</v>
      </c>
      <c r="C3413" s="182" t="s">
        <v>1328</v>
      </c>
      <c r="D3413" s="182"/>
      <c r="E3413" s="182"/>
      <c r="F3413" s="182"/>
      <c r="G3413" s="182"/>
      <c r="H3413" s="182"/>
      <c r="I3413" s="182"/>
      <c r="J3413" s="182"/>
      <c r="K3413" s="178"/>
      <c r="L3413" s="182"/>
      <c r="M3413" s="182"/>
      <c r="N3413" s="177"/>
      <c r="O3413" s="177">
        <f>SUM(O3410:O3412)</f>
        <v>109.38587743999953</v>
      </c>
      <c r="P3413" s="233"/>
      <c r="Q3413" s="224"/>
    </row>
    <row r="3414" spans="1:17" s="228" customFormat="1" ht="31.5" x14ac:dyDescent="0.25">
      <c r="A3414" s="226" t="str">
        <f>ORÇAMENTO!A656</f>
        <v>6.1.2.6.9</v>
      </c>
      <c r="B3414" s="227" t="str">
        <f>VLOOKUP(A3414,ORÇAMENTO!A:K,4,0)</f>
        <v>ESCAVAÇÃO DE VALA EM MATERIAL DE 3ª CATEGORIA COM ESCAVADEIRA E ROMPEDOR HIDRÁULICO DE 1700KG</v>
      </c>
      <c r="C3414" s="173" t="str">
        <f>VLOOKUP(A3414,ORÇAMENTO!A:K,5,0)</f>
        <v>M³</v>
      </c>
      <c r="D3414" s="173">
        <f>ROUND(SUM(E3419:O3419),2)</f>
        <v>3.42</v>
      </c>
      <c r="E3414" s="173" t="s">
        <v>1718</v>
      </c>
      <c r="F3414" s="173" t="s">
        <v>1719</v>
      </c>
      <c r="G3414" s="173" t="s">
        <v>1720</v>
      </c>
      <c r="H3414" s="173" t="s">
        <v>1721</v>
      </c>
      <c r="I3414" s="173" t="s">
        <v>1722</v>
      </c>
      <c r="J3414" s="173" t="s">
        <v>1723</v>
      </c>
      <c r="K3414" s="173" t="s">
        <v>1724</v>
      </c>
      <c r="L3414" s="173" t="s">
        <v>1804</v>
      </c>
      <c r="M3414" s="173" t="s">
        <v>1726</v>
      </c>
      <c r="N3414" s="173" t="s">
        <v>1805</v>
      </c>
      <c r="O3414" s="173" t="s">
        <v>1728</v>
      </c>
      <c r="P3414" s="224"/>
      <c r="Q3414" s="224"/>
    </row>
    <row r="3415" spans="1:17" s="225" customFormat="1" ht="10.5" x14ac:dyDescent="0.25">
      <c r="A3415" s="229"/>
      <c r="B3415" s="230"/>
      <c r="C3415" s="177"/>
      <c r="D3415" s="178"/>
      <c r="E3415" s="178"/>
      <c r="F3415" s="178"/>
      <c r="G3415" s="178"/>
      <c r="H3415" s="178"/>
      <c r="I3415" s="178"/>
      <c r="J3415" s="178"/>
      <c r="K3415" s="178"/>
      <c r="L3415" s="178"/>
      <c r="M3415" s="178"/>
      <c r="N3415" s="200"/>
      <c r="O3415" s="178"/>
      <c r="P3415" s="231"/>
      <c r="Q3415" s="224"/>
    </row>
    <row r="3416" spans="1:17" s="225" customFormat="1" ht="21" x14ac:dyDescent="0.25">
      <c r="A3416" s="229"/>
      <c r="B3416" s="230" t="s">
        <v>1808</v>
      </c>
      <c r="C3416" s="177"/>
      <c r="D3416" s="178"/>
      <c r="E3416" s="178"/>
      <c r="F3416" s="178"/>
      <c r="G3416" s="178"/>
      <c r="H3416" s="178"/>
      <c r="I3416" s="178"/>
      <c r="J3416" s="178"/>
      <c r="K3416" s="178"/>
      <c r="L3416" s="178"/>
      <c r="M3416" s="178"/>
      <c r="N3416" s="200"/>
      <c r="O3416" s="178">
        <f>QUANTBL!AJ246</f>
        <v>3.0508720000006697</v>
      </c>
      <c r="P3416" s="231"/>
      <c r="Q3416" s="224"/>
    </row>
    <row r="3417" spans="1:17" s="225" customFormat="1" ht="10.5" x14ac:dyDescent="0.25">
      <c r="A3417" s="229"/>
      <c r="B3417" s="230" t="s">
        <v>1810</v>
      </c>
      <c r="C3417" s="177"/>
      <c r="D3417" s="178"/>
      <c r="E3417" s="178"/>
      <c r="F3417" s="178"/>
      <c r="G3417" s="178"/>
      <c r="H3417" s="178"/>
      <c r="I3417" s="178"/>
      <c r="J3417" s="178"/>
      <c r="K3417" s="178"/>
      <c r="L3417" s="178"/>
      <c r="M3417" s="178"/>
      <c r="N3417" s="200"/>
      <c r="O3417" s="178">
        <f>QUANTBL!CG246</f>
        <v>0.36623999999999945</v>
      </c>
      <c r="P3417" s="231"/>
      <c r="Q3417" s="224"/>
    </row>
    <row r="3418" spans="1:17" s="225" customFormat="1" ht="10.5" x14ac:dyDescent="0.25">
      <c r="A3418" s="229"/>
      <c r="B3418" s="230"/>
      <c r="C3418" s="177"/>
      <c r="D3418" s="178"/>
      <c r="E3418" s="178"/>
      <c r="F3418" s="178"/>
      <c r="G3418" s="178"/>
      <c r="H3418" s="178"/>
      <c r="I3418" s="178"/>
      <c r="J3418" s="178"/>
      <c r="K3418" s="178"/>
      <c r="L3418" s="178"/>
      <c r="M3418" s="178"/>
      <c r="N3418" s="200"/>
      <c r="O3418" s="178"/>
      <c r="P3418" s="231"/>
      <c r="Q3418" s="224"/>
    </row>
    <row r="3419" spans="1:17" s="225" customFormat="1" ht="10.5" x14ac:dyDescent="0.25">
      <c r="A3419" s="229"/>
      <c r="B3419" s="232" t="s">
        <v>5</v>
      </c>
      <c r="C3419" s="182" t="s">
        <v>1328</v>
      </c>
      <c r="D3419" s="182"/>
      <c r="E3419" s="182"/>
      <c r="F3419" s="182"/>
      <c r="G3419" s="182"/>
      <c r="H3419" s="182"/>
      <c r="I3419" s="182"/>
      <c r="J3419" s="182"/>
      <c r="K3419" s="178"/>
      <c r="L3419" s="182"/>
      <c r="M3419" s="182"/>
      <c r="N3419" s="177"/>
      <c r="O3419" s="177">
        <f>SUM(O3415:O3418)</f>
        <v>3.4171120000006692</v>
      </c>
      <c r="P3419" s="233"/>
      <c r="Q3419" s="224"/>
    </row>
    <row r="3420" spans="1:17" s="228" customFormat="1" ht="42" x14ac:dyDescent="0.25">
      <c r="A3420" s="226" t="str">
        <f>ORÇAMENTO!A657</f>
        <v>6.1.2.6.10</v>
      </c>
      <c r="B3420" s="227" t="str">
        <f>VLOOKUP(A3420,ORÇAMENTO!A:K,4,0)</f>
        <v>ESCORAMENTO DE VALA, TIPO BLINDAGEM, COM PROFUNDIDADE DE 0 A 1,5 M, LARGURA MENOR QUE 1,5 M - EXECUÇÃO E FORNECIMENTO, INCLUI MATERIAL (ESCAVAÇÃO EXTERNA AO BLINDADO)</v>
      </c>
      <c r="C3420" s="173" t="str">
        <f>VLOOKUP(A3420,ORÇAMENTO!A:K,5,0)</f>
        <v>M²</v>
      </c>
      <c r="D3420" s="173">
        <f>ROUND(SUM(E3424:O3424),2)</f>
        <v>663.56</v>
      </c>
      <c r="E3420" s="173" t="s">
        <v>1718</v>
      </c>
      <c r="F3420" s="173" t="s">
        <v>1719</v>
      </c>
      <c r="G3420" s="173" t="s">
        <v>1720</v>
      </c>
      <c r="H3420" s="173" t="s">
        <v>1721</v>
      </c>
      <c r="I3420" s="173" t="s">
        <v>1722</v>
      </c>
      <c r="J3420" s="173" t="s">
        <v>1723</v>
      </c>
      <c r="K3420" s="173" t="s">
        <v>1724</v>
      </c>
      <c r="L3420" s="173" t="s">
        <v>1804</v>
      </c>
      <c r="M3420" s="173" t="s">
        <v>1726</v>
      </c>
      <c r="N3420" s="173" t="s">
        <v>1811</v>
      </c>
      <c r="O3420" s="173" t="s">
        <v>1728</v>
      </c>
      <c r="P3420" s="224"/>
      <c r="Q3420" s="224"/>
    </row>
    <row r="3421" spans="1:17" s="225" customFormat="1" ht="10.5" x14ac:dyDescent="0.25">
      <c r="A3421" s="229"/>
      <c r="B3421" s="230"/>
      <c r="C3421" s="177"/>
      <c r="D3421" s="178"/>
      <c r="E3421" s="178"/>
      <c r="F3421" s="178"/>
      <c r="G3421" s="178"/>
      <c r="H3421" s="178"/>
      <c r="I3421" s="178"/>
      <c r="J3421" s="178"/>
      <c r="K3421" s="178"/>
      <c r="L3421" s="178"/>
      <c r="M3421" s="178"/>
      <c r="N3421" s="200"/>
      <c r="O3421" s="178"/>
      <c r="P3421" s="231"/>
      <c r="Q3421" s="224"/>
    </row>
    <row r="3422" spans="1:17" s="225" customFormat="1" ht="10.5" x14ac:dyDescent="0.25">
      <c r="A3422" s="229"/>
      <c r="B3422" s="230" t="s">
        <v>1812</v>
      </c>
      <c r="C3422" s="177"/>
      <c r="D3422" s="178"/>
      <c r="E3422" s="178"/>
      <c r="F3422" s="178"/>
      <c r="G3422" s="178"/>
      <c r="H3422" s="178"/>
      <c r="I3422" s="178"/>
      <c r="J3422" s="178"/>
      <c r="K3422" s="178"/>
      <c r="L3422" s="178"/>
      <c r="M3422" s="178"/>
      <c r="N3422" s="178">
        <f>QUANTBL!BQ246</f>
        <v>663.55859999999905</v>
      </c>
      <c r="O3422" s="178"/>
      <c r="P3422" s="231"/>
      <c r="Q3422" s="224"/>
    </row>
    <row r="3423" spans="1:17" s="225" customFormat="1" ht="10.5" x14ac:dyDescent="0.25">
      <c r="A3423" s="229"/>
      <c r="B3423" s="230"/>
      <c r="C3423" s="177"/>
      <c r="D3423" s="178"/>
      <c r="E3423" s="178"/>
      <c r="F3423" s="178"/>
      <c r="G3423" s="178"/>
      <c r="H3423" s="178"/>
      <c r="I3423" s="178"/>
      <c r="J3423" s="178"/>
      <c r="K3423" s="178"/>
      <c r="L3423" s="178"/>
      <c r="M3423" s="178"/>
      <c r="N3423" s="200"/>
      <c r="O3423" s="178"/>
      <c r="P3423" s="231"/>
      <c r="Q3423" s="224"/>
    </row>
    <row r="3424" spans="1:17" s="225" customFormat="1" ht="10.5" x14ac:dyDescent="0.25">
      <c r="A3424" s="229"/>
      <c r="B3424" s="232" t="s">
        <v>5</v>
      </c>
      <c r="C3424" s="182" t="s">
        <v>1328</v>
      </c>
      <c r="D3424" s="182"/>
      <c r="E3424" s="182"/>
      <c r="F3424" s="182"/>
      <c r="G3424" s="182"/>
      <c r="H3424" s="182"/>
      <c r="I3424" s="182"/>
      <c r="J3424" s="182"/>
      <c r="K3424" s="178"/>
      <c r="L3424" s="182"/>
      <c r="M3424" s="182"/>
      <c r="N3424" s="177">
        <f>SUM(N3421:N3423)</f>
        <v>663.55859999999905</v>
      </c>
      <c r="O3424" s="177"/>
      <c r="P3424" s="233"/>
      <c r="Q3424" s="224"/>
    </row>
    <row r="3425" spans="1:17" s="228" customFormat="1" ht="42" x14ac:dyDescent="0.25">
      <c r="A3425" s="226" t="str">
        <f>ORÇAMENTO!A658</f>
        <v>6.1.2.6.11</v>
      </c>
      <c r="B3425" s="227" t="str">
        <f>VLOOKUP(A3425,ORÇAMENTO!A:K,4,0)</f>
        <v>ESCORAMENTO DE VALA, TIPO BLINDAGEM, COM PROFUNDIDADE DE 1,5 A 3,0 M, LARGURA MENOR QUE 1,5 M - EXECUÇÃO E FORNECIMENTO, INCLUI MATERIAL (ESCAVAÇÃO INTERNA AO BLINDADO)</v>
      </c>
      <c r="C3425" s="173" t="str">
        <f>VLOOKUP(A3425,ORÇAMENTO!A:K,5,0)</f>
        <v>M²</v>
      </c>
      <c r="D3425" s="173">
        <f>ROUND(SUM(E3429:O3429),2)</f>
        <v>307.67</v>
      </c>
      <c r="E3425" s="173" t="s">
        <v>1718</v>
      </c>
      <c r="F3425" s="173" t="s">
        <v>1719</v>
      </c>
      <c r="G3425" s="173" t="s">
        <v>1720</v>
      </c>
      <c r="H3425" s="173" t="s">
        <v>1721</v>
      </c>
      <c r="I3425" s="173" t="s">
        <v>1722</v>
      </c>
      <c r="J3425" s="173" t="s">
        <v>1723</v>
      </c>
      <c r="K3425" s="173" t="s">
        <v>1724</v>
      </c>
      <c r="L3425" s="173" t="s">
        <v>1804</v>
      </c>
      <c r="M3425" s="173" t="s">
        <v>1726</v>
      </c>
      <c r="N3425" s="173" t="s">
        <v>1811</v>
      </c>
      <c r="O3425" s="173" t="s">
        <v>1728</v>
      </c>
      <c r="P3425" s="224"/>
      <c r="Q3425" s="224"/>
    </row>
    <row r="3426" spans="1:17" s="225" customFormat="1" ht="10.5" x14ac:dyDescent="0.25">
      <c r="A3426" s="229"/>
      <c r="B3426" s="230"/>
      <c r="C3426" s="177"/>
      <c r="D3426" s="178"/>
      <c r="E3426" s="178"/>
      <c r="F3426" s="178"/>
      <c r="G3426" s="178"/>
      <c r="H3426" s="178"/>
      <c r="I3426" s="178"/>
      <c r="J3426" s="178"/>
      <c r="K3426" s="178"/>
      <c r="L3426" s="178"/>
      <c r="M3426" s="178"/>
      <c r="N3426" s="200"/>
      <c r="O3426" s="178"/>
      <c r="P3426" s="231"/>
      <c r="Q3426" s="224"/>
    </row>
    <row r="3427" spans="1:17" s="225" customFormat="1" ht="10.5" x14ac:dyDescent="0.25">
      <c r="A3427" s="229"/>
      <c r="B3427" s="230" t="s">
        <v>1812</v>
      </c>
      <c r="C3427" s="177"/>
      <c r="D3427" s="178"/>
      <c r="E3427" s="178"/>
      <c r="F3427" s="178"/>
      <c r="G3427" s="178"/>
      <c r="H3427" s="178"/>
      <c r="I3427" s="178"/>
      <c r="J3427" s="178"/>
      <c r="K3427" s="178"/>
      <c r="L3427" s="178"/>
      <c r="M3427" s="178"/>
      <c r="N3427" s="200">
        <f>QUANTBL!BR246</f>
        <v>307.66689900000159</v>
      </c>
      <c r="O3427" s="178"/>
      <c r="P3427" s="231"/>
      <c r="Q3427" s="224"/>
    </row>
    <row r="3428" spans="1:17" s="225" customFormat="1" ht="10.5" x14ac:dyDescent="0.25">
      <c r="A3428" s="229"/>
      <c r="B3428" s="230"/>
      <c r="C3428" s="177"/>
      <c r="D3428" s="178"/>
      <c r="E3428" s="178"/>
      <c r="F3428" s="178"/>
      <c r="G3428" s="178"/>
      <c r="H3428" s="178"/>
      <c r="I3428" s="178"/>
      <c r="J3428" s="178"/>
      <c r="K3428" s="178"/>
      <c r="L3428" s="178"/>
      <c r="M3428" s="178"/>
      <c r="N3428" s="200"/>
      <c r="O3428" s="178"/>
      <c r="P3428" s="231"/>
      <c r="Q3428" s="224"/>
    </row>
    <row r="3429" spans="1:17" s="225" customFormat="1" ht="10.5" x14ac:dyDescent="0.25">
      <c r="A3429" s="229"/>
      <c r="B3429" s="232" t="s">
        <v>5</v>
      </c>
      <c r="C3429" s="182" t="s">
        <v>1328</v>
      </c>
      <c r="D3429" s="182"/>
      <c r="E3429" s="182"/>
      <c r="F3429" s="182"/>
      <c r="G3429" s="182"/>
      <c r="H3429" s="182"/>
      <c r="I3429" s="182"/>
      <c r="J3429" s="182"/>
      <c r="K3429" s="178"/>
      <c r="L3429" s="182"/>
      <c r="M3429" s="182"/>
      <c r="N3429" s="177">
        <f>SUM(N3426:N3428)</f>
        <v>307.66689900000159</v>
      </c>
      <c r="O3429" s="177"/>
      <c r="P3429" s="233"/>
      <c r="Q3429" s="224"/>
    </row>
    <row r="3430" spans="1:17" s="228" customFormat="1" ht="42" x14ac:dyDescent="0.25">
      <c r="A3430" s="226" t="str">
        <f>ORÇAMENTO!A659</f>
        <v>6.1.2.6.12</v>
      </c>
      <c r="B3430" s="227" t="str">
        <f>VLOOKUP(A3430,ORÇAMENTO!A:K,4,0)</f>
        <v>ESCORAMENTO DE VALA, TIPO BLINDAGEM, COM PROFUNDIDADE DE 3,0 A 4,5 M, LARGURA MENOR QUE 1,5 M -EXECUÇÃO E FORNECIMENTO, INCLUI MATERIAL (ESCAVAÇÃO EXTERNA AO BLINDADO)</v>
      </c>
      <c r="C3430" s="173" t="str">
        <f>VLOOKUP(A3430,ORÇAMENTO!A:K,5,0)</f>
        <v>M²</v>
      </c>
      <c r="D3430" s="173">
        <f>ROUND(SUM(E3434:O3434),2)</f>
        <v>0.43</v>
      </c>
      <c r="E3430" s="173" t="s">
        <v>1718</v>
      </c>
      <c r="F3430" s="173" t="s">
        <v>1719</v>
      </c>
      <c r="G3430" s="173" t="s">
        <v>1720</v>
      </c>
      <c r="H3430" s="173" t="s">
        <v>1721</v>
      </c>
      <c r="I3430" s="173" t="s">
        <v>1722</v>
      </c>
      <c r="J3430" s="173" t="s">
        <v>1723</v>
      </c>
      <c r="K3430" s="173" t="s">
        <v>1724</v>
      </c>
      <c r="L3430" s="173" t="s">
        <v>1804</v>
      </c>
      <c r="M3430" s="173" t="s">
        <v>1726</v>
      </c>
      <c r="N3430" s="173" t="s">
        <v>1811</v>
      </c>
      <c r="O3430" s="173" t="s">
        <v>1728</v>
      </c>
      <c r="P3430" s="224"/>
      <c r="Q3430" s="224"/>
    </row>
    <row r="3431" spans="1:17" s="225" customFormat="1" ht="10.5" x14ac:dyDescent="0.25">
      <c r="A3431" s="229"/>
      <c r="B3431" s="230"/>
      <c r="C3431" s="177"/>
      <c r="D3431" s="178"/>
      <c r="E3431" s="178"/>
      <c r="F3431" s="178"/>
      <c r="G3431" s="178"/>
      <c r="H3431" s="178"/>
      <c r="I3431" s="178"/>
      <c r="J3431" s="178"/>
      <c r="K3431" s="178"/>
      <c r="L3431" s="178"/>
      <c r="M3431" s="178"/>
      <c r="N3431" s="200"/>
      <c r="O3431" s="178"/>
      <c r="P3431" s="231"/>
      <c r="Q3431" s="224"/>
    </row>
    <row r="3432" spans="1:17" s="225" customFormat="1" ht="10.5" x14ac:dyDescent="0.25">
      <c r="A3432" s="229"/>
      <c r="B3432" s="230" t="s">
        <v>1812</v>
      </c>
      <c r="C3432" s="177"/>
      <c r="D3432" s="178"/>
      <c r="E3432" s="178"/>
      <c r="F3432" s="178"/>
      <c r="G3432" s="178"/>
      <c r="H3432" s="178"/>
      <c r="I3432" s="178"/>
      <c r="J3432" s="178"/>
      <c r="K3432" s="178"/>
      <c r="L3432" s="178"/>
      <c r="M3432" s="178"/>
      <c r="N3432" s="200">
        <f>QUANTBL!BS246</f>
        <v>0.42690000000013562</v>
      </c>
      <c r="O3432" s="178"/>
      <c r="P3432" s="231"/>
      <c r="Q3432" s="224"/>
    </row>
    <row r="3433" spans="1:17" s="225" customFormat="1" ht="10.5" x14ac:dyDescent="0.25">
      <c r="A3433" s="229"/>
      <c r="B3433" s="230"/>
      <c r="C3433" s="177"/>
      <c r="D3433" s="178"/>
      <c r="E3433" s="178"/>
      <c r="F3433" s="178"/>
      <c r="G3433" s="178"/>
      <c r="H3433" s="178"/>
      <c r="I3433" s="178"/>
      <c r="J3433" s="178"/>
      <c r="K3433" s="178"/>
      <c r="L3433" s="178"/>
      <c r="M3433" s="178"/>
      <c r="N3433" s="200"/>
      <c r="O3433" s="178"/>
      <c r="P3433" s="231"/>
      <c r="Q3433" s="224"/>
    </row>
    <row r="3434" spans="1:17" s="225" customFormat="1" ht="10.5" x14ac:dyDescent="0.25">
      <c r="A3434" s="229"/>
      <c r="B3434" s="232" t="s">
        <v>5</v>
      </c>
      <c r="C3434" s="182" t="s">
        <v>1328</v>
      </c>
      <c r="D3434" s="182"/>
      <c r="E3434" s="182"/>
      <c r="F3434" s="182"/>
      <c r="G3434" s="182"/>
      <c r="H3434" s="182"/>
      <c r="I3434" s="182"/>
      <c r="J3434" s="182"/>
      <c r="K3434" s="178"/>
      <c r="L3434" s="182"/>
      <c r="M3434" s="182"/>
      <c r="N3434" s="177">
        <f>SUM(N3431:N3433)</f>
        <v>0.42690000000013562</v>
      </c>
      <c r="O3434" s="177"/>
      <c r="P3434" s="233"/>
      <c r="Q3434" s="224"/>
    </row>
    <row r="3435" spans="1:17" s="228" customFormat="1" ht="52.5" x14ac:dyDescent="0.25">
      <c r="A3435" s="226" t="str">
        <f>ORÇAMENTO!A660</f>
        <v>6.1.2.6.13</v>
      </c>
      <c r="B3435" s="227" t="str">
        <f>VLOOKUP(A3435,ORÇAMENTO!A:K,4,0)</f>
        <v>ESCORAMENTO DE VALA, TIPO BLINDADEM, COM PROFUNDIDADE DE 0 A 1,5 M, LARGURA MAIOR OU IGUAL A 1,5 M EMENOR QUE 2,5 M - EXECUÇÃO E FORNECIMENTO, INCLUI MATERIAL (ESCAVAÇÃO EXTERNA AO BLINDADO)</v>
      </c>
      <c r="C3435" s="173" t="str">
        <f>VLOOKUP(A3435,ORÇAMENTO!A:K,5,0)</f>
        <v>M²</v>
      </c>
      <c r="D3435" s="173">
        <f>ROUND(SUM(E3439:O3439),2)</f>
        <v>332.97</v>
      </c>
      <c r="E3435" s="173" t="s">
        <v>1718</v>
      </c>
      <c r="F3435" s="173" t="s">
        <v>1719</v>
      </c>
      <c r="G3435" s="173" t="s">
        <v>1720</v>
      </c>
      <c r="H3435" s="173" t="s">
        <v>1721</v>
      </c>
      <c r="I3435" s="173" t="s">
        <v>1722</v>
      </c>
      <c r="J3435" s="173" t="s">
        <v>1723</v>
      </c>
      <c r="K3435" s="173" t="s">
        <v>1724</v>
      </c>
      <c r="L3435" s="173" t="s">
        <v>1804</v>
      </c>
      <c r="M3435" s="173" t="s">
        <v>1726</v>
      </c>
      <c r="N3435" s="173" t="s">
        <v>1811</v>
      </c>
      <c r="O3435" s="173" t="s">
        <v>1728</v>
      </c>
      <c r="P3435" s="224"/>
      <c r="Q3435" s="224"/>
    </row>
    <row r="3436" spans="1:17" s="225" customFormat="1" ht="10.5" x14ac:dyDescent="0.25">
      <c r="A3436" s="229"/>
      <c r="B3436" s="230"/>
      <c r="C3436" s="177"/>
      <c r="D3436" s="178"/>
      <c r="E3436" s="178"/>
      <c r="F3436" s="178"/>
      <c r="G3436" s="178"/>
      <c r="H3436" s="178"/>
      <c r="I3436" s="178"/>
      <c r="J3436" s="178"/>
      <c r="K3436" s="178"/>
      <c r="L3436" s="178"/>
      <c r="M3436" s="178"/>
      <c r="N3436" s="200"/>
      <c r="O3436" s="178"/>
      <c r="P3436" s="231"/>
      <c r="Q3436" s="224"/>
    </row>
    <row r="3437" spans="1:17" s="225" customFormat="1" ht="10.5" x14ac:dyDescent="0.25">
      <c r="A3437" s="229"/>
      <c r="B3437" s="230" t="s">
        <v>1813</v>
      </c>
      <c r="C3437" s="177"/>
      <c r="D3437" s="178"/>
      <c r="E3437" s="178"/>
      <c r="F3437" s="178"/>
      <c r="G3437" s="178"/>
      <c r="H3437" s="178"/>
      <c r="I3437" s="178"/>
      <c r="J3437" s="178"/>
      <c r="K3437" s="178"/>
      <c r="L3437" s="178"/>
      <c r="M3437" s="178"/>
      <c r="N3437" s="200">
        <f>QUANTBL!CP246</f>
        <v>332.97448799999955</v>
      </c>
      <c r="O3437" s="178"/>
      <c r="P3437" s="231"/>
      <c r="Q3437" s="224"/>
    </row>
    <row r="3438" spans="1:17" s="225" customFormat="1" ht="10.5" x14ac:dyDescent="0.25">
      <c r="A3438" s="229"/>
      <c r="B3438" s="230"/>
      <c r="C3438" s="177"/>
      <c r="D3438" s="178"/>
      <c r="E3438" s="178"/>
      <c r="F3438" s="178"/>
      <c r="G3438" s="178"/>
      <c r="H3438" s="178"/>
      <c r="I3438" s="178"/>
      <c r="J3438" s="178"/>
      <c r="K3438" s="178"/>
      <c r="L3438" s="178"/>
      <c r="M3438" s="178"/>
      <c r="N3438" s="200"/>
      <c r="O3438" s="178"/>
      <c r="P3438" s="231"/>
      <c r="Q3438" s="224"/>
    </row>
    <row r="3439" spans="1:17" s="225" customFormat="1" ht="10.5" x14ac:dyDescent="0.25">
      <c r="A3439" s="229"/>
      <c r="B3439" s="232" t="s">
        <v>5</v>
      </c>
      <c r="C3439" s="182" t="s">
        <v>1328</v>
      </c>
      <c r="D3439" s="182"/>
      <c r="E3439" s="182"/>
      <c r="F3439" s="182"/>
      <c r="G3439" s="182"/>
      <c r="H3439" s="182"/>
      <c r="I3439" s="182"/>
      <c r="J3439" s="182"/>
      <c r="K3439" s="178"/>
      <c r="L3439" s="182"/>
      <c r="M3439" s="182"/>
      <c r="N3439" s="177">
        <f>SUM(N3436:N3438)</f>
        <v>332.97448799999955</v>
      </c>
      <c r="O3439" s="177"/>
      <c r="P3439" s="233"/>
      <c r="Q3439" s="224"/>
    </row>
    <row r="3440" spans="1:17" s="228" customFormat="1" ht="42" x14ac:dyDescent="0.25">
      <c r="A3440" s="226" t="str">
        <f>ORÇAMENTO!A661</f>
        <v>6.1.2.6.14</v>
      </c>
      <c r="B3440" s="227" t="str">
        <f>VLOOKUP(A3440,ORÇAMENTO!A:K,4,0)</f>
        <v>ESCORAMENTO DE VALA, TIPO BLINDAGEM, COM PROFUNDIDADE DE 1,5 A 3,0 M, LARGURA DE 1,5 A 2,5 M -EXECUÇÃO E FORNECIMENTO, INCLUI MATERIAL (ESCAVAÇÃO INTERNA AO BLINDADO)</v>
      </c>
      <c r="C3440" s="173" t="str">
        <f>VLOOKUP(A3440,ORÇAMENTO!A:K,5,0)</f>
        <v>M²</v>
      </c>
      <c r="D3440" s="173">
        <f>ROUND(SUM(E3444:O3444),2)</f>
        <v>102.03</v>
      </c>
      <c r="E3440" s="173" t="s">
        <v>1718</v>
      </c>
      <c r="F3440" s="173" t="s">
        <v>1719</v>
      </c>
      <c r="G3440" s="173" t="s">
        <v>1720</v>
      </c>
      <c r="H3440" s="173" t="s">
        <v>1721</v>
      </c>
      <c r="I3440" s="173" t="s">
        <v>1722</v>
      </c>
      <c r="J3440" s="173" t="s">
        <v>1723</v>
      </c>
      <c r="K3440" s="173" t="s">
        <v>1724</v>
      </c>
      <c r="L3440" s="173" t="s">
        <v>1804</v>
      </c>
      <c r="M3440" s="173" t="s">
        <v>1726</v>
      </c>
      <c r="N3440" s="173" t="s">
        <v>1811</v>
      </c>
      <c r="O3440" s="173" t="s">
        <v>1728</v>
      </c>
      <c r="P3440" s="224"/>
      <c r="Q3440" s="224"/>
    </row>
    <row r="3441" spans="1:17" s="225" customFormat="1" ht="10.5" x14ac:dyDescent="0.25">
      <c r="A3441" s="229"/>
      <c r="B3441" s="230"/>
      <c r="C3441" s="177"/>
      <c r="D3441" s="178"/>
      <c r="E3441" s="178"/>
      <c r="F3441" s="178"/>
      <c r="G3441" s="178"/>
      <c r="H3441" s="178"/>
      <c r="I3441" s="178"/>
      <c r="J3441" s="178"/>
      <c r="K3441" s="178"/>
      <c r="L3441" s="178"/>
      <c r="M3441" s="178"/>
      <c r="N3441" s="200"/>
      <c r="O3441" s="178"/>
      <c r="P3441" s="231"/>
      <c r="Q3441" s="224"/>
    </row>
    <row r="3442" spans="1:17" s="225" customFormat="1" ht="10.5" x14ac:dyDescent="0.25">
      <c r="A3442" s="229"/>
      <c r="B3442" s="230" t="s">
        <v>1813</v>
      </c>
      <c r="C3442" s="177"/>
      <c r="D3442" s="178"/>
      <c r="E3442" s="178"/>
      <c r="F3442" s="178"/>
      <c r="G3442" s="178"/>
      <c r="H3442" s="178"/>
      <c r="I3442" s="178"/>
      <c r="J3442" s="178"/>
      <c r="K3442" s="178"/>
      <c r="L3442" s="178"/>
      <c r="M3442" s="178"/>
      <c r="N3442" s="200">
        <f>QUANTBL!CQ246</f>
        <v>102.03401599999961</v>
      </c>
      <c r="O3442" s="178"/>
      <c r="P3442" s="231"/>
      <c r="Q3442" s="224"/>
    </row>
    <row r="3443" spans="1:17" s="225" customFormat="1" ht="10.5" x14ac:dyDescent="0.25">
      <c r="A3443" s="229"/>
      <c r="B3443" s="230"/>
      <c r="C3443" s="177"/>
      <c r="D3443" s="178"/>
      <c r="E3443" s="178"/>
      <c r="F3443" s="178"/>
      <c r="G3443" s="178"/>
      <c r="H3443" s="178"/>
      <c r="I3443" s="178"/>
      <c r="J3443" s="178"/>
      <c r="K3443" s="178"/>
      <c r="L3443" s="178"/>
      <c r="M3443" s="178"/>
      <c r="N3443" s="200"/>
      <c r="O3443" s="178"/>
      <c r="P3443" s="231"/>
      <c r="Q3443" s="224"/>
    </row>
    <row r="3444" spans="1:17" s="225" customFormat="1" ht="10.5" x14ac:dyDescent="0.25">
      <c r="A3444" s="229"/>
      <c r="B3444" s="232" t="s">
        <v>5</v>
      </c>
      <c r="C3444" s="182" t="s">
        <v>1328</v>
      </c>
      <c r="D3444" s="182"/>
      <c r="E3444" s="182"/>
      <c r="F3444" s="182"/>
      <c r="G3444" s="182"/>
      <c r="H3444" s="182"/>
      <c r="I3444" s="182"/>
      <c r="J3444" s="182"/>
      <c r="K3444" s="178"/>
      <c r="L3444" s="182"/>
      <c r="M3444" s="182"/>
      <c r="N3444" s="177">
        <f>SUM(N3441:N3443)</f>
        <v>102.03401599999961</v>
      </c>
      <c r="O3444" s="177"/>
      <c r="P3444" s="233"/>
      <c r="Q3444" s="224"/>
    </row>
    <row r="3445" spans="1:17" s="228" customFormat="1" ht="21" x14ac:dyDescent="0.25">
      <c r="A3445" s="226" t="str">
        <f>ORÇAMENTO!A662</f>
        <v>6.1.2.6.15</v>
      </c>
      <c r="B3445" s="227" t="str">
        <f>VLOOKUP(A3445,ORÇAMENTO!A:K,4,0)</f>
        <v>ESGOTAMENTO DE ÁGUA COM BOMBA SUBMERSA</v>
      </c>
      <c r="C3445" s="173" t="str">
        <f>VLOOKUP(A3445,ORÇAMENTO!A:K,5,0)</f>
        <v>H</v>
      </c>
      <c r="D3445" s="173">
        <f>ROUND(SUM(E3449:O3449),2)</f>
        <v>0.16</v>
      </c>
      <c r="E3445" s="173" t="s">
        <v>1718</v>
      </c>
      <c r="F3445" s="173" t="s">
        <v>1719</v>
      </c>
      <c r="G3445" s="173" t="s">
        <v>1720</v>
      </c>
      <c r="H3445" s="173" t="s">
        <v>1721</v>
      </c>
      <c r="I3445" s="173" t="s">
        <v>1722</v>
      </c>
      <c r="J3445" s="173" t="s">
        <v>1723</v>
      </c>
      <c r="K3445" s="173" t="s">
        <v>1724</v>
      </c>
      <c r="L3445" s="173" t="s">
        <v>1804</v>
      </c>
      <c r="M3445" s="173" t="s">
        <v>1726</v>
      </c>
      <c r="N3445" s="173" t="s">
        <v>1811</v>
      </c>
      <c r="O3445" s="173" t="s">
        <v>1728</v>
      </c>
      <c r="P3445" s="224"/>
      <c r="Q3445" s="224"/>
    </row>
    <row r="3446" spans="1:17" s="225" customFormat="1" ht="10.5" x14ac:dyDescent="0.25">
      <c r="A3446" s="229"/>
      <c r="B3446" s="230"/>
      <c r="C3446" s="177"/>
      <c r="D3446" s="178"/>
      <c r="E3446" s="178"/>
      <c r="F3446" s="178"/>
      <c r="G3446" s="178"/>
      <c r="H3446" s="178"/>
      <c r="I3446" s="178"/>
      <c r="J3446" s="178"/>
      <c r="K3446" s="178"/>
      <c r="L3446" s="178"/>
      <c r="M3446" s="178"/>
      <c r="N3446" s="200"/>
      <c r="O3446" s="178"/>
      <c r="P3446" s="231"/>
      <c r="Q3446" s="224"/>
    </row>
    <row r="3447" spans="1:17" s="225" customFormat="1" ht="10.5" x14ac:dyDescent="0.25">
      <c r="A3447" s="229"/>
      <c r="B3447" s="230" t="s">
        <v>1813</v>
      </c>
      <c r="C3447" s="177"/>
      <c r="D3447" s="178"/>
      <c r="E3447" s="178"/>
      <c r="F3447" s="178"/>
      <c r="G3447" s="178"/>
      <c r="H3447" s="178"/>
      <c r="I3447" s="178"/>
      <c r="J3447" s="178"/>
      <c r="K3447" s="178"/>
      <c r="L3447" s="178"/>
      <c r="M3447" s="178"/>
      <c r="N3447" s="200"/>
      <c r="O3447" s="178">
        <f>QUANTBL!AK246</f>
        <v>0.16371527999999949</v>
      </c>
      <c r="P3447" s="231"/>
      <c r="Q3447" s="224"/>
    </row>
    <row r="3448" spans="1:17" s="225" customFormat="1" ht="10.5" x14ac:dyDescent="0.25">
      <c r="A3448" s="229"/>
      <c r="B3448" s="230"/>
      <c r="C3448" s="177"/>
      <c r="D3448" s="178"/>
      <c r="E3448" s="178"/>
      <c r="F3448" s="178"/>
      <c r="G3448" s="178"/>
      <c r="H3448" s="178"/>
      <c r="I3448" s="178"/>
      <c r="J3448" s="178"/>
      <c r="K3448" s="178"/>
      <c r="L3448" s="178"/>
      <c r="M3448" s="178"/>
      <c r="N3448" s="200"/>
      <c r="O3448" s="178"/>
      <c r="P3448" s="231"/>
      <c r="Q3448" s="224"/>
    </row>
    <row r="3449" spans="1:17" s="225" customFormat="1" ht="10.5" x14ac:dyDescent="0.25">
      <c r="A3449" s="229"/>
      <c r="B3449" s="232" t="s">
        <v>5</v>
      </c>
      <c r="C3449" s="182" t="s">
        <v>1328</v>
      </c>
      <c r="D3449" s="182"/>
      <c r="E3449" s="182"/>
      <c r="F3449" s="182"/>
      <c r="G3449" s="182"/>
      <c r="H3449" s="182"/>
      <c r="I3449" s="182"/>
      <c r="J3449" s="182"/>
      <c r="K3449" s="178"/>
      <c r="L3449" s="182"/>
      <c r="M3449" s="182"/>
      <c r="N3449" s="177"/>
      <c r="O3449" s="177">
        <f>SUM(O3446:O3448)</f>
        <v>0.16371527999999949</v>
      </c>
      <c r="P3449" s="233"/>
      <c r="Q3449" s="224"/>
    </row>
    <row r="3450" spans="1:17" s="228" customFormat="1" ht="31.5" x14ac:dyDescent="0.25">
      <c r="A3450" s="226" t="str">
        <f>ORÇAMENTO!A663</f>
        <v>6.1.2.6.16</v>
      </c>
      <c r="B3450" s="227" t="str">
        <f>VLOOKUP(A3450,ORÇAMENTO!A:K,4,0)</f>
        <v>PREPARO DE FUNDO DE VALA COM LARGURA MENOR QUE 1,5 M, COM CAMADA DE BRITA, LANÇAMENTO MECANIZADO. AF_08/2020</v>
      </c>
      <c r="C3450" s="173" t="str">
        <f>VLOOKUP(A3450,ORÇAMENTO!A:K,5,0)</f>
        <v>M³</v>
      </c>
      <c r="D3450" s="173">
        <f>ROUND(SUM(E3453:O3453),2)</f>
        <v>9.39</v>
      </c>
      <c r="E3450" s="173" t="s">
        <v>1718</v>
      </c>
      <c r="F3450" s="173" t="s">
        <v>1719</v>
      </c>
      <c r="G3450" s="173" t="s">
        <v>1720</v>
      </c>
      <c r="H3450" s="173" t="s">
        <v>1721</v>
      </c>
      <c r="I3450" s="173" t="s">
        <v>1722</v>
      </c>
      <c r="J3450" s="173" t="s">
        <v>1723</v>
      </c>
      <c r="K3450" s="173" t="s">
        <v>1724</v>
      </c>
      <c r="L3450" s="173" t="s">
        <v>1804</v>
      </c>
      <c r="M3450" s="173" t="s">
        <v>1726</v>
      </c>
      <c r="N3450" s="173" t="s">
        <v>1811</v>
      </c>
      <c r="O3450" s="173" t="s">
        <v>1728</v>
      </c>
      <c r="P3450" s="224"/>
      <c r="Q3450" s="224"/>
    </row>
    <row r="3451" spans="1:17" s="225" customFormat="1" ht="10.5" x14ac:dyDescent="0.25">
      <c r="A3451" s="229"/>
      <c r="B3451" s="230" t="s">
        <v>1814</v>
      </c>
      <c r="C3451" s="177"/>
      <c r="D3451" s="178"/>
      <c r="E3451" s="178"/>
      <c r="F3451" s="178"/>
      <c r="G3451" s="178"/>
      <c r="H3451" s="178"/>
      <c r="I3451" s="178"/>
      <c r="J3451" s="178"/>
      <c r="K3451" s="178"/>
      <c r="L3451" s="178"/>
      <c r="M3451" s="178"/>
      <c r="N3451" s="200"/>
      <c r="O3451" s="178">
        <f>QUANTBL!AM246</f>
        <v>9.3922499999999989</v>
      </c>
      <c r="P3451" s="231"/>
      <c r="Q3451" s="224"/>
    </row>
    <row r="3452" spans="1:17" s="225" customFormat="1" ht="10.5" x14ac:dyDescent="0.25">
      <c r="A3452" s="229"/>
      <c r="B3452" s="230"/>
      <c r="C3452" s="177"/>
      <c r="D3452" s="178"/>
      <c r="E3452" s="178"/>
      <c r="F3452" s="178"/>
      <c r="G3452" s="178"/>
      <c r="H3452" s="178"/>
      <c r="I3452" s="178"/>
      <c r="J3452" s="178"/>
      <c r="K3452" s="178"/>
      <c r="L3452" s="178"/>
      <c r="M3452" s="178"/>
      <c r="N3452" s="200"/>
      <c r="O3452" s="178"/>
      <c r="P3452" s="231"/>
      <c r="Q3452" s="224"/>
    </row>
    <row r="3453" spans="1:17" s="225" customFormat="1" ht="10.5" x14ac:dyDescent="0.25">
      <c r="A3453" s="229"/>
      <c r="B3453" s="232" t="s">
        <v>5</v>
      </c>
      <c r="C3453" s="182" t="s">
        <v>1328</v>
      </c>
      <c r="D3453" s="182"/>
      <c r="E3453" s="182"/>
      <c r="F3453" s="182"/>
      <c r="G3453" s="182"/>
      <c r="H3453" s="182"/>
      <c r="I3453" s="182"/>
      <c r="J3453" s="182"/>
      <c r="K3453" s="178"/>
      <c r="L3453" s="182"/>
      <c r="M3453" s="182"/>
      <c r="N3453" s="177"/>
      <c r="O3453" s="177">
        <f>SUM(O3451:O3452)</f>
        <v>9.3922499999999989</v>
      </c>
      <c r="P3453" s="233"/>
      <c r="Q3453" s="224"/>
    </row>
    <row r="3454" spans="1:17" s="228" customFormat="1" ht="52.5" x14ac:dyDescent="0.25">
      <c r="A3454" s="226" t="str">
        <f>ORÇAMENTO!A664</f>
        <v>6.1.2.6.17</v>
      </c>
      <c r="B3454" s="227" t="str">
        <f>VLOOKUP(A3454,ORÇAMENTO!A:K,4,0)</f>
        <v>CONSTRUÇÃO DE PAVIMENTO COM APLICAÇÃO CONCRETO BETUMINOSO USINADO A QUENTE (CBUQ), CAMADA DE ROLAMENTO - EXCLUSIVE TRANSPORTE E CARGA  AF_03/2017 (SEM MATERIAL)</v>
      </c>
      <c r="C3454" s="173" t="str">
        <f>VLOOKUP(A3454,ORÇAMENTO!A:K,5,0)</f>
        <v>M³</v>
      </c>
      <c r="D3454" s="173">
        <f>ROUND(SUM(E3457:O3457),2)</f>
        <v>1.42</v>
      </c>
      <c r="E3454" s="173" t="s">
        <v>1718</v>
      </c>
      <c r="F3454" s="173" t="s">
        <v>1719</v>
      </c>
      <c r="G3454" s="173" t="s">
        <v>1720</v>
      </c>
      <c r="H3454" s="173" t="s">
        <v>1721</v>
      </c>
      <c r="I3454" s="173" t="s">
        <v>1722</v>
      </c>
      <c r="J3454" s="173" t="s">
        <v>1723</v>
      </c>
      <c r="K3454" s="173" t="s">
        <v>1724</v>
      </c>
      <c r="L3454" s="173" t="s">
        <v>1804</v>
      </c>
      <c r="M3454" s="173" t="s">
        <v>1726</v>
      </c>
      <c r="N3454" s="173" t="s">
        <v>1811</v>
      </c>
      <c r="O3454" s="173" t="s">
        <v>1728</v>
      </c>
      <c r="P3454" s="224"/>
      <c r="Q3454" s="224"/>
    </row>
    <row r="3455" spans="1:17" s="225" customFormat="1" ht="10.5" x14ac:dyDescent="0.25">
      <c r="A3455" s="229"/>
      <c r="B3455" s="230" t="s">
        <v>1784</v>
      </c>
      <c r="C3455" s="177"/>
      <c r="D3455" s="178"/>
      <c r="E3455" s="178"/>
      <c r="F3455" s="178"/>
      <c r="G3455" s="178"/>
      <c r="H3455" s="178"/>
      <c r="I3455" s="178"/>
      <c r="J3455" s="178"/>
      <c r="K3455" s="178"/>
      <c r="L3455" s="178"/>
      <c r="M3455" s="178"/>
      <c r="N3455" s="178">
        <f>QUANTBL!O246</f>
        <v>187.845</v>
      </c>
      <c r="O3455" s="178">
        <f>QUANTBL!AV246</f>
        <v>1.4232</v>
      </c>
      <c r="P3455" s="231"/>
      <c r="Q3455" s="224"/>
    </row>
    <row r="3456" spans="1:17" s="225" customFormat="1" ht="10.5" x14ac:dyDescent="0.25">
      <c r="A3456" s="229"/>
      <c r="B3456" s="230"/>
      <c r="C3456" s="177"/>
      <c r="D3456" s="178"/>
      <c r="E3456" s="178"/>
      <c r="F3456" s="178"/>
      <c r="G3456" s="178"/>
      <c r="H3456" s="178"/>
      <c r="I3456" s="178"/>
      <c r="J3456" s="178"/>
      <c r="K3456" s="178"/>
      <c r="L3456" s="178"/>
      <c r="M3456" s="178"/>
      <c r="N3456" s="200"/>
      <c r="O3456" s="178"/>
      <c r="P3456" s="231"/>
      <c r="Q3456" s="224"/>
    </row>
    <row r="3457" spans="1:17" s="225" customFormat="1" ht="10.5" x14ac:dyDescent="0.25">
      <c r="A3457" s="229"/>
      <c r="B3457" s="232" t="s">
        <v>5</v>
      </c>
      <c r="C3457" s="182" t="s">
        <v>1328</v>
      </c>
      <c r="D3457" s="182"/>
      <c r="E3457" s="182"/>
      <c r="F3457" s="182"/>
      <c r="G3457" s="182"/>
      <c r="H3457" s="182"/>
      <c r="I3457" s="182"/>
      <c r="J3457" s="182"/>
      <c r="K3457" s="178"/>
      <c r="L3457" s="182"/>
      <c r="M3457" s="182"/>
      <c r="N3457" s="177"/>
      <c r="O3457" s="177">
        <f>SUM(O3455:O3456)</f>
        <v>1.4232</v>
      </c>
      <c r="P3457" s="233"/>
      <c r="Q3457" s="224"/>
    </row>
    <row r="3458" spans="1:17" s="228" customFormat="1" ht="21" x14ac:dyDescent="0.25">
      <c r="A3458" s="226" t="str">
        <f>ORÇAMENTO!A665</f>
        <v>6.1.2.6.18</v>
      </c>
      <c r="B3458" s="227" t="str">
        <f>VLOOKUP(A3458,ORÇAMENTO!A:K,4,0)</f>
        <v>PINTURA DE LIGAÇÃO (SEM MATERIAL)</v>
      </c>
      <c r="C3458" s="173" t="str">
        <f>VLOOKUP(A3458,ORÇAMENTO!A:K,5,0)</f>
        <v>M²</v>
      </c>
      <c r="D3458" s="173">
        <f>ROUND(SUM(E3461:O3461),2)</f>
        <v>187.85</v>
      </c>
      <c r="E3458" s="173" t="s">
        <v>1718</v>
      </c>
      <c r="F3458" s="173" t="s">
        <v>1719</v>
      </c>
      <c r="G3458" s="173" t="s">
        <v>1720</v>
      </c>
      <c r="H3458" s="173" t="s">
        <v>1721</v>
      </c>
      <c r="I3458" s="173" t="s">
        <v>1722</v>
      </c>
      <c r="J3458" s="173" t="s">
        <v>1723</v>
      </c>
      <c r="K3458" s="173" t="s">
        <v>1724</v>
      </c>
      <c r="L3458" s="173" t="s">
        <v>1804</v>
      </c>
      <c r="M3458" s="173" t="s">
        <v>1726</v>
      </c>
      <c r="N3458" s="173" t="s">
        <v>1811</v>
      </c>
      <c r="O3458" s="173" t="s">
        <v>1728</v>
      </c>
      <c r="P3458" s="224"/>
      <c r="Q3458" s="224"/>
    </row>
    <row r="3459" spans="1:17" s="225" customFormat="1" ht="10.5" x14ac:dyDescent="0.25">
      <c r="A3459" s="229"/>
      <c r="B3459" s="230" t="str">
        <f>B3451</f>
        <v>VALAS DO TUBO DE LIGAÇÃO DN 400MM</v>
      </c>
      <c r="C3459" s="177"/>
      <c r="D3459" s="178"/>
      <c r="E3459" s="178"/>
      <c r="F3459" s="178"/>
      <c r="G3459" s="178"/>
      <c r="H3459" s="178"/>
      <c r="I3459" s="178"/>
      <c r="J3459" s="178"/>
      <c r="K3459" s="178"/>
      <c r="L3459" s="178"/>
      <c r="M3459" s="178"/>
      <c r="N3459" s="178">
        <f>N3455</f>
        <v>187.845</v>
      </c>
      <c r="O3459" s="178"/>
      <c r="P3459" s="231"/>
      <c r="Q3459" s="224"/>
    </row>
    <row r="3460" spans="1:17" s="225" customFormat="1" ht="10.5" x14ac:dyDescent="0.25">
      <c r="A3460" s="229"/>
      <c r="B3460" s="230"/>
      <c r="C3460" s="177"/>
      <c r="D3460" s="178"/>
      <c r="E3460" s="178"/>
      <c r="F3460" s="178"/>
      <c r="G3460" s="178"/>
      <c r="H3460" s="178"/>
      <c r="I3460" s="178"/>
      <c r="J3460" s="178"/>
      <c r="K3460" s="178"/>
      <c r="L3460" s="178"/>
      <c r="M3460" s="178"/>
      <c r="N3460" s="200"/>
      <c r="O3460" s="178"/>
      <c r="P3460" s="231"/>
      <c r="Q3460" s="224"/>
    </row>
    <row r="3461" spans="1:17" s="225" customFormat="1" ht="10.5" x14ac:dyDescent="0.25">
      <c r="A3461" s="229"/>
      <c r="B3461" s="232" t="s">
        <v>5</v>
      </c>
      <c r="C3461" s="182" t="s">
        <v>1328</v>
      </c>
      <c r="D3461" s="182"/>
      <c r="E3461" s="182"/>
      <c r="F3461" s="182"/>
      <c r="G3461" s="182"/>
      <c r="H3461" s="182"/>
      <c r="I3461" s="182"/>
      <c r="J3461" s="182"/>
      <c r="K3461" s="178"/>
      <c r="L3461" s="182"/>
      <c r="M3461" s="182"/>
      <c r="N3461" s="177">
        <f>SUM(N3459:N3460)</f>
        <v>187.845</v>
      </c>
      <c r="O3461" s="177"/>
      <c r="P3461" s="233"/>
      <c r="Q3461" s="224"/>
    </row>
    <row r="3462" spans="1:17" s="228" customFormat="1" ht="21" x14ac:dyDescent="0.25">
      <c r="A3462" s="226" t="str">
        <f>ORÇAMENTO!A666</f>
        <v>6.1.2.6.19</v>
      </c>
      <c r="B3462" s="227" t="str">
        <f>VLOOKUP(A3462,ORÇAMENTO!A:K,4,0)</f>
        <v>EMULSÃO ASFÁLTICA - RR-1C - FORNECIMENTO E TRANSPORTE</v>
      </c>
      <c r="C3462" s="173" t="str">
        <f>VLOOKUP(A3462,ORÇAMENTO!A:K,5,0)</f>
        <v>T</v>
      </c>
      <c r="D3462" s="173">
        <f>ROUND(SUM(E3467:O3467),2)</f>
        <v>0.08</v>
      </c>
      <c r="E3462" s="173" t="s">
        <v>1718</v>
      </c>
      <c r="F3462" s="173" t="s">
        <v>1719</v>
      </c>
      <c r="G3462" s="173" t="s">
        <v>1720</v>
      </c>
      <c r="H3462" s="173" t="s">
        <v>1721</v>
      </c>
      <c r="I3462" s="173" t="s">
        <v>1722</v>
      </c>
      <c r="J3462" s="173" t="s">
        <v>1723</v>
      </c>
      <c r="K3462" s="173" t="s">
        <v>1746</v>
      </c>
      <c r="L3462" s="173" t="s">
        <v>1777</v>
      </c>
      <c r="M3462" s="173" t="s">
        <v>1726</v>
      </c>
      <c r="N3462" s="173" t="s">
        <v>1811</v>
      </c>
      <c r="O3462" s="173" t="s">
        <v>1728</v>
      </c>
      <c r="P3462" s="224"/>
      <c r="Q3462" s="224"/>
    </row>
    <row r="3463" spans="1:17" s="225" customFormat="1" ht="21" x14ac:dyDescent="0.25">
      <c r="A3463" s="229"/>
      <c r="B3463" s="232" t="s">
        <v>1778</v>
      </c>
      <c r="C3463" s="177"/>
      <c r="D3463" s="178"/>
      <c r="E3463" s="178"/>
      <c r="F3463" s="178"/>
      <c r="G3463" s="178"/>
      <c r="H3463" s="178"/>
      <c r="I3463" s="178"/>
      <c r="J3463" s="178"/>
      <c r="K3463" s="178"/>
      <c r="L3463" s="178"/>
      <c r="M3463" s="178"/>
      <c r="N3463" s="178">
        <f>N3459</f>
        <v>187.845</v>
      </c>
      <c r="O3463" s="178"/>
      <c r="P3463" s="231"/>
      <c r="Q3463" s="224"/>
    </row>
    <row r="3464" spans="1:17" s="225" customFormat="1" ht="31.5" x14ac:dyDescent="0.25">
      <c r="A3464" s="229"/>
      <c r="B3464" s="230" t="s">
        <v>1779</v>
      </c>
      <c r="C3464" s="177"/>
      <c r="D3464" s="178"/>
      <c r="E3464" s="178"/>
      <c r="F3464" s="178"/>
      <c r="G3464" s="178"/>
      <c r="H3464" s="178"/>
      <c r="I3464" s="178"/>
      <c r="J3464" s="178"/>
      <c r="K3464" s="178"/>
      <c r="L3464" s="198">
        <v>4.4999999999999999E-4</v>
      </c>
      <c r="M3464" s="178"/>
      <c r="N3464" s="200"/>
      <c r="O3464" s="178"/>
      <c r="P3464" s="231"/>
      <c r="Q3464" s="224"/>
    </row>
    <row r="3465" spans="1:17" s="225" customFormat="1" ht="10.5" x14ac:dyDescent="0.25">
      <c r="A3465" s="229"/>
      <c r="B3465" s="230"/>
      <c r="C3465" s="177"/>
      <c r="D3465" s="178"/>
      <c r="E3465" s="178"/>
      <c r="F3465" s="178"/>
      <c r="G3465" s="178"/>
      <c r="H3465" s="178"/>
      <c r="I3465" s="178"/>
      <c r="J3465" s="178"/>
      <c r="K3465" s="178">
        <f>L3464*N3463</f>
        <v>8.4530250000000001E-2</v>
      </c>
      <c r="L3465" s="178"/>
      <c r="M3465" s="178"/>
      <c r="N3465" s="200"/>
      <c r="O3465" s="178"/>
      <c r="P3465" s="231"/>
      <c r="Q3465" s="224"/>
    </row>
    <row r="3466" spans="1:17" s="225" customFormat="1" ht="10.5" x14ac:dyDescent="0.25">
      <c r="A3466" s="229"/>
      <c r="B3466" s="230"/>
      <c r="C3466" s="177"/>
      <c r="D3466" s="178"/>
      <c r="E3466" s="178"/>
      <c r="F3466" s="178"/>
      <c r="G3466" s="178"/>
      <c r="H3466" s="178"/>
      <c r="I3466" s="178"/>
      <c r="J3466" s="178"/>
      <c r="K3466" s="178"/>
      <c r="L3466" s="178"/>
      <c r="M3466" s="178"/>
      <c r="N3466" s="200"/>
      <c r="O3466" s="178"/>
      <c r="P3466" s="231"/>
      <c r="Q3466" s="224"/>
    </row>
    <row r="3467" spans="1:17" s="225" customFormat="1" ht="10.5" x14ac:dyDescent="0.25">
      <c r="A3467" s="229"/>
      <c r="B3467" s="232" t="s">
        <v>5</v>
      </c>
      <c r="C3467" s="182" t="s">
        <v>1328</v>
      </c>
      <c r="D3467" s="182"/>
      <c r="E3467" s="182"/>
      <c r="F3467" s="182"/>
      <c r="G3467" s="182"/>
      <c r="H3467" s="182"/>
      <c r="I3467" s="182"/>
      <c r="J3467" s="182"/>
      <c r="K3467" s="177">
        <f>SUM(K3463:K3466)</f>
        <v>8.4530250000000001E-2</v>
      </c>
      <c r="L3467" s="182"/>
      <c r="M3467" s="182"/>
      <c r="N3467" s="177"/>
      <c r="O3467" s="177"/>
      <c r="P3467" s="233"/>
      <c r="Q3467" s="224"/>
    </row>
    <row r="3468" spans="1:17" s="228" customFormat="1" ht="21" x14ac:dyDescent="0.25">
      <c r="A3468" s="226" t="str">
        <f>ORÇAMENTO!A667</f>
        <v>6.1.2.6.20</v>
      </c>
      <c r="B3468" s="227" t="str">
        <f>VLOOKUP(A3468,ORÇAMENTO!A:K,4,0)</f>
        <v>IMPRIMAÇÃO COM EMULSÃO ASFÁLTICA (SEM MATERIAL)</v>
      </c>
      <c r="C3468" s="173" t="str">
        <f>VLOOKUP(A3468,ORÇAMENTO!A:K,5,0)</f>
        <v>M²</v>
      </c>
      <c r="D3468" s="173">
        <f>ROUND(SUM(E3471:O3471),2)</f>
        <v>187.85</v>
      </c>
      <c r="E3468" s="173" t="s">
        <v>1718</v>
      </c>
      <c r="F3468" s="173" t="s">
        <v>1719</v>
      </c>
      <c r="G3468" s="173" t="s">
        <v>1720</v>
      </c>
      <c r="H3468" s="173" t="s">
        <v>1721</v>
      </c>
      <c r="I3468" s="173" t="s">
        <v>1722</v>
      </c>
      <c r="J3468" s="173" t="s">
        <v>1723</v>
      </c>
      <c r="K3468" s="173" t="s">
        <v>1724</v>
      </c>
      <c r="L3468" s="173" t="s">
        <v>1804</v>
      </c>
      <c r="M3468" s="173" t="s">
        <v>1726</v>
      </c>
      <c r="N3468" s="173" t="s">
        <v>1811</v>
      </c>
      <c r="O3468" s="173" t="s">
        <v>1728</v>
      </c>
      <c r="P3468" s="224"/>
      <c r="Q3468" s="224"/>
    </row>
    <row r="3469" spans="1:17" s="225" customFormat="1" ht="10.5" x14ac:dyDescent="0.25">
      <c r="A3469" s="229"/>
      <c r="B3469" s="230" t="str">
        <f>B3459</f>
        <v>VALAS DO TUBO DE LIGAÇÃO DN 400MM</v>
      </c>
      <c r="C3469" s="177"/>
      <c r="D3469" s="178"/>
      <c r="E3469" s="178"/>
      <c r="F3469" s="178"/>
      <c r="G3469" s="178"/>
      <c r="H3469" s="178"/>
      <c r="I3469" s="178"/>
      <c r="J3469" s="178"/>
      <c r="K3469" s="178"/>
      <c r="L3469" s="178"/>
      <c r="M3469" s="178"/>
      <c r="N3469" s="178">
        <f>N3459</f>
        <v>187.845</v>
      </c>
      <c r="O3469" s="178"/>
      <c r="P3469" s="231"/>
      <c r="Q3469" s="224"/>
    </row>
    <row r="3470" spans="1:17" s="225" customFormat="1" ht="10.5" x14ac:dyDescent="0.25">
      <c r="A3470" s="229"/>
      <c r="B3470" s="230"/>
      <c r="C3470" s="177"/>
      <c r="D3470" s="178"/>
      <c r="E3470" s="178"/>
      <c r="F3470" s="178"/>
      <c r="G3470" s="178"/>
      <c r="H3470" s="178"/>
      <c r="I3470" s="178"/>
      <c r="J3470" s="178"/>
      <c r="K3470" s="178"/>
      <c r="L3470" s="178"/>
      <c r="M3470" s="178"/>
      <c r="N3470" s="200"/>
      <c r="O3470" s="178"/>
      <c r="P3470" s="231"/>
      <c r="Q3470" s="224"/>
    </row>
    <row r="3471" spans="1:17" s="225" customFormat="1" ht="10.5" x14ac:dyDescent="0.25">
      <c r="A3471" s="229"/>
      <c r="B3471" s="232" t="s">
        <v>5</v>
      </c>
      <c r="C3471" s="182" t="s">
        <v>1328</v>
      </c>
      <c r="D3471" s="182"/>
      <c r="E3471" s="182"/>
      <c r="F3471" s="182"/>
      <c r="G3471" s="182"/>
      <c r="H3471" s="182"/>
      <c r="I3471" s="182"/>
      <c r="J3471" s="182"/>
      <c r="K3471" s="178"/>
      <c r="L3471" s="182"/>
      <c r="M3471" s="182"/>
      <c r="N3471" s="177">
        <f>SUM(N3469:N3470)</f>
        <v>187.845</v>
      </c>
      <c r="O3471" s="177"/>
      <c r="P3471" s="233"/>
      <c r="Q3471" s="224"/>
    </row>
    <row r="3472" spans="1:17" s="228" customFormat="1" ht="21" x14ac:dyDescent="0.25">
      <c r="A3472" s="226" t="str">
        <f>ORÇAMENTO!A668</f>
        <v>6.1.2.6.21</v>
      </c>
      <c r="B3472" s="227" t="str">
        <f>VLOOKUP(A3472,ORÇAMENTO!A:K,4,0)</f>
        <v>EMULSÃO ASFÁLTICA PARA IMPRIMAÇÃO - FORNECIMENTO E TRANSPORTE</v>
      </c>
      <c r="C3472" s="173" t="str">
        <f>VLOOKUP(A3472,ORÇAMENTO!A:K,5,0)</f>
        <v>T</v>
      </c>
      <c r="D3472" s="173">
        <f>ROUND(SUM(E3477:O3477),2)</f>
        <v>0.24</v>
      </c>
      <c r="E3472" s="173" t="s">
        <v>1718</v>
      </c>
      <c r="F3472" s="173" t="s">
        <v>1719</v>
      </c>
      <c r="G3472" s="173" t="s">
        <v>1720</v>
      </c>
      <c r="H3472" s="173" t="s">
        <v>1721</v>
      </c>
      <c r="I3472" s="173" t="s">
        <v>1722</v>
      </c>
      <c r="J3472" s="173" t="s">
        <v>1723</v>
      </c>
      <c r="K3472" s="173" t="s">
        <v>1746</v>
      </c>
      <c r="L3472" s="173" t="s">
        <v>1777</v>
      </c>
      <c r="M3472" s="173" t="s">
        <v>1726</v>
      </c>
      <c r="N3472" s="173" t="s">
        <v>1811</v>
      </c>
      <c r="O3472" s="173" t="s">
        <v>1728</v>
      </c>
      <c r="P3472" s="224"/>
      <c r="Q3472" s="224"/>
    </row>
    <row r="3473" spans="1:17" s="225" customFormat="1" ht="10.5" x14ac:dyDescent="0.25">
      <c r="A3473" s="229"/>
      <c r="B3473" s="232" t="s">
        <v>1780</v>
      </c>
      <c r="C3473" s="177"/>
      <c r="D3473" s="178"/>
      <c r="E3473" s="178"/>
      <c r="F3473" s="178"/>
      <c r="G3473" s="178"/>
      <c r="H3473" s="178"/>
      <c r="I3473" s="178"/>
      <c r="J3473" s="178"/>
      <c r="K3473" s="178"/>
      <c r="L3473" s="178"/>
      <c r="M3473" s="178"/>
      <c r="N3473" s="178">
        <f>N3469</f>
        <v>187.845</v>
      </c>
      <c r="O3473" s="178"/>
      <c r="P3473" s="231"/>
      <c r="Q3473" s="224"/>
    </row>
    <row r="3474" spans="1:17" s="225" customFormat="1" ht="42" x14ac:dyDescent="0.25">
      <c r="A3474" s="229"/>
      <c r="B3474" s="230" t="s">
        <v>1781</v>
      </c>
      <c r="C3474" s="177"/>
      <c r="D3474" s="178"/>
      <c r="E3474" s="178"/>
      <c r="F3474" s="178"/>
      <c r="G3474" s="178"/>
      <c r="H3474" s="178"/>
      <c r="I3474" s="178"/>
      <c r="J3474" s="178"/>
      <c r="K3474" s="178"/>
      <c r="L3474" s="198">
        <v>1.2999999999999999E-3</v>
      </c>
      <c r="M3474" s="178"/>
      <c r="N3474" s="200"/>
      <c r="O3474" s="178"/>
      <c r="P3474" s="231"/>
      <c r="Q3474" s="224"/>
    </row>
    <row r="3475" spans="1:17" s="225" customFormat="1" ht="10.5" x14ac:dyDescent="0.25">
      <c r="A3475" s="229"/>
      <c r="B3475" s="230"/>
      <c r="C3475" s="177"/>
      <c r="D3475" s="178"/>
      <c r="E3475" s="178"/>
      <c r="F3475" s="178"/>
      <c r="G3475" s="178"/>
      <c r="H3475" s="178"/>
      <c r="I3475" s="178"/>
      <c r="J3475" s="178"/>
      <c r="K3475" s="178">
        <f>L3474*N3473</f>
        <v>0.24419849999999999</v>
      </c>
      <c r="L3475" s="178"/>
      <c r="M3475" s="178"/>
      <c r="N3475" s="200"/>
      <c r="O3475" s="178"/>
      <c r="P3475" s="231"/>
      <c r="Q3475" s="224"/>
    </row>
    <row r="3476" spans="1:17" s="225" customFormat="1" ht="10.5" x14ac:dyDescent="0.25">
      <c r="A3476" s="229"/>
      <c r="B3476" s="230"/>
      <c r="C3476" s="177"/>
      <c r="D3476" s="178"/>
      <c r="E3476" s="178"/>
      <c r="F3476" s="178"/>
      <c r="G3476" s="178"/>
      <c r="H3476" s="178"/>
      <c r="I3476" s="178"/>
      <c r="J3476" s="178"/>
      <c r="K3476" s="178"/>
      <c r="L3476" s="178"/>
      <c r="M3476" s="178"/>
      <c r="N3476" s="200"/>
      <c r="O3476" s="178"/>
      <c r="P3476" s="231"/>
      <c r="Q3476" s="224"/>
    </row>
    <row r="3477" spans="1:17" s="225" customFormat="1" ht="10.5" x14ac:dyDescent="0.25">
      <c r="A3477" s="229"/>
      <c r="B3477" s="232" t="s">
        <v>5</v>
      </c>
      <c r="C3477" s="182" t="s">
        <v>1328</v>
      </c>
      <c r="D3477" s="182"/>
      <c r="E3477" s="182"/>
      <c r="F3477" s="182"/>
      <c r="G3477" s="182"/>
      <c r="H3477" s="182"/>
      <c r="I3477" s="182"/>
      <c r="J3477" s="182"/>
      <c r="K3477" s="177">
        <f>SUM(K3473:K3476)</f>
        <v>0.24419849999999999</v>
      </c>
      <c r="L3477" s="182"/>
      <c r="M3477" s="182"/>
      <c r="N3477" s="177"/>
      <c r="O3477" s="177"/>
      <c r="P3477" s="233"/>
      <c r="Q3477" s="224"/>
    </row>
    <row r="3478" spans="1:17" s="228" customFormat="1" ht="21" x14ac:dyDescent="0.25">
      <c r="A3478" s="226" t="str">
        <f>ORÇAMENTO!A669</f>
        <v>6.1.2.6.22</v>
      </c>
      <c r="B3478" s="227" t="str">
        <f>VLOOKUP(A3478,ORÇAMENTO!A:K,4,0)</f>
        <v>USINAGEM DE CBUQ SEM  CAP 50/70, PARA CAPA DE ROLAMENTO (SEM MATERIAL  E TRANSPORTE)</v>
      </c>
      <c r="C3478" s="173" t="str">
        <f>VLOOKUP(A3478,ORÇAMENTO!A:K,5,0)</f>
        <v>T</v>
      </c>
      <c r="D3478" s="173">
        <f>ROUND(SUM(E3483:O3483),2)</f>
        <v>3.42</v>
      </c>
      <c r="E3478" s="173" t="s">
        <v>1718</v>
      </c>
      <c r="F3478" s="173" t="s">
        <v>1719</v>
      </c>
      <c r="G3478" s="173" t="s">
        <v>1720</v>
      </c>
      <c r="H3478" s="173" t="s">
        <v>1721</v>
      </c>
      <c r="I3478" s="173" t="s">
        <v>1722</v>
      </c>
      <c r="J3478" s="173" t="s">
        <v>1723</v>
      </c>
      <c r="K3478" s="173" t="s">
        <v>1746</v>
      </c>
      <c r="L3478" s="173" t="s">
        <v>1804</v>
      </c>
      <c r="M3478" s="173" t="s">
        <v>1726</v>
      </c>
      <c r="N3478" s="173" t="s">
        <v>1811</v>
      </c>
      <c r="O3478" s="173" t="s">
        <v>1728</v>
      </c>
      <c r="P3478" s="224"/>
      <c r="Q3478" s="224"/>
    </row>
    <row r="3479" spans="1:17" s="225" customFormat="1" ht="10.5" x14ac:dyDescent="0.25">
      <c r="A3479" s="229"/>
      <c r="B3479" s="232" t="s">
        <v>1745</v>
      </c>
      <c r="C3479" s="177"/>
      <c r="D3479" s="178"/>
      <c r="E3479" s="178"/>
      <c r="F3479" s="178"/>
      <c r="G3479" s="178"/>
      <c r="H3479" s="178"/>
      <c r="I3479" s="178"/>
      <c r="J3479" s="178"/>
      <c r="K3479" s="178"/>
      <c r="L3479" s="178"/>
      <c r="M3479" s="178"/>
      <c r="N3479" s="178"/>
      <c r="O3479" s="178"/>
      <c r="P3479" s="231"/>
      <c r="Q3479" s="224"/>
    </row>
    <row r="3480" spans="1:17" s="225" customFormat="1" ht="10.5" x14ac:dyDescent="0.25">
      <c r="A3480" s="229"/>
      <c r="B3480" s="230" t="s">
        <v>1785</v>
      </c>
      <c r="C3480" s="177"/>
      <c r="D3480" s="178"/>
      <c r="E3480" s="178"/>
      <c r="F3480" s="178"/>
      <c r="G3480" s="178"/>
      <c r="H3480" s="178"/>
      <c r="I3480" s="178"/>
      <c r="J3480" s="178"/>
      <c r="K3480" s="178"/>
      <c r="L3480" s="178">
        <v>2.4</v>
      </c>
      <c r="M3480" s="178"/>
      <c r="N3480" s="178"/>
      <c r="O3480" s="178"/>
      <c r="P3480" s="231"/>
      <c r="Q3480" s="224"/>
    </row>
    <row r="3481" spans="1:17" s="225" customFormat="1" ht="10.5" x14ac:dyDescent="0.25">
      <c r="A3481" s="229"/>
      <c r="B3481" s="230" t="str">
        <f>B3455</f>
        <v>CONCRETO BETUMINOSO USINADO A QUENTE</v>
      </c>
      <c r="C3481" s="177"/>
      <c r="D3481" s="178"/>
      <c r="E3481" s="178"/>
      <c r="F3481" s="178"/>
      <c r="G3481" s="178"/>
      <c r="H3481" s="178"/>
      <c r="I3481" s="178"/>
      <c r="J3481" s="178"/>
      <c r="K3481" s="178">
        <f>L3480*O3481</f>
        <v>3.41568</v>
      </c>
      <c r="L3481" s="178"/>
      <c r="M3481" s="178"/>
      <c r="N3481" s="178"/>
      <c r="O3481" s="178">
        <f>O3457</f>
        <v>1.4232</v>
      </c>
      <c r="P3481" s="231"/>
      <c r="Q3481" s="224"/>
    </row>
    <row r="3482" spans="1:17" s="225" customFormat="1" ht="10.5" x14ac:dyDescent="0.25">
      <c r="A3482" s="229"/>
      <c r="B3482" s="230"/>
      <c r="C3482" s="177"/>
      <c r="D3482" s="178"/>
      <c r="E3482" s="178"/>
      <c r="F3482" s="178"/>
      <c r="G3482" s="178"/>
      <c r="H3482" s="178"/>
      <c r="I3482" s="178"/>
      <c r="J3482" s="178"/>
      <c r="K3482" s="178"/>
      <c r="L3482" s="178"/>
      <c r="M3482" s="178"/>
      <c r="N3482" s="200"/>
      <c r="O3482" s="178"/>
      <c r="P3482" s="231"/>
      <c r="Q3482" s="224"/>
    </row>
    <row r="3483" spans="1:17" s="225" customFormat="1" ht="10.5" x14ac:dyDescent="0.25">
      <c r="A3483" s="229"/>
      <c r="B3483" s="232" t="s">
        <v>5</v>
      </c>
      <c r="C3483" s="182" t="s">
        <v>1328</v>
      </c>
      <c r="D3483" s="182"/>
      <c r="E3483" s="182"/>
      <c r="F3483" s="182"/>
      <c r="G3483" s="182"/>
      <c r="H3483" s="182"/>
      <c r="I3483" s="182"/>
      <c r="J3483" s="182"/>
      <c r="K3483" s="177">
        <f>SUM(K3479:K3482)</f>
        <v>3.41568</v>
      </c>
      <c r="L3483" s="182"/>
      <c r="M3483" s="182"/>
      <c r="N3483" s="177"/>
      <c r="O3483" s="177"/>
      <c r="P3483" s="233"/>
      <c r="Q3483" s="224"/>
    </row>
    <row r="3484" spans="1:17" s="228" customFormat="1" ht="21" x14ac:dyDescent="0.25">
      <c r="A3484" s="226" t="str">
        <f>ORÇAMENTO!A670</f>
        <v>6.1.2.6.23</v>
      </c>
      <c r="B3484" s="227" t="str">
        <f>VLOOKUP(A3484,ORÇAMENTO!A:K,4,0)</f>
        <v>CIMENTO ASFÁLTICO DE PETRÓLEO - CAP 50/70 FORNECIMENTO E TRANSPORTE</v>
      </c>
      <c r="C3484" s="173" t="str">
        <f>VLOOKUP(A3484,ORÇAMENTO!A:K,5,0)</f>
        <v>T</v>
      </c>
      <c r="D3484" s="173">
        <f>ROUND(SUM(E3488:O3488),2)</f>
        <v>0.22</v>
      </c>
      <c r="E3484" s="173" t="s">
        <v>1718</v>
      </c>
      <c r="F3484" s="173" t="s">
        <v>1719</v>
      </c>
      <c r="G3484" s="173" t="s">
        <v>1720</v>
      </c>
      <c r="H3484" s="173" t="s">
        <v>1721</v>
      </c>
      <c r="I3484" s="173" t="s">
        <v>1722</v>
      </c>
      <c r="J3484" s="173" t="s">
        <v>1723</v>
      </c>
      <c r="K3484" s="173" t="s">
        <v>1746</v>
      </c>
      <c r="L3484" s="173" t="s">
        <v>1753</v>
      </c>
      <c r="M3484" s="173" t="s">
        <v>1730</v>
      </c>
      <c r="N3484" s="173" t="s">
        <v>1727</v>
      </c>
      <c r="O3484" s="173" t="s">
        <v>1728</v>
      </c>
      <c r="P3484" s="224"/>
      <c r="Q3484" s="224"/>
    </row>
    <row r="3485" spans="1:17" s="225" customFormat="1" ht="10.5" x14ac:dyDescent="0.25">
      <c r="A3485" s="229"/>
      <c r="B3485" s="230" t="str">
        <f>B3481</f>
        <v>CONCRETO BETUMINOSO USINADO A QUENTE</v>
      </c>
      <c r="C3485" s="177"/>
      <c r="D3485" s="178"/>
      <c r="E3485" s="178"/>
      <c r="F3485" s="178"/>
      <c r="G3485" s="178"/>
      <c r="H3485" s="178"/>
      <c r="I3485" s="178"/>
      <c r="J3485" s="178"/>
      <c r="K3485" s="178">
        <f>K3481</f>
        <v>3.41568</v>
      </c>
      <c r="L3485" s="178"/>
      <c r="M3485" s="178"/>
      <c r="N3485" s="178"/>
      <c r="O3485" s="178"/>
      <c r="P3485" s="231"/>
      <c r="Q3485" s="224"/>
    </row>
    <row r="3486" spans="1:17" s="225" customFormat="1" ht="10.5" x14ac:dyDescent="0.25">
      <c r="A3486" s="229"/>
      <c r="B3486" s="230" t="s">
        <v>1786</v>
      </c>
      <c r="C3486" s="177"/>
      <c r="D3486" s="178"/>
      <c r="E3486" s="178"/>
      <c r="F3486" s="178"/>
      <c r="G3486" s="178"/>
      <c r="H3486" s="178"/>
      <c r="I3486" s="178"/>
      <c r="J3486" s="178"/>
      <c r="K3486" s="178"/>
      <c r="L3486" s="198">
        <v>6.3229999999999995E-2</v>
      </c>
      <c r="M3486" s="178"/>
      <c r="N3486" s="178"/>
      <c r="O3486" s="178"/>
      <c r="P3486" s="231"/>
      <c r="Q3486" s="224"/>
    </row>
    <row r="3487" spans="1:17" s="225" customFormat="1" ht="10.5" x14ac:dyDescent="0.25">
      <c r="A3487" s="229"/>
      <c r="B3487" s="230"/>
      <c r="C3487" s="177"/>
      <c r="D3487" s="178"/>
      <c r="E3487" s="178"/>
      <c r="F3487" s="178"/>
      <c r="G3487" s="178"/>
      <c r="H3487" s="178"/>
      <c r="I3487" s="178"/>
      <c r="J3487" s="178"/>
      <c r="K3487" s="178">
        <f>K3485*L3486</f>
        <v>0.21597344639999999</v>
      </c>
      <c r="L3487" s="178"/>
      <c r="M3487" s="178"/>
      <c r="N3487" s="178"/>
      <c r="O3487" s="178"/>
      <c r="P3487" s="231"/>
      <c r="Q3487" s="224"/>
    </row>
    <row r="3488" spans="1:17" s="225" customFormat="1" ht="10.5" x14ac:dyDescent="0.25">
      <c r="A3488" s="229"/>
      <c r="B3488" s="232" t="s">
        <v>5</v>
      </c>
      <c r="C3488" s="182" t="s">
        <v>1328</v>
      </c>
      <c r="D3488" s="182"/>
      <c r="E3488" s="182"/>
      <c r="F3488" s="182"/>
      <c r="G3488" s="182"/>
      <c r="H3488" s="182"/>
      <c r="I3488" s="182"/>
      <c r="J3488" s="182"/>
      <c r="K3488" s="177">
        <f>SUM(K3487)</f>
        <v>0.21597344639999999</v>
      </c>
      <c r="L3488" s="182"/>
      <c r="M3488" s="182"/>
      <c r="N3488" s="177"/>
      <c r="O3488" s="177"/>
      <c r="P3488" s="233"/>
      <c r="Q3488" s="224"/>
    </row>
    <row r="3489" spans="1:17" s="228" customFormat="1" ht="52.5" x14ac:dyDescent="0.25">
      <c r="A3489" s="226" t="str">
        <f>ORÇAMENTO!A671</f>
        <v>6.1.2.6.24</v>
      </c>
      <c r="B3489" s="227" t="str">
        <f>VLOOKUP(A3489,ORÇAMENTO!A:K,4,0)</f>
        <v>EXECUÇÃO E COMPACTAÇÃO DE BASE E OU SUB BASE PARA PAVIMENTAÇÃO DE SOLO (PREDOMINANTEMENTE ARENOSO) COM CAL (TEOR DE 4%) - EXCLUSIVE SOLO, ESCAVAÇÃO, CARGA E TRANSPORTE.</v>
      </c>
      <c r="C3489" s="173" t="str">
        <f>VLOOKUP(A3489,ORÇAMENTO!A:K,5,0)</f>
        <v>M³</v>
      </c>
      <c r="D3489" s="173">
        <f>ROUND(SUM(E3493:O3493),2)</f>
        <v>7.12</v>
      </c>
      <c r="E3489" s="173" t="s">
        <v>1718</v>
      </c>
      <c r="F3489" s="173" t="s">
        <v>1719</v>
      </c>
      <c r="G3489" s="173" t="s">
        <v>1720</v>
      </c>
      <c r="H3489" s="173" t="s">
        <v>1721</v>
      </c>
      <c r="I3489" s="173" t="s">
        <v>1722</v>
      </c>
      <c r="J3489" s="173" t="s">
        <v>1723</v>
      </c>
      <c r="K3489" s="173" t="s">
        <v>1724</v>
      </c>
      <c r="L3489" s="173" t="s">
        <v>1804</v>
      </c>
      <c r="M3489" s="173" t="s">
        <v>1726</v>
      </c>
      <c r="N3489" s="173" t="s">
        <v>1811</v>
      </c>
      <c r="O3489" s="173" t="s">
        <v>1728</v>
      </c>
      <c r="P3489" s="224"/>
      <c r="Q3489" s="224"/>
    </row>
    <row r="3490" spans="1:17" s="225" customFormat="1" ht="10.5" x14ac:dyDescent="0.25">
      <c r="A3490" s="229"/>
      <c r="B3490" s="230" t="s">
        <v>1814</v>
      </c>
      <c r="C3490" s="177"/>
      <c r="D3490" s="178"/>
      <c r="E3490" s="178"/>
      <c r="F3490" s="178"/>
      <c r="G3490" s="178"/>
      <c r="H3490" s="178"/>
      <c r="I3490" s="178"/>
      <c r="J3490" s="178"/>
      <c r="K3490" s="178"/>
      <c r="L3490" s="178"/>
      <c r="M3490" s="178"/>
      <c r="N3490" s="200"/>
      <c r="O3490" s="178">
        <f>QUANTBL!AT246</f>
        <v>7.1159999999999997</v>
      </c>
      <c r="P3490" s="231"/>
      <c r="Q3490" s="224"/>
    </row>
    <row r="3491" spans="1:17" s="225" customFormat="1" ht="10.5" x14ac:dyDescent="0.25">
      <c r="A3491" s="229"/>
      <c r="B3491" s="230"/>
      <c r="C3491" s="177"/>
      <c r="D3491" s="178"/>
      <c r="E3491" s="178"/>
      <c r="F3491" s="178"/>
      <c r="G3491" s="178"/>
      <c r="H3491" s="178"/>
      <c r="I3491" s="178"/>
      <c r="J3491" s="178"/>
      <c r="K3491" s="178"/>
      <c r="L3491" s="178"/>
      <c r="M3491" s="178"/>
      <c r="N3491" s="200"/>
      <c r="O3491" s="178"/>
      <c r="P3491" s="231"/>
      <c r="Q3491" s="224"/>
    </row>
    <row r="3492" spans="1:17" s="225" customFormat="1" ht="10.5" x14ac:dyDescent="0.25">
      <c r="A3492" s="229"/>
      <c r="B3492" s="230"/>
      <c r="C3492" s="177"/>
      <c r="D3492" s="178"/>
      <c r="E3492" s="178"/>
      <c r="F3492" s="178"/>
      <c r="G3492" s="178"/>
      <c r="H3492" s="178"/>
      <c r="I3492" s="178"/>
      <c r="J3492" s="178"/>
      <c r="K3492" s="178"/>
      <c r="L3492" s="178"/>
      <c r="M3492" s="178"/>
      <c r="N3492" s="200"/>
      <c r="O3492" s="178"/>
      <c r="P3492" s="231"/>
      <c r="Q3492" s="224"/>
    </row>
    <row r="3493" spans="1:17" s="225" customFormat="1" ht="10.5" x14ac:dyDescent="0.25">
      <c r="A3493" s="229"/>
      <c r="B3493" s="232" t="s">
        <v>5</v>
      </c>
      <c r="C3493" s="182" t="s">
        <v>1328</v>
      </c>
      <c r="D3493" s="182"/>
      <c r="E3493" s="182"/>
      <c r="F3493" s="182"/>
      <c r="G3493" s="182"/>
      <c r="H3493" s="182"/>
      <c r="I3493" s="182"/>
      <c r="J3493" s="182"/>
      <c r="K3493" s="178"/>
      <c r="L3493" s="182"/>
      <c r="M3493" s="182"/>
      <c r="N3493" s="177"/>
      <c r="O3493" s="177">
        <f>SUM(O3490:O3492)</f>
        <v>7.1159999999999997</v>
      </c>
      <c r="P3493" s="233"/>
      <c r="Q3493" s="224"/>
    </row>
    <row r="3494" spans="1:17" s="228" customFormat="1" ht="21" x14ac:dyDescent="0.25">
      <c r="A3494" s="226" t="str">
        <f>ORÇAMENTO!A672</f>
        <v>6.1.2.6.25</v>
      </c>
      <c r="B3494" s="227" t="str">
        <f>VLOOKUP(A3494,ORÇAMENTO!A:K,4,0)</f>
        <v>BASE OU SUB-BASE DE BRITA GRADUADA COM BRITA COMERCIAL</v>
      </c>
      <c r="C3494" s="173" t="str">
        <f>VLOOKUP(A3494,ORÇAMENTO!A:K,5,0)</f>
        <v>M³</v>
      </c>
      <c r="D3494" s="173">
        <f>ROUND(SUM(E3498:O3498),2)</f>
        <v>7.12</v>
      </c>
      <c r="E3494" s="173" t="s">
        <v>1718</v>
      </c>
      <c r="F3494" s="173" t="s">
        <v>1719</v>
      </c>
      <c r="G3494" s="173" t="s">
        <v>1720</v>
      </c>
      <c r="H3494" s="173" t="s">
        <v>1721</v>
      </c>
      <c r="I3494" s="173" t="s">
        <v>1722</v>
      </c>
      <c r="J3494" s="173" t="s">
        <v>1723</v>
      </c>
      <c r="K3494" s="173" t="s">
        <v>1724</v>
      </c>
      <c r="L3494" s="173" t="s">
        <v>1804</v>
      </c>
      <c r="M3494" s="173" t="s">
        <v>1726</v>
      </c>
      <c r="N3494" s="173" t="s">
        <v>1811</v>
      </c>
      <c r="O3494" s="173" t="s">
        <v>1728</v>
      </c>
      <c r="P3494" s="224"/>
      <c r="Q3494" s="224"/>
    </row>
    <row r="3495" spans="1:17" s="225" customFormat="1" ht="10.5" x14ac:dyDescent="0.25">
      <c r="A3495" s="229"/>
      <c r="B3495" s="230" t="s">
        <v>1814</v>
      </c>
      <c r="C3495" s="177"/>
      <c r="D3495" s="178"/>
      <c r="E3495" s="178"/>
      <c r="F3495" s="178"/>
      <c r="G3495" s="178"/>
      <c r="H3495" s="178"/>
      <c r="I3495" s="178"/>
      <c r="J3495" s="178"/>
      <c r="K3495" s="178"/>
      <c r="L3495" s="178"/>
      <c r="M3495" s="178"/>
      <c r="N3495" s="200"/>
      <c r="O3495" s="178">
        <f>QUANTBL!AU246</f>
        <v>7.1159999999999997</v>
      </c>
      <c r="P3495" s="231"/>
      <c r="Q3495" s="224"/>
    </row>
    <row r="3496" spans="1:17" s="225" customFormat="1" ht="10.5" x14ac:dyDescent="0.25">
      <c r="A3496" s="229"/>
      <c r="B3496" s="230"/>
      <c r="C3496" s="177"/>
      <c r="D3496" s="178"/>
      <c r="E3496" s="178"/>
      <c r="F3496" s="178"/>
      <c r="G3496" s="178"/>
      <c r="H3496" s="178"/>
      <c r="I3496" s="178"/>
      <c r="J3496" s="178"/>
      <c r="K3496" s="178"/>
      <c r="L3496" s="178"/>
      <c r="M3496" s="178"/>
      <c r="N3496" s="200"/>
      <c r="O3496" s="178"/>
      <c r="P3496" s="231"/>
      <c r="Q3496" s="224"/>
    </row>
    <row r="3497" spans="1:17" s="225" customFormat="1" ht="10.5" x14ac:dyDescent="0.25">
      <c r="A3497" s="229"/>
      <c r="B3497" s="230"/>
      <c r="C3497" s="177"/>
      <c r="D3497" s="178"/>
      <c r="E3497" s="178"/>
      <c r="F3497" s="178"/>
      <c r="G3497" s="178"/>
      <c r="H3497" s="178"/>
      <c r="I3497" s="178"/>
      <c r="J3497" s="178"/>
      <c r="K3497" s="178"/>
      <c r="L3497" s="178"/>
      <c r="M3497" s="178"/>
      <c r="N3497" s="200"/>
      <c r="O3497" s="178"/>
      <c r="P3497" s="231"/>
      <c r="Q3497" s="224"/>
    </row>
    <row r="3498" spans="1:17" s="225" customFormat="1" ht="10.5" x14ac:dyDescent="0.25">
      <c r="A3498" s="229"/>
      <c r="B3498" s="232" t="s">
        <v>5</v>
      </c>
      <c r="C3498" s="182" t="s">
        <v>1328</v>
      </c>
      <c r="D3498" s="182"/>
      <c r="E3498" s="182"/>
      <c r="F3498" s="182"/>
      <c r="G3498" s="182"/>
      <c r="H3498" s="182"/>
      <c r="I3498" s="182"/>
      <c r="J3498" s="182"/>
      <c r="K3498" s="178"/>
      <c r="L3498" s="182"/>
      <c r="M3498" s="182"/>
      <c r="N3498" s="177"/>
      <c r="O3498" s="177">
        <f>SUM(O3495:O3497)</f>
        <v>7.1159999999999997</v>
      </c>
      <c r="P3498" s="233"/>
      <c r="Q3498" s="224"/>
    </row>
    <row r="3499" spans="1:17" s="228" customFormat="1" ht="21" x14ac:dyDescent="0.25">
      <c r="A3499" s="226" t="str">
        <f>ORÇAMENTO!A673</f>
        <v>6.1.2.6.26</v>
      </c>
      <c r="B3499" s="227" t="str">
        <f>VLOOKUP(A3499,ORÇAMENTO!A:K,4,0)</f>
        <v>CAL HIDRATADA - A GRANEL</v>
      </c>
      <c r="C3499" s="173" t="str">
        <f>VLOOKUP(A3499,ORÇAMENTO!A:K,5,0)</f>
        <v>KG</v>
      </c>
      <c r="D3499" s="173">
        <f>ROUND(SUM(E3503:O3503),2)</f>
        <v>738.32</v>
      </c>
      <c r="E3499" s="173" t="s">
        <v>1718</v>
      </c>
      <c r="F3499" s="173" t="s">
        <v>1719</v>
      </c>
      <c r="G3499" s="173" t="s">
        <v>1720</v>
      </c>
      <c r="H3499" s="173" t="s">
        <v>1721</v>
      </c>
      <c r="I3499" s="173" t="s">
        <v>1722</v>
      </c>
      <c r="J3499" s="173" t="s">
        <v>1723</v>
      </c>
      <c r="K3499" s="173" t="s">
        <v>1724</v>
      </c>
      <c r="L3499" s="173" t="s">
        <v>1753</v>
      </c>
      <c r="M3499" s="173" t="s">
        <v>1726</v>
      </c>
      <c r="N3499" s="173" t="s">
        <v>1811</v>
      </c>
      <c r="O3499" s="173" t="s">
        <v>1728</v>
      </c>
      <c r="P3499" s="224"/>
      <c r="Q3499" s="224"/>
    </row>
    <row r="3500" spans="1:17" s="225" customFormat="1" ht="10.5" x14ac:dyDescent="0.25">
      <c r="A3500" s="229"/>
      <c r="B3500" s="232" t="s">
        <v>1815</v>
      </c>
      <c r="C3500" s="177"/>
      <c r="D3500" s="178"/>
      <c r="E3500" s="178"/>
      <c r="F3500" s="178"/>
      <c r="G3500" s="178"/>
      <c r="H3500" s="178"/>
      <c r="I3500" s="178"/>
      <c r="J3500" s="178"/>
      <c r="K3500" s="178"/>
      <c r="L3500" s="178"/>
      <c r="M3500" s="178"/>
      <c r="N3500" s="200"/>
      <c r="O3500" s="178">
        <f>QUANTBL!BD246</f>
        <v>0.28464</v>
      </c>
      <c r="P3500" s="231"/>
      <c r="Q3500" s="224"/>
    </row>
    <row r="3501" spans="1:17" s="225" customFormat="1" ht="10.5" x14ac:dyDescent="0.25">
      <c r="A3501" s="229"/>
      <c r="B3501" s="232" t="s">
        <v>451</v>
      </c>
      <c r="C3501" s="177"/>
      <c r="D3501" s="178"/>
      <c r="E3501" s="178"/>
      <c r="F3501" s="178"/>
      <c r="G3501" s="178"/>
      <c r="H3501" s="178"/>
      <c r="I3501" s="178"/>
      <c r="J3501" s="178"/>
      <c r="K3501" s="178"/>
      <c r="L3501" s="178"/>
      <c r="M3501" s="178"/>
      <c r="N3501" s="200"/>
      <c r="O3501" s="178">
        <f>QUANTBL!CM246</f>
        <v>7.3247999999999994E-2</v>
      </c>
      <c r="P3501" s="231"/>
      <c r="Q3501" s="224"/>
    </row>
    <row r="3502" spans="1:17" s="225" customFormat="1" ht="31.5" x14ac:dyDescent="0.25">
      <c r="A3502" s="229"/>
      <c r="B3502" s="230" t="s">
        <v>1782</v>
      </c>
      <c r="C3502" s="177"/>
      <c r="D3502" s="178"/>
      <c r="E3502" s="178"/>
      <c r="F3502" s="178"/>
      <c r="G3502" s="178"/>
      <c r="H3502" s="178"/>
      <c r="I3502" s="178"/>
      <c r="J3502" s="178"/>
      <c r="K3502" s="178">
        <f>L3502*O3500+L3502*O3501</f>
        <v>738.32294400000001</v>
      </c>
      <c r="L3502" s="178">
        <f>82.52/0.04</f>
        <v>2063</v>
      </c>
      <c r="M3502" s="178"/>
      <c r="N3502" s="200"/>
      <c r="O3502" s="178"/>
      <c r="P3502" s="231"/>
      <c r="Q3502" s="224"/>
    </row>
    <row r="3503" spans="1:17" s="225" customFormat="1" ht="10.5" x14ac:dyDescent="0.25">
      <c r="A3503" s="229"/>
      <c r="B3503" s="232" t="s">
        <v>5</v>
      </c>
      <c r="C3503" s="182" t="s">
        <v>1328</v>
      </c>
      <c r="D3503" s="182"/>
      <c r="E3503" s="182"/>
      <c r="F3503" s="182"/>
      <c r="G3503" s="182"/>
      <c r="H3503" s="182"/>
      <c r="I3503" s="182"/>
      <c r="J3503" s="182"/>
      <c r="K3503" s="177">
        <f>SUM(K3500:K3502)</f>
        <v>738.32294400000001</v>
      </c>
      <c r="L3503" s="182"/>
      <c r="M3503" s="182"/>
      <c r="N3503" s="177"/>
      <c r="O3503" s="177"/>
      <c r="P3503" s="233"/>
      <c r="Q3503" s="224"/>
    </row>
    <row r="3504" spans="1:17" s="228" customFormat="1" ht="21" x14ac:dyDescent="0.25">
      <c r="A3504" s="226" t="str">
        <f>ORÇAMENTO!A674</f>
        <v>6.1.2.6.27</v>
      </c>
      <c r="B3504" s="227" t="str">
        <f>VLOOKUP(A3504,ORÇAMENTO!A:K,4,0)</f>
        <v>REATERRO MANUAL APILOADO COM SOQUETE</v>
      </c>
      <c r="C3504" s="173" t="str">
        <f>VLOOKUP(A3504,ORÇAMENTO!A:K,5,0)</f>
        <v>M³</v>
      </c>
      <c r="D3504" s="173">
        <f>ROUND(SUM(E3508:O3508),2)</f>
        <v>107.89</v>
      </c>
      <c r="E3504" s="173" t="s">
        <v>1718</v>
      </c>
      <c r="F3504" s="173" t="s">
        <v>1719</v>
      </c>
      <c r="G3504" s="173" t="s">
        <v>1720</v>
      </c>
      <c r="H3504" s="173" t="s">
        <v>1721</v>
      </c>
      <c r="I3504" s="173" t="s">
        <v>1722</v>
      </c>
      <c r="J3504" s="173" t="s">
        <v>1723</v>
      </c>
      <c r="K3504" s="173" t="s">
        <v>1724</v>
      </c>
      <c r="L3504" s="173" t="s">
        <v>1804</v>
      </c>
      <c r="M3504" s="173" t="s">
        <v>1726</v>
      </c>
      <c r="N3504" s="173" t="s">
        <v>1811</v>
      </c>
      <c r="O3504" s="173" t="s">
        <v>1728</v>
      </c>
      <c r="P3504" s="224"/>
      <c r="Q3504" s="224"/>
    </row>
    <row r="3505" spans="1:17" s="225" customFormat="1" ht="10.5" x14ac:dyDescent="0.25">
      <c r="A3505" s="229"/>
      <c r="B3505" s="232" t="s">
        <v>1815</v>
      </c>
      <c r="C3505" s="177"/>
      <c r="D3505" s="178"/>
      <c r="E3505" s="178"/>
      <c r="F3505" s="178"/>
      <c r="G3505" s="178"/>
      <c r="H3505" s="178"/>
      <c r="I3505" s="178"/>
      <c r="J3505" s="178"/>
      <c r="K3505" s="178"/>
      <c r="L3505" s="178"/>
      <c r="M3505" s="178"/>
      <c r="N3505" s="200"/>
      <c r="O3505" s="178"/>
      <c r="P3505" s="231"/>
      <c r="Q3505" s="224"/>
    </row>
    <row r="3506" spans="1:17" s="225" customFormat="1" ht="10.5" x14ac:dyDescent="0.25">
      <c r="A3506" s="229"/>
      <c r="B3506" s="230" t="s">
        <v>1787</v>
      </c>
      <c r="C3506" s="177"/>
      <c r="D3506" s="178"/>
      <c r="E3506" s="178"/>
      <c r="F3506" s="178"/>
      <c r="G3506" s="178"/>
      <c r="H3506" s="178"/>
      <c r="I3506" s="178"/>
      <c r="J3506" s="178"/>
      <c r="K3506" s="178"/>
      <c r="L3506" s="178"/>
      <c r="M3506" s="178"/>
      <c r="N3506" s="200"/>
      <c r="O3506" s="178">
        <f>QUANTBL!AR246</f>
        <v>107.88620111945701</v>
      </c>
      <c r="P3506" s="231"/>
      <c r="Q3506" s="224"/>
    </row>
    <row r="3507" spans="1:17" s="225" customFormat="1" ht="10.5" x14ac:dyDescent="0.25">
      <c r="A3507" s="229"/>
      <c r="B3507" s="230"/>
      <c r="C3507" s="177"/>
      <c r="D3507" s="178"/>
      <c r="E3507" s="178"/>
      <c r="F3507" s="178"/>
      <c r="G3507" s="178"/>
      <c r="H3507" s="178"/>
      <c r="I3507" s="178"/>
      <c r="J3507" s="178"/>
      <c r="K3507" s="178"/>
      <c r="L3507" s="178"/>
      <c r="M3507" s="178"/>
      <c r="N3507" s="200"/>
      <c r="O3507" s="178"/>
      <c r="P3507" s="231"/>
      <c r="Q3507" s="224"/>
    </row>
    <row r="3508" spans="1:17" s="225" customFormat="1" ht="10.5" x14ac:dyDescent="0.25">
      <c r="A3508" s="229"/>
      <c r="B3508" s="232" t="s">
        <v>5</v>
      </c>
      <c r="C3508" s="182" t="s">
        <v>1328</v>
      </c>
      <c r="D3508" s="182"/>
      <c r="E3508" s="182"/>
      <c r="F3508" s="182"/>
      <c r="G3508" s="182"/>
      <c r="H3508" s="182"/>
      <c r="I3508" s="182"/>
      <c r="J3508" s="182"/>
      <c r="K3508" s="178"/>
      <c r="L3508" s="182"/>
      <c r="M3508" s="182"/>
      <c r="N3508" s="177"/>
      <c r="O3508" s="177">
        <f>SUM(O3505:O3507)</f>
        <v>107.88620111945701</v>
      </c>
      <c r="P3508" s="233"/>
      <c r="Q3508" s="224"/>
    </row>
    <row r="3509" spans="1:17" s="228" customFormat="1" ht="31.5" x14ac:dyDescent="0.25">
      <c r="A3509" s="226" t="str">
        <f>ORÇAMENTO!A675</f>
        <v>6.1.2.6.28</v>
      </c>
      <c r="B3509" s="227" t="str">
        <f>VLOOKUP(A3509,ORÇAMENTO!A:K,4,0)</f>
        <v>REATERRO COMPACTADO MECANICAMENTE EM CAMADAS DE 0,20 M COM APROVEITAMENTO DO MATERIAL ESCAVADO.</v>
      </c>
      <c r="C3509" s="173" t="str">
        <f>VLOOKUP(A3509,ORÇAMENTO!A:K,5,0)</f>
        <v>M³</v>
      </c>
      <c r="D3509" s="173">
        <f>ROUND(SUM(E3516:O3516),2)</f>
        <v>540.48</v>
      </c>
      <c r="E3509" s="173" t="s">
        <v>1718</v>
      </c>
      <c r="F3509" s="173" t="s">
        <v>1719</v>
      </c>
      <c r="G3509" s="173" t="s">
        <v>1720</v>
      </c>
      <c r="H3509" s="173" t="s">
        <v>1721</v>
      </c>
      <c r="I3509" s="173" t="s">
        <v>1722</v>
      </c>
      <c r="J3509" s="173" t="s">
        <v>1723</v>
      </c>
      <c r="K3509" s="173" t="s">
        <v>1724</v>
      </c>
      <c r="L3509" s="173" t="s">
        <v>1753</v>
      </c>
      <c r="M3509" s="173" t="s">
        <v>1726</v>
      </c>
      <c r="N3509" s="173" t="s">
        <v>1811</v>
      </c>
      <c r="O3509" s="173" t="s">
        <v>1728</v>
      </c>
      <c r="P3509" s="224"/>
      <c r="Q3509" s="224"/>
    </row>
    <row r="3510" spans="1:17" s="225" customFormat="1" ht="10.5" x14ac:dyDescent="0.25">
      <c r="A3510" s="229"/>
      <c r="B3510" s="232" t="s">
        <v>1815</v>
      </c>
      <c r="C3510" s="177"/>
      <c r="D3510" s="178"/>
      <c r="E3510" s="178"/>
      <c r="F3510" s="178"/>
      <c r="G3510" s="178"/>
      <c r="H3510" s="178"/>
      <c r="I3510" s="178"/>
      <c r="J3510" s="178"/>
      <c r="K3510" s="178"/>
      <c r="L3510" s="178"/>
      <c r="M3510" s="178"/>
      <c r="N3510" s="200"/>
      <c r="O3510" s="178"/>
      <c r="P3510" s="231"/>
      <c r="Q3510" s="224"/>
    </row>
    <row r="3511" spans="1:17" s="225" customFormat="1" ht="10.5" x14ac:dyDescent="0.25">
      <c r="A3511" s="229"/>
      <c r="B3511" s="230" t="s">
        <v>1787</v>
      </c>
      <c r="C3511" s="177"/>
      <c r="D3511" s="178"/>
      <c r="E3511" s="178"/>
      <c r="F3511" s="178"/>
      <c r="G3511" s="178"/>
      <c r="H3511" s="178"/>
      <c r="I3511" s="178"/>
      <c r="J3511" s="178"/>
      <c r="K3511" s="178"/>
      <c r="L3511" s="178"/>
      <c r="M3511" s="178"/>
      <c r="N3511" s="200"/>
      <c r="O3511" s="178">
        <f>QUANTBL!AY246</f>
        <v>267.63064536077667</v>
      </c>
      <c r="P3511" s="231"/>
      <c r="Q3511" s="224"/>
    </row>
    <row r="3512" spans="1:17" s="225" customFormat="1" ht="10.5" x14ac:dyDescent="0.25">
      <c r="A3512" s="229"/>
      <c r="B3512" s="230" t="s">
        <v>1816</v>
      </c>
      <c r="C3512" s="177"/>
      <c r="D3512" s="178"/>
      <c r="E3512" s="178"/>
      <c r="F3512" s="178"/>
      <c r="G3512" s="178"/>
      <c r="H3512" s="178"/>
      <c r="I3512" s="178"/>
      <c r="J3512" s="178"/>
      <c r="K3512" s="178"/>
      <c r="L3512" s="178"/>
      <c r="M3512" s="178"/>
      <c r="N3512" s="200"/>
      <c r="O3512" s="178">
        <f>QUANTBL!BA246</f>
        <v>1.3416641392235231</v>
      </c>
      <c r="P3512" s="231"/>
      <c r="Q3512" s="224"/>
    </row>
    <row r="3513" spans="1:17" s="225" customFormat="1" ht="10.5" x14ac:dyDescent="0.25">
      <c r="A3513" s="229"/>
      <c r="B3513" s="230" t="s">
        <v>1790</v>
      </c>
      <c r="C3513" s="177"/>
      <c r="D3513" s="178"/>
      <c r="E3513" s="178"/>
      <c r="F3513" s="178"/>
      <c r="G3513" s="178"/>
      <c r="H3513" s="178"/>
      <c r="I3513" s="178"/>
      <c r="J3513" s="178"/>
      <c r="K3513" s="178"/>
      <c r="L3513" s="178"/>
      <c r="M3513" s="178"/>
      <c r="N3513" s="200"/>
      <c r="O3513" s="178">
        <f>QUANTBL!AO246</f>
        <v>0</v>
      </c>
      <c r="P3513" s="231"/>
      <c r="Q3513" s="224"/>
    </row>
    <row r="3514" spans="1:17" s="225" customFormat="1" ht="10.5" x14ac:dyDescent="0.25">
      <c r="A3514" s="229"/>
      <c r="B3514" s="232" t="s">
        <v>451</v>
      </c>
      <c r="C3514" s="177"/>
      <c r="D3514" s="178"/>
      <c r="E3514" s="178"/>
      <c r="F3514" s="178"/>
      <c r="G3514" s="178"/>
      <c r="H3514" s="178"/>
      <c r="I3514" s="178"/>
      <c r="J3514" s="178"/>
      <c r="K3514" s="178"/>
      <c r="L3514" s="178"/>
      <c r="M3514" s="178"/>
      <c r="N3514" s="200"/>
      <c r="O3514" s="178"/>
      <c r="P3514" s="231"/>
      <c r="Q3514" s="224"/>
    </row>
    <row r="3515" spans="1:17" s="225" customFormat="1" ht="10.5" x14ac:dyDescent="0.25">
      <c r="A3515" s="229"/>
      <c r="B3515" s="230" t="s">
        <v>1787</v>
      </c>
      <c r="C3515" s="177"/>
      <c r="D3515" s="178"/>
      <c r="E3515" s="178"/>
      <c r="F3515" s="178"/>
      <c r="G3515" s="178"/>
      <c r="H3515" s="178"/>
      <c r="I3515" s="178"/>
      <c r="J3515" s="178"/>
      <c r="K3515" s="178"/>
      <c r="L3515" s="178"/>
      <c r="M3515" s="178"/>
      <c r="N3515" s="200"/>
      <c r="O3515" s="178">
        <f>QUANTBL!CK246</f>
        <v>271.50432799999942</v>
      </c>
      <c r="P3515" s="231"/>
      <c r="Q3515" s="224"/>
    </row>
    <row r="3516" spans="1:17" s="225" customFormat="1" ht="10.5" x14ac:dyDescent="0.25">
      <c r="A3516" s="229"/>
      <c r="B3516" s="232" t="s">
        <v>5</v>
      </c>
      <c r="C3516" s="182" t="s">
        <v>1328</v>
      </c>
      <c r="D3516" s="182"/>
      <c r="E3516" s="182"/>
      <c r="F3516" s="182"/>
      <c r="G3516" s="182"/>
      <c r="H3516" s="182"/>
      <c r="I3516" s="182"/>
      <c r="J3516" s="182"/>
      <c r="K3516" s="177"/>
      <c r="L3516" s="182"/>
      <c r="M3516" s="182"/>
      <c r="N3516" s="177"/>
      <c r="O3516" s="177">
        <f>SUM(O3511:O3515)</f>
        <v>540.47663749999958</v>
      </c>
      <c r="P3516" s="233"/>
      <c r="Q3516" s="224"/>
    </row>
    <row r="3517" spans="1:17" s="228" customFormat="1" ht="52.5" x14ac:dyDescent="0.25">
      <c r="A3517" s="226" t="str">
        <f>ORÇAMENTO!A676</f>
        <v>6.1.2.6.29</v>
      </c>
      <c r="B3517" s="227" t="str">
        <f>VLOOKUP(A3517,ORÇAMENTO!A:K,4,0)</f>
        <v>CARGA, MANOBRA E DESCARGA DE SOLOS E MATERIAIS GRANULARES EM CAMINHÃO BASCULANTE 14 M³ - CARGA COM ESCAVADEIRA HIDRÁULICA (CAÇAMBA DE 1,20 M³ / 155 HP) E DESCARGA LIVRE (UNIDADE: M3). AF_07/2020</v>
      </c>
      <c r="C3517" s="173" t="str">
        <f>VLOOKUP(A3517,ORÇAMENTO!A:K,5,0)</f>
        <v>M³</v>
      </c>
      <c r="D3517" s="173">
        <f>ROUND(SUM(E3532:O3532),2)</f>
        <v>253.5</v>
      </c>
      <c r="E3517" s="173" t="s">
        <v>1718</v>
      </c>
      <c r="F3517" s="173" t="s">
        <v>1719</v>
      </c>
      <c r="G3517" s="173" t="s">
        <v>1720</v>
      </c>
      <c r="H3517" s="173" t="s">
        <v>1721</v>
      </c>
      <c r="I3517" s="173" t="s">
        <v>1722</v>
      </c>
      <c r="J3517" s="173" t="s">
        <v>1723</v>
      </c>
      <c r="K3517" s="173" t="s">
        <v>1724</v>
      </c>
      <c r="L3517" s="173" t="s">
        <v>1804</v>
      </c>
      <c r="M3517" s="173" t="s">
        <v>1726</v>
      </c>
      <c r="N3517" s="173" t="s">
        <v>1809</v>
      </c>
      <c r="O3517" s="173" t="s">
        <v>1728</v>
      </c>
      <c r="P3517" s="224"/>
      <c r="Q3517" s="224"/>
    </row>
    <row r="3518" spans="1:17" s="225" customFormat="1" ht="10.5" x14ac:dyDescent="0.25">
      <c r="A3518" s="229"/>
      <c r="B3518" s="230" t="s">
        <v>1772</v>
      </c>
      <c r="C3518" s="177"/>
      <c r="D3518" s="178"/>
      <c r="E3518" s="178"/>
      <c r="F3518" s="178"/>
      <c r="G3518" s="178"/>
      <c r="H3518" s="178"/>
      <c r="I3518" s="178"/>
      <c r="J3518" s="178"/>
      <c r="K3518" s="178"/>
      <c r="L3518" s="178"/>
      <c r="M3518" s="178"/>
      <c r="N3518" s="200"/>
      <c r="O3518" s="178"/>
      <c r="P3518" s="231"/>
      <c r="Q3518" s="224"/>
    </row>
    <row r="3519" spans="1:17" s="228" customFormat="1" ht="10.5" x14ac:dyDescent="0.25">
      <c r="A3519" s="239"/>
      <c r="B3519" s="232" t="str">
        <f>B3510</f>
        <v>LIGAÇÃO BOCA - PV</v>
      </c>
      <c r="C3519" s="177"/>
      <c r="D3519" s="177"/>
      <c r="E3519" s="177"/>
      <c r="F3519" s="177"/>
      <c r="G3519" s="177"/>
      <c r="H3519" s="177"/>
      <c r="I3519" s="177"/>
      <c r="J3519" s="177"/>
      <c r="K3519" s="177"/>
      <c r="L3519" s="177"/>
      <c r="M3519" s="177"/>
      <c r="N3519" s="202"/>
      <c r="O3519" s="177"/>
      <c r="P3519" s="231"/>
      <c r="Q3519" s="224"/>
    </row>
    <row r="3520" spans="1:17" s="225" customFormat="1" ht="10.5" x14ac:dyDescent="0.25">
      <c r="A3520" s="229"/>
      <c r="B3520" s="230" t="s">
        <v>1817</v>
      </c>
      <c r="C3520" s="177"/>
      <c r="D3520" s="178"/>
      <c r="E3520" s="178"/>
      <c r="F3520" s="178"/>
      <c r="G3520" s="178"/>
      <c r="H3520" s="178"/>
      <c r="I3520" s="178"/>
      <c r="J3520" s="178"/>
      <c r="K3520" s="178"/>
      <c r="L3520" s="178"/>
      <c r="M3520" s="178"/>
      <c r="N3520" s="200"/>
      <c r="O3520" s="178">
        <f>QUANTBL!BC248</f>
        <v>37.062676880542369</v>
      </c>
      <c r="P3520" s="231"/>
      <c r="Q3520" s="224"/>
    </row>
    <row r="3521" spans="1:19" s="225" customFormat="1" ht="10.5" x14ac:dyDescent="0.25">
      <c r="A3521" s="229"/>
      <c r="B3521" s="240" t="s">
        <v>1818</v>
      </c>
      <c r="C3521" s="177"/>
      <c r="D3521" s="178"/>
      <c r="E3521" s="178"/>
      <c r="F3521" s="178"/>
      <c r="G3521" s="178"/>
      <c r="H3521" s="178"/>
      <c r="I3521" s="178"/>
      <c r="J3521" s="178"/>
      <c r="K3521" s="178"/>
      <c r="L3521" s="178"/>
      <c r="M3521" s="178"/>
      <c r="N3521" s="200"/>
      <c r="O3521" s="178">
        <f>QUANTBL!BC247</f>
        <v>3.0508720000006697</v>
      </c>
      <c r="P3521" s="231"/>
      <c r="Q3521" s="224"/>
    </row>
    <row r="3522" spans="1:19" s="228" customFormat="1" ht="10.5" x14ac:dyDescent="0.25">
      <c r="A3522" s="239"/>
      <c r="B3522" s="241" t="str">
        <f>B3514</f>
        <v>BOCAS DE LOBO</v>
      </c>
      <c r="C3522" s="177"/>
      <c r="D3522" s="177"/>
      <c r="E3522" s="177"/>
      <c r="F3522" s="177"/>
      <c r="G3522" s="177"/>
      <c r="H3522" s="177"/>
      <c r="I3522" s="177"/>
      <c r="J3522" s="177"/>
      <c r="K3522" s="177"/>
      <c r="L3522" s="177"/>
      <c r="M3522" s="177"/>
      <c r="N3522" s="202"/>
      <c r="O3522" s="177"/>
      <c r="P3522" s="231"/>
      <c r="Q3522" s="224"/>
    </row>
    <row r="3523" spans="1:19" s="225" customFormat="1" ht="10.5" x14ac:dyDescent="0.25">
      <c r="A3523" s="229"/>
      <c r="B3523" s="230" t="s">
        <v>1817</v>
      </c>
      <c r="C3523" s="177"/>
      <c r="D3523" s="178"/>
      <c r="E3523" s="178"/>
      <c r="F3523" s="178"/>
      <c r="G3523" s="178"/>
      <c r="H3523" s="178"/>
      <c r="I3523" s="178"/>
      <c r="J3523" s="178"/>
      <c r="K3523" s="178"/>
      <c r="L3523" s="178"/>
      <c r="M3523" s="178"/>
      <c r="N3523" s="200"/>
      <c r="O3523" s="178">
        <f>QUANTBL!CM249</f>
        <v>202.28870135999986</v>
      </c>
      <c r="P3523" s="231"/>
      <c r="Q3523" s="224"/>
    </row>
    <row r="3524" spans="1:19" s="225" customFormat="1" ht="10.5" x14ac:dyDescent="0.25">
      <c r="A3524" s="229"/>
      <c r="B3524" s="240" t="s">
        <v>1818</v>
      </c>
      <c r="C3524" s="177"/>
      <c r="D3524" s="178"/>
      <c r="E3524" s="178"/>
      <c r="F3524" s="178"/>
      <c r="G3524" s="178"/>
      <c r="H3524" s="178"/>
      <c r="I3524" s="178"/>
      <c r="J3524" s="178"/>
      <c r="K3524" s="178"/>
      <c r="L3524" s="178"/>
      <c r="M3524" s="178"/>
      <c r="N3524" s="200"/>
      <c r="O3524" s="178">
        <f>QUANTBL!CM248</f>
        <v>0.36623999999999945</v>
      </c>
      <c r="P3524" s="231"/>
      <c r="Q3524" s="224"/>
    </row>
    <row r="3525" spans="1:19" s="225" customFormat="1" ht="10.5" x14ac:dyDescent="0.25">
      <c r="A3525" s="229"/>
      <c r="B3525" s="240"/>
      <c r="C3525" s="177"/>
      <c r="D3525" s="178"/>
      <c r="E3525" s="178"/>
      <c r="F3525" s="178"/>
      <c r="G3525" s="178"/>
      <c r="H3525" s="178"/>
      <c r="I3525" s="178"/>
      <c r="J3525" s="178"/>
      <c r="K3525" s="178"/>
      <c r="L3525" s="178"/>
      <c r="M3525" s="178"/>
      <c r="N3525" s="200"/>
      <c r="O3525" s="178"/>
      <c r="P3525" s="231"/>
      <c r="Q3525" s="224"/>
    </row>
    <row r="3526" spans="1:19" s="228" customFormat="1" ht="10.5" x14ac:dyDescent="0.25">
      <c r="A3526" s="239"/>
      <c r="B3526" s="241" t="s">
        <v>1819</v>
      </c>
      <c r="C3526" s="177"/>
      <c r="D3526" s="177"/>
      <c r="E3526" s="177"/>
      <c r="F3526" s="177"/>
      <c r="G3526" s="177"/>
      <c r="H3526" s="177"/>
      <c r="I3526" s="177"/>
      <c r="J3526" s="177"/>
      <c r="K3526" s="177"/>
      <c r="L3526" s="177"/>
      <c r="M3526" s="177"/>
      <c r="N3526" s="202"/>
      <c r="O3526" s="177"/>
      <c r="P3526" s="231"/>
      <c r="Q3526" s="224"/>
    </row>
    <row r="3527" spans="1:19" s="225" customFormat="1" ht="10.5" x14ac:dyDescent="0.25">
      <c r="A3527" s="229"/>
      <c r="B3527" s="240" t="s">
        <v>1820</v>
      </c>
      <c r="C3527" s="177"/>
      <c r="D3527" s="178"/>
      <c r="E3527" s="178"/>
      <c r="F3527" s="178"/>
      <c r="G3527" s="178"/>
      <c r="H3527" s="178"/>
      <c r="I3527" s="178"/>
      <c r="J3527" s="178"/>
      <c r="K3527" s="178"/>
      <c r="L3527" s="178"/>
      <c r="M3527" s="178"/>
      <c r="N3527" s="200"/>
      <c r="O3527" s="178">
        <f>QUANTBL!AP246</f>
        <v>0</v>
      </c>
      <c r="P3527" s="231"/>
      <c r="Q3527" s="224"/>
    </row>
    <row r="3528" spans="1:19" s="225" customFormat="1" ht="10.5" x14ac:dyDescent="0.25">
      <c r="A3528" s="229"/>
      <c r="B3528" s="240" t="s">
        <v>1821</v>
      </c>
      <c r="C3528" s="177"/>
      <c r="D3528" s="178"/>
      <c r="E3528" s="178"/>
      <c r="F3528" s="178"/>
      <c r="G3528" s="178"/>
      <c r="H3528" s="178"/>
      <c r="I3528" s="178"/>
      <c r="J3528" s="178"/>
      <c r="K3528" s="178"/>
      <c r="L3528" s="178"/>
      <c r="M3528" s="178"/>
      <c r="N3528" s="200"/>
      <c r="O3528" s="178">
        <f>QUANTBL!AS246</f>
        <v>0</v>
      </c>
      <c r="P3528" s="231"/>
      <c r="Q3528" s="224"/>
    </row>
    <row r="3529" spans="1:19" s="225" customFormat="1" ht="10.5" x14ac:dyDescent="0.25">
      <c r="A3529" s="229"/>
      <c r="B3529" s="240" t="s">
        <v>1822</v>
      </c>
      <c r="C3529" s="177"/>
      <c r="D3529" s="178"/>
      <c r="E3529" s="178"/>
      <c r="F3529" s="178"/>
      <c r="G3529" s="178"/>
      <c r="H3529" s="178"/>
      <c r="I3529" s="178"/>
      <c r="J3529" s="178"/>
      <c r="K3529" s="178"/>
      <c r="L3529" s="178"/>
      <c r="M3529" s="178"/>
      <c r="N3529" s="200"/>
      <c r="O3529" s="178">
        <f>QUANTBL!BA246</f>
        <v>1.3416641392235231</v>
      </c>
      <c r="P3529" s="231"/>
      <c r="Q3529" s="224"/>
    </row>
    <row r="3530" spans="1:19" s="225" customFormat="1" ht="21" x14ac:dyDescent="0.25">
      <c r="A3530" s="229"/>
      <c r="B3530" s="230" t="s">
        <v>1792</v>
      </c>
      <c r="C3530" s="177"/>
      <c r="D3530" s="178"/>
      <c r="E3530" s="178"/>
      <c r="F3530" s="178"/>
      <c r="G3530" s="178"/>
      <c r="H3530" s="178"/>
      <c r="I3530" s="178"/>
      <c r="J3530" s="178"/>
      <c r="K3530" s="178"/>
      <c r="L3530" s="178"/>
      <c r="M3530" s="178"/>
      <c r="N3530" s="200"/>
      <c r="O3530" s="178">
        <f>O3453</f>
        <v>9.3922499999999989</v>
      </c>
      <c r="P3530" s="231"/>
      <c r="Q3530" s="224"/>
    </row>
    <row r="3531" spans="1:19" s="225" customFormat="1" ht="10.5" x14ac:dyDescent="0.25">
      <c r="A3531" s="229"/>
      <c r="B3531" s="230"/>
      <c r="C3531" s="177"/>
      <c r="D3531" s="178"/>
      <c r="E3531" s="178"/>
      <c r="F3531" s="178"/>
      <c r="G3531" s="178"/>
      <c r="H3531" s="178"/>
      <c r="I3531" s="178"/>
      <c r="J3531" s="178"/>
      <c r="K3531" s="178"/>
      <c r="L3531" s="178"/>
      <c r="M3531" s="178"/>
      <c r="N3531" s="200"/>
      <c r="O3531" s="178"/>
      <c r="P3531" s="231"/>
      <c r="Q3531" s="224"/>
    </row>
    <row r="3532" spans="1:19" s="225" customFormat="1" ht="10.5" x14ac:dyDescent="0.25">
      <c r="A3532" s="229"/>
      <c r="B3532" s="232" t="s">
        <v>5</v>
      </c>
      <c r="C3532" s="182" t="s">
        <v>1328</v>
      </c>
      <c r="D3532" s="182"/>
      <c r="E3532" s="182"/>
      <c r="F3532" s="182"/>
      <c r="G3532" s="182"/>
      <c r="H3532" s="182"/>
      <c r="I3532" s="182"/>
      <c r="J3532" s="182"/>
      <c r="K3532" s="178"/>
      <c r="L3532" s="182"/>
      <c r="M3532" s="182"/>
      <c r="N3532" s="177"/>
      <c r="O3532" s="177">
        <f>SUM(O3518:O3531)</f>
        <v>253.50240437976643</v>
      </c>
      <c r="P3532" s="233"/>
      <c r="Q3532" s="224"/>
    </row>
    <row r="3533" spans="1:19" s="235" customFormat="1" ht="31.5" x14ac:dyDescent="0.35">
      <c r="A3533" s="226" t="str">
        <f>ORÇAMENTO!A677</f>
        <v>6.1.2.6.30</v>
      </c>
      <c r="B3533" s="227" t="str">
        <f>VLOOKUP(A3533,ORÇAMENTO!A:K,4,0)</f>
        <v>TRANSPORTE COM CAMINHÃO BASCULANTE DE 14 M³, EM VIA URBANA PAVIMENTADA, DMT ATÉ 30 KM (UNIDADE: M3XKM). AF_07/2020</v>
      </c>
      <c r="C3533" s="173" t="str">
        <f>VLOOKUP(A3533,ORÇAMENTO!A:K,5,0)</f>
        <v>M3XKM</v>
      </c>
      <c r="D3533" s="173">
        <f>SUM(E3539:O3539)</f>
        <v>7523.7646400441317</v>
      </c>
      <c r="E3533" s="173" t="s">
        <v>1752</v>
      </c>
      <c r="F3533" s="173" t="s">
        <v>1719</v>
      </c>
      <c r="G3533" s="173" t="s">
        <v>1720</v>
      </c>
      <c r="H3533" s="173" t="s">
        <v>1721</v>
      </c>
      <c r="I3533" s="173" t="s">
        <v>1722</v>
      </c>
      <c r="J3533" s="173" t="s">
        <v>1723</v>
      </c>
      <c r="K3533" s="173" t="s">
        <v>1746</v>
      </c>
      <c r="L3533" s="173" t="s">
        <v>1753</v>
      </c>
      <c r="M3533" s="173" t="s">
        <v>1750</v>
      </c>
      <c r="N3533" s="173" t="s">
        <v>1727</v>
      </c>
      <c r="O3533" s="173" t="s">
        <v>1728</v>
      </c>
      <c r="P3533" s="224"/>
      <c r="Q3533" s="224"/>
      <c r="R3533" s="224"/>
      <c r="S3533" s="224"/>
    </row>
    <row r="3534" spans="1:19" s="225" customFormat="1" ht="21" x14ac:dyDescent="0.25">
      <c r="A3534" s="229"/>
      <c r="B3534" s="230" t="s">
        <v>1773</v>
      </c>
      <c r="C3534" s="177"/>
      <c r="D3534" s="178"/>
      <c r="E3534" s="178">
        <v>30</v>
      </c>
      <c r="F3534" s="178"/>
      <c r="G3534" s="178"/>
      <c r="H3534" s="178"/>
      <c r="I3534" s="178"/>
      <c r="J3534" s="178"/>
      <c r="K3534" s="178"/>
      <c r="L3534" s="190"/>
      <c r="M3534" s="178">
        <f>E3534*O3534</f>
        <v>7180.5413472162672</v>
      </c>
      <c r="N3534" s="178"/>
      <c r="O3534" s="178">
        <f>O3520+O3523</f>
        <v>239.35137824054223</v>
      </c>
      <c r="P3534" s="231"/>
      <c r="Q3534" s="224"/>
    </row>
    <row r="3535" spans="1:19" s="225" customFormat="1" ht="21" x14ac:dyDescent="0.25">
      <c r="A3535" s="229"/>
      <c r="B3535" s="230" t="s">
        <v>1774</v>
      </c>
      <c r="C3535" s="177"/>
      <c r="D3535" s="178"/>
      <c r="E3535" s="178">
        <v>30</v>
      </c>
      <c r="F3535" s="178"/>
      <c r="G3535" s="178"/>
      <c r="H3535" s="178"/>
      <c r="I3535" s="178"/>
      <c r="J3535" s="178"/>
      <c r="K3535" s="178"/>
      <c r="L3535" s="190"/>
      <c r="M3535" s="178">
        <f>E3535*O3535</f>
        <v>102.51336000002007</v>
      </c>
      <c r="N3535" s="178"/>
      <c r="O3535" s="178">
        <f>O3521+O3524</f>
        <v>3.4171120000006692</v>
      </c>
      <c r="P3535" s="231"/>
      <c r="Q3535" s="224"/>
    </row>
    <row r="3536" spans="1:19" s="225" customFormat="1" ht="10.5" x14ac:dyDescent="0.25">
      <c r="A3536" s="229"/>
      <c r="B3536" s="230"/>
      <c r="C3536" s="177"/>
      <c r="D3536" s="178"/>
      <c r="E3536" s="178"/>
      <c r="F3536" s="178"/>
      <c r="G3536" s="178"/>
      <c r="H3536" s="178"/>
      <c r="I3536" s="178"/>
      <c r="J3536" s="178"/>
      <c r="K3536" s="178"/>
      <c r="L3536" s="190"/>
      <c r="M3536" s="178"/>
      <c r="N3536" s="178"/>
      <c r="O3536" s="178"/>
      <c r="P3536" s="231"/>
      <c r="Q3536" s="224"/>
    </row>
    <row r="3537" spans="1:19" s="225" customFormat="1" ht="21" x14ac:dyDescent="0.25">
      <c r="A3537" s="229"/>
      <c r="B3537" s="230" t="s">
        <v>1794</v>
      </c>
      <c r="C3537" s="177"/>
      <c r="D3537" s="178"/>
      <c r="E3537" s="178">
        <v>0.2</v>
      </c>
      <c r="F3537" s="178"/>
      <c r="G3537" s="178"/>
      <c r="H3537" s="178"/>
      <c r="I3537" s="178"/>
      <c r="J3537" s="178"/>
      <c r="K3537" s="178"/>
      <c r="L3537" s="190"/>
      <c r="M3537" s="178">
        <f>E3537*O3537</f>
        <v>0.26833282784470464</v>
      </c>
      <c r="N3537" s="178"/>
      <c r="O3537" s="178">
        <f>SUM(O3527:O3529)</f>
        <v>1.3416641392235231</v>
      </c>
      <c r="P3537" s="231"/>
      <c r="Q3537" s="224"/>
    </row>
    <row r="3538" spans="1:19" s="225" customFormat="1" ht="31.5" x14ac:dyDescent="0.25">
      <c r="A3538" s="229"/>
      <c r="B3538" s="230" t="s">
        <v>1797</v>
      </c>
      <c r="C3538" s="184"/>
      <c r="D3538" s="185"/>
      <c r="E3538" s="185">
        <v>25.6</v>
      </c>
      <c r="F3538" s="178"/>
      <c r="G3538" s="178"/>
      <c r="H3538" s="178"/>
      <c r="I3538" s="178"/>
      <c r="J3538" s="178"/>
      <c r="K3538" s="178"/>
      <c r="L3538" s="190"/>
      <c r="M3538" s="178">
        <f>E3538*O3538</f>
        <v>240.44159999999999</v>
      </c>
      <c r="N3538" s="178"/>
      <c r="O3538" s="178">
        <f>O3530</f>
        <v>9.3922499999999989</v>
      </c>
      <c r="P3538" s="231"/>
      <c r="Q3538" s="224"/>
    </row>
    <row r="3539" spans="1:19" s="225" customFormat="1" ht="10.5" x14ac:dyDescent="0.25">
      <c r="A3539" s="229"/>
      <c r="B3539" s="232" t="s">
        <v>5</v>
      </c>
      <c r="C3539" s="182" t="s">
        <v>1328</v>
      </c>
      <c r="D3539" s="182"/>
      <c r="E3539" s="182"/>
      <c r="F3539" s="182"/>
      <c r="G3539" s="182"/>
      <c r="H3539" s="182"/>
      <c r="I3539" s="182"/>
      <c r="J3539" s="182"/>
      <c r="K3539" s="182"/>
      <c r="L3539" s="182"/>
      <c r="M3539" s="182">
        <f>SUM(M3534:M3538)</f>
        <v>7523.7646400441317</v>
      </c>
      <c r="N3539" s="182"/>
      <c r="O3539" s="182"/>
      <c r="P3539" s="233"/>
      <c r="Q3539" s="224"/>
    </row>
    <row r="3540" spans="1:19" s="235" customFormat="1" ht="42" x14ac:dyDescent="0.35">
      <c r="A3540" s="226" t="str">
        <f>ORÇAMENTO!A678</f>
        <v>6.1.2.6.31</v>
      </c>
      <c r="B3540" s="227" t="str">
        <f>VLOOKUP(A3540,ORÇAMENTO!A:K,4,0)</f>
        <v>TRANSPORTE COM CAMINHÃO BASCULANTE DE 14 M³, EM VIA URBANA PAVIMENTADA, ADICIONAL PARA DMT EXCEDENTE A 30 KM (UNIDADE: M3XKM). AF_07/2020</v>
      </c>
      <c r="C3540" s="173" t="str">
        <f>VLOOKUP(A3540,ORÇAMENTO!A:K,5,0)</f>
        <v>M3XKM</v>
      </c>
      <c r="D3540" s="173">
        <f>SUM(E3543:O3543)</f>
        <v>3551.8761886157304</v>
      </c>
      <c r="E3540" s="173" t="s">
        <v>1752</v>
      </c>
      <c r="F3540" s="173" t="s">
        <v>1719</v>
      </c>
      <c r="G3540" s="173" t="s">
        <v>1720</v>
      </c>
      <c r="H3540" s="173" t="s">
        <v>1721</v>
      </c>
      <c r="I3540" s="173" t="s">
        <v>1722</v>
      </c>
      <c r="J3540" s="173" t="s">
        <v>1723</v>
      </c>
      <c r="K3540" s="173" t="s">
        <v>1746</v>
      </c>
      <c r="L3540" s="173" t="s">
        <v>1753</v>
      </c>
      <c r="M3540" s="173" t="s">
        <v>1750</v>
      </c>
      <c r="N3540" s="173" t="s">
        <v>1727</v>
      </c>
      <c r="O3540" s="173" t="s">
        <v>1728</v>
      </c>
      <c r="P3540" s="224"/>
      <c r="Q3540" s="224"/>
      <c r="R3540" s="224"/>
      <c r="S3540" s="224"/>
    </row>
    <row r="3541" spans="1:19" s="225" customFormat="1" ht="21" x14ac:dyDescent="0.25">
      <c r="A3541" s="229"/>
      <c r="B3541" s="230" t="str">
        <f>B3534</f>
        <v>TRANSPORTE ATÉ ATERRO ESTRUTURAL - BOTA FORA - MATERIAL NÃO APROVEITADO</v>
      </c>
      <c r="C3541" s="177"/>
      <c r="D3541" s="178"/>
      <c r="E3541" s="178">
        <f>44.2-E3534</f>
        <v>14.200000000000003</v>
      </c>
      <c r="F3541" s="178"/>
      <c r="G3541" s="178"/>
      <c r="H3541" s="178"/>
      <c r="I3541" s="178"/>
      <c r="J3541" s="178"/>
      <c r="K3541" s="178"/>
      <c r="L3541" s="190"/>
      <c r="M3541" s="178">
        <f>E3541*O3541</f>
        <v>3398.7895710157004</v>
      </c>
      <c r="N3541" s="178"/>
      <c r="O3541" s="178">
        <f>O3534</f>
        <v>239.35137824054223</v>
      </c>
      <c r="P3541" s="231"/>
      <c r="Q3541" s="224"/>
    </row>
    <row r="3542" spans="1:19" s="225" customFormat="1" ht="21" x14ac:dyDescent="0.25">
      <c r="A3542" s="229"/>
      <c r="B3542" s="230" t="str">
        <f>B3535</f>
        <v>TRANSPORTE ATÉ ATERRO SAMAMBIA - BOTA FORA - ROCHA</v>
      </c>
      <c r="C3542" s="177"/>
      <c r="D3542" s="178"/>
      <c r="E3542" s="178">
        <f>74.8-E3535</f>
        <v>44.8</v>
      </c>
      <c r="F3542" s="178"/>
      <c r="G3542" s="178"/>
      <c r="H3542" s="178"/>
      <c r="I3542" s="178"/>
      <c r="J3542" s="178"/>
      <c r="K3542" s="178"/>
      <c r="L3542" s="190"/>
      <c r="M3542" s="178">
        <f>E3542*O3542</f>
        <v>153.08661760002997</v>
      </c>
      <c r="N3542" s="178"/>
      <c r="O3542" s="178">
        <f>O3535</f>
        <v>3.4171120000006692</v>
      </c>
      <c r="P3542" s="231"/>
      <c r="Q3542" s="224"/>
    </row>
    <row r="3543" spans="1:19" s="225" customFormat="1" ht="10.5" x14ac:dyDescent="0.25">
      <c r="A3543" s="229"/>
      <c r="B3543" s="232" t="s">
        <v>5</v>
      </c>
      <c r="C3543" s="182" t="s">
        <v>1328</v>
      </c>
      <c r="D3543" s="182"/>
      <c r="E3543" s="182"/>
      <c r="F3543" s="182"/>
      <c r="G3543" s="182"/>
      <c r="H3543" s="182"/>
      <c r="I3543" s="182"/>
      <c r="J3543" s="182"/>
      <c r="K3543" s="182"/>
      <c r="L3543" s="182"/>
      <c r="M3543" s="182">
        <f>SUM(M3541:M3542)</f>
        <v>3551.8761886157304</v>
      </c>
      <c r="N3543" s="182"/>
      <c r="O3543" s="182"/>
      <c r="P3543" s="233"/>
      <c r="Q3543" s="224"/>
    </row>
    <row r="3544" spans="1:19" s="235" customFormat="1" ht="21" x14ac:dyDescent="0.35">
      <c r="A3544" s="226" t="str">
        <f>ORÇAMENTO!A679</f>
        <v>6.1.2.6.32</v>
      </c>
      <c r="B3544" s="227" t="str">
        <f>VLOOKUP(A3544,ORÇAMENTO!A:K,4,0)</f>
        <v>ESPALHAMENTO DE MATERIAL COM TRATOR DE ESTEIRAS. AF_09/2024</v>
      </c>
      <c r="C3544" s="173" t="str">
        <f>VLOOKUP(A3544,ORÇAMENTO!A:K,5,0)</f>
        <v>M³</v>
      </c>
      <c r="D3544" s="173">
        <f>SUM(E3546:O3546)</f>
        <v>242.76849024054289</v>
      </c>
      <c r="E3544" s="173" t="s">
        <v>1752</v>
      </c>
      <c r="F3544" s="173" t="s">
        <v>1719</v>
      </c>
      <c r="G3544" s="173" t="s">
        <v>1720</v>
      </c>
      <c r="H3544" s="173" t="s">
        <v>1721</v>
      </c>
      <c r="I3544" s="173" t="s">
        <v>1722</v>
      </c>
      <c r="J3544" s="173" t="s">
        <v>1723</v>
      </c>
      <c r="K3544" s="173" t="s">
        <v>1746</v>
      </c>
      <c r="L3544" s="173" t="s">
        <v>1753</v>
      </c>
      <c r="M3544" s="173" t="s">
        <v>1750</v>
      </c>
      <c r="N3544" s="173" t="s">
        <v>1727</v>
      </c>
      <c r="O3544" s="173" t="s">
        <v>1728</v>
      </c>
      <c r="P3544" s="224"/>
      <c r="Q3544" s="224"/>
      <c r="R3544" s="224"/>
      <c r="S3544" s="224"/>
    </row>
    <row r="3545" spans="1:19" s="225" customFormat="1" ht="10.5" x14ac:dyDescent="0.25">
      <c r="A3545" s="229"/>
      <c r="B3545" s="230" t="s">
        <v>1775</v>
      </c>
      <c r="C3545" s="177"/>
      <c r="D3545" s="178"/>
      <c r="E3545" s="178"/>
      <c r="F3545" s="178"/>
      <c r="G3545" s="178"/>
      <c r="H3545" s="178"/>
      <c r="I3545" s="178"/>
      <c r="J3545" s="178"/>
      <c r="K3545" s="178"/>
      <c r="L3545" s="190"/>
      <c r="M3545" s="178"/>
      <c r="N3545" s="178"/>
      <c r="O3545" s="178">
        <f>SUM(O3541:O3542)</f>
        <v>242.76849024054289</v>
      </c>
      <c r="P3545" s="231"/>
      <c r="Q3545" s="224"/>
    </row>
    <row r="3546" spans="1:19" s="225" customFormat="1" ht="10.5" x14ac:dyDescent="0.25">
      <c r="A3546" s="229"/>
      <c r="B3546" s="232" t="s">
        <v>5</v>
      </c>
      <c r="C3546" s="182" t="s">
        <v>1328</v>
      </c>
      <c r="D3546" s="182"/>
      <c r="E3546" s="182"/>
      <c r="F3546" s="182"/>
      <c r="G3546" s="182"/>
      <c r="H3546" s="182"/>
      <c r="I3546" s="182"/>
      <c r="J3546" s="182"/>
      <c r="K3546" s="182"/>
      <c r="L3546" s="182"/>
      <c r="M3546" s="182"/>
      <c r="N3546" s="182"/>
      <c r="O3546" s="182">
        <f>SUM(O3545)</f>
        <v>242.76849024054289</v>
      </c>
      <c r="P3546" s="233"/>
      <c r="Q3546" s="224"/>
    </row>
    <row r="3547" spans="1:19" s="228" customFormat="1" ht="31.5" x14ac:dyDescent="0.25">
      <c r="A3547" s="226" t="str">
        <f>ORÇAMENTO!A680</f>
        <v>6.1.2.6.33</v>
      </c>
      <c r="B3547" s="227" t="str">
        <f>VLOOKUP(A3547,ORÇAMENTO!A:K,4,0)</f>
        <v>EXECUÇÃO DE SARJETA DE CONCRETO USINADO, MOLDADA  IN LOCO  EM TRECHO RETO, 60 CM BASE X 15 CM ALTURA. AF_01/2024</v>
      </c>
      <c r="C3547" s="173" t="str">
        <f>VLOOKUP(A3547,ORÇAMENTO!A:K,5,0)</f>
        <v>M</v>
      </c>
      <c r="D3547" s="173">
        <f>ROUND(SUM(E3550:O3550),2)</f>
        <v>113.54</v>
      </c>
      <c r="E3547" s="173" t="s">
        <v>1718</v>
      </c>
      <c r="F3547" s="173" t="s">
        <v>1719</v>
      </c>
      <c r="G3547" s="173" t="s">
        <v>1720</v>
      </c>
      <c r="H3547" s="173" t="s">
        <v>1721</v>
      </c>
      <c r="I3547" s="173" t="s">
        <v>1722</v>
      </c>
      <c r="J3547" s="173" t="s">
        <v>1723</v>
      </c>
      <c r="K3547" s="173" t="s">
        <v>1724</v>
      </c>
      <c r="L3547" s="173" t="s">
        <v>1804</v>
      </c>
      <c r="M3547" s="173" t="s">
        <v>1726</v>
      </c>
      <c r="N3547" s="173" t="s">
        <v>1809</v>
      </c>
      <c r="O3547" s="173" t="s">
        <v>1728</v>
      </c>
      <c r="P3547" s="224"/>
      <c r="Q3547" s="224"/>
    </row>
    <row r="3548" spans="1:19" s="225" customFormat="1" ht="10.5" x14ac:dyDescent="0.25">
      <c r="A3548" s="229"/>
      <c r="B3548" s="230"/>
      <c r="C3548" s="177"/>
      <c r="D3548" s="178"/>
      <c r="E3548" s="178">
        <f>QUANTBL!CX246</f>
        <v>113.53999999999991</v>
      </c>
      <c r="F3548" s="178"/>
      <c r="G3548" s="178"/>
      <c r="H3548" s="178"/>
      <c r="I3548" s="178"/>
      <c r="J3548" s="178"/>
      <c r="K3548" s="178"/>
      <c r="L3548" s="178"/>
      <c r="M3548" s="178"/>
      <c r="N3548" s="200"/>
      <c r="O3548" s="178"/>
      <c r="P3548" s="231"/>
      <c r="Q3548" s="224"/>
    </row>
    <row r="3549" spans="1:19" s="225" customFormat="1" ht="10.5" x14ac:dyDescent="0.25">
      <c r="A3549" s="229"/>
      <c r="B3549" s="230"/>
      <c r="C3549" s="177"/>
      <c r="D3549" s="178"/>
      <c r="E3549" s="178"/>
      <c r="F3549" s="178"/>
      <c r="G3549" s="178"/>
      <c r="H3549" s="178"/>
      <c r="I3549" s="178"/>
      <c r="J3549" s="178"/>
      <c r="K3549" s="178"/>
      <c r="L3549" s="178"/>
      <c r="M3549" s="178"/>
      <c r="N3549" s="200"/>
      <c r="O3549" s="178"/>
      <c r="P3549" s="231"/>
      <c r="Q3549" s="224"/>
    </row>
    <row r="3550" spans="1:19" s="225" customFormat="1" ht="10.5" x14ac:dyDescent="0.25">
      <c r="A3550" s="229"/>
      <c r="B3550" s="232" t="s">
        <v>5</v>
      </c>
      <c r="C3550" s="182"/>
      <c r="D3550" s="182"/>
      <c r="E3550" s="182">
        <f>SUM(E3548:E3549)</f>
        <v>113.53999999999991</v>
      </c>
      <c r="F3550" s="182"/>
      <c r="G3550" s="182"/>
      <c r="H3550" s="182"/>
      <c r="I3550" s="182"/>
      <c r="J3550" s="182"/>
      <c r="K3550" s="178"/>
      <c r="L3550" s="182"/>
      <c r="M3550" s="182"/>
      <c r="N3550" s="177"/>
      <c r="O3550" s="177"/>
      <c r="P3550" s="233"/>
      <c r="Q3550" s="224"/>
    </row>
    <row r="3551" spans="1:19" s="228" customFormat="1" ht="42" x14ac:dyDescent="0.25">
      <c r="A3551" s="226" t="str">
        <f>ORÇAMENTO!A681</f>
        <v>6.1.2.6.34</v>
      </c>
      <c r="B3551" s="227" t="str">
        <f>VLOOKUP(A3551,ORÇAMENTO!A:K,4,0)</f>
        <v>CONCRETO MAGRO PARA LASTRO, TRAÇO 1:4,5:4,5 (EM MASSA SECA DE CIMENTO/ AREIA MÉDIA/ BRITA 1) - PREPARO MECÂNICO COM BETONEIRA 600 L. AF_05/2021</v>
      </c>
      <c r="C3551" s="173" t="str">
        <f>VLOOKUP(A3551,ORÇAMENTO!A:K,5,0)</f>
        <v>M³</v>
      </c>
      <c r="D3551" s="173">
        <f>ROUND(SUM(E3554:O3554),2)</f>
        <v>10.52</v>
      </c>
      <c r="E3551" s="173" t="s">
        <v>1718</v>
      </c>
      <c r="F3551" s="173" t="s">
        <v>1719</v>
      </c>
      <c r="G3551" s="173" t="s">
        <v>1720</v>
      </c>
      <c r="H3551" s="173" t="s">
        <v>1721</v>
      </c>
      <c r="I3551" s="173" t="s">
        <v>1722</v>
      </c>
      <c r="J3551" s="173" t="s">
        <v>1723</v>
      </c>
      <c r="K3551" s="173" t="s">
        <v>1724</v>
      </c>
      <c r="L3551" s="173" t="s">
        <v>1804</v>
      </c>
      <c r="M3551" s="173" t="s">
        <v>1726</v>
      </c>
      <c r="N3551" s="173" t="s">
        <v>1809</v>
      </c>
      <c r="O3551" s="173" t="s">
        <v>1728</v>
      </c>
      <c r="P3551" s="224"/>
      <c r="Q3551" s="224"/>
    </row>
    <row r="3552" spans="1:19" s="225" customFormat="1" ht="10.5" x14ac:dyDescent="0.25">
      <c r="A3552" s="229"/>
      <c r="B3552" s="230" t="s">
        <v>1823</v>
      </c>
      <c r="C3552" s="177"/>
      <c r="D3552" s="178"/>
      <c r="E3552" s="178"/>
      <c r="F3552" s="178"/>
      <c r="G3552" s="178"/>
      <c r="H3552" s="178"/>
      <c r="I3552" s="178"/>
      <c r="J3552" s="178"/>
      <c r="K3552" s="178"/>
      <c r="L3552" s="178"/>
      <c r="M3552" s="178"/>
      <c r="N3552" s="200"/>
      <c r="O3552" s="178">
        <f>QUANTBL!CT246</f>
        <v>10.517949999999999</v>
      </c>
      <c r="P3552" s="231"/>
      <c r="Q3552" s="224"/>
    </row>
    <row r="3553" spans="1:17" s="225" customFormat="1" ht="10.5" x14ac:dyDescent="0.25">
      <c r="A3553" s="229"/>
      <c r="B3553" s="230"/>
      <c r="C3553" s="177"/>
      <c r="D3553" s="178"/>
      <c r="E3553" s="178"/>
      <c r="F3553" s="178"/>
      <c r="G3553" s="178"/>
      <c r="H3553" s="178"/>
      <c r="I3553" s="178"/>
      <c r="J3553" s="178"/>
      <c r="K3553" s="178"/>
      <c r="L3553" s="178"/>
      <c r="M3553" s="178"/>
      <c r="N3553" s="200"/>
      <c r="O3553" s="178"/>
      <c r="P3553" s="231"/>
      <c r="Q3553" s="224"/>
    </row>
    <row r="3554" spans="1:17" s="225" customFormat="1" ht="10.5" x14ac:dyDescent="0.25">
      <c r="A3554" s="229"/>
      <c r="B3554" s="232" t="s">
        <v>5</v>
      </c>
      <c r="C3554" s="182" t="s">
        <v>1328</v>
      </c>
      <c r="D3554" s="182"/>
      <c r="E3554" s="182"/>
      <c r="F3554" s="182"/>
      <c r="G3554" s="182"/>
      <c r="H3554" s="182"/>
      <c r="I3554" s="182"/>
      <c r="J3554" s="182"/>
      <c r="K3554" s="178"/>
      <c r="L3554" s="182"/>
      <c r="M3554" s="182"/>
      <c r="N3554" s="177"/>
      <c r="O3554" s="177">
        <f>SUM(O3552:O3553)</f>
        <v>10.517949999999999</v>
      </c>
      <c r="P3554" s="233"/>
      <c r="Q3554" s="224"/>
    </row>
    <row r="3555" spans="1:17" s="228" customFormat="1" ht="21" x14ac:dyDescent="0.25">
      <c r="A3555" s="226" t="str">
        <f>ORÇAMENTO!A682</f>
        <v>6.1.2.6.35</v>
      </c>
      <c r="B3555" s="227" t="str">
        <f>VLOOKUP(A3555,ORÇAMENTO!A:K,4,0)</f>
        <v>ARMAÇÃO EM AÇO CA-50 - FORNECIMENTO, PREPARO E COLOCAÇÃO</v>
      </c>
      <c r="C3555" s="173" t="str">
        <f>VLOOKUP(A3555,ORÇAMENTO!A:K,5,0)</f>
        <v>KG</v>
      </c>
      <c r="D3555" s="173">
        <f>ROUND(SUM(E3570:O3570),2)</f>
        <v>768</v>
      </c>
      <c r="E3555" s="173" t="s">
        <v>1718</v>
      </c>
      <c r="F3555" s="173" t="s">
        <v>1719</v>
      </c>
      <c r="G3555" s="173" t="s">
        <v>1720</v>
      </c>
      <c r="H3555" s="173" t="s">
        <v>1721</v>
      </c>
      <c r="I3555" s="173" t="s">
        <v>1722</v>
      </c>
      <c r="J3555" s="173" t="s">
        <v>1723</v>
      </c>
      <c r="K3555" s="173" t="s">
        <v>1724</v>
      </c>
      <c r="L3555" s="173" t="s">
        <v>1804</v>
      </c>
      <c r="M3555" s="173" t="s">
        <v>1726</v>
      </c>
      <c r="N3555" s="173" t="s">
        <v>1809</v>
      </c>
      <c r="O3555" s="173" t="s">
        <v>1728</v>
      </c>
      <c r="P3555" s="224"/>
      <c r="Q3555" s="224"/>
    </row>
    <row r="3556" spans="1:17" s="225" customFormat="1" ht="10.5" x14ac:dyDescent="0.25">
      <c r="A3556" s="229"/>
      <c r="B3556" s="230" t="s">
        <v>1825</v>
      </c>
      <c r="C3556" s="177"/>
      <c r="D3556" s="178"/>
      <c r="E3556" s="178"/>
      <c r="F3556" s="178"/>
      <c r="G3556" s="178"/>
      <c r="H3556" s="178"/>
      <c r="I3556" s="178"/>
      <c r="J3556" s="178"/>
      <c r="K3556" s="178"/>
      <c r="L3556" s="178"/>
      <c r="M3556" s="178"/>
      <c r="N3556" s="200"/>
      <c r="O3556" s="178"/>
      <c r="P3556" s="231"/>
      <c r="Q3556" s="224"/>
    </row>
    <row r="3557" spans="1:17" s="225" customFormat="1" ht="21" x14ac:dyDescent="0.25">
      <c r="A3557" s="229"/>
      <c r="B3557" s="230" t="str">
        <f t="shared" ref="B3557:B3568" si="101">B2976</f>
        <v>BOCA DE LOBO SIMPLES EXISTENTE COM BOCA DE LOBO DUPLA PROJETADA</v>
      </c>
      <c r="C3557" s="177"/>
      <c r="D3557" s="178"/>
      <c r="E3557" s="178"/>
      <c r="F3557" s="178"/>
      <c r="G3557" s="178"/>
      <c r="H3557" s="178"/>
      <c r="I3557" s="178"/>
      <c r="J3557" s="178"/>
      <c r="K3557" s="178">
        <v>24</v>
      </c>
      <c r="L3557" s="178"/>
      <c r="M3557" s="178">
        <f t="shared" ref="M3557:M3568" si="102">K2976</f>
        <v>0</v>
      </c>
      <c r="N3557" s="200">
        <f t="shared" ref="N3557:N3568" si="103">M3557*K3557</f>
        <v>0</v>
      </c>
      <c r="O3557" s="178"/>
      <c r="P3557" s="231"/>
      <c r="Q3557" s="224"/>
    </row>
    <row r="3558" spans="1:17" s="225" customFormat="1" ht="21" x14ac:dyDescent="0.25">
      <c r="A3558" s="229"/>
      <c r="B3558" s="230" t="str">
        <f t="shared" si="101"/>
        <v>BOCA DE LOBO SIMPLES EXISTENTE COM BOCA DE LOBO SIMPLES PROJETADA</v>
      </c>
      <c r="C3558" s="177"/>
      <c r="D3558" s="178"/>
      <c r="E3558" s="178"/>
      <c r="F3558" s="178"/>
      <c r="G3558" s="178"/>
      <c r="H3558" s="178"/>
      <c r="I3558" s="178"/>
      <c r="J3558" s="178"/>
      <c r="K3558" s="178">
        <v>16</v>
      </c>
      <c r="L3558" s="178"/>
      <c r="M3558" s="178">
        <f t="shared" si="102"/>
        <v>1</v>
      </c>
      <c r="N3558" s="200">
        <f t="shared" si="103"/>
        <v>16</v>
      </c>
      <c r="O3558" s="178"/>
      <c r="P3558" s="231"/>
      <c r="Q3558" s="224"/>
    </row>
    <row r="3559" spans="1:17" s="225" customFormat="1" ht="21" x14ac:dyDescent="0.25">
      <c r="A3559" s="229"/>
      <c r="B3559" s="230" t="str">
        <f t="shared" si="101"/>
        <v>BOCA DE LOBO SIMPLES EXISTENTE COM BOCA DE LOBO TRIPLA PROJETADA</v>
      </c>
      <c r="C3559" s="177"/>
      <c r="D3559" s="178"/>
      <c r="E3559" s="178"/>
      <c r="F3559" s="178"/>
      <c r="G3559" s="178"/>
      <c r="H3559" s="178"/>
      <c r="I3559" s="178"/>
      <c r="J3559" s="178"/>
      <c r="K3559" s="178">
        <v>32</v>
      </c>
      <c r="L3559" s="178"/>
      <c r="M3559" s="178">
        <f t="shared" si="102"/>
        <v>0</v>
      </c>
      <c r="N3559" s="200">
        <f t="shared" si="103"/>
        <v>0</v>
      </c>
      <c r="O3559" s="178"/>
      <c r="P3559" s="231"/>
      <c r="Q3559" s="224"/>
    </row>
    <row r="3560" spans="1:17" s="225" customFormat="1" ht="21" x14ac:dyDescent="0.25">
      <c r="A3560" s="229"/>
      <c r="B3560" s="230" t="str">
        <f t="shared" si="101"/>
        <v>BOCA DE LOBO DUPLA EXISTENTE COM BOCA DE LOBO SIMPLES PROJETADA</v>
      </c>
      <c r="C3560" s="177"/>
      <c r="D3560" s="178"/>
      <c r="E3560" s="178"/>
      <c r="F3560" s="178"/>
      <c r="G3560" s="178"/>
      <c r="H3560" s="178"/>
      <c r="I3560" s="178"/>
      <c r="J3560" s="178"/>
      <c r="K3560" s="178">
        <v>16</v>
      </c>
      <c r="L3560" s="178"/>
      <c r="M3560" s="178">
        <f t="shared" si="102"/>
        <v>0</v>
      </c>
      <c r="N3560" s="200">
        <f t="shared" si="103"/>
        <v>0</v>
      </c>
      <c r="O3560" s="178"/>
      <c r="P3560" s="231"/>
      <c r="Q3560" s="224"/>
    </row>
    <row r="3561" spans="1:17" s="225" customFormat="1" ht="21" x14ac:dyDescent="0.25">
      <c r="A3561" s="229"/>
      <c r="B3561" s="230" t="str">
        <f t="shared" si="101"/>
        <v>BOCA DE LOBO DUPLA EXISTENTE COM BOCA DE LOBO DUPLA PROJETADA</v>
      </c>
      <c r="C3561" s="177"/>
      <c r="D3561" s="178"/>
      <c r="E3561" s="178"/>
      <c r="F3561" s="178"/>
      <c r="G3561" s="178"/>
      <c r="H3561" s="178"/>
      <c r="I3561" s="178"/>
      <c r="J3561" s="178"/>
      <c r="K3561" s="178">
        <v>24</v>
      </c>
      <c r="L3561" s="178"/>
      <c r="M3561" s="178">
        <f t="shared" si="102"/>
        <v>0</v>
      </c>
      <c r="N3561" s="200">
        <f t="shared" si="103"/>
        <v>0</v>
      </c>
      <c r="O3561" s="178"/>
      <c r="P3561" s="231"/>
      <c r="Q3561" s="224"/>
    </row>
    <row r="3562" spans="1:17" s="225" customFormat="1" ht="21" x14ac:dyDescent="0.25">
      <c r="A3562" s="229"/>
      <c r="B3562" s="230" t="str">
        <f t="shared" si="101"/>
        <v>BOCA DE LOBO DUPLA EXISTENTE COM BOCA DE LOBO TRIPLA PROJETADA</v>
      </c>
      <c r="C3562" s="177"/>
      <c r="D3562" s="178"/>
      <c r="E3562" s="178"/>
      <c r="F3562" s="178"/>
      <c r="G3562" s="178"/>
      <c r="H3562" s="178"/>
      <c r="I3562" s="178"/>
      <c r="J3562" s="178"/>
      <c r="K3562" s="178">
        <v>32</v>
      </c>
      <c r="L3562" s="178"/>
      <c r="M3562" s="178">
        <f t="shared" si="102"/>
        <v>0</v>
      </c>
      <c r="N3562" s="200">
        <f t="shared" si="103"/>
        <v>0</v>
      </c>
      <c r="O3562" s="178"/>
      <c r="P3562" s="231"/>
      <c r="Q3562" s="224"/>
    </row>
    <row r="3563" spans="1:17" s="225" customFormat="1" ht="21" x14ac:dyDescent="0.25">
      <c r="A3563" s="229"/>
      <c r="B3563" s="230" t="str">
        <f t="shared" si="101"/>
        <v>BOCA DE LOBO TRIPLA EXISTENTE COM BOCA DE LOBO SIMPLES PROJETADA</v>
      </c>
      <c r="C3563" s="177"/>
      <c r="D3563" s="178"/>
      <c r="E3563" s="178"/>
      <c r="F3563" s="178"/>
      <c r="G3563" s="178"/>
      <c r="H3563" s="178"/>
      <c r="I3563" s="178"/>
      <c r="J3563" s="178"/>
      <c r="K3563" s="178">
        <v>16</v>
      </c>
      <c r="L3563" s="178"/>
      <c r="M3563" s="178">
        <f t="shared" si="102"/>
        <v>0</v>
      </c>
      <c r="N3563" s="200">
        <f t="shared" si="103"/>
        <v>0</v>
      </c>
      <c r="O3563" s="178"/>
      <c r="P3563" s="231"/>
      <c r="Q3563" s="224"/>
    </row>
    <row r="3564" spans="1:17" s="225" customFormat="1" ht="21" x14ac:dyDescent="0.25">
      <c r="A3564" s="229"/>
      <c r="B3564" s="230" t="str">
        <f t="shared" si="101"/>
        <v>BOCA DE LOBO TRIPLA EXISTENTE COM BOCA DE LOBO DUPLA PROJETADA</v>
      </c>
      <c r="C3564" s="177"/>
      <c r="D3564" s="178"/>
      <c r="E3564" s="178"/>
      <c r="F3564" s="178"/>
      <c r="G3564" s="178"/>
      <c r="H3564" s="178"/>
      <c r="I3564" s="178"/>
      <c r="J3564" s="178"/>
      <c r="K3564" s="178">
        <v>24</v>
      </c>
      <c r="L3564" s="178"/>
      <c r="M3564" s="178">
        <f t="shared" si="102"/>
        <v>0</v>
      </c>
      <c r="N3564" s="200">
        <f t="shared" si="103"/>
        <v>0</v>
      </c>
      <c r="O3564" s="178"/>
      <c r="P3564" s="231"/>
      <c r="Q3564" s="224"/>
    </row>
    <row r="3565" spans="1:17" s="225" customFormat="1" ht="21" x14ac:dyDescent="0.25">
      <c r="A3565" s="229"/>
      <c r="B3565" s="230" t="str">
        <f t="shared" si="101"/>
        <v>BOCA DE LOBO TRIPLA EXISTENTE COM BOCA DE LOBO TRIPLA PROJETADA</v>
      </c>
      <c r="C3565" s="177"/>
      <c r="D3565" s="178"/>
      <c r="E3565" s="178"/>
      <c r="F3565" s="178"/>
      <c r="G3565" s="178"/>
      <c r="H3565" s="178"/>
      <c r="I3565" s="178"/>
      <c r="J3565" s="178"/>
      <c r="K3565" s="178">
        <v>32</v>
      </c>
      <c r="L3565" s="178"/>
      <c r="M3565" s="178">
        <f t="shared" si="102"/>
        <v>0</v>
      </c>
      <c r="N3565" s="200">
        <f t="shared" si="103"/>
        <v>0</v>
      </c>
      <c r="O3565" s="178"/>
      <c r="P3565" s="231"/>
      <c r="Q3565" s="224"/>
    </row>
    <row r="3566" spans="1:17" s="225" customFormat="1" ht="10.5" x14ac:dyDescent="0.25">
      <c r="A3566" s="229"/>
      <c r="B3566" s="230" t="str">
        <f t="shared" si="101"/>
        <v>BOCA DE LOBO PROJETADA SIMPLES</v>
      </c>
      <c r="C3566" s="177"/>
      <c r="D3566" s="178"/>
      <c r="E3566" s="178"/>
      <c r="F3566" s="178"/>
      <c r="G3566" s="178"/>
      <c r="H3566" s="178"/>
      <c r="I3566" s="178"/>
      <c r="J3566" s="178"/>
      <c r="K3566" s="178">
        <v>16</v>
      </c>
      <c r="L3566" s="178"/>
      <c r="M3566" s="178">
        <f t="shared" si="102"/>
        <v>0</v>
      </c>
      <c r="N3566" s="200">
        <f t="shared" si="103"/>
        <v>0</v>
      </c>
      <c r="O3566" s="178"/>
      <c r="P3566" s="231"/>
      <c r="Q3566" s="224"/>
    </row>
    <row r="3567" spans="1:17" s="225" customFormat="1" ht="10.5" x14ac:dyDescent="0.25">
      <c r="A3567" s="229"/>
      <c r="B3567" s="230" t="str">
        <f t="shared" si="101"/>
        <v>BOCA DE LOBO PROJETADA DUPLA</v>
      </c>
      <c r="C3567" s="177"/>
      <c r="D3567" s="178"/>
      <c r="E3567" s="178"/>
      <c r="F3567" s="178"/>
      <c r="G3567" s="178"/>
      <c r="H3567" s="178"/>
      <c r="I3567" s="178"/>
      <c r="J3567" s="178"/>
      <c r="K3567" s="178">
        <v>24</v>
      </c>
      <c r="L3567" s="178"/>
      <c r="M3567" s="178">
        <f t="shared" si="102"/>
        <v>30</v>
      </c>
      <c r="N3567" s="200">
        <f t="shared" si="103"/>
        <v>720</v>
      </c>
      <c r="O3567" s="178"/>
      <c r="P3567" s="231"/>
      <c r="Q3567" s="224"/>
    </row>
    <row r="3568" spans="1:17" s="225" customFormat="1" ht="10.5" x14ac:dyDescent="0.25">
      <c r="A3568" s="229"/>
      <c r="B3568" s="230" t="str">
        <f t="shared" si="101"/>
        <v>BOCA DE LOBO PROJETADA TRIPLA</v>
      </c>
      <c r="C3568" s="177"/>
      <c r="D3568" s="178"/>
      <c r="E3568" s="178"/>
      <c r="F3568" s="178"/>
      <c r="G3568" s="178"/>
      <c r="H3568" s="178"/>
      <c r="I3568" s="178"/>
      <c r="J3568" s="178"/>
      <c r="K3568" s="178">
        <v>32</v>
      </c>
      <c r="L3568" s="178"/>
      <c r="M3568" s="178">
        <f t="shared" si="102"/>
        <v>1</v>
      </c>
      <c r="N3568" s="200">
        <f t="shared" si="103"/>
        <v>32</v>
      </c>
      <c r="O3568" s="178"/>
      <c r="P3568" s="231"/>
      <c r="Q3568" s="224"/>
    </row>
    <row r="3569" spans="1:17" s="225" customFormat="1" ht="10.5" x14ac:dyDescent="0.25">
      <c r="A3569" s="229"/>
      <c r="B3569" s="230"/>
      <c r="C3569" s="177"/>
      <c r="D3569" s="178"/>
      <c r="E3569" s="178"/>
      <c r="F3569" s="178"/>
      <c r="G3569" s="178"/>
      <c r="H3569" s="178"/>
      <c r="I3569" s="178"/>
      <c r="J3569" s="178"/>
      <c r="K3569" s="178"/>
      <c r="L3569" s="178"/>
      <c r="M3569" s="178"/>
      <c r="N3569" s="200"/>
      <c r="O3569" s="178"/>
      <c r="P3569" s="231"/>
      <c r="Q3569" s="224"/>
    </row>
    <row r="3570" spans="1:17" s="225" customFormat="1" ht="10.5" x14ac:dyDescent="0.25">
      <c r="A3570" s="229"/>
      <c r="B3570" s="232" t="s">
        <v>5</v>
      </c>
      <c r="C3570" s="182" t="s">
        <v>1328</v>
      </c>
      <c r="D3570" s="182"/>
      <c r="E3570" s="182"/>
      <c r="F3570" s="182"/>
      <c r="G3570" s="182"/>
      <c r="H3570" s="182"/>
      <c r="I3570" s="182"/>
      <c r="J3570" s="182"/>
      <c r="K3570" s="177"/>
      <c r="L3570" s="182"/>
      <c r="M3570" s="182"/>
      <c r="N3570" s="177">
        <f>SUM(N3556:N3569)</f>
        <v>768</v>
      </c>
      <c r="O3570" s="182"/>
      <c r="P3570" s="233"/>
      <c r="Q3570" s="224"/>
    </row>
    <row r="3571" spans="1:17" s="228" customFormat="1" ht="42" x14ac:dyDescent="0.25">
      <c r="A3571" s="226" t="str">
        <f>ORÇAMENTO!A683</f>
        <v>6.1.2.6.36</v>
      </c>
      <c r="B3571" s="227" t="str">
        <f>VLOOKUP(A3571,ORÇAMENTO!A:K,4,0)</f>
        <v>ALVENARIA DE VEDAÇÃO DE BLOCOS VAZADOS DE CONCRETO DE 19X19X39 CM (ESPESSURA 19 CM) E ARGAMASSA DE ASSENTAMENTO COM PREPARO EM BETONEIRA. AF_12/2021</v>
      </c>
      <c r="C3571" s="173" t="str">
        <f>VLOOKUP(A3571,ORÇAMENTO!A:K,5,0)</f>
        <v>M²</v>
      </c>
      <c r="D3571" s="173">
        <f>ROUND(SUM(E3574:O3574),2)</f>
        <v>316.33</v>
      </c>
      <c r="E3571" s="173" t="s">
        <v>1718</v>
      </c>
      <c r="F3571" s="173" t="s">
        <v>1719</v>
      </c>
      <c r="G3571" s="173" t="s">
        <v>1720</v>
      </c>
      <c r="H3571" s="173" t="s">
        <v>1721</v>
      </c>
      <c r="I3571" s="173" t="s">
        <v>1722</v>
      </c>
      <c r="J3571" s="173" t="s">
        <v>1723</v>
      </c>
      <c r="K3571" s="173" t="s">
        <v>1724</v>
      </c>
      <c r="L3571" s="173" t="s">
        <v>1804</v>
      </c>
      <c r="M3571" s="173" t="s">
        <v>1726</v>
      </c>
      <c r="N3571" s="173" t="s">
        <v>1826</v>
      </c>
      <c r="O3571" s="173" t="s">
        <v>1728</v>
      </c>
      <c r="P3571" s="224"/>
      <c r="Q3571" s="224"/>
    </row>
    <row r="3572" spans="1:17" s="225" customFormat="1" ht="10.5" x14ac:dyDescent="0.25">
      <c r="A3572" s="229"/>
      <c r="B3572" s="230" t="s">
        <v>1827</v>
      </c>
      <c r="C3572" s="177"/>
      <c r="D3572" s="178"/>
      <c r="E3572" s="178"/>
      <c r="F3572" s="178"/>
      <c r="G3572" s="178"/>
      <c r="H3572" s="178"/>
      <c r="I3572" s="178"/>
      <c r="J3572" s="178"/>
      <c r="K3572" s="178"/>
      <c r="L3572" s="178"/>
      <c r="M3572" s="178"/>
      <c r="N3572" s="200">
        <f>QUANTBL!CU246</f>
        <v>316.33103999999946</v>
      </c>
      <c r="O3572" s="178"/>
      <c r="P3572" s="231"/>
      <c r="Q3572" s="224"/>
    </row>
    <row r="3573" spans="1:17" s="225" customFormat="1" ht="10.5" x14ac:dyDescent="0.25">
      <c r="A3573" s="229"/>
      <c r="B3573" s="230"/>
      <c r="C3573" s="177"/>
      <c r="D3573" s="178"/>
      <c r="E3573" s="178"/>
      <c r="F3573" s="178"/>
      <c r="G3573" s="178"/>
      <c r="H3573" s="178"/>
      <c r="I3573" s="178"/>
      <c r="J3573" s="178"/>
      <c r="K3573" s="178"/>
      <c r="L3573" s="178"/>
      <c r="M3573" s="178"/>
      <c r="N3573" s="200"/>
      <c r="O3573" s="178"/>
      <c r="P3573" s="231"/>
      <c r="Q3573" s="224"/>
    </row>
    <row r="3574" spans="1:17" s="225" customFormat="1" ht="10.5" x14ac:dyDescent="0.25">
      <c r="A3574" s="229"/>
      <c r="B3574" s="232" t="s">
        <v>5</v>
      </c>
      <c r="C3574" s="182" t="s">
        <v>1328</v>
      </c>
      <c r="D3574" s="182"/>
      <c r="E3574" s="182"/>
      <c r="F3574" s="182"/>
      <c r="G3574" s="182"/>
      <c r="H3574" s="182"/>
      <c r="I3574" s="182"/>
      <c r="J3574" s="182"/>
      <c r="K3574" s="178"/>
      <c r="L3574" s="182"/>
      <c r="M3574" s="182"/>
      <c r="N3574" s="177">
        <f>SUM(N3572:N3573)</f>
        <v>316.33103999999946</v>
      </c>
      <c r="O3574" s="182"/>
      <c r="P3574" s="233"/>
      <c r="Q3574" s="224"/>
    </row>
    <row r="3575" spans="1:17" s="228" customFormat="1" ht="31.5" x14ac:dyDescent="0.25">
      <c r="A3575" s="226" t="str">
        <f>ORÇAMENTO!A684</f>
        <v>6.1.2.6.37</v>
      </c>
      <c r="B3575" s="227" t="str">
        <f>VLOOKUP(A3575,ORÇAMENTO!A:K,4,0)</f>
        <v>FÔRMAS DE COMPENSADO RESINADO 12 MM - USO GERAL - UTILIZAÇÃO DE 2 VEZES - CONFECÇÃO, INSTALAÇÃO E RETIRADA</v>
      </c>
      <c r="C3575" s="173" t="str">
        <f>VLOOKUP(A3575,ORÇAMENTO!A:K,5,0)</f>
        <v>M²</v>
      </c>
      <c r="D3575" s="173">
        <f>ROUND(SUM(E3577:O3577),2)</f>
        <v>597.54</v>
      </c>
      <c r="E3575" s="173" t="s">
        <v>1718</v>
      </c>
      <c r="F3575" s="173" t="s">
        <v>1719</v>
      </c>
      <c r="G3575" s="173" t="s">
        <v>1720</v>
      </c>
      <c r="H3575" s="173" t="s">
        <v>1721</v>
      </c>
      <c r="I3575" s="173" t="s">
        <v>1722</v>
      </c>
      <c r="J3575" s="173" t="s">
        <v>1723</v>
      </c>
      <c r="K3575" s="173" t="s">
        <v>1724</v>
      </c>
      <c r="L3575" s="173" t="s">
        <v>1804</v>
      </c>
      <c r="M3575" s="173" t="s">
        <v>1726</v>
      </c>
      <c r="N3575" s="173" t="s">
        <v>1826</v>
      </c>
      <c r="O3575" s="173" t="s">
        <v>1728</v>
      </c>
      <c r="P3575" s="224"/>
      <c r="Q3575" s="224"/>
    </row>
    <row r="3576" spans="1:17" s="225" customFormat="1" ht="10.5" x14ac:dyDescent="0.25">
      <c r="A3576" s="229"/>
      <c r="B3576" s="230" t="s">
        <v>1827</v>
      </c>
      <c r="C3576" s="177"/>
      <c r="D3576" s="178"/>
      <c r="E3576" s="178"/>
      <c r="F3576" s="178"/>
      <c r="G3576" s="178"/>
      <c r="H3576" s="178"/>
      <c r="I3576" s="178"/>
      <c r="J3576" s="178"/>
      <c r="K3576" s="178"/>
      <c r="L3576" s="178"/>
      <c r="M3576" s="178"/>
      <c r="N3576" s="200">
        <f>QUANTBL!CW246</f>
        <v>597.53767999999911</v>
      </c>
      <c r="O3576" s="178"/>
      <c r="P3576" s="231"/>
      <c r="Q3576" s="224"/>
    </row>
    <row r="3577" spans="1:17" s="225" customFormat="1" ht="10.5" x14ac:dyDescent="0.25">
      <c r="A3577" s="229"/>
      <c r="B3577" s="232" t="s">
        <v>5</v>
      </c>
      <c r="C3577" s="182" t="s">
        <v>1328</v>
      </c>
      <c r="D3577" s="182"/>
      <c r="E3577" s="182"/>
      <c r="F3577" s="182"/>
      <c r="G3577" s="182"/>
      <c r="H3577" s="182"/>
      <c r="I3577" s="182"/>
      <c r="J3577" s="182"/>
      <c r="K3577" s="178"/>
      <c r="L3577" s="182"/>
      <c r="M3577" s="182"/>
      <c r="N3577" s="177">
        <f>SUM(N3576)</f>
        <v>597.53767999999911</v>
      </c>
      <c r="O3577" s="177"/>
      <c r="P3577" s="233"/>
      <c r="Q3577" s="224"/>
    </row>
    <row r="3578" spans="1:17" s="228" customFormat="1" ht="42" x14ac:dyDescent="0.25">
      <c r="A3578" s="226" t="str">
        <f>ORÇAMENTO!A685</f>
        <v>6.1.2.6.38</v>
      </c>
      <c r="B3578" s="227" t="str">
        <f>VLOOKUP(A3578,ORÇAMENTO!A:K,4,0)</f>
        <v>CONCRETO FCK = 25MPA, TRAÇO 1:2,3:2,7 (EM MASSA SECA DE CIMENTO/ AREIA MÉDIA/ BRITA 1) - PREPARO MECÂNICO COM BETONEIRA 600 L. AF_05/2021</v>
      </c>
      <c r="C3578" s="173" t="str">
        <f>VLOOKUP(A3578,ORÇAMENTO!A:K,5,0)</f>
        <v>M³</v>
      </c>
      <c r="D3578" s="173">
        <f>ROUND(SUM(E3580:O3580),2)</f>
        <v>40.22</v>
      </c>
      <c r="E3578" s="173" t="s">
        <v>1718</v>
      </c>
      <c r="F3578" s="173" t="s">
        <v>1719</v>
      </c>
      <c r="G3578" s="173" t="s">
        <v>1720</v>
      </c>
      <c r="H3578" s="173" t="s">
        <v>1721</v>
      </c>
      <c r="I3578" s="173" t="s">
        <v>1722</v>
      </c>
      <c r="J3578" s="173" t="s">
        <v>1723</v>
      </c>
      <c r="K3578" s="173" t="s">
        <v>1724</v>
      </c>
      <c r="L3578" s="173" t="s">
        <v>1804</v>
      </c>
      <c r="M3578" s="173" t="s">
        <v>1726</v>
      </c>
      <c r="N3578" s="173" t="s">
        <v>1809</v>
      </c>
      <c r="O3578" s="173" t="s">
        <v>1728</v>
      </c>
      <c r="P3578" s="224"/>
      <c r="Q3578" s="224"/>
    </row>
    <row r="3579" spans="1:17" s="225" customFormat="1" ht="10.5" x14ac:dyDescent="0.25">
      <c r="A3579" s="229"/>
      <c r="B3579" s="230" t="s">
        <v>1828</v>
      </c>
      <c r="C3579" s="177"/>
      <c r="D3579" s="178"/>
      <c r="E3579" s="178"/>
      <c r="F3579" s="178"/>
      <c r="G3579" s="178"/>
      <c r="H3579" s="178"/>
      <c r="I3579" s="178"/>
      <c r="J3579" s="178"/>
      <c r="K3579" s="178"/>
      <c r="L3579" s="178"/>
      <c r="M3579" s="178"/>
      <c r="N3579" s="200"/>
      <c r="O3579" s="178">
        <f>QUANTBL!CV246</f>
        <v>40.219063499999955</v>
      </c>
      <c r="P3579" s="231"/>
      <c r="Q3579" s="224"/>
    </row>
    <row r="3580" spans="1:17" s="225" customFormat="1" ht="10.5" x14ac:dyDescent="0.25">
      <c r="A3580" s="229"/>
      <c r="B3580" s="232" t="s">
        <v>5</v>
      </c>
      <c r="C3580" s="182" t="s">
        <v>1328</v>
      </c>
      <c r="D3580" s="182"/>
      <c r="E3580" s="182"/>
      <c r="F3580" s="182"/>
      <c r="G3580" s="182"/>
      <c r="H3580" s="182"/>
      <c r="I3580" s="182"/>
      <c r="J3580" s="182"/>
      <c r="K3580" s="178"/>
      <c r="L3580" s="182"/>
      <c r="M3580" s="182"/>
      <c r="N3580" s="177"/>
      <c r="O3580" s="177">
        <f>SUM(O3579)</f>
        <v>40.219063499999955</v>
      </c>
      <c r="P3580" s="233"/>
      <c r="Q3580" s="224"/>
    </row>
    <row r="3581" spans="1:17" s="228" customFormat="1" ht="31.5" x14ac:dyDescent="0.25">
      <c r="A3581" s="226" t="str">
        <f>ORÇAMENTO!A686</f>
        <v>6.1.2.6.39</v>
      </c>
      <c r="B3581" s="227" t="str">
        <f>VLOOKUP(A3581,ORÇAMENTO!A:K,4,0)</f>
        <v>LANÇAMENTO COM USO DE BALDES, ADENSAMENTO E ACABAMENTO DE CONCRETO EM ESTRUTURAS. AF_02/2022</v>
      </c>
      <c r="C3581" s="173" t="str">
        <f>VLOOKUP(A3581,ORÇAMENTO!A:K,5,0)</f>
        <v>M³</v>
      </c>
      <c r="D3581" s="173">
        <f>ROUND(SUM(E3585:O3585),2)</f>
        <v>50.74</v>
      </c>
      <c r="E3581" s="173" t="s">
        <v>1718</v>
      </c>
      <c r="F3581" s="173" t="s">
        <v>1719</v>
      </c>
      <c r="G3581" s="173" t="s">
        <v>1720</v>
      </c>
      <c r="H3581" s="173" t="s">
        <v>1721</v>
      </c>
      <c r="I3581" s="173" t="s">
        <v>1722</v>
      </c>
      <c r="J3581" s="173" t="s">
        <v>1723</v>
      </c>
      <c r="K3581" s="173" t="s">
        <v>1724</v>
      </c>
      <c r="L3581" s="173" t="s">
        <v>1804</v>
      </c>
      <c r="M3581" s="173" t="s">
        <v>1726</v>
      </c>
      <c r="N3581" s="173" t="s">
        <v>1809</v>
      </c>
      <c r="O3581" s="173" t="s">
        <v>1728</v>
      </c>
      <c r="P3581" s="224"/>
      <c r="Q3581" s="224"/>
    </row>
    <row r="3582" spans="1:17" s="225" customFormat="1" ht="42" x14ac:dyDescent="0.25">
      <c r="A3582" s="229"/>
      <c r="B3582" s="230" t="str">
        <f>B3551</f>
        <v>CONCRETO MAGRO PARA LASTRO, TRAÇO 1:4,5:4,5 (EM MASSA SECA DE CIMENTO/ AREIA MÉDIA/ BRITA 1) - PREPARO MECÂNICO COM BETONEIRA 600 L. AF_05/2021</v>
      </c>
      <c r="C3582" s="177"/>
      <c r="D3582" s="178"/>
      <c r="E3582" s="178"/>
      <c r="F3582" s="178"/>
      <c r="G3582" s="178"/>
      <c r="H3582" s="178"/>
      <c r="I3582" s="178"/>
      <c r="J3582" s="178"/>
      <c r="K3582" s="178"/>
      <c r="L3582" s="178"/>
      <c r="M3582" s="178"/>
      <c r="N3582" s="200"/>
      <c r="O3582" s="178">
        <f>O3554</f>
        <v>10.517949999999999</v>
      </c>
      <c r="P3582" s="231"/>
      <c r="Q3582" s="224"/>
    </row>
    <row r="3583" spans="1:17" s="225" customFormat="1" ht="42" x14ac:dyDescent="0.25">
      <c r="A3583" s="229"/>
      <c r="B3583" s="230" t="str">
        <f>B3578</f>
        <v>CONCRETO FCK = 25MPA, TRAÇO 1:2,3:2,7 (EM MASSA SECA DE CIMENTO/ AREIA MÉDIA/ BRITA 1) - PREPARO MECÂNICO COM BETONEIRA 600 L. AF_05/2021</v>
      </c>
      <c r="C3583" s="177"/>
      <c r="D3583" s="178"/>
      <c r="E3583" s="178"/>
      <c r="F3583" s="178"/>
      <c r="G3583" s="178"/>
      <c r="H3583" s="178"/>
      <c r="I3583" s="178"/>
      <c r="J3583" s="178"/>
      <c r="K3583" s="178"/>
      <c r="L3583" s="178"/>
      <c r="M3583" s="178"/>
      <c r="N3583" s="200"/>
      <c r="O3583" s="178">
        <f>O3580</f>
        <v>40.219063499999955</v>
      </c>
      <c r="P3583" s="231"/>
      <c r="Q3583" s="224"/>
    </row>
    <row r="3584" spans="1:17" s="225" customFormat="1" ht="10.5" x14ac:dyDescent="0.25">
      <c r="A3584" s="229"/>
      <c r="B3584" s="230"/>
      <c r="C3584" s="177"/>
      <c r="D3584" s="178"/>
      <c r="E3584" s="178"/>
      <c r="F3584" s="178"/>
      <c r="G3584" s="178"/>
      <c r="H3584" s="178"/>
      <c r="I3584" s="178"/>
      <c r="J3584" s="178"/>
      <c r="K3584" s="178"/>
      <c r="L3584" s="178"/>
      <c r="M3584" s="178"/>
      <c r="N3584" s="200"/>
      <c r="O3584" s="178"/>
      <c r="P3584" s="231"/>
      <c r="Q3584" s="224"/>
    </row>
    <row r="3585" spans="1:17" s="225" customFormat="1" ht="10.5" x14ac:dyDescent="0.25">
      <c r="A3585" s="229"/>
      <c r="B3585" s="232" t="s">
        <v>5</v>
      </c>
      <c r="C3585" s="182" t="s">
        <v>1328</v>
      </c>
      <c r="D3585" s="182"/>
      <c r="E3585" s="182"/>
      <c r="F3585" s="182"/>
      <c r="G3585" s="182"/>
      <c r="H3585" s="182"/>
      <c r="I3585" s="182"/>
      <c r="J3585" s="182"/>
      <c r="K3585" s="177"/>
      <c r="L3585" s="182"/>
      <c r="M3585" s="182"/>
      <c r="N3585" s="177"/>
      <c r="O3585" s="177">
        <f>SUM(O3582:O3584)</f>
        <v>50.737013499999954</v>
      </c>
      <c r="P3585" s="233"/>
      <c r="Q3585" s="224"/>
    </row>
    <row r="3586" spans="1:17" s="228" customFormat="1" ht="31.5" x14ac:dyDescent="0.25">
      <c r="A3586" s="226" t="str">
        <f>ORÇAMENTO!A687</f>
        <v>6.1.2.6.40</v>
      </c>
      <c r="B3586" s="227" t="str">
        <f>VLOOKUP(A3586,ORÇAMENTO!A:K,4,0)</f>
        <v>TUBO DE CONCRETO SIMPLES PARA AGUAS PLUVIAIS, CLASSE PS1, COM ENCAIXE PONTA E BOLSA, DIAMETRO NOMINAL DE 400 MM</v>
      </c>
      <c r="C3586" s="173" t="str">
        <f>VLOOKUP(A3586,ORÇAMENTO!A:K,5,0)</f>
        <v>M</v>
      </c>
      <c r="D3586" s="173">
        <f>ROUND(SUM(E3589:O3589),2)</f>
        <v>38.340000000000003</v>
      </c>
      <c r="E3586" s="173" t="s">
        <v>1718</v>
      </c>
      <c r="F3586" s="173" t="s">
        <v>1719</v>
      </c>
      <c r="G3586" s="173" t="s">
        <v>1720</v>
      </c>
      <c r="H3586" s="173" t="s">
        <v>1721</v>
      </c>
      <c r="I3586" s="173" t="s">
        <v>1722</v>
      </c>
      <c r="J3586" s="173" t="s">
        <v>1723</v>
      </c>
      <c r="K3586" s="173" t="s">
        <v>1724</v>
      </c>
      <c r="L3586" s="173" t="s">
        <v>1804</v>
      </c>
      <c r="M3586" s="173" t="s">
        <v>1726</v>
      </c>
      <c r="N3586" s="173" t="s">
        <v>1809</v>
      </c>
      <c r="O3586" s="173" t="s">
        <v>1728</v>
      </c>
      <c r="P3586" s="224"/>
      <c r="Q3586" s="224"/>
    </row>
    <row r="3587" spans="1:17" s="225" customFormat="1" ht="10.5" x14ac:dyDescent="0.25">
      <c r="A3587" s="229"/>
      <c r="B3587" s="230" t="s">
        <v>1829</v>
      </c>
      <c r="C3587" s="177"/>
      <c r="D3587" s="178"/>
      <c r="E3587" s="178">
        <f>QUANTBL!BF248</f>
        <v>38.339999999999996</v>
      </c>
      <c r="F3587" s="178"/>
      <c r="G3587" s="178"/>
      <c r="H3587" s="178"/>
      <c r="I3587" s="178"/>
      <c r="J3587" s="178"/>
      <c r="K3587" s="178"/>
      <c r="L3587" s="178"/>
      <c r="M3587" s="178"/>
      <c r="N3587" s="200"/>
      <c r="O3587" s="178"/>
      <c r="P3587" s="231"/>
      <c r="Q3587" s="224"/>
    </row>
    <row r="3588" spans="1:17" s="225" customFormat="1" ht="10.5" x14ac:dyDescent="0.25">
      <c r="A3588" s="229"/>
      <c r="B3588" s="230"/>
      <c r="C3588" s="177"/>
      <c r="D3588" s="178"/>
      <c r="E3588" s="178"/>
      <c r="F3588" s="178"/>
      <c r="G3588" s="178"/>
      <c r="H3588" s="178"/>
      <c r="I3588" s="178"/>
      <c r="J3588" s="178"/>
      <c r="K3588" s="178"/>
      <c r="L3588" s="178"/>
      <c r="M3588" s="178"/>
      <c r="N3588" s="200"/>
      <c r="O3588" s="178"/>
      <c r="P3588" s="231"/>
      <c r="Q3588" s="224"/>
    </row>
    <row r="3589" spans="1:17" s="225" customFormat="1" ht="10.5" x14ac:dyDescent="0.25">
      <c r="A3589" s="229"/>
      <c r="B3589" s="232" t="s">
        <v>5</v>
      </c>
      <c r="C3589" s="182" t="s">
        <v>1328</v>
      </c>
      <c r="D3589" s="182"/>
      <c r="E3589" s="177">
        <f>SUM(E3587:E3588)</f>
        <v>38.339999999999996</v>
      </c>
      <c r="F3589" s="182"/>
      <c r="G3589" s="182"/>
      <c r="H3589" s="182"/>
      <c r="I3589" s="182"/>
      <c r="J3589" s="182"/>
      <c r="K3589" s="177"/>
      <c r="L3589" s="182"/>
      <c r="M3589" s="182"/>
      <c r="N3589" s="177"/>
      <c r="O3589" s="177"/>
      <c r="P3589" s="233"/>
      <c r="Q3589" s="224"/>
    </row>
    <row r="3590" spans="1:17" s="228" customFormat="1" ht="31.5" x14ac:dyDescent="0.25">
      <c r="A3590" s="226" t="str">
        <f>ORÇAMENTO!A688</f>
        <v>6.1.2.6.41</v>
      </c>
      <c r="B3590" s="227" t="str">
        <f>VLOOKUP(A3590,ORÇAMENTO!A:K,4,0)</f>
        <v>TUBO DE CONCRETO SIMPLES PARA AGUAS PLUVIAIS, CLASSE PS2, COM ENCAIXE PONTA E BOLSA, DIAMETRO NOMINAL DE 400 MM</v>
      </c>
      <c r="C3590" s="173" t="str">
        <f>VLOOKUP(A3590,ORÇAMENTO!A:K,5,0)</f>
        <v>M</v>
      </c>
      <c r="D3590" s="173">
        <f>ROUND(SUM(E3593:O3593),2)</f>
        <v>126.49</v>
      </c>
      <c r="E3590" s="173" t="s">
        <v>1718</v>
      </c>
      <c r="F3590" s="173" t="s">
        <v>1719</v>
      </c>
      <c r="G3590" s="173" t="s">
        <v>1720</v>
      </c>
      <c r="H3590" s="173" t="s">
        <v>1721</v>
      </c>
      <c r="I3590" s="173" t="s">
        <v>1722</v>
      </c>
      <c r="J3590" s="173" t="s">
        <v>1723</v>
      </c>
      <c r="K3590" s="173" t="s">
        <v>1724</v>
      </c>
      <c r="L3590" s="173" t="s">
        <v>1804</v>
      </c>
      <c r="M3590" s="173" t="s">
        <v>1726</v>
      </c>
      <c r="N3590" s="173" t="s">
        <v>1809</v>
      </c>
      <c r="O3590" s="173" t="s">
        <v>1728</v>
      </c>
      <c r="P3590" s="224"/>
      <c r="Q3590" s="224"/>
    </row>
    <row r="3591" spans="1:17" s="225" customFormat="1" ht="21" x14ac:dyDescent="0.25">
      <c r="A3591" s="229"/>
      <c r="B3591" s="230" t="s">
        <v>1830</v>
      </c>
      <c r="C3591" s="177"/>
      <c r="D3591" s="178"/>
      <c r="E3591" s="178">
        <f>QUANTBL!BG248</f>
        <v>126.485</v>
      </c>
      <c r="F3591" s="178"/>
      <c r="G3591" s="178"/>
      <c r="H3591" s="178"/>
      <c r="I3591" s="178"/>
      <c r="J3591" s="178"/>
      <c r="K3591" s="178"/>
      <c r="L3591" s="178"/>
      <c r="M3591" s="178"/>
      <c r="N3591" s="200"/>
      <c r="O3591" s="178"/>
      <c r="P3591" s="231"/>
      <c r="Q3591" s="224"/>
    </row>
    <row r="3592" spans="1:17" s="225" customFormat="1" ht="10.5" x14ac:dyDescent="0.25">
      <c r="A3592" s="229"/>
      <c r="B3592" s="230"/>
      <c r="C3592" s="177"/>
      <c r="D3592" s="178"/>
      <c r="E3592" s="178"/>
      <c r="F3592" s="178"/>
      <c r="G3592" s="178"/>
      <c r="H3592" s="178"/>
      <c r="I3592" s="178"/>
      <c r="J3592" s="178"/>
      <c r="K3592" s="178"/>
      <c r="L3592" s="178"/>
      <c r="M3592" s="178"/>
      <c r="N3592" s="200"/>
      <c r="O3592" s="178"/>
      <c r="P3592" s="231"/>
      <c r="Q3592" s="224"/>
    </row>
    <row r="3593" spans="1:17" s="225" customFormat="1" ht="10.5" x14ac:dyDescent="0.25">
      <c r="A3593" s="229"/>
      <c r="B3593" s="232" t="s">
        <v>5</v>
      </c>
      <c r="C3593" s="182" t="s">
        <v>1328</v>
      </c>
      <c r="D3593" s="182"/>
      <c r="E3593" s="177">
        <f>SUM(E3591:E3592)</f>
        <v>126.485</v>
      </c>
      <c r="F3593" s="182"/>
      <c r="G3593" s="182"/>
      <c r="H3593" s="182"/>
      <c r="I3593" s="182"/>
      <c r="J3593" s="182"/>
      <c r="K3593" s="177"/>
      <c r="L3593" s="182"/>
      <c r="M3593" s="182"/>
      <c r="N3593" s="177"/>
      <c r="O3593" s="177"/>
      <c r="P3593" s="233"/>
      <c r="Q3593" s="224"/>
    </row>
    <row r="3594" spans="1:17" s="228" customFormat="1" ht="52.5" x14ac:dyDescent="0.25">
      <c r="A3594" s="226" t="str">
        <f>ORÇAMENTO!A689</f>
        <v>6.1.2.6.42</v>
      </c>
      <c r="B3594" s="227" t="str">
        <f>VLOOKUP(A3594,ORÇAMENTO!A:K,4,0)</f>
        <v>ASSENTAMENTO DE TUBO DE CONCRETO PARA REDES COLETORAS DE ÁGUAS PLUVIAIS, DIÂMETRO DE 400 MM, JUNTA RÍGIDA, INSTALADO EM LOCAL COM ALTO NÍVEL DE INTERFERÊNCIAS (NÃO INCLUI FORNECIMENTO). AF_03/2024</v>
      </c>
      <c r="C3594" s="173" t="str">
        <f>VLOOKUP(A3594,ORÇAMENTO!A:K,5,0)</f>
        <v>M</v>
      </c>
      <c r="D3594" s="173">
        <f>ROUND(SUM(E3597:O3597),2)</f>
        <v>164.83</v>
      </c>
      <c r="E3594" s="173" t="s">
        <v>1718</v>
      </c>
      <c r="F3594" s="173" t="s">
        <v>1719</v>
      </c>
      <c r="G3594" s="173" t="s">
        <v>1720</v>
      </c>
      <c r="H3594" s="173" t="s">
        <v>1721</v>
      </c>
      <c r="I3594" s="173" t="s">
        <v>1722</v>
      </c>
      <c r="J3594" s="173" t="s">
        <v>1723</v>
      </c>
      <c r="K3594" s="173" t="s">
        <v>1724</v>
      </c>
      <c r="L3594" s="173" t="s">
        <v>1804</v>
      </c>
      <c r="M3594" s="173" t="s">
        <v>1726</v>
      </c>
      <c r="N3594" s="173" t="s">
        <v>1809</v>
      </c>
      <c r="O3594" s="173" t="s">
        <v>1728</v>
      </c>
      <c r="P3594" s="224"/>
      <c r="Q3594" s="224"/>
    </row>
    <row r="3595" spans="1:17" s="225" customFormat="1" ht="10.5" x14ac:dyDescent="0.25">
      <c r="A3595" s="229"/>
      <c r="B3595" s="230" t="s">
        <v>1892</v>
      </c>
      <c r="C3595" s="177"/>
      <c r="D3595" s="178"/>
      <c r="E3595" s="178">
        <f>E3589+E3593</f>
        <v>164.82499999999999</v>
      </c>
      <c r="F3595" s="178"/>
      <c r="G3595" s="178"/>
      <c r="H3595" s="178"/>
      <c r="I3595" s="178"/>
      <c r="J3595" s="178"/>
      <c r="K3595" s="178"/>
      <c r="L3595" s="178"/>
      <c r="M3595" s="178"/>
      <c r="N3595" s="200"/>
      <c r="O3595" s="178"/>
      <c r="P3595" s="231"/>
      <c r="Q3595" s="224"/>
    </row>
    <row r="3596" spans="1:17" s="225" customFormat="1" ht="10.5" x14ac:dyDescent="0.25">
      <c r="A3596" s="229"/>
      <c r="B3596" s="230"/>
      <c r="C3596" s="177"/>
      <c r="D3596" s="178"/>
      <c r="E3596" s="178"/>
      <c r="F3596" s="178"/>
      <c r="G3596" s="178"/>
      <c r="H3596" s="178"/>
      <c r="I3596" s="178"/>
      <c r="J3596" s="178"/>
      <c r="K3596" s="178"/>
      <c r="L3596" s="178"/>
      <c r="M3596" s="178"/>
      <c r="N3596" s="200"/>
      <c r="O3596" s="178"/>
      <c r="P3596" s="231"/>
      <c r="Q3596" s="224"/>
    </row>
    <row r="3597" spans="1:17" s="225" customFormat="1" ht="10.5" x14ac:dyDescent="0.25">
      <c r="A3597" s="229"/>
      <c r="B3597" s="232" t="s">
        <v>5</v>
      </c>
      <c r="C3597" s="182" t="s">
        <v>1328</v>
      </c>
      <c r="D3597" s="182"/>
      <c r="E3597" s="177">
        <f>SUM(E3595:E3596)</f>
        <v>164.82499999999999</v>
      </c>
      <c r="F3597" s="182"/>
      <c r="G3597" s="182"/>
      <c r="H3597" s="182"/>
      <c r="I3597" s="182"/>
      <c r="J3597" s="182"/>
      <c r="K3597" s="177"/>
      <c r="L3597" s="182"/>
      <c r="M3597" s="182"/>
      <c r="N3597" s="177"/>
      <c r="O3597" s="177"/>
      <c r="P3597" s="233"/>
      <c r="Q3597" s="224"/>
    </row>
    <row r="3598" spans="1:17" s="225" customFormat="1" ht="10.5" x14ac:dyDescent="0.25">
      <c r="A3598" s="222" t="str">
        <f>ORÇAMENTO!A690</f>
        <v>6.1.2.7</v>
      </c>
      <c r="B3598" s="223" t="str">
        <f>VLOOKUP(A3598,ORÇAMENTO!A:K,4,0)</f>
        <v>POÇOS DE VISITA</v>
      </c>
      <c r="C3598" s="167"/>
      <c r="D3598" s="167"/>
      <c r="E3598" s="168"/>
      <c r="F3598" s="168"/>
      <c r="G3598" s="168"/>
      <c r="H3598" s="168"/>
      <c r="I3598" s="168"/>
      <c r="J3598" s="168"/>
      <c r="K3598" s="168"/>
      <c r="L3598" s="168"/>
      <c r="M3598" s="168"/>
      <c r="N3598" s="168"/>
      <c r="O3598" s="168"/>
      <c r="P3598" s="224"/>
      <c r="Q3598" s="224"/>
    </row>
    <row r="3599" spans="1:17" s="228" customFormat="1" ht="21" x14ac:dyDescent="0.25">
      <c r="A3599" s="226" t="str">
        <f>ORÇAMENTO!A691</f>
        <v>6.1.2.7.1</v>
      </c>
      <c r="B3599" s="227" t="str">
        <f>VLOOKUP(A3599,ORÇAMENTO!A:K,4,0)</f>
        <v>REVEST. PRIMARIO C CASCALHO OU SAIBRO C\ COMPACTACAO</v>
      </c>
      <c r="C3599" s="173" t="str">
        <f>VLOOKUP(A3599,ORÇAMENTO!A:K,5,0)</f>
        <v>M³</v>
      </c>
      <c r="D3599" s="173">
        <f>ROUND(SUM(E3607:O3607),2)</f>
        <v>4.3099999999999996</v>
      </c>
      <c r="E3599" s="173" t="s">
        <v>1718</v>
      </c>
      <c r="F3599" s="173" t="s">
        <v>1719</v>
      </c>
      <c r="G3599" s="173" t="s">
        <v>1720</v>
      </c>
      <c r="H3599" s="173" t="s">
        <v>1721</v>
      </c>
      <c r="I3599" s="173" t="s">
        <v>1722</v>
      </c>
      <c r="J3599" s="173" t="s">
        <v>1723</v>
      </c>
      <c r="K3599" s="173" t="s">
        <v>1724</v>
      </c>
      <c r="L3599" s="173" t="s">
        <v>1804</v>
      </c>
      <c r="M3599" s="173" t="s">
        <v>1726</v>
      </c>
      <c r="N3599" s="173" t="s">
        <v>1809</v>
      </c>
      <c r="O3599" s="173" t="s">
        <v>1728</v>
      </c>
      <c r="P3599" s="224"/>
      <c r="Q3599" s="224"/>
    </row>
    <row r="3600" spans="1:17" s="225" customFormat="1" ht="10.5" x14ac:dyDescent="0.25">
      <c r="A3600" s="229"/>
      <c r="B3600" s="230" t="s">
        <v>1832</v>
      </c>
      <c r="C3600" s="184"/>
      <c r="D3600" s="185"/>
      <c r="E3600" s="185"/>
      <c r="F3600" s="185"/>
      <c r="G3600" s="185"/>
      <c r="H3600" s="185"/>
      <c r="I3600" s="185"/>
      <c r="J3600" s="185"/>
      <c r="K3600" s="185"/>
      <c r="L3600" s="185"/>
      <c r="M3600" s="185"/>
      <c r="N3600" s="205"/>
      <c r="O3600" s="185"/>
      <c r="P3600" s="231"/>
      <c r="Q3600" s="224"/>
    </row>
    <row r="3601" spans="1:17" s="225" customFormat="1" ht="10.5" x14ac:dyDescent="0.25">
      <c r="A3601" s="229"/>
      <c r="B3601" s="230" t="s">
        <v>1833</v>
      </c>
      <c r="C3601" s="184"/>
      <c r="D3601" s="185"/>
      <c r="E3601" s="185">
        <v>1.48</v>
      </c>
      <c r="F3601" s="185">
        <v>1.48</v>
      </c>
      <c r="G3601" s="185"/>
      <c r="H3601" s="185">
        <v>0.1</v>
      </c>
      <c r="I3601" s="185"/>
      <c r="J3601" s="185"/>
      <c r="K3601" s="185"/>
      <c r="L3601" s="185"/>
      <c r="M3601" s="185">
        <f>'Planilha Hidráulica'!AF130</f>
        <v>11</v>
      </c>
      <c r="N3601" s="205"/>
      <c r="O3601" s="185">
        <f>M3601*E3601*F3601*H3601</f>
        <v>2.40944</v>
      </c>
      <c r="P3601" s="231"/>
      <c r="Q3601" s="224"/>
    </row>
    <row r="3602" spans="1:17" s="225" customFormat="1" ht="10.5" x14ac:dyDescent="0.25">
      <c r="A3602" s="229"/>
      <c r="B3602" s="230" t="s">
        <v>1834</v>
      </c>
      <c r="C3602" s="184"/>
      <c r="D3602" s="185"/>
      <c r="E3602" s="185">
        <v>1.9</v>
      </c>
      <c r="F3602" s="185">
        <v>1.9</v>
      </c>
      <c r="G3602" s="185"/>
      <c r="H3602" s="185">
        <v>0.1</v>
      </c>
      <c r="I3602" s="185"/>
      <c r="J3602" s="185"/>
      <c r="K3602" s="185"/>
      <c r="L3602" s="185"/>
      <c r="M3602" s="185">
        <f>'Planilha Hidráulica'!AG130</f>
        <v>0</v>
      </c>
      <c r="N3602" s="205"/>
      <c r="O3602" s="185">
        <f>M3602*E3602*F3602*H3602</f>
        <v>0</v>
      </c>
      <c r="P3602" s="231"/>
      <c r="Q3602" s="224"/>
    </row>
    <row r="3603" spans="1:17" s="225" customFormat="1" ht="10.5" x14ac:dyDescent="0.25">
      <c r="A3603" s="229"/>
      <c r="B3603" s="230" t="s">
        <v>1835</v>
      </c>
      <c r="C3603" s="184"/>
      <c r="D3603" s="185"/>
      <c r="E3603" s="185">
        <v>2.14</v>
      </c>
      <c r="F3603" s="185">
        <v>2.14</v>
      </c>
      <c r="G3603" s="185"/>
      <c r="H3603" s="185">
        <v>0.1</v>
      </c>
      <c r="I3603" s="185"/>
      <c r="J3603" s="185"/>
      <c r="K3603" s="185"/>
      <c r="L3603" s="185"/>
      <c r="M3603" s="185">
        <f>'Planilha Hidráulica'!AH130</f>
        <v>0</v>
      </c>
      <c r="N3603" s="205"/>
      <c r="O3603" s="185">
        <f>M3603*E3603*F3603*H3603</f>
        <v>0</v>
      </c>
      <c r="P3603" s="231"/>
      <c r="Q3603" s="224"/>
    </row>
    <row r="3604" spans="1:17" s="225" customFormat="1" ht="10.5" x14ac:dyDescent="0.25">
      <c r="A3604" s="229"/>
      <c r="B3604" s="230" t="s">
        <v>1836</v>
      </c>
      <c r="C3604" s="184"/>
      <c r="D3604" s="185"/>
      <c r="E3604" s="185">
        <v>2.2400000000000002</v>
      </c>
      <c r="F3604" s="185">
        <v>2.2400000000000002</v>
      </c>
      <c r="G3604" s="185"/>
      <c r="H3604" s="185">
        <v>0.1</v>
      </c>
      <c r="I3604" s="185"/>
      <c r="J3604" s="185"/>
      <c r="K3604" s="185"/>
      <c r="L3604" s="185"/>
      <c r="M3604" s="185">
        <f>'Planilha Hidráulica'!AI130</f>
        <v>1</v>
      </c>
      <c r="N3604" s="205"/>
      <c r="O3604" s="185">
        <f>M3604*E3604*F3604*H3604</f>
        <v>0.50176000000000009</v>
      </c>
      <c r="P3604" s="231"/>
      <c r="Q3604" s="224"/>
    </row>
    <row r="3605" spans="1:17" s="225" customFormat="1" ht="10.5" x14ac:dyDescent="0.25">
      <c r="A3605" s="229"/>
      <c r="B3605" s="230" t="s">
        <v>1837</v>
      </c>
      <c r="C3605" s="184"/>
      <c r="D3605" s="185"/>
      <c r="E3605" s="185">
        <v>2.64</v>
      </c>
      <c r="F3605" s="185">
        <v>2.64</v>
      </c>
      <c r="G3605" s="185"/>
      <c r="H3605" s="185">
        <v>0.1</v>
      </c>
      <c r="I3605" s="185"/>
      <c r="J3605" s="185"/>
      <c r="K3605" s="185"/>
      <c r="L3605" s="185"/>
      <c r="M3605" s="185">
        <f>'Planilha Hidráulica'!AJ130</f>
        <v>2</v>
      </c>
      <c r="N3605" s="205"/>
      <c r="O3605" s="185">
        <f>M3605*E3605*F3605*H3605</f>
        <v>1.3939200000000003</v>
      </c>
      <c r="P3605" s="231"/>
      <c r="Q3605" s="224"/>
    </row>
    <row r="3606" spans="1:17" s="225" customFormat="1" ht="10.5" x14ac:dyDescent="0.25">
      <c r="A3606" s="229"/>
      <c r="B3606" s="230"/>
      <c r="C3606" s="184"/>
      <c r="D3606" s="185"/>
      <c r="E3606" s="185"/>
      <c r="F3606" s="185"/>
      <c r="G3606" s="185"/>
      <c r="H3606" s="185"/>
      <c r="I3606" s="185"/>
      <c r="J3606" s="185"/>
      <c r="K3606" s="185"/>
      <c r="L3606" s="185"/>
      <c r="M3606" s="185"/>
      <c r="N3606" s="205"/>
      <c r="O3606" s="185"/>
      <c r="P3606" s="231"/>
      <c r="Q3606" s="224"/>
    </row>
    <row r="3607" spans="1:17" s="225" customFormat="1" ht="10.5" x14ac:dyDescent="0.25">
      <c r="A3607" s="229"/>
      <c r="B3607" s="232" t="s">
        <v>5</v>
      </c>
      <c r="C3607" s="182" t="s">
        <v>1328</v>
      </c>
      <c r="D3607" s="182"/>
      <c r="E3607" s="182"/>
      <c r="F3607" s="182"/>
      <c r="G3607" s="182"/>
      <c r="H3607" s="182"/>
      <c r="I3607" s="182"/>
      <c r="J3607" s="182"/>
      <c r="K3607" s="185"/>
      <c r="L3607" s="182"/>
      <c r="M3607" s="182"/>
      <c r="N3607" s="184"/>
      <c r="O3607" s="184">
        <f>SUM(O3601:O3605)</f>
        <v>4.3051200000000005</v>
      </c>
      <c r="P3607" s="233"/>
      <c r="Q3607" s="224"/>
    </row>
    <row r="3608" spans="1:17" s="228" customFormat="1" ht="31.5" x14ac:dyDescent="0.25">
      <c r="A3608" s="226" t="str">
        <f>ORÇAMENTO!A692</f>
        <v>6.1.2.7.2</v>
      </c>
      <c r="B3608" s="227" t="str">
        <f>VLOOKUP(A3608,ORÇAMENTO!A:K,4,0)</f>
        <v>PEÇA RETANGULAR PRÉ-MOLDADA, VOLUME DE CONCRETO DE ATÉ 10 LITROS, TAXA DE AÇO APROXIMADA DE 30KG/M³. AF_03/2024</v>
      </c>
      <c r="C3608" s="173" t="str">
        <f>VLOOKUP(A3608,ORÇAMENTO!A:K,5,0)</f>
        <v>M³</v>
      </c>
      <c r="D3608" s="173">
        <f>ROUND(SUM(E3613:O3613),2)</f>
        <v>1.8</v>
      </c>
      <c r="E3608" s="173" t="s">
        <v>1718</v>
      </c>
      <c r="F3608" s="173" t="s">
        <v>1719</v>
      </c>
      <c r="G3608" s="173" t="s">
        <v>1720</v>
      </c>
      <c r="H3608" s="173" t="s">
        <v>1721</v>
      </c>
      <c r="I3608" s="173" t="s">
        <v>1722</v>
      </c>
      <c r="J3608" s="173" t="s">
        <v>1723</v>
      </c>
      <c r="K3608" s="173" t="s">
        <v>1724</v>
      </c>
      <c r="L3608" s="173" t="s">
        <v>1804</v>
      </c>
      <c r="M3608" s="173" t="s">
        <v>1726</v>
      </c>
      <c r="N3608" s="173" t="s">
        <v>1809</v>
      </c>
      <c r="O3608" s="173" t="s">
        <v>1728</v>
      </c>
      <c r="P3608" s="224"/>
      <c r="Q3608" s="224"/>
    </row>
    <row r="3609" spans="1:17" s="225" customFormat="1" ht="10.5" x14ac:dyDescent="0.25">
      <c r="A3609" s="229"/>
      <c r="B3609" s="230" t="str">
        <f>B3600</f>
        <v>CONFORME DESENHO TIPO</v>
      </c>
      <c r="C3609" s="184"/>
      <c r="D3609" s="185"/>
      <c r="E3609" s="185"/>
      <c r="F3609" s="185"/>
      <c r="G3609" s="185"/>
      <c r="H3609" s="185"/>
      <c r="I3609" s="185"/>
      <c r="J3609" s="185"/>
      <c r="K3609" s="185"/>
      <c r="L3609" s="185"/>
      <c r="M3609" s="185"/>
      <c r="N3609" s="205"/>
      <c r="O3609" s="185"/>
      <c r="P3609" s="231"/>
      <c r="Q3609" s="224"/>
    </row>
    <row r="3610" spans="1:17" s="225" customFormat="1" ht="10.5" x14ac:dyDescent="0.25">
      <c r="A3610" s="229"/>
      <c r="B3610" s="230" t="str">
        <f>B3601</f>
        <v>PV DN 600</v>
      </c>
      <c r="C3610" s="184"/>
      <c r="D3610" s="185"/>
      <c r="E3610" s="185">
        <f>E3601-0.2</f>
        <v>1.28</v>
      </c>
      <c r="F3610" s="185">
        <f>F3601-0.2</f>
        <v>1.28</v>
      </c>
      <c r="G3610" s="185"/>
      <c r="H3610" s="185">
        <v>0.1</v>
      </c>
      <c r="I3610" s="185"/>
      <c r="J3610" s="185"/>
      <c r="K3610" s="185"/>
      <c r="L3610" s="185"/>
      <c r="M3610" s="185">
        <f>M3601</f>
        <v>11</v>
      </c>
      <c r="N3610" s="205"/>
      <c r="O3610" s="185">
        <f>M3610*E3610*F3610*H3610</f>
        <v>1.8022400000000003</v>
      </c>
      <c r="P3610" s="231"/>
      <c r="Q3610" s="224"/>
    </row>
    <row r="3611" spans="1:17" s="225" customFormat="1" ht="10.5" x14ac:dyDescent="0.25">
      <c r="A3611" s="229"/>
      <c r="B3611" s="230" t="str">
        <f>B3602</f>
        <v>PV DN 800</v>
      </c>
      <c r="C3611" s="184"/>
      <c r="D3611" s="185"/>
      <c r="E3611" s="185">
        <f>E3602-0.2*2</f>
        <v>1.5</v>
      </c>
      <c r="F3611" s="185">
        <f>F3602-0.2*2</f>
        <v>1.5</v>
      </c>
      <c r="G3611" s="185"/>
      <c r="H3611" s="185">
        <v>0.1</v>
      </c>
      <c r="I3611" s="185"/>
      <c r="J3611" s="185"/>
      <c r="K3611" s="185"/>
      <c r="L3611" s="185"/>
      <c r="M3611" s="185">
        <f>M3602</f>
        <v>0</v>
      </c>
      <c r="N3611" s="205"/>
      <c r="O3611" s="185">
        <f>M3611*E3611*F3611*H3611</f>
        <v>0</v>
      </c>
      <c r="P3611" s="231"/>
      <c r="Q3611" s="224"/>
    </row>
    <row r="3612" spans="1:17" s="225" customFormat="1" ht="10.5" x14ac:dyDescent="0.25">
      <c r="A3612" s="229"/>
      <c r="B3612" s="230"/>
      <c r="C3612" s="184"/>
      <c r="D3612" s="185"/>
      <c r="E3612" s="185"/>
      <c r="F3612" s="185"/>
      <c r="G3612" s="185"/>
      <c r="H3612" s="185"/>
      <c r="I3612" s="185"/>
      <c r="J3612" s="185"/>
      <c r="K3612" s="185"/>
      <c r="L3612" s="185"/>
      <c r="M3612" s="185"/>
      <c r="N3612" s="205"/>
      <c r="O3612" s="185"/>
      <c r="P3612" s="231"/>
      <c r="Q3612" s="224"/>
    </row>
    <row r="3613" spans="1:17" s="225" customFormat="1" ht="10.5" x14ac:dyDescent="0.25">
      <c r="A3613" s="229"/>
      <c r="B3613" s="232" t="s">
        <v>5</v>
      </c>
      <c r="C3613" s="182" t="s">
        <v>1328</v>
      </c>
      <c r="D3613" s="182"/>
      <c r="E3613" s="182"/>
      <c r="F3613" s="182"/>
      <c r="G3613" s="182"/>
      <c r="H3613" s="182"/>
      <c r="I3613" s="182"/>
      <c r="J3613" s="182"/>
      <c r="K3613" s="185"/>
      <c r="L3613" s="182"/>
      <c r="M3613" s="182"/>
      <c r="N3613" s="184"/>
      <c r="O3613" s="184">
        <f>SUM(O3609:O3612)</f>
        <v>1.8022400000000003</v>
      </c>
      <c r="P3613" s="233"/>
      <c r="Q3613" s="224"/>
    </row>
    <row r="3614" spans="1:17" s="228" customFormat="1" ht="42" x14ac:dyDescent="0.25">
      <c r="A3614" s="226" t="str">
        <f>ORÇAMENTO!A693</f>
        <v>6.1.2.7.3</v>
      </c>
      <c r="B3614" s="227" t="str">
        <f>VLOOKUP(A3614,ORÇAMENTO!A:K,4,0)</f>
        <v>ALVENARIA DE VEDAÇÃO DE BLOCOS VAZADOS DE CONCRETO DE 19X19X39 CM (ESPESSURA 19 CM) E ARGAMASSA DE ASSENTAMENTO COM PREPARO EM BETONEIRA. AF_12/2021</v>
      </c>
      <c r="C3614" s="173" t="str">
        <f>VLOOKUP(A3614,ORÇAMENTO!A:K,5,0)</f>
        <v>M²</v>
      </c>
      <c r="D3614" s="173">
        <f>ROUND(SUM(E3619:O3619),2)</f>
        <v>60.98</v>
      </c>
      <c r="E3614" s="173" t="s">
        <v>1718</v>
      </c>
      <c r="F3614" s="173" t="s">
        <v>1719</v>
      </c>
      <c r="G3614" s="173" t="s">
        <v>1720</v>
      </c>
      <c r="H3614" s="173" t="s">
        <v>1721</v>
      </c>
      <c r="I3614" s="173" t="s">
        <v>1722</v>
      </c>
      <c r="J3614" s="173" t="s">
        <v>1723</v>
      </c>
      <c r="K3614" s="173" t="s">
        <v>1724</v>
      </c>
      <c r="L3614" s="173" t="s">
        <v>1804</v>
      </c>
      <c r="M3614" s="173" t="s">
        <v>1726</v>
      </c>
      <c r="N3614" s="173" t="s">
        <v>1826</v>
      </c>
      <c r="O3614" s="173" t="s">
        <v>1728</v>
      </c>
      <c r="P3614" s="224"/>
      <c r="Q3614" s="224"/>
    </row>
    <row r="3615" spans="1:17" s="225" customFormat="1" ht="10.5" x14ac:dyDescent="0.25">
      <c r="A3615" s="229"/>
      <c r="B3615" s="230" t="str">
        <f>B3609</f>
        <v>CONFORME DESENHO TIPO</v>
      </c>
      <c r="C3615" s="184"/>
      <c r="D3615" s="185"/>
      <c r="E3615" s="185"/>
      <c r="F3615" s="185"/>
      <c r="G3615" s="185"/>
      <c r="H3615" s="185"/>
      <c r="I3615" s="185"/>
      <c r="J3615" s="185"/>
      <c r="K3615" s="185"/>
      <c r="L3615" s="185"/>
      <c r="M3615" s="185"/>
      <c r="N3615" s="205"/>
      <c r="O3615" s="185"/>
      <c r="P3615" s="231"/>
      <c r="Q3615" s="224"/>
    </row>
    <row r="3616" spans="1:17" s="225" customFormat="1" ht="10.5" x14ac:dyDescent="0.25">
      <c r="A3616" s="229"/>
      <c r="B3616" s="230" t="str">
        <f>B3610</f>
        <v>PV DN 600</v>
      </c>
      <c r="C3616" s="184"/>
      <c r="D3616" s="185"/>
      <c r="E3616" s="185">
        <f>E3610-0.1*2</f>
        <v>1.08</v>
      </c>
      <c r="F3616" s="185">
        <f>F3610-0.1*2</f>
        <v>1.08</v>
      </c>
      <c r="G3616" s="185">
        <v>1.4</v>
      </c>
      <c r="H3616" s="185">
        <v>0.09</v>
      </c>
      <c r="I3616" s="185">
        <f>2*(E3616+F3616-2*H3616)</f>
        <v>3.9600000000000004</v>
      </c>
      <c r="J3616" s="185"/>
      <c r="K3616" s="185"/>
      <c r="L3616" s="185"/>
      <c r="M3616" s="185">
        <f>M3610</f>
        <v>11</v>
      </c>
      <c r="N3616" s="205">
        <f>M3616*I3616*G3616</f>
        <v>60.984000000000002</v>
      </c>
      <c r="O3616" s="185"/>
      <c r="P3616" s="231"/>
      <c r="Q3616" s="224"/>
    </row>
    <row r="3617" spans="1:17" s="225" customFormat="1" ht="10.5" x14ac:dyDescent="0.25">
      <c r="A3617" s="229"/>
      <c r="B3617" s="230" t="str">
        <f>B3611</f>
        <v>PV DN 800</v>
      </c>
      <c r="C3617" s="184"/>
      <c r="D3617" s="185"/>
      <c r="E3617" s="185">
        <f>E3611</f>
        <v>1.5</v>
      </c>
      <c r="F3617" s="185">
        <f>F3611</f>
        <v>1.5</v>
      </c>
      <c r="G3617" s="185">
        <v>1.4</v>
      </c>
      <c r="H3617" s="185">
        <v>0.2</v>
      </c>
      <c r="I3617" s="185">
        <f>2*(E3617+F3617-2*H3617)</f>
        <v>5.2</v>
      </c>
      <c r="J3617" s="185"/>
      <c r="K3617" s="185"/>
      <c r="L3617" s="185"/>
      <c r="M3617" s="185">
        <f>M3611</f>
        <v>0</v>
      </c>
      <c r="N3617" s="205">
        <f>M3617*I3617*G3617</f>
        <v>0</v>
      </c>
      <c r="O3617" s="185"/>
      <c r="P3617" s="231"/>
      <c r="Q3617" s="224"/>
    </row>
    <row r="3618" spans="1:17" s="225" customFormat="1" ht="10.5" x14ac:dyDescent="0.25">
      <c r="A3618" s="229"/>
      <c r="B3618" s="230"/>
      <c r="C3618" s="184"/>
      <c r="D3618" s="185"/>
      <c r="E3618" s="185"/>
      <c r="F3618" s="185"/>
      <c r="G3618" s="185"/>
      <c r="H3618" s="185"/>
      <c r="I3618" s="185"/>
      <c r="J3618" s="185"/>
      <c r="K3618" s="185"/>
      <c r="L3618" s="185"/>
      <c r="M3618" s="185"/>
      <c r="N3618" s="205"/>
      <c r="O3618" s="185"/>
      <c r="P3618" s="231"/>
      <c r="Q3618" s="224"/>
    </row>
    <row r="3619" spans="1:17" s="225" customFormat="1" ht="10.5" x14ac:dyDescent="0.25">
      <c r="A3619" s="229"/>
      <c r="B3619" s="232" t="s">
        <v>5</v>
      </c>
      <c r="C3619" s="182" t="s">
        <v>1328</v>
      </c>
      <c r="D3619" s="182"/>
      <c r="E3619" s="182"/>
      <c r="F3619" s="182"/>
      <c r="G3619" s="182"/>
      <c r="H3619" s="182"/>
      <c r="I3619" s="182"/>
      <c r="J3619" s="182"/>
      <c r="K3619" s="185"/>
      <c r="L3619" s="182"/>
      <c r="M3619" s="182"/>
      <c r="N3619" s="184">
        <f>SUM(N3615:N3618)</f>
        <v>60.984000000000002</v>
      </c>
      <c r="O3619" s="182"/>
      <c r="P3619" s="233"/>
      <c r="Q3619" s="224"/>
    </row>
    <row r="3620" spans="1:17" s="228" customFormat="1" ht="42" x14ac:dyDescent="0.25">
      <c r="A3620" s="226" t="str">
        <f>ORÇAMENTO!A694</f>
        <v>6.1.2.7.4</v>
      </c>
      <c r="B3620" s="227" t="str">
        <f>VLOOKUP(A3620,ORÇAMENTO!A:K,4,0)</f>
        <v>CONCRETO FCK = 15MPA, TRAÇO 1:3,4:3,5 (EM MASSA SECA DE CIMENTO/ AREIA MÉDIA/ BRITA 1) - PREPARO MECÂNICO COM BETONEIRA 600 L. AF_05/2021</v>
      </c>
      <c r="C3620" s="173" t="str">
        <f>VLOOKUP(A3620,ORÇAMENTO!A:K,5,0)</f>
        <v>M³</v>
      </c>
      <c r="D3620" s="173">
        <f>ROUND(SUM(E3634:O3634),2)</f>
        <v>5.13</v>
      </c>
      <c r="E3620" s="173" t="s">
        <v>1718</v>
      </c>
      <c r="F3620" s="173" t="s">
        <v>1719</v>
      </c>
      <c r="G3620" s="173" t="s">
        <v>1720</v>
      </c>
      <c r="H3620" s="173" t="s">
        <v>1721</v>
      </c>
      <c r="I3620" s="173" t="s">
        <v>1722</v>
      </c>
      <c r="J3620" s="173" t="s">
        <v>1723</v>
      </c>
      <c r="K3620" s="173" t="s">
        <v>1724</v>
      </c>
      <c r="L3620" s="173" t="s">
        <v>1804</v>
      </c>
      <c r="M3620" s="173" t="s">
        <v>1726</v>
      </c>
      <c r="N3620" s="173" t="s">
        <v>1826</v>
      </c>
      <c r="O3620" s="173" t="s">
        <v>1728</v>
      </c>
      <c r="P3620" s="224"/>
      <c r="Q3620" s="224"/>
    </row>
    <row r="3621" spans="1:17" s="225" customFormat="1" ht="10.5" x14ac:dyDescent="0.25">
      <c r="A3621" s="229"/>
      <c r="B3621" s="230" t="str">
        <f>B3636</f>
        <v>CONFORME DESENHO TIPO</v>
      </c>
      <c r="C3621" s="177"/>
      <c r="D3621" s="178"/>
      <c r="E3621" s="178"/>
      <c r="F3621" s="178"/>
      <c r="G3621" s="178"/>
      <c r="H3621" s="178"/>
      <c r="I3621" s="178"/>
      <c r="J3621" s="178"/>
      <c r="K3621" s="178"/>
      <c r="L3621" s="178"/>
      <c r="M3621" s="178"/>
      <c r="N3621" s="200"/>
      <c r="O3621" s="178"/>
      <c r="P3621" s="231"/>
      <c r="Q3621" s="224"/>
    </row>
    <row r="3622" spans="1:17" s="228" customFormat="1" ht="10.5" x14ac:dyDescent="0.25">
      <c r="A3622" s="239"/>
      <c r="B3622" s="232" t="str">
        <f>B3603</f>
        <v>PV DN 1000</v>
      </c>
      <c r="C3622" s="177"/>
      <c r="D3622" s="177"/>
      <c r="E3622" s="177"/>
      <c r="F3622" s="177"/>
      <c r="G3622" s="177"/>
      <c r="H3622" s="177"/>
      <c r="I3622" s="177"/>
      <c r="J3622" s="177"/>
      <c r="K3622" s="177"/>
      <c r="L3622" s="177"/>
      <c r="M3622" s="177"/>
      <c r="N3622" s="202"/>
      <c r="O3622" s="177"/>
      <c r="P3622" s="231"/>
      <c r="Q3622" s="224"/>
    </row>
    <row r="3623" spans="1:17" s="225" customFormat="1" ht="10.5" x14ac:dyDescent="0.25">
      <c r="A3623" s="229"/>
      <c r="B3623" s="230" t="s">
        <v>1838</v>
      </c>
      <c r="C3623" s="177"/>
      <c r="D3623" s="178"/>
      <c r="E3623" s="178">
        <f>E3642</f>
        <v>1.74</v>
      </c>
      <c r="F3623" s="178">
        <f>F3642</f>
        <v>1.74</v>
      </c>
      <c r="G3623" s="178"/>
      <c r="H3623" s="178">
        <v>0.05</v>
      </c>
      <c r="I3623" s="178"/>
      <c r="J3623" s="178"/>
      <c r="K3623" s="178"/>
      <c r="L3623" s="178"/>
      <c r="M3623" s="178">
        <f>M3603</f>
        <v>0</v>
      </c>
      <c r="N3623" s="200"/>
      <c r="O3623" s="178">
        <f>M3623*E3623*F3623*H3623</f>
        <v>0</v>
      </c>
      <c r="P3623" s="231"/>
      <c r="Q3623" s="224"/>
    </row>
    <row r="3624" spans="1:17" s="225" customFormat="1" ht="10.5" x14ac:dyDescent="0.25">
      <c r="A3624" s="229"/>
      <c r="B3624" s="230" t="s">
        <v>1839</v>
      </c>
      <c r="C3624" s="177"/>
      <c r="D3624" s="178"/>
      <c r="E3624" s="178">
        <f>F3643</f>
        <v>1.5</v>
      </c>
      <c r="F3624" s="178">
        <f>F3643</f>
        <v>1.5</v>
      </c>
      <c r="G3624" s="178"/>
      <c r="H3624" s="178">
        <v>0.23</v>
      </c>
      <c r="I3624" s="178"/>
      <c r="J3624" s="178"/>
      <c r="K3624" s="178"/>
      <c r="L3624" s="178"/>
      <c r="M3624" s="178">
        <f>M3623</f>
        <v>0</v>
      </c>
      <c r="N3624" s="200"/>
      <c r="O3624" s="178">
        <f>M3624*E3624*F3624*H3624</f>
        <v>0</v>
      </c>
      <c r="P3624" s="231"/>
      <c r="Q3624" s="224"/>
    </row>
    <row r="3625" spans="1:17" s="225" customFormat="1" ht="10.5" x14ac:dyDescent="0.25">
      <c r="A3625" s="229"/>
      <c r="B3625" s="230"/>
      <c r="C3625" s="177"/>
      <c r="D3625" s="178"/>
      <c r="E3625" s="178"/>
      <c r="F3625" s="178"/>
      <c r="G3625" s="178"/>
      <c r="H3625" s="178"/>
      <c r="I3625" s="178"/>
      <c r="J3625" s="178"/>
      <c r="K3625" s="178"/>
      <c r="L3625" s="178"/>
      <c r="M3625" s="178"/>
      <c r="N3625" s="200"/>
      <c r="O3625" s="178"/>
      <c r="P3625" s="231"/>
      <c r="Q3625" s="224"/>
    </row>
    <row r="3626" spans="1:17" s="228" customFormat="1" ht="10.5" x14ac:dyDescent="0.25">
      <c r="A3626" s="239"/>
      <c r="B3626" s="232" t="str">
        <f>B3604</f>
        <v>PV DN 1200</v>
      </c>
      <c r="C3626" s="177"/>
      <c r="D3626" s="177"/>
      <c r="E3626" s="177"/>
      <c r="F3626" s="177"/>
      <c r="G3626" s="177"/>
      <c r="H3626" s="177"/>
      <c r="I3626" s="177"/>
      <c r="J3626" s="177"/>
      <c r="K3626" s="177"/>
      <c r="L3626" s="177"/>
      <c r="M3626" s="177"/>
      <c r="N3626" s="202"/>
      <c r="O3626" s="177"/>
      <c r="P3626" s="231"/>
      <c r="Q3626" s="224"/>
    </row>
    <row r="3627" spans="1:17" s="225" customFormat="1" ht="10.5" x14ac:dyDescent="0.25">
      <c r="A3627" s="229"/>
      <c r="B3627" s="230" t="s">
        <v>1838</v>
      </c>
      <c r="C3627" s="177"/>
      <c r="D3627" s="178"/>
      <c r="E3627" s="178">
        <f>E3646</f>
        <v>2.04</v>
      </c>
      <c r="F3627" s="178">
        <f>F3646</f>
        <v>2.04</v>
      </c>
      <c r="G3627" s="178"/>
      <c r="H3627" s="178">
        <v>0.05</v>
      </c>
      <c r="I3627" s="178"/>
      <c r="J3627" s="178"/>
      <c r="K3627" s="178"/>
      <c r="L3627" s="178"/>
      <c r="M3627" s="178">
        <f>M3604</f>
        <v>1</v>
      </c>
      <c r="N3627" s="200"/>
      <c r="O3627" s="178">
        <f>M3627*E3627*F3627*H3627</f>
        <v>0.20808000000000001</v>
      </c>
      <c r="P3627" s="231"/>
      <c r="Q3627" s="224"/>
    </row>
    <row r="3628" spans="1:17" s="225" customFormat="1" ht="10.5" x14ac:dyDescent="0.25">
      <c r="A3628" s="229"/>
      <c r="B3628" s="230" t="s">
        <v>1839</v>
      </c>
      <c r="C3628" s="177"/>
      <c r="D3628" s="178"/>
      <c r="E3628" s="178">
        <f>F3647</f>
        <v>1.8</v>
      </c>
      <c r="F3628" s="178">
        <f>F3647</f>
        <v>1.8</v>
      </c>
      <c r="G3628" s="178"/>
      <c r="H3628" s="178">
        <v>0.28999999999999998</v>
      </c>
      <c r="I3628" s="178"/>
      <c r="J3628" s="178"/>
      <c r="K3628" s="178"/>
      <c r="L3628" s="178"/>
      <c r="M3628" s="178">
        <f>M3627</f>
        <v>1</v>
      </c>
      <c r="N3628" s="200"/>
      <c r="O3628" s="178">
        <f>M3628*E3628*F3628*H3628</f>
        <v>0.93959999999999999</v>
      </c>
      <c r="P3628" s="231"/>
      <c r="Q3628" s="224"/>
    </row>
    <row r="3629" spans="1:17" s="225" customFormat="1" ht="10.5" x14ac:dyDescent="0.25">
      <c r="A3629" s="229"/>
      <c r="B3629" s="230"/>
      <c r="C3629" s="177"/>
      <c r="D3629" s="178"/>
      <c r="E3629" s="178"/>
      <c r="F3629" s="178"/>
      <c r="G3629" s="178"/>
      <c r="H3629" s="178"/>
      <c r="I3629" s="178"/>
      <c r="J3629" s="178"/>
      <c r="K3629" s="178"/>
      <c r="L3629" s="178"/>
      <c r="M3629" s="178"/>
      <c r="N3629" s="200"/>
      <c r="O3629" s="178"/>
      <c r="P3629" s="231"/>
      <c r="Q3629" s="224"/>
    </row>
    <row r="3630" spans="1:17" s="225" customFormat="1" ht="10.5" x14ac:dyDescent="0.25">
      <c r="A3630" s="229"/>
      <c r="B3630" s="232" t="str">
        <f>B3605</f>
        <v>PV DN 1500</v>
      </c>
      <c r="C3630" s="177"/>
      <c r="D3630" s="178"/>
      <c r="E3630" s="178"/>
      <c r="F3630" s="178"/>
      <c r="G3630" s="178"/>
      <c r="H3630" s="178"/>
      <c r="I3630" s="178"/>
      <c r="J3630" s="178"/>
      <c r="K3630" s="178"/>
      <c r="L3630" s="178"/>
      <c r="M3630" s="178"/>
      <c r="N3630" s="200"/>
      <c r="O3630" s="178"/>
      <c r="P3630" s="231"/>
      <c r="Q3630" s="224"/>
    </row>
    <row r="3631" spans="1:17" s="225" customFormat="1" ht="10.5" x14ac:dyDescent="0.25">
      <c r="A3631" s="229"/>
      <c r="B3631" s="230" t="s">
        <v>1838</v>
      </c>
      <c r="C3631" s="177"/>
      <c r="D3631" s="178"/>
      <c r="E3631" s="178">
        <f>E3650</f>
        <v>2.44</v>
      </c>
      <c r="F3631" s="178">
        <f>F3650</f>
        <v>2.44</v>
      </c>
      <c r="G3631" s="178"/>
      <c r="H3631" s="178">
        <v>0.05</v>
      </c>
      <c r="I3631" s="178"/>
      <c r="J3631" s="178"/>
      <c r="K3631" s="178"/>
      <c r="L3631" s="178"/>
      <c r="M3631" s="178">
        <f>M3650</f>
        <v>2</v>
      </c>
      <c r="N3631" s="200"/>
      <c r="O3631" s="178">
        <f>M3631*E3631*F3631*H3631</f>
        <v>0.59536</v>
      </c>
      <c r="P3631" s="231"/>
      <c r="Q3631" s="224"/>
    </row>
    <row r="3632" spans="1:17" s="225" customFormat="1" ht="10.5" x14ac:dyDescent="0.25">
      <c r="A3632" s="229"/>
      <c r="B3632" s="230" t="s">
        <v>1839</v>
      </c>
      <c r="C3632" s="177"/>
      <c r="D3632" s="178"/>
      <c r="E3632" s="178">
        <f>F3651</f>
        <v>2.2000000000000002</v>
      </c>
      <c r="F3632" s="178">
        <f>F3651</f>
        <v>2.2000000000000002</v>
      </c>
      <c r="G3632" s="178"/>
      <c r="H3632" s="178">
        <v>0.35</v>
      </c>
      <c r="I3632" s="178"/>
      <c r="J3632" s="178"/>
      <c r="K3632" s="178"/>
      <c r="L3632" s="178"/>
      <c r="M3632" s="178">
        <f>M3651</f>
        <v>2</v>
      </c>
      <c r="N3632" s="200"/>
      <c r="O3632" s="178">
        <f>M3632*E3632*F3632*H3632</f>
        <v>3.3880000000000003</v>
      </c>
      <c r="P3632" s="231"/>
      <c r="Q3632" s="224"/>
    </row>
    <row r="3633" spans="1:17" s="225" customFormat="1" ht="10.5" x14ac:dyDescent="0.25">
      <c r="A3633" s="229"/>
      <c r="B3633" s="230"/>
      <c r="C3633" s="177"/>
      <c r="D3633" s="178"/>
      <c r="E3633" s="178"/>
      <c r="F3633" s="178"/>
      <c r="G3633" s="178"/>
      <c r="H3633" s="178"/>
      <c r="I3633" s="178"/>
      <c r="J3633" s="178"/>
      <c r="K3633" s="178"/>
      <c r="L3633" s="178"/>
      <c r="M3633" s="178"/>
      <c r="N3633" s="200"/>
      <c r="O3633" s="178"/>
      <c r="P3633" s="231"/>
      <c r="Q3633" s="224"/>
    </row>
    <row r="3634" spans="1:17" s="225" customFormat="1" ht="10.5" x14ac:dyDescent="0.25">
      <c r="A3634" s="229"/>
      <c r="B3634" s="232" t="s">
        <v>5</v>
      </c>
      <c r="C3634" s="182" t="s">
        <v>1328</v>
      </c>
      <c r="D3634" s="182"/>
      <c r="E3634" s="182"/>
      <c r="F3634" s="182"/>
      <c r="G3634" s="182"/>
      <c r="H3634" s="182"/>
      <c r="I3634" s="182"/>
      <c r="J3634" s="182"/>
      <c r="K3634" s="178"/>
      <c r="L3634" s="182"/>
      <c r="M3634" s="182"/>
      <c r="N3634" s="177"/>
      <c r="O3634" s="177">
        <f>SUM(O3621:O3633)</f>
        <v>5.1310400000000005</v>
      </c>
      <c r="P3634" s="233"/>
      <c r="Q3634" s="224"/>
    </row>
    <row r="3635" spans="1:17" s="228" customFormat="1" ht="42" x14ac:dyDescent="0.25">
      <c r="A3635" s="226" t="str">
        <f>ORÇAMENTO!A695</f>
        <v>6.1.2.7.5</v>
      </c>
      <c r="B3635" s="227" t="str">
        <f>VLOOKUP(A3635,ORÇAMENTO!A:K,4,0)</f>
        <v>CONCRETO FCK = 25MPA, TRAÇO 1:2,3:2,7 (EM MASSA SECA DE CIMENTO/ AREIA MÉDIA/ BRITA 1) - PREPARO MECÂNICO COM BETONEIRA 600 L. AF_05/2021</v>
      </c>
      <c r="C3635" s="173" t="str">
        <f>VLOOKUP(A3635,ORÇAMENTO!A:K,5,0)</f>
        <v>M³</v>
      </c>
      <c r="D3635" s="173">
        <f>ROUND(SUM(E3654:O3654),2)</f>
        <v>11.95</v>
      </c>
      <c r="E3635" s="173" t="s">
        <v>1718</v>
      </c>
      <c r="F3635" s="173" t="s">
        <v>1719</v>
      </c>
      <c r="G3635" s="173" t="s">
        <v>1720</v>
      </c>
      <c r="H3635" s="173" t="s">
        <v>1721</v>
      </c>
      <c r="I3635" s="173" t="s">
        <v>1722</v>
      </c>
      <c r="J3635" s="173" t="s">
        <v>1723</v>
      </c>
      <c r="K3635" s="173" t="s">
        <v>1724</v>
      </c>
      <c r="L3635" s="173" t="s">
        <v>1804</v>
      </c>
      <c r="M3635" s="173" t="s">
        <v>1726</v>
      </c>
      <c r="N3635" s="173" t="s">
        <v>1809</v>
      </c>
      <c r="O3635" s="173" t="s">
        <v>1728</v>
      </c>
      <c r="P3635" s="224"/>
      <c r="Q3635" s="224"/>
    </row>
    <row r="3636" spans="1:17" s="225" customFormat="1" ht="10.5" x14ac:dyDescent="0.25">
      <c r="A3636" s="229"/>
      <c r="B3636" s="230" t="str">
        <f>B3615</f>
        <v>CONFORME DESENHO TIPO</v>
      </c>
      <c r="C3636" s="184"/>
      <c r="D3636" s="185"/>
      <c r="E3636" s="185"/>
      <c r="F3636" s="185"/>
      <c r="G3636" s="185"/>
      <c r="H3636" s="185"/>
      <c r="I3636" s="185"/>
      <c r="J3636" s="185"/>
      <c r="K3636" s="185"/>
      <c r="L3636" s="185"/>
      <c r="M3636" s="185"/>
      <c r="N3636" s="205"/>
      <c r="O3636" s="185"/>
      <c r="P3636" s="231"/>
      <c r="Q3636" s="224"/>
    </row>
    <row r="3637" spans="1:17" s="228" customFormat="1" ht="10.5" x14ac:dyDescent="0.25">
      <c r="A3637" s="239"/>
      <c r="B3637" s="232" t="str">
        <f>B3610</f>
        <v>PV DN 600</v>
      </c>
      <c r="C3637" s="184"/>
      <c r="D3637" s="184"/>
      <c r="E3637" s="184">
        <f>E3616</f>
        <v>1.08</v>
      </c>
      <c r="F3637" s="184">
        <f>F3616</f>
        <v>1.08</v>
      </c>
      <c r="G3637" s="184"/>
      <c r="H3637" s="184"/>
      <c r="I3637" s="184"/>
      <c r="J3637" s="184"/>
      <c r="K3637" s="184"/>
      <c r="L3637" s="184"/>
      <c r="M3637" s="184"/>
      <c r="N3637" s="206"/>
      <c r="O3637" s="184"/>
      <c r="P3637" s="231"/>
      <c r="Q3637" s="224"/>
    </row>
    <row r="3638" spans="1:17" s="225" customFormat="1" ht="10.5" x14ac:dyDescent="0.25">
      <c r="A3638" s="229"/>
      <c r="B3638" s="230" t="s">
        <v>1840</v>
      </c>
      <c r="C3638" s="184"/>
      <c r="D3638" s="185"/>
      <c r="E3638" s="185">
        <f>E3637</f>
        <v>1.08</v>
      </c>
      <c r="F3638" s="185">
        <f>F3637</f>
        <v>1.08</v>
      </c>
      <c r="G3638" s="185"/>
      <c r="H3638" s="185">
        <v>0.1</v>
      </c>
      <c r="I3638" s="185"/>
      <c r="J3638" s="185"/>
      <c r="K3638" s="185"/>
      <c r="L3638" s="185"/>
      <c r="M3638" s="185">
        <f>M3610</f>
        <v>11</v>
      </c>
      <c r="N3638" s="205"/>
      <c r="O3638" s="185">
        <f>E3638*F3638*H3638*M3638</f>
        <v>1.2830400000000002</v>
      </c>
      <c r="P3638" s="231"/>
      <c r="Q3638" s="224"/>
    </row>
    <row r="3639" spans="1:17" s="228" customFormat="1" ht="10.5" x14ac:dyDescent="0.25">
      <c r="A3639" s="239"/>
      <c r="B3639" s="232" t="str">
        <f>B3611</f>
        <v>PV DN 800</v>
      </c>
      <c r="C3639" s="184"/>
      <c r="D3639" s="184"/>
      <c r="E3639" s="184">
        <f>E3617</f>
        <v>1.5</v>
      </c>
      <c r="F3639" s="184">
        <f>F3617</f>
        <v>1.5</v>
      </c>
      <c r="G3639" s="184"/>
      <c r="H3639" s="184"/>
      <c r="I3639" s="184"/>
      <c r="J3639" s="184"/>
      <c r="K3639" s="184"/>
      <c r="L3639" s="184"/>
      <c r="M3639" s="184"/>
      <c r="N3639" s="206"/>
      <c r="O3639" s="184"/>
      <c r="P3639" s="231"/>
      <c r="Q3639" s="224"/>
    </row>
    <row r="3640" spans="1:17" s="225" customFormat="1" ht="10.5" x14ac:dyDescent="0.25">
      <c r="A3640" s="229"/>
      <c r="B3640" s="230" t="s">
        <v>1840</v>
      </c>
      <c r="C3640" s="184"/>
      <c r="D3640" s="185"/>
      <c r="E3640" s="185">
        <f>E3639</f>
        <v>1.5</v>
      </c>
      <c r="F3640" s="185">
        <f>F3639</f>
        <v>1.5</v>
      </c>
      <c r="G3640" s="185"/>
      <c r="H3640" s="185">
        <v>0.1</v>
      </c>
      <c r="I3640" s="185"/>
      <c r="J3640" s="185"/>
      <c r="K3640" s="185"/>
      <c r="L3640" s="185"/>
      <c r="M3640" s="185">
        <f>M3611</f>
        <v>0</v>
      </c>
      <c r="N3640" s="205"/>
      <c r="O3640" s="185">
        <f>E3640*F3640*H3640*M3640</f>
        <v>0</v>
      </c>
      <c r="P3640" s="231"/>
      <c r="Q3640" s="224"/>
    </row>
    <row r="3641" spans="1:17" s="228" customFormat="1" ht="10.5" x14ac:dyDescent="0.25">
      <c r="A3641" s="239"/>
      <c r="B3641" s="232" t="str">
        <f>B3622</f>
        <v>PV DN 1000</v>
      </c>
      <c r="C3641" s="184"/>
      <c r="D3641" s="184"/>
      <c r="E3641" s="184">
        <v>1.74</v>
      </c>
      <c r="F3641" s="184">
        <v>1.74</v>
      </c>
      <c r="G3641" s="184"/>
      <c r="H3641" s="184"/>
      <c r="I3641" s="184"/>
      <c r="J3641" s="184"/>
      <c r="K3641" s="184"/>
      <c r="L3641" s="184"/>
      <c r="M3641" s="184"/>
      <c r="N3641" s="206"/>
      <c r="O3641" s="184"/>
      <c r="P3641" s="231"/>
      <c r="Q3641" s="224"/>
    </row>
    <row r="3642" spans="1:17" s="225" customFormat="1" ht="10.5" x14ac:dyDescent="0.25">
      <c r="A3642" s="229"/>
      <c r="B3642" s="230" t="s">
        <v>1840</v>
      </c>
      <c r="C3642" s="184"/>
      <c r="D3642" s="185"/>
      <c r="E3642" s="185">
        <f>E3641</f>
        <v>1.74</v>
      </c>
      <c r="F3642" s="185">
        <f>F3641</f>
        <v>1.74</v>
      </c>
      <c r="G3642" s="185"/>
      <c r="H3642" s="185">
        <v>0.1</v>
      </c>
      <c r="I3642" s="185"/>
      <c r="J3642" s="185"/>
      <c r="K3642" s="185"/>
      <c r="L3642" s="185"/>
      <c r="M3642" s="185">
        <f>M3603</f>
        <v>0</v>
      </c>
      <c r="N3642" s="205"/>
      <c r="O3642" s="185">
        <f>E3642*F3642*H3642*M3642</f>
        <v>0</v>
      </c>
      <c r="P3642" s="231"/>
      <c r="Q3642" s="224"/>
    </row>
    <row r="3643" spans="1:17" s="225" customFormat="1" ht="10.5" x14ac:dyDescent="0.25">
      <c r="A3643" s="229"/>
      <c r="B3643" s="230" t="s">
        <v>1841</v>
      </c>
      <c r="C3643" s="177"/>
      <c r="D3643" s="178"/>
      <c r="E3643" s="178">
        <f>E3642</f>
        <v>1.74</v>
      </c>
      <c r="F3643" s="178">
        <f>F3642-2*H3643</f>
        <v>1.5</v>
      </c>
      <c r="G3643" s="178">
        <v>2</v>
      </c>
      <c r="H3643" s="178">
        <v>0.12</v>
      </c>
      <c r="I3643" s="178">
        <f>2*(E3643+F3643)</f>
        <v>6.48</v>
      </c>
      <c r="J3643" s="178"/>
      <c r="K3643" s="178"/>
      <c r="L3643" s="178"/>
      <c r="M3643" s="178">
        <f>M3642</f>
        <v>0</v>
      </c>
      <c r="N3643" s="200"/>
      <c r="O3643" s="178">
        <f>M3643*I3643*G3643*H3643</f>
        <v>0</v>
      </c>
      <c r="P3643" s="231"/>
      <c r="Q3643" s="224"/>
    </row>
    <row r="3644" spans="1:17" s="225" customFormat="1" ht="10.5" x14ac:dyDescent="0.25">
      <c r="A3644" s="229"/>
      <c r="B3644" s="230" t="s">
        <v>1823</v>
      </c>
      <c r="C3644" s="177"/>
      <c r="D3644" s="178"/>
      <c r="E3644" s="178">
        <f>F3643</f>
        <v>1.5</v>
      </c>
      <c r="F3644" s="178">
        <f>F3643</f>
        <v>1.5</v>
      </c>
      <c r="G3644" s="178"/>
      <c r="H3644" s="178">
        <v>0.35</v>
      </c>
      <c r="I3644" s="178"/>
      <c r="J3644" s="178"/>
      <c r="K3644" s="178"/>
      <c r="L3644" s="178"/>
      <c r="M3644" s="178">
        <f>M3643</f>
        <v>0</v>
      </c>
      <c r="N3644" s="200"/>
      <c r="O3644" s="178">
        <f>M3644*H3644*F3644*E3644</f>
        <v>0</v>
      </c>
      <c r="P3644" s="231"/>
      <c r="Q3644" s="224"/>
    </row>
    <row r="3645" spans="1:17" s="228" customFormat="1" ht="10.5" x14ac:dyDescent="0.25">
      <c r="A3645" s="239"/>
      <c r="B3645" s="232" t="str">
        <f>B3626</f>
        <v>PV DN 1200</v>
      </c>
      <c r="C3645" s="184"/>
      <c r="D3645" s="184"/>
      <c r="E3645" s="184">
        <v>2.04</v>
      </c>
      <c r="F3645" s="184">
        <v>2.04</v>
      </c>
      <c r="G3645" s="184"/>
      <c r="H3645" s="184"/>
      <c r="I3645" s="184"/>
      <c r="J3645" s="184"/>
      <c r="K3645" s="184"/>
      <c r="L3645" s="184"/>
      <c r="M3645" s="184"/>
      <c r="N3645" s="206"/>
      <c r="O3645" s="184"/>
      <c r="P3645" s="231"/>
      <c r="Q3645" s="224"/>
    </row>
    <row r="3646" spans="1:17" s="225" customFormat="1" ht="10.5" x14ac:dyDescent="0.25">
      <c r="A3646" s="229"/>
      <c r="B3646" s="230" t="s">
        <v>1840</v>
      </c>
      <c r="C3646" s="184"/>
      <c r="D3646" s="185"/>
      <c r="E3646" s="185">
        <f>E3645</f>
        <v>2.04</v>
      </c>
      <c r="F3646" s="185">
        <f>F3645</f>
        <v>2.04</v>
      </c>
      <c r="G3646" s="185"/>
      <c r="H3646" s="185">
        <v>0.1</v>
      </c>
      <c r="I3646" s="185"/>
      <c r="J3646" s="185"/>
      <c r="K3646" s="185"/>
      <c r="L3646" s="185"/>
      <c r="M3646" s="185">
        <f>M3627</f>
        <v>1</v>
      </c>
      <c r="N3646" s="205"/>
      <c r="O3646" s="185">
        <f>E3646*F3646*H3646*M3646</f>
        <v>0.41616000000000003</v>
      </c>
      <c r="P3646" s="231"/>
      <c r="Q3646" s="224"/>
    </row>
    <row r="3647" spans="1:17" s="225" customFormat="1" ht="10.5" x14ac:dyDescent="0.25">
      <c r="A3647" s="229"/>
      <c r="B3647" s="230" t="s">
        <v>1841</v>
      </c>
      <c r="C3647" s="177"/>
      <c r="D3647" s="178"/>
      <c r="E3647" s="178">
        <f>E3646</f>
        <v>2.04</v>
      </c>
      <c r="F3647" s="178">
        <f>F3646-2*H3647</f>
        <v>1.8</v>
      </c>
      <c r="G3647" s="178">
        <v>2</v>
      </c>
      <c r="H3647" s="178">
        <v>0.12</v>
      </c>
      <c r="I3647" s="178">
        <f>2*(E3647+F3647)</f>
        <v>7.68</v>
      </c>
      <c r="J3647" s="178"/>
      <c r="K3647" s="178"/>
      <c r="L3647" s="178"/>
      <c r="M3647" s="178">
        <f>M3646</f>
        <v>1</v>
      </c>
      <c r="N3647" s="200"/>
      <c r="O3647" s="178">
        <f>M3647*I3647*G3647*H3647</f>
        <v>1.8431999999999999</v>
      </c>
      <c r="P3647" s="231"/>
      <c r="Q3647" s="224"/>
    </row>
    <row r="3648" spans="1:17" s="225" customFormat="1" ht="10.5" x14ac:dyDescent="0.25">
      <c r="A3648" s="229"/>
      <c r="B3648" s="230" t="s">
        <v>1823</v>
      </c>
      <c r="C3648" s="177"/>
      <c r="D3648" s="178"/>
      <c r="E3648" s="178">
        <f>F3647</f>
        <v>1.8</v>
      </c>
      <c r="F3648" s="178">
        <f>F3647</f>
        <v>1.8</v>
      </c>
      <c r="G3648" s="178"/>
      <c r="H3648" s="178">
        <v>0.28000000000000003</v>
      </c>
      <c r="I3648" s="178"/>
      <c r="J3648" s="178"/>
      <c r="K3648" s="178"/>
      <c r="L3648" s="178"/>
      <c r="M3648" s="178">
        <f>M3647</f>
        <v>1</v>
      </c>
      <c r="N3648" s="200"/>
      <c r="O3648" s="178">
        <f>M3648*H3648*F3648*E3648</f>
        <v>0.90720000000000023</v>
      </c>
      <c r="P3648" s="231"/>
      <c r="Q3648" s="224"/>
    </row>
    <row r="3649" spans="1:17" s="228" customFormat="1" ht="10.5" x14ac:dyDescent="0.25">
      <c r="A3649" s="239"/>
      <c r="B3649" s="232" t="str">
        <f>B3630</f>
        <v>PV DN 1500</v>
      </c>
      <c r="C3649" s="184"/>
      <c r="D3649" s="184"/>
      <c r="E3649" s="184">
        <v>2.44</v>
      </c>
      <c r="F3649" s="184">
        <v>2.44</v>
      </c>
      <c r="G3649" s="184"/>
      <c r="H3649" s="184"/>
      <c r="I3649" s="184"/>
      <c r="J3649" s="184"/>
      <c r="K3649" s="184"/>
      <c r="L3649" s="184"/>
      <c r="M3649" s="184"/>
      <c r="N3649" s="206"/>
      <c r="O3649" s="184"/>
      <c r="P3649" s="231"/>
      <c r="Q3649" s="224"/>
    </row>
    <row r="3650" spans="1:17" s="225" customFormat="1" ht="10.5" x14ac:dyDescent="0.25">
      <c r="A3650" s="229"/>
      <c r="B3650" s="230" t="s">
        <v>1840</v>
      </c>
      <c r="C3650" s="184"/>
      <c r="D3650" s="185"/>
      <c r="E3650" s="185">
        <f>E3649</f>
        <v>2.44</v>
      </c>
      <c r="F3650" s="185">
        <f>F3649</f>
        <v>2.44</v>
      </c>
      <c r="G3650" s="185"/>
      <c r="H3650" s="185">
        <v>0.1</v>
      </c>
      <c r="I3650" s="185"/>
      <c r="J3650" s="185"/>
      <c r="K3650" s="185"/>
      <c r="L3650" s="185"/>
      <c r="M3650" s="185">
        <f>M3605</f>
        <v>2</v>
      </c>
      <c r="N3650" s="205"/>
      <c r="O3650" s="185">
        <f>E3650*F3650*H3650*M3650</f>
        <v>1.19072</v>
      </c>
      <c r="P3650" s="231"/>
      <c r="Q3650" s="224"/>
    </row>
    <row r="3651" spans="1:17" s="225" customFormat="1" ht="10.5" x14ac:dyDescent="0.25">
      <c r="A3651" s="229"/>
      <c r="B3651" s="230" t="s">
        <v>1841</v>
      </c>
      <c r="C3651" s="184"/>
      <c r="D3651" s="185"/>
      <c r="E3651" s="185">
        <f>E3650</f>
        <v>2.44</v>
      </c>
      <c r="F3651" s="185">
        <f>F3650-2*H3651</f>
        <v>2.2000000000000002</v>
      </c>
      <c r="G3651" s="185">
        <v>2.4</v>
      </c>
      <c r="H3651" s="185">
        <v>0.12</v>
      </c>
      <c r="I3651" s="185">
        <f>2*(E3651+F3651)</f>
        <v>9.2800000000000011</v>
      </c>
      <c r="J3651" s="185"/>
      <c r="K3651" s="185"/>
      <c r="L3651" s="185"/>
      <c r="M3651" s="185">
        <f>M3650</f>
        <v>2</v>
      </c>
      <c r="N3651" s="205"/>
      <c r="O3651" s="185">
        <f>M3651*I3651*G3651*H3651</f>
        <v>5.3452800000000007</v>
      </c>
      <c r="P3651" s="231"/>
      <c r="Q3651" s="224"/>
    </row>
    <row r="3652" spans="1:17" s="225" customFormat="1" ht="10.5" x14ac:dyDescent="0.25">
      <c r="A3652" s="229"/>
      <c r="B3652" s="230" t="s">
        <v>1823</v>
      </c>
      <c r="C3652" s="184"/>
      <c r="D3652" s="185"/>
      <c r="E3652" s="185">
        <f>F3651</f>
        <v>2.2000000000000002</v>
      </c>
      <c r="F3652" s="185">
        <f>F3651</f>
        <v>2.2000000000000002</v>
      </c>
      <c r="G3652" s="185"/>
      <c r="H3652" s="185">
        <v>0.1</v>
      </c>
      <c r="I3652" s="185"/>
      <c r="J3652" s="185"/>
      <c r="K3652" s="185"/>
      <c r="L3652" s="185"/>
      <c r="M3652" s="185">
        <f>M3651</f>
        <v>2</v>
      </c>
      <c r="N3652" s="205"/>
      <c r="O3652" s="185">
        <f>M3652*H3652*F3652*E3652</f>
        <v>0.96800000000000019</v>
      </c>
      <c r="P3652" s="231"/>
      <c r="Q3652" s="224"/>
    </row>
    <row r="3653" spans="1:17" s="225" customFormat="1" ht="10.5" x14ac:dyDescent="0.25">
      <c r="A3653" s="229"/>
      <c r="B3653" s="230"/>
      <c r="C3653" s="184"/>
      <c r="D3653" s="185"/>
      <c r="E3653" s="185"/>
      <c r="F3653" s="185"/>
      <c r="G3653" s="185"/>
      <c r="H3653" s="185"/>
      <c r="I3653" s="185"/>
      <c r="J3653" s="185"/>
      <c r="K3653" s="185"/>
      <c r="L3653" s="185"/>
      <c r="M3653" s="185"/>
      <c r="N3653" s="205"/>
      <c r="O3653" s="185"/>
      <c r="P3653" s="231"/>
      <c r="Q3653" s="224"/>
    </row>
    <row r="3654" spans="1:17" s="225" customFormat="1" ht="10.5" x14ac:dyDescent="0.25">
      <c r="A3654" s="229"/>
      <c r="B3654" s="232" t="s">
        <v>5</v>
      </c>
      <c r="C3654" s="182" t="s">
        <v>1328</v>
      </c>
      <c r="D3654" s="182"/>
      <c r="E3654" s="182"/>
      <c r="F3654" s="182"/>
      <c r="G3654" s="182"/>
      <c r="H3654" s="182"/>
      <c r="I3654" s="182"/>
      <c r="J3654" s="182"/>
      <c r="K3654" s="185"/>
      <c r="L3654" s="182"/>
      <c r="M3654" s="182"/>
      <c r="N3654" s="184"/>
      <c r="O3654" s="184">
        <f>SUM(O3636:O3653)</f>
        <v>11.953600000000002</v>
      </c>
      <c r="P3654" s="233"/>
      <c r="Q3654" s="224"/>
    </row>
    <row r="3655" spans="1:17" s="228" customFormat="1" ht="31.5" x14ac:dyDescent="0.25">
      <c r="A3655" s="226" t="str">
        <f>ORÇAMENTO!A696</f>
        <v>6.1.2.7.6</v>
      </c>
      <c r="B3655" s="227" t="str">
        <f>VLOOKUP(A3655,ORÇAMENTO!A:K,4,0)</f>
        <v>FÔRMAS DE TÁBUAS DE PINHO PARA DISPOSITIVOS DE DRENAGEM - UTILIZAÇÃO DE 3 VEZES - CONFECÇÃO, INSTALAÇÃO E RETIRADA</v>
      </c>
      <c r="C3655" s="173" t="str">
        <f>VLOOKUP(A3655,ORÇAMENTO!A:K,5,0)</f>
        <v>M²</v>
      </c>
      <c r="D3655" s="173">
        <f>ROUND(SUM(E3674:O3674),2)</f>
        <v>157.24</v>
      </c>
      <c r="E3655" s="173" t="s">
        <v>1718</v>
      </c>
      <c r="F3655" s="173" t="s">
        <v>1719</v>
      </c>
      <c r="G3655" s="173" t="s">
        <v>1720</v>
      </c>
      <c r="H3655" s="173" t="s">
        <v>1721</v>
      </c>
      <c r="I3655" s="173" t="s">
        <v>1722</v>
      </c>
      <c r="J3655" s="173" t="s">
        <v>1723</v>
      </c>
      <c r="K3655" s="173" t="s">
        <v>1724</v>
      </c>
      <c r="L3655" s="173" t="s">
        <v>1804</v>
      </c>
      <c r="M3655" s="173" t="s">
        <v>1726</v>
      </c>
      <c r="N3655" s="173" t="s">
        <v>1826</v>
      </c>
      <c r="O3655" s="173" t="s">
        <v>1728</v>
      </c>
      <c r="P3655" s="224"/>
      <c r="Q3655" s="224"/>
    </row>
    <row r="3656" spans="1:17" s="225" customFormat="1" ht="10.5" x14ac:dyDescent="0.25">
      <c r="A3656" s="229"/>
      <c r="B3656" s="230"/>
      <c r="C3656" s="184"/>
      <c r="D3656" s="185"/>
      <c r="E3656" s="185"/>
      <c r="F3656" s="185"/>
      <c r="G3656" s="185"/>
      <c r="H3656" s="185"/>
      <c r="I3656" s="185"/>
      <c r="J3656" s="185"/>
      <c r="K3656" s="185"/>
      <c r="L3656" s="185"/>
      <c r="M3656" s="185"/>
      <c r="N3656" s="205"/>
      <c r="O3656" s="185"/>
      <c r="P3656" s="231"/>
      <c r="Q3656" s="224"/>
    </row>
    <row r="3657" spans="1:17" s="228" customFormat="1" ht="10.5" x14ac:dyDescent="0.25">
      <c r="A3657" s="239"/>
      <c r="B3657" s="232" t="str">
        <f t="shared" ref="B3657:B3672" si="104">B3637</f>
        <v>PV DN 600</v>
      </c>
      <c r="C3657" s="184"/>
      <c r="D3657" s="184"/>
      <c r="E3657" s="184">
        <f t="shared" ref="E3657:F3672" si="105">E3637</f>
        <v>1.08</v>
      </c>
      <c r="F3657" s="184">
        <f t="shared" si="105"/>
        <v>1.08</v>
      </c>
      <c r="G3657" s="184"/>
      <c r="H3657" s="184"/>
      <c r="I3657" s="184"/>
      <c r="J3657" s="184"/>
      <c r="K3657" s="184"/>
      <c r="L3657" s="184"/>
      <c r="M3657" s="184"/>
      <c r="N3657" s="206"/>
      <c r="O3657" s="184"/>
      <c r="P3657" s="231"/>
      <c r="Q3657" s="224"/>
    </row>
    <row r="3658" spans="1:17" s="225" customFormat="1" ht="10.5" x14ac:dyDescent="0.25">
      <c r="A3658" s="229"/>
      <c r="B3658" s="230" t="str">
        <f t="shared" si="104"/>
        <v>TAMPA</v>
      </c>
      <c r="C3658" s="184"/>
      <c r="D3658" s="185"/>
      <c r="E3658" s="185">
        <f t="shared" si="105"/>
        <v>1.08</v>
      </c>
      <c r="F3658" s="185">
        <f t="shared" si="105"/>
        <v>1.08</v>
      </c>
      <c r="G3658" s="185"/>
      <c r="H3658" s="185">
        <f>H3638</f>
        <v>0.1</v>
      </c>
      <c r="I3658" s="185">
        <f>2*(E3658+F3658)</f>
        <v>4.32</v>
      </c>
      <c r="J3658" s="185"/>
      <c r="K3658" s="185"/>
      <c r="L3658" s="185"/>
      <c r="M3658" s="185">
        <f>M3638</f>
        <v>11</v>
      </c>
      <c r="N3658" s="205">
        <f>M3658*I3658*H3658+M3658*F3658*E3658</f>
        <v>17.5824</v>
      </c>
      <c r="O3658" s="185"/>
      <c r="P3658" s="231"/>
      <c r="Q3658" s="224"/>
    </row>
    <row r="3659" spans="1:17" s="225" customFormat="1" ht="10.5" x14ac:dyDescent="0.25">
      <c r="A3659" s="229"/>
      <c r="B3659" s="230" t="str">
        <f t="shared" si="104"/>
        <v>PV DN 800</v>
      </c>
      <c r="C3659" s="184"/>
      <c r="D3659" s="185"/>
      <c r="E3659" s="184">
        <f t="shared" si="105"/>
        <v>1.5</v>
      </c>
      <c r="F3659" s="184">
        <f t="shared" si="105"/>
        <v>1.5</v>
      </c>
      <c r="G3659" s="185"/>
      <c r="H3659" s="185"/>
      <c r="I3659" s="185"/>
      <c r="J3659" s="185"/>
      <c r="K3659" s="185"/>
      <c r="L3659" s="185"/>
      <c r="M3659" s="185"/>
      <c r="N3659" s="205"/>
      <c r="O3659" s="185"/>
      <c r="P3659" s="231"/>
      <c r="Q3659" s="224"/>
    </row>
    <row r="3660" spans="1:17" s="225" customFormat="1" ht="10.5" x14ac:dyDescent="0.25">
      <c r="A3660" s="229"/>
      <c r="B3660" s="230" t="str">
        <f t="shared" si="104"/>
        <v>TAMPA</v>
      </c>
      <c r="C3660" s="184"/>
      <c r="D3660" s="185"/>
      <c r="E3660" s="185">
        <f t="shared" si="105"/>
        <v>1.5</v>
      </c>
      <c r="F3660" s="185">
        <f t="shared" si="105"/>
        <v>1.5</v>
      </c>
      <c r="G3660" s="185"/>
      <c r="H3660" s="185"/>
      <c r="I3660" s="185"/>
      <c r="J3660" s="185"/>
      <c r="K3660" s="185"/>
      <c r="L3660" s="185"/>
      <c r="M3660" s="185">
        <f>M3640</f>
        <v>0</v>
      </c>
      <c r="N3660" s="205">
        <f>M3660*I3660*H3660+M3660*F3660*E3660</f>
        <v>0</v>
      </c>
      <c r="O3660" s="185"/>
      <c r="P3660" s="231"/>
      <c r="Q3660" s="224"/>
    </row>
    <row r="3661" spans="1:17" s="228" customFormat="1" ht="10.5" x14ac:dyDescent="0.25">
      <c r="A3661" s="239"/>
      <c r="B3661" s="232" t="str">
        <f t="shared" si="104"/>
        <v>PV DN 1000</v>
      </c>
      <c r="C3661" s="184"/>
      <c r="D3661" s="184"/>
      <c r="E3661" s="184">
        <f t="shared" si="105"/>
        <v>1.74</v>
      </c>
      <c r="F3661" s="184">
        <f t="shared" si="105"/>
        <v>1.74</v>
      </c>
      <c r="G3661" s="184"/>
      <c r="H3661" s="184"/>
      <c r="I3661" s="184"/>
      <c r="J3661" s="184"/>
      <c r="K3661" s="184"/>
      <c r="L3661" s="184"/>
      <c r="M3661" s="184"/>
      <c r="N3661" s="206"/>
      <c r="O3661" s="184"/>
      <c r="P3661" s="231"/>
      <c r="Q3661" s="224"/>
    </row>
    <row r="3662" spans="1:17" s="225" customFormat="1" ht="10.5" x14ac:dyDescent="0.25">
      <c r="A3662" s="229"/>
      <c r="B3662" s="230" t="str">
        <f t="shared" si="104"/>
        <v>TAMPA</v>
      </c>
      <c r="C3662" s="184"/>
      <c r="D3662" s="185"/>
      <c r="E3662" s="185">
        <f t="shared" si="105"/>
        <v>1.74</v>
      </c>
      <c r="F3662" s="185">
        <f t="shared" si="105"/>
        <v>1.74</v>
      </c>
      <c r="G3662" s="185"/>
      <c r="H3662" s="185"/>
      <c r="I3662" s="185"/>
      <c r="J3662" s="185"/>
      <c r="K3662" s="185"/>
      <c r="L3662" s="185"/>
      <c r="M3662" s="185">
        <f>M3642</f>
        <v>0</v>
      </c>
      <c r="N3662" s="205">
        <f>M3662*I3662*H3662+M3662*F3662*E3662</f>
        <v>0</v>
      </c>
      <c r="O3662" s="185"/>
      <c r="P3662" s="231"/>
      <c r="Q3662" s="224"/>
    </row>
    <row r="3663" spans="1:17" s="225" customFormat="1" ht="10.5" x14ac:dyDescent="0.25">
      <c r="A3663" s="229"/>
      <c r="B3663" s="230" t="str">
        <f t="shared" si="104"/>
        <v>PAREDES</v>
      </c>
      <c r="C3663" s="184"/>
      <c r="D3663" s="185"/>
      <c r="E3663" s="178">
        <f t="shared" si="105"/>
        <v>1.74</v>
      </c>
      <c r="F3663" s="178">
        <f t="shared" si="105"/>
        <v>1.5</v>
      </c>
      <c r="G3663" s="178">
        <f>G3643</f>
        <v>2</v>
      </c>
      <c r="H3663" s="178">
        <f>H3643</f>
        <v>0.12</v>
      </c>
      <c r="I3663" s="178">
        <f>I3643</f>
        <v>6.48</v>
      </c>
      <c r="J3663" s="185"/>
      <c r="K3663" s="185"/>
      <c r="L3663" s="185"/>
      <c r="M3663" s="185">
        <f>M3643</f>
        <v>0</v>
      </c>
      <c r="N3663" s="205">
        <f>2*M3663*I3663*G3663</f>
        <v>0</v>
      </c>
      <c r="O3663" s="185"/>
      <c r="P3663" s="231"/>
      <c r="Q3663" s="224"/>
    </row>
    <row r="3664" spans="1:17" s="225" customFormat="1" ht="10.5" x14ac:dyDescent="0.25">
      <c r="A3664" s="229"/>
      <c r="B3664" s="230" t="str">
        <f t="shared" si="104"/>
        <v>FUNDO</v>
      </c>
      <c r="C3664" s="184"/>
      <c r="D3664" s="185"/>
      <c r="E3664" s="178">
        <f t="shared" si="105"/>
        <v>1.5</v>
      </c>
      <c r="F3664" s="178">
        <f t="shared" si="105"/>
        <v>1.5</v>
      </c>
      <c r="G3664" s="185"/>
      <c r="H3664" s="185">
        <f>H3644</f>
        <v>0.35</v>
      </c>
      <c r="I3664" s="185">
        <f>2*(E3664+F3664)</f>
        <v>6</v>
      </c>
      <c r="J3664" s="185"/>
      <c r="K3664" s="185"/>
      <c r="L3664" s="185"/>
      <c r="M3664" s="185">
        <f>M3644</f>
        <v>0</v>
      </c>
      <c r="N3664" s="205">
        <f>M3664*I3664*H3664</f>
        <v>0</v>
      </c>
      <c r="O3664" s="185"/>
      <c r="P3664" s="231"/>
      <c r="Q3664" s="224"/>
    </row>
    <row r="3665" spans="1:17" s="228" customFormat="1" ht="10.5" x14ac:dyDescent="0.25">
      <c r="A3665" s="239"/>
      <c r="B3665" s="232" t="str">
        <f t="shared" si="104"/>
        <v>PV DN 1200</v>
      </c>
      <c r="C3665" s="184"/>
      <c r="D3665" s="184"/>
      <c r="E3665" s="184">
        <f t="shared" si="105"/>
        <v>2.04</v>
      </c>
      <c r="F3665" s="184">
        <f t="shared" si="105"/>
        <v>2.04</v>
      </c>
      <c r="G3665" s="184"/>
      <c r="H3665" s="184"/>
      <c r="I3665" s="184"/>
      <c r="J3665" s="184"/>
      <c r="K3665" s="184"/>
      <c r="L3665" s="184"/>
      <c r="M3665" s="184"/>
      <c r="N3665" s="206"/>
      <c r="O3665" s="184"/>
      <c r="P3665" s="231"/>
      <c r="Q3665" s="224"/>
    </row>
    <row r="3666" spans="1:17" s="225" customFormat="1" ht="10.5" x14ac:dyDescent="0.25">
      <c r="A3666" s="229"/>
      <c r="B3666" s="230" t="str">
        <f t="shared" si="104"/>
        <v>TAMPA</v>
      </c>
      <c r="C3666" s="184"/>
      <c r="D3666" s="185"/>
      <c r="E3666" s="185">
        <f t="shared" si="105"/>
        <v>2.04</v>
      </c>
      <c r="F3666" s="185">
        <f t="shared" si="105"/>
        <v>2.04</v>
      </c>
      <c r="G3666" s="185"/>
      <c r="H3666" s="185"/>
      <c r="I3666" s="185"/>
      <c r="J3666" s="185"/>
      <c r="K3666" s="185"/>
      <c r="L3666" s="185"/>
      <c r="M3666" s="185">
        <f>M3646</f>
        <v>1</v>
      </c>
      <c r="N3666" s="205">
        <f>M3666*I3666*H3666+M3666*F3666*E3666</f>
        <v>4.1616</v>
      </c>
      <c r="O3666" s="185"/>
      <c r="P3666" s="231"/>
      <c r="Q3666" s="224"/>
    </row>
    <row r="3667" spans="1:17" s="225" customFormat="1" ht="10.5" x14ac:dyDescent="0.25">
      <c r="A3667" s="229"/>
      <c r="B3667" s="230" t="str">
        <f t="shared" si="104"/>
        <v>PAREDES</v>
      </c>
      <c r="C3667" s="184"/>
      <c r="D3667" s="185"/>
      <c r="E3667" s="178">
        <f t="shared" si="105"/>
        <v>2.04</v>
      </c>
      <c r="F3667" s="178">
        <f t="shared" si="105"/>
        <v>1.8</v>
      </c>
      <c r="G3667" s="178">
        <f>G3647</f>
        <v>2</v>
      </c>
      <c r="H3667" s="178">
        <f>H3647</f>
        <v>0.12</v>
      </c>
      <c r="I3667" s="178">
        <f>I3647</f>
        <v>7.68</v>
      </c>
      <c r="J3667" s="185"/>
      <c r="K3667" s="185"/>
      <c r="L3667" s="185"/>
      <c r="M3667" s="185">
        <f>M3647</f>
        <v>1</v>
      </c>
      <c r="N3667" s="205">
        <f>2*M3667*I3667*G3667</f>
        <v>30.72</v>
      </c>
      <c r="O3667" s="185"/>
      <c r="P3667" s="231"/>
      <c r="Q3667" s="224"/>
    </row>
    <row r="3668" spans="1:17" s="225" customFormat="1" ht="10.5" x14ac:dyDescent="0.25">
      <c r="A3668" s="229"/>
      <c r="B3668" s="230" t="str">
        <f t="shared" si="104"/>
        <v>FUNDO</v>
      </c>
      <c r="C3668" s="184"/>
      <c r="D3668" s="185"/>
      <c r="E3668" s="178">
        <f t="shared" si="105"/>
        <v>1.8</v>
      </c>
      <c r="F3668" s="178">
        <f t="shared" si="105"/>
        <v>1.8</v>
      </c>
      <c r="G3668" s="185"/>
      <c r="H3668" s="185">
        <f>H3648</f>
        <v>0.28000000000000003</v>
      </c>
      <c r="I3668" s="185">
        <f>2*(E3668+F3668)</f>
        <v>7.2</v>
      </c>
      <c r="J3668" s="185"/>
      <c r="K3668" s="185"/>
      <c r="L3668" s="185"/>
      <c r="M3668" s="185">
        <f>M3648</f>
        <v>1</v>
      </c>
      <c r="N3668" s="205">
        <f>M3668*I3668*H3668</f>
        <v>2.0160000000000005</v>
      </c>
      <c r="O3668" s="185"/>
      <c r="P3668" s="231"/>
      <c r="Q3668" s="224"/>
    </row>
    <row r="3669" spans="1:17" s="228" customFormat="1" ht="10.5" x14ac:dyDescent="0.25">
      <c r="A3669" s="239"/>
      <c r="B3669" s="232" t="str">
        <f t="shared" si="104"/>
        <v>PV DN 1500</v>
      </c>
      <c r="C3669" s="184"/>
      <c r="D3669" s="184"/>
      <c r="E3669" s="184">
        <f t="shared" si="105"/>
        <v>2.44</v>
      </c>
      <c r="F3669" s="184">
        <f t="shared" si="105"/>
        <v>2.44</v>
      </c>
      <c r="G3669" s="184"/>
      <c r="H3669" s="184"/>
      <c r="I3669" s="184"/>
      <c r="J3669" s="184"/>
      <c r="K3669" s="184"/>
      <c r="L3669" s="184"/>
      <c r="M3669" s="184"/>
      <c r="N3669" s="206"/>
      <c r="O3669" s="184"/>
      <c r="P3669" s="231"/>
      <c r="Q3669" s="224"/>
    </row>
    <row r="3670" spans="1:17" s="225" customFormat="1" ht="10.5" x14ac:dyDescent="0.25">
      <c r="A3670" s="229"/>
      <c r="B3670" s="230" t="str">
        <f t="shared" si="104"/>
        <v>TAMPA</v>
      </c>
      <c r="C3670" s="184"/>
      <c r="D3670" s="185"/>
      <c r="E3670" s="185">
        <f t="shared" si="105"/>
        <v>2.44</v>
      </c>
      <c r="F3670" s="185">
        <f t="shared" si="105"/>
        <v>2.44</v>
      </c>
      <c r="G3670" s="185"/>
      <c r="H3670" s="185"/>
      <c r="I3670" s="185"/>
      <c r="J3670" s="185"/>
      <c r="K3670" s="185"/>
      <c r="L3670" s="185"/>
      <c r="M3670" s="185">
        <f>M3650</f>
        <v>2</v>
      </c>
      <c r="N3670" s="205">
        <f>M3670*I3670*H3670+M3670*F3670*E3670</f>
        <v>11.9072</v>
      </c>
      <c r="O3670" s="185"/>
      <c r="P3670" s="231"/>
      <c r="Q3670" s="224"/>
    </row>
    <row r="3671" spans="1:17" s="225" customFormat="1" ht="10.5" x14ac:dyDescent="0.25">
      <c r="A3671" s="229"/>
      <c r="B3671" s="230" t="str">
        <f t="shared" si="104"/>
        <v>PAREDES</v>
      </c>
      <c r="C3671" s="184"/>
      <c r="D3671" s="185"/>
      <c r="E3671" s="185">
        <f t="shared" si="105"/>
        <v>2.44</v>
      </c>
      <c r="F3671" s="185">
        <f t="shared" si="105"/>
        <v>2.2000000000000002</v>
      </c>
      <c r="G3671" s="178">
        <f>G3651</f>
        <v>2.4</v>
      </c>
      <c r="H3671" s="178">
        <f>H3651</f>
        <v>0.12</v>
      </c>
      <c r="I3671" s="178">
        <f>I3651</f>
        <v>9.2800000000000011</v>
      </c>
      <c r="J3671" s="185"/>
      <c r="K3671" s="185"/>
      <c r="L3671" s="185"/>
      <c r="M3671" s="185">
        <f>M3651</f>
        <v>2</v>
      </c>
      <c r="N3671" s="205">
        <f>2*M3671*I3671*G3671</f>
        <v>89.088000000000008</v>
      </c>
      <c r="O3671" s="185"/>
      <c r="P3671" s="231"/>
      <c r="Q3671" s="224"/>
    </row>
    <row r="3672" spans="1:17" s="225" customFormat="1" ht="10.5" x14ac:dyDescent="0.25">
      <c r="A3672" s="229"/>
      <c r="B3672" s="230" t="str">
        <f t="shared" si="104"/>
        <v>FUNDO</v>
      </c>
      <c r="C3672" s="184"/>
      <c r="D3672" s="185"/>
      <c r="E3672" s="185">
        <f t="shared" si="105"/>
        <v>2.2000000000000002</v>
      </c>
      <c r="F3672" s="185">
        <f t="shared" si="105"/>
        <v>2.2000000000000002</v>
      </c>
      <c r="G3672" s="185"/>
      <c r="H3672" s="185">
        <f>H3652</f>
        <v>0.1</v>
      </c>
      <c r="I3672" s="185">
        <f>2*(E3672+F3672)</f>
        <v>8.8000000000000007</v>
      </c>
      <c r="J3672" s="185"/>
      <c r="K3672" s="185"/>
      <c r="L3672" s="185"/>
      <c r="M3672" s="185">
        <f>M3652</f>
        <v>2</v>
      </c>
      <c r="N3672" s="205">
        <f>M3672*I3672*H3672</f>
        <v>1.7600000000000002</v>
      </c>
      <c r="O3672" s="185"/>
      <c r="P3672" s="231"/>
      <c r="Q3672" s="224"/>
    </row>
    <row r="3673" spans="1:17" s="225" customFormat="1" ht="10.5" x14ac:dyDescent="0.25">
      <c r="A3673" s="229"/>
      <c r="B3673" s="230"/>
      <c r="C3673" s="184"/>
      <c r="D3673" s="185"/>
      <c r="E3673" s="185"/>
      <c r="F3673" s="185"/>
      <c r="G3673" s="185"/>
      <c r="H3673" s="185"/>
      <c r="I3673" s="185">
        <f>(137.5-4)/24</f>
        <v>5.5625</v>
      </c>
      <c r="J3673" s="185"/>
      <c r="K3673" s="185"/>
      <c r="L3673" s="185"/>
      <c r="M3673" s="185"/>
      <c r="N3673" s="205"/>
      <c r="O3673" s="185"/>
      <c r="P3673" s="231"/>
      <c r="Q3673" s="224"/>
    </row>
    <row r="3674" spans="1:17" s="225" customFormat="1" ht="10.5" x14ac:dyDescent="0.25">
      <c r="A3674" s="229"/>
      <c r="B3674" s="232" t="s">
        <v>5</v>
      </c>
      <c r="C3674" s="182" t="s">
        <v>1328</v>
      </c>
      <c r="D3674" s="182"/>
      <c r="E3674" s="182"/>
      <c r="F3674" s="182"/>
      <c r="G3674" s="182"/>
      <c r="H3674" s="182"/>
      <c r="I3674" s="182"/>
      <c r="J3674" s="182"/>
      <c r="K3674" s="184"/>
      <c r="L3674" s="182"/>
      <c r="M3674" s="182"/>
      <c r="N3674" s="184">
        <f>SUM(N3656:N3673)</f>
        <v>157.23519999999999</v>
      </c>
      <c r="O3674" s="184"/>
      <c r="P3674" s="233"/>
      <c r="Q3674" s="224"/>
    </row>
    <row r="3675" spans="1:17" s="228" customFormat="1" ht="31.5" x14ac:dyDescent="0.25">
      <c r="A3675" s="226" t="str">
        <f>ORÇAMENTO!A697</f>
        <v>6.1.2.7.7</v>
      </c>
      <c r="B3675" s="227" t="str">
        <f>VLOOKUP(A3675,ORÇAMENTO!A:K,4,0)</f>
        <v>LANÇAMENTO COM USO DE BALDES, ADENSAMENTO E ACABAMENTO DE CONCRETO EM ESTRUTURAS. AF_02/2022</v>
      </c>
      <c r="C3675" s="173" t="str">
        <f>VLOOKUP(A3675,ORÇAMENTO!A:K,5,0)</f>
        <v>M³</v>
      </c>
      <c r="D3675" s="173">
        <f>ROUND(SUM(E3679:O3679),2)</f>
        <v>17.079999999999998</v>
      </c>
      <c r="E3675" s="173" t="s">
        <v>1718</v>
      </c>
      <c r="F3675" s="173" t="s">
        <v>1719</v>
      </c>
      <c r="G3675" s="173" t="s">
        <v>1720</v>
      </c>
      <c r="H3675" s="173" t="s">
        <v>1721</v>
      </c>
      <c r="I3675" s="173" t="s">
        <v>1722</v>
      </c>
      <c r="J3675" s="173" t="s">
        <v>1723</v>
      </c>
      <c r="K3675" s="173" t="s">
        <v>1724</v>
      </c>
      <c r="L3675" s="173" t="s">
        <v>1804</v>
      </c>
      <c r="M3675" s="173" t="s">
        <v>1726</v>
      </c>
      <c r="N3675" s="173" t="s">
        <v>1809</v>
      </c>
      <c r="O3675" s="173" t="s">
        <v>1728</v>
      </c>
      <c r="P3675" s="224"/>
      <c r="Q3675" s="224"/>
    </row>
    <row r="3676" spans="1:17" s="225" customFormat="1" ht="42" x14ac:dyDescent="0.25">
      <c r="A3676" s="229"/>
      <c r="B3676" s="230" t="str">
        <f>B3620</f>
        <v>CONCRETO FCK = 15MPA, TRAÇO 1:3,4:3,5 (EM MASSA SECA DE CIMENTO/ AREIA MÉDIA/ BRITA 1) - PREPARO MECÂNICO COM BETONEIRA 600 L. AF_05/2021</v>
      </c>
      <c r="C3676" s="184"/>
      <c r="D3676" s="185"/>
      <c r="E3676" s="185"/>
      <c r="F3676" s="185"/>
      <c r="G3676" s="185"/>
      <c r="H3676" s="185"/>
      <c r="I3676" s="185"/>
      <c r="J3676" s="185"/>
      <c r="K3676" s="185"/>
      <c r="L3676" s="185"/>
      <c r="M3676" s="185"/>
      <c r="N3676" s="205"/>
      <c r="O3676" s="185">
        <f>O3634</f>
        <v>5.1310400000000005</v>
      </c>
      <c r="P3676" s="231"/>
      <c r="Q3676" s="224"/>
    </row>
    <row r="3677" spans="1:17" s="225" customFormat="1" ht="42" x14ac:dyDescent="0.25">
      <c r="A3677" s="229"/>
      <c r="B3677" s="230" t="str">
        <f>B3635</f>
        <v>CONCRETO FCK = 25MPA, TRAÇO 1:2,3:2,7 (EM MASSA SECA DE CIMENTO/ AREIA MÉDIA/ BRITA 1) - PREPARO MECÂNICO COM BETONEIRA 600 L. AF_05/2021</v>
      </c>
      <c r="C3677" s="184"/>
      <c r="D3677" s="185"/>
      <c r="E3677" s="185"/>
      <c r="F3677" s="185"/>
      <c r="G3677" s="185"/>
      <c r="H3677" s="185"/>
      <c r="I3677" s="185"/>
      <c r="J3677" s="185"/>
      <c r="K3677" s="185"/>
      <c r="L3677" s="185"/>
      <c r="M3677" s="185"/>
      <c r="N3677" s="205"/>
      <c r="O3677" s="185">
        <f>O3654</f>
        <v>11.953600000000002</v>
      </c>
      <c r="P3677" s="231"/>
      <c r="Q3677" s="224"/>
    </row>
    <row r="3678" spans="1:17" s="225" customFormat="1" ht="10.5" x14ac:dyDescent="0.25">
      <c r="A3678" s="229"/>
      <c r="B3678" s="230"/>
      <c r="C3678" s="184"/>
      <c r="D3678" s="185"/>
      <c r="E3678" s="185"/>
      <c r="F3678" s="185"/>
      <c r="G3678" s="185"/>
      <c r="H3678" s="185"/>
      <c r="I3678" s="185"/>
      <c r="J3678" s="185"/>
      <c r="K3678" s="185"/>
      <c r="L3678" s="185"/>
      <c r="M3678" s="185"/>
      <c r="N3678" s="205"/>
      <c r="O3678" s="185"/>
      <c r="P3678" s="231"/>
      <c r="Q3678" s="224"/>
    </row>
    <row r="3679" spans="1:17" s="225" customFormat="1" ht="10.5" x14ac:dyDescent="0.25">
      <c r="A3679" s="229"/>
      <c r="B3679" s="232" t="s">
        <v>5</v>
      </c>
      <c r="C3679" s="182" t="s">
        <v>1328</v>
      </c>
      <c r="D3679" s="182"/>
      <c r="E3679" s="182"/>
      <c r="F3679" s="182"/>
      <c r="G3679" s="182"/>
      <c r="H3679" s="182"/>
      <c r="I3679" s="182"/>
      <c r="J3679" s="182"/>
      <c r="K3679" s="184"/>
      <c r="L3679" s="182"/>
      <c r="M3679" s="182"/>
      <c r="N3679" s="184"/>
      <c r="O3679" s="184">
        <f>SUM(O3676:O3678)</f>
        <v>17.08464</v>
      </c>
      <c r="P3679" s="233"/>
      <c r="Q3679" s="224"/>
    </row>
    <row r="3680" spans="1:17" s="228" customFormat="1" ht="21" x14ac:dyDescent="0.25">
      <c r="A3680" s="226" t="str">
        <f>ORÇAMENTO!A698</f>
        <v>6.1.2.7.8</v>
      </c>
      <c r="B3680" s="227" t="str">
        <f>VLOOKUP(A3680,ORÇAMENTO!A:K,4,0)</f>
        <v>ARMAÇÃO EM AÇO CA-50 - FORNECIMENTO, PREPARO E COLOCAÇÃO</v>
      </c>
      <c r="C3680" s="173" t="str">
        <f>VLOOKUP(A3680,ORÇAMENTO!A:K,5,0)</f>
        <v>KG</v>
      </c>
      <c r="D3680" s="173">
        <f>ROUND(SUM(E3688:O3688),2)</f>
        <v>697.85</v>
      </c>
      <c r="E3680" s="173" t="s">
        <v>1718</v>
      </c>
      <c r="F3680" s="173" t="s">
        <v>1719</v>
      </c>
      <c r="G3680" s="173" t="s">
        <v>1720</v>
      </c>
      <c r="H3680" s="173" t="s">
        <v>1721</v>
      </c>
      <c r="I3680" s="173" t="s">
        <v>1722</v>
      </c>
      <c r="J3680" s="173" t="s">
        <v>1723</v>
      </c>
      <c r="K3680" s="173" t="s">
        <v>1724</v>
      </c>
      <c r="L3680" s="173" t="s">
        <v>1804</v>
      </c>
      <c r="M3680" s="173" t="s">
        <v>1726</v>
      </c>
      <c r="N3680" s="173" t="s">
        <v>1809</v>
      </c>
      <c r="O3680" s="173" t="s">
        <v>1728</v>
      </c>
      <c r="P3680" s="224"/>
      <c r="Q3680" s="224"/>
    </row>
    <row r="3681" spans="1:17" s="225" customFormat="1" ht="10.5" x14ac:dyDescent="0.25">
      <c r="A3681" s="229"/>
      <c r="B3681" s="230" t="str">
        <f>B3636</f>
        <v>CONFORME DESENHO TIPO</v>
      </c>
      <c r="C3681" s="184"/>
      <c r="D3681" s="185"/>
      <c r="E3681" s="185"/>
      <c r="F3681" s="185"/>
      <c r="G3681" s="185"/>
      <c r="H3681" s="185"/>
      <c r="I3681" s="185"/>
      <c r="J3681" s="185"/>
      <c r="K3681" s="185"/>
      <c r="L3681" s="185"/>
      <c r="M3681" s="185"/>
      <c r="N3681" s="205"/>
      <c r="O3681" s="185"/>
      <c r="P3681" s="231"/>
      <c r="Q3681" s="224"/>
    </row>
    <row r="3682" spans="1:17" s="225" customFormat="1" ht="10.5" x14ac:dyDescent="0.25">
      <c r="A3682" s="229"/>
      <c r="B3682" s="230" t="str">
        <f>B3637</f>
        <v>PV DN 600</v>
      </c>
      <c r="C3682" s="184"/>
      <c r="D3682" s="185"/>
      <c r="E3682" s="185"/>
      <c r="F3682" s="185"/>
      <c r="G3682" s="185"/>
      <c r="H3682" s="185"/>
      <c r="I3682" s="185"/>
      <c r="J3682" s="185"/>
      <c r="K3682" s="185">
        <f>6.33*M3682</f>
        <v>69.63</v>
      </c>
      <c r="L3682" s="185"/>
      <c r="M3682" s="185">
        <f>M3601</f>
        <v>11</v>
      </c>
      <c r="N3682" s="205"/>
      <c r="O3682" s="185"/>
      <c r="P3682" s="231"/>
      <c r="Q3682" s="224"/>
    </row>
    <row r="3683" spans="1:17" s="225" customFormat="1" ht="10.5" x14ac:dyDescent="0.25">
      <c r="A3683" s="229"/>
      <c r="B3683" s="230" t="str">
        <f>B3639</f>
        <v>PV DN 800</v>
      </c>
      <c r="C3683" s="184"/>
      <c r="D3683" s="185"/>
      <c r="E3683" s="185"/>
      <c r="F3683" s="185"/>
      <c r="G3683" s="185"/>
      <c r="H3683" s="185"/>
      <c r="I3683" s="185"/>
      <c r="J3683" s="185"/>
      <c r="K3683" s="185">
        <f>29.09*M3683</f>
        <v>0</v>
      </c>
      <c r="L3683" s="185"/>
      <c r="M3683" s="185">
        <f>M3602</f>
        <v>0</v>
      </c>
      <c r="N3683" s="205"/>
      <c r="O3683" s="185"/>
      <c r="P3683" s="231"/>
      <c r="Q3683" s="224"/>
    </row>
    <row r="3684" spans="1:17" s="225" customFormat="1" ht="10.5" x14ac:dyDescent="0.25">
      <c r="A3684" s="229"/>
      <c r="B3684" s="230" t="str">
        <f>B3641</f>
        <v>PV DN 1000</v>
      </c>
      <c r="C3684" s="184"/>
      <c r="D3684" s="185"/>
      <c r="E3684" s="185"/>
      <c r="F3684" s="185"/>
      <c r="G3684" s="185"/>
      <c r="H3684" s="185"/>
      <c r="I3684" s="185"/>
      <c r="J3684" s="185"/>
      <c r="K3684" s="185">
        <f>92.82*M3684</f>
        <v>0</v>
      </c>
      <c r="L3684" s="185"/>
      <c r="M3684" s="185">
        <f>M3603</f>
        <v>0</v>
      </c>
      <c r="N3684" s="205"/>
      <c r="O3684" s="185"/>
      <c r="P3684" s="231"/>
      <c r="Q3684" s="224"/>
    </row>
    <row r="3685" spans="1:17" s="225" customFormat="1" ht="10.5" x14ac:dyDescent="0.25">
      <c r="A3685" s="229"/>
      <c r="B3685" s="230" t="str">
        <f>B3645</f>
        <v>PV DN 1200</v>
      </c>
      <c r="C3685" s="184"/>
      <c r="D3685" s="185"/>
      <c r="E3685" s="185"/>
      <c r="F3685" s="185"/>
      <c r="G3685" s="185"/>
      <c r="H3685" s="185"/>
      <c r="I3685" s="185"/>
      <c r="J3685" s="185"/>
      <c r="K3685" s="185">
        <f>154.06*M3685</f>
        <v>154.06</v>
      </c>
      <c r="L3685" s="185"/>
      <c r="M3685" s="185">
        <f>M3604</f>
        <v>1</v>
      </c>
      <c r="N3685" s="205"/>
      <c r="O3685" s="185"/>
      <c r="P3685" s="231"/>
      <c r="Q3685" s="224"/>
    </row>
    <row r="3686" spans="1:17" s="225" customFormat="1" ht="10.5" x14ac:dyDescent="0.25">
      <c r="A3686" s="229"/>
      <c r="B3686" s="230" t="str">
        <f>B3649</f>
        <v>PV DN 1500</v>
      </c>
      <c r="C3686" s="184"/>
      <c r="D3686" s="185"/>
      <c r="E3686" s="185"/>
      <c r="F3686" s="185"/>
      <c r="G3686" s="185"/>
      <c r="H3686" s="185"/>
      <c r="I3686" s="185"/>
      <c r="J3686" s="185"/>
      <c r="K3686" s="185">
        <f>237.08*M3686</f>
        <v>474.16</v>
      </c>
      <c r="L3686" s="185"/>
      <c r="M3686" s="185">
        <f>M3605</f>
        <v>2</v>
      </c>
      <c r="N3686" s="205"/>
      <c r="O3686" s="185"/>
      <c r="P3686" s="231"/>
      <c r="Q3686" s="224"/>
    </row>
    <row r="3687" spans="1:17" s="225" customFormat="1" ht="10.5" x14ac:dyDescent="0.25">
      <c r="A3687" s="229"/>
      <c r="B3687" s="230"/>
      <c r="C3687" s="184"/>
      <c r="D3687" s="185"/>
      <c r="E3687" s="185"/>
      <c r="F3687" s="185"/>
      <c r="G3687" s="185"/>
      <c r="H3687" s="185"/>
      <c r="I3687" s="185"/>
      <c r="J3687" s="185"/>
      <c r="K3687" s="185"/>
      <c r="L3687" s="185"/>
      <c r="M3687" s="185"/>
      <c r="N3687" s="205"/>
      <c r="O3687" s="185"/>
      <c r="P3687" s="231"/>
      <c r="Q3687" s="224"/>
    </row>
    <row r="3688" spans="1:17" s="225" customFormat="1" ht="10.5" x14ac:dyDescent="0.25">
      <c r="A3688" s="229"/>
      <c r="B3688" s="232" t="s">
        <v>5</v>
      </c>
      <c r="C3688" s="182" t="s">
        <v>1328</v>
      </c>
      <c r="D3688" s="182"/>
      <c r="E3688" s="182"/>
      <c r="F3688" s="182"/>
      <c r="G3688" s="182"/>
      <c r="H3688" s="182"/>
      <c r="I3688" s="182"/>
      <c r="J3688" s="182"/>
      <c r="K3688" s="184">
        <f>SUM(K3681:K3686)</f>
        <v>697.85</v>
      </c>
      <c r="L3688" s="182"/>
      <c r="M3688" s="182"/>
      <c r="N3688" s="184"/>
      <c r="O3688" s="182"/>
      <c r="P3688" s="233"/>
      <c r="Q3688" s="224"/>
    </row>
    <row r="3689" spans="1:17" s="228" customFormat="1" ht="31.5" x14ac:dyDescent="0.25">
      <c r="A3689" s="226" t="str">
        <f>ORÇAMENTO!A699</f>
        <v>6.1.2.7.9</v>
      </c>
      <c r="B3689" s="227" t="str">
        <f>VLOOKUP(A3689,ORÇAMENTO!A:K,4,0)</f>
        <v>CHAMINÉ CIRCULAR PARA POÇO DE VISITA PARA DRENAGEM, EM CONCRETO PRÉ-MOLDADO, DIÂMETRO INTERNO = 0,6 M. AF_12/2020</v>
      </c>
      <c r="C3689" s="173" t="str">
        <f>VLOOKUP(A3689,ORÇAMENTO!A:K,5,0)</f>
        <v>M</v>
      </c>
      <c r="D3689" s="173">
        <f>ROUND(SUM(E3692:O3692),2)</f>
        <v>5.65</v>
      </c>
      <c r="E3689" s="173" t="s">
        <v>1718</v>
      </c>
      <c r="F3689" s="173" t="s">
        <v>1719</v>
      </c>
      <c r="G3689" s="173" t="s">
        <v>1720</v>
      </c>
      <c r="H3689" s="173" t="s">
        <v>1721</v>
      </c>
      <c r="I3689" s="173" t="s">
        <v>1722</v>
      </c>
      <c r="J3689" s="173" t="s">
        <v>1723</v>
      </c>
      <c r="K3689" s="173" t="s">
        <v>1724</v>
      </c>
      <c r="L3689" s="173" t="s">
        <v>1804</v>
      </c>
      <c r="M3689" s="173" t="s">
        <v>1726</v>
      </c>
      <c r="N3689" s="173" t="s">
        <v>1809</v>
      </c>
      <c r="O3689" s="173" t="s">
        <v>1728</v>
      </c>
      <c r="P3689" s="224"/>
      <c r="Q3689" s="224"/>
    </row>
    <row r="3690" spans="1:17" s="225" customFormat="1" ht="21" x14ac:dyDescent="0.25">
      <c r="A3690" s="229"/>
      <c r="B3690" s="230" t="s">
        <v>1842</v>
      </c>
      <c r="C3690" s="184"/>
      <c r="D3690" s="185"/>
      <c r="E3690" s="185">
        <f>Quantitativos!DA120</f>
        <v>5.6470000000000002</v>
      </c>
      <c r="F3690" s="185"/>
      <c r="G3690" s="185"/>
      <c r="H3690" s="185"/>
      <c r="I3690" s="185"/>
      <c r="J3690" s="185"/>
      <c r="K3690" s="185"/>
      <c r="L3690" s="185"/>
      <c r="M3690" s="185"/>
      <c r="N3690" s="205"/>
      <c r="O3690" s="185"/>
      <c r="P3690" s="231"/>
      <c r="Q3690" s="224"/>
    </row>
    <row r="3691" spans="1:17" s="225" customFormat="1" ht="10.5" x14ac:dyDescent="0.25">
      <c r="A3691" s="229"/>
      <c r="B3691" s="230"/>
      <c r="C3691" s="184"/>
      <c r="D3691" s="185"/>
      <c r="E3691" s="185"/>
      <c r="F3691" s="185"/>
      <c r="G3691" s="185"/>
      <c r="H3691" s="185"/>
      <c r="I3691" s="185"/>
      <c r="J3691" s="185"/>
      <c r="K3691" s="185"/>
      <c r="L3691" s="185"/>
      <c r="M3691" s="185"/>
      <c r="N3691" s="205"/>
      <c r="O3691" s="185"/>
      <c r="P3691" s="231"/>
      <c r="Q3691" s="224"/>
    </row>
    <row r="3692" spans="1:17" s="225" customFormat="1" ht="10.5" x14ac:dyDescent="0.25">
      <c r="A3692" s="229"/>
      <c r="B3692" s="232" t="s">
        <v>5</v>
      </c>
      <c r="C3692" s="182" t="s">
        <v>1328</v>
      </c>
      <c r="D3692" s="182"/>
      <c r="E3692" s="184">
        <f>SUM(E3690:E3691)</f>
        <v>5.6470000000000002</v>
      </c>
      <c r="F3692" s="182"/>
      <c r="G3692" s="182"/>
      <c r="H3692" s="182"/>
      <c r="I3692" s="182"/>
      <c r="J3692" s="182"/>
      <c r="K3692" s="185"/>
      <c r="L3692" s="182"/>
      <c r="M3692" s="182"/>
      <c r="N3692" s="184"/>
      <c r="O3692" s="182"/>
      <c r="P3692" s="233"/>
      <c r="Q3692" s="224"/>
    </row>
    <row r="3693" spans="1:17" s="228" customFormat="1" ht="31.5" x14ac:dyDescent="0.25">
      <c r="A3693" s="226" t="str">
        <f>ORÇAMENTO!A700</f>
        <v>6.1.2.7.10</v>
      </c>
      <c r="B3693" s="227" t="str">
        <f>VLOOKUP(A3693,ORÇAMENTO!A:K,4,0)</f>
        <v>ESCORAMENTO DE FÔRMAS DE LAJE EM MADEIRA NÃO APARELHADA, PÉ-DIREITO SIMPLES, INCLUSO TRAVAMENTO, 4 UTILIZAÇÕES. AF_09/2020</v>
      </c>
      <c r="C3693" s="173" t="str">
        <f>VLOOKUP(A3693,ORÇAMENTO!A:K,5,0)</f>
        <v>M³</v>
      </c>
      <c r="D3693" s="173">
        <f>ROUND(SUM(E3706:O3706),2)</f>
        <v>54.86</v>
      </c>
      <c r="E3693" s="173" t="s">
        <v>1718</v>
      </c>
      <c r="F3693" s="173" t="s">
        <v>1719</v>
      </c>
      <c r="G3693" s="173" t="s">
        <v>1720</v>
      </c>
      <c r="H3693" s="173" t="s">
        <v>1721</v>
      </c>
      <c r="I3693" s="173" t="s">
        <v>1722</v>
      </c>
      <c r="J3693" s="173" t="s">
        <v>1723</v>
      </c>
      <c r="K3693" s="173" t="s">
        <v>1724</v>
      </c>
      <c r="L3693" s="173" t="s">
        <v>1804</v>
      </c>
      <c r="M3693" s="173" t="s">
        <v>1726</v>
      </c>
      <c r="N3693" s="173" t="s">
        <v>1826</v>
      </c>
      <c r="O3693" s="173" t="s">
        <v>1728</v>
      </c>
      <c r="P3693" s="224"/>
      <c r="Q3693" s="224"/>
    </row>
    <row r="3694" spans="1:17" s="225" customFormat="1" ht="10.5" x14ac:dyDescent="0.25">
      <c r="A3694" s="229"/>
      <c r="B3694" s="230"/>
      <c r="C3694" s="184"/>
      <c r="D3694" s="185"/>
      <c r="E3694" s="185"/>
      <c r="F3694" s="185"/>
      <c r="G3694" s="185"/>
      <c r="H3694" s="185"/>
      <c r="I3694" s="185"/>
      <c r="J3694" s="185"/>
      <c r="K3694" s="185"/>
      <c r="L3694" s="185"/>
      <c r="M3694" s="185"/>
      <c r="N3694" s="205"/>
      <c r="O3694" s="185"/>
      <c r="P3694" s="231"/>
      <c r="Q3694" s="224"/>
    </row>
    <row r="3695" spans="1:17" s="228" customFormat="1" ht="10.5" x14ac:dyDescent="0.25">
      <c r="A3695" s="239"/>
      <c r="B3695" s="232" t="str">
        <f t="shared" ref="B3695:B3700" si="106">B3657</f>
        <v>PV DN 600</v>
      </c>
      <c r="C3695" s="184"/>
      <c r="D3695" s="184"/>
      <c r="E3695" s="184">
        <f t="shared" ref="E3695:F3700" si="107">E3657</f>
        <v>1.08</v>
      </c>
      <c r="F3695" s="184">
        <f t="shared" si="107"/>
        <v>1.08</v>
      </c>
      <c r="G3695" s="184"/>
      <c r="H3695" s="184"/>
      <c r="I3695" s="184"/>
      <c r="J3695" s="184"/>
      <c r="K3695" s="184"/>
      <c r="L3695" s="184"/>
      <c r="M3695" s="184"/>
      <c r="N3695" s="206"/>
      <c r="O3695" s="184"/>
      <c r="P3695" s="231"/>
      <c r="Q3695" s="224"/>
    </row>
    <row r="3696" spans="1:17" s="225" customFormat="1" ht="10.5" x14ac:dyDescent="0.25">
      <c r="A3696" s="229"/>
      <c r="B3696" s="230" t="str">
        <f t="shared" si="106"/>
        <v>TAMPA</v>
      </c>
      <c r="C3696" s="184"/>
      <c r="D3696" s="185"/>
      <c r="E3696" s="185">
        <f t="shared" si="107"/>
        <v>1.08</v>
      </c>
      <c r="F3696" s="185">
        <f t="shared" si="107"/>
        <v>1.08</v>
      </c>
      <c r="G3696" s="185">
        <v>1.4</v>
      </c>
      <c r="H3696" s="185"/>
      <c r="I3696" s="185"/>
      <c r="J3696" s="185"/>
      <c r="K3696" s="185"/>
      <c r="L3696" s="185"/>
      <c r="M3696" s="185">
        <f>M3658</f>
        <v>11</v>
      </c>
      <c r="N3696" s="205">
        <f>M3696*E3696*F3696*G3696</f>
        <v>17.96256</v>
      </c>
      <c r="O3696" s="185"/>
      <c r="P3696" s="231"/>
      <c r="Q3696" s="224"/>
    </row>
    <row r="3697" spans="1:17" s="228" customFormat="1" ht="10.5" x14ac:dyDescent="0.25">
      <c r="A3697" s="239"/>
      <c r="B3697" s="232" t="str">
        <f t="shared" si="106"/>
        <v>PV DN 800</v>
      </c>
      <c r="C3697" s="184"/>
      <c r="D3697" s="184"/>
      <c r="E3697" s="184">
        <f t="shared" si="107"/>
        <v>1.5</v>
      </c>
      <c r="F3697" s="184">
        <f t="shared" si="107"/>
        <v>1.5</v>
      </c>
      <c r="G3697" s="184"/>
      <c r="H3697" s="184"/>
      <c r="I3697" s="184"/>
      <c r="J3697" s="184"/>
      <c r="K3697" s="184"/>
      <c r="L3697" s="184"/>
      <c r="M3697" s="184"/>
      <c r="N3697" s="206"/>
      <c r="O3697" s="184"/>
      <c r="P3697" s="231"/>
      <c r="Q3697" s="224"/>
    </row>
    <row r="3698" spans="1:17" s="225" customFormat="1" ht="10.5" x14ac:dyDescent="0.25">
      <c r="A3698" s="229"/>
      <c r="B3698" s="230" t="str">
        <f t="shared" si="106"/>
        <v>TAMPA</v>
      </c>
      <c r="C3698" s="184"/>
      <c r="D3698" s="185"/>
      <c r="E3698" s="185">
        <f t="shared" si="107"/>
        <v>1.5</v>
      </c>
      <c r="F3698" s="185">
        <f t="shared" si="107"/>
        <v>1.5</v>
      </c>
      <c r="G3698" s="185">
        <v>1.4</v>
      </c>
      <c r="H3698" s="185"/>
      <c r="I3698" s="185"/>
      <c r="J3698" s="185"/>
      <c r="K3698" s="185"/>
      <c r="L3698" s="185"/>
      <c r="M3698" s="185">
        <f>M3660</f>
        <v>0</v>
      </c>
      <c r="N3698" s="205">
        <f>M3698*E3698*F3698*G3698</f>
        <v>0</v>
      </c>
      <c r="O3698" s="185"/>
      <c r="P3698" s="231"/>
      <c r="Q3698" s="224"/>
    </row>
    <row r="3699" spans="1:17" s="228" customFormat="1" ht="10.5" x14ac:dyDescent="0.25">
      <c r="A3699" s="239"/>
      <c r="B3699" s="232" t="str">
        <f t="shared" si="106"/>
        <v>PV DN 1000</v>
      </c>
      <c r="C3699" s="184"/>
      <c r="D3699" s="184"/>
      <c r="E3699" s="184">
        <f t="shared" si="107"/>
        <v>1.74</v>
      </c>
      <c r="F3699" s="184">
        <f t="shared" si="107"/>
        <v>1.74</v>
      </c>
      <c r="G3699" s="184"/>
      <c r="H3699" s="184"/>
      <c r="I3699" s="184"/>
      <c r="J3699" s="184"/>
      <c r="K3699" s="184"/>
      <c r="L3699" s="184"/>
      <c r="M3699" s="184"/>
      <c r="N3699" s="206"/>
      <c r="O3699" s="184"/>
      <c r="P3699" s="231"/>
      <c r="Q3699" s="224"/>
    </row>
    <row r="3700" spans="1:17" s="225" customFormat="1" ht="10.5" x14ac:dyDescent="0.25">
      <c r="A3700" s="229"/>
      <c r="B3700" s="230" t="str">
        <f t="shared" si="106"/>
        <v>TAMPA</v>
      </c>
      <c r="C3700" s="184"/>
      <c r="D3700" s="185"/>
      <c r="E3700" s="185">
        <f t="shared" si="107"/>
        <v>1.74</v>
      </c>
      <c r="F3700" s="185">
        <f t="shared" si="107"/>
        <v>1.74</v>
      </c>
      <c r="G3700" s="185">
        <v>2</v>
      </c>
      <c r="H3700" s="185"/>
      <c r="I3700" s="185"/>
      <c r="J3700" s="185"/>
      <c r="K3700" s="185"/>
      <c r="L3700" s="185"/>
      <c r="M3700" s="185">
        <f>M3662</f>
        <v>0</v>
      </c>
      <c r="N3700" s="205">
        <f>M3700*E3700*F3700*G3700</f>
        <v>0</v>
      </c>
      <c r="O3700" s="185"/>
      <c r="P3700" s="231"/>
      <c r="Q3700" s="224"/>
    </row>
    <row r="3701" spans="1:17" s="228" customFormat="1" ht="10.5" x14ac:dyDescent="0.25">
      <c r="A3701" s="239"/>
      <c r="B3701" s="232" t="str">
        <f>B3665</f>
        <v>PV DN 1200</v>
      </c>
      <c r="C3701" s="184"/>
      <c r="D3701" s="184"/>
      <c r="E3701" s="184">
        <f>E3665</f>
        <v>2.04</v>
      </c>
      <c r="F3701" s="184">
        <f>F3665</f>
        <v>2.04</v>
      </c>
      <c r="G3701" s="184"/>
      <c r="H3701" s="184"/>
      <c r="I3701" s="184"/>
      <c r="J3701" s="184"/>
      <c r="K3701" s="184"/>
      <c r="L3701" s="184"/>
      <c r="M3701" s="184"/>
      <c r="N3701" s="206"/>
      <c r="O3701" s="184"/>
      <c r="P3701" s="231"/>
      <c r="Q3701" s="224"/>
    </row>
    <row r="3702" spans="1:17" s="225" customFormat="1" ht="10.5" x14ac:dyDescent="0.25">
      <c r="A3702" s="229"/>
      <c r="B3702" s="230" t="str">
        <f>B3666</f>
        <v>TAMPA</v>
      </c>
      <c r="C3702" s="184"/>
      <c r="D3702" s="185"/>
      <c r="E3702" s="185">
        <f>E3666</f>
        <v>2.04</v>
      </c>
      <c r="F3702" s="185">
        <f>F3666</f>
        <v>2.04</v>
      </c>
      <c r="G3702" s="185">
        <v>2</v>
      </c>
      <c r="H3702" s="185"/>
      <c r="I3702" s="185"/>
      <c r="J3702" s="185"/>
      <c r="K3702" s="185"/>
      <c r="L3702" s="185"/>
      <c r="M3702" s="185">
        <f>M3666</f>
        <v>1</v>
      </c>
      <c r="N3702" s="205">
        <f>M3702*E3702*F3702*G3702</f>
        <v>8.3231999999999999</v>
      </c>
      <c r="O3702" s="185"/>
      <c r="P3702" s="231"/>
      <c r="Q3702" s="224"/>
    </row>
    <row r="3703" spans="1:17" s="228" customFormat="1" ht="10.5" x14ac:dyDescent="0.25">
      <c r="A3703" s="239"/>
      <c r="B3703" s="232" t="str">
        <f>B3669</f>
        <v>PV DN 1500</v>
      </c>
      <c r="C3703" s="184"/>
      <c r="D3703" s="184"/>
      <c r="E3703" s="184">
        <f>E3669</f>
        <v>2.44</v>
      </c>
      <c r="F3703" s="184">
        <f>F3669</f>
        <v>2.44</v>
      </c>
      <c r="G3703" s="184"/>
      <c r="H3703" s="184"/>
      <c r="I3703" s="184"/>
      <c r="J3703" s="184"/>
      <c r="K3703" s="184"/>
      <c r="L3703" s="184"/>
      <c r="M3703" s="184"/>
      <c r="N3703" s="206"/>
      <c r="O3703" s="184"/>
      <c r="P3703" s="231"/>
      <c r="Q3703" s="224"/>
    </row>
    <row r="3704" spans="1:17" s="225" customFormat="1" ht="10.5" x14ac:dyDescent="0.25">
      <c r="A3704" s="229"/>
      <c r="B3704" s="230" t="str">
        <f>B3670</f>
        <v>TAMPA</v>
      </c>
      <c r="C3704" s="184"/>
      <c r="D3704" s="185"/>
      <c r="E3704" s="185">
        <f>E3670</f>
        <v>2.44</v>
      </c>
      <c r="F3704" s="185">
        <f>F3670</f>
        <v>2.44</v>
      </c>
      <c r="G3704" s="185">
        <v>2.4</v>
      </c>
      <c r="H3704" s="185"/>
      <c r="I3704" s="185"/>
      <c r="J3704" s="185"/>
      <c r="K3704" s="185"/>
      <c r="L3704" s="185"/>
      <c r="M3704" s="185">
        <f>M3670</f>
        <v>2</v>
      </c>
      <c r="N3704" s="205">
        <f>M3704*E3704*F3704*G3704</f>
        <v>28.577279999999998</v>
      </c>
      <c r="O3704" s="185"/>
      <c r="P3704" s="231"/>
      <c r="Q3704" s="224"/>
    </row>
    <row r="3705" spans="1:17" s="225" customFormat="1" ht="10.5" x14ac:dyDescent="0.25">
      <c r="A3705" s="229"/>
      <c r="B3705" s="230"/>
      <c r="C3705" s="184"/>
      <c r="D3705" s="185"/>
      <c r="E3705" s="185"/>
      <c r="F3705" s="185"/>
      <c r="G3705" s="185"/>
      <c r="H3705" s="185"/>
      <c r="I3705" s="185"/>
      <c r="J3705" s="185"/>
      <c r="K3705" s="185"/>
      <c r="L3705" s="185"/>
      <c r="M3705" s="185"/>
      <c r="N3705" s="205"/>
      <c r="O3705" s="185"/>
      <c r="P3705" s="231"/>
      <c r="Q3705" s="224"/>
    </row>
    <row r="3706" spans="1:17" s="225" customFormat="1" ht="10.5" x14ac:dyDescent="0.25">
      <c r="A3706" s="229"/>
      <c r="B3706" s="232" t="s">
        <v>5</v>
      </c>
      <c r="C3706" s="182" t="s">
        <v>1328</v>
      </c>
      <c r="D3706" s="182"/>
      <c r="E3706" s="182"/>
      <c r="F3706" s="182"/>
      <c r="G3706" s="182"/>
      <c r="H3706" s="182"/>
      <c r="I3706" s="182"/>
      <c r="J3706" s="182"/>
      <c r="K3706" s="184"/>
      <c r="L3706" s="182"/>
      <c r="M3706" s="182"/>
      <c r="N3706" s="184">
        <f>SUM(N3694:N3705)</f>
        <v>54.863039999999998</v>
      </c>
      <c r="O3706" s="184"/>
      <c r="P3706" s="233"/>
      <c r="Q3706" s="224"/>
    </row>
    <row r="3707" spans="1:17" s="225" customFormat="1" ht="10.5" x14ac:dyDescent="0.25">
      <c r="A3707" s="222" t="str">
        <f>ORÇAMENTO!A701</f>
        <v>6.1.2.8</v>
      </c>
      <c r="B3707" s="223" t="str">
        <f>VLOOKUP(A3707,ORÇAMENTO!A:K,4,0)</f>
        <v>SERVIÇOS FINAIS PARA DRENAGEM</v>
      </c>
      <c r="C3707" s="167"/>
      <c r="D3707" s="167"/>
      <c r="E3707" s="168"/>
      <c r="F3707" s="168"/>
      <c r="G3707" s="168"/>
      <c r="H3707" s="168"/>
      <c r="I3707" s="168"/>
      <c r="J3707" s="168"/>
      <c r="K3707" s="168"/>
      <c r="L3707" s="168"/>
      <c r="M3707" s="168"/>
      <c r="N3707" s="168"/>
      <c r="O3707" s="168"/>
      <c r="P3707" s="224"/>
      <c r="Q3707" s="224"/>
    </row>
    <row r="3708" spans="1:17" s="228" customFormat="1" ht="21" x14ac:dyDescent="0.25">
      <c r="A3708" s="226" t="str">
        <f>ORÇAMENTO!A702</f>
        <v>6.1.2.8.1</v>
      </c>
      <c r="B3708" s="227" t="str">
        <f>VLOOKUP(A3708,ORÇAMENTO!A:K,4,0)</f>
        <v>LIMPEZA E TESTE DE REDES DE DRENAGEM</v>
      </c>
      <c r="C3708" s="173" t="str">
        <f>VLOOKUP(A3708,ORÇAMENTO!A:K,5,0)</f>
        <v>M</v>
      </c>
      <c r="D3708" s="173">
        <f>ROUND(SUM(E3711:O3711),2)</f>
        <v>638.88</v>
      </c>
      <c r="E3708" s="173" t="s">
        <v>1718</v>
      </c>
      <c r="F3708" s="173" t="s">
        <v>1719</v>
      </c>
      <c r="G3708" s="173" t="s">
        <v>1720</v>
      </c>
      <c r="H3708" s="173" t="s">
        <v>1721</v>
      </c>
      <c r="I3708" s="173" t="s">
        <v>1722</v>
      </c>
      <c r="J3708" s="173" t="s">
        <v>1723</v>
      </c>
      <c r="K3708" s="173" t="s">
        <v>1724</v>
      </c>
      <c r="L3708" s="173" t="s">
        <v>1804</v>
      </c>
      <c r="M3708" s="173" t="s">
        <v>1726</v>
      </c>
      <c r="N3708" s="173" t="s">
        <v>1809</v>
      </c>
      <c r="O3708" s="173" t="s">
        <v>1728</v>
      </c>
      <c r="P3708" s="224"/>
      <c r="Q3708" s="224"/>
    </row>
    <row r="3709" spans="1:17" s="225" customFormat="1" ht="10.5" x14ac:dyDescent="0.25">
      <c r="A3709" s="229"/>
      <c r="B3709" s="230" t="s">
        <v>1843</v>
      </c>
      <c r="C3709" s="184"/>
      <c r="D3709" s="185"/>
      <c r="E3709" s="185">
        <f>Quantitativos!F120</f>
        <v>638.88023103113801</v>
      </c>
      <c r="F3709" s="185"/>
      <c r="G3709" s="185"/>
      <c r="H3709" s="185"/>
      <c r="I3709" s="185"/>
      <c r="J3709" s="185"/>
      <c r="K3709" s="185"/>
      <c r="L3709" s="185"/>
      <c r="M3709" s="185"/>
      <c r="N3709" s="205"/>
      <c r="O3709" s="185"/>
      <c r="P3709" s="231"/>
      <c r="Q3709" s="224"/>
    </row>
    <row r="3710" spans="1:17" s="225" customFormat="1" ht="10.5" x14ac:dyDescent="0.25">
      <c r="A3710" s="229"/>
      <c r="B3710" s="230"/>
      <c r="C3710" s="184"/>
      <c r="D3710" s="185"/>
      <c r="E3710" s="185"/>
      <c r="F3710" s="185"/>
      <c r="G3710" s="185"/>
      <c r="H3710" s="185"/>
      <c r="I3710" s="185"/>
      <c r="J3710" s="185"/>
      <c r="K3710" s="185"/>
      <c r="L3710" s="185"/>
      <c r="M3710" s="185"/>
      <c r="N3710" s="205"/>
      <c r="O3710" s="185"/>
      <c r="P3710" s="231"/>
      <c r="Q3710" s="224"/>
    </row>
    <row r="3711" spans="1:17" s="225" customFormat="1" ht="10.5" x14ac:dyDescent="0.25">
      <c r="A3711" s="229"/>
      <c r="B3711" s="232" t="s">
        <v>5</v>
      </c>
      <c r="C3711" s="182" t="s">
        <v>1328</v>
      </c>
      <c r="D3711" s="182"/>
      <c r="E3711" s="184">
        <f>SUM(E3709:E3710)</f>
        <v>638.88023103113801</v>
      </c>
      <c r="F3711" s="182"/>
      <c r="G3711" s="182"/>
      <c r="H3711" s="182"/>
      <c r="I3711" s="182"/>
      <c r="J3711" s="182"/>
      <c r="K3711" s="185"/>
      <c r="L3711" s="182"/>
      <c r="M3711" s="182"/>
      <c r="N3711" s="184"/>
      <c r="O3711" s="182"/>
      <c r="P3711" s="233"/>
      <c r="Q3711" s="224"/>
    </row>
    <row r="3712" spans="1:17" s="225" customFormat="1" ht="21" x14ac:dyDescent="0.25">
      <c r="A3712" s="222" t="str">
        <f>ORÇAMENTO!A703</f>
        <v>6.2</v>
      </c>
      <c r="B3712" s="223" t="str">
        <f>VLOOKUP(A3712,ORÇAMENTO!A:K,4,0)</f>
        <v>MANUTENÇÃO E LIMPEZA DO DISSIPADOR DE ENERGIA E BACIA DE DETENÇÃO EXISTENTES</v>
      </c>
      <c r="C3712" s="167"/>
      <c r="D3712" s="167"/>
      <c r="E3712" s="168"/>
      <c r="F3712" s="168"/>
      <c r="G3712" s="168"/>
      <c r="H3712" s="168"/>
      <c r="I3712" s="168"/>
      <c r="J3712" s="168"/>
      <c r="K3712" s="168"/>
      <c r="L3712" s="168"/>
      <c r="M3712" s="168"/>
      <c r="N3712" s="168"/>
      <c r="O3712" s="168"/>
      <c r="P3712" s="224"/>
      <c r="Q3712" s="224"/>
    </row>
    <row r="3713" spans="1:19" s="235" customFormat="1" ht="21" x14ac:dyDescent="0.35">
      <c r="A3713" s="226" t="str">
        <f>ORÇAMENTO!A704</f>
        <v>6.2.1</v>
      </c>
      <c r="B3713" s="227" t="str">
        <f>VLOOKUP(A3713,ORÇAMENTO!A:K,4,0)</f>
        <v>LIMPEZA MANUAL DE VEGETAÇÃO EM TERRENO COM ENXADA. AF_03/2024</v>
      </c>
      <c r="C3713" s="173" t="str">
        <f>VLOOKUP(A3713,ORÇAMENTO!A:K,5,0)</f>
        <v>M²</v>
      </c>
      <c r="D3713" s="173">
        <f>SUM(E3719:O3719)</f>
        <v>2961.07</v>
      </c>
      <c r="E3713" s="173" t="s">
        <v>1718</v>
      </c>
      <c r="F3713" s="173" t="s">
        <v>1719</v>
      </c>
      <c r="G3713" s="173" t="s">
        <v>1720</v>
      </c>
      <c r="H3713" s="173" t="s">
        <v>1721</v>
      </c>
      <c r="I3713" s="173" t="s">
        <v>1722</v>
      </c>
      <c r="J3713" s="173" t="s">
        <v>1723</v>
      </c>
      <c r="K3713" s="173" t="s">
        <v>1724</v>
      </c>
      <c r="L3713" s="173" t="s">
        <v>1844</v>
      </c>
      <c r="M3713" s="207" t="s">
        <v>1750</v>
      </c>
      <c r="N3713" s="173" t="s">
        <v>1727</v>
      </c>
      <c r="O3713" s="173" t="s">
        <v>1728</v>
      </c>
      <c r="P3713" s="224"/>
      <c r="Q3713" s="224"/>
      <c r="R3713" s="224"/>
      <c r="S3713" s="224"/>
    </row>
    <row r="3714" spans="1:19" s="235" customFormat="1" x14ac:dyDescent="0.35">
      <c r="A3714" s="229"/>
      <c r="B3714" s="232"/>
      <c r="C3714" s="184"/>
      <c r="D3714" s="184"/>
      <c r="E3714" s="184"/>
      <c r="F3714" s="184"/>
      <c r="G3714" s="184"/>
      <c r="H3714" s="184"/>
      <c r="I3714" s="184"/>
      <c r="J3714" s="184"/>
      <c r="K3714" s="184"/>
      <c r="L3714" s="184"/>
      <c r="M3714" s="184"/>
      <c r="N3714" s="184"/>
      <c r="O3714" s="184"/>
      <c r="P3714" s="224"/>
      <c r="Q3714" s="224"/>
      <c r="R3714" s="224"/>
      <c r="S3714" s="224"/>
    </row>
    <row r="3715" spans="1:19" s="235" customFormat="1" x14ac:dyDescent="0.35">
      <c r="A3715" s="229"/>
      <c r="B3715" s="230" t="s">
        <v>1888</v>
      </c>
      <c r="C3715" s="184"/>
      <c r="D3715" s="184"/>
      <c r="E3715" s="185">
        <v>5.55</v>
      </c>
      <c r="F3715" s="185">
        <v>7.4</v>
      </c>
      <c r="G3715" s="185"/>
      <c r="H3715" s="185">
        <v>0.95</v>
      </c>
      <c r="I3715" s="185"/>
      <c r="J3715" s="185"/>
      <c r="K3715" s="185"/>
      <c r="L3715" s="185"/>
      <c r="M3715" s="184"/>
      <c r="N3715" s="185">
        <f>E3715*F3715</f>
        <v>41.07</v>
      </c>
      <c r="O3715" s="184"/>
      <c r="P3715" s="224"/>
      <c r="Q3715" s="224"/>
      <c r="R3715" s="224"/>
      <c r="S3715" s="224"/>
    </row>
    <row r="3716" spans="1:19" s="235" customFormat="1" x14ac:dyDescent="0.35">
      <c r="A3716" s="229"/>
      <c r="B3716" s="230" t="s">
        <v>1893</v>
      </c>
      <c r="C3716" s="184"/>
      <c r="D3716" s="184"/>
      <c r="E3716" s="185">
        <v>63</v>
      </c>
      <c r="F3716" s="185">
        <v>44</v>
      </c>
      <c r="G3716" s="185"/>
      <c r="H3716" s="185">
        <v>0.95</v>
      </c>
      <c r="I3716" s="185"/>
      <c r="J3716" s="185"/>
      <c r="K3716" s="185"/>
      <c r="L3716" s="185"/>
      <c r="M3716" s="184"/>
      <c r="N3716" s="185">
        <f>E3716*F3716</f>
        <v>2772</v>
      </c>
      <c r="O3716" s="184"/>
      <c r="P3716" s="224"/>
      <c r="Q3716" s="224"/>
      <c r="R3716" s="224"/>
      <c r="S3716" s="224"/>
    </row>
    <row r="3717" spans="1:19" s="235" customFormat="1" x14ac:dyDescent="0.35">
      <c r="A3717" s="229"/>
      <c r="B3717" s="230" t="s">
        <v>1889</v>
      </c>
      <c r="C3717" s="184"/>
      <c r="D3717" s="184"/>
      <c r="E3717" s="185">
        <v>37</v>
      </c>
      <c r="F3717" s="185">
        <v>4</v>
      </c>
      <c r="G3717" s="185"/>
      <c r="H3717" s="185"/>
      <c r="I3717" s="185"/>
      <c r="J3717" s="185"/>
      <c r="K3717" s="185"/>
      <c r="L3717" s="185"/>
      <c r="M3717" s="184"/>
      <c r="N3717" s="185">
        <f>E3717*F3717</f>
        <v>148</v>
      </c>
      <c r="O3717" s="184"/>
      <c r="P3717" s="224"/>
      <c r="Q3717" s="224"/>
      <c r="R3717" s="224"/>
      <c r="S3717" s="224"/>
    </row>
    <row r="3718" spans="1:19" s="235" customFormat="1" x14ac:dyDescent="0.35">
      <c r="A3718" s="229"/>
      <c r="B3718" s="230"/>
      <c r="C3718" s="184"/>
      <c r="D3718" s="184"/>
      <c r="E3718" s="185"/>
      <c r="F3718" s="185"/>
      <c r="G3718" s="185"/>
      <c r="H3718" s="185"/>
      <c r="I3718" s="185"/>
      <c r="J3718" s="185"/>
      <c r="K3718" s="185"/>
      <c r="L3718" s="185"/>
      <c r="M3718" s="184"/>
      <c r="N3718" s="185"/>
      <c r="O3718" s="185"/>
      <c r="P3718" s="224"/>
      <c r="Q3718" s="224"/>
      <c r="R3718" s="224"/>
      <c r="S3718" s="224"/>
    </row>
    <row r="3719" spans="1:19" s="235" customFormat="1" x14ac:dyDescent="0.35">
      <c r="A3719" s="238"/>
      <c r="B3719" s="232" t="s">
        <v>5</v>
      </c>
      <c r="C3719" s="182" t="s">
        <v>1328</v>
      </c>
      <c r="D3719" s="185"/>
      <c r="E3719" s="182"/>
      <c r="F3719" s="182"/>
      <c r="G3719" s="182"/>
      <c r="H3719" s="182"/>
      <c r="I3719" s="182"/>
      <c r="J3719" s="182"/>
      <c r="K3719" s="182"/>
      <c r="L3719" s="182"/>
      <c r="M3719" s="182"/>
      <c r="N3719" s="182">
        <f>ROUND(SUM(N3715:N3718),2)</f>
        <v>2961.07</v>
      </c>
      <c r="O3719" s="182"/>
      <c r="P3719" s="224"/>
      <c r="Q3719" s="224"/>
      <c r="R3719" s="224"/>
      <c r="S3719" s="224"/>
    </row>
    <row r="3720" spans="1:19" s="235" customFormat="1" ht="21" x14ac:dyDescent="0.35">
      <c r="A3720" s="226" t="str">
        <f>ORÇAMENTO!A705</f>
        <v>6.2.2</v>
      </c>
      <c r="B3720" s="227" t="str">
        <f>VLOOKUP(A3720,ORÇAMENTO!A:K,4,0)</f>
        <v>DESASSOREAMENTO, LIMPEZA E REMOÇÃO DE MATERIAL DE GALERIA MOLDADA</v>
      </c>
      <c r="C3720" s="173" t="str">
        <f>VLOOKUP(A3720,ORÇAMENTO!A:K,5,0)</f>
        <v>M³</v>
      </c>
      <c r="D3720" s="173">
        <f>SUM(E3725:O3725)</f>
        <v>2672.42</v>
      </c>
      <c r="E3720" s="173" t="s">
        <v>1718</v>
      </c>
      <c r="F3720" s="173" t="s">
        <v>1719</v>
      </c>
      <c r="G3720" s="173" t="s">
        <v>1720</v>
      </c>
      <c r="H3720" s="173" t="s">
        <v>1721</v>
      </c>
      <c r="I3720" s="173" t="s">
        <v>1722</v>
      </c>
      <c r="J3720" s="173" t="s">
        <v>1723</v>
      </c>
      <c r="K3720" s="173" t="s">
        <v>1724</v>
      </c>
      <c r="L3720" s="173" t="s">
        <v>1726</v>
      </c>
      <c r="M3720" s="207" t="s">
        <v>1750</v>
      </c>
      <c r="N3720" s="173" t="s">
        <v>1727</v>
      </c>
      <c r="O3720" s="173" t="s">
        <v>1728</v>
      </c>
      <c r="P3720" s="224"/>
      <c r="Q3720" s="224"/>
      <c r="R3720" s="224"/>
      <c r="S3720" s="224"/>
    </row>
    <row r="3721" spans="1:19" s="235" customFormat="1" x14ac:dyDescent="0.35">
      <c r="A3721" s="229"/>
      <c r="B3721" s="232"/>
      <c r="C3721" s="184"/>
      <c r="D3721" s="184"/>
      <c r="E3721" s="184"/>
      <c r="F3721" s="184"/>
      <c r="G3721" s="184"/>
      <c r="H3721" s="184"/>
      <c r="I3721" s="184"/>
      <c r="J3721" s="184"/>
      <c r="K3721" s="184"/>
      <c r="L3721" s="184"/>
      <c r="M3721" s="184"/>
      <c r="N3721" s="184"/>
      <c r="O3721" s="184"/>
      <c r="P3721" s="224"/>
      <c r="Q3721" s="224"/>
      <c r="R3721" s="224"/>
      <c r="S3721" s="224"/>
    </row>
    <row r="3722" spans="1:19" s="235" customFormat="1" x14ac:dyDescent="0.35">
      <c r="A3722" s="229"/>
      <c r="B3722" s="230" t="str">
        <f>B3715</f>
        <v>DISSIPADOR DE ENERGIA EXISTENTE</v>
      </c>
      <c r="C3722" s="177"/>
      <c r="D3722" s="177"/>
      <c r="E3722" s="178">
        <f>E3715</f>
        <v>5.55</v>
      </c>
      <c r="F3722" s="178">
        <f>F3715</f>
        <v>7.4</v>
      </c>
      <c r="G3722" s="178"/>
      <c r="H3722" s="178">
        <f>H3715</f>
        <v>0.95</v>
      </c>
      <c r="I3722" s="178"/>
      <c r="J3722" s="178"/>
      <c r="K3722" s="178"/>
      <c r="L3722" s="178"/>
      <c r="M3722" s="178"/>
      <c r="N3722" s="185">
        <f>E3722*F3722</f>
        <v>41.07</v>
      </c>
      <c r="O3722" s="178">
        <f>H3722*N3722</f>
        <v>39.016500000000001</v>
      </c>
      <c r="P3722" s="224"/>
      <c r="Q3722" s="224"/>
      <c r="R3722" s="224"/>
      <c r="S3722" s="224"/>
    </row>
    <row r="3723" spans="1:19" s="235" customFormat="1" x14ac:dyDescent="0.35">
      <c r="A3723" s="229"/>
      <c r="B3723" s="230" t="str">
        <f>B3716</f>
        <v>BACIA DE DETENÇÃO</v>
      </c>
      <c r="C3723" s="177"/>
      <c r="D3723" s="177"/>
      <c r="E3723" s="178">
        <f>E3716</f>
        <v>63</v>
      </c>
      <c r="F3723" s="178">
        <f>F3716</f>
        <v>44</v>
      </c>
      <c r="G3723" s="178"/>
      <c r="H3723" s="178">
        <f>H3716</f>
        <v>0.95</v>
      </c>
      <c r="I3723" s="178"/>
      <c r="J3723" s="178"/>
      <c r="K3723" s="178"/>
      <c r="L3723" s="178"/>
      <c r="M3723" s="178"/>
      <c r="N3723" s="185">
        <f>E3723*F3723</f>
        <v>2772</v>
      </c>
      <c r="O3723" s="178">
        <f>H3723*N3723</f>
        <v>2633.4</v>
      </c>
      <c r="P3723" s="224"/>
      <c r="Q3723" s="224"/>
      <c r="R3723" s="224"/>
      <c r="S3723" s="224"/>
    </row>
    <row r="3724" spans="1:19" s="235" customFormat="1" x14ac:dyDescent="0.35">
      <c r="A3724" s="229"/>
      <c r="B3724" s="230"/>
      <c r="C3724" s="184"/>
      <c r="D3724" s="184"/>
      <c r="E3724" s="184"/>
      <c r="F3724" s="184"/>
      <c r="G3724" s="184"/>
      <c r="H3724" s="184"/>
      <c r="I3724" s="184"/>
      <c r="J3724" s="184"/>
      <c r="K3724" s="184"/>
      <c r="L3724" s="184"/>
      <c r="M3724" s="184"/>
      <c r="N3724" s="184"/>
      <c r="O3724" s="184"/>
      <c r="P3724" s="224"/>
      <c r="Q3724" s="224"/>
      <c r="R3724" s="224"/>
      <c r="S3724" s="224"/>
    </row>
    <row r="3725" spans="1:19" s="235" customFormat="1" x14ac:dyDescent="0.35">
      <c r="A3725" s="238"/>
      <c r="B3725" s="232" t="s">
        <v>5</v>
      </c>
      <c r="C3725" s="208" t="s">
        <v>1328</v>
      </c>
      <c r="D3725" s="208"/>
      <c r="E3725" s="208"/>
      <c r="F3725" s="208"/>
      <c r="G3725" s="208"/>
      <c r="H3725" s="208"/>
      <c r="I3725" s="208"/>
      <c r="J3725" s="208"/>
      <c r="K3725" s="208"/>
      <c r="L3725" s="184"/>
      <c r="M3725" s="208"/>
      <c r="N3725" s="208"/>
      <c r="O3725" s="182">
        <f>ROUND(SUM(O3722:O3724),2)</f>
        <v>2672.42</v>
      </c>
      <c r="P3725" s="224"/>
      <c r="Q3725" s="224"/>
      <c r="R3725" s="224"/>
      <c r="S3725" s="224"/>
    </row>
    <row r="3726" spans="1:19" s="225" customFormat="1" ht="10.5" x14ac:dyDescent="0.25">
      <c r="A3726" s="222" t="str">
        <f>ORÇAMENTO!A706</f>
        <v>6.3</v>
      </c>
      <c r="B3726" s="332" t="str">
        <f>VLOOKUP(A3726,ORÇAMENTO!A:K,4,0)</f>
        <v>MANUTENÇÃO DE DISPOSITIVOS EXISTENTES</v>
      </c>
      <c r="C3726" s="167"/>
      <c r="D3726" s="167"/>
      <c r="E3726" s="168"/>
      <c r="F3726" s="168"/>
      <c r="G3726" s="168"/>
      <c r="H3726" s="168"/>
      <c r="I3726" s="168"/>
      <c r="J3726" s="168"/>
      <c r="K3726" s="168"/>
      <c r="L3726" s="168"/>
      <c r="M3726" s="168"/>
      <c r="N3726" s="168"/>
      <c r="O3726" s="168"/>
      <c r="P3726" s="224"/>
      <c r="Q3726" s="224"/>
    </row>
    <row r="3727" spans="1:19" s="235" customFormat="1" ht="21" x14ac:dyDescent="0.35">
      <c r="A3727" s="226" t="str">
        <f>ORÇAMENTO!A707</f>
        <v>6.3.1</v>
      </c>
      <c r="B3727" s="227" t="str">
        <f>VLOOKUP(A3727,ORÇAMENTO!A:K,4,0)</f>
        <v>DESOBSTRUÇÃO E LIMPEZA DE BOCA-DE-LOBO</v>
      </c>
      <c r="C3727" s="173" t="str">
        <f>VLOOKUP(A3727,ORÇAMENTO!A:K,5,0)</f>
        <v>UN</v>
      </c>
      <c r="D3727" s="173">
        <f>SUM(E3730:O3730)</f>
        <v>81</v>
      </c>
      <c r="E3727" s="173" t="s">
        <v>1752</v>
      </c>
      <c r="F3727" s="173" t="s">
        <v>1719</v>
      </c>
      <c r="G3727" s="173" t="s">
        <v>1720</v>
      </c>
      <c r="H3727" s="173" t="s">
        <v>1721</v>
      </c>
      <c r="I3727" s="173" t="s">
        <v>1722</v>
      </c>
      <c r="J3727" s="173" t="s">
        <v>1723</v>
      </c>
      <c r="K3727" s="173" t="s">
        <v>1746</v>
      </c>
      <c r="L3727" s="173" t="s">
        <v>1753</v>
      </c>
      <c r="M3727" s="173" t="s">
        <v>1726</v>
      </c>
      <c r="N3727" s="173" t="s">
        <v>1727</v>
      </c>
      <c r="O3727" s="173" t="s">
        <v>1728</v>
      </c>
      <c r="P3727" s="224"/>
      <c r="Q3727" s="224"/>
      <c r="R3727" s="224"/>
      <c r="S3727" s="224"/>
    </row>
    <row r="3728" spans="1:19" s="235" customFormat="1" x14ac:dyDescent="0.35">
      <c r="A3728" s="229"/>
      <c r="B3728" s="230" t="s">
        <v>1866</v>
      </c>
      <c r="C3728" s="184"/>
      <c r="D3728" s="185"/>
      <c r="E3728" s="185"/>
      <c r="F3728" s="185"/>
      <c r="G3728" s="185"/>
      <c r="H3728" s="185"/>
      <c r="I3728" s="185"/>
      <c r="J3728" s="185"/>
      <c r="K3728" s="185"/>
      <c r="L3728" s="185"/>
      <c r="M3728" s="185">
        <f>'Planilha Hidráulica'!AC130</f>
        <v>81</v>
      </c>
      <c r="N3728" s="185"/>
      <c r="O3728" s="185"/>
      <c r="P3728" s="224"/>
      <c r="Q3728" s="224"/>
      <c r="R3728" s="224"/>
      <c r="S3728" s="224"/>
    </row>
    <row r="3729" spans="1:19" s="235" customFormat="1" x14ac:dyDescent="0.35">
      <c r="A3729" s="229"/>
      <c r="B3729" s="230"/>
      <c r="C3729" s="184"/>
      <c r="D3729" s="185"/>
      <c r="E3729" s="185"/>
      <c r="F3729" s="185"/>
      <c r="G3729" s="185"/>
      <c r="H3729" s="185"/>
      <c r="I3729" s="185"/>
      <c r="J3729" s="185"/>
      <c r="K3729" s="185"/>
      <c r="L3729" s="185"/>
      <c r="M3729" s="185"/>
      <c r="N3729" s="185"/>
      <c r="O3729" s="185"/>
      <c r="P3729" s="224"/>
      <c r="Q3729" s="224"/>
      <c r="R3729" s="224"/>
      <c r="S3729" s="224"/>
    </row>
    <row r="3730" spans="1:19" s="225" customFormat="1" ht="10.5" x14ac:dyDescent="0.3">
      <c r="A3730" s="229"/>
      <c r="B3730" s="232" t="s">
        <v>5</v>
      </c>
      <c r="C3730" s="216" t="s">
        <v>1328</v>
      </c>
      <c r="D3730" s="216"/>
      <c r="E3730" s="216"/>
      <c r="F3730" s="216"/>
      <c r="G3730" s="216"/>
      <c r="H3730" s="216"/>
      <c r="I3730" s="216"/>
      <c r="J3730" s="216"/>
      <c r="K3730" s="216"/>
      <c r="L3730" s="216"/>
      <c r="M3730" s="208">
        <f>SUM(M3728:M3729)</f>
        <v>81</v>
      </c>
      <c r="N3730" s="216"/>
      <c r="O3730" s="208"/>
      <c r="P3730" s="243"/>
    </row>
    <row r="3731" spans="1:19" s="235" customFormat="1" ht="21" x14ac:dyDescent="0.35">
      <c r="A3731" s="226" t="str">
        <f>ORÇAMENTO!A708</f>
        <v>6.3.2</v>
      </c>
      <c r="B3731" s="227" t="str">
        <f>VLOOKUP(A3731,ORÇAMENTO!A:K,4,0)</f>
        <v>BOMBEAMENTO DE POCO DE VISITA</v>
      </c>
      <c r="C3731" s="173"/>
      <c r="D3731" s="173">
        <f>SUM(E3732:O3732)</f>
        <v>68</v>
      </c>
      <c r="E3731" s="173" t="s">
        <v>1752</v>
      </c>
      <c r="F3731" s="173" t="s">
        <v>1719</v>
      </c>
      <c r="G3731" s="173" t="s">
        <v>1720</v>
      </c>
      <c r="H3731" s="173" t="s">
        <v>1721</v>
      </c>
      <c r="I3731" s="173" t="s">
        <v>1722</v>
      </c>
      <c r="J3731" s="173" t="s">
        <v>1723</v>
      </c>
      <c r="K3731" s="173" t="s">
        <v>1746</v>
      </c>
      <c r="L3731" s="173" t="s">
        <v>1753</v>
      </c>
      <c r="M3731" s="173" t="s">
        <v>1726</v>
      </c>
      <c r="N3731" s="173" t="s">
        <v>1727</v>
      </c>
      <c r="O3731" s="173" t="s">
        <v>1728</v>
      </c>
      <c r="P3731" s="224"/>
      <c r="Q3731" s="224"/>
      <c r="R3731" s="224"/>
      <c r="S3731" s="224"/>
    </row>
    <row r="3732" spans="1:19" s="225" customFormat="1" ht="10.5" x14ac:dyDescent="0.3">
      <c r="A3732" s="229"/>
      <c r="B3732" s="230" t="s">
        <v>1867</v>
      </c>
      <c r="C3732" s="185"/>
      <c r="D3732" s="185"/>
      <c r="E3732" s="185"/>
      <c r="F3732" s="185"/>
      <c r="G3732" s="185"/>
      <c r="H3732" s="185"/>
      <c r="I3732" s="185"/>
      <c r="J3732" s="185"/>
      <c r="K3732" s="185"/>
      <c r="L3732" s="197"/>
      <c r="M3732" s="246">
        <v>68</v>
      </c>
      <c r="N3732" s="185"/>
      <c r="O3732" s="185"/>
      <c r="P3732" s="244"/>
    </row>
    <row r="3733" spans="1:19" s="235" customFormat="1" x14ac:dyDescent="0.35">
      <c r="A3733" s="229"/>
      <c r="B3733" s="230"/>
      <c r="C3733" s="184"/>
      <c r="D3733" s="185"/>
      <c r="E3733" s="185"/>
      <c r="F3733" s="185"/>
      <c r="G3733" s="185"/>
      <c r="H3733" s="185"/>
      <c r="I3733" s="185"/>
      <c r="J3733" s="185"/>
      <c r="K3733" s="185"/>
      <c r="L3733" s="185"/>
      <c r="M3733" s="185"/>
      <c r="N3733" s="185"/>
      <c r="O3733" s="185"/>
      <c r="P3733" s="224"/>
      <c r="Q3733" s="224"/>
      <c r="R3733" s="224"/>
      <c r="S3733" s="224"/>
    </row>
    <row r="3734" spans="1:19" s="225" customFormat="1" ht="10.5" x14ac:dyDescent="0.3">
      <c r="A3734" s="229"/>
      <c r="B3734" s="232" t="s">
        <v>5</v>
      </c>
      <c r="C3734" s="216" t="s">
        <v>1328</v>
      </c>
      <c r="D3734" s="216"/>
      <c r="E3734" s="216"/>
      <c r="F3734" s="216"/>
      <c r="G3734" s="216"/>
      <c r="H3734" s="216"/>
      <c r="I3734" s="216"/>
      <c r="J3734" s="216"/>
      <c r="K3734" s="216"/>
      <c r="L3734" s="208"/>
      <c r="M3734" s="208">
        <f>SUM(M3732:M3732)</f>
        <v>68</v>
      </c>
      <c r="N3734" s="216"/>
      <c r="O3734" s="216"/>
      <c r="P3734" s="243"/>
    </row>
    <row r="3735" spans="1:19" s="235" customFormat="1" ht="21" x14ac:dyDescent="0.35">
      <c r="A3735" s="226" t="str">
        <f>ORÇAMENTO!A709</f>
        <v>6.3.3</v>
      </c>
      <c r="B3735" s="227" t="str">
        <f>VLOOKUP(A3735,ORÇAMENTO!A:K,4,0)</f>
        <v>LIMPEZA PV</v>
      </c>
      <c r="C3735" s="173"/>
      <c r="D3735" s="173">
        <f>SUM(E3736:O3736)</f>
        <v>68</v>
      </c>
      <c r="E3735" s="173" t="s">
        <v>1752</v>
      </c>
      <c r="F3735" s="173" t="s">
        <v>1719</v>
      </c>
      <c r="G3735" s="173" t="s">
        <v>1720</v>
      </c>
      <c r="H3735" s="173" t="s">
        <v>1721</v>
      </c>
      <c r="I3735" s="173" t="s">
        <v>1722</v>
      </c>
      <c r="J3735" s="173" t="s">
        <v>1723</v>
      </c>
      <c r="K3735" s="173" t="s">
        <v>1746</v>
      </c>
      <c r="L3735" s="173" t="s">
        <v>1753</v>
      </c>
      <c r="M3735" s="173" t="s">
        <v>1726</v>
      </c>
      <c r="N3735" s="173" t="s">
        <v>1727</v>
      </c>
      <c r="O3735" s="173" t="s">
        <v>1728</v>
      </c>
      <c r="P3735" s="224"/>
      <c r="Q3735" s="224"/>
      <c r="R3735" s="224"/>
      <c r="S3735" s="224"/>
    </row>
    <row r="3736" spans="1:19" s="225" customFormat="1" ht="10.5" x14ac:dyDescent="0.3">
      <c r="A3736" s="229"/>
      <c r="B3736" s="230" t="s">
        <v>1867</v>
      </c>
      <c r="C3736" s="185"/>
      <c r="D3736" s="185"/>
      <c r="E3736" s="185"/>
      <c r="F3736" s="185"/>
      <c r="G3736" s="185"/>
      <c r="H3736" s="185"/>
      <c r="I3736" s="185"/>
      <c r="J3736" s="185"/>
      <c r="K3736" s="185"/>
      <c r="L3736" s="197"/>
      <c r="M3736" s="197">
        <f>M3732</f>
        <v>68</v>
      </c>
      <c r="N3736" s="185"/>
      <c r="O3736" s="185"/>
      <c r="P3736" s="244"/>
    </row>
    <row r="3737" spans="1:19" s="225" customFormat="1" ht="10.5" x14ac:dyDescent="0.3">
      <c r="A3737" s="229"/>
      <c r="B3737" s="230"/>
      <c r="C3737" s="185"/>
      <c r="D3737" s="185"/>
      <c r="E3737" s="185"/>
      <c r="F3737" s="185"/>
      <c r="G3737" s="185"/>
      <c r="H3737" s="185"/>
      <c r="I3737" s="185"/>
      <c r="J3737" s="185"/>
      <c r="K3737" s="185"/>
      <c r="L3737" s="197"/>
      <c r="M3737" s="197"/>
      <c r="N3737" s="185"/>
      <c r="O3737" s="185"/>
      <c r="P3737" s="244"/>
    </row>
    <row r="3738" spans="1:19" s="225" customFormat="1" ht="10.5" x14ac:dyDescent="0.3">
      <c r="A3738" s="229"/>
      <c r="B3738" s="232" t="s">
        <v>5</v>
      </c>
      <c r="C3738" s="216" t="s">
        <v>1328</v>
      </c>
      <c r="D3738" s="216"/>
      <c r="E3738" s="216"/>
      <c r="F3738" s="216"/>
      <c r="G3738" s="216"/>
      <c r="H3738" s="216"/>
      <c r="I3738" s="216"/>
      <c r="J3738" s="216"/>
      <c r="K3738" s="216"/>
      <c r="L3738" s="208"/>
      <c r="M3738" s="208">
        <f>SUM(M3736:M3736)</f>
        <v>68</v>
      </c>
      <c r="N3738" s="216"/>
      <c r="O3738" s="216"/>
      <c r="P3738" s="243"/>
    </row>
    <row r="3739" spans="1:19" s="225" customFormat="1" ht="10.5" x14ac:dyDescent="0.25">
      <c r="A3739" s="222" t="str">
        <f>ORÇAMENTO!A710</f>
        <v>6.4</v>
      </c>
      <c r="B3739" s="223" t="str">
        <f>VLOOKUP(A3739,ORÇAMENTO!A:K,4,0)</f>
        <v>REVITALIZAÇÃO DE POÇO DE VISITA SOB ASFALTO</v>
      </c>
      <c r="C3739" s="167"/>
      <c r="D3739" s="167"/>
      <c r="E3739" s="168"/>
      <c r="F3739" s="168"/>
      <c r="G3739" s="168"/>
      <c r="H3739" s="168"/>
      <c r="I3739" s="168"/>
      <c r="J3739" s="168"/>
      <c r="K3739" s="168"/>
      <c r="L3739" s="168"/>
      <c r="M3739" s="168"/>
      <c r="N3739" s="168"/>
      <c r="O3739" s="168"/>
      <c r="P3739" s="224"/>
      <c r="Q3739" s="224"/>
    </row>
    <row r="3740" spans="1:19" s="235" customFormat="1" ht="21" x14ac:dyDescent="0.35">
      <c r="A3740" s="226" t="str">
        <f>ORÇAMENTO!A711</f>
        <v>6.4.1</v>
      </c>
      <c r="B3740" s="227" t="str">
        <f>VLOOKUP(A3740,ORÇAMENTO!A:K,4,0)</f>
        <v>TELA TAPUME, COR LARANJA, COM SUPORTE A CADA 2M (FORNECIMENTO E INSTALAÇÃO)</v>
      </c>
      <c r="C3740" s="173" t="str">
        <f>VLOOKUP(A3740,ORÇAMENTO!A:K,5,0)</f>
        <v>M</v>
      </c>
      <c r="D3740" s="173">
        <f>SUM(D3746:N3746)</f>
        <v>72</v>
      </c>
      <c r="E3740" s="173" t="s">
        <v>1718</v>
      </c>
      <c r="F3740" s="173" t="s">
        <v>1719</v>
      </c>
      <c r="G3740" s="173" t="s">
        <v>1720</v>
      </c>
      <c r="H3740" s="173" t="s">
        <v>1721</v>
      </c>
      <c r="I3740" s="173" t="s">
        <v>1722</v>
      </c>
      <c r="J3740" s="173" t="s">
        <v>1723</v>
      </c>
      <c r="K3740" s="173" t="s">
        <v>1746</v>
      </c>
      <c r="L3740" s="173" t="s">
        <v>1753</v>
      </c>
      <c r="M3740" s="173" t="s">
        <v>1726</v>
      </c>
      <c r="N3740" s="173" t="s">
        <v>1727</v>
      </c>
      <c r="O3740" s="173" t="s">
        <v>1728</v>
      </c>
      <c r="P3740" s="224"/>
      <c r="Q3740" s="224"/>
      <c r="R3740" s="224"/>
      <c r="S3740" s="224"/>
    </row>
    <row r="3741" spans="1:19" s="225" customFormat="1" ht="10.5" x14ac:dyDescent="0.25">
      <c r="A3741" s="229"/>
      <c r="B3741" s="230"/>
      <c r="C3741" s="177"/>
      <c r="D3741" s="178"/>
      <c r="E3741" s="178"/>
      <c r="F3741" s="178"/>
      <c r="G3741" s="178"/>
      <c r="H3741" s="178"/>
      <c r="I3741" s="178"/>
      <c r="J3741" s="178"/>
      <c r="K3741" s="178"/>
      <c r="L3741" s="180"/>
      <c r="M3741" s="178"/>
      <c r="N3741" s="178"/>
      <c r="O3741" s="178"/>
      <c r="P3741" s="231"/>
      <c r="Q3741" s="224"/>
    </row>
    <row r="3742" spans="1:19" s="225" customFormat="1" ht="21" x14ac:dyDescent="0.3">
      <c r="A3742" s="229"/>
      <c r="B3742" s="230" t="s">
        <v>1868</v>
      </c>
      <c r="C3742" s="185"/>
      <c r="D3742" s="185"/>
      <c r="E3742" s="185"/>
      <c r="F3742" s="185"/>
      <c r="G3742" s="185"/>
      <c r="H3742" s="185"/>
      <c r="I3742" s="185"/>
      <c r="J3742" s="185"/>
      <c r="K3742" s="185"/>
      <c r="L3742" s="197"/>
      <c r="M3742" s="246">
        <v>10</v>
      </c>
      <c r="N3742" s="185"/>
      <c r="O3742" s="185"/>
      <c r="P3742" s="244"/>
    </row>
    <row r="3743" spans="1:19" s="225" customFormat="1" ht="10.5" x14ac:dyDescent="0.25">
      <c r="A3743" s="229"/>
      <c r="B3743" s="230" t="s">
        <v>1890</v>
      </c>
      <c r="C3743" s="177"/>
      <c r="D3743" s="178"/>
      <c r="E3743" s="178">
        <f>0.6+0.6*2</f>
        <v>1.7999999999999998</v>
      </c>
      <c r="F3743" s="178">
        <f>0.6+0.6*2</f>
        <v>1.7999999999999998</v>
      </c>
      <c r="G3743" s="178"/>
      <c r="H3743" s="178"/>
      <c r="I3743" s="178">
        <f>2*E3743+2*F3743</f>
        <v>7.1999999999999993</v>
      </c>
      <c r="J3743" s="178"/>
      <c r="K3743" s="178"/>
      <c r="L3743" s="180"/>
      <c r="M3743" s="178"/>
      <c r="N3743" s="178"/>
      <c r="O3743" s="178"/>
      <c r="P3743" s="231"/>
      <c r="Q3743" s="224"/>
    </row>
    <row r="3744" spans="1:19" s="225" customFormat="1" ht="10.5" x14ac:dyDescent="0.25">
      <c r="A3744" s="229"/>
      <c r="B3744" s="230"/>
      <c r="C3744" s="177"/>
      <c r="D3744" s="178"/>
      <c r="E3744" s="178"/>
      <c r="F3744" s="178"/>
      <c r="G3744" s="178"/>
      <c r="H3744" s="178"/>
      <c r="I3744" s="178">
        <f>I3743*M3742</f>
        <v>72</v>
      </c>
      <c r="J3744" s="178"/>
      <c r="K3744" s="178"/>
      <c r="L3744" s="180"/>
      <c r="M3744" s="178"/>
      <c r="N3744" s="178"/>
      <c r="O3744" s="178"/>
      <c r="P3744" s="231"/>
      <c r="Q3744" s="224"/>
    </row>
    <row r="3745" spans="1:17" s="225" customFormat="1" ht="10.5" x14ac:dyDescent="0.25">
      <c r="A3745" s="229"/>
      <c r="B3745" s="230"/>
      <c r="C3745" s="177"/>
      <c r="D3745" s="178"/>
      <c r="E3745" s="178"/>
      <c r="F3745" s="178"/>
      <c r="G3745" s="178"/>
      <c r="H3745" s="178"/>
      <c r="I3745" s="178"/>
      <c r="J3745" s="178"/>
      <c r="K3745" s="178"/>
      <c r="L3745" s="180"/>
      <c r="M3745" s="178"/>
      <c r="N3745" s="178"/>
      <c r="O3745" s="178"/>
      <c r="P3745" s="231"/>
      <c r="Q3745" s="224"/>
    </row>
    <row r="3746" spans="1:17" s="225" customFormat="1" ht="10.5" x14ac:dyDescent="0.3">
      <c r="A3746" s="229"/>
      <c r="B3746" s="232" t="s">
        <v>5</v>
      </c>
      <c r="C3746" s="216" t="s">
        <v>1328</v>
      </c>
      <c r="D3746" s="216"/>
      <c r="E3746" s="216"/>
      <c r="F3746" s="216"/>
      <c r="G3746" s="216"/>
      <c r="H3746" s="216"/>
      <c r="I3746" s="182">
        <f>I3744</f>
        <v>72</v>
      </c>
      <c r="J3746" s="216"/>
      <c r="K3746" s="216"/>
      <c r="L3746" s="208"/>
      <c r="M3746" s="208"/>
      <c r="N3746" s="216"/>
      <c r="O3746" s="216"/>
      <c r="P3746" s="243"/>
    </row>
    <row r="3747" spans="1:17" s="228" customFormat="1" ht="31.5" x14ac:dyDescent="0.25">
      <c r="A3747" s="226" t="str">
        <f>ORÇAMENTO!A712</f>
        <v>6.4.2</v>
      </c>
      <c r="B3747" s="227" t="str">
        <f>VLOOKUP(A3747,ORÇAMENTO!A:K,4,0)</f>
        <v>DEMOLIÇÃO PARCIAL DE PAVIMENTO ASFÁLTICO, DE FORMA MECANIZADA, SEM REAPROVEITAMENTO. AF_09/2023</v>
      </c>
      <c r="C3747" s="173" t="str">
        <f>VLOOKUP(A3747,ORÇAMENTO!A:K,5,0)</f>
        <v>M²</v>
      </c>
      <c r="D3747" s="173">
        <f>SUM(E3751:O3751)</f>
        <v>32.4</v>
      </c>
      <c r="E3747" s="173" t="s">
        <v>1718</v>
      </c>
      <c r="F3747" s="173" t="s">
        <v>1719</v>
      </c>
      <c r="G3747" s="173" t="s">
        <v>1720</v>
      </c>
      <c r="H3747" s="173" t="s">
        <v>1721</v>
      </c>
      <c r="I3747" s="173" t="s">
        <v>1722</v>
      </c>
      <c r="J3747" s="173" t="s">
        <v>1723</v>
      </c>
      <c r="K3747" s="173" t="s">
        <v>1724</v>
      </c>
      <c r="L3747" s="173" t="s">
        <v>1725</v>
      </c>
      <c r="M3747" s="173" t="s">
        <v>1726</v>
      </c>
      <c r="N3747" s="173" t="s">
        <v>1727</v>
      </c>
      <c r="O3747" s="173" t="s">
        <v>1728</v>
      </c>
      <c r="P3747" s="224"/>
      <c r="Q3747" s="224"/>
    </row>
    <row r="3748" spans="1:17" s="225" customFormat="1" ht="21" x14ac:dyDescent="0.25">
      <c r="A3748" s="229"/>
      <c r="B3748" s="230" t="s">
        <v>1868</v>
      </c>
      <c r="C3748" s="184"/>
      <c r="D3748" s="185"/>
      <c r="E3748" s="185"/>
      <c r="F3748" s="185"/>
      <c r="G3748" s="185"/>
      <c r="H3748" s="185"/>
      <c r="I3748" s="185"/>
      <c r="J3748" s="185"/>
      <c r="K3748" s="185"/>
      <c r="L3748" s="185"/>
      <c r="M3748" s="185">
        <f>M3742</f>
        <v>10</v>
      </c>
      <c r="N3748" s="185"/>
      <c r="O3748" s="185"/>
      <c r="P3748" s="231"/>
      <c r="Q3748" s="224"/>
    </row>
    <row r="3749" spans="1:17" s="225" customFormat="1" ht="10.5" x14ac:dyDescent="0.25">
      <c r="A3749" s="229"/>
      <c r="B3749" s="230" t="s">
        <v>1748</v>
      </c>
      <c r="C3749" s="184"/>
      <c r="D3749" s="185"/>
      <c r="E3749" s="185">
        <f>E3743</f>
        <v>1.7999999999999998</v>
      </c>
      <c r="F3749" s="185">
        <f>F3743</f>
        <v>1.7999999999999998</v>
      </c>
      <c r="G3749" s="185"/>
      <c r="H3749" s="185">
        <v>0.03</v>
      </c>
      <c r="I3749" s="185"/>
      <c r="J3749" s="185"/>
      <c r="K3749" s="185"/>
      <c r="L3749" s="185"/>
      <c r="M3749" s="185"/>
      <c r="N3749" s="185">
        <f>M3748*E3749*F3749</f>
        <v>32.4</v>
      </c>
      <c r="O3749" s="185"/>
      <c r="P3749" s="231"/>
      <c r="Q3749" s="224"/>
    </row>
    <row r="3750" spans="1:17" s="225" customFormat="1" ht="10.5" x14ac:dyDescent="0.25">
      <c r="A3750" s="229"/>
      <c r="B3750" s="230"/>
      <c r="C3750" s="184"/>
      <c r="D3750" s="185"/>
      <c r="E3750" s="185"/>
      <c r="F3750" s="185"/>
      <c r="G3750" s="185"/>
      <c r="H3750" s="185"/>
      <c r="I3750" s="185"/>
      <c r="J3750" s="185"/>
      <c r="K3750" s="185"/>
      <c r="L3750" s="186"/>
      <c r="M3750" s="185"/>
      <c r="N3750" s="185"/>
      <c r="O3750" s="185"/>
      <c r="P3750" s="231"/>
      <c r="Q3750" s="224"/>
    </row>
    <row r="3751" spans="1:17" s="225" customFormat="1" ht="10.5" x14ac:dyDescent="0.25">
      <c r="A3751" s="229"/>
      <c r="B3751" s="232" t="s">
        <v>5</v>
      </c>
      <c r="C3751" s="182" t="s">
        <v>1328</v>
      </c>
      <c r="D3751" s="182"/>
      <c r="E3751" s="182"/>
      <c r="F3751" s="182"/>
      <c r="G3751" s="182"/>
      <c r="H3751" s="182"/>
      <c r="I3751" s="182"/>
      <c r="J3751" s="182"/>
      <c r="K3751" s="182"/>
      <c r="L3751" s="182"/>
      <c r="M3751" s="182"/>
      <c r="N3751" s="182">
        <f>SUM(N3749:N3750)</f>
        <v>32.4</v>
      </c>
      <c r="O3751" s="182"/>
      <c r="P3751" s="233"/>
      <c r="Q3751" s="224"/>
    </row>
    <row r="3752" spans="1:17" s="228" customFormat="1" ht="63" x14ac:dyDescent="0.25">
      <c r="A3752" s="226" t="str">
        <f>ORÇAMENTO!A713</f>
        <v>6.4.3</v>
      </c>
      <c r="B3752" s="227" t="str">
        <f>VLOOKUP(A3752,ORÇAMENTO!A:K,4,0)</f>
        <v>ESCAVAÇÃO MECANIZADA DE VALA COM PROF. ATÉ 1,5 M (MÉDIA MONTANTE E JUSANTE/UMA COMPOSIÇÃO POR TRECHO), ESCAVADEIRA (0,8 M3), LARG. DE 1,5 M A 2,5 M, EM SOLO DE 1A CATEGORIA, EM LOCAIS COM ALTO NÍVEL DE INTERFERÊNCIA. AF_09/2024</v>
      </c>
      <c r="C3752" s="173" t="str">
        <f>VLOOKUP(A3752,ORÇAMENTO!A:K,5,0)</f>
        <v>M³</v>
      </c>
      <c r="D3752" s="173">
        <f>SUM(E3765:O3765)</f>
        <v>5.0220000000000002</v>
      </c>
      <c r="E3752" s="173" t="s">
        <v>1718</v>
      </c>
      <c r="F3752" s="173" t="s">
        <v>1719</v>
      </c>
      <c r="G3752" s="173" t="s">
        <v>1720</v>
      </c>
      <c r="H3752" s="173" t="s">
        <v>1870</v>
      </c>
      <c r="I3752" s="173" t="s">
        <v>1721</v>
      </c>
      <c r="J3752" s="173" t="s">
        <v>1723</v>
      </c>
      <c r="K3752" s="173" t="s">
        <v>1724</v>
      </c>
      <c r="L3752" s="173" t="s">
        <v>1725</v>
      </c>
      <c r="M3752" s="173" t="s">
        <v>1726</v>
      </c>
      <c r="N3752" s="173" t="s">
        <v>1727</v>
      </c>
      <c r="O3752" s="173" t="s">
        <v>1728</v>
      </c>
      <c r="P3752" s="224"/>
      <c r="Q3752" s="224"/>
    </row>
    <row r="3753" spans="1:17" s="225" customFormat="1" ht="21" x14ac:dyDescent="0.25">
      <c r="A3753" s="229"/>
      <c r="B3753" s="230" t="s">
        <v>1868</v>
      </c>
      <c r="C3753" s="177"/>
      <c r="D3753" s="178"/>
      <c r="E3753" s="178"/>
      <c r="F3753" s="178"/>
      <c r="G3753" s="178"/>
      <c r="H3753" s="178"/>
      <c r="I3753" s="178"/>
      <c r="J3753" s="178"/>
      <c r="K3753" s="178"/>
      <c r="L3753" s="178"/>
      <c r="M3753" s="178"/>
      <c r="N3753" s="178"/>
      <c r="O3753" s="178"/>
      <c r="P3753" s="231"/>
      <c r="Q3753" s="224"/>
    </row>
    <row r="3754" spans="1:17" s="225" customFormat="1" ht="10.5" x14ac:dyDescent="0.25">
      <c r="A3754" s="229"/>
      <c r="B3754" s="230" t="s">
        <v>1645</v>
      </c>
      <c r="C3754" s="177"/>
      <c r="D3754" s="178"/>
      <c r="E3754" s="178">
        <v>1.8</v>
      </c>
      <c r="F3754" s="178">
        <v>1.8</v>
      </c>
      <c r="G3754" s="185">
        <f t="shared" ref="G3754:G3763" si="108">H3754-0.03</f>
        <v>0.13999999999999993</v>
      </c>
      <c r="H3754" s="178">
        <v>0.16999999999999993</v>
      </c>
      <c r="I3754" s="178"/>
      <c r="J3754" s="178"/>
      <c r="K3754" s="178"/>
      <c r="L3754" s="178"/>
      <c r="M3754" s="178"/>
      <c r="N3754" s="178"/>
      <c r="O3754" s="178">
        <f t="shared" ref="O3754:O3763" si="109">E3754*F3754*G3754</f>
        <v>0.45359999999999978</v>
      </c>
      <c r="P3754" s="231"/>
      <c r="Q3754" s="224"/>
    </row>
    <row r="3755" spans="1:17" s="225" customFormat="1" ht="10.5" x14ac:dyDescent="0.25">
      <c r="A3755" s="229"/>
      <c r="B3755" s="230" t="s">
        <v>1894</v>
      </c>
      <c r="C3755" s="177"/>
      <c r="D3755" s="178"/>
      <c r="E3755" s="178">
        <v>1.8</v>
      </c>
      <c r="F3755" s="178">
        <v>1.8</v>
      </c>
      <c r="G3755" s="185">
        <f t="shared" si="108"/>
        <v>0.11999999999999991</v>
      </c>
      <c r="H3755" s="178">
        <v>0.14999999999999991</v>
      </c>
      <c r="I3755" s="178"/>
      <c r="J3755" s="178"/>
      <c r="K3755" s="178"/>
      <c r="L3755" s="178"/>
      <c r="M3755" s="178"/>
      <c r="N3755" s="178"/>
      <c r="O3755" s="178">
        <f t="shared" si="109"/>
        <v>0.38879999999999976</v>
      </c>
      <c r="P3755" s="231"/>
      <c r="Q3755" s="224"/>
    </row>
    <row r="3756" spans="1:17" s="225" customFormat="1" ht="10.5" x14ac:dyDescent="0.25">
      <c r="A3756" s="229"/>
      <c r="B3756" s="230" t="s">
        <v>1895</v>
      </c>
      <c r="C3756" s="177"/>
      <c r="D3756" s="178"/>
      <c r="E3756" s="178">
        <v>1.8</v>
      </c>
      <c r="F3756" s="178">
        <v>1.8</v>
      </c>
      <c r="G3756" s="185">
        <f t="shared" si="108"/>
        <v>0.11999999999999991</v>
      </c>
      <c r="H3756" s="178">
        <v>0.14999999999999991</v>
      </c>
      <c r="I3756" s="178"/>
      <c r="J3756" s="178"/>
      <c r="K3756" s="178"/>
      <c r="L3756" s="178"/>
      <c r="M3756" s="178"/>
      <c r="N3756" s="178"/>
      <c r="O3756" s="178">
        <f t="shared" si="109"/>
        <v>0.38879999999999976</v>
      </c>
      <c r="P3756" s="231"/>
      <c r="Q3756" s="224"/>
    </row>
    <row r="3757" spans="1:17" s="225" customFormat="1" ht="10.5" x14ac:dyDescent="0.25">
      <c r="A3757" s="229"/>
      <c r="B3757" s="230" t="s">
        <v>1650</v>
      </c>
      <c r="C3757" s="177"/>
      <c r="D3757" s="178"/>
      <c r="E3757" s="178">
        <v>1.8</v>
      </c>
      <c r="F3757" s="178">
        <v>1.8</v>
      </c>
      <c r="G3757" s="185">
        <f t="shared" si="108"/>
        <v>0</v>
      </c>
      <c r="H3757" s="178">
        <v>0.03</v>
      </c>
      <c r="I3757" s="178"/>
      <c r="J3757" s="178"/>
      <c r="K3757" s="178"/>
      <c r="L3757" s="178"/>
      <c r="M3757" s="178"/>
      <c r="N3757" s="178"/>
      <c r="O3757" s="178">
        <f t="shared" si="109"/>
        <v>0</v>
      </c>
      <c r="P3757" s="231"/>
      <c r="Q3757" s="224"/>
    </row>
    <row r="3758" spans="1:17" s="225" customFormat="1" ht="10.5" x14ac:dyDescent="0.25">
      <c r="A3758" s="229"/>
      <c r="B3758" s="230" t="s">
        <v>1652</v>
      </c>
      <c r="C3758" s="177"/>
      <c r="D3758" s="178"/>
      <c r="E3758" s="178">
        <v>1.8</v>
      </c>
      <c r="F3758" s="178">
        <v>1.8</v>
      </c>
      <c r="G3758" s="185">
        <f t="shared" si="108"/>
        <v>0.22</v>
      </c>
      <c r="H3758" s="178">
        <v>0.25</v>
      </c>
      <c r="I3758" s="178"/>
      <c r="J3758" s="178"/>
      <c r="K3758" s="178"/>
      <c r="L3758" s="178"/>
      <c r="M3758" s="178"/>
      <c r="N3758" s="178"/>
      <c r="O3758" s="178">
        <f t="shared" si="109"/>
        <v>0.7128000000000001</v>
      </c>
      <c r="P3758" s="231"/>
      <c r="Q3758" s="224"/>
    </row>
    <row r="3759" spans="1:17" s="225" customFormat="1" ht="10.5" x14ac:dyDescent="0.25">
      <c r="A3759" s="229"/>
      <c r="B3759" s="230" t="s">
        <v>1896</v>
      </c>
      <c r="C3759" s="177"/>
      <c r="D3759" s="178"/>
      <c r="E3759" s="178">
        <v>1.8</v>
      </c>
      <c r="F3759" s="178">
        <v>1.8</v>
      </c>
      <c r="G3759" s="185">
        <f t="shared" si="108"/>
        <v>0.13999999999999993</v>
      </c>
      <c r="H3759" s="178">
        <v>0.16999999999999993</v>
      </c>
      <c r="I3759" s="178"/>
      <c r="J3759" s="178"/>
      <c r="K3759" s="178"/>
      <c r="L3759" s="178"/>
      <c r="M3759" s="178"/>
      <c r="N3759" s="178"/>
      <c r="O3759" s="178">
        <f t="shared" si="109"/>
        <v>0.45359999999999978</v>
      </c>
      <c r="P3759" s="231"/>
      <c r="Q3759" s="224"/>
    </row>
    <row r="3760" spans="1:17" s="225" customFormat="1" ht="10.5" x14ac:dyDescent="0.25">
      <c r="A3760" s="229"/>
      <c r="B3760" s="230" t="s">
        <v>1646</v>
      </c>
      <c r="C3760" s="177"/>
      <c r="D3760" s="178"/>
      <c r="E3760" s="178">
        <v>1.8</v>
      </c>
      <c r="F3760" s="178">
        <v>1.8</v>
      </c>
      <c r="G3760" s="185">
        <f t="shared" si="108"/>
        <v>0.16999999999999996</v>
      </c>
      <c r="H3760" s="178">
        <v>0.19999999999999996</v>
      </c>
      <c r="I3760" s="178"/>
      <c r="J3760" s="178"/>
      <c r="K3760" s="178"/>
      <c r="L3760" s="178"/>
      <c r="M3760" s="178"/>
      <c r="N3760" s="178"/>
      <c r="O3760" s="178">
        <f t="shared" si="109"/>
        <v>0.55079999999999985</v>
      </c>
      <c r="P3760" s="231"/>
      <c r="Q3760" s="224"/>
    </row>
    <row r="3761" spans="1:19" s="225" customFormat="1" ht="10.5" x14ac:dyDescent="0.25">
      <c r="A3761" s="229"/>
      <c r="B3761" s="230" t="s">
        <v>1648</v>
      </c>
      <c r="C3761" s="177"/>
      <c r="D3761" s="178"/>
      <c r="E3761" s="178">
        <v>1.8</v>
      </c>
      <c r="F3761" s="178">
        <v>1.8</v>
      </c>
      <c r="G3761" s="185">
        <f t="shared" si="108"/>
        <v>0.19999999999999998</v>
      </c>
      <c r="H3761" s="178">
        <v>0.22999999999999998</v>
      </c>
      <c r="I3761" s="178"/>
      <c r="J3761" s="178"/>
      <c r="K3761" s="178"/>
      <c r="L3761" s="178"/>
      <c r="M3761" s="178"/>
      <c r="N3761" s="178"/>
      <c r="O3761" s="178">
        <f t="shared" si="109"/>
        <v>0.64800000000000002</v>
      </c>
      <c r="P3761" s="231"/>
      <c r="Q3761" s="224"/>
    </row>
    <row r="3762" spans="1:19" s="225" customFormat="1" ht="10.5" x14ac:dyDescent="0.25">
      <c r="A3762" s="229"/>
      <c r="B3762" s="230" t="s">
        <v>1897</v>
      </c>
      <c r="C3762" s="177"/>
      <c r="D3762" s="178"/>
      <c r="E3762" s="178">
        <v>1.8</v>
      </c>
      <c r="F3762" s="178">
        <v>1.8</v>
      </c>
      <c r="G3762" s="185">
        <f t="shared" si="108"/>
        <v>0.1900000000000002</v>
      </c>
      <c r="H3762" s="178">
        <v>0.2200000000000002</v>
      </c>
      <c r="I3762" s="178"/>
      <c r="J3762" s="178"/>
      <c r="K3762" s="178"/>
      <c r="L3762" s="178"/>
      <c r="M3762" s="178"/>
      <c r="N3762" s="178"/>
      <c r="O3762" s="178">
        <f t="shared" si="109"/>
        <v>0.6156000000000007</v>
      </c>
      <c r="P3762" s="231"/>
      <c r="Q3762" s="224"/>
    </row>
    <row r="3763" spans="1:19" s="225" customFormat="1" ht="10.5" x14ac:dyDescent="0.25">
      <c r="A3763" s="229"/>
      <c r="B3763" s="230" t="s">
        <v>1643</v>
      </c>
      <c r="C3763" s="177"/>
      <c r="D3763" s="178"/>
      <c r="E3763" s="178">
        <v>1.8</v>
      </c>
      <c r="F3763" s="178">
        <v>1.8</v>
      </c>
      <c r="G3763" s="185">
        <f t="shared" si="108"/>
        <v>0.25000000000000022</v>
      </c>
      <c r="H3763" s="178">
        <v>0.28000000000000025</v>
      </c>
      <c r="I3763" s="178"/>
      <c r="J3763" s="178"/>
      <c r="K3763" s="178"/>
      <c r="L3763" s="178"/>
      <c r="M3763" s="178"/>
      <c r="N3763" s="178"/>
      <c r="O3763" s="178">
        <f t="shared" si="109"/>
        <v>0.81000000000000072</v>
      </c>
      <c r="P3763" s="231"/>
      <c r="Q3763" s="224"/>
    </row>
    <row r="3764" spans="1:19" s="225" customFormat="1" ht="10.5" x14ac:dyDescent="0.25">
      <c r="A3764" s="229"/>
      <c r="B3764" s="232"/>
      <c r="C3764" s="177"/>
      <c r="D3764" s="178"/>
      <c r="E3764" s="178"/>
      <c r="F3764" s="178"/>
      <c r="G3764" s="178"/>
      <c r="H3764" s="178"/>
      <c r="I3764" s="178"/>
      <c r="J3764" s="178"/>
      <c r="K3764" s="178"/>
      <c r="L3764" s="180"/>
      <c r="M3764" s="178"/>
      <c r="N3764" s="178"/>
      <c r="O3764" s="178"/>
      <c r="P3764" s="231"/>
      <c r="Q3764" s="224"/>
    </row>
    <row r="3765" spans="1:19" s="225" customFormat="1" ht="10.5" x14ac:dyDescent="0.25">
      <c r="A3765" s="229"/>
      <c r="B3765" s="232" t="s">
        <v>5</v>
      </c>
      <c r="C3765" s="182" t="s">
        <v>1328</v>
      </c>
      <c r="D3765" s="182"/>
      <c r="E3765" s="182"/>
      <c r="F3765" s="182"/>
      <c r="G3765" s="182"/>
      <c r="H3765" s="182"/>
      <c r="I3765" s="182"/>
      <c r="J3765" s="182"/>
      <c r="K3765" s="182"/>
      <c r="L3765" s="182"/>
      <c r="M3765" s="182"/>
      <c r="N3765" s="178"/>
      <c r="O3765" s="208">
        <f>SUM(O3754:O3764)</f>
        <v>5.0220000000000002</v>
      </c>
      <c r="P3765" s="233"/>
      <c r="Q3765" s="224"/>
    </row>
    <row r="3766" spans="1:19" s="228" customFormat="1" ht="63" x14ac:dyDescent="0.25">
      <c r="A3766" s="226"/>
      <c r="B3766" s="227" t="s">
        <v>306</v>
      </c>
      <c r="C3766" s="173" t="s">
        <v>268</v>
      </c>
      <c r="D3766" s="173">
        <f>SUM(E3773:O3773)</f>
        <v>0</v>
      </c>
      <c r="E3766" s="173" t="s">
        <v>1718</v>
      </c>
      <c r="F3766" s="173" t="s">
        <v>1719</v>
      </c>
      <c r="G3766" s="173" t="s">
        <v>1720</v>
      </c>
      <c r="H3766" s="173" t="s">
        <v>1870</v>
      </c>
      <c r="I3766" s="173" t="s">
        <v>1722</v>
      </c>
      <c r="J3766" s="173" t="s">
        <v>1723</v>
      </c>
      <c r="K3766" s="173" t="s">
        <v>1724</v>
      </c>
      <c r="L3766" s="173" t="s">
        <v>1725</v>
      </c>
      <c r="M3766" s="173" t="s">
        <v>1726</v>
      </c>
      <c r="N3766" s="173" t="s">
        <v>1727</v>
      </c>
      <c r="O3766" s="173" t="s">
        <v>1728</v>
      </c>
      <c r="P3766" s="224"/>
      <c r="Q3766" s="224"/>
    </row>
    <row r="3767" spans="1:19" s="225" customFormat="1" ht="21" x14ac:dyDescent="0.25">
      <c r="A3767" s="229"/>
      <c r="B3767" s="230" t="s">
        <v>1868</v>
      </c>
      <c r="C3767" s="177"/>
      <c r="D3767" s="178"/>
      <c r="E3767" s="178"/>
      <c r="F3767" s="178"/>
      <c r="G3767" s="178"/>
      <c r="H3767" s="178"/>
      <c r="I3767" s="178"/>
      <c r="J3767" s="178"/>
      <c r="K3767" s="178"/>
      <c r="L3767" s="178"/>
      <c r="M3767" s="178"/>
      <c r="N3767" s="178"/>
      <c r="O3767" s="178"/>
      <c r="P3767" s="231"/>
      <c r="Q3767" s="224"/>
    </row>
    <row r="3768" spans="1:19" s="225" customFormat="1" ht="10.5" x14ac:dyDescent="0.25">
      <c r="A3768" s="229"/>
      <c r="B3768" s="230"/>
      <c r="C3768" s="177"/>
      <c r="D3768" s="178"/>
      <c r="E3768" s="178"/>
      <c r="F3768" s="178"/>
      <c r="G3768" s="185"/>
      <c r="H3768" s="178"/>
      <c r="I3768" s="178"/>
      <c r="J3768" s="178"/>
      <c r="K3768" s="178"/>
      <c r="L3768" s="178"/>
      <c r="M3768" s="178"/>
      <c r="N3768" s="178"/>
      <c r="O3768" s="178"/>
      <c r="P3768" s="231"/>
      <c r="Q3768" s="224"/>
    </row>
    <row r="3769" spans="1:19" s="225" customFormat="1" ht="10.5" x14ac:dyDescent="0.25">
      <c r="A3769" s="229"/>
      <c r="B3769" s="230"/>
      <c r="C3769" s="177"/>
      <c r="D3769" s="178"/>
      <c r="E3769" s="178"/>
      <c r="F3769" s="178"/>
      <c r="G3769" s="185"/>
      <c r="H3769" s="178"/>
      <c r="I3769" s="178"/>
      <c r="J3769" s="178"/>
      <c r="K3769" s="178"/>
      <c r="L3769" s="178"/>
      <c r="M3769" s="178"/>
      <c r="N3769" s="178"/>
      <c r="O3769" s="178"/>
      <c r="P3769" s="231"/>
      <c r="Q3769" s="224"/>
    </row>
    <row r="3770" spans="1:19" s="225" customFormat="1" ht="10.5" x14ac:dyDescent="0.25">
      <c r="A3770" s="229"/>
      <c r="B3770" s="230"/>
      <c r="C3770" s="177"/>
      <c r="D3770" s="178"/>
      <c r="E3770" s="178"/>
      <c r="F3770" s="178"/>
      <c r="G3770" s="185"/>
      <c r="H3770" s="178"/>
      <c r="I3770" s="178"/>
      <c r="J3770" s="178"/>
      <c r="K3770" s="178"/>
      <c r="L3770" s="178"/>
      <c r="M3770" s="178"/>
      <c r="N3770" s="178"/>
      <c r="O3770" s="178"/>
      <c r="P3770" s="231"/>
      <c r="Q3770" s="224"/>
    </row>
    <row r="3771" spans="1:19" s="225" customFormat="1" ht="10.5" x14ac:dyDescent="0.25">
      <c r="A3771" s="229"/>
      <c r="B3771" s="230"/>
      <c r="C3771" s="177"/>
      <c r="D3771" s="178"/>
      <c r="E3771" s="178"/>
      <c r="F3771" s="178"/>
      <c r="G3771" s="185"/>
      <c r="H3771" s="178"/>
      <c r="I3771" s="178"/>
      <c r="J3771" s="178"/>
      <c r="K3771" s="178"/>
      <c r="L3771" s="178"/>
      <c r="M3771" s="178"/>
      <c r="N3771" s="178"/>
      <c r="O3771" s="178"/>
      <c r="P3771" s="231"/>
      <c r="Q3771" s="224"/>
    </row>
    <row r="3772" spans="1:19" s="225" customFormat="1" ht="10.5" x14ac:dyDescent="0.25">
      <c r="A3772" s="229"/>
      <c r="B3772" s="232"/>
      <c r="C3772" s="177"/>
      <c r="D3772" s="178"/>
      <c r="E3772" s="178"/>
      <c r="F3772" s="178"/>
      <c r="G3772" s="178"/>
      <c r="H3772" s="178"/>
      <c r="I3772" s="178"/>
      <c r="J3772" s="178"/>
      <c r="K3772" s="178"/>
      <c r="L3772" s="180"/>
      <c r="M3772" s="178"/>
      <c r="N3772" s="178"/>
      <c r="O3772" s="178"/>
      <c r="P3772" s="231"/>
      <c r="Q3772" s="224"/>
    </row>
    <row r="3773" spans="1:19" s="225" customFormat="1" ht="10.5" x14ac:dyDescent="0.25">
      <c r="A3773" s="229"/>
      <c r="B3773" s="232" t="s">
        <v>5</v>
      </c>
      <c r="C3773" s="182" t="s">
        <v>1328</v>
      </c>
      <c r="D3773" s="182"/>
      <c r="E3773" s="182"/>
      <c r="F3773" s="182"/>
      <c r="G3773" s="182"/>
      <c r="H3773" s="182"/>
      <c r="I3773" s="182"/>
      <c r="J3773" s="182"/>
      <c r="K3773" s="182"/>
      <c r="L3773" s="182"/>
      <c r="M3773" s="182"/>
      <c r="N3773" s="178"/>
      <c r="O3773" s="208">
        <f>SUM(O3768:O3772)</f>
        <v>0</v>
      </c>
      <c r="P3773" s="233"/>
      <c r="Q3773" s="224"/>
    </row>
    <row r="3774" spans="1:19" s="235" customFormat="1" ht="31.5" x14ac:dyDescent="0.35">
      <c r="A3774" s="226" t="str">
        <f>ORÇAMENTO!A714</f>
        <v>6.4.4</v>
      </c>
      <c r="B3774" s="227" t="str">
        <f>VLOOKUP(A3774,ORÇAMENTO!A:K,4,0)</f>
        <v>CHAMINÉ CIRCULAR PARA POÇO DE VISITA PARA DRENAGEM, EM CONCRETO PRÉ-MOLDADO, DIÂMETRO INTERNO = 0,6 M. AF_12/2020</v>
      </c>
      <c r="C3774" s="173" t="str">
        <f>VLOOKUP(A3774,ORÇAMENTO!A:K,5,0)</f>
        <v>M</v>
      </c>
      <c r="D3774" s="173">
        <f>SUM(E3787:O3787)</f>
        <v>1.55</v>
      </c>
      <c r="E3774" s="173" t="s">
        <v>1718</v>
      </c>
      <c r="F3774" s="173" t="s">
        <v>1719</v>
      </c>
      <c r="G3774" s="173" t="s">
        <v>1720</v>
      </c>
      <c r="H3774" s="173" t="s">
        <v>1721</v>
      </c>
      <c r="I3774" s="173" t="s">
        <v>1722</v>
      </c>
      <c r="J3774" s="173" t="s">
        <v>1723</v>
      </c>
      <c r="K3774" s="173" t="s">
        <v>1746</v>
      </c>
      <c r="L3774" s="173" t="s">
        <v>1753</v>
      </c>
      <c r="M3774" s="173" t="s">
        <v>1726</v>
      </c>
      <c r="N3774" s="173" t="s">
        <v>1727</v>
      </c>
      <c r="O3774" s="173" t="s">
        <v>1728</v>
      </c>
      <c r="P3774" s="224"/>
      <c r="Q3774" s="224"/>
      <c r="R3774" s="224"/>
      <c r="S3774" s="224"/>
    </row>
    <row r="3775" spans="1:19" s="225" customFormat="1" ht="21" x14ac:dyDescent="0.3">
      <c r="A3775" s="229"/>
      <c r="B3775" s="230" t="s">
        <v>1868</v>
      </c>
      <c r="C3775" s="178"/>
      <c r="D3775" s="178"/>
      <c r="E3775" s="178"/>
      <c r="F3775" s="178"/>
      <c r="G3775" s="178"/>
      <c r="H3775" s="178"/>
      <c r="I3775" s="178"/>
      <c r="J3775" s="178"/>
      <c r="K3775" s="178"/>
      <c r="L3775" s="190"/>
      <c r="M3775" s="219">
        <f>M3748</f>
        <v>10</v>
      </c>
      <c r="N3775" s="178"/>
      <c r="O3775" s="178"/>
      <c r="P3775" s="244"/>
    </row>
    <row r="3776" spans="1:19" s="225" customFormat="1" ht="10.5" x14ac:dyDescent="0.3">
      <c r="A3776" s="229"/>
      <c r="B3776" s="230" t="str">
        <f t="shared" ref="B3776:B3785" si="110">B3754</f>
        <v>PV2-61</v>
      </c>
      <c r="C3776" s="220"/>
      <c r="D3776" s="220"/>
      <c r="E3776" s="220"/>
      <c r="F3776" s="220"/>
      <c r="G3776" s="216">
        <f t="shared" ref="G3776:G3785" si="111">G3754</f>
        <v>0.13999999999999993</v>
      </c>
      <c r="H3776" s="220"/>
      <c r="I3776" s="220"/>
      <c r="J3776" s="220"/>
      <c r="K3776" s="220"/>
      <c r="L3776" s="182"/>
      <c r="M3776" s="182"/>
      <c r="N3776" s="220"/>
      <c r="O3776" s="220"/>
      <c r="P3776" s="243"/>
    </row>
    <row r="3777" spans="1:19" s="225" customFormat="1" ht="10.5" x14ac:dyDescent="0.3">
      <c r="A3777" s="229"/>
      <c r="B3777" s="230" t="str">
        <f t="shared" si="110"/>
        <v>PV1-63</v>
      </c>
      <c r="C3777" s="220"/>
      <c r="D3777" s="220"/>
      <c r="E3777" s="220"/>
      <c r="F3777" s="220"/>
      <c r="G3777" s="216">
        <f t="shared" si="111"/>
        <v>0.11999999999999991</v>
      </c>
      <c r="H3777" s="220"/>
      <c r="I3777" s="220"/>
      <c r="J3777" s="220"/>
      <c r="K3777" s="220"/>
      <c r="L3777" s="182"/>
      <c r="M3777" s="182"/>
      <c r="N3777" s="220"/>
      <c r="O3777" s="220"/>
      <c r="P3777" s="243"/>
    </row>
    <row r="3778" spans="1:19" s="225" customFormat="1" ht="10.5" x14ac:dyDescent="0.3">
      <c r="A3778" s="229"/>
      <c r="B3778" s="230" t="str">
        <f t="shared" si="110"/>
        <v>PV1-64</v>
      </c>
      <c r="C3778" s="220"/>
      <c r="D3778" s="220"/>
      <c r="E3778" s="220"/>
      <c r="F3778" s="220"/>
      <c r="G3778" s="216">
        <f t="shared" si="111"/>
        <v>0.11999999999999991</v>
      </c>
      <c r="H3778" s="220"/>
      <c r="I3778" s="220"/>
      <c r="J3778" s="220"/>
      <c r="K3778" s="220"/>
      <c r="L3778" s="182"/>
      <c r="M3778" s="182"/>
      <c r="N3778" s="220"/>
      <c r="O3778" s="220"/>
      <c r="P3778" s="243"/>
    </row>
    <row r="3779" spans="1:19" s="225" customFormat="1" ht="10.5" x14ac:dyDescent="0.3">
      <c r="A3779" s="229"/>
      <c r="B3779" s="230" t="str">
        <f t="shared" si="110"/>
        <v>PV1-65</v>
      </c>
      <c r="C3779" s="220"/>
      <c r="D3779" s="220"/>
      <c r="E3779" s="220"/>
      <c r="F3779" s="220"/>
      <c r="G3779" s="216">
        <f t="shared" si="111"/>
        <v>0</v>
      </c>
      <c r="H3779" s="220"/>
      <c r="I3779" s="220"/>
      <c r="J3779" s="220"/>
      <c r="K3779" s="220"/>
      <c r="L3779" s="182"/>
      <c r="M3779" s="182"/>
      <c r="N3779" s="220"/>
      <c r="O3779" s="220"/>
      <c r="P3779" s="243"/>
    </row>
    <row r="3780" spans="1:19" s="225" customFormat="1" ht="10.5" x14ac:dyDescent="0.3">
      <c r="A3780" s="229"/>
      <c r="B3780" s="230" t="str">
        <f t="shared" si="110"/>
        <v>PV1-66</v>
      </c>
      <c r="C3780" s="220"/>
      <c r="D3780" s="220"/>
      <c r="E3780" s="220"/>
      <c r="F3780" s="220"/>
      <c r="G3780" s="216">
        <f t="shared" si="111"/>
        <v>0.22</v>
      </c>
      <c r="H3780" s="220"/>
      <c r="I3780" s="220"/>
      <c r="J3780" s="220"/>
      <c r="K3780" s="220"/>
      <c r="L3780" s="182"/>
      <c r="M3780" s="182"/>
      <c r="N3780" s="220"/>
      <c r="O3780" s="220"/>
      <c r="P3780" s="243"/>
    </row>
    <row r="3781" spans="1:19" s="225" customFormat="1" ht="10.5" x14ac:dyDescent="0.3">
      <c r="A3781" s="229"/>
      <c r="B3781" s="230" t="str">
        <f t="shared" si="110"/>
        <v>PV2-63</v>
      </c>
      <c r="C3781" s="220"/>
      <c r="D3781" s="220"/>
      <c r="E3781" s="220"/>
      <c r="F3781" s="220"/>
      <c r="G3781" s="216">
        <f t="shared" si="111"/>
        <v>0.13999999999999993</v>
      </c>
      <c r="H3781" s="220"/>
      <c r="I3781" s="220"/>
      <c r="J3781" s="220"/>
      <c r="K3781" s="220"/>
      <c r="L3781" s="182"/>
      <c r="M3781" s="182"/>
      <c r="N3781" s="220"/>
      <c r="O3781" s="220"/>
      <c r="P3781" s="243"/>
    </row>
    <row r="3782" spans="1:19" s="225" customFormat="1" ht="10.5" x14ac:dyDescent="0.3">
      <c r="A3782" s="229"/>
      <c r="B3782" s="230" t="str">
        <f t="shared" si="110"/>
        <v>PV3-63</v>
      </c>
      <c r="C3782" s="220"/>
      <c r="D3782" s="220"/>
      <c r="E3782" s="220"/>
      <c r="F3782" s="220"/>
      <c r="G3782" s="216">
        <f t="shared" si="111"/>
        <v>0.16999999999999996</v>
      </c>
      <c r="H3782" s="220"/>
      <c r="I3782" s="220"/>
      <c r="J3782" s="220"/>
      <c r="K3782" s="220"/>
      <c r="L3782" s="182"/>
      <c r="M3782" s="182"/>
      <c r="N3782" s="220"/>
      <c r="O3782" s="220"/>
      <c r="P3782" s="243"/>
    </row>
    <row r="3783" spans="1:19" s="225" customFormat="1" ht="10.5" x14ac:dyDescent="0.3">
      <c r="A3783" s="229"/>
      <c r="B3783" s="230" t="str">
        <f t="shared" si="110"/>
        <v>PV5-63</v>
      </c>
      <c r="C3783" s="220"/>
      <c r="D3783" s="220"/>
      <c r="E3783" s="220"/>
      <c r="F3783" s="220"/>
      <c r="G3783" s="216">
        <f t="shared" si="111"/>
        <v>0.19999999999999998</v>
      </c>
      <c r="H3783" s="220"/>
      <c r="I3783" s="220"/>
      <c r="J3783" s="220"/>
      <c r="K3783" s="220"/>
      <c r="L3783" s="182"/>
      <c r="M3783" s="182"/>
      <c r="N3783" s="220"/>
      <c r="O3783" s="220"/>
      <c r="P3783" s="243"/>
    </row>
    <row r="3784" spans="1:19" s="225" customFormat="1" ht="10.5" x14ac:dyDescent="0.3">
      <c r="A3784" s="229"/>
      <c r="B3784" s="230" t="str">
        <f t="shared" si="110"/>
        <v>PV17-59</v>
      </c>
      <c r="C3784" s="220"/>
      <c r="D3784" s="220"/>
      <c r="E3784" s="220"/>
      <c r="F3784" s="220"/>
      <c r="G3784" s="216">
        <f t="shared" si="111"/>
        <v>0.1900000000000002</v>
      </c>
      <c r="H3784" s="220"/>
      <c r="I3784" s="220"/>
      <c r="J3784" s="220"/>
      <c r="K3784" s="220"/>
      <c r="L3784" s="182"/>
      <c r="M3784" s="182"/>
      <c r="N3784" s="220"/>
      <c r="O3784" s="220"/>
      <c r="P3784" s="243"/>
    </row>
    <row r="3785" spans="1:19" s="225" customFormat="1" ht="10.5" x14ac:dyDescent="0.3">
      <c r="A3785" s="229"/>
      <c r="B3785" s="230" t="str">
        <f t="shared" si="110"/>
        <v>PV18-59</v>
      </c>
      <c r="C3785" s="220"/>
      <c r="D3785" s="220"/>
      <c r="E3785" s="220"/>
      <c r="F3785" s="220"/>
      <c r="G3785" s="216">
        <f t="shared" si="111"/>
        <v>0.25000000000000022</v>
      </c>
      <c r="H3785" s="220"/>
      <c r="I3785" s="220"/>
      <c r="J3785" s="220"/>
      <c r="K3785" s="220"/>
      <c r="L3785" s="182"/>
      <c r="M3785" s="182"/>
      <c r="N3785" s="220"/>
      <c r="O3785" s="220"/>
      <c r="P3785" s="243"/>
    </row>
    <row r="3786" spans="1:19" s="225" customFormat="1" ht="10.5" x14ac:dyDescent="0.3">
      <c r="A3786" s="229"/>
      <c r="B3786" s="232"/>
      <c r="C3786" s="220"/>
      <c r="D3786" s="220"/>
      <c r="E3786" s="220"/>
      <c r="F3786" s="220"/>
      <c r="G3786" s="220"/>
      <c r="H3786" s="220"/>
      <c r="I3786" s="220"/>
      <c r="J3786" s="220"/>
      <c r="K3786" s="220"/>
      <c r="L3786" s="182"/>
      <c r="M3786" s="182"/>
      <c r="N3786" s="220"/>
      <c r="O3786" s="220"/>
      <c r="P3786" s="243"/>
    </row>
    <row r="3787" spans="1:19" s="225" customFormat="1" ht="10.5" x14ac:dyDescent="0.25">
      <c r="A3787" s="229"/>
      <c r="B3787" s="232" t="s">
        <v>5</v>
      </c>
      <c r="C3787" s="182" t="s">
        <v>1328</v>
      </c>
      <c r="D3787" s="182"/>
      <c r="E3787" s="182"/>
      <c r="F3787" s="182"/>
      <c r="G3787" s="182">
        <f>SUM(G3776:G3786)</f>
        <v>1.55</v>
      </c>
      <c r="I3787" s="182"/>
      <c r="J3787" s="182"/>
      <c r="K3787" s="182"/>
      <c r="L3787" s="182"/>
      <c r="M3787" s="182"/>
      <c r="N3787" s="182"/>
      <c r="O3787" s="182"/>
      <c r="P3787" s="233"/>
      <c r="Q3787" s="224"/>
    </row>
    <row r="3788" spans="1:19" s="235" customFormat="1" ht="31.5" x14ac:dyDescent="0.35">
      <c r="A3788" s="226" t="str">
        <f>ORÇAMENTO!A715</f>
        <v>6.4.5</v>
      </c>
      <c r="B3788" s="227" t="str">
        <f>VLOOKUP(A3788,ORÇAMENTO!A:K,4,0)</f>
        <v>FORNECIMENTO E ASSENTAMENTO DE TAMPÃO CIRCULAR PARA DRENAGEM, EM FERRO FUNDIDO, DIÂMETRO = 0,6 M</v>
      </c>
      <c r="C3788" s="173" t="str">
        <f>VLOOKUP(A3788,ORÇAMENTO!A:K,5,0)</f>
        <v>UN</v>
      </c>
      <c r="D3788" s="173">
        <f>SUM(E3791:O3791)</f>
        <v>10</v>
      </c>
      <c r="E3788" s="173" t="s">
        <v>1752</v>
      </c>
      <c r="F3788" s="173" t="s">
        <v>1719</v>
      </c>
      <c r="G3788" s="173" t="s">
        <v>1720</v>
      </c>
      <c r="H3788" s="173" t="s">
        <v>1721</v>
      </c>
      <c r="I3788" s="173" t="s">
        <v>1722</v>
      </c>
      <c r="J3788" s="173" t="s">
        <v>1723</v>
      </c>
      <c r="K3788" s="173" t="s">
        <v>1746</v>
      </c>
      <c r="L3788" s="173" t="s">
        <v>1753</v>
      </c>
      <c r="M3788" s="173" t="s">
        <v>1726</v>
      </c>
      <c r="N3788" s="173" t="s">
        <v>1727</v>
      </c>
      <c r="O3788" s="173" t="s">
        <v>1728</v>
      </c>
      <c r="P3788" s="224"/>
      <c r="Q3788" s="224"/>
      <c r="R3788" s="224"/>
      <c r="S3788" s="224"/>
    </row>
    <row r="3789" spans="1:19" s="225" customFormat="1" ht="21" x14ac:dyDescent="0.3">
      <c r="A3789" s="229"/>
      <c r="B3789" s="230" t="s">
        <v>1868</v>
      </c>
      <c r="C3789" s="178"/>
      <c r="D3789" s="178"/>
      <c r="E3789" s="178"/>
      <c r="F3789" s="178"/>
      <c r="G3789" s="178"/>
      <c r="H3789" s="178"/>
      <c r="I3789" s="178"/>
      <c r="J3789" s="178"/>
      <c r="K3789" s="178"/>
      <c r="L3789" s="190"/>
      <c r="M3789" s="219">
        <f>M3775</f>
        <v>10</v>
      </c>
      <c r="N3789" s="178"/>
      <c r="O3789" s="178"/>
      <c r="P3789" s="244"/>
    </row>
    <row r="3790" spans="1:19" s="225" customFormat="1" ht="10.5" x14ac:dyDescent="0.3">
      <c r="A3790" s="229"/>
      <c r="B3790" s="230"/>
      <c r="C3790" s="178"/>
      <c r="D3790" s="178"/>
      <c r="E3790" s="178"/>
      <c r="F3790" s="178"/>
      <c r="G3790" s="178"/>
      <c r="H3790" s="178"/>
      <c r="I3790" s="178"/>
      <c r="J3790" s="178"/>
      <c r="K3790" s="178"/>
      <c r="L3790" s="190"/>
      <c r="M3790" s="190"/>
      <c r="N3790" s="178"/>
      <c r="O3790" s="178"/>
      <c r="P3790" s="244"/>
    </row>
    <row r="3791" spans="1:19" s="225" customFormat="1" ht="10.5" x14ac:dyDescent="0.3">
      <c r="A3791" s="229"/>
      <c r="B3791" s="232" t="s">
        <v>5</v>
      </c>
      <c r="C3791" s="220" t="s">
        <v>1328</v>
      </c>
      <c r="D3791" s="220"/>
      <c r="E3791" s="220"/>
      <c r="F3791" s="220"/>
      <c r="G3791" s="220"/>
      <c r="H3791" s="220"/>
      <c r="I3791" s="220"/>
      <c r="J3791" s="220"/>
      <c r="K3791" s="220"/>
      <c r="L3791" s="182"/>
      <c r="M3791" s="182">
        <f>SUM(M3789:M3789)</f>
        <v>10</v>
      </c>
      <c r="N3791" s="220"/>
      <c r="O3791" s="220"/>
      <c r="P3791" s="243"/>
    </row>
    <row r="3792" spans="1:19" s="228" customFormat="1" ht="52.5" x14ac:dyDescent="0.25">
      <c r="A3792" s="226" t="str">
        <f>ORÇAMENTO!A716</f>
        <v>6.4.6</v>
      </c>
      <c r="B3792" s="227" t="str">
        <f>VLOOKUP(A3792,ORÇAMENTO!A:K,4,0)</f>
        <v>CONSTRUÇÃO DE PAVIMENTO COM APLICAÇÃO CONCRETO BETUMINOSO USINADO A QUENTE (CBUQ), CAMADA DE ROLAMENTO - EXCLUSIVE TRANSPORTE E CARGA  AF_03/2017 (SEM MATERIAL)</v>
      </c>
      <c r="C3792" s="173" t="str">
        <f>VLOOKUP(A3792,ORÇAMENTO!A:K,5,0)</f>
        <v>M³</v>
      </c>
      <c r="D3792" s="173">
        <f>SUM(E3799:O3799)</f>
        <v>0.88717699835307551</v>
      </c>
      <c r="E3792" s="173" t="s">
        <v>1718</v>
      </c>
      <c r="F3792" s="173" t="s">
        <v>1719</v>
      </c>
      <c r="G3792" s="173" t="s">
        <v>1720</v>
      </c>
      <c r="H3792" s="173" t="s">
        <v>1721</v>
      </c>
      <c r="I3792" s="173" t="s">
        <v>1722</v>
      </c>
      <c r="J3792" s="173" t="s">
        <v>1723</v>
      </c>
      <c r="K3792" s="173" t="s">
        <v>1724</v>
      </c>
      <c r="L3792" s="173" t="s">
        <v>1725</v>
      </c>
      <c r="M3792" s="173" t="s">
        <v>1726</v>
      </c>
      <c r="N3792" s="173" t="s">
        <v>1727</v>
      </c>
      <c r="O3792" s="173" t="s">
        <v>1728</v>
      </c>
      <c r="P3792" s="224"/>
      <c r="Q3792" s="224"/>
    </row>
    <row r="3793" spans="1:17" s="225" customFormat="1" ht="10.5" x14ac:dyDescent="0.25">
      <c r="A3793" s="229"/>
      <c r="B3793" s="232" t="s">
        <v>1745</v>
      </c>
      <c r="C3793" s="184"/>
      <c r="D3793" s="185"/>
      <c r="E3793" s="185"/>
      <c r="F3793" s="185"/>
      <c r="G3793" s="185"/>
      <c r="H3793" s="185"/>
      <c r="I3793" s="185"/>
      <c r="J3793" s="185"/>
      <c r="K3793" s="185"/>
      <c r="L3793" s="185"/>
      <c r="M3793" s="185"/>
      <c r="N3793" s="185"/>
      <c r="O3793" s="185"/>
      <c r="P3793" s="231"/>
      <c r="Q3793" s="224"/>
    </row>
    <row r="3794" spans="1:17" s="225" customFormat="1" ht="10.5" x14ac:dyDescent="0.25">
      <c r="A3794" s="229"/>
      <c r="B3794" s="230" t="s">
        <v>1872</v>
      </c>
      <c r="C3794" s="184"/>
      <c r="D3794" s="185"/>
      <c r="E3794" s="185"/>
      <c r="F3794" s="185"/>
      <c r="G3794" s="185"/>
      <c r="H3794" s="185">
        <v>0.03</v>
      </c>
      <c r="I3794" s="185"/>
      <c r="J3794" s="185"/>
      <c r="K3794" s="185"/>
      <c r="L3794" s="185"/>
      <c r="M3794" s="185"/>
      <c r="N3794" s="185">
        <f>N3749</f>
        <v>32.4</v>
      </c>
      <c r="O3794" s="185">
        <f>N3794*H3794</f>
        <v>0.97199999999999998</v>
      </c>
      <c r="P3794" s="231"/>
      <c r="Q3794" s="224"/>
    </row>
    <row r="3795" spans="1:17" s="225" customFormat="1" ht="10.5" x14ac:dyDescent="0.25">
      <c r="A3795" s="229"/>
      <c r="B3795" s="230" t="s">
        <v>1873</v>
      </c>
      <c r="C3795" s="184"/>
      <c r="D3795" s="185"/>
      <c r="E3795" s="185"/>
      <c r="F3795" s="185"/>
      <c r="G3795" s="185"/>
      <c r="H3795" s="185">
        <v>0.03</v>
      </c>
      <c r="I3795" s="185"/>
      <c r="J3795" s="185">
        <v>0.6</v>
      </c>
      <c r="K3795" s="185"/>
      <c r="L3795" s="185"/>
      <c r="M3795" s="185">
        <f>M3748</f>
        <v>10</v>
      </c>
      <c r="N3795" s="185">
        <f>PI()*(J3795/2)^2</f>
        <v>0.28274333882308139</v>
      </c>
      <c r="O3795" s="185">
        <f>M3795*N3795*H3795</f>
        <v>8.4823001646924412E-2</v>
      </c>
      <c r="P3795" s="231"/>
      <c r="Q3795" s="224"/>
    </row>
    <row r="3796" spans="1:17" s="225" customFormat="1" ht="10.5" x14ac:dyDescent="0.25">
      <c r="A3796" s="229"/>
      <c r="B3796" s="230"/>
      <c r="C3796" s="184"/>
      <c r="D3796" s="185"/>
      <c r="E3796" s="185"/>
      <c r="F3796" s="185"/>
      <c r="G3796" s="185"/>
      <c r="H3796" s="185"/>
      <c r="I3796" s="185"/>
      <c r="J3796" s="185"/>
      <c r="K3796" s="185"/>
      <c r="L3796" s="185"/>
      <c r="M3796" s="185"/>
      <c r="N3796" s="185"/>
      <c r="O3796" s="185"/>
      <c r="P3796" s="231"/>
      <c r="Q3796" s="224"/>
    </row>
    <row r="3797" spans="1:17" s="225" customFormat="1" ht="10.5" x14ac:dyDescent="0.25">
      <c r="A3797" s="229"/>
      <c r="B3797" s="230" t="s">
        <v>1784</v>
      </c>
      <c r="C3797" s="184"/>
      <c r="D3797" s="185"/>
      <c r="E3797" s="185"/>
      <c r="F3797" s="185"/>
      <c r="G3797" s="185"/>
      <c r="H3797" s="185"/>
      <c r="I3797" s="185"/>
      <c r="J3797" s="185"/>
      <c r="K3797" s="185"/>
      <c r="L3797" s="185"/>
      <c r="M3797" s="185"/>
      <c r="N3797" s="185"/>
      <c r="O3797" s="184">
        <f>O3794-O3795</f>
        <v>0.88717699835307551</v>
      </c>
      <c r="P3797" s="231"/>
      <c r="Q3797" s="224"/>
    </row>
    <row r="3798" spans="1:17" s="225" customFormat="1" ht="10.5" x14ac:dyDescent="0.25">
      <c r="A3798" s="229"/>
      <c r="B3798" s="230"/>
      <c r="C3798" s="184"/>
      <c r="D3798" s="185"/>
      <c r="E3798" s="185"/>
      <c r="F3798" s="185"/>
      <c r="G3798" s="185"/>
      <c r="H3798" s="185"/>
      <c r="I3798" s="185"/>
      <c r="J3798" s="185"/>
      <c r="K3798" s="185"/>
      <c r="L3798" s="186"/>
      <c r="M3798" s="185"/>
      <c r="N3798" s="185"/>
      <c r="O3798" s="185"/>
      <c r="P3798" s="231"/>
      <c r="Q3798" s="224"/>
    </row>
    <row r="3799" spans="1:17" s="225" customFormat="1" ht="10.5" x14ac:dyDescent="0.25">
      <c r="A3799" s="229"/>
      <c r="B3799" s="232" t="s">
        <v>5</v>
      </c>
      <c r="C3799" s="182" t="s">
        <v>1328</v>
      </c>
      <c r="D3799" s="182"/>
      <c r="E3799" s="182"/>
      <c r="F3799" s="182"/>
      <c r="G3799" s="182"/>
      <c r="H3799" s="182"/>
      <c r="I3799" s="182"/>
      <c r="J3799" s="182"/>
      <c r="K3799" s="182"/>
      <c r="L3799" s="182"/>
      <c r="M3799" s="182"/>
      <c r="N3799" s="182"/>
      <c r="O3799" s="182">
        <f>SUM(O3797:O3798)</f>
        <v>0.88717699835307551</v>
      </c>
      <c r="P3799" s="233"/>
      <c r="Q3799" s="224"/>
    </row>
    <row r="3800" spans="1:17" s="228" customFormat="1" ht="21" x14ac:dyDescent="0.25">
      <c r="A3800" s="226" t="str">
        <f>ORÇAMENTO!A717</f>
        <v>6.4.7</v>
      </c>
      <c r="B3800" s="227" t="str">
        <f>VLOOKUP(A3800,ORÇAMENTO!A:K,4,0)</f>
        <v>PINTURA DE LIGAÇÃO (SEM MATERIAL)</v>
      </c>
      <c r="C3800" s="173" t="str">
        <f>VLOOKUP(A3800,ORÇAMENTO!A:K,5,0)</f>
        <v>M²</v>
      </c>
      <c r="D3800" s="173">
        <f>SUM(E3814:O3814)</f>
        <v>29.57256661176919</v>
      </c>
      <c r="E3800" s="173" t="s">
        <v>1718</v>
      </c>
      <c r="F3800" s="173" t="s">
        <v>1719</v>
      </c>
      <c r="G3800" s="173" t="s">
        <v>1720</v>
      </c>
      <c r="H3800" s="173" t="s">
        <v>1721</v>
      </c>
      <c r="I3800" s="173" t="s">
        <v>1722</v>
      </c>
      <c r="J3800" s="173" t="s">
        <v>1723</v>
      </c>
      <c r="K3800" s="173" t="s">
        <v>1724</v>
      </c>
      <c r="L3800" s="173" t="s">
        <v>1725</v>
      </c>
      <c r="M3800" s="173" t="s">
        <v>1726</v>
      </c>
      <c r="N3800" s="173" t="s">
        <v>1727</v>
      </c>
      <c r="O3800" s="173" t="s">
        <v>1728</v>
      </c>
      <c r="P3800" s="224"/>
      <c r="Q3800" s="224"/>
    </row>
    <row r="3801" spans="1:17" s="225" customFormat="1" ht="10.5" x14ac:dyDescent="0.25">
      <c r="A3801" s="229"/>
      <c r="B3801" s="232"/>
      <c r="C3801" s="177"/>
      <c r="D3801" s="178"/>
      <c r="E3801" s="178"/>
      <c r="F3801" s="178"/>
      <c r="G3801" s="178"/>
      <c r="H3801" s="178"/>
      <c r="I3801" s="178"/>
      <c r="J3801" s="178"/>
      <c r="K3801" s="178"/>
      <c r="L3801" s="178"/>
      <c r="M3801" s="178"/>
      <c r="N3801" s="178"/>
      <c r="O3801" s="178"/>
      <c r="P3801" s="231"/>
      <c r="Q3801" s="224"/>
    </row>
    <row r="3802" spans="1:17" s="225" customFormat="1" ht="10.5" x14ac:dyDescent="0.25">
      <c r="A3802" s="229"/>
      <c r="B3802" s="230" t="s">
        <v>1874</v>
      </c>
      <c r="C3802" s="177"/>
      <c r="D3802" s="178"/>
      <c r="E3802" s="178"/>
      <c r="F3802" s="178"/>
      <c r="G3802" s="178"/>
      <c r="H3802" s="178"/>
      <c r="I3802" s="178"/>
      <c r="J3802" s="178"/>
      <c r="K3802" s="178"/>
      <c r="L3802" s="178"/>
      <c r="M3802" s="178"/>
      <c r="N3802" s="178"/>
      <c r="O3802" s="178"/>
      <c r="P3802" s="231"/>
      <c r="Q3802" s="224"/>
    </row>
    <row r="3803" spans="1:17" s="225" customFormat="1" ht="10.5" x14ac:dyDescent="0.25">
      <c r="A3803" s="229"/>
      <c r="B3803" s="230" t="str">
        <f t="shared" ref="B3803:B3812" si="112">B3776</f>
        <v>PV2-61</v>
      </c>
      <c r="C3803" s="177"/>
      <c r="D3803" s="178"/>
      <c r="E3803" s="178">
        <v>1.8</v>
      </c>
      <c r="F3803" s="178">
        <v>1.8</v>
      </c>
      <c r="G3803" s="178"/>
      <c r="H3803" s="178"/>
      <c r="I3803" s="178"/>
      <c r="J3803" s="178">
        <v>0.6</v>
      </c>
      <c r="K3803" s="178"/>
      <c r="L3803" s="178"/>
      <c r="M3803" s="178"/>
      <c r="N3803" s="178">
        <f t="shared" ref="N3803:N3812" si="113">(E3803*F3803)-(PI()*(J3803/2)^2)</f>
        <v>2.9572566611769187</v>
      </c>
      <c r="O3803" s="178"/>
      <c r="P3803" s="231"/>
      <c r="Q3803" s="224"/>
    </row>
    <row r="3804" spans="1:17" s="225" customFormat="1" ht="10.5" x14ac:dyDescent="0.25">
      <c r="A3804" s="229"/>
      <c r="B3804" s="230" t="str">
        <f t="shared" si="112"/>
        <v>PV1-63</v>
      </c>
      <c r="C3804" s="177"/>
      <c r="D3804" s="178"/>
      <c r="E3804" s="178">
        <v>1.8</v>
      </c>
      <c r="F3804" s="178">
        <v>1.8</v>
      </c>
      <c r="G3804" s="178"/>
      <c r="H3804" s="178"/>
      <c r="I3804" s="178"/>
      <c r="J3804" s="178">
        <v>0.6</v>
      </c>
      <c r="K3804" s="178"/>
      <c r="L3804" s="178"/>
      <c r="M3804" s="178"/>
      <c r="N3804" s="178">
        <f t="shared" si="113"/>
        <v>2.9572566611769187</v>
      </c>
      <c r="O3804" s="178"/>
      <c r="P3804" s="231"/>
      <c r="Q3804" s="224"/>
    </row>
    <row r="3805" spans="1:17" s="225" customFormat="1" ht="10.5" x14ac:dyDescent="0.25">
      <c r="A3805" s="229"/>
      <c r="B3805" s="230" t="str">
        <f t="shared" si="112"/>
        <v>PV1-64</v>
      </c>
      <c r="C3805" s="177"/>
      <c r="D3805" s="178"/>
      <c r="E3805" s="178">
        <v>1.8</v>
      </c>
      <c r="F3805" s="178">
        <v>1.8</v>
      </c>
      <c r="G3805" s="178"/>
      <c r="H3805" s="178"/>
      <c r="I3805" s="178"/>
      <c r="J3805" s="178">
        <v>0.6</v>
      </c>
      <c r="K3805" s="178"/>
      <c r="L3805" s="178"/>
      <c r="M3805" s="178"/>
      <c r="N3805" s="178">
        <f t="shared" si="113"/>
        <v>2.9572566611769187</v>
      </c>
      <c r="O3805" s="178"/>
      <c r="P3805" s="231"/>
      <c r="Q3805" s="224"/>
    </row>
    <row r="3806" spans="1:17" s="225" customFormat="1" ht="10.5" x14ac:dyDescent="0.25">
      <c r="A3806" s="229"/>
      <c r="B3806" s="230" t="str">
        <f t="shared" si="112"/>
        <v>PV1-65</v>
      </c>
      <c r="C3806" s="177"/>
      <c r="D3806" s="178"/>
      <c r="E3806" s="178">
        <v>1.8</v>
      </c>
      <c r="F3806" s="178">
        <v>1.8</v>
      </c>
      <c r="G3806" s="178"/>
      <c r="H3806" s="178"/>
      <c r="I3806" s="178"/>
      <c r="J3806" s="178">
        <v>0.6</v>
      </c>
      <c r="K3806" s="178"/>
      <c r="L3806" s="178"/>
      <c r="M3806" s="178"/>
      <c r="N3806" s="178">
        <f t="shared" si="113"/>
        <v>2.9572566611769187</v>
      </c>
      <c r="O3806" s="178"/>
      <c r="P3806" s="231"/>
      <c r="Q3806" s="224"/>
    </row>
    <row r="3807" spans="1:17" s="225" customFormat="1" ht="10.5" x14ac:dyDescent="0.25">
      <c r="A3807" s="229"/>
      <c r="B3807" s="230" t="str">
        <f t="shared" si="112"/>
        <v>PV1-66</v>
      </c>
      <c r="C3807" s="177"/>
      <c r="D3807" s="178"/>
      <c r="E3807" s="178">
        <v>1.8</v>
      </c>
      <c r="F3807" s="178">
        <v>1.8</v>
      </c>
      <c r="G3807" s="178"/>
      <c r="H3807" s="178"/>
      <c r="I3807" s="178"/>
      <c r="J3807" s="178">
        <v>0.6</v>
      </c>
      <c r="K3807" s="178"/>
      <c r="L3807" s="178"/>
      <c r="M3807" s="178"/>
      <c r="N3807" s="178">
        <f t="shared" si="113"/>
        <v>2.9572566611769187</v>
      </c>
      <c r="O3807" s="178"/>
      <c r="P3807" s="231"/>
      <c r="Q3807" s="224"/>
    </row>
    <row r="3808" spans="1:17" s="225" customFormat="1" ht="10.5" x14ac:dyDescent="0.25">
      <c r="A3808" s="229"/>
      <c r="B3808" s="230" t="str">
        <f t="shared" si="112"/>
        <v>PV2-63</v>
      </c>
      <c r="C3808" s="177"/>
      <c r="D3808" s="178"/>
      <c r="E3808" s="178">
        <v>1.8</v>
      </c>
      <c r="F3808" s="178">
        <v>1.8</v>
      </c>
      <c r="G3808" s="178"/>
      <c r="H3808" s="178"/>
      <c r="I3808" s="178"/>
      <c r="J3808" s="178">
        <v>0.6</v>
      </c>
      <c r="K3808" s="178"/>
      <c r="L3808" s="178"/>
      <c r="M3808" s="178"/>
      <c r="N3808" s="178">
        <f t="shared" si="113"/>
        <v>2.9572566611769187</v>
      </c>
      <c r="O3808" s="178"/>
      <c r="P3808" s="231"/>
      <c r="Q3808" s="224"/>
    </row>
    <row r="3809" spans="1:17" s="225" customFormat="1" ht="10.5" x14ac:dyDescent="0.25">
      <c r="A3809" s="229"/>
      <c r="B3809" s="230" t="str">
        <f t="shared" si="112"/>
        <v>PV3-63</v>
      </c>
      <c r="C3809" s="177"/>
      <c r="D3809" s="178"/>
      <c r="E3809" s="178">
        <v>1.8</v>
      </c>
      <c r="F3809" s="178">
        <v>1.8</v>
      </c>
      <c r="G3809" s="178"/>
      <c r="H3809" s="178"/>
      <c r="I3809" s="178"/>
      <c r="J3809" s="178">
        <v>0.6</v>
      </c>
      <c r="K3809" s="178"/>
      <c r="L3809" s="178"/>
      <c r="M3809" s="178"/>
      <c r="N3809" s="178">
        <f t="shared" si="113"/>
        <v>2.9572566611769187</v>
      </c>
      <c r="O3809" s="178"/>
      <c r="P3809" s="231"/>
      <c r="Q3809" s="224"/>
    </row>
    <row r="3810" spans="1:17" s="225" customFormat="1" ht="10.5" x14ac:dyDescent="0.25">
      <c r="A3810" s="229"/>
      <c r="B3810" s="230" t="str">
        <f t="shared" si="112"/>
        <v>PV5-63</v>
      </c>
      <c r="C3810" s="177"/>
      <c r="D3810" s="178"/>
      <c r="E3810" s="178">
        <v>1.8</v>
      </c>
      <c r="F3810" s="178">
        <v>1.8</v>
      </c>
      <c r="G3810" s="178"/>
      <c r="H3810" s="178"/>
      <c r="I3810" s="178"/>
      <c r="J3810" s="178">
        <v>0.6</v>
      </c>
      <c r="K3810" s="178"/>
      <c r="L3810" s="178"/>
      <c r="M3810" s="178"/>
      <c r="N3810" s="178">
        <f t="shared" si="113"/>
        <v>2.9572566611769187</v>
      </c>
      <c r="O3810" s="178"/>
      <c r="P3810" s="231"/>
      <c r="Q3810" s="224"/>
    </row>
    <row r="3811" spans="1:17" s="225" customFormat="1" ht="10.5" x14ac:dyDescent="0.25">
      <c r="A3811" s="229"/>
      <c r="B3811" s="230" t="str">
        <f t="shared" si="112"/>
        <v>PV17-59</v>
      </c>
      <c r="C3811" s="177"/>
      <c r="D3811" s="178"/>
      <c r="E3811" s="178">
        <v>1.8</v>
      </c>
      <c r="F3811" s="178">
        <v>1.8</v>
      </c>
      <c r="G3811" s="178"/>
      <c r="H3811" s="178"/>
      <c r="I3811" s="178"/>
      <c r="J3811" s="178">
        <v>0.6</v>
      </c>
      <c r="K3811" s="178"/>
      <c r="L3811" s="178"/>
      <c r="M3811" s="178"/>
      <c r="N3811" s="178">
        <f t="shared" si="113"/>
        <v>2.9572566611769187</v>
      </c>
      <c r="O3811" s="178"/>
      <c r="P3811" s="231"/>
      <c r="Q3811" s="224"/>
    </row>
    <row r="3812" spans="1:17" s="225" customFormat="1" ht="10.5" x14ac:dyDescent="0.25">
      <c r="A3812" s="229"/>
      <c r="B3812" s="230" t="str">
        <f t="shared" si="112"/>
        <v>PV18-59</v>
      </c>
      <c r="C3812" s="177"/>
      <c r="D3812" s="178"/>
      <c r="E3812" s="178">
        <v>1.8</v>
      </c>
      <c r="F3812" s="178">
        <v>1.8</v>
      </c>
      <c r="G3812" s="178"/>
      <c r="H3812" s="178"/>
      <c r="I3812" s="178"/>
      <c r="J3812" s="178">
        <v>0.6</v>
      </c>
      <c r="K3812" s="178"/>
      <c r="L3812" s="178"/>
      <c r="M3812" s="178"/>
      <c r="N3812" s="178">
        <f t="shared" si="113"/>
        <v>2.9572566611769187</v>
      </c>
      <c r="O3812" s="178"/>
      <c r="P3812" s="231"/>
      <c r="Q3812" s="224"/>
    </row>
    <row r="3813" spans="1:17" s="225" customFormat="1" ht="10.5" x14ac:dyDescent="0.25">
      <c r="A3813" s="229"/>
      <c r="B3813" s="230"/>
      <c r="C3813" s="177"/>
      <c r="D3813" s="178"/>
      <c r="E3813" s="178"/>
      <c r="F3813" s="178"/>
      <c r="G3813" s="178"/>
      <c r="H3813" s="178"/>
      <c r="I3813" s="178"/>
      <c r="J3813" s="178"/>
      <c r="K3813" s="178"/>
      <c r="L3813" s="180"/>
      <c r="M3813" s="178"/>
      <c r="N3813" s="178"/>
      <c r="O3813" s="178"/>
      <c r="P3813" s="231"/>
      <c r="Q3813" s="224"/>
    </row>
    <row r="3814" spans="1:17" s="225" customFormat="1" ht="10.5" x14ac:dyDescent="0.25">
      <c r="A3814" s="229"/>
      <c r="B3814" s="232" t="s">
        <v>5</v>
      </c>
      <c r="C3814" s="182" t="s">
        <v>1328</v>
      </c>
      <c r="D3814" s="182"/>
      <c r="E3814" s="182"/>
      <c r="F3814" s="182"/>
      <c r="G3814" s="182"/>
      <c r="H3814" s="182"/>
      <c r="I3814" s="182"/>
      <c r="J3814" s="182"/>
      <c r="K3814" s="182"/>
      <c r="L3814" s="182"/>
      <c r="M3814" s="182"/>
      <c r="N3814" s="182">
        <f>SUM(N3803:N3813)</f>
        <v>29.57256661176919</v>
      </c>
      <c r="O3814" s="182"/>
      <c r="P3814" s="233"/>
      <c r="Q3814" s="224"/>
    </row>
    <row r="3815" spans="1:17" s="228" customFormat="1" ht="21" x14ac:dyDescent="0.25">
      <c r="A3815" s="226" t="str">
        <f>ORÇAMENTO!A718</f>
        <v>6.4.8</v>
      </c>
      <c r="B3815" s="227" t="str">
        <f>VLOOKUP(A3815,ORÇAMENTO!A:K,4,0)</f>
        <v>IMPRIMAÇÃO COM EMULSÃO ASFÁLTICA (SEM MATERIAL)</v>
      </c>
      <c r="C3815" s="173" t="str">
        <f>VLOOKUP(A3815,ORÇAMENTO!A:K,5,0)</f>
        <v>M²</v>
      </c>
      <c r="D3815" s="173">
        <f>SUM(E3829:O3829)</f>
        <v>29.57256661176919</v>
      </c>
      <c r="E3815" s="173" t="s">
        <v>1718</v>
      </c>
      <c r="F3815" s="173" t="s">
        <v>1719</v>
      </c>
      <c r="G3815" s="173" t="s">
        <v>1720</v>
      </c>
      <c r="H3815" s="173" t="s">
        <v>1721</v>
      </c>
      <c r="I3815" s="173" t="s">
        <v>1722</v>
      </c>
      <c r="J3815" s="173" t="s">
        <v>1723</v>
      </c>
      <c r="K3815" s="173" t="s">
        <v>1724</v>
      </c>
      <c r="L3815" s="173" t="s">
        <v>1725</v>
      </c>
      <c r="M3815" s="173" t="s">
        <v>1726</v>
      </c>
      <c r="N3815" s="173" t="s">
        <v>1727</v>
      </c>
      <c r="O3815" s="173" t="s">
        <v>1728</v>
      </c>
      <c r="P3815" s="224"/>
      <c r="Q3815" s="224"/>
    </row>
    <row r="3816" spans="1:17" s="225" customFormat="1" ht="10.5" x14ac:dyDescent="0.25">
      <c r="A3816" s="229"/>
      <c r="B3816" s="232"/>
      <c r="C3816" s="177"/>
      <c r="D3816" s="178"/>
      <c r="E3816" s="178"/>
      <c r="F3816" s="178"/>
      <c r="G3816" s="178"/>
      <c r="H3816" s="178"/>
      <c r="I3816" s="178"/>
      <c r="J3816" s="178"/>
      <c r="K3816" s="178"/>
      <c r="L3816" s="178"/>
      <c r="M3816" s="178"/>
      <c r="N3816" s="178"/>
      <c r="O3816" s="178"/>
      <c r="P3816" s="231"/>
      <c r="Q3816" s="224"/>
    </row>
    <row r="3817" spans="1:17" s="225" customFormat="1" ht="10.5" x14ac:dyDescent="0.25">
      <c r="A3817" s="229"/>
      <c r="B3817" s="230" t="str">
        <f t="shared" ref="B3817:B3827" si="114">B3802</f>
        <v>ÁREA = ÁREA DEMOLIDA - ÁREA DO PV</v>
      </c>
      <c r="C3817" s="177"/>
      <c r="D3817" s="178"/>
      <c r="E3817" s="178"/>
      <c r="F3817" s="178"/>
      <c r="G3817" s="178"/>
      <c r="H3817" s="178"/>
      <c r="I3817" s="178"/>
      <c r="J3817" s="178"/>
      <c r="K3817" s="178"/>
      <c r="L3817" s="178"/>
      <c r="M3817" s="178"/>
      <c r="N3817" s="178"/>
      <c r="O3817" s="178"/>
      <c r="P3817" s="231"/>
      <c r="Q3817" s="224"/>
    </row>
    <row r="3818" spans="1:17" s="225" customFormat="1" ht="10.5" x14ac:dyDescent="0.25">
      <c r="A3818" s="229"/>
      <c r="B3818" s="230" t="str">
        <f t="shared" si="114"/>
        <v>PV2-61</v>
      </c>
      <c r="C3818" s="177"/>
      <c r="D3818" s="178"/>
      <c r="E3818" s="178">
        <v>1.8</v>
      </c>
      <c r="F3818" s="178">
        <v>1.8</v>
      </c>
      <c r="G3818" s="178"/>
      <c r="H3818" s="178"/>
      <c r="I3818" s="178"/>
      <c r="J3818" s="178">
        <v>0.6</v>
      </c>
      <c r="K3818" s="178"/>
      <c r="L3818" s="178"/>
      <c r="M3818" s="178"/>
      <c r="N3818" s="178">
        <f t="shared" ref="N3818:N3827" si="115">(E3818*F3818)-(PI()*(J3818/2)^2)</f>
        <v>2.9572566611769187</v>
      </c>
      <c r="O3818" s="178"/>
      <c r="P3818" s="231"/>
      <c r="Q3818" s="224"/>
    </row>
    <row r="3819" spans="1:17" s="225" customFormat="1" ht="10.5" x14ac:dyDescent="0.25">
      <c r="A3819" s="229"/>
      <c r="B3819" s="230" t="str">
        <f t="shared" si="114"/>
        <v>PV1-63</v>
      </c>
      <c r="C3819" s="177"/>
      <c r="D3819" s="178"/>
      <c r="E3819" s="178">
        <v>1.8</v>
      </c>
      <c r="F3819" s="178">
        <v>1.8</v>
      </c>
      <c r="G3819" s="178"/>
      <c r="H3819" s="178"/>
      <c r="I3819" s="178"/>
      <c r="J3819" s="178">
        <v>0.6</v>
      </c>
      <c r="K3819" s="178"/>
      <c r="L3819" s="178"/>
      <c r="M3819" s="178"/>
      <c r="N3819" s="178">
        <f t="shared" si="115"/>
        <v>2.9572566611769187</v>
      </c>
      <c r="O3819" s="178"/>
      <c r="P3819" s="231"/>
      <c r="Q3819" s="224"/>
    </row>
    <row r="3820" spans="1:17" s="225" customFormat="1" ht="10.5" x14ac:dyDescent="0.25">
      <c r="A3820" s="229"/>
      <c r="B3820" s="230" t="str">
        <f t="shared" si="114"/>
        <v>PV1-64</v>
      </c>
      <c r="C3820" s="177"/>
      <c r="D3820" s="178"/>
      <c r="E3820" s="178">
        <v>1.8</v>
      </c>
      <c r="F3820" s="178">
        <v>1.8</v>
      </c>
      <c r="G3820" s="178"/>
      <c r="H3820" s="178"/>
      <c r="I3820" s="178"/>
      <c r="J3820" s="178">
        <v>0.6</v>
      </c>
      <c r="K3820" s="178"/>
      <c r="L3820" s="178"/>
      <c r="M3820" s="178"/>
      <c r="N3820" s="178">
        <f t="shared" si="115"/>
        <v>2.9572566611769187</v>
      </c>
      <c r="O3820" s="178"/>
      <c r="P3820" s="231"/>
      <c r="Q3820" s="224"/>
    </row>
    <row r="3821" spans="1:17" s="225" customFormat="1" ht="10.5" x14ac:dyDescent="0.25">
      <c r="A3821" s="229"/>
      <c r="B3821" s="230" t="str">
        <f t="shared" si="114"/>
        <v>PV1-65</v>
      </c>
      <c r="C3821" s="177"/>
      <c r="D3821" s="178"/>
      <c r="E3821" s="178">
        <v>1.8</v>
      </c>
      <c r="F3821" s="178">
        <v>1.8</v>
      </c>
      <c r="G3821" s="178"/>
      <c r="H3821" s="178"/>
      <c r="I3821" s="178"/>
      <c r="J3821" s="178">
        <v>0.6</v>
      </c>
      <c r="K3821" s="178"/>
      <c r="L3821" s="178"/>
      <c r="M3821" s="178"/>
      <c r="N3821" s="178">
        <f t="shared" si="115"/>
        <v>2.9572566611769187</v>
      </c>
      <c r="O3821" s="178"/>
      <c r="P3821" s="231"/>
      <c r="Q3821" s="224"/>
    </row>
    <row r="3822" spans="1:17" s="225" customFormat="1" ht="10.5" x14ac:dyDescent="0.25">
      <c r="A3822" s="229"/>
      <c r="B3822" s="230" t="str">
        <f t="shared" si="114"/>
        <v>PV1-66</v>
      </c>
      <c r="C3822" s="177"/>
      <c r="D3822" s="178"/>
      <c r="E3822" s="178">
        <v>1.8</v>
      </c>
      <c r="F3822" s="178">
        <v>1.8</v>
      </c>
      <c r="G3822" s="178"/>
      <c r="H3822" s="178"/>
      <c r="I3822" s="178"/>
      <c r="J3822" s="178">
        <v>0.6</v>
      </c>
      <c r="K3822" s="178"/>
      <c r="L3822" s="178"/>
      <c r="M3822" s="178"/>
      <c r="N3822" s="178">
        <f t="shared" si="115"/>
        <v>2.9572566611769187</v>
      </c>
      <c r="O3822" s="178"/>
      <c r="P3822" s="231"/>
      <c r="Q3822" s="224"/>
    </row>
    <row r="3823" spans="1:17" s="225" customFormat="1" ht="10.5" x14ac:dyDescent="0.25">
      <c r="A3823" s="229"/>
      <c r="B3823" s="230" t="str">
        <f t="shared" si="114"/>
        <v>PV2-63</v>
      </c>
      <c r="C3823" s="177"/>
      <c r="D3823" s="178"/>
      <c r="E3823" s="178">
        <v>1.8</v>
      </c>
      <c r="F3823" s="178">
        <v>1.8</v>
      </c>
      <c r="G3823" s="178"/>
      <c r="H3823" s="178"/>
      <c r="I3823" s="178"/>
      <c r="J3823" s="178">
        <v>0.6</v>
      </c>
      <c r="K3823" s="178"/>
      <c r="L3823" s="178"/>
      <c r="M3823" s="178"/>
      <c r="N3823" s="178">
        <f t="shared" si="115"/>
        <v>2.9572566611769187</v>
      </c>
      <c r="O3823" s="178"/>
      <c r="P3823" s="231"/>
      <c r="Q3823" s="224"/>
    </row>
    <row r="3824" spans="1:17" s="225" customFormat="1" ht="10.5" x14ac:dyDescent="0.25">
      <c r="A3824" s="229"/>
      <c r="B3824" s="230" t="str">
        <f t="shared" si="114"/>
        <v>PV3-63</v>
      </c>
      <c r="C3824" s="177"/>
      <c r="D3824" s="178"/>
      <c r="E3824" s="178">
        <v>1.8</v>
      </c>
      <c r="F3824" s="178">
        <v>1.8</v>
      </c>
      <c r="G3824" s="178"/>
      <c r="H3824" s="178"/>
      <c r="I3824" s="178"/>
      <c r="J3824" s="178">
        <v>0.6</v>
      </c>
      <c r="K3824" s="178"/>
      <c r="L3824" s="178"/>
      <c r="M3824" s="178"/>
      <c r="N3824" s="178">
        <f t="shared" si="115"/>
        <v>2.9572566611769187</v>
      </c>
      <c r="O3824" s="178"/>
      <c r="P3824" s="231"/>
      <c r="Q3824" s="224"/>
    </row>
    <row r="3825" spans="1:17" s="225" customFormat="1" ht="10.5" x14ac:dyDescent="0.25">
      <c r="A3825" s="229"/>
      <c r="B3825" s="230" t="str">
        <f t="shared" si="114"/>
        <v>PV5-63</v>
      </c>
      <c r="C3825" s="177"/>
      <c r="D3825" s="178"/>
      <c r="E3825" s="178">
        <v>1.8</v>
      </c>
      <c r="F3825" s="178">
        <v>1.8</v>
      </c>
      <c r="G3825" s="178"/>
      <c r="H3825" s="178"/>
      <c r="I3825" s="178"/>
      <c r="J3825" s="178">
        <v>0.6</v>
      </c>
      <c r="K3825" s="178"/>
      <c r="L3825" s="178"/>
      <c r="M3825" s="178"/>
      <c r="N3825" s="178">
        <f t="shared" si="115"/>
        <v>2.9572566611769187</v>
      </c>
      <c r="O3825" s="178"/>
      <c r="P3825" s="231"/>
      <c r="Q3825" s="224"/>
    </row>
    <row r="3826" spans="1:17" s="225" customFormat="1" ht="10.5" x14ac:dyDescent="0.25">
      <c r="A3826" s="229"/>
      <c r="B3826" s="230" t="str">
        <f t="shared" si="114"/>
        <v>PV17-59</v>
      </c>
      <c r="C3826" s="177"/>
      <c r="D3826" s="178"/>
      <c r="E3826" s="178">
        <v>1.8</v>
      </c>
      <c r="F3826" s="178">
        <v>1.8</v>
      </c>
      <c r="G3826" s="178"/>
      <c r="H3826" s="178"/>
      <c r="I3826" s="178"/>
      <c r="J3826" s="178">
        <v>0.6</v>
      </c>
      <c r="K3826" s="178"/>
      <c r="L3826" s="178"/>
      <c r="M3826" s="178"/>
      <c r="N3826" s="178">
        <f t="shared" si="115"/>
        <v>2.9572566611769187</v>
      </c>
      <c r="O3826" s="178"/>
      <c r="P3826" s="231"/>
      <c r="Q3826" s="224"/>
    </row>
    <row r="3827" spans="1:17" s="225" customFormat="1" ht="10.5" x14ac:dyDescent="0.25">
      <c r="A3827" s="229"/>
      <c r="B3827" s="230" t="str">
        <f t="shared" si="114"/>
        <v>PV18-59</v>
      </c>
      <c r="C3827" s="177"/>
      <c r="D3827" s="178"/>
      <c r="E3827" s="178">
        <v>1.8</v>
      </c>
      <c r="F3827" s="178">
        <v>1.8</v>
      </c>
      <c r="G3827" s="178"/>
      <c r="H3827" s="178"/>
      <c r="I3827" s="178"/>
      <c r="J3827" s="178">
        <v>0.6</v>
      </c>
      <c r="K3827" s="178"/>
      <c r="L3827" s="178"/>
      <c r="M3827" s="178"/>
      <c r="N3827" s="178">
        <f t="shared" si="115"/>
        <v>2.9572566611769187</v>
      </c>
      <c r="O3827" s="178"/>
      <c r="P3827" s="231"/>
      <c r="Q3827" s="224"/>
    </row>
    <row r="3828" spans="1:17" s="225" customFormat="1" ht="10.5" x14ac:dyDescent="0.25">
      <c r="A3828" s="229"/>
      <c r="B3828" s="230"/>
      <c r="C3828" s="177"/>
      <c r="D3828" s="178"/>
      <c r="E3828" s="178"/>
      <c r="F3828" s="178"/>
      <c r="G3828" s="178"/>
      <c r="H3828" s="178"/>
      <c r="I3828" s="178"/>
      <c r="J3828" s="178"/>
      <c r="K3828" s="178"/>
      <c r="L3828" s="180"/>
      <c r="M3828" s="178"/>
      <c r="N3828" s="178"/>
      <c r="O3828" s="178"/>
      <c r="P3828" s="231"/>
      <c r="Q3828" s="224"/>
    </row>
    <row r="3829" spans="1:17" s="225" customFormat="1" ht="10.5" x14ac:dyDescent="0.25">
      <c r="A3829" s="229"/>
      <c r="B3829" s="232" t="s">
        <v>5</v>
      </c>
      <c r="C3829" s="182" t="s">
        <v>1328</v>
      </c>
      <c r="D3829" s="182"/>
      <c r="E3829" s="182"/>
      <c r="F3829" s="182"/>
      <c r="G3829" s="182"/>
      <c r="H3829" s="182"/>
      <c r="I3829" s="182"/>
      <c r="J3829" s="182"/>
      <c r="K3829" s="182"/>
      <c r="L3829" s="182"/>
      <c r="M3829" s="182"/>
      <c r="N3829" s="182">
        <f>SUM(N3818:N3828)</f>
        <v>29.57256661176919</v>
      </c>
      <c r="O3829" s="182"/>
      <c r="P3829" s="233"/>
      <c r="Q3829" s="224"/>
    </row>
    <row r="3830" spans="1:17" s="228" customFormat="1" ht="21" x14ac:dyDescent="0.25">
      <c r="A3830" s="226" t="str">
        <f>ORÇAMENTO!A719</f>
        <v>6.4.9</v>
      </c>
      <c r="B3830" s="227" t="str">
        <f>VLOOKUP(A3830,ORÇAMENTO!A:K,4,0)</f>
        <v>BASE OU SUB-BASE DE BRITA GRADUADA COM BRITA COMERCIAL</v>
      </c>
      <c r="C3830" s="173" t="str">
        <f>VLOOKUP(A3830,ORÇAMENTO!A:K,5,0)</f>
        <v>M³</v>
      </c>
      <c r="D3830" s="173">
        <f>SUM(E3847:O3847)</f>
        <v>3.7557159596946863</v>
      </c>
      <c r="E3830" s="173" t="s">
        <v>1718</v>
      </c>
      <c r="F3830" s="173" t="s">
        <v>1719</v>
      </c>
      <c r="G3830" s="173" t="s">
        <v>1720</v>
      </c>
      <c r="H3830" s="173" t="s">
        <v>1721</v>
      </c>
      <c r="I3830" s="173" t="s">
        <v>1722</v>
      </c>
      <c r="J3830" s="173" t="s">
        <v>1723</v>
      </c>
      <c r="K3830" s="173" t="s">
        <v>1724</v>
      </c>
      <c r="L3830" s="173" t="s">
        <v>1725</v>
      </c>
      <c r="M3830" s="173" t="s">
        <v>1726</v>
      </c>
      <c r="N3830" s="173" t="s">
        <v>1727</v>
      </c>
      <c r="O3830" s="173" t="s">
        <v>1728</v>
      </c>
      <c r="P3830" s="224"/>
      <c r="Q3830" s="224"/>
    </row>
    <row r="3831" spans="1:17" s="225" customFormat="1" ht="10.5" x14ac:dyDescent="0.25">
      <c r="A3831" s="229"/>
      <c r="B3831" s="232" t="s">
        <v>1875</v>
      </c>
      <c r="C3831" s="177"/>
      <c r="D3831" s="178"/>
      <c r="E3831" s="178"/>
      <c r="F3831" s="178"/>
      <c r="G3831" s="178">
        <v>0.15</v>
      </c>
      <c r="H3831" s="178"/>
      <c r="I3831" s="178"/>
      <c r="J3831" s="178"/>
      <c r="K3831" s="178"/>
      <c r="L3831" s="178"/>
      <c r="M3831" s="178"/>
      <c r="N3831" s="178"/>
      <c r="O3831" s="178"/>
      <c r="P3831" s="231"/>
      <c r="Q3831" s="224"/>
    </row>
    <row r="3832" spans="1:17" s="225" customFormat="1" ht="10.5" x14ac:dyDescent="0.25">
      <c r="A3832" s="229"/>
      <c r="B3832" s="230" t="s">
        <v>1876</v>
      </c>
      <c r="C3832" s="177"/>
      <c r="D3832" s="178"/>
      <c r="E3832" s="178"/>
      <c r="F3832" s="178"/>
      <c r="G3832" s="178"/>
      <c r="H3832" s="178"/>
      <c r="I3832" s="178"/>
      <c r="J3832" s="178"/>
      <c r="K3832" s="178"/>
      <c r="L3832" s="178"/>
      <c r="M3832" s="178"/>
      <c r="N3832" s="178"/>
      <c r="O3832" s="178"/>
      <c r="P3832" s="231"/>
      <c r="Q3832" s="224"/>
    </row>
    <row r="3833" spans="1:17" s="225" customFormat="1" ht="10.5" x14ac:dyDescent="0.25">
      <c r="A3833" s="229"/>
      <c r="B3833" s="230" t="str">
        <f t="shared" ref="B3833:B3842" si="116">B3776</f>
        <v>PV2-61</v>
      </c>
      <c r="C3833" s="177"/>
      <c r="D3833" s="178"/>
      <c r="E3833" s="178">
        <v>1.8</v>
      </c>
      <c r="F3833" s="178">
        <v>1.8</v>
      </c>
      <c r="G3833" s="178">
        <f t="shared" ref="G3833:G3842" si="117">IF(G3776&gt;=$G$3831,$G$3831,G3776)</f>
        <v>0.13999999999999993</v>
      </c>
      <c r="H3833" s="178"/>
      <c r="I3833" s="178"/>
      <c r="J3833" s="178">
        <v>0.6</v>
      </c>
      <c r="K3833" s="178"/>
      <c r="L3833" s="178"/>
      <c r="M3833" s="178"/>
      <c r="N3833" s="178">
        <f t="shared" ref="N3833:N3842" si="118">(E3833*F3833)-(PI()*(J3833/2)^2)</f>
        <v>2.9572566611769187</v>
      </c>
      <c r="O3833" s="178">
        <f t="shared" ref="O3833:O3842" si="119">N3833*G3833</f>
        <v>0.41401593256476843</v>
      </c>
      <c r="P3833" s="231"/>
      <c r="Q3833" s="224"/>
    </row>
    <row r="3834" spans="1:17" s="225" customFormat="1" ht="10.5" x14ac:dyDescent="0.25">
      <c r="A3834" s="229"/>
      <c r="B3834" s="230" t="str">
        <f t="shared" si="116"/>
        <v>PV1-63</v>
      </c>
      <c r="C3834" s="177"/>
      <c r="D3834" s="178"/>
      <c r="E3834" s="178">
        <v>1.8</v>
      </c>
      <c r="F3834" s="178">
        <v>1.8</v>
      </c>
      <c r="G3834" s="178">
        <f t="shared" si="117"/>
        <v>0.11999999999999991</v>
      </c>
      <c r="H3834" s="178"/>
      <c r="I3834" s="178"/>
      <c r="J3834" s="178">
        <v>0.6</v>
      </c>
      <c r="K3834" s="178"/>
      <c r="L3834" s="178"/>
      <c r="M3834" s="178"/>
      <c r="N3834" s="178">
        <f t="shared" si="118"/>
        <v>2.9572566611769187</v>
      </c>
      <c r="O3834" s="178">
        <f t="shared" si="119"/>
        <v>0.35487079934123</v>
      </c>
      <c r="P3834" s="231"/>
      <c r="Q3834" s="224"/>
    </row>
    <row r="3835" spans="1:17" s="225" customFormat="1" ht="10.5" x14ac:dyDescent="0.25">
      <c r="A3835" s="229"/>
      <c r="B3835" s="230" t="str">
        <f t="shared" si="116"/>
        <v>PV1-64</v>
      </c>
      <c r="C3835" s="177"/>
      <c r="D3835" s="178"/>
      <c r="E3835" s="178">
        <v>1.8</v>
      </c>
      <c r="F3835" s="178">
        <v>1.8</v>
      </c>
      <c r="G3835" s="178">
        <f t="shared" si="117"/>
        <v>0.11999999999999991</v>
      </c>
      <c r="H3835" s="178"/>
      <c r="I3835" s="178"/>
      <c r="J3835" s="178">
        <v>0.6</v>
      </c>
      <c r="K3835" s="178"/>
      <c r="L3835" s="178"/>
      <c r="M3835" s="178"/>
      <c r="N3835" s="178">
        <f t="shared" si="118"/>
        <v>2.9572566611769187</v>
      </c>
      <c r="O3835" s="178">
        <f t="shared" si="119"/>
        <v>0.35487079934123</v>
      </c>
      <c r="P3835" s="231"/>
      <c r="Q3835" s="224"/>
    </row>
    <row r="3836" spans="1:17" s="225" customFormat="1" ht="10.5" x14ac:dyDescent="0.25">
      <c r="A3836" s="229"/>
      <c r="B3836" s="230" t="str">
        <f t="shared" si="116"/>
        <v>PV1-65</v>
      </c>
      <c r="C3836" s="177"/>
      <c r="D3836" s="178"/>
      <c r="E3836" s="178">
        <v>1.8</v>
      </c>
      <c r="F3836" s="178">
        <v>1.8</v>
      </c>
      <c r="G3836" s="178">
        <f t="shared" si="117"/>
        <v>0</v>
      </c>
      <c r="H3836" s="178"/>
      <c r="I3836" s="178"/>
      <c r="J3836" s="178">
        <v>0.6</v>
      </c>
      <c r="K3836" s="178"/>
      <c r="L3836" s="178"/>
      <c r="M3836" s="178"/>
      <c r="N3836" s="178">
        <f t="shared" si="118"/>
        <v>2.9572566611769187</v>
      </c>
      <c r="O3836" s="178">
        <f t="shared" si="119"/>
        <v>0</v>
      </c>
      <c r="P3836" s="231"/>
      <c r="Q3836" s="224"/>
    </row>
    <row r="3837" spans="1:17" s="225" customFormat="1" ht="10.5" x14ac:dyDescent="0.25">
      <c r="A3837" s="229"/>
      <c r="B3837" s="230" t="str">
        <f t="shared" si="116"/>
        <v>PV1-66</v>
      </c>
      <c r="C3837" s="177"/>
      <c r="D3837" s="178"/>
      <c r="E3837" s="178">
        <v>1.8</v>
      </c>
      <c r="F3837" s="178">
        <v>1.8</v>
      </c>
      <c r="G3837" s="178">
        <f t="shared" si="117"/>
        <v>0.15</v>
      </c>
      <c r="H3837" s="178"/>
      <c r="I3837" s="178"/>
      <c r="J3837" s="178">
        <v>0.6</v>
      </c>
      <c r="K3837" s="178"/>
      <c r="L3837" s="178"/>
      <c r="M3837" s="178"/>
      <c r="N3837" s="178">
        <f t="shared" si="118"/>
        <v>2.9572566611769187</v>
      </c>
      <c r="O3837" s="178">
        <f t="shared" si="119"/>
        <v>0.44358849917653781</v>
      </c>
      <c r="P3837" s="231"/>
      <c r="Q3837" s="224"/>
    </row>
    <row r="3838" spans="1:17" s="225" customFormat="1" ht="10.5" x14ac:dyDescent="0.25">
      <c r="A3838" s="229"/>
      <c r="B3838" s="230" t="str">
        <f t="shared" si="116"/>
        <v>PV2-63</v>
      </c>
      <c r="C3838" s="177"/>
      <c r="D3838" s="178"/>
      <c r="E3838" s="178">
        <v>1.8</v>
      </c>
      <c r="F3838" s="178">
        <v>1.8</v>
      </c>
      <c r="G3838" s="178">
        <f t="shared" si="117"/>
        <v>0.13999999999999993</v>
      </c>
      <c r="H3838" s="178"/>
      <c r="I3838" s="178"/>
      <c r="J3838" s="178">
        <v>0.6</v>
      </c>
      <c r="K3838" s="178"/>
      <c r="L3838" s="178"/>
      <c r="M3838" s="178"/>
      <c r="N3838" s="178">
        <f t="shared" si="118"/>
        <v>2.9572566611769187</v>
      </c>
      <c r="O3838" s="178">
        <f t="shared" si="119"/>
        <v>0.41401593256476843</v>
      </c>
      <c r="P3838" s="231"/>
      <c r="Q3838" s="224"/>
    </row>
    <row r="3839" spans="1:17" s="225" customFormat="1" ht="10.5" x14ac:dyDescent="0.25">
      <c r="A3839" s="229"/>
      <c r="B3839" s="230" t="str">
        <f t="shared" si="116"/>
        <v>PV3-63</v>
      </c>
      <c r="C3839" s="177"/>
      <c r="D3839" s="178"/>
      <c r="E3839" s="178">
        <v>1.8</v>
      </c>
      <c r="F3839" s="178">
        <v>1.8</v>
      </c>
      <c r="G3839" s="178">
        <f t="shared" si="117"/>
        <v>0.15</v>
      </c>
      <c r="H3839" s="178"/>
      <c r="I3839" s="178"/>
      <c r="J3839" s="178">
        <v>0.6</v>
      </c>
      <c r="K3839" s="178"/>
      <c r="L3839" s="178"/>
      <c r="M3839" s="178"/>
      <c r="N3839" s="178">
        <f t="shared" si="118"/>
        <v>2.9572566611769187</v>
      </c>
      <c r="O3839" s="178">
        <f t="shared" si="119"/>
        <v>0.44358849917653781</v>
      </c>
      <c r="P3839" s="231"/>
      <c r="Q3839" s="224"/>
    </row>
    <row r="3840" spans="1:17" s="225" customFormat="1" ht="10.5" x14ac:dyDescent="0.25">
      <c r="A3840" s="229"/>
      <c r="B3840" s="230" t="str">
        <f t="shared" si="116"/>
        <v>PV5-63</v>
      </c>
      <c r="C3840" s="177"/>
      <c r="D3840" s="178"/>
      <c r="E3840" s="178">
        <v>1.8</v>
      </c>
      <c r="F3840" s="178">
        <v>1.8</v>
      </c>
      <c r="G3840" s="178">
        <f t="shared" si="117"/>
        <v>0.15</v>
      </c>
      <c r="H3840" s="178"/>
      <c r="I3840" s="178"/>
      <c r="J3840" s="178">
        <v>0.6</v>
      </c>
      <c r="K3840" s="178"/>
      <c r="L3840" s="178"/>
      <c r="M3840" s="178"/>
      <c r="N3840" s="178">
        <f t="shared" si="118"/>
        <v>2.9572566611769187</v>
      </c>
      <c r="O3840" s="178">
        <f t="shared" si="119"/>
        <v>0.44358849917653781</v>
      </c>
      <c r="P3840" s="231"/>
      <c r="Q3840" s="224"/>
    </row>
    <row r="3841" spans="1:17" s="225" customFormat="1" ht="10.5" x14ac:dyDescent="0.25">
      <c r="A3841" s="229"/>
      <c r="B3841" s="230" t="str">
        <f t="shared" si="116"/>
        <v>PV17-59</v>
      </c>
      <c r="C3841" s="177"/>
      <c r="D3841" s="178"/>
      <c r="E3841" s="178">
        <v>1.8</v>
      </c>
      <c r="F3841" s="178">
        <v>1.8</v>
      </c>
      <c r="G3841" s="178">
        <f t="shared" si="117"/>
        <v>0.15</v>
      </c>
      <c r="H3841" s="178"/>
      <c r="I3841" s="178"/>
      <c r="J3841" s="178">
        <v>0.6</v>
      </c>
      <c r="K3841" s="178"/>
      <c r="L3841" s="178"/>
      <c r="M3841" s="178"/>
      <c r="N3841" s="178">
        <f t="shared" si="118"/>
        <v>2.9572566611769187</v>
      </c>
      <c r="O3841" s="178">
        <f t="shared" si="119"/>
        <v>0.44358849917653781</v>
      </c>
      <c r="P3841" s="231"/>
      <c r="Q3841" s="224"/>
    </row>
    <row r="3842" spans="1:17" s="225" customFormat="1" ht="10.5" x14ac:dyDescent="0.25">
      <c r="A3842" s="229"/>
      <c r="B3842" s="230" t="str">
        <f t="shared" si="116"/>
        <v>PV18-59</v>
      </c>
      <c r="C3842" s="177"/>
      <c r="D3842" s="178"/>
      <c r="E3842" s="178">
        <v>1.8</v>
      </c>
      <c r="F3842" s="178">
        <v>1.8</v>
      </c>
      <c r="G3842" s="178">
        <f t="shared" si="117"/>
        <v>0.15</v>
      </c>
      <c r="H3842" s="178"/>
      <c r="I3842" s="178"/>
      <c r="J3842" s="178">
        <v>0.6</v>
      </c>
      <c r="K3842" s="178"/>
      <c r="L3842" s="178"/>
      <c r="M3842" s="178"/>
      <c r="N3842" s="178">
        <f t="shared" si="118"/>
        <v>2.9572566611769187</v>
      </c>
      <c r="O3842" s="178">
        <f t="shared" si="119"/>
        <v>0.44358849917653781</v>
      </c>
      <c r="P3842" s="231"/>
      <c r="Q3842" s="224"/>
    </row>
    <row r="3843" spans="1:17" s="225" customFormat="1" ht="10.5" x14ac:dyDescent="0.25">
      <c r="A3843" s="229"/>
      <c r="B3843" s="230"/>
      <c r="C3843" s="177"/>
      <c r="D3843" s="178"/>
      <c r="E3843" s="178"/>
      <c r="F3843" s="178"/>
      <c r="G3843" s="178"/>
      <c r="H3843" s="178"/>
      <c r="I3843" s="178"/>
      <c r="J3843" s="178"/>
      <c r="K3843" s="178"/>
      <c r="L3843" s="178"/>
      <c r="M3843" s="178"/>
      <c r="N3843" s="178"/>
      <c r="O3843" s="178"/>
      <c r="P3843" s="231"/>
      <c r="Q3843" s="224"/>
    </row>
    <row r="3844" spans="1:17" s="225" customFormat="1" ht="10.5" x14ac:dyDescent="0.25">
      <c r="A3844" s="229"/>
      <c r="B3844" s="230"/>
      <c r="C3844" s="177"/>
      <c r="D3844" s="178"/>
      <c r="E3844" s="178"/>
      <c r="F3844" s="178"/>
      <c r="G3844" s="178"/>
      <c r="H3844" s="178"/>
      <c r="I3844" s="178"/>
      <c r="J3844" s="178"/>
      <c r="K3844" s="178"/>
      <c r="L3844" s="178"/>
      <c r="M3844" s="178"/>
      <c r="N3844" s="178"/>
      <c r="O3844" s="178"/>
      <c r="P3844" s="231"/>
      <c r="Q3844" s="224"/>
    </row>
    <row r="3845" spans="1:17" s="225" customFormat="1" ht="10.5" x14ac:dyDescent="0.25">
      <c r="A3845" s="229"/>
      <c r="B3845" s="230"/>
      <c r="C3845" s="177"/>
      <c r="D3845" s="178"/>
      <c r="E3845" s="178"/>
      <c r="F3845" s="178"/>
      <c r="G3845" s="178"/>
      <c r="H3845" s="178"/>
      <c r="I3845" s="178"/>
      <c r="J3845" s="178"/>
      <c r="K3845" s="178"/>
      <c r="L3845" s="178"/>
      <c r="M3845" s="178"/>
      <c r="N3845" s="178"/>
      <c r="O3845" s="178"/>
      <c r="P3845" s="231"/>
      <c r="Q3845" s="224"/>
    </row>
    <row r="3846" spans="1:17" s="225" customFormat="1" ht="10.5" x14ac:dyDescent="0.25">
      <c r="A3846" s="229"/>
      <c r="B3846" s="230"/>
      <c r="C3846" s="177"/>
      <c r="D3846" s="178"/>
      <c r="E3846" s="178"/>
      <c r="F3846" s="178"/>
      <c r="G3846" s="178"/>
      <c r="H3846" s="178"/>
      <c r="I3846" s="178"/>
      <c r="J3846" s="178"/>
      <c r="K3846" s="178"/>
      <c r="L3846" s="180"/>
      <c r="M3846" s="178"/>
      <c r="N3846" s="178"/>
      <c r="O3846" s="178"/>
      <c r="P3846" s="231"/>
      <c r="Q3846" s="224"/>
    </row>
    <row r="3847" spans="1:17" s="225" customFormat="1" ht="10.5" x14ac:dyDescent="0.25">
      <c r="A3847" s="229"/>
      <c r="B3847" s="232" t="s">
        <v>5</v>
      </c>
      <c r="C3847" s="182" t="s">
        <v>1328</v>
      </c>
      <c r="D3847" s="182"/>
      <c r="E3847" s="182"/>
      <c r="F3847" s="182"/>
      <c r="G3847" s="182"/>
      <c r="H3847" s="182"/>
      <c r="I3847" s="182"/>
      <c r="J3847" s="182"/>
      <c r="K3847" s="182"/>
      <c r="L3847" s="182"/>
      <c r="M3847" s="182"/>
      <c r="N3847" s="182"/>
      <c r="O3847" s="182">
        <f>SUM(O3833:O3846)</f>
        <v>3.7557159596946863</v>
      </c>
      <c r="P3847" s="233"/>
      <c r="Q3847" s="224"/>
    </row>
    <row r="3848" spans="1:17" s="228" customFormat="1" ht="52.5" x14ac:dyDescent="0.25">
      <c r="A3848" s="226" t="str">
        <f>ORÇAMENTO!A720</f>
        <v>6.4.10</v>
      </c>
      <c r="B3848" s="227" t="str">
        <f>VLOOKUP(A3848,ORÇAMENTO!A:K,4,0)</f>
        <v>EXECUÇÃO E COMPACTAÇÃO DE BASE E OU SUB BASE PARA PAVIMENTAÇÃO DE SOLO (PREDOMINANTEMENTE ARENOSO) COM CAL (TEOR DE 4%) - EXCLUSIVE SOLO, ESCAVAÇÃO, CARGA E TRANSPORTE.</v>
      </c>
      <c r="C3848" s="173" t="str">
        <f>VLOOKUP(A3848,ORÇAMENTO!A:K,5,0)</f>
        <v>M³</v>
      </c>
      <c r="D3848" s="173">
        <f>SUM(E3865:O3865)</f>
        <v>0.82803186512953841</v>
      </c>
      <c r="E3848" s="173" t="s">
        <v>1718</v>
      </c>
      <c r="F3848" s="173" t="s">
        <v>1719</v>
      </c>
      <c r="G3848" s="173" t="s">
        <v>1720</v>
      </c>
      <c r="H3848" s="173" t="s">
        <v>1721</v>
      </c>
      <c r="I3848" s="173" t="s">
        <v>1722</v>
      </c>
      <c r="J3848" s="173" t="s">
        <v>1723</v>
      </c>
      <c r="K3848" s="173" t="s">
        <v>1724</v>
      </c>
      <c r="L3848" s="173" t="s">
        <v>1725</v>
      </c>
      <c r="M3848" s="173" t="s">
        <v>1726</v>
      </c>
      <c r="N3848" s="173" t="s">
        <v>1727</v>
      </c>
      <c r="O3848" s="173" t="s">
        <v>1728</v>
      </c>
      <c r="P3848" s="224"/>
      <c r="Q3848" s="224"/>
    </row>
    <row r="3849" spans="1:17" s="225" customFormat="1" ht="10.5" x14ac:dyDescent="0.25">
      <c r="A3849" s="229"/>
      <c r="B3849" s="232" t="s">
        <v>1877</v>
      </c>
      <c r="C3849" s="177"/>
      <c r="D3849" s="178"/>
      <c r="E3849" s="178"/>
      <c r="F3849" s="178"/>
      <c r="G3849" s="177">
        <v>0.15</v>
      </c>
      <c r="H3849" s="178"/>
      <c r="I3849" s="178"/>
      <c r="J3849" s="178"/>
      <c r="K3849" s="178"/>
      <c r="L3849" s="178"/>
      <c r="M3849" s="178"/>
      <c r="N3849" s="178"/>
      <c r="O3849" s="178"/>
      <c r="P3849" s="231"/>
      <c r="Q3849" s="224"/>
    </row>
    <row r="3850" spans="1:17" s="225" customFormat="1" ht="10.5" x14ac:dyDescent="0.25">
      <c r="A3850" s="229"/>
      <c r="B3850" s="230" t="s">
        <v>1876</v>
      </c>
      <c r="C3850" s="177"/>
      <c r="D3850" s="178"/>
      <c r="E3850" s="178"/>
      <c r="F3850" s="178"/>
      <c r="G3850" s="178"/>
      <c r="H3850" s="178"/>
      <c r="I3850" s="178"/>
      <c r="J3850" s="178"/>
      <c r="K3850" s="178"/>
      <c r="L3850" s="178"/>
      <c r="M3850" s="178"/>
      <c r="N3850" s="178"/>
      <c r="O3850" s="178"/>
      <c r="P3850" s="231"/>
      <c r="Q3850" s="224"/>
    </row>
    <row r="3851" spans="1:17" s="225" customFormat="1" ht="10.5" x14ac:dyDescent="0.25">
      <c r="A3851" s="229"/>
      <c r="B3851" s="230" t="str">
        <f t="shared" ref="B3851:B3860" si="120">B3833</f>
        <v>PV2-61</v>
      </c>
      <c r="C3851" s="177"/>
      <c r="D3851" s="178"/>
      <c r="E3851" s="178">
        <v>1.8</v>
      </c>
      <c r="F3851" s="178">
        <v>1.8</v>
      </c>
      <c r="G3851" s="178">
        <f t="shared" ref="G3851:G3860" si="121">IF(G3776&gt;0.15,IF(G3776&gt;=0.3,0.15,G3776-0.15),0)</f>
        <v>0</v>
      </c>
      <c r="H3851" s="178"/>
      <c r="I3851" s="178"/>
      <c r="J3851" s="178">
        <v>0.6</v>
      </c>
      <c r="K3851" s="178"/>
      <c r="L3851" s="178"/>
      <c r="M3851" s="178"/>
      <c r="N3851" s="178">
        <f t="shared" ref="N3851:N3860" si="122">(E3851*F3851)-(PI()*(J3851/2)^2)</f>
        <v>2.9572566611769187</v>
      </c>
      <c r="O3851" s="178">
        <f t="shared" ref="O3851:O3860" si="123">N3851*G3851</f>
        <v>0</v>
      </c>
      <c r="P3851" s="231"/>
      <c r="Q3851" s="224"/>
    </row>
    <row r="3852" spans="1:17" s="225" customFormat="1" ht="10.5" x14ac:dyDescent="0.25">
      <c r="A3852" s="229"/>
      <c r="B3852" s="230" t="str">
        <f t="shared" si="120"/>
        <v>PV1-63</v>
      </c>
      <c r="C3852" s="177"/>
      <c r="D3852" s="178"/>
      <c r="E3852" s="178">
        <v>1.8</v>
      </c>
      <c r="F3852" s="178">
        <v>1.8</v>
      </c>
      <c r="G3852" s="178">
        <f t="shared" si="121"/>
        <v>0</v>
      </c>
      <c r="H3852" s="178"/>
      <c r="I3852" s="178"/>
      <c r="J3852" s="178">
        <v>0.6</v>
      </c>
      <c r="K3852" s="178"/>
      <c r="L3852" s="178"/>
      <c r="M3852" s="178"/>
      <c r="N3852" s="178">
        <f t="shared" si="122"/>
        <v>2.9572566611769187</v>
      </c>
      <c r="O3852" s="178">
        <f t="shared" si="123"/>
        <v>0</v>
      </c>
      <c r="P3852" s="231"/>
      <c r="Q3852" s="224"/>
    </row>
    <row r="3853" spans="1:17" s="225" customFormat="1" ht="10.5" x14ac:dyDescent="0.25">
      <c r="A3853" s="229"/>
      <c r="B3853" s="230" t="str">
        <f t="shared" si="120"/>
        <v>PV1-64</v>
      </c>
      <c r="C3853" s="177"/>
      <c r="D3853" s="178"/>
      <c r="E3853" s="178">
        <v>1.8</v>
      </c>
      <c r="F3853" s="178">
        <v>1.8</v>
      </c>
      <c r="G3853" s="178">
        <f t="shared" si="121"/>
        <v>0</v>
      </c>
      <c r="H3853" s="178"/>
      <c r="I3853" s="178"/>
      <c r="J3853" s="178">
        <v>0.6</v>
      </c>
      <c r="K3853" s="178"/>
      <c r="L3853" s="178"/>
      <c r="M3853" s="178"/>
      <c r="N3853" s="178">
        <f t="shared" si="122"/>
        <v>2.9572566611769187</v>
      </c>
      <c r="O3853" s="178">
        <f t="shared" si="123"/>
        <v>0</v>
      </c>
      <c r="P3853" s="231"/>
      <c r="Q3853" s="224"/>
    </row>
    <row r="3854" spans="1:17" s="225" customFormat="1" ht="10.5" x14ac:dyDescent="0.25">
      <c r="A3854" s="229"/>
      <c r="B3854" s="230" t="str">
        <f t="shared" si="120"/>
        <v>PV1-65</v>
      </c>
      <c r="C3854" s="177"/>
      <c r="D3854" s="178"/>
      <c r="E3854" s="178">
        <v>1.8</v>
      </c>
      <c r="F3854" s="178">
        <v>1.8</v>
      </c>
      <c r="G3854" s="178">
        <f t="shared" si="121"/>
        <v>0</v>
      </c>
      <c r="H3854" s="178"/>
      <c r="I3854" s="178"/>
      <c r="J3854" s="178">
        <v>0.6</v>
      </c>
      <c r="K3854" s="178"/>
      <c r="L3854" s="178"/>
      <c r="M3854" s="178"/>
      <c r="N3854" s="178">
        <f t="shared" si="122"/>
        <v>2.9572566611769187</v>
      </c>
      <c r="O3854" s="178">
        <f t="shared" si="123"/>
        <v>0</v>
      </c>
      <c r="P3854" s="231"/>
      <c r="Q3854" s="224"/>
    </row>
    <row r="3855" spans="1:17" s="225" customFormat="1" ht="10.5" x14ac:dyDescent="0.25">
      <c r="A3855" s="229"/>
      <c r="B3855" s="230" t="str">
        <f t="shared" si="120"/>
        <v>PV1-66</v>
      </c>
      <c r="C3855" s="177"/>
      <c r="D3855" s="178"/>
      <c r="E3855" s="178">
        <v>1.8</v>
      </c>
      <c r="F3855" s="178">
        <v>1.8</v>
      </c>
      <c r="G3855" s="178">
        <f t="shared" si="121"/>
        <v>7.0000000000000007E-2</v>
      </c>
      <c r="H3855" s="178"/>
      <c r="I3855" s="178"/>
      <c r="J3855" s="178">
        <v>0.6</v>
      </c>
      <c r="K3855" s="178"/>
      <c r="L3855" s="178"/>
      <c r="M3855" s="178"/>
      <c r="N3855" s="178">
        <f t="shared" si="122"/>
        <v>2.9572566611769187</v>
      </c>
      <c r="O3855" s="178">
        <f t="shared" si="123"/>
        <v>0.20700796628238433</v>
      </c>
      <c r="P3855" s="231"/>
      <c r="Q3855" s="224"/>
    </row>
    <row r="3856" spans="1:17" s="225" customFormat="1" ht="10.5" x14ac:dyDescent="0.25">
      <c r="A3856" s="229"/>
      <c r="B3856" s="230" t="str">
        <f t="shared" si="120"/>
        <v>PV2-63</v>
      </c>
      <c r="C3856" s="177"/>
      <c r="D3856" s="178"/>
      <c r="E3856" s="178">
        <v>1.8</v>
      </c>
      <c r="F3856" s="178">
        <v>1.8</v>
      </c>
      <c r="G3856" s="178">
        <f t="shared" si="121"/>
        <v>0</v>
      </c>
      <c r="H3856" s="178"/>
      <c r="I3856" s="178"/>
      <c r="J3856" s="178">
        <v>0.6</v>
      </c>
      <c r="K3856" s="178"/>
      <c r="L3856" s="178"/>
      <c r="M3856" s="178"/>
      <c r="N3856" s="178">
        <f t="shared" si="122"/>
        <v>2.9572566611769187</v>
      </c>
      <c r="O3856" s="178">
        <f t="shared" si="123"/>
        <v>0</v>
      </c>
      <c r="P3856" s="231"/>
      <c r="Q3856" s="224"/>
    </row>
    <row r="3857" spans="1:17" s="225" customFormat="1" ht="10.5" x14ac:dyDescent="0.25">
      <c r="A3857" s="229"/>
      <c r="B3857" s="230" t="str">
        <f t="shared" si="120"/>
        <v>PV3-63</v>
      </c>
      <c r="C3857" s="177"/>
      <c r="D3857" s="178"/>
      <c r="E3857" s="178">
        <v>1.8</v>
      </c>
      <c r="F3857" s="178">
        <v>1.8</v>
      </c>
      <c r="G3857" s="178">
        <f t="shared" si="121"/>
        <v>1.9999999999999962E-2</v>
      </c>
      <c r="H3857" s="178"/>
      <c r="I3857" s="178"/>
      <c r="J3857" s="178">
        <v>0.6</v>
      </c>
      <c r="K3857" s="178"/>
      <c r="L3857" s="178"/>
      <c r="M3857" s="178"/>
      <c r="N3857" s="178">
        <f t="shared" si="122"/>
        <v>2.9572566611769187</v>
      </c>
      <c r="O3857" s="178">
        <f t="shared" si="123"/>
        <v>5.914513322353826E-2</v>
      </c>
      <c r="P3857" s="231"/>
      <c r="Q3857" s="224"/>
    </row>
    <row r="3858" spans="1:17" s="225" customFormat="1" ht="10.5" x14ac:dyDescent="0.25">
      <c r="A3858" s="229"/>
      <c r="B3858" s="230" t="str">
        <f t="shared" si="120"/>
        <v>PV5-63</v>
      </c>
      <c r="C3858" s="177"/>
      <c r="D3858" s="178"/>
      <c r="E3858" s="178">
        <v>1.8</v>
      </c>
      <c r="F3858" s="178">
        <v>1.8</v>
      </c>
      <c r="G3858" s="178">
        <f t="shared" si="121"/>
        <v>4.9999999999999989E-2</v>
      </c>
      <c r="H3858" s="178"/>
      <c r="I3858" s="178"/>
      <c r="J3858" s="178">
        <v>0.6</v>
      </c>
      <c r="K3858" s="178"/>
      <c r="L3858" s="178"/>
      <c r="M3858" s="178"/>
      <c r="N3858" s="178">
        <f t="shared" si="122"/>
        <v>2.9572566611769187</v>
      </c>
      <c r="O3858" s="178">
        <f t="shared" si="123"/>
        <v>0.1478628330588459</v>
      </c>
      <c r="P3858" s="231"/>
      <c r="Q3858" s="224"/>
    </row>
    <row r="3859" spans="1:17" s="225" customFormat="1" ht="10.5" x14ac:dyDescent="0.25">
      <c r="A3859" s="229"/>
      <c r="B3859" s="230" t="str">
        <f t="shared" si="120"/>
        <v>PV17-59</v>
      </c>
      <c r="C3859" s="177"/>
      <c r="D3859" s="178"/>
      <c r="E3859" s="178">
        <v>1.8</v>
      </c>
      <c r="F3859" s="178">
        <v>1.8</v>
      </c>
      <c r="G3859" s="178">
        <f t="shared" si="121"/>
        <v>4.0000000000000202E-2</v>
      </c>
      <c r="H3859" s="178"/>
      <c r="I3859" s="178"/>
      <c r="J3859" s="178">
        <v>0.6</v>
      </c>
      <c r="K3859" s="178"/>
      <c r="L3859" s="178"/>
      <c r="M3859" s="178"/>
      <c r="N3859" s="178">
        <f t="shared" si="122"/>
        <v>2.9572566611769187</v>
      </c>
      <c r="O3859" s="178">
        <f t="shared" si="123"/>
        <v>0.11829026644707734</v>
      </c>
      <c r="P3859" s="231"/>
      <c r="Q3859" s="224"/>
    </row>
    <row r="3860" spans="1:17" s="225" customFormat="1" ht="10.5" x14ac:dyDescent="0.25">
      <c r="A3860" s="229"/>
      <c r="B3860" s="230" t="str">
        <f t="shared" si="120"/>
        <v>PV18-59</v>
      </c>
      <c r="C3860" s="177"/>
      <c r="D3860" s="178"/>
      <c r="E3860" s="178">
        <v>1.8</v>
      </c>
      <c r="F3860" s="178">
        <v>1.8</v>
      </c>
      <c r="G3860" s="178">
        <f t="shared" si="121"/>
        <v>0.10000000000000023</v>
      </c>
      <c r="H3860" s="178"/>
      <c r="I3860" s="178"/>
      <c r="J3860" s="178">
        <v>0.6</v>
      </c>
      <c r="K3860" s="178"/>
      <c r="L3860" s="178"/>
      <c r="M3860" s="178"/>
      <c r="N3860" s="178">
        <f t="shared" si="122"/>
        <v>2.9572566611769187</v>
      </c>
      <c r="O3860" s="178">
        <f t="shared" si="123"/>
        <v>0.29572566611769252</v>
      </c>
      <c r="P3860" s="231"/>
      <c r="Q3860" s="224"/>
    </row>
    <row r="3861" spans="1:17" s="225" customFormat="1" ht="10.5" x14ac:dyDescent="0.25">
      <c r="A3861" s="229"/>
      <c r="B3861" s="230"/>
      <c r="C3861" s="177"/>
      <c r="D3861" s="178"/>
      <c r="E3861" s="178"/>
      <c r="F3861" s="178"/>
      <c r="G3861" s="178"/>
      <c r="H3861" s="178"/>
      <c r="I3861" s="178"/>
      <c r="J3861" s="178"/>
      <c r="K3861" s="178"/>
      <c r="L3861" s="178"/>
      <c r="M3861" s="178"/>
      <c r="N3861" s="178"/>
      <c r="O3861" s="178"/>
      <c r="P3861" s="231"/>
      <c r="Q3861" s="224"/>
    </row>
    <row r="3862" spans="1:17" s="225" customFormat="1" ht="10.5" x14ac:dyDescent="0.25">
      <c r="A3862" s="229"/>
      <c r="B3862" s="230"/>
      <c r="C3862" s="177"/>
      <c r="D3862" s="178"/>
      <c r="E3862" s="178"/>
      <c r="F3862" s="178"/>
      <c r="G3862" s="178"/>
      <c r="H3862" s="178"/>
      <c r="I3862" s="178"/>
      <c r="J3862" s="178"/>
      <c r="K3862" s="178"/>
      <c r="L3862" s="178"/>
      <c r="M3862" s="178"/>
      <c r="N3862" s="178"/>
      <c r="O3862" s="178"/>
      <c r="P3862" s="231"/>
      <c r="Q3862" s="224"/>
    </row>
    <row r="3863" spans="1:17" s="225" customFormat="1" ht="10.5" x14ac:dyDescent="0.25">
      <c r="A3863" s="229"/>
      <c r="B3863" s="230"/>
      <c r="C3863" s="177"/>
      <c r="D3863" s="178"/>
      <c r="E3863" s="178"/>
      <c r="F3863" s="178"/>
      <c r="G3863" s="178"/>
      <c r="H3863" s="178"/>
      <c r="I3863" s="178"/>
      <c r="J3863" s="178"/>
      <c r="K3863" s="178"/>
      <c r="L3863" s="178"/>
      <c r="M3863" s="178"/>
      <c r="N3863" s="178"/>
      <c r="O3863" s="178"/>
      <c r="P3863" s="231"/>
      <c r="Q3863" s="224"/>
    </row>
    <row r="3864" spans="1:17" s="225" customFormat="1" ht="10.5" x14ac:dyDescent="0.25">
      <c r="A3864" s="229"/>
      <c r="B3864" s="230"/>
      <c r="C3864" s="177"/>
      <c r="D3864" s="178"/>
      <c r="E3864" s="178"/>
      <c r="F3864" s="178"/>
      <c r="G3864" s="178"/>
      <c r="H3864" s="178"/>
      <c r="I3864" s="178"/>
      <c r="J3864" s="178"/>
      <c r="K3864" s="178"/>
      <c r="L3864" s="180"/>
      <c r="M3864" s="178"/>
      <c r="N3864" s="178"/>
      <c r="O3864" s="178"/>
      <c r="P3864" s="231"/>
      <c r="Q3864" s="224"/>
    </row>
    <row r="3865" spans="1:17" s="225" customFormat="1" ht="10.5" x14ac:dyDescent="0.25">
      <c r="A3865" s="229"/>
      <c r="B3865" s="232" t="s">
        <v>5</v>
      </c>
      <c r="C3865" s="182" t="s">
        <v>1328</v>
      </c>
      <c r="D3865" s="182"/>
      <c r="E3865" s="182"/>
      <c r="F3865" s="182"/>
      <c r="G3865" s="182"/>
      <c r="H3865" s="182"/>
      <c r="I3865" s="182"/>
      <c r="J3865" s="182"/>
      <c r="K3865" s="182"/>
      <c r="L3865" s="182"/>
      <c r="M3865" s="182"/>
      <c r="N3865" s="182"/>
      <c r="O3865" s="182">
        <f>SUM(O3851:O3864)</f>
        <v>0.82803186512953841</v>
      </c>
      <c r="P3865" s="233"/>
      <c r="Q3865" s="224"/>
    </row>
    <row r="3866" spans="1:17" s="228" customFormat="1" ht="21" x14ac:dyDescent="0.25">
      <c r="A3866" s="226"/>
      <c r="B3866" s="227" t="s">
        <v>395</v>
      </c>
      <c r="C3866" s="173" t="s">
        <v>268</v>
      </c>
      <c r="D3866" s="173">
        <f>SUM(E3883:O3883)</f>
        <v>0</v>
      </c>
      <c r="E3866" s="173" t="s">
        <v>1718</v>
      </c>
      <c r="F3866" s="173" t="s">
        <v>1719</v>
      </c>
      <c r="G3866" s="173" t="s">
        <v>1720</v>
      </c>
      <c r="H3866" s="173" t="s">
        <v>1721</v>
      </c>
      <c r="I3866" s="173" t="s">
        <v>1722</v>
      </c>
      <c r="J3866" s="173" t="s">
        <v>1723</v>
      </c>
      <c r="K3866" s="173" t="s">
        <v>1724</v>
      </c>
      <c r="L3866" s="173" t="s">
        <v>1725</v>
      </c>
      <c r="M3866" s="173" t="s">
        <v>1726</v>
      </c>
      <c r="N3866" s="173" t="s">
        <v>1727</v>
      </c>
      <c r="O3866" s="173" t="s">
        <v>1728</v>
      </c>
      <c r="P3866" s="224"/>
      <c r="Q3866" s="224"/>
    </row>
    <row r="3867" spans="1:17" s="225" customFormat="1" ht="10.5" x14ac:dyDescent="0.25">
      <c r="A3867" s="229"/>
      <c r="B3867" s="232"/>
      <c r="C3867" s="177"/>
      <c r="D3867" s="178"/>
      <c r="E3867" s="178"/>
      <c r="F3867" s="178"/>
      <c r="G3867" s="178"/>
      <c r="H3867" s="178"/>
      <c r="I3867" s="178"/>
      <c r="J3867" s="178"/>
      <c r="K3867" s="178"/>
      <c r="L3867" s="178"/>
      <c r="M3867" s="178"/>
      <c r="N3867" s="178"/>
      <c r="O3867" s="178"/>
      <c r="P3867" s="231"/>
      <c r="Q3867" s="224"/>
    </row>
    <row r="3868" spans="1:17" s="225" customFormat="1" ht="10.5" x14ac:dyDescent="0.25">
      <c r="A3868" s="229"/>
      <c r="B3868" s="230" t="s">
        <v>1876</v>
      </c>
      <c r="C3868" s="177"/>
      <c r="D3868" s="178"/>
      <c r="E3868" s="178"/>
      <c r="F3868" s="178"/>
      <c r="G3868" s="178"/>
      <c r="H3868" s="178"/>
      <c r="I3868" s="178"/>
      <c r="J3868" s="178"/>
      <c r="K3868" s="178"/>
      <c r="L3868" s="178"/>
      <c r="M3868" s="178"/>
      <c r="N3868" s="178"/>
      <c r="O3868" s="178"/>
      <c r="P3868" s="231"/>
      <c r="Q3868" s="224"/>
    </row>
    <row r="3869" spans="1:17" s="225" customFormat="1" ht="10.5" x14ac:dyDescent="0.25">
      <c r="A3869" s="229"/>
      <c r="B3869" s="230" t="s">
        <v>1645</v>
      </c>
      <c r="C3869" s="177"/>
      <c r="D3869" s="178"/>
      <c r="E3869" s="178">
        <v>1.8</v>
      </c>
      <c r="F3869" s="178">
        <v>1.8</v>
      </c>
      <c r="G3869" s="178">
        <f t="shared" ref="G3869:G3878" si="124">IF(G3776&lt;=0.3,0,G3776-0.3)</f>
        <v>0</v>
      </c>
      <c r="H3869" s="178"/>
      <c r="I3869" s="178"/>
      <c r="J3869" s="178">
        <v>0.6</v>
      </c>
      <c r="K3869" s="178"/>
      <c r="L3869" s="178"/>
      <c r="M3869" s="178"/>
      <c r="N3869" s="178">
        <f t="shared" ref="N3869:N3878" si="125">(E3869*F3869)-(PI()*(J3869/2)^2)</f>
        <v>2.9572566611769187</v>
      </c>
      <c r="O3869" s="178">
        <f t="shared" ref="O3869:O3878" si="126">N3869*G3869</f>
        <v>0</v>
      </c>
      <c r="P3869" s="231"/>
      <c r="Q3869" s="224"/>
    </row>
    <row r="3870" spans="1:17" s="225" customFormat="1" ht="10.5" x14ac:dyDescent="0.25">
      <c r="A3870" s="229"/>
      <c r="B3870" s="230" t="s">
        <v>1894</v>
      </c>
      <c r="C3870" s="177"/>
      <c r="D3870" s="178"/>
      <c r="E3870" s="178">
        <v>1.8</v>
      </c>
      <c r="F3870" s="178">
        <v>1.8</v>
      </c>
      <c r="G3870" s="178">
        <f t="shared" si="124"/>
        <v>0</v>
      </c>
      <c r="H3870" s="178"/>
      <c r="I3870" s="178"/>
      <c r="J3870" s="178">
        <v>0.6</v>
      </c>
      <c r="K3870" s="178"/>
      <c r="L3870" s="178"/>
      <c r="M3870" s="178"/>
      <c r="N3870" s="178">
        <f t="shared" si="125"/>
        <v>2.9572566611769187</v>
      </c>
      <c r="O3870" s="178">
        <f t="shared" si="126"/>
        <v>0</v>
      </c>
      <c r="P3870" s="231"/>
      <c r="Q3870" s="224"/>
    </row>
    <row r="3871" spans="1:17" s="225" customFormat="1" ht="10.5" x14ac:dyDescent="0.25">
      <c r="A3871" s="229"/>
      <c r="B3871" s="230" t="s">
        <v>1895</v>
      </c>
      <c r="C3871" s="177"/>
      <c r="D3871" s="178"/>
      <c r="E3871" s="178">
        <v>1.8</v>
      </c>
      <c r="F3871" s="178">
        <v>1.8</v>
      </c>
      <c r="G3871" s="178">
        <f t="shared" si="124"/>
        <v>0</v>
      </c>
      <c r="H3871" s="178"/>
      <c r="I3871" s="178"/>
      <c r="J3871" s="178">
        <v>0.6</v>
      </c>
      <c r="K3871" s="178"/>
      <c r="L3871" s="178"/>
      <c r="M3871" s="178"/>
      <c r="N3871" s="178">
        <f t="shared" si="125"/>
        <v>2.9572566611769187</v>
      </c>
      <c r="O3871" s="178">
        <f t="shared" si="126"/>
        <v>0</v>
      </c>
      <c r="P3871" s="231"/>
      <c r="Q3871" s="224"/>
    </row>
    <row r="3872" spans="1:17" s="225" customFormat="1" ht="10.5" x14ac:dyDescent="0.25">
      <c r="A3872" s="229"/>
      <c r="B3872" s="230" t="s">
        <v>1650</v>
      </c>
      <c r="C3872" s="177"/>
      <c r="D3872" s="178"/>
      <c r="E3872" s="178">
        <v>1.8</v>
      </c>
      <c r="F3872" s="178">
        <v>1.8</v>
      </c>
      <c r="G3872" s="178">
        <f t="shared" si="124"/>
        <v>0</v>
      </c>
      <c r="H3872" s="178"/>
      <c r="I3872" s="178"/>
      <c r="J3872" s="178">
        <v>0.6</v>
      </c>
      <c r="K3872" s="178"/>
      <c r="L3872" s="178"/>
      <c r="M3872" s="178"/>
      <c r="N3872" s="178">
        <f t="shared" si="125"/>
        <v>2.9572566611769187</v>
      </c>
      <c r="O3872" s="178">
        <f t="shared" si="126"/>
        <v>0</v>
      </c>
      <c r="P3872" s="231"/>
      <c r="Q3872" s="224"/>
    </row>
    <row r="3873" spans="1:17" s="225" customFormat="1" ht="10.5" x14ac:dyDescent="0.25">
      <c r="A3873" s="229"/>
      <c r="B3873" s="230" t="s">
        <v>1652</v>
      </c>
      <c r="C3873" s="177"/>
      <c r="D3873" s="178"/>
      <c r="E3873" s="178">
        <v>1.8</v>
      </c>
      <c r="F3873" s="178">
        <v>1.8</v>
      </c>
      <c r="G3873" s="178">
        <f t="shared" si="124"/>
        <v>0</v>
      </c>
      <c r="H3873" s="178"/>
      <c r="I3873" s="178"/>
      <c r="J3873" s="178">
        <v>0.6</v>
      </c>
      <c r="K3873" s="178"/>
      <c r="L3873" s="178"/>
      <c r="M3873" s="178"/>
      <c r="N3873" s="178">
        <f t="shared" si="125"/>
        <v>2.9572566611769187</v>
      </c>
      <c r="O3873" s="178">
        <f t="shared" si="126"/>
        <v>0</v>
      </c>
      <c r="P3873" s="231"/>
      <c r="Q3873" s="224"/>
    </row>
    <row r="3874" spans="1:17" s="225" customFormat="1" ht="10.5" x14ac:dyDescent="0.25">
      <c r="A3874" s="229"/>
      <c r="B3874" s="230" t="s">
        <v>1896</v>
      </c>
      <c r="C3874" s="177"/>
      <c r="D3874" s="178"/>
      <c r="E3874" s="178">
        <v>1.8</v>
      </c>
      <c r="F3874" s="178">
        <v>1.8</v>
      </c>
      <c r="G3874" s="178">
        <f t="shared" si="124"/>
        <v>0</v>
      </c>
      <c r="H3874" s="178"/>
      <c r="I3874" s="178"/>
      <c r="J3874" s="178">
        <v>0.6</v>
      </c>
      <c r="K3874" s="178"/>
      <c r="L3874" s="178"/>
      <c r="M3874" s="178"/>
      <c r="N3874" s="178">
        <f t="shared" si="125"/>
        <v>2.9572566611769187</v>
      </c>
      <c r="O3874" s="178">
        <f t="shared" si="126"/>
        <v>0</v>
      </c>
      <c r="P3874" s="231"/>
      <c r="Q3874" s="224"/>
    </row>
    <row r="3875" spans="1:17" s="225" customFormat="1" ht="10.5" x14ac:dyDescent="0.25">
      <c r="A3875" s="229"/>
      <c r="B3875" s="230" t="s">
        <v>1646</v>
      </c>
      <c r="C3875" s="177"/>
      <c r="D3875" s="178"/>
      <c r="E3875" s="178">
        <v>1.8</v>
      </c>
      <c r="F3875" s="178">
        <v>1.8</v>
      </c>
      <c r="G3875" s="178">
        <f t="shared" si="124"/>
        <v>0</v>
      </c>
      <c r="H3875" s="178"/>
      <c r="I3875" s="178"/>
      <c r="J3875" s="178">
        <v>0.6</v>
      </c>
      <c r="K3875" s="178"/>
      <c r="L3875" s="178"/>
      <c r="M3875" s="178"/>
      <c r="N3875" s="178">
        <f t="shared" si="125"/>
        <v>2.9572566611769187</v>
      </c>
      <c r="O3875" s="178">
        <f t="shared" si="126"/>
        <v>0</v>
      </c>
      <c r="P3875" s="231"/>
      <c r="Q3875" s="224"/>
    </row>
    <row r="3876" spans="1:17" s="225" customFormat="1" ht="10.5" x14ac:dyDescent="0.25">
      <c r="A3876" s="229"/>
      <c r="B3876" s="230" t="s">
        <v>1648</v>
      </c>
      <c r="C3876" s="177"/>
      <c r="D3876" s="178"/>
      <c r="E3876" s="178">
        <v>1.8</v>
      </c>
      <c r="F3876" s="178">
        <v>1.8</v>
      </c>
      <c r="G3876" s="178">
        <f t="shared" si="124"/>
        <v>0</v>
      </c>
      <c r="H3876" s="178"/>
      <c r="I3876" s="178"/>
      <c r="J3876" s="178">
        <v>0.6</v>
      </c>
      <c r="K3876" s="178"/>
      <c r="L3876" s="178"/>
      <c r="M3876" s="178"/>
      <c r="N3876" s="178">
        <f t="shared" si="125"/>
        <v>2.9572566611769187</v>
      </c>
      <c r="O3876" s="178">
        <f t="shared" si="126"/>
        <v>0</v>
      </c>
      <c r="P3876" s="231"/>
      <c r="Q3876" s="224"/>
    </row>
    <row r="3877" spans="1:17" s="225" customFormat="1" ht="10.5" x14ac:dyDescent="0.25">
      <c r="A3877" s="229"/>
      <c r="B3877" s="230" t="s">
        <v>1897</v>
      </c>
      <c r="C3877" s="177"/>
      <c r="D3877" s="178"/>
      <c r="E3877" s="178">
        <v>1.8</v>
      </c>
      <c r="F3877" s="178">
        <v>1.8</v>
      </c>
      <c r="G3877" s="178">
        <f t="shared" si="124"/>
        <v>0</v>
      </c>
      <c r="H3877" s="178"/>
      <c r="I3877" s="178"/>
      <c r="J3877" s="178">
        <v>0.6</v>
      </c>
      <c r="K3877" s="178"/>
      <c r="L3877" s="178"/>
      <c r="M3877" s="178"/>
      <c r="N3877" s="178">
        <f t="shared" si="125"/>
        <v>2.9572566611769187</v>
      </c>
      <c r="O3877" s="178">
        <f t="shared" si="126"/>
        <v>0</v>
      </c>
      <c r="P3877" s="231"/>
      <c r="Q3877" s="224"/>
    </row>
    <row r="3878" spans="1:17" s="225" customFormat="1" ht="10.5" x14ac:dyDescent="0.25">
      <c r="A3878" s="229"/>
      <c r="B3878" s="230" t="s">
        <v>1643</v>
      </c>
      <c r="C3878" s="177"/>
      <c r="D3878" s="178"/>
      <c r="E3878" s="178">
        <v>1.8</v>
      </c>
      <c r="F3878" s="178">
        <v>1.8</v>
      </c>
      <c r="G3878" s="178">
        <f t="shared" si="124"/>
        <v>0</v>
      </c>
      <c r="H3878" s="178"/>
      <c r="I3878" s="178"/>
      <c r="J3878" s="178">
        <v>0.6</v>
      </c>
      <c r="K3878" s="178"/>
      <c r="L3878" s="178"/>
      <c r="M3878" s="178"/>
      <c r="N3878" s="178">
        <f t="shared" si="125"/>
        <v>2.9572566611769187</v>
      </c>
      <c r="O3878" s="178">
        <f t="shared" si="126"/>
        <v>0</v>
      </c>
      <c r="P3878" s="231"/>
      <c r="Q3878" s="224"/>
    </row>
    <row r="3879" spans="1:17" s="225" customFormat="1" ht="10.5" x14ac:dyDescent="0.25">
      <c r="A3879" s="229"/>
      <c r="B3879" s="230"/>
      <c r="C3879" s="177"/>
      <c r="D3879" s="178"/>
      <c r="E3879" s="178"/>
      <c r="F3879" s="178"/>
      <c r="G3879" s="178"/>
      <c r="H3879" s="178"/>
      <c r="I3879" s="178"/>
      <c r="J3879" s="178"/>
      <c r="K3879" s="178"/>
      <c r="L3879" s="178"/>
      <c r="M3879" s="178"/>
      <c r="N3879" s="178"/>
      <c r="O3879" s="178"/>
      <c r="P3879" s="231"/>
      <c r="Q3879" s="224"/>
    </row>
    <row r="3880" spans="1:17" s="225" customFormat="1" ht="10.5" x14ac:dyDescent="0.25">
      <c r="A3880" s="229"/>
      <c r="B3880" s="230"/>
      <c r="C3880" s="177"/>
      <c r="D3880" s="178"/>
      <c r="E3880" s="178"/>
      <c r="F3880" s="178"/>
      <c r="G3880" s="178"/>
      <c r="H3880" s="178"/>
      <c r="I3880" s="178"/>
      <c r="J3880" s="178"/>
      <c r="K3880" s="178"/>
      <c r="L3880" s="178"/>
      <c r="M3880" s="178"/>
      <c r="N3880" s="178"/>
      <c r="O3880" s="178"/>
      <c r="P3880" s="231"/>
      <c r="Q3880" s="224"/>
    </row>
    <row r="3881" spans="1:17" s="225" customFormat="1" ht="10.5" x14ac:dyDescent="0.25">
      <c r="A3881" s="229"/>
      <c r="B3881" s="230"/>
      <c r="C3881" s="177"/>
      <c r="D3881" s="178"/>
      <c r="E3881" s="178"/>
      <c r="F3881" s="178"/>
      <c r="G3881" s="178"/>
      <c r="H3881" s="178"/>
      <c r="I3881" s="178"/>
      <c r="J3881" s="178"/>
      <c r="K3881" s="178"/>
      <c r="L3881" s="178"/>
      <c r="M3881" s="178"/>
      <c r="N3881" s="178"/>
      <c r="O3881" s="178"/>
      <c r="P3881" s="231"/>
      <c r="Q3881" s="224"/>
    </row>
    <row r="3882" spans="1:17" s="225" customFormat="1" ht="10.5" x14ac:dyDescent="0.25">
      <c r="A3882" s="229"/>
      <c r="B3882" s="230"/>
      <c r="C3882" s="177"/>
      <c r="D3882" s="178"/>
      <c r="E3882" s="178"/>
      <c r="F3882" s="178"/>
      <c r="G3882" s="178"/>
      <c r="H3882" s="178"/>
      <c r="I3882" s="178"/>
      <c r="J3882" s="178"/>
      <c r="K3882" s="178"/>
      <c r="L3882" s="180"/>
      <c r="M3882" s="178"/>
      <c r="N3882" s="178"/>
      <c r="O3882" s="178"/>
      <c r="P3882" s="231"/>
      <c r="Q3882" s="224"/>
    </row>
    <row r="3883" spans="1:17" s="225" customFormat="1" ht="10.5" x14ac:dyDescent="0.25">
      <c r="A3883" s="229"/>
      <c r="B3883" s="232" t="s">
        <v>5</v>
      </c>
      <c r="C3883" s="182" t="s">
        <v>1328</v>
      </c>
      <c r="D3883" s="182"/>
      <c r="E3883" s="182"/>
      <c r="F3883" s="182"/>
      <c r="G3883" s="182"/>
      <c r="H3883" s="182"/>
      <c r="I3883" s="182"/>
      <c r="J3883" s="182"/>
      <c r="K3883" s="182"/>
      <c r="L3883" s="182"/>
      <c r="M3883" s="182"/>
      <c r="N3883" s="182"/>
      <c r="O3883" s="182">
        <f>SUM(O3869:O3882)</f>
        <v>0</v>
      </c>
      <c r="P3883" s="233"/>
      <c r="Q3883" s="224"/>
    </row>
    <row r="3884" spans="1:17" s="228" customFormat="1" ht="21" x14ac:dyDescent="0.25">
      <c r="A3884" s="226"/>
      <c r="B3884" s="227" t="s">
        <v>1898</v>
      </c>
      <c r="C3884" s="173" t="s">
        <v>268</v>
      </c>
      <c r="D3884" s="173">
        <f>SUM(E3901:O3901)</f>
        <v>0</v>
      </c>
      <c r="E3884" s="173" t="s">
        <v>1718</v>
      </c>
      <c r="F3884" s="173" t="s">
        <v>1719</v>
      </c>
      <c r="G3884" s="173" t="s">
        <v>1720</v>
      </c>
      <c r="H3884" s="173" t="s">
        <v>1721</v>
      </c>
      <c r="I3884" s="173" t="s">
        <v>1722</v>
      </c>
      <c r="J3884" s="173" t="s">
        <v>1723</v>
      </c>
      <c r="K3884" s="173" t="s">
        <v>1724</v>
      </c>
      <c r="L3884" s="173" t="s">
        <v>1725</v>
      </c>
      <c r="M3884" s="173" t="s">
        <v>1726</v>
      </c>
      <c r="N3884" s="173" t="s">
        <v>1727</v>
      </c>
      <c r="O3884" s="173" t="s">
        <v>1728</v>
      </c>
      <c r="P3884" s="224"/>
      <c r="Q3884" s="224"/>
    </row>
    <row r="3885" spans="1:17" s="225" customFormat="1" ht="10.5" x14ac:dyDescent="0.25">
      <c r="A3885" s="229"/>
      <c r="B3885" s="232"/>
      <c r="C3885" s="177"/>
      <c r="D3885" s="178"/>
      <c r="E3885" s="178"/>
      <c r="F3885" s="178"/>
      <c r="G3885" s="178"/>
      <c r="H3885" s="178"/>
      <c r="I3885" s="178"/>
      <c r="J3885" s="178"/>
      <c r="K3885" s="178"/>
      <c r="L3885" s="178"/>
      <c r="M3885" s="178"/>
      <c r="N3885" s="178"/>
      <c r="O3885" s="178"/>
      <c r="P3885" s="231"/>
      <c r="Q3885" s="224"/>
    </row>
    <row r="3886" spans="1:17" s="225" customFormat="1" ht="10.5" x14ac:dyDescent="0.25">
      <c r="A3886" s="229"/>
      <c r="B3886" s="230" t="str">
        <f t="shared" ref="B3886:B3896" si="127">B3868</f>
        <v>VOLUME = VOLUME DEMOLIDO - VOLUME DO PV</v>
      </c>
      <c r="C3886" s="177"/>
      <c r="D3886" s="178"/>
      <c r="E3886" s="178"/>
      <c r="F3886" s="178"/>
      <c r="G3886" s="178"/>
      <c r="H3886" s="178"/>
      <c r="I3886" s="178"/>
      <c r="J3886" s="178"/>
      <c r="K3886" s="178"/>
      <c r="L3886" s="178"/>
      <c r="M3886" s="178"/>
      <c r="N3886" s="178"/>
      <c r="O3886" s="178"/>
      <c r="P3886" s="231"/>
      <c r="Q3886" s="224"/>
    </row>
    <row r="3887" spans="1:17" s="225" customFormat="1" ht="10.5" x14ac:dyDescent="0.25">
      <c r="A3887" s="229"/>
      <c r="B3887" s="230" t="str">
        <f t="shared" si="127"/>
        <v>PV2-61</v>
      </c>
      <c r="C3887" s="177"/>
      <c r="D3887" s="178"/>
      <c r="E3887" s="178">
        <f t="shared" ref="E3887:G3896" si="128">E3869</f>
        <v>1.8</v>
      </c>
      <c r="F3887" s="178">
        <f t="shared" si="128"/>
        <v>1.8</v>
      </c>
      <c r="G3887" s="178">
        <f t="shared" si="128"/>
        <v>0</v>
      </c>
      <c r="H3887" s="178"/>
      <c r="I3887" s="178"/>
      <c r="J3887" s="178">
        <f t="shared" ref="J3887:J3896" si="129">J3869</f>
        <v>0.6</v>
      </c>
      <c r="K3887" s="178"/>
      <c r="L3887" s="178"/>
      <c r="M3887" s="178"/>
      <c r="N3887" s="178">
        <f t="shared" ref="N3887:N3896" si="130">(E3887*F3887)-(PI()*(J3887/2)^2)</f>
        <v>2.9572566611769187</v>
      </c>
      <c r="O3887" s="178">
        <f t="shared" ref="O3887:O3896" si="131">N3887*G3887</f>
        <v>0</v>
      </c>
      <c r="P3887" s="231"/>
      <c r="Q3887" s="224"/>
    </row>
    <row r="3888" spans="1:17" s="225" customFormat="1" ht="10.5" x14ac:dyDescent="0.25">
      <c r="A3888" s="229"/>
      <c r="B3888" s="230" t="str">
        <f t="shared" si="127"/>
        <v>PV1-63</v>
      </c>
      <c r="C3888" s="177"/>
      <c r="D3888" s="178"/>
      <c r="E3888" s="178">
        <f t="shared" si="128"/>
        <v>1.8</v>
      </c>
      <c r="F3888" s="178">
        <f t="shared" si="128"/>
        <v>1.8</v>
      </c>
      <c r="G3888" s="178">
        <f t="shared" si="128"/>
        <v>0</v>
      </c>
      <c r="H3888" s="178"/>
      <c r="I3888" s="178"/>
      <c r="J3888" s="178">
        <f t="shared" si="129"/>
        <v>0.6</v>
      </c>
      <c r="K3888" s="178"/>
      <c r="L3888" s="178"/>
      <c r="M3888" s="178"/>
      <c r="N3888" s="178">
        <f t="shared" si="130"/>
        <v>2.9572566611769187</v>
      </c>
      <c r="O3888" s="178">
        <f t="shared" si="131"/>
        <v>0</v>
      </c>
      <c r="P3888" s="231"/>
      <c r="Q3888" s="224"/>
    </row>
    <row r="3889" spans="1:17" s="225" customFormat="1" ht="10.5" x14ac:dyDescent="0.25">
      <c r="A3889" s="229"/>
      <c r="B3889" s="230" t="str">
        <f t="shared" si="127"/>
        <v>PV1-64</v>
      </c>
      <c r="C3889" s="177"/>
      <c r="D3889" s="178"/>
      <c r="E3889" s="178">
        <f t="shared" si="128"/>
        <v>1.8</v>
      </c>
      <c r="F3889" s="178">
        <f t="shared" si="128"/>
        <v>1.8</v>
      </c>
      <c r="G3889" s="178">
        <f t="shared" si="128"/>
        <v>0</v>
      </c>
      <c r="H3889" s="178"/>
      <c r="I3889" s="178"/>
      <c r="J3889" s="178">
        <f t="shared" si="129"/>
        <v>0.6</v>
      </c>
      <c r="K3889" s="178"/>
      <c r="L3889" s="178"/>
      <c r="M3889" s="178"/>
      <c r="N3889" s="178">
        <f t="shared" si="130"/>
        <v>2.9572566611769187</v>
      </c>
      <c r="O3889" s="178">
        <f t="shared" si="131"/>
        <v>0</v>
      </c>
      <c r="P3889" s="231"/>
      <c r="Q3889" s="224"/>
    </row>
    <row r="3890" spans="1:17" s="225" customFormat="1" ht="10.5" x14ac:dyDescent="0.25">
      <c r="A3890" s="229"/>
      <c r="B3890" s="230" t="str">
        <f t="shared" si="127"/>
        <v>PV1-65</v>
      </c>
      <c r="C3890" s="177"/>
      <c r="D3890" s="178"/>
      <c r="E3890" s="178">
        <f t="shared" si="128"/>
        <v>1.8</v>
      </c>
      <c r="F3890" s="178">
        <f t="shared" si="128"/>
        <v>1.8</v>
      </c>
      <c r="G3890" s="178">
        <f t="shared" si="128"/>
        <v>0</v>
      </c>
      <c r="H3890" s="178"/>
      <c r="I3890" s="178"/>
      <c r="J3890" s="178">
        <f t="shared" si="129"/>
        <v>0.6</v>
      </c>
      <c r="K3890" s="178"/>
      <c r="L3890" s="178"/>
      <c r="M3890" s="178"/>
      <c r="N3890" s="178">
        <f t="shared" si="130"/>
        <v>2.9572566611769187</v>
      </c>
      <c r="O3890" s="178">
        <f t="shared" si="131"/>
        <v>0</v>
      </c>
      <c r="P3890" s="231"/>
      <c r="Q3890" s="224"/>
    </row>
    <row r="3891" spans="1:17" s="225" customFormat="1" ht="10.5" x14ac:dyDescent="0.25">
      <c r="A3891" s="229"/>
      <c r="B3891" s="230" t="str">
        <f t="shared" si="127"/>
        <v>PV1-66</v>
      </c>
      <c r="C3891" s="177"/>
      <c r="D3891" s="178"/>
      <c r="E3891" s="178">
        <f t="shared" si="128"/>
        <v>1.8</v>
      </c>
      <c r="F3891" s="178">
        <f t="shared" si="128"/>
        <v>1.8</v>
      </c>
      <c r="G3891" s="178">
        <f t="shared" si="128"/>
        <v>0</v>
      </c>
      <c r="H3891" s="178"/>
      <c r="I3891" s="178"/>
      <c r="J3891" s="178">
        <f t="shared" si="129"/>
        <v>0.6</v>
      </c>
      <c r="K3891" s="178"/>
      <c r="L3891" s="178"/>
      <c r="M3891" s="178"/>
      <c r="N3891" s="178">
        <f t="shared" si="130"/>
        <v>2.9572566611769187</v>
      </c>
      <c r="O3891" s="178">
        <f t="shared" si="131"/>
        <v>0</v>
      </c>
      <c r="P3891" s="231"/>
      <c r="Q3891" s="224"/>
    </row>
    <row r="3892" spans="1:17" s="225" customFormat="1" ht="10.5" x14ac:dyDescent="0.25">
      <c r="A3892" s="229"/>
      <c r="B3892" s="230" t="str">
        <f t="shared" si="127"/>
        <v>PV2-63</v>
      </c>
      <c r="C3892" s="177"/>
      <c r="D3892" s="178"/>
      <c r="E3892" s="178">
        <f t="shared" si="128"/>
        <v>1.8</v>
      </c>
      <c r="F3892" s="178">
        <f t="shared" si="128"/>
        <v>1.8</v>
      </c>
      <c r="G3892" s="178">
        <f t="shared" si="128"/>
        <v>0</v>
      </c>
      <c r="H3892" s="178"/>
      <c r="I3892" s="178"/>
      <c r="J3892" s="178">
        <f t="shared" si="129"/>
        <v>0.6</v>
      </c>
      <c r="K3892" s="178"/>
      <c r="L3892" s="178"/>
      <c r="M3892" s="178"/>
      <c r="N3892" s="178">
        <f t="shared" si="130"/>
        <v>2.9572566611769187</v>
      </c>
      <c r="O3892" s="178">
        <f t="shared" si="131"/>
        <v>0</v>
      </c>
      <c r="P3892" s="231"/>
      <c r="Q3892" s="224"/>
    </row>
    <row r="3893" spans="1:17" s="225" customFormat="1" ht="10.5" x14ac:dyDescent="0.25">
      <c r="A3893" s="229"/>
      <c r="B3893" s="230" t="str">
        <f t="shared" si="127"/>
        <v>PV3-63</v>
      </c>
      <c r="C3893" s="177"/>
      <c r="D3893" s="178"/>
      <c r="E3893" s="178">
        <f t="shared" si="128"/>
        <v>1.8</v>
      </c>
      <c r="F3893" s="178">
        <f t="shared" si="128"/>
        <v>1.8</v>
      </c>
      <c r="G3893" s="178">
        <f t="shared" si="128"/>
        <v>0</v>
      </c>
      <c r="H3893" s="178"/>
      <c r="I3893" s="178"/>
      <c r="J3893" s="178">
        <f t="shared" si="129"/>
        <v>0.6</v>
      </c>
      <c r="K3893" s="178"/>
      <c r="L3893" s="178"/>
      <c r="M3893" s="178"/>
      <c r="N3893" s="178">
        <f t="shared" si="130"/>
        <v>2.9572566611769187</v>
      </c>
      <c r="O3893" s="178">
        <f t="shared" si="131"/>
        <v>0</v>
      </c>
      <c r="P3893" s="231"/>
      <c r="Q3893" s="224"/>
    </row>
    <row r="3894" spans="1:17" s="225" customFormat="1" ht="10.5" x14ac:dyDescent="0.25">
      <c r="A3894" s="229"/>
      <c r="B3894" s="230" t="str">
        <f t="shared" si="127"/>
        <v>PV5-63</v>
      </c>
      <c r="C3894" s="177"/>
      <c r="D3894" s="178"/>
      <c r="E3894" s="178">
        <f t="shared" si="128"/>
        <v>1.8</v>
      </c>
      <c r="F3894" s="178">
        <f t="shared" si="128"/>
        <v>1.8</v>
      </c>
      <c r="G3894" s="178">
        <f t="shared" si="128"/>
        <v>0</v>
      </c>
      <c r="H3894" s="178"/>
      <c r="I3894" s="178"/>
      <c r="J3894" s="178">
        <f t="shared" si="129"/>
        <v>0.6</v>
      </c>
      <c r="K3894" s="178"/>
      <c r="L3894" s="178"/>
      <c r="M3894" s="178"/>
      <c r="N3894" s="178">
        <f t="shared" si="130"/>
        <v>2.9572566611769187</v>
      </c>
      <c r="O3894" s="178">
        <f t="shared" si="131"/>
        <v>0</v>
      </c>
      <c r="P3894" s="231"/>
      <c r="Q3894" s="224"/>
    </row>
    <row r="3895" spans="1:17" s="225" customFormat="1" ht="10.5" x14ac:dyDescent="0.25">
      <c r="A3895" s="229"/>
      <c r="B3895" s="230" t="str">
        <f t="shared" si="127"/>
        <v>PV17-59</v>
      </c>
      <c r="C3895" s="177"/>
      <c r="D3895" s="178"/>
      <c r="E3895" s="178">
        <f t="shared" si="128"/>
        <v>1.8</v>
      </c>
      <c r="F3895" s="178">
        <f t="shared" si="128"/>
        <v>1.8</v>
      </c>
      <c r="G3895" s="178">
        <f t="shared" si="128"/>
        <v>0</v>
      </c>
      <c r="H3895" s="178"/>
      <c r="I3895" s="178"/>
      <c r="J3895" s="178">
        <f t="shared" si="129"/>
        <v>0.6</v>
      </c>
      <c r="K3895" s="178"/>
      <c r="L3895" s="178"/>
      <c r="M3895" s="178"/>
      <c r="N3895" s="178">
        <f t="shared" si="130"/>
        <v>2.9572566611769187</v>
      </c>
      <c r="O3895" s="178">
        <f t="shared" si="131"/>
        <v>0</v>
      </c>
      <c r="P3895" s="231"/>
      <c r="Q3895" s="224"/>
    </row>
    <row r="3896" spans="1:17" s="225" customFormat="1" ht="10.5" x14ac:dyDescent="0.25">
      <c r="A3896" s="229"/>
      <c r="B3896" s="230" t="str">
        <f t="shared" si="127"/>
        <v>PV18-59</v>
      </c>
      <c r="C3896" s="177"/>
      <c r="D3896" s="178"/>
      <c r="E3896" s="178">
        <f t="shared" si="128"/>
        <v>1.8</v>
      </c>
      <c r="F3896" s="178">
        <f t="shared" si="128"/>
        <v>1.8</v>
      </c>
      <c r="G3896" s="178">
        <f t="shared" si="128"/>
        <v>0</v>
      </c>
      <c r="H3896" s="178"/>
      <c r="I3896" s="178"/>
      <c r="J3896" s="178">
        <f t="shared" si="129"/>
        <v>0.6</v>
      </c>
      <c r="K3896" s="178"/>
      <c r="L3896" s="178"/>
      <c r="M3896" s="178"/>
      <c r="N3896" s="178">
        <f t="shared" si="130"/>
        <v>2.9572566611769187</v>
      </c>
      <c r="O3896" s="178">
        <f t="shared" si="131"/>
        <v>0</v>
      </c>
      <c r="P3896" s="231"/>
      <c r="Q3896" s="224"/>
    </row>
    <row r="3897" spans="1:17" s="225" customFormat="1" ht="10.5" x14ac:dyDescent="0.25">
      <c r="A3897" s="229"/>
      <c r="B3897" s="230"/>
      <c r="C3897" s="177"/>
      <c r="D3897" s="178"/>
      <c r="E3897" s="178"/>
      <c r="F3897" s="178"/>
      <c r="G3897" s="178"/>
      <c r="H3897" s="178"/>
      <c r="I3897" s="178"/>
      <c r="J3897" s="178"/>
      <c r="K3897" s="178"/>
      <c r="L3897" s="178"/>
      <c r="M3897" s="178"/>
      <c r="N3897" s="178"/>
      <c r="O3897" s="178"/>
      <c r="P3897" s="231"/>
      <c r="Q3897" s="224"/>
    </row>
    <row r="3898" spans="1:17" s="225" customFormat="1" ht="10.5" x14ac:dyDescent="0.25">
      <c r="A3898" s="229"/>
      <c r="B3898" s="230"/>
      <c r="C3898" s="177"/>
      <c r="D3898" s="178"/>
      <c r="E3898" s="178"/>
      <c r="F3898" s="178"/>
      <c r="G3898" s="178"/>
      <c r="H3898" s="178"/>
      <c r="I3898" s="178"/>
      <c r="J3898" s="178"/>
      <c r="K3898" s="178"/>
      <c r="L3898" s="178"/>
      <c r="M3898" s="178"/>
      <c r="N3898" s="178"/>
      <c r="O3898" s="178"/>
      <c r="P3898" s="231"/>
      <c r="Q3898" s="224"/>
    </row>
    <row r="3899" spans="1:17" s="225" customFormat="1" ht="10.5" x14ac:dyDescent="0.25">
      <c r="A3899" s="229"/>
      <c r="B3899" s="230"/>
      <c r="C3899" s="177"/>
      <c r="D3899" s="178"/>
      <c r="E3899" s="178"/>
      <c r="F3899" s="178"/>
      <c r="G3899" s="178"/>
      <c r="H3899" s="178"/>
      <c r="I3899" s="178"/>
      <c r="J3899" s="178"/>
      <c r="K3899" s="178"/>
      <c r="L3899" s="178"/>
      <c r="M3899" s="178"/>
      <c r="N3899" s="178"/>
      <c r="O3899" s="178"/>
      <c r="P3899" s="231"/>
      <c r="Q3899" s="224"/>
    </row>
    <row r="3900" spans="1:17" s="225" customFormat="1" ht="10.5" x14ac:dyDescent="0.25">
      <c r="A3900" s="229"/>
      <c r="B3900" s="230"/>
      <c r="C3900" s="177"/>
      <c r="D3900" s="178"/>
      <c r="E3900" s="178"/>
      <c r="F3900" s="178"/>
      <c r="G3900" s="178"/>
      <c r="H3900" s="178"/>
      <c r="I3900" s="178"/>
      <c r="J3900" s="178"/>
      <c r="K3900" s="178"/>
      <c r="L3900" s="180"/>
      <c r="M3900" s="178"/>
      <c r="N3900" s="178"/>
      <c r="O3900" s="178"/>
      <c r="P3900" s="231"/>
      <c r="Q3900" s="224"/>
    </row>
    <row r="3901" spans="1:17" s="225" customFormat="1" ht="10.5" x14ac:dyDescent="0.25">
      <c r="A3901" s="229"/>
      <c r="B3901" s="232" t="s">
        <v>5</v>
      </c>
      <c r="C3901" s="182" t="s">
        <v>1328</v>
      </c>
      <c r="D3901" s="182"/>
      <c r="E3901" s="182"/>
      <c r="F3901" s="182"/>
      <c r="G3901" s="182"/>
      <c r="H3901" s="182"/>
      <c r="I3901" s="182"/>
      <c r="J3901" s="182"/>
      <c r="K3901" s="182"/>
      <c r="L3901" s="182"/>
      <c r="M3901" s="182"/>
      <c r="N3901" s="182"/>
      <c r="O3901" s="182">
        <f>SUM(O3887:O3900)</f>
        <v>0</v>
      </c>
      <c r="P3901" s="233"/>
      <c r="Q3901" s="224"/>
    </row>
    <row r="3902" spans="1:17" s="228" customFormat="1" ht="52.5" x14ac:dyDescent="0.25">
      <c r="A3902" s="226" t="str">
        <f>ORÇAMENTO!A721</f>
        <v>6.4.11</v>
      </c>
      <c r="B3902" s="227" t="str">
        <f>VLOOKUP(A3902,ORÇAMENTO!A:K,4,0)</f>
        <v>CARGA, MANOBRA E DESCARGA DE ENTULHO EM CAMINHÃO BASCULANTE 14 M³ - CARGA COM ESCAVADEIRA HIDRÁULICA  (CAÇAMBA DE 0,80 M³ / 111 HP) E DESCARGA LIVRE (UNIDADE: M3). AF_07/2020</v>
      </c>
      <c r="C3902" s="173" t="str">
        <f>VLOOKUP(A3902,ORÇAMENTO!A:K,5,0)</f>
        <v>M³</v>
      </c>
      <c r="D3902" s="173">
        <f>SUM(E3906:O3906)</f>
        <v>0.97199999999999998</v>
      </c>
      <c r="E3902" s="173" t="s">
        <v>1718</v>
      </c>
      <c r="F3902" s="173" t="s">
        <v>1719</v>
      </c>
      <c r="G3902" s="173" t="s">
        <v>1720</v>
      </c>
      <c r="H3902" s="173" t="s">
        <v>1721</v>
      </c>
      <c r="I3902" s="173" t="s">
        <v>1722</v>
      </c>
      <c r="J3902" s="173" t="s">
        <v>1723</v>
      </c>
      <c r="K3902" s="173" t="s">
        <v>1746</v>
      </c>
      <c r="L3902" s="173" t="s">
        <v>1747</v>
      </c>
      <c r="M3902" s="173" t="s">
        <v>1730</v>
      </c>
      <c r="N3902" s="173" t="s">
        <v>1727</v>
      </c>
      <c r="O3902" s="173" t="s">
        <v>1728</v>
      </c>
      <c r="P3902" s="224"/>
      <c r="Q3902" s="224"/>
    </row>
    <row r="3903" spans="1:17" s="225" customFormat="1" ht="10.5" x14ac:dyDescent="0.25">
      <c r="A3903" s="229"/>
      <c r="B3903" s="230" t="s">
        <v>1748</v>
      </c>
      <c r="C3903" s="184"/>
      <c r="D3903" s="185"/>
      <c r="E3903" s="185"/>
      <c r="F3903" s="185"/>
      <c r="G3903" s="185"/>
      <c r="H3903" s="185">
        <v>0.03</v>
      </c>
      <c r="I3903" s="185"/>
      <c r="J3903" s="185"/>
      <c r="K3903" s="185"/>
      <c r="L3903" s="185"/>
      <c r="M3903" s="185"/>
      <c r="N3903" s="185">
        <f>N3751</f>
        <v>32.4</v>
      </c>
      <c r="O3903" s="185"/>
      <c r="P3903" s="231"/>
      <c r="Q3903" s="224"/>
    </row>
    <row r="3904" spans="1:17" s="225" customFormat="1" ht="10.5" x14ac:dyDescent="0.25">
      <c r="A3904" s="229"/>
      <c r="B3904" s="230" t="s">
        <v>1878</v>
      </c>
      <c r="C3904" s="184"/>
      <c r="D3904" s="185"/>
      <c r="E3904" s="185"/>
      <c r="F3904" s="185"/>
      <c r="G3904" s="185"/>
      <c r="H3904" s="185"/>
      <c r="I3904" s="185"/>
      <c r="J3904" s="185"/>
      <c r="K3904" s="185"/>
      <c r="L3904" s="185"/>
      <c r="M3904" s="185"/>
      <c r="N3904" s="185"/>
      <c r="O3904" s="185">
        <f>N3903*H3903</f>
        <v>0.97199999999999998</v>
      </c>
      <c r="P3904" s="231"/>
      <c r="Q3904" s="224"/>
    </row>
    <row r="3905" spans="1:17" s="225" customFormat="1" ht="10.5" x14ac:dyDescent="0.25">
      <c r="A3905" s="229"/>
      <c r="B3905" s="230"/>
      <c r="C3905" s="184"/>
      <c r="D3905" s="185"/>
      <c r="E3905" s="185"/>
      <c r="F3905" s="185"/>
      <c r="G3905" s="185"/>
      <c r="H3905" s="185"/>
      <c r="I3905" s="185"/>
      <c r="J3905" s="185"/>
      <c r="K3905" s="185"/>
      <c r="L3905" s="186"/>
      <c r="M3905" s="185"/>
      <c r="N3905" s="185"/>
      <c r="O3905" s="185"/>
      <c r="P3905" s="231"/>
      <c r="Q3905" s="224"/>
    </row>
    <row r="3906" spans="1:17" s="225" customFormat="1" ht="10.5" x14ac:dyDescent="0.25">
      <c r="A3906" s="229"/>
      <c r="B3906" s="232" t="s">
        <v>5</v>
      </c>
      <c r="C3906" s="182" t="s">
        <v>1328</v>
      </c>
      <c r="D3906" s="182"/>
      <c r="E3906" s="182"/>
      <c r="F3906" s="182"/>
      <c r="G3906" s="182"/>
      <c r="H3906" s="182"/>
      <c r="I3906" s="182"/>
      <c r="J3906" s="182"/>
      <c r="K3906" s="182"/>
      <c r="L3906" s="182"/>
      <c r="M3906" s="182"/>
      <c r="N3906" s="182"/>
      <c r="O3906" s="182">
        <f>SUM(O3904:O3905)</f>
        <v>0.97199999999999998</v>
      </c>
      <c r="P3906" s="233"/>
      <c r="Q3906" s="224"/>
    </row>
    <row r="3907" spans="1:17" s="228" customFormat="1" ht="52.5" x14ac:dyDescent="0.25">
      <c r="A3907" s="226" t="str">
        <f>ORÇAMENTO!A722</f>
        <v>6.4.12</v>
      </c>
      <c r="B3907" s="227" t="str">
        <f>VLOOKUP(A3907,ORÇAMENTO!A:K,4,0)</f>
        <v>CARGA, MANOBRA E DESCARGA DE SOLOS E MATERIAIS GRANULARES EM CAMINHÃO BASCULANTE 14 M³ - CARGA COM ESCAVADEIRA HIDRÁULICA (CAÇAMBA DE 1,20 M³ / 155 HP) E DESCARGA LIVRE (UNIDADE: M3). AF_07/2020</v>
      </c>
      <c r="C3907" s="173" t="str">
        <f>VLOOKUP(A3907,ORÇAMENTO!A:K,5,0)</f>
        <v>M³</v>
      </c>
      <c r="D3907" s="173">
        <f>SUM(E3914:O3914)</f>
        <v>4.1939681348704614</v>
      </c>
      <c r="E3907" s="173" t="s">
        <v>1718</v>
      </c>
      <c r="F3907" s="173" t="s">
        <v>1719</v>
      </c>
      <c r="G3907" s="173" t="s">
        <v>1720</v>
      </c>
      <c r="H3907" s="173" t="s">
        <v>1721</v>
      </c>
      <c r="I3907" s="173" t="s">
        <v>1722</v>
      </c>
      <c r="J3907" s="173" t="s">
        <v>1723</v>
      </c>
      <c r="K3907" s="173" t="s">
        <v>1746</v>
      </c>
      <c r="L3907" s="173" t="s">
        <v>1747</v>
      </c>
      <c r="M3907" s="173" t="s">
        <v>1730</v>
      </c>
      <c r="N3907" s="173" t="s">
        <v>1727</v>
      </c>
      <c r="O3907" s="173" t="s">
        <v>1728</v>
      </c>
      <c r="P3907" s="224"/>
      <c r="Q3907" s="224"/>
    </row>
    <row r="3908" spans="1:17" s="225" customFormat="1" ht="10.5" x14ac:dyDescent="0.25">
      <c r="A3908" s="229"/>
      <c r="B3908" s="230"/>
      <c r="C3908" s="177"/>
      <c r="D3908" s="178"/>
      <c r="E3908" s="178"/>
      <c r="F3908" s="178"/>
      <c r="G3908" s="178"/>
      <c r="H3908" s="178"/>
      <c r="I3908" s="178"/>
      <c r="J3908" s="178"/>
      <c r="K3908" s="178"/>
      <c r="L3908" s="178"/>
      <c r="M3908" s="178"/>
      <c r="N3908" s="178"/>
      <c r="O3908" s="178"/>
      <c r="P3908" s="231"/>
      <c r="Q3908" s="224"/>
    </row>
    <row r="3909" spans="1:17" s="225" customFormat="1" ht="10.5" x14ac:dyDescent="0.25">
      <c r="A3909" s="229"/>
      <c r="B3909" s="230" t="s">
        <v>1879</v>
      </c>
      <c r="C3909" s="177"/>
      <c r="D3909" s="178"/>
      <c r="E3909" s="178"/>
      <c r="F3909" s="178"/>
      <c r="G3909" s="178"/>
      <c r="H3909" s="178"/>
      <c r="I3909" s="178"/>
      <c r="J3909" s="178"/>
      <c r="K3909" s="178"/>
      <c r="L3909" s="178"/>
      <c r="M3909" s="178"/>
      <c r="N3909" s="178"/>
      <c r="O3909" s="178">
        <f>O3765+O3773</f>
        <v>5.0220000000000002</v>
      </c>
      <c r="P3909" s="231"/>
      <c r="Q3909" s="224"/>
    </row>
    <row r="3910" spans="1:17" s="225" customFormat="1" ht="10.5" x14ac:dyDescent="0.25">
      <c r="A3910" s="229"/>
      <c r="B3910" s="230" t="s">
        <v>1880</v>
      </c>
      <c r="C3910" s="177"/>
      <c r="D3910" s="178"/>
      <c r="E3910" s="178"/>
      <c r="F3910" s="178"/>
      <c r="G3910" s="178"/>
      <c r="H3910" s="178"/>
      <c r="I3910" s="178"/>
      <c r="J3910" s="178"/>
      <c r="K3910" s="178"/>
      <c r="L3910" s="178"/>
      <c r="M3910" s="178"/>
      <c r="N3910" s="178"/>
      <c r="O3910" s="178">
        <f>O3901+O3865</f>
        <v>0.82803186512953841</v>
      </c>
      <c r="P3910" s="231"/>
      <c r="Q3910" s="224"/>
    </row>
    <row r="3911" spans="1:17" s="225" customFormat="1" ht="10.5" x14ac:dyDescent="0.25">
      <c r="A3911" s="229"/>
      <c r="B3911" s="230"/>
      <c r="C3911" s="177"/>
      <c r="D3911" s="178"/>
      <c r="E3911" s="178"/>
      <c r="F3911" s="178"/>
      <c r="G3911" s="178"/>
      <c r="H3911" s="178"/>
      <c r="I3911" s="178"/>
      <c r="J3911" s="178"/>
      <c r="K3911" s="178"/>
      <c r="L3911" s="178"/>
      <c r="M3911" s="178"/>
      <c r="N3911" s="178"/>
      <c r="O3911" s="178"/>
      <c r="P3911" s="231"/>
      <c r="Q3911" s="224"/>
    </row>
    <row r="3912" spans="1:17" s="225" customFormat="1" ht="21" x14ac:dyDescent="0.25">
      <c r="A3912" s="229"/>
      <c r="B3912" s="232" t="s">
        <v>1881</v>
      </c>
      <c r="C3912" s="177"/>
      <c r="D3912" s="178"/>
      <c r="E3912" s="178"/>
      <c r="F3912" s="178"/>
      <c r="G3912" s="178"/>
      <c r="H3912" s="178"/>
      <c r="I3912" s="178"/>
      <c r="J3912" s="178"/>
      <c r="K3912" s="178"/>
      <c r="L3912" s="178"/>
      <c r="M3912" s="178"/>
      <c r="N3912" s="178"/>
      <c r="O3912" s="177">
        <f>O3909-O3910</f>
        <v>4.1939681348704614</v>
      </c>
      <c r="P3912" s="231"/>
      <c r="Q3912" s="224"/>
    </row>
    <row r="3913" spans="1:17" s="225" customFormat="1" ht="10.5" x14ac:dyDescent="0.25">
      <c r="A3913" s="229"/>
      <c r="B3913" s="230"/>
      <c r="C3913" s="177"/>
      <c r="D3913" s="178"/>
      <c r="E3913" s="178"/>
      <c r="F3913" s="178"/>
      <c r="G3913" s="178"/>
      <c r="H3913" s="178"/>
      <c r="I3913" s="178"/>
      <c r="J3913" s="178"/>
      <c r="K3913" s="178"/>
      <c r="L3913" s="180"/>
      <c r="M3913" s="178"/>
      <c r="N3913" s="178"/>
      <c r="O3913" s="178"/>
      <c r="P3913" s="231"/>
      <c r="Q3913" s="224"/>
    </row>
    <row r="3914" spans="1:17" s="225" customFormat="1" ht="10.5" x14ac:dyDescent="0.25">
      <c r="A3914" s="229"/>
      <c r="B3914" s="232" t="s">
        <v>5</v>
      </c>
      <c r="C3914" s="182" t="s">
        <v>1328</v>
      </c>
      <c r="D3914" s="182"/>
      <c r="E3914" s="182"/>
      <c r="F3914" s="182"/>
      <c r="G3914" s="182"/>
      <c r="H3914" s="182"/>
      <c r="I3914" s="182"/>
      <c r="J3914" s="182"/>
      <c r="K3914" s="182"/>
      <c r="L3914" s="182"/>
      <c r="M3914" s="182"/>
      <c r="N3914" s="182"/>
      <c r="O3914" s="182">
        <f>SUM(O3912:O3913)</f>
        <v>4.1939681348704614</v>
      </c>
      <c r="P3914" s="233"/>
      <c r="Q3914" s="224"/>
    </row>
    <row r="3915" spans="1:17" s="228" customFormat="1" ht="31.5" x14ac:dyDescent="0.25">
      <c r="A3915" s="226" t="str">
        <f>ORÇAMENTO!A723</f>
        <v>6.4.13</v>
      </c>
      <c r="B3915" s="227" t="str">
        <f>VLOOKUP(A3915,ORÇAMENTO!A:K,4,0)</f>
        <v>TRANSPORTE COM CAMINHÃO BASCULANTE DE 14 M³, EM VIA URBANA PAVIMENTADA, DMT ATÉ 30 KM (UNIDADE: M3XKM). AF_07/2020</v>
      </c>
      <c r="C3915" s="173" t="str">
        <f>VLOOKUP(A3915,ORÇAMENTO!A:K,5,0)</f>
        <v>M3XKM</v>
      </c>
      <c r="D3915" s="173">
        <f>SUM(E3920:O3920)</f>
        <v>154.97904404611384</v>
      </c>
      <c r="E3915" s="173" t="s">
        <v>1749</v>
      </c>
      <c r="F3915" s="173" t="s">
        <v>1719</v>
      </c>
      <c r="G3915" s="173" t="s">
        <v>1720</v>
      </c>
      <c r="H3915" s="173" t="s">
        <v>1721</v>
      </c>
      <c r="I3915" s="173" t="s">
        <v>1722</v>
      </c>
      <c r="J3915" s="173" t="s">
        <v>1750</v>
      </c>
      <c r="K3915" s="173" t="s">
        <v>1746</v>
      </c>
      <c r="L3915" s="173" t="s">
        <v>1725</v>
      </c>
      <c r="M3915" s="173" t="s">
        <v>1730</v>
      </c>
      <c r="N3915" s="173" t="s">
        <v>1727</v>
      </c>
      <c r="O3915" s="173" t="s">
        <v>1728</v>
      </c>
      <c r="P3915" s="224"/>
      <c r="Q3915" s="224"/>
    </row>
    <row r="3916" spans="1:17" s="225" customFormat="1" ht="10.5" x14ac:dyDescent="0.25">
      <c r="A3916" s="229"/>
      <c r="B3916" s="230"/>
      <c r="C3916" s="177"/>
      <c r="D3916" s="178"/>
      <c r="E3916" s="178"/>
      <c r="F3916" s="178"/>
      <c r="G3916" s="178"/>
      <c r="H3916" s="178"/>
      <c r="I3916" s="178"/>
      <c r="J3916" s="178"/>
      <c r="K3916" s="178"/>
      <c r="L3916" s="180"/>
      <c r="M3916" s="178"/>
      <c r="N3916" s="178"/>
      <c r="O3916" s="178"/>
      <c r="P3916" s="231"/>
      <c r="Q3916" s="224"/>
    </row>
    <row r="3917" spans="1:17" s="225" customFormat="1" ht="21" x14ac:dyDescent="0.25">
      <c r="A3917" s="229"/>
      <c r="B3917" s="230" t="s">
        <v>1773</v>
      </c>
      <c r="C3917" s="184"/>
      <c r="D3917" s="185"/>
      <c r="E3917" s="185">
        <v>30</v>
      </c>
      <c r="F3917" s="185"/>
      <c r="G3917" s="185"/>
      <c r="H3917" s="185"/>
      <c r="I3917" s="185"/>
      <c r="J3917" s="185">
        <f>E3917*O3917</f>
        <v>125.81904404611385</v>
      </c>
      <c r="K3917" s="185"/>
      <c r="L3917" s="185"/>
      <c r="M3917" s="185"/>
      <c r="N3917" s="185"/>
      <c r="O3917" s="185">
        <f>O3914</f>
        <v>4.1939681348704614</v>
      </c>
      <c r="P3917" s="231"/>
      <c r="Q3917" s="224"/>
    </row>
    <row r="3918" spans="1:17" s="225" customFormat="1" ht="21" x14ac:dyDescent="0.25">
      <c r="A3918" s="229"/>
      <c r="B3918" s="230" t="s">
        <v>1774</v>
      </c>
      <c r="C3918" s="184"/>
      <c r="D3918" s="185"/>
      <c r="E3918" s="185">
        <v>30</v>
      </c>
      <c r="F3918" s="185"/>
      <c r="G3918" s="185"/>
      <c r="H3918" s="185"/>
      <c r="I3918" s="185"/>
      <c r="J3918" s="185">
        <f>E3918*O3918</f>
        <v>29.16</v>
      </c>
      <c r="K3918" s="185"/>
      <c r="L3918" s="185"/>
      <c r="M3918" s="185"/>
      <c r="N3918" s="185"/>
      <c r="O3918" s="185">
        <f>O3906</f>
        <v>0.97199999999999998</v>
      </c>
      <c r="P3918" s="231"/>
      <c r="Q3918" s="224"/>
    </row>
    <row r="3919" spans="1:17" s="225" customFormat="1" ht="10.5" x14ac:dyDescent="0.25">
      <c r="A3919" s="229"/>
      <c r="B3919" s="230"/>
      <c r="C3919" s="184"/>
      <c r="D3919" s="185"/>
      <c r="E3919" s="185"/>
      <c r="F3919" s="185"/>
      <c r="G3919" s="185"/>
      <c r="H3919" s="185"/>
      <c r="I3919" s="185"/>
      <c r="J3919" s="185"/>
      <c r="K3919" s="185"/>
      <c r="L3919" s="186"/>
      <c r="M3919" s="185"/>
      <c r="N3919" s="185"/>
      <c r="O3919" s="185"/>
      <c r="P3919" s="231"/>
      <c r="Q3919" s="224"/>
    </row>
    <row r="3920" spans="1:17" s="225" customFormat="1" ht="10.5" x14ac:dyDescent="0.25">
      <c r="A3920" s="229"/>
      <c r="B3920" s="232" t="s">
        <v>5</v>
      </c>
      <c r="C3920" s="182" t="s">
        <v>1328</v>
      </c>
      <c r="D3920" s="182"/>
      <c r="E3920" s="182"/>
      <c r="F3920" s="182"/>
      <c r="G3920" s="182"/>
      <c r="H3920" s="182"/>
      <c r="I3920" s="182"/>
      <c r="J3920" s="182">
        <f>SUM(J3917:J3919)</f>
        <v>154.97904404611384</v>
      </c>
      <c r="K3920" s="182"/>
      <c r="L3920" s="182"/>
      <c r="M3920" s="182"/>
      <c r="N3920" s="182"/>
      <c r="O3920" s="182"/>
      <c r="P3920" s="233"/>
      <c r="Q3920" s="224"/>
    </row>
    <row r="3921" spans="1:19" s="235" customFormat="1" ht="42" x14ac:dyDescent="0.35">
      <c r="A3921" s="226" t="str">
        <f>ORÇAMENTO!A724</f>
        <v>6.4.14</v>
      </c>
      <c r="B3921" s="227" t="str">
        <f>VLOOKUP(A3921,ORÇAMENTO!A:K,4,0)</f>
        <v>TRANSPORTE COM CAMINHÃO BASCULANTE DE 14 M³, EM VIA URBANA PAVIMENTADA, ADICIONAL PARA DMT EXCEDENTE A 30 KM (UNIDADE: M3XKM). AF_07/2020</v>
      </c>
      <c r="C3921" s="173" t="str">
        <f>VLOOKUP(A3921,ORÇAMENTO!A:K,5,0)</f>
        <v>M3XKM</v>
      </c>
      <c r="D3921" s="173">
        <f>SUM(E3926:O3926)</f>
        <v>103.09994751516055</v>
      </c>
      <c r="E3921" s="173" t="s">
        <v>1752</v>
      </c>
      <c r="F3921" s="173" t="s">
        <v>1719</v>
      </c>
      <c r="G3921" s="173" t="s">
        <v>1720</v>
      </c>
      <c r="H3921" s="173" t="s">
        <v>1721</v>
      </c>
      <c r="I3921" s="173" t="s">
        <v>1722</v>
      </c>
      <c r="J3921" s="173" t="s">
        <v>1750</v>
      </c>
      <c r="K3921" s="173" t="s">
        <v>1746</v>
      </c>
      <c r="L3921" s="173" t="s">
        <v>1753</v>
      </c>
      <c r="M3921" s="173" t="s">
        <v>1730</v>
      </c>
      <c r="N3921" s="173" t="s">
        <v>1727</v>
      </c>
      <c r="O3921" s="173" t="s">
        <v>1728</v>
      </c>
      <c r="P3921" s="224"/>
      <c r="Q3921" s="224"/>
      <c r="R3921" s="224"/>
      <c r="S3921" s="224"/>
    </row>
    <row r="3922" spans="1:19" s="225" customFormat="1" ht="10.5" x14ac:dyDescent="0.25">
      <c r="A3922" s="229"/>
      <c r="B3922" s="230"/>
      <c r="C3922" s="177"/>
      <c r="D3922" s="178"/>
      <c r="E3922" s="178"/>
      <c r="F3922" s="178"/>
      <c r="G3922" s="178"/>
      <c r="H3922" s="178"/>
      <c r="I3922" s="178"/>
      <c r="J3922" s="178"/>
      <c r="K3922" s="178"/>
      <c r="L3922" s="180"/>
      <c r="M3922" s="178"/>
      <c r="N3922" s="178"/>
      <c r="O3922" s="178"/>
      <c r="P3922" s="231"/>
      <c r="Q3922" s="224"/>
    </row>
    <row r="3923" spans="1:19" s="225" customFormat="1" ht="21" x14ac:dyDescent="0.25">
      <c r="A3923" s="229"/>
      <c r="B3923" s="230" t="str">
        <f>B3917</f>
        <v>TRANSPORTE ATÉ ATERRO ESTRUTURAL - BOTA FORA - MATERIAL NÃO APROVEITADO</v>
      </c>
      <c r="C3923" s="177"/>
      <c r="D3923" s="178"/>
      <c r="E3923" s="178">
        <f>44.2-E3917</f>
        <v>14.200000000000003</v>
      </c>
      <c r="F3923" s="178"/>
      <c r="G3923" s="178"/>
      <c r="H3923" s="178"/>
      <c r="I3923" s="178"/>
      <c r="J3923" s="178">
        <f>E3923*O3923</f>
        <v>59.554347515160565</v>
      </c>
      <c r="K3923" s="178"/>
      <c r="L3923" s="190"/>
      <c r="M3923" s="178"/>
      <c r="N3923" s="178"/>
      <c r="O3923" s="178">
        <f>O3917</f>
        <v>4.1939681348704614</v>
      </c>
      <c r="P3923" s="231"/>
      <c r="Q3923" s="224"/>
    </row>
    <row r="3924" spans="1:19" s="225" customFormat="1" ht="21" x14ac:dyDescent="0.25">
      <c r="A3924" s="229"/>
      <c r="B3924" s="230" t="str">
        <f>B3918</f>
        <v>TRANSPORTE ATÉ ATERRO SAMAMBIA - BOTA FORA - ROCHA</v>
      </c>
      <c r="C3924" s="177"/>
      <c r="D3924" s="178"/>
      <c r="E3924" s="178">
        <f>74.8-E3918</f>
        <v>44.8</v>
      </c>
      <c r="F3924" s="178"/>
      <c r="G3924" s="178"/>
      <c r="H3924" s="178"/>
      <c r="I3924" s="178"/>
      <c r="J3924" s="178">
        <f>E3924*O3924</f>
        <v>43.545599999999993</v>
      </c>
      <c r="K3924" s="178"/>
      <c r="L3924" s="190"/>
      <c r="M3924" s="178"/>
      <c r="N3924" s="178"/>
      <c r="O3924" s="178">
        <f>O3918</f>
        <v>0.97199999999999998</v>
      </c>
      <c r="P3924" s="231"/>
      <c r="Q3924" s="224"/>
    </row>
    <row r="3925" spans="1:19" s="225" customFormat="1" ht="10.5" x14ac:dyDescent="0.25">
      <c r="A3925" s="229"/>
      <c r="B3925" s="230"/>
      <c r="C3925" s="177"/>
      <c r="D3925" s="178"/>
      <c r="E3925" s="178"/>
      <c r="F3925" s="178"/>
      <c r="G3925" s="178"/>
      <c r="H3925" s="178"/>
      <c r="I3925" s="178"/>
      <c r="J3925" s="178"/>
      <c r="K3925" s="178"/>
      <c r="L3925" s="190"/>
      <c r="M3925" s="178"/>
      <c r="N3925" s="178"/>
      <c r="O3925" s="178"/>
      <c r="P3925" s="231"/>
      <c r="Q3925" s="224"/>
    </row>
    <row r="3926" spans="1:19" s="225" customFormat="1" ht="10.5" x14ac:dyDescent="0.25">
      <c r="A3926" s="229"/>
      <c r="B3926" s="232" t="s">
        <v>5</v>
      </c>
      <c r="C3926" s="182" t="s">
        <v>1328</v>
      </c>
      <c r="D3926" s="182"/>
      <c r="E3926" s="182"/>
      <c r="F3926" s="182"/>
      <c r="G3926" s="182"/>
      <c r="H3926" s="182"/>
      <c r="I3926" s="182"/>
      <c r="J3926" s="182">
        <f>SUM(J3923:J3925)</f>
        <v>103.09994751516055</v>
      </c>
      <c r="K3926" s="182"/>
      <c r="L3926" s="182"/>
      <c r="M3926" s="182"/>
      <c r="N3926" s="182"/>
      <c r="O3926" s="182"/>
      <c r="P3926" s="233"/>
      <c r="Q3926" s="224"/>
    </row>
    <row r="3927" spans="1:19" s="228" customFormat="1" ht="21" x14ac:dyDescent="0.25">
      <c r="A3927" s="226" t="str">
        <f>ORÇAMENTO!A725</f>
        <v>6.4.15</v>
      </c>
      <c r="B3927" s="227" t="str">
        <f>VLOOKUP(A3927,ORÇAMENTO!A:K,4,0)</f>
        <v>USINAGEM DE CBUQ SEM  CAP 50/70, PARA CAPA DE ROLAMENTO (SEM MATERIAL  E TRANSPORTE)</v>
      </c>
      <c r="C3927" s="173" t="str">
        <f>VLOOKUP(A3927,ORÇAMENTO!A:K,5,0)</f>
        <v>T</v>
      </c>
      <c r="D3927" s="173">
        <f>SUM(E3932:O3932)</f>
        <v>2.1292247960473811</v>
      </c>
      <c r="E3927" s="173" t="s">
        <v>1718</v>
      </c>
      <c r="F3927" s="173" t="s">
        <v>1719</v>
      </c>
      <c r="G3927" s="173" t="s">
        <v>1720</v>
      </c>
      <c r="H3927" s="173" t="s">
        <v>1721</v>
      </c>
      <c r="I3927" s="173" t="s">
        <v>1722</v>
      </c>
      <c r="J3927" s="173" t="s">
        <v>1723</v>
      </c>
      <c r="K3927" s="173" t="s">
        <v>1746</v>
      </c>
      <c r="L3927" s="173" t="s">
        <v>1753</v>
      </c>
      <c r="M3927" s="173" t="s">
        <v>1730</v>
      </c>
      <c r="N3927" s="173" t="s">
        <v>1727</v>
      </c>
      <c r="O3927" s="173" t="s">
        <v>1728</v>
      </c>
      <c r="P3927" s="224"/>
      <c r="Q3927" s="224"/>
    </row>
    <row r="3928" spans="1:19" s="225" customFormat="1" ht="10.5" x14ac:dyDescent="0.25">
      <c r="A3928" s="229"/>
      <c r="B3928" s="232" t="s">
        <v>1745</v>
      </c>
      <c r="C3928" s="184"/>
      <c r="D3928" s="185"/>
      <c r="E3928" s="185"/>
      <c r="F3928" s="185"/>
      <c r="G3928" s="185"/>
      <c r="H3928" s="185"/>
      <c r="I3928" s="185"/>
      <c r="J3928" s="185"/>
      <c r="K3928" s="185"/>
      <c r="L3928" s="185"/>
      <c r="M3928" s="185"/>
      <c r="N3928" s="185"/>
      <c r="O3928" s="185"/>
      <c r="P3928" s="231"/>
      <c r="Q3928" s="224"/>
    </row>
    <row r="3929" spans="1:19" s="225" customFormat="1" ht="10.5" x14ac:dyDescent="0.25">
      <c r="A3929" s="229"/>
      <c r="B3929" s="230" t="s">
        <v>1785</v>
      </c>
      <c r="C3929" s="184"/>
      <c r="D3929" s="185"/>
      <c r="E3929" s="185"/>
      <c r="F3929" s="185"/>
      <c r="G3929" s="185"/>
      <c r="H3929" s="185"/>
      <c r="I3929" s="185"/>
      <c r="J3929" s="185"/>
      <c r="K3929" s="185"/>
      <c r="L3929" s="185">
        <v>2.4</v>
      </c>
      <c r="M3929" s="185"/>
      <c r="N3929" s="185"/>
      <c r="O3929" s="185"/>
      <c r="P3929" s="231"/>
      <c r="Q3929" s="224"/>
    </row>
    <row r="3930" spans="1:19" s="225" customFormat="1" ht="10.5" x14ac:dyDescent="0.25">
      <c r="A3930" s="229"/>
      <c r="B3930" s="230" t="str">
        <f>B3797</f>
        <v>CONCRETO BETUMINOSO USINADO A QUENTE</v>
      </c>
      <c r="C3930" s="184"/>
      <c r="D3930" s="185"/>
      <c r="E3930" s="185"/>
      <c r="F3930" s="185"/>
      <c r="G3930" s="185"/>
      <c r="H3930" s="185">
        <f>H3794</f>
        <v>0.03</v>
      </c>
      <c r="I3930" s="185"/>
      <c r="J3930" s="185"/>
      <c r="K3930" s="185">
        <f>L3929*O3930</f>
        <v>2.1292247960473811</v>
      </c>
      <c r="L3930" s="185"/>
      <c r="M3930" s="185"/>
      <c r="N3930" s="185"/>
      <c r="O3930" s="185">
        <f>O3797</f>
        <v>0.88717699835307551</v>
      </c>
      <c r="P3930" s="231"/>
      <c r="Q3930" s="224"/>
    </row>
    <row r="3931" spans="1:19" s="225" customFormat="1" ht="10.5" x14ac:dyDescent="0.25">
      <c r="A3931" s="229"/>
      <c r="B3931" s="230"/>
      <c r="C3931" s="184"/>
      <c r="D3931" s="185"/>
      <c r="E3931" s="185"/>
      <c r="F3931" s="185"/>
      <c r="G3931" s="185"/>
      <c r="H3931" s="185"/>
      <c r="I3931" s="185"/>
      <c r="J3931" s="185"/>
      <c r="K3931" s="185"/>
      <c r="L3931" s="186"/>
      <c r="M3931" s="185"/>
      <c r="N3931" s="185"/>
      <c r="O3931" s="185"/>
      <c r="P3931" s="231"/>
      <c r="Q3931" s="224"/>
    </row>
    <row r="3932" spans="1:19" s="225" customFormat="1" ht="10.5" x14ac:dyDescent="0.25">
      <c r="A3932" s="229"/>
      <c r="B3932" s="232" t="s">
        <v>5</v>
      </c>
      <c r="C3932" s="182" t="s">
        <v>1328</v>
      </c>
      <c r="D3932" s="182"/>
      <c r="E3932" s="182"/>
      <c r="F3932" s="182"/>
      <c r="G3932" s="182"/>
      <c r="H3932" s="182"/>
      <c r="I3932" s="182"/>
      <c r="J3932" s="182"/>
      <c r="K3932" s="182">
        <f>SUM(K3930:K3931)</f>
        <v>2.1292247960473811</v>
      </c>
      <c r="L3932" s="182"/>
      <c r="M3932" s="182"/>
      <c r="N3932" s="182"/>
      <c r="O3932" s="182"/>
      <c r="P3932" s="233"/>
      <c r="Q3932" s="224"/>
    </row>
    <row r="3933" spans="1:19" s="228" customFormat="1" ht="21" x14ac:dyDescent="0.25">
      <c r="A3933" s="226" t="str">
        <f>ORÇAMENTO!A726</f>
        <v>6.4.16</v>
      </c>
      <c r="B3933" s="227" t="str">
        <f>VLOOKUP(A3933,ORÇAMENTO!A:K,4,0)</f>
        <v>CIMENTO ASFÁLTICO DE PETRÓLEO - CAP 50/70 FORNECIMENTO E TRANSPORTE</v>
      </c>
      <c r="C3933" s="173" t="str">
        <f>VLOOKUP(A3933,ORÇAMENTO!A:K,5,0)</f>
        <v>T</v>
      </c>
      <c r="D3933" s="173">
        <f>SUM(E3937:O3937)</f>
        <v>0.1346308838540759</v>
      </c>
      <c r="E3933" s="173" t="s">
        <v>1718</v>
      </c>
      <c r="F3933" s="173" t="s">
        <v>1719</v>
      </c>
      <c r="G3933" s="173" t="s">
        <v>1720</v>
      </c>
      <c r="H3933" s="173" t="s">
        <v>1721</v>
      </c>
      <c r="I3933" s="173" t="s">
        <v>1722</v>
      </c>
      <c r="J3933" s="173" t="s">
        <v>1723</v>
      </c>
      <c r="K3933" s="173" t="s">
        <v>1746</v>
      </c>
      <c r="L3933" s="173" t="s">
        <v>1777</v>
      </c>
      <c r="M3933" s="173" t="s">
        <v>1730</v>
      </c>
      <c r="N3933" s="173" t="s">
        <v>1727</v>
      </c>
      <c r="O3933" s="173" t="s">
        <v>1728</v>
      </c>
      <c r="P3933" s="224"/>
      <c r="Q3933" s="224"/>
    </row>
    <row r="3934" spans="1:19" s="225" customFormat="1" ht="10.5" x14ac:dyDescent="0.25">
      <c r="A3934" s="229"/>
      <c r="B3934" s="230" t="str">
        <f>B3930</f>
        <v>CONCRETO BETUMINOSO USINADO A QUENTE</v>
      </c>
      <c r="C3934" s="184"/>
      <c r="D3934" s="185"/>
      <c r="E3934" s="185"/>
      <c r="F3934" s="185"/>
      <c r="G3934" s="185"/>
      <c r="H3934" s="185"/>
      <c r="I3934" s="185"/>
      <c r="J3934" s="185"/>
      <c r="K3934" s="185">
        <f>K3930</f>
        <v>2.1292247960473811</v>
      </c>
      <c r="L3934" s="185"/>
      <c r="M3934" s="185"/>
      <c r="N3934" s="185"/>
      <c r="O3934" s="185"/>
      <c r="P3934" s="231"/>
      <c r="Q3934" s="224"/>
    </row>
    <row r="3935" spans="1:19" s="225" customFormat="1" ht="10.5" x14ac:dyDescent="0.25">
      <c r="A3935" s="229"/>
      <c r="B3935" s="230" t="s">
        <v>1786</v>
      </c>
      <c r="C3935" s="184"/>
      <c r="D3935" s="185"/>
      <c r="E3935" s="185"/>
      <c r="F3935" s="185"/>
      <c r="G3935" s="185"/>
      <c r="H3935" s="185"/>
      <c r="I3935" s="185"/>
      <c r="J3935" s="185"/>
      <c r="K3935" s="185"/>
      <c r="L3935" s="199">
        <v>6.3229999999999995E-2</v>
      </c>
      <c r="M3935" s="185"/>
      <c r="N3935" s="185"/>
      <c r="O3935" s="185"/>
      <c r="P3935" s="231"/>
      <c r="Q3935" s="224"/>
    </row>
    <row r="3936" spans="1:19" s="225" customFormat="1" ht="10.5" x14ac:dyDescent="0.25">
      <c r="A3936" s="229"/>
      <c r="B3936" s="230"/>
      <c r="C3936" s="184"/>
      <c r="D3936" s="185"/>
      <c r="E3936" s="185"/>
      <c r="F3936" s="185"/>
      <c r="G3936" s="185"/>
      <c r="H3936" s="185"/>
      <c r="I3936" s="185"/>
      <c r="J3936" s="185"/>
      <c r="L3936" s="185"/>
      <c r="M3936" s="185"/>
      <c r="N3936" s="185"/>
      <c r="O3936" s="185"/>
      <c r="P3936" s="231"/>
      <c r="Q3936" s="224"/>
    </row>
    <row r="3937" spans="1:19" s="225" customFormat="1" ht="10.5" x14ac:dyDescent="0.25">
      <c r="A3937" s="229"/>
      <c r="B3937" s="232" t="s">
        <v>5</v>
      </c>
      <c r="C3937" s="184"/>
      <c r="D3937" s="185"/>
      <c r="E3937" s="185"/>
      <c r="F3937" s="185"/>
      <c r="G3937" s="185"/>
      <c r="H3937" s="185"/>
      <c r="I3937" s="185"/>
      <c r="J3937" s="185"/>
      <c r="K3937" s="185">
        <f>K3934*L3935</f>
        <v>0.1346308838540759</v>
      </c>
      <c r="L3937" s="186"/>
      <c r="M3937" s="185"/>
      <c r="N3937" s="185"/>
      <c r="O3937" s="185"/>
      <c r="P3937" s="231"/>
      <c r="Q3937" s="224"/>
    </row>
    <row r="3938" spans="1:19" s="235" customFormat="1" ht="21" x14ac:dyDescent="0.35">
      <c r="A3938" s="226" t="str">
        <f>ORÇAMENTO!A727</f>
        <v>6.4.17</v>
      </c>
      <c r="B3938" s="227" t="str">
        <f>VLOOKUP(A3938,ORÇAMENTO!A:K,4,0)</f>
        <v>EMULSÃO ASFÁLTICA - RR-1C - FORNECIMENTO E TRANSPORTE</v>
      </c>
      <c r="C3938" s="173" t="str">
        <f>VLOOKUP(A3938,ORÇAMENTO!A:K,5,0)</f>
        <v>T</v>
      </c>
      <c r="D3938" s="173">
        <f>SUM(E3952:O3952)</f>
        <v>1.3307654975296138E-2</v>
      </c>
      <c r="E3938" s="173" t="s">
        <v>1718</v>
      </c>
      <c r="F3938" s="173" t="s">
        <v>1719</v>
      </c>
      <c r="G3938" s="173" t="s">
        <v>1720</v>
      </c>
      <c r="H3938" s="173" t="s">
        <v>1721</v>
      </c>
      <c r="I3938" s="173" t="s">
        <v>1722</v>
      </c>
      <c r="J3938" s="173" t="s">
        <v>1723</v>
      </c>
      <c r="K3938" s="173" t="s">
        <v>1746</v>
      </c>
      <c r="L3938" s="173" t="s">
        <v>1777</v>
      </c>
      <c r="M3938" s="173" t="s">
        <v>1768</v>
      </c>
      <c r="N3938" s="173" t="s">
        <v>1727</v>
      </c>
      <c r="O3938" s="173" t="s">
        <v>1728</v>
      </c>
      <c r="P3938" s="224"/>
      <c r="Q3938" s="224"/>
      <c r="R3938" s="224"/>
      <c r="S3938" s="224"/>
    </row>
    <row r="3939" spans="1:19" s="235" customFormat="1" ht="21" x14ac:dyDescent="0.35">
      <c r="A3939" s="229"/>
      <c r="B3939" s="232" t="s">
        <v>1778</v>
      </c>
      <c r="C3939" s="177"/>
      <c r="D3939" s="177"/>
      <c r="E3939" s="178"/>
      <c r="F3939" s="178"/>
      <c r="G3939" s="178"/>
      <c r="H3939" s="178"/>
      <c r="I3939" s="178"/>
      <c r="J3939" s="178"/>
      <c r="K3939" s="178"/>
      <c r="L3939" s="178"/>
      <c r="M3939" s="178"/>
      <c r="N3939" s="178"/>
      <c r="O3939" s="178"/>
      <c r="P3939" s="224"/>
      <c r="Q3939" s="224"/>
      <c r="R3939" s="224"/>
      <c r="S3939" s="224"/>
    </row>
    <row r="3940" spans="1:19" s="225" customFormat="1" ht="31.5" x14ac:dyDescent="0.25">
      <c r="A3940" s="229"/>
      <c r="B3940" s="230" t="s">
        <v>1779</v>
      </c>
      <c r="C3940" s="177"/>
      <c r="D3940" s="178"/>
      <c r="E3940" s="178"/>
      <c r="F3940" s="178"/>
      <c r="G3940" s="178"/>
      <c r="H3940" s="178"/>
      <c r="I3940" s="178"/>
      <c r="J3940" s="178"/>
      <c r="K3940" s="178"/>
      <c r="L3940" s="198">
        <v>4.4999999999999999E-4</v>
      </c>
      <c r="M3940" s="178"/>
      <c r="N3940" s="178"/>
      <c r="O3940" s="178"/>
      <c r="P3940" s="231"/>
      <c r="Q3940" s="224"/>
    </row>
    <row r="3941" spans="1:19" s="237" customFormat="1" x14ac:dyDescent="0.35">
      <c r="A3941" s="229"/>
      <c r="B3941" s="230" t="str">
        <f t="shared" ref="B3941:B3950" si="132">B3803</f>
        <v>PV2-61</v>
      </c>
      <c r="C3941" s="185"/>
      <c r="D3941" s="185"/>
      <c r="E3941" s="185"/>
      <c r="F3941" s="185"/>
      <c r="G3941" s="185"/>
      <c r="H3941" s="185"/>
      <c r="I3941" s="185"/>
      <c r="J3941" s="185"/>
      <c r="K3941" s="191">
        <f t="shared" ref="K3941:K3950" si="133">$L$3940*N3941</f>
        <v>1.3307654975296135E-3</v>
      </c>
      <c r="L3941" s="185"/>
      <c r="M3941" s="185"/>
      <c r="N3941" s="215">
        <f t="shared" ref="N3941:N3950" si="134">N3803</f>
        <v>2.9572566611769187</v>
      </c>
      <c r="O3941" s="215"/>
      <c r="P3941" s="236"/>
      <c r="Q3941" s="236"/>
      <c r="R3941" s="236"/>
      <c r="S3941" s="236"/>
    </row>
    <row r="3942" spans="1:19" s="237" customFormat="1" x14ac:dyDescent="0.35">
      <c r="A3942" s="229"/>
      <c r="B3942" s="230" t="str">
        <f t="shared" si="132"/>
        <v>PV1-63</v>
      </c>
      <c r="C3942" s="185"/>
      <c r="D3942" s="185"/>
      <c r="E3942" s="185"/>
      <c r="F3942" s="185"/>
      <c r="G3942" s="185"/>
      <c r="H3942" s="185"/>
      <c r="I3942" s="185"/>
      <c r="J3942" s="185"/>
      <c r="K3942" s="191">
        <f t="shared" si="133"/>
        <v>1.3307654975296135E-3</v>
      </c>
      <c r="L3942" s="185"/>
      <c r="M3942" s="185"/>
      <c r="N3942" s="215">
        <f t="shared" si="134"/>
        <v>2.9572566611769187</v>
      </c>
      <c r="O3942" s="215"/>
      <c r="P3942" s="236"/>
      <c r="Q3942" s="236"/>
      <c r="R3942" s="236"/>
      <c r="S3942" s="236"/>
    </row>
    <row r="3943" spans="1:19" s="237" customFormat="1" x14ac:dyDescent="0.35">
      <c r="A3943" s="229"/>
      <c r="B3943" s="230" t="str">
        <f t="shared" si="132"/>
        <v>PV1-64</v>
      </c>
      <c r="C3943" s="185"/>
      <c r="D3943" s="185"/>
      <c r="E3943" s="185"/>
      <c r="F3943" s="185"/>
      <c r="G3943" s="185"/>
      <c r="H3943" s="185"/>
      <c r="I3943" s="185"/>
      <c r="J3943" s="185"/>
      <c r="K3943" s="191">
        <f t="shared" si="133"/>
        <v>1.3307654975296135E-3</v>
      </c>
      <c r="L3943" s="185"/>
      <c r="M3943" s="185"/>
      <c r="N3943" s="215">
        <f t="shared" si="134"/>
        <v>2.9572566611769187</v>
      </c>
      <c r="O3943" s="215"/>
      <c r="P3943" s="236"/>
      <c r="Q3943" s="236"/>
      <c r="R3943" s="236"/>
      <c r="S3943" s="236"/>
    </row>
    <row r="3944" spans="1:19" s="237" customFormat="1" x14ac:dyDescent="0.35">
      <c r="A3944" s="229"/>
      <c r="B3944" s="230" t="str">
        <f t="shared" si="132"/>
        <v>PV1-65</v>
      </c>
      <c r="C3944" s="185"/>
      <c r="D3944" s="185"/>
      <c r="E3944" s="185"/>
      <c r="F3944" s="185"/>
      <c r="G3944" s="185"/>
      <c r="H3944" s="185"/>
      <c r="I3944" s="185"/>
      <c r="J3944" s="185"/>
      <c r="K3944" s="191">
        <f t="shared" si="133"/>
        <v>1.3307654975296135E-3</v>
      </c>
      <c r="L3944" s="185"/>
      <c r="M3944" s="185"/>
      <c r="N3944" s="215">
        <f t="shared" si="134"/>
        <v>2.9572566611769187</v>
      </c>
      <c r="O3944" s="215"/>
      <c r="P3944" s="236"/>
      <c r="Q3944" s="236"/>
      <c r="R3944" s="236"/>
      <c r="S3944" s="236"/>
    </row>
    <row r="3945" spans="1:19" s="237" customFormat="1" x14ac:dyDescent="0.35">
      <c r="A3945" s="229"/>
      <c r="B3945" s="230" t="str">
        <f t="shared" si="132"/>
        <v>PV1-66</v>
      </c>
      <c r="C3945" s="185"/>
      <c r="D3945" s="185"/>
      <c r="E3945" s="185"/>
      <c r="F3945" s="185"/>
      <c r="G3945" s="185"/>
      <c r="H3945" s="185"/>
      <c r="I3945" s="185"/>
      <c r="J3945" s="185"/>
      <c r="K3945" s="191">
        <f t="shared" si="133"/>
        <v>1.3307654975296135E-3</v>
      </c>
      <c r="L3945" s="185"/>
      <c r="M3945" s="185"/>
      <c r="N3945" s="215">
        <f t="shared" si="134"/>
        <v>2.9572566611769187</v>
      </c>
      <c r="O3945" s="215"/>
      <c r="P3945" s="236"/>
      <c r="Q3945" s="236"/>
      <c r="R3945" s="236"/>
      <c r="S3945" s="236"/>
    </row>
    <row r="3946" spans="1:19" s="237" customFormat="1" x14ac:dyDescent="0.35">
      <c r="A3946" s="229"/>
      <c r="B3946" s="230" t="str">
        <f t="shared" si="132"/>
        <v>PV2-63</v>
      </c>
      <c r="C3946" s="185"/>
      <c r="D3946" s="185"/>
      <c r="E3946" s="185"/>
      <c r="F3946" s="185"/>
      <c r="G3946" s="185"/>
      <c r="H3946" s="185"/>
      <c r="I3946" s="185"/>
      <c r="J3946" s="185"/>
      <c r="K3946" s="191">
        <f t="shared" si="133"/>
        <v>1.3307654975296135E-3</v>
      </c>
      <c r="L3946" s="185"/>
      <c r="M3946" s="185"/>
      <c r="N3946" s="215">
        <f t="shared" si="134"/>
        <v>2.9572566611769187</v>
      </c>
      <c r="O3946" s="215"/>
      <c r="P3946" s="236"/>
      <c r="Q3946" s="236"/>
      <c r="R3946" s="236"/>
      <c r="S3946" s="236"/>
    </row>
    <row r="3947" spans="1:19" s="237" customFormat="1" x14ac:dyDescent="0.35">
      <c r="A3947" s="229"/>
      <c r="B3947" s="230" t="str">
        <f t="shared" si="132"/>
        <v>PV3-63</v>
      </c>
      <c r="C3947" s="185"/>
      <c r="D3947" s="185"/>
      <c r="E3947" s="185"/>
      <c r="F3947" s="185"/>
      <c r="G3947" s="185"/>
      <c r="H3947" s="185"/>
      <c r="I3947" s="185"/>
      <c r="J3947" s="185"/>
      <c r="K3947" s="191">
        <f t="shared" si="133"/>
        <v>1.3307654975296135E-3</v>
      </c>
      <c r="L3947" s="185"/>
      <c r="M3947" s="185"/>
      <c r="N3947" s="215">
        <f t="shared" si="134"/>
        <v>2.9572566611769187</v>
      </c>
      <c r="O3947" s="215"/>
      <c r="P3947" s="236"/>
      <c r="Q3947" s="236"/>
      <c r="R3947" s="236"/>
      <c r="S3947" s="236"/>
    </row>
    <row r="3948" spans="1:19" s="237" customFormat="1" x14ac:dyDescent="0.35">
      <c r="A3948" s="229"/>
      <c r="B3948" s="230" t="str">
        <f t="shared" si="132"/>
        <v>PV5-63</v>
      </c>
      <c r="C3948" s="185"/>
      <c r="D3948" s="185"/>
      <c r="E3948" s="185"/>
      <c r="F3948" s="185"/>
      <c r="G3948" s="185"/>
      <c r="H3948" s="185"/>
      <c r="I3948" s="185"/>
      <c r="J3948" s="185"/>
      <c r="K3948" s="191">
        <f t="shared" si="133"/>
        <v>1.3307654975296135E-3</v>
      </c>
      <c r="L3948" s="185"/>
      <c r="M3948" s="185"/>
      <c r="N3948" s="215">
        <f t="shared" si="134"/>
        <v>2.9572566611769187</v>
      </c>
      <c r="O3948" s="215"/>
      <c r="P3948" s="236"/>
      <c r="Q3948" s="236"/>
      <c r="R3948" s="236"/>
      <c r="S3948" s="236"/>
    </row>
    <row r="3949" spans="1:19" s="237" customFormat="1" x14ac:dyDescent="0.35">
      <c r="A3949" s="229"/>
      <c r="B3949" s="230" t="str">
        <f t="shared" si="132"/>
        <v>PV17-59</v>
      </c>
      <c r="C3949" s="185"/>
      <c r="D3949" s="185"/>
      <c r="E3949" s="185"/>
      <c r="F3949" s="185"/>
      <c r="G3949" s="185"/>
      <c r="H3949" s="185"/>
      <c r="I3949" s="185"/>
      <c r="J3949" s="185"/>
      <c r="K3949" s="191">
        <f t="shared" si="133"/>
        <v>1.3307654975296135E-3</v>
      </c>
      <c r="L3949" s="185"/>
      <c r="M3949" s="185"/>
      <c r="N3949" s="215">
        <f t="shared" si="134"/>
        <v>2.9572566611769187</v>
      </c>
      <c r="O3949" s="215"/>
      <c r="P3949" s="236"/>
      <c r="Q3949" s="236"/>
      <c r="R3949" s="236"/>
      <c r="S3949" s="236"/>
    </row>
    <row r="3950" spans="1:19" s="237" customFormat="1" x14ac:dyDescent="0.35">
      <c r="A3950" s="229"/>
      <c r="B3950" s="230" t="str">
        <f t="shared" si="132"/>
        <v>PV18-59</v>
      </c>
      <c r="C3950" s="185"/>
      <c r="D3950" s="185"/>
      <c r="E3950" s="185"/>
      <c r="F3950" s="185"/>
      <c r="G3950" s="185"/>
      <c r="H3950" s="185"/>
      <c r="I3950" s="185"/>
      <c r="J3950" s="185"/>
      <c r="K3950" s="191">
        <f t="shared" si="133"/>
        <v>1.3307654975296135E-3</v>
      </c>
      <c r="L3950" s="185"/>
      <c r="M3950" s="185"/>
      <c r="N3950" s="215">
        <f t="shared" si="134"/>
        <v>2.9572566611769187</v>
      </c>
      <c r="O3950" s="215"/>
      <c r="P3950" s="236"/>
      <c r="Q3950" s="236"/>
      <c r="R3950" s="236"/>
      <c r="S3950" s="236"/>
    </row>
    <row r="3951" spans="1:19" s="237" customFormat="1" x14ac:dyDescent="0.35">
      <c r="A3951" s="229"/>
      <c r="B3951" s="230"/>
      <c r="C3951" s="185"/>
      <c r="D3951" s="185"/>
      <c r="E3951" s="185"/>
      <c r="F3951" s="185"/>
      <c r="G3951" s="185"/>
      <c r="H3951" s="185"/>
      <c r="I3951" s="185"/>
      <c r="J3951" s="185"/>
      <c r="K3951" s="185"/>
      <c r="L3951" s="185"/>
      <c r="M3951" s="185"/>
      <c r="N3951" s="185"/>
      <c r="O3951" s="193"/>
      <c r="P3951" s="236"/>
      <c r="Q3951" s="236"/>
      <c r="R3951" s="236"/>
      <c r="S3951" s="236"/>
    </row>
    <row r="3952" spans="1:19" s="235" customFormat="1" x14ac:dyDescent="0.35">
      <c r="A3952" s="238"/>
      <c r="B3952" s="232" t="s">
        <v>5</v>
      </c>
      <c r="C3952" s="208" t="s">
        <v>1328</v>
      </c>
      <c r="D3952" s="208"/>
      <c r="E3952" s="208"/>
      <c r="F3952" s="208"/>
      <c r="G3952" s="208"/>
      <c r="H3952" s="208"/>
      <c r="I3952" s="208"/>
      <c r="J3952" s="208"/>
      <c r="K3952" s="196">
        <f>SUM(K3941:K3950)</f>
        <v>1.3307654975296138E-2</v>
      </c>
      <c r="L3952" s="208"/>
      <c r="M3952" s="208"/>
      <c r="N3952" s="208"/>
      <c r="O3952" s="196"/>
      <c r="P3952" s="224"/>
      <c r="Q3952" s="224"/>
      <c r="R3952" s="224"/>
      <c r="S3952" s="224"/>
    </row>
    <row r="3953" spans="1:19" s="235" customFormat="1" ht="21" x14ac:dyDescent="0.35">
      <c r="A3953" s="226" t="str">
        <f>ORÇAMENTO!A728</f>
        <v>6.4.18</v>
      </c>
      <c r="B3953" s="227" t="str">
        <f>VLOOKUP(A3953,ORÇAMENTO!A:K,4,0)</f>
        <v>EMULSÃO ASFÁLTICA PARA IMPRIMAÇÃO - FORNECIMENTO E TRANSPORTE</v>
      </c>
      <c r="C3953" s="173" t="str">
        <f>VLOOKUP(A3953,ORÇAMENTO!A:K,5,0)</f>
        <v>T</v>
      </c>
      <c r="D3953" s="173">
        <f>SUM(E3967:O3967)</f>
        <v>3.8444336595299937E-2</v>
      </c>
      <c r="E3953" s="173" t="s">
        <v>1718</v>
      </c>
      <c r="F3953" s="173" t="s">
        <v>1719</v>
      </c>
      <c r="G3953" s="173" t="s">
        <v>1720</v>
      </c>
      <c r="H3953" s="173" t="s">
        <v>1721</v>
      </c>
      <c r="I3953" s="173" t="s">
        <v>1722</v>
      </c>
      <c r="J3953" s="173" t="s">
        <v>1723</v>
      </c>
      <c r="K3953" s="173" t="s">
        <v>1746</v>
      </c>
      <c r="L3953" s="173" t="s">
        <v>1777</v>
      </c>
      <c r="M3953" s="173" t="s">
        <v>1768</v>
      </c>
      <c r="N3953" s="173" t="s">
        <v>1727</v>
      </c>
      <c r="O3953" s="173" t="s">
        <v>1728</v>
      </c>
      <c r="P3953" s="224"/>
      <c r="Q3953" s="224"/>
      <c r="R3953" s="224"/>
      <c r="S3953" s="224"/>
    </row>
    <row r="3954" spans="1:19" s="235" customFormat="1" x14ac:dyDescent="0.35">
      <c r="A3954" s="229"/>
      <c r="B3954" s="232" t="s">
        <v>1780</v>
      </c>
      <c r="C3954" s="177"/>
      <c r="D3954" s="177"/>
      <c r="E3954" s="178"/>
      <c r="F3954" s="178"/>
      <c r="G3954" s="178"/>
      <c r="H3954" s="178"/>
      <c r="I3954" s="178"/>
      <c r="J3954" s="178"/>
      <c r="K3954" s="178"/>
      <c r="L3954" s="178"/>
      <c r="M3954" s="178"/>
      <c r="N3954" s="178"/>
      <c r="O3954" s="178"/>
      <c r="P3954" s="224"/>
      <c r="Q3954" s="224"/>
      <c r="R3954" s="224"/>
      <c r="S3954" s="224"/>
    </row>
    <row r="3955" spans="1:19" s="225" customFormat="1" ht="42" x14ac:dyDescent="0.25">
      <c r="A3955" s="229"/>
      <c r="B3955" s="230" t="s">
        <v>1781</v>
      </c>
      <c r="C3955" s="177"/>
      <c r="D3955" s="178"/>
      <c r="E3955" s="178"/>
      <c r="F3955" s="178"/>
      <c r="G3955" s="178"/>
      <c r="H3955" s="178"/>
      <c r="I3955" s="178"/>
      <c r="J3955" s="178"/>
      <c r="K3955" s="178"/>
      <c r="L3955" s="198">
        <v>1.2999999999999999E-3</v>
      </c>
      <c r="M3955" s="178"/>
      <c r="N3955" s="178"/>
      <c r="O3955" s="178"/>
      <c r="P3955" s="231"/>
      <c r="Q3955" s="224"/>
    </row>
    <row r="3956" spans="1:19" s="237" customFormat="1" x14ac:dyDescent="0.35">
      <c r="A3956" s="229"/>
      <c r="B3956" s="230" t="str">
        <f t="shared" ref="B3956:B3965" si="135">B3818</f>
        <v>PV2-61</v>
      </c>
      <c r="C3956" s="185"/>
      <c r="D3956" s="185"/>
      <c r="E3956" s="185"/>
      <c r="F3956" s="185"/>
      <c r="G3956" s="185"/>
      <c r="H3956" s="185"/>
      <c r="I3956" s="185"/>
      <c r="J3956" s="185"/>
      <c r="K3956" s="191">
        <f t="shared" ref="K3956:K3965" si="136">$L$3955*N3956</f>
        <v>3.844433659529994E-3</v>
      </c>
      <c r="L3956" s="185"/>
      <c r="M3956" s="185"/>
      <c r="N3956" s="215">
        <f t="shared" ref="N3956:N3965" si="137">N3818</f>
        <v>2.9572566611769187</v>
      </c>
      <c r="O3956" s="215"/>
      <c r="P3956" s="236"/>
      <c r="Q3956" s="236"/>
      <c r="R3956" s="236"/>
      <c r="S3956" s="236"/>
    </row>
    <row r="3957" spans="1:19" s="237" customFormat="1" x14ac:dyDescent="0.35">
      <c r="A3957" s="229"/>
      <c r="B3957" s="230" t="str">
        <f t="shared" si="135"/>
        <v>PV1-63</v>
      </c>
      <c r="C3957" s="185"/>
      <c r="D3957" s="185"/>
      <c r="E3957" s="185"/>
      <c r="F3957" s="185"/>
      <c r="G3957" s="185"/>
      <c r="H3957" s="185"/>
      <c r="I3957" s="185"/>
      <c r="J3957" s="185"/>
      <c r="K3957" s="191">
        <f t="shared" si="136"/>
        <v>3.844433659529994E-3</v>
      </c>
      <c r="L3957" s="185"/>
      <c r="M3957" s="185"/>
      <c r="N3957" s="215">
        <f t="shared" si="137"/>
        <v>2.9572566611769187</v>
      </c>
      <c r="O3957" s="215"/>
      <c r="P3957" s="236"/>
      <c r="Q3957" s="236"/>
      <c r="R3957" s="236"/>
      <c r="S3957" s="236"/>
    </row>
    <row r="3958" spans="1:19" s="237" customFormat="1" x14ac:dyDescent="0.35">
      <c r="A3958" s="229"/>
      <c r="B3958" s="230" t="str">
        <f t="shared" si="135"/>
        <v>PV1-64</v>
      </c>
      <c r="C3958" s="185"/>
      <c r="D3958" s="185"/>
      <c r="E3958" s="185"/>
      <c r="F3958" s="185"/>
      <c r="G3958" s="185"/>
      <c r="H3958" s="185"/>
      <c r="I3958" s="185"/>
      <c r="J3958" s="185"/>
      <c r="K3958" s="191">
        <f t="shared" si="136"/>
        <v>3.844433659529994E-3</v>
      </c>
      <c r="L3958" s="185"/>
      <c r="M3958" s="185"/>
      <c r="N3958" s="215">
        <f t="shared" si="137"/>
        <v>2.9572566611769187</v>
      </c>
      <c r="O3958" s="215"/>
      <c r="P3958" s="236"/>
      <c r="Q3958" s="236"/>
      <c r="R3958" s="236"/>
      <c r="S3958" s="236"/>
    </row>
    <row r="3959" spans="1:19" s="237" customFormat="1" x14ac:dyDescent="0.35">
      <c r="A3959" s="229"/>
      <c r="B3959" s="230" t="str">
        <f t="shared" si="135"/>
        <v>PV1-65</v>
      </c>
      <c r="C3959" s="185"/>
      <c r="D3959" s="185"/>
      <c r="E3959" s="185"/>
      <c r="F3959" s="185"/>
      <c r="G3959" s="185"/>
      <c r="H3959" s="185"/>
      <c r="I3959" s="185"/>
      <c r="J3959" s="185"/>
      <c r="K3959" s="191">
        <f t="shared" si="136"/>
        <v>3.844433659529994E-3</v>
      </c>
      <c r="L3959" s="185"/>
      <c r="M3959" s="185"/>
      <c r="N3959" s="215">
        <f t="shared" si="137"/>
        <v>2.9572566611769187</v>
      </c>
      <c r="O3959" s="215"/>
      <c r="P3959" s="236"/>
      <c r="Q3959" s="236"/>
      <c r="R3959" s="236"/>
      <c r="S3959" s="236"/>
    </row>
    <row r="3960" spans="1:19" s="237" customFormat="1" x14ac:dyDescent="0.35">
      <c r="A3960" s="229"/>
      <c r="B3960" s="230" t="str">
        <f t="shared" si="135"/>
        <v>PV1-66</v>
      </c>
      <c r="C3960" s="185"/>
      <c r="D3960" s="185"/>
      <c r="E3960" s="185"/>
      <c r="F3960" s="185"/>
      <c r="G3960" s="185"/>
      <c r="H3960" s="185"/>
      <c r="I3960" s="185"/>
      <c r="J3960" s="185"/>
      <c r="K3960" s="191">
        <f t="shared" si="136"/>
        <v>3.844433659529994E-3</v>
      </c>
      <c r="L3960" s="185"/>
      <c r="M3960" s="185"/>
      <c r="N3960" s="215">
        <f t="shared" si="137"/>
        <v>2.9572566611769187</v>
      </c>
      <c r="O3960" s="215"/>
      <c r="P3960" s="236"/>
      <c r="Q3960" s="236"/>
      <c r="R3960" s="236"/>
      <c r="S3960" s="236"/>
    </row>
    <row r="3961" spans="1:19" s="237" customFormat="1" x14ac:dyDescent="0.35">
      <c r="A3961" s="229"/>
      <c r="B3961" s="230" t="str">
        <f t="shared" si="135"/>
        <v>PV2-63</v>
      </c>
      <c r="C3961" s="185"/>
      <c r="D3961" s="185"/>
      <c r="E3961" s="185"/>
      <c r="F3961" s="185"/>
      <c r="G3961" s="185"/>
      <c r="H3961" s="185"/>
      <c r="I3961" s="185"/>
      <c r="J3961" s="185"/>
      <c r="K3961" s="191">
        <f t="shared" si="136"/>
        <v>3.844433659529994E-3</v>
      </c>
      <c r="L3961" s="185"/>
      <c r="M3961" s="185"/>
      <c r="N3961" s="215">
        <f t="shared" si="137"/>
        <v>2.9572566611769187</v>
      </c>
      <c r="O3961" s="215"/>
      <c r="P3961" s="236"/>
      <c r="Q3961" s="236"/>
      <c r="R3961" s="236"/>
      <c r="S3961" s="236"/>
    </row>
    <row r="3962" spans="1:19" s="237" customFormat="1" x14ac:dyDescent="0.35">
      <c r="A3962" s="229"/>
      <c r="B3962" s="230" t="str">
        <f t="shared" si="135"/>
        <v>PV3-63</v>
      </c>
      <c r="C3962" s="185"/>
      <c r="D3962" s="185"/>
      <c r="E3962" s="185"/>
      <c r="F3962" s="185"/>
      <c r="G3962" s="185"/>
      <c r="H3962" s="185"/>
      <c r="I3962" s="185"/>
      <c r="J3962" s="185"/>
      <c r="K3962" s="191">
        <f t="shared" si="136"/>
        <v>3.844433659529994E-3</v>
      </c>
      <c r="L3962" s="185"/>
      <c r="M3962" s="185"/>
      <c r="N3962" s="215">
        <f t="shared" si="137"/>
        <v>2.9572566611769187</v>
      </c>
      <c r="O3962" s="215"/>
      <c r="P3962" s="236"/>
      <c r="Q3962" s="236"/>
      <c r="R3962" s="236"/>
      <c r="S3962" s="236"/>
    </row>
    <row r="3963" spans="1:19" s="237" customFormat="1" x14ac:dyDescent="0.35">
      <c r="A3963" s="229"/>
      <c r="B3963" s="230" t="str">
        <f t="shared" si="135"/>
        <v>PV5-63</v>
      </c>
      <c r="C3963" s="185"/>
      <c r="D3963" s="185"/>
      <c r="E3963" s="185"/>
      <c r="F3963" s="185"/>
      <c r="G3963" s="185"/>
      <c r="H3963" s="185"/>
      <c r="I3963" s="185"/>
      <c r="J3963" s="185"/>
      <c r="K3963" s="191">
        <f t="shared" si="136"/>
        <v>3.844433659529994E-3</v>
      </c>
      <c r="L3963" s="185"/>
      <c r="M3963" s="185"/>
      <c r="N3963" s="215">
        <f t="shared" si="137"/>
        <v>2.9572566611769187</v>
      </c>
      <c r="O3963" s="215"/>
      <c r="P3963" s="236"/>
      <c r="Q3963" s="236"/>
      <c r="R3963" s="236"/>
      <c r="S3963" s="236"/>
    </row>
    <row r="3964" spans="1:19" s="237" customFormat="1" x14ac:dyDescent="0.35">
      <c r="A3964" s="229"/>
      <c r="B3964" s="230" t="str">
        <f t="shared" si="135"/>
        <v>PV17-59</v>
      </c>
      <c r="C3964" s="185"/>
      <c r="D3964" s="185"/>
      <c r="E3964" s="185"/>
      <c r="F3964" s="185"/>
      <c r="G3964" s="185"/>
      <c r="H3964" s="185"/>
      <c r="I3964" s="185"/>
      <c r="J3964" s="185"/>
      <c r="K3964" s="191">
        <f t="shared" si="136"/>
        <v>3.844433659529994E-3</v>
      </c>
      <c r="L3964" s="185"/>
      <c r="M3964" s="185"/>
      <c r="N3964" s="215">
        <f t="shared" si="137"/>
        <v>2.9572566611769187</v>
      </c>
      <c r="O3964" s="215"/>
      <c r="P3964" s="236"/>
      <c r="Q3964" s="236"/>
      <c r="R3964" s="236"/>
      <c r="S3964" s="236"/>
    </row>
    <row r="3965" spans="1:19" s="237" customFormat="1" x14ac:dyDescent="0.35">
      <c r="A3965" s="229"/>
      <c r="B3965" s="230" t="str">
        <f t="shared" si="135"/>
        <v>PV18-59</v>
      </c>
      <c r="C3965" s="185"/>
      <c r="D3965" s="185"/>
      <c r="E3965" s="185"/>
      <c r="F3965" s="185"/>
      <c r="G3965" s="185"/>
      <c r="H3965" s="185"/>
      <c r="I3965" s="185"/>
      <c r="J3965" s="185"/>
      <c r="K3965" s="191">
        <f t="shared" si="136"/>
        <v>3.844433659529994E-3</v>
      </c>
      <c r="L3965" s="185"/>
      <c r="M3965" s="185"/>
      <c r="N3965" s="215">
        <f t="shared" si="137"/>
        <v>2.9572566611769187</v>
      </c>
      <c r="O3965" s="215"/>
      <c r="P3965" s="236"/>
      <c r="Q3965" s="236"/>
      <c r="R3965" s="236"/>
      <c r="S3965" s="236"/>
    </row>
    <row r="3966" spans="1:19" s="237" customFormat="1" x14ac:dyDescent="0.35">
      <c r="A3966" s="229"/>
      <c r="B3966" s="230"/>
      <c r="C3966" s="185"/>
      <c r="D3966" s="185"/>
      <c r="E3966" s="185"/>
      <c r="F3966" s="185"/>
      <c r="G3966" s="185"/>
      <c r="H3966" s="185"/>
      <c r="I3966" s="185"/>
      <c r="J3966" s="185"/>
      <c r="K3966" s="185"/>
      <c r="L3966" s="185"/>
      <c r="M3966" s="185"/>
      <c r="N3966" s="185"/>
      <c r="O3966" s="193"/>
      <c r="P3966" s="236"/>
      <c r="Q3966" s="236"/>
      <c r="R3966" s="236"/>
      <c r="S3966" s="236"/>
    </row>
    <row r="3967" spans="1:19" s="235" customFormat="1" x14ac:dyDescent="0.35">
      <c r="A3967" s="238"/>
      <c r="B3967" s="232" t="s">
        <v>5</v>
      </c>
      <c r="C3967" s="208" t="s">
        <v>1328</v>
      </c>
      <c r="D3967" s="208"/>
      <c r="E3967" s="208"/>
      <c r="F3967" s="208"/>
      <c r="G3967" s="208"/>
      <c r="H3967" s="208"/>
      <c r="I3967" s="208"/>
      <c r="J3967" s="208"/>
      <c r="K3967" s="196">
        <f>SUM(K3956:K3965)</f>
        <v>3.8444336595299937E-2</v>
      </c>
      <c r="L3967" s="208"/>
      <c r="M3967" s="208"/>
      <c r="N3967" s="208"/>
      <c r="O3967" s="196"/>
      <c r="P3967" s="224"/>
      <c r="Q3967" s="224"/>
      <c r="R3967" s="224"/>
      <c r="S3967" s="224"/>
    </row>
    <row r="3968" spans="1:19" s="235" customFormat="1" ht="21" x14ac:dyDescent="0.35">
      <c r="A3968" s="226" t="str">
        <f>ORÇAMENTO!A729</f>
        <v>6.4.19</v>
      </c>
      <c r="B3968" s="227" t="str">
        <f>VLOOKUP(A3968,ORÇAMENTO!A:K,4,0)</f>
        <v>CAL HIDRATADA - A GRANEL</v>
      </c>
      <c r="C3968" s="173" t="str">
        <f>VLOOKUP(A3968,ORÇAMENTO!A:K,5,0)</f>
        <v>KG</v>
      </c>
      <c r="D3968" s="173">
        <f>SUM(E3982:O3982)</f>
        <v>0.57962230559067685</v>
      </c>
      <c r="E3968" s="173" t="s">
        <v>1718</v>
      </c>
      <c r="F3968" s="173" t="s">
        <v>1719</v>
      </c>
      <c r="G3968" s="173" t="s">
        <v>1720</v>
      </c>
      <c r="H3968" s="173" t="s">
        <v>1721</v>
      </c>
      <c r="I3968" s="173" t="s">
        <v>1722</v>
      </c>
      <c r="J3968" s="173" t="s">
        <v>1723</v>
      </c>
      <c r="K3968" s="173" t="s">
        <v>1724</v>
      </c>
      <c r="L3968" s="173" t="s">
        <v>1753</v>
      </c>
      <c r="M3968" s="173" t="s">
        <v>1768</v>
      </c>
      <c r="N3968" s="173" t="s">
        <v>1727</v>
      </c>
      <c r="O3968" s="173" t="s">
        <v>1728</v>
      </c>
      <c r="P3968" s="224"/>
      <c r="Q3968" s="224"/>
      <c r="R3968" s="224"/>
      <c r="S3968" s="224"/>
    </row>
    <row r="3969" spans="1:19" s="235" customFormat="1" x14ac:dyDescent="0.35">
      <c r="A3969" s="229"/>
      <c r="B3969" s="232" t="s">
        <v>1864</v>
      </c>
      <c r="C3969" s="177"/>
      <c r="D3969" s="177"/>
      <c r="E3969" s="178"/>
      <c r="F3969" s="178"/>
      <c r="G3969" s="178"/>
      <c r="H3969" s="178"/>
      <c r="I3969" s="178"/>
      <c r="J3969" s="178"/>
      <c r="K3969" s="178"/>
      <c r="L3969" s="178"/>
      <c r="M3969" s="178"/>
      <c r="N3969" s="178"/>
      <c r="O3969" s="178"/>
      <c r="P3969" s="224"/>
      <c r="Q3969" s="224"/>
      <c r="R3969" s="224"/>
      <c r="S3969" s="224"/>
    </row>
    <row r="3970" spans="1:19" s="225" customFormat="1" ht="10.5" x14ac:dyDescent="0.25">
      <c r="A3970" s="229"/>
      <c r="B3970" s="230" t="s">
        <v>1865</v>
      </c>
      <c r="C3970" s="177"/>
      <c r="D3970" s="178"/>
      <c r="E3970" s="178"/>
      <c r="F3970" s="178"/>
      <c r="G3970" s="178"/>
      <c r="H3970" s="178"/>
      <c r="I3970" s="178"/>
      <c r="J3970" s="178"/>
      <c r="K3970" s="178"/>
      <c r="L3970" s="198">
        <v>0.7</v>
      </c>
      <c r="M3970" s="178"/>
      <c r="N3970" s="178"/>
      <c r="O3970" s="178"/>
      <c r="P3970" s="231"/>
      <c r="Q3970" s="224"/>
    </row>
    <row r="3971" spans="1:19" s="237" customFormat="1" x14ac:dyDescent="0.35">
      <c r="A3971" s="229"/>
      <c r="B3971" s="230" t="str">
        <f t="shared" ref="B3971:B3980" si="138">B3851</f>
        <v>PV2-61</v>
      </c>
      <c r="C3971" s="185"/>
      <c r="D3971" s="185"/>
      <c r="E3971" s="185"/>
      <c r="F3971" s="185"/>
      <c r="G3971" s="185"/>
      <c r="H3971" s="185"/>
      <c r="I3971" s="185"/>
      <c r="J3971" s="185"/>
      <c r="K3971" s="185">
        <f t="shared" ref="K3971:K3980" si="139">$L$3970*O3971</f>
        <v>0</v>
      </c>
      <c r="L3971" s="185"/>
      <c r="M3971" s="185"/>
      <c r="N3971" s="185"/>
      <c r="O3971" s="215">
        <f t="shared" ref="O3971:O3980" si="140">O3851</f>
        <v>0</v>
      </c>
      <c r="P3971" s="236"/>
      <c r="Q3971" s="236"/>
      <c r="R3971" s="236"/>
      <c r="S3971" s="236"/>
    </row>
    <row r="3972" spans="1:19" s="237" customFormat="1" x14ac:dyDescent="0.35">
      <c r="A3972" s="229"/>
      <c r="B3972" s="230" t="str">
        <f t="shared" si="138"/>
        <v>PV1-63</v>
      </c>
      <c r="C3972" s="185"/>
      <c r="D3972" s="185"/>
      <c r="E3972" s="185"/>
      <c r="F3972" s="185"/>
      <c r="G3972" s="185"/>
      <c r="H3972" s="185"/>
      <c r="I3972" s="185"/>
      <c r="J3972" s="185"/>
      <c r="K3972" s="185">
        <f t="shared" si="139"/>
        <v>0</v>
      </c>
      <c r="L3972" s="185"/>
      <c r="M3972" s="185"/>
      <c r="N3972" s="185"/>
      <c r="O3972" s="215">
        <f t="shared" si="140"/>
        <v>0</v>
      </c>
      <c r="P3972" s="236"/>
      <c r="Q3972" s="236"/>
      <c r="R3972" s="236"/>
      <c r="S3972" s="236"/>
    </row>
    <row r="3973" spans="1:19" s="237" customFormat="1" x14ac:dyDescent="0.35">
      <c r="A3973" s="229"/>
      <c r="B3973" s="230" t="str">
        <f t="shared" si="138"/>
        <v>PV1-64</v>
      </c>
      <c r="C3973" s="185"/>
      <c r="D3973" s="185"/>
      <c r="E3973" s="185"/>
      <c r="F3973" s="185"/>
      <c r="G3973" s="185"/>
      <c r="H3973" s="185"/>
      <c r="I3973" s="185"/>
      <c r="J3973" s="185"/>
      <c r="K3973" s="185">
        <f t="shared" si="139"/>
        <v>0</v>
      </c>
      <c r="L3973" s="185"/>
      <c r="M3973" s="185"/>
      <c r="N3973" s="185"/>
      <c r="O3973" s="215">
        <f t="shared" si="140"/>
        <v>0</v>
      </c>
      <c r="P3973" s="236"/>
      <c r="Q3973" s="236"/>
      <c r="R3973" s="236"/>
      <c r="S3973" s="236"/>
    </row>
    <row r="3974" spans="1:19" s="237" customFormat="1" x14ac:dyDescent="0.35">
      <c r="A3974" s="229"/>
      <c r="B3974" s="230" t="str">
        <f t="shared" si="138"/>
        <v>PV1-65</v>
      </c>
      <c r="C3974" s="185"/>
      <c r="D3974" s="185"/>
      <c r="E3974" s="185"/>
      <c r="F3974" s="185"/>
      <c r="G3974" s="185"/>
      <c r="H3974" s="185"/>
      <c r="I3974" s="185"/>
      <c r="J3974" s="185"/>
      <c r="K3974" s="185">
        <f t="shared" si="139"/>
        <v>0</v>
      </c>
      <c r="L3974" s="185"/>
      <c r="M3974" s="185"/>
      <c r="N3974" s="185"/>
      <c r="O3974" s="215">
        <f t="shared" si="140"/>
        <v>0</v>
      </c>
      <c r="P3974" s="236"/>
      <c r="Q3974" s="236"/>
      <c r="R3974" s="236"/>
      <c r="S3974" s="236"/>
    </row>
    <row r="3975" spans="1:19" s="237" customFormat="1" x14ac:dyDescent="0.35">
      <c r="A3975" s="229"/>
      <c r="B3975" s="230" t="str">
        <f t="shared" si="138"/>
        <v>PV1-66</v>
      </c>
      <c r="C3975" s="185"/>
      <c r="D3975" s="185"/>
      <c r="E3975" s="185"/>
      <c r="F3975" s="185"/>
      <c r="G3975" s="185"/>
      <c r="H3975" s="185"/>
      <c r="I3975" s="185"/>
      <c r="J3975" s="185"/>
      <c r="K3975" s="185">
        <f t="shared" si="139"/>
        <v>0.14490557639766902</v>
      </c>
      <c r="L3975" s="185"/>
      <c r="M3975" s="185"/>
      <c r="N3975" s="185"/>
      <c r="O3975" s="215">
        <f t="shared" si="140"/>
        <v>0.20700796628238433</v>
      </c>
      <c r="P3975" s="236"/>
      <c r="Q3975" s="236"/>
      <c r="R3975" s="236"/>
      <c r="S3975" s="236"/>
    </row>
    <row r="3976" spans="1:19" s="237" customFormat="1" x14ac:dyDescent="0.35">
      <c r="A3976" s="229"/>
      <c r="B3976" s="230" t="str">
        <f t="shared" si="138"/>
        <v>PV2-63</v>
      </c>
      <c r="C3976" s="185"/>
      <c r="D3976" s="185"/>
      <c r="E3976" s="185"/>
      <c r="F3976" s="185"/>
      <c r="G3976" s="185"/>
      <c r="H3976" s="185"/>
      <c r="I3976" s="185"/>
      <c r="J3976" s="185"/>
      <c r="K3976" s="185">
        <f t="shared" si="139"/>
        <v>0</v>
      </c>
      <c r="L3976" s="185"/>
      <c r="M3976" s="185"/>
      <c r="N3976" s="185"/>
      <c r="O3976" s="215">
        <f t="shared" si="140"/>
        <v>0</v>
      </c>
      <c r="P3976" s="236"/>
      <c r="Q3976" s="236"/>
      <c r="R3976" s="236"/>
      <c r="S3976" s="236"/>
    </row>
    <row r="3977" spans="1:19" s="237" customFormat="1" x14ac:dyDescent="0.35">
      <c r="A3977" s="229"/>
      <c r="B3977" s="230" t="str">
        <f t="shared" si="138"/>
        <v>PV3-63</v>
      </c>
      <c r="C3977" s="185"/>
      <c r="D3977" s="185"/>
      <c r="E3977" s="185"/>
      <c r="F3977" s="185"/>
      <c r="G3977" s="185"/>
      <c r="H3977" s="185"/>
      <c r="I3977" s="185"/>
      <c r="J3977" s="185"/>
      <c r="K3977" s="185">
        <f t="shared" si="139"/>
        <v>4.1401593256476778E-2</v>
      </c>
      <c r="L3977" s="185"/>
      <c r="M3977" s="185"/>
      <c r="N3977" s="185"/>
      <c r="O3977" s="215">
        <f t="shared" si="140"/>
        <v>5.914513322353826E-2</v>
      </c>
      <c r="P3977" s="236"/>
      <c r="Q3977" s="236"/>
      <c r="R3977" s="236"/>
      <c r="S3977" s="236"/>
    </row>
    <row r="3978" spans="1:19" s="237" customFormat="1" x14ac:dyDescent="0.35">
      <c r="A3978" s="229"/>
      <c r="B3978" s="230" t="str">
        <f t="shared" si="138"/>
        <v>PV5-63</v>
      </c>
      <c r="C3978" s="185"/>
      <c r="D3978" s="185"/>
      <c r="E3978" s="185"/>
      <c r="F3978" s="185"/>
      <c r="G3978" s="185"/>
      <c r="H3978" s="185"/>
      <c r="I3978" s="185"/>
      <c r="J3978" s="185"/>
      <c r="K3978" s="185">
        <f t="shared" si="139"/>
        <v>0.10350398314119212</v>
      </c>
      <c r="L3978" s="185"/>
      <c r="M3978" s="185"/>
      <c r="N3978" s="185"/>
      <c r="O3978" s="215">
        <f t="shared" si="140"/>
        <v>0.1478628330588459</v>
      </c>
      <c r="P3978" s="236"/>
      <c r="Q3978" s="236"/>
      <c r="R3978" s="236"/>
      <c r="S3978" s="236"/>
    </row>
    <row r="3979" spans="1:19" s="237" customFormat="1" x14ac:dyDescent="0.35">
      <c r="A3979" s="229"/>
      <c r="B3979" s="230" t="str">
        <f t="shared" si="138"/>
        <v>PV17-59</v>
      </c>
      <c r="C3979" s="185"/>
      <c r="D3979" s="185"/>
      <c r="E3979" s="185"/>
      <c r="F3979" s="185"/>
      <c r="G3979" s="185"/>
      <c r="H3979" s="185"/>
      <c r="I3979" s="185"/>
      <c r="J3979" s="185"/>
      <c r="K3979" s="185">
        <f t="shared" si="139"/>
        <v>8.2803186512954138E-2</v>
      </c>
      <c r="L3979" s="185"/>
      <c r="M3979" s="185"/>
      <c r="N3979" s="185"/>
      <c r="O3979" s="215">
        <f t="shared" si="140"/>
        <v>0.11829026644707734</v>
      </c>
      <c r="P3979" s="236"/>
      <c r="Q3979" s="236"/>
      <c r="R3979" s="236"/>
      <c r="S3979" s="236"/>
    </row>
    <row r="3980" spans="1:19" s="237" customFormat="1" x14ac:dyDescent="0.35">
      <c r="A3980" s="229"/>
      <c r="B3980" s="230" t="str">
        <f t="shared" si="138"/>
        <v>PV18-59</v>
      </c>
      <c r="C3980" s="185"/>
      <c r="D3980" s="185"/>
      <c r="E3980" s="185"/>
      <c r="F3980" s="185"/>
      <c r="G3980" s="185"/>
      <c r="H3980" s="185"/>
      <c r="I3980" s="185"/>
      <c r="J3980" s="185"/>
      <c r="K3980" s="185">
        <f t="shared" si="139"/>
        <v>0.20700796628238474</v>
      </c>
      <c r="L3980" s="185"/>
      <c r="M3980" s="185"/>
      <c r="N3980" s="185"/>
      <c r="O3980" s="215">
        <f t="shared" si="140"/>
        <v>0.29572566611769252</v>
      </c>
      <c r="P3980" s="236"/>
      <c r="Q3980" s="236"/>
      <c r="R3980" s="236"/>
      <c r="S3980" s="236"/>
    </row>
    <row r="3981" spans="1:19" s="237" customFormat="1" x14ac:dyDescent="0.35">
      <c r="A3981" s="229"/>
      <c r="B3981" s="230"/>
      <c r="C3981" s="185"/>
      <c r="D3981" s="185"/>
      <c r="E3981" s="185"/>
      <c r="F3981" s="185"/>
      <c r="G3981" s="185"/>
      <c r="H3981" s="185"/>
      <c r="I3981" s="185"/>
      <c r="J3981" s="185"/>
      <c r="K3981" s="185"/>
      <c r="L3981" s="185"/>
      <c r="M3981" s="185"/>
      <c r="N3981" s="185"/>
      <c r="O3981" s="193"/>
      <c r="P3981" s="236"/>
      <c r="Q3981" s="236"/>
      <c r="R3981" s="236"/>
      <c r="S3981" s="236"/>
    </row>
    <row r="3982" spans="1:19" s="235" customFormat="1" x14ac:dyDescent="0.35">
      <c r="A3982" s="238"/>
      <c r="B3982" s="232" t="s">
        <v>5</v>
      </c>
      <c r="C3982" s="208" t="s">
        <v>1328</v>
      </c>
      <c r="D3982" s="208"/>
      <c r="E3982" s="208"/>
      <c r="F3982" s="208"/>
      <c r="G3982" s="208"/>
      <c r="H3982" s="208"/>
      <c r="I3982" s="208"/>
      <c r="J3982" s="208"/>
      <c r="K3982" s="196">
        <f>SUM(K3971:K3980)</f>
        <v>0.57962230559067685</v>
      </c>
      <c r="L3982" s="208"/>
      <c r="M3982" s="208"/>
      <c r="N3982" s="208"/>
      <c r="O3982" s="196"/>
      <c r="P3982" s="224"/>
      <c r="Q3982" s="224"/>
      <c r="R3982" s="224"/>
      <c r="S3982" s="224"/>
    </row>
    <row r="3983" spans="1:19" s="225" customFormat="1" ht="10.5" x14ac:dyDescent="0.25">
      <c r="A3983" s="222" t="str">
        <f>ORÇAMENTO!A731</f>
        <v>7.1</v>
      </c>
      <c r="B3983" s="223" t="str">
        <f>VLOOKUP(A3983,ORÇAMENTO!A:K,4,0)</f>
        <v>OBRAS DE DRENAGEM DE ÁGUAS PLUVIAIS</v>
      </c>
      <c r="C3983" s="167"/>
      <c r="D3983" s="167"/>
      <c r="E3983" s="168"/>
      <c r="F3983" s="168"/>
      <c r="G3983" s="168"/>
      <c r="H3983" s="168"/>
      <c r="I3983" s="168"/>
      <c r="J3983" s="168"/>
      <c r="K3983" s="168"/>
      <c r="L3983" s="168"/>
      <c r="M3983" s="168"/>
      <c r="N3983" s="168"/>
      <c r="O3983" s="168"/>
      <c r="P3983" s="224"/>
      <c r="Q3983" s="224"/>
    </row>
    <row r="3984" spans="1:19" s="225" customFormat="1" ht="10.5" x14ac:dyDescent="0.25">
      <c r="A3984" s="222" t="str">
        <f>ORÇAMENTO!A732</f>
        <v>7.1.1</v>
      </c>
      <c r="B3984" s="223" t="str">
        <f>VLOOKUP(A3984,ORÇAMENTO!A:K,4,0)</f>
        <v>SERVIÇOS PRELIMINARES</v>
      </c>
      <c r="C3984" s="167"/>
      <c r="D3984" s="167"/>
      <c r="E3984" s="168"/>
      <c r="F3984" s="168"/>
      <c r="G3984" s="168"/>
      <c r="H3984" s="168"/>
      <c r="I3984" s="168"/>
      <c r="J3984" s="168"/>
      <c r="K3984" s="168"/>
      <c r="L3984" s="168"/>
      <c r="M3984" s="168"/>
      <c r="N3984" s="168"/>
      <c r="O3984" s="168"/>
      <c r="P3984" s="224"/>
      <c r="Q3984" s="224"/>
    </row>
    <row r="3985" spans="1:17" s="228" customFormat="1" ht="21" x14ac:dyDescent="0.25">
      <c r="A3985" s="226" t="str">
        <f>ORÇAMENTO!A734</f>
        <v>7.1.1.1.1</v>
      </c>
      <c r="B3985" s="227" t="str">
        <f>VLOOKUP(A3985,ORÇAMENTO!A:K,4,0)</f>
        <v>PLACA DE OBRA EM CHAPA DE ACO GALVANIZADO</v>
      </c>
      <c r="C3985" s="173" t="str">
        <f>VLOOKUP(A3985,ORÇAMENTO!A:K,5,0)</f>
        <v>M²</v>
      </c>
      <c r="D3985" s="173">
        <f>SUM(E3989:O3989)</f>
        <v>12</v>
      </c>
      <c r="E3985" s="173" t="s">
        <v>1718</v>
      </c>
      <c r="F3985" s="173" t="s">
        <v>1719</v>
      </c>
      <c r="G3985" s="173" t="s">
        <v>1720</v>
      </c>
      <c r="H3985" s="173" t="s">
        <v>1721</v>
      </c>
      <c r="I3985" s="173" t="s">
        <v>1722</v>
      </c>
      <c r="J3985" s="173" t="s">
        <v>1723</v>
      </c>
      <c r="K3985" s="173" t="s">
        <v>1724</v>
      </c>
      <c r="L3985" s="173" t="s">
        <v>1725</v>
      </c>
      <c r="M3985" s="173" t="s">
        <v>1726</v>
      </c>
      <c r="N3985" s="173" t="s">
        <v>1727</v>
      </c>
      <c r="O3985" s="173" t="s">
        <v>1728</v>
      </c>
      <c r="P3985" s="224"/>
      <c r="Q3985" s="224"/>
    </row>
    <row r="3986" spans="1:17" s="225" customFormat="1" ht="10.5" x14ac:dyDescent="0.25">
      <c r="A3986" s="229"/>
      <c r="B3986" s="230"/>
      <c r="C3986" s="177"/>
      <c r="D3986" s="178"/>
      <c r="E3986" s="178"/>
      <c r="F3986" s="178"/>
      <c r="G3986" s="178"/>
      <c r="H3986" s="178"/>
      <c r="I3986" s="178"/>
      <c r="J3986" s="178"/>
      <c r="K3986" s="178"/>
      <c r="L3986" s="178"/>
      <c r="M3986" s="178"/>
      <c r="N3986" s="178"/>
      <c r="O3986" s="178"/>
      <c r="P3986" s="231"/>
      <c r="Q3986" s="224"/>
    </row>
    <row r="3987" spans="1:17" s="225" customFormat="1" ht="21" x14ac:dyDescent="0.25">
      <c r="A3987" s="229"/>
      <c r="B3987" s="230" t="s">
        <v>1729</v>
      </c>
      <c r="C3987" s="177"/>
      <c r="D3987" s="178"/>
      <c r="E3987" s="178">
        <v>3</v>
      </c>
      <c r="F3987" s="178"/>
      <c r="G3987" s="178">
        <v>2</v>
      </c>
      <c r="H3987" s="178"/>
      <c r="I3987" s="178"/>
      <c r="J3987" s="178"/>
      <c r="K3987" s="178"/>
      <c r="L3987" s="178"/>
      <c r="M3987" s="178">
        <v>2</v>
      </c>
      <c r="N3987" s="178">
        <f>E3987*G3987*M3987</f>
        <v>12</v>
      </c>
      <c r="O3987" s="178"/>
      <c r="P3987" s="231"/>
      <c r="Q3987" s="224"/>
    </row>
    <row r="3988" spans="1:17" s="225" customFormat="1" ht="10.5" x14ac:dyDescent="0.25">
      <c r="A3988" s="229"/>
      <c r="B3988" s="230"/>
      <c r="C3988" s="177"/>
      <c r="D3988" s="178"/>
      <c r="E3988" s="178"/>
      <c r="F3988" s="178"/>
      <c r="G3988" s="178"/>
      <c r="H3988" s="178"/>
      <c r="I3988" s="178"/>
      <c r="J3988" s="178"/>
      <c r="K3988" s="178"/>
      <c r="L3988" s="180"/>
      <c r="M3988" s="178"/>
      <c r="N3988" s="178"/>
      <c r="O3988" s="178"/>
      <c r="P3988" s="231"/>
      <c r="Q3988" s="224"/>
    </row>
    <row r="3989" spans="1:17" s="225" customFormat="1" ht="10.5" x14ac:dyDescent="0.25">
      <c r="A3989" s="229"/>
      <c r="B3989" s="232" t="s">
        <v>5</v>
      </c>
      <c r="C3989" s="182" t="s">
        <v>1328</v>
      </c>
      <c r="D3989" s="182"/>
      <c r="E3989" s="182"/>
      <c r="F3989" s="182"/>
      <c r="G3989" s="182"/>
      <c r="H3989" s="182"/>
      <c r="I3989" s="182"/>
      <c r="J3989" s="182"/>
      <c r="K3989" s="182"/>
      <c r="L3989" s="182"/>
      <c r="M3989" s="182"/>
      <c r="N3989" s="182">
        <f>SUM(N3986:N3988)</f>
        <v>12</v>
      </c>
      <c r="O3989" s="182"/>
      <c r="P3989" s="233"/>
      <c r="Q3989" s="224"/>
    </row>
    <row r="3990" spans="1:17" s="228" customFormat="1" ht="21" x14ac:dyDescent="0.25">
      <c r="A3990" s="226" t="str">
        <f>ORÇAMENTO!A735</f>
        <v>7.1.1.1.2</v>
      </c>
      <c r="B3990" s="227" t="str">
        <f>VLOOKUP(A3990,ORÇAMENTO!A:K,4,0)</f>
        <v>LOCAÇÃO DE REDE DE DRENAGEM</v>
      </c>
      <c r="C3990" s="173" t="str">
        <f>VLOOKUP(A3990,ORÇAMENTO!A:K,5,0)</f>
        <v>M</v>
      </c>
      <c r="D3990" s="173">
        <f>SUM(E3994:O3994)</f>
        <v>1848.2500000000005</v>
      </c>
      <c r="E3990" s="173" t="s">
        <v>1718</v>
      </c>
      <c r="F3990" s="173" t="s">
        <v>1719</v>
      </c>
      <c r="G3990" s="173" t="s">
        <v>1720</v>
      </c>
      <c r="H3990" s="173" t="s">
        <v>1721</v>
      </c>
      <c r="I3990" s="173" t="s">
        <v>1722</v>
      </c>
      <c r="J3990" s="173" t="s">
        <v>1723</v>
      </c>
      <c r="K3990" s="173" t="s">
        <v>1724</v>
      </c>
      <c r="L3990" s="173" t="s">
        <v>1725</v>
      </c>
      <c r="M3990" s="173" t="s">
        <v>1730</v>
      </c>
      <c r="N3990" s="173" t="s">
        <v>1727</v>
      </c>
      <c r="O3990" s="173" t="s">
        <v>1728</v>
      </c>
      <c r="P3990" s="224"/>
      <c r="Q3990" s="224"/>
    </row>
    <row r="3991" spans="1:17" s="225" customFormat="1" ht="10.5" x14ac:dyDescent="0.25">
      <c r="A3991" s="229"/>
      <c r="B3991" s="230"/>
      <c r="C3991" s="184"/>
      <c r="D3991" s="185"/>
      <c r="E3991" s="185"/>
      <c r="F3991" s="185"/>
      <c r="G3991" s="185"/>
      <c r="H3991" s="185"/>
      <c r="I3991" s="185"/>
      <c r="J3991" s="185"/>
      <c r="K3991" s="185"/>
      <c r="L3991" s="185"/>
      <c r="M3991" s="185"/>
      <c r="N3991" s="185"/>
      <c r="O3991" s="185"/>
      <c r="P3991" s="231"/>
      <c r="Q3991" s="224"/>
    </row>
    <row r="3992" spans="1:17" s="225" customFormat="1" ht="10.5" x14ac:dyDescent="0.25">
      <c r="A3992" s="229"/>
      <c r="B3992" s="230" t="s">
        <v>1731</v>
      </c>
      <c r="C3992" s="184"/>
      <c r="D3992" s="185"/>
      <c r="E3992" s="185">
        <f>Quantitativos!F192</f>
        <v>1848.2500000000005</v>
      </c>
      <c r="F3992" s="185"/>
      <c r="G3992" s="185"/>
      <c r="H3992" s="185"/>
      <c r="I3992" s="185"/>
      <c r="J3992" s="185"/>
      <c r="K3992" s="185"/>
      <c r="L3992" s="185"/>
      <c r="M3992" s="185"/>
      <c r="N3992" s="185"/>
      <c r="O3992" s="185"/>
      <c r="P3992" s="231"/>
      <c r="Q3992" s="224"/>
    </row>
    <row r="3993" spans="1:17" s="225" customFormat="1" ht="10.5" x14ac:dyDescent="0.25">
      <c r="A3993" s="229"/>
      <c r="B3993" s="230"/>
      <c r="C3993" s="184"/>
      <c r="D3993" s="185"/>
      <c r="E3993" s="185"/>
      <c r="F3993" s="185"/>
      <c r="G3993" s="185"/>
      <c r="H3993" s="185"/>
      <c r="I3993" s="185"/>
      <c r="J3993" s="185"/>
      <c r="K3993" s="185"/>
      <c r="L3993" s="186"/>
      <c r="M3993" s="185"/>
      <c r="N3993" s="185"/>
      <c r="O3993" s="185"/>
      <c r="P3993" s="231"/>
      <c r="Q3993" s="224"/>
    </row>
    <row r="3994" spans="1:17" s="225" customFormat="1" ht="10.5" x14ac:dyDescent="0.25">
      <c r="A3994" s="229"/>
      <c r="B3994" s="232" t="s">
        <v>5</v>
      </c>
      <c r="C3994" s="182" t="s">
        <v>1328</v>
      </c>
      <c r="D3994" s="182"/>
      <c r="E3994" s="182">
        <f>SUM(E3991:E3993)</f>
        <v>1848.2500000000005</v>
      </c>
      <c r="F3994" s="182"/>
      <c r="G3994" s="182"/>
      <c r="H3994" s="182"/>
      <c r="I3994" s="182"/>
      <c r="J3994" s="182"/>
      <c r="K3994" s="182"/>
      <c r="L3994" s="182"/>
      <c r="M3994" s="182"/>
      <c r="N3994" s="182"/>
      <c r="O3994" s="182"/>
      <c r="P3994" s="233"/>
      <c r="Q3994" s="224"/>
    </row>
    <row r="3995" spans="1:17" s="228" customFormat="1" ht="21" x14ac:dyDescent="0.25">
      <c r="A3995" s="226" t="str">
        <f>ORÇAMENTO!A736</f>
        <v>7.1.1.1.3</v>
      </c>
      <c r="B3995" s="227" t="str">
        <f>VLOOKUP(A3995,ORÇAMENTO!A:K,4,0)</f>
        <v>PASSARELA, EM MADEIRA, PARA COBERTA DE VALAS PARA PASSAGEM DE VEÍCULOS.</v>
      </c>
      <c r="C3995" s="173" t="str">
        <f>VLOOKUP(A3995,ORÇAMENTO!A:K,5,0)</f>
        <v>M²</v>
      </c>
      <c r="D3995" s="173">
        <f>SUM(E4002:O4002)</f>
        <v>16</v>
      </c>
      <c r="E3995" s="173" t="s">
        <v>1718</v>
      </c>
      <c r="F3995" s="173" t="s">
        <v>1719</v>
      </c>
      <c r="G3995" s="173" t="s">
        <v>1720</v>
      </c>
      <c r="H3995" s="173" t="s">
        <v>1721</v>
      </c>
      <c r="I3995" s="173" t="s">
        <v>1722</v>
      </c>
      <c r="J3995" s="173" t="s">
        <v>1723</v>
      </c>
      <c r="K3995" s="173" t="s">
        <v>1724</v>
      </c>
      <c r="L3995" s="173" t="s">
        <v>1725</v>
      </c>
      <c r="M3995" s="173" t="s">
        <v>1726</v>
      </c>
      <c r="N3995" s="173" t="s">
        <v>1727</v>
      </c>
      <c r="O3995" s="173" t="s">
        <v>1728</v>
      </c>
      <c r="P3995" s="224"/>
      <c r="Q3995" s="224"/>
    </row>
    <row r="3996" spans="1:17" s="225" customFormat="1" ht="10.5" x14ac:dyDescent="0.25">
      <c r="A3996" s="229"/>
      <c r="B3996" s="230"/>
      <c r="C3996" s="177"/>
      <c r="D3996" s="178"/>
      <c r="E3996" s="178"/>
      <c r="F3996" s="178"/>
      <c r="G3996" s="178"/>
      <c r="H3996" s="178"/>
      <c r="I3996" s="178"/>
      <c r="J3996" s="178"/>
      <c r="K3996" s="178"/>
      <c r="L3996" s="178"/>
      <c r="M3996" s="178"/>
      <c r="N3996" s="178"/>
      <c r="O3996" s="178"/>
      <c r="P3996" s="231"/>
      <c r="Q3996" s="224"/>
    </row>
    <row r="3997" spans="1:17" s="225" customFormat="1" ht="10.5" x14ac:dyDescent="0.25">
      <c r="A3997" s="229"/>
      <c r="B3997" s="230" t="s">
        <v>1732</v>
      </c>
      <c r="C3997" s="177"/>
      <c r="D3997" s="178"/>
      <c r="E3997" s="178">
        <f>E3992</f>
        <v>1848.2500000000005</v>
      </c>
      <c r="F3997" s="178"/>
      <c r="G3997" s="178"/>
      <c r="H3997" s="178"/>
      <c r="I3997" s="178"/>
      <c r="J3997" s="178"/>
      <c r="K3997" s="178"/>
      <c r="L3997" s="178"/>
      <c r="M3997" s="178"/>
      <c r="N3997" s="178"/>
      <c r="O3997" s="178"/>
      <c r="P3997" s="231"/>
      <c r="Q3997" s="224"/>
    </row>
    <row r="3998" spans="1:17" s="225" customFormat="1" ht="10.5" x14ac:dyDescent="0.25">
      <c r="A3998" s="229"/>
      <c r="B3998" s="230" t="s">
        <v>1733</v>
      </c>
      <c r="C3998" s="177"/>
      <c r="D3998" s="178"/>
      <c r="E3998" s="178"/>
      <c r="F3998" s="178"/>
      <c r="G3998" s="178"/>
      <c r="H3998" s="178"/>
      <c r="I3998" s="178"/>
      <c r="J3998" s="178"/>
      <c r="K3998" s="178"/>
      <c r="L3998" s="178"/>
      <c r="M3998" s="178">
        <f>ROUNDUP(E3997/500,0)</f>
        <v>4</v>
      </c>
      <c r="N3998" s="178"/>
      <c r="O3998" s="178"/>
      <c r="P3998" s="231"/>
      <c r="Q3998" s="224"/>
    </row>
    <row r="3999" spans="1:17" s="225" customFormat="1" ht="10.5" x14ac:dyDescent="0.25">
      <c r="A3999" s="229"/>
      <c r="B3999" s="230" t="s">
        <v>1734</v>
      </c>
      <c r="C3999" s="177"/>
      <c r="D3999" s="178"/>
      <c r="E3999" s="178">
        <v>4</v>
      </c>
      <c r="F3999" s="178">
        <v>1</v>
      </c>
      <c r="G3999" s="178"/>
      <c r="H3999" s="178"/>
      <c r="I3999" s="178"/>
      <c r="J3999" s="178"/>
      <c r="K3999" s="178"/>
      <c r="L3999" s="178"/>
      <c r="M3999" s="178"/>
      <c r="N3999" s="178"/>
      <c r="O3999" s="178"/>
      <c r="P3999" s="231"/>
      <c r="Q3999" s="224"/>
    </row>
    <row r="4000" spans="1:17" s="225" customFormat="1" ht="10.5" x14ac:dyDescent="0.25">
      <c r="A4000" s="229"/>
      <c r="B4000" s="230"/>
      <c r="C4000" s="177"/>
      <c r="D4000" s="178"/>
      <c r="E4000" s="178"/>
      <c r="F4000" s="178"/>
      <c r="G4000" s="178"/>
      <c r="H4000" s="178"/>
      <c r="I4000" s="178"/>
      <c r="J4000" s="178"/>
      <c r="K4000" s="178"/>
      <c r="L4000" s="178"/>
      <c r="M4000" s="178"/>
      <c r="N4000" s="178">
        <f>M3998*E3999*F3999</f>
        <v>16</v>
      </c>
      <c r="O4000" s="178"/>
      <c r="P4000" s="231"/>
      <c r="Q4000" s="224"/>
    </row>
    <row r="4001" spans="1:17" s="225" customFormat="1" ht="10.5" x14ac:dyDescent="0.25">
      <c r="A4001" s="229"/>
      <c r="B4001" s="230"/>
      <c r="C4001" s="177"/>
      <c r="D4001" s="178"/>
      <c r="E4001" s="178"/>
      <c r="F4001" s="178"/>
      <c r="G4001" s="178"/>
      <c r="H4001" s="178"/>
      <c r="I4001" s="178"/>
      <c r="J4001" s="178"/>
      <c r="K4001" s="178"/>
      <c r="L4001" s="180"/>
      <c r="M4001" s="178"/>
      <c r="N4001" s="178"/>
      <c r="O4001" s="178"/>
      <c r="P4001" s="231"/>
      <c r="Q4001" s="224"/>
    </row>
    <row r="4002" spans="1:17" s="225" customFormat="1" ht="10.5" x14ac:dyDescent="0.25">
      <c r="A4002" s="229"/>
      <c r="B4002" s="232" t="s">
        <v>5</v>
      </c>
      <c r="C4002" s="182" t="s">
        <v>1328</v>
      </c>
      <c r="D4002" s="182"/>
      <c r="E4002" s="182"/>
      <c r="F4002" s="182"/>
      <c r="G4002" s="182"/>
      <c r="H4002" s="182"/>
      <c r="I4002" s="182"/>
      <c r="J4002" s="182"/>
      <c r="K4002" s="182"/>
      <c r="L4002" s="182"/>
      <c r="M4002" s="178"/>
      <c r="N4002" s="182">
        <f>SUM(N3999:N4001)</f>
        <v>16</v>
      </c>
      <c r="O4002" s="182"/>
      <c r="P4002" s="233"/>
      <c r="Q4002" s="224"/>
    </row>
    <row r="4003" spans="1:17" s="228" customFormat="1" ht="21" x14ac:dyDescent="0.25">
      <c r="A4003" s="226" t="str">
        <f>ORÇAMENTO!A737</f>
        <v>7.1.1.1.4</v>
      </c>
      <c r="B4003" s="227" t="str">
        <f>VLOOKUP(A4003,ORÇAMENTO!A:K,4,0)</f>
        <v>PASSARELA, EM MADEIRA, PARA COBERTA DE VALAS PARA PASSAGEM DE PEDESTRES.</v>
      </c>
      <c r="C4003" s="173" t="str">
        <f>VLOOKUP(A4003,ORÇAMENTO!A:K,5,0)</f>
        <v>M²</v>
      </c>
      <c r="D4003" s="173">
        <f>SUM(E4010:O4010)</f>
        <v>20</v>
      </c>
      <c r="E4003" s="173" t="s">
        <v>1718</v>
      </c>
      <c r="F4003" s="173" t="s">
        <v>1719</v>
      </c>
      <c r="G4003" s="173" t="s">
        <v>1720</v>
      </c>
      <c r="H4003" s="173" t="s">
        <v>1721</v>
      </c>
      <c r="I4003" s="173" t="s">
        <v>1722</v>
      </c>
      <c r="J4003" s="173" t="s">
        <v>1723</v>
      </c>
      <c r="K4003" s="173" t="s">
        <v>1724</v>
      </c>
      <c r="L4003" s="173" t="s">
        <v>1725</v>
      </c>
      <c r="M4003" s="173" t="s">
        <v>1726</v>
      </c>
      <c r="N4003" s="173" t="s">
        <v>1727</v>
      </c>
      <c r="O4003" s="173" t="s">
        <v>1728</v>
      </c>
      <c r="P4003" s="224"/>
      <c r="Q4003" s="224"/>
    </row>
    <row r="4004" spans="1:17" s="225" customFormat="1" ht="10.5" x14ac:dyDescent="0.25">
      <c r="A4004" s="229"/>
      <c r="B4004" s="230"/>
      <c r="C4004" s="177"/>
      <c r="D4004" s="178"/>
      <c r="E4004" s="178"/>
      <c r="F4004" s="178"/>
      <c r="G4004" s="178"/>
      <c r="H4004" s="178"/>
      <c r="I4004" s="178"/>
      <c r="J4004" s="178"/>
      <c r="K4004" s="178"/>
      <c r="L4004" s="178"/>
      <c r="M4004" s="178"/>
      <c r="N4004" s="178"/>
      <c r="O4004" s="178"/>
      <c r="P4004" s="231"/>
      <c r="Q4004" s="224"/>
    </row>
    <row r="4005" spans="1:17" s="225" customFormat="1" ht="10.5" x14ac:dyDescent="0.25">
      <c r="A4005" s="229"/>
      <c r="B4005" s="230" t="s">
        <v>1732</v>
      </c>
      <c r="C4005" s="177"/>
      <c r="D4005" s="178"/>
      <c r="E4005" s="178">
        <f>E3997</f>
        <v>1848.2500000000005</v>
      </c>
      <c r="F4005" s="178"/>
      <c r="G4005" s="178"/>
      <c r="H4005" s="178"/>
      <c r="I4005" s="178"/>
      <c r="J4005" s="178"/>
      <c r="K4005" s="178"/>
      <c r="L4005" s="178"/>
      <c r="M4005" s="178"/>
      <c r="N4005" s="178"/>
      <c r="O4005" s="178"/>
      <c r="P4005" s="231"/>
      <c r="Q4005" s="224"/>
    </row>
    <row r="4006" spans="1:17" s="225" customFormat="1" ht="10.5" x14ac:dyDescent="0.25">
      <c r="A4006" s="229"/>
      <c r="B4006" s="230" t="s">
        <v>1735</v>
      </c>
      <c r="C4006" s="177"/>
      <c r="D4006" s="178"/>
      <c r="E4006" s="178"/>
      <c r="F4006" s="178"/>
      <c r="G4006" s="178"/>
      <c r="H4006" s="178"/>
      <c r="I4006" s="178"/>
      <c r="J4006" s="178"/>
      <c r="K4006" s="178"/>
      <c r="L4006" s="178"/>
      <c r="M4006" s="178">
        <f>ROUNDUP(E4005/200,0)</f>
        <v>10</v>
      </c>
      <c r="N4006" s="178"/>
      <c r="O4006" s="178"/>
      <c r="P4006" s="231"/>
      <c r="Q4006" s="224"/>
    </row>
    <row r="4007" spans="1:17" s="225" customFormat="1" ht="10.5" x14ac:dyDescent="0.25">
      <c r="A4007" s="229"/>
      <c r="B4007" s="230" t="s">
        <v>1736</v>
      </c>
      <c r="C4007" s="177"/>
      <c r="D4007" s="178"/>
      <c r="E4007" s="178">
        <v>2</v>
      </c>
      <c r="F4007" s="178">
        <v>1</v>
      </c>
      <c r="G4007" s="178"/>
      <c r="H4007" s="178"/>
      <c r="I4007" s="178"/>
      <c r="J4007" s="178"/>
      <c r="K4007" s="178"/>
      <c r="L4007" s="178"/>
      <c r="M4007" s="178"/>
      <c r="N4007" s="178"/>
      <c r="O4007" s="178"/>
      <c r="P4007" s="231"/>
      <c r="Q4007" s="224"/>
    </row>
    <row r="4008" spans="1:17" s="225" customFormat="1" ht="10.5" x14ac:dyDescent="0.25">
      <c r="A4008" s="229"/>
      <c r="B4008" s="230"/>
      <c r="C4008" s="177"/>
      <c r="D4008" s="178"/>
      <c r="E4008" s="178"/>
      <c r="F4008" s="178"/>
      <c r="G4008" s="178"/>
      <c r="H4008" s="178"/>
      <c r="I4008" s="178"/>
      <c r="J4008" s="178"/>
      <c r="K4008" s="178"/>
      <c r="L4008" s="178"/>
      <c r="M4008" s="178"/>
      <c r="N4008" s="178">
        <f>M4006*E4007*F4007</f>
        <v>20</v>
      </c>
      <c r="O4008" s="178"/>
      <c r="P4008" s="231"/>
      <c r="Q4008" s="224"/>
    </row>
    <row r="4009" spans="1:17" s="225" customFormat="1" ht="10.5" x14ac:dyDescent="0.25">
      <c r="A4009" s="229"/>
      <c r="B4009" s="230"/>
      <c r="C4009" s="177"/>
      <c r="D4009" s="178"/>
      <c r="E4009" s="178"/>
      <c r="F4009" s="178"/>
      <c r="G4009" s="178"/>
      <c r="H4009" s="178"/>
      <c r="I4009" s="178"/>
      <c r="J4009" s="178"/>
      <c r="K4009" s="178"/>
      <c r="L4009" s="180"/>
      <c r="M4009" s="178"/>
      <c r="N4009" s="178"/>
      <c r="O4009" s="178"/>
      <c r="P4009" s="231"/>
      <c r="Q4009" s="224"/>
    </row>
    <row r="4010" spans="1:17" s="225" customFormat="1" ht="10.5" x14ac:dyDescent="0.25">
      <c r="A4010" s="229"/>
      <c r="B4010" s="232" t="s">
        <v>5</v>
      </c>
      <c r="C4010" s="182" t="s">
        <v>1328</v>
      </c>
      <c r="D4010" s="182"/>
      <c r="E4010" s="182"/>
      <c r="F4010" s="182"/>
      <c r="G4010" s="182"/>
      <c r="H4010" s="182"/>
      <c r="I4010" s="182"/>
      <c r="J4010" s="182"/>
      <c r="K4010" s="182"/>
      <c r="L4010" s="182"/>
      <c r="M4010" s="182"/>
      <c r="N4010" s="182">
        <f>SUM(N4007:N4009)</f>
        <v>20</v>
      </c>
      <c r="O4010" s="182"/>
      <c r="P4010" s="233"/>
      <c r="Q4010" s="224"/>
    </row>
    <row r="4011" spans="1:17" s="228" customFormat="1" ht="21" x14ac:dyDescent="0.25">
      <c r="A4011" s="226" t="str">
        <f>ORÇAMENTO!A738</f>
        <v>7.1.1.1.5</v>
      </c>
      <c r="B4011" s="227" t="str">
        <f>VLOOKUP(A4011,ORÇAMENTO!A:K,4,0)</f>
        <v>TELA TAPUME, COR LARANJA, COM SUPORTE A CADA 2M (FORNECIMENTO E INSTALAÇÃO)</v>
      </c>
      <c r="C4011" s="173" t="str">
        <f>VLOOKUP(A4011,ORÇAMENTO!A:K,5,0)</f>
        <v>M</v>
      </c>
      <c r="D4011" s="173">
        <f>SUM(E4016:O4016)</f>
        <v>3696.5000000000009</v>
      </c>
      <c r="E4011" s="173" t="s">
        <v>1718</v>
      </c>
      <c r="F4011" s="173" t="s">
        <v>1719</v>
      </c>
      <c r="G4011" s="173" t="s">
        <v>1720</v>
      </c>
      <c r="H4011" s="173" t="s">
        <v>1721</v>
      </c>
      <c r="I4011" s="173" t="s">
        <v>1722</v>
      </c>
      <c r="J4011" s="173" t="s">
        <v>1723</v>
      </c>
      <c r="K4011" s="173" t="s">
        <v>1724</v>
      </c>
      <c r="L4011" s="173" t="s">
        <v>1725</v>
      </c>
      <c r="M4011" s="173" t="s">
        <v>1726</v>
      </c>
      <c r="N4011" s="173" t="s">
        <v>1727</v>
      </c>
      <c r="O4011" s="173" t="s">
        <v>1728</v>
      </c>
      <c r="P4011" s="224"/>
      <c r="Q4011" s="224"/>
    </row>
    <row r="4012" spans="1:17" s="225" customFormat="1" ht="10.5" x14ac:dyDescent="0.25">
      <c r="A4012" s="229"/>
      <c r="B4012" s="230"/>
      <c r="C4012" s="177"/>
      <c r="D4012" s="178"/>
      <c r="E4012" s="178"/>
      <c r="F4012" s="178"/>
      <c r="G4012" s="178"/>
      <c r="H4012" s="178"/>
      <c r="I4012" s="178"/>
      <c r="J4012" s="178"/>
      <c r="K4012" s="178"/>
      <c r="L4012" s="178"/>
      <c r="M4012" s="178"/>
      <c r="N4012" s="178"/>
      <c r="O4012" s="178"/>
      <c r="P4012" s="231"/>
      <c r="Q4012" s="224"/>
    </row>
    <row r="4013" spans="1:17" s="225" customFormat="1" ht="10.5" x14ac:dyDescent="0.25">
      <c r="A4013" s="229"/>
      <c r="B4013" s="230" t="s">
        <v>1732</v>
      </c>
      <c r="C4013" s="177"/>
      <c r="D4013" s="178"/>
      <c r="E4013" s="178">
        <f>E4005</f>
        <v>1848.2500000000005</v>
      </c>
      <c r="F4013" s="178"/>
      <c r="G4013" s="178"/>
      <c r="H4013" s="178"/>
      <c r="I4013" s="178"/>
      <c r="J4013" s="178"/>
      <c r="K4013" s="178"/>
      <c r="L4013" s="178"/>
      <c r="M4013" s="178"/>
      <c r="N4013" s="178"/>
      <c r="O4013" s="178"/>
      <c r="P4013" s="231"/>
      <c r="Q4013" s="224"/>
    </row>
    <row r="4014" spans="1:17" s="225" customFormat="1" ht="10.5" x14ac:dyDescent="0.25">
      <c r="A4014" s="229"/>
      <c r="B4014" s="230" t="s">
        <v>1737</v>
      </c>
      <c r="C4014" s="177"/>
      <c r="D4014" s="178"/>
      <c r="E4014" s="178">
        <f>E4013*2</f>
        <v>3696.5000000000009</v>
      </c>
      <c r="F4014" s="178"/>
      <c r="G4014" s="178"/>
      <c r="H4014" s="178"/>
      <c r="I4014" s="178"/>
      <c r="J4014" s="178"/>
      <c r="K4014" s="178"/>
      <c r="L4014" s="178"/>
      <c r="M4014" s="178"/>
      <c r="N4014" s="178"/>
      <c r="O4014" s="178"/>
      <c r="P4014" s="231"/>
      <c r="Q4014" s="224"/>
    </row>
    <row r="4015" spans="1:17" s="225" customFormat="1" ht="10.5" x14ac:dyDescent="0.25">
      <c r="A4015" s="229"/>
      <c r="B4015" s="230"/>
      <c r="C4015" s="177"/>
      <c r="D4015" s="178"/>
      <c r="E4015" s="178"/>
      <c r="F4015" s="178"/>
      <c r="G4015" s="178"/>
      <c r="H4015" s="178"/>
      <c r="I4015" s="178"/>
      <c r="J4015" s="178"/>
      <c r="K4015" s="178"/>
      <c r="L4015" s="180"/>
      <c r="M4015" s="178"/>
      <c r="N4015" s="178"/>
      <c r="O4015" s="178"/>
      <c r="P4015" s="231"/>
      <c r="Q4015" s="224"/>
    </row>
    <row r="4016" spans="1:17" s="225" customFormat="1" ht="10.5" x14ac:dyDescent="0.25">
      <c r="A4016" s="229"/>
      <c r="B4016" s="232" t="s">
        <v>5</v>
      </c>
      <c r="C4016" s="182" t="s">
        <v>1328</v>
      </c>
      <c r="D4016" s="182"/>
      <c r="E4016" s="182">
        <f>SUM(E4014:E4015)</f>
        <v>3696.5000000000009</v>
      </c>
      <c r="F4016" s="182"/>
      <c r="G4016" s="182"/>
      <c r="H4016" s="182"/>
      <c r="I4016" s="182"/>
      <c r="J4016" s="182"/>
      <c r="K4016" s="182"/>
      <c r="L4016" s="182"/>
      <c r="M4016" s="182"/>
      <c r="N4016" s="182"/>
      <c r="O4016" s="182"/>
      <c r="P4016" s="233"/>
      <c r="Q4016" s="224"/>
    </row>
    <row r="4017" spans="1:17" s="228" customFormat="1" ht="21" x14ac:dyDescent="0.25">
      <c r="A4017" s="226" t="str">
        <f>ORÇAMENTO!A739</f>
        <v>7.1.1.1.6</v>
      </c>
      <c r="B4017" s="227" t="str">
        <f>VLOOKUP(A4017,ORÇAMENTO!A:K,4,0)</f>
        <v>SINALIZADOR ELETRÔNICO</v>
      </c>
      <c r="C4017" s="173" t="str">
        <f>VLOOKUP(A4017,ORÇAMENTO!A:K,5,0)</f>
        <v>UN</v>
      </c>
      <c r="D4017" s="173">
        <f>SUM(E4022:O4022)</f>
        <v>37</v>
      </c>
      <c r="E4017" s="173" t="s">
        <v>1718</v>
      </c>
      <c r="F4017" s="173" t="s">
        <v>1719</v>
      </c>
      <c r="G4017" s="173" t="s">
        <v>1720</v>
      </c>
      <c r="H4017" s="173" t="s">
        <v>1721</v>
      </c>
      <c r="I4017" s="173" t="s">
        <v>1722</v>
      </c>
      <c r="J4017" s="173" t="s">
        <v>1723</v>
      </c>
      <c r="K4017" s="173" t="s">
        <v>1724</v>
      </c>
      <c r="L4017" s="173" t="s">
        <v>1725</v>
      </c>
      <c r="M4017" s="173" t="s">
        <v>1726</v>
      </c>
      <c r="N4017" s="173" t="s">
        <v>1727</v>
      </c>
      <c r="O4017" s="173" t="s">
        <v>1728</v>
      </c>
      <c r="P4017" s="224"/>
      <c r="Q4017" s="224"/>
    </row>
    <row r="4018" spans="1:17" s="225" customFormat="1" ht="10.5" x14ac:dyDescent="0.25">
      <c r="A4018" s="229"/>
      <c r="B4018" s="230"/>
      <c r="C4018" s="177"/>
      <c r="D4018" s="178"/>
      <c r="E4018" s="178"/>
      <c r="F4018" s="178"/>
      <c r="G4018" s="178"/>
      <c r="H4018" s="178"/>
      <c r="I4018" s="178"/>
      <c r="J4018" s="178"/>
      <c r="K4018" s="178"/>
      <c r="L4018" s="178"/>
      <c r="M4018" s="178"/>
      <c r="N4018" s="178"/>
      <c r="O4018" s="178"/>
      <c r="P4018" s="231"/>
      <c r="Q4018" s="224"/>
    </row>
    <row r="4019" spans="1:17" s="225" customFormat="1" ht="10.5" x14ac:dyDescent="0.25">
      <c r="A4019" s="229"/>
      <c r="B4019" s="230" t="s">
        <v>1732</v>
      </c>
      <c r="C4019" s="177"/>
      <c r="D4019" s="178"/>
      <c r="E4019" s="178">
        <f>E4013</f>
        <v>1848.2500000000005</v>
      </c>
      <c r="F4019" s="178"/>
      <c r="G4019" s="178"/>
      <c r="H4019" s="178"/>
      <c r="I4019" s="178"/>
      <c r="J4019" s="178"/>
      <c r="K4019" s="178"/>
      <c r="L4019" s="178"/>
      <c r="M4019" s="178"/>
      <c r="N4019" s="178"/>
      <c r="O4019" s="178"/>
      <c r="P4019" s="231"/>
      <c r="Q4019" s="224"/>
    </row>
    <row r="4020" spans="1:17" s="225" customFormat="1" ht="21" x14ac:dyDescent="0.25">
      <c r="A4020" s="229"/>
      <c r="B4020" s="230" t="s">
        <v>1738</v>
      </c>
      <c r="C4020" s="177"/>
      <c r="D4020" s="178"/>
      <c r="E4020" s="178"/>
      <c r="F4020" s="178"/>
      <c r="G4020" s="178"/>
      <c r="H4020" s="178"/>
      <c r="I4020" s="178"/>
      <c r="J4020" s="178"/>
      <c r="K4020" s="178"/>
      <c r="L4020" s="178"/>
      <c r="M4020" s="178">
        <f>ROUNDUP(E4019*0.2/10,0)</f>
        <v>37</v>
      </c>
      <c r="N4020" s="178"/>
      <c r="O4020" s="178"/>
      <c r="P4020" s="231"/>
      <c r="Q4020" s="224"/>
    </row>
    <row r="4021" spans="1:17" s="225" customFormat="1" ht="10.5" x14ac:dyDescent="0.25">
      <c r="A4021" s="229"/>
      <c r="B4021" s="230"/>
      <c r="C4021" s="177"/>
      <c r="D4021" s="178"/>
      <c r="E4021" s="178"/>
      <c r="F4021" s="178"/>
      <c r="G4021" s="178"/>
      <c r="H4021" s="178"/>
      <c r="I4021" s="178"/>
      <c r="J4021" s="178"/>
      <c r="K4021" s="178"/>
      <c r="L4021" s="180"/>
      <c r="M4021" s="178"/>
      <c r="N4021" s="178"/>
      <c r="O4021" s="178"/>
      <c r="P4021" s="231"/>
      <c r="Q4021" s="224"/>
    </row>
    <row r="4022" spans="1:17" s="225" customFormat="1" ht="10.5" x14ac:dyDescent="0.25">
      <c r="A4022" s="229"/>
      <c r="B4022" s="232" t="s">
        <v>5</v>
      </c>
      <c r="C4022" s="182" t="s">
        <v>1328</v>
      </c>
      <c r="D4022" s="182"/>
      <c r="E4022" s="182"/>
      <c r="F4022" s="182"/>
      <c r="G4022" s="182"/>
      <c r="H4022" s="182"/>
      <c r="I4022" s="182"/>
      <c r="J4022" s="182"/>
      <c r="K4022" s="182"/>
      <c r="L4022" s="182"/>
      <c r="M4022" s="182">
        <f>SUM(M4020:M4021)</f>
        <v>37</v>
      </c>
      <c r="N4022" s="182"/>
      <c r="O4022" s="182"/>
      <c r="P4022" s="233"/>
      <c r="Q4022" s="224"/>
    </row>
    <row r="4023" spans="1:17" s="228" customFormat="1" ht="42" x14ac:dyDescent="0.25">
      <c r="A4023" s="226" t="str">
        <f>ORÇAMENTO!A740</f>
        <v>7.1.1.1.7</v>
      </c>
      <c r="B4023" s="227" t="str">
        <f>VLOOKUP(A4023,ORÇAMENTO!A:K,4,0)</f>
        <v>PLACA PARA SINALIZAÇÃO DE OBRAS MONTADA EM CAVALETE METÁLICO - 1,00 X 1,00 M - UTILIZAÇÃO DE 600 CICLOS - FORNECIMENTO, 01IMPLANTAÇÃO E 01 RETIRADA DIÁRIA</v>
      </c>
      <c r="C4023" s="173" t="str">
        <f>VLOOKUP(A4023,ORÇAMENTO!A:K,5,0)</f>
        <v>UN.DIA</v>
      </c>
      <c r="D4023" s="173">
        <f>SUM(E4029:O4029)</f>
        <v>1404</v>
      </c>
      <c r="E4023" s="173" t="s">
        <v>1718</v>
      </c>
      <c r="F4023" s="173" t="s">
        <v>1719</v>
      </c>
      <c r="G4023" s="173" t="s">
        <v>1720</v>
      </c>
      <c r="H4023" s="173" t="s">
        <v>1721</v>
      </c>
      <c r="I4023" s="173" t="s">
        <v>1722</v>
      </c>
      <c r="J4023" s="173" t="s">
        <v>1723</v>
      </c>
      <c r="K4023" s="173" t="s">
        <v>1724</v>
      </c>
      <c r="L4023" s="173" t="s">
        <v>1725</v>
      </c>
      <c r="M4023" s="173" t="s">
        <v>1726</v>
      </c>
      <c r="N4023" s="173" t="s">
        <v>1727</v>
      </c>
      <c r="O4023" s="173" t="s">
        <v>1728</v>
      </c>
      <c r="P4023" s="224"/>
      <c r="Q4023" s="224"/>
    </row>
    <row r="4024" spans="1:17" s="225" customFormat="1" ht="10.5" x14ac:dyDescent="0.25">
      <c r="A4024" s="229"/>
      <c r="B4024" s="230"/>
      <c r="C4024" s="177"/>
      <c r="D4024" s="178"/>
      <c r="E4024" s="178"/>
      <c r="F4024" s="178"/>
      <c r="G4024" s="178"/>
      <c r="H4024" s="178"/>
      <c r="I4024" s="178"/>
      <c r="J4024" s="178"/>
      <c r="K4024" s="178"/>
      <c r="L4024" s="178"/>
      <c r="M4024" s="178"/>
      <c r="N4024" s="178"/>
      <c r="O4024" s="178"/>
      <c r="P4024" s="231"/>
      <c r="Q4024" s="224"/>
    </row>
    <row r="4025" spans="1:17" s="225" customFormat="1" ht="10.5" x14ac:dyDescent="0.25">
      <c r="A4025" s="229"/>
      <c r="B4025" s="230"/>
      <c r="C4025" s="177"/>
      <c r="D4025" s="178"/>
      <c r="E4025" s="178"/>
      <c r="F4025" s="178"/>
      <c r="G4025" s="178"/>
      <c r="H4025" s="178"/>
      <c r="I4025" s="178"/>
      <c r="J4025" s="178"/>
      <c r="K4025" s="178"/>
      <c r="L4025" s="178"/>
      <c r="M4025" s="178"/>
      <c r="N4025" s="178"/>
      <c r="O4025" s="178"/>
      <c r="P4025" s="231"/>
      <c r="Q4025" s="224"/>
    </row>
    <row r="4026" spans="1:17" s="225" customFormat="1" ht="10.5" x14ac:dyDescent="0.25">
      <c r="A4026" s="229"/>
      <c r="B4026" s="230" t="s">
        <v>1739</v>
      </c>
      <c r="C4026" s="177"/>
      <c r="D4026" s="178"/>
      <c r="E4026" s="178"/>
      <c r="F4026" s="178"/>
      <c r="G4026" s="178"/>
      <c r="H4026" s="178"/>
      <c r="I4026" s="178"/>
      <c r="J4026" s="178"/>
      <c r="K4026" s="178"/>
      <c r="L4026" s="178"/>
      <c r="M4026" s="178">
        <v>1258</v>
      </c>
      <c r="N4026" s="178"/>
      <c r="O4026" s="178"/>
      <c r="P4026" s="231"/>
      <c r="Q4026" s="224"/>
    </row>
    <row r="4027" spans="1:17" s="225" customFormat="1" ht="10.5" x14ac:dyDescent="0.25">
      <c r="A4027" s="229"/>
      <c r="B4027" s="230" t="s">
        <v>1740</v>
      </c>
      <c r="C4027" s="177"/>
      <c r="D4027" s="178"/>
      <c r="E4027" s="178"/>
      <c r="F4027" s="178"/>
      <c r="G4027" s="178"/>
      <c r="H4027" s="178"/>
      <c r="I4027" s="178"/>
      <c r="J4027" s="178"/>
      <c r="K4027" s="178"/>
      <c r="L4027" s="178"/>
      <c r="M4027" s="178">
        <v>146</v>
      </c>
      <c r="N4027" s="178"/>
      <c r="O4027" s="178"/>
      <c r="P4027" s="231"/>
      <c r="Q4027" s="224"/>
    </row>
    <row r="4028" spans="1:17" s="225" customFormat="1" ht="10.5" x14ac:dyDescent="0.25">
      <c r="A4028" s="229"/>
      <c r="B4028" s="230"/>
      <c r="C4028" s="177"/>
      <c r="D4028" s="178"/>
      <c r="E4028" s="178"/>
      <c r="F4028" s="178"/>
      <c r="G4028" s="178"/>
      <c r="H4028" s="178"/>
      <c r="I4028" s="178"/>
      <c r="J4028" s="178"/>
      <c r="K4028" s="178"/>
      <c r="L4028" s="180"/>
      <c r="M4028" s="178"/>
      <c r="N4028" s="178"/>
      <c r="O4028" s="178"/>
      <c r="P4028" s="231"/>
      <c r="Q4028" s="224"/>
    </row>
    <row r="4029" spans="1:17" s="225" customFormat="1" ht="10.5" x14ac:dyDescent="0.25">
      <c r="A4029" s="229"/>
      <c r="B4029" s="232" t="s">
        <v>5</v>
      </c>
      <c r="C4029" s="182" t="s">
        <v>1328</v>
      </c>
      <c r="D4029" s="182"/>
      <c r="E4029" s="182"/>
      <c r="F4029" s="182"/>
      <c r="G4029" s="182"/>
      <c r="H4029" s="182"/>
      <c r="I4029" s="182"/>
      <c r="J4029" s="182"/>
      <c r="K4029" s="182"/>
      <c r="L4029" s="182"/>
      <c r="M4029" s="182">
        <f>SUM(M4026:M4028)</f>
        <v>1404</v>
      </c>
      <c r="N4029" s="182"/>
      <c r="O4029" s="182"/>
      <c r="P4029" s="233"/>
      <c r="Q4029" s="224"/>
    </row>
    <row r="4030" spans="1:17" s="228" customFormat="1" ht="52.5" x14ac:dyDescent="0.25">
      <c r="A4030" s="226" t="str">
        <f>ORÇAMENTO!A741</f>
        <v>7.1.1.1.8</v>
      </c>
      <c r="B4030" s="227" t="str">
        <f>VLOOKUP(A4030,ORÇAMENTO!A:K,4,0)</f>
        <v>PLACA DE ADVERTÊNCIA PARA SINALIZAÇÃO DE OBRAS MONTADA EM SUPORTE METÁLICO MÓVEL, LADO 1,00 M - UTILIZAÇÃO DE 600 CICLOS - FORNECIMENTO, 01 IMPLANTAÇÃO E 01 RETIRADA DIÁRIA</v>
      </c>
      <c r="C4030" s="173" t="str">
        <f>VLOOKUP(A4030,ORÇAMENTO!A:K,5,0)</f>
        <v>UN.DIA</v>
      </c>
      <c r="D4030" s="173">
        <f>SUM(E4036:O4036)</f>
        <v>936</v>
      </c>
      <c r="E4030" s="173" t="s">
        <v>1718</v>
      </c>
      <c r="F4030" s="173" t="s">
        <v>1719</v>
      </c>
      <c r="G4030" s="173" t="s">
        <v>1720</v>
      </c>
      <c r="H4030" s="173" t="s">
        <v>1721</v>
      </c>
      <c r="I4030" s="173" t="s">
        <v>1722</v>
      </c>
      <c r="J4030" s="173" t="s">
        <v>1723</v>
      </c>
      <c r="K4030" s="173" t="s">
        <v>1724</v>
      </c>
      <c r="L4030" s="173" t="s">
        <v>1725</v>
      </c>
      <c r="M4030" s="173" t="s">
        <v>1726</v>
      </c>
      <c r="N4030" s="173" t="s">
        <v>1727</v>
      </c>
      <c r="O4030" s="173" t="s">
        <v>1728</v>
      </c>
      <c r="P4030" s="224"/>
      <c r="Q4030" s="224"/>
    </row>
    <row r="4031" spans="1:17" s="225" customFormat="1" ht="10.5" x14ac:dyDescent="0.25">
      <c r="A4031" s="229"/>
      <c r="B4031" s="230"/>
      <c r="C4031" s="177"/>
      <c r="D4031" s="178"/>
      <c r="E4031" s="178"/>
      <c r="F4031" s="178"/>
      <c r="G4031" s="178"/>
      <c r="H4031" s="178"/>
      <c r="I4031" s="178"/>
      <c r="J4031" s="178"/>
      <c r="K4031" s="178"/>
      <c r="L4031" s="178"/>
      <c r="M4031" s="178"/>
      <c r="N4031" s="178"/>
      <c r="O4031" s="178"/>
      <c r="P4031" s="231"/>
      <c r="Q4031" s="224"/>
    </row>
    <row r="4032" spans="1:17" s="225" customFormat="1" ht="10.5" x14ac:dyDescent="0.25">
      <c r="A4032" s="229"/>
      <c r="B4032" s="230"/>
      <c r="C4032" s="177"/>
      <c r="D4032" s="178"/>
      <c r="E4032" s="178"/>
      <c r="F4032" s="178"/>
      <c r="G4032" s="178"/>
      <c r="H4032" s="178"/>
      <c r="I4032" s="178"/>
      <c r="J4032" s="178"/>
      <c r="K4032" s="178"/>
      <c r="L4032" s="178"/>
      <c r="M4032" s="178"/>
      <c r="N4032" s="178"/>
      <c r="O4032" s="178"/>
      <c r="P4032" s="231"/>
      <c r="Q4032" s="224"/>
    </row>
    <row r="4033" spans="1:17" s="225" customFormat="1" ht="10.5" x14ac:dyDescent="0.25">
      <c r="A4033" s="229"/>
      <c r="B4033" s="230" t="s">
        <v>1739</v>
      </c>
      <c r="C4033" s="177"/>
      <c r="D4033" s="178"/>
      <c r="E4033" s="178"/>
      <c r="F4033" s="178"/>
      <c r="G4033" s="178"/>
      <c r="H4033" s="178"/>
      <c r="I4033" s="178"/>
      <c r="J4033" s="178"/>
      <c r="K4033" s="178"/>
      <c r="L4033" s="178"/>
      <c r="M4033" s="178">
        <v>839</v>
      </c>
      <c r="N4033" s="178"/>
      <c r="O4033" s="178"/>
      <c r="P4033" s="231"/>
      <c r="Q4033" s="224"/>
    </row>
    <row r="4034" spans="1:17" s="225" customFormat="1" ht="10.5" x14ac:dyDescent="0.25">
      <c r="A4034" s="229"/>
      <c r="B4034" s="230" t="s">
        <v>1740</v>
      </c>
      <c r="C4034" s="177"/>
      <c r="D4034" s="178"/>
      <c r="E4034" s="178"/>
      <c r="F4034" s="178"/>
      <c r="G4034" s="178"/>
      <c r="H4034" s="178"/>
      <c r="I4034" s="178"/>
      <c r="J4034" s="178"/>
      <c r="K4034" s="178"/>
      <c r="L4034" s="178"/>
      <c r="M4034" s="178">
        <v>97</v>
      </c>
      <c r="N4034" s="178"/>
      <c r="O4034" s="178"/>
      <c r="P4034" s="231"/>
      <c r="Q4034" s="224"/>
    </row>
    <row r="4035" spans="1:17" s="225" customFormat="1" ht="10.5" x14ac:dyDescent="0.25">
      <c r="A4035" s="229"/>
      <c r="B4035" s="230"/>
      <c r="C4035" s="177"/>
      <c r="D4035" s="178"/>
      <c r="E4035" s="178"/>
      <c r="F4035" s="178"/>
      <c r="G4035" s="178"/>
      <c r="H4035" s="178"/>
      <c r="I4035" s="178"/>
      <c r="J4035" s="178"/>
      <c r="K4035" s="178"/>
      <c r="L4035" s="180"/>
      <c r="M4035" s="178"/>
      <c r="N4035" s="178"/>
      <c r="O4035" s="178"/>
      <c r="P4035" s="231"/>
      <c r="Q4035" s="224"/>
    </row>
    <row r="4036" spans="1:17" s="225" customFormat="1" ht="10.5" x14ac:dyDescent="0.25">
      <c r="A4036" s="229"/>
      <c r="B4036" s="232" t="s">
        <v>5</v>
      </c>
      <c r="C4036" s="182" t="s">
        <v>1328</v>
      </c>
      <c r="D4036" s="182"/>
      <c r="E4036" s="182"/>
      <c r="F4036" s="182"/>
      <c r="G4036" s="182"/>
      <c r="H4036" s="182"/>
      <c r="I4036" s="182"/>
      <c r="J4036" s="182"/>
      <c r="K4036" s="182"/>
      <c r="L4036" s="182"/>
      <c r="M4036" s="182">
        <f>SUM(M4033:M4035)</f>
        <v>936</v>
      </c>
      <c r="N4036" s="182"/>
      <c r="O4036" s="182"/>
      <c r="P4036" s="233"/>
      <c r="Q4036" s="224"/>
    </row>
    <row r="4037" spans="1:17" s="228" customFormat="1" ht="42" x14ac:dyDescent="0.25">
      <c r="A4037" s="226" t="str">
        <f>ORÇAMENTO!A742</f>
        <v>7.1.1.1.9</v>
      </c>
      <c r="B4037" s="227" t="str">
        <f>VLOOKUP(A4037,ORÇAMENTO!A:K,4,0)</f>
        <v>BARREIRA DE SINALIZAÇÃO TIPO III DE DIRECIONAMENTO OU BLOQUEIO - UTILIZAÇÃO DE 150 CICLOS - FORNECIMENTO, 01 IMPLANTAÇÃO E 01 RETIRADA DIÁRIA</v>
      </c>
      <c r="C4037" s="173" t="str">
        <f>VLOOKUP(A4037,ORÇAMENTO!A:K,5,0)</f>
        <v>UN.DIA</v>
      </c>
      <c r="D4037" s="173">
        <f>SUM(E4043:O4043)</f>
        <v>468</v>
      </c>
      <c r="E4037" s="173" t="s">
        <v>1718</v>
      </c>
      <c r="F4037" s="173" t="s">
        <v>1719</v>
      </c>
      <c r="G4037" s="173" t="s">
        <v>1720</v>
      </c>
      <c r="H4037" s="173" t="s">
        <v>1721</v>
      </c>
      <c r="I4037" s="173" t="s">
        <v>1722</v>
      </c>
      <c r="J4037" s="173" t="s">
        <v>1723</v>
      </c>
      <c r="K4037" s="173" t="s">
        <v>1724</v>
      </c>
      <c r="L4037" s="173" t="s">
        <v>1725</v>
      </c>
      <c r="M4037" s="173" t="s">
        <v>1726</v>
      </c>
      <c r="N4037" s="173" t="s">
        <v>1727</v>
      </c>
      <c r="O4037" s="173" t="s">
        <v>1728</v>
      </c>
      <c r="P4037" s="224"/>
      <c r="Q4037" s="224"/>
    </row>
    <row r="4038" spans="1:17" s="225" customFormat="1" ht="10.5" x14ac:dyDescent="0.25">
      <c r="A4038" s="229"/>
      <c r="B4038" s="230"/>
      <c r="C4038" s="177"/>
      <c r="D4038" s="178"/>
      <c r="E4038" s="178"/>
      <c r="F4038" s="178"/>
      <c r="G4038" s="178"/>
      <c r="H4038" s="178"/>
      <c r="I4038" s="178"/>
      <c r="J4038" s="178"/>
      <c r="K4038" s="178"/>
      <c r="L4038" s="178"/>
      <c r="M4038" s="178"/>
      <c r="N4038" s="178"/>
      <c r="O4038" s="178"/>
      <c r="P4038" s="231"/>
      <c r="Q4038" s="224"/>
    </row>
    <row r="4039" spans="1:17" s="225" customFormat="1" ht="10.5" x14ac:dyDescent="0.25">
      <c r="A4039" s="229"/>
      <c r="B4039" s="230"/>
      <c r="C4039" s="177"/>
      <c r="D4039" s="178"/>
      <c r="E4039" s="178"/>
      <c r="F4039" s="178"/>
      <c r="G4039" s="178"/>
      <c r="H4039" s="178"/>
      <c r="I4039" s="178"/>
      <c r="J4039" s="178"/>
      <c r="K4039" s="178"/>
      <c r="L4039" s="178"/>
      <c r="M4039" s="178"/>
      <c r="N4039" s="178"/>
      <c r="O4039" s="178"/>
      <c r="P4039" s="231"/>
      <c r="Q4039" s="224"/>
    </row>
    <row r="4040" spans="1:17" s="225" customFormat="1" ht="10.5" x14ac:dyDescent="0.25">
      <c r="A4040" s="229"/>
      <c r="B4040" s="230" t="s">
        <v>1739</v>
      </c>
      <c r="C4040" s="177"/>
      <c r="D4040" s="178"/>
      <c r="E4040" s="178"/>
      <c r="F4040" s="178"/>
      <c r="G4040" s="178"/>
      <c r="H4040" s="178"/>
      <c r="I4040" s="178"/>
      <c r="J4040" s="178"/>
      <c r="K4040" s="178"/>
      <c r="L4040" s="178"/>
      <c r="M4040" s="178">
        <v>419</v>
      </c>
      <c r="N4040" s="178"/>
      <c r="O4040" s="178"/>
      <c r="P4040" s="231"/>
      <c r="Q4040" s="224"/>
    </row>
    <row r="4041" spans="1:17" s="225" customFormat="1" ht="10.5" x14ac:dyDescent="0.25">
      <c r="A4041" s="229"/>
      <c r="B4041" s="230" t="s">
        <v>1740</v>
      </c>
      <c r="C4041" s="177"/>
      <c r="D4041" s="178"/>
      <c r="E4041" s="178"/>
      <c r="F4041" s="178"/>
      <c r="G4041" s="178"/>
      <c r="H4041" s="178"/>
      <c r="I4041" s="178"/>
      <c r="J4041" s="178"/>
      <c r="K4041" s="178"/>
      <c r="L4041" s="178"/>
      <c r="M4041" s="178">
        <v>49</v>
      </c>
      <c r="N4041" s="178"/>
      <c r="O4041" s="178"/>
      <c r="P4041" s="231"/>
      <c r="Q4041" s="224"/>
    </row>
    <row r="4042" spans="1:17" s="225" customFormat="1" ht="10.5" x14ac:dyDescent="0.25">
      <c r="A4042" s="229"/>
      <c r="B4042" s="230"/>
      <c r="C4042" s="177"/>
      <c r="D4042" s="178"/>
      <c r="E4042" s="178"/>
      <c r="F4042" s="178"/>
      <c r="G4042" s="178"/>
      <c r="H4042" s="178"/>
      <c r="I4042" s="178"/>
      <c r="J4042" s="178"/>
      <c r="K4042" s="178"/>
      <c r="L4042" s="180"/>
      <c r="M4042" s="178"/>
      <c r="N4042" s="178"/>
      <c r="O4042" s="178"/>
      <c r="P4042" s="231"/>
      <c r="Q4042" s="224"/>
    </row>
    <row r="4043" spans="1:17" s="225" customFormat="1" ht="10.5" x14ac:dyDescent="0.25">
      <c r="A4043" s="229"/>
      <c r="B4043" s="232" t="s">
        <v>5</v>
      </c>
      <c r="C4043" s="182" t="s">
        <v>1328</v>
      </c>
      <c r="D4043" s="182"/>
      <c r="E4043" s="182"/>
      <c r="F4043" s="182"/>
      <c r="G4043" s="182"/>
      <c r="H4043" s="182"/>
      <c r="I4043" s="182"/>
      <c r="J4043" s="182"/>
      <c r="K4043" s="182"/>
      <c r="L4043" s="182"/>
      <c r="M4043" s="182">
        <f>SUM(M4040:M4042)</f>
        <v>468</v>
      </c>
      <c r="N4043" s="182"/>
      <c r="O4043" s="182"/>
      <c r="P4043" s="233"/>
      <c r="Q4043" s="224"/>
    </row>
    <row r="4044" spans="1:17" s="228" customFormat="1" ht="31.5" x14ac:dyDescent="0.25">
      <c r="A4044" s="226" t="str">
        <f>ORÇAMENTO!A743</f>
        <v>7.1.1.1.10</v>
      </c>
      <c r="B4044" s="227" t="str">
        <f>VLOOKUP(A4044,ORÇAMENTO!A:K,4,0)</f>
        <v>CONE PLÁSTICO PARA CANALIZAÇÃO DE TRÂNSITO - UTILIZAÇÃO DE 150 CICLOS - FORNECIMENTO, 01 IMPLANTAÇÃO E 01 RETIRADA DIÁRIA</v>
      </c>
      <c r="C4044" s="173" t="str">
        <f>VLOOKUP(A4044,ORÇAMENTO!A:K,5,0)</f>
        <v>UN.DIA</v>
      </c>
      <c r="D4044" s="173">
        <f>SUM(E4050:O4050)</f>
        <v>2340</v>
      </c>
      <c r="E4044" s="173" t="s">
        <v>1718</v>
      </c>
      <c r="F4044" s="173" t="s">
        <v>1719</v>
      </c>
      <c r="G4044" s="173" t="s">
        <v>1720</v>
      </c>
      <c r="H4044" s="173" t="s">
        <v>1721</v>
      </c>
      <c r="I4044" s="173" t="s">
        <v>1722</v>
      </c>
      <c r="J4044" s="173" t="s">
        <v>1723</v>
      </c>
      <c r="K4044" s="173" t="s">
        <v>1724</v>
      </c>
      <c r="L4044" s="173" t="s">
        <v>1725</v>
      </c>
      <c r="M4044" s="173" t="s">
        <v>1726</v>
      </c>
      <c r="N4044" s="173" t="s">
        <v>1727</v>
      </c>
      <c r="O4044" s="173" t="s">
        <v>1728</v>
      </c>
      <c r="P4044" s="224"/>
      <c r="Q4044" s="224"/>
    </row>
    <row r="4045" spans="1:17" s="225" customFormat="1" ht="10.5" x14ac:dyDescent="0.25">
      <c r="A4045" s="229"/>
      <c r="B4045" s="230"/>
      <c r="C4045" s="177"/>
      <c r="D4045" s="178"/>
      <c r="E4045" s="178"/>
      <c r="F4045" s="178"/>
      <c r="G4045" s="178"/>
      <c r="H4045" s="178"/>
      <c r="I4045" s="178"/>
      <c r="J4045" s="178"/>
      <c r="K4045" s="178"/>
      <c r="L4045" s="178"/>
      <c r="M4045" s="178"/>
      <c r="N4045" s="178"/>
      <c r="O4045" s="178"/>
      <c r="P4045" s="231"/>
      <c r="Q4045" s="224"/>
    </row>
    <row r="4046" spans="1:17" s="225" customFormat="1" ht="10.5" x14ac:dyDescent="0.25">
      <c r="A4046" s="229"/>
      <c r="B4046" s="230"/>
      <c r="C4046" s="177"/>
      <c r="D4046" s="178"/>
      <c r="E4046" s="178"/>
      <c r="F4046" s="178"/>
      <c r="G4046" s="178"/>
      <c r="H4046" s="178"/>
      <c r="I4046" s="178"/>
      <c r="J4046" s="178"/>
      <c r="K4046" s="178"/>
      <c r="L4046" s="178"/>
      <c r="M4046" s="178"/>
      <c r="N4046" s="178"/>
      <c r="O4046" s="178"/>
      <c r="P4046" s="231"/>
      <c r="Q4046" s="224"/>
    </row>
    <row r="4047" spans="1:17" s="225" customFormat="1" ht="10.5" x14ac:dyDescent="0.25">
      <c r="A4047" s="229"/>
      <c r="B4047" s="230" t="s">
        <v>1739</v>
      </c>
      <c r="C4047" s="177"/>
      <c r="D4047" s="178"/>
      <c r="E4047" s="178"/>
      <c r="F4047" s="178"/>
      <c r="G4047" s="178"/>
      <c r="H4047" s="178"/>
      <c r="I4047" s="178"/>
      <c r="J4047" s="178"/>
      <c r="K4047" s="178"/>
      <c r="L4047" s="178"/>
      <c r="M4047" s="178">
        <v>2097</v>
      </c>
      <c r="N4047" s="178"/>
      <c r="O4047" s="178"/>
      <c r="P4047" s="231"/>
      <c r="Q4047" s="224"/>
    </row>
    <row r="4048" spans="1:17" s="225" customFormat="1" ht="10.5" x14ac:dyDescent="0.25">
      <c r="A4048" s="229"/>
      <c r="B4048" s="230" t="s">
        <v>1740</v>
      </c>
      <c r="C4048" s="177"/>
      <c r="D4048" s="178"/>
      <c r="E4048" s="178"/>
      <c r="F4048" s="178"/>
      <c r="G4048" s="178"/>
      <c r="H4048" s="178"/>
      <c r="I4048" s="178"/>
      <c r="J4048" s="178"/>
      <c r="K4048" s="178"/>
      <c r="L4048" s="178"/>
      <c r="M4048" s="178">
        <v>243</v>
      </c>
      <c r="N4048" s="178"/>
      <c r="O4048" s="178"/>
      <c r="P4048" s="231"/>
      <c r="Q4048" s="224"/>
    </row>
    <row r="4049" spans="1:17" s="225" customFormat="1" ht="10.5" x14ac:dyDescent="0.25">
      <c r="A4049" s="229"/>
      <c r="B4049" s="230"/>
      <c r="C4049" s="177"/>
      <c r="D4049" s="178"/>
      <c r="E4049" s="178"/>
      <c r="F4049" s="178"/>
      <c r="G4049" s="178"/>
      <c r="H4049" s="178"/>
      <c r="I4049" s="178"/>
      <c r="J4049" s="178"/>
      <c r="K4049" s="178"/>
      <c r="L4049" s="180"/>
      <c r="M4049" s="178"/>
      <c r="N4049" s="178"/>
      <c r="O4049" s="178"/>
      <c r="P4049" s="231"/>
      <c r="Q4049" s="224"/>
    </row>
    <row r="4050" spans="1:17" s="225" customFormat="1" ht="10.5" x14ac:dyDescent="0.25">
      <c r="A4050" s="229"/>
      <c r="B4050" s="232" t="s">
        <v>5</v>
      </c>
      <c r="C4050" s="182" t="s">
        <v>1328</v>
      </c>
      <c r="D4050" s="182"/>
      <c r="E4050" s="182"/>
      <c r="F4050" s="182"/>
      <c r="G4050" s="182"/>
      <c r="H4050" s="182"/>
      <c r="I4050" s="182"/>
      <c r="J4050" s="182"/>
      <c r="K4050" s="182"/>
      <c r="L4050" s="182"/>
      <c r="M4050" s="182">
        <f>SUM(M4047:M4049)</f>
        <v>2340</v>
      </c>
      <c r="N4050" s="182"/>
      <c r="O4050" s="182"/>
      <c r="P4050" s="233"/>
      <c r="Q4050" s="224"/>
    </row>
    <row r="4051" spans="1:17" s="228" customFormat="1" ht="42" x14ac:dyDescent="0.25">
      <c r="A4051" s="226" t="str">
        <f>ORÇAMENTO!A744</f>
        <v>7.1.1.1.11</v>
      </c>
      <c r="B4051" s="227" t="str">
        <f>VLOOKUP(A4051,ORÇAMENTO!A:K,4,0)</f>
        <v>BALIZADOR CÔNICO REFLETIVO EM POLIETILENO SEMIFLEXÍVEL DE 114 X 11 X 40 CM - UTILIZAÇÃO DE 150 CICLOS - FORNECIMENTO, 01 IMPLANTAÇÃO E 01 RETIRADA DIÁRIA</v>
      </c>
      <c r="C4051" s="173" t="str">
        <f>VLOOKUP(A4051,ORÇAMENTO!A:K,5,0)</f>
        <v>UN.DIA</v>
      </c>
      <c r="D4051" s="173">
        <f>SUM(E4057:O4057)</f>
        <v>2340</v>
      </c>
      <c r="E4051" s="173" t="s">
        <v>1718</v>
      </c>
      <c r="F4051" s="173" t="s">
        <v>1719</v>
      </c>
      <c r="G4051" s="173" t="s">
        <v>1720</v>
      </c>
      <c r="H4051" s="173" t="s">
        <v>1721</v>
      </c>
      <c r="I4051" s="173" t="s">
        <v>1722</v>
      </c>
      <c r="J4051" s="173" t="s">
        <v>1723</v>
      </c>
      <c r="K4051" s="173" t="s">
        <v>1724</v>
      </c>
      <c r="L4051" s="173" t="s">
        <v>1725</v>
      </c>
      <c r="M4051" s="173" t="s">
        <v>1726</v>
      </c>
      <c r="N4051" s="173" t="s">
        <v>1727</v>
      </c>
      <c r="O4051" s="173" t="s">
        <v>1728</v>
      </c>
      <c r="P4051" s="224"/>
      <c r="Q4051" s="224"/>
    </row>
    <row r="4052" spans="1:17" s="225" customFormat="1" ht="10.5" x14ac:dyDescent="0.25">
      <c r="A4052" s="229"/>
      <c r="B4052" s="230"/>
      <c r="C4052" s="177"/>
      <c r="D4052" s="178"/>
      <c r="E4052" s="178"/>
      <c r="F4052" s="178"/>
      <c r="G4052" s="178"/>
      <c r="H4052" s="178"/>
      <c r="I4052" s="178"/>
      <c r="J4052" s="178"/>
      <c r="K4052" s="178"/>
      <c r="L4052" s="178"/>
      <c r="M4052" s="178"/>
      <c r="N4052" s="178"/>
      <c r="O4052" s="178"/>
      <c r="P4052" s="231"/>
      <c r="Q4052" s="224"/>
    </row>
    <row r="4053" spans="1:17" s="225" customFormat="1" ht="10.5" x14ac:dyDescent="0.25">
      <c r="A4053" s="229"/>
      <c r="B4053" s="230"/>
      <c r="C4053" s="177"/>
      <c r="D4053" s="178"/>
      <c r="E4053" s="178"/>
      <c r="F4053" s="178"/>
      <c r="G4053" s="178"/>
      <c r="H4053" s="178"/>
      <c r="I4053" s="178"/>
      <c r="J4053" s="178"/>
      <c r="K4053" s="178"/>
      <c r="L4053" s="178"/>
      <c r="M4053" s="178"/>
      <c r="N4053" s="178"/>
      <c r="O4053" s="178"/>
      <c r="P4053" s="231"/>
      <c r="Q4053" s="224"/>
    </row>
    <row r="4054" spans="1:17" s="225" customFormat="1" ht="10.5" x14ac:dyDescent="0.25">
      <c r="A4054" s="229"/>
      <c r="B4054" s="230" t="s">
        <v>1739</v>
      </c>
      <c r="C4054" s="177"/>
      <c r="D4054" s="178"/>
      <c r="E4054" s="178"/>
      <c r="F4054" s="178"/>
      <c r="G4054" s="178"/>
      <c r="H4054" s="178"/>
      <c r="I4054" s="178"/>
      <c r="J4054" s="178"/>
      <c r="K4054" s="178"/>
      <c r="L4054" s="178"/>
      <c r="M4054" s="178">
        <v>2097</v>
      </c>
      <c r="N4054" s="178"/>
      <c r="O4054" s="178"/>
      <c r="P4054" s="231"/>
      <c r="Q4054" s="224"/>
    </row>
    <row r="4055" spans="1:17" s="225" customFormat="1" ht="10.5" x14ac:dyDescent="0.25">
      <c r="A4055" s="229"/>
      <c r="B4055" s="230" t="s">
        <v>1740</v>
      </c>
      <c r="C4055" s="177"/>
      <c r="D4055" s="178"/>
      <c r="E4055" s="178"/>
      <c r="F4055" s="178"/>
      <c r="G4055" s="178"/>
      <c r="H4055" s="178"/>
      <c r="I4055" s="178"/>
      <c r="J4055" s="178"/>
      <c r="K4055" s="178"/>
      <c r="L4055" s="178"/>
      <c r="M4055" s="178">
        <v>243</v>
      </c>
      <c r="N4055" s="178"/>
      <c r="O4055" s="178"/>
      <c r="P4055" s="231"/>
      <c r="Q4055" s="224"/>
    </row>
    <row r="4056" spans="1:17" s="225" customFormat="1" ht="10.5" x14ac:dyDescent="0.25">
      <c r="A4056" s="229"/>
      <c r="B4056" s="230"/>
      <c r="C4056" s="177"/>
      <c r="D4056" s="178"/>
      <c r="E4056" s="178"/>
      <c r="F4056" s="178"/>
      <c r="G4056" s="178"/>
      <c r="H4056" s="178"/>
      <c r="I4056" s="178"/>
      <c r="J4056" s="178"/>
      <c r="K4056" s="178"/>
      <c r="L4056" s="180"/>
      <c r="M4056" s="178"/>
      <c r="N4056" s="178"/>
      <c r="O4056" s="178"/>
      <c r="P4056" s="231"/>
      <c r="Q4056" s="224"/>
    </row>
    <row r="4057" spans="1:17" s="225" customFormat="1" ht="10.5" x14ac:dyDescent="0.25">
      <c r="A4057" s="229"/>
      <c r="B4057" s="232" t="s">
        <v>5</v>
      </c>
      <c r="C4057" s="182" t="s">
        <v>1328</v>
      </c>
      <c r="D4057" s="182"/>
      <c r="E4057" s="182"/>
      <c r="F4057" s="182"/>
      <c r="G4057" s="182"/>
      <c r="H4057" s="182"/>
      <c r="I4057" s="182"/>
      <c r="J4057" s="182"/>
      <c r="K4057" s="182"/>
      <c r="L4057" s="182"/>
      <c r="M4057" s="182">
        <f>SUM(M4054:M4056)</f>
        <v>2340</v>
      </c>
      <c r="N4057" s="182"/>
      <c r="O4057" s="182"/>
      <c r="P4057" s="233"/>
      <c r="Q4057" s="224"/>
    </row>
    <row r="4058" spans="1:17" s="228" customFormat="1" ht="21" x14ac:dyDescent="0.25">
      <c r="A4058" s="226" t="str">
        <f>ORÇAMENTO!A745</f>
        <v>7.1.1.1.12</v>
      </c>
      <c r="B4058" s="227" t="str">
        <f>VLOOKUP(A4058,ORÇAMENTO!A:K,4,0)</f>
        <v>ESCADA DE MADEIRA PARA OBRA, EM TÁBUA DE CONSTRUÇÃO, LARGURA 1,00M</v>
      </c>
      <c r="C4058" s="173" t="str">
        <f>VLOOKUP(A4058,ORÇAMENTO!A:K,5,0)</f>
        <v>M</v>
      </c>
      <c r="D4058" s="173">
        <f>SUM(F4062:O4062)</f>
        <v>328.87005499999998</v>
      </c>
      <c r="E4058" s="173" t="s">
        <v>1718</v>
      </c>
      <c r="F4058" s="173" t="s">
        <v>1719</v>
      </c>
      <c r="G4058" s="173" t="s">
        <v>1720</v>
      </c>
      <c r="H4058" s="173" t="s">
        <v>1721</v>
      </c>
      <c r="I4058" s="173" t="s">
        <v>1722</v>
      </c>
      <c r="J4058" s="173" t="s">
        <v>1723</v>
      </c>
      <c r="K4058" s="173" t="s">
        <v>1724</v>
      </c>
      <c r="L4058" s="173" t="s">
        <v>1725</v>
      </c>
      <c r="M4058" s="173" t="s">
        <v>1726</v>
      </c>
      <c r="N4058" s="173" t="s">
        <v>1727</v>
      </c>
      <c r="O4058" s="173" t="s">
        <v>1728</v>
      </c>
      <c r="P4058" s="224"/>
      <c r="Q4058" s="224"/>
    </row>
    <row r="4059" spans="1:17" s="225" customFormat="1" ht="10.5" x14ac:dyDescent="0.25">
      <c r="A4059" s="229"/>
      <c r="B4059" s="230"/>
      <c r="C4059" s="177"/>
      <c r="D4059" s="178"/>
      <c r="E4059" s="178"/>
      <c r="F4059" s="178"/>
      <c r="G4059" s="178"/>
      <c r="H4059" s="178"/>
      <c r="I4059" s="178"/>
      <c r="J4059" s="178"/>
      <c r="K4059" s="178"/>
      <c r="L4059" s="178"/>
      <c r="M4059" s="178"/>
      <c r="N4059" s="178"/>
      <c r="O4059" s="178"/>
      <c r="P4059" s="231"/>
      <c r="Q4059" s="224"/>
    </row>
    <row r="4060" spans="1:17" s="225" customFormat="1" ht="63" x14ac:dyDescent="0.25">
      <c r="A4060" s="229"/>
      <c r="B4060" s="230" t="s">
        <v>1741</v>
      </c>
      <c r="C4060" s="177"/>
      <c r="D4060" s="178"/>
      <c r="E4060" s="178"/>
      <c r="F4060" s="178"/>
      <c r="G4060" s="178">
        <f>Quantitativos!I192</f>
        <v>328.87005499999998</v>
      </c>
      <c r="H4060" s="178"/>
      <c r="I4060" s="178"/>
      <c r="J4060" s="178"/>
      <c r="K4060" s="178"/>
      <c r="L4060" s="178"/>
      <c r="M4060" s="178"/>
      <c r="N4060" s="178"/>
      <c r="O4060" s="178"/>
      <c r="P4060" s="231"/>
      <c r="Q4060" s="224"/>
    </row>
    <row r="4061" spans="1:17" s="225" customFormat="1" ht="10.5" x14ac:dyDescent="0.25">
      <c r="A4061" s="229"/>
      <c r="B4061" s="230"/>
      <c r="C4061" s="177"/>
      <c r="D4061" s="178"/>
      <c r="E4061" s="178"/>
      <c r="F4061" s="178"/>
      <c r="G4061" s="178"/>
      <c r="H4061" s="178"/>
      <c r="I4061" s="178"/>
      <c r="J4061" s="178"/>
      <c r="K4061" s="178"/>
      <c r="L4061" s="180"/>
      <c r="M4061" s="178"/>
      <c r="N4061" s="178"/>
      <c r="O4061" s="178"/>
      <c r="P4061" s="231"/>
      <c r="Q4061" s="224"/>
    </row>
    <row r="4062" spans="1:17" s="225" customFormat="1" ht="10.5" x14ac:dyDescent="0.25">
      <c r="A4062" s="229"/>
      <c r="B4062" s="232" t="s">
        <v>5</v>
      </c>
      <c r="C4062" s="182" t="s">
        <v>1328</v>
      </c>
      <c r="D4062" s="182"/>
      <c r="E4062" s="182"/>
      <c r="F4062" s="182"/>
      <c r="G4062" s="182">
        <f>SUM(G4059:G4061)</f>
        <v>328.87005499999998</v>
      </c>
      <c r="H4062" s="182"/>
      <c r="I4062" s="182"/>
      <c r="J4062" s="182"/>
      <c r="K4062" s="182"/>
      <c r="L4062" s="182"/>
      <c r="M4062" s="182"/>
      <c r="N4062" s="182"/>
      <c r="O4062" s="182"/>
      <c r="P4062" s="233"/>
      <c r="Q4062" s="224"/>
    </row>
    <row r="4063" spans="1:17" s="228" customFormat="1" ht="31.5" x14ac:dyDescent="0.25">
      <c r="A4063" s="226" t="str">
        <f>ORÇAMENTO!A747</f>
        <v>7.1.1.2.1</v>
      </c>
      <c r="B4063" s="227" t="str">
        <f>VLOOKUP(A4063,ORÇAMENTO!A:K,4,0)</f>
        <v>DEMOLIÇÃO PARCIAL DE PAVIMENTO ASFÁLTICO, DE FORMA MECANIZADA, SEM REAPROVEITAMENTO. AF_09/2023</v>
      </c>
      <c r="C4063" s="173" t="str">
        <f>VLOOKUP(A4063,ORÇAMENTO!A:K,5,0)</f>
        <v>M²</v>
      </c>
      <c r="D4063" s="173">
        <f>SUM(E4069:O4069)</f>
        <v>3993.4429999999993</v>
      </c>
      <c r="E4063" s="173" t="s">
        <v>1718</v>
      </c>
      <c r="F4063" s="173" t="s">
        <v>1719</v>
      </c>
      <c r="G4063" s="173" t="s">
        <v>1720</v>
      </c>
      <c r="H4063" s="173" t="s">
        <v>1721</v>
      </c>
      <c r="I4063" s="173" t="s">
        <v>1722</v>
      </c>
      <c r="J4063" s="173" t="s">
        <v>1723</v>
      </c>
      <c r="K4063" s="173" t="s">
        <v>1724</v>
      </c>
      <c r="L4063" s="173" t="s">
        <v>1725</v>
      </c>
      <c r="M4063" s="173" t="s">
        <v>1730</v>
      </c>
      <c r="N4063" s="173" t="s">
        <v>1727</v>
      </c>
      <c r="O4063" s="173" t="s">
        <v>1728</v>
      </c>
      <c r="P4063" s="224"/>
      <c r="Q4063" s="224"/>
    </row>
    <row r="4064" spans="1:17" s="225" customFormat="1" ht="10.5" x14ac:dyDescent="0.25">
      <c r="A4064" s="229"/>
      <c r="B4064" s="230" t="s">
        <v>1748</v>
      </c>
      <c r="C4064" s="184"/>
      <c r="D4064" s="185"/>
      <c r="E4064" s="185"/>
      <c r="F4064" s="185"/>
      <c r="G4064" s="185"/>
      <c r="H4064" s="185"/>
      <c r="I4064" s="185"/>
      <c r="J4064" s="185"/>
      <c r="K4064" s="185"/>
      <c r="L4064" s="185"/>
      <c r="M4064" s="185"/>
      <c r="N4064" s="185">
        <f>Quantitativos!AA192</f>
        <v>3631.9279999999994</v>
      </c>
      <c r="O4064" s="185"/>
      <c r="P4064" s="231"/>
      <c r="Q4064" s="224"/>
    </row>
    <row r="4065" spans="1:19" s="225" customFormat="1" ht="21" x14ac:dyDescent="0.25">
      <c r="A4065" s="229"/>
      <c r="B4065" s="230" t="s">
        <v>1743</v>
      </c>
      <c r="C4065" s="184"/>
      <c r="D4065" s="185"/>
      <c r="E4065" s="185"/>
      <c r="F4065" s="185"/>
      <c r="G4065" s="185"/>
      <c r="H4065" s="185"/>
      <c r="I4065" s="185"/>
      <c r="J4065" s="185"/>
      <c r="K4065" s="185"/>
      <c r="L4065" s="185"/>
      <c r="M4065" s="185"/>
      <c r="N4065" s="234">
        <f>QUANTBL!O356</f>
        <v>276.50000000000006</v>
      </c>
      <c r="O4065" s="185"/>
      <c r="P4065" s="231"/>
      <c r="Q4065" s="224"/>
    </row>
    <row r="4066" spans="1:19" s="225" customFormat="1" ht="21" x14ac:dyDescent="0.25">
      <c r="A4066" s="229"/>
      <c r="B4066" s="230" t="s">
        <v>1744</v>
      </c>
      <c r="C4066" s="184"/>
      <c r="D4066" s="185"/>
      <c r="E4066" s="185"/>
      <c r="F4066" s="185"/>
      <c r="G4066" s="185"/>
      <c r="H4066" s="185"/>
      <c r="I4066" s="185"/>
      <c r="J4066" s="185"/>
      <c r="K4066" s="185"/>
      <c r="L4066" s="185"/>
      <c r="M4066" s="185"/>
      <c r="N4066" s="234">
        <f>QUANTBL!CY356</f>
        <v>85.015000000000001</v>
      </c>
      <c r="O4066" s="185"/>
      <c r="P4066" s="231"/>
      <c r="Q4066" s="224"/>
    </row>
    <row r="4067" spans="1:19" s="225" customFormat="1" ht="10.5" x14ac:dyDescent="0.25">
      <c r="A4067" s="229"/>
      <c r="B4067" s="232" t="s">
        <v>1745</v>
      </c>
      <c r="C4067" s="184"/>
      <c r="D4067" s="185"/>
      <c r="E4067" s="185"/>
      <c r="F4067" s="185"/>
      <c r="G4067" s="185"/>
      <c r="H4067" s="185">
        <v>0.03</v>
      </c>
      <c r="I4067" s="185"/>
      <c r="J4067" s="185"/>
      <c r="K4067" s="185"/>
      <c r="L4067" s="185"/>
      <c r="M4067" s="185"/>
      <c r="O4067" s="185"/>
      <c r="P4067" s="231"/>
      <c r="Q4067" s="224"/>
    </row>
    <row r="4068" spans="1:19" s="225" customFormat="1" ht="10.5" x14ac:dyDescent="0.25">
      <c r="A4068" s="229"/>
      <c r="B4068" s="230"/>
      <c r="C4068" s="184"/>
      <c r="D4068" s="185"/>
      <c r="E4068" s="185"/>
      <c r="F4068" s="185"/>
      <c r="G4068" s="185"/>
      <c r="H4068" s="185"/>
      <c r="I4068" s="185"/>
      <c r="J4068" s="185"/>
      <c r="K4068" s="185"/>
      <c r="L4068" s="186"/>
      <c r="M4068" s="185"/>
      <c r="N4068" s="185"/>
      <c r="O4068" s="185"/>
      <c r="P4068" s="231"/>
      <c r="Q4068" s="224"/>
    </row>
    <row r="4069" spans="1:19" s="225" customFormat="1" ht="10.5" x14ac:dyDescent="0.25">
      <c r="A4069" s="229"/>
      <c r="B4069" s="232" t="s">
        <v>5</v>
      </c>
      <c r="C4069" s="182" t="s">
        <v>1328</v>
      </c>
      <c r="D4069" s="182"/>
      <c r="E4069" s="182"/>
      <c r="F4069" s="182"/>
      <c r="G4069" s="182"/>
      <c r="H4069" s="182"/>
      <c r="I4069" s="182"/>
      <c r="J4069" s="182"/>
      <c r="K4069" s="182"/>
      <c r="L4069" s="182"/>
      <c r="M4069" s="182"/>
      <c r="N4069" s="182">
        <f>SUM(N4064:N4068)</f>
        <v>3993.4429999999993</v>
      </c>
      <c r="O4069" s="182"/>
      <c r="P4069" s="233"/>
      <c r="Q4069" s="224"/>
    </row>
    <row r="4070" spans="1:19" s="228" customFormat="1" ht="52.5" x14ac:dyDescent="0.25">
      <c r="A4070" s="226" t="str">
        <f>ORÇAMENTO!A748</f>
        <v>7.1.1.2.2</v>
      </c>
      <c r="B4070" s="227" t="str">
        <f>VLOOKUP(A4070,ORÇAMENTO!A:K,4,0)</f>
        <v>CARGA, MANOBRA E DESCARGA DE ENTULHO EM CAMINHÃO BASCULANTE 14 M³ - CARGA COM ESCAVADEIRA HIDRÁULICA  (CAÇAMBA DE 0,80 M³ / 111 HP) E DESCARGA LIVRE (UNIDADE: M3). AF_07/2020</v>
      </c>
      <c r="C4070" s="173" t="str">
        <f>VLOOKUP(A4070,ORÇAMENTO!A:K,5,0)</f>
        <v>M³</v>
      </c>
      <c r="D4070" s="173">
        <f>SUM(E4074:O4074)</f>
        <v>119.80328999999998</v>
      </c>
      <c r="E4070" s="173" t="s">
        <v>1718</v>
      </c>
      <c r="F4070" s="173" t="s">
        <v>1719</v>
      </c>
      <c r="G4070" s="173" t="s">
        <v>1720</v>
      </c>
      <c r="H4070" s="173" t="s">
        <v>1721</v>
      </c>
      <c r="I4070" s="173" t="s">
        <v>1722</v>
      </c>
      <c r="J4070" s="173" t="s">
        <v>1723</v>
      </c>
      <c r="K4070" s="173" t="s">
        <v>1746</v>
      </c>
      <c r="L4070" s="173" t="s">
        <v>1747</v>
      </c>
      <c r="M4070" s="173" t="s">
        <v>1730</v>
      </c>
      <c r="N4070" s="173" t="s">
        <v>1727</v>
      </c>
      <c r="O4070" s="173" t="s">
        <v>1728</v>
      </c>
      <c r="P4070" s="224"/>
      <c r="Q4070" s="224"/>
    </row>
    <row r="4071" spans="1:19" s="225" customFormat="1" ht="10.5" x14ac:dyDescent="0.25">
      <c r="A4071" s="229"/>
      <c r="B4071" s="230" t="str">
        <f>B4064</f>
        <v>ÁREA DE DEMOLIÇÃO ASFÁLTICA</v>
      </c>
      <c r="C4071" s="184"/>
      <c r="D4071" s="185"/>
      <c r="E4071" s="185"/>
      <c r="F4071" s="185"/>
      <c r="G4071" s="185"/>
      <c r="H4071" s="185"/>
      <c r="I4071" s="185"/>
      <c r="J4071" s="185"/>
      <c r="K4071" s="185"/>
      <c r="L4071" s="185"/>
      <c r="M4071" s="185"/>
      <c r="N4071" s="185">
        <f>N4069</f>
        <v>3993.4429999999993</v>
      </c>
      <c r="O4071" s="185"/>
      <c r="P4071" s="231"/>
      <c r="Q4071" s="224"/>
    </row>
    <row r="4072" spans="1:19" s="225" customFormat="1" ht="10.5" x14ac:dyDescent="0.25">
      <c r="A4072" s="229"/>
      <c r="B4072" s="232" t="str">
        <f>B4067</f>
        <v>TIPO DE TRÁFEGO - LEVE</v>
      </c>
      <c r="C4072" s="184"/>
      <c r="D4072" s="185"/>
      <c r="E4072" s="185"/>
      <c r="F4072" s="185"/>
      <c r="G4072" s="185"/>
      <c r="H4072" s="185">
        <f>H4067</f>
        <v>0.03</v>
      </c>
      <c r="I4072" s="185"/>
      <c r="J4072" s="185"/>
      <c r="K4072" s="185"/>
      <c r="L4072" s="185"/>
      <c r="M4072" s="185"/>
      <c r="N4072" s="185"/>
      <c r="O4072" s="185">
        <f>N4071*H4072</f>
        <v>119.80328999999998</v>
      </c>
      <c r="P4072" s="231"/>
      <c r="Q4072" s="224"/>
    </row>
    <row r="4073" spans="1:19" s="225" customFormat="1" ht="10.5" x14ac:dyDescent="0.25">
      <c r="A4073" s="229"/>
      <c r="B4073" s="230"/>
      <c r="C4073" s="184"/>
      <c r="D4073" s="185"/>
      <c r="E4073" s="185"/>
      <c r="F4073" s="185"/>
      <c r="G4073" s="185"/>
      <c r="H4073" s="185"/>
      <c r="I4073" s="185"/>
      <c r="J4073" s="185"/>
      <c r="K4073" s="185"/>
      <c r="L4073" s="186"/>
      <c r="M4073" s="185"/>
      <c r="N4073" s="185"/>
      <c r="O4073" s="185"/>
      <c r="P4073" s="231"/>
      <c r="Q4073" s="224"/>
    </row>
    <row r="4074" spans="1:19" s="225" customFormat="1" ht="10.5" x14ac:dyDescent="0.25">
      <c r="A4074" s="229"/>
      <c r="B4074" s="232" t="s">
        <v>5</v>
      </c>
      <c r="C4074" s="182" t="s">
        <v>1328</v>
      </c>
      <c r="D4074" s="182"/>
      <c r="E4074" s="182"/>
      <c r="F4074" s="182"/>
      <c r="G4074" s="182"/>
      <c r="H4074" s="182"/>
      <c r="I4074" s="182"/>
      <c r="J4074" s="182"/>
      <c r="K4074" s="182"/>
      <c r="L4074" s="182"/>
      <c r="M4074" s="182"/>
      <c r="N4074" s="182"/>
      <c r="O4074" s="182">
        <f>SUM(O4072:O4073)</f>
        <v>119.80328999999998</v>
      </c>
      <c r="P4074" s="233"/>
      <c r="Q4074" s="224"/>
    </row>
    <row r="4075" spans="1:19" s="228" customFormat="1" ht="31.5" x14ac:dyDescent="0.25">
      <c r="A4075" s="226" t="str">
        <f>ORÇAMENTO!A749</f>
        <v>7.1.1.2.3</v>
      </c>
      <c r="B4075" s="227" t="str">
        <f>VLOOKUP(A4075,ORÇAMENTO!A:K,4,0)</f>
        <v>TRANSPORTE COM CAMINHÃO BASCULANTE DE 14 M³, EM VIA URBANA PAVIMENTADA, DMT ATÉ 30 KM (UNIDADE: M3XKM). AF_07/2020</v>
      </c>
      <c r="C4075" s="173" t="str">
        <f>VLOOKUP(A4075,ORÇAMENTO!A:K,5,0)</f>
        <v>M3XKM</v>
      </c>
      <c r="D4075" s="173">
        <f>SUM(E4079:O4079)</f>
        <v>3594.0986999999991</v>
      </c>
      <c r="E4075" s="173" t="s">
        <v>1749</v>
      </c>
      <c r="F4075" s="173" t="s">
        <v>1719</v>
      </c>
      <c r="G4075" s="173" t="s">
        <v>1720</v>
      </c>
      <c r="H4075" s="173" t="s">
        <v>1721</v>
      </c>
      <c r="I4075" s="173" t="s">
        <v>1722</v>
      </c>
      <c r="J4075" s="173" t="s">
        <v>1723</v>
      </c>
      <c r="K4075" s="173" t="s">
        <v>1746</v>
      </c>
      <c r="L4075" s="173" t="s">
        <v>1725</v>
      </c>
      <c r="M4075" s="173" t="s">
        <v>1750</v>
      </c>
      <c r="N4075" s="173" t="s">
        <v>1727</v>
      </c>
      <c r="O4075" s="173" t="s">
        <v>1728</v>
      </c>
      <c r="P4075" s="224"/>
      <c r="Q4075" s="224"/>
    </row>
    <row r="4076" spans="1:19" s="225" customFormat="1" ht="10.5" x14ac:dyDescent="0.25">
      <c r="A4076" s="229"/>
      <c r="B4076" s="230"/>
      <c r="C4076" s="184"/>
      <c r="D4076" s="185"/>
      <c r="E4076" s="185"/>
      <c r="F4076" s="185"/>
      <c r="G4076" s="185"/>
      <c r="H4076" s="185"/>
      <c r="I4076" s="185"/>
      <c r="J4076" s="178"/>
      <c r="K4076" s="185"/>
      <c r="L4076" s="185"/>
      <c r="M4076" s="185"/>
      <c r="N4076" s="185"/>
      <c r="O4076" s="185"/>
      <c r="P4076" s="231"/>
      <c r="Q4076" s="224"/>
    </row>
    <row r="4077" spans="1:19" s="225" customFormat="1" ht="10.5" x14ac:dyDescent="0.25">
      <c r="A4077" s="229"/>
      <c r="B4077" s="232" t="s">
        <v>1899</v>
      </c>
      <c r="C4077" s="184"/>
      <c r="D4077" s="185"/>
      <c r="E4077" s="185">
        <v>30</v>
      </c>
      <c r="F4077" s="185"/>
      <c r="G4077" s="185"/>
      <c r="H4077" s="185"/>
      <c r="I4077" s="185"/>
      <c r="J4077" s="178"/>
      <c r="K4077" s="185"/>
      <c r="L4077" s="185"/>
      <c r="M4077" s="185">
        <f>E4077*O4077</f>
        <v>3594.0986999999991</v>
      </c>
      <c r="N4077" s="185"/>
      <c r="O4077" s="185">
        <f>O4074</f>
        <v>119.80328999999998</v>
      </c>
      <c r="P4077" s="231"/>
      <c r="Q4077" s="224"/>
    </row>
    <row r="4078" spans="1:19" s="225" customFormat="1" ht="10.5" x14ac:dyDescent="0.25">
      <c r="A4078" s="229"/>
      <c r="B4078" s="230"/>
      <c r="C4078" s="184"/>
      <c r="D4078" s="185"/>
      <c r="E4078" s="185"/>
      <c r="F4078" s="185"/>
      <c r="G4078" s="185"/>
      <c r="H4078" s="185"/>
      <c r="I4078" s="185"/>
      <c r="J4078" s="182"/>
      <c r="K4078" s="185"/>
      <c r="L4078" s="186"/>
      <c r="M4078" s="185"/>
      <c r="N4078" s="185"/>
      <c r="O4078" s="185"/>
      <c r="P4078" s="231"/>
      <c r="Q4078" s="224"/>
    </row>
    <row r="4079" spans="1:19" s="225" customFormat="1" ht="10.5" x14ac:dyDescent="0.25">
      <c r="A4079" s="229"/>
      <c r="B4079" s="232" t="s">
        <v>5</v>
      </c>
      <c r="C4079" s="182" t="s">
        <v>1328</v>
      </c>
      <c r="D4079" s="182"/>
      <c r="E4079" s="182"/>
      <c r="F4079" s="182"/>
      <c r="G4079" s="182"/>
      <c r="H4079" s="182"/>
      <c r="I4079" s="182"/>
      <c r="K4079" s="182"/>
      <c r="L4079" s="182"/>
      <c r="M4079" s="182">
        <f>SUM(M4077:M4078)</f>
        <v>3594.0986999999991</v>
      </c>
      <c r="N4079" s="182"/>
      <c r="O4079" s="182"/>
      <c r="P4079" s="233"/>
      <c r="Q4079" s="224"/>
    </row>
    <row r="4080" spans="1:19" s="235" customFormat="1" ht="42" x14ac:dyDescent="0.35">
      <c r="A4080" s="226" t="str">
        <f>ORÇAMENTO!A750</f>
        <v>7.1.1.2.4</v>
      </c>
      <c r="B4080" s="227" t="str">
        <f>VLOOKUP(A4080,ORÇAMENTO!A:K,4,0)</f>
        <v>TRANSPORTE COM CAMINHÃO BASCULANTE DE 14 M³, EM VIA URBANA PAVIMENTADA, ADICIONAL PARA DMT EXCEDENTE A 30 KM (UNIDADE: M3XKM). AF_07/2020</v>
      </c>
      <c r="C4080" s="173" t="str">
        <f>VLOOKUP(A4080,ORÇAMENTO!A:K,5,0)</f>
        <v>M3XKM</v>
      </c>
      <c r="D4080" s="173">
        <f>SUM(E4084:O4084)</f>
        <v>5367.1873919999989</v>
      </c>
      <c r="E4080" s="173" t="s">
        <v>1752</v>
      </c>
      <c r="F4080" s="173" t="s">
        <v>1719</v>
      </c>
      <c r="G4080" s="173" t="s">
        <v>1720</v>
      </c>
      <c r="H4080" s="173" t="s">
        <v>1721</v>
      </c>
      <c r="I4080" s="173" t="s">
        <v>1722</v>
      </c>
      <c r="J4080" s="173" t="s">
        <v>1723</v>
      </c>
      <c r="K4080" s="173" t="s">
        <v>1746</v>
      </c>
      <c r="L4080" s="173" t="s">
        <v>1753</v>
      </c>
      <c r="M4080" s="173" t="s">
        <v>1750</v>
      </c>
      <c r="N4080" s="173" t="s">
        <v>1727</v>
      </c>
      <c r="O4080" s="173" t="s">
        <v>1728</v>
      </c>
      <c r="P4080" s="224"/>
      <c r="Q4080" s="224"/>
      <c r="R4080" s="224"/>
      <c r="S4080" s="224"/>
    </row>
    <row r="4081" spans="1:17" s="225" customFormat="1" ht="10.5" x14ac:dyDescent="0.25">
      <c r="A4081" s="229"/>
      <c r="B4081" s="230"/>
      <c r="C4081" s="177"/>
      <c r="D4081" s="178"/>
      <c r="E4081" s="178"/>
      <c r="F4081" s="178"/>
      <c r="G4081" s="178"/>
      <c r="H4081" s="178"/>
      <c r="I4081" s="178"/>
      <c r="J4081" s="178"/>
      <c r="K4081" s="178"/>
      <c r="L4081" s="190"/>
      <c r="M4081" s="178"/>
      <c r="N4081" s="178"/>
      <c r="O4081" s="178"/>
      <c r="P4081" s="231"/>
      <c r="Q4081" s="224"/>
    </row>
    <row r="4082" spans="1:17" s="225" customFormat="1" ht="10.5" x14ac:dyDescent="0.25">
      <c r="A4082" s="229"/>
      <c r="B4082" s="232" t="str">
        <f>B4077</f>
        <v>TRANSPORTE ATÉ ATERRO SAMAMBAIA - D=75KM</v>
      </c>
      <c r="C4082" s="177"/>
      <c r="D4082" s="178"/>
      <c r="E4082" s="178">
        <f>74.8-E4077</f>
        <v>44.8</v>
      </c>
      <c r="F4082" s="178"/>
      <c r="G4082" s="178"/>
      <c r="H4082" s="178"/>
      <c r="I4082" s="178"/>
      <c r="J4082" s="178"/>
      <c r="K4082" s="178"/>
      <c r="L4082" s="190"/>
      <c r="M4082" s="178">
        <f>E4082*O4082</f>
        <v>5367.1873919999989</v>
      </c>
      <c r="N4082" s="178"/>
      <c r="O4082" s="178">
        <f>O4077</f>
        <v>119.80328999999998</v>
      </c>
      <c r="P4082" s="231"/>
      <c r="Q4082" s="224"/>
    </row>
    <row r="4083" spans="1:17" s="225" customFormat="1" ht="10.5" x14ac:dyDescent="0.25">
      <c r="A4083" s="229"/>
      <c r="B4083" s="230"/>
      <c r="C4083" s="177"/>
      <c r="D4083" s="178"/>
      <c r="E4083" s="178"/>
      <c r="F4083" s="178"/>
      <c r="G4083" s="178"/>
      <c r="H4083" s="178"/>
      <c r="I4083" s="178"/>
      <c r="J4083" s="178"/>
      <c r="K4083" s="178"/>
      <c r="L4083" s="190"/>
      <c r="M4083" s="178"/>
      <c r="N4083" s="178"/>
      <c r="O4083" s="178"/>
      <c r="P4083" s="231"/>
      <c r="Q4083" s="224"/>
    </row>
    <row r="4084" spans="1:17" s="225" customFormat="1" ht="10.5" x14ac:dyDescent="0.25">
      <c r="A4084" s="229"/>
      <c r="B4084" s="232" t="s">
        <v>5</v>
      </c>
      <c r="C4084" s="182" t="s">
        <v>1328</v>
      </c>
      <c r="D4084" s="182"/>
      <c r="E4084" s="182"/>
      <c r="F4084" s="182"/>
      <c r="G4084" s="182"/>
      <c r="H4084" s="182"/>
      <c r="I4084" s="182"/>
      <c r="J4084" s="182"/>
      <c r="K4084" s="182"/>
      <c r="L4084" s="182"/>
      <c r="M4084" s="182">
        <f>SUM(M4082)</f>
        <v>5367.1873919999989</v>
      </c>
      <c r="N4084" s="182"/>
      <c r="O4084" s="182"/>
      <c r="P4084" s="233"/>
      <c r="Q4084" s="224"/>
    </row>
    <row r="4085" spans="1:17" s="228" customFormat="1" ht="21" x14ac:dyDescent="0.25">
      <c r="A4085" s="226" t="str">
        <f>ORÇAMENTO!A752</f>
        <v>7.1.1.3.1</v>
      </c>
      <c r="B4085" s="227" t="str">
        <f>VLOOKUP(A4085,ORÇAMENTO!A:K,4,0)</f>
        <v>DEMOLIÇÃO MANUAL DE CONCRETO ARMADO</v>
      </c>
      <c r="C4085" s="173" t="str">
        <f>VLOOKUP(A4085,ORÇAMENTO!A:K,5,0)</f>
        <v>M³</v>
      </c>
      <c r="D4085" s="173">
        <f>SUM(E4089:O4089)</f>
        <v>73.703590075546302</v>
      </c>
      <c r="E4085" s="173" t="s">
        <v>1718</v>
      </c>
      <c r="F4085" s="173" t="s">
        <v>1719</v>
      </c>
      <c r="G4085" s="173" t="s">
        <v>1720</v>
      </c>
      <c r="H4085" s="173" t="s">
        <v>1721</v>
      </c>
      <c r="I4085" s="173" t="s">
        <v>1722</v>
      </c>
      <c r="J4085" s="173" t="s">
        <v>1723</v>
      </c>
      <c r="K4085" s="173" t="s">
        <v>1724</v>
      </c>
      <c r="L4085" s="173" t="s">
        <v>1725</v>
      </c>
      <c r="M4085" s="173" t="s">
        <v>1730</v>
      </c>
      <c r="N4085" s="173" t="s">
        <v>1727</v>
      </c>
      <c r="O4085" s="173" t="s">
        <v>1728</v>
      </c>
      <c r="P4085" s="224"/>
      <c r="Q4085" s="224"/>
    </row>
    <row r="4086" spans="1:17" s="225" customFormat="1" ht="10.5" x14ac:dyDescent="0.25">
      <c r="A4086" s="229"/>
      <c r="B4086" s="230"/>
      <c r="C4086" s="184"/>
      <c r="D4086" s="185"/>
      <c r="E4086" s="185"/>
      <c r="F4086" s="185"/>
      <c r="G4086" s="185"/>
      <c r="H4086" s="185"/>
      <c r="I4086" s="185"/>
      <c r="J4086" s="185"/>
      <c r="K4086" s="185"/>
      <c r="L4086" s="185"/>
      <c r="M4086" s="185"/>
      <c r="N4086" s="185"/>
      <c r="O4086" s="185"/>
      <c r="P4086" s="231"/>
      <c r="Q4086" s="224"/>
    </row>
    <row r="4087" spans="1:17" s="225" customFormat="1" ht="21" x14ac:dyDescent="0.25">
      <c r="A4087" s="229"/>
      <c r="B4087" s="230" t="s">
        <v>1754</v>
      </c>
      <c r="C4087" s="184"/>
      <c r="D4087" s="185"/>
      <c r="E4087" s="185"/>
      <c r="F4087" s="185"/>
      <c r="G4087" s="185"/>
      <c r="H4087" s="185"/>
      <c r="I4087" s="185"/>
      <c r="J4087" s="185"/>
      <c r="K4087" s="185"/>
      <c r="L4087" s="185"/>
      <c r="M4087" s="185"/>
      <c r="N4087" s="185"/>
      <c r="O4087" s="185">
        <f>'Planilha Hidráulica'!Y199</f>
        <v>73.703590075546302</v>
      </c>
      <c r="P4087" s="231"/>
      <c r="Q4087" s="224"/>
    </row>
    <row r="4088" spans="1:17" s="225" customFormat="1" ht="10.5" x14ac:dyDescent="0.25">
      <c r="A4088" s="229"/>
      <c r="B4088" s="230"/>
      <c r="C4088" s="184"/>
      <c r="D4088" s="185"/>
      <c r="E4088" s="185"/>
      <c r="F4088" s="185"/>
      <c r="G4088" s="185"/>
      <c r="H4088" s="185"/>
      <c r="I4088" s="185"/>
      <c r="J4088" s="185"/>
      <c r="K4088" s="185"/>
      <c r="L4088" s="186"/>
      <c r="M4088" s="185"/>
      <c r="N4088" s="185"/>
      <c r="O4088" s="185"/>
      <c r="P4088" s="231"/>
      <c r="Q4088" s="224"/>
    </row>
    <row r="4089" spans="1:17" s="225" customFormat="1" ht="10.5" x14ac:dyDescent="0.25">
      <c r="A4089" s="229"/>
      <c r="B4089" s="232" t="s">
        <v>5</v>
      </c>
      <c r="C4089" s="182" t="s">
        <v>1328</v>
      </c>
      <c r="D4089" s="182"/>
      <c r="E4089" s="182"/>
      <c r="F4089" s="182"/>
      <c r="G4089" s="182"/>
      <c r="H4089" s="182"/>
      <c r="I4089" s="182"/>
      <c r="J4089" s="182"/>
      <c r="K4089" s="182"/>
      <c r="L4089" s="182"/>
      <c r="M4089" s="182"/>
      <c r="N4089" s="182"/>
      <c r="O4089" s="182">
        <f>SUM(O4087:O4088)</f>
        <v>73.703590075546302</v>
      </c>
      <c r="P4089" s="233"/>
      <c r="Q4089" s="224"/>
    </row>
    <row r="4090" spans="1:17" s="228" customFormat="1" ht="52.5" x14ac:dyDescent="0.25">
      <c r="A4090" s="226" t="str">
        <f>ORÇAMENTO!A753</f>
        <v>7.1.1.3.2</v>
      </c>
      <c r="B4090" s="227" t="str">
        <f>VLOOKUP(A4090,ORÇAMENTO!A:K,4,0)</f>
        <v>CARGA, MANOBRA E DESCARGA DE ENTULHO EM CAMINHÃO BASCULANTE 14 M³ - CARGA COM ESCAVADEIRA HIDRÁULICA  (CAÇAMBA DE 0,80 M³ / 111 HP) E DESCARGA LIVRE (UNIDADE: M3). AF_07/2020</v>
      </c>
      <c r="C4090" s="173" t="str">
        <f>VLOOKUP(A4090,ORÇAMENTO!A:K,5,0)</f>
        <v>M³</v>
      </c>
      <c r="D4090" s="173">
        <f>SUM(E4094:O4094)</f>
        <v>73.703590075546302</v>
      </c>
      <c r="E4090" s="173" t="s">
        <v>1718</v>
      </c>
      <c r="F4090" s="173" t="s">
        <v>1719</v>
      </c>
      <c r="G4090" s="173" t="s">
        <v>1720</v>
      </c>
      <c r="H4090" s="173" t="s">
        <v>1721</v>
      </c>
      <c r="I4090" s="173" t="s">
        <v>1722</v>
      </c>
      <c r="J4090" s="173" t="s">
        <v>1723</v>
      </c>
      <c r="K4090" s="173" t="s">
        <v>1746</v>
      </c>
      <c r="L4090" s="173" t="s">
        <v>1756</v>
      </c>
      <c r="M4090" s="173" t="s">
        <v>1730</v>
      </c>
      <c r="N4090" s="173" t="s">
        <v>1727</v>
      </c>
      <c r="O4090" s="173" t="s">
        <v>1728</v>
      </c>
      <c r="P4090" s="224"/>
      <c r="Q4090" s="224"/>
    </row>
    <row r="4091" spans="1:17" s="225" customFormat="1" ht="10.5" x14ac:dyDescent="0.25">
      <c r="A4091" s="229"/>
      <c r="B4091" s="230"/>
      <c r="C4091" s="184"/>
      <c r="D4091" s="185"/>
      <c r="E4091" s="185"/>
      <c r="F4091" s="185"/>
      <c r="G4091" s="185"/>
      <c r="H4091" s="185"/>
      <c r="I4091" s="185"/>
      <c r="J4091" s="185"/>
      <c r="K4091" s="185"/>
      <c r="L4091" s="185"/>
      <c r="M4091" s="185"/>
      <c r="N4091" s="185"/>
      <c r="O4091" s="185"/>
      <c r="P4091" s="231"/>
      <c r="Q4091" s="224"/>
    </row>
    <row r="4092" spans="1:17" s="225" customFormat="1" ht="10.5" x14ac:dyDescent="0.25">
      <c r="A4092" s="229"/>
      <c r="B4092" s="230" t="s">
        <v>1731</v>
      </c>
      <c r="C4092" s="184"/>
      <c r="D4092" s="185"/>
      <c r="E4092" s="185"/>
      <c r="F4092" s="185"/>
      <c r="G4092" s="185"/>
      <c r="H4092" s="185"/>
      <c r="I4092" s="191"/>
      <c r="J4092" s="185"/>
      <c r="K4092" s="185"/>
      <c r="L4092" s="185"/>
      <c r="M4092" s="185"/>
      <c r="N4092" s="185"/>
      <c r="O4092" s="185">
        <f>O4087</f>
        <v>73.703590075546302</v>
      </c>
      <c r="P4092" s="231"/>
      <c r="Q4092" s="224"/>
    </row>
    <row r="4093" spans="1:17" s="225" customFormat="1" ht="10.5" x14ac:dyDescent="0.25">
      <c r="A4093" s="229"/>
      <c r="B4093" s="230"/>
      <c r="C4093" s="184"/>
      <c r="D4093" s="185"/>
      <c r="E4093" s="185"/>
      <c r="F4093" s="185"/>
      <c r="G4093" s="185"/>
      <c r="H4093" s="185"/>
      <c r="I4093" s="185"/>
      <c r="J4093" s="185"/>
      <c r="K4093" s="185"/>
      <c r="L4093" s="186"/>
      <c r="M4093" s="185"/>
      <c r="N4093" s="185"/>
      <c r="O4093" s="185"/>
      <c r="P4093" s="231"/>
      <c r="Q4093" s="224"/>
    </row>
    <row r="4094" spans="1:17" s="225" customFormat="1" ht="10.5" x14ac:dyDescent="0.25">
      <c r="A4094" s="229"/>
      <c r="B4094" s="232" t="s">
        <v>5</v>
      </c>
      <c r="C4094" s="182" t="s">
        <v>1328</v>
      </c>
      <c r="D4094" s="182"/>
      <c r="E4094" s="182"/>
      <c r="F4094" s="182"/>
      <c r="G4094" s="182"/>
      <c r="H4094" s="182"/>
      <c r="I4094" s="182"/>
      <c r="J4094" s="182"/>
      <c r="K4094" s="182"/>
      <c r="L4094" s="182"/>
      <c r="M4094" s="182"/>
      <c r="N4094" s="182"/>
      <c r="O4094" s="182">
        <f>SUM(O4092:O4093)</f>
        <v>73.703590075546302</v>
      </c>
      <c r="P4094" s="233"/>
      <c r="Q4094" s="224"/>
    </row>
    <row r="4095" spans="1:17" s="228" customFormat="1" ht="31.5" x14ac:dyDescent="0.25">
      <c r="A4095" s="226" t="str">
        <f>ORÇAMENTO!A754</f>
        <v>7.1.1.3.3</v>
      </c>
      <c r="B4095" s="227" t="str">
        <f>VLOOKUP(A4095,ORÇAMENTO!A:K,4,0)</f>
        <v>TRANSPORTE COM CAMINHÃO BASCULANTE DE 14 M³, EM VIA URBANA PAVIMENTADA, DMT ATÉ 30 KM (UNIDADE: M3XKM). AF_07/2020</v>
      </c>
      <c r="C4095" s="173" t="str">
        <f>VLOOKUP(A4095,ORÇAMENTO!A:K,5,0)</f>
        <v>M3XKM</v>
      </c>
      <c r="D4095" s="173">
        <f>SUM(E4099:O4099)</f>
        <v>2211.107702266389</v>
      </c>
      <c r="E4095" s="173" t="s">
        <v>1749</v>
      </c>
      <c r="F4095" s="173" t="s">
        <v>1719</v>
      </c>
      <c r="G4095" s="173" t="s">
        <v>1720</v>
      </c>
      <c r="H4095" s="173" t="s">
        <v>1721</v>
      </c>
      <c r="I4095" s="173" t="s">
        <v>1722</v>
      </c>
      <c r="J4095" s="173" t="s">
        <v>1723</v>
      </c>
      <c r="K4095" s="173" t="s">
        <v>1746</v>
      </c>
      <c r="L4095" s="173" t="s">
        <v>1725</v>
      </c>
      <c r="M4095" s="173" t="s">
        <v>1750</v>
      </c>
      <c r="N4095" s="173" t="s">
        <v>1727</v>
      </c>
      <c r="O4095" s="173" t="s">
        <v>1728</v>
      </c>
      <c r="P4095" s="224"/>
      <c r="Q4095" s="224"/>
    </row>
    <row r="4096" spans="1:17" s="225" customFormat="1" ht="10.5" x14ac:dyDescent="0.25">
      <c r="A4096" s="229"/>
      <c r="B4096" s="230"/>
      <c r="C4096" s="184"/>
      <c r="D4096" s="185"/>
      <c r="E4096" s="185"/>
      <c r="F4096" s="185"/>
      <c r="G4096" s="185"/>
      <c r="H4096" s="185"/>
      <c r="I4096" s="185"/>
      <c r="J4096" s="178"/>
      <c r="K4096" s="185"/>
      <c r="L4096" s="185"/>
      <c r="M4096" s="185"/>
      <c r="N4096" s="185"/>
      <c r="O4096" s="185"/>
      <c r="P4096" s="231"/>
      <c r="Q4096" s="224"/>
    </row>
    <row r="4097" spans="1:19" s="225" customFormat="1" ht="10.5" x14ac:dyDescent="0.25">
      <c r="A4097" s="229"/>
      <c r="B4097" s="232" t="s">
        <v>1899</v>
      </c>
      <c r="C4097" s="184"/>
      <c r="D4097" s="185"/>
      <c r="E4097" s="185">
        <v>30</v>
      </c>
      <c r="F4097" s="185"/>
      <c r="G4097" s="185"/>
      <c r="H4097" s="185"/>
      <c r="I4097" s="185"/>
      <c r="J4097" s="178"/>
      <c r="K4097" s="185"/>
      <c r="L4097" s="185"/>
      <c r="M4097" s="185">
        <f>O4097*E4097</f>
        <v>2211.107702266389</v>
      </c>
      <c r="N4097" s="185"/>
      <c r="O4097" s="185">
        <f>O4094</f>
        <v>73.703590075546302</v>
      </c>
      <c r="P4097" s="231"/>
      <c r="Q4097" s="224"/>
    </row>
    <row r="4098" spans="1:19" s="225" customFormat="1" ht="10.5" x14ac:dyDescent="0.25">
      <c r="A4098" s="229"/>
      <c r="B4098" s="230"/>
      <c r="C4098" s="184"/>
      <c r="D4098" s="185"/>
      <c r="E4098" s="185"/>
      <c r="F4098" s="185"/>
      <c r="G4098" s="185"/>
      <c r="H4098" s="185"/>
      <c r="I4098" s="185"/>
      <c r="J4098" s="182"/>
      <c r="K4098" s="185"/>
      <c r="L4098" s="186"/>
      <c r="M4098" s="185"/>
      <c r="N4098" s="185"/>
      <c r="O4098" s="185"/>
      <c r="P4098" s="231"/>
      <c r="Q4098" s="224"/>
    </row>
    <row r="4099" spans="1:19" s="225" customFormat="1" ht="10.5" x14ac:dyDescent="0.25">
      <c r="A4099" s="229"/>
      <c r="B4099" s="232" t="s">
        <v>5</v>
      </c>
      <c r="C4099" s="182" t="s">
        <v>1328</v>
      </c>
      <c r="D4099" s="182"/>
      <c r="E4099" s="182"/>
      <c r="F4099" s="182"/>
      <c r="G4099" s="182"/>
      <c r="H4099" s="182"/>
      <c r="I4099" s="182"/>
      <c r="K4099" s="182"/>
      <c r="L4099" s="182"/>
      <c r="M4099" s="182">
        <f>SUM(M4097:M4098)</f>
        <v>2211.107702266389</v>
      </c>
      <c r="N4099" s="182"/>
      <c r="O4099" s="182"/>
      <c r="P4099" s="233"/>
      <c r="Q4099" s="224"/>
    </row>
    <row r="4100" spans="1:19" s="235" customFormat="1" ht="42" x14ac:dyDescent="0.35">
      <c r="A4100" s="226" t="str">
        <f>ORÇAMENTO!A755</f>
        <v>7.1.1.3.4</v>
      </c>
      <c r="B4100" s="227" t="str">
        <f>VLOOKUP(A4100,ORÇAMENTO!A:K,4,0)</f>
        <v>TRANSPORTE COM CAMINHÃO BASCULANTE DE 14 M³, EM VIA URBANA PAVIMENTADA, ADICIONAL PARA DMT EXCEDENTE A 30 KM (UNIDADE: M3XKM). AF_07/2020</v>
      </c>
      <c r="C4100" s="173" t="str">
        <f>VLOOKUP(A4100,ORÇAMENTO!A:K,5,0)</f>
        <v>M3XKM</v>
      </c>
      <c r="D4100" s="173">
        <f>SUM(E4104:O4104)</f>
        <v>3301.9208353844742</v>
      </c>
      <c r="E4100" s="173" t="s">
        <v>1752</v>
      </c>
      <c r="F4100" s="173" t="s">
        <v>1719</v>
      </c>
      <c r="G4100" s="173" t="s">
        <v>1720</v>
      </c>
      <c r="H4100" s="173" t="s">
        <v>1721</v>
      </c>
      <c r="I4100" s="173" t="s">
        <v>1722</v>
      </c>
      <c r="J4100" s="173" t="s">
        <v>1723</v>
      </c>
      <c r="K4100" s="173" t="s">
        <v>1746</v>
      </c>
      <c r="L4100" s="173" t="s">
        <v>1753</v>
      </c>
      <c r="M4100" s="173" t="s">
        <v>1750</v>
      </c>
      <c r="N4100" s="173" t="s">
        <v>1727</v>
      </c>
      <c r="O4100" s="173" t="s">
        <v>1728</v>
      </c>
      <c r="P4100" s="224"/>
      <c r="Q4100" s="224"/>
      <c r="R4100" s="224"/>
      <c r="S4100" s="224"/>
    </row>
    <row r="4101" spans="1:19" s="225" customFormat="1" ht="10.5" x14ac:dyDescent="0.25">
      <c r="A4101" s="229"/>
      <c r="B4101" s="230"/>
      <c r="C4101" s="177"/>
      <c r="D4101" s="178"/>
      <c r="E4101" s="178"/>
      <c r="F4101" s="178"/>
      <c r="G4101" s="178"/>
      <c r="H4101" s="178"/>
      <c r="I4101" s="178"/>
      <c r="J4101" s="178"/>
      <c r="K4101" s="178"/>
      <c r="L4101" s="190"/>
      <c r="M4101" s="178"/>
      <c r="N4101" s="178"/>
      <c r="O4101" s="178"/>
      <c r="P4101" s="231"/>
      <c r="Q4101" s="224"/>
    </row>
    <row r="4102" spans="1:19" s="225" customFormat="1" ht="10.5" x14ac:dyDescent="0.25">
      <c r="A4102" s="229"/>
      <c r="B4102" s="232" t="str">
        <f>B4097</f>
        <v>TRANSPORTE ATÉ ATERRO SAMAMBAIA - D=75KM</v>
      </c>
      <c r="C4102" s="177"/>
      <c r="D4102" s="178"/>
      <c r="E4102" s="178">
        <f>74.8-E4097</f>
        <v>44.8</v>
      </c>
      <c r="F4102" s="178"/>
      <c r="G4102" s="178"/>
      <c r="H4102" s="178"/>
      <c r="I4102" s="178"/>
      <c r="J4102" s="178"/>
      <c r="K4102" s="178"/>
      <c r="L4102" s="190"/>
      <c r="M4102" s="178">
        <f>E4102*O4102</f>
        <v>3301.9208353844742</v>
      </c>
      <c r="N4102" s="178"/>
      <c r="O4102" s="178">
        <f>O4097</f>
        <v>73.703590075546302</v>
      </c>
      <c r="P4102" s="231"/>
      <c r="Q4102" s="224"/>
    </row>
    <row r="4103" spans="1:19" s="225" customFormat="1" ht="10.5" x14ac:dyDescent="0.25">
      <c r="A4103" s="229"/>
      <c r="B4103" s="230"/>
      <c r="C4103" s="177"/>
      <c r="D4103" s="178"/>
      <c r="E4103" s="178"/>
      <c r="F4103" s="178"/>
      <c r="G4103" s="178"/>
      <c r="H4103" s="178"/>
      <c r="I4103" s="178"/>
      <c r="J4103" s="178"/>
      <c r="K4103" s="178"/>
      <c r="L4103" s="190"/>
      <c r="M4103" s="178"/>
      <c r="N4103" s="178"/>
      <c r="O4103" s="178"/>
      <c r="P4103" s="231"/>
      <c r="Q4103" s="224"/>
    </row>
    <row r="4104" spans="1:19" s="225" customFormat="1" ht="10.5" x14ac:dyDescent="0.25">
      <c r="A4104" s="229"/>
      <c r="B4104" s="232" t="s">
        <v>5</v>
      </c>
      <c r="C4104" s="182" t="s">
        <v>1328</v>
      </c>
      <c r="D4104" s="182"/>
      <c r="E4104" s="182"/>
      <c r="F4104" s="182"/>
      <c r="G4104" s="182"/>
      <c r="H4104" s="182"/>
      <c r="I4104" s="182"/>
      <c r="J4104" s="182"/>
      <c r="K4104" s="182"/>
      <c r="L4104" s="182"/>
      <c r="M4104" s="182">
        <f>SUM(M4102)</f>
        <v>3301.9208353844742</v>
      </c>
      <c r="N4104" s="182"/>
      <c r="O4104" s="182"/>
      <c r="P4104" s="233"/>
      <c r="Q4104" s="224"/>
    </row>
    <row r="4105" spans="1:19" s="228" customFormat="1" ht="31.5" x14ac:dyDescent="0.25">
      <c r="A4105" s="226" t="str">
        <f>ORÇAMENTO!A757</f>
        <v>7.1.1.4.1</v>
      </c>
      <c r="B4105" s="227" t="str">
        <f>VLOOKUP(A4105,ORÇAMENTO!A:K,4,0)</f>
        <v>DEMOLICAO MECANICA DE CONCRETO SIMPLES C/ COMPRESSOR E MARTELETE PNEUMATICO INCL. REMOCAO ECARREG. MANUAL DO EXPURGO</v>
      </c>
      <c r="C4105" s="173" t="str">
        <f>VLOOKUP(A4105,ORÇAMENTO!A:K,5,0)</f>
        <v>M³</v>
      </c>
      <c r="D4105" s="173">
        <f>SUM(E4109:O4109)</f>
        <v>487.26418415557913</v>
      </c>
      <c r="E4105" s="173" t="s">
        <v>1718</v>
      </c>
      <c r="F4105" s="173" t="s">
        <v>1719</v>
      </c>
      <c r="G4105" s="173" t="s">
        <v>1720</v>
      </c>
      <c r="H4105" s="173" t="s">
        <v>1721</v>
      </c>
      <c r="I4105" s="173" t="s">
        <v>1722</v>
      </c>
      <c r="J4105" s="173" t="s">
        <v>1723</v>
      </c>
      <c r="K4105" s="173" t="s">
        <v>1724</v>
      </c>
      <c r="L4105" s="173" t="s">
        <v>1725</v>
      </c>
      <c r="M4105" s="173" t="s">
        <v>1730</v>
      </c>
      <c r="N4105" s="173" t="s">
        <v>1727</v>
      </c>
      <c r="O4105" s="173" t="s">
        <v>1728</v>
      </c>
      <c r="P4105" s="224"/>
      <c r="Q4105" s="224"/>
    </row>
    <row r="4106" spans="1:19" s="225" customFormat="1" ht="10.5" x14ac:dyDescent="0.25">
      <c r="A4106" s="229"/>
      <c r="B4106" s="230"/>
      <c r="C4106" s="184"/>
      <c r="D4106" s="185"/>
      <c r="E4106" s="185"/>
      <c r="F4106" s="185"/>
      <c r="G4106" s="185"/>
      <c r="H4106" s="185"/>
      <c r="I4106" s="185"/>
      <c r="J4106" s="185"/>
      <c r="K4106" s="185"/>
      <c r="L4106" s="185"/>
      <c r="M4106" s="185"/>
      <c r="N4106" s="185"/>
      <c r="O4106" s="185"/>
      <c r="P4106" s="231"/>
      <c r="Q4106" s="224"/>
    </row>
    <row r="4107" spans="1:19" s="225" customFormat="1" ht="10.5" x14ac:dyDescent="0.25">
      <c r="A4107" s="229"/>
      <c r="B4107" s="230" t="s">
        <v>1731</v>
      </c>
      <c r="C4107" s="184"/>
      <c r="D4107" s="185"/>
      <c r="E4107" s="185"/>
      <c r="F4107" s="185"/>
      <c r="G4107" s="185"/>
      <c r="H4107" s="185"/>
      <c r="I4107" s="185"/>
      <c r="J4107" s="185"/>
      <c r="K4107" s="185"/>
      <c r="L4107" s="185"/>
      <c r="M4107" s="185"/>
      <c r="N4107" s="185"/>
      <c r="O4107" s="185">
        <f>'Planilha Hidráulica'!Z199</f>
        <v>487.26418415557913</v>
      </c>
      <c r="P4107" s="231"/>
      <c r="Q4107" s="224"/>
    </row>
    <row r="4108" spans="1:19" s="225" customFormat="1" ht="10.5" x14ac:dyDescent="0.25">
      <c r="A4108" s="229"/>
      <c r="B4108" s="230"/>
      <c r="C4108" s="184"/>
      <c r="D4108" s="185"/>
      <c r="E4108" s="185"/>
      <c r="F4108" s="185"/>
      <c r="G4108" s="185"/>
      <c r="H4108" s="185"/>
      <c r="I4108" s="185"/>
      <c r="J4108" s="185"/>
      <c r="K4108" s="185"/>
      <c r="L4108" s="186"/>
      <c r="M4108" s="185"/>
      <c r="N4108" s="185"/>
      <c r="O4108" s="185"/>
      <c r="P4108" s="231"/>
      <c r="Q4108" s="224"/>
    </row>
    <row r="4109" spans="1:19" s="225" customFormat="1" ht="10.5" x14ac:dyDescent="0.25">
      <c r="A4109" s="229"/>
      <c r="B4109" s="232" t="s">
        <v>5</v>
      </c>
      <c r="C4109" s="182" t="s">
        <v>1328</v>
      </c>
      <c r="D4109" s="182"/>
      <c r="E4109" s="182"/>
      <c r="F4109" s="182"/>
      <c r="G4109" s="182"/>
      <c r="H4109" s="182"/>
      <c r="I4109" s="182"/>
      <c r="J4109" s="182"/>
      <c r="K4109" s="182"/>
      <c r="L4109" s="182"/>
      <c r="M4109" s="182"/>
      <c r="N4109" s="182"/>
      <c r="O4109" s="182">
        <f>SUM(O4107:O4108)</f>
        <v>487.26418415557913</v>
      </c>
      <c r="P4109" s="233"/>
      <c r="Q4109" s="224"/>
    </row>
    <row r="4110" spans="1:19" s="228" customFormat="1" ht="52.5" x14ac:dyDescent="0.25">
      <c r="A4110" s="226" t="str">
        <f>ORÇAMENTO!A758</f>
        <v>7.1.1.4.2</v>
      </c>
      <c r="B4110" s="227" t="str">
        <f>VLOOKUP(A4110,ORÇAMENTO!A:K,4,0)</f>
        <v>CARGA, MANOBRA E DESCARGA DE ENTULHO EM CAMINHÃO BASCULANTE 14 M³ - CARGA COM ESCAVADEIRA HIDRÁULICA  (CAÇAMBA DE 0,80 M³ / 111 HP) E DESCARGA LIVRE (UNIDADE: M3). AF_07/2020</v>
      </c>
      <c r="C4110" s="173" t="str">
        <f>VLOOKUP(A4110,ORÇAMENTO!A:K,5,0)</f>
        <v>M³</v>
      </c>
      <c r="D4110" s="173">
        <f>SUM(E4114:O4114)</f>
        <v>487.26418415557913</v>
      </c>
      <c r="E4110" s="173" t="s">
        <v>1718</v>
      </c>
      <c r="F4110" s="173" t="s">
        <v>1719</v>
      </c>
      <c r="G4110" s="173" t="s">
        <v>1720</v>
      </c>
      <c r="H4110" s="173" t="s">
        <v>1721</v>
      </c>
      <c r="I4110" s="173" t="s">
        <v>1722</v>
      </c>
      <c r="J4110" s="173" t="s">
        <v>1723</v>
      </c>
      <c r="K4110" s="173" t="s">
        <v>1746</v>
      </c>
      <c r="L4110" s="173" t="s">
        <v>1756</v>
      </c>
      <c r="M4110" s="173" t="s">
        <v>1730</v>
      </c>
      <c r="N4110" s="173" t="s">
        <v>1727</v>
      </c>
      <c r="O4110" s="173" t="s">
        <v>1728</v>
      </c>
      <c r="P4110" s="224"/>
      <c r="Q4110" s="224"/>
    </row>
    <row r="4111" spans="1:19" s="225" customFormat="1" ht="10.5" x14ac:dyDescent="0.25">
      <c r="A4111" s="229"/>
      <c r="B4111" s="230"/>
      <c r="C4111" s="184"/>
      <c r="D4111" s="185"/>
      <c r="E4111" s="185"/>
      <c r="F4111" s="185"/>
      <c r="G4111" s="185"/>
      <c r="H4111" s="185"/>
      <c r="I4111" s="185"/>
      <c r="J4111" s="185"/>
      <c r="K4111" s="185"/>
      <c r="L4111" s="185"/>
      <c r="M4111" s="185"/>
      <c r="N4111" s="185"/>
      <c r="O4111" s="185"/>
      <c r="P4111" s="231"/>
      <c r="Q4111" s="224"/>
    </row>
    <row r="4112" spans="1:19" s="225" customFormat="1" ht="10.5" x14ac:dyDescent="0.25">
      <c r="A4112" s="229"/>
      <c r="B4112" s="230" t="s">
        <v>1731</v>
      </c>
      <c r="C4112" s="184"/>
      <c r="D4112" s="185"/>
      <c r="E4112" s="185"/>
      <c r="F4112" s="185"/>
      <c r="G4112" s="185"/>
      <c r="H4112" s="185"/>
      <c r="I4112" s="185"/>
      <c r="J4112" s="185"/>
      <c r="K4112" s="185"/>
      <c r="L4112" s="185"/>
      <c r="M4112" s="185"/>
      <c r="N4112" s="185"/>
      <c r="O4112" s="185">
        <f>O4109</f>
        <v>487.26418415557913</v>
      </c>
      <c r="P4112" s="231"/>
      <c r="Q4112" s="224"/>
    </row>
    <row r="4113" spans="1:19" s="225" customFormat="1" ht="10.5" x14ac:dyDescent="0.25">
      <c r="A4113" s="229"/>
      <c r="B4113" s="230"/>
      <c r="C4113" s="184"/>
      <c r="D4113" s="185"/>
      <c r="E4113" s="185"/>
      <c r="F4113" s="185"/>
      <c r="G4113" s="185"/>
      <c r="H4113" s="185"/>
      <c r="I4113" s="185"/>
      <c r="J4113" s="185"/>
      <c r="K4113" s="185"/>
      <c r="L4113" s="186"/>
      <c r="M4113" s="185"/>
      <c r="N4113" s="185"/>
      <c r="O4113" s="185"/>
      <c r="P4113" s="231"/>
      <c r="Q4113" s="224"/>
    </row>
    <row r="4114" spans="1:19" s="225" customFormat="1" ht="10.5" x14ac:dyDescent="0.25">
      <c r="A4114" s="229"/>
      <c r="B4114" s="232" t="s">
        <v>5</v>
      </c>
      <c r="C4114" s="182" t="s">
        <v>1328</v>
      </c>
      <c r="D4114" s="182"/>
      <c r="E4114" s="182"/>
      <c r="F4114" s="182"/>
      <c r="G4114" s="182"/>
      <c r="H4114" s="182"/>
      <c r="I4114" s="182"/>
      <c r="J4114" s="182"/>
      <c r="K4114" s="182"/>
      <c r="L4114" s="182"/>
      <c r="M4114" s="182"/>
      <c r="N4114" s="182"/>
      <c r="O4114" s="182">
        <f>SUM(O4112:O4113)</f>
        <v>487.26418415557913</v>
      </c>
      <c r="P4114" s="233"/>
      <c r="Q4114" s="224"/>
    </row>
    <row r="4115" spans="1:19" s="228" customFormat="1" ht="31.5" x14ac:dyDescent="0.25">
      <c r="A4115" s="226" t="str">
        <f>ORÇAMENTO!A759</f>
        <v>7.1.1.4.3</v>
      </c>
      <c r="B4115" s="227" t="str">
        <f>VLOOKUP(A4115,ORÇAMENTO!A:K,4,0)</f>
        <v>TRANSPORTE COM CAMINHÃO BASCULANTE DE 14 M³, EM VIA URBANA PAVIMENTADA, DMT ATÉ 30 KM (UNIDADE: M3XKM). AF_07/2020</v>
      </c>
      <c r="C4115" s="173" t="str">
        <f>VLOOKUP(A4115,ORÇAMENTO!A:K,5,0)</f>
        <v>M3XKM</v>
      </c>
      <c r="D4115" s="173">
        <f>SUM(E4119:O4119)</f>
        <v>14617.925524667375</v>
      </c>
      <c r="E4115" s="173" t="s">
        <v>1749</v>
      </c>
      <c r="F4115" s="173" t="s">
        <v>1719</v>
      </c>
      <c r="G4115" s="173" t="s">
        <v>1720</v>
      </c>
      <c r="H4115" s="173" t="s">
        <v>1721</v>
      </c>
      <c r="I4115" s="173" t="s">
        <v>1722</v>
      </c>
      <c r="J4115" s="173" t="s">
        <v>1723</v>
      </c>
      <c r="K4115" s="173" t="s">
        <v>1746</v>
      </c>
      <c r="L4115" s="173" t="s">
        <v>1725</v>
      </c>
      <c r="M4115" s="173" t="s">
        <v>1750</v>
      </c>
      <c r="N4115" s="173" t="s">
        <v>1727</v>
      </c>
      <c r="O4115" s="173" t="s">
        <v>1728</v>
      </c>
      <c r="P4115" s="224"/>
      <c r="Q4115" s="224"/>
    </row>
    <row r="4116" spans="1:19" s="225" customFormat="1" ht="10.5" x14ac:dyDescent="0.25">
      <c r="A4116" s="229"/>
      <c r="B4116" s="230"/>
      <c r="C4116" s="184"/>
      <c r="D4116" s="185"/>
      <c r="E4116" s="185"/>
      <c r="F4116" s="185"/>
      <c r="G4116" s="185"/>
      <c r="H4116" s="185"/>
      <c r="I4116" s="185"/>
      <c r="J4116" s="178"/>
      <c r="K4116" s="185"/>
      <c r="L4116" s="185"/>
      <c r="M4116" s="185"/>
      <c r="N4116" s="185"/>
      <c r="O4116" s="185"/>
      <c r="P4116" s="231"/>
      <c r="Q4116" s="224"/>
    </row>
    <row r="4117" spans="1:19" s="225" customFormat="1" ht="10.5" x14ac:dyDescent="0.25">
      <c r="A4117" s="229"/>
      <c r="B4117" s="232" t="s">
        <v>1899</v>
      </c>
      <c r="C4117" s="184"/>
      <c r="D4117" s="185"/>
      <c r="E4117" s="185">
        <v>30</v>
      </c>
      <c r="F4117" s="185"/>
      <c r="G4117" s="185"/>
      <c r="H4117" s="185"/>
      <c r="I4117" s="185"/>
      <c r="J4117" s="178"/>
      <c r="K4117" s="185"/>
      <c r="L4117" s="185"/>
      <c r="M4117" s="185">
        <f>O4117*E4117</f>
        <v>14617.925524667375</v>
      </c>
      <c r="N4117" s="185"/>
      <c r="O4117" s="185">
        <f>O4114</f>
        <v>487.26418415557913</v>
      </c>
      <c r="P4117" s="231"/>
      <c r="Q4117" s="224"/>
    </row>
    <row r="4118" spans="1:19" s="225" customFormat="1" ht="10.5" x14ac:dyDescent="0.25">
      <c r="A4118" s="229"/>
      <c r="B4118" s="230"/>
      <c r="C4118" s="184"/>
      <c r="D4118" s="185"/>
      <c r="E4118" s="185"/>
      <c r="F4118" s="185"/>
      <c r="G4118" s="185"/>
      <c r="H4118" s="185"/>
      <c r="I4118" s="185"/>
      <c r="J4118" s="182"/>
      <c r="K4118" s="185"/>
      <c r="L4118" s="186"/>
      <c r="M4118" s="185"/>
      <c r="N4118" s="185"/>
      <c r="O4118" s="185"/>
      <c r="P4118" s="231"/>
      <c r="Q4118" s="224"/>
    </row>
    <row r="4119" spans="1:19" s="225" customFormat="1" ht="10.5" x14ac:dyDescent="0.25">
      <c r="A4119" s="229"/>
      <c r="B4119" s="232" t="s">
        <v>5</v>
      </c>
      <c r="C4119" s="182" t="s">
        <v>1328</v>
      </c>
      <c r="D4119" s="182"/>
      <c r="E4119" s="182"/>
      <c r="F4119" s="182"/>
      <c r="G4119" s="182"/>
      <c r="H4119" s="182"/>
      <c r="I4119" s="182"/>
      <c r="K4119" s="182"/>
      <c r="L4119" s="182"/>
      <c r="M4119" s="182">
        <f>SUM(M4117:M4118)</f>
        <v>14617.925524667375</v>
      </c>
      <c r="N4119" s="182"/>
      <c r="O4119" s="182"/>
      <c r="P4119" s="233"/>
      <c r="Q4119" s="224"/>
    </row>
    <row r="4120" spans="1:19" s="235" customFormat="1" ht="42" x14ac:dyDescent="0.35">
      <c r="A4120" s="226" t="str">
        <f>ORÇAMENTO!A760</f>
        <v>7.1.1.4.4</v>
      </c>
      <c r="B4120" s="227" t="str">
        <f>VLOOKUP(A4120,ORÇAMENTO!A:K,4,0)</f>
        <v>TRANSPORTE COM CAMINHÃO BASCULANTE DE 14 M³, EM VIA URBANA PAVIMENTADA, ADICIONAL PARA DMT EXCEDENTE A 30 KM (UNIDADE: M3XKM). AF_07/2020</v>
      </c>
      <c r="C4120" s="173" t="str">
        <f>VLOOKUP(A4120,ORÇAMENTO!A:K,5,0)</f>
        <v>M3XKM</v>
      </c>
      <c r="D4120" s="173">
        <f>SUM(E4124:O4124)</f>
        <v>21829.435450169945</v>
      </c>
      <c r="E4120" s="173" t="s">
        <v>1752</v>
      </c>
      <c r="F4120" s="173" t="s">
        <v>1719</v>
      </c>
      <c r="G4120" s="173" t="s">
        <v>1720</v>
      </c>
      <c r="H4120" s="173" t="s">
        <v>1721</v>
      </c>
      <c r="I4120" s="173" t="s">
        <v>1722</v>
      </c>
      <c r="J4120" s="173" t="s">
        <v>1723</v>
      </c>
      <c r="K4120" s="173" t="s">
        <v>1746</v>
      </c>
      <c r="L4120" s="173" t="s">
        <v>1753</v>
      </c>
      <c r="M4120" s="173" t="s">
        <v>1750</v>
      </c>
      <c r="N4120" s="173" t="s">
        <v>1727</v>
      </c>
      <c r="O4120" s="173" t="s">
        <v>1728</v>
      </c>
      <c r="P4120" s="224"/>
      <c r="Q4120" s="224"/>
      <c r="R4120" s="224"/>
      <c r="S4120" s="224"/>
    </row>
    <row r="4121" spans="1:19" s="225" customFormat="1" ht="10.5" x14ac:dyDescent="0.25">
      <c r="A4121" s="229"/>
      <c r="B4121" s="230"/>
      <c r="C4121" s="177"/>
      <c r="D4121" s="178"/>
      <c r="E4121" s="178"/>
      <c r="F4121" s="178"/>
      <c r="G4121" s="178"/>
      <c r="H4121" s="178"/>
      <c r="I4121" s="178"/>
      <c r="J4121" s="178"/>
      <c r="K4121" s="178"/>
      <c r="L4121" s="190"/>
      <c r="M4121" s="178"/>
      <c r="N4121" s="178"/>
      <c r="O4121" s="178"/>
      <c r="P4121" s="231"/>
      <c r="Q4121" s="224"/>
    </row>
    <row r="4122" spans="1:19" s="225" customFormat="1" ht="10.5" x14ac:dyDescent="0.25">
      <c r="A4122" s="229"/>
      <c r="B4122" s="232" t="str">
        <f>B4117</f>
        <v>TRANSPORTE ATÉ ATERRO SAMAMBAIA - D=75KM</v>
      </c>
      <c r="C4122" s="177"/>
      <c r="D4122" s="178"/>
      <c r="E4122" s="178">
        <f>74.8-E4117</f>
        <v>44.8</v>
      </c>
      <c r="F4122" s="178"/>
      <c r="G4122" s="178"/>
      <c r="H4122" s="178"/>
      <c r="I4122" s="178"/>
      <c r="J4122" s="178"/>
      <c r="K4122" s="178"/>
      <c r="L4122" s="190"/>
      <c r="M4122" s="178">
        <f>E4122*O4122</f>
        <v>21829.435450169945</v>
      </c>
      <c r="N4122" s="178"/>
      <c r="O4122" s="178">
        <f>O4117</f>
        <v>487.26418415557913</v>
      </c>
      <c r="P4122" s="231"/>
      <c r="Q4122" s="224"/>
    </row>
    <row r="4123" spans="1:19" s="225" customFormat="1" ht="10.5" x14ac:dyDescent="0.25">
      <c r="A4123" s="229"/>
      <c r="B4123" s="230"/>
      <c r="C4123" s="177"/>
      <c r="D4123" s="178"/>
      <c r="E4123" s="178"/>
      <c r="F4123" s="178"/>
      <c r="G4123" s="178"/>
      <c r="H4123" s="178"/>
      <c r="I4123" s="178"/>
      <c r="J4123" s="178"/>
      <c r="K4123" s="178"/>
      <c r="L4123" s="190"/>
      <c r="M4123" s="178"/>
      <c r="N4123" s="178"/>
      <c r="O4123" s="178"/>
      <c r="P4123" s="231"/>
      <c r="Q4123" s="224"/>
    </row>
    <row r="4124" spans="1:19" s="225" customFormat="1" ht="10.5" x14ac:dyDescent="0.25">
      <c r="A4124" s="229"/>
      <c r="B4124" s="232" t="s">
        <v>5</v>
      </c>
      <c r="C4124" s="182" t="s">
        <v>1328</v>
      </c>
      <c r="D4124" s="182"/>
      <c r="E4124" s="182"/>
      <c r="F4124" s="182"/>
      <c r="G4124" s="182"/>
      <c r="H4124" s="182"/>
      <c r="I4124" s="182"/>
      <c r="J4124" s="182"/>
      <c r="K4124" s="182"/>
      <c r="L4124" s="182"/>
      <c r="M4124" s="182">
        <f>SUM(M4122)</f>
        <v>21829.435450169945</v>
      </c>
      <c r="N4124" s="182"/>
      <c r="O4124" s="182"/>
      <c r="P4124" s="233"/>
      <c r="Q4124" s="224"/>
    </row>
    <row r="4125" spans="1:19" s="235" customFormat="1" x14ac:dyDescent="0.35">
      <c r="A4125" s="226" t="str">
        <f>ORÇAMENTO!A761</f>
        <v>7.1.1.5</v>
      </c>
      <c r="B4125" s="227" t="str">
        <f>VLOOKUP(A4125,ORÇAMENTO!A:K,4,0)</f>
        <v>DEMOLIÇÕES DE PASSEIOS E MEIO-FIO</v>
      </c>
      <c r="C4125" s="173"/>
      <c r="D4125" s="173"/>
      <c r="E4125" s="173"/>
      <c r="F4125" s="173"/>
      <c r="G4125" s="173"/>
      <c r="H4125" s="173"/>
      <c r="I4125" s="173"/>
      <c r="J4125" s="173"/>
      <c r="K4125" s="173"/>
      <c r="L4125" s="173"/>
      <c r="M4125" s="173"/>
      <c r="N4125" s="173"/>
      <c r="O4125" s="173"/>
      <c r="P4125" s="224"/>
      <c r="Q4125" s="224"/>
      <c r="R4125" s="224"/>
      <c r="S4125" s="224"/>
    </row>
    <row r="4126" spans="1:19" s="235" customFormat="1" ht="52.5" x14ac:dyDescent="0.35">
      <c r="A4126" s="226" t="str">
        <f>ORÇAMENTO!A762</f>
        <v>7.1.1.5.1</v>
      </c>
      <c r="B4126" s="227" t="str">
        <f>VLOOKUP(A4126,ORÇAMENTO!A:K,4,0)</f>
        <v>DEMOLICAO COM EQUIPAMENTO DE AR COMPRIMIDO,DE PASSEIO CIMENT ADO COM ESPESSURA ATE 10CM,INCLUSIVE EMPILHAMENTO LATERAL DE NTRO DO CANTEIRO DE SERVICO 3%-DESGASTE DE FERRAMENTAS E EPI</v>
      </c>
      <c r="C4126" s="173" t="str">
        <f>VLOOKUP(A4126,ORÇAMENTO!A:K,5,0)</f>
        <v>M2</v>
      </c>
      <c r="D4126" s="173">
        <f>SUM(E4143:O4143)</f>
        <v>286.05359999999996</v>
      </c>
      <c r="E4126" s="173" t="s">
        <v>1718</v>
      </c>
      <c r="F4126" s="173" t="s">
        <v>1719</v>
      </c>
      <c r="G4126" s="173" t="s">
        <v>1720</v>
      </c>
      <c r="H4126" s="173" t="s">
        <v>1721</v>
      </c>
      <c r="I4126" s="173" t="s">
        <v>1722</v>
      </c>
      <c r="J4126" s="173" t="s">
        <v>1723</v>
      </c>
      <c r="K4126" s="173" t="s">
        <v>1758</v>
      </c>
      <c r="L4126" s="173" t="s">
        <v>1753</v>
      </c>
      <c r="M4126" s="173" t="s">
        <v>1750</v>
      </c>
      <c r="N4126" s="173" t="s">
        <v>1727</v>
      </c>
      <c r="O4126" s="173" t="s">
        <v>1728</v>
      </c>
      <c r="P4126" s="224"/>
      <c r="Q4126" s="224"/>
      <c r="R4126" s="224"/>
      <c r="S4126" s="224"/>
    </row>
    <row r="4127" spans="1:19" s="225" customFormat="1" ht="31.5" x14ac:dyDescent="0.25">
      <c r="A4127" s="229"/>
      <c r="B4127" s="230" t="s">
        <v>1759</v>
      </c>
      <c r="C4127" s="177"/>
      <c r="D4127" s="178"/>
      <c r="E4127" s="178"/>
      <c r="F4127" s="178"/>
      <c r="G4127" s="178"/>
      <c r="H4127" s="178"/>
      <c r="I4127" s="178"/>
      <c r="J4127" s="178"/>
      <c r="K4127" s="178"/>
      <c r="L4127" s="190"/>
      <c r="M4127" s="178"/>
      <c r="N4127" s="178"/>
      <c r="O4127" s="178"/>
      <c r="P4127" s="231"/>
      <c r="Q4127" s="224"/>
    </row>
    <row r="4128" spans="1:19" s="225" customFormat="1" ht="10.5" x14ac:dyDescent="0.25">
      <c r="A4128" s="229"/>
      <c r="B4128" s="232" t="s">
        <v>1760</v>
      </c>
      <c r="C4128" s="177"/>
      <c r="D4128" s="178"/>
      <c r="E4128" s="178"/>
      <c r="F4128" s="178"/>
      <c r="G4128" s="178"/>
      <c r="H4128" s="178"/>
      <c r="I4128" s="178"/>
      <c r="J4128" s="178"/>
      <c r="K4128" s="178"/>
      <c r="L4128" s="190"/>
      <c r="M4128" s="178"/>
      <c r="N4128" s="178"/>
      <c r="O4128" s="178"/>
      <c r="P4128" s="231"/>
      <c r="Q4128" s="224"/>
    </row>
    <row r="4129" spans="1:19" s="225" customFormat="1" ht="21" x14ac:dyDescent="0.25">
      <c r="A4129" s="229"/>
      <c r="B4129" s="230" t="s">
        <v>1405</v>
      </c>
      <c r="C4129" s="177"/>
      <c r="D4129" s="178"/>
      <c r="E4129" s="178">
        <f>2.38+0.5</f>
        <v>2.88</v>
      </c>
      <c r="F4129" s="178">
        <f t="shared" ref="F4129:F4141" si="141">1.18+0.5</f>
        <v>1.68</v>
      </c>
      <c r="G4129" s="178"/>
      <c r="H4129" s="178">
        <v>7.0000000000000007E-2</v>
      </c>
      <c r="I4129" s="178"/>
      <c r="J4129" s="178"/>
      <c r="K4129" s="178">
        <f>'BOCA DE LOBO'!O228</f>
        <v>0</v>
      </c>
      <c r="L4129" s="190"/>
      <c r="M4129" s="178"/>
      <c r="N4129" s="178">
        <f t="shared" ref="N4129:N4140" si="142">E4129*F4129*K4129</f>
        <v>0</v>
      </c>
      <c r="O4129" s="178">
        <f t="shared" ref="O4129:O4140" si="143">E4129*F4129*H4129*K4129</f>
        <v>0</v>
      </c>
      <c r="P4129" s="231"/>
      <c r="Q4129" s="224"/>
    </row>
    <row r="4130" spans="1:19" s="225" customFormat="1" ht="21" x14ac:dyDescent="0.25">
      <c r="A4130" s="229"/>
      <c r="B4130" s="230" t="s">
        <v>1410</v>
      </c>
      <c r="C4130" s="177"/>
      <c r="D4130" s="178"/>
      <c r="E4130" s="178">
        <f>1.19+0.5</f>
        <v>1.69</v>
      </c>
      <c r="F4130" s="178">
        <f t="shared" si="141"/>
        <v>1.68</v>
      </c>
      <c r="G4130" s="178"/>
      <c r="H4130" s="178">
        <v>7.0000000000000007E-2</v>
      </c>
      <c r="I4130" s="178"/>
      <c r="J4130" s="178"/>
      <c r="K4130" s="178">
        <f>'BOCA DE LOBO'!O229</f>
        <v>22</v>
      </c>
      <c r="L4130" s="190"/>
      <c r="M4130" s="178"/>
      <c r="N4130" s="178">
        <f t="shared" si="142"/>
        <v>62.462400000000002</v>
      </c>
      <c r="O4130" s="178">
        <f t="shared" si="143"/>
        <v>4.3723679999999998</v>
      </c>
      <c r="P4130" s="231"/>
      <c r="Q4130" s="224"/>
    </row>
    <row r="4131" spans="1:19" s="225" customFormat="1" ht="21" x14ac:dyDescent="0.25">
      <c r="A4131" s="229"/>
      <c r="B4131" s="230" t="s">
        <v>1413</v>
      </c>
      <c r="C4131" s="177"/>
      <c r="D4131" s="178"/>
      <c r="E4131" s="178">
        <f>3.54+0.5</f>
        <v>4.04</v>
      </c>
      <c r="F4131" s="178">
        <f t="shared" si="141"/>
        <v>1.68</v>
      </c>
      <c r="G4131" s="178"/>
      <c r="H4131" s="178">
        <v>7.0000000000000007E-2</v>
      </c>
      <c r="I4131" s="178"/>
      <c r="J4131" s="178"/>
      <c r="K4131" s="178">
        <f>'BOCA DE LOBO'!O230</f>
        <v>0</v>
      </c>
      <c r="L4131" s="190"/>
      <c r="M4131" s="178"/>
      <c r="N4131" s="178">
        <f t="shared" si="142"/>
        <v>0</v>
      </c>
      <c r="O4131" s="178">
        <f t="shared" si="143"/>
        <v>0</v>
      </c>
      <c r="P4131" s="231"/>
      <c r="Q4131" s="224"/>
    </row>
    <row r="4132" spans="1:19" s="225" customFormat="1" ht="21" x14ac:dyDescent="0.25">
      <c r="A4132" s="229"/>
      <c r="B4132" s="230" t="s">
        <v>1415</v>
      </c>
      <c r="C4132" s="177"/>
      <c r="D4132" s="178"/>
      <c r="E4132" s="178">
        <f>1.19+0.5</f>
        <v>1.69</v>
      </c>
      <c r="F4132" s="178">
        <f t="shared" si="141"/>
        <v>1.68</v>
      </c>
      <c r="G4132" s="178"/>
      <c r="H4132" s="178">
        <v>7.0000000000000007E-2</v>
      </c>
      <c r="I4132" s="178"/>
      <c r="J4132" s="178"/>
      <c r="K4132" s="178">
        <f>'BOCA DE LOBO'!O231</f>
        <v>2</v>
      </c>
      <c r="L4132" s="190"/>
      <c r="M4132" s="178"/>
      <c r="N4132" s="178">
        <f t="shared" si="142"/>
        <v>5.6783999999999999</v>
      </c>
      <c r="O4132" s="178">
        <f t="shared" si="143"/>
        <v>0.39748800000000001</v>
      </c>
      <c r="P4132" s="231"/>
      <c r="Q4132" s="224"/>
    </row>
    <row r="4133" spans="1:19" s="225" customFormat="1" ht="21" x14ac:dyDescent="0.25">
      <c r="A4133" s="229"/>
      <c r="B4133" s="230" t="s">
        <v>1418</v>
      </c>
      <c r="C4133" s="177"/>
      <c r="D4133" s="178"/>
      <c r="E4133" s="178">
        <f>2.38+0.5</f>
        <v>2.88</v>
      </c>
      <c r="F4133" s="178">
        <f t="shared" si="141"/>
        <v>1.68</v>
      </c>
      <c r="G4133" s="178"/>
      <c r="H4133" s="178">
        <v>7.0000000000000007E-2</v>
      </c>
      <c r="I4133" s="178"/>
      <c r="J4133" s="178"/>
      <c r="K4133" s="178">
        <f>'BOCA DE LOBO'!O232</f>
        <v>0</v>
      </c>
      <c r="L4133" s="190"/>
      <c r="M4133" s="178"/>
      <c r="N4133" s="178">
        <f t="shared" si="142"/>
        <v>0</v>
      </c>
      <c r="O4133" s="178">
        <f t="shared" si="143"/>
        <v>0</v>
      </c>
      <c r="P4133" s="231"/>
      <c r="Q4133" s="224"/>
    </row>
    <row r="4134" spans="1:19" s="225" customFormat="1" ht="21" x14ac:dyDescent="0.25">
      <c r="A4134" s="229"/>
      <c r="B4134" s="230" t="s">
        <v>1416</v>
      </c>
      <c r="C4134" s="177"/>
      <c r="D4134" s="178"/>
      <c r="E4134" s="178">
        <f>3.54+0.5</f>
        <v>4.04</v>
      </c>
      <c r="F4134" s="178">
        <f t="shared" si="141"/>
        <v>1.68</v>
      </c>
      <c r="G4134" s="178"/>
      <c r="H4134" s="178">
        <v>7.0000000000000007E-2</v>
      </c>
      <c r="I4134" s="178"/>
      <c r="J4134" s="178"/>
      <c r="K4134" s="178">
        <f>'BOCA DE LOBO'!O233</f>
        <v>0</v>
      </c>
      <c r="L4134" s="190"/>
      <c r="M4134" s="178"/>
      <c r="N4134" s="178">
        <f t="shared" si="142"/>
        <v>0</v>
      </c>
      <c r="O4134" s="178">
        <f t="shared" si="143"/>
        <v>0</v>
      </c>
      <c r="P4134" s="231"/>
      <c r="Q4134" s="224"/>
    </row>
    <row r="4135" spans="1:19" s="225" customFormat="1" ht="21" x14ac:dyDescent="0.25">
      <c r="A4135" s="229"/>
      <c r="B4135" s="230" t="s">
        <v>1420</v>
      </c>
      <c r="C4135" s="177"/>
      <c r="D4135" s="178"/>
      <c r="E4135" s="178">
        <f>1.19+0.5</f>
        <v>1.69</v>
      </c>
      <c r="F4135" s="178">
        <f t="shared" si="141"/>
        <v>1.68</v>
      </c>
      <c r="G4135" s="178"/>
      <c r="H4135" s="178">
        <v>7.0000000000000007E-2</v>
      </c>
      <c r="I4135" s="178"/>
      <c r="J4135" s="178"/>
      <c r="K4135" s="178">
        <f>'BOCA DE LOBO'!O234</f>
        <v>0</v>
      </c>
      <c r="L4135" s="190"/>
      <c r="M4135" s="178"/>
      <c r="N4135" s="178">
        <f t="shared" si="142"/>
        <v>0</v>
      </c>
      <c r="O4135" s="178">
        <f t="shared" si="143"/>
        <v>0</v>
      </c>
      <c r="P4135" s="231"/>
      <c r="Q4135" s="224"/>
    </row>
    <row r="4136" spans="1:19" s="225" customFormat="1" ht="21" x14ac:dyDescent="0.25">
      <c r="A4136" s="229"/>
      <c r="B4136" s="230" t="s">
        <v>1424</v>
      </c>
      <c r="C4136" s="177"/>
      <c r="D4136" s="178"/>
      <c r="E4136" s="178">
        <f>2.38+0.5</f>
        <v>2.88</v>
      </c>
      <c r="F4136" s="178">
        <f t="shared" si="141"/>
        <v>1.68</v>
      </c>
      <c r="G4136" s="178"/>
      <c r="H4136" s="178">
        <v>7.0000000000000007E-2</v>
      </c>
      <c r="I4136" s="178"/>
      <c r="J4136" s="178"/>
      <c r="K4136" s="178">
        <f>'BOCA DE LOBO'!O235</f>
        <v>0</v>
      </c>
      <c r="L4136" s="190"/>
      <c r="M4136" s="178"/>
      <c r="N4136" s="178">
        <f t="shared" si="142"/>
        <v>0</v>
      </c>
      <c r="O4136" s="178">
        <f t="shared" si="143"/>
        <v>0</v>
      </c>
      <c r="P4136" s="231"/>
      <c r="Q4136" s="224"/>
    </row>
    <row r="4137" spans="1:19" s="225" customFormat="1" ht="21" x14ac:dyDescent="0.25">
      <c r="A4137" s="229"/>
      <c r="B4137" s="230" t="s">
        <v>1427</v>
      </c>
      <c r="C4137" s="177"/>
      <c r="D4137" s="178"/>
      <c r="E4137" s="178">
        <f>3.54+0.5</f>
        <v>4.04</v>
      </c>
      <c r="F4137" s="178">
        <f t="shared" si="141"/>
        <v>1.68</v>
      </c>
      <c r="G4137" s="178"/>
      <c r="H4137" s="178">
        <v>7.0000000000000007E-2</v>
      </c>
      <c r="I4137" s="178"/>
      <c r="J4137" s="178"/>
      <c r="K4137" s="178">
        <f>'BOCA DE LOBO'!O236</f>
        <v>0</v>
      </c>
      <c r="L4137" s="190"/>
      <c r="M4137" s="178"/>
      <c r="N4137" s="178">
        <f t="shared" si="142"/>
        <v>0</v>
      </c>
      <c r="O4137" s="178">
        <f t="shared" si="143"/>
        <v>0</v>
      </c>
      <c r="P4137" s="231"/>
      <c r="Q4137" s="224"/>
    </row>
    <row r="4138" spans="1:19" s="225" customFormat="1" ht="10.5" x14ac:dyDescent="0.25">
      <c r="A4138" s="229"/>
      <c r="B4138" s="230" t="s">
        <v>1429</v>
      </c>
      <c r="C4138" s="177"/>
      <c r="D4138" s="178"/>
      <c r="E4138" s="178">
        <f>1.38+0.5+0.5</f>
        <v>2.38</v>
      </c>
      <c r="F4138" s="178">
        <f t="shared" si="141"/>
        <v>1.68</v>
      </c>
      <c r="G4138" s="178"/>
      <c r="H4138" s="178">
        <v>7.0000000000000007E-2</v>
      </c>
      <c r="I4138" s="178"/>
      <c r="J4138" s="178"/>
      <c r="K4138" s="178">
        <f>'BOCA DE LOBO'!O237</f>
        <v>0</v>
      </c>
      <c r="L4138" s="190"/>
      <c r="M4138" s="178"/>
      <c r="N4138" s="178">
        <f t="shared" si="142"/>
        <v>0</v>
      </c>
      <c r="O4138" s="178">
        <f t="shared" si="143"/>
        <v>0</v>
      </c>
      <c r="P4138" s="231"/>
      <c r="Q4138" s="224"/>
    </row>
    <row r="4139" spans="1:19" s="225" customFormat="1" ht="10.5" x14ac:dyDescent="0.25">
      <c r="A4139" s="229"/>
      <c r="B4139" s="230" t="s">
        <v>1431</v>
      </c>
      <c r="C4139" s="177"/>
      <c r="D4139" s="178"/>
      <c r="E4139" s="178">
        <f>2.57+0.5+0.5</f>
        <v>3.57</v>
      </c>
      <c r="F4139" s="178">
        <f t="shared" si="141"/>
        <v>1.68</v>
      </c>
      <c r="G4139" s="178"/>
      <c r="H4139" s="178">
        <v>7.0000000000000007E-2</v>
      </c>
      <c r="I4139" s="178"/>
      <c r="J4139" s="178"/>
      <c r="K4139" s="178">
        <f>'BOCA DE LOBO'!O238</f>
        <v>31</v>
      </c>
      <c r="L4139" s="190"/>
      <c r="M4139" s="178"/>
      <c r="N4139" s="178">
        <f t="shared" si="142"/>
        <v>185.92559999999997</v>
      </c>
      <c r="O4139" s="178">
        <f t="shared" si="143"/>
        <v>13.014792</v>
      </c>
      <c r="P4139" s="231"/>
      <c r="Q4139" s="224"/>
    </row>
    <row r="4140" spans="1:19" s="225" customFormat="1" ht="10.5" x14ac:dyDescent="0.25">
      <c r="A4140" s="229"/>
      <c r="B4140" s="230" t="s">
        <v>1434</v>
      </c>
      <c r="C4140" s="177"/>
      <c r="D4140" s="178"/>
      <c r="E4140" s="178">
        <f>3.76+0.5+0.5</f>
        <v>4.76</v>
      </c>
      <c r="F4140" s="178">
        <f t="shared" si="141"/>
        <v>1.68</v>
      </c>
      <c r="G4140" s="178"/>
      <c r="H4140" s="178">
        <v>7.0000000000000007E-2</v>
      </c>
      <c r="I4140" s="178"/>
      <c r="J4140" s="178"/>
      <c r="K4140" s="178">
        <f>'BOCA DE LOBO'!O239</f>
        <v>4</v>
      </c>
      <c r="L4140" s="190"/>
      <c r="M4140" s="178"/>
      <c r="N4140" s="178">
        <f t="shared" si="142"/>
        <v>31.987199999999998</v>
      </c>
      <c r="O4140" s="178">
        <f t="shared" si="143"/>
        <v>2.2391040000000002</v>
      </c>
      <c r="P4140" s="231"/>
      <c r="Q4140" s="224"/>
    </row>
    <row r="4141" spans="1:19" s="225" customFormat="1" ht="10.5" x14ac:dyDescent="0.25">
      <c r="A4141" s="229"/>
      <c r="B4141" s="230" t="str">
        <f>'BOCA DE LOBO'!N240</f>
        <v>BOCA DE LOBO PROJETADA QUADRUPLA</v>
      </c>
      <c r="C4141" s="177"/>
      <c r="D4141" s="178"/>
      <c r="E4141" s="178">
        <f>4.92+0.5+0.5</f>
        <v>5.92</v>
      </c>
      <c r="F4141" s="178">
        <f t="shared" si="141"/>
        <v>1.68</v>
      </c>
      <c r="G4141" s="178"/>
      <c r="H4141" s="178">
        <v>7.0000000000000007E-2</v>
      </c>
      <c r="I4141" s="178"/>
      <c r="J4141" s="178"/>
      <c r="K4141" s="178">
        <f>'BOCA DE LOBO'!O240</f>
        <v>0</v>
      </c>
      <c r="L4141" s="190"/>
      <c r="M4141" s="178"/>
      <c r="N4141" s="178">
        <f t="shared" ref="N4141" si="144">E4141*F4141*K4141</f>
        <v>0</v>
      </c>
      <c r="O4141" s="178">
        <f t="shared" ref="O4141" si="145">E4141*F4141*H4141*K4141</f>
        <v>0</v>
      </c>
      <c r="P4141" s="231"/>
      <c r="Q4141" s="224"/>
    </row>
    <row r="4142" spans="1:19" s="225" customFormat="1" ht="10.5" x14ac:dyDescent="0.25">
      <c r="A4142" s="229"/>
      <c r="B4142" s="230"/>
      <c r="C4142" s="177"/>
      <c r="D4142" s="178"/>
      <c r="E4142" s="178"/>
      <c r="F4142" s="178"/>
      <c r="G4142" s="178"/>
      <c r="H4142" s="178"/>
      <c r="I4142" s="178"/>
      <c r="J4142" s="178"/>
      <c r="K4142" s="178"/>
      <c r="L4142" s="190"/>
      <c r="M4142" s="178"/>
      <c r="N4142" s="178"/>
      <c r="O4142" s="178"/>
      <c r="P4142" s="231"/>
      <c r="Q4142" s="224"/>
    </row>
    <row r="4143" spans="1:19" s="225" customFormat="1" ht="10.5" x14ac:dyDescent="0.25">
      <c r="A4143" s="229"/>
      <c r="B4143" s="232" t="s">
        <v>5</v>
      </c>
      <c r="C4143" s="182" t="s">
        <v>1328</v>
      </c>
      <c r="D4143" s="182"/>
      <c r="E4143" s="182"/>
      <c r="F4143" s="182"/>
      <c r="G4143" s="182"/>
      <c r="H4143" s="182"/>
      <c r="I4143" s="182"/>
      <c r="J4143" s="182"/>
      <c r="K4143" s="182"/>
      <c r="L4143" s="182"/>
      <c r="M4143" s="182"/>
      <c r="N4143" s="182">
        <f>SUM(N4129:N4142)</f>
        <v>286.05359999999996</v>
      </c>
      <c r="O4143" s="182"/>
      <c r="P4143" s="233"/>
      <c r="Q4143" s="224"/>
    </row>
    <row r="4144" spans="1:19" s="235" customFormat="1" ht="42" x14ac:dyDescent="0.35">
      <c r="A4144" s="226" t="str">
        <f>ORÇAMENTO!A763</f>
        <v>7.1.1.5.2</v>
      </c>
      <c r="B4144" s="227" t="str">
        <f>VLOOKUP(A4144,ORÇAMENTO!A:K,4,0)</f>
        <v>EXECUÇÃO DE PASSEIO (CALÇADA) OU PISO DE CONCRETO COM CONCRETO MOLDADO IN LOCO, FEITO EM OBRA, ACABAMENTO CONVENCIONAL, NÃO ARMADO. AF_08/2022</v>
      </c>
      <c r="C4144" s="173" t="str">
        <f>VLOOKUP(A4144,ORÇAMENTO!A:K,5,0)</f>
        <v>M³</v>
      </c>
      <c r="D4144" s="173">
        <f>SUM(E4160:O4160)</f>
        <v>9.8416500000000031</v>
      </c>
      <c r="E4144" s="173" t="s">
        <v>1718</v>
      </c>
      <c r="F4144" s="173" t="s">
        <v>1719</v>
      </c>
      <c r="G4144" s="173" t="s">
        <v>1720</v>
      </c>
      <c r="H4144" s="173" t="s">
        <v>1721</v>
      </c>
      <c r="I4144" s="173" t="s">
        <v>1722</v>
      </c>
      <c r="J4144" s="173" t="s">
        <v>1723</v>
      </c>
      <c r="K4144" s="173" t="s">
        <v>1758</v>
      </c>
      <c r="L4144" s="173" t="s">
        <v>1753</v>
      </c>
      <c r="M4144" s="173" t="s">
        <v>1750</v>
      </c>
      <c r="N4144" s="173" t="s">
        <v>1727</v>
      </c>
      <c r="O4144" s="173" t="s">
        <v>1728</v>
      </c>
      <c r="P4144" s="224"/>
      <c r="Q4144" s="224"/>
      <c r="R4144" s="224"/>
      <c r="S4144" s="224"/>
    </row>
    <row r="4145" spans="1:17" s="225" customFormat="1" ht="21" x14ac:dyDescent="0.25">
      <c r="A4145" s="229"/>
      <c r="B4145" s="232" t="s">
        <v>1761</v>
      </c>
      <c r="C4145" s="177"/>
      <c r="D4145" s="178"/>
      <c r="E4145" s="178"/>
      <c r="F4145" s="178"/>
      <c r="G4145" s="178"/>
      <c r="H4145" s="178"/>
      <c r="I4145" s="178"/>
      <c r="J4145" s="178"/>
      <c r="K4145" s="178"/>
      <c r="L4145" s="190"/>
      <c r="M4145" s="178"/>
      <c r="N4145" s="178"/>
      <c r="O4145" s="178"/>
      <c r="P4145" s="231"/>
      <c r="Q4145" s="224"/>
    </row>
    <row r="4146" spans="1:17" s="225" customFormat="1" ht="10.5" x14ac:dyDescent="0.25">
      <c r="A4146" s="229"/>
      <c r="B4146" s="232" t="s">
        <v>1762</v>
      </c>
      <c r="C4146" s="177"/>
      <c r="D4146" s="178"/>
      <c r="E4146" s="178"/>
      <c r="F4146" s="178"/>
      <c r="G4146" s="178"/>
      <c r="H4146" s="178"/>
      <c r="I4146" s="178"/>
      <c r="J4146" s="178"/>
      <c r="K4146" s="178"/>
      <c r="L4146" s="190"/>
      <c r="M4146" s="178"/>
      <c r="N4146" s="178"/>
      <c r="O4146" s="177">
        <f>SUM(O4129:O4140)</f>
        <v>20.023752000000002</v>
      </c>
      <c r="P4146" s="231"/>
      <c r="Q4146" s="224"/>
    </row>
    <row r="4147" spans="1:17" s="225" customFormat="1" ht="21" x14ac:dyDescent="0.25">
      <c r="A4147" s="229"/>
      <c r="B4147" s="230" t="str">
        <f t="shared" ref="B4147:B4158" si="146">B4129</f>
        <v>BOCA DE LOBO SIMPLES EXISTENTE COM BOCA DE LOBO DUPLA PROJETADA</v>
      </c>
      <c r="C4147" s="177"/>
      <c r="D4147" s="178"/>
      <c r="E4147" s="178">
        <f>2.38</f>
        <v>2.38</v>
      </c>
      <c r="F4147" s="178">
        <f t="shared" ref="F4147:F4158" si="147">1.18</f>
        <v>1.18</v>
      </c>
      <c r="G4147" s="178"/>
      <c r="H4147" s="178">
        <f t="shared" ref="H4147:H4158" si="148">H4129</f>
        <v>7.0000000000000007E-2</v>
      </c>
      <c r="I4147" s="178"/>
      <c r="J4147" s="178"/>
      <c r="K4147" s="178">
        <f t="shared" ref="K4147:K4158" si="149">K4129</f>
        <v>0</v>
      </c>
      <c r="L4147" s="190"/>
      <c r="M4147" s="178"/>
      <c r="N4147" s="178"/>
      <c r="O4147" s="178">
        <f t="shared" ref="O4147:O4158" si="150">-E4147*F4147*K4147*H4147</f>
        <v>0</v>
      </c>
      <c r="P4147" s="231"/>
      <c r="Q4147" s="224"/>
    </row>
    <row r="4148" spans="1:17" s="225" customFormat="1" ht="21" x14ac:dyDescent="0.25">
      <c r="A4148" s="229"/>
      <c r="B4148" s="230" t="str">
        <f t="shared" si="146"/>
        <v>BOCA DE LOBO SIMPLES EXISTENTE COM BOCA DE LOBO SIMPLES PROJETADA</v>
      </c>
      <c r="C4148" s="177"/>
      <c r="D4148" s="178"/>
      <c r="E4148" s="178">
        <f>1.19</f>
        <v>1.19</v>
      </c>
      <c r="F4148" s="178">
        <f t="shared" si="147"/>
        <v>1.18</v>
      </c>
      <c r="G4148" s="178"/>
      <c r="H4148" s="178">
        <f t="shared" si="148"/>
        <v>7.0000000000000007E-2</v>
      </c>
      <c r="I4148" s="178"/>
      <c r="J4148" s="178"/>
      <c r="K4148" s="178">
        <f t="shared" si="149"/>
        <v>22</v>
      </c>
      <c r="L4148" s="190"/>
      <c r="M4148" s="178"/>
      <c r="N4148" s="178"/>
      <c r="O4148" s="178">
        <f t="shared" si="150"/>
        <v>-2.1624680000000001</v>
      </c>
      <c r="P4148" s="231"/>
      <c r="Q4148" s="224"/>
    </row>
    <row r="4149" spans="1:17" s="225" customFormat="1" ht="21" x14ac:dyDescent="0.25">
      <c r="A4149" s="229"/>
      <c r="B4149" s="230" t="str">
        <f t="shared" si="146"/>
        <v>BOCA DE LOBO SIMPLES EXISTENTE COM BOCA DE LOBO TRIPLA PROJETADA</v>
      </c>
      <c r="C4149" s="177"/>
      <c r="D4149" s="178"/>
      <c r="E4149" s="178">
        <f>3.54</f>
        <v>3.54</v>
      </c>
      <c r="F4149" s="178">
        <f t="shared" si="147"/>
        <v>1.18</v>
      </c>
      <c r="G4149" s="178"/>
      <c r="H4149" s="178">
        <f t="shared" si="148"/>
        <v>7.0000000000000007E-2</v>
      </c>
      <c r="I4149" s="178"/>
      <c r="J4149" s="178"/>
      <c r="K4149" s="178">
        <f t="shared" si="149"/>
        <v>0</v>
      </c>
      <c r="L4149" s="190"/>
      <c r="M4149" s="178"/>
      <c r="N4149" s="178"/>
      <c r="O4149" s="178">
        <f t="shared" si="150"/>
        <v>0</v>
      </c>
      <c r="P4149" s="231"/>
      <c r="Q4149" s="224"/>
    </row>
    <row r="4150" spans="1:17" s="225" customFormat="1" ht="21" x14ac:dyDescent="0.25">
      <c r="A4150" s="229"/>
      <c r="B4150" s="230" t="str">
        <f t="shared" si="146"/>
        <v>BOCA DE LOBO DUPLA EXISTENTE COM BOCA DE LOBO SIMPLES PROJETADA</v>
      </c>
      <c r="C4150" s="177"/>
      <c r="D4150" s="178"/>
      <c r="E4150" s="178">
        <f>1.19</f>
        <v>1.19</v>
      </c>
      <c r="F4150" s="178">
        <f t="shared" si="147"/>
        <v>1.18</v>
      </c>
      <c r="G4150" s="178"/>
      <c r="H4150" s="178">
        <f t="shared" si="148"/>
        <v>7.0000000000000007E-2</v>
      </c>
      <c r="I4150" s="178"/>
      <c r="J4150" s="178"/>
      <c r="K4150" s="178">
        <f t="shared" si="149"/>
        <v>2</v>
      </c>
      <c r="L4150" s="190"/>
      <c r="M4150" s="178"/>
      <c r="N4150" s="178"/>
      <c r="O4150" s="178">
        <f t="shared" si="150"/>
        <v>-0.19658800000000001</v>
      </c>
      <c r="P4150" s="231"/>
      <c r="Q4150" s="224"/>
    </row>
    <row r="4151" spans="1:17" s="225" customFormat="1" ht="21" x14ac:dyDescent="0.25">
      <c r="A4151" s="229"/>
      <c r="B4151" s="230" t="str">
        <f t="shared" si="146"/>
        <v>BOCA DE LOBO DUPLA EXISTENTE COM BOCA DE LOBO DUPLA PROJETADA</v>
      </c>
      <c r="C4151" s="177"/>
      <c r="D4151" s="178"/>
      <c r="E4151" s="178">
        <f>2.38</f>
        <v>2.38</v>
      </c>
      <c r="F4151" s="178">
        <f t="shared" si="147"/>
        <v>1.18</v>
      </c>
      <c r="G4151" s="178"/>
      <c r="H4151" s="178">
        <f t="shared" si="148"/>
        <v>7.0000000000000007E-2</v>
      </c>
      <c r="I4151" s="178"/>
      <c r="J4151" s="178"/>
      <c r="K4151" s="178">
        <f t="shared" si="149"/>
        <v>0</v>
      </c>
      <c r="L4151" s="190"/>
      <c r="M4151" s="178"/>
      <c r="N4151" s="178"/>
      <c r="O4151" s="178">
        <f t="shared" si="150"/>
        <v>0</v>
      </c>
      <c r="P4151" s="231"/>
      <c r="Q4151" s="224"/>
    </row>
    <row r="4152" spans="1:17" s="225" customFormat="1" ht="21" x14ac:dyDescent="0.25">
      <c r="A4152" s="229"/>
      <c r="B4152" s="230" t="str">
        <f t="shared" si="146"/>
        <v>BOCA DE LOBO DUPLA EXISTENTE COM BOCA DE LOBO TRIPLA PROJETADA</v>
      </c>
      <c r="C4152" s="177"/>
      <c r="D4152" s="178"/>
      <c r="E4152" s="178">
        <f>3.54</f>
        <v>3.54</v>
      </c>
      <c r="F4152" s="178">
        <f t="shared" si="147"/>
        <v>1.18</v>
      </c>
      <c r="G4152" s="178"/>
      <c r="H4152" s="178">
        <f t="shared" si="148"/>
        <v>7.0000000000000007E-2</v>
      </c>
      <c r="I4152" s="178"/>
      <c r="J4152" s="178"/>
      <c r="K4152" s="178">
        <f t="shared" si="149"/>
        <v>0</v>
      </c>
      <c r="L4152" s="190"/>
      <c r="M4152" s="178"/>
      <c r="N4152" s="178"/>
      <c r="O4152" s="178">
        <f t="shared" si="150"/>
        <v>0</v>
      </c>
      <c r="P4152" s="231"/>
      <c r="Q4152" s="224"/>
    </row>
    <row r="4153" spans="1:17" s="225" customFormat="1" ht="21" x14ac:dyDescent="0.25">
      <c r="A4153" s="229"/>
      <c r="B4153" s="230" t="str">
        <f t="shared" si="146"/>
        <v>BOCA DE LOBO TRIPLA EXISTENTE COM BOCA DE LOBO SIMPLES PROJETADA</v>
      </c>
      <c r="C4153" s="177"/>
      <c r="D4153" s="178"/>
      <c r="E4153" s="178">
        <f>1.19</f>
        <v>1.19</v>
      </c>
      <c r="F4153" s="178">
        <f t="shared" si="147"/>
        <v>1.18</v>
      </c>
      <c r="G4153" s="178"/>
      <c r="H4153" s="178">
        <f t="shared" si="148"/>
        <v>7.0000000000000007E-2</v>
      </c>
      <c r="I4153" s="178"/>
      <c r="J4153" s="178"/>
      <c r="K4153" s="178">
        <f t="shared" si="149"/>
        <v>0</v>
      </c>
      <c r="L4153" s="190"/>
      <c r="M4153" s="178"/>
      <c r="N4153" s="178"/>
      <c r="O4153" s="178">
        <f t="shared" si="150"/>
        <v>0</v>
      </c>
      <c r="P4153" s="231"/>
      <c r="Q4153" s="224"/>
    </row>
    <row r="4154" spans="1:17" s="225" customFormat="1" ht="21" x14ac:dyDescent="0.25">
      <c r="A4154" s="229"/>
      <c r="B4154" s="230" t="str">
        <f t="shared" si="146"/>
        <v>BOCA DE LOBO TRIPLA EXISTENTE COM BOCA DE LOBO DUPLA PROJETADA</v>
      </c>
      <c r="C4154" s="177"/>
      <c r="D4154" s="178"/>
      <c r="E4154" s="178">
        <f>2.38</f>
        <v>2.38</v>
      </c>
      <c r="F4154" s="178">
        <f t="shared" si="147"/>
        <v>1.18</v>
      </c>
      <c r="G4154" s="178"/>
      <c r="H4154" s="178">
        <f t="shared" si="148"/>
        <v>7.0000000000000007E-2</v>
      </c>
      <c r="I4154" s="178"/>
      <c r="J4154" s="178"/>
      <c r="K4154" s="178">
        <f t="shared" si="149"/>
        <v>0</v>
      </c>
      <c r="L4154" s="190"/>
      <c r="M4154" s="178"/>
      <c r="N4154" s="178"/>
      <c r="O4154" s="178">
        <f t="shared" si="150"/>
        <v>0</v>
      </c>
      <c r="P4154" s="231"/>
      <c r="Q4154" s="224"/>
    </row>
    <row r="4155" spans="1:17" s="225" customFormat="1" ht="21" x14ac:dyDescent="0.25">
      <c r="A4155" s="229"/>
      <c r="B4155" s="230" t="str">
        <f t="shared" si="146"/>
        <v>BOCA DE LOBO TRIPLA EXISTENTE COM BOCA DE LOBO TRIPLA PROJETADA</v>
      </c>
      <c r="C4155" s="177"/>
      <c r="D4155" s="178"/>
      <c r="E4155" s="178">
        <f>3.54</f>
        <v>3.54</v>
      </c>
      <c r="F4155" s="178">
        <f t="shared" si="147"/>
        <v>1.18</v>
      </c>
      <c r="G4155" s="178"/>
      <c r="H4155" s="178">
        <f t="shared" si="148"/>
        <v>7.0000000000000007E-2</v>
      </c>
      <c r="I4155" s="178"/>
      <c r="J4155" s="178"/>
      <c r="K4155" s="178">
        <f t="shared" si="149"/>
        <v>0</v>
      </c>
      <c r="L4155" s="190"/>
      <c r="M4155" s="178"/>
      <c r="N4155" s="178"/>
      <c r="O4155" s="178">
        <f t="shared" si="150"/>
        <v>0</v>
      </c>
      <c r="P4155" s="231"/>
      <c r="Q4155" s="224"/>
    </row>
    <row r="4156" spans="1:17" s="225" customFormat="1" ht="10.5" x14ac:dyDescent="0.25">
      <c r="A4156" s="229"/>
      <c r="B4156" s="230" t="str">
        <f t="shared" si="146"/>
        <v>BOCA DE LOBO PROJETADA SIMPLES</v>
      </c>
      <c r="C4156" s="177"/>
      <c r="D4156" s="178"/>
      <c r="E4156" s="178">
        <f>1.38</f>
        <v>1.38</v>
      </c>
      <c r="F4156" s="178">
        <f t="shared" si="147"/>
        <v>1.18</v>
      </c>
      <c r="G4156" s="178"/>
      <c r="H4156" s="178">
        <f t="shared" si="148"/>
        <v>7.0000000000000007E-2</v>
      </c>
      <c r="I4156" s="178"/>
      <c r="J4156" s="178"/>
      <c r="K4156" s="178">
        <f t="shared" si="149"/>
        <v>0</v>
      </c>
      <c r="L4156" s="190"/>
      <c r="M4156" s="178"/>
      <c r="N4156" s="178"/>
      <c r="O4156" s="178">
        <f t="shared" si="150"/>
        <v>0</v>
      </c>
      <c r="P4156" s="231"/>
      <c r="Q4156" s="224"/>
    </row>
    <row r="4157" spans="1:17" s="225" customFormat="1" ht="10.5" x14ac:dyDescent="0.25">
      <c r="A4157" s="229"/>
      <c r="B4157" s="230" t="str">
        <f t="shared" si="146"/>
        <v>BOCA DE LOBO PROJETADA DUPLA</v>
      </c>
      <c r="C4157" s="177"/>
      <c r="D4157" s="178"/>
      <c r="E4157" s="178">
        <f>2.57</f>
        <v>2.57</v>
      </c>
      <c r="F4157" s="178">
        <f t="shared" si="147"/>
        <v>1.18</v>
      </c>
      <c r="G4157" s="178"/>
      <c r="H4157" s="178">
        <f t="shared" si="148"/>
        <v>7.0000000000000007E-2</v>
      </c>
      <c r="I4157" s="178"/>
      <c r="J4157" s="178"/>
      <c r="K4157" s="178">
        <f t="shared" si="149"/>
        <v>31</v>
      </c>
      <c r="L4157" s="190"/>
      <c r="M4157" s="178"/>
      <c r="N4157" s="178"/>
      <c r="O4157" s="178">
        <f t="shared" si="150"/>
        <v>-6.580741999999999</v>
      </c>
      <c r="P4157" s="231"/>
      <c r="Q4157" s="224"/>
    </row>
    <row r="4158" spans="1:17" s="225" customFormat="1" ht="10.5" x14ac:dyDescent="0.25">
      <c r="A4158" s="229"/>
      <c r="B4158" s="230" t="str">
        <f t="shared" si="146"/>
        <v>BOCA DE LOBO PROJETADA TRIPLA</v>
      </c>
      <c r="C4158" s="177"/>
      <c r="D4158" s="178"/>
      <c r="E4158" s="178">
        <f>3.76</f>
        <v>3.76</v>
      </c>
      <c r="F4158" s="178">
        <f t="shared" si="147"/>
        <v>1.18</v>
      </c>
      <c r="G4158" s="178"/>
      <c r="H4158" s="178">
        <f t="shared" si="148"/>
        <v>7.0000000000000007E-2</v>
      </c>
      <c r="I4158" s="178"/>
      <c r="J4158" s="178"/>
      <c r="K4158" s="178">
        <f t="shared" si="149"/>
        <v>4</v>
      </c>
      <c r="L4158" s="190"/>
      <c r="M4158" s="178"/>
      <c r="N4158" s="178"/>
      <c r="O4158" s="178">
        <f t="shared" si="150"/>
        <v>-1.2423040000000001</v>
      </c>
      <c r="P4158" s="231"/>
      <c r="Q4158" s="224"/>
    </row>
    <row r="4159" spans="1:17" s="225" customFormat="1" ht="10.5" x14ac:dyDescent="0.25">
      <c r="A4159" s="229"/>
      <c r="B4159" s="230"/>
      <c r="C4159" s="177"/>
      <c r="D4159" s="178"/>
      <c r="E4159" s="178"/>
      <c r="F4159" s="178"/>
      <c r="G4159" s="178"/>
      <c r="H4159" s="178"/>
      <c r="I4159" s="178"/>
      <c r="J4159" s="178"/>
      <c r="K4159" s="178"/>
      <c r="L4159" s="190"/>
      <c r="M4159" s="178"/>
      <c r="N4159" s="178"/>
      <c r="O4159" s="178"/>
      <c r="P4159" s="231"/>
      <c r="Q4159" s="224"/>
    </row>
    <row r="4160" spans="1:17" s="225" customFormat="1" ht="10.5" x14ac:dyDescent="0.25">
      <c r="A4160" s="229"/>
      <c r="B4160" s="232" t="s">
        <v>5</v>
      </c>
      <c r="C4160" s="182" t="s">
        <v>1328</v>
      </c>
      <c r="D4160" s="182"/>
      <c r="E4160" s="182"/>
      <c r="F4160" s="182"/>
      <c r="G4160" s="182"/>
      <c r="H4160" s="182"/>
      <c r="I4160" s="182"/>
      <c r="J4160" s="182"/>
      <c r="K4160" s="182"/>
      <c r="L4160" s="182"/>
      <c r="M4160" s="182"/>
      <c r="N4160" s="182"/>
      <c r="O4160" s="182">
        <f>SUM(O4146:O4158)</f>
        <v>9.8416500000000031</v>
      </c>
      <c r="P4160" s="233"/>
      <c r="Q4160" s="224"/>
    </row>
    <row r="4161" spans="1:19" s="235" customFormat="1" ht="21" x14ac:dyDescent="0.35">
      <c r="A4161" s="226" t="str">
        <f>ORÇAMENTO!A764</f>
        <v>7.1.1.5.3</v>
      </c>
      <c r="B4161" s="227" t="str">
        <f>VLOOKUP(A4161,ORÇAMENTO!A:K,4,0)</f>
        <v>RETIRADA MEIO-FIO EM CONCRETO</v>
      </c>
      <c r="C4161" s="173" t="str">
        <f>VLOOKUP(A4161,ORÇAMENTO!A:K,5,0)</f>
        <v>M</v>
      </c>
      <c r="D4161" s="173">
        <f>SUM(E4176:O4176)</f>
        <v>170.27</v>
      </c>
      <c r="E4161" s="173" t="s">
        <v>1718</v>
      </c>
      <c r="F4161" s="173" t="s">
        <v>1719</v>
      </c>
      <c r="G4161" s="173" t="s">
        <v>1720</v>
      </c>
      <c r="H4161" s="173" t="s">
        <v>1721</v>
      </c>
      <c r="I4161" s="173" t="s">
        <v>1722</v>
      </c>
      <c r="J4161" s="173" t="s">
        <v>1723</v>
      </c>
      <c r="K4161" s="173" t="s">
        <v>1758</v>
      </c>
      <c r="L4161" s="173" t="s">
        <v>1753</v>
      </c>
      <c r="M4161" s="173" t="s">
        <v>1750</v>
      </c>
      <c r="N4161" s="173" t="s">
        <v>1727</v>
      </c>
      <c r="O4161" s="173" t="s">
        <v>1728</v>
      </c>
      <c r="P4161" s="224"/>
      <c r="Q4161" s="224"/>
      <c r="R4161" s="224"/>
      <c r="S4161" s="224"/>
    </row>
    <row r="4162" spans="1:19" s="225" customFormat="1" ht="10.5" x14ac:dyDescent="0.25">
      <c r="A4162" s="229"/>
      <c r="B4162" s="232"/>
      <c r="C4162" s="177"/>
      <c r="D4162" s="178"/>
      <c r="E4162" s="178"/>
      <c r="F4162" s="178"/>
      <c r="G4162" s="178"/>
      <c r="H4162" s="178"/>
      <c r="I4162" s="178"/>
      <c r="J4162" s="178"/>
      <c r="K4162" s="178"/>
      <c r="L4162" s="190"/>
      <c r="M4162" s="178"/>
      <c r="N4162" s="178"/>
      <c r="O4162" s="178"/>
      <c r="P4162" s="231"/>
      <c r="Q4162" s="224"/>
    </row>
    <row r="4163" spans="1:19" s="225" customFormat="1" ht="21" x14ac:dyDescent="0.25">
      <c r="A4163" s="229"/>
      <c r="B4163" s="230" t="str">
        <f t="shared" ref="B4163:B4174" si="151">B4129</f>
        <v>BOCA DE LOBO SIMPLES EXISTENTE COM BOCA DE LOBO DUPLA PROJETADA</v>
      </c>
      <c r="C4163" s="177"/>
      <c r="D4163" s="178"/>
      <c r="E4163" s="178">
        <f t="shared" ref="E4163:E4174" si="152">E4129</f>
        <v>2.88</v>
      </c>
      <c r="F4163" s="178"/>
      <c r="G4163" s="178"/>
      <c r="H4163" s="178"/>
      <c r="I4163" s="178"/>
      <c r="J4163" s="178"/>
      <c r="K4163" s="178">
        <f t="shared" ref="K4163:K4174" si="153">K4129</f>
        <v>0</v>
      </c>
      <c r="L4163" s="190"/>
      <c r="M4163" s="178"/>
      <c r="N4163" s="178"/>
      <c r="O4163" s="178"/>
      <c r="P4163" s="231"/>
      <c r="Q4163" s="224"/>
    </row>
    <row r="4164" spans="1:19" s="225" customFormat="1" ht="21" x14ac:dyDescent="0.25">
      <c r="A4164" s="229"/>
      <c r="B4164" s="230" t="str">
        <f t="shared" si="151"/>
        <v>BOCA DE LOBO SIMPLES EXISTENTE COM BOCA DE LOBO SIMPLES PROJETADA</v>
      </c>
      <c r="C4164" s="177"/>
      <c r="D4164" s="178"/>
      <c r="E4164" s="178">
        <f t="shared" si="152"/>
        <v>1.69</v>
      </c>
      <c r="F4164" s="178"/>
      <c r="G4164" s="178"/>
      <c r="H4164" s="178"/>
      <c r="I4164" s="178"/>
      <c r="J4164" s="178"/>
      <c r="K4164" s="178">
        <f t="shared" si="153"/>
        <v>22</v>
      </c>
      <c r="L4164" s="190"/>
      <c r="M4164" s="178"/>
      <c r="N4164" s="178"/>
      <c r="O4164" s="178"/>
      <c r="P4164" s="231"/>
      <c r="Q4164" s="224"/>
    </row>
    <row r="4165" spans="1:19" s="225" customFormat="1" ht="21" x14ac:dyDescent="0.25">
      <c r="A4165" s="229"/>
      <c r="B4165" s="230" t="str">
        <f t="shared" si="151"/>
        <v>BOCA DE LOBO SIMPLES EXISTENTE COM BOCA DE LOBO TRIPLA PROJETADA</v>
      </c>
      <c r="C4165" s="177"/>
      <c r="D4165" s="178"/>
      <c r="E4165" s="178">
        <f t="shared" si="152"/>
        <v>4.04</v>
      </c>
      <c r="F4165" s="178"/>
      <c r="G4165" s="178"/>
      <c r="H4165" s="178"/>
      <c r="I4165" s="178"/>
      <c r="J4165" s="178"/>
      <c r="K4165" s="178">
        <f t="shared" si="153"/>
        <v>0</v>
      </c>
      <c r="L4165" s="190"/>
      <c r="M4165" s="178"/>
      <c r="N4165" s="178"/>
      <c r="O4165" s="178"/>
      <c r="P4165" s="231"/>
      <c r="Q4165" s="224"/>
    </row>
    <row r="4166" spans="1:19" s="225" customFormat="1" ht="21" x14ac:dyDescent="0.25">
      <c r="A4166" s="229"/>
      <c r="B4166" s="230" t="str">
        <f t="shared" si="151"/>
        <v>BOCA DE LOBO DUPLA EXISTENTE COM BOCA DE LOBO SIMPLES PROJETADA</v>
      </c>
      <c r="C4166" s="177"/>
      <c r="D4166" s="178"/>
      <c r="E4166" s="178">
        <f t="shared" si="152"/>
        <v>1.69</v>
      </c>
      <c r="F4166" s="178"/>
      <c r="G4166" s="178"/>
      <c r="H4166" s="178"/>
      <c r="I4166" s="178"/>
      <c r="J4166" s="178"/>
      <c r="K4166" s="178">
        <f t="shared" si="153"/>
        <v>2</v>
      </c>
      <c r="L4166" s="190"/>
      <c r="M4166" s="178"/>
      <c r="N4166" s="178"/>
      <c r="O4166" s="178"/>
      <c r="P4166" s="231"/>
      <c r="Q4166" s="224"/>
    </row>
    <row r="4167" spans="1:19" s="225" customFormat="1" ht="21" x14ac:dyDescent="0.25">
      <c r="A4167" s="229"/>
      <c r="B4167" s="230" t="str">
        <f t="shared" si="151"/>
        <v>BOCA DE LOBO DUPLA EXISTENTE COM BOCA DE LOBO DUPLA PROJETADA</v>
      </c>
      <c r="C4167" s="177"/>
      <c r="D4167" s="178"/>
      <c r="E4167" s="178">
        <f t="shared" si="152"/>
        <v>2.88</v>
      </c>
      <c r="F4167" s="178"/>
      <c r="G4167" s="178"/>
      <c r="H4167" s="178"/>
      <c r="I4167" s="178"/>
      <c r="J4167" s="178"/>
      <c r="K4167" s="178">
        <f t="shared" si="153"/>
        <v>0</v>
      </c>
      <c r="L4167" s="190"/>
      <c r="M4167" s="178"/>
      <c r="N4167" s="178"/>
      <c r="O4167" s="178"/>
      <c r="P4167" s="231"/>
      <c r="Q4167" s="224"/>
    </row>
    <row r="4168" spans="1:19" s="225" customFormat="1" ht="21" x14ac:dyDescent="0.25">
      <c r="A4168" s="229"/>
      <c r="B4168" s="230" t="str">
        <f t="shared" si="151"/>
        <v>BOCA DE LOBO DUPLA EXISTENTE COM BOCA DE LOBO TRIPLA PROJETADA</v>
      </c>
      <c r="C4168" s="177"/>
      <c r="D4168" s="178"/>
      <c r="E4168" s="178">
        <f t="shared" si="152"/>
        <v>4.04</v>
      </c>
      <c r="F4168" s="178"/>
      <c r="G4168" s="178"/>
      <c r="H4168" s="178"/>
      <c r="I4168" s="178"/>
      <c r="J4168" s="178"/>
      <c r="K4168" s="178">
        <f t="shared" si="153"/>
        <v>0</v>
      </c>
      <c r="L4168" s="190"/>
      <c r="M4168" s="178"/>
      <c r="N4168" s="178"/>
      <c r="O4168" s="178"/>
      <c r="P4168" s="231"/>
      <c r="Q4168" s="224"/>
    </row>
    <row r="4169" spans="1:19" s="225" customFormat="1" ht="21" x14ac:dyDescent="0.25">
      <c r="A4169" s="229"/>
      <c r="B4169" s="230" t="str">
        <f t="shared" si="151"/>
        <v>BOCA DE LOBO TRIPLA EXISTENTE COM BOCA DE LOBO SIMPLES PROJETADA</v>
      </c>
      <c r="C4169" s="177"/>
      <c r="D4169" s="178"/>
      <c r="E4169" s="178">
        <f t="shared" si="152"/>
        <v>1.69</v>
      </c>
      <c r="F4169" s="178"/>
      <c r="G4169" s="178"/>
      <c r="H4169" s="178"/>
      <c r="I4169" s="178"/>
      <c r="J4169" s="178"/>
      <c r="K4169" s="178">
        <f t="shared" si="153"/>
        <v>0</v>
      </c>
      <c r="L4169" s="190"/>
      <c r="M4169" s="178"/>
      <c r="N4169" s="178"/>
      <c r="O4169" s="178"/>
      <c r="P4169" s="231"/>
      <c r="Q4169" s="224"/>
    </row>
    <row r="4170" spans="1:19" s="225" customFormat="1" ht="21" x14ac:dyDescent="0.25">
      <c r="A4170" s="229"/>
      <c r="B4170" s="230" t="str">
        <f t="shared" si="151"/>
        <v>BOCA DE LOBO TRIPLA EXISTENTE COM BOCA DE LOBO DUPLA PROJETADA</v>
      </c>
      <c r="C4170" s="177"/>
      <c r="D4170" s="178"/>
      <c r="E4170" s="178">
        <f t="shared" si="152"/>
        <v>2.88</v>
      </c>
      <c r="F4170" s="178"/>
      <c r="G4170" s="178"/>
      <c r="H4170" s="178"/>
      <c r="I4170" s="178"/>
      <c r="J4170" s="178"/>
      <c r="K4170" s="178">
        <f t="shared" si="153"/>
        <v>0</v>
      </c>
      <c r="L4170" s="190"/>
      <c r="M4170" s="178"/>
      <c r="N4170" s="178"/>
      <c r="O4170" s="178"/>
      <c r="P4170" s="231"/>
      <c r="Q4170" s="224"/>
    </row>
    <row r="4171" spans="1:19" s="225" customFormat="1" ht="21" x14ac:dyDescent="0.25">
      <c r="A4171" s="229"/>
      <c r="B4171" s="230" t="str">
        <f t="shared" si="151"/>
        <v>BOCA DE LOBO TRIPLA EXISTENTE COM BOCA DE LOBO TRIPLA PROJETADA</v>
      </c>
      <c r="C4171" s="177"/>
      <c r="D4171" s="178"/>
      <c r="E4171" s="178">
        <f t="shared" si="152"/>
        <v>4.04</v>
      </c>
      <c r="F4171" s="178"/>
      <c r="G4171" s="178"/>
      <c r="H4171" s="178"/>
      <c r="I4171" s="178"/>
      <c r="J4171" s="178"/>
      <c r="K4171" s="178">
        <f t="shared" si="153"/>
        <v>0</v>
      </c>
      <c r="L4171" s="190"/>
      <c r="M4171" s="178"/>
      <c r="N4171" s="178"/>
      <c r="O4171" s="178"/>
      <c r="P4171" s="231"/>
      <c r="Q4171" s="224"/>
    </row>
    <row r="4172" spans="1:19" s="225" customFormat="1" ht="10.5" x14ac:dyDescent="0.25">
      <c r="A4172" s="229"/>
      <c r="B4172" s="230" t="str">
        <f t="shared" si="151"/>
        <v>BOCA DE LOBO PROJETADA SIMPLES</v>
      </c>
      <c r="C4172" s="177"/>
      <c r="D4172" s="178"/>
      <c r="E4172" s="178">
        <f t="shared" si="152"/>
        <v>2.38</v>
      </c>
      <c r="F4172" s="178"/>
      <c r="G4172" s="178"/>
      <c r="H4172" s="178"/>
      <c r="I4172" s="178"/>
      <c r="J4172" s="178"/>
      <c r="K4172" s="178">
        <f t="shared" si="153"/>
        <v>0</v>
      </c>
      <c r="L4172" s="190"/>
      <c r="M4172" s="178"/>
      <c r="N4172" s="178"/>
      <c r="O4172" s="178"/>
      <c r="P4172" s="231"/>
      <c r="Q4172" s="224"/>
    </row>
    <row r="4173" spans="1:19" s="225" customFormat="1" ht="10.5" x14ac:dyDescent="0.25">
      <c r="A4173" s="229"/>
      <c r="B4173" s="230" t="str">
        <f t="shared" si="151"/>
        <v>BOCA DE LOBO PROJETADA DUPLA</v>
      </c>
      <c r="C4173" s="177"/>
      <c r="D4173" s="178"/>
      <c r="E4173" s="178">
        <f t="shared" si="152"/>
        <v>3.57</v>
      </c>
      <c r="F4173" s="178"/>
      <c r="G4173" s="178"/>
      <c r="H4173" s="178"/>
      <c r="I4173" s="178"/>
      <c r="J4173" s="178"/>
      <c r="K4173" s="178">
        <f t="shared" si="153"/>
        <v>31</v>
      </c>
      <c r="L4173" s="190"/>
      <c r="M4173" s="178"/>
      <c r="N4173" s="178"/>
      <c r="O4173" s="178"/>
      <c r="P4173" s="231"/>
      <c r="Q4173" s="224"/>
    </row>
    <row r="4174" spans="1:19" s="225" customFormat="1" ht="10.5" x14ac:dyDescent="0.25">
      <c r="A4174" s="229"/>
      <c r="B4174" s="230" t="str">
        <f t="shared" si="151"/>
        <v>BOCA DE LOBO PROJETADA TRIPLA</v>
      </c>
      <c r="C4174" s="177"/>
      <c r="D4174" s="178"/>
      <c r="E4174" s="178">
        <f t="shared" si="152"/>
        <v>4.76</v>
      </c>
      <c r="F4174" s="178"/>
      <c r="G4174" s="178"/>
      <c r="H4174" s="178"/>
      <c r="I4174" s="178"/>
      <c r="J4174" s="178"/>
      <c r="K4174" s="178">
        <f t="shared" si="153"/>
        <v>4</v>
      </c>
      <c r="L4174" s="190"/>
      <c r="M4174" s="178"/>
      <c r="N4174" s="178"/>
      <c r="O4174" s="178"/>
      <c r="P4174" s="231"/>
      <c r="Q4174" s="224"/>
    </row>
    <row r="4175" spans="1:19" s="225" customFormat="1" ht="10.5" x14ac:dyDescent="0.25">
      <c r="A4175" s="229"/>
      <c r="B4175" s="230"/>
      <c r="C4175" s="177"/>
      <c r="D4175" s="178"/>
      <c r="E4175" s="178"/>
      <c r="F4175" s="178"/>
      <c r="G4175" s="178"/>
      <c r="H4175" s="178"/>
      <c r="I4175" s="178"/>
      <c r="J4175" s="178"/>
      <c r="K4175" s="178"/>
      <c r="L4175" s="190"/>
      <c r="M4175" s="178"/>
      <c r="N4175" s="178"/>
      <c r="O4175" s="178"/>
      <c r="P4175" s="231"/>
      <c r="Q4175" s="224"/>
    </row>
    <row r="4176" spans="1:19" s="225" customFormat="1" ht="10.5" x14ac:dyDescent="0.25">
      <c r="A4176" s="229"/>
      <c r="B4176" s="232" t="s">
        <v>5</v>
      </c>
      <c r="C4176" s="182" t="s">
        <v>1328</v>
      </c>
      <c r="D4176" s="182"/>
      <c r="E4176" s="182">
        <f>SUMPRODUCT(E4163:E4174,K4163:K4174)</f>
        <v>170.27</v>
      </c>
      <c r="F4176" s="182"/>
      <c r="G4176" s="182"/>
      <c r="H4176" s="182"/>
      <c r="I4176" s="182"/>
      <c r="J4176" s="182"/>
      <c r="K4176" s="182"/>
      <c r="L4176" s="182"/>
      <c r="M4176" s="182"/>
      <c r="N4176" s="182"/>
      <c r="O4176" s="182"/>
      <c r="P4176" s="233"/>
      <c r="Q4176" s="224"/>
    </row>
    <row r="4177" spans="1:19" s="235" customFormat="1" ht="21" x14ac:dyDescent="0.35">
      <c r="A4177" s="226" t="str">
        <f>ORÇAMENTO!A765</f>
        <v>7.1.1.5.4</v>
      </c>
      <c r="B4177" s="227" t="str">
        <f>VLOOKUP(A4177,ORÇAMENTO!A:K,4,0)</f>
        <v>RECONSTRUCAO DE MEIO-FIO EM CONCRETO 10CM MOLDADO NO LOCAL</v>
      </c>
      <c r="C4177" s="173" t="str">
        <f>VLOOKUP(A4177,ORÇAMENTO!A:K,5,0)</f>
        <v>M</v>
      </c>
      <c r="D4177" s="173">
        <f>SUM(E4192:O4192)</f>
        <v>47</v>
      </c>
      <c r="E4177" s="173" t="s">
        <v>1718</v>
      </c>
      <c r="F4177" s="173" t="s">
        <v>1719</v>
      </c>
      <c r="G4177" s="173" t="s">
        <v>1720</v>
      </c>
      <c r="H4177" s="173" t="s">
        <v>1721</v>
      </c>
      <c r="I4177" s="173" t="s">
        <v>1722</v>
      </c>
      <c r="J4177" s="173" t="s">
        <v>1723</v>
      </c>
      <c r="K4177" s="173" t="s">
        <v>1758</v>
      </c>
      <c r="L4177" s="173" t="s">
        <v>1753</v>
      </c>
      <c r="M4177" s="173" t="s">
        <v>1750</v>
      </c>
      <c r="N4177" s="173" t="s">
        <v>1727</v>
      </c>
      <c r="O4177" s="173" t="s">
        <v>1728</v>
      </c>
      <c r="P4177" s="224"/>
      <c r="Q4177" s="224"/>
      <c r="R4177" s="224"/>
      <c r="S4177" s="224"/>
    </row>
    <row r="4178" spans="1:19" s="225" customFormat="1" ht="10.5" x14ac:dyDescent="0.25">
      <c r="A4178" s="229"/>
      <c r="B4178" s="230"/>
      <c r="C4178" s="177"/>
      <c r="D4178" s="178"/>
      <c r="E4178" s="178"/>
      <c r="F4178" s="178"/>
      <c r="G4178" s="178"/>
      <c r="H4178" s="178"/>
      <c r="I4178" s="178"/>
      <c r="J4178" s="178"/>
      <c r="K4178" s="178"/>
      <c r="L4178" s="190"/>
      <c r="M4178" s="178"/>
      <c r="N4178" s="178"/>
      <c r="O4178" s="178"/>
      <c r="P4178" s="231"/>
      <c r="Q4178" s="224"/>
    </row>
    <row r="4179" spans="1:19" s="225" customFormat="1" ht="21" x14ac:dyDescent="0.25">
      <c r="A4179" s="229"/>
      <c r="B4179" s="230" t="str">
        <f t="shared" ref="B4179:B4190" si="154">B4163</f>
        <v>BOCA DE LOBO SIMPLES EXISTENTE COM BOCA DE LOBO DUPLA PROJETADA</v>
      </c>
      <c r="C4179" s="177"/>
      <c r="D4179" s="178"/>
      <c r="E4179" s="178">
        <f t="shared" ref="E4179:E4190" si="155">E4163-E4147</f>
        <v>0.5</v>
      </c>
      <c r="F4179" s="178"/>
      <c r="G4179" s="178"/>
      <c r="H4179" s="178"/>
      <c r="I4179" s="178"/>
      <c r="J4179" s="178"/>
      <c r="K4179" s="178">
        <f t="shared" ref="K4179:K4190" si="156">K4163</f>
        <v>0</v>
      </c>
      <c r="L4179" s="190"/>
      <c r="M4179" s="178"/>
      <c r="N4179" s="178"/>
      <c r="O4179" s="178"/>
      <c r="P4179" s="231"/>
      <c r="Q4179" s="224"/>
    </row>
    <row r="4180" spans="1:19" s="225" customFormat="1" ht="21" x14ac:dyDescent="0.25">
      <c r="A4180" s="229"/>
      <c r="B4180" s="230" t="str">
        <f t="shared" si="154"/>
        <v>BOCA DE LOBO SIMPLES EXISTENTE COM BOCA DE LOBO SIMPLES PROJETADA</v>
      </c>
      <c r="C4180" s="177"/>
      <c r="D4180" s="178"/>
      <c r="E4180" s="178">
        <f t="shared" si="155"/>
        <v>0.5</v>
      </c>
      <c r="F4180" s="178"/>
      <c r="G4180" s="178"/>
      <c r="H4180" s="178"/>
      <c r="I4180" s="178"/>
      <c r="J4180" s="178"/>
      <c r="K4180" s="178">
        <f t="shared" si="156"/>
        <v>22</v>
      </c>
      <c r="L4180" s="190"/>
      <c r="M4180" s="178"/>
      <c r="N4180" s="178"/>
      <c r="O4180" s="178"/>
      <c r="P4180" s="231"/>
      <c r="Q4180" s="224"/>
    </row>
    <row r="4181" spans="1:19" s="225" customFormat="1" ht="21" x14ac:dyDescent="0.25">
      <c r="A4181" s="229"/>
      <c r="B4181" s="230" t="str">
        <f t="shared" si="154"/>
        <v>BOCA DE LOBO SIMPLES EXISTENTE COM BOCA DE LOBO TRIPLA PROJETADA</v>
      </c>
      <c r="C4181" s="177"/>
      <c r="D4181" s="178"/>
      <c r="E4181" s="178">
        <f t="shared" si="155"/>
        <v>0.5</v>
      </c>
      <c r="F4181" s="178"/>
      <c r="G4181" s="178"/>
      <c r="H4181" s="178"/>
      <c r="I4181" s="178"/>
      <c r="J4181" s="178"/>
      <c r="K4181" s="178">
        <f t="shared" si="156"/>
        <v>0</v>
      </c>
      <c r="L4181" s="190"/>
      <c r="M4181" s="178"/>
      <c r="N4181" s="178"/>
      <c r="O4181" s="178"/>
      <c r="P4181" s="231"/>
      <c r="Q4181" s="224"/>
    </row>
    <row r="4182" spans="1:19" s="225" customFormat="1" ht="21" x14ac:dyDescent="0.25">
      <c r="A4182" s="229"/>
      <c r="B4182" s="230" t="str">
        <f t="shared" si="154"/>
        <v>BOCA DE LOBO DUPLA EXISTENTE COM BOCA DE LOBO SIMPLES PROJETADA</v>
      </c>
      <c r="C4182" s="177"/>
      <c r="D4182" s="178"/>
      <c r="E4182" s="178">
        <f t="shared" si="155"/>
        <v>0.5</v>
      </c>
      <c r="F4182" s="178"/>
      <c r="G4182" s="178"/>
      <c r="H4182" s="178"/>
      <c r="I4182" s="178"/>
      <c r="J4182" s="178"/>
      <c r="K4182" s="178">
        <f t="shared" si="156"/>
        <v>2</v>
      </c>
      <c r="L4182" s="190"/>
      <c r="M4182" s="178"/>
      <c r="N4182" s="178"/>
      <c r="O4182" s="178"/>
      <c r="P4182" s="231"/>
      <c r="Q4182" s="224"/>
    </row>
    <row r="4183" spans="1:19" s="225" customFormat="1" ht="21" x14ac:dyDescent="0.25">
      <c r="A4183" s="229"/>
      <c r="B4183" s="230" t="str">
        <f t="shared" si="154"/>
        <v>BOCA DE LOBO DUPLA EXISTENTE COM BOCA DE LOBO DUPLA PROJETADA</v>
      </c>
      <c r="C4183" s="177"/>
      <c r="D4183" s="178"/>
      <c r="E4183" s="178">
        <f t="shared" si="155"/>
        <v>0.5</v>
      </c>
      <c r="F4183" s="178"/>
      <c r="G4183" s="178"/>
      <c r="H4183" s="178"/>
      <c r="I4183" s="178"/>
      <c r="J4183" s="178"/>
      <c r="K4183" s="178">
        <f t="shared" si="156"/>
        <v>0</v>
      </c>
      <c r="L4183" s="190"/>
      <c r="M4183" s="178"/>
      <c r="N4183" s="178"/>
      <c r="O4183" s="178"/>
      <c r="P4183" s="231"/>
      <c r="Q4183" s="224"/>
    </row>
    <row r="4184" spans="1:19" s="225" customFormat="1" ht="21" x14ac:dyDescent="0.25">
      <c r="A4184" s="229"/>
      <c r="B4184" s="230" t="str">
        <f t="shared" si="154"/>
        <v>BOCA DE LOBO DUPLA EXISTENTE COM BOCA DE LOBO TRIPLA PROJETADA</v>
      </c>
      <c r="C4184" s="177"/>
      <c r="D4184" s="178"/>
      <c r="E4184" s="178">
        <f t="shared" si="155"/>
        <v>0.5</v>
      </c>
      <c r="F4184" s="178"/>
      <c r="G4184" s="178"/>
      <c r="H4184" s="178"/>
      <c r="I4184" s="178"/>
      <c r="J4184" s="178"/>
      <c r="K4184" s="178">
        <f t="shared" si="156"/>
        <v>0</v>
      </c>
      <c r="L4184" s="190"/>
      <c r="M4184" s="178"/>
      <c r="N4184" s="178"/>
      <c r="O4184" s="178"/>
      <c r="P4184" s="231"/>
      <c r="Q4184" s="224"/>
    </row>
    <row r="4185" spans="1:19" s="225" customFormat="1" ht="21" x14ac:dyDescent="0.25">
      <c r="A4185" s="229"/>
      <c r="B4185" s="230" t="str">
        <f t="shared" si="154"/>
        <v>BOCA DE LOBO TRIPLA EXISTENTE COM BOCA DE LOBO SIMPLES PROJETADA</v>
      </c>
      <c r="C4185" s="177"/>
      <c r="D4185" s="178"/>
      <c r="E4185" s="178">
        <f t="shared" si="155"/>
        <v>0.5</v>
      </c>
      <c r="F4185" s="178"/>
      <c r="G4185" s="178"/>
      <c r="H4185" s="178"/>
      <c r="I4185" s="178"/>
      <c r="J4185" s="178"/>
      <c r="K4185" s="178">
        <f t="shared" si="156"/>
        <v>0</v>
      </c>
      <c r="L4185" s="190"/>
      <c r="M4185" s="178"/>
      <c r="N4185" s="178"/>
      <c r="O4185" s="178"/>
      <c r="P4185" s="231"/>
      <c r="Q4185" s="224"/>
    </row>
    <row r="4186" spans="1:19" s="225" customFormat="1" ht="21" x14ac:dyDescent="0.25">
      <c r="A4186" s="229"/>
      <c r="B4186" s="230" t="str">
        <f t="shared" si="154"/>
        <v>BOCA DE LOBO TRIPLA EXISTENTE COM BOCA DE LOBO DUPLA PROJETADA</v>
      </c>
      <c r="C4186" s="177"/>
      <c r="D4186" s="178"/>
      <c r="E4186" s="178">
        <f t="shared" si="155"/>
        <v>0.5</v>
      </c>
      <c r="F4186" s="178"/>
      <c r="G4186" s="178"/>
      <c r="H4186" s="178"/>
      <c r="I4186" s="178"/>
      <c r="J4186" s="178"/>
      <c r="K4186" s="178">
        <f t="shared" si="156"/>
        <v>0</v>
      </c>
      <c r="L4186" s="190"/>
      <c r="M4186" s="178"/>
      <c r="N4186" s="178"/>
      <c r="O4186" s="178"/>
      <c r="P4186" s="231"/>
      <c r="Q4186" s="224"/>
    </row>
    <row r="4187" spans="1:19" s="225" customFormat="1" ht="21" x14ac:dyDescent="0.25">
      <c r="A4187" s="229"/>
      <c r="B4187" s="230" t="str">
        <f t="shared" si="154"/>
        <v>BOCA DE LOBO TRIPLA EXISTENTE COM BOCA DE LOBO TRIPLA PROJETADA</v>
      </c>
      <c r="C4187" s="177"/>
      <c r="D4187" s="178"/>
      <c r="E4187" s="178">
        <f t="shared" si="155"/>
        <v>0.5</v>
      </c>
      <c r="F4187" s="178"/>
      <c r="G4187" s="178"/>
      <c r="H4187" s="178"/>
      <c r="I4187" s="178"/>
      <c r="J4187" s="178"/>
      <c r="K4187" s="178">
        <f t="shared" si="156"/>
        <v>0</v>
      </c>
      <c r="L4187" s="190"/>
      <c r="M4187" s="178"/>
      <c r="N4187" s="178"/>
      <c r="O4187" s="178"/>
      <c r="P4187" s="231"/>
      <c r="Q4187" s="224"/>
    </row>
    <row r="4188" spans="1:19" s="225" customFormat="1" ht="10.5" x14ac:dyDescent="0.25">
      <c r="A4188" s="229"/>
      <c r="B4188" s="230" t="str">
        <f t="shared" si="154"/>
        <v>BOCA DE LOBO PROJETADA SIMPLES</v>
      </c>
      <c r="C4188" s="177"/>
      <c r="D4188" s="178"/>
      <c r="E4188" s="178">
        <f t="shared" si="155"/>
        <v>1</v>
      </c>
      <c r="F4188" s="178"/>
      <c r="G4188" s="178"/>
      <c r="H4188" s="178"/>
      <c r="I4188" s="178"/>
      <c r="J4188" s="178"/>
      <c r="K4188" s="178">
        <f t="shared" si="156"/>
        <v>0</v>
      </c>
      <c r="L4188" s="190"/>
      <c r="M4188" s="178"/>
      <c r="N4188" s="178"/>
      <c r="O4188" s="178"/>
      <c r="P4188" s="231"/>
      <c r="Q4188" s="224"/>
    </row>
    <row r="4189" spans="1:19" s="225" customFormat="1" ht="10.5" x14ac:dyDescent="0.25">
      <c r="A4189" s="229"/>
      <c r="B4189" s="230" t="str">
        <f t="shared" si="154"/>
        <v>BOCA DE LOBO PROJETADA DUPLA</v>
      </c>
      <c r="C4189" s="177"/>
      <c r="D4189" s="178"/>
      <c r="E4189" s="178">
        <f t="shared" si="155"/>
        <v>1</v>
      </c>
      <c r="F4189" s="178"/>
      <c r="G4189" s="178"/>
      <c r="H4189" s="178"/>
      <c r="I4189" s="178"/>
      <c r="J4189" s="178"/>
      <c r="K4189" s="178">
        <f t="shared" si="156"/>
        <v>31</v>
      </c>
      <c r="L4189" s="190"/>
      <c r="M4189" s="178"/>
      <c r="N4189" s="178"/>
      <c r="O4189" s="178"/>
      <c r="P4189" s="231"/>
      <c r="Q4189" s="224"/>
    </row>
    <row r="4190" spans="1:19" s="225" customFormat="1" ht="10.5" x14ac:dyDescent="0.25">
      <c r="A4190" s="229"/>
      <c r="B4190" s="230" t="str">
        <f t="shared" si="154"/>
        <v>BOCA DE LOBO PROJETADA TRIPLA</v>
      </c>
      <c r="C4190" s="177"/>
      <c r="D4190" s="178"/>
      <c r="E4190" s="178">
        <f t="shared" si="155"/>
        <v>1</v>
      </c>
      <c r="F4190" s="178"/>
      <c r="G4190" s="178"/>
      <c r="H4190" s="178"/>
      <c r="I4190" s="178"/>
      <c r="J4190" s="178"/>
      <c r="K4190" s="178">
        <f t="shared" si="156"/>
        <v>4</v>
      </c>
      <c r="L4190" s="190"/>
      <c r="M4190" s="178"/>
      <c r="N4190" s="178"/>
      <c r="O4190" s="178"/>
      <c r="P4190" s="231"/>
      <c r="Q4190" s="224"/>
    </row>
    <row r="4191" spans="1:19" s="225" customFormat="1" ht="10.5" x14ac:dyDescent="0.25">
      <c r="A4191" s="229"/>
      <c r="B4191" s="230"/>
      <c r="C4191" s="177"/>
      <c r="D4191" s="178"/>
      <c r="E4191" s="178"/>
      <c r="F4191" s="178"/>
      <c r="G4191" s="178"/>
      <c r="H4191" s="178"/>
      <c r="I4191" s="178"/>
      <c r="J4191" s="178"/>
      <c r="K4191" s="178"/>
      <c r="L4191" s="190"/>
      <c r="M4191" s="178"/>
      <c r="N4191" s="178"/>
      <c r="O4191" s="178"/>
      <c r="P4191" s="231"/>
      <c r="Q4191" s="224"/>
    </row>
    <row r="4192" spans="1:19" s="225" customFormat="1" ht="10.5" x14ac:dyDescent="0.25">
      <c r="A4192" s="229"/>
      <c r="B4192" s="232" t="s">
        <v>5</v>
      </c>
      <c r="C4192" s="182" t="s">
        <v>1328</v>
      </c>
      <c r="D4192" s="182"/>
      <c r="E4192" s="182">
        <f>SUMPRODUCT(E4179:E4191,K4179:K4191)</f>
        <v>47</v>
      </c>
      <c r="F4192" s="182"/>
      <c r="G4192" s="182"/>
      <c r="H4192" s="182"/>
      <c r="I4192" s="182"/>
      <c r="J4192" s="182"/>
      <c r="K4192" s="182"/>
      <c r="L4192" s="182"/>
      <c r="M4192" s="182"/>
      <c r="N4192" s="182"/>
      <c r="O4192" s="182"/>
      <c r="P4192" s="233"/>
      <c r="Q4192" s="224"/>
    </row>
    <row r="4193" spans="1:19" s="235" customFormat="1" ht="52.5" x14ac:dyDescent="0.35">
      <c r="A4193" s="226" t="str">
        <f>ORÇAMENTO!A766</f>
        <v>7.1.1.5.5</v>
      </c>
      <c r="B4193" s="227" t="str">
        <f>VLOOKUP(A4193,ORÇAMENTO!A:K,4,0)</f>
        <v>CARGA, MANOBRA E DESCARGA DE ENTULHO EM CAMINHÃO BASCULANTE 14 M³ - CARGA COM ESCAVADEIRA HIDRÁULICA  (CAÇAMBA DE 0,80 M³ / 111 HP) E DESCARGA LIVRE (UNIDADE: M3). AF_07/2020</v>
      </c>
      <c r="C4193" s="173" t="str">
        <f>VLOOKUP(A4193,ORÇAMENTO!A:K,5,0)</f>
        <v>M³</v>
      </c>
      <c r="D4193" s="173">
        <f>SUM(E4198:O4198)</f>
        <v>22.577802000000002</v>
      </c>
      <c r="E4193" s="173" t="s">
        <v>1718</v>
      </c>
      <c r="F4193" s="173" t="s">
        <v>1719</v>
      </c>
      <c r="G4193" s="173" t="s">
        <v>1720</v>
      </c>
      <c r="H4193" s="173" t="s">
        <v>1721</v>
      </c>
      <c r="I4193" s="173" t="s">
        <v>1722</v>
      </c>
      <c r="J4193" s="173" t="s">
        <v>1723</v>
      </c>
      <c r="K4193" s="173" t="s">
        <v>1758</v>
      </c>
      <c r="L4193" s="173" t="s">
        <v>1753</v>
      </c>
      <c r="M4193" s="173" t="s">
        <v>1750</v>
      </c>
      <c r="N4193" s="173" t="s">
        <v>1727</v>
      </c>
      <c r="O4193" s="173" t="s">
        <v>1728</v>
      </c>
      <c r="P4193" s="224"/>
      <c r="Q4193" s="224"/>
      <c r="R4193" s="224"/>
      <c r="S4193" s="224"/>
    </row>
    <row r="4194" spans="1:19" s="225" customFormat="1" ht="10.5" x14ac:dyDescent="0.25">
      <c r="A4194" s="229"/>
      <c r="B4194" s="230"/>
      <c r="C4194" s="177"/>
      <c r="D4194" s="178"/>
      <c r="E4194" s="178"/>
      <c r="F4194" s="178"/>
      <c r="G4194" s="178"/>
      <c r="H4194" s="178"/>
      <c r="I4194" s="178"/>
      <c r="J4194" s="178"/>
      <c r="K4194" s="178"/>
      <c r="L4194" s="190"/>
      <c r="M4194" s="178"/>
      <c r="N4194" s="178"/>
      <c r="O4194" s="178"/>
      <c r="P4194" s="231"/>
      <c r="Q4194" s="224"/>
    </row>
    <row r="4195" spans="1:19" s="225" customFormat="1" ht="10.5" x14ac:dyDescent="0.25">
      <c r="A4195" s="229"/>
      <c r="B4195" s="230" t="s">
        <v>1762</v>
      </c>
      <c r="C4195" s="177"/>
      <c r="D4195" s="178"/>
      <c r="E4195" s="178"/>
      <c r="F4195" s="178"/>
      <c r="G4195" s="178"/>
      <c r="H4195" s="178"/>
      <c r="I4195" s="178"/>
      <c r="J4195" s="178"/>
      <c r="K4195" s="178"/>
      <c r="L4195" s="190"/>
      <c r="M4195" s="178"/>
      <c r="N4195" s="178"/>
      <c r="O4195" s="178">
        <f>O4146</f>
        <v>20.023752000000002</v>
      </c>
      <c r="P4195" s="231"/>
      <c r="Q4195" s="224"/>
    </row>
    <row r="4196" spans="1:19" s="225" customFormat="1" ht="10.5" x14ac:dyDescent="0.25">
      <c r="A4196" s="229"/>
      <c r="B4196" s="230" t="s">
        <v>1763</v>
      </c>
      <c r="C4196" s="177"/>
      <c r="D4196" s="178"/>
      <c r="E4196" s="178">
        <f>E4176</f>
        <v>170.27</v>
      </c>
      <c r="F4196" s="178">
        <v>0.1</v>
      </c>
      <c r="G4196" s="178"/>
      <c r="H4196" s="178">
        <v>0.15</v>
      </c>
      <c r="I4196" s="178"/>
      <c r="J4196" s="178"/>
      <c r="K4196" s="178"/>
      <c r="L4196" s="190"/>
      <c r="M4196" s="178"/>
      <c r="N4196" s="178"/>
      <c r="O4196" s="178">
        <f>E4196*F4196*H4196</f>
        <v>2.5540500000000002</v>
      </c>
      <c r="P4196" s="231"/>
      <c r="Q4196" s="224"/>
    </row>
    <row r="4197" spans="1:19" s="225" customFormat="1" ht="10.5" x14ac:dyDescent="0.25">
      <c r="A4197" s="229"/>
      <c r="B4197" s="230"/>
      <c r="C4197" s="177"/>
      <c r="D4197" s="178"/>
      <c r="E4197" s="178"/>
      <c r="F4197" s="178"/>
      <c r="G4197" s="178"/>
      <c r="H4197" s="178"/>
      <c r="I4197" s="178"/>
      <c r="J4197" s="178"/>
      <c r="K4197" s="178"/>
      <c r="L4197" s="190"/>
      <c r="M4197" s="178"/>
      <c r="N4197" s="178"/>
      <c r="O4197" s="178"/>
      <c r="P4197" s="231"/>
      <c r="Q4197" s="224"/>
    </row>
    <row r="4198" spans="1:19" s="225" customFormat="1" ht="10.5" x14ac:dyDescent="0.25">
      <c r="A4198" s="229"/>
      <c r="B4198" s="232" t="s">
        <v>5</v>
      </c>
      <c r="C4198" s="182" t="s">
        <v>1328</v>
      </c>
      <c r="D4198" s="182"/>
      <c r="E4198" s="182"/>
      <c r="F4198" s="182"/>
      <c r="G4198" s="182"/>
      <c r="H4198" s="182"/>
      <c r="I4198" s="182"/>
      <c r="J4198" s="182"/>
      <c r="K4198" s="182"/>
      <c r="L4198" s="182"/>
      <c r="M4198" s="182"/>
      <c r="N4198" s="182"/>
      <c r="O4198" s="182">
        <f>SUM(O4195:O4197)</f>
        <v>22.577802000000002</v>
      </c>
      <c r="P4198" s="233"/>
      <c r="Q4198" s="224"/>
    </row>
    <row r="4199" spans="1:19" s="235" customFormat="1" ht="31.5" x14ac:dyDescent="0.35">
      <c r="A4199" s="226" t="str">
        <f>ORÇAMENTO!A767</f>
        <v>7.1.1.5.6</v>
      </c>
      <c r="B4199" s="227" t="str">
        <f>VLOOKUP(A4199,ORÇAMENTO!A:K,4,0)</f>
        <v>TRANSPORTE COM CAMINHÃO BASCULANTE DE 14 M³, EM VIA URBANA PAVIMENTADA, DMT ATÉ 30 KM (UNIDADE: M3XKM). AF_07/2020</v>
      </c>
      <c r="C4199" s="173" t="str">
        <f>VLOOKUP(A4199,ORÇAMENTO!A:K,5,0)</f>
        <v>M3XKM</v>
      </c>
      <c r="D4199" s="173">
        <f>SUM(E4203:O4203)</f>
        <v>677.33406000000002</v>
      </c>
      <c r="E4199" s="173" t="s">
        <v>1718</v>
      </c>
      <c r="F4199" s="173" t="s">
        <v>1719</v>
      </c>
      <c r="G4199" s="173" t="s">
        <v>1720</v>
      </c>
      <c r="H4199" s="173" t="s">
        <v>1721</v>
      </c>
      <c r="I4199" s="173" t="s">
        <v>1722</v>
      </c>
      <c r="J4199" s="173" t="s">
        <v>1723</v>
      </c>
      <c r="K4199" s="173" t="s">
        <v>1758</v>
      </c>
      <c r="L4199" s="173" t="s">
        <v>1753</v>
      </c>
      <c r="M4199" s="173" t="s">
        <v>1750</v>
      </c>
      <c r="N4199" s="173" t="s">
        <v>1727</v>
      </c>
      <c r="O4199" s="173" t="s">
        <v>1728</v>
      </c>
      <c r="P4199" s="224"/>
      <c r="Q4199" s="224"/>
      <c r="R4199" s="224"/>
      <c r="S4199" s="224"/>
    </row>
    <row r="4200" spans="1:19" s="225" customFormat="1" ht="10.5" x14ac:dyDescent="0.25">
      <c r="A4200" s="229"/>
      <c r="B4200" s="230"/>
      <c r="C4200" s="177"/>
      <c r="D4200" s="178"/>
      <c r="E4200" s="178"/>
      <c r="F4200" s="178"/>
      <c r="G4200" s="178"/>
      <c r="H4200" s="178"/>
      <c r="I4200" s="178"/>
      <c r="J4200" s="178"/>
      <c r="K4200" s="178"/>
      <c r="L4200" s="190"/>
      <c r="M4200" s="178"/>
      <c r="N4200" s="178"/>
      <c r="O4200" s="178"/>
      <c r="P4200" s="231"/>
      <c r="Q4200" s="224"/>
    </row>
    <row r="4201" spans="1:19" s="225" customFormat="1" ht="10.5" x14ac:dyDescent="0.25">
      <c r="A4201" s="229"/>
      <c r="B4201" s="230" t="s">
        <v>1751</v>
      </c>
      <c r="C4201" s="184"/>
      <c r="D4201" s="185"/>
      <c r="E4201" s="185">
        <v>30</v>
      </c>
      <c r="F4201" s="178"/>
      <c r="G4201" s="178"/>
      <c r="H4201" s="178"/>
      <c r="I4201" s="178"/>
      <c r="J4201" s="178"/>
      <c r="K4201" s="178"/>
      <c r="L4201" s="190"/>
      <c r="M4201" s="185">
        <f>O4201*E4201</f>
        <v>677.33406000000002</v>
      </c>
      <c r="N4201" s="178"/>
      <c r="O4201" s="178">
        <f>O4198</f>
        <v>22.577802000000002</v>
      </c>
      <c r="P4201" s="231"/>
      <c r="Q4201" s="224"/>
    </row>
    <row r="4202" spans="1:19" s="225" customFormat="1" ht="10.5" x14ac:dyDescent="0.25">
      <c r="A4202" s="229"/>
      <c r="B4202" s="230"/>
      <c r="C4202" s="177"/>
      <c r="D4202" s="178"/>
      <c r="E4202" s="178"/>
      <c r="F4202" s="178"/>
      <c r="G4202" s="178"/>
      <c r="H4202" s="178"/>
      <c r="I4202" s="178"/>
      <c r="J4202" s="178"/>
      <c r="K4202" s="178"/>
      <c r="L4202" s="190"/>
      <c r="M4202" s="185"/>
      <c r="N4202" s="178"/>
      <c r="O4202" s="178"/>
      <c r="P4202" s="231"/>
      <c r="Q4202" s="224"/>
    </row>
    <row r="4203" spans="1:19" s="225" customFormat="1" ht="10.5" x14ac:dyDescent="0.25">
      <c r="A4203" s="229"/>
      <c r="B4203" s="232" t="s">
        <v>5</v>
      </c>
      <c r="C4203" s="182" t="s">
        <v>1328</v>
      </c>
      <c r="D4203" s="182"/>
      <c r="E4203" s="182"/>
      <c r="F4203" s="182"/>
      <c r="G4203" s="182"/>
      <c r="H4203" s="182"/>
      <c r="I4203" s="182"/>
      <c r="J4203" s="182"/>
      <c r="K4203" s="182"/>
      <c r="L4203" s="182"/>
      <c r="M4203" s="182">
        <f>SUM(M4201:M4202)</f>
        <v>677.33406000000002</v>
      </c>
      <c r="N4203" s="182"/>
      <c r="O4203" s="182"/>
      <c r="P4203" s="233"/>
      <c r="Q4203" s="224"/>
    </row>
    <row r="4204" spans="1:19" s="235" customFormat="1" ht="42" x14ac:dyDescent="0.35">
      <c r="A4204" s="226" t="str">
        <f>ORÇAMENTO!A768</f>
        <v>7.1.1.5.7</v>
      </c>
      <c r="B4204" s="227" t="str">
        <f>VLOOKUP(A4204,ORÇAMENTO!A:K,4,0)</f>
        <v>TRANSPORTE COM CAMINHÃO BASCULANTE DE 14 M³, EM VIA URBANA PAVIMENTADA, ADICIONAL PARA DMT EXCEDENTE A 30 KM (UNIDADE: M3XKM). AF_07/2020</v>
      </c>
      <c r="C4204" s="173" t="str">
        <f>VLOOKUP(A4204,ORÇAMENTO!A:K,5,0)</f>
        <v>M3XKM</v>
      </c>
      <c r="D4204" s="173">
        <f>SUM(E4208:O4208)</f>
        <v>1011.4855296000001</v>
      </c>
      <c r="E4204" s="173" t="s">
        <v>1718</v>
      </c>
      <c r="F4204" s="173" t="s">
        <v>1719</v>
      </c>
      <c r="G4204" s="173" t="s">
        <v>1720</v>
      </c>
      <c r="H4204" s="173" t="s">
        <v>1721</v>
      </c>
      <c r="I4204" s="173" t="s">
        <v>1722</v>
      </c>
      <c r="J4204" s="173" t="s">
        <v>1723</v>
      </c>
      <c r="K4204" s="173" t="s">
        <v>1758</v>
      </c>
      <c r="L4204" s="173" t="s">
        <v>1753</v>
      </c>
      <c r="M4204" s="173" t="s">
        <v>1750</v>
      </c>
      <c r="N4204" s="173" t="s">
        <v>1727</v>
      </c>
      <c r="O4204" s="173" t="s">
        <v>1728</v>
      </c>
      <c r="P4204" s="224"/>
      <c r="Q4204" s="224"/>
      <c r="R4204" s="224"/>
      <c r="S4204" s="224"/>
    </row>
    <row r="4205" spans="1:19" s="225" customFormat="1" ht="10.5" x14ac:dyDescent="0.25">
      <c r="A4205" s="229"/>
      <c r="B4205" s="230"/>
      <c r="C4205" s="177"/>
      <c r="D4205" s="178"/>
      <c r="E4205" s="178"/>
      <c r="F4205" s="178"/>
      <c r="G4205" s="178"/>
      <c r="H4205" s="178"/>
      <c r="I4205" s="178"/>
      <c r="J4205" s="178"/>
      <c r="K4205" s="178"/>
      <c r="L4205" s="190"/>
      <c r="M4205" s="178"/>
      <c r="N4205" s="178"/>
      <c r="O4205" s="178"/>
      <c r="P4205" s="231"/>
      <c r="Q4205" s="224"/>
    </row>
    <row r="4206" spans="1:19" s="225" customFormat="1" ht="10.5" x14ac:dyDescent="0.25">
      <c r="A4206" s="229"/>
      <c r="B4206" s="230" t="s">
        <v>1751</v>
      </c>
      <c r="C4206" s="177"/>
      <c r="D4206" s="178"/>
      <c r="E4206" s="178">
        <f>74.8-E4201</f>
        <v>44.8</v>
      </c>
      <c r="F4206" s="178"/>
      <c r="G4206" s="178"/>
      <c r="H4206" s="178"/>
      <c r="I4206" s="178"/>
      <c r="J4206" s="178"/>
      <c r="K4206" s="178"/>
      <c r="L4206" s="190"/>
      <c r="M4206" s="185">
        <f>O4206*E4206</f>
        <v>1011.4855296000001</v>
      </c>
      <c r="N4206" s="178"/>
      <c r="O4206" s="178">
        <f>O4201</f>
        <v>22.577802000000002</v>
      </c>
      <c r="P4206" s="231"/>
      <c r="Q4206" s="224"/>
    </row>
    <row r="4207" spans="1:19" s="225" customFormat="1" ht="10.5" x14ac:dyDescent="0.25">
      <c r="A4207" s="229"/>
      <c r="B4207" s="230"/>
      <c r="C4207" s="177"/>
      <c r="D4207" s="178"/>
      <c r="E4207" s="178"/>
      <c r="F4207" s="178"/>
      <c r="G4207" s="178"/>
      <c r="H4207" s="178"/>
      <c r="I4207" s="178"/>
      <c r="J4207" s="178"/>
      <c r="K4207" s="178"/>
      <c r="L4207" s="190"/>
      <c r="M4207" s="185"/>
      <c r="N4207" s="178"/>
      <c r="O4207" s="178"/>
      <c r="P4207" s="231"/>
      <c r="Q4207" s="224"/>
    </row>
    <row r="4208" spans="1:19" s="225" customFormat="1" ht="10.5" x14ac:dyDescent="0.25">
      <c r="A4208" s="229"/>
      <c r="B4208" s="232" t="s">
        <v>5</v>
      </c>
      <c r="C4208" s="182" t="s">
        <v>1328</v>
      </c>
      <c r="D4208" s="182"/>
      <c r="E4208" s="182"/>
      <c r="F4208" s="182"/>
      <c r="G4208" s="182"/>
      <c r="H4208" s="182"/>
      <c r="I4208" s="182"/>
      <c r="J4208" s="182"/>
      <c r="K4208" s="182"/>
      <c r="L4208" s="182"/>
      <c r="M4208" s="182">
        <f>SUM(M4206:M4207)</f>
        <v>1011.4855296000001</v>
      </c>
      <c r="N4208" s="182"/>
      <c r="O4208" s="182"/>
      <c r="P4208" s="233"/>
      <c r="Q4208" s="224"/>
    </row>
    <row r="4209" spans="1:19" s="235" customFormat="1" ht="21" x14ac:dyDescent="0.35">
      <c r="A4209" s="226" t="str">
        <f>ORÇAMENTO!A769</f>
        <v>7.1.1.6</v>
      </c>
      <c r="B4209" s="227" t="str">
        <f>VLOOKUP(A4209,ORÇAMENTO!A:K,4,0)</f>
        <v>DEMOLIÇÕES DE PAREDES PARA AMPLIAÇÃO DE BOCA DE LOBO</v>
      </c>
      <c r="C4209" s="173"/>
      <c r="D4209" s="173"/>
      <c r="E4209" s="173"/>
      <c r="F4209" s="173"/>
      <c r="G4209" s="173"/>
      <c r="H4209" s="173"/>
      <c r="I4209" s="173"/>
      <c r="J4209" s="173"/>
      <c r="K4209" s="173"/>
      <c r="L4209" s="173"/>
      <c r="M4209" s="173"/>
      <c r="N4209" s="173"/>
      <c r="O4209" s="173"/>
      <c r="P4209" s="224"/>
      <c r="Q4209" s="224"/>
      <c r="R4209" s="224"/>
      <c r="S4209" s="224"/>
    </row>
    <row r="4210" spans="1:19" s="235" customFormat="1" ht="21" x14ac:dyDescent="0.35">
      <c r="A4210" s="226" t="str">
        <f>ORÇAMENTO!A770</f>
        <v>7.1.1.6.1</v>
      </c>
      <c r="B4210" s="227" t="str">
        <f>VLOOKUP(A4210,ORÇAMENTO!A:K,4,0)</f>
        <v>DEMOLIÇÃO MANUAL DE CONCRETO ARMADO</v>
      </c>
      <c r="C4210" s="173" t="str">
        <f>VLOOKUP(A4210,ORÇAMENTO!A:K,5,0)</f>
        <v>M³</v>
      </c>
      <c r="D4210" s="173">
        <f>SUM(E4214:O4214)</f>
        <v>1.0278947999999999</v>
      </c>
      <c r="E4210" s="173" t="s">
        <v>1718</v>
      </c>
      <c r="F4210" s="173" t="s">
        <v>1719</v>
      </c>
      <c r="G4210" s="173" t="s">
        <v>1720</v>
      </c>
      <c r="H4210" s="173" t="s">
        <v>1721</v>
      </c>
      <c r="I4210" s="173" t="s">
        <v>1722</v>
      </c>
      <c r="J4210" s="173" t="s">
        <v>1723</v>
      </c>
      <c r="K4210" s="173" t="s">
        <v>1758</v>
      </c>
      <c r="L4210" s="173" t="s">
        <v>1753</v>
      </c>
      <c r="M4210" s="173" t="s">
        <v>1750</v>
      </c>
      <c r="N4210" s="173" t="s">
        <v>1727</v>
      </c>
      <c r="O4210" s="173" t="s">
        <v>1728</v>
      </c>
      <c r="P4210" s="224"/>
      <c r="Q4210" s="224"/>
      <c r="R4210" s="224"/>
      <c r="S4210" s="224"/>
    </row>
    <row r="4211" spans="1:19" s="225" customFormat="1" ht="10.5" x14ac:dyDescent="0.25">
      <c r="A4211" s="229"/>
      <c r="B4211" s="230"/>
      <c r="C4211" s="177"/>
      <c r="D4211" s="178"/>
      <c r="E4211" s="178"/>
      <c r="F4211" s="178"/>
      <c r="G4211" s="178"/>
      <c r="H4211" s="178"/>
      <c r="I4211" s="178"/>
      <c r="J4211" s="178"/>
      <c r="K4211" s="178"/>
      <c r="L4211" s="190"/>
      <c r="M4211" s="178"/>
      <c r="N4211" s="178"/>
      <c r="O4211" s="178"/>
      <c r="P4211" s="231"/>
      <c r="Q4211" s="224"/>
    </row>
    <row r="4212" spans="1:19" s="225" customFormat="1" ht="21" x14ac:dyDescent="0.25">
      <c r="A4212" s="229"/>
      <c r="B4212" s="230" t="s">
        <v>1764</v>
      </c>
      <c r="C4212" s="177"/>
      <c r="D4212" s="178"/>
      <c r="E4212" s="178"/>
      <c r="F4212" s="178"/>
      <c r="G4212" s="178"/>
      <c r="H4212" s="178"/>
      <c r="I4212" s="178"/>
      <c r="J4212" s="178"/>
      <c r="K4212" s="178"/>
      <c r="L4212" s="190"/>
      <c r="M4212" s="178"/>
      <c r="N4212" s="178"/>
      <c r="O4212" s="178">
        <f>QUANTBL!CS356</f>
        <v>1.0278947999999999</v>
      </c>
      <c r="P4212" s="231"/>
      <c r="Q4212" s="224"/>
    </row>
    <row r="4213" spans="1:19" s="225" customFormat="1" ht="10.5" x14ac:dyDescent="0.25">
      <c r="A4213" s="229"/>
      <c r="B4213" s="230"/>
      <c r="C4213" s="177"/>
      <c r="D4213" s="178"/>
      <c r="E4213" s="178"/>
      <c r="F4213" s="178"/>
      <c r="G4213" s="178"/>
      <c r="H4213" s="178"/>
      <c r="I4213" s="178"/>
      <c r="J4213" s="178"/>
      <c r="K4213" s="178"/>
      <c r="L4213" s="190"/>
      <c r="M4213" s="178"/>
      <c r="N4213" s="178"/>
      <c r="O4213" s="178"/>
      <c r="P4213" s="231"/>
      <c r="Q4213" s="224"/>
    </row>
    <row r="4214" spans="1:19" s="225" customFormat="1" ht="10.5" x14ac:dyDescent="0.25">
      <c r="A4214" s="229"/>
      <c r="B4214" s="232" t="s">
        <v>5</v>
      </c>
      <c r="C4214" s="182" t="s">
        <v>1328</v>
      </c>
      <c r="D4214" s="182"/>
      <c r="E4214" s="182"/>
      <c r="F4214" s="182"/>
      <c r="G4214" s="182"/>
      <c r="H4214" s="182"/>
      <c r="I4214" s="182"/>
      <c r="J4214" s="182"/>
      <c r="K4214" s="182"/>
      <c r="L4214" s="182"/>
      <c r="M4214" s="182"/>
      <c r="N4214" s="182"/>
      <c r="O4214" s="182">
        <f>SUM(O4212)</f>
        <v>1.0278947999999999</v>
      </c>
      <c r="P4214" s="233"/>
      <c r="Q4214" s="224"/>
    </row>
    <row r="4215" spans="1:19" s="235" customFormat="1" ht="31.5" x14ac:dyDescent="0.35">
      <c r="A4215" s="226" t="str">
        <f>ORÇAMENTO!A771</f>
        <v>7.1.1.6.2</v>
      </c>
      <c r="B4215" s="227" t="str">
        <f>VLOOKUP(A4215,ORÇAMENTO!A:K,4,0)</f>
        <v>DEMOLIÇÃO DE ALVENARIA DE BLOCO FURADO, DE FORMA MANUAL, SEM REAPROVEITAMENTO. AF_09/2023</v>
      </c>
      <c r="C4215" s="173" t="str">
        <f>VLOOKUP(A4215,ORÇAMENTO!A:K,5,0)</f>
        <v>M³</v>
      </c>
      <c r="D4215" s="173">
        <f>SUM(E4219:O4219)</f>
        <v>21.112850000000002</v>
      </c>
      <c r="E4215" s="173" t="s">
        <v>1718</v>
      </c>
      <c r="F4215" s="173" t="s">
        <v>1719</v>
      </c>
      <c r="G4215" s="173" t="s">
        <v>1720</v>
      </c>
      <c r="H4215" s="173" t="s">
        <v>1721</v>
      </c>
      <c r="I4215" s="173" t="s">
        <v>1722</v>
      </c>
      <c r="J4215" s="173" t="s">
        <v>1723</v>
      </c>
      <c r="K4215" s="173" t="s">
        <v>1758</v>
      </c>
      <c r="L4215" s="173" t="s">
        <v>1753</v>
      </c>
      <c r="M4215" s="173" t="s">
        <v>1750</v>
      </c>
      <c r="N4215" s="173" t="s">
        <v>1727</v>
      </c>
      <c r="O4215" s="173" t="s">
        <v>1728</v>
      </c>
      <c r="P4215" s="224"/>
      <c r="Q4215" s="224"/>
      <c r="R4215" s="224"/>
      <c r="S4215" s="224"/>
    </row>
    <row r="4216" spans="1:19" s="225" customFormat="1" ht="10.5" x14ac:dyDescent="0.25">
      <c r="A4216" s="229"/>
      <c r="B4216" s="230"/>
      <c r="C4216" s="177"/>
      <c r="D4216" s="178"/>
      <c r="E4216" s="178"/>
      <c r="F4216" s="178"/>
      <c r="G4216" s="178"/>
      <c r="H4216" s="178"/>
      <c r="I4216" s="178"/>
      <c r="J4216" s="178"/>
      <c r="K4216" s="178"/>
      <c r="L4216" s="190"/>
      <c r="M4216" s="178"/>
      <c r="N4216" s="178"/>
      <c r="O4216" s="178"/>
      <c r="P4216" s="231"/>
      <c r="Q4216" s="224"/>
    </row>
    <row r="4217" spans="1:19" s="225" customFormat="1" ht="21" x14ac:dyDescent="0.25">
      <c r="A4217" s="229"/>
      <c r="B4217" s="230" t="s">
        <v>1765</v>
      </c>
      <c r="C4217" s="177"/>
      <c r="D4217" s="178"/>
      <c r="E4217" s="178"/>
      <c r="F4217" s="178"/>
      <c r="G4217" s="178"/>
      <c r="H4217" s="178"/>
      <c r="I4217" s="178"/>
      <c r="J4217" s="178"/>
      <c r="K4217" s="178"/>
      <c r="L4217" s="190"/>
      <c r="M4217" s="178"/>
      <c r="N4217" s="178"/>
      <c r="O4217" s="178">
        <f>QUANTBL!CR356</f>
        <v>21.112850000000002</v>
      </c>
      <c r="P4217" s="231"/>
      <c r="Q4217" s="224"/>
    </row>
    <row r="4218" spans="1:19" s="225" customFormat="1" ht="10.5" x14ac:dyDescent="0.25">
      <c r="A4218" s="229"/>
      <c r="B4218" s="230"/>
      <c r="C4218" s="177"/>
      <c r="D4218" s="178"/>
      <c r="E4218" s="178"/>
      <c r="F4218" s="178"/>
      <c r="G4218" s="178"/>
      <c r="H4218" s="178"/>
      <c r="I4218" s="178"/>
      <c r="J4218" s="178"/>
      <c r="K4218" s="178"/>
      <c r="L4218" s="190"/>
      <c r="M4218" s="178"/>
      <c r="N4218" s="178"/>
      <c r="O4218" s="178"/>
      <c r="P4218" s="231"/>
      <c r="Q4218" s="224"/>
    </row>
    <row r="4219" spans="1:19" s="225" customFormat="1" ht="10.5" x14ac:dyDescent="0.25">
      <c r="A4219" s="229"/>
      <c r="B4219" s="232" t="s">
        <v>5</v>
      </c>
      <c r="C4219" s="182" t="s">
        <v>1328</v>
      </c>
      <c r="D4219" s="182"/>
      <c r="E4219" s="182"/>
      <c r="F4219" s="182"/>
      <c r="G4219" s="182"/>
      <c r="H4219" s="182"/>
      <c r="I4219" s="182"/>
      <c r="J4219" s="182"/>
      <c r="K4219" s="182"/>
      <c r="L4219" s="182"/>
      <c r="M4219" s="182"/>
      <c r="N4219" s="182"/>
      <c r="O4219" s="182">
        <f>SUM(O4217)</f>
        <v>21.112850000000002</v>
      </c>
      <c r="P4219" s="233"/>
      <c r="Q4219" s="224"/>
    </row>
    <row r="4220" spans="1:19" s="235" customFormat="1" ht="52.5" x14ac:dyDescent="0.35">
      <c r="A4220" s="226" t="str">
        <f>ORÇAMENTO!A772</f>
        <v>7.1.1.6.3</v>
      </c>
      <c r="B4220" s="227" t="str">
        <f>VLOOKUP(A4220,ORÇAMENTO!A:K,4,0)</f>
        <v>CARGA, MANOBRA E DESCARGA DE ENTULHO EM CAMINHÃO BASCULANTE 14 M³ - CARGA COM ESCAVADEIRA HIDRÁULICA  (CAÇAMBA DE 0,80 M³ / 111 HP) E DESCARGA LIVRE (UNIDADE: M3). AF_07/2020</v>
      </c>
      <c r="C4220" s="173" t="str">
        <f>VLOOKUP(A4220,ORÇAMENTO!A:K,5,0)</f>
        <v>M³</v>
      </c>
      <c r="D4220" s="173">
        <f>SUM(E4225:O4225)</f>
        <v>22.1407448</v>
      </c>
      <c r="E4220" s="173" t="s">
        <v>1718</v>
      </c>
      <c r="F4220" s="173" t="s">
        <v>1719</v>
      </c>
      <c r="G4220" s="173" t="s">
        <v>1720</v>
      </c>
      <c r="H4220" s="173" t="s">
        <v>1721</v>
      </c>
      <c r="I4220" s="173" t="s">
        <v>1722</v>
      </c>
      <c r="J4220" s="173" t="s">
        <v>1723</v>
      </c>
      <c r="K4220" s="173" t="s">
        <v>1758</v>
      </c>
      <c r="L4220" s="173" t="s">
        <v>1753</v>
      </c>
      <c r="M4220" s="173" t="s">
        <v>1750</v>
      </c>
      <c r="N4220" s="173" t="s">
        <v>1727</v>
      </c>
      <c r="O4220" s="173" t="s">
        <v>1728</v>
      </c>
      <c r="P4220" s="224"/>
      <c r="Q4220" s="224"/>
      <c r="R4220" s="224"/>
      <c r="S4220" s="224"/>
    </row>
    <row r="4221" spans="1:19" s="225" customFormat="1" ht="10.5" x14ac:dyDescent="0.25">
      <c r="A4221" s="229"/>
      <c r="B4221" s="230"/>
      <c r="C4221" s="177"/>
      <c r="D4221" s="178"/>
      <c r="E4221" s="178"/>
      <c r="F4221" s="178"/>
      <c r="G4221" s="178"/>
      <c r="H4221" s="178"/>
      <c r="I4221" s="178"/>
      <c r="J4221" s="178"/>
      <c r="K4221" s="178"/>
      <c r="L4221" s="190"/>
      <c r="M4221" s="178"/>
      <c r="N4221" s="178"/>
      <c r="O4221" s="178"/>
      <c r="P4221" s="231"/>
      <c r="Q4221" s="224"/>
    </row>
    <row r="4222" spans="1:19" s="225" customFormat="1" ht="10.5" x14ac:dyDescent="0.25">
      <c r="A4222" s="229"/>
      <c r="B4222" s="230" t="s">
        <v>1766</v>
      </c>
      <c r="C4222" s="177"/>
      <c r="D4222" s="178"/>
      <c r="E4222" s="178"/>
      <c r="F4222" s="178"/>
      <c r="G4222" s="178"/>
      <c r="H4222" s="178"/>
      <c r="I4222" s="178"/>
      <c r="J4222" s="178"/>
      <c r="K4222" s="178"/>
      <c r="L4222" s="190"/>
      <c r="M4222" s="178"/>
      <c r="N4222" s="178"/>
      <c r="O4222" s="178">
        <f>O4212</f>
        <v>1.0278947999999999</v>
      </c>
      <c r="P4222" s="231"/>
      <c r="Q4222" s="224"/>
    </row>
    <row r="4223" spans="1:19" s="225" customFormat="1" ht="10.5" x14ac:dyDescent="0.25">
      <c r="A4223" s="229"/>
      <c r="B4223" s="230" t="s">
        <v>1767</v>
      </c>
      <c r="C4223" s="177"/>
      <c r="D4223" s="178"/>
      <c r="E4223" s="178"/>
      <c r="F4223" s="178"/>
      <c r="G4223" s="178"/>
      <c r="H4223" s="178"/>
      <c r="I4223" s="178"/>
      <c r="J4223" s="178"/>
      <c r="K4223" s="178"/>
      <c r="L4223" s="190"/>
      <c r="M4223" s="178"/>
      <c r="N4223" s="178"/>
      <c r="O4223" s="178">
        <f>O4217</f>
        <v>21.112850000000002</v>
      </c>
      <c r="P4223" s="231"/>
      <c r="Q4223" s="224"/>
    </row>
    <row r="4224" spans="1:19" s="225" customFormat="1" ht="10.5" x14ac:dyDescent="0.25">
      <c r="A4224" s="229"/>
      <c r="B4224" s="230"/>
      <c r="C4224" s="177"/>
      <c r="D4224" s="178"/>
      <c r="E4224" s="178"/>
      <c r="F4224" s="178"/>
      <c r="G4224" s="178"/>
      <c r="H4224" s="178"/>
      <c r="I4224" s="178"/>
      <c r="J4224" s="178"/>
      <c r="K4224" s="178"/>
      <c r="L4224" s="190"/>
      <c r="M4224" s="178"/>
      <c r="N4224" s="178"/>
      <c r="O4224" s="178"/>
      <c r="P4224" s="231"/>
      <c r="Q4224" s="224"/>
    </row>
    <row r="4225" spans="1:19" s="225" customFormat="1" ht="10.5" x14ac:dyDescent="0.25">
      <c r="A4225" s="229"/>
      <c r="B4225" s="232" t="s">
        <v>5</v>
      </c>
      <c r="C4225" s="182" t="s">
        <v>1328</v>
      </c>
      <c r="D4225" s="182"/>
      <c r="E4225" s="182"/>
      <c r="F4225" s="182"/>
      <c r="G4225" s="182"/>
      <c r="H4225" s="182"/>
      <c r="I4225" s="182"/>
      <c r="J4225" s="182"/>
      <c r="K4225" s="182"/>
      <c r="L4225" s="182"/>
      <c r="M4225" s="182"/>
      <c r="N4225" s="182"/>
      <c r="O4225" s="182">
        <f>SUM(O4222:O4224)</f>
        <v>22.1407448</v>
      </c>
      <c r="P4225" s="233"/>
      <c r="Q4225" s="224"/>
    </row>
    <row r="4226" spans="1:19" s="235" customFormat="1" ht="31.5" x14ac:dyDescent="0.35">
      <c r="A4226" s="226" t="str">
        <f>ORÇAMENTO!A773</f>
        <v>7.1.1.6.4</v>
      </c>
      <c r="B4226" s="227" t="str">
        <f>VLOOKUP(A4226,ORÇAMENTO!A:K,4,0)</f>
        <v>TRANSPORTE COM CAMINHÃO BASCULANTE DE 14 M³, EM VIA URBANA PAVIMENTADA, DMT ATÉ 30 KM (UNIDADE: M3XKM). AF_07/2020</v>
      </c>
      <c r="C4226" s="173" t="str">
        <f>VLOOKUP(A4226,ORÇAMENTO!A:K,5,0)</f>
        <v>M3XKM</v>
      </c>
      <c r="D4226" s="173">
        <f>SUM(E4230:O4230)</f>
        <v>664.22234400000002</v>
      </c>
      <c r="E4226" s="173" t="s">
        <v>1718</v>
      </c>
      <c r="F4226" s="173" t="s">
        <v>1719</v>
      </c>
      <c r="G4226" s="173" t="s">
        <v>1720</v>
      </c>
      <c r="H4226" s="173" t="s">
        <v>1721</v>
      </c>
      <c r="I4226" s="173" t="s">
        <v>1722</v>
      </c>
      <c r="J4226" s="173" t="s">
        <v>1723</v>
      </c>
      <c r="K4226" s="173" t="s">
        <v>1758</v>
      </c>
      <c r="L4226" s="173" t="s">
        <v>1753</v>
      </c>
      <c r="M4226" s="173" t="s">
        <v>1750</v>
      </c>
      <c r="N4226" s="173" t="s">
        <v>1727</v>
      </c>
      <c r="O4226" s="173" t="s">
        <v>1728</v>
      </c>
      <c r="P4226" s="224"/>
      <c r="Q4226" s="224"/>
      <c r="R4226" s="224"/>
      <c r="S4226" s="224"/>
    </row>
    <row r="4227" spans="1:19" s="225" customFormat="1" ht="10.5" x14ac:dyDescent="0.25">
      <c r="A4227" s="229"/>
      <c r="B4227" s="230"/>
      <c r="C4227" s="177"/>
      <c r="D4227" s="178"/>
      <c r="E4227" s="178"/>
      <c r="F4227" s="178"/>
      <c r="G4227" s="178"/>
      <c r="H4227" s="178"/>
      <c r="I4227" s="178"/>
      <c r="J4227" s="178"/>
      <c r="K4227" s="178"/>
      <c r="L4227" s="190"/>
      <c r="M4227" s="178"/>
      <c r="N4227" s="178"/>
      <c r="O4227" s="178"/>
      <c r="P4227" s="231"/>
      <c r="Q4227" s="224"/>
    </row>
    <row r="4228" spans="1:19" s="225" customFormat="1" ht="10.5" x14ac:dyDescent="0.25">
      <c r="A4228" s="229"/>
      <c r="B4228" s="230" t="s">
        <v>1751</v>
      </c>
      <c r="C4228" s="184"/>
      <c r="D4228" s="185"/>
      <c r="E4228" s="185">
        <v>30</v>
      </c>
      <c r="F4228" s="178"/>
      <c r="G4228" s="178"/>
      <c r="H4228" s="178"/>
      <c r="I4228" s="178"/>
      <c r="J4228" s="178"/>
      <c r="K4228" s="178"/>
      <c r="L4228" s="190"/>
      <c r="M4228" s="185">
        <f>O4228*E4228</f>
        <v>664.22234400000002</v>
      </c>
      <c r="N4228" s="178"/>
      <c r="O4228" s="178">
        <f>O4225</f>
        <v>22.1407448</v>
      </c>
      <c r="P4228" s="231"/>
      <c r="Q4228" s="224"/>
    </row>
    <row r="4229" spans="1:19" s="225" customFormat="1" ht="10.5" x14ac:dyDescent="0.25">
      <c r="A4229" s="229"/>
      <c r="B4229" s="230"/>
      <c r="C4229" s="177"/>
      <c r="D4229" s="178"/>
      <c r="E4229" s="178"/>
      <c r="F4229" s="178"/>
      <c r="G4229" s="178"/>
      <c r="H4229" s="178"/>
      <c r="I4229" s="178"/>
      <c r="J4229" s="178"/>
      <c r="K4229" s="178"/>
      <c r="L4229" s="190"/>
      <c r="M4229" s="185"/>
      <c r="N4229" s="178"/>
      <c r="O4229" s="178"/>
      <c r="P4229" s="231"/>
      <c r="Q4229" s="224"/>
    </row>
    <row r="4230" spans="1:19" s="225" customFormat="1" ht="10.5" x14ac:dyDescent="0.25">
      <c r="A4230" s="229"/>
      <c r="B4230" s="232" t="s">
        <v>5</v>
      </c>
      <c r="C4230" s="182" t="s">
        <v>1328</v>
      </c>
      <c r="D4230" s="182"/>
      <c r="E4230" s="182"/>
      <c r="F4230" s="182"/>
      <c r="G4230" s="182"/>
      <c r="H4230" s="182"/>
      <c r="I4230" s="182"/>
      <c r="J4230" s="182"/>
      <c r="K4230" s="182"/>
      <c r="L4230" s="182"/>
      <c r="M4230" s="182">
        <f>SUM(M4228:M4229)</f>
        <v>664.22234400000002</v>
      </c>
      <c r="N4230" s="182"/>
      <c r="O4230" s="182"/>
      <c r="P4230" s="233"/>
      <c r="Q4230" s="224"/>
    </row>
    <row r="4231" spans="1:19" s="235" customFormat="1" ht="42" x14ac:dyDescent="0.35">
      <c r="A4231" s="226" t="str">
        <f>ORÇAMENTO!A774</f>
        <v>7.1.1.6.5</v>
      </c>
      <c r="B4231" s="227" t="str">
        <f>VLOOKUP(A4231,ORÇAMENTO!A:K,4,0)</f>
        <v>TRANSPORTE COM CAMINHÃO BASCULANTE DE 14 M³, EM VIA URBANA PAVIMENTADA, ADICIONAL PARA DMT EXCEDENTE A 30 KM (UNIDADE: M3XKM). AF_07/2020</v>
      </c>
      <c r="C4231" s="173" t="str">
        <f>VLOOKUP(A4231,ORÇAMENTO!A:K,5,0)</f>
        <v>M3XKM</v>
      </c>
      <c r="D4231" s="173">
        <f>SUM(E4235:O4235)</f>
        <v>991.90536703999999</v>
      </c>
      <c r="E4231" s="173" t="s">
        <v>1718</v>
      </c>
      <c r="F4231" s="173" t="s">
        <v>1719</v>
      </c>
      <c r="G4231" s="173" t="s">
        <v>1720</v>
      </c>
      <c r="H4231" s="173" t="s">
        <v>1721</v>
      </c>
      <c r="I4231" s="173" t="s">
        <v>1722</v>
      </c>
      <c r="J4231" s="173" t="s">
        <v>1723</v>
      </c>
      <c r="K4231" s="173" t="s">
        <v>1758</v>
      </c>
      <c r="L4231" s="173" t="s">
        <v>1753</v>
      </c>
      <c r="M4231" s="173" t="s">
        <v>1750</v>
      </c>
      <c r="N4231" s="173" t="s">
        <v>1727</v>
      </c>
      <c r="O4231" s="173" t="s">
        <v>1728</v>
      </c>
      <c r="P4231" s="224"/>
      <c r="Q4231" s="224"/>
      <c r="R4231" s="224"/>
      <c r="S4231" s="224"/>
    </row>
    <row r="4232" spans="1:19" s="225" customFormat="1" ht="10.5" x14ac:dyDescent="0.25">
      <c r="A4232" s="229"/>
      <c r="B4232" s="230"/>
      <c r="C4232" s="177"/>
      <c r="D4232" s="178"/>
      <c r="E4232" s="178"/>
      <c r="F4232" s="178"/>
      <c r="G4232" s="178"/>
      <c r="H4232" s="178"/>
      <c r="I4232" s="178"/>
      <c r="J4232" s="178"/>
      <c r="K4232" s="178"/>
      <c r="L4232" s="190"/>
      <c r="M4232" s="178"/>
      <c r="N4232" s="178"/>
      <c r="O4232" s="178"/>
      <c r="P4232" s="231"/>
      <c r="Q4232" s="224"/>
    </row>
    <row r="4233" spans="1:19" s="225" customFormat="1" ht="10.5" x14ac:dyDescent="0.25">
      <c r="A4233" s="229"/>
      <c r="B4233" s="230" t="s">
        <v>1751</v>
      </c>
      <c r="C4233" s="177"/>
      <c r="D4233" s="178"/>
      <c r="E4233" s="178">
        <f>74.8-E4228</f>
        <v>44.8</v>
      </c>
      <c r="F4233" s="178"/>
      <c r="G4233" s="178"/>
      <c r="H4233" s="178"/>
      <c r="I4233" s="178"/>
      <c r="J4233" s="178"/>
      <c r="K4233" s="178"/>
      <c r="L4233" s="190"/>
      <c r="M4233" s="185">
        <f>O4233*E4233</f>
        <v>991.90536703999999</v>
      </c>
      <c r="N4233" s="178"/>
      <c r="O4233" s="178">
        <f>O4228</f>
        <v>22.1407448</v>
      </c>
      <c r="P4233" s="231"/>
      <c r="Q4233" s="224"/>
    </row>
    <row r="4234" spans="1:19" s="225" customFormat="1" ht="10.5" x14ac:dyDescent="0.25">
      <c r="A4234" s="229"/>
      <c r="B4234" s="230"/>
      <c r="C4234" s="177"/>
      <c r="D4234" s="178"/>
      <c r="E4234" s="178"/>
      <c r="F4234" s="178"/>
      <c r="G4234" s="178"/>
      <c r="H4234" s="178"/>
      <c r="I4234" s="178"/>
      <c r="J4234" s="178"/>
      <c r="K4234" s="178"/>
      <c r="L4234" s="190"/>
      <c r="M4234" s="185"/>
      <c r="N4234" s="178"/>
      <c r="O4234" s="178"/>
      <c r="P4234" s="231"/>
      <c r="Q4234" s="224"/>
    </row>
    <row r="4235" spans="1:19" s="225" customFormat="1" ht="10.5" x14ac:dyDescent="0.25">
      <c r="A4235" s="229"/>
      <c r="B4235" s="232" t="s">
        <v>5</v>
      </c>
      <c r="C4235" s="182" t="s">
        <v>1328</v>
      </c>
      <c r="D4235" s="182"/>
      <c r="E4235" s="182"/>
      <c r="F4235" s="182"/>
      <c r="G4235" s="182"/>
      <c r="H4235" s="182"/>
      <c r="I4235" s="182"/>
      <c r="J4235" s="182"/>
      <c r="K4235" s="182"/>
      <c r="L4235" s="182"/>
      <c r="M4235" s="182">
        <f>SUM(M4233:M4234)</f>
        <v>991.90536703999999</v>
      </c>
      <c r="N4235" s="182"/>
      <c r="O4235" s="182"/>
      <c r="P4235" s="233"/>
      <c r="Q4235" s="224"/>
    </row>
    <row r="4236" spans="1:19" s="235" customFormat="1" x14ac:dyDescent="0.35">
      <c r="A4236" s="226" t="str">
        <f>ORÇAMENTO!A775</f>
        <v>7.1.1.7</v>
      </c>
      <c r="B4236" s="227" t="str">
        <f>VLOOKUP(A4236,ORÇAMENTO!A:K,4,0)</f>
        <v>LIGAÇÃO DE BOCA DE LOBOS A PV EXISTENTES</v>
      </c>
      <c r="C4236" s="173"/>
      <c r="D4236" s="173"/>
      <c r="E4236" s="173"/>
      <c r="F4236" s="173"/>
      <c r="G4236" s="173"/>
      <c r="H4236" s="173"/>
      <c r="I4236" s="173"/>
      <c r="J4236" s="173"/>
      <c r="K4236" s="173"/>
      <c r="L4236" s="173"/>
      <c r="M4236" s="173"/>
      <c r="N4236" s="173"/>
      <c r="O4236" s="173"/>
      <c r="P4236" s="224"/>
      <c r="Q4236" s="224"/>
      <c r="R4236" s="224"/>
      <c r="S4236" s="224"/>
    </row>
    <row r="4237" spans="1:19" s="235" customFormat="1" ht="31.5" x14ac:dyDescent="0.35">
      <c r="A4237" s="226" t="str">
        <f>ORÇAMENTO!A776</f>
        <v>7.1.1.7.1</v>
      </c>
      <c r="B4237" s="227" t="str">
        <f>VLOOKUP(A4237,ORÇAMENTO!A:K,4,0)</f>
        <v>DEMOLIÇÃO DE ALVENARIA DE BLOCO FURADO, DE FORMA MANUAL, SEM REAPROVEITAMENTO. AF_09/2023</v>
      </c>
      <c r="C4237" s="173" t="str">
        <f>VLOOKUP(A4237,ORÇAMENTO!A:K,5,0)</f>
        <v>M³</v>
      </c>
      <c r="D4237" s="173">
        <f>SUM(E4241:O4241)</f>
        <v>0.24513847475961159</v>
      </c>
      <c r="E4237" s="173" t="s">
        <v>1718</v>
      </c>
      <c r="F4237" s="173" t="s">
        <v>1719</v>
      </c>
      <c r="G4237" s="173" t="s">
        <v>1720</v>
      </c>
      <c r="H4237" s="173" t="s">
        <v>1721</v>
      </c>
      <c r="I4237" s="173" t="s">
        <v>1722</v>
      </c>
      <c r="J4237" s="173" t="s">
        <v>1723</v>
      </c>
      <c r="K4237" s="173" t="s">
        <v>1758</v>
      </c>
      <c r="L4237" s="173" t="s">
        <v>1753</v>
      </c>
      <c r="M4237" s="173" t="s">
        <v>1750</v>
      </c>
      <c r="N4237" s="173" t="s">
        <v>1727</v>
      </c>
      <c r="O4237" s="173" t="s">
        <v>1728</v>
      </c>
      <c r="P4237" s="224"/>
      <c r="Q4237" s="224"/>
      <c r="R4237" s="224"/>
      <c r="S4237" s="224"/>
    </row>
    <row r="4238" spans="1:19" s="225" customFormat="1" ht="10.5" x14ac:dyDescent="0.25">
      <c r="A4238" s="229"/>
      <c r="B4238" s="230"/>
      <c r="C4238" s="177"/>
      <c r="D4238" s="178"/>
      <c r="E4238" s="178"/>
      <c r="F4238" s="178"/>
      <c r="G4238" s="178"/>
      <c r="H4238" s="178"/>
      <c r="I4238" s="178"/>
      <c r="J4238" s="178"/>
      <c r="K4238" s="178"/>
      <c r="L4238" s="190"/>
      <c r="M4238" s="178"/>
      <c r="N4238" s="178"/>
      <c r="O4238" s="178"/>
      <c r="P4238" s="231"/>
      <c r="Q4238" s="224"/>
    </row>
    <row r="4239" spans="1:19" s="225" customFormat="1" ht="10.5" x14ac:dyDescent="0.25">
      <c r="A4239" s="229"/>
      <c r="B4239" s="230" t="s">
        <v>1891</v>
      </c>
      <c r="C4239" s="177"/>
      <c r="D4239" s="178"/>
      <c r="E4239" s="178"/>
      <c r="F4239" s="178"/>
      <c r="G4239" s="178"/>
      <c r="H4239" s="178"/>
      <c r="I4239" s="178"/>
      <c r="J4239" s="178"/>
      <c r="K4239" s="178"/>
      <c r="L4239" s="190"/>
      <c r="M4239" s="178"/>
      <c r="N4239" s="178"/>
      <c r="O4239" s="178">
        <f>QUANTBL!CZ356</f>
        <v>0.24513847475961159</v>
      </c>
      <c r="P4239" s="231"/>
      <c r="Q4239" s="224"/>
    </row>
    <row r="4240" spans="1:19" s="225" customFormat="1" ht="10.5" x14ac:dyDescent="0.25">
      <c r="A4240" s="229"/>
      <c r="B4240" s="230"/>
      <c r="C4240" s="177"/>
      <c r="D4240" s="178"/>
      <c r="E4240" s="178"/>
      <c r="F4240" s="178"/>
      <c r="G4240" s="178"/>
      <c r="H4240" s="178"/>
      <c r="I4240" s="178"/>
      <c r="J4240" s="178"/>
      <c r="K4240" s="178"/>
      <c r="L4240" s="190"/>
      <c r="M4240" s="178"/>
      <c r="N4240" s="178"/>
      <c r="O4240" s="178"/>
      <c r="P4240" s="231"/>
      <c r="Q4240" s="224"/>
    </row>
    <row r="4241" spans="1:19" s="225" customFormat="1" ht="10.5" x14ac:dyDescent="0.25">
      <c r="A4241" s="229"/>
      <c r="B4241" s="232" t="s">
        <v>5</v>
      </c>
      <c r="C4241" s="182" t="s">
        <v>1328</v>
      </c>
      <c r="D4241" s="182"/>
      <c r="E4241" s="182"/>
      <c r="F4241" s="182"/>
      <c r="G4241" s="182"/>
      <c r="H4241" s="182"/>
      <c r="I4241" s="182"/>
      <c r="J4241" s="182"/>
      <c r="K4241" s="182"/>
      <c r="L4241" s="182"/>
      <c r="M4241" s="182"/>
      <c r="N4241" s="182"/>
      <c r="O4241" s="182">
        <f>SUM(O4239)</f>
        <v>0.24513847475961159</v>
      </c>
      <c r="P4241" s="233"/>
      <c r="Q4241" s="224"/>
    </row>
    <row r="4242" spans="1:19" s="235" customFormat="1" ht="52.5" x14ac:dyDescent="0.35">
      <c r="A4242" s="226" t="str">
        <f>ORÇAMENTO!A777</f>
        <v>7.1.1.7.2</v>
      </c>
      <c r="B4242" s="227" t="str">
        <f>VLOOKUP(A4242,ORÇAMENTO!A:K,4,0)</f>
        <v>CARGA, MANOBRA E DESCARGA DE ENTULHO EM CAMINHÃO BASCULANTE 14 M³ - CARGA COM ESCAVADEIRA HIDRÁULICA  (CAÇAMBA DE 0,80 M³ / 111 HP) E DESCARGA LIVRE (UNIDADE: M3). AF_07/2020</v>
      </c>
      <c r="C4242" s="173" t="str">
        <f>VLOOKUP(A4242,ORÇAMENTO!A:K,5,0)</f>
        <v>M³</v>
      </c>
      <c r="D4242" s="173">
        <f>SUM(E4246:O4246)</f>
        <v>0.24513847475961159</v>
      </c>
      <c r="E4242" s="173" t="s">
        <v>1718</v>
      </c>
      <c r="F4242" s="173" t="s">
        <v>1719</v>
      </c>
      <c r="G4242" s="173" t="s">
        <v>1720</v>
      </c>
      <c r="H4242" s="173" t="s">
        <v>1721</v>
      </c>
      <c r="I4242" s="173" t="s">
        <v>1722</v>
      </c>
      <c r="J4242" s="173" t="s">
        <v>1723</v>
      </c>
      <c r="K4242" s="173" t="s">
        <v>1758</v>
      </c>
      <c r="L4242" s="173" t="s">
        <v>1753</v>
      </c>
      <c r="M4242" s="173" t="s">
        <v>1750</v>
      </c>
      <c r="N4242" s="173" t="s">
        <v>1727</v>
      </c>
      <c r="O4242" s="173" t="s">
        <v>1728</v>
      </c>
      <c r="P4242" s="224"/>
      <c r="Q4242" s="224"/>
      <c r="R4242" s="224"/>
      <c r="S4242" s="224"/>
    </row>
    <row r="4243" spans="1:19" s="225" customFormat="1" ht="10.5" x14ac:dyDescent="0.25">
      <c r="A4243" s="229"/>
      <c r="B4243" s="230"/>
      <c r="C4243" s="177"/>
      <c r="D4243" s="178"/>
      <c r="E4243" s="178"/>
      <c r="F4243" s="178"/>
      <c r="G4243" s="178"/>
      <c r="H4243" s="178"/>
      <c r="I4243" s="178"/>
      <c r="J4243" s="178"/>
      <c r="K4243" s="178"/>
      <c r="L4243" s="190"/>
      <c r="M4243" s="178"/>
      <c r="N4243" s="178"/>
      <c r="O4243" s="178"/>
      <c r="P4243" s="231"/>
      <c r="Q4243" s="224"/>
    </row>
    <row r="4244" spans="1:19" s="225" customFormat="1" ht="10.5" x14ac:dyDescent="0.25">
      <c r="A4244" s="229"/>
      <c r="B4244" s="230" t="s">
        <v>1767</v>
      </c>
      <c r="C4244" s="177"/>
      <c r="D4244" s="178"/>
      <c r="E4244" s="178"/>
      <c r="F4244" s="178"/>
      <c r="G4244" s="178"/>
      <c r="H4244" s="178"/>
      <c r="I4244" s="178"/>
      <c r="J4244" s="178"/>
      <c r="K4244" s="178"/>
      <c r="L4244" s="190"/>
      <c r="M4244" s="178"/>
      <c r="N4244" s="178"/>
      <c r="O4244" s="178">
        <f>O4239</f>
        <v>0.24513847475961159</v>
      </c>
      <c r="P4244" s="231"/>
      <c r="Q4244" s="224"/>
    </row>
    <row r="4245" spans="1:19" s="225" customFormat="1" ht="10.5" x14ac:dyDescent="0.25">
      <c r="A4245" s="229"/>
      <c r="B4245" s="230"/>
      <c r="C4245" s="177"/>
      <c r="D4245" s="178"/>
      <c r="E4245" s="178"/>
      <c r="F4245" s="178"/>
      <c r="G4245" s="178"/>
      <c r="H4245" s="178"/>
      <c r="I4245" s="178"/>
      <c r="J4245" s="178"/>
      <c r="K4245" s="178"/>
      <c r="L4245" s="190"/>
      <c r="M4245" s="178"/>
      <c r="N4245" s="178"/>
      <c r="O4245" s="178"/>
      <c r="P4245" s="231"/>
      <c r="Q4245" s="224"/>
    </row>
    <row r="4246" spans="1:19" s="225" customFormat="1" ht="10.5" x14ac:dyDescent="0.25">
      <c r="A4246" s="229"/>
      <c r="B4246" s="232" t="s">
        <v>5</v>
      </c>
      <c r="C4246" s="182" t="s">
        <v>1328</v>
      </c>
      <c r="D4246" s="182"/>
      <c r="E4246" s="182"/>
      <c r="F4246" s="182"/>
      <c r="G4246" s="182"/>
      <c r="H4246" s="182"/>
      <c r="I4246" s="182"/>
      <c r="J4246" s="182"/>
      <c r="K4246" s="182"/>
      <c r="L4246" s="182"/>
      <c r="M4246" s="182"/>
      <c r="N4246" s="182"/>
      <c r="O4246" s="182">
        <f>SUM(O4244:O4245)</f>
        <v>0.24513847475961159</v>
      </c>
      <c r="P4246" s="233"/>
      <c r="Q4246" s="224"/>
    </row>
    <row r="4247" spans="1:19" s="235" customFormat="1" ht="31.5" x14ac:dyDescent="0.35">
      <c r="A4247" s="226" t="str">
        <f>ORÇAMENTO!A778</f>
        <v>7.1.1.7.3</v>
      </c>
      <c r="B4247" s="227" t="str">
        <f>VLOOKUP(A4247,ORÇAMENTO!A:K,4,0)</f>
        <v>TRANSPORTE COM CAMINHÃO BASCULANTE DE 14 M³, EM VIA URBANA PAVIMENTADA, DMT ATÉ 30 KM (UNIDADE: M3XKM). AF_07/2020</v>
      </c>
      <c r="C4247" s="173" t="str">
        <f>VLOOKUP(A4247,ORÇAMENTO!A:K,5,0)</f>
        <v>M3XKM</v>
      </c>
      <c r="D4247" s="173">
        <f>SUM(E4251:O4251)</f>
        <v>7.354154242788348</v>
      </c>
      <c r="E4247" s="173" t="s">
        <v>1718</v>
      </c>
      <c r="F4247" s="173" t="s">
        <v>1719</v>
      </c>
      <c r="G4247" s="173" t="s">
        <v>1720</v>
      </c>
      <c r="H4247" s="173" t="s">
        <v>1721</v>
      </c>
      <c r="I4247" s="173" t="s">
        <v>1722</v>
      </c>
      <c r="J4247" s="173" t="s">
        <v>1723</v>
      </c>
      <c r="K4247" s="173" t="s">
        <v>1758</v>
      </c>
      <c r="L4247" s="173" t="s">
        <v>1753</v>
      </c>
      <c r="M4247" s="173" t="s">
        <v>1750</v>
      </c>
      <c r="N4247" s="173" t="s">
        <v>1727</v>
      </c>
      <c r="O4247" s="173" t="s">
        <v>1728</v>
      </c>
      <c r="P4247" s="224"/>
      <c r="Q4247" s="224"/>
      <c r="R4247" s="224"/>
      <c r="S4247" s="224"/>
    </row>
    <row r="4248" spans="1:19" s="225" customFormat="1" ht="10.5" x14ac:dyDescent="0.25">
      <c r="A4248" s="229"/>
      <c r="B4248" s="230"/>
      <c r="C4248" s="177"/>
      <c r="D4248" s="178"/>
      <c r="E4248" s="178"/>
      <c r="F4248" s="178"/>
      <c r="G4248" s="178"/>
      <c r="H4248" s="178"/>
      <c r="I4248" s="178"/>
      <c r="J4248" s="178"/>
      <c r="K4248" s="178"/>
      <c r="L4248" s="190"/>
      <c r="M4248" s="178"/>
      <c r="N4248" s="178"/>
      <c r="O4248" s="178"/>
      <c r="P4248" s="231"/>
      <c r="Q4248" s="224"/>
    </row>
    <row r="4249" spans="1:19" s="225" customFormat="1" ht="10.5" x14ac:dyDescent="0.25">
      <c r="A4249" s="229"/>
      <c r="B4249" s="230" t="s">
        <v>1751</v>
      </c>
      <c r="C4249" s="177"/>
      <c r="D4249" s="178"/>
      <c r="E4249" s="178">
        <v>30</v>
      </c>
      <c r="F4249" s="178"/>
      <c r="G4249" s="178"/>
      <c r="H4249" s="178"/>
      <c r="I4249" s="178"/>
      <c r="J4249" s="178"/>
      <c r="K4249" s="178"/>
      <c r="L4249" s="190"/>
      <c r="M4249" s="178">
        <f>O4249*E4249</f>
        <v>7.354154242788348</v>
      </c>
      <c r="N4249" s="178"/>
      <c r="O4249" s="178">
        <f>O4246</f>
        <v>0.24513847475961159</v>
      </c>
      <c r="P4249" s="231"/>
      <c r="Q4249" s="224"/>
    </row>
    <row r="4250" spans="1:19" s="225" customFormat="1" ht="10.5" x14ac:dyDescent="0.25">
      <c r="A4250" s="229"/>
      <c r="B4250" s="230"/>
      <c r="C4250" s="177"/>
      <c r="D4250" s="178"/>
      <c r="E4250" s="178"/>
      <c r="F4250" s="178"/>
      <c r="G4250" s="178"/>
      <c r="H4250" s="178"/>
      <c r="I4250" s="178"/>
      <c r="J4250" s="178"/>
      <c r="K4250" s="178"/>
      <c r="L4250" s="190"/>
      <c r="M4250" s="178"/>
      <c r="N4250" s="178"/>
      <c r="O4250" s="178"/>
      <c r="P4250" s="231"/>
      <c r="Q4250" s="224"/>
    </row>
    <row r="4251" spans="1:19" s="225" customFormat="1" ht="10.5" x14ac:dyDescent="0.25">
      <c r="A4251" s="229"/>
      <c r="B4251" s="232" t="s">
        <v>5</v>
      </c>
      <c r="C4251" s="182" t="s">
        <v>1328</v>
      </c>
      <c r="D4251" s="182"/>
      <c r="E4251" s="182"/>
      <c r="F4251" s="182"/>
      <c r="G4251" s="182"/>
      <c r="H4251" s="182"/>
      <c r="I4251" s="182"/>
      <c r="J4251" s="182"/>
      <c r="K4251" s="182"/>
      <c r="L4251" s="182"/>
      <c r="M4251" s="182">
        <f>SUM(M4249:M4250)</f>
        <v>7.354154242788348</v>
      </c>
      <c r="N4251" s="182"/>
      <c r="O4251" s="182"/>
      <c r="P4251" s="233"/>
      <c r="Q4251" s="224"/>
    </row>
    <row r="4252" spans="1:19" s="235" customFormat="1" ht="42" x14ac:dyDescent="0.35">
      <c r="A4252" s="226" t="str">
        <f>ORÇAMENTO!A779</f>
        <v>7.1.1.7.4</v>
      </c>
      <c r="B4252" s="227" t="str">
        <f>VLOOKUP(A4252,ORÇAMENTO!A:K,4,0)</f>
        <v>TRANSPORTE COM CAMINHÃO BASCULANTE DE 14 M³, EM VIA URBANA PAVIMENTADA, ADICIONAL PARA DMT EXCEDENTE A 30 KM (UNIDADE: M3XKM). AF_07/2020</v>
      </c>
      <c r="C4252" s="173" t="str">
        <f>VLOOKUP(A4252,ORÇAMENTO!A:K,5,0)</f>
        <v>M3XKM</v>
      </c>
      <c r="D4252" s="173">
        <f>SUM(E4256:O4256)</f>
        <v>10.982203669230598</v>
      </c>
      <c r="E4252" s="173" t="s">
        <v>1718</v>
      </c>
      <c r="F4252" s="173" t="s">
        <v>1719</v>
      </c>
      <c r="G4252" s="173" t="s">
        <v>1720</v>
      </c>
      <c r="H4252" s="173" t="s">
        <v>1721</v>
      </c>
      <c r="I4252" s="173" t="s">
        <v>1722</v>
      </c>
      <c r="J4252" s="173" t="s">
        <v>1723</v>
      </c>
      <c r="K4252" s="173" t="s">
        <v>1758</v>
      </c>
      <c r="L4252" s="173" t="s">
        <v>1753</v>
      </c>
      <c r="M4252" s="173" t="s">
        <v>1750</v>
      </c>
      <c r="N4252" s="173" t="s">
        <v>1727</v>
      </c>
      <c r="O4252" s="173" t="s">
        <v>1728</v>
      </c>
      <c r="P4252" s="224"/>
      <c r="Q4252" s="224"/>
      <c r="R4252" s="224"/>
      <c r="S4252" s="224"/>
    </row>
    <row r="4253" spans="1:19" s="225" customFormat="1" ht="10.5" x14ac:dyDescent="0.25">
      <c r="A4253" s="229"/>
      <c r="B4253" s="230"/>
      <c r="C4253" s="177"/>
      <c r="D4253" s="178"/>
      <c r="E4253" s="178"/>
      <c r="F4253" s="178"/>
      <c r="G4253" s="178"/>
      <c r="H4253" s="178"/>
      <c r="I4253" s="178"/>
      <c r="J4253" s="178"/>
      <c r="K4253" s="178"/>
      <c r="L4253" s="190"/>
      <c r="M4253" s="178"/>
      <c r="N4253" s="178"/>
      <c r="O4253" s="178"/>
      <c r="P4253" s="231"/>
      <c r="Q4253" s="224"/>
    </row>
    <row r="4254" spans="1:19" s="225" customFormat="1" ht="10.5" x14ac:dyDescent="0.25">
      <c r="A4254" s="229"/>
      <c r="B4254" s="230" t="s">
        <v>1751</v>
      </c>
      <c r="C4254" s="177"/>
      <c r="D4254" s="178"/>
      <c r="E4254" s="178">
        <f>74.8-E4249</f>
        <v>44.8</v>
      </c>
      <c r="F4254" s="178"/>
      <c r="G4254" s="178"/>
      <c r="H4254" s="178"/>
      <c r="I4254" s="178"/>
      <c r="J4254" s="178"/>
      <c r="K4254" s="178"/>
      <c r="L4254" s="190"/>
      <c r="M4254" s="178">
        <f>O4254*E4254</f>
        <v>10.982203669230598</v>
      </c>
      <c r="N4254" s="178"/>
      <c r="O4254" s="178">
        <f>O4249</f>
        <v>0.24513847475961159</v>
      </c>
      <c r="P4254" s="231"/>
      <c r="Q4254" s="224"/>
    </row>
    <row r="4255" spans="1:19" s="225" customFormat="1" ht="10.5" x14ac:dyDescent="0.25">
      <c r="A4255" s="229"/>
      <c r="B4255" s="230"/>
      <c r="C4255" s="177"/>
      <c r="D4255" s="178"/>
      <c r="E4255" s="178"/>
      <c r="F4255" s="178"/>
      <c r="G4255" s="178"/>
      <c r="H4255" s="178"/>
      <c r="I4255" s="178"/>
      <c r="J4255" s="178"/>
      <c r="K4255" s="178"/>
      <c r="L4255" s="190"/>
      <c r="M4255" s="178"/>
      <c r="N4255" s="178"/>
      <c r="O4255" s="178"/>
      <c r="P4255" s="231"/>
      <c r="Q4255" s="224"/>
    </row>
    <row r="4256" spans="1:19" s="225" customFormat="1" ht="10.5" x14ac:dyDescent="0.25">
      <c r="A4256" s="229"/>
      <c r="B4256" s="232" t="s">
        <v>5</v>
      </c>
      <c r="C4256" s="182" t="s">
        <v>1328</v>
      </c>
      <c r="D4256" s="182"/>
      <c r="E4256" s="182"/>
      <c r="F4256" s="182"/>
      <c r="G4256" s="182"/>
      <c r="H4256" s="182"/>
      <c r="I4256" s="182"/>
      <c r="J4256" s="182"/>
      <c r="K4256" s="182"/>
      <c r="L4256" s="182"/>
      <c r="M4256" s="182">
        <f>SUM(M4254:M4255)</f>
        <v>10.982203669230598</v>
      </c>
      <c r="N4256" s="182"/>
      <c r="O4256" s="182"/>
      <c r="P4256" s="233"/>
      <c r="Q4256" s="224"/>
    </row>
    <row r="4257" spans="1:19" s="225" customFormat="1" ht="10.5" x14ac:dyDescent="0.25">
      <c r="A4257" s="333" t="str">
        <f>ORÇAMENTO!A780</f>
        <v>7.1.1.8</v>
      </c>
      <c r="B4257" s="223" t="str">
        <f>VLOOKUP(A4257,ORÇAMENTO!A:K,4,0)</f>
        <v>ENSAIOS</v>
      </c>
      <c r="C4257" s="167"/>
      <c r="D4257" s="167"/>
      <c r="E4257" s="168"/>
      <c r="F4257" s="168"/>
      <c r="G4257" s="168"/>
      <c r="H4257" s="168"/>
      <c r="I4257" s="168"/>
      <c r="J4257" s="168"/>
      <c r="K4257" s="168"/>
      <c r="L4257" s="168"/>
      <c r="M4257" s="168"/>
      <c r="N4257" s="168"/>
      <c r="O4257" s="168"/>
      <c r="P4257" s="224"/>
      <c r="Q4257" s="224"/>
    </row>
    <row r="4258" spans="1:19" s="235" customFormat="1" ht="31.5" x14ac:dyDescent="0.35">
      <c r="A4258" s="226" t="str">
        <f>ORÇAMENTO!A781</f>
        <v>7.1.1.8.1</v>
      </c>
      <c r="B4258" s="227" t="str">
        <f>VLOOKUP(A4258,ORÇAMENTO!A:K,4,0)</f>
        <v>DETERMINAÇÃO DA DENSIDADE IN SITU DAS MISTURAS ASFÁLTICAS COMPACTADAS (DNIT 431/2020-ME)</v>
      </c>
      <c r="C4258" s="173" t="str">
        <f>VLOOKUP(A4258,ORÇAMENTO!A:K,5,0)</f>
        <v>UN</v>
      </c>
      <c r="D4258" s="173">
        <f>SUM(E4267:O4267)</f>
        <v>25</v>
      </c>
      <c r="E4258" s="173" t="s">
        <v>1718</v>
      </c>
      <c r="F4258" s="173" t="s">
        <v>1719</v>
      </c>
      <c r="G4258" s="173" t="s">
        <v>1720</v>
      </c>
      <c r="H4258" s="173" t="s">
        <v>1721</v>
      </c>
      <c r="I4258" s="173" t="s">
        <v>1722</v>
      </c>
      <c r="J4258" s="173" t="s">
        <v>1723</v>
      </c>
      <c r="K4258" s="173" t="s">
        <v>1758</v>
      </c>
      <c r="L4258" s="173" t="s">
        <v>1753</v>
      </c>
      <c r="M4258" s="173" t="s">
        <v>1768</v>
      </c>
      <c r="N4258" s="173" t="s">
        <v>1727</v>
      </c>
      <c r="O4258" s="173" t="s">
        <v>1728</v>
      </c>
      <c r="P4258" s="224"/>
      <c r="Q4258" s="224"/>
      <c r="R4258" s="224"/>
      <c r="S4258" s="224"/>
    </row>
    <row r="4259" spans="1:19" s="235" customFormat="1" x14ac:dyDescent="0.35">
      <c r="A4259" s="229"/>
      <c r="B4259" s="232" t="s">
        <v>1769</v>
      </c>
      <c r="C4259" s="177"/>
      <c r="D4259" s="177"/>
      <c r="E4259" s="178"/>
      <c r="F4259" s="178"/>
      <c r="G4259" s="178"/>
      <c r="H4259" s="178"/>
      <c r="I4259" s="178"/>
      <c r="J4259" s="178"/>
      <c r="K4259" s="178"/>
      <c r="L4259" s="178"/>
      <c r="M4259" s="178"/>
      <c r="N4259" s="178"/>
      <c r="O4259" s="178"/>
      <c r="P4259" s="224"/>
      <c r="Q4259" s="224"/>
      <c r="R4259" s="224"/>
      <c r="S4259" s="224"/>
    </row>
    <row r="4260" spans="1:19" s="235" customFormat="1" x14ac:dyDescent="0.35">
      <c r="A4260" s="229"/>
      <c r="B4260" s="232" t="s">
        <v>1770</v>
      </c>
      <c r="C4260" s="177"/>
      <c r="D4260" s="177"/>
      <c r="E4260" s="178">
        <f>SUMIF(Quantitativos!$O$141:$O$191,"ASFALTO",Quantitativos!$F$141:$F$191)</f>
        <v>1633.4500000000003</v>
      </c>
      <c r="F4260" s="178"/>
      <c r="G4260" s="178"/>
      <c r="H4260" s="178"/>
      <c r="I4260" s="178"/>
      <c r="J4260" s="178"/>
      <c r="K4260" s="178">
        <f t="shared" ref="K4260:K4265" si="157">ROUND(E4260/100,0)</f>
        <v>16</v>
      </c>
      <c r="L4260" s="178"/>
      <c r="M4260" s="178"/>
      <c r="N4260" s="178"/>
      <c r="O4260" s="178"/>
      <c r="P4260" s="224"/>
      <c r="Q4260" s="224"/>
      <c r="R4260" s="224"/>
      <c r="S4260" s="224"/>
    </row>
    <row r="4261" spans="1:19" s="235" customFormat="1" x14ac:dyDescent="0.35">
      <c r="A4261" s="229"/>
      <c r="B4261" s="232" t="str">
        <f>B5449</f>
        <v>VIA 4 - ESTACA 16+7,98 A 41+12,55</v>
      </c>
      <c r="C4261" s="177"/>
      <c r="D4261" s="177"/>
      <c r="E4261" s="178">
        <f>E5449</f>
        <v>504.57</v>
      </c>
      <c r="F4261" s="178"/>
      <c r="G4261" s="178"/>
      <c r="H4261" s="178"/>
      <c r="I4261" s="178"/>
      <c r="J4261" s="178"/>
      <c r="K4261" s="178">
        <f t="shared" si="157"/>
        <v>5</v>
      </c>
      <c r="L4261" s="178"/>
      <c r="M4261" s="178"/>
      <c r="N4261" s="178"/>
      <c r="O4261" s="192"/>
      <c r="P4261" s="224"/>
      <c r="Q4261" s="224"/>
      <c r="R4261" s="224"/>
      <c r="S4261" s="224"/>
    </row>
    <row r="4262" spans="1:19" s="235" customFormat="1" x14ac:dyDescent="0.35">
      <c r="A4262" s="229"/>
      <c r="B4262" s="232" t="str">
        <f>B5450</f>
        <v>VIA 5 - ESTACA 0+0,00 A 3+18,85</v>
      </c>
      <c r="C4262" s="177"/>
      <c r="D4262" s="177"/>
      <c r="E4262" s="178">
        <f>E5450</f>
        <v>78.849999999999994</v>
      </c>
      <c r="F4262" s="178"/>
      <c r="G4262" s="178"/>
      <c r="H4262" s="178"/>
      <c r="I4262" s="178"/>
      <c r="J4262" s="178"/>
      <c r="K4262" s="178">
        <f t="shared" si="157"/>
        <v>1</v>
      </c>
      <c r="L4262" s="178"/>
      <c r="M4262" s="178"/>
      <c r="N4262" s="178"/>
      <c r="O4262" s="192"/>
      <c r="P4262" s="224"/>
      <c r="Q4262" s="224"/>
      <c r="R4262" s="224"/>
      <c r="S4262" s="224"/>
    </row>
    <row r="4263" spans="1:19" s="235" customFormat="1" x14ac:dyDescent="0.35">
      <c r="A4263" s="229"/>
      <c r="B4263" s="232" t="str">
        <f>B5451</f>
        <v>VIA 6 - ESTACA 0+0,00 A 3+15,85</v>
      </c>
      <c r="C4263" s="177"/>
      <c r="D4263" s="177"/>
      <c r="E4263" s="178">
        <f>E5451</f>
        <v>75.849999999999994</v>
      </c>
      <c r="F4263" s="178"/>
      <c r="G4263" s="178"/>
      <c r="H4263" s="178"/>
      <c r="I4263" s="178"/>
      <c r="J4263" s="178"/>
      <c r="K4263" s="178">
        <f t="shared" si="157"/>
        <v>1</v>
      </c>
      <c r="L4263" s="178"/>
      <c r="M4263" s="178"/>
      <c r="N4263" s="178"/>
      <c r="O4263" s="192"/>
      <c r="P4263" s="224"/>
      <c r="Q4263" s="224"/>
      <c r="R4263" s="224"/>
      <c r="S4263" s="224"/>
    </row>
    <row r="4264" spans="1:19" s="235" customFormat="1" x14ac:dyDescent="0.35">
      <c r="A4264" s="229"/>
      <c r="B4264" s="232" t="str">
        <f>B5452</f>
        <v>VIA 7 - ESTACA 0+0,00 A 3+4,01</v>
      </c>
      <c r="C4264" s="177"/>
      <c r="D4264" s="177"/>
      <c r="E4264" s="178">
        <f>E5452</f>
        <v>64.010000000000005</v>
      </c>
      <c r="F4264" s="178"/>
      <c r="G4264" s="178"/>
      <c r="H4264" s="178"/>
      <c r="I4264" s="178"/>
      <c r="J4264" s="178"/>
      <c r="K4264" s="178">
        <f t="shared" si="157"/>
        <v>1</v>
      </c>
      <c r="L4264" s="178"/>
      <c r="M4264" s="178"/>
      <c r="N4264" s="178"/>
      <c r="O4264" s="192"/>
      <c r="P4264" s="224"/>
      <c r="Q4264" s="224"/>
      <c r="R4264" s="224"/>
      <c r="S4264" s="224"/>
    </row>
    <row r="4265" spans="1:19" s="235" customFormat="1" x14ac:dyDescent="0.35">
      <c r="A4265" s="229"/>
      <c r="B4265" s="232" t="str">
        <f>B5453</f>
        <v>VIA 8 - ESTACA 0+0,00 A 2+13,13</v>
      </c>
      <c r="C4265" s="177"/>
      <c r="D4265" s="177"/>
      <c r="E4265" s="178">
        <f>E5453</f>
        <v>53.13</v>
      </c>
      <c r="F4265" s="178"/>
      <c r="G4265" s="178"/>
      <c r="H4265" s="178"/>
      <c r="I4265" s="178"/>
      <c r="J4265" s="178"/>
      <c r="K4265" s="178">
        <f t="shared" si="157"/>
        <v>1</v>
      </c>
      <c r="L4265" s="178"/>
      <c r="M4265" s="178"/>
      <c r="N4265" s="178"/>
      <c r="O4265" s="192"/>
      <c r="P4265" s="224"/>
      <c r="Q4265" s="224"/>
      <c r="R4265" s="224"/>
      <c r="S4265" s="224"/>
    </row>
    <row r="4266" spans="1:19" s="237" customFormat="1" x14ac:dyDescent="0.35">
      <c r="A4266" s="229"/>
      <c r="B4266" s="230"/>
      <c r="C4266" s="178"/>
      <c r="D4266" s="178"/>
      <c r="E4266" s="178"/>
      <c r="F4266" s="178"/>
      <c r="G4266" s="178"/>
      <c r="H4266" s="178"/>
      <c r="I4266" s="178"/>
      <c r="J4266" s="178"/>
      <c r="K4266" s="178"/>
      <c r="L4266" s="178"/>
      <c r="M4266" s="178"/>
      <c r="N4266" s="178"/>
      <c r="O4266" s="193"/>
      <c r="P4266" s="236"/>
      <c r="Q4266" s="236"/>
      <c r="R4266" s="236"/>
      <c r="S4266" s="236"/>
    </row>
    <row r="4267" spans="1:19" s="235" customFormat="1" x14ac:dyDescent="0.35">
      <c r="A4267" s="238"/>
      <c r="B4267" s="232" t="s">
        <v>5</v>
      </c>
      <c r="C4267" s="182" t="s">
        <v>1328</v>
      </c>
      <c r="D4267" s="182"/>
      <c r="E4267" s="182"/>
      <c r="F4267" s="182"/>
      <c r="G4267" s="182"/>
      <c r="H4267" s="182"/>
      <c r="I4267" s="182"/>
      <c r="J4267" s="182"/>
      <c r="K4267" s="196">
        <f>SUM(K4259:K4266)</f>
        <v>25</v>
      </c>
      <c r="L4267" s="182"/>
      <c r="M4267" s="182"/>
      <c r="N4267" s="182"/>
      <c r="O4267" s="196"/>
      <c r="P4267" s="224"/>
      <c r="Q4267" s="224"/>
      <c r="R4267" s="224"/>
      <c r="S4267" s="224"/>
    </row>
    <row r="4268" spans="1:19" s="235" customFormat="1" ht="21" x14ac:dyDescent="0.35">
      <c r="A4268" s="226" t="str">
        <f>ORÇAMENTO!A782</f>
        <v>7.1.1.8.2</v>
      </c>
      <c r="B4268" s="227" t="str">
        <f>VLOOKUP(A4268,ORÇAMENTO!A:K,4,0)</f>
        <v>ENSAIO QUIMICO COMPLETO DE CAL</v>
      </c>
      <c r="C4268" s="173" t="str">
        <f>VLOOKUP(A4268,ORÇAMENTO!A:K,5,0)</f>
        <v>UN</v>
      </c>
      <c r="D4268" s="173">
        <f>SUM(E4277:O4277)</f>
        <v>25</v>
      </c>
      <c r="E4268" s="173" t="s">
        <v>1718</v>
      </c>
      <c r="F4268" s="173" t="s">
        <v>1719</v>
      </c>
      <c r="G4268" s="173" t="s">
        <v>1720</v>
      </c>
      <c r="H4268" s="173" t="s">
        <v>1721</v>
      </c>
      <c r="I4268" s="173" t="s">
        <v>1722</v>
      </c>
      <c r="J4268" s="173" t="s">
        <v>1723</v>
      </c>
      <c r="K4268" s="173" t="s">
        <v>1758</v>
      </c>
      <c r="L4268" s="173" t="s">
        <v>1753</v>
      </c>
      <c r="M4268" s="173" t="s">
        <v>1768</v>
      </c>
      <c r="N4268" s="173" t="s">
        <v>1727</v>
      </c>
      <c r="O4268" s="173" t="s">
        <v>1728</v>
      </c>
      <c r="P4268" s="224"/>
      <c r="Q4268" s="224"/>
      <c r="R4268" s="224"/>
      <c r="S4268" s="224"/>
    </row>
    <row r="4269" spans="1:19" s="235" customFormat="1" x14ac:dyDescent="0.35">
      <c r="A4269" s="229"/>
      <c r="B4269" s="232" t="str">
        <f t="shared" ref="B4269:B4275" si="158">B4259</f>
        <v>1 ENSAIO A CADA 100M</v>
      </c>
      <c r="C4269" s="177"/>
      <c r="D4269" s="177"/>
      <c r="E4269" s="178"/>
      <c r="F4269" s="178"/>
      <c r="G4269" s="178"/>
      <c r="H4269" s="178"/>
      <c r="I4269" s="178"/>
      <c r="J4269" s="178"/>
      <c r="K4269" s="178"/>
      <c r="L4269" s="178"/>
      <c r="M4269" s="178"/>
      <c r="N4269" s="178"/>
      <c r="O4269" s="178"/>
      <c r="P4269" s="224"/>
      <c r="Q4269" s="224"/>
      <c r="R4269" s="224"/>
      <c r="S4269" s="224"/>
    </row>
    <row r="4270" spans="1:19" s="235" customFormat="1" x14ac:dyDescent="0.35">
      <c r="A4270" s="229"/>
      <c r="B4270" s="232" t="str">
        <f t="shared" si="158"/>
        <v>EXTENSÃO REDE ASFALTADA</v>
      </c>
      <c r="C4270" s="177"/>
      <c r="D4270" s="177"/>
      <c r="E4270" s="178">
        <f t="shared" ref="E4270:E4275" si="159">E4260</f>
        <v>1633.4500000000003</v>
      </c>
      <c r="F4270" s="178"/>
      <c r="G4270" s="178"/>
      <c r="H4270" s="178"/>
      <c r="I4270" s="178"/>
      <c r="J4270" s="178"/>
      <c r="K4270" s="178">
        <f t="shared" ref="K4270:K4275" si="160">ROUND(E4270/100,0)</f>
        <v>16</v>
      </c>
      <c r="L4270" s="178"/>
      <c r="M4270" s="178"/>
      <c r="N4270" s="178"/>
      <c r="O4270" s="178"/>
      <c r="P4270" s="224"/>
      <c r="Q4270" s="224"/>
      <c r="R4270" s="224"/>
      <c r="S4270" s="224"/>
    </row>
    <row r="4271" spans="1:19" s="235" customFormat="1" x14ac:dyDescent="0.35">
      <c r="A4271" s="229"/>
      <c r="B4271" s="232" t="str">
        <f t="shared" si="158"/>
        <v>VIA 4 - ESTACA 16+7,98 A 41+12,55</v>
      </c>
      <c r="C4271" s="177"/>
      <c r="D4271" s="177"/>
      <c r="E4271" s="178">
        <f t="shared" si="159"/>
        <v>504.57</v>
      </c>
      <c r="F4271" s="178"/>
      <c r="G4271" s="178"/>
      <c r="H4271" s="178"/>
      <c r="I4271" s="178"/>
      <c r="J4271" s="178"/>
      <c r="K4271" s="178">
        <f t="shared" si="160"/>
        <v>5</v>
      </c>
      <c r="L4271" s="178"/>
      <c r="M4271" s="178"/>
      <c r="N4271" s="178"/>
      <c r="O4271" s="192"/>
      <c r="P4271" s="224"/>
      <c r="Q4271" s="224"/>
      <c r="R4271" s="224"/>
      <c r="S4271" s="224"/>
    </row>
    <row r="4272" spans="1:19" s="235" customFormat="1" x14ac:dyDescent="0.35">
      <c r="A4272" s="229"/>
      <c r="B4272" s="232" t="str">
        <f t="shared" si="158"/>
        <v>VIA 5 - ESTACA 0+0,00 A 3+18,85</v>
      </c>
      <c r="C4272" s="177"/>
      <c r="D4272" s="177"/>
      <c r="E4272" s="178">
        <f t="shared" si="159"/>
        <v>78.849999999999994</v>
      </c>
      <c r="F4272" s="178"/>
      <c r="G4272" s="178"/>
      <c r="H4272" s="178"/>
      <c r="I4272" s="178"/>
      <c r="J4272" s="178"/>
      <c r="K4272" s="178">
        <f t="shared" si="160"/>
        <v>1</v>
      </c>
      <c r="L4272" s="178"/>
      <c r="M4272" s="178"/>
      <c r="N4272" s="178"/>
      <c r="O4272" s="192"/>
      <c r="P4272" s="224"/>
      <c r="Q4272" s="224"/>
      <c r="R4272" s="224"/>
      <c r="S4272" s="224"/>
    </row>
    <row r="4273" spans="1:19" s="235" customFormat="1" x14ac:dyDescent="0.35">
      <c r="A4273" s="229"/>
      <c r="B4273" s="232" t="str">
        <f t="shared" si="158"/>
        <v>VIA 6 - ESTACA 0+0,00 A 3+15,85</v>
      </c>
      <c r="C4273" s="177"/>
      <c r="D4273" s="177"/>
      <c r="E4273" s="178">
        <f t="shared" si="159"/>
        <v>75.849999999999994</v>
      </c>
      <c r="F4273" s="178"/>
      <c r="G4273" s="178"/>
      <c r="H4273" s="178"/>
      <c r="I4273" s="178"/>
      <c r="J4273" s="178"/>
      <c r="K4273" s="178">
        <f t="shared" si="160"/>
        <v>1</v>
      </c>
      <c r="L4273" s="178"/>
      <c r="M4273" s="178"/>
      <c r="N4273" s="178"/>
      <c r="O4273" s="192"/>
      <c r="P4273" s="224"/>
      <c r="Q4273" s="224"/>
      <c r="R4273" s="224"/>
      <c r="S4273" s="224"/>
    </row>
    <row r="4274" spans="1:19" s="235" customFormat="1" x14ac:dyDescent="0.35">
      <c r="A4274" s="229"/>
      <c r="B4274" s="232" t="str">
        <f t="shared" si="158"/>
        <v>VIA 7 - ESTACA 0+0,00 A 3+4,01</v>
      </c>
      <c r="C4274" s="177"/>
      <c r="D4274" s="177"/>
      <c r="E4274" s="178">
        <f t="shared" si="159"/>
        <v>64.010000000000005</v>
      </c>
      <c r="F4274" s="178"/>
      <c r="G4274" s="178"/>
      <c r="H4274" s="178"/>
      <c r="I4274" s="178"/>
      <c r="J4274" s="178"/>
      <c r="K4274" s="178">
        <f t="shared" si="160"/>
        <v>1</v>
      </c>
      <c r="L4274" s="178"/>
      <c r="M4274" s="178"/>
      <c r="N4274" s="178"/>
      <c r="O4274" s="192"/>
      <c r="P4274" s="224"/>
      <c r="Q4274" s="224"/>
      <c r="R4274" s="224"/>
      <c r="S4274" s="224"/>
    </row>
    <row r="4275" spans="1:19" s="235" customFormat="1" x14ac:dyDescent="0.35">
      <c r="A4275" s="229"/>
      <c r="B4275" s="232" t="str">
        <f t="shared" si="158"/>
        <v>VIA 8 - ESTACA 0+0,00 A 2+13,13</v>
      </c>
      <c r="C4275" s="177"/>
      <c r="D4275" s="177"/>
      <c r="E4275" s="178">
        <f t="shared" si="159"/>
        <v>53.13</v>
      </c>
      <c r="F4275" s="178"/>
      <c r="G4275" s="178"/>
      <c r="H4275" s="178"/>
      <c r="I4275" s="178"/>
      <c r="J4275" s="178"/>
      <c r="K4275" s="178">
        <f t="shared" si="160"/>
        <v>1</v>
      </c>
      <c r="L4275" s="178"/>
      <c r="M4275" s="178"/>
      <c r="N4275" s="178"/>
      <c r="O4275" s="192"/>
      <c r="P4275" s="224"/>
      <c r="Q4275" s="224"/>
      <c r="R4275" s="224"/>
      <c r="S4275" s="224"/>
    </row>
    <row r="4276" spans="1:19" s="237" customFormat="1" x14ac:dyDescent="0.35">
      <c r="A4276" s="229"/>
      <c r="B4276" s="230"/>
      <c r="C4276" s="178"/>
      <c r="D4276" s="178"/>
      <c r="E4276" s="178"/>
      <c r="F4276" s="178"/>
      <c r="G4276" s="178"/>
      <c r="H4276" s="178"/>
      <c r="I4276" s="178"/>
      <c r="J4276" s="178"/>
      <c r="K4276" s="178"/>
      <c r="L4276" s="178"/>
      <c r="M4276" s="178"/>
      <c r="N4276" s="178"/>
      <c r="O4276" s="193"/>
      <c r="P4276" s="236"/>
      <c r="Q4276" s="236"/>
      <c r="R4276" s="236"/>
      <c r="S4276" s="236"/>
    </row>
    <row r="4277" spans="1:19" s="235" customFormat="1" x14ac:dyDescent="0.35">
      <c r="A4277" s="238"/>
      <c r="B4277" s="232" t="s">
        <v>5</v>
      </c>
      <c r="C4277" s="182" t="s">
        <v>1328</v>
      </c>
      <c r="D4277" s="182"/>
      <c r="E4277" s="182"/>
      <c r="F4277" s="182"/>
      <c r="G4277" s="182"/>
      <c r="H4277" s="182"/>
      <c r="I4277" s="182"/>
      <c r="J4277" s="182"/>
      <c r="K4277" s="196">
        <f>SUM(K4269:K4276)</f>
        <v>25</v>
      </c>
      <c r="L4277" s="182"/>
      <c r="M4277" s="182"/>
      <c r="N4277" s="182"/>
      <c r="O4277" s="196"/>
      <c r="P4277" s="224"/>
      <c r="Q4277" s="224"/>
      <c r="R4277" s="224"/>
      <c r="S4277" s="224"/>
    </row>
    <row r="4278" spans="1:19" s="225" customFormat="1" ht="10.5" x14ac:dyDescent="0.25">
      <c r="A4278" s="222" t="str">
        <f>ORÇAMENTO!A783</f>
        <v>7.1.2</v>
      </c>
      <c r="B4278" s="223" t="str">
        <f>VLOOKUP(A4278,ORÇAMENTO!A:K,4,0)</f>
        <v>REDES DE DRENAGEM DE ÁGUAS PLUVIAIS</v>
      </c>
      <c r="C4278" s="167"/>
      <c r="D4278" s="167"/>
      <c r="E4278" s="168"/>
      <c r="F4278" s="168"/>
      <c r="G4278" s="168"/>
      <c r="H4278" s="168"/>
      <c r="I4278" s="168"/>
      <c r="J4278" s="168"/>
      <c r="K4278" s="168"/>
      <c r="L4278" s="168"/>
      <c r="M4278" s="168"/>
      <c r="N4278" s="168"/>
      <c r="O4278" s="168"/>
      <c r="P4278" s="224"/>
      <c r="Q4278" s="224"/>
    </row>
    <row r="4279" spans="1:19" s="225" customFormat="1" ht="31.5" x14ac:dyDescent="0.25">
      <c r="A4279" s="222" t="str">
        <f>ORÇAMENTO!A784</f>
        <v>7.1.2.1</v>
      </c>
      <c r="B4279" s="223" t="str">
        <f>VLOOKUP(A4279,ORÇAMENTO!A:K,4,0)</f>
        <v>ESCAVAÇÕES PARA SISTEMAS DESTRUTIVOS, COM DEPOSIÇÃO LATERAL PARA POSTERIOR REAPROVEITAMENTO</v>
      </c>
      <c r="C4279" s="167"/>
      <c r="D4279" s="167"/>
      <c r="E4279" s="168"/>
      <c r="F4279" s="168"/>
      <c r="G4279" s="168"/>
      <c r="H4279" s="168"/>
      <c r="I4279" s="168"/>
      <c r="J4279" s="168"/>
      <c r="K4279" s="168"/>
      <c r="L4279" s="168"/>
      <c r="M4279" s="168"/>
      <c r="N4279" s="168"/>
      <c r="O4279" s="168"/>
      <c r="P4279" s="224"/>
      <c r="Q4279" s="224"/>
    </row>
    <row r="4280" spans="1:19" s="228" customFormat="1" ht="63" x14ac:dyDescent="0.25">
      <c r="A4280" s="226" t="str">
        <f>ORÇAMENTO!A785</f>
        <v>7.1.2.1.1</v>
      </c>
      <c r="B4280" s="227" t="str">
        <f>VLOOKUP(A4280,ORÇAMENTO!A:K,4,0)</f>
        <v>ESCAVAÇÃO MECANIZADA DE VALA COM PROF. MAIOR QUE 1,5 M ATÉ 3,0 M (MÉDIA MONTANTE E JUSANTE/UMA COMPOSIÇÃO POR TRECHO), ESCAVADEIRA (0,8 M3), LARGURA ATÉ 1,5 M, EM SOLO MOLE, EM LOCAIS COM ALTO NÍVEL DE INTERFERÊNCIA. AF_09/2024</v>
      </c>
      <c r="C4280" s="173" t="str">
        <f>VLOOKUP(A4280,ORÇAMENTO!A:K,5,0)</f>
        <v>M³</v>
      </c>
      <c r="D4280" s="173">
        <f>SUM(E4284:O4284)</f>
        <v>39.9056</v>
      </c>
      <c r="E4280" s="173" t="s">
        <v>1718</v>
      </c>
      <c r="F4280" s="173" t="s">
        <v>1719</v>
      </c>
      <c r="G4280" s="173" t="s">
        <v>1720</v>
      </c>
      <c r="H4280" s="173" t="s">
        <v>1721</v>
      </c>
      <c r="I4280" s="173" t="s">
        <v>1722</v>
      </c>
      <c r="J4280" s="173" t="s">
        <v>1723</v>
      </c>
      <c r="K4280" s="173" t="s">
        <v>1746</v>
      </c>
      <c r="L4280" s="173" t="s">
        <v>1753</v>
      </c>
      <c r="M4280" s="173" t="s">
        <v>1771</v>
      </c>
      <c r="N4280" s="173" t="s">
        <v>1727</v>
      </c>
      <c r="O4280" s="173" t="s">
        <v>1728</v>
      </c>
      <c r="P4280" s="224"/>
      <c r="Q4280" s="224"/>
    </row>
    <row r="4281" spans="1:19" s="225" customFormat="1" ht="10.5" x14ac:dyDescent="0.25">
      <c r="A4281" s="229"/>
      <c r="B4281" s="230"/>
      <c r="C4281" s="177"/>
      <c r="D4281" s="178"/>
      <c r="E4281" s="178"/>
      <c r="F4281" s="178"/>
      <c r="G4281" s="178"/>
      <c r="H4281" s="178"/>
      <c r="I4281" s="178"/>
      <c r="J4281" s="178"/>
      <c r="K4281" s="178"/>
      <c r="L4281" s="178"/>
      <c r="M4281" s="178"/>
      <c r="N4281" s="178"/>
      <c r="O4281" s="178"/>
      <c r="P4281" s="231"/>
      <c r="Q4281" s="224"/>
    </row>
    <row r="4282" spans="1:19" s="225" customFormat="1" ht="10.5" x14ac:dyDescent="0.25">
      <c r="A4282" s="229"/>
      <c r="B4282" s="230" t="s">
        <v>1731</v>
      </c>
      <c r="C4282" s="177"/>
      <c r="D4282" s="178"/>
      <c r="E4282" s="178"/>
      <c r="F4282" s="178"/>
      <c r="G4282" s="178"/>
      <c r="H4282" s="178"/>
      <c r="I4282" s="178"/>
      <c r="J4282" s="178"/>
      <c r="K4282" s="178"/>
      <c r="L4282" s="178"/>
      <c r="M4282" s="178"/>
      <c r="N4282" s="178"/>
      <c r="O4282" s="178">
        <f>Quantitativos!AD192</f>
        <v>39.9056</v>
      </c>
      <c r="P4282" s="231"/>
      <c r="Q4282" s="224"/>
    </row>
    <row r="4283" spans="1:19" s="225" customFormat="1" ht="10.5" x14ac:dyDescent="0.25">
      <c r="A4283" s="229"/>
      <c r="B4283" s="230"/>
      <c r="C4283" s="177"/>
      <c r="D4283" s="178"/>
      <c r="E4283" s="178"/>
      <c r="F4283" s="178"/>
      <c r="G4283" s="178"/>
      <c r="H4283" s="178"/>
      <c r="I4283" s="178"/>
      <c r="J4283" s="178"/>
      <c r="K4283" s="178"/>
      <c r="L4283" s="178"/>
      <c r="M4283" s="178"/>
      <c r="N4283" s="178"/>
      <c r="O4283" s="178"/>
      <c r="P4283" s="231"/>
      <c r="Q4283" s="224"/>
    </row>
    <row r="4284" spans="1:19" s="225" customFormat="1" ht="10.5" x14ac:dyDescent="0.25">
      <c r="A4284" s="229"/>
      <c r="B4284" s="232" t="s">
        <v>5</v>
      </c>
      <c r="C4284" s="182" t="s">
        <v>1328</v>
      </c>
      <c r="D4284" s="182"/>
      <c r="E4284" s="182"/>
      <c r="F4284" s="182"/>
      <c r="G4284" s="182"/>
      <c r="H4284" s="182"/>
      <c r="I4284" s="182"/>
      <c r="J4284" s="182"/>
      <c r="K4284" s="182"/>
      <c r="L4284" s="182"/>
      <c r="M4284" s="182"/>
      <c r="N4284" s="182"/>
      <c r="O4284" s="182">
        <f>SUM(O4281:O4283)</f>
        <v>39.9056</v>
      </c>
      <c r="P4284" s="233"/>
      <c r="Q4284" s="224"/>
    </row>
    <row r="4285" spans="1:19" s="228" customFormat="1" ht="63" x14ac:dyDescent="0.25">
      <c r="A4285" s="226"/>
      <c r="B4285" s="227" t="s">
        <v>465</v>
      </c>
      <c r="C4285" s="173" t="s">
        <v>268</v>
      </c>
      <c r="D4285" s="173">
        <f>SUM(E4289:O4289)</f>
        <v>0</v>
      </c>
      <c r="E4285" s="173" t="s">
        <v>1718</v>
      </c>
      <c r="F4285" s="173" t="s">
        <v>1719</v>
      </c>
      <c r="G4285" s="173" t="s">
        <v>1720</v>
      </c>
      <c r="H4285" s="173" t="s">
        <v>1721</v>
      </c>
      <c r="I4285" s="173" t="s">
        <v>1722</v>
      </c>
      <c r="J4285" s="173" t="s">
        <v>1723</v>
      </c>
      <c r="K4285" s="173" t="s">
        <v>1746</v>
      </c>
      <c r="L4285" s="173" t="s">
        <v>1753</v>
      </c>
      <c r="M4285" s="173" t="s">
        <v>1771</v>
      </c>
      <c r="N4285" s="173" t="s">
        <v>1727</v>
      </c>
      <c r="O4285" s="173" t="s">
        <v>1728</v>
      </c>
      <c r="P4285" s="224"/>
      <c r="Q4285" s="224"/>
    </row>
    <row r="4286" spans="1:19" s="225" customFormat="1" ht="10.5" x14ac:dyDescent="0.25">
      <c r="A4286" s="229"/>
      <c r="B4286" s="230"/>
      <c r="C4286" s="177"/>
      <c r="D4286" s="178"/>
      <c r="E4286" s="178"/>
      <c r="F4286" s="178"/>
      <c r="G4286" s="178"/>
      <c r="H4286" s="178"/>
      <c r="I4286" s="178"/>
      <c r="J4286" s="178"/>
      <c r="K4286" s="178"/>
      <c r="L4286" s="178"/>
      <c r="M4286" s="178"/>
      <c r="N4286" s="178"/>
      <c r="O4286" s="178"/>
      <c r="P4286" s="231"/>
      <c r="Q4286" s="224"/>
    </row>
    <row r="4287" spans="1:19" s="225" customFormat="1" ht="10.5" x14ac:dyDescent="0.25">
      <c r="A4287" s="229"/>
      <c r="B4287" s="230" t="s">
        <v>1731</v>
      </c>
      <c r="C4287" s="177"/>
      <c r="D4287" s="178"/>
      <c r="E4287" s="178"/>
      <c r="F4287" s="178"/>
      <c r="G4287" s="178"/>
      <c r="H4287" s="178"/>
      <c r="I4287" s="178"/>
      <c r="J4287" s="178"/>
      <c r="K4287" s="178"/>
      <c r="L4287" s="178"/>
      <c r="M4287" s="178"/>
      <c r="N4287" s="178"/>
      <c r="O4287" s="178">
        <f>Quantitativos!AE192</f>
        <v>0</v>
      </c>
      <c r="P4287" s="231"/>
      <c r="Q4287" s="224"/>
    </row>
    <row r="4288" spans="1:19" s="225" customFormat="1" ht="10.5" x14ac:dyDescent="0.25">
      <c r="A4288" s="229"/>
      <c r="B4288" s="230"/>
      <c r="C4288" s="177"/>
      <c r="D4288" s="178"/>
      <c r="E4288" s="178"/>
      <c r="F4288" s="178"/>
      <c r="G4288" s="178"/>
      <c r="H4288" s="178"/>
      <c r="I4288" s="178"/>
      <c r="J4288" s="178"/>
      <c r="K4288" s="178"/>
      <c r="L4288" s="178"/>
      <c r="M4288" s="178"/>
      <c r="N4288" s="178"/>
      <c r="O4288" s="178"/>
      <c r="P4288" s="231"/>
      <c r="Q4288" s="224"/>
    </row>
    <row r="4289" spans="1:17" s="225" customFormat="1" ht="10.5" x14ac:dyDescent="0.25">
      <c r="A4289" s="229"/>
      <c r="B4289" s="232" t="s">
        <v>5</v>
      </c>
      <c r="C4289" s="182" t="s">
        <v>1328</v>
      </c>
      <c r="D4289" s="182"/>
      <c r="E4289" s="182"/>
      <c r="F4289" s="182"/>
      <c r="G4289" s="182"/>
      <c r="H4289" s="182"/>
      <c r="I4289" s="182"/>
      <c r="J4289" s="182"/>
      <c r="K4289" s="182"/>
      <c r="L4289" s="182"/>
      <c r="M4289" s="182"/>
      <c r="N4289" s="182"/>
      <c r="O4289" s="182">
        <f>SUM(O4286:O4288)</f>
        <v>0</v>
      </c>
      <c r="P4289" s="233"/>
      <c r="Q4289" s="224"/>
    </row>
    <row r="4290" spans="1:17" s="228" customFormat="1" ht="63" x14ac:dyDescent="0.25">
      <c r="A4290" s="226" t="str">
        <f>ORÇAMENTO!A786</f>
        <v>7.1.2.1.2</v>
      </c>
      <c r="B4290" s="227" t="str">
        <f>VLOOKUP(A4290,ORÇAMENTO!A:K,4,0)</f>
        <v>ESCAVAÇÃO MECANIZADA DE VALA COM PROF. ATÉ 1,5 M (MÉDIA MONTANTE E JUSANTE/UMA COMPOSIÇÃO POR TRECHO), ESCAVADEIRA (0,8 M3), LARG. DE 1,5 M A 2,5 M, EM SOLO MOLE, EM LOCAIS COM ALTO NÍVEL DE INTERFERÊNCIA. AF_09/2024</v>
      </c>
      <c r="C4290" s="173" t="str">
        <f>VLOOKUP(A4290,ORÇAMENTO!A:K,5,0)</f>
        <v>M³</v>
      </c>
      <c r="D4290" s="173">
        <f>SUM(E4294:O4294)</f>
        <v>42.042000000000002</v>
      </c>
      <c r="E4290" s="173" t="s">
        <v>1718</v>
      </c>
      <c r="F4290" s="173" t="s">
        <v>1719</v>
      </c>
      <c r="G4290" s="173" t="s">
        <v>1720</v>
      </c>
      <c r="H4290" s="173" t="s">
        <v>1721</v>
      </c>
      <c r="I4290" s="173" t="s">
        <v>1722</v>
      </c>
      <c r="J4290" s="173" t="s">
        <v>1723</v>
      </c>
      <c r="K4290" s="173" t="s">
        <v>1746</v>
      </c>
      <c r="L4290" s="173" t="s">
        <v>1753</v>
      </c>
      <c r="M4290" s="173" t="s">
        <v>1771</v>
      </c>
      <c r="N4290" s="173" t="s">
        <v>1727</v>
      </c>
      <c r="O4290" s="173" t="s">
        <v>1728</v>
      </c>
      <c r="P4290" s="224"/>
      <c r="Q4290" s="224"/>
    </row>
    <row r="4291" spans="1:17" s="225" customFormat="1" ht="10.5" x14ac:dyDescent="0.25">
      <c r="A4291" s="229"/>
      <c r="B4291" s="230"/>
      <c r="C4291" s="177"/>
      <c r="D4291" s="178"/>
      <c r="E4291" s="178"/>
      <c r="F4291" s="178"/>
      <c r="G4291" s="178"/>
      <c r="H4291" s="178"/>
      <c r="I4291" s="178"/>
      <c r="J4291" s="178"/>
      <c r="K4291" s="178"/>
      <c r="L4291" s="178"/>
      <c r="M4291" s="178"/>
      <c r="N4291" s="178"/>
      <c r="O4291" s="178"/>
      <c r="P4291" s="231"/>
      <c r="Q4291" s="224"/>
    </row>
    <row r="4292" spans="1:17" s="225" customFormat="1" ht="10.5" x14ac:dyDescent="0.25">
      <c r="A4292" s="229"/>
      <c r="B4292" s="230" t="s">
        <v>1731</v>
      </c>
      <c r="C4292" s="177"/>
      <c r="D4292" s="178"/>
      <c r="E4292" s="178"/>
      <c r="F4292" s="178"/>
      <c r="G4292" s="178"/>
      <c r="H4292" s="178"/>
      <c r="I4292" s="178"/>
      <c r="J4292" s="178"/>
      <c r="K4292" s="178"/>
      <c r="L4292" s="178"/>
      <c r="M4292" s="178"/>
      <c r="N4292" s="178"/>
      <c r="O4292" s="178">
        <f>Quantitativos!AF192</f>
        <v>42.042000000000002</v>
      </c>
      <c r="P4292" s="231"/>
      <c r="Q4292" s="224"/>
    </row>
    <row r="4293" spans="1:17" s="225" customFormat="1" ht="10.5" x14ac:dyDescent="0.25">
      <c r="A4293" s="229"/>
      <c r="B4293" s="230"/>
      <c r="C4293" s="177"/>
      <c r="D4293" s="178"/>
      <c r="E4293" s="178"/>
      <c r="F4293" s="178"/>
      <c r="G4293" s="178"/>
      <c r="H4293" s="178"/>
      <c r="I4293" s="178"/>
      <c r="J4293" s="178"/>
      <c r="K4293" s="178"/>
      <c r="L4293" s="178"/>
      <c r="M4293" s="178"/>
      <c r="N4293" s="178"/>
      <c r="O4293" s="178"/>
      <c r="P4293" s="231"/>
      <c r="Q4293" s="224"/>
    </row>
    <row r="4294" spans="1:17" s="225" customFormat="1" ht="10.5" x14ac:dyDescent="0.25">
      <c r="A4294" s="229"/>
      <c r="B4294" s="232" t="s">
        <v>5</v>
      </c>
      <c r="C4294" s="182" t="s">
        <v>1328</v>
      </c>
      <c r="D4294" s="182"/>
      <c r="E4294" s="182"/>
      <c r="F4294" s="182"/>
      <c r="G4294" s="182"/>
      <c r="H4294" s="182"/>
      <c r="I4294" s="182"/>
      <c r="J4294" s="182"/>
      <c r="K4294" s="182"/>
      <c r="L4294" s="182"/>
      <c r="M4294" s="182"/>
      <c r="N4294" s="182"/>
      <c r="O4294" s="182">
        <f>SUM(O4291:O4293)</f>
        <v>42.042000000000002</v>
      </c>
      <c r="P4294" s="233"/>
      <c r="Q4294" s="224"/>
    </row>
    <row r="4295" spans="1:17" s="228" customFormat="1" ht="63" x14ac:dyDescent="0.25">
      <c r="A4295" s="226" t="str">
        <f>ORÇAMENTO!A787</f>
        <v>7.1.2.1.3</v>
      </c>
      <c r="B4295" s="227" t="str">
        <f>VLOOKUP(A4295,ORÇAMENTO!A:K,4,0)</f>
        <v>ESCAVAÇÃO MECANIZADA DE VALA COM PROF. MAIOR QUE 1,5 M ATÉ 3,0 M (MÉDIA MONTANTE E JUSANTE/UMA COMPOSIÇÃO POR TRECHO),COM ESCAVADEIRA (1,2 M3),LARG. DE 1,5 M A 2,5 M, EM SOLO MOLE, EM LOCAIS COM ALTO NÍVEL DE INTERFERÊNCIA. AF_09/2024</v>
      </c>
      <c r="C4295" s="173" t="str">
        <f>VLOOKUP(A4295,ORÇAMENTO!A:K,5,0)</f>
        <v>M³</v>
      </c>
      <c r="D4295" s="173">
        <f>SUM(E4299:O4299)</f>
        <v>171.81100000000001</v>
      </c>
      <c r="E4295" s="173" t="s">
        <v>1718</v>
      </c>
      <c r="F4295" s="173" t="s">
        <v>1719</v>
      </c>
      <c r="G4295" s="173" t="s">
        <v>1720</v>
      </c>
      <c r="H4295" s="173" t="s">
        <v>1721</v>
      </c>
      <c r="I4295" s="173" t="s">
        <v>1722</v>
      </c>
      <c r="J4295" s="173" t="s">
        <v>1723</v>
      </c>
      <c r="K4295" s="173" t="s">
        <v>1746</v>
      </c>
      <c r="L4295" s="173" t="s">
        <v>1753</v>
      </c>
      <c r="M4295" s="173" t="s">
        <v>1771</v>
      </c>
      <c r="N4295" s="173" t="s">
        <v>1727</v>
      </c>
      <c r="O4295" s="173" t="s">
        <v>1728</v>
      </c>
      <c r="P4295" s="224"/>
      <c r="Q4295" s="224"/>
    </row>
    <row r="4296" spans="1:17" s="225" customFormat="1" ht="10.5" x14ac:dyDescent="0.25">
      <c r="A4296" s="229"/>
      <c r="B4296" s="230"/>
      <c r="C4296" s="177"/>
      <c r="D4296" s="178"/>
      <c r="E4296" s="178"/>
      <c r="F4296" s="178"/>
      <c r="G4296" s="178"/>
      <c r="H4296" s="178"/>
      <c r="I4296" s="178"/>
      <c r="J4296" s="178"/>
      <c r="K4296" s="178"/>
      <c r="L4296" s="178"/>
      <c r="M4296" s="178"/>
      <c r="N4296" s="178"/>
      <c r="O4296" s="178"/>
      <c r="P4296" s="231"/>
      <c r="Q4296" s="224"/>
    </row>
    <row r="4297" spans="1:17" s="225" customFormat="1" ht="10.5" x14ac:dyDescent="0.25">
      <c r="A4297" s="229"/>
      <c r="B4297" s="230" t="s">
        <v>1731</v>
      </c>
      <c r="C4297" s="177"/>
      <c r="D4297" s="178"/>
      <c r="E4297" s="178"/>
      <c r="F4297" s="178"/>
      <c r="G4297" s="178"/>
      <c r="H4297" s="178"/>
      <c r="I4297" s="178"/>
      <c r="J4297" s="178"/>
      <c r="K4297" s="178"/>
      <c r="L4297" s="178"/>
      <c r="M4297" s="178"/>
      <c r="N4297" s="178"/>
      <c r="O4297" s="178">
        <f>Quantitativos!AG192</f>
        <v>171.81100000000001</v>
      </c>
      <c r="P4297" s="231"/>
      <c r="Q4297" s="224"/>
    </row>
    <row r="4298" spans="1:17" s="225" customFormat="1" ht="10.5" x14ac:dyDescent="0.25">
      <c r="A4298" s="229"/>
      <c r="B4298" s="230"/>
      <c r="C4298" s="177"/>
      <c r="D4298" s="178"/>
      <c r="E4298" s="178"/>
      <c r="F4298" s="178"/>
      <c r="G4298" s="178"/>
      <c r="H4298" s="178"/>
      <c r="I4298" s="178"/>
      <c r="J4298" s="178"/>
      <c r="K4298" s="178"/>
      <c r="L4298" s="178"/>
      <c r="M4298" s="178"/>
      <c r="N4298" s="178"/>
      <c r="O4298" s="178"/>
      <c r="P4298" s="231"/>
      <c r="Q4298" s="224"/>
    </row>
    <row r="4299" spans="1:17" s="225" customFormat="1" ht="10.5" x14ac:dyDescent="0.25">
      <c r="A4299" s="229"/>
      <c r="B4299" s="232" t="s">
        <v>5</v>
      </c>
      <c r="C4299" s="182" t="s">
        <v>1328</v>
      </c>
      <c r="D4299" s="182"/>
      <c r="E4299" s="182"/>
      <c r="F4299" s="182"/>
      <c r="G4299" s="182"/>
      <c r="H4299" s="182"/>
      <c r="I4299" s="182"/>
      <c r="J4299" s="182"/>
      <c r="K4299" s="182"/>
      <c r="L4299" s="182"/>
      <c r="M4299" s="182"/>
      <c r="N4299" s="182"/>
      <c r="O4299" s="182">
        <f>SUM(O4296:O4298)</f>
        <v>171.81100000000001</v>
      </c>
      <c r="P4299" s="233"/>
      <c r="Q4299" s="224"/>
    </row>
    <row r="4300" spans="1:17" s="228" customFormat="1" ht="63" x14ac:dyDescent="0.25">
      <c r="A4300" s="226" t="str">
        <f>ORÇAMENTO!A788</f>
        <v>7.1.2.1.4</v>
      </c>
      <c r="B4300" s="227" t="str">
        <f>VLOOKUP(A4300,ORÇAMENTO!A:K,4,0)</f>
        <v>ESCAVAÇÃO MECANIZADA DE VALA COM PROF. DE 3,0 M ATÉ 4,5 M (MÉDIA MONTANTE E JUSANTE/UMA COMPOSIÇÃO POR TRECHO), ESCAVADEIRA (1,2 M3), LARG. DE 1,5 M A 2,5 M, EM SOLO MOLE, EM LOCAIS COM ALTO NÍVEL DE INTERFERÊNCIA. AF_09/2024</v>
      </c>
      <c r="C4300" s="173" t="str">
        <f>VLOOKUP(A4300,ORÇAMENTO!A:K,5,0)</f>
        <v>M³</v>
      </c>
      <c r="D4300" s="173">
        <f>SUM(E4304:O4304)</f>
        <v>230.05680000000001</v>
      </c>
      <c r="E4300" s="173" t="s">
        <v>1718</v>
      </c>
      <c r="F4300" s="173" t="s">
        <v>1719</v>
      </c>
      <c r="G4300" s="173" t="s">
        <v>1720</v>
      </c>
      <c r="H4300" s="173" t="s">
        <v>1721</v>
      </c>
      <c r="I4300" s="173" t="s">
        <v>1722</v>
      </c>
      <c r="J4300" s="173" t="s">
        <v>1723</v>
      </c>
      <c r="K4300" s="173" t="s">
        <v>1746</v>
      </c>
      <c r="L4300" s="173" t="s">
        <v>1753</v>
      </c>
      <c r="M4300" s="173" t="s">
        <v>1771</v>
      </c>
      <c r="N4300" s="173" t="s">
        <v>1727</v>
      </c>
      <c r="O4300" s="173" t="s">
        <v>1728</v>
      </c>
      <c r="P4300" s="224"/>
      <c r="Q4300" s="224"/>
    </row>
    <row r="4301" spans="1:17" s="225" customFormat="1" ht="10.5" x14ac:dyDescent="0.25">
      <c r="A4301" s="229"/>
      <c r="B4301" s="230"/>
      <c r="C4301" s="177"/>
      <c r="D4301" s="178"/>
      <c r="E4301" s="178"/>
      <c r="F4301" s="178"/>
      <c r="G4301" s="178"/>
      <c r="H4301" s="178"/>
      <c r="I4301" s="178"/>
      <c r="J4301" s="178"/>
      <c r="K4301" s="178"/>
      <c r="L4301" s="178"/>
      <c r="M4301" s="178"/>
      <c r="N4301" s="178"/>
      <c r="O4301" s="178"/>
      <c r="P4301" s="231"/>
      <c r="Q4301" s="224"/>
    </row>
    <row r="4302" spans="1:17" s="225" customFormat="1" ht="10.5" x14ac:dyDescent="0.25">
      <c r="A4302" s="229"/>
      <c r="B4302" s="230" t="s">
        <v>1731</v>
      </c>
      <c r="C4302" s="177"/>
      <c r="D4302" s="178"/>
      <c r="E4302" s="178"/>
      <c r="F4302" s="178"/>
      <c r="G4302" s="178"/>
      <c r="H4302" s="178"/>
      <c r="I4302" s="178"/>
      <c r="J4302" s="178"/>
      <c r="K4302" s="178"/>
      <c r="L4302" s="178"/>
      <c r="M4302" s="178"/>
      <c r="N4302" s="178"/>
      <c r="O4302" s="178">
        <f>Quantitativos!AH192</f>
        <v>230.05680000000001</v>
      </c>
      <c r="P4302" s="231"/>
      <c r="Q4302" s="224"/>
    </row>
    <row r="4303" spans="1:17" s="225" customFormat="1" ht="10.5" x14ac:dyDescent="0.25">
      <c r="A4303" s="229"/>
      <c r="B4303" s="230"/>
      <c r="C4303" s="177"/>
      <c r="D4303" s="178"/>
      <c r="E4303" s="178"/>
      <c r="F4303" s="178"/>
      <c r="G4303" s="178"/>
      <c r="H4303" s="178"/>
      <c r="I4303" s="178"/>
      <c r="J4303" s="178"/>
      <c r="K4303" s="178"/>
      <c r="L4303" s="178"/>
      <c r="M4303" s="178"/>
      <c r="N4303" s="178"/>
      <c r="O4303" s="178"/>
      <c r="P4303" s="231"/>
      <c r="Q4303" s="224"/>
    </row>
    <row r="4304" spans="1:17" s="225" customFormat="1" ht="10.5" x14ac:dyDescent="0.25">
      <c r="A4304" s="229"/>
      <c r="B4304" s="232" t="s">
        <v>5</v>
      </c>
      <c r="C4304" s="182" t="s">
        <v>1328</v>
      </c>
      <c r="D4304" s="182"/>
      <c r="E4304" s="182"/>
      <c r="F4304" s="182"/>
      <c r="G4304" s="182"/>
      <c r="H4304" s="182"/>
      <c r="I4304" s="182"/>
      <c r="J4304" s="182"/>
      <c r="K4304" s="182"/>
      <c r="L4304" s="182"/>
      <c r="M4304" s="182"/>
      <c r="N4304" s="182"/>
      <c r="O4304" s="182">
        <f>SUM(O4301:O4303)</f>
        <v>230.05680000000001</v>
      </c>
      <c r="P4304" s="233"/>
      <c r="Q4304" s="224"/>
    </row>
    <row r="4305" spans="1:17" s="228" customFormat="1" ht="63" x14ac:dyDescent="0.25">
      <c r="A4305" s="226"/>
      <c r="B4305" s="227" t="s">
        <v>297</v>
      </c>
      <c r="C4305" s="173" t="s">
        <v>268</v>
      </c>
      <c r="D4305" s="173">
        <f>SUM(E4309:O4309)</f>
        <v>0</v>
      </c>
      <c r="E4305" s="173" t="s">
        <v>1718</v>
      </c>
      <c r="F4305" s="173" t="s">
        <v>1719</v>
      </c>
      <c r="G4305" s="173" t="s">
        <v>1720</v>
      </c>
      <c r="H4305" s="173" t="s">
        <v>1721</v>
      </c>
      <c r="I4305" s="173" t="s">
        <v>1722</v>
      </c>
      <c r="J4305" s="173" t="s">
        <v>1723</v>
      </c>
      <c r="K4305" s="173" t="s">
        <v>1746</v>
      </c>
      <c r="L4305" s="173" t="s">
        <v>1753</v>
      </c>
      <c r="M4305" s="173" t="s">
        <v>1771</v>
      </c>
      <c r="N4305" s="173" t="s">
        <v>1727</v>
      </c>
      <c r="O4305" s="173" t="s">
        <v>1728</v>
      </c>
      <c r="P4305" s="224"/>
      <c r="Q4305" s="224"/>
    </row>
    <row r="4306" spans="1:17" s="225" customFormat="1" ht="10.5" x14ac:dyDescent="0.25">
      <c r="A4306" s="229"/>
      <c r="B4306" s="230"/>
      <c r="C4306" s="177"/>
      <c r="D4306" s="178"/>
      <c r="E4306" s="178"/>
      <c r="F4306" s="178"/>
      <c r="G4306" s="178"/>
      <c r="H4306" s="178"/>
      <c r="I4306" s="178"/>
      <c r="J4306" s="178"/>
      <c r="K4306" s="178"/>
      <c r="L4306" s="178"/>
      <c r="M4306" s="178"/>
      <c r="N4306" s="178"/>
      <c r="O4306" s="178"/>
      <c r="P4306" s="231"/>
      <c r="Q4306" s="224"/>
    </row>
    <row r="4307" spans="1:17" s="225" customFormat="1" ht="10.5" x14ac:dyDescent="0.25">
      <c r="A4307" s="229"/>
      <c r="B4307" s="230" t="s">
        <v>1731</v>
      </c>
      <c r="C4307" s="177"/>
      <c r="D4307" s="178"/>
      <c r="E4307" s="178"/>
      <c r="F4307" s="178"/>
      <c r="G4307" s="178"/>
      <c r="H4307" s="178"/>
      <c r="I4307" s="178"/>
      <c r="J4307" s="178"/>
      <c r="K4307" s="178"/>
      <c r="L4307" s="178"/>
      <c r="M4307" s="178"/>
      <c r="N4307" s="178"/>
      <c r="O4307" s="178">
        <f>Quantitativos!AI192</f>
        <v>0</v>
      </c>
      <c r="P4307" s="231"/>
      <c r="Q4307" s="224"/>
    </row>
    <row r="4308" spans="1:17" s="225" customFormat="1" ht="10.5" x14ac:dyDescent="0.25">
      <c r="A4308" s="229"/>
      <c r="B4308" s="230"/>
      <c r="C4308" s="177"/>
      <c r="D4308" s="178"/>
      <c r="E4308" s="178"/>
      <c r="F4308" s="178"/>
      <c r="G4308" s="178"/>
      <c r="H4308" s="178"/>
      <c r="I4308" s="178"/>
      <c r="J4308" s="178"/>
      <c r="K4308" s="178"/>
      <c r="L4308" s="178"/>
      <c r="M4308" s="178"/>
      <c r="N4308" s="178"/>
      <c r="O4308" s="178"/>
      <c r="P4308" s="231"/>
      <c r="Q4308" s="224"/>
    </row>
    <row r="4309" spans="1:17" s="225" customFormat="1" ht="10.5" x14ac:dyDescent="0.25">
      <c r="A4309" s="229"/>
      <c r="B4309" s="232" t="s">
        <v>5</v>
      </c>
      <c r="C4309" s="182" t="s">
        <v>1328</v>
      </c>
      <c r="D4309" s="182"/>
      <c r="E4309" s="182"/>
      <c r="F4309" s="182"/>
      <c r="G4309" s="182"/>
      <c r="H4309" s="182"/>
      <c r="I4309" s="182"/>
      <c r="J4309" s="182"/>
      <c r="K4309" s="182"/>
      <c r="L4309" s="182"/>
      <c r="M4309" s="182"/>
      <c r="N4309" s="182"/>
      <c r="O4309" s="182">
        <f>SUM(O4306:O4308)</f>
        <v>0</v>
      </c>
      <c r="P4309" s="233"/>
      <c r="Q4309" s="224"/>
    </row>
    <row r="4310" spans="1:17" s="228" customFormat="1" ht="63" x14ac:dyDescent="0.25">
      <c r="A4310" s="226" t="str">
        <f>ORÇAMENTO!A789</f>
        <v>7.1.2.1.5</v>
      </c>
      <c r="B4310" s="227" t="str">
        <f>VLOOKUP(A4310,ORÇAMENTO!A:K,4,0)</f>
        <v>ESCAVAÇÃO MECANIZADA DE VALA COM PROF. ATÉ 1,5 M (MÉDIA MONTANTE E JUSANTE/UMA COMPOSIÇÃO POR TRECHO), ESCAVADEIRA (0,8 M3), LARG. MENOR QUE 1,5 M, EM SOLO DE 1A CATEGORIA, EM LOCAIS COM ALTO NÍVEL DE INTERFERÊNCIA. AF_09/2024</v>
      </c>
      <c r="C4310" s="173" t="str">
        <f>VLOOKUP(A4310,ORÇAMENTO!A:K,5,0)</f>
        <v>M³</v>
      </c>
      <c r="D4310" s="173">
        <f>SUM(E4314:O4314)</f>
        <v>291.73199999999997</v>
      </c>
      <c r="E4310" s="173" t="s">
        <v>1718</v>
      </c>
      <c r="F4310" s="173" t="s">
        <v>1719</v>
      </c>
      <c r="G4310" s="173" t="s">
        <v>1720</v>
      </c>
      <c r="H4310" s="173" t="s">
        <v>1721</v>
      </c>
      <c r="I4310" s="173" t="s">
        <v>1722</v>
      </c>
      <c r="J4310" s="173" t="s">
        <v>1723</v>
      </c>
      <c r="K4310" s="173" t="s">
        <v>1746</v>
      </c>
      <c r="L4310" s="173" t="s">
        <v>1753</v>
      </c>
      <c r="M4310" s="173" t="s">
        <v>1771</v>
      </c>
      <c r="N4310" s="173" t="s">
        <v>1727</v>
      </c>
      <c r="O4310" s="173" t="s">
        <v>1728</v>
      </c>
      <c r="P4310" s="224"/>
      <c r="Q4310" s="224"/>
    </row>
    <row r="4311" spans="1:17" s="225" customFormat="1" ht="10.5" x14ac:dyDescent="0.25">
      <c r="A4311" s="229"/>
      <c r="B4311" s="230"/>
      <c r="C4311" s="177"/>
      <c r="D4311" s="178"/>
      <c r="E4311" s="178"/>
      <c r="F4311" s="178"/>
      <c r="G4311" s="178"/>
      <c r="H4311" s="178"/>
      <c r="I4311" s="178"/>
      <c r="J4311" s="178"/>
      <c r="K4311" s="178"/>
      <c r="L4311" s="178"/>
      <c r="M4311" s="178"/>
      <c r="N4311" s="178"/>
      <c r="O4311" s="178"/>
      <c r="P4311" s="231"/>
      <c r="Q4311" s="224"/>
    </row>
    <row r="4312" spans="1:17" s="225" customFormat="1" ht="10.5" x14ac:dyDescent="0.25">
      <c r="A4312" s="229"/>
      <c r="B4312" s="230" t="s">
        <v>1731</v>
      </c>
      <c r="C4312" s="177"/>
      <c r="D4312" s="178"/>
      <c r="E4312" s="178"/>
      <c r="F4312" s="178"/>
      <c r="G4312" s="178"/>
      <c r="H4312" s="178"/>
      <c r="I4312" s="178"/>
      <c r="J4312" s="178"/>
      <c r="K4312" s="178"/>
      <c r="L4312" s="178"/>
      <c r="M4312" s="178"/>
      <c r="N4312" s="178"/>
      <c r="O4312" s="178">
        <f>Quantitativos!AJ192</f>
        <v>291.73199999999997</v>
      </c>
      <c r="P4312" s="231"/>
      <c r="Q4312" s="224"/>
    </row>
    <row r="4313" spans="1:17" s="225" customFormat="1" ht="10.5" x14ac:dyDescent="0.25">
      <c r="A4313" s="229"/>
      <c r="B4313" s="230"/>
      <c r="C4313" s="177"/>
      <c r="D4313" s="178"/>
      <c r="E4313" s="178"/>
      <c r="F4313" s="178"/>
      <c r="G4313" s="178"/>
      <c r="H4313" s="178"/>
      <c r="I4313" s="178"/>
      <c r="J4313" s="178"/>
      <c r="K4313" s="178"/>
      <c r="L4313" s="178"/>
      <c r="M4313" s="178"/>
      <c r="N4313" s="178"/>
      <c r="O4313" s="178"/>
      <c r="P4313" s="231"/>
      <c r="Q4313" s="224"/>
    </row>
    <row r="4314" spans="1:17" s="225" customFormat="1" ht="10.5" x14ac:dyDescent="0.25">
      <c r="A4314" s="229"/>
      <c r="B4314" s="232" t="s">
        <v>5</v>
      </c>
      <c r="C4314" s="182" t="s">
        <v>1328</v>
      </c>
      <c r="D4314" s="182"/>
      <c r="E4314" s="182"/>
      <c r="F4314" s="182"/>
      <c r="G4314" s="182"/>
      <c r="H4314" s="182"/>
      <c r="I4314" s="182"/>
      <c r="J4314" s="182"/>
      <c r="K4314" s="182"/>
      <c r="L4314" s="182"/>
      <c r="M4314" s="182"/>
      <c r="N4314" s="182"/>
      <c r="O4314" s="182">
        <f>SUM(O4311:O4313)</f>
        <v>291.73199999999997</v>
      </c>
      <c r="P4314" s="233"/>
      <c r="Q4314" s="224"/>
    </row>
    <row r="4315" spans="1:17" s="228" customFormat="1" ht="63" x14ac:dyDescent="0.25">
      <c r="A4315" s="226" t="str">
        <f>ORÇAMENTO!A790</f>
        <v>7.1.2.1.6</v>
      </c>
      <c r="B4315" s="227" t="str">
        <f>VLOOKUP(A4315,ORÇAMENTO!A:K,4,0)</f>
        <v>ESCAVAÇÃO MECANIZADA DE VALA COM PROF. MAIOR QUE 1,5 M ATÉ 3,0 M (MÉDIA MONTANTE E JUSANTE/UMA COMPOSIÇÃO POR TRECHO), ESCAVADEIRA (0,8 M3), LARGURA ATÉ 1,5 M, EM SOLO DE 1A CATEGORIA, EM LOCAIS COM ALTO NÍVEL DE INTERFERÊNCIA. AF_09/2024</v>
      </c>
      <c r="C4315" s="173" t="str">
        <f>VLOOKUP(A4315,ORÇAMENTO!A:K,5,0)</f>
        <v>M³</v>
      </c>
      <c r="D4315" s="173">
        <f>SUM(E4319:O4319)</f>
        <v>219.67647430020764</v>
      </c>
      <c r="E4315" s="173" t="s">
        <v>1718</v>
      </c>
      <c r="F4315" s="173" t="s">
        <v>1719</v>
      </c>
      <c r="G4315" s="173" t="s">
        <v>1720</v>
      </c>
      <c r="H4315" s="173" t="s">
        <v>1721</v>
      </c>
      <c r="I4315" s="173" t="s">
        <v>1722</v>
      </c>
      <c r="J4315" s="173" t="s">
        <v>1723</v>
      </c>
      <c r="K4315" s="173" t="s">
        <v>1746</v>
      </c>
      <c r="L4315" s="173" t="s">
        <v>1753</v>
      </c>
      <c r="M4315" s="173" t="s">
        <v>1771</v>
      </c>
      <c r="N4315" s="173" t="s">
        <v>1727</v>
      </c>
      <c r="O4315" s="173" t="s">
        <v>1728</v>
      </c>
      <c r="P4315" s="224"/>
      <c r="Q4315" s="224"/>
    </row>
    <row r="4316" spans="1:17" s="225" customFormat="1" ht="10.5" x14ac:dyDescent="0.25">
      <c r="A4316" s="229"/>
      <c r="B4316" s="230"/>
      <c r="C4316" s="177"/>
      <c r="D4316" s="178"/>
      <c r="E4316" s="178"/>
      <c r="F4316" s="178"/>
      <c r="G4316" s="178"/>
      <c r="H4316" s="178"/>
      <c r="I4316" s="178"/>
      <c r="J4316" s="178"/>
      <c r="K4316" s="178"/>
      <c r="L4316" s="178"/>
      <c r="M4316" s="178"/>
      <c r="N4316" s="178"/>
      <c r="O4316" s="178"/>
      <c r="P4316" s="231"/>
      <c r="Q4316" s="224"/>
    </row>
    <row r="4317" spans="1:17" s="225" customFormat="1" ht="10.5" x14ac:dyDescent="0.25">
      <c r="A4317" s="229"/>
      <c r="B4317" s="230" t="s">
        <v>1731</v>
      </c>
      <c r="C4317" s="177"/>
      <c r="D4317" s="178"/>
      <c r="E4317" s="178"/>
      <c r="F4317" s="178"/>
      <c r="G4317" s="178"/>
      <c r="H4317" s="178"/>
      <c r="I4317" s="178"/>
      <c r="J4317" s="178"/>
      <c r="K4317" s="178"/>
      <c r="L4317" s="178"/>
      <c r="M4317" s="178"/>
      <c r="N4317" s="178"/>
      <c r="O4317" s="178">
        <f>Quantitativos!AK192</f>
        <v>219.67647430020764</v>
      </c>
      <c r="P4317" s="231"/>
      <c r="Q4317" s="224"/>
    </row>
    <row r="4318" spans="1:17" s="225" customFormat="1" ht="10.5" x14ac:dyDescent="0.25">
      <c r="A4318" s="229"/>
      <c r="B4318" s="230"/>
      <c r="C4318" s="177"/>
      <c r="D4318" s="178"/>
      <c r="E4318" s="178"/>
      <c r="F4318" s="178"/>
      <c r="G4318" s="178"/>
      <c r="H4318" s="178"/>
      <c r="I4318" s="178"/>
      <c r="J4318" s="178"/>
      <c r="K4318" s="178"/>
      <c r="L4318" s="178"/>
      <c r="M4318" s="178"/>
      <c r="N4318" s="178"/>
      <c r="O4318" s="178"/>
      <c r="P4318" s="231"/>
      <c r="Q4318" s="224"/>
    </row>
    <row r="4319" spans="1:17" s="225" customFormat="1" ht="10.5" x14ac:dyDescent="0.25">
      <c r="A4319" s="229"/>
      <c r="B4319" s="232" t="s">
        <v>5</v>
      </c>
      <c r="C4319" s="182" t="s">
        <v>1328</v>
      </c>
      <c r="D4319" s="182"/>
      <c r="E4319" s="182"/>
      <c r="F4319" s="182"/>
      <c r="G4319" s="182"/>
      <c r="H4319" s="182"/>
      <c r="I4319" s="182"/>
      <c r="J4319" s="182"/>
      <c r="K4319" s="182"/>
      <c r="L4319" s="182"/>
      <c r="M4319" s="182"/>
      <c r="N4319" s="182"/>
      <c r="O4319" s="182">
        <f>SUM(O4316:O4318)</f>
        <v>219.67647430020764</v>
      </c>
      <c r="P4319" s="233"/>
      <c r="Q4319" s="224"/>
    </row>
    <row r="4320" spans="1:17" s="228" customFormat="1" ht="63" x14ac:dyDescent="0.25">
      <c r="A4320" s="226" t="str">
        <f>ORÇAMENTO!A791</f>
        <v>7.1.2.1.7</v>
      </c>
      <c r="B4320" s="227" t="str">
        <f>VLOOKUP(A4320,ORÇAMENTO!A:K,4,0)</f>
        <v>ESCAVAÇÃO MECANIZADA DE VALA COM PROF. ATÉ 1,5 M (MÉDIA MONTANTE E JUSANTE/UMA COMPOSIÇÃO POR TRECHO), ESCAVADEIRA (0,8 M3), LARG. DE 1,5 M A 2,5 M, EM SOLO DE 1A CATEGORIA, EM LOCAIS COM ALTO NÍVEL DE INTERFERÊNCIA. AF_09/2024</v>
      </c>
      <c r="C4320" s="173" t="str">
        <f>VLOOKUP(A4320,ORÇAMENTO!A:K,5,0)</f>
        <v>M³</v>
      </c>
      <c r="D4320" s="173">
        <f>SUM(E4324:O4324)</f>
        <v>2765.7449999999999</v>
      </c>
      <c r="E4320" s="173" t="s">
        <v>1718</v>
      </c>
      <c r="F4320" s="173" t="s">
        <v>1719</v>
      </c>
      <c r="G4320" s="173" t="s">
        <v>1720</v>
      </c>
      <c r="H4320" s="173" t="s">
        <v>1721</v>
      </c>
      <c r="I4320" s="173" t="s">
        <v>1722</v>
      </c>
      <c r="J4320" s="173" t="s">
        <v>1723</v>
      </c>
      <c r="K4320" s="173" t="s">
        <v>1746</v>
      </c>
      <c r="L4320" s="173" t="s">
        <v>1753</v>
      </c>
      <c r="M4320" s="173" t="s">
        <v>1771</v>
      </c>
      <c r="N4320" s="173" t="s">
        <v>1727</v>
      </c>
      <c r="O4320" s="173" t="s">
        <v>1728</v>
      </c>
      <c r="P4320" s="224"/>
      <c r="Q4320" s="224"/>
    </row>
    <row r="4321" spans="1:17" s="225" customFormat="1" ht="10.5" x14ac:dyDescent="0.25">
      <c r="A4321" s="229"/>
      <c r="B4321" s="230"/>
      <c r="C4321" s="177"/>
      <c r="D4321" s="178"/>
      <c r="E4321" s="178"/>
      <c r="F4321" s="178"/>
      <c r="G4321" s="178"/>
      <c r="H4321" s="178"/>
      <c r="I4321" s="178"/>
      <c r="J4321" s="178"/>
      <c r="K4321" s="178"/>
      <c r="L4321" s="178"/>
      <c r="M4321" s="178"/>
      <c r="N4321" s="178"/>
      <c r="O4321" s="178"/>
      <c r="P4321" s="231"/>
      <c r="Q4321" s="224"/>
    </row>
    <row r="4322" spans="1:17" s="225" customFormat="1" ht="10.5" x14ac:dyDescent="0.25">
      <c r="A4322" s="229"/>
      <c r="B4322" s="230" t="s">
        <v>1731</v>
      </c>
      <c r="C4322" s="177"/>
      <c r="D4322" s="178"/>
      <c r="E4322" s="178"/>
      <c r="F4322" s="178"/>
      <c r="G4322" s="178"/>
      <c r="H4322" s="178"/>
      <c r="I4322" s="178"/>
      <c r="J4322" s="178"/>
      <c r="K4322" s="178"/>
      <c r="L4322" s="178"/>
      <c r="M4322" s="178"/>
      <c r="N4322" s="178"/>
      <c r="O4322" s="178">
        <f>Quantitativos!AL192</f>
        <v>2765.7449999999999</v>
      </c>
      <c r="P4322" s="231"/>
      <c r="Q4322" s="224"/>
    </row>
    <row r="4323" spans="1:17" s="225" customFormat="1" ht="10.5" x14ac:dyDescent="0.25">
      <c r="A4323" s="229"/>
      <c r="B4323" s="230"/>
      <c r="C4323" s="177"/>
      <c r="D4323" s="178"/>
      <c r="E4323" s="178"/>
      <c r="F4323" s="178"/>
      <c r="G4323" s="178"/>
      <c r="H4323" s="178"/>
      <c r="I4323" s="178"/>
      <c r="J4323" s="178"/>
      <c r="K4323" s="178"/>
      <c r="L4323" s="178"/>
      <c r="M4323" s="178"/>
      <c r="N4323" s="178"/>
      <c r="O4323" s="178"/>
      <c r="P4323" s="231"/>
      <c r="Q4323" s="224"/>
    </row>
    <row r="4324" spans="1:17" s="225" customFormat="1" ht="10.5" x14ac:dyDescent="0.25">
      <c r="A4324" s="229"/>
      <c r="B4324" s="232" t="s">
        <v>5</v>
      </c>
      <c r="C4324" s="182" t="s">
        <v>1328</v>
      </c>
      <c r="D4324" s="182"/>
      <c r="E4324" s="182"/>
      <c r="F4324" s="182"/>
      <c r="G4324" s="182"/>
      <c r="H4324" s="182"/>
      <c r="I4324" s="182"/>
      <c r="J4324" s="182"/>
      <c r="K4324" s="182"/>
      <c r="L4324" s="182"/>
      <c r="M4324" s="182"/>
      <c r="N4324" s="182"/>
      <c r="O4324" s="182">
        <f>SUM(O4321:O4323)</f>
        <v>2765.7449999999999</v>
      </c>
      <c r="P4324" s="233"/>
      <c r="Q4324" s="224"/>
    </row>
    <row r="4325" spans="1:17" s="228" customFormat="1" ht="63" x14ac:dyDescent="0.25">
      <c r="A4325" s="226" t="str">
        <f>ORÇAMENTO!A792</f>
        <v>7.1.2.1.8</v>
      </c>
      <c r="B4325" s="227" t="str">
        <f>VLOOKUP(A4325,ORÇAMENTO!A:K,4,0)</f>
        <v>ESCAVAÇÃO MECANIZADA DE VALA COM PROF. MAIOR QUE 1,50 M ATÉ 3,0 M (MÉDIA MONTANTE E JUSANTE/UMA COMPOSIÇÃO POR TRECHO), ESCAVADEIRA (1,2 M3), LARG. DE 1,5 M A 2,5 M, EM SOLO DE 1A CATEGORIA, EM LOCAIS COM ALTO NÍVEL DE INTERFERÊNCIA. AF_09/2024</v>
      </c>
      <c r="C4325" s="173" t="str">
        <f>VLOOKUP(A4325,ORÇAMENTO!A:K,5,0)</f>
        <v>M³</v>
      </c>
      <c r="D4325" s="173">
        <f>SUM(E4329:O4329)</f>
        <v>2240.4834881977054</v>
      </c>
      <c r="E4325" s="173" t="s">
        <v>1718</v>
      </c>
      <c r="F4325" s="173" t="s">
        <v>1719</v>
      </c>
      <c r="G4325" s="173" t="s">
        <v>1720</v>
      </c>
      <c r="H4325" s="173" t="s">
        <v>1721</v>
      </c>
      <c r="I4325" s="173" t="s">
        <v>1722</v>
      </c>
      <c r="J4325" s="173" t="s">
        <v>1723</v>
      </c>
      <c r="K4325" s="173" t="s">
        <v>1746</v>
      </c>
      <c r="L4325" s="173" t="s">
        <v>1753</v>
      </c>
      <c r="M4325" s="173" t="s">
        <v>1771</v>
      </c>
      <c r="N4325" s="173" t="s">
        <v>1727</v>
      </c>
      <c r="O4325" s="173" t="s">
        <v>1728</v>
      </c>
      <c r="P4325" s="224"/>
      <c r="Q4325" s="224"/>
    </row>
    <row r="4326" spans="1:17" s="225" customFormat="1" ht="10.5" x14ac:dyDescent="0.25">
      <c r="A4326" s="229"/>
      <c r="B4326" s="230"/>
      <c r="C4326" s="177"/>
      <c r="D4326" s="178"/>
      <c r="E4326" s="178"/>
      <c r="F4326" s="178"/>
      <c r="G4326" s="178"/>
      <c r="H4326" s="178"/>
      <c r="I4326" s="178"/>
      <c r="J4326" s="178"/>
      <c r="K4326" s="178"/>
      <c r="L4326" s="178"/>
      <c r="M4326" s="178"/>
      <c r="N4326" s="178"/>
      <c r="O4326" s="178"/>
      <c r="P4326" s="231"/>
      <c r="Q4326" s="224"/>
    </row>
    <row r="4327" spans="1:17" s="225" customFormat="1" ht="10.5" x14ac:dyDescent="0.25">
      <c r="A4327" s="229"/>
      <c r="B4327" s="230" t="s">
        <v>1731</v>
      </c>
      <c r="C4327" s="177"/>
      <c r="D4327" s="178"/>
      <c r="E4327" s="178"/>
      <c r="F4327" s="178"/>
      <c r="G4327" s="178"/>
      <c r="H4327" s="178"/>
      <c r="I4327" s="178"/>
      <c r="J4327" s="178"/>
      <c r="K4327" s="178"/>
      <c r="L4327" s="178"/>
      <c r="M4327" s="178"/>
      <c r="N4327" s="178"/>
      <c r="O4327" s="178">
        <f>Quantitativos!AM192</f>
        <v>2240.4834881977054</v>
      </c>
      <c r="P4327" s="231"/>
      <c r="Q4327" s="224"/>
    </row>
    <row r="4328" spans="1:17" s="225" customFormat="1" ht="10.5" x14ac:dyDescent="0.25">
      <c r="A4328" s="229"/>
      <c r="B4328" s="230"/>
      <c r="C4328" s="177"/>
      <c r="D4328" s="178"/>
      <c r="E4328" s="178"/>
      <c r="F4328" s="178"/>
      <c r="G4328" s="178"/>
      <c r="H4328" s="178"/>
      <c r="I4328" s="178"/>
      <c r="J4328" s="178"/>
      <c r="K4328" s="178"/>
      <c r="L4328" s="178"/>
      <c r="M4328" s="178"/>
      <c r="N4328" s="178"/>
      <c r="O4328" s="178"/>
      <c r="P4328" s="231"/>
      <c r="Q4328" s="224"/>
    </row>
    <row r="4329" spans="1:17" s="225" customFormat="1" ht="10.5" x14ac:dyDescent="0.25">
      <c r="A4329" s="229"/>
      <c r="B4329" s="232" t="s">
        <v>5</v>
      </c>
      <c r="C4329" s="182" t="s">
        <v>1328</v>
      </c>
      <c r="D4329" s="182"/>
      <c r="E4329" s="182"/>
      <c r="F4329" s="182"/>
      <c r="G4329" s="182"/>
      <c r="H4329" s="182"/>
      <c r="I4329" s="182"/>
      <c r="J4329" s="182"/>
      <c r="K4329" s="182"/>
      <c r="L4329" s="182"/>
      <c r="M4329" s="182"/>
      <c r="N4329" s="182"/>
      <c r="O4329" s="182">
        <f>SUM(O4326:O4328)</f>
        <v>2240.4834881977054</v>
      </c>
      <c r="P4329" s="233"/>
      <c r="Q4329" s="224"/>
    </row>
    <row r="4330" spans="1:17" s="228" customFormat="1" ht="63" x14ac:dyDescent="0.25">
      <c r="A4330" s="226" t="str">
        <f>ORÇAMENTO!A793</f>
        <v>7.1.2.1.9</v>
      </c>
      <c r="B4330" s="227" t="str">
        <f>VLOOKUP(A4330,ORÇAMENTO!A:K,4,0)</f>
        <v>ESCAVAÇÃO MECANIZADA DE VALA COM PROF. DE 3,0 M ATÉ 4,5 M(MÉDIA MONTANTE E JUSANTE/UMA COMPOSIÇÃO POR TRECHO), ESCAVADEIRA (1,2 M3), LARG. DE 1,5 M A 2,5 M, EM SOLO DE 1A CATEGORIA, EM LOCAIS COM ALTO NÍVEL DE INTERFERÊNCIA. AF_09/2024</v>
      </c>
      <c r="C4330" s="173" t="str">
        <f>VLOOKUP(A4330,ORÇAMENTO!A:K,5,0)</f>
        <v>M³</v>
      </c>
      <c r="D4330" s="173">
        <f>SUM(E4334:O4334)</f>
        <v>525.52090244431474</v>
      </c>
      <c r="E4330" s="173" t="s">
        <v>1718</v>
      </c>
      <c r="F4330" s="173" t="s">
        <v>1719</v>
      </c>
      <c r="G4330" s="173" t="s">
        <v>1720</v>
      </c>
      <c r="H4330" s="173" t="s">
        <v>1721</v>
      </c>
      <c r="I4330" s="173" t="s">
        <v>1722</v>
      </c>
      <c r="J4330" s="173" t="s">
        <v>1723</v>
      </c>
      <c r="K4330" s="173" t="s">
        <v>1746</v>
      </c>
      <c r="L4330" s="173" t="s">
        <v>1753</v>
      </c>
      <c r="M4330" s="173" t="s">
        <v>1771</v>
      </c>
      <c r="N4330" s="173" t="s">
        <v>1727</v>
      </c>
      <c r="O4330" s="173" t="s">
        <v>1728</v>
      </c>
      <c r="P4330" s="224"/>
      <c r="Q4330" s="224"/>
    </row>
    <row r="4331" spans="1:17" s="225" customFormat="1" ht="10.5" x14ac:dyDescent="0.25">
      <c r="A4331" s="229"/>
      <c r="B4331" s="230"/>
      <c r="C4331" s="177"/>
      <c r="D4331" s="178"/>
      <c r="E4331" s="178"/>
      <c r="F4331" s="178"/>
      <c r="G4331" s="178"/>
      <c r="H4331" s="178"/>
      <c r="I4331" s="178"/>
      <c r="J4331" s="178"/>
      <c r="K4331" s="178"/>
      <c r="L4331" s="178"/>
      <c r="M4331" s="178"/>
      <c r="N4331" s="178"/>
      <c r="O4331" s="178"/>
      <c r="P4331" s="231"/>
      <c r="Q4331" s="224"/>
    </row>
    <row r="4332" spans="1:17" s="225" customFormat="1" ht="10.5" x14ac:dyDescent="0.25">
      <c r="A4332" s="229"/>
      <c r="B4332" s="230" t="s">
        <v>1731</v>
      </c>
      <c r="C4332" s="177"/>
      <c r="D4332" s="178"/>
      <c r="E4332" s="178"/>
      <c r="F4332" s="178"/>
      <c r="G4332" s="178"/>
      <c r="H4332" s="178"/>
      <c r="I4332" s="178"/>
      <c r="J4332" s="178"/>
      <c r="K4332" s="178"/>
      <c r="L4332" s="178"/>
      <c r="M4332" s="178"/>
      <c r="N4332" s="178"/>
      <c r="O4332" s="178">
        <f>Quantitativos!AN192</f>
        <v>525.52090244431474</v>
      </c>
      <c r="P4332" s="231"/>
      <c r="Q4332" s="224"/>
    </row>
    <row r="4333" spans="1:17" s="225" customFormat="1" ht="10.5" x14ac:dyDescent="0.25">
      <c r="A4333" s="229"/>
      <c r="B4333" s="230"/>
      <c r="C4333" s="177"/>
      <c r="D4333" s="178"/>
      <c r="E4333" s="178"/>
      <c r="F4333" s="178"/>
      <c r="G4333" s="178"/>
      <c r="H4333" s="178"/>
      <c r="I4333" s="178"/>
      <c r="J4333" s="178"/>
      <c r="K4333" s="178"/>
      <c r="L4333" s="178"/>
      <c r="M4333" s="178"/>
      <c r="N4333" s="178"/>
      <c r="O4333" s="178"/>
      <c r="P4333" s="231"/>
      <c r="Q4333" s="224"/>
    </row>
    <row r="4334" spans="1:17" s="225" customFormat="1" ht="10.5" x14ac:dyDescent="0.25">
      <c r="A4334" s="229"/>
      <c r="B4334" s="232" t="s">
        <v>5</v>
      </c>
      <c r="C4334" s="182" t="s">
        <v>1328</v>
      </c>
      <c r="D4334" s="182"/>
      <c r="E4334" s="182"/>
      <c r="F4334" s="182"/>
      <c r="G4334" s="182"/>
      <c r="H4334" s="182"/>
      <c r="I4334" s="182"/>
      <c r="J4334" s="182"/>
      <c r="K4334" s="182"/>
      <c r="L4334" s="182"/>
      <c r="M4334" s="182"/>
      <c r="N4334" s="182"/>
      <c r="O4334" s="182">
        <f>SUM(O4331:O4333)</f>
        <v>525.52090244431474</v>
      </c>
      <c r="P4334" s="233"/>
      <c r="Q4334" s="224"/>
    </row>
    <row r="4335" spans="1:17" s="228" customFormat="1" ht="31.5" x14ac:dyDescent="0.25">
      <c r="A4335" s="226" t="str">
        <f>ORÇAMENTO!A794</f>
        <v>7.1.2.1.10</v>
      </c>
      <c r="B4335" s="227" t="str">
        <f>VLOOKUP(A4335,ORÇAMENTO!A:K,4,0)</f>
        <v>ESCAVAÇÃO MECANIZADA DE VALAS EM MATERIAL DE 1ª E/OU 2ª CATEGORIAS, LARGURA MAIOR QUE 2,5M E ATÉ 2,00 M DE PROFUNDIDADE</v>
      </c>
      <c r="C4335" s="173" t="str">
        <f>VLOOKUP(A4335,ORÇAMENTO!A:K,5,0)</f>
        <v>M³</v>
      </c>
      <c r="D4335" s="173">
        <f>SUM(E4339:O4339)</f>
        <v>4208.420000000001</v>
      </c>
      <c r="E4335" s="173" t="s">
        <v>1718</v>
      </c>
      <c r="F4335" s="173" t="s">
        <v>1719</v>
      </c>
      <c r="G4335" s="173" t="s">
        <v>1720</v>
      </c>
      <c r="H4335" s="173" t="s">
        <v>1721</v>
      </c>
      <c r="I4335" s="173" t="s">
        <v>1722</v>
      </c>
      <c r="J4335" s="173" t="s">
        <v>1723</v>
      </c>
      <c r="K4335" s="173" t="s">
        <v>1746</v>
      </c>
      <c r="L4335" s="173" t="s">
        <v>1753</v>
      </c>
      <c r="M4335" s="173" t="s">
        <v>1771</v>
      </c>
      <c r="N4335" s="173" t="s">
        <v>1727</v>
      </c>
      <c r="O4335" s="173" t="s">
        <v>1728</v>
      </c>
      <c r="P4335" s="224"/>
      <c r="Q4335" s="224"/>
    </row>
    <row r="4336" spans="1:17" s="225" customFormat="1" ht="10.5" x14ac:dyDescent="0.25">
      <c r="A4336" s="229"/>
      <c r="B4336" s="230"/>
      <c r="C4336" s="177"/>
      <c r="D4336" s="178"/>
      <c r="E4336" s="178"/>
      <c r="F4336" s="178"/>
      <c r="G4336" s="178"/>
      <c r="H4336" s="178"/>
      <c r="I4336" s="178"/>
      <c r="J4336" s="178"/>
      <c r="K4336" s="178"/>
      <c r="L4336" s="178"/>
      <c r="M4336" s="178"/>
      <c r="N4336" s="178"/>
      <c r="O4336" s="178"/>
      <c r="P4336" s="231"/>
      <c r="Q4336" s="224"/>
    </row>
    <row r="4337" spans="1:17" s="225" customFormat="1" ht="10.5" x14ac:dyDescent="0.25">
      <c r="A4337" s="229"/>
      <c r="B4337" s="230" t="s">
        <v>1731</v>
      </c>
      <c r="C4337" s="177"/>
      <c r="D4337" s="178"/>
      <c r="E4337" s="178"/>
      <c r="F4337" s="178"/>
      <c r="G4337" s="178"/>
      <c r="H4337" s="178"/>
      <c r="I4337" s="178"/>
      <c r="J4337" s="178"/>
      <c r="K4337" s="178"/>
      <c r="L4337" s="178"/>
      <c r="M4337" s="178"/>
      <c r="N4337" s="178"/>
      <c r="O4337" s="178">
        <f>Quantitativos!AO192</f>
        <v>4208.420000000001</v>
      </c>
      <c r="P4337" s="231"/>
      <c r="Q4337" s="224"/>
    </row>
    <row r="4338" spans="1:17" s="225" customFormat="1" ht="10.5" x14ac:dyDescent="0.25">
      <c r="A4338" s="229"/>
      <c r="B4338" s="230"/>
      <c r="C4338" s="177"/>
      <c r="D4338" s="178"/>
      <c r="E4338" s="178"/>
      <c r="F4338" s="178"/>
      <c r="G4338" s="178"/>
      <c r="H4338" s="178"/>
      <c r="I4338" s="178"/>
      <c r="J4338" s="178"/>
      <c r="K4338" s="178"/>
      <c r="L4338" s="178"/>
      <c r="M4338" s="178"/>
      <c r="N4338" s="178"/>
      <c r="O4338" s="178"/>
      <c r="P4338" s="231"/>
      <c r="Q4338" s="224"/>
    </row>
    <row r="4339" spans="1:17" s="225" customFormat="1" ht="10.5" x14ac:dyDescent="0.25">
      <c r="A4339" s="229"/>
      <c r="B4339" s="232" t="s">
        <v>5</v>
      </c>
      <c r="C4339" s="182" t="s">
        <v>1328</v>
      </c>
      <c r="D4339" s="182"/>
      <c r="E4339" s="182"/>
      <c r="F4339" s="182"/>
      <c r="G4339" s="182"/>
      <c r="H4339" s="182"/>
      <c r="I4339" s="182"/>
      <c r="J4339" s="182"/>
      <c r="K4339" s="182"/>
      <c r="L4339" s="182"/>
      <c r="M4339" s="182"/>
      <c r="N4339" s="182"/>
      <c r="O4339" s="182">
        <f>SUM(O4336:O4338)</f>
        <v>4208.420000000001</v>
      </c>
      <c r="P4339" s="233"/>
      <c r="Q4339" s="224"/>
    </row>
    <row r="4340" spans="1:17" s="228" customFormat="1" ht="42" x14ac:dyDescent="0.25">
      <c r="A4340" s="226" t="str">
        <f>ORÇAMENTO!A795</f>
        <v>7.1.2.1.11</v>
      </c>
      <c r="B4340" s="227" t="str">
        <f>VLOOKUP(A4340,ORÇAMENTO!A:K,4,0)</f>
        <v>ESCAVAÇÃO MECANIZADA DE VALAS EM MATERIAL DE 1ª E/OU 2ª CATEGORIAS, LARGURA MAIOR QUE 2,5M EACIMA DE 2,00 M  E ATÉ 4,00 M DE PROFUNDIDADE.</v>
      </c>
      <c r="C4340" s="173" t="str">
        <f>VLOOKUP(A4340,ORÇAMENTO!A:K,5,0)</f>
        <v>M³</v>
      </c>
      <c r="D4340" s="173">
        <f>SUM(E4344:O4344)</f>
        <v>3440.1770603340765</v>
      </c>
      <c r="E4340" s="173" t="s">
        <v>1718</v>
      </c>
      <c r="F4340" s="173" t="s">
        <v>1719</v>
      </c>
      <c r="G4340" s="173" t="s">
        <v>1720</v>
      </c>
      <c r="H4340" s="173" t="s">
        <v>1721</v>
      </c>
      <c r="I4340" s="173" t="s">
        <v>1722</v>
      </c>
      <c r="J4340" s="173" t="s">
        <v>1723</v>
      </c>
      <c r="K4340" s="173" t="s">
        <v>1746</v>
      </c>
      <c r="L4340" s="173" t="s">
        <v>1753</v>
      </c>
      <c r="M4340" s="173" t="s">
        <v>1771</v>
      </c>
      <c r="N4340" s="173" t="s">
        <v>1727</v>
      </c>
      <c r="O4340" s="173" t="s">
        <v>1728</v>
      </c>
      <c r="P4340" s="224"/>
      <c r="Q4340" s="224"/>
    </row>
    <row r="4341" spans="1:17" s="225" customFormat="1" ht="10.5" x14ac:dyDescent="0.25">
      <c r="A4341" s="229"/>
      <c r="B4341" s="230"/>
      <c r="C4341" s="177"/>
      <c r="D4341" s="178"/>
      <c r="E4341" s="178"/>
      <c r="F4341" s="178"/>
      <c r="G4341" s="178"/>
      <c r="H4341" s="178"/>
      <c r="I4341" s="178"/>
      <c r="J4341" s="178"/>
      <c r="K4341" s="178"/>
      <c r="L4341" s="178"/>
      <c r="M4341" s="178"/>
      <c r="N4341" s="178"/>
      <c r="O4341" s="178"/>
      <c r="P4341" s="231"/>
      <c r="Q4341" s="224"/>
    </row>
    <row r="4342" spans="1:17" s="225" customFormat="1" ht="10.5" x14ac:dyDescent="0.25">
      <c r="A4342" s="229"/>
      <c r="B4342" s="230" t="s">
        <v>1731</v>
      </c>
      <c r="C4342" s="177"/>
      <c r="D4342" s="178"/>
      <c r="E4342" s="178"/>
      <c r="F4342" s="178"/>
      <c r="G4342" s="178"/>
      <c r="H4342" s="178"/>
      <c r="I4342" s="178"/>
      <c r="J4342" s="178"/>
      <c r="K4342" s="178"/>
      <c r="L4342" s="178"/>
      <c r="M4342" s="178"/>
      <c r="N4342" s="178"/>
      <c r="O4342" s="178">
        <f>Quantitativos!AP192</f>
        <v>3440.1770603340765</v>
      </c>
      <c r="P4342" s="231"/>
      <c r="Q4342" s="224"/>
    </row>
    <row r="4343" spans="1:17" s="225" customFormat="1" ht="10.5" x14ac:dyDescent="0.25">
      <c r="A4343" s="229"/>
      <c r="B4343" s="230"/>
      <c r="C4343" s="177"/>
      <c r="D4343" s="178"/>
      <c r="E4343" s="178"/>
      <c r="F4343" s="178"/>
      <c r="G4343" s="178"/>
      <c r="H4343" s="178"/>
      <c r="I4343" s="178"/>
      <c r="J4343" s="178"/>
      <c r="K4343" s="178"/>
      <c r="L4343" s="178"/>
      <c r="M4343" s="178"/>
      <c r="N4343" s="178"/>
      <c r="O4343" s="178"/>
      <c r="P4343" s="231"/>
      <c r="Q4343" s="224"/>
    </row>
    <row r="4344" spans="1:17" s="225" customFormat="1" ht="10.5" x14ac:dyDescent="0.25">
      <c r="A4344" s="229"/>
      <c r="B4344" s="232" t="s">
        <v>5</v>
      </c>
      <c r="C4344" s="182" t="s">
        <v>1328</v>
      </c>
      <c r="D4344" s="182"/>
      <c r="E4344" s="182"/>
      <c r="F4344" s="182"/>
      <c r="G4344" s="182"/>
      <c r="H4344" s="182"/>
      <c r="I4344" s="182"/>
      <c r="J4344" s="182"/>
      <c r="K4344" s="182"/>
      <c r="L4344" s="182"/>
      <c r="M4344" s="182"/>
      <c r="N4344" s="182"/>
      <c r="O4344" s="182">
        <f>SUM(O4341:O4343)</f>
        <v>3440.1770603340765</v>
      </c>
      <c r="P4344" s="233"/>
      <c r="Q4344" s="224"/>
    </row>
    <row r="4345" spans="1:17" s="228" customFormat="1" ht="42" x14ac:dyDescent="0.25">
      <c r="A4345" s="226" t="str">
        <f>ORÇAMENTO!A796</f>
        <v>7.1.2.1.12</v>
      </c>
      <c r="B4345" s="227" t="str">
        <f>VLOOKUP(A4345,ORÇAMENTO!A:K,4,0)</f>
        <v>ESCAVAÇÃO MECANIZADA DE VALAS EM MATERIAL DE 1ª E/OU 2ª CATEGORIAS, LARGURA MAIOR QUE 2,5M E ACIMA DE 4,00 M E ATÉ 6,00 M DE PROFUNDIDADE.</v>
      </c>
      <c r="C4345" s="173" t="str">
        <f>VLOOKUP(A4345,ORÇAMENTO!A:K,5,0)</f>
        <v>M³</v>
      </c>
      <c r="D4345" s="173">
        <f>SUM(E4349:O4349)</f>
        <v>338.82929999540391</v>
      </c>
      <c r="E4345" s="173" t="s">
        <v>1718</v>
      </c>
      <c r="F4345" s="173" t="s">
        <v>1719</v>
      </c>
      <c r="G4345" s="173" t="s">
        <v>1720</v>
      </c>
      <c r="H4345" s="173" t="s">
        <v>1721</v>
      </c>
      <c r="I4345" s="173" t="s">
        <v>1722</v>
      </c>
      <c r="J4345" s="173" t="s">
        <v>1723</v>
      </c>
      <c r="K4345" s="173" t="s">
        <v>1746</v>
      </c>
      <c r="L4345" s="173" t="s">
        <v>1753</v>
      </c>
      <c r="M4345" s="173" t="s">
        <v>1771</v>
      </c>
      <c r="N4345" s="173" t="s">
        <v>1727</v>
      </c>
      <c r="O4345" s="173" t="s">
        <v>1728</v>
      </c>
      <c r="P4345" s="224"/>
      <c r="Q4345" s="224"/>
    </row>
    <row r="4346" spans="1:17" s="225" customFormat="1" ht="10.5" x14ac:dyDescent="0.25">
      <c r="A4346" s="229"/>
      <c r="B4346" s="230"/>
      <c r="C4346" s="177"/>
      <c r="D4346" s="178"/>
      <c r="E4346" s="178"/>
      <c r="F4346" s="178"/>
      <c r="G4346" s="178"/>
      <c r="H4346" s="178"/>
      <c r="I4346" s="178"/>
      <c r="J4346" s="178"/>
      <c r="K4346" s="178"/>
      <c r="L4346" s="178"/>
      <c r="M4346" s="178"/>
      <c r="N4346" s="178"/>
      <c r="O4346" s="178"/>
      <c r="P4346" s="231"/>
      <c r="Q4346" s="224"/>
    </row>
    <row r="4347" spans="1:17" s="225" customFormat="1" ht="10.5" x14ac:dyDescent="0.25">
      <c r="A4347" s="229"/>
      <c r="B4347" s="230" t="s">
        <v>1731</v>
      </c>
      <c r="C4347" s="177"/>
      <c r="D4347" s="178"/>
      <c r="E4347" s="178"/>
      <c r="F4347" s="178"/>
      <c r="G4347" s="178"/>
      <c r="H4347" s="178"/>
      <c r="I4347" s="178"/>
      <c r="J4347" s="178"/>
      <c r="K4347" s="178"/>
      <c r="L4347" s="178"/>
      <c r="M4347" s="178"/>
      <c r="N4347" s="178"/>
      <c r="O4347" s="178">
        <f>Quantitativos!AQ192</f>
        <v>338.82929999540391</v>
      </c>
      <c r="P4347" s="231"/>
      <c r="Q4347" s="224"/>
    </row>
    <row r="4348" spans="1:17" s="225" customFormat="1" ht="10.5" x14ac:dyDescent="0.25">
      <c r="A4348" s="229"/>
      <c r="B4348" s="230"/>
      <c r="C4348" s="177"/>
      <c r="D4348" s="178"/>
      <c r="E4348" s="178"/>
      <c r="F4348" s="178"/>
      <c r="G4348" s="178"/>
      <c r="H4348" s="178"/>
      <c r="I4348" s="178"/>
      <c r="J4348" s="178"/>
      <c r="K4348" s="178"/>
      <c r="L4348" s="178"/>
      <c r="M4348" s="178"/>
      <c r="N4348" s="178"/>
      <c r="O4348" s="178"/>
      <c r="P4348" s="231"/>
      <c r="Q4348" s="224"/>
    </row>
    <row r="4349" spans="1:17" s="225" customFormat="1" ht="10.5" x14ac:dyDescent="0.25">
      <c r="A4349" s="229"/>
      <c r="B4349" s="232" t="s">
        <v>5</v>
      </c>
      <c r="C4349" s="182" t="s">
        <v>1328</v>
      </c>
      <c r="D4349" s="182"/>
      <c r="E4349" s="182"/>
      <c r="F4349" s="182"/>
      <c r="G4349" s="182"/>
      <c r="H4349" s="182"/>
      <c r="I4349" s="182"/>
      <c r="J4349" s="182"/>
      <c r="K4349" s="182"/>
      <c r="L4349" s="182"/>
      <c r="M4349" s="182"/>
      <c r="N4349" s="182"/>
      <c r="O4349" s="182">
        <f>SUM(O4346:O4348)</f>
        <v>338.82929999540391</v>
      </c>
      <c r="P4349" s="233"/>
      <c r="Q4349" s="224"/>
    </row>
    <row r="4350" spans="1:17" s="228" customFormat="1" ht="31.5" x14ac:dyDescent="0.25">
      <c r="A4350" s="226" t="str">
        <f>ORÇAMENTO!A797</f>
        <v>7.1.2.1.13</v>
      </c>
      <c r="B4350" s="227" t="str">
        <f>VLOOKUP(A4350,ORÇAMENTO!A:K,4,0)</f>
        <v>ESCAVAÇÃO DE VALA EM MATERIAL DE 3ª CATEGORIA COM ESCAVADEIRA E ROMPEDOR HIDRÁULICO DE 1700KG</v>
      </c>
      <c r="C4350" s="173" t="str">
        <f>VLOOKUP(A4350,ORÇAMENTO!A:K,5,0)</f>
        <v>M³</v>
      </c>
      <c r="D4350" s="173">
        <f>SUM(E4354:O4354)</f>
        <v>690.01</v>
      </c>
      <c r="E4350" s="173" t="s">
        <v>1718</v>
      </c>
      <c r="F4350" s="173" t="s">
        <v>1719</v>
      </c>
      <c r="G4350" s="173" t="s">
        <v>1720</v>
      </c>
      <c r="H4350" s="173" t="s">
        <v>1721</v>
      </c>
      <c r="I4350" s="173" t="s">
        <v>1722</v>
      </c>
      <c r="J4350" s="173" t="s">
        <v>1723</v>
      </c>
      <c r="K4350" s="173" t="s">
        <v>1746</v>
      </c>
      <c r="L4350" s="173" t="s">
        <v>1753</v>
      </c>
      <c r="M4350" s="173" t="s">
        <v>1771</v>
      </c>
      <c r="N4350" s="173" t="s">
        <v>1727</v>
      </c>
      <c r="O4350" s="173" t="s">
        <v>1728</v>
      </c>
      <c r="P4350" s="224"/>
      <c r="Q4350" s="224"/>
    </row>
    <row r="4351" spans="1:17" s="225" customFormat="1" ht="10.5" x14ac:dyDescent="0.25">
      <c r="A4351" s="229"/>
      <c r="B4351" s="230"/>
      <c r="C4351" s="177"/>
      <c r="D4351" s="178"/>
      <c r="E4351" s="178"/>
      <c r="F4351" s="178"/>
      <c r="G4351" s="178"/>
      <c r="H4351" s="178"/>
      <c r="I4351" s="178"/>
      <c r="J4351" s="178"/>
      <c r="K4351" s="178"/>
      <c r="L4351" s="178"/>
      <c r="M4351" s="178"/>
      <c r="N4351" s="178"/>
      <c r="O4351" s="178"/>
      <c r="P4351" s="231"/>
      <c r="Q4351" s="224"/>
    </row>
    <row r="4352" spans="1:17" s="225" customFormat="1" ht="10.5" x14ac:dyDescent="0.25">
      <c r="A4352" s="229"/>
      <c r="B4352" s="230" t="s">
        <v>1731</v>
      </c>
      <c r="C4352" s="177"/>
      <c r="D4352" s="178"/>
      <c r="E4352" s="178"/>
      <c r="F4352" s="178"/>
      <c r="G4352" s="178"/>
      <c r="H4352" s="178"/>
      <c r="I4352" s="178"/>
      <c r="J4352" s="178"/>
      <c r="K4352" s="178"/>
      <c r="L4352" s="178"/>
      <c r="M4352" s="178"/>
      <c r="N4352" s="178"/>
      <c r="O4352" s="178">
        <f>Quantitativos!AR192</f>
        <v>690.01</v>
      </c>
      <c r="P4352" s="231"/>
      <c r="Q4352" s="224"/>
    </row>
    <row r="4353" spans="1:19" s="225" customFormat="1" ht="10.5" x14ac:dyDescent="0.25">
      <c r="A4353" s="229"/>
      <c r="B4353" s="230"/>
      <c r="C4353" s="177"/>
      <c r="D4353" s="178"/>
      <c r="E4353" s="178"/>
      <c r="F4353" s="178"/>
      <c r="G4353" s="178"/>
      <c r="H4353" s="178"/>
      <c r="I4353" s="178"/>
      <c r="J4353" s="178"/>
      <c r="K4353" s="178"/>
      <c r="L4353" s="178"/>
      <c r="M4353" s="178"/>
      <c r="N4353" s="178"/>
      <c r="O4353" s="178"/>
      <c r="P4353" s="231"/>
      <c r="Q4353" s="224"/>
    </row>
    <row r="4354" spans="1:19" s="225" customFormat="1" ht="10.5" x14ac:dyDescent="0.25">
      <c r="A4354" s="229"/>
      <c r="B4354" s="232" t="s">
        <v>5</v>
      </c>
      <c r="C4354" s="182" t="s">
        <v>1328</v>
      </c>
      <c r="D4354" s="182"/>
      <c r="E4354" s="182"/>
      <c r="F4354" s="182"/>
      <c r="G4354" s="182"/>
      <c r="H4354" s="182"/>
      <c r="I4354" s="182"/>
      <c r="J4354" s="182"/>
      <c r="K4354" s="182"/>
      <c r="L4354" s="182"/>
      <c r="M4354" s="182"/>
      <c r="N4354" s="182"/>
      <c r="O4354" s="182">
        <f>SUM(O4351:O4353)</f>
        <v>690.01</v>
      </c>
      <c r="P4354" s="233"/>
      <c r="Q4354" s="224"/>
    </row>
    <row r="4355" spans="1:19" s="235" customFormat="1" ht="52.5" x14ac:dyDescent="0.35">
      <c r="A4355" s="226" t="str">
        <f>ORÇAMENTO!A798</f>
        <v>7.1.2.1.14</v>
      </c>
      <c r="B4355" s="227" t="str">
        <f>VLOOKUP(A4355,ORÇAMENTO!A:K,4,0)</f>
        <v>CARGA, MANOBRA E DESCARGA DE SOLOS E MATERIAIS GRANULARES EM CAMINHÃO BASCULANTE 14 M³ - CARGA COM ESCAVADEIRA HIDRÁULICA (CAÇAMBA DE 1,20 M³ / 155 HP) E DESCARGA LIVRE (UNIDADE: M3). AF_07/2020</v>
      </c>
      <c r="C4355" s="173" t="str">
        <f>VLOOKUP(A4355,ORÇAMENTO!A:K,5,0)</f>
        <v>M³</v>
      </c>
      <c r="D4355" s="173">
        <f>SUM(E4358:O4358)</f>
        <v>2307.9058658322156</v>
      </c>
      <c r="E4355" s="173" t="s">
        <v>1752</v>
      </c>
      <c r="F4355" s="173" t="s">
        <v>1719</v>
      </c>
      <c r="G4355" s="173" t="s">
        <v>1720</v>
      </c>
      <c r="H4355" s="173" t="s">
        <v>1721</v>
      </c>
      <c r="I4355" s="173" t="s">
        <v>1722</v>
      </c>
      <c r="J4355" s="173" t="s">
        <v>1723</v>
      </c>
      <c r="K4355" s="173" t="s">
        <v>1746</v>
      </c>
      <c r="L4355" s="173" t="s">
        <v>1753</v>
      </c>
      <c r="M4355" s="173" t="s">
        <v>1750</v>
      </c>
      <c r="N4355" s="173" t="s">
        <v>1727</v>
      </c>
      <c r="O4355" s="173" t="s">
        <v>1728</v>
      </c>
      <c r="P4355" s="224"/>
      <c r="Q4355" s="224"/>
      <c r="R4355" s="224"/>
      <c r="S4355" s="224"/>
    </row>
    <row r="4356" spans="1:19" s="225" customFormat="1" ht="10.5" x14ac:dyDescent="0.25">
      <c r="A4356" s="229"/>
      <c r="B4356" s="230"/>
      <c r="C4356" s="177"/>
      <c r="D4356" s="178"/>
      <c r="E4356" s="178"/>
      <c r="F4356" s="178"/>
      <c r="G4356" s="178"/>
      <c r="H4356" s="178"/>
      <c r="I4356" s="178"/>
      <c r="J4356" s="178"/>
      <c r="K4356" s="178"/>
      <c r="L4356" s="190"/>
      <c r="M4356" s="178"/>
      <c r="N4356" s="178"/>
      <c r="O4356" s="178">
        <f>Quantitativos!BL192</f>
        <v>2307.9058658322156</v>
      </c>
      <c r="P4356" s="231"/>
      <c r="Q4356" s="224"/>
    </row>
    <row r="4357" spans="1:19" s="225" customFormat="1" ht="10.5" x14ac:dyDescent="0.25">
      <c r="A4357" s="229"/>
      <c r="B4357" s="230"/>
      <c r="C4357" s="177"/>
      <c r="D4357" s="178"/>
      <c r="E4357" s="178"/>
      <c r="F4357" s="178"/>
      <c r="G4357" s="178"/>
      <c r="H4357" s="178"/>
      <c r="I4357" s="178"/>
      <c r="J4357" s="178"/>
      <c r="K4357" s="178"/>
      <c r="L4357" s="190"/>
      <c r="M4357" s="178"/>
      <c r="N4357" s="178"/>
      <c r="O4357" s="178"/>
      <c r="P4357" s="231"/>
      <c r="Q4357" s="224"/>
    </row>
    <row r="4358" spans="1:19" s="225" customFormat="1" ht="10.5" x14ac:dyDescent="0.25">
      <c r="A4358" s="229"/>
      <c r="B4358" s="232" t="s">
        <v>5</v>
      </c>
      <c r="C4358" s="182" t="s">
        <v>1328</v>
      </c>
      <c r="D4358" s="182"/>
      <c r="E4358" s="182"/>
      <c r="F4358" s="182"/>
      <c r="G4358" s="182"/>
      <c r="H4358" s="182"/>
      <c r="I4358" s="182"/>
      <c r="J4358" s="182"/>
      <c r="K4358" s="182"/>
      <c r="L4358" s="182"/>
      <c r="M4358" s="182"/>
      <c r="N4358" s="182"/>
      <c r="O4358" s="182">
        <f>SUM(O4356)</f>
        <v>2307.9058658322156</v>
      </c>
      <c r="P4358" s="233"/>
      <c r="Q4358" s="224"/>
    </row>
    <row r="4359" spans="1:19" s="235" customFormat="1" ht="31.5" x14ac:dyDescent="0.35">
      <c r="A4359" s="226" t="str">
        <f>ORÇAMENTO!A799</f>
        <v>7.1.2.1.15</v>
      </c>
      <c r="B4359" s="227" t="str">
        <f>VLOOKUP(A4359,ORÇAMENTO!A:K,4,0)</f>
        <v>TRANSPORTE COM CAMINHÃO BASCULANTE DE 14 M³, EM VIA URBANA PAVIMENTADA, DMT ATÉ 30 KM (UNIDADE: M3XKM). AF_07/2020</v>
      </c>
      <c r="C4359" s="173" t="str">
        <f>VLOOKUP(A4359,ORÇAMENTO!A:K,5,0)</f>
        <v>M3XKM</v>
      </c>
      <c r="D4359" s="173">
        <f>SUM(E4363:O4363)</f>
        <v>60497.998585044552</v>
      </c>
      <c r="E4359" s="173" t="s">
        <v>1752</v>
      </c>
      <c r="F4359" s="173" t="s">
        <v>1719</v>
      </c>
      <c r="G4359" s="173" t="s">
        <v>1720</v>
      </c>
      <c r="H4359" s="173" t="s">
        <v>1721</v>
      </c>
      <c r="I4359" s="173" t="s">
        <v>1722</v>
      </c>
      <c r="J4359" s="173" t="s">
        <v>1723</v>
      </c>
      <c r="K4359" s="173" t="s">
        <v>1746</v>
      </c>
      <c r="L4359" s="173" t="s">
        <v>1753</v>
      </c>
      <c r="M4359" s="173" t="s">
        <v>1750</v>
      </c>
      <c r="N4359" s="173" t="s">
        <v>1727</v>
      </c>
      <c r="O4359" s="173" t="s">
        <v>1728</v>
      </c>
      <c r="P4359" s="224"/>
      <c r="Q4359" s="224"/>
      <c r="R4359" s="224"/>
      <c r="S4359" s="224"/>
    </row>
    <row r="4360" spans="1:19" s="225" customFormat="1" ht="21" x14ac:dyDescent="0.25">
      <c r="A4360" s="229"/>
      <c r="B4360" s="230" t="s">
        <v>1773</v>
      </c>
      <c r="C4360" s="177"/>
      <c r="D4360" s="178"/>
      <c r="E4360" s="178">
        <v>30</v>
      </c>
      <c r="F4360" s="178"/>
      <c r="G4360" s="178"/>
      <c r="H4360" s="178"/>
      <c r="I4360" s="178"/>
      <c r="J4360" s="178"/>
      <c r="K4360" s="178"/>
      <c r="L4360" s="190"/>
      <c r="M4360" s="178">
        <f>E4360*O4360</f>
        <v>39739.046387796756</v>
      </c>
      <c r="N4360" s="178"/>
      <c r="O4360" s="178">
        <f>Quantitativos!BL194-O4361</f>
        <v>1324.6348795932252</v>
      </c>
      <c r="P4360" s="231"/>
      <c r="Q4360" s="224"/>
    </row>
    <row r="4361" spans="1:19" s="225" customFormat="1" ht="31.5" x14ac:dyDescent="0.25">
      <c r="A4361" s="229"/>
      <c r="B4361" s="230" t="s">
        <v>4399</v>
      </c>
      <c r="C4361" s="177"/>
      <c r="D4361" s="178"/>
      <c r="E4361" s="178">
        <v>0.2</v>
      </c>
      <c r="F4361" s="178"/>
      <c r="G4361" s="178"/>
      <c r="H4361" s="178"/>
      <c r="I4361" s="178"/>
      <c r="J4361" s="178"/>
      <c r="K4361" s="178"/>
      <c r="L4361" s="190"/>
      <c r="M4361" s="178">
        <f>E4361*O4361</f>
        <v>58.652197247798078</v>
      </c>
      <c r="N4361" s="178"/>
      <c r="O4361" s="178">
        <f>QUANTBL!BA359*1.15</f>
        <v>293.26098623899037</v>
      </c>
      <c r="P4361" s="231"/>
      <c r="Q4361" s="224"/>
    </row>
    <row r="4362" spans="1:19" s="225" customFormat="1" ht="21" x14ac:dyDescent="0.25">
      <c r="A4362" s="229"/>
      <c r="B4362" s="230" t="s">
        <v>1774</v>
      </c>
      <c r="C4362" s="177"/>
      <c r="D4362" s="178"/>
      <c r="E4362" s="178">
        <v>30</v>
      </c>
      <c r="F4362" s="178"/>
      <c r="G4362" s="178"/>
      <c r="H4362" s="178"/>
      <c r="I4362" s="178"/>
      <c r="J4362" s="178"/>
      <c r="K4362" s="178"/>
      <c r="L4362" s="190"/>
      <c r="M4362" s="178">
        <f>E4362*O4362</f>
        <v>20700.3</v>
      </c>
      <c r="N4362" s="178"/>
      <c r="O4362" s="178">
        <f>Quantitativos!BL193</f>
        <v>690.01</v>
      </c>
      <c r="P4362" s="231"/>
      <c r="Q4362" s="224"/>
    </row>
    <row r="4363" spans="1:19" s="225" customFormat="1" ht="10.5" x14ac:dyDescent="0.25">
      <c r="A4363" s="229"/>
      <c r="B4363" s="232" t="s">
        <v>5</v>
      </c>
      <c r="C4363" s="182" t="s">
        <v>1328</v>
      </c>
      <c r="D4363" s="182"/>
      <c r="E4363" s="182"/>
      <c r="F4363" s="182"/>
      <c r="G4363" s="182"/>
      <c r="H4363" s="182"/>
      <c r="I4363" s="182"/>
      <c r="J4363" s="182"/>
      <c r="K4363" s="182"/>
      <c r="L4363" s="182"/>
      <c r="M4363" s="182">
        <f>SUM(M4360:M4362)</f>
        <v>60497.998585044552</v>
      </c>
      <c r="N4363" s="182"/>
      <c r="O4363" s="182"/>
      <c r="P4363" s="233"/>
      <c r="Q4363" s="224"/>
    </row>
    <row r="4364" spans="1:19" s="235" customFormat="1" ht="42" x14ac:dyDescent="0.35">
      <c r="A4364" s="226" t="str">
        <f>ORÇAMENTO!A800</f>
        <v>7.1.2.1.16</v>
      </c>
      <c r="B4364" s="227" t="str">
        <f>VLOOKUP(A4364,ORÇAMENTO!A:K,4,0)</f>
        <v>TRANSPORTE COM CAMINHÃO BASCULANTE DE 14 M³, EM VIA URBANA PAVIMENTADA, ADICIONAL PARA DMT EXCEDENTE A 30 KM (UNIDADE: M3XKM). AF_07/2020</v>
      </c>
      <c r="C4364" s="173" t="str">
        <f>VLOOKUP(A4364,ORÇAMENTO!A:K,5,0)</f>
        <v>M3XKM</v>
      </c>
      <c r="D4364" s="173">
        <f>SUM(E4367:O4367)</f>
        <v>30912.447999999997</v>
      </c>
      <c r="E4364" s="173" t="s">
        <v>1752</v>
      </c>
      <c r="F4364" s="173" t="s">
        <v>1719</v>
      </c>
      <c r="G4364" s="173" t="s">
        <v>1720</v>
      </c>
      <c r="H4364" s="173" t="s">
        <v>1721</v>
      </c>
      <c r="I4364" s="173" t="s">
        <v>1722</v>
      </c>
      <c r="J4364" s="173" t="s">
        <v>1723</v>
      </c>
      <c r="K4364" s="173" t="s">
        <v>1746</v>
      </c>
      <c r="L4364" s="173" t="s">
        <v>1753</v>
      </c>
      <c r="M4364" s="173" t="s">
        <v>1750</v>
      </c>
      <c r="N4364" s="173" t="s">
        <v>1727</v>
      </c>
      <c r="O4364" s="173" t="s">
        <v>1728</v>
      </c>
      <c r="P4364" s="224"/>
      <c r="Q4364" s="224"/>
      <c r="R4364" s="224"/>
      <c r="S4364" s="224"/>
    </row>
    <row r="4365" spans="1:19" s="225" customFormat="1" ht="21" x14ac:dyDescent="0.25">
      <c r="A4365" s="229"/>
      <c r="B4365" s="230" t="str">
        <f>B4360</f>
        <v>TRANSPORTE ATÉ ATERRO ESTRUTURAL - BOTA FORA - MATERIAL NÃO APROVEITADO</v>
      </c>
      <c r="C4365" s="177"/>
      <c r="D4365" s="178"/>
      <c r="E4365" s="178">
        <f>44.2-E4360</f>
        <v>14.200000000000003</v>
      </c>
      <c r="F4365" s="178"/>
      <c r="G4365" s="178"/>
      <c r="H4365" s="178"/>
      <c r="I4365" s="178"/>
      <c r="J4365" s="178"/>
      <c r="K4365" s="178"/>
      <c r="L4365" s="190"/>
      <c r="M4365" s="178">
        <f>E4365*O4365</f>
        <v>18809.8152902238</v>
      </c>
      <c r="N4365" s="178"/>
      <c r="O4365" s="178">
        <f>O4360</f>
        <v>1324.6348795932252</v>
      </c>
      <c r="P4365" s="231"/>
      <c r="Q4365" s="224"/>
    </row>
    <row r="4366" spans="1:19" s="225" customFormat="1" ht="21" x14ac:dyDescent="0.25">
      <c r="A4366" s="229"/>
      <c r="B4366" s="230" t="str">
        <f>B4362</f>
        <v>TRANSPORTE ATÉ ATERRO SAMAMBIA - BOTA FORA - ROCHA</v>
      </c>
      <c r="C4366" s="177"/>
      <c r="D4366" s="178"/>
      <c r="E4366" s="178">
        <f>74.8-E4362</f>
        <v>44.8</v>
      </c>
      <c r="F4366" s="178"/>
      <c r="G4366" s="178"/>
      <c r="H4366" s="178"/>
      <c r="I4366" s="178"/>
      <c r="J4366" s="178"/>
      <c r="K4366" s="178"/>
      <c r="L4366" s="190"/>
      <c r="M4366" s="178">
        <f>E4366*O4366</f>
        <v>30912.447999999997</v>
      </c>
      <c r="N4366" s="178"/>
      <c r="O4366" s="178">
        <f>O4362</f>
        <v>690.01</v>
      </c>
      <c r="P4366" s="231"/>
      <c r="Q4366" s="224"/>
    </row>
    <row r="4367" spans="1:19" s="225" customFormat="1" ht="10.5" x14ac:dyDescent="0.25">
      <c r="A4367" s="229"/>
      <c r="B4367" s="232" t="s">
        <v>5</v>
      </c>
      <c r="C4367" s="182" t="s">
        <v>1328</v>
      </c>
      <c r="D4367" s="182"/>
      <c r="E4367" s="182"/>
      <c r="F4367" s="182"/>
      <c r="G4367" s="182"/>
      <c r="H4367" s="182"/>
      <c r="I4367" s="182"/>
      <c r="J4367" s="182"/>
      <c r="K4367" s="182"/>
      <c r="L4367" s="182"/>
      <c r="M4367" s="182">
        <f>SUM(M4366)</f>
        <v>30912.447999999997</v>
      </c>
      <c r="N4367" s="182"/>
      <c r="O4367" s="182"/>
      <c r="P4367" s="233"/>
      <c r="Q4367" s="224"/>
    </row>
    <row r="4368" spans="1:19" s="235" customFormat="1" ht="21" x14ac:dyDescent="0.35">
      <c r="A4368" s="226" t="str">
        <f>ORÇAMENTO!A801</f>
        <v>7.1.2.1.17</v>
      </c>
      <c r="B4368" s="227" t="str">
        <f>VLOOKUP(A4368,ORÇAMENTO!A:K,4,0)</f>
        <v>ESPALHAMENTO DE MATERIAL COM TRATOR DE ESTEIRAS. AF_09/2024</v>
      </c>
      <c r="C4368" s="173" t="str">
        <f>VLOOKUP(A4368,ORÇAMENTO!A:K,5,0)</f>
        <v>M³</v>
      </c>
      <c r="D4368" s="173">
        <f>SUM(E4371:O4371)</f>
        <v>2307.9058658322156</v>
      </c>
      <c r="E4368" s="173" t="s">
        <v>1752</v>
      </c>
      <c r="F4368" s="173" t="s">
        <v>1719</v>
      </c>
      <c r="G4368" s="173" t="s">
        <v>1720</v>
      </c>
      <c r="H4368" s="173" t="s">
        <v>1721</v>
      </c>
      <c r="I4368" s="173" t="s">
        <v>1722</v>
      </c>
      <c r="J4368" s="173" t="s">
        <v>1723</v>
      </c>
      <c r="K4368" s="173" t="s">
        <v>1746</v>
      </c>
      <c r="L4368" s="173" t="s">
        <v>1753</v>
      </c>
      <c r="M4368" s="173" t="s">
        <v>1750</v>
      </c>
      <c r="N4368" s="173" t="s">
        <v>1727</v>
      </c>
      <c r="O4368" s="173" t="s">
        <v>1728</v>
      </c>
      <c r="P4368" s="224"/>
      <c r="Q4368" s="224"/>
      <c r="R4368" s="224"/>
      <c r="S4368" s="224"/>
    </row>
    <row r="4369" spans="1:17" s="225" customFormat="1" ht="10.5" x14ac:dyDescent="0.25">
      <c r="A4369" s="229"/>
      <c r="B4369" s="230" t="s">
        <v>1775</v>
      </c>
      <c r="C4369" s="177"/>
      <c r="D4369" s="178"/>
      <c r="E4369" s="178"/>
      <c r="F4369" s="178"/>
      <c r="G4369" s="178"/>
      <c r="H4369" s="178"/>
      <c r="I4369" s="178"/>
      <c r="J4369" s="178"/>
      <c r="K4369" s="178"/>
      <c r="L4369" s="190"/>
      <c r="M4369" s="178"/>
      <c r="N4369" s="178"/>
      <c r="O4369" s="178">
        <f>Quantitativos!BL192</f>
        <v>2307.9058658322156</v>
      </c>
      <c r="P4369" s="231"/>
      <c r="Q4369" s="224"/>
    </row>
    <row r="4370" spans="1:17" s="225" customFormat="1" ht="10.5" x14ac:dyDescent="0.25">
      <c r="A4370" s="229"/>
      <c r="B4370" s="230"/>
      <c r="C4370" s="177"/>
      <c r="D4370" s="178"/>
      <c r="E4370" s="178"/>
      <c r="F4370" s="178"/>
      <c r="G4370" s="178"/>
      <c r="H4370" s="178"/>
      <c r="I4370" s="178"/>
      <c r="J4370" s="178"/>
      <c r="K4370" s="178"/>
      <c r="L4370" s="190"/>
      <c r="M4370" s="178"/>
      <c r="N4370" s="178"/>
      <c r="O4370" s="178"/>
      <c r="P4370" s="231"/>
      <c r="Q4370" s="224"/>
    </row>
    <row r="4371" spans="1:17" s="225" customFormat="1" ht="10.5" x14ac:dyDescent="0.25">
      <c r="A4371" s="229"/>
      <c r="B4371" s="232" t="s">
        <v>5</v>
      </c>
      <c r="C4371" s="182" t="s">
        <v>1328</v>
      </c>
      <c r="D4371" s="182"/>
      <c r="E4371" s="182"/>
      <c r="F4371" s="182"/>
      <c r="G4371" s="182"/>
      <c r="H4371" s="182"/>
      <c r="I4371" s="182"/>
      <c r="J4371" s="182"/>
      <c r="K4371" s="182"/>
      <c r="L4371" s="182"/>
      <c r="M4371" s="182"/>
      <c r="N4371" s="182"/>
      <c r="O4371" s="182">
        <f>SUM(O4369)</f>
        <v>2307.9058658322156</v>
      </c>
      <c r="P4371" s="233"/>
      <c r="Q4371" s="224"/>
    </row>
    <row r="4372" spans="1:17" s="225" customFormat="1" ht="21" x14ac:dyDescent="0.25">
      <c r="A4372" s="222" t="str">
        <f>ORÇAMENTO!A804</f>
        <v>7.1.2.3</v>
      </c>
      <c r="B4372" s="223" t="str">
        <f>VLOOKUP(A4372,ORÇAMENTO!A:K,4,0)</f>
        <v>ESCORAMENTOS DE VALAS PARA REDE DE DRENAGEM</v>
      </c>
      <c r="C4372" s="167"/>
      <c r="D4372" s="167"/>
      <c r="E4372" s="168"/>
      <c r="F4372" s="168"/>
      <c r="G4372" s="168"/>
      <c r="H4372" s="168"/>
      <c r="I4372" s="168"/>
      <c r="J4372" s="168"/>
      <c r="K4372" s="168"/>
      <c r="L4372" s="168"/>
      <c r="M4372" s="168"/>
      <c r="N4372" s="168"/>
      <c r="O4372" s="168"/>
      <c r="P4372" s="224"/>
      <c r="Q4372" s="224"/>
    </row>
    <row r="4373" spans="1:17" s="228" customFormat="1" ht="42" x14ac:dyDescent="0.25">
      <c r="A4373" s="226" t="str">
        <f>ORÇAMENTO!A805</f>
        <v>7.1.2.3.1</v>
      </c>
      <c r="B4373" s="227" t="str">
        <f>VLOOKUP(A4373,ORÇAMENTO!A:K,4,0)</f>
        <v>ESCORAMENTO DE VALA, TIPO BLINDAGEM, COM PROFUNDIDADE DE 0 A 1,5 M, LARGURA MENOR QUE 1,5 M - EXECUÇÃO E FORNECIMENTO, INCLUI MATERIAL (ESCAVAÇÃO EXTERNA AO BLINDADO)</v>
      </c>
      <c r="C4373" s="173" t="str">
        <f>VLOOKUP(A4373,ORÇAMENTO!A:K,5,0)</f>
        <v>M²</v>
      </c>
      <c r="D4373" s="173">
        <f>SUM(E4376:O4376)</f>
        <v>416.76</v>
      </c>
      <c r="E4373" s="173" t="s">
        <v>1718</v>
      </c>
      <c r="F4373" s="173" t="s">
        <v>1719</v>
      </c>
      <c r="G4373" s="173" t="s">
        <v>1720</v>
      </c>
      <c r="H4373" s="173" t="s">
        <v>1721</v>
      </c>
      <c r="I4373" s="173" t="s">
        <v>1722</v>
      </c>
      <c r="J4373" s="173" t="s">
        <v>1723</v>
      </c>
      <c r="K4373" s="173" t="s">
        <v>1724</v>
      </c>
      <c r="L4373" s="173" t="s">
        <v>1753</v>
      </c>
      <c r="M4373" s="173" t="s">
        <v>1730</v>
      </c>
      <c r="N4373" s="173" t="s">
        <v>1727</v>
      </c>
      <c r="O4373" s="173" t="s">
        <v>1728</v>
      </c>
      <c r="P4373" s="224"/>
      <c r="Q4373" s="224"/>
    </row>
    <row r="4374" spans="1:17" s="225" customFormat="1" ht="10.5" x14ac:dyDescent="0.25">
      <c r="A4374" s="229"/>
      <c r="B4374" s="232" t="s">
        <v>1731</v>
      </c>
      <c r="C4374" s="177"/>
      <c r="D4374" s="178"/>
      <c r="E4374" s="178"/>
      <c r="F4374" s="178"/>
      <c r="G4374" s="178"/>
      <c r="H4374" s="178"/>
      <c r="I4374" s="178"/>
      <c r="J4374" s="178"/>
      <c r="K4374" s="178"/>
      <c r="L4374" s="178"/>
      <c r="M4374" s="178"/>
      <c r="N4374" s="178">
        <f>Quantitativos!DG192</f>
        <v>416.76</v>
      </c>
      <c r="O4374" s="178"/>
      <c r="P4374" s="224"/>
      <c r="Q4374" s="224"/>
    </row>
    <row r="4375" spans="1:17" s="225" customFormat="1" ht="10.5" x14ac:dyDescent="0.25">
      <c r="A4375" s="229"/>
      <c r="B4375" s="230"/>
      <c r="C4375" s="177"/>
      <c r="D4375" s="178"/>
      <c r="E4375" s="178"/>
      <c r="F4375" s="178"/>
      <c r="G4375" s="178"/>
      <c r="H4375" s="178"/>
      <c r="I4375" s="178"/>
      <c r="J4375" s="178"/>
      <c r="K4375" s="178"/>
      <c r="L4375" s="178"/>
      <c r="M4375" s="178"/>
      <c r="N4375" s="178"/>
      <c r="O4375" s="178"/>
      <c r="P4375" s="231"/>
      <c r="Q4375" s="224"/>
    </row>
    <row r="4376" spans="1:17" s="225" customFormat="1" ht="10.5" x14ac:dyDescent="0.25">
      <c r="A4376" s="229"/>
      <c r="B4376" s="232" t="s">
        <v>5</v>
      </c>
      <c r="C4376" s="182" t="s">
        <v>1328</v>
      </c>
      <c r="D4376" s="182"/>
      <c r="E4376" s="182"/>
      <c r="F4376" s="182"/>
      <c r="G4376" s="182"/>
      <c r="H4376" s="182"/>
      <c r="I4376" s="182"/>
      <c r="J4376" s="182"/>
      <c r="K4376" s="182"/>
      <c r="L4376" s="182"/>
      <c r="M4376" s="182"/>
      <c r="N4376" s="182">
        <f>SUM(N4374:N4375)</f>
        <v>416.76</v>
      </c>
      <c r="O4376" s="182"/>
      <c r="P4376" s="233"/>
      <c r="Q4376" s="224"/>
    </row>
    <row r="4377" spans="1:17" s="228" customFormat="1" ht="42" x14ac:dyDescent="0.25">
      <c r="A4377" s="226" t="str">
        <f>ORÇAMENTO!A806</f>
        <v>7.1.2.3.2</v>
      </c>
      <c r="B4377" s="227" t="str">
        <f>VLOOKUP(A4377,ORÇAMENTO!A:K,4,0)</f>
        <v>ESCORAMENTO DE VALA, TIPO BLINDAGEM, COM PROFUNDIDADE DE 1,5 A 3,0 M, LARGURA MENOR QUE 1,5 M - EXECUÇÃO E FORNECIMENTO, INCLUI MATERIAL (ESCAVAÇÃO INTERNA AO BLINDADO)</v>
      </c>
      <c r="C4377" s="173" t="str">
        <f>VLOOKUP(A4377,ORÇAMENTO!A:K,5,0)</f>
        <v>M²</v>
      </c>
      <c r="D4377" s="173">
        <f>SUM(E4380:O4380)</f>
        <v>326.61610000000002</v>
      </c>
      <c r="E4377" s="173" t="s">
        <v>1718</v>
      </c>
      <c r="F4377" s="173" t="s">
        <v>1719</v>
      </c>
      <c r="G4377" s="173" t="s">
        <v>1720</v>
      </c>
      <c r="H4377" s="173" t="s">
        <v>1721</v>
      </c>
      <c r="I4377" s="173" t="s">
        <v>1722</v>
      </c>
      <c r="J4377" s="173" t="s">
        <v>1723</v>
      </c>
      <c r="K4377" s="173" t="s">
        <v>1724</v>
      </c>
      <c r="L4377" s="173" t="s">
        <v>1753</v>
      </c>
      <c r="M4377" s="173" t="s">
        <v>1730</v>
      </c>
      <c r="N4377" s="173" t="s">
        <v>1727</v>
      </c>
      <c r="O4377" s="173" t="s">
        <v>1728</v>
      </c>
      <c r="P4377" s="224"/>
      <c r="Q4377" s="224"/>
    </row>
    <row r="4378" spans="1:17" s="225" customFormat="1" ht="10.5" x14ac:dyDescent="0.25">
      <c r="A4378" s="229"/>
      <c r="B4378" s="232" t="s">
        <v>1731</v>
      </c>
      <c r="C4378" s="177"/>
      <c r="D4378" s="178"/>
      <c r="E4378" s="178"/>
      <c r="F4378" s="178"/>
      <c r="G4378" s="178"/>
      <c r="H4378" s="178"/>
      <c r="I4378" s="178"/>
      <c r="J4378" s="178"/>
      <c r="K4378" s="178"/>
      <c r="L4378" s="178"/>
      <c r="M4378" s="178"/>
      <c r="N4378" s="178">
        <f>Quantitativos!DH192</f>
        <v>326.61610000000002</v>
      </c>
      <c r="O4378" s="178"/>
      <c r="P4378" s="224"/>
      <c r="Q4378" s="224"/>
    </row>
    <row r="4379" spans="1:17" s="225" customFormat="1" ht="10.5" x14ac:dyDescent="0.25">
      <c r="A4379" s="229"/>
      <c r="B4379" s="230"/>
      <c r="C4379" s="177"/>
      <c r="D4379" s="178"/>
      <c r="E4379" s="178"/>
      <c r="F4379" s="178"/>
      <c r="G4379" s="178"/>
      <c r="H4379" s="178"/>
      <c r="I4379" s="178"/>
      <c r="J4379" s="178"/>
      <c r="K4379" s="178"/>
      <c r="L4379" s="178"/>
      <c r="M4379" s="178"/>
      <c r="N4379" s="182"/>
      <c r="O4379" s="178"/>
      <c r="P4379" s="231"/>
      <c r="Q4379" s="224"/>
    </row>
    <row r="4380" spans="1:17" s="225" customFormat="1" ht="10.5" x14ac:dyDescent="0.25">
      <c r="A4380" s="229"/>
      <c r="B4380" s="232" t="s">
        <v>5</v>
      </c>
      <c r="C4380" s="182" t="s">
        <v>1328</v>
      </c>
      <c r="D4380" s="182"/>
      <c r="E4380" s="182"/>
      <c r="F4380" s="182"/>
      <c r="G4380" s="182"/>
      <c r="H4380" s="182"/>
      <c r="I4380" s="182"/>
      <c r="J4380" s="182"/>
      <c r="K4380" s="182"/>
      <c r="L4380" s="182"/>
      <c r="M4380" s="182"/>
      <c r="N4380" s="182">
        <f>SUM(N4378:N4379)</f>
        <v>326.61610000000002</v>
      </c>
      <c r="O4380" s="182"/>
      <c r="P4380" s="233"/>
      <c r="Q4380" s="224"/>
    </row>
    <row r="4381" spans="1:17" s="228" customFormat="1" ht="42" x14ac:dyDescent="0.25">
      <c r="A4381" s="226" t="str">
        <f>ORÇAMENTO!A807</f>
        <v>7.1.2.3.3</v>
      </c>
      <c r="B4381" s="227" t="str">
        <f>VLOOKUP(A4381,ORÇAMENTO!A:K,4,0)</f>
        <v>ESCORAMENTO DE VALA, TIPO BLINDAGEM, COM PROFUNDIDADE DE 3,0 A 4,5 M, LARGURA MENOR QUE 1,5 M -EXECUÇÃO E FORNECIMENTO, INCLUI MATERIAL (ESCAVAÇÃO EXTERNA AO BLINDADO)</v>
      </c>
      <c r="C4381" s="173" t="str">
        <f>VLOOKUP(A4381,ORÇAMENTO!A:K,5,0)</f>
        <v>M²</v>
      </c>
      <c r="D4381" s="173">
        <f>SUM(E4384:O4384)</f>
        <v>27.740600000000068</v>
      </c>
      <c r="E4381" s="173" t="s">
        <v>1718</v>
      </c>
      <c r="F4381" s="173" t="s">
        <v>1719</v>
      </c>
      <c r="G4381" s="173" t="s">
        <v>1720</v>
      </c>
      <c r="H4381" s="173" t="s">
        <v>1721</v>
      </c>
      <c r="I4381" s="173" t="s">
        <v>1722</v>
      </c>
      <c r="J4381" s="173" t="s">
        <v>1723</v>
      </c>
      <c r="K4381" s="173" t="s">
        <v>1724</v>
      </c>
      <c r="L4381" s="173" t="s">
        <v>1753</v>
      </c>
      <c r="M4381" s="173" t="s">
        <v>1730</v>
      </c>
      <c r="N4381" s="173" t="s">
        <v>1727</v>
      </c>
      <c r="O4381" s="173" t="s">
        <v>1728</v>
      </c>
      <c r="P4381" s="224"/>
      <c r="Q4381" s="224"/>
    </row>
    <row r="4382" spans="1:17" s="225" customFormat="1" ht="10.5" x14ac:dyDescent="0.25">
      <c r="A4382" s="229"/>
      <c r="B4382" s="232" t="s">
        <v>1731</v>
      </c>
      <c r="C4382" s="177"/>
      <c r="D4382" s="178"/>
      <c r="E4382" s="178"/>
      <c r="F4382" s="178"/>
      <c r="G4382" s="178"/>
      <c r="H4382" s="178"/>
      <c r="I4382" s="178"/>
      <c r="J4382" s="178"/>
      <c r="K4382" s="178"/>
      <c r="L4382" s="178"/>
      <c r="M4382" s="178"/>
      <c r="N4382" s="178">
        <f>Quantitativos!DI192</f>
        <v>27.740600000000068</v>
      </c>
      <c r="O4382" s="178"/>
      <c r="P4382" s="224"/>
      <c r="Q4382" s="224"/>
    </row>
    <row r="4383" spans="1:17" s="225" customFormat="1" ht="10.5" x14ac:dyDescent="0.25">
      <c r="A4383" s="229"/>
      <c r="B4383" s="230"/>
      <c r="C4383" s="177"/>
      <c r="D4383" s="178"/>
      <c r="E4383" s="178"/>
      <c r="F4383" s="178"/>
      <c r="G4383" s="178"/>
      <c r="H4383" s="178"/>
      <c r="I4383" s="178"/>
      <c r="J4383" s="178"/>
      <c r="K4383" s="178"/>
      <c r="L4383" s="178"/>
      <c r="M4383" s="178"/>
      <c r="N4383" s="182"/>
      <c r="O4383" s="178"/>
      <c r="P4383" s="231"/>
      <c r="Q4383" s="224"/>
    </row>
    <row r="4384" spans="1:17" s="225" customFormat="1" ht="10.5" x14ac:dyDescent="0.25">
      <c r="A4384" s="229"/>
      <c r="B4384" s="232" t="s">
        <v>5</v>
      </c>
      <c r="C4384" s="182" t="s">
        <v>1328</v>
      </c>
      <c r="D4384" s="182"/>
      <c r="E4384" s="182"/>
      <c r="F4384" s="182"/>
      <c r="G4384" s="182"/>
      <c r="H4384" s="182"/>
      <c r="I4384" s="182"/>
      <c r="J4384" s="182"/>
      <c r="K4384" s="182"/>
      <c r="L4384" s="182"/>
      <c r="M4384" s="182"/>
      <c r="N4384" s="182">
        <f>SUM(N4382:N4383)</f>
        <v>27.740600000000068</v>
      </c>
      <c r="O4384" s="182"/>
      <c r="P4384" s="233"/>
      <c r="Q4384" s="224"/>
    </row>
    <row r="4385" spans="1:17" s="228" customFormat="1" ht="52.5" x14ac:dyDescent="0.25">
      <c r="A4385" s="226" t="str">
        <f>ORÇAMENTO!A808</f>
        <v>7.1.2.3.4</v>
      </c>
      <c r="B4385" s="227" t="str">
        <f>VLOOKUP(A4385,ORÇAMENTO!A:K,4,0)</f>
        <v>ESCORAMENTO DE VALA, TIPO BLINDADEM, COM PROFUNDIDADE DE 0 A 1,5 M, LARGURA MAIOR OU IGUAL A 1,5 M EMENOR QUE 2,5 M - EXECUÇÃO E FORNECIMENTO, INCLUI MATERIAL (ESCAVAÇÃO EXTERNA AO BLINDADO)</v>
      </c>
      <c r="C4385" s="173" t="str">
        <f>VLOOKUP(A4385,ORÇAMENTO!A:K,5,0)</f>
        <v>M²</v>
      </c>
      <c r="D4385" s="173">
        <f>SUM(E4388:O4388)</f>
        <v>2778.1199999999994</v>
      </c>
      <c r="E4385" s="173" t="s">
        <v>1718</v>
      </c>
      <c r="F4385" s="173" t="s">
        <v>1719</v>
      </c>
      <c r="G4385" s="173" t="s">
        <v>1720</v>
      </c>
      <c r="H4385" s="173" t="s">
        <v>1721</v>
      </c>
      <c r="I4385" s="173" t="s">
        <v>1722</v>
      </c>
      <c r="J4385" s="173" t="s">
        <v>1723</v>
      </c>
      <c r="K4385" s="173" t="s">
        <v>1724</v>
      </c>
      <c r="L4385" s="173" t="s">
        <v>1753</v>
      </c>
      <c r="M4385" s="173" t="s">
        <v>1730</v>
      </c>
      <c r="N4385" s="173" t="s">
        <v>1727</v>
      </c>
      <c r="O4385" s="173" t="s">
        <v>1728</v>
      </c>
      <c r="P4385" s="224"/>
      <c r="Q4385" s="224"/>
    </row>
    <row r="4386" spans="1:17" s="225" customFormat="1" ht="10.5" x14ac:dyDescent="0.25">
      <c r="A4386" s="229"/>
      <c r="B4386" s="232" t="s">
        <v>1731</v>
      </c>
      <c r="C4386" s="184"/>
      <c r="D4386" s="185"/>
      <c r="E4386" s="185"/>
      <c r="F4386" s="185"/>
      <c r="G4386" s="185"/>
      <c r="H4386" s="185"/>
      <c r="I4386" s="185"/>
      <c r="J4386" s="185"/>
      <c r="K4386" s="185"/>
      <c r="L4386" s="185"/>
      <c r="M4386" s="185"/>
      <c r="N4386" s="185">
        <f>Quantitativos!DJ192</f>
        <v>2778.1199999999994</v>
      </c>
      <c r="O4386" s="185"/>
      <c r="P4386" s="224"/>
      <c r="Q4386" s="224"/>
    </row>
    <row r="4387" spans="1:17" s="225" customFormat="1" ht="10.5" x14ac:dyDescent="0.25">
      <c r="A4387" s="229"/>
      <c r="B4387" s="230"/>
      <c r="C4387" s="184"/>
      <c r="D4387" s="185"/>
      <c r="E4387" s="185"/>
      <c r="F4387" s="185"/>
      <c r="G4387" s="185"/>
      <c r="H4387" s="185"/>
      <c r="I4387" s="185"/>
      <c r="J4387" s="185"/>
      <c r="K4387" s="185"/>
      <c r="L4387" s="185"/>
      <c r="M4387" s="185"/>
      <c r="N4387" s="185"/>
      <c r="O4387" s="185"/>
      <c r="P4387" s="231"/>
      <c r="Q4387" s="224"/>
    </row>
    <row r="4388" spans="1:17" s="225" customFormat="1" ht="10.5" x14ac:dyDescent="0.25">
      <c r="A4388" s="229"/>
      <c r="B4388" s="232" t="s">
        <v>5</v>
      </c>
      <c r="C4388" s="182" t="s">
        <v>1328</v>
      </c>
      <c r="D4388" s="182"/>
      <c r="E4388" s="182"/>
      <c r="F4388" s="182"/>
      <c r="G4388" s="182"/>
      <c r="H4388" s="182"/>
      <c r="I4388" s="182"/>
      <c r="J4388" s="182"/>
      <c r="K4388" s="182"/>
      <c r="L4388" s="182"/>
      <c r="M4388" s="182"/>
      <c r="N4388" s="182">
        <f>SUM(N4386:N4387)</f>
        <v>2778.1199999999994</v>
      </c>
      <c r="O4388" s="182"/>
      <c r="P4388" s="233"/>
      <c r="Q4388" s="224"/>
    </row>
    <row r="4389" spans="1:17" s="228" customFormat="1" ht="42" x14ac:dyDescent="0.25">
      <c r="A4389" s="226" t="str">
        <f>ORÇAMENTO!A809</f>
        <v>7.1.2.3.5</v>
      </c>
      <c r="B4389" s="227" t="str">
        <f>VLOOKUP(A4389,ORÇAMENTO!A:K,4,0)</f>
        <v>ESCORAMENTO DE VALA, TIPO BLINDAGEM, COM PROFUNDIDADE DE 1,5 A 3,0 M, LARGURA DE 1,5 A 2,5 M -EXECUÇÃO E FORNECIMENTO, INCLUI MATERIAL (ESCAVAÇÃO INTERNA AO BLINDADO)</v>
      </c>
      <c r="C4389" s="173" t="str">
        <f>VLOOKUP(A4389,ORÇAMENTO!A:K,5,0)</f>
        <v>M²</v>
      </c>
      <c r="D4389" s="173">
        <f>SUM(E4392:O4392)</f>
        <v>2432.9435999999996</v>
      </c>
      <c r="E4389" s="173" t="s">
        <v>1718</v>
      </c>
      <c r="F4389" s="173" t="s">
        <v>1719</v>
      </c>
      <c r="G4389" s="173" t="s">
        <v>1720</v>
      </c>
      <c r="H4389" s="173" t="s">
        <v>1721</v>
      </c>
      <c r="I4389" s="173" t="s">
        <v>1722</v>
      </c>
      <c r="J4389" s="173" t="s">
        <v>1723</v>
      </c>
      <c r="K4389" s="173" t="s">
        <v>1724</v>
      </c>
      <c r="L4389" s="173" t="s">
        <v>1753</v>
      </c>
      <c r="M4389" s="173" t="s">
        <v>1730</v>
      </c>
      <c r="N4389" s="173" t="s">
        <v>1727</v>
      </c>
      <c r="O4389" s="173" t="s">
        <v>1728</v>
      </c>
      <c r="P4389" s="224"/>
      <c r="Q4389" s="224"/>
    </row>
    <row r="4390" spans="1:17" s="225" customFormat="1" ht="10.5" x14ac:dyDescent="0.25">
      <c r="A4390" s="229"/>
      <c r="B4390" s="232" t="s">
        <v>1731</v>
      </c>
      <c r="C4390" s="184"/>
      <c r="D4390" s="185"/>
      <c r="E4390" s="185"/>
      <c r="F4390" s="185"/>
      <c r="G4390" s="185"/>
      <c r="H4390" s="185"/>
      <c r="I4390" s="185"/>
      <c r="J4390" s="185"/>
      <c r="K4390" s="185"/>
      <c r="L4390" s="185"/>
      <c r="M4390" s="185"/>
      <c r="N4390" s="185">
        <f>Quantitativos!DK192</f>
        <v>2432.9435999999996</v>
      </c>
      <c r="O4390" s="185"/>
      <c r="P4390" s="224"/>
      <c r="Q4390" s="224"/>
    </row>
    <row r="4391" spans="1:17" s="225" customFormat="1" ht="10.5" x14ac:dyDescent="0.25">
      <c r="A4391" s="229"/>
      <c r="B4391" s="230"/>
      <c r="C4391" s="184"/>
      <c r="D4391" s="185"/>
      <c r="E4391" s="185"/>
      <c r="F4391" s="185"/>
      <c r="G4391" s="185"/>
      <c r="H4391" s="185"/>
      <c r="I4391" s="185"/>
      <c r="J4391" s="185"/>
      <c r="K4391" s="185"/>
      <c r="L4391" s="185"/>
      <c r="M4391" s="185"/>
      <c r="N4391" s="182"/>
      <c r="O4391" s="185"/>
      <c r="P4391" s="231"/>
      <c r="Q4391" s="224"/>
    </row>
    <row r="4392" spans="1:17" s="225" customFormat="1" ht="10.5" x14ac:dyDescent="0.25">
      <c r="A4392" s="229"/>
      <c r="B4392" s="232" t="s">
        <v>5</v>
      </c>
      <c r="C4392" s="182" t="s">
        <v>1328</v>
      </c>
      <c r="D4392" s="182"/>
      <c r="E4392" s="182"/>
      <c r="F4392" s="182"/>
      <c r="G4392" s="182"/>
      <c r="H4392" s="182"/>
      <c r="I4392" s="182"/>
      <c r="J4392" s="182"/>
      <c r="K4392" s="182"/>
      <c r="L4392" s="182"/>
      <c r="M4392" s="182"/>
      <c r="N4392" s="182">
        <f>SUM(N4390:N4391)</f>
        <v>2432.9435999999996</v>
      </c>
      <c r="O4392" s="182"/>
      <c r="P4392" s="233"/>
      <c r="Q4392" s="224"/>
    </row>
    <row r="4393" spans="1:17" s="228" customFormat="1" ht="52.5" x14ac:dyDescent="0.25">
      <c r="A4393" s="226" t="str">
        <f>ORÇAMENTO!A810</f>
        <v>7.1.2.3.6</v>
      </c>
      <c r="B4393" s="227" t="str">
        <f>VLOOKUP(A4393,ORÇAMENTO!A:K,4,0)</f>
        <v>ESCORAMENTO DE VALA, TIPO BLINDAGEM, COM PROFUNDIDADE DE 3,0 A 4,5 M, LARGURA MAIOR OU IGUAL A 1,5 M EMENOR QUE 2,5 M - EXECUÇÃO E FORNECIMENTO, INCLUI MATERIAL (ESCAVAÇÃO EXTERNA AO BLINDADO)</v>
      </c>
      <c r="C4393" s="173" t="str">
        <f>VLOOKUP(A4393,ORÇAMENTO!A:K,5,0)</f>
        <v>M²</v>
      </c>
      <c r="D4393" s="173">
        <f>SUM(E4396:O4396)</f>
        <v>714.64520000000039</v>
      </c>
      <c r="E4393" s="173" t="s">
        <v>1718</v>
      </c>
      <c r="F4393" s="173" t="s">
        <v>1719</v>
      </c>
      <c r="G4393" s="173" t="s">
        <v>1720</v>
      </c>
      <c r="H4393" s="173" t="s">
        <v>1721</v>
      </c>
      <c r="I4393" s="173" t="s">
        <v>1722</v>
      </c>
      <c r="J4393" s="173" t="s">
        <v>1723</v>
      </c>
      <c r="K4393" s="173" t="s">
        <v>1724</v>
      </c>
      <c r="L4393" s="173" t="s">
        <v>1753</v>
      </c>
      <c r="M4393" s="173" t="s">
        <v>1730</v>
      </c>
      <c r="N4393" s="173" t="s">
        <v>1727</v>
      </c>
      <c r="O4393" s="173" t="s">
        <v>1728</v>
      </c>
      <c r="P4393" s="224"/>
      <c r="Q4393" s="224"/>
    </row>
    <row r="4394" spans="1:17" s="225" customFormat="1" ht="10.5" x14ac:dyDescent="0.25">
      <c r="A4394" s="229"/>
      <c r="B4394" s="232"/>
      <c r="C4394" s="184"/>
      <c r="D4394" s="185"/>
      <c r="E4394" s="185"/>
      <c r="F4394" s="185"/>
      <c r="G4394" s="185"/>
      <c r="H4394" s="185"/>
      <c r="I4394" s="185"/>
      <c r="J4394" s="185"/>
      <c r="K4394" s="185"/>
      <c r="L4394" s="185"/>
      <c r="M4394" s="185"/>
      <c r="N4394" s="185">
        <f>Quantitativos!DL192</f>
        <v>714.64520000000039</v>
      </c>
      <c r="O4394" s="185"/>
      <c r="P4394" s="224"/>
      <c r="Q4394" s="224"/>
    </row>
    <row r="4395" spans="1:17" s="225" customFormat="1" ht="10.5" x14ac:dyDescent="0.25">
      <c r="A4395" s="229"/>
      <c r="B4395" s="230"/>
      <c r="C4395" s="184"/>
      <c r="D4395" s="185"/>
      <c r="E4395" s="185"/>
      <c r="F4395" s="185"/>
      <c r="G4395" s="185"/>
      <c r="H4395" s="185"/>
      <c r="I4395" s="185"/>
      <c r="J4395" s="185"/>
      <c r="K4395" s="185"/>
      <c r="L4395" s="185"/>
      <c r="M4395" s="185"/>
      <c r="N4395" s="185"/>
      <c r="O4395" s="185"/>
      <c r="P4395" s="231"/>
      <c r="Q4395" s="224"/>
    </row>
    <row r="4396" spans="1:17" s="225" customFormat="1" ht="10.5" x14ac:dyDescent="0.25">
      <c r="A4396" s="229"/>
      <c r="B4396" s="232" t="s">
        <v>5</v>
      </c>
      <c r="C4396" s="182" t="s">
        <v>1328</v>
      </c>
      <c r="D4396" s="182"/>
      <c r="E4396" s="182"/>
      <c r="F4396" s="182"/>
      <c r="G4396" s="182"/>
      <c r="H4396" s="182"/>
      <c r="I4396" s="182"/>
      <c r="J4396" s="182"/>
      <c r="K4396" s="182"/>
      <c r="L4396" s="182"/>
      <c r="M4396" s="182"/>
      <c r="N4396" s="182">
        <f>SUM(N4394:N4395)</f>
        <v>714.64520000000039</v>
      </c>
      <c r="O4396" s="182"/>
      <c r="P4396" s="233"/>
      <c r="Q4396" s="224"/>
    </row>
    <row r="4397" spans="1:17" s="228" customFormat="1" ht="52.5" x14ac:dyDescent="0.25">
      <c r="A4397" s="226" t="str">
        <f>ORÇAMENTO!A811</f>
        <v>7.1.2.3.7</v>
      </c>
      <c r="B4397" s="227" t="str">
        <f>VLOOKUP(A4397,ORÇAMENTO!A:K,4,0)</f>
        <v>ESCORAMENTO DE VALA, TIPO BLINDADEM, COM PROFUNDIDADE DE 0 A 1,5 M, LARGURA MAIOR OU IGUAL A 2,5 M EMENOR QUE 3,5 M - EXECUÇÃO E FORNECIMENTO, INCLUI MATERIAL (ESCAVAÇÃO EXTERNA AO BLINDADO)</v>
      </c>
      <c r="C4397" s="173" t="str">
        <f>VLOOKUP(A4397,ORÇAMENTO!A:K,5,0)</f>
        <v>M²</v>
      </c>
      <c r="D4397" s="173">
        <f>SUM(E4400:O4400)</f>
        <v>2349.87</v>
      </c>
      <c r="E4397" s="173" t="s">
        <v>1718</v>
      </c>
      <c r="F4397" s="173" t="s">
        <v>1719</v>
      </c>
      <c r="G4397" s="173" t="s">
        <v>1720</v>
      </c>
      <c r="H4397" s="173" t="s">
        <v>1721</v>
      </c>
      <c r="I4397" s="173" t="s">
        <v>1722</v>
      </c>
      <c r="J4397" s="173" t="s">
        <v>1723</v>
      </c>
      <c r="K4397" s="173" t="s">
        <v>1724</v>
      </c>
      <c r="L4397" s="173" t="s">
        <v>1753</v>
      </c>
      <c r="M4397" s="173" t="s">
        <v>1730</v>
      </c>
      <c r="N4397" s="173" t="s">
        <v>1727</v>
      </c>
      <c r="O4397" s="173" t="s">
        <v>1728</v>
      </c>
      <c r="P4397" s="224"/>
      <c r="Q4397" s="224"/>
    </row>
    <row r="4398" spans="1:17" s="225" customFormat="1" ht="10.5" x14ac:dyDescent="0.25">
      <c r="A4398" s="229"/>
      <c r="B4398" s="232"/>
      <c r="C4398" s="184"/>
      <c r="D4398" s="185"/>
      <c r="E4398" s="185"/>
      <c r="F4398" s="185"/>
      <c r="G4398" s="185"/>
      <c r="H4398" s="185"/>
      <c r="I4398" s="185"/>
      <c r="J4398" s="185"/>
      <c r="K4398" s="185"/>
      <c r="L4398" s="185"/>
      <c r="M4398" s="185"/>
      <c r="N4398" s="185">
        <f>Quantitativos!DM192</f>
        <v>2349.87</v>
      </c>
      <c r="O4398" s="185"/>
      <c r="P4398" s="224"/>
      <c r="Q4398" s="224"/>
    </row>
    <row r="4399" spans="1:17" s="225" customFormat="1" ht="10.5" x14ac:dyDescent="0.25">
      <c r="A4399" s="229"/>
      <c r="B4399" s="230"/>
      <c r="C4399" s="184"/>
      <c r="D4399" s="185"/>
      <c r="E4399" s="185"/>
      <c r="F4399" s="185"/>
      <c r="G4399" s="185"/>
      <c r="H4399" s="185"/>
      <c r="I4399" s="185"/>
      <c r="J4399" s="185"/>
      <c r="K4399" s="185"/>
      <c r="L4399" s="185"/>
      <c r="M4399" s="185"/>
      <c r="N4399" s="185"/>
      <c r="O4399" s="185"/>
      <c r="P4399" s="231"/>
      <c r="Q4399" s="224"/>
    </row>
    <row r="4400" spans="1:17" s="225" customFormat="1" ht="10.5" x14ac:dyDescent="0.25">
      <c r="A4400" s="229"/>
      <c r="B4400" s="232" t="s">
        <v>5</v>
      </c>
      <c r="C4400" s="182" t="s">
        <v>1328</v>
      </c>
      <c r="D4400" s="182"/>
      <c r="E4400" s="182"/>
      <c r="F4400" s="182"/>
      <c r="G4400" s="182"/>
      <c r="H4400" s="182"/>
      <c r="I4400" s="182"/>
      <c r="J4400" s="182"/>
      <c r="K4400" s="182"/>
      <c r="L4400" s="182"/>
      <c r="M4400" s="182"/>
      <c r="N4400" s="182">
        <f>SUM(N4398:N4399)</f>
        <v>2349.87</v>
      </c>
      <c r="O4400" s="182"/>
      <c r="P4400" s="233"/>
      <c r="Q4400" s="224"/>
    </row>
    <row r="4401" spans="1:17" s="228" customFormat="1" ht="42" x14ac:dyDescent="0.25">
      <c r="A4401" s="226" t="str">
        <f>ORÇAMENTO!A812</f>
        <v>7.1.2.3.8</v>
      </c>
      <c r="B4401" s="227" t="str">
        <f>VLOOKUP(A4401,ORÇAMENTO!A:K,4,0)</f>
        <v>ESCORAMENTO DE VALA, TIPO BLINDAGEM, COM PROFUNDIDADE DE 1,5 A 3,0 M, LARGURA DE 2,5 A 3,5 M -EXECUÇÃO E FORNECIMENTO, INCLUI MATERIAL (ESCAVAÇÃO INTERNA AO BLINDADO)</v>
      </c>
      <c r="C4401" s="173" t="str">
        <f>VLOOKUP(A4401,ORÇAMENTO!A:K,5,0)</f>
        <v>M²</v>
      </c>
      <c r="D4401" s="173">
        <f>SUM(E4404:O4404)</f>
        <v>2316.5812000000005</v>
      </c>
      <c r="E4401" s="173" t="s">
        <v>1718</v>
      </c>
      <c r="F4401" s="173" t="s">
        <v>1719</v>
      </c>
      <c r="G4401" s="173" t="s">
        <v>1720</v>
      </c>
      <c r="H4401" s="173" t="s">
        <v>1721</v>
      </c>
      <c r="I4401" s="173" t="s">
        <v>1722</v>
      </c>
      <c r="J4401" s="173" t="s">
        <v>1723</v>
      </c>
      <c r="K4401" s="173" t="s">
        <v>1724</v>
      </c>
      <c r="L4401" s="173" t="s">
        <v>1753</v>
      </c>
      <c r="M4401" s="173" t="s">
        <v>1730</v>
      </c>
      <c r="N4401" s="173" t="s">
        <v>1727</v>
      </c>
      <c r="O4401" s="173" t="s">
        <v>1728</v>
      </c>
      <c r="P4401" s="224"/>
      <c r="Q4401" s="224"/>
    </row>
    <row r="4402" spans="1:17" s="225" customFormat="1" ht="10.5" x14ac:dyDescent="0.25">
      <c r="A4402" s="229"/>
      <c r="B4402" s="232"/>
      <c r="C4402" s="184"/>
      <c r="D4402" s="185"/>
      <c r="E4402" s="185"/>
      <c r="F4402" s="185"/>
      <c r="G4402" s="185"/>
      <c r="H4402" s="185"/>
      <c r="I4402" s="185"/>
      <c r="J4402" s="185"/>
      <c r="K4402" s="185"/>
      <c r="L4402" s="185"/>
      <c r="M4402" s="185"/>
      <c r="N4402" s="185">
        <f>Quantitativos!DN192</f>
        <v>2316.5812000000005</v>
      </c>
      <c r="O4402" s="185"/>
      <c r="P4402" s="224"/>
      <c r="Q4402" s="224"/>
    </row>
    <row r="4403" spans="1:17" s="225" customFormat="1" ht="10.5" x14ac:dyDescent="0.25">
      <c r="A4403" s="229"/>
      <c r="B4403" s="230"/>
      <c r="C4403" s="184"/>
      <c r="D4403" s="185"/>
      <c r="E4403" s="185"/>
      <c r="F4403" s="185"/>
      <c r="G4403" s="185"/>
      <c r="H4403" s="185"/>
      <c r="I4403" s="185"/>
      <c r="J4403" s="185"/>
      <c r="K4403" s="185"/>
      <c r="L4403" s="185"/>
      <c r="M4403" s="185"/>
      <c r="N4403" s="185"/>
      <c r="O4403" s="185"/>
      <c r="P4403" s="231"/>
      <c r="Q4403" s="224"/>
    </row>
    <row r="4404" spans="1:17" s="225" customFormat="1" ht="10.5" x14ac:dyDescent="0.25">
      <c r="A4404" s="229"/>
      <c r="B4404" s="232" t="s">
        <v>5</v>
      </c>
      <c r="C4404" s="182" t="s">
        <v>1328</v>
      </c>
      <c r="D4404" s="182"/>
      <c r="E4404" s="182"/>
      <c r="F4404" s="182"/>
      <c r="G4404" s="182"/>
      <c r="H4404" s="182"/>
      <c r="I4404" s="182"/>
      <c r="J4404" s="182"/>
      <c r="K4404" s="182"/>
      <c r="L4404" s="182"/>
      <c r="M4404" s="182"/>
      <c r="N4404" s="182">
        <f>SUM(N4402:N4403)</f>
        <v>2316.5812000000005</v>
      </c>
      <c r="O4404" s="182"/>
      <c r="P4404" s="233"/>
      <c r="Q4404" s="224"/>
    </row>
    <row r="4405" spans="1:17" s="228" customFormat="1" ht="52.5" x14ac:dyDescent="0.25">
      <c r="A4405" s="226" t="str">
        <f>ORÇAMENTO!A813</f>
        <v>7.1.2.3.9</v>
      </c>
      <c r="B4405" s="227" t="str">
        <f>VLOOKUP(A4405,ORÇAMENTO!A:K,4,0)</f>
        <v>ESCORAMENTO DE VALA, TIPO BLINDAGEM, COM PROFUNDIDADE DE 3,0 A 4,5 M, LARGURA MAIOR OU IGUAL A 2,5 M EMENOR QUE 3,5 M - EXECUÇÃO E FORNECIMENTO, INCLUI MATERIAL (ESCAVAÇÃO EXTERNA AO BLINDADO)</v>
      </c>
      <c r="C4405" s="173" t="str">
        <f>VLOOKUP(A4405,ORÇAMENTO!A:K,5,0)</f>
        <v>M²</v>
      </c>
      <c r="D4405" s="173">
        <f>SUM(E4408:O4408)</f>
        <v>1666.5231000000001</v>
      </c>
      <c r="E4405" s="173" t="s">
        <v>1718</v>
      </c>
      <c r="F4405" s="173" t="s">
        <v>1719</v>
      </c>
      <c r="G4405" s="173" t="s">
        <v>1720</v>
      </c>
      <c r="H4405" s="173" t="s">
        <v>1721</v>
      </c>
      <c r="I4405" s="173" t="s">
        <v>1722</v>
      </c>
      <c r="J4405" s="173" t="s">
        <v>1723</v>
      </c>
      <c r="K4405" s="173" t="s">
        <v>1724</v>
      </c>
      <c r="L4405" s="173" t="s">
        <v>1753</v>
      </c>
      <c r="M4405" s="173" t="s">
        <v>1730</v>
      </c>
      <c r="N4405" s="173" t="s">
        <v>1727</v>
      </c>
      <c r="O4405" s="173" t="s">
        <v>1728</v>
      </c>
      <c r="P4405" s="224"/>
      <c r="Q4405" s="224"/>
    </row>
    <row r="4406" spans="1:17" s="225" customFormat="1" ht="10.5" x14ac:dyDescent="0.25">
      <c r="A4406" s="229"/>
      <c r="B4406" s="232"/>
      <c r="C4406" s="184"/>
      <c r="D4406" s="185"/>
      <c r="E4406" s="185"/>
      <c r="F4406" s="185"/>
      <c r="G4406" s="185"/>
      <c r="H4406" s="185"/>
      <c r="I4406" s="185"/>
      <c r="J4406" s="185"/>
      <c r="K4406" s="185"/>
      <c r="L4406" s="185"/>
      <c r="M4406" s="185"/>
      <c r="N4406" s="185">
        <f>Quantitativos!DO192</f>
        <v>1666.5231000000001</v>
      </c>
      <c r="O4406" s="185"/>
      <c r="P4406" s="224"/>
      <c r="Q4406" s="224"/>
    </row>
    <row r="4407" spans="1:17" s="225" customFormat="1" ht="10.5" x14ac:dyDescent="0.25">
      <c r="A4407" s="229"/>
      <c r="B4407" s="230"/>
      <c r="C4407" s="184"/>
      <c r="D4407" s="185"/>
      <c r="E4407" s="185"/>
      <c r="F4407" s="185"/>
      <c r="G4407" s="185"/>
      <c r="H4407" s="185"/>
      <c r="I4407" s="185"/>
      <c r="J4407" s="185"/>
      <c r="K4407" s="185"/>
      <c r="L4407" s="185"/>
      <c r="M4407" s="185"/>
      <c r="N4407" s="185"/>
      <c r="O4407" s="185"/>
      <c r="P4407" s="231"/>
      <c r="Q4407" s="224"/>
    </row>
    <row r="4408" spans="1:17" s="225" customFormat="1" ht="10.5" x14ac:dyDescent="0.25">
      <c r="A4408" s="229"/>
      <c r="B4408" s="232" t="s">
        <v>5</v>
      </c>
      <c r="C4408" s="182" t="s">
        <v>1328</v>
      </c>
      <c r="D4408" s="182"/>
      <c r="E4408" s="182"/>
      <c r="F4408" s="182"/>
      <c r="G4408" s="182"/>
      <c r="H4408" s="182"/>
      <c r="I4408" s="182"/>
      <c r="J4408" s="182"/>
      <c r="K4408" s="182"/>
      <c r="L4408" s="182"/>
      <c r="M4408" s="182"/>
      <c r="N4408" s="182">
        <f>SUM(N4406:N4407)</f>
        <v>1666.5231000000001</v>
      </c>
      <c r="O4408" s="182"/>
      <c r="P4408" s="233"/>
      <c r="Q4408" s="224"/>
    </row>
    <row r="4409" spans="1:17" s="228" customFormat="1" ht="52.5" x14ac:dyDescent="0.25">
      <c r="A4409" s="226" t="str">
        <f>ORÇAMENTO!A814</f>
        <v>7.1.2.3.10</v>
      </c>
      <c r="B4409" s="227" t="str">
        <f>VLOOKUP(A4409,ORÇAMENTO!A:K,4,0)</f>
        <v>ESCORAMENTO DE VALA, TIPO BLINDAGEM, COM PROFUNDIDADE DE 4,5 A 6,0 M, LARGURA MAIOR OU IGUAL A 2,5 M EMENOR QUE 3,5 M - EXECUÇÃO E FORNECIMENTO, INCLUI MATERIAL (ESCAVAÇÃO EXTERNA AO BLINDADO)</v>
      </c>
      <c r="C4409" s="173" t="str">
        <f>VLOOKUP(A4409,ORÇAMENTO!A:K,5,0)</f>
        <v>M²</v>
      </c>
      <c r="D4409" s="173">
        <f>SUM(E4412:O4412)</f>
        <v>125.00240000000031</v>
      </c>
      <c r="E4409" s="173" t="s">
        <v>1718</v>
      </c>
      <c r="F4409" s="173" t="s">
        <v>1719</v>
      </c>
      <c r="G4409" s="173" t="s">
        <v>1720</v>
      </c>
      <c r="H4409" s="173" t="s">
        <v>1721</v>
      </c>
      <c r="I4409" s="173" t="s">
        <v>1722</v>
      </c>
      <c r="J4409" s="173" t="s">
        <v>1723</v>
      </c>
      <c r="K4409" s="173" t="s">
        <v>1724</v>
      </c>
      <c r="L4409" s="173" t="s">
        <v>1753</v>
      </c>
      <c r="M4409" s="173" t="s">
        <v>1730</v>
      </c>
      <c r="N4409" s="173" t="s">
        <v>1727</v>
      </c>
      <c r="O4409" s="173" t="s">
        <v>1728</v>
      </c>
      <c r="P4409" s="224"/>
      <c r="Q4409" s="224"/>
    </row>
    <row r="4410" spans="1:17" s="225" customFormat="1" ht="10.5" x14ac:dyDescent="0.25">
      <c r="A4410" s="229"/>
      <c r="B4410" s="232"/>
      <c r="C4410" s="184"/>
      <c r="D4410" s="185"/>
      <c r="E4410" s="185"/>
      <c r="F4410" s="185"/>
      <c r="G4410" s="185"/>
      <c r="H4410" s="185"/>
      <c r="I4410" s="185"/>
      <c r="J4410" s="185"/>
      <c r="K4410" s="185"/>
      <c r="L4410" s="185"/>
      <c r="M4410" s="185"/>
      <c r="N4410" s="185">
        <f>Quantitativos!DP192</f>
        <v>125.00240000000031</v>
      </c>
      <c r="O4410" s="185"/>
      <c r="P4410" s="224"/>
      <c r="Q4410" s="224"/>
    </row>
    <row r="4411" spans="1:17" s="225" customFormat="1" ht="10.5" x14ac:dyDescent="0.25">
      <c r="A4411" s="229"/>
      <c r="B4411" s="230"/>
      <c r="C4411" s="184"/>
      <c r="D4411" s="185"/>
      <c r="E4411" s="185"/>
      <c r="F4411" s="185"/>
      <c r="G4411" s="185"/>
      <c r="H4411" s="185"/>
      <c r="I4411" s="185"/>
      <c r="J4411" s="185"/>
      <c r="K4411" s="185"/>
      <c r="L4411" s="185"/>
      <c r="M4411" s="185"/>
      <c r="N4411" s="185"/>
      <c r="O4411" s="185"/>
      <c r="P4411" s="231"/>
      <c r="Q4411" s="224"/>
    </row>
    <row r="4412" spans="1:17" s="225" customFormat="1" ht="10.5" x14ac:dyDescent="0.25">
      <c r="A4412" s="229"/>
      <c r="B4412" s="232" t="s">
        <v>5</v>
      </c>
      <c r="C4412" s="182" t="s">
        <v>1328</v>
      </c>
      <c r="D4412" s="182"/>
      <c r="E4412" s="182"/>
      <c r="F4412" s="182"/>
      <c r="G4412" s="182"/>
      <c r="H4412" s="182"/>
      <c r="I4412" s="182"/>
      <c r="J4412" s="182"/>
      <c r="K4412" s="182"/>
      <c r="L4412" s="182"/>
      <c r="M4412" s="182"/>
      <c r="N4412" s="182">
        <f>SUM(N4410:N4411)</f>
        <v>125.00240000000031</v>
      </c>
      <c r="O4412" s="182"/>
      <c r="P4412" s="233"/>
      <c r="Q4412" s="224"/>
    </row>
    <row r="4413" spans="1:17" s="225" customFormat="1" ht="10.5" x14ac:dyDescent="0.25">
      <c r="A4413" s="222" t="str">
        <f>ORÇAMENTO!A802</f>
        <v>7.1.2.2</v>
      </c>
      <c r="B4413" s="223" t="str">
        <f>VLOOKUP(A4413,ORÇAMENTO!A:K,4,0)</f>
        <v>ESGOTAMENTO DE VALAS</v>
      </c>
      <c r="C4413" s="167"/>
      <c r="D4413" s="167"/>
      <c r="E4413" s="168"/>
      <c r="F4413" s="168"/>
      <c r="G4413" s="168"/>
      <c r="H4413" s="168"/>
      <c r="I4413" s="168"/>
      <c r="J4413" s="168"/>
      <c r="K4413" s="168"/>
      <c r="L4413" s="168"/>
      <c r="M4413" s="168"/>
      <c r="N4413" s="168"/>
      <c r="O4413" s="168"/>
      <c r="P4413" s="224"/>
      <c r="Q4413" s="224"/>
    </row>
    <row r="4414" spans="1:17" s="228" customFormat="1" ht="21" x14ac:dyDescent="0.25">
      <c r="A4414" s="226" t="str">
        <f>ORÇAMENTO!A803</f>
        <v>7.1.2.2.1</v>
      </c>
      <c r="B4414" s="227" t="str">
        <f>VLOOKUP(A4414,ORÇAMENTO!A:K,4,0)</f>
        <v>ESGOTAMENTO DE ÁGUA COM BOMBA SUBMERSA</v>
      </c>
      <c r="C4414" s="173" t="str">
        <f>VLOOKUP(A4414,ORÇAMENTO!A:K,5,0)</f>
        <v>H</v>
      </c>
      <c r="D4414" s="173">
        <f>SUM(E4417:O4417)</f>
        <v>0.25721866666666809</v>
      </c>
      <c r="E4414" s="173" t="s">
        <v>1718</v>
      </c>
      <c r="F4414" s="173" t="s">
        <v>1719</v>
      </c>
      <c r="G4414" s="173" t="s">
        <v>1720</v>
      </c>
      <c r="H4414" s="173" t="s">
        <v>1721</v>
      </c>
      <c r="I4414" s="173" t="s">
        <v>1722</v>
      </c>
      <c r="J4414" s="173" t="s">
        <v>1723</v>
      </c>
      <c r="K4414" s="173" t="s">
        <v>1724</v>
      </c>
      <c r="L4414" s="173" t="s">
        <v>1753</v>
      </c>
      <c r="M4414" s="173" t="s">
        <v>1730</v>
      </c>
      <c r="N4414" s="173" t="s">
        <v>1727</v>
      </c>
      <c r="O4414" s="173" t="s">
        <v>1728</v>
      </c>
      <c r="P4414" s="224"/>
      <c r="Q4414" s="224"/>
    </row>
    <row r="4415" spans="1:17" s="225" customFormat="1" ht="10.5" x14ac:dyDescent="0.25">
      <c r="A4415" s="229"/>
      <c r="B4415" s="232" t="str">
        <f>Quantitativos!AS139</f>
        <v>ESGOTAMENTO</v>
      </c>
      <c r="C4415" s="184"/>
      <c r="D4415" s="185"/>
      <c r="E4415" s="185"/>
      <c r="F4415" s="185"/>
      <c r="G4415" s="185"/>
      <c r="H4415" s="185"/>
      <c r="I4415" s="185"/>
      <c r="J4415" s="185"/>
      <c r="K4415" s="185"/>
      <c r="L4415" s="185"/>
      <c r="M4415" s="185"/>
      <c r="N4415" s="185"/>
      <c r="O4415" s="185">
        <f>Quantitativos!AS192</f>
        <v>0.25721866666666809</v>
      </c>
      <c r="P4415" s="224"/>
      <c r="Q4415" s="224"/>
    </row>
    <row r="4416" spans="1:17" s="225" customFormat="1" ht="10.5" x14ac:dyDescent="0.25">
      <c r="A4416" s="229"/>
      <c r="B4416" s="230"/>
      <c r="C4416" s="184"/>
      <c r="D4416" s="185"/>
      <c r="E4416" s="185"/>
      <c r="F4416" s="185"/>
      <c r="G4416" s="185"/>
      <c r="H4416" s="185"/>
      <c r="I4416" s="185"/>
      <c r="J4416" s="185"/>
      <c r="K4416" s="185"/>
      <c r="L4416" s="185"/>
      <c r="M4416" s="185"/>
      <c r="N4416" s="185"/>
      <c r="O4416" s="185"/>
      <c r="P4416" s="231"/>
      <c r="Q4416" s="224"/>
    </row>
    <row r="4417" spans="1:17" s="225" customFormat="1" ht="10.5" x14ac:dyDescent="0.25">
      <c r="A4417" s="229"/>
      <c r="B4417" s="232" t="s">
        <v>5</v>
      </c>
      <c r="C4417" s="182" t="s">
        <v>1328</v>
      </c>
      <c r="D4417" s="182"/>
      <c r="E4417" s="182"/>
      <c r="F4417" s="182"/>
      <c r="G4417" s="182"/>
      <c r="H4417" s="182"/>
      <c r="I4417" s="182"/>
      <c r="J4417" s="182"/>
      <c r="K4417" s="182"/>
      <c r="L4417" s="182"/>
      <c r="M4417" s="182"/>
      <c r="N4417" s="182"/>
      <c r="O4417" s="182">
        <f>SUM(O4415:O4416)</f>
        <v>0.25721866666666809</v>
      </c>
      <c r="P4417" s="233"/>
      <c r="Q4417" s="224"/>
    </row>
    <row r="4418" spans="1:17" s="225" customFormat="1" ht="21" x14ac:dyDescent="0.25">
      <c r="A4418" s="222" t="str">
        <f>ORÇAMENTO!A815</f>
        <v>7.1.2.4</v>
      </c>
      <c r="B4418" s="223" t="str">
        <f>VLOOKUP(A4418,ORÇAMENTO!A:K,4,0)</f>
        <v>PREENCHIMENTO DE VALAS E ASSENTAMENTO DE TUBOS</v>
      </c>
      <c r="C4418" s="167"/>
      <c r="D4418" s="167"/>
      <c r="E4418" s="168"/>
      <c r="F4418" s="168"/>
      <c r="G4418" s="168"/>
      <c r="H4418" s="168"/>
      <c r="I4418" s="168"/>
      <c r="J4418" s="168"/>
      <c r="K4418" s="168"/>
      <c r="L4418" s="168"/>
      <c r="M4418" s="168"/>
      <c r="N4418" s="168"/>
      <c r="O4418" s="168"/>
      <c r="P4418" s="224"/>
      <c r="Q4418" s="224"/>
    </row>
    <row r="4419" spans="1:17" s="228" customFormat="1" ht="31.5" x14ac:dyDescent="0.25">
      <c r="A4419" s="226" t="str">
        <f>ORÇAMENTO!A816</f>
        <v>7.1.2.4.1</v>
      </c>
      <c r="B4419" s="227" t="str">
        <f>VLOOKUP(A4419,ORÇAMENTO!A:K,4,0)</f>
        <v>PREPARO DE FUNDO DE VALA COM LARGURA MENOR QUE 1,5 M, COM CAMADA DE BRITA, LANÇAMENTO MECANIZADO. AF_08/2020</v>
      </c>
      <c r="C4419" s="173" t="str">
        <f>VLOOKUP(A4419,ORÇAMENTO!A:K,5,0)</f>
        <v>M³</v>
      </c>
      <c r="D4419" s="173">
        <f>SUM(E4422:O4422)</f>
        <v>19.448799999999999</v>
      </c>
      <c r="E4419" s="173" t="s">
        <v>1718</v>
      </c>
      <c r="F4419" s="173" t="s">
        <v>1719</v>
      </c>
      <c r="G4419" s="173" t="s">
        <v>1720</v>
      </c>
      <c r="H4419" s="173" t="s">
        <v>1721</v>
      </c>
      <c r="I4419" s="173" t="s">
        <v>1722</v>
      </c>
      <c r="J4419" s="173" t="s">
        <v>1723</v>
      </c>
      <c r="K4419" s="173" t="s">
        <v>1724</v>
      </c>
      <c r="L4419" s="173" t="s">
        <v>1753</v>
      </c>
      <c r="M4419" s="173" t="s">
        <v>1730</v>
      </c>
      <c r="N4419" s="173" t="s">
        <v>1727</v>
      </c>
      <c r="O4419" s="173" t="s">
        <v>1728</v>
      </c>
      <c r="P4419" s="224"/>
      <c r="Q4419" s="224"/>
    </row>
    <row r="4420" spans="1:17" s="225" customFormat="1" ht="10.5" x14ac:dyDescent="0.25">
      <c r="A4420" s="229"/>
      <c r="B4420" s="232" t="s">
        <v>1732</v>
      </c>
      <c r="C4420" s="177"/>
      <c r="D4420" s="178"/>
      <c r="E4420" s="178"/>
      <c r="F4420" s="178"/>
      <c r="G4420" s="178"/>
      <c r="H4420" s="178"/>
      <c r="I4420" s="178"/>
      <c r="J4420" s="178"/>
      <c r="K4420" s="178"/>
      <c r="L4420" s="178"/>
      <c r="M4420" s="178"/>
      <c r="N4420" s="178"/>
      <c r="O4420" s="178">
        <f>Quantitativos!AU192</f>
        <v>19.448799999999999</v>
      </c>
      <c r="P4420" s="224"/>
      <c r="Q4420" s="224"/>
    </row>
    <row r="4421" spans="1:17" s="225" customFormat="1" ht="10.5" x14ac:dyDescent="0.25">
      <c r="A4421" s="229"/>
      <c r="B4421" s="230"/>
      <c r="C4421" s="177"/>
      <c r="D4421" s="178"/>
      <c r="E4421" s="178"/>
      <c r="F4421" s="178"/>
      <c r="G4421" s="178"/>
      <c r="H4421" s="178"/>
      <c r="I4421" s="178"/>
      <c r="J4421" s="178"/>
      <c r="K4421" s="178"/>
      <c r="L4421" s="178"/>
      <c r="M4421" s="178"/>
      <c r="N4421" s="178"/>
      <c r="O4421" s="178"/>
      <c r="P4421" s="231"/>
      <c r="Q4421" s="224"/>
    </row>
    <row r="4422" spans="1:17" s="225" customFormat="1" ht="10.5" x14ac:dyDescent="0.25">
      <c r="A4422" s="229"/>
      <c r="B4422" s="232" t="s">
        <v>5</v>
      </c>
      <c r="C4422" s="182" t="s">
        <v>1328</v>
      </c>
      <c r="D4422" s="182"/>
      <c r="E4422" s="182"/>
      <c r="F4422" s="182"/>
      <c r="G4422" s="182"/>
      <c r="H4422" s="182"/>
      <c r="I4422" s="182"/>
      <c r="J4422" s="182"/>
      <c r="K4422" s="182"/>
      <c r="L4422" s="182"/>
      <c r="M4422" s="182"/>
      <c r="N4422" s="182"/>
      <c r="O4422" s="182">
        <f>SUM(O4420:O4421)</f>
        <v>19.448799999999999</v>
      </c>
      <c r="P4422" s="233"/>
      <c r="Q4422" s="224"/>
    </row>
    <row r="4423" spans="1:17" s="228" customFormat="1" ht="42" x14ac:dyDescent="0.25">
      <c r="A4423" s="226" t="str">
        <f>ORÇAMENTO!A817</f>
        <v>7.1.2.4.2</v>
      </c>
      <c r="B4423" s="227" t="str">
        <f>VLOOKUP(A4423,ORÇAMENTO!A:K,4,0)</f>
        <v>PREPARO DE FUNDO DE VALA COM LARGURA MAIOR OU IGUAL A 1,5 M E MENOR QUE 2,5 M, COM CAMADA DE BRITA, LANÇAMENTO MECANIZADO. AF_08/2020</v>
      </c>
      <c r="C4423" s="173" t="str">
        <f>VLOOKUP(A4423,ORÇAMENTO!A:K,5,0)</f>
        <v>M³</v>
      </c>
      <c r="D4423" s="173">
        <f>SUM(E4426:O4426)</f>
        <v>708.8128999999999</v>
      </c>
      <c r="E4423" s="173" t="s">
        <v>1718</v>
      </c>
      <c r="F4423" s="173" t="s">
        <v>1719</v>
      </c>
      <c r="G4423" s="173" t="s">
        <v>1720</v>
      </c>
      <c r="H4423" s="173" t="s">
        <v>1721</v>
      </c>
      <c r="I4423" s="173" t="s">
        <v>1722</v>
      </c>
      <c r="J4423" s="173" t="s">
        <v>1723</v>
      </c>
      <c r="K4423" s="173" t="s">
        <v>1724</v>
      </c>
      <c r="L4423" s="173" t="s">
        <v>1753</v>
      </c>
      <c r="M4423" s="173" t="s">
        <v>1730</v>
      </c>
      <c r="N4423" s="173" t="s">
        <v>1727</v>
      </c>
      <c r="O4423" s="173" t="s">
        <v>1728</v>
      </c>
      <c r="P4423" s="224"/>
      <c r="Q4423" s="224"/>
    </row>
    <row r="4424" spans="1:17" s="225" customFormat="1" ht="10.5" x14ac:dyDescent="0.25">
      <c r="A4424" s="229"/>
      <c r="B4424" s="232" t="s">
        <v>1732</v>
      </c>
      <c r="C4424" s="184"/>
      <c r="D4424" s="185"/>
      <c r="E4424" s="185"/>
      <c r="F4424" s="185"/>
      <c r="G4424" s="185"/>
      <c r="H4424" s="185"/>
      <c r="I4424" s="185"/>
      <c r="J4424" s="185"/>
      <c r="K4424" s="185"/>
      <c r="L4424" s="185"/>
      <c r="M4424" s="185"/>
      <c r="N4424" s="185"/>
      <c r="O4424" s="185">
        <f>Quantitativos!AV192</f>
        <v>708.8128999999999</v>
      </c>
      <c r="P4424" s="224"/>
      <c r="Q4424" s="224"/>
    </row>
    <row r="4425" spans="1:17" s="225" customFormat="1" ht="10.5" x14ac:dyDescent="0.25">
      <c r="A4425" s="229"/>
      <c r="B4425" s="230"/>
      <c r="C4425" s="184"/>
      <c r="D4425" s="185"/>
      <c r="E4425" s="185"/>
      <c r="F4425" s="185"/>
      <c r="G4425" s="185"/>
      <c r="H4425" s="185"/>
      <c r="I4425" s="185"/>
      <c r="J4425" s="185"/>
      <c r="K4425" s="185"/>
      <c r="L4425" s="185"/>
      <c r="M4425" s="185"/>
      <c r="N4425" s="185"/>
      <c r="O4425" s="185"/>
      <c r="P4425" s="231"/>
      <c r="Q4425" s="224"/>
    </row>
    <row r="4426" spans="1:17" s="225" customFormat="1" ht="10.5" x14ac:dyDescent="0.25">
      <c r="A4426" s="229"/>
      <c r="B4426" s="232" t="s">
        <v>5</v>
      </c>
      <c r="C4426" s="182" t="s">
        <v>1328</v>
      </c>
      <c r="D4426" s="182"/>
      <c r="E4426" s="182"/>
      <c r="F4426" s="182"/>
      <c r="G4426" s="182"/>
      <c r="H4426" s="182"/>
      <c r="I4426" s="182"/>
      <c r="J4426" s="182"/>
      <c r="K4426" s="182"/>
      <c r="L4426" s="182"/>
      <c r="M4426" s="182"/>
      <c r="N4426" s="182"/>
      <c r="O4426" s="182">
        <f>SUM(O4424:O4425)</f>
        <v>708.8128999999999</v>
      </c>
      <c r="P4426" s="233"/>
      <c r="Q4426" s="224"/>
    </row>
    <row r="4427" spans="1:17" s="228" customFormat="1" ht="52.5" x14ac:dyDescent="0.25">
      <c r="A4427" s="226" t="str">
        <f>ORÇAMENTO!A818</f>
        <v>7.1.2.4.3</v>
      </c>
      <c r="B4427" s="227" t="str">
        <f>VLOOKUP(A4427,ORÇAMENTO!A:K,4,0)</f>
        <v>EXECUÇÃO E COMPACTAÇÃO DE BASE E OU SUB BASE PARA PAVIMENTAÇÃO DE SOLO (PREDOMINANTEMENTE ARENOSO) COM CAL (TEOR DE 4%) - EXCLUSIVE SOLO, ESCAVAÇÃO, CARGA E TRANSPORTE.</v>
      </c>
      <c r="C4427" s="173" t="str">
        <f>VLOOKUP(A4427,ORÇAMENTO!A:K,5,0)</f>
        <v>M³</v>
      </c>
      <c r="D4427" s="173">
        <f>SUM(E4430:O4430)</f>
        <v>544.78920000000005</v>
      </c>
      <c r="E4427" s="173" t="s">
        <v>1718</v>
      </c>
      <c r="F4427" s="173" t="s">
        <v>1719</v>
      </c>
      <c r="G4427" s="173" t="s">
        <v>1720</v>
      </c>
      <c r="H4427" s="173" t="s">
        <v>1721</v>
      </c>
      <c r="I4427" s="173" t="s">
        <v>1722</v>
      </c>
      <c r="J4427" s="173" t="s">
        <v>1723</v>
      </c>
      <c r="K4427" s="173" t="s">
        <v>1724</v>
      </c>
      <c r="L4427" s="173" t="s">
        <v>1753</v>
      </c>
      <c r="M4427" s="173" t="s">
        <v>1730</v>
      </c>
      <c r="N4427" s="173" t="s">
        <v>1727</v>
      </c>
      <c r="O4427" s="173" t="s">
        <v>1728</v>
      </c>
      <c r="P4427" s="224"/>
      <c r="Q4427" s="224"/>
    </row>
    <row r="4428" spans="1:17" s="225" customFormat="1" ht="10.5" x14ac:dyDescent="0.25">
      <c r="A4428" s="229"/>
      <c r="B4428" s="232" t="s">
        <v>1732</v>
      </c>
      <c r="C4428" s="184"/>
      <c r="D4428" s="185"/>
      <c r="E4428" s="185"/>
      <c r="F4428" s="185"/>
      <c r="G4428" s="185"/>
      <c r="H4428" s="185"/>
      <c r="I4428" s="185"/>
      <c r="J4428" s="185"/>
      <c r="K4428" s="185"/>
      <c r="L4428" s="185"/>
      <c r="M4428" s="185"/>
      <c r="N4428" s="185"/>
      <c r="O4428" s="185"/>
      <c r="P4428" s="224"/>
      <c r="Q4428" s="224"/>
    </row>
    <row r="4429" spans="1:17" s="225" customFormat="1" ht="21" x14ac:dyDescent="0.25">
      <c r="A4429" s="229"/>
      <c r="B4429" s="230" t="s">
        <v>1776</v>
      </c>
      <c r="C4429" s="184"/>
      <c r="D4429" s="185"/>
      <c r="E4429" s="185"/>
      <c r="F4429" s="185"/>
      <c r="G4429" s="185"/>
      <c r="H4429" s="185"/>
      <c r="I4429" s="185"/>
      <c r="J4429" s="185"/>
      <c r="K4429" s="185"/>
      <c r="L4429" s="185"/>
      <c r="M4429" s="185"/>
      <c r="N4429" s="185"/>
      <c r="O4429" s="185">
        <f>Quantitativos!BB192</f>
        <v>544.78920000000005</v>
      </c>
      <c r="P4429" s="231"/>
      <c r="Q4429" s="224"/>
    </row>
    <row r="4430" spans="1:17" s="225" customFormat="1" ht="10.5" x14ac:dyDescent="0.25">
      <c r="A4430" s="229"/>
      <c r="B4430" s="232" t="s">
        <v>5</v>
      </c>
      <c r="C4430" s="182" t="s">
        <v>1328</v>
      </c>
      <c r="D4430" s="182"/>
      <c r="E4430" s="182"/>
      <c r="F4430" s="182"/>
      <c r="G4430" s="182"/>
      <c r="H4430" s="182"/>
      <c r="I4430" s="182"/>
      <c r="J4430" s="182"/>
      <c r="K4430" s="182"/>
      <c r="L4430" s="182"/>
      <c r="M4430" s="182"/>
      <c r="N4430" s="182"/>
      <c r="O4430" s="182">
        <f>SUM(O4428:O4429)</f>
        <v>544.78920000000005</v>
      </c>
      <c r="P4430" s="233"/>
      <c r="Q4430" s="224"/>
    </row>
    <row r="4431" spans="1:17" s="228" customFormat="1" ht="21" x14ac:dyDescent="0.25">
      <c r="A4431" s="226" t="str">
        <f>ORÇAMENTO!A819</f>
        <v>7.1.2.4.4</v>
      </c>
      <c r="B4431" s="227" t="str">
        <f>VLOOKUP(A4431,ORÇAMENTO!A:K,4,0)</f>
        <v>BASE OU SUB-BASE DE BRITA GRADUADA COM BRITA COMERCIAL</v>
      </c>
      <c r="C4431" s="173" t="str">
        <f>VLOOKUP(A4431,ORÇAMENTO!A:K,5,0)</f>
        <v>M³</v>
      </c>
      <c r="D4431" s="173">
        <f>SUM(E4434:O4434)</f>
        <v>544.78920000000005</v>
      </c>
      <c r="E4431" s="173" t="s">
        <v>1718</v>
      </c>
      <c r="F4431" s="173" t="s">
        <v>1719</v>
      </c>
      <c r="G4431" s="173" t="s">
        <v>1720</v>
      </c>
      <c r="H4431" s="173" t="s">
        <v>1721</v>
      </c>
      <c r="I4431" s="173" t="s">
        <v>1722</v>
      </c>
      <c r="J4431" s="173" t="s">
        <v>1723</v>
      </c>
      <c r="K4431" s="173" t="s">
        <v>1724</v>
      </c>
      <c r="L4431" s="173" t="s">
        <v>1753</v>
      </c>
      <c r="M4431" s="173" t="s">
        <v>1730</v>
      </c>
      <c r="N4431" s="173" t="s">
        <v>1727</v>
      </c>
      <c r="O4431" s="173" t="s">
        <v>1728</v>
      </c>
      <c r="P4431" s="224"/>
      <c r="Q4431" s="224"/>
    </row>
    <row r="4432" spans="1:17" s="225" customFormat="1" ht="10.5" x14ac:dyDescent="0.25">
      <c r="A4432" s="229"/>
      <c r="B4432" s="232" t="s">
        <v>1732</v>
      </c>
      <c r="C4432" s="184"/>
      <c r="D4432" s="185"/>
      <c r="E4432" s="185"/>
      <c r="F4432" s="185"/>
      <c r="G4432" s="185"/>
      <c r="H4432" s="185"/>
      <c r="I4432" s="185"/>
      <c r="J4432" s="185"/>
      <c r="K4432" s="185"/>
      <c r="L4432" s="185"/>
      <c r="M4432" s="185"/>
      <c r="N4432" s="185"/>
      <c r="O4432" s="185"/>
      <c r="P4432" s="224"/>
      <c r="Q4432" s="224"/>
    </row>
    <row r="4433" spans="1:17" s="225" customFormat="1" ht="21" x14ac:dyDescent="0.25">
      <c r="A4433" s="229"/>
      <c r="B4433" s="230" t="s">
        <v>1776</v>
      </c>
      <c r="C4433" s="184"/>
      <c r="D4433" s="185"/>
      <c r="E4433" s="185"/>
      <c r="F4433" s="185"/>
      <c r="G4433" s="185"/>
      <c r="H4433" s="185"/>
      <c r="I4433" s="185"/>
      <c r="J4433" s="185"/>
      <c r="K4433" s="185"/>
      <c r="L4433" s="185"/>
      <c r="M4433" s="185"/>
      <c r="N4433" s="185"/>
      <c r="O4433" s="185">
        <f>Quantitativos!BC192</f>
        <v>544.78920000000005</v>
      </c>
      <c r="P4433" s="231"/>
      <c r="Q4433" s="224"/>
    </row>
    <row r="4434" spans="1:17" s="225" customFormat="1" ht="10.5" x14ac:dyDescent="0.25">
      <c r="A4434" s="229"/>
      <c r="B4434" s="232" t="s">
        <v>5</v>
      </c>
      <c r="C4434" s="182" t="s">
        <v>1328</v>
      </c>
      <c r="D4434" s="182"/>
      <c r="E4434" s="182"/>
      <c r="F4434" s="182"/>
      <c r="G4434" s="182"/>
      <c r="H4434" s="182"/>
      <c r="I4434" s="182"/>
      <c r="J4434" s="182"/>
      <c r="K4434" s="182"/>
      <c r="L4434" s="182"/>
      <c r="M4434" s="182"/>
      <c r="N4434" s="182"/>
      <c r="O4434" s="182">
        <f>SUM(O4432:O4433)</f>
        <v>544.78920000000005</v>
      </c>
      <c r="P4434" s="233"/>
      <c r="Q4434" s="224"/>
    </row>
    <row r="4435" spans="1:17" s="228" customFormat="1" ht="21" x14ac:dyDescent="0.25">
      <c r="A4435" s="226" t="str">
        <f>ORÇAMENTO!A820</f>
        <v>7.1.2.4.5</v>
      </c>
      <c r="B4435" s="227" t="str">
        <f>VLOOKUP(A4435,ORÇAMENTO!A:K,4,0)</f>
        <v>PINTURA DE LIGAÇÃO (SEM MATERIAL)</v>
      </c>
      <c r="C4435" s="173" t="str">
        <f>VLOOKUP(A4435,ORÇAMENTO!A:K,5,0)</f>
        <v>M²</v>
      </c>
      <c r="D4435" s="173">
        <f>SUM(E4438:O4438)</f>
        <v>3631.9279999999994</v>
      </c>
      <c r="E4435" s="173" t="s">
        <v>1718</v>
      </c>
      <c r="F4435" s="173" t="s">
        <v>1719</v>
      </c>
      <c r="G4435" s="173" t="s">
        <v>1720</v>
      </c>
      <c r="H4435" s="173" t="s">
        <v>1721</v>
      </c>
      <c r="I4435" s="173" t="s">
        <v>1722</v>
      </c>
      <c r="J4435" s="173" t="s">
        <v>1723</v>
      </c>
      <c r="K4435" s="173" t="s">
        <v>1724</v>
      </c>
      <c r="L4435" s="173" t="s">
        <v>1753</v>
      </c>
      <c r="M4435" s="173" t="s">
        <v>1730</v>
      </c>
      <c r="N4435" s="173" t="s">
        <v>1727</v>
      </c>
      <c r="O4435" s="173" t="s">
        <v>1728</v>
      </c>
      <c r="P4435" s="224"/>
      <c r="Q4435" s="224"/>
    </row>
    <row r="4436" spans="1:17" s="225" customFormat="1" ht="10.5" x14ac:dyDescent="0.25">
      <c r="A4436" s="229"/>
      <c r="B4436" s="232" t="s">
        <v>1732</v>
      </c>
      <c r="C4436" s="184"/>
      <c r="D4436" s="185"/>
      <c r="E4436" s="185"/>
      <c r="F4436" s="185"/>
      <c r="G4436" s="185"/>
      <c r="H4436" s="185"/>
      <c r="I4436" s="185"/>
      <c r="J4436" s="185"/>
      <c r="K4436" s="185"/>
      <c r="L4436" s="185"/>
      <c r="M4436" s="185"/>
      <c r="N4436" s="185">
        <f>Quantitativos!AA192</f>
        <v>3631.9279999999994</v>
      </c>
      <c r="O4436" s="185"/>
      <c r="P4436" s="224"/>
      <c r="Q4436" s="224"/>
    </row>
    <row r="4437" spans="1:17" s="225" customFormat="1" ht="10.5" x14ac:dyDescent="0.25">
      <c r="A4437" s="229"/>
      <c r="B4437" s="230"/>
      <c r="C4437" s="184"/>
      <c r="D4437" s="185"/>
      <c r="E4437" s="185"/>
      <c r="F4437" s="185"/>
      <c r="G4437" s="185"/>
      <c r="H4437" s="185"/>
      <c r="I4437" s="185"/>
      <c r="J4437" s="185"/>
      <c r="K4437" s="185"/>
      <c r="L4437" s="185"/>
      <c r="M4437" s="185"/>
      <c r="N4437" s="185"/>
      <c r="O4437" s="185"/>
      <c r="P4437" s="231"/>
      <c r="Q4437" s="224"/>
    </row>
    <row r="4438" spans="1:17" s="225" customFormat="1" ht="10.5" x14ac:dyDescent="0.25">
      <c r="A4438" s="229"/>
      <c r="B4438" s="232" t="s">
        <v>5</v>
      </c>
      <c r="C4438" s="182" t="s">
        <v>1328</v>
      </c>
      <c r="D4438" s="182"/>
      <c r="E4438" s="182"/>
      <c r="F4438" s="182"/>
      <c r="G4438" s="182"/>
      <c r="H4438" s="182"/>
      <c r="I4438" s="182"/>
      <c r="J4438" s="182"/>
      <c r="K4438" s="182"/>
      <c r="L4438" s="182"/>
      <c r="M4438" s="182"/>
      <c r="N4438" s="182">
        <f>SUM(N4436:N4437)</f>
        <v>3631.9279999999994</v>
      </c>
      <c r="O4438" s="182"/>
      <c r="P4438" s="233"/>
      <c r="Q4438" s="224"/>
    </row>
    <row r="4439" spans="1:17" s="228" customFormat="1" ht="21" x14ac:dyDescent="0.25">
      <c r="A4439" s="226" t="str">
        <f>ORÇAMENTO!A821</f>
        <v>7.1.2.4.6</v>
      </c>
      <c r="B4439" s="227" t="str">
        <f>VLOOKUP(A4439,ORÇAMENTO!A:K,4,0)</f>
        <v>EMULSÃO ASFÁLTICA - RR-1C - FORNECIMENTO E TRANSPORTE</v>
      </c>
      <c r="C4439" s="173" t="str">
        <f>VLOOKUP(A4439,ORÇAMENTO!A:K,5,0)</f>
        <v>T</v>
      </c>
      <c r="D4439" s="173">
        <f>ROUND(SUM(E4444:O4444),2)</f>
        <v>1.63</v>
      </c>
      <c r="E4439" s="173" t="s">
        <v>1718</v>
      </c>
      <c r="F4439" s="173" t="s">
        <v>1719</v>
      </c>
      <c r="G4439" s="173" t="s">
        <v>1720</v>
      </c>
      <c r="H4439" s="173" t="s">
        <v>1721</v>
      </c>
      <c r="I4439" s="173" t="s">
        <v>1722</v>
      </c>
      <c r="J4439" s="173" t="s">
        <v>1723</v>
      </c>
      <c r="K4439" s="173" t="s">
        <v>1746</v>
      </c>
      <c r="L4439" s="173" t="s">
        <v>1777</v>
      </c>
      <c r="M4439" s="173" t="s">
        <v>1726</v>
      </c>
      <c r="N4439" s="173" t="s">
        <v>1811</v>
      </c>
      <c r="O4439" s="173" t="s">
        <v>1728</v>
      </c>
      <c r="P4439" s="224"/>
      <c r="Q4439" s="224"/>
    </row>
    <row r="4440" spans="1:17" s="225" customFormat="1" ht="21" x14ac:dyDescent="0.25">
      <c r="A4440" s="229"/>
      <c r="B4440" s="232" t="s">
        <v>1778</v>
      </c>
      <c r="C4440" s="177"/>
      <c r="D4440" s="178"/>
      <c r="E4440" s="178"/>
      <c r="F4440" s="178"/>
      <c r="G4440" s="178"/>
      <c r="H4440" s="178"/>
      <c r="I4440" s="178"/>
      <c r="J4440" s="178"/>
      <c r="K4440" s="178"/>
      <c r="L4440" s="178"/>
      <c r="M4440" s="178"/>
      <c r="N4440" s="178">
        <f>N4436</f>
        <v>3631.9279999999994</v>
      </c>
      <c r="O4440" s="178"/>
      <c r="P4440" s="231"/>
      <c r="Q4440" s="224"/>
    </row>
    <row r="4441" spans="1:17" s="225" customFormat="1" ht="31.5" x14ac:dyDescent="0.25">
      <c r="A4441" s="229"/>
      <c r="B4441" s="230" t="s">
        <v>1779</v>
      </c>
      <c r="C4441" s="177"/>
      <c r="D4441" s="178"/>
      <c r="E4441" s="178"/>
      <c r="F4441" s="178"/>
      <c r="G4441" s="178"/>
      <c r="H4441" s="178"/>
      <c r="I4441" s="178"/>
      <c r="J4441" s="178"/>
      <c r="K4441" s="178"/>
      <c r="L4441" s="198">
        <v>4.4999999999999999E-4</v>
      </c>
      <c r="M4441" s="178"/>
      <c r="N4441" s="200"/>
      <c r="O4441" s="178"/>
      <c r="P4441" s="231"/>
      <c r="Q4441" s="224"/>
    </row>
    <row r="4442" spans="1:17" s="225" customFormat="1" ht="10.5" x14ac:dyDescent="0.25">
      <c r="A4442" s="229"/>
      <c r="B4442" s="230"/>
      <c r="C4442" s="177"/>
      <c r="D4442" s="178"/>
      <c r="E4442" s="178"/>
      <c r="F4442" s="178"/>
      <c r="G4442" s="178"/>
      <c r="H4442" s="178"/>
      <c r="I4442" s="178"/>
      <c r="J4442" s="178"/>
      <c r="K4442" s="178">
        <f>L4441*N4440</f>
        <v>1.6343675999999996</v>
      </c>
      <c r="L4442" s="178"/>
      <c r="M4442" s="178"/>
      <c r="N4442" s="200"/>
      <c r="O4442" s="178"/>
      <c r="P4442" s="231"/>
      <c r="Q4442" s="224"/>
    </row>
    <row r="4443" spans="1:17" s="225" customFormat="1" ht="10.5" x14ac:dyDescent="0.25">
      <c r="A4443" s="229"/>
      <c r="B4443" s="230"/>
      <c r="C4443" s="177"/>
      <c r="D4443" s="178"/>
      <c r="E4443" s="178"/>
      <c r="F4443" s="178"/>
      <c r="G4443" s="178"/>
      <c r="H4443" s="178"/>
      <c r="I4443" s="178"/>
      <c r="J4443" s="178"/>
      <c r="K4443" s="178"/>
      <c r="L4443" s="178"/>
      <c r="M4443" s="178"/>
      <c r="N4443" s="200"/>
      <c r="O4443" s="178"/>
      <c r="P4443" s="231"/>
      <c r="Q4443" s="224"/>
    </row>
    <row r="4444" spans="1:17" s="225" customFormat="1" ht="10.5" x14ac:dyDescent="0.25">
      <c r="A4444" s="229"/>
      <c r="B4444" s="232" t="s">
        <v>5</v>
      </c>
      <c r="C4444" s="182" t="s">
        <v>1328</v>
      </c>
      <c r="D4444" s="182"/>
      <c r="E4444" s="182"/>
      <c r="F4444" s="182"/>
      <c r="G4444" s="182"/>
      <c r="H4444" s="182"/>
      <c r="I4444" s="182"/>
      <c r="J4444" s="182"/>
      <c r="K4444" s="177">
        <f>SUM(K4440:K4443)</f>
        <v>1.6343675999999996</v>
      </c>
      <c r="L4444" s="182"/>
      <c r="M4444" s="182"/>
      <c r="N4444" s="177"/>
      <c r="O4444" s="177"/>
      <c r="P4444" s="233"/>
      <c r="Q4444" s="224"/>
    </row>
    <row r="4445" spans="1:17" s="228" customFormat="1" ht="21" x14ac:dyDescent="0.25">
      <c r="A4445" s="226" t="str">
        <f>ORÇAMENTO!A822</f>
        <v>7.1.2.4.7</v>
      </c>
      <c r="B4445" s="227" t="str">
        <f>VLOOKUP(A4445,ORÇAMENTO!A:K,4,0)</f>
        <v>IMPRIMAÇÃO COM EMULSÃO ASFÁLTICA (SEM MATERIAL)</v>
      </c>
      <c r="C4445" s="173" t="str">
        <f>VLOOKUP(A4445,ORÇAMENTO!A:K,5,0)</f>
        <v>M²</v>
      </c>
      <c r="D4445" s="173">
        <f>SUM(E4448:O4448)</f>
        <v>3631.9279999999994</v>
      </c>
      <c r="E4445" s="173" t="s">
        <v>1718</v>
      </c>
      <c r="F4445" s="173" t="s">
        <v>1719</v>
      </c>
      <c r="G4445" s="173" t="s">
        <v>1720</v>
      </c>
      <c r="H4445" s="173" t="s">
        <v>1721</v>
      </c>
      <c r="I4445" s="173" t="s">
        <v>1722</v>
      </c>
      <c r="J4445" s="173" t="s">
        <v>1723</v>
      </c>
      <c r="K4445" s="173" t="s">
        <v>1724</v>
      </c>
      <c r="L4445" s="173" t="s">
        <v>1753</v>
      </c>
      <c r="M4445" s="173" t="s">
        <v>1730</v>
      </c>
      <c r="N4445" s="173" t="s">
        <v>1727</v>
      </c>
      <c r="O4445" s="173" t="s">
        <v>1728</v>
      </c>
      <c r="P4445" s="224"/>
      <c r="Q4445" s="224"/>
    </row>
    <row r="4446" spans="1:17" s="225" customFormat="1" ht="10.5" x14ac:dyDescent="0.25">
      <c r="A4446" s="229"/>
      <c r="B4446" s="232" t="s">
        <v>1732</v>
      </c>
      <c r="C4446" s="184"/>
      <c r="D4446" s="185"/>
      <c r="E4446" s="185"/>
      <c r="F4446" s="185"/>
      <c r="G4446" s="185"/>
      <c r="H4446" s="185"/>
      <c r="I4446" s="185"/>
      <c r="J4446" s="185"/>
      <c r="K4446" s="185"/>
      <c r="L4446" s="185"/>
      <c r="M4446" s="185"/>
      <c r="N4446" s="185">
        <f>N4436</f>
        <v>3631.9279999999994</v>
      </c>
      <c r="O4446" s="185"/>
      <c r="P4446" s="224"/>
      <c r="Q4446" s="224"/>
    </row>
    <row r="4447" spans="1:17" s="225" customFormat="1" ht="10.5" x14ac:dyDescent="0.25">
      <c r="A4447" s="229"/>
      <c r="B4447" s="230"/>
      <c r="C4447" s="184"/>
      <c r="D4447" s="185"/>
      <c r="E4447" s="185"/>
      <c r="F4447" s="185"/>
      <c r="G4447" s="185"/>
      <c r="H4447" s="185"/>
      <c r="I4447" s="185"/>
      <c r="J4447" s="185"/>
      <c r="K4447" s="185"/>
      <c r="L4447" s="185"/>
      <c r="M4447" s="185"/>
      <c r="N4447" s="185"/>
      <c r="O4447" s="185"/>
      <c r="P4447" s="231"/>
      <c r="Q4447" s="224"/>
    </row>
    <row r="4448" spans="1:17" s="225" customFormat="1" ht="10.5" x14ac:dyDescent="0.25">
      <c r="A4448" s="229"/>
      <c r="B4448" s="232" t="s">
        <v>5</v>
      </c>
      <c r="C4448" s="182" t="s">
        <v>1328</v>
      </c>
      <c r="D4448" s="182"/>
      <c r="E4448" s="182"/>
      <c r="F4448" s="182"/>
      <c r="G4448" s="182"/>
      <c r="H4448" s="182"/>
      <c r="I4448" s="182"/>
      <c r="J4448" s="182"/>
      <c r="K4448" s="182"/>
      <c r="L4448" s="182"/>
      <c r="M4448" s="182"/>
      <c r="N4448" s="182">
        <f>SUM(N4446:N4447)</f>
        <v>3631.9279999999994</v>
      </c>
      <c r="O4448" s="182"/>
      <c r="P4448" s="233"/>
      <c r="Q4448" s="224"/>
    </row>
    <row r="4449" spans="1:17" s="228" customFormat="1" ht="21" x14ac:dyDescent="0.25">
      <c r="A4449" s="226" t="str">
        <f>ORÇAMENTO!A823</f>
        <v>7.1.2.4.8</v>
      </c>
      <c r="B4449" s="227" t="str">
        <f>VLOOKUP(A4449,ORÇAMENTO!A:K,4,0)</f>
        <v>EMULSÃO ASFÁLTICA PARA IMPRIMAÇÃO - FORNECIMENTO E TRANSPORTE</v>
      </c>
      <c r="C4449" s="173" t="str">
        <f>VLOOKUP(A4449,ORÇAMENTO!A:K,5,0)</f>
        <v>T</v>
      </c>
      <c r="D4449" s="173">
        <f>ROUND(SUM(E4454:O4454),2)</f>
        <v>4.72</v>
      </c>
      <c r="E4449" s="173" t="s">
        <v>1718</v>
      </c>
      <c r="F4449" s="173" t="s">
        <v>1719</v>
      </c>
      <c r="G4449" s="173" t="s">
        <v>1720</v>
      </c>
      <c r="H4449" s="173" t="s">
        <v>1721</v>
      </c>
      <c r="I4449" s="173" t="s">
        <v>1722</v>
      </c>
      <c r="J4449" s="173" t="s">
        <v>1723</v>
      </c>
      <c r="K4449" s="173" t="s">
        <v>1746</v>
      </c>
      <c r="L4449" s="173" t="s">
        <v>1777</v>
      </c>
      <c r="M4449" s="173" t="s">
        <v>1726</v>
      </c>
      <c r="N4449" s="173" t="s">
        <v>1811</v>
      </c>
      <c r="O4449" s="173" t="s">
        <v>1728</v>
      </c>
      <c r="P4449" s="224"/>
      <c r="Q4449" s="224"/>
    </row>
    <row r="4450" spans="1:17" s="225" customFormat="1" ht="10.5" x14ac:dyDescent="0.25">
      <c r="A4450" s="229"/>
      <c r="B4450" s="232" t="s">
        <v>1780</v>
      </c>
      <c r="C4450" s="177"/>
      <c r="D4450" s="178"/>
      <c r="E4450" s="178"/>
      <c r="F4450" s="178"/>
      <c r="G4450" s="178"/>
      <c r="H4450" s="178"/>
      <c r="I4450" s="178"/>
      <c r="J4450" s="178"/>
      <c r="K4450" s="178"/>
      <c r="L4450" s="178"/>
      <c r="M4450" s="178"/>
      <c r="N4450" s="178">
        <f>N4446</f>
        <v>3631.9279999999994</v>
      </c>
      <c r="O4450" s="178"/>
      <c r="P4450" s="231"/>
      <c r="Q4450" s="224"/>
    </row>
    <row r="4451" spans="1:17" s="225" customFormat="1" ht="42" x14ac:dyDescent="0.25">
      <c r="A4451" s="229"/>
      <c r="B4451" s="230" t="s">
        <v>1781</v>
      </c>
      <c r="C4451" s="177"/>
      <c r="D4451" s="178"/>
      <c r="E4451" s="178"/>
      <c r="F4451" s="178"/>
      <c r="G4451" s="178"/>
      <c r="H4451" s="178"/>
      <c r="I4451" s="178"/>
      <c r="J4451" s="178"/>
      <c r="K4451" s="178"/>
      <c r="L4451" s="198">
        <v>1.2999999999999999E-3</v>
      </c>
      <c r="M4451" s="178"/>
      <c r="N4451" s="200"/>
      <c r="O4451" s="178"/>
      <c r="P4451" s="231"/>
      <c r="Q4451" s="224"/>
    </row>
    <row r="4452" spans="1:17" s="225" customFormat="1" ht="10.5" x14ac:dyDescent="0.25">
      <c r="A4452" s="229"/>
      <c r="B4452" s="230"/>
      <c r="C4452" s="177"/>
      <c r="D4452" s="178"/>
      <c r="E4452" s="178"/>
      <c r="F4452" s="178"/>
      <c r="G4452" s="178"/>
      <c r="H4452" s="178"/>
      <c r="I4452" s="178"/>
      <c r="J4452" s="178"/>
      <c r="K4452" s="178">
        <f>L4451*N4450</f>
        <v>4.7215063999999991</v>
      </c>
      <c r="L4452" s="178"/>
      <c r="M4452" s="178"/>
      <c r="N4452" s="200"/>
      <c r="O4452" s="178"/>
      <c r="P4452" s="231"/>
      <c r="Q4452" s="224"/>
    </row>
    <row r="4453" spans="1:17" s="225" customFormat="1" ht="10.5" x14ac:dyDescent="0.25">
      <c r="A4453" s="229"/>
      <c r="B4453" s="230"/>
      <c r="C4453" s="177"/>
      <c r="D4453" s="178"/>
      <c r="E4453" s="178"/>
      <c r="F4453" s="178"/>
      <c r="G4453" s="178"/>
      <c r="H4453" s="178"/>
      <c r="I4453" s="178"/>
      <c r="J4453" s="178"/>
      <c r="K4453" s="178"/>
      <c r="L4453" s="178"/>
      <c r="M4453" s="178"/>
      <c r="N4453" s="200"/>
      <c r="O4453" s="178"/>
      <c r="P4453" s="231"/>
      <c r="Q4453" s="224"/>
    </row>
    <row r="4454" spans="1:17" s="225" customFormat="1" ht="10.5" x14ac:dyDescent="0.25">
      <c r="A4454" s="229"/>
      <c r="B4454" s="232" t="s">
        <v>5</v>
      </c>
      <c r="C4454" s="182" t="s">
        <v>1328</v>
      </c>
      <c r="D4454" s="182"/>
      <c r="E4454" s="182"/>
      <c r="F4454" s="182"/>
      <c r="G4454" s="182"/>
      <c r="H4454" s="182"/>
      <c r="I4454" s="182"/>
      <c r="J4454" s="182"/>
      <c r="K4454" s="177">
        <f>SUM(K4450:K4453)</f>
        <v>4.7215063999999991</v>
      </c>
      <c r="L4454" s="182"/>
      <c r="M4454" s="182"/>
      <c r="N4454" s="177"/>
      <c r="O4454" s="177"/>
      <c r="P4454" s="233"/>
      <c r="Q4454" s="224"/>
    </row>
    <row r="4455" spans="1:17" s="228" customFormat="1" ht="21" x14ac:dyDescent="0.25">
      <c r="A4455" s="226" t="str">
        <f>ORÇAMENTO!A824</f>
        <v>7.1.2.4.9</v>
      </c>
      <c r="B4455" s="227" t="str">
        <f>VLOOKUP(A4455,ORÇAMENTO!A:K,4,0)</f>
        <v>CAL HIDRATADA - A GRANEL</v>
      </c>
      <c r="C4455" s="173" t="str">
        <f>VLOOKUP(A4455,ORÇAMENTO!A:K,5,0)</f>
        <v>KG</v>
      </c>
      <c r="D4455" s="173">
        <f>SUM(E4458:O4458)</f>
        <v>105479.919192</v>
      </c>
      <c r="E4455" s="173" t="s">
        <v>1718</v>
      </c>
      <c r="F4455" s="173" t="s">
        <v>1719</v>
      </c>
      <c r="G4455" s="173" t="s">
        <v>1720</v>
      </c>
      <c r="H4455" s="173" t="s">
        <v>1721</v>
      </c>
      <c r="I4455" s="173" t="s">
        <v>1722</v>
      </c>
      <c r="J4455" s="173" t="s">
        <v>1723</v>
      </c>
      <c r="K4455" s="173" t="s">
        <v>1724</v>
      </c>
      <c r="L4455" s="173" t="s">
        <v>1753</v>
      </c>
      <c r="M4455" s="173" t="s">
        <v>1730</v>
      </c>
      <c r="N4455" s="173" t="s">
        <v>1727</v>
      </c>
      <c r="O4455" s="173" t="s">
        <v>1728</v>
      </c>
      <c r="P4455" s="224"/>
      <c r="Q4455" s="224"/>
    </row>
    <row r="4456" spans="1:17" s="225" customFormat="1" ht="10.5" x14ac:dyDescent="0.25">
      <c r="A4456" s="229"/>
      <c r="B4456" s="232" t="s">
        <v>1732</v>
      </c>
      <c r="C4456" s="184"/>
      <c r="D4456" s="185"/>
      <c r="E4456" s="185"/>
      <c r="F4456" s="185"/>
      <c r="G4456" s="185"/>
      <c r="H4456" s="185"/>
      <c r="I4456" s="185"/>
      <c r="J4456" s="185"/>
      <c r="K4456" s="185"/>
      <c r="L4456" s="185"/>
      <c r="M4456" s="185"/>
      <c r="N4456" s="185"/>
      <c r="O4456" s="185">
        <f>Quantitativos!BM192</f>
        <v>51.129384000000002</v>
      </c>
      <c r="P4456" s="224"/>
      <c r="Q4456" s="224"/>
    </row>
    <row r="4457" spans="1:17" s="225" customFormat="1" ht="31.5" x14ac:dyDescent="0.25">
      <c r="A4457" s="229"/>
      <c r="B4457" s="230" t="s">
        <v>1782</v>
      </c>
      <c r="C4457" s="184"/>
      <c r="D4457" s="185"/>
      <c r="E4457" s="185"/>
      <c r="F4457" s="185"/>
      <c r="G4457" s="185"/>
      <c r="H4457" s="185"/>
      <c r="I4457" s="185"/>
      <c r="J4457" s="185"/>
      <c r="K4457" s="185">
        <f>L4457*O4456</f>
        <v>105479.919192</v>
      </c>
      <c r="L4457" s="185">
        <f>82.52/0.04</f>
        <v>2063</v>
      </c>
      <c r="M4457" s="185"/>
      <c r="N4457" s="185"/>
      <c r="O4457" s="185"/>
      <c r="P4457" s="231"/>
      <c r="Q4457" s="224"/>
    </row>
    <row r="4458" spans="1:17" s="225" customFormat="1" ht="10.5" x14ac:dyDescent="0.25">
      <c r="A4458" s="229"/>
      <c r="B4458" s="232" t="s">
        <v>5</v>
      </c>
      <c r="C4458" s="182" t="s">
        <v>1328</v>
      </c>
      <c r="D4458" s="182"/>
      <c r="E4458" s="182"/>
      <c r="F4458" s="182"/>
      <c r="G4458" s="182"/>
      <c r="H4458" s="182"/>
      <c r="I4458" s="182"/>
      <c r="J4458" s="182"/>
      <c r="K4458" s="182">
        <f>SUM(K4456:K4457)</f>
        <v>105479.919192</v>
      </c>
      <c r="L4458" s="182"/>
      <c r="M4458" s="182"/>
      <c r="N4458" s="182"/>
      <c r="O4458" s="182"/>
      <c r="P4458" s="233"/>
      <c r="Q4458" s="224"/>
    </row>
    <row r="4459" spans="1:17" s="228" customFormat="1" ht="52.5" x14ac:dyDescent="0.25">
      <c r="A4459" s="226" t="str">
        <f>ORÇAMENTO!A825</f>
        <v>7.1.2.4.10</v>
      </c>
      <c r="B4459" s="227" t="str">
        <f>VLOOKUP(A4459,ORÇAMENTO!A:K,4,0)</f>
        <v>CONSTRUÇÃO DE PAVIMENTO COM APLICAÇÃO CONCRETO BETUMINOSO USINADO A QUENTE (CBUQ), CAMADA DE ROLAMENTO - EXCLUSIVE TRANSPORTE E CARGA  AF_03/2017 (SEM MATERIAL)</v>
      </c>
      <c r="C4459" s="173" t="str">
        <f>VLOOKUP(A4459,ORÇAMENTO!A:K,5,0)</f>
        <v>M³</v>
      </c>
      <c r="D4459" s="173">
        <f>SUM(E4463:O4463)</f>
        <v>108.95783999999998</v>
      </c>
      <c r="E4459" s="173" t="s">
        <v>1718</v>
      </c>
      <c r="F4459" s="173" t="s">
        <v>1719</v>
      </c>
      <c r="G4459" s="173" t="s">
        <v>1720</v>
      </c>
      <c r="H4459" s="173" t="s">
        <v>1721</v>
      </c>
      <c r="I4459" s="173" t="s">
        <v>1722</v>
      </c>
      <c r="J4459" s="173" t="s">
        <v>1723</v>
      </c>
      <c r="K4459" s="173" t="s">
        <v>1724</v>
      </c>
      <c r="L4459" s="173" t="s">
        <v>1783</v>
      </c>
      <c r="M4459" s="173" t="s">
        <v>1730</v>
      </c>
      <c r="N4459" s="173" t="s">
        <v>1727</v>
      </c>
      <c r="O4459" s="173" t="s">
        <v>1728</v>
      </c>
      <c r="P4459" s="224"/>
      <c r="Q4459" s="224"/>
    </row>
    <row r="4460" spans="1:17" s="225" customFormat="1" ht="10.5" x14ac:dyDescent="0.25">
      <c r="A4460" s="229"/>
      <c r="B4460" s="232" t="s">
        <v>1745</v>
      </c>
      <c r="C4460" s="184"/>
      <c r="D4460" s="185"/>
      <c r="E4460" s="185"/>
      <c r="F4460" s="185"/>
      <c r="G4460" s="185"/>
      <c r="H4460" s="185"/>
      <c r="I4460" s="185"/>
      <c r="J4460" s="185"/>
      <c r="K4460" s="185"/>
      <c r="L4460" s="185"/>
      <c r="M4460" s="185"/>
      <c r="N4460" s="185"/>
      <c r="O4460" s="185"/>
      <c r="P4460" s="231"/>
      <c r="Q4460" s="224"/>
    </row>
    <row r="4461" spans="1:17" s="225" customFormat="1" ht="10.5" x14ac:dyDescent="0.25">
      <c r="A4461" s="229"/>
      <c r="B4461" s="230" t="s">
        <v>1784</v>
      </c>
      <c r="C4461" s="184"/>
      <c r="D4461" s="185"/>
      <c r="E4461" s="185"/>
      <c r="F4461" s="185"/>
      <c r="G4461" s="185"/>
      <c r="H4461" s="185">
        <f>H4072</f>
        <v>0.03</v>
      </c>
      <c r="I4461" s="185"/>
      <c r="J4461" s="185"/>
      <c r="K4461" s="185"/>
      <c r="L4461" s="185"/>
      <c r="M4461" s="185"/>
      <c r="N4461" s="185">
        <f>N4436</f>
        <v>3631.9279999999994</v>
      </c>
      <c r="O4461" s="185">
        <f>N4461*H4461</f>
        <v>108.95783999999998</v>
      </c>
      <c r="P4461" s="231"/>
      <c r="Q4461" s="224"/>
    </row>
    <row r="4462" spans="1:17" s="225" customFormat="1" ht="10.5" x14ac:dyDescent="0.25">
      <c r="A4462" s="229"/>
      <c r="B4462" s="230"/>
      <c r="C4462" s="184"/>
      <c r="D4462" s="185"/>
      <c r="E4462" s="185"/>
      <c r="F4462" s="185"/>
      <c r="G4462" s="185"/>
      <c r="H4462" s="185"/>
      <c r="I4462" s="185"/>
      <c r="J4462" s="185"/>
      <c r="K4462" s="185"/>
      <c r="L4462" s="186"/>
      <c r="M4462" s="185"/>
      <c r="N4462" s="185"/>
      <c r="O4462" s="185"/>
      <c r="P4462" s="231"/>
      <c r="Q4462" s="224"/>
    </row>
    <row r="4463" spans="1:17" s="225" customFormat="1" ht="10.5" x14ac:dyDescent="0.25">
      <c r="A4463" s="229"/>
      <c r="B4463" s="232" t="s">
        <v>5</v>
      </c>
      <c r="C4463" s="182" t="s">
        <v>1328</v>
      </c>
      <c r="D4463" s="182"/>
      <c r="E4463" s="182"/>
      <c r="F4463" s="182"/>
      <c r="G4463" s="182"/>
      <c r="H4463" s="182"/>
      <c r="I4463" s="182"/>
      <c r="J4463" s="182"/>
      <c r="K4463" s="182"/>
      <c r="L4463" s="182"/>
      <c r="M4463" s="182"/>
      <c r="N4463" s="182"/>
      <c r="O4463" s="182">
        <f>SUM(O4461:O4462)</f>
        <v>108.95783999999998</v>
      </c>
      <c r="P4463" s="233"/>
      <c r="Q4463" s="224"/>
    </row>
    <row r="4464" spans="1:17" s="228" customFormat="1" ht="21" x14ac:dyDescent="0.25">
      <c r="A4464" s="226" t="str">
        <f>ORÇAMENTO!A826</f>
        <v>7.1.2.4.11</v>
      </c>
      <c r="B4464" s="227" t="str">
        <f>VLOOKUP(A4464,ORÇAMENTO!A:K,4,0)</f>
        <v>USINAGEM DE CBUQ SEM  CAP 50/70, PARA CAPA DE ROLAMENTO (SEM MATERIAL  E TRANSPORTE)</v>
      </c>
      <c r="C4464" s="173" t="str">
        <f>VLOOKUP(A4464,ORÇAMENTO!A:K,5,0)</f>
        <v>T</v>
      </c>
      <c r="D4464" s="173">
        <f>SUM(E4469:O4469)</f>
        <v>261.49881599999992</v>
      </c>
      <c r="E4464" s="173" t="s">
        <v>1718</v>
      </c>
      <c r="F4464" s="173" t="s">
        <v>1719</v>
      </c>
      <c r="G4464" s="173" t="s">
        <v>1720</v>
      </c>
      <c r="H4464" s="173" t="s">
        <v>1721</v>
      </c>
      <c r="I4464" s="173" t="s">
        <v>1722</v>
      </c>
      <c r="J4464" s="173" t="s">
        <v>1723</v>
      </c>
      <c r="K4464" s="173" t="s">
        <v>1746</v>
      </c>
      <c r="L4464" s="173" t="s">
        <v>1753</v>
      </c>
      <c r="M4464" s="173" t="s">
        <v>1730</v>
      </c>
      <c r="N4464" s="173" t="s">
        <v>1727</v>
      </c>
      <c r="O4464" s="173" t="s">
        <v>1728</v>
      </c>
      <c r="P4464" s="224"/>
      <c r="Q4464" s="224"/>
    </row>
    <row r="4465" spans="1:17" s="225" customFormat="1" ht="10.5" x14ac:dyDescent="0.25">
      <c r="A4465" s="229"/>
      <c r="B4465" s="232" t="s">
        <v>1745</v>
      </c>
      <c r="C4465" s="184"/>
      <c r="D4465" s="185"/>
      <c r="E4465" s="185"/>
      <c r="F4465" s="185"/>
      <c r="G4465" s="185"/>
      <c r="H4465" s="185"/>
      <c r="I4465" s="185"/>
      <c r="J4465" s="185"/>
      <c r="K4465" s="185"/>
      <c r="L4465" s="185"/>
      <c r="M4465" s="185"/>
      <c r="N4465" s="185"/>
      <c r="O4465" s="185"/>
      <c r="P4465" s="231"/>
      <c r="Q4465" s="224"/>
    </row>
    <row r="4466" spans="1:17" s="225" customFormat="1" ht="10.5" x14ac:dyDescent="0.25">
      <c r="A4466" s="229"/>
      <c r="B4466" s="230" t="s">
        <v>1785</v>
      </c>
      <c r="C4466" s="184"/>
      <c r="D4466" s="185"/>
      <c r="E4466" s="185"/>
      <c r="F4466" s="185"/>
      <c r="G4466" s="185"/>
      <c r="H4466" s="185"/>
      <c r="I4466" s="185"/>
      <c r="J4466" s="185"/>
      <c r="K4466" s="185"/>
      <c r="L4466" s="185">
        <v>2.4</v>
      </c>
      <c r="M4466" s="185"/>
      <c r="N4466" s="185"/>
      <c r="O4466" s="185"/>
      <c r="P4466" s="231"/>
      <c r="Q4466" s="224"/>
    </row>
    <row r="4467" spans="1:17" s="225" customFormat="1" ht="10.5" x14ac:dyDescent="0.25">
      <c r="A4467" s="229"/>
      <c r="B4467" s="230" t="str">
        <f>B4461</f>
        <v>CONCRETO BETUMINOSO USINADO A QUENTE</v>
      </c>
      <c r="C4467" s="184"/>
      <c r="D4467" s="185"/>
      <c r="E4467" s="185"/>
      <c r="F4467" s="185"/>
      <c r="G4467" s="185"/>
      <c r="H4467" s="185">
        <f>H4461</f>
        <v>0.03</v>
      </c>
      <c r="I4467" s="185"/>
      <c r="J4467" s="185"/>
      <c r="K4467" s="185">
        <f>L4466*O4467</f>
        <v>261.49881599999992</v>
      </c>
      <c r="L4467" s="185"/>
      <c r="M4467" s="185"/>
      <c r="N4467" s="185">
        <f>N4461</f>
        <v>3631.9279999999994</v>
      </c>
      <c r="O4467" s="185">
        <f>O4461</f>
        <v>108.95783999999998</v>
      </c>
      <c r="P4467" s="231"/>
      <c r="Q4467" s="224"/>
    </row>
    <row r="4468" spans="1:17" s="225" customFormat="1" ht="10.5" x14ac:dyDescent="0.25">
      <c r="A4468" s="229"/>
      <c r="B4468" s="230"/>
      <c r="C4468" s="184"/>
      <c r="D4468" s="185"/>
      <c r="E4468" s="185"/>
      <c r="F4468" s="185"/>
      <c r="G4468" s="185"/>
      <c r="H4468" s="185"/>
      <c r="I4468" s="185"/>
      <c r="J4468" s="185"/>
      <c r="K4468" s="185"/>
      <c r="L4468" s="186"/>
      <c r="M4468" s="185"/>
      <c r="N4468" s="185"/>
      <c r="O4468" s="185"/>
      <c r="P4468" s="231"/>
      <c r="Q4468" s="224"/>
    </row>
    <row r="4469" spans="1:17" s="225" customFormat="1" ht="10.5" x14ac:dyDescent="0.25">
      <c r="A4469" s="229"/>
      <c r="B4469" s="232" t="s">
        <v>5</v>
      </c>
      <c r="C4469" s="182" t="s">
        <v>1328</v>
      </c>
      <c r="D4469" s="182"/>
      <c r="E4469" s="182"/>
      <c r="F4469" s="182"/>
      <c r="G4469" s="182"/>
      <c r="H4469" s="182"/>
      <c r="I4469" s="182"/>
      <c r="J4469" s="182"/>
      <c r="K4469" s="182">
        <f>SUM(K4467:K4468)</f>
        <v>261.49881599999992</v>
      </c>
      <c r="L4469" s="182"/>
      <c r="M4469" s="182"/>
      <c r="N4469" s="182"/>
      <c r="O4469" s="182"/>
      <c r="P4469" s="233"/>
      <c r="Q4469" s="224"/>
    </row>
    <row r="4470" spans="1:17" s="228" customFormat="1" ht="21" x14ac:dyDescent="0.25">
      <c r="A4470" s="226" t="str">
        <f>ORÇAMENTO!A827</f>
        <v>7.1.2.4.12</v>
      </c>
      <c r="B4470" s="227" t="str">
        <f>VLOOKUP(A4470,ORÇAMENTO!A:K,4,0)</f>
        <v>CIMENTO ASFÁLTICO DE PETRÓLEO - CAP 50/70 FORNECIMENTO E TRANSPORTE</v>
      </c>
      <c r="C4470" s="173" t="str">
        <f>VLOOKUP(A4470,ORÇAMENTO!A:K,5,0)</f>
        <v>T</v>
      </c>
      <c r="D4470" s="173">
        <f>SUM(E4475:O4475)</f>
        <v>16.534570135679992</v>
      </c>
      <c r="E4470" s="173" t="s">
        <v>1718</v>
      </c>
      <c r="F4470" s="173" t="s">
        <v>1719</v>
      </c>
      <c r="G4470" s="173" t="s">
        <v>1720</v>
      </c>
      <c r="H4470" s="173" t="s">
        <v>1721</v>
      </c>
      <c r="I4470" s="173" t="s">
        <v>1722</v>
      </c>
      <c r="J4470" s="173" t="s">
        <v>1723</v>
      </c>
      <c r="K4470" s="173" t="s">
        <v>1746</v>
      </c>
      <c r="L4470" s="173" t="s">
        <v>1777</v>
      </c>
      <c r="M4470" s="173" t="s">
        <v>1730</v>
      </c>
      <c r="N4470" s="173" t="s">
        <v>1727</v>
      </c>
      <c r="O4470" s="173" t="s">
        <v>1728</v>
      </c>
      <c r="P4470" s="224"/>
      <c r="Q4470" s="224"/>
    </row>
    <row r="4471" spans="1:17" s="225" customFormat="1" ht="10.5" x14ac:dyDescent="0.25">
      <c r="A4471" s="229"/>
      <c r="B4471" s="230" t="str">
        <f>B4467</f>
        <v>CONCRETO BETUMINOSO USINADO A QUENTE</v>
      </c>
      <c r="C4471" s="184"/>
      <c r="D4471" s="185"/>
      <c r="E4471" s="185"/>
      <c r="F4471" s="185"/>
      <c r="G4471" s="185"/>
      <c r="H4471" s="185"/>
      <c r="I4471" s="185"/>
      <c r="J4471" s="185"/>
      <c r="K4471" s="185">
        <f>K4467</f>
        <v>261.49881599999992</v>
      </c>
      <c r="L4471" s="185"/>
      <c r="M4471" s="185"/>
      <c r="N4471" s="185"/>
      <c r="O4471" s="185"/>
      <c r="P4471" s="231"/>
      <c r="Q4471" s="224"/>
    </row>
    <row r="4472" spans="1:17" s="225" customFormat="1" ht="10.5" x14ac:dyDescent="0.25">
      <c r="A4472" s="229"/>
      <c r="B4472" s="230" t="s">
        <v>1786</v>
      </c>
      <c r="C4472" s="184"/>
      <c r="D4472" s="185"/>
      <c r="E4472" s="185"/>
      <c r="F4472" s="185"/>
      <c r="G4472" s="185"/>
      <c r="H4472" s="185"/>
      <c r="I4472" s="185"/>
      <c r="J4472" s="185"/>
      <c r="K4472" s="185"/>
      <c r="L4472" s="199">
        <v>6.3229999999999995E-2</v>
      </c>
      <c r="M4472" s="185"/>
      <c r="N4472" s="185"/>
      <c r="O4472" s="185"/>
      <c r="P4472" s="231"/>
      <c r="Q4472" s="224"/>
    </row>
    <row r="4473" spans="1:17" s="225" customFormat="1" ht="10.5" x14ac:dyDescent="0.25">
      <c r="A4473" s="229"/>
      <c r="B4473" s="230"/>
      <c r="C4473" s="184"/>
      <c r="D4473" s="185"/>
      <c r="E4473" s="185"/>
      <c r="F4473" s="185"/>
      <c r="G4473" s="185"/>
      <c r="H4473" s="185"/>
      <c r="I4473" s="185"/>
      <c r="J4473" s="185"/>
      <c r="K4473" s="185">
        <f>K4471*L4472</f>
        <v>16.534570135679992</v>
      </c>
      <c r="L4473" s="185"/>
      <c r="M4473" s="185"/>
      <c r="N4473" s="185"/>
      <c r="O4473" s="185"/>
      <c r="P4473" s="231"/>
      <c r="Q4473" s="224"/>
    </row>
    <row r="4474" spans="1:17" s="225" customFormat="1" ht="10.5" x14ac:dyDescent="0.25">
      <c r="A4474" s="229"/>
      <c r="B4474" s="230"/>
      <c r="C4474" s="184"/>
      <c r="D4474" s="185"/>
      <c r="E4474" s="185"/>
      <c r="F4474" s="185"/>
      <c r="G4474" s="185"/>
      <c r="H4474" s="185"/>
      <c r="I4474" s="185"/>
      <c r="J4474" s="185"/>
      <c r="K4474" s="185"/>
      <c r="L4474" s="186"/>
      <c r="M4474" s="185"/>
      <c r="N4474" s="185"/>
      <c r="O4474" s="185"/>
      <c r="P4474" s="231"/>
      <c r="Q4474" s="224"/>
    </row>
    <row r="4475" spans="1:17" s="225" customFormat="1" ht="10.5" x14ac:dyDescent="0.25">
      <c r="A4475" s="229"/>
      <c r="B4475" s="232" t="s">
        <v>5</v>
      </c>
      <c r="C4475" s="182" t="s">
        <v>1328</v>
      </c>
      <c r="D4475" s="182"/>
      <c r="E4475" s="182"/>
      <c r="F4475" s="182"/>
      <c r="G4475" s="182"/>
      <c r="H4475" s="182"/>
      <c r="I4475" s="182"/>
      <c r="J4475" s="182"/>
      <c r="K4475" s="182">
        <f>SUM(K4473:K4474)</f>
        <v>16.534570135679992</v>
      </c>
      <c r="L4475" s="182"/>
      <c r="M4475" s="182"/>
      <c r="N4475" s="182"/>
      <c r="O4475" s="182"/>
      <c r="P4475" s="233"/>
      <c r="Q4475" s="224"/>
    </row>
    <row r="4476" spans="1:17" s="228" customFormat="1" ht="21" x14ac:dyDescent="0.25">
      <c r="A4476" s="226" t="str">
        <f>ORÇAMENTO!A828</f>
        <v>7.1.2.4.13</v>
      </c>
      <c r="B4476" s="227" t="str">
        <f>VLOOKUP(A4476,ORÇAMENTO!A:K,4,0)</f>
        <v>REATERRO MANUAL APILOADO COM SOQUETE</v>
      </c>
      <c r="C4476" s="173" t="str">
        <f>VLOOKUP(A4476,ORÇAMENTO!A:K,5,0)</f>
        <v>M³</v>
      </c>
      <c r="D4476" s="173">
        <f>SUM(E4479:O4479)</f>
        <v>4046.8619094394926</v>
      </c>
      <c r="E4476" s="173" t="s">
        <v>1718</v>
      </c>
      <c r="F4476" s="173" t="s">
        <v>1719</v>
      </c>
      <c r="G4476" s="173" t="s">
        <v>1720</v>
      </c>
      <c r="H4476" s="173" t="s">
        <v>1721</v>
      </c>
      <c r="I4476" s="173" t="s">
        <v>1722</v>
      </c>
      <c r="J4476" s="173" t="s">
        <v>1723</v>
      </c>
      <c r="K4476" s="173" t="s">
        <v>1724</v>
      </c>
      <c r="L4476" s="173" t="s">
        <v>1753</v>
      </c>
      <c r="M4476" s="173" t="s">
        <v>1730</v>
      </c>
      <c r="N4476" s="173" t="s">
        <v>1727</v>
      </c>
      <c r="O4476" s="173" t="s">
        <v>1728</v>
      </c>
      <c r="P4476" s="224"/>
      <c r="Q4476" s="224"/>
    </row>
    <row r="4477" spans="1:17" s="225" customFormat="1" ht="10.5" x14ac:dyDescent="0.25">
      <c r="A4477" s="229"/>
      <c r="B4477" s="230" t="s">
        <v>1787</v>
      </c>
      <c r="C4477" s="184"/>
      <c r="D4477" s="185"/>
      <c r="E4477" s="185"/>
      <c r="F4477" s="185"/>
      <c r="G4477" s="185"/>
      <c r="H4477" s="185"/>
      <c r="I4477" s="185"/>
      <c r="J4477" s="185"/>
      <c r="K4477" s="185"/>
      <c r="L4477" s="185"/>
      <c r="M4477" s="185"/>
      <c r="N4477" s="185"/>
      <c r="O4477" s="185">
        <f>Quantitativos!AZ192</f>
        <v>4046.8619094394926</v>
      </c>
      <c r="P4477" s="224"/>
      <c r="Q4477" s="224"/>
    </row>
    <row r="4478" spans="1:17" s="225" customFormat="1" ht="10.5" x14ac:dyDescent="0.25">
      <c r="A4478" s="229"/>
      <c r="B4478" s="230"/>
      <c r="C4478" s="184"/>
      <c r="D4478" s="185"/>
      <c r="E4478" s="185"/>
      <c r="F4478" s="185"/>
      <c r="G4478" s="185"/>
      <c r="H4478" s="185"/>
      <c r="I4478" s="185"/>
      <c r="J4478" s="185"/>
      <c r="K4478" s="185"/>
      <c r="L4478" s="185"/>
      <c r="M4478" s="185"/>
      <c r="N4478" s="185"/>
      <c r="O4478" s="185"/>
      <c r="P4478" s="231"/>
      <c r="Q4478" s="224"/>
    </row>
    <row r="4479" spans="1:17" s="225" customFormat="1" ht="10.5" x14ac:dyDescent="0.25">
      <c r="A4479" s="229"/>
      <c r="B4479" s="232" t="s">
        <v>5</v>
      </c>
      <c r="C4479" s="182" t="s">
        <v>1328</v>
      </c>
      <c r="D4479" s="182"/>
      <c r="E4479" s="182"/>
      <c r="F4479" s="182"/>
      <c r="G4479" s="182"/>
      <c r="H4479" s="182"/>
      <c r="I4479" s="182"/>
      <c r="J4479" s="182"/>
      <c r="K4479" s="182"/>
      <c r="L4479" s="182"/>
      <c r="M4479" s="182"/>
      <c r="N4479" s="182"/>
      <c r="O4479" s="182">
        <f>SUM(O4477:O4478)</f>
        <v>4046.8619094394926</v>
      </c>
      <c r="P4479" s="233"/>
      <c r="Q4479" s="224"/>
    </row>
    <row r="4480" spans="1:17" s="228" customFormat="1" ht="31.5" x14ac:dyDescent="0.25">
      <c r="A4480" s="226" t="str">
        <f>ORÇAMENTO!A829</f>
        <v>7.1.2.4.14</v>
      </c>
      <c r="B4480" s="227" t="str">
        <f>VLOOKUP(A4480,ORÇAMENTO!A:K,4,0)</f>
        <v>REATERRO COMPACTADO MECANICAMENTE EM CAMADAS DE 0,20 M COM APROVEITAMENTO DO MATERIAL ESCAVADO.</v>
      </c>
      <c r="C4480" s="173" t="str">
        <f>VLOOKUP(A4480,ORÇAMENTO!A:K,5,0)</f>
        <v>M³</v>
      </c>
      <c r="D4480" s="173">
        <f>SUM(E4485:O4485)</f>
        <v>8304.8526500000025</v>
      </c>
      <c r="E4480" s="173" t="s">
        <v>1718</v>
      </c>
      <c r="F4480" s="173" t="s">
        <v>1719</v>
      </c>
      <c r="G4480" s="173" t="s">
        <v>1720</v>
      </c>
      <c r="H4480" s="173" t="s">
        <v>1721</v>
      </c>
      <c r="I4480" s="173" t="s">
        <v>1722</v>
      </c>
      <c r="J4480" s="173" t="s">
        <v>1723</v>
      </c>
      <c r="K4480" s="173" t="s">
        <v>1724</v>
      </c>
      <c r="L4480" s="173" t="s">
        <v>1753</v>
      </c>
      <c r="M4480" s="173" t="s">
        <v>1730</v>
      </c>
      <c r="N4480" s="173" t="s">
        <v>1727</v>
      </c>
      <c r="O4480" s="173" t="s">
        <v>1728</v>
      </c>
      <c r="P4480" s="224"/>
      <c r="Q4480" s="224"/>
    </row>
    <row r="4481" spans="1:19" s="225" customFormat="1" ht="10.5" x14ac:dyDescent="0.25">
      <c r="A4481" s="229"/>
      <c r="B4481" s="230" t="s">
        <v>1787</v>
      </c>
      <c r="C4481" s="184"/>
      <c r="D4481" s="185"/>
      <c r="E4481" s="185"/>
      <c r="F4481" s="185"/>
      <c r="G4481" s="185"/>
      <c r="H4481" s="185"/>
      <c r="I4481" s="185"/>
      <c r="J4481" s="185"/>
      <c r="K4481" s="185"/>
      <c r="L4481" s="185"/>
      <c r="M4481" s="185"/>
      <c r="N4481" s="185"/>
      <c r="O4481" s="185">
        <f>Quantitativos!BG192</f>
        <v>7274.5145446247425</v>
      </c>
      <c r="P4481" s="224"/>
      <c r="Q4481" s="224"/>
    </row>
    <row r="4482" spans="1:19" s="225" customFormat="1" ht="21" x14ac:dyDescent="0.25">
      <c r="A4482" s="229"/>
      <c r="B4482" s="230" t="s">
        <v>1788</v>
      </c>
      <c r="C4482" s="184"/>
      <c r="D4482" s="185"/>
      <c r="E4482" s="185"/>
      <c r="F4482" s="185"/>
      <c r="G4482" s="185"/>
      <c r="H4482" s="185"/>
      <c r="I4482" s="185"/>
      <c r="J4482" s="185"/>
      <c r="K4482" s="185"/>
      <c r="L4482" s="185"/>
      <c r="M4482" s="185"/>
      <c r="N4482" s="185"/>
      <c r="O4482" s="185">
        <f>Quantitativos!BJ192</f>
        <v>119.33650537525973</v>
      </c>
      <c r="P4482" s="224"/>
      <c r="Q4482" s="224"/>
    </row>
    <row r="4483" spans="1:19" s="225" customFormat="1" ht="10.5" x14ac:dyDescent="0.25">
      <c r="A4483" s="229"/>
      <c r="B4483" s="230" t="s">
        <v>1789</v>
      </c>
      <c r="C4483" s="184"/>
      <c r="D4483" s="185"/>
      <c r="E4483" s="185"/>
      <c r="F4483" s="185"/>
      <c r="G4483" s="185"/>
      <c r="H4483" s="185"/>
      <c r="I4483" s="185"/>
      <c r="J4483" s="185"/>
      <c r="K4483" s="185"/>
      <c r="L4483" s="185"/>
      <c r="M4483" s="185"/>
      <c r="N4483" s="185"/>
      <c r="O4483" s="185">
        <f>Quantitativos!BK192</f>
        <v>0</v>
      </c>
      <c r="P4483" s="231"/>
      <c r="Q4483" s="224"/>
    </row>
    <row r="4484" spans="1:19" s="225" customFormat="1" ht="10.5" x14ac:dyDescent="0.25">
      <c r="A4484" s="229"/>
      <c r="B4484" s="230" t="s">
        <v>1790</v>
      </c>
      <c r="C4484" s="184"/>
      <c r="D4484" s="185"/>
      <c r="E4484" s="185"/>
      <c r="F4484" s="185"/>
      <c r="G4484" s="185"/>
      <c r="H4484" s="185"/>
      <c r="I4484" s="185"/>
      <c r="J4484" s="185"/>
      <c r="K4484" s="185"/>
      <c r="L4484" s="185"/>
      <c r="M4484" s="185"/>
      <c r="N4484" s="185"/>
      <c r="O4484" s="185">
        <f>Quantitativos!AW192</f>
        <v>911.00160000000005</v>
      </c>
      <c r="P4484" s="231"/>
      <c r="Q4484" s="224"/>
    </row>
    <row r="4485" spans="1:19" s="225" customFormat="1" ht="10.5" x14ac:dyDescent="0.25">
      <c r="A4485" s="229"/>
      <c r="B4485" s="232" t="s">
        <v>5</v>
      </c>
      <c r="C4485" s="182" t="s">
        <v>1328</v>
      </c>
      <c r="D4485" s="182"/>
      <c r="E4485" s="182"/>
      <c r="F4485" s="182"/>
      <c r="G4485" s="182"/>
      <c r="H4485" s="182"/>
      <c r="I4485" s="182"/>
      <c r="J4485" s="182"/>
      <c r="K4485" s="182"/>
      <c r="L4485" s="182"/>
      <c r="M4485" s="182"/>
      <c r="N4485" s="182"/>
      <c r="O4485" s="182">
        <f>SUM(O4481:O4484)</f>
        <v>8304.8526500000025</v>
      </c>
      <c r="P4485" s="233"/>
      <c r="Q4485" s="224"/>
    </row>
    <row r="4486" spans="1:19" s="235" customFormat="1" ht="52.5" x14ac:dyDescent="0.35">
      <c r="A4486" s="226" t="str">
        <f>ORÇAMENTO!A830</f>
        <v>7.1.2.4.15</v>
      </c>
      <c r="B4486" s="227" t="str">
        <f>VLOOKUP(A4486,ORÇAMENTO!A:K,4,0)</f>
        <v>CARGA, MANOBRA E DESCARGA DE SOLOS E MATERIAIS GRANULARES EM CAMINHÃO BASCULANTE 14 M³ - CARGA COM ESCAVADEIRA HIDRÁULICA (CAÇAMBA DE 1,20 M³ / 155 HP) E DESCARGA LIVRE (UNIDADE: M3). AF_07/2020</v>
      </c>
      <c r="C4486" s="173" t="str">
        <f>VLOOKUP(A4486,ORÇAMENTO!A:K,5,0)</f>
        <v>M³</v>
      </c>
      <c r="D4486" s="173">
        <f>SUM(E4491:O4491)</f>
        <v>4785.7616482999583</v>
      </c>
      <c r="E4486" s="173" t="s">
        <v>1752</v>
      </c>
      <c r="F4486" s="173" t="s">
        <v>1719</v>
      </c>
      <c r="G4486" s="173" t="s">
        <v>1720</v>
      </c>
      <c r="H4486" s="173" t="s">
        <v>1721</v>
      </c>
      <c r="I4486" s="173" t="s">
        <v>1722</v>
      </c>
      <c r="J4486" s="173" t="s">
        <v>1723</v>
      </c>
      <c r="K4486" s="173" t="s">
        <v>1746</v>
      </c>
      <c r="L4486" s="173" t="s">
        <v>1753</v>
      </c>
      <c r="M4486" s="173" t="s">
        <v>1730</v>
      </c>
      <c r="N4486" s="173" t="s">
        <v>1727</v>
      </c>
      <c r="O4486" s="173" t="s">
        <v>1728</v>
      </c>
      <c r="P4486" s="224"/>
      <c r="Q4486" s="224"/>
      <c r="R4486" s="224"/>
      <c r="S4486" s="224"/>
    </row>
    <row r="4487" spans="1:19" s="225" customFormat="1" ht="21" x14ac:dyDescent="0.25">
      <c r="A4487" s="229"/>
      <c r="B4487" s="230" t="s">
        <v>1791</v>
      </c>
      <c r="C4487" s="184"/>
      <c r="D4487" s="185"/>
      <c r="E4487" s="185"/>
      <c r="F4487" s="185"/>
      <c r="G4487" s="185"/>
      <c r="H4487" s="185"/>
      <c r="I4487" s="185"/>
      <c r="J4487" s="185"/>
      <c r="K4487" s="185"/>
      <c r="L4487" s="197"/>
      <c r="M4487" s="185"/>
      <c r="N4487" s="185"/>
      <c r="O4487" s="185">
        <f>O4493+O4494+O4495</f>
        <v>4057.4999482999588</v>
      </c>
      <c r="P4487" s="231"/>
      <c r="Q4487" s="224"/>
    </row>
    <row r="4488" spans="1:19" s="225" customFormat="1" ht="21" x14ac:dyDescent="0.25">
      <c r="A4488" s="229"/>
      <c r="B4488" s="230" t="s">
        <v>1792</v>
      </c>
      <c r="C4488" s="184"/>
      <c r="D4488" s="185"/>
      <c r="E4488" s="185"/>
      <c r="F4488" s="185"/>
      <c r="G4488" s="185"/>
      <c r="H4488" s="185"/>
      <c r="I4488" s="185"/>
      <c r="J4488" s="185"/>
      <c r="K4488" s="185"/>
      <c r="L4488" s="197"/>
      <c r="M4488" s="185"/>
      <c r="N4488" s="185"/>
      <c r="O4488" s="185">
        <f>O4422</f>
        <v>19.448799999999999</v>
      </c>
      <c r="P4488" s="231"/>
      <c r="Q4488" s="224"/>
    </row>
    <row r="4489" spans="1:19" s="225" customFormat="1" ht="31.5" x14ac:dyDescent="0.25">
      <c r="A4489" s="229"/>
      <c r="B4489" s="230" t="s">
        <v>1793</v>
      </c>
      <c r="C4489" s="184"/>
      <c r="D4489" s="185"/>
      <c r="E4489" s="185"/>
      <c r="F4489" s="185"/>
      <c r="G4489" s="185"/>
      <c r="H4489" s="185"/>
      <c r="I4489" s="185"/>
      <c r="J4489" s="185"/>
      <c r="K4489" s="185"/>
      <c r="L4489" s="197"/>
      <c r="M4489" s="185"/>
      <c r="N4489" s="185"/>
      <c r="O4489" s="185">
        <f>O4426</f>
        <v>708.8128999999999</v>
      </c>
      <c r="P4489" s="231"/>
      <c r="Q4489" s="224"/>
    </row>
    <row r="4490" spans="1:19" s="225" customFormat="1" ht="10.5" x14ac:dyDescent="0.25">
      <c r="A4490" s="229"/>
      <c r="B4490" s="230"/>
      <c r="C4490" s="184"/>
      <c r="D4490" s="185"/>
      <c r="E4490" s="185"/>
      <c r="F4490" s="185"/>
      <c r="G4490" s="185"/>
      <c r="H4490" s="185"/>
      <c r="I4490" s="185"/>
      <c r="J4490" s="185"/>
      <c r="K4490" s="185"/>
      <c r="L4490" s="197"/>
      <c r="M4490" s="185"/>
      <c r="N4490" s="185"/>
      <c r="O4490" s="185"/>
      <c r="P4490" s="231"/>
      <c r="Q4490" s="224"/>
    </row>
    <row r="4491" spans="1:19" s="225" customFormat="1" ht="10.5" x14ac:dyDescent="0.25">
      <c r="A4491" s="229"/>
      <c r="B4491" s="232" t="s">
        <v>5</v>
      </c>
      <c r="C4491" s="182" t="s">
        <v>1328</v>
      </c>
      <c r="D4491" s="182"/>
      <c r="E4491" s="182"/>
      <c r="F4491" s="182"/>
      <c r="G4491" s="182"/>
      <c r="H4491" s="182"/>
      <c r="I4491" s="182"/>
      <c r="J4491" s="182"/>
      <c r="K4491" s="182"/>
      <c r="L4491" s="182"/>
      <c r="M4491" s="184"/>
      <c r="N4491" s="182"/>
      <c r="O4491" s="182">
        <f>SUM(O4487:O4490)</f>
        <v>4785.7616482999583</v>
      </c>
      <c r="P4491" s="233"/>
      <c r="Q4491" s="224"/>
    </row>
    <row r="4492" spans="1:19" s="228" customFormat="1" ht="31.5" x14ac:dyDescent="0.25">
      <c r="A4492" s="226" t="str">
        <f>ORÇAMENTO!A831</f>
        <v>7.1.2.4.16</v>
      </c>
      <c r="B4492" s="227" t="str">
        <f>VLOOKUP(A4492,ORÇAMENTO!A:K,4,0)</f>
        <v>TRANSPORTE COM CAMINHÃO BASCULANTE DE 14 M³, EM VIA URBANA PAVIMENTADA, DMT ATÉ 30 KM (UNIDADE: M3XKM). AF_07/2020</v>
      </c>
      <c r="C4492" s="173" t="str">
        <f>VLOOKUP(A4492,ORÇAMENTO!A:K,5,0)</f>
        <v>M3XKM</v>
      </c>
      <c r="D4492" s="173">
        <f>SUM(E4498:O4498)</f>
        <v>19454.999509659989</v>
      </c>
      <c r="E4492" s="173" t="s">
        <v>1749</v>
      </c>
      <c r="F4492" s="173" t="s">
        <v>1719</v>
      </c>
      <c r="G4492" s="173" t="s">
        <v>1720</v>
      </c>
      <c r="H4492" s="173" t="s">
        <v>1721</v>
      </c>
      <c r="I4492" s="173" t="s">
        <v>1722</v>
      </c>
      <c r="J4492" s="173" t="s">
        <v>1723</v>
      </c>
      <c r="K4492" s="173" t="s">
        <v>1724</v>
      </c>
      <c r="L4492" s="173" t="s">
        <v>1753</v>
      </c>
      <c r="M4492" s="173" t="s">
        <v>1750</v>
      </c>
      <c r="N4492" s="173" t="s">
        <v>1727</v>
      </c>
      <c r="O4492" s="173" t="s">
        <v>1728</v>
      </c>
      <c r="P4492" s="224"/>
      <c r="Q4492" s="224"/>
    </row>
    <row r="4493" spans="1:19" s="225" customFormat="1" ht="21" x14ac:dyDescent="0.25">
      <c r="A4493" s="229"/>
      <c r="B4493" s="230" t="s">
        <v>1794</v>
      </c>
      <c r="C4493" s="184"/>
      <c r="D4493" s="185"/>
      <c r="E4493" s="185">
        <v>0.2</v>
      </c>
      <c r="F4493" s="185"/>
      <c r="G4493" s="185"/>
      <c r="H4493" s="185"/>
      <c r="I4493" s="185"/>
      <c r="J4493" s="185"/>
      <c r="K4493" s="185"/>
      <c r="L4493" s="185"/>
      <c r="M4493" s="185">
        <f>O4493*E4493</f>
        <v>23.867301075051948</v>
      </c>
      <c r="N4493" s="185"/>
      <c r="O4493" s="185">
        <f>O4482</f>
        <v>119.33650537525973</v>
      </c>
      <c r="P4493" s="224"/>
      <c r="Q4493" s="224"/>
    </row>
    <row r="4494" spans="1:19" s="225" customFormat="1" ht="31.5" x14ac:dyDescent="0.25">
      <c r="A4494" s="229"/>
      <c r="B4494" s="230" t="s">
        <v>1795</v>
      </c>
      <c r="C4494" s="184"/>
      <c r="D4494" s="185"/>
      <c r="E4494" s="185">
        <v>0.2</v>
      </c>
      <c r="F4494" s="185"/>
      <c r="G4494" s="185"/>
      <c r="H4494" s="185"/>
      <c r="I4494" s="185"/>
      <c r="J4494" s="185"/>
      <c r="K4494" s="185"/>
      <c r="L4494" s="185"/>
      <c r="M4494" s="185">
        <f>O4494*E4494</f>
        <v>0</v>
      </c>
      <c r="N4494" s="185"/>
      <c r="O4494" s="185">
        <f>Quantitativos!AX192</f>
        <v>0</v>
      </c>
      <c r="P4494" s="224"/>
      <c r="Q4494" s="224"/>
    </row>
    <row r="4495" spans="1:19" s="225" customFormat="1" ht="31.5" x14ac:dyDescent="0.25">
      <c r="A4495" s="229"/>
      <c r="B4495" s="230" t="s">
        <v>1796</v>
      </c>
      <c r="C4495" s="184"/>
      <c r="D4495" s="185"/>
      <c r="E4495" s="185">
        <v>0.2</v>
      </c>
      <c r="F4495" s="185"/>
      <c r="G4495" s="185"/>
      <c r="H4495" s="185"/>
      <c r="I4495" s="185"/>
      <c r="J4495" s="185"/>
      <c r="K4495" s="185"/>
      <c r="L4495" s="185"/>
      <c r="M4495" s="185">
        <f>O4495*E4495</f>
        <v>787.63268858493984</v>
      </c>
      <c r="N4495" s="185"/>
      <c r="O4495" s="185">
        <f>Quantitativos!BA192</f>
        <v>3938.1634429246992</v>
      </c>
      <c r="P4495" s="231"/>
      <c r="Q4495" s="224"/>
    </row>
    <row r="4496" spans="1:19" s="225" customFormat="1" ht="31.5" x14ac:dyDescent="0.25">
      <c r="A4496" s="229"/>
      <c r="B4496" s="230" t="s">
        <v>1797</v>
      </c>
      <c r="C4496" s="184"/>
      <c r="D4496" s="185"/>
      <c r="E4496" s="185">
        <v>25.6</v>
      </c>
      <c r="F4496" s="185"/>
      <c r="G4496" s="185"/>
      <c r="H4496" s="185"/>
      <c r="I4496" s="185"/>
      <c r="J4496" s="185"/>
      <c r="K4496" s="185"/>
      <c r="L4496" s="185"/>
      <c r="M4496" s="185">
        <f>O4496*E4496</f>
        <v>497.88927999999999</v>
      </c>
      <c r="N4496" s="185"/>
      <c r="O4496" s="185">
        <f>O4488</f>
        <v>19.448799999999999</v>
      </c>
      <c r="P4496" s="231"/>
      <c r="Q4496" s="224"/>
    </row>
    <row r="4497" spans="1:17" s="225" customFormat="1" ht="31.5" x14ac:dyDescent="0.25">
      <c r="A4497" s="229"/>
      <c r="B4497" s="230" t="s">
        <v>1798</v>
      </c>
      <c r="C4497" s="184"/>
      <c r="D4497" s="185"/>
      <c r="E4497" s="185">
        <v>25.6</v>
      </c>
      <c r="F4497" s="185"/>
      <c r="G4497" s="185"/>
      <c r="H4497" s="185"/>
      <c r="I4497" s="185"/>
      <c r="J4497" s="185"/>
      <c r="K4497" s="185"/>
      <c r="L4497" s="185"/>
      <c r="M4497" s="185">
        <f>O4497*E4497</f>
        <v>18145.610239999998</v>
      </c>
      <c r="N4497" s="185"/>
      <c r="O4497" s="185">
        <f>O4489</f>
        <v>708.8128999999999</v>
      </c>
      <c r="P4497" s="231"/>
      <c r="Q4497" s="224"/>
    </row>
    <row r="4498" spans="1:17" s="225" customFormat="1" ht="10.5" x14ac:dyDescent="0.25">
      <c r="A4498" s="229"/>
      <c r="B4498" s="232" t="s">
        <v>5</v>
      </c>
      <c r="C4498" s="182" t="s">
        <v>1328</v>
      </c>
      <c r="D4498" s="182"/>
      <c r="E4498" s="182"/>
      <c r="F4498" s="182"/>
      <c r="G4498" s="182"/>
      <c r="H4498" s="182"/>
      <c r="I4498" s="182"/>
      <c r="J4498" s="182"/>
      <c r="K4498" s="182"/>
      <c r="L4498" s="182"/>
      <c r="M4498" s="182">
        <f>SUM(M4493:M4497)</f>
        <v>19454.999509659989</v>
      </c>
      <c r="N4498" s="182"/>
      <c r="O4498" s="182"/>
      <c r="P4498" s="233"/>
      <c r="Q4498" s="224"/>
    </row>
    <row r="4499" spans="1:17" s="228" customFormat="1" ht="52.5" x14ac:dyDescent="0.25">
      <c r="A4499" s="226" t="str">
        <f>ORÇAMENTO!A832</f>
        <v>7.1.2.4.17</v>
      </c>
      <c r="B4499" s="227" t="str">
        <f>VLOOKUP(A4499,ORÇAMENTO!A:K,4,0)</f>
        <v>ASSENTAMENTO DE TUBO DE CONCRETO PARA REDES COLETORAS DE ÁGUAS PLUVIAIS, DIÂMETRO DE 600 MM, JUNTA RÍGIDA, INSTALADO EM LOCAL COM ALTO NÍVEL DE INTERFERÊNCIAS (NÃO INCLUI FORNECIMENTO). AF_03/2024</v>
      </c>
      <c r="C4499" s="173" t="str">
        <f>VLOOKUP(A4499,ORÇAMENTO!A:K,5,0)</f>
        <v>M</v>
      </c>
      <c r="D4499" s="173">
        <f>SUM(E4502:O4502)</f>
        <v>138.92000000000002</v>
      </c>
      <c r="E4499" s="173" t="s">
        <v>1718</v>
      </c>
      <c r="F4499" s="173" t="s">
        <v>1719</v>
      </c>
      <c r="G4499" s="173" t="s">
        <v>1720</v>
      </c>
      <c r="H4499" s="173" t="s">
        <v>1721</v>
      </c>
      <c r="I4499" s="173" t="s">
        <v>1722</v>
      </c>
      <c r="J4499" s="173" t="s">
        <v>1723</v>
      </c>
      <c r="K4499" s="173" t="s">
        <v>1724</v>
      </c>
      <c r="L4499" s="173" t="s">
        <v>1753</v>
      </c>
      <c r="M4499" s="173" t="s">
        <v>1730</v>
      </c>
      <c r="N4499" s="173" t="s">
        <v>1727</v>
      </c>
      <c r="O4499" s="173" t="s">
        <v>1728</v>
      </c>
      <c r="P4499" s="224"/>
      <c r="Q4499" s="224"/>
    </row>
    <row r="4500" spans="1:17" s="225" customFormat="1" ht="10.5" x14ac:dyDescent="0.25">
      <c r="A4500" s="229"/>
      <c r="B4500" s="232"/>
      <c r="C4500" s="184"/>
      <c r="D4500" s="185"/>
      <c r="E4500" s="185">
        <f>Quantitativos!BU194+Quantitativos!BV194</f>
        <v>138.92000000000002</v>
      </c>
      <c r="F4500" s="185"/>
      <c r="G4500" s="185"/>
      <c r="H4500" s="185"/>
      <c r="I4500" s="185"/>
      <c r="J4500" s="185"/>
      <c r="K4500" s="185"/>
      <c r="L4500" s="185"/>
      <c r="M4500" s="185"/>
      <c r="N4500" s="185"/>
      <c r="O4500" s="185"/>
      <c r="P4500" s="224"/>
      <c r="Q4500" s="224"/>
    </row>
    <row r="4501" spans="1:17" s="225" customFormat="1" ht="10.5" x14ac:dyDescent="0.25">
      <c r="A4501" s="229"/>
      <c r="B4501" s="230"/>
      <c r="C4501" s="184"/>
      <c r="D4501" s="185"/>
      <c r="E4501" s="185"/>
      <c r="F4501" s="185"/>
      <c r="G4501" s="185"/>
      <c r="H4501" s="185"/>
      <c r="I4501" s="185"/>
      <c r="J4501" s="185"/>
      <c r="K4501" s="185"/>
      <c r="L4501" s="185"/>
      <c r="M4501" s="185"/>
      <c r="N4501" s="185"/>
      <c r="O4501" s="185"/>
      <c r="P4501" s="231"/>
      <c r="Q4501" s="224"/>
    </row>
    <row r="4502" spans="1:17" s="225" customFormat="1" ht="10.5" x14ac:dyDescent="0.25">
      <c r="A4502" s="229"/>
      <c r="B4502" s="232" t="s">
        <v>5</v>
      </c>
      <c r="C4502" s="182" t="s">
        <v>1328</v>
      </c>
      <c r="D4502" s="182"/>
      <c r="E4502" s="182">
        <f>SUM(E4500:E4501)</f>
        <v>138.92000000000002</v>
      </c>
      <c r="F4502" s="182"/>
      <c r="G4502" s="182"/>
      <c r="H4502" s="182"/>
      <c r="I4502" s="182"/>
      <c r="J4502" s="182"/>
      <c r="K4502" s="182"/>
      <c r="L4502" s="182"/>
      <c r="M4502" s="182"/>
      <c r="N4502" s="182"/>
      <c r="O4502" s="182"/>
      <c r="P4502" s="233"/>
      <c r="Q4502" s="224"/>
    </row>
    <row r="4503" spans="1:17" s="228" customFormat="1" ht="52.5" x14ac:dyDescent="0.25">
      <c r="A4503" s="226" t="str">
        <f>ORÇAMENTO!A833</f>
        <v>7.1.2.4.18</v>
      </c>
      <c r="B4503" s="227" t="str">
        <f>VLOOKUP(A4503,ORÇAMENTO!A:K,4,0)</f>
        <v>ASSENTAMENTO DE TUBO DE CONCRETO PARA REDES COLETORAS DE ÁGUAS PLUVIAIS, DIÂMETRO DE 800 MM, JUNTA RÍGIDA, INSTALADO EM LOCAL COM ALTO NÍVEL DE INTERFERÊNCIAS (NÃO INCLUI FORNECIMENTO). AF_03/2024</v>
      </c>
      <c r="C4503" s="173" t="str">
        <f>VLOOKUP(A4503,ORÇAMENTO!A:K,5,0)</f>
        <v>M</v>
      </c>
      <c r="D4503" s="173">
        <f>SUM(E4506:O4506)</f>
        <v>140.28</v>
      </c>
      <c r="E4503" s="173" t="s">
        <v>1718</v>
      </c>
      <c r="F4503" s="173" t="s">
        <v>1719</v>
      </c>
      <c r="G4503" s="173" t="s">
        <v>1720</v>
      </c>
      <c r="H4503" s="173" t="s">
        <v>1721</v>
      </c>
      <c r="I4503" s="173" t="s">
        <v>1722</v>
      </c>
      <c r="J4503" s="173" t="s">
        <v>1723</v>
      </c>
      <c r="K4503" s="173" t="s">
        <v>1724</v>
      </c>
      <c r="L4503" s="173" t="s">
        <v>1753</v>
      </c>
      <c r="M4503" s="173" t="s">
        <v>1730</v>
      </c>
      <c r="N4503" s="173" t="s">
        <v>1727</v>
      </c>
      <c r="O4503" s="173" t="s">
        <v>1728</v>
      </c>
      <c r="P4503" s="224"/>
      <c r="Q4503" s="224"/>
    </row>
    <row r="4504" spans="1:17" s="225" customFormat="1" ht="10.5" x14ac:dyDescent="0.25">
      <c r="A4504" s="229"/>
      <c r="B4504" s="232"/>
      <c r="C4504" s="184"/>
      <c r="D4504" s="185"/>
      <c r="E4504" s="185">
        <f>Quantitativos!BY194+Quantitativos!BZ194</f>
        <v>140.28</v>
      </c>
      <c r="F4504" s="185"/>
      <c r="G4504" s="185"/>
      <c r="H4504" s="185"/>
      <c r="I4504" s="185"/>
      <c r="J4504" s="185"/>
      <c r="K4504" s="185"/>
      <c r="L4504" s="185"/>
      <c r="M4504" s="185"/>
      <c r="N4504" s="185"/>
      <c r="O4504" s="185"/>
      <c r="P4504" s="224"/>
      <c r="Q4504" s="224"/>
    </row>
    <row r="4505" spans="1:17" s="225" customFormat="1" ht="10.5" x14ac:dyDescent="0.25">
      <c r="A4505" s="229"/>
      <c r="B4505" s="230"/>
      <c r="C4505" s="184"/>
      <c r="D4505" s="185"/>
      <c r="E4505" s="185"/>
      <c r="F4505" s="185"/>
      <c r="G4505" s="185"/>
      <c r="H4505" s="185"/>
      <c r="I4505" s="185"/>
      <c r="J4505" s="185"/>
      <c r="K4505" s="185"/>
      <c r="L4505" s="185"/>
      <c r="M4505" s="185"/>
      <c r="N4505" s="185"/>
      <c r="O4505" s="185"/>
      <c r="P4505" s="231"/>
      <c r="Q4505" s="224"/>
    </row>
    <row r="4506" spans="1:17" s="225" customFormat="1" ht="10.5" x14ac:dyDescent="0.25">
      <c r="A4506" s="229"/>
      <c r="B4506" s="232" t="s">
        <v>5</v>
      </c>
      <c r="C4506" s="182" t="s">
        <v>1328</v>
      </c>
      <c r="D4506" s="182"/>
      <c r="E4506" s="182">
        <f>SUM(E4504:E4505)</f>
        <v>140.28</v>
      </c>
      <c r="F4506" s="182"/>
      <c r="G4506" s="182"/>
      <c r="H4506" s="182"/>
      <c r="I4506" s="182"/>
      <c r="J4506" s="182"/>
      <c r="K4506" s="182"/>
      <c r="L4506" s="182"/>
      <c r="M4506" s="182"/>
      <c r="N4506" s="182"/>
      <c r="O4506" s="182"/>
      <c r="P4506" s="233"/>
      <c r="Q4506" s="224"/>
    </row>
    <row r="4507" spans="1:17" s="228" customFormat="1" ht="52.5" x14ac:dyDescent="0.25">
      <c r="A4507" s="226" t="str">
        <f>ORÇAMENTO!A834</f>
        <v>7.1.2.4.19</v>
      </c>
      <c r="B4507" s="227" t="str">
        <f>VLOOKUP(A4507,ORÇAMENTO!A:K,4,0)</f>
        <v>ASSENTAMENTO DE TUBO DE CONCRETO PARA REDES COLETORAS DE ÁGUAS PLUVIAIS, DIÂMETRO DE 1000 MM, JUNTA RÍGIDA, INSTALADO EM LOCAL COM ALTO NÍVEL DE INTERFERÊNCIAS (NÃO INCLUI FORNECIMENTO). AF_03/2024</v>
      </c>
      <c r="C4507" s="173" t="str">
        <f>VLOOKUP(A4507,ORÇAMENTO!A:K,5,0)</f>
        <v>M</v>
      </c>
      <c r="D4507" s="173">
        <f>SUM(E4510:O4510)</f>
        <v>476.44999999999993</v>
      </c>
      <c r="E4507" s="173" t="s">
        <v>1718</v>
      </c>
      <c r="F4507" s="173" t="s">
        <v>1719</v>
      </c>
      <c r="G4507" s="173" t="s">
        <v>1720</v>
      </c>
      <c r="H4507" s="173" t="s">
        <v>1721</v>
      </c>
      <c r="I4507" s="173" t="s">
        <v>1722</v>
      </c>
      <c r="J4507" s="173" t="s">
        <v>1723</v>
      </c>
      <c r="K4507" s="173" t="s">
        <v>1724</v>
      </c>
      <c r="L4507" s="173" t="s">
        <v>1753</v>
      </c>
      <c r="M4507" s="173" t="s">
        <v>1730</v>
      </c>
      <c r="N4507" s="173" t="s">
        <v>1727</v>
      </c>
      <c r="O4507" s="173" t="s">
        <v>1728</v>
      </c>
      <c r="P4507" s="224"/>
      <c r="Q4507" s="224"/>
    </row>
    <row r="4508" spans="1:17" s="225" customFormat="1" ht="10.5" x14ac:dyDescent="0.25">
      <c r="A4508" s="229"/>
      <c r="B4508" s="232"/>
      <c r="C4508" s="184"/>
      <c r="D4508" s="185"/>
      <c r="E4508" s="185">
        <f>Quantitativos!CC194+Quantitativos!CD194</f>
        <v>476.44999999999993</v>
      </c>
      <c r="F4508" s="185"/>
      <c r="G4508" s="185"/>
      <c r="H4508" s="185"/>
      <c r="I4508" s="185"/>
      <c r="J4508" s="185"/>
      <c r="K4508" s="185"/>
      <c r="L4508" s="185"/>
      <c r="M4508" s="185"/>
      <c r="N4508" s="185"/>
      <c r="O4508" s="185"/>
      <c r="P4508" s="224"/>
      <c r="Q4508" s="224"/>
    </row>
    <row r="4509" spans="1:17" s="225" customFormat="1" ht="10.5" x14ac:dyDescent="0.25">
      <c r="A4509" s="229"/>
      <c r="B4509" s="230"/>
      <c r="C4509" s="184"/>
      <c r="D4509" s="185"/>
      <c r="E4509" s="185"/>
      <c r="F4509" s="185"/>
      <c r="G4509" s="185"/>
      <c r="H4509" s="185"/>
      <c r="I4509" s="185"/>
      <c r="J4509" s="185"/>
      <c r="K4509" s="185"/>
      <c r="L4509" s="185"/>
      <c r="M4509" s="185"/>
      <c r="N4509" s="185"/>
      <c r="O4509" s="185"/>
      <c r="P4509" s="231"/>
      <c r="Q4509" s="224"/>
    </row>
    <row r="4510" spans="1:17" s="225" customFormat="1" ht="10.5" x14ac:dyDescent="0.25">
      <c r="A4510" s="229"/>
      <c r="B4510" s="232" t="s">
        <v>5</v>
      </c>
      <c r="C4510" s="182" t="s">
        <v>1328</v>
      </c>
      <c r="D4510" s="182"/>
      <c r="E4510" s="182">
        <f>SUM(E4508:E4509)</f>
        <v>476.44999999999993</v>
      </c>
      <c r="F4510" s="182"/>
      <c r="G4510" s="182"/>
      <c r="H4510" s="182"/>
      <c r="I4510" s="182"/>
      <c r="J4510" s="182"/>
      <c r="K4510" s="182"/>
      <c r="L4510" s="182"/>
      <c r="M4510" s="182"/>
      <c r="N4510" s="182"/>
      <c r="O4510" s="182"/>
      <c r="P4510" s="233"/>
      <c r="Q4510" s="224"/>
    </row>
    <row r="4511" spans="1:17" s="228" customFormat="1" ht="52.5" x14ac:dyDescent="0.25">
      <c r="A4511" s="226" t="str">
        <f>ORÇAMENTO!A835</f>
        <v>7.1.2.4.20</v>
      </c>
      <c r="B4511" s="227" t="str">
        <f>VLOOKUP(A4511,ORÇAMENTO!A:K,4,0)</f>
        <v>ASSENTAMENTO DE TUBO DE CONCRETO PARA REDES COLETORAS DE ÁGUAS PLUVIAIS, DIÂMETRO DE 1200 MM, JUNTA RÍGIDA, INSTALADO EM LOCAL COM ALTO NÍVEL DE INTERFERÊNCIAS (NÃO INCLUI FORNECIMENTO). AF_03/2024</v>
      </c>
      <c r="C4511" s="173" t="str">
        <f>VLOOKUP(A4511,ORÇAMENTO!A:K,5,0)</f>
        <v>M</v>
      </c>
      <c r="D4511" s="173">
        <f>SUM(E4514:O4514)</f>
        <v>309.30999999999995</v>
      </c>
      <c r="E4511" s="173" t="s">
        <v>1718</v>
      </c>
      <c r="F4511" s="173" t="s">
        <v>1719</v>
      </c>
      <c r="G4511" s="173" t="s">
        <v>1720</v>
      </c>
      <c r="H4511" s="173" t="s">
        <v>1721</v>
      </c>
      <c r="I4511" s="173" t="s">
        <v>1722</v>
      </c>
      <c r="J4511" s="173" t="s">
        <v>1723</v>
      </c>
      <c r="K4511" s="173" t="s">
        <v>1724</v>
      </c>
      <c r="L4511" s="173" t="s">
        <v>1753</v>
      </c>
      <c r="M4511" s="173" t="s">
        <v>1730</v>
      </c>
      <c r="N4511" s="173" t="s">
        <v>1727</v>
      </c>
      <c r="O4511" s="173" t="s">
        <v>1728</v>
      </c>
      <c r="P4511" s="224"/>
      <c r="Q4511" s="224"/>
    </row>
    <row r="4512" spans="1:17" s="225" customFormat="1" ht="10.5" x14ac:dyDescent="0.25">
      <c r="A4512" s="229"/>
      <c r="B4512" s="232"/>
      <c r="C4512" s="184"/>
      <c r="D4512" s="185"/>
      <c r="E4512" s="185">
        <f>Quantitativos!CG194+Quantitativos!CH194</f>
        <v>309.30999999999995</v>
      </c>
      <c r="F4512" s="185"/>
      <c r="G4512" s="185"/>
      <c r="H4512" s="185"/>
      <c r="I4512" s="185"/>
      <c r="J4512" s="185"/>
      <c r="K4512" s="185"/>
      <c r="L4512" s="185"/>
      <c r="M4512" s="185"/>
      <c r="N4512" s="185"/>
      <c r="O4512" s="185"/>
      <c r="P4512" s="224"/>
      <c r="Q4512" s="224"/>
    </row>
    <row r="4513" spans="1:17" s="225" customFormat="1" ht="10.5" x14ac:dyDescent="0.25">
      <c r="A4513" s="229"/>
      <c r="B4513" s="230"/>
      <c r="C4513" s="184"/>
      <c r="D4513" s="185"/>
      <c r="E4513" s="185"/>
      <c r="F4513" s="185"/>
      <c r="G4513" s="185"/>
      <c r="H4513" s="185"/>
      <c r="I4513" s="185"/>
      <c r="J4513" s="185"/>
      <c r="K4513" s="185"/>
      <c r="L4513" s="185"/>
      <c r="M4513" s="185"/>
      <c r="N4513" s="185"/>
      <c r="O4513" s="185"/>
      <c r="P4513" s="231"/>
      <c r="Q4513" s="224"/>
    </row>
    <row r="4514" spans="1:17" s="225" customFormat="1" ht="10.5" x14ac:dyDescent="0.25">
      <c r="A4514" s="229"/>
      <c r="B4514" s="232" t="s">
        <v>5</v>
      </c>
      <c r="C4514" s="182" t="s">
        <v>1328</v>
      </c>
      <c r="D4514" s="182"/>
      <c r="E4514" s="182">
        <f>SUM(E4512:E4513)</f>
        <v>309.30999999999995</v>
      </c>
      <c r="F4514" s="182"/>
      <c r="G4514" s="182"/>
      <c r="H4514" s="182"/>
      <c r="I4514" s="182"/>
      <c r="J4514" s="182"/>
      <c r="K4514" s="182"/>
      <c r="L4514" s="182"/>
      <c r="M4514" s="182"/>
      <c r="N4514" s="182"/>
      <c r="O4514" s="182"/>
      <c r="P4514" s="233"/>
      <c r="Q4514" s="224"/>
    </row>
    <row r="4515" spans="1:17" s="228" customFormat="1" ht="52.5" x14ac:dyDescent="0.25">
      <c r="A4515" s="226" t="str">
        <f>ORÇAMENTO!A836</f>
        <v>7.1.2.4.21</v>
      </c>
      <c r="B4515" s="227" t="str">
        <f>VLOOKUP(A4515,ORÇAMENTO!A:K,4,0)</f>
        <v>ASSENTAMENTO DE TUBO DE CONCRETO PARA REDES COLETORAS DE ÁGUAS PLUVIAIS, DIÂMETRO DE 1500 MM, JUNTA RÍGIDA, INSTALADO EM LOCAL COM ALTO NÍVEL DE INTERFERÊNCIAS (NÃO INCLUI FORNECIMENTO). AF_03/2024</v>
      </c>
      <c r="C4515" s="173" t="str">
        <f>VLOOKUP(A4515,ORÇAMENTO!A:K,5,0)</f>
        <v>M</v>
      </c>
      <c r="D4515" s="173">
        <f>SUM(E4518:O4518)</f>
        <v>375.19999999999993</v>
      </c>
      <c r="E4515" s="173" t="s">
        <v>1718</v>
      </c>
      <c r="F4515" s="173" t="s">
        <v>1719</v>
      </c>
      <c r="G4515" s="173" t="s">
        <v>1720</v>
      </c>
      <c r="H4515" s="173" t="s">
        <v>1721</v>
      </c>
      <c r="I4515" s="173" t="s">
        <v>1722</v>
      </c>
      <c r="J4515" s="173" t="s">
        <v>1723</v>
      </c>
      <c r="K4515" s="173" t="s">
        <v>1724</v>
      </c>
      <c r="L4515" s="173" t="s">
        <v>1753</v>
      </c>
      <c r="M4515" s="173" t="s">
        <v>1730</v>
      </c>
      <c r="N4515" s="173" t="s">
        <v>1727</v>
      </c>
      <c r="O4515" s="173" t="s">
        <v>1728</v>
      </c>
      <c r="P4515" s="224"/>
      <c r="Q4515" s="224"/>
    </row>
    <row r="4516" spans="1:17" s="225" customFormat="1" ht="10.5" x14ac:dyDescent="0.25">
      <c r="A4516" s="229"/>
      <c r="B4516" s="232"/>
      <c r="C4516" s="184"/>
      <c r="D4516" s="185"/>
      <c r="E4516" s="185">
        <f>Quantitativos!CL194</f>
        <v>375.19999999999993</v>
      </c>
      <c r="F4516" s="185"/>
      <c r="G4516" s="185"/>
      <c r="H4516" s="185"/>
      <c r="I4516" s="185"/>
      <c r="J4516" s="185"/>
      <c r="K4516" s="185"/>
      <c r="L4516" s="185"/>
      <c r="M4516" s="185"/>
      <c r="N4516" s="185"/>
      <c r="O4516" s="185"/>
      <c r="P4516" s="224"/>
      <c r="Q4516" s="224"/>
    </row>
    <row r="4517" spans="1:17" s="225" customFormat="1" ht="10.5" x14ac:dyDescent="0.25">
      <c r="A4517" s="229"/>
      <c r="B4517" s="230"/>
      <c r="C4517" s="184"/>
      <c r="D4517" s="185"/>
      <c r="E4517" s="185"/>
      <c r="F4517" s="185"/>
      <c r="G4517" s="185"/>
      <c r="H4517" s="185"/>
      <c r="I4517" s="185"/>
      <c r="J4517" s="185"/>
      <c r="K4517" s="185"/>
      <c r="L4517" s="185"/>
      <c r="M4517" s="185"/>
      <c r="N4517" s="185"/>
      <c r="O4517" s="185"/>
      <c r="P4517" s="231"/>
      <c r="Q4517" s="224"/>
    </row>
    <row r="4518" spans="1:17" s="225" customFormat="1" ht="10.5" x14ac:dyDescent="0.25">
      <c r="A4518" s="229"/>
      <c r="B4518" s="232" t="s">
        <v>5</v>
      </c>
      <c r="C4518" s="182" t="s">
        <v>1328</v>
      </c>
      <c r="D4518" s="182"/>
      <c r="E4518" s="182">
        <f>SUM(E4516:E4517)</f>
        <v>375.19999999999993</v>
      </c>
      <c r="F4518" s="182"/>
      <c r="G4518" s="182"/>
      <c r="H4518" s="182"/>
      <c r="I4518" s="182"/>
      <c r="J4518" s="182"/>
      <c r="K4518" s="182"/>
      <c r="L4518" s="182"/>
      <c r="M4518" s="182"/>
      <c r="N4518" s="182"/>
      <c r="O4518" s="182"/>
      <c r="P4518" s="233"/>
      <c r="Q4518" s="224"/>
    </row>
    <row r="4519" spans="1:17" s="228" customFormat="1" ht="10.5" x14ac:dyDescent="0.25">
      <c r="A4519" s="226" t="str">
        <f>ORÇAMENTO!A837</f>
        <v>7.1.2.5</v>
      </c>
      <c r="B4519" s="227" t="str">
        <f>VLOOKUP(A4519,ORÇAMENTO!A:K,4,0)</f>
        <v>FORNECIMENTO DE TUBOS</v>
      </c>
      <c r="C4519" s="173"/>
      <c r="D4519" s="173"/>
      <c r="E4519" s="173"/>
      <c r="F4519" s="173"/>
      <c r="G4519" s="173"/>
      <c r="H4519" s="173"/>
      <c r="I4519" s="173"/>
      <c r="J4519" s="173"/>
      <c r="K4519" s="173"/>
      <c r="L4519" s="173"/>
      <c r="M4519" s="173"/>
      <c r="N4519" s="173"/>
      <c r="O4519" s="173"/>
      <c r="P4519" s="224"/>
      <c r="Q4519" s="224"/>
    </row>
    <row r="4520" spans="1:17" s="228" customFormat="1" ht="42" x14ac:dyDescent="0.25">
      <c r="A4520" s="226" t="str">
        <f>ORÇAMENTO!A838</f>
        <v>7.1.2.5.1</v>
      </c>
      <c r="B4520" s="227" t="str">
        <f>VLOOKUP(A4520,ORÇAMENTO!A:K,4,0)</f>
        <v>TRANSPORTE COM CAMINHÃO CARROCERIA COM GUINDAUTO (MUNCK),  MOMENTO MÁXIMO DE CARGA 11,7 TM, EM VIA URBANA PAVIMENTADA, DMT ATÉ 30KM (UNIDADE: TXKM). AF_07/2020</v>
      </c>
      <c r="C4520" s="173" t="str">
        <f>VLOOKUP(A4520,ORÇAMENTO!A:K,5,0)</f>
        <v>TXKM</v>
      </c>
      <c r="D4520" s="173">
        <f>SUM(E4523:O4523)</f>
        <v>66324.584599999987</v>
      </c>
      <c r="E4520" s="173" t="s">
        <v>1749</v>
      </c>
      <c r="F4520" s="173" t="s">
        <v>1719</v>
      </c>
      <c r="G4520" s="173" t="s">
        <v>1720</v>
      </c>
      <c r="H4520" s="173" t="s">
        <v>1721</v>
      </c>
      <c r="I4520" s="173" t="s">
        <v>1722</v>
      </c>
      <c r="J4520" s="173" t="s">
        <v>1723</v>
      </c>
      <c r="K4520" s="173" t="s">
        <v>1746</v>
      </c>
      <c r="L4520" s="173" t="s">
        <v>1799</v>
      </c>
      <c r="M4520" s="173" t="s">
        <v>1730</v>
      </c>
      <c r="N4520" s="173" t="s">
        <v>1727</v>
      </c>
      <c r="O4520" s="173" t="s">
        <v>1728</v>
      </c>
      <c r="P4520" s="224"/>
      <c r="Q4520" s="224"/>
    </row>
    <row r="4521" spans="1:17" s="225" customFormat="1" ht="21" x14ac:dyDescent="0.25">
      <c r="A4521" s="229"/>
      <c r="B4521" s="232" t="s">
        <v>1800</v>
      </c>
      <c r="C4521" s="184"/>
      <c r="D4521" s="185"/>
      <c r="E4521" s="185">
        <v>40</v>
      </c>
      <c r="F4521" s="185"/>
      <c r="G4521" s="185"/>
      <c r="H4521" s="185"/>
      <c r="I4521" s="185"/>
      <c r="J4521" s="185"/>
      <c r="K4521" s="185">
        <f>K4527+K4539+K4551+K4563+K4575</f>
        <v>1658.1146149999997</v>
      </c>
      <c r="L4521" s="185"/>
      <c r="M4521" s="185">
        <f>K4521*E4521</f>
        <v>66324.584599999987</v>
      </c>
      <c r="N4521" s="185"/>
      <c r="O4521" s="185"/>
      <c r="P4521" s="224"/>
      <c r="Q4521" s="224"/>
    </row>
    <row r="4522" spans="1:17" s="225" customFormat="1" ht="10.5" x14ac:dyDescent="0.25">
      <c r="A4522" s="229"/>
      <c r="B4522" s="230"/>
      <c r="C4522" s="184"/>
      <c r="D4522" s="185"/>
      <c r="E4522" s="185"/>
      <c r="F4522" s="185"/>
      <c r="G4522" s="185"/>
      <c r="H4522" s="185"/>
      <c r="I4522" s="185"/>
      <c r="J4522" s="185"/>
      <c r="K4522" s="185"/>
      <c r="L4522" s="185"/>
      <c r="M4522" s="185"/>
      <c r="N4522" s="185"/>
      <c r="O4522" s="185"/>
      <c r="P4522" s="231"/>
      <c r="Q4522" s="224"/>
    </row>
    <row r="4523" spans="1:17" s="225" customFormat="1" ht="10.5" x14ac:dyDescent="0.25">
      <c r="A4523" s="229"/>
      <c r="B4523" s="232" t="s">
        <v>5</v>
      </c>
      <c r="C4523" s="182" t="s">
        <v>1328</v>
      </c>
      <c r="D4523" s="182"/>
      <c r="E4523" s="182"/>
      <c r="F4523" s="182"/>
      <c r="G4523" s="182"/>
      <c r="H4523" s="182"/>
      <c r="I4523" s="182"/>
      <c r="J4523" s="182"/>
      <c r="K4523" s="182"/>
      <c r="L4523" s="182"/>
      <c r="M4523" s="182">
        <f>SUM(M4521:M4522)</f>
        <v>66324.584599999987</v>
      </c>
      <c r="N4523" s="182"/>
      <c r="O4523" s="182">
        <f>SUM(O4522:O4522)</f>
        <v>0</v>
      </c>
      <c r="P4523" s="233"/>
      <c r="Q4523" s="224"/>
    </row>
    <row r="4524" spans="1:17" s="228" customFormat="1" ht="42" x14ac:dyDescent="0.25">
      <c r="A4524" s="226" t="str">
        <f>ORÇAMENTO!A839</f>
        <v>7.1.2.5.2</v>
      </c>
      <c r="B4524" s="227" t="str">
        <f>VLOOKUP(A4524,ORÇAMENTO!A:K,4,0)</f>
        <v>CARGA, MANOBRA E DESCARGA DE TUBOS DE CONCRETO, DN 600 MM, EM CAMINHÃO CARROCERIA COM GUINDAUTO (MUNCK) 11,7 TM. AF_07/2020</v>
      </c>
      <c r="C4524" s="173" t="str">
        <f>VLOOKUP(A4524,ORÇAMENTO!A:K,5,0)</f>
        <v>T</v>
      </c>
      <c r="D4524" s="173">
        <f>SUM(E4527:O4527)</f>
        <v>61.124800000000008</v>
      </c>
      <c r="E4524" s="173" t="s">
        <v>1718</v>
      </c>
      <c r="F4524" s="173" t="s">
        <v>1719</v>
      </c>
      <c r="G4524" s="173" t="s">
        <v>1720</v>
      </c>
      <c r="H4524" s="173" t="s">
        <v>1721</v>
      </c>
      <c r="I4524" s="173" t="s">
        <v>1722</v>
      </c>
      <c r="J4524" s="173" t="s">
        <v>1723</v>
      </c>
      <c r="K4524" s="173" t="s">
        <v>1746</v>
      </c>
      <c r="L4524" s="173" t="s">
        <v>1799</v>
      </c>
      <c r="M4524" s="173" t="s">
        <v>1730</v>
      </c>
      <c r="N4524" s="173" t="s">
        <v>1727</v>
      </c>
      <c r="O4524" s="173" t="s">
        <v>1728</v>
      </c>
      <c r="P4524" s="224"/>
      <c r="Q4524" s="224"/>
    </row>
    <row r="4525" spans="1:17" s="225" customFormat="1" ht="31.5" x14ac:dyDescent="0.25">
      <c r="A4525" s="229"/>
      <c r="B4525" s="232" t="s">
        <v>1801</v>
      </c>
      <c r="C4525" s="184"/>
      <c r="D4525" s="185"/>
      <c r="E4525" s="185">
        <f>E4529+E4533</f>
        <v>138.92000000000002</v>
      </c>
      <c r="F4525" s="185"/>
      <c r="G4525" s="185"/>
      <c r="H4525" s="185"/>
      <c r="I4525" s="185"/>
      <c r="J4525" s="185"/>
      <c r="K4525" s="185">
        <f>L4525*E4525</f>
        <v>61.124800000000008</v>
      </c>
      <c r="L4525" s="185">
        <v>0.44</v>
      </c>
      <c r="M4525" s="185"/>
      <c r="N4525" s="185"/>
      <c r="O4525" s="185"/>
      <c r="P4525" s="224"/>
      <c r="Q4525" s="224"/>
    </row>
    <row r="4526" spans="1:17" s="225" customFormat="1" ht="10.5" x14ac:dyDescent="0.25">
      <c r="A4526" s="229"/>
      <c r="B4526" s="230"/>
      <c r="C4526" s="184"/>
      <c r="D4526" s="185"/>
      <c r="E4526" s="185"/>
      <c r="F4526" s="185"/>
      <c r="G4526" s="185"/>
      <c r="H4526" s="185"/>
      <c r="I4526" s="185"/>
      <c r="J4526" s="185"/>
      <c r="K4526" s="185"/>
      <c r="L4526" s="185"/>
      <c r="M4526" s="185"/>
      <c r="N4526" s="185"/>
      <c r="O4526" s="185"/>
      <c r="P4526" s="231"/>
      <c r="Q4526" s="224"/>
    </row>
    <row r="4527" spans="1:17" s="225" customFormat="1" ht="10.5" x14ac:dyDescent="0.25">
      <c r="A4527" s="229"/>
      <c r="B4527" s="232" t="s">
        <v>5</v>
      </c>
      <c r="C4527" s="182" t="s">
        <v>1328</v>
      </c>
      <c r="D4527" s="182"/>
      <c r="E4527" s="182"/>
      <c r="F4527" s="182"/>
      <c r="G4527" s="182"/>
      <c r="H4527" s="182"/>
      <c r="I4527" s="182"/>
      <c r="J4527" s="182"/>
      <c r="K4527" s="182">
        <f>SUM(K4525:K4526)</f>
        <v>61.124800000000008</v>
      </c>
      <c r="L4527" s="182"/>
      <c r="M4527" s="182"/>
      <c r="N4527" s="182"/>
      <c r="O4527" s="182">
        <f>SUM(O4526:O4526)</f>
        <v>0</v>
      </c>
      <c r="P4527" s="233"/>
      <c r="Q4527" s="224"/>
    </row>
    <row r="4528" spans="1:17" s="228" customFormat="1" ht="31.5" x14ac:dyDescent="0.25">
      <c r="A4528" s="226" t="str">
        <f>ORÇAMENTO!A840</f>
        <v>7.1.2.5.3</v>
      </c>
      <c r="B4528" s="227" t="str">
        <f>VLOOKUP(A4528,ORÇAMENTO!A:K,4,0)</f>
        <v>TUBO DE CONCRETO ARMADO PARA AGUAS PLUVIAIS, CLASSE PA-1, COM ENCAIXE PONTA E BOLSA, DIAMETRO NOMINAL DE = 600 MM</v>
      </c>
      <c r="C4528" s="173" t="str">
        <f>VLOOKUP(A4528,ORÇAMENTO!A:K,5,0)</f>
        <v>M</v>
      </c>
      <c r="D4528" s="173">
        <f>SUM(E4531:O4531)</f>
        <v>71.260000000000005</v>
      </c>
      <c r="E4528" s="173" t="s">
        <v>1718</v>
      </c>
      <c r="F4528" s="173" t="s">
        <v>1719</v>
      </c>
      <c r="G4528" s="173" t="s">
        <v>1720</v>
      </c>
      <c r="H4528" s="173" t="s">
        <v>1721</v>
      </c>
      <c r="I4528" s="173" t="s">
        <v>1722</v>
      </c>
      <c r="J4528" s="173" t="s">
        <v>1723</v>
      </c>
      <c r="K4528" s="173" t="s">
        <v>1746</v>
      </c>
      <c r="L4528" s="173" t="s">
        <v>1799</v>
      </c>
      <c r="M4528" s="173" t="s">
        <v>1730</v>
      </c>
      <c r="N4528" s="173" t="s">
        <v>1727</v>
      </c>
      <c r="O4528" s="173" t="s">
        <v>1728</v>
      </c>
      <c r="P4528" s="224"/>
      <c r="Q4528" s="224"/>
    </row>
    <row r="4529" spans="1:17" s="225" customFormat="1" ht="10.5" x14ac:dyDescent="0.25">
      <c r="A4529" s="229"/>
      <c r="B4529" s="232"/>
      <c r="C4529" s="177"/>
      <c r="D4529" s="178"/>
      <c r="E4529" s="178">
        <f>Quantitativos!BU194</f>
        <v>71.260000000000005</v>
      </c>
      <c r="F4529" s="178"/>
      <c r="G4529" s="178"/>
      <c r="H4529" s="178"/>
      <c r="I4529" s="178"/>
      <c r="J4529" s="178"/>
      <c r="K4529" s="178"/>
      <c r="L4529" s="178"/>
      <c r="M4529" s="178"/>
      <c r="N4529" s="178"/>
      <c r="O4529" s="178"/>
      <c r="P4529" s="224"/>
      <c r="Q4529" s="224"/>
    </row>
    <row r="4530" spans="1:17" s="225" customFormat="1" ht="10.5" x14ac:dyDescent="0.25">
      <c r="A4530" s="229"/>
      <c r="B4530" s="230"/>
      <c r="C4530" s="177"/>
      <c r="D4530" s="178"/>
      <c r="E4530" s="178"/>
      <c r="F4530" s="178"/>
      <c r="G4530" s="178"/>
      <c r="H4530" s="178"/>
      <c r="I4530" s="178"/>
      <c r="J4530" s="178"/>
      <c r="K4530" s="178"/>
      <c r="L4530" s="178"/>
      <c r="M4530" s="178"/>
      <c r="N4530" s="178"/>
      <c r="O4530" s="178"/>
      <c r="P4530" s="231"/>
      <c r="Q4530" s="224"/>
    </row>
    <row r="4531" spans="1:17" s="225" customFormat="1" ht="10.5" x14ac:dyDescent="0.25">
      <c r="A4531" s="229"/>
      <c r="B4531" s="232" t="s">
        <v>5</v>
      </c>
      <c r="C4531" s="182" t="s">
        <v>1328</v>
      </c>
      <c r="D4531" s="182"/>
      <c r="E4531" s="182">
        <f>SUM(E4529:E4530)</f>
        <v>71.260000000000005</v>
      </c>
      <c r="F4531" s="182"/>
      <c r="G4531" s="182"/>
      <c r="H4531" s="182"/>
      <c r="I4531" s="182"/>
      <c r="J4531" s="182"/>
      <c r="K4531" s="182"/>
      <c r="L4531" s="182"/>
      <c r="M4531" s="182"/>
      <c r="N4531" s="182"/>
      <c r="O4531" s="182"/>
      <c r="P4531" s="233"/>
      <c r="Q4531" s="224"/>
    </row>
    <row r="4532" spans="1:17" s="228" customFormat="1" ht="31.5" x14ac:dyDescent="0.25">
      <c r="A4532" s="226" t="str">
        <f>ORÇAMENTO!A841</f>
        <v>7.1.2.5.4</v>
      </c>
      <c r="B4532" s="227" t="str">
        <f>VLOOKUP(A4532,ORÇAMENTO!A:K,4,0)</f>
        <v>TUBO DE CONCRETO ARMADO PARA AGUAS PLUVIAIS, CLASSE PA-2, COM ENCAIXE PONTA E BOLSA, DIAMETRO NOMINAL DE 600 MM</v>
      </c>
      <c r="C4532" s="173" t="str">
        <f>VLOOKUP(A4532,ORÇAMENTO!A:K,5,0)</f>
        <v>M</v>
      </c>
      <c r="D4532" s="173">
        <f>SUM(E4535:O4535)</f>
        <v>67.66</v>
      </c>
      <c r="E4532" s="173" t="s">
        <v>1718</v>
      </c>
      <c r="F4532" s="173" t="s">
        <v>1719</v>
      </c>
      <c r="G4532" s="173" t="s">
        <v>1720</v>
      </c>
      <c r="H4532" s="173" t="s">
        <v>1721</v>
      </c>
      <c r="I4532" s="173" t="s">
        <v>1722</v>
      </c>
      <c r="J4532" s="173" t="s">
        <v>1723</v>
      </c>
      <c r="K4532" s="173" t="s">
        <v>1746</v>
      </c>
      <c r="L4532" s="173" t="s">
        <v>1799</v>
      </c>
      <c r="M4532" s="173" t="s">
        <v>1730</v>
      </c>
      <c r="N4532" s="173" t="s">
        <v>1727</v>
      </c>
      <c r="O4532" s="173" t="s">
        <v>1728</v>
      </c>
      <c r="P4532" s="224"/>
      <c r="Q4532" s="224"/>
    </row>
    <row r="4533" spans="1:17" s="225" customFormat="1" ht="10.5" x14ac:dyDescent="0.25">
      <c r="A4533" s="229"/>
      <c r="B4533" s="232"/>
      <c r="C4533" s="177"/>
      <c r="D4533" s="178"/>
      <c r="E4533" s="178">
        <f>Quantitativos!BV194</f>
        <v>67.66</v>
      </c>
      <c r="F4533" s="178"/>
      <c r="G4533" s="178"/>
      <c r="H4533" s="178"/>
      <c r="I4533" s="178"/>
      <c r="J4533" s="178"/>
      <c r="K4533" s="178"/>
      <c r="L4533" s="178"/>
      <c r="M4533" s="178"/>
      <c r="N4533" s="178"/>
      <c r="O4533" s="178"/>
      <c r="P4533" s="224"/>
      <c r="Q4533" s="224"/>
    </row>
    <row r="4534" spans="1:17" s="225" customFormat="1" ht="10.5" x14ac:dyDescent="0.25">
      <c r="A4534" s="229"/>
      <c r="B4534" s="230"/>
      <c r="C4534" s="177"/>
      <c r="D4534" s="178"/>
      <c r="E4534" s="178"/>
      <c r="F4534" s="178"/>
      <c r="G4534" s="178"/>
      <c r="H4534" s="178"/>
      <c r="I4534" s="178"/>
      <c r="J4534" s="178"/>
      <c r="K4534" s="178"/>
      <c r="L4534" s="178"/>
      <c r="M4534" s="178"/>
      <c r="N4534" s="178"/>
      <c r="O4534" s="178"/>
      <c r="P4534" s="231"/>
      <c r="Q4534" s="224"/>
    </row>
    <row r="4535" spans="1:17" s="225" customFormat="1" ht="10.5" x14ac:dyDescent="0.25">
      <c r="A4535" s="229"/>
      <c r="B4535" s="232" t="s">
        <v>5</v>
      </c>
      <c r="C4535" s="182" t="s">
        <v>1328</v>
      </c>
      <c r="D4535" s="182"/>
      <c r="E4535" s="182">
        <f>SUM(E4533:E4534)</f>
        <v>67.66</v>
      </c>
      <c r="F4535" s="182"/>
      <c r="G4535" s="182"/>
      <c r="H4535" s="182"/>
      <c r="I4535" s="182"/>
      <c r="J4535" s="182"/>
      <c r="K4535" s="182"/>
      <c r="L4535" s="182"/>
      <c r="M4535" s="182"/>
      <c r="N4535" s="182"/>
      <c r="O4535" s="182"/>
      <c r="P4535" s="233"/>
      <c r="Q4535" s="224"/>
    </row>
    <row r="4536" spans="1:17" s="228" customFormat="1" ht="42" x14ac:dyDescent="0.25">
      <c r="A4536" s="226" t="str">
        <f>ORÇAMENTO!A842</f>
        <v>7.1.2.5.5</v>
      </c>
      <c r="B4536" s="227" t="str">
        <f>VLOOKUP(A4536,ORÇAMENTO!A:K,4,0)</f>
        <v>CARGA, MANOBRA E DESCARGA DE TUBOS DE CONCRETO, DN 800 MM, EM CAMINHÃO CARROCERIA COM GUINDAUTO (MUNCK) 11,7 TM. AF_07/2020</v>
      </c>
      <c r="C4536" s="173" t="str">
        <f>VLOOKUP(A4536,ORÇAMENTO!A:K,5,0)</f>
        <v>T</v>
      </c>
      <c r="D4536" s="173">
        <f>SUM(E4539:O4539)</f>
        <v>98.195999999999998</v>
      </c>
      <c r="E4536" s="173" t="s">
        <v>1718</v>
      </c>
      <c r="F4536" s="173" t="s">
        <v>1719</v>
      </c>
      <c r="G4536" s="173" t="s">
        <v>1720</v>
      </c>
      <c r="H4536" s="173" t="s">
        <v>1721</v>
      </c>
      <c r="I4536" s="173" t="s">
        <v>1722</v>
      </c>
      <c r="J4536" s="173" t="s">
        <v>1723</v>
      </c>
      <c r="K4536" s="173" t="s">
        <v>1746</v>
      </c>
      <c r="L4536" s="173" t="s">
        <v>1799</v>
      </c>
      <c r="M4536" s="173" t="s">
        <v>1730</v>
      </c>
      <c r="N4536" s="173" t="s">
        <v>1727</v>
      </c>
      <c r="O4536" s="173" t="s">
        <v>1728</v>
      </c>
      <c r="P4536" s="224"/>
      <c r="Q4536" s="224"/>
    </row>
    <row r="4537" spans="1:17" s="225" customFormat="1" ht="31.5" x14ac:dyDescent="0.25">
      <c r="A4537" s="229"/>
      <c r="B4537" s="232" t="s">
        <v>1801</v>
      </c>
      <c r="C4537" s="184"/>
      <c r="D4537" s="185"/>
      <c r="E4537" s="185">
        <f>E4541+E4545</f>
        <v>140.28</v>
      </c>
      <c r="F4537" s="185"/>
      <c r="G4537" s="185"/>
      <c r="H4537" s="185"/>
      <c r="I4537" s="185"/>
      <c r="J4537" s="185"/>
      <c r="K4537" s="185">
        <f>L4537*E4537</f>
        <v>98.195999999999998</v>
      </c>
      <c r="L4537" s="185">
        <v>0.7</v>
      </c>
      <c r="M4537" s="185"/>
      <c r="N4537" s="185"/>
      <c r="O4537" s="185"/>
      <c r="P4537" s="224"/>
      <c r="Q4537" s="224"/>
    </row>
    <row r="4538" spans="1:17" s="225" customFormat="1" ht="10.5" x14ac:dyDescent="0.25">
      <c r="A4538" s="229"/>
      <c r="B4538" s="230"/>
      <c r="C4538" s="184"/>
      <c r="D4538" s="185"/>
      <c r="E4538" s="185"/>
      <c r="F4538" s="185"/>
      <c r="G4538" s="185"/>
      <c r="H4538" s="185"/>
      <c r="I4538" s="185"/>
      <c r="J4538" s="185"/>
      <c r="K4538" s="185"/>
      <c r="L4538" s="185"/>
      <c r="M4538" s="185"/>
      <c r="N4538" s="185"/>
      <c r="O4538" s="185"/>
      <c r="P4538" s="231"/>
      <c r="Q4538" s="224"/>
    </row>
    <row r="4539" spans="1:17" s="225" customFormat="1" ht="10.5" x14ac:dyDescent="0.25">
      <c r="A4539" s="229"/>
      <c r="B4539" s="232" t="s">
        <v>5</v>
      </c>
      <c r="C4539" s="182" t="s">
        <v>1328</v>
      </c>
      <c r="D4539" s="182"/>
      <c r="E4539" s="182"/>
      <c r="F4539" s="182"/>
      <c r="G4539" s="182"/>
      <c r="H4539" s="182"/>
      <c r="I4539" s="182"/>
      <c r="J4539" s="182"/>
      <c r="K4539" s="182">
        <f>SUM(K4537:K4538)</f>
        <v>98.195999999999998</v>
      </c>
      <c r="L4539" s="182"/>
      <c r="M4539" s="182"/>
      <c r="N4539" s="182"/>
      <c r="O4539" s="182"/>
      <c r="P4539" s="233"/>
      <c r="Q4539" s="224"/>
    </row>
    <row r="4540" spans="1:17" s="228" customFormat="1" ht="31.5" x14ac:dyDescent="0.25">
      <c r="A4540" s="226" t="str">
        <f>ORÇAMENTO!A843</f>
        <v>7.1.2.5.6</v>
      </c>
      <c r="B4540" s="227" t="str">
        <f>VLOOKUP(A4540,ORÇAMENTO!A:K,4,0)</f>
        <v>TUBO DE CONCRETO ARMADO PARA AGUAS PLUVIAIS, CLASSE PA-1, COM ENCAIXE PONTA E BOLSA, DIAMETRO NOMINAL DE 800 MM</v>
      </c>
      <c r="C4540" s="173" t="str">
        <f>VLOOKUP(A4540,ORÇAMENTO!A:K,5,0)</f>
        <v>M</v>
      </c>
      <c r="D4540" s="173">
        <f>SUM(E4543:O4543)</f>
        <v>73.400000000000006</v>
      </c>
      <c r="E4540" s="173" t="s">
        <v>1718</v>
      </c>
      <c r="F4540" s="173" t="s">
        <v>1719</v>
      </c>
      <c r="G4540" s="173" t="s">
        <v>1720</v>
      </c>
      <c r="H4540" s="173" t="s">
        <v>1721</v>
      </c>
      <c r="I4540" s="173" t="s">
        <v>1722</v>
      </c>
      <c r="J4540" s="173" t="s">
        <v>1723</v>
      </c>
      <c r="K4540" s="173" t="s">
        <v>1724</v>
      </c>
      <c r="L4540" s="173" t="s">
        <v>1753</v>
      </c>
      <c r="M4540" s="173" t="s">
        <v>1730</v>
      </c>
      <c r="N4540" s="173" t="s">
        <v>1727</v>
      </c>
      <c r="O4540" s="173" t="s">
        <v>1728</v>
      </c>
      <c r="P4540" s="224"/>
      <c r="Q4540" s="224"/>
    </row>
    <row r="4541" spans="1:17" s="225" customFormat="1" ht="10.5" x14ac:dyDescent="0.25">
      <c r="A4541" s="229"/>
      <c r="B4541" s="232"/>
      <c r="C4541" s="184"/>
      <c r="D4541" s="185"/>
      <c r="E4541" s="185">
        <f>Quantitativos!BY194</f>
        <v>73.400000000000006</v>
      </c>
      <c r="F4541" s="185"/>
      <c r="G4541" s="185"/>
      <c r="H4541" s="185"/>
      <c r="I4541" s="185"/>
      <c r="J4541" s="185"/>
      <c r="K4541" s="185"/>
      <c r="L4541" s="185"/>
      <c r="M4541" s="185"/>
      <c r="N4541" s="185"/>
      <c r="O4541" s="185"/>
      <c r="P4541" s="224"/>
      <c r="Q4541" s="224"/>
    </row>
    <row r="4542" spans="1:17" s="225" customFormat="1" ht="10.5" x14ac:dyDescent="0.25">
      <c r="A4542" s="229"/>
      <c r="B4542" s="230"/>
      <c r="C4542" s="184"/>
      <c r="D4542" s="185"/>
      <c r="E4542" s="185"/>
      <c r="F4542" s="185"/>
      <c r="G4542" s="185"/>
      <c r="H4542" s="185"/>
      <c r="I4542" s="185"/>
      <c r="J4542" s="185"/>
      <c r="K4542" s="185"/>
      <c r="L4542" s="185"/>
      <c r="M4542" s="185"/>
      <c r="N4542" s="185"/>
      <c r="O4542" s="185"/>
      <c r="P4542" s="231"/>
      <c r="Q4542" s="224"/>
    </row>
    <row r="4543" spans="1:17" s="225" customFormat="1" ht="10.5" x14ac:dyDescent="0.25">
      <c r="A4543" s="229"/>
      <c r="B4543" s="232" t="s">
        <v>5</v>
      </c>
      <c r="C4543" s="182" t="s">
        <v>1328</v>
      </c>
      <c r="D4543" s="182"/>
      <c r="E4543" s="182">
        <f>SUM(E4541:E4542)</f>
        <v>73.400000000000006</v>
      </c>
      <c r="F4543" s="182"/>
      <c r="G4543" s="182"/>
      <c r="H4543" s="182"/>
      <c r="I4543" s="182"/>
      <c r="J4543" s="182"/>
      <c r="K4543" s="182"/>
      <c r="L4543" s="182"/>
      <c r="M4543" s="182"/>
      <c r="N4543" s="182"/>
      <c r="O4543" s="182"/>
      <c r="P4543" s="233"/>
      <c r="Q4543" s="224"/>
    </row>
    <row r="4544" spans="1:17" s="228" customFormat="1" ht="31.5" x14ac:dyDescent="0.25">
      <c r="A4544" s="226" t="str">
        <f>ORÇAMENTO!A844</f>
        <v>7.1.2.5.7</v>
      </c>
      <c r="B4544" s="227" t="str">
        <f>VLOOKUP(A4544,ORÇAMENTO!A:K,4,0)</f>
        <v>TUBO DE CONCRETO ARMADO PARA AGUAS PLUVIAIS, CLASSE PA-2, COM ENCAIXE PONTA E BOLSA, DIAMETRO NOMINAL DE 800 MM</v>
      </c>
      <c r="C4544" s="173" t="str">
        <f>VLOOKUP(A4544,ORÇAMENTO!A:K,5,0)</f>
        <v>M</v>
      </c>
      <c r="D4544" s="173">
        <f>SUM(E4547:O4547)</f>
        <v>66.88</v>
      </c>
      <c r="E4544" s="173" t="s">
        <v>1718</v>
      </c>
      <c r="F4544" s="173" t="s">
        <v>1719</v>
      </c>
      <c r="G4544" s="173" t="s">
        <v>1720</v>
      </c>
      <c r="H4544" s="173" t="s">
        <v>1721</v>
      </c>
      <c r="I4544" s="173" t="s">
        <v>1722</v>
      </c>
      <c r="J4544" s="173" t="s">
        <v>1723</v>
      </c>
      <c r="K4544" s="173" t="s">
        <v>1724</v>
      </c>
      <c r="L4544" s="173" t="s">
        <v>1753</v>
      </c>
      <c r="M4544" s="173" t="s">
        <v>1730</v>
      </c>
      <c r="N4544" s="173" t="s">
        <v>1727</v>
      </c>
      <c r="O4544" s="173" t="s">
        <v>1728</v>
      </c>
      <c r="P4544" s="224"/>
      <c r="Q4544" s="224"/>
    </row>
    <row r="4545" spans="1:17" s="225" customFormat="1" ht="10.5" x14ac:dyDescent="0.25">
      <c r="A4545" s="229"/>
      <c r="B4545" s="232"/>
      <c r="C4545" s="184"/>
      <c r="D4545" s="185"/>
      <c r="E4545" s="185">
        <f>Quantitativos!BZ194</f>
        <v>66.88</v>
      </c>
      <c r="F4545" s="185"/>
      <c r="G4545" s="185"/>
      <c r="H4545" s="185"/>
      <c r="I4545" s="185"/>
      <c r="J4545" s="185"/>
      <c r="K4545" s="185"/>
      <c r="L4545" s="185"/>
      <c r="M4545" s="185"/>
      <c r="N4545" s="185"/>
      <c r="O4545" s="185"/>
      <c r="P4545" s="224"/>
      <c r="Q4545" s="224"/>
    </row>
    <row r="4546" spans="1:17" s="225" customFormat="1" ht="10.5" x14ac:dyDescent="0.25">
      <c r="A4546" s="229"/>
      <c r="B4546" s="230"/>
      <c r="C4546" s="184"/>
      <c r="D4546" s="185"/>
      <c r="E4546" s="185"/>
      <c r="F4546" s="185"/>
      <c r="G4546" s="185"/>
      <c r="H4546" s="185"/>
      <c r="I4546" s="185"/>
      <c r="J4546" s="185"/>
      <c r="K4546" s="185"/>
      <c r="L4546" s="185"/>
      <c r="M4546" s="185"/>
      <c r="N4546" s="185"/>
      <c r="O4546" s="185"/>
      <c r="P4546" s="231"/>
      <c r="Q4546" s="224"/>
    </row>
    <row r="4547" spans="1:17" s="225" customFormat="1" ht="10.5" x14ac:dyDescent="0.25">
      <c r="A4547" s="229"/>
      <c r="B4547" s="232" t="s">
        <v>5</v>
      </c>
      <c r="C4547" s="182" t="s">
        <v>1328</v>
      </c>
      <c r="D4547" s="182"/>
      <c r="E4547" s="182">
        <f>SUM(E4545:E4546)</f>
        <v>66.88</v>
      </c>
      <c r="F4547" s="182"/>
      <c r="G4547" s="182"/>
      <c r="H4547" s="182"/>
      <c r="I4547" s="182"/>
      <c r="J4547" s="182"/>
      <c r="K4547" s="182"/>
      <c r="L4547" s="182"/>
      <c r="M4547" s="182"/>
      <c r="N4547" s="182"/>
      <c r="O4547" s="182"/>
      <c r="P4547" s="233"/>
      <c r="Q4547" s="224"/>
    </row>
    <row r="4548" spans="1:17" s="228" customFormat="1" ht="42" x14ac:dyDescent="0.25">
      <c r="A4548" s="226" t="str">
        <f>ORÇAMENTO!A845</f>
        <v>7.1.2.5.8</v>
      </c>
      <c r="B4548" s="227" t="str">
        <f>VLOOKUP(A4548,ORÇAMENTO!A:K,4,0)</f>
        <v>CARGA, MANOBRA E DESCARGA DE TUBOS DE CONCRETO, DN 1000 MM, EM CAMINHÃO CARROCERIA COM GUINDAUTO (MUNCK) 11,7 TM. AF_07/2020</v>
      </c>
      <c r="C4548" s="173" t="str">
        <f>VLOOKUP(A4548,ORÇAMENTO!A:K,5,0)</f>
        <v>T</v>
      </c>
      <c r="D4548" s="173">
        <f>SUM(E4551:O4551)</f>
        <v>479.64221499999991</v>
      </c>
      <c r="E4548" s="173" t="s">
        <v>1718</v>
      </c>
      <c r="F4548" s="173" t="s">
        <v>1719</v>
      </c>
      <c r="G4548" s="173" t="s">
        <v>1720</v>
      </c>
      <c r="H4548" s="173" t="s">
        <v>1721</v>
      </c>
      <c r="I4548" s="173" t="s">
        <v>1722</v>
      </c>
      <c r="J4548" s="173" t="s">
        <v>1723</v>
      </c>
      <c r="K4548" s="173" t="s">
        <v>1746</v>
      </c>
      <c r="L4548" s="173" t="s">
        <v>1799</v>
      </c>
      <c r="M4548" s="173" t="s">
        <v>1730</v>
      </c>
      <c r="N4548" s="173" t="s">
        <v>1727</v>
      </c>
      <c r="O4548" s="173" t="s">
        <v>1728</v>
      </c>
      <c r="P4548" s="224"/>
      <c r="Q4548" s="224"/>
    </row>
    <row r="4549" spans="1:17" s="225" customFormat="1" ht="31.5" x14ac:dyDescent="0.25">
      <c r="A4549" s="229"/>
      <c r="B4549" s="232" t="s">
        <v>1801</v>
      </c>
      <c r="C4549" s="184"/>
      <c r="D4549" s="185"/>
      <c r="E4549" s="185">
        <f>E4553+E4557</f>
        <v>476.44999999999993</v>
      </c>
      <c r="F4549" s="185"/>
      <c r="G4549" s="185"/>
      <c r="H4549" s="185"/>
      <c r="I4549" s="185"/>
      <c r="J4549" s="185"/>
      <c r="K4549" s="185">
        <f>L4549*E4549</f>
        <v>479.64221499999991</v>
      </c>
      <c r="L4549" s="185">
        <v>1.0066999999999999</v>
      </c>
      <c r="M4549" s="185"/>
      <c r="N4549" s="185"/>
      <c r="O4549" s="185"/>
      <c r="P4549" s="224"/>
      <c r="Q4549" s="224"/>
    </row>
    <row r="4550" spans="1:17" s="225" customFormat="1" ht="10.5" x14ac:dyDescent="0.25">
      <c r="A4550" s="229"/>
      <c r="B4550" s="230"/>
      <c r="C4550" s="184"/>
      <c r="D4550" s="185"/>
      <c r="E4550" s="185"/>
      <c r="F4550" s="185"/>
      <c r="G4550" s="185"/>
      <c r="H4550" s="185"/>
      <c r="I4550" s="185"/>
      <c r="J4550" s="185"/>
      <c r="K4550" s="185"/>
      <c r="L4550" s="185"/>
      <c r="M4550" s="185"/>
      <c r="N4550" s="185"/>
      <c r="O4550" s="185"/>
      <c r="P4550" s="231"/>
      <c r="Q4550" s="224"/>
    </row>
    <row r="4551" spans="1:17" s="225" customFormat="1" ht="10.5" x14ac:dyDescent="0.25">
      <c r="A4551" s="229"/>
      <c r="B4551" s="232" t="s">
        <v>5</v>
      </c>
      <c r="C4551" s="182" t="s">
        <v>1328</v>
      </c>
      <c r="D4551" s="182"/>
      <c r="E4551" s="182"/>
      <c r="F4551" s="182"/>
      <c r="G4551" s="182"/>
      <c r="H4551" s="182"/>
      <c r="I4551" s="182"/>
      <c r="J4551" s="182"/>
      <c r="K4551" s="182">
        <f>SUM(K4549:K4550)</f>
        <v>479.64221499999991</v>
      </c>
      <c r="L4551" s="182"/>
      <c r="M4551" s="182"/>
      <c r="N4551" s="182"/>
      <c r="O4551" s="182"/>
      <c r="P4551" s="233"/>
      <c r="Q4551" s="224"/>
    </row>
    <row r="4552" spans="1:17" s="228" customFormat="1" ht="31.5" x14ac:dyDescent="0.25">
      <c r="A4552" s="226" t="str">
        <f>ORÇAMENTO!A846</f>
        <v>7.1.2.5.9</v>
      </c>
      <c r="B4552" s="227" t="str">
        <f>VLOOKUP(A4552,ORÇAMENTO!A:K,4,0)</f>
        <v>TUBO DE CONCRETO ARMADO PARA AGUAS PLUVIAIS, CLASSE PA-1, COM ENCAIXE PONTA E BOLSA, DIAMETRO NOMINAL DE 1000 MM</v>
      </c>
      <c r="C4552" s="173" t="str">
        <f>VLOOKUP(A4552,ORÇAMENTO!A:K,5,0)</f>
        <v>M</v>
      </c>
      <c r="D4552" s="173">
        <f>SUM(E4555:O4555)</f>
        <v>342.56999999999994</v>
      </c>
      <c r="E4552" s="173" t="s">
        <v>1718</v>
      </c>
      <c r="F4552" s="173" t="s">
        <v>1719</v>
      </c>
      <c r="G4552" s="173" t="s">
        <v>1720</v>
      </c>
      <c r="H4552" s="173" t="s">
        <v>1721</v>
      </c>
      <c r="I4552" s="173" t="s">
        <v>1722</v>
      </c>
      <c r="J4552" s="173" t="s">
        <v>1723</v>
      </c>
      <c r="K4552" s="173" t="s">
        <v>1724</v>
      </c>
      <c r="L4552" s="173" t="s">
        <v>1753</v>
      </c>
      <c r="M4552" s="173" t="s">
        <v>1730</v>
      </c>
      <c r="N4552" s="173" t="s">
        <v>1727</v>
      </c>
      <c r="O4552" s="173" t="s">
        <v>1728</v>
      </c>
      <c r="P4552" s="224"/>
      <c r="Q4552" s="224"/>
    </row>
    <row r="4553" spans="1:17" s="225" customFormat="1" ht="10.5" x14ac:dyDescent="0.25">
      <c r="A4553" s="229"/>
      <c r="B4553" s="232"/>
      <c r="C4553" s="184"/>
      <c r="D4553" s="185"/>
      <c r="E4553" s="185">
        <f>Quantitativos!CC194</f>
        <v>342.56999999999994</v>
      </c>
      <c r="F4553" s="185"/>
      <c r="G4553" s="185"/>
      <c r="H4553" s="185"/>
      <c r="I4553" s="185"/>
      <c r="J4553" s="185"/>
      <c r="K4553" s="185"/>
      <c r="L4553" s="185"/>
      <c r="M4553" s="185"/>
      <c r="N4553" s="185"/>
      <c r="O4553" s="185"/>
      <c r="P4553" s="224"/>
      <c r="Q4553" s="224"/>
    </row>
    <row r="4554" spans="1:17" s="225" customFormat="1" ht="10.5" x14ac:dyDescent="0.25">
      <c r="A4554" s="229"/>
      <c r="B4554" s="230"/>
      <c r="C4554" s="184"/>
      <c r="D4554" s="185"/>
      <c r="E4554" s="185"/>
      <c r="F4554" s="185"/>
      <c r="G4554" s="185"/>
      <c r="H4554" s="185"/>
      <c r="I4554" s="185"/>
      <c r="J4554" s="185"/>
      <c r="K4554" s="185"/>
      <c r="L4554" s="185"/>
      <c r="M4554" s="185"/>
      <c r="N4554" s="185"/>
      <c r="O4554" s="185"/>
      <c r="P4554" s="231"/>
      <c r="Q4554" s="224"/>
    </row>
    <row r="4555" spans="1:17" s="225" customFormat="1" ht="10.5" x14ac:dyDescent="0.25">
      <c r="A4555" s="229"/>
      <c r="B4555" s="232" t="s">
        <v>5</v>
      </c>
      <c r="C4555" s="182" t="s">
        <v>1328</v>
      </c>
      <c r="D4555" s="182"/>
      <c r="E4555" s="182">
        <f>SUM(E4553:E4554)</f>
        <v>342.56999999999994</v>
      </c>
      <c r="F4555" s="182"/>
      <c r="G4555" s="182"/>
      <c r="H4555" s="182"/>
      <c r="I4555" s="182"/>
      <c r="J4555" s="182"/>
      <c r="K4555" s="182"/>
      <c r="L4555" s="182"/>
      <c r="M4555" s="182"/>
      <c r="N4555" s="182"/>
      <c r="O4555" s="182"/>
      <c r="P4555" s="233"/>
      <c r="Q4555" s="224"/>
    </row>
    <row r="4556" spans="1:17" s="228" customFormat="1" ht="31.5" x14ac:dyDescent="0.25">
      <c r="A4556" s="226" t="str">
        <f>ORÇAMENTO!A847</f>
        <v>7.1.2.5.10</v>
      </c>
      <c r="B4556" s="227" t="str">
        <f>VLOOKUP(A4556,ORÇAMENTO!A:K,4,0)</f>
        <v>TUBO DE CONCRETO ARMADO PARA AGUAS PLUVIAIS, CLASSE PA-2, COM ENCAIXE PONTA E BOLSA, DIAMETRO NOMINAL DE 1000 MM</v>
      </c>
      <c r="C4556" s="173" t="str">
        <f>VLOOKUP(A4556,ORÇAMENTO!A:K,5,0)</f>
        <v>M</v>
      </c>
      <c r="D4556" s="173">
        <f>SUM(E4559:O4559)</f>
        <v>133.88</v>
      </c>
      <c r="E4556" s="173" t="s">
        <v>1718</v>
      </c>
      <c r="F4556" s="173" t="s">
        <v>1719</v>
      </c>
      <c r="G4556" s="173" t="s">
        <v>1720</v>
      </c>
      <c r="H4556" s="173" t="s">
        <v>1721</v>
      </c>
      <c r="I4556" s="173" t="s">
        <v>1722</v>
      </c>
      <c r="J4556" s="173" t="s">
        <v>1723</v>
      </c>
      <c r="K4556" s="173" t="s">
        <v>1724</v>
      </c>
      <c r="L4556" s="173" t="s">
        <v>1753</v>
      </c>
      <c r="M4556" s="173" t="s">
        <v>1730</v>
      </c>
      <c r="N4556" s="173" t="s">
        <v>1727</v>
      </c>
      <c r="O4556" s="173" t="s">
        <v>1728</v>
      </c>
      <c r="P4556" s="224"/>
      <c r="Q4556" s="224"/>
    </row>
    <row r="4557" spans="1:17" s="225" customFormat="1" ht="10.5" x14ac:dyDescent="0.25">
      <c r="A4557" s="229"/>
      <c r="B4557" s="232"/>
      <c r="C4557" s="184"/>
      <c r="D4557" s="185"/>
      <c r="E4557" s="185">
        <f>Quantitativos!CD194</f>
        <v>133.88</v>
      </c>
      <c r="F4557" s="185"/>
      <c r="G4557" s="185"/>
      <c r="H4557" s="185"/>
      <c r="I4557" s="185"/>
      <c r="J4557" s="185"/>
      <c r="K4557" s="185"/>
      <c r="L4557" s="185"/>
      <c r="M4557" s="185"/>
      <c r="N4557" s="185"/>
      <c r="O4557" s="185"/>
      <c r="P4557" s="224"/>
      <c r="Q4557" s="224"/>
    </row>
    <row r="4558" spans="1:17" s="225" customFormat="1" ht="10.5" x14ac:dyDescent="0.25">
      <c r="A4558" s="229"/>
      <c r="B4558" s="230"/>
      <c r="C4558" s="184"/>
      <c r="D4558" s="185"/>
      <c r="E4558" s="185"/>
      <c r="F4558" s="185"/>
      <c r="G4558" s="185"/>
      <c r="H4558" s="185"/>
      <c r="I4558" s="185"/>
      <c r="J4558" s="185"/>
      <c r="K4558" s="185"/>
      <c r="L4558" s="185"/>
      <c r="M4558" s="185"/>
      <c r="N4558" s="185"/>
      <c r="O4558" s="185"/>
      <c r="P4558" s="231"/>
      <c r="Q4558" s="224"/>
    </row>
    <row r="4559" spans="1:17" s="225" customFormat="1" ht="10.5" x14ac:dyDescent="0.25">
      <c r="A4559" s="229"/>
      <c r="B4559" s="232" t="s">
        <v>5</v>
      </c>
      <c r="C4559" s="182" t="s">
        <v>1328</v>
      </c>
      <c r="D4559" s="182"/>
      <c r="E4559" s="182">
        <f>SUM(E4557:E4558)</f>
        <v>133.88</v>
      </c>
      <c r="F4559" s="182"/>
      <c r="G4559" s="182"/>
      <c r="H4559" s="182"/>
      <c r="I4559" s="182"/>
      <c r="J4559" s="182"/>
      <c r="K4559" s="182"/>
      <c r="L4559" s="182"/>
      <c r="M4559" s="182"/>
      <c r="N4559" s="182"/>
      <c r="O4559" s="182">
        <f>SUM(O4558:O4558)</f>
        <v>0</v>
      </c>
      <c r="P4559" s="233"/>
      <c r="Q4559" s="224"/>
    </row>
    <row r="4560" spans="1:17" s="228" customFormat="1" ht="42" x14ac:dyDescent="0.25">
      <c r="A4560" s="226" t="str">
        <f>ORÇAMENTO!A848</f>
        <v>7.1.2.5.11</v>
      </c>
      <c r="B4560" s="227" t="str">
        <f>VLOOKUP(A4560,ORÇAMENTO!A:K,4,0)</f>
        <v>CARGA, MANOBRA E DESCARGA DE TUBOS DE CONCRETO, DN 1200 MM, EM CAMINHÃO CARROCERIA COM GUINDAUTO (MUNCK) 11,7 TM. AF_07/2020</v>
      </c>
      <c r="C4560" s="173" t="str">
        <f>VLOOKUP(A4560,ORÇAMENTO!A:K,5,0)</f>
        <v>T</v>
      </c>
      <c r="D4560" s="173">
        <f>SUM(E4563:O4563)</f>
        <v>358.79959999999988</v>
      </c>
      <c r="E4560" s="173" t="s">
        <v>1718</v>
      </c>
      <c r="F4560" s="173" t="s">
        <v>1719</v>
      </c>
      <c r="G4560" s="173" t="s">
        <v>1720</v>
      </c>
      <c r="H4560" s="173" t="s">
        <v>1721</v>
      </c>
      <c r="I4560" s="173" t="s">
        <v>1722</v>
      </c>
      <c r="J4560" s="173" t="s">
        <v>1723</v>
      </c>
      <c r="K4560" s="173" t="s">
        <v>1746</v>
      </c>
      <c r="L4560" s="173" t="s">
        <v>1799</v>
      </c>
      <c r="M4560" s="173" t="s">
        <v>1730</v>
      </c>
      <c r="N4560" s="173" t="s">
        <v>1727</v>
      </c>
      <c r="O4560" s="173" t="s">
        <v>1728</v>
      </c>
      <c r="P4560" s="224"/>
      <c r="Q4560" s="224"/>
    </row>
    <row r="4561" spans="1:17" s="225" customFormat="1" ht="31.5" x14ac:dyDescent="0.25">
      <c r="A4561" s="229"/>
      <c r="B4561" s="232" t="s">
        <v>1801</v>
      </c>
      <c r="C4561" s="184"/>
      <c r="D4561" s="185"/>
      <c r="E4561" s="185">
        <f>E4565+E4569</f>
        <v>309.30999999999995</v>
      </c>
      <c r="F4561" s="185"/>
      <c r="G4561" s="185"/>
      <c r="H4561" s="185"/>
      <c r="I4561" s="185"/>
      <c r="J4561" s="185"/>
      <c r="K4561" s="185">
        <f>L4561*E4561</f>
        <v>358.79959999999988</v>
      </c>
      <c r="L4561" s="185">
        <v>1.1599999999999999</v>
      </c>
      <c r="M4561" s="185"/>
      <c r="N4561" s="185"/>
      <c r="O4561" s="185"/>
      <c r="P4561" s="224"/>
      <c r="Q4561" s="224"/>
    </row>
    <row r="4562" spans="1:17" s="225" customFormat="1" ht="10.5" x14ac:dyDescent="0.25">
      <c r="A4562" s="229"/>
      <c r="B4562" s="230"/>
      <c r="C4562" s="184"/>
      <c r="D4562" s="185"/>
      <c r="E4562" s="185"/>
      <c r="F4562" s="185"/>
      <c r="G4562" s="185"/>
      <c r="H4562" s="185"/>
      <c r="I4562" s="185"/>
      <c r="J4562" s="185"/>
      <c r="K4562" s="185"/>
      <c r="L4562" s="185"/>
      <c r="M4562" s="185"/>
      <c r="N4562" s="185"/>
      <c r="O4562" s="185"/>
      <c r="P4562" s="231"/>
      <c r="Q4562" s="224"/>
    </row>
    <row r="4563" spans="1:17" s="225" customFormat="1" ht="10.5" x14ac:dyDescent="0.25">
      <c r="A4563" s="229"/>
      <c r="B4563" s="232" t="s">
        <v>5</v>
      </c>
      <c r="C4563" s="182" t="s">
        <v>1328</v>
      </c>
      <c r="D4563" s="182"/>
      <c r="E4563" s="182"/>
      <c r="F4563" s="182"/>
      <c r="G4563" s="182"/>
      <c r="H4563" s="182"/>
      <c r="I4563" s="182"/>
      <c r="J4563" s="182"/>
      <c r="K4563" s="182">
        <f>SUM(K4561:K4562)</f>
        <v>358.79959999999988</v>
      </c>
      <c r="L4563" s="182"/>
      <c r="M4563" s="182"/>
      <c r="N4563" s="182"/>
      <c r="O4563" s="182">
        <f>SUM(O4562:O4562)</f>
        <v>0</v>
      </c>
      <c r="P4563" s="233"/>
      <c r="Q4563" s="224"/>
    </row>
    <row r="4564" spans="1:17" s="228" customFormat="1" ht="31.5" x14ac:dyDescent="0.25">
      <c r="A4564" s="226" t="str">
        <f>ORÇAMENTO!A849</f>
        <v>7.1.2.5.12</v>
      </c>
      <c r="B4564" s="227" t="str">
        <f>VLOOKUP(A4564,ORÇAMENTO!A:K,4,0)</f>
        <v>TUBO DE CONCRETO ARMADO PARA AGUAS PLUVIAIS, CLASSE PA-1, COM ENCAIXE PONTA E BOLSA, DIAMETRO NOMINAL DE 1200 MM</v>
      </c>
      <c r="C4564" s="173" t="str">
        <f>VLOOKUP(A4564,ORÇAMENTO!A:K,5,0)</f>
        <v>M</v>
      </c>
      <c r="D4564" s="173">
        <f>SUM(E4567:O4567)</f>
        <v>60.34</v>
      </c>
      <c r="E4564" s="173" t="s">
        <v>1718</v>
      </c>
      <c r="F4564" s="173" t="s">
        <v>1719</v>
      </c>
      <c r="G4564" s="173" t="s">
        <v>1720</v>
      </c>
      <c r="H4564" s="173" t="s">
        <v>1721</v>
      </c>
      <c r="I4564" s="173" t="s">
        <v>1722</v>
      </c>
      <c r="J4564" s="173" t="s">
        <v>1723</v>
      </c>
      <c r="K4564" s="173" t="s">
        <v>1724</v>
      </c>
      <c r="L4564" s="173" t="s">
        <v>1753</v>
      </c>
      <c r="M4564" s="173" t="s">
        <v>1730</v>
      </c>
      <c r="N4564" s="173" t="s">
        <v>1727</v>
      </c>
      <c r="O4564" s="173" t="s">
        <v>1728</v>
      </c>
      <c r="P4564" s="224"/>
      <c r="Q4564" s="224"/>
    </row>
    <row r="4565" spans="1:17" s="225" customFormat="1" ht="10.5" x14ac:dyDescent="0.25">
      <c r="A4565" s="229"/>
      <c r="B4565" s="232"/>
      <c r="C4565" s="184"/>
      <c r="D4565" s="185"/>
      <c r="E4565" s="185">
        <f>Quantitativos!CG194</f>
        <v>60.34</v>
      </c>
      <c r="F4565" s="185"/>
      <c r="G4565" s="185"/>
      <c r="H4565" s="185"/>
      <c r="I4565" s="185"/>
      <c r="J4565" s="185"/>
      <c r="K4565" s="185"/>
      <c r="L4565" s="185"/>
      <c r="M4565" s="185"/>
      <c r="N4565" s="185"/>
      <c r="O4565" s="185"/>
      <c r="P4565" s="224"/>
      <c r="Q4565" s="224"/>
    </row>
    <row r="4566" spans="1:17" s="225" customFormat="1" ht="10.5" x14ac:dyDescent="0.25">
      <c r="A4566" s="229"/>
      <c r="B4566" s="230"/>
      <c r="C4566" s="184"/>
      <c r="D4566" s="185"/>
      <c r="E4566" s="185"/>
      <c r="F4566" s="185"/>
      <c r="G4566" s="185"/>
      <c r="H4566" s="185"/>
      <c r="I4566" s="185"/>
      <c r="J4566" s="185"/>
      <c r="K4566" s="185"/>
      <c r="L4566" s="185"/>
      <c r="M4566" s="185"/>
      <c r="N4566" s="185"/>
      <c r="O4566" s="185"/>
      <c r="P4566" s="231"/>
      <c r="Q4566" s="224"/>
    </row>
    <row r="4567" spans="1:17" s="225" customFormat="1" ht="10.5" x14ac:dyDescent="0.25">
      <c r="A4567" s="229"/>
      <c r="B4567" s="232" t="s">
        <v>5</v>
      </c>
      <c r="C4567" s="182" t="s">
        <v>1328</v>
      </c>
      <c r="D4567" s="182"/>
      <c r="E4567" s="182">
        <f>SUM(E4565:E4566)</f>
        <v>60.34</v>
      </c>
      <c r="F4567" s="182"/>
      <c r="G4567" s="182"/>
      <c r="H4567" s="182"/>
      <c r="I4567" s="182"/>
      <c r="J4567" s="182"/>
      <c r="K4567" s="182"/>
      <c r="L4567" s="182"/>
      <c r="M4567" s="182"/>
      <c r="N4567" s="182"/>
      <c r="O4567" s="182">
        <f>SUM(O4566:O4566)</f>
        <v>0</v>
      </c>
      <c r="P4567" s="233"/>
      <c r="Q4567" s="224"/>
    </row>
    <row r="4568" spans="1:17" s="228" customFormat="1" ht="31.5" x14ac:dyDescent="0.25">
      <c r="A4568" s="226" t="str">
        <f>ORÇAMENTO!A850</f>
        <v>7.1.2.5.13</v>
      </c>
      <c r="B4568" s="227" t="str">
        <f>VLOOKUP(A4568,ORÇAMENTO!A:K,4,0)</f>
        <v>TUBO DE CONCRETO ARMADO PARA AGUAS PLUVIAIS, CLASSE PA-2, COM ENCAIXE PONTA E BOLSA, DIAMETRO NOMINAL DE 1200 MM</v>
      </c>
      <c r="C4568" s="173" t="str">
        <f>VLOOKUP(A4568,ORÇAMENTO!A:K,5,0)</f>
        <v>M</v>
      </c>
      <c r="D4568" s="173">
        <f>SUM(E4571:O4571)</f>
        <v>248.96999999999997</v>
      </c>
      <c r="E4568" s="173" t="s">
        <v>1718</v>
      </c>
      <c r="F4568" s="173" t="s">
        <v>1719</v>
      </c>
      <c r="G4568" s="173" t="s">
        <v>1720</v>
      </c>
      <c r="H4568" s="173" t="s">
        <v>1721</v>
      </c>
      <c r="I4568" s="173" t="s">
        <v>1722</v>
      </c>
      <c r="J4568" s="173" t="s">
        <v>1723</v>
      </c>
      <c r="K4568" s="173" t="s">
        <v>1724</v>
      </c>
      <c r="L4568" s="173" t="s">
        <v>1753</v>
      </c>
      <c r="M4568" s="173" t="s">
        <v>1730</v>
      </c>
      <c r="N4568" s="173" t="s">
        <v>1727</v>
      </c>
      <c r="O4568" s="173" t="s">
        <v>1728</v>
      </c>
      <c r="P4568" s="224"/>
      <c r="Q4568" s="224"/>
    </row>
    <row r="4569" spans="1:17" s="225" customFormat="1" ht="10.5" x14ac:dyDescent="0.25">
      <c r="A4569" s="229"/>
      <c r="B4569" s="232"/>
      <c r="C4569" s="184"/>
      <c r="D4569" s="185"/>
      <c r="E4569" s="185">
        <f>Quantitativos!CH194</f>
        <v>248.96999999999997</v>
      </c>
      <c r="F4569" s="185"/>
      <c r="G4569" s="185"/>
      <c r="H4569" s="185"/>
      <c r="I4569" s="185"/>
      <c r="J4569" s="185"/>
      <c r="K4569" s="185"/>
      <c r="L4569" s="185"/>
      <c r="M4569" s="185"/>
      <c r="N4569" s="185"/>
      <c r="O4569" s="185"/>
      <c r="P4569" s="224"/>
      <c r="Q4569" s="224"/>
    </row>
    <row r="4570" spans="1:17" s="225" customFormat="1" ht="10.5" x14ac:dyDescent="0.25">
      <c r="A4570" s="229"/>
      <c r="B4570" s="230"/>
      <c r="C4570" s="184"/>
      <c r="D4570" s="185"/>
      <c r="E4570" s="185"/>
      <c r="F4570" s="185"/>
      <c r="G4570" s="185"/>
      <c r="H4570" s="185"/>
      <c r="I4570" s="185"/>
      <c r="J4570" s="185"/>
      <c r="K4570" s="185"/>
      <c r="L4570" s="185"/>
      <c r="M4570" s="185"/>
      <c r="N4570" s="185"/>
      <c r="O4570" s="185"/>
      <c r="P4570" s="231"/>
      <c r="Q4570" s="224"/>
    </row>
    <row r="4571" spans="1:17" s="225" customFormat="1" ht="10.5" x14ac:dyDescent="0.25">
      <c r="A4571" s="229"/>
      <c r="B4571" s="232" t="s">
        <v>5</v>
      </c>
      <c r="C4571" s="182" t="s">
        <v>1328</v>
      </c>
      <c r="D4571" s="182"/>
      <c r="E4571" s="182">
        <f>SUM(E4569:E4570)</f>
        <v>248.96999999999997</v>
      </c>
      <c r="F4571" s="182"/>
      <c r="G4571" s="182"/>
      <c r="H4571" s="182"/>
      <c r="I4571" s="182"/>
      <c r="J4571" s="182"/>
      <c r="K4571" s="182"/>
      <c r="L4571" s="182"/>
      <c r="M4571" s="182"/>
      <c r="N4571" s="182"/>
      <c r="O4571" s="182">
        <f>SUM(O4570:O4570)</f>
        <v>0</v>
      </c>
      <c r="P4571" s="233"/>
      <c r="Q4571" s="224"/>
    </row>
    <row r="4572" spans="1:17" s="228" customFormat="1" ht="31.5" x14ac:dyDescent="0.25">
      <c r="A4572" s="226" t="str">
        <f>ORÇAMENTO!A851</f>
        <v>7.1.2.5.14</v>
      </c>
      <c r="B4572" s="227" t="str">
        <f>VLOOKUP(A4572,ORÇAMENTO!A:K,4,0)</f>
        <v>CARGA, MANOBRA E DESCARGA DE TUBOS DE CONCRETO, DN 1500 MM, EM CAMINHÃO CARROCERIA COM GUINDAUTO (MUNCK) 11,7 TM.</v>
      </c>
      <c r="C4572" s="173" t="str">
        <f>VLOOKUP(A4572,ORÇAMENTO!A:K,5,0)</f>
        <v>T</v>
      </c>
      <c r="D4572" s="173">
        <f>SUM(E4575:O4575)</f>
        <v>660.35199999999986</v>
      </c>
      <c r="E4572" s="173" t="s">
        <v>1718</v>
      </c>
      <c r="F4572" s="173" t="s">
        <v>1719</v>
      </c>
      <c r="G4572" s="173" t="s">
        <v>1720</v>
      </c>
      <c r="H4572" s="173" t="s">
        <v>1721</v>
      </c>
      <c r="I4572" s="173" t="s">
        <v>1722</v>
      </c>
      <c r="J4572" s="173" t="s">
        <v>1723</v>
      </c>
      <c r="K4572" s="173" t="s">
        <v>1746</v>
      </c>
      <c r="L4572" s="173" t="s">
        <v>1799</v>
      </c>
      <c r="M4572" s="173" t="s">
        <v>1730</v>
      </c>
      <c r="N4572" s="173" t="s">
        <v>1727</v>
      </c>
      <c r="O4572" s="173" t="s">
        <v>1728</v>
      </c>
      <c r="P4572" s="224"/>
      <c r="Q4572" s="224"/>
    </row>
    <row r="4573" spans="1:17" s="225" customFormat="1" ht="31.5" x14ac:dyDescent="0.25">
      <c r="A4573" s="229"/>
      <c r="B4573" s="232" t="s">
        <v>1801</v>
      </c>
      <c r="C4573" s="184"/>
      <c r="D4573" s="185"/>
      <c r="E4573" s="185">
        <f>E4577</f>
        <v>375.19999999999993</v>
      </c>
      <c r="F4573" s="185"/>
      <c r="G4573" s="185"/>
      <c r="H4573" s="185"/>
      <c r="I4573" s="185"/>
      <c r="J4573" s="185"/>
      <c r="K4573" s="185">
        <f>L4573*E4573</f>
        <v>660.35199999999986</v>
      </c>
      <c r="L4573" s="185">
        <v>1.76</v>
      </c>
      <c r="M4573" s="185"/>
      <c r="N4573" s="185"/>
      <c r="O4573" s="185"/>
      <c r="P4573" s="224"/>
      <c r="Q4573" s="224"/>
    </row>
    <row r="4574" spans="1:17" s="225" customFormat="1" ht="10.5" x14ac:dyDescent="0.25">
      <c r="A4574" s="229"/>
      <c r="B4574" s="230"/>
      <c r="C4574" s="184"/>
      <c r="D4574" s="185"/>
      <c r="E4574" s="185"/>
      <c r="F4574" s="185"/>
      <c r="G4574" s="185"/>
      <c r="H4574" s="185"/>
      <c r="I4574" s="185"/>
      <c r="J4574" s="185"/>
      <c r="K4574" s="185"/>
      <c r="L4574" s="185"/>
      <c r="M4574" s="185"/>
      <c r="N4574" s="185"/>
      <c r="O4574" s="185"/>
      <c r="P4574" s="231"/>
      <c r="Q4574" s="224"/>
    </row>
    <row r="4575" spans="1:17" s="225" customFormat="1" ht="10.5" x14ac:dyDescent="0.25">
      <c r="A4575" s="229"/>
      <c r="B4575" s="232" t="s">
        <v>5</v>
      </c>
      <c r="C4575" s="182" t="s">
        <v>1328</v>
      </c>
      <c r="D4575" s="182"/>
      <c r="E4575" s="182"/>
      <c r="F4575" s="182"/>
      <c r="G4575" s="182"/>
      <c r="H4575" s="182"/>
      <c r="I4575" s="182"/>
      <c r="J4575" s="182"/>
      <c r="K4575" s="182">
        <f>SUM(K4573:K4574)</f>
        <v>660.35199999999986</v>
      </c>
      <c r="L4575" s="182"/>
      <c r="M4575" s="182"/>
      <c r="N4575" s="182"/>
      <c r="O4575" s="182">
        <f>SUM(O4574:O4574)</f>
        <v>0</v>
      </c>
      <c r="P4575" s="233"/>
      <c r="Q4575" s="224"/>
    </row>
    <row r="4576" spans="1:17" s="228" customFormat="1" ht="31.5" x14ac:dyDescent="0.25">
      <c r="A4576" s="226" t="str">
        <f>ORÇAMENTO!A852</f>
        <v>7.1.2.5.15</v>
      </c>
      <c r="B4576" s="227" t="str">
        <f>VLOOKUP(A4576,ORÇAMENTO!A:K,4,0)</f>
        <v>TUBO DE CONCRETO ARMADO PARA AGUAS PLUVIAIS, CLASSE PA-2, COM ENCAIXE PONTA E BOLSA, DIAMETRO NOMINAL DE 1500 MM</v>
      </c>
      <c r="C4576" s="173" t="str">
        <f>VLOOKUP(A4576,ORÇAMENTO!A:K,5,0)</f>
        <v>M</v>
      </c>
      <c r="D4576" s="173">
        <f>SUM(E4579:O4579)</f>
        <v>375.19999999999993</v>
      </c>
      <c r="E4576" s="173" t="s">
        <v>1718</v>
      </c>
      <c r="F4576" s="173" t="s">
        <v>1719</v>
      </c>
      <c r="G4576" s="173" t="s">
        <v>1720</v>
      </c>
      <c r="H4576" s="173" t="s">
        <v>1721</v>
      </c>
      <c r="I4576" s="173" t="s">
        <v>1722</v>
      </c>
      <c r="J4576" s="173" t="s">
        <v>1723</v>
      </c>
      <c r="K4576" s="173" t="s">
        <v>1724</v>
      </c>
      <c r="L4576" s="173" t="s">
        <v>1753</v>
      </c>
      <c r="M4576" s="173" t="s">
        <v>1730</v>
      </c>
      <c r="N4576" s="173" t="s">
        <v>1727</v>
      </c>
      <c r="O4576" s="173" t="s">
        <v>1728</v>
      </c>
      <c r="P4576" s="224"/>
      <c r="Q4576" s="224"/>
    </row>
    <row r="4577" spans="1:17" s="225" customFormat="1" ht="10.5" x14ac:dyDescent="0.25">
      <c r="A4577" s="229"/>
      <c r="B4577" s="232"/>
      <c r="C4577" s="184"/>
      <c r="D4577" s="185"/>
      <c r="E4577" s="185">
        <f>Quantitativos!CL194</f>
        <v>375.19999999999993</v>
      </c>
      <c r="F4577" s="185"/>
      <c r="G4577" s="185"/>
      <c r="H4577" s="185"/>
      <c r="I4577" s="185"/>
      <c r="J4577" s="185"/>
      <c r="K4577" s="185"/>
      <c r="L4577" s="185"/>
      <c r="M4577" s="185"/>
      <c r="N4577" s="185"/>
      <c r="O4577" s="185"/>
      <c r="P4577" s="224"/>
      <c r="Q4577" s="224"/>
    </row>
    <row r="4578" spans="1:17" s="225" customFormat="1" ht="10.5" x14ac:dyDescent="0.25">
      <c r="A4578" s="229"/>
      <c r="B4578" s="230"/>
      <c r="C4578" s="184"/>
      <c r="D4578" s="185"/>
      <c r="E4578" s="185"/>
      <c r="F4578" s="185"/>
      <c r="G4578" s="185"/>
      <c r="H4578" s="185"/>
      <c r="I4578" s="185"/>
      <c r="J4578" s="185"/>
      <c r="K4578" s="185"/>
      <c r="L4578" s="185"/>
      <c r="M4578" s="185"/>
      <c r="N4578" s="185"/>
      <c r="O4578" s="185"/>
      <c r="P4578" s="231"/>
      <c r="Q4578" s="224"/>
    </row>
    <row r="4579" spans="1:17" s="225" customFormat="1" ht="10.5" x14ac:dyDescent="0.25">
      <c r="A4579" s="229"/>
      <c r="B4579" s="232" t="s">
        <v>5</v>
      </c>
      <c r="C4579" s="182" t="s">
        <v>1328</v>
      </c>
      <c r="D4579" s="182"/>
      <c r="E4579" s="182">
        <f>SUM(E4577:E4578)</f>
        <v>375.19999999999993</v>
      </c>
      <c r="F4579" s="182"/>
      <c r="G4579" s="182"/>
      <c r="H4579" s="182"/>
      <c r="I4579" s="182"/>
      <c r="J4579" s="182"/>
      <c r="K4579" s="182"/>
      <c r="L4579" s="182"/>
      <c r="M4579" s="182"/>
      <c r="N4579" s="182"/>
      <c r="O4579" s="182">
        <f>SUM(O4578:O4578)</f>
        <v>0</v>
      </c>
      <c r="P4579" s="233"/>
      <c r="Q4579" s="224"/>
    </row>
    <row r="4580" spans="1:17" s="225" customFormat="1" ht="10.5" x14ac:dyDescent="0.25">
      <c r="A4580" s="222" t="str">
        <f>ORÇAMENTO!A853</f>
        <v>7.1.2.6</v>
      </c>
      <c r="B4580" s="223" t="str">
        <f>VLOOKUP(A4580,ORÇAMENTO!A:K,4,0)</f>
        <v>BOCAS DE LOBO</v>
      </c>
      <c r="C4580" s="167"/>
      <c r="D4580" s="167"/>
      <c r="E4580" s="168"/>
      <c r="F4580" s="168"/>
      <c r="G4580" s="168"/>
      <c r="H4580" s="168"/>
      <c r="I4580" s="168"/>
      <c r="J4580" s="168"/>
      <c r="K4580" s="168"/>
      <c r="L4580" s="168"/>
      <c r="M4580" s="168"/>
      <c r="N4580" s="168"/>
      <c r="O4580" s="168"/>
      <c r="P4580" s="224"/>
      <c r="Q4580" s="224"/>
    </row>
    <row r="4581" spans="1:17" s="228" customFormat="1" ht="21" x14ac:dyDescent="0.25">
      <c r="A4581" s="226" t="str">
        <f>ORÇAMENTO!A854</f>
        <v>7.1.2.6.1</v>
      </c>
      <c r="B4581" s="227" t="str">
        <f>VLOOKUP(A4581,ORÇAMENTO!A:K,4,0)</f>
        <v>LOCAÇÃO DE REDE DE DRENAGEM</v>
      </c>
      <c r="C4581" s="173" t="str">
        <f>VLOOKUP(A4581,ORÇAMENTO!A:K,5,0)</f>
        <v>M</v>
      </c>
      <c r="D4581" s="173">
        <f>ROUND(SUM(E4584:O4584),2)</f>
        <v>276.5</v>
      </c>
      <c r="E4581" s="173" t="s">
        <v>1718</v>
      </c>
      <c r="F4581" s="173" t="s">
        <v>1719</v>
      </c>
      <c r="G4581" s="173" t="s">
        <v>1720</v>
      </c>
      <c r="H4581" s="173" t="s">
        <v>1721</v>
      </c>
      <c r="I4581" s="173" t="s">
        <v>1722</v>
      </c>
      <c r="J4581" s="173" t="s">
        <v>1723</v>
      </c>
      <c r="K4581" s="173" t="s">
        <v>1724</v>
      </c>
      <c r="L4581" s="173" t="s">
        <v>1804</v>
      </c>
      <c r="M4581" s="173" t="s">
        <v>1726</v>
      </c>
      <c r="N4581" s="173" t="s">
        <v>1805</v>
      </c>
      <c r="O4581" s="173" t="s">
        <v>1728</v>
      </c>
      <c r="P4581" s="224"/>
      <c r="Q4581" s="224"/>
    </row>
    <row r="4582" spans="1:17" s="225" customFormat="1" ht="10.5" x14ac:dyDescent="0.25">
      <c r="A4582" s="229"/>
      <c r="B4582" s="230" t="s">
        <v>1806</v>
      </c>
      <c r="C4582" s="177"/>
      <c r="D4582" s="178"/>
      <c r="E4582" s="178">
        <f>QUANTBL!O356/1</f>
        <v>276.50000000000006</v>
      </c>
      <c r="F4582" s="178"/>
      <c r="G4582" s="178"/>
      <c r="H4582" s="178"/>
      <c r="I4582" s="178"/>
      <c r="J4582" s="178"/>
      <c r="K4582" s="178"/>
      <c r="L4582" s="178"/>
      <c r="M4582" s="178"/>
      <c r="N4582" s="200"/>
      <c r="O4582" s="178"/>
      <c r="P4582" s="231"/>
      <c r="Q4582" s="224"/>
    </row>
    <row r="4583" spans="1:17" s="225" customFormat="1" ht="10.5" x14ac:dyDescent="0.25">
      <c r="A4583" s="229"/>
      <c r="B4583" s="230"/>
      <c r="C4583" s="177"/>
      <c r="D4583" s="178"/>
      <c r="E4583" s="178"/>
      <c r="F4583" s="178"/>
      <c r="G4583" s="178"/>
      <c r="H4583" s="178"/>
      <c r="I4583" s="178"/>
      <c r="J4583" s="178"/>
      <c r="K4583" s="178"/>
      <c r="L4583" s="178"/>
      <c r="M4583" s="178"/>
      <c r="N4583" s="200"/>
      <c r="O4583" s="178"/>
      <c r="P4583" s="231"/>
      <c r="Q4583" s="224"/>
    </row>
    <row r="4584" spans="1:17" s="225" customFormat="1" ht="10.5" x14ac:dyDescent="0.25">
      <c r="A4584" s="229"/>
      <c r="B4584" s="232" t="s">
        <v>5</v>
      </c>
      <c r="C4584" s="182" t="s">
        <v>1328</v>
      </c>
      <c r="D4584" s="182"/>
      <c r="E4584" s="177">
        <f>SUM(E4582:E4582)</f>
        <v>276.50000000000006</v>
      </c>
      <c r="F4584" s="182"/>
      <c r="G4584" s="182"/>
      <c r="H4584" s="182"/>
      <c r="I4584" s="182"/>
      <c r="J4584" s="182"/>
      <c r="K4584" s="178"/>
      <c r="L4584" s="182"/>
      <c r="M4584" s="182"/>
      <c r="N4584" s="177"/>
      <c r="O4584" s="177"/>
      <c r="P4584" s="233"/>
      <c r="Q4584" s="224"/>
    </row>
    <row r="4585" spans="1:17" s="228" customFormat="1" ht="21" x14ac:dyDescent="0.25">
      <c r="A4585" s="226" t="str">
        <f>ORÇAMENTO!A855</f>
        <v>7.1.2.6.2</v>
      </c>
      <c r="B4585" s="227" t="str">
        <f>VLOOKUP(A4585,ORÇAMENTO!A:K,4,0)</f>
        <v>PASSARELA, EM MADEIRA, PARA COBERTA DE VALAS PARA PASSAGEM DE PEDESTRES.</v>
      </c>
      <c r="C4585" s="173" t="str">
        <f>VLOOKUP(A4585,ORÇAMENTO!A:K,5,0)</f>
        <v>M²</v>
      </c>
      <c r="D4585" s="173">
        <f>ROUND(SUM(E4588:O4588),2)</f>
        <v>2</v>
      </c>
      <c r="E4585" s="173" t="s">
        <v>1718</v>
      </c>
      <c r="F4585" s="173" t="s">
        <v>1719</v>
      </c>
      <c r="G4585" s="173" t="s">
        <v>1720</v>
      </c>
      <c r="H4585" s="173" t="s">
        <v>1721</v>
      </c>
      <c r="I4585" s="173" t="s">
        <v>1722</v>
      </c>
      <c r="J4585" s="173" t="s">
        <v>1723</v>
      </c>
      <c r="K4585" s="173" t="s">
        <v>1724</v>
      </c>
      <c r="L4585" s="173" t="s">
        <v>1804</v>
      </c>
      <c r="M4585" s="173" t="s">
        <v>1726</v>
      </c>
      <c r="N4585" s="173" t="s">
        <v>1727</v>
      </c>
      <c r="O4585" s="173" t="s">
        <v>1728</v>
      </c>
      <c r="P4585" s="224"/>
      <c r="Q4585" s="224"/>
    </row>
    <row r="4586" spans="1:17" s="225" customFormat="1" ht="10.5" x14ac:dyDescent="0.25">
      <c r="A4586" s="229"/>
      <c r="B4586" s="230" t="s">
        <v>1735</v>
      </c>
      <c r="C4586" s="177"/>
      <c r="D4586" s="178"/>
      <c r="E4586" s="178">
        <f>E4582</f>
        <v>276.50000000000006</v>
      </c>
      <c r="F4586" s="178">
        <v>2</v>
      </c>
      <c r="G4586" s="178">
        <v>1</v>
      </c>
      <c r="H4586" s="178"/>
      <c r="I4586" s="178"/>
      <c r="J4586" s="178"/>
      <c r="K4586" s="178"/>
      <c r="L4586" s="178"/>
      <c r="M4586" s="178">
        <f>ROUND(E4586/200,0)</f>
        <v>1</v>
      </c>
      <c r="N4586" s="200">
        <f>M4586*G4586*F4586</f>
        <v>2</v>
      </c>
      <c r="O4586" s="178"/>
      <c r="P4586" s="231"/>
      <c r="Q4586" s="224"/>
    </row>
    <row r="4587" spans="1:17" s="225" customFormat="1" ht="10.5" x14ac:dyDescent="0.25">
      <c r="A4587" s="229"/>
      <c r="B4587" s="230"/>
      <c r="C4587" s="177"/>
      <c r="D4587" s="178"/>
      <c r="E4587" s="178"/>
      <c r="F4587" s="178"/>
      <c r="G4587" s="178"/>
      <c r="H4587" s="178"/>
      <c r="I4587" s="178"/>
      <c r="J4587" s="178"/>
      <c r="K4587" s="178"/>
      <c r="L4587" s="178"/>
      <c r="M4587" s="178"/>
      <c r="N4587" s="200"/>
      <c r="O4587" s="178"/>
      <c r="P4587" s="231"/>
      <c r="Q4587" s="224"/>
    </row>
    <row r="4588" spans="1:17" s="225" customFormat="1" ht="10.5" x14ac:dyDescent="0.25">
      <c r="A4588" s="229"/>
      <c r="B4588" s="232" t="s">
        <v>5</v>
      </c>
      <c r="C4588" s="182" t="s">
        <v>1328</v>
      </c>
      <c r="D4588" s="182"/>
      <c r="E4588" s="177"/>
      <c r="F4588" s="182"/>
      <c r="G4588" s="182"/>
      <c r="H4588" s="182"/>
      <c r="I4588" s="182"/>
      <c r="J4588" s="182"/>
      <c r="K4588" s="178"/>
      <c r="L4588" s="182"/>
      <c r="M4588" s="182"/>
      <c r="N4588" s="177">
        <f>SUM(N4586:N4586)</f>
        <v>2</v>
      </c>
      <c r="O4588" s="177"/>
      <c r="P4588" s="233"/>
      <c r="Q4588" s="224"/>
    </row>
    <row r="4589" spans="1:17" s="228" customFormat="1" ht="21" x14ac:dyDescent="0.25">
      <c r="A4589" s="226" t="str">
        <f>ORÇAMENTO!A856</f>
        <v>7.1.2.6.3</v>
      </c>
      <c r="B4589" s="227" t="str">
        <f>VLOOKUP(A4589,ORÇAMENTO!A:K,4,0)</f>
        <v>TELA TAPUME, COR LARANJA, COM SUPORTE A CADA 2M (FORNECIMENTO E INSTALAÇÃO)</v>
      </c>
      <c r="C4589" s="173" t="str">
        <f>VLOOKUP(A4589,ORÇAMENTO!A:K,5,0)</f>
        <v>M</v>
      </c>
      <c r="D4589" s="173">
        <f>ROUND(SUM(E4592:O4592),2)</f>
        <v>553</v>
      </c>
      <c r="E4589" s="173" t="s">
        <v>1718</v>
      </c>
      <c r="F4589" s="173" t="s">
        <v>1719</v>
      </c>
      <c r="G4589" s="173" t="s">
        <v>1720</v>
      </c>
      <c r="H4589" s="173" t="s">
        <v>1721</v>
      </c>
      <c r="I4589" s="173" t="s">
        <v>1722</v>
      </c>
      <c r="J4589" s="173" t="s">
        <v>1723</v>
      </c>
      <c r="K4589" s="173" t="s">
        <v>1724</v>
      </c>
      <c r="L4589" s="173" t="s">
        <v>1804</v>
      </c>
      <c r="M4589" s="173" t="s">
        <v>1726</v>
      </c>
      <c r="N4589" s="173" t="s">
        <v>1727</v>
      </c>
      <c r="O4589" s="173" t="s">
        <v>1728</v>
      </c>
      <c r="P4589" s="224"/>
      <c r="Q4589" s="224"/>
    </row>
    <row r="4590" spans="1:17" s="225" customFormat="1" ht="10.5" x14ac:dyDescent="0.25">
      <c r="A4590" s="229"/>
      <c r="B4590" s="230" t="s">
        <v>1737</v>
      </c>
      <c r="C4590" s="177"/>
      <c r="D4590" s="178"/>
      <c r="E4590" s="178">
        <f>2*E4586</f>
        <v>553.00000000000011</v>
      </c>
      <c r="F4590" s="178"/>
      <c r="G4590" s="178"/>
      <c r="H4590" s="178"/>
      <c r="I4590" s="178"/>
      <c r="J4590" s="178"/>
      <c r="K4590" s="178"/>
      <c r="L4590" s="178"/>
      <c r="M4590" s="178"/>
      <c r="N4590" s="200"/>
      <c r="O4590" s="178"/>
      <c r="P4590" s="231"/>
      <c r="Q4590" s="224"/>
    </row>
    <row r="4591" spans="1:17" s="225" customFormat="1" ht="10.5" x14ac:dyDescent="0.25">
      <c r="A4591" s="229"/>
      <c r="B4591" s="230"/>
      <c r="C4591" s="177"/>
      <c r="D4591" s="178"/>
      <c r="E4591" s="178"/>
      <c r="F4591" s="178"/>
      <c r="G4591" s="178"/>
      <c r="H4591" s="178"/>
      <c r="I4591" s="178"/>
      <c r="J4591" s="178"/>
      <c r="K4591" s="178"/>
      <c r="L4591" s="178"/>
      <c r="M4591" s="178"/>
      <c r="N4591" s="200"/>
      <c r="O4591" s="178"/>
      <c r="P4591" s="231"/>
      <c r="Q4591" s="224"/>
    </row>
    <row r="4592" spans="1:17" s="225" customFormat="1" ht="10.5" x14ac:dyDescent="0.25">
      <c r="A4592" s="229"/>
      <c r="B4592" s="232" t="s">
        <v>5</v>
      </c>
      <c r="C4592" s="182" t="s">
        <v>1328</v>
      </c>
      <c r="D4592" s="182"/>
      <c r="E4592" s="177">
        <f>SUM(E4590:E4590)</f>
        <v>553.00000000000011</v>
      </c>
      <c r="F4592" s="182"/>
      <c r="G4592" s="182"/>
      <c r="H4592" s="182"/>
      <c r="I4592" s="182"/>
      <c r="J4592" s="182"/>
      <c r="K4592" s="178"/>
      <c r="L4592" s="182"/>
      <c r="M4592" s="182"/>
      <c r="N4592" s="177"/>
      <c r="O4592" s="177"/>
      <c r="P4592" s="233"/>
      <c r="Q4592" s="224"/>
    </row>
    <row r="4593" spans="1:17" s="228" customFormat="1" ht="31.5" x14ac:dyDescent="0.25">
      <c r="A4593" s="226" t="str">
        <f>ORÇAMENTO!A857</f>
        <v>7.1.2.6.4</v>
      </c>
      <c r="B4593" s="227" t="str">
        <f>VLOOKUP(A4593,ORÇAMENTO!A:K,4,0)</f>
        <v>PLACA DE SINALIZAÇÃO E ADVERTÊNCIA EM CHAPA DE AÇO GALVANIZADA Nº 16 (FORNECIMENTO E FIXAÇÃO)</v>
      </c>
      <c r="C4593" s="173" t="str">
        <f>VLOOKUP(A4593,ORÇAMENTO!A:K,5,0)</f>
        <v>UN</v>
      </c>
      <c r="D4593" s="173">
        <f>ROUND(SUM(E4596:O4596),2)</f>
        <v>6</v>
      </c>
      <c r="E4593" s="173" t="s">
        <v>1718</v>
      </c>
      <c r="F4593" s="173" t="s">
        <v>1719</v>
      </c>
      <c r="G4593" s="173" t="s">
        <v>1720</v>
      </c>
      <c r="H4593" s="173" t="s">
        <v>1721</v>
      </c>
      <c r="I4593" s="173" t="s">
        <v>1722</v>
      </c>
      <c r="J4593" s="173" t="s">
        <v>1723</v>
      </c>
      <c r="K4593" s="173" t="s">
        <v>1724</v>
      </c>
      <c r="L4593" s="173" t="s">
        <v>1804</v>
      </c>
      <c r="M4593" s="173" t="s">
        <v>1726</v>
      </c>
      <c r="N4593" s="173" t="s">
        <v>1727</v>
      </c>
      <c r="O4593" s="173" t="s">
        <v>1728</v>
      </c>
      <c r="P4593" s="224"/>
      <c r="Q4593" s="224"/>
    </row>
    <row r="4594" spans="1:17" s="225" customFormat="1" ht="10.5" x14ac:dyDescent="0.25">
      <c r="A4594" s="229"/>
      <c r="B4594" s="230" t="s">
        <v>1807</v>
      </c>
      <c r="C4594" s="177"/>
      <c r="D4594" s="178"/>
      <c r="E4594" s="178">
        <f>E4590</f>
        <v>553.00000000000011</v>
      </c>
      <c r="F4594" s="178"/>
      <c r="G4594" s="178"/>
      <c r="H4594" s="178"/>
      <c r="I4594" s="178"/>
      <c r="J4594" s="178"/>
      <c r="K4594" s="178"/>
      <c r="L4594" s="178"/>
      <c r="M4594" s="178">
        <f>ROUND(E4594/100,0)</f>
        <v>6</v>
      </c>
      <c r="N4594" s="200"/>
      <c r="O4594" s="178"/>
      <c r="P4594" s="231"/>
      <c r="Q4594" s="224"/>
    </row>
    <row r="4595" spans="1:17" s="225" customFormat="1" ht="10.5" x14ac:dyDescent="0.25">
      <c r="A4595" s="229"/>
      <c r="B4595" s="230"/>
      <c r="C4595" s="177"/>
      <c r="D4595" s="178"/>
      <c r="E4595" s="178"/>
      <c r="F4595" s="178"/>
      <c r="G4595" s="178"/>
      <c r="H4595" s="178"/>
      <c r="I4595" s="178"/>
      <c r="J4595" s="178"/>
      <c r="K4595" s="178"/>
      <c r="L4595" s="178"/>
      <c r="M4595" s="178"/>
      <c r="N4595" s="200"/>
      <c r="O4595" s="178"/>
      <c r="P4595" s="231"/>
      <c r="Q4595" s="224"/>
    </row>
    <row r="4596" spans="1:17" s="225" customFormat="1" ht="10.5" x14ac:dyDescent="0.25">
      <c r="A4596" s="229"/>
      <c r="B4596" s="232" t="s">
        <v>5</v>
      </c>
      <c r="C4596" s="182" t="s">
        <v>1328</v>
      </c>
      <c r="D4596" s="182"/>
      <c r="E4596" s="177"/>
      <c r="F4596" s="182"/>
      <c r="G4596" s="182"/>
      <c r="H4596" s="182"/>
      <c r="I4596" s="182"/>
      <c r="J4596" s="182"/>
      <c r="K4596" s="178"/>
      <c r="L4596" s="182"/>
      <c r="M4596" s="177">
        <f>SUM(M4594:M4594)</f>
        <v>6</v>
      </c>
      <c r="N4596" s="177"/>
      <c r="O4596" s="177"/>
      <c r="P4596" s="233"/>
      <c r="Q4596" s="224"/>
    </row>
    <row r="4597" spans="1:17" s="228" customFormat="1" ht="21" x14ac:dyDescent="0.25">
      <c r="A4597" s="226" t="str">
        <f>ORÇAMENTO!A858</f>
        <v>7.1.2.6.5</v>
      </c>
      <c r="B4597" s="227" t="str">
        <f>VLOOKUP(A4597,ORÇAMENTO!A:K,4,0)</f>
        <v>SINALIZADOR ELETRÔNICO</v>
      </c>
      <c r="C4597" s="173" t="str">
        <f>VLOOKUP(A4597,ORÇAMENTO!A:K,5,0)</f>
        <v>UN</v>
      </c>
      <c r="D4597" s="173">
        <f>ROUND(SUM(E4600:O4600),2)</f>
        <v>6</v>
      </c>
      <c r="E4597" s="173" t="s">
        <v>1718</v>
      </c>
      <c r="F4597" s="173" t="s">
        <v>1719</v>
      </c>
      <c r="G4597" s="173" t="s">
        <v>1720</v>
      </c>
      <c r="H4597" s="173" t="s">
        <v>1721</v>
      </c>
      <c r="I4597" s="173" t="s">
        <v>1722</v>
      </c>
      <c r="J4597" s="173" t="s">
        <v>1723</v>
      </c>
      <c r="K4597" s="173" t="s">
        <v>1724</v>
      </c>
      <c r="L4597" s="173" t="s">
        <v>1804</v>
      </c>
      <c r="M4597" s="173" t="s">
        <v>1726</v>
      </c>
      <c r="N4597" s="173" t="s">
        <v>1727</v>
      </c>
      <c r="O4597" s="173" t="s">
        <v>1728</v>
      </c>
      <c r="P4597" s="224"/>
      <c r="Q4597" s="224"/>
    </row>
    <row r="4598" spans="1:17" s="225" customFormat="1" ht="21" x14ac:dyDescent="0.25">
      <c r="A4598" s="229"/>
      <c r="B4598" s="230" t="s">
        <v>1738</v>
      </c>
      <c r="C4598" s="177"/>
      <c r="D4598" s="178"/>
      <c r="E4598" s="178">
        <f>E4586</f>
        <v>276.50000000000006</v>
      </c>
      <c r="F4598" s="178"/>
      <c r="G4598" s="178"/>
      <c r="H4598" s="178"/>
      <c r="I4598" s="178"/>
      <c r="J4598" s="178"/>
      <c r="K4598" s="178"/>
      <c r="L4598" s="178"/>
      <c r="M4598" s="178">
        <f>ROUND(E4598*0.2/10,0)</f>
        <v>6</v>
      </c>
      <c r="N4598" s="200"/>
      <c r="O4598" s="178"/>
      <c r="P4598" s="231"/>
      <c r="Q4598" s="224"/>
    </row>
    <row r="4599" spans="1:17" s="225" customFormat="1" ht="10.5" x14ac:dyDescent="0.25">
      <c r="A4599" s="229"/>
      <c r="B4599" s="230"/>
      <c r="C4599" s="177"/>
      <c r="D4599" s="178"/>
      <c r="E4599" s="178"/>
      <c r="F4599" s="178"/>
      <c r="G4599" s="178"/>
      <c r="H4599" s="178"/>
      <c r="I4599" s="178"/>
      <c r="J4599" s="178"/>
      <c r="K4599" s="178"/>
      <c r="L4599" s="178"/>
      <c r="M4599" s="178"/>
      <c r="N4599" s="200"/>
      <c r="O4599" s="178"/>
      <c r="P4599" s="231"/>
      <c r="Q4599" s="224"/>
    </row>
    <row r="4600" spans="1:17" s="225" customFormat="1" ht="10.5" x14ac:dyDescent="0.25">
      <c r="A4600" s="229"/>
      <c r="B4600" s="232" t="s">
        <v>5</v>
      </c>
      <c r="C4600" s="182" t="s">
        <v>1328</v>
      </c>
      <c r="D4600" s="182"/>
      <c r="E4600" s="177"/>
      <c r="F4600" s="182"/>
      <c r="G4600" s="182"/>
      <c r="H4600" s="182"/>
      <c r="I4600" s="182"/>
      <c r="J4600" s="182"/>
      <c r="K4600" s="178"/>
      <c r="L4600" s="182"/>
      <c r="M4600" s="177">
        <f>SUM(M4598:M4598)</f>
        <v>6</v>
      </c>
      <c r="N4600" s="177"/>
      <c r="O4600" s="177"/>
      <c r="P4600" s="233"/>
      <c r="Q4600" s="224"/>
    </row>
    <row r="4601" spans="1:17" s="228" customFormat="1" ht="21" x14ac:dyDescent="0.25">
      <c r="A4601" s="226" t="str">
        <f>ORÇAMENTO!A859</f>
        <v>7.1.2.6.6</v>
      </c>
      <c r="B4601" s="227" t="str">
        <f>VLOOKUP(A4601,ORÇAMENTO!A:K,4,0)</f>
        <v>ESCADA DE MADEIRA PARA OBRA, EM TÁBUA DE CONSTRUÇÃO, LARGURA 1,00M</v>
      </c>
      <c r="C4601" s="173" t="str">
        <f>VLOOKUP(A4601,ORÇAMENTO!A:K,5,0)</f>
        <v>M</v>
      </c>
      <c r="D4601" s="173">
        <f>ROUND(SUM(E4604:O4604),2)</f>
        <v>35.89</v>
      </c>
      <c r="E4601" s="173" t="s">
        <v>1718</v>
      </c>
      <c r="F4601" s="173" t="s">
        <v>1719</v>
      </c>
      <c r="G4601" s="173" t="s">
        <v>1720</v>
      </c>
      <c r="H4601" s="173" t="s">
        <v>1721</v>
      </c>
      <c r="I4601" s="173" t="s">
        <v>1722</v>
      </c>
      <c r="J4601" s="173" t="s">
        <v>1723</v>
      </c>
      <c r="K4601" s="173" t="s">
        <v>1724</v>
      </c>
      <c r="L4601" s="173" t="s">
        <v>1804</v>
      </c>
      <c r="M4601" s="173" t="s">
        <v>1726</v>
      </c>
      <c r="N4601" s="173" t="s">
        <v>1727</v>
      </c>
      <c r="O4601" s="173" t="s">
        <v>1728</v>
      </c>
      <c r="P4601" s="224"/>
      <c r="Q4601" s="224"/>
    </row>
    <row r="4602" spans="1:17" s="225" customFormat="1" ht="63" x14ac:dyDescent="0.25">
      <c r="A4602" s="229"/>
      <c r="B4602" s="230" t="s">
        <v>1741</v>
      </c>
      <c r="C4602" s="177"/>
      <c r="D4602" s="178"/>
      <c r="E4602" s="178"/>
      <c r="F4602" s="178"/>
      <c r="G4602" s="178">
        <f>QUANTBL!J356</f>
        <v>35.890696899999995</v>
      </c>
      <c r="H4602" s="178"/>
      <c r="I4602" s="178"/>
      <c r="J4602" s="178"/>
      <c r="K4602" s="178"/>
      <c r="L4602" s="178"/>
      <c r="M4602" s="178"/>
      <c r="N4602" s="200"/>
      <c r="O4602" s="178"/>
      <c r="P4602" s="231"/>
      <c r="Q4602" s="224"/>
    </row>
    <row r="4603" spans="1:17" s="225" customFormat="1" ht="10.5" x14ac:dyDescent="0.25">
      <c r="A4603" s="229"/>
      <c r="B4603" s="230"/>
      <c r="C4603" s="177"/>
      <c r="D4603" s="178"/>
      <c r="E4603" s="178"/>
      <c r="F4603" s="178"/>
      <c r="G4603" s="178"/>
      <c r="H4603" s="178"/>
      <c r="I4603" s="178"/>
      <c r="J4603" s="178"/>
      <c r="K4603" s="178"/>
      <c r="L4603" s="178"/>
      <c r="M4603" s="178"/>
      <c r="N4603" s="200"/>
      <c r="O4603" s="178"/>
      <c r="P4603" s="231"/>
      <c r="Q4603" s="224"/>
    </row>
    <row r="4604" spans="1:17" s="225" customFormat="1" ht="10.5" x14ac:dyDescent="0.25">
      <c r="A4604" s="229"/>
      <c r="B4604" s="232" t="s">
        <v>5</v>
      </c>
      <c r="C4604" s="182" t="s">
        <v>1328</v>
      </c>
      <c r="D4604" s="182"/>
      <c r="E4604" s="177"/>
      <c r="F4604" s="182"/>
      <c r="G4604" s="177">
        <f>SUM(G4602:G4602)</f>
        <v>35.890696899999995</v>
      </c>
      <c r="H4604" s="182"/>
      <c r="I4604" s="182"/>
      <c r="J4604" s="182"/>
      <c r="K4604" s="178"/>
      <c r="L4604" s="182"/>
      <c r="M4604" s="177"/>
      <c r="N4604" s="177"/>
      <c r="O4604" s="177"/>
      <c r="P4604" s="233"/>
      <c r="Q4604" s="224"/>
    </row>
    <row r="4605" spans="1:17" s="228" customFormat="1" ht="63" x14ac:dyDescent="0.25">
      <c r="A4605" s="226" t="str">
        <f>ORÇAMENTO!A860</f>
        <v>7.1.2.6.7</v>
      </c>
      <c r="B4605" s="227" t="str">
        <f>VLOOKUP(A4605,ORÇAMENTO!A:K,4,0)</f>
        <v>ESCAVAÇÃO MECANIZADA DE VALA COM PROF. ATÉ 1,5 M (MÉDIA MONTANTE E JUSANTE/UMA COMPOSIÇÃO POR TRECHO), ESCAVADEIRA (0,8 M3),LARG. MENOR QUE 1,5 M, EM SOLO DE MOLE, EM LOCAIS COM ALTO NÍVEL DE INTERFERÊNCIA. AF_09/2024</v>
      </c>
      <c r="C4605" s="173" t="str">
        <f>VLOOKUP(A4605,ORÇAMENTO!A:K,5,0)</f>
        <v>M³</v>
      </c>
      <c r="D4605" s="173">
        <f>ROUND(SUM(E4610:O4610),2)</f>
        <v>179.18</v>
      </c>
      <c r="E4605" s="173" t="s">
        <v>1718</v>
      </c>
      <c r="F4605" s="173" t="s">
        <v>1719</v>
      </c>
      <c r="G4605" s="173" t="s">
        <v>1720</v>
      </c>
      <c r="H4605" s="173" t="s">
        <v>1721</v>
      </c>
      <c r="I4605" s="173" t="s">
        <v>1722</v>
      </c>
      <c r="J4605" s="173" t="s">
        <v>1723</v>
      </c>
      <c r="K4605" s="173" t="s">
        <v>1724</v>
      </c>
      <c r="L4605" s="173" t="s">
        <v>1804</v>
      </c>
      <c r="M4605" s="173" t="s">
        <v>1726</v>
      </c>
      <c r="N4605" s="173" t="s">
        <v>1805</v>
      </c>
      <c r="O4605" s="173" t="s">
        <v>1728</v>
      </c>
      <c r="P4605" s="224"/>
      <c r="Q4605" s="224"/>
    </row>
    <row r="4606" spans="1:17" s="225" customFormat="1" ht="10.5" x14ac:dyDescent="0.25">
      <c r="A4606" s="229"/>
      <c r="B4606" s="230"/>
      <c r="C4606" s="177"/>
      <c r="D4606" s="178"/>
      <c r="E4606" s="178"/>
      <c r="F4606" s="178"/>
      <c r="G4606" s="178"/>
      <c r="H4606" s="178"/>
      <c r="I4606" s="178"/>
      <c r="J4606" s="178"/>
      <c r="K4606" s="178"/>
      <c r="L4606" s="178"/>
      <c r="M4606" s="178"/>
      <c r="N4606" s="200"/>
      <c r="O4606" s="178"/>
      <c r="P4606" s="231"/>
      <c r="Q4606" s="224"/>
    </row>
    <row r="4607" spans="1:17" s="225" customFormat="1" ht="21" x14ac:dyDescent="0.25">
      <c r="A4607" s="229"/>
      <c r="B4607" s="230" t="s">
        <v>1808</v>
      </c>
      <c r="C4607" s="177"/>
      <c r="D4607" s="178"/>
      <c r="E4607" s="178"/>
      <c r="F4607" s="178"/>
      <c r="G4607" s="178"/>
      <c r="H4607" s="178"/>
      <c r="I4607" s="178"/>
      <c r="J4607" s="178"/>
      <c r="K4607" s="178"/>
      <c r="L4607" s="178"/>
      <c r="M4607" s="178"/>
      <c r="N4607" s="200"/>
      <c r="O4607" s="178">
        <f>QUANTBL!AC356</f>
        <v>179.17500000000001</v>
      </c>
      <c r="P4607" s="231"/>
      <c r="Q4607" s="224"/>
    </row>
    <row r="4608" spans="1:17" s="225" customFormat="1" ht="10.5" x14ac:dyDescent="0.25">
      <c r="A4608" s="229"/>
      <c r="B4608" s="230"/>
      <c r="C4608" s="177"/>
      <c r="D4608" s="178"/>
      <c r="E4608" s="178"/>
      <c r="F4608" s="178"/>
      <c r="G4608" s="178"/>
      <c r="H4608" s="178"/>
      <c r="I4608" s="178"/>
      <c r="J4608" s="178"/>
      <c r="K4608" s="178"/>
      <c r="L4608" s="178"/>
      <c r="M4608" s="178"/>
      <c r="N4608" s="200"/>
      <c r="O4608" s="178"/>
      <c r="P4608" s="231"/>
      <c r="Q4608" s="224"/>
    </row>
    <row r="4609" spans="1:17" s="225" customFormat="1" ht="10.5" x14ac:dyDescent="0.25">
      <c r="A4609" s="229"/>
      <c r="B4609" s="230"/>
      <c r="C4609" s="177"/>
      <c r="D4609" s="178"/>
      <c r="E4609" s="178"/>
      <c r="F4609" s="178"/>
      <c r="G4609" s="178"/>
      <c r="H4609" s="178"/>
      <c r="I4609" s="178"/>
      <c r="J4609" s="178"/>
      <c r="K4609" s="178"/>
      <c r="L4609" s="178"/>
      <c r="M4609" s="178"/>
      <c r="N4609" s="200"/>
      <c r="O4609" s="178"/>
      <c r="P4609" s="231"/>
      <c r="Q4609" s="224"/>
    </row>
    <row r="4610" spans="1:17" s="225" customFormat="1" ht="10.5" x14ac:dyDescent="0.25">
      <c r="A4610" s="229"/>
      <c r="B4610" s="232" t="s">
        <v>5</v>
      </c>
      <c r="C4610" s="182" t="s">
        <v>1328</v>
      </c>
      <c r="D4610" s="182"/>
      <c r="E4610" s="182"/>
      <c r="F4610" s="182"/>
      <c r="G4610" s="182"/>
      <c r="H4610" s="182"/>
      <c r="I4610" s="182"/>
      <c r="J4610" s="182"/>
      <c r="K4610" s="178"/>
      <c r="L4610" s="182"/>
      <c r="M4610" s="182"/>
      <c r="N4610" s="177"/>
      <c r="O4610" s="177">
        <f>SUM(O4606:O4607)</f>
        <v>179.17500000000001</v>
      </c>
      <c r="P4610" s="233"/>
      <c r="Q4610" s="224"/>
    </row>
    <row r="4611" spans="1:17" s="228" customFormat="1" ht="63" x14ac:dyDescent="0.25">
      <c r="A4611" s="226" t="str">
        <f>ORÇAMENTO!A861</f>
        <v>7.1.2.6.8</v>
      </c>
      <c r="B4611" s="227" t="str">
        <f>VLOOKUP(A4611,ORÇAMENTO!A:K,4,0)</f>
        <v>ESCAVAÇÃO MECANIZADA DE VALA COM PROF. MAIOR QUE 1,5 M ATÉ 3,0 M (MÉDIA MONTANTE E JUSANTE/UMA COMPOSIÇÃO POR TRECHO), ESCAVADEIRA (0,8 M3), LARGURA ATÉ 1,5 M, EM SOLO MOLE, EM LOCAIS COM ALTO NÍVEL DE INTERFERÊNCIA. AF_09/2024</v>
      </c>
      <c r="C4611" s="173" t="str">
        <f>VLOOKUP(A4611,ORÇAMENTO!A:K,5,0)</f>
        <v>M³</v>
      </c>
      <c r="D4611" s="173">
        <f>ROUND(SUM(E4616:O4616),2)</f>
        <v>139.91</v>
      </c>
      <c r="E4611" s="173" t="s">
        <v>1718</v>
      </c>
      <c r="F4611" s="173" t="s">
        <v>1719</v>
      </c>
      <c r="G4611" s="173" t="s">
        <v>1720</v>
      </c>
      <c r="H4611" s="173" t="s">
        <v>1721</v>
      </c>
      <c r="I4611" s="173" t="s">
        <v>1722</v>
      </c>
      <c r="J4611" s="173" t="s">
        <v>1723</v>
      </c>
      <c r="K4611" s="173" t="s">
        <v>1724</v>
      </c>
      <c r="L4611" s="173" t="s">
        <v>1804</v>
      </c>
      <c r="M4611" s="173" t="s">
        <v>1726</v>
      </c>
      <c r="N4611" s="173" t="s">
        <v>1805</v>
      </c>
      <c r="O4611" s="173" t="s">
        <v>1728</v>
      </c>
      <c r="P4611" s="224"/>
      <c r="Q4611" s="224"/>
    </row>
    <row r="4612" spans="1:17" s="225" customFormat="1" ht="10.5" x14ac:dyDescent="0.25">
      <c r="A4612" s="229"/>
      <c r="B4612" s="230"/>
      <c r="C4612" s="177"/>
      <c r="D4612" s="178"/>
      <c r="E4612" s="178"/>
      <c r="F4612" s="178"/>
      <c r="G4612" s="178"/>
      <c r="H4612" s="178"/>
      <c r="I4612" s="178"/>
      <c r="J4612" s="178"/>
      <c r="K4612" s="178"/>
      <c r="L4612" s="178"/>
      <c r="M4612" s="178"/>
      <c r="N4612" s="200"/>
      <c r="O4612" s="178"/>
      <c r="P4612" s="231"/>
      <c r="Q4612" s="224"/>
    </row>
    <row r="4613" spans="1:17" s="225" customFormat="1" ht="21" x14ac:dyDescent="0.25">
      <c r="A4613" s="229"/>
      <c r="B4613" s="230" t="s">
        <v>1808</v>
      </c>
      <c r="C4613" s="177"/>
      <c r="D4613" s="178"/>
      <c r="E4613" s="178"/>
      <c r="F4613" s="178"/>
      <c r="G4613" s="178"/>
      <c r="H4613" s="178"/>
      <c r="I4613" s="178"/>
      <c r="J4613" s="178"/>
      <c r="K4613" s="178"/>
      <c r="L4613" s="178"/>
      <c r="M4613" s="178"/>
      <c r="N4613" s="200"/>
      <c r="O4613" s="178">
        <f>QUANTBL!AD356</f>
        <v>139.91173999999876</v>
      </c>
      <c r="P4613" s="231"/>
      <c r="Q4613" s="224"/>
    </row>
    <row r="4614" spans="1:17" s="225" customFormat="1" ht="10.5" x14ac:dyDescent="0.25">
      <c r="A4614" s="229"/>
      <c r="B4614" s="230"/>
      <c r="C4614" s="177"/>
      <c r="D4614" s="178"/>
      <c r="E4614" s="178"/>
      <c r="F4614" s="178"/>
      <c r="G4614" s="178"/>
      <c r="H4614" s="178"/>
      <c r="I4614" s="178"/>
      <c r="J4614" s="178"/>
      <c r="K4614" s="178"/>
      <c r="L4614" s="178"/>
      <c r="M4614" s="178"/>
      <c r="N4614" s="200"/>
      <c r="O4614" s="178"/>
      <c r="P4614" s="231"/>
      <c r="Q4614" s="224"/>
    </row>
    <row r="4615" spans="1:17" s="225" customFormat="1" ht="10.5" x14ac:dyDescent="0.25">
      <c r="A4615" s="229"/>
      <c r="B4615" s="230"/>
      <c r="C4615" s="177"/>
      <c r="D4615" s="178"/>
      <c r="E4615" s="178"/>
      <c r="F4615" s="178"/>
      <c r="G4615" s="178"/>
      <c r="H4615" s="178"/>
      <c r="I4615" s="178"/>
      <c r="J4615" s="178"/>
      <c r="K4615" s="178"/>
      <c r="L4615" s="178"/>
      <c r="M4615" s="178"/>
      <c r="N4615" s="200"/>
      <c r="O4615" s="178"/>
      <c r="P4615" s="231"/>
      <c r="Q4615" s="224"/>
    </row>
    <row r="4616" spans="1:17" s="225" customFormat="1" ht="10.5" x14ac:dyDescent="0.25">
      <c r="A4616" s="229"/>
      <c r="B4616" s="232" t="s">
        <v>5</v>
      </c>
      <c r="C4616" s="182" t="s">
        <v>1328</v>
      </c>
      <c r="D4616" s="182"/>
      <c r="E4616" s="182"/>
      <c r="F4616" s="182"/>
      <c r="G4616" s="182"/>
      <c r="H4616" s="182"/>
      <c r="I4616" s="182"/>
      <c r="J4616" s="182"/>
      <c r="K4616" s="178"/>
      <c r="L4616" s="182"/>
      <c r="M4616" s="182"/>
      <c r="N4616" s="177"/>
      <c r="O4616" s="177">
        <f>SUM(O4612:O4613)</f>
        <v>139.91173999999876</v>
      </c>
      <c r="P4616" s="233"/>
      <c r="Q4616" s="224"/>
    </row>
    <row r="4617" spans="1:17" s="228" customFormat="1" ht="63" x14ac:dyDescent="0.25">
      <c r="A4617" s="226" t="str">
        <f>ORÇAMENTO!A862</f>
        <v>7.1.2.6.9</v>
      </c>
      <c r="B4617" s="227" t="str">
        <f>VLOOKUP(A4617,ORÇAMENTO!A:K,4,0)</f>
        <v>ESCAVAÇÃO MECANIZADA DE VALA COM PROF. MAIOR QUE 3,0 M ATÉ 4,5 M (MÉDIA MONTANTE E JUSANTE/UMA COMPOSIÇÃO POR TRECHO), ESCAVADEIRA (0,8 M3), LARG. MENOR QUE 1,5 M, EM SOLO MOLE, EM LOCAIS COM ALTO NÍVEL DE INTERFERÊNCIA. AF_09/2024</v>
      </c>
      <c r="C4617" s="173" t="str">
        <f>VLOOKUP(A4617,ORÇAMENTO!A:K,5,0)</f>
        <v>M³</v>
      </c>
      <c r="D4617" s="173">
        <f>ROUND(SUM(E4622:O4622),2)</f>
        <v>25.97</v>
      </c>
      <c r="E4617" s="173" t="s">
        <v>1718</v>
      </c>
      <c r="F4617" s="173" t="s">
        <v>1719</v>
      </c>
      <c r="G4617" s="173" t="s">
        <v>1720</v>
      </c>
      <c r="H4617" s="173" t="s">
        <v>1721</v>
      </c>
      <c r="I4617" s="173" t="s">
        <v>1722</v>
      </c>
      <c r="J4617" s="173" t="s">
        <v>1723</v>
      </c>
      <c r="K4617" s="173" t="s">
        <v>1724</v>
      </c>
      <c r="L4617" s="173" t="s">
        <v>1804</v>
      </c>
      <c r="M4617" s="173" t="s">
        <v>1726</v>
      </c>
      <c r="N4617" s="173" t="s">
        <v>1805</v>
      </c>
      <c r="O4617" s="173" t="s">
        <v>1728</v>
      </c>
      <c r="P4617" s="224"/>
      <c r="Q4617" s="224"/>
    </row>
    <row r="4618" spans="1:17" s="225" customFormat="1" ht="10.5" x14ac:dyDescent="0.25">
      <c r="A4618" s="229"/>
      <c r="B4618" s="230"/>
      <c r="C4618" s="177"/>
      <c r="D4618" s="178"/>
      <c r="E4618" s="178"/>
      <c r="F4618" s="178"/>
      <c r="G4618" s="178"/>
      <c r="H4618" s="178"/>
      <c r="I4618" s="178"/>
      <c r="J4618" s="178"/>
      <c r="K4618" s="178"/>
      <c r="L4618" s="178"/>
      <c r="M4618" s="178"/>
      <c r="N4618" s="200"/>
      <c r="O4618" s="178"/>
      <c r="P4618" s="231"/>
      <c r="Q4618" s="224"/>
    </row>
    <row r="4619" spans="1:17" s="225" customFormat="1" ht="21" x14ac:dyDescent="0.25">
      <c r="A4619" s="229"/>
      <c r="B4619" s="230" t="s">
        <v>1808</v>
      </c>
      <c r="C4619" s="177"/>
      <c r="D4619" s="178"/>
      <c r="E4619" s="178"/>
      <c r="F4619" s="178"/>
      <c r="G4619" s="178"/>
      <c r="H4619" s="178"/>
      <c r="I4619" s="178"/>
      <c r="J4619" s="178"/>
      <c r="K4619" s="178"/>
      <c r="L4619" s="178"/>
      <c r="M4619" s="178"/>
      <c r="N4619" s="200"/>
      <c r="O4619" s="178">
        <f>QUANTBL!AE356</f>
        <v>25.968828000000364</v>
      </c>
      <c r="P4619" s="231"/>
      <c r="Q4619" s="224"/>
    </row>
    <row r="4620" spans="1:17" s="225" customFormat="1" ht="10.5" x14ac:dyDescent="0.25">
      <c r="A4620" s="229"/>
      <c r="B4620" s="230"/>
      <c r="C4620" s="177"/>
      <c r="D4620" s="178"/>
      <c r="E4620" s="178"/>
      <c r="F4620" s="178"/>
      <c r="G4620" s="178"/>
      <c r="H4620" s="178"/>
      <c r="I4620" s="178"/>
      <c r="J4620" s="178"/>
      <c r="K4620" s="178"/>
      <c r="L4620" s="178"/>
      <c r="M4620" s="178"/>
      <c r="N4620" s="200"/>
      <c r="O4620" s="178"/>
      <c r="P4620" s="231"/>
      <c r="Q4620" s="224"/>
    </row>
    <row r="4621" spans="1:17" s="225" customFormat="1" ht="10.5" x14ac:dyDescent="0.25">
      <c r="A4621" s="229"/>
      <c r="B4621" s="230"/>
      <c r="C4621" s="177"/>
      <c r="D4621" s="178"/>
      <c r="E4621" s="178"/>
      <c r="F4621" s="178"/>
      <c r="G4621" s="178"/>
      <c r="H4621" s="178"/>
      <c r="I4621" s="178"/>
      <c r="J4621" s="178"/>
      <c r="K4621" s="178"/>
      <c r="L4621" s="178"/>
      <c r="M4621" s="178"/>
      <c r="N4621" s="200"/>
      <c r="O4621" s="178"/>
      <c r="P4621" s="231"/>
      <c r="Q4621" s="224"/>
    </row>
    <row r="4622" spans="1:17" s="225" customFormat="1" ht="10.5" x14ac:dyDescent="0.25">
      <c r="A4622" s="229"/>
      <c r="B4622" s="232" t="s">
        <v>5</v>
      </c>
      <c r="C4622" s="182" t="s">
        <v>1328</v>
      </c>
      <c r="D4622" s="182"/>
      <c r="E4622" s="182"/>
      <c r="F4622" s="182"/>
      <c r="G4622" s="182"/>
      <c r="H4622" s="182"/>
      <c r="I4622" s="182"/>
      <c r="J4622" s="182"/>
      <c r="K4622" s="178"/>
      <c r="L4622" s="182"/>
      <c r="M4622" s="182"/>
      <c r="N4622" s="177"/>
      <c r="O4622" s="177">
        <f>SUM(O4618:O4619)</f>
        <v>25.968828000000364</v>
      </c>
      <c r="P4622" s="233"/>
      <c r="Q4622" s="224"/>
    </row>
    <row r="4623" spans="1:17" s="228" customFormat="1" ht="63" x14ac:dyDescent="0.25">
      <c r="A4623" s="226" t="str">
        <f>ORÇAMENTO!A863</f>
        <v>7.1.2.6.10</v>
      </c>
      <c r="B4623" s="227" t="str">
        <f>VLOOKUP(A4623,ORÇAMENTO!A:K,4,0)</f>
        <v>ESCAVAÇÃO MECANIZADA DE VALA COM PROF. ATÉ 1,5 M (MÉDIA MONTANTE E JUSANTE/UMA COMPOSIÇÃO POR TRECHO), ESCAVADEIRA (0,8 M3), LARG. DE 1,5 M A 2,5 M, EM SOLO MOLE, EM LOCAIS COM ALTO NÍVEL DE INTERFERÊNCIA. AF_09/2024</v>
      </c>
      <c r="C4623" s="173" t="str">
        <f>VLOOKUP(A4623,ORÇAMENTO!A:K,5,0)</f>
        <v>M³</v>
      </c>
      <c r="D4623" s="173">
        <f>ROUND(SUM(E4627:O4627),2)</f>
        <v>174.63</v>
      </c>
      <c r="E4623" s="173" t="s">
        <v>1718</v>
      </c>
      <c r="F4623" s="173" t="s">
        <v>1719</v>
      </c>
      <c r="G4623" s="173" t="s">
        <v>1720</v>
      </c>
      <c r="H4623" s="173" t="s">
        <v>1721</v>
      </c>
      <c r="I4623" s="173" t="s">
        <v>1722</v>
      </c>
      <c r="J4623" s="173" t="s">
        <v>1723</v>
      </c>
      <c r="K4623" s="173" t="s">
        <v>1724</v>
      </c>
      <c r="L4623" s="173" t="s">
        <v>1804</v>
      </c>
      <c r="M4623" s="173" t="s">
        <v>1726</v>
      </c>
      <c r="N4623" s="173" t="s">
        <v>1809</v>
      </c>
      <c r="O4623" s="173" t="s">
        <v>1728</v>
      </c>
      <c r="P4623" s="224"/>
      <c r="Q4623" s="224"/>
    </row>
    <row r="4624" spans="1:17" s="225" customFormat="1" ht="10.5" x14ac:dyDescent="0.25">
      <c r="A4624" s="229"/>
      <c r="B4624" s="230"/>
      <c r="C4624" s="177"/>
      <c r="D4624" s="178"/>
      <c r="E4624" s="178"/>
      <c r="F4624" s="178"/>
      <c r="G4624" s="178"/>
      <c r="H4624" s="178"/>
      <c r="I4624" s="178"/>
      <c r="J4624" s="178"/>
      <c r="K4624" s="178"/>
      <c r="L4624" s="178"/>
      <c r="M4624" s="178"/>
      <c r="N4624" s="200"/>
      <c r="O4624" s="178"/>
      <c r="P4624" s="231"/>
      <c r="Q4624" s="224"/>
    </row>
    <row r="4625" spans="1:17" s="225" customFormat="1" ht="10.5" x14ac:dyDescent="0.25">
      <c r="A4625" s="229"/>
      <c r="B4625" s="230" t="s">
        <v>1810</v>
      </c>
      <c r="C4625" s="177"/>
      <c r="D4625" s="178"/>
      <c r="E4625" s="178"/>
      <c r="F4625" s="178"/>
      <c r="G4625" s="178"/>
      <c r="H4625" s="178"/>
      <c r="I4625" s="178"/>
      <c r="J4625" s="178"/>
      <c r="K4625" s="178"/>
      <c r="L4625" s="178"/>
      <c r="M4625" s="178"/>
      <c r="N4625" s="200"/>
      <c r="O4625" s="178">
        <f>QUANTBL!CE356</f>
        <v>174.62701647999907</v>
      </c>
      <c r="P4625" s="231"/>
      <c r="Q4625" s="224"/>
    </row>
    <row r="4626" spans="1:17" s="225" customFormat="1" ht="10.5" x14ac:dyDescent="0.25">
      <c r="A4626" s="229"/>
      <c r="B4626" s="230"/>
      <c r="C4626" s="177"/>
      <c r="D4626" s="178"/>
      <c r="E4626" s="178"/>
      <c r="F4626" s="178"/>
      <c r="G4626" s="178"/>
      <c r="H4626" s="178"/>
      <c r="I4626" s="178"/>
      <c r="J4626" s="178"/>
      <c r="K4626" s="178"/>
      <c r="L4626" s="178"/>
      <c r="M4626" s="178"/>
      <c r="N4626" s="200"/>
      <c r="O4626" s="178"/>
      <c r="P4626" s="231"/>
      <c r="Q4626" s="224"/>
    </row>
    <row r="4627" spans="1:17" s="225" customFormat="1" ht="10.5" x14ac:dyDescent="0.25">
      <c r="A4627" s="229"/>
      <c r="B4627" s="232" t="s">
        <v>5</v>
      </c>
      <c r="C4627" s="182" t="s">
        <v>1328</v>
      </c>
      <c r="D4627" s="182"/>
      <c r="E4627" s="182"/>
      <c r="F4627" s="182"/>
      <c r="G4627" s="182"/>
      <c r="H4627" s="182"/>
      <c r="I4627" s="182"/>
      <c r="J4627" s="182"/>
      <c r="K4627" s="178"/>
      <c r="L4627" s="182"/>
      <c r="M4627" s="182"/>
      <c r="N4627" s="177"/>
      <c r="O4627" s="177">
        <f>SUM(O4624:O4626)</f>
        <v>174.62701647999907</v>
      </c>
      <c r="P4627" s="233"/>
      <c r="Q4627" s="224"/>
    </row>
    <row r="4628" spans="1:17" s="228" customFormat="1" ht="63" x14ac:dyDescent="0.25">
      <c r="A4628" s="226" t="str">
        <f>ORÇAMENTO!A864</f>
        <v>7.1.2.6.11</v>
      </c>
      <c r="B4628" s="227" t="str">
        <f>VLOOKUP(A4628,ORÇAMENTO!A:K,4,0)</f>
        <v>ESCAVAÇÃO MECANIZADA DE VALA COM PROF. MAIOR QUE 1,5 M ATÉ 3,0 M (MÉDIA MONTANTE E JUSANTE/UMA COMPOSIÇÃO POR TRECHO),COM ESCAVADEIRA (1,2 M3),LARG. DE 1,5 M A 2,5 M, EM SOLO MOLE, EM LOCAIS COM ALTO NÍVEL DE INTERFERÊNCIA. AF_09/2024</v>
      </c>
      <c r="C4628" s="173" t="str">
        <f>VLOOKUP(A4628,ORÇAMENTO!A:K,5,0)</f>
        <v>M³</v>
      </c>
      <c r="D4628" s="173">
        <f>ROUND(SUM(E4632:O4632),2)</f>
        <v>128.35</v>
      </c>
      <c r="E4628" s="173" t="s">
        <v>1718</v>
      </c>
      <c r="F4628" s="173" t="s">
        <v>1719</v>
      </c>
      <c r="G4628" s="173" t="s">
        <v>1720</v>
      </c>
      <c r="H4628" s="173" t="s">
        <v>1721</v>
      </c>
      <c r="I4628" s="173" t="s">
        <v>1722</v>
      </c>
      <c r="J4628" s="173" t="s">
        <v>1723</v>
      </c>
      <c r="K4628" s="173" t="s">
        <v>1724</v>
      </c>
      <c r="L4628" s="173" t="s">
        <v>1804</v>
      </c>
      <c r="M4628" s="173" t="s">
        <v>1726</v>
      </c>
      <c r="N4628" s="173" t="s">
        <v>1809</v>
      </c>
      <c r="O4628" s="173" t="s">
        <v>1728</v>
      </c>
      <c r="P4628" s="224"/>
      <c r="Q4628" s="224"/>
    </row>
    <row r="4629" spans="1:17" s="225" customFormat="1" ht="10.5" x14ac:dyDescent="0.25">
      <c r="A4629" s="229"/>
      <c r="B4629" s="230"/>
      <c r="C4629" s="177"/>
      <c r="D4629" s="178"/>
      <c r="E4629" s="178"/>
      <c r="F4629" s="178"/>
      <c r="G4629" s="178"/>
      <c r="H4629" s="178"/>
      <c r="I4629" s="178"/>
      <c r="J4629" s="178"/>
      <c r="K4629" s="178"/>
      <c r="L4629" s="178"/>
      <c r="M4629" s="178"/>
      <c r="N4629" s="200"/>
      <c r="O4629" s="178"/>
      <c r="P4629" s="231"/>
      <c r="Q4629" s="224"/>
    </row>
    <row r="4630" spans="1:17" s="225" customFormat="1" ht="10.5" x14ac:dyDescent="0.25">
      <c r="A4630" s="229"/>
      <c r="B4630" s="230" t="s">
        <v>1810</v>
      </c>
      <c r="C4630" s="177"/>
      <c r="D4630" s="178"/>
      <c r="E4630" s="178"/>
      <c r="F4630" s="178"/>
      <c r="G4630" s="178"/>
      <c r="H4630" s="178"/>
      <c r="I4630" s="178"/>
      <c r="J4630" s="178"/>
      <c r="K4630" s="178"/>
      <c r="L4630" s="178"/>
      <c r="M4630" s="178"/>
      <c r="N4630" s="200"/>
      <c r="O4630" s="178">
        <f>QUANTBL!CF356</f>
        <v>128.35228727999998</v>
      </c>
      <c r="P4630" s="231"/>
      <c r="Q4630" s="224"/>
    </row>
    <row r="4631" spans="1:17" s="225" customFormat="1" ht="10.5" x14ac:dyDescent="0.25">
      <c r="A4631" s="229"/>
      <c r="B4631" s="230"/>
      <c r="C4631" s="177"/>
      <c r="D4631" s="178"/>
      <c r="E4631" s="178"/>
      <c r="F4631" s="178"/>
      <c r="G4631" s="178"/>
      <c r="H4631" s="178"/>
      <c r="I4631" s="178"/>
      <c r="J4631" s="178"/>
      <c r="K4631" s="178"/>
      <c r="L4631" s="178"/>
      <c r="M4631" s="178"/>
      <c r="N4631" s="200"/>
      <c r="O4631" s="178"/>
      <c r="P4631" s="231"/>
      <c r="Q4631" s="224"/>
    </row>
    <row r="4632" spans="1:17" s="225" customFormat="1" ht="10.5" x14ac:dyDescent="0.25">
      <c r="A4632" s="229"/>
      <c r="B4632" s="232" t="s">
        <v>5</v>
      </c>
      <c r="C4632" s="182" t="s">
        <v>1328</v>
      </c>
      <c r="D4632" s="182"/>
      <c r="E4632" s="182"/>
      <c r="F4632" s="182"/>
      <c r="G4632" s="182"/>
      <c r="H4632" s="182"/>
      <c r="I4632" s="182"/>
      <c r="J4632" s="182"/>
      <c r="K4632" s="178"/>
      <c r="L4632" s="182"/>
      <c r="M4632" s="182"/>
      <c r="N4632" s="177"/>
      <c r="O4632" s="177">
        <f>SUM(O4629:O4631)</f>
        <v>128.35228727999998</v>
      </c>
      <c r="P4632" s="233"/>
      <c r="Q4632" s="224"/>
    </row>
    <row r="4633" spans="1:17" s="228" customFormat="1" ht="63" x14ac:dyDescent="0.25">
      <c r="A4633" s="226" t="str">
        <f>ORÇAMENTO!A865</f>
        <v>7.1.2.6.12</v>
      </c>
      <c r="B4633" s="227" t="str">
        <f>VLOOKUP(A4633,ORÇAMENTO!A:K,4,0)</f>
        <v>ESCAVAÇÃO MECANIZADA DE VALA COM PROF. ATÉ 1,5 M (MÉDIA MONTANTE E JUSANTE/UMA COMPOSIÇÃO POR TRECHO), ESCAVADEIRA (0,8 M3), LARG. MENOR QUE 1,5 M, EM SOLO DE 1A CATEGORIA, EM LOCAIS COM ALTO NÍVEL DE INTERFERÊNCIA. AF_09/2024</v>
      </c>
      <c r="C4633" s="173" t="str">
        <f>VLOOKUP(A4633,ORÇAMENTO!A:K,5,0)</f>
        <v>M³</v>
      </c>
      <c r="D4633" s="173">
        <f>ROUND(SUM(E4638:O4638),2)</f>
        <v>235.58</v>
      </c>
      <c r="E4633" s="173" t="s">
        <v>1718</v>
      </c>
      <c r="F4633" s="173" t="s">
        <v>1719</v>
      </c>
      <c r="G4633" s="173" t="s">
        <v>1720</v>
      </c>
      <c r="H4633" s="173" t="s">
        <v>1721</v>
      </c>
      <c r="I4633" s="173" t="s">
        <v>1722</v>
      </c>
      <c r="J4633" s="173" t="s">
        <v>1723</v>
      </c>
      <c r="K4633" s="173" t="s">
        <v>1724</v>
      </c>
      <c r="L4633" s="173" t="s">
        <v>1804</v>
      </c>
      <c r="M4633" s="173" t="s">
        <v>1726</v>
      </c>
      <c r="N4633" s="173" t="s">
        <v>1805</v>
      </c>
      <c r="O4633" s="173" t="s">
        <v>1728</v>
      </c>
      <c r="P4633" s="224"/>
      <c r="Q4633" s="224"/>
    </row>
    <row r="4634" spans="1:17" s="225" customFormat="1" ht="10.5" x14ac:dyDescent="0.25">
      <c r="A4634" s="229"/>
      <c r="B4634" s="230"/>
      <c r="C4634" s="177"/>
      <c r="D4634" s="178"/>
      <c r="E4634" s="178"/>
      <c r="F4634" s="178"/>
      <c r="G4634" s="178"/>
      <c r="H4634" s="178"/>
      <c r="I4634" s="178"/>
      <c r="J4634" s="178"/>
      <c r="K4634" s="178"/>
      <c r="L4634" s="178"/>
      <c r="M4634" s="178"/>
      <c r="N4634" s="200"/>
      <c r="O4634" s="178"/>
      <c r="P4634" s="231"/>
      <c r="Q4634" s="224"/>
    </row>
    <row r="4635" spans="1:17" s="225" customFormat="1" ht="21" x14ac:dyDescent="0.25">
      <c r="A4635" s="229"/>
      <c r="B4635" s="230" t="s">
        <v>1808</v>
      </c>
      <c r="C4635" s="177"/>
      <c r="D4635" s="178"/>
      <c r="E4635" s="178"/>
      <c r="F4635" s="178"/>
      <c r="G4635" s="178"/>
      <c r="H4635" s="178"/>
      <c r="I4635" s="178"/>
      <c r="J4635" s="178"/>
      <c r="K4635" s="178"/>
      <c r="L4635" s="178"/>
      <c r="M4635" s="178"/>
      <c r="N4635" s="200"/>
      <c r="O4635" s="178">
        <f>QUANTBL!AF356</f>
        <v>235.57499999999993</v>
      </c>
      <c r="P4635" s="231"/>
      <c r="Q4635" s="224"/>
    </row>
    <row r="4636" spans="1:17" s="225" customFormat="1" ht="10.5" x14ac:dyDescent="0.25">
      <c r="A4636" s="229"/>
      <c r="B4636" s="230" t="s">
        <v>1810</v>
      </c>
      <c r="C4636" s="177"/>
      <c r="D4636" s="178"/>
      <c r="E4636" s="178"/>
      <c r="F4636" s="178"/>
      <c r="G4636" s="178"/>
      <c r="H4636" s="178"/>
      <c r="I4636" s="178"/>
      <c r="J4636" s="178"/>
      <c r="K4636" s="178"/>
      <c r="L4636" s="178"/>
      <c r="M4636" s="178"/>
      <c r="N4636" s="200"/>
      <c r="O4636" s="178"/>
      <c r="P4636" s="231"/>
      <c r="Q4636" s="224"/>
    </row>
    <row r="4637" spans="1:17" s="225" customFormat="1" ht="10.5" x14ac:dyDescent="0.25">
      <c r="A4637" s="229"/>
      <c r="B4637" s="230"/>
      <c r="C4637" s="177"/>
      <c r="D4637" s="178"/>
      <c r="E4637" s="178"/>
      <c r="F4637" s="178"/>
      <c r="G4637" s="178"/>
      <c r="H4637" s="178"/>
      <c r="I4637" s="178"/>
      <c r="J4637" s="178"/>
      <c r="K4637" s="178"/>
      <c r="L4637" s="178"/>
      <c r="M4637" s="178"/>
      <c r="N4637" s="200"/>
      <c r="O4637" s="178"/>
      <c r="P4637" s="231"/>
      <c r="Q4637" s="224"/>
    </row>
    <row r="4638" spans="1:17" s="225" customFormat="1" ht="10.5" x14ac:dyDescent="0.25">
      <c r="A4638" s="229"/>
      <c r="B4638" s="232" t="s">
        <v>5</v>
      </c>
      <c r="C4638" s="182" t="s">
        <v>1328</v>
      </c>
      <c r="D4638" s="182"/>
      <c r="E4638" s="182"/>
      <c r="F4638" s="182"/>
      <c r="G4638" s="182"/>
      <c r="H4638" s="182"/>
      <c r="I4638" s="182"/>
      <c r="J4638" s="182"/>
      <c r="K4638" s="178"/>
      <c r="L4638" s="182"/>
      <c r="M4638" s="182"/>
      <c r="N4638" s="177"/>
      <c r="O4638" s="177">
        <f>SUM(O4634:O4635)</f>
        <v>235.57499999999993</v>
      </c>
      <c r="P4638" s="233"/>
      <c r="Q4638" s="224"/>
    </row>
    <row r="4639" spans="1:17" s="228" customFormat="1" ht="63" x14ac:dyDescent="0.25">
      <c r="A4639" s="226" t="str">
        <f>ORÇAMENTO!A866</f>
        <v>7.1.2.6.13</v>
      </c>
      <c r="B4639" s="227" t="str">
        <f>VLOOKUP(A4639,ORÇAMENTO!A:K,4,0)</f>
        <v>ESCAVAÇÃO MECANIZADA DE VALA COM PROF. MAIOR QUE 1,5 M ATÉ 3,0 M (MÉDIA MONTANTE E JUSANTE/UMA COMPOSIÇÃO POR TRECHO), ESCAVADEIRA (0,8 M3), LARGURA ATÉ 1,5 M, EM SOLO DE 1A CATEGORIA, EM LOCAIS COM ALTO NÍVEL DE INTERFERÊNCIA. AF_09/2024</v>
      </c>
      <c r="C4639" s="173" t="str">
        <f>VLOOKUP(A4639,ORÇAMENTO!A:K,5,0)</f>
        <v>M³</v>
      </c>
      <c r="D4639" s="173">
        <f>ROUND(SUM(E4644:O4644),2)</f>
        <v>169.4</v>
      </c>
      <c r="E4639" s="173" t="s">
        <v>1718</v>
      </c>
      <c r="F4639" s="173" t="s">
        <v>1719</v>
      </c>
      <c r="G4639" s="173" t="s">
        <v>1720</v>
      </c>
      <c r="H4639" s="173" t="s">
        <v>1721</v>
      </c>
      <c r="I4639" s="173" t="s">
        <v>1722</v>
      </c>
      <c r="J4639" s="173" t="s">
        <v>1723</v>
      </c>
      <c r="K4639" s="173" t="s">
        <v>1724</v>
      </c>
      <c r="L4639" s="173" t="s">
        <v>1804</v>
      </c>
      <c r="M4639" s="173" t="s">
        <v>1726</v>
      </c>
      <c r="N4639" s="173" t="s">
        <v>1805</v>
      </c>
      <c r="O4639" s="173" t="s">
        <v>1728</v>
      </c>
      <c r="P4639" s="224"/>
      <c r="Q4639" s="224"/>
    </row>
    <row r="4640" spans="1:17" s="225" customFormat="1" ht="10.5" x14ac:dyDescent="0.25">
      <c r="A4640" s="229"/>
      <c r="B4640" s="230"/>
      <c r="C4640" s="177"/>
      <c r="D4640" s="178"/>
      <c r="E4640" s="178"/>
      <c r="F4640" s="178"/>
      <c r="G4640" s="178"/>
      <c r="H4640" s="178"/>
      <c r="I4640" s="178"/>
      <c r="J4640" s="178"/>
      <c r="K4640" s="178"/>
      <c r="L4640" s="178"/>
      <c r="M4640" s="178"/>
      <c r="N4640" s="200"/>
      <c r="O4640" s="178"/>
      <c r="P4640" s="231"/>
      <c r="Q4640" s="224"/>
    </row>
    <row r="4641" spans="1:17" s="225" customFormat="1" ht="21" x14ac:dyDescent="0.25">
      <c r="A4641" s="229"/>
      <c r="B4641" s="230" t="s">
        <v>1808</v>
      </c>
      <c r="C4641" s="177"/>
      <c r="D4641" s="178"/>
      <c r="E4641" s="178"/>
      <c r="F4641" s="178"/>
      <c r="G4641" s="178"/>
      <c r="H4641" s="178"/>
      <c r="I4641" s="178"/>
      <c r="J4641" s="178"/>
      <c r="K4641" s="178"/>
      <c r="L4641" s="178"/>
      <c r="M4641" s="178"/>
      <c r="N4641" s="200"/>
      <c r="O4641" s="178">
        <f>QUANTBL!AG356</f>
        <v>169.39627000000095</v>
      </c>
      <c r="P4641" s="231"/>
      <c r="Q4641" s="224"/>
    </row>
    <row r="4642" spans="1:17" s="225" customFormat="1" ht="10.5" x14ac:dyDescent="0.25">
      <c r="A4642" s="229"/>
      <c r="B4642" s="230"/>
      <c r="C4642" s="177"/>
      <c r="D4642" s="178"/>
      <c r="E4642" s="178"/>
      <c r="F4642" s="178"/>
      <c r="G4642" s="178"/>
      <c r="H4642" s="178"/>
      <c r="I4642" s="178"/>
      <c r="J4642" s="178"/>
      <c r="K4642" s="178"/>
      <c r="L4642" s="178"/>
      <c r="M4642" s="178"/>
      <c r="N4642" s="200"/>
      <c r="O4642" s="178"/>
      <c r="P4642" s="231"/>
      <c r="Q4642" s="224"/>
    </row>
    <row r="4643" spans="1:17" s="225" customFormat="1" ht="10.5" x14ac:dyDescent="0.25">
      <c r="A4643" s="229"/>
      <c r="B4643" s="230"/>
      <c r="C4643" s="177"/>
      <c r="D4643" s="178"/>
      <c r="E4643" s="178"/>
      <c r="F4643" s="178"/>
      <c r="G4643" s="178"/>
      <c r="H4643" s="178"/>
      <c r="I4643" s="178"/>
      <c r="J4643" s="178"/>
      <c r="K4643" s="178"/>
      <c r="L4643" s="178"/>
      <c r="M4643" s="178"/>
      <c r="N4643" s="200"/>
      <c r="O4643" s="178"/>
      <c r="P4643" s="231"/>
      <c r="Q4643" s="224"/>
    </row>
    <row r="4644" spans="1:17" s="225" customFormat="1" ht="10.5" x14ac:dyDescent="0.25">
      <c r="A4644" s="229"/>
      <c r="B4644" s="232" t="s">
        <v>5</v>
      </c>
      <c r="C4644" s="182" t="s">
        <v>1328</v>
      </c>
      <c r="D4644" s="182"/>
      <c r="E4644" s="182"/>
      <c r="F4644" s="182"/>
      <c r="G4644" s="182"/>
      <c r="H4644" s="182"/>
      <c r="I4644" s="182"/>
      <c r="J4644" s="182"/>
      <c r="K4644" s="178"/>
      <c r="L4644" s="182"/>
      <c r="M4644" s="182"/>
      <c r="N4644" s="177"/>
      <c r="O4644" s="177">
        <f>SUM(O4640:O4641)</f>
        <v>169.39627000000095</v>
      </c>
      <c r="P4644" s="233"/>
      <c r="Q4644" s="224"/>
    </row>
    <row r="4645" spans="1:17" s="228" customFormat="1" ht="63" x14ac:dyDescent="0.25">
      <c r="A4645" s="226" t="str">
        <f>ORÇAMENTO!A867</f>
        <v>7.1.2.6.14</v>
      </c>
      <c r="B4645" s="227" t="str">
        <f>VLOOKUP(A4645,ORÇAMENTO!A:K,4,0)</f>
        <v>ESCAVAÇÃO MECANIZADA DE VALA COM PROF. MAIOR QUE 3,0 M ATÉ 4,5 M(MÉDIA MONTANTE E JUSANTE/UMA COMPOSIÇÃO POR TRECHO), ESCAVADEIRA (0,8 M3), LARG. MENOR QUE 1,5 M, EM SOLO DE 1A CATEGORIA, EM LOCAIS COM ALTO NÍVEL DE INTERFERÊNCIA. AF_09/2024</v>
      </c>
      <c r="C4645" s="173" t="str">
        <f>VLOOKUP(A4645,ORÇAMENTO!A:K,5,0)</f>
        <v>M³</v>
      </c>
      <c r="D4645" s="173">
        <f>ROUND(SUM(E4650:O4650),2)</f>
        <v>15.57</v>
      </c>
      <c r="E4645" s="173" t="s">
        <v>1718</v>
      </c>
      <c r="F4645" s="173" t="s">
        <v>1719</v>
      </c>
      <c r="G4645" s="173" t="s">
        <v>1720</v>
      </c>
      <c r="H4645" s="173" t="s">
        <v>1721</v>
      </c>
      <c r="I4645" s="173" t="s">
        <v>1722</v>
      </c>
      <c r="J4645" s="173" t="s">
        <v>1723</v>
      </c>
      <c r="K4645" s="173" t="s">
        <v>1724</v>
      </c>
      <c r="L4645" s="173" t="s">
        <v>1804</v>
      </c>
      <c r="M4645" s="173" t="s">
        <v>1726</v>
      </c>
      <c r="N4645" s="173" t="s">
        <v>1805</v>
      </c>
      <c r="O4645" s="173" t="s">
        <v>1728</v>
      </c>
      <c r="P4645" s="224"/>
      <c r="Q4645" s="224"/>
    </row>
    <row r="4646" spans="1:17" s="225" customFormat="1" ht="10.5" x14ac:dyDescent="0.25">
      <c r="A4646" s="229"/>
      <c r="B4646" s="230"/>
      <c r="C4646" s="177"/>
      <c r="D4646" s="178"/>
      <c r="E4646" s="178"/>
      <c r="F4646" s="178"/>
      <c r="G4646" s="178"/>
      <c r="H4646" s="178"/>
      <c r="I4646" s="178"/>
      <c r="J4646" s="178"/>
      <c r="K4646" s="178"/>
      <c r="L4646" s="178"/>
      <c r="M4646" s="178"/>
      <c r="N4646" s="200"/>
      <c r="O4646" s="178"/>
      <c r="P4646" s="231"/>
      <c r="Q4646" s="224"/>
    </row>
    <row r="4647" spans="1:17" s="225" customFormat="1" ht="21" x14ac:dyDescent="0.25">
      <c r="A4647" s="229"/>
      <c r="B4647" s="230" t="s">
        <v>1808</v>
      </c>
      <c r="C4647" s="177"/>
      <c r="D4647" s="178"/>
      <c r="E4647" s="178"/>
      <c r="F4647" s="178"/>
      <c r="G4647" s="178"/>
      <c r="H4647" s="178"/>
      <c r="I4647" s="178"/>
      <c r="J4647" s="178"/>
      <c r="K4647" s="178"/>
      <c r="L4647" s="178"/>
      <c r="M4647" s="178"/>
      <c r="N4647" s="200"/>
      <c r="O4647" s="178">
        <f>QUANTBL!AH356</f>
        <v>15.567099999999989</v>
      </c>
      <c r="P4647" s="231"/>
      <c r="Q4647" s="224"/>
    </row>
    <row r="4648" spans="1:17" s="225" customFormat="1" ht="10.5" x14ac:dyDescent="0.25">
      <c r="A4648" s="229"/>
      <c r="B4648" s="230"/>
      <c r="C4648" s="177"/>
      <c r="D4648" s="178"/>
      <c r="E4648" s="178"/>
      <c r="F4648" s="178"/>
      <c r="G4648" s="178"/>
      <c r="H4648" s="178"/>
      <c r="I4648" s="178"/>
      <c r="J4648" s="178"/>
      <c r="K4648" s="178"/>
      <c r="L4648" s="178"/>
      <c r="M4648" s="178"/>
      <c r="N4648" s="200"/>
      <c r="O4648" s="178"/>
      <c r="P4648" s="231"/>
      <c r="Q4648" s="224"/>
    </row>
    <row r="4649" spans="1:17" s="225" customFormat="1" ht="10.5" x14ac:dyDescent="0.25">
      <c r="A4649" s="229"/>
      <c r="B4649" s="230"/>
      <c r="C4649" s="177"/>
      <c r="D4649" s="178"/>
      <c r="E4649" s="178"/>
      <c r="F4649" s="178"/>
      <c r="G4649" s="178"/>
      <c r="H4649" s="178"/>
      <c r="I4649" s="178"/>
      <c r="J4649" s="178"/>
      <c r="K4649" s="178"/>
      <c r="L4649" s="178"/>
      <c r="M4649" s="178"/>
      <c r="N4649" s="200"/>
      <c r="O4649" s="178"/>
      <c r="P4649" s="231"/>
      <c r="Q4649" s="224"/>
    </row>
    <row r="4650" spans="1:17" s="225" customFormat="1" ht="10.5" x14ac:dyDescent="0.25">
      <c r="A4650" s="229"/>
      <c r="B4650" s="232" t="s">
        <v>5</v>
      </c>
      <c r="C4650" s="182" t="s">
        <v>1328</v>
      </c>
      <c r="D4650" s="182"/>
      <c r="E4650" s="182"/>
      <c r="F4650" s="182"/>
      <c r="G4650" s="182"/>
      <c r="H4650" s="182"/>
      <c r="I4650" s="182"/>
      <c r="J4650" s="182"/>
      <c r="K4650" s="178"/>
      <c r="L4650" s="182"/>
      <c r="M4650" s="182"/>
      <c r="N4650" s="177"/>
      <c r="O4650" s="177">
        <f>SUM(O4646:O4647)</f>
        <v>15.567099999999989</v>
      </c>
      <c r="P4650" s="233"/>
      <c r="Q4650" s="224"/>
    </row>
    <row r="4651" spans="1:17" s="228" customFormat="1" ht="63" x14ac:dyDescent="0.25">
      <c r="A4651" s="226" t="str">
        <f>ORÇAMENTO!A868</f>
        <v>7.1.2.6.15</v>
      </c>
      <c r="B4651" s="227" t="str">
        <f>VLOOKUP(A4651,ORÇAMENTO!A:K,4,0)</f>
        <v>ESCAVAÇÃO MECANIZADA DE VALA COM PROF. ATÉ 1,5 M (MÉDIA MONTANTE E JUSANTE/UMA COMPOSIÇÃO POR TRECHO), ESCAVADEIRA (0,8 M3), LARG. DE 1,5 M A 2,5 M, EM SOLO DE 1A CATEGORIA, EM LOCAIS COM ALTO NÍVEL DE INTERFERÊNCIA. AF_09/2024</v>
      </c>
      <c r="C4651" s="173" t="str">
        <f>VLOOKUP(A4651,ORÇAMENTO!A:K,5,0)</f>
        <v>M³</v>
      </c>
      <c r="D4651" s="173">
        <f>ROUND(SUM(E4655:O4655),2)</f>
        <v>379.08</v>
      </c>
      <c r="E4651" s="173" t="s">
        <v>1718</v>
      </c>
      <c r="F4651" s="173" t="s">
        <v>1719</v>
      </c>
      <c r="G4651" s="173" t="s">
        <v>1720</v>
      </c>
      <c r="H4651" s="173" t="s">
        <v>1721</v>
      </c>
      <c r="I4651" s="173" t="s">
        <v>1722</v>
      </c>
      <c r="J4651" s="173" t="s">
        <v>1723</v>
      </c>
      <c r="K4651" s="173" t="s">
        <v>1724</v>
      </c>
      <c r="L4651" s="173" t="s">
        <v>1804</v>
      </c>
      <c r="M4651" s="173" t="s">
        <v>1726</v>
      </c>
      <c r="N4651" s="173" t="s">
        <v>1805</v>
      </c>
      <c r="O4651" s="173" t="s">
        <v>1728</v>
      </c>
      <c r="P4651" s="224"/>
      <c r="Q4651" s="224"/>
    </row>
    <row r="4652" spans="1:17" s="225" customFormat="1" ht="10.5" x14ac:dyDescent="0.25">
      <c r="A4652" s="229"/>
      <c r="B4652" s="230"/>
      <c r="C4652" s="177"/>
      <c r="D4652" s="178"/>
      <c r="E4652" s="178"/>
      <c r="F4652" s="178"/>
      <c r="G4652" s="178"/>
      <c r="H4652" s="178"/>
      <c r="I4652" s="178"/>
      <c r="J4652" s="178"/>
      <c r="K4652" s="178"/>
      <c r="L4652" s="178"/>
      <c r="M4652" s="178"/>
      <c r="N4652" s="200"/>
      <c r="O4652" s="178"/>
      <c r="P4652" s="231"/>
      <c r="Q4652" s="224"/>
    </row>
    <row r="4653" spans="1:17" s="225" customFormat="1" ht="10.5" x14ac:dyDescent="0.25">
      <c r="A4653" s="229"/>
      <c r="B4653" s="230" t="s">
        <v>1810</v>
      </c>
      <c r="C4653" s="177"/>
      <c r="D4653" s="178"/>
      <c r="E4653" s="178"/>
      <c r="F4653" s="178"/>
      <c r="G4653" s="178"/>
      <c r="H4653" s="178"/>
      <c r="I4653" s="178"/>
      <c r="J4653" s="178"/>
      <c r="K4653" s="178"/>
      <c r="L4653" s="178"/>
      <c r="M4653" s="178"/>
      <c r="N4653" s="200"/>
      <c r="O4653" s="178">
        <f>QUANTBL!CC356</f>
        <v>379.0785431999999</v>
      </c>
      <c r="P4653" s="231"/>
      <c r="Q4653" s="224"/>
    </row>
    <row r="4654" spans="1:17" s="225" customFormat="1" ht="10.5" x14ac:dyDescent="0.25">
      <c r="A4654" s="229"/>
      <c r="B4654" s="230"/>
      <c r="C4654" s="177"/>
      <c r="D4654" s="178"/>
      <c r="E4654" s="178"/>
      <c r="F4654" s="178"/>
      <c r="G4654" s="178"/>
      <c r="H4654" s="178"/>
      <c r="I4654" s="178"/>
      <c r="J4654" s="178"/>
      <c r="K4654" s="178"/>
      <c r="L4654" s="178"/>
      <c r="M4654" s="178"/>
      <c r="N4654" s="200"/>
      <c r="O4654" s="178"/>
      <c r="P4654" s="231"/>
      <c r="Q4654" s="224"/>
    </row>
    <row r="4655" spans="1:17" s="225" customFormat="1" ht="10.5" x14ac:dyDescent="0.25">
      <c r="A4655" s="229"/>
      <c r="B4655" s="232" t="s">
        <v>5</v>
      </c>
      <c r="C4655" s="182" t="s">
        <v>1328</v>
      </c>
      <c r="D4655" s="182"/>
      <c r="E4655" s="182"/>
      <c r="F4655" s="182"/>
      <c r="G4655" s="182"/>
      <c r="H4655" s="182"/>
      <c r="I4655" s="182"/>
      <c r="J4655" s="182"/>
      <c r="K4655" s="178"/>
      <c r="L4655" s="182"/>
      <c r="M4655" s="182"/>
      <c r="N4655" s="177"/>
      <c r="O4655" s="177">
        <f>SUM(O4653:O4654)</f>
        <v>379.0785431999999</v>
      </c>
      <c r="P4655" s="233"/>
      <c r="Q4655" s="224"/>
    </row>
    <row r="4656" spans="1:17" s="228" customFormat="1" ht="63" x14ac:dyDescent="0.25">
      <c r="A4656" s="226" t="str">
        <f>ORÇAMENTO!A869</f>
        <v>7.1.2.6.16</v>
      </c>
      <c r="B4656" s="227" t="str">
        <f>VLOOKUP(A4656,ORÇAMENTO!A:K,4,0)</f>
        <v>ESCAVAÇÃO MECANIZADA DE VALA COM PROF. MAIOR QUE 1,50 M ATÉ 3,0 M (MÉDIA MONTANTE E JUSANTE/UMA COMPOSIÇÃO POR TRECHO), ESCAVADEIRA (1,2 M3), LARG. DE 1,5 M A 2,5 M, EM SOLO DE 1A CATEGORIA, EM LOCAIS COM ALTO NÍVEL DE INTERFERÊNCIA. AF_09/2024</v>
      </c>
      <c r="C4656" s="173" t="str">
        <f>VLOOKUP(A4656,ORÇAMENTO!A:K,5,0)</f>
        <v>M³</v>
      </c>
      <c r="D4656" s="173">
        <f>ROUND(SUM(E4660:O4660),2)</f>
        <v>175.97</v>
      </c>
      <c r="E4656" s="173" t="s">
        <v>1718</v>
      </c>
      <c r="F4656" s="173" t="s">
        <v>1719</v>
      </c>
      <c r="G4656" s="173" t="s">
        <v>1720</v>
      </c>
      <c r="H4656" s="173" t="s">
        <v>1721</v>
      </c>
      <c r="I4656" s="173" t="s">
        <v>1722</v>
      </c>
      <c r="J4656" s="173" t="s">
        <v>1723</v>
      </c>
      <c r="K4656" s="173" t="s">
        <v>1724</v>
      </c>
      <c r="L4656" s="173" t="s">
        <v>1804</v>
      </c>
      <c r="M4656" s="173" t="s">
        <v>1726</v>
      </c>
      <c r="N4656" s="173" t="s">
        <v>1809</v>
      </c>
      <c r="O4656" s="173" t="s">
        <v>1728</v>
      </c>
      <c r="P4656" s="224"/>
      <c r="Q4656" s="224"/>
    </row>
    <row r="4657" spans="1:17" s="225" customFormat="1" ht="10.5" x14ac:dyDescent="0.25">
      <c r="A4657" s="229"/>
      <c r="B4657" s="230"/>
      <c r="C4657" s="177"/>
      <c r="D4657" s="178"/>
      <c r="E4657" s="178"/>
      <c r="F4657" s="178"/>
      <c r="G4657" s="178"/>
      <c r="H4657" s="178"/>
      <c r="I4657" s="178"/>
      <c r="J4657" s="178"/>
      <c r="K4657" s="178"/>
      <c r="L4657" s="178"/>
      <c r="M4657" s="178"/>
      <c r="N4657" s="200"/>
      <c r="O4657" s="178"/>
      <c r="P4657" s="231"/>
      <c r="Q4657" s="224"/>
    </row>
    <row r="4658" spans="1:17" s="225" customFormat="1" ht="10.5" x14ac:dyDescent="0.25">
      <c r="A4658" s="229"/>
      <c r="B4658" s="230" t="s">
        <v>1810</v>
      </c>
      <c r="C4658" s="177"/>
      <c r="D4658" s="178"/>
      <c r="E4658" s="178"/>
      <c r="F4658" s="178"/>
      <c r="G4658" s="178"/>
      <c r="H4658" s="178"/>
      <c r="I4658" s="178"/>
      <c r="J4658" s="178"/>
      <c r="K4658" s="178"/>
      <c r="L4658" s="178"/>
      <c r="M4658" s="178"/>
      <c r="N4658" s="200"/>
      <c r="O4658" s="178">
        <f>QUANTBL!CD356</f>
        <v>175.97282640000103</v>
      </c>
      <c r="P4658" s="231"/>
      <c r="Q4658" s="224"/>
    </row>
    <row r="4659" spans="1:17" s="225" customFormat="1" ht="10.5" x14ac:dyDescent="0.25">
      <c r="A4659" s="229"/>
      <c r="B4659" s="230"/>
      <c r="C4659" s="177"/>
      <c r="D4659" s="178"/>
      <c r="E4659" s="178"/>
      <c r="F4659" s="178"/>
      <c r="G4659" s="178"/>
      <c r="H4659" s="178"/>
      <c r="I4659" s="178"/>
      <c r="J4659" s="178"/>
      <c r="K4659" s="178"/>
      <c r="L4659" s="178"/>
      <c r="M4659" s="178"/>
      <c r="N4659" s="200"/>
      <c r="O4659" s="178"/>
      <c r="P4659" s="231"/>
      <c r="Q4659" s="224"/>
    </row>
    <row r="4660" spans="1:17" s="225" customFormat="1" ht="10.5" x14ac:dyDescent="0.25">
      <c r="A4660" s="229"/>
      <c r="B4660" s="232" t="s">
        <v>5</v>
      </c>
      <c r="C4660" s="182" t="s">
        <v>1328</v>
      </c>
      <c r="D4660" s="182"/>
      <c r="E4660" s="182"/>
      <c r="F4660" s="182"/>
      <c r="G4660" s="182"/>
      <c r="H4660" s="182"/>
      <c r="I4660" s="182"/>
      <c r="J4660" s="182"/>
      <c r="K4660" s="178"/>
      <c r="L4660" s="182"/>
      <c r="M4660" s="182"/>
      <c r="N4660" s="177"/>
      <c r="O4660" s="177">
        <f>SUM(O4657:O4659)</f>
        <v>175.97282640000103</v>
      </c>
      <c r="P4660" s="233"/>
      <c r="Q4660" s="224"/>
    </row>
    <row r="4661" spans="1:17" s="228" customFormat="1" ht="31.5" x14ac:dyDescent="0.25">
      <c r="A4661" s="226" t="str">
        <f>ORÇAMENTO!A870</f>
        <v>7.1.2.6.17</v>
      </c>
      <c r="B4661" s="227" t="str">
        <f>VLOOKUP(A4661,ORÇAMENTO!A:K,4,0)</f>
        <v>ESCAVAÇÃO DE VALA EM MATERIAL DE 3ª CATEGORIA COM ESCAVADEIRA E ROMPEDOR HIDRÁULICO DE 1700KG</v>
      </c>
      <c r="C4661" s="173" t="str">
        <f>VLOOKUP(A4661,ORÇAMENTO!A:K,5,0)</f>
        <v>M³</v>
      </c>
      <c r="D4661" s="173">
        <f>ROUND(SUM(E4666:O4666),2)</f>
        <v>13.87</v>
      </c>
      <c r="E4661" s="173" t="s">
        <v>1718</v>
      </c>
      <c r="F4661" s="173" t="s">
        <v>1719</v>
      </c>
      <c r="G4661" s="173" t="s">
        <v>1720</v>
      </c>
      <c r="H4661" s="173" t="s">
        <v>1721</v>
      </c>
      <c r="I4661" s="173" t="s">
        <v>1722</v>
      </c>
      <c r="J4661" s="173" t="s">
        <v>1723</v>
      </c>
      <c r="K4661" s="173" t="s">
        <v>1724</v>
      </c>
      <c r="L4661" s="173" t="s">
        <v>1804</v>
      </c>
      <c r="M4661" s="173" t="s">
        <v>1726</v>
      </c>
      <c r="N4661" s="173" t="s">
        <v>1805</v>
      </c>
      <c r="O4661" s="173" t="s">
        <v>1728</v>
      </c>
      <c r="P4661" s="224"/>
      <c r="Q4661" s="224"/>
    </row>
    <row r="4662" spans="1:17" s="225" customFormat="1" ht="10.5" x14ac:dyDescent="0.25">
      <c r="A4662" s="229"/>
      <c r="B4662" s="230"/>
      <c r="C4662" s="177"/>
      <c r="D4662" s="178"/>
      <c r="E4662" s="178"/>
      <c r="F4662" s="178"/>
      <c r="G4662" s="178"/>
      <c r="H4662" s="178"/>
      <c r="I4662" s="178"/>
      <c r="J4662" s="178"/>
      <c r="K4662" s="178"/>
      <c r="L4662" s="178"/>
      <c r="M4662" s="178"/>
      <c r="N4662" s="200"/>
      <c r="O4662" s="178"/>
      <c r="P4662" s="231"/>
      <c r="Q4662" s="224"/>
    </row>
    <row r="4663" spans="1:17" s="225" customFormat="1" ht="21" x14ac:dyDescent="0.25">
      <c r="A4663" s="229"/>
      <c r="B4663" s="230" t="s">
        <v>1808</v>
      </c>
      <c r="C4663" s="177"/>
      <c r="D4663" s="178"/>
      <c r="E4663" s="178"/>
      <c r="F4663" s="178"/>
      <c r="G4663" s="178"/>
      <c r="H4663" s="178"/>
      <c r="I4663" s="178"/>
      <c r="J4663" s="178"/>
      <c r="K4663" s="178"/>
      <c r="L4663" s="178"/>
      <c r="M4663" s="178"/>
      <c r="N4663" s="200"/>
      <c r="O4663" s="178">
        <f>QUANTBL!AJ356</f>
        <v>0</v>
      </c>
      <c r="P4663" s="231"/>
      <c r="Q4663" s="224"/>
    </row>
    <row r="4664" spans="1:17" s="225" customFormat="1" ht="10.5" x14ac:dyDescent="0.25">
      <c r="A4664" s="229"/>
      <c r="B4664" s="230" t="s">
        <v>1810</v>
      </c>
      <c r="C4664" s="177"/>
      <c r="D4664" s="178"/>
      <c r="E4664" s="178"/>
      <c r="F4664" s="178"/>
      <c r="G4664" s="178"/>
      <c r="H4664" s="178"/>
      <c r="I4664" s="178"/>
      <c r="J4664" s="178"/>
      <c r="K4664" s="178"/>
      <c r="L4664" s="178"/>
      <c r="M4664" s="178"/>
      <c r="N4664" s="200"/>
      <c r="O4664" s="178">
        <f>QUANTBL!CG356</f>
        <v>13.871339999999986</v>
      </c>
      <c r="P4664" s="231"/>
      <c r="Q4664" s="224"/>
    </row>
    <row r="4665" spans="1:17" s="225" customFormat="1" ht="10.5" x14ac:dyDescent="0.25">
      <c r="A4665" s="229"/>
      <c r="B4665" s="230"/>
      <c r="C4665" s="177"/>
      <c r="D4665" s="178"/>
      <c r="E4665" s="178"/>
      <c r="F4665" s="178"/>
      <c r="G4665" s="178"/>
      <c r="H4665" s="178"/>
      <c r="I4665" s="178"/>
      <c r="J4665" s="178"/>
      <c r="K4665" s="178"/>
      <c r="L4665" s="178"/>
      <c r="M4665" s="178"/>
      <c r="N4665" s="200"/>
      <c r="O4665" s="178"/>
      <c r="P4665" s="231"/>
      <c r="Q4665" s="224"/>
    </row>
    <row r="4666" spans="1:17" s="225" customFormat="1" ht="10.5" x14ac:dyDescent="0.25">
      <c r="A4666" s="229"/>
      <c r="B4666" s="232" t="s">
        <v>5</v>
      </c>
      <c r="C4666" s="182" t="s">
        <v>1328</v>
      </c>
      <c r="D4666" s="182"/>
      <c r="E4666" s="182"/>
      <c r="F4666" s="182"/>
      <c r="G4666" s="182"/>
      <c r="H4666" s="182"/>
      <c r="I4666" s="182"/>
      <c r="J4666" s="182"/>
      <c r="K4666" s="178"/>
      <c r="L4666" s="182"/>
      <c r="M4666" s="182"/>
      <c r="N4666" s="177"/>
      <c r="O4666" s="177">
        <f>SUM(O4662:O4665)</f>
        <v>13.871339999999986</v>
      </c>
      <c r="P4666" s="233"/>
      <c r="Q4666" s="224"/>
    </row>
    <row r="4667" spans="1:17" s="228" customFormat="1" ht="42" x14ac:dyDescent="0.25">
      <c r="A4667" s="226" t="str">
        <f>ORÇAMENTO!A871</f>
        <v>7.1.2.6.18</v>
      </c>
      <c r="B4667" s="227" t="str">
        <f>VLOOKUP(A4667,ORÇAMENTO!A:K,4,0)</f>
        <v>ESCORAMENTO DE VALA, TIPO BLINDAGEM, COM PROFUNDIDADE DE 0 A 1,5 M, LARGURA MENOR QUE 1,5 M - EXECUÇÃO E FORNECIMENTO, INCLUI MATERIAL (ESCAVAÇÃO EXTERNA AO BLINDADO)</v>
      </c>
      <c r="C4667" s="173" t="str">
        <f>VLOOKUP(A4667,ORÇAMENTO!A:K,5,0)</f>
        <v>M²</v>
      </c>
      <c r="D4667" s="173">
        <f>ROUND(SUM(E4671:O4671),2)</f>
        <v>1802.3</v>
      </c>
      <c r="E4667" s="173" t="s">
        <v>1718</v>
      </c>
      <c r="F4667" s="173" t="s">
        <v>1719</v>
      </c>
      <c r="G4667" s="173" t="s">
        <v>1720</v>
      </c>
      <c r="H4667" s="173" t="s">
        <v>1721</v>
      </c>
      <c r="I4667" s="173" t="s">
        <v>1722</v>
      </c>
      <c r="J4667" s="173" t="s">
        <v>1723</v>
      </c>
      <c r="K4667" s="173" t="s">
        <v>1724</v>
      </c>
      <c r="L4667" s="173" t="s">
        <v>1804</v>
      </c>
      <c r="M4667" s="173" t="s">
        <v>1726</v>
      </c>
      <c r="N4667" s="173" t="s">
        <v>1811</v>
      </c>
      <c r="O4667" s="173" t="s">
        <v>1728</v>
      </c>
      <c r="P4667" s="224"/>
      <c r="Q4667" s="224"/>
    </row>
    <row r="4668" spans="1:17" s="225" customFormat="1" ht="10.5" x14ac:dyDescent="0.25">
      <c r="A4668" s="229"/>
      <c r="B4668" s="230"/>
      <c r="C4668" s="177"/>
      <c r="D4668" s="178"/>
      <c r="E4668" s="178"/>
      <c r="F4668" s="178"/>
      <c r="G4668" s="178"/>
      <c r="H4668" s="178"/>
      <c r="I4668" s="178"/>
      <c r="J4668" s="178"/>
      <c r="K4668" s="178"/>
      <c r="L4668" s="178"/>
      <c r="M4668" s="178"/>
      <c r="N4668" s="200"/>
      <c r="O4668" s="178"/>
      <c r="P4668" s="231"/>
      <c r="Q4668" s="224"/>
    </row>
    <row r="4669" spans="1:17" s="225" customFormat="1" ht="10.5" x14ac:dyDescent="0.25">
      <c r="A4669" s="229"/>
      <c r="B4669" s="230" t="s">
        <v>1812</v>
      </c>
      <c r="C4669" s="177"/>
      <c r="D4669" s="178"/>
      <c r="E4669" s="178"/>
      <c r="F4669" s="178"/>
      <c r="G4669" s="178"/>
      <c r="H4669" s="178"/>
      <c r="I4669" s="178"/>
      <c r="J4669" s="178"/>
      <c r="K4669" s="178"/>
      <c r="L4669" s="178"/>
      <c r="M4669" s="178"/>
      <c r="N4669" s="178">
        <f>QUANTBL!BQ356</f>
        <v>1802.3004640000008</v>
      </c>
      <c r="O4669" s="178"/>
      <c r="P4669" s="231"/>
      <c r="Q4669" s="224"/>
    </row>
    <row r="4670" spans="1:17" s="225" customFormat="1" ht="10.5" x14ac:dyDescent="0.25">
      <c r="A4670" s="229"/>
      <c r="B4670" s="230"/>
      <c r="C4670" s="177"/>
      <c r="D4670" s="178"/>
      <c r="E4670" s="178"/>
      <c r="F4670" s="178"/>
      <c r="G4670" s="178"/>
      <c r="H4670" s="178"/>
      <c r="I4670" s="178"/>
      <c r="J4670" s="178"/>
      <c r="K4670" s="178"/>
      <c r="L4670" s="178"/>
      <c r="M4670" s="178"/>
      <c r="N4670" s="200"/>
      <c r="O4670" s="178"/>
      <c r="P4670" s="231"/>
      <c r="Q4670" s="224"/>
    </row>
    <row r="4671" spans="1:17" s="225" customFormat="1" ht="10.5" x14ac:dyDescent="0.25">
      <c r="A4671" s="229"/>
      <c r="B4671" s="232" t="s">
        <v>5</v>
      </c>
      <c r="C4671" s="182" t="s">
        <v>1328</v>
      </c>
      <c r="D4671" s="182"/>
      <c r="E4671" s="182"/>
      <c r="F4671" s="182"/>
      <c r="G4671" s="182"/>
      <c r="H4671" s="182"/>
      <c r="I4671" s="182"/>
      <c r="J4671" s="182"/>
      <c r="K4671" s="178"/>
      <c r="L4671" s="182"/>
      <c r="M4671" s="182"/>
      <c r="N4671" s="177">
        <f>SUM(N4668:N4670)</f>
        <v>1802.3004640000008</v>
      </c>
      <c r="O4671" s="177"/>
      <c r="P4671" s="233"/>
      <c r="Q4671" s="224"/>
    </row>
    <row r="4672" spans="1:17" s="228" customFormat="1" ht="42" x14ac:dyDescent="0.25">
      <c r="A4672" s="226" t="str">
        <f>ORÇAMENTO!A872</f>
        <v>7.1.2.6.19</v>
      </c>
      <c r="B4672" s="227" t="str">
        <f>VLOOKUP(A4672,ORÇAMENTO!A:K,4,0)</f>
        <v>ESCORAMENTO DE VALA, TIPO BLINDAGEM, COM PROFUNDIDADE DE 1,5 A 3,0 M, LARGURA MENOR QUE 1,5 M - EXECUÇÃO E FORNECIMENTO, INCLUI MATERIAL (ESCAVAÇÃO INTERNA AO BLINDADO)</v>
      </c>
      <c r="C4672" s="173" t="str">
        <f>VLOOKUP(A4672,ORÇAMENTO!A:K,5,0)</f>
        <v>M²</v>
      </c>
      <c r="D4672" s="173">
        <f>ROUND(SUM(E4676:O4676),2)</f>
        <v>1279.8699999999999</v>
      </c>
      <c r="E4672" s="173" t="s">
        <v>1718</v>
      </c>
      <c r="F4672" s="173" t="s">
        <v>1719</v>
      </c>
      <c r="G4672" s="173" t="s">
        <v>1720</v>
      </c>
      <c r="H4672" s="173" t="s">
        <v>1721</v>
      </c>
      <c r="I4672" s="173" t="s">
        <v>1722</v>
      </c>
      <c r="J4672" s="173" t="s">
        <v>1723</v>
      </c>
      <c r="K4672" s="173" t="s">
        <v>1724</v>
      </c>
      <c r="L4672" s="173" t="s">
        <v>1804</v>
      </c>
      <c r="M4672" s="173" t="s">
        <v>1726</v>
      </c>
      <c r="N4672" s="173" t="s">
        <v>1811</v>
      </c>
      <c r="O4672" s="173" t="s">
        <v>1728</v>
      </c>
      <c r="P4672" s="224"/>
      <c r="Q4672" s="224"/>
    </row>
    <row r="4673" spans="1:17" s="225" customFormat="1" ht="10.5" x14ac:dyDescent="0.25">
      <c r="A4673" s="229"/>
      <c r="B4673" s="230"/>
      <c r="C4673" s="177"/>
      <c r="D4673" s="178"/>
      <c r="E4673" s="178"/>
      <c r="F4673" s="178"/>
      <c r="G4673" s="178"/>
      <c r="H4673" s="178"/>
      <c r="I4673" s="178"/>
      <c r="J4673" s="178"/>
      <c r="K4673" s="178"/>
      <c r="L4673" s="178"/>
      <c r="M4673" s="178"/>
      <c r="N4673" s="200"/>
      <c r="O4673" s="178"/>
      <c r="P4673" s="231"/>
      <c r="Q4673" s="224"/>
    </row>
    <row r="4674" spans="1:17" s="225" customFormat="1" ht="10.5" x14ac:dyDescent="0.25">
      <c r="A4674" s="229"/>
      <c r="B4674" s="230" t="s">
        <v>1812</v>
      </c>
      <c r="C4674" s="177"/>
      <c r="D4674" s="178"/>
      <c r="E4674" s="178"/>
      <c r="F4674" s="178"/>
      <c r="G4674" s="178"/>
      <c r="H4674" s="178"/>
      <c r="I4674" s="178"/>
      <c r="J4674" s="178"/>
      <c r="K4674" s="178"/>
      <c r="L4674" s="178"/>
      <c r="M4674" s="178"/>
      <c r="N4674" s="200">
        <f>QUANTBL!BR356</f>
        <v>1279.8661719999986</v>
      </c>
      <c r="O4674" s="178"/>
      <c r="P4674" s="231"/>
      <c r="Q4674" s="224"/>
    </row>
    <row r="4675" spans="1:17" s="225" customFormat="1" ht="10.5" x14ac:dyDescent="0.25">
      <c r="A4675" s="229"/>
      <c r="B4675" s="230"/>
      <c r="C4675" s="177"/>
      <c r="D4675" s="178"/>
      <c r="E4675" s="178"/>
      <c r="F4675" s="178"/>
      <c r="G4675" s="178"/>
      <c r="H4675" s="178"/>
      <c r="I4675" s="178"/>
      <c r="J4675" s="178"/>
      <c r="K4675" s="178"/>
      <c r="L4675" s="178"/>
      <c r="M4675" s="178"/>
      <c r="N4675" s="200"/>
      <c r="O4675" s="178"/>
      <c r="P4675" s="231"/>
      <c r="Q4675" s="224"/>
    </row>
    <row r="4676" spans="1:17" s="225" customFormat="1" ht="10.5" x14ac:dyDescent="0.25">
      <c r="A4676" s="229"/>
      <c r="B4676" s="232" t="s">
        <v>5</v>
      </c>
      <c r="C4676" s="182" t="s">
        <v>1328</v>
      </c>
      <c r="D4676" s="182"/>
      <c r="E4676" s="182"/>
      <c r="F4676" s="182"/>
      <c r="G4676" s="182"/>
      <c r="H4676" s="182"/>
      <c r="I4676" s="182"/>
      <c r="J4676" s="182"/>
      <c r="K4676" s="178"/>
      <c r="L4676" s="182"/>
      <c r="M4676" s="182"/>
      <c r="N4676" s="177">
        <f>SUM(N4673:N4675)</f>
        <v>1279.8661719999986</v>
      </c>
      <c r="O4676" s="177"/>
      <c r="P4676" s="233"/>
      <c r="Q4676" s="224"/>
    </row>
    <row r="4677" spans="1:17" s="228" customFormat="1" ht="42" x14ac:dyDescent="0.25">
      <c r="A4677" s="226" t="str">
        <f>ORÇAMENTO!A873</f>
        <v>7.1.2.6.20</v>
      </c>
      <c r="B4677" s="227" t="str">
        <f>VLOOKUP(A4677,ORÇAMENTO!A:K,4,0)</f>
        <v>ESCORAMENTO DE VALA, TIPO BLINDAGEM, COM PROFUNDIDADE DE 3,0 A 4,5 M, LARGURA MENOR QUE 1,5 M -EXECUÇÃO E FORNECIMENTO, INCLUI MATERIAL (ESCAVAÇÃO EXTERNA AO BLINDADO)</v>
      </c>
      <c r="C4677" s="173" t="str">
        <f>VLOOKUP(A4677,ORÇAMENTO!A:K,5,0)</f>
        <v>M²</v>
      </c>
      <c r="D4677" s="173">
        <f>ROUND(SUM(E4681:O4681),2)</f>
        <v>160.19999999999999</v>
      </c>
      <c r="E4677" s="173" t="s">
        <v>1718</v>
      </c>
      <c r="F4677" s="173" t="s">
        <v>1719</v>
      </c>
      <c r="G4677" s="173" t="s">
        <v>1720</v>
      </c>
      <c r="H4677" s="173" t="s">
        <v>1721</v>
      </c>
      <c r="I4677" s="173" t="s">
        <v>1722</v>
      </c>
      <c r="J4677" s="173" t="s">
        <v>1723</v>
      </c>
      <c r="K4677" s="173" t="s">
        <v>1724</v>
      </c>
      <c r="L4677" s="173" t="s">
        <v>1804</v>
      </c>
      <c r="M4677" s="173" t="s">
        <v>1726</v>
      </c>
      <c r="N4677" s="173" t="s">
        <v>1811</v>
      </c>
      <c r="O4677" s="173" t="s">
        <v>1728</v>
      </c>
      <c r="P4677" s="224"/>
      <c r="Q4677" s="224"/>
    </row>
    <row r="4678" spans="1:17" s="225" customFormat="1" ht="10.5" x14ac:dyDescent="0.25">
      <c r="A4678" s="229"/>
      <c r="B4678" s="230"/>
      <c r="C4678" s="177"/>
      <c r="D4678" s="178"/>
      <c r="E4678" s="178"/>
      <c r="F4678" s="178"/>
      <c r="G4678" s="178"/>
      <c r="H4678" s="178"/>
      <c r="I4678" s="178"/>
      <c r="J4678" s="178"/>
      <c r="K4678" s="178"/>
      <c r="L4678" s="178"/>
      <c r="M4678" s="178"/>
      <c r="N4678" s="200"/>
      <c r="O4678" s="178"/>
      <c r="P4678" s="231"/>
      <c r="Q4678" s="224"/>
    </row>
    <row r="4679" spans="1:17" s="225" customFormat="1" ht="10.5" x14ac:dyDescent="0.25">
      <c r="A4679" s="229"/>
      <c r="B4679" s="230" t="s">
        <v>1812</v>
      </c>
      <c r="C4679" s="177"/>
      <c r="D4679" s="178"/>
      <c r="E4679" s="178"/>
      <c r="F4679" s="178"/>
      <c r="G4679" s="178"/>
      <c r="H4679" s="178"/>
      <c r="I4679" s="178"/>
      <c r="J4679" s="178"/>
      <c r="K4679" s="178"/>
      <c r="L4679" s="178"/>
      <c r="M4679" s="178"/>
      <c r="N4679" s="200">
        <f>QUANTBL!BS356</f>
        <v>160.20185600000036</v>
      </c>
      <c r="O4679" s="178"/>
      <c r="P4679" s="231"/>
      <c r="Q4679" s="224"/>
    </row>
    <row r="4680" spans="1:17" s="225" customFormat="1" ht="10.5" x14ac:dyDescent="0.25">
      <c r="A4680" s="229"/>
      <c r="B4680" s="230"/>
      <c r="C4680" s="177"/>
      <c r="D4680" s="178"/>
      <c r="E4680" s="178"/>
      <c r="F4680" s="178"/>
      <c r="G4680" s="178"/>
      <c r="H4680" s="178"/>
      <c r="I4680" s="178"/>
      <c r="J4680" s="178"/>
      <c r="K4680" s="178"/>
      <c r="L4680" s="178"/>
      <c r="M4680" s="178"/>
      <c r="N4680" s="200"/>
      <c r="O4680" s="178"/>
      <c r="P4680" s="231"/>
      <c r="Q4680" s="224"/>
    </row>
    <row r="4681" spans="1:17" s="225" customFormat="1" ht="10.5" x14ac:dyDescent="0.25">
      <c r="A4681" s="229"/>
      <c r="B4681" s="232" t="s">
        <v>5</v>
      </c>
      <c r="C4681" s="182" t="s">
        <v>1328</v>
      </c>
      <c r="D4681" s="182"/>
      <c r="E4681" s="182"/>
      <c r="F4681" s="182"/>
      <c r="G4681" s="182"/>
      <c r="H4681" s="182"/>
      <c r="I4681" s="182"/>
      <c r="J4681" s="182"/>
      <c r="K4681" s="178"/>
      <c r="L4681" s="182"/>
      <c r="M4681" s="182"/>
      <c r="N4681" s="177">
        <f>SUM(N4678:N4680)</f>
        <v>160.20185600000036</v>
      </c>
      <c r="O4681" s="177"/>
      <c r="P4681" s="233"/>
      <c r="Q4681" s="224"/>
    </row>
    <row r="4682" spans="1:17" s="228" customFormat="1" ht="52.5" x14ac:dyDescent="0.25">
      <c r="A4682" s="226" t="str">
        <f>ORÇAMENTO!A874</f>
        <v>7.1.2.6.21</v>
      </c>
      <c r="B4682" s="227" t="str">
        <f>VLOOKUP(A4682,ORÇAMENTO!A:K,4,0)</f>
        <v>ESCORAMENTO DE VALA, TIPO BLINDADEM, COM PROFUNDIDADE DE 0 A 1,5 M, LARGURA MAIOR OU IGUAL A 1,5 M EMENOR QUE 2,5 M - EXECUÇÃO E FORNECIMENTO, INCLUI MATERIAL (ESCAVAÇÃO EXTERNA AO BLINDADO)</v>
      </c>
      <c r="C4682" s="173" t="str">
        <f>VLOOKUP(A4682,ORÇAMENTO!A:K,5,0)</f>
        <v>M²</v>
      </c>
      <c r="D4682" s="173">
        <f>ROUND(SUM(E4686:O4686),2)</f>
        <v>508.76</v>
      </c>
      <c r="E4682" s="173" t="s">
        <v>1718</v>
      </c>
      <c r="F4682" s="173" t="s">
        <v>1719</v>
      </c>
      <c r="G4682" s="173" t="s">
        <v>1720</v>
      </c>
      <c r="H4682" s="173" t="s">
        <v>1721</v>
      </c>
      <c r="I4682" s="173" t="s">
        <v>1722</v>
      </c>
      <c r="J4682" s="173" t="s">
        <v>1723</v>
      </c>
      <c r="K4682" s="173" t="s">
        <v>1724</v>
      </c>
      <c r="L4682" s="173" t="s">
        <v>1804</v>
      </c>
      <c r="M4682" s="173" t="s">
        <v>1726</v>
      </c>
      <c r="N4682" s="173" t="s">
        <v>1811</v>
      </c>
      <c r="O4682" s="173" t="s">
        <v>1728</v>
      </c>
      <c r="P4682" s="224"/>
      <c r="Q4682" s="224"/>
    </row>
    <row r="4683" spans="1:17" s="225" customFormat="1" ht="10.5" x14ac:dyDescent="0.25">
      <c r="A4683" s="229"/>
      <c r="B4683" s="230"/>
      <c r="C4683" s="177"/>
      <c r="D4683" s="178"/>
      <c r="E4683" s="178"/>
      <c r="F4683" s="178"/>
      <c r="G4683" s="178"/>
      <c r="H4683" s="178"/>
      <c r="I4683" s="178"/>
      <c r="J4683" s="178"/>
      <c r="K4683" s="178"/>
      <c r="L4683" s="178"/>
      <c r="M4683" s="178"/>
      <c r="N4683" s="200"/>
      <c r="O4683" s="178"/>
      <c r="P4683" s="231"/>
      <c r="Q4683" s="224"/>
    </row>
    <row r="4684" spans="1:17" s="225" customFormat="1" ht="10.5" x14ac:dyDescent="0.25">
      <c r="A4684" s="229"/>
      <c r="B4684" s="230" t="s">
        <v>1813</v>
      </c>
      <c r="C4684" s="177"/>
      <c r="D4684" s="178"/>
      <c r="E4684" s="178"/>
      <c r="F4684" s="178"/>
      <c r="G4684" s="178"/>
      <c r="H4684" s="178"/>
      <c r="I4684" s="178"/>
      <c r="J4684" s="178"/>
      <c r="K4684" s="178"/>
      <c r="L4684" s="178"/>
      <c r="M4684" s="178"/>
      <c r="N4684" s="200">
        <f>QUANTBL!CP356</f>
        <v>508.76044799999983</v>
      </c>
      <c r="O4684" s="178"/>
      <c r="P4684" s="231"/>
      <c r="Q4684" s="224"/>
    </row>
    <row r="4685" spans="1:17" s="225" customFormat="1" ht="10.5" x14ac:dyDescent="0.25">
      <c r="A4685" s="229"/>
      <c r="B4685" s="230"/>
      <c r="C4685" s="177"/>
      <c r="D4685" s="178"/>
      <c r="E4685" s="178"/>
      <c r="F4685" s="178"/>
      <c r="G4685" s="178"/>
      <c r="H4685" s="178"/>
      <c r="I4685" s="178"/>
      <c r="J4685" s="178"/>
      <c r="K4685" s="178"/>
      <c r="L4685" s="178"/>
      <c r="M4685" s="178"/>
      <c r="N4685" s="200"/>
      <c r="O4685" s="178"/>
      <c r="P4685" s="231"/>
      <c r="Q4685" s="224"/>
    </row>
    <row r="4686" spans="1:17" s="225" customFormat="1" ht="10.5" x14ac:dyDescent="0.25">
      <c r="A4686" s="229"/>
      <c r="B4686" s="232" t="s">
        <v>5</v>
      </c>
      <c r="C4686" s="182" t="s">
        <v>1328</v>
      </c>
      <c r="D4686" s="182"/>
      <c r="E4686" s="182"/>
      <c r="F4686" s="182"/>
      <c r="G4686" s="182"/>
      <c r="H4686" s="182"/>
      <c r="I4686" s="182"/>
      <c r="J4686" s="182"/>
      <c r="K4686" s="178"/>
      <c r="L4686" s="182"/>
      <c r="M4686" s="182"/>
      <c r="N4686" s="177">
        <f>SUM(N4683:N4685)</f>
        <v>508.76044799999983</v>
      </c>
      <c r="O4686" s="177"/>
      <c r="P4686" s="233"/>
      <c r="Q4686" s="224"/>
    </row>
    <row r="4687" spans="1:17" s="228" customFormat="1" ht="42" x14ac:dyDescent="0.25">
      <c r="A4687" s="226" t="str">
        <f>ORÇAMENTO!A875</f>
        <v>7.1.2.6.22</v>
      </c>
      <c r="B4687" s="227" t="str">
        <f>VLOOKUP(A4687,ORÇAMENTO!A:K,4,0)</f>
        <v>ESCORAMENTO DE VALA, TIPO BLINDAGEM, COM PROFUNDIDADE DE 1,5 A 3,0 M, LARGURA DE 1,5 A 2,5 M -EXECUÇÃO E FORNECIMENTO, INCLUI MATERIAL (ESCAVAÇÃO INTERNA AO BLINDADO)</v>
      </c>
      <c r="C4687" s="173" t="str">
        <f>VLOOKUP(A4687,ORÇAMENTO!A:K,5,0)</f>
        <v>M²</v>
      </c>
      <c r="D4687" s="173">
        <f>ROUND(SUM(E4691:O4691),2)</f>
        <v>291.14999999999998</v>
      </c>
      <c r="E4687" s="173" t="s">
        <v>1718</v>
      </c>
      <c r="F4687" s="173" t="s">
        <v>1719</v>
      </c>
      <c r="G4687" s="173" t="s">
        <v>1720</v>
      </c>
      <c r="H4687" s="173" t="s">
        <v>1721</v>
      </c>
      <c r="I4687" s="173" t="s">
        <v>1722</v>
      </c>
      <c r="J4687" s="173" t="s">
        <v>1723</v>
      </c>
      <c r="K4687" s="173" t="s">
        <v>1724</v>
      </c>
      <c r="L4687" s="173" t="s">
        <v>1804</v>
      </c>
      <c r="M4687" s="173" t="s">
        <v>1726</v>
      </c>
      <c r="N4687" s="173" t="s">
        <v>1811</v>
      </c>
      <c r="O4687" s="173" t="s">
        <v>1728</v>
      </c>
      <c r="P4687" s="224"/>
      <c r="Q4687" s="224"/>
    </row>
    <row r="4688" spans="1:17" s="225" customFormat="1" ht="10.5" x14ac:dyDescent="0.25">
      <c r="A4688" s="229"/>
      <c r="B4688" s="230"/>
      <c r="C4688" s="177"/>
      <c r="D4688" s="178"/>
      <c r="E4688" s="178"/>
      <c r="F4688" s="178"/>
      <c r="G4688" s="178"/>
      <c r="H4688" s="178"/>
      <c r="I4688" s="178"/>
      <c r="J4688" s="178"/>
      <c r="K4688" s="178"/>
      <c r="L4688" s="178"/>
      <c r="M4688" s="178"/>
      <c r="N4688" s="200"/>
      <c r="O4688" s="178"/>
      <c r="P4688" s="231"/>
      <c r="Q4688" s="224"/>
    </row>
    <row r="4689" spans="1:17" s="225" customFormat="1" ht="10.5" x14ac:dyDescent="0.25">
      <c r="A4689" s="229"/>
      <c r="B4689" s="230" t="s">
        <v>1813</v>
      </c>
      <c r="C4689" s="177"/>
      <c r="D4689" s="178"/>
      <c r="E4689" s="178"/>
      <c r="F4689" s="178"/>
      <c r="G4689" s="178"/>
      <c r="H4689" s="178"/>
      <c r="I4689" s="178"/>
      <c r="J4689" s="178"/>
      <c r="K4689" s="178"/>
      <c r="L4689" s="178"/>
      <c r="M4689" s="178"/>
      <c r="N4689" s="200">
        <f>QUANTBL!CQ356</f>
        <v>291.14965600000016</v>
      </c>
      <c r="O4689" s="178"/>
      <c r="P4689" s="231"/>
      <c r="Q4689" s="224"/>
    </row>
    <row r="4690" spans="1:17" s="225" customFormat="1" ht="10.5" x14ac:dyDescent="0.25">
      <c r="A4690" s="229"/>
      <c r="B4690" s="230"/>
      <c r="C4690" s="177"/>
      <c r="D4690" s="178"/>
      <c r="E4690" s="178"/>
      <c r="F4690" s="178"/>
      <c r="G4690" s="178"/>
      <c r="H4690" s="178"/>
      <c r="I4690" s="178"/>
      <c r="J4690" s="178"/>
      <c r="K4690" s="178"/>
      <c r="L4690" s="178"/>
      <c r="M4690" s="178"/>
      <c r="N4690" s="200"/>
      <c r="O4690" s="178"/>
      <c r="P4690" s="231"/>
      <c r="Q4690" s="224"/>
    </row>
    <row r="4691" spans="1:17" s="225" customFormat="1" ht="10.5" x14ac:dyDescent="0.25">
      <c r="A4691" s="229"/>
      <c r="B4691" s="232" t="s">
        <v>5</v>
      </c>
      <c r="C4691" s="182" t="s">
        <v>1328</v>
      </c>
      <c r="D4691" s="182"/>
      <c r="E4691" s="182"/>
      <c r="F4691" s="182"/>
      <c r="G4691" s="182"/>
      <c r="H4691" s="182"/>
      <c r="I4691" s="182"/>
      <c r="J4691" s="182"/>
      <c r="K4691" s="178"/>
      <c r="L4691" s="182"/>
      <c r="M4691" s="182"/>
      <c r="N4691" s="177">
        <f>SUM(N4688:N4690)</f>
        <v>291.14965600000016</v>
      </c>
      <c r="O4691" s="177"/>
      <c r="P4691" s="233"/>
      <c r="Q4691" s="224"/>
    </row>
    <row r="4692" spans="1:17" s="228" customFormat="1" ht="21" x14ac:dyDescent="0.25">
      <c r="A4692" s="226"/>
      <c r="B4692" s="227" t="s">
        <v>1900</v>
      </c>
      <c r="C4692" s="173" t="s">
        <v>1901</v>
      </c>
      <c r="D4692" s="173">
        <f>ROUND(SUM(E4696:O4696),2)</f>
        <v>0</v>
      </c>
      <c r="E4692" s="173" t="s">
        <v>1718</v>
      </c>
      <c r="F4692" s="173" t="s">
        <v>1719</v>
      </c>
      <c r="G4692" s="173" t="s">
        <v>1720</v>
      </c>
      <c r="H4692" s="173" t="s">
        <v>1721</v>
      </c>
      <c r="I4692" s="173" t="s">
        <v>1722</v>
      </c>
      <c r="J4692" s="173" t="s">
        <v>1723</v>
      </c>
      <c r="K4692" s="173" t="s">
        <v>1724</v>
      </c>
      <c r="L4692" s="173" t="s">
        <v>1804</v>
      </c>
      <c r="M4692" s="173" t="s">
        <v>1726</v>
      </c>
      <c r="N4692" s="173" t="s">
        <v>1811</v>
      </c>
      <c r="O4692" s="173" t="s">
        <v>1728</v>
      </c>
      <c r="P4692" s="224"/>
      <c r="Q4692" s="224"/>
    </row>
    <row r="4693" spans="1:17" s="225" customFormat="1" ht="10.5" x14ac:dyDescent="0.25">
      <c r="A4693" s="229"/>
      <c r="B4693" s="230"/>
      <c r="C4693" s="177"/>
      <c r="D4693" s="178"/>
      <c r="E4693" s="178"/>
      <c r="F4693" s="178"/>
      <c r="G4693" s="178"/>
      <c r="H4693" s="178"/>
      <c r="I4693" s="178"/>
      <c r="J4693" s="178"/>
      <c r="K4693" s="178"/>
      <c r="L4693" s="178"/>
      <c r="M4693" s="178"/>
      <c r="N4693" s="200"/>
      <c r="O4693" s="178"/>
      <c r="P4693" s="231"/>
      <c r="Q4693" s="224"/>
    </row>
    <row r="4694" spans="1:17" s="225" customFormat="1" ht="10.5" x14ac:dyDescent="0.25">
      <c r="A4694" s="229"/>
      <c r="B4694" s="230" t="s">
        <v>1813</v>
      </c>
      <c r="C4694" s="177"/>
      <c r="D4694" s="178"/>
      <c r="E4694" s="178"/>
      <c r="F4694" s="178"/>
      <c r="G4694" s="178"/>
      <c r="H4694" s="178"/>
      <c r="I4694" s="178"/>
      <c r="J4694" s="178"/>
      <c r="K4694" s="178"/>
      <c r="L4694" s="178"/>
      <c r="M4694" s="178"/>
      <c r="N4694" s="200"/>
      <c r="O4694" s="178">
        <f>QUANTBL!AK356</f>
        <v>0</v>
      </c>
      <c r="P4694" s="231"/>
      <c r="Q4694" s="224"/>
    </row>
    <row r="4695" spans="1:17" s="225" customFormat="1" ht="10.5" x14ac:dyDescent="0.25">
      <c r="A4695" s="229"/>
      <c r="B4695" s="230"/>
      <c r="C4695" s="177"/>
      <c r="D4695" s="178"/>
      <c r="E4695" s="178"/>
      <c r="F4695" s="178"/>
      <c r="G4695" s="178"/>
      <c r="H4695" s="178"/>
      <c r="I4695" s="178"/>
      <c r="J4695" s="178"/>
      <c r="K4695" s="178"/>
      <c r="L4695" s="178"/>
      <c r="M4695" s="178"/>
      <c r="N4695" s="200"/>
      <c r="O4695" s="178"/>
      <c r="P4695" s="231"/>
      <c r="Q4695" s="224"/>
    </row>
    <row r="4696" spans="1:17" s="225" customFormat="1" ht="10.5" x14ac:dyDescent="0.25">
      <c r="A4696" s="229"/>
      <c r="B4696" s="232" t="s">
        <v>5</v>
      </c>
      <c r="C4696" s="182" t="s">
        <v>1328</v>
      </c>
      <c r="D4696" s="182"/>
      <c r="E4696" s="182"/>
      <c r="F4696" s="182"/>
      <c r="G4696" s="182"/>
      <c r="H4696" s="182"/>
      <c r="I4696" s="182"/>
      <c r="J4696" s="182"/>
      <c r="K4696" s="178"/>
      <c r="L4696" s="182"/>
      <c r="M4696" s="182"/>
      <c r="N4696" s="177"/>
      <c r="O4696" s="177">
        <f>SUM(O4693:O4695)</f>
        <v>0</v>
      </c>
      <c r="P4696" s="233"/>
      <c r="Q4696" s="224"/>
    </row>
    <row r="4697" spans="1:17" s="228" customFormat="1" ht="31.5" x14ac:dyDescent="0.25">
      <c r="A4697" s="226" t="str">
        <f>ORÇAMENTO!A876</f>
        <v>7.1.2.6.23</v>
      </c>
      <c r="B4697" s="227" t="str">
        <f>VLOOKUP(A4697,ORÇAMENTO!A:K,4,0)</f>
        <v>PREPARO DE FUNDO DE VALA COM LARGURA MENOR QUE 1,5 M, COM CAMADA DE BRITA, LANÇAMENTO MECANIZADO. AF_08/2020</v>
      </c>
      <c r="C4697" s="173" t="str">
        <f>VLOOKUP(A4697,ORÇAMENTO!A:K,5,0)</f>
        <v>M³</v>
      </c>
      <c r="D4697" s="173">
        <f>ROUND(SUM(E4700:O4700),2)</f>
        <v>13.83</v>
      </c>
      <c r="E4697" s="173" t="s">
        <v>1718</v>
      </c>
      <c r="F4697" s="173" t="s">
        <v>1719</v>
      </c>
      <c r="G4697" s="173" t="s">
        <v>1720</v>
      </c>
      <c r="H4697" s="173" t="s">
        <v>1721</v>
      </c>
      <c r="I4697" s="173" t="s">
        <v>1722</v>
      </c>
      <c r="J4697" s="173" t="s">
        <v>1723</v>
      </c>
      <c r="K4697" s="173" t="s">
        <v>1724</v>
      </c>
      <c r="L4697" s="173" t="s">
        <v>1804</v>
      </c>
      <c r="M4697" s="173" t="s">
        <v>1726</v>
      </c>
      <c r="N4697" s="173" t="s">
        <v>1811</v>
      </c>
      <c r="O4697" s="173" t="s">
        <v>1728</v>
      </c>
      <c r="P4697" s="224"/>
      <c r="Q4697" s="224"/>
    </row>
    <row r="4698" spans="1:17" s="225" customFormat="1" ht="10.5" x14ac:dyDescent="0.25">
      <c r="A4698" s="229"/>
      <c r="B4698" s="230" t="s">
        <v>1814</v>
      </c>
      <c r="C4698" s="177"/>
      <c r="D4698" s="178"/>
      <c r="E4698" s="178"/>
      <c r="F4698" s="178"/>
      <c r="G4698" s="178"/>
      <c r="H4698" s="178"/>
      <c r="I4698" s="178"/>
      <c r="J4698" s="178"/>
      <c r="K4698" s="178"/>
      <c r="L4698" s="178"/>
      <c r="M4698" s="178"/>
      <c r="N4698" s="200"/>
      <c r="O4698" s="178">
        <f>QUANTBL!AM356</f>
        <v>13.825000000000001</v>
      </c>
      <c r="P4698" s="231"/>
      <c r="Q4698" s="224"/>
    </row>
    <row r="4699" spans="1:17" s="225" customFormat="1" ht="10.5" x14ac:dyDescent="0.25">
      <c r="A4699" s="229"/>
      <c r="B4699" s="230"/>
      <c r="C4699" s="177"/>
      <c r="D4699" s="178"/>
      <c r="E4699" s="178"/>
      <c r="F4699" s="178"/>
      <c r="G4699" s="178"/>
      <c r="H4699" s="178"/>
      <c r="I4699" s="178"/>
      <c r="J4699" s="178"/>
      <c r="K4699" s="178"/>
      <c r="L4699" s="178"/>
      <c r="M4699" s="178"/>
      <c r="N4699" s="200"/>
      <c r="O4699" s="178"/>
      <c r="P4699" s="231"/>
      <c r="Q4699" s="224"/>
    </row>
    <row r="4700" spans="1:17" s="225" customFormat="1" ht="10.5" x14ac:dyDescent="0.25">
      <c r="A4700" s="229"/>
      <c r="B4700" s="232" t="s">
        <v>5</v>
      </c>
      <c r="C4700" s="182" t="s">
        <v>1328</v>
      </c>
      <c r="D4700" s="182"/>
      <c r="E4700" s="182"/>
      <c r="F4700" s="182"/>
      <c r="G4700" s="182"/>
      <c r="H4700" s="182"/>
      <c r="I4700" s="182"/>
      <c r="J4700" s="182"/>
      <c r="K4700" s="178"/>
      <c r="L4700" s="182"/>
      <c r="M4700" s="182"/>
      <c r="N4700" s="177"/>
      <c r="O4700" s="177">
        <f>SUM(O4698:O4699)</f>
        <v>13.825000000000001</v>
      </c>
      <c r="P4700" s="233"/>
      <c r="Q4700" s="224"/>
    </row>
    <row r="4701" spans="1:17" s="228" customFormat="1" ht="52.5" x14ac:dyDescent="0.25">
      <c r="A4701" s="226" t="str">
        <f>ORÇAMENTO!A877</f>
        <v>7.1.2.6.24</v>
      </c>
      <c r="B4701" s="227" t="str">
        <f>VLOOKUP(A4701,ORÇAMENTO!A:K,4,0)</f>
        <v>CONSTRUÇÃO DE PAVIMENTO COM APLICAÇÃO CONCRETO BETUMINOSO USINADO A QUENTE (CBUQ), CAMADA DE ROLAMENTO - EXCLUSIVE TRANSPORTE E CARGA  AF_03/2017 (SEM MATERIAL)</v>
      </c>
      <c r="C4701" s="173" t="str">
        <f>VLOOKUP(A4701,ORÇAMENTO!A:K,5,0)</f>
        <v>M³</v>
      </c>
      <c r="D4701" s="173">
        <f>ROUND(SUM(E4704:O4704),2)</f>
        <v>8.3000000000000007</v>
      </c>
      <c r="E4701" s="173" t="s">
        <v>1718</v>
      </c>
      <c r="F4701" s="173" t="s">
        <v>1719</v>
      </c>
      <c r="G4701" s="173" t="s">
        <v>1720</v>
      </c>
      <c r="H4701" s="173" t="s">
        <v>1721</v>
      </c>
      <c r="I4701" s="173" t="s">
        <v>1722</v>
      </c>
      <c r="J4701" s="173" t="s">
        <v>1723</v>
      </c>
      <c r="K4701" s="173" t="s">
        <v>1724</v>
      </c>
      <c r="L4701" s="173" t="s">
        <v>1804</v>
      </c>
      <c r="M4701" s="173" t="s">
        <v>1726</v>
      </c>
      <c r="N4701" s="173" t="s">
        <v>1811</v>
      </c>
      <c r="O4701" s="173" t="s">
        <v>1728</v>
      </c>
      <c r="P4701" s="224"/>
      <c r="Q4701" s="224"/>
    </row>
    <row r="4702" spans="1:17" s="225" customFormat="1" ht="10.5" x14ac:dyDescent="0.25">
      <c r="A4702" s="229"/>
      <c r="B4702" s="230" t="s">
        <v>1784</v>
      </c>
      <c r="C4702" s="177"/>
      <c r="D4702" s="178"/>
      <c r="E4702" s="178"/>
      <c r="F4702" s="178"/>
      <c r="G4702" s="178"/>
      <c r="H4702" s="178"/>
      <c r="I4702" s="178"/>
      <c r="J4702" s="178"/>
      <c r="K4702" s="178"/>
      <c r="L4702" s="178"/>
      <c r="M4702" s="178"/>
      <c r="N4702" s="178">
        <f>QUANTBL!O356</f>
        <v>276.50000000000006</v>
      </c>
      <c r="O4702" s="178">
        <f>QUANTBL!AV356</f>
        <v>8.2949999999999982</v>
      </c>
      <c r="P4702" s="231"/>
      <c r="Q4702" s="224"/>
    </row>
    <row r="4703" spans="1:17" s="225" customFormat="1" ht="10.5" x14ac:dyDescent="0.25">
      <c r="A4703" s="229"/>
      <c r="B4703" s="230"/>
      <c r="C4703" s="177"/>
      <c r="D4703" s="178"/>
      <c r="E4703" s="178"/>
      <c r="F4703" s="178"/>
      <c r="G4703" s="178"/>
      <c r="H4703" s="178"/>
      <c r="I4703" s="178"/>
      <c r="J4703" s="178"/>
      <c r="K4703" s="178"/>
      <c r="L4703" s="178"/>
      <c r="M4703" s="178"/>
      <c r="N4703" s="200"/>
      <c r="O4703" s="178"/>
      <c r="P4703" s="231"/>
      <c r="Q4703" s="224"/>
    </row>
    <row r="4704" spans="1:17" s="225" customFormat="1" ht="10.5" x14ac:dyDescent="0.25">
      <c r="A4704" s="229"/>
      <c r="B4704" s="232" t="s">
        <v>5</v>
      </c>
      <c r="C4704" s="182" t="s">
        <v>1328</v>
      </c>
      <c r="D4704" s="182"/>
      <c r="E4704" s="182"/>
      <c r="F4704" s="182"/>
      <c r="G4704" s="182"/>
      <c r="H4704" s="182"/>
      <c r="I4704" s="182"/>
      <c r="J4704" s="182"/>
      <c r="K4704" s="178"/>
      <c r="L4704" s="182"/>
      <c r="M4704" s="182"/>
      <c r="N4704" s="177"/>
      <c r="O4704" s="177">
        <f>SUM(O4702:O4703)</f>
        <v>8.2949999999999982</v>
      </c>
      <c r="P4704" s="233"/>
      <c r="Q4704" s="224"/>
    </row>
    <row r="4705" spans="1:17" s="228" customFormat="1" ht="21" x14ac:dyDescent="0.25">
      <c r="A4705" s="226" t="str">
        <f>ORÇAMENTO!A878</f>
        <v>7.1.2.6.25</v>
      </c>
      <c r="B4705" s="227" t="str">
        <f>VLOOKUP(A4705,ORÇAMENTO!A:K,4,0)</f>
        <v>PINTURA DE LIGAÇÃO (SEM MATERIAL)</v>
      </c>
      <c r="C4705" s="173" t="str">
        <f>VLOOKUP(A4705,ORÇAMENTO!A:K,5,0)</f>
        <v>M²</v>
      </c>
      <c r="D4705" s="173">
        <f>ROUND(SUM(E4708:O4708),2)</f>
        <v>276.5</v>
      </c>
      <c r="E4705" s="173" t="s">
        <v>1718</v>
      </c>
      <c r="F4705" s="173" t="s">
        <v>1719</v>
      </c>
      <c r="G4705" s="173" t="s">
        <v>1720</v>
      </c>
      <c r="H4705" s="173" t="s">
        <v>1721</v>
      </c>
      <c r="I4705" s="173" t="s">
        <v>1722</v>
      </c>
      <c r="J4705" s="173" t="s">
        <v>1723</v>
      </c>
      <c r="K4705" s="173" t="s">
        <v>1724</v>
      </c>
      <c r="L4705" s="173" t="s">
        <v>1804</v>
      </c>
      <c r="M4705" s="173" t="s">
        <v>1726</v>
      </c>
      <c r="N4705" s="173" t="s">
        <v>1811</v>
      </c>
      <c r="O4705" s="173" t="s">
        <v>1728</v>
      </c>
      <c r="P4705" s="224"/>
      <c r="Q4705" s="224"/>
    </row>
    <row r="4706" spans="1:17" s="225" customFormat="1" ht="10.5" x14ac:dyDescent="0.25">
      <c r="A4706" s="229"/>
      <c r="B4706" s="230" t="str">
        <f>B4698</f>
        <v>VALAS DO TUBO DE LIGAÇÃO DN 400MM</v>
      </c>
      <c r="C4706" s="177"/>
      <c r="D4706" s="178"/>
      <c r="E4706" s="178"/>
      <c r="F4706" s="178"/>
      <c r="G4706" s="178"/>
      <c r="H4706" s="178"/>
      <c r="I4706" s="178"/>
      <c r="J4706" s="178"/>
      <c r="K4706" s="178"/>
      <c r="L4706" s="178"/>
      <c r="M4706" s="178"/>
      <c r="N4706" s="178">
        <f>N4702</f>
        <v>276.50000000000006</v>
      </c>
      <c r="O4706" s="178"/>
      <c r="P4706" s="231"/>
      <c r="Q4706" s="224"/>
    </row>
    <row r="4707" spans="1:17" s="225" customFormat="1" ht="10.5" x14ac:dyDescent="0.25">
      <c r="A4707" s="229"/>
      <c r="B4707" s="230"/>
      <c r="C4707" s="177"/>
      <c r="D4707" s="178"/>
      <c r="E4707" s="178"/>
      <c r="F4707" s="178"/>
      <c r="G4707" s="178"/>
      <c r="H4707" s="178"/>
      <c r="I4707" s="178"/>
      <c r="J4707" s="178"/>
      <c r="K4707" s="178"/>
      <c r="L4707" s="178"/>
      <c r="M4707" s="178"/>
      <c r="N4707" s="200"/>
      <c r="O4707" s="178"/>
      <c r="P4707" s="231"/>
      <c r="Q4707" s="224"/>
    </row>
    <row r="4708" spans="1:17" s="225" customFormat="1" ht="10.5" x14ac:dyDescent="0.25">
      <c r="A4708" s="229"/>
      <c r="B4708" s="232" t="s">
        <v>5</v>
      </c>
      <c r="C4708" s="182" t="s">
        <v>1328</v>
      </c>
      <c r="D4708" s="182"/>
      <c r="E4708" s="182"/>
      <c r="F4708" s="182"/>
      <c r="G4708" s="182"/>
      <c r="H4708" s="182"/>
      <c r="I4708" s="182"/>
      <c r="J4708" s="182"/>
      <c r="K4708" s="178"/>
      <c r="L4708" s="182"/>
      <c r="M4708" s="182"/>
      <c r="N4708" s="177">
        <f>SUM(N4706:N4707)</f>
        <v>276.50000000000006</v>
      </c>
      <c r="O4708" s="177"/>
      <c r="P4708" s="233"/>
      <c r="Q4708" s="224"/>
    </row>
    <row r="4709" spans="1:17" s="228" customFormat="1" ht="21" x14ac:dyDescent="0.25">
      <c r="A4709" s="226" t="str">
        <f>ORÇAMENTO!A879</f>
        <v>7.1.2.6.26</v>
      </c>
      <c r="B4709" s="227" t="str">
        <f>VLOOKUP(A4709,ORÇAMENTO!A:K,4,0)</f>
        <v>EMULSÃO ASFÁLTICA - RR-1C - FORNECIMENTO E TRANSPORTE</v>
      </c>
      <c r="C4709" s="173" t="str">
        <f>VLOOKUP(A4709,ORÇAMENTO!A:K,5,0)</f>
        <v>T</v>
      </c>
      <c r="D4709" s="173">
        <f>ROUND(SUM(E4714:O4714),2)</f>
        <v>0.12</v>
      </c>
      <c r="E4709" s="173" t="s">
        <v>1718</v>
      </c>
      <c r="F4709" s="173" t="s">
        <v>1719</v>
      </c>
      <c r="G4709" s="173" t="s">
        <v>1720</v>
      </c>
      <c r="H4709" s="173" t="s">
        <v>1721</v>
      </c>
      <c r="I4709" s="173" t="s">
        <v>1722</v>
      </c>
      <c r="J4709" s="173" t="s">
        <v>1723</v>
      </c>
      <c r="K4709" s="173" t="s">
        <v>1746</v>
      </c>
      <c r="L4709" s="173" t="s">
        <v>1777</v>
      </c>
      <c r="M4709" s="173" t="s">
        <v>1726</v>
      </c>
      <c r="N4709" s="173" t="s">
        <v>1811</v>
      </c>
      <c r="O4709" s="173" t="s">
        <v>1728</v>
      </c>
      <c r="P4709" s="224"/>
      <c r="Q4709" s="224"/>
    </row>
    <row r="4710" spans="1:17" s="225" customFormat="1" ht="21" x14ac:dyDescent="0.25">
      <c r="A4710" s="229"/>
      <c r="B4710" s="232" t="s">
        <v>1778</v>
      </c>
      <c r="C4710" s="177"/>
      <c r="D4710" s="178"/>
      <c r="E4710" s="178"/>
      <c r="F4710" s="178"/>
      <c r="G4710" s="178"/>
      <c r="H4710" s="178"/>
      <c r="I4710" s="178"/>
      <c r="J4710" s="178"/>
      <c r="K4710" s="178"/>
      <c r="L4710" s="178"/>
      <c r="M4710" s="178"/>
      <c r="N4710" s="178">
        <f>N4706</f>
        <v>276.50000000000006</v>
      </c>
      <c r="O4710" s="178"/>
      <c r="P4710" s="231"/>
      <c r="Q4710" s="224"/>
    </row>
    <row r="4711" spans="1:17" s="225" customFormat="1" ht="31.5" x14ac:dyDescent="0.25">
      <c r="A4711" s="229"/>
      <c r="B4711" s="230" t="s">
        <v>1779</v>
      </c>
      <c r="C4711" s="177"/>
      <c r="D4711" s="178"/>
      <c r="E4711" s="178"/>
      <c r="F4711" s="178"/>
      <c r="G4711" s="178"/>
      <c r="H4711" s="178"/>
      <c r="I4711" s="178"/>
      <c r="J4711" s="178"/>
      <c r="K4711" s="178"/>
      <c r="L4711" s="198">
        <v>4.4999999999999999E-4</v>
      </c>
      <c r="M4711" s="178"/>
      <c r="N4711" s="200"/>
      <c r="O4711" s="178"/>
      <c r="P4711" s="231"/>
      <c r="Q4711" s="224"/>
    </row>
    <row r="4712" spans="1:17" s="225" customFormat="1" ht="10.5" x14ac:dyDescent="0.25">
      <c r="A4712" s="229"/>
      <c r="B4712" s="230"/>
      <c r="C4712" s="177"/>
      <c r="D4712" s="178"/>
      <c r="E4712" s="178"/>
      <c r="F4712" s="178"/>
      <c r="G4712" s="178"/>
      <c r="H4712" s="178"/>
      <c r="I4712" s="178"/>
      <c r="J4712" s="178"/>
      <c r="K4712" s="178">
        <f>L4711*N4710</f>
        <v>0.12442500000000002</v>
      </c>
      <c r="L4712" s="178"/>
      <c r="M4712" s="178"/>
      <c r="N4712" s="200"/>
      <c r="O4712" s="178"/>
      <c r="P4712" s="231"/>
      <c r="Q4712" s="224"/>
    </row>
    <row r="4713" spans="1:17" s="225" customFormat="1" ht="10.5" x14ac:dyDescent="0.25">
      <c r="A4713" s="229"/>
      <c r="B4713" s="230"/>
      <c r="C4713" s="177"/>
      <c r="D4713" s="178"/>
      <c r="E4713" s="178"/>
      <c r="F4713" s="178"/>
      <c r="G4713" s="178"/>
      <c r="H4713" s="178"/>
      <c r="I4713" s="178"/>
      <c r="J4713" s="178"/>
      <c r="K4713" s="178"/>
      <c r="L4713" s="178"/>
      <c r="M4713" s="178"/>
      <c r="N4713" s="200"/>
      <c r="O4713" s="178"/>
      <c r="P4713" s="231"/>
      <c r="Q4713" s="224"/>
    </row>
    <row r="4714" spans="1:17" s="225" customFormat="1" ht="10.5" x14ac:dyDescent="0.25">
      <c r="A4714" s="229"/>
      <c r="B4714" s="232" t="s">
        <v>5</v>
      </c>
      <c r="C4714" s="182" t="s">
        <v>1328</v>
      </c>
      <c r="D4714" s="182"/>
      <c r="E4714" s="182"/>
      <c r="F4714" s="182"/>
      <c r="G4714" s="182"/>
      <c r="H4714" s="182"/>
      <c r="I4714" s="182"/>
      <c r="J4714" s="182"/>
      <c r="K4714" s="177">
        <f>SUM(K4710:K4713)</f>
        <v>0.12442500000000002</v>
      </c>
      <c r="L4714" s="182"/>
      <c r="M4714" s="182"/>
      <c r="N4714" s="177"/>
      <c r="O4714" s="177"/>
      <c r="P4714" s="233"/>
      <c r="Q4714" s="224"/>
    </row>
    <row r="4715" spans="1:17" s="228" customFormat="1" ht="21" x14ac:dyDescent="0.25">
      <c r="A4715" s="226" t="str">
        <f>ORÇAMENTO!A880</f>
        <v>7.1.2.6.27</v>
      </c>
      <c r="B4715" s="227" t="str">
        <f>VLOOKUP(A4715,ORÇAMENTO!A:K,4,0)</f>
        <v>IMPRIMAÇÃO COM EMULSÃO ASFÁLTICA (SEM MATERIAL)</v>
      </c>
      <c r="C4715" s="173" t="str">
        <f>VLOOKUP(A4715,ORÇAMENTO!A:K,5,0)</f>
        <v>M²</v>
      </c>
      <c r="D4715" s="173">
        <f>ROUND(SUM(E4718:O4718),2)</f>
        <v>276.5</v>
      </c>
      <c r="E4715" s="173" t="s">
        <v>1718</v>
      </c>
      <c r="F4715" s="173" t="s">
        <v>1719</v>
      </c>
      <c r="G4715" s="173" t="s">
        <v>1720</v>
      </c>
      <c r="H4715" s="173" t="s">
        <v>1721</v>
      </c>
      <c r="I4715" s="173" t="s">
        <v>1722</v>
      </c>
      <c r="J4715" s="173" t="s">
        <v>1723</v>
      </c>
      <c r="K4715" s="173" t="s">
        <v>1724</v>
      </c>
      <c r="L4715" s="173" t="s">
        <v>1804</v>
      </c>
      <c r="M4715" s="173" t="s">
        <v>1726</v>
      </c>
      <c r="N4715" s="173" t="s">
        <v>1811</v>
      </c>
      <c r="O4715" s="173" t="s">
        <v>1728</v>
      </c>
      <c r="P4715" s="224"/>
      <c r="Q4715" s="224"/>
    </row>
    <row r="4716" spans="1:17" s="225" customFormat="1" ht="10.5" x14ac:dyDescent="0.25">
      <c r="A4716" s="229"/>
      <c r="B4716" s="230" t="str">
        <f>B4706</f>
        <v>VALAS DO TUBO DE LIGAÇÃO DN 400MM</v>
      </c>
      <c r="C4716" s="177"/>
      <c r="D4716" s="178"/>
      <c r="E4716" s="178"/>
      <c r="F4716" s="178"/>
      <c r="G4716" s="178"/>
      <c r="H4716" s="178"/>
      <c r="I4716" s="178"/>
      <c r="J4716" s="178"/>
      <c r="K4716" s="178"/>
      <c r="L4716" s="178"/>
      <c r="M4716" s="178"/>
      <c r="N4716" s="178">
        <f>N4706</f>
        <v>276.50000000000006</v>
      </c>
      <c r="O4716" s="178"/>
      <c r="P4716" s="231"/>
      <c r="Q4716" s="224"/>
    </row>
    <row r="4717" spans="1:17" s="225" customFormat="1" ht="10.5" x14ac:dyDescent="0.25">
      <c r="A4717" s="229"/>
      <c r="B4717" s="230"/>
      <c r="C4717" s="177"/>
      <c r="D4717" s="178"/>
      <c r="E4717" s="178"/>
      <c r="F4717" s="178"/>
      <c r="G4717" s="178"/>
      <c r="H4717" s="178"/>
      <c r="I4717" s="178"/>
      <c r="J4717" s="178"/>
      <c r="K4717" s="178"/>
      <c r="L4717" s="178"/>
      <c r="M4717" s="178"/>
      <c r="N4717" s="200"/>
      <c r="O4717" s="178"/>
      <c r="P4717" s="231"/>
      <c r="Q4717" s="224"/>
    </row>
    <row r="4718" spans="1:17" s="225" customFormat="1" ht="10.5" x14ac:dyDescent="0.25">
      <c r="A4718" s="229"/>
      <c r="B4718" s="232" t="s">
        <v>5</v>
      </c>
      <c r="C4718" s="182" t="s">
        <v>1328</v>
      </c>
      <c r="D4718" s="182"/>
      <c r="E4718" s="182"/>
      <c r="F4718" s="182"/>
      <c r="G4718" s="182"/>
      <c r="H4718" s="182"/>
      <c r="I4718" s="182"/>
      <c r="J4718" s="182"/>
      <c r="K4718" s="178"/>
      <c r="L4718" s="182"/>
      <c r="M4718" s="182"/>
      <c r="N4718" s="177">
        <f>SUM(N4716:N4717)</f>
        <v>276.50000000000006</v>
      </c>
      <c r="O4718" s="177"/>
      <c r="P4718" s="233"/>
      <c r="Q4718" s="224"/>
    </row>
    <row r="4719" spans="1:17" s="228" customFormat="1" ht="21" x14ac:dyDescent="0.25">
      <c r="A4719" s="226" t="str">
        <f>ORÇAMENTO!A881</f>
        <v>7.1.2.6.28</v>
      </c>
      <c r="B4719" s="227" t="str">
        <f>VLOOKUP(A4719,ORÇAMENTO!A:K,4,0)</f>
        <v>EMULSÃO ASFÁLTICA PARA IMPRIMAÇÃO - FORNECIMENTO E TRANSPORTE</v>
      </c>
      <c r="C4719" s="173" t="str">
        <f>VLOOKUP(A4719,ORÇAMENTO!A:K,5,0)</f>
        <v>T</v>
      </c>
      <c r="D4719" s="173">
        <f>ROUND(SUM(E4724:O4724),2)</f>
        <v>0.36</v>
      </c>
      <c r="E4719" s="173" t="s">
        <v>1718</v>
      </c>
      <c r="F4719" s="173" t="s">
        <v>1719</v>
      </c>
      <c r="G4719" s="173" t="s">
        <v>1720</v>
      </c>
      <c r="H4719" s="173" t="s">
        <v>1721</v>
      </c>
      <c r="I4719" s="173" t="s">
        <v>1722</v>
      </c>
      <c r="J4719" s="173" t="s">
        <v>1723</v>
      </c>
      <c r="K4719" s="173" t="s">
        <v>1746</v>
      </c>
      <c r="L4719" s="173" t="s">
        <v>1777</v>
      </c>
      <c r="M4719" s="173" t="s">
        <v>1726</v>
      </c>
      <c r="N4719" s="173" t="s">
        <v>1811</v>
      </c>
      <c r="O4719" s="173" t="s">
        <v>1728</v>
      </c>
      <c r="P4719" s="224"/>
      <c r="Q4719" s="224"/>
    </row>
    <row r="4720" spans="1:17" s="225" customFormat="1" ht="10.5" x14ac:dyDescent="0.25">
      <c r="A4720" s="229"/>
      <c r="B4720" s="232" t="s">
        <v>1780</v>
      </c>
      <c r="C4720" s="177"/>
      <c r="D4720" s="178"/>
      <c r="E4720" s="178"/>
      <c r="F4720" s="178"/>
      <c r="G4720" s="178"/>
      <c r="H4720" s="178"/>
      <c r="I4720" s="178"/>
      <c r="J4720" s="178"/>
      <c r="K4720" s="178"/>
      <c r="L4720" s="178"/>
      <c r="M4720" s="178"/>
      <c r="N4720" s="178">
        <f>N4716</f>
        <v>276.50000000000006</v>
      </c>
      <c r="O4720" s="178"/>
      <c r="P4720" s="231"/>
      <c r="Q4720" s="224"/>
    </row>
    <row r="4721" spans="1:17" s="225" customFormat="1" ht="42" x14ac:dyDescent="0.25">
      <c r="A4721" s="229"/>
      <c r="B4721" s="230" t="s">
        <v>1781</v>
      </c>
      <c r="C4721" s="177"/>
      <c r="D4721" s="178"/>
      <c r="E4721" s="178"/>
      <c r="F4721" s="178"/>
      <c r="G4721" s="178"/>
      <c r="H4721" s="178"/>
      <c r="I4721" s="178"/>
      <c r="J4721" s="178"/>
      <c r="K4721" s="178"/>
      <c r="L4721" s="198">
        <v>1.2999999999999999E-3</v>
      </c>
      <c r="M4721" s="178"/>
      <c r="N4721" s="200"/>
      <c r="O4721" s="178"/>
      <c r="P4721" s="231"/>
      <c r="Q4721" s="224"/>
    </row>
    <row r="4722" spans="1:17" s="225" customFormat="1" ht="10.5" x14ac:dyDescent="0.25">
      <c r="A4722" s="229"/>
      <c r="B4722" s="230"/>
      <c r="C4722" s="177"/>
      <c r="D4722" s="178"/>
      <c r="E4722" s="178"/>
      <c r="F4722" s="178"/>
      <c r="G4722" s="178"/>
      <c r="H4722" s="178"/>
      <c r="I4722" s="178"/>
      <c r="J4722" s="178"/>
      <c r="K4722" s="178">
        <f>L4721*N4720</f>
        <v>0.35945000000000005</v>
      </c>
      <c r="L4722" s="178"/>
      <c r="M4722" s="178"/>
      <c r="N4722" s="200"/>
      <c r="O4722" s="178"/>
      <c r="P4722" s="231"/>
      <c r="Q4722" s="224"/>
    </row>
    <row r="4723" spans="1:17" s="225" customFormat="1" ht="10.5" x14ac:dyDescent="0.25">
      <c r="A4723" s="229"/>
      <c r="B4723" s="230"/>
      <c r="C4723" s="177"/>
      <c r="D4723" s="178"/>
      <c r="E4723" s="178"/>
      <c r="F4723" s="178"/>
      <c r="G4723" s="178"/>
      <c r="H4723" s="178"/>
      <c r="I4723" s="178"/>
      <c r="J4723" s="178"/>
      <c r="K4723" s="178"/>
      <c r="L4723" s="178"/>
      <c r="M4723" s="178"/>
      <c r="N4723" s="200"/>
      <c r="O4723" s="178"/>
      <c r="P4723" s="231"/>
      <c r="Q4723" s="224"/>
    </row>
    <row r="4724" spans="1:17" s="225" customFormat="1" ht="10.5" x14ac:dyDescent="0.25">
      <c r="A4724" s="229"/>
      <c r="B4724" s="232" t="s">
        <v>5</v>
      </c>
      <c r="C4724" s="182" t="s">
        <v>1328</v>
      </c>
      <c r="D4724" s="182"/>
      <c r="E4724" s="182"/>
      <c r="F4724" s="182"/>
      <c r="G4724" s="182"/>
      <c r="H4724" s="182"/>
      <c r="I4724" s="182"/>
      <c r="J4724" s="182"/>
      <c r="K4724" s="177">
        <f>SUM(K4720:K4723)</f>
        <v>0.35945000000000005</v>
      </c>
      <c r="L4724" s="182"/>
      <c r="M4724" s="182"/>
      <c r="N4724" s="177"/>
      <c r="O4724" s="177"/>
      <c r="P4724" s="233"/>
      <c r="Q4724" s="224"/>
    </row>
    <row r="4725" spans="1:17" s="228" customFormat="1" ht="21" x14ac:dyDescent="0.25">
      <c r="A4725" s="226" t="str">
        <f>ORÇAMENTO!A882</f>
        <v>7.1.2.6.29</v>
      </c>
      <c r="B4725" s="227" t="str">
        <f>VLOOKUP(A4725,ORÇAMENTO!A:K,4,0)</f>
        <v>USINAGEM DE CBUQ SEM  CAP 50/70, PARA CAPA DE ROLAMENTO (SEM MATERIAL  E TRANSPORTE)</v>
      </c>
      <c r="C4725" s="173" t="str">
        <f>VLOOKUP(A4725,ORÇAMENTO!A:K,5,0)</f>
        <v>T</v>
      </c>
      <c r="D4725" s="173">
        <f>ROUND(SUM(E4730:O4730),2)</f>
        <v>19.91</v>
      </c>
      <c r="E4725" s="173" t="s">
        <v>1718</v>
      </c>
      <c r="F4725" s="173" t="s">
        <v>1719</v>
      </c>
      <c r="G4725" s="173" t="s">
        <v>1720</v>
      </c>
      <c r="H4725" s="173" t="s">
        <v>1721</v>
      </c>
      <c r="I4725" s="173" t="s">
        <v>1722</v>
      </c>
      <c r="J4725" s="173" t="s">
        <v>1723</v>
      </c>
      <c r="K4725" s="173" t="s">
        <v>1746</v>
      </c>
      <c r="L4725" s="173" t="s">
        <v>1804</v>
      </c>
      <c r="M4725" s="173" t="s">
        <v>1726</v>
      </c>
      <c r="N4725" s="173" t="s">
        <v>1811</v>
      </c>
      <c r="O4725" s="173" t="s">
        <v>1728</v>
      </c>
      <c r="P4725" s="224"/>
      <c r="Q4725" s="224"/>
    </row>
    <row r="4726" spans="1:17" s="225" customFormat="1" ht="10.5" x14ac:dyDescent="0.25">
      <c r="A4726" s="229"/>
      <c r="B4726" s="232" t="s">
        <v>1745</v>
      </c>
      <c r="C4726" s="184"/>
      <c r="D4726" s="185"/>
      <c r="E4726" s="185"/>
      <c r="F4726" s="185"/>
      <c r="G4726" s="185"/>
      <c r="H4726" s="185"/>
      <c r="I4726" s="185"/>
      <c r="J4726" s="185"/>
      <c r="K4726" s="185"/>
      <c r="L4726" s="185"/>
      <c r="M4726" s="185"/>
      <c r="N4726" s="185"/>
      <c r="O4726" s="185"/>
      <c r="P4726" s="231"/>
      <c r="Q4726" s="224"/>
    </row>
    <row r="4727" spans="1:17" s="225" customFormat="1" ht="10.5" x14ac:dyDescent="0.25">
      <c r="A4727" s="229"/>
      <c r="B4727" s="230" t="s">
        <v>1785</v>
      </c>
      <c r="C4727" s="184"/>
      <c r="D4727" s="185"/>
      <c r="E4727" s="185"/>
      <c r="F4727" s="185"/>
      <c r="G4727" s="185"/>
      <c r="H4727" s="185"/>
      <c r="I4727" s="185"/>
      <c r="J4727" s="185"/>
      <c r="K4727" s="185"/>
      <c r="L4727" s="185">
        <v>2.4</v>
      </c>
      <c r="M4727" s="185"/>
      <c r="N4727" s="185"/>
      <c r="O4727" s="185"/>
      <c r="P4727" s="231"/>
      <c r="Q4727" s="224"/>
    </row>
    <row r="4728" spans="1:17" s="225" customFormat="1" ht="10.5" x14ac:dyDescent="0.25">
      <c r="A4728" s="229"/>
      <c r="B4728" s="230" t="str">
        <f>B4702</f>
        <v>CONCRETO BETUMINOSO USINADO A QUENTE</v>
      </c>
      <c r="C4728" s="184"/>
      <c r="D4728" s="185"/>
      <c r="E4728" s="185"/>
      <c r="F4728" s="185"/>
      <c r="G4728" s="185"/>
      <c r="H4728" s="185"/>
      <c r="I4728" s="185"/>
      <c r="J4728" s="185"/>
      <c r="K4728" s="185">
        <f>L4727*O4728</f>
        <v>19.907999999999994</v>
      </c>
      <c r="L4728" s="185"/>
      <c r="M4728" s="185"/>
      <c r="N4728" s="185"/>
      <c r="O4728" s="185">
        <f>O4704</f>
        <v>8.2949999999999982</v>
      </c>
      <c r="P4728" s="231"/>
      <c r="Q4728" s="224"/>
    </row>
    <row r="4729" spans="1:17" s="225" customFormat="1" ht="10.5" x14ac:dyDescent="0.25">
      <c r="A4729" s="229"/>
      <c r="B4729" s="230"/>
      <c r="C4729" s="177"/>
      <c r="D4729" s="178"/>
      <c r="E4729" s="178"/>
      <c r="F4729" s="178"/>
      <c r="G4729" s="178"/>
      <c r="H4729" s="178"/>
      <c r="I4729" s="178"/>
      <c r="J4729" s="178"/>
      <c r="K4729" s="178"/>
      <c r="L4729" s="178"/>
      <c r="M4729" s="178"/>
      <c r="N4729" s="200"/>
      <c r="O4729" s="178"/>
      <c r="P4729" s="231"/>
      <c r="Q4729" s="224"/>
    </row>
    <row r="4730" spans="1:17" s="225" customFormat="1" ht="10.5" x14ac:dyDescent="0.25">
      <c r="A4730" s="229"/>
      <c r="B4730" s="232" t="s">
        <v>5</v>
      </c>
      <c r="C4730" s="182" t="s">
        <v>1328</v>
      </c>
      <c r="D4730" s="182"/>
      <c r="E4730" s="182"/>
      <c r="F4730" s="182"/>
      <c r="G4730" s="182"/>
      <c r="H4730" s="182"/>
      <c r="I4730" s="182"/>
      <c r="J4730" s="182"/>
      <c r="K4730" s="177">
        <f>SUM(K4726:K4729)</f>
        <v>19.907999999999994</v>
      </c>
      <c r="L4730" s="182"/>
      <c r="M4730" s="182"/>
      <c r="N4730" s="177"/>
      <c r="O4730" s="177"/>
      <c r="P4730" s="233"/>
      <c r="Q4730" s="224"/>
    </row>
    <row r="4731" spans="1:17" s="228" customFormat="1" ht="21" x14ac:dyDescent="0.25">
      <c r="A4731" s="226" t="str">
        <f>ORÇAMENTO!A883</f>
        <v>7.1.2.6.30</v>
      </c>
      <c r="B4731" s="227" t="str">
        <f>VLOOKUP(A4731,ORÇAMENTO!A:K,4,0)</f>
        <v>CIMENTO ASFÁLTICO DE PETRÓLEO - CAP 50/70 FORNECIMENTO E TRANSPORTE</v>
      </c>
      <c r="C4731" s="173" t="str">
        <f>VLOOKUP(A4731,ORÇAMENTO!A:K,5,0)</f>
        <v>T</v>
      </c>
      <c r="D4731" s="173">
        <f>ROUND(SUM(E4735:O4735),2)</f>
        <v>1.26</v>
      </c>
      <c r="E4731" s="173" t="s">
        <v>1718</v>
      </c>
      <c r="F4731" s="173" t="s">
        <v>1719</v>
      </c>
      <c r="G4731" s="173" t="s">
        <v>1720</v>
      </c>
      <c r="H4731" s="173" t="s">
        <v>1721</v>
      </c>
      <c r="I4731" s="173" t="s">
        <v>1722</v>
      </c>
      <c r="J4731" s="173" t="s">
        <v>1723</v>
      </c>
      <c r="K4731" s="173" t="s">
        <v>1746</v>
      </c>
      <c r="L4731" s="173" t="s">
        <v>1753</v>
      </c>
      <c r="M4731" s="173" t="s">
        <v>1730</v>
      </c>
      <c r="N4731" s="173" t="s">
        <v>1727</v>
      </c>
      <c r="O4731" s="173" t="s">
        <v>1728</v>
      </c>
      <c r="P4731" s="224"/>
      <c r="Q4731" s="224"/>
    </row>
    <row r="4732" spans="1:17" s="225" customFormat="1" ht="10.5" x14ac:dyDescent="0.25">
      <c r="A4732" s="229"/>
      <c r="B4732" s="230" t="str">
        <f>B4728</f>
        <v>CONCRETO BETUMINOSO USINADO A QUENTE</v>
      </c>
      <c r="C4732" s="184"/>
      <c r="D4732" s="185"/>
      <c r="E4732" s="185"/>
      <c r="F4732" s="185"/>
      <c r="G4732" s="185"/>
      <c r="H4732" s="185"/>
      <c r="I4732" s="185"/>
      <c r="J4732" s="185"/>
      <c r="K4732" s="185">
        <f>K4728</f>
        <v>19.907999999999994</v>
      </c>
      <c r="L4732" s="185"/>
      <c r="M4732" s="185"/>
      <c r="N4732" s="185"/>
      <c r="O4732" s="185"/>
      <c r="P4732" s="231"/>
      <c r="Q4732" s="224"/>
    </row>
    <row r="4733" spans="1:17" s="225" customFormat="1" ht="10.5" x14ac:dyDescent="0.25">
      <c r="A4733" s="229"/>
      <c r="B4733" s="230" t="s">
        <v>1786</v>
      </c>
      <c r="C4733" s="184"/>
      <c r="D4733" s="185"/>
      <c r="E4733" s="185"/>
      <c r="F4733" s="185"/>
      <c r="G4733" s="185"/>
      <c r="H4733" s="185"/>
      <c r="I4733" s="185"/>
      <c r="J4733" s="185"/>
      <c r="K4733" s="185"/>
      <c r="L4733" s="199">
        <v>6.3229999999999995E-2</v>
      </c>
      <c r="M4733" s="185"/>
      <c r="N4733" s="185"/>
      <c r="O4733" s="185"/>
      <c r="P4733" s="231"/>
      <c r="Q4733" s="224"/>
    </row>
    <row r="4734" spans="1:17" s="225" customFormat="1" ht="10.5" x14ac:dyDescent="0.25">
      <c r="A4734" s="229"/>
      <c r="B4734" s="230"/>
      <c r="C4734" s="184"/>
      <c r="D4734" s="185"/>
      <c r="E4734" s="185"/>
      <c r="F4734" s="185"/>
      <c r="G4734" s="185"/>
      <c r="H4734" s="185"/>
      <c r="I4734" s="185"/>
      <c r="J4734" s="185"/>
      <c r="K4734" s="185">
        <f>K4732*L4733</f>
        <v>1.2587828399999996</v>
      </c>
      <c r="L4734" s="185"/>
      <c r="M4734" s="185"/>
      <c r="N4734" s="185"/>
      <c r="O4734" s="185"/>
      <c r="P4734" s="231"/>
      <c r="Q4734" s="224"/>
    </row>
    <row r="4735" spans="1:17" s="225" customFormat="1" ht="10.5" x14ac:dyDescent="0.25">
      <c r="A4735" s="229"/>
      <c r="B4735" s="232" t="s">
        <v>5</v>
      </c>
      <c r="C4735" s="182" t="s">
        <v>1328</v>
      </c>
      <c r="D4735" s="182"/>
      <c r="E4735" s="182"/>
      <c r="F4735" s="182"/>
      <c r="G4735" s="182"/>
      <c r="H4735" s="182"/>
      <c r="I4735" s="182"/>
      <c r="J4735" s="182"/>
      <c r="K4735" s="177">
        <f>SUM(K4734)</f>
        <v>1.2587828399999996</v>
      </c>
      <c r="L4735" s="182"/>
      <c r="M4735" s="182"/>
      <c r="N4735" s="177"/>
      <c r="O4735" s="177"/>
      <c r="P4735" s="233"/>
      <c r="Q4735" s="224"/>
    </row>
    <row r="4736" spans="1:17" s="228" customFormat="1" ht="52.5" x14ac:dyDescent="0.25">
      <c r="A4736" s="226" t="str">
        <f>ORÇAMENTO!A884</f>
        <v>7.1.2.6.31</v>
      </c>
      <c r="B4736" s="227" t="str">
        <f>VLOOKUP(A4736,ORÇAMENTO!A:K,4,0)</f>
        <v>EXECUÇÃO E COMPACTAÇÃO DE BASE E OU SUB BASE PARA PAVIMENTAÇÃO DE SOLO (PREDOMINANTEMENTE ARENOSO) COM CAL (TEOR DE 4%) - EXCLUSIVE SOLO, ESCAVAÇÃO, CARGA E TRANSPORTE.</v>
      </c>
      <c r="C4736" s="173" t="str">
        <f>VLOOKUP(A4736,ORÇAMENTO!A:K,5,0)</f>
        <v>M³</v>
      </c>
      <c r="D4736" s="173">
        <f>ROUND(SUM(E4740:O4740),2)</f>
        <v>41.48</v>
      </c>
      <c r="E4736" s="173" t="s">
        <v>1718</v>
      </c>
      <c r="F4736" s="173" t="s">
        <v>1719</v>
      </c>
      <c r="G4736" s="173" t="s">
        <v>1720</v>
      </c>
      <c r="H4736" s="173" t="s">
        <v>1721</v>
      </c>
      <c r="I4736" s="173" t="s">
        <v>1722</v>
      </c>
      <c r="J4736" s="173" t="s">
        <v>1723</v>
      </c>
      <c r="K4736" s="173" t="s">
        <v>1724</v>
      </c>
      <c r="L4736" s="173" t="s">
        <v>1804</v>
      </c>
      <c r="M4736" s="173" t="s">
        <v>1726</v>
      </c>
      <c r="N4736" s="173" t="s">
        <v>1811</v>
      </c>
      <c r="O4736" s="173" t="s">
        <v>1728</v>
      </c>
      <c r="P4736" s="224"/>
      <c r="Q4736" s="224"/>
    </row>
    <row r="4737" spans="1:17" s="225" customFormat="1" ht="10.5" x14ac:dyDescent="0.25">
      <c r="A4737" s="229"/>
      <c r="B4737" s="230" t="s">
        <v>1814</v>
      </c>
      <c r="C4737" s="177"/>
      <c r="D4737" s="178"/>
      <c r="E4737" s="178"/>
      <c r="F4737" s="178"/>
      <c r="G4737" s="178"/>
      <c r="H4737" s="178"/>
      <c r="I4737" s="178"/>
      <c r="J4737" s="178"/>
      <c r="K4737" s="178"/>
      <c r="L4737" s="178"/>
      <c r="M4737" s="178"/>
      <c r="N4737" s="200"/>
      <c r="O4737" s="178">
        <f>QUANTBL!AT356</f>
        <v>41.475000000000016</v>
      </c>
      <c r="P4737" s="231"/>
      <c r="Q4737" s="224"/>
    </row>
    <row r="4738" spans="1:17" s="225" customFormat="1" ht="10.5" x14ac:dyDescent="0.25">
      <c r="A4738" s="229"/>
      <c r="B4738" s="230"/>
      <c r="C4738" s="177"/>
      <c r="D4738" s="178"/>
      <c r="E4738" s="178"/>
      <c r="F4738" s="178"/>
      <c r="G4738" s="178"/>
      <c r="H4738" s="178"/>
      <c r="I4738" s="178"/>
      <c r="J4738" s="178"/>
      <c r="K4738" s="178"/>
      <c r="L4738" s="178"/>
      <c r="M4738" s="178"/>
      <c r="N4738" s="200"/>
      <c r="O4738" s="178"/>
      <c r="P4738" s="231"/>
      <c r="Q4738" s="224"/>
    </row>
    <row r="4739" spans="1:17" s="225" customFormat="1" ht="10.5" x14ac:dyDescent="0.25">
      <c r="A4739" s="229"/>
      <c r="B4739" s="230"/>
      <c r="C4739" s="177"/>
      <c r="D4739" s="178"/>
      <c r="E4739" s="178"/>
      <c r="F4739" s="178"/>
      <c r="G4739" s="178"/>
      <c r="H4739" s="178"/>
      <c r="I4739" s="178"/>
      <c r="J4739" s="178"/>
      <c r="K4739" s="178"/>
      <c r="L4739" s="178"/>
      <c r="M4739" s="178"/>
      <c r="N4739" s="200"/>
      <c r="O4739" s="178"/>
      <c r="P4739" s="231"/>
      <c r="Q4739" s="224"/>
    </row>
    <row r="4740" spans="1:17" s="225" customFormat="1" ht="10.5" x14ac:dyDescent="0.25">
      <c r="A4740" s="229"/>
      <c r="B4740" s="232" t="s">
        <v>5</v>
      </c>
      <c r="C4740" s="182" t="s">
        <v>1328</v>
      </c>
      <c r="D4740" s="182"/>
      <c r="E4740" s="182"/>
      <c r="F4740" s="182"/>
      <c r="G4740" s="182"/>
      <c r="H4740" s="182"/>
      <c r="I4740" s="182"/>
      <c r="J4740" s="182"/>
      <c r="K4740" s="178"/>
      <c r="L4740" s="182"/>
      <c r="M4740" s="182"/>
      <c r="N4740" s="177"/>
      <c r="O4740" s="177">
        <f>SUM(O4737:O4739)</f>
        <v>41.475000000000016</v>
      </c>
      <c r="P4740" s="233"/>
      <c r="Q4740" s="224"/>
    </row>
    <row r="4741" spans="1:17" s="228" customFormat="1" ht="21" x14ac:dyDescent="0.25">
      <c r="A4741" s="226" t="str">
        <f>ORÇAMENTO!A885</f>
        <v>7.1.2.6.32</v>
      </c>
      <c r="B4741" s="227" t="str">
        <f>VLOOKUP(A4741,ORÇAMENTO!A:K,4,0)</f>
        <v>BASE OU SUB-BASE DE BRITA GRADUADA COM BRITA COMERCIAL</v>
      </c>
      <c r="C4741" s="173" t="str">
        <f>VLOOKUP(A4741,ORÇAMENTO!A:K,5,0)</f>
        <v>M³</v>
      </c>
      <c r="D4741" s="173">
        <f>ROUND(SUM(E4745:O4745),2)</f>
        <v>41.48</v>
      </c>
      <c r="E4741" s="173" t="s">
        <v>1718</v>
      </c>
      <c r="F4741" s="173" t="s">
        <v>1719</v>
      </c>
      <c r="G4741" s="173" t="s">
        <v>1720</v>
      </c>
      <c r="H4741" s="173" t="s">
        <v>1721</v>
      </c>
      <c r="I4741" s="173" t="s">
        <v>1722</v>
      </c>
      <c r="J4741" s="173" t="s">
        <v>1723</v>
      </c>
      <c r="K4741" s="173" t="s">
        <v>1724</v>
      </c>
      <c r="L4741" s="173" t="s">
        <v>1804</v>
      </c>
      <c r="M4741" s="173" t="s">
        <v>1726</v>
      </c>
      <c r="N4741" s="173" t="s">
        <v>1811</v>
      </c>
      <c r="O4741" s="173" t="s">
        <v>1728</v>
      </c>
      <c r="P4741" s="224"/>
      <c r="Q4741" s="224"/>
    </row>
    <row r="4742" spans="1:17" s="225" customFormat="1" ht="10.5" x14ac:dyDescent="0.25">
      <c r="A4742" s="229"/>
      <c r="B4742" s="230" t="s">
        <v>1814</v>
      </c>
      <c r="C4742" s="177"/>
      <c r="D4742" s="178"/>
      <c r="E4742" s="178"/>
      <c r="F4742" s="178"/>
      <c r="G4742" s="178"/>
      <c r="H4742" s="178"/>
      <c r="I4742" s="178"/>
      <c r="J4742" s="178"/>
      <c r="K4742" s="178"/>
      <c r="L4742" s="178"/>
      <c r="M4742" s="178"/>
      <c r="N4742" s="200"/>
      <c r="O4742" s="178">
        <f>QUANTBL!AU356</f>
        <v>41.475000000000016</v>
      </c>
      <c r="P4742" s="231"/>
      <c r="Q4742" s="224"/>
    </row>
    <row r="4743" spans="1:17" s="225" customFormat="1" ht="10.5" x14ac:dyDescent="0.25">
      <c r="A4743" s="229"/>
      <c r="B4743" s="230"/>
      <c r="C4743" s="177"/>
      <c r="D4743" s="178"/>
      <c r="E4743" s="178"/>
      <c r="F4743" s="178"/>
      <c r="G4743" s="178"/>
      <c r="H4743" s="178"/>
      <c r="I4743" s="178"/>
      <c r="J4743" s="178"/>
      <c r="K4743" s="178"/>
      <c r="L4743" s="178"/>
      <c r="M4743" s="178"/>
      <c r="N4743" s="200"/>
      <c r="O4743" s="178"/>
      <c r="P4743" s="231"/>
      <c r="Q4743" s="224"/>
    </row>
    <row r="4744" spans="1:17" s="225" customFormat="1" ht="10.5" x14ac:dyDescent="0.25">
      <c r="A4744" s="229"/>
      <c r="B4744" s="230"/>
      <c r="C4744" s="177"/>
      <c r="D4744" s="178"/>
      <c r="E4744" s="178"/>
      <c r="F4744" s="178"/>
      <c r="G4744" s="178"/>
      <c r="H4744" s="178"/>
      <c r="I4744" s="178"/>
      <c r="J4744" s="178"/>
      <c r="K4744" s="178"/>
      <c r="L4744" s="178"/>
      <c r="M4744" s="178"/>
      <c r="N4744" s="200"/>
      <c r="O4744" s="178"/>
      <c r="P4744" s="231"/>
      <c r="Q4744" s="224"/>
    </row>
    <row r="4745" spans="1:17" s="225" customFormat="1" ht="10.5" x14ac:dyDescent="0.25">
      <c r="A4745" s="229"/>
      <c r="B4745" s="232" t="s">
        <v>5</v>
      </c>
      <c r="C4745" s="182" t="s">
        <v>1328</v>
      </c>
      <c r="D4745" s="182"/>
      <c r="E4745" s="182"/>
      <c r="F4745" s="182"/>
      <c r="G4745" s="182"/>
      <c r="H4745" s="182"/>
      <c r="I4745" s="182"/>
      <c r="J4745" s="182"/>
      <c r="K4745" s="178"/>
      <c r="L4745" s="182"/>
      <c r="M4745" s="182"/>
      <c r="N4745" s="177"/>
      <c r="O4745" s="177">
        <f>SUM(O4742:O4744)</f>
        <v>41.475000000000016</v>
      </c>
      <c r="P4745" s="233"/>
      <c r="Q4745" s="224"/>
    </row>
    <row r="4746" spans="1:17" s="228" customFormat="1" ht="21" x14ac:dyDescent="0.25">
      <c r="A4746" s="226" t="str">
        <f>ORÇAMENTO!A886</f>
        <v>7.1.2.6.33</v>
      </c>
      <c r="B4746" s="227" t="str">
        <f>VLOOKUP(A4746,ORÇAMENTO!A:K,4,0)</f>
        <v>CAL HIDRATADA - A GRANEL</v>
      </c>
      <c r="C4746" s="173" t="str">
        <f>VLOOKUP(A4746,ORÇAMENTO!A:K,5,0)</f>
        <v>KG</v>
      </c>
      <c r="D4746" s="173">
        <f>ROUND(SUM(E4750:O4750),2)</f>
        <v>11703.29</v>
      </c>
      <c r="E4746" s="173" t="s">
        <v>1718</v>
      </c>
      <c r="F4746" s="173" t="s">
        <v>1719</v>
      </c>
      <c r="G4746" s="173" t="s">
        <v>1720</v>
      </c>
      <c r="H4746" s="173" t="s">
        <v>1721</v>
      </c>
      <c r="I4746" s="173" t="s">
        <v>1722</v>
      </c>
      <c r="J4746" s="173" t="s">
        <v>1723</v>
      </c>
      <c r="K4746" s="173" t="s">
        <v>1724</v>
      </c>
      <c r="L4746" s="173" t="s">
        <v>1753</v>
      </c>
      <c r="M4746" s="173" t="s">
        <v>1726</v>
      </c>
      <c r="N4746" s="173" t="s">
        <v>1811</v>
      </c>
      <c r="O4746" s="173" t="s">
        <v>1728</v>
      </c>
      <c r="P4746" s="224"/>
      <c r="Q4746" s="224"/>
    </row>
    <row r="4747" spans="1:17" s="225" customFormat="1" ht="10.5" x14ac:dyDescent="0.25">
      <c r="A4747" s="229"/>
      <c r="B4747" s="232" t="s">
        <v>1815</v>
      </c>
      <c r="C4747" s="177"/>
      <c r="D4747" s="178"/>
      <c r="E4747" s="178"/>
      <c r="F4747" s="178"/>
      <c r="G4747" s="178"/>
      <c r="H4747" s="178"/>
      <c r="I4747" s="178"/>
      <c r="J4747" s="178"/>
      <c r="K4747" s="178"/>
      <c r="L4747" s="178"/>
      <c r="M4747" s="178"/>
      <c r="N4747" s="200"/>
      <c r="O4747" s="178">
        <f>QUANTBL!BD356</f>
        <v>2.8986800000000006</v>
      </c>
      <c r="P4747" s="231"/>
      <c r="Q4747" s="224"/>
    </row>
    <row r="4748" spans="1:17" s="225" customFormat="1" ht="10.5" x14ac:dyDescent="0.25">
      <c r="A4748" s="229"/>
      <c r="B4748" s="232" t="s">
        <v>451</v>
      </c>
      <c r="C4748" s="177"/>
      <c r="D4748" s="178"/>
      <c r="E4748" s="178"/>
      <c r="F4748" s="178"/>
      <c r="G4748" s="178"/>
      <c r="H4748" s="178"/>
      <c r="I4748" s="178"/>
      <c r="J4748" s="178"/>
      <c r="K4748" s="178"/>
      <c r="L4748" s="178"/>
      <c r="M4748" s="178"/>
      <c r="N4748" s="200"/>
      <c r="O4748" s="178">
        <f>QUANTBL!CM356</f>
        <v>2.7742679999999993</v>
      </c>
      <c r="P4748" s="231"/>
      <c r="Q4748" s="224"/>
    </row>
    <row r="4749" spans="1:17" s="225" customFormat="1" ht="31.5" x14ac:dyDescent="0.25">
      <c r="A4749" s="229"/>
      <c r="B4749" s="230" t="s">
        <v>1782</v>
      </c>
      <c r="C4749" s="177"/>
      <c r="D4749" s="178"/>
      <c r="E4749" s="178"/>
      <c r="F4749" s="178"/>
      <c r="G4749" s="178"/>
      <c r="H4749" s="178"/>
      <c r="I4749" s="178"/>
      <c r="J4749" s="178"/>
      <c r="K4749" s="178">
        <f>L4749*O4747+L4749*O4748</f>
        <v>11703.291723999999</v>
      </c>
      <c r="L4749" s="178">
        <f>82.52/0.04</f>
        <v>2063</v>
      </c>
      <c r="M4749" s="178"/>
      <c r="N4749" s="200"/>
      <c r="O4749" s="178"/>
      <c r="P4749" s="231"/>
      <c r="Q4749" s="224"/>
    </row>
    <row r="4750" spans="1:17" s="225" customFormat="1" ht="10.5" x14ac:dyDescent="0.25">
      <c r="A4750" s="229"/>
      <c r="B4750" s="232" t="s">
        <v>5</v>
      </c>
      <c r="C4750" s="182" t="s">
        <v>1328</v>
      </c>
      <c r="D4750" s="182"/>
      <c r="E4750" s="182"/>
      <c r="F4750" s="182"/>
      <c r="G4750" s="182"/>
      <c r="H4750" s="182"/>
      <c r="I4750" s="182"/>
      <c r="J4750" s="182"/>
      <c r="K4750" s="177">
        <f>SUM(K4747:K4749)</f>
        <v>11703.291723999999</v>
      </c>
      <c r="L4750" s="182"/>
      <c r="M4750" s="182"/>
      <c r="N4750" s="177"/>
      <c r="O4750" s="177"/>
      <c r="P4750" s="233"/>
      <c r="Q4750" s="224"/>
    </row>
    <row r="4751" spans="1:17" s="228" customFormat="1" ht="21" x14ac:dyDescent="0.25">
      <c r="A4751" s="226" t="str">
        <f>ORÇAMENTO!A887</f>
        <v>7.1.2.6.34</v>
      </c>
      <c r="B4751" s="227" t="str">
        <f>VLOOKUP(A4751,ORÇAMENTO!A:K,4,0)</f>
        <v>REATERRO MANUAL APILOADO COM SOQUETE</v>
      </c>
      <c r="C4751" s="173" t="str">
        <f>VLOOKUP(A4751,ORÇAMENTO!A:K,5,0)</f>
        <v>M³</v>
      </c>
      <c r="D4751" s="173">
        <f>ROUND(SUM(E4754:O4754),2)</f>
        <v>158.80000000000001</v>
      </c>
      <c r="E4751" s="173" t="s">
        <v>1718</v>
      </c>
      <c r="F4751" s="173" t="s">
        <v>1719</v>
      </c>
      <c r="G4751" s="173" t="s">
        <v>1720</v>
      </c>
      <c r="H4751" s="173" t="s">
        <v>1721</v>
      </c>
      <c r="I4751" s="173" t="s">
        <v>1722</v>
      </c>
      <c r="J4751" s="173" t="s">
        <v>1723</v>
      </c>
      <c r="K4751" s="173" t="s">
        <v>1724</v>
      </c>
      <c r="L4751" s="173" t="s">
        <v>1804</v>
      </c>
      <c r="M4751" s="173" t="s">
        <v>1726</v>
      </c>
      <c r="N4751" s="173" t="s">
        <v>1811</v>
      </c>
      <c r="O4751" s="173" t="s">
        <v>1728</v>
      </c>
      <c r="P4751" s="224"/>
      <c r="Q4751" s="224"/>
    </row>
    <row r="4752" spans="1:17" s="225" customFormat="1" ht="10.5" x14ac:dyDescent="0.25">
      <c r="A4752" s="229"/>
      <c r="B4752" s="232" t="s">
        <v>1815</v>
      </c>
      <c r="C4752" s="177"/>
      <c r="D4752" s="178"/>
      <c r="E4752" s="178"/>
      <c r="F4752" s="178"/>
      <c r="G4752" s="178"/>
      <c r="H4752" s="178"/>
      <c r="I4752" s="178"/>
      <c r="J4752" s="178"/>
      <c r="K4752" s="178"/>
      <c r="L4752" s="178"/>
      <c r="M4752" s="178"/>
      <c r="N4752" s="200"/>
      <c r="O4752" s="178"/>
      <c r="P4752" s="231"/>
      <c r="Q4752" s="224"/>
    </row>
    <row r="4753" spans="1:17" s="225" customFormat="1" ht="10.5" x14ac:dyDescent="0.25">
      <c r="A4753" s="229"/>
      <c r="B4753" s="230" t="s">
        <v>1787</v>
      </c>
      <c r="C4753" s="177"/>
      <c r="D4753" s="178"/>
      <c r="E4753" s="178"/>
      <c r="F4753" s="178"/>
      <c r="G4753" s="178"/>
      <c r="H4753" s="178"/>
      <c r="I4753" s="178"/>
      <c r="J4753" s="178"/>
      <c r="K4753" s="178"/>
      <c r="L4753" s="178"/>
      <c r="M4753" s="178"/>
      <c r="N4753" s="200"/>
      <c r="O4753" s="178">
        <f>QUANTBL!AR356</f>
        <v>158.80398525129689</v>
      </c>
      <c r="P4753" s="231"/>
      <c r="Q4753" s="224"/>
    </row>
    <row r="4754" spans="1:17" s="225" customFormat="1" ht="10.5" x14ac:dyDescent="0.25">
      <c r="A4754" s="229"/>
      <c r="B4754" s="232" t="s">
        <v>5</v>
      </c>
      <c r="C4754" s="182" t="s">
        <v>1328</v>
      </c>
      <c r="D4754" s="182"/>
      <c r="E4754" s="182"/>
      <c r="F4754" s="182"/>
      <c r="G4754" s="182"/>
      <c r="H4754" s="182"/>
      <c r="I4754" s="182"/>
      <c r="J4754" s="182"/>
      <c r="K4754" s="178"/>
      <c r="L4754" s="182"/>
      <c r="M4754" s="182"/>
      <c r="N4754" s="177"/>
      <c r="O4754" s="177">
        <f>SUM(O4752:O4753)</f>
        <v>158.80398525129689</v>
      </c>
      <c r="P4754" s="233"/>
      <c r="Q4754" s="224"/>
    </row>
    <row r="4755" spans="1:17" s="228" customFormat="1" ht="31.5" x14ac:dyDescent="0.25">
      <c r="A4755" s="226" t="str">
        <f>ORÇAMENTO!A888</f>
        <v>7.1.2.6.35</v>
      </c>
      <c r="B4755" s="227" t="str">
        <f>VLOOKUP(A4755,ORÇAMENTO!A:K,4,0)</f>
        <v>REATERRO COMPACTADO MECANICAMENTE EM CAMADAS DE 0,20 M COM APROVEITAMENTO DO MATERIAL ESCAVADO.</v>
      </c>
      <c r="C4755" s="173" t="str">
        <f>VLOOKUP(A4755,ORÇAMENTO!A:K,5,0)</f>
        <v>M³</v>
      </c>
      <c r="D4755" s="173">
        <f>ROUND(SUM(E4762:O4762),2)</f>
        <v>717.28</v>
      </c>
      <c r="E4755" s="173" t="s">
        <v>1718</v>
      </c>
      <c r="F4755" s="173" t="s">
        <v>1719</v>
      </c>
      <c r="G4755" s="173" t="s">
        <v>1720</v>
      </c>
      <c r="H4755" s="173" t="s">
        <v>1721</v>
      </c>
      <c r="I4755" s="173" t="s">
        <v>1722</v>
      </c>
      <c r="J4755" s="173" t="s">
        <v>1723</v>
      </c>
      <c r="K4755" s="173" t="s">
        <v>1724</v>
      </c>
      <c r="L4755" s="173" t="s">
        <v>1753</v>
      </c>
      <c r="M4755" s="173" t="s">
        <v>1726</v>
      </c>
      <c r="N4755" s="173" t="s">
        <v>1811</v>
      </c>
      <c r="O4755" s="173" t="s">
        <v>1728</v>
      </c>
      <c r="P4755" s="224"/>
      <c r="Q4755" s="224"/>
    </row>
    <row r="4756" spans="1:17" s="225" customFormat="1" ht="10.5" x14ac:dyDescent="0.25">
      <c r="A4756" s="229"/>
      <c r="B4756" s="232" t="s">
        <v>1815</v>
      </c>
      <c r="C4756" s="177"/>
      <c r="D4756" s="178"/>
      <c r="E4756" s="178"/>
      <c r="F4756" s="178"/>
      <c r="G4756" s="178"/>
      <c r="H4756" s="178"/>
      <c r="I4756" s="178"/>
      <c r="J4756" s="178"/>
      <c r="K4756" s="178"/>
      <c r="L4756" s="178"/>
      <c r="M4756" s="178"/>
      <c r="N4756" s="200"/>
      <c r="O4756" s="178"/>
      <c r="P4756" s="231"/>
      <c r="Q4756" s="224"/>
    </row>
    <row r="4757" spans="1:17" s="225" customFormat="1" ht="10.5" x14ac:dyDescent="0.25">
      <c r="A4757" s="229"/>
      <c r="B4757" s="230" t="s">
        <v>1787</v>
      </c>
      <c r="C4757" s="177"/>
      <c r="D4757" s="178"/>
      <c r="E4757" s="178"/>
      <c r="F4757" s="178"/>
      <c r="G4757" s="178"/>
      <c r="H4757" s="178"/>
      <c r="I4757" s="178"/>
      <c r="J4757" s="178"/>
      <c r="K4757" s="178"/>
      <c r="L4757" s="178"/>
      <c r="M4757" s="178"/>
      <c r="N4757" s="200"/>
      <c r="O4757" s="178">
        <f>QUANTBL!AY356</f>
        <v>121.33389969885296</v>
      </c>
      <c r="P4757" s="231"/>
      <c r="Q4757" s="224"/>
    </row>
    <row r="4758" spans="1:17" s="225" customFormat="1" ht="10.5" x14ac:dyDescent="0.25">
      <c r="A4758" s="229"/>
      <c r="B4758" s="230" t="s">
        <v>1816</v>
      </c>
      <c r="C4758" s="177"/>
      <c r="D4758" s="178"/>
      <c r="E4758" s="178"/>
      <c r="F4758" s="178"/>
      <c r="G4758" s="178"/>
      <c r="H4758" s="178"/>
      <c r="I4758" s="178"/>
      <c r="J4758" s="178"/>
      <c r="K4758" s="178"/>
      <c r="L4758" s="178"/>
      <c r="M4758" s="178"/>
      <c r="N4758" s="200"/>
      <c r="O4758" s="178">
        <f>QUANTBL!BA356</f>
        <v>51.145485049851011</v>
      </c>
      <c r="P4758" s="231"/>
      <c r="Q4758" s="224"/>
    </row>
    <row r="4759" spans="1:17" s="225" customFormat="1" ht="10.5" x14ac:dyDescent="0.25">
      <c r="A4759" s="229"/>
      <c r="B4759" s="230" t="s">
        <v>1790</v>
      </c>
      <c r="C4759" s="177"/>
      <c r="D4759" s="178"/>
      <c r="E4759" s="178"/>
      <c r="F4759" s="178"/>
      <c r="G4759" s="178"/>
      <c r="H4759" s="178"/>
      <c r="I4759" s="178"/>
      <c r="J4759" s="178"/>
      <c r="K4759" s="178"/>
      <c r="L4759" s="178"/>
      <c r="M4759" s="178"/>
      <c r="N4759" s="200"/>
      <c r="O4759" s="178">
        <f>QUANTBL!AO356</f>
        <v>47.78</v>
      </c>
      <c r="P4759" s="231"/>
      <c r="Q4759" s="224"/>
    </row>
    <row r="4760" spans="1:17" s="225" customFormat="1" ht="10.5" x14ac:dyDescent="0.25">
      <c r="A4760" s="229"/>
      <c r="B4760" s="232" t="s">
        <v>451</v>
      </c>
      <c r="C4760" s="177"/>
      <c r="D4760" s="178"/>
      <c r="E4760" s="178"/>
      <c r="F4760" s="178"/>
      <c r="G4760" s="178"/>
      <c r="H4760" s="178"/>
      <c r="I4760" s="178"/>
      <c r="J4760" s="178"/>
      <c r="K4760" s="178"/>
      <c r="L4760" s="178"/>
      <c r="M4760" s="178"/>
      <c r="N4760" s="200"/>
      <c r="O4760" s="178"/>
      <c r="P4760" s="231"/>
      <c r="Q4760" s="224"/>
    </row>
    <row r="4761" spans="1:17" s="225" customFormat="1" ht="10.5" x14ac:dyDescent="0.25">
      <c r="A4761" s="229"/>
      <c r="B4761" s="230" t="s">
        <v>1787</v>
      </c>
      <c r="C4761" s="177"/>
      <c r="D4761" s="178"/>
      <c r="E4761" s="178"/>
      <c r="F4761" s="178"/>
      <c r="G4761" s="178"/>
      <c r="H4761" s="178"/>
      <c r="I4761" s="178"/>
      <c r="J4761" s="178"/>
      <c r="K4761" s="178"/>
      <c r="L4761" s="178"/>
      <c r="M4761" s="178"/>
      <c r="N4761" s="200"/>
      <c r="O4761" s="178">
        <f>QUANTBL!CK356</f>
        <v>497.02320200000003</v>
      </c>
      <c r="P4761" s="231"/>
      <c r="Q4761" s="224"/>
    </row>
    <row r="4762" spans="1:17" s="225" customFormat="1" ht="10.5" x14ac:dyDescent="0.25">
      <c r="A4762" s="229"/>
      <c r="B4762" s="232" t="s">
        <v>5</v>
      </c>
      <c r="C4762" s="182" t="s">
        <v>1328</v>
      </c>
      <c r="D4762" s="182"/>
      <c r="E4762" s="182"/>
      <c r="F4762" s="182"/>
      <c r="G4762" s="182"/>
      <c r="H4762" s="182"/>
      <c r="I4762" s="182"/>
      <c r="J4762" s="182"/>
      <c r="K4762" s="177"/>
      <c r="L4762" s="182"/>
      <c r="M4762" s="182"/>
      <c r="N4762" s="177"/>
      <c r="O4762" s="177">
        <f>SUM(O4757:O4761)</f>
        <v>717.28258674870403</v>
      </c>
      <c r="P4762" s="233"/>
      <c r="Q4762" s="224"/>
    </row>
    <row r="4763" spans="1:17" s="228" customFormat="1" ht="52.5" x14ac:dyDescent="0.25">
      <c r="A4763" s="226" t="str">
        <f>ORÇAMENTO!A889</f>
        <v>7.1.2.6.36</v>
      </c>
      <c r="B4763" s="227" t="str">
        <f>VLOOKUP(A4763,ORÇAMENTO!A:K,4,0)</f>
        <v>CARGA, MANOBRA E DESCARGA DE SOLOS E MATERIAIS GRANULARES EM CAMINHÃO BASCULANTE 14 M³ - CARGA COM ESCAVADEIRA HIDRÁULICA (CAÇAMBA DE 1,20 M³ / 155 HP) E DESCARGA LIVRE (UNIDADE: M3). AF_07/2020</v>
      </c>
      <c r="C4763" s="173" t="str">
        <f>VLOOKUP(A4763,ORÇAMENTO!A:K,5,0)</f>
        <v>M³</v>
      </c>
      <c r="D4763" s="173">
        <f>ROUND(SUM(E4778:O4778),2)</f>
        <v>901.29</v>
      </c>
      <c r="E4763" s="173" t="s">
        <v>1718</v>
      </c>
      <c r="F4763" s="173" t="s">
        <v>1719</v>
      </c>
      <c r="G4763" s="173" t="s">
        <v>1720</v>
      </c>
      <c r="H4763" s="173" t="s">
        <v>1721</v>
      </c>
      <c r="I4763" s="173" t="s">
        <v>1722</v>
      </c>
      <c r="J4763" s="173" t="s">
        <v>1723</v>
      </c>
      <c r="K4763" s="173" t="s">
        <v>1724</v>
      </c>
      <c r="L4763" s="173" t="s">
        <v>1804</v>
      </c>
      <c r="M4763" s="173" t="s">
        <v>1726</v>
      </c>
      <c r="N4763" s="173" t="s">
        <v>1809</v>
      </c>
      <c r="O4763" s="173" t="s">
        <v>1728</v>
      </c>
      <c r="P4763" s="224"/>
      <c r="Q4763" s="224"/>
    </row>
    <row r="4764" spans="1:17" s="225" customFormat="1" ht="10.5" x14ac:dyDescent="0.25">
      <c r="A4764" s="229"/>
      <c r="B4764" s="230" t="s">
        <v>1772</v>
      </c>
      <c r="C4764" s="177"/>
      <c r="D4764" s="178"/>
      <c r="E4764" s="178"/>
      <c r="F4764" s="178"/>
      <c r="G4764" s="178"/>
      <c r="H4764" s="178"/>
      <c r="I4764" s="178"/>
      <c r="J4764" s="178"/>
      <c r="K4764" s="178"/>
      <c r="L4764" s="178"/>
      <c r="M4764" s="178"/>
      <c r="N4764" s="200"/>
      <c r="O4764" s="178"/>
      <c r="P4764" s="231"/>
      <c r="Q4764" s="224"/>
    </row>
    <row r="4765" spans="1:17" s="228" customFormat="1" ht="10.5" x14ac:dyDescent="0.25">
      <c r="A4765" s="239"/>
      <c r="B4765" s="232" t="str">
        <f>B4756</f>
        <v>LIGAÇÃO BOCA - PV</v>
      </c>
      <c r="C4765" s="177"/>
      <c r="D4765" s="177"/>
      <c r="E4765" s="177"/>
      <c r="F4765" s="177"/>
      <c r="G4765" s="177"/>
      <c r="H4765" s="177"/>
      <c r="I4765" s="177"/>
      <c r="J4765" s="177"/>
      <c r="K4765" s="177"/>
      <c r="L4765" s="177"/>
      <c r="M4765" s="177"/>
      <c r="N4765" s="202"/>
      <c r="O4765" s="177"/>
      <c r="P4765" s="231"/>
      <c r="Q4765" s="224"/>
    </row>
    <row r="4766" spans="1:17" s="225" customFormat="1" ht="10.5" x14ac:dyDescent="0.25">
      <c r="A4766" s="229"/>
      <c r="B4766" s="230" t="s">
        <v>1817</v>
      </c>
      <c r="C4766" s="177"/>
      <c r="D4766" s="178"/>
      <c r="E4766" s="178"/>
      <c r="F4766" s="178"/>
      <c r="G4766" s="178"/>
      <c r="H4766" s="178"/>
      <c r="I4766" s="178"/>
      <c r="J4766" s="178"/>
      <c r="K4766" s="178"/>
      <c r="L4766" s="178"/>
      <c r="M4766" s="178"/>
      <c r="N4766" s="200"/>
      <c r="O4766" s="178">
        <f>QUANTBL!BC358</f>
        <v>345.05556799999914</v>
      </c>
      <c r="P4766" s="231"/>
      <c r="Q4766" s="224"/>
    </row>
    <row r="4767" spans="1:17" s="225" customFormat="1" ht="10.5" x14ac:dyDescent="0.25">
      <c r="A4767" s="229"/>
      <c r="B4767" s="240" t="s">
        <v>1818</v>
      </c>
      <c r="C4767" s="177"/>
      <c r="D4767" s="178"/>
      <c r="E4767" s="178"/>
      <c r="F4767" s="178"/>
      <c r="G4767" s="178"/>
      <c r="H4767" s="178"/>
      <c r="I4767" s="178"/>
      <c r="J4767" s="178"/>
      <c r="K4767" s="178"/>
      <c r="L4767" s="178"/>
      <c r="M4767" s="178"/>
      <c r="N4767" s="200"/>
      <c r="O4767" s="178">
        <f>QUANTBL!BC357</f>
        <v>0</v>
      </c>
      <c r="P4767" s="231"/>
      <c r="Q4767" s="224"/>
    </row>
    <row r="4768" spans="1:17" s="228" customFormat="1" ht="10.5" x14ac:dyDescent="0.25">
      <c r="A4768" s="239"/>
      <c r="B4768" s="241" t="str">
        <f>B4760</f>
        <v>BOCAS DE LOBO</v>
      </c>
      <c r="C4768" s="177"/>
      <c r="D4768" s="177"/>
      <c r="E4768" s="177"/>
      <c r="F4768" s="177"/>
      <c r="G4768" s="177"/>
      <c r="H4768" s="177"/>
      <c r="I4768" s="177"/>
      <c r="J4768" s="177"/>
      <c r="K4768" s="177"/>
      <c r="L4768" s="177"/>
      <c r="M4768" s="177"/>
      <c r="N4768" s="202"/>
      <c r="O4768" s="177"/>
      <c r="P4768" s="231"/>
      <c r="Q4768" s="224"/>
    </row>
    <row r="4769" spans="1:19" s="225" customFormat="1" ht="10.5" x14ac:dyDescent="0.25">
      <c r="A4769" s="229"/>
      <c r="B4769" s="230" t="s">
        <v>1817</v>
      </c>
      <c r="C4769" s="177"/>
      <c r="D4769" s="178"/>
      <c r="E4769" s="178"/>
      <c r="F4769" s="178"/>
      <c r="G4769" s="178"/>
      <c r="H4769" s="178"/>
      <c r="I4769" s="178"/>
      <c r="J4769" s="178"/>
      <c r="K4769" s="178"/>
      <c r="L4769" s="178"/>
      <c r="M4769" s="178"/>
      <c r="N4769" s="200"/>
      <c r="O4769" s="178">
        <f>QUANTBL!CM359</f>
        <v>361.00747136000001</v>
      </c>
      <c r="P4769" s="231"/>
      <c r="Q4769" s="224"/>
    </row>
    <row r="4770" spans="1:19" s="225" customFormat="1" ht="10.5" x14ac:dyDescent="0.25">
      <c r="A4770" s="229"/>
      <c r="B4770" s="240" t="s">
        <v>1818</v>
      </c>
      <c r="C4770" s="177"/>
      <c r="D4770" s="178"/>
      <c r="E4770" s="178"/>
      <c r="F4770" s="178"/>
      <c r="G4770" s="178"/>
      <c r="H4770" s="178"/>
      <c r="I4770" s="178"/>
      <c r="J4770" s="178"/>
      <c r="K4770" s="178"/>
      <c r="L4770" s="178"/>
      <c r="M4770" s="178"/>
      <c r="N4770" s="200"/>
      <c r="O4770" s="178">
        <f>QUANTBL!CM358</f>
        <v>13.871339999999986</v>
      </c>
      <c r="P4770" s="231"/>
      <c r="Q4770" s="224"/>
    </row>
    <row r="4771" spans="1:19" s="225" customFormat="1" ht="10.5" x14ac:dyDescent="0.25">
      <c r="A4771" s="229"/>
      <c r="B4771" s="240"/>
      <c r="C4771" s="177"/>
      <c r="D4771" s="178"/>
      <c r="E4771" s="178"/>
      <c r="F4771" s="178"/>
      <c r="G4771" s="178"/>
      <c r="H4771" s="178"/>
      <c r="I4771" s="178"/>
      <c r="J4771" s="178"/>
      <c r="K4771" s="178"/>
      <c r="L4771" s="178"/>
      <c r="M4771" s="178"/>
      <c r="N4771" s="200"/>
      <c r="O4771" s="178"/>
      <c r="P4771" s="231"/>
      <c r="Q4771" s="224"/>
    </row>
    <row r="4772" spans="1:19" s="228" customFormat="1" ht="10.5" x14ac:dyDescent="0.25">
      <c r="A4772" s="239"/>
      <c r="B4772" s="241" t="s">
        <v>1819</v>
      </c>
      <c r="C4772" s="177"/>
      <c r="D4772" s="177"/>
      <c r="E4772" s="177"/>
      <c r="F4772" s="177"/>
      <c r="G4772" s="177"/>
      <c r="H4772" s="177"/>
      <c r="I4772" s="177"/>
      <c r="J4772" s="177"/>
      <c r="K4772" s="177"/>
      <c r="L4772" s="177"/>
      <c r="M4772" s="177"/>
      <c r="N4772" s="202"/>
      <c r="O4772" s="177"/>
      <c r="P4772" s="231"/>
      <c r="Q4772" s="224"/>
    </row>
    <row r="4773" spans="1:19" s="225" customFormat="1" ht="10.5" x14ac:dyDescent="0.25">
      <c r="A4773" s="229"/>
      <c r="B4773" s="240" t="s">
        <v>1820</v>
      </c>
      <c r="C4773" s="177"/>
      <c r="D4773" s="178"/>
      <c r="E4773" s="178"/>
      <c r="F4773" s="178"/>
      <c r="G4773" s="178"/>
      <c r="H4773" s="178"/>
      <c r="I4773" s="178"/>
      <c r="J4773" s="178"/>
      <c r="K4773" s="178"/>
      <c r="L4773" s="178"/>
      <c r="M4773" s="178"/>
      <c r="N4773" s="200"/>
      <c r="O4773" s="178">
        <f>QUANTBL!AP356</f>
        <v>47.78</v>
      </c>
      <c r="P4773" s="231"/>
      <c r="Q4773" s="224"/>
    </row>
    <row r="4774" spans="1:19" s="225" customFormat="1" ht="10.5" x14ac:dyDescent="0.25">
      <c r="A4774" s="229"/>
      <c r="B4774" s="240" t="s">
        <v>1821</v>
      </c>
      <c r="C4774" s="177"/>
      <c r="D4774" s="178"/>
      <c r="E4774" s="178"/>
      <c r="F4774" s="178"/>
      <c r="G4774" s="178"/>
      <c r="H4774" s="178"/>
      <c r="I4774" s="178"/>
      <c r="J4774" s="178"/>
      <c r="K4774" s="178"/>
      <c r="L4774" s="178"/>
      <c r="M4774" s="178"/>
      <c r="N4774" s="200"/>
      <c r="O4774" s="178">
        <f>QUANTBL!AS356</f>
        <v>68.60447030114797</v>
      </c>
      <c r="P4774" s="231"/>
      <c r="Q4774" s="224"/>
    </row>
    <row r="4775" spans="1:19" s="225" customFormat="1" ht="10.5" x14ac:dyDescent="0.25">
      <c r="A4775" s="229"/>
      <c r="B4775" s="240" t="s">
        <v>1822</v>
      </c>
      <c r="C4775" s="177"/>
      <c r="D4775" s="178"/>
      <c r="E4775" s="178"/>
      <c r="F4775" s="178"/>
      <c r="G4775" s="178"/>
      <c r="H4775" s="178"/>
      <c r="I4775" s="178"/>
      <c r="J4775" s="178"/>
      <c r="K4775" s="178"/>
      <c r="L4775" s="178"/>
      <c r="M4775" s="178"/>
      <c r="N4775" s="200"/>
      <c r="O4775" s="178">
        <f>QUANTBL!BA356</f>
        <v>51.145485049851011</v>
      </c>
      <c r="P4775" s="231"/>
      <c r="Q4775" s="224"/>
    </row>
    <row r="4776" spans="1:19" s="225" customFormat="1" ht="21" x14ac:dyDescent="0.25">
      <c r="A4776" s="229"/>
      <c r="B4776" s="230" t="s">
        <v>1792</v>
      </c>
      <c r="C4776" s="177"/>
      <c r="D4776" s="178"/>
      <c r="E4776" s="178"/>
      <c r="F4776" s="178"/>
      <c r="G4776" s="178"/>
      <c r="H4776" s="178"/>
      <c r="I4776" s="178"/>
      <c r="J4776" s="178"/>
      <c r="K4776" s="178"/>
      <c r="L4776" s="178"/>
      <c r="M4776" s="178"/>
      <c r="N4776" s="200"/>
      <c r="O4776" s="178">
        <f>O4700</f>
        <v>13.825000000000001</v>
      </c>
      <c r="P4776" s="231"/>
      <c r="Q4776" s="224"/>
    </row>
    <row r="4777" spans="1:19" s="225" customFormat="1" ht="10.5" x14ac:dyDescent="0.25">
      <c r="A4777" s="229"/>
      <c r="B4777" s="230"/>
      <c r="C4777" s="177"/>
      <c r="D4777" s="178"/>
      <c r="E4777" s="178"/>
      <c r="F4777" s="178"/>
      <c r="G4777" s="178"/>
      <c r="H4777" s="178"/>
      <c r="I4777" s="178"/>
      <c r="J4777" s="178"/>
      <c r="K4777" s="178"/>
      <c r="L4777" s="178"/>
      <c r="M4777" s="178"/>
      <c r="N4777" s="200"/>
      <c r="O4777" s="178"/>
      <c r="P4777" s="231"/>
      <c r="Q4777" s="224"/>
    </row>
    <row r="4778" spans="1:19" s="225" customFormat="1" ht="10.5" x14ac:dyDescent="0.25">
      <c r="A4778" s="229"/>
      <c r="B4778" s="232" t="s">
        <v>5</v>
      </c>
      <c r="C4778" s="182" t="s">
        <v>1328</v>
      </c>
      <c r="D4778" s="182"/>
      <c r="E4778" s="182"/>
      <c r="F4778" s="182"/>
      <c r="G4778" s="182"/>
      <c r="H4778" s="182"/>
      <c r="I4778" s="182"/>
      <c r="J4778" s="182"/>
      <c r="K4778" s="178"/>
      <c r="L4778" s="182"/>
      <c r="M4778" s="182"/>
      <c r="N4778" s="177"/>
      <c r="O4778" s="177">
        <f>SUM(O4764:O4777)</f>
        <v>901.28933471099822</v>
      </c>
      <c r="P4778" s="233"/>
      <c r="Q4778" s="224"/>
    </row>
    <row r="4779" spans="1:19" s="235" customFormat="1" ht="31.5" x14ac:dyDescent="0.35">
      <c r="A4779" s="226" t="str">
        <f>ORÇAMENTO!A890</f>
        <v>7.1.2.6.37</v>
      </c>
      <c r="B4779" s="227" t="str">
        <f>VLOOKUP(A4779,ORÇAMENTO!A:K,4,0)</f>
        <v>TRANSPORTE COM CAMINHÃO BASCULANTE DE 14 M³, EM VIA URBANA PAVIMENTADA, DMT ATÉ 30 KM (UNIDADE: M3XKM). AF_07/2020</v>
      </c>
      <c r="C4779" s="173" t="str">
        <f>VLOOKUP(A4779,ORÇAMENTO!A:K,5,0)</f>
        <v>M3XKM</v>
      </c>
      <c r="D4779" s="173">
        <f>SUM(E4785:O4785)</f>
        <v>21985.457371870172</v>
      </c>
      <c r="E4779" s="173" t="s">
        <v>1752</v>
      </c>
      <c r="F4779" s="173" t="s">
        <v>1719</v>
      </c>
      <c r="G4779" s="173" t="s">
        <v>1720</v>
      </c>
      <c r="H4779" s="173" t="s">
        <v>1721</v>
      </c>
      <c r="I4779" s="173" t="s">
        <v>1722</v>
      </c>
      <c r="J4779" s="173" t="s">
        <v>1723</v>
      </c>
      <c r="K4779" s="173" t="s">
        <v>1746</v>
      </c>
      <c r="L4779" s="173" t="s">
        <v>1753</v>
      </c>
      <c r="M4779" s="173" t="s">
        <v>1750</v>
      </c>
      <c r="N4779" s="173" t="s">
        <v>1727</v>
      </c>
      <c r="O4779" s="173" t="s">
        <v>1728</v>
      </c>
      <c r="P4779" s="224"/>
      <c r="Q4779" s="224"/>
      <c r="R4779" s="224"/>
      <c r="S4779" s="224"/>
    </row>
    <row r="4780" spans="1:19" s="225" customFormat="1" ht="21" x14ac:dyDescent="0.25">
      <c r="A4780" s="229"/>
      <c r="B4780" s="230" t="s">
        <v>1773</v>
      </c>
      <c r="C4780" s="177"/>
      <c r="D4780" s="178"/>
      <c r="E4780" s="178">
        <v>30</v>
      </c>
      <c r="F4780" s="178"/>
      <c r="G4780" s="178"/>
      <c r="H4780" s="178"/>
      <c r="I4780" s="178"/>
      <c r="J4780" s="178"/>
      <c r="K4780" s="178"/>
      <c r="L4780" s="190"/>
      <c r="M4780" s="178">
        <f>E4780*O4780</f>
        <v>21181.891180799976</v>
      </c>
      <c r="N4780" s="178"/>
      <c r="O4780" s="178">
        <f>O4766+O4769</f>
        <v>706.06303935999915</v>
      </c>
      <c r="P4780" s="231"/>
      <c r="Q4780" s="224"/>
    </row>
    <row r="4781" spans="1:19" s="225" customFormat="1" ht="21" x14ac:dyDescent="0.25">
      <c r="A4781" s="229"/>
      <c r="B4781" s="230" t="s">
        <v>1774</v>
      </c>
      <c r="C4781" s="177"/>
      <c r="D4781" s="178"/>
      <c r="E4781" s="178">
        <v>30</v>
      </c>
      <c r="F4781" s="178"/>
      <c r="G4781" s="178"/>
      <c r="H4781" s="178"/>
      <c r="I4781" s="178"/>
      <c r="J4781" s="178"/>
      <c r="K4781" s="178"/>
      <c r="L4781" s="190"/>
      <c r="M4781" s="178">
        <f>E4781*O4781</f>
        <v>416.1401999999996</v>
      </c>
      <c r="N4781" s="178"/>
      <c r="O4781" s="178">
        <f>O4767+O4770</f>
        <v>13.871339999999986</v>
      </c>
      <c r="P4781" s="231"/>
      <c r="Q4781" s="224"/>
    </row>
    <row r="4782" spans="1:19" s="225" customFormat="1" ht="10.5" x14ac:dyDescent="0.25">
      <c r="A4782" s="229"/>
      <c r="B4782" s="230"/>
      <c r="C4782" s="177"/>
      <c r="D4782" s="178"/>
      <c r="E4782" s="178"/>
      <c r="F4782" s="178"/>
      <c r="G4782" s="178"/>
      <c r="H4782" s="178"/>
      <c r="I4782" s="178"/>
      <c r="J4782" s="178"/>
      <c r="K4782" s="178"/>
      <c r="L4782" s="190"/>
      <c r="M4782" s="178"/>
      <c r="N4782" s="178"/>
      <c r="O4782" s="178"/>
      <c r="P4782" s="231"/>
      <c r="Q4782" s="224"/>
    </row>
    <row r="4783" spans="1:19" s="225" customFormat="1" ht="21" x14ac:dyDescent="0.25">
      <c r="A4783" s="229"/>
      <c r="B4783" s="230" t="s">
        <v>1794</v>
      </c>
      <c r="C4783" s="177"/>
      <c r="D4783" s="178"/>
      <c r="E4783" s="178">
        <v>0.2</v>
      </c>
      <c r="F4783" s="178"/>
      <c r="G4783" s="178"/>
      <c r="H4783" s="178"/>
      <c r="I4783" s="178"/>
      <c r="J4783" s="178"/>
      <c r="K4783" s="178"/>
      <c r="L4783" s="190"/>
      <c r="M4783" s="178">
        <f>E4783*O4783</f>
        <v>33.505991070199798</v>
      </c>
      <c r="N4783" s="178"/>
      <c r="O4783" s="178">
        <f>SUM(O4773:O4775)</f>
        <v>167.52995535099899</v>
      </c>
      <c r="P4783" s="231"/>
      <c r="Q4783" s="224"/>
    </row>
    <row r="4784" spans="1:19" s="225" customFormat="1" ht="31.5" x14ac:dyDescent="0.25">
      <c r="A4784" s="229"/>
      <c r="B4784" s="230" t="s">
        <v>1797</v>
      </c>
      <c r="C4784" s="184"/>
      <c r="D4784" s="185"/>
      <c r="E4784" s="185">
        <v>25.6</v>
      </c>
      <c r="F4784" s="178"/>
      <c r="G4784" s="178"/>
      <c r="H4784" s="178"/>
      <c r="I4784" s="178"/>
      <c r="J4784" s="178"/>
      <c r="K4784" s="178"/>
      <c r="L4784" s="190"/>
      <c r="M4784" s="178">
        <f>E4784*O4784</f>
        <v>353.92000000000007</v>
      </c>
      <c r="N4784" s="178"/>
      <c r="O4784" s="178">
        <f>O4776</f>
        <v>13.825000000000001</v>
      </c>
      <c r="P4784" s="231"/>
      <c r="Q4784" s="224"/>
    </row>
    <row r="4785" spans="1:19" s="225" customFormat="1" ht="10.5" x14ac:dyDescent="0.25">
      <c r="A4785" s="229"/>
      <c r="B4785" s="232" t="s">
        <v>5</v>
      </c>
      <c r="C4785" s="182" t="s">
        <v>1328</v>
      </c>
      <c r="D4785" s="182"/>
      <c r="E4785" s="182"/>
      <c r="F4785" s="182"/>
      <c r="G4785" s="182"/>
      <c r="H4785" s="182"/>
      <c r="I4785" s="182"/>
      <c r="J4785" s="182"/>
      <c r="K4785" s="182"/>
      <c r="L4785" s="182"/>
      <c r="M4785" s="182">
        <f>SUM(M4780:M4784)</f>
        <v>21985.457371870172</v>
      </c>
      <c r="N4785" s="182"/>
      <c r="O4785" s="182"/>
      <c r="P4785" s="233"/>
      <c r="Q4785" s="224"/>
    </row>
    <row r="4786" spans="1:19" s="235" customFormat="1" ht="42" x14ac:dyDescent="0.35">
      <c r="A4786" s="226" t="str">
        <f>ORÇAMENTO!A891</f>
        <v>7.1.2.6.38</v>
      </c>
      <c r="B4786" s="227" t="str">
        <f>VLOOKUP(A4786,ORÇAMENTO!A:K,4,0)</f>
        <v>TRANSPORTE COM CAMINHÃO BASCULANTE DE 14 M³, EM VIA URBANA PAVIMENTADA, ADICIONAL PARA DMT EXCEDENTE A 30 KM (UNIDADE: M3XKM). AF_07/2020</v>
      </c>
      <c r="C4786" s="173" t="str">
        <f>VLOOKUP(A4786,ORÇAMENTO!A:K,5,0)</f>
        <v>M3XKM</v>
      </c>
      <c r="D4786" s="173">
        <f>SUM(E4789:O4789)</f>
        <v>10647.53119091199</v>
      </c>
      <c r="E4786" s="173" t="s">
        <v>1752</v>
      </c>
      <c r="F4786" s="173" t="s">
        <v>1719</v>
      </c>
      <c r="G4786" s="173" t="s">
        <v>1720</v>
      </c>
      <c r="H4786" s="173" t="s">
        <v>1721</v>
      </c>
      <c r="I4786" s="173" t="s">
        <v>1722</v>
      </c>
      <c r="J4786" s="173" t="s">
        <v>1723</v>
      </c>
      <c r="K4786" s="173" t="s">
        <v>1746</v>
      </c>
      <c r="L4786" s="173" t="s">
        <v>1753</v>
      </c>
      <c r="M4786" s="173" t="s">
        <v>1750</v>
      </c>
      <c r="N4786" s="173" t="s">
        <v>1727</v>
      </c>
      <c r="O4786" s="173" t="s">
        <v>1728</v>
      </c>
      <c r="P4786" s="224"/>
      <c r="Q4786" s="224"/>
      <c r="R4786" s="224"/>
      <c r="S4786" s="224"/>
    </row>
    <row r="4787" spans="1:19" s="225" customFormat="1" ht="21" x14ac:dyDescent="0.25">
      <c r="A4787" s="229"/>
      <c r="B4787" s="230" t="str">
        <f>B4780</f>
        <v>TRANSPORTE ATÉ ATERRO ESTRUTURAL - BOTA FORA - MATERIAL NÃO APROVEITADO</v>
      </c>
      <c r="C4787" s="177"/>
      <c r="D4787" s="178"/>
      <c r="E4787" s="178">
        <f>44.2-E4780</f>
        <v>14.200000000000003</v>
      </c>
      <c r="F4787" s="178"/>
      <c r="G4787" s="178"/>
      <c r="H4787" s="178"/>
      <c r="I4787" s="178"/>
      <c r="J4787" s="178"/>
      <c r="K4787" s="178"/>
      <c r="L4787" s="190"/>
      <c r="M4787" s="178">
        <f>E4787*O4787</f>
        <v>10026.09515891199</v>
      </c>
      <c r="N4787" s="178"/>
      <c r="O4787" s="178">
        <f>O4780</f>
        <v>706.06303935999915</v>
      </c>
      <c r="P4787" s="231"/>
      <c r="Q4787" s="224"/>
    </row>
    <row r="4788" spans="1:19" s="225" customFormat="1" ht="21" x14ac:dyDescent="0.25">
      <c r="A4788" s="229"/>
      <c r="B4788" s="230" t="str">
        <f>B4781</f>
        <v>TRANSPORTE ATÉ ATERRO SAMAMBIA - BOTA FORA - ROCHA</v>
      </c>
      <c r="C4788" s="177"/>
      <c r="D4788" s="178"/>
      <c r="E4788" s="178">
        <f>74.8-E4781</f>
        <v>44.8</v>
      </c>
      <c r="F4788" s="178"/>
      <c r="G4788" s="178"/>
      <c r="H4788" s="178"/>
      <c r="I4788" s="178"/>
      <c r="J4788" s="178"/>
      <c r="K4788" s="178"/>
      <c r="L4788" s="190"/>
      <c r="M4788" s="178">
        <f>E4788*O4788</f>
        <v>621.43603199999927</v>
      </c>
      <c r="N4788" s="178"/>
      <c r="O4788" s="178">
        <f>O4781</f>
        <v>13.871339999999986</v>
      </c>
      <c r="P4788" s="231"/>
      <c r="Q4788" s="224"/>
    </row>
    <row r="4789" spans="1:19" s="225" customFormat="1" ht="10.5" x14ac:dyDescent="0.25">
      <c r="A4789" s="229"/>
      <c r="B4789" s="232" t="s">
        <v>5</v>
      </c>
      <c r="C4789" s="182" t="s">
        <v>1328</v>
      </c>
      <c r="D4789" s="182"/>
      <c r="E4789" s="182"/>
      <c r="F4789" s="182"/>
      <c r="G4789" s="182"/>
      <c r="H4789" s="182"/>
      <c r="I4789" s="182"/>
      <c r="J4789" s="182"/>
      <c r="K4789" s="182"/>
      <c r="L4789" s="182"/>
      <c r="M4789" s="182">
        <f>SUM(M4787:M4788)</f>
        <v>10647.53119091199</v>
      </c>
      <c r="N4789" s="182"/>
      <c r="O4789" s="182"/>
      <c r="P4789" s="233"/>
      <c r="Q4789" s="224"/>
    </row>
    <row r="4790" spans="1:19" s="235" customFormat="1" ht="21" x14ac:dyDescent="0.35">
      <c r="A4790" s="226" t="str">
        <f>ORÇAMENTO!A892</f>
        <v>7.1.2.6.39</v>
      </c>
      <c r="B4790" s="227" t="str">
        <f>VLOOKUP(A4790,ORÇAMENTO!A:K,4,0)</f>
        <v>ESPALHAMENTO DE MATERIAL COM TRATOR DE ESTEIRAS. AF_09/2024</v>
      </c>
      <c r="C4790" s="173" t="str">
        <f>VLOOKUP(A4790,ORÇAMENTO!A:K,5,0)</f>
        <v>M³</v>
      </c>
      <c r="D4790" s="173">
        <f>SUM(E4792:O4792)</f>
        <v>719.93437935999918</v>
      </c>
      <c r="E4790" s="173" t="s">
        <v>1752</v>
      </c>
      <c r="F4790" s="173" t="s">
        <v>1719</v>
      </c>
      <c r="G4790" s="173" t="s">
        <v>1720</v>
      </c>
      <c r="H4790" s="173" t="s">
        <v>1721</v>
      </c>
      <c r="I4790" s="173" t="s">
        <v>1722</v>
      </c>
      <c r="J4790" s="173" t="s">
        <v>1723</v>
      </c>
      <c r="K4790" s="173" t="s">
        <v>1746</v>
      </c>
      <c r="L4790" s="173" t="s">
        <v>1753</v>
      </c>
      <c r="M4790" s="173" t="s">
        <v>1750</v>
      </c>
      <c r="N4790" s="173" t="s">
        <v>1727</v>
      </c>
      <c r="O4790" s="173" t="s">
        <v>1728</v>
      </c>
      <c r="P4790" s="224"/>
      <c r="Q4790" s="224"/>
      <c r="R4790" s="224"/>
      <c r="S4790" s="224"/>
    </row>
    <row r="4791" spans="1:19" s="225" customFormat="1" ht="10.5" x14ac:dyDescent="0.25">
      <c r="A4791" s="229"/>
      <c r="B4791" s="230" t="s">
        <v>1775</v>
      </c>
      <c r="C4791" s="177"/>
      <c r="D4791" s="178"/>
      <c r="E4791" s="178"/>
      <c r="F4791" s="178"/>
      <c r="G4791" s="178"/>
      <c r="H4791" s="178"/>
      <c r="I4791" s="178"/>
      <c r="J4791" s="178"/>
      <c r="K4791" s="178"/>
      <c r="L4791" s="190"/>
      <c r="M4791" s="178"/>
      <c r="N4791" s="178"/>
      <c r="O4791" s="178">
        <f>SUM(O4787:O4788)</f>
        <v>719.93437935999918</v>
      </c>
      <c r="P4791" s="231"/>
      <c r="Q4791" s="224"/>
    </row>
    <row r="4792" spans="1:19" s="225" customFormat="1" ht="10.5" x14ac:dyDescent="0.25">
      <c r="A4792" s="229"/>
      <c r="B4792" s="232" t="s">
        <v>5</v>
      </c>
      <c r="C4792" s="182" t="s">
        <v>1328</v>
      </c>
      <c r="D4792" s="182"/>
      <c r="E4792" s="182"/>
      <c r="F4792" s="182"/>
      <c r="G4792" s="182"/>
      <c r="H4792" s="182"/>
      <c r="I4792" s="182"/>
      <c r="J4792" s="182"/>
      <c r="K4792" s="182"/>
      <c r="L4792" s="182"/>
      <c r="M4792" s="182"/>
      <c r="N4792" s="182"/>
      <c r="O4792" s="182">
        <f>SUM(O4791)</f>
        <v>719.93437935999918</v>
      </c>
      <c r="P4792" s="233"/>
      <c r="Q4792" s="224"/>
    </row>
    <row r="4793" spans="1:19" s="228" customFormat="1" ht="31.5" x14ac:dyDescent="0.25">
      <c r="A4793" s="226" t="str">
        <f>ORÇAMENTO!A893</f>
        <v>7.1.2.6.40</v>
      </c>
      <c r="B4793" s="227" t="str">
        <f>VLOOKUP(A4793,ORÇAMENTO!A:K,4,0)</f>
        <v>EXECUÇÃO DE SARJETA DE CONCRETO USINADO, MOLDADA  IN LOCO  EM TRECHO RETO, 60 CM BASE X 15 CM ALTURA. AF_01/2024</v>
      </c>
      <c r="C4793" s="173" t="str">
        <f>VLOOKUP(A4793,ORÇAMENTO!A:K,5,0)</f>
        <v>M</v>
      </c>
      <c r="D4793" s="173">
        <f>ROUND(SUM(E4796:O4796),2)</f>
        <v>170.03</v>
      </c>
      <c r="E4793" s="173" t="s">
        <v>1718</v>
      </c>
      <c r="F4793" s="173" t="s">
        <v>1719</v>
      </c>
      <c r="G4793" s="173" t="s">
        <v>1720</v>
      </c>
      <c r="H4793" s="173" t="s">
        <v>1721</v>
      </c>
      <c r="I4793" s="173" t="s">
        <v>1722</v>
      </c>
      <c r="J4793" s="173" t="s">
        <v>1723</v>
      </c>
      <c r="K4793" s="173" t="s">
        <v>1724</v>
      </c>
      <c r="L4793" s="173" t="s">
        <v>1804</v>
      </c>
      <c r="M4793" s="173" t="s">
        <v>1726</v>
      </c>
      <c r="N4793" s="173" t="s">
        <v>1809</v>
      </c>
      <c r="O4793" s="173" t="s">
        <v>1728</v>
      </c>
      <c r="P4793" s="224"/>
      <c r="Q4793" s="224"/>
    </row>
    <row r="4794" spans="1:19" s="225" customFormat="1" ht="10.5" x14ac:dyDescent="0.25">
      <c r="A4794" s="229"/>
      <c r="B4794" s="230"/>
      <c r="C4794" s="177"/>
      <c r="D4794" s="178"/>
      <c r="E4794" s="178">
        <f>QUANTBL!CX356</f>
        <v>170.03</v>
      </c>
      <c r="F4794" s="178"/>
      <c r="G4794" s="178"/>
      <c r="H4794" s="178"/>
      <c r="I4794" s="178"/>
      <c r="J4794" s="178"/>
      <c r="K4794" s="178"/>
      <c r="L4794" s="178"/>
      <c r="M4794" s="178"/>
      <c r="N4794" s="200"/>
      <c r="O4794" s="178"/>
      <c r="P4794" s="231"/>
      <c r="Q4794" s="224"/>
    </row>
    <row r="4795" spans="1:19" s="225" customFormat="1" ht="10.5" x14ac:dyDescent="0.25">
      <c r="A4795" s="229"/>
      <c r="B4795" s="230"/>
      <c r="C4795" s="177"/>
      <c r="D4795" s="178"/>
      <c r="E4795" s="178"/>
      <c r="F4795" s="178"/>
      <c r="G4795" s="178"/>
      <c r="H4795" s="178"/>
      <c r="I4795" s="178"/>
      <c r="J4795" s="178"/>
      <c r="K4795" s="178"/>
      <c r="L4795" s="178"/>
      <c r="M4795" s="178"/>
      <c r="N4795" s="200"/>
      <c r="O4795" s="178"/>
      <c r="P4795" s="231"/>
      <c r="Q4795" s="224"/>
    </row>
    <row r="4796" spans="1:19" s="225" customFormat="1" ht="10.5" x14ac:dyDescent="0.25">
      <c r="A4796" s="229"/>
      <c r="B4796" s="232" t="s">
        <v>5</v>
      </c>
      <c r="C4796" s="182"/>
      <c r="D4796" s="182"/>
      <c r="E4796" s="182">
        <f>SUM(E4794:E4795)</f>
        <v>170.03</v>
      </c>
      <c r="F4796" s="182"/>
      <c r="G4796" s="182"/>
      <c r="H4796" s="182"/>
      <c r="I4796" s="182"/>
      <c r="J4796" s="182"/>
      <c r="K4796" s="177"/>
      <c r="L4796" s="182"/>
      <c r="M4796" s="182"/>
      <c r="N4796" s="177"/>
      <c r="O4796" s="177"/>
      <c r="P4796" s="233"/>
      <c r="Q4796" s="224"/>
    </row>
    <row r="4797" spans="1:19" s="228" customFormat="1" ht="42" x14ac:dyDescent="0.25">
      <c r="A4797" s="226" t="str">
        <f>ORÇAMENTO!A894</f>
        <v>7.1.2.6.41</v>
      </c>
      <c r="B4797" s="227" t="str">
        <f>VLOOKUP(A4797,ORÇAMENTO!A:K,4,0)</f>
        <v>CONCRETO MAGRO PARA LASTRO, TRAÇO 1:4,5:4,5 (EM MASSA SECA DE CIMENTO/ AREIA MÉDIA/ BRITA 1) - PREPARO MECÂNICO COM BETONEIRA 600 L. AF_05/2021</v>
      </c>
      <c r="C4797" s="173" t="str">
        <f>VLOOKUP(A4797,ORÇAMENTO!A:K,5,0)</f>
        <v>M³</v>
      </c>
      <c r="D4797" s="173">
        <f>ROUND(SUM(E4800:O4800),2)</f>
        <v>15.77</v>
      </c>
      <c r="E4797" s="173" t="s">
        <v>1718</v>
      </c>
      <c r="F4797" s="173" t="s">
        <v>1719</v>
      </c>
      <c r="G4797" s="173" t="s">
        <v>1720</v>
      </c>
      <c r="H4797" s="173" t="s">
        <v>1721</v>
      </c>
      <c r="I4797" s="173" t="s">
        <v>1722</v>
      </c>
      <c r="J4797" s="173" t="s">
        <v>1723</v>
      </c>
      <c r="K4797" s="173" t="s">
        <v>1724</v>
      </c>
      <c r="L4797" s="173" t="s">
        <v>1804</v>
      </c>
      <c r="M4797" s="173" t="s">
        <v>1726</v>
      </c>
      <c r="N4797" s="173" t="s">
        <v>1809</v>
      </c>
      <c r="O4797" s="173" t="s">
        <v>1728</v>
      </c>
      <c r="P4797" s="224"/>
      <c r="Q4797" s="224"/>
    </row>
    <row r="4798" spans="1:19" s="225" customFormat="1" ht="10.5" x14ac:dyDescent="0.25">
      <c r="A4798" s="229"/>
      <c r="B4798" s="230" t="s">
        <v>1823</v>
      </c>
      <c r="C4798" s="177"/>
      <c r="D4798" s="178"/>
      <c r="E4798" s="178"/>
      <c r="F4798" s="178"/>
      <c r="G4798" s="178"/>
      <c r="H4798" s="178"/>
      <c r="I4798" s="178"/>
      <c r="J4798" s="178"/>
      <c r="K4798" s="178"/>
      <c r="L4798" s="178"/>
      <c r="M4798" s="178"/>
      <c r="N4798" s="200"/>
      <c r="O4798" s="178">
        <f>QUANTBL!CT356</f>
        <v>15.774430000000017</v>
      </c>
      <c r="P4798" s="231"/>
      <c r="Q4798" s="224"/>
    </row>
    <row r="4799" spans="1:19" s="225" customFormat="1" ht="10.5" x14ac:dyDescent="0.25">
      <c r="A4799" s="229"/>
      <c r="B4799" s="230"/>
      <c r="C4799" s="177"/>
      <c r="D4799" s="178"/>
      <c r="E4799" s="178"/>
      <c r="F4799" s="178"/>
      <c r="G4799" s="178"/>
      <c r="H4799" s="178"/>
      <c r="I4799" s="178"/>
      <c r="J4799" s="178"/>
      <c r="K4799" s="178"/>
      <c r="L4799" s="178"/>
      <c r="M4799" s="178"/>
      <c r="N4799" s="200"/>
      <c r="O4799" s="178"/>
      <c r="P4799" s="231"/>
      <c r="Q4799" s="224"/>
    </row>
    <row r="4800" spans="1:19" s="225" customFormat="1" ht="10.5" x14ac:dyDescent="0.25">
      <c r="A4800" s="229"/>
      <c r="B4800" s="232" t="s">
        <v>5</v>
      </c>
      <c r="C4800" s="182" t="s">
        <v>1328</v>
      </c>
      <c r="D4800" s="182"/>
      <c r="E4800" s="182"/>
      <c r="F4800" s="182"/>
      <c r="G4800" s="182"/>
      <c r="H4800" s="182"/>
      <c r="I4800" s="182"/>
      <c r="J4800" s="182"/>
      <c r="K4800" s="177"/>
      <c r="L4800" s="182"/>
      <c r="M4800" s="182"/>
      <c r="N4800" s="177"/>
      <c r="O4800" s="177">
        <f>SUM(O4798:O4799)</f>
        <v>15.774430000000017</v>
      </c>
      <c r="P4800" s="233"/>
      <c r="Q4800" s="224"/>
    </row>
    <row r="4801" spans="1:17" s="228" customFormat="1" ht="21" x14ac:dyDescent="0.25">
      <c r="A4801" s="226" t="str">
        <f>ORÇAMENTO!A895</f>
        <v>7.1.2.6.42</v>
      </c>
      <c r="B4801" s="227" t="str">
        <f>VLOOKUP(A4801,ORÇAMENTO!A:K,4,0)</f>
        <v>ARMAÇÃO EM AÇO CA-50 - FORNECIMENTO, PREPARO E COLOCAÇÃO</v>
      </c>
      <c r="C4801" s="173" t="str">
        <f>VLOOKUP(A4801,ORÇAMENTO!A:K,5,0)</f>
        <v>KG</v>
      </c>
      <c r="D4801" s="173">
        <f>ROUND(SUM(E4816:O4816),2)</f>
        <v>1256</v>
      </c>
      <c r="E4801" s="173" t="s">
        <v>1718</v>
      </c>
      <c r="F4801" s="173" t="s">
        <v>1719</v>
      </c>
      <c r="G4801" s="173" t="s">
        <v>1720</v>
      </c>
      <c r="H4801" s="173" t="s">
        <v>1721</v>
      </c>
      <c r="I4801" s="173" t="s">
        <v>1722</v>
      </c>
      <c r="J4801" s="173" t="s">
        <v>1723</v>
      </c>
      <c r="K4801" s="173" t="s">
        <v>1724</v>
      </c>
      <c r="L4801" s="173" t="s">
        <v>1804</v>
      </c>
      <c r="M4801" s="173" t="s">
        <v>1726</v>
      </c>
      <c r="N4801" s="173" t="s">
        <v>1824</v>
      </c>
      <c r="O4801" s="173" t="s">
        <v>1728</v>
      </c>
      <c r="P4801" s="224"/>
      <c r="Q4801" s="224"/>
    </row>
    <row r="4802" spans="1:17" s="225" customFormat="1" ht="10.5" x14ac:dyDescent="0.25">
      <c r="A4802" s="229"/>
      <c r="B4802" s="230" t="s">
        <v>1825</v>
      </c>
      <c r="C4802" s="177"/>
      <c r="D4802" s="178"/>
      <c r="E4802" s="178"/>
      <c r="F4802" s="178"/>
      <c r="G4802" s="178"/>
      <c r="H4802" s="178"/>
      <c r="I4802" s="178"/>
      <c r="J4802" s="178"/>
      <c r="K4802" s="178"/>
      <c r="L4802" s="178"/>
      <c r="M4802" s="178"/>
      <c r="N4802" s="200"/>
      <c r="O4802" s="178"/>
      <c r="P4802" s="231"/>
      <c r="Q4802" s="224"/>
    </row>
    <row r="4803" spans="1:17" s="225" customFormat="1" ht="21" x14ac:dyDescent="0.25">
      <c r="A4803" s="229"/>
      <c r="B4803" s="230" t="str">
        <f t="shared" ref="B4803:B4814" si="161">B4129</f>
        <v>BOCA DE LOBO SIMPLES EXISTENTE COM BOCA DE LOBO DUPLA PROJETADA</v>
      </c>
      <c r="C4803" s="177"/>
      <c r="D4803" s="178"/>
      <c r="E4803" s="178"/>
      <c r="F4803" s="178"/>
      <c r="G4803" s="178"/>
      <c r="H4803" s="178"/>
      <c r="I4803" s="178"/>
      <c r="J4803" s="178"/>
      <c r="K4803" s="178">
        <v>24</v>
      </c>
      <c r="L4803" s="178"/>
      <c r="M4803" s="178">
        <f t="shared" ref="M4803:M4814" si="162">K4129</f>
        <v>0</v>
      </c>
      <c r="N4803" s="200">
        <f t="shared" ref="N4803:N4814" si="163">M4803*K4803</f>
        <v>0</v>
      </c>
      <c r="O4803" s="178"/>
      <c r="P4803" s="231"/>
      <c r="Q4803" s="224"/>
    </row>
    <row r="4804" spans="1:17" s="225" customFormat="1" ht="21" x14ac:dyDescent="0.25">
      <c r="A4804" s="229"/>
      <c r="B4804" s="230" t="str">
        <f t="shared" si="161"/>
        <v>BOCA DE LOBO SIMPLES EXISTENTE COM BOCA DE LOBO SIMPLES PROJETADA</v>
      </c>
      <c r="C4804" s="177"/>
      <c r="D4804" s="178"/>
      <c r="E4804" s="178"/>
      <c r="F4804" s="178"/>
      <c r="G4804" s="178"/>
      <c r="H4804" s="178"/>
      <c r="I4804" s="178"/>
      <c r="J4804" s="178"/>
      <c r="K4804" s="178">
        <v>16</v>
      </c>
      <c r="L4804" s="178"/>
      <c r="M4804" s="178">
        <f t="shared" si="162"/>
        <v>22</v>
      </c>
      <c r="N4804" s="200">
        <f t="shared" si="163"/>
        <v>352</v>
      </c>
      <c r="O4804" s="178"/>
      <c r="P4804" s="231"/>
      <c r="Q4804" s="224"/>
    </row>
    <row r="4805" spans="1:17" s="225" customFormat="1" ht="21" x14ac:dyDescent="0.25">
      <c r="A4805" s="229"/>
      <c r="B4805" s="230" t="str">
        <f t="shared" si="161"/>
        <v>BOCA DE LOBO SIMPLES EXISTENTE COM BOCA DE LOBO TRIPLA PROJETADA</v>
      </c>
      <c r="C4805" s="177"/>
      <c r="D4805" s="178"/>
      <c r="E4805" s="178"/>
      <c r="F4805" s="178"/>
      <c r="G4805" s="178"/>
      <c r="H4805" s="178"/>
      <c r="I4805" s="178"/>
      <c r="J4805" s="178"/>
      <c r="K4805" s="178">
        <v>32</v>
      </c>
      <c r="L4805" s="178"/>
      <c r="M4805" s="178">
        <f t="shared" si="162"/>
        <v>0</v>
      </c>
      <c r="N4805" s="200">
        <f t="shared" si="163"/>
        <v>0</v>
      </c>
      <c r="O4805" s="178"/>
      <c r="P4805" s="231"/>
      <c r="Q4805" s="224"/>
    </row>
    <row r="4806" spans="1:17" s="225" customFormat="1" ht="21" x14ac:dyDescent="0.25">
      <c r="A4806" s="229"/>
      <c r="B4806" s="230" t="str">
        <f t="shared" si="161"/>
        <v>BOCA DE LOBO DUPLA EXISTENTE COM BOCA DE LOBO SIMPLES PROJETADA</v>
      </c>
      <c r="C4806" s="177"/>
      <c r="D4806" s="178"/>
      <c r="E4806" s="178"/>
      <c r="F4806" s="178"/>
      <c r="G4806" s="178"/>
      <c r="H4806" s="178"/>
      <c r="I4806" s="178"/>
      <c r="J4806" s="178"/>
      <c r="K4806" s="178">
        <v>16</v>
      </c>
      <c r="L4806" s="178"/>
      <c r="M4806" s="178">
        <f t="shared" si="162"/>
        <v>2</v>
      </c>
      <c r="N4806" s="200">
        <f t="shared" si="163"/>
        <v>32</v>
      </c>
      <c r="O4806" s="178"/>
      <c r="P4806" s="231"/>
      <c r="Q4806" s="224"/>
    </row>
    <row r="4807" spans="1:17" s="225" customFormat="1" ht="21" x14ac:dyDescent="0.25">
      <c r="A4807" s="229"/>
      <c r="B4807" s="230" t="str">
        <f t="shared" si="161"/>
        <v>BOCA DE LOBO DUPLA EXISTENTE COM BOCA DE LOBO DUPLA PROJETADA</v>
      </c>
      <c r="C4807" s="177"/>
      <c r="D4807" s="178"/>
      <c r="E4807" s="178"/>
      <c r="F4807" s="178"/>
      <c r="G4807" s="178"/>
      <c r="H4807" s="178"/>
      <c r="I4807" s="178"/>
      <c r="J4807" s="178"/>
      <c r="K4807" s="178">
        <v>24</v>
      </c>
      <c r="L4807" s="178"/>
      <c r="M4807" s="178">
        <f t="shared" si="162"/>
        <v>0</v>
      </c>
      <c r="N4807" s="200">
        <f t="shared" si="163"/>
        <v>0</v>
      </c>
      <c r="O4807" s="178"/>
      <c r="P4807" s="231"/>
      <c r="Q4807" s="224"/>
    </row>
    <row r="4808" spans="1:17" s="225" customFormat="1" ht="21" x14ac:dyDescent="0.25">
      <c r="A4808" s="229"/>
      <c r="B4808" s="230" t="str">
        <f t="shared" si="161"/>
        <v>BOCA DE LOBO DUPLA EXISTENTE COM BOCA DE LOBO TRIPLA PROJETADA</v>
      </c>
      <c r="C4808" s="177"/>
      <c r="D4808" s="178"/>
      <c r="E4808" s="178"/>
      <c r="F4808" s="178"/>
      <c r="G4808" s="178"/>
      <c r="H4808" s="178"/>
      <c r="I4808" s="178"/>
      <c r="J4808" s="178"/>
      <c r="K4808" s="178">
        <v>32</v>
      </c>
      <c r="L4808" s="178"/>
      <c r="M4808" s="178">
        <f t="shared" si="162"/>
        <v>0</v>
      </c>
      <c r="N4808" s="200">
        <f t="shared" si="163"/>
        <v>0</v>
      </c>
      <c r="O4808" s="178"/>
      <c r="P4808" s="231"/>
      <c r="Q4808" s="224"/>
    </row>
    <row r="4809" spans="1:17" s="225" customFormat="1" ht="21" x14ac:dyDescent="0.25">
      <c r="A4809" s="229"/>
      <c r="B4809" s="230" t="str">
        <f t="shared" si="161"/>
        <v>BOCA DE LOBO TRIPLA EXISTENTE COM BOCA DE LOBO SIMPLES PROJETADA</v>
      </c>
      <c r="C4809" s="177"/>
      <c r="D4809" s="178"/>
      <c r="E4809" s="178"/>
      <c r="F4809" s="178"/>
      <c r="G4809" s="178"/>
      <c r="H4809" s="178"/>
      <c r="I4809" s="178"/>
      <c r="J4809" s="178"/>
      <c r="K4809" s="178">
        <v>16</v>
      </c>
      <c r="L4809" s="178"/>
      <c r="M4809" s="178">
        <f t="shared" si="162"/>
        <v>0</v>
      </c>
      <c r="N4809" s="200">
        <f t="shared" si="163"/>
        <v>0</v>
      </c>
      <c r="O4809" s="178"/>
      <c r="P4809" s="231"/>
      <c r="Q4809" s="224"/>
    </row>
    <row r="4810" spans="1:17" s="225" customFormat="1" ht="21" x14ac:dyDescent="0.25">
      <c r="A4810" s="229"/>
      <c r="B4810" s="230" t="str">
        <f t="shared" si="161"/>
        <v>BOCA DE LOBO TRIPLA EXISTENTE COM BOCA DE LOBO DUPLA PROJETADA</v>
      </c>
      <c r="C4810" s="177"/>
      <c r="D4810" s="178"/>
      <c r="E4810" s="178"/>
      <c r="F4810" s="178"/>
      <c r="G4810" s="178"/>
      <c r="H4810" s="178"/>
      <c r="I4810" s="178"/>
      <c r="J4810" s="178"/>
      <c r="K4810" s="178">
        <v>24</v>
      </c>
      <c r="L4810" s="178"/>
      <c r="M4810" s="178">
        <f t="shared" si="162"/>
        <v>0</v>
      </c>
      <c r="N4810" s="200">
        <f t="shared" si="163"/>
        <v>0</v>
      </c>
      <c r="O4810" s="178"/>
      <c r="P4810" s="231"/>
      <c r="Q4810" s="224"/>
    </row>
    <row r="4811" spans="1:17" s="225" customFormat="1" ht="21" x14ac:dyDescent="0.25">
      <c r="A4811" s="229"/>
      <c r="B4811" s="230" t="str">
        <f t="shared" si="161"/>
        <v>BOCA DE LOBO TRIPLA EXISTENTE COM BOCA DE LOBO TRIPLA PROJETADA</v>
      </c>
      <c r="C4811" s="177"/>
      <c r="D4811" s="178"/>
      <c r="E4811" s="178"/>
      <c r="F4811" s="178"/>
      <c r="G4811" s="178"/>
      <c r="H4811" s="178"/>
      <c r="I4811" s="178"/>
      <c r="J4811" s="178"/>
      <c r="K4811" s="178">
        <v>32</v>
      </c>
      <c r="L4811" s="178"/>
      <c r="M4811" s="178">
        <f t="shared" si="162"/>
        <v>0</v>
      </c>
      <c r="N4811" s="200">
        <f t="shared" si="163"/>
        <v>0</v>
      </c>
      <c r="O4811" s="178"/>
      <c r="P4811" s="231"/>
      <c r="Q4811" s="224"/>
    </row>
    <row r="4812" spans="1:17" s="225" customFormat="1" ht="10.5" x14ac:dyDescent="0.25">
      <c r="A4812" s="229"/>
      <c r="B4812" s="230" t="str">
        <f t="shared" si="161"/>
        <v>BOCA DE LOBO PROJETADA SIMPLES</v>
      </c>
      <c r="C4812" s="177"/>
      <c r="D4812" s="178"/>
      <c r="E4812" s="178"/>
      <c r="F4812" s="178"/>
      <c r="G4812" s="178"/>
      <c r="H4812" s="178"/>
      <c r="I4812" s="178"/>
      <c r="J4812" s="178"/>
      <c r="K4812" s="178">
        <v>16</v>
      </c>
      <c r="L4812" s="178"/>
      <c r="M4812" s="178">
        <f t="shared" si="162"/>
        <v>0</v>
      </c>
      <c r="N4812" s="200">
        <f t="shared" si="163"/>
        <v>0</v>
      </c>
      <c r="O4812" s="178"/>
      <c r="P4812" s="231"/>
      <c r="Q4812" s="224"/>
    </row>
    <row r="4813" spans="1:17" s="225" customFormat="1" ht="10.5" x14ac:dyDescent="0.25">
      <c r="A4813" s="229"/>
      <c r="B4813" s="230" t="str">
        <f t="shared" si="161"/>
        <v>BOCA DE LOBO PROJETADA DUPLA</v>
      </c>
      <c r="C4813" s="177"/>
      <c r="D4813" s="178"/>
      <c r="E4813" s="178"/>
      <c r="F4813" s="178"/>
      <c r="G4813" s="178"/>
      <c r="H4813" s="178"/>
      <c r="I4813" s="178"/>
      <c r="J4813" s="178"/>
      <c r="K4813" s="178">
        <v>24</v>
      </c>
      <c r="L4813" s="178"/>
      <c r="M4813" s="178">
        <f t="shared" si="162"/>
        <v>31</v>
      </c>
      <c r="N4813" s="200">
        <f t="shared" si="163"/>
        <v>744</v>
      </c>
      <c r="O4813" s="178"/>
      <c r="P4813" s="231"/>
      <c r="Q4813" s="224"/>
    </row>
    <row r="4814" spans="1:17" s="225" customFormat="1" ht="10.5" x14ac:dyDescent="0.25">
      <c r="A4814" s="229"/>
      <c r="B4814" s="230" t="str">
        <f t="shared" si="161"/>
        <v>BOCA DE LOBO PROJETADA TRIPLA</v>
      </c>
      <c r="C4814" s="177"/>
      <c r="D4814" s="178"/>
      <c r="E4814" s="178"/>
      <c r="F4814" s="178"/>
      <c r="G4814" s="178"/>
      <c r="H4814" s="178"/>
      <c r="I4814" s="178"/>
      <c r="J4814" s="178"/>
      <c r="K4814" s="178">
        <v>32</v>
      </c>
      <c r="L4814" s="178"/>
      <c r="M4814" s="178">
        <f t="shared" si="162"/>
        <v>4</v>
      </c>
      <c r="N4814" s="200">
        <f t="shared" si="163"/>
        <v>128</v>
      </c>
      <c r="O4814" s="178"/>
      <c r="P4814" s="231"/>
      <c r="Q4814" s="224"/>
    </row>
    <row r="4815" spans="1:17" s="225" customFormat="1" ht="10.5" x14ac:dyDescent="0.25">
      <c r="A4815" s="229"/>
      <c r="B4815" s="230"/>
      <c r="C4815" s="177"/>
      <c r="D4815" s="178"/>
      <c r="E4815" s="178"/>
      <c r="F4815" s="178"/>
      <c r="G4815" s="178"/>
      <c r="H4815" s="178"/>
      <c r="I4815" s="178"/>
      <c r="J4815" s="178"/>
      <c r="K4815" s="178"/>
      <c r="L4815" s="178"/>
      <c r="M4815" s="178"/>
      <c r="N4815" s="200"/>
      <c r="O4815" s="178"/>
      <c r="P4815" s="231"/>
      <c r="Q4815" s="224"/>
    </row>
    <row r="4816" spans="1:17" s="225" customFormat="1" ht="10.5" x14ac:dyDescent="0.25">
      <c r="A4816" s="229"/>
      <c r="B4816" s="232" t="s">
        <v>5</v>
      </c>
      <c r="C4816" s="182" t="s">
        <v>1328</v>
      </c>
      <c r="D4816" s="182"/>
      <c r="E4816" s="182"/>
      <c r="F4816" s="182"/>
      <c r="G4816" s="182"/>
      <c r="H4816" s="182"/>
      <c r="I4816" s="182"/>
      <c r="J4816" s="182"/>
      <c r="K4816" s="177"/>
      <c r="L4816" s="182"/>
      <c r="M4816" s="182"/>
      <c r="N4816" s="177">
        <f>SUM(N4802:N4815)</f>
        <v>1256</v>
      </c>
      <c r="O4816" s="182"/>
      <c r="P4816" s="233"/>
      <c r="Q4816" s="224"/>
    </row>
    <row r="4817" spans="1:17" s="228" customFormat="1" ht="42" x14ac:dyDescent="0.25">
      <c r="A4817" s="226" t="str">
        <f>ORÇAMENTO!A896</f>
        <v>7.1.2.6.43</v>
      </c>
      <c r="B4817" s="227" t="str">
        <f>VLOOKUP(A4817,ORÇAMENTO!A:K,4,0)</f>
        <v>ALVENARIA DE VEDAÇÃO DE BLOCOS VAZADOS DE CONCRETO DE 19X19X39 CM (ESPESSURA 19 CM) E ARGAMASSA DE ASSENTAMENTO COM PREPARO EM BETONEIRA. AF_12/2021</v>
      </c>
      <c r="C4817" s="173" t="str">
        <f>VLOOKUP(A4817,ORÇAMENTO!A:K,5,0)</f>
        <v>M²</v>
      </c>
      <c r="D4817" s="173">
        <f>ROUND(SUM(E4820:O4820),2)</f>
        <v>545.64</v>
      </c>
      <c r="E4817" s="173" t="s">
        <v>1718</v>
      </c>
      <c r="F4817" s="173" t="s">
        <v>1719</v>
      </c>
      <c r="G4817" s="173" t="s">
        <v>1720</v>
      </c>
      <c r="H4817" s="173" t="s">
        <v>1721</v>
      </c>
      <c r="I4817" s="173" t="s">
        <v>1722</v>
      </c>
      <c r="J4817" s="173" t="s">
        <v>1723</v>
      </c>
      <c r="K4817" s="173" t="s">
        <v>1724</v>
      </c>
      <c r="L4817" s="173" t="s">
        <v>1804</v>
      </c>
      <c r="M4817" s="173" t="s">
        <v>1726</v>
      </c>
      <c r="N4817" s="173" t="s">
        <v>1826</v>
      </c>
      <c r="O4817" s="173" t="s">
        <v>1728</v>
      </c>
      <c r="P4817" s="224"/>
      <c r="Q4817" s="224"/>
    </row>
    <row r="4818" spans="1:17" s="225" customFormat="1" ht="10.5" x14ac:dyDescent="0.25">
      <c r="A4818" s="229"/>
      <c r="B4818" s="230" t="s">
        <v>1827</v>
      </c>
      <c r="C4818" s="177"/>
      <c r="D4818" s="178"/>
      <c r="E4818" s="178"/>
      <c r="F4818" s="178"/>
      <c r="G4818" s="178"/>
      <c r="H4818" s="178"/>
      <c r="I4818" s="178"/>
      <c r="J4818" s="178"/>
      <c r="K4818" s="178"/>
      <c r="L4818" s="178"/>
      <c r="M4818" s="178"/>
      <c r="N4818" s="200">
        <f>QUANTBL!CU356</f>
        <v>545.64059999999995</v>
      </c>
      <c r="O4818" s="178"/>
      <c r="P4818" s="231"/>
      <c r="Q4818" s="224"/>
    </row>
    <row r="4819" spans="1:17" s="225" customFormat="1" ht="10.5" x14ac:dyDescent="0.25">
      <c r="A4819" s="229"/>
      <c r="B4819" s="230"/>
      <c r="C4819" s="177"/>
      <c r="D4819" s="178"/>
      <c r="E4819" s="178"/>
      <c r="F4819" s="178"/>
      <c r="G4819" s="178"/>
      <c r="H4819" s="178"/>
      <c r="I4819" s="178"/>
      <c r="J4819" s="178"/>
      <c r="K4819" s="178"/>
      <c r="L4819" s="178"/>
      <c r="M4819" s="178"/>
      <c r="N4819" s="200"/>
      <c r="O4819" s="178"/>
      <c r="P4819" s="231"/>
      <c r="Q4819" s="224"/>
    </row>
    <row r="4820" spans="1:17" s="225" customFormat="1" ht="10.5" x14ac:dyDescent="0.25">
      <c r="A4820" s="229"/>
      <c r="B4820" s="232" t="s">
        <v>5</v>
      </c>
      <c r="C4820" s="182" t="s">
        <v>1328</v>
      </c>
      <c r="D4820" s="182"/>
      <c r="E4820" s="182"/>
      <c r="F4820" s="182"/>
      <c r="G4820" s="182"/>
      <c r="H4820" s="182"/>
      <c r="I4820" s="182"/>
      <c r="J4820" s="182"/>
      <c r="K4820" s="178"/>
      <c r="L4820" s="182"/>
      <c r="M4820" s="182"/>
      <c r="N4820" s="177">
        <f>SUM(N4818:N4819)</f>
        <v>545.64059999999995</v>
      </c>
      <c r="O4820" s="182"/>
      <c r="P4820" s="233"/>
      <c r="Q4820" s="224"/>
    </row>
    <row r="4821" spans="1:17" s="228" customFormat="1" ht="31.5" x14ac:dyDescent="0.25">
      <c r="A4821" s="226" t="str">
        <f>ORÇAMENTO!A897</f>
        <v>7.1.2.6.44</v>
      </c>
      <c r="B4821" s="227" t="str">
        <f>VLOOKUP(A4821,ORÇAMENTO!A:K,4,0)</f>
        <v>FÔRMAS DE COMPENSADO RESINADO 12 MM - USO GERAL - UTILIZAÇÃO DE 2 VEZES - CONFECÇÃO, INSTALAÇÃO E RETIRADA</v>
      </c>
      <c r="C4821" s="173" t="str">
        <f>VLOOKUP(A4821,ORÇAMENTO!A:K,5,0)</f>
        <v>M²</v>
      </c>
      <c r="D4821" s="173">
        <f>ROUND(SUM(E4823:O4823),2)</f>
        <v>1082.8699999999999</v>
      </c>
      <c r="E4821" s="173" t="s">
        <v>1718</v>
      </c>
      <c r="F4821" s="173" t="s">
        <v>1719</v>
      </c>
      <c r="G4821" s="173" t="s">
        <v>1720</v>
      </c>
      <c r="H4821" s="173" t="s">
        <v>1721</v>
      </c>
      <c r="I4821" s="173" t="s">
        <v>1722</v>
      </c>
      <c r="J4821" s="173" t="s">
        <v>1723</v>
      </c>
      <c r="K4821" s="173" t="s">
        <v>1724</v>
      </c>
      <c r="L4821" s="173" t="s">
        <v>1804</v>
      </c>
      <c r="M4821" s="173" t="s">
        <v>1726</v>
      </c>
      <c r="N4821" s="173" t="s">
        <v>1826</v>
      </c>
      <c r="O4821" s="173" t="s">
        <v>1728</v>
      </c>
      <c r="P4821" s="224"/>
      <c r="Q4821" s="224"/>
    </row>
    <row r="4822" spans="1:17" s="225" customFormat="1" ht="10.5" x14ac:dyDescent="0.25">
      <c r="A4822" s="229"/>
      <c r="B4822" s="230" t="s">
        <v>1827</v>
      </c>
      <c r="C4822" s="177"/>
      <c r="D4822" s="178"/>
      <c r="E4822" s="178"/>
      <c r="F4822" s="178"/>
      <c r="G4822" s="178"/>
      <c r="H4822" s="178"/>
      <c r="I4822" s="178"/>
      <c r="J4822" s="178"/>
      <c r="K4822" s="178"/>
      <c r="L4822" s="178"/>
      <c r="M4822" s="178"/>
      <c r="N4822" s="200">
        <f>QUANTBL!CW356</f>
        <v>1082.8747759999999</v>
      </c>
      <c r="O4822" s="178"/>
      <c r="P4822" s="231"/>
      <c r="Q4822" s="224"/>
    </row>
    <row r="4823" spans="1:17" s="225" customFormat="1" ht="10.5" x14ac:dyDescent="0.25">
      <c r="A4823" s="229"/>
      <c r="B4823" s="232" t="s">
        <v>5</v>
      </c>
      <c r="C4823" s="182" t="s">
        <v>1328</v>
      </c>
      <c r="D4823" s="182"/>
      <c r="E4823" s="182"/>
      <c r="F4823" s="182"/>
      <c r="G4823" s="182"/>
      <c r="H4823" s="182"/>
      <c r="I4823" s="182"/>
      <c r="J4823" s="182"/>
      <c r="K4823" s="178"/>
      <c r="L4823" s="182"/>
      <c r="M4823" s="182"/>
      <c r="N4823" s="177">
        <f>SUM(N4822)</f>
        <v>1082.8747759999999</v>
      </c>
      <c r="O4823" s="177"/>
      <c r="P4823" s="233"/>
      <c r="Q4823" s="224"/>
    </row>
    <row r="4824" spans="1:17" s="228" customFormat="1" ht="42" x14ac:dyDescent="0.25">
      <c r="A4824" s="226" t="str">
        <f>ORÇAMENTO!A898</f>
        <v>7.1.2.6.45</v>
      </c>
      <c r="B4824" s="227" t="str">
        <f>VLOOKUP(A4824,ORÇAMENTO!A:K,4,0)</f>
        <v>CONCRETO FCK = 25MPA, TRAÇO 1:2,3:2,7 (EM MASSA SECA DE CIMENTO/ AREIA MÉDIA/ BRITA 1) - PREPARO MECÂNICO COM BETONEIRA 600 L. AF_05/2021</v>
      </c>
      <c r="C4824" s="173" t="str">
        <f>VLOOKUP(A4824,ORÇAMENTO!A:K,5,0)</f>
        <v>M³</v>
      </c>
      <c r="D4824" s="173">
        <f>ROUND(SUM(E4826:O4826),2)</f>
        <v>68.64</v>
      </c>
      <c r="E4824" s="173" t="s">
        <v>1718</v>
      </c>
      <c r="F4824" s="173" t="s">
        <v>1719</v>
      </c>
      <c r="G4824" s="173" t="s">
        <v>1720</v>
      </c>
      <c r="H4824" s="173" t="s">
        <v>1721</v>
      </c>
      <c r="I4824" s="173" t="s">
        <v>1722</v>
      </c>
      <c r="J4824" s="173" t="s">
        <v>1723</v>
      </c>
      <c r="K4824" s="173" t="s">
        <v>1724</v>
      </c>
      <c r="L4824" s="173" t="s">
        <v>1804</v>
      </c>
      <c r="M4824" s="173" t="s">
        <v>1726</v>
      </c>
      <c r="N4824" s="173" t="s">
        <v>1809</v>
      </c>
      <c r="O4824" s="173" t="s">
        <v>1728</v>
      </c>
      <c r="P4824" s="224"/>
      <c r="Q4824" s="224"/>
    </row>
    <row r="4825" spans="1:17" s="225" customFormat="1" ht="10.5" x14ac:dyDescent="0.25">
      <c r="A4825" s="229"/>
      <c r="B4825" s="230" t="s">
        <v>1828</v>
      </c>
      <c r="C4825" s="177"/>
      <c r="D4825" s="178"/>
      <c r="E4825" s="178"/>
      <c r="F4825" s="178"/>
      <c r="G4825" s="178"/>
      <c r="H4825" s="178"/>
      <c r="I4825" s="178"/>
      <c r="J4825" s="178"/>
      <c r="K4825" s="178"/>
      <c r="L4825" s="178"/>
      <c r="M4825" s="178"/>
      <c r="N4825" s="200"/>
      <c r="O4825" s="178">
        <f>QUANTBL!CV356</f>
        <v>68.641609199999991</v>
      </c>
      <c r="P4825" s="231"/>
      <c r="Q4825" s="224"/>
    </row>
    <row r="4826" spans="1:17" s="225" customFormat="1" ht="10.5" x14ac:dyDescent="0.25">
      <c r="A4826" s="229"/>
      <c r="B4826" s="232" t="s">
        <v>5</v>
      </c>
      <c r="C4826" s="182" t="s">
        <v>1328</v>
      </c>
      <c r="D4826" s="182"/>
      <c r="E4826" s="182"/>
      <c r="F4826" s="182"/>
      <c r="G4826" s="182"/>
      <c r="H4826" s="182"/>
      <c r="I4826" s="182"/>
      <c r="J4826" s="182"/>
      <c r="K4826" s="178"/>
      <c r="L4826" s="182"/>
      <c r="M4826" s="182"/>
      <c r="N4826" s="177"/>
      <c r="O4826" s="177">
        <f>SUM(O4825)</f>
        <v>68.641609199999991</v>
      </c>
      <c r="P4826" s="233"/>
      <c r="Q4826" s="224"/>
    </row>
    <row r="4827" spans="1:17" s="228" customFormat="1" ht="31.5" x14ac:dyDescent="0.25">
      <c r="A4827" s="226" t="str">
        <f>ORÇAMENTO!A899</f>
        <v>7.1.2.6.46</v>
      </c>
      <c r="B4827" s="227" t="str">
        <f>VLOOKUP(A4827,ORÇAMENTO!A:K,4,0)</f>
        <v>LANÇAMENTO COM USO DE BALDES, ADENSAMENTO E ACABAMENTO DE CONCRETO EM ESTRUTURAS. AF_02/2022</v>
      </c>
      <c r="C4827" s="173" t="str">
        <f>VLOOKUP(A4827,ORÇAMENTO!A:K,5,0)</f>
        <v>M³</v>
      </c>
      <c r="D4827" s="173">
        <f>ROUND(SUM(E4831:O4831),2)</f>
        <v>84.42</v>
      </c>
      <c r="E4827" s="173" t="s">
        <v>1718</v>
      </c>
      <c r="F4827" s="173" t="s">
        <v>1719</v>
      </c>
      <c r="G4827" s="173" t="s">
        <v>1720</v>
      </c>
      <c r="H4827" s="173" t="s">
        <v>1721</v>
      </c>
      <c r="I4827" s="173" t="s">
        <v>1722</v>
      </c>
      <c r="J4827" s="173" t="s">
        <v>1723</v>
      </c>
      <c r="K4827" s="173" t="s">
        <v>1724</v>
      </c>
      <c r="L4827" s="173" t="s">
        <v>1804</v>
      </c>
      <c r="M4827" s="173" t="s">
        <v>1726</v>
      </c>
      <c r="N4827" s="173" t="s">
        <v>1809</v>
      </c>
      <c r="O4827" s="173" t="s">
        <v>1728</v>
      </c>
      <c r="P4827" s="224"/>
      <c r="Q4827" s="224"/>
    </row>
    <row r="4828" spans="1:17" s="225" customFormat="1" ht="42" x14ac:dyDescent="0.25">
      <c r="A4828" s="229"/>
      <c r="B4828" s="230" t="str">
        <f>B4797</f>
        <v>CONCRETO MAGRO PARA LASTRO, TRAÇO 1:4,5:4,5 (EM MASSA SECA DE CIMENTO/ AREIA MÉDIA/ BRITA 1) - PREPARO MECÂNICO COM BETONEIRA 600 L. AF_05/2021</v>
      </c>
      <c r="C4828" s="177"/>
      <c r="D4828" s="178"/>
      <c r="E4828" s="178"/>
      <c r="F4828" s="178"/>
      <c r="G4828" s="178"/>
      <c r="H4828" s="178"/>
      <c r="I4828" s="178"/>
      <c r="J4828" s="178"/>
      <c r="K4828" s="178"/>
      <c r="L4828" s="178"/>
      <c r="M4828" s="178"/>
      <c r="N4828" s="200"/>
      <c r="O4828" s="178">
        <f>O4800</f>
        <v>15.774430000000017</v>
      </c>
      <c r="P4828" s="231"/>
      <c r="Q4828" s="224"/>
    </row>
    <row r="4829" spans="1:17" s="225" customFormat="1" ht="42" x14ac:dyDescent="0.25">
      <c r="A4829" s="229"/>
      <c r="B4829" s="230" t="str">
        <f>B4824</f>
        <v>CONCRETO FCK = 25MPA, TRAÇO 1:2,3:2,7 (EM MASSA SECA DE CIMENTO/ AREIA MÉDIA/ BRITA 1) - PREPARO MECÂNICO COM BETONEIRA 600 L. AF_05/2021</v>
      </c>
      <c r="C4829" s="177"/>
      <c r="D4829" s="178"/>
      <c r="E4829" s="178"/>
      <c r="F4829" s="178"/>
      <c r="G4829" s="178"/>
      <c r="H4829" s="178"/>
      <c r="I4829" s="178"/>
      <c r="J4829" s="178"/>
      <c r="K4829" s="178"/>
      <c r="L4829" s="178"/>
      <c r="M4829" s="178"/>
      <c r="N4829" s="200"/>
      <c r="O4829" s="178">
        <f>O4826</f>
        <v>68.641609199999991</v>
      </c>
      <c r="P4829" s="231"/>
      <c r="Q4829" s="224"/>
    </row>
    <row r="4830" spans="1:17" s="225" customFormat="1" ht="10.5" x14ac:dyDescent="0.25">
      <c r="A4830" s="229"/>
      <c r="B4830" s="230"/>
      <c r="C4830" s="177"/>
      <c r="D4830" s="178"/>
      <c r="E4830" s="178"/>
      <c r="F4830" s="178"/>
      <c r="G4830" s="178"/>
      <c r="H4830" s="178"/>
      <c r="I4830" s="178"/>
      <c r="J4830" s="178"/>
      <c r="K4830" s="178"/>
      <c r="L4830" s="178"/>
      <c r="M4830" s="178"/>
      <c r="N4830" s="200"/>
      <c r="O4830" s="178"/>
      <c r="P4830" s="231"/>
      <c r="Q4830" s="224"/>
    </row>
    <row r="4831" spans="1:17" s="225" customFormat="1" ht="10.5" x14ac:dyDescent="0.25">
      <c r="A4831" s="229"/>
      <c r="B4831" s="232" t="s">
        <v>5</v>
      </c>
      <c r="C4831" s="182" t="s">
        <v>1328</v>
      </c>
      <c r="D4831" s="182"/>
      <c r="E4831" s="182"/>
      <c r="F4831" s="182"/>
      <c r="G4831" s="182"/>
      <c r="H4831" s="182"/>
      <c r="I4831" s="182"/>
      <c r="J4831" s="182"/>
      <c r="K4831" s="177"/>
      <c r="L4831" s="182"/>
      <c r="M4831" s="182"/>
      <c r="N4831" s="177"/>
      <c r="O4831" s="177">
        <f>SUM(O4828:O4830)</f>
        <v>84.4160392</v>
      </c>
      <c r="P4831" s="233"/>
      <c r="Q4831" s="224"/>
    </row>
    <row r="4832" spans="1:17" s="228" customFormat="1" ht="31.5" x14ac:dyDescent="0.25">
      <c r="A4832" s="226" t="str">
        <f>ORÇAMENTO!A900</f>
        <v>7.1.2.6.47</v>
      </c>
      <c r="B4832" s="227" t="str">
        <f>VLOOKUP(A4832,ORÇAMENTO!A:K,4,0)</f>
        <v>TUBO DE CONCRETO SIMPLES PARA AGUAS PLUVIAIS, CLASSE PS1, COM ENCAIXE PONTA E BOLSA, DIAMETRO NOMINAL DE 400 MM</v>
      </c>
      <c r="C4832" s="173" t="str">
        <f>VLOOKUP(A4832,ORÇAMENTO!A:K,5,0)</f>
        <v>M</v>
      </c>
      <c r="D4832" s="173">
        <f>ROUND(SUM(E4835:O4835),2)</f>
        <v>20.329999999999998</v>
      </c>
      <c r="E4832" s="173" t="s">
        <v>1718</v>
      </c>
      <c r="F4832" s="173" t="s">
        <v>1719</v>
      </c>
      <c r="G4832" s="173" t="s">
        <v>1720</v>
      </c>
      <c r="H4832" s="173" t="s">
        <v>1721</v>
      </c>
      <c r="I4832" s="173" t="s">
        <v>1722</v>
      </c>
      <c r="J4832" s="173" t="s">
        <v>1723</v>
      </c>
      <c r="K4832" s="173" t="s">
        <v>1724</v>
      </c>
      <c r="L4832" s="173" t="s">
        <v>1804</v>
      </c>
      <c r="M4832" s="173" t="s">
        <v>1726</v>
      </c>
      <c r="N4832" s="173" t="s">
        <v>1809</v>
      </c>
      <c r="O4832" s="173" t="s">
        <v>1728</v>
      </c>
      <c r="P4832" s="224"/>
      <c r="Q4832" s="224"/>
    </row>
    <row r="4833" spans="1:17" s="225" customFormat="1" ht="10.5" x14ac:dyDescent="0.25">
      <c r="A4833" s="229"/>
      <c r="B4833" s="230" t="s">
        <v>1829</v>
      </c>
      <c r="C4833" s="177"/>
      <c r="D4833" s="178"/>
      <c r="E4833" s="178">
        <f>QUANTBL!BF358</f>
        <v>20.329999999999998</v>
      </c>
      <c r="F4833" s="178"/>
      <c r="G4833" s="178"/>
      <c r="H4833" s="178"/>
      <c r="I4833" s="178"/>
      <c r="J4833" s="178"/>
      <c r="K4833" s="178"/>
      <c r="L4833" s="178"/>
      <c r="M4833" s="178"/>
      <c r="N4833" s="200"/>
      <c r="O4833" s="178"/>
      <c r="P4833" s="231"/>
      <c r="Q4833" s="224"/>
    </row>
    <row r="4834" spans="1:17" s="225" customFormat="1" ht="10.5" x14ac:dyDescent="0.25">
      <c r="A4834" s="229"/>
      <c r="B4834" s="230"/>
      <c r="C4834" s="177"/>
      <c r="D4834" s="178"/>
      <c r="E4834" s="178"/>
      <c r="F4834" s="178"/>
      <c r="G4834" s="178"/>
      <c r="H4834" s="178"/>
      <c r="I4834" s="178"/>
      <c r="J4834" s="178"/>
      <c r="K4834" s="178"/>
      <c r="L4834" s="178"/>
      <c r="M4834" s="178"/>
      <c r="N4834" s="200"/>
      <c r="O4834" s="178"/>
      <c r="P4834" s="231"/>
      <c r="Q4834" s="224"/>
    </row>
    <row r="4835" spans="1:17" s="225" customFormat="1" ht="10.5" x14ac:dyDescent="0.25">
      <c r="A4835" s="229"/>
      <c r="B4835" s="232" t="s">
        <v>5</v>
      </c>
      <c r="C4835" s="182" t="s">
        <v>1328</v>
      </c>
      <c r="D4835" s="182"/>
      <c r="E4835" s="177">
        <f>SUM(E4833:E4834)</f>
        <v>20.329999999999998</v>
      </c>
      <c r="F4835" s="182"/>
      <c r="G4835" s="182"/>
      <c r="H4835" s="182"/>
      <c r="I4835" s="182"/>
      <c r="J4835" s="182"/>
      <c r="K4835" s="177"/>
      <c r="L4835" s="182"/>
      <c r="M4835" s="182"/>
      <c r="N4835" s="177"/>
      <c r="O4835" s="177"/>
      <c r="P4835" s="233"/>
      <c r="Q4835" s="224"/>
    </row>
    <row r="4836" spans="1:17" s="228" customFormat="1" ht="31.5" x14ac:dyDescent="0.25">
      <c r="A4836" s="226" t="str">
        <f>ORÇAMENTO!A901</f>
        <v>7.1.2.6.48</v>
      </c>
      <c r="B4836" s="227" t="str">
        <f>VLOOKUP(A4836,ORÇAMENTO!A:K,4,0)</f>
        <v>TUBO DE CONCRETO SIMPLES PARA AGUAS PLUVIAIS, CLASSE PS2, COM ENCAIXE PONTA E BOLSA, DIAMETRO NOMINAL DE 400 MM</v>
      </c>
      <c r="C4836" s="173" t="str">
        <f>VLOOKUP(A4836,ORÇAMENTO!A:K,5,0)</f>
        <v>M</v>
      </c>
      <c r="D4836" s="173">
        <f>ROUND(SUM(E4839:O4839),2)</f>
        <v>242.72</v>
      </c>
      <c r="E4836" s="173" t="s">
        <v>1718</v>
      </c>
      <c r="F4836" s="173" t="s">
        <v>1719</v>
      </c>
      <c r="G4836" s="173" t="s">
        <v>1720</v>
      </c>
      <c r="H4836" s="173" t="s">
        <v>1721</v>
      </c>
      <c r="I4836" s="173" t="s">
        <v>1722</v>
      </c>
      <c r="J4836" s="173" t="s">
        <v>1723</v>
      </c>
      <c r="K4836" s="173" t="s">
        <v>1724</v>
      </c>
      <c r="L4836" s="173" t="s">
        <v>1804</v>
      </c>
      <c r="M4836" s="173" t="s">
        <v>1726</v>
      </c>
      <c r="N4836" s="173" t="s">
        <v>1809</v>
      </c>
      <c r="O4836" s="173" t="s">
        <v>1728</v>
      </c>
      <c r="P4836" s="224"/>
      <c r="Q4836" s="224"/>
    </row>
    <row r="4837" spans="1:17" s="225" customFormat="1" ht="21" x14ac:dyDescent="0.25">
      <c r="A4837" s="229"/>
      <c r="B4837" s="230" t="s">
        <v>1830</v>
      </c>
      <c r="C4837" s="177"/>
      <c r="D4837" s="178"/>
      <c r="E4837" s="178">
        <f>QUANTBL!BG358</f>
        <v>242.72000000000003</v>
      </c>
      <c r="F4837" s="178"/>
      <c r="G4837" s="178"/>
      <c r="H4837" s="178"/>
      <c r="I4837" s="178"/>
      <c r="J4837" s="178"/>
      <c r="K4837" s="178"/>
      <c r="L4837" s="178"/>
      <c r="M4837" s="178"/>
      <c r="N4837" s="200"/>
      <c r="O4837" s="178"/>
      <c r="P4837" s="231"/>
      <c r="Q4837" s="224"/>
    </row>
    <row r="4838" spans="1:17" s="225" customFormat="1" ht="10.5" x14ac:dyDescent="0.25">
      <c r="A4838" s="229"/>
      <c r="B4838" s="230"/>
      <c r="C4838" s="177"/>
      <c r="D4838" s="178"/>
      <c r="E4838" s="178"/>
      <c r="F4838" s="178"/>
      <c r="G4838" s="178"/>
      <c r="H4838" s="178"/>
      <c r="I4838" s="178"/>
      <c r="J4838" s="178"/>
      <c r="K4838" s="178"/>
      <c r="L4838" s="178"/>
      <c r="M4838" s="178"/>
      <c r="N4838" s="200"/>
      <c r="O4838" s="178"/>
      <c r="P4838" s="231"/>
      <c r="Q4838" s="224"/>
    </row>
    <row r="4839" spans="1:17" s="225" customFormat="1" ht="10.5" x14ac:dyDescent="0.25">
      <c r="A4839" s="229"/>
      <c r="B4839" s="232" t="s">
        <v>5</v>
      </c>
      <c r="C4839" s="182" t="s">
        <v>1328</v>
      </c>
      <c r="D4839" s="182"/>
      <c r="E4839" s="177">
        <f>SUM(E4837:E4838)</f>
        <v>242.72000000000003</v>
      </c>
      <c r="F4839" s="182"/>
      <c r="G4839" s="182"/>
      <c r="H4839" s="182"/>
      <c r="I4839" s="182"/>
      <c r="J4839" s="182"/>
      <c r="K4839" s="177"/>
      <c r="L4839" s="182"/>
      <c r="M4839" s="182"/>
      <c r="N4839" s="177"/>
      <c r="O4839" s="177"/>
      <c r="P4839" s="233"/>
      <c r="Q4839" s="224"/>
    </row>
    <row r="4840" spans="1:17" s="228" customFormat="1" ht="52.5" x14ac:dyDescent="0.25">
      <c r="A4840" s="226" t="str">
        <f>ORÇAMENTO!A902</f>
        <v>7.1.2.6.49</v>
      </c>
      <c r="B4840" s="227" t="str">
        <f>VLOOKUP(A4840,ORÇAMENTO!A:K,4,0)</f>
        <v>ASSENTAMENTO DE TUBO DE CONCRETO PARA REDES COLETORAS DE ÁGUAS PLUVIAIS, DIÂMETRO DE 400 MM, JUNTA RÍGIDA, INSTALADO EM LOCAL COM ALTO NÍVEL DE INTERFERÊNCIAS (NÃO INCLUI FORNECIMENTO). AF_03/2024</v>
      </c>
      <c r="C4840" s="173" t="str">
        <f>VLOOKUP(A4840,ORÇAMENTO!A:K,5,0)</f>
        <v>M</v>
      </c>
      <c r="D4840" s="173">
        <f>ROUND(SUM(E4843:O4843),2)</f>
        <v>263.05</v>
      </c>
      <c r="E4840" s="173" t="s">
        <v>1718</v>
      </c>
      <c r="F4840" s="173" t="s">
        <v>1719</v>
      </c>
      <c r="G4840" s="173" t="s">
        <v>1720</v>
      </c>
      <c r="H4840" s="173" t="s">
        <v>1721</v>
      </c>
      <c r="I4840" s="173" t="s">
        <v>1722</v>
      </c>
      <c r="J4840" s="173" t="s">
        <v>1723</v>
      </c>
      <c r="K4840" s="173" t="s">
        <v>1724</v>
      </c>
      <c r="L4840" s="173" t="s">
        <v>1804</v>
      </c>
      <c r="M4840" s="173" t="s">
        <v>1726</v>
      </c>
      <c r="N4840" s="173" t="s">
        <v>1809</v>
      </c>
      <c r="O4840" s="173" t="s">
        <v>1728</v>
      </c>
      <c r="P4840" s="224"/>
      <c r="Q4840" s="224"/>
    </row>
    <row r="4841" spans="1:17" s="225" customFormat="1" ht="10.5" x14ac:dyDescent="0.25">
      <c r="A4841" s="229"/>
      <c r="B4841" s="230" t="s">
        <v>1831</v>
      </c>
      <c r="C4841" s="177"/>
      <c r="D4841" s="178"/>
      <c r="E4841" s="178">
        <f>E4839+E4835</f>
        <v>263.05</v>
      </c>
      <c r="F4841" s="178"/>
      <c r="G4841" s="178"/>
      <c r="H4841" s="178"/>
      <c r="I4841" s="178"/>
      <c r="J4841" s="178"/>
      <c r="K4841" s="178"/>
      <c r="L4841" s="178"/>
      <c r="M4841" s="178"/>
      <c r="N4841" s="200"/>
      <c r="O4841" s="178"/>
      <c r="P4841" s="231"/>
      <c r="Q4841" s="224"/>
    </row>
    <row r="4842" spans="1:17" s="225" customFormat="1" ht="10.5" x14ac:dyDescent="0.25">
      <c r="A4842" s="229"/>
      <c r="B4842" s="230"/>
      <c r="C4842" s="177"/>
      <c r="D4842" s="178"/>
      <c r="E4842" s="178"/>
      <c r="F4842" s="178"/>
      <c r="G4842" s="178"/>
      <c r="H4842" s="178"/>
      <c r="I4842" s="178"/>
      <c r="J4842" s="178"/>
      <c r="K4842" s="178"/>
      <c r="L4842" s="178"/>
      <c r="M4842" s="178"/>
      <c r="N4842" s="200"/>
      <c r="O4842" s="178"/>
      <c r="P4842" s="231"/>
      <c r="Q4842" s="224"/>
    </row>
    <row r="4843" spans="1:17" s="225" customFormat="1" ht="10.5" x14ac:dyDescent="0.25">
      <c r="A4843" s="229"/>
      <c r="B4843" s="232" t="s">
        <v>5</v>
      </c>
      <c r="C4843" s="182" t="s">
        <v>1328</v>
      </c>
      <c r="D4843" s="182"/>
      <c r="E4843" s="177">
        <f>SUM(E4841:E4842)</f>
        <v>263.05</v>
      </c>
      <c r="F4843" s="182"/>
      <c r="G4843" s="182"/>
      <c r="H4843" s="182"/>
      <c r="I4843" s="182"/>
      <c r="J4843" s="182"/>
      <c r="K4843" s="177"/>
      <c r="L4843" s="182"/>
      <c r="M4843" s="182"/>
      <c r="N4843" s="177"/>
      <c r="O4843" s="177"/>
      <c r="P4843" s="233"/>
      <c r="Q4843" s="224"/>
    </row>
    <row r="4844" spans="1:17" s="225" customFormat="1" ht="10.5" x14ac:dyDescent="0.25">
      <c r="A4844" s="222" t="str">
        <f>ORÇAMENTO!A903</f>
        <v>7.1.2.7</v>
      </c>
      <c r="B4844" s="223" t="str">
        <f>VLOOKUP(A4844,ORÇAMENTO!A:K,4,0)</f>
        <v>POÇOS DE VISITA</v>
      </c>
      <c r="C4844" s="167"/>
      <c r="D4844" s="167"/>
      <c r="E4844" s="168"/>
      <c r="F4844" s="168"/>
      <c r="G4844" s="168"/>
      <c r="H4844" s="168"/>
      <c r="I4844" s="168"/>
      <c r="J4844" s="168"/>
      <c r="K4844" s="168"/>
      <c r="L4844" s="168"/>
      <c r="M4844" s="168"/>
      <c r="N4844" s="168"/>
      <c r="O4844" s="168"/>
      <c r="P4844" s="224"/>
      <c r="Q4844" s="224"/>
    </row>
    <row r="4845" spans="1:17" s="228" customFormat="1" ht="21" x14ac:dyDescent="0.25">
      <c r="A4845" s="226" t="str">
        <f>ORÇAMENTO!A904</f>
        <v>7.1.2.7.1</v>
      </c>
      <c r="B4845" s="227" t="str">
        <f>VLOOKUP(A4845,ORÇAMENTO!A:K,4,0)</f>
        <v>REVEST. PRIMARIO C CASCALHO OU SAIBRO C\ COMPACTACAO</v>
      </c>
      <c r="C4845" s="173" t="str">
        <f>VLOOKUP(A4845,ORÇAMENTO!A:K,5,0)</f>
        <v>M³</v>
      </c>
      <c r="D4845" s="173">
        <f>ROUND(SUM(E4853:O4853),2)</f>
        <v>19.8</v>
      </c>
      <c r="E4845" s="173" t="s">
        <v>1718</v>
      </c>
      <c r="F4845" s="173" t="s">
        <v>1719</v>
      </c>
      <c r="G4845" s="173" t="s">
        <v>1720</v>
      </c>
      <c r="H4845" s="173" t="s">
        <v>1721</v>
      </c>
      <c r="I4845" s="173" t="s">
        <v>1722</v>
      </c>
      <c r="J4845" s="173" t="s">
        <v>1723</v>
      </c>
      <c r="K4845" s="173" t="s">
        <v>1724</v>
      </c>
      <c r="L4845" s="173" t="s">
        <v>1804</v>
      </c>
      <c r="M4845" s="173" t="s">
        <v>1726</v>
      </c>
      <c r="N4845" s="173" t="s">
        <v>1809</v>
      </c>
      <c r="O4845" s="173" t="s">
        <v>1728</v>
      </c>
      <c r="P4845" s="224"/>
      <c r="Q4845" s="224"/>
    </row>
    <row r="4846" spans="1:17" s="225" customFormat="1" ht="10.5" x14ac:dyDescent="0.25">
      <c r="A4846" s="229"/>
      <c r="B4846" s="230" t="s">
        <v>1832</v>
      </c>
      <c r="C4846" s="184"/>
      <c r="D4846" s="185"/>
      <c r="E4846" s="185"/>
      <c r="F4846" s="185"/>
      <c r="G4846" s="185"/>
      <c r="H4846" s="185"/>
      <c r="I4846" s="185"/>
      <c r="J4846" s="185"/>
      <c r="K4846" s="185"/>
      <c r="L4846" s="185"/>
      <c r="M4846" s="185"/>
      <c r="N4846" s="205"/>
      <c r="O4846" s="185"/>
      <c r="P4846" s="231"/>
      <c r="Q4846" s="224"/>
    </row>
    <row r="4847" spans="1:17" s="225" customFormat="1" ht="10.5" x14ac:dyDescent="0.25">
      <c r="A4847" s="229"/>
      <c r="B4847" s="230" t="s">
        <v>1833</v>
      </c>
      <c r="C4847" s="184"/>
      <c r="D4847" s="185"/>
      <c r="E4847" s="185">
        <v>1.48</v>
      </c>
      <c r="F4847" s="185">
        <v>1.48</v>
      </c>
      <c r="G4847" s="185"/>
      <c r="H4847" s="185">
        <v>0.1</v>
      </c>
      <c r="I4847" s="185"/>
      <c r="J4847" s="185"/>
      <c r="K4847" s="185"/>
      <c r="L4847" s="185"/>
      <c r="M4847" s="185">
        <f>'Planilha Hidráulica'!AF199</f>
        <v>4</v>
      </c>
      <c r="N4847" s="205"/>
      <c r="O4847" s="185">
        <f>M4847*E4847*F4847*H4847</f>
        <v>0.87616000000000005</v>
      </c>
      <c r="P4847" s="231"/>
      <c r="Q4847" s="224"/>
    </row>
    <row r="4848" spans="1:17" s="225" customFormat="1" ht="10.5" x14ac:dyDescent="0.25">
      <c r="A4848" s="229"/>
      <c r="B4848" s="230" t="s">
        <v>1834</v>
      </c>
      <c r="C4848" s="184"/>
      <c r="D4848" s="185"/>
      <c r="E4848" s="185">
        <v>1.9</v>
      </c>
      <c r="F4848" s="185">
        <v>1.9</v>
      </c>
      <c r="G4848" s="185"/>
      <c r="H4848" s="185">
        <v>0.1</v>
      </c>
      <c r="I4848" s="185"/>
      <c r="J4848" s="185"/>
      <c r="K4848" s="185"/>
      <c r="L4848" s="185"/>
      <c r="M4848" s="185">
        <f>'Planilha Hidráulica'!AG199</f>
        <v>4</v>
      </c>
      <c r="N4848" s="205"/>
      <c r="O4848" s="185">
        <f>M4848*E4848*F4848*H4848</f>
        <v>1.444</v>
      </c>
      <c r="P4848" s="231"/>
      <c r="Q4848" s="224"/>
    </row>
    <row r="4849" spans="1:17" s="225" customFormat="1" ht="10.5" x14ac:dyDescent="0.25">
      <c r="A4849" s="229"/>
      <c r="B4849" s="230" t="s">
        <v>1835</v>
      </c>
      <c r="C4849" s="184"/>
      <c r="D4849" s="185"/>
      <c r="E4849" s="185">
        <v>2.14</v>
      </c>
      <c r="F4849" s="185">
        <v>2.14</v>
      </c>
      <c r="G4849" s="185"/>
      <c r="H4849" s="185">
        <v>0.1</v>
      </c>
      <c r="I4849" s="185"/>
      <c r="J4849" s="185"/>
      <c r="K4849" s="185"/>
      <c r="L4849" s="185"/>
      <c r="M4849" s="185">
        <f>'Planilha Hidráulica'!AH199</f>
        <v>12</v>
      </c>
      <c r="N4849" s="205"/>
      <c r="O4849" s="185">
        <f>M4849*E4849*F4849*H4849</f>
        <v>5.4955200000000008</v>
      </c>
      <c r="P4849" s="231"/>
      <c r="Q4849" s="224"/>
    </row>
    <row r="4850" spans="1:17" s="225" customFormat="1" ht="10.5" x14ac:dyDescent="0.25">
      <c r="A4850" s="229"/>
      <c r="B4850" s="230" t="s">
        <v>1836</v>
      </c>
      <c r="C4850" s="184"/>
      <c r="D4850" s="185"/>
      <c r="E4850" s="185">
        <v>2.2400000000000002</v>
      </c>
      <c r="F4850" s="185">
        <v>2.2400000000000002</v>
      </c>
      <c r="G4850" s="185"/>
      <c r="H4850" s="185">
        <v>0.1</v>
      </c>
      <c r="I4850" s="185"/>
      <c r="J4850" s="185"/>
      <c r="K4850" s="185"/>
      <c r="L4850" s="185"/>
      <c r="M4850" s="185">
        <f>'Planilha Hidráulica'!AI199</f>
        <v>10</v>
      </c>
      <c r="N4850" s="205"/>
      <c r="O4850" s="185">
        <f>M4850*E4850*F4850*H4850</f>
        <v>5.0176000000000016</v>
      </c>
      <c r="P4850" s="231"/>
      <c r="Q4850" s="224"/>
    </row>
    <row r="4851" spans="1:17" s="225" customFormat="1" ht="10.5" x14ac:dyDescent="0.25">
      <c r="A4851" s="229"/>
      <c r="B4851" s="230" t="s">
        <v>1837</v>
      </c>
      <c r="C4851" s="184"/>
      <c r="D4851" s="185"/>
      <c r="E4851" s="185">
        <v>2.64</v>
      </c>
      <c r="F4851" s="185">
        <v>2.64</v>
      </c>
      <c r="G4851" s="185"/>
      <c r="H4851" s="185">
        <v>0.1</v>
      </c>
      <c r="I4851" s="185"/>
      <c r="J4851" s="185"/>
      <c r="K4851" s="185"/>
      <c r="L4851" s="185"/>
      <c r="M4851" s="185">
        <f>'Planilha Hidráulica'!AJ199</f>
        <v>10</v>
      </c>
      <c r="N4851" s="205"/>
      <c r="O4851" s="185">
        <f>M4851*E4851*F4851*H4851</f>
        <v>6.9696000000000016</v>
      </c>
      <c r="P4851" s="231"/>
      <c r="Q4851" s="224"/>
    </row>
    <row r="4852" spans="1:17" s="225" customFormat="1" ht="10.5" x14ac:dyDescent="0.25">
      <c r="A4852" s="229"/>
      <c r="B4852" s="230"/>
      <c r="C4852" s="184"/>
      <c r="D4852" s="185"/>
      <c r="E4852" s="185"/>
      <c r="F4852" s="185"/>
      <c r="G4852" s="185"/>
      <c r="H4852" s="185"/>
      <c r="I4852" s="185"/>
      <c r="J4852" s="185"/>
      <c r="K4852" s="185"/>
      <c r="L4852" s="185"/>
      <c r="M4852" s="185"/>
      <c r="N4852" s="205"/>
      <c r="O4852" s="185"/>
      <c r="P4852" s="231"/>
      <c r="Q4852" s="224"/>
    </row>
    <row r="4853" spans="1:17" s="225" customFormat="1" ht="10.5" x14ac:dyDescent="0.25">
      <c r="A4853" s="229"/>
      <c r="B4853" s="232" t="s">
        <v>5</v>
      </c>
      <c r="C4853" s="182" t="s">
        <v>1328</v>
      </c>
      <c r="D4853" s="182"/>
      <c r="E4853" s="182"/>
      <c r="F4853" s="182"/>
      <c r="G4853" s="182"/>
      <c r="H4853" s="182"/>
      <c r="I4853" s="182"/>
      <c r="J4853" s="182"/>
      <c r="K4853" s="185"/>
      <c r="L4853" s="182"/>
      <c r="M4853" s="182"/>
      <c r="N4853" s="184"/>
      <c r="O4853" s="184">
        <f>SUM(O4847:O4851)</f>
        <v>19.802880000000002</v>
      </c>
      <c r="P4853" s="233"/>
      <c r="Q4853" s="224"/>
    </row>
    <row r="4854" spans="1:17" s="228" customFormat="1" ht="31.5" x14ac:dyDescent="0.25">
      <c r="A4854" s="226" t="str">
        <f>ORÇAMENTO!A905</f>
        <v>7.1.2.7.2</v>
      </c>
      <c r="B4854" s="227" t="str">
        <f>VLOOKUP(A4854,ORÇAMENTO!A:K,4,0)</f>
        <v>PEÇA RETANGULAR PRÉ-MOLDADA, VOLUME DE CONCRETO DE ATÉ 10 LITROS, TAXA DE AÇO APROXIMADA DE 30KG/M³. AF_03/2024</v>
      </c>
      <c r="C4854" s="173" t="str">
        <f>VLOOKUP(A4854,ORÇAMENTO!A:K,5,0)</f>
        <v>M³</v>
      </c>
      <c r="D4854" s="173">
        <f>ROUND(SUM(E4859:O4859),2)</f>
        <v>1.56</v>
      </c>
      <c r="E4854" s="173" t="s">
        <v>1718</v>
      </c>
      <c r="F4854" s="173" t="s">
        <v>1719</v>
      </c>
      <c r="G4854" s="173" t="s">
        <v>1720</v>
      </c>
      <c r="H4854" s="173" t="s">
        <v>1721</v>
      </c>
      <c r="I4854" s="173" t="s">
        <v>1722</v>
      </c>
      <c r="J4854" s="173" t="s">
        <v>1723</v>
      </c>
      <c r="K4854" s="173" t="s">
        <v>1724</v>
      </c>
      <c r="L4854" s="173" t="s">
        <v>1804</v>
      </c>
      <c r="M4854" s="173" t="s">
        <v>1726</v>
      </c>
      <c r="N4854" s="173" t="s">
        <v>1809</v>
      </c>
      <c r="O4854" s="173" t="s">
        <v>1728</v>
      </c>
      <c r="P4854" s="224"/>
      <c r="Q4854" s="224"/>
    </row>
    <row r="4855" spans="1:17" s="225" customFormat="1" ht="10.5" x14ac:dyDescent="0.25">
      <c r="A4855" s="229"/>
      <c r="B4855" s="230" t="str">
        <f>B4846</f>
        <v>CONFORME DESENHO TIPO</v>
      </c>
      <c r="C4855" s="184"/>
      <c r="D4855" s="185"/>
      <c r="E4855" s="185"/>
      <c r="F4855" s="185"/>
      <c r="G4855" s="185"/>
      <c r="H4855" s="185"/>
      <c r="I4855" s="185"/>
      <c r="J4855" s="185"/>
      <c r="K4855" s="185"/>
      <c r="L4855" s="185"/>
      <c r="M4855" s="185"/>
      <c r="N4855" s="205"/>
      <c r="O4855" s="185"/>
      <c r="P4855" s="231"/>
      <c r="Q4855" s="224"/>
    </row>
    <row r="4856" spans="1:17" s="225" customFormat="1" ht="10.5" x14ac:dyDescent="0.25">
      <c r="A4856" s="229"/>
      <c r="B4856" s="230" t="str">
        <f>B4847</f>
        <v>PV DN 600</v>
      </c>
      <c r="C4856" s="184"/>
      <c r="D4856" s="185"/>
      <c r="E4856" s="185">
        <f>E4847-0.2</f>
        <v>1.28</v>
      </c>
      <c r="F4856" s="185">
        <f>F4847-0.2</f>
        <v>1.28</v>
      </c>
      <c r="G4856" s="185"/>
      <c r="H4856" s="185">
        <v>0.1</v>
      </c>
      <c r="I4856" s="185"/>
      <c r="J4856" s="185"/>
      <c r="K4856" s="185"/>
      <c r="L4856" s="185"/>
      <c r="M4856" s="185">
        <f>M4847</f>
        <v>4</v>
      </c>
      <c r="N4856" s="205"/>
      <c r="O4856" s="185">
        <f>M4856*E4856*F4856*H4856</f>
        <v>0.65536000000000005</v>
      </c>
      <c r="P4856" s="231"/>
      <c r="Q4856" s="224"/>
    </row>
    <row r="4857" spans="1:17" s="225" customFormat="1" ht="10.5" x14ac:dyDescent="0.25">
      <c r="A4857" s="229"/>
      <c r="B4857" s="230" t="str">
        <f>B4848</f>
        <v>PV DN 800</v>
      </c>
      <c r="C4857" s="184"/>
      <c r="D4857" s="185"/>
      <c r="E4857" s="185">
        <f>E4848-0.2*2</f>
        <v>1.5</v>
      </c>
      <c r="F4857" s="185">
        <f>F4848-0.2*2</f>
        <v>1.5</v>
      </c>
      <c r="G4857" s="185"/>
      <c r="H4857" s="185">
        <v>0.1</v>
      </c>
      <c r="I4857" s="185"/>
      <c r="J4857" s="185"/>
      <c r="K4857" s="185"/>
      <c r="L4857" s="185"/>
      <c r="M4857" s="185">
        <f>M4848</f>
        <v>4</v>
      </c>
      <c r="N4857" s="205"/>
      <c r="O4857" s="185">
        <f>M4857*E4857*F4857*H4857</f>
        <v>0.9</v>
      </c>
      <c r="P4857" s="231"/>
      <c r="Q4857" s="224"/>
    </row>
    <row r="4858" spans="1:17" s="225" customFormat="1" ht="10.5" x14ac:dyDescent="0.25">
      <c r="A4858" s="229"/>
      <c r="B4858" s="230"/>
      <c r="C4858" s="184"/>
      <c r="D4858" s="185"/>
      <c r="E4858" s="185"/>
      <c r="F4858" s="185"/>
      <c r="G4858" s="185"/>
      <c r="H4858" s="185"/>
      <c r="I4858" s="185"/>
      <c r="J4858" s="185"/>
      <c r="K4858" s="185"/>
      <c r="L4858" s="185"/>
      <c r="M4858" s="185"/>
      <c r="N4858" s="205"/>
      <c r="O4858" s="185"/>
      <c r="P4858" s="231"/>
      <c r="Q4858" s="224"/>
    </row>
    <row r="4859" spans="1:17" s="225" customFormat="1" ht="10.5" x14ac:dyDescent="0.25">
      <c r="A4859" s="229"/>
      <c r="B4859" s="232" t="s">
        <v>5</v>
      </c>
      <c r="C4859" s="182" t="s">
        <v>1328</v>
      </c>
      <c r="D4859" s="182"/>
      <c r="E4859" s="182"/>
      <c r="F4859" s="182"/>
      <c r="G4859" s="182"/>
      <c r="H4859" s="182"/>
      <c r="I4859" s="182"/>
      <c r="J4859" s="182"/>
      <c r="K4859" s="185"/>
      <c r="L4859" s="182"/>
      <c r="M4859" s="182"/>
      <c r="N4859" s="184"/>
      <c r="O4859" s="184">
        <f>SUM(O4855:O4858)</f>
        <v>1.5553600000000001</v>
      </c>
      <c r="P4859" s="233"/>
      <c r="Q4859" s="224"/>
    </row>
    <row r="4860" spans="1:17" s="228" customFormat="1" ht="42" x14ac:dyDescent="0.25">
      <c r="A4860" s="226" t="str">
        <f>ORÇAMENTO!A906</f>
        <v>7.1.2.7.3</v>
      </c>
      <c r="B4860" s="227" t="str">
        <f>VLOOKUP(A4860,ORÇAMENTO!A:K,4,0)</f>
        <v>ALVENARIA DE VEDAÇÃO DE BLOCOS VAZADOS DE CONCRETO DE 19X19X39 CM (ESPESSURA 19 CM) E ARGAMASSA DE ASSENTAMENTO COM PREPARO EM BETONEIRA. AF_12/2021</v>
      </c>
      <c r="C4860" s="173" t="str">
        <f>VLOOKUP(A4860,ORÇAMENTO!A:K,5,0)</f>
        <v>M²</v>
      </c>
      <c r="D4860" s="173">
        <f>ROUND(SUM(E4865:O4865),2)</f>
        <v>51.3</v>
      </c>
      <c r="E4860" s="173" t="s">
        <v>1718</v>
      </c>
      <c r="F4860" s="173" t="s">
        <v>1719</v>
      </c>
      <c r="G4860" s="173" t="s">
        <v>1720</v>
      </c>
      <c r="H4860" s="173" t="s">
        <v>1721</v>
      </c>
      <c r="I4860" s="173" t="s">
        <v>1722</v>
      </c>
      <c r="J4860" s="173" t="s">
        <v>1723</v>
      </c>
      <c r="K4860" s="173" t="s">
        <v>1724</v>
      </c>
      <c r="L4860" s="173" t="s">
        <v>1804</v>
      </c>
      <c r="M4860" s="173" t="s">
        <v>1726</v>
      </c>
      <c r="N4860" s="173" t="s">
        <v>1826</v>
      </c>
      <c r="O4860" s="173" t="s">
        <v>1728</v>
      </c>
      <c r="P4860" s="224"/>
      <c r="Q4860" s="224"/>
    </row>
    <row r="4861" spans="1:17" s="225" customFormat="1" ht="10.5" x14ac:dyDescent="0.25">
      <c r="A4861" s="229"/>
      <c r="B4861" s="230" t="str">
        <f>B4855</f>
        <v>CONFORME DESENHO TIPO</v>
      </c>
      <c r="C4861" s="184"/>
      <c r="D4861" s="185"/>
      <c r="E4861" s="185"/>
      <c r="F4861" s="185"/>
      <c r="G4861" s="185"/>
      <c r="H4861" s="185"/>
      <c r="I4861" s="185"/>
      <c r="J4861" s="185"/>
      <c r="K4861" s="185"/>
      <c r="L4861" s="185"/>
      <c r="M4861" s="185"/>
      <c r="N4861" s="205"/>
      <c r="O4861" s="185"/>
      <c r="P4861" s="231"/>
      <c r="Q4861" s="224"/>
    </row>
    <row r="4862" spans="1:17" s="225" customFormat="1" ht="10.5" x14ac:dyDescent="0.25">
      <c r="A4862" s="229"/>
      <c r="B4862" s="230" t="str">
        <f>B4856</f>
        <v>PV DN 600</v>
      </c>
      <c r="C4862" s="184"/>
      <c r="D4862" s="185"/>
      <c r="E4862" s="185">
        <f>E4856-0.1*2</f>
        <v>1.08</v>
      </c>
      <c r="F4862" s="185">
        <f>F4856-0.1*2</f>
        <v>1.08</v>
      </c>
      <c r="G4862" s="185">
        <v>1.4</v>
      </c>
      <c r="H4862" s="185">
        <v>0.09</v>
      </c>
      <c r="I4862" s="185">
        <f>2*(E4862+F4862-2*H4862)</f>
        <v>3.9600000000000004</v>
      </c>
      <c r="J4862" s="185"/>
      <c r="K4862" s="185"/>
      <c r="L4862" s="185"/>
      <c r="M4862" s="185">
        <f>M4856</f>
        <v>4</v>
      </c>
      <c r="N4862" s="205">
        <f>M4862*I4862*G4862</f>
        <v>22.176000000000002</v>
      </c>
      <c r="O4862" s="185"/>
      <c r="P4862" s="231"/>
      <c r="Q4862" s="224"/>
    </row>
    <row r="4863" spans="1:17" s="225" customFormat="1" ht="10.5" x14ac:dyDescent="0.25">
      <c r="A4863" s="229"/>
      <c r="B4863" s="230" t="str">
        <f>B4857</f>
        <v>PV DN 800</v>
      </c>
      <c r="C4863" s="184"/>
      <c r="D4863" s="185"/>
      <c r="E4863" s="185">
        <f>E4857</f>
        <v>1.5</v>
      </c>
      <c r="F4863" s="185">
        <f>F4857</f>
        <v>1.5</v>
      </c>
      <c r="G4863" s="185">
        <v>1.4</v>
      </c>
      <c r="H4863" s="185">
        <v>0.2</v>
      </c>
      <c r="I4863" s="185">
        <f>2*(E4863+F4863-2*H4863)</f>
        <v>5.2</v>
      </c>
      <c r="J4863" s="185"/>
      <c r="K4863" s="185"/>
      <c r="L4863" s="185"/>
      <c r="M4863" s="185">
        <f>M4857</f>
        <v>4</v>
      </c>
      <c r="N4863" s="205">
        <f>M4863*I4863*G4863</f>
        <v>29.119999999999997</v>
      </c>
      <c r="O4863" s="185"/>
      <c r="P4863" s="231"/>
      <c r="Q4863" s="224"/>
    </row>
    <row r="4864" spans="1:17" s="225" customFormat="1" ht="10.5" x14ac:dyDescent="0.25">
      <c r="A4864" s="229"/>
      <c r="B4864" s="230"/>
      <c r="C4864" s="184"/>
      <c r="D4864" s="185"/>
      <c r="E4864" s="185"/>
      <c r="F4864" s="185"/>
      <c r="G4864" s="185"/>
      <c r="H4864" s="185"/>
      <c r="I4864" s="185"/>
      <c r="J4864" s="185"/>
      <c r="K4864" s="185"/>
      <c r="L4864" s="185"/>
      <c r="M4864" s="185"/>
      <c r="N4864" s="205"/>
      <c r="O4864" s="185"/>
      <c r="P4864" s="231"/>
      <c r="Q4864" s="224"/>
    </row>
    <row r="4865" spans="1:17" s="225" customFormat="1" ht="10.5" x14ac:dyDescent="0.25">
      <c r="A4865" s="229"/>
      <c r="B4865" s="232" t="s">
        <v>5</v>
      </c>
      <c r="C4865" s="182" t="s">
        <v>1328</v>
      </c>
      <c r="D4865" s="182"/>
      <c r="E4865" s="182"/>
      <c r="F4865" s="182"/>
      <c r="G4865" s="182"/>
      <c r="H4865" s="182"/>
      <c r="I4865" s="182"/>
      <c r="J4865" s="182"/>
      <c r="K4865" s="185"/>
      <c r="L4865" s="182"/>
      <c r="M4865" s="182"/>
      <c r="N4865" s="184">
        <f>SUM(N4861:N4864)</f>
        <v>51.295999999999999</v>
      </c>
      <c r="O4865" s="182"/>
      <c r="P4865" s="233"/>
      <c r="Q4865" s="224"/>
    </row>
    <row r="4866" spans="1:17" s="228" customFormat="1" ht="42" x14ac:dyDescent="0.25">
      <c r="A4866" s="226" t="str">
        <f>ORÇAMENTO!A907</f>
        <v>7.1.2.7.4</v>
      </c>
      <c r="B4866" s="227" t="str">
        <f>VLOOKUP(A4866,ORÇAMENTO!A:K,4,0)</f>
        <v>CONCRETO FCK = 15MPA, TRAÇO 1:3,4:3,5 (EM MASSA SECA DE CIMENTO/ AREIA MÉDIA/ BRITA 1) - PREPARO MECÂNICO COM BETONEIRA 600 L. AF_05/2021</v>
      </c>
      <c r="C4866" s="173" t="str">
        <f>VLOOKUP(A4866,ORÇAMENTO!A:K,5,0)</f>
        <v>M³</v>
      </c>
      <c r="D4866" s="173">
        <f>ROUND(SUM(E4880:O4880),2)</f>
        <v>39.42</v>
      </c>
      <c r="E4866" s="173" t="s">
        <v>1718</v>
      </c>
      <c r="F4866" s="173" t="s">
        <v>1719</v>
      </c>
      <c r="G4866" s="173" t="s">
        <v>1720</v>
      </c>
      <c r="H4866" s="173" t="s">
        <v>1721</v>
      </c>
      <c r="I4866" s="173" t="s">
        <v>1722</v>
      </c>
      <c r="J4866" s="173" t="s">
        <v>1723</v>
      </c>
      <c r="K4866" s="173" t="s">
        <v>1724</v>
      </c>
      <c r="L4866" s="173" t="s">
        <v>1804</v>
      </c>
      <c r="M4866" s="173" t="s">
        <v>1726</v>
      </c>
      <c r="N4866" s="173" t="s">
        <v>1826</v>
      </c>
      <c r="O4866" s="173" t="s">
        <v>1728</v>
      </c>
      <c r="P4866" s="224"/>
      <c r="Q4866" s="224"/>
    </row>
    <row r="4867" spans="1:17" s="225" customFormat="1" ht="10.5" x14ac:dyDescent="0.25">
      <c r="A4867" s="229"/>
      <c r="B4867" s="230" t="str">
        <f>B4882</f>
        <v>CONFORME DESENHO TIPO</v>
      </c>
      <c r="C4867" s="177"/>
      <c r="D4867" s="178"/>
      <c r="E4867" s="178"/>
      <c r="F4867" s="178"/>
      <c r="G4867" s="178"/>
      <c r="H4867" s="178"/>
      <c r="I4867" s="178"/>
      <c r="J4867" s="178"/>
      <c r="K4867" s="178"/>
      <c r="L4867" s="178"/>
      <c r="M4867" s="178"/>
      <c r="N4867" s="200"/>
      <c r="O4867" s="178"/>
      <c r="P4867" s="231"/>
      <c r="Q4867" s="224"/>
    </row>
    <row r="4868" spans="1:17" s="228" customFormat="1" ht="10.5" x14ac:dyDescent="0.25">
      <c r="A4868" s="239"/>
      <c r="B4868" s="232" t="str">
        <f>B4849</f>
        <v>PV DN 1000</v>
      </c>
      <c r="C4868" s="177"/>
      <c r="D4868" s="177"/>
      <c r="E4868" s="177"/>
      <c r="F4868" s="177"/>
      <c r="G4868" s="177"/>
      <c r="H4868" s="177"/>
      <c r="I4868" s="177"/>
      <c r="J4868" s="177"/>
      <c r="K4868" s="177"/>
      <c r="L4868" s="177"/>
      <c r="M4868" s="177"/>
      <c r="N4868" s="202"/>
      <c r="O4868" s="177"/>
      <c r="P4868" s="231"/>
      <c r="Q4868" s="224"/>
    </row>
    <row r="4869" spans="1:17" s="225" customFormat="1" ht="10.5" x14ac:dyDescent="0.25">
      <c r="A4869" s="229"/>
      <c r="B4869" s="230" t="s">
        <v>1838</v>
      </c>
      <c r="C4869" s="177"/>
      <c r="D4869" s="178"/>
      <c r="E4869" s="178">
        <f>E4888</f>
        <v>1.74</v>
      </c>
      <c r="F4869" s="178">
        <f>F4888</f>
        <v>1.74</v>
      </c>
      <c r="G4869" s="178"/>
      <c r="H4869" s="178">
        <v>0.05</v>
      </c>
      <c r="I4869" s="178"/>
      <c r="J4869" s="178"/>
      <c r="K4869" s="178"/>
      <c r="L4869" s="178"/>
      <c r="M4869" s="178">
        <f>M4849</f>
        <v>12</v>
      </c>
      <c r="N4869" s="200"/>
      <c r="O4869" s="178">
        <f>M4869*E4869*F4869*H4869</f>
        <v>1.81656</v>
      </c>
      <c r="P4869" s="231"/>
      <c r="Q4869" s="224"/>
    </row>
    <row r="4870" spans="1:17" s="225" customFormat="1" ht="10.5" x14ac:dyDescent="0.25">
      <c r="A4870" s="229"/>
      <c r="B4870" s="230" t="s">
        <v>1839</v>
      </c>
      <c r="C4870" s="177"/>
      <c r="D4870" s="178"/>
      <c r="E4870" s="178">
        <f>F4889</f>
        <v>1.5</v>
      </c>
      <c r="F4870" s="178">
        <f>F4889</f>
        <v>1.5</v>
      </c>
      <c r="G4870" s="178"/>
      <c r="H4870" s="178">
        <v>0.23</v>
      </c>
      <c r="I4870" s="178"/>
      <c r="J4870" s="178"/>
      <c r="K4870" s="178"/>
      <c r="L4870" s="178"/>
      <c r="M4870" s="178">
        <f>M4869</f>
        <v>12</v>
      </c>
      <c r="N4870" s="200"/>
      <c r="O4870" s="178">
        <f>M4870*E4870*F4870*H4870</f>
        <v>6.21</v>
      </c>
      <c r="P4870" s="231"/>
      <c r="Q4870" s="224"/>
    </row>
    <row r="4871" spans="1:17" s="225" customFormat="1" ht="10.5" x14ac:dyDescent="0.25">
      <c r="A4871" s="229"/>
      <c r="B4871" s="230"/>
      <c r="C4871" s="177"/>
      <c r="D4871" s="178"/>
      <c r="E4871" s="178"/>
      <c r="F4871" s="178"/>
      <c r="G4871" s="178"/>
      <c r="H4871" s="178"/>
      <c r="I4871" s="178"/>
      <c r="J4871" s="178"/>
      <c r="K4871" s="178"/>
      <c r="L4871" s="178"/>
      <c r="M4871" s="178"/>
      <c r="N4871" s="200"/>
      <c r="O4871" s="178"/>
      <c r="P4871" s="231"/>
      <c r="Q4871" s="224"/>
    </row>
    <row r="4872" spans="1:17" s="228" customFormat="1" ht="10.5" x14ac:dyDescent="0.25">
      <c r="A4872" s="239"/>
      <c r="B4872" s="232" t="str">
        <f>B4850</f>
        <v>PV DN 1200</v>
      </c>
      <c r="C4872" s="177"/>
      <c r="D4872" s="177"/>
      <c r="E4872" s="177"/>
      <c r="F4872" s="177"/>
      <c r="G4872" s="177"/>
      <c r="H4872" s="177"/>
      <c r="I4872" s="177"/>
      <c r="J4872" s="177"/>
      <c r="K4872" s="177"/>
      <c r="L4872" s="177"/>
      <c r="M4872" s="177"/>
      <c r="N4872" s="202"/>
      <c r="O4872" s="177"/>
      <c r="P4872" s="231"/>
      <c r="Q4872" s="224"/>
    </row>
    <row r="4873" spans="1:17" s="225" customFormat="1" ht="10.5" x14ac:dyDescent="0.25">
      <c r="A4873" s="229"/>
      <c r="B4873" s="230" t="s">
        <v>1838</v>
      </c>
      <c r="C4873" s="177"/>
      <c r="D4873" s="178"/>
      <c r="E4873" s="178">
        <f>E4892</f>
        <v>2.04</v>
      </c>
      <c r="F4873" s="178">
        <f>F4892</f>
        <v>2.04</v>
      </c>
      <c r="G4873" s="178"/>
      <c r="H4873" s="178">
        <v>0.05</v>
      </c>
      <c r="I4873" s="178"/>
      <c r="J4873" s="178"/>
      <c r="K4873" s="178"/>
      <c r="L4873" s="178"/>
      <c r="M4873" s="178">
        <f>M4850</f>
        <v>10</v>
      </c>
      <c r="N4873" s="200"/>
      <c r="O4873" s="178">
        <f>M4873*E4873*F4873*H4873</f>
        <v>2.0808</v>
      </c>
      <c r="P4873" s="231"/>
      <c r="Q4873" s="224"/>
    </row>
    <row r="4874" spans="1:17" s="225" customFormat="1" ht="10.5" x14ac:dyDescent="0.25">
      <c r="A4874" s="229"/>
      <c r="B4874" s="230" t="s">
        <v>1839</v>
      </c>
      <c r="C4874" s="177"/>
      <c r="D4874" s="178"/>
      <c r="E4874" s="178">
        <f>F4893</f>
        <v>1.8</v>
      </c>
      <c r="F4874" s="178">
        <f>F4893</f>
        <v>1.8</v>
      </c>
      <c r="G4874" s="178"/>
      <c r="H4874" s="178">
        <v>0.28999999999999998</v>
      </c>
      <c r="I4874" s="178"/>
      <c r="J4874" s="178"/>
      <c r="K4874" s="178"/>
      <c r="L4874" s="178"/>
      <c r="M4874" s="178">
        <f>M4873</f>
        <v>10</v>
      </c>
      <c r="N4874" s="200"/>
      <c r="O4874" s="178">
        <f>M4874*E4874*F4874*H4874</f>
        <v>9.395999999999999</v>
      </c>
      <c r="P4874" s="231"/>
      <c r="Q4874" s="224"/>
    </row>
    <row r="4875" spans="1:17" s="225" customFormat="1" ht="10.5" x14ac:dyDescent="0.25">
      <c r="A4875" s="229"/>
      <c r="B4875" s="230"/>
      <c r="C4875" s="177"/>
      <c r="D4875" s="178"/>
      <c r="E4875" s="178"/>
      <c r="F4875" s="178"/>
      <c r="G4875" s="178"/>
      <c r="H4875" s="178"/>
      <c r="I4875" s="178"/>
      <c r="J4875" s="178"/>
      <c r="K4875" s="178"/>
      <c r="L4875" s="178"/>
      <c r="M4875" s="178"/>
      <c r="N4875" s="200"/>
      <c r="O4875" s="178"/>
      <c r="P4875" s="231"/>
      <c r="Q4875" s="224"/>
    </row>
    <row r="4876" spans="1:17" s="225" customFormat="1" ht="10.5" x14ac:dyDescent="0.25">
      <c r="A4876" s="229"/>
      <c r="B4876" s="232" t="str">
        <f>B4851</f>
        <v>PV DN 1500</v>
      </c>
      <c r="C4876" s="177"/>
      <c r="D4876" s="178"/>
      <c r="E4876" s="178"/>
      <c r="F4876" s="178"/>
      <c r="G4876" s="178"/>
      <c r="H4876" s="178"/>
      <c r="I4876" s="178"/>
      <c r="J4876" s="178"/>
      <c r="K4876" s="178"/>
      <c r="L4876" s="178"/>
      <c r="M4876" s="178"/>
      <c r="N4876" s="200"/>
      <c r="O4876" s="178"/>
      <c r="P4876" s="231"/>
      <c r="Q4876" s="224"/>
    </row>
    <row r="4877" spans="1:17" s="225" customFormat="1" ht="10.5" x14ac:dyDescent="0.25">
      <c r="A4877" s="229"/>
      <c r="B4877" s="230" t="s">
        <v>1838</v>
      </c>
      <c r="C4877" s="177"/>
      <c r="D4877" s="178"/>
      <c r="E4877" s="178">
        <f>E4896</f>
        <v>2.44</v>
      </c>
      <c r="F4877" s="178">
        <f>F4896</f>
        <v>2.44</v>
      </c>
      <c r="G4877" s="178"/>
      <c r="H4877" s="178">
        <v>0.05</v>
      </c>
      <c r="I4877" s="178"/>
      <c r="J4877" s="178"/>
      <c r="K4877" s="178"/>
      <c r="L4877" s="178"/>
      <c r="M4877" s="178">
        <f>M4896</f>
        <v>10</v>
      </c>
      <c r="N4877" s="200"/>
      <c r="O4877" s="178">
        <f>M4877*E4877*F4877*H4877</f>
        <v>2.9767999999999999</v>
      </c>
      <c r="P4877" s="231"/>
      <c r="Q4877" s="224"/>
    </row>
    <row r="4878" spans="1:17" s="225" customFormat="1" ht="10.5" x14ac:dyDescent="0.25">
      <c r="A4878" s="229"/>
      <c r="B4878" s="230" t="s">
        <v>1839</v>
      </c>
      <c r="C4878" s="177"/>
      <c r="D4878" s="178"/>
      <c r="E4878" s="178">
        <f>F4897</f>
        <v>2.2000000000000002</v>
      </c>
      <c r="F4878" s="178">
        <f>F4897</f>
        <v>2.2000000000000002</v>
      </c>
      <c r="G4878" s="178"/>
      <c r="H4878" s="178">
        <v>0.35</v>
      </c>
      <c r="I4878" s="178"/>
      <c r="J4878" s="178"/>
      <c r="K4878" s="178"/>
      <c r="L4878" s="178"/>
      <c r="M4878" s="178">
        <f>M4897</f>
        <v>10</v>
      </c>
      <c r="N4878" s="200"/>
      <c r="O4878" s="178">
        <f>M4878*E4878*F4878*H4878</f>
        <v>16.940000000000001</v>
      </c>
      <c r="P4878" s="231"/>
      <c r="Q4878" s="224"/>
    </row>
    <row r="4879" spans="1:17" s="225" customFormat="1" ht="10.5" x14ac:dyDescent="0.25">
      <c r="A4879" s="229"/>
      <c r="B4879" s="230"/>
      <c r="C4879" s="177"/>
      <c r="D4879" s="178"/>
      <c r="E4879" s="178"/>
      <c r="F4879" s="178"/>
      <c r="G4879" s="178"/>
      <c r="H4879" s="178"/>
      <c r="I4879" s="178"/>
      <c r="J4879" s="178"/>
      <c r="K4879" s="178"/>
      <c r="L4879" s="178"/>
      <c r="M4879" s="178"/>
      <c r="N4879" s="200"/>
      <c r="O4879" s="178"/>
      <c r="P4879" s="231"/>
      <c r="Q4879" s="224"/>
    </row>
    <row r="4880" spans="1:17" s="225" customFormat="1" ht="10.5" x14ac:dyDescent="0.25">
      <c r="A4880" s="229"/>
      <c r="B4880" s="232" t="s">
        <v>5</v>
      </c>
      <c r="C4880" s="182" t="s">
        <v>1328</v>
      </c>
      <c r="D4880" s="182"/>
      <c r="E4880" s="182"/>
      <c r="F4880" s="182"/>
      <c r="G4880" s="182"/>
      <c r="H4880" s="182"/>
      <c r="I4880" s="182"/>
      <c r="J4880" s="182"/>
      <c r="K4880" s="178"/>
      <c r="L4880" s="182"/>
      <c r="M4880" s="182"/>
      <c r="N4880" s="177"/>
      <c r="O4880" s="177">
        <f>SUM(O4867:O4879)</f>
        <v>39.420160000000003</v>
      </c>
      <c r="P4880" s="233"/>
      <c r="Q4880" s="224"/>
    </row>
    <row r="4881" spans="1:17" s="228" customFormat="1" ht="42" x14ac:dyDescent="0.25">
      <c r="A4881" s="226" t="str">
        <f>ORÇAMENTO!A908</f>
        <v>7.1.2.7.5</v>
      </c>
      <c r="B4881" s="227" t="str">
        <f>VLOOKUP(A4881,ORÇAMENTO!A:K,4,0)</f>
        <v>CONCRETO FCK = 25MPA, TRAÇO 1:2,3:2,7 (EM MASSA SECA DE CIMENTO/ AREIA MÉDIA/ BRITA 1) - PREPARO MECÂNICO COM BETONEIRA 600 L. AF_05/2021</v>
      </c>
      <c r="C4881" s="173" t="str">
        <f>VLOOKUP(A4881,ORÇAMENTO!A:K,5,0)</f>
        <v>M³</v>
      </c>
      <c r="D4881" s="173">
        <f>ROUND(SUM(E4900:O4900),2)</f>
        <v>102.3</v>
      </c>
      <c r="E4881" s="173" t="s">
        <v>1718</v>
      </c>
      <c r="F4881" s="173" t="s">
        <v>1719</v>
      </c>
      <c r="G4881" s="173" t="s">
        <v>1720</v>
      </c>
      <c r="H4881" s="173" t="s">
        <v>1721</v>
      </c>
      <c r="I4881" s="173" t="s">
        <v>1722</v>
      </c>
      <c r="J4881" s="173" t="s">
        <v>1723</v>
      </c>
      <c r="K4881" s="173" t="s">
        <v>1724</v>
      </c>
      <c r="L4881" s="173" t="s">
        <v>1804</v>
      </c>
      <c r="M4881" s="173" t="s">
        <v>1726</v>
      </c>
      <c r="N4881" s="173" t="s">
        <v>1809</v>
      </c>
      <c r="O4881" s="173" t="s">
        <v>1728</v>
      </c>
      <c r="P4881" s="224"/>
      <c r="Q4881" s="224"/>
    </row>
    <row r="4882" spans="1:17" s="225" customFormat="1" ht="10.5" x14ac:dyDescent="0.25">
      <c r="A4882" s="229"/>
      <c r="B4882" s="230" t="str">
        <f>B4861</f>
        <v>CONFORME DESENHO TIPO</v>
      </c>
      <c r="C4882" s="184"/>
      <c r="D4882" s="185"/>
      <c r="E4882" s="185"/>
      <c r="F4882" s="185"/>
      <c r="G4882" s="185"/>
      <c r="H4882" s="185"/>
      <c r="I4882" s="185"/>
      <c r="J4882" s="185"/>
      <c r="K4882" s="185"/>
      <c r="L4882" s="185"/>
      <c r="M4882" s="185"/>
      <c r="N4882" s="205"/>
      <c r="O4882" s="185"/>
      <c r="P4882" s="231"/>
      <c r="Q4882" s="224"/>
    </row>
    <row r="4883" spans="1:17" s="228" customFormat="1" ht="10.5" x14ac:dyDescent="0.25">
      <c r="A4883" s="239"/>
      <c r="B4883" s="232" t="str">
        <f>B4856</f>
        <v>PV DN 600</v>
      </c>
      <c r="C4883" s="184"/>
      <c r="D4883" s="184"/>
      <c r="E4883" s="184">
        <f>E4862</f>
        <v>1.08</v>
      </c>
      <c r="F4883" s="184">
        <f>F4862</f>
        <v>1.08</v>
      </c>
      <c r="G4883" s="184"/>
      <c r="H4883" s="184"/>
      <c r="I4883" s="184"/>
      <c r="J4883" s="184"/>
      <c r="K4883" s="184"/>
      <c r="L4883" s="184"/>
      <c r="M4883" s="184"/>
      <c r="N4883" s="206"/>
      <c r="O4883" s="184"/>
      <c r="P4883" s="231"/>
      <c r="Q4883" s="224"/>
    </row>
    <row r="4884" spans="1:17" s="225" customFormat="1" ht="10.5" x14ac:dyDescent="0.25">
      <c r="A4884" s="229"/>
      <c r="B4884" s="230" t="s">
        <v>1840</v>
      </c>
      <c r="C4884" s="184"/>
      <c r="D4884" s="185"/>
      <c r="E4884" s="185">
        <f>E4883</f>
        <v>1.08</v>
      </c>
      <c r="F4884" s="185">
        <f>F4883</f>
        <v>1.08</v>
      </c>
      <c r="G4884" s="185"/>
      <c r="H4884" s="185">
        <v>0.1</v>
      </c>
      <c r="I4884" s="185"/>
      <c r="J4884" s="185"/>
      <c r="K4884" s="185"/>
      <c r="L4884" s="185"/>
      <c r="M4884" s="185">
        <f>M4856</f>
        <v>4</v>
      </c>
      <c r="N4884" s="205"/>
      <c r="O4884" s="185">
        <f>E4884*F4884*H4884*M4884</f>
        <v>0.46656000000000009</v>
      </c>
      <c r="P4884" s="231"/>
      <c r="Q4884" s="224"/>
    </row>
    <row r="4885" spans="1:17" s="228" customFormat="1" ht="10.5" x14ac:dyDescent="0.25">
      <c r="A4885" s="239"/>
      <c r="B4885" s="232" t="str">
        <f>B4857</f>
        <v>PV DN 800</v>
      </c>
      <c r="C4885" s="184"/>
      <c r="D4885" s="184"/>
      <c r="E4885" s="184">
        <f>E4863</f>
        <v>1.5</v>
      </c>
      <c r="F4885" s="184">
        <f>F4863</f>
        <v>1.5</v>
      </c>
      <c r="G4885" s="184"/>
      <c r="H4885" s="184"/>
      <c r="I4885" s="184"/>
      <c r="J4885" s="184"/>
      <c r="K4885" s="184"/>
      <c r="L4885" s="184"/>
      <c r="M4885" s="184"/>
      <c r="N4885" s="206"/>
      <c r="O4885" s="184"/>
      <c r="P4885" s="231"/>
      <c r="Q4885" s="224"/>
    </row>
    <row r="4886" spans="1:17" s="225" customFormat="1" ht="10.5" x14ac:dyDescent="0.25">
      <c r="A4886" s="229"/>
      <c r="B4886" s="230" t="s">
        <v>1840</v>
      </c>
      <c r="C4886" s="184"/>
      <c r="D4886" s="185"/>
      <c r="E4886" s="185">
        <f>E4885</f>
        <v>1.5</v>
      </c>
      <c r="F4886" s="185">
        <f>F4885</f>
        <v>1.5</v>
      </c>
      <c r="G4886" s="185"/>
      <c r="H4886" s="185">
        <v>0.1</v>
      </c>
      <c r="I4886" s="185"/>
      <c r="J4886" s="185"/>
      <c r="K4886" s="185"/>
      <c r="L4886" s="185"/>
      <c r="M4886" s="185">
        <f>M4857</f>
        <v>4</v>
      </c>
      <c r="N4886" s="205"/>
      <c r="O4886" s="185">
        <f>E4886*F4886*H4886*M4886</f>
        <v>0.9</v>
      </c>
      <c r="P4886" s="231"/>
      <c r="Q4886" s="224"/>
    </row>
    <row r="4887" spans="1:17" s="228" customFormat="1" ht="10.5" x14ac:dyDescent="0.25">
      <c r="A4887" s="239"/>
      <c r="B4887" s="232" t="str">
        <f>B4868</f>
        <v>PV DN 1000</v>
      </c>
      <c r="C4887" s="184"/>
      <c r="D4887" s="184"/>
      <c r="E4887" s="184">
        <v>1.74</v>
      </c>
      <c r="F4887" s="184">
        <v>1.74</v>
      </c>
      <c r="G4887" s="184"/>
      <c r="H4887" s="184"/>
      <c r="I4887" s="184"/>
      <c r="J4887" s="184"/>
      <c r="K4887" s="184"/>
      <c r="L4887" s="184"/>
      <c r="M4887" s="184"/>
      <c r="N4887" s="206"/>
      <c r="O4887" s="184"/>
      <c r="P4887" s="231"/>
      <c r="Q4887" s="224"/>
    </row>
    <row r="4888" spans="1:17" s="225" customFormat="1" ht="10.5" x14ac:dyDescent="0.25">
      <c r="A4888" s="229"/>
      <c r="B4888" s="230" t="s">
        <v>1840</v>
      </c>
      <c r="C4888" s="184"/>
      <c r="D4888" s="185"/>
      <c r="E4888" s="185">
        <f>E4887</f>
        <v>1.74</v>
      </c>
      <c r="F4888" s="185">
        <f>F4887</f>
        <v>1.74</v>
      </c>
      <c r="G4888" s="185"/>
      <c r="H4888" s="185">
        <v>0.1</v>
      </c>
      <c r="I4888" s="185"/>
      <c r="J4888" s="185"/>
      <c r="K4888" s="185"/>
      <c r="L4888" s="185"/>
      <c r="M4888" s="185">
        <f>M4849</f>
        <v>12</v>
      </c>
      <c r="N4888" s="205"/>
      <c r="O4888" s="185">
        <f>E4888*F4888*H4888*M4888</f>
        <v>3.6331200000000003</v>
      </c>
      <c r="P4888" s="231"/>
      <c r="Q4888" s="224"/>
    </row>
    <row r="4889" spans="1:17" s="225" customFormat="1" ht="10.5" x14ac:dyDescent="0.25">
      <c r="A4889" s="229"/>
      <c r="B4889" s="230" t="s">
        <v>1841</v>
      </c>
      <c r="C4889" s="177"/>
      <c r="D4889" s="178"/>
      <c r="E4889" s="178">
        <f>E4888</f>
        <v>1.74</v>
      </c>
      <c r="F4889" s="178">
        <f>F4888-2*H4889</f>
        <v>1.5</v>
      </c>
      <c r="G4889" s="178">
        <v>2</v>
      </c>
      <c r="H4889" s="178">
        <v>0.12</v>
      </c>
      <c r="I4889" s="178">
        <f>2*(E4889+F4889)</f>
        <v>6.48</v>
      </c>
      <c r="J4889" s="178"/>
      <c r="K4889" s="178"/>
      <c r="L4889" s="178"/>
      <c r="M4889" s="178">
        <f>M4888</f>
        <v>12</v>
      </c>
      <c r="N4889" s="200"/>
      <c r="O4889" s="178">
        <f>M4889*I4889*G4889*H4889</f>
        <v>18.662400000000002</v>
      </c>
      <c r="P4889" s="231"/>
      <c r="Q4889" s="224"/>
    </row>
    <row r="4890" spans="1:17" s="225" customFormat="1" ht="10.5" x14ac:dyDescent="0.25">
      <c r="A4890" s="229"/>
      <c r="B4890" s="230" t="s">
        <v>1823</v>
      </c>
      <c r="C4890" s="177"/>
      <c r="D4890" s="178"/>
      <c r="E4890" s="178">
        <f>F4889</f>
        <v>1.5</v>
      </c>
      <c r="F4890" s="178">
        <f>F4889</f>
        <v>1.5</v>
      </c>
      <c r="G4890" s="178"/>
      <c r="H4890" s="178">
        <v>0.35</v>
      </c>
      <c r="I4890" s="178"/>
      <c r="J4890" s="178"/>
      <c r="K4890" s="178"/>
      <c r="L4890" s="178"/>
      <c r="M4890" s="178">
        <f>M4889</f>
        <v>12</v>
      </c>
      <c r="N4890" s="200"/>
      <c r="O4890" s="178">
        <f>M4890*H4890*F4890*E4890</f>
        <v>9.4499999999999993</v>
      </c>
      <c r="P4890" s="231"/>
      <c r="Q4890" s="224"/>
    </row>
    <row r="4891" spans="1:17" s="228" customFormat="1" ht="10.5" x14ac:dyDescent="0.25">
      <c r="A4891" s="239"/>
      <c r="B4891" s="232" t="str">
        <f>B4872</f>
        <v>PV DN 1200</v>
      </c>
      <c r="C4891" s="184"/>
      <c r="D4891" s="184"/>
      <c r="E4891" s="184">
        <v>2.04</v>
      </c>
      <c r="F4891" s="184">
        <v>2.04</v>
      </c>
      <c r="G4891" s="184"/>
      <c r="H4891" s="184"/>
      <c r="I4891" s="184"/>
      <c r="J4891" s="184"/>
      <c r="K4891" s="184"/>
      <c r="L4891" s="184"/>
      <c r="M4891" s="184"/>
      <c r="N4891" s="206"/>
      <c r="O4891" s="184"/>
      <c r="P4891" s="231"/>
      <c r="Q4891" s="224"/>
    </row>
    <row r="4892" spans="1:17" s="225" customFormat="1" ht="10.5" x14ac:dyDescent="0.25">
      <c r="A4892" s="229"/>
      <c r="B4892" s="230" t="s">
        <v>1840</v>
      </c>
      <c r="C4892" s="184"/>
      <c r="D4892" s="185"/>
      <c r="E4892" s="185">
        <f>E4891</f>
        <v>2.04</v>
      </c>
      <c r="F4892" s="185">
        <f>F4891</f>
        <v>2.04</v>
      </c>
      <c r="G4892" s="185"/>
      <c r="H4892" s="185">
        <v>0.1</v>
      </c>
      <c r="I4892" s="185"/>
      <c r="J4892" s="185"/>
      <c r="K4892" s="185"/>
      <c r="L4892" s="185"/>
      <c r="M4892" s="185">
        <f>M4873</f>
        <v>10</v>
      </c>
      <c r="N4892" s="205"/>
      <c r="O4892" s="185">
        <f>E4892*F4892*H4892*M4892</f>
        <v>4.1616</v>
      </c>
      <c r="P4892" s="231"/>
      <c r="Q4892" s="224"/>
    </row>
    <row r="4893" spans="1:17" s="225" customFormat="1" ht="10.5" x14ac:dyDescent="0.25">
      <c r="A4893" s="229"/>
      <c r="B4893" s="230" t="s">
        <v>1841</v>
      </c>
      <c r="C4893" s="177"/>
      <c r="D4893" s="178"/>
      <c r="E4893" s="178">
        <f>E4892</f>
        <v>2.04</v>
      </c>
      <c r="F4893" s="178">
        <f>F4892-2*H4893</f>
        <v>1.8</v>
      </c>
      <c r="G4893" s="178">
        <v>2</v>
      </c>
      <c r="H4893" s="178">
        <v>0.12</v>
      </c>
      <c r="I4893" s="178">
        <f>2*(E4893+F4893)</f>
        <v>7.68</v>
      </c>
      <c r="J4893" s="178"/>
      <c r="K4893" s="178"/>
      <c r="L4893" s="178"/>
      <c r="M4893" s="178">
        <f>M4892</f>
        <v>10</v>
      </c>
      <c r="N4893" s="200"/>
      <c r="O4893" s="178">
        <f>M4893*I4893*G4893*H4893</f>
        <v>18.431999999999999</v>
      </c>
      <c r="P4893" s="231"/>
      <c r="Q4893" s="224"/>
    </row>
    <row r="4894" spans="1:17" s="225" customFormat="1" ht="10.5" x14ac:dyDescent="0.25">
      <c r="A4894" s="229"/>
      <c r="B4894" s="230" t="s">
        <v>1823</v>
      </c>
      <c r="C4894" s="177"/>
      <c r="D4894" s="178"/>
      <c r="E4894" s="178">
        <f>F4893</f>
        <v>1.8</v>
      </c>
      <c r="F4894" s="178">
        <f>F4893</f>
        <v>1.8</v>
      </c>
      <c r="G4894" s="178"/>
      <c r="H4894" s="178">
        <v>0.28000000000000003</v>
      </c>
      <c r="I4894" s="178"/>
      <c r="J4894" s="178"/>
      <c r="K4894" s="178"/>
      <c r="L4894" s="178"/>
      <c r="M4894" s="178">
        <f>M4893</f>
        <v>10</v>
      </c>
      <c r="N4894" s="200"/>
      <c r="O4894" s="178">
        <f>M4894*H4894*F4894*E4894</f>
        <v>9.0720000000000027</v>
      </c>
      <c r="P4894" s="231"/>
      <c r="Q4894" s="224"/>
    </row>
    <row r="4895" spans="1:17" s="228" customFormat="1" ht="10.5" x14ac:dyDescent="0.25">
      <c r="A4895" s="239"/>
      <c r="B4895" s="232" t="str">
        <f>B4876</f>
        <v>PV DN 1500</v>
      </c>
      <c r="C4895" s="184"/>
      <c r="D4895" s="184"/>
      <c r="E4895" s="184">
        <v>2.44</v>
      </c>
      <c r="F4895" s="184">
        <v>2.44</v>
      </c>
      <c r="G4895" s="184"/>
      <c r="H4895" s="184"/>
      <c r="I4895" s="184"/>
      <c r="J4895" s="184"/>
      <c r="K4895" s="184"/>
      <c r="L4895" s="184"/>
      <c r="M4895" s="184"/>
      <c r="N4895" s="206"/>
      <c r="O4895" s="184"/>
      <c r="P4895" s="231"/>
      <c r="Q4895" s="224"/>
    </row>
    <row r="4896" spans="1:17" s="225" customFormat="1" ht="10.5" x14ac:dyDescent="0.25">
      <c r="A4896" s="229"/>
      <c r="B4896" s="230" t="s">
        <v>1840</v>
      </c>
      <c r="C4896" s="184"/>
      <c r="D4896" s="185"/>
      <c r="E4896" s="185">
        <f>E4895</f>
        <v>2.44</v>
      </c>
      <c r="F4896" s="185">
        <f>F4895</f>
        <v>2.44</v>
      </c>
      <c r="G4896" s="185"/>
      <c r="H4896" s="185">
        <v>0.1</v>
      </c>
      <c r="I4896" s="185"/>
      <c r="J4896" s="185"/>
      <c r="K4896" s="185"/>
      <c r="L4896" s="185"/>
      <c r="M4896" s="185">
        <f>M4851</f>
        <v>10</v>
      </c>
      <c r="N4896" s="205"/>
      <c r="O4896" s="185">
        <f>E4896*F4896*H4896*M4896</f>
        <v>5.9535999999999998</v>
      </c>
      <c r="P4896" s="231"/>
      <c r="Q4896" s="224"/>
    </row>
    <row r="4897" spans="1:17" s="225" customFormat="1" ht="10.5" x14ac:dyDescent="0.25">
      <c r="A4897" s="229"/>
      <c r="B4897" s="230" t="s">
        <v>1841</v>
      </c>
      <c r="C4897" s="184"/>
      <c r="D4897" s="185"/>
      <c r="E4897" s="185">
        <f>E4896</f>
        <v>2.44</v>
      </c>
      <c r="F4897" s="185">
        <f>F4896-2*H4897</f>
        <v>2.2000000000000002</v>
      </c>
      <c r="G4897" s="185">
        <v>2.4</v>
      </c>
      <c r="H4897" s="185">
        <v>0.12</v>
      </c>
      <c r="I4897" s="185">
        <f>2*(E4897+F4897)</f>
        <v>9.2800000000000011</v>
      </c>
      <c r="J4897" s="185"/>
      <c r="K4897" s="185"/>
      <c r="L4897" s="185"/>
      <c r="M4897" s="185">
        <f>M4896</f>
        <v>10</v>
      </c>
      <c r="N4897" s="205"/>
      <c r="O4897" s="185">
        <f>M4897*I4897*G4897*H4897</f>
        <v>26.726400000000002</v>
      </c>
      <c r="P4897" s="231"/>
      <c r="Q4897" s="224"/>
    </row>
    <row r="4898" spans="1:17" s="225" customFormat="1" ht="10.5" x14ac:dyDescent="0.25">
      <c r="A4898" s="229"/>
      <c r="B4898" s="230" t="s">
        <v>1823</v>
      </c>
      <c r="C4898" s="184"/>
      <c r="D4898" s="185"/>
      <c r="E4898" s="185">
        <f>F4897</f>
        <v>2.2000000000000002</v>
      </c>
      <c r="F4898" s="185">
        <f>F4897</f>
        <v>2.2000000000000002</v>
      </c>
      <c r="G4898" s="185"/>
      <c r="H4898" s="185">
        <v>0.1</v>
      </c>
      <c r="I4898" s="185"/>
      <c r="J4898" s="185"/>
      <c r="K4898" s="185"/>
      <c r="L4898" s="185"/>
      <c r="M4898" s="185">
        <f>M4897</f>
        <v>10</v>
      </c>
      <c r="N4898" s="205"/>
      <c r="O4898" s="185">
        <f>M4898*H4898*F4898*E4898</f>
        <v>4.8400000000000007</v>
      </c>
      <c r="P4898" s="231"/>
      <c r="Q4898" s="224"/>
    </row>
    <row r="4899" spans="1:17" s="225" customFormat="1" ht="10.5" x14ac:dyDescent="0.25">
      <c r="A4899" s="229"/>
      <c r="B4899" s="230"/>
      <c r="C4899" s="184"/>
      <c r="D4899" s="185"/>
      <c r="E4899" s="185"/>
      <c r="F4899" s="185"/>
      <c r="G4899" s="185"/>
      <c r="H4899" s="185"/>
      <c r="I4899" s="185"/>
      <c r="J4899" s="185"/>
      <c r="K4899" s="185"/>
      <c r="L4899" s="185"/>
      <c r="M4899" s="185"/>
      <c r="N4899" s="205"/>
      <c r="O4899" s="185"/>
      <c r="P4899" s="231"/>
      <c r="Q4899" s="224"/>
    </row>
    <row r="4900" spans="1:17" s="225" customFormat="1" ht="10.5" x14ac:dyDescent="0.25">
      <c r="A4900" s="229"/>
      <c r="B4900" s="232" t="s">
        <v>5</v>
      </c>
      <c r="C4900" s="182" t="s">
        <v>1328</v>
      </c>
      <c r="D4900" s="182"/>
      <c r="E4900" s="182"/>
      <c r="F4900" s="182"/>
      <c r="G4900" s="182"/>
      <c r="H4900" s="182"/>
      <c r="I4900" s="182"/>
      <c r="J4900" s="182"/>
      <c r="K4900" s="185"/>
      <c r="L4900" s="182"/>
      <c r="M4900" s="182"/>
      <c r="N4900" s="184"/>
      <c r="O4900" s="184">
        <f>SUM(O4882:O4899)</f>
        <v>102.29768</v>
      </c>
      <c r="P4900" s="233"/>
      <c r="Q4900" s="224"/>
    </row>
    <row r="4901" spans="1:17" s="228" customFormat="1" ht="31.5" x14ac:dyDescent="0.25">
      <c r="A4901" s="226" t="str">
        <f>ORÇAMENTO!A909</f>
        <v>7.1.2.7.6</v>
      </c>
      <c r="B4901" s="227" t="str">
        <f>VLOOKUP(A4901,ORÇAMENTO!A:K,4,0)</f>
        <v>FÔRMAS DE TÁBUAS DE PINHO PARA DISPOSITIVOS DE DRENAGEM - UTILIZAÇÃO DE 3 VEZES - CONFECÇÃO, INSTALAÇÃO E RETIRADA</v>
      </c>
      <c r="C4901" s="173" t="str">
        <f>VLOOKUP(A4901,ORÇAMENTO!A:K,5,0)</f>
        <v>M²</v>
      </c>
      <c r="D4901" s="173">
        <f>ROUND(SUM(E4920:O4920),2)</f>
        <v>1270.72</v>
      </c>
      <c r="E4901" s="173" t="s">
        <v>1718</v>
      </c>
      <c r="F4901" s="173" t="s">
        <v>1719</v>
      </c>
      <c r="G4901" s="173" t="s">
        <v>1720</v>
      </c>
      <c r="H4901" s="173" t="s">
        <v>1721</v>
      </c>
      <c r="I4901" s="173" t="s">
        <v>1722</v>
      </c>
      <c r="J4901" s="173" t="s">
        <v>1723</v>
      </c>
      <c r="K4901" s="173" t="s">
        <v>1724</v>
      </c>
      <c r="L4901" s="173" t="s">
        <v>1804</v>
      </c>
      <c r="M4901" s="173" t="s">
        <v>1726</v>
      </c>
      <c r="N4901" s="173" t="s">
        <v>1826</v>
      </c>
      <c r="O4901" s="173" t="s">
        <v>1728</v>
      </c>
      <c r="P4901" s="224"/>
      <c r="Q4901" s="224"/>
    </row>
    <row r="4902" spans="1:17" s="225" customFormat="1" ht="10.5" x14ac:dyDescent="0.25">
      <c r="A4902" s="229"/>
      <c r="B4902" s="230"/>
      <c r="C4902" s="184"/>
      <c r="D4902" s="185"/>
      <c r="E4902" s="185"/>
      <c r="F4902" s="185"/>
      <c r="G4902" s="185"/>
      <c r="H4902" s="185"/>
      <c r="I4902" s="185"/>
      <c r="J4902" s="185"/>
      <c r="K4902" s="185"/>
      <c r="L4902" s="185"/>
      <c r="M4902" s="185"/>
      <c r="N4902" s="205"/>
      <c r="O4902" s="185"/>
      <c r="P4902" s="231"/>
      <c r="Q4902" s="224"/>
    </row>
    <row r="4903" spans="1:17" s="228" customFormat="1" ht="10.5" x14ac:dyDescent="0.25">
      <c r="A4903" s="239"/>
      <c r="B4903" s="232" t="str">
        <f t="shared" ref="B4903:B4918" si="164">B4883</f>
        <v>PV DN 600</v>
      </c>
      <c r="C4903" s="184"/>
      <c r="D4903" s="184"/>
      <c r="E4903" s="184">
        <f t="shared" ref="E4903:F4918" si="165">E4883</f>
        <v>1.08</v>
      </c>
      <c r="F4903" s="184">
        <f t="shared" si="165"/>
        <v>1.08</v>
      </c>
      <c r="G4903" s="184"/>
      <c r="H4903" s="184"/>
      <c r="I4903" s="184"/>
      <c r="J4903" s="184"/>
      <c r="K4903" s="184"/>
      <c r="L4903" s="184"/>
      <c r="M4903" s="184"/>
      <c r="N4903" s="206"/>
      <c r="O4903" s="184"/>
      <c r="P4903" s="231"/>
      <c r="Q4903" s="224"/>
    </row>
    <row r="4904" spans="1:17" s="225" customFormat="1" ht="10.5" x14ac:dyDescent="0.25">
      <c r="A4904" s="229"/>
      <c r="B4904" s="230" t="str">
        <f t="shared" si="164"/>
        <v>TAMPA</v>
      </c>
      <c r="C4904" s="184"/>
      <c r="D4904" s="185"/>
      <c r="E4904" s="185">
        <f t="shared" si="165"/>
        <v>1.08</v>
      </c>
      <c r="F4904" s="185">
        <f t="shared" si="165"/>
        <v>1.08</v>
      </c>
      <c r="G4904" s="185"/>
      <c r="H4904" s="185">
        <f>H4884</f>
        <v>0.1</v>
      </c>
      <c r="I4904" s="185">
        <f>2*(E4904+F4904)</f>
        <v>4.32</v>
      </c>
      <c r="J4904" s="185"/>
      <c r="K4904" s="185"/>
      <c r="L4904" s="185"/>
      <c r="M4904" s="185">
        <f>M4884</f>
        <v>4</v>
      </c>
      <c r="N4904" s="205">
        <f>M4904*I4904*H4904+M4904*F4904*E4904</f>
        <v>6.3936000000000011</v>
      </c>
      <c r="O4904" s="185"/>
      <c r="P4904" s="231"/>
      <c r="Q4904" s="224"/>
    </row>
    <row r="4905" spans="1:17" s="225" customFormat="1" ht="10.5" x14ac:dyDescent="0.25">
      <c r="A4905" s="229"/>
      <c r="B4905" s="230" t="str">
        <f t="shared" si="164"/>
        <v>PV DN 800</v>
      </c>
      <c r="C4905" s="184"/>
      <c r="D4905" s="185"/>
      <c r="E4905" s="184">
        <f t="shared" si="165"/>
        <v>1.5</v>
      </c>
      <c r="F4905" s="184">
        <f t="shared" si="165"/>
        <v>1.5</v>
      </c>
      <c r="G4905" s="185"/>
      <c r="H4905" s="185"/>
      <c r="I4905" s="185"/>
      <c r="J4905" s="185"/>
      <c r="K4905" s="185"/>
      <c r="L4905" s="185"/>
      <c r="M4905" s="185"/>
      <c r="N4905" s="205"/>
      <c r="O4905" s="185"/>
      <c r="P4905" s="231"/>
      <c r="Q4905" s="224"/>
    </row>
    <row r="4906" spans="1:17" s="225" customFormat="1" ht="10.5" x14ac:dyDescent="0.25">
      <c r="A4906" s="229"/>
      <c r="B4906" s="230" t="str">
        <f t="shared" si="164"/>
        <v>TAMPA</v>
      </c>
      <c r="C4906" s="184"/>
      <c r="D4906" s="185"/>
      <c r="E4906" s="185">
        <f t="shared" si="165"/>
        <v>1.5</v>
      </c>
      <c r="F4906" s="185">
        <f t="shared" si="165"/>
        <v>1.5</v>
      </c>
      <c r="G4906" s="185"/>
      <c r="H4906" s="185"/>
      <c r="I4906" s="185"/>
      <c r="J4906" s="185"/>
      <c r="K4906" s="185"/>
      <c r="L4906" s="185"/>
      <c r="M4906" s="185">
        <f>M4886</f>
        <v>4</v>
      </c>
      <c r="N4906" s="205">
        <f>M4906*I4906*H4906+M4906*F4906*E4906</f>
        <v>9</v>
      </c>
      <c r="O4906" s="185"/>
      <c r="P4906" s="231"/>
      <c r="Q4906" s="224"/>
    </row>
    <row r="4907" spans="1:17" s="228" customFormat="1" ht="10.5" x14ac:dyDescent="0.25">
      <c r="A4907" s="239"/>
      <c r="B4907" s="232" t="str">
        <f t="shared" si="164"/>
        <v>PV DN 1000</v>
      </c>
      <c r="C4907" s="184"/>
      <c r="D4907" s="184"/>
      <c r="E4907" s="184">
        <f t="shared" si="165"/>
        <v>1.74</v>
      </c>
      <c r="F4907" s="184">
        <f t="shared" si="165"/>
        <v>1.74</v>
      </c>
      <c r="G4907" s="184"/>
      <c r="H4907" s="184"/>
      <c r="I4907" s="184"/>
      <c r="J4907" s="184"/>
      <c r="K4907" s="184"/>
      <c r="L4907" s="184"/>
      <c r="M4907" s="184"/>
      <c r="N4907" s="206"/>
      <c r="O4907" s="184"/>
      <c r="P4907" s="231"/>
      <c r="Q4907" s="224"/>
    </row>
    <row r="4908" spans="1:17" s="225" customFormat="1" ht="10.5" x14ac:dyDescent="0.25">
      <c r="A4908" s="229"/>
      <c r="B4908" s="230" t="str">
        <f t="shared" si="164"/>
        <v>TAMPA</v>
      </c>
      <c r="C4908" s="184"/>
      <c r="D4908" s="185"/>
      <c r="E4908" s="185">
        <f t="shared" si="165"/>
        <v>1.74</v>
      </c>
      <c r="F4908" s="185">
        <f t="shared" si="165"/>
        <v>1.74</v>
      </c>
      <c r="G4908" s="185"/>
      <c r="H4908" s="185"/>
      <c r="I4908" s="185"/>
      <c r="J4908" s="185"/>
      <c r="K4908" s="185"/>
      <c r="L4908" s="185"/>
      <c r="M4908" s="185">
        <f>M4888</f>
        <v>12</v>
      </c>
      <c r="N4908" s="205">
        <f>M4908*I4908*H4908+M4908*F4908*E4908</f>
        <v>36.331199999999995</v>
      </c>
      <c r="O4908" s="185"/>
      <c r="P4908" s="231"/>
      <c r="Q4908" s="224"/>
    </row>
    <row r="4909" spans="1:17" s="225" customFormat="1" ht="10.5" x14ac:dyDescent="0.25">
      <c r="A4909" s="229"/>
      <c r="B4909" s="230" t="str">
        <f t="shared" si="164"/>
        <v>PAREDES</v>
      </c>
      <c r="C4909" s="184"/>
      <c r="D4909" s="185"/>
      <c r="E4909" s="178">
        <f t="shared" si="165"/>
        <v>1.74</v>
      </c>
      <c r="F4909" s="178">
        <f t="shared" si="165"/>
        <v>1.5</v>
      </c>
      <c r="G4909" s="178">
        <f>G4889</f>
        <v>2</v>
      </c>
      <c r="H4909" s="178">
        <f>H4889</f>
        <v>0.12</v>
      </c>
      <c r="I4909" s="178">
        <f>I4889</f>
        <v>6.48</v>
      </c>
      <c r="J4909" s="185"/>
      <c r="K4909" s="185"/>
      <c r="L4909" s="185"/>
      <c r="M4909" s="185">
        <f>M4889</f>
        <v>12</v>
      </c>
      <c r="N4909" s="205">
        <f>2*M4909*I4909*G4909</f>
        <v>311.04000000000002</v>
      </c>
      <c r="O4909" s="185"/>
      <c r="P4909" s="231"/>
      <c r="Q4909" s="224"/>
    </row>
    <row r="4910" spans="1:17" s="225" customFormat="1" ht="10.5" x14ac:dyDescent="0.25">
      <c r="A4910" s="229"/>
      <c r="B4910" s="230" t="str">
        <f t="shared" si="164"/>
        <v>FUNDO</v>
      </c>
      <c r="C4910" s="184"/>
      <c r="D4910" s="185"/>
      <c r="E4910" s="178">
        <f t="shared" si="165"/>
        <v>1.5</v>
      </c>
      <c r="F4910" s="178">
        <f t="shared" si="165"/>
        <v>1.5</v>
      </c>
      <c r="G4910" s="185"/>
      <c r="H4910" s="185">
        <f>H4890</f>
        <v>0.35</v>
      </c>
      <c r="I4910" s="185">
        <f>2*(E4910+F4910)</f>
        <v>6</v>
      </c>
      <c r="J4910" s="185"/>
      <c r="K4910" s="185"/>
      <c r="L4910" s="185"/>
      <c r="M4910" s="185">
        <f>M4890</f>
        <v>12</v>
      </c>
      <c r="N4910" s="205">
        <f>M4910*I4910*H4910</f>
        <v>25.2</v>
      </c>
      <c r="O4910" s="185"/>
      <c r="P4910" s="231"/>
      <c r="Q4910" s="224"/>
    </row>
    <row r="4911" spans="1:17" s="228" customFormat="1" ht="10.5" x14ac:dyDescent="0.25">
      <c r="A4911" s="239"/>
      <c r="B4911" s="232" t="str">
        <f t="shared" si="164"/>
        <v>PV DN 1200</v>
      </c>
      <c r="C4911" s="184"/>
      <c r="D4911" s="184"/>
      <c r="E4911" s="184">
        <f t="shared" si="165"/>
        <v>2.04</v>
      </c>
      <c r="F4911" s="184">
        <f t="shared" si="165"/>
        <v>2.04</v>
      </c>
      <c r="G4911" s="184"/>
      <c r="H4911" s="184"/>
      <c r="I4911" s="184"/>
      <c r="J4911" s="184"/>
      <c r="K4911" s="184"/>
      <c r="L4911" s="184"/>
      <c r="M4911" s="184"/>
      <c r="N4911" s="206"/>
      <c r="O4911" s="184"/>
      <c r="P4911" s="231"/>
      <c r="Q4911" s="224"/>
    </row>
    <row r="4912" spans="1:17" s="225" customFormat="1" ht="10.5" x14ac:dyDescent="0.25">
      <c r="A4912" s="229"/>
      <c r="B4912" s="230" t="str">
        <f t="shared" si="164"/>
        <v>TAMPA</v>
      </c>
      <c r="C4912" s="184"/>
      <c r="D4912" s="185"/>
      <c r="E4912" s="185">
        <f t="shared" si="165"/>
        <v>2.04</v>
      </c>
      <c r="F4912" s="185">
        <f t="shared" si="165"/>
        <v>2.04</v>
      </c>
      <c r="G4912" s="185"/>
      <c r="H4912" s="185"/>
      <c r="I4912" s="185"/>
      <c r="J4912" s="185"/>
      <c r="K4912" s="185"/>
      <c r="L4912" s="185"/>
      <c r="M4912" s="185">
        <f>M4892</f>
        <v>10</v>
      </c>
      <c r="N4912" s="205">
        <f>M4912*I4912*H4912+M4912*F4912*E4912</f>
        <v>41.616</v>
      </c>
      <c r="O4912" s="185"/>
      <c r="P4912" s="231"/>
      <c r="Q4912" s="224"/>
    </row>
    <row r="4913" spans="1:17" s="225" customFormat="1" ht="10.5" x14ac:dyDescent="0.25">
      <c r="A4913" s="229"/>
      <c r="B4913" s="230" t="str">
        <f t="shared" si="164"/>
        <v>PAREDES</v>
      </c>
      <c r="C4913" s="184"/>
      <c r="D4913" s="185"/>
      <c r="E4913" s="178">
        <f t="shared" si="165"/>
        <v>2.04</v>
      </c>
      <c r="F4913" s="178">
        <f t="shared" si="165"/>
        <v>1.8</v>
      </c>
      <c r="G4913" s="178">
        <f>G4893</f>
        <v>2</v>
      </c>
      <c r="H4913" s="178">
        <f>H4893</f>
        <v>0.12</v>
      </c>
      <c r="I4913" s="178">
        <f>I4893</f>
        <v>7.68</v>
      </c>
      <c r="J4913" s="185"/>
      <c r="K4913" s="185"/>
      <c r="L4913" s="185"/>
      <c r="M4913" s="185">
        <f>M4893</f>
        <v>10</v>
      </c>
      <c r="N4913" s="205">
        <f>2*M4913*I4913*G4913</f>
        <v>307.2</v>
      </c>
      <c r="O4913" s="185"/>
      <c r="P4913" s="231"/>
      <c r="Q4913" s="224"/>
    </row>
    <row r="4914" spans="1:17" s="225" customFormat="1" ht="10.5" x14ac:dyDescent="0.25">
      <c r="A4914" s="229"/>
      <c r="B4914" s="230" t="str">
        <f t="shared" si="164"/>
        <v>FUNDO</v>
      </c>
      <c r="C4914" s="184"/>
      <c r="D4914" s="185"/>
      <c r="E4914" s="178">
        <f t="shared" si="165"/>
        <v>1.8</v>
      </c>
      <c r="F4914" s="178">
        <f t="shared" si="165"/>
        <v>1.8</v>
      </c>
      <c r="G4914" s="185"/>
      <c r="H4914" s="185">
        <f>H4894</f>
        <v>0.28000000000000003</v>
      </c>
      <c r="I4914" s="185">
        <f>2*(E4914+F4914)</f>
        <v>7.2</v>
      </c>
      <c r="J4914" s="185"/>
      <c r="K4914" s="185"/>
      <c r="L4914" s="185"/>
      <c r="M4914" s="185">
        <f>M4894</f>
        <v>10</v>
      </c>
      <c r="N4914" s="205">
        <f>M4914*I4914*H4914</f>
        <v>20.160000000000004</v>
      </c>
      <c r="O4914" s="185"/>
      <c r="P4914" s="231"/>
      <c r="Q4914" s="224"/>
    </row>
    <row r="4915" spans="1:17" s="228" customFormat="1" ht="10.5" x14ac:dyDescent="0.25">
      <c r="A4915" s="239"/>
      <c r="B4915" s="232" t="str">
        <f t="shared" si="164"/>
        <v>PV DN 1500</v>
      </c>
      <c r="C4915" s="184"/>
      <c r="D4915" s="184"/>
      <c r="E4915" s="184">
        <f t="shared" si="165"/>
        <v>2.44</v>
      </c>
      <c r="F4915" s="184">
        <f t="shared" si="165"/>
        <v>2.44</v>
      </c>
      <c r="G4915" s="184"/>
      <c r="H4915" s="184"/>
      <c r="I4915" s="184"/>
      <c r="J4915" s="184"/>
      <c r="K4915" s="184"/>
      <c r="L4915" s="184"/>
      <c r="M4915" s="184"/>
      <c r="N4915" s="206"/>
      <c r="O4915" s="184"/>
      <c r="P4915" s="231"/>
      <c r="Q4915" s="224"/>
    </row>
    <row r="4916" spans="1:17" s="225" customFormat="1" ht="10.5" x14ac:dyDescent="0.25">
      <c r="A4916" s="229"/>
      <c r="B4916" s="230" t="str">
        <f t="shared" si="164"/>
        <v>TAMPA</v>
      </c>
      <c r="C4916" s="184"/>
      <c r="D4916" s="185"/>
      <c r="E4916" s="185">
        <f t="shared" si="165"/>
        <v>2.44</v>
      </c>
      <c r="F4916" s="185">
        <f t="shared" si="165"/>
        <v>2.44</v>
      </c>
      <c r="G4916" s="185"/>
      <c r="H4916" s="185"/>
      <c r="I4916" s="185"/>
      <c r="J4916" s="185"/>
      <c r="K4916" s="185"/>
      <c r="L4916" s="185"/>
      <c r="M4916" s="185">
        <f>M4896</f>
        <v>10</v>
      </c>
      <c r="N4916" s="205">
        <f>M4916*I4916*H4916+M4916*F4916*E4916</f>
        <v>59.535999999999994</v>
      </c>
      <c r="O4916" s="185"/>
      <c r="P4916" s="231"/>
      <c r="Q4916" s="224"/>
    </row>
    <row r="4917" spans="1:17" s="225" customFormat="1" ht="10.5" x14ac:dyDescent="0.25">
      <c r="A4917" s="229"/>
      <c r="B4917" s="230" t="str">
        <f t="shared" si="164"/>
        <v>PAREDES</v>
      </c>
      <c r="C4917" s="184"/>
      <c r="D4917" s="185"/>
      <c r="E4917" s="185">
        <f t="shared" si="165"/>
        <v>2.44</v>
      </c>
      <c r="F4917" s="185">
        <f t="shared" si="165"/>
        <v>2.2000000000000002</v>
      </c>
      <c r="G4917" s="178">
        <f>G4897</f>
        <v>2.4</v>
      </c>
      <c r="H4917" s="178">
        <f>H4897</f>
        <v>0.12</v>
      </c>
      <c r="I4917" s="178">
        <f>I4897</f>
        <v>9.2800000000000011</v>
      </c>
      <c r="J4917" s="185"/>
      <c r="K4917" s="185"/>
      <c r="L4917" s="185"/>
      <c r="M4917" s="185">
        <f>M4897</f>
        <v>10</v>
      </c>
      <c r="N4917" s="205">
        <f>2*M4917*I4917*G4917</f>
        <v>445.44000000000005</v>
      </c>
      <c r="O4917" s="185"/>
      <c r="P4917" s="231"/>
      <c r="Q4917" s="224"/>
    </row>
    <row r="4918" spans="1:17" s="225" customFormat="1" ht="10.5" x14ac:dyDescent="0.25">
      <c r="A4918" s="229"/>
      <c r="B4918" s="230" t="str">
        <f t="shared" si="164"/>
        <v>FUNDO</v>
      </c>
      <c r="C4918" s="184"/>
      <c r="D4918" s="185"/>
      <c r="E4918" s="185">
        <f t="shared" si="165"/>
        <v>2.2000000000000002</v>
      </c>
      <c r="F4918" s="185">
        <f t="shared" si="165"/>
        <v>2.2000000000000002</v>
      </c>
      <c r="G4918" s="185"/>
      <c r="H4918" s="185">
        <f>H4898</f>
        <v>0.1</v>
      </c>
      <c r="I4918" s="185">
        <f>2*(E4918+F4918)</f>
        <v>8.8000000000000007</v>
      </c>
      <c r="J4918" s="185"/>
      <c r="K4918" s="185"/>
      <c r="L4918" s="185"/>
      <c r="M4918" s="185">
        <f>M4898</f>
        <v>10</v>
      </c>
      <c r="N4918" s="205">
        <f>M4918*I4918*H4918</f>
        <v>8.8000000000000007</v>
      </c>
      <c r="O4918" s="185"/>
      <c r="P4918" s="231"/>
      <c r="Q4918" s="224"/>
    </row>
    <row r="4919" spans="1:17" s="225" customFormat="1" ht="10.5" x14ac:dyDescent="0.25">
      <c r="A4919" s="229"/>
      <c r="B4919" s="230"/>
      <c r="C4919" s="184"/>
      <c r="D4919" s="185"/>
      <c r="E4919" s="185"/>
      <c r="F4919" s="185"/>
      <c r="G4919" s="185"/>
      <c r="H4919" s="185"/>
      <c r="I4919" s="185">
        <f>(137.5-4)/24</f>
        <v>5.5625</v>
      </c>
      <c r="J4919" s="185"/>
      <c r="K4919" s="185"/>
      <c r="L4919" s="185"/>
      <c r="M4919" s="185"/>
      <c r="N4919" s="205"/>
      <c r="O4919" s="185"/>
      <c r="P4919" s="231"/>
      <c r="Q4919" s="224"/>
    </row>
    <row r="4920" spans="1:17" s="225" customFormat="1" ht="10.5" x14ac:dyDescent="0.25">
      <c r="A4920" s="229"/>
      <c r="B4920" s="232" t="s">
        <v>5</v>
      </c>
      <c r="C4920" s="182" t="s">
        <v>1328</v>
      </c>
      <c r="D4920" s="182"/>
      <c r="E4920" s="182"/>
      <c r="F4920" s="182"/>
      <c r="G4920" s="182"/>
      <c r="H4920" s="182"/>
      <c r="I4920" s="182"/>
      <c r="J4920" s="182"/>
      <c r="K4920" s="184"/>
      <c r="L4920" s="182"/>
      <c r="M4920" s="182"/>
      <c r="N4920" s="184">
        <f>SUM(N4902:N4919)</f>
        <v>1270.7167999999999</v>
      </c>
      <c r="O4920" s="184"/>
      <c r="P4920" s="233"/>
      <c r="Q4920" s="224"/>
    </row>
    <row r="4921" spans="1:17" s="228" customFormat="1" ht="31.5" x14ac:dyDescent="0.25">
      <c r="A4921" s="226" t="str">
        <f>ORÇAMENTO!A910</f>
        <v>7.1.2.7.7</v>
      </c>
      <c r="B4921" s="227" t="str">
        <f>VLOOKUP(A4921,ORÇAMENTO!A:K,4,0)</f>
        <v>LANÇAMENTO COM USO DE BALDES, ADENSAMENTO E ACABAMENTO DE CONCRETO EM ESTRUTURAS. AF_02/2022</v>
      </c>
      <c r="C4921" s="173" t="str">
        <f>VLOOKUP(A4921,ORÇAMENTO!A:K,5,0)</f>
        <v>M³</v>
      </c>
      <c r="D4921" s="173">
        <f>ROUND(SUM(E4925:O4925),2)</f>
        <v>141.72</v>
      </c>
      <c r="E4921" s="173" t="s">
        <v>1718</v>
      </c>
      <c r="F4921" s="173" t="s">
        <v>1719</v>
      </c>
      <c r="G4921" s="173" t="s">
        <v>1720</v>
      </c>
      <c r="H4921" s="173" t="s">
        <v>1721</v>
      </c>
      <c r="I4921" s="173" t="s">
        <v>1722</v>
      </c>
      <c r="J4921" s="173" t="s">
        <v>1723</v>
      </c>
      <c r="K4921" s="173" t="s">
        <v>1724</v>
      </c>
      <c r="L4921" s="173" t="s">
        <v>1804</v>
      </c>
      <c r="M4921" s="173" t="s">
        <v>1726</v>
      </c>
      <c r="N4921" s="173" t="s">
        <v>1809</v>
      </c>
      <c r="O4921" s="173" t="s">
        <v>1728</v>
      </c>
      <c r="P4921" s="224"/>
      <c r="Q4921" s="224"/>
    </row>
    <row r="4922" spans="1:17" s="225" customFormat="1" ht="42" x14ac:dyDescent="0.25">
      <c r="A4922" s="229"/>
      <c r="B4922" s="230" t="str">
        <f>B4866</f>
        <v>CONCRETO FCK = 15MPA, TRAÇO 1:3,4:3,5 (EM MASSA SECA DE CIMENTO/ AREIA MÉDIA/ BRITA 1) - PREPARO MECÂNICO COM BETONEIRA 600 L. AF_05/2021</v>
      </c>
      <c r="C4922" s="184"/>
      <c r="D4922" s="185"/>
      <c r="E4922" s="185"/>
      <c r="F4922" s="185"/>
      <c r="G4922" s="185"/>
      <c r="H4922" s="185"/>
      <c r="I4922" s="185"/>
      <c r="J4922" s="185"/>
      <c r="K4922" s="185"/>
      <c r="L4922" s="185"/>
      <c r="M4922" s="185"/>
      <c r="N4922" s="205"/>
      <c r="O4922" s="185">
        <f>O4880</f>
        <v>39.420160000000003</v>
      </c>
      <c r="P4922" s="231"/>
      <c r="Q4922" s="224"/>
    </row>
    <row r="4923" spans="1:17" s="225" customFormat="1" ht="42" x14ac:dyDescent="0.25">
      <c r="A4923" s="229"/>
      <c r="B4923" s="230" t="str">
        <f>B4881</f>
        <v>CONCRETO FCK = 25MPA, TRAÇO 1:2,3:2,7 (EM MASSA SECA DE CIMENTO/ AREIA MÉDIA/ BRITA 1) - PREPARO MECÂNICO COM BETONEIRA 600 L. AF_05/2021</v>
      </c>
      <c r="C4923" s="184"/>
      <c r="D4923" s="185"/>
      <c r="E4923" s="185"/>
      <c r="F4923" s="185"/>
      <c r="G4923" s="185"/>
      <c r="H4923" s="185"/>
      <c r="I4923" s="185"/>
      <c r="J4923" s="185"/>
      <c r="K4923" s="185"/>
      <c r="L4923" s="185"/>
      <c r="M4923" s="185"/>
      <c r="N4923" s="205"/>
      <c r="O4923" s="185">
        <f>O4900</f>
        <v>102.29768</v>
      </c>
      <c r="P4923" s="231"/>
      <c r="Q4923" s="224"/>
    </row>
    <row r="4924" spans="1:17" s="225" customFormat="1" ht="10.5" x14ac:dyDescent="0.25">
      <c r="A4924" s="229"/>
      <c r="B4924" s="230"/>
      <c r="C4924" s="184"/>
      <c r="D4924" s="185"/>
      <c r="E4924" s="185"/>
      <c r="F4924" s="185"/>
      <c r="G4924" s="185"/>
      <c r="H4924" s="185"/>
      <c r="I4924" s="185"/>
      <c r="J4924" s="185"/>
      <c r="K4924" s="185"/>
      <c r="L4924" s="185"/>
      <c r="M4924" s="185"/>
      <c r="N4924" s="205"/>
      <c r="O4924" s="185"/>
      <c r="P4924" s="231"/>
      <c r="Q4924" s="224"/>
    </row>
    <row r="4925" spans="1:17" s="225" customFormat="1" ht="10.5" x14ac:dyDescent="0.25">
      <c r="A4925" s="229"/>
      <c r="B4925" s="232" t="s">
        <v>5</v>
      </c>
      <c r="C4925" s="182" t="s">
        <v>1328</v>
      </c>
      <c r="D4925" s="182"/>
      <c r="E4925" s="182"/>
      <c r="F4925" s="182"/>
      <c r="G4925" s="182"/>
      <c r="H4925" s="182"/>
      <c r="I4925" s="182"/>
      <c r="J4925" s="182"/>
      <c r="K4925" s="184"/>
      <c r="L4925" s="182"/>
      <c r="M4925" s="182"/>
      <c r="N4925" s="184"/>
      <c r="O4925" s="184">
        <f>SUM(O4922:O4924)</f>
        <v>141.71784</v>
      </c>
      <c r="P4925" s="233"/>
      <c r="Q4925" s="224"/>
    </row>
    <row r="4926" spans="1:17" s="228" customFormat="1" ht="21" x14ac:dyDescent="0.25">
      <c r="A4926" s="226" t="str">
        <f>ORÇAMENTO!A911</f>
        <v>7.1.2.7.8</v>
      </c>
      <c r="B4926" s="227" t="str">
        <f>VLOOKUP(A4926,ORÇAMENTO!A:K,4,0)</f>
        <v>ARMAÇÃO EM AÇO CA-50 - FORNECIMENTO, PREPARO E COLOCAÇÃO</v>
      </c>
      <c r="C4926" s="173" t="str">
        <f>VLOOKUP(A4926,ORÇAMENTO!A:K,5,0)</f>
        <v>KG</v>
      </c>
      <c r="D4926" s="173">
        <f>ROUND(SUM(E4934:O4934),2)</f>
        <v>5166.92</v>
      </c>
      <c r="E4926" s="173" t="s">
        <v>1718</v>
      </c>
      <c r="F4926" s="173" t="s">
        <v>1719</v>
      </c>
      <c r="G4926" s="173" t="s">
        <v>1720</v>
      </c>
      <c r="H4926" s="173" t="s">
        <v>1721</v>
      </c>
      <c r="I4926" s="173" t="s">
        <v>1722</v>
      </c>
      <c r="J4926" s="173" t="s">
        <v>1723</v>
      </c>
      <c r="K4926" s="173" t="s">
        <v>1724</v>
      </c>
      <c r="L4926" s="173" t="s">
        <v>1804</v>
      </c>
      <c r="M4926" s="173" t="s">
        <v>1726</v>
      </c>
      <c r="N4926" s="173" t="s">
        <v>1809</v>
      </c>
      <c r="O4926" s="173" t="s">
        <v>1728</v>
      </c>
      <c r="P4926" s="224"/>
      <c r="Q4926" s="224"/>
    </row>
    <row r="4927" spans="1:17" s="225" customFormat="1" ht="10.5" x14ac:dyDescent="0.25">
      <c r="A4927" s="229"/>
      <c r="B4927" s="230" t="str">
        <f>B4882</f>
        <v>CONFORME DESENHO TIPO</v>
      </c>
      <c r="C4927" s="184"/>
      <c r="D4927" s="185"/>
      <c r="E4927" s="185"/>
      <c r="F4927" s="185"/>
      <c r="G4927" s="185"/>
      <c r="H4927" s="185"/>
      <c r="I4927" s="185"/>
      <c r="J4927" s="185"/>
      <c r="K4927" s="185"/>
      <c r="L4927" s="185"/>
      <c r="M4927" s="185"/>
      <c r="N4927" s="205"/>
      <c r="O4927" s="185"/>
      <c r="P4927" s="231"/>
      <c r="Q4927" s="224"/>
    </row>
    <row r="4928" spans="1:17" s="225" customFormat="1" ht="10.5" x14ac:dyDescent="0.25">
      <c r="A4928" s="229"/>
      <c r="B4928" s="230" t="str">
        <f>B4883</f>
        <v>PV DN 600</v>
      </c>
      <c r="C4928" s="184"/>
      <c r="D4928" s="185"/>
      <c r="E4928" s="185"/>
      <c r="F4928" s="185"/>
      <c r="G4928" s="185"/>
      <c r="H4928" s="185"/>
      <c r="I4928" s="185"/>
      <c r="J4928" s="185"/>
      <c r="K4928" s="185">
        <f>6.33*M4928</f>
        <v>25.32</v>
      </c>
      <c r="L4928" s="185"/>
      <c r="M4928" s="185">
        <f>M4847</f>
        <v>4</v>
      </c>
      <c r="N4928" s="205"/>
      <c r="O4928" s="185"/>
      <c r="P4928" s="231"/>
      <c r="Q4928" s="224"/>
    </row>
    <row r="4929" spans="1:17" s="225" customFormat="1" ht="10.5" x14ac:dyDescent="0.25">
      <c r="A4929" s="229"/>
      <c r="B4929" s="230" t="str">
        <f>B4885</f>
        <v>PV DN 800</v>
      </c>
      <c r="C4929" s="184"/>
      <c r="D4929" s="185"/>
      <c r="E4929" s="185"/>
      <c r="F4929" s="185"/>
      <c r="G4929" s="185"/>
      <c r="H4929" s="185"/>
      <c r="I4929" s="185"/>
      <c r="J4929" s="185"/>
      <c r="K4929" s="185">
        <f>29.09*M4929</f>
        <v>116.36</v>
      </c>
      <c r="L4929" s="185"/>
      <c r="M4929" s="185">
        <f>M4848</f>
        <v>4</v>
      </c>
      <c r="N4929" s="205"/>
      <c r="O4929" s="185"/>
      <c r="P4929" s="231"/>
      <c r="Q4929" s="224"/>
    </row>
    <row r="4930" spans="1:17" s="225" customFormat="1" ht="10.5" x14ac:dyDescent="0.25">
      <c r="A4930" s="229"/>
      <c r="B4930" s="230" t="str">
        <f>B4887</f>
        <v>PV DN 1000</v>
      </c>
      <c r="C4930" s="184"/>
      <c r="D4930" s="185"/>
      <c r="E4930" s="185"/>
      <c r="F4930" s="185"/>
      <c r="G4930" s="185"/>
      <c r="H4930" s="185"/>
      <c r="I4930" s="185"/>
      <c r="J4930" s="185"/>
      <c r="K4930" s="185">
        <f>92.82*M4930</f>
        <v>1113.8399999999999</v>
      </c>
      <c r="L4930" s="185"/>
      <c r="M4930" s="185">
        <f>M4849</f>
        <v>12</v>
      </c>
      <c r="N4930" s="205"/>
      <c r="O4930" s="185"/>
      <c r="P4930" s="231"/>
      <c r="Q4930" s="224"/>
    </row>
    <row r="4931" spans="1:17" s="225" customFormat="1" ht="10.5" x14ac:dyDescent="0.25">
      <c r="A4931" s="229"/>
      <c r="B4931" s="230" t="str">
        <f>B4891</f>
        <v>PV DN 1200</v>
      </c>
      <c r="C4931" s="184"/>
      <c r="D4931" s="185"/>
      <c r="E4931" s="185"/>
      <c r="F4931" s="185"/>
      <c r="G4931" s="185"/>
      <c r="H4931" s="185"/>
      <c r="I4931" s="185"/>
      <c r="J4931" s="185"/>
      <c r="K4931" s="185">
        <f>154.06*M4931</f>
        <v>1540.6</v>
      </c>
      <c r="L4931" s="185"/>
      <c r="M4931" s="185">
        <f>M4850</f>
        <v>10</v>
      </c>
      <c r="N4931" s="205"/>
      <c r="O4931" s="185"/>
      <c r="P4931" s="231"/>
      <c r="Q4931" s="224"/>
    </row>
    <row r="4932" spans="1:17" s="225" customFormat="1" ht="10.5" x14ac:dyDescent="0.25">
      <c r="A4932" s="229"/>
      <c r="B4932" s="230" t="str">
        <f>B4895</f>
        <v>PV DN 1500</v>
      </c>
      <c r="C4932" s="184"/>
      <c r="D4932" s="185"/>
      <c r="E4932" s="185"/>
      <c r="F4932" s="185"/>
      <c r="G4932" s="185"/>
      <c r="H4932" s="185"/>
      <c r="I4932" s="185"/>
      <c r="J4932" s="185"/>
      <c r="K4932" s="185">
        <f>237.08*M4932</f>
        <v>2370.8000000000002</v>
      </c>
      <c r="L4932" s="185"/>
      <c r="M4932" s="185">
        <f>M4851</f>
        <v>10</v>
      </c>
      <c r="N4932" s="205"/>
      <c r="O4932" s="185"/>
      <c r="P4932" s="231"/>
      <c r="Q4932" s="224"/>
    </row>
    <row r="4933" spans="1:17" s="225" customFormat="1" ht="10.5" x14ac:dyDescent="0.25">
      <c r="A4933" s="229"/>
      <c r="B4933" s="230"/>
      <c r="C4933" s="184"/>
      <c r="D4933" s="185"/>
      <c r="E4933" s="185"/>
      <c r="F4933" s="185"/>
      <c r="G4933" s="185"/>
      <c r="H4933" s="185"/>
      <c r="I4933" s="185"/>
      <c r="J4933" s="185"/>
      <c r="K4933" s="185"/>
      <c r="L4933" s="185"/>
      <c r="M4933" s="185"/>
      <c r="N4933" s="205"/>
      <c r="O4933" s="185"/>
      <c r="P4933" s="231"/>
      <c r="Q4933" s="224"/>
    </row>
    <row r="4934" spans="1:17" s="225" customFormat="1" ht="10.5" x14ac:dyDescent="0.25">
      <c r="A4934" s="229"/>
      <c r="B4934" s="232" t="s">
        <v>5</v>
      </c>
      <c r="C4934" s="182" t="s">
        <v>1328</v>
      </c>
      <c r="D4934" s="182"/>
      <c r="E4934" s="182"/>
      <c r="F4934" s="182"/>
      <c r="G4934" s="182"/>
      <c r="H4934" s="182"/>
      <c r="I4934" s="182"/>
      <c r="J4934" s="182"/>
      <c r="K4934" s="184">
        <f>SUM(K4928:K4933)</f>
        <v>5166.92</v>
      </c>
      <c r="L4934" s="182"/>
      <c r="M4934" s="182"/>
      <c r="N4934" s="184"/>
      <c r="O4934" s="182"/>
      <c r="P4934" s="233"/>
      <c r="Q4934" s="224"/>
    </row>
    <row r="4935" spans="1:17" s="228" customFormat="1" ht="31.5" x14ac:dyDescent="0.25">
      <c r="A4935" s="226" t="str">
        <f>ORÇAMENTO!A912</f>
        <v>7.1.2.7.9</v>
      </c>
      <c r="B4935" s="227" t="str">
        <f>VLOOKUP(A4935,ORÇAMENTO!A:K,4,0)</f>
        <v>CHAMINÉ CIRCULAR PARA POÇO DE VISITA PARA DRENAGEM, EM CONCRETO PRÉ-MOLDADO, DIÂMETRO INTERNO = 0,6 M. AF_12/2020</v>
      </c>
      <c r="C4935" s="173" t="str">
        <f>VLOOKUP(A4935,ORÇAMENTO!A:K,5,0)</f>
        <v>M</v>
      </c>
      <c r="D4935" s="173">
        <f>ROUND(SUM(E4938:O4938),2)</f>
        <v>60.65</v>
      </c>
      <c r="E4935" s="173" t="s">
        <v>1718</v>
      </c>
      <c r="F4935" s="173" t="s">
        <v>1719</v>
      </c>
      <c r="G4935" s="173" t="s">
        <v>1720</v>
      </c>
      <c r="H4935" s="173" t="s">
        <v>1721</v>
      </c>
      <c r="I4935" s="173" t="s">
        <v>1722</v>
      </c>
      <c r="J4935" s="173" t="s">
        <v>1723</v>
      </c>
      <c r="K4935" s="173" t="s">
        <v>1724</v>
      </c>
      <c r="L4935" s="173" t="s">
        <v>1804</v>
      </c>
      <c r="M4935" s="173" t="s">
        <v>1726</v>
      </c>
      <c r="N4935" s="173" t="s">
        <v>1809</v>
      </c>
      <c r="O4935" s="173" t="s">
        <v>1728</v>
      </c>
      <c r="P4935" s="224"/>
      <c r="Q4935" s="224"/>
    </row>
    <row r="4936" spans="1:17" s="225" customFormat="1" ht="21" x14ac:dyDescent="0.25">
      <c r="A4936" s="229"/>
      <c r="B4936" s="230" t="s">
        <v>1887</v>
      </c>
      <c r="C4936" s="184"/>
      <c r="D4936" s="185"/>
      <c r="E4936" s="185">
        <f>Quantitativos!DA192</f>
        <v>60.650000000000013</v>
      </c>
      <c r="F4936" s="185"/>
      <c r="G4936" s="185"/>
      <c r="H4936" s="185"/>
      <c r="I4936" s="185"/>
      <c r="J4936" s="185"/>
      <c r="K4936" s="185"/>
      <c r="L4936" s="185"/>
      <c r="M4936" s="185"/>
      <c r="N4936" s="205"/>
      <c r="O4936" s="185"/>
      <c r="P4936" s="231"/>
      <c r="Q4936" s="224"/>
    </row>
    <row r="4937" spans="1:17" s="225" customFormat="1" ht="10.5" x14ac:dyDescent="0.25">
      <c r="A4937" s="229"/>
      <c r="B4937" s="230"/>
      <c r="C4937" s="184"/>
      <c r="D4937" s="185"/>
      <c r="E4937" s="185"/>
      <c r="F4937" s="185"/>
      <c r="G4937" s="185"/>
      <c r="H4937" s="185"/>
      <c r="I4937" s="185"/>
      <c r="J4937" s="185"/>
      <c r="K4937" s="185"/>
      <c r="L4937" s="185"/>
      <c r="M4937" s="185"/>
      <c r="N4937" s="205"/>
      <c r="O4937" s="185"/>
      <c r="P4937" s="231"/>
      <c r="Q4937" s="224"/>
    </row>
    <row r="4938" spans="1:17" s="225" customFormat="1" ht="10.5" x14ac:dyDescent="0.25">
      <c r="A4938" s="229"/>
      <c r="B4938" s="232" t="s">
        <v>5</v>
      </c>
      <c r="C4938" s="182" t="s">
        <v>1328</v>
      </c>
      <c r="D4938" s="182"/>
      <c r="E4938" s="184">
        <f>SUM(E4936:E4937)</f>
        <v>60.650000000000013</v>
      </c>
      <c r="F4938" s="182"/>
      <c r="G4938" s="182"/>
      <c r="H4938" s="182"/>
      <c r="I4938" s="182"/>
      <c r="J4938" s="182"/>
      <c r="K4938" s="185"/>
      <c r="L4938" s="182"/>
      <c r="M4938" s="182"/>
      <c r="N4938" s="184"/>
      <c r="O4938" s="182"/>
      <c r="P4938" s="233"/>
      <c r="Q4938" s="224"/>
    </row>
    <row r="4939" spans="1:17" s="228" customFormat="1" ht="31.5" x14ac:dyDescent="0.25">
      <c r="A4939" s="226" t="str">
        <f>ORÇAMENTO!A913</f>
        <v>7.1.2.7.10</v>
      </c>
      <c r="B4939" s="227" t="str">
        <f>VLOOKUP(A4939,ORÇAMENTO!A:K,4,0)</f>
        <v>ESCORAMENTO DE FÔRMAS DE LAJE EM MADEIRA NÃO APARELHADA, PÉ-DIREITO SIMPLES, INCLUSO TRAVAMENTO, 4 UTILIZAÇÕES. AF_09/2020</v>
      </c>
      <c r="C4939" s="173" t="str">
        <f>VLOOKUP(A4939,ORÇAMENTO!A:K,5,0)</f>
        <v>M³</v>
      </c>
      <c r="D4939" s="173">
        <f>ROUND(SUM(E4952:O4952),2)</f>
        <v>317.91000000000003</v>
      </c>
      <c r="E4939" s="173" t="s">
        <v>1718</v>
      </c>
      <c r="F4939" s="173" t="s">
        <v>1719</v>
      </c>
      <c r="G4939" s="173" t="s">
        <v>1720</v>
      </c>
      <c r="H4939" s="173" t="s">
        <v>1721</v>
      </c>
      <c r="I4939" s="173" t="s">
        <v>1722</v>
      </c>
      <c r="J4939" s="173" t="s">
        <v>1723</v>
      </c>
      <c r="K4939" s="173" t="s">
        <v>1724</v>
      </c>
      <c r="L4939" s="173" t="s">
        <v>1804</v>
      </c>
      <c r="M4939" s="173" t="s">
        <v>1726</v>
      </c>
      <c r="N4939" s="173" t="s">
        <v>1826</v>
      </c>
      <c r="O4939" s="173" t="s">
        <v>1728</v>
      </c>
      <c r="P4939" s="224"/>
      <c r="Q4939" s="224"/>
    </row>
    <row r="4940" spans="1:17" s="225" customFormat="1" ht="10.5" x14ac:dyDescent="0.25">
      <c r="A4940" s="229"/>
      <c r="B4940" s="230"/>
      <c r="C4940" s="184"/>
      <c r="D4940" s="185"/>
      <c r="E4940" s="185"/>
      <c r="F4940" s="185"/>
      <c r="G4940" s="185"/>
      <c r="H4940" s="185"/>
      <c r="I4940" s="185"/>
      <c r="J4940" s="185"/>
      <c r="K4940" s="185"/>
      <c r="L4940" s="185"/>
      <c r="M4940" s="185"/>
      <c r="N4940" s="205"/>
      <c r="O4940" s="185"/>
      <c r="P4940" s="231"/>
      <c r="Q4940" s="224"/>
    </row>
    <row r="4941" spans="1:17" s="228" customFormat="1" ht="10.5" x14ac:dyDescent="0.25">
      <c r="A4941" s="239"/>
      <c r="B4941" s="232" t="str">
        <f t="shared" ref="B4941:B4946" si="166">B4903</f>
        <v>PV DN 600</v>
      </c>
      <c r="C4941" s="184"/>
      <c r="D4941" s="184"/>
      <c r="E4941" s="184">
        <f t="shared" ref="E4941:F4946" si="167">E4903</f>
        <v>1.08</v>
      </c>
      <c r="F4941" s="184">
        <f t="shared" si="167"/>
        <v>1.08</v>
      </c>
      <c r="G4941" s="184"/>
      <c r="H4941" s="184"/>
      <c r="I4941" s="184"/>
      <c r="J4941" s="184"/>
      <c r="K4941" s="184"/>
      <c r="L4941" s="184"/>
      <c r="M4941" s="184"/>
      <c r="N4941" s="206"/>
      <c r="O4941" s="184"/>
      <c r="P4941" s="231"/>
      <c r="Q4941" s="224"/>
    </row>
    <row r="4942" spans="1:17" s="225" customFormat="1" ht="10.5" x14ac:dyDescent="0.25">
      <c r="A4942" s="229"/>
      <c r="B4942" s="230" t="str">
        <f t="shared" si="166"/>
        <v>TAMPA</v>
      </c>
      <c r="C4942" s="184"/>
      <c r="D4942" s="185"/>
      <c r="E4942" s="185">
        <f t="shared" si="167"/>
        <v>1.08</v>
      </c>
      <c r="F4942" s="185">
        <f t="shared" si="167"/>
        <v>1.08</v>
      </c>
      <c r="G4942" s="185">
        <v>1.4</v>
      </c>
      <c r="H4942" s="185"/>
      <c r="I4942" s="185"/>
      <c r="J4942" s="185"/>
      <c r="K4942" s="185"/>
      <c r="L4942" s="185"/>
      <c r="M4942" s="185">
        <f>M4904</f>
        <v>4</v>
      </c>
      <c r="N4942" s="205">
        <f>M4942*E4942*F4942*G4942</f>
        <v>6.5318399999999999</v>
      </c>
      <c r="O4942" s="185"/>
      <c r="P4942" s="231"/>
      <c r="Q4942" s="224"/>
    </row>
    <row r="4943" spans="1:17" s="228" customFormat="1" ht="10.5" x14ac:dyDescent="0.25">
      <c r="A4943" s="239"/>
      <c r="B4943" s="232" t="str">
        <f t="shared" si="166"/>
        <v>PV DN 800</v>
      </c>
      <c r="C4943" s="184"/>
      <c r="D4943" s="184"/>
      <c r="E4943" s="184">
        <f t="shared" si="167"/>
        <v>1.5</v>
      </c>
      <c r="F4943" s="184">
        <f t="shared" si="167"/>
        <v>1.5</v>
      </c>
      <c r="G4943" s="184"/>
      <c r="H4943" s="184"/>
      <c r="I4943" s="184"/>
      <c r="J4943" s="184"/>
      <c r="K4943" s="184"/>
      <c r="L4943" s="184"/>
      <c r="M4943" s="184"/>
      <c r="N4943" s="206"/>
      <c r="O4943" s="184"/>
      <c r="P4943" s="231"/>
      <c r="Q4943" s="224"/>
    </row>
    <row r="4944" spans="1:17" s="225" customFormat="1" ht="10.5" x14ac:dyDescent="0.25">
      <c r="A4944" s="229"/>
      <c r="B4944" s="230" t="str">
        <f t="shared" si="166"/>
        <v>TAMPA</v>
      </c>
      <c r="C4944" s="184"/>
      <c r="D4944" s="185"/>
      <c r="E4944" s="185">
        <f t="shared" si="167"/>
        <v>1.5</v>
      </c>
      <c r="F4944" s="185">
        <f t="shared" si="167"/>
        <v>1.5</v>
      </c>
      <c r="G4944" s="185">
        <v>1.4</v>
      </c>
      <c r="H4944" s="185"/>
      <c r="I4944" s="185"/>
      <c r="J4944" s="185"/>
      <c r="K4944" s="185"/>
      <c r="L4944" s="185"/>
      <c r="M4944" s="185">
        <f>M4906</f>
        <v>4</v>
      </c>
      <c r="N4944" s="205">
        <f>M4944*E4944*F4944*G4944</f>
        <v>12.6</v>
      </c>
      <c r="O4944" s="185"/>
      <c r="P4944" s="231"/>
      <c r="Q4944" s="224"/>
    </row>
    <row r="4945" spans="1:17" s="228" customFormat="1" ht="10.5" x14ac:dyDescent="0.25">
      <c r="A4945" s="239"/>
      <c r="B4945" s="232" t="str">
        <f t="shared" si="166"/>
        <v>PV DN 1000</v>
      </c>
      <c r="C4945" s="184"/>
      <c r="D4945" s="184"/>
      <c r="E4945" s="184">
        <f t="shared" si="167"/>
        <v>1.74</v>
      </c>
      <c r="F4945" s="184">
        <f t="shared" si="167"/>
        <v>1.74</v>
      </c>
      <c r="G4945" s="184"/>
      <c r="H4945" s="184"/>
      <c r="I4945" s="184"/>
      <c r="J4945" s="184"/>
      <c r="K4945" s="184"/>
      <c r="L4945" s="184"/>
      <c r="M4945" s="184"/>
      <c r="N4945" s="206"/>
      <c r="O4945" s="184"/>
      <c r="P4945" s="231"/>
      <c r="Q4945" s="224"/>
    </row>
    <row r="4946" spans="1:17" s="225" customFormat="1" ht="10.5" x14ac:dyDescent="0.25">
      <c r="A4946" s="229"/>
      <c r="B4946" s="230" t="str">
        <f t="shared" si="166"/>
        <v>TAMPA</v>
      </c>
      <c r="C4946" s="184"/>
      <c r="D4946" s="185"/>
      <c r="E4946" s="185">
        <f t="shared" si="167"/>
        <v>1.74</v>
      </c>
      <c r="F4946" s="185">
        <f t="shared" si="167"/>
        <v>1.74</v>
      </c>
      <c r="G4946" s="185">
        <v>2</v>
      </c>
      <c r="H4946" s="185"/>
      <c r="I4946" s="185"/>
      <c r="J4946" s="185"/>
      <c r="K4946" s="185"/>
      <c r="L4946" s="185"/>
      <c r="M4946" s="185">
        <f>M4908</f>
        <v>12</v>
      </c>
      <c r="N4946" s="205">
        <f>M4946*E4946*F4946*G4946</f>
        <v>72.662399999999991</v>
      </c>
      <c r="O4946" s="185"/>
      <c r="P4946" s="231"/>
      <c r="Q4946" s="224"/>
    </row>
    <row r="4947" spans="1:17" s="228" customFormat="1" ht="10.5" x14ac:dyDescent="0.25">
      <c r="A4947" s="239"/>
      <c r="B4947" s="232" t="str">
        <f>B4911</f>
        <v>PV DN 1200</v>
      </c>
      <c r="C4947" s="184"/>
      <c r="D4947" s="184"/>
      <c r="E4947" s="184">
        <f>E4911</f>
        <v>2.04</v>
      </c>
      <c r="F4947" s="184">
        <f>F4911</f>
        <v>2.04</v>
      </c>
      <c r="G4947" s="184"/>
      <c r="H4947" s="184"/>
      <c r="I4947" s="184"/>
      <c r="J4947" s="184"/>
      <c r="K4947" s="184"/>
      <c r="L4947" s="184"/>
      <c r="M4947" s="184"/>
      <c r="N4947" s="206"/>
      <c r="O4947" s="184"/>
      <c r="P4947" s="231"/>
      <c r="Q4947" s="224"/>
    </row>
    <row r="4948" spans="1:17" s="225" customFormat="1" ht="10.5" x14ac:dyDescent="0.25">
      <c r="A4948" s="229"/>
      <c r="B4948" s="230" t="str">
        <f>B4912</f>
        <v>TAMPA</v>
      </c>
      <c r="C4948" s="184"/>
      <c r="D4948" s="185"/>
      <c r="E4948" s="185">
        <f>E4912</f>
        <v>2.04</v>
      </c>
      <c r="F4948" s="185">
        <f>F4912</f>
        <v>2.04</v>
      </c>
      <c r="G4948" s="185">
        <v>2</v>
      </c>
      <c r="H4948" s="185"/>
      <c r="I4948" s="185"/>
      <c r="J4948" s="185"/>
      <c r="K4948" s="185"/>
      <c r="L4948" s="185"/>
      <c r="M4948" s="185">
        <f>M4912</f>
        <v>10</v>
      </c>
      <c r="N4948" s="205">
        <f>M4948*E4948*F4948*G4948</f>
        <v>83.231999999999999</v>
      </c>
      <c r="O4948" s="185"/>
      <c r="P4948" s="231"/>
      <c r="Q4948" s="224"/>
    </row>
    <row r="4949" spans="1:17" s="228" customFormat="1" ht="10.5" x14ac:dyDescent="0.25">
      <c r="A4949" s="239"/>
      <c r="B4949" s="232" t="str">
        <f>B4915</f>
        <v>PV DN 1500</v>
      </c>
      <c r="C4949" s="184"/>
      <c r="D4949" s="184"/>
      <c r="E4949" s="184">
        <f>E4915</f>
        <v>2.44</v>
      </c>
      <c r="F4949" s="184">
        <f>F4915</f>
        <v>2.44</v>
      </c>
      <c r="G4949" s="184"/>
      <c r="H4949" s="184"/>
      <c r="I4949" s="184"/>
      <c r="J4949" s="184"/>
      <c r="K4949" s="184"/>
      <c r="L4949" s="184"/>
      <c r="M4949" s="184"/>
      <c r="N4949" s="206"/>
      <c r="O4949" s="184"/>
      <c r="P4949" s="231"/>
      <c r="Q4949" s="224"/>
    </row>
    <row r="4950" spans="1:17" s="225" customFormat="1" ht="10.5" x14ac:dyDescent="0.25">
      <c r="A4950" s="229"/>
      <c r="B4950" s="230" t="str">
        <f>B4916</f>
        <v>TAMPA</v>
      </c>
      <c r="C4950" s="184"/>
      <c r="D4950" s="185"/>
      <c r="E4950" s="185">
        <f>E4916</f>
        <v>2.44</v>
      </c>
      <c r="F4950" s="185">
        <f>F4916</f>
        <v>2.44</v>
      </c>
      <c r="G4950" s="185">
        <v>2.4</v>
      </c>
      <c r="H4950" s="185"/>
      <c r="I4950" s="185"/>
      <c r="J4950" s="185"/>
      <c r="K4950" s="185"/>
      <c r="L4950" s="185"/>
      <c r="M4950" s="185">
        <f>M4916</f>
        <v>10</v>
      </c>
      <c r="N4950" s="205">
        <f>M4950*E4950*F4950*G4950</f>
        <v>142.88639999999998</v>
      </c>
      <c r="O4950" s="185"/>
      <c r="P4950" s="231"/>
      <c r="Q4950" s="224"/>
    </row>
    <row r="4951" spans="1:17" s="225" customFormat="1" ht="10.5" x14ac:dyDescent="0.25">
      <c r="A4951" s="229"/>
      <c r="B4951" s="230"/>
      <c r="C4951" s="184"/>
      <c r="D4951" s="185"/>
      <c r="E4951" s="185"/>
      <c r="F4951" s="185"/>
      <c r="G4951" s="185"/>
      <c r="H4951" s="185"/>
      <c r="I4951" s="185"/>
      <c r="J4951" s="185"/>
      <c r="K4951" s="185"/>
      <c r="L4951" s="185"/>
      <c r="M4951" s="185"/>
      <c r="N4951" s="205"/>
      <c r="O4951" s="185"/>
      <c r="P4951" s="231"/>
      <c r="Q4951" s="224"/>
    </row>
    <row r="4952" spans="1:17" s="225" customFormat="1" ht="10.5" x14ac:dyDescent="0.25">
      <c r="A4952" s="229"/>
      <c r="B4952" s="232" t="s">
        <v>5</v>
      </c>
      <c r="C4952" s="182" t="s">
        <v>1328</v>
      </c>
      <c r="D4952" s="182"/>
      <c r="E4952" s="182"/>
      <c r="F4952" s="182"/>
      <c r="G4952" s="182"/>
      <c r="H4952" s="182"/>
      <c r="I4952" s="182"/>
      <c r="J4952" s="182"/>
      <c r="K4952" s="184"/>
      <c r="L4952" s="182"/>
      <c r="M4952" s="182"/>
      <c r="N4952" s="184">
        <f>SUM(N4940:N4951)</f>
        <v>317.91263999999995</v>
      </c>
      <c r="O4952" s="184"/>
      <c r="P4952" s="233"/>
      <c r="Q4952" s="224"/>
    </row>
    <row r="4953" spans="1:17" s="225" customFormat="1" ht="10.5" x14ac:dyDescent="0.25">
      <c r="A4953" s="222" t="str">
        <f>ORÇAMENTO!A914</f>
        <v>7.1.2.8</v>
      </c>
      <c r="B4953" s="223" t="str">
        <f>VLOOKUP(A4953,ORÇAMENTO!A:K,4,0)</f>
        <v>GALERIAS</v>
      </c>
      <c r="C4953" s="167"/>
      <c r="D4953" s="167"/>
      <c r="E4953" s="168"/>
      <c r="F4953" s="168"/>
      <c r="G4953" s="168"/>
      <c r="H4953" s="168"/>
      <c r="I4953" s="168"/>
      <c r="J4953" s="168"/>
      <c r="K4953" s="168"/>
      <c r="L4953" s="168"/>
      <c r="M4953" s="168"/>
      <c r="N4953" s="168"/>
      <c r="O4953" s="168"/>
      <c r="P4953" s="224"/>
      <c r="Q4953" s="224"/>
    </row>
    <row r="4954" spans="1:17" s="228" customFormat="1" ht="21" x14ac:dyDescent="0.25">
      <c r="A4954" s="226" t="str">
        <f>ORÇAMENTO!A915</f>
        <v>7.1.2.8.1</v>
      </c>
      <c r="B4954" s="227" t="str">
        <f>VLOOKUP(A4954,ORÇAMENTO!A:K,4,0)</f>
        <v>REVEST. PRIMARIO C CASCALHO OU SAIBRO C\ COMPACTACAO</v>
      </c>
      <c r="C4954" s="173" t="str">
        <f>VLOOKUP(A4954,ORÇAMENTO!A:K,5,0)</f>
        <v>M³</v>
      </c>
      <c r="D4954" s="173">
        <f>ROUND(SUM(E4959:O4959),2)</f>
        <v>159.16</v>
      </c>
      <c r="E4954" s="173" t="s">
        <v>1718</v>
      </c>
      <c r="F4954" s="173" t="s">
        <v>1719</v>
      </c>
      <c r="G4954" s="173" t="s">
        <v>1720</v>
      </c>
      <c r="H4954" s="173" t="s">
        <v>1721</v>
      </c>
      <c r="I4954" s="173" t="s">
        <v>1722</v>
      </c>
      <c r="J4954" s="173" t="s">
        <v>1723</v>
      </c>
      <c r="K4954" s="173" t="s">
        <v>1724</v>
      </c>
      <c r="L4954" s="173" t="s">
        <v>1804</v>
      </c>
      <c r="M4954" s="173" t="s">
        <v>1726</v>
      </c>
      <c r="N4954" s="173" t="s">
        <v>1809</v>
      </c>
      <c r="O4954" s="173" t="s">
        <v>1728</v>
      </c>
      <c r="P4954" s="224"/>
      <c r="Q4954" s="224"/>
    </row>
    <row r="4955" spans="1:17" s="225" customFormat="1" ht="10.5" x14ac:dyDescent="0.25">
      <c r="A4955" s="229"/>
      <c r="B4955" s="230" t="s">
        <v>1832</v>
      </c>
      <c r="C4955" s="184"/>
      <c r="D4955" s="185"/>
      <c r="E4955" s="185"/>
      <c r="F4955" s="185"/>
      <c r="G4955" s="185"/>
      <c r="H4955" s="185"/>
      <c r="I4955" s="185"/>
      <c r="J4955" s="185"/>
      <c r="K4955" s="185"/>
      <c r="L4955" s="185"/>
      <c r="M4955" s="185"/>
      <c r="N4955" s="205"/>
      <c r="O4955" s="185"/>
      <c r="P4955" s="231"/>
      <c r="Q4955" s="224"/>
    </row>
    <row r="4956" spans="1:17" s="225" customFormat="1" ht="10.5" x14ac:dyDescent="0.25">
      <c r="A4956" s="229"/>
      <c r="B4956" s="230" t="s">
        <v>1902</v>
      </c>
      <c r="C4956" s="184"/>
      <c r="D4956" s="185"/>
      <c r="E4956" s="185">
        <f>Quantitativos!CN194</f>
        <v>408.09000000000003</v>
      </c>
      <c r="F4956" s="185">
        <v>1.95</v>
      </c>
      <c r="G4956" s="185"/>
      <c r="H4956" s="185">
        <v>0.2</v>
      </c>
      <c r="I4956" s="185"/>
      <c r="J4956" s="185"/>
      <c r="K4956" s="185"/>
      <c r="L4956" s="185"/>
      <c r="M4956" s="185"/>
      <c r="N4956" s="205"/>
      <c r="O4956" s="185">
        <f>E4956*F4956*H4956</f>
        <v>159.15510000000003</v>
      </c>
      <c r="P4956" s="231"/>
      <c r="Q4956" s="224"/>
    </row>
    <row r="4957" spans="1:17" s="225" customFormat="1" ht="10.5" x14ac:dyDescent="0.25">
      <c r="A4957" s="229"/>
      <c r="B4957" s="230"/>
      <c r="C4957" s="184"/>
      <c r="D4957" s="185"/>
      <c r="E4957" s="185"/>
      <c r="F4957" s="185"/>
      <c r="G4957" s="185"/>
      <c r="H4957" s="185"/>
      <c r="I4957" s="185"/>
      <c r="J4957" s="185"/>
      <c r="K4957" s="185"/>
      <c r="L4957" s="185"/>
      <c r="M4957" s="185"/>
      <c r="N4957" s="205"/>
      <c r="O4957" s="185"/>
      <c r="P4957" s="231"/>
      <c r="Q4957" s="224"/>
    </row>
    <row r="4958" spans="1:17" s="225" customFormat="1" ht="10.5" x14ac:dyDescent="0.25">
      <c r="A4958" s="229"/>
      <c r="B4958" s="230"/>
      <c r="C4958" s="184"/>
      <c r="D4958" s="185"/>
      <c r="E4958" s="185"/>
      <c r="F4958" s="185"/>
      <c r="G4958" s="185"/>
      <c r="H4958" s="185"/>
      <c r="I4958" s="185"/>
      <c r="J4958" s="185"/>
      <c r="K4958" s="185"/>
      <c r="L4958" s="185"/>
      <c r="M4958" s="185"/>
      <c r="N4958" s="205"/>
      <c r="O4958" s="185"/>
      <c r="P4958" s="231"/>
      <c r="Q4958" s="224"/>
    </row>
    <row r="4959" spans="1:17" s="225" customFormat="1" ht="10.5" x14ac:dyDescent="0.25">
      <c r="A4959" s="229"/>
      <c r="B4959" s="232" t="s">
        <v>5</v>
      </c>
      <c r="C4959" s="182" t="s">
        <v>1328</v>
      </c>
      <c r="D4959" s="182"/>
      <c r="E4959" s="182"/>
      <c r="F4959" s="182"/>
      <c r="G4959" s="182"/>
      <c r="H4959" s="182"/>
      <c r="I4959" s="182"/>
      <c r="J4959" s="182"/>
      <c r="K4959" s="185"/>
      <c r="L4959" s="182"/>
      <c r="M4959" s="182"/>
      <c r="N4959" s="184"/>
      <c r="O4959" s="184">
        <f>SUM(O4956:O4957)</f>
        <v>159.15510000000003</v>
      </c>
      <c r="P4959" s="233"/>
      <c r="Q4959" s="224"/>
    </row>
    <row r="4960" spans="1:17" s="228" customFormat="1" ht="42" x14ac:dyDescent="0.25">
      <c r="A4960" s="226" t="str">
        <f>ORÇAMENTO!A916</f>
        <v>7.1.2.8.2</v>
      </c>
      <c r="B4960" s="227" t="str">
        <f>VLOOKUP(A4960,ORÇAMENTO!A:K,4,0)</f>
        <v>CONCRETO FCK = 15MPA, TRAÇO 1:3,4:3,5 (EM MASSA SECA DE CIMENTO/ AREIA MÉDIA/ BRITA 1) - PREPARO MECÂNICO COM BETONEIRA 600 L. AF_05/2021</v>
      </c>
      <c r="C4960" s="173" t="str">
        <f>VLOOKUP(A4960,ORÇAMENTO!A:K,5,0)</f>
        <v>M³</v>
      </c>
      <c r="D4960" s="173">
        <f>ROUND(SUM(E4966:O4966),2)</f>
        <v>23.86</v>
      </c>
      <c r="E4960" s="173" t="s">
        <v>1718</v>
      </c>
      <c r="F4960" s="173" t="s">
        <v>1719</v>
      </c>
      <c r="G4960" s="173" t="s">
        <v>1720</v>
      </c>
      <c r="H4960" s="173" t="s">
        <v>1721</v>
      </c>
      <c r="I4960" s="173" t="s">
        <v>1722</v>
      </c>
      <c r="J4960" s="173" t="s">
        <v>1723</v>
      </c>
      <c r="K4960" s="173" t="s">
        <v>1724</v>
      </c>
      <c r="L4960" s="173" t="s">
        <v>1804</v>
      </c>
      <c r="M4960" s="173" t="s">
        <v>1726</v>
      </c>
      <c r="N4960" s="173" t="s">
        <v>1809</v>
      </c>
      <c r="O4960" s="173" t="s">
        <v>1728</v>
      </c>
      <c r="P4960" s="224"/>
      <c r="Q4960" s="224"/>
    </row>
    <row r="4961" spans="1:17" s="225" customFormat="1" ht="10.5" x14ac:dyDescent="0.25">
      <c r="A4961" s="229"/>
      <c r="B4961" s="230" t="str">
        <f>B4955</f>
        <v>CONFORME DESENHO TIPO</v>
      </c>
      <c r="C4961" s="184"/>
      <c r="D4961" s="185"/>
      <c r="E4961" s="185"/>
      <c r="F4961" s="185"/>
      <c r="G4961" s="185"/>
      <c r="H4961" s="185"/>
      <c r="I4961" s="185"/>
      <c r="J4961" s="185"/>
      <c r="K4961" s="185"/>
      <c r="L4961" s="185"/>
      <c r="M4961" s="185"/>
      <c r="N4961" s="205"/>
      <c r="O4961" s="185"/>
      <c r="P4961" s="231"/>
      <c r="Q4961" s="224"/>
    </row>
    <row r="4962" spans="1:17" s="225" customFormat="1" ht="10.5" x14ac:dyDescent="0.25">
      <c r="A4962" s="229"/>
      <c r="B4962" s="232" t="s">
        <v>1838</v>
      </c>
      <c r="C4962" s="184"/>
      <c r="D4962" s="185"/>
      <c r="E4962" s="185"/>
      <c r="F4962" s="185"/>
      <c r="G4962" s="185"/>
      <c r="H4962" s="185"/>
      <c r="I4962" s="185"/>
      <c r="J4962" s="185"/>
      <c r="K4962" s="185"/>
      <c r="L4962" s="185"/>
      <c r="M4962" s="185"/>
      <c r="N4962" s="205"/>
      <c r="O4962" s="185"/>
      <c r="P4962" s="231"/>
      <c r="Q4962" s="224"/>
    </row>
    <row r="4963" spans="1:17" s="225" customFormat="1" ht="10.5" x14ac:dyDescent="0.25">
      <c r="A4963" s="229"/>
      <c r="B4963" s="230" t="str">
        <f>B4956</f>
        <v>GALERIA MOLDADA 1,65 x 1,65</v>
      </c>
      <c r="C4963" s="184"/>
      <c r="D4963" s="185"/>
      <c r="E4963" s="185">
        <f>E4956-0.2</f>
        <v>407.89000000000004</v>
      </c>
      <c r="F4963" s="185">
        <f>F4956</f>
        <v>1.95</v>
      </c>
      <c r="G4963" s="185"/>
      <c r="H4963" s="185">
        <v>0.03</v>
      </c>
      <c r="I4963" s="185"/>
      <c r="J4963" s="185"/>
      <c r="K4963" s="185"/>
      <c r="L4963" s="185"/>
      <c r="M4963" s="185"/>
      <c r="N4963" s="205"/>
      <c r="O4963" s="185">
        <f>E4963*F4963*H4963</f>
        <v>23.861565000000002</v>
      </c>
      <c r="P4963" s="231"/>
      <c r="Q4963" s="224"/>
    </row>
    <row r="4964" spans="1:17" s="225" customFormat="1" ht="10.5" x14ac:dyDescent="0.25">
      <c r="A4964" s="229"/>
      <c r="B4964" s="230"/>
      <c r="C4964" s="184"/>
      <c r="D4964" s="185"/>
      <c r="E4964" s="185"/>
      <c r="F4964" s="185"/>
      <c r="G4964" s="185"/>
      <c r="H4964" s="185"/>
      <c r="I4964" s="185"/>
      <c r="J4964" s="185"/>
      <c r="K4964" s="185"/>
      <c r="L4964" s="185"/>
      <c r="M4964" s="185"/>
      <c r="N4964" s="205"/>
      <c r="O4964" s="185"/>
      <c r="P4964" s="231"/>
      <c r="Q4964" s="224"/>
    </row>
    <row r="4965" spans="1:17" s="225" customFormat="1" ht="10.5" x14ac:dyDescent="0.25">
      <c r="A4965" s="229"/>
      <c r="B4965" s="230"/>
      <c r="C4965" s="184"/>
      <c r="D4965" s="185"/>
      <c r="E4965" s="185"/>
      <c r="F4965" s="185"/>
      <c r="G4965" s="185"/>
      <c r="H4965" s="185"/>
      <c r="I4965" s="185"/>
      <c r="J4965" s="185"/>
      <c r="K4965" s="185"/>
      <c r="L4965" s="185"/>
      <c r="M4965" s="185"/>
      <c r="N4965" s="205"/>
      <c r="O4965" s="185"/>
      <c r="P4965" s="231"/>
      <c r="Q4965" s="224"/>
    </row>
    <row r="4966" spans="1:17" s="225" customFormat="1" ht="10.5" x14ac:dyDescent="0.25">
      <c r="A4966" s="229"/>
      <c r="B4966" s="232" t="s">
        <v>5</v>
      </c>
      <c r="C4966" s="182" t="s">
        <v>1328</v>
      </c>
      <c r="D4966" s="182"/>
      <c r="E4966" s="182"/>
      <c r="F4966" s="182"/>
      <c r="G4966" s="182"/>
      <c r="H4966" s="182"/>
      <c r="I4966" s="182"/>
      <c r="J4966" s="182"/>
      <c r="K4966" s="185"/>
      <c r="L4966" s="182"/>
      <c r="M4966" s="182"/>
      <c r="N4966" s="184"/>
      <c r="O4966" s="184">
        <f>SUM(O4961:O4965)</f>
        <v>23.861565000000002</v>
      </c>
      <c r="P4966" s="233"/>
      <c r="Q4966" s="224"/>
    </row>
    <row r="4967" spans="1:17" s="228" customFormat="1" ht="42" x14ac:dyDescent="0.25">
      <c r="A4967" s="226" t="str">
        <f>ORÇAMENTO!A917</f>
        <v>7.1.2.8.3</v>
      </c>
      <c r="B4967" s="227" t="str">
        <f>VLOOKUP(A4967,ORÇAMENTO!A:K,4,0)</f>
        <v>CONCRETO FCK = 25MPA, TRAÇO 1:2,3:2,7 (EM MASSA SECA DE CIMENTO/ AREIA MÉDIA/ BRITA 1) - PREPARO MECÂNICO COM BETONEIRA 600 L. AF_05/2021</v>
      </c>
      <c r="C4967" s="173" t="str">
        <f>VLOOKUP(A4967,ORÇAMENTO!A:K,5,0)</f>
        <v>M³</v>
      </c>
      <c r="D4967" s="173">
        <f>ROUND(SUM(E4972:O4972),2)</f>
        <v>456.61</v>
      </c>
      <c r="E4967" s="173" t="s">
        <v>1718</v>
      </c>
      <c r="F4967" s="173" t="s">
        <v>1719</v>
      </c>
      <c r="G4967" s="173" t="s">
        <v>1720</v>
      </c>
      <c r="H4967" s="173" t="s">
        <v>1721</v>
      </c>
      <c r="I4967" s="173" t="s">
        <v>1722</v>
      </c>
      <c r="J4967" s="173" t="s">
        <v>1723</v>
      </c>
      <c r="K4967" s="173" t="s">
        <v>1724</v>
      </c>
      <c r="L4967" s="173" t="s">
        <v>1804</v>
      </c>
      <c r="M4967" s="173" t="s">
        <v>1726</v>
      </c>
      <c r="N4967" s="173" t="s">
        <v>1826</v>
      </c>
      <c r="O4967" s="173" t="s">
        <v>1728</v>
      </c>
      <c r="P4967" s="224"/>
      <c r="Q4967" s="224"/>
    </row>
    <row r="4968" spans="1:17" s="225" customFormat="1" ht="10.5" x14ac:dyDescent="0.25">
      <c r="A4968" s="229"/>
      <c r="B4968" s="230" t="str">
        <f>B4961</f>
        <v>CONFORME DESENHO TIPO</v>
      </c>
      <c r="C4968" s="184"/>
      <c r="D4968" s="185"/>
      <c r="E4968" s="185"/>
      <c r="F4968" s="185"/>
      <c r="G4968" s="185"/>
      <c r="H4968" s="185"/>
      <c r="I4968" s="185"/>
      <c r="J4968" s="185"/>
      <c r="K4968" s="185"/>
      <c r="L4968" s="185"/>
      <c r="M4968" s="185"/>
      <c r="N4968" s="205"/>
      <c r="O4968" s="185"/>
      <c r="P4968" s="231"/>
      <c r="Q4968" s="224"/>
    </row>
    <row r="4969" spans="1:17" s="225" customFormat="1" ht="10.5" x14ac:dyDescent="0.25">
      <c r="A4969" s="229"/>
      <c r="B4969" s="230" t="str">
        <f>B4963</f>
        <v>GALERIA MOLDADA 1,65 x 1,65</v>
      </c>
      <c r="C4969" s="184"/>
      <c r="D4969" s="185"/>
      <c r="E4969" s="185">
        <f>E4963-0.1*2</f>
        <v>407.69000000000005</v>
      </c>
      <c r="F4969" s="185"/>
      <c r="G4969" s="185"/>
      <c r="H4969" s="185"/>
      <c r="I4969" s="185"/>
      <c r="J4969" s="185"/>
      <c r="K4969" s="185"/>
      <c r="L4969" s="185"/>
      <c r="M4969" s="185"/>
      <c r="N4969" s="205">
        <v>1.1200000000000001</v>
      </c>
      <c r="O4969" s="185">
        <f>N4969*E4969</f>
        <v>456.61280000000011</v>
      </c>
      <c r="P4969" s="231"/>
      <c r="Q4969" s="224"/>
    </row>
    <row r="4970" spans="1:17" s="225" customFormat="1" ht="10.5" x14ac:dyDescent="0.25">
      <c r="A4970" s="229"/>
      <c r="B4970" s="230"/>
      <c r="C4970" s="184"/>
      <c r="D4970" s="185"/>
      <c r="E4970" s="185"/>
      <c r="F4970" s="185"/>
      <c r="G4970" s="185"/>
      <c r="H4970" s="185"/>
      <c r="I4970" s="185"/>
      <c r="J4970" s="185"/>
      <c r="K4970" s="185"/>
      <c r="L4970" s="185"/>
      <c r="M4970" s="185"/>
      <c r="N4970" s="205"/>
      <c r="O4970" s="185"/>
      <c r="P4970" s="231"/>
      <c r="Q4970" s="224"/>
    </row>
    <row r="4971" spans="1:17" s="225" customFormat="1" ht="10.5" x14ac:dyDescent="0.25">
      <c r="A4971" s="229"/>
      <c r="B4971" s="230"/>
      <c r="C4971" s="184"/>
      <c r="D4971" s="185"/>
      <c r="E4971" s="185"/>
      <c r="F4971" s="185"/>
      <c r="G4971" s="185"/>
      <c r="H4971" s="185"/>
      <c r="I4971" s="185"/>
      <c r="J4971" s="185"/>
      <c r="K4971" s="185"/>
      <c r="L4971" s="185"/>
      <c r="M4971" s="185"/>
      <c r="N4971" s="205"/>
      <c r="O4971" s="185"/>
      <c r="P4971" s="231"/>
      <c r="Q4971" s="224"/>
    </row>
    <row r="4972" spans="1:17" s="225" customFormat="1" ht="10.5" x14ac:dyDescent="0.25">
      <c r="A4972" s="229"/>
      <c r="B4972" s="232" t="s">
        <v>5</v>
      </c>
      <c r="C4972" s="182" t="s">
        <v>1328</v>
      </c>
      <c r="D4972" s="182"/>
      <c r="E4972" s="182"/>
      <c r="F4972" s="182"/>
      <c r="G4972" s="182"/>
      <c r="H4972" s="182"/>
      <c r="I4972" s="182"/>
      <c r="J4972" s="182"/>
      <c r="K4972" s="185"/>
      <c r="L4972" s="182"/>
      <c r="M4972" s="182"/>
      <c r="N4972" s="184"/>
      <c r="O4972" s="184">
        <f>SUM(O4968:O4971)</f>
        <v>456.61280000000011</v>
      </c>
      <c r="P4972" s="233"/>
      <c r="Q4972" s="224"/>
    </row>
    <row r="4973" spans="1:17" s="228" customFormat="1" ht="31.5" x14ac:dyDescent="0.25">
      <c r="A4973" s="226" t="str">
        <f>ORÇAMENTO!A918</f>
        <v>7.1.2.8.4</v>
      </c>
      <c r="B4973" s="227" t="str">
        <f>VLOOKUP(A4973,ORÇAMENTO!A:K,4,0)</f>
        <v>LANÇAMENTO COM USO DE BALDES, ADENSAMENTO E ACABAMENTO DE CONCRETO EM ESTRUTURAS. AF_02/2022</v>
      </c>
      <c r="C4973" s="173" t="str">
        <f>VLOOKUP(A4973,ORÇAMENTO!A:K,5,0)</f>
        <v>M³</v>
      </c>
      <c r="D4973" s="173">
        <f>ROUND(SUM(E4978:O4978),2)</f>
        <v>480.47</v>
      </c>
      <c r="E4973" s="173" t="s">
        <v>1718</v>
      </c>
      <c r="F4973" s="173" t="s">
        <v>1719</v>
      </c>
      <c r="G4973" s="173" t="s">
        <v>1720</v>
      </c>
      <c r="H4973" s="173" t="s">
        <v>1721</v>
      </c>
      <c r="I4973" s="173" t="s">
        <v>1722</v>
      </c>
      <c r="J4973" s="173" t="s">
        <v>1723</v>
      </c>
      <c r="K4973" s="173" t="s">
        <v>1724</v>
      </c>
      <c r="L4973" s="173" t="s">
        <v>1804</v>
      </c>
      <c r="M4973" s="173" t="s">
        <v>1726</v>
      </c>
      <c r="N4973" s="173" t="s">
        <v>1826</v>
      </c>
      <c r="O4973" s="173" t="s">
        <v>1728</v>
      </c>
      <c r="P4973" s="224"/>
      <c r="Q4973" s="224"/>
    </row>
    <row r="4974" spans="1:17" s="225" customFormat="1" ht="42" x14ac:dyDescent="0.25">
      <c r="A4974" s="229"/>
      <c r="B4974" s="230" t="str">
        <f>B4960</f>
        <v>CONCRETO FCK = 15MPA, TRAÇO 1:3,4:3,5 (EM MASSA SECA DE CIMENTO/ AREIA MÉDIA/ BRITA 1) - PREPARO MECÂNICO COM BETONEIRA 600 L. AF_05/2021</v>
      </c>
      <c r="C4974" s="184"/>
      <c r="D4974" s="185"/>
      <c r="E4974" s="185"/>
      <c r="F4974" s="185"/>
      <c r="G4974" s="185"/>
      <c r="H4974" s="185"/>
      <c r="I4974" s="185"/>
      <c r="J4974" s="185"/>
      <c r="K4974" s="185"/>
      <c r="L4974" s="185"/>
      <c r="M4974" s="185"/>
      <c r="N4974" s="205"/>
      <c r="O4974" s="230">
        <f>D4960</f>
        <v>23.86</v>
      </c>
      <c r="P4974" s="231"/>
      <c r="Q4974" s="224"/>
    </row>
    <row r="4975" spans="1:17" s="225" customFormat="1" ht="42" x14ac:dyDescent="0.25">
      <c r="A4975" s="229"/>
      <c r="B4975" s="230" t="str">
        <f>B4967</f>
        <v>CONCRETO FCK = 25MPA, TRAÇO 1:2,3:2,7 (EM MASSA SECA DE CIMENTO/ AREIA MÉDIA/ BRITA 1) - PREPARO MECÂNICO COM BETONEIRA 600 L. AF_05/2021</v>
      </c>
      <c r="C4975" s="184"/>
      <c r="D4975" s="185"/>
      <c r="E4975" s="185"/>
      <c r="F4975" s="185"/>
      <c r="G4975" s="185"/>
      <c r="H4975" s="185"/>
      <c r="I4975" s="185"/>
      <c r="J4975" s="185"/>
      <c r="K4975" s="185"/>
      <c r="L4975" s="185"/>
      <c r="M4975" s="185"/>
      <c r="N4975" s="205"/>
      <c r="O4975" s="230">
        <f>D4967</f>
        <v>456.61</v>
      </c>
      <c r="P4975" s="231"/>
      <c r="Q4975" s="224"/>
    </row>
    <row r="4976" spans="1:17" s="225" customFormat="1" ht="10.5" x14ac:dyDescent="0.25">
      <c r="A4976" s="229"/>
      <c r="B4976" s="230"/>
      <c r="C4976" s="184"/>
      <c r="D4976" s="185"/>
      <c r="E4976" s="185"/>
      <c r="F4976" s="185"/>
      <c r="G4976" s="185"/>
      <c r="H4976" s="185"/>
      <c r="I4976" s="185"/>
      <c r="J4976" s="185"/>
      <c r="K4976" s="185"/>
      <c r="L4976" s="185"/>
      <c r="M4976" s="185"/>
      <c r="N4976" s="205"/>
      <c r="O4976" s="185"/>
      <c r="P4976" s="231"/>
      <c r="Q4976" s="224"/>
    </row>
    <row r="4977" spans="1:17" s="225" customFormat="1" ht="10.5" x14ac:dyDescent="0.25">
      <c r="A4977" s="229"/>
      <c r="B4977" s="230"/>
      <c r="C4977" s="184"/>
      <c r="D4977" s="185"/>
      <c r="E4977" s="185"/>
      <c r="F4977" s="185"/>
      <c r="G4977" s="185"/>
      <c r="H4977" s="185"/>
      <c r="I4977" s="185"/>
      <c r="J4977" s="185"/>
      <c r="K4977" s="185"/>
      <c r="L4977" s="185"/>
      <c r="M4977" s="185"/>
      <c r="N4977" s="205"/>
      <c r="O4977" s="185"/>
      <c r="P4977" s="231"/>
      <c r="Q4977" s="224"/>
    </row>
    <row r="4978" spans="1:17" s="225" customFormat="1" ht="10.5" x14ac:dyDescent="0.25">
      <c r="A4978" s="229"/>
      <c r="B4978" s="232" t="s">
        <v>5</v>
      </c>
      <c r="C4978" s="182" t="s">
        <v>1328</v>
      </c>
      <c r="D4978" s="182"/>
      <c r="E4978" s="182"/>
      <c r="F4978" s="182"/>
      <c r="G4978" s="182"/>
      <c r="H4978" s="182"/>
      <c r="I4978" s="182"/>
      <c r="J4978" s="182"/>
      <c r="K4978" s="185"/>
      <c r="L4978" s="182"/>
      <c r="M4978" s="182"/>
      <c r="N4978" s="184"/>
      <c r="O4978" s="184">
        <f>SUM(O4974:O4977)</f>
        <v>480.47</v>
      </c>
      <c r="P4978" s="233"/>
      <c r="Q4978" s="224"/>
    </row>
    <row r="4979" spans="1:17" s="228" customFormat="1" ht="21" x14ac:dyDescent="0.25">
      <c r="A4979" s="226" t="str">
        <f>ORÇAMENTO!A919</f>
        <v>7.1.2.8.5</v>
      </c>
      <c r="B4979" s="227" t="str">
        <f>VLOOKUP(A4979,ORÇAMENTO!A:K,4,0)</f>
        <v>ARMAÇÃO EM AÇO CA-50 - FORNECIMENTO, PREPARO E COLOCAÇÃO</v>
      </c>
      <c r="C4979" s="173" t="str">
        <f>VLOOKUP(A4979,ORÇAMENTO!A:K,5,0)</f>
        <v>KG</v>
      </c>
      <c r="D4979" s="173">
        <f>ROUND(SUM(E4984:O4984),2)</f>
        <v>23646.02</v>
      </c>
      <c r="E4979" s="173" t="s">
        <v>1718</v>
      </c>
      <c r="F4979" s="173" t="s">
        <v>1719</v>
      </c>
      <c r="G4979" s="173" t="s">
        <v>1720</v>
      </c>
      <c r="H4979" s="173" t="s">
        <v>1721</v>
      </c>
      <c r="I4979" s="173" t="s">
        <v>1722</v>
      </c>
      <c r="J4979" s="173" t="s">
        <v>1903</v>
      </c>
      <c r="K4979" s="173" t="s">
        <v>1724</v>
      </c>
      <c r="L4979" s="173" t="s">
        <v>1804</v>
      </c>
      <c r="M4979" s="173" t="s">
        <v>1726</v>
      </c>
      <c r="N4979" s="173" t="s">
        <v>1826</v>
      </c>
      <c r="O4979" s="173" t="s">
        <v>1728</v>
      </c>
      <c r="P4979" s="224"/>
      <c r="Q4979" s="224"/>
    </row>
    <row r="4980" spans="1:17" s="225" customFormat="1" ht="10.5" x14ac:dyDescent="0.25">
      <c r="A4980" s="229"/>
      <c r="B4980" s="230" t="str">
        <f>B4986</f>
        <v>CONFORME DESENHO TIPO</v>
      </c>
      <c r="C4980" s="177"/>
      <c r="D4980" s="178"/>
      <c r="E4980" s="178"/>
      <c r="F4980" s="178"/>
      <c r="G4980" s="178"/>
      <c r="H4980" s="178"/>
      <c r="I4980" s="178"/>
      <c r="J4980" s="178"/>
      <c r="K4980" s="178"/>
      <c r="L4980" s="178"/>
      <c r="M4980" s="178"/>
      <c r="N4980" s="200"/>
      <c r="O4980" s="178"/>
      <c r="P4980" s="231"/>
      <c r="Q4980" s="224"/>
    </row>
    <row r="4981" spans="1:17" s="225" customFormat="1" ht="10.5" x14ac:dyDescent="0.25">
      <c r="A4981" s="229"/>
      <c r="B4981" s="230" t="str">
        <f>B4969</f>
        <v>GALERIA MOLDADA 1,65 x 1,65</v>
      </c>
      <c r="C4981" s="178"/>
      <c r="D4981" s="178"/>
      <c r="E4981" s="178">
        <f>E4969</f>
        <v>407.69000000000005</v>
      </c>
      <c r="F4981" s="178"/>
      <c r="G4981" s="178"/>
      <c r="H4981" s="178"/>
      <c r="I4981" s="178"/>
      <c r="J4981" s="178">
        <v>58</v>
      </c>
      <c r="K4981" s="178">
        <f>J4981*E4981</f>
        <v>23646.020000000004</v>
      </c>
      <c r="L4981" s="178"/>
      <c r="M4981" s="178"/>
      <c r="N4981" s="200"/>
      <c r="O4981" s="178"/>
      <c r="P4981" s="247"/>
      <c r="Q4981" s="236"/>
    </row>
    <row r="4982" spans="1:17" s="225" customFormat="1" ht="10.5" x14ac:dyDescent="0.25">
      <c r="A4982" s="229"/>
      <c r="B4982" s="230"/>
      <c r="C4982" s="177"/>
      <c r="D4982" s="178"/>
      <c r="E4982" s="178"/>
      <c r="F4982" s="178"/>
      <c r="G4982" s="178"/>
      <c r="H4982" s="178"/>
      <c r="I4982" s="178"/>
      <c r="J4982" s="178"/>
      <c r="K4982" s="178"/>
      <c r="L4982" s="178"/>
      <c r="M4982" s="178"/>
      <c r="N4982" s="200"/>
      <c r="O4982" s="178"/>
      <c r="P4982" s="231"/>
      <c r="Q4982" s="224"/>
    </row>
    <row r="4983" spans="1:17" s="225" customFormat="1" ht="10.5" x14ac:dyDescent="0.25">
      <c r="A4983" s="229"/>
      <c r="B4983" s="230"/>
      <c r="C4983" s="177"/>
      <c r="D4983" s="178"/>
      <c r="E4983" s="178"/>
      <c r="F4983" s="178"/>
      <c r="G4983" s="178"/>
      <c r="H4983" s="178"/>
      <c r="I4983" s="178"/>
      <c r="J4983" s="178"/>
      <c r="K4983" s="178"/>
      <c r="L4983" s="178"/>
      <c r="M4983" s="178"/>
      <c r="N4983" s="200"/>
      <c r="O4983" s="178"/>
      <c r="P4983" s="231"/>
      <c r="Q4983" s="224"/>
    </row>
    <row r="4984" spans="1:17" s="225" customFormat="1" ht="10.5" x14ac:dyDescent="0.25">
      <c r="A4984" s="229"/>
      <c r="B4984" s="232" t="s">
        <v>5</v>
      </c>
      <c r="C4984" s="182" t="s">
        <v>1328</v>
      </c>
      <c r="D4984" s="182"/>
      <c r="E4984" s="182"/>
      <c r="F4984" s="182"/>
      <c r="G4984" s="182"/>
      <c r="H4984" s="182"/>
      <c r="I4984" s="182"/>
      <c r="J4984" s="182"/>
      <c r="K4984" s="177">
        <f>SUM(K4980:K4983)</f>
        <v>23646.020000000004</v>
      </c>
      <c r="L4984" s="182"/>
      <c r="M4984" s="182"/>
      <c r="N4984" s="177"/>
      <c r="O4984" s="177"/>
      <c r="P4984" s="233"/>
      <c r="Q4984" s="224"/>
    </row>
    <row r="4985" spans="1:17" s="228" customFormat="1" ht="42" x14ac:dyDescent="0.25">
      <c r="A4985" s="226" t="str">
        <f>ORÇAMENTO!A920</f>
        <v>7.1.2.8.6</v>
      </c>
      <c r="B4985" s="227" t="str">
        <f>VLOOKUP(A4985,ORÇAMENTO!A:K,4,0)</f>
        <v>FABRICAÇÃO, MONTAGEM E DESMONTAGEM DE FÔRMA PARA BOCA PARA BUEIRO, EM CHAPA DE MADEIRA COMPENSADA RESINADA, E = 17 MM, 2 UTILIZAÇÕES. AF_07/2021</v>
      </c>
      <c r="C4985" s="173" t="str">
        <f>VLOOKUP(A4985,ORÇAMENTO!A:K,5,0)</f>
        <v>M²</v>
      </c>
      <c r="D4985" s="173">
        <f>ROUND(SUM(E4990:O4990),2)</f>
        <v>4199.21</v>
      </c>
      <c r="E4985" s="173" t="s">
        <v>1718</v>
      </c>
      <c r="F4985" s="173" t="s">
        <v>1719</v>
      </c>
      <c r="G4985" s="173" t="s">
        <v>1720</v>
      </c>
      <c r="H4985" s="173" t="s">
        <v>1721</v>
      </c>
      <c r="I4985" s="173" t="s">
        <v>1722</v>
      </c>
      <c r="J4985" s="173" t="s">
        <v>1723</v>
      </c>
      <c r="K4985" s="173" t="s">
        <v>1724</v>
      </c>
      <c r="L4985" s="173" t="s">
        <v>1804</v>
      </c>
      <c r="M4985" s="173" t="s">
        <v>1726</v>
      </c>
      <c r="N4985" s="173" t="s">
        <v>1826</v>
      </c>
      <c r="O4985" s="173" t="s">
        <v>1728</v>
      </c>
      <c r="P4985" s="224"/>
      <c r="Q4985" s="224"/>
    </row>
    <row r="4986" spans="1:17" s="225" customFormat="1" ht="10.5" x14ac:dyDescent="0.25">
      <c r="A4986" s="229"/>
      <c r="B4986" s="230" t="str">
        <f>B4968</f>
        <v>CONFORME DESENHO TIPO</v>
      </c>
      <c r="C4986" s="184"/>
      <c r="D4986" s="185"/>
      <c r="E4986" s="185"/>
      <c r="F4986" s="185"/>
      <c r="G4986" s="185"/>
      <c r="H4986" s="185"/>
      <c r="I4986" s="185"/>
      <c r="J4986" s="185"/>
      <c r="K4986" s="185"/>
      <c r="L4986" s="185"/>
      <c r="M4986" s="185"/>
      <c r="N4986" s="205"/>
      <c r="O4986" s="185"/>
      <c r="P4986" s="231"/>
      <c r="Q4986" s="224"/>
    </row>
    <row r="4987" spans="1:17" s="225" customFormat="1" ht="10.5" x14ac:dyDescent="0.25">
      <c r="A4987" s="229"/>
      <c r="B4987" s="230" t="str">
        <f>B4963</f>
        <v>GALERIA MOLDADA 1,65 x 1,65</v>
      </c>
      <c r="C4987" s="185"/>
      <c r="D4987" s="185"/>
      <c r="E4987" s="185">
        <f>E4969</f>
        <v>407.69000000000005</v>
      </c>
      <c r="F4987" s="185"/>
      <c r="G4987" s="185"/>
      <c r="H4987" s="185"/>
      <c r="I4987" s="185">
        <f>6.4+1.95+1.95</f>
        <v>10.299999999999999</v>
      </c>
      <c r="J4987" s="185"/>
      <c r="K4987" s="185"/>
      <c r="L4987" s="185"/>
      <c r="M4987" s="185"/>
      <c r="N4987" s="205">
        <f>E4987*I4987</f>
        <v>4199.2070000000003</v>
      </c>
      <c r="O4987" s="185"/>
      <c r="P4987" s="247"/>
      <c r="Q4987" s="236"/>
    </row>
    <row r="4988" spans="1:17" s="225" customFormat="1" ht="10.5" x14ac:dyDescent="0.25">
      <c r="A4988" s="229"/>
      <c r="B4988" s="230"/>
      <c r="C4988" s="185"/>
      <c r="D4988" s="185"/>
      <c r="E4988" s="185"/>
      <c r="F4988" s="185"/>
      <c r="G4988" s="185"/>
      <c r="H4988" s="185"/>
      <c r="I4988" s="185"/>
      <c r="J4988" s="185"/>
      <c r="K4988" s="185"/>
      <c r="L4988" s="185"/>
      <c r="M4988" s="185"/>
      <c r="N4988" s="205"/>
      <c r="O4988" s="185"/>
      <c r="P4988" s="247"/>
      <c r="Q4988" s="236"/>
    </row>
    <row r="4989" spans="1:17" s="225" customFormat="1" ht="10.5" x14ac:dyDescent="0.25">
      <c r="A4989" s="229"/>
      <c r="B4989" s="230"/>
      <c r="C4989" s="184"/>
      <c r="D4989" s="185"/>
      <c r="E4989" s="185"/>
      <c r="F4989" s="185"/>
      <c r="G4989" s="185"/>
      <c r="H4989" s="185"/>
      <c r="I4989" s="185"/>
      <c r="J4989" s="185"/>
      <c r="K4989" s="185"/>
      <c r="L4989" s="185"/>
      <c r="M4989" s="185"/>
      <c r="N4989" s="205"/>
      <c r="O4989" s="185"/>
      <c r="P4989" s="231"/>
      <c r="Q4989" s="224"/>
    </row>
    <row r="4990" spans="1:17" s="225" customFormat="1" ht="10.5" x14ac:dyDescent="0.25">
      <c r="A4990" s="229"/>
      <c r="B4990" s="232" t="s">
        <v>5</v>
      </c>
      <c r="C4990" s="182" t="s">
        <v>1328</v>
      </c>
      <c r="D4990" s="182"/>
      <c r="E4990" s="182"/>
      <c r="F4990" s="182"/>
      <c r="G4990" s="182"/>
      <c r="H4990" s="182"/>
      <c r="I4990" s="182"/>
      <c r="J4990" s="182"/>
      <c r="K4990" s="185"/>
      <c r="L4990" s="182"/>
      <c r="M4990" s="182"/>
      <c r="N4990" s="184">
        <f>SUM(N4986:N4989)</f>
        <v>4199.2070000000003</v>
      </c>
      <c r="O4990" s="184"/>
      <c r="P4990" s="233"/>
      <c r="Q4990" s="224"/>
    </row>
    <row r="4991" spans="1:17" s="225" customFormat="1" ht="10.5" x14ac:dyDescent="0.25">
      <c r="A4991" s="222" t="str">
        <f>ORÇAMENTO!A921</f>
        <v>7.1.2.9</v>
      </c>
      <c r="B4991" s="223" t="str">
        <f>VLOOKUP(A4991,ORÇAMENTO!A:K,4,0)</f>
        <v>SERVIÇOS FINAIS PARA DRENAGEM</v>
      </c>
      <c r="C4991" s="167"/>
      <c r="D4991" s="167"/>
      <c r="E4991" s="168"/>
      <c r="F4991" s="168"/>
      <c r="G4991" s="168"/>
      <c r="H4991" s="168"/>
      <c r="I4991" s="168"/>
      <c r="J4991" s="168"/>
      <c r="K4991" s="168"/>
      <c r="L4991" s="168"/>
      <c r="M4991" s="168"/>
      <c r="N4991" s="168"/>
      <c r="O4991" s="168"/>
      <c r="P4991" s="224"/>
      <c r="Q4991" s="224"/>
    </row>
    <row r="4992" spans="1:17" s="228" customFormat="1" ht="21" x14ac:dyDescent="0.25">
      <c r="A4992" s="226" t="str">
        <f>ORÇAMENTO!A922</f>
        <v>7.1.2.9.1</v>
      </c>
      <c r="B4992" s="227" t="str">
        <f>VLOOKUP(A4992,ORÇAMENTO!A:K,4,0)</f>
        <v>LIMPEZA E TESTE DE REDES DE DRENAGEM</v>
      </c>
      <c r="C4992" s="173" t="str">
        <f>VLOOKUP(A4992,ORÇAMENTO!A:K,5,0)</f>
        <v>M</v>
      </c>
      <c r="D4992" s="173">
        <f>ROUND(SUM(E4995:O4995),2)</f>
        <v>1848.25</v>
      </c>
      <c r="E4992" s="173" t="s">
        <v>1718</v>
      </c>
      <c r="F4992" s="173" t="s">
        <v>1719</v>
      </c>
      <c r="G4992" s="173" t="s">
        <v>1720</v>
      </c>
      <c r="H4992" s="173" t="s">
        <v>1721</v>
      </c>
      <c r="I4992" s="173" t="s">
        <v>1722</v>
      </c>
      <c r="J4992" s="173" t="s">
        <v>1723</v>
      </c>
      <c r="K4992" s="173" t="s">
        <v>1724</v>
      </c>
      <c r="L4992" s="173" t="s">
        <v>1804</v>
      </c>
      <c r="M4992" s="173" t="s">
        <v>1726</v>
      </c>
      <c r="N4992" s="173" t="s">
        <v>1809</v>
      </c>
      <c r="O4992" s="173" t="s">
        <v>1728</v>
      </c>
      <c r="P4992" s="224"/>
      <c r="Q4992" s="224"/>
    </row>
    <row r="4993" spans="1:19" s="225" customFormat="1" ht="10.5" x14ac:dyDescent="0.25">
      <c r="A4993" s="229"/>
      <c r="B4993" s="230" t="s">
        <v>1843</v>
      </c>
      <c r="C4993" s="184"/>
      <c r="D4993" s="185"/>
      <c r="E4993" s="185">
        <f>Quantitativos!F192</f>
        <v>1848.2500000000005</v>
      </c>
      <c r="F4993" s="185"/>
      <c r="G4993" s="185"/>
      <c r="H4993" s="185"/>
      <c r="I4993" s="185"/>
      <c r="J4993" s="185"/>
      <c r="K4993" s="185"/>
      <c r="L4993" s="185"/>
      <c r="M4993" s="185"/>
      <c r="N4993" s="205"/>
      <c r="O4993" s="185"/>
      <c r="P4993" s="231"/>
      <c r="Q4993" s="224"/>
    </row>
    <row r="4994" spans="1:19" s="225" customFormat="1" ht="10.5" x14ac:dyDescent="0.25">
      <c r="A4994" s="229"/>
      <c r="B4994" s="230"/>
      <c r="C4994" s="184"/>
      <c r="D4994" s="185"/>
      <c r="E4994" s="185"/>
      <c r="F4994" s="185"/>
      <c r="G4994" s="185"/>
      <c r="H4994" s="185"/>
      <c r="I4994" s="185"/>
      <c r="J4994" s="185"/>
      <c r="K4994" s="185"/>
      <c r="L4994" s="185"/>
      <c r="M4994" s="185"/>
      <c r="N4994" s="205"/>
      <c r="O4994" s="185"/>
      <c r="P4994" s="231"/>
      <c r="Q4994" s="224"/>
    </row>
    <row r="4995" spans="1:19" s="225" customFormat="1" ht="10.5" x14ac:dyDescent="0.25">
      <c r="A4995" s="229"/>
      <c r="B4995" s="232" t="s">
        <v>5</v>
      </c>
      <c r="C4995" s="182" t="s">
        <v>1328</v>
      </c>
      <c r="D4995" s="182"/>
      <c r="E4995" s="184">
        <f>SUM(E4993:E4994)</f>
        <v>1848.2500000000005</v>
      </c>
      <c r="F4995" s="182"/>
      <c r="G4995" s="182"/>
      <c r="H4995" s="182"/>
      <c r="I4995" s="182"/>
      <c r="J4995" s="182"/>
      <c r="K4995" s="185"/>
      <c r="L4995" s="182"/>
      <c r="M4995" s="182"/>
      <c r="N4995" s="184"/>
      <c r="O4995" s="182"/>
      <c r="P4995" s="233"/>
      <c r="Q4995" s="224"/>
    </row>
    <row r="4996" spans="1:19" s="225" customFormat="1" ht="21" x14ac:dyDescent="0.25">
      <c r="A4996" s="222" t="str">
        <f>ORÇAMENTO!A923</f>
        <v>7.2</v>
      </c>
      <c r="B4996" s="223" t="str">
        <f>VLOOKUP(A4996,ORÇAMENTO!A:K,4,0)</f>
        <v>MANUTENÇÃO E LIMPEZA DO DISSIPADOR DE ENERGIA EXISTENTE</v>
      </c>
      <c r="C4996" s="167"/>
      <c r="D4996" s="167"/>
      <c r="E4996" s="168"/>
      <c r="F4996" s="168"/>
      <c r="G4996" s="168"/>
      <c r="H4996" s="168"/>
      <c r="I4996" s="168"/>
      <c r="J4996" s="168"/>
      <c r="K4996" s="168"/>
      <c r="L4996" s="168"/>
      <c r="M4996" s="168"/>
      <c r="N4996" s="168"/>
      <c r="O4996" s="168"/>
      <c r="P4996" s="224"/>
      <c r="Q4996" s="224"/>
    </row>
    <row r="4997" spans="1:19" s="235" customFormat="1" ht="21" x14ac:dyDescent="0.35">
      <c r="A4997" s="226" t="str">
        <f>ORÇAMENTO!A924</f>
        <v>7.2.1</v>
      </c>
      <c r="B4997" s="227" t="str">
        <f>VLOOKUP(A4997,ORÇAMENTO!A:K,4,0)</f>
        <v>LIMPEZA MANUAL DE VEGETAÇÃO EM TERRENO COM ENXADA. AF_03/2024</v>
      </c>
      <c r="C4997" s="173" t="str">
        <f>VLOOKUP(A4997,ORÇAMENTO!A:K,5,0)</f>
        <v>M²</v>
      </c>
      <c r="D4997" s="173">
        <f>SUM(E5002:O5002)</f>
        <v>184.35</v>
      </c>
      <c r="E4997" s="173" t="s">
        <v>1718</v>
      </c>
      <c r="F4997" s="173" t="s">
        <v>1719</v>
      </c>
      <c r="G4997" s="173" t="s">
        <v>1720</v>
      </c>
      <c r="H4997" s="173" t="s">
        <v>1721</v>
      </c>
      <c r="I4997" s="173" t="s">
        <v>1722</v>
      </c>
      <c r="J4997" s="173" t="s">
        <v>1723</v>
      </c>
      <c r="K4997" s="173" t="s">
        <v>1724</v>
      </c>
      <c r="L4997" s="173" t="s">
        <v>1844</v>
      </c>
      <c r="M4997" s="207" t="s">
        <v>1750</v>
      </c>
      <c r="N4997" s="173" t="s">
        <v>1727</v>
      </c>
      <c r="O4997" s="173" t="s">
        <v>1728</v>
      </c>
      <c r="P4997" s="224"/>
      <c r="Q4997" s="224"/>
      <c r="R4997" s="224"/>
      <c r="S4997" s="224"/>
    </row>
    <row r="4998" spans="1:19" s="235" customFormat="1" x14ac:dyDescent="0.35">
      <c r="A4998" s="229"/>
      <c r="B4998" s="232"/>
      <c r="C4998" s="184"/>
      <c r="D4998" s="184"/>
      <c r="E4998" s="184"/>
      <c r="F4998" s="184"/>
      <c r="G4998" s="184"/>
      <c r="H4998" s="184"/>
      <c r="I4998" s="184"/>
      <c r="J4998" s="184"/>
      <c r="K4998" s="184"/>
      <c r="L4998" s="184"/>
      <c r="M4998" s="184"/>
      <c r="N4998" s="184"/>
      <c r="O4998" s="184"/>
      <c r="P4998" s="224"/>
      <c r="Q4998" s="224"/>
      <c r="R4998" s="224"/>
      <c r="S4998" s="224"/>
    </row>
    <row r="4999" spans="1:19" s="235" customFormat="1" x14ac:dyDescent="0.35">
      <c r="A4999" s="229"/>
      <c r="B4999" s="230" t="s">
        <v>1888</v>
      </c>
      <c r="C4999" s="184"/>
      <c r="D4999" s="184"/>
      <c r="E4999" s="185">
        <v>9.75</v>
      </c>
      <c r="F4999" s="185">
        <v>6.6</v>
      </c>
      <c r="G4999" s="185"/>
      <c r="H4999" s="185">
        <v>0.95</v>
      </c>
      <c r="I4999" s="185"/>
      <c r="J4999" s="185"/>
      <c r="K4999" s="185"/>
      <c r="L4999" s="185"/>
      <c r="M4999" s="184"/>
      <c r="N4999" s="185">
        <f>E4999*F4999</f>
        <v>64.349999999999994</v>
      </c>
      <c r="O4999" s="184"/>
      <c r="P4999" s="224"/>
      <c r="Q4999" s="224"/>
      <c r="R4999" s="224"/>
      <c r="S4999" s="224"/>
    </row>
    <row r="5000" spans="1:19" s="235" customFormat="1" x14ac:dyDescent="0.35">
      <c r="A5000" s="229"/>
      <c r="B5000" s="230" t="s">
        <v>1889</v>
      </c>
      <c r="C5000" s="184"/>
      <c r="D5000" s="184"/>
      <c r="E5000" s="185">
        <v>12</v>
      </c>
      <c r="F5000" s="185">
        <v>10</v>
      </c>
      <c r="G5000" s="185"/>
      <c r="H5000" s="185"/>
      <c r="I5000" s="185"/>
      <c r="J5000" s="185"/>
      <c r="K5000" s="185"/>
      <c r="L5000" s="185"/>
      <c r="M5000" s="184"/>
      <c r="N5000" s="185">
        <f>E5000*F5000</f>
        <v>120</v>
      </c>
      <c r="O5000" s="184"/>
      <c r="P5000" s="224"/>
      <c r="Q5000" s="224"/>
      <c r="R5000" s="224"/>
      <c r="S5000" s="224"/>
    </row>
    <row r="5001" spans="1:19" s="235" customFormat="1" x14ac:dyDescent="0.35">
      <c r="A5001" s="229"/>
      <c r="B5001" s="230"/>
      <c r="C5001" s="184"/>
      <c r="D5001" s="184"/>
      <c r="E5001" s="185"/>
      <c r="F5001" s="185"/>
      <c r="G5001" s="185"/>
      <c r="H5001" s="185"/>
      <c r="I5001" s="185"/>
      <c r="J5001" s="185"/>
      <c r="K5001" s="185"/>
      <c r="L5001" s="185"/>
      <c r="M5001" s="184"/>
      <c r="N5001" s="185"/>
      <c r="O5001" s="185"/>
      <c r="P5001" s="224"/>
      <c r="Q5001" s="224"/>
      <c r="R5001" s="224"/>
      <c r="S5001" s="224"/>
    </row>
    <row r="5002" spans="1:19" s="235" customFormat="1" x14ac:dyDescent="0.35">
      <c r="A5002" s="238"/>
      <c r="B5002" s="232" t="s">
        <v>5</v>
      </c>
      <c r="C5002" s="182" t="s">
        <v>1328</v>
      </c>
      <c r="D5002" s="185"/>
      <c r="E5002" s="182"/>
      <c r="F5002" s="182"/>
      <c r="G5002" s="182"/>
      <c r="H5002" s="182"/>
      <c r="I5002" s="182"/>
      <c r="J5002" s="182"/>
      <c r="K5002" s="182"/>
      <c r="L5002" s="182"/>
      <c r="M5002" s="182"/>
      <c r="N5002" s="182">
        <f>ROUND(SUM(N4999:N5001),2)</f>
        <v>184.35</v>
      </c>
      <c r="O5002" s="182"/>
      <c r="P5002" s="224"/>
      <c r="Q5002" s="224"/>
      <c r="R5002" s="224"/>
      <c r="S5002" s="224"/>
    </row>
    <row r="5003" spans="1:19" s="235" customFormat="1" ht="21" x14ac:dyDescent="0.35">
      <c r="A5003" s="226" t="str">
        <f>ORÇAMENTO!A925</f>
        <v>7.2.2</v>
      </c>
      <c r="B5003" s="227" t="str">
        <f>VLOOKUP(A5003,ORÇAMENTO!A:K,4,0)</f>
        <v>DESASSOREAMENTO, LIMPEZA E REMOÇÃO DE MATERIAL DE GALERIA MOLDADA</v>
      </c>
      <c r="C5003" s="173" t="str">
        <f>VLOOKUP(A5003,ORÇAMENTO!A:K,5,0)</f>
        <v>M³</v>
      </c>
      <c r="D5003" s="173">
        <f>SUM(E5007:O5007)</f>
        <v>61.13</v>
      </c>
      <c r="E5003" s="173" t="s">
        <v>1718</v>
      </c>
      <c r="F5003" s="173" t="s">
        <v>1719</v>
      </c>
      <c r="G5003" s="173" t="s">
        <v>1720</v>
      </c>
      <c r="H5003" s="173" t="s">
        <v>1721</v>
      </c>
      <c r="I5003" s="173" t="s">
        <v>1722</v>
      </c>
      <c r="J5003" s="173" t="s">
        <v>1723</v>
      </c>
      <c r="K5003" s="173" t="s">
        <v>1724</v>
      </c>
      <c r="L5003" s="173" t="s">
        <v>1726</v>
      </c>
      <c r="M5003" s="207" t="s">
        <v>1750</v>
      </c>
      <c r="N5003" s="173" t="s">
        <v>1727</v>
      </c>
      <c r="O5003" s="173" t="s">
        <v>1728</v>
      </c>
      <c r="P5003" s="224"/>
      <c r="Q5003" s="224"/>
      <c r="R5003" s="224"/>
      <c r="S5003" s="224"/>
    </row>
    <row r="5004" spans="1:19" s="235" customFormat="1" x14ac:dyDescent="0.35">
      <c r="A5004" s="229"/>
      <c r="B5004" s="232"/>
      <c r="C5004" s="184"/>
      <c r="D5004" s="184"/>
      <c r="E5004" s="184"/>
      <c r="F5004" s="184"/>
      <c r="G5004" s="184"/>
      <c r="H5004" s="184"/>
      <c r="I5004" s="184"/>
      <c r="J5004" s="184"/>
      <c r="K5004" s="184"/>
      <c r="L5004" s="184"/>
      <c r="M5004" s="184"/>
      <c r="N5004" s="184"/>
      <c r="O5004" s="184"/>
      <c r="P5004" s="224"/>
      <c r="Q5004" s="224"/>
      <c r="R5004" s="224"/>
      <c r="S5004" s="224"/>
    </row>
    <row r="5005" spans="1:19" s="235" customFormat="1" x14ac:dyDescent="0.35">
      <c r="A5005" s="229"/>
      <c r="B5005" s="230" t="str">
        <f>B4999</f>
        <v>DISSIPADOR DE ENERGIA EXISTENTE</v>
      </c>
      <c r="C5005" s="177"/>
      <c r="D5005" s="177"/>
      <c r="E5005" s="178">
        <f>E4999</f>
        <v>9.75</v>
      </c>
      <c r="F5005" s="178">
        <f>F4999</f>
        <v>6.6</v>
      </c>
      <c r="G5005" s="178"/>
      <c r="H5005" s="178">
        <f>H4999</f>
        <v>0.95</v>
      </c>
      <c r="I5005" s="178"/>
      <c r="J5005" s="178"/>
      <c r="K5005" s="178"/>
      <c r="L5005" s="178"/>
      <c r="M5005" s="178"/>
      <c r="N5005" s="185">
        <f>E5005*F5005</f>
        <v>64.349999999999994</v>
      </c>
      <c r="O5005" s="178">
        <f>H5005*N5005</f>
        <v>61.132499999999993</v>
      </c>
      <c r="P5005" s="224"/>
      <c r="Q5005" s="224"/>
      <c r="R5005" s="224"/>
      <c r="S5005" s="224"/>
    </row>
    <row r="5006" spans="1:19" s="235" customFormat="1" x14ac:dyDescent="0.35">
      <c r="A5006" s="229"/>
      <c r="B5006" s="230"/>
      <c r="C5006" s="184"/>
      <c r="D5006" s="184"/>
      <c r="E5006" s="184"/>
      <c r="F5006" s="184"/>
      <c r="G5006" s="184"/>
      <c r="H5006" s="184"/>
      <c r="I5006" s="184"/>
      <c r="J5006" s="184"/>
      <c r="K5006" s="184"/>
      <c r="L5006" s="184"/>
      <c r="M5006" s="184"/>
      <c r="N5006" s="184"/>
      <c r="O5006" s="184"/>
      <c r="P5006" s="224"/>
      <c r="Q5006" s="224"/>
      <c r="R5006" s="224"/>
      <c r="S5006" s="224"/>
    </row>
    <row r="5007" spans="1:19" s="235" customFormat="1" x14ac:dyDescent="0.35">
      <c r="A5007" s="238"/>
      <c r="B5007" s="232" t="s">
        <v>5</v>
      </c>
      <c r="C5007" s="208" t="s">
        <v>1328</v>
      </c>
      <c r="D5007" s="208"/>
      <c r="E5007" s="208"/>
      <c r="F5007" s="208"/>
      <c r="G5007" s="208"/>
      <c r="H5007" s="208"/>
      <c r="I5007" s="208"/>
      <c r="J5007" s="208"/>
      <c r="K5007" s="208"/>
      <c r="L5007" s="184"/>
      <c r="M5007" s="208"/>
      <c r="N5007" s="208"/>
      <c r="O5007" s="182">
        <f>ROUND(SUM(O5005:O5006),2)</f>
        <v>61.13</v>
      </c>
      <c r="P5007" s="224"/>
      <c r="Q5007" s="224"/>
      <c r="R5007" s="224"/>
      <c r="S5007" s="224"/>
    </row>
    <row r="5008" spans="1:19" s="225" customFormat="1" ht="10.5" x14ac:dyDescent="0.25">
      <c r="A5008" s="222" t="str">
        <f>ORÇAMENTO!A926</f>
        <v>7.3</v>
      </c>
      <c r="B5008" s="223" t="str">
        <f>VLOOKUP(A5008,ORÇAMENTO!A:K,4,0)</f>
        <v>MANUTENÇÃO DE DISPOSITIVOS EXISTENTES</v>
      </c>
      <c r="C5008" s="167"/>
      <c r="D5008" s="167"/>
      <c r="E5008" s="168"/>
      <c r="F5008" s="168"/>
      <c r="G5008" s="168"/>
      <c r="H5008" s="168"/>
      <c r="I5008" s="168"/>
      <c r="J5008" s="168"/>
      <c r="K5008" s="168"/>
      <c r="L5008" s="168"/>
      <c r="M5008" s="168"/>
      <c r="N5008" s="168"/>
      <c r="O5008" s="168"/>
      <c r="P5008" s="224"/>
      <c r="Q5008" s="224"/>
    </row>
    <row r="5009" spans="1:19" s="225" customFormat="1" ht="10.5" x14ac:dyDescent="0.25">
      <c r="A5009" s="222" t="str">
        <f>ORÇAMENTO!A927</f>
        <v>7.3.1</v>
      </c>
      <c r="B5009" s="223" t="str">
        <f>VLOOKUP(A5009,ORÇAMENTO!A:K,4,0)</f>
        <v>LIMPEZA E DESOBSTRUÇÃO DE BOCA DE LOBO</v>
      </c>
      <c r="C5009" s="167"/>
      <c r="D5009" s="167"/>
      <c r="E5009" s="168"/>
      <c r="F5009" s="168"/>
      <c r="G5009" s="168"/>
      <c r="H5009" s="168"/>
      <c r="I5009" s="168"/>
      <c r="J5009" s="168"/>
      <c r="K5009" s="168"/>
      <c r="L5009" s="168"/>
      <c r="M5009" s="168"/>
      <c r="N5009" s="168"/>
      <c r="O5009" s="168"/>
      <c r="P5009" s="224"/>
      <c r="Q5009" s="224"/>
    </row>
    <row r="5010" spans="1:19" s="235" customFormat="1" ht="21" x14ac:dyDescent="0.35">
      <c r="A5010" s="226" t="str">
        <f>ORÇAMENTO!A928</f>
        <v>7.3.1.1</v>
      </c>
      <c r="B5010" s="227" t="str">
        <f>VLOOKUP(A5010,ORÇAMENTO!A:K,4,0)</f>
        <v>DESOBSTRUÇÃO E LIMPEZA DE BOCA-DE-LOBO</v>
      </c>
      <c r="C5010" s="173" t="str">
        <f>VLOOKUP(A5010,ORÇAMENTO!A:K,5,0)</f>
        <v>UN</v>
      </c>
      <c r="D5010" s="173">
        <f>SUM(E5013:O5013)</f>
        <v>135</v>
      </c>
      <c r="E5010" s="173" t="s">
        <v>1752</v>
      </c>
      <c r="F5010" s="173" t="s">
        <v>1719</v>
      </c>
      <c r="G5010" s="173" t="s">
        <v>1720</v>
      </c>
      <c r="H5010" s="173" t="s">
        <v>1721</v>
      </c>
      <c r="I5010" s="173" t="s">
        <v>1722</v>
      </c>
      <c r="J5010" s="173" t="s">
        <v>1723</v>
      </c>
      <c r="K5010" s="173" t="s">
        <v>1746</v>
      </c>
      <c r="L5010" s="173" t="s">
        <v>1753</v>
      </c>
      <c r="M5010" s="173" t="s">
        <v>1726</v>
      </c>
      <c r="N5010" s="173" t="s">
        <v>1727</v>
      </c>
      <c r="O5010" s="173" t="s">
        <v>1728</v>
      </c>
      <c r="P5010" s="224"/>
      <c r="Q5010" s="224"/>
      <c r="R5010" s="224"/>
      <c r="S5010" s="224"/>
    </row>
    <row r="5011" spans="1:19" s="235" customFormat="1" x14ac:dyDescent="0.35">
      <c r="A5011" s="229"/>
      <c r="B5011" s="230" t="s">
        <v>1866</v>
      </c>
      <c r="C5011" s="184"/>
      <c r="D5011" s="185"/>
      <c r="E5011" s="185"/>
      <c r="F5011" s="185"/>
      <c r="G5011" s="185"/>
      <c r="H5011" s="185"/>
      <c r="I5011" s="185"/>
      <c r="J5011" s="185"/>
      <c r="K5011" s="185"/>
      <c r="L5011" s="185"/>
      <c r="M5011" s="185">
        <f>'Planilha Hidráulica'!AC199</f>
        <v>135</v>
      </c>
      <c r="N5011" s="185"/>
      <c r="O5011" s="185"/>
      <c r="P5011" s="224"/>
      <c r="Q5011" s="224"/>
      <c r="R5011" s="224"/>
      <c r="S5011" s="224"/>
    </row>
    <row r="5012" spans="1:19" s="235" customFormat="1" x14ac:dyDescent="0.35">
      <c r="A5012" s="229"/>
      <c r="B5012" s="230"/>
      <c r="C5012" s="184"/>
      <c r="D5012" s="185"/>
      <c r="E5012" s="185"/>
      <c r="F5012" s="185"/>
      <c r="G5012" s="185"/>
      <c r="H5012" s="185"/>
      <c r="I5012" s="185"/>
      <c r="J5012" s="185"/>
      <c r="K5012" s="185"/>
      <c r="L5012" s="185"/>
      <c r="M5012" s="185"/>
      <c r="N5012" s="185"/>
      <c r="O5012" s="185"/>
      <c r="P5012" s="224"/>
      <c r="Q5012" s="224"/>
      <c r="R5012" s="224"/>
      <c r="S5012" s="224"/>
    </row>
    <row r="5013" spans="1:19" s="225" customFormat="1" ht="10.5" x14ac:dyDescent="0.3">
      <c r="A5013" s="229"/>
      <c r="B5013" s="232" t="s">
        <v>5</v>
      </c>
      <c r="C5013" s="216" t="s">
        <v>1328</v>
      </c>
      <c r="D5013" s="216"/>
      <c r="E5013" s="216"/>
      <c r="F5013" s="216"/>
      <c r="G5013" s="216"/>
      <c r="H5013" s="216"/>
      <c r="I5013" s="216"/>
      <c r="J5013" s="216"/>
      <c r="K5013" s="216"/>
      <c r="L5013" s="216"/>
      <c r="M5013" s="208">
        <f>SUM(M5011:M5012)</f>
        <v>135</v>
      </c>
      <c r="N5013" s="216"/>
      <c r="O5013" s="208"/>
      <c r="P5013" s="243"/>
    </row>
    <row r="5014" spans="1:19" s="225" customFormat="1" ht="10.5" x14ac:dyDescent="0.25">
      <c r="A5014" s="222" t="str">
        <f>ORÇAMENTO!A929</f>
        <v>7.3.2</v>
      </c>
      <c r="B5014" s="223" t="str">
        <f>VLOOKUP(A5014,ORÇAMENTO!A:K,4,0)</f>
        <v>LIMPEZA E DESOBSTRUÇÃO DE POÇOS DE VISITA</v>
      </c>
      <c r="C5014" s="167"/>
      <c r="D5014" s="167"/>
      <c r="E5014" s="168"/>
      <c r="F5014" s="168"/>
      <c r="G5014" s="168"/>
      <c r="H5014" s="168"/>
      <c r="I5014" s="168"/>
      <c r="J5014" s="168"/>
      <c r="K5014" s="168"/>
      <c r="L5014" s="168"/>
      <c r="M5014" s="168"/>
      <c r="N5014" s="168"/>
      <c r="O5014" s="168"/>
      <c r="P5014" s="224"/>
      <c r="Q5014" s="224"/>
    </row>
    <row r="5015" spans="1:19" s="235" customFormat="1" ht="21" x14ac:dyDescent="0.35">
      <c r="A5015" s="226" t="str">
        <f>ORÇAMENTO!A930</f>
        <v>7.3.2.1</v>
      </c>
      <c r="B5015" s="227" t="str">
        <f>VLOOKUP(A5015,ORÇAMENTO!A:K,4,0)</f>
        <v>BOMBEAMENTO DE POCO DE VISITA</v>
      </c>
      <c r="C5015" s="173"/>
      <c r="D5015" s="173">
        <f>SUM(E5016:O5016)</f>
        <v>38</v>
      </c>
      <c r="E5015" s="173" t="s">
        <v>1752</v>
      </c>
      <c r="F5015" s="173" t="s">
        <v>1719</v>
      </c>
      <c r="G5015" s="173" t="s">
        <v>1720</v>
      </c>
      <c r="H5015" s="173" t="s">
        <v>1721</v>
      </c>
      <c r="I5015" s="173" t="s">
        <v>1722</v>
      </c>
      <c r="J5015" s="173" t="s">
        <v>1723</v>
      </c>
      <c r="K5015" s="173" t="s">
        <v>1746</v>
      </c>
      <c r="L5015" s="173" t="s">
        <v>1753</v>
      </c>
      <c r="M5015" s="173" t="s">
        <v>1726</v>
      </c>
      <c r="N5015" s="173" t="s">
        <v>1727</v>
      </c>
      <c r="O5015" s="173" t="s">
        <v>1728</v>
      </c>
      <c r="P5015" s="224"/>
      <c r="Q5015" s="224"/>
      <c r="R5015" s="224"/>
      <c r="S5015" s="224"/>
    </row>
    <row r="5016" spans="1:19" s="225" customFormat="1" ht="10.5" x14ac:dyDescent="0.3">
      <c r="A5016" s="229"/>
      <c r="B5016" s="230" t="s">
        <v>1867</v>
      </c>
      <c r="C5016" s="185"/>
      <c r="D5016" s="185"/>
      <c r="E5016" s="185"/>
      <c r="F5016" s="185"/>
      <c r="G5016" s="185"/>
      <c r="H5016" s="185"/>
      <c r="I5016" s="185"/>
      <c r="J5016" s="185"/>
      <c r="K5016" s="185"/>
      <c r="L5016" s="197"/>
      <c r="M5016" s="197">
        <v>38</v>
      </c>
      <c r="N5016" s="185"/>
      <c r="O5016" s="185"/>
      <c r="P5016" s="244"/>
    </row>
    <row r="5017" spans="1:19" s="225" customFormat="1" ht="10.5" x14ac:dyDescent="0.3">
      <c r="A5017" s="229"/>
      <c r="B5017" s="230"/>
      <c r="C5017" s="185"/>
      <c r="D5017" s="185"/>
      <c r="E5017" s="185"/>
      <c r="F5017" s="185"/>
      <c r="G5017" s="185"/>
      <c r="H5017" s="185"/>
      <c r="I5017" s="185"/>
      <c r="J5017" s="185"/>
      <c r="K5017" s="185"/>
      <c r="L5017" s="197"/>
      <c r="M5017" s="197"/>
      <c r="N5017" s="185"/>
      <c r="O5017" s="185"/>
      <c r="P5017" s="244"/>
    </row>
    <row r="5018" spans="1:19" s="225" customFormat="1" ht="10.5" x14ac:dyDescent="0.3">
      <c r="A5018" s="229"/>
      <c r="B5018" s="232" t="s">
        <v>5</v>
      </c>
      <c r="C5018" s="216" t="s">
        <v>1328</v>
      </c>
      <c r="D5018" s="216"/>
      <c r="E5018" s="216"/>
      <c r="F5018" s="216"/>
      <c r="G5018" s="216"/>
      <c r="H5018" s="216"/>
      <c r="I5018" s="216"/>
      <c r="J5018" s="216"/>
      <c r="K5018" s="216"/>
      <c r="L5018" s="208"/>
      <c r="M5018" s="208">
        <f>SUM(M5016:M5016)</f>
        <v>38</v>
      </c>
      <c r="N5018" s="216"/>
      <c r="O5018" s="216"/>
      <c r="P5018" s="243"/>
    </row>
    <row r="5019" spans="1:19" s="235" customFormat="1" ht="21" x14ac:dyDescent="0.35">
      <c r="A5019" s="226" t="str">
        <f>ORÇAMENTO!A931</f>
        <v>7.3.2.2</v>
      </c>
      <c r="B5019" s="227" t="str">
        <f>VLOOKUP(A5019,ORÇAMENTO!A:K,4,0)</f>
        <v>LIMPEZA PV</v>
      </c>
      <c r="C5019" s="173"/>
      <c r="D5019" s="173">
        <f>SUM(E5020:O5020)</f>
        <v>38</v>
      </c>
      <c r="E5019" s="173" t="s">
        <v>1752</v>
      </c>
      <c r="F5019" s="173" t="s">
        <v>1719</v>
      </c>
      <c r="G5019" s="173" t="s">
        <v>1720</v>
      </c>
      <c r="H5019" s="173" t="s">
        <v>1721</v>
      </c>
      <c r="I5019" s="173" t="s">
        <v>1722</v>
      </c>
      <c r="J5019" s="173" t="s">
        <v>1723</v>
      </c>
      <c r="K5019" s="173" t="s">
        <v>1746</v>
      </c>
      <c r="L5019" s="173" t="s">
        <v>1753</v>
      </c>
      <c r="M5019" s="173" t="s">
        <v>1726</v>
      </c>
      <c r="N5019" s="173" t="s">
        <v>1727</v>
      </c>
      <c r="O5019" s="173" t="s">
        <v>1728</v>
      </c>
      <c r="P5019" s="224"/>
      <c r="Q5019" s="224"/>
      <c r="R5019" s="224"/>
      <c r="S5019" s="224"/>
    </row>
    <row r="5020" spans="1:19" s="225" customFormat="1" ht="10.5" x14ac:dyDescent="0.3">
      <c r="A5020" s="229"/>
      <c r="B5020" s="230" t="s">
        <v>1867</v>
      </c>
      <c r="C5020" s="185"/>
      <c r="D5020" s="185"/>
      <c r="E5020" s="185"/>
      <c r="F5020" s="185"/>
      <c r="G5020" s="185"/>
      <c r="H5020" s="185"/>
      <c r="I5020" s="185"/>
      <c r="J5020" s="185"/>
      <c r="K5020" s="185"/>
      <c r="L5020" s="197"/>
      <c r="M5020" s="197">
        <f>M5016</f>
        <v>38</v>
      </c>
      <c r="N5020" s="185"/>
      <c r="O5020" s="185"/>
      <c r="P5020" s="244"/>
    </row>
    <row r="5021" spans="1:19" s="225" customFormat="1" ht="10.5" x14ac:dyDescent="0.3">
      <c r="A5021" s="229"/>
      <c r="B5021" s="230"/>
      <c r="C5021" s="185"/>
      <c r="D5021" s="185"/>
      <c r="E5021" s="185"/>
      <c r="F5021" s="185"/>
      <c r="G5021" s="185"/>
      <c r="H5021" s="185"/>
      <c r="I5021" s="185"/>
      <c r="J5021" s="185"/>
      <c r="K5021" s="185"/>
      <c r="L5021" s="197"/>
      <c r="M5021" s="197"/>
      <c r="N5021" s="185"/>
      <c r="O5021" s="185"/>
      <c r="P5021" s="244"/>
    </row>
    <row r="5022" spans="1:19" s="225" customFormat="1" ht="10.5" x14ac:dyDescent="0.3">
      <c r="A5022" s="229"/>
      <c r="B5022" s="232" t="s">
        <v>5</v>
      </c>
      <c r="C5022" s="216" t="s">
        <v>1328</v>
      </c>
      <c r="D5022" s="216"/>
      <c r="E5022" s="216"/>
      <c r="F5022" s="216"/>
      <c r="G5022" s="216"/>
      <c r="H5022" s="216"/>
      <c r="I5022" s="216"/>
      <c r="J5022" s="216"/>
      <c r="K5022" s="216"/>
      <c r="L5022" s="208"/>
      <c r="M5022" s="208">
        <f>SUM(M5020:M5020)</f>
        <v>38</v>
      </c>
      <c r="N5022" s="216"/>
      <c r="O5022" s="216"/>
      <c r="P5022" s="243"/>
    </row>
    <row r="5023" spans="1:19" s="225" customFormat="1" ht="10.5" x14ac:dyDescent="0.25">
      <c r="A5023" s="222" t="str">
        <f>ORÇAMENTO!A932</f>
        <v>7.4</v>
      </c>
      <c r="B5023" s="223" t="str">
        <f>VLOOKUP(A5023,ORÇAMENTO!A:K,4,0)</f>
        <v>REVITALIZAÇÃO DE POÇO DE VISITA SOB ASFALTO</v>
      </c>
      <c r="C5023" s="167"/>
      <c r="D5023" s="167"/>
      <c r="E5023" s="168"/>
      <c r="F5023" s="168"/>
      <c r="G5023" s="168"/>
      <c r="H5023" s="168"/>
      <c r="I5023" s="168"/>
      <c r="J5023" s="168"/>
      <c r="K5023" s="168"/>
      <c r="L5023" s="168"/>
      <c r="M5023" s="168"/>
      <c r="N5023" s="168"/>
      <c r="O5023" s="168"/>
      <c r="P5023" s="224"/>
      <c r="Q5023" s="224"/>
    </row>
    <row r="5024" spans="1:19" s="235" customFormat="1" ht="21" x14ac:dyDescent="0.35">
      <c r="A5024" s="226" t="str">
        <f>ORÇAMENTO!A933</f>
        <v>7.4.1</v>
      </c>
      <c r="B5024" s="227" t="str">
        <f>VLOOKUP(A5024,ORÇAMENTO!A:K,4,0)</f>
        <v>TELA TAPUME, COR LARANJA, COM SUPORTE A CADA 2M (FORNECIMENTO E INSTALAÇÃO)</v>
      </c>
      <c r="C5024" s="173" t="str">
        <f>VLOOKUP(A5024,ORÇAMENTO!A:K,5,0)</f>
        <v>M</v>
      </c>
      <c r="D5024" s="173">
        <f>SUM(D5030:N5030)</f>
        <v>57.599999999999994</v>
      </c>
      <c r="E5024" s="173" t="s">
        <v>1718</v>
      </c>
      <c r="F5024" s="173" t="s">
        <v>1719</v>
      </c>
      <c r="G5024" s="173" t="s">
        <v>1720</v>
      </c>
      <c r="H5024" s="173" t="s">
        <v>1721</v>
      </c>
      <c r="I5024" s="173" t="s">
        <v>1722</v>
      </c>
      <c r="J5024" s="173" t="s">
        <v>1723</v>
      </c>
      <c r="K5024" s="173" t="s">
        <v>1746</v>
      </c>
      <c r="L5024" s="173" t="s">
        <v>1753</v>
      </c>
      <c r="M5024" s="173" t="s">
        <v>1726</v>
      </c>
      <c r="N5024" s="173" t="s">
        <v>1727</v>
      </c>
      <c r="O5024" s="173" t="s">
        <v>1728</v>
      </c>
      <c r="P5024" s="224"/>
      <c r="Q5024" s="224"/>
      <c r="R5024" s="224"/>
      <c r="S5024" s="224"/>
    </row>
    <row r="5025" spans="1:17" s="225" customFormat="1" ht="10.5" x14ac:dyDescent="0.25">
      <c r="A5025" s="229"/>
      <c r="B5025" s="230"/>
      <c r="C5025" s="177"/>
      <c r="D5025" s="178"/>
      <c r="E5025" s="178"/>
      <c r="F5025" s="178"/>
      <c r="G5025" s="178"/>
      <c r="H5025" s="178"/>
      <c r="I5025" s="178"/>
      <c r="J5025" s="178"/>
      <c r="K5025" s="178"/>
      <c r="L5025" s="180"/>
      <c r="M5025" s="178"/>
      <c r="N5025" s="178"/>
      <c r="O5025" s="178"/>
      <c r="P5025" s="231"/>
      <c r="Q5025" s="224"/>
    </row>
    <row r="5026" spans="1:17" s="225" customFormat="1" ht="21" x14ac:dyDescent="0.3">
      <c r="A5026" s="229"/>
      <c r="B5026" s="230" t="s">
        <v>1868</v>
      </c>
      <c r="C5026" s="185"/>
      <c r="D5026" s="185"/>
      <c r="E5026" s="185"/>
      <c r="F5026" s="185"/>
      <c r="G5026" s="185"/>
      <c r="H5026" s="185"/>
      <c r="I5026" s="185"/>
      <c r="J5026" s="185"/>
      <c r="K5026" s="185"/>
      <c r="L5026" s="197"/>
      <c r="M5026" s="185">
        <v>8</v>
      </c>
      <c r="N5026" s="185"/>
      <c r="O5026" s="185"/>
      <c r="P5026" s="244"/>
    </row>
    <row r="5027" spans="1:17" s="225" customFormat="1" ht="10.5" x14ac:dyDescent="0.25">
      <c r="A5027" s="229"/>
      <c r="B5027" s="230" t="s">
        <v>1890</v>
      </c>
      <c r="C5027" s="177"/>
      <c r="D5027" s="178"/>
      <c r="E5027" s="178">
        <f>0.6+0.6*2</f>
        <v>1.7999999999999998</v>
      </c>
      <c r="F5027" s="178">
        <f>0.6+0.6*2</f>
        <v>1.7999999999999998</v>
      </c>
      <c r="G5027" s="178"/>
      <c r="H5027" s="178"/>
      <c r="I5027" s="178">
        <f>2*E5027+2*F5027</f>
        <v>7.1999999999999993</v>
      </c>
      <c r="J5027" s="178"/>
      <c r="K5027" s="178"/>
      <c r="L5027" s="180"/>
      <c r="M5027" s="178"/>
      <c r="N5027" s="178"/>
      <c r="O5027" s="178"/>
      <c r="P5027" s="231"/>
      <c r="Q5027" s="224"/>
    </row>
    <row r="5028" spans="1:17" s="225" customFormat="1" ht="10.5" x14ac:dyDescent="0.25">
      <c r="A5028" s="229"/>
      <c r="B5028" s="230"/>
      <c r="C5028" s="177"/>
      <c r="D5028" s="178"/>
      <c r="E5028" s="178"/>
      <c r="F5028" s="178"/>
      <c r="G5028" s="178"/>
      <c r="H5028" s="178"/>
      <c r="I5028" s="178">
        <f>I5027*M5026</f>
        <v>57.599999999999994</v>
      </c>
      <c r="J5028" s="178"/>
      <c r="K5028" s="178"/>
      <c r="L5028" s="180"/>
      <c r="M5028" s="178"/>
      <c r="N5028" s="178"/>
      <c r="O5028" s="178"/>
      <c r="P5028" s="231"/>
      <c r="Q5028" s="224"/>
    </row>
    <row r="5029" spans="1:17" s="225" customFormat="1" ht="10.5" x14ac:dyDescent="0.25">
      <c r="A5029" s="229"/>
      <c r="B5029" s="230"/>
      <c r="C5029" s="177"/>
      <c r="D5029" s="178"/>
      <c r="E5029" s="178"/>
      <c r="F5029" s="178"/>
      <c r="G5029" s="178"/>
      <c r="H5029" s="178"/>
      <c r="I5029" s="178"/>
      <c r="J5029" s="178"/>
      <c r="K5029" s="178"/>
      <c r="L5029" s="180"/>
      <c r="M5029" s="178"/>
      <c r="N5029" s="178"/>
      <c r="O5029" s="178"/>
      <c r="P5029" s="231"/>
      <c r="Q5029" s="224"/>
    </row>
    <row r="5030" spans="1:17" s="225" customFormat="1" ht="10.5" x14ac:dyDescent="0.3">
      <c r="A5030" s="229"/>
      <c r="B5030" s="232" t="s">
        <v>5</v>
      </c>
      <c r="C5030" s="216" t="s">
        <v>1328</v>
      </c>
      <c r="D5030" s="216"/>
      <c r="E5030" s="216"/>
      <c r="F5030" s="216"/>
      <c r="G5030" s="216"/>
      <c r="H5030" s="216"/>
      <c r="I5030" s="182">
        <f>I5028</f>
        <v>57.599999999999994</v>
      </c>
      <c r="J5030" s="216"/>
      <c r="K5030" s="216"/>
      <c r="L5030" s="208"/>
      <c r="M5030" s="208"/>
      <c r="N5030" s="216"/>
      <c r="O5030" s="216"/>
      <c r="P5030" s="243"/>
    </row>
    <row r="5031" spans="1:17" s="228" customFormat="1" ht="31.5" x14ac:dyDescent="0.25">
      <c r="A5031" s="226" t="str">
        <f>ORÇAMENTO!A934</f>
        <v>7.4.2</v>
      </c>
      <c r="B5031" s="227" t="str">
        <f>VLOOKUP(A5031,ORÇAMENTO!A:K,4,0)</f>
        <v>DEMOLIÇÃO PARCIAL DE PAVIMENTO ASFÁLTICO, DE FORMA MECANIZADA, SEM REAPROVEITAMENTO. AF_09/2023</v>
      </c>
      <c r="C5031" s="173" t="str">
        <f>VLOOKUP(A5031,ORÇAMENTO!A:K,5,0)</f>
        <v>M²</v>
      </c>
      <c r="D5031" s="173">
        <f>SUM(E5035:O5035)</f>
        <v>25.919999999999995</v>
      </c>
      <c r="E5031" s="173" t="s">
        <v>1718</v>
      </c>
      <c r="F5031" s="173" t="s">
        <v>1719</v>
      </c>
      <c r="G5031" s="173" t="s">
        <v>1720</v>
      </c>
      <c r="H5031" s="173" t="s">
        <v>1721</v>
      </c>
      <c r="I5031" s="173" t="s">
        <v>1722</v>
      </c>
      <c r="J5031" s="173" t="s">
        <v>1723</v>
      </c>
      <c r="K5031" s="173" t="s">
        <v>1724</v>
      </c>
      <c r="L5031" s="173" t="s">
        <v>1725</v>
      </c>
      <c r="M5031" s="173" t="s">
        <v>1726</v>
      </c>
      <c r="N5031" s="173" t="s">
        <v>1727</v>
      </c>
      <c r="O5031" s="173" t="s">
        <v>1728</v>
      </c>
      <c r="P5031" s="224"/>
      <c r="Q5031" s="224"/>
    </row>
    <row r="5032" spans="1:17" s="225" customFormat="1" ht="21" x14ac:dyDescent="0.25">
      <c r="A5032" s="229"/>
      <c r="B5032" s="230" t="s">
        <v>1868</v>
      </c>
      <c r="C5032" s="184"/>
      <c r="D5032" s="185"/>
      <c r="E5032" s="185"/>
      <c r="F5032" s="185"/>
      <c r="G5032" s="185"/>
      <c r="H5032" s="185"/>
      <c r="I5032" s="185"/>
      <c r="J5032" s="185"/>
      <c r="K5032" s="185"/>
      <c r="L5032" s="185"/>
      <c r="M5032" s="185">
        <f>M5026</f>
        <v>8</v>
      </c>
      <c r="N5032" s="185"/>
      <c r="O5032" s="185"/>
      <c r="P5032" s="231"/>
      <c r="Q5032" s="224"/>
    </row>
    <row r="5033" spans="1:17" s="225" customFormat="1" ht="10.5" x14ac:dyDescent="0.25">
      <c r="A5033" s="229"/>
      <c r="B5033" s="230" t="s">
        <v>1748</v>
      </c>
      <c r="C5033" s="184"/>
      <c r="D5033" s="185"/>
      <c r="E5033" s="185">
        <f>E5027</f>
        <v>1.7999999999999998</v>
      </c>
      <c r="F5033" s="185">
        <f>F5027</f>
        <v>1.7999999999999998</v>
      </c>
      <c r="G5033" s="185"/>
      <c r="H5033" s="185">
        <v>0.03</v>
      </c>
      <c r="I5033" s="185"/>
      <c r="J5033" s="185"/>
      <c r="K5033" s="185"/>
      <c r="L5033" s="185"/>
      <c r="M5033" s="185"/>
      <c r="N5033" s="185">
        <f>M5032*E5033*F5033</f>
        <v>25.919999999999995</v>
      </c>
      <c r="O5033" s="185"/>
      <c r="P5033" s="231"/>
      <c r="Q5033" s="224"/>
    </row>
    <row r="5034" spans="1:17" s="225" customFormat="1" ht="10.5" x14ac:dyDescent="0.25">
      <c r="A5034" s="229"/>
      <c r="B5034" s="230"/>
      <c r="C5034" s="184"/>
      <c r="D5034" s="185"/>
      <c r="E5034" s="185"/>
      <c r="F5034" s="185"/>
      <c r="G5034" s="185"/>
      <c r="H5034" s="185"/>
      <c r="I5034" s="185"/>
      <c r="J5034" s="185"/>
      <c r="K5034" s="185"/>
      <c r="L5034" s="186"/>
      <c r="M5034" s="185"/>
      <c r="N5034" s="185"/>
      <c r="O5034" s="185"/>
      <c r="P5034" s="231"/>
      <c r="Q5034" s="224"/>
    </row>
    <row r="5035" spans="1:17" s="225" customFormat="1" ht="10.5" x14ac:dyDescent="0.25">
      <c r="A5035" s="229"/>
      <c r="B5035" s="232" t="s">
        <v>5</v>
      </c>
      <c r="C5035" s="182" t="s">
        <v>1328</v>
      </c>
      <c r="D5035" s="182"/>
      <c r="E5035" s="182"/>
      <c r="F5035" s="182"/>
      <c r="G5035" s="182"/>
      <c r="H5035" s="182"/>
      <c r="I5035" s="182"/>
      <c r="J5035" s="182"/>
      <c r="K5035" s="182"/>
      <c r="L5035" s="182"/>
      <c r="M5035" s="182"/>
      <c r="N5035" s="208">
        <f>SUM(N5033:N5034)</f>
        <v>25.919999999999995</v>
      </c>
      <c r="O5035" s="182"/>
      <c r="P5035" s="233"/>
      <c r="Q5035" s="224"/>
    </row>
    <row r="5036" spans="1:17" s="228" customFormat="1" ht="63" x14ac:dyDescent="0.25">
      <c r="A5036" s="226" t="str">
        <f>ORÇAMENTO!A935</f>
        <v>7.4.3</v>
      </c>
      <c r="B5036" s="227" t="str">
        <f>VLOOKUP(A5036,ORÇAMENTO!A:K,4,0)</f>
        <v>ESCAVAÇÃO MECANIZADA DE VALA COM PROF. ATÉ 1,5 M (MÉDIA MONTANTE E JUSANTE/UMA COMPOSIÇÃO POR TRECHO), ESCAVADEIRA (0,8 M3), LARG. DE 1,5 M A 2,5 M, EM SOLO DE 1A CATEGORIA, EM LOCAIS COM ALTO NÍVEL DE INTERFERÊNCIA. AF_09/2024</v>
      </c>
      <c r="C5036" s="173" t="str">
        <f>VLOOKUP(A5036,ORÇAMENTO!A:K,5,0)</f>
        <v>M³</v>
      </c>
      <c r="D5036" s="173">
        <f>SUM(E5047:O5047)</f>
        <v>8.8452000000001316</v>
      </c>
      <c r="E5036" s="173" t="s">
        <v>1718</v>
      </c>
      <c r="F5036" s="173" t="s">
        <v>1719</v>
      </c>
      <c r="G5036" s="173" t="s">
        <v>1720</v>
      </c>
      <c r="H5036" s="173" t="s">
        <v>1870</v>
      </c>
      <c r="I5036" s="173" t="s">
        <v>1721</v>
      </c>
      <c r="J5036" s="173" t="s">
        <v>1723</v>
      </c>
      <c r="K5036" s="173" t="s">
        <v>1724</v>
      </c>
      <c r="L5036" s="173" t="s">
        <v>1725</v>
      </c>
      <c r="M5036" s="173" t="s">
        <v>1726</v>
      </c>
      <c r="N5036" s="173" t="s">
        <v>1727</v>
      </c>
      <c r="O5036" s="173" t="s">
        <v>1728</v>
      </c>
      <c r="P5036" s="224"/>
      <c r="Q5036" s="224"/>
    </row>
    <row r="5037" spans="1:17" s="225" customFormat="1" ht="21" x14ac:dyDescent="0.25">
      <c r="A5037" s="229"/>
      <c r="B5037" s="230" t="s">
        <v>1868</v>
      </c>
      <c r="C5037" s="177"/>
      <c r="D5037" s="178"/>
      <c r="E5037" s="178"/>
      <c r="F5037" s="178"/>
      <c r="G5037" s="178"/>
      <c r="H5037" s="178"/>
      <c r="I5037" s="178"/>
      <c r="J5037" s="178"/>
      <c r="K5037" s="178"/>
      <c r="L5037" s="178"/>
      <c r="M5037" s="178"/>
      <c r="N5037" s="178"/>
      <c r="O5037" s="178"/>
      <c r="P5037" s="231"/>
      <c r="Q5037" s="224"/>
    </row>
    <row r="5038" spans="1:17" s="225" customFormat="1" ht="10.5" x14ac:dyDescent="0.25">
      <c r="A5038" s="229"/>
      <c r="B5038" s="230" t="s">
        <v>1664</v>
      </c>
      <c r="C5038" s="177"/>
      <c r="D5038" s="178"/>
      <c r="E5038" s="178">
        <v>1.8</v>
      </c>
      <c r="F5038" s="178">
        <v>1.8</v>
      </c>
      <c r="G5038" s="185">
        <f t="shared" ref="G5038:G5045" si="168">H5038-0.03</f>
        <v>0.11999999999999991</v>
      </c>
      <c r="H5038" s="178">
        <v>0.14999999999999991</v>
      </c>
      <c r="I5038" s="178"/>
      <c r="J5038" s="178"/>
      <c r="K5038" s="178"/>
      <c r="L5038" s="178"/>
      <c r="M5038" s="178"/>
      <c r="N5038" s="178"/>
      <c r="O5038" s="178">
        <f t="shared" ref="O5038:O5045" si="169">E5038*F5038*G5038</f>
        <v>0.38879999999999976</v>
      </c>
      <c r="P5038" s="231"/>
      <c r="Q5038" s="224"/>
    </row>
    <row r="5039" spans="1:17" s="225" customFormat="1" ht="10.5" x14ac:dyDescent="0.25">
      <c r="A5039" s="229"/>
      <c r="B5039" s="230" t="s">
        <v>1904</v>
      </c>
      <c r="C5039" s="177"/>
      <c r="D5039" s="178"/>
      <c r="E5039" s="178">
        <v>1.8</v>
      </c>
      <c r="F5039" s="178">
        <v>1.8</v>
      </c>
      <c r="G5039" s="185">
        <f t="shared" si="168"/>
        <v>0.11999999999999991</v>
      </c>
      <c r="H5039" s="178">
        <v>0.14999999999999991</v>
      </c>
      <c r="I5039" s="178"/>
      <c r="J5039" s="178"/>
      <c r="K5039" s="178"/>
      <c r="L5039" s="178"/>
      <c r="M5039" s="178"/>
      <c r="N5039" s="178"/>
      <c r="O5039" s="178">
        <f t="shared" si="169"/>
        <v>0.38879999999999976</v>
      </c>
      <c r="P5039" s="231"/>
      <c r="Q5039" s="224"/>
    </row>
    <row r="5040" spans="1:17" s="225" customFormat="1" ht="10.5" x14ac:dyDescent="0.25">
      <c r="A5040" s="229"/>
      <c r="B5040" s="230" t="s">
        <v>1679</v>
      </c>
      <c r="C5040" s="177"/>
      <c r="D5040" s="178"/>
      <c r="E5040" s="178">
        <v>1.8</v>
      </c>
      <c r="F5040" s="178">
        <v>1.8</v>
      </c>
      <c r="G5040" s="185">
        <f t="shared" si="168"/>
        <v>0.70000000000004081</v>
      </c>
      <c r="H5040" s="178">
        <v>0.73000000000004084</v>
      </c>
      <c r="I5040" s="178"/>
      <c r="J5040" s="178"/>
      <c r="K5040" s="178"/>
      <c r="L5040" s="178"/>
      <c r="M5040" s="178"/>
      <c r="N5040" s="178"/>
      <c r="O5040" s="178">
        <f t="shared" si="169"/>
        <v>2.2680000000001326</v>
      </c>
      <c r="P5040" s="231"/>
      <c r="Q5040" s="224"/>
    </row>
    <row r="5041" spans="1:19" s="225" customFormat="1" ht="10.5" x14ac:dyDescent="0.25">
      <c r="A5041" s="229"/>
      <c r="B5041" s="230" t="s">
        <v>1691</v>
      </c>
      <c r="C5041" s="177"/>
      <c r="D5041" s="178"/>
      <c r="E5041" s="178">
        <v>1.8</v>
      </c>
      <c r="F5041" s="178">
        <v>1.8</v>
      </c>
      <c r="G5041" s="185">
        <f t="shared" si="168"/>
        <v>0.11999999999999991</v>
      </c>
      <c r="H5041" s="178">
        <v>0.14999999999999991</v>
      </c>
      <c r="I5041" s="178"/>
      <c r="J5041" s="178"/>
      <c r="K5041" s="178"/>
      <c r="L5041" s="178"/>
      <c r="M5041" s="178"/>
      <c r="N5041" s="178"/>
      <c r="O5041" s="178">
        <f t="shared" si="169"/>
        <v>0.38879999999999976</v>
      </c>
      <c r="P5041" s="231"/>
      <c r="Q5041" s="224"/>
    </row>
    <row r="5042" spans="1:19" s="225" customFormat="1" ht="10.5" x14ac:dyDescent="0.25">
      <c r="A5042" s="229"/>
      <c r="B5042" s="230" t="s">
        <v>1693</v>
      </c>
      <c r="C5042" s="177"/>
      <c r="D5042" s="178"/>
      <c r="E5042" s="178">
        <v>1.8</v>
      </c>
      <c r="F5042" s="178">
        <v>1.8</v>
      </c>
      <c r="G5042" s="185">
        <f t="shared" si="168"/>
        <v>0.93999999999999972</v>
      </c>
      <c r="H5042" s="178">
        <v>0.96999999999999975</v>
      </c>
      <c r="I5042" s="178"/>
      <c r="J5042" s="178"/>
      <c r="K5042" s="178"/>
      <c r="L5042" s="178"/>
      <c r="M5042" s="178"/>
      <c r="N5042" s="178"/>
      <c r="O5042" s="178">
        <f t="shared" si="169"/>
        <v>3.0455999999999994</v>
      </c>
      <c r="P5042" s="231"/>
      <c r="Q5042" s="224"/>
    </row>
    <row r="5043" spans="1:19" s="225" customFormat="1" ht="10.5" x14ac:dyDescent="0.25">
      <c r="A5043" s="229"/>
      <c r="B5043" s="230" t="s">
        <v>1698</v>
      </c>
      <c r="C5043" s="177"/>
      <c r="D5043" s="178"/>
      <c r="E5043" s="178">
        <v>1.8</v>
      </c>
      <c r="F5043" s="178">
        <v>1.8</v>
      </c>
      <c r="G5043" s="185">
        <f t="shared" si="168"/>
        <v>0.11999999999999991</v>
      </c>
      <c r="H5043" s="178">
        <v>0.14999999999999991</v>
      </c>
      <c r="I5043" s="178"/>
      <c r="J5043" s="178"/>
      <c r="K5043" s="178"/>
      <c r="L5043" s="178"/>
      <c r="M5043" s="178"/>
      <c r="N5043" s="178"/>
      <c r="O5043" s="178">
        <f t="shared" si="169"/>
        <v>0.38879999999999976</v>
      </c>
      <c r="P5043" s="231"/>
      <c r="Q5043" s="224"/>
    </row>
    <row r="5044" spans="1:19" s="225" customFormat="1" ht="10.5" x14ac:dyDescent="0.25">
      <c r="A5044" s="229"/>
      <c r="B5044" s="230" t="s">
        <v>1704</v>
      </c>
      <c r="C5044" s="177"/>
      <c r="D5044" s="178"/>
      <c r="E5044" s="178">
        <v>1.8</v>
      </c>
      <c r="F5044" s="178">
        <v>1.8</v>
      </c>
      <c r="G5044" s="185">
        <f t="shared" si="168"/>
        <v>0.11999999999999991</v>
      </c>
      <c r="H5044" s="178">
        <v>0.14999999999999991</v>
      </c>
      <c r="I5044" s="178"/>
      <c r="J5044" s="178"/>
      <c r="K5044" s="178"/>
      <c r="L5044" s="178"/>
      <c r="M5044" s="178"/>
      <c r="N5044" s="178"/>
      <c r="O5044" s="178">
        <f t="shared" si="169"/>
        <v>0.38879999999999976</v>
      </c>
      <c r="P5044" s="231"/>
      <c r="Q5044" s="224"/>
    </row>
    <row r="5045" spans="1:19" s="225" customFormat="1" ht="10.5" x14ac:dyDescent="0.25">
      <c r="A5045" s="229"/>
      <c r="B5045" s="230" t="s">
        <v>1708</v>
      </c>
      <c r="C5045" s="177"/>
      <c r="D5045" s="178"/>
      <c r="E5045" s="178">
        <v>1.8</v>
      </c>
      <c r="F5045" s="178">
        <v>1.8</v>
      </c>
      <c r="G5045" s="185">
        <f t="shared" si="168"/>
        <v>0.49</v>
      </c>
      <c r="H5045" s="178">
        <v>0.52</v>
      </c>
      <c r="I5045" s="178"/>
      <c r="J5045" s="178"/>
      <c r="K5045" s="178"/>
      <c r="L5045" s="178"/>
      <c r="M5045" s="178"/>
      <c r="N5045" s="178"/>
      <c r="O5045" s="178">
        <f t="shared" si="169"/>
        <v>1.5876000000000001</v>
      </c>
      <c r="P5045" s="231"/>
      <c r="Q5045" s="224"/>
    </row>
    <row r="5046" spans="1:19" s="225" customFormat="1" ht="10.5" x14ac:dyDescent="0.25">
      <c r="A5046" s="229"/>
      <c r="B5046" s="232"/>
      <c r="C5046" s="177"/>
      <c r="D5046" s="178"/>
      <c r="E5046" s="178"/>
      <c r="F5046" s="178"/>
      <c r="G5046" s="178"/>
      <c r="H5046" s="178"/>
      <c r="I5046" s="178"/>
      <c r="J5046" s="178"/>
      <c r="K5046" s="178"/>
      <c r="L5046" s="180"/>
      <c r="M5046" s="178"/>
      <c r="N5046" s="178"/>
      <c r="O5046" s="178"/>
      <c r="P5046" s="231"/>
      <c r="Q5046" s="224"/>
    </row>
    <row r="5047" spans="1:19" s="225" customFormat="1" ht="10.5" x14ac:dyDescent="0.25">
      <c r="A5047" s="229"/>
      <c r="B5047" s="232" t="s">
        <v>5</v>
      </c>
      <c r="C5047" s="182" t="s">
        <v>1328</v>
      </c>
      <c r="D5047" s="182"/>
      <c r="E5047" s="182"/>
      <c r="F5047" s="182"/>
      <c r="G5047" s="182"/>
      <c r="H5047" s="182"/>
      <c r="I5047" s="182"/>
      <c r="J5047" s="182"/>
      <c r="K5047" s="182"/>
      <c r="L5047" s="182"/>
      <c r="M5047" s="182"/>
      <c r="N5047" s="178"/>
      <c r="O5047" s="208">
        <f>SUM(O5038:O5046)</f>
        <v>8.8452000000001316</v>
      </c>
      <c r="P5047" s="233"/>
      <c r="Q5047" s="224"/>
    </row>
    <row r="5048" spans="1:19" s="228" customFormat="1" ht="63" x14ac:dyDescent="0.25">
      <c r="A5048" s="226"/>
      <c r="B5048" s="227" t="s">
        <v>306</v>
      </c>
      <c r="C5048" s="173" t="s">
        <v>268</v>
      </c>
      <c r="D5048" s="173">
        <f>SUM(E5055:O5055)</f>
        <v>0</v>
      </c>
      <c r="E5048" s="173" t="s">
        <v>1718</v>
      </c>
      <c r="F5048" s="173" t="s">
        <v>1719</v>
      </c>
      <c r="G5048" s="173" t="s">
        <v>1720</v>
      </c>
      <c r="H5048" s="173" t="s">
        <v>1870</v>
      </c>
      <c r="I5048" s="173" t="s">
        <v>1722</v>
      </c>
      <c r="J5048" s="173" t="s">
        <v>1723</v>
      </c>
      <c r="K5048" s="173" t="s">
        <v>1724</v>
      </c>
      <c r="L5048" s="173" t="s">
        <v>1725</v>
      </c>
      <c r="M5048" s="173" t="s">
        <v>1726</v>
      </c>
      <c r="N5048" s="173" t="s">
        <v>1727</v>
      </c>
      <c r="O5048" s="173" t="s">
        <v>1728</v>
      </c>
      <c r="P5048" s="224"/>
      <c r="Q5048" s="224"/>
    </row>
    <row r="5049" spans="1:19" s="225" customFormat="1" ht="21" x14ac:dyDescent="0.25">
      <c r="A5049" s="229"/>
      <c r="B5049" s="230" t="s">
        <v>1868</v>
      </c>
      <c r="C5049" s="177"/>
      <c r="D5049" s="178"/>
      <c r="E5049" s="178"/>
      <c r="F5049" s="178"/>
      <c r="G5049" s="178"/>
      <c r="H5049" s="178"/>
      <c r="I5049" s="178"/>
      <c r="J5049" s="178"/>
      <c r="K5049" s="178"/>
      <c r="L5049" s="178"/>
      <c r="M5049" s="178"/>
      <c r="N5049" s="178"/>
      <c r="O5049" s="178"/>
      <c r="P5049" s="231"/>
      <c r="Q5049" s="224"/>
    </row>
    <row r="5050" spans="1:19" s="225" customFormat="1" ht="10.5" x14ac:dyDescent="0.25">
      <c r="A5050" s="229"/>
      <c r="B5050" s="230"/>
      <c r="C5050" s="177"/>
      <c r="D5050" s="178"/>
      <c r="E5050" s="178"/>
      <c r="F5050" s="178"/>
      <c r="G5050" s="185"/>
      <c r="H5050" s="178"/>
      <c r="I5050" s="178"/>
      <c r="J5050" s="178"/>
      <c r="K5050" s="178"/>
      <c r="L5050" s="178"/>
      <c r="M5050" s="178"/>
      <c r="N5050" s="178"/>
      <c r="O5050" s="178"/>
      <c r="P5050" s="231"/>
      <c r="Q5050" s="224"/>
    </row>
    <row r="5051" spans="1:19" s="225" customFormat="1" ht="10.5" x14ac:dyDescent="0.25">
      <c r="A5051" s="229"/>
      <c r="B5051" s="230"/>
      <c r="C5051" s="177"/>
      <c r="D5051" s="178"/>
      <c r="E5051" s="178"/>
      <c r="F5051" s="178"/>
      <c r="G5051" s="185"/>
      <c r="H5051" s="178"/>
      <c r="I5051" s="178"/>
      <c r="J5051" s="178"/>
      <c r="K5051" s="178"/>
      <c r="L5051" s="178"/>
      <c r="M5051" s="178"/>
      <c r="N5051" s="178"/>
      <c r="O5051" s="178"/>
      <c r="P5051" s="231"/>
      <c r="Q5051" s="224"/>
    </row>
    <row r="5052" spans="1:19" s="225" customFormat="1" ht="10.5" x14ac:dyDescent="0.25">
      <c r="A5052" s="229"/>
      <c r="B5052" s="230"/>
      <c r="C5052" s="177"/>
      <c r="D5052" s="178"/>
      <c r="E5052" s="178"/>
      <c r="F5052" s="178"/>
      <c r="G5052" s="185"/>
      <c r="H5052" s="178"/>
      <c r="I5052" s="178"/>
      <c r="J5052" s="178"/>
      <c r="K5052" s="178"/>
      <c r="L5052" s="178"/>
      <c r="M5052" s="178"/>
      <c r="N5052" s="178"/>
      <c r="O5052" s="178"/>
      <c r="P5052" s="231"/>
      <c r="Q5052" s="224"/>
    </row>
    <row r="5053" spans="1:19" s="225" customFormat="1" ht="10.5" x14ac:dyDescent="0.25">
      <c r="A5053" s="229"/>
      <c r="B5053" s="230"/>
      <c r="C5053" s="177"/>
      <c r="D5053" s="178"/>
      <c r="E5053" s="178"/>
      <c r="F5053" s="178"/>
      <c r="G5053" s="185"/>
      <c r="H5053" s="178"/>
      <c r="I5053" s="178"/>
      <c r="J5053" s="178"/>
      <c r="K5053" s="178"/>
      <c r="L5053" s="178"/>
      <c r="M5053" s="178"/>
      <c r="N5053" s="178"/>
      <c r="O5053" s="178"/>
      <c r="P5053" s="231"/>
      <c r="Q5053" s="224"/>
    </row>
    <row r="5054" spans="1:19" s="225" customFormat="1" ht="10.5" x14ac:dyDescent="0.25">
      <c r="A5054" s="229"/>
      <c r="B5054" s="232"/>
      <c r="C5054" s="177"/>
      <c r="D5054" s="178"/>
      <c r="E5054" s="178"/>
      <c r="F5054" s="178"/>
      <c r="G5054" s="178"/>
      <c r="H5054" s="178"/>
      <c r="I5054" s="178"/>
      <c r="J5054" s="178"/>
      <c r="K5054" s="178"/>
      <c r="L5054" s="180"/>
      <c r="M5054" s="178"/>
      <c r="N5054" s="178"/>
      <c r="O5054" s="178"/>
      <c r="P5054" s="231"/>
      <c r="Q5054" s="224"/>
    </row>
    <row r="5055" spans="1:19" s="225" customFormat="1" ht="10.5" x14ac:dyDescent="0.25">
      <c r="A5055" s="229"/>
      <c r="B5055" s="232" t="s">
        <v>5</v>
      </c>
      <c r="C5055" s="182" t="s">
        <v>1328</v>
      </c>
      <c r="D5055" s="182"/>
      <c r="E5055" s="182"/>
      <c r="F5055" s="182"/>
      <c r="G5055" s="182"/>
      <c r="H5055" s="182"/>
      <c r="I5055" s="182"/>
      <c r="J5055" s="182"/>
      <c r="K5055" s="182"/>
      <c r="L5055" s="182"/>
      <c r="M5055" s="182"/>
      <c r="N5055" s="178"/>
      <c r="O5055" s="208">
        <f>SUM(O5050:O5054)</f>
        <v>0</v>
      </c>
      <c r="P5055" s="233"/>
      <c r="Q5055" s="224"/>
    </row>
    <row r="5056" spans="1:19" s="235" customFormat="1" ht="31.5" x14ac:dyDescent="0.35">
      <c r="A5056" s="226" t="str">
        <f>ORÇAMENTO!A936</f>
        <v>7.4.4</v>
      </c>
      <c r="B5056" s="227" t="str">
        <f>VLOOKUP(A5056,ORÇAMENTO!A:K,4,0)</f>
        <v>CHAMINÉ CIRCULAR PARA POÇO DE VISITA PARA DRENAGEM, EM CONCRETO PRÉ-MOLDADO, DIÂMETRO INTERNO = 0,6 M. AF_12/2020</v>
      </c>
      <c r="C5056" s="173" t="str">
        <f>VLOOKUP(A5056,ORÇAMENTO!A:K,5,0)</f>
        <v>M</v>
      </c>
      <c r="D5056" s="173">
        <f>SUM(E5067:O5067)</f>
        <v>2.7300000000000404</v>
      </c>
      <c r="E5056" s="173" t="s">
        <v>1718</v>
      </c>
      <c r="F5056" s="173" t="s">
        <v>1719</v>
      </c>
      <c r="G5056" s="173" t="s">
        <v>1720</v>
      </c>
      <c r="H5056" s="173" t="s">
        <v>1721</v>
      </c>
      <c r="I5056" s="173" t="s">
        <v>1722</v>
      </c>
      <c r="J5056" s="173" t="s">
        <v>1723</v>
      </c>
      <c r="K5056" s="173" t="s">
        <v>1746</v>
      </c>
      <c r="L5056" s="173" t="s">
        <v>1753</v>
      </c>
      <c r="M5056" s="173" t="s">
        <v>1726</v>
      </c>
      <c r="N5056" s="173" t="s">
        <v>1727</v>
      </c>
      <c r="O5056" s="173" t="s">
        <v>1728</v>
      </c>
      <c r="P5056" s="224"/>
      <c r="Q5056" s="224"/>
      <c r="R5056" s="224"/>
      <c r="S5056" s="224"/>
    </row>
    <row r="5057" spans="1:19" s="225" customFormat="1" ht="21" x14ac:dyDescent="0.3">
      <c r="A5057" s="229"/>
      <c r="B5057" s="230" t="s">
        <v>1868</v>
      </c>
      <c r="C5057" s="178"/>
      <c r="D5057" s="178"/>
      <c r="E5057" s="178"/>
      <c r="F5057" s="178"/>
      <c r="G5057" s="178"/>
      <c r="H5057" s="178"/>
      <c r="I5057" s="178"/>
      <c r="J5057" s="178"/>
      <c r="K5057" s="178"/>
      <c r="L5057" s="190"/>
      <c r="M5057" s="219">
        <f>M5032</f>
        <v>8</v>
      </c>
      <c r="N5057" s="178"/>
      <c r="O5057" s="178"/>
      <c r="P5057" s="244"/>
    </row>
    <row r="5058" spans="1:19" s="225" customFormat="1" ht="10.5" x14ac:dyDescent="0.3">
      <c r="A5058" s="229"/>
      <c r="B5058" s="230" t="str">
        <f t="shared" ref="B5058:B5065" si="170">B5038</f>
        <v>PV1-67</v>
      </c>
      <c r="C5058" s="220"/>
      <c r="D5058" s="220"/>
      <c r="E5058" s="220"/>
      <c r="F5058" s="220"/>
      <c r="G5058" s="216">
        <f t="shared" ref="G5058:G5065" si="171">G5038</f>
        <v>0.11999999999999991</v>
      </c>
      <c r="H5058" s="220"/>
      <c r="I5058" s="220"/>
      <c r="J5058" s="220"/>
      <c r="K5058" s="220"/>
      <c r="L5058" s="182"/>
      <c r="M5058" s="182"/>
      <c r="N5058" s="220"/>
      <c r="O5058" s="220"/>
      <c r="P5058" s="243"/>
    </row>
    <row r="5059" spans="1:19" s="225" customFormat="1" ht="10.5" x14ac:dyDescent="0.3">
      <c r="A5059" s="229"/>
      <c r="B5059" s="230" t="str">
        <f t="shared" si="170"/>
        <v>PV1-76</v>
      </c>
      <c r="C5059" s="220"/>
      <c r="D5059" s="220"/>
      <c r="E5059" s="220"/>
      <c r="F5059" s="220"/>
      <c r="G5059" s="216">
        <f t="shared" si="171"/>
        <v>0.11999999999999991</v>
      </c>
      <c r="H5059" s="220"/>
      <c r="I5059" s="220"/>
      <c r="J5059" s="220"/>
      <c r="K5059" s="220"/>
      <c r="L5059" s="182"/>
      <c r="M5059" s="182"/>
      <c r="N5059" s="220"/>
      <c r="O5059" s="220"/>
      <c r="P5059" s="243"/>
    </row>
    <row r="5060" spans="1:19" s="225" customFormat="1" ht="10.5" x14ac:dyDescent="0.3">
      <c r="A5060" s="229"/>
      <c r="B5060" s="230" t="str">
        <f t="shared" si="170"/>
        <v>PV2-76</v>
      </c>
      <c r="C5060" s="220"/>
      <c r="D5060" s="220"/>
      <c r="E5060" s="220"/>
      <c r="F5060" s="220"/>
      <c r="G5060" s="216">
        <f t="shared" si="171"/>
        <v>0.70000000000004081</v>
      </c>
      <c r="H5060" s="220"/>
      <c r="I5060" s="220"/>
      <c r="J5060" s="220"/>
      <c r="K5060" s="220"/>
      <c r="L5060" s="182"/>
      <c r="M5060" s="182"/>
      <c r="N5060" s="220"/>
      <c r="O5060" s="220"/>
      <c r="P5060" s="243"/>
    </row>
    <row r="5061" spans="1:19" s="225" customFormat="1" ht="10.5" x14ac:dyDescent="0.3">
      <c r="A5061" s="229"/>
      <c r="B5061" s="230" t="str">
        <f t="shared" si="170"/>
        <v>PV1-79</v>
      </c>
      <c r="C5061" s="220"/>
      <c r="D5061" s="220"/>
      <c r="E5061" s="220"/>
      <c r="F5061" s="220"/>
      <c r="G5061" s="216">
        <f t="shared" si="171"/>
        <v>0.11999999999999991</v>
      </c>
      <c r="H5061" s="220"/>
      <c r="I5061" s="220"/>
      <c r="J5061" s="220"/>
      <c r="K5061" s="220"/>
      <c r="L5061" s="182"/>
      <c r="M5061" s="182"/>
      <c r="N5061" s="220"/>
      <c r="O5061" s="220"/>
      <c r="P5061" s="243"/>
    </row>
    <row r="5062" spans="1:19" s="225" customFormat="1" ht="10.5" x14ac:dyDescent="0.3">
      <c r="A5062" s="229"/>
      <c r="B5062" s="230" t="str">
        <f t="shared" si="170"/>
        <v>PV2-79</v>
      </c>
      <c r="C5062" s="220"/>
      <c r="D5062" s="220"/>
      <c r="E5062" s="220"/>
      <c r="F5062" s="220"/>
      <c r="G5062" s="216">
        <f t="shared" si="171"/>
        <v>0.93999999999999972</v>
      </c>
      <c r="H5062" s="220"/>
      <c r="I5062" s="220"/>
      <c r="J5062" s="220"/>
      <c r="K5062" s="220"/>
      <c r="L5062" s="182"/>
      <c r="M5062" s="182"/>
      <c r="N5062" s="220"/>
      <c r="O5062" s="220"/>
      <c r="P5062" s="243"/>
    </row>
    <row r="5063" spans="1:19" s="225" customFormat="1" ht="10.5" x14ac:dyDescent="0.3">
      <c r="A5063" s="229"/>
      <c r="B5063" s="230" t="str">
        <f t="shared" si="170"/>
        <v>PV1-82</v>
      </c>
      <c r="C5063" s="220"/>
      <c r="D5063" s="220"/>
      <c r="E5063" s="220"/>
      <c r="F5063" s="220"/>
      <c r="G5063" s="216">
        <f t="shared" si="171"/>
        <v>0.11999999999999991</v>
      </c>
      <c r="H5063" s="220"/>
      <c r="I5063" s="220"/>
      <c r="J5063" s="220"/>
      <c r="K5063" s="220"/>
      <c r="L5063" s="182"/>
      <c r="M5063" s="182"/>
      <c r="N5063" s="220"/>
      <c r="O5063" s="220"/>
      <c r="P5063" s="243"/>
    </row>
    <row r="5064" spans="1:19" s="225" customFormat="1" ht="10.5" x14ac:dyDescent="0.3">
      <c r="A5064" s="229"/>
      <c r="B5064" s="230" t="str">
        <f t="shared" si="170"/>
        <v>PV1-85</v>
      </c>
      <c r="C5064" s="220"/>
      <c r="D5064" s="220"/>
      <c r="E5064" s="220"/>
      <c r="F5064" s="220"/>
      <c r="G5064" s="216">
        <f t="shared" si="171"/>
        <v>0.11999999999999991</v>
      </c>
      <c r="H5064" s="220"/>
      <c r="I5064" s="220"/>
      <c r="J5064" s="220"/>
      <c r="K5064" s="220"/>
      <c r="L5064" s="182"/>
      <c r="M5064" s="182"/>
      <c r="N5064" s="220"/>
      <c r="O5064" s="220"/>
      <c r="P5064" s="243"/>
    </row>
    <row r="5065" spans="1:19" s="225" customFormat="1" ht="10.5" x14ac:dyDescent="0.3">
      <c r="A5065" s="229"/>
      <c r="B5065" s="230" t="str">
        <f t="shared" si="170"/>
        <v>PV1-86</v>
      </c>
      <c r="C5065" s="220"/>
      <c r="D5065" s="220"/>
      <c r="E5065" s="220"/>
      <c r="F5065" s="220"/>
      <c r="G5065" s="216">
        <f t="shared" si="171"/>
        <v>0.49</v>
      </c>
      <c r="H5065" s="220"/>
      <c r="I5065" s="220"/>
      <c r="J5065" s="220"/>
      <c r="K5065" s="220"/>
      <c r="L5065" s="182"/>
      <c r="M5065" s="182"/>
      <c r="N5065" s="220"/>
      <c r="O5065" s="220"/>
      <c r="P5065" s="243"/>
    </row>
    <row r="5066" spans="1:19" s="225" customFormat="1" ht="10.5" x14ac:dyDescent="0.3">
      <c r="A5066" s="229"/>
      <c r="B5066" s="232"/>
      <c r="C5066" s="220"/>
      <c r="D5066" s="220"/>
      <c r="E5066" s="220"/>
      <c r="F5066" s="220"/>
      <c r="G5066" s="220"/>
      <c r="H5066" s="220"/>
      <c r="I5066" s="220"/>
      <c r="J5066" s="220"/>
      <c r="K5066" s="220"/>
      <c r="L5066" s="182"/>
      <c r="M5066" s="182"/>
      <c r="N5066" s="220"/>
      <c r="O5066" s="220"/>
      <c r="P5066" s="243"/>
    </row>
    <row r="5067" spans="1:19" s="225" customFormat="1" ht="10.5" x14ac:dyDescent="0.25">
      <c r="A5067" s="229"/>
      <c r="B5067" s="232" t="s">
        <v>5</v>
      </c>
      <c r="C5067" s="182" t="s">
        <v>1328</v>
      </c>
      <c r="D5067" s="182"/>
      <c r="E5067" s="182"/>
      <c r="F5067" s="182"/>
      <c r="G5067" s="182">
        <f>SUM(G5058:G5066)</f>
        <v>2.7300000000000404</v>
      </c>
      <c r="I5067" s="182"/>
      <c r="J5067" s="182"/>
      <c r="K5067" s="182"/>
      <c r="L5067" s="182"/>
      <c r="M5067" s="182"/>
      <c r="N5067" s="182"/>
      <c r="O5067" s="182"/>
      <c r="P5067" s="233"/>
      <c r="Q5067" s="224"/>
    </row>
    <row r="5068" spans="1:19" s="235" customFormat="1" ht="31.5" x14ac:dyDescent="0.35">
      <c r="A5068" s="226" t="str">
        <f>ORÇAMENTO!A937</f>
        <v>7.4.5</v>
      </c>
      <c r="B5068" s="227" t="str">
        <f>VLOOKUP(A5068,ORÇAMENTO!A:K,4,0)</f>
        <v>FORNECIMENTO E ASSENTAMENTO DE TAMPÃO CIRCULAR PARA DRENAGEM, EM FERRO FUNDIDO, DIÂMETRO = 0,6 M</v>
      </c>
      <c r="C5068" s="173" t="str">
        <f>VLOOKUP(A5068,ORÇAMENTO!A:K,5,0)</f>
        <v>UN</v>
      </c>
      <c r="D5068" s="173">
        <f>SUM(E5071:O5071)</f>
        <v>8</v>
      </c>
      <c r="E5068" s="173" t="s">
        <v>1752</v>
      </c>
      <c r="F5068" s="173" t="s">
        <v>1719</v>
      </c>
      <c r="G5068" s="173" t="s">
        <v>1720</v>
      </c>
      <c r="H5068" s="173" t="s">
        <v>1721</v>
      </c>
      <c r="I5068" s="173" t="s">
        <v>1722</v>
      </c>
      <c r="J5068" s="173" t="s">
        <v>1723</v>
      </c>
      <c r="K5068" s="173" t="s">
        <v>1746</v>
      </c>
      <c r="L5068" s="173" t="s">
        <v>1753</v>
      </c>
      <c r="M5068" s="173" t="s">
        <v>1726</v>
      </c>
      <c r="N5068" s="173" t="s">
        <v>1727</v>
      </c>
      <c r="O5068" s="173" t="s">
        <v>1728</v>
      </c>
      <c r="P5068" s="224"/>
      <c r="Q5068" s="224"/>
      <c r="R5068" s="224"/>
      <c r="S5068" s="224"/>
    </row>
    <row r="5069" spans="1:19" s="225" customFormat="1" ht="21" x14ac:dyDescent="0.3">
      <c r="A5069" s="229"/>
      <c r="B5069" s="230" t="s">
        <v>1868</v>
      </c>
      <c r="C5069" s="178"/>
      <c r="D5069" s="178"/>
      <c r="E5069" s="178"/>
      <c r="F5069" s="178"/>
      <c r="G5069" s="178"/>
      <c r="H5069" s="178"/>
      <c r="I5069" s="178"/>
      <c r="J5069" s="178"/>
      <c r="K5069" s="178"/>
      <c r="L5069" s="190"/>
      <c r="M5069" s="219">
        <f>M5057</f>
        <v>8</v>
      </c>
      <c r="N5069" s="178"/>
      <c r="O5069" s="178"/>
      <c r="P5069" s="244"/>
    </row>
    <row r="5070" spans="1:19" s="225" customFormat="1" ht="10.5" x14ac:dyDescent="0.3">
      <c r="A5070" s="229"/>
      <c r="B5070" s="230"/>
      <c r="C5070" s="178"/>
      <c r="D5070" s="178"/>
      <c r="E5070" s="178"/>
      <c r="F5070" s="178"/>
      <c r="G5070" s="178"/>
      <c r="H5070" s="178"/>
      <c r="I5070" s="178"/>
      <c r="J5070" s="178"/>
      <c r="K5070" s="178"/>
      <c r="L5070" s="190"/>
      <c r="M5070" s="190"/>
      <c r="N5070" s="178"/>
      <c r="O5070" s="178"/>
      <c r="P5070" s="244"/>
    </row>
    <row r="5071" spans="1:19" s="225" customFormat="1" ht="10.5" x14ac:dyDescent="0.3">
      <c r="A5071" s="229"/>
      <c r="B5071" s="232" t="s">
        <v>5</v>
      </c>
      <c r="C5071" s="220" t="s">
        <v>1328</v>
      </c>
      <c r="D5071" s="220"/>
      <c r="E5071" s="220"/>
      <c r="F5071" s="220"/>
      <c r="G5071" s="220"/>
      <c r="H5071" s="220"/>
      <c r="I5071" s="220"/>
      <c r="J5071" s="220"/>
      <c r="K5071" s="220"/>
      <c r="L5071" s="182"/>
      <c r="M5071" s="182">
        <f>SUM(M5069:M5069)</f>
        <v>8</v>
      </c>
      <c r="N5071" s="220"/>
      <c r="O5071" s="220"/>
      <c r="P5071" s="243"/>
    </row>
    <row r="5072" spans="1:19" s="228" customFormat="1" ht="52.5" x14ac:dyDescent="0.25">
      <c r="A5072" s="226" t="str">
        <f>ORÇAMENTO!A938</f>
        <v>7.4.6</v>
      </c>
      <c r="B5072" s="227" t="str">
        <f>VLOOKUP(A5072,ORÇAMENTO!A:K,4,0)</f>
        <v>CONSTRUÇÃO DE PAVIMENTO COM APLICAÇÃO CONCRETO BETUMINOSO USINADO A QUENTE (CBUQ), CAMADA DE ROLAMENTO - EXCLUSIVE TRANSPORTE E CARGA  AF_03/2017 (SEM MATERIAL)</v>
      </c>
      <c r="C5072" s="173" t="str">
        <f>VLOOKUP(A5072,ORÇAMENTO!A:K,5,0)</f>
        <v>M³</v>
      </c>
      <c r="D5072" s="173">
        <f>SUM(E5079:O5079)</f>
        <v>0.70974159868246034</v>
      </c>
      <c r="E5072" s="173" t="s">
        <v>1718</v>
      </c>
      <c r="F5072" s="173" t="s">
        <v>1719</v>
      </c>
      <c r="G5072" s="173" t="s">
        <v>1720</v>
      </c>
      <c r="H5072" s="173" t="s">
        <v>1721</v>
      </c>
      <c r="I5072" s="173" t="s">
        <v>1722</v>
      </c>
      <c r="J5072" s="173" t="s">
        <v>1723</v>
      </c>
      <c r="K5072" s="173" t="s">
        <v>1724</v>
      </c>
      <c r="L5072" s="173" t="s">
        <v>1725</v>
      </c>
      <c r="M5072" s="173" t="s">
        <v>1726</v>
      </c>
      <c r="N5072" s="173" t="s">
        <v>1727</v>
      </c>
      <c r="O5072" s="173" t="s">
        <v>1728</v>
      </c>
      <c r="P5072" s="224"/>
      <c r="Q5072" s="224"/>
    </row>
    <row r="5073" spans="1:17" s="225" customFormat="1" ht="10.5" x14ac:dyDescent="0.25">
      <c r="A5073" s="229"/>
      <c r="B5073" s="232" t="s">
        <v>1745</v>
      </c>
      <c r="C5073" s="184"/>
      <c r="D5073" s="185"/>
      <c r="E5073" s="185"/>
      <c r="F5073" s="185"/>
      <c r="G5073" s="185"/>
      <c r="H5073" s="185"/>
      <c r="I5073" s="185"/>
      <c r="J5073" s="185"/>
      <c r="K5073" s="185"/>
      <c r="L5073" s="185"/>
      <c r="M5073" s="185"/>
      <c r="N5073" s="185"/>
      <c r="O5073" s="185"/>
      <c r="P5073" s="231"/>
      <c r="Q5073" s="224"/>
    </row>
    <row r="5074" spans="1:17" s="225" customFormat="1" ht="10.5" x14ac:dyDescent="0.25">
      <c r="A5074" s="229"/>
      <c r="B5074" s="230" t="s">
        <v>1872</v>
      </c>
      <c r="C5074" s="184"/>
      <c r="D5074" s="185"/>
      <c r="E5074" s="185"/>
      <c r="F5074" s="185"/>
      <c r="G5074" s="185"/>
      <c r="H5074" s="185">
        <v>0.03</v>
      </c>
      <c r="I5074" s="185"/>
      <c r="J5074" s="185"/>
      <c r="K5074" s="185"/>
      <c r="L5074" s="185"/>
      <c r="M5074" s="185"/>
      <c r="N5074" s="185">
        <f>N5033</f>
        <v>25.919999999999995</v>
      </c>
      <c r="O5074" s="185">
        <f>N5074*H5074</f>
        <v>0.77759999999999985</v>
      </c>
      <c r="P5074" s="231"/>
      <c r="Q5074" s="224"/>
    </row>
    <row r="5075" spans="1:17" s="225" customFormat="1" ht="10.5" x14ac:dyDescent="0.25">
      <c r="A5075" s="229"/>
      <c r="B5075" s="230" t="s">
        <v>1873</v>
      </c>
      <c r="C5075" s="184"/>
      <c r="D5075" s="185"/>
      <c r="E5075" s="185"/>
      <c r="F5075" s="185"/>
      <c r="G5075" s="185"/>
      <c r="H5075" s="185">
        <v>0.03</v>
      </c>
      <c r="I5075" s="185"/>
      <c r="J5075" s="185">
        <v>0.6</v>
      </c>
      <c r="K5075" s="185"/>
      <c r="L5075" s="185"/>
      <c r="M5075" s="185">
        <f>M5032</f>
        <v>8</v>
      </c>
      <c r="N5075" s="185">
        <f>PI()*(J5075/2)^2</f>
        <v>0.28274333882308139</v>
      </c>
      <c r="O5075" s="185">
        <f>M5075*N5075*H5075</f>
        <v>6.7858401317539535E-2</v>
      </c>
      <c r="P5075" s="231"/>
      <c r="Q5075" s="224"/>
    </row>
    <row r="5076" spans="1:17" s="225" customFormat="1" ht="10.5" x14ac:dyDescent="0.25">
      <c r="A5076" s="229"/>
      <c r="B5076" s="230"/>
      <c r="C5076" s="184"/>
      <c r="D5076" s="185"/>
      <c r="E5076" s="185"/>
      <c r="F5076" s="185"/>
      <c r="G5076" s="185"/>
      <c r="H5076" s="185"/>
      <c r="I5076" s="185"/>
      <c r="J5076" s="185"/>
      <c r="K5076" s="185"/>
      <c r="L5076" s="185"/>
      <c r="M5076" s="185"/>
      <c r="N5076" s="185"/>
      <c r="O5076" s="185"/>
      <c r="P5076" s="231"/>
      <c r="Q5076" s="224"/>
    </row>
    <row r="5077" spans="1:17" s="225" customFormat="1" ht="10.5" x14ac:dyDescent="0.25">
      <c r="A5077" s="229"/>
      <c r="B5077" s="230" t="s">
        <v>1784</v>
      </c>
      <c r="C5077" s="184"/>
      <c r="D5077" s="185"/>
      <c r="E5077" s="185"/>
      <c r="F5077" s="185"/>
      <c r="G5077" s="185"/>
      <c r="H5077" s="185"/>
      <c r="I5077" s="185"/>
      <c r="J5077" s="185"/>
      <c r="K5077" s="185"/>
      <c r="L5077" s="185"/>
      <c r="M5077" s="185"/>
      <c r="N5077" s="185"/>
      <c r="O5077" s="184">
        <f>O5074-O5075</f>
        <v>0.70974159868246034</v>
      </c>
      <c r="P5077" s="231"/>
      <c r="Q5077" s="224"/>
    </row>
    <row r="5078" spans="1:17" s="225" customFormat="1" ht="10.5" x14ac:dyDescent="0.25">
      <c r="A5078" s="229"/>
      <c r="B5078" s="230"/>
      <c r="C5078" s="184"/>
      <c r="D5078" s="185"/>
      <c r="E5078" s="185"/>
      <c r="F5078" s="185"/>
      <c r="G5078" s="185"/>
      <c r="H5078" s="185"/>
      <c r="I5078" s="185"/>
      <c r="J5078" s="185"/>
      <c r="K5078" s="185"/>
      <c r="L5078" s="186"/>
      <c r="M5078" s="185"/>
      <c r="N5078" s="185"/>
      <c r="O5078" s="185"/>
      <c r="P5078" s="231"/>
      <c r="Q5078" s="224"/>
    </row>
    <row r="5079" spans="1:17" s="225" customFormat="1" ht="10.5" x14ac:dyDescent="0.25">
      <c r="A5079" s="229"/>
      <c r="B5079" s="232" t="s">
        <v>5</v>
      </c>
      <c r="C5079" s="182" t="s">
        <v>1328</v>
      </c>
      <c r="D5079" s="182"/>
      <c r="E5079" s="182"/>
      <c r="F5079" s="182"/>
      <c r="G5079" s="182"/>
      <c r="H5079" s="182"/>
      <c r="I5079" s="182"/>
      <c r="J5079" s="182"/>
      <c r="K5079" s="182"/>
      <c r="L5079" s="182"/>
      <c r="M5079" s="182"/>
      <c r="N5079" s="182"/>
      <c r="O5079" s="182">
        <f>SUM(O5077:O5078)</f>
        <v>0.70974159868246034</v>
      </c>
      <c r="P5079" s="233"/>
      <c r="Q5079" s="224"/>
    </row>
    <row r="5080" spans="1:17" s="228" customFormat="1" ht="21" x14ac:dyDescent="0.25">
      <c r="A5080" s="226" t="str">
        <f>ORÇAMENTO!A939</f>
        <v>7.4.7</v>
      </c>
      <c r="B5080" s="227" t="str">
        <f>VLOOKUP(A5080,ORÇAMENTO!A:K,4,0)</f>
        <v>PINTURA DE LIGAÇÃO (SEM MATERIAL)</v>
      </c>
      <c r="C5080" s="173" t="str">
        <f>VLOOKUP(A5080,ORÇAMENTO!A:K,5,0)</f>
        <v>M²</v>
      </c>
      <c r="D5080" s="173">
        <f>SUM(E5092:O5092)</f>
        <v>23.658053289415349</v>
      </c>
      <c r="E5080" s="173" t="s">
        <v>1718</v>
      </c>
      <c r="F5080" s="173" t="s">
        <v>1719</v>
      </c>
      <c r="G5080" s="173" t="s">
        <v>1720</v>
      </c>
      <c r="H5080" s="173" t="s">
        <v>1721</v>
      </c>
      <c r="I5080" s="173" t="s">
        <v>1722</v>
      </c>
      <c r="J5080" s="173" t="s">
        <v>1723</v>
      </c>
      <c r="K5080" s="173" t="s">
        <v>1724</v>
      </c>
      <c r="L5080" s="173" t="s">
        <v>1725</v>
      </c>
      <c r="M5080" s="173" t="s">
        <v>1726</v>
      </c>
      <c r="N5080" s="173" t="s">
        <v>1727</v>
      </c>
      <c r="O5080" s="173" t="s">
        <v>1728</v>
      </c>
      <c r="P5080" s="224"/>
      <c r="Q5080" s="224"/>
    </row>
    <row r="5081" spans="1:17" s="225" customFormat="1" ht="10.5" x14ac:dyDescent="0.25">
      <c r="A5081" s="229"/>
      <c r="B5081" s="232"/>
      <c r="C5081" s="177"/>
      <c r="D5081" s="178"/>
      <c r="E5081" s="178"/>
      <c r="F5081" s="178"/>
      <c r="G5081" s="178"/>
      <c r="H5081" s="178"/>
      <c r="I5081" s="178"/>
      <c r="J5081" s="178"/>
      <c r="K5081" s="178"/>
      <c r="L5081" s="178"/>
      <c r="M5081" s="178"/>
      <c r="N5081" s="178"/>
      <c r="O5081" s="178"/>
      <c r="P5081" s="231"/>
      <c r="Q5081" s="224"/>
    </row>
    <row r="5082" spans="1:17" s="225" customFormat="1" ht="10.5" x14ac:dyDescent="0.25">
      <c r="A5082" s="229"/>
      <c r="B5082" s="230" t="s">
        <v>1874</v>
      </c>
      <c r="C5082" s="177"/>
      <c r="D5082" s="178"/>
      <c r="E5082" s="178"/>
      <c r="F5082" s="178"/>
      <c r="G5082" s="178"/>
      <c r="H5082" s="178"/>
      <c r="I5082" s="178"/>
      <c r="J5082" s="178"/>
      <c r="K5082" s="178"/>
      <c r="L5082" s="178"/>
      <c r="M5082" s="178"/>
      <c r="N5082" s="178"/>
      <c r="O5082" s="178"/>
      <c r="P5082" s="231"/>
      <c r="Q5082" s="224"/>
    </row>
    <row r="5083" spans="1:17" s="225" customFormat="1" ht="10.5" x14ac:dyDescent="0.25">
      <c r="A5083" s="229"/>
      <c r="B5083" s="230" t="str">
        <f t="shared" ref="B5083:B5090" si="172">B5058</f>
        <v>PV1-67</v>
      </c>
      <c r="C5083" s="177"/>
      <c r="D5083" s="178"/>
      <c r="E5083" s="178">
        <v>1.8</v>
      </c>
      <c r="F5083" s="178">
        <v>1.8</v>
      </c>
      <c r="G5083" s="178"/>
      <c r="H5083" s="178"/>
      <c r="I5083" s="178"/>
      <c r="J5083" s="178">
        <v>0.6</v>
      </c>
      <c r="K5083" s="178"/>
      <c r="L5083" s="178"/>
      <c r="M5083" s="178"/>
      <c r="N5083" s="178">
        <f t="shared" ref="N5083:N5090" si="173">(E5083*F5083)-(PI()*(J5083/2)^2)</f>
        <v>2.9572566611769187</v>
      </c>
      <c r="O5083" s="178"/>
      <c r="P5083" s="231"/>
      <c r="Q5083" s="224"/>
    </row>
    <row r="5084" spans="1:17" s="225" customFormat="1" ht="10.5" x14ac:dyDescent="0.25">
      <c r="A5084" s="229"/>
      <c r="B5084" s="230" t="str">
        <f t="shared" si="172"/>
        <v>PV1-76</v>
      </c>
      <c r="C5084" s="177"/>
      <c r="D5084" s="178"/>
      <c r="E5084" s="178">
        <v>1.8</v>
      </c>
      <c r="F5084" s="178">
        <v>1.8</v>
      </c>
      <c r="G5084" s="178"/>
      <c r="H5084" s="178"/>
      <c r="I5084" s="178"/>
      <c r="J5084" s="178">
        <v>0.6</v>
      </c>
      <c r="K5084" s="178"/>
      <c r="L5084" s="178"/>
      <c r="M5084" s="178"/>
      <c r="N5084" s="178">
        <f t="shared" si="173"/>
        <v>2.9572566611769187</v>
      </c>
      <c r="O5084" s="178"/>
      <c r="P5084" s="231"/>
      <c r="Q5084" s="224"/>
    </row>
    <row r="5085" spans="1:17" s="225" customFormat="1" ht="10.5" x14ac:dyDescent="0.25">
      <c r="A5085" s="229"/>
      <c r="B5085" s="230" t="str">
        <f t="shared" si="172"/>
        <v>PV2-76</v>
      </c>
      <c r="C5085" s="177"/>
      <c r="D5085" s="178"/>
      <c r="E5085" s="178">
        <v>1.8</v>
      </c>
      <c r="F5085" s="178">
        <v>1.8</v>
      </c>
      <c r="G5085" s="178"/>
      <c r="H5085" s="178"/>
      <c r="I5085" s="178"/>
      <c r="J5085" s="178">
        <v>0.6</v>
      </c>
      <c r="K5085" s="178"/>
      <c r="L5085" s="178"/>
      <c r="M5085" s="178"/>
      <c r="N5085" s="178">
        <f t="shared" si="173"/>
        <v>2.9572566611769187</v>
      </c>
      <c r="O5085" s="178"/>
      <c r="P5085" s="231"/>
      <c r="Q5085" s="224"/>
    </row>
    <row r="5086" spans="1:17" s="225" customFormat="1" ht="10.5" x14ac:dyDescent="0.25">
      <c r="A5086" s="229"/>
      <c r="B5086" s="230" t="str">
        <f t="shared" si="172"/>
        <v>PV1-79</v>
      </c>
      <c r="C5086" s="177"/>
      <c r="D5086" s="178"/>
      <c r="E5086" s="178">
        <v>1.8</v>
      </c>
      <c r="F5086" s="178">
        <v>1.8</v>
      </c>
      <c r="G5086" s="178"/>
      <c r="H5086" s="178"/>
      <c r="I5086" s="178"/>
      <c r="J5086" s="178">
        <v>0.6</v>
      </c>
      <c r="K5086" s="178"/>
      <c r="L5086" s="178"/>
      <c r="M5086" s="178"/>
      <c r="N5086" s="178">
        <f t="shared" si="173"/>
        <v>2.9572566611769187</v>
      </c>
      <c r="O5086" s="178"/>
      <c r="P5086" s="231"/>
      <c r="Q5086" s="224"/>
    </row>
    <row r="5087" spans="1:17" s="225" customFormat="1" ht="10.5" x14ac:dyDescent="0.25">
      <c r="A5087" s="229"/>
      <c r="B5087" s="230" t="str">
        <f t="shared" si="172"/>
        <v>PV2-79</v>
      </c>
      <c r="C5087" s="177"/>
      <c r="D5087" s="178"/>
      <c r="E5087" s="178">
        <v>1.8</v>
      </c>
      <c r="F5087" s="178">
        <v>1.8</v>
      </c>
      <c r="G5087" s="178"/>
      <c r="H5087" s="178"/>
      <c r="I5087" s="178"/>
      <c r="J5087" s="178">
        <v>0.6</v>
      </c>
      <c r="K5087" s="178"/>
      <c r="L5087" s="178"/>
      <c r="M5087" s="178"/>
      <c r="N5087" s="178">
        <f t="shared" si="173"/>
        <v>2.9572566611769187</v>
      </c>
      <c r="O5087" s="178"/>
      <c r="P5087" s="231"/>
      <c r="Q5087" s="224"/>
    </row>
    <row r="5088" spans="1:17" s="225" customFormat="1" ht="10.5" x14ac:dyDescent="0.25">
      <c r="A5088" s="229"/>
      <c r="B5088" s="230" t="str">
        <f t="shared" si="172"/>
        <v>PV1-82</v>
      </c>
      <c r="C5088" s="177"/>
      <c r="D5088" s="178"/>
      <c r="E5088" s="178">
        <v>1.8</v>
      </c>
      <c r="F5088" s="178">
        <v>1.8</v>
      </c>
      <c r="G5088" s="178"/>
      <c r="H5088" s="178"/>
      <c r="I5088" s="178"/>
      <c r="J5088" s="178">
        <v>0.6</v>
      </c>
      <c r="K5088" s="178"/>
      <c r="L5088" s="178"/>
      <c r="M5088" s="178"/>
      <c r="N5088" s="178">
        <f t="shared" si="173"/>
        <v>2.9572566611769187</v>
      </c>
      <c r="O5088" s="178"/>
      <c r="P5088" s="231"/>
      <c r="Q5088" s="224"/>
    </row>
    <row r="5089" spans="1:17" s="225" customFormat="1" ht="10.5" x14ac:dyDescent="0.25">
      <c r="A5089" s="229"/>
      <c r="B5089" s="230" t="str">
        <f t="shared" si="172"/>
        <v>PV1-85</v>
      </c>
      <c r="C5089" s="177"/>
      <c r="D5089" s="178"/>
      <c r="E5089" s="178">
        <v>1.8</v>
      </c>
      <c r="F5089" s="178">
        <v>1.8</v>
      </c>
      <c r="G5089" s="178"/>
      <c r="H5089" s="178"/>
      <c r="I5089" s="178"/>
      <c r="J5089" s="178">
        <v>0.6</v>
      </c>
      <c r="K5089" s="178"/>
      <c r="L5089" s="178"/>
      <c r="M5089" s="178"/>
      <c r="N5089" s="178">
        <f t="shared" si="173"/>
        <v>2.9572566611769187</v>
      </c>
      <c r="O5089" s="178"/>
      <c r="P5089" s="231"/>
      <c r="Q5089" s="224"/>
    </row>
    <row r="5090" spans="1:17" s="225" customFormat="1" ht="10.5" x14ac:dyDescent="0.25">
      <c r="A5090" s="229"/>
      <c r="B5090" s="230" t="str">
        <f t="shared" si="172"/>
        <v>PV1-86</v>
      </c>
      <c r="C5090" s="177"/>
      <c r="D5090" s="178"/>
      <c r="E5090" s="178">
        <v>1.8</v>
      </c>
      <c r="F5090" s="178">
        <v>1.8</v>
      </c>
      <c r="G5090" s="178"/>
      <c r="H5090" s="178"/>
      <c r="I5090" s="178"/>
      <c r="J5090" s="178">
        <v>0.6</v>
      </c>
      <c r="K5090" s="178"/>
      <c r="L5090" s="178"/>
      <c r="M5090" s="178"/>
      <c r="N5090" s="178">
        <f t="shared" si="173"/>
        <v>2.9572566611769187</v>
      </c>
      <c r="O5090" s="178"/>
      <c r="P5090" s="231"/>
      <c r="Q5090" s="224"/>
    </row>
    <row r="5091" spans="1:17" s="225" customFormat="1" ht="10.5" x14ac:dyDescent="0.25">
      <c r="A5091" s="229"/>
      <c r="B5091" s="230"/>
      <c r="C5091" s="177"/>
      <c r="D5091" s="178"/>
      <c r="E5091" s="178"/>
      <c r="F5091" s="178"/>
      <c r="G5091" s="178"/>
      <c r="H5091" s="178"/>
      <c r="I5091" s="178"/>
      <c r="J5091" s="178"/>
      <c r="K5091" s="178"/>
      <c r="L5091" s="180"/>
      <c r="M5091" s="178"/>
      <c r="N5091" s="178"/>
      <c r="O5091" s="178"/>
      <c r="P5091" s="231"/>
      <c r="Q5091" s="224"/>
    </row>
    <row r="5092" spans="1:17" s="225" customFormat="1" ht="10.5" x14ac:dyDescent="0.25">
      <c r="A5092" s="229"/>
      <c r="B5092" s="232" t="s">
        <v>5</v>
      </c>
      <c r="C5092" s="182" t="s">
        <v>1328</v>
      </c>
      <c r="D5092" s="182"/>
      <c r="E5092" s="182"/>
      <c r="F5092" s="182"/>
      <c r="G5092" s="182"/>
      <c r="H5092" s="182"/>
      <c r="I5092" s="182"/>
      <c r="J5092" s="182"/>
      <c r="K5092" s="182"/>
      <c r="L5092" s="182"/>
      <c r="M5092" s="182"/>
      <c r="N5092" s="182">
        <f>SUM(N5083:N5091)</f>
        <v>23.658053289415349</v>
      </c>
      <c r="O5092" s="182"/>
      <c r="P5092" s="233"/>
      <c r="Q5092" s="224"/>
    </row>
    <row r="5093" spans="1:17" s="228" customFormat="1" ht="21" x14ac:dyDescent="0.25">
      <c r="A5093" s="226" t="str">
        <f>ORÇAMENTO!A940</f>
        <v>7.4.8</v>
      </c>
      <c r="B5093" s="227" t="str">
        <f>VLOOKUP(A5093,ORÇAMENTO!A:K,4,0)</f>
        <v>IMPRIMAÇÃO COM EMULSÃO ASFÁLTICA (SEM MATERIAL)</v>
      </c>
      <c r="C5093" s="173" t="str">
        <f>VLOOKUP(A5093,ORÇAMENTO!A:K,5,0)</f>
        <v>M²</v>
      </c>
      <c r="D5093" s="173">
        <f>SUM(E5105:O5105)</f>
        <v>23.658053289415349</v>
      </c>
      <c r="E5093" s="173" t="s">
        <v>1718</v>
      </c>
      <c r="F5093" s="173" t="s">
        <v>1719</v>
      </c>
      <c r="G5093" s="173" t="s">
        <v>1720</v>
      </c>
      <c r="H5093" s="173" t="s">
        <v>1721</v>
      </c>
      <c r="I5093" s="173" t="s">
        <v>1722</v>
      </c>
      <c r="J5093" s="173" t="s">
        <v>1723</v>
      </c>
      <c r="K5093" s="173" t="s">
        <v>1724</v>
      </c>
      <c r="L5093" s="173" t="s">
        <v>1725</v>
      </c>
      <c r="M5093" s="173" t="s">
        <v>1726</v>
      </c>
      <c r="N5093" s="173" t="s">
        <v>1727</v>
      </c>
      <c r="O5093" s="173" t="s">
        <v>1728</v>
      </c>
      <c r="P5093" s="224"/>
      <c r="Q5093" s="224"/>
    </row>
    <row r="5094" spans="1:17" s="225" customFormat="1" ht="10.5" x14ac:dyDescent="0.25">
      <c r="A5094" s="229"/>
      <c r="B5094" s="232"/>
      <c r="C5094" s="177"/>
      <c r="D5094" s="178"/>
      <c r="E5094" s="178"/>
      <c r="F5094" s="178"/>
      <c r="G5094" s="178"/>
      <c r="H5094" s="178"/>
      <c r="I5094" s="178"/>
      <c r="J5094" s="178"/>
      <c r="K5094" s="178"/>
      <c r="L5094" s="178"/>
      <c r="M5094" s="178"/>
      <c r="N5094" s="178"/>
      <c r="O5094" s="178"/>
      <c r="P5094" s="231"/>
      <c r="Q5094" s="224"/>
    </row>
    <row r="5095" spans="1:17" s="225" customFormat="1" ht="10.5" x14ac:dyDescent="0.25">
      <c r="A5095" s="229"/>
      <c r="B5095" s="230" t="str">
        <f t="shared" ref="B5095:B5103" si="174">B5082</f>
        <v>ÁREA = ÁREA DEMOLIDA - ÁREA DO PV</v>
      </c>
      <c r="C5095" s="177"/>
      <c r="D5095" s="178"/>
      <c r="E5095" s="178"/>
      <c r="F5095" s="178"/>
      <c r="G5095" s="178"/>
      <c r="H5095" s="178"/>
      <c r="I5095" s="178"/>
      <c r="J5095" s="178"/>
      <c r="K5095" s="178"/>
      <c r="L5095" s="178"/>
      <c r="M5095" s="178"/>
      <c r="N5095" s="178"/>
      <c r="O5095" s="178"/>
      <c r="P5095" s="231"/>
      <c r="Q5095" s="224"/>
    </row>
    <row r="5096" spans="1:17" s="225" customFormat="1" ht="10.5" x14ac:dyDescent="0.25">
      <c r="A5096" s="229"/>
      <c r="B5096" s="230" t="str">
        <f t="shared" si="174"/>
        <v>PV1-67</v>
      </c>
      <c r="C5096" s="177"/>
      <c r="D5096" s="178"/>
      <c r="E5096" s="178">
        <v>1.8</v>
      </c>
      <c r="F5096" s="178">
        <v>1.8</v>
      </c>
      <c r="G5096" s="178"/>
      <c r="H5096" s="178"/>
      <c r="I5096" s="178"/>
      <c r="J5096" s="178">
        <v>0.6</v>
      </c>
      <c r="K5096" s="178"/>
      <c r="L5096" s="178"/>
      <c r="M5096" s="178"/>
      <c r="N5096" s="178">
        <f t="shared" ref="N5096:N5103" si="175">(E5096*F5096)-(PI()*(J5096/2)^2)</f>
        <v>2.9572566611769187</v>
      </c>
      <c r="O5096" s="178"/>
      <c r="P5096" s="231"/>
      <c r="Q5096" s="224"/>
    </row>
    <row r="5097" spans="1:17" s="225" customFormat="1" ht="10.5" x14ac:dyDescent="0.25">
      <c r="A5097" s="229"/>
      <c r="B5097" s="230" t="str">
        <f t="shared" si="174"/>
        <v>PV1-76</v>
      </c>
      <c r="C5097" s="177"/>
      <c r="D5097" s="178"/>
      <c r="E5097" s="178">
        <v>1.8</v>
      </c>
      <c r="F5097" s="178">
        <v>1.8</v>
      </c>
      <c r="G5097" s="178"/>
      <c r="H5097" s="178"/>
      <c r="I5097" s="178"/>
      <c r="J5097" s="178">
        <v>0.6</v>
      </c>
      <c r="K5097" s="178"/>
      <c r="L5097" s="178"/>
      <c r="M5097" s="178"/>
      <c r="N5097" s="178">
        <f t="shared" si="175"/>
        <v>2.9572566611769187</v>
      </c>
      <c r="O5097" s="178"/>
      <c r="P5097" s="231"/>
      <c r="Q5097" s="224"/>
    </row>
    <row r="5098" spans="1:17" s="225" customFormat="1" ht="10.5" x14ac:dyDescent="0.25">
      <c r="A5098" s="229"/>
      <c r="B5098" s="230" t="str">
        <f t="shared" si="174"/>
        <v>PV2-76</v>
      </c>
      <c r="C5098" s="177"/>
      <c r="D5098" s="178"/>
      <c r="E5098" s="178">
        <v>1.8</v>
      </c>
      <c r="F5098" s="178">
        <v>1.8</v>
      </c>
      <c r="G5098" s="178"/>
      <c r="H5098" s="178"/>
      <c r="I5098" s="178"/>
      <c r="J5098" s="178">
        <v>0.6</v>
      </c>
      <c r="K5098" s="178"/>
      <c r="L5098" s="178"/>
      <c r="M5098" s="178"/>
      <c r="N5098" s="178">
        <f t="shared" si="175"/>
        <v>2.9572566611769187</v>
      </c>
      <c r="O5098" s="178"/>
      <c r="P5098" s="231"/>
      <c r="Q5098" s="224"/>
    </row>
    <row r="5099" spans="1:17" s="225" customFormat="1" ht="10.5" x14ac:dyDescent="0.25">
      <c r="A5099" s="229"/>
      <c r="B5099" s="230" t="str">
        <f t="shared" si="174"/>
        <v>PV1-79</v>
      </c>
      <c r="C5099" s="177"/>
      <c r="D5099" s="178"/>
      <c r="E5099" s="178">
        <v>1.8</v>
      </c>
      <c r="F5099" s="178">
        <v>1.8</v>
      </c>
      <c r="G5099" s="178"/>
      <c r="H5099" s="178"/>
      <c r="I5099" s="178"/>
      <c r="J5099" s="178">
        <v>0.6</v>
      </c>
      <c r="K5099" s="178"/>
      <c r="L5099" s="178"/>
      <c r="M5099" s="178"/>
      <c r="N5099" s="178">
        <f t="shared" si="175"/>
        <v>2.9572566611769187</v>
      </c>
      <c r="O5099" s="178"/>
      <c r="P5099" s="231"/>
      <c r="Q5099" s="224"/>
    </row>
    <row r="5100" spans="1:17" s="225" customFormat="1" ht="10.5" x14ac:dyDescent="0.25">
      <c r="A5100" s="229"/>
      <c r="B5100" s="230" t="str">
        <f t="shared" si="174"/>
        <v>PV2-79</v>
      </c>
      <c r="C5100" s="177"/>
      <c r="D5100" s="178"/>
      <c r="E5100" s="178">
        <v>1.8</v>
      </c>
      <c r="F5100" s="178">
        <v>1.8</v>
      </c>
      <c r="G5100" s="178"/>
      <c r="H5100" s="178"/>
      <c r="I5100" s="178"/>
      <c r="J5100" s="178">
        <v>0.6</v>
      </c>
      <c r="K5100" s="178"/>
      <c r="L5100" s="178"/>
      <c r="M5100" s="178"/>
      <c r="N5100" s="178">
        <f t="shared" si="175"/>
        <v>2.9572566611769187</v>
      </c>
      <c r="O5100" s="178"/>
      <c r="P5100" s="231"/>
      <c r="Q5100" s="224"/>
    </row>
    <row r="5101" spans="1:17" s="225" customFormat="1" ht="10.5" x14ac:dyDescent="0.25">
      <c r="A5101" s="229"/>
      <c r="B5101" s="230" t="str">
        <f t="shared" si="174"/>
        <v>PV1-82</v>
      </c>
      <c r="C5101" s="177"/>
      <c r="D5101" s="178"/>
      <c r="E5101" s="178">
        <v>1.8</v>
      </c>
      <c r="F5101" s="178">
        <v>1.8</v>
      </c>
      <c r="G5101" s="178"/>
      <c r="H5101" s="178"/>
      <c r="I5101" s="178"/>
      <c r="J5101" s="178">
        <v>0.6</v>
      </c>
      <c r="K5101" s="178"/>
      <c r="L5101" s="178"/>
      <c r="M5101" s="178"/>
      <c r="N5101" s="178">
        <f t="shared" si="175"/>
        <v>2.9572566611769187</v>
      </c>
      <c r="O5101" s="178"/>
      <c r="P5101" s="231"/>
      <c r="Q5101" s="224"/>
    </row>
    <row r="5102" spans="1:17" s="225" customFormat="1" ht="10.5" x14ac:dyDescent="0.25">
      <c r="A5102" s="229"/>
      <c r="B5102" s="230" t="str">
        <f t="shared" si="174"/>
        <v>PV1-85</v>
      </c>
      <c r="C5102" s="177"/>
      <c r="D5102" s="178"/>
      <c r="E5102" s="178">
        <v>1.8</v>
      </c>
      <c r="F5102" s="178">
        <v>1.8</v>
      </c>
      <c r="G5102" s="178"/>
      <c r="H5102" s="178"/>
      <c r="I5102" s="178"/>
      <c r="J5102" s="178">
        <v>0.6</v>
      </c>
      <c r="K5102" s="178"/>
      <c r="L5102" s="178"/>
      <c r="M5102" s="178"/>
      <c r="N5102" s="178">
        <f t="shared" si="175"/>
        <v>2.9572566611769187</v>
      </c>
      <c r="O5102" s="178"/>
      <c r="P5102" s="231"/>
      <c r="Q5102" s="224"/>
    </row>
    <row r="5103" spans="1:17" s="225" customFormat="1" ht="10.5" x14ac:dyDescent="0.25">
      <c r="A5103" s="229"/>
      <c r="B5103" s="230" t="str">
        <f t="shared" si="174"/>
        <v>PV1-86</v>
      </c>
      <c r="C5103" s="177"/>
      <c r="D5103" s="178"/>
      <c r="E5103" s="178">
        <v>1.8</v>
      </c>
      <c r="F5103" s="178">
        <v>1.8</v>
      </c>
      <c r="G5103" s="178"/>
      <c r="H5103" s="178"/>
      <c r="I5103" s="178"/>
      <c r="J5103" s="178">
        <v>0.6</v>
      </c>
      <c r="K5103" s="178"/>
      <c r="L5103" s="178"/>
      <c r="M5103" s="178"/>
      <c r="N5103" s="178">
        <f t="shared" si="175"/>
        <v>2.9572566611769187</v>
      </c>
      <c r="O5103" s="178"/>
      <c r="P5103" s="231"/>
      <c r="Q5103" s="224"/>
    </row>
    <row r="5104" spans="1:17" s="225" customFormat="1" ht="10.5" x14ac:dyDescent="0.25">
      <c r="A5104" s="229"/>
      <c r="B5104" s="230"/>
      <c r="C5104" s="177"/>
      <c r="D5104" s="178"/>
      <c r="E5104" s="178"/>
      <c r="F5104" s="178"/>
      <c r="G5104" s="178"/>
      <c r="H5104" s="178"/>
      <c r="I5104" s="178"/>
      <c r="J5104" s="178"/>
      <c r="K5104" s="178"/>
      <c r="L5104" s="180"/>
      <c r="M5104" s="178"/>
      <c r="N5104" s="178"/>
      <c r="O5104" s="178"/>
      <c r="P5104" s="231"/>
      <c r="Q5104" s="224"/>
    </row>
    <row r="5105" spans="1:17" s="225" customFormat="1" ht="10.5" x14ac:dyDescent="0.25">
      <c r="A5105" s="229"/>
      <c r="B5105" s="232" t="s">
        <v>5</v>
      </c>
      <c r="C5105" s="182" t="s">
        <v>1328</v>
      </c>
      <c r="D5105" s="182"/>
      <c r="E5105" s="182"/>
      <c r="F5105" s="182"/>
      <c r="G5105" s="182"/>
      <c r="H5105" s="182"/>
      <c r="I5105" s="182"/>
      <c r="J5105" s="182"/>
      <c r="K5105" s="182"/>
      <c r="L5105" s="182"/>
      <c r="M5105" s="182"/>
      <c r="N5105" s="182">
        <f>SUM(N5096:N5104)</f>
        <v>23.658053289415349</v>
      </c>
      <c r="O5105" s="182"/>
      <c r="P5105" s="233"/>
      <c r="Q5105" s="224"/>
    </row>
    <row r="5106" spans="1:17" s="228" customFormat="1" ht="21" x14ac:dyDescent="0.25">
      <c r="A5106" s="226" t="str">
        <f>ORÇAMENTO!A941</f>
        <v>7.4.9</v>
      </c>
      <c r="B5106" s="227" t="str">
        <f>VLOOKUP(A5106,ORÇAMENTO!A:K,4,0)</f>
        <v>BASE OU SUB-BASE DE BRITA GRADUADA COM BRITA COMERCIAL</v>
      </c>
      <c r="C5106" s="173" t="str">
        <f>VLOOKUP(A5106,ORÇAMENTO!A:K,5,0)</f>
        <v>M³</v>
      </c>
      <c r="D5106" s="173">
        <f>SUM(E5118:O5118)</f>
        <v>3.1051194942357636</v>
      </c>
      <c r="E5106" s="173" t="s">
        <v>1718</v>
      </c>
      <c r="F5106" s="173" t="s">
        <v>1719</v>
      </c>
      <c r="G5106" s="173" t="s">
        <v>1720</v>
      </c>
      <c r="H5106" s="173" t="s">
        <v>1721</v>
      </c>
      <c r="I5106" s="173" t="s">
        <v>1722</v>
      </c>
      <c r="J5106" s="173" t="s">
        <v>1723</v>
      </c>
      <c r="K5106" s="173" t="s">
        <v>1724</v>
      </c>
      <c r="L5106" s="173" t="s">
        <v>1725</v>
      </c>
      <c r="M5106" s="173" t="s">
        <v>1726</v>
      </c>
      <c r="N5106" s="173" t="s">
        <v>1727</v>
      </c>
      <c r="O5106" s="173" t="s">
        <v>1728</v>
      </c>
      <c r="P5106" s="224"/>
      <c r="Q5106" s="224"/>
    </row>
    <row r="5107" spans="1:17" s="225" customFormat="1" ht="10.5" x14ac:dyDescent="0.25">
      <c r="A5107" s="229"/>
      <c r="B5107" s="232" t="s">
        <v>1875</v>
      </c>
      <c r="C5107" s="177"/>
      <c r="D5107" s="178"/>
      <c r="E5107" s="178"/>
      <c r="F5107" s="178"/>
      <c r="G5107" s="178">
        <v>0.15</v>
      </c>
      <c r="H5107" s="178"/>
      <c r="I5107" s="178"/>
      <c r="J5107" s="178"/>
      <c r="K5107" s="178"/>
      <c r="L5107" s="178"/>
      <c r="M5107" s="178"/>
      <c r="N5107" s="178"/>
      <c r="O5107" s="178"/>
      <c r="P5107" s="231"/>
      <c r="Q5107" s="224"/>
    </row>
    <row r="5108" spans="1:17" s="225" customFormat="1" ht="10.5" x14ac:dyDescent="0.25">
      <c r="A5108" s="229"/>
      <c r="B5108" s="230" t="s">
        <v>1876</v>
      </c>
      <c r="C5108" s="177"/>
      <c r="D5108" s="178"/>
      <c r="E5108" s="178"/>
      <c r="F5108" s="178"/>
      <c r="G5108" s="178"/>
      <c r="H5108" s="178"/>
      <c r="I5108" s="178"/>
      <c r="J5108" s="178"/>
      <c r="K5108" s="178"/>
      <c r="L5108" s="178"/>
      <c r="M5108" s="178"/>
      <c r="N5108" s="178"/>
      <c r="O5108" s="178"/>
      <c r="P5108" s="231"/>
      <c r="Q5108" s="224"/>
    </row>
    <row r="5109" spans="1:17" s="225" customFormat="1" ht="10.5" x14ac:dyDescent="0.25">
      <c r="A5109" s="229"/>
      <c r="B5109" s="230" t="str">
        <f t="shared" ref="B5109:B5116" si="176">B5058</f>
        <v>PV1-67</v>
      </c>
      <c r="C5109" s="177"/>
      <c r="D5109" s="178"/>
      <c r="E5109" s="178">
        <v>1.8</v>
      </c>
      <c r="F5109" s="178">
        <v>1.8</v>
      </c>
      <c r="G5109" s="178">
        <f t="shared" ref="G5109:G5116" si="177">IF(G5058&gt;=$G$5107,$G$5107,G5058)</f>
        <v>0.11999999999999991</v>
      </c>
      <c r="H5109" s="178"/>
      <c r="I5109" s="178"/>
      <c r="J5109" s="178">
        <v>0.6</v>
      </c>
      <c r="K5109" s="178"/>
      <c r="L5109" s="178"/>
      <c r="M5109" s="178"/>
      <c r="N5109" s="178">
        <f t="shared" ref="N5109:N5116" si="178">(E5109*F5109)-(PI()*(J5109/2)^2)</f>
        <v>2.9572566611769187</v>
      </c>
      <c r="O5109" s="178">
        <f t="shared" ref="O5109:O5116" si="179">N5109*G5109</f>
        <v>0.35487079934123</v>
      </c>
      <c r="P5109" s="231"/>
      <c r="Q5109" s="224"/>
    </row>
    <row r="5110" spans="1:17" s="225" customFormat="1" ht="10.5" x14ac:dyDescent="0.25">
      <c r="A5110" s="229"/>
      <c r="B5110" s="230" t="str">
        <f t="shared" si="176"/>
        <v>PV1-76</v>
      </c>
      <c r="C5110" s="177"/>
      <c r="D5110" s="178"/>
      <c r="E5110" s="178">
        <v>1.8</v>
      </c>
      <c r="F5110" s="178">
        <v>1.8</v>
      </c>
      <c r="G5110" s="178">
        <f t="shared" si="177"/>
        <v>0.11999999999999991</v>
      </c>
      <c r="H5110" s="178"/>
      <c r="I5110" s="178"/>
      <c r="J5110" s="178">
        <v>0.6</v>
      </c>
      <c r="K5110" s="178"/>
      <c r="L5110" s="178"/>
      <c r="M5110" s="178"/>
      <c r="N5110" s="178">
        <f t="shared" si="178"/>
        <v>2.9572566611769187</v>
      </c>
      <c r="O5110" s="178">
        <f t="shared" si="179"/>
        <v>0.35487079934123</v>
      </c>
      <c r="P5110" s="231"/>
      <c r="Q5110" s="224"/>
    </row>
    <row r="5111" spans="1:17" s="225" customFormat="1" ht="10.5" x14ac:dyDescent="0.25">
      <c r="A5111" s="229"/>
      <c r="B5111" s="230" t="str">
        <f t="shared" si="176"/>
        <v>PV2-76</v>
      </c>
      <c r="C5111" s="177"/>
      <c r="D5111" s="178"/>
      <c r="E5111" s="178">
        <v>1.8</v>
      </c>
      <c r="F5111" s="178">
        <v>1.8</v>
      </c>
      <c r="G5111" s="178">
        <f t="shared" si="177"/>
        <v>0.15</v>
      </c>
      <c r="H5111" s="178"/>
      <c r="I5111" s="178"/>
      <c r="J5111" s="178">
        <v>0.6</v>
      </c>
      <c r="K5111" s="178"/>
      <c r="L5111" s="178"/>
      <c r="M5111" s="178"/>
      <c r="N5111" s="178">
        <f t="shared" si="178"/>
        <v>2.9572566611769187</v>
      </c>
      <c r="O5111" s="178">
        <f t="shared" si="179"/>
        <v>0.44358849917653781</v>
      </c>
      <c r="P5111" s="231"/>
      <c r="Q5111" s="224"/>
    </row>
    <row r="5112" spans="1:17" s="225" customFormat="1" ht="10.5" x14ac:dyDescent="0.25">
      <c r="A5112" s="229"/>
      <c r="B5112" s="230" t="str">
        <f t="shared" si="176"/>
        <v>PV1-79</v>
      </c>
      <c r="C5112" s="177"/>
      <c r="D5112" s="178"/>
      <c r="E5112" s="178">
        <v>1.8</v>
      </c>
      <c r="F5112" s="178">
        <v>1.8</v>
      </c>
      <c r="G5112" s="178">
        <f t="shared" si="177"/>
        <v>0.11999999999999991</v>
      </c>
      <c r="H5112" s="178"/>
      <c r="I5112" s="178"/>
      <c r="J5112" s="178">
        <v>0.6</v>
      </c>
      <c r="K5112" s="178"/>
      <c r="L5112" s="178"/>
      <c r="M5112" s="178"/>
      <c r="N5112" s="178">
        <f t="shared" si="178"/>
        <v>2.9572566611769187</v>
      </c>
      <c r="O5112" s="178">
        <f t="shared" si="179"/>
        <v>0.35487079934123</v>
      </c>
      <c r="P5112" s="231"/>
      <c r="Q5112" s="224"/>
    </row>
    <row r="5113" spans="1:17" s="225" customFormat="1" ht="10.5" x14ac:dyDescent="0.25">
      <c r="A5113" s="229"/>
      <c r="B5113" s="230" t="str">
        <f t="shared" si="176"/>
        <v>PV2-79</v>
      </c>
      <c r="C5113" s="177"/>
      <c r="D5113" s="178"/>
      <c r="E5113" s="178">
        <v>1.8</v>
      </c>
      <c r="F5113" s="178">
        <v>1.8</v>
      </c>
      <c r="G5113" s="178">
        <f t="shared" si="177"/>
        <v>0.15</v>
      </c>
      <c r="H5113" s="178"/>
      <c r="I5113" s="178"/>
      <c r="J5113" s="178">
        <v>0.6</v>
      </c>
      <c r="K5113" s="178"/>
      <c r="L5113" s="178"/>
      <c r="M5113" s="178"/>
      <c r="N5113" s="178">
        <f t="shared" si="178"/>
        <v>2.9572566611769187</v>
      </c>
      <c r="O5113" s="178">
        <f t="shared" si="179"/>
        <v>0.44358849917653781</v>
      </c>
      <c r="P5113" s="231"/>
      <c r="Q5113" s="224"/>
    </row>
    <row r="5114" spans="1:17" s="225" customFormat="1" ht="10.5" x14ac:dyDescent="0.25">
      <c r="A5114" s="229"/>
      <c r="B5114" s="230" t="str">
        <f t="shared" si="176"/>
        <v>PV1-82</v>
      </c>
      <c r="C5114" s="177"/>
      <c r="D5114" s="178"/>
      <c r="E5114" s="178">
        <v>1.8</v>
      </c>
      <c r="F5114" s="178">
        <v>1.8</v>
      </c>
      <c r="G5114" s="178">
        <f t="shared" si="177"/>
        <v>0.11999999999999991</v>
      </c>
      <c r="H5114" s="178"/>
      <c r="I5114" s="178"/>
      <c r="J5114" s="178">
        <v>0.6</v>
      </c>
      <c r="K5114" s="178"/>
      <c r="L5114" s="178"/>
      <c r="M5114" s="178"/>
      <c r="N5114" s="178">
        <f t="shared" si="178"/>
        <v>2.9572566611769187</v>
      </c>
      <c r="O5114" s="178">
        <f t="shared" si="179"/>
        <v>0.35487079934123</v>
      </c>
      <c r="P5114" s="231"/>
      <c r="Q5114" s="224"/>
    </row>
    <row r="5115" spans="1:17" s="225" customFormat="1" ht="10.5" x14ac:dyDescent="0.25">
      <c r="A5115" s="229"/>
      <c r="B5115" s="230" t="str">
        <f t="shared" si="176"/>
        <v>PV1-85</v>
      </c>
      <c r="C5115" s="177"/>
      <c r="D5115" s="178"/>
      <c r="E5115" s="178">
        <v>1.8</v>
      </c>
      <c r="F5115" s="178">
        <v>1.8</v>
      </c>
      <c r="G5115" s="178">
        <f t="shared" si="177"/>
        <v>0.11999999999999991</v>
      </c>
      <c r="H5115" s="178"/>
      <c r="I5115" s="178"/>
      <c r="J5115" s="178">
        <v>0.6</v>
      </c>
      <c r="K5115" s="178"/>
      <c r="L5115" s="178"/>
      <c r="M5115" s="178"/>
      <c r="N5115" s="178">
        <f t="shared" si="178"/>
        <v>2.9572566611769187</v>
      </c>
      <c r="O5115" s="178">
        <f t="shared" si="179"/>
        <v>0.35487079934123</v>
      </c>
      <c r="P5115" s="231"/>
      <c r="Q5115" s="224"/>
    </row>
    <row r="5116" spans="1:17" s="225" customFormat="1" ht="10.5" x14ac:dyDescent="0.25">
      <c r="A5116" s="229"/>
      <c r="B5116" s="230" t="str">
        <f t="shared" si="176"/>
        <v>PV1-86</v>
      </c>
      <c r="C5116" s="177"/>
      <c r="D5116" s="178"/>
      <c r="E5116" s="178">
        <v>1.8</v>
      </c>
      <c r="F5116" s="178">
        <v>1.8</v>
      </c>
      <c r="G5116" s="178">
        <f t="shared" si="177"/>
        <v>0.15</v>
      </c>
      <c r="H5116" s="178"/>
      <c r="I5116" s="178"/>
      <c r="J5116" s="178">
        <v>0.6</v>
      </c>
      <c r="K5116" s="178"/>
      <c r="L5116" s="178"/>
      <c r="M5116" s="178"/>
      <c r="N5116" s="178">
        <f t="shared" si="178"/>
        <v>2.9572566611769187</v>
      </c>
      <c r="O5116" s="178">
        <f t="shared" si="179"/>
        <v>0.44358849917653781</v>
      </c>
      <c r="P5116" s="231"/>
      <c r="Q5116" s="224"/>
    </row>
    <row r="5117" spans="1:17" s="225" customFormat="1" ht="10.5" x14ac:dyDescent="0.25">
      <c r="A5117" s="229"/>
      <c r="B5117" s="230"/>
      <c r="C5117" s="177"/>
      <c r="D5117" s="178"/>
      <c r="E5117" s="178"/>
      <c r="F5117" s="178"/>
      <c r="G5117" s="178"/>
      <c r="H5117" s="178"/>
      <c r="I5117" s="178"/>
      <c r="J5117" s="178"/>
      <c r="K5117" s="178"/>
      <c r="L5117" s="180"/>
      <c r="M5117" s="178"/>
      <c r="N5117" s="178"/>
      <c r="O5117" s="178"/>
      <c r="P5117" s="231"/>
      <c r="Q5117" s="224"/>
    </row>
    <row r="5118" spans="1:17" s="225" customFormat="1" ht="10.5" x14ac:dyDescent="0.25">
      <c r="A5118" s="229"/>
      <c r="B5118" s="232" t="s">
        <v>5</v>
      </c>
      <c r="C5118" s="182" t="s">
        <v>1328</v>
      </c>
      <c r="D5118" s="182"/>
      <c r="E5118" s="182"/>
      <c r="F5118" s="182"/>
      <c r="G5118" s="182"/>
      <c r="H5118" s="182"/>
      <c r="I5118" s="182"/>
      <c r="J5118" s="182"/>
      <c r="K5118" s="182"/>
      <c r="L5118" s="182"/>
      <c r="M5118" s="182"/>
      <c r="N5118" s="182"/>
      <c r="O5118" s="182">
        <f>SUM(O5109:O5117)</f>
        <v>3.1051194942357636</v>
      </c>
      <c r="P5118" s="233"/>
      <c r="Q5118" s="224"/>
    </row>
    <row r="5119" spans="1:17" s="228" customFormat="1" ht="52.5" x14ac:dyDescent="0.25">
      <c r="A5119" s="226" t="str">
        <f>ORÇAMENTO!A942</f>
        <v>7.4.10</v>
      </c>
      <c r="B5119" s="227" t="str">
        <f>VLOOKUP(A5119,ORÇAMENTO!A:K,4,0)</f>
        <v>EXECUÇÃO E COMPACTAÇÃO DE BASE E OU SUB BASE PARA PAVIMENTAÇÃO DE SOLO (PREDOMINANTEMENTE ARENOSO) COM CAL (TEOR DE 4%) - EXCLUSIVE SOLO, ESCAVAÇÃO, CARGA E TRANSPORTE.</v>
      </c>
      <c r="C5119" s="173" t="str">
        <f>VLOOKUP(A5119,ORÇAMENTO!A:K,5,0)</f>
        <v>M³</v>
      </c>
      <c r="D5119" s="173">
        <f>SUM(E5131:O5131)</f>
        <v>1.3307654975296135</v>
      </c>
      <c r="E5119" s="173" t="s">
        <v>1718</v>
      </c>
      <c r="F5119" s="173" t="s">
        <v>1719</v>
      </c>
      <c r="G5119" s="173" t="s">
        <v>1720</v>
      </c>
      <c r="H5119" s="173" t="s">
        <v>1721</v>
      </c>
      <c r="I5119" s="173" t="s">
        <v>1722</v>
      </c>
      <c r="J5119" s="173" t="s">
        <v>1723</v>
      </c>
      <c r="K5119" s="173" t="s">
        <v>1724</v>
      </c>
      <c r="L5119" s="173" t="s">
        <v>1725</v>
      </c>
      <c r="M5119" s="173" t="s">
        <v>1726</v>
      </c>
      <c r="N5119" s="173" t="s">
        <v>1727</v>
      </c>
      <c r="O5119" s="173" t="s">
        <v>1728</v>
      </c>
      <c r="P5119" s="224"/>
      <c r="Q5119" s="224"/>
    </row>
    <row r="5120" spans="1:17" s="225" customFormat="1" ht="10.5" x14ac:dyDescent="0.25">
      <c r="A5120" s="229"/>
      <c r="B5120" s="232" t="s">
        <v>1877</v>
      </c>
      <c r="C5120" s="177"/>
      <c r="D5120" s="178"/>
      <c r="E5120" s="178"/>
      <c r="F5120" s="178"/>
      <c r="G5120" s="177">
        <v>0.15</v>
      </c>
      <c r="H5120" s="178"/>
      <c r="I5120" s="178"/>
      <c r="J5120" s="178"/>
      <c r="K5120" s="178"/>
      <c r="L5120" s="178"/>
      <c r="M5120" s="178"/>
      <c r="N5120" s="178"/>
      <c r="O5120" s="178"/>
      <c r="P5120" s="231"/>
      <c r="Q5120" s="224"/>
    </row>
    <row r="5121" spans="1:17" s="225" customFormat="1" ht="10.5" x14ac:dyDescent="0.25">
      <c r="A5121" s="229"/>
      <c r="B5121" s="230" t="s">
        <v>1876</v>
      </c>
      <c r="C5121" s="177"/>
      <c r="D5121" s="178"/>
      <c r="E5121" s="178"/>
      <c r="F5121" s="178"/>
      <c r="G5121" s="178"/>
      <c r="H5121" s="178"/>
      <c r="I5121" s="178"/>
      <c r="J5121" s="178"/>
      <c r="K5121" s="178"/>
      <c r="L5121" s="178"/>
      <c r="M5121" s="178"/>
      <c r="N5121" s="178"/>
      <c r="O5121" s="178"/>
      <c r="P5121" s="231"/>
      <c r="Q5121" s="224"/>
    </row>
    <row r="5122" spans="1:17" s="225" customFormat="1" ht="10.5" x14ac:dyDescent="0.25">
      <c r="A5122" s="229"/>
      <c r="B5122" s="230" t="str">
        <f t="shared" ref="B5122:B5129" si="180">B5109</f>
        <v>PV1-67</v>
      </c>
      <c r="C5122" s="177"/>
      <c r="D5122" s="178"/>
      <c r="E5122" s="178">
        <v>1.8</v>
      </c>
      <c r="F5122" s="178">
        <v>1.8</v>
      </c>
      <c r="G5122" s="178">
        <f t="shared" ref="G5122:G5129" si="181">IF(G5058&gt;0.15,IF(G5058&gt;=0.3,0.15,G5058-0.15),0)</f>
        <v>0</v>
      </c>
      <c r="H5122" s="178"/>
      <c r="I5122" s="178"/>
      <c r="J5122" s="178">
        <v>0.6</v>
      </c>
      <c r="K5122" s="178"/>
      <c r="L5122" s="178"/>
      <c r="M5122" s="178"/>
      <c r="N5122" s="178">
        <f t="shared" ref="N5122:N5129" si="182">(E5122*F5122)-(PI()*(J5122/2)^2)</f>
        <v>2.9572566611769187</v>
      </c>
      <c r="O5122" s="178">
        <f t="shared" ref="O5122:O5129" si="183">N5122*G5122</f>
        <v>0</v>
      </c>
      <c r="P5122" s="231"/>
      <c r="Q5122" s="224"/>
    </row>
    <row r="5123" spans="1:17" s="225" customFormat="1" ht="10.5" x14ac:dyDescent="0.25">
      <c r="A5123" s="229"/>
      <c r="B5123" s="230" t="str">
        <f t="shared" si="180"/>
        <v>PV1-76</v>
      </c>
      <c r="C5123" s="177"/>
      <c r="D5123" s="178"/>
      <c r="E5123" s="178">
        <v>1.8</v>
      </c>
      <c r="F5123" s="178">
        <v>1.8</v>
      </c>
      <c r="G5123" s="178">
        <f t="shared" si="181"/>
        <v>0</v>
      </c>
      <c r="H5123" s="178"/>
      <c r="I5123" s="178"/>
      <c r="J5123" s="178">
        <v>0.6</v>
      </c>
      <c r="K5123" s="178"/>
      <c r="L5123" s="178"/>
      <c r="M5123" s="178"/>
      <c r="N5123" s="178">
        <f t="shared" si="182"/>
        <v>2.9572566611769187</v>
      </c>
      <c r="O5123" s="178">
        <f t="shared" si="183"/>
        <v>0</v>
      </c>
      <c r="P5123" s="231"/>
      <c r="Q5123" s="224"/>
    </row>
    <row r="5124" spans="1:17" s="225" customFormat="1" ht="10.5" x14ac:dyDescent="0.25">
      <c r="A5124" s="229"/>
      <c r="B5124" s="230" t="str">
        <f t="shared" si="180"/>
        <v>PV2-76</v>
      </c>
      <c r="C5124" s="177"/>
      <c r="D5124" s="178"/>
      <c r="E5124" s="178">
        <v>1.8</v>
      </c>
      <c r="F5124" s="178">
        <v>1.8</v>
      </c>
      <c r="G5124" s="178">
        <f t="shared" si="181"/>
        <v>0.15</v>
      </c>
      <c r="H5124" s="178"/>
      <c r="I5124" s="178"/>
      <c r="J5124" s="178">
        <v>0.6</v>
      </c>
      <c r="K5124" s="178"/>
      <c r="L5124" s="178"/>
      <c r="M5124" s="178"/>
      <c r="N5124" s="178">
        <f t="shared" si="182"/>
        <v>2.9572566611769187</v>
      </c>
      <c r="O5124" s="178">
        <f t="shared" si="183"/>
        <v>0.44358849917653781</v>
      </c>
      <c r="P5124" s="231"/>
      <c r="Q5124" s="224"/>
    </row>
    <row r="5125" spans="1:17" s="225" customFormat="1" ht="10.5" x14ac:dyDescent="0.25">
      <c r="A5125" s="229"/>
      <c r="B5125" s="230" t="str">
        <f t="shared" si="180"/>
        <v>PV1-79</v>
      </c>
      <c r="C5125" s="177"/>
      <c r="D5125" s="178"/>
      <c r="E5125" s="178">
        <v>1.8</v>
      </c>
      <c r="F5125" s="178">
        <v>1.8</v>
      </c>
      <c r="G5125" s="178">
        <f t="shared" si="181"/>
        <v>0</v>
      </c>
      <c r="H5125" s="178"/>
      <c r="I5125" s="178"/>
      <c r="J5125" s="178">
        <v>0.6</v>
      </c>
      <c r="K5125" s="178"/>
      <c r="L5125" s="178"/>
      <c r="M5125" s="178"/>
      <c r="N5125" s="178">
        <f t="shared" si="182"/>
        <v>2.9572566611769187</v>
      </c>
      <c r="O5125" s="178">
        <f t="shared" si="183"/>
        <v>0</v>
      </c>
      <c r="P5125" s="231"/>
      <c r="Q5125" s="224"/>
    </row>
    <row r="5126" spans="1:17" s="225" customFormat="1" ht="10.5" x14ac:dyDescent="0.25">
      <c r="A5126" s="229"/>
      <c r="B5126" s="230" t="str">
        <f t="shared" si="180"/>
        <v>PV2-79</v>
      </c>
      <c r="C5126" s="177"/>
      <c r="D5126" s="178"/>
      <c r="E5126" s="178">
        <v>1.8</v>
      </c>
      <c r="F5126" s="178">
        <v>1.8</v>
      </c>
      <c r="G5126" s="178">
        <f t="shared" si="181"/>
        <v>0.15</v>
      </c>
      <c r="H5126" s="178"/>
      <c r="I5126" s="178"/>
      <c r="J5126" s="178">
        <v>0.6</v>
      </c>
      <c r="K5126" s="178"/>
      <c r="L5126" s="178"/>
      <c r="M5126" s="178"/>
      <c r="N5126" s="178">
        <f t="shared" si="182"/>
        <v>2.9572566611769187</v>
      </c>
      <c r="O5126" s="178">
        <f t="shared" si="183"/>
        <v>0.44358849917653781</v>
      </c>
      <c r="P5126" s="231"/>
      <c r="Q5126" s="224"/>
    </row>
    <row r="5127" spans="1:17" s="225" customFormat="1" ht="10.5" x14ac:dyDescent="0.25">
      <c r="A5127" s="229"/>
      <c r="B5127" s="230" t="str">
        <f t="shared" si="180"/>
        <v>PV1-82</v>
      </c>
      <c r="C5127" s="177"/>
      <c r="D5127" s="178"/>
      <c r="E5127" s="178">
        <v>1.8</v>
      </c>
      <c r="F5127" s="178">
        <v>1.8</v>
      </c>
      <c r="G5127" s="178">
        <f t="shared" si="181"/>
        <v>0</v>
      </c>
      <c r="H5127" s="178"/>
      <c r="I5127" s="178"/>
      <c r="J5127" s="178">
        <v>0.6</v>
      </c>
      <c r="K5127" s="178"/>
      <c r="L5127" s="178"/>
      <c r="M5127" s="178"/>
      <c r="N5127" s="178">
        <f t="shared" si="182"/>
        <v>2.9572566611769187</v>
      </c>
      <c r="O5127" s="178">
        <f t="shared" si="183"/>
        <v>0</v>
      </c>
      <c r="P5127" s="231"/>
      <c r="Q5127" s="224"/>
    </row>
    <row r="5128" spans="1:17" s="225" customFormat="1" ht="10.5" x14ac:dyDescent="0.25">
      <c r="A5128" s="229"/>
      <c r="B5128" s="230" t="str">
        <f t="shared" si="180"/>
        <v>PV1-85</v>
      </c>
      <c r="C5128" s="177"/>
      <c r="D5128" s="178"/>
      <c r="E5128" s="178">
        <v>1.8</v>
      </c>
      <c r="F5128" s="178">
        <v>1.8</v>
      </c>
      <c r="G5128" s="178">
        <f t="shared" si="181"/>
        <v>0</v>
      </c>
      <c r="H5128" s="178"/>
      <c r="I5128" s="178"/>
      <c r="J5128" s="178">
        <v>0.6</v>
      </c>
      <c r="K5128" s="178"/>
      <c r="L5128" s="178"/>
      <c r="M5128" s="178"/>
      <c r="N5128" s="178">
        <f t="shared" si="182"/>
        <v>2.9572566611769187</v>
      </c>
      <c r="O5128" s="178">
        <f t="shared" si="183"/>
        <v>0</v>
      </c>
      <c r="P5128" s="231"/>
      <c r="Q5128" s="224"/>
    </row>
    <row r="5129" spans="1:17" s="225" customFormat="1" ht="10.5" x14ac:dyDescent="0.25">
      <c r="A5129" s="229"/>
      <c r="B5129" s="230" t="str">
        <f t="shared" si="180"/>
        <v>PV1-86</v>
      </c>
      <c r="C5129" s="177"/>
      <c r="D5129" s="178"/>
      <c r="E5129" s="178">
        <v>1.8</v>
      </c>
      <c r="F5129" s="178">
        <v>1.8</v>
      </c>
      <c r="G5129" s="178">
        <f t="shared" si="181"/>
        <v>0.15</v>
      </c>
      <c r="H5129" s="178"/>
      <c r="I5129" s="178"/>
      <c r="J5129" s="178">
        <v>0.6</v>
      </c>
      <c r="K5129" s="178"/>
      <c r="L5129" s="178"/>
      <c r="M5129" s="178"/>
      <c r="N5129" s="178">
        <f t="shared" si="182"/>
        <v>2.9572566611769187</v>
      </c>
      <c r="O5129" s="178">
        <f t="shared" si="183"/>
        <v>0.44358849917653781</v>
      </c>
      <c r="P5129" s="231"/>
      <c r="Q5129" s="224"/>
    </row>
    <row r="5130" spans="1:17" s="225" customFormat="1" ht="10.5" x14ac:dyDescent="0.25">
      <c r="A5130" s="229"/>
      <c r="B5130" s="230"/>
      <c r="C5130" s="177"/>
      <c r="D5130" s="178"/>
      <c r="E5130" s="178"/>
      <c r="F5130" s="178"/>
      <c r="G5130" s="178"/>
      <c r="H5130" s="178"/>
      <c r="I5130" s="178"/>
      <c r="J5130" s="178"/>
      <c r="K5130" s="178"/>
      <c r="L5130" s="180"/>
      <c r="M5130" s="178"/>
      <c r="N5130" s="178"/>
      <c r="O5130" s="178"/>
      <c r="P5130" s="231"/>
      <c r="Q5130" s="224"/>
    </row>
    <row r="5131" spans="1:17" s="225" customFormat="1" ht="10.5" x14ac:dyDescent="0.25">
      <c r="A5131" s="229"/>
      <c r="B5131" s="232" t="s">
        <v>5</v>
      </c>
      <c r="C5131" s="182" t="s">
        <v>1328</v>
      </c>
      <c r="D5131" s="182"/>
      <c r="E5131" s="182"/>
      <c r="F5131" s="182"/>
      <c r="G5131" s="182"/>
      <c r="H5131" s="182"/>
      <c r="I5131" s="182"/>
      <c r="J5131" s="182"/>
      <c r="K5131" s="182"/>
      <c r="L5131" s="182"/>
      <c r="M5131" s="182"/>
      <c r="N5131" s="182"/>
      <c r="O5131" s="182">
        <f>SUM(O5122:O5130)</f>
        <v>1.3307654975296135</v>
      </c>
      <c r="P5131" s="233"/>
      <c r="Q5131" s="224"/>
    </row>
    <row r="5132" spans="1:17" s="228" customFormat="1" ht="21" x14ac:dyDescent="0.25">
      <c r="A5132" s="226" t="str">
        <f>ORÇAMENTO!A943</f>
        <v>7.4.11</v>
      </c>
      <c r="B5132" s="227" t="str">
        <f>VLOOKUP(A5132,ORÇAMENTO!A:K,4,0)</f>
        <v>REATERRO MANUAL APILOADO COM SOQUETE</v>
      </c>
      <c r="C5132" s="173" t="str">
        <f>VLOOKUP(A5132,ORÇAMENTO!A:K,5,0)</f>
        <v>M³</v>
      </c>
      <c r="D5132" s="173">
        <f>SUM(E5144:O5144)</f>
        <v>3.6374256932477298</v>
      </c>
      <c r="E5132" s="173" t="s">
        <v>1718</v>
      </c>
      <c r="F5132" s="173" t="s">
        <v>1719</v>
      </c>
      <c r="G5132" s="173" t="s">
        <v>1720</v>
      </c>
      <c r="H5132" s="173" t="s">
        <v>1721</v>
      </c>
      <c r="I5132" s="173" t="s">
        <v>1722</v>
      </c>
      <c r="J5132" s="173" t="s">
        <v>1723</v>
      </c>
      <c r="K5132" s="173" t="s">
        <v>1724</v>
      </c>
      <c r="L5132" s="173" t="s">
        <v>1725</v>
      </c>
      <c r="M5132" s="173" t="s">
        <v>1726</v>
      </c>
      <c r="N5132" s="173" t="s">
        <v>1727</v>
      </c>
      <c r="O5132" s="173" t="s">
        <v>1728</v>
      </c>
      <c r="P5132" s="224"/>
      <c r="Q5132" s="224"/>
    </row>
    <row r="5133" spans="1:17" s="225" customFormat="1" ht="10.5" x14ac:dyDescent="0.25">
      <c r="A5133" s="229"/>
      <c r="B5133" s="232"/>
      <c r="C5133" s="177"/>
      <c r="D5133" s="178"/>
      <c r="E5133" s="178"/>
      <c r="F5133" s="178"/>
      <c r="G5133" s="178"/>
      <c r="H5133" s="178"/>
      <c r="I5133" s="178"/>
      <c r="J5133" s="178"/>
      <c r="K5133" s="178"/>
      <c r="L5133" s="178"/>
      <c r="M5133" s="178"/>
      <c r="N5133" s="178"/>
      <c r="O5133" s="178"/>
      <c r="P5133" s="231"/>
      <c r="Q5133" s="224"/>
    </row>
    <row r="5134" spans="1:17" s="225" customFormat="1" ht="10.5" x14ac:dyDescent="0.25">
      <c r="A5134" s="229"/>
      <c r="B5134" s="230" t="s">
        <v>1876</v>
      </c>
      <c r="C5134" s="177"/>
      <c r="D5134" s="178"/>
      <c r="E5134" s="178"/>
      <c r="F5134" s="178"/>
      <c r="G5134" s="178"/>
      <c r="H5134" s="178"/>
      <c r="I5134" s="178"/>
      <c r="J5134" s="178"/>
      <c r="K5134" s="178"/>
      <c r="L5134" s="178"/>
      <c r="M5134" s="178"/>
      <c r="N5134" s="178"/>
      <c r="O5134" s="178"/>
      <c r="P5134" s="231"/>
      <c r="Q5134" s="224"/>
    </row>
    <row r="5135" spans="1:17" s="225" customFormat="1" ht="10.5" x14ac:dyDescent="0.25">
      <c r="A5135" s="229"/>
      <c r="B5135" s="230" t="str">
        <f t="shared" ref="B5135:B5142" si="184">B5122</f>
        <v>PV1-67</v>
      </c>
      <c r="C5135" s="177"/>
      <c r="D5135" s="178"/>
      <c r="E5135" s="178">
        <v>1.8</v>
      </c>
      <c r="F5135" s="178">
        <v>1.8</v>
      </c>
      <c r="G5135" s="178">
        <f t="shared" ref="G5135:G5142" si="185">IF(G5058&lt;=0.3,0,G5058-0.3)</f>
        <v>0</v>
      </c>
      <c r="H5135" s="178"/>
      <c r="I5135" s="178"/>
      <c r="J5135" s="178">
        <v>0.6</v>
      </c>
      <c r="K5135" s="178"/>
      <c r="L5135" s="178"/>
      <c r="M5135" s="178"/>
      <c r="N5135" s="178">
        <f t="shared" ref="N5135:N5142" si="186">(E5135*F5135)-(PI()*(J5135/2)^2)</f>
        <v>2.9572566611769187</v>
      </c>
      <c r="O5135" s="178">
        <f t="shared" ref="O5135:O5142" si="187">N5135*G5135</f>
        <v>0</v>
      </c>
      <c r="P5135" s="231"/>
      <c r="Q5135" s="224"/>
    </row>
    <row r="5136" spans="1:17" s="225" customFormat="1" ht="10.5" x14ac:dyDescent="0.25">
      <c r="A5136" s="229"/>
      <c r="B5136" s="230" t="str">
        <f t="shared" si="184"/>
        <v>PV1-76</v>
      </c>
      <c r="C5136" s="177"/>
      <c r="D5136" s="178"/>
      <c r="E5136" s="178">
        <v>1.8</v>
      </c>
      <c r="F5136" s="178">
        <v>1.8</v>
      </c>
      <c r="G5136" s="178">
        <f t="shared" si="185"/>
        <v>0</v>
      </c>
      <c r="H5136" s="178"/>
      <c r="I5136" s="178"/>
      <c r="J5136" s="178">
        <v>0.6</v>
      </c>
      <c r="K5136" s="178"/>
      <c r="L5136" s="178"/>
      <c r="M5136" s="178"/>
      <c r="N5136" s="178">
        <f t="shared" si="186"/>
        <v>2.9572566611769187</v>
      </c>
      <c r="O5136" s="178">
        <f t="shared" si="187"/>
        <v>0</v>
      </c>
      <c r="P5136" s="231"/>
      <c r="Q5136" s="224"/>
    </row>
    <row r="5137" spans="1:17" s="225" customFormat="1" ht="10.5" x14ac:dyDescent="0.25">
      <c r="A5137" s="229"/>
      <c r="B5137" s="230" t="str">
        <f t="shared" si="184"/>
        <v>PV2-76</v>
      </c>
      <c r="C5137" s="177"/>
      <c r="D5137" s="178"/>
      <c r="E5137" s="178">
        <v>1.8</v>
      </c>
      <c r="F5137" s="178">
        <v>1.8</v>
      </c>
      <c r="G5137" s="178">
        <f t="shared" si="185"/>
        <v>0.40000000000004082</v>
      </c>
      <c r="H5137" s="178"/>
      <c r="I5137" s="178"/>
      <c r="J5137" s="178">
        <v>0.6</v>
      </c>
      <c r="K5137" s="178"/>
      <c r="L5137" s="178"/>
      <c r="M5137" s="178"/>
      <c r="N5137" s="178">
        <f t="shared" si="186"/>
        <v>2.9572566611769187</v>
      </c>
      <c r="O5137" s="178">
        <f t="shared" si="187"/>
        <v>1.1829026644708882</v>
      </c>
      <c r="P5137" s="231"/>
      <c r="Q5137" s="224"/>
    </row>
    <row r="5138" spans="1:17" s="225" customFormat="1" ht="10.5" x14ac:dyDescent="0.25">
      <c r="A5138" s="229"/>
      <c r="B5138" s="230" t="str">
        <f t="shared" si="184"/>
        <v>PV1-79</v>
      </c>
      <c r="C5138" s="177"/>
      <c r="D5138" s="178"/>
      <c r="E5138" s="178">
        <v>1.8</v>
      </c>
      <c r="F5138" s="178">
        <v>1.8</v>
      </c>
      <c r="G5138" s="178">
        <f t="shared" si="185"/>
        <v>0</v>
      </c>
      <c r="H5138" s="178"/>
      <c r="I5138" s="178"/>
      <c r="J5138" s="178">
        <v>0.6</v>
      </c>
      <c r="K5138" s="178"/>
      <c r="L5138" s="178"/>
      <c r="M5138" s="178"/>
      <c r="N5138" s="178">
        <f t="shared" si="186"/>
        <v>2.9572566611769187</v>
      </c>
      <c r="O5138" s="178">
        <f t="shared" si="187"/>
        <v>0</v>
      </c>
      <c r="P5138" s="231"/>
      <c r="Q5138" s="224"/>
    </row>
    <row r="5139" spans="1:17" s="225" customFormat="1" ht="10.5" x14ac:dyDescent="0.25">
      <c r="A5139" s="229"/>
      <c r="B5139" s="230" t="str">
        <f t="shared" si="184"/>
        <v>PV2-79</v>
      </c>
      <c r="C5139" s="177"/>
      <c r="D5139" s="178"/>
      <c r="E5139" s="178">
        <v>1.8</v>
      </c>
      <c r="F5139" s="178">
        <v>1.8</v>
      </c>
      <c r="G5139" s="178">
        <f t="shared" si="185"/>
        <v>0.63999999999999968</v>
      </c>
      <c r="H5139" s="178"/>
      <c r="I5139" s="178"/>
      <c r="J5139" s="178">
        <v>0.6</v>
      </c>
      <c r="K5139" s="178"/>
      <c r="L5139" s="178"/>
      <c r="M5139" s="178"/>
      <c r="N5139" s="178">
        <f t="shared" si="186"/>
        <v>2.9572566611769187</v>
      </c>
      <c r="O5139" s="178">
        <f t="shared" si="187"/>
        <v>1.892644263153227</v>
      </c>
      <c r="P5139" s="231"/>
      <c r="Q5139" s="224"/>
    </row>
    <row r="5140" spans="1:17" s="225" customFormat="1" ht="10.5" x14ac:dyDescent="0.25">
      <c r="A5140" s="229"/>
      <c r="B5140" s="230" t="str">
        <f t="shared" si="184"/>
        <v>PV1-82</v>
      </c>
      <c r="C5140" s="177"/>
      <c r="D5140" s="178"/>
      <c r="E5140" s="178">
        <v>1.8</v>
      </c>
      <c r="F5140" s="178">
        <v>1.8</v>
      </c>
      <c r="G5140" s="178">
        <f t="shared" si="185"/>
        <v>0</v>
      </c>
      <c r="H5140" s="178"/>
      <c r="I5140" s="178"/>
      <c r="J5140" s="178">
        <v>0.6</v>
      </c>
      <c r="K5140" s="178"/>
      <c r="L5140" s="178"/>
      <c r="M5140" s="178"/>
      <c r="N5140" s="178">
        <f t="shared" si="186"/>
        <v>2.9572566611769187</v>
      </c>
      <c r="O5140" s="178">
        <f t="shared" si="187"/>
        <v>0</v>
      </c>
      <c r="P5140" s="231"/>
      <c r="Q5140" s="224"/>
    </row>
    <row r="5141" spans="1:17" s="225" customFormat="1" ht="10.5" x14ac:dyDescent="0.25">
      <c r="A5141" s="229"/>
      <c r="B5141" s="230" t="str">
        <f t="shared" si="184"/>
        <v>PV1-85</v>
      </c>
      <c r="C5141" s="177"/>
      <c r="D5141" s="178"/>
      <c r="E5141" s="178">
        <v>1.8</v>
      </c>
      <c r="F5141" s="178">
        <v>1.8</v>
      </c>
      <c r="G5141" s="178">
        <f t="shared" si="185"/>
        <v>0</v>
      </c>
      <c r="H5141" s="178"/>
      <c r="I5141" s="178"/>
      <c r="J5141" s="178">
        <v>0.6</v>
      </c>
      <c r="K5141" s="178"/>
      <c r="L5141" s="178"/>
      <c r="M5141" s="178"/>
      <c r="N5141" s="178">
        <f t="shared" si="186"/>
        <v>2.9572566611769187</v>
      </c>
      <c r="O5141" s="178">
        <f t="shared" si="187"/>
        <v>0</v>
      </c>
      <c r="P5141" s="231"/>
      <c r="Q5141" s="224"/>
    </row>
    <row r="5142" spans="1:17" s="225" customFormat="1" ht="10.5" x14ac:dyDescent="0.25">
      <c r="A5142" s="229"/>
      <c r="B5142" s="230" t="str">
        <f t="shared" si="184"/>
        <v>PV1-86</v>
      </c>
      <c r="C5142" s="177"/>
      <c r="D5142" s="178"/>
      <c r="E5142" s="178">
        <v>1.8</v>
      </c>
      <c r="F5142" s="178">
        <v>1.8</v>
      </c>
      <c r="G5142" s="178">
        <f t="shared" si="185"/>
        <v>0.19</v>
      </c>
      <c r="H5142" s="178"/>
      <c r="I5142" s="178"/>
      <c r="J5142" s="178">
        <v>0.6</v>
      </c>
      <c r="K5142" s="178"/>
      <c r="L5142" s="178"/>
      <c r="M5142" s="178"/>
      <c r="N5142" s="178">
        <f t="shared" si="186"/>
        <v>2.9572566611769187</v>
      </c>
      <c r="O5142" s="178">
        <f t="shared" si="187"/>
        <v>0.5618787656236145</v>
      </c>
      <c r="P5142" s="231"/>
      <c r="Q5142" s="224"/>
    </row>
    <row r="5143" spans="1:17" s="225" customFormat="1" ht="10.5" x14ac:dyDescent="0.25">
      <c r="A5143" s="229"/>
      <c r="B5143" s="230"/>
      <c r="C5143" s="177"/>
      <c r="D5143" s="178"/>
      <c r="E5143" s="178"/>
      <c r="F5143" s="178"/>
      <c r="G5143" s="178"/>
      <c r="H5143" s="178"/>
      <c r="I5143" s="178"/>
      <c r="J5143" s="178"/>
      <c r="K5143" s="178"/>
      <c r="L5143" s="180"/>
      <c r="M5143" s="178"/>
      <c r="N5143" s="178"/>
      <c r="O5143" s="178"/>
      <c r="P5143" s="231"/>
      <c r="Q5143" s="224"/>
    </row>
    <row r="5144" spans="1:17" s="225" customFormat="1" ht="10.5" x14ac:dyDescent="0.25">
      <c r="A5144" s="229"/>
      <c r="B5144" s="232" t="s">
        <v>5</v>
      </c>
      <c r="C5144" s="182" t="s">
        <v>1328</v>
      </c>
      <c r="D5144" s="182"/>
      <c r="E5144" s="182"/>
      <c r="F5144" s="182"/>
      <c r="G5144" s="182"/>
      <c r="H5144" s="182"/>
      <c r="I5144" s="182"/>
      <c r="J5144" s="182"/>
      <c r="K5144" s="182"/>
      <c r="L5144" s="182"/>
      <c r="M5144" s="182"/>
      <c r="N5144" s="182"/>
      <c r="O5144" s="182">
        <f>SUM(O5135:O5143)</f>
        <v>3.6374256932477298</v>
      </c>
      <c r="P5144" s="233"/>
      <c r="Q5144" s="224"/>
    </row>
    <row r="5145" spans="1:17" s="228" customFormat="1" ht="21" x14ac:dyDescent="0.25">
      <c r="A5145" s="226" t="str">
        <f>ORÇAMENTO!A944</f>
        <v>7.4.12</v>
      </c>
      <c r="B5145" s="227" t="str">
        <f>VLOOKUP(A5145,ORÇAMENTO!A:K,4,0)</f>
        <v>COMPACTAÇÃO DE ATERROS A 100% DO PROCTOR INTERMEDIÁRIO</v>
      </c>
      <c r="C5145" s="173" t="str">
        <f>VLOOKUP(A5145,ORÇAMENTO!A:K,5,0)</f>
        <v>M³</v>
      </c>
      <c r="D5145" s="173">
        <f>SUM(E5157:O5157)</f>
        <v>3.6374256932477298</v>
      </c>
      <c r="E5145" s="173" t="s">
        <v>1718</v>
      </c>
      <c r="F5145" s="173" t="s">
        <v>1719</v>
      </c>
      <c r="G5145" s="173" t="s">
        <v>1720</v>
      </c>
      <c r="H5145" s="173" t="s">
        <v>1721</v>
      </c>
      <c r="I5145" s="173" t="s">
        <v>1722</v>
      </c>
      <c r="J5145" s="173" t="s">
        <v>1723</v>
      </c>
      <c r="K5145" s="173" t="s">
        <v>1724</v>
      </c>
      <c r="L5145" s="173" t="s">
        <v>1725</v>
      </c>
      <c r="M5145" s="173" t="s">
        <v>1726</v>
      </c>
      <c r="N5145" s="173" t="s">
        <v>1727</v>
      </c>
      <c r="O5145" s="173" t="s">
        <v>1728</v>
      </c>
      <c r="P5145" s="224"/>
      <c r="Q5145" s="224"/>
    </row>
    <row r="5146" spans="1:17" s="225" customFormat="1" ht="10.5" x14ac:dyDescent="0.25">
      <c r="A5146" s="229"/>
      <c r="B5146" s="232"/>
      <c r="C5146" s="177"/>
      <c r="D5146" s="178"/>
      <c r="E5146" s="178"/>
      <c r="F5146" s="178"/>
      <c r="G5146" s="178"/>
      <c r="H5146" s="178"/>
      <c r="I5146" s="178"/>
      <c r="J5146" s="178"/>
      <c r="K5146" s="178"/>
      <c r="L5146" s="178"/>
      <c r="M5146" s="178"/>
      <c r="N5146" s="178"/>
      <c r="O5146" s="178"/>
      <c r="P5146" s="231"/>
      <c r="Q5146" s="224"/>
    </row>
    <row r="5147" spans="1:17" s="225" customFormat="1" ht="10.5" x14ac:dyDescent="0.25">
      <c r="A5147" s="229"/>
      <c r="B5147" s="230" t="str">
        <f t="shared" ref="B5147:B5155" si="188">B5134</f>
        <v>VOLUME = VOLUME DEMOLIDO - VOLUME DO PV</v>
      </c>
      <c r="C5147" s="177"/>
      <c r="D5147" s="178"/>
      <c r="E5147" s="178"/>
      <c r="F5147" s="178"/>
      <c r="G5147" s="178"/>
      <c r="H5147" s="178"/>
      <c r="I5147" s="178"/>
      <c r="J5147" s="178"/>
      <c r="K5147" s="178"/>
      <c r="L5147" s="178"/>
      <c r="M5147" s="178"/>
      <c r="N5147" s="178"/>
      <c r="O5147" s="178"/>
      <c r="P5147" s="231"/>
      <c r="Q5147" s="224"/>
    </row>
    <row r="5148" spans="1:17" s="225" customFormat="1" ht="10.5" x14ac:dyDescent="0.25">
      <c r="A5148" s="229"/>
      <c r="B5148" s="230" t="str">
        <f t="shared" si="188"/>
        <v>PV1-67</v>
      </c>
      <c r="C5148" s="177"/>
      <c r="D5148" s="178"/>
      <c r="E5148" s="178">
        <f t="shared" ref="E5148:G5155" si="189">E5135</f>
        <v>1.8</v>
      </c>
      <c r="F5148" s="178">
        <f t="shared" si="189"/>
        <v>1.8</v>
      </c>
      <c r="G5148" s="178">
        <f t="shared" si="189"/>
        <v>0</v>
      </c>
      <c r="H5148" s="178"/>
      <c r="I5148" s="178"/>
      <c r="J5148" s="178">
        <f t="shared" ref="J5148:J5155" si="190">J5135</f>
        <v>0.6</v>
      </c>
      <c r="K5148" s="178"/>
      <c r="L5148" s="178"/>
      <c r="M5148" s="178"/>
      <c r="N5148" s="178">
        <f t="shared" ref="N5148:N5155" si="191">(E5148*F5148)-(PI()*(J5148/2)^2)</f>
        <v>2.9572566611769187</v>
      </c>
      <c r="O5148" s="178">
        <f t="shared" ref="O5148:O5155" si="192">N5148*G5148</f>
        <v>0</v>
      </c>
      <c r="P5148" s="231"/>
      <c r="Q5148" s="224"/>
    </row>
    <row r="5149" spans="1:17" s="225" customFormat="1" ht="10.5" x14ac:dyDescent="0.25">
      <c r="A5149" s="229"/>
      <c r="B5149" s="230" t="str">
        <f t="shared" si="188"/>
        <v>PV1-76</v>
      </c>
      <c r="C5149" s="177"/>
      <c r="D5149" s="178"/>
      <c r="E5149" s="178">
        <f t="shared" si="189"/>
        <v>1.8</v>
      </c>
      <c r="F5149" s="178">
        <f t="shared" si="189"/>
        <v>1.8</v>
      </c>
      <c r="G5149" s="178">
        <f t="shared" si="189"/>
        <v>0</v>
      </c>
      <c r="H5149" s="178"/>
      <c r="I5149" s="178"/>
      <c r="J5149" s="178">
        <f t="shared" si="190"/>
        <v>0.6</v>
      </c>
      <c r="K5149" s="178"/>
      <c r="L5149" s="178"/>
      <c r="M5149" s="178"/>
      <c r="N5149" s="178">
        <f t="shared" si="191"/>
        <v>2.9572566611769187</v>
      </c>
      <c r="O5149" s="178">
        <f t="shared" si="192"/>
        <v>0</v>
      </c>
      <c r="P5149" s="231"/>
      <c r="Q5149" s="224"/>
    </row>
    <row r="5150" spans="1:17" s="225" customFormat="1" ht="10.5" x14ac:dyDescent="0.25">
      <c r="A5150" s="229"/>
      <c r="B5150" s="230" t="str">
        <f t="shared" si="188"/>
        <v>PV2-76</v>
      </c>
      <c r="C5150" s="177"/>
      <c r="D5150" s="178"/>
      <c r="E5150" s="178">
        <f t="shared" si="189"/>
        <v>1.8</v>
      </c>
      <c r="F5150" s="178">
        <f t="shared" si="189"/>
        <v>1.8</v>
      </c>
      <c r="G5150" s="178">
        <f t="shared" si="189"/>
        <v>0.40000000000004082</v>
      </c>
      <c r="H5150" s="178"/>
      <c r="I5150" s="178"/>
      <c r="J5150" s="178">
        <f t="shared" si="190"/>
        <v>0.6</v>
      </c>
      <c r="K5150" s="178"/>
      <c r="L5150" s="178"/>
      <c r="M5150" s="178"/>
      <c r="N5150" s="178">
        <f t="shared" si="191"/>
        <v>2.9572566611769187</v>
      </c>
      <c r="O5150" s="178">
        <f t="shared" si="192"/>
        <v>1.1829026644708882</v>
      </c>
      <c r="P5150" s="231"/>
      <c r="Q5150" s="224"/>
    </row>
    <row r="5151" spans="1:17" s="225" customFormat="1" ht="10.5" x14ac:dyDescent="0.25">
      <c r="A5151" s="229"/>
      <c r="B5151" s="230" t="str">
        <f t="shared" si="188"/>
        <v>PV1-79</v>
      </c>
      <c r="C5151" s="177"/>
      <c r="D5151" s="178"/>
      <c r="E5151" s="178">
        <f t="shared" si="189"/>
        <v>1.8</v>
      </c>
      <c r="F5151" s="178">
        <f t="shared" si="189"/>
        <v>1.8</v>
      </c>
      <c r="G5151" s="178">
        <f t="shared" si="189"/>
        <v>0</v>
      </c>
      <c r="H5151" s="178"/>
      <c r="I5151" s="178"/>
      <c r="J5151" s="178">
        <f t="shared" si="190"/>
        <v>0.6</v>
      </c>
      <c r="K5151" s="178"/>
      <c r="L5151" s="178"/>
      <c r="M5151" s="178"/>
      <c r="N5151" s="178">
        <f t="shared" si="191"/>
        <v>2.9572566611769187</v>
      </c>
      <c r="O5151" s="178">
        <f t="shared" si="192"/>
        <v>0</v>
      </c>
      <c r="P5151" s="231"/>
      <c r="Q5151" s="224"/>
    </row>
    <row r="5152" spans="1:17" s="225" customFormat="1" ht="10.5" x14ac:dyDescent="0.25">
      <c r="A5152" s="229"/>
      <c r="B5152" s="230" t="str">
        <f t="shared" si="188"/>
        <v>PV2-79</v>
      </c>
      <c r="C5152" s="177"/>
      <c r="D5152" s="178"/>
      <c r="E5152" s="178">
        <f t="shared" si="189"/>
        <v>1.8</v>
      </c>
      <c r="F5152" s="178">
        <f t="shared" si="189"/>
        <v>1.8</v>
      </c>
      <c r="G5152" s="178">
        <f t="shared" si="189"/>
        <v>0.63999999999999968</v>
      </c>
      <c r="H5152" s="178"/>
      <c r="I5152" s="178"/>
      <c r="J5152" s="178">
        <f t="shared" si="190"/>
        <v>0.6</v>
      </c>
      <c r="K5152" s="178"/>
      <c r="L5152" s="178"/>
      <c r="M5152" s="178"/>
      <c r="N5152" s="178">
        <f t="shared" si="191"/>
        <v>2.9572566611769187</v>
      </c>
      <c r="O5152" s="178">
        <f t="shared" si="192"/>
        <v>1.892644263153227</v>
      </c>
      <c r="P5152" s="231"/>
      <c r="Q5152" s="224"/>
    </row>
    <row r="5153" spans="1:17" s="225" customFormat="1" ht="10.5" x14ac:dyDescent="0.25">
      <c r="A5153" s="229"/>
      <c r="B5153" s="230" t="str">
        <f t="shared" si="188"/>
        <v>PV1-82</v>
      </c>
      <c r="C5153" s="177"/>
      <c r="D5153" s="178"/>
      <c r="E5153" s="178">
        <f t="shared" si="189"/>
        <v>1.8</v>
      </c>
      <c r="F5153" s="178">
        <f t="shared" si="189"/>
        <v>1.8</v>
      </c>
      <c r="G5153" s="178">
        <f t="shared" si="189"/>
        <v>0</v>
      </c>
      <c r="H5153" s="178"/>
      <c r="I5153" s="178"/>
      <c r="J5153" s="178">
        <f t="shared" si="190"/>
        <v>0.6</v>
      </c>
      <c r="K5153" s="178"/>
      <c r="L5153" s="178"/>
      <c r="M5153" s="178"/>
      <c r="N5153" s="178">
        <f t="shared" si="191"/>
        <v>2.9572566611769187</v>
      </c>
      <c r="O5153" s="178">
        <f t="shared" si="192"/>
        <v>0</v>
      </c>
      <c r="P5153" s="231"/>
      <c r="Q5153" s="224"/>
    </row>
    <row r="5154" spans="1:17" s="225" customFormat="1" ht="10.5" x14ac:dyDescent="0.25">
      <c r="A5154" s="229"/>
      <c r="B5154" s="230" t="str">
        <f t="shared" si="188"/>
        <v>PV1-85</v>
      </c>
      <c r="C5154" s="177"/>
      <c r="D5154" s="178"/>
      <c r="E5154" s="178">
        <f t="shared" si="189"/>
        <v>1.8</v>
      </c>
      <c r="F5154" s="178">
        <f t="shared" si="189"/>
        <v>1.8</v>
      </c>
      <c r="G5154" s="178">
        <f t="shared" si="189"/>
        <v>0</v>
      </c>
      <c r="H5154" s="178"/>
      <c r="I5154" s="178"/>
      <c r="J5154" s="178">
        <f t="shared" si="190"/>
        <v>0.6</v>
      </c>
      <c r="K5154" s="178"/>
      <c r="L5154" s="178"/>
      <c r="M5154" s="178"/>
      <c r="N5154" s="178">
        <f t="shared" si="191"/>
        <v>2.9572566611769187</v>
      </c>
      <c r="O5154" s="178">
        <f t="shared" si="192"/>
        <v>0</v>
      </c>
      <c r="P5154" s="231"/>
      <c r="Q5154" s="224"/>
    </row>
    <row r="5155" spans="1:17" s="225" customFormat="1" ht="10.5" x14ac:dyDescent="0.25">
      <c r="A5155" s="229"/>
      <c r="B5155" s="230" t="str">
        <f t="shared" si="188"/>
        <v>PV1-86</v>
      </c>
      <c r="C5155" s="177"/>
      <c r="D5155" s="178"/>
      <c r="E5155" s="178">
        <f t="shared" si="189"/>
        <v>1.8</v>
      </c>
      <c r="F5155" s="178">
        <f t="shared" si="189"/>
        <v>1.8</v>
      </c>
      <c r="G5155" s="178">
        <f t="shared" si="189"/>
        <v>0.19</v>
      </c>
      <c r="H5155" s="178"/>
      <c r="I5155" s="178"/>
      <c r="J5155" s="178">
        <f t="shared" si="190"/>
        <v>0.6</v>
      </c>
      <c r="K5155" s="178"/>
      <c r="L5155" s="178"/>
      <c r="M5155" s="178"/>
      <c r="N5155" s="178">
        <f t="shared" si="191"/>
        <v>2.9572566611769187</v>
      </c>
      <c r="O5155" s="178">
        <f t="shared" si="192"/>
        <v>0.5618787656236145</v>
      </c>
      <c r="P5155" s="231"/>
      <c r="Q5155" s="224"/>
    </row>
    <row r="5156" spans="1:17" s="225" customFormat="1" ht="10.5" x14ac:dyDescent="0.25">
      <c r="A5156" s="229"/>
      <c r="B5156" s="230"/>
      <c r="C5156" s="177"/>
      <c r="D5156" s="178"/>
      <c r="E5156" s="178"/>
      <c r="F5156" s="178"/>
      <c r="G5156" s="178"/>
      <c r="H5156" s="178"/>
      <c r="I5156" s="178"/>
      <c r="J5156" s="178"/>
      <c r="K5156" s="178"/>
      <c r="L5156" s="180"/>
      <c r="M5156" s="178"/>
      <c r="N5156" s="178"/>
      <c r="O5156" s="178"/>
      <c r="P5156" s="231"/>
      <c r="Q5156" s="224"/>
    </row>
    <row r="5157" spans="1:17" s="225" customFormat="1" ht="10.5" x14ac:dyDescent="0.25">
      <c r="A5157" s="229"/>
      <c r="B5157" s="232" t="s">
        <v>5</v>
      </c>
      <c r="C5157" s="182" t="s">
        <v>1328</v>
      </c>
      <c r="D5157" s="182"/>
      <c r="E5157" s="182"/>
      <c r="F5157" s="182"/>
      <c r="G5157" s="182"/>
      <c r="H5157" s="182"/>
      <c r="I5157" s="182"/>
      <c r="J5157" s="182"/>
      <c r="K5157" s="182"/>
      <c r="L5157" s="182"/>
      <c r="M5157" s="182"/>
      <c r="N5157" s="182"/>
      <c r="O5157" s="182">
        <f>SUM(O5148:O5156)</f>
        <v>3.6374256932477298</v>
      </c>
      <c r="P5157" s="233"/>
      <c r="Q5157" s="224"/>
    </row>
    <row r="5158" spans="1:17" s="228" customFormat="1" ht="52.5" x14ac:dyDescent="0.25">
      <c r="A5158" s="226" t="str">
        <f>ORÇAMENTO!A945</f>
        <v>7.4.13</v>
      </c>
      <c r="B5158" s="227" t="str">
        <f>VLOOKUP(A5158,ORÇAMENTO!A:K,4,0)</f>
        <v>CARGA, MANOBRA E DESCARGA DE ENTULHO EM CAMINHÃO BASCULANTE 14 M³ - CARGA COM ESCAVADEIRA HIDRÁULICA  (CAÇAMBA DE 0,80 M³ / 111 HP) E DESCARGA LIVRE (UNIDADE: M3). AF_07/2020</v>
      </c>
      <c r="C5158" s="173" t="str">
        <f>VLOOKUP(A5158,ORÇAMENTO!A:K,5,0)</f>
        <v>M³</v>
      </c>
      <c r="D5158" s="173">
        <f>SUM(E5162:O5162)</f>
        <v>0.77759999999999985</v>
      </c>
      <c r="E5158" s="173" t="s">
        <v>1718</v>
      </c>
      <c r="F5158" s="173" t="s">
        <v>1719</v>
      </c>
      <c r="G5158" s="173" t="s">
        <v>1720</v>
      </c>
      <c r="H5158" s="173" t="s">
        <v>1721</v>
      </c>
      <c r="I5158" s="173" t="s">
        <v>1722</v>
      </c>
      <c r="J5158" s="173" t="s">
        <v>1723</v>
      </c>
      <c r="K5158" s="173" t="s">
        <v>1746</v>
      </c>
      <c r="L5158" s="173" t="s">
        <v>1747</v>
      </c>
      <c r="M5158" s="173" t="s">
        <v>1730</v>
      </c>
      <c r="N5158" s="173" t="s">
        <v>1727</v>
      </c>
      <c r="O5158" s="173" t="s">
        <v>1728</v>
      </c>
      <c r="P5158" s="224"/>
      <c r="Q5158" s="224"/>
    </row>
    <row r="5159" spans="1:17" s="225" customFormat="1" ht="10.5" x14ac:dyDescent="0.25">
      <c r="A5159" s="229"/>
      <c r="B5159" s="230" t="s">
        <v>1748</v>
      </c>
      <c r="C5159" s="184"/>
      <c r="D5159" s="185"/>
      <c r="E5159" s="185"/>
      <c r="F5159" s="185"/>
      <c r="G5159" s="185"/>
      <c r="H5159" s="185">
        <v>0.03</v>
      </c>
      <c r="I5159" s="185"/>
      <c r="J5159" s="185"/>
      <c r="K5159" s="185"/>
      <c r="L5159" s="185"/>
      <c r="M5159" s="185"/>
      <c r="N5159" s="185">
        <f>N5035</f>
        <v>25.919999999999995</v>
      </c>
      <c r="O5159" s="185"/>
      <c r="P5159" s="231"/>
      <c r="Q5159" s="224"/>
    </row>
    <row r="5160" spans="1:17" s="225" customFormat="1" ht="10.5" x14ac:dyDescent="0.25">
      <c r="A5160" s="229"/>
      <c r="B5160" s="230" t="s">
        <v>1878</v>
      </c>
      <c r="C5160" s="184"/>
      <c r="D5160" s="185"/>
      <c r="E5160" s="185"/>
      <c r="F5160" s="185"/>
      <c r="G5160" s="185"/>
      <c r="H5160" s="185"/>
      <c r="I5160" s="185"/>
      <c r="J5160" s="185"/>
      <c r="K5160" s="185"/>
      <c r="L5160" s="185"/>
      <c r="M5160" s="185"/>
      <c r="N5160" s="185"/>
      <c r="O5160" s="185">
        <f>N5159*H5159</f>
        <v>0.77759999999999985</v>
      </c>
      <c r="P5160" s="231"/>
      <c r="Q5160" s="224"/>
    </row>
    <row r="5161" spans="1:17" s="225" customFormat="1" ht="10.5" x14ac:dyDescent="0.25">
      <c r="A5161" s="229"/>
      <c r="B5161" s="230"/>
      <c r="C5161" s="184"/>
      <c r="D5161" s="185"/>
      <c r="E5161" s="185"/>
      <c r="F5161" s="185"/>
      <c r="G5161" s="185"/>
      <c r="H5161" s="185"/>
      <c r="I5161" s="185"/>
      <c r="J5161" s="185"/>
      <c r="K5161" s="185"/>
      <c r="L5161" s="186"/>
      <c r="M5161" s="185"/>
      <c r="N5161" s="185"/>
      <c r="O5161" s="185"/>
      <c r="P5161" s="231"/>
      <c r="Q5161" s="224"/>
    </row>
    <row r="5162" spans="1:17" s="225" customFormat="1" ht="10.5" x14ac:dyDescent="0.25">
      <c r="A5162" s="229"/>
      <c r="B5162" s="232" t="s">
        <v>5</v>
      </c>
      <c r="C5162" s="182" t="s">
        <v>1328</v>
      </c>
      <c r="D5162" s="182"/>
      <c r="E5162" s="182"/>
      <c r="F5162" s="182"/>
      <c r="G5162" s="182"/>
      <c r="H5162" s="182"/>
      <c r="I5162" s="182"/>
      <c r="J5162" s="182"/>
      <c r="K5162" s="182"/>
      <c r="L5162" s="182"/>
      <c r="M5162" s="182"/>
      <c r="N5162" s="182"/>
      <c r="O5162" s="182">
        <f>SUM(O5160:O5161)</f>
        <v>0.77759999999999985</v>
      </c>
      <c r="P5162" s="233"/>
      <c r="Q5162" s="224"/>
    </row>
    <row r="5163" spans="1:17" s="228" customFormat="1" ht="52.5" x14ac:dyDescent="0.25">
      <c r="A5163" s="226" t="str">
        <f>ORÇAMENTO!A946</f>
        <v>7.4.14</v>
      </c>
      <c r="B5163" s="227" t="str">
        <f>VLOOKUP(A5163,ORÇAMENTO!A:K,4,0)</f>
        <v>CARGA, MANOBRA E DESCARGA DE SOLOS E MATERIAIS GRANULARES EM CAMINHÃO BASCULANTE 14 M³ - CARGA COM ESCAVADEIRA HIDRÁULICA (CAÇAMBA DE 1,20 M³ / 155 HP) E DESCARGA LIVRE (UNIDADE: M3). AF_07/2020</v>
      </c>
      <c r="C5163" s="173" t="str">
        <f>VLOOKUP(A5163,ORÇAMENTO!A:K,5,0)</f>
        <v>M³</v>
      </c>
      <c r="D5163" s="173">
        <f>SUM(E5170:O5170)</f>
        <v>3.8770088092227883</v>
      </c>
      <c r="E5163" s="173" t="s">
        <v>1718</v>
      </c>
      <c r="F5163" s="173" t="s">
        <v>1719</v>
      </c>
      <c r="G5163" s="173" t="s">
        <v>1720</v>
      </c>
      <c r="H5163" s="173" t="s">
        <v>1721</v>
      </c>
      <c r="I5163" s="173" t="s">
        <v>1722</v>
      </c>
      <c r="J5163" s="173" t="s">
        <v>1723</v>
      </c>
      <c r="K5163" s="173" t="s">
        <v>1746</v>
      </c>
      <c r="L5163" s="173" t="s">
        <v>1747</v>
      </c>
      <c r="M5163" s="173" t="s">
        <v>1730</v>
      </c>
      <c r="N5163" s="173" t="s">
        <v>1727</v>
      </c>
      <c r="O5163" s="173" t="s">
        <v>1728</v>
      </c>
      <c r="P5163" s="224"/>
      <c r="Q5163" s="224"/>
    </row>
    <row r="5164" spans="1:17" s="225" customFormat="1" ht="10.5" x14ac:dyDescent="0.25">
      <c r="A5164" s="229"/>
      <c r="B5164" s="230"/>
      <c r="C5164" s="177"/>
      <c r="D5164" s="178"/>
      <c r="E5164" s="178"/>
      <c r="F5164" s="178"/>
      <c r="G5164" s="178"/>
      <c r="H5164" s="178"/>
      <c r="I5164" s="178"/>
      <c r="J5164" s="178"/>
      <c r="K5164" s="178"/>
      <c r="L5164" s="178"/>
      <c r="M5164" s="178"/>
      <c r="N5164" s="178"/>
      <c r="O5164" s="178"/>
      <c r="P5164" s="231"/>
      <c r="Q5164" s="224"/>
    </row>
    <row r="5165" spans="1:17" s="225" customFormat="1" ht="10.5" x14ac:dyDescent="0.25">
      <c r="A5165" s="229"/>
      <c r="B5165" s="230" t="s">
        <v>1879</v>
      </c>
      <c r="C5165" s="177"/>
      <c r="D5165" s="178"/>
      <c r="E5165" s="178"/>
      <c r="F5165" s="178"/>
      <c r="G5165" s="178"/>
      <c r="H5165" s="178"/>
      <c r="I5165" s="178"/>
      <c r="J5165" s="178"/>
      <c r="K5165" s="178"/>
      <c r="L5165" s="178"/>
      <c r="M5165" s="178"/>
      <c r="N5165" s="178"/>
      <c r="O5165" s="178">
        <f>O5047+O5055</f>
        <v>8.8452000000001316</v>
      </c>
      <c r="P5165" s="231"/>
      <c r="Q5165" s="224"/>
    </row>
    <row r="5166" spans="1:17" s="225" customFormat="1" ht="10.5" x14ac:dyDescent="0.25">
      <c r="A5166" s="229"/>
      <c r="B5166" s="230" t="s">
        <v>1880</v>
      </c>
      <c r="C5166" s="177"/>
      <c r="D5166" s="178"/>
      <c r="E5166" s="178"/>
      <c r="F5166" s="178"/>
      <c r="G5166" s="178"/>
      <c r="H5166" s="178"/>
      <c r="I5166" s="178"/>
      <c r="J5166" s="178"/>
      <c r="K5166" s="178"/>
      <c r="L5166" s="178"/>
      <c r="M5166" s="178"/>
      <c r="N5166" s="178"/>
      <c r="O5166" s="178">
        <f>O5157+O5131</f>
        <v>4.9681911907773433</v>
      </c>
      <c r="P5166" s="231"/>
      <c r="Q5166" s="224"/>
    </row>
    <row r="5167" spans="1:17" s="225" customFormat="1" ht="10.5" x14ac:dyDescent="0.25">
      <c r="A5167" s="229"/>
      <c r="B5167" s="230"/>
      <c r="C5167" s="177"/>
      <c r="D5167" s="178"/>
      <c r="E5167" s="178"/>
      <c r="F5167" s="178"/>
      <c r="G5167" s="178"/>
      <c r="H5167" s="178"/>
      <c r="I5167" s="178"/>
      <c r="J5167" s="178"/>
      <c r="K5167" s="178"/>
      <c r="L5167" s="178"/>
      <c r="M5167" s="178"/>
      <c r="N5167" s="178"/>
      <c r="O5167" s="178"/>
      <c r="P5167" s="231"/>
      <c r="Q5167" s="224"/>
    </row>
    <row r="5168" spans="1:17" s="225" customFormat="1" ht="21" x14ac:dyDescent="0.25">
      <c r="A5168" s="229"/>
      <c r="B5168" s="232" t="s">
        <v>1881</v>
      </c>
      <c r="C5168" s="177"/>
      <c r="D5168" s="178"/>
      <c r="E5168" s="178"/>
      <c r="F5168" s="178"/>
      <c r="G5168" s="178"/>
      <c r="H5168" s="178"/>
      <c r="I5168" s="178"/>
      <c r="J5168" s="178"/>
      <c r="K5168" s="178"/>
      <c r="L5168" s="178"/>
      <c r="M5168" s="178"/>
      <c r="N5168" s="178"/>
      <c r="O5168" s="177">
        <f>O5165-O5166</f>
        <v>3.8770088092227883</v>
      </c>
      <c r="P5168" s="231"/>
      <c r="Q5168" s="224"/>
    </row>
    <row r="5169" spans="1:19" s="225" customFormat="1" ht="10.5" x14ac:dyDescent="0.25">
      <c r="A5169" s="229"/>
      <c r="B5169" s="230"/>
      <c r="C5169" s="177"/>
      <c r="D5169" s="178"/>
      <c r="E5169" s="178"/>
      <c r="F5169" s="178"/>
      <c r="G5169" s="178"/>
      <c r="H5169" s="178"/>
      <c r="I5169" s="178"/>
      <c r="J5169" s="178"/>
      <c r="K5169" s="178"/>
      <c r="L5169" s="180"/>
      <c r="M5169" s="178"/>
      <c r="N5169" s="178"/>
      <c r="O5169" s="178"/>
      <c r="P5169" s="231"/>
      <c r="Q5169" s="224"/>
    </row>
    <row r="5170" spans="1:19" s="225" customFormat="1" ht="10.5" x14ac:dyDescent="0.25">
      <c r="A5170" s="229"/>
      <c r="B5170" s="232" t="s">
        <v>5</v>
      </c>
      <c r="C5170" s="182" t="s">
        <v>1328</v>
      </c>
      <c r="D5170" s="182"/>
      <c r="E5170" s="182"/>
      <c r="F5170" s="182"/>
      <c r="G5170" s="182"/>
      <c r="H5170" s="182"/>
      <c r="I5170" s="182"/>
      <c r="J5170" s="182"/>
      <c r="K5170" s="182"/>
      <c r="L5170" s="182"/>
      <c r="M5170" s="182"/>
      <c r="N5170" s="182"/>
      <c r="O5170" s="182">
        <f>SUM(O5168:O5169)</f>
        <v>3.8770088092227883</v>
      </c>
      <c r="P5170" s="233"/>
      <c r="Q5170" s="224"/>
    </row>
    <row r="5171" spans="1:19" s="228" customFormat="1" ht="31.5" x14ac:dyDescent="0.25">
      <c r="A5171" s="226" t="str">
        <f>ORÇAMENTO!A947</f>
        <v>7.4.15</v>
      </c>
      <c r="B5171" s="227" t="str">
        <f>VLOOKUP(A5171,ORÇAMENTO!A:K,4,0)</f>
        <v>TRANSPORTE COM CAMINHÃO BASCULANTE DE 14 M³, EM VIA URBANA PAVIMENTADA, DMT ATÉ 30 KM (UNIDADE: M3XKM). AF_07/2020</v>
      </c>
      <c r="C5171" s="173" t="str">
        <f>VLOOKUP(A5171,ORÇAMENTO!A:K,5,0)</f>
        <v>M3XKM</v>
      </c>
      <c r="D5171" s="173">
        <f>SUM(E5176:O5176)</f>
        <v>139.63826427668366</v>
      </c>
      <c r="E5171" s="173" t="s">
        <v>1749</v>
      </c>
      <c r="F5171" s="173" t="s">
        <v>1719</v>
      </c>
      <c r="G5171" s="173" t="s">
        <v>1720</v>
      </c>
      <c r="H5171" s="173" t="s">
        <v>1721</v>
      </c>
      <c r="I5171" s="173" t="s">
        <v>1722</v>
      </c>
      <c r="J5171" s="173" t="s">
        <v>1750</v>
      </c>
      <c r="K5171" s="173" t="s">
        <v>1746</v>
      </c>
      <c r="L5171" s="173" t="s">
        <v>1725</v>
      </c>
      <c r="M5171" s="173" t="s">
        <v>1730</v>
      </c>
      <c r="N5171" s="173" t="s">
        <v>1727</v>
      </c>
      <c r="O5171" s="173" t="s">
        <v>1728</v>
      </c>
      <c r="P5171" s="224"/>
      <c r="Q5171" s="224"/>
    </row>
    <row r="5172" spans="1:19" s="225" customFormat="1" ht="10.5" x14ac:dyDescent="0.25">
      <c r="A5172" s="229"/>
      <c r="B5172" s="230"/>
      <c r="C5172" s="177"/>
      <c r="D5172" s="178"/>
      <c r="E5172" s="178"/>
      <c r="F5172" s="178"/>
      <c r="G5172" s="178"/>
      <c r="H5172" s="178"/>
      <c r="I5172" s="178"/>
      <c r="J5172" s="178"/>
      <c r="K5172" s="178"/>
      <c r="L5172" s="180"/>
      <c r="M5172" s="178"/>
      <c r="N5172" s="178"/>
      <c r="O5172" s="178"/>
      <c r="P5172" s="231"/>
      <c r="Q5172" s="224"/>
    </row>
    <row r="5173" spans="1:19" s="225" customFormat="1" ht="21" x14ac:dyDescent="0.25">
      <c r="A5173" s="229"/>
      <c r="B5173" s="230" t="s">
        <v>1773</v>
      </c>
      <c r="C5173" s="184"/>
      <c r="D5173" s="185"/>
      <c r="E5173" s="185">
        <v>30</v>
      </c>
      <c r="F5173" s="185"/>
      <c r="G5173" s="185"/>
      <c r="H5173" s="185"/>
      <c r="I5173" s="185"/>
      <c r="J5173" s="185">
        <f>E5173*O5173</f>
        <v>116.31026427668365</v>
      </c>
      <c r="K5173" s="185"/>
      <c r="L5173" s="185"/>
      <c r="M5173" s="185"/>
      <c r="N5173" s="185"/>
      <c r="O5173" s="185">
        <f>O5170</f>
        <v>3.8770088092227883</v>
      </c>
      <c r="P5173" s="231"/>
      <c r="Q5173" s="224"/>
    </row>
    <row r="5174" spans="1:19" s="225" customFormat="1" ht="21" x14ac:dyDescent="0.25">
      <c r="A5174" s="229"/>
      <c r="B5174" s="230" t="s">
        <v>1774</v>
      </c>
      <c r="C5174" s="184"/>
      <c r="D5174" s="185"/>
      <c r="E5174" s="185">
        <v>30</v>
      </c>
      <c r="F5174" s="185"/>
      <c r="G5174" s="185"/>
      <c r="H5174" s="185"/>
      <c r="I5174" s="185"/>
      <c r="J5174" s="185">
        <f>E5174*O5174</f>
        <v>23.327999999999996</v>
      </c>
      <c r="K5174" s="185"/>
      <c r="L5174" s="185"/>
      <c r="M5174" s="185"/>
      <c r="N5174" s="185"/>
      <c r="O5174" s="185">
        <f>O5162</f>
        <v>0.77759999999999985</v>
      </c>
      <c r="P5174" s="231"/>
      <c r="Q5174" s="224"/>
    </row>
    <row r="5175" spans="1:19" s="225" customFormat="1" ht="10.5" x14ac:dyDescent="0.25">
      <c r="A5175" s="229"/>
      <c r="B5175" s="230"/>
      <c r="C5175" s="184"/>
      <c r="D5175" s="185"/>
      <c r="E5175" s="185"/>
      <c r="F5175" s="185"/>
      <c r="G5175" s="185"/>
      <c r="H5175" s="185"/>
      <c r="I5175" s="185"/>
      <c r="J5175" s="185"/>
      <c r="K5175" s="185"/>
      <c r="L5175" s="186"/>
      <c r="M5175" s="185"/>
      <c r="N5175" s="185"/>
      <c r="O5175" s="185"/>
      <c r="P5175" s="231"/>
      <c r="Q5175" s="224"/>
    </row>
    <row r="5176" spans="1:19" s="225" customFormat="1" ht="10.5" x14ac:dyDescent="0.25">
      <c r="A5176" s="229"/>
      <c r="B5176" s="232" t="s">
        <v>5</v>
      </c>
      <c r="C5176" s="182" t="s">
        <v>1328</v>
      </c>
      <c r="D5176" s="182"/>
      <c r="E5176" s="182"/>
      <c r="F5176" s="182"/>
      <c r="G5176" s="182"/>
      <c r="H5176" s="182"/>
      <c r="I5176" s="182"/>
      <c r="J5176" s="182">
        <f>SUM(J5173:J5175)</f>
        <v>139.63826427668366</v>
      </c>
      <c r="K5176" s="182"/>
      <c r="L5176" s="182"/>
      <c r="M5176" s="182"/>
      <c r="N5176" s="182"/>
      <c r="O5176" s="182"/>
      <c r="P5176" s="233"/>
      <c r="Q5176" s="224"/>
    </row>
    <row r="5177" spans="1:19" s="235" customFormat="1" ht="42" x14ac:dyDescent="0.35">
      <c r="A5177" s="226" t="str">
        <f>ORÇAMENTO!A948</f>
        <v>7.4.16</v>
      </c>
      <c r="B5177" s="227" t="str">
        <f>VLOOKUP(A5177,ORÇAMENTO!A:K,4,0)</f>
        <v>TRANSPORTE COM CAMINHÃO BASCULANTE DE 14 M³, EM VIA URBANA PAVIMENTADA, ADICIONAL PARA DMT EXCEDENTE A 30 KM (UNIDADE: M3XKM). AF_07/2020</v>
      </c>
      <c r="C5177" s="173" t="str">
        <f>VLOOKUP(A5177,ORÇAMENTO!A:K,5,0)</f>
        <v>M3XKM</v>
      </c>
      <c r="D5177" s="173">
        <f>SUM(E5182:O5182)</f>
        <v>89.890005090963598</v>
      </c>
      <c r="E5177" s="173" t="s">
        <v>1752</v>
      </c>
      <c r="F5177" s="173" t="s">
        <v>1719</v>
      </c>
      <c r="G5177" s="173" t="s">
        <v>1720</v>
      </c>
      <c r="H5177" s="173" t="s">
        <v>1721</v>
      </c>
      <c r="I5177" s="173" t="s">
        <v>1722</v>
      </c>
      <c r="J5177" s="173" t="s">
        <v>1750</v>
      </c>
      <c r="K5177" s="173" t="s">
        <v>1746</v>
      </c>
      <c r="L5177" s="173" t="s">
        <v>1753</v>
      </c>
      <c r="M5177" s="173" t="s">
        <v>1730</v>
      </c>
      <c r="N5177" s="173" t="s">
        <v>1727</v>
      </c>
      <c r="O5177" s="173" t="s">
        <v>1728</v>
      </c>
      <c r="P5177" s="224"/>
      <c r="Q5177" s="224"/>
      <c r="R5177" s="224"/>
      <c r="S5177" s="224"/>
    </row>
    <row r="5178" spans="1:19" s="225" customFormat="1" ht="10.5" x14ac:dyDescent="0.25">
      <c r="A5178" s="229"/>
      <c r="B5178" s="230"/>
      <c r="C5178" s="177"/>
      <c r="D5178" s="178"/>
      <c r="E5178" s="178"/>
      <c r="F5178" s="178"/>
      <c r="G5178" s="178"/>
      <c r="H5178" s="178"/>
      <c r="I5178" s="178"/>
      <c r="J5178" s="178"/>
      <c r="K5178" s="178"/>
      <c r="L5178" s="180"/>
      <c r="M5178" s="178"/>
      <c r="N5178" s="178"/>
      <c r="O5178" s="178"/>
      <c r="P5178" s="231"/>
      <c r="Q5178" s="224"/>
    </row>
    <row r="5179" spans="1:19" s="225" customFormat="1" ht="21" x14ac:dyDescent="0.25">
      <c r="A5179" s="229"/>
      <c r="B5179" s="230" t="str">
        <f>B5173</f>
        <v>TRANSPORTE ATÉ ATERRO ESTRUTURAL - BOTA FORA - MATERIAL NÃO APROVEITADO</v>
      </c>
      <c r="C5179" s="177"/>
      <c r="D5179" s="178"/>
      <c r="E5179" s="178">
        <f>44.2-E5173</f>
        <v>14.200000000000003</v>
      </c>
      <c r="F5179" s="178"/>
      <c r="G5179" s="178"/>
      <c r="H5179" s="178"/>
      <c r="I5179" s="178"/>
      <c r="J5179" s="178">
        <f>E5179*O5179</f>
        <v>55.053525090963603</v>
      </c>
      <c r="K5179" s="178"/>
      <c r="L5179" s="190"/>
      <c r="M5179" s="178"/>
      <c r="N5179" s="178"/>
      <c r="O5179" s="178">
        <f>O5173</f>
        <v>3.8770088092227883</v>
      </c>
      <c r="P5179" s="231"/>
      <c r="Q5179" s="224"/>
    </row>
    <row r="5180" spans="1:19" s="225" customFormat="1" ht="21" x14ac:dyDescent="0.25">
      <c r="A5180" s="229"/>
      <c r="B5180" s="230" t="str">
        <f>B5174</f>
        <v>TRANSPORTE ATÉ ATERRO SAMAMBIA - BOTA FORA - ROCHA</v>
      </c>
      <c r="C5180" s="177"/>
      <c r="D5180" s="178"/>
      <c r="E5180" s="178">
        <f>74.8-E5174</f>
        <v>44.8</v>
      </c>
      <c r="F5180" s="178"/>
      <c r="G5180" s="178"/>
      <c r="H5180" s="178"/>
      <c r="I5180" s="178"/>
      <c r="J5180" s="178">
        <f>E5180*O5180</f>
        <v>34.836479999999987</v>
      </c>
      <c r="K5180" s="178"/>
      <c r="L5180" s="190"/>
      <c r="M5180" s="178"/>
      <c r="N5180" s="178"/>
      <c r="O5180" s="178">
        <f>O5174</f>
        <v>0.77759999999999985</v>
      </c>
      <c r="P5180" s="231"/>
      <c r="Q5180" s="224"/>
    </row>
    <row r="5181" spans="1:19" s="225" customFormat="1" ht="10.5" x14ac:dyDescent="0.25">
      <c r="A5181" s="229"/>
      <c r="B5181" s="230"/>
      <c r="C5181" s="177"/>
      <c r="D5181" s="178"/>
      <c r="E5181" s="178"/>
      <c r="F5181" s="178"/>
      <c r="G5181" s="178"/>
      <c r="H5181" s="178"/>
      <c r="I5181" s="178"/>
      <c r="J5181" s="178"/>
      <c r="K5181" s="178"/>
      <c r="L5181" s="190"/>
      <c r="M5181" s="178"/>
      <c r="N5181" s="178"/>
      <c r="O5181" s="178"/>
      <c r="P5181" s="231"/>
      <c r="Q5181" s="224"/>
    </row>
    <row r="5182" spans="1:19" s="225" customFormat="1" ht="10.5" x14ac:dyDescent="0.25">
      <c r="A5182" s="229"/>
      <c r="B5182" s="232" t="s">
        <v>5</v>
      </c>
      <c r="C5182" s="182" t="s">
        <v>1328</v>
      </c>
      <c r="D5182" s="182"/>
      <c r="E5182" s="182"/>
      <c r="F5182" s="182"/>
      <c r="G5182" s="182"/>
      <c r="H5182" s="182"/>
      <c r="I5182" s="182"/>
      <c r="J5182" s="182">
        <f>SUM(J5179:J5181)</f>
        <v>89.890005090963598</v>
      </c>
      <c r="K5182" s="182"/>
      <c r="L5182" s="182"/>
      <c r="M5182" s="182"/>
      <c r="N5182" s="182"/>
      <c r="O5182" s="182"/>
      <c r="P5182" s="233"/>
      <c r="Q5182" s="224"/>
    </row>
    <row r="5183" spans="1:19" s="228" customFormat="1" ht="21" x14ac:dyDescent="0.25">
      <c r="A5183" s="226" t="str">
        <f>ORÇAMENTO!A949</f>
        <v>7.4.17</v>
      </c>
      <c r="B5183" s="227" t="str">
        <f>VLOOKUP(A5183,ORÇAMENTO!A:K,4,0)</f>
        <v>USINAGEM DE CBUQ SEM  CAP 50/70, PARA CAPA DE ROLAMENTO (SEM MATERIAL  E TRANSPORTE)</v>
      </c>
      <c r="C5183" s="173" t="str">
        <f>VLOOKUP(A5183,ORÇAMENTO!A:K,5,0)</f>
        <v>T</v>
      </c>
      <c r="D5183" s="173">
        <f>SUM(E5188:O5188)</f>
        <v>1.7033798368379047</v>
      </c>
      <c r="E5183" s="173" t="s">
        <v>1718</v>
      </c>
      <c r="F5183" s="173" t="s">
        <v>1719</v>
      </c>
      <c r="G5183" s="173" t="s">
        <v>1720</v>
      </c>
      <c r="H5183" s="173" t="s">
        <v>1721</v>
      </c>
      <c r="I5183" s="173" t="s">
        <v>1722</v>
      </c>
      <c r="J5183" s="173" t="s">
        <v>1723</v>
      </c>
      <c r="K5183" s="173" t="s">
        <v>1746</v>
      </c>
      <c r="L5183" s="173" t="s">
        <v>1753</v>
      </c>
      <c r="M5183" s="173" t="s">
        <v>1730</v>
      </c>
      <c r="N5183" s="173" t="s">
        <v>1727</v>
      </c>
      <c r="O5183" s="173" t="s">
        <v>1728</v>
      </c>
      <c r="P5183" s="224"/>
      <c r="Q5183" s="224"/>
    </row>
    <row r="5184" spans="1:19" s="225" customFormat="1" ht="10.5" x14ac:dyDescent="0.25">
      <c r="A5184" s="229"/>
      <c r="B5184" s="232" t="s">
        <v>1745</v>
      </c>
      <c r="C5184" s="184"/>
      <c r="D5184" s="185"/>
      <c r="E5184" s="185"/>
      <c r="F5184" s="185"/>
      <c r="G5184" s="185"/>
      <c r="H5184" s="185"/>
      <c r="I5184" s="185"/>
      <c r="J5184" s="185"/>
      <c r="K5184" s="185"/>
      <c r="L5184" s="185"/>
      <c r="M5184" s="185"/>
      <c r="N5184" s="185"/>
      <c r="O5184" s="185"/>
      <c r="P5184" s="231"/>
      <c r="Q5184" s="224"/>
    </row>
    <row r="5185" spans="1:19" s="225" customFormat="1" ht="10.5" x14ac:dyDescent="0.25">
      <c r="A5185" s="229"/>
      <c r="B5185" s="230" t="s">
        <v>1785</v>
      </c>
      <c r="C5185" s="184"/>
      <c r="D5185" s="185"/>
      <c r="E5185" s="185"/>
      <c r="F5185" s="185"/>
      <c r="G5185" s="185"/>
      <c r="H5185" s="185"/>
      <c r="I5185" s="185"/>
      <c r="J5185" s="185"/>
      <c r="K5185" s="185"/>
      <c r="L5185" s="185">
        <v>2.4</v>
      </c>
      <c r="M5185" s="185"/>
      <c r="N5185" s="185"/>
      <c r="O5185" s="185"/>
      <c r="P5185" s="231"/>
      <c r="Q5185" s="224"/>
    </row>
    <row r="5186" spans="1:19" s="225" customFormat="1" ht="10.5" x14ac:dyDescent="0.25">
      <c r="A5186" s="229"/>
      <c r="B5186" s="230" t="str">
        <f>B5077</f>
        <v>CONCRETO BETUMINOSO USINADO A QUENTE</v>
      </c>
      <c r="C5186" s="184"/>
      <c r="D5186" s="185"/>
      <c r="E5186" s="185"/>
      <c r="F5186" s="185"/>
      <c r="G5186" s="185"/>
      <c r="H5186" s="185">
        <f>H5074</f>
        <v>0.03</v>
      </c>
      <c r="I5186" s="185"/>
      <c r="J5186" s="185"/>
      <c r="K5186" s="185">
        <f>L5185*O5186</f>
        <v>1.7033798368379047</v>
      </c>
      <c r="L5186" s="185"/>
      <c r="M5186" s="185"/>
      <c r="N5186" s="185"/>
      <c r="O5186" s="185">
        <f>O5077</f>
        <v>0.70974159868246034</v>
      </c>
      <c r="P5186" s="231"/>
      <c r="Q5186" s="224"/>
    </row>
    <row r="5187" spans="1:19" s="225" customFormat="1" ht="10.5" x14ac:dyDescent="0.25">
      <c r="A5187" s="229"/>
      <c r="B5187" s="230"/>
      <c r="C5187" s="184"/>
      <c r="D5187" s="185"/>
      <c r="E5187" s="185"/>
      <c r="F5187" s="185"/>
      <c r="G5187" s="185"/>
      <c r="H5187" s="185"/>
      <c r="I5187" s="185"/>
      <c r="J5187" s="185"/>
      <c r="K5187" s="185"/>
      <c r="L5187" s="186"/>
      <c r="M5187" s="185"/>
      <c r="N5187" s="185"/>
      <c r="O5187" s="185"/>
      <c r="P5187" s="231"/>
      <c r="Q5187" s="224"/>
    </row>
    <row r="5188" spans="1:19" s="225" customFormat="1" ht="10.5" x14ac:dyDescent="0.25">
      <c r="A5188" s="229"/>
      <c r="B5188" s="232" t="s">
        <v>5</v>
      </c>
      <c r="C5188" s="182" t="s">
        <v>1328</v>
      </c>
      <c r="D5188" s="182"/>
      <c r="E5188" s="182"/>
      <c r="F5188" s="182"/>
      <c r="G5188" s="182"/>
      <c r="H5188" s="182"/>
      <c r="I5188" s="182"/>
      <c r="J5188" s="182"/>
      <c r="K5188" s="182">
        <f>SUM(K5186:K5187)</f>
        <v>1.7033798368379047</v>
      </c>
      <c r="L5188" s="182"/>
      <c r="M5188" s="182"/>
      <c r="N5188" s="182"/>
      <c r="O5188" s="182"/>
      <c r="P5188" s="233"/>
      <c r="Q5188" s="224"/>
    </row>
    <row r="5189" spans="1:19" s="228" customFormat="1" ht="21" x14ac:dyDescent="0.25">
      <c r="A5189" s="226" t="str">
        <f>ORÇAMENTO!A950</f>
        <v>7.4.18</v>
      </c>
      <c r="B5189" s="227" t="str">
        <f>VLOOKUP(A5189,ORÇAMENTO!A:K,4,0)</f>
        <v>CIMENTO ASFÁLTICO DE PETRÓLEO - CAP 50/70 FORNECIMENTO E TRANSPORTE</v>
      </c>
      <c r="C5189" s="173" t="str">
        <f>VLOOKUP(A5189,ORÇAMENTO!A:K,5,0)</f>
        <v>T</v>
      </c>
      <c r="D5189" s="173">
        <f>SUM(E5193:O5193)</f>
        <v>0.1077047070832607</v>
      </c>
      <c r="E5189" s="173" t="s">
        <v>1718</v>
      </c>
      <c r="F5189" s="173" t="s">
        <v>1719</v>
      </c>
      <c r="G5189" s="173" t="s">
        <v>1720</v>
      </c>
      <c r="H5189" s="173" t="s">
        <v>1721</v>
      </c>
      <c r="I5189" s="173" t="s">
        <v>1722</v>
      </c>
      <c r="J5189" s="173" t="s">
        <v>1723</v>
      </c>
      <c r="K5189" s="173" t="s">
        <v>1746</v>
      </c>
      <c r="L5189" s="173" t="s">
        <v>1777</v>
      </c>
      <c r="M5189" s="173" t="s">
        <v>1730</v>
      </c>
      <c r="N5189" s="173" t="s">
        <v>1727</v>
      </c>
      <c r="O5189" s="173" t="s">
        <v>1728</v>
      </c>
      <c r="P5189" s="224"/>
      <c r="Q5189" s="224"/>
    </row>
    <row r="5190" spans="1:19" s="225" customFormat="1" ht="10.5" x14ac:dyDescent="0.25">
      <c r="A5190" s="229"/>
      <c r="B5190" s="230" t="str">
        <f>B5186</f>
        <v>CONCRETO BETUMINOSO USINADO A QUENTE</v>
      </c>
      <c r="C5190" s="184"/>
      <c r="D5190" s="185"/>
      <c r="E5190" s="185"/>
      <c r="F5190" s="185"/>
      <c r="G5190" s="185"/>
      <c r="H5190" s="185"/>
      <c r="I5190" s="185"/>
      <c r="J5190" s="185"/>
      <c r="K5190" s="185">
        <f>K5186</f>
        <v>1.7033798368379047</v>
      </c>
      <c r="L5190" s="185"/>
      <c r="M5190" s="185"/>
      <c r="N5190" s="185"/>
      <c r="O5190" s="185"/>
      <c r="P5190" s="231"/>
      <c r="Q5190" s="224"/>
    </row>
    <row r="5191" spans="1:19" s="225" customFormat="1" ht="10.5" x14ac:dyDescent="0.25">
      <c r="A5191" s="229"/>
      <c r="B5191" s="230" t="s">
        <v>1786</v>
      </c>
      <c r="C5191" s="184"/>
      <c r="D5191" s="185"/>
      <c r="E5191" s="185"/>
      <c r="F5191" s="185"/>
      <c r="G5191" s="185"/>
      <c r="H5191" s="185"/>
      <c r="I5191" s="185"/>
      <c r="J5191" s="185"/>
      <c r="K5191" s="185"/>
      <c r="L5191" s="199">
        <v>6.3229999999999995E-2</v>
      </c>
      <c r="M5191" s="185"/>
      <c r="N5191" s="185"/>
      <c r="O5191" s="185"/>
      <c r="P5191" s="231"/>
      <c r="Q5191" s="224"/>
    </row>
    <row r="5192" spans="1:19" s="225" customFormat="1" ht="10.5" x14ac:dyDescent="0.25">
      <c r="A5192" s="229"/>
      <c r="B5192" s="230"/>
      <c r="C5192" s="184"/>
      <c r="D5192" s="185"/>
      <c r="E5192" s="185"/>
      <c r="F5192" s="185"/>
      <c r="G5192" s="185"/>
      <c r="H5192" s="185"/>
      <c r="I5192" s="185"/>
      <c r="J5192" s="185"/>
      <c r="L5192" s="185"/>
      <c r="M5192" s="185"/>
      <c r="N5192" s="185"/>
      <c r="O5192" s="185"/>
      <c r="P5192" s="231"/>
      <c r="Q5192" s="224"/>
    </row>
    <row r="5193" spans="1:19" s="225" customFormat="1" ht="10.5" x14ac:dyDescent="0.25">
      <c r="A5193" s="229"/>
      <c r="B5193" s="232" t="s">
        <v>5</v>
      </c>
      <c r="C5193" s="184"/>
      <c r="D5193" s="185"/>
      <c r="E5193" s="185"/>
      <c r="F5193" s="185"/>
      <c r="G5193" s="185"/>
      <c r="H5193" s="185"/>
      <c r="I5193" s="185"/>
      <c r="J5193" s="185"/>
      <c r="K5193" s="185">
        <f>K5190*L5191</f>
        <v>0.1077047070832607</v>
      </c>
      <c r="L5193" s="186"/>
      <c r="M5193" s="185"/>
      <c r="N5193" s="185"/>
      <c r="O5193" s="185"/>
      <c r="P5193" s="231"/>
      <c r="Q5193" s="224"/>
    </row>
    <row r="5194" spans="1:19" s="235" customFormat="1" ht="21" x14ac:dyDescent="0.35">
      <c r="A5194" s="226" t="str">
        <f>ORÇAMENTO!A951</f>
        <v>7.4.19</v>
      </c>
      <c r="B5194" s="227" t="str">
        <f>VLOOKUP(A5194,ORÇAMENTO!A:K,4,0)</f>
        <v>EMULSÃO ASFÁLTICA - RR-1C - FORNECIMENTO E TRANSPORTE</v>
      </c>
      <c r="C5194" s="173" t="str">
        <f>VLOOKUP(A5194,ORÇAMENTO!A:K,5,0)</f>
        <v>T</v>
      </c>
      <c r="D5194" s="173">
        <f>SUM(E5206:O5206)</f>
        <v>1.0646123980236909E-2</v>
      </c>
      <c r="E5194" s="173" t="s">
        <v>1718</v>
      </c>
      <c r="F5194" s="173" t="s">
        <v>1719</v>
      </c>
      <c r="G5194" s="173" t="s">
        <v>1720</v>
      </c>
      <c r="H5194" s="173" t="s">
        <v>1721</v>
      </c>
      <c r="I5194" s="173" t="s">
        <v>1722</v>
      </c>
      <c r="J5194" s="173" t="s">
        <v>1723</v>
      </c>
      <c r="K5194" s="173" t="s">
        <v>1746</v>
      </c>
      <c r="L5194" s="173" t="s">
        <v>1777</v>
      </c>
      <c r="M5194" s="173" t="s">
        <v>1768</v>
      </c>
      <c r="N5194" s="173" t="s">
        <v>1727</v>
      </c>
      <c r="O5194" s="173" t="s">
        <v>1728</v>
      </c>
      <c r="P5194" s="224"/>
      <c r="Q5194" s="224"/>
      <c r="R5194" s="224"/>
      <c r="S5194" s="224"/>
    </row>
    <row r="5195" spans="1:19" s="235" customFormat="1" ht="21" x14ac:dyDescent="0.35">
      <c r="A5195" s="229"/>
      <c r="B5195" s="232" t="s">
        <v>1778</v>
      </c>
      <c r="C5195" s="177"/>
      <c r="D5195" s="177"/>
      <c r="E5195" s="178"/>
      <c r="F5195" s="178"/>
      <c r="G5195" s="178"/>
      <c r="H5195" s="178"/>
      <c r="I5195" s="178"/>
      <c r="J5195" s="178"/>
      <c r="K5195" s="178"/>
      <c r="L5195" s="178"/>
      <c r="M5195" s="178"/>
      <c r="N5195" s="178"/>
      <c r="O5195" s="178"/>
      <c r="P5195" s="224"/>
      <c r="Q5195" s="224"/>
      <c r="R5195" s="224"/>
      <c r="S5195" s="224"/>
    </row>
    <row r="5196" spans="1:19" s="225" customFormat="1" ht="31.5" x14ac:dyDescent="0.25">
      <c r="A5196" s="229"/>
      <c r="B5196" s="230" t="s">
        <v>1779</v>
      </c>
      <c r="C5196" s="177"/>
      <c r="D5196" s="178"/>
      <c r="E5196" s="178"/>
      <c r="F5196" s="178"/>
      <c r="G5196" s="178"/>
      <c r="H5196" s="178"/>
      <c r="I5196" s="178"/>
      <c r="J5196" s="178"/>
      <c r="K5196" s="178"/>
      <c r="L5196" s="198">
        <v>4.4999999999999999E-4</v>
      </c>
      <c r="M5196" s="178"/>
      <c r="N5196" s="178"/>
      <c r="O5196" s="178"/>
      <c r="P5196" s="231"/>
      <c r="Q5196" s="224"/>
    </row>
    <row r="5197" spans="1:19" s="237" customFormat="1" x14ac:dyDescent="0.35">
      <c r="A5197" s="229"/>
      <c r="B5197" s="230" t="str">
        <f t="shared" ref="B5197:B5204" si="193">B5083</f>
        <v>PV1-67</v>
      </c>
      <c r="C5197" s="185"/>
      <c r="D5197" s="185"/>
      <c r="E5197" s="185"/>
      <c r="F5197" s="185"/>
      <c r="G5197" s="185"/>
      <c r="H5197" s="185"/>
      <c r="I5197" s="185"/>
      <c r="J5197" s="185"/>
      <c r="K5197" s="191">
        <f t="shared" ref="K5197:K5204" si="194">$L$5196*N5197</f>
        <v>1.3307654975296135E-3</v>
      </c>
      <c r="L5197" s="185"/>
      <c r="M5197" s="185"/>
      <c r="N5197" s="215">
        <f t="shared" ref="N5197:N5204" si="195">N5083</f>
        <v>2.9572566611769187</v>
      </c>
      <c r="O5197" s="215"/>
      <c r="P5197" s="236"/>
      <c r="Q5197" s="236"/>
      <c r="R5197" s="236"/>
      <c r="S5197" s="236"/>
    </row>
    <row r="5198" spans="1:19" s="237" customFormat="1" x14ac:dyDescent="0.35">
      <c r="A5198" s="229"/>
      <c r="B5198" s="230" t="str">
        <f t="shared" si="193"/>
        <v>PV1-76</v>
      </c>
      <c r="C5198" s="185"/>
      <c r="D5198" s="185"/>
      <c r="E5198" s="185"/>
      <c r="F5198" s="185"/>
      <c r="G5198" s="185"/>
      <c r="H5198" s="185"/>
      <c r="I5198" s="185"/>
      <c r="J5198" s="185"/>
      <c r="K5198" s="191">
        <f t="shared" si="194"/>
        <v>1.3307654975296135E-3</v>
      </c>
      <c r="L5198" s="185"/>
      <c r="M5198" s="185"/>
      <c r="N5198" s="215">
        <f t="shared" si="195"/>
        <v>2.9572566611769187</v>
      </c>
      <c r="O5198" s="215"/>
      <c r="P5198" s="236"/>
      <c r="Q5198" s="236"/>
      <c r="R5198" s="236"/>
      <c r="S5198" s="236"/>
    </row>
    <row r="5199" spans="1:19" s="237" customFormat="1" x14ac:dyDescent="0.35">
      <c r="A5199" s="229"/>
      <c r="B5199" s="230" t="str">
        <f t="shared" si="193"/>
        <v>PV2-76</v>
      </c>
      <c r="C5199" s="185"/>
      <c r="D5199" s="185"/>
      <c r="E5199" s="185"/>
      <c r="F5199" s="185"/>
      <c r="G5199" s="185"/>
      <c r="H5199" s="185"/>
      <c r="I5199" s="185"/>
      <c r="J5199" s="185"/>
      <c r="K5199" s="191">
        <f t="shared" si="194"/>
        <v>1.3307654975296135E-3</v>
      </c>
      <c r="L5199" s="185"/>
      <c r="M5199" s="185"/>
      <c r="N5199" s="215">
        <f t="shared" si="195"/>
        <v>2.9572566611769187</v>
      </c>
      <c r="O5199" s="215"/>
      <c r="P5199" s="236"/>
      <c r="Q5199" s="236"/>
      <c r="R5199" s="236"/>
      <c r="S5199" s="236"/>
    </row>
    <row r="5200" spans="1:19" s="237" customFormat="1" x14ac:dyDescent="0.35">
      <c r="A5200" s="229"/>
      <c r="B5200" s="230" t="str">
        <f t="shared" si="193"/>
        <v>PV1-79</v>
      </c>
      <c r="C5200" s="185"/>
      <c r="D5200" s="185"/>
      <c r="E5200" s="185"/>
      <c r="F5200" s="185"/>
      <c r="G5200" s="185"/>
      <c r="H5200" s="185"/>
      <c r="I5200" s="185"/>
      <c r="J5200" s="185"/>
      <c r="K5200" s="191">
        <f t="shared" si="194"/>
        <v>1.3307654975296135E-3</v>
      </c>
      <c r="L5200" s="185"/>
      <c r="M5200" s="185"/>
      <c r="N5200" s="215">
        <f t="shared" si="195"/>
        <v>2.9572566611769187</v>
      </c>
      <c r="O5200" s="215"/>
      <c r="P5200" s="236"/>
      <c r="Q5200" s="236"/>
      <c r="R5200" s="236"/>
      <c r="S5200" s="236"/>
    </row>
    <row r="5201" spans="1:19" s="237" customFormat="1" x14ac:dyDescent="0.35">
      <c r="A5201" s="229"/>
      <c r="B5201" s="230" t="str">
        <f t="shared" si="193"/>
        <v>PV2-79</v>
      </c>
      <c r="C5201" s="185"/>
      <c r="D5201" s="185"/>
      <c r="E5201" s="185"/>
      <c r="F5201" s="185"/>
      <c r="G5201" s="185"/>
      <c r="H5201" s="185"/>
      <c r="I5201" s="185"/>
      <c r="J5201" s="185"/>
      <c r="K5201" s="191">
        <f t="shared" si="194"/>
        <v>1.3307654975296135E-3</v>
      </c>
      <c r="L5201" s="185"/>
      <c r="M5201" s="185"/>
      <c r="N5201" s="215">
        <f t="shared" si="195"/>
        <v>2.9572566611769187</v>
      </c>
      <c r="O5201" s="215"/>
      <c r="P5201" s="236"/>
      <c r="Q5201" s="236"/>
      <c r="R5201" s="236"/>
      <c r="S5201" s="236"/>
    </row>
    <row r="5202" spans="1:19" s="237" customFormat="1" x14ac:dyDescent="0.35">
      <c r="A5202" s="229"/>
      <c r="B5202" s="230" t="str">
        <f t="shared" si="193"/>
        <v>PV1-82</v>
      </c>
      <c r="C5202" s="185"/>
      <c r="D5202" s="185"/>
      <c r="E5202" s="185"/>
      <c r="F5202" s="185"/>
      <c r="G5202" s="185"/>
      <c r="H5202" s="185"/>
      <c r="I5202" s="185"/>
      <c r="J5202" s="185"/>
      <c r="K5202" s="191">
        <f t="shared" si="194"/>
        <v>1.3307654975296135E-3</v>
      </c>
      <c r="L5202" s="185"/>
      <c r="M5202" s="185"/>
      <c r="N5202" s="215">
        <f t="shared" si="195"/>
        <v>2.9572566611769187</v>
      </c>
      <c r="O5202" s="215"/>
      <c r="P5202" s="236"/>
      <c r="Q5202" s="236"/>
      <c r="R5202" s="236"/>
      <c r="S5202" s="236"/>
    </row>
    <row r="5203" spans="1:19" s="237" customFormat="1" x14ac:dyDescent="0.35">
      <c r="A5203" s="229"/>
      <c r="B5203" s="230" t="str">
        <f t="shared" si="193"/>
        <v>PV1-85</v>
      </c>
      <c r="C5203" s="185"/>
      <c r="D5203" s="185"/>
      <c r="E5203" s="185"/>
      <c r="F5203" s="185"/>
      <c r="G5203" s="185"/>
      <c r="H5203" s="185"/>
      <c r="I5203" s="185"/>
      <c r="J5203" s="185"/>
      <c r="K5203" s="191">
        <f t="shared" si="194"/>
        <v>1.3307654975296135E-3</v>
      </c>
      <c r="L5203" s="185"/>
      <c r="M5203" s="185"/>
      <c r="N5203" s="215">
        <f t="shared" si="195"/>
        <v>2.9572566611769187</v>
      </c>
      <c r="O5203" s="215"/>
      <c r="P5203" s="236"/>
      <c r="Q5203" s="236"/>
      <c r="R5203" s="236"/>
      <c r="S5203" s="236"/>
    </row>
    <row r="5204" spans="1:19" s="237" customFormat="1" x14ac:dyDescent="0.35">
      <c r="A5204" s="229"/>
      <c r="B5204" s="230" t="str">
        <f t="shared" si="193"/>
        <v>PV1-86</v>
      </c>
      <c r="C5204" s="185"/>
      <c r="D5204" s="185"/>
      <c r="E5204" s="185"/>
      <c r="F5204" s="185"/>
      <c r="G5204" s="185"/>
      <c r="H5204" s="185"/>
      <c r="I5204" s="185"/>
      <c r="J5204" s="185"/>
      <c r="K5204" s="191">
        <f t="shared" si="194"/>
        <v>1.3307654975296135E-3</v>
      </c>
      <c r="L5204" s="185"/>
      <c r="M5204" s="185"/>
      <c r="N5204" s="215">
        <f t="shared" si="195"/>
        <v>2.9572566611769187</v>
      </c>
      <c r="O5204" s="215"/>
      <c r="P5204" s="236"/>
      <c r="Q5204" s="236"/>
      <c r="R5204" s="236"/>
      <c r="S5204" s="236"/>
    </row>
    <row r="5205" spans="1:19" s="237" customFormat="1" x14ac:dyDescent="0.35">
      <c r="A5205" s="229"/>
      <c r="B5205" s="230"/>
      <c r="C5205" s="185"/>
      <c r="D5205" s="185"/>
      <c r="E5205" s="185"/>
      <c r="F5205" s="185"/>
      <c r="G5205" s="185"/>
      <c r="H5205" s="185"/>
      <c r="I5205" s="185"/>
      <c r="J5205" s="185"/>
      <c r="K5205" s="185"/>
      <c r="L5205" s="185"/>
      <c r="M5205" s="185"/>
      <c r="N5205" s="185"/>
      <c r="O5205" s="193"/>
      <c r="P5205" s="236"/>
      <c r="Q5205" s="236"/>
      <c r="R5205" s="236"/>
      <c r="S5205" s="236"/>
    </row>
    <row r="5206" spans="1:19" s="235" customFormat="1" x14ac:dyDescent="0.35">
      <c r="A5206" s="238"/>
      <c r="B5206" s="232" t="s">
        <v>5</v>
      </c>
      <c r="C5206" s="208" t="s">
        <v>1328</v>
      </c>
      <c r="D5206" s="208"/>
      <c r="E5206" s="208"/>
      <c r="F5206" s="208"/>
      <c r="G5206" s="208"/>
      <c r="H5206" s="208"/>
      <c r="I5206" s="208"/>
      <c r="J5206" s="208"/>
      <c r="K5206" s="196">
        <f>SUM(K5197:K5204)</f>
        <v>1.0646123980236909E-2</v>
      </c>
      <c r="L5206" s="208"/>
      <c r="M5206" s="208"/>
      <c r="N5206" s="208"/>
      <c r="O5206" s="196"/>
      <c r="P5206" s="224"/>
      <c r="Q5206" s="224"/>
      <c r="R5206" s="224"/>
      <c r="S5206" s="224"/>
    </row>
    <row r="5207" spans="1:19" s="235" customFormat="1" ht="21" x14ac:dyDescent="0.35">
      <c r="A5207" s="226" t="str">
        <f>ORÇAMENTO!A952</f>
        <v>7.4.20</v>
      </c>
      <c r="B5207" s="227" t="str">
        <f>VLOOKUP(A5207,ORÇAMENTO!A:K,4,0)</f>
        <v>EMULSÃO ASFÁLTICA PARA IMPRIMAÇÃO - FORNECIMENTO E TRANSPORTE</v>
      </c>
      <c r="C5207" s="173" t="str">
        <f>VLOOKUP(A5207,ORÇAMENTO!A:K,5,0)</f>
        <v>T</v>
      </c>
      <c r="D5207" s="173">
        <f>SUM(E5219:O5219)</f>
        <v>3.0755469276239952E-2</v>
      </c>
      <c r="E5207" s="173" t="s">
        <v>1718</v>
      </c>
      <c r="F5207" s="173" t="s">
        <v>1719</v>
      </c>
      <c r="G5207" s="173" t="s">
        <v>1720</v>
      </c>
      <c r="H5207" s="173" t="s">
        <v>1721</v>
      </c>
      <c r="I5207" s="173" t="s">
        <v>1722</v>
      </c>
      <c r="J5207" s="173" t="s">
        <v>1723</v>
      </c>
      <c r="K5207" s="173" t="s">
        <v>1746</v>
      </c>
      <c r="L5207" s="173" t="s">
        <v>1777</v>
      </c>
      <c r="M5207" s="173" t="s">
        <v>1768</v>
      </c>
      <c r="N5207" s="173" t="s">
        <v>1727</v>
      </c>
      <c r="O5207" s="173" t="s">
        <v>1728</v>
      </c>
      <c r="P5207" s="224"/>
      <c r="Q5207" s="224"/>
      <c r="R5207" s="224"/>
      <c r="S5207" s="224"/>
    </row>
    <row r="5208" spans="1:19" s="235" customFormat="1" ht="30.5" customHeight="1" x14ac:dyDescent="0.35">
      <c r="A5208" s="229"/>
      <c r="B5208" s="232" t="s">
        <v>1780</v>
      </c>
      <c r="C5208" s="177"/>
      <c r="D5208" s="177"/>
      <c r="E5208" s="178"/>
      <c r="F5208" s="178"/>
      <c r="G5208" s="178"/>
      <c r="H5208" s="178"/>
      <c r="I5208" s="178"/>
      <c r="J5208" s="178"/>
      <c r="K5208" s="178"/>
      <c r="L5208" s="178"/>
      <c r="M5208" s="178"/>
      <c r="N5208" s="178"/>
      <c r="O5208" s="178"/>
      <c r="P5208" s="224"/>
      <c r="Q5208" s="224"/>
      <c r="R5208" s="224"/>
      <c r="S5208" s="224"/>
    </row>
    <row r="5209" spans="1:19" s="225" customFormat="1" ht="42" x14ac:dyDescent="0.25">
      <c r="A5209" s="229"/>
      <c r="B5209" s="230" t="s">
        <v>1781</v>
      </c>
      <c r="C5209" s="177"/>
      <c r="D5209" s="178"/>
      <c r="E5209" s="178"/>
      <c r="F5209" s="178"/>
      <c r="G5209" s="178"/>
      <c r="H5209" s="178"/>
      <c r="I5209" s="178"/>
      <c r="J5209" s="178"/>
      <c r="K5209" s="178"/>
      <c r="L5209" s="198">
        <v>1.2999999999999999E-3</v>
      </c>
      <c r="M5209" s="178"/>
      <c r="N5209" s="178"/>
      <c r="O5209" s="178"/>
      <c r="P5209" s="231"/>
      <c r="Q5209" s="224"/>
    </row>
    <row r="5210" spans="1:19" s="237" customFormat="1" x14ac:dyDescent="0.35">
      <c r="A5210" s="229"/>
      <c r="B5210" s="230" t="str">
        <f t="shared" ref="B5210:B5217" si="196">B5096</f>
        <v>PV1-67</v>
      </c>
      <c r="C5210" s="185"/>
      <c r="D5210" s="185"/>
      <c r="E5210" s="185"/>
      <c r="F5210" s="185"/>
      <c r="G5210" s="185"/>
      <c r="H5210" s="185"/>
      <c r="I5210" s="185"/>
      <c r="J5210" s="185"/>
      <c r="K5210" s="191">
        <f t="shared" ref="K5210:K5217" si="197">$L$5209*N5210</f>
        <v>3.844433659529994E-3</v>
      </c>
      <c r="L5210" s="185"/>
      <c r="M5210" s="185"/>
      <c r="N5210" s="215">
        <f t="shared" ref="N5210:N5217" si="198">N5096</f>
        <v>2.9572566611769187</v>
      </c>
      <c r="O5210" s="215"/>
      <c r="P5210" s="236"/>
      <c r="Q5210" s="236"/>
      <c r="R5210" s="236"/>
      <c r="S5210" s="236"/>
    </row>
    <row r="5211" spans="1:19" s="237" customFormat="1" x14ac:dyDescent="0.35">
      <c r="A5211" s="229"/>
      <c r="B5211" s="230" t="str">
        <f t="shared" si="196"/>
        <v>PV1-76</v>
      </c>
      <c r="C5211" s="185"/>
      <c r="D5211" s="185"/>
      <c r="E5211" s="185"/>
      <c r="F5211" s="185"/>
      <c r="G5211" s="185"/>
      <c r="H5211" s="185"/>
      <c r="I5211" s="185"/>
      <c r="J5211" s="185"/>
      <c r="K5211" s="191">
        <f t="shared" si="197"/>
        <v>3.844433659529994E-3</v>
      </c>
      <c r="L5211" s="185"/>
      <c r="M5211" s="185"/>
      <c r="N5211" s="215">
        <f t="shared" si="198"/>
        <v>2.9572566611769187</v>
      </c>
      <c r="O5211" s="215"/>
      <c r="P5211" s="236"/>
      <c r="Q5211" s="236"/>
      <c r="R5211" s="236"/>
      <c r="S5211" s="236"/>
    </row>
    <row r="5212" spans="1:19" s="237" customFormat="1" x14ac:dyDescent="0.35">
      <c r="A5212" s="229"/>
      <c r="B5212" s="230" t="str">
        <f t="shared" si="196"/>
        <v>PV2-76</v>
      </c>
      <c r="C5212" s="185"/>
      <c r="D5212" s="185"/>
      <c r="E5212" s="185"/>
      <c r="F5212" s="185"/>
      <c r="G5212" s="185"/>
      <c r="H5212" s="185"/>
      <c r="I5212" s="185"/>
      <c r="J5212" s="185"/>
      <c r="K5212" s="191">
        <f t="shared" si="197"/>
        <v>3.844433659529994E-3</v>
      </c>
      <c r="L5212" s="185"/>
      <c r="M5212" s="185"/>
      <c r="N5212" s="215">
        <f t="shared" si="198"/>
        <v>2.9572566611769187</v>
      </c>
      <c r="O5212" s="215"/>
      <c r="P5212" s="236"/>
      <c r="Q5212" s="236"/>
      <c r="R5212" s="236"/>
      <c r="S5212" s="236"/>
    </row>
    <row r="5213" spans="1:19" s="237" customFormat="1" x14ac:dyDescent="0.35">
      <c r="A5213" s="229"/>
      <c r="B5213" s="230" t="str">
        <f t="shared" si="196"/>
        <v>PV1-79</v>
      </c>
      <c r="C5213" s="185"/>
      <c r="D5213" s="185"/>
      <c r="E5213" s="185"/>
      <c r="F5213" s="185"/>
      <c r="G5213" s="185"/>
      <c r="H5213" s="185"/>
      <c r="I5213" s="185"/>
      <c r="J5213" s="185"/>
      <c r="K5213" s="191">
        <f t="shared" si="197"/>
        <v>3.844433659529994E-3</v>
      </c>
      <c r="L5213" s="185"/>
      <c r="M5213" s="185"/>
      <c r="N5213" s="215">
        <f t="shared" si="198"/>
        <v>2.9572566611769187</v>
      </c>
      <c r="O5213" s="215"/>
      <c r="P5213" s="236"/>
      <c r="Q5213" s="236"/>
      <c r="R5213" s="236"/>
      <c r="S5213" s="236"/>
    </row>
    <row r="5214" spans="1:19" s="237" customFormat="1" x14ac:dyDescent="0.35">
      <c r="A5214" s="229"/>
      <c r="B5214" s="230" t="str">
        <f t="shared" si="196"/>
        <v>PV2-79</v>
      </c>
      <c r="C5214" s="185"/>
      <c r="D5214" s="185"/>
      <c r="E5214" s="185"/>
      <c r="F5214" s="185"/>
      <c r="G5214" s="185"/>
      <c r="H5214" s="185"/>
      <c r="I5214" s="185"/>
      <c r="J5214" s="185"/>
      <c r="K5214" s="191">
        <f t="shared" si="197"/>
        <v>3.844433659529994E-3</v>
      </c>
      <c r="L5214" s="185"/>
      <c r="M5214" s="185"/>
      <c r="N5214" s="215">
        <f t="shared" si="198"/>
        <v>2.9572566611769187</v>
      </c>
      <c r="O5214" s="215"/>
      <c r="P5214" s="236"/>
      <c r="Q5214" s="236"/>
      <c r="R5214" s="236"/>
      <c r="S5214" s="236"/>
    </row>
    <row r="5215" spans="1:19" s="237" customFormat="1" x14ac:dyDescent="0.35">
      <c r="A5215" s="229"/>
      <c r="B5215" s="230" t="str">
        <f t="shared" si="196"/>
        <v>PV1-82</v>
      </c>
      <c r="C5215" s="185"/>
      <c r="D5215" s="185"/>
      <c r="E5215" s="185"/>
      <c r="F5215" s="185"/>
      <c r="G5215" s="185"/>
      <c r="H5215" s="185"/>
      <c r="I5215" s="185"/>
      <c r="J5215" s="185"/>
      <c r="K5215" s="191">
        <f t="shared" si="197"/>
        <v>3.844433659529994E-3</v>
      </c>
      <c r="L5215" s="185"/>
      <c r="M5215" s="185"/>
      <c r="N5215" s="215">
        <f t="shared" si="198"/>
        <v>2.9572566611769187</v>
      </c>
      <c r="O5215" s="215"/>
      <c r="P5215" s="236"/>
      <c r="Q5215" s="236"/>
      <c r="R5215" s="236"/>
      <c r="S5215" s="236"/>
    </row>
    <row r="5216" spans="1:19" s="237" customFormat="1" x14ac:dyDescent="0.35">
      <c r="A5216" s="229"/>
      <c r="B5216" s="230" t="str">
        <f t="shared" si="196"/>
        <v>PV1-85</v>
      </c>
      <c r="C5216" s="185"/>
      <c r="D5216" s="185"/>
      <c r="E5216" s="185"/>
      <c r="F5216" s="185"/>
      <c r="G5216" s="185"/>
      <c r="H5216" s="185"/>
      <c r="I5216" s="185"/>
      <c r="J5216" s="185"/>
      <c r="K5216" s="191">
        <f t="shared" si="197"/>
        <v>3.844433659529994E-3</v>
      </c>
      <c r="L5216" s="185"/>
      <c r="M5216" s="185"/>
      <c r="N5216" s="215">
        <f t="shared" si="198"/>
        <v>2.9572566611769187</v>
      </c>
      <c r="O5216" s="215"/>
      <c r="P5216" s="236"/>
      <c r="Q5216" s="236"/>
      <c r="R5216" s="236"/>
      <c r="S5216" s="236"/>
    </row>
    <row r="5217" spans="1:19" s="237" customFormat="1" x14ac:dyDescent="0.35">
      <c r="A5217" s="229"/>
      <c r="B5217" s="230" t="str">
        <f t="shared" si="196"/>
        <v>PV1-86</v>
      </c>
      <c r="C5217" s="185"/>
      <c r="D5217" s="185"/>
      <c r="E5217" s="185"/>
      <c r="F5217" s="185"/>
      <c r="G5217" s="185"/>
      <c r="H5217" s="185"/>
      <c r="I5217" s="185"/>
      <c r="J5217" s="185"/>
      <c r="K5217" s="191">
        <f t="shared" si="197"/>
        <v>3.844433659529994E-3</v>
      </c>
      <c r="L5217" s="185"/>
      <c r="M5217" s="185"/>
      <c r="N5217" s="215">
        <f t="shared" si="198"/>
        <v>2.9572566611769187</v>
      </c>
      <c r="O5217" s="215"/>
      <c r="P5217" s="236"/>
      <c r="Q5217" s="236"/>
      <c r="R5217" s="236"/>
      <c r="S5217" s="236"/>
    </row>
    <row r="5218" spans="1:19" s="237" customFormat="1" x14ac:dyDescent="0.35">
      <c r="A5218" s="229"/>
      <c r="B5218" s="230"/>
      <c r="C5218" s="185"/>
      <c r="D5218" s="185"/>
      <c r="E5218" s="185"/>
      <c r="F5218" s="185"/>
      <c r="G5218" s="185"/>
      <c r="H5218" s="185"/>
      <c r="I5218" s="185"/>
      <c r="J5218" s="185"/>
      <c r="K5218" s="185"/>
      <c r="L5218" s="185"/>
      <c r="M5218" s="185"/>
      <c r="N5218" s="185"/>
      <c r="O5218" s="193"/>
      <c r="P5218" s="236"/>
      <c r="Q5218" s="236"/>
      <c r="R5218" s="236"/>
      <c r="S5218" s="236"/>
    </row>
    <row r="5219" spans="1:19" s="235" customFormat="1" x14ac:dyDescent="0.35">
      <c r="A5219" s="238"/>
      <c r="B5219" s="232" t="s">
        <v>5</v>
      </c>
      <c r="C5219" s="208" t="s">
        <v>1328</v>
      </c>
      <c r="D5219" s="208"/>
      <c r="E5219" s="208"/>
      <c r="F5219" s="208"/>
      <c r="G5219" s="208"/>
      <c r="H5219" s="208"/>
      <c r="I5219" s="208"/>
      <c r="J5219" s="208"/>
      <c r="K5219" s="196">
        <f>SUM(K5210:K5217)</f>
        <v>3.0755469276239952E-2</v>
      </c>
      <c r="L5219" s="208"/>
      <c r="M5219" s="208"/>
      <c r="N5219" s="208"/>
      <c r="O5219" s="196"/>
      <c r="P5219" s="224"/>
      <c r="Q5219" s="224"/>
      <c r="R5219" s="224"/>
      <c r="S5219" s="224"/>
    </row>
    <row r="5220" spans="1:19" s="235" customFormat="1" ht="21" x14ac:dyDescent="0.35">
      <c r="A5220" s="226" t="str">
        <f>ORÇAMENTO!A953</f>
        <v>7.4.21</v>
      </c>
      <c r="B5220" s="227" t="str">
        <f>VLOOKUP(A5220,ORÇAMENTO!A:K,4,0)</f>
        <v>CAL HIDRATADA - A GRANEL</v>
      </c>
      <c r="C5220" s="173" t="str">
        <f>VLOOKUP(A5220,ORÇAMENTO!A:K,5,0)</f>
        <v>KG</v>
      </c>
      <c r="D5220" s="173">
        <f>SUM(E5232:O5232)</f>
        <v>0.93153584827072944</v>
      </c>
      <c r="E5220" s="173" t="s">
        <v>1718</v>
      </c>
      <c r="F5220" s="173" t="s">
        <v>1719</v>
      </c>
      <c r="G5220" s="173" t="s">
        <v>1720</v>
      </c>
      <c r="H5220" s="173" t="s">
        <v>1721</v>
      </c>
      <c r="I5220" s="173" t="s">
        <v>1722</v>
      </c>
      <c r="J5220" s="173" t="s">
        <v>1723</v>
      </c>
      <c r="K5220" s="173" t="s">
        <v>1724</v>
      </c>
      <c r="L5220" s="173" t="s">
        <v>1753</v>
      </c>
      <c r="M5220" s="173" t="s">
        <v>1768</v>
      </c>
      <c r="N5220" s="173" t="s">
        <v>1727</v>
      </c>
      <c r="O5220" s="173" t="s">
        <v>1728</v>
      </c>
      <c r="P5220" s="224"/>
      <c r="Q5220" s="224"/>
      <c r="R5220" s="224"/>
      <c r="S5220" s="224"/>
    </row>
    <row r="5221" spans="1:19" s="235" customFormat="1" x14ac:dyDescent="0.35">
      <c r="A5221" s="229"/>
      <c r="B5221" s="232" t="s">
        <v>1864</v>
      </c>
      <c r="C5221" s="177"/>
      <c r="D5221" s="177"/>
      <c r="E5221" s="178"/>
      <c r="F5221" s="178"/>
      <c r="G5221" s="178"/>
      <c r="H5221" s="178"/>
      <c r="I5221" s="178"/>
      <c r="J5221" s="178"/>
      <c r="K5221" s="178"/>
      <c r="L5221" s="178"/>
      <c r="M5221" s="178"/>
      <c r="N5221" s="178"/>
      <c r="O5221" s="178"/>
      <c r="P5221" s="224"/>
      <c r="Q5221" s="224"/>
      <c r="R5221" s="224"/>
      <c r="S5221" s="224"/>
    </row>
    <row r="5222" spans="1:19" s="225" customFormat="1" ht="10.5" x14ac:dyDescent="0.25">
      <c r="A5222" s="229"/>
      <c r="B5222" s="230" t="s">
        <v>1865</v>
      </c>
      <c r="C5222" s="177"/>
      <c r="D5222" s="178"/>
      <c r="E5222" s="178"/>
      <c r="F5222" s="178"/>
      <c r="G5222" s="178"/>
      <c r="H5222" s="178"/>
      <c r="I5222" s="178"/>
      <c r="J5222" s="178"/>
      <c r="K5222" s="178"/>
      <c r="L5222" s="198">
        <v>0.7</v>
      </c>
      <c r="M5222" s="178"/>
      <c r="N5222" s="178"/>
      <c r="O5222" s="178"/>
      <c r="P5222" s="231"/>
      <c r="Q5222" s="224"/>
    </row>
    <row r="5223" spans="1:19" s="237" customFormat="1" x14ac:dyDescent="0.35">
      <c r="A5223" s="229"/>
      <c r="B5223" s="230" t="str">
        <f t="shared" ref="B5223:B5230" si="199">B5122</f>
        <v>PV1-67</v>
      </c>
      <c r="C5223" s="185"/>
      <c r="D5223" s="185"/>
      <c r="E5223" s="185"/>
      <c r="F5223" s="185"/>
      <c r="G5223" s="185"/>
      <c r="H5223" s="185"/>
      <c r="I5223" s="185"/>
      <c r="J5223" s="185"/>
      <c r="K5223" s="185">
        <f t="shared" ref="K5223:K5230" si="200">$L$5222*O5223</f>
        <v>0</v>
      </c>
      <c r="L5223" s="185"/>
      <c r="M5223" s="185"/>
      <c r="N5223" s="185"/>
      <c r="O5223" s="215">
        <f t="shared" ref="O5223:O5230" si="201">O5122</f>
        <v>0</v>
      </c>
      <c r="P5223" s="236"/>
      <c r="Q5223" s="236"/>
      <c r="R5223" s="236"/>
      <c r="S5223" s="236"/>
    </row>
    <row r="5224" spans="1:19" s="237" customFormat="1" x14ac:dyDescent="0.35">
      <c r="A5224" s="229"/>
      <c r="B5224" s="230" t="str">
        <f t="shared" si="199"/>
        <v>PV1-76</v>
      </c>
      <c r="C5224" s="185"/>
      <c r="D5224" s="185"/>
      <c r="E5224" s="185"/>
      <c r="F5224" s="185"/>
      <c r="G5224" s="185"/>
      <c r="H5224" s="185"/>
      <c r="I5224" s="185"/>
      <c r="J5224" s="185"/>
      <c r="K5224" s="185">
        <f t="shared" si="200"/>
        <v>0</v>
      </c>
      <c r="L5224" s="185"/>
      <c r="M5224" s="185"/>
      <c r="N5224" s="185"/>
      <c r="O5224" s="215">
        <f t="shared" si="201"/>
        <v>0</v>
      </c>
      <c r="P5224" s="236"/>
      <c r="Q5224" s="236"/>
      <c r="R5224" s="236"/>
      <c r="S5224" s="236"/>
    </row>
    <row r="5225" spans="1:19" s="237" customFormat="1" x14ac:dyDescent="0.35">
      <c r="A5225" s="229"/>
      <c r="B5225" s="230" t="str">
        <f t="shared" si="199"/>
        <v>PV2-76</v>
      </c>
      <c r="C5225" s="185"/>
      <c r="D5225" s="185"/>
      <c r="E5225" s="185"/>
      <c r="F5225" s="185"/>
      <c r="G5225" s="185"/>
      <c r="H5225" s="185"/>
      <c r="I5225" s="185"/>
      <c r="J5225" s="185"/>
      <c r="K5225" s="185">
        <f t="shared" si="200"/>
        <v>0.31051194942357646</v>
      </c>
      <c r="L5225" s="185"/>
      <c r="M5225" s="185"/>
      <c r="N5225" s="185"/>
      <c r="O5225" s="215">
        <f t="shared" si="201"/>
        <v>0.44358849917653781</v>
      </c>
      <c r="P5225" s="236"/>
      <c r="Q5225" s="236"/>
      <c r="R5225" s="236"/>
      <c r="S5225" s="236"/>
    </row>
    <row r="5226" spans="1:19" s="237" customFormat="1" x14ac:dyDescent="0.35">
      <c r="A5226" s="229"/>
      <c r="B5226" s="230" t="str">
        <f t="shared" si="199"/>
        <v>PV1-79</v>
      </c>
      <c r="C5226" s="185"/>
      <c r="D5226" s="185"/>
      <c r="E5226" s="185"/>
      <c r="F5226" s="185"/>
      <c r="G5226" s="185"/>
      <c r="H5226" s="185"/>
      <c r="I5226" s="185"/>
      <c r="J5226" s="185"/>
      <c r="K5226" s="185">
        <f t="shared" si="200"/>
        <v>0</v>
      </c>
      <c r="L5226" s="185"/>
      <c r="M5226" s="185"/>
      <c r="N5226" s="185"/>
      <c r="O5226" s="215">
        <f t="shared" si="201"/>
        <v>0</v>
      </c>
      <c r="P5226" s="236"/>
      <c r="Q5226" s="236"/>
      <c r="R5226" s="236"/>
      <c r="S5226" s="236"/>
    </row>
    <row r="5227" spans="1:19" s="237" customFormat="1" x14ac:dyDescent="0.35">
      <c r="A5227" s="229"/>
      <c r="B5227" s="230" t="str">
        <f t="shared" si="199"/>
        <v>PV2-79</v>
      </c>
      <c r="C5227" s="185"/>
      <c r="D5227" s="185"/>
      <c r="E5227" s="185"/>
      <c r="F5227" s="185"/>
      <c r="G5227" s="185"/>
      <c r="H5227" s="185"/>
      <c r="I5227" s="185"/>
      <c r="J5227" s="185"/>
      <c r="K5227" s="185">
        <f t="shared" si="200"/>
        <v>0.31051194942357646</v>
      </c>
      <c r="L5227" s="185"/>
      <c r="M5227" s="185"/>
      <c r="N5227" s="185"/>
      <c r="O5227" s="215">
        <f t="shared" si="201"/>
        <v>0.44358849917653781</v>
      </c>
      <c r="P5227" s="236"/>
      <c r="Q5227" s="236"/>
      <c r="R5227" s="236"/>
      <c r="S5227" s="236"/>
    </row>
    <row r="5228" spans="1:19" s="237" customFormat="1" x14ac:dyDescent="0.35">
      <c r="A5228" s="229"/>
      <c r="B5228" s="230" t="str">
        <f t="shared" si="199"/>
        <v>PV1-82</v>
      </c>
      <c r="C5228" s="185"/>
      <c r="D5228" s="185"/>
      <c r="E5228" s="185"/>
      <c r="F5228" s="185"/>
      <c r="G5228" s="185"/>
      <c r="H5228" s="185"/>
      <c r="I5228" s="185"/>
      <c r="J5228" s="185"/>
      <c r="K5228" s="185">
        <f t="shared" si="200"/>
        <v>0</v>
      </c>
      <c r="L5228" s="185"/>
      <c r="M5228" s="185"/>
      <c r="N5228" s="185"/>
      <c r="O5228" s="215">
        <f t="shared" si="201"/>
        <v>0</v>
      </c>
      <c r="P5228" s="236"/>
      <c r="Q5228" s="236"/>
      <c r="R5228" s="236"/>
      <c r="S5228" s="236"/>
    </row>
    <row r="5229" spans="1:19" s="237" customFormat="1" x14ac:dyDescent="0.35">
      <c r="A5229" s="229"/>
      <c r="B5229" s="230" t="str">
        <f t="shared" si="199"/>
        <v>PV1-85</v>
      </c>
      <c r="C5229" s="185"/>
      <c r="D5229" s="185"/>
      <c r="E5229" s="185"/>
      <c r="F5229" s="185"/>
      <c r="G5229" s="185"/>
      <c r="H5229" s="185"/>
      <c r="I5229" s="185"/>
      <c r="J5229" s="185"/>
      <c r="K5229" s="185">
        <f t="shared" si="200"/>
        <v>0</v>
      </c>
      <c r="L5229" s="185"/>
      <c r="M5229" s="185"/>
      <c r="N5229" s="185"/>
      <c r="O5229" s="215">
        <f t="shared" si="201"/>
        <v>0</v>
      </c>
      <c r="P5229" s="236"/>
      <c r="Q5229" s="236"/>
      <c r="R5229" s="236"/>
      <c r="S5229" s="236"/>
    </row>
    <row r="5230" spans="1:19" s="237" customFormat="1" x14ac:dyDescent="0.35">
      <c r="A5230" s="229"/>
      <c r="B5230" s="230" t="str">
        <f t="shared" si="199"/>
        <v>PV1-86</v>
      </c>
      <c r="C5230" s="185"/>
      <c r="D5230" s="185"/>
      <c r="E5230" s="185"/>
      <c r="F5230" s="185"/>
      <c r="G5230" s="185"/>
      <c r="H5230" s="185"/>
      <c r="I5230" s="185"/>
      <c r="J5230" s="185"/>
      <c r="K5230" s="185">
        <f t="shared" si="200"/>
        <v>0.31051194942357646</v>
      </c>
      <c r="L5230" s="185"/>
      <c r="M5230" s="185"/>
      <c r="N5230" s="185"/>
      <c r="O5230" s="215">
        <f t="shared" si="201"/>
        <v>0.44358849917653781</v>
      </c>
      <c r="P5230" s="236"/>
      <c r="Q5230" s="236"/>
      <c r="R5230" s="236"/>
      <c r="S5230" s="236"/>
    </row>
    <row r="5231" spans="1:19" s="237" customFormat="1" x14ac:dyDescent="0.35">
      <c r="A5231" s="229"/>
      <c r="B5231" s="230"/>
      <c r="C5231" s="185"/>
      <c r="D5231" s="185"/>
      <c r="E5231" s="185"/>
      <c r="F5231" s="185"/>
      <c r="G5231" s="185"/>
      <c r="H5231" s="185"/>
      <c r="I5231" s="185"/>
      <c r="J5231" s="185"/>
      <c r="K5231" s="185"/>
      <c r="L5231" s="185"/>
      <c r="M5231" s="185"/>
      <c r="N5231" s="185"/>
      <c r="O5231" s="193"/>
      <c r="P5231" s="236"/>
      <c r="Q5231" s="236"/>
      <c r="R5231" s="236"/>
      <c r="S5231" s="236"/>
    </row>
    <row r="5232" spans="1:19" s="235" customFormat="1" x14ac:dyDescent="0.35">
      <c r="A5232" s="238"/>
      <c r="B5232" s="232" t="s">
        <v>5</v>
      </c>
      <c r="C5232" s="208" t="s">
        <v>1328</v>
      </c>
      <c r="D5232" s="208"/>
      <c r="E5232" s="208"/>
      <c r="F5232" s="208"/>
      <c r="G5232" s="208"/>
      <c r="H5232" s="208"/>
      <c r="I5232" s="208"/>
      <c r="J5232" s="208"/>
      <c r="K5232" s="196">
        <f>SUM(K5223:K5230)</f>
        <v>0.93153584827072944</v>
      </c>
      <c r="L5232" s="208"/>
      <c r="M5232" s="208"/>
      <c r="N5232" s="208"/>
      <c r="O5232" s="196"/>
      <c r="P5232" s="224"/>
      <c r="Q5232" s="224"/>
      <c r="R5232" s="224"/>
      <c r="S5232" s="224"/>
    </row>
    <row r="5233" spans="1:19" s="225" customFormat="1" ht="21" x14ac:dyDescent="0.25">
      <c r="A5233" s="222" t="str">
        <f>ORÇAMENTO!A954</f>
        <v>7.5</v>
      </c>
      <c r="B5233" s="223" t="str">
        <f>VLOOKUP(A5233,ORÇAMENTO!A:K,4,0)</f>
        <v>TERRAPLENAGEM (MOVIMENTOS DE TERRA EXCETO OS JÁ INDICADOS NAS DEMAIS PLANILHAS)</v>
      </c>
      <c r="C5233" s="167"/>
      <c r="D5233" s="167"/>
      <c r="E5233" s="168"/>
      <c r="F5233" s="168"/>
      <c r="G5233" s="168"/>
      <c r="H5233" s="168"/>
      <c r="I5233" s="168"/>
      <c r="J5233" s="168"/>
      <c r="K5233" s="168"/>
      <c r="L5233" s="168"/>
      <c r="M5233" s="168"/>
      <c r="N5233" s="168"/>
      <c r="O5233" s="168"/>
      <c r="P5233" s="224"/>
      <c r="Q5233" s="224"/>
    </row>
    <row r="5234" spans="1:19" s="225" customFormat="1" ht="21" x14ac:dyDescent="0.25">
      <c r="A5234" s="222" t="str">
        <f>ORÇAMENTO!A955</f>
        <v>7.5.1</v>
      </c>
      <c r="B5234" s="223" t="str">
        <f>VLOOKUP(A5234,ORÇAMENTO!A:K,4,0)</f>
        <v>PREPARAÇÃO DO TERRENO (RASPAGEM E LIMPEZA)</v>
      </c>
      <c r="C5234" s="167"/>
      <c r="D5234" s="167"/>
      <c r="E5234" s="168"/>
      <c r="F5234" s="168"/>
      <c r="G5234" s="168"/>
      <c r="H5234" s="168"/>
      <c r="I5234" s="168"/>
      <c r="J5234" s="168"/>
      <c r="K5234" s="168"/>
      <c r="L5234" s="168"/>
      <c r="M5234" s="168"/>
      <c r="N5234" s="168"/>
      <c r="O5234" s="168"/>
      <c r="P5234" s="224"/>
      <c r="Q5234" s="224"/>
    </row>
    <row r="5235" spans="1:19" s="235" customFormat="1" ht="42" x14ac:dyDescent="0.35">
      <c r="A5235" s="226" t="str">
        <f>ORÇAMENTO!A956</f>
        <v>7.5.1.1</v>
      </c>
      <c r="B5235" s="227" t="str">
        <f>VLOOKUP(A5235,ORÇAMENTO!A:K,4,0)</f>
        <v>LIMPEZA MECANIZADA DE CAMADA VEGETAL, VEGETAÇÃO E PEQUENAS ÁRVORES (DIÂMETRO DE TRONCO MENOR QUE 0,20 M), COM TRATOR DE ESTEIRAS. AF_03/2024</v>
      </c>
      <c r="C5235" s="173" t="str">
        <f>VLOOKUP(A5235,ORÇAMENTO!A:K,5,0)</f>
        <v>M²</v>
      </c>
      <c r="D5235" s="173">
        <f>SUM(E5243:O5243)</f>
        <v>5667.79</v>
      </c>
      <c r="E5235" s="173" t="s">
        <v>1718</v>
      </c>
      <c r="F5235" s="173" t="s">
        <v>1719</v>
      </c>
      <c r="G5235" s="173" t="s">
        <v>1720</v>
      </c>
      <c r="H5235" s="173" t="s">
        <v>1721</v>
      </c>
      <c r="I5235" s="173" t="s">
        <v>1722</v>
      </c>
      <c r="J5235" s="173" t="s">
        <v>1723</v>
      </c>
      <c r="K5235" s="173" t="s">
        <v>1724</v>
      </c>
      <c r="L5235" s="173" t="s">
        <v>1844</v>
      </c>
      <c r="M5235" s="207" t="s">
        <v>1750</v>
      </c>
      <c r="N5235" s="173" t="s">
        <v>1727</v>
      </c>
      <c r="O5235" s="173" t="s">
        <v>1728</v>
      </c>
      <c r="P5235" s="224"/>
      <c r="Q5235" s="224"/>
      <c r="R5235" s="224"/>
      <c r="S5235" s="224"/>
    </row>
    <row r="5236" spans="1:19" s="235" customFormat="1" x14ac:dyDescent="0.35">
      <c r="A5236" s="229"/>
      <c r="B5236" s="232" t="s">
        <v>1845</v>
      </c>
      <c r="C5236" s="177"/>
      <c r="D5236" s="177"/>
      <c r="E5236" s="177"/>
      <c r="F5236" s="177"/>
      <c r="G5236" s="177"/>
      <c r="H5236" s="177"/>
      <c r="I5236" s="177"/>
      <c r="J5236" s="177"/>
      <c r="K5236" s="177"/>
      <c r="L5236" s="177"/>
      <c r="M5236" s="177"/>
      <c r="N5236" s="177"/>
      <c r="O5236" s="177"/>
      <c r="P5236" s="224"/>
      <c r="Q5236" s="224"/>
      <c r="R5236" s="224"/>
      <c r="S5236" s="224"/>
    </row>
    <row r="5237" spans="1:19" s="235" customFormat="1" x14ac:dyDescent="0.35">
      <c r="A5237" s="229"/>
      <c r="B5237" s="230" t="s">
        <v>1905</v>
      </c>
      <c r="C5237" s="177"/>
      <c r="D5237" s="177"/>
      <c r="E5237" s="178">
        <v>504.57</v>
      </c>
      <c r="F5237" s="178">
        <v>7.3</v>
      </c>
      <c r="G5237" s="178"/>
      <c r="H5237" s="178">
        <v>0.3</v>
      </c>
      <c r="I5237" s="178"/>
      <c r="J5237" s="178"/>
      <c r="K5237" s="178"/>
      <c r="L5237" s="178"/>
      <c r="M5237" s="177"/>
      <c r="N5237" s="178">
        <f>E5237*F5237</f>
        <v>3683.3609999999999</v>
      </c>
      <c r="O5237" s="177"/>
      <c r="P5237" s="224"/>
      <c r="Q5237" s="224"/>
      <c r="R5237" s="224"/>
      <c r="S5237" s="224"/>
    </row>
    <row r="5238" spans="1:19" s="235" customFormat="1" x14ac:dyDescent="0.35">
      <c r="A5238" s="229"/>
      <c r="B5238" s="230" t="s">
        <v>1906</v>
      </c>
      <c r="C5238" s="177"/>
      <c r="D5238" s="177"/>
      <c r="E5238" s="178">
        <v>78.849999999999994</v>
      </c>
      <c r="F5238" s="178">
        <v>7.3</v>
      </c>
      <c r="G5238" s="178"/>
      <c r="H5238" s="178">
        <v>0.3</v>
      </c>
      <c r="I5238" s="178"/>
      <c r="J5238" s="178"/>
      <c r="K5238" s="178"/>
      <c r="L5238" s="178"/>
      <c r="M5238" s="177"/>
      <c r="N5238" s="178">
        <f>E5238*F5238</f>
        <v>575.6049999999999</v>
      </c>
      <c r="O5238" s="178"/>
      <c r="P5238" s="224"/>
      <c r="Q5238" s="224"/>
      <c r="R5238" s="224"/>
      <c r="S5238" s="224"/>
    </row>
    <row r="5239" spans="1:19" s="235" customFormat="1" x14ac:dyDescent="0.35">
      <c r="A5239" s="229"/>
      <c r="B5239" s="230" t="s">
        <v>1907</v>
      </c>
      <c r="C5239" s="177"/>
      <c r="D5239" s="177"/>
      <c r="E5239" s="178">
        <v>75.849999999999994</v>
      </c>
      <c r="F5239" s="178">
        <v>7.3</v>
      </c>
      <c r="G5239" s="178"/>
      <c r="H5239" s="178">
        <v>0.3</v>
      </c>
      <c r="I5239" s="178"/>
      <c r="J5239" s="178"/>
      <c r="K5239" s="178"/>
      <c r="L5239" s="178"/>
      <c r="M5239" s="177"/>
      <c r="N5239" s="178">
        <f>E5239*F5239</f>
        <v>553.70499999999993</v>
      </c>
      <c r="O5239" s="178"/>
      <c r="P5239" s="224"/>
      <c r="Q5239" s="224"/>
      <c r="R5239" s="224"/>
      <c r="S5239" s="224"/>
    </row>
    <row r="5240" spans="1:19" s="235" customFormat="1" x14ac:dyDescent="0.35">
      <c r="A5240" s="229"/>
      <c r="B5240" s="230" t="s">
        <v>1908</v>
      </c>
      <c r="C5240" s="177"/>
      <c r="D5240" s="177"/>
      <c r="E5240" s="178">
        <v>64.010000000000005</v>
      </c>
      <c r="F5240" s="178">
        <v>7.3</v>
      </c>
      <c r="G5240" s="178"/>
      <c r="H5240" s="178">
        <v>0.3</v>
      </c>
      <c r="I5240" s="178"/>
      <c r="J5240" s="178"/>
      <c r="K5240" s="178"/>
      <c r="L5240" s="178"/>
      <c r="M5240" s="177"/>
      <c r="N5240" s="178">
        <f>E5240*F5240</f>
        <v>467.27300000000002</v>
      </c>
      <c r="O5240" s="178"/>
      <c r="P5240" s="224"/>
      <c r="Q5240" s="224"/>
      <c r="R5240" s="224"/>
      <c r="S5240" s="224"/>
    </row>
    <row r="5241" spans="1:19" s="235" customFormat="1" x14ac:dyDescent="0.35">
      <c r="A5241" s="229"/>
      <c r="B5241" s="230" t="s">
        <v>1909</v>
      </c>
      <c r="C5241" s="177"/>
      <c r="D5241" s="177"/>
      <c r="E5241" s="178">
        <v>53.13</v>
      </c>
      <c r="F5241" s="178">
        <v>7.3</v>
      </c>
      <c r="G5241" s="178"/>
      <c r="H5241" s="178">
        <v>0.3</v>
      </c>
      <c r="I5241" s="178"/>
      <c r="J5241" s="178"/>
      <c r="K5241" s="178"/>
      <c r="L5241" s="178"/>
      <c r="M5241" s="177"/>
      <c r="N5241" s="178">
        <f>E5241*F5241</f>
        <v>387.84899999999999</v>
      </c>
      <c r="O5241" s="178"/>
      <c r="P5241" s="224"/>
      <c r="Q5241" s="224"/>
      <c r="R5241" s="224"/>
      <c r="S5241" s="224"/>
    </row>
    <row r="5242" spans="1:19" s="235" customFormat="1" x14ac:dyDescent="0.35">
      <c r="A5242" s="229"/>
      <c r="B5242" s="230"/>
      <c r="C5242" s="177"/>
      <c r="D5242" s="177"/>
      <c r="E5242" s="178"/>
      <c r="F5242" s="178"/>
      <c r="G5242" s="178"/>
      <c r="H5242" s="178"/>
      <c r="I5242" s="178"/>
      <c r="J5242" s="178"/>
      <c r="K5242" s="178"/>
      <c r="L5242" s="178"/>
      <c r="M5242" s="177"/>
      <c r="N5242" s="178"/>
      <c r="O5242" s="178"/>
      <c r="P5242" s="224"/>
      <c r="Q5242" s="224"/>
      <c r="R5242" s="224"/>
      <c r="S5242" s="224"/>
    </row>
    <row r="5243" spans="1:19" s="235" customFormat="1" x14ac:dyDescent="0.35">
      <c r="A5243" s="238"/>
      <c r="B5243" s="232" t="s">
        <v>5</v>
      </c>
      <c r="C5243" s="182" t="s">
        <v>1328</v>
      </c>
      <c r="D5243" s="178"/>
      <c r="E5243" s="182"/>
      <c r="F5243" s="182"/>
      <c r="G5243" s="182"/>
      <c r="H5243" s="182"/>
      <c r="I5243" s="182"/>
      <c r="J5243" s="182"/>
      <c r="K5243" s="182"/>
      <c r="L5243" s="182"/>
      <c r="M5243" s="182"/>
      <c r="N5243" s="182">
        <f>ROUND(SUM(N5237:N5242),2)</f>
        <v>5667.79</v>
      </c>
      <c r="O5243" s="182"/>
      <c r="P5243" s="224"/>
      <c r="Q5243" s="224"/>
      <c r="R5243" s="224"/>
      <c r="S5243" s="224"/>
    </row>
    <row r="5244" spans="1:19" s="235" customFormat="1" ht="52.5" x14ac:dyDescent="0.35">
      <c r="A5244" s="226" t="str">
        <f>ORÇAMENTO!A957</f>
        <v>7.5.1.2</v>
      </c>
      <c r="B5244" s="227" t="str">
        <f>VLOOKUP(A5244,ORÇAMENTO!A:K,4,0)</f>
        <v>CARGA, MANOBRA E DESCARGA DE ENTULHO EM CAMINHÃO BASCULANTE 14 M³ - CARGA COM ESCAVADEIRA HIDRÁULICA  (CAÇAMBA DE 0,80 M³ / 111 HP) E DESCARGA LIVRE (UNIDADE: M3). AF_07/2020</v>
      </c>
      <c r="C5244" s="173" t="str">
        <f>VLOOKUP(A5244,ORÇAMENTO!A:K,5,0)</f>
        <v>M³</v>
      </c>
      <c r="D5244" s="173">
        <f>SUM(E5252:O5252)</f>
        <v>1700.34</v>
      </c>
      <c r="E5244" s="173" t="s">
        <v>1718</v>
      </c>
      <c r="F5244" s="173" t="s">
        <v>1719</v>
      </c>
      <c r="G5244" s="173" t="s">
        <v>1720</v>
      </c>
      <c r="H5244" s="173" t="s">
        <v>1721</v>
      </c>
      <c r="I5244" s="173" t="s">
        <v>1722</v>
      </c>
      <c r="J5244" s="173" t="s">
        <v>1723</v>
      </c>
      <c r="K5244" s="173" t="s">
        <v>1724</v>
      </c>
      <c r="L5244" s="173" t="s">
        <v>1726</v>
      </c>
      <c r="M5244" s="207" t="s">
        <v>1750</v>
      </c>
      <c r="N5244" s="173" t="s">
        <v>1727</v>
      </c>
      <c r="O5244" s="173" t="s">
        <v>1728</v>
      </c>
      <c r="P5244" s="224"/>
      <c r="Q5244" s="224"/>
      <c r="R5244" s="224"/>
      <c r="S5244" s="224"/>
    </row>
    <row r="5245" spans="1:19" s="235" customFormat="1" x14ac:dyDescent="0.35">
      <c r="A5245" s="229"/>
      <c r="B5245" s="232"/>
      <c r="C5245" s="177"/>
      <c r="D5245" s="177"/>
      <c r="E5245" s="177"/>
      <c r="F5245" s="177"/>
      <c r="G5245" s="177"/>
      <c r="H5245" s="177"/>
      <c r="I5245" s="177"/>
      <c r="J5245" s="177"/>
      <c r="K5245" s="177"/>
      <c r="L5245" s="177"/>
      <c r="M5245" s="177"/>
      <c r="N5245" s="177"/>
      <c r="O5245" s="177"/>
      <c r="P5245" s="224"/>
      <c r="Q5245" s="224"/>
      <c r="R5245" s="224"/>
      <c r="S5245" s="224"/>
    </row>
    <row r="5246" spans="1:19" s="235" customFormat="1" x14ac:dyDescent="0.35">
      <c r="A5246" s="229"/>
      <c r="B5246" s="230" t="str">
        <f>B5237</f>
        <v>VIA 4 - ESTACA 16+7,98 A 41+12,55</v>
      </c>
      <c r="C5246" s="177"/>
      <c r="D5246" s="177"/>
      <c r="E5246" s="177"/>
      <c r="F5246" s="177"/>
      <c r="G5246" s="177"/>
      <c r="H5246" s="178">
        <f>H5237</f>
        <v>0.3</v>
      </c>
      <c r="I5246" s="178"/>
      <c r="J5246" s="178"/>
      <c r="K5246" s="178"/>
      <c r="L5246" s="178"/>
      <c r="M5246" s="178"/>
      <c r="N5246" s="178">
        <f>N5237</f>
        <v>3683.3609999999999</v>
      </c>
      <c r="O5246" s="178">
        <f>H5246*N5246</f>
        <v>1105.0083</v>
      </c>
      <c r="P5246" s="224"/>
      <c r="Q5246" s="224"/>
      <c r="R5246" s="224"/>
      <c r="S5246" s="224"/>
    </row>
    <row r="5247" spans="1:19" s="235" customFormat="1" x14ac:dyDescent="0.35">
      <c r="A5247" s="229"/>
      <c r="B5247" s="230" t="str">
        <f>B5238</f>
        <v>VIA 5 - ESTACA 0+0,00 A 3+18,85</v>
      </c>
      <c r="C5247" s="177"/>
      <c r="D5247" s="177"/>
      <c r="E5247" s="177"/>
      <c r="F5247" s="177"/>
      <c r="G5247" s="177"/>
      <c r="H5247" s="178">
        <f>H5238</f>
        <v>0.3</v>
      </c>
      <c r="I5247" s="178"/>
      <c r="J5247" s="178"/>
      <c r="K5247" s="178"/>
      <c r="L5247" s="178"/>
      <c r="M5247" s="178"/>
      <c r="N5247" s="178">
        <f>N5238</f>
        <v>575.6049999999999</v>
      </c>
      <c r="O5247" s="178">
        <f>H5247*N5247</f>
        <v>172.68149999999997</v>
      </c>
      <c r="P5247" s="224"/>
      <c r="Q5247" s="224"/>
      <c r="R5247" s="224"/>
      <c r="S5247" s="224"/>
    </row>
    <row r="5248" spans="1:19" s="235" customFormat="1" x14ac:dyDescent="0.35">
      <c r="A5248" s="229"/>
      <c r="B5248" s="230" t="str">
        <f>B5239</f>
        <v>VIA 6 - ESTACA 0+0,00 A 3+15,85</v>
      </c>
      <c r="C5248" s="177"/>
      <c r="D5248" s="177"/>
      <c r="E5248" s="177"/>
      <c r="F5248" s="177"/>
      <c r="G5248" s="177"/>
      <c r="H5248" s="178">
        <f>H5239</f>
        <v>0.3</v>
      </c>
      <c r="I5248" s="178"/>
      <c r="J5248" s="178"/>
      <c r="K5248" s="178"/>
      <c r="L5248" s="178"/>
      <c r="M5248" s="178"/>
      <c r="N5248" s="178">
        <f>N5239</f>
        <v>553.70499999999993</v>
      </c>
      <c r="O5248" s="178">
        <f>H5248*N5248</f>
        <v>166.11149999999998</v>
      </c>
      <c r="P5248" s="224"/>
      <c r="Q5248" s="224"/>
      <c r="R5248" s="224"/>
      <c r="S5248" s="224"/>
    </row>
    <row r="5249" spans="1:19" s="235" customFormat="1" x14ac:dyDescent="0.35">
      <c r="A5249" s="229"/>
      <c r="B5249" s="230" t="str">
        <f>B5240</f>
        <v>VIA 7 - ESTACA 0+0,00 A 3+4,01</v>
      </c>
      <c r="C5249" s="177"/>
      <c r="D5249" s="177"/>
      <c r="E5249" s="177"/>
      <c r="F5249" s="177"/>
      <c r="G5249" s="177"/>
      <c r="H5249" s="178">
        <f>H5240</f>
        <v>0.3</v>
      </c>
      <c r="I5249" s="178"/>
      <c r="J5249" s="178"/>
      <c r="K5249" s="178"/>
      <c r="L5249" s="178"/>
      <c r="M5249" s="178"/>
      <c r="N5249" s="178">
        <f>N5240</f>
        <v>467.27300000000002</v>
      </c>
      <c r="O5249" s="178">
        <f>H5249*N5249</f>
        <v>140.18190000000001</v>
      </c>
      <c r="P5249" s="224"/>
      <c r="Q5249" s="224"/>
      <c r="R5249" s="224"/>
      <c r="S5249" s="224"/>
    </row>
    <row r="5250" spans="1:19" s="235" customFormat="1" x14ac:dyDescent="0.35">
      <c r="A5250" s="229"/>
      <c r="B5250" s="230" t="str">
        <f>B5241</f>
        <v>VIA 8 - ESTACA 0+0,00 A 2+13,13</v>
      </c>
      <c r="C5250" s="177"/>
      <c r="D5250" s="177"/>
      <c r="E5250" s="177"/>
      <c r="F5250" s="177"/>
      <c r="G5250" s="177"/>
      <c r="H5250" s="178">
        <f>H5241</f>
        <v>0.3</v>
      </c>
      <c r="I5250" s="178"/>
      <c r="J5250" s="178"/>
      <c r="K5250" s="178"/>
      <c r="L5250" s="178"/>
      <c r="M5250" s="178"/>
      <c r="N5250" s="178">
        <f>N5241</f>
        <v>387.84899999999999</v>
      </c>
      <c r="O5250" s="178">
        <f>H5250*N5250</f>
        <v>116.35469999999999</v>
      </c>
      <c r="P5250" s="224"/>
      <c r="Q5250" s="224"/>
      <c r="R5250" s="224"/>
      <c r="S5250" s="224"/>
    </row>
    <row r="5251" spans="1:19" s="235" customFormat="1" x14ac:dyDescent="0.35">
      <c r="A5251" s="229"/>
      <c r="B5251" s="230"/>
      <c r="C5251" s="177"/>
      <c r="D5251" s="177"/>
      <c r="E5251" s="177"/>
      <c r="F5251" s="177"/>
      <c r="G5251" s="177"/>
      <c r="H5251" s="177"/>
      <c r="I5251" s="177"/>
      <c r="J5251" s="177"/>
      <c r="K5251" s="177"/>
      <c r="L5251" s="177"/>
      <c r="M5251" s="177"/>
      <c r="N5251" s="177"/>
      <c r="O5251" s="177"/>
      <c r="P5251" s="224"/>
      <c r="Q5251" s="224"/>
      <c r="R5251" s="224"/>
      <c r="S5251" s="224"/>
    </row>
    <row r="5252" spans="1:19" s="235" customFormat="1" x14ac:dyDescent="0.35">
      <c r="A5252" s="238"/>
      <c r="B5252" s="232" t="s">
        <v>5</v>
      </c>
      <c r="C5252" s="182" t="s">
        <v>1328</v>
      </c>
      <c r="D5252" s="182"/>
      <c r="E5252" s="182"/>
      <c r="F5252" s="182"/>
      <c r="G5252" s="182"/>
      <c r="H5252" s="182"/>
      <c r="I5252" s="182"/>
      <c r="J5252" s="182"/>
      <c r="K5252" s="182"/>
      <c r="L5252" s="177"/>
      <c r="M5252" s="182"/>
      <c r="N5252" s="182"/>
      <c r="O5252" s="182">
        <f>ROUND(SUM(O5246:O5251),2)</f>
        <v>1700.34</v>
      </c>
      <c r="P5252" s="224"/>
      <c r="Q5252" s="224"/>
      <c r="R5252" s="224"/>
      <c r="S5252" s="224"/>
    </row>
    <row r="5253" spans="1:19" s="235" customFormat="1" ht="31.5" x14ac:dyDescent="0.35">
      <c r="A5253" s="226" t="str">
        <f>ORÇAMENTO!A958</f>
        <v>7.5.1.3</v>
      </c>
      <c r="B5253" s="227" t="str">
        <f>VLOOKUP(A5253,ORÇAMENTO!A:K,4,0)</f>
        <v>TRANSPORTE COM CAMINHÃO BASCULANTE DE 14 M³, EM VIA URBANA PAVIMENTADA, DMT ATÉ 30 KM (UNIDADE: M3XKM). AF_07/2020</v>
      </c>
      <c r="C5253" s="173" t="str">
        <f>VLOOKUP(A5253,ORÇAMENTO!A:K,5,0)</f>
        <v>M3XKM</v>
      </c>
      <c r="D5253" s="207">
        <f>SUM(E5262:O5262)</f>
        <v>51010.14</v>
      </c>
      <c r="E5253" s="207" t="s">
        <v>1749</v>
      </c>
      <c r="F5253" s="207" t="s">
        <v>1849</v>
      </c>
      <c r="G5253" s="207" t="s">
        <v>1850</v>
      </c>
      <c r="H5253" s="207" t="s">
        <v>1851</v>
      </c>
      <c r="I5253" s="207" t="s">
        <v>1722</v>
      </c>
      <c r="J5253" s="207" t="s">
        <v>1723</v>
      </c>
      <c r="K5253" s="207" t="s">
        <v>1724</v>
      </c>
      <c r="L5253" s="207" t="s">
        <v>1726</v>
      </c>
      <c r="M5253" s="207" t="s">
        <v>1750</v>
      </c>
      <c r="N5253" s="207" t="s">
        <v>1727</v>
      </c>
      <c r="O5253" s="207" t="s">
        <v>1728</v>
      </c>
      <c r="P5253" s="224"/>
      <c r="Q5253" s="224"/>
      <c r="R5253" s="224"/>
      <c r="S5253" s="224"/>
    </row>
    <row r="5254" spans="1:19" s="235" customFormat="1" x14ac:dyDescent="0.35">
      <c r="A5254" s="248"/>
      <c r="B5254" s="232" t="s">
        <v>1899</v>
      </c>
      <c r="C5254" s="177"/>
      <c r="D5254" s="178"/>
      <c r="E5254" s="178">
        <v>30</v>
      </c>
      <c r="F5254" s="249"/>
      <c r="G5254" s="249"/>
      <c r="H5254" s="249"/>
      <c r="I5254" s="249"/>
      <c r="J5254" s="249"/>
      <c r="K5254" s="249"/>
      <c r="L5254" s="249"/>
      <c r="M5254" s="249"/>
      <c r="N5254" s="249"/>
      <c r="O5254" s="249"/>
      <c r="P5254" s="224"/>
      <c r="Q5254" s="224"/>
      <c r="R5254" s="224"/>
      <c r="S5254" s="224"/>
    </row>
    <row r="5255" spans="1:19" s="237" customFormat="1" x14ac:dyDescent="0.35">
      <c r="A5255" s="229"/>
      <c r="B5255" s="230"/>
      <c r="C5255" s="178"/>
      <c r="D5255" s="178"/>
      <c r="E5255" s="178"/>
      <c r="F5255" s="178"/>
      <c r="G5255" s="178"/>
      <c r="H5255" s="178"/>
      <c r="I5255" s="178"/>
      <c r="J5255" s="178"/>
      <c r="K5255" s="178"/>
      <c r="L5255" s="214"/>
      <c r="M5255" s="178"/>
      <c r="N5255" s="178"/>
      <c r="O5255" s="178"/>
      <c r="P5255" s="236"/>
      <c r="Q5255" s="236"/>
      <c r="R5255" s="236"/>
      <c r="S5255" s="236"/>
    </row>
    <row r="5256" spans="1:19" s="237" customFormat="1" x14ac:dyDescent="0.35">
      <c r="A5256" s="229"/>
      <c r="B5256" s="230" t="str">
        <f>B5246</f>
        <v>VIA 4 - ESTACA 16+7,98 A 41+12,55</v>
      </c>
      <c r="C5256" s="178"/>
      <c r="D5256" s="178"/>
      <c r="E5256" s="178"/>
      <c r="F5256" s="178"/>
      <c r="G5256" s="178"/>
      <c r="H5256" s="178"/>
      <c r="I5256" s="178"/>
      <c r="J5256" s="178"/>
      <c r="K5256" s="178"/>
      <c r="L5256" s="214"/>
      <c r="M5256" s="178">
        <f>$E$5254*O5256</f>
        <v>33150.248999999996</v>
      </c>
      <c r="N5256" s="178"/>
      <c r="O5256" s="178">
        <f>O5246</f>
        <v>1105.0083</v>
      </c>
      <c r="P5256" s="236"/>
      <c r="Q5256" s="236"/>
      <c r="R5256" s="236"/>
      <c r="S5256" s="236"/>
    </row>
    <row r="5257" spans="1:19" s="237" customFormat="1" x14ac:dyDescent="0.35">
      <c r="A5257" s="229"/>
      <c r="B5257" s="230" t="str">
        <f>B5247</f>
        <v>VIA 5 - ESTACA 0+0,00 A 3+18,85</v>
      </c>
      <c r="C5257" s="178"/>
      <c r="D5257" s="178"/>
      <c r="E5257" s="178"/>
      <c r="F5257" s="178"/>
      <c r="G5257" s="178"/>
      <c r="H5257" s="178"/>
      <c r="I5257" s="178"/>
      <c r="J5257" s="178"/>
      <c r="K5257" s="178"/>
      <c r="L5257" s="214"/>
      <c r="M5257" s="178">
        <f>$E$5254*O5257</f>
        <v>5180.4449999999988</v>
      </c>
      <c r="N5257" s="178"/>
      <c r="O5257" s="178">
        <f>O5247</f>
        <v>172.68149999999997</v>
      </c>
      <c r="P5257" s="236"/>
      <c r="Q5257" s="236"/>
      <c r="R5257" s="236"/>
      <c r="S5257" s="236"/>
    </row>
    <row r="5258" spans="1:19" s="237" customFormat="1" x14ac:dyDescent="0.35">
      <c r="A5258" s="229"/>
      <c r="B5258" s="230" t="str">
        <f>B5248</f>
        <v>VIA 6 - ESTACA 0+0,00 A 3+15,85</v>
      </c>
      <c r="C5258" s="178"/>
      <c r="D5258" s="178"/>
      <c r="E5258" s="178"/>
      <c r="F5258" s="178"/>
      <c r="G5258" s="178"/>
      <c r="H5258" s="178"/>
      <c r="I5258" s="178"/>
      <c r="J5258" s="178"/>
      <c r="K5258" s="178"/>
      <c r="L5258" s="214"/>
      <c r="M5258" s="178">
        <f>$E$5254*O5258</f>
        <v>4983.3449999999993</v>
      </c>
      <c r="N5258" s="178"/>
      <c r="O5258" s="178">
        <f>O5248</f>
        <v>166.11149999999998</v>
      </c>
      <c r="P5258" s="236"/>
      <c r="Q5258" s="236"/>
      <c r="R5258" s="236"/>
      <c r="S5258" s="236"/>
    </row>
    <row r="5259" spans="1:19" s="237" customFormat="1" x14ac:dyDescent="0.35">
      <c r="A5259" s="229"/>
      <c r="B5259" s="230" t="str">
        <f>B5249</f>
        <v>VIA 7 - ESTACA 0+0,00 A 3+4,01</v>
      </c>
      <c r="C5259" s="178"/>
      <c r="D5259" s="178"/>
      <c r="E5259" s="178"/>
      <c r="F5259" s="178"/>
      <c r="G5259" s="178"/>
      <c r="H5259" s="178"/>
      <c r="I5259" s="178"/>
      <c r="J5259" s="178"/>
      <c r="K5259" s="178"/>
      <c r="L5259" s="214"/>
      <c r="M5259" s="178">
        <f>$E$5254*O5259</f>
        <v>4205.4570000000003</v>
      </c>
      <c r="N5259" s="178"/>
      <c r="O5259" s="178">
        <f>O5249</f>
        <v>140.18190000000001</v>
      </c>
      <c r="P5259" s="236"/>
      <c r="Q5259" s="236"/>
      <c r="R5259" s="236"/>
      <c r="S5259" s="236"/>
    </row>
    <row r="5260" spans="1:19" s="237" customFormat="1" x14ac:dyDescent="0.35">
      <c r="A5260" s="229"/>
      <c r="B5260" s="230" t="str">
        <f>B5250</f>
        <v>VIA 8 - ESTACA 0+0,00 A 2+13,13</v>
      </c>
      <c r="C5260" s="178"/>
      <c r="D5260" s="178"/>
      <c r="E5260" s="178"/>
      <c r="F5260" s="178"/>
      <c r="G5260" s="178"/>
      <c r="H5260" s="178"/>
      <c r="I5260" s="178"/>
      <c r="J5260" s="178"/>
      <c r="K5260" s="178"/>
      <c r="L5260" s="214"/>
      <c r="M5260" s="178">
        <f>$E$5254*O5260</f>
        <v>3490.6409999999996</v>
      </c>
      <c r="N5260" s="178"/>
      <c r="O5260" s="178">
        <f>O5250</f>
        <v>116.35469999999999</v>
      </c>
      <c r="P5260" s="236"/>
      <c r="Q5260" s="236"/>
      <c r="R5260" s="236"/>
      <c r="S5260" s="236"/>
    </row>
    <row r="5261" spans="1:19" s="237" customFormat="1" x14ac:dyDescent="0.35">
      <c r="A5261" s="229"/>
      <c r="B5261" s="230"/>
      <c r="C5261" s="178"/>
      <c r="D5261" s="178"/>
      <c r="E5261" s="178"/>
      <c r="F5261" s="178"/>
      <c r="G5261" s="178"/>
      <c r="H5261" s="178"/>
      <c r="I5261" s="178"/>
      <c r="J5261" s="178"/>
      <c r="K5261" s="178"/>
      <c r="L5261" s="214"/>
      <c r="M5261" s="178"/>
      <c r="N5261" s="178"/>
      <c r="O5261" s="178"/>
      <c r="P5261" s="236"/>
      <c r="Q5261" s="236"/>
      <c r="R5261" s="236"/>
      <c r="S5261" s="236"/>
    </row>
    <row r="5262" spans="1:19" s="235" customFormat="1" x14ac:dyDescent="0.35">
      <c r="A5262" s="238"/>
      <c r="B5262" s="232" t="s">
        <v>5</v>
      </c>
      <c r="C5262" s="182" t="s">
        <v>1328</v>
      </c>
      <c r="D5262" s="182"/>
      <c r="E5262" s="182"/>
      <c r="F5262" s="182"/>
      <c r="G5262" s="182">
        <f>SUM(G5255:G5261)</f>
        <v>0</v>
      </c>
      <c r="H5262" s="182"/>
      <c r="I5262" s="182"/>
      <c r="J5262" s="182"/>
      <c r="K5262" s="182"/>
      <c r="L5262" s="182"/>
      <c r="M5262" s="182">
        <f>ROUND(SUM(M5256:M5261),2)</f>
        <v>51010.14</v>
      </c>
      <c r="N5262" s="182"/>
      <c r="O5262" s="182"/>
      <c r="P5262" s="224"/>
      <c r="Q5262" s="224"/>
      <c r="R5262" s="224"/>
      <c r="S5262" s="224"/>
    </row>
    <row r="5263" spans="1:19" s="235" customFormat="1" ht="42" x14ac:dyDescent="0.35">
      <c r="A5263" s="226" t="str">
        <f>ORÇAMENTO!A959</f>
        <v>7.5.1.4</v>
      </c>
      <c r="B5263" s="227" t="str">
        <f>VLOOKUP(A5263,ORÇAMENTO!A:K,4,0)</f>
        <v>TRANSPORTE COM CAMINHÃO BASCULANTE DE 14 M³, EM VIA URBANA PAVIMENTADA, ADICIONAL PARA DMT EXCEDENTE A 30 KM (UNIDADE: M3XKM). AF_07/2020</v>
      </c>
      <c r="C5263" s="173" t="str">
        <f>VLOOKUP(A5263,ORÇAMENTO!A:K,5,0)</f>
        <v>M3XKM</v>
      </c>
      <c r="D5263" s="173">
        <f>SUM(E5272:O5272)</f>
        <v>76175.14</v>
      </c>
      <c r="E5263" s="173" t="s">
        <v>1752</v>
      </c>
      <c r="F5263" s="173" t="s">
        <v>1719</v>
      </c>
      <c r="G5263" s="173" t="s">
        <v>1720</v>
      </c>
      <c r="H5263" s="173" t="s">
        <v>1721</v>
      </c>
      <c r="I5263" s="173" t="s">
        <v>1722</v>
      </c>
      <c r="J5263" s="173" t="s">
        <v>1723</v>
      </c>
      <c r="K5263" s="173" t="s">
        <v>1746</v>
      </c>
      <c r="L5263" s="173" t="s">
        <v>1753</v>
      </c>
      <c r="M5263" s="173" t="s">
        <v>1750</v>
      </c>
      <c r="N5263" s="173" t="s">
        <v>1727</v>
      </c>
      <c r="O5263" s="173" t="s">
        <v>1728</v>
      </c>
      <c r="P5263" s="224"/>
      <c r="Q5263" s="224"/>
      <c r="R5263" s="224"/>
      <c r="S5263" s="224"/>
    </row>
    <row r="5264" spans="1:19" s="225" customFormat="1" ht="10.5" x14ac:dyDescent="0.25">
      <c r="A5264" s="229"/>
      <c r="B5264" s="232" t="str">
        <f>B5254</f>
        <v>TRANSPORTE ATÉ ATERRO SAMAMBAIA - D=75KM</v>
      </c>
      <c r="C5264" s="177"/>
      <c r="D5264" s="178"/>
      <c r="E5264" s="178">
        <f>74.8-E5254</f>
        <v>44.8</v>
      </c>
      <c r="F5264" s="178"/>
      <c r="G5264" s="178"/>
      <c r="H5264" s="178"/>
      <c r="I5264" s="178"/>
      <c r="J5264" s="178"/>
      <c r="K5264" s="178"/>
      <c r="L5264" s="190"/>
      <c r="M5264" s="178"/>
      <c r="N5264" s="178"/>
      <c r="O5264" s="178"/>
      <c r="P5264" s="231"/>
      <c r="Q5264" s="224"/>
    </row>
    <row r="5265" spans="1:19" s="237" customFormat="1" x14ac:dyDescent="0.35">
      <c r="A5265" s="229"/>
      <c r="B5265" s="230"/>
      <c r="C5265" s="178"/>
      <c r="D5265" s="178"/>
      <c r="E5265" s="178"/>
      <c r="F5265" s="178"/>
      <c r="G5265" s="178"/>
      <c r="H5265" s="178"/>
      <c r="I5265" s="178"/>
      <c r="J5265" s="178"/>
      <c r="K5265" s="178"/>
      <c r="L5265" s="214"/>
      <c r="M5265" s="178"/>
      <c r="N5265" s="178"/>
      <c r="O5265" s="178"/>
      <c r="P5265" s="236"/>
      <c r="Q5265" s="236"/>
      <c r="R5265" s="236"/>
      <c r="S5265" s="236"/>
    </row>
    <row r="5266" spans="1:19" s="237" customFormat="1" x14ac:dyDescent="0.35">
      <c r="A5266" s="229"/>
      <c r="B5266" s="230" t="str">
        <f>B5256</f>
        <v>VIA 4 - ESTACA 16+7,98 A 41+12,55</v>
      </c>
      <c r="C5266" s="178"/>
      <c r="D5266" s="178"/>
      <c r="E5266" s="178"/>
      <c r="F5266" s="178"/>
      <c r="G5266" s="178"/>
      <c r="H5266" s="178"/>
      <c r="I5266" s="178"/>
      <c r="J5266" s="178"/>
      <c r="K5266" s="178"/>
      <c r="L5266" s="214"/>
      <c r="M5266" s="178">
        <f>$E$5264*O5266</f>
        <v>49504.371839999993</v>
      </c>
      <c r="N5266" s="178"/>
      <c r="O5266" s="178">
        <f>O5256</f>
        <v>1105.0083</v>
      </c>
      <c r="P5266" s="236"/>
      <c r="Q5266" s="236"/>
      <c r="R5266" s="236"/>
      <c r="S5266" s="236"/>
    </row>
    <row r="5267" spans="1:19" s="237" customFormat="1" x14ac:dyDescent="0.35">
      <c r="A5267" s="229"/>
      <c r="B5267" s="230" t="str">
        <f>B5257</f>
        <v>VIA 5 - ESTACA 0+0,00 A 3+18,85</v>
      </c>
      <c r="C5267" s="178"/>
      <c r="D5267" s="178"/>
      <c r="E5267" s="178"/>
      <c r="F5267" s="178"/>
      <c r="G5267" s="178"/>
      <c r="H5267" s="178"/>
      <c r="I5267" s="178"/>
      <c r="J5267" s="178"/>
      <c r="K5267" s="178"/>
      <c r="L5267" s="214"/>
      <c r="M5267" s="178">
        <f>$E$5264*O5267</f>
        <v>7736.131199999998</v>
      </c>
      <c r="N5267" s="178"/>
      <c r="O5267" s="178">
        <f>O5257</f>
        <v>172.68149999999997</v>
      </c>
      <c r="P5267" s="236"/>
      <c r="Q5267" s="236"/>
      <c r="R5267" s="236"/>
      <c r="S5267" s="236"/>
    </row>
    <row r="5268" spans="1:19" s="237" customFormat="1" x14ac:dyDescent="0.35">
      <c r="A5268" s="229"/>
      <c r="B5268" s="230" t="str">
        <f>B5258</f>
        <v>VIA 6 - ESTACA 0+0,00 A 3+15,85</v>
      </c>
      <c r="C5268" s="178"/>
      <c r="D5268" s="178"/>
      <c r="E5268" s="178"/>
      <c r="F5268" s="178"/>
      <c r="G5268" s="178"/>
      <c r="H5268" s="178"/>
      <c r="I5268" s="178"/>
      <c r="J5268" s="178"/>
      <c r="K5268" s="178"/>
      <c r="L5268" s="214"/>
      <c r="M5268" s="178">
        <f>$E$5264*O5268</f>
        <v>7441.7951999999987</v>
      </c>
      <c r="N5268" s="178"/>
      <c r="O5268" s="178">
        <f>O5258</f>
        <v>166.11149999999998</v>
      </c>
      <c r="P5268" s="236"/>
      <c r="Q5268" s="236"/>
      <c r="R5268" s="236"/>
      <c r="S5268" s="236"/>
    </row>
    <row r="5269" spans="1:19" s="237" customFormat="1" x14ac:dyDescent="0.35">
      <c r="A5269" s="229"/>
      <c r="B5269" s="230" t="str">
        <f>B5259</f>
        <v>VIA 7 - ESTACA 0+0,00 A 3+4,01</v>
      </c>
      <c r="C5269" s="178"/>
      <c r="D5269" s="178"/>
      <c r="E5269" s="178"/>
      <c r="F5269" s="178"/>
      <c r="G5269" s="178"/>
      <c r="H5269" s="178"/>
      <c r="I5269" s="178"/>
      <c r="J5269" s="178"/>
      <c r="K5269" s="178"/>
      <c r="L5269" s="214"/>
      <c r="M5269" s="178">
        <f>$E$5264*O5269</f>
        <v>6280.14912</v>
      </c>
      <c r="N5269" s="178"/>
      <c r="O5269" s="178">
        <f>O5259</f>
        <v>140.18190000000001</v>
      </c>
      <c r="P5269" s="236"/>
      <c r="Q5269" s="236"/>
      <c r="R5269" s="236"/>
      <c r="S5269" s="236"/>
    </row>
    <row r="5270" spans="1:19" s="237" customFormat="1" x14ac:dyDescent="0.35">
      <c r="A5270" s="229"/>
      <c r="B5270" s="230" t="str">
        <f>B5260</f>
        <v>VIA 8 - ESTACA 0+0,00 A 2+13,13</v>
      </c>
      <c r="C5270" s="178"/>
      <c r="D5270" s="178"/>
      <c r="E5270" s="178"/>
      <c r="F5270" s="178"/>
      <c r="G5270" s="178"/>
      <c r="H5270" s="178"/>
      <c r="I5270" s="178"/>
      <c r="J5270" s="178"/>
      <c r="K5270" s="178"/>
      <c r="L5270" s="214"/>
      <c r="M5270" s="178">
        <f>$E$5264*O5270</f>
        <v>5212.6905599999991</v>
      </c>
      <c r="N5270" s="178"/>
      <c r="O5270" s="178">
        <f>O5260</f>
        <v>116.35469999999999</v>
      </c>
      <c r="P5270" s="236"/>
      <c r="Q5270" s="236"/>
      <c r="R5270" s="236"/>
      <c r="S5270" s="236"/>
    </row>
    <row r="5271" spans="1:19" s="237" customFormat="1" x14ac:dyDescent="0.35">
      <c r="A5271" s="229"/>
      <c r="B5271" s="230"/>
      <c r="C5271" s="178"/>
      <c r="D5271" s="178"/>
      <c r="E5271" s="178"/>
      <c r="F5271" s="178"/>
      <c r="G5271" s="178"/>
      <c r="H5271" s="178"/>
      <c r="I5271" s="178"/>
      <c r="J5271" s="178"/>
      <c r="K5271" s="178"/>
      <c r="L5271" s="214"/>
      <c r="M5271" s="178"/>
      <c r="N5271" s="178"/>
      <c r="O5271" s="178"/>
      <c r="P5271" s="236"/>
      <c r="Q5271" s="236"/>
      <c r="R5271" s="236"/>
      <c r="S5271" s="236"/>
    </row>
    <row r="5272" spans="1:19" s="225" customFormat="1" ht="10.5" x14ac:dyDescent="0.25">
      <c r="A5272" s="229"/>
      <c r="B5272" s="232" t="s">
        <v>5</v>
      </c>
      <c r="C5272" s="182" t="s">
        <v>1328</v>
      </c>
      <c r="D5272" s="182"/>
      <c r="E5272" s="182"/>
      <c r="F5272" s="182"/>
      <c r="G5272" s="182"/>
      <c r="H5272" s="182"/>
      <c r="I5272" s="182"/>
      <c r="J5272" s="182"/>
      <c r="K5272" s="182"/>
      <c r="L5272" s="182"/>
      <c r="M5272" s="182">
        <f>ROUND(SUM(M5266:M5271),2)</f>
        <v>76175.14</v>
      </c>
      <c r="N5272" s="182"/>
      <c r="O5272" s="182"/>
      <c r="P5272" s="233"/>
      <c r="Q5272" s="224"/>
    </row>
    <row r="5273" spans="1:19" s="235" customFormat="1" ht="21" x14ac:dyDescent="0.35">
      <c r="A5273" s="226" t="str">
        <f>ORÇAMENTO!A960</f>
        <v>7.5.1.5</v>
      </c>
      <c r="B5273" s="227" t="str">
        <f>VLOOKUP(A5273,ORÇAMENTO!A:K,4,0)</f>
        <v>ESPALHAMENTO DE MATERIAL COM TRATOR DE ESTEIRAS. AF_09/2024</v>
      </c>
      <c r="C5273" s="173" t="str">
        <f>VLOOKUP(A5273,ORÇAMENTO!A:K,5,0)</f>
        <v>M³</v>
      </c>
      <c r="D5273" s="173">
        <f>SUM(E5281:O5281)</f>
        <v>1700.34</v>
      </c>
      <c r="E5273" s="173" t="s">
        <v>1752</v>
      </c>
      <c r="F5273" s="173" t="s">
        <v>1719</v>
      </c>
      <c r="G5273" s="173" t="s">
        <v>1720</v>
      </c>
      <c r="H5273" s="173" t="s">
        <v>1721</v>
      </c>
      <c r="I5273" s="173" t="s">
        <v>1722</v>
      </c>
      <c r="J5273" s="173" t="s">
        <v>1723</v>
      </c>
      <c r="K5273" s="173" t="s">
        <v>1746</v>
      </c>
      <c r="L5273" s="173" t="s">
        <v>1753</v>
      </c>
      <c r="M5273" s="173" t="s">
        <v>1750</v>
      </c>
      <c r="N5273" s="173" t="s">
        <v>1727</v>
      </c>
      <c r="O5273" s="173" t="s">
        <v>1728</v>
      </c>
      <c r="P5273" s="224"/>
      <c r="Q5273" s="224"/>
      <c r="R5273" s="224"/>
      <c r="S5273" s="224"/>
    </row>
    <row r="5274" spans="1:19" s="225" customFormat="1" ht="10.5" x14ac:dyDescent="0.25">
      <c r="A5274" s="229"/>
      <c r="B5274" s="232" t="s">
        <v>1775</v>
      </c>
      <c r="C5274" s="177"/>
      <c r="D5274" s="178"/>
      <c r="E5274" s="178"/>
      <c r="F5274" s="178"/>
      <c r="G5274" s="178"/>
      <c r="H5274" s="178"/>
      <c r="I5274" s="178"/>
      <c r="J5274" s="178"/>
      <c r="K5274" s="178"/>
      <c r="L5274" s="190"/>
      <c r="M5274" s="178"/>
      <c r="N5274" s="178"/>
      <c r="O5274" s="178"/>
      <c r="P5274" s="231"/>
      <c r="Q5274" s="224"/>
    </row>
    <row r="5275" spans="1:19" s="237" customFormat="1" x14ac:dyDescent="0.35">
      <c r="A5275" s="229"/>
      <c r="B5275" s="230" t="str">
        <f>B5266</f>
        <v>VIA 4 - ESTACA 16+7,98 A 41+12,55</v>
      </c>
      <c r="C5275" s="178"/>
      <c r="D5275" s="178"/>
      <c r="E5275" s="178"/>
      <c r="F5275" s="178"/>
      <c r="G5275" s="178"/>
      <c r="H5275" s="178"/>
      <c r="I5275" s="178"/>
      <c r="J5275" s="178"/>
      <c r="K5275" s="178"/>
      <c r="L5275" s="214"/>
      <c r="M5275" s="178"/>
      <c r="N5275" s="178"/>
      <c r="O5275" s="178">
        <f>O5266</f>
        <v>1105.0083</v>
      </c>
      <c r="P5275" s="236"/>
      <c r="Q5275" s="236"/>
      <c r="R5275" s="236"/>
      <c r="S5275" s="236"/>
    </row>
    <row r="5276" spans="1:19" s="237" customFormat="1" x14ac:dyDescent="0.35">
      <c r="A5276" s="229"/>
      <c r="B5276" s="230" t="str">
        <f>B5267</f>
        <v>VIA 5 - ESTACA 0+0,00 A 3+18,85</v>
      </c>
      <c r="C5276" s="178"/>
      <c r="D5276" s="178"/>
      <c r="E5276" s="178"/>
      <c r="F5276" s="178"/>
      <c r="G5276" s="178"/>
      <c r="H5276" s="178"/>
      <c r="I5276" s="178"/>
      <c r="J5276" s="178"/>
      <c r="K5276" s="178"/>
      <c r="L5276" s="214"/>
      <c r="M5276" s="178"/>
      <c r="N5276" s="178"/>
      <c r="O5276" s="178">
        <f>O5267</f>
        <v>172.68149999999997</v>
      </c>
      <c r="P5276" s="236"/>
      <c r="Q5276" s="236"/>
      <c r="R5276" s="236"/>
      <c r="S5276" s="236"/>
    </row>
    <row r="5277" spans="1:19" s="237" customFormat="1" x14ac:dyDescent="0.35">
      <c r="A5277" s="229"/>
      <c r="B5277" s="230" t="str">
        <f>B5268</f>
        <v>VIA 6 - ESTACA 0+0,00 A 3+15,85</v>
      </c>
      <c r="C5277" s="178"/>
      <c r="D5277" s="178"/>
      <c r="E5277" s="178"/>
      <c r="F5277" s="178"/>
      <c r="G5277" s="178"/>
      <c r="H5277" s="178"/>
      <c r="I5277" s="178"/>
      <c r="J5277" s="178"/>
      <c r="K5277" s="178"/>
      <c r="L5277" s="214"/>
      <c r="M5277" s="178"/>
      <c r="N5277" s="178"/>
      <c r="O5277" s="178">
        <f>O5268</f>
        <v>166.11149999999998</v>
      </c>
      <c r="P5277" s="236"/>
      <c r="Q5277" s="236"/>
      <c r="R5277" s="236"/>
      <c r="S5277" s="236"/>
    </row>
    <row r="5278" spans="1:19" s="237" customFormat="1" x14ac:dyDescent="0.35">
      <c r="A5278" s="229"/>
      <c r="B5278" s="230" t="str">
        <f>B5269</f>
        <v>VIA 7 - ESTACA 0+0,00 A 3+4,01</v>
      </c>
      <c r="C5278" s="178"/>
      <c r="D5278" s="178"/>
      <c r="E5278" s="178"/>
      <c r="F5278" s="178"/>
      <c r="G5278" s="178"/>
      <c r="H5278" s="178"/>
      <c r="I5278" s="178"/>
      <c r="J5278" s="178"/>
      <c r="K5278" s="178"/>
      <c r="L5278" s="214"/>
      <c r="M5278" s="178"/>
      <c r="N5278" s="178"/>
      <c r="O5278" s="178">
        <f>O5269</f>
        <v>140.18190000000001</v>
      </c>
      <c r="P5278" s="236"/>
      <c r="Q5278" s="236"/>
      <c r="R5278" s="236"/>
      <c r="S5278" s="236"/>
    </row>
    <row r="5279" spans="1:19" s="237" customFormat="1" x14ac:dyDescent="0.35">
      <c r="A5279" s="229"/>
      <c r="B5279" s="230" t="str">
        <f>B5270</f>
        <v>VIA 8 - ESTACA 0+0,00 A 2+13,13</v>
      </c>
      <c r="C5279" s="178"/>
      <c r="D5279" s="178"/>
      <c r="E5279" s="178"/>
      <c r="F5279" s="178"/>
      <c r="G5279" s="178"/>
      <c r="H5279" s="178"/>
      <c r="I5279" s="178"/>
      <c r="J5279" s="178"/>
      <c r="K5279" s="178"/>
      <c r="L5279" s="214"/>
      <c r="M5279" s="178"/>
      <c r="N5279" s="178"/>
      <c r="O5279" s="178">
        <f>O5270</f>
        <v>116.35469999999999</v>
      </c>
      <c r="P5279" s="236"/>
      <c r="Q5279" s="236"/>
      <c r="R5279" s="236"/>
      <c r="S5279" s="236"/>
    </row>
    <row r="5280" spans="1:19" s="237" customFormat="1" x14ac:dyDescent="0.35">
      <c r="A5280" s="229"/>
      <c r="B5280" s="230"/>
      <c r="C5280" s="178"/>
      <c r="D5280" s="178"/>
      <c r="E5280" s="178"/>
      <c r="F5280" s="178"/>
      <c r="G5280" s="178"/>
      <c r="H5280" s="178"/>
      <c r="I5280" s="178"/>
      <c r="J5280" s="178"/>
      <c r="K5280" s="178"/>
      <c r="L5280" s="214"/>
      <c r="M5280" s="178"/>
      <c r="N5280" s="178"/>
      <c r="O5280" s="178"/>
      <c r="P5280" s="236"/>
      <c r="Q5280" s="236"/>
      <c r="R5280" s="236"/>
      <c r="S5280" s="236"/>
    </row>
    <row r="5281" spans="1:19" s="225" customFormat="1" ht="10.5" x14ac:dyDescent="0.25">
      <c r="A5281" s="229"/>
      <c r="B5281" s="232" t="s">
        <v>5</v>
      </c>
      <c r="C5281" s="182" t="s">
        <v>1328</v>
      </c>
      <c r="D5281" s="182"/>
      <c r="E5281" s="182"/>
      <c r="F5281" s="182"/>
      <c r="G5281" s="182"/>
      <c r="H5281" s="182"/>
      <c r="I5281" s="182"/>
      <c r="J5281" s="182"/>
      <c r="K5281" s="182"/>
      <c r="L5281" s="182"/>
      <c r="M5281" s="182"/>
      <c r="N5281" s="182"/>
      <c r="O5281" s="182">
        <f>ROUND(SUM(O5275:O5280),2)</f>
        <v>1700.34</v>
      </c>
      <c r="P5281" s="233"/>
      <c r="Q5281" s="224"/>
    </row>
    <row r="5282" spans="1:19" s="225" customFormat="1" ht="21" x14ac:dyDescent="0.25">
      <c r="A5282" s="222" t="str">
        <f>ORÇAMENTO!A961</f>
        <v>7.5.2</v>
      </c>
      <c r="B5282" s="223" t="str">
        <f>VLOOKUP(A5282,ORÇAMENTO!A:K,4,0)</f>
        <v>CORTE COM TRANSPORTE LOCAL PARA ATERRO DE COMPENSAÇÃO</v>
      </c>
      <c r="C5282" s="167"/>
      <c r="D5282" s="167"/>
      <c r="E5282" s="168"/>
      <c r="F5282" s="168"/>
      <c r="G5282" s="168"/>
      <c r="H5282" s="168"/>
      <c r="I5282" s="168"/>
      <c r="J5282" s="168"/>
      <c r="K5282" s="168"/>
      <c r="L5282" s="168"/>
      <c r="M5282" s="168"/>
      <c r="N5282" s="168"/>
      <c r="O5282" s="168"/>
      <c r="P5282" s="224"/>
      <c r="Q5282" s="224"/>
    </row>
    <row r="5283" spans="1:19" s="235" customFormat="1" ht="63" x14ac:dyDescent="0.35">
      <c r="A5283" s="226" t="str">
        <f>ORÇAMENTO!A962</f>
        <v>7.5.2.1</v>
      </c>
      <c r="B5283" s="227" t="str">
        <f>VLOOKUP(A5283,ORÇAMENTO!A:K,4,0)</f>
        <v>ESCAVAÇÃO HORIZONTAL, INCLUINDO CARGA, DESCARGA E TRANSPORTE EM SOLO DE 1A CATEGORIA COM TRATOR DE ESTEIRAS (170HP/LÂMINA: 5,20M3) E CAMINHÃO BASCULANTE DE 14M3, DMT ATÉ 200M. AF_07/2020</v>
      </c>
      <c r="C5283" s="173" t="str">
        <f>VLOOKUP(A5283,ORÇAMENTO!A:K,5,0)</f>
        <v>M³</v>
      </c>
      <c r="D5283" s="173">
        <f>SUM(E5291:O5291)</f>
        <v>3674.01</v>
      </c>
      <c r="E5283" s="173" t="s">
        <v>1718</v>
      </c>
      <c r="F5283" s="173" t="s">
        <v>1719</v>
      </c>
      <c r="G5283" s="173" t="s">
        <v>1720</v>
      </c>
      <c r="H5283" s="173" t="s">
        <v>1721</v>
      </c>
      <c r="I5283" s="173" t="s">
        <v>1722</v>
      </c>
      <c r="J5283" s="173" t="s">
        <v>1723</v>
      </c>
      <c r="K5283" s="173" t="s">
        <v>1724</v>
      </c>
      <c r="L5283" s="173" t="s">
        <v>1753</v>
      </c>
      <c r="M5283" s="207" t="s">
        <v>1750</v>
      </c>
      <c r="N5283" s="173" t="s">
        <v>1727</v>
      </c>
      <c r="O5283" s="173" t="s">
        <v>1728</v>
      </c>
      <c r="P5283" s="224"/>
      <c r="Q5283" s="224"/>
      <c r="R5283" s="224"/>
      <c r="S5283" s="224"/>
    </row>
    <row r="5284" spans="1:19" s="235" customFormat="1" x14ac:dyDescent="0.35">
      <c r="A5284" s="229"/>
      <c r="B5284" s="232" t="s">
        <v>1845</v>
      </c>
      <c r="C5284" s="177"/>
      <c r="D5284" s="177"/>
      <c r="E5284" s="178"/>
      <c r="F5284" s="178"/>
      <c r="G5284" s="178"/>
      <c r="H5284" s="178"/>
      <c r="I5284" s="178"/>
      <c r="J5284" s="178"/>
      <c r="K5284" s="178"/>
      <c r="L5284" s="178"/>
      <c r="M5284" s="178"/>
      <c r="N5284" s="178"/>
      <c r="O5284" s="178"/>
      <c r="P5284" s="224"/>
      <c r="Q5284" s="224"/>
      <c r="R5284" s="224"/>
      <c r="S5284" s="224"/>
    </row>
    <row r="5285" spans="1:19" s="235" customFormat="1" x14ac:dyDescent="0.35">
      <c r="A5285" s="229"/>
      <c r="B5285" s="230" t="str">
        <f>B5275</f>
        <v>VIA 4 - ESTACA 16+7,98 A 41+12,55</v>
      </c>
      <c r="C5285" s="177"/>
      <c r="D5285" s="177"/>
      <c r="E5285" s="178"/>
      <c r="F5285" s="178"/>
      <c r="G5285" s="178"/>
      <c r="H5285" s="178"/>
      <c r="I5285" s="178"/>
      <c r="J5285" s="178"/>
      <c r="K5285" s="178"/>
      <c r="L5285" s="178"/>
      <c r="M5285" s="178"/>
      <c r="N5285" s="178"/>
      <c r="O5285" s="178">
        <v>2373.94</v>
      </c>
      <c r="P5285" s="224"/>
      <c r="Q5285" s="224"/>
      <c r="R5285" s="224"/>
      <c r="S5285" s="224"/>
    </row>
    <row r="5286" spans="1:19" s="235" customFormat="1" x14ac:dyDescent="0.35">
      <c r="A5286" s="229"/>
      <c r="B5286" s="230" t="str">
        <f>B5276</f>
        <v>VIA 5 - ESTACA 0+0,00 A 3+18,85</v>
      </c>
      <c r="C5286" s="177"/>
      <c r="D5286" s="177"/>
      <c r="E5286" s="178"/>
      <c r="F5286" s="178"/>
      <c r="G5286" s="178"/>
      <c r="H5286" s="178"/>
      <c r="I5286" s="178"/>
      <c r="J5286" s="178"/>
      <c r="K5286" s="178"/>
      <c r="L5286" s="178"/>
      <c r="M5286" s="178"/>
      <c r="N5286" s="178"/>
      <c r="O5286" s="178">
        <v>399.26</v>
      </c>
      <c r="P5286" s="224"/>
      <c r="Q5286" s="224"/>
      <c r="R5286" s="224"/>
      <c r="S5286" s="224"/>
    </row>
    <row r="5287" spans="1:19" s="235" customFormat="1" x14ac:dyDescent="0.35">
      <c r="A5287" s="229"/>
      <c r="B5287" s="230" t="str">
        <f>B5277</f>
        <v>VIA 6 - ESTACA 0+0,00 A 3+15,85</v>
      </c>
      <c r="C5287" s="177"/>
      <c r="D5287" s="177"/>
      <c r="E5287" s="178"/>
      <c r="F5287" s="178"/>
      <c r="G5287" s="178"/>
      <c r="H5287" s="178"/>
      <c r="I5287" s="178"/>
      <c r="J5287" s="178"/>
      <c r="K5287" s="178"/>
      <c r="L5287" s="178"/>
      <c r="M5287" s="178"/>
      <c r="N5287" s="178"/>
      <c r="O5287" s="178">
        <v>350.86</v>
      </c>
      <c r="P5287" s="224"/>
      <c r="Q5287" s="224"/>
      <c r="R5287" s="224"/>
      <c r="S5287" s="224"/>
    </row>
    <row r="5288" spans="1:19" s="235" customFormat="1" x14ac:dyDescent="0.35">
      <c r="A5288" s="229"/>
      <c r="B5288" s="230" t="str">
        <f>B5278</f>
        <v>VIA 7 - ESTACA 0+0,00 A 3+4,01</v>
      </c>
      <c r="C5288" s="177"/>
      <c r="D5288" s="177"/>
      <c r="E5288" s="178"/>
      <c r="F5288" s="178"/>
      <c r="G5288" s="178"/>
      <c r="H5288" s="178"/>
      <c r="I5288" s="178"/>
      <c r="J5288" s="178"/>
      <c r="K5288" s="178"/>
      <c r="L5288" s="178"/>
      <c r="M5288" s="178"/>
      <c r="N5288" s="178"/>
      <c r="O5288" s="178">
        <v>318.13</v>
      </c>
      <c r="P5288" s="224"/>
      <c r="Q5288" s="224"/>
      <c r="R5288" s="224"/>
      <c r="S5288" s="224"/>
    </row>
    <row r="5289" spans="1:19" s="235" customFormat="1" x14ac:dyDescent="0.35">
      <c r="A5289" s="229"/>
      <c r="B5289" s="230" t="str">
        <f>B5279</f>
        <v>VIA 8 - ESTACA 0+0,00 A 2+13,13</v>
      </c>
      <c r="C5289" s="177"/>
      <c r="D5289" s="177"/>
      <c r="E5289" s="178"/>
      <c r="F5289" s="178"/>
      <c r="G5289" s="178"/>
      <c r="H5289" s="178"/>
      <c r="I5289" s="178"/>
      <c r="J5289" s="178"/>
      <c r="K5289" s="178"/>
      <c r="L5289" s="178"/>
      <c r="M5289" s="178"/>
      <c r="N5289" s="178"/>
      <c r="O5289" s="178">
        <v>231.82</v>
      </c>
      <c r="P5289" s="224"/>
      <c r="Q5289" s="224"/>
      <c r="R5289" s="224"/>
      <c r="S5289" s="224"/>
    </row>
    <row r="5290" spans="1:19" s="235" customFormat="1" x14ac:dyDescent="0.35">
      <c r="A5290" s="229"/>
      <c r="B5290" s="230"/>
      <c r="C5290" s="177"/>
      <c r="D5290" s="177"/>
      <c r="E5290" s="178"/>
      <c r="F5290" s="178"/>
      <c r="G5290" s="178"/>
      <c r="H5290" s="178"/>
      <c r="I5290" s="178"/>
      <c r="J5290" s="178"/>
      <c r="K5290" s="178"/>
      <c r="L5290" s="178"/>
      <c r="M5290" s="178"/>
      <c r="N5290" s="178"/>
      <c r="O5290" s="178"/>
      <c r="P5290" s="224"/>
      <c r="Q5290" s="224"/>
      <c r="R5290" s="224"/>
      <c r="S5290" s="224"/>
    </row>
    <row r="5291" spans="1:19" s="235" customFormat="1" x14ac:dyDescent="0.35">
      <c r="A5291" s="238"/>
      <c r="B5291" s="232" t="s">
        <v>5</v>
      </c>
      <c r="C5291" s="182" t="s">
        <v>1328</v>
      </c>
      <c r="D5291" s="182"/>
      <c r="E5291" s="182"/>
      <c r="F5291" s="182"/>
      <c r="G5291" s="182"/>
      <c r="H5291" s="182"/>
      <c r="I5291" s="182"/>
      <c r="J5291" s="182"/>
      <c r="K5291" s="182"/>
      <c r="L5291" s="182"/>
      <c r="M5291" s="182"/>
      <c r="N5291" s="182"/>
      <c r="O5291" s="182">
        <f>SUM(O5285:O5290)</f>
        <v>3674.01</v>
      </c>
      <c r="P5291" s="224"/>
      <c r="Q5291" s="224"/>
      <c r="R5291" s="224"/>
      <c r="S5291" s="224"/>
    </row>
    <row r="5292" spans="1:19" s="235" customFormat="1" ht="31.5" x14ac:dyDescent="0.35">
      <c r="A5292" s="226" t="str">
        <f>ORÇAMENTO!A963</f>
        <v>7.5.2.2</v>
      </c>
      <c r="B5292" s="227" t="str">
        <f>VLOOKUP(A5292,ORÇAMENTO!A:K,4,0)</f>
        <v>TRANSPORTE COM CAMINHÃO BASCULANTE DE 14 M³, EM VIA URBANA PAVIMENTADA, DMT ATÉ 30 KM (UNIDADE: M3XKM). AF_07/2020</v>
      </c>
      <c r="C5292" s="173" t="str">
        <f>VLOOKUP(A5292,ORÇAMENTO!A:K,5,0)</f>
        <v>M3XKM</v>
      </c>
      <c r="D5292" s="173">
        <f>SUM(E5300:O5300)</f>
        <v>123978.045</v>
      </c>
      <c r="E5292" s="173" t="s">
        <v>1752</v>
      </c>
      <c r="F5292" s="173" t="s">
        <v>1719</v>
      </c>
      <c r="G5292" s="173" t="s">
        <v>1720</v>
      </c>
      <c r="H5292" s="173" t="s">
        <v>1721</v>
      </c>
      <c r="I5292" s="173" t="s">
        <v>1722</v>
      </c>
      <c r="J5292" s="173" t="s">
        <v>1723</v>
      </c>
      <c r="K5292" s="173" t="s">
        <v>1724</v>
      </c>
      <c r="L5292" s="173" t="s">
        <v>1753</v>
      </c>
      <c r="M5292" s="207" t="s">
        <v>1750</v>
      </c>
      <c r="N5292" s="173" t="s">
        <v>1727</v>
      </c>
      <c r="O5292" s="173" t="s">
        <v>1728</v>
      </c>
      <c r="P5292" s="224"/>
      <c r="Q5292" s="224"/>
      <c r="R5292" s="224"/>
      <c r="S5292" s="224"/>
    </row>
    <row r="5293" spans="1:19" s="235" customFormat="1" x14ac:dyDescent="0.35">
      <c r="A5293" s="229"/>
      <c r="B5293" s="232" t="s">
        <v>1853</v>
      </c>
      <c r="C5293" s="177"/>
      <c r="D5293" s="177"/>
      <c r="E5293" s="178"/>
      <c r="F5293" s="178"/>
      <c r="G5293" s="178"/>
      <c r="H5293" s="178"/>
      <c r="I5293" s="178"/>
      <c r="J5293" s="178"/>
      <c r="K5293" s="178"/>
      <c r="L5293" s="178"/>
      <c r="M5293" s="178"/>
      <c r="N5293" s="178"/>
      <c r="O5293" s="178">
        <f>O5291*1.15</f>
        <v>4225.1115</v>
      </c>
      <c r="P5293" s="224"/>
      <c r="Q5293" s="224"/>
      <c r="R5293" s="224"/>
      <c r="S5293" s="224"/>
    </row>
    <row r="5294" spans="1:19" s="235" customFormat="1" x14ac:dyDescent="0.35">
      <c r="A5294" s="229"/>
      <c r="B5294" s="230" t="s">
        <v>1854</v>
      </c>
      <c r="C5294" s="177"/>
      <c r="D5294" s="177"/>
      <c r="E5294" s="178"/>
      <c r="F5294" s="178"/>
      <c r="G5294" s="178"/>
      <c r="H5294" s="178"/>
      <c r="I5294" s="178"/>
      <c r="J5294" s="178"/>
      <c r="K5294" s="178"/>
      <c r="L5294" s="178"/>
      <c r="M5294" s="178"/>
      <c r="N5294" s="178"/>
      <c r="O5294" s="178">
        <f>O5320</f>
        <v>92.51</v>
      </c>
      <c r="P5294" s="224"/>
      <c r="Q5294" s="224"/>
      <c r="R5294" s="224"/>
      <c r="S5294" s="224"/>
    </row>
    <row r="5295" spans="1:19" s="235" customFormat="1" x14ac:dyDescent="0.35">
      <c r="A5295" s="229"/>
      <c r="B5295" s="230"/>
      <c r="C5295" s="184"/>
      <c r="D5295" s="184"/>
      <c r="E5295" s="185"/>
      <c r="F5295" s="185"/>
      <c r="G5295" s="185"/>
      <c r="H5295" s="185"/>
      <c r="I5295" s="185"/>
      <c r="J5295" s="185"/>
      <c r="K5295" s="185"/>
      <c r="L5295" s="185"/>
      <c r="M5295" s="185"/>
      <c r="N5295" s="185"/>
      <c r="O5295" s="185"/>
      <c r="P5295" s="224"/>
      <c r="Q5295" s="224"/>
      <c r="R5295" s="224"/>
      <c r="S5295" s="224"/>
    </row>
    <row r="5296" spans="1:19" s="235" customFormat="1" x14ac:dyDescent="0.35">
      <c r="A5296" s="229"/>
      <c r="B5296" s="230"/>
      <c r="C5296" s="177"/>
      <c r="D5296" s="177"/>
      <c r="E5296" s="178"/>
      <c r="F5296" s="178"/>
      <c r="G5296" s="178"/>
      <c r="H5296" s="178"/>
      <c r="I5296" s="178"/>
      <c r="J5296" s="178"/>
      <c r="K5296" s="178"/>
      <c r="L5296" s="178"/>
      <c r="M5296" s="178"/>
      <c r="N5296" s="178"/>
      <c r="O5296" s="178"/>
      <c r="P5296" s="224"/>
      <c r="Q5296" s="224"/>
      <c r="R5296" s="224"/>
      <c r="S5296" s="224"/>
    </row>
    <row r="5297" spans="1:19" s="235" customFormat="1" x14ac:dyDescent="0.35">
      <c r="A5297" s="229"/>
      <c r="B5297" s="230" t="s">
        <v>1858</v>
      </c>
      <c r="C5297" s="177"/>
      <c r="D5297" s="177"/>
      <c r="E5297" s="178"/>
      <c r="F5297" s="178"/>
      <c r="G5297" s="178"/>
      <c r="H5297" s="178"/>
      <c r="I5297" s="178"/>
      <c r="J5297" s="178"/>
      <c r="K5297" s="178"/>
      <c r="L5297" s="178"/>
      <c r="M5297" s="178"/>
      <c r="N5297" s="178"/>
      <c r="O5297" s="177">
        <f>O5293-O5294-O5295</f>
        <v>4132.6014999999998</v>
      </c>
      <c r="P5297" s="224"/>
      <c r="Q5297" s="224"/>
      <c r="R5297" s="224"/>
      <c r="S5297" s="224"/>
    </row>
    <row r="5298" spans="1:19" s="235" customFormat="1" x14ac:dyDescent="0.35">
      <c r="A5298" s="229"/>
      <c r="B5298" s="232" t="s">
        <v>1910</v>
      </c>
      <c r="C5298" s="177"/>
      <c r="D5298" s="177"/>
      <c r="E5298" s="178">
        <v>30</v>
      </c>
      <c r="F5298" s="178"/>
      <c r="G5298" s="178"/>
      <c r="H5298" s="178"/>
      <c r="I5298" s="178"/>
      <c r="J5298" s="178"/>
      <c r="K5298" s="178"/>
      <c r="L5298" s="178"/>
      <c r="M5298" s="178">
        <f>E5298*O5297</f>
        <v>123978.045</v>
      </c>
      <c r="N5298" s="178"/>
      <c r="O5298" s="178"/>
      <c r="P5298" s="224"/>
      <c r="Q5298" s="224"/>
      <c r="R5298" s="224"/>
      <c r="S5298" s="224"/>
    </row>
    <row r="5299" spans="1:19" s="235" customFormat="1" x14ac:dyDescent="0.35">
      <c r="A5299" s="229"/>
      <c r="B5299" s="230"/>
      <c r="C5299" s="177"/>
      <c r="D5299" s="177"/>
      <c r="E5299" s="178"/>
      <c r="F5299" s="178"/>
      <c r="G5299" s="178"/>
      <c r="H5299" s="178"/>
      <c r="I5299" s="178"/>
      <c r="J5299" s="178"/>
      <c r="K5299" s="178"/>
      <c r="L5299" s="178"/>
      <c r="M5299" s="178"/>
      <c r="N5299" s="178"/>
      <c r="O5299" s="178"/>
      <c r="P5299" s="224"/>
      <c r="Q5299" s="224"/>
      <c r="R5299" s="224"/>
      <c r="S5299" s="224"/>
    </row>
    <row r="5300" spans="1:19" s="235" customFormat="1" x14ac:dyDescent="0.35">
      <c r="A5300" s="238"/>
      <c r="B5300" s="232" t="s">
        <v>5</v>
      </c>
      <c r="C5300" s="182" t="s">
        <v>1328</v>
      </c>
      <c r="D5300" s="182"/>
      <c r="E5300" s="182"/>
      <c r="F5300" s="182"/>
      <c r="G5300" s="182"/>
      <c r="H5300" s="182"/>
      <c r="I5300" s="182"/>
      <c r="J5300" s="182"/>
      <c r="K5300" s="182"/>
      <c r="L5300" s="182"/>
      <c r="M5300" s="182">
        <f>SUM(M5295:M5298)</f>
        <v>123978.045</v>
      </c>
      <c r="N5300" s="182"/>
      <c r="O5300" s="182"/>
      <c r="P5300" s="224"/>
      <c r="Q5300" s="224"/>
      <c r="R5300" s="224"/>
      <c r="S5300" s="224"/>
    </row>
    <row r="5301" spans="1:19" s="235" customFormat="1" ht="42" x14ac:dyDescent="0.35">
      <c r="A5301" s="226" t="str">
        <f>ORÇAMENTO!A964</f>
        <v>7.5.2.3</v>
      </c>
      <c r="B5301" s="227" t="str">
        <f>VLOOKUP(A5301,ORÇAMENTO!A:K,4,0)</f>
        <v>TRANSPORTE COM CAMINHÃO BASCULANTE DE 14 M³, EM VIA URBANA PAVIMENTADA, ADICIONAL PARA DMT EXCEDENTE A 30 KM (UNIDADE: M3XKM). AF_07/2020</v>
      </c>
      <c r="C5301" s="173" t="str">
        <f>VLOOKUP(A5301,ORÇAMENTO!A:K,5,0)</f>
        <v>M3XKM</v>
      </c>
      <c r="D5301" s="173">
        <f>SUM(E5305:O5305)</f>
        <v>58682.941300000006</v>
      </c>
      <c r="E5301" s="173" t="s">
        <v>1749</v>
      </c>
      <c r="F5301" s="173" t="s">
        <v>1719</v>
      </c>
      <c r="G5301" s="173" t="s">
        <v>1720</v>
      </c>
      <c r="H5301" s="173" t="s">
        <v>1721</v>
      </c>
      <c r="I5301" s="173" t="s">
        <v>1722</v>
      </c>
      <c r="J5301" s="173" t="s">
        <v>1723</v>
      </c>
      <c r="K5301" s="173" t="s">
        <v>1724</v>
      </c>
      <c r="L5301" s="173" t="s">
        <v>1753</v>
      </c>
      <c r="M5301" s="207" t="s">
        <v>1750</v>
      </c>
      <c r="N5301" s="173" t="s">
        <v>1727</v>
      </c>
      <c r="O5301" s="173" t="s">
        <v>1728</v>
      </c>
      <c r="P5301" s="224"/>
      <c r="Q5301" s="224"/>
      <c r="R5301" s="224"/>
      <c r="S5301" s="224"/>
    </row>
    <row r="5302" spans="1:19" s="235" customFormat="1" x14ac:dyDescent="0.35">
      <c r="A5302" s="229"/>
      <c r="B5302" s="232" t="s">
        <v>1910</v>
      </c>
      <c r="C5302" s="177"/>
      <c r="D5302" s="178"/>
      <c r="E5302" s="178">
        <f>44.2-E5298</f>
        <v>14.200000000000003</v>
      </c>
      <c r="F5302" s="178"/>
      <c r="G5302" s="178"/>
      <c r="H5302" s="178"/>
      <c r="I5302" s="178"/>
      <c r="J5302" s="178"/>
      <c r="K5302" s="178"/>
      <c r="L5302" s="178"/>
      <c r="M5302" s="178"/>
      <c r="N5302" s="178"/>
      <c r="O5302" s="178"/>
      <c r="P5302" s="224"/>
      <c r="Q5302" s="224"/>
      <c r="R5302" s="224"/>
      <c r="S5302" s="224"/>
    </row>
    <row r="5303" spans="1:19" s="237" customFormat="1" x14ac:dyDescent="0.35">
      <c r="A5303" s="229"/>
      <c r="B5303" s="230" t="str">
        <f>B5297</f>
        <v>MATERIAL PARA BOTA FORA</v>
      </c>
      <c r="C5303" s="178"/>
      <c r="D5303" s="177"/>
      <c r="E5303" s="178"/>
      <c r="F5303" s="178"/>
      <c r="G5303" s="178"/>
      <c r="H5303" s="178"/>
      <c r="I5303" s="178"/>
      <c r="J5303" s="178"/>
      <c r="K5303" s="178"/>
      <c r="L5303" s="178"/>
      <c r="M5303" s="178">
        <f>E5302*O5303</f>
        <v>58682.941300000006</v>
      </c>
      <c r="N5303" s="178"/>
      <c r="O5303" s="178">
        <f>O5297</f>
        <v>4132.6014999999998</v>
      </c>
      <c r="P5303" s="236"/>
      <c r="Q5303" s="236"/>
      <c r="R5303" s="236"/>
      <c r="S5303" s="236"/>
    </row>
    <row r="5304" spans="1:19" s="235" customFormat="1" x14ac:dyDescent="0.35">
      <c r="A5304" s="229"/>
      <c r="B5304" s="230"/>
      <c r="C5304" s="177"/>
      <c r="D5304" s="177"/>
      <c r="E5304" s="250"/>
      <c r="F5304" s="178"/>
      <c r="G5304" s="178"/>
      <c r="H5304" s="178"/>
      <c r="I5304" s="178"/>
      <c r="J5304" s="178"/>
      <c r="K5304" s="178"/>
      <c r="L5304" s="178"/>
      <c r="M5304" s="177"/>
      <c r="N5304" s="178"/>
      <c r="O5304" s="177"/>
      <c r="P5304" s="224"/>
      <c r="Q5304" s="224"/>
      <c r="R5304" s="224"/>
      <c r="S5304" s="224"/>
    </row>
    <row r="5305" spans="1:19" s="235" customFormat="1" x14ac:dyDescent="0.35">
      <c r="A5305" s="238"/>
      <c r="B5305" s="232" t="s">
        <v>5</v>
      </c>
      <c r="C5305" s="182" t="s">
        <v>1328</v>
      </c>
      <c r="D5305" s="182"/>
      <c r="E5305" s="182"/>
      <c r="F5305" s="182"/>
      <c r="G5305" s="182"/>
      <c r="H5305" s="182"/>
      <c r="I5305" s="182"/>
      <c r="J5305" s="182"/>
      <c r="K5305" s="182"/>
      <c r="L5305" s="182"/>
      <c r="M5305" s="182">
        <f>SUM(M5303:M5304)</f>
        <v>58682.941300000006</v>
      </c>
      <c r="N5305" s="182"/>
      <c r="O5305" s="182"/>
      <c r="P5305" s="224"/>
      <c r="Q5305" s="224"/>
      <c r="R5305" s="224"/>
      <c r="S5305" s="224"/>
    </row>
    <row r="5306" spans="1:19" s="235" customFormat="1" ht="21" x14ac:dyDescent="0.35">
      <c r="A5306" s="226" t="str">
        <f>ORÇAMENTO!A965</f>
        <v>7.5.2.4</v>
      </c>
      <c r="B5306" s="227" t="str">
        <f>VLOOKUP(A5306,ORÇAMENTO!A:K,4,0)</f>
        <v>ESPALHAMENTO DE MATERIAL COM TRATOR DE ESTEIRAS. AF_09/2024</v>
      </c>
      <c r="C5306" s="173" t="str">
        <f>VLOOKUP(A5306,ORÇAMENTO!A:K,5,0)</f>
        <v>M³</v>
      </c>
      <c r="D5306" s="173">
        <f>SUM(E5310:O5310)</f>
        <v>4132.6000000000004</v>
      </c>
      <c r="E5306" s="173" t="s">
        <v>1752</v>
      </c>
      <c r="F5306" s="173" t="s">
        <v>1719</v>
      </c>
      <c r="G5306" s="173" t="s">
        <v>1720</v>
      </c>
      <c r="H5306" s="173" t="s">
        <v>1721</v>
      </c>
      <c r="I5306" s="173" t="s">
        <v>1722</v>
      </c>
      <c r="J5306" s="173" t="s">
        <v>1723</v>
      </c>
      <c r="K5306" s="173" t="s">
        <v>1746</v>
      </c>
      <c r="L5306" s="173" t="s">
        <v>1753</v>
      </c>
      <c r="M5306" s="173" t="s">
        <v>1750</v>
      </c>
      <c r="N5306" s="173" t="s">
        <v>1727</v>
      </c>
      <c r="O5306" s="173" t="s">
        <v>1728</v>
      </c>
      <c r="P5306" s="224"/>
      <c r="Q5306" s="224"/>
      <c r="R5306" s="224"/>
      <c r="S5306" s="224"/>
    </row>
    <row r="5307" spans="1:19" s="237" customFormat="1" x14ac:dyDescent="0.35">
      <c r="A5307" s="229"/>
      <c r="B5307" s="230"/>
      <c r="C5307" s="178"/>
      <c r="D5307" s="178"/>
      <c r="E5307" s="178"/>
      <c r="F5307" s="178"/>
      <c r="G5307" s="178"/>
      <c r="H5307" s="178"/>
      <c r="I5307" s="178"/>
      <c r="J5307" s="178"/>
      <c r="K5307" s="178"/>
      <c r="L5307" s="214"/>
      <c r="M5307" s="178"/>
      <c r="N5307" s="178"/>
      <c r="O5307" s="178"/>
      <c r="P5307" s="236"/>
      <c r="Q5307" s="236"/>
      <c r="R5307" s="236"/>
      <c r="S5307" s="236"/>
    </row>
    <row r="5308" spans="1:19" s="237" customFormat="1" x14ac:dyDescent="0.35">
      <c r="A5308" s="229"/>
      <c r="B5308" s="230" t="str">
        <f>B5303</f>
        <v>MATERIAL PARA BOTA FORA</v>
      </c>
      <c r="C5308" s="178"/>
      <c r="D5308" s="178"/>
      <c r="E5308" s="178"/>
      <c r="F5308" s="178"/>
      <c r="G5308" s="178"/>
      <c r="H5308" s="178"/>
      <c r="I5308" s="178"/>
      <c r="J5308" s="178"/>
      <c r="K5308" s="178"/>
      <c r="L5308" s="214"/>
      <c r="M5308" s="178"/>
      <c r="N5308" s="178"/>
      <c r="O5308" s="178">
        <f>O5303</f>
        <v>4132.6014999999998</v>
      </c>
      <c r="P5308" s="236"/>
      <c r="Q5308" s="236"/>
      <c r="R5308" s="236"/>
      <c r="S5308" s="236"/>
    </row>
    <row r="5309" spans="1:19" s="237" customFormat="1" x14ac:dyDescent="0.35">
      <c r="A5309" s="229"/>
      <c r="B5309" s="230"/>
      <c r="C5309" s="178"/>
      <c r="D5309" s="178"/>
      <c r="E5309" s="178"/>
      <c r="F5309" s="178"/>
      <c r="G5309" s="178"/>
      <c r="H5309" s="178"/>
      <c r="I5309" s="178"/>
      <c r="J5309" s="178"/>
      <c r="K5309" s="178"/>
      <c r="L5309" s="214"/>
      <c r="M5309" s="178"/>
      <c r="N5309" s="178"/>
      <c r="O5309" s="178"/>
      <c r="P5309" s="236"/>
      <c r="Q5309" s="236"/>
      <c r="R5309" s="236"/>
      <c r="S5309" s="236"/>
    </row>
    <row r="5310" spans="1:19" s="225" customFormat="1" ht="10.5" x14ac:dyDescent="0.25">
      <c r="A5310" s="229"/>
      <c r="B5310" s="232" t="s">
        <v>5</v>
      </c>
      <c r="C5310" s="182" t="s">
        <v>1328</v>
      </c>
      <c r="D5310" s="182"/>
      <c r="E5310" s="182"/>
      <c r="F5310" s="182"/>
      <c r="G5310" s="182"/>
      <c r="H5310" s="182"/>
      <c r="I5310" s="182"/>
      <c r="J5310" s="182"/>
      <c r="K5310" s="182"/>
      <c r="L5310" s="182"/>
      <c r="M5310" s="182"/>
      <c r="N5310" s="182"/>
      <c r="O5310" s="182">
        <f>ROUND(SUM(O5307:O5309),2)</f>
        <v>4132.6000000000004</v>
      </c>
      <c r="P5310" s="233"/>
      <c r="Q5310" s="224"/>
    </row>
    <row r="5311" spans="1:19" s="225" customFormat="1" ht="21" x14ac:dyDescent="0.25">
      <c r="A5311" s="222" t="str">
        <f>ORÇAMENTO!A966</f>
        <v>7.5.3</v>
      </c>
      <c r="B5311" s="223" t="str">
        <f>VLOOKUP(A5311,ORÇAMENTO!A:K,4,0)</f>
        <v>ATERROS (CONSIDERANDO-SE O APROVEITAMENTO DO MATERIAL DO CORTE)</v>
      </c>
      <c r="C5311" s="167"/>
      <c r="D5311" s="167"/>
      <c r="E5311" s="168"/>
      <c r="F5311" s="168"/>
      <c r="G5311" s="168"/>
      <c r="H5311" s="168"/>
      <c r="I5311" s="168"/>
      <c r="J5311" s="168"/>
      <c r="K5311" s="168"/>
      <c r="L5311" s="168"/>
      <c r="M5311" s="168"/>
      <c r="N5311" s="168"/>
      <c r="O5311" s="168"/>
      <c r="P5311" s="224"/>
      <c r="Q5311" s="224"/>
    </row>
    <row r="5312" spans="1:19" s="235" customFormat="1" ht="63" x14ac:dyDescent="0.35">
      <c r="A5312" s="226" t="str">
        <f>ORÇAMENTO!A967</f>
        <v>7.5.3.1</v>
      </c>
      <c r="B5312" s="227" t="str">
        <f>VLOOKUP(A5312,ORÇAMENTO!A:K,4,0)</f>
        <v>EXECUÇÃO E COMPACTAÇÃO DE CORPO DE ATERRO DE ATERRO (95% DE ENERGIA DO PROCTOR NORMAL) COM SOLO PREDOMINANTEMENTE ARGILOSO ESPESSURA 15 CM - EXCLUSIVE MATERIAL, ESCAVAÇÃO, CARGA E TRANSPORTE. AF_09/2024</v>
      </c>
      <c r="C5312" s="173" t="str">
        <f>VLOOKUP(A5312,ORÇAMENTO!A:K,5,0)</f>
        <v>M³</v>
      </c>
      <c r="D5312" s="173">
        <f>SUM(E5320:O5320)</f>
        <v>92.51</v>
      </c>
      <c r="E5312" s="173" t="s">
        <v>1718</v>
      </c>
      <c r="F5312" s="173" t="s">
        <v>1719</v>
      </c>
      <c r="G5312" s="173" t="s">
        <v>1720</v>
      </c>
      <c r="H5312" s="173" t="s">
        <v>1721</v>
      </c>
      <c r="I5312" s="173" t="s">
        <v>1722</v>
      </c>
      <c r="J5312" s="173" t="s">
        <v>1723</v>
      </c>
      <c r="K5312" s="173" t="s">
        <v>1724</v>
      </c>
      <c r="L5312" s="173" t="s">
        <v>1753</v>
      </c>
      <c r="M5312" s="173" t="s">
        <v>1768</v>
      </c>
      <c r="N5312" s="173" t="s">
        <v>1727</v>
      </c>
      <c r="O5312" s="173" t="s">
        <v>1728</v>
      </c>
      <c r="P5312" s="224"/>
      <c r="Q5312" s="224"/>
      <c r="R5312" s="224"/>
      <c r="S5312" s="224"/>
    </row>
    <row r="5313" spans="1:19" s="235" customFormat="1" x14ac:dyDescent="0.35">
      <c r="A5313" s="229"/>
      <c r="B5313" s="232" t="s">
        <v>1845</v>
      </c>
      <c r="C5313" s="177"/>
      <c r="D5313" s="177"/>
      <c r="E5313" s="178"/>
      <c r="F5313" s="178"/>
      <c r="G5313" s="178"/>
      <c r="H5313" s="178"/>
      <c r="I5313" s="178"/>
      <c r="J5313" s="178"/>
      <c r="K5313" s="178"/>
      <c r="L5313" s="178"/>
      <c r="M5313" s="178"/>
      <c r="N5313" s="178"/>
      <c r="O5313" s="178"/>
      <c r="P5313" s="224"/>
      <c r="Q5313" s="224"/>
      <c r="R5313" s="224"/>
      <c r="S5313" s="224"/>
    </row>
    <row r="5314" spans="1:19" s="237" customFormat="1" x14ac:dyDescent="0.35">
      <c r="A5314" s="229"/>
      <c r="B5314" s="230" t="str">
        <f>B5285</f>
        <v>VIA 4 - ESTACA 16+7,98 A 41+12,55</v>
      </c>
      <c r="C5314" s="178"/>
      <c r="D5314" s="178"/>
      <c r="E5314" s="178"/>
      <c r="F5314" s="178"/>
      <c r="G5314" s="178"/>
      <c r="H5314" s="178"/>
      <c r="I5314" s="178"/>
      <c r="J5314" s="178"/>
      <c r="K5314" s="178"/>
      <c r="L5314" s="178"/>
      <c r="M5314" s="178"/>
      <c r="N5314" s="178"/>
      <c r="O5314" s="215">
        <v>69.19</v>
      </c>
      <c r="P5314" s="236"/>
      <c r="Q5314" s="236"/>
      <c r="R5314" s="236"/>
      <c r="S5314" s="236"/>
    </row>
    <row r="5315" spans="1:19" s="237" customFormat="1" x14ac:dyDescent="0.35">
      <c r="A5315" s="229"/>
      <c r="B5315" s="230" t="str">
        <f>B5286</f>
        <v>VIA 5 - ESTACA 0+0,00 A 3+18,85</v>
      </c>
      <c r="C5315" s="178"/>
      <c r="D5315" s="178"/>
      <c r="E5315" s="178"/>
      <c r="F5315" s="178"/>
      <c r="G5315" s="178"/>
      <c r="H5315" s="178"/>
      <c r="I5315" s="178"/>
      <c r="J5315" s="178"/>
      <c r="K5315" s="178"/>
      <c r="L5315" s="178"/>
      <c r="M5315" s="178"/>
      <c r="N5315" s="178"/>
      <c r="O5315" s="215">
        <v>6.25</v>
      </c>
      <c r="P5315" s="236"/>
      <c r="Q5315" s="236"/>
      <c r="R5315" s="236"/>
      <c r="S5315" s="236"/>
    </row>
    <row r="5316" spans="1:19" s="237" customFormat="1" x14ac:dyDescent="0.35">
      <c r="A5316" s="229"/>
      <c r="B5316" s="230" t="str">
        <f>B5287</f>
        <v>VIA 6 - ESTACA 0+0,00 A 3+15,85</v>
      </c>
      <c r="C5316" s="178"/>
      <c r="D5316" s="178"/>
      <c r="E5316" s="178"/>
      <c r="F5316" s="178"/>
      <c r="G5316" s="178"/>
      <c r="H5316" s="178"/>
      <c r="I5316" s="178"/>
      <c r="J5316" s="178"/>
      <c r="K5316" s="178"/>
      <c r="L5316" s="178"/>
      <c r="M5316" s="178"/>
      <c r="N5316" s="178"/>
      <c r="O5316" s="215">
        <v>7.28</v>
      </c>
      <c r="P5316" s="236"/>
      <c r="Q5316" s="236"/>
      <c r="R5316" s="236"/>
      <c r="S5316" s="236"/>
    </row>
    <row r="5317" spans="1:19" s="237" customFormat="1" x14ac:dyDescent="0.35">
      <c r="A5317" s="229"/>
      <c r="B5317" s="230" t="str">
        <f>B5288</f>
        <v>VIA 7 - ESTACA 0+0,00 A 3+4,01</v>
      </c>
      <c r="C5317" s="178"/>
      <c r="D5317" s="178"/>
      <c r="E5317" s="178"/>
      <c r="F5317" s="178"/>
      <c r="G5317" s="178"/>
      <c r="H5317" s="178"/>
      <c r="I5317" s="178"/>
      <c r="J5317" s="178"/>
      <c r="K5317" s="178"/>
      <c r="L5317" s="178"/>
      <c r="M5317" s="178"/>
      <c r="N5317" s="178"/>
      <c r="O5317" s="215">
        <v>8.2799999999999994</v>
      </c>
      <c r="P5317" s="236"/>
      <c r="Q5317" s="236"/>
      <c r="R5317" s="236"/>
      <c r="S5317" s="236"/>
    </row>
    <row r="5318" spans="1:19" s="237" customFormat="1" x14ac:dyDescent="0.35">
      <c r="A5318" s="229"/>
      <c r="B5318" s="230" t="str">
        <f>B5289</f>
        <v>VIA 8 - ESTACA 0+0,00 A 2+13,13</v>
      </c>
      <c r="C5318" s="178"/>
      <c r="D5318" s="178"/>
      <c r="E5318" s="178"/>
      <c r="F5318" s="178"/>
      <c r="G5318" s="178"/>
      <c r="H5318" s="178"/>
      <c r="I5318" s="178"/>
      <c r="J5318" s="178"/>
      <c r="K5318" s="178"/>
      <c r="L5318" s="178"/>
      <c r="M5318" s="178"/>
      <c r="N5318" s="178"/>
      <c r="O5318" s="215">
        <v>1.51</v>
      </c>
      <c r="P5318" s="236"/>
      <c r="Q5318" s="236"/>
      <c r="R5318" s="236"/>
      <c r="S5318" s="236"/>
    </row>
    <row r="5319" spans="1:19" s="237" customFormat="1" x14ac:dyDescent="0.35">
      <c r="A5319" s="229"/>
      <c r="B5319" s="230"/>
      <c r="C5319" s="178"/>
      <c r="D5319" s="178"/>
      <c r="E5319" s="178"/>
      <c r="F5319" s="178"/>
      <c r="G5319" s="178"/>
      <c r="H5319" s="178"/>
      <c r="I5319" s="178"/>
      <c r="J5319" s="178"/>
      <c r="K5319" s="178"/>
      <c r="L5319" s="178"/>
      <c r="M5319" s="178"/>
      <c r="N5319" s="178"/>
      <c r="O5319" s="193"/>
      <c r="P5319" s="236"/>
      <c r="Q5319" s="236"/>
      <c r="R5319" s="236"/>
      <c r="S5319" s="236"/>
    </row>
    <row r="5320" spans="1:19" s="235" customFormat="1" x14ac:dyDescent="0.35">
      <c r="A5320" s="238"/>
      <c r="B5320" s="232" t="s">
        <v>5</v>
      </c>
      <c r="C5320" s="182" t="s">
        <v>1328</v>
      </c>
      <c r="D5320" s="182"/>
      <c r="E5320" s="182"/>
      <c r="F5320" s="182"/>
      <c r="G5320" s="182"/>
      <c r="H5320" s="182"/>
      <c r="I5320" s="182"/>
      <c r="J5320" s="182"/>
      <c r="K5320" s="182"/>
      <c r="L5320" s="182"/>
      <c r="M5320" s="182"/>
      <c r="N5320" s="182"/>
      <c r="O5320" s="196">
        <f>SUM(O5314:O5319)</f>
        <v>92.51</v>
      </c>
      <c r="P5320" s="224"/>
      <c r="Q5320" s="224"/>
      <c r="R5320" s="224"/>
      <c r="S5320" s="224"/>
    </row>
    <row r="5321" spans="1:19" s="225" customFormat="1" ht="10.5" x14ac:dyDescent="0.25">
      <c r="A5321" s="222" t="str">
        <f>ORÇAMENTO!A968</f>
        <v>7.5.4</v>
      </c>
      <c r="B5321" s="223" t="str">
        <f>VLOOKUP(A5321,ORÇAMENTO!A:K,4,0)</f>
        <v>PAVIMENTAÇÃO</v>
      </c>
      <c r="C5321" s="167"/>
      <c r="D5321" s="167"/>
      <c r="E5321" s="168"/>
      <c r="F5321" s="168"/>
      <c r="G5321" s="168"/>
      <c r="H5321" s="168"/>
      <c r="I5321" s="168"/>
      <c r="J5321" s="168"/>
      <c r="K5321" s="168"/>
      <c r="L5321" s="168"/>
      <c r="M5321" s="168"/>
      <c r="N5321" s="168"/>
      <c r="O5321" s="168"/>
      <c r="P5321" s="224"/>
      <c r="Q5321" s="224"/>
    </row>
    <row r="5322" spans="1:19" s="235" customFormat="1" ht="21" x14ac:dyDescent="0.35">
      <c r="A5322" s="226" t="str">
        <f>ORÇAMENTO!A969</f>
        <v>7.5.4.1</v>
      </c>
      <c r="B5322" s="227" t="str">
        <f>VLOOKUP(A5322,ORÇAMENTO!A:K,4,0)</f>
        <v>REGULARIZAÇÃO DO SUBLEITO</v>
      </c>
      <c r="C5322" s="173" t="str">
        <f>VLOOKUP(A5322,ORÇAMENTO!A:K,5,0)</f>
        <v>M²</v>
      </c>
      <c r="D5322" s="173">
        <f>SUM(E5331:O5331)</f>
        <v>5615.4599999999991</v>
      </c>
      <c r="E5322" s="173" t="s">
        <v>1718</v>
      </c>
      <c r="F5322" s="173" t="s">
        <v>1719</v>
      </c>
      <c r="G5322" s="173" t="s">
        <v>1720</v>
      </c>
      <c r="H5322" s="173" t="s">
        <v>1721</v>
      </c>
      <c r="I5322" s="173" t="s">
        <v>1722</v>
      </c>
      <c r="J5322" s="173" t="s">
        <v>1723</v>
      </c>
      <c r="K5322" s="173" t="s">
        <v>1724</v>
      </c>
      <c r="L5322" s="173" t="s">
        <v>1753</v>
      </c>
      <c r="M5322" s="173" t="s">
        <v>1768</v>
      </c>
      <c r="N5322" s="173" t="s">
        <v>1727</v>
      </c>
      <c r="O5322" s="173" t="s">
        <v>1728</v>
      </c>
      <c r="P5322" s="224"/>
      <c r="Q5322" s="224"/>
      <c r="R5322" s="224"/>
      <c r="S5322" s="224"/>
    </row>
    <row r="5323" spans="1:19" s="235" customFormat="1" x14ac:dyDescent="0.35">
      <c r="A5323" s="229"/>
      <c r="B5323" s="232" t="s">
        <v>1845</v>
      </c>
      <c r="C5323" s="177"/>
      <c r="D5323" s="177"/>
      <c r="E5323" s="178"/>
      <c r="F5323" s="178"/>
      <c r="G5323" s="178"/>
      <c r="H5323" s="178"/>
      <c r="I5323" s="178"/>
      <c r="J5323" s="178"/>
      <c r="K5323" s="178"/>
      <c r="L5323" s="178"/>
      <c r="M5323" s="178"/>
      <c r="N5323" s="178"/>
      <c r="O5323" s="178"/>
      <c r="P5323" s="224"/>
      <c r="Q5323" s="224"/>
      <c r="R5323" s="224"/>
      <c r="S5323" s="224"/>
    </row>
    <row r="5324" spans="1:19" s="235" customFormat="1" x14ac:dyDescent="0.35">
      <c r="A5324" s="229"/>
      <c r="B5324" s="232" t="s">
        <v>1860</v>
      </c>
      <c r="C5324" s="177"/>
      <c r="D5324" s="177"/>
      <c r="E5324" s="178"/>
      <c r="F5324" s="178"/>
      <c r="G5324" s="178"/>
      <c r="H5324" s="178"/>
      <c r="I5324" s="178"/>
      <c r="J5324" s="178"/>
      <c r="K5324" s="178"/>
      <c r="L5324" s="178"/>
      <c r="M5324" s="178"/>
      <c r="N5324" s="178"/>
      <c r="O5324" s="178"/>
      <c r="P5324" s="224"/>
      <c r="Q5324" s="224"/>
      <c r="R5324" s="224"/>
      <c r="S5324" s="224"/>
    </row>
    <row r="5325" spans="1:19" s="237" customFormat="1" x14ac:dyDescent="0.35">
      <c r="A5325" s="229"/>
      <c r="B5325" s="230" t="str">
        <f>B5314</f>
        <v>VIA 4 - ESTACA 16+7,98 A 41+12,55</v>
      </c>
      <c r="C5325" s="185"/>
      <c r="D5325" s="185"/>
      <c r="E5325" s="185"/>
      <c r="F5325" s="185"/>
      <c r="G5325" s="185"/>
      <c r="H5325" s="185"/>
      <c r="I5325" s="185"/>
      <c r="J5325" s="185"/>
      <c r="K5325" s="185"/>
      <c r="L5325" s="185"/>
      <c r="M5325" s="185"/>
      <c r="N5325" s="185">
        <v>3683.89</v>
      </c>
      <c r="O5325" s="215"/>
      <c r="P5325" s="236"/>
      <c r="Q5325" s="236"/>
      <c r="R5325" s="236"/>
      <c r="S5325" s="236"/>
    </row>
    <row r="5326" spans="1:19" s="237" customFormat="1" x14ac:dyDescent="0.35">
      <c r="A5326" s="229"/>
      <c r="B5326" s="230" t="str">
        <f>B5315</f>
        <v>VIA 5 - ESTACA 0+0,00 A 3+18,85</v>
      </c>
      <c r="C5326" s="185"/>
      <c r="D5326" s="185"/>
      <c r="E5326" s="185"/>
      <c r="F5326" s="185"/>
      <c r="G5326" s="185"/>
      <c r="H5326" s="185"/>
      <c r="I5326" s="185"/>
      <c r="J5326" s="185"/>
      <c r="K5326" s="185"/>
      <c r="L5326" s="185"/>
      <c r="M5326" s="185"/>
      <c r="N5326" s="185">
        <v>575.67999999999995</v>
      </c>
      <c r="O5326" s="215"/>
      <c r="P5326" s="236"/>
      <c r="Q5326" s="236"/>
      <c r="R5326" s="236"/>
      <c r="S5326" s="236"/>
    </row>
    <row r="5327" spans="1:19" s="237" customFormat="1" x14ac:dyDescent="0.35">
      <c r="A5327" s="229"/>
      <c r="B5327" s="230" t="str">
        <f>B5316</f>
        <v>VIA 6 - ESTACA 0+0,00 A 3+15,85</v>
      </c>
      <c r="C5327" s="185"/>
      <c r="D5327" s="185"/>
      <c r="E5327" s="185"/>
      <c r="F5327" s="185"/>
      <c r="G5327" s="185"/>
      <c r="H5327" s="185"/>
      <c r="I5327" s="185"/>
      <c r="J5327" s="185"/>
      <c r="K5327" s="185"/>
      <c r="L5327" s="185"/>
      <c r="M5327" s="185"/>
      <c r="N5327" s="185">
        <v>553.78</v>
      </c>
      <c r="O5327" s="215"/>
      <c r="P5327" s="236"/>
      <c r="Q5327" s="236"/>
      <c r="R5327" s="236"/>
      <c r="S5327" s="236"/>
    </row>
    <row r="5328" spans="1:19" s="237" customFormat="1" x14ac:dyDescent="0.35">
      <c r="A5328" s="229"/>
      <c r="B5328" s="230" t="str">
        <f>B5317</f>
        <v>VIA 7 - ESTACA 0+0,00 A 3+4,01</v>
      </c>
      <c r="C5328" s="185"/>
      <c r="D5328" s="185"/>
      <c r="E5328" s="185"/>
      <c r="F5328" s="185"/>
      <c r="G5328" s="185"/>
      <c r="H5328" s="185"/>
      <c r="I5328" s="185"/>
      <c r="J5328" s="185"/>
      <c r="K5328" s="185"/>
      <c r="L5328" s="185"/>
      <c r="M5328" s="185"/>
      <c r="N5328" s="185">
        <v>467.34</v>
      </c>
      <c r="O5328" s="215"/>
      <c r="P5328" s="236"/>
      <c r="Q5328" s="236"/>
      <c r="R5328" s="236"/>
      <c r="S5328" s="236"/>
    </row>
    <row r="5329" spans="1:19" s="237" customFormat="1" x14ac:dyDescent="0.35">
      <c r="A5329" s="229"/>
      <c r="B5329" s="230" t="str">
        <f>B5318</f>
        <v>VIA 8 - ESTACA 0+0,00 A 2+13,13</v>
      </c>
      <c r="C5329" s="185"/>
      <c r="D5329" s="185"/>
      <c r="E5329" s="185"/>
      <c r="F5329" s="185"/>
      <c r="G5329" s="185"/>
      <c r="H5329" s="185"/>
      <c r="I5329" s="185"/>
      <c r="J5329" s="185"/>
      <c r="K5329" s="185"/>
      <c r="L5329" s="185"/>
      <c r="M5329" s="185"/>
      <c r="N5329" s="185">
        <v>334.77</v>
      </c>
      <c r="O5329" s="215"/>
      <c r="P5329" s="236"/>
      <c r="Q5329" s="236"/>
      <c r="R5329" s="236"/>
      <c r="S5329" s="236"/>
    </row>
    <row r="5330" spans="1:19" s="237" customFormat="1" x14ac:dyDescent="0.35">
      <c r="A5330" s="229"/>
      <c r="B5330" s="230"/>
      <c r="C5330" s="185"/>
      <c r="D5330" s="185"/>
      <c r="E5330" s="185"/>
      <c r="F5330" s="185"/>
      <c r="G5330" s="185"/>
      <c r="H5330" s="185"/>
      <c r="I5330" s="185"/>
      <c r="J5330" s="185"/>
      <c r="K5330" s="185"/>
      <c r="L5330" s="185"/>
      <c r="M5330" s="185"/>
      <c r="N5330" s="185"/>
      <c r="O5330" s="193"/>
      <c r="P5330" s="236"/>
      <c r="Q5330" s="236"/>
      <c r="R5330" s="236"/>
      <c r="S5330" s="236"/>
    </row>
    <row r="5331" spans="1:19" s="235" customFormat="1" x14ac:dyDescent="0.35">
      <c r="A5331" s="238"/>
      <c r="B5331" s="232" t="s">
        <v>5</v>
      </c>
      <c r="C5331" s="208" t="s">
        <v>1328</v>
      </c>
      <c r="D5331" s="208"/>
      <c r="E5331" s="208"/>
      <c r="F5331" s="208"/>
      <c r="G5331" s="208"/>
      <c r="H5331" s="208"/>
      <c r="I5331" s="208"/>
      <c r="J5331" s="208"/>
      <c r="K5331" s="208"/>
      <c r="L5331" s="208"/>
      <c r="M5331" s="208"/>
      <c r="N5331" s="196">
        <f>SUM(N5325:N5329)</f>
        <v>5615.4599999999991</v>
      </c>
      <c r="O5331" s="196"/>
      <c r="P5331" s="224"/>
      <c r="Q5331" s="224"/>
      <c r="R5331" s="224"/>
      <c r="S5331" s="224"/>
    </row>
    <row r="5332" spans="1:19" s="235" customFormat="1" ht="21" x14ac:dyDescent="0.35">
      <c r="A5332" s="226" t="str">
        <f>ORÇAMENTO!A970</f>
        <v>7.5.4.2</v>
      </c>
      <c r="B5332" s="227" t="str">
        <f>VLOOKUP(A5332,ORÇAMENTO!A:K,4,0)</f>
        <v>COMPACTAÇÃO DE ATERROS A 100% DO PROCTOR INTERMEDIÁRIO</v>
      </c>
      <c r="C5332" s="173" t="str">
        <f>VLOOKUP(A5332,ORÇAMENTO!A:K,5,0)</f>
        <v>M³</v>
      </c>
      <c r="D5332" s="173">
        <f>SUM(E5341:O5341)</f>
        <v>2267.1299999999997</v>
      </c>
      <c r="E5332" s="173" t="s">
        <v>1718</v>
      </c>
      <c r="F5332" s="173" t="s">
        <v>1719</v>
      </c>
      <c r="G5332" s="173" t="s">
        <v>1720</v>
      </c>
      <c r="H5332" s="173" t="s">
        <v>1721</v>
      </c>
      <c r="I5332" s="173" t="s">
        <v>1722</v>
      </c>
      <c r="J5332" s="173" t="s">
        <v>1723</v>
      </c>
      <c r="K5332" s="173" t="s">
        <v>1724</v>
      </c>
      <c r="L5332" s="173" t="s">
        <v>1753</v>
      </c>
      <c r="M5332" s="173" t="s">
        <v>1768</v>
      </c>
      <c r="N5332" s="173" t="s">
        <v>1727</v>
      </c>
      <c r="O5332" s="173" t="s">
        <v>1728</v>
      </c>
      <c r="P5332" s="224"/>
      <c r="Q5332" s="224"/>
      <c r="R5332" s="224"/>
      <c r="S5332" s="224"/>
    </row>
    <row r="5333" spans="1:19" s="235" customFormat="1" x14ac:dyDescent="0.35">
      <c r="A5333" s="229"/>
      <c r="B5333" s="232" t="s">
        <v>1845</v>
      </c>
      <c r="C5333" s="177"/>
      <c r="D5333" s="177"/>
      <c r="E5333" s="178"/>
      <c r="F5333" s="178"/>
      <c r="G5333" s="178"/>
      <c r="H5333" s="178"/>
      <c r="I5333" s="178"/>
      <c r="J5333" s="178"/>
      <c r="K5333" s="178"/>
      <c r="L5333" s="178"/>
      <c r="M5333" s="178"/>
      <c r="N5333" s="178"/>
      <c r="O5333" s="178"/>
      <c r="P5333" s="224"/>
      <c r="Q5333" s="224"/>
      <c r="R5333" s="224"/>
      <c r="S5333" s="224"/>
    </row>
    <row r="5334" spans="1:19" s="235" customFormat="1" x14ac:dyDescent="0.35">
      <c r="A5334" s="229"/>
      <c r="B5334" s="232" t="s">
        <v>1860</v>
      </c>
      <c r="C5334" s="177"/>
      <c r="D5334" s="177"/>
      <c r="E5334" s="178"/>
      <c r="F5334" s="178"/>
      <c r="G5334" s="178"/>
      <c r="H5334" s="178"/>
      <c r="I5334" s="178"/>
      <c r="J5334" s="178"/>
      <c r="K5334" s="178"/>
      <c r="L5334" s="178"/>
      <c r="M5334" s="178"/>
      <c r="N5334" s="178"/>
      <c r="O5334" s="178"/>
      <c r="P5334" s="224"/>
      <c r="Q5334" s="224"/>
      <c r="R5334" s="224"/>
      <c r="S5334" s="224"/>
    </row>
    <row r="5335" spans="1:19" s="237" customFormat="1" x14ac:dyDescent="0.35">
      <c r="A5335" s="229"/>
      <c r="B5335" s="230" t="str">
        <f>B5325</f>
        <v>VIA 4 - ESTACA 16+7,98 A 41+12,55</v>
      </c>
      <c r="C5335" s="185"/>
      <c r="D5335" s="185"/>
      <c r="E5335" s="185"/>
      <c r="F5335" s="185"/>
      <c r="G5335" s="185"/>
      <c r="H5335" s="185"/>
      <c r="I5335" s="185"/>
      <c r="J5335" s="185"/>
      <c r="K5335" s="185"/>
      <c r="L5335" s="185"/>
      <c r="M5335" s="185"/>
      <c r="N5335" s="185"/>
      <c r="O5335" s="215">
        <v>1473.36</v>
      </c>
      <c r="P5335" s="236"/>
      <c r="Q5335" s="236"/>
      <c r="R5335" s="236"/>
      <c r="S5335" s="236"/>
    </row>
    <row r="5336" spans="1:19" s="237" customFormat="1" x14ac:dyDescent="0.35">
      <c r="A5336" s="229"/>
      <c r="B5336" s="230" t="str">
        <f>B5326</f>
        <v>VIA 5 - ESTACA 0+0,00 A 3+18,85</v>
      </c>
      <c r="C5336" s="185"/>
      <c r="D5336" s="185"/>
      <c r="E5336" s="185"/>
      <c r="F5336" s="185"/>
      <c r="G5336" s="185"/>
      <c r="H5336" s="185"/>
      <c r="I5336" s="185"/>
      <c r="J5336" s="185"/>
      <c r="K5336" s="185"/>
      <c r="L5336" s="185"/>
      <c r="M5336" s="185"/>
      <c r="N5336" s="185"/>
      <c r="O5336" s="215">
        <v>230.24</v>
      </c>
      <c r="P5336" s="236"/>
      <c r="Q5336" s="236"/>
      <c r="R5336" s="236"/>
      <c r="S5336" s="236"/>
    </row>
    <row r="5337" spans="1:19" s="237" customFormat="1" x14ac:dyDescent="0.35">
      <c r="A5337" s="229"/>
      <c r="B5337" s="230" t="str">
        <f>B5327</f>
        <v>VIA 6 - ESTACA 0+0,00 A 3+15,85</v>
      </c>
      <c r="C5337" s="185"/>
      <c r="D5337" s="185"/>
      <c r="E5337" s="185"/>
      <c r="F5337" s="185"/>
      <c r="G5337" s="185"/>
      <c r="H5337" s="185"/>
      <c r="I5337" s="185"/>
      <c r="J5337" s="185"/>
      <c r="K5337" s="185"/>
      <c r="L5337" s="185"/>
      <c r="M5337" s="185"/>
      <c r="N5337" s="185"/>
      <c r="O5337" s="215">
        <v>221.48</v>
      </c>
      <c r="P5337" s="236"/>
      <c r="Q5337" s="236"/>
      <c r="R5337" s="236"/>
      <c r="S5337" s="236"/>
    </row>
    <row r="5338" spans="1:19" s="237" customFormat="1" x14ac:dyDescent="0.35">
      <c r="A5338" s="229"/>
      <c r="B5338" s="230" t="str">
        <f>B5328</f>
        <v>VIA 7 - ESTACA 0+0,00 A 3+4,01</v>
      </c>
      <c r="C5338" s="185"/>
      <c r="D5338" s="185"/>
      <c r="E5338" s="185"/>
      <c r="F5338" s="185"/>
      <c r="G5338" s="185"/>
      <c r="H5338" s="185"/>
      <c r="I5338" s="185"/>
      <c r="J5338" s="185"/>
      <c r="K5338" s="185"/>
      <c r="L5338" s="185"/>
      <c r="M5338" s="185"/>
      <c r="N5338" s="185"/>
      <c r="O5338" s="215">
        <v>186.91</v>
      </c>
      <c r="P5338" s="236"/>
      <c r="Q5338" s="236"/>
      <c r="R5338" s="236"/>
      <c r="S5338" s="236"/>
    </row>
    <row r="5339" spans="1:19" s="237" customFormat="1" x14ac:dyDescent="0.35">
      <c r="A5339" s="229"/>
      <c r="B5339" s="230" t="str">
        <f>B5329</f>
        <v>VIA 8 - ESTACA 0+0,00 A 2+13,13</v>
      </c>
      <c r="C5339" s="185"/>
      <c r="D5339" s="185"/>
      <c r="E5339" s="185"/>
      <c r="F5339" s="185"/>
      <c r="G5339" s="185"/>
      <c r="H5339" s="185"/>
      <c r="I5339" s="185"/>
      <c r="J5339" s="185"/>
      <c r="K5339" s="185"/>
      <c r="L5339" s="185"/>
      <c r="M5339" s="185"/>
      <c r="N5339" s="185"/>
      <c r="O5339" s="215">
        <v>155.13999999999999</v>
      </c>
      <c r="P5339" s="236"/>
      <c r="Q5339" s="236"/>
      <c r="R5339" s="236"/>
      <c r="S5339" s="236"/>
    </row>
    <row r="5340" spans="1:19" s="237" customFormat="1" x14ac:dyDescent="0.35">
      <c r="A5340" s="229"/>
      <c r="B5340" s="230"/>
      <c r="C5340" s="185"/>
      <c r="D5340" s="185"/>
      <c r="E5340" s="185"/>
      <c r="F5340" s="185"/>
      <c r="G5340" s="185"/>
      <c r="H5340" s="185"/>
      <c r="I5340" s="185"/>
      <c r="J5340" s="185"/>
      <c r="K5340" s="185"/>
      <c r="L5340" s="185"/>
      <c r="M5340" s="185"/>
      <c r="N5340" s="185"/>
      <c r="O5340" s="193"/>
      <c r="P5340" s="236"/>
      <c r="Q5340" s="236"/>
      <c r="R5340" s="236"/>
      <c r="S5340" s="236"/>
    </row>
    <row r="5341" spans="1:19" s="235" customFormat="1" x14ac:dyDescent="0.35">
      <c r="A5341" s="238"/>
      <c r="B5341" s="232" t="s">
        <v>5</v>
      </c>
      <c r="C5341" s="208" t="s">
        <v>1328</v>
      </c>
      <c r="D5341" s="208"/>
      <c r="E5341" s="208"/>
      <c r="F5341" s="208"/>
      <c r="G5341" s="208"/>
      <c r="H5341" s="208"/>
      <c r="I5341" s="208"/>
      <c r="J5341" s="208"/>
      <c r="K5341" s="208"/>
      <c r="L5341" s="208"/>
      <c r="M5341" s="208"/>
      <c r="N5341" s="208"/>
      <c r="O5341" s="196">
        <f>SUM(O5335:O5339)</f>
        <v>2267.1299999999997</v>
      </c>
      <c r="P5341" s="224"/>
      <c r="Q5341" s="224"/>
      <c r="R5341" s="224"/>
      <c r="S5341" s="224"/>
    </row>
    <row r="5342" spans="1:19" s="235" customFormat="1" ht="52.5" x14ac:dyDescent="0.35">
      <c r="A5342" s="226" t="str">
        <f>ORÇAMENTO!A971</f>
        <v>7.5.4.3</v>
      </c>
      <c r="B5342" s="227" t="str">
        <f>VLOOKUP(A5342,ORÇAMENTO!A:K,4,0)</f>
        <v>EXECUÇÃO E COMPACTAÇÃO DE BASE E OU SUB BASE PARA PAVIMENTAÇÃO DE SOLO (PREDOMINANTEMENTE ARENOSO) COM CAL (TEOR DE 4%) - EXCLUSIVE SOLO, ESCAVAÇÃO, CARGA E TRANSPORTE.</v>
      </c>
      <c r="C5342" s="173" t="str">
        <f>VLOOKUP(A5342,ORÇAMENTO!A:K,5,0)</f>
        <v>M³</v>
      </c>
      <c r="D5342" s="173">
        <f>SUM(E5351:O5351)</f>
        <v>850.18000000000006</v>
      </c>
      <c r="E5342" s="173" t="s">
        <v>1718</v>
      </c>
      <c r="F5342" s="173" t="s">
        <v>1719</v>
      </c>
      <c r="G5342" s="173" t="s">
        <v>1720</v>
      </c>
      <c r="H5342" s="173" t="s">
        <v>1721</v>
      </c>
      <c r="I5342" s="173" t="s">
        <v>1722</v>
      </c>
      <c r="J5342" s="173" t="s">
        <v>1723</v>
      </c>
      <c r="K5342" s="173" t="s">
        <v>1724</v>
      </c>
      <c r="L5342" s="173" t="s">
        <v>1753</v>
      </c>
      <c r="M5342" s="173" t="s">
        <v>1768</v>
      </c>
      <c r="N5342" s="173" t="s">
        <v>1727</v>
      </c>
      <c r="O5342" s="173" t="s">
        <v>1728</v>
      </c>
      <c r="P5342" s="224"/>
      <c r="Q5342" s="224"/>
      <c r="R5342" s="224"/>
      <c r="S5342" s="224"/>
    </row>
    <row r="5343" spans="1:19" s="235" customFormat="1" x14ac:dyDescent="0.35">
      <c r="A5343" s="229"/>
      <c r="B5343" s="232" t="s">
        <v>1845</v>
      </c>
      <c r="C5343" s="177"/>
      <c r="D5343" s="177"/>
      <c r="E5343" s="178"/>
      <c r="F5343" s="178"/>
      <c r="G5343" s="178"/>
      <c r="H5343" s="178"/>
      <c r="I5343" s="178"/>
      <c r="J5343" s="178"/>
      <c r="K5343" s="178"/>
      <c r="L5343" s="178"/>
      <c r="M5343" s="178"/>
      <c r="N5343" s="178"/>
      <c r="O5343" s="178"/>
      <c r="P5343" s="224"/>
      <c r="Q5343" s="224"/>
      <c r="R5343" s="224"/>
      <c r="S5343" s="224"/>
    </row>
    <row r="5344" spans="1:19" s="235" customFormat="1" x14ac:dyDescent="0.35">
      <c r="A5344" s="229"/>
      <c r="B5344" s="232" t="s">
        <v>1861</v>
      </c>
      <c r="C5344" s="177"/>
      <c r="D5344" s="177"/>
      <c r="E5344" s="178"/>
      <c r="F5344" s="178"/>
      <c r="G5344" s="178"/>
      <c r="H5344" s="178"/>
      <c r="I5344" s="178"/>
      <c r="J5344" s="178"/>
      <c r="K5344" s="178"/>
      <c r="L5344" s="178"/>
      <c r="M5344" s="178"/>
      <c r="N5344" s="178"/>
      <c r="O5344" s="178"/>
      <c r="P5344" s="224"/>
      <c r="Q5344" s="224"/>
      <c r="R5344" s="224"/>
      <c r="S5344" s="224"/>
    </row>
    <row r="5345" spans="1:19" s="237" customFormat="1" x14ac:dyDescent="0.35">
      <c r="A5345" s="229"/>
      <c r="B5345" s="230" t="str">
        <f>B5335</f>
        <v>VIA 4 - ESTACA 16+7,98 A 41+12,55</v>
      </c>
      <c r="C5345" s="185"/>
      <c r="D5345" s="185"/>
      <c r="E5345" s="185"/>
      <c r="F5345" s="185"/>
      <c r="G5345" s="185"/>
      <c r="H5345" s="185">
        <v>0.15</v>
      </c>
      <c r="I5345" s="185"/>
      <c r="J5345" s="185"/>
      <c r="K5345" s="185"/>
      <c r="L5345" s="185"/>
      <c r="M5345" s="185"/>
      <c r="N5345" s="185"/>
      <c r="O5345" s="215">
        <v>552.51</v>
      </c>
      <c r="P5345" s="236"/>
      <c r="Q5345" s="236"/>
      <c r="R5345" s="236"/>
      <c r="S5345" s="236"/>
    </row>
    <row r="5346" spans="1:19" s="237" customFormat="1" x14ac:dyDescent="0.35">
      <c r="A5346" s="229"/>
      <c r="B5346" s="230" t="str">
        <f>B5336</f>
        <v>VIA 5 - ESTACA 0+0,00 A 3+18,85</v>
      </c>
      <c r="C5346" s="185"/>
      <c r="D5346" s="185"/>
      <c r="E5346" s="185"/>
      <c r="F5346" s="185"/>
      <c r="G5346" s="185"/>
      <c r="H5346" s="185">
        <v>0.15</v>
      </c>
      <c r="I5346" s="185"/>
      <c r="J5346" s="185"/>
      <c r="K5346" s="185"/>
      <c r="L5346" s="185"/>
      <c r="M5346" s="185"/>
      <c r="N5346" s="185"/>
      <c r="O5346" s="215">
        <v>86.34</v>
      </c>
      <c r="P5346" s="236"/>
      <c r="Q5346" s="236"/>
      <c r="R5346" s="236"/>
      <c r="S5346" s="236"/>
    </row>
    <row r="5347" spans="1:19" s="237" customFormat="1" x14ac:dyDescent="0.35">
      <c r="A5347" s="229"/>
      <c r="B5347" s="230" t="str">
        <f>B5337</f>
        <v>VIA 6 - ESTACA 0+0,00 A 3+15,85</v>
      </c>
      <c r="C5347" s="185"/>
      <c r="D5347" s="185"/>
      <c r="E5347" s="185"/>
      <c r="F5347" s="185"/>
      <c r="G5347" s="185"/>
      <c r="H5347" s="185">
        <v>0.15</v>
      </c>
      <c r="I5347" s="185"/>
      <c r="J5347" s="185"/>
      <c r="K5347" s="185"/>
      <c r="L5347" s="185"/>
      <c r="M5347" s="185"/>
      <c r="N5347" s="185"/>
      <c r="O5347" s="215">
        <v>83.06</v>
      </c>
      <c r="P5347" s="236"/>
      <c r="Q5347" s="236"/>
      <c r="R5347" s="236"/>
      <c r="S5347" s="236"/>
    </row>
    <row r="5348" spans="1:19" s="237" customFormat="1" x14ac:dyDescent="0.35">
      <c r="A5348" s="229"/>
      <c r="B5348" s="230" t="str">
        <f>B5338</f>
        <v>VIA 7 - ESTACA 0+0,00 A 3+4,01</v>
      </c>
      <c r="C5348" s="185"/>
      <c r="D5348" s="185"/>
      <c r="E5348" s="185"/>
      <c r="F5348" s="185"/>
      <c r="G5348" s="185"/>
      <c r="H5348" s="185">
        <v>0.15</v>
      </c>
      <c r="I5348" s="185"/>
      <c r="J5348" s="185"/>
      <c r="K5348" s="185"/>
      <c r="L5348" s="185"/>
      <c r="M5348" s="185"/>
      <c r="N5348" s="185"/>
      <c r="O5348" s="215">
        <v>70.09</v>
      </c>
      <c r="P5348" s="236"/>
      <c r="Q5348" s="236"/>
      <c r="R5348" s="236"/>
      <c r="S5348" s="236"/>
    </row>
    <row r="5349" spans="1:19" s="237" customFormat="1" x14ac:dyDescent="0.35">
      <c r="A5349" s="229"/>
      <c r="B5349" s="230" t="str">
        <f>B5339</f>
        <v>VIA 8 - ESTACA 0+0,00 A 2+13,13</v>
      </c>
      <c r="C5349" s="185"/>
      <c r="D5349" s="185"/>
      <c r="E5349" s="185"/>
      <c r="F5349" s="185"/>
      <c r="G5349" s="185"/>
      <c r="H5349" s="185">
        <v>0.15</v>
      </c>
      <c r="I5349" s="185"/>
      <c r="J5349" s="185"/>
      <c r="K5349" s="185"/>
      <c r="L5349" s="185"/>
      <c r="M5349" s="185"/>
      <c r="N5349" s="185"/>
      <c r="O5349" s="215">
        <v>58.18</v>
      </c>
      <c r="P5349" s="236"/>
      <c r="Q5349" s="236"/>
      <c r="R5349" s="236"/>
      <c r="S5349" s="236"/>
    </row>
    <row r="5350" spans="1:19" s="237" customFormat="1" x14ac:dyDescent="0.35">
      <c r="A5350" s="229"/>
      <c r="B5350" s="230"/>
      <c r="C5350" s="185"/>
      <c r="D5350" s="185"/>
      <c r="E5350" s="185"/>
      <c r="F5350" s="185"/>
      <c r="G5350" s="185"/>
      <c r="H5350" s="185"/>
      <c r="I5350" s="185"/>
      <c r="J5350" s="185"/>
      <c r="K5350" s="185"/>
      <c r="L5350" s="185"/>
      <c r="M5350" s="185"/>
      <c r="N5350" s="185"/>
      <c r="O5350" s="193"/>
      <c r="P5350" s="236"/>
      <c r="Q5350" s="236"/>
      <c r="R5350" s="236"/>
      <c r="S5350" s="236"/>
    </row>
    <row r="5351" spans="1:19" s="235" customFormat="1" x14ac:dyDescent="0.35">
      <c r="A5351" s="238"/>
      <c r="B5351" s="232" t="s">
        <v>5</v>
      </c>
      <c r="C5351" s="208" t="s">
        <v>1328</v>
      </c>
      <c r="D5351" s="208"/>
      <c r="E5351" s="208"/>
      <c r="F5351" s="208"/>
      <c r="G5351" s="208"/>
      <c r="H5351" s="208"/>
      <c r="I5351" s="208"/>
      <c r="J5351" s="208"/>
      <c r="K5351" s="208"/>
      <c r="L5351" s="208"/>
      <c r="M5351" s="208"/>
      <c r="N5351" s="208"/>
      <c r="O5351" s="196">
        <f>SUM(O5345:O5349)</f>
        <v>850.18000000000006</v>
      </c>
      <c r="P5351" s="224"/>
      <c r="Q5351" s="224"/>
      <c r="R5351" s="224"/>
      <c r="S5351" s="224"/>
    </row>
    <row r="5352" spans="1:19" s="235" customFormat="1" ht="21" x14ac:dyDescent="0.35">
      <c r="A5352" s="226" t="str">
        <f>ORÇAMENTO!A972</f>
        <v>7.5.4.4</v>
      </c>
      <c r="B5352" s="227" t="str">
        <f>VLOOKUP(A5352,ORÇAMENTO!A:K,4,0)</f>
        <v>BASE OU SUB-BASE DE BRITA GRADUADA COM BRITA COMERCIAL</v>
      </c>
      <c r="C5352" s="173" t="str">
        <f>VLOOKUP(A5352,ORÇAMENTO!A:K,5,0)</f>
        <v>M³</v>
      </c>
      <c r="D5352" s="173">
        <f>SUM(E5361:O5361)</f>
        <v>823.38000000000011</v>
      </c>
      <c r="E5352" s="173" t="s">
        <v>1718</v>
      </c>
      <c r="F5352" s="173" t="s">
        <v>1719</v>
      </c>
      <c r="G5352" s="173" t="s">
        <v>1720</v>
      </c>
      <c r="H5352" s="173" t="s">
        <v>1721</v>
      </c>
      <c r="I5352" s="173" t="s">
        <v>1722</v>
      </c>
      <c r="J5352" s="173" t="s">
        <v>1723</v>
      </c>
      <c r="K5352" s="173" t="s">
        <v>1724</v>
      </c>
      <c r="L5352" s="173" t="s">
        <v>1753</v>
      </c>
      <c r="M5352" s="173" t="s">
        <v>1768</v>
      </c>
      <c r="N5352" s="173" t="s">
        <v>1727</v>
      </c>
      <c r="O5352" s="173" t="s">
        <v>1728</v>
      </c>
      <c r="P5352" s="224"/>
      <c r="Q5352" s="224"/>
      <c r="R5352" s="224"/>
      <c r="S5352" s="224"/>
    </row>
    <row r="5353" spans="1:19" s="235" customFormat="1" x14ac:dyDescent="0.35">
      <c r="A5353" s="229"/>
      <c r="B5353" s="232" t="s">
        <v>1845</v>
      </c>
      <c r="C5353" s="177"/>
      <c r="D5353" s="177"/>
      <c r="E5353" s="178"/>
      <c r="F5353" s="178"/>
      <c r="G5353" s="178"/>
      <c r="H5353" s="178"/>
      <c r="I5353" s="178"/>
      <c r="J5353" s="178"/>
      <c r="K5353" s="178"/>
      <c r="L5353" s="178"/>
      <c r="M5353" s="178"/>
      <c r="N5353" s="178"/>
      <c r="O5353" s="178"/>
      <c r="P5353" s="224"/>
      <c r="Q5353" s="224"/>
      <c r="R5353" s="224"/>
      <c r="S5353" s="224"/>
    </row>
    <row r="5354" spans="1:19" s="235" customFormat="1" x14ac:dyDescent="0.35">
      <c r="A5354" s="229"/>
      <c r="B5354" s="232" t="s">
        <v>1862</v>
      </c>
      <c r="C5354" s="177"/>
      <c r="D5354" s="177"/>
      <c r="E5354" s="178"/>
      <c r="F5354" s="178"/>
      <c r="G5354" s="178"/>
      <c r="H5354" s="178"/>
      <c r="I5354" s="178"/>
      <c r="J5354" s="178"/>
      <c r="K5354" s="178"/>
      <c r="L5354" s="178"/>
      <c r="M5354" s="178"/>
      <c r="N5354" s="178"/>
      <c r="O5354" s="178"/>
      <c r="P5354" s="224"/>
      <c r="Q5354" s="224"/>
      <c r="R5354" s="224"/>
      <c r="S5354" s="224"/>
    </row>
    <row r="5355" spans="1:19" s="237" customFormat="1" x14ac:dyDescent="0.35">
      <c r="A5355" s="229"/>
      <c r="B5355" s="230" t="str">
        <f>B5345</f>
        <v>VIA 4 - ESTACA 16+7,98 A 41+12,55</v>
      </c>
      <c r="C5355" s="185"/>
      <c r="D5355" s="185"/>
      <c r="E5355" s="185"/>
      <c r="F5355" s="185"/>
      <c r="G5355" s="185"/>
      <c r="H5355" s="185">
        <v>0.15</v>
      </c>
      <c r="I5355" s="185"/>
      <c r="J5355" s="185"/>
      <c r="K5355" s="185"/>
      <c r="L5355" s="185"/>
      <c r="M5355" s="185"/>
      <c r="N5355" s="185"/>
      <c r="O5355" s="215">
        <v>535.1</v>
      </c>
      <c r="P5355" s="236"/>
      <c r="Q5355" s="236"/>
      <c r="R5355" s="236"/>
      <c r="S5355" s="236"/>
    </row>
    <row r="5356" spans="1:19" s="237" customFormat="1" x14ac:dyDescent="0.35">
      <c r="A5356" s="229"/>
      <c r="B5356" s="230" t="str">
        <f>B5346</f>
        <v>VIA 5 - ESTACA 0+0,00 A 3+18,85</v>
      </c>
      <c r="C5356" s="185"/>
      <c r="D5356" s="185"/>
      <c r="E5356" s="185"/>
      <c r="F5356" s="185"/>
      <c r="G5356" s="185"/>
      <c r="H5356" s="185">
        <v>0.15</v>
      </c>
      <c r="I5356" s="185"/>
      <c r="J5356" s="185"/>
      <c r="K5356" s="185"/>
      <c r="L5356" s="185"/>
      <c r="M5356" s="185"/>
      <c r="N5356" s="185"/>
      <c r="O5356" s="215">
        <v>83.62</v>
      </c>
      <c r="P5356" s="236"/>
      <c r="Q5356" s="236"/>
      <c r="R5356" s="236"/>
      <c r="S5356" s="236"/>
    </row>
    <row r="5357" spans="1:19" s="237" customFormat="1" x14ac:dyDescent="0.35">
      <c r="A5357" s="229"/>
      <c r="B5357" s="230" t="str">
        <f>B5347</f>
        <v>VIA 6 - ESTACA 0+0,00 A 3+15,85</v>
      </c>
      <c r="C5357" s="185"/>
      <c r="D5357" s="185"/>
      <c r="E5357" s="185"/>
      <c r="F5357" s="185"/>
      <c r="G5357" s="185"/>
      <c r="H5357" s="185">
        <v>0.15</v>
      </c>
      <c r="I5357" s="185"/>
      <c r="J5357" s="185"/>
      <c r="K5357" s="185"/>
      <c r="L5357" s="185"/>
      <c r="M5357" s="185"/>
      <c r="N5357" s="185"/>
      <c r="O5357" s="215">
        <v>80.44</v>
      </c>
      <c r="P5357" s="236"/>
      <c r="Q5357" s="236"/>
      <c r="R5357" s="236"/>
      <c r="S5357" s="236"/>
    </row>
    <row r="5358" spans="1:19" s="237" customFormat="1" x14ac:dyDescent="0.35">
      <c r="A5358" s="229"/>
      <c r="B5358" s="230" t="str">
        <f>B5348</f>
        <v>VIA 7 - ESTACA 0+0,00 A 3+4,01</v>
      </c>
      <c r="C5358" s="185"/>
      <c r="D5358" s="185"/>
      <c r="E5358" s="185"/>
      <c r="F5358" s="185"/>
      <c r="G5358" s="185"/>
      <c r="H5358" s="185">
        <v>0.15</v>
      </c>
      <c r="I5358" s="185"/>
      <c r="J5358" s="185"/>
      <c r="K5358" s="185"/>
      <c r="L5358" s="185"/>
      <c r="M5358" s="185"/>
      <c r="N5358" s="185"/>
      <c r="O5358" s="215">
        <v>67.88</v>
      </c>
      <c r="P5358" s="236"/>
      <c r="Q5358" s="236"/>
      <c r="R5358" s="236"/>
      <c r="S5358" s="236"/>
    </row>
    <row r="5359" spans="1:19" s="237" customFormat="1" x14ac:dyDescent="0.35">
      <c r="A5359" s="229"/>
      <c r="B5359" s="230" t="str">
        <f>B5349</f>
        <v>VIA 8 - ESTACA 0+0,00 A 2+13,13</v>
      </c>
      <c r="C5359" s="185"/>
      <c r="D5359" s="185"/>
      <c r="E5359" s="185"/>
      <c r="F5359" s="185"/>
      <c r="G5359" s="185"/>
      <c r="H5359" s="185">
        <v>0.15</v>
      </c>
      <c r="I5359" s="185"/>
      <c r="J5359" s="185"/>
      <c r="K5359" s="185"/>
      <c r="L5359" s="185"/>
      <c r="M5359" s="185"/>
      <c r="N5359" s="185"/>
      <c r="O5359" s="215">
        <v>56.34</v>
      </c>
      <c r="P5359" s="236"/>
      <c r="Q5359" s="236"/>
      <c r="R5359" s="236"/>
      <c r="S5359" s="236"/>
    </row>
    <row r="5360" spans="1:19" s="237" customFormat="1" x14ac:dyDescent="0.35">
      <c r="A5360" s="229"/>
      <c r="B5360" s="230"/>
      <c r="C5360" s="185"/>
      <c r="D5360" s="185"/>
      <c r="E5360" s="185"/>
      <c r="F5360" s="185"/>
      <c r="G5360" s="185"/>
      <c r="H5360" s="185"/>
      <c r="I5360" s="185"/>
      <c r="J5360" s="185"/>
      <c r="K5360" s="185"/>
      <c r="L5360" s="185"/>
      <c r="M5360" s="185"/>
      <c r="N5360" s="185"/>
      <c r="O5360" s="193"/>
      <c r="P5360" s="236"/>
      <c r="Q5360" s="236"/>
      <c r="R5360" s="236"/>
      <c r="S5360" s="236"/>
    </row>
    <row r="5361" spans="1:19" s="235" customFormat="1" x14ac:dyDescent="0.35">
      <c r="A5361" s="238"/>
      <c r="B5361" s="232" t="s">
        <v>5</v>
      </c>
      <c r="C5361" s="208" t="s">
        <v>1328</v>
      </c>
      <c r="D5361" s="208"/>
      <c r="E5361" s="208"/>
      <c r="F5361" s="208"/>
      <c r="G5361" s="208"/>
      <c r="H5361" s="208"/>
      <c r="I5361" s="208"/>
      <c r="J5361" s="208"/>
      <c r="K5361" s="208"/>
      <c r="L5361" s="208"/>
      <c r="M5361" s="208"/>
      <c r="N5361" s="208"/>
      <c r="O5361" s="196">
        <f>SUM(O5355:O5359)</f>
        <v>823.38000000000011</v>
      </c>
      <c r="P5361" s="224"/>
      <c r="Q5361" s="224"/>
      <c r="R5361" s="224"/>
      <c r="S5361" s="224"/>
    </row>
    <row r="5362" spans="1:19" s="235" customFormat="1" ht="21" x14ac:dyDescent="0.35">
      <c r="A5362" s="226" t="str">
        <f>ORÇAMENTO!A973</f>
        <v>7.5.4.5</v>
      </c>
      <c r="B5362" s="227" t="str">
        <f>VLOOKUP(A5362,ORÇAMENTO!A:K,4,0)</f>
        <v>PINTURA DE LIGAÇÃO (SEM MATERIAL)</v>
      </c>
      <c r="C5362" s="173" t="str">
        <f>VLOOKUP(A5362,ORÇAMENTO!A:K,5,0)</f>
        <v>M²</v>
      </c>
      <c r="D5362" s="173">
        <f>SUM(E5370:O5370)</f>
        <v>5435</v>
      </c>
      <c r="E5362" s="173" t="s">
        <v>1718</v>
      </c>
      <c r="F5362" s="173" t="s">
        <v>1719</v>
      </c>
      <c r="G5362" s="173" t="s">
        <v>1720</v>
      </c>
      <c r="H5362" s="173" t="s">
        <v>1721</v>
      </c>
      <c r="I5362" s="173" t="s">
        <v>1722</v>
      </c>
      <c r="J5362" s="173" t="s">
        <v>1723</v>
      </c>
      <c r="K5362" s="173" t="s">
        <v>1724</v>
      </c>
      <c r="L5362" s="173" t="s">
        <v>1753</v>
      </c>
      <c r="M5362" s="173" t="s">
        <v>1768</v>
      </c>
      <c r="N5362" s="173" t="s">
        <v>1727</v>
      </c>
      <c r="O5362" s="173" t="s">
        <v>1728</v>
      </c>
      <c r="P5362" s="224"/>
      <c r="Q5362" s="224"/>
      <c r="R5362" s="224"/>
      <c r="S5362" s="224"/>
    </row>
    <row r="5363" spans="1:19" s="235" customFormat="1" x14ac:dyDescent="0.35">
      <c r="A5363" s="229"/>
      <c r="B5363" s="232"/>
      <c r="C5363" s="177"/>
      <c r="D5363" s="177"/>
      <c r="E5363" s="178"/>
      <c r="F5363" s="178"/>
      <c r="G5363" s="178"/>
      <c r="H5363" s="178"/>
      <c r="I5363" s="178"/>
      <c r="J5363" s="178"/>
      <c r="K5363" s="178"/>
      <c r="L5363" s="178"/>
      <c r="M5363" s="178"/>
      <c r="N5363" s="178"/>
      <c r="O5363" s="178"/>
      <c r="P5363" s="224"/>
      <c r="Q5363" s="224"/>
      <c r="R5363" s="224"/>
      <c r="S5363" s="224"/>
    </row>
    <row r="5364" spans="1:19" s="237" customFormat="1" x14ac:dyDescent="0.35">
      <c r="A5364" s="229"/>
      <c r="B5364" s="230" t="str">
        <f>B5355</f>
        <v>VIA 4 - ESTACA 16+7,98 A 41+12,55</v>
      </c>
      <c r="C5364" s="178"/>
      <c r="D5364" s="178"/>
      <c r="E5364" s="178"/>
      <c r="F5364" s="178"/>
      <c r="G5364" s="178"/>
      <c r="H5364" s="178"/>
      <c r="I5364" s="178"/>
      <c r="J5364" s="178"/>
      <c r="K5364" s="178"/>
      <c r="L5364" s="178"/>
      <c r="M5364" s="178"/>
      <c r="N5364" s="178">
        <f>O5382/H5382</f>
        <v>3532</v>
      </c>
      <c r="O5364" s="215"/>
      <c r="P5364" s="236"/>
      <c r="Q5364" s="236"/>
      <c r="R5364" s="236"/>
      <c r="S5364" s="236"/>
    </row>
    <row r="5365" spans="1:19" s="237" customFormat="1" x14ac:dyDescent="0.35">
      <c r="A5365" s="229"/>
      <c r="B5365" s="230" t="str">
        <f>B5356</f>
        <v>VIA 5 - ESTACA 0+0,00 A 3+18,85</v>
      </c>
      <c r="C5365" s="178"/>
      <c r="D5365" s="178"/>
      <c r="E5365" s="178"/>
      <c r="F5365" s="178"/>
      <c r="G5365" s="178"/>
      <c r="H5365" s="178"/>
      <c r="I5365" s="178"/>
      <c r="J5365" s="178"/>
      <c r="K5365" s="178"/>
      <c r="L5365" s="178"/>
      <c r="M5365" s="178"/>
      <c r="N5365" s="178">
        <f>O5383/H5383</f>
        <v>552</v>
      </c>
      <c r="O5365" s="215"/>
      <c r="P5365" s="236"/>
      <c r="Q5365" s="236"/>
      <c r="R5365" s="236"/>
      <c r="S5365" s="236"/>
    </row>
    <row r="5366" spans="1:19" s="237" customFormat="1" x14ac:dyDescent="0.35">
      <c r="A5366" s="229"/>
      <c r="B5366" s="230" t="str">
        <f>B5357</f>
        <v>VIA 6 - ESTACA 0+0,00 A 3+15,85</v>
      </c>
      <c r="C5366" s="178"/>
      <c r="D5366" s="178"/>
      <c r="E5366" s="178"/>
      <c r="F5366" s="178"/>
      <c r="G5366" s="178"/>
      <c r="H5366" s="178"/>
      <c r="I5366" s="178"/>
      <c r="J5366" s="178"/>
      <c r="K5366" s="178"/>
      <c r="L5366" s="178"/>
      <c r="M5366" s="178"/>
      <c r="N5366" s="178">
        <f>O5384/H5384</f>
        <v>531</v>
      </c>
      <c r="O5366" s="215"/>
      <c r="P5366" s="236"/>
      <c r="Q5366" s="236"/>
      <c r="R5366" s="236"/>
      <c r="S5366" s="236"/>
    </row>
    <row r="5367" spans="1:19" s="237" customFormat="1" x14ac:dyDescent="0.35">
      <c r="A5367" s="229"/>
      <c r="B5367" s="230" t="str">
        <f>B5358</f>
        <v>VIA 7 - ESTACA 0+0,00 A 3+4,01</v>
      </c>
      <c r="C5367" s="178"/>
      <c r="D5367" s="178"/>
      <c r="E5367" s="178"/>
      <c r="F5367" s="178"/>
      <c r="G5367" s="178"/>
      <c r="H5367" s="178"/>
      <c r="I5367" s="178"/>
      <c r="J5367" s="178"/>
      <c r="K5367" s="178"/>
      <c r="L5367" s="178"/>
      <c r="M5367" s="178"/>
      <c r="N5367" s="178">
        <f>O5385/H5385</f>
        <v>448</v>
      </c>
      <c r="O5367" s="215"/>
      <c r="P5367" s="236"/>
      <c r="Q5367" s="236"/>
      <c r="R5367" s="236"/>
      <c r="S5367" s="236"/>
    </row>
    <row r="5368" spans="1:19" s="237" customFormat="1" x14ac:dyDescent="0.35">
      <c r="A5368" s="229"/>
      <c r="B5368" s="230" t="str">
        <f>B5359</f>
        <v>VIA 8 - ESTACA 0+0,00 A 2+13,13</v>
      </c>
      <c r="C5368" s="178"/>
      <c r="D5368" s="178"/>
      <c r="E5368" s="178"/>
      <c r="F5368" s="178"/>
      <c r="G5368" s="178"/>
      <c r="H5368" s="178"/>
      <c r="I5368" s="178"/>
      <c r="J5368" s="178"/>
      <c r="K5368" s="178"/>
      <c r="L5368" s="178"/>
      <c r="M5368" s="178"/>
      <c r="N5368" s="178">
        <f>O5386/H5386</f>
        <v>372</v>
      </c>
      <c r="O5368" s="215"/>
      <c r="P5368" s="236"/>
      <c r="Q5368" s="236"/>
      <c r="R5368" s="236"/>
      <c r="S5368" s="236"/>
    </row>
    <row r="5369" spans="1:19" s="237" customFormat="1" x14ac:dyDescent="0.35">
      <c r="A5369" s="229"/>
      <c r="B5369" s="230"/>
      <c r="C5369" s="178"/>
      <c r="D5369" s="178"/>
      <c r="E5369" s="178"/>
      <c r="F5369" s="178"/>
      <c r="G5369" s="178"/>
      <c r="H5369" s="178"/>
      <c r="I5369" s="178"/>
      <c r="J5369" s="178"/>
      <c r="K5369" s="178"/>
      <c r="L5369" s="178"/>
      <c r="M5369" s="178"/>
      <c r="N5369" s="178"/>
      <c r="O5369" s="193"/>
      <c r="P5369" s="236"/>
      <c r="Q5369" s="236"/>
      <c r="R5369" s="236"/>
      <c r="S5369" s="236"/>
    </row>
    <row r="5370" spans="1:19" s="235" customFormat="1" x14ac:dyDescent="0.35">
      <c r="A5370" s="238"/>
      <c r="B5370" s="232" t="s">
        <v>5</v>
      </c>
      <c r="C5370" s="182" t="s">
        <v>1328</v>
      </c>
      <c r="D5370" s="182"/>
      <c r="E5370" s="182"/>
      <c r="F5370" s="182"/>
      <c r="G5370" s="182"/>
      <c r="H5370" s="182"/>
      <c r="I5370" s="182"/>
      <c r="J5370" s="182"/>
      <c r="K5370" s="182"/>
      <c r="L5370" s="182"/>
      <c r="M5370" s="182"/>
      <c r="N5370" s="196">
        <f>SUM(N5364:N5368)</f>
        <v>5435</v>
      </c>
      <c r="O5370" s="196"/>
      <c r="P5370" s="224"/>
      <c r="Q5370" s="224"/>
      <c r="R5370" s="224"/>
      <c r="S5370" s="224"/>
    </row>
    <row r="5371" spans="1:19" s="235" customFormat="1" ht="21" x14ac:dyDescent="0.35">
      <c r="A5371" s="226" t="str">
        <f>ORÇAMENTO!A974</f>
        <v>7.5.4.6</v>
      </c>
      <c r="B5371" s="227" t="str">
        <f>VLOOKUP(A5371,ORÇAMENTO!A:K,4,0)</f>
        <v>IMPRIMAÇÃO COM EMULSÃO ASFÁLTICA (SEM MATERIAL)</v>
      </c>
      <c r="C5371" s="173" t="str">
        <f>VLOOKUP(A5371,ORÇAMENTO!A:K,5,0)</f>
        <v>M²</v>
      </c>
      <c r="D5371" s="173">
        <f>SUM(E5379:O5379)</f>
        <v>5435</v>
      </c>
      <c r="E5371" s="173" t="s">
        <v>1718</v>
      </c>
      <c r="F5371" s="173" t="s">
        <v>1719</v>
      </c>
      <c r="G5371" s="173" t="s">
        <v>1720</v>
      </c>
      <c r="H5371" s="173" t="s">
        <v>1721</v>
      </c>
      <c r="I5371" s="173" t="s">
        <v>1722</v>
      </c>
      <c r="J5371" s="173" t="s">
        <v>1723</v>
      </c>
      <c r="K5371" s="173" t="s">
        <v>1724</v>
      </c>
      <c r="L5371" s="173" t="s">
        <v>1753</v>
      </c>
      <c r="M5371" s="173" t="s">
        <v>1768</v>
      </c>
      <c r="N5371" s="173" t="s">
        <v>1727</v>
      </c>
      <c r="O5371" s="173" t="s">
        <v>1728</v>
      </c>
      <c r="P5371" s="224"/>
      <c r="Q5371" s="224"/>
      <c r="R5371" s="224"/>
      <c r="S5371" s="224"/>
    </row>
    <row r="5372" spans="1:19" s="235" customFormat="1" x14ac:dyDescent="0.35">
      <c r="A5372" s="229"/>
      <c r="B5372" s="232"/>
      <c r="C5372" s="177"/>
      <c r="D5372" s="177"/>
      <c r="E5372" s="178"/>
      <c r="F5372" s="178"/>
      <c r="G5372" s="178"/>
      <c r="H5372" s="178"/>
      <c r="I5372" s="178"/>
      <c r="J5372" s="178"/>
      <c r="K5372" s="178"/>
      <c r="L5372" s="178"/>
      <c r="M5372" s="178"/>
      <c r="N5372" s="178"/>
      <c r="O5372" s="178"/>
      <c r="P5372" s="224"/>
      <c r="Q5372" s="224"/>
      <c r="R5372" s="224"/>
      <c r="S5372" s="224"/>
    </row>
    <row r="5373" spans="1:19" s="237" customFormat="1" x14ac:dyDescent="0.35">
      <c r="A5373" s="229"/>
      <c r="B5373" s="230" t="str">
        <f>B5364</f>
        <v>VIA 4 - ESTACA 16+7,98 A 41+12,55</v>
      </c>
      <c r="C5373" s="178"/>
      <c r="D5373" s="178"/>
      <c r="E5373" s="178"/>
      <c r="F5373" s="178"/>
      <c r="G5373" s="178"/>
      <c r="H5373" s="178"/>
      <c r="I5373" s="178"/>
      <c r="J5373" s="178"/>
      <c r="K5373" s="178"/>
      <c r="L5373" s="178"/>
      <c r="M5373" s="178"/>
      <c r="N5373" s="178">
        <f>N5364</f>
        <v>3532</v>
      </c>
      <c r="O5373" s="215"/>
      <c r="P5373" s="236"/>
      <c r="Q5373" s="236"/>
      <c r="R5373" s="236"/>
      <c r="S5373" s="236"/>
    </row>
    <row r="5374" spans="1:19" s="237" customFormat="1" x14ac:dyDescent="0.35">
      <c r="A5374" s="229"/>
      <c r="B5374" s="230" t="str">
        <f>B5365</f>
        <v>VIA 5 - ESTACA 0+0,00 A 3+18,85</v>
      </c>
      <c r="C5374" s="178"/>
      <c r="D5374" s="178"/>
      <c r="E5374" s="178"/>
      <c r="F5374" s="178"/>
      <c r="G5374" s="178"/>
      <c r="H5374" s="178"/>
      <c r="I5374" s="178"/>
      <c r="J5374" s="178"/>
      <c r="K5374" s="178"/>
      <c r="L5374" s="178"/>
      <c r="M5374" s="178"/>
      <c r="N5374" s="178">
        <f>N5365</f>
        <v>552</v>
      </c>
      <c r="O5374" s="215"/>
      <c r="P5374" s="236"/>
      <c r="Q5374" s="236"/>
      <c r="R5374" s="236"/>
      <c r="S5374" s="236"/>
    </row>
    <row r="5375" spans="1:19" s="237" customFormat="1" x14ac:dyDescent="0.35">
      <c r="A5375" s="229"/>
      <c r="B5375" s="230" t="str">
        <f>B5366</f>
        <v>VIA 6 - ESTACA 0+0,00 A 3+15,85</v>
      </c>
      <c r="C5375" s="178"/>
      <c r="D5375" s="178"/>
      <c r="E5375" s="178"/>
      <c r="F5375" s="178"/>
      <c r="G5375" s="178"/>
      <c r="H5375" s="178"/>
      <c r="I5375" s="178"/>
      <c r="J5375" s="178"/>
      <c r="K5375" s="178"/>
      <c r="L5375" s="178"/>
      <c r="M5375" s="178"/>
      <c r="N5375" s="178">
        <f>N5366</f>
        <v>531</v>
      </c>
      <c r="O5375" s="215"/>
      <c r="P5375" s="236"/>
      <c r="Q5375" s="236"/>
      <c r="R5375" s="236"/>
      <c r="S5375" s="236"/>
    </row>
    <row r="5376" spans="1:19" s="237" customFormat="1" x14ac:dyDescent="0.35">
      <c r="A5376" s="229"/>
      <c r="B5376" s="230" t="str">
        <f>B5367</f>
        <v>VIA 7 - ESTACA 0+0,00 A 3+4,01</v>
      </c>
      <c r="C5376" s="178"/>
      <c r="D5376" s="178"/>
      <c r="E5376" s="178"/>
      <c r="F5376" s="178"/>
      <c r="G5376" s="178"/>
      <c r="H5376" s="178"/>
      <c r="I5376" s="178"/>
      <c r="J5376" s="178"/>
      <c r="K5376" s="178"/>
      <c r="L5376" s="178"/>
      <c r="M5376" s="178"/>
      <c r="N5376" s="178">
        <f>N5367</f>
        <v>448</v>
      </c>
      <c r="O5376" s="215"/>
      <c r="P5376" s="236"/>
      <c r="Q5376" s="236"/>
      <c r="R5376" s="236"/>
      <c r="S5376" s="236"/>
    </row>
    <row r="5377" spans="1:19" s="237" customFormat="1" x14ac:dyDescent="0.35">
      <c r="A5377" s="229"/>
      <c r="B5377" s="230" t="str">
        <f>B5368</f>
        <v>VIA 8 - ESTACA 0+0,00 A 2+13,13</v>
      </c>
      <c r="C5377" s="178"/>
      <c r="D5377" s="178"/>
      <c r="E5377" s="178"/>
      <c r="F5377" s="178"/>
      <c r="G5377" s="178"/>
      <c r="H5377" s="178"/>
      <c r="I5377" s="178"/>
      <c r="J5377" s="178"/>
      <c r="K5377" s="178"/>
      <c r="L5377" s="178"/>
      <c r="M5377" s="178"/>
      <c r="N5377" s="178">
        <f>N5368</f>
        <v>372</v>
      </c>
      <c r="O5377" s="215"/>
      <c r="P5377" s="236"/>
      <c r="Q5377" s="236"/>
      <c r="R5377" s="236"/>
      <c r="S5377" s="236"/>
    </row>
    <row r="5378" spans="1:19" s="237" customFormat="1" x14ac:dyDescent="0.35">
      <c r="A5378" s="229"/>
      <c r="B5378" s="230"/>
      <c r="C5378" s="178"/>
      <c r="D5378" s="178"/>
      <c r="E5378" s="178"/>
      <c r="F5378" s="178"/>
      <c r="G5378" s="178"/>
      <c r="H5378" s="178"/>
      <c r="I5378" s="178"/>
      <c r="J5378" s="178"/>
      <c r="K5378" s="178"/>
      <c r="L5378" s="178"/>
      <c r="M5378" s="178"/>
      <c r="N5378" s="178"/>
      <c r="O5378" s="193"/>
      <c r="P5378" s="236"/>
      <c r="Q5378" s="236"/>
      <c r="R5378" s="236"/>
      <c r="S5378" s="236"/>
    </row>
    <row r="5379" spans="1:19" s="235" customFormat="1" x14ac:dyDescent="0.35">
      <c r="A5379" s="238"/>
      <c r="B5379" s="232" t="s">
        <v>5</v>
      </c>
      <c r="C5379" s="182" t="s">
        <v>1328</v>
      </c>
      <c r="D5379" s="182"/>
      <c r="E5379" s="182"/>
      <c r="F5379" s="182"/>
      <c r="G5379" s="182"/>
      <c r="H5379" s="182"/>
      <c r="I5379" s="182"/>
      <c r="J5379" s="182"/>
      <c r="K5379" s="182"/>
      <c r="L5379" s="182"/>
      <c r="M5379" s="182"/>
      <c r="N5379" s="196">
        <f>SUM(N5373:N5377)</f>
        <v>5435</v>
      </c>
      <c r="O5379" s="196"/>
      <c r="P5379" s="224"/>
      <c r="Q5379" s="224"/>
      <c r="R5379" s="224"/>
      <c r="S5379" s="224"/>
    </row>
    <row r="5380" spans="1:19" s="235" customFormat="1" ht="52.5" x14ac:dyDescent="0.35">
      <c r="A5380" s="226" t="str">
        <f>ORÇAMENTO!A975</f>
        <v>7.5.4.7</v>
      </c>
      <c r="B5380" s="227" t="str">
        <f>VLOOKUP(A5380,ORÇAMENTO!A:K,4,0)</f>
        <v>CONSTRUÇÃO DE PAVIMENTO COM APLICAÇÃO CONCRETO BETUMINOSO USINADO A QUENTE (CBUQ), CAMADA DE ROLAMENTO - EXCLUSIVE TRANSPORTE E CARGA  AF_03/2017 (SEM MATERIAL)</v>
      </c>
      <c r="C5380" s="173" t="str">
        <f>VLOOKUP(A5380,ORÇAMENTO!A:K,5,0)</f>
        <v>M³</v>
      </c>
      <c r="D5380" s="173">
        <f>SUM(E5388:O5388)</f>
        <v>163.04999999999998</v>
      </c>
      <c r="E5380" s="173" t="s">
        <v>1718</v>
      </c>
      <c r="F5380" s="173" t="s">
        <v>1719</v>
      </c>
      <c r="G5380" s="173" t="s">
        <v>1720</v>
      </c>
      <c r="H5380" s="173" t="s">
        <v>1721</v>
      </c>
      <c r="I5380" s="173" t="s">
        <v>1722</v>
      </c>
      <c r="J5380" s="173" t="s">
        <v>1723</v>
      </c>
      <c r="K5380" s="173" t="s">
        <v>1724</v>
      </c>
      <c r="L5380" s="173" t="s">
        <v>1753</v>
      </c>
      <c r="M5380" s="173" t="s">
        <v>1768</v>
      </c>
      <c r="N5380" s="173" t="s">
        <v>1727</v>
      </c>
      <c r="O5380" s="173" t="s">
        <v>1728</v>
      </c>
      <c r="P5380" s="224"/>
      <c r="Q5380" s="224"/>
      <c r="R5380" s="224"/>
      <c r="S5380" s="224"/>
    </row>
    <row r="5381" spans="1:19" s="235" customFormat="1" x14ac:dyDescent="0.35">
      <c r="A5381" s="229"/>
      <c r="B5381" s="232" t="s">
        <v>1845</v>
      </c>
      <c r="C5381" s="177"/>
      <c r="D5381" s="177"/>
      <c r="E5381" s="178"/>
      <c r="F5381" s="178"/>
      <c r="G5381" s="178"/>
      <c r="H5381" s="178"/>
      <c r="I5381" s="178"/>
      <c r="J5381" s="178"/>
      <c r="K5381" s="178"/>
      <c r="L5381" s="178"/>
      <c r="M5381" s="178"/>
      <c r="N5381" s="178"/>
      <c r="O5381" s="178"/>
      <c r="P5381" s="224"/>
      <c r="Q5381" s="224"/>
      <c r="R5381" s="224"/>
      <c r="S5381" s="224"/>
    </row>
    <row r="5382" spans="1:19" s="237" customFormat="1" x14ac:dyDescent="0.35">
      <c r="A5382" s="229"/>
      <c r="B5382" s="230" t="str">
        <f>B5355</f>
        <v>VIA 4 - ESTACA 16+7,98 A 41+12,55</v>
      </c>
      <c r="C5382" s="185"/>
      <c r="D5382" s="185"/>
      <c r="E5382" s="185"/>
      <c r="F5382" s="185"/>
      <c r="G5382" s="185"/>
      <c r="H5382" s="185">
        <v>0.03</v>
      </c>
      <c r="I5382" s="185"/>
      <c r="J5382" s="185"/>
      <c r="K5382" s="185"/>
      <c r="L5382" s="185"/>
      <c r="M5382" s="185"/>
      <c r="N5382" s="185"/>
      <c r="O5382" s="215">
        <v>105.96</v>
      </c>
      <c r="P5382" s="236"/>
      <c r="Q5382" s="236"/>
      <c r="R5382" s="236"/>
      <c r="S5382" s="236"/>
    </row>
    <row r="5383" spans="1:19" s="237" customFormat="1" x14ac:dyDescent="0.35">
      <c r="A5383" s="229"/>
      <c r="B5383" s="230" t="str">
        <f>B5356</f>
        <v>VIA 5 - ESTACA 0+0,00 A 3+18,85</v>
      </c>
      <c r="C5383" s="185"/>
      <c r="D5383" s="185"/>
      <c r="E5383" s="185"/>
      <c r="F5383" s="185"/>
      <c r="G5383" s="185"/>
      <c r="H5383" s="185">
        <v>0.03</v>
      </c>
      <c r="I5383" s="185"/>
      <c r="J5383" s="185"/>
      <c r="K5383" s="185"/>
      <c r="L5383" s="185"/>
      <c r="M5383" s="185"/>
      <c r="N5383" s="185"/>
      <c r="O5383" s="215">
        <v>16.559999999999999</v>
      </c>
      <c r="P5383" s="236"/>
      <c r="Q5383" s="236"/>
      <c r="R5383" s="236"/>
      <c r="S5383" s="236"/>
    </row>
    <row r="5384" spans="1:19" s="237" customFormat="1" x14ac:dyDescent="0.35">
      <c r="A5384" s="229"/>
      <c r="B5384" s="230" t="str">
        <f>B5357</f>
        <v>VIA 6 - ESTACA 0+0,00 A 3+15,85</v>
      </c>
      <c r="C5384" s="185"/>
      <c r="D5384" s="185"/>
      <c r="E5384" s="185"/>
      <c r="F5384" s="185"/>
      <c r="G5384" s="185"/>
      <c r="H5384" s="185">
        <v>0.03</v>
      </c>
      <c r="I5384" s="185"/>
      <c r="J5384" s="185"/>
      <c r="K5384" s="185"/>
      <c r="L5384" s="185"/>
      <c r="M5384" s="185"/>
      <c r="N5384" s="185"/>
      <c r="O5384" s="215">
        <v>15.93</v>
      </c>
      <c r="P5384" s="236"/>
      <c r="Q5384" s="236"/>
      <c r="R5384" s="236"/>
      <c r="S5384" s="236"/>
    </row>
    <row r="5385" spans="1:19" s="237" customFormat="1" x14ac:dyDescent="0.35">
      <c r="A5385" s="229"/>
      <c r="B5385" s="230" t="str">
        <f>B5358</f>
        <v>VIA 7 - ESTACA 0+0,00 A 3+4,01</v>
      </c>
      <c r="C5385" s="185"/>
      <c r="D5385" s="185"/>
      <c r="E5385" s="185"/>
      <c r="F5385" s="185"/>
      <c r="G5385" s="185"/>
      <c r="H5385" s="185">
        <v>0.03</v>
      </c>
      <c r="I5385" s="185"/>
      <c r="J5385" s="185"/>
      <c r="K5385" s="185"/>
      <c r="L5385" s="185"/>
      <c r="M5385" s="185"/>
      <c r="N5385" s="185"/>
      <c r="O5385" s="215">
        <v>13.44</v>
      </c>
      <c r="P5385" s="236"/>
      <c r="Q5385" s="236"/>
      <c r="R5385" s="236"/>
      <c r="S5385" s="236"/>
    </row>
    <row r="5386" spans="1:19" s="237" customFormat="1" x14ac:dyDescent="0.35">
      <c r="A5386" s="229"/>
      <c r="B5386" s="230" t="str">
        <f>B5359</f>
        <v>VIA 8 - ESTACA 0+0,00 A 2+13,13</v>
      </c>
      <c r="C5386" s="185"/>
      <c r="D5386" s="185"/>
      <c r="E5386" s="185"/>
      <c r="F5386" s="185"/>
      <c r="G5386" s="185"/>
      <c r="H5386" s="185">
        <v>0.03</v>
      </c>
      <c r="I5386" s="185"/>
      <c r="J5386" s="185"/>
      <c r="K5386" s="185"/>
      <c r="L5386" s="185"/>
      <c r="M5386" s="185"/>
      <c r="N5386" s="185"/>
      <c r="O5386" s="215">
        <v>11.16</v>
      </c>
      <c r="P5386" s="236"/>
      <c r="Q5386" s="236"/>
      <c r="R5386" s="236"/>
      <c r="S5386" s="236"/>
    </row>
    <row r="5387" spans="1:19" s="237" customFormat="1" x14ac:dyDescent="0.35">
      <c r="A5387" s="229"/>
      <c r="B5387" s="230"/>
      <c r="C5387" s="185"/>
      <c r="D5387" s="185"/>
      <c r="E5387" s="185"/>
      <c r="F5387" s="185"/>
      <c r="G5387" s="185"/>
      <c r="H5387" s="185"/>
      <c r="I5387" s="185"/>
      <c r="J5387" s="185"/>
      <c r="K5387" s="185"/>
      <c r="L5387" s="185"/>
      <c r="M5387" s="185"/>
      <c r="N5387" s="185"/>
      <c r="O5387" s="193"/>
      <c r="P5387" s="236"/>
      <c r="Q5387" s="236"/>
      <c r="R5387" s="236"/>
      <c r="S5387" s="236"/>
    </row>
    <row r="5388" spans="1:19" s="235" customFormat="1" x14ac:dyDescent="0.35">
      <c r="A5388" s="238"/>
      <c r="B5388" s="232" t="s">
        <v>5</v>
      </c>
      <c r="C5388" s="208" t="s">
        <v>1328</v>
      </c>
      <c r="D5388" s="208"/>
      <c r="E5388" s="208"/>
      <c r="F5388" s="208"/>
      <c r="G5388" s="208"/>
      <c r="H5388" s="208"/>
      <c r="I5388" s="208"/>
      <c r="J5388" s="208"/>
      <c r="K5388" s="208"/>
      <c r="L5388" s="208"/>
      <c r="M5388" s="208"/>
      <c r="N5388" s="208"/>
      <c r="O5388" s="196">
        <f>SUM(O5382:O5386)</f>
        <v>163.04999999999998</v>
      </c>
      <c r="P5388" s="224"/>
      <c r="Q5388" s="224"/>
      <c r="R5388" s="224"/>
      <c r="S5388" s="224"/>
    </row>
    <row r="5389" spans="1:19" s="235" customFormat="1" ht="21" x14ac:dyDescent="0.35">
      <c r="A5389" s="226" t="str">
        <f>ORÇAMENTO!A976</f>
        <v>7.5.4.8</v>
      </c>
      <c r="B5389" s="227" t="str">
        <f>VLOOKUP(A5389,ORÇAMENTO!A:K,4,0)</f>
        <v>ENLEIVAMENTO</v>
      </c>
      <c r="C5389" s="173" t="str">
        <f>VLOOKUP(A5389,ORÇAMENTO!A:K,5,0)</f>
        <v>M²</v>
      </c>
      <c r="D5389" s="173">
        <f>SUM(E5397:O5397)</f>
        <v>653.75</v>
      </c>
      <c r="E5389" s="173" t="s">
        <v>1718</v>
      </c>
      <c r="F5389" s="173" t="s">
        <v>1719</v>
      </c>
      <c r="G5389" s="173" t="s">
        <v>1720</v>
      </c>
      <c r="H5389" s="173" t="s">
        <v>1721</v>
      </c>
      <c r="I5389" s="173" t="s">
        <v>1722</v>
      </c>
      <c r="J5389" s="173" t="s">
        <v>1723</v>
      </c>
      <c r="K5389" s="173" t="s">
        <v>1724</v>
      </c>
      <c r="L5389" s="173" t="s">
        <v>1753</v>
      </c>
      <c r="M5389" s="173" t="s">
        <v>1768</v>
      </c>
      <c r="N5389" s="173" t="s">
        <v>1727</v>
      </c>
      <c r="O5389" s="173" t="s">
        <v>1728</v>
      </c>
      <c r="P5389" s="224"/>
      <c r="Q5389" s="224"/>
      <c r="R5389" s="224"/>
      <c r="S5389" s="224"/>
    </row>
    <row r="5390" spans="1:19" s="235" customFormat="1" x14ac:dyDescent="0.35">
      <c r="A5390" s="229"/>
      <c r="B5390" s="232" t="s">
        <v>1845</v>
      </c>
      <c r="C5390" s="177"/>
      <c r="D5390" s="177"/>
      <c r="E5390" s="178"/>
      <c r="F5390" s="178"/>
      <c r="G5390" s="178"/>
      <c r="H5390" s="178"/>
      <c r="I5390" s="178"/>
      <c r="J5390" s="178"/>
      <c r="K5390" s="178"/>
      <c r="L5390" s="178"/>
      <c r="M5390" s="178"/>
      <c r="N5390" s="178"/>
      <c r="O5390" s="178"/>
      <c r="P5390" s="224"/>
      <c r="Q5390" s="224"/>
      <c r="R5390" s="224"/>
      <c r="S5390" s="224"/>
    </row>
    <row r="5391" spans="1:19" s="237" customFormat="1" x14ac:dyDescent="0.35">
      <c r="A5391" s="229"/>
      <c r="B5391" s="230" t="str">
        <f>B5364</f>
        <v>VIA 4 - ESTACA 16+7,98 A 41+12,55</v>
      </c>
      <c r="C5391" s="178"/>
      <c r="D5391" s="178"/>
      <c r="E5391" s="178"/>
      <c r="F5391" s="178"/>
      <c r="G5391" s="178"/>
      <c r="H5391" s="178"/>
      <c r="I5391" s="178"/>
      <c r="J5391" s="178"/>
      <c r="K5391" s="178"/>
      <c r="L5391" s="178"/>
      <c r="M5391" s="178"/>
      <c r="N5391" s="178">
        <v>458.78</v>
      </c>
      <c r="O5391" s="215"/>
      <c r="P5391" s="236"/>
      <c r="Q5391" s="236"/>
      <c r="R5391" s="236"/>
      <c r="S5391" s="236"/>
    </row>
    <row r="5392" spans="1:19" s="237" customFormat="1" x14ac:dyDescent="0.35">
      <c r="A5392" s="229"/>
      <c r="B5392" s="230" t="str">
        <f>B5365</f>
        <v>VIA 5 - ESTACA 0+0,00 A 3+18,85</v>
      </c>
      <c r="C5392" s="178"/>
      <c r="D5392" s="178"/>
      <c r="E5392" s="178"/>
      <c r="F5392" s="178"/>
      <c r="G5392" s="178"/>
      <c r="H5392" s="178"/>
      <c r="I5392" s="178"/>
      <c r="J5392" s="178"/>
      <c r="K5392" s="178"/>
      <c r="L5392" s="178"/>
      <c r="M5392" s="178"/>
      <c r="N5392" s="178">
        <v>54.9</v>
      </c>
      <c r="O5392" s="215"/>
      <c r="P5392" s="236"/>
      <c r="Q5392" s="236"/>
      <c r="R5392" s="236"/>
      <c r="S5392" s="236"/>
    </row>
    <row r="5393" spans="1:19" s="237" customFormat="1" x14ac:dyDescent="0.35">
      <c r="A5393" s="229"/>
      <c r="B5393" s="230" t="str">
        <f>B5366</f>
        <v>VIA 6 - ESTACA 0+0,00 A 3+15,85</v>
      </c>
      <c r="C5393" s="178"/>
      <c r="D5393" s="178"/>
      <c r="E5393" s="178"/>
      <c r="F5393" s="178"/>
      <c r="G5393" s="178"/>
      <c r="H5393" s="178"/>
      <c r="I5393" s="178"/>
      <c r="J5393" s="178"/>
      <c r="K5393" s="178"/>
      <c r="L5393" s="178"/>
      <c r="M5393" s="178"/>
      <c r="N5393" s="178">
        <v>58.89</v>
      </c>
      <c r="O5393" s="215"/>
      <c r="P5393" s="236"/>
      <c r="Q5393" s="236"/>
      <c r="R5393" s="236"/>
      <c r="S5393" s="236"/>
    </row>
    <row r="5394" spans="1:19" s="237" customFormat="1" x14ac:dyDescent="0.35">
      <c r="A5394" s="229"/>
      <c r="B5394" s="230" t="str">
        <f>B5367</f>
        <v>VIA 7 - ESTACA 0+0,00 A 3+4,01</v>
      </c>
      <c r="C5394" s="178"/>
      <c r="D5394" s="178"/>
      <c r="E5394" s="178"/>
      <c r="F5394" s="178"/>
      <c r="G5394" s="178"/>
      <c r="H5394" s="178"/>
      <c r="I5394" s="178"/>
      <c r="J5394" s="178"/>
      <c r="K5394" s="178"/>
      <c r="L5394" s="178"/>
      <c r="M5394" s="178"/>
      <c r="N5394" s="178">
        <v>56.61</v>
      </c>
      <c r="O5394" s="215"/>
      <c r="P5394" s="236"/>
      <c r="Q5394" s="236"/>
      <c r="R5394" s="236"/>
      <c r="S5394" s="236"/>
    </row>
    <row r="5395" spans="1:19" s="237" customFormat="1" x14ac:dyDescent="0.35">
      <c r="A5395" s="229"/>
      <c r="B5395" s="230" t="str">
        <f>B5368</f>
        <v>VIA 8 - ESTACA 0+0,00 A 2+13,13</v>
      </c>
      <c r="C5395" s="178"/>
      <c r="D5395" s="178"/>
      <c r="E5395" s="178"/>
      <c r="F5395" s="178"/>
      <c r="G5395" s="178"/>
      <c r="H5395" s="178"/>
      <c r="I5395" s="178"/>
      <c r="J5395" s="178"/>
      <c r="K5395" s="178"/>
      <c r="L5395" s="178"/>
      <c r="M5395" s="178"/>
      <c r="N5395" s="178">
        <v>24.57</v>
      </c>
      <c r="O5395" s="215"/>
      <c r="P5395" s="236"/>
      <c r="Q5395" s="236"/>
      <c r="R5395" s="236"/>
      <c r="S5395" s="236"/>
    </row>
    <row r="5396" spans="1:19" s="237" customFormat="1" x14ac:dyDescent="0.35">
      <c r="A5396" s="229"/>
      <c r="B5396" s="230"/>
      <c r="C5396" s="178"/>
      <c r="D5396" s="178"/>
      <c r="E5396" s="178"/>
      <c r="F5396" s="178"/>
      <c r="G5396" s="178"/>
      <c r="H5396" s="178"/>
      <c r="I5396" s="178"/>
      <c r="J5396" s="178"/>
      <c r="K5396" s="178"/>
      <c r="L5396" s="178"/>
      <c r="M5396" s="178"/>
      <c r="N5396" s="178"/>
      <c r="O5396" s="193"/>
      <c r="P5396" s="236"/>
      <c r="Q5396" s="236"/>
      <c r="R5396" s="236"/>
      <c r="S5396" s="236"/>
    </row>
    <row r="5397" spans="1:19" s="235" customFormat="1" x14ac:dyDescent="0.35">
      <c r="A5397" s="238"/>
      <c r="B5397" s="232" t="s">
        <v>5</v>
      </c>
      <c r="C5397" s="182" t="s">
        <v>1328</v>
      </c>
      <c r="D5397" s="182"/>
      <c r="E5397" s="182"/>
      <c r="F5397" s="182"/>
      <c r="G5397" s="182"/>
      <c r="H5397" s="182"/>
      <c r="I5397" s="182"/>
      <c r="J5397" s="182"/>
      <c r="K5397" s="182"/>
      <c r="L5397" s="182"/>
      <c r="M5397" s="182"/>
      <c r="N5397" s="196">
        <f>SUM(N5391:N5395)</f>
        <v>653.75</v>
      </c>
      <c r="O5397" s="196"/>
      <c r="P5397" s="224"/>
      <c r="Q5397" s="224"/>
      <c r="R5397" s="224"/>
      <c r="S5397" s="224"/>
    </row>
    <row r="5398" spans="1:19" s="235" customFormat="1" ht="21" x14ac:dyDescent="0.35">
      <c r="A5398" s="226" t="str">
        <f>ORÇAMENTO!A977</f>
        <v>7.5.4.9</v>
      </c>
      <c r="B5398" s="227" t="str">
        <f>VLOOKUP(A5398,ORÇAMENTO!A:K,4,0)</f>
        <v>USINAGEM DE CBUQ SEM  CAP 50/70, PARA CAPA DE ROLAMENTO (SEM MATERIAL  E TRANSPORTE)</v>
      </c>
      <c r="C5398" s="173" t="str">
        <f>VLOOKUP(A5398,ORÇAMENTO!A:K,5,0)</f>
        <v>T</v>
      </c>
      <c r="D5398" s="173">
        <f>SUM(E5410:O5410)</f>
        <v>391.31999999999994</v>
      </c>
      <c r="E5398" s="173" t="s">
        <v>1718</v>
      </c>
      <c r="F5398" s="173" t="s">
        <v>1719</v>
      </c>
      <c r="G5398" s="173" t="s">
        <v>1720</v>
      </c>
      <c r="H5398" s="173" t="s">
        <v>1721</v>
      </c>
      <c r="I5398" s="173" t="s">
        <v>1722</v>
      </c>
      <c r="J5398" s="173" t="s">
        <v>1723</v>
      </c>
      <c r="K5398" s="173" t="s">
        <v>1746</v>
      </c>
      <c r="L5398" s="173" t="s">
        <v>1753</v>
      </c>
      <c r="M5398" s="173" t="s">
        <v>1768</v>
      </c>
      <c r="N5398" s="173" t="s">
        <v>1727</v>
      </c>
      <c r="O5398" s="173" t="s">
        <v>1728</v>
      </c>
      <c r="P5398" s="224"/>
      <c r="Q5398" s="224"/>
      <c r="R5398" s="224"/>
      <c r="S5398" s="224"/>
    </row>
    <row r="5399" spans="1:19" s="235" customFormat="1" x14ac:dyDescent="0.35">
      <c r="A5399" s="229"/>
      <c r="B5399" s="232"/>
      <c r="C5399" s="177"/>
      <c r="D5399" s="177"/>
      <c r="E5399" s="178"/>
      <c r="F5399" s="178"/>
      <c r="G5399" s="178"/>
      <c r="H5399" s="178"/>
      <c r="I5399" s="178"/>
      <c r="J5399" s="178"/>
      <c r="K5399" s="178"/>
      <c r="L5399" s="178"/>
      <c r="M5399" s="178"/>
      <c r="N5399" s="178"/>
      <c r="O5399" s="178"/>
      <c r="P5399" s="224"/>
      <c r="Q5399" s="224"/>
      <c r="R5399" s="224"/>
      <c r="S5399" s="224"/>
    </row>
    <row r="5400" spans="1:19" s="225" customFormat="1" ht="10.5" x14ac:dyDescent="0.25">
      <c r="A5400" s="229"/>
      <c r="B5400" s="230" t="s">
        <v>1785</v>
      </c>
      <c r="C5400" s="184"/>
      <c r="D5400" s="185"/>
      <c r="E5400" s="185"/>
      <c r="F5400" s="185"/>
      <c r="G5400" s="185"/>
      <c r="H5400" s="185"/>
      <c r="I5400" s="185"/>
      <c r="J5400" s="185"/>
      <c r="K5400" s="185"/>
      <c r="L5400" s="185">
        <v>2.4</v>
      </c>
      <c r="M5400" s="185"/>
      <c r="N5400" s="185"/>
      <c r="O5400" s="185"/>
      <c r="P5400" s="231"/>
      <c r="Q5400" s="224"/>
    </row>
    <row r="5401" spans="1:19" s="225" customFormat="1" ht="21" x14ac:dyDescent="0.25">
      <c r="A5401" s="229"/>
      <c r="B5401" s="230" t="str">
        <f>B5398</f>
        <v>USINAGEM DE CBUQ SEM  CAP 50/70, PARA CAPA DE ROLAMENTO (SEM MATERIAL  E TRANSPORTE)</v>
      </c>
      <c r="C5401" s="184"/>
      <c r="D5401" s="185"/>
      <c r="E5401" s="185"/>
      <c r="F5401" s="185"/>
      <c r="G5401" s="185"/>
      <c r="H5401" s="185"/>
      <c r="I5401" s="185"/>
      <c r="J5401" s="185"/>
      <c r="L5401" s="185"/>
      <c r="M5401" s="185"/>
      <c r="N5401" s="185"/>
      <c r="O5401" s="185"/>
      <c r="P5401" s="231"/>
      <c r="Q5401" s="224"/>
    </row>
    <row r="5402" spans="1:19" s="237" customFormat="1" x14ac:dyDescent="0.35">
      <c r="A5402" s="229"/>
      <c r="B5402" s="230" t="str">
        <f>B5391</f>
        <v>VIA 4 - ESTACA 16+7,98 A 41+12,55</v>
      </c>
      <c r="C5402" s="185"/>
      <c r="D5402" s="185"/>
      <c r="E5402" s="185"/>
      <c r="F5402" s="185"/>
      <c r="G5402" s="185"/>
      <c r="H5402" s="185"/>
      <c r="I5402" s="185"/>
      <c r="J5402" s="185"/>
      <c r="K5402" s="185">
        <f>$L$5400*O5402</f>
        <v>254.30399999999997</v>
      </c>
      <c r="L5402" s="185"/>
      <c r="M5402" s="185"/>
      <c r="N5402" s="185"/>
      <c r="O5402" s="185">
        <f>O5382</f>
        <v>105.96</v>
      </c>
      <c r="P5402" s="236"/>
      <c r="Q5402" s="236"/>
      <c r="R5402" s="236"/>
      <c r="S5402" s="236"/>
    </row>
    <row r="5403" spans="1:19" s="237" customFormat="1" x14ac:dyDescent="0.35">
      <c r="A5403" s="229"/>
      <c r="B5403" s="230" t="str">
        <f>B5392</f>
        <v>VIA 5 - ESTACA 0+0,00 A 3+18,85</v>
      </c>
      <c r="C5403" s="185"/>
      <c r="D5403" s="185"/>
      <c r="E5403" s="185"/>
      <c r="F5403" s="185"/>
      <c r="G5403" s="185"/>
      <c r="H5403" s="185"/>
      <c r="I5403" s="185"/>
      <c r="J5403" s="185"/>
      <c r="K5403" s="185">
        <f>$L$5400*O5403</f>
        <v>39.743999999999993</v>
      </c>
      <c r="L5403" s="185"/>
      <c r="M5403" s="185"/>
      <c r="N5403" s="185"/>
      <c r="O5403" s="185">
        <f>O5383</f>
        <v>16.559999999999999</v>
      </c>
      <c r="P5403" s="236"/>
      <c r="Q5403" s="236"/>
      <c r="R5403" s="236"/>
      <c r="S5403" s="236"/>
    </row>
    <row r="5404" spans="1:19" s="237" customFormat="1" x14ac:dyDescent="0.35">
      <c r="A5404" s="229"/>
      <c r="B5404" s="230" t="str">
        <f>B5393</f>
        <v>VIA 6 - ESTACA 0+0,00 A 3+15,85</v>
      </c>
      <c r="C5404" s="185"/>
      <c r="D5404" s="185"/>
      <c r="E5404" s="185"/>
      <c r="F5404" s="185"/>
      <c r="G5404" s="185"/>
      <c r="H5404" s="185"/>
      <c r="I5404" s="185"/>
      <c r="J5404" s="185"/>
      <c r="K5404" s="185">
        <f>$L$5400*O5404</f>
        <v>38.231999999999999</v>
      </c>
      <c r="L5404" s="185"/>
      <c r="M5404" s="185"/>
      <c r="N5404" s="185"/>
      <c r="O5404" s="185">
        <f>O5384</f>
        <v>15.93</v>
      </c>
      <c r="P5404" s="236"/>
      <c r="Q5404" s="236"/>
      <c r="R5404" s="236"/>
      <c r="S5404" s="236"/>
    </row>
    <row r="5405" spans="1:19" s="237" customFormat="1" x14ac:dyDescent="0.35">
      <c r="A5405" s="229"/>
      <c r="B5405" s="230" t="str">
        <f>B5394</f>
        <v>VIA 7 - ESTACA 0+0,00 A 3+4,01</v>
      </c>
      <c r="C5405" s="185"/>
      <c r="D5405" s="185"/>
      <c r="E5405" s="185"/>
      <c r="F5405" s="185"/>
      <c r="G5405" s="185"/>
      <c r="H5405" s="185"/>
      <c r="I5405" s="185"/>
      <c r="J5405" s="185"/>
      <c r="K5405" s="185">
        <f>$L$5400*O5405</f>
        <v>32.256</v>
      </c>
      <c r="L5405" s="185"/>
      <c r="M5405" s="185"/>
      <c r="N5405" s="185"/>
      <c r="O5405" s="185">
        <f>O5385</f>
        <v>13.44</v>
      </c>
      <c r="P5405" s="236"/>
      <c r="Q5405" s="236"/>
      <c r="R5405" s="236"/>
      <c r="S5405" s="236"/>
    </row>
    <row r="5406" spans="1:19" s="237" customFormat="1" x14ac:dyDescent="0.35">
      <c r="A5406" s="229"/>
      <c r="B5406" s="230" t="str">
        <f>B5395</f>
        <v>VIA 8 - ESTACA 0+0,00 A 2+13,13</v>
      </c>
      <c r="C5406" s="185"/>
      <c r="D5406" s="185"/>
      <c r="E5406" s="185"/>
      <c r="F5406" s="185"/>
      <c r="G5406" s="185"/>
      <c r="H5406" s="185"/>
      <c r="I5406" s="185"/>
      <c r="J5406" s="185"/>
      <c r="K5406" s="185">
        <f>$L$5400*O5406</f>
        <v>26.783999999999999</v>
      </c>
      <c r="L5406" s="185"/>
      <c r="M5406" s="185"/>
      <c r="N5406" s="185"/>
      <c r="O5406" s="185">
        <f>O5386</f>
        <v>11.16</v>
      </c>
      <c r="P5406" s="236"/>
      <c r="Q5406" s="236"/>
      <c r="R5406" s="236"/>
      <c r="S5406" s="236"/>
    </row>
    <row r="5407" spans="1:19" s="237" customFormat="1" x14ac:dyDescent="0.35">
      <c r="A5407" s="229"/>
      <c r="B5407" s="230"/>
      <c r="C5407" s="185"/>
      <c r="D5407" s="185"/>
      <c r="E5407" s="185"/>
      <c r="F5407" s="185"/>
      <c r="G5407" s="185"/>
      <c r="H5407" s="185"/>
      <c r="I5407" s="185"/>
      <c r="J5407" s="185"/>
      <c r="K5407" s="185"/>
      <c r="L5407" s="185"/>
      <c r="M5407" s="185"/>
      <c r="N5407" s="185"/>
      <c r="O5407" s="185"/>
      <c r="P5407" s="236"/>
      <c r="Q5407" s="236"/>
      <c r="R5407" s="236"/>
      <c r="S5407" s="236"/>
    </row>
    <row r="5408" spans="1:19" s="237" customFormat="1" x14ac:dyDescent="0.35">
      <c r="A5408" s="229"/>
      <c r="B5408" s="230" t="s">
        <v>1784</v>
      </c>
      <c r="C5408" s="185"/>
      <c r="D5408" s="185"/>
      <c r="E5408" s="185"/>
      <c r="F5408" s="185"/>
      <c r="G5408" s="185"/>
      <c r="H5408" s="185"/>
      <c r="I5408" s="185"/>
      <c r="J5408" s="185"/>
      <c r="K5408" s="184">
        <f>SUM(K5402:K5406)</f>
        <v>391.31999999999994</v>
      </c>
      <c r="L5408" s="185"/>
      <c r="M5408" s="185"/>
      <c r="N5408" s="185"/>
      <c r="O5408" s="185"/>
      <c r="P5408" s="236"/>
      <c r="Q5408" s="236"/>
      <c r="R5408" s="236"/>
      <c r="S5408" s="236"/>
    </row>
    <row r="5409" spans="1:19" s="225" customFormat="1" ht="10.5" x14ac:dyDescent="0.25">
      <c r="A5409" s="229"/>
      <c r="B5409" s="230"/>
      <c r="C5409" s="184"/>
      <c r="D5409" s="185"/>
      <c r="E5409" s="185"/>
      <c r="F5409" s="185"/>
      <c r="G5409" s="185"/>
      <c r="H5409" s="185"/>
      <c r="I5409" s="185"/>
      <c r="J5409" s="185"/>
      <c r="K5409" s="185"/>
      <c r="L5409" s="186"/>
      <c r="M5409" s="185"/>
      <c r="N5409" s="185"/>
      <c r="O5409" s="185"/>
      <c r="P5409" s="231"/>
      <c r="Q5409" s="224"/>
    </row>
    <row r="5410" spans="1:19" s="225" customFormat="1" ht="10.5" x14ac:dyDescent="0.25">
      <c r="A5410" s="229"/>
      <c r="B5410" s="232" t="s">
        <v>5</v>
      </c>
      <c r="C5410" s="182" t="s">
        <v>1328</v>
      </c>
      <c r="D5410" s="182"/>
      <c r="E5410" s="182"/>
      <c r="F5410" s="182"/>
      <c r="G5410" s="182"/>
      <c r="H5410" s="182"/>
      <c r="I5410" s="182"/>
      <c r="J5410" s="182"/>
      <c r="K5410" s="182">
        <f>K5408</f>
        <v>391.31999999999994</v>
      </c>
      <c r="L5410" s="182"/>
      <c r="M5410" s="182"/>
      <c r="N5410" s="182"/>
      <c r="O5410" s="182"/>
      <c r="P5410" s="233"/>
      <c r="Q5410" s="224"/>
    </row>
    <row r="5411" spans="1:19" s="235" customFormat="1" ht="21" x14ac:dyDescent="0.35">
      <c r="A5411" s="226" t="str">
        <f>ORÇAMENTO!A978</f>
        <v>7.5.4.10</v>
      </c>
      <c r="B5411" s="227" t="str">
        <f>VLOOKUP(A5411,ORÇAMENTO!A:K,4,0)</f>
        <v>CIMENTO ASFÁLTICO DE PETRÓLEO - CAP 50/70 FORNECIMENTO E TRANSPORTE</v>
      </c>
      <c r="C5411" s="173" t="str">
        <f>VLOOKUP(A5411,ORÇAMENTO!A:K,5,0)</f>
        <v>T</v>
      </c>
      <c r="D5411" s="173">
        <f>SUM(E5416:O5416)</f>
        <v>24.743163599999995</v>
      </c>
      <c r="E5411" s="173" t="s">
        <v>1718</v>
      </c>
      <c r="F5411" s="173" t="s">
        <v>1719</v>
      </c>
      <c r="G5411" s="173" t="s">
        <v>1720</v>
      </c>
      <c r="H5411" s="173" t="s">
        <v>1721</v>
      </c>
      <c r="I5411" s="173" t="s">
        <v>1722</v>
      </c>
      <c r="J5411" s="173" t="s">
        <v>1723</v>
      </c>
      <c r="K5411" s="173" t="s">
        <v>1746</v>
      </c>
      <c r="L5411" s="173" t="s">
        <v>1777</v>
      </c>
      <c r="M5411" s="173" t="s">
        <v>1768</v>
      </c>
      <c r="N5411" s="173" t="s">
        <v>1727</v>
      </c>
      <c r="O5411" s="173" t="s">
        <v>1728</v>
      </c>
      <c r="P5411" s="224"/>
      <c r="Q5411" s="224"/>
      <c r="R5411" s="224"/>
      <c r="S5411" s="224"/>
    </row>
    <row r="5412" spans="1:19" s="225" customFormat="1" ht="10.5" x14ac:dyDescent="0.25">
      <c r="A5412" s="229"/>
      <c r="B5412" s="230" t="str">
        <f>B5408</f>
        <v>CONCRETO BETUMINOSO USINADO A QUENTE</v>
      </c>
      <c r="C5412" s="177"/>
      <c r="D5412" s="178"/>
      <c r="E5412" s="178"/>
      <c r="F5412" s="178"/>
      <c r="G5412" s="178"/>
      <c r="H5412" s="178"/>
      <c r="I5412" s="178"/>
      <c r="J5412" s="178"/>
      <c r="K5412" s="178">
        <f>K5408</f>
        <v>391.31999999999994</v>
      </c>
      <c r="L5412" s="178"/>
      <c r="M5412" s="178"/>
      <c r="N5412" s="178"/>
      <c r="O5412" s="178"/>
      <c r="P5412" s="231"/>
      <c r="Q5412" s="224"/>
    </row>
    <row r="5413" spans="1:19" s="225" customFormat="1" ht="10.5" x14ac:dyDescent="0.25">
      <c r="A5413" s="229"/>
      <c r="B5413" s="230" t="s">
        <v>1786</v>
      </c>
      <c r="C5413" s="177"/>
      <c r="D5413" s="178"/>
      <c r="E5413" s="178"/>
      <c r="F5413" s="178"/>
      <c r="G5413" s="178"/>
      <c r="H5413" s="178"/>
      <c r="I5413" s="178"/>
      <c r="J5413" s="178"/>
      <c r="K5413" s="178"/>
      <c r="L5413" s="198">
        <v>6.3229999999999995E-2</v>
      </c>
      <c r="M5413" s="178"/>
      <c r="N5413" s="178"/>
      <c r="O5413" s="178"/>
      <c r="P5413" s="231"/>
      <c r="Q5413" s="224"/>
    </row>
    <row r="5414" spans="1:19" s="225" customFormat="1" ht="10.5" x14ac:dyDescent="0.25">
      <c r="A5414" s="229"/>
      <c r="B5414" s="230"/>
      <c r="C5414" s="177"/>
      <c r="D5414" s="178"/>
      <c r="E5414" s="178"/>
      <c r="F5414" s="178"/>
      <c r="G5414" s="178"/>
      <c r="H5414" s="178"/>
      <c r="I5414" s="178"/>
      <c r="J5414" s="178"/>
      <c r="K5414" s="178">
        <f>K5412*L5413</f>
        <v>24.743163599999995</v>
      </c>
      <c r="L5414" s="178"/>
      <c r="M5414" s="178"/>
      <c r="N5414" s="178"/>
      <c r="O5414" s="178"/>
      <c r="P5414" s="231"/>
      <c r="Q5414" s="224"/>
    </row>
    <row r="5415" spans="1:19" s="237" customFormat="1" x14ac:dyDescent="0.35">
      <c r="A5415" s="229"/>
      <c r="B5415" s="230"/>
      <c r="C5415" s="185"/>
      <c r="D5415" s="185"/>
      <c r="E5415" s="185"/>
      <c r="F5415" s="185"/>
      <c r="G5415" s="185"/>
      <c r="H5415" s="185"/>
      <c r="I5415" s="185"/>
      <c r="J5415" s="185"/>
      <c r="K5415" s="185"/>
      <c r="L5415" s="185"/>
      <c r="M5415" s="185"/>
      <c r="N5415" s="185"/>
      <c r="O5415" s="193"/>
      <c r="P5415" s="236"/>
      <c r="Q5415" s="236"/>
      <c r="R5415" s="236"/>
      <c r="S5415" s="236"/>
    </row>
    <row r="5416" spans="1:19" s="235" customFormat="1" x14ac:dyDescent="0.35">
      <c r="A5416" s="238"/>
      <c r="B5416" s="232" t="s">
        <v>5</v>
      </c>
      <c r="C5416" s="208" t="s">
        <v>1328</v>
      </c>
      <c r="D5416" s="208"/>
      <c r="E5416" s="208"/>
      <c r="F5416" s="208"/>
      <c r="G5416" s="208"/>
      <c r="H5416" s="182"/>
      <c r="I5416" s="208"/>
      <c r="J5416" s="208"/>
      <c r="K5416" s="208">
        <f>K5414</f>
        <v>24.743163599999995</v>
      </c>
      <c r="L5416" s="208"/>
      <c r="M5416" s="208"/>
      <c r="N5416" s="208"/>
      <c r="O5416" s="196"/>
      <c r="P5416" s="224"/>
      <c r="Q5416" s="224"/>
      <c r="R5416" s="224"/>
      <c r="S5416" s="224"/>
    </row>
    <row r="5417" spans="1:19" s="235" customFormat="1" ht="21" x14ac:dyDescent="0.35">
      <c r="A5417" s="226" t="str">
        <f>ORÇAMENTO!A979</f>
        <v>7.5.4.11</v>
      </c>
      <c r="B5417" s="227" t="str">
        <f>VLOOKUP(A5417,ORÇAMENTO!A:K,4,0)</f>
        <v>EMULSÃO ASFÁLTICA - RR-1C - FORNECIMENTO E TRANSPORTE</v>
      </c>
      <c r="C5417" s="173" t="str">
        <f>VLOOKUP(A5417,ORÇAMENTO!A:K,5,0)</f>
        <v>T</v>
      </c>
      <c r="D5417" s="173">
        <f>SUM(E5426:O5426)</f>
        <v>2.4457499999999994</v>
      </c>
      <c r="E5417" s="173" t="s">
        <v>1718</v>
      </c>
      <c r="F5417" s="173" t="s">
        <v>1719</v>
      </c>
      <c r="G5417" s="173" t="s">
        <v>1720</v>
      </c>
      <c r="H5417" s="173" t="s">
        <v>1721</v>
      </c>
      <c r="I5417" s="173" t="s">
        <v>1722</v>
      </c>
      <c r="J5417" s="173" t="s">
        <v>1723</v>
      </c>
      <c r="K5417" s="173" t="s">
        <v>1746</v>
      </c>
      <c r="L5417" s="173" t="s">
        <v>1777</v>
      </c>
      <c r="M5417" s="173" t="s">
        <v>1768</v>
      </c>
      <c r="N5417" s="173" t="s">
        <v>1727</v>
      </c>
      <c r="O5417" s="173" t="s">
        <v>1728</v>
      </c>
      <c r="P5417" s="224"/>
      <c r="Q5417" s="224"/>
      <c r="R5417" s="224"/>
      <c r="S5417" s="224"/>
    </row>
    <row r="5418" spans="1:19" s="235" customFormat="1" ht="21" x14ac:dyDescent="0.35">
      <c r="A5418" s="229"/>
      <c r="B5418" s="232" t="s">
        <v>1778</v>
      </c>
      <c r="C5418" s="177"/>
      <c r="D5418" s="177"/>
      <c r="E5418" s="178"/>
      <c r="F5418" s="178"/>
      <c r="G5418" s="178"/>
      <c r="H5418" s="178"/>
      <c r="I5418" s="178"/>
      <c r="J5418" s="178"/>
      <c r="K5418" s="178"/>
      <c r="L5418" s="178"/>
      <c r="M5418" s="178"/>
      <c r="N5418" s="178"/>
      <c r="O5418" s="178"/>
      <c r="P5418" s="224"/>
      <c r="Q5418" s="224"/>
      <c r="R5418" s="224"/>
      <c r="S5418" s="224"/>
    </row>
    <row r="5419" spans="1:19" s="225" customFormat="1" ht="31.5" x14ac:dyDescent="0.25">
      <c r="A5419" s="229"/>
      <c r="B5419" s="230" t="s">
        <v>1779</v>
      </c>
      <c r="C5419" s="177"/>
      <c r="D5419" s="178"/>
      <c r="E5419" s="178"/>
      <c r="F5419" s="178"/>
      <c r="G5419" s="178"/>
      <c r="H5419" s="178"/>
      <c r="I5419" s="178"/>
      <c r="J5419" s="178"/>
      <c r="K5419" s="178"/>
      <c r="L5419" s="198">
        <v>4.4999999999999999E-4</v>
      </c>
      <c r="M5419" s="178"/>
      <c r="N5419" s="178"/>
      <c r="O5419" s="178"/>
      <c r="P5419" s="231"/>
      <c r="Q5419" s="224"/>
    </row>
    <row r="5420" spans="1:19" s="237" customFormat="1" x14ac:dyDescent="0.35">
      <c r="A5420" s="229"/>
      <c r="B5420" s="230" t="str">
        <f>B5364</f>
        <v>VIA 4 - ESTACA 16+7,98 A 41+12,55</v>
      </c>
      <c r="C5420" s="185"/>
      <c r="D5420" s="185"/>
      <c r="E5420" s="185"/>
      <c r="F5420" s="185"/>
      <c r="G5420" s="185"/>
      <c r="H5420" s="185"/>
      <c r="I5420" s="185"/>
      <c r="J5420" s="185"/>
      <c r="K5420" s="251">
        <f>$L$5419*N5420</f>
        <v>1.5893999999999999</v>
      </c>
      <c r="L5420" s="185"/>
      <c r="M5420" s="185"/>
      <c r="N5420" s="215">
        <f>N5364</f>
        <v>3532</v>
      </c>
      <c r="O5420" s="215"/>
      <c r="P5420" s="236"/>
      <c r="Q5420" s="236"/>
      <c r="R5420" s="236"/>
      <c r="S5420" s="236"/>
    </row>
    <row r="5421" spans="1:19" s="237" customFormat="1" x14ac:dyDescent="0.35">
      <c r="A5421" s="229"/>
      <c r="B5421" s="230" t="str">
        <f>B5365</f>
        <v>VIA 5 - ESTACA 0+0,00 A 3+18,85</v>
      </c>
      <c r="C5421" s="185"/>
      <c r="D5421" s="185"/>
      <c r="E5421" s="185"/>
      <c r="F5421" s="185"/>
      <c r="G5421" s="185"/>
      <c r="H5421" s="185"/>
      <c r="I5421" s="185"/>
      <c r="J5421" s="185"/>
      <c r="K5421" s="251">
        <f>$L$5419*N5421</f>
        <v>0.24839999999999998</v>
      </c>
      <c r="L5421" s="185"/>
      <c r="M5421" s="185"/>
      <c r="N5421" s="215">
        <f>N5365</f>
        <v>552</v>
      </c>
      <c r="O5421" s="215"/>
      <c r="P5421" s="236"/>
      <c r="Q5421" s="236"/>
      <c r="R5421" s="236"/>
      <c r="S5421" s="236"/>
    </row>
    <row r="5422" spans="1:19" s="237" customFormat="1" x14ac:dyDescent="0.35">
      <c r="A5422" s="229"/>
      <c r="B5422" s="230" t="str">
        <f>B5366</f>
        <v>VIA 6 - ESTACA 0+0,00 A 3+15,85</v>
      </c>
      <c r="C5422" s="185"/>
      <c r="D5422" s="185"/>
      <c r="E5422" s="185"/>
      <c r="F5422" s="185"/>
      <c r="G5422" s="185"/>
      <c r="H5422" s="185"/>
      <c r="I5422" s="185"/>
      <c r="J5422" s="185"/>
      <c r="K5422" s="251">
        <f>$L$5419*N5422</f>
        <v>0.23895</v>
      </c>
      <c r="L5422" s="185"/>
      <c r="M5422" s="185"/>
      <c r="N5422" s="215">
        <f>N5366</f>
        <v>531</v>
      </c>
      <c r="O5422" s="215"/>
      <c r="P5422" s="236"/>
      <c r="Q5422" s="236"/>
      <c r="R5422" s="236"/>
      <c r="S5422" s="236"/>
    </row>
    <row r="5423" spans="1:19" s="237" customFormat="1" x14ac:dyDescent="0.35">
      <c r="A5423" s="229"/>
      <c r="B5423" s="230" t="str">
        <f>B5367</f>
        <v>VIA 7 - ESTACA 0+0,00 A 3+4,01</v>
      </c>
      <c r="C5423" s="185"/>
      <c r="D5423" s="185"/>
      <c r="E5423" s="185"/>
      <c r="F5423" s="185"/>
      <c r="G5423" s="185"/>
      <c r="H5423" s="185"/>
      <c r="I5423" s="185"/>
      <c r="J5423" s="185"/>
      <c r="K5423" s="251">
        <f>$L$5419*N5423</f>
        <v>0.2016</v>
      </c>
      <c r="L5423" s="185"/>
      <c r="M5423" s="185"/>
      <c r="N5423" s="215">
        <f>N5367</f>
        <v>448</v>
      </c>
      <c r="O5423" s="215"/>
      <c r="P5423" s="236"/>
      <c r="Q5423" s="236"/>
      <c r="R5423" s="236"/>
      <c r="S5423" s="236"/>
    </row>
    <row r="5424" spans="1:19" s="237" customFormat="1" x14ac:dyDescent="0.35">
      <c r="A5424" s="229"/>
      <c r="B5424" s="230" t="str">
        <f>B5368</f>
        <v>VIA 8 - ESTACA 0+0,00 A 2+13,13</v>
      </c>
      <c r="C5424" s="185"/>
      <c r="D5424" s="185"/>
      <c r="E5424" s="185"/>
      <c r="F5424" s="185"/>
      <c r="G5424" s="185"/>
      <c r="H5424" s="185"/>
      <c r="I5424" s="185"/>
      <c r="J5424" s="185"/>
      <c r="K5424" s="251">
        <f>$L$5419*N5424</f>
        <v>0.16739999999999999</v>
      </c>
      <c r="L5424" s="185"/>
      <c r="M5424" s="185"/>
      <c r="N5424" s="215">
        <f>N5368</f>
        <v>372</v>
      </c>
      <c r="O5424" s="215"/>
      <c r="P5424" s="236"/>
      <c r="Q5424" s="236"/>
      <c r="R5424" s="236"/>
      <c r="S5424" s="236"/>
    </row>
    <row r="5425" spans="1:19" s="237" customFormat="1" x14ac:dyDescent="0.35">
      <c r="A5425" s="229"/>
      <c r="B5425" s="230"/>
      <c r="C5425" s="185"/>
      <c r="D5425" s="185"/>
      <c r="E5425" s="185"/>
      <c r="F5425" s="185"/>
      <c r="G5425" s="185"/>
      <c r="H5425" s="185"/>
      <c r="I5425" s="185"/>
      <c r="J5425" s="185"/>
      <c r="K5425" s="185"/>
      <c r="L5425" s="185"/>
      <c r="M5425" s="185"/>
      <c r="N5425" s="185"/>
      <c r="O5425" s="193"/>
      <c r="P5425" s="236"/>
      <c r="Q5425" s="236"/>
      <c r="R5425" s="236"/>
      <c r="S5425" s="236"/>
    </row>
    <row r="5426" spans="1:19" s="235" customFormat="1" x14ac:dyDescent="0.35">
      <c r="A5426" s="238"/>
      <c r="B5426" s="232" t="s">
        <v>5</v>
      </c>
      <c r="C5426" s="208" t="s">
        <v>1328</v>
      </c>
      <c r="D5426" s="208"/>
      <c r="E5426" s="208"/>
      <c r="F5426" s="208"/>
      <c r="G5426" s="208"/>
      <c r="H5426" s="208"/>
      <c r="I5426" s="208"/>
      <c r="J5426" s="208"/>
      <c r="K5426" s="196">
        <f>SUM(K5420:K5424)</f>
        <v>2.4457499999999994</v>
      </c>
      <c r="L5426" s="208"/>
      <c r="M5426" s="208"/>
      <c r="N5426" s="208"/>
      <c r="O5426" s="196"/>
      <c r="P5426" s="224"/>
      <c r="Q5426" s="224"/>
      <c r="R5426" s="224"/>
      <c r="S5426" s="224"/>
    </row>
    <row r="5427" spans="1:19" s="235" customFormat="1" ht="21" x14ac:dyDescent="0.35">
      <c r="A5427" s="226" t="str">
        <f>ORÇAMENTO!A980</f>
        <v>7.5.4.12</v>
      </c>
      <c r="B5427" s="227" t="str">
        <f>VLOOKUP(A5427,ORÇAMENTO!A:K,4,0)</f>
        <v>EMULSÃO ASFÁLTICA PARA IMPRIMAÇÃO - FORNECIMENTO E TRANSPORTE</v>
      </c>
      <c r="C5427" s="173" t="str">
        <f>VLOOKUP(A5427,ORÇAMENTO!A:K,5,0)</f>
        <v>T</v>
      </c>
      <c r="D5427" s="173">
        <f>SUM(E5436:O5436)</f>
        <v>7.0654999999999992</v>
      </c>
      <c r="E5427" s="173" t="s">
        <v>1718</v>
      </c>
      <c r="F5427" s="173" t="s">
        <v>1719</v>
      </c>
      <c r="G5427" s="173" t="s">
        <v>1720</v>
      </c>
      <c r="H5427" s="173" t="s">
        <v>1721</v>
      </c>
      <c r="I5427" s="173" t="s">
        <v>1722</v>
      </c>
      <c r="J5427" s="173" t="s">
        <v>1723</v>
      </c>
      <c r="K5427" s="173" t="s">
        <v>1746</v>
      </c>
      <c r="L5427" s="173" t="s">
        <v>1777</v>
      </c>
      <c r="M5427" s="173" t="s">
        <v>1768</v>
      </c>
      <c r="N5427" s="173" t="s">
        <v>1727</v>
      </c>
      <c r="O5427" s="173" t="s">
        <v>1728</v>
      </c>
      <c r="P5427" s="224"/>
      <c r="Q5427" s="224"/>
      <c r="R5427" s="224"/>
      <c r="S5427" s="224"/>
    </row>
    <row r="5428" spans="1:19" s="235" customFormat="1" x14ac:dyDescent="0.35">
      <c r="A5428" s="229"/>
      <c r="B5428" s="232" t="s">
        <v>1780</v>
      </c>
      <c r="C5428" s="177"/>
      <c r="D5428" s="177"/>
      <c r="E5428" s="178"/>
      <c r="F5428" s="178"/>
      <c r="G5428" s="178"/>
      <c r="H5428" s="178"/>
      <c r="I5428" s="178"/>
      <c r="J5428" s="178"/>
      <c r="K5428" s="178"/>
      <c r="L5428" s="178"/>
      <c r="M5428" s="178"/>
      <c r="N5428" s="178"/>
      <c r="O5428" s="178"/>
      <c r="P5428" s="224"/>
      <c r="Q5428" s="224"/>
      <c r="R5428" s="224"/>
      <c r="S5428" s="224"/>
    </row>
    <row r="5429" spans="1:19" s="225" customFormat="1" ht="42" x14ac:dyDescent="0.25">
      <c r="A5429" s="229"/>
      <c r="B5429" s="230" t="s">
        <v>1781</v>
      </c>
      <c r="C5429" s="177"/>
      <c r="D5429" s="178"/>
      <c r="E5429" s="178"/>
      <c r="F5429" s="178"/>
      <c r="G5429" s="178"/>
      <c r="H5429" s="178"/>
      <c r="I5429" s="178"/>
      <c r="J5429" s="178"/>
      <c r="K5429" s="178"/>
      <c r="L5429" s="198">
        <v>1.2999999999999999E-3</v>
      </c>
      <c r="M5429" s="178"/>
      <c r="N5429" s="178"/>
      <c r="O5429" s="178"/>
      <c r="P5429" s="231"/>
      <c r="Q5429" s="224"/>
    </row>
    <row r="5430" spans="1:19" s="237" customFormat="1" x14ac:dyDescent="0.35">
      <c r="A5430" s="229"/>
      <c r="B5430" s="230" t="str">
        <f>B5373</f>
        <v>VIA 4 - ESTACA 16+7,98 A 41+12,55</v>
      </c>
      <c r="C5430" s="185"/>
      <c r="D5430" s="185"/>
      <c r="E5430" s="185"/>
      <c r="F5430" s="185"/>
      <c r="G5430" s="185"/>
      <c r="H5430" s="185"/>
      <c r="I5430" s="185"/>
      <c r="J5430" s="185"/>
      <c r="K5430" s="185">
        <f>$L$5429*N5430</f>
        <v>4.5915999999999997</v>
      </c>
      <c r="L5430" s="185"/>
      <c r="M5430" s="185"/>
      <c r="N5430" s="215">
        <f>N5373</f>
        <v>3532</v>
      </c>
      <c r="O5430" s="215"/>
      <c r="P5430" s="236"/>
      <c r="Q5430" s="236"/>
      <c r="R5430" s="236"/>
      <c r="S5430" s="236"/>
    </row>
    <row r="5431" spans="1:19" s="237" customFormat="1" x14ac:dyDescent="0.35">
      <c r="A5431" s="229"/>
      <c r="B5431" s="230" t="str">
        <f>B5374</f>
        <v>VIA 5 - ESTACA 0+0,00 A 3+18,85</v>
      </c>
      <c r="C5431" s="185"/>
      <c r="D5431" s="185"/>
      <c r="E5431" s="185"/>
      <c r="F5431" s="185"/>
      <c r="G5431" s="185"/>
      <c r="H5431" s="185"/>
      <c r="I5431" s="185"/>
      <c r="J5431" s="185"/>
      <c r="K5431" s="185">
        <f>$L$5429*N5431</f>
        <v>0.71760000000000002</v>
      </c>
      <c r="L5431" s="185"/>
      <c r="M5431" s="185"/>
      <c r="N5431" s="215">
        <f>N5374</f>
        <v>552</v>
      </c>
      <c r="O5431" s="215"/>
      <c r="P5431" s="236"/>
      <c r="Q5431" s="236"/>
      <c r="R5431" s="236"/>
      <c r="S5431" s="236"/>
    </row>
    <row r="5432" spans="1:19" s="237" customFormat="1" x14ac:dyDescent="0.35">
      <c r="A5432" s="229"/>
      <c r="B5432" s="230" t="str">
        <f>B5375</f>
        <v>VIA 6 - ESTACA 0+0,00 A 3+15,85</v>
      </c>
      <c r="C5432" s="185"/>
      <c r="D5432" s="185"/>
      <c r="E5432" s="185"/>
      <c r="F5432" s="185"/>
      <c r="G5432" s="185"/>
      <c r="H5432" s="185"/>
      <c r="I5432" s="185"/>
      <c r="J5432" s="185"/>
      <c r="K5432" s="185">
        <f>$L$5429*N5432</f>
        <v>0.69029999999999991</v>
      </c>
      <c r="L5432" s="185"/>
      <c r="M5432" s="185"/>
      <c r="N5432" s="215">
        <f>N5375</f>
        <v>531</v>
      </c>
      <c r="O5432" s="215"/>
      <c r="P5432" s="236"/>
      <c r="Q5432" s="236"/>
      <c r="R5432" s="236"/>
      <c r="S5432" s="236"/>
    </row>
    <row r="5433" spans="1:19" s="237" customFormat="1" x14ac:dyDescent="0.35">
      <c r="A5433" s="229"/>
      <c r="B5433" s="230" t="str">
        <f>B5376</f>
        <v>VIA 7 - ESTACA 0+0,00 A 3+4,01</v>
      </c>
      <c r="C5433" s="185"/>
      <c r="D5433" s="185"/>
      <c r="E5433" s="185"/>
      <c r="F5433" s="185"/>
      <c r="G5433" s="185"/>
      <c r="H5433" s="185"/>
      <c r="I5433" s="185"/>
      <c r="J5433" s="185"/>
      <c r="K5433" s="185">
        <f>$L$5429*N5433</f>
        <v>0.58240000000000003</v>
      </c>
      <c r="L5433" s="185"/>
      <c r="M5433" s="185"/>
      <c r="N5433" s="215">
        <f>N5376</f>
        <v>448</v>
      </c>
      <c r="O5433" s="215"/>
      <c r="P5433" s="236"/>
      <c r="Q5433" s="236"/>
      <c r="R5433" s="236"/>
      <c r="S5433" s="236"/>
    </row>
    <row r="5434" spans="1:19" s="237" customFormat="1" x14ac:dyDescent="0.35">
      <c r="A5434" s="229"/>
      <c r="B5434" s="230" t="str">
        <f>B5377</f>
        <v>VIA 8 - ESTACA 0+0,00 A 2+13,13</v>
      </c>
      <c r="C5434" s="185"/>
      <c r="D5434" s="185"/>
      <c r="E5434" s="185"/>
      <c r="F5434" s="185"/>
      <c r="G5434" s="185"/>
      <c r="H5434" s="185"/>
      <c r="I5434" s="185"/>
      <c r="J5434" s="185"/>
      <c r="K5434" s="185">
        <f>$L$5429*N5434</f>
        <v>0.48359999999999997</v>
      </c>
      <c r="L5434" s="185"/>
      <c r="M5434" s="185"/>
      <c r="N5434" s="215">
        <f>N5377</f>
        <v>372</v>
      </c>
      <c r="O5434" s="215"/>
      <c r="P5434" s="236"/>
      <c r="Q5434" s="236"/>
      <c r="R5434" s="236"/>
      <c r="S5434" s="236"/>
    </row>
    <row r="5435" spans="1:19" s="237" customFormat="1" x14ac:dyDescent="0.35">
      <c r="A5435" s="229"/>
      <c r="B5435" s="230"/>
      <c r="C5435" s="185"/>
      <c r="D5435" s="185"/>
      <c r="E5435" s="185"/>
      <c r="F5435" s="185"/>
      <c r="G5435" s="185"/>
      <c r="H5435" s="185"/>
      <c r="I5435" s="185"/>
      <c r="J5435" s="185"/>
      <c r="K5435" s="185"/>
      <c r="L5435" s="185"/>
      <c r="M5435" s="185"/>
      <c r="N5435" s="185"/>
      <c r="O5435" s="193"/>
      <c r="P5435" s="236"/>
      <c r="Q5435" s="236"/>
      <c r="R5435" s="236"/>
      <c r="S5435" s="236"/>
    </row>
    <row r="5436" spans="1:19" s="235" customFormat="1" x14ac:dyDescent="0.35">
      <c r="A5436" s="238"/>
      <c r="B5436" s="232" t="s">
        <v>5</v>
      </c>
      <c r="C5436" s="208" t="s">
        <v>1328</v>
      </c>
      <c r="D5436" s="208"/>
      <c r="E5436" s="208"/>
      <c r="F5436" s="208"/>
      <c r="G5436" s="208"/>
      <c r="H5436" s="208"/>
      <c r="I5436" s="208"/>
      <c r="J5436" s="208"/>
      <c r="K5436" s="196">
        <f>SUM(K5430:K5434)</f>
        <v>7.0654999999999992</v>
      </c>
      <c r="L5436" s="208"/>
      <c r="M5436" s="208"/>
      <c r="N5436" s="208"/>
      <c r="O5436" s="196"/>
      <c r="P5436" s="224"/>
      <c r="Q5436" s="224"/>
      <c r="R5436" s="224"/>
      <c r="S5436" s="224"/>
    </row>
    <row r="5437" spans="1:19" s="235" customFormat="1" ht="21" x14ac:dyDescent="0.35">
      <c r="A5437" s="226" t="str">
        <f>ORÇAMENTO!A981</f>
        <v>7.5.4.13</v>
      </c>
      <c r="B5437" s="227" t="str">
        <f>VLOOKUP(A5437,ORÇAMENTO!A:K,4,0)</f>
        <v>CAL HIDRATADA - A GRANEL</v>
      </c>
      <c r="C5437" s="173" t="str">
        <f>VLOOKUP(A5437,ORÇAMENTO!A:K,5,0)</f>
        <v>KG</v>
      </c>
      <c r="D5437" s="173">
        <f>SUM(E5446:O5446)</f>
        <v>595.12599999999998</v>
      </c>
      <c r="E5437" s="173" t="s">
        <v>1718</v>
      </c>
      <c r="F5437" s="173" t="s">
        <v>1719</v>
      </c>
      <c r="G5437" s="173" t="s">
        <v>1720</v>
      </c>
      <c r="H5437" s="173" t="s">
        <v>1721</v>
      </c>
      <c r="I5437" s="173" t="s">
        <v>1722</v>
      </c>
      <c r="J5437" s="173" t="s">
        <v>1723</v>
      </c>
      <c r="K5437" s="173" t="s">
        <v>1724</v>
      </c>
      <c r="L5437" s="173" t="s">
        <v>1753</v>
      </c>
      <c r="M5437" s="173" t="s">
        <v>1768</v>
      </c>
      <c r="N5437" s="173" t="s">
        <v>1727</v>
      </c>
      <c r="O5437" s="173" t="s">
        <v>1728</v>
      </c>
      <c r="P5437" s="224"/>
      <c r="Q5437" s="224"/>
      <c r="R5437" s="224"/>
      <c r="S5437" s="224"/>
    </row>
    <row r="5438" spans="1:19" s="235" customFormat="1" x14ac:dyDescent="0.35">
      <c r="A5438" s="229"/>
      <c r="B5438" s="232" t="s">
        <v>1864</v>
      </c>
      <c r="C5438" s="177"/>
      <c r="D5438" s="177"/>
      <c r="E5438" s="178"/>
      <c r="F5438" s="178"/>
      <c r="G5438" s="178"/>
      <c r="H5438" s="178"/>
      <c r="I5438" s="178"/>
      <c r="J5438" s="178"/>
      <c r="K5438" s="178"/>
      <c r="L5438" s="178"/>
      <c r="M5438" s="178"/>
      <c r="N5438" s="178"/>
      <c r="O5438" s="178"/>
      <c r="P5438" s="224"/>
      <c r="Q5438" s="224"/>
      <c r="R5438" s="224"/>
      <c r="S5438" s="224"/>
    </row>
    <row r="5439" spans="1:19" s="225" customFormat="1" ht="10.5" x14ac:dyDescent="0.25">
      <c r="A5439" s="229"/>
      <c r="B5439" s="230" t="s">
        <v>1865</v>
      </c>
      <c r="C5439" s="177"/>
      <c r="D5439" s="178"/>
      <c r="E5439" s="178"/>
      <c r="F5439" s="178"/>
      <c r="G5439" s="178"/>
      <c r="H5439" s="178"/>
      <c r="I5439" s="178"/>
      <c r="J5439" s="178"/>
      <c r="K5439" s="178"/>
      <c r="L5439" s="198">
        <v>0.7</v>
      </c>
      <c r="M5439" s="178"/>
      <c r="N5439" s="178"/>
      <c r="O5439" s="178"/>
      <c r="P5439" s="231"/>
      <c r="Q5439" s="224"/>
    </row>
    <row r="5440" spans="1:19" s="237" customFormat="1" x14ac:dyDescent="0.35">
      <c r="A5440" s="229"/>
      <c r="B5440" s="230" t="str">
        <f>B5345</f>
        <v>VIA 4 - ESTACA 16+7,98 A 41+12,55</v>
      </c>
      <c r="C5440" s="185"/>
      <c r="D5440" s="185"/>
      <c r="E5440" s="185"/>
      <c r="F5440" s="185"/>
      <c r="G5440" s="185"/>
      <c r="H5440" s="185"/>
      <c r="I5440" s="185"/>
      <c r="J5440" s="185"/>
      <c r="K5440" s="185">
        <f>$L$5439*O5440</f>
        <v>386.75699999999995</v>
      </c>
      <c r="L5440" s="185"/>
      <c r="M5440" s="185"/>
      <c r="N5440" s="185"/>
      <c r="O5440" s="215">
        <f>O5345</f>
        <v>552.51</v>
      </c>
      <c r="P5440" s="236"/>
      <c r="Q5440" s="236"/>
      <c r="R5440" s="236"/>
      <c r="S5440" s="236"/>
    </row>
    <row r="5441" spans="1:19" s="237" customFormat="1" x14ac:dyDescent="0.35">
      <c r="A5441" s="229"/>
      <c r="B5441" s="230" t="str">
        <f>B5346</f>
        <v>VIA 5 - ESTACA 0+0,00 A 3+18,85</v>
      </c>
      <c r="C5441" s="185"/>
      <c r="D5441" s="185"/>
      <c r="E5441" s="185"/>
      <c r="F5441" s="185"/>
      <c r="G5441" s="185"/>
      <c r="H5441" s="185"/>
      <c r="I5441" s="185"/>
      <c r="J5441" s="185"/>
      <c r="K5441" s="185">
        <f>$L$5439*O5441</f>
        <v>60.437999999999995</v>
      </c>
      <c r="L5441" s="185"/>
      <c r="M5441" s="185"/>
      <c r="N5441" s="185"/>
      <c r="O5441" s="215">
        <f>O5346</f>
        <v>86.34</v>
      </c>
      <c r="P5441" s="236"/>
      <c r="Q5441" s="236"/>
      <c r="R5441" s="236"/>
      <c r="S5441" s="236"/>
    </row>
    <row r="5442" spans="1:19" s="237" customFormat="1" x14ac:dyDescent="0.35">
      <c r="A5442" s="229"/>
      <c r="B5442" s="230" t="str">
        <f>B5347</f>
        <v>VIA 6 - ESTACA 0+0,00 A 3+15,85</v>
      </c>
      <c r="C5442" s="185"/>
      <c r="D5442" s="185"/>
      <c r="E5442" s="185"/>
      <c r="F5442" s="185"/>
      <c r="G5442" s="185"/>
      <c r="H5442" s="185"/>
      <c r="I5442" s="185"/>
      <c r="J5442" s="185"/>
      <c r="K5442" s="185">
        <f>$L$5439*O5442</f>
        <v>58.141999999999996</v>
      </c>
      <c r="L5442" s="185"/>
      <c r="M5442" s="185"/>
      <c r="N5442" s="185"/>
      <c r="O5442" s="215">
        <f>O5347</f>
        <v>83.06</v>
      </c>
      <c r="P5442" s="236"/>
      <c r="Q5442" s="236"/>
      <c r="R5442" s="236"/>
      <c r="S5442" s="236"/>
    </row>
    <row r="5443" spans="1:19" s="237" customFormat="1" x14ac:dyDescent="0.35">
      <c r="A5443" s="229"/>
      <c r="B5443" s="230" t="str">
        <f>B5348</f>
        <v>VIA 7 - ESTACA 0+0,00 A 3+4,01</v>
      </c>
      <c r="C5443" s="185"/>
      <c r="D5443" s="185"/>
      <c r="E5443" s="185"/>
      <c r="F5443" s="185"/>
      <c r="G5443" s="185"/>
      <c r="H5443" s="185"/>
      <c r="I5443" s="185"/>
      <c r="J5443" s="185"/>
      <c r="K5443" s="185">
        <f>$L$5439*O5443</f>
        <v>49.063000000000002</v>
      </c>
      <c r="L5443" s="185"/>
      <c r="M5443" s="185"/>
      <c r="N5443" s="185"/>
      <c r="O5443" s="215">
        <f>O5348</f>
        <v>70.09</v>
      </c>
      <c r="P5443" s="236"/>
      <c r="Q5443" s="236"/>
      <c r="R5443" s="236"/>
      <c r="S5443" s="236"/>
    </row>
    <row r="5444" spans="1:19" s="237" customFormat="1" x14ac:dyDescent="0.35">
      <c r="A5444" s="229"/>
      <c r="B5444" s="230" t="str">
        <f>B5349</f>
        <v>VIA 8 - ESTACA 0+0,00 A 2+13,13</v>
      </c>
      <c r="C5444" s="185"/>
      <c r="D5444" s="185"/>
      <c r="E5444" s="185"/>
      <c r="F5444" s="185"/>
      <c r="G5444" s="185"/>
      <c r="H5444" s="185"/>
      <c r="I5444" s="185"/>
      <c r="J5444" s="185"/>
      <c r="K5444" s="185">
        <f>$L$5439*O5444</f>
        <v>40.725999999999999</v>
      </c>
      <c r="L5444" s="185"/>
      <c r="M5444" s="185"/>
      <c r="N5444" s="185"/>
      <c r="O5444" s="215">
        <f>O5349</f>
        <v>58.18</v>
      </c>
      <c r="P5444" s="236"/>
      <c r="Q5444" s="236"/>
      <c r="R5444" s="236"/>
      <c r="S5444" s="236"/>
    </row>
    <row r="5445" spans="1:19" s="237" customFormat="1" x14ac:dyDescent="0.35">
      <c r="A5445" s="229"/>
      <c r="B5445" s="230"/>
      <c r="C5445" s="185"/>
      <c r="D5445" s="185"/>
      <c r="E5445" s="185"/>
      <c r="F5445" s="185"/>
      <c r="G5445" s="185"/>
      <c r="H5445" s="185"/>
      <c r="I5445" s="185"/>
      <c r="J5445" s="185"/>
      <c r="K5445" s="185"/>
      <c r="L5445" s="185"/>
      <c r="M5445" s="185"/>
      <c r="N5445" s="185"/>
      <c r="O5445" s="193"/>
      <c r="P5445" s="236"/>
      <c r="Q5445" s="236"/>
      <c r="R5445" s="236"/>
      <c r="S5445" s="236"/>
    </row>
    <row r="5446" spans="1:19" s="235" customFormat="1" x14ac:dyDescent="0.35">
      <c r="A5446" s="238"/>
      <c r="B5446" s="232" t="s">
        <v>5</v>
      </c>
      <c r="C5446" s="208" t="s">
        <v>1328</v>
      </c>
      <c r="D5446" s="208"/>
      <c r="E5446" s="208"/>
      <c r="F5446" s="208"/>
      <c r="G5446" s="208"/>
      <c r="H5446" s="208"/>
      <c r="I5446" s="208"/>
      <c r="J5446" s="208"/>
      <c r="K5446" s="196">
        <f>SUM(K5440:K5444)</f>
        <v>595.12599999999998</v>
      </c>
      <c r="L5446" s="208"/>
      <c r="M5446" s="208"/>
      <c r="N5446" s="208"/>
      <c r="O5446" s="196"/>
      <c r="P5446" s="224"/>
      <c r="Q5446" s="224"/>
      <c r="R5446" s="224"/>
      <c r="S5446" s="224"/>
    </row>
    <row r="5447" spans="1:19" s="235" customFormat="1" ht="52.5" x14ac:dyDescent="0.35">
      <c r="A5447" s="226" t="str">
        <f>ORÇAMENTO!A982</f>
        <v>7.5.4.14</v>
      </c>
      <c r="B5447" s="227" t="str">
        <f>VLOOKUP(A5447,ORÇAMENTO!A:K,4,0)</f>
        <v>ASSENTAMENTO DE GUIA (MEIO-FIO) EM TRECHO RETO, CONFECCIONADA EM CONCRETO PRÉ-FABRICADO, DIMENSÕES 100X15X13X30 CM (COMPRIMENTO X BASE INFERIOR X BASE SUPERIOR X ALTURA). AF_01/2024</v>
      </c>
      <c r="C5447" s="173" t="str">
        <f>VLOOKUP(A5447,ORÇAMENTO!A:K,5,0)</f>
        <v>M</v>
      </c>
      <c r="D5447" s="173">
        <f>SUM(E5455:O5455)</f>
        <v>1552.82</v>
      </c>
      <c r="E5447" s="173" t="s">
        <v>1718</v>
      </c>
      <c r="F5447" s="173" t="s">
        <v>1719</v>
      </c>
      <c r="G5447" s="173" t="s">
        <v>1720</v>
      </c>
      <c r="H5447" s="173" t="s">
        <v>1721</v>
      </c>
      <c r="I5447" s="173" t="s">
        <v>1722</v>
      </c>
      <c r="J5447" s="173" t="s">
        <v>1723</v>
      </c>
      <c r="K5447" s="173" t="s">
        <v>1724</v>
      </c>
      <c r="L5447" s="173" t="s">
        <v>1753</v>
      </c>
      <c r="M5447" s="173" t="s">
        <v>1768</v>
      </c>
      <c r="N5447" s="173" t="s">
        <v>1727</v>
      </c>
      <c r="O5447" s="173" t="s">
        <v>1728</v>
      </c>
      <c r="P5447" s="224"/>
      <c r="Q5447" s="224"/>
      <c r="R5447" s="224"/>
      <c r="S5447" s="224"/>
    </row>
    <row r="5448" spans="1:19" s="225" customFormat="1" ht="10.5" x14ac:dyDescent="0.25">
      <c r="A5448" s="229"/>
      <c r="B5448" s="230"/>
      <c r="C5448" s="177"/>
      <c r="D5448" s="178"/>
      <c r="E5448" s="178"/>
      <c r="F5448" s="178"/>
      <c r="G5448" s="178"/>
      <c r="H5448" s="178"/>
      <c r="I5448" s="178"/>
      <c r="J5448" s="178"/>
      <c r="K5448" s="178"/>
      <c r="L5448" s="198"/>
      <c r="M5448" s="178"/>
      <c r="N5448" s="178"/>
      <c r="O5448" s="178"/>
      <c r="P5448" s="231"/>
      <c r="Q5448" s="224"/>
    </row>
    <row r="5449" spans="1:19" s="237" customFormat="1" x14ac:dyDescent="0.35">
      <c r="A5449" s="229"/>
      <c r="B5449" s="230" t="str">
        <f>B5355</f>
        <v>VIA 4 - ESTACA 16+7,98 A 41+12,55</v>
      </c>
      <c r="C5449" s="185"/>
      <c r="D5449" s="185"/>
      <c r="E5449" s="185">
        <f>E5237</f>
        <v>504.57</v>
      </c>
      <c r="F5449" s="185"/>
      <c r="G5449" s="185"/>
      <c r="H5449" s="185"/>
      <c r="I5449" s="185">
        <f>2*E5449</f>
        <v>1009.14</v>
      </c>
      <c r="J5449" s="185"/>
      <c r="K5449" s="185"/>
      <c r="L5449" s="185"/>
      <c r="M5449" s="185"/>
      <c r="N5449" s="185"/>
      <c r="O5449" s="215">
        <f>O5355</f>
        <v>535.1</v>
      </c>
      <c r="P5449" s="236"/>
      <c r="Q5449" s="236"/>
      <c r="R5449" s="236"/>
      <c r="S5449" s="236"/>
    </row>
    <row r="5450" spans="1:19" s="237" customFormat="1" x14ac:dyDescent="0.35">
      <c r="A5450" s="229"/>
      <c r="B5450" s="230" t="str">
        <f>B5356</f>
        <v>VIA 5 - ESTACA 0+0,00 A 3+18,85</v>
      </c>
      <c r="C5450" s="185"/>
      <c r="D5450" s="185"/>
      <c r="E5450" s="185">
        <f>E5238</f>
        <v>78.849999999999994</v>
      </c>
      <c r="F5450" s="185"/>
      <c r="G5450" s="185"/>
      <c r="H5450" s="185"/>
      <c r="I5450" s="185">
        <f>2*E5450</f>
        <v>157.69999999999999</v>
      </c>
      <c r="J5450" s="185"/>
      <c r="K5450" s="185"/>
      <c r="L5450" s="185"/>
      <c r="M5450" s="185"/>
      <c r="N5450" s="185"/>
      <c r="O5450" s="215">
        <f>O5356</f>
        <v>83.62</v>
      </c>
      <c r="P5450" s="236"/>
      <c r="Q5450" s="236"/>
      <c r="R5450" s="236"/>
      <c r="S5450" s="236"/>
    </row>
    <row r="5451" spans="1:19" s="237" customFormat="1" x14ac:dyDescent="0.35">
      <c r="A5451" s="229"/>
      <c r="B5451" s="230" t="str">
        <f>B5357</f>
        <v>VIA 6 - ESTACA 0+0,00 A 3+15,85</v>
      </c>
      <c r="C5451" s="185"/>
      <c r="D5451" s="185"/>
      <c r="E5451" s="185">
        <f>E5239</f>
        <v>75.849999999999994</v>
      </c>
      <c r="F5451" s="185"/>
      <c r="G5451" s="185"/>
      <c r="H5451" s="185"/>
      <c r="I5451" s="185">
        <f>2*E5451</f>
        <v>151.69999999999999</v>
      </c>
      <c r="J5451" s="185"/>
      <c r="K5451" s="185"/>
      <c r="L5451" s="185"/>
      <c r="M5451" s="185"/>
      <c r="N5451" s="185"/>
      <c r="O5451" s="215">
        <f>O5357</f>
        <v>80.44</v>
      </c>
      <c r="P5451" s="236"/>
      <c r="Q5451" s="236"/>
      <c r="R5451" s="236"/>
      <c r="S5451" s="236"/>
    </row>
    <row r="5452" spans="1:19" s="237" customFormat="1" x14ac:dyDescent="0.35">
      <c r="A5452" s="229"/>
      <c r="B5452" s="230" t="str">
        <f>B5358</f>
        <v>VIA 7 - ESTACA 0+0,00 A 3+4,01</v>
      </c>
      <c r="C5452" s="185"/>
      <c r="D5452" s="185"/>
      <c r="E5452" s="185">
        <f>E5240</f>
        <v>64.010000000000005</v>
      </c>
      <c r="F5452" s="185"/>
      <c r="G5452" s="185"/>
      <c r="H5452" s="185"/>
      <c r="I5452" s="185">
        <f>2*E5452</f>
        <v>128.02000000000001</v>
      </c>
      <c r="J5452" s="185"/>
      <c r="K5452" s="185"/>
      <c r="L5452" s="185"/>
      <c r="M5452" s="185"/>
      <c r="N5452" s="185"/>
      <c r="O5452" s="215">
        <f>O5358</f>
        <v>67.88</v>
      </c>
      <c r="P5452" s="236"/>
      <c r="Q5452" s="236"/>
      <c r="R5452" s="236"/>
      <c r="S5452" s="236"/>
    </row>
    <row r="5453" spans="1:19" s="237" customFormat="1" x14ac:dyDescent="0.35">
      <c r="A5453" s="229"/>
      <c r="B5453" s="230" t="str">
        <f>B5359</f>
        <v>VIA 8 - ESTACA 0+0,00 A 2+13,13</v>
      </c>
      <c r="C5453" s="185"/>
      <c r="D5453" s="185"/>
      <c r="E5453" s="185">
        <f>E5241</f>
        <v>53.13</v>
      </c>
      <c r="F5453" s="185"/>
      <c r="G5453" s="185"/>
      <c r="H5453" s="185"/>
      <c r="I5453" s="185">
        <f>2*E5453</f>
        <v>106.26</v>
      </c>
      <c r="J5453" s="185"/>
      <c r="K5453" s="185"/>
      <c r="L5453" s="185"/>
      <c r="M5453" s="185"/>
      <c r="N5453" s="185"/>
      <c r="O5453" s="215">
        <f>O5359</f>
        <v>56.34</v>
      </c>
      <c r="P5453" s="236"/>
      <c r="Q5453" s="236"/>
      <c r="R5453" s="236"/>
      <c r="S5453" s="236"/>
    </row>
    <row r="5454" spans="1:19" s="237" customFormat="1" x14ac:dyDescent="0.35">
      <c r="A5454" s="229"/>
      <c r="B5454" s="230"/>
      <c r="C5454" s="185"/>
      <c r="D5454" s="185"/>
      <c r="E5454" s="185"/>
      <c r="F5454" s="185"/>
      <c r="G5454" s="185"/>
      <c r="H5454" s="185"/>
      <c r="I5454" s="185"/>
      <c r="J5454" s="185"/>
      <c r="K5454" s="185"/>
      <c r="L5454" s="185"/>
      <c r="M5454" s="185"/>
      <c r="N5454" s="185"/>
      <c r="O5454" s="193"/>
      <c r="P5454" s="236"/>
      <c r="Q5454" s="236"/>
      <c r="R5454" s="236"/>
      <c r="S5454" s="236"/>
    </row>
    <row r="5455" spans="1:19" s="235" customFormat="1" x14ac:dyDescent="0.35">
      <c r="A5455" s="238"/>
      <c r="B5455" s="232" t="s">
        <v>5</v>
      </c>
      <c r="C5455" s="208" t="s">
        <v>1328</v>
      </c>
      <c r="D5455" s="208"/>
      <c r="E5455" s="208"/>
      <c r="F5455" s="208"/>
      <c r="G5455" s="208"/>
      <c r="H5455" s="208"/>
      <c r="I5455" s="196">
        <f>SUM(I5449:I5453)</f>
        <v>1552.82</v>
      </c>
      <c r="J5455" s="208"/>
      <c r="K5455" s="196"/>
      <c r="L5455" s="208"/>
      <c r="M5455" s="208"/>
      <c r="N5455" s="208"/>
      <c r="O5455" s="196"/>
      <c r="P5455" s="224"/>
      <c r="Q5455" s="224"/>
      <c r="R5455" s="224"/>
      <c r="S5455" s="224"/>
    </row>
    <row r="5456" spans="1:19" s="225" customFormat="1" ht="10.5" x14ac:dyDescent="0.25">
      <c r="A5456" s="222" t="str">
        <f>ORÇAMENTO!A983</f>
        <v>7.5.5</v>
      </c>
      <c r="B5456" s="223" t="str">
        <f>VLOOKUP(A5456,ORÇAMENTO!A:K,4,0)</f>
        <v>SINALIZAÇÃO</v>
      </c>
      <c r="C5456" s="167"/>
      <c r="D5456" s="167"/>
      <c r="E5456" s="168"/>
      <c r="F5456" s="168"/>
      <c r="G5456" s="168"/>
      <c r="H5456" s="168"/>
      <c r="I5456" s="168"/>
      <c r="J5456" s="168"/>
      <c r="K5456" s="168"/>
      <c r="L5456" s="168"/>
      <c r="M5456" s="168"/>
      <c r="N5456" s="168"/>
      <c r="O5456" s="168"/>
      <c r="P5456" s="224"/>
      <c r="Q5456" s="224"/>
    </row>
    <row r="5457" spans="1:19" s="235" customFormat="1" ht="21" x14ac:dyDescent="0.35">
      <c r="A5457" s="226" t="str">
        <f>ORÇAMENTO!A984</f>
        <v>7.5.5.1</v>
      </c>
      <c r="B5457" s="227" t="str">
        <f>VLOOKUP(A5457,ORÇAMENTO!A:K,4,0)</f>
        <v>PLACA EM AÇO - PELÍCULA I + III - FORNECIMENTO E IMPLANTAÇÃO</v>
      </c>
      <c r="C5457" s="173" t="str">
        <f>VLOOKUP(A5457,ORÇAMENTO!A:K,5,0)</f>
        <v>M²</v>
      </c>
      <c r="D5457" s="173">
        <f>SUM(E5461:O5461)</f>
        <v>1.77</v>
      </c>
      <c r="E5457" s="173" t="s">
        <v>1718</v>
      </c>
      <c r="F5457" s="173" t="s">
        <v>1719</v>
      </c>
      <c r="G5457" s="173" t="s">
        <v>1720</v>
      </c>
      <c r="H5457" s="173" t="s">
        <v>1721</v>
      </c>
      <c r="I5457" s="173" t="s">
        <v>1722</v>
      </c>
      <c r="J5457" s="173" t="s">
        <v>1723</v>
      </c>
      <c r="K5457" s="173" t="s">
        <v>1724</v>
      </c>
      <c r="L5457" s="173" t="s">
        <v>1753</v>
      </c>
      <c r="M5457" s="173" t="s">
        <v>1768</v>
      </c>
      <c r="N5457" s="173" t="s">
        <v>1727</v>
      </c>
      <c r="O5457" s="173" t="s">
        <v>1728</v>
      </c>
      <c r="P5457" s="224"/>
      <c r="Q5457" s="224"/>
      <c r="R5457" s="224"/>
      <c r="S5457" s="224"/>
    </row>
    <row r="5458" spans="1:19" s="235" customFormat="1" x14ac:dyDescent="0.35">
      <c r="A5458" s="229"/>
      <c r="B5458" s="232"/>
      <c r="C5458" s="177"/>
      <c r="D5458" s="177"/>
      <c r="E5458" s="178"/>
      <c r="F5458" s="178"/>
      <c r="G5458" s="178"/>
      <c r="H5458" s="178"/>
      <c r="I5458" s="178"/>
      <c r="J5458" s="178"/>
      <c r="K5458" s="178"/>
      <c r="L5458" s="178"/>
      <c r="M5458" s="178"/>
      <c r="N5458" s="178"/>
      <c r="O5458" s="178"/>
      <c r="P5458" s="224"/>
      <c r="Q5458" s="224"/>
      <c r="R5458" s="224"/>
      <c r="S5458" s="224"/>
    </row>
    <row r="5459" spans="1:19" s="237" customFormat="1" x14ac:dyDescent="0.35">
      <c r="A5459" s="229"/>
      <c r="B5459" s="230" t="s">
        <v>1740</v>
      </c>
      <c r="C5459" s="185"/>
      <c r="D5459" s="185"/>
      <c r="E5459" s="185"/>
      <c r="F5459" s="185"/>
      <c r="G5459" s="185"/>
      <c r="H5459" s="185"/>
      <c r="I5459" s="185"/>
      <c r="J5459" s="185"/>
      <c r="K5459" s="185"/>
      <c r="L5459" s="185"/>
      <c r="M5459" s="185"/>
      <c r="N5459" s="185">
        <v>1.77</v>
      </c>
      <c r="O5459" s="215"/>
      <c r="P5459" s="236"/>
      <c r="Q5459" s="236"/>
      <c r="R5459" s="236"/>
      <c r="S5459" s="236"/>
    </row>
    <row r="5460" spans="1:19" s="237" customFormat="1" x14ac:dyDescent="0.35">
      <c r="A5460" s="229"/>
      <c r="B5460" s="230"/>
      <c r="C5460" s="185"/>
      <c r="D5460" s="185"/>
      <c r="E5460" s="185"/>
      <c r="F5460" s="185"/>
      <c r="G5460" s="185"/>
      <c r="H5460" s="185"/>
      <c r="I5460" s="185"/>
      <c r="J5460" s="185"/>
      <c r="K5460" s="185"/>
      <c r="L5460" s="185"/>
      <c r="M5460" s="185"/>
      <c r="N5460" s="185"/>
      <c r="O5460" s="193"/>
      <c r="P5460" s="236"/>
      <c r="Q5460" s="236"/>
      <c r="R5460" s="236"/>
      <c r="S5460" s="236"/>
    </row>
    <row r="5461" spans="1:19" s="235" customFormat="1" x14ac:dyDescent="0.35">
      <c r="A5461" s="238"/>
      <c r="B5461" s="232" t="s">
        <v>5</v>
      </c>
      <c r="C5461" s="208" t="s">
        <v>1328</v>
      </c>
      <c r="D5461" s="208"/>
      <c r="E5461" s="208"/>
      <c r="F5461" s="208"/>
      <c r="G5461" s="208"/>
      <c r="H5461" s="208"/>
      <c r="I5461" s="208"/>
      <c r="J5461" s="208"/>
      <c r="K5461" s="208"/>
      <c r="L5461" s="208"/>
      <c r="M5461" s="208"/>
      <c r="N5461" s="196">
        <f>SUM(N5459:N5459)</f>
        <v>1.77</v>
      </c>
      <c r="O5461" s="196"/>
      <c r="P5461" s="224"/>
      <c r="Q5461" s="224"/>
      <c r="R5461" s="224"/>
      <c r="S5461" s="224"/>
    </row>
    <row r="5462" spans="1:19" s="235" customFormat="1" ht="42" x14ac:dyDescent="0.35">
      <c r="A5462" s="226" t="str">
        <f>ORÇAMENTO!A985</f>
        <v>7.5.5.2</v>
      </c>
      <c r="B5462" s="227" t="str">
        <f>VLOOKUP(A5462,ORÇAMENTO!A:K,4,0)</f>
        <v>SUPORTE METÁLICO GALVANIZADO PARA PLACA DE ADVERTÊNCIA OU REGULAMENTAÇÃO - LADO OU DIÂMETRO DE 1,00 M - FORNECIMENTO E IMPLANTAÇÃO</v>
      </c>
      <c r="C5462" s="173" t="str">
        <f>VLOOKUP(A5462,ORÇAMENTO!A:K,5,0)</f>
        <v>UN</v>
      </c>
      <c r="D5462" s="173">
        <f>SUM(E5466:O5466)</f>
        <v>8</v>
      </c>
      <c r="E5462" s="173" t="s">
        <v>1718</v>
      </c>
      <c r="F5462" s="173" t="s">
        <v>1719</v>
      </c>
      <c r="G5462" s="173" t="s">
        <v>1720</v>
      </c>
      <c r="H5462" s="173" t="s">
        <v>1721</v>
      </c>
      <c r="I5462" s="173" t="s">
        <v>1722</v>
      </c>
      <c r="J5462" s="173" t="s">
        <v>1723</v>
      </c>
      <c r="K5462" s="173" t="s">
        <v>1724</v>
      </c>
      <c r="L5462" s="173" t="s">
        <v>1753</v>
      </c>
      <c r="M5462" s="173" t="s">
        <v>1726</v>
      </c>
      <c r="N5462" s="173" t="s">
        <v>1727</v>
      </c>
      <c r="O5462" s="173" t="s">
        <v>1728</v>
      </c>
      <c r="P5462" s="224"/>
      <c r="Q5462" s="224"/>
      <c r="R5462" s="224"/>
      <c r="S5462" s="224"/>
    </row>
    <row r="5463" spans="1:19" s="235" customFormat="1" x14ac:dyDescent="0.35">
      <c r="A5463" s="229"/>
      <c r="B5463" s="232"/>
      <c r="C5463" s="177"/>
      <c r="D5463" s="177"/>
      <c r="E5463" s="178"/>
      <c r="F5463" s="178"/>
      <c r="G5463" s="178"/>
      <c r="H5463" s="178"/>
      <c r="I5463" s="178"/>
      <c r="J5463" s="178"/>
      <c r="K5463" s="178"/>
      <c r="L5463" s="178"/>
      <c r="M5463" s="178"/>
      <c r="N5463" s="178"/>
      <c r="O5463" s="178"/>
      <c r="P5463" s="224"/>
      <c r="Q5463" s="224"/>
      <c r="R5463" s="224"/>
      <c r="S5463" s="224"/>
    </row>
    <row r="5464" spans="1:19" s="237" customFormat="1" x14ac:dyDescent="0.35">
      <c r="A5464" s="229"/>
      <c r="B5464" s="230" t="str">
        <f>B5459</f>
        <v>VIAS</v>
      </c>
      <c r="C5464" s="185"/>
      <c r="D5464" s="185"/>
      <c r="E5464" s="185"/>
      <c r="F5464" s="185"/>
      <c r="G5464" s="185"/>
      <c r="H5464" s="185"/>
      <c r="I5464" s="185"/>
      <c r="J5464" s="185"/>
      <c r="K5464" s="185"/>
      <c r="L5464" s="185"/>
      <c r="M5464" s="185">
        <v>8</v>
      </c>
      <c r="N5464" s="185"/>
      <c r="O5464" s="215"/>
      <c r="P5464" s="236"/>
      <c r="Q5464" s="236"/>
      <c r="R5464" s="236"/>
      <c r="S5464" s="236"/>
    </row>
    <row r="5465" spans="1:19" s="237" customFormat="1" x14ac:dyDescent="0.35">
      <c r="A5465" s="229"/>
      <c r="B5465" s="230"/>
      <c r="C5465" s="185"/>
      <c r="D5465" s="185"/>
      <c r="E5465" s="185"/>
      <c r="F5465" s="185"/>
      <c r="G5465" s="185"/>
      <c r="H5465" s="185"/>
      <c r="I5465" s="185"/>
      <c r="J5465" s="185"/>
      <c r="K5465" s="185"/>
      <c r="L5465" s="185"/>
      <c r="M5465" s="185"/>
      <c r="N5465" s="185"/>
      <c r="O5465" s="193"/>
      <c r="P5465" s="236"/>
      <c r="Q5465" s="236"/>
      <c r="R5465" s="236"/>
      <c r="S5465" s="236"/>
    </row>
    <row r="5466" spans="1:19" s="235" customFormat="1" x14ac:dyDescent="0.35">
      <c r="A5466" s="238"/>
      <c r="B5466" s="232" t="s">
        <v>5</v>
      </c>
      <c r="C5466" s="208" t="s">
        <v>1328</v>
      </c>
      <c r="D5466" s="208"/>
      <c r="E5466" s="208"/>
      <c r="F5466" s="208"/>
      <c r="G5466" s="208"/>
      <c r="H5466" s="208"/>
      <c r="I5466" s="208"/>
      <c r="J5466" s="208"/>
      <c r="K5466" s="208"/>
      <c r="L5466" s="208"/>
      <c r="M5466" s="196">
        <f>SUM(M5464:M5465)</f>
        <v>8</v>
      </c>
      <c r="N5466" s="196"/>
      <c r="O5466" s="196"/>
      <c r="P5466" s="224"/>
      <c r="Q5466" s="224"/>
      <c r="R5466" s="224"/>
      <c r="S5466" s="224"/>
    </row>
    <row r="5467" spans="1:19" s="235" customFormat="1" ht="21" x14ac:dyDescent="0.35">
      <c r="A5467" s="226" t="str">
        <f>ORÇAMENTO!A986</f>
        <v>7.5.5.3</v>
      </c>
      <c r="B5467" s="227" t="str">
        <f>VLOOKUP(A5467,ORÇAMENTO!A:K,4,0)</f>
        <v>PINTURA DE FAIXA COM TERMOPLÁSTICO POR ASPERSÃO - ESPESSURA DE 1,5 MM</v>
      </c>
      <c r="C5467" s="173" t="str">
        <f>VLOOKUP(A5467,ORÇAMENTO!A:K,5,0)</f>
        <v>M²</v>
      </c>
      <c r="D5467" s="173">
        <f>SUM(E5471:O5471)</f>
        <v>2500.04</v>
      </c>
      <c r="E5467" s="173" t="s">
        <v>1718</v>
      </c>
      <c r="F5467" s="173" t="s">
        <v>1719</v>
      </c>
      <c r="G5467" s="173" t="s">
        <v>1720</v>
      </c>
      <c r="H5467" s="173" t="s">
        <v>1721</v>
      </c>
      <c r="I5467" s="173" t="s">
        <v>1722</v>
      </c>
      <c r="J5467" s="173" t="s">
        <v>1723</v>
      </c>
      <c r="K5467" s="173" t="s">
        <v>1724</v>
      </c>
      <c r="L5467" s="173" t="s">
        <v>1753</v>
      </c>
      <c r="M5467" s="173" t="s">
        <v>1726</v>
      </c>
      <c r="N5467" s="173" t="s">
        <v>1727</v>
      </c>
      <c r="O5467" s="173" t="s">
        <v>1728</v>
      </c>
      <c r="P5467" s="224"/>
      <c r="Q5467" s="224"/>
      <c r="R5467" s="224"/>
      <c r="S5467" s="224"/>
    </row>
    <row r="5468" spans="1:19" s="235" customFormat="1" x14ac:dyDescent="0.35">
      <c r="A5468" s="229"/>
      <c r="B5468" s="232"/>
      <c r="C5468" s="177"/>
      <c r="D5468" s="177"/>
      <c r="E5468" s="178"/>
      <c r="F5468" s="178"/>
      <c r="G5468" s="178"/>
      <c r="H5468" s="178"/>
      <c r="I5468" s="178"/>
      <c r="J5468" s="178"/>
      <c r="K5468" s="178"/>
      <c r="L5468" s="178"/>
      <c r="M5468" s="178"/>
      <c r="N5468" s="178"/>
      <c r="O5468" s="178"/>
      <c r="P5468" s="224"/>
      <c r="Q5468" s="224"/>
      <c r="R5468" s="224"/>
      <c r="S5468" s="224"/>
    </row>
    <row r="5469" spans="1:19" s="237" customFormat="1" x14ac:dyDescent="0.35">
      <c r="A5469" s="229"/>
      <c r="B5469" s="230" t="str">
        <f>B5464</f>
        <v>VIAS</v>
      </c>
      <c r="C5469" s="185"/>
      <c r="D5469" s="185"/>
      <c r="E5469" s="185"/>
      <c r="F5469" s="185"/>
      <c r="G5469" s="185"/>
      <c r="H5469" s="185"/>
      <c r="I5469" s="185"/>
      <c r="J5469" s="185"/>
      <c r="K5469" s="185"/>
      <c r="L5469" s="185"/>
      <c r="M5469" s="185"/>
      <c r="N5469" s="185">
        <v>2500.04</v>
      </c>
      <c r="O5469" s="215"/>
      <c r="P5469" s="236"/>
      <c r="Q5469" s="236"/>
      <c r="R5469" s="236"/>
      <c r="S5469" s="236"/>
    </row>
    <row r="5470" spans="1:19" s="237" customFormat="1" x14ac:dyDescent="0.35">
      <c r="A5470" s="229"/>
      <c r="B5470" s="230"/>
      <c r="C5470" s="185"/>
      <c r="D5470" s="185"/>
      <c r="E5470" s="185"/>
      <c r="F5470" s="185"/>
      <c r="G5470" s="185"/>
      <c r="H5470" s="185"/>
      <c r="I5470" s="185"/>
      <c r="J5470" s="185"/>
      <c r="K5470" s="185"/>
      <c r="L5470" s="185"/>
      <c r="M5470" s="185"/>
      <c r="N5470" s="185"/>
      <c r="O5470" s="193"/>
      <c r="P5470" s="236"/>
      <c r="Q5470" s="236"/>
      <c r="R5470" s="236"/>
      <c r="S5470" s="236"/>
    </row>
    <row r="5471" spans="1:19" s="235" customFormat="1" x14ac:dyDescent="0.35">
      <c r="A5471" s="238"/>
      <c r="B5471" s="232" t="s">
        <v>5</v>
      </c>
      <c r="C5471" s="208" t="s">
        <v>1328</v>
      </c>
      <c r="D5471" s="208"/>
      <c r="E5471" s="208"/>
      <c r="F5471" s="208"/>
      <c r="G5471" s="208"/>
      <c r="H5471" s="208"/>
      <c r="I5471" s="208"/>
      <c r="J5471" s="208"/>
      <c r="K5471" s="208"/>
      <c r="L5471" s="208"/>
      <c r="M5471" s="196"/>
      <c r="N5471" s="196">
        <f>SUM(N5469:N5469)</f>
        <v>2500.04</v>
      </c>
      <c r="O5471" s="196"/>
      <c r="P5471" s="224"/>
      <c r="Q5471" s="224"/>
      <c r="R5471" s="224"/>
      <c r="S5471" s="224"/>
    </row>
    <row r="5472" spans="1:19" s="225" customFormat="1" ht="10.5" x14ac:dyDescent="0.25">
      <c r="A5472" s="222">
        <f>ORÇAMENTO!A987</f>
        <v>8</v>
      </c>
      <c r="B5472" s="223" t="str">
        <f>VLOOKUP(A5472,ORÇAMENTO!A:K,4,0)</f>
        <v>BACIA DE DETENÇÃO - ÁREA 4</v>
      </c>
      <c r="C5472" s="167"/>
      <c r="D5472" s="167"/>
      <c r="E5472" s="168"/>
      <c r="F5472" s="168"/>
      <c r="G5472" s="168"/>
      <c r="H5472" s="168"/>
      <c r="I5472" s="168"/>
      <c r="J5472" s="168"/>
      <c r="K5472" s="168"/>
      <c r="L5472" s="168"/>
      <c r="M5472" s="168"/>
      <c r="N5472" s="168"/>
      <c r="O5472" s="168"/>
      <c r="P5472" s="224"/>
      <c r="Q5472" s="224"/>
    </row>
    <row r="5473" spans="1:19" s="225" customFormat="1" ht="10.5" x14ac:dyDescent="0.25">
      <c r="A5473" s="222" t="str">
        <f>ORÇAMENTO!A988</f>
        <v xml:space="preserve"> 8.1 </v>
      </c>
      <c r="B5473" s="223" t="str">
        <f>VLOOKUP(A5473,ORÇAMENTO!A:K,4,0)</f>
        <v>PREPARAÇÃO DO TERRENO</v>
      </c>
      <c r="C5473" s="167"/>
      <c r="D5473" s="167"/>
      <c r="E5473" s="168"/>
      <c r="F5473" s="168"/>
      <c r="G5473" s="168"/>
      <c r="H5473" s="168"/>
      <c r="I5473" s="168"/>
      <c r="J5473" s="168"/>
      <c r="K5473" s="168"/>
      <c r="L5473" s="168"/>
      <c r="M5473" s="168"/>
      <c r="N5473" s="168"/>
      <c r="O5473" s="168"/>
      <c r="P5473" s="224"/>
      <c r="Q5473" s="224"/>
    </row>
    <row r="5474" spans="1:19" s="235" customFormat="1" ht="42" x14ac:dyDescent="0.35">
      <c r="A5474" s="226" t="str">
        <f>ORÇAMENTO!A989</f>
        <v xml:space="preserve"> 8.1.1 </v>
      </c>
      <c r="B5474" s="227" t="str">
        <f>VLOOKUP(A5474,ORÇAMENTO!A:K,4,0)</f>
        <v>LIMPEZA MECANIZADA DE CAMADA VEGETAL, VEGETAÇÃO E PEQUENAS ÁRVORES (DIÂMETRO DE TRONCO MENOR QUE 0,20 M), COM TRATOR DE ESTEIRAS. AF_03/2024</v>
      </c>
      <c r="C5474" s="173" t="str">
        <f>VLOOKUP(A5474,ORÇAMENTO!A:K,5,0)</f>
        <v>M²</v>
      </c>
      <c r="D5474" s="173">
        <f>SUM(E5478:O5478)</f>
        <v>5950</v>
      </c>
      <c r="E5474" s="173" t="s">
        <v>1718</v>
      </c>
      <c r="F5474" s="173" t="s">
        <v>1719</v>
      </c>
      <c r="G5474" s="173" t="s">
        <v>1720</v>
      </c>
      <c r="H5474" s="173" t="s">
        <v>1721</v>
      </c>
      <c r="I5474" s="173" t="s">
        <v>1722</v>
      </c>
      <c r="J5474" s="173" t="s">
        <v>1723</v>
      </c>
      <c r="K5474" s="173" t="s">
        <v>1724</v>
      </c>
      <c r="L5474" s="173" t="s">
        <v>1844</v>
      </c>
      <c r="M5474" s="207" t="s">
        <v>1750</v>
      </c>
      <c r="N5474" s="173" t="s">
        <v>1727</v>
      </c>
      <c r="O5474" s="173" t="s">
        <v>1728</v>
      </c>
      <c r="P5474" s="224"/>
      <c r="Q5474" s="224"/>
      <c r="R5474" s="224"/>
      <c r="S5474" s="224"/>
    </row>
    <row r="5475" spans="1:19" s="235" customFormat="1" x14ac:dyDescent="0.35">
      <c r="A5475" s="229"/>
      <c r="B5475" s="232" t="s">
        <v>1911</v>
      </c>
      <c r="C5475" s="177"/>
      <c r="D5475" s="177"/>
      <c r="E5475" s="177"/>
      <c r="F5475" s="177"/>
      <c r="G5475" s="177"/>
      <c r="H5475" s="177"/>
      <c r="I5475" s="177"/>
      <c r="J5475" s="177"/>
      <c r="K5475" s="177"/>
      <c r="L5475" s="177"/>
      <c r="M5475" s="177"/>
      <c r="N5475" s="177"/>
      <c r="O5475" s="177"/>
      <c r="P5475" s="224"/>
      <c r="Q5475" s="224"/>
      <c r="R5475" s="224"/>
      <c r="S5475" s="224"/>
    </row>
    <row r="5476" spans="1:19" s="235" customFormat="1" x14ac:dyDescent="0.35">
      <c r="A5476" s="229"/>
      <c r="B5476" s="230" t="s">
        <v>1912</v>
      </c>
      <c r="C5476" s="177"/>
      <c r="D5476" s="177"/>
      <c r="E5476" s="178">
        <v>85</v>
      </c>
      <c r="F5476" s="178">
        <v>70</v>
      </c>
      <c r="G5476" s="178"/>
      <c r="H5476" s="178">
        <v>0.3</v>
      </c>
      <c r="I5476" s="178"/>
      <c r="J5476" s="178"/>
      <c r="K5476" s="178"/>
      <c r="L5476" s="178"/>
      <c r="M5476" s="177"/>
      <c r="N5476" s="178">
        <f>E5476*F5476</f>
        <v>5950</v>
      </c>
      <c r="O5476" s="177"/>
      <c r="P5476" s="224"/>
      <c r="Q5476" s="224"/>
      <c r="R5476" s="224"/>
      <c r="S5476" s="224"/>
    </row>
    <row r="5477" spans="1:19" s="235" customFormat="1" x14ac:dyDescent="0.35">
      <c r="A5477" s="229"/>
      <c r="B5477" s="230"/>
      <c r="C5477" s="177"/>
      <c r="D5477" s="177"/>
      <c r="E5477" s="178"/>
      <c r="F5477" s="178"/>
      <c r="G5477" s="178"/>
      <c r="H5477" s="178"/>
      <c r="I5477" s="178"/>
      <c r="J5477" s="178"/>
      <c r="K5477" s="178"/>
      <c r="L5477" s="178"/>
      <c r="M5477" s="177"/>
      <c r="N5477" s="178"/>
      <c r="O5477" s="178"/>
      <c r="P5477" s="224"/>
      <c r="Q5477" s="224"/>
      <c r="R5477" s="224"/>
      <c r="S5477" s="224"/>
    </row>
    <row r="5478" spans="1:19" s="235" customFormat="1" x14ac:dyDescent="0.35">
      <c r="A5478" s="238"/>
      <c r="B5478" s="232" t="s">
        <v>5</v>
      </c>
      <c r="C5478" s="182" t="s">
        <v>1328</v>
      </c>
      <c r="D5478" s="178"/>
      <c r="E5478" s="182"/>
      <c r="F5478" s="182"/>
      <c r="G5478" s="182"/>
      <c r="H5478" s="182"/>
      <c r="I5478" s="182"/>
      <c r="J5478" s="182"/>
      <c r="K5478" s="182"/>
      <c r="L5478" s="182"/>
      <c r="M5478" s="182"/>
      <c r="N5478" s="182">
        <f>ROUND(SUM(N5476:N5477),2)</f>
        <v>5950</v>
      </c>
      <c r="O5478" s="182"/>
      <c r="P5478" s="224"/>
      <c r="Q5478" s="224"/>
      <c r="R5478" s="224"/>
      <c r="S5478" s="224"/>
    </row>
    <row r="5479" spans="1:19" s="235" customFormat="1" ht="52.5" x14ac:dyDescent="0.35">
      <c r="A5479" s="226" t="str">
        <f>ORÇAMENTO!A990</f>
        <v xml:space="preserve"> 8.1.2</v>
      </c>
      <c r="B5479" s="227" t="str">
        <f>VLOOKUP(A5479,ORÇAMENTO!A:K,4,0)</f>
        <v>CARGA, MANOBRA E DESCARGA DE ENTULHO EM CAMINHÃO BASCULANTE 14 M³ - CARGA COM ESCAVADEIRA HIDRÁULICA  (CAÇAMBA DE 0,80 M³ / 111 HP) E DESCARGA LIVRE (UNIDADE: M3). AF_07/2020</v>
      </c>
      <c r="C5479" s="173" t="str">
        <f>VLOOKUP(A5479,ORÇAMENTO!A:K,5,0)</f>
        <v>M³</v>
      </c>
      <c r="D5479" s="173">
        <f>SUM(E5483:O5483)</f>
        <v>1785</v>
      </c>
      <c r="E5479" s="173" t="s">
        <v>1718</v>
      </c>
      <c r="F5479" s="173" t="s">
        <v>1719</v>
      </c>
      <c r="G5479" s="173" t="s">
        <v>1720</v>
      </c>
      <c r="H5479" s="173" t="s">
        <v>1721</v>
      </c>
      <c r="I5479" s="173" t="s">
        <v>1722</v>
      </c>
      <c r="J5479" s="173" t="s">
        <v>1723</v>
      </c>
      <c r="K5479" s="173" t="s">
        <v>1724</v>
      </c>
      <c r="L5479" s="173" t="s">
        <v>1726</v>
      </c>
      <c r="M5479" s="207" t="s">
        <v>1750</v>
      </c>
      <c r="N5479" s="173" t="s">
        <v>1727</v>
      </c>
      <c r="O5479" s="173" t="s">
        <v>1728</v>
      </c>
      <c r="P5479" s="224"/>
      <c r="Q5479" s="224"/>
      <c r="R5479" s="224"/>
      <c r="S5479" s="224"/>
    </row>
    <row r="5480" spans="1:19" s="235" customFormat="1" x14ac:dyDescent="0.35">
      <c r="A5480" s="229"/>
      <c r="B5480" s="232" t="str">
        <f>B5475</f>
        <v xml:space="preserve">CONFORME DESENHO: </v>
      </c>
      <c r="C5480" s="177"/>
      <c r="D5480" s="177"/>
      <c r="E5480" s="177"/>
      <c r="F5480" s="177"/>
      <c r="G5480" s="177"/>
      <c r="H5480" s="177"/>
      <c r="I5480" s="177"/>
      <c r="J5480" s="177"/>
      <c r="K5480" s="177"/>
      <c r="L5480" s="177"/>
      <c r="M5480" s="177"/>
      <c r="N5480" s="177"/>
      <c r="O5480" s="177"/>
      <c r="P5480" s="224"/>
      <c r="Q5480" s="224"/>
      <c r="R5480" s="224"/>
      <c r="S5480" s="224"/>
    </row>
    <row r="5481" spans="1:19" s="235" customFormat="1" x14ac:dyDescent="0.35">
      <c r="A5481" s="229"/>
      <c r="B5481" s="230" t="str">
        <f>B5476</f>
        <v>ÁREA DA BACIA DE DETENÇÃO</v>
      </c>
      <c r="C5481" s="177"/>
      <c r="D5481" s="177"/>
      <c r="E5481" s="177"/>
      <c r="F5481" s="177"/>
      <c r="G5481" s="177"/>
      <c r="H5481" s="178">
        <f>H5476</f>
        <v>0.3</v>
      </c>
      <c r="I5481" s="178"/>
      <c r="J5481" s="178"/>
      <c r="K5481" s="178"/>
      <c r="L5481" s="178"/>
      <c r="M5481" s="178"/>
      <c r="N5481" s="178">
        <f>N5476</f>
        <v>5950</v>
      </c>
      <c r="O5481" s="178">
        <f>H5481*N5481</f>
        <v>1785</v>
      </c>
      <c r="P5481" s="224"/>
      <c r="Q5481" s="224"/>
      <c r="R5481" s="224"/>
      <c r="S5481" s="224"/>
    </row>
    <row r="5482" spans="1:19" s="235" customFormat="1" x14ac:dyDescent="0.35">
      <c r="A5482" s="229"/>
      <c r="B5482" s="230"/>
      <c r="C5482" s="177"/>
      <c r="D5482" s="177"/>
      <c r="E5482" s="177"/>
      <c r="F5482" s="177"/>
      <c r="G5482" s="177"/>
      <c r="H5482" s="177"/>
      <c r="I5482" s="177"/>
      <c r="J5482" s="177"/>
      <c r="K5482" s="177"/>
      <c r="L5482" s="177"/>
      <c r="M5482" s="177"/>
      <c r="N5482" s="177"/>
      <c r="O5482" s="177"/>
      <c r="P5482" s="224"/>
      <c r="Q5482" s="224"/>
      <c r="R5482" s="224"/>
      <c r="S5482" s="224"/>
    </row>
    <row r="5483" spans="1:19" s="235" customFormat="1" x14ac:dyDescent="0.35">
      <c r="A5483" s="238"/>
      <c r="B5483" s="232" t="s">
        <v>5</v>
      </c>
      <c r="C5483" s="182" t="s">
        <v>1328</v>
      </c>
      <c r="D5483" s="182"/>
      <c r="E5483" s="182"/>
      <c r="F5483" s="182"/>
      <c r="G5483" s="182"/>
      <c r="H5483" s="182"/>
      <c r="I5483" s="182"/>
      <c r="J5483" s="182"/>
      <c r="K5483" s="182"/>
      <c r="L5483" s="177"/>
      <c r="M5483" s="182"/>
      <c r="N5483" s="182"/>
      <c r="O5483" s="182">
        <f>ROUND(SUM(O5481:O5482),2)</f>
        <v>1785</v>
      </c>
      <c r="P5483" s="224"/>
      <c r="Q5483" s="224"/>
      <c r="R5483" s="224"/>
      <c r="S5483" s="224"/>
    </row>
    <row r="5484" spans="1:19" s="235" customFormat="1" ht="31.5" x14ac:dyDescent="0.35">
      <c r="A5484" s="226" t="str">
        <f>ORÇAMENTO!A991</f>
        <v xml:space="preserve"> 8.1.3</v>
      </c>
      <c r="B5484" s="227" t="str">
        <f>VLOOKUP(A5484,ORÇAMENTO!A:K,4,0)</f>
        <v>TRANSPORTE COM CAMINHÃO BASCULANTE DE 14 M³, EM VIA URBANA PAVIMENTADA, DMT ATÉ 30 KM (UNIDADE: M3XKM). AF_07/2020</v>
      </c>
      <c r="C5484" s="173" t="str">
        <f>VLOOKUP(A5484,ORÇAMENTO!A:K,5,0)</f>
        <v>M3XKM</v>
      </c>
      <c r="D5484" s="207">
        <f>SUM(E5489:O5489)</f>
        <v>53550</v>
      </c>
      <c r="E5484" s="207" t="s">
        <v>1749</v>
      </c>
      <c r="F5484" s="207" t="s">
        <v>1849</v>
      </c>
      <c r="G5484" s="207" t="s">
        <v>1850</v>
      </c>
      <c r="H5484" s="207" t="s">
        <v>1851</v>
      </c>
      <c r="I5484" s="207" t="s">
        <v>1722</v>
      </c>
      <c r="J5484" s="207" t="s">
        <v>1723</v>
      </c>
      <c r="K5484" s="207" t="s">
        <v>1724</v>
      </c>
      <c r="L5484" s="207" t="s">
        <v>1726</v>
      </c>
      <c r="M5484" s="207" t="s">
        <v>1750</v>
      </c>
      <c r="N5484" s="207" t="s">
        <v>1727</v>
      </c>
      <c r="O5484" s="207" t="s">
        <v>1728</v>
      </c>
      <c r="P5484" s="224"/>
      <c r="Q5484" s="224"/>
      <c r="R5484" s="224"/>
      <c r="S5484" s="224"/>
    </row>
    <row r="5485" spans="1:19" s="235" customFormat="1" x14ac:dyDescent="0.35">
      <c r="A5485" s="248"/>
      <c r="B5485" s="232" t="s">
        <v>1852</v>
      </c>
      <c r="C5485" s="177"/>
      <c r="D5485" s="178"/>
      <c r="E5485" s="178">
        <v>30</v>
      </c>
      <c r="F5485" s="249"/>
      <c r="G5485" s="249"/>
      <c r="H5485" s="249"/>
      <c r="I5485" s="249"/>
      <c r="J5485" s="249"/>
      <c r="K5485" s="249"/>
      <c r="L5485" s="249"/>
      <c r="M5485" s="249"/>
      <c r="N5485" s="249"/>
      <c r="O5485" s="249"/>
      <c r="P5485" s="224"/>
      <c r="Q5485" s="224"/>
      <c r="R5485" s="224"/>
      <c r="S5485" s="224"/>
    </row>
    <row r="5486" spans="1:19" s="237" customFormat="1" x14ac:dyDescent="0.35">
      <c r="A5486" s="229"/>
      <c r="B5486" s="230"/>
      <c r="C5486" s="178"/>
      <c r="D5486" s="178"/>
      <c r="E5486" s="178"/>
      <c r="F5486" s="178"/>
      <c r="G5486" s="178"/>
      <c r="H5486" s="178"/>
      <c r="I5486" s="178"/>
      <c r="J5486" s="178"/>
      <c r="K5486" s="178"/>
      <c r="L5486" s="214"/>
      <c r="M5486" s="178"/>
      <c r="N5486" s="178"/>
      <c r="O5486" s="178"/>
      <c r="P5486" s="236"/>
      <c r="Q5486" s="236"/>
      <c r="R5486" s="236"/>
      <c r="S5486" s="236"/>
    </row>
    <row r="5487" spans="1:19" s="237" customFormat="1" x14ac:dyDescent="0.35">
      <c r="A5487" s="229"/>
      <c r="B5487" s="230" t="str">
        <f>B5481</f>
        <v>ÁREA DA BACIA DE DETENÇÃO</v>
      </c>
      <c r="C5487" s="178"/>
      <c r="D5487" s="178"/>
      <c r="E5487" s="178"/>
      <c r="F5487" s="178"/>
      <c r="G5487" s="178"/>
      <c r="H5487" s="178"/>
      <c r="I5487" s="178"/>
      <c r="J5487" s="178"/>
      <c r="K5487" s="178"/>
      <c r="L5487" s="214"/>
      <c r="M5487" s="178">
        <f>E5485*O5487</f>
        <v>53550</v>
      </c>
      <c r="N5487" s="178"/>
      <c r="O5487" s="178">
        <f>O5481</f>
        <v>1785</v>
      </c>
      <c r="P5487" s="236"/>
      <c r="Q5487" s="236"/>
      <c r="R5487" s="236"/>
      <c r="S5487" s="236"/>
    </row>
    <row r="5488" spans="1:19" s="237" customFormat="1" x14ac:dyDescent="0.35">
      <c r="A5488" s="229"/>
      <c r="B5488" s="230"/>
      <c r="C5488" s="178"/>
      <c r="D5488" s="178"/>
      <c r="E5488" s="178"/>
      <c r="F5488" s="178"/>
      <c r="G5488" s="178"/>
      <c r="H5488" s="178"/>
      <c r="I5488" s="178"/>
      <c r="J5488" s="178"/>
      <c r="K5488" s="178"/>
      <c r="L5488" s="214"/>
      <c r="M5488" s="178"/>
      <c r="N5488" s="178"/>
      <c r="O5488" s="178"/>
      <c r="P5488" s="236"/>
      <c r="Q5488" s="236"/>
      <c r="R5488" s="236"/>
      <c r="S5488" s="236"/>
    </row>
    <row r="5489" spans="1:19" s="235" customFormat="1" x14ac:dyDescent="0.35">
      <c r="A5489" s="238"/>
      <c r="B5489" s="232" t="s">
        <v>5</v>
      </c>
      <c r="C5489" s="182" t="s">
        <v>1328</v>
      </c>
      <c r="D5489" s="182"/>
      <c r="E5489" s="182"/>
      <c r="F5489" s="182"/>
      <c r="G5489" s="182">
        <f>SUM(G5486:G5488)</f>
        <v>0</v>
      </c>
      <c r="H5489" s="182"/>
      <c r="I5489" s="182"/>
      <c r="J5489" s="182"/>
      <c r="K5489" s="182"/>
      <c r="L5489" s="182"/>
      <c r="M5489" s="182">
        <f>ROUND(SUM(M5487:M5488),2)</f>
        <v>53550</v>
      </c>
      <c r="N5489" s="182"/>
      <c r="O5489" s="182"/>
      <c r="P5489" s="224"/>
      <c r="Q5489" s="224"/>
      <c r="R5489" s="224"/>
      <c r="S5489" s="224"/>
    </row>
    <row r="5490" spans="1:19" s="235" customFormat="1" ht="42" x14ac:dyDescent="0.35">
      <c r="A5490" s="226" t="str">
        <f>ORÇAMENTO!A992</f>
        <v xml:space="preserve"> 8.1.4</v>
      </c>
      <c r="B5490" s="227" t="str">
        <f>VLOOKUP(A5490,ORÇAMENTO!A:K,4,0)</f>
        <v>TRANSPORTE COM CAMINHÃO BASCULANTE DE 14 M³, EM VIA URBANA PAVIMENTADA, ADICIONAL PARA DMT EXCEDENTE A 30 KM (UNIDADE: M3XKM). AF_07/2020</v>
      </c>
      <c r="C5490" s="173" t="str">
        <f>VLOOKUP(A5490,ORÇAMENTO!A:K,5,0)</f>
        <v>M3XKM</v>
      </c>
      <c r="D5490" s="173">
        <f>SUM(E5495:O5495)</f>
        <v>80325</v>
      </c>
      <c r="E5490" s="173" t="s">
        <v>1752</v>
      </c>
      <c r="F5490" s="173" t="s">
        <v>1719</v>
      </c>
      <c r="G5490" s="173" t="s">
        <v>1720</v>
      </c>
      <c r="H5490" s="173" t="s">
        <v>1721</v>
      </c>
      <c r="I5490" s="173" t="s">
        <v>1722</v>
      </c>
      <c r="J5490" s="173" t="s">
        <v>1723</v>
      </c>
      <c r="K5490" s="173" t="s">
        <v>1746</v>
      </c>
      <c r="L5490" s="173" t="s">
        <v>1753</v>
      </c>
      <c r="M5490" s="173" t="s">
        <v>1750</v>
      </c>
      <c r="N5490" s="173" t="s">
        <v>1727</v>
      </c>
      <c r="O5490" s="173" t="s">
        <v>1728</v>
      </c>
      <c r="P5490" s="224"/>
      <c r="Q5490" s="224"/>
      <c r="R5490" s="224"/>
      <c r="S5490" s="224"/>
    </row>
    <row r="5491" spans="1:19" s="225" customFormat="1" ht="10.5" x14ac:dyDescent="0.25">
      <c r="A5491" s="229"/>
      <c r="B5491" s="232" t="str">
        <f>B5485</f>
        <v>TRANSPORTE ATÉ ATERRO SAMAMBAIA - D = 75KM</v>
      </c>
      <c r="C5491" s="177"/>
      <c r="D5491" s="178"/>
      <c r="E5491" s="178">
        <f>75-E5485</f>
        <v>45</v>
      </c>
      <c r="F5491" s="178"/>
      <c r="G5491" s="178"/>
      <c r="H5491" s="178"/>
      <c r="I5491" s="178"/>
      <c r="J5491" s="178"/>
      <c r="K5491" s="178"/>
      <c r="L5491" s="190"/>
      <c r="M5491" s="178"/>
      <c r="N5491" s="178"/>
      <c r="O5491" s="178"/>
      <c r="P5491" s="231"/>
      <c r="Q5491" s="224"/>
    </row>
    <row r="5492" spans="1:19" s="237" customFormat="1" x14ac:dyDescent="0.35">
      <c r="A5492" s="229"/>
      <c r="B5492" s="230"/>
      <c r="C5492" s="178"/>
      <c r="D5492" s="178"/>
      <c r="E5492" s="178"/>
      <c r="F5492" s="178"/>
      <c r="G5492" s="178"/>
      <c r="H5492" s="178"/>
      <c r="I5492" s="178"/>
      <c r="J5492" s="178"/>
      <c r="K5492" s="178"/>
      <c r="L5492" s="214"/>
      <c r="M5492" s="178"/>
      <c r="N5492" s="178"/>
      <c r="O5492" s="178"/>
      <c r="P5492" s="236"/>
      <c r="Q5492" s="236"/>
      <c r="R5492" s="236"/>
      <c r="S5492" s="236"/>
    </row>
    <row r="5493" spans="1:19" s="237" customFormat="1" x14ac:dyDescent="0.35">
      <c r="A5493" s="229"/>
      <c r="B5493" s="230" t="str">
        <f>B5487</f>
        <v>ÁREA DA BACIA DE DETENÇÃO</v>
      </c>
      <c r="C5493" s="178"/>
      <c r="D5493" s="178"/>
      <c r="E5493" s="178"/>
      <c r="F5493" s="178"/>
      <c r="G5493" s="178"/>
      <c r="H5493" s="178"/>
      <c r="I5493" s="178"/>
      <c r="J5493" s="178"/>
      <c r="K5493" s="178"/>
      <c r="L5493" s="214"/>
      <c r="M5493" s="178">
        <f>E5491*O5493</f>
        <v>80325</v>
      </c>
      <c r="N5493" s="178"/>
      <c r="O5493" s="178">
        <f>O5487</f>
        <v>1785</v>
      </c>
      <c r="P5493" s="236"/>
      <c r="Q5493" s="236"/>
      <c r="R5493" s="236"/>
      <c r="S5493" s="236"/>
    </row>
    <row r="5494" spans="1:19" s="237" customFormat="1" x14ac:dyDescent="0.35">
      <c r="A5494" s="229"/>
      <c r="B5494" s="230"/>
      <c r="C5494" s="178"/>
      <c r="D5494" s="178"/>
      <c r="E5494" s="178"/>
      <c r="F5494" s="178"/>
      <c r="G5494" s="178"/>
      <c r="H5494" s="178"/>
      <c r="I5494" s="178"/>
      <c r="J5494" s="178"/>
      <c r="K5494" s="178"/>
      <c r="L5494" s="214"/>
      <c r="M5494" s="178"/>
      <c r="N5494" s="178"/>
      <c r="O5494" s="178"/>
      <c r="P5494" s="236"/>
      <c r="Q5494" s="236"/>
      <c r="R5494" s="236"/>
      <c r="S5494" s="236"/>
    </row>
    <row r="5495" spans="1:19" s="225" customFormat="1" ht="10.5" x14ac:dyDescent="0.25">
      <c r="A5495" s="229"/>
      <c r="B5495" s="232" t="s">
        <v>5</v>
      </c>
      <c r="C5495" s="182" t="s">
        <v>1328</v>
      </c>
      <c r="D5495" s="182"/>
      <c r="E5495" s="182"/>
      <c r="F5495" s="182"/>
      <c r="G5495" s="182"/>
      <c r="H5495" s="182"/>
      <c r="I5495" s="182"/>
      <c r="J5495" s="182"/>
      <c r="K5495" s="182"/>
      <c r="L5495" s="182"/>
      <c r="M5495" s="182">
        <f>ROUND(SUM(M5493:M5494),2)</f>
        <v>80325</v>
      </c>
      <c r="N5495" s="182"/>
      <c r="O5495" s="182"/>
      <c r="P5495" s="233"/>
      <c r="Q5495" s="224"/>
    </row>
    <row r="5496" spans="1:19" s="235" customFormat="1" ht="21" x14ac:dyDescent="0.35">
      <c r="A5496" s="226" t="str">
        <f>ORÇAMENTO!A993</f>
        <v xml:space="preserve"> 8.1.5</v>
      </c>
      <c r="B5496" s="227" t="str">
        <f>VLOOKUP(A5496,ORÇAMENTO!A:K,4,0)</f>
        <v>ESPALHAMENTO DE MATERIAL COM TRATOR DE ESTEIRAS. AF_09/2024</v>
      </c>
      <c r="C5496" s="173" t="str">
        <f>VLOOKUP(A5496,ORÇAMENTO!A:K,5,0)</f>
        <v>M³</v>
      </c>
      <c r="D5496" s="173">
        <f>SUM(E5500:O5500)</f>
        <v>1785</v>
      </c>
      <c r="E5496" s="173" t="s">
        <v>1752</v>
      </c>
      <c r="F5496" s="173" t="s">
        <v>1719</v>
      </c>
      <c r="G5496" s="173" t="s">
        <v>1720</v>
      </c>
      <c r="H5496" s="173" t="s">
        <v>1721</v>
      </c>
      <c r="I5496" s="173" t="s">
        <v>1722</v>
      </c>
      <c r="J5496" s="173" t="s">
        <v>1723</v>
      </c>
      <c r="K5496" s="173" t="s">
        <v>1746</v>
      </c>
      <c r="L5496" s="173" t="s">
        <v>1753</v>
      </c>
      <c r="M5496" s="173" t="s">
        <v>1750</v>
      </c>
      <c r="N5496" s="173" t="s">
        <v>1727</v>
      </c>
      <c r="O5496" s="173" t="s">
        <v>1728</v>
      </c>
      <c r="P5496" s="224"/>
      <c r="Q5496" s="224"/>
      <c r="R5496" s="224"/>
      <c r="S5496" s="224"/>
    </row>
    <row r="5497" spans="1:19" s="225" customFormat="1" ht="10.5" x14ac:dyDescent="0.25">
      <c r="A5497" s="229"/>
      <c r="B5497" s="232" t="s">
        <v>1775</v>
      </c>
      <c r="C5497" s="177"/>
      <c r="D5497" s="178"/>
      <c r="E5497" s="178"/>
      <c r="F5497" s="178"/>
      <c r="G5497" s="178"/>
      <c r="H5497" s="178"/>
      <c r="I5497" s="178"/>
      <c r="J5497" s="178"/>
      <c r="K5497" s="178"/>
      <c r="L5497" s="190"/>
      <c r="M5497" s="178"/>
      <c r="N5497" s="178"/>
      <c r="O5497" s="178"/>
      <c r="P5497" s="231"/>
      <c r="Q5497" s="224"/>
    </row>
    <row r="5498" spans="1:19" s="237" customFormat="1" x14ac:dyDescent="0.35">
      <c r="A5498" s="229"/>
      <c r="B5498" s="230" t="str">
        <f>B5493</f>
        <v>ÁREA DA BACIA DE DETENÇÃO</v>
      </c>
      <c r="C5498" s="178"/>
      <c r="D5498" s="178"/>
      <c r="E5498" s="178"/>
      <c r="F5498" s="178"/>
      <c r="G5498" s="178"/>
      <c r="H5498" s="178"/>
      <c r="I5498" s="178"/>
      <c r="J5498" s="178"/>
      <c r="K5498" s="178"/>
      <c r="L5498" s="214"/>
      <c r="M5498" s="178"/>
      <c r="N5498" s="178"/>
      <c r="O5498" s="178">
        <f>O5493</f>
        <v>1785</v>
      </c>
      <c r="P5498" s="236"/>
      <c r="Q5498" s="236"/>
      <c r="R5498" s="236"/>
      <c r="S5498" s="236"/>
    </row>
    <row r="5499" spans="1:19" s="237" customFormat="1" x14ac:dyDescent="0.35">
      <c r="A5499" s="229"/>
      <c r="B5499" s="230"/>
      <c r="C5499" s="178"/>
      <c r="D5499" s="178"/>
      <c r="E5499" s="178"/>
      <c r="F5499" s="178"/>
      <c r="G5499" s="178"/>
      <c r="H5499" s="178"/>
      <c r="I5499" s="178"/>
      <c r="J5499" s="178"/>
      <c r="K5499" s="178"/>
      <c r="L5499" s="214"/>
      <c r="M5499" s="178"/>
      <c r="N5499" s="178"/>
      <c r="O5499" s="178"/>
      <c r="P5499" s="236"/>
      <c r="Q5499" s="236"/>
      <c r="R5499" s="236"/>
      <c r="S5499" s="236"/>
    </row>
    <row r="5500" spans="1:19" s="225" customFormat="1" ht="10.5" x14ac:dyDescent="0.25">
      <c r="A5500" s="229"/>
      <c r="B5500" s="232" t="s">
        <v>5</v>
      </c>
      <c r="C5500" s="182" t="s">
        <v>1328</v>
      </c>
      <c r="D5500" s="182"/>
      <c r="E5500" s="182"/>
      <c r="F5500" s="182"/>
      <c r="G5500" s="182"/>
      <c r="H5500" s="182"/>
      <c r="I5500" s="182"/>
      <c r="J5500" s="182"/>
      <c r="K5500" s="182"/>
      <c r="L5500" s="182"/>
      <c r="M5500" s="182"/>
      <c r="N5500" s="182"/>
      <c r="O5500" s="182">
        <f>ROUND(SUM(O5498:O5499),2)</f>
        <v>1785</v>
      </c>
      <c r="P5500" s="233"/>
      <c r="Q5500" s="224"/>
    </row>
    <row r="5501" spans="1:19" s="225" customFormat="1" ht="10.5" x14ac:dyDescent="0.25">
      <c r="A5501" s="222" t="str">
        <f>ORÇAMENTO!A994</f>
        <v xml:space="preserve"> 8.2 </v>
      </c>
      <c r="B5501" s="223" t="str">
        <f>VLOOKUP(A5501,ORÇAMENTO!A:K,4,0)</f>
        <v>CORTE</v>
      </c>
      <c r="C5501" s="167" t="str">
        <f>VLOOKUP(A5501,ORÇAMENTO!A:K,5,0)</f>
        <v/>
      </c>
      <c r="D5501" s="167"/>
      <c r="E5501" s="168"/>
      <c r="F5501" s="168"/>
      <c r="G5501" s="168"/>
      <c r="H5501" s="168"/>
      <c r="I5501" s="168"/>
      <c r="J5501" s="168"/>
      <c r="K5501" s="168"/>
      <c r="L5501" s="168"/>
      <c r="M5501" s="168"/>
      <c r="N5501" s="168"/>
      <c r="O5501" s="168"/>
      <c r="P5501" s="224"/>
      <c r="Q5501" s="224"/>
    </row>
    <row r="5502" spans="1:19" s="235" customFormat="1" ht="42" x14ac:dyDescent="0.35">
      <c r="A5502" s="226" t="str">
        <f>ORÇAMENTO!A995</f>
        <v xml:space="preserve"> 8.2.1 </v>
      </c>
      <c r="B5502" s="227" t="str">
        <f>VLOOKUP(A5502,ORÇAMENTO!A:K,4,0)</f>
        <v>ESCAVAÇÃO, CARGA E TRANSPORTE DE SOLOS MOLES - DMT DE 50 A 200 M - CAMINHO DE SERVIÇO EM LEITO NATURAL - COM CAMINHÃOBASCULANTE DE 14 M³</v>
      </c>
      <c r="C5502" s="173" t="str">
        <f>VLOOKUP(A5502,ORÇAMENTO!A:K,5,0)</f>
        <v>M³</v>
      </c>
      <c r="D5502" s="173">
        <f>SUM(E5506:O5506)</f>
        <v>24527.94</v>
      </c>
      <c r="E5502" s="173" t="s">
        <v>1718</v>
      </c>
      <c r="F5502" s="173" t="s">
        <v>1719</v>
      </c>
      <c r="G5502" s="173" t="s">
        <v>1720</v>
      </c>
      <c r="H5502" s="173" t="s">
        <v>1721</v>
      </c>
      <c r="I5502" s="173" t="s">
        <v>1722</v>
      </c>
      <c r="J5502" s="173" t="s">
        <v>1723</v>
      </c>
      <c r="K5502" s="173" t="s">
        <v>1724</v>
      </c>
      <c r="L5502" s="173" t="s">
        <v>1753</v>
      </c>
      <c r="M5502" s="207" t="s">
        <v>1750</v>
      </c>
      <c r="N5502" s="173" t="s">
        <v>1727</v>
      </c>
      <c r="O5502" s="173" t="s">
        <v>1728</v>
      </c>
      <c r="P5502" s="224"/>
      <c r="Q5502" s="224"/>
      <c r="R5502" s="224"/>
      <c r="S5502" s="224"/>
    </row>
    <row r="5503" spans="1:19" s="235" customFormat="1" x14ac:dyDescent="0.35">
      <c r="A5503" s="229"/>
      <c r="B5503" s="232" t="s">
        <v>1845</v>
      </c>
      <c r="C5503" s="177"/>
      <c r="D5503" s="177"/>
      <c r="E5503" s="178"/>
      <c r="F5503" s="178"/>
      <c r="G5503" s="178"/>
      <c r="H5503" s="178"/>
      <c r="I5503" s="178"/>
      <c r="J5503" s="178"/>
      <c r="K5503" s="178"/>
      <c r="L5503" s="178"/>
      <c r="M5503" s="178"/>
      <c r="N5503" s="178"/>
      <c r="O5503" s="178"/>
      <c r="P5503" s="224"/>
      <c r="Q5503" s="224"/>
      <c r="R5503" s="224"/>
      <c r="S5503" s="224"/>
    </row>
    <row r="5504" spans="1:19" s="235" customFormat="1" x14ac:dyDescent="0.35">
      <c r="A5504" s="229"/>
      <c r="B5504" s="230" t="s">
        <v>1913</v>
      </c>
      <c r="C5504" s="177"/>
      <c r="D5504" s="177"/>
      <c r="E5504" s="178"/>
      <c r="F5504" s="178"/>
      <c r="G5504" s="178"/>
      <c r="H5504" s="178"/>
      <c r="I5504" s="178"/>
      <c r="J5504" s="178"/>
      <c r="K5504" s="178"/>
      <c r="L5504" s="178"/>
      <c r="M5504" s="178"/>
      <c r="N5504" s="178"/>
      <c r="O5504" s="185">
        <v>24527.94</v>
      </c>
      <c r="P5504" s="224"/>
      <c r="Q5504" s="224"/>
      <c r="R5504" s="224"/>
      <c r="S5504" s="224"/>
    </row>
    <row r="5505" spans="1:19" s="235" customFormat="1" x14ac:dyDescent="0.35">
      <c r="A5505" s="229"/>
      <c r="B5505" s="230"/>
      <c r="C5505" s="177"/>
      <c r="D5505" s="177"/>
      <c r="E5505" s="178"/>
      <c r="F5505" s="178"/>
      <c r="G5505" s="178"/>
      <c r="H5505" s="178"/>
      <c r="I5505" s="178"/>
      <c r="J5505" s="178"/>
      <c r="K5505" s="178"/>
      <c r="L5505" s="178"/>
      <c r="M5505" s="178"/>
      <c r="N5505" s="178"/>
      <c r="O5505" s="178"/>
      <c r="P5505" s="224"/>
      <c r="Q5505" s="224"/>
      <c r="R5505" s="224"/>
      <c r="S5505" s="224"/>
    </row>
    <row r="5506" spans="1:19" s="235" customFormat="1" x14ac:dyDescent="0.35">
      <c r="A5506" s="238"/>
      <c r="B5506" s="232" t="s">
        <v>5</v>
      </c>
      <c r="C5506" s="182" t="s">
        <v>1328</v>
      </c>
      <c r="D5506" s="182"/>
      <c r="E5506" s="182"/>
      <c r="F5506" s="182"/>
      <c r="G5506" s="182"/>
      <c r="H5506" s="182"/>
      <c r="I5506" s="182"/>
      <c r="J5506" s="182"/>
      <c r="K5506" s="182"/>
      <c r="L5506" s="182"/>
      <c r="M5506" s="182"/>
      <c r="N5506" s="182"/>
      <c r="O5506" s="182">
        <f>SUM(O5504:O5505)</f>
        <v>24527.94</v>
      </c>
      <c r="P5506" s="224"/>
      <c r="Q5506" s="224"/>
      <c r="R5506" s="224"/>
      <c r="S5506" s="224"/>
    </row>
    <row r="5507" spans="1:19" s="235" customFormat="1" ht="31.5" x14ac:dyDescent="0.35">
      <c r="A5507" s="226" t="str">
        <f>ORÇAMENTO!A996</f>
        <v xml:space="preserve"> 8.2.2</v>
      </c>
      <c r="B5507" s="227" t="str">
        <f>VLOOKUP(A5507,ORÇAMENTO!A:K,4,0)</f>
        <v>TRANSPORTE COM CAMINHÃO BASCULANTE DE 14 M³, EM VIA URBANA PAVIMENTADA, DMT ATÉ 30 KM (UNIDADE: M3XKM). AF_07/2020</v>
      </c>
      <c r="C5507" s="173" t="str">
        <f>VLOOKUP(A5507,ORÇAMENTO!A:K,5,0)</f>
        <v>M3XKM</v>
      </c>
      <c r="D5507" s="173">
        <f>SUM(E5514:O5514)</f>
        <v>758616.32999999984</v>
      </c>
      <c r="E5507" s="173" t="s">
        <v>1752</v>
      </c>
      <c r="F5507" s="173" t="s">
        <v>1719</v>
      </c>
      <c r="G5507" s="173" t="s">
        <v>1720</v>
      </c>
      <c r="H5507" s="173" t="s">
        <v>1721</v>
      </c>
      <c r="I5507" s="173" t="s">
        <v>1722</v>
      </c>
      <c r="J5507" s="173" t="s">
        <v>1723</v>
      </c>
      <c r="K5507" s="173" t="s">
        <v>1724</v>
      </c>
      <c r="L5507" s="173" t="s">
        <v>1753</v>
      </c>
      <c r="M5507" s="207" t="s">
        <v>1750</v>
      </c>
      <c r="N5507" s="173" t="s">
        <v>1727</v>
      </c>
      <c r="O5507" s="173" t="s">
        <v>1728</v>
      </c>
      <c r="P5507" s="224"/>
      <c r="Q5507" s="224"/>
      <c r="R5507" s="224"/>
      <c r="S5507" s="224"/>
    </row>
    <row r="5508" spans="1:19" s="235" customFormat="1" x14ac:dyDescent="0.35">
      <c r="A5508" s="229"/>
      <c r="B5508" s="232" t="s">
        <v>1853</v>
      </c>
      <c r="C5508" s="177"/>
      <c r="D5508" s="177"/>
      <c r="E5508" s="178"/>
      <c r="F5508" s="178"/>
      <c r="G5508" s="178"/>
      <c r="H5508" s="178"/>
      <c r="I5508" s="178"/>
      <c r="J5508" s="178"/>
      <c r="K5508" s="178"/>
      <c r="L5508" s="178"/>
      <c r="M5508" s="178"/>
      <c r="N5508" s="178"/>
      <c r="O5508" s="178">
        <f>O5506*1.15</f>
        <v>28207.130999999998</v>
      </c>
      <c r="P5508" s="224"/>
      <c r="Q5508" s="224"/>
      <c r="R5508" s="224"/>
      <c r="S5508" s="224"/>
    </row>
    <row r="5509" spans="1:19" s="235" customFormat="1" x14ac:dyDescent="0.35">
      <c r="A5509" s="229"/>
      <c r="B5509" s="230" t="s">
        <v>1914</v>
      </c>
      <c r="C5509" s="177"/>
      <c r="D5509" s="177"/>
      <c r="E5509" s="178"/>
      <c r="F5509" s="178"/>
      <c r="G5509" s="178"/>
      <c r="H5509" s="178"/>
      <c r="I5509" s="178"/>
      <c r="J5509" s="178"/>
      <c r="K5509" s="178"/>
      <c r="L5509" s="178"/>
      <c r="M5509" s="178"/>
      <c r="N5509" s="178"/>
      <c r="O5509" s="178">
        <f>O5530</f>
        <v>2919.92</v>
      </c>
      <c r="P5509" s="224"/>
      <c r="Q5509" s="224"/>
      <c r="R5509" s="224"/>
      <c r="S5509" s="224"/>
    </row>
    <row r="5510" spans="1:19" s="235" customFormat="1" x14ac:dyDescent="0.35">
      <c r="A5510" s="229"/>
      <c r="B5510" s="230"/>
      <c r="C5510" s="177"/>
      <c r="D5510" s="177"/>
      <c r="E5510" s="178"/>
      <c r="F5510" s="178"/>
      <c r="G5510" s="178"/>
      <c r="H5510" s="178"/>
      <c r="I5510" s="178"/>
      <c r="J5510" s="178"/>
      <c r="K5510" s="178"/>
      <c r="L5510" s="178"/>
      <c r="M5510" s="178"/>
      <c r="N5510" s="178"/>
      <c r="O5510" s="178"/>
      <c r="P5510" s="224"/>
      <c r="Q5510" s="224"/>
      <c r="R5510" s="224"/>
      <c r="S5510" s="224"/>
    </row>
    <row r="5511" spans="1:19" s="235" customFormat="1" x14ac:dyDescent="0.35">
      <c r="A5511" s="229"/>
      <c r="B5511" s="230" t="s">
        <v>1858</v>
      </c>
      <c r="C5511" s="177"/>
      <c r="D5511" s="177"/>
      <c r="E5511" s="178"/>
      <c r="F5511" s="178"/>
      <c r="G5511" s="178"/>
      <c r="H5511" s="178"/>
      <c r="I5511" s="178"/>
      <c r="J5511" s="178"/>
      <c r="K5511" s="178"/>
      <c r="L5511" s="178"/>
      <c r="M5511" s="178"/>
      <c r="N5511" s="178"/>
      <c r="O5511" s="177">
        <f>O5508-O5509</f>
        <v>25287.210999999996</v>
      </c>
      <c r="P5511" s="224"/>
      <c r="Q5511" s="224"/>
      <c r="R5511" s="224"/>
      <c r="S5511" s="224"/>
    </row>
    <row r="5512" spans="1:19" s="235" customFormat="1" x14ac:dyDescent="0.35">
      <c r="A5512" s="229"/>
      <c r="B5512" s="232" t="s">
        <v>1910</v>
      </c>
      <c r="C5512" s="177"/>
      <c r="D5512" s="177"/>
      <c r="E5512" s="178">
        <v>30</v>
      </c>
      <c r="F5512" s="178"/>
      <c r="G5512" s="178"/>
      <c r="H5512" s="178"/>
      <c r="I5512" s="178"/>
      <c r="J5512" s="178"/>
      <c r="K5512" s="178"/>
      <c r="L5512" s="178"/>
      <c r="M5512" s="178">
        <f>E5512*O5511</f>
        <v>758616.32999999984</v>
      </c>
      <c r="N5512" s="178"/>
      <c r="O5512" s="178"/>
      <c r="P5512" s="224"/>
      <c r="Q5512" s="224"/>
      <c r="R5512" s="224"/>
      <c r="S5512" s="224"/>
    </row>
    <row r="5513" spans="1:19" s="235" customFormat="1" x14ac:dyDescent="0.35">
      <c r="A5513" s="229"/>
      <c r="B5513" s="230"/>
      <c r="C5513" s="177"/>
      <c r="D5513" s="177"/>
      <c r="E5513" s="178"/>
      <c r="F5513" s="178"/>
      <c r="G5513" s="178"/>
      <c r="H5513" s="178"/>
      <c r="I5513" s="178"/>
      <c r="J5513" s="178"/>
      <c r="K5513" s="178"/>
      <c r="L5513" s="178"/>
      <c r="M5513" s="178"/>
      <c r="N5513" s="178"/>
      <c r="O5513" s="178"/>
      <c r="P5513" s="224"/>
      <c r="Q5513" s="224"/>
      <c r="R5513" s="224"/>
      <c r="S5513" s="224"/>
    </row>
    <row r="5514" spans="1:19" s="235" customFormat="1" x14ac:dyDescent="0.35">
      <c r="A5514" s="238"/>
      <c r="B5514" s="232" t="s">
        <v>5</v>
      </c>
      <c r="C5514" s="182" t="s">
        <v>1328</v>
      </c>
      <c r="D5514" s="182"/>
      <c r="E5514" s="182"/>
      <c r="F5514" s="182"/>
      <c r="G5514" s="182"/>
      <c r="H5514" s="182"/>
      <c r="I5514" s="182"/>
      <c r="J5514" s="182"/>
      <c r="K5514" s="182"/>
      <c r="L5514" s="182"/>
      <c r="M5514" s="182">
        <f>SUM(M5510:M5512)</f>
        <v>758616.32999999984</v>
      </c>
      <c r="N5514" s="182"/>
      <c r="O5514" s="182"/>
      <c r="P5514" s="224"/>
      <c r="Q5514" s="224"/>
      <c r="R5514" s="224"/>
      <c r="S5514" s="224"/>
    </row>
    <row r="5515" spans="1:19" s="235" customFormat="1" ht="42" x14ac:dyDescent="0.35">
      <c r="A5515" s="226" t="str">
        <f>ORÇAMENTO!A997</f>
        <v xml:space="preserve"> 8.2.3</v>
      </c>
      <c r="B5515" s="227" t="str">
        <f>VLOOKUP(A5515,ORÇAMENTO!A:K,4,0)</f>
        <v>TRANSPORTE COM CAMINHÃO BASCULANTE DE 14 M³, EM VIA URBANA PAVIMENTADA, ADICIONAL PARA DMT EXCEDENTE A 30 KM (UNIDADE: M3XKM). AF_07/2020</v>
      </c>
      <c r="C5515" s="173" t="str">
        <f>VLOOKUP(A5515,ORÇAMENTO!A:K,5,0)</f>
        <v>M3XKM</v>
      </c>
      <c r="D5515" s="173">
        <f>SUM(E5519:O5519)</f>
        <v>354020.95399999991</v>
      </c>
      <c r="E5515" s="173" t="s">
        <v>1749</v>
      </c>
      <c r="F5515" s="173" t="s">
        <v>1719</v>
      </c>
      <c r="G5515" s="173" t="s">
        <v>1720</v>
      </c>
      <c r="H5515" s="173" t="s">
        <v>1721</v>
      </c>
      <c r="I5515" s="173" t="s">
        <v>1722</v>
      </c>
      <c r="J5515" s="173" t="s">
        <v>1723</v>
      </c>
      <c r="K5515" s="173" t="s">
        <v>1724</v>
      </c>
      <c r="L5515" s="173" t="s">
        <v>1753</v>
      </c>
      <c r="M5515" s="207" t="s">
        <v>1750</v>
      </c>
      <c r="N5515" s="173" t="s">
        <v>1727</v>
      </c>
      <c r="O5515" s="173" t="s">
        <v>1728</v>
      </c>
      <c r="P5515" s="224"/>
      <c r="Q5515" s="224"/>
      <c r="R5515" s="224"/>
      <c r="S5515" s="224"/>
    </row>
    <row r="5516" spans="1:19" s="235" customFormat="1" x14ac:dyDescent="0.35">
      <c r="A5516" s="229"/>
      <c r="B5516" s="232" t="s">
        <v>1910</v>
      </c>
      <c r="C5516" s="177"/>
      <c r="D5516" s="178"/>
      <c r="E5516" s="178">
        <f>44-E5512</f>
        <v>14</v>
      </c>
      <c r="F5516" s="178"/>
      <c r="G5516" s="178"/>
      <c r="H5516" s="178"/>
      <c r="I5516" s="178"/>
      <c r="J5516" s="178"/>
      <c r="K5516" s="178"/>
      <c r="L5516" s="178"/>
      <c r="M5516" s="178"/>
      <c r="N5516" s="178"/>
      <c r="O5516" s="178"/>
      <c r="P5516" s="224"/>
      <c r="Q5516" s="224"/>
      <c r="R5516" s="224"/>
      <c r="S5516" s="224"/>
    </row>
    <row r="5517" spans="1:19" s="237" customFormat="1" x14ac:dyDescent="0.35">
      <c r="A5517" s="229"/>
      <c r="B5517" s="230" t="str">
        <f>B5511</f>
        <v>MATERIAL PARA BOTA FORA</v>
      </c>
      <c r="C5517" s="178"/>
      <c r="D5517" s="177"/>
      <c r="E5517" s="178"/>
      <c r="F5517" s="178"/>
      <c r="G5517" s="178"/>
      <c r="H5517" s="178"/>
      <c r="I5517" s="178"/>
      <c r="J5517" s="178"/>
      <c r="K5517" s="178"/>
      <c r="L5517" s="178"/>
      <c r="M5517" s="178">
        <f>E5516*O5517</f>
        <v>354020.95399999991</v>
      </c>
      <c r="N5517" s="178"/>
      <c r="O5517" s="178">
        <f>O5511</f>
        <v>25287.210999999996</v>
      </c>
      <c r="P5517" s="236"/>
      <c r="Q5517" s="236"/>
      <c r="R5517" s="236"/>
      <c r="S5517" s="236"/>
    </row>
    <row r="5518" spans="1:19" s="235" customFormat="1" x14ac:dyDescent="0.35">
      <c r="A5518" s="229"/>
      <c r="B5518" s="230"/>
      <c r="C5518" s="177"/>
      <c r="D5518" s="177"/>
      <c r="E5518" s="250"/>
      <c r="F5518" s="178"/>
      <c r="G5518" s="178"/>
      <c r="H5518" s="178"/>
      <c r="I5518" s="178"/>
      <c r="J5518" s="178"/>
      <c r="K5518" s="178"/>
      <c r="L5518" s="178"/>
      <c r="M5518" s="177"/>
      <c r="N5518" s="178"/>
      <c r="O5518" s="177"/>
      <c r="P5518" s="224"/>
      <c r="Q5518" s="224"/>
      <c r="R5518" s="224"/>
      <c r="S5518" s="224"/>
    </row>
    <row r="5519" spans="1:19" s="235" customFormat="1" x14ac:dyDescent="0.35">
      <c r="A5519" s="238"/>
      <c r="B5519" s="232" t="s">
        <v>5</v>
      </c>
      <c r="C5519" s="182" t="s">
        <v>1328</v>
      </c>
      <c r="D5519" s="182"/>
      <c r="E5519" s="182"/>
      <c r="F5519" s="182"/>
      <c r="G5519" s="182"/>
      <c r="H5519" s="182"/>
      <c r="I5519" s="182"/>
      <c r="J5519" s="182"/>
      <c r="K5519" s="182"/>
      <c r="L5519" s="182"/>
      <c r="M5519" s="182">
        <f>SUM(M5517:M5518)</f>
        <v>354020.95399999991</v>
      </c>
      <c r="N5519" s="182"/>
      <c r="O5519" s="182"/>
      <c r="P5519" s="224"/>
      <c r="Q5519" s="224"/>
      <c r="R5519" s="224"/>
      <c r="S5519" s="224"/>
    </row>
    <row r="5520" spans="1:19" s="235" customFormat="1" ht="21" x14ac:dyDescent="0.35">
      <c r="A5520" s="226" t="str">
        <f>ORÇAMENTO!A998</f>
        <v xml:space="preserve"> 8.2.4</v>
      </c>
      <c r="B5520" s="227" t="str">
        <f>VLOOKUP(A5520,ORÇAMENTO!A:K,4,0)</f>
        <v>ESPALHAMENTO DE MATERIAL COM TRATOR DE ESTEIRAS. AF_09/2024</v>
      </c>
      <c r="C5520" s="173" t="str">
        <f>VLOOKUP(A5520,ORÇAMENTO!A:K,5,0)</f>
        <v>M³</v>
      </c>
      <c r="D5520" s="173">
        <f>SUM(E5524:O5524)</f>
        <v>25287.21</v>
      </c>
      <c r="E5520" s="173" t="s">
        <v>1752</v>
      </c>
      <c r="F5520" s="173" t="s">
        <v>1719</v>
      </c>
      <c r="G5520" s="173" t="s">
        <v>1720</v>
      </c>
      <c r="H5520" s="173" t="s">
        <v>1721</v>
      </c>
      <c r="I5520" s="173" t="s">
        <v>1722</v>
      </c>
      <c r="J5520" s="173" t="s">
        <v>1723</v>
      </c>
      <c r="K5520" s="173" t="s">
        <v>1746</v>
      </c>
      <c r="L5520" s="173" t="s">
        <v>1753</v>
      </c>
      <c r="M5520" s="173" t="s">
        <v>1750</v>
      </c>
      <c r="N5520" s="173" t="s">
        <v>1727</v>
      </c>
      <c r="O5520" s="173" t="s">
        <v>1728</v>
      </c>
      <c r="P5520" s="224"/>
      <c r="Q5520" s="224"/>
      <c r="R5520" s="224"/>
      <c r="S5520" s="224"/>
    </row>
    <row r="5521" spans="1:19" s="237" customFormat="1" x14ac:dyDescent="0.35">
      <c r="A5521" s="229"/>
      <c r="B5521" s="230"/>
      <c r="C5521" s="178"/>
      <c r="D5521" s="178"/>
      <c r="E5521" s="178"/>
      <c r="F5521" s="178"/>
      <c r="G5521" s="178"/>
      <c r="H5521" s="178"/>
      <c r="I5521" s="178"/>
      <c r="J5521" s="178"/>
      <c r="K5521" s="178"/>
      <c r="L5521" s="214"/>
      <c r="M5521" s="178"/>
      <c r="N5521" s="178"/>
      <c r="O5521" s="178"/>
      <c r="P5521" s="236"/>
      <c r="Q5521" s="236"/>
      <c r="R5521" s="236"/>
      <c r="S5521" s="236"/>
    </row>
    <row r="5522" spans="1:19" s="237" customFormat="1" x14ac:dyDescent="0.35">
      <c r="A5522" s="229"/>
      <c r="B5522" s="230" t="str">
        <f>B5517</f>
        <v>MATERIAL PARA BOTA FORA</v>
      </c>
      <c r="C5522" s="178"/>
      <c r="D5522" s="178"/>
      <c r="E5522" s="178"/>
      <c r="F5522" s="178"/>
      <c r="G5522" s="178"/>
      <c r="H5522" s="178"/>
      <c r="I5522" s="178"/>
      <c r="J5522" s="178"/>
      <c r="K5522" s="178"/>
      <c r="L5522" s="214"/>
      <c r="M5522" s="178"/>
      <c r="N5522" s="178"/>
      <c r="O5522" s="178">
        <f>O5517</f>
        <v>25287.210999999996</v>
      </c>
      <c r="P5522" s="236"/>
      <c r="Q5522" s="236"/>
      <c r="R5522" s="236"/>
      <c r="S5522" s="236"/>
    </row>
    <row r="5523" spans="1:19" s="237" customFormat="1" x14ac:dyDescent="0.35">
      <c r="A5523" s="229"/>
      <c r="B5523" s="230"/>
      <c r="C5523" s="178"/>
      <c r="D5523" s="178"/>
      <c r="E5523" s="178"/>
      <c r="F5523" s="178"/>
      <c r="G5523" s="178"/>
      <c r="H5523" s="178"/>
      <c r="I5523" s="178"/>
      <c r="J5523" s="178"/>
      <c r="K5523" s="178"/>
      <c r="L5523" s="214"/>
      <c r="M5523" s="178"/>
      <c r="N5523" s="178"/>
      <c r="O5523" s="178"/>
      <c r="P5523" s="236"/>
      <c r="Q5523" s="236"/>
      <c r="R5523" s="236"/>
      <c r="S5523" s="236"/>
    </row>
    <row r="5524" spans="1:19" s="225" customFormat="1" ht="10.5" x14ac:dyDescent="0.25">
      <c r="A5524" s="229"/>
      <c r="B5524" s="232" t="s">
        <v>5</v>
      </c>
      <c r="C5524" s="182" t="s">
        <v>1328</v>
      </c>
      <c r="D5524" s="182"/>
      <c r="E5524" s="182"/>
      <c r="F5524" s="182"/>
      <c r="G5524" s="182"/>
      <c r="H5524" s="182"/>
      <c r="I5524" s="182"/>
      <c r="J5524" s="182"/>
      <c r="K5524" s="182"/>
      <c r="L5524" s="182"/>
      <c r="M5524" s="182"/>
      <c r="N5524" s="182"/>
      <c r="O5524" s="182">
        <f>ROUND(SUM(O5521:O5523),2)</f>
        <v>25287.21</v>
      </c>
      <c r="P5524" s="233"/>
      <c r="Q5524" s="224"/>
    </row>
    <row r="5525" spans="1:19" s="225" customFormat="1" ht="10.5" x14ac:dyDescent="0.25">
      <c r="A5525" s="222" t="str">
        <f>ORÇAMENTO!A999</f>
        <v xml:space="preserve"> 8.3 </v>
      </c>
      <c r="B5525" s="223" t="str">
        <f>VLOOKUP(A5525,ORÇAMENTO!A:K,4,0)</f>
        <v>ATERRO</v>
      </c>
      <c r="C5525" s="167" t="str">
        <f>VLOOKUP(A5525,ORÇAMENTO!A:K,5,0)</f>
        <v/>
      </c>
      <c r="D5525" s="167"/>
      <c r="E5525" s="168"/>
      <c r="F5525" s="168"/>
      <c r="G5525" s="168"/>
      <c r="H5525" s="168"/>
      <c r="I5525" s="168"/>
      <c r="J5525" s="168"/>
      <c r="K5525" s="168"/>
      <c r="L5525" s="168"/>
      <c r="M5525" s="168"/>
      <c r="N5525" s="168"/>
      <c r="O5525" s="168"/>
      <c r="P5525" s="224"/>
      <c r="Q5525" s="224"/>
    </row>
    <row r="5526" spans="1:19" s="235" customFormat="1" ht="63" x14ac:dyDescent="0.35">
      <c r="A5526" s="226" t="str">
        <f>ORÇAMENTO!A1000</f>
        <v xml:space="preserve"> 8.3.1 </v>
      </c>
      <c r="B5526" s="227" t="str">
        <f>VLOOKUP(A5526,ORÇAMENTO!A:K,4,0)</f>
        <v>EXECUÇÃO E COMPACTAÇÃO DE CORPO DE ATERRO DE ATERRO (95% DE ENERGIA DO PROCTOR NORMAL) COM SOLO PREDOMINANTEMENTE ARGILOSO ESPESSURA 15 CM - EXCLUSIVE MATERIAL, ESCAVAÇÃO, CARGA E TRANSPORTE. AF_09/2024</v>
      </c>
      <c r="C5526" s="173" t="str">
        <f>VLOOKUP(A5526,ORÇAMENTO!A:K,5,0)</f>
        <v>M³</v>
      </c>
      <c r="D5526" s="173">
        <f>SUM(E5530:O5530)</f>
        <v>2919.92</v>
      </c>
      <c r="E5526" s="173" t="s">
        <v>1718</v>
      </c>
      <c r="F5526" s="173" t="s">
        <v>1719</v>
      </c>
      <c r="G5526" s="173" t="s">
        <v>1720</v>
      </c>
      <c r="H5526" s="173" t="s">
        <v>1721</v>
      </c>
      <c r="I5526" s="173" t="s">
        <v>1722</v>
      </c>
      <c r="J5526" s="173" t="s">
        <v>1723</v>
      </c>
      <c r="K5526" s="173" t="s">
        <v>1724</v>
      </c>
      <c r="L5526" s="173" t="s">
        <v>1753</v>
      </c>
      <c r="M5526" s="173" t="s">
        <v>1768</v>
      </c>
      <c r="N5526" s="173" t="s">
        <v>1727</v>
      </c>
      <c r="O5526" s="173" t="s">
        <v>1728</v>
      </c>
      <c r="P5526" s="224"/>
      <c r="Q5526" s="224"/>
      <c r="R5526" s="224"/>
      <c r="S5526" s="224"/>
    </row>
    <row r="5527" spans="1:19" s="235" customFormat="1" x14ac:dyDescent="0.35">
      <c r="A5527" s="229"/>
      <c r="B5527" s="232" t="s">
        <v>1845</v>
      </c>
      <c r="C5527" s="177"/>
      <c r="D5527" s="177"/>
      <c r="E5527" s="178"/>
      <c r="F5527" s="178"/>
      <c r="G5527" s="178"/>
      <c r="H5527" s="178"/>
      <c r="I5527" s="178"/>
      <c r="J5527" s="178"/>
      <c r="K5527" s="178"/>
      <c r="L5527" s="178"/>
      <c r="M5527" s="178"/>
      <c r="N5527" s="178"/>
      <c r="O5527" s="178"/>
      <c r="P5527" s="224"/>
      <c r="Q5527" s="224"/>
      <c r="R5527" s="224"/>
      <c r="S5527" s="224"/>
    </row>
    <row r="5528" spans="1:19" s="237" customFormat="1" x14ac:dyDescent="0.35">
      <c r="A5528" s="229"/>
      <c r="B5528" s="230" t="s">
        <v>1915</v>
      </c>
      <c r="C5528" s="178"/>
      <c r="D5528" s="178"/>
      <c r="E5528" s="178"/>
      <c r="F5528" s="178"/>
      <c r="G5528" s="178"/>
      <c r="H5528" s="178"/>
      <c r="I5528" s="178"/>
      <c r="J5528" s="178"/>
      <c r="K5528" s="178"/>
      <c r="L5528" s="178"/>
      <c r="M5528" s="178"/>
      <c r="N5528" s="178"/>
      <c r="O5528" s="178">
        <v>2919.92</v>
      </c>
      <c r="P5528" s="236"/>
      <c r="Q5528" s="236"/>
      <c r="R5528" s="236"/>
      <c r="S5528" s="236"/>
    </row>
    <row r="5529" spans="1:19" s="237" customFormat="1" x14ac:dyDescent="0.35">
      <c r="A5529" s="229"/>
      <c r="B5529" s="230"/>
      <c r="C5529" s="178"/>
      <c r="D5529" s="178"/>
      <c r="E5529" s="178"/>
      <c r="F5529" s="178"/>
      <c r="G5529" s="178"/>
      <c r="H5529" s="178"/>
      <c r="I5529" s="178"/>
      <c r="J5529" s="178"/>
      <c r="K5529" s="178"/>
      <c r="L5529" s="178"/>
      <c r="M5529" s="178"/>
      <c r="N5529" s="178"/>
      <c r="O5529" s="193"/>
      <c r="P5529" s="236"/>
      <c r="Q5529" s="236"/>
      <c r="R5529" s="236"/>
      <c r="S5529" s="236"/>
    </row>
    <row r="5530" spans="1:19" s="235" customFormat="1" x14ac:dyDescent="0.35">
      <c r="A5530" s="238"/>
      <c r="B5530" s="232" t="s">
        <v>5</v>
      </c>
      <c r="C5530" s="182" t="s">
        <v>1328</v>
      </c>
      <c r="D5530" s="182"/>
      <c r="E5530" s="182"/>
      <c r="F5530" s="182"/>
      <c r="G5530" s="182"/>
      <c r="H5530" s="182"/>
      <c r="I5530" s="182"/>
      <c r="J5530" s="182"/>
      <c r="K5530" s="182"/>
      <c r="L5530" s="182"/>
      <c r="M5530" s="182"/>
      <c r="N5530" s="182"/>
      <c r="O5530" s="196">
        <f>SUM(O5528:O5529)</f>
        <v>2919.92</v>
      </c>
      <c r="P5530" s="224"/>
      <c r="Q5530" s="224"/>
      <c r="R5530" s="224"/>
      <c r="S5530" s="224"/>
    </row>
    <row r="5531" spans="1:19" s="225" customFormat="1" ht="10.5" x14ac:dyDescent="0.25">
      <c r="A5531" s="222" t="str">
        <f>ORÇAMENTO!A1001</f>
        <v xml:space="preserve"> 8.4 </v>
      </c>
      <c r="B5531" s="223" t="str">
        <f>VLOOKUP(A5531,ORÇAMENTO!A:K,4,0)</f>
        <v>GABIÃO</v>
      </c>
      <c r="C5531" s="167" t="str">
        <f>VLOOKUP(A5531,ORÇAMENTO!A:K,5,0)</f>
        <v/>
      </c>
      <c r="D5531" s="167"/>
      <c r="E5531" s="168"/>
      <c r="F5531" s="168"/>
      <c r="G5531" s="168"/>
      <c r="H5531" s="168"/>
      <c r="I5531" s="168"/>
      <c r="J5531" s="168"/>
      <c r="K5531" s="168"/>
      <c r="L5531" s="168"/>
      <c r="M5531" s="168"/>
      <c r="N5531" s="168"/>
      <c r="O5531" s="168"/>
      <c r="P5531" s="224"/>
      <c r="Q5531" s="224"/>
    </row>
    <row r="5532" spans="1:19" s="235" customFormat="1" ht="31.5" x14ac:dyDescent="0.35">
      <c r="A5532" s="226" t="str">
        <f>ORÇAMENTO!A1002</f>
        <v xml:space="preserve"> 8.4.1 </v>
      </c>
      <c r="B5532" s="227" t="str">
        <f>VLOOKUP(A5532,ORÇAMENTO!A:K,4,0)</f>
        <v>GABIÃO CAIXA 2 X 1 X 0,50 M - ZN/AL + PVC - D = 2,4 MM - PEDRA DE MÃO COMERCIAL - FORNECIMENTO E ASSENTAMENTO</v>
      </c>
      <c r="C5532" s="173" t="str">
        <f>VLOOKUP(A5532,ORÇAMENTO!A:K,5,0)</f>
        <v>M³</v>
      </c>
      <c r="D5532" s="173">
        <f>SUM(E5536:O5536)</f>
        <v>16.5</v>
      </c>
      <c r="E5532" s="173" t="s">
        <v>1718</v>
      </c>
      <c r="F5532" s="173" t="s">
        <v>1719</v>
      </c>
      <c r="G5532" s="173" t="s">
        <v>1720</v>
      </c>
      <c r="H5532" s="173" t="s">
        <v>1721</v>
      </c>
      <c r="I5532" s="173" t="s">
        <v>1722</v>
      </c>
      <c r="J5532" s="173" t="s">
        <v>1723</v>
      </c>
      <c r="K5532" s="173" t="s">
        <v>1724</v>
      </c>
      <c r="L5532" s="173" t="s">
        <v>1753</v>
      </c>
      <c r="M5532" s="173" t="s">
        <v>1768</v>
      </c>
      <c r="N5532" s="173" t="s">
        <v>1727</v>
      </c>
      <c r="O5532" s="173" t="s">
        <v>1728</v>
      </c>
      <c r="P5532" s="224"/>
      <c r="Q5532" s="224"/>
      <c r="R5532" s="224"/>
      <c r="S5532" s="224"/>
    </row>
    <row r="5533" spans="1:19" s="235" customFormat="1" x14ac:dyDescent="0.35">
      <c r="A5533" s="229"/>
      <c r="B5533" s="232" t="s">
        <v>1845</v>
      </c>
      <c r="C5533" s="177"/>
      <c r="D5533" s="177"/>
      <c r="E5533" s="178"/>
      <c r="F5533" s="178"/>
      <c r="G5533" s="178"/>
      <c r="H5533" s="178"/>
      <c r="I5533" s="178"/>
      <c r="J5533" s="178"/>
      <c r="K5533" s="178"/>
      <c r="L5533" s="178"/>
      <c r="M5533" s="178"/>
      <c r="N5533" s="178"/>
      <c r="O5533" s="178"/>
      <c r="P5533" s="224"/>
      <c r="Q5533" s="224"/>
      <c r="R5533" s="224"/>
      <c r="S5533" s="224"/>
    </row>
    <row r="5534" spans="1:19" s="237" customFormat="1" x14ac:dyDescent="0.35">
      <c r="A5534" s="229"/>
      <c r="B5534" s="230" t="s">
        <v>1916</v>
      </c>
      <c r="C5534" s="178"/>
      <c r="D5534" s="178"/>
      <c r="E5534" s="178"/>
      <c r="F5534" s="178"/>
      <c r="G5534" s="178"/>
      <c r="H5534" s="178"/>
      <c r="I5534" s="178"/>
      <c r="J5534" s="178"/>
      <c r="K5534" s="178"/>
      <c r="L5534" s="178"/>
      <c r="M5534" s="178"/>
      <c r="N5534" s="178"/>
      <c r="O5534" s="215">
        <v>16.5</v>
      </c>
      <c r="P5534" s="236"/>
      <c r="Q5534" s="236"/>
      <c r="R5534" s="236"/>
      <c r="S5534" s="236"/>
    </row>
    <row r="5535" spans="1:19" s="237" customFormat="1" x14ac:dyDescent="0.35">
      <c r="A5535" s="229"/>
      <c r="B5535" s="230"/>
      <c r="C5535" s="178"/>
      <c r="D5535" s="178"/>
      <c r="E5535" s="178"/>
      <c r="F5535" s="178"/>
      <c r="G5535" s="178"/>
      <c r="H5535" s="178"/>
      <c r="I5535" s="178"/>
      <c r="J5535" s="178"/>
      <c r="K5535" s="178"/>
      <c r="L5535" s="178"/>
      <c r="M5535" s="178"/>
      <c r="N5535" s="178"/>
      <c r="O5535" s="193"/>
      <c r="P5535" s="236"/>
      <c r="Q5535" s="236"/>
      <c r="R5535" s="236"/>
      <c r="S5535" s="236"/>
    </row>
    <row r="5536" spans="1:19" s="235" customFormat="1" x14ac:dyDescent="0.35">
      <c r="A5536" s="238"/>
      <c r="B5536" s="232" t="s">
        <v>5</v>
      </c>
      <c r="C5536" s="182" t="s">
        <v>1328</v>
      </c>
      <c r="D5536" s="182"/>
      <c r="E5536" s="182"/>
      <c r="F5536" s="182"/>
      <c r="G5536" s="182"/>
      <c r="H5536" s="182"/>
      <c r="I5536" s="182"/>
      <c r="J5536" s="182"/>
      <c r="K5536" s="182"/>
      <c r="L5536" s="182"/>
      <c r="M5536" s="182"/>
      <c r="N5536" s="182"/>
      <c r="O5536" s="196">
        <f>SUM(O5534:O5535)</f>
        <v>16.5</v>
      </c>
      <c r="P5536" s="224"/>
      <c r="Q5536" s="224"/>
      <c r="R5536" s="224"/>
      <c r="S5536" s="224"/>
    </row>
    <row r="5537" spans="1:19" s="235" customFormat="1" ht="31.5" x14ac:dyDescent="0.35">
      <c r="A5537" s="226" t="str">
        <f>ORÇAMENTO!A1003</f>
        <v xml:space="preserve"> 8.4.2</v>
      </c>
      <c r="B5537" s="227" t="str">
        <f>VLOOKUP(A5537,ORÇAMENTO!A:K,4,0)</f>
        <v>GABIÃO CAIXA 2 X 1 X 1,00 M - ZN/AL + PVC - D = 2,4 MM - PEDRA DE MÃO COMERCIAL - FORNECIMENTO E ASSENTAMENTO</v>
      </c>
      <c r="C5537" s="173" t="str">
        <f>VLOOKUP(A5537,ORÇAMENTO!A:K,5,0)</f>
        <v>M³</v>
      </c>
      <c r="D5537" s="173">
        <f>SUM(E5541:O5541)</f>
        <v>963.45</v>
      </c>
      <c r="E5537" s="173" t="s">
        <v>1718</v>
      </c>
      <c r="F5537" s="173" t="s">
        <v>1719</v>
      </c>
      <c r="G5537" s="173" t="s">
        <v>1720</v>
      </c>
      <c r="H5537" s="173" t="s">
        <v>1721</v>
      </c>
      <c r="I5537" s="173" t="s">
        <v>1722</v>
      </c>
      <c r="J5537" s="173" t="s">
        <v>1723</v>
      </c>
      <c r="K5537" s="173" t="s">
        <v>1724</v>
      </c>
      <c r="L5537" s="173" t="s">
        <v>1753</v>
      </c>
      <c r="M5537" s="173" t="s">
        <v>1768</v>
      </c>
      <c r="N5537" s="173" t="s">
        <v>1727</v>
      </c>
      <c r="O5537" s="173" t="s">
        <v>1728</v>
      </c>
      <c r="P5537" s="224"/>
      <c r="Q5537" s="224"/>
      <c r="R5537" s="224"/>
      <c r="S5537" s="224"/>
    </row>
    <row r="5538" spans="1:19" s="235" customFormat="1" x14ac:dyDescent="0.35">
      <c r="A5538" s="229"/>
      <c r="B5538" s="232" t="s">
        <v>1845</v>
      </c>
      <c r="C5538" s="177"/>
      <c r="D5538" s="177"/>
      <c r="E5538" s="178"/>
      <c r="F5538" s="178"/>
      <c r="G5538" s="178"/>
      <c r="H5538" s="178"/>
      <c r="I5538" s="178"/>
      <c r="J5538" s="178"/>
      <c r="K5538" s="178"/>
      <c r="L5538" s="178"/>
      <c r="M5538" s="178"/>
      <c r="N5538" s="178"/>
      <c r="O5538" s="178"/>
      <c r="P5538" s="224"/>
      <c r="Q5538" s="224"/>
      <c r="R5538" s="224"/>
      <c r="S5538" s="224"/>
    </row>
    <row r="5539" spans="1:19" s="237" customFormat="1" x14ac:dyDescent="0.35">
      <c r="A5539" s="229"/>
      <c r="B5539" s="230" t="s">
        <v>1917</v>
      </c>
      <c r="C5539" s="178"/>
      <c r="D5539" s="178"/>
      <c r="E5539" s="178"/>
      <c r="F5539" s="178"/>
      <c r="G5539" s="178"/>
      <c r="H5539" s="178"/>
      <c r="I5539" s="178"/>
      <c r="J5539" s="178"/>
      <c r="K5539" s="178"/>
      <c r="L5539" s="178"/>
      <c r="M5539" s="178"/>
      <c r="N5539" s="178"/>
      <c r="O5539" s="215">
        <v>963.45</v>
      </c>
      <c r="P5539" s="236"/>
      <c r="Q5539" s="236"/>
      <c r="R5539" s="236"/>
      <c r="S5539" s="236"/>
    </row>
    <row r="5540" spans="1:19" s="237" customFormat="1" x14ac:dyDescent="0.35">
      <c r="A5540" s="229"/>
      <c r="B5540" s="230"/>
      <c r="C5540" s="178"/>
      <c r="D5540" s="178"/>
      <c r="E5540" s="178"/>
      <c r="F5540" s="178"/>
      <c r="G5540" s="178"/>
      <c r="H5540" s="178"/>
      <c r="I5540" s="178"/>
      <c r="J5540" s="178"/>
      <c r="K5540" s="178"/>
      <c r="L5540" s="178"/>
      <c r="M5540" s="178"/>
      <c r="N5540" s="178"/>
      <c r="O5540" s="193"/>
      <c r="P5540" s="236"/>
      <c r="Q5540" s="236"/>
      <c r="R5540" s="236"/>
      <c r="S5540" s="236"/>
    </row>
    <row r="5541" spans="1:19" s="235" customFormat="1" x14ac:dyDescent="0.35">
      <c r="A5541" s="238"/>
      <c r="B5541" s="232" t="s">
        <v>5</v>
      </c>
      <c r="C5541" s="182" t="s">
        <v>1328</v>
      </c>
      <c r="D5541" s="182"/>
      <c r="E5541" s="182"/>
      <c r="F5541" s="182"/>
      <c r="G5541" s="182"/>
      <c r="H5541" s="182"/>
      <c r="I5541" s="182"/>
      <c r="J5541" s="182"/>
      <c r="K5541" s="182"/>
      <c r="L5541" s="182"/>
      <c r="M5541" s="182"/>
      <c r="N5541" s="182"/>
      <c r="O5541" s="196">
        <f>SUM(O5539:O5540)</f>
        <v>963.45</v>
      </c>
      <c r="P5541" s="224"/>
      <c r="Q5541" s="224"/>
      <c r="R5541" s="224"/>
      <c r="S5541" s="224"/>
    </row>
    <row r="5542" spans="1:19" s="235" customFormat="1" ht="31.5" x14ac:dyDescent="0.35">
      <c r="A5542" s="226" t="str">
        <f>ORÇAMENTO!A1004</f>
        <v xml:space="preserve"> 8.4.3</v>
      </c>
      <c r="B5542" s="227" t="str">
        <f>VLOOKUP(A5542,ORÇAMENTO!A:K,4,0)</f>
        <v>GABIÃO COLCHÃO ESPESSURA 0,23 M - ZN/AL + PVC - D = 2,0 MM - PEDRA DE MÃO COMERCIAL - FORNECIMENTO E ASSENTAMENTO</v>
      </c>
      <c r="C5542" s="173" t="str">
        <f>VLOOKUP(A5542,ORÇAMENTO!A:K,5,0)</f>
        <v>M²</v>
      </c>
      <c r="D5542" s="173">
        <f>SUM(E5546:O5546)</f>
        <v>131.69799999999998</v>
      </c>
      <c r="E5542" s="173" t="s">
        <v>1718</v>
      </c>
      <c r="F5542" s="173" t="s">
        <v>1719</v>
      </c>
      <c r="G5542" s="173" t="s">
        <v>1720</v>
      </c>
      <c r="H5542" s="173" t="s">
        <v>1721</v>
      </c>
      <c r="I5542" s="173" t="s">
        <v>1722</v>
      </c>
      <c r="J5542" s="173" t="s">
        <v>1723</v>
      </c>
      <c r="K5542" s="173" t="s">
        <v>1724</v>
      </c>
      <c r="L5542" s="173" t="s">
        <v>1753</v>
      </c>
      <c r="M5542" s="173" t="s">
        <v>1768</v>
      </c>
      <c r="N5542" s="173" t="s">
        <v>1727</v>
      </c>
      <c r="O5542" s="173" t="s">
        <v>1728</v>
      </c>
      <c r="P5542" s="224"/>
      <c r="Q5542" s="224"/>
      <c r="R5542" s="224"/>
      <c r="S5542" s="224"/>
    </row>
    <row r="5543" spans="1:19" s="235" customFormat="1" x14ac:dyDescent="0.35">
      <c r="A5543" s="229"/>
      <c r="B5543" s="232" t="s">
        <v>1845</v>
      </c>
      <c r="C5543" s="177"/>
      <c r="D5543" s="177"/>
      <c r="E5543" s="178"/>
      <c r="F5543" s="178"/>
      <c r="G5543" s="178"/>
      <c r="H5543" s="178"/>
      <c r="I5543" s="178"/>
      <c r="J5543" s="178"/>
      <c r="K5543" s="178"/>
      <c r="L5543" s="178"/>
      <c r="M5543" s="178"/>
      <c r="N5543" s="178"/>
      <c r="O5543" s="178"/>
      <c r="P5543" s="224"/>
      <c r="Q5543" s="224"/>
      <c r="R5543" s="224"/>
      <c r="S5543" s="224"/>
    </row>
    <row r="5544" spans="1:19" s="237" customFormat="1" x14ac:dyDescent="0.35">
      <c r="A5544" s="229"/>
      <c r="B5544" s="230" t="s">
        <v>1918</v>
      </c>
      <c r="C5544" s="178"/>
      <c r="D5544" s="178"/>
      <c r="E5544" s="178"/>
      <c r="F5544" s="178"/>
      <c r="G5544" s="178"/>
      <c r="H5544" s="178"/>
      <c r="I5544" s="178"/>
      <c r="J5544" s="178"/>
      <c r="K5544" s="178"/>
      <c r="L5544" s="178"/>
      <c r="M5544" s="178"/>
      <c r="N5544" s="215">
        <v>131.69799999999998</v>
      </c>
      <c r="O5544" s="215"/>
      <c r="P5544" s="236"/>
      <c r="Q5544" s="236"/>
      <c r="R5544" s="236"/>
      <c r="S5544" s="236"/>
    </row>
    <row r="5545" spans="1:19" s="237" customFormat="1" x14ac:dyDescent="0.35">
      <c r="A5545" s="229"/>
      <c r="B5545" s="230"/>
      <c r="C5545" s="178"/>
      <c r="D5545" s="178"/>
      <c r="E5545" s="178"/>
      <c r="F5545" s="178"/>
      <c r="G5545" s="178"/>
      <c r="H5545" s="178"/>
      <c r="I5545" s="178"/>
      <c r="J5545" s="178"/>
      <c r="K5545" s="178"/>
      <c r="L5545" s="178"/>
      <c r="M5545" s="178"/>
      <c r="N5545" s="193"/>
      <c r="O5545" s="193"/>
      <c r="P5545" s="236"/>
      <c r="Q5545" s="236"/>
      <c r="R5545" s="236"/>
      <c r="S5545" s="236"/>
    </row>
    <row r="5546" spans="1:19" s="235" customFormat="1" x14ac:dyDescent="0.35">
      <c r="A5546" s="238"/>
      <c r="B5546" s="232" t="s">
        <v>5</v>
      </c>
      <c r="C5546" s="182" t="s">
        <v>1328</v>
      </c>
      <c r="D5546" s="182"/>
      <c r="E5546" s="182"/>
      <c r="F5546" s="182"/>
      <c r="G5546" s="182"/>
      <c r="H5546" s="182"/>
      <c r="I5546" s="182"/>
      <c r="J5546" s="182"/>
      <c r="K5546" s="182"/>
      <c r="L5546" s="182"/>
      <c r="M5546" s="182"/>
      <c r="N5546" s="196">
        <f>SUM(N5544:N5545)</f>
        <v>131.69799999999998</v>
      </c>
      <c r="O5546" s="196"/>
      <c r="P5546" s="224"/>
      <c r="Q5546" s="224"/>
      <c r="R5546" s="224"/>
      <c r="S5546" s="224"/>
    </row>
    <row r="5547" spans="1:19" s="235" customFormat="1" ht="21" x14ac:dyDescent="0.35">
      <c r="A5547" s="226" t="str">
        <f>ORÇAMENTO!A1005</f>
        <v xml:space="preserve"> 8.4.4</v>
      </c>
      <c r="B5547" s="227" t="str">
        <f>VLOOKUP(A5547,ORÇAMENTO!A:K,4,0)</f>
        <v>SELO DE ARGILA APILOADO</v>
      </c>
      <c r="C5547" s="173" t="str">
        <f>VLOOKUP(A5547,ORÇAMENTO!A:K,5,0)</f>
        <v>M³</v>
      </c>
      <c r="D5547" s="173">
        <f>SUM(E5551:O5551)</f>
        <v>2362.9850000000001</v>
      </c>
      <c r="E5547" s="173" t="s">
        <v>1718</v>
      </c>
      <c r="F5547" s="173" t="s">
        <v>1719</v>
      </c>
      <c r="G5547" s="173" t="s">
        <v>1720</v>
      </c>
      <c r="H5547" s="173" t="s">
        <v>1721</v>
      </c>
      <c r="I5547" s="173" t="s">
        <v>1722</v>
      </c>
      <c r="J5547" s="173" t="s">
        <v>1723</v>
      </c>
      <c r="K5547" s="173" t="s">
        <v>1724</v>
      </c>
      <c r="L5547" s="173" t="s">
        <v>1753</v>
      </c>
      <c r="M5547" s="173" t="s">
        <v>1768</v>
      </c>
      <c r="N5547" s="173" t="s">
        <v>1727</v>
      </c>
      <c r="O5547" s="173" t="s">
        <v>1728</v>
      </c>
      <c r="P5547" s="224"/>
      <c r="Q5547" s="224"/>
      <c r="R5547" s="224"/>
      <c r="S5547" s="224"/>
    </row>
    <row r="5548" spans="1:19" s="235" customFormat="1" x14ac:dyDescent="0.35">
      <c r="A5548" s="229"/>
      <c r="B5548" s="232" t="s">
        <v>1845</v>
      </c>
      <c r="C5548" s="177"/>
      <c r="D5548" s="177"/>
      <c r="E5548" s="178"/>
      <c r="F5548" s="178"/>
      <c r="G5548" s="178"/>
      <c r="H5548" s="178"/>
      <c r="I5548" s="178"/>
      <c r="J5548" s="178"/>
      <c r="K5548" s="178"/>
      <c r="L5548" s="178"/>
      <c r="M5548" s="178"/>
      <c r="N5548" s="178"/>
      <c r="O5548" s="178"/>
      <c r="P5548" s="224"/>
      <c r="Q5548" s="224"/>
      <c r="R5548" s="224"/>
      <c r="S5548" s="224"/>
    </row>
    <row r="5549" spans="1:19" s="237" customFormat="1" x14ac:dyDescent="0.35">
      <c r="A5549" s="229"/>
      <c r="B5549" s="230" t="s">
        <v>1919</v>
      </c>
      <c r="C5549" s="178"/>
      <c r="D5549" s="178"/>
      <c r="E5549" s="178"/>
      <c r="F5549" s="178"/>
      <c r="G5549" s="178"/>
      <c r="H5549" s="178"/>
      <c r="I5549" s="178"/>
      <c r="J5549" s="178"/>
      <c r="K5549" s="178"/>
      <c r="L5549" s="178"/>
      <c r="M5549" s="178"/>
      <c r="N5549" s="178"/>
      <c r="O5549" s="215">
        <v>2362.9850000000001</v>
      </c>
      <c r="P5549" s="236"/>
      <c r="Q5549" s="236"/>
      <c r="R5549" s="236"/>
      <c r="S5549" s="236"/>
    </row>
    <row r="5550" spans="1:19" s="237" customFormat="1" x14ac:dyDescent="0.35">
      <c r="A5550" s="229"/>
      <c r="B5550" s="230"/>
      <c r="C5550" s="178"/>
      <c r="D5550" s="178"/>
      <c r="E5550" s="178"/>
      <c r="F5550" s="178"/>
      <c r="G5550" s="178"/>
      <c r="H5550" s="178"/>
      <c r="I5550" s="178"/>
      <c r="J5550" s="178"/>
      <c r="K5550" s="178"/>
      <c r="L5550" s="178"/>
      <c r="M5550" s="178"/>
      <c r="N5550" s="178"/>
      <c r="O5550" s="193"/>
      <c r="P5550" s="236"/>
      <c r="Q5550" s="236"/>
      <c r="R5550" s="236"/>
      <c r="S5550" s="236"/>
    </row>
    <row r="5551" spans="1:19" s="235" customFormat="1" x14ac:dyDescent="0.35">
      <c r="A5551" s="238"/>
      <c r="B5551" s="232" t="s">
        <v>5</v>
      </c>
      <c r="C5551" s="182" t="s">
        <v>1328</v>
      </c>
      <c r="D5551" s="182"/>
      <c r="E5551" s="182"/>
      <c r="F5551" s="182"/>
      <c r="G5551" s="182"/>
      <c r="H5551" s="182"/>
      <c r="I5551" s="182"/>
      <c r="J5551" s="182"/>
      <c r="K5551" s="182"/>
      <c r="L5551" s="182"/>
      <c r="M5551" s="182"/>
      <c r="N5551" s="182"/>
      <c r="O5551" s="196">
        <f>SUM(O5549:O5550)</f>
        <v>2362.9850000000001</v>
      </c>
      <c r="P5551" s="224"/>
      <c r="Q5551" s="224"/>
      <c r="R5551" s="224"/>
      <c r="S5551" s="224"/>
    </row>
    <row r="5552" spans="1:19" s="235" customFormat="1" ht="21" x14ac:dyDescent="0.35">
      <c r="A5552" s="226" t="str">
        <f>ORÇAMENTO!A1006</f>
        <v xml:space="preserve"> 8.4.5</v>
      </c>
      <c r="B5552" s="227" t="str">
        <f>VLOOKUP(A5552,ORÇAMENTO!A:K,4,0)</f>
        <v>LASTRO DE PEDRA DE MÃO OU RACHÃO - ESPALHAMENTO MANUAL</v>
      </c>
      <c r="C5552" s="173" t="str">
        <f>VLOOKUP(A5552,ORÇAMENTO!A:K,5,0)</f>
        <v>M³</v>
      </c>
      <c r="D5552" s="173">
        <f>SUM(E5556:O5556)</f>
        <v>4285.5358499999993</v>
      </c>
      <c r="E5552" s="173" t="s">
        <v>1718</v>
      </c>
      <c r="F5552" s="173" t="s">
        <v>1719</v>
      </c>
      <c r="G5552" s="173" t="s">
        <v>1720</v>
      </c>
      <c r="H5552" s="173" t="s">
        <v>1721</v>
      </c>
      <c r="I5552" s="173" t="s">
        <v>1722</v>
      </c>
      <c r="J5552" s="173" t="s">
        <v>1723</v>
      </c>
      <c r="K5552" s="173" t="s">
        <v>1724</v>
      </c>
      <c r="L5552" s="173" t="s">
        <v>1753</v>
      </c>
      <c r="M5552" s="173" t="s">
        <v>1768</v>
      </c>
      <c r="N5552" s="173" t="s">
        <v>1727</v>
      </c>
      <c r="O5552" s="173" t="s">
        <v>1728</v>
      </c>
      <c r="P5552" s="224"/>
      <c r="Q5552" s="224"/>
      <c r="R5552" s="224"/>
      <c r="S5552" s="224"/>
    </row>
    <row r="5553" spans="1:19" s="235" customFormat="1" x14ac:dyDescent="0.35">
      <c r="A5553" s="229"/>
      <c r="B5553" s="232" t="s">
        <v>1845</v>
      </c>
      <c r="C5553" s="177"/>
      <c r="D5553" s="177"/>
      <c r="E5553" s="178"/>
      <c r="F5553" s="178"/>
      <c r="G5553" s="178"/>
      <c r="H5553" s="178"/>
      <c r="I5553" s="178"/>
      <c r="J5553" s="178"/>
      <c r="K5553" s="178"/>
      <c r="L5553" s="178"/>
      <c r="M5553" s="178"/>
      <c r="N5553" s="178"/>
      <c r="O5553" s="178"/>
      <c r="P5553" s="224"/>
      <c r="Q5553" s="224"/>
      <c r="R5553" s="224"/>
      <c r="S5553" s="224"/>
    </row>
    <row r="5554" spans="1:19" s="237" customFormat="1" x14ac:dyDescent="0.35">
      <c r="A5554" s="229"/>
      <c r="B5554" s="230" t="s">
        <v>1920</v>
      </c>
      <c r="C5554" s="178"/>
      <c r="D5554" s="178"/>
      <c r="E5554" s="178"/>
      <c r="F5554" s="178"/>
      <c r="G5554" s="178"/>
      <c r="H5554" s="178"/>
      <c r="I5554" s="178"/>
      <c r="J5554" s="178"/>
      <c r="K5554" s="178"/>
      <c r="L5554" s="178"/>
      <c r="M5554" s="178"/>
      <c r="N5554" s="178"/>
      <c r="O5554" s="215">
        <v>4285.5358499999993</v>
      </c>
      <c r="P5554" s="236"/>
      <c r="Q5554" s="236"/>
      <c r="R5554" s="236"/>
      <c r="S5554" s="236"/>
    </row>
    <row r="5555" spans="1:19" s="237" customFormat="1" x14ac:dyDescent="0.35">
      <c r="A5555" s="229"/>
      <c r="B5555" s="230"/>
      <c r="C5555" s="178"/>
      <c r="D5555" s="178"/>
      <c r="E5555" s="178"/>
      <c r="F5555" s="178"/>
      <c r="G5555" s="178"/>
      <c r="H5555" s="178"/>
      <c r="I5555" s="178"/>
      <c r="J5555" s="178"/>
      <c r="K5555" s="178"/>
      <c r="L5555" s="178"/>
      <c r="M5555" s="178"/>
      <c r="N5555" s="178"/>
      <c r="O5555" s="193"/>
      <c r="P5555" s="236"/>
      <c r="Q5555" s="236"/>
      <c r="R5555" s="236"/>
      <c r="S5555" s="236"/>
    </row>
    <row r="5556" spans="1:19" s="235" customFormat="1" x14ac:dyDescent="0.35">
      <c r="A5556" s="238"/>
      <c r="B5556" s="232" t="s">
        <v>5</v>
      </c>
      <c r="C5556" s="182" t="s">
        <v>1328</v>
      </c>
      <c r="D5556" s="182"/>
      <c r="E5556" s="182"/>
      <c r="F5556" s="182"/>
      <c r="G5556" s="182"/>
      <c r="H5556" s="182"/>
      <c r="I5556" s="182"/>
      <c r="J5556" s="182"/>
      <c r="K5556" s="182"/>
      <c r="L5556" s="182"/>
      <c r="M5556" s="182"/>
      <c r="N5556" s="182"/>
      <c r="O5556" s="196">
        <f>SUM(O5554:O5555)</f>
        <v>4285.5358499999993</v>
      </c>
      <c r="P5556" s="224"/>
      <c r="Q5556" s="224"/>
      <c r="R5556" s="224"/>
      <c r="S5556" s="224"/>
    </row>
    <row r="5557" spans="1:19" s="235" customFormat="1" ht="31.5" x14ac:dyDescent="0.35">
      <c r="A5557" s="226" t="str">
        <f>ORÇAMENTO!A1007</f>
        <v xml:space="preserve"> 8.4.6</v>
      </c>
      <c r="B5557" s="227" t="str">
        <f>VLOOKUP(A5557,ORÇAMENTO!A:K,4,0)</f>
        <v>CONCRETO MAGRO - CONFECÇÃO EM BETONEIRA E LANÇAMENTO MANUAL - AREIA E BRITA COMERCIAIS</v>
      </c>
      <c r="C5557" s="173" t="str">
        <f>VLOOKUP(A5557,ORÇAMENTO!A:K,5,0)</f>
        <v>M³</v>
      </c>
      <c r="D5557" s="173">
        <f>SUM(E5561:O5561)</f>
        <v>1.1959999999999993</v>
      </c>
      <c r="E5557" s="173" t="s">
        <v>1718</v>
      </c>
      <c r="F5557" s="173" t="s">
        <v>1719</v>
      </c>
      <c r="G5557" s="173" t="s">
        <v>1720</v>
      </c>
      <c r="H5557" s="173" t="s">
        <v>1721</v>
      </c>
      <c r="I5557" s="173" t="s">
        <v>1722</v>
      </c>
      <c r="J5557" s="173" t="s">
        <v>1723</v>
      </c>
      <c r="K5557" s="173" t="s">
        <v>1724</v>
      </c>
      <c r="L5557" s="173" t="s">
        <v>1753</v>
      </c>
      <c r="M5557" s="173" t="s">
        <v>1768</v>
      </c>
      <c r="N5557" s="173" t="s">
        <v>1727</v>
      </c>
      <c r="O5557" s="173" t="s">
        <v>1728</v>
      </c>
      <c r="P5557" s="224"/>
      <c r="Q5557" s="224"/>
      <c r="R5557" s="224"/>
      <c r="S5557" s="224"/>
    </row>
    <row r="5558" spans="1:19" s="235" customFormat="1" x14ac:dyDescent="0.35">
      <c r="A5558" s="229"/>
      <c r="B5558" s="232" t="s">
        <v>1845</v>
      </c>
      <c r="C5558" s="177"/>
      <c r="D5558" s="177"/>
      <c r="E5558" s="178"/>
      <c r="F5558" s="178"/>
      <c r="G5558" s="178"/>
      <c r="H5558" s="178"/>
      <c r="I5558" s="178"/>
      <c r="J5558" s="178"/>
      <c r="K5558" s="178"/>
      <c r="L5558" s="178"/>
      <c r="M5558" s="178"/>
      <c r="N5558" s="178"/>
      <c r="O5558" s="178"/>
      <c r="P5558" s="224"/>
      <c r="Q5558" s="224"/>
      <c r="R5558" s="224"/>
      <c r="S5558" s="224"/>
    </row>
    <row r="5559" spans="1:19" s="237" customFormat="1" x14ac:dyDescent="0.35">
      <c r="A5559" s="229"/>
      <c r="B5559" s="230" t="s">
        <v>1921</v>
      </c>
      <c r="C5559" s="178"/>
      <c r="D5559" s="178"/>
      <c r="E5559" s="178"/>
      <c r="F5559" s="178"/>
      <c r="G5559" s="178"/>
      <c r="H5559" s="178"/>
      <c r="I5559" s="178"/>
      <c r="J5559" s="178"/>
      <c r="K5559" s="178"/>
      <c r="L5559" s="178"/>
      <c r="M5559" s="178"/>
      <c r="N5559" s="215"/>
      <c r="O5559" s="215">
        <v>1.1959999999999993</v>
      </c>
      <c r="P5559" s="236"/>
      <c r="Q5559" s="236"/>
      <c r="R5559" s="236"/>
      <c r="S5559" s="236"/>
    </row>
    <row r="5560" spans="1:19" s="237" customFormat="1" x14ac:dyDescent="0.35">
      <c r="A5560" s="229"/>
      <c r="B5560" s="230"/>
      <c r="C5560" s="178"/>
      <c r="D5560" s="178"/>
      <c r="E5560" s="178"/>
      <c r="F5560" s="178"/>
      <c r="G5560" s="178"/>
      <c r="H5560" s="178"/>
      <c r="I5560" s="178"/>
      <c r="J5560" s="178"/>
      <c r="K5560" s="178"/>
      <c r="L5560" s="178"/>
      <c r="M5560" s="178"/>
      <c r="N5560" s="193"/>
      <c r="O5560" s="193"/>
      <c r="P5560" s="236"/>
      <c r="Q5560" s="236"/>
      <c r="R5560" s="236"/>
      <c r="S5560" s="236"/>
    </row>
    <row r="5561" spans="1:19" s="235" customFormat="1" x14ac:dyDescent="0.35">
      <c r="A5561" s="238"/>
      <c r="B5561" s="232" t="s">
        <v>5</v>
      </c>
      <c r="C5561" s="182" t="s">
        <v>1328</v>
      </c>
      <c r="D5561" s="182"/>
      <c r="E5561" s="182"/>
      <c r="F5561" s="182"/>
      <c r="G5561" s="182"/>
      <c r="H5561" s="182"/>
      <c r="I5561" s="182"/>
      <c r="J5561" s="182"/>
      <c r="K5561" s="182"/>
      <c r="L5561" s="182"/>
      <c r="M5561" s="182"/>
      <c r="N5561" s="196"/>
      <c r="O5561" s="196">
        <f>SUM(O5559:O5560)</f>
        <v>1.1959999999999993</v>
      </c>
      <c r="P5561" s="224"/>
      <c r="Q5561" s="224"/>
      <c r="R5561" s="224"/>
      <c r="S5561" s="224"/>
    </row>
    <row r="5562" spans="1:19" s="235" customFormat="1" ht="42" x14ac:dyDescent="0.35">
      <c r="A5562" s="226" t="str">
        <f>ORÇAMENTO!A1008</f>
        <v xml:space="preserve"> 8.4.7</v>
      </c>
      <c r="B5562" s="227" t="str">
        <f>VLOOKUP(A5562,ORÇAMENTO!A:K,4,0)</f>
        <v>FORNECIMENTO E APLICAÇÃO DE MANTA GEOTEXTIL RT-10, RESISTENCIA A TRAÇÃO=10KN/M (ANTIGO BIDIM OP-20 OU SIMILAR) EM COLCHÕES DRENANTES</v>
      </c>
      <c r="C5562" s="173" t="str">
        <f>VLOOKUP(A5562,ORÇAMENTO!A:K,5,0)</f>
        <v>M²</v>
      </c>
      <c r="D5562" s="173">
        <f>SUM(E5567:O5567)</f>
        <v>4807.18</v>
      </c>
      <c r="E5562" s="173" t="s">
        <v>1718</v>
      </c>
      <c r="F5562" s="173" t="s">
        <v>1719</v>
      </c>
      <c r="G5562" s="173" t="s">
        <v>1720</v>
      </c>
      <c r="H5562" s="173" t="s">
        <v>1721</v>
      </c>
      <c r="I5562" s="173" t="s">
        <v>1722</v>
      </c>
      <c r="J5562" s="173" t="s">
        <v>1723</v>
      </c>
      <c r="K5562" s="173" t="s">
        <v>1724</v>
      </c>
      <c r="L5562" s="173" t="s">
        <v>1753</v>
      </c>
      <c r="M5562" s="173" t="s">
        <v>1768</v>
      </c>
      <c r="N5562" s="173" t="s">
        <v>1727</v>
      </c>
      <c r="O5562" s="173" t="s">
        <v>1728</v>
      </c>
      <c r="P5562" s="224"/>
      <c r="Q5562" s="224"/>
      <c r="R5562" s="224"/>
      <c r="S5562" s="224"/>
    </row>
    <row r="5563" spans="1:19" s="235" customFormat="1" x14ac:dyDescent="0.35">
      <c r="A5563" s="229"/>
      <c r="B5563" s="232" t="s">
        <v>1845</v>
      </c>
      <c r="C5563" s="177"/>
      <c r="D5563" s="177"/>
      <c r="E5563" s="178"/>
      <c r="F5563" s="178"/>
      <c r="G5563" s="178"/>
      <c r="H5563" s="178"/>
      <c r="I5563" s="178"/>
      <c r="J5563" s="178"/>
      <c r="K5563" s="178"/>
      <c r="L5563" s="178"/>
      <c r="M5563" s="178"/>
      <c r="N5563" s="178"/>
      <c r="O5563" s="178"/>
      <c r="P5563" s="224"/>
      <c r="Q5563" s="224"/>
      <c r="R5563" s="224"/>
      <c r="S5563" s="224"/>
    </row>
    <row r="5564" spans="1:19" s="237" customFormat="1" x14ac:dyDescent="0.35">
      <c r="A5564" s="229"/>
      <c r="B5564" s="230" t="s">
        <v>1922</v>
      </c>
      <c r="C5564" s="178"/>
      <c r="D5564" s="178"/>
      <c r="E5564" s="178"/>
      <c r="F5564" s="178"/>
      <c r="G5564" s="178"/>
      <c r="H5564" s="178"/>
      <c r="I5564" s="178"/>
      <c r="J5564" s="178"/>
      <c r="K5564" s="178"/>
      <c r="L5564" s="178"/>
      <c r="M5564" s="178"/>
      <c r="N5564" s="178">
        <v>4758.08</v>
      </c>
      <c r="O5564" s="215"/>
      <c r="P5564" s="236"/>
      <c r="Q5564" s="236"/>
      <c r="R5564" s="236"/>
      <c r="S5564" s="236"/>
    </row>
    <row r="5565" spans="1:19" s="237" customFormat="1" x14ac:dyDescent="0.35">
      <c r="A5565" s="229"/>
      <c r="B5565" s="230" t="s">
        <v>1922</v>
      </c>
      <c r="C5565" s="178"/>
      <c r="D5565" s="178"/>
      <c r="E5565" s="178"/>
      <c r="F5565" s="178"/>
      <c r="G5565" s="178"/>
      <c r="H5565" s="178"/>
      <c r="I5565" s="178"/>
      <c r="J5565" s="178"/>
      <c r="K5565" s="178"/>
      <c r="L5565" s="178"/>
      <c r="M5565" s="178"/>
      <c r="N5565" s="178">
        <v>49.1</v>
      </c>
      <c r="O5565" s="215"/>
      <c r="P5565" s="236"/>
      <c r="Q5565" s="236"/>
      <c r="R5565" s="236"/>
      <c r="S5565" s="236"/>
    </row>
    <row r="5566" spans="1:19" s="237" customFormat="1" x14ac:dyDescent="0.35">
      <c r="A5566" s="229"/>
      <c r="B5566" s="230"/>
      <c r="C5566" s="178"/>
      <c r="D5566" s="178"/>
      <c r="E5566" s="178"/>
      <c r="F5566" s="178"/>
      <c r="G5566" s="178"/>
      <c r="H5566" s="178"/>
      <c r="I5566" s="178"/>
      <c r="J5566" s="178"/>
      <c r="K5566" s="178"/>
      <c r="L5566" s="178"/>
      <c r="M5566" s="178"/>
      <c r="N5566" s="178"/>
      <c r="O5566" s="193"/>
      <c r="P5566" s="236"/>
      <c r="Q5566" s="236"/>
      <c r="R5566" s="236"/>
      <c r="S5566" s="236"/>
    </row>
    <row r="5567" spans="1:19" s="235" customFormat="1" x14ac:dyDescent="0.35">
      <c r="A5567" s="238"/>
      <c r="B5567" s="232" t="s">
        <v>5</v>
      </c>
      <c r="C5567" s="182" t="s">
        <v>1328</v>
      </c>
      <c r="D5567" s="182"/>
      <c r="E5567" s="182"/>
      <c r="F5567" s="182"/>
      <c r="G5567" s="182"/>
      <c r="H5567" s="182"/>
      <c r="I5567" s="182"/>
      <c r="J5567" s="182"/>
      <c r="K5567" s="182"/>
      <c r="L5567" s="182"/>
      <c r="M5567" s="182"/>
      <c r="N5567" s="196">
        <f>SUM(N5564:N5566)</f>
        <v>4807.18</v>
      </c>
      <c r="O5567" s="196"/>
      <c r="P5567" s="224"/>
      <c r="Q5567" s="224"/>
      <c r="R5567" s="224"/>
      <c r="S5567" s="224"/>
    </row>
    <row r="5568" spans="1:19" s="235" customFormat="1" ht="42" x14ac:dyDescent="0.35">
      <c r="A5568" s="226" t="str">
        <f>ORÇAMENTO!A1009</f>
        <v xml:space="preserve"> 8.4.8</v>
      </c>
      <c r="B5568" s="227" t="str">
        <f>VLOOKUP(A5568,ORÇAMENTO!A:K,4,0)</f>
        <v>FORNECIMENTO E APLICAÇÃO DE MANTA GEOTÉXTIL RT-21, RESISTENCIA A TRAÇÃO=21 KN/M (ANTIGO BIDIM OP-40 OU SIMILAR) EM COLCHÕES DRENANTES</v>
      </c>
      <c r="C5568" s="173" t="str">
        <f>VLOOKUP(A5568,ORÇAMENTO!A:K,5,0)</f>
        <v>M²</v>
      </c>
      <c r="D5568" s="173">
        <f>SUM(E5573:O5573)</f>
        <v>8864.1</v>
      </c>
      <c r="E5568" s="173" t="s">
        <v>1718</v>
      </c>
      <c r="F5568" s="173" t="s">
        <v>1719</v>
      </c>
      <c r="G5568" s="173" t="s">
        <v>1720</v>
      </c>
      <c r="H5568" s="173" t="s">
        <v>1721</v>
      </c>
      <c r="I5568" s="173" t="s">
        <v>1722</v>
      </c>
      <c r="J5568" s="173" t="s">
        <v>1723</v>
      </c>
      <c r="K5568" s="173" t="s">
        <v>1724</v>
      </c>
      <c r="L5568" s="173" t="s">
        <v>1753</v>
      </c>
      <c r="M5568" s="173" t="s">
        <v>1768</v>
      </c>
      <c r="N5568" s="173" t="s">
        <v>1727</v>
      </c>
      <c r="O5568" s="173" t="s">
        <v>1728</v>
      </c>
      <c r="P5568" s="224"/>
      <c r="Q5568" s="224"/>
      <c r="R5568" s="224"/>
      <c r="S5568" s="224"/>
    </row>
    <row r="5569" spans="1:19" s="235" customFormat="1" x14ac:dyDescent="0.35">
      <c r="A5569" s="229"/>
      <c r="B5569" s="232" t="s">
        <v>1845</v>
      </c>
      <c r="C5569" s="177"/>
      <c r="D5569" s="177"/>
      <c r="E5569" s="178"/>
      <c r="F5569" s="178"/>
      <c r="G5569" s="178"/>
      <c r="H5569" s="178"/>
      <c r="I5569" s="178"/>
      <c r="J5569" s="178"/>
      <c r="K5569" s="178"/>
      <c r="L5569" s="178"/>
      <c r="M5569" s="178"/>
      <c r="N5569" s="178"/>
      <c r="O5569" s="178"/>
      <c r="P5569" s="224"/>
      <c r="Q5569" s="224"/>
      <c r="R5569" s="224"/>
      <c r="S5569" s="224"/>
    </row>
    <row r="5570" spans="1:19" s="237" customFormat="1" x14ac:dyDescent="0.35">
      <c r="A5570" s="229"/>
      <c r="B5570" s="230" t="s">
        <v>1923</v>
      </c>
      <c r="C5570" s="178"/>
      <c r="D5570" s="178"/>
      <c r="E5570" s="178"/>
      <c r="F5570" s="178"/>
      <c r="G5570" s="178"/>
      <c r="H5570" s="178"/>
      <c r="I5570" s="178"/>
      <c r="J5570" s="178"/>
      <c r="K5570" s="178"/>
      <c r="L5570" s="178"/>
      <c r="M5570" s="178"/>
      <c r="N5570" s="178">
        <v>8595.6</v>
      </c>
      <c r="O5570" s="215"/>
      <c r="P5570" s="236"/>
      <c r="Q5570" s="236"/>
      <c r="R5570" s="236"/>
      <c r="S5570" s="236"/>
    </row>
    <row r="5571" spans="1:19" s="237" customFormat="1" x14ac:dyDescent="0.35">
      <c r="A5571" s="229"/>
      <c r="B5571" s="230" t="s">
        <v>1923</v>
      </c>
      <c r="C5571" s="178"/>
      <c r="D5571" s="178"/>
      <c r="E5571" s="178"/>
      <c r="F5571" s="178"/>
      <c r="G5571" s="178"/>
      <c r="H5571" s="178"/>
      <c r="I5571" s="178"/>
      <c r="J5571" s="178"/>
      <c r="K5571" s="178"/>
      <c r="L5571" s="178"/>
      <c r="M5571" s="178"/>
      <c r="N5571" s="178">
        <v>268.5</v>
      </c>
      <c r="O5571" s="215"/>
      <c r="P5571" s="236"/>
      <c r="Q5571" s="236"/>
      <c r="R5571" s="236"/>
      <c r="S5571" s="236"/>
    </row>
    <row r="5572" spans="1:19" s="237" customFormat="1" x14ac:dyDescent="0.35">
      <c r="A5572" s="229"/>
      <c r="B5572" s="230"/>
      <c r="C5572" s="178"/>
      <c r="D5572" s="178"/>
      <c r="E5572" s="178"/>
      <c r="F5572" s="178"/>
      <c r="G5572" s="178"/>
      <c r="H5572" s="178"/>
      <c r="I5572" s="178"/>
      <c r="J5572" s="178"/>
      <c r="K5572" s="178"/>
      <c r="L5572" s="178"/>
      <c r="M5572" s="178"/>
      <c r="N5572" s="178"/>
      <c r="O5572" s="193"/>
      <c r="P5572" s="236"/>
      <c r="Q5572" s="236"/>
      <c r="R5572" s="236"/>
      <c r="S5572" s="236"/>
    </row>
    <row r="5573" spans="1:19" s="235" customFormat="1" x14ac:dyDescent="0.35">
      <c r="A5573" s="238"/>
      <c r="B5573" s="232" t="s">
        <v>5</v>
      </c>
      <c r="C5573" s="182" t="s">
        <v>1328</v>
      </c>
      <c r="D5573" s="182"/>
      <c r="E5573" s="182"/>
      <c r="F5573" s="182"/>
      <c r="G5573" s="182"/>
      <c r="H5573" s="182"/>
      <c r="I5573" s="182"/>
      <c r="J5573" s="182"/>
      <c r="K5573" s="182"/>
      <c r="L5573" s="182"/>
      <c r="M5573" s="182"/>
      <c r="N5573" s="196">
        <f>SUM(N5570:N5572)</f>
        <v>8864.1</v>
      </c>
      <c r="O5573" s="196"/>
      <c r="P5573" s="224"/>
      <c r="Q5573" s="224"/>
      <c r="R5573" s="224"/>
      <c r="S5573" s="224"/>
    </row>
    <row r="5574" spans="1:19" s="235" customFormat="1" ht="21" x14ac:dyDescent="0.35">
      <c r="A5574" s="226" t="str">
        <f>ORÇAMENTO!A1010</f>
        <v xml:space="preserve"> 8.4.9</v>
      </c>
      <c r="B5574" s="227" t="str">
        <f>VLOOKUP(A5574,ORÇAMENTO!A:K,4,0)</f>
        <v>GEOGRELHA COM RESISTÊNCIA À TRAÇÃO DE 45 KN/M - FORNECIMENTO E INSTALAÇÃO</v>
      </c>
      <c r="C5574" s="173" t="str">
        <f>VLOOKUP(A5574,ORÇAMENTO!A:K,5,0)</f>
        <v>M²</v>
      </c>
      <c r="D5574" s="173">
        <f>SUM(E5578:O5578)</f>
        <v>8025.59</v>
      </c>
      <c r="E5574" s="173" t="s">
        <v>1718</v>
      </c>
      <c r="F5574" s="173" t="s">
        <v>1719</v>
      </c>
      <c r="G5574" s="173" t="s">
        <v>1720</v>
      </c>
      <c r="H5574" s="173" t="s">
        <v>1721</v>
      </c>
      <c r="I5574" s="173" t="s">
        <v>1722</v>
      </c>
      <c r="J5574" s="173" t="s">
        <v>1723</v>
      </c>
      <c r="K5574" s="173" t="s">
        <v>1724</v>
      </c>
      <c r="L5574" s="173" t="s">
        <v>1753</v>
      </c>
      <c r="M5574" s="173" t="s">
        <v>1768</v>
      </c>
      <c r="N5574" s="173" t="s">
        <v>1727</v>
      </c>
      <c r="O5574" s="173" t="s">
        <v>1728</v>
      </c>
      <c r="P5574" s="224"/>
      <c r="Q5574" s="224"/>
      <c r="R5574" s="224"/>
      <c r="S5574" s="224"/>
    </row>
    <row r="5575" spans="1:19" s="235" customFormat="1" x14ac:dyDescent="0.35">
      <c r="A5575" s="229"/>
      <c r="B5575" s="232" t="s">
        <v>1845</v>
      </c>
      <c r="C5575" s="177"/>
      <c r="D5575" s="177"/>
      <c r="E5575" s="178"/>
      <c r="F5575" s="178"/>
      <c r="G5575" s="178"/>
      <c r="H5575" s="178"/>
      <c r="I5575" s="178"/>
      <c r="J5575" s="178"/>
      <c r="K5575" s="178"/>
      <c r="L5575" s="178"/>
      <c r="M5575" s="178"/>
      <c r="N5575" s="178"/>
      <c r="O5575" s="178"/>
      <c r="P5575" s="224"/>
      <c r="Q5575" s="224"/>
      <c r="R5575" s="224"/>
      <c r="S5575" s="224"/>
    </row>
    <row r="5576" spans="1:19" s="237" customFormat="1" x14ac:dyDescent="0.35">
      <c r="A5576" s="229"/>
      <c r="B5576" s="230" t="s">
        <v>1924</v>
      </c>
      <c r="C5576" s="178"/>
      <c r="D5576" s="178"/>
      <c r="E5576" s="178"/>
      <c r="F5576" s="178"/>
      <c r="G5576" s="178"/>
      <c r="H5576" s="178"/>
      <c r="I5576" s="178"/>
      <c r="J5576" s="178"/>
      <c r="K5576" s="178"/>
      <c r="L5576" s="178"/>
      <c r="M5576" s="178"/>
      <c r="N5576" s="178">
        <v>8025.59</v>
      </c>
      <c r="O5576" s="215"/>
      <c r="P5576" s="236"/>
      <c r="Q5576" s="236"/>
      <c r="R5576" s="236"/>
      <c r="S5576" s="236"/>
    </row>
    <row r="5577" spans="1:19" s="237" customFormat="1" x14ac:dyDescent="0.35">
      <c r="A5577" s="229"/>
      <c r="B5577" s="230"/>
      <c r="C5577" s="178"/>
      <c r="D5577" s="178"/>
      <c r="E5577" s="178"/>
      <c r="F5577" s="178"/>
      <c r="G5577" s="178"/>
      <c r="H5577" s="178"/>
      <c r="I5577" s="178"/>
      <c r="J5577" s="178"/>
      <c r="K5577" s="178"/>
      <c r="L5577" s="178"/>
      <c r="M5577" s="178"/>
      <c r="N5577" s="193"/>
      <c r="O5577" s="193"/>
      <c r="P5577" s="236"/>
      <c r="Q5577" s="236"/>
      <c r="R5577" s="236"/>
      <c r="S5577" s="236"/>
    </row>
    <row r="5578" spans="1:19" s="235" customFormat="1" x14ac:dyDescent="0.35">
      <c r="A5578" s="238"/>
      <c r="B5578" s="232" t="s">
        <v>5</v>
      </c>
      <c r="C5578" s="182" t="s">
        <v>1328</v>
      </c>
      <c r="D5578" s="182"/>
      <c r="E5578" s="182"/>
      <c r="F5578" s="182"/>
      <c r="G5578" s="182"/>
      <c r="H5578" s="182"/>
      <c r="I5578" s="182"/>
      <c r="J5578" s="182"/>
      <c r="K5578" s="182"/>
      <c r="L5578" s="182"/>
      <c r="M5578" s="182"/>
      <c r="N5578" s="196">
        <f>SUM(N5576:N5577)</f>
        <v>8025.59</v>
      </c>
      <c r="O5578" s="196"/>
      <c r="P5578" s="224"/>
      <c r="Q5578" s="224"/>
      <c r="R5578" s="224"/>
      <c r="S5578" s="224"/>
    </row>
    <row r="5579" spans="1:19" s="235" customFormat="1" ht="21" x14ac:dyDescent="0.35">
      <c r="A5579" s="226" t="str">
        <f>ORÇAMENTO!A1011</f>
        <v xml:space="preserve"> 8.4.10</v>
      </c>
      <c r="B5579" s="227" t="str">
        <f>VLOOKUP(A5579,ORÇAMENTO!A:K,4,0)</f>
        <v>ENLEIVAMENTO</v>
      </c>
      <c r="C5579" s="173" t="str">
        <f>VLOOKUP(A5579,ORÇAMENTO!A:K,5,0)</f>
        <v>M²</v>
      </c>
      <c r="D5579" s="173">
        <f>SUM(E5583:O5583)</f>
        <v>2143.85</v>
      </c>
      <c r="E5579" s="173" t="s">
        <v>1718</v>
      </c>
      <c r="F5579" s="173" t="s">
        <v>1719</v>
      </c>
      <c r="G5579" s="173" t="s">
        <v>1720</v>
      </c>
      <c r="H5579" s="173" t="s">
        <v>1721</v>
      </c>
      <c r="I5579" s="173" t="s">
        <v>1722</v>
      </c>
      <c r="J5579" s="173" t="s">
        <v>1723</v>
      </c>
      <c r="K5579" s="173" t="s">
        <v>1724</v>
      </c>
      <c r="L5579" s="173" t="s">
        <v>1753</v>
      </c>
      <c r="M5579" s="173" t="s">
        <v>1768</v>
      </c>
      <c r="N5579" s="173" t="s">
        <v>1727</v>
      </c>
      <c r="O5579" s="173" t="s">
        <v>1728</v>
      </c>
      <c r="P5579" s="224"/>
      <c r="Q5579" s="224"/>
      <c r="R5579" s="224"/>
      <c r="S5579" s="224"/>
    </row>
    <row r="5580" spans="1:19" s="235" customFormat="1" x14ac:dyDescent="0.35">
      <c r="A5580" s="229"/>
      <c r="B5580" s="232" t="s">
        <v>1845</v>
      </c>
      <c r="C5580" s="177"/>
      <c r="D5580" s="177"/>
      <c r="E5580" s="178"/>
      <c r="F5580" s="178"/>
      <c r="G5580" s="178"/>
      <c r="H5580" s="178"/>
      <c r="I5580" s="178"/>
      <c r="J5580" s="178"/>
      <c r="K5580" s="178"/>
      <c r="L5580" s="178"/>
      <c r="M5580" s="178"/>
      <c r="N5580" s="178"/>
      <c r="O5580" s="178"/>
      <c r="P5580" s="224"/>
      <c r="Q5580" s="224"/>
      <c r="R5580" s="224"/>
      <c r="S5580" s="224"/>
    </row>
    <row r="5581" spans="1:19" s="237" customFormat="1" x14ac:dyDescent="0.35">
      <c r="A5581" s="229"/>
      <c r="B5581" s="230" t="s">
        <v>1362</v>
      </c>
      <c r="C5581" s="178"/>
      <c r="D5581" s="178"/>
      <c r="E5581" s="178"/>
      <c r="F5581" s="178"/>
      <c r="G5581" s="178"/>
      <c r="H5581" s="178"/>
      <c r="I5581" s="178"/>
      <c r="J5581" s="178"/>
      <c r="K5581" s="178"/>
      <c r="L5581" s="178"/>
      <c r="M5581" s="178"/>
      <c r="N5581" s="215">
        <v>2143.85</v>
      </c>
      <c r="O5581" s="215"/>
      <c r="P5581" s="236"/>
      <c r="Q5581" s="236"/>
      <c r="R5581" s="236"/>
      <c r="S5581" s="236"/>
    </row>
    <row r="5582" spans="1:19" s="237" customFormat="1" x14ac:dyDescent="0.35">
      <c r="A5582" s="229"/>
      <c r="B5582" s="230"/>
      <c r="C5582" s="178"/>
      <c r="D5582" s="178"/>
      <c r="E5582" s="178"/>
      <c r="F5582" s="178"/>
      <c r="G5582" s="178"/>
      <c r="H5582" s="178"/>
      <c r="I5582" s="178"/>
      <c r="J5582" s="178"/>
      <c r="K5582" s="178"/>
      <c r="L5582" s="178"/>
      <c r="M5582" s="178"/>
      <c r="N5582" s="193"/>
      <c r="O5582" s="193"/>
      <c r="P5582" s="236"/>
      <c r="Q5582" s="236"/>
      <c r="R5582" s="236"/>
      <c r="S5582" s="236"/>
    </row>
    <row r="5583" spans="1:19" s="235" customFormat="1" x14ac:dyDescent="0.35">
      <c r="A5583" s="238"/>
      <c r="B5583" s="232" t="s">
        <v>5</v>
      </c>
      <c r="C5583" s="182" t="s">
        <v>1328</v>
      </c>
      <c r="D5583" s="182"/>
      <c r="E5583" s="182"/>
      <c r="F5583" s="182"/>
      <c r="G5583" s="182"/>
      <c r="H5583" s="182"/>
      <c r="I5583" s="182"/>
      <c r="J5583" s="182"/>
      <c r="K5583" s="182"/>
      <c r="L5583" s="182"/>
      <c r="M5583" s="182"/>
      <c r="N5583" s="196">
        <f>SUM(N5581:N5582)</f>
        <v>2143.85</v>
      </c>
      <c r="O5583" s="196"/>
      <c r="P5583" s="224"/>
      <c r="Q5583" s="224"/>
      <c r="R5583" s="224"/>
      <c r="S5583" s="224"/>
    </row>
    <row r="5584" spans="1:19" s="225" customFormat="1" ht="10.5" x14ac:dyDescent="0.25">
      <c r="A5584" s="222" t="str">
        <f>ORÇAMENTO!A1012</f>
        <v xml:space="preserve"> 8.5 </v>
      </c>
      <c r="B5584" s="223" t="str">
        <f>VLOOKUP(A5584,ORÇAMENTO!A:K,4,0)</f>
        <v>DISSIPADOR DE ENERGIA</v>
      </c>
      <c r="C5584" s="167" t="str">
        <f>VLOOKUP(A5584,ORÇAMENTO!A:K,5,0)</f>
        <v/>
      </c>
      <c r="D5584" s="167"/>
      <c r="E5584" s="168"/>
      <c r="F5584" s="168"/>
      <c r="G5584" s="168"/>
      <c r="H5584" s="168"/>
      <c r="I5584" s="168"/>
      <c r="J5584" s="168"/>
      <c r="K5584" s="168"/>
      <c r="L5584" s="168"/>
      <c r="M5584" s="168"/>
      <c r="N5584" s="168"/>
      <c r="O5584" s="168"/>
      <c r="P5584" s="224"/>
      <c r="Q5584" s="224"/>
    </row>
    <row r="5585" spans="1:19" s="235" customFormat="1" ht="42" x14ac:dyDescent="0.35">
      <c r="A5585" s="226" t="str">
        <f>ORÇAMENTO!A1013</f>
        <v xml:space="preserve"> 8.5.1 </v>
      </c>
      <c r="B5585" s="227" t="str">
        <f>VLOOKUP(A5585,ORÇAMENTO!A:K,4,0)</f>
        <v>CONCRETO FCK = 40MPA, TRAÇO 1:1,6:1,9 (EM MASSA SECA DE CIMENTO/ AREIA MÉDIA/ BRITA 1) - PREPARO MECÂNICO COM BETONEIRA 400 L. AF_05/2021</v>
      </c>
      <c r="C5585" s="173" t="str">
        <f>VLOOKUP(A5585,ORÇAMENTO!A:K,5,0)</f>
        <v>M³</v>
      </c>
      <c r="D5585" s="173">
        <f>SUM(E5589:O5589)</f>
        <v>19.05</v>
      </c>
      <c r="E5585" s="173" t="s">
        <v>1718</v>
      </c>
      <c r="F5585" s="173" t="s">
        <v>1719</v>
      </c>
      <c r="G5585" s="173" t="s">
        <v>1720</v>
      </c>
      <c r="H5585" s="173" t="s">
        <v>1721</v>
      </c>
      <c r="I5585" s="173" t="s">
        <v>1722</v>
      </c>
      <c r="J5585" s="173" t="s">
        <v>1723</v>
      </c>
      <c r="K5585" s="173" t="s">
        <v>1724</v>
      </c>
      <c r="L5585" s="173" t="s">
        <v>1753</v>
      </c>
      <c r="M5585" s="173" t="s">
        <v>1768</v>
      </c>
      <c r="N5585" s="173" t="s">
        <v>1727</v>
      </c>
      <c r="O5585" s="173" t="s">
        <v>1728</v>
      </c>
      <c r="P5585" s="224"/>
      <c r="Q5585" s="224"/>
      <c r="R5585" s="224"/>
      <c r="S5585" s="224"/>
    </row>
    <row r="5586" spans="1:19" s="235" customFormat="1" x14ac:dyDescent="0.35">
      <c r="A5586" s="229"/>
      <c r="B5586" s="232"/>
      <c r="C5586" s="177"/>
      <c r="D5586" s="177"/>
      <c r="E5586" s="178"/>
      <c r="F5586" s="178"/>
      <c r="G5586" s="178"/>
      <c r="H5586" s="178"/>
      <c r="I5586" s="178"/>
      <c r="J5586" s="178"/>
      <c r="K5586" s="178"/>
      <c r="L5586" s="178"/>
      <c r="M5586" s="178"/>
      <c r="N5586" s="178"/>
      <c r="O5586" s="178"/>
      <c r="P5586" s="224"/>
      <c r="Q5586" s="224"/>
      <c r="R5586" s="224"/>
      <c r="S5586" s="224"/>
    </row>
    <row r="5587" spans="1:19" s="237" customFormat="1" x14ac:dyDescent="0.35">
      <c r="A5587" s="229"/>
      <c r="B5587" s="230" t="s">
        <v>1925</v>
      </c>
      <c r="C5587" s="178"/>
      <c r="D5587" s="178"/>
      <c r="E5587" s="178"/>
      <c r="F5587" s="178"/>
      <c r="G5587" s="178"/>
      <c r="H5587" s="178"/>
      <c r="I5587" s="178"/>
      <c r="J5587" s="178"/>
      <c r="K5587" s="178"/>
      <c r="L5587" s="178"/>
      <c r="M5587" s="178"/>
      <c r="N5587" s="178"/>
      <c r="O5587" s="215">
        <v>19.05</v>
      </c>
      <c r="P5587" s="236"/>
      <c r="Q5587" s="236"/>
      <c r="R5587" s="236"/>
      <c r="S5587" s="236"/>
    </row>
    <row r="5588" spans="1:19" s="237" customFormat="1" x14ac:dyDescent="0.35">
      <c r="A5588" s="229"/>
      <c r="B5588" s="230"/>
      <c r="C5588" s="178"/>
      <c r="D5588" s="178"/>
      <c r="E5588" s="178"/>
      <c r="F5588" s="178"/>
      <c r="G5588" s="178"/>
      <c r="H5588" s="178"/>
      <c r="I5588" s="178"/>
      <c r="J5588" s="178"/>
      <c r="K5588" s="178"/>
      <c r="L5588" s="178"/>
      <c r="M5588" s="178"/>
      <c r="N5588" s="178"/>
      <c r="O5588" s="193"/>
      <c r="P5588" s="236"/>
      <c r="Q5588" s="236"/>
      <c r="R5588" s="236"/>
      <c r="S5588" s="236"/>
    </row>
    <row r="5589" spans="1:19" s="235" customFormat="1" x14ac:dyDescent="0.35">
      <c r="A5589" s="238"/>
      <c r="B5589" s="232" t="s">
        <v>5</v>
      </c>
      <c r="C5589" s="182" t="s">
        <v>1328</v>
      </c>
      <c r="D5589" s="182"/>
      <c r="E5589" s="182"/>
      <c r="F5589" s="182"/>
      <c r="G5589" s="182"/>
      <c r="H5589" s="182"/>
      <c r="I5589" s="182"/>
      <c r="J5589" s="182"/>
      <c r="K5589" s="182"/>
      <c r="L5589" s="182"/>
      <c r="M5589" s="182"/>
      <c r="N5589" s="182"/>
      <c r="O5589" s="196">
        <f>SUM(O5587:O5588)</f>
        <v>19.05</v>
      </c>
      <c r="P5589" s="224"/>
      <c r="Q5589" s="224"/>
      <c r="R5589" s="224"/>
      <c r="S5589" s="224"/>
    </row>
    <row r="5590" spans="1:19" s="235" customFormat="1" ht="31.5" x14ac:dyDescent="0.35">
      <c r="A5590" s="226" t="str">
        <f>ORÇAMENTO!A1014</f>
        <v xml:space="preserve"> 8.5.2</v>
      </c>
      <c r="B5590" s="227" t="str">
        <f>VLOOKUP(A5590,ORÇAMENTO!A:K,4,0)</f>
        <v>LANÇAMENTO COM USO DE BALDES, ADENSAMENTO E ACABAMENTO DE CONCRETO EM ESTRUTURAS. AF_02/2022</v>
      </c>
      <c r="C5590" s="173" t="str">
        <f>VLOOKUP(A5590,ORÇAMENTO!A:K,5,0)</f>
        <v>M³</v>
      </c>
      <c r="D5590" s="173">
        <f>SUM(E5594:O5594)</f>
        <v>19.05</v>
      </c>
      <c r="E5590" s="173" t="s">
        <v>1718</v>
      </c>
      <c r="F5590" s="173" t="s">
        <v>1719</v>
      </c>
      <c r="G5590" s="173" t="s">
        <v>1720</v>
      </c>
      <c r="H5590" s="173" t="s">
        <v>1721</v>
      </c>
      <c r="I5590" s="173" t="s">
        <v>1722</v>
      </c>
      <c r="J5590" s="173" t="s">
        <v>1723</v>
      </c>
      <c r="K5590" s="173" t="s">
        <v>1724</v>
      </c>
      <c r="L5590" s="173" t="s">
        <v>1753</v>
      </c>
      <c r="M5590" s="173" t="s">
        <v>1768</v>
      </c>
      <c r="N5590" s="173" t="s">
        <v>1727</v>
      </c>
      <c r="O5590" s="173" t="s">
        <v>1728</v>
      </c>
      <c r="P5590" s="224"/>
      <c r="Q5590" s="224"/>
      <c r="R5590" s="224"/>
      <c r="S5590" s="224"/>
    </row>
    <row r="5591" spans="1:19" s="235" customFormat="1" x14ac:dyDescent="0.35">
      <c r="A5591" s="229"/>
      <c r="B5591" s="232"/>
      <c r="C5591" s="177"/>
      <c r="D5591" s="177"/>
      <c r="E5591" s="178"/>
      <c r="F5591" s="178"/>
      <c r="G5591" s="178"/>
      <c r="H5591" s="178"/>
      <c r="I5591" s="178"/>
      <c r="J5591" s="178"/>
      <c r="K5591" s="178"/>
      <c r="L5591" s="178"/>
      <c r="M5591" s="178"/>
      <c r="N5591" s="178"/>
      <c r="O5591" s="178"/>
      <c r="P5591" s="224"/>
      <c r="Q5591" s="224"/>
      <c r="R5591" s="224"/>
      <c r="S5591" s="224"/>
    </row>
    <row r="5592" spans="1:19" s="237" customFormat="1" x14ac:dyDescent="0.35">
      <c r="A5592" s="229"/>
      <c r="B5592" s="230" t="s">
        <v>1926</v>
      </c>
      <c r="C5592" s="178"/>
      <c r="D5592" s="178"/>
      <c r="E5592" s="178"/>
      <c r="F5592" s="178"/>
      <c r="G5592" s="178"/>
      <c r="H5592" s="178"/>
      <c r="I5592" s="178"/>
      <c r="J5592" s="178"/>
      <c r="K5592" s="178"/>
      <c r="L5592" s="178"/>
      <c r="M5592" s="178"/>
      <c r="N5592" s="178"/>
      <c r="O5592" s="215">
        <f>O5587</f>
        <v>19.05</v>
      </c>
      <c r="P5592" s="236"/>
      <c r="Q5592" s="236"/>
      <c r="R5592" s="236"/>
      <c r="S5592" s="236"/>
    </row>
    <row r="5593" spans="1:19" s="237" customFormat="1" x14ac:dyDescent="0.35">
      <c r="A5593" s="229"/>
      <c r="B5593" s="230"/>
      <c r="C5593" s="178"/>
      <c r="D5593" s="178"/>
      <c r="E5593" s="178"/>
      <c r="F5593" s="178"/>
      <c r="G5593" s="178"/>
      <c r="H5593" s="178"/>
      <c r="I5593" s="178"/>
      <c r="J5593" s="178"/>
      <c r="K5593" s="178"/>
      <c r="L5593" s="178"/>
      <c r="M5593" s="178"/>
      <c r="N5593" s="178"/>
      <c r="O5593" s="193"/>
      <c r="P5593" s="236"/>
      <c r="Q5593" s="236"/>
      <c r="R5593" s="236"/>
      <c r="S5593" s="236"/>
    </row>
    <row r="5594" spans="1:19" s="235" customFormat="1" x14ac:dyDescent="0.35">
      <c r="A5594" s="238"/>
      <c r="B5594" s="232" t="s">
        <v>5</v>
      </c>
      <c r="C5594" s="182" t="s">
        <v>1328</v>
      </c>
      <c r="D5594" s="182"/>
      <c r="E5594" s="182"/>
      <c r="F5594" s="182"/>
      <c r="G5594" s="182"/>
      <c r="H5594" s="182"/>
      <c r="I5594" s="182"/>
      <c r="J5594" s="182"/>
      <c r="K5594" s="182"/>
      <c r="L5594" s="182"/>
      <c r="M5594" s="182"/>
      <c r="N5594" s="182"/>
      <c r="O5594" s="196">
        <f>SUM(O5592:O5593)</f>
        <v>19.05</v>
      </c>
      <c r="P5594" s="224"/>
      <c r="Q5594" s="224"/>
      <c r="R5594" s="224"/>
      <c r="S5594" s="224"/>
    </row>
    <row r="5595" spans="1:19" s="235" customFormat="1" ht="31.5" x14ac:dyDescent="0.35">
      <c r="A5595" s="226" t="str">
        <f>ORÇAMENTO!A1015</f>
        <v xml:space="preserve"> 8.5.3</v>
      </c>
      <c r="B5595" s="227" t="str">
        <f>VLOOKUP(A5595,ORÇAMENTO!A:K,4,0)</f>
        <v>FÔRMAS DE TÁBUAS DE PINHO PARA DISPOSITIVOS DE DRENAGEM - UTILIZAÇÃO DE 3 VEZES - CONFECÇÃO, INSTALAÇÃO E RETIRADA</v>
      </c>
      <c r="C5595" s="173" t="str">
        <f>VLOOKUP(A5595,ORÇAMENTO!A:K,5,0)</f>
        <v>M²</v>
      </c>
      <c r="D5595" s="173">
        <f>SUM(E5599:O5599)</f>
        <v>190.5</v>
      </c>
      <c r="E5595" s="173" t="s">
        <v>1718</v>
      </c>
      <c r="F5595" s="173" t="s">
        <v>1719</v>
      </c>
      <c r="G5595" s="173" t="s">
        <v>1720</v>
      </c>
      <c r="H5595" s="173" t="s">
        <v>1721</v>
      </c>
      <c r="I5595" s="173" t="s">
        <v>1722</v>
      </c>
      <c r="J5595" s="173" t="s">
        <v>1723</v>
      </c>
      <c r="K5595" s="173" t="s">
        <v>1724</v>
      </c>
      <c r="L5595" s="173" t="s">
        <v>1753</v>
      </c>
      <c r="M5595" s="173" t="s">
        <v>1768</v>
      </c>
      <c r="N5595" s="173" t="s">
        <v>1727</v>
      </c>
      <c r="O5595" s="173" t="s">
        <v>1728</v>
      </c>
      <c r="P5595" s="224"/>
      <c r="Q5595" s="224"/>
      <c r="R5595" s="224"/>
      <c r="S5595" s="224"/>
    </row>
    <row r="5596" spans="1:19" s="235" customFormat="1" x14ac:dyDescent="0.35">
      <c r="A5596" s="229"/>
      <c r="B5596" s="232"/>
      <c r="C5596" s="177"/>
      <c r="D5596" s="177"/>
      <c r="E5596" s="178"/>
      <c r="F5596" s="178"/>
      <c r="G5596" s="178"/>
      <c r="H5596" s="178"/>
      <c r="I5596" s="178"/>
      <c r="J5596" s="178"/>
      <c r="K5596" s="178"/>
      <c r="L5596" s="178"/>
      <c r="M5596" s="178"/>
      <c r="N5596" s="178"/>
      <c r="O5596" s="178"/>
      <c r="P5596" s="224"/>
      <c r="Q5596" s="224"/>
      <c r="R5596" s="224"/>
      <c r="S5596" s="224"/>
    </row>
    <row r="5597" spans="1:19" s="237" customFormat="1" x14ac:dyDescent="0.35">
      <c r="A5597" s="229"/>
      <c r="B5597" s="319" t="str">
        <f>B5587</f>
        <v>DISSIPADOR A3</v>
      </c>
      <c r="C5597" s="178"/>
      <c r="D5597" s="178"/>
      <c r="E5597" s="178"/>
      <c r="F5597" s="178"/>
      <c r="G5597" s="178"/>
      <c r="H5597" s="178"/>
      <c r="I5597" s="178"/>
      <c r="J5597" s="178"/>
      <c r="K5597" s="178"/>
      <c r="L5597" s="178"/>
      <c r="M5597" s="178"/>
      <c r="N5597" s="215">
        <v>190.5</v>
      </c>
      <c r="O5597" s="215"/>
      <c r="P5597" s="236"/>
      <c r="Q5597" s="236"/>
      <c r="R5597" s="236"/>
      <c r="S5597" s="236"/>
    </row>
    <row r="5598" spans="1:19" s="237" customFormat="1" x14ac:dyDescent="0.35">
      <c r="A5598" s="229"/>
      <c r="B5598" s="230"/>
      <c r="C5598" s="178"/>
      <c r="D5598" s="178"/>
      <c r="E5598" s="178"/>
      <c r="F5598" s="178"/>
      <c r="G5598" s="178"/>
      <c r="H5598" s="178"/>
      <c r="I5598" s="178"/>
      <c r="J5598" s="178"/>
      <c r="K5598" s="178"/>
      <c r="L5598" s="178"/>
      <c r="M5598" s="178"/>
      <c r="N5598" s="193"/>
      <c r="O5598" s="193"/>
      <c r="P5598" s="236"/>
      <c r="Q5598" s="236"/>
      <c r="R5598" s="236"/>
      <c r="S5598" s="236"/>
    </row>
    <row r="5599" spans="1:19" s="235" customFormat="1" x14ac:dyDescent="0.35">
      <c r="A5599" s="238"/>
      <c r="B5599" s="232" t="s">
        <v>5</v>
      </c>
      <c r="C5599" s="182" t="s">
        <v>1328</v>
      </c>
      <c r="D5599" s="182"/>
      <c r="E5599" s="182"/>
      <c r="F5599" s="182"/>
      <c r="G5599" s="182"/>
      <c r="H5599" s="182"/>
      <c r="I5599" s="182"/>
      <c r="J5599" s="182"/>
      <c r="K5599" s="182"/>
      <c r="L5599" s="182"/>
      <c r="M5599" s="182"/>
      <c r="N5599" s="196">
        <f>SUM(N5597:N5598)</f>
        <v>190.5</v>
      </c>
      <c r="O5599" s="196"/>
      <c r="P5599" s="224"/>
      <c r="Q5599" s="224"/>
      <c r="R5599" s="224"/>
      <c r="S5599" s="224"/>
    </row>
    <row r="5600" spans="1:19" s="235" customFormat="1" ht="21" x14ac:dyDescent="0.35">
      <c r="A5600" s="226" t="str">
        <f>ORÇAMENTO!A1016</f>
        <v xml:space="preserve"> 8.5.4</v>
      </c>
      <c r="B5600" s="227" t="str">
        <f>VLOOKUP(A5600,ORÇAMENTO!A:K,4,0)</f>
        <v>ARMAÇÃO EM AÇO CA-50 - FORNECIMENTO, PREPARO E COLOCAÇÃO</v>
      </c>
      <c r="C5600" s="173" t="str">
        <f>VLOOKUP(A5600,ORÇAMENTO!A:K,5,0)</f>
        <v>KG</v>
      </c>
      <c r="D5600" s="173">
        <f>SUM(E5604:O5604)</f>
        <v>2057.7199999999998</v>
      </c>
      <c r="E5600" s="173" t="s">
        <v>1718</v>
      </c>
      <c r="F5600" s="173" t="s">
        <v>1719</v>
      </c>
      <c r="G5600" s="173" t="s">
        <v>1720</v>
      </c>
      <c r="H5600" s="173" t="s">
        <v>1721</v>
      </c>
      <c r="I5600" s="173" t="s">
        <v>1722</v>
      </c>
      <c r="J5600" s="173" t="s">
        <v>1723</v>
      </c>
      <c r="K5600" s="173" t="s">
        <v>1724</v>
      </c>
      <c r="L5600" s="173" t="s">
        <v>1753</v>
      </c>
      <c r="M5600" s="173" t="s">
        <v>1768</v>
      </c>
      <c r="N5600" s="173" t="s">
        <v>1727</v>
      </c>
      <c r="O5600" s="173" t="s">
        <v>1728</v>
      </c>
      <c r="P5600" s="224"/>
      <c r="Q5600" s="224"/>
      <c r="R5600" s="224"/>
      <c r="S5600" s="224"/>
    </row>
    <row r="5601" spans="1:19" s="235" customFormat="1" x14ac:dyDescent="0.35">
      <c r="A5601" s="229"/>
      <c r="B5601" s="232"/>
      <c r="C5601" s="177"/>
      <c r="D5601" s="177"/>
      <c r="E5601" s="178"/>
      <c r="F5601" s="178"/>
      <c r="G5601" s="178"/>
      <c r="H5601" s="178"/>
      <c r="I5601" s="178"/>
      <c r="J5601" s="178"/>
      <c r="K5601" s="178"/>
      <c r="L5601" s="178"/>
      <c r="M5601" s="178"/>
      <c r="N5601" s="178"/>
      <c r="O5601" s="178"/>
      <c r="P5601" s="224"/>
      <c r="Q5601" s="224"/>
      <c r="R5601" s="224"/>
      <c r="S5601" s="224"/>
    </row>
    <row r="5602" spans="1:19" s="237" customFormat="1" x14ac:dyDescent="0.35">
      <c r="A5602" s="229"/>
      <c r="B5602" s="319" t="str">
        <f>B5597</f>
        <v>DISSIPADOR A3</v>
      </c>
      <c r="C5602" s="178"/>
      <c r="D5602" s="178"/>
      <c r="E5602" s="178"/>
      <c r="F5602" s="178"/>
      <c r="G5602" s="178"/>
      <c r="H5602" s="178"/>
      <c r="I5602" s="178"/>
      <c r="J5602" s="178"/>
      <c r="K5602" s="215">
        <v>2057.7199999999998</v>
      </c>
      <c r="L5602" s="178"/>
      <c r="M5602" s="178"/>
      <c r="N5602" s="215"/>
      <c r="O5602" s="215"/>
      <c r="P5602" s="236"/>
      <c r="Q5602" s="236"/>
      <c r="R5602" s="236"/>
      <c r="S5602" s="236"/>
    </row>
    <row r="5603" spans="1:19" s="237" customFormat="1" x14ac:dyDescent="0.35">
      <c r="A5603" s="229"/>
      <c r="B5603" s="230"/>
      <c r="C5603" s="178"/>
      <c r="D5603" s="178"/>
      <c r="E5603" s="178"/>
      <c r="F5603" s="178"/>
      <c r="G5603" s="178"/>
      <c r="H5603" s="178"/>
      <c r="I5603" s="178"/>
      <c r="J5603" s="178"/>
      <c r="K5603" s="193"/>
      <c r="L5603" s="178"/>
      <c r="M5603" s="178"/>
      <c r="N5603" s="193"/>
      <c r="O5603" s="193"/>
      <c r="P5603" s="236"/>
      <c r="Q5603" s="236"/>
      <c r="R5603" s="236"/>
      <c r="S5603" s="236"/>
    </row>
    <row r="5604" spans="1:19" s="235" customFormat="1" x14ac:dyDescent="0.35">
      <c r="A5604" s="238"/>
      <c r="B5604" s="232" t="s">
        <v>5</v>
      </c>
      <c r="C5604" s="182" t="s">
        <v>1328</v>
      </c>
      <c r="D5604" s="182"/>
      <c r="E5604" s="182"/>
      <c r="F5604" s="182"/>
      <c r="G5604" s="182"/>
      <c r="H5604" s="182"/>
      <c r="I5604" s="182"/>
      <c r="J5604" s="182"/>
      <c r="K5604" s="196">
        <f>SUM(K5602:K5603)</f>
        <v>2057.7199999999998</v>
      </c>
      <c r="L5604" s="182"/>
      <c r="M5604" s="182"/>
      <c r="N5604" s="196"/>
      <c r="O5604" s="196"/>
      <c r="P5604" s="224"/>
      <c r="Q5604" s="224"/>
      <c r="R5604" s="224"/>
      <c r="S5604" s="224"/>
    </row>
    <row r="5605" spans="1:19" s="225" customFormat="1" ht="10.5" x14ac:dyDescent="0.25">
      <c r="A5605" s="222" t="str">
        <f>ORÇAMENTO!A1017</f>
        <v xml:space="preserve"> 8.6 </v>
      </c>
      <c r="B5605" s="223" t="str">
        <f>VLOOKUP(A5605,ORÇAMENTO!A:K,4,0)</f>
        <v>VERTEDOURO DE SAÍDA DA BACIA</v>
      </c>
      <c r="C5605" s="167" t="str">
        <f>VLOOKUP(A5605,ORÇAMENTO!A:K,5,0)</f>
        <v/>
      </c>
      <c r="D5605" s="167"/>
      <c r="E5605" s="168"/>
      <c r="F5605" s="168"/>
      <c r="G5605" s="168"/>
      <c r="H5605" s="168"/>
      <c r="I5605" s="168"/>
      <c r="J5605" s="168"/>
      <c r="K5605" s="168"/>
      <c r="L5605" s="168"/>
      <c r="M5605" s="168"/>
      <c r="N5605" s="168"/>
      <c r="O5605" s="168"/>
      <c r="P5605" s="224"/>
      <c r="Q5605" s="224"/>
    </row>
    <row r="5606" spans="1:19" s="235" customFormat="1" ht="31.5" x14ac:dyDescent="0.35">
      <c r="A5606" s="226" t="str">
        <f>ORÇAMENTO!A1018</f>
        <v xml:space="preserve"> 8.6.1 </v>
      </c>
      <c r="B5606" s="227" t="str">
        <f>VLOOKUP(A5606,ORÇAMENTO!A:K,4,0)</f>
        <v>CONCRETO MAGRO - CONFECÇÃO EM BETONEIRA E LANÇAMENTO MANUAL - AREIA E BRITA COMERCIAIS</v>
      </c>
      <c r="C5606" s="173" t="str">
        <f>VLOOKUP(A5606,ORÇAMENTO!A:K,5,0)</f>
        <v>M³</v>
      </c>
      <c r="D5606" s="173">
        <f>SUM(E5610:O5610)</f>
        <v>1.2740000000000002</v>
      </c>
      <c r="E5606" s="173" t="s">
        <v>1718</v>
      </c>
      <c r="F5606" s="173" t="s">
        <v>1719</v>
      </c>
      <c r="G5606" s="173" t="s">
        <v>1720</v>
      </c>
      <c r="H5606" s="173" t="s">
        <v>1721</v>
      </c>
      <c r="I5606" s="173" t="s">
        <v>1722</v>
      </c>
      <c r="J5606" s="173" t="s">
        <v>1723</v>
      </c>
      <c r="K5606" s="173" t="s">
        <v>1724</v>
      </c>
      <c r="L5606" s="173" t="s">
        <v>1753</v>
      </c>
      <c r="M5606" s="173" t="s">
        <v>1768</v>
      </c>
      <c r="N5606" s="173" t="s">
        <v>1727</v>
      </c>
      <c r="O5606" s="173" t="s">
        <v>1728</v>
      </c>
      <c r="P5606" s="224"/>
      <c r="Q5606" s="224"/>
      <c r="R5606" s="224"/>
      <c r="S5606" s="224"/>
    </row>
    <row r="5607" spans="1:19" s="235" customFormat="1" x14ac:dyDescent="0.35">
      <c r="A5607" s="229"/>
      <c r="B5607" s="232" t="s">
        <v>1927</v>
      </c>
      <c r="C5607" s="177"/>
      <c r="D5607" s="177"/>
      <c r="E5607" s="178"/>
      <c r="F5607" s="178"/>
      <c r="G5607" s="178"/>
      <c r="H5607" s="178"/>
      <c r="I5607" s="178"/>
      <c r="J5607" s="178"/>
      <c r="K5607" s="178"/>
      <c r="L5607" s="178"/>
      <c r="M5607" s="178"/>
      <c r="N5607" s="178"/>
      <c r="O5607" s="178"/>
      <c r="P5607" s="224"/>
      <c r="Q5607" s="224"/>
      <c r="R5607" s="224"/>
      <c r="S5607" s="224"/>
    </row>
    <row r="5608" spans="1:19" s="237" customFormat="1" x14ac:dyDescent="0.35">
      <c r="A5608" s="229"/>
      <c r="B5608" s="230"/>
      <c r="C5608" s="178"/>
      <c r="D5608" s="178"/>
      <c r="E5608" s="178">
        <v>10.4</v>
      </c>
      <c r="F5608" s="178">
        <v>2.4500000000000002</v>
      </c>
      <c r="G5608" s="178"/>
      <c r="H5608" s="178">
        <v>0.05</v>
      </c>
      <c r="I5608" s="178"/>
      <c r="J5608" s="178"/>
      <c r="K5608" s="178"/>
      <c r="L5608" s="178"/>
      <c r="M5608" s="178"/>
      <c r="N5608" s="178"/>
      <c r="O5608" s="215">
        <f>E5608*F5608*H5608</f>
        <v>1.2740000000000002</v>
      </c>
      <c r="P5608" s="236"/>
      <c r="Q5608" s="236"/>
      <c r="R5608" s="236"/>
      <c r="S5608" s="236"/>
    </row>
    <row r="5609" spans="1:19" s="237" customFormat="1" x14ac:dyDescent="0.35">
      <c r="A5609" s="229"/>
      <c r="B5609" s="230"/>
      <c r="C5609" s="178"/>
      <c r="D5609" s="178"/>
      <c r="E5609" s="178"/>
      <c r="F5609" s="178"/>
      <c r="G5609" s="178"/>
      <c r="H5609" s="178"/>
      <c r="I5609" s="178"/>
      <c r="J5609" s="178"/>
      <c r="K5609" s="178"/>
      <c r="L5609" s="178"/>
      <c r="M5609" s="178"/>
      <c r="N5609" s="178"/>
      <c r="O5609" s="193"/>
      <c r="P5609" s="236"/>
      <c r="Q5609" s="236"/>
      <c r="R5609" s="236"/>
      <c r="S5609" s="236"/>
    </row>
    <row r="5610" spans="1:19" s="235" customFormat="1" x14ac:dyDescent="0.35">
      <c r="A5610" s="238"/>
      <c r="B5610" s="232" t="s">
        <v>5</v>
      </c>
      <c r="C5610" s="182" t="s">
        <v>1328</v>
      </c>
      <c r="D5610" s="182"/>
      <c r="E5610" s="182"/>
      <c r="F5610" s="182"/>
      <c r="G5610" s="182"/>
      <c r="H5610" s="182"/>
      <c r="I5610" s="182"/>
      <c r="J5610" s="182"/>
      <c r="K5610" s="182"/>
      <c r="L5610" s="182"/>
      <c r="M5610" s="182"/>
      <c r="N5610" s="182"/>
      <c r="O5610" s="196">
        <f>SUM(O5608:O5609)</f>
        <v>1.2740000000000002</v>
      </c>
      <c r="P5610" s="224"/>
      <c r="Q5610" s="224"/>
      <c r="R5610" s="224"/>
      <c r="S5610" s="224"/>
    </row>
    <row r="5611" spans="1:19" s="235" customFormat="1" ht="42" x14ac:dyDescent="0.35">
      <c r="A5611" s="226" t="str">
        <f>ORÇAMENTO!A1019</f>
        <v xml:space="preserve"> 8.6.2</v>
      </c>
      <c r="B5611" s="227" t="str">
        <f>VLOOKUP(A5611,ORÇAMENTO!A:K,4,0)</f>
        <v>CONCRETO FCK = 40MPA, TRAÇO 1:1,6:1,9 (EM MASSA SECA DE CIMENTO/ AREIA MÉDIA/ BRITA 1) - PREPARO MECÂNICO COM BETONEIRA 400 L. AF_05/2021</v>
      </c>
      <c r="C5611" s="173" t="str">
        <f>VLOOKUP(A5611,ORÇAMENTO!A:K,5,0)</f>
        <v>M³</v>
      </c>
      <c r="D5611" s="173">
        <f>SUM(E5619:O5619)</f>
        <v>18.078000000000003</v>
      </c>
      <c r="E5611" s="173" t="s">
        <v>1718</v>
      </c>
      <c r="F5611" s="173" t="s">
        <v>1719</v>
      </c>
      <c r="G5611" s="173" t="s">
        <v>1720</v>
      </c>
      <c r="H5611" s="173" t="s">
        <v>1721</v>
      </c>
      <c r="I5611" s="173" t="s">
        <v>1722</v>
      </c>
      <c r="J5611" s="173" t="s">
        <v>1723</v>
      </c>
      <c r="K5611" s="173" t="s">
        <v>1724</v>
      </c>
      <c r="L5611" s="173" t="s">
        <v>1753</v>
      </c>
      <c r="M5611" s="173" t="s">
        <v>1768</v>
      </c>
      <c r="N5611" s="173" t="s">
        <v>1727</v>
      </c>
      <c r="O5611" s="173" t="s">
        <v>1728</v>
      </c>
      <c r="P5611" s="224"/>
      <c r="Q5611" s="224"/>
      <c r="R5611" s="224"/>
      <c r="S5611" s="224"/>
    </row>
    <row r="5612" spans="1:19" s="235" customFormat="1" x14ac:dyDescent="0.35">
      <c r="A5612" s="229"/>
      <c r="B5612" s="232" t="s">
        <v>1927</v>
      </c>
      <c r="C5612" s="177"/>
      <c r="D5612" s="177"/>
      <c r="E5612" s="178"/>
      <c r="F5612" s="178"/>
      <c r="G5612" s="178"/>
      <c r="H5612" s="178"/>
      <c r="I5612" s="178"/>
      <c r="J5612" s="178"/>
      <c r="K5612" s="178"/>
      <c r="L5612" s="178"/>
      <c r="M5612" s="178"/>
      <c r="N5612" s="178"/>
      <c r="O5612" s="178"/>
      <c r="P5612" s="224"/>
      <c r="Q5612" s="224"/>
      <c r="R5612" s="224"/>
      <c r="S5612" s="224"/>
    </row>
    <row r="5613" spans="1:19" s="235" customFormat="1" x14ac:dyDescent="0.35">
      <c r="A5613" s="229"/>
      <c r="B5613" s="230" t="s">
        <v>1928</v>
      </c>
      <c r="C5613" s="177"/>
      <c r="D5613" s="177"/>
      <c r="E5613" s="178">
        <f>E5608</f>
        <v>10.4</v>
      </c>
      <c r="F5613" s="178">
        <f>F5608</f>
        <v>2.4500000000000002</v>
      </c>
      <c r="G5613" s="178"/>
      <c r="H5613" s="178">
        <v>0.35</v>
      </c>
      <c r="I5613" s="178"/>
      <c r="J5613" s="178"/>
      <c r="K5613" s="178"/>
      <c r="L5613" s="178"/>
      <c r="M5613" s="178"/>
      <c r="N5613" s="178"/>
      <c r="O5613" s="215">
        <f>E5613*F5613*H5613</f>
        <v>8.918000000000001</v>
      </c>
      <c r="P5613" s="224"/>
      <c r="Q5613" s="224"/>
      <c r="R5613" s="224"/>
      <c r="S5613" s="224"/>
    </row>
    <row r="5614" spans="1:19" s="235" customFormat="1" x14ac:dyDescent="0.35">
      <c r="A5614" s="229"/>
      <c r="B5614" s="230" t="s">
        <v>1929</v>
      </c>
      <c r="C5614" s="177"/>
      <c r="D5614" s="177"/>
      <c r="E5614" s="178">
        <v>1.45</v>
      </c>
      <c r="F5614" s="178"/>
      <c r="G5614" s="178">
        <v>2</v>
      </c>
      <c r="H5614" s="178">
        <v>0.2</v>
      </c>
      <c r="I5614" s="178"/>
      <c r="J5614" s="178"/>
      <c r="K5614" s="178"/>
      <c r="L5614" s="178"/>
      <c r="M5614" s="178"/>
      <c r="N5614" s="178"/>
      <c r="O5614" s="192">
        <f>E5614*G5614*H5614</f>
        <v>0.57999999999999996</v>
      </c>
      <c r="P5614" s="224"/>
      <c r="Q5614" s="224"/>
      <c r="R5614" s="224"/>
      <c r="S5614" s="224"/>
    </row>
    <row r="5615" spans="1:19" s="237" customFormat="1" x14ac:dyDescent="0.35">
      <c r="A5615" s="229"/>
      <c r="B5615" s="230" t="s">
        <v>1930</v>
      </c>
      <c r="C5615" s="178"/>
      <c r="D5615" s="178"/>
      <c r="E5615" s="178">
        <v>1.45</v>
      </c>
      <c r="F5615" s="178"/>
      <c r="G5615" s="178">
        <v>2</v>
      </c>
      <c r="H5615" s="178">
        <v>0.2</v>
      </c>
      <c r="I5615" s="178"/>
      <c r="J5615" s="178"/>
      <c r="K5615" s="178"/>
      <c r="L5615" s="178"/>
      <c r="M5615" s="178"/>
      <c r="N5615" s="178"/>
      <c r="O5615" s="192">
        <f t="shared" ref="O5615:O5617" si="202">E5615*G5615*H5615</f>
        <v>0.57999999999999996</v>
      </c>
      <c r="P5615" s="236"/>
      <c r="Q5615" s="236"/>
      <c r="R5615" s="236"/>
      <c r="S5615" s="236"/>
    </row>
    <row r="5616" spans="1:19" s="237" customFormat="1" x14ac:dyDescent="0.35">
      <c r="A5616" s="229"/>
      <c r="B5616" s="230" t="s">
        <v>1931</v>
      </c>
      <c r="C5616" s="178"/>
      <c r="D5616" s="178"/>
      <c r="E5616" s="178">
        <v>10</v>
      </c>
      <c r="F5616" s="178"/>
      <c r="G5616" s="178">
        <v>2</v>
      </c>
      <c r="H5616" s="178">
        <v>0.25</v>
      </c>
      <c r="I5616" s="178"/>
      <c r="J5616" s="178"/>
      <c r="K5616" s="178"/>
      <c r="L5616" s="178"/>
      <c r="M5616" s="178"/>
      <c r="N5616" s="178"/>
      <c r="O5616" s="192">
        <f t="shared" si="202"/>
        <v>5</v>
      </c>
      <c r="P5616" s="236"/>
      <c r="Q5616" s="236"/>
      <c r="R5616" s="236"/>
      <c r="S5616" s="236"/>
    </row>
    <row r="5617" spans="1:19" s="237" customFormat="1" x14ac:dyDescent="0.35">
      <c r="A5617" s="229"/>
      <c r="B5617" s="230" t="s">
        <v>1932</v>
      </c>
      <c r="C5617" s="178"/>
      <c r="D5617" s="178"/>
      <c r="E5617" s="178">
        <v>10</v>
      </c>
      <c r="F5617" s="178"/>
      <c r="G5617" s="178">
        <v>1.5</v>
      </c>
      <c r="H5617" s="178">
        <v>0.2</v>
      </c>
      <c r="I5617" s="178"/>
      <c r="J5617" s="178"/>
      <c r="K5617" s="178"/>
      <c r="L5617" s="178"/>
      <c r="M5617" s="178"/>
      <c r="N5617" s="178"/>
      <c r="O5617" s="192">
        <f t="shared" si="202"/>
        <v>3</v>
      </c>
      <c r="P5617" s="236"/>
      <c r="Q5617" s="236"/>
      <c r="R5617" s="236"/>
      <c r="S5617" s="236"/>
    </row>
    <row r="5618" spans="1:19" s="237" customFormat="1" x14ac:dyDescent="0.35">
      <c r="A5618" s="229"/>
      <c r="B5618" s="230"/>
      <c r="C5618" s="178"/>
      <c r="D5618" s="178"/>
      <c r="E5618" s="178"/>
      <c r="F5618" s="178"/>
      <c r="G5618" s="178"/>
      <c r="H5618" s="178"/>
      <c r="I5618" s="178"/>
      <c r="J5618" s="178"/>
      <c r="K5618" s="178"/>
      <c r="L5618" s="178"/>
      <c r="M5618" s="178"/>
      <c r="N5618" s="178"/>
      <c r="O5618" s="193"/>
      <c r="P5618" s="236"/>
      <c r="Q5618" s="236"/>
      <c r="R5618" s="236"/>
      <c r="S5618" s="236"/>
    </row>
    <row r="5619" spans="1:19" s="235" customFormat="1" x14ac:dyDescent="0.35">
      <c r="A5619" s="238"/>
      <c r="B5619" s="232" t="s">
        <v>5</v>
      </c>
      <c r="C5619" s="182" t="s">
        <v>1328</v>
      </c>
      <c r="D5619" s="182"/>
      <c r="E5619" s="182"/>
      <c r="F5619" s="182"/>
      <c r="G5619" s="182"/>
      <c r="H5619" s="182"/>
      <c r="I5619" s="182"/>
      <c r="J5619" s="182"/>
      <c r="K5619" s="182"/>
      <c r="L5619" s="182"/>
      <c r="M5619" s="182"/>
      <c r="N5619" s="182"/>
      <c r="O5619" s="196">
        <f>SUM(O5612:O5618)</f>
        <v>18.078000000000003</v>
      </c>
      <c r="P5619" s="224"/>
      <c r="Q5619" s="224"/>
      <c r="R5619" s="224"/>
      <c r="S5619" s="224"/>
    </row>
    <row r="5620" spans="1:19" s="235" customFormat="1" ht="31.5" x14ac:dyDescent="0.35">
      <c r="A5620" s="226" t="str">
        <f>ORÇAMENTO!A1020</f>
        <v xml:space="preserve"> 8.6.3</v>
      </c>
      <c r="B5620" s="227" t="str">
        <f>VLOOKUP(A5620,ORÇAMENTO!A:K,4,0)</f>
        <v>LANÇAMENTO COM USO DE BALDES, ADENSAMENTO E ACABAMENTO DE CONCRETO EM ESTRUTURAS. AF_02/2022</v>
      </c>
      <c r="C5620" s="173" t="str">
        <f>VLOOKUP(A5620,ORÇAMENTO!A:K,5,0)</f>
        <v>M³</v>
      </c>
      <c r="D5620" s="173">
        <f>SUM(E5625:O5625)</f>
        <v>19.352000000000004</v>
      </c>
      <c r="E5620" s="173" t="s">
        <v>1718</v>
      </c>
      <c r="F5620" s="173" t="s">
        <v>1719</v>
      </c>
      <c r="G5620" s="173" t="s">
        <v>1720</v>
      </c>
      <c r="H5620" s="173" t="s">
        <v>1721</v>
      </c>
      <c r="I5620" s="173" t="s">
        <v>1722</v>
      </c>
      <c r="J5620" s="173" t="s">
        <v>1723</v>
      </c>
      <c r="K5620" s="173" t="s">
        <v>1724</v>
      </c>
      <c r="L5620" s="173" t="s">
        <v>1753</v>
      </c>
      <c r="M5620" s="173" t="s">
        <v>1768</v>
      </c>
      <c r="N5620" s="173" t="s">
        <v>1727</v>
      </c>
      <c r="O5620" s="173" t="s">
        <v>1728</v>
      </c>
      <c r="P5620" s="224"/>
      <c r="Q5620" s="224"/>
      <c r="R5620" s="224"/>
      <c r="S5620" s="224"/>
    </row>
    <row r="5621" spans="1:19" s="235" customFormat="1" x14ac:dyDescent="0.35">
      <c r="A5621" s="229"/>
      <c r="B5621" s="232"/>
      <c r="C5621" s="177"/>
      <c r="D5621" s="177"/>
      <c r="E5621" s="178"/>
      <c r="F5621" s="178"/>
      <c r="G5621" s="178"/>
      <c r="H5621" s="178"/>
      <c r="I5621" s="178"/>
      <c r="J5621" s="178"/>
      <c r="K5621" s="178"/>
      <c r="L5621" s="178"/>
      <c r="M5621" s="178"/>
      <c r="N5621" s="178"/>
      <c r="O5621" s="178"/>
      <c r="P5621" s="224"/>
      <c r="Q5621" s="224"/>
      <c r="R5621" s="224"/>
      <c r="S5621" s="224"/>
    </row>
    <row r="5622" spans="1:19" s="237" customFormat="1" x14ac:dyDescent="0.35">
      <c r="A5622" s="229"/>
      <c r="B5622" s="230" t="s">
        <v>1921</v>
      </c>
      <c r="C5622" s="178"/>
      <c r="D5622" s="178"/>
      <c r="E5622" s="178"/>
      <c r="F5622" s="178"/>
      <c r="G5622" s="178"/>
      <c r="H5622" s="178"/>
      <c r="I5622" s="178"/>
      <c r="J5622" s="178"/>
      <c r="K5622" s="178"/>
      <c r="L5622" s="178"/>
      <c r="M5622" s="178"/>
      <c r="N5622" s="178"/>
      <c r="O5622" s="215">
        <f>O5610</f>
        <v>1.2740000000000002</v>
      </c>
      <c r="P5622" s="236"/>
      <c r="Q5622" s="236"/>
      <c r="R5622" s="236"/>
      <c r="S5622" s="236"/>
    </row>
    <row r="5623" spans="1:19" s="237" customFormat="1" x14ac:dyDescent="0.35">
      <c r="A5623" s="229"/>
      <c r="B5623" s="230" t="s">
        <v>1926</v>
      </c>
      <c r="C5623" s="178"/>
      <c r="D5623" s="178"/>
      <c r="E5623" s="178"/>
      <c r="F5623" s="178"/>
      <c r="G5623" s="178"/>
      <c r="H5623" s="178"/>
      <c r="I5623" s="178"/>
      <c r="J5623" s="178"/>
      <c r="K5623" s="178"/>
      <c r="L5623" s="178"/>
      <c r="M5623" s="178"/>
      <c r="N5623" s="178"/>
      <c r="O5623" s="215">
        <f>O5619</f>
        <v>18.078000000000003</v>
      </c>
      <c r="P5623" s="236"/>
      <c r="Q5623" s="236"/>
      <c r="R5623" s="236"/>
      <c r="S5623" s="236"/>
    </row>
    <row r="5624" spans="1:19" s="237" customFormat="1" x14ac:dyDescent="0.35">
      <c r="A5624" s="229"/>
      <c r="B5624" s="230"/>
      <c r="C5624" s="178"/>
      <c r="D5624" s="178"/>
      <c r="E5624" s="178"/>
      <c r="F5624" s="178"/>
      <c r="G5624" s="178"/>
      <c r="H5624" s="178"/>
      <c r="I5624" s="178"/>
      <c r="J5624" s="178"/>
      <c r="K5624" s="178"/>
      <c r="L5624" s="178"/>
      <c r="M5624" s="178"/>
      <c r="N5624" s="178"/>
      <c r="O5624" s="193"/>
      <c r="P5624" s="236"/>
      <c r="Q5624" s="236"/>
      <c r="R5624" s="236"/>
      <c r="S5624" s="236"/>
    </row>
    <row r="5625" spans="1:19" s="235" customFormat="1" x14ac:dyDescent="0.35">
      <c r="A5625" s="238"/>
      <c r="B5625" s="232" t="s">
        <v>5</v>
      </c>
      <c r="C5625" s="182" t="s">
        <v>1328</v>
      </c>
      <c r="D5625" s="182"/>
      <c r="E5625" s="182"/>
      <c r="F5625" s="182"/>
      <c r="G5625" s="182"/>
      <c r="H5625" s="182"/>
      <c r="I5625" s="182"/>
      <c r="J5625" s="182"/>
      <c r="K5625" s="182"/>
      <c r="L5625" s="182"/>
      <c r="M5625" s="182"/>
      <c r="N5625" s="182"/>
      <c r="O5625" s="196">
        <f>SUM(O5622:O5624)</f>
        <v>19.352000000000004</v>
      </c>
      <c r="P5625" s="224"/>
      <c r="Q5625" s="224"/>
      <c r="R5625" s="224"/>
      <c r="S5625" s="224"/>
    </row>
    <row r="5626" spans="1:19" s="235" customFormat="1" ht="31.5" x14ac:dyDescent="0.35">
      <c r="A5626" s="226" t="str">
        <f>ORÇAMENTO!A1021</f>
        <v xml:space="preserve"> 8.6.4</v>
      </c>
      <c r="B5626" s="227" t="str">
        <f>VLOOKUP(A5626,ORÇAMENTO!A:K,4,0)</f>
        <v>FÔRMAS DE TÁBUAS DE PINHO PARA DISPOSITIVOS DE DRENAGEM - UTILIZAÇÃO DE 3 VEZES - CONFECÇÃO, INSTALAÇÃO E RETIRADA</v>
      </c>
      <c r="C5626" s="173" t="str">
        <f>VLOOKUP(A5626,ORÇAMENTO!A:K,5,0)</f>
        <v>M²</v>
      </c>
      <c r="D5626" s="173">
        <f>SUM(E5634:O5634)</f>
        <v>90.594999999999999</v>
      </c>
      <c r="E5626" s="173" t="s">
        <v>1718</v>
      </c>
      <c r="F5626" s="173" t="s">
        <v>1719</v>
      </c>
      <c r="G5626" s="173" t="s">
        <v>1720</v>
      </c>
      <c r="H5626" s="173" t="s">
        <v>1721</v>
      </c>
      <c r="I5626" s="173" t="s">
        <v>1722</v>
      </c>
      <c r="J5626" s="173" t="s">
        <v>1723</v>
      </c>
      <c r="K5626" s="173" t="s">
        <v>1724</v>
      </c>
      <c r="L5626" s="173" t="s">
        <v>1753</v>
      </c>
      <c r="M5626" s="173" t="s">
        <v>1768</v>
      </c>
      <c r="N5626" s="173" t="s">
        <v>1727</v>
      </c>
      <c r="O5626" s="173" t="s">
        <v>1728</v>
      </c>
      <c r="P5626" s="224"/>
      <c r="Q5626" s="224"/>
      <c r="R5626" s="224"/>
      <c r="S5626" s="224"/>
    </row>
    <row r="5627" spans="1:19" s="235" customFormat="1" x14ac:dyDescent="0.35">
      <c r="A5627" s="229"/>
      <c r="B5627" s="232" t="s">
        <v>1927</v>
      </c>
      <c r="C5627" s="177"/>
      <c r="D5627" s="177"/>
      <c r="E5627" s="178"/>
      <c r="F5627" s="178"/>
      <c r="G5627" s="178"/>
      <c r="H5627" s="178"/>
      <c r="I5627" s="178"/>
      <c r="J5627" s="178"/>
      <c r="K5627" s="178"/>
      <c r="L5627" s="178"/>
      <c r="M5627" s="178"/>
      <c r="N5627" s="178"/>
      <c r="O5627" s="178"/>
      <c r="P5627" s="224"/>
      <c r="Q5627" s="224"/>
      <c r="R5627" s="224"/>
      <c r="S5627" s="224"/>
    </row>
    <row r="5628" spans="1:19" s="237" customFormat="1" x14ac:dyDescent="0.35">
      <c r="A5628" s="229"/>
      <c r="B5628" s="319" t="str">
        <f>B5613</f>
        <v>LAJE PISO</v>
      </c>
      <c r="C5628" s="178"/>
      <c r="D5628" s="178"/>
      <c r="E5628" s="178">
        <f>E5613</f>
        <v>10.4</v>
      </c>
      <c r="F5628" s="178">
        <f>F5613</f>
        <v>2.4500000000000002</v>
      </c>
      <c r="G5628" s="178"/>
      <c r="H5628" s="178">
        <f>H5613</f>
        <v>0.35</v>
      </c>
      <c r="I5628" s="178">
        <f>2*E5628+2*F5628</f>
        <v>25.700000000000003</v>
      </c>
      <c r="J5628" s="178"/>
      <c r="K5628" s="178"/>
      <c r="L5628" s="178"/>
      <c r="M5628" s="178"/>
      <c r="N5628" s="215">
        <f>I5628*H5628</f>
        <v>8.995000000000001</v>
      </c>
      <c r="O5628" s="215"/>
      <c r="P5628" s="236"/>
      <c r="Q5628" s="236"/>
      <c r="R5628" s="236"/>
      <c r="S5628" s="236"/>
    </row>
    <row r="5629" spans="1:19" s="237" customFormat="1" x14ac:dyDescent="0.35">
      <c r="A5629" s="229"/>
      <c r="B5629" s="319" t="str">
        <f t="shared" ref="B5629:B5632" si="203">B5614</f>
        <v>PAREDE 1</v>
      </c>
      <c r="C5629" s="178"/>
      <c r="D5629" s="178"/>
      <c r="E5629" s="178">
        <f>E5614</f>
        <v>1.45</v>
      </c>
      <c r="F5629" s="178"/>
      <c r="G5629" s="178">
        <f>G5614</f>
        <v>2</v>
      </c>
      <c r="H5629" s="178">
        <f>H5614</f>
        <v>0.2</v>
      </c>
      <c r="I5629" s="178"/>
      <c r="J5629" s="178"/>
      <c r="K5629" s="178"/>
      <c r="L5629" s="178"/>
      <c r="M5629" s="178"/>
      <c r="N5629" s="215">
        <f>2*(E5629*G5629)</f>
        <v>5.8</v>
      </c>
      <c r="O5629" s="215"/>
      <c r="P5629" s="236"/>
      <c r="Q5629" s="236"/>
      <c r="R5629" s="236"/>
      <c r="S5629" s="236"/>
    </row>
    <row r="5630" spans="1:19" s="237" customFormat="1" x14ac:dyDescent="0.35">
      <c r="A5630" s="229"/>
      <c r="B5630" s="319" t="str">
        <f t="shared" si="203"/>
        <v>PAREDE 2</v>
      </c>
      <c r="C5630" s="178"/>
      <c r="D5630" s="178"/>
      <c r="E5630" s="178">
        <f t="shared" ref="E5630:E5632" si="204">E5615</f>
        <v>1.45</v>
      </c>
      <c r="F5630" s="178"/>
      <c r="G5630" s="178">
        <f t="shared" ref="G5630:H5632" si="205">G5615</f>
        <v>2</v>
      </c>
      <c r="H5630" s="178">
        <f t="shared" si="205"/>
        <v>0.2</v>
      </c>
      <c r="I5630" s="178"/>
      <c r="J5630" s="178"/>
      <c r="K5630" s="178"/>
      <c r="L5630" s="178"/>
      <c r="M5630" s="178"/>
      <c r="N5630" s="215">
        <f t="shared" ref="N5630:N5632" si="206">2*(E5630*G5630)</f>
        <v>5.8</v>
      </c>
      <c r="O5630" s="215"/>
      <c r="P5630" s="236"/>
      <c r="Q5630" s="236"/>
      <c r="R5630" s="236"/>
      <c r="S5630" s="236"/>
    </row>
    <row r="5631" spans="1:19" s="237" customFormat="1" x14ac:dyDescent="0.35">
      <c r="A5631" s="229"/>
      <c r="B5631" s="319" t="str">
        <f t="shared" si="203"/>
        <v>PAREDE 3</v>
      </c>
      <c r="C5631" s="178"/>
      <c r="D5631" s="178"/>
      <c r="E5631" s="178">
        <f t="shared" si="204"/>
        <v>10</v>
      </c>
      <c r="F5631" s="178"/>
      <c r="G5631" s="178">
        <f t="shared" si="205"/>
        <v>2</v>
      </c>
      <c r="H5631" s="178">
        <f t="shared" si="205"/>
        <v>0.25</v>
      </c>
      <c r="I5631" s="178"/>
      <c r="J5631" s="178"/>
      <c r="K5631" s="178"/>
      <c r="L5631" s="178"/>
      <c r="M5631" s="178"/>
      <c r="N5631" s="215">
        <f t="shared" si="206"/>
        <v>40</v>
      </c>
      <c r="O5631" s="215"/>
      <c r="P5631" s="236"/>
      <c r="Q5631" s="236"/>
      <c r="R5631" s="236"/>
      <c r="S5631" s="236"/>
    </row>
    <row r="5632" spans="1:19" s="237" customFormat="1" x14ac:dyDescent="0.35">
      <c r="A5632" s="229"/>
      <c r="B5632" s="319" t="str">
        <f t="shared" si="203"/>
        <v>PAREDE 4</v>
      </c>
      <c r="C5632" s="178"/>
      <c r="D5632" s="178"/>
      <c r="E5632" s="178">
        <f t="shared" si="204"/>
        <v>10</v>
      </c>
      <c r="F5632" s="178"/>
      <c r="G5632" s="178">
        <f t="shared" si="205"/>
        <v>1.5</v>
      </c>
      <c r="H5632" s="178">
        <f t="shared" si="205"/>
        <v>0.2</v>
      </c>
      <c r="I5632" s="178"/>
      <c r="J5632" s="178"/>
      <c r="K5632" s="178"/>
      <c r="L5632" s="178"/>
      <c r="M5632" s="178"/>
      <c r="N5632" s="215">
        <f t="shared" si="206"/>
        <v>30</v>
      </c>
      <c r="O5632" s="215"/>
      <c r="P5632" s="236"/>
      <c r="Q5632" s="236"/>
      <c r="R5632" s="236"/>
      <c r="S5632" s="236"/>
    </row>
    <row r="5633" spans="1:19" s="237" customFormat="1" x14ac:dyDescent="0.35">
      <c r="A5633" s="229"/>
      <c r="B5633" s="230"/>
      <c r="C5633" s="178"/>
      <c r="D5633" s="178"/>
      <c r="E5633" s="178"/>
      <c r="F5633" s="178"/>
      <c r="G5633" s="178"/>
      <c r="H5633" s="178"/>
      <c r="I5633" s="178"/>
      <c r="J5633" s="178"/>
      <c r="K5633" s="178"/>
      <c r="L5633" s="178"/>
      <c r="M5633" s="178"/>
      <c r="N5633" s="193"/>
      <c r="O5633" s="193"/>
      <c r="P5633" s="236"/>
      <c r="Q5633" s="236"/>
      <c r="R5633" s="236"/>
      <c r="S5633" s="236"/>
    </row>
    <row r="5634" spans="1:19" s="235" customFormat="1" x14ac:dyDescent="0.35">
      <c r="A5634" s="238"/>
      <c r="B5634" s="232" t="s">
        <v>5</v>
      </c>
      <c r="C5634" s="182" t="s">
        <v>1328</v>
      </c>
      <c r="D5634" s="182"/>
      <c r="E5634" s="182"/>
      <c r="F5634" s="182"/>
      <c r="G5634" s="182"/>
      <c r="H5634" s="182"/>
      <c r="I5634" s="182"/>
      <c r="J5634" s="182"/>
      <c r="K5634" s="182"/>
      <c r="L5634" s="182"/>
      <c r="M5634" s="182"/>
      <c r="N5634" s="196">
        <f>SUM(N5628:N5633)</f>
        <v>90.594999999999999</v>
      </c>
      <c r="O5634" s="196"/>
      <c r="P5634" s="224"/>
      <c r="Q5634" s="224"/>
      <c r="R5634" s="224"/>
      <c r="S5634" s="224"/>
    </row>
    <row r="5635" spans="1:19" s="235" customFormat="1" ht="21" x14ac:dyDescent="0.35">
      <c r="A5635" s="226" t="str">
        <f>ORÇAMENTO!A1022</f>
        <v xml:space="preserve"> 8.6.5</v>
      </c>
      <c r="B5635" s="227" t="str">
        <f>VLOOKUP(A5635,ORÇAMENTO!A:K,4,0)</f>
        <v>ARMAÇÃO EM AÇO CA-50 - FORNECIMENTO, PREPARO E COLOCAÇÃO</v>
      </c>
      <c r="C5635" s="173" t="str">
        <f>VLOOKUP(A5635,ORÇAMENTO!A:K,5,0)</f>
        <v>KG</v>
      </c>
      <c r="D5635" s="173">
        <f>SUM(E5639:O5639)</f>
        <v>1656</v>
      </c>
      <c r="E5635" s="173" t="s">
        <v>1718</v>
      </c>
      <c r="F5635" s="173" t="s">
        <v>1719</v>
      </c>
      <c r="G5635" s="173" t="s">
        <v>1720</v>
      </c>
      <c r="H5635" s="173" t="s">
        <v>1721</v>
      </c>
      <c r="I5635" s="173" t="s">
        <v>1722</v>
      </c>
      <c r="J5635" s="173" t="s">
        <v>1723</v>
      </c>
      <c r="K5635" s="173" t="s">
        <v>1724</v>
      </c>
      <c r="L5635" s="173" t="s">
        <v>1777</v>
      </c>
      <c r="M5635" s="173" t="s">
        <v>1768</v>
      </c>
      <c r="N5635" s="173" t="s">
        <v>1727</v>
      </c>
      <c r="O5635" s="173" t="s">
        <v>1728</v>
      </c>
      <c r="P5635" s="224"/>
      <c r="Q5635" s="224"/>
      <c r="R5635" s="224"/>
      <c r="S5635" s="224"/>
    </row>
    <row r="5636" spans="1:19" s="235" customFormat="1" x14ac:dyDescent="0.35">
      <c r="A5636" s="229"/>
      <c r="B5636" s="232" t="s">
        <v>1933</v>
      </c>
      <c r="C5636" s="177"/>
      <c r="D5636" s="177"/>
      <c r="E5636" s="178"/>
      <c r="F5636" s="178"/>
      <c r="G5636" s="178"/>
      <c r="H5636" s="178"/>
      <c r="I5636" s="178"/>
      <c r="J5636" s="178"/>
      <c r="K5636" s="178"/>
      <c r="L5636" s="178"/>
      <c r="M5636" s="178"/>
      <c r="N5636" s="178"/>
      <c r="O5636" s="178"/>
      <c r="P5636" s="224"/>
      <c r="Q5636" s="224"/>
      <c r="R5636" s="224"/>
      <c r="S5636" s="224"/>
    </row>
    <row r="5637" spans="1:19" s="237" customFormat="1" x14ac:dyDescent="0.35">
      <c r="A5637" s="229"/>
      <c r="B5637" s="319"/>
      <c r="C5637" s="178"/>
      <c r="D5637" s="178"/>
      <c r="E5637" s="178"/>
      <c r="F5637" s="178"/>
      <c r="G5637" s="178"/>
      <c r="H5637" s="178"/>
      <c r="I5637" s="178"/>
      <c r="J5637" s="178"/>
      <c r="K5637" s="215">
        <v>1656</v>
      </c>
      <c r="L5637" s="178"/>
      <c r="M5637" s="178"/>
      <c r="N5637" s="215"/>
      <c r="O5637" s="215"/>
      <c r="P5637" s="236"/>
      <c r="Q5637" s="236"/>
      <c r="R5637" s="236"/>
      <c r="S5637" s="236"/>
    </row>
    <row r="5638" spans="1:19" s="237" customFormat="1" x14ac:dyDescent="0.35">
      <c r="A5638" s="229"/>
      <c r="B5638" s="230"/>
      <c r="C5638" s="178"/>
      <c r="D5638" s="178"/>
      <c r="E5638" s="178"/>
      <c r="F5638" s="178"/>
      <c r="G5638" s="178"/>
      <c r="H5638" s="178"/>
      <c r="I5638" s="178"/>
      <c r="J5638" s="178"/>
      <c r="K5638" s="193"/>
      <c r="L5638" s="178"/>
      <c r="M5638" s="178"/>
      <c r="N5638" s="193"/>
      <c r="O5638" s="193"/>
      <c r="P5638" s="236"/>
      <c r="Q5638" s="236"/>
      <c r="R5638" s="236"/>
      <c r="S5638" s="236"/>
    </row>
    <row r="5639" spans="1:19" s="235" customFormat="1" x14ac:dyDescent="0.35">
      <c r="A5639" s="238"/>
      <c r="B5639" s="232" t="s">
        <v>5</v>
      </c>
      <c r="C5639" s="182" t="s">
        <v>1328</v>
      </c>
      <c r="D5639" s="182"/>
      <c r="E5639" s="182"/>
      <c r="F5639" s="182"/>
      <c r="G5639" s="182"/>
      <c r="H5639" s="182"/>
      <c r="I5639" s="182"/>
      <c r="J5639" s="182"/>
      <c r="K5639" s="196">
        <f>SUM(K5637:K5638)</f>
        <v>1656</v>
      </c>
      <c r="L5639" s="182"/>
      <c r="M5639" s="182"/>
      <c r="N5639" s="196"/>
      <c r="O5639" s="196"/>
      <c r="P5639" s="224"/>
      <c r="Q5639" s="224"/>
      <c r="R5639" s="224"/>
      <c r="S5639" s="224"/>
    </row>
    <row r="5640" spans="1:19" s="235" customFormat="1" ht="42" x14ac:dyDescent="0.35">
      <c r="A5640" s="226" t="str">
        <f>ORÇAMENTO!A1023</f>
        <v xml:space="preserve"> 8.6.6</v>
      </c>
      <c r="B5640" s="227" t="str">
        <f>VLOOKUP(A5640,ORÇAMENTO!A:K,4,0)</f>
        <v>TRANSPORTE COM CAMINHÃO CARROCERIA COM GUINDAUTO (MUNCK),  MOMENTO MÁXIMO DE CARGA 11,7 TM, EM VIA URBANA PAVIMENTADA, DMT ATÉ 30KM (UNIDADE: TXKM). AF_07/2020</v>
      </c>
      <c r="C5640" s="173" t="str">
        <f>VLOOKUP(A5640,ORÇAMENTO!A:K,5,0)</f>
        <v>TXKM</v>
      </c>
      <c r="D5640" s="173">
        <f>SUM(E5643:O5643)</f>
        <v>519.67999999999995</v>
      </c>
      <c r="E5640" s="173" t="s">
        <v>1749</v>
      </c>
      <c r="F5640" s="173" t="s">
        <v>1719</v>
      </c>
      <c r="G5640" s="173" t="s">
        <v>1720</v>
      </c>
      <c r="H5640" s="173" t="s">
        <v>1721</v>
      </c>
      <c r="I5640" s="173" t="s">
        <v>1722</v>
      </c>
      <c r="J5640" s="173" t="s">
        <v>1723</v>
      </c>
      <c r="K5640" s="173" t="s">
        <v>1746</v>
      </c>
      <c r="L5640" s="173" t="s">
        <v>1753</v>
      </c>
      <c r="M5640" s="173" t="s">
        <v>1730</v>
      </c>
      <c r="N5640" s="173" t="s">
        <v>1727</v>
      </c>
      <c r="O5640" s="173" t="s">
        <v>1728</v>
      </c>
      <c r="P5640" s="224"/>
      <c r="Q5640" s="224"/>
      <c r="R5640" s="224"/>
      <c r="S5640" s="224"/>
    </row>
    <row r="5641" spans="1:19" s="235" customFormat="1" ht="21" x14ac:dyDescent="0.35">
      <c r="A5641" s="229"/>
      <c r="B5641" s="232" t="s">
        <v>1800</v>
      </c>
      <c r="C5641" s="177"/>
      <c r="D5641" s="177"/>
      <c r="E5641" s="178">
        <v>40</v>
      </c>
      <c r="F5641" s="178"/>
      <c r="G5641" s="178"/>
      <c r="H5641" s="178"/>
      <c r="I5641" s="178"/>
      <c r="J5641" s="178"/>
      <c r="K5641" s="178">
        <f>K5645</f>
        <v>12.991999999999999</v>
      </c>
      <c r="L5641" s="178"/>
      <c r="M5641" s="178">
        <f>K5641*E5641</f>
        <v>519.67999999999995</v>
      </c>
      <c r="N5641" s="178"/>
      <c r="O5641" s="178"/>
      <c r="P5641" s="224"/>
      <c r="Q5641" s="224"/>
      <c r="R5641" s="224"/>
      <c r="S5641" s="224"/>
    </row>
    <row r="5642" spans="1:19" s="237" customFormat="1" x14ac:dyDescent="0.35">
      <c r="A5642" s="229"/>
      <c r="B5642" s="230"/>
      <c r="C5642" s="178"/>
      <c r="D5642" s="178"/>
      <c r="E5642" s="178"/>
      <c r="F5642" s="178"/>
      <c r="G5642" s="178"/>
      <c r="H5642" s="178"/>
      <c r="I5642" s="178"/>
      <c r="J5642" s="178"/>
      <c r="K5642" s="193"/>
      <c r="L5642" s="178"/>
      <c r="M5642" s="178"/>
      <c r="N5642" s="193"/>
      <c r="O5642" s="193"/>
      <c r="P5642" s="236"/>
      <c r="Q5642" s="236"/>
      <c r="R5642" s="236"/>
      <c r="S5642" s="236"/>
    </row>
    <row r="5643" spans="1:19" s="235" customFormat="1" x14ac:dyDescent="0.35">
      <c r="A5643" s="238"/>
      <c r="B5643" s="232" t="s">
        <v>5</v>
      </c>
      <c r="C5643" s="182" t="s">
        <v>1328</v>
      </c>
      <c r="D5643" s="182"/>
      <c r="E5643" s="196"/>
      <c r="F5643" s="182"/>
      <c r="G5643" s="182"/>
      <c r="H5643" s="182"/>
      <c r="I5643" s="182"/>
      <c r="J5643" s="182"/>
      <c r="K5643" s="196"/>
      <c r="L5643" s="182"/>
      <c r="M5643" s="196">
        <f>SUM(M5641:M5642)</f>
        <v>519.67999999999995</v>
      </c>
      <c r="N5643" s="196"/>
      <c r="O5643" s="196"/>
      <c r="P5643" s="224"/>
      <c r="Q5643" s="224"/>
      <c r="R5643" s="224"/>
      <c r="S5643" s="224"/>
    </row>
    <row r="5644" spans="1:19" s="235" customFormat="1" ht="42" x14ac:dyDescent="0.35">
      <c r="A5644" s="226" t="str">
        <f>ORÇAMENTO!A1024</f>
        <v xml:space="preserve"> 8.6.7</v>
      </c>
      <c r="B5644" s="227" t="str">
        <f>VLOOKUP(A5644,ORÇAMENTO!A:K,4,0)</f>
        <v>CARGA, MANOBRA E DESCARGA DE TUBOS DE CONCRETO, DN 1200 MM, EM CAMINHÃO CARROCERIA COM GUINDAUTO (MUNCK) 11,7 TM. AF_07/2020</v>
      </c>
      <c r="C5644" s="173" t="str">
        <f>VLOOKUP(A5644,ORÇAMENTO!A:K,5,0)</f>
        <v>T</v>
      </c>
      <c r="D5644" s="173">
        <f>SUM(E5647:O5647)</f>
        <v>12.991999999999999</v>
      </c>
      <c r="E5644" s="173" t="s">
        <v>1718</v>
      </c>
      <c r="F5644" s="173" t="s">
        <v>1719</v>
      </c>
      <c r="G5644" s="173" t="s">
        <v>1720</v>
      </c>
      <c r="H5644" s="173" t="s">
        <v>1721</v>
      </c>
      <c r="I5644" s="173" t="s">
        <v>1722</v>
      </c>
      <c r="J5644" s="173" t="s">
        <v>1723</v>
      </c>
      <c r="K5644" s="173" t="s">
        <v>1746</v>
      </c>
      <c r="L5644" s="173" t="s">
        <v>1799</v>
      </c>
      <c r="M5644" s="173" t="s">
        <v>1768</v>
      </c>
      <c r="N5644" s="173" t="s">
        <v>1727</v>
      </c>
      <c r="O5644" s="173" t="s">
        <v>1728</v>
      </c>
      <c r="P5644" s="224"/>
      <c r="Q5644" s="224"/>
      <c r="R5644" s="224"/>
      <c r="S5644" s="224"/>
    </row>
    <row r="5645" spans="1:19" s="235" customFormat="1" ht="31.5" x14ac:dyDescent="0.35">
      <c r="A5645" s="229"/>
      <c r="B5645" s="232" t="s">
        <v>1801</v>
      </c>
      <c r="C5645" s="177"/>
      <c r="D5645" s="177"/>
      <c r="E5645" s="178">
        <f>E5649</f>
        <v>11.2</v>
      </c>
      <c r="F5645" s="178"/>
      <c r="G5645" s="178"/>
      <c r="H5645" s="178"/>
      <c r="I5645" s="178"/>
      <c r="J5645" s="178"/>
      <c r="K5645" s="178">
        <f>L5645*E5645</f>
        <v>12.991999999999999</v>
      </c>
      <c r="L5645" s="178">
        <v>1.1599999999999999</v>
      </c>
      <c r="M5645" s="178"/>
      <c r="N5645" s="178"/>
      <c r="O5645" s="178"/>
      <c r="P5645" s="224"/>
      <c r="Q5645" s="224"/>
      <c r="R5645" s="224"/>
      <c r="S5645" s="224"/>
    </row>
    <row r="5646" spans="1:19" s="237" customFormat="1" x14ac:dyDescent="0.35">
      <c r="A5646" s="229"/>
      <c r="B5646" s="230"/>
      <c r="C5646" s="178"/>
      <c r="D5646" s="178"/>
      <c r="E5646" s="178"/>
      <c r="F5646" s="178"/>
      <c r="G5646" s="178"/>
      <c r="H5646" s="178"/>
      <c r="I5646" s="178"/>
      <c r="J5646" s="178"/>
      <c r="K5646" s="193"/>
      <c r="L5646" s="178"/>
      <c r="M5646" s="178"/>
      <c r="N5646" s="193"/>
      <c r="O5646" s="193"/>
      <c r="P5646" s="236"/>
      <c r="Q5646" s="236"/>
      <c r="R5646" s="236"/>
      <c r="S5646" s="236"/>
    </row>
    <row r="5647" spans="1:19" s="235" customFormat="1" x14ac:dyDescent="0.35">
      <c r="A5647" s="238"/>
      <c r="B5647" s="232" t="s">
        <v>5</v>
      </c>
      <c r="C5647" s="182" t="s">
        <v>1328</v>
      </c>
      <c r="D5647" s="182"/>
      <c r="E5647" s="196"/>
      <c r="F5647" s="182"/>
      <c r="G5647" s="182"/>
      <c r="H5647" s="182"/>
      <c r="I5647" s="182"/>
      <c r="J5647" s="182"/>
      <c r="K5647" s="196">
        <f>SUM(K5645:K5646)</f>
        <v>12.991999999999999</v>
      </c>
      <c r="L5647" s="182"/>
      <c r="M5647" s="182"/>
      <c r="N5647" s="196"/>
      <c r="O5647" s="196"/>
      <c r="P5647" s="224"/>
      <c r="Q5647" s="224"/>
      <c r="R5647" s="224"/>
      <c r="S5647" s="224"/>
    </row>
    <row r="5648" spans="1:19" s="235" customFormat="1" ht="31.5" x14ac:dyDescent="0.35">
      <c r="A5648" s="226" t="str">
        <f>ORÇAMENTO!A1025</f>
        <v xml:space="preserve"> 8.6.8</v>
      </c>
      <c r="B5648" s="227" t="str">
        <f>VLOOKUP(A5648,ORÇAMENTO!A:K,4,0)</f>
        <v>TUBO DE CONCRETO ARMADO PARA AGUAS PLUVIAIS, CLASSE PA-1, COM ENCAIXE PONTA E BOLSA, DIAMETRO NOMINAL DE 1200 MM</v>
      </c>
      <c r="C5648" s="173" t="str">
        <f>VLOOKUP(A5648,ORÇAMENTO!A:K,5,0)</f>
        <v>M</v>
      </c>
      <c r="D5648" s="173">
        <f>SUM(E5651:O5651)</f>
        <v>11.2</v>
      </c>
      <c r="E5648" s="173" t="s">
        <v>1718</v>
      </c>
      <c r="F5648" s="173" t="s">
        <v>1719</v>
      </c>
      <c r="G5648" s="173" t="s">
        <v>1720</v>
      </c>
      <c r="H5648" s="173" t="s">
        <v>1721</v>
      </c>
      <c r="I5648" s="173" t="s">
        <v>1722</v>
      </c>
      <c r="J5648" s="173" t="s">
        <v>1723</v>
      </c>
      <c r="K5648" s="173" t="s">
        <v>1724</v>
      </c>
      <c r="L5648" s="173" t="s">
        <v>1753</v>
      </c>
      <c r="M5648" s="173" t="s">
        <v>1768</v>
      </c>
      <c r="N5648" s="173" t="s">
        <v>1727</v>
      </c>
      <c r="O5648" s="173" t="s">
        <v>1728</v>
      </c>
      <c r="P5648" s="224"/>
      <c r="Q5648" s="224"/>
      <c r="R5648" s="224"/>
      <c r="S5648" s="224"/>
    </row>
    <row r="5649" spans="1:19" s="235" customFormat="1" x14ac:dyDescent="0.35">
      <c r="A5649" s="229"/>
      <c r="B5649" s="232" t="s">
        <v>1934</v>
      </c>
      <c r="C5649" s="177"/>
      <c r="D5649" s="177"/>
      <c r="E5649" s="178">
        <f>6.5+4.7</f>
        <v>11.2</v>
      </c>
      <c r="F5649" s="178"/>
      <c r="G5649" s="178"/>
      <c r="H5649" s="178"/>
      <c r="I5649" s="178"/>
      <c r="J5649" s="178"/>
      <c r="K5649" s="178"/>
      <c r="L5649" s="178"/>
      <c r="M5649" s="178"/>
      <c r="N5649" s="178"/>
      <c r="O5649" s="178"/>
      <c r="P5649" s="224"/>
      <c r="Q5649" s="224"/>
      <c r="R5649" s="224"/>
      <c r="S5649" s="224"/>
    </row>
    <row r="5650" spans="1:19" s="237" customFormat="1" x14ac:dyDescent="0.35">
      <c r="A5650" s="229"/>
      <c r="B5650" s="230"/>
      <c r="C5650" s="178"/>
      <c r="D5650" s="178"/>
      <c r="E5650" s="178"/>
      <c r="F5650" s="178"/>
      <c r="G5650" s="178"/>
      <c r="H5650" s="178"/>
      <c r="I5650" s="178"/>
      <c r="J5650" s="178"/>
      <c r="K5650" s="193"/>
      <c r="L5650" s="178"/>
      <c r="M5650" s="178"/>
      <c r="N5650" s="193"/>
      <c r="O5650" s="193"/>
      <c r="P5650" s="236"/>
      <c r="Q5650" s="236"/>
      <c r="R5650" s="236"/>
      <c r="S5650" s="236"/>
    </row>
    <row r="5651" spans="1:19" s="235" customFormat="1" x14ac:dyDescent="0.35">
      <c r="A5651" s="238"/>
      <c r="B5651" s="232" t="s">
        <v>5</v>
      </c>
      <c r="C5651" s="182" t="s">
        <v>1328</v>
      </c>
      <c r="D5651" s="182"/>
      <c r="E5651" s="196">
        <f>SUM(E5649:E5650)</f>
        <v>11.2</v>
      </c>
      <c r="F5651" s="182"/>
      <c r="G5651" s="182"/>
      <c r="H5651" s="182"/>
      <c r="I5651" s="182"/>
      <c r="J5651" s="182"/>
      <c r="K5651" s="196"/>
      <c r="L5651" s="182"/>
      <c r="M5651" s="182"/>
      <c r="N5651" s="196"/>
      <c r="O5651" s="196"/>
      <c r="P5651" s="224"/>
      <c r="Q5651" s="224"/>
      <c r="R5651" s="224"/>
      <c r="S5651" s="224"/>
    </row>
    <row r="5652" spans="1:19" s="235" customFormat="1" ht="52.5" x14ac:dyDescent="0.35">
      <c r="A5652" s="226" t="str">
        <f>ORÇAMENTO!A1026</f>
        <v xml:space="preserve"> 8.6.9</v>
      </c>
      <c r="B5652" s="227" t="str">
        <f>VLOOKUP(A5652,ORÇAMENTO!A:K,4,0)</f>
        <v>ASSENTAMENTO DE TUBO DE CONCRETO PARA REDES COLETORAS DE ÁGUAS PLUVIAIS, DIÂMETRO DE 1200 MM, JUNTA RÍGIDA, INSTALADO EM LOCAL COM BAIXO NÍVEL DE INTERFERÊNCIAS (NÃO INCLUI FORNECIMENTO). AF_12/2015</v>
      </c>
      <c r="C5652" s="173" t="str">
        <f>VLOOKUP(A5652,ORÇAMENTO!A:K,5,0)</f>
        <v>M</v>
      </c>
      <c r="D5652" s="173">
        <f>SUM(E5655:O5655)</f>
        <v>11.2</v>
      </c>
      <c r="E5652" s="173" t="s">
        <v>1718</v>
      </c>
      <c r="F5652" s="173" t="s">
        <v>1719</v>
      </c>
      <c r="G5652" s="173" t="s">
        <v>1720</v>
      </c>
      <c r="H5652" s="173" t="s">
        <v>1721</v>
      </c>
      <c r="I5652" s="173" t="s">
        <v>1722</v>
      </c>
      <c r="J5652" s="173" t="s">
        <v>1723</v>
      </c>
      <c r="K5652" s="173" t="s">
        <v>1724</v>
      </c>
      <c r="L5652" s="173" t="s">
        <v>1753</v>
      </c>
      <c r="M5652" s="173" t="s">
        <v>1768</v>
      </c>
      <c r="N5652" s="173" t="s">
        <v>1727</v>
      </c>
      <c r="O5652" s="173" t="s">
        <v>1728</v>
      </c>
      <c r="P5652" s="224"/>
      <c r="Q5652" s="224"/>
      <c r="R5652" s="224"/>
      <c r="S5652" s="224"/>
    </row>
    <row r="5653" spans="1:19" s="235" customFormat="1" x14ac:dyDescent="0.35">
      <c r="A5653" s="229"/>
      <c r="B5653" s="232" t="s">
        <v>1934</v>
      </c>
      <c r="C5653" s="177"/>
      <c r="D5653" s="177"/>
      <c r="E5653" s="178">
        <f>E5651</f>
        <v>11.2</v>
      </c>
      <c r="F5653" s="178"/>
      <c r="G5653" s="178"/>
      <c r="H5653" s="178"/>
      <c r="I5653" s="178"/>
      <c r="J5653" s="178"/>
      <c r="K5653" s="178"/>
      <c r="L5653" s="178"/>
      <c r="M5653" s="178"/>
      <c r="N5653" s="178"/>
      <c r="O5653" s="178"/>
      <c r="P5653" s="224"/>
      <c r="Q5653" s="224"/>
      <c r="R5653" s="224"/>
      <c r="S5653" s="224"/>
    </row>
    <row r="5654" spans="1:19" s="237" customFormat="1" x14ac:dyDescent="0.35">
      <c r="A5654" s="229"/>
      <c r="B5654" s="230"/>
      <c r="C5654" s="178"/>
      <c r="D5654" s="178"/>
      <c r="E5654" s="178"/>
      <c r="F5654" s="178"/>
      <c r="G5654" s="178"/>
      <c r="H5654" s="178"/>
      <c r="I5654" s="178"/>
      <c r="J5654" s="178"/>
      <c r="K5654" s="193"/>
      <c r="L5654" s="178"/>
      <c r="M5654" s="178"/>
      <c r="N5654" s="193"/>
      <c r="O5654" s="193"/>
      <c r="P5654" s="236"/>
      <c r="Q5654" s="236"/>
      <c r="R5654" s="236"/>
      <c r="S5654" s="236"/>
    </row>
    <row r="5655" spans="1:19" s="235" customFormat="1" x14ac:dyDescent="0.35">
      <c r="A5655" s="238"/>
      <c r="B5655" s="232" t="s">
        <v>5</v>
      </c>
      <c r="C5655" s="182" t="s">
        <v>1328</v>
      </c>
      <c r="D5655" s="182"/>
      <c r="E5655" s="196">
        <f>SUM(E5653:E5654)</f>
        <v>11.2</v>
      </c>
      <c r="F5655" s="182"/>
      <c r="G5655" s="182"/>
      <c r="H5655" s="182"/>
      <c r="I5655" s="182"/>
      <c r="J5655" s="182"/>
      <c r="K5655" s="196"/>
      <c r="L5655" s="182"/>
      <c r="M5655" s="182"/>
      <c r="N5655" s="196"/>
      <c r="O5655" s="196"/>
      <c r="P5655" s="224"/>
      <c r="Q5655" s="224"/>
      <c r="R5655" s="224"/>
      <c r="S5655" s="224"/>
    </row>
    <row r="5656" spans="1:19" s="235" customFormat="1" ht="21" x14ac:dyDescent="0.35">
      <c r="A5656" s="226" t="str">
        <f>ORÇAMENTO!A1027</f>
        <v xml:space="preserve"> 8.6.10</v>
      </c>
      <c r="B5656" s="227" t="str">
        <f>VLOOKUP(A5656,ORÇAMENTO!A:K,4,0)</f>
        <v>FORNECIMENTO E COLOCAÇÃO DE GRADE DE FERRO PARA PROTEÇÃO EM PISO.</v>
      </c>
      <c r="C5656" s="173" t="str">
        <f>VLOOKUP(A5656,ORÇAMENTO!A:K,5,0)</f>
        <v>M²</v>
      </c>
      <c r="D5656" s="173">
        <f>SUM(E5660:O5660)</f>
        <v>10.3</v>
      </c>
      <c r="E5656" s="173" t="s">
        <v>1718</v>
      </c>
      <c r="F5656" s="173" t="s">
        <v>1719</v>
      </c>
      <c r="G5656" s="173" t="s">
        <v>1720</v>
      </c>
      <c r="H5656" s="173" t="s">
        <v>1721</v>
      </c>
      <c r="I5656" s="173" t="s">
        <v>1722</v>
      </c>
      <c r="J5656" s="173" t="s">
        <v>1723</v>
      </c>
      <c r="K5656" s="173" t="s">
        <v>1724</v>
      </c>
      <c r="L5656" s="173" t="s">
        <v>1753</v>
      </c>
      <c r="M5656" s="173" t="s">
        <v>1768</v>
      </c>
      <c r="N5656" s="173" t="s">
        <v>1727</v>
      </c>
      <c r="O5656" s="173" t="s">
        <v>1728</v>
      </c>
      <c r="P5656" s="224"/>
      <c r="Q5656" s="224"/>
      <c r="R5656" s="224"/>
      <c r="S5656" s="224"/>
    </row>
    <row r="5657" spans="1:19" s="235" customFormat="1" x14ac:dyDescent="0.35">
      <c r="A5657" s="229"/>
      <c r="B5657" s="232" t="s">
        <v>1934</v>
      </c>
      <c r="C5657" s="177"/>
      <c r="D5657" s="177"/>
      <c r="E5657" s="178"/>
      <c r="F5657" s="178"/>
      <c r="G5657" s="178"/>
      <c r="H5657" s="178"/>
      <c r="I5657" s="178"/>
      <c r="J5657" s="178"/>
      <c r="K5657" s="178"/>
      <c r="L5657" s="178"/>
      <c r="M5657" s="178"/>
      <c r="N5657" s="178"/>
      <c r="O5657" s="178"/>
      <c r="P5657" s="224"/>
      <c r="Q5657" s="224"/>
      <c r="R5657" s="224"/>
      <c r="S5657" s="224"/>
    </row>
    <row r="5658" spans="1:19" s="237" customFormat="1" x14ac:dyDescent="0.35">
      <c r="A5658" s="229"/>
      <c r="B5658" s="230"/>
      <c r="C5658" s="178"/>
      <c r="D5658" s="178"/>
      <c r="E5658" s="178"/>
      <c r="F5658" s="178"/>
      <c r="G5658" s="178"/>
      <c r="H5658" s="178"/>
      <c r="I5658" s="178"/>
      <c r="J5658" s="178"/>
      <c r="K5658" s="193"/>
      <c r="L5658" s="178"/>
      <c r="M5658" s="178"/>
      <c r="N5658" s="193">
        <v>10.3</v>
      </c>
      <c r="O5658" s="193"/>
      <c r="P5658" s="236"/>
      <c r="Q5658" s="236"/>
      <c r="R5658" s="236"/>
      <c r="S5658" s="236"/>
    </row>
    <row r="5659" spans="1:19" s="237" customFormat="1" x14ac:dyDescent="0.35">
      <c r="A5659" s="229"/>
      <c r="B5659" s="230"/>
      <c r="C5659" s="178"/>
      <c r="D5659" s="178"/>
      <c r="E5659" s="178"/>
      <c r="F5659" s="178"/>
      <c r="G5659" s="178"/>
      <c r="H5659" s="178"/>
      <c r="I5659" s="178"/>
      <c r="J5659" s="178"/>
      <c r="K5659" s="193"/>
      <c r="L5659" s="178"/>
      <c r="M5659" s="178"/>
      <c r="N5659" s="193"/>
      <c r="O5659" s="193"/>
      <c r="P5659" s="236"/>
      <c r="Q5659" s="236"/>
      <c r="R5659" s="236"/>
      <c r="S5659" s="236"/>
    </row>
    <row r="5660" spans="1:19" s="235" customFormat="1" x14ac:dyDescent="0.35">
      <c r="A5660" s="238"/>
      <c r="B5660" s="232" t="s">
        <v>5</v>
      </c>
      <c r="C5660" s="182" t="s">
        <v>1328</v>
      </c>
      <c r="D5660" s="182"/>
      <c r="E5660" s="196"/>
      <c r="F5660" s="182"/>
      <c r="G5660" s="182"/>
      <c r="H5660" s="182"/>
      <c r="I5660" s="182"/>
      <c r="J5660" s="182"/>
      <c r="K5660" s="196"/>
      <c r="L5660" s="182"/>
      <c r="M5660" s="182"/>
      <c r="N5660" s="196">
        <f>SUM(N5658:N5659)</f>
        <v>10.3</v>
      </c>
      <c r="O5660" s="196"/>
      <c r="P5660" s="224"/>
      <c r="Q5660" s="224"/>
      <c r="R5660" s="224"/>
      <c r="S5660" s="224"/>
    </row>
    <row r="5661" spans="1:19" s="235" customFormat="1" ht="21" x14ac:dyDescent="0.35">
      <c r="A5661" s="226" t="str">
        <f>ORÇAMENTO!A1028</f>
        <v xml:space="preserve"> 8.6.11</v>
      </c>
      <c r="B5661" s="227" t="str">
        <f>VLOOKUP(A5661,ORÇAMENTO!A:K,4,0)</f>
        <v>CHUMBADOR QUIMICO PARA ENGASTE EM CONCRETO</v>
      </c>
      <c r="C5661" s="173" t="str">
        <f>VLOOKUP(A5661,ORÇAMENTO!A:K,5,0)</f>
        <v>UN</v>
      </c>
      <c r="D5661" s="173">
        <f>SUM(E5665:O5665)</f>
        <v>80</v>
      </c>
      <c r="E5661" s="173" t="s">
        <v>1718</v>
      </c>
      <c r="F5661" s="173" t="s">
        <v>1719</v>
      </c>
      <c r="G5661" s="173" t="s">
        <v>1720</v>
      </c>
      <c r="H5661" s="173" t="s">
        <v>1721</v>
      </c>
      <c r="I5661" s="173" t="s">
        <v>1722</v>
      </c>
      <c r="J5661" s="173" t="s">
        <v>1723</v>
      </c>
      <c r="K5661" s="173" t="s">
        <v>1724</v>
      </c>
      <c r="L5661" s="173" t="s">
        <v>1726</v>
      </c>
      <c r="M5661" s="173" t="s">
        <v>1768</v>
      </c>
      <c r="N5661" s="173" t="s">
        <v>1727</v>
      </c>
      <c r="O5661" s="173" t="s">
        <v>1728</v>
      </c>
      <c r="P5661" s="224"/>
      <c r="Q5661" s="224"/>
      <c r="R5661" s="224"/>
      <c r="S5661" s="224"/>
    </row>
    <row r="5662" spans="1:19" s="235" customFormat="1" x14ac:dyDescent="0.35">
      <c r="A5662" s="229"/>
      <c r="B5662" s="232" t="s">
        <v>1934</v>
      </c>
      <c r="C5662" s="177"/>
      <c r="D5662" s="177"/>
      <c r="E5662" s="178"/>
      <c r="F5662" s="178"/>
      <c r="G5662" s="178"/>
      <c r="H5662" s="178"/>
      <c r="I5662" s="178"/>
      <c r="J5662" s="178"/>
      <c r="K5662" s="178"/>
      <c r="L5662" s="178"/>
      <c r="M5662" s="178"/>
      <c r="N5662" s="178"/>
      <c r="O5662" s="178"/>
      <c r="P5662" s="224"/>
      <c r="Q5662" s="224"/>
      <c r="R5662" s="224"/>
      <c r="S5662" s="224"/>
    </row>
    <row r="5663" spans="1:19" s="237" customFormat="1" x14ac:dyDescent="0.35">
      <c r="A5663" s="229"/>
      <c r="B5663" s="230"/>
      <c r="C5663" s="178"/>
      <c r="D5663" s="178"/>
      <c r="E5663" s="178"/>
      <c r="F5663" s="178"/>
      <c r="G5663" s="178"/>
      <c r="H5663" s="178"/>
      <c r="I5663" s="178"/>
      <c r="J5663" s="178"/>
      <c r="K5663" s="193"/>
      <c r="L5663" s="193">
        <v>80</v>
      </c>
      <c r="M5663" s="178"/>
      <c r="N5663" s="193"/>
      <c r="O5663" s="193"/>
      <c r="P5663" s="236"/>
      <c r="Q5663" s="236"/>
      <c r="R5663" s="236"/>
      <c r="S5663" s="236"/>
    </row>
    <row r="5664" spans="1:19" s="237" customFormat="1" x14ac:dyDescent="0.35">
      <c r="A5664" s="229"/>
      <c r="B5664" s="230"/>
      <c r="C5664" s="178"/>
      <c r="D5664" s="178"/>
      <c r="E5664" s="178"/>
      <c r="F5664" s="178"/>
      <c r="G5664" s="178"/>
      <c r="H5664" s="178"/>
      <c r="I5664" s="178"/>
      <c r="J5664" s="178"/>
      <c r="K5664" s="193"/>
      <c r="L5664" s="193"/>
      <c r="M5664" s="178"/>
      <c r="N5664" s="193"/>
      <c r="O5664" s="193"/>
      <c r="P5664" s="236"/>
      <c r="Q5664" s="236"/>
      <c r="R5664" s="236"/>
      <c r="S5664" s="236"/>
    </row>
    <row r="5665" spans="1:19" s="235" customFormat="1" x14ac:dyDescent="0.35">
      <c r="A5665" s="238"/>
      <c r="B5665" s="232" t="s">
        <v>5</v>
      </c>
      <c r="C5665" s="182" t="s">
        <v>1328</v>
      </c>
      <c r="D5665" s="182"/>
      <c r="E5665" s="196"/>
      <c r="F5665" s="182"/>
      <c r="G5665" s="182"/>
      <c r="H5665" s="182"/>
      <c r="I5665" s="182"/>
      <c r="J5665" s="182"/>
      <c r="K5665" s="196"/>
      <c r="L5665" s="196">
        <f>SUM(L5663:L5664)</f>
        <v>80</v>
      </c>
      <c r="M5665" s="182"/>
      <c r="N5665" s="196"/>
      <c r="O5665" s="196"/>
      <c r="P5665" s="224"/>
      <c r="Q5665" s="224"/>
      <c r="R5665" s="224"/>
      <c r="S5665" s="224"/>
    </row>
    <row r="5666" spans="1:19" s="225" customFormat="1" ht="10.5" x14ac:dyDescent="0.25">
      <c r="A5666" s="222" t="str">
        <f>ORÇAMENTO!A1029</f>
        <v xml:space="preserve"> 8.7 </v>
      </c>
      <c r="B5666" s="223" t="str">
        <f>VLOOKUP(A5666,ORÇAMENTO!A:K,4,0)</f>
        <v>POÇOS DE VISITA</v>
      </c>
      <c r="C5666" s="173" t="str">
        <f>VLOOKUP(A5666,ORÇAMENTO!A:K,5,0)</f>
        <v/>
      </c>
      <c r="D5666" s="167"/>
      <c r="E5666" s="168"/>
      <c r="F5666" s="168"/>
      <c r="G5666" s="168"/>
      <c r="H5666" s="168"/>
      <c r="I5666" s="168"/>
      <c r="J5666" s="168"/>
      <c r="K5666" s="168"/>
      <c r="L5666" s="168"/>
      <c r="M5666" s="168"/>
      <c r="N5666" s="168"/>
      <c r="O5666" s="168"/>
      <c r="P5666" s="224"/>
      <c r="Q5666" s="224"/>
    </row>
    <row r="5667" spans="1:19" s="228" customFormat="1" ht="21.75" customHeight="1" x14ac:dyDescent="0.25">
      <c r="A5667" s="226" t="str">
        <f>ORÇAMENTO!A1030</f>
        <v xml:space="preserve"> 8.7.1 </v>
      </c>
      <c r="B5667" s="227" t="str">
        <f>VLOOKUP(A5667,ORÇAMENTO!A:K,4,0)</f>
        <v>REVEST. PRIMARIO C CASCALHO OU SAIBRO C\ COMPACTACAO</v>
      </c>
      <c r="C5667" s="173" t="str">
        <f>VLOOKUP(A5667,ORÇAMENTO!A:K,5,0)</f>
        <v>M³</v>
      </c>
      <c r="D5667" s="173">
        <f>ROUND(SUM(E5672:O5672),2)</f>
        <v>1</v>
      </c>
      <c r="E5667" s="173" t="s">
        <v>1718</v>
      </c>
      <c r="F5667" s="173" t="s">
        <v>1719</v>
      </c>
      <c r="G5667" s="173" t="s">
        <v>1720</v>
      </c>
      <c r="H5667" s="173" t="s">
        <v>1721</v>
      </c>
      <c r="I5667" s="173" t="s">
        <v>1722</v>
      </c>
      <c r="J5667" s="173" t="s">
        <v>1723</v>
      </c>
      <c r="K5667" s="173" t="s">
        <v>1724</v>
      </c>
      <c r="L5667" s="173" t="s">
        <v>1804</v>
      </c>
      <c r="M5667" s="173" t="s">
        <v>1726</v>
      </c>
      <c r="N5667" s="173" t="s">
        <v>1809</v>
      </c>
      <c r="O5667" s="173" t="s">
        <v>1728</v>
      </c>
      <c r="P5667" s="224"/>
      <c r="Q5667" s="224"/>
    </row>
    <row r="5668" spans="1:19" s="225" customFormat="1" ht="10.5" x14ac:dyDescent="0.25">
      <c r="A5668" s="229"/>
      <c r="B5668" s="230" t="s">
        <v>1832</v>
      </c>
      <c r="C5668" s="184"/>
      <c r="D5668" s="185"/>
      <c r="E5668" s="185"/>
      <c r="F5668" s="185"/>
      <c r="G5668" s="185"/>
      <c r="H5668" s="185"/>
      <c r="I5668" s="185"/>
      <c r="J5668" s="185"/>
      <c r="K5668" s="185"/>
      <c r="L5668" s="185"/>
      <c r="M5668" s="185"/>
      <c r="N5668" s="205"/>
      <c r="O5668" s="185"/>
      <c r="P5668" s="231"/>
      <c r="Q5668" s="224"/>
    </row>
    <row r="5669" spans="1:19" s="225" customFormat="1" ht="10.5" x14ac:dyDescent="0.25">
      <c r="A5669" s="229"/>
      <c r="B5669" s="232" t="s">
        <v>1836</v>
      </c>
      <c r="C5669" s="184"/>
      <c r="D5669" s="185"/>
      <c r="E5669" s="185">
        <v>2.2400000000000002</v>
      </c>
      <c r="F5669" s="185">
        <v>2.2400000000000002</v>
      </c>
      <c r="G5669" s="185"/>
      <c r="H5669" s="185">
        <v>0.1</v>
      </c>
      <c r="I5669" s="185"/>
      <c r="J5669" s="185"/>
      <c r="K5669" s="185"/>
      <c r="L5669" s="185"/>
      <c r="M5669" s="185">
        <v>2</v>
      </c>
      <c r="N5669" s="205"/>
      <c r="O5669" s="185">
        <f t="shared" ref="O5669" si="207">M5669*E5669*F5669*H5669</f>
        <v>1.0035200000000002</v>
      </c>
      <c r="P5669" s="231"/>
      <c r="Q5669" s="224"/>
    </row>
    <row r="5670" spans="1:19" s="225" customFormat="1" ht="10.5" x14ac:dyDescent="0.25">
      <c r="A5670" s="229"/>
      <c r="B5670" s="230"/>
      <c r="C5670" s="184"/>
      <c r="D5670" s="185"/>
      <c r="E5670" s="185"/>
      <c r="F5670" s="185"/>
      <c r="G5670" s="185"/>
      <c r="H5670" s="185"/>
      <c r="I5670" s="185"/>
      <c r="J5670" s="185"/>
      <c r="K5670" s="185"/>
      <c r="L5670" s="185"/>
      <c r="M5670" s="185"/>
      <c r="N5670" s="205"/>
      <c r="O5670" s="185"/>
      <c r="P5670" s="231"/>
      <c r="Q5670" s="224"/>
    </row>
    <row r="5671" spans="1:19" s="225" customFormat="1" ht="10.5" x14ac:dyDescent="0.25">
      <c r="A5671" s="229"/>
      <c r="B5671" s="230"/>
      <c r="C5671" s="184"/>
      <c r="D5671" s="185"/>
      <c r="E5671" s="185"/>
      <c r="F5671" s="185"/>
      <c r="G5671" s="185"/>
      <c r="H5671" s="185"/>
      <c r="I5671" s="185"/>
      <c r="J5671" s="185"/>
      <c r="K5671" s="185"/>
      <c r="L5671" s="185"/>
      <c r="M5671" s="185"/>
      <c r="N5671" s="205"/>
      <c r="O5671" s="185"/>
      <c r="P5671" s="231"/>
      <c r="Q5671" s="224"/>
    </row>
    <row r="5672" spans="1:19" s="225" customFormat="1" ht="10.5" x14ac:dyDescent="0.25">
      <c r="A5672" s="229"/>
      <c r="B5672" s="232" t="s">
        <v>5</v>
      </c>
      <c r="C5672" s="182" t="s">
        <v>1328</v>
      </c>
      <c r="D5672" s="182"/>
      <c r="E5672" s="182"/>
      <c r="F5672" s="182"/>
      <c r="G5672" s="182"/>
      <c r="H5672" s="182"/>
      <c r="I5672" s="182"/>
      <c r="J5672" s="182"/>
      <c r="K5672" s="185"/>
      <c r="L5672" s="182"/>
      <c r="M5672" s="182"/>
      <c r="N5672" s="184"/>
      <c r="O5672" s="184">
        <f>SUM(O5669:O5670)</f>
        <v>1.0035200000000002</v>
      </c>
      <c r="P5672" s="233"/>
      <c r="Q5672" s="224"/>
    </row>
    <row r="5673" spans="1:19" s="228" customFormat="1" ht="42" x14ac:dyDescent="0.25">
      <c r="A5673" s="226" t="str">
        <f>ORÇAMENTO!A1031</f>
        <v xml:space="preserve"> 8.7.2</v>
      </c>
      <c r="B5673" s="227" t="str">
        <f>VLOOKUP(A5673,ORÇAMENTO!A:K,4,0)</f>
        <v>CONCRETO FCK = 15MPA, TRAÇO 1:3,4:3,5 (EM MASSA SECA DE CIMENTO/ AREIA MÉDIA/ BRITA 1) - PREPARO MECÂNICO COM BETONEIRA 600 L. AF_05/2021</v>
      </c>
      <c r="C5673" s="173" t="str">
        <f>VLOOKUP(A5673,ORÇAMENTO!A:K,5,0)</f>
        <v>M³</v>
      </c>
      <c r="D5673" s="173">
        <f>ROUND(SUM(E5679:O5679),2)</f>
        <v>2.2999999999999998</v>
      </c>
      <c r="E5673" s="173" t="s">
        <v>1718</v>
      </c>
      <c r="F5673" s="173" t="s">
        <v>1719</v>
      </c>
      <c r="G5673" s="173" t="s">
        <v>1720</v>
      </c>
      <c r="H5673" s="173" t="s">
        <v>1721</v>
      </c>
      <c r="I5673" s="173" t="s">
        <v>1722</v>
      </c>
      <c r="J5673" s="173" t="s">
        <v>1723</v>
      </c>
      <c r="K5673" s="173" t="s">
        <v>1724</v>
      </c>
      <c r="L5673" s="173" t="s">
        <v>1804</v>
      </c>
      <c r="M5673" s="173" t="s">
        <v>1726</v>
      </c>
      <c r="N5673" s="173" t="s">
        <v>1826</v>
      </c>
      <c r="O5673" s="173" t="s">
        <v>1728</v>
      </c>
      <c r="P5673" s="224"/>
      <c r="Q5673" s="224"/>
    </row>
    <row r="5674" spans="1:19" s="225" customFormat="1" ht="10.5" x14ac:dyDescent="0.25">
      <c r="A5674" s="229"/>
      <c r="B5674" s="230"/>
      <c r="C5674" s="177"/>
      <c r="D5674" s="178"/>
      <c r="E5674" s="178"/>
      <c r="F5674" s="178"/>
      <c r="G5674" s="178"/>
      <c r="H5674" s="178"/>
      <c r="I5674" s="178"/>
      <c r="J5674" s="178"/>
      <c r="K5674" s="178"/>
      <c r="L5674" s="178"/>
      <c r="M5674" s="178"/>
      <c r="N5674" s="200"/>
      <c r="O5674" s="178"/>
      <c r="P5674" s="231"/>
      <c r="Q5674" s="224"/>
    </row>
    <row r="5675" spans="1:19" s="228" customFormat="1" ht="10.5" x14ac:dyDescent="0.25">
      <c r="A5675" s="239"/>
      <c r="B5675" s="232" t="str">
        <f>B5669</f>
        <v>PV DN 1200</v>
      </c>
      <c r="C5675" s="177"/>
      <c r="D5675" s="177"/>
      <c r="E5675" s="177"/>
      <c r="F5675" s="177"/>
      <c r="G5675" s="177"/>
      <c r="H5675" s="177"/>
      <c r="I5675" s="177"/>
      <c r="J5675" s="177"/>
      <c r="K5675" s="177"/>
      <c r="L5675" s="177"/>
      <c r="M5675" s="177"/>
      <c r="N5675" s="202"/>
      <c r="O5675" s="177"/>
      <c r="P5675" s="231"/>
      <c r="Q5675" s="224"/>
    </row>
    <row r="5676" spans="1:19" s="225" customFormat="1" ht="10.5" x14ac:dyDescent="0.25">
      <c r="A5676" s="229"/>
      <c r="B5676" s="230" t="s">
        <v>1838</v>
      </c>
      <c r="C5676" s="177"/>
      <c r="D5676" s="178"/>
      <c r="E5676" s="178">
        <f>E5683</f>
        <v>2.04</v>
      </c>
      <c r="F5676" s="178">
        <f>F5683</f>
        <v>2.04</v>
      </c>
      <c r="G5676" s="178"/>
      <c r="H5676" s="178">
        <v>0.05</v>
      </c>
      <c r="I5676" s="178"/>
      <c r="J5676" s="178"/>
      <c r="K5676" s="178"/>
      <c r="L5676" s="178"/>
      <c r="M5676" s="178">
        <f>M5669</f>
        <v>2</v>
      </c>
      <c r="N5676" s="200"/>
      <c r="O5676" s="178">
        <f>M5676*E5676*F5676*H5676</f>
        <v>0.41616000000000003</v>
      </c>
      <c r="P5676" s="231"/>
      <c r="Q5676" s="224"/>
    </row>
    <row r="5677" spans="1:19" s="225" customFormat="1" ht="10.5" x14ac:dyDescent="0.25">
      <c r="A5677" s="229"/>
      <c r="B5677" s="230" t="s">
        <v>1839</v>
      </c>
      <c r="C5677" s="177"/>
      <c r="D5677" s="178"/>
      <c r="E5677" s="178">
        <f>F5684</f>
        <v>1.8</v>
      </c>
      <c r="F5677" s="178">
        <f>F5684</f>
        <v>1.8</v>
      </c>
      <c r="G5677" s="178"/>
      <c r="H5677" s="178">
        <v>0.28999999999999998</v>
      </c>
      <c r="I5677" s="178"/>
      <c r="J5677" s="178"/>
      <c r="K5677" s="178"/>
      <c r="L5677" s="178"/>
      <c r="M5677" s="178">
        <f>M5676</f>
        <v>2</v>
      </c>
      <c r="N5677" s="200"/>
      <c r="O5677" s="178">
        <f>M5677*E5677*F5677*H5677</f>
        <v>1.8792</v>
      </c>
      <c r="P5677" s="231"/>
      <c r="Q5677" s="224"/>
    </row>
    <row r="5678" spans="1:19" s="225" customFormat="1" ht="10.5" x14ac:dyDescent="0.25">
      <c r="A5678" s="229"/>
      <c r="B5678" s="230"/>
      <c r="C5678" s="177"/>
      <c r="D5678" s="178"/>
      <c r="E5678" s="178"/>
      <c r="F5678" s="178"/>
      <c r="G5678" s="178"/>
      <c r="H5678" s="178"/>
      <c r="I5678" s="178"/>
      <c r="J5678" s="178"/>
      <c r="K5678" s="178"/>
      <c r="L5678" s="178"/>
      <c r="M5678" s="178"/>
      <c r="N5678" s="200"/>
      <c r="O5678" s="178"/>
      <c r="P5678" s="231"/>
      <c r="Q5678" s="224"/>
    </row>
    <row r="5679" spans="1:19" s="225" customFormat="1" ht="10.5" x14ac:dyDescent="0.25">
      <c r="A5679" s="229"/>
      <c r="B5679" s="232" t="s">
        <v>5</v>
      </c>
      <c r="C5679" s="182" t="s">
        <v>1328</v>
      </c>
      <c r="D5679" s="182"/>
      <c r="E5679" s="182"/>
      <c r="F5679" s="182"/>
      <c r="G5679" s="182"/>
      <c r="H5679" s="182"/>
      <c r="I5679" s="182"/>
      <c r="J5679" s="182"/>
      <c r="K5679" s="178"/>
      <c r="L5679" s="182"/>
      <c r="M5679" s="182"/>
      <c r="N5679" s="177"/>
      <c r="O5679" s="177">
        <f>SUM(O5674:O5678)</f>
        <v>2.2953600000000001</v>
      </c>
      <c r="P5679" s="233"/>
      <c r="Q5679" s="224"/>
    </row>
    <row r="5680" spans="1:19" s="228" customFormat="1" ht="21.75" customHeight="1" x14ac:dyDescent="0.25">
      <c r="A5680" s="226" t="str">
        <f>ORÇAMENTO!A1032</f>
        <v xml:space="preserve"> 8.7.3</v>
      </c>
      <c r="B5680" s="227" t="str">
        <f>VLOOKUP(A5680,ORÇAMENTO!A:K,4,0)</f>
        <v>CONCRETO FCK = 25MPA, TRAÇO 1:2,3:2,7 (EM MASSA SECA DE CIMENTO/ AREIA MÉDIA/ BRITA 1) - PREPARO MECÂNICO COM BETONEIRA 600 L. AF_05/2021</v>
      </c>
      <c r="C5680" s="173" t="str">
        <f>VLOOKUP(A5680,ORÇAMENTO!A:K,5,0)</f>
        <v>M³</v>
      </c>
      <c r="D5680" s="173">
        <f>ROUND(SUM(E5687:O5687),2)</f>
        <v>6.33</v>
      </c>
      <c r="E5680" s="173" t="s">
        <v>1718</v>
      </c>
      <c r="F5680" s="173" t="s">
        <v>1719</v>
      </c>
      <c r="G5680" s="173" t="s">
        <v>1720</v>
      </c>
      <c r="H5680" s="173" t="s">
        <v>1721</v>
      </c>
      <c r="I5680" s="173" t="s">
        <v>1722</v>
      </c>
      <c r="J5680" s="173" t="s">
        <v>1723</v>
      </c>
      <c r="K5680" s="173" t="s">
        <v>1724</v>
      </c>
      <c r="L5680" s="173" t="s">
        <v>1804</v>
      </c>
      <c r="M5680" s="173" t="s">
        <v>1726</v>
      </c>
      <c r="N5680" s="173" t="s">
        <v>1809</v>
      </c>
      <c r="O5680" s="173" t="s">
        <v>1728</v>
      </c>
      <c r="P5680" s="224"/>
      <c r="Q5680" s="224"/>
    </row>
    <row r="5681" spans="1:17" s="225" customFormat="1" ht="10.5" x14ac:dyDescent="0.25">
      <c r="A5681" s="229"/>
      <c r="B5681" s="230"/>
      <c r="C5681" s="177"/>
      <c r="D5681" s="178"/>
      <c r="E5681" s="178"/>
      <c r="F5681" s="178"/>
      <c r="G5681" s="178"/>
      <c r="H5681" s="178"/>
      <c r="I5681" s="178"/>
      <c r="J5681" s="178"/>
      <c r="K5681" s="178"/>
      <c r="L5681" s="178"/>
      <c r="M5681" s="178"/>
      <c r="N5681" s="200"/>
      <c r="O5681" s="178"/>
      <c r="P5681" s="231"/>
      <c r="Q5681" s="224"/>
    </row>
    <row r="5682" spans="1:17" s="228" customFormat="1" ht="10.5" x14ac:dyDescent="0.25">
      <c r="A5682" s="239"/>
      <c r="B5682" s="232" t="str">
        <f>B5675</f>
        <v>PV DN 1200</v>
      </c>
      <c r="C5682" s="184"/>
      <c r="D5682" s="184"/>
      <c r="E5682" s="184">
        <v>2.04</v>
      </c>
      <c r="F5682" s="184">
        <v>2.04</v>
      </c>
      <c r="G5682" s="184"/>
      <c r="H5682" s="184"/>
      <c r="I5682" s="184"/>
      <c r="J5682" s="184"/>
      <c r="K5682" s="184"/>
      <c r="L5682" s="184"/>
      <c r="M5682" s="184"/>
      <c r="N5682" s="206"/>
      <c r="O5682" s="184"/>
      <c r="P5682" s="231"/>
      <c r="Q5682" s="224"/>
    </row>
    <row r="5683" spans="1:17" s="225" customFormat="1" ht="10.5" x14ac:dyDescent="0.25">
      <c r="A5683" s="229"/>
      <c r="B5683" s="230" t="s">
        <v>1840</v>
      </c>
      <c r="C5683" s="184"/>
      <c r="D5683" s="185"/>
      <c r="E5683" s="185">
        <f>E5682</f>
        <v>2.04</v>
      </c>
      <c r="F5683" s="185">
        <f>F5682</f>
        <v>2.04</v>
      </c>
      <c r="G5683" s="185"/>
      <c r="H5683" s="185">
        <v>0.1</v>
      </c>
      <c r="I5683" s="185"/>
      <c r="J5683" s="185"/>
      <c r="K5683" s="185"/>
      <c r="L5683" s="185"/>
      <c r="M5683" s="185">
        <f>M5676</f>
        <v>2</v>
      </c>
      <c r="N5683" s="205"/>
      <c r="O5683" s="185">
        <f>E5683*F5683*H5683*M5683</f>
        <v>0.83232000000000006</v>
      </c>
      <c r="P5683" s="231"/>
      <c r="Q5683" s="224"/>
    </row>
    <row r="5684" spans="1:17" s="225" customFormat="1" ht="10.5" x14ac:dyDescent="0.25">
      <c r="A5684" s="229"/>
      <c r="B5684" s="230" t="s">
        <v>1841</v>
      </c>
      <c r="C5684" s="177"/>
      <c r="D5684" s="178"/>
      <c r="E5684" s="178">
        <f>E5683</f>
        <v>2.04</v>
      </c>
      <c r="F5684" s="178">
        <f>F5683-2*H5684</f>
        <v>1.8</v>
      </c>
      <c r="G5684" s="178">
        <v>2</v>
      </c>
      <c r="H5684" s="178">
        <v>0.12</v>
      </c>
      <c r="I5684" s="178">
        <f>2*(E5684+F5684)</f>
        <v>7.68</v>
      </c>
      <c r="J5684" s="178"/>
      <c r="K5684" s="178"/>
      <c r="L5684" s="178"/>
      <c r="M5684" s="178">
        <f>M5683</f>
        <v>2</v>
      </c>
      <c r="N5684" s="200"/>
      <c r="O5684" s="178">
        <f>M5684*I5684*G5684*H5684</f>
        <v>3.6863999999999999</v>
      </c>
      <c r="P5684" s="231"/>
      <c r="Q5684" s="224"/>
    </row>
    <row r="5685" spans="1:17" s="225" customFormat="1" ht="10.5" x14ac:dyDescent="0.25">
      <c r="A5685" s="229"/>
      <c r="B5685" s="230" t="s">
        <v>1823</v>
      </c>
      <c r="C5685" s="177"/>
      <c r="D5685" s="178"/>
      <c r="E5685" s="178">
        <f>F5684</f>
        <v>1.8</v>
      </c>
      <c r="F5685" s="178">
        <f>F5684</f>
        <v>1.8</v>
      </c>
      <c r="G5685" s="178"/>
      <c r="H5685" s="178">
        <v>0.28000000000000003</v>
      </c>
      <c r="I5685" s="178"/>
      <c r="J5685" s="178"/>
      <c r="K5685" s="178"/>
      <c r="L5685" s="178"/>
      <c r="M5685" s="178">
        <f>M5684</f>
        <v>2</v>
      </c>
      <c r="N5685" s="200"/>
      <c r="O5685" s="178">
        <f>M5685*H5685*F5685*E5685</f>
        <v>1.8144000000000005</v>
      </c>
      <c r="P5685" s="231"/>
      <c r="Q5685" s="224"/>
    </row>
    <row r="5686" spans="1:17" s="225" customFormat="1" ht="10.5" x14ac:dyDescent="0.25">
      <c r="A5686" s="229"/>
      <c r="B5686" s="230"/>
      <c r="C5686" s="184"/>
      <c r="D5686" s="185"/>
      <c r="E5686" s="185"/>
      <c r="F5686" s="185"/>
      <c r="G5686" s="185"/>
      <c r="H5686" s="185"/>
      <c r="I5686" s="185"/>
      <c r="J5686" s="185"/>
      <c r="K5686" s="185"/>
      <c r="L5686" s="185"/>
      <c r="M5686" s="185"/>
      <c r="N5686" s="205"/>
      <c r="O5686" s="185"/>
      <c r="P5686" s="231"/>
      <c r="Q5686" s="224"/>
    </row>
    <row r="5687" spans="1:17" s="225" customFormat="1" ht="10.5" x14ac:dyDescent="0.25">
      <c r="A5687" s="229"/>
      <c r="B5687" s="232" t="s">
        <v>5</v>
      </c>
      <c r="C5687" s="182" t="s">
        <v>1328</v>
      </c>
      <c r="D5687" s="182"/>
      <c r="E5687" s="182"/>
      <c r="F5687" s="182"/>
      <c r="G5687" s="182"/>
      <c r="H5687" s="182"/>
      <c r="I5687" s="182"/>
      <c r="J5687" s="182"/>
      <c r="K5687" s="185"/>
      <c r="L5687" s="182"/>
      <c r="M5687" s="182"/>
      <c r="N5687" s="184"/>
      <c r="O5687" s="184">
        <f>SUM(O5681:O5686)</f>
        <v>6.333120000000001</v>
      </c>
      <c r="P5687" s="233"/>
      <c r="Q5687" s="224"/>
    </row>
    <row r="5688" spans="1:17" s="228" customFormat="1" ht="21.75" customHeight="1" x14ac:dyDescent="0.25">
      <c r="A5688" s="226" t="str">
        <f>ORÇAMENTO!A1033</f>
        <v xml:space="preserve"> 8.7.4</v>
      </c>
      <c r="B5688" s="227" t="str">
        <f>VLOOKUP(A5688,ORÇAMENTO!A:K,4,0)</f>
        <v>FÔRMAS DE TÁBUAS DE PINHO PARA DISPOSITIVOS DE DRENAGEM - UTILIZAÇÃO DE 3 VEZES - CONFECÇÃO, INSTALAÇÃO E RETIRADA</v>
      </c>
      <c r="C5688" s="173" t="str">
        <f>VLOOKUP(A5688,ORÇAMENTO!A:K,5,0)</f>
        <v>M²</v>
      </c>
      <c r="D5688" s="173">
        <f>ROUND(SUM(E5695:O5695),2)</f>
        <v>73.8</v>
      </c>
      <c r="E5688" s="173" t="s">
        <v>1718</v>
      </c>
      <c r="F5688" s="173" t="s">
        <v>1719</v>
      </c>
      <c r="G5688" s="173" t="s">
        <v>1720</v>
      </c>
      <c r="H5688" s="173" t="s">
        <v>1721</v>
      </c>
      <c r="I5688" s="173" t="s">
        <v>1722</v>
      </c>
      <c r="J5688" s="173" t="s">
        <v>1723</v>
      </c>
      <c r="K5688" s="173" t="s">
        <v>1724</v>
      </c>
      <c r="L5688" s="173" t="s">
        <v>1804</v>
      </c>
      <c r="M5688" s="173" t="s">
        <v>1726</v>
      </c>
      <c r="N5688" s="173" t="s">
        <v>1826</v>
      </c>
      <c r="O5688" s="173" t="s">
        <v>1728</v>
      </c>
      <c r="P5688" s="224"/>
      <c r="Q5688" s="224"/>
    </row>
    <row r="5689" spans="1:17" s="225" customFormat="1" ht="10.5" x14ac:dyDescent="0.25">
      <c r="A5689" s="229"/>
      <c r="B5689" s="230"/>
      <c r="C5689" s="184"/>
      <c r="D5689" s="185"/>
      <c r="E5689" s="178"/>
      <c r="F5689" s="178"/>
      <c r="G5689" s="185"/>
      <c r="H5689" s="185"/>
      <c r="I5689" s="185"/>
      <c r="J5689" s="185"/>
      <c r="K5689" s="185"/>
      <c r="L5689" s="185"/>
      <c r="M5689" s="185"/>
      <c r="N5689" s="205"/>
      <c r="O5689" s="185"/>
      <c r="P5689" s="231"/>
      <c r="Q5689" s="224"/>
    </row>
    <row r="5690" spans="1:17" s="228" customFormat="1" ht="10.5" x14ac:dyDescent="0.25">
      <c r="A5690" s="239"/>
      <c r="B5690" s="232" t="str">
        <f>B5682</f>
        <v>PV DN 1200</v>
      </c>
      <c r="C5690" s="184"/>
      <c r="D5690" s="184"/>
      <c r="E5690" s="184">
        <f t="shared" ref="E5690:I5693" si="208">E5682</f>
        <v>2.04</v>
      </c>
      <c r="F5690" s="184">
        <f t="shared" si="208"/>
        <v>2.04</v>
      </c>
      <c r="G5690" s="184"/>
      <c r="H5690" s="184"/>
      <c r="I5690" s="184"/>
      <c r="J5690" s="184"/>
      <c r="K5690" s="184"/>
      <c r="L5690" s="184"/>
      <c r="M5690" s="184"/>
      <c r="N5690" s="206"/>
      <c r="O5690" s="184"/>
      <c r="P5690" s="231"/>
      <c r="Q5690" s="224"/>
    </row>
    <row r="5691" spans="1:17" s="225" customFormat="1" ht="10.5" x14ac:dyDescent="0.25">
      <c r="A5691" s="229"/>
      <c r="B5691" s="230" t="str">
        <f>B5683</f>
        <v>TAMPA</v>
      </c>
      <c r="C5691" s="184"/>
      <c r="D5691" s="185"/>
      <c r="E5691" s="185">
        <f t="shared" si="208"/>
        <v>2.04</v>
      </c>
      <c r="F5691" s="185">
        <f t="shared" si="208"/>
        <v>2.04</v>
      </c>
      <c r="G5691" s="185"/>
      <c r="H5691" s="185"/>
      <c r="I5691" s="185"/>
      <c r="J5691" s="185"/>
      <c r="K5691" s="185"/>
      <c r="L5691" s="185"/>
      <c r="M5691" s="185">
        <f t="shared" ref="M5691:M5693" si="209">M5683</f>
        <v>2</v>
      </c>
      <c r="N5691" s="205">
        <f>M5691*I5691*H5691+M5691*F5691*E5691</f>
        <v>8.3231999999999999</v>
      </c>
      <c r="O5691" s="185"/>
      <c r="P5691" s="231"/>
      <c r="Q5691" s="224"/>
    </row>
    <row r="5692" spans="1:17" s="225" customFormat="1" ht="10.5" x14ac:dyDescent="0.25">
      <c r="A5692" s="229"/>
      <c r="B5692" s="230" t="str">
        <f>B5684</f>
        <v>PAREDES</v>
      </c>
      <c r="C5692" s="184"/>
      <c r="D5692" s="185"/>
      <c r="E5692" s="178">
        <f t="shared" si="208"/>
        <v>2.04</v>
      </c>
      <c r="F5692" s="178">
        <f t="shared" si="208"/>
        <v>1.8</v>
      </c>
      <c r="G5692" s="178">
        <f t="shared" si="208"/>
        <v>2</v>
      </c>
      <c r="H5692" s="178">
        <f t="shared" si="208"/>
        <v>0.12</v>
      </c>
      <c r="I5692" s="178">
        <f t="shared" si="208"/>
        <v>7.68</v>
      </c>
      <c r="J5692" s="185"/>
      <c r="K5692" s="185"/>
      <c r="L5692" s="185"/>
      <c r="M5692" s="185">
        <f t="shared" si="209"/>
        <v>2</v>
      </c>
      <c r="N5692" s="205">
        <f>2*M5692*I5692*G5692</f>
        <v>61.44</v>
      </c>
      <c r="O5692" s="185"/>
      <c r="P5692" s="231"/>
      <c r="Q5692" s="224"/>
    </row>
    <row r="5693" spans="1:17" s="225" customFormat="1" ht="10.5" x14ac:dyDescent="0.25">
      <c r="A5693" s="229"/>
      <c r="B5693" s="230" t="str">
        <f>B5685</f>
        <v>FUNDO</v>
      </c>
      <c r="C5693" s="184"/>
      <c r="D5693" s="185"/>
      <c r="E5693" s="178">
        <f t="shared" si="208"/>
        <v>1.8</v>
      </c>
      <c r="F5693" s="178">
        <f t="shared" si="208"/>
        <v>1.8</v>
      </c>
      <c r="G5693" s="185"/>
      <c r="H5693" s="185">
        <f t="shared" si="208"/>
        <v>0.28000000000000003</v>
      </c>
      <c r="I5693" s="185">
        <f>2*(E5693+F5693)</f>
        <v>7.2</v>
      </c>
      <c r="J5693" s="185"/>
      <c r="K5693" s="185"/>
      <c r="L5693" s="185"/>
      <c r="M5693" s="185">
        <f t="shared" si="209"/>
        <v>2</v>
      </c>
      <c r="N5693" s="205">
        <f>M5693*I5693*H5693</f>
        <v>4.0320000000000009</v>
      </c>
      <c r="O5693" s="185"/>
      <c r="P5693" s="231"/>
      <c r="Q5693" s="224"/>
    </row>
    <row r="5694" spans="1:17" s="225" customFormat="1" ht="10.5" x14ac:dyDescent="0.25">
      <c r="A5694" s="229"/>
      <c r="B5694" s="230"/>
      <c r="C5694" s="184"/>
      <c r="D5694" s="185"/>
      <c r="E5694" s="185"/>
      <c r="F5694" s="185"/>
      <c r="G5694" s="185"/>
      <c r="H5694" s="185"/>
      <c r="I5694" s="185">
        <f>(137.5-4)/24</f>
        <v>5.5625</v>
      </c>
      <c r="J5694" s="185"/>
      <c r="K5694" s="185"/>
      <c r="L5694" s="185"/>
      <c r="M5694" s="185"/>
      <c r="N5694" s="205"/>
      <c r="O5694" s="185"/>
      <c r="P5694" s="231"/>
      <c r="Q5694" s="224"/>
    </row>
    <row r="5695" spans="1:17" s="225" customFormat="1" ht="10.5" x14ac:dyDescent="0.25">
      <c r="A5695" s="229"/>
      <c r="B5695" s="232" t="s">
        <v>5</v>
      </c>
      <c r="C5695" s="182" t="s">
        <v>1328</v>
      </c>
      <c r="D5695" s="182"/>
      <c r="E5695" s="182"/>
      <c r="F5695" s="182"/>
      <c r="G5695" s="182"/>
      <c r="H5695" s="182"/>
      <c r="I5695" s="182"/>
      <c r="J5695" s="182"/>
      <c r="K5695" s="184"/>
      <c r="L5695" s="182"/>
      <c r="M5695" s="182"/>
      <c r="N5695" s="184">
        <f>SUM(N5689:N5694)</f>
        <v>73.795199999999994</v>
      </c>
      <c r="O5695" s="184"/>
      <c r="P5695" s="233"/>
      <c r="Q5695" s="224"/>
    </row>
    <row r="5696" spans="1:17" s="228" customFormat="1" ht="21.75" customHeight="1" x14ac:dyDescent="0.25">
      <c r="A5696" s="226" t="str">
        <f>ORÇAMENTO!A1034</f>
        <v xml:space="preserve"> 8.7.5</v>
      </c>
      <c r="B5696" s="227" t="str">
        <f>VLOOKUP(A5696,ORÇAMENTO!A:K,4,0)</f>
        <v>LANÇAMENTO COM USO DE BALDES, ADENSAMENTO E ACABAMENTO DE CONCRETO EM ESTRUTURAS. AF_02/2022</v>
      </c>
      <c r="C5696" s="173" t="str">
        <f>VLOOKUP(A5696,ORÇAMENTO!A:K,5,0)</f>
        <v>M³</v>
      </c>
      <c r="D5696" s="173">
        <f>ROUND(SUM(E5700:O5700),2)</f>
        <v>8.6300000000000008</v>
      </c>
      <c r="E5696" s="173" t="s">
        <v>1718</v>
      </c>
      <c r="F5696" s="173" t="s">
        <v>1719</v>
      </c>
      <c r="G5696" s="173" t="s">
        <v>1720</v>
      </c>
      <c r="H5696" s="173" t="s">
        <v>1721</v>
      </c>
      <c r="I5696" s="173" t="s">
        <v>1722</v>
      </c>
      <c r="J5696" s="173" t="s">
        <v>1723</v>
      </c>
      <c r="K5696" s="173" t="s">
        <v>1724</v>
      </c>
      <c r="L5696" s="173" t="s">
        <v>1804</v>
      </c>
      <c r="M5696" s="173" t="s">
        <v>1726</v>
      </c>
      <c r="N5696" s="173" t="s">
        <v>1809</v>
      </c>
      <c r="O5696" s="173" t="s">
        <v>1728</v>
      </c>
      <c r="P5696" s="224"/>
      <c r="Q5696" s="224"/>
    </row>
    <row r="5697" spans="1:17" s="225" customFormat="1" ht="42" x14ac:dyDescent="0.25">
      <c r="A5697" s="229"/>
      <c r="B5697" s="230" t="str">
        <f>B5673</f>
        <v>CONCRETO FCK = 15MPA, TRAÇO 1:3,4:3,5 (EM MASSA SECA DE CIMENTO/ AREIA MÉDIA/ BRITA 1) - PREPARO MECÂNICO COM BETONEIRA 600 L. AF_05/2021</v>
      </c>
      <c r="C5697" s="184"/>
      <c r="D5697" s="185"/>
      <c r="E5697" s="185"/>
      <c r="F5697" s="185"/>
      <c r="G5697" s="185"/>
      <c r="H5697" s="185"/>
      <c r="I5697" s="185"/>
      <c r="J5697" s="185"/>
      <c r="K5697" s="185"/>
      <c r="L5697" s="185"/>
      <c r="M5697" s="185"/>
      <c r="N5697" s="205"/>
      <c r="O5697" s="185">
        <f>O5679</f>
        <v>2.2953600000000001</v>
      </c>
      <c r="P5697" s="231"/>
      <c r="Q5697" s="224"/>
    </row>
    <row r="5698" spans="1:17" s="225" customFormat="1" ht="42" x14ac:dyDescent="0.25">
      <c r="A5698" s="229"/>
      <c r="B5698" s="230" t="str">
        <f>B5680</f>
        <v>CONCRETO FCK = 25MPA, TRAÇO 1:2,3:2,7 (EM MASSA SECA DE CIMENTO/ AREIA MÉDIA/ BRITA 1) - PREPARO MECÂNICO COM BETONEIRA 600 L. AF_05/2021</v>
      </c>
      <c r="C5698" s="184"/>
      <c r="D5698" s="185"/>
      <c r="E5698" s="185"/>
      <c r="F5698" s="185"/>
      <c r="G5698" s="185"/>
      <c r="H5698" s="185"/>
      <c r="I5698" s="185"/>
      <c r="J5698" s="185"/>
      <c r="K5698" s="185"/>
      <c r="L5698" s="185"/>
      <c r="M5698" s="185"/>
      <c r="N5698" s="205"/>
      <c r="O5698" s="185">
        <f>O5687</f>
        <v>6.333120000000001</v>
      </c>
      <c r="P5698" s="231"/>
      <c r="Q5698" s="224"/>
    </row>
    <row r="5699" spans="1:17" s="225" customFormat="1" ht="10.5" x14ac:dyDescent="0.25">
      <c r="A5699" s="229"/>
      <c r="B5699" s="230"/>
      <c r="C5699" s="184"/>
      <c r="D5699" s="185"/>
      <c r="E5699" s="185"/>
      <c r="F5699" s="185"/>
      <c r="G5699" s="185"/>
      <c r="H5699" s="185"/>
      <c r="I5699" s="185"/>
      <c r="J5699" s="185"/>
      <c r="K5699" s="185"/>
      <c r="L5699" s="185"/>
      <c r="M5699" s="185"/>
      <c r="N5699" s="205"/>
      <c r="O5699" s="185"/>
      <c r="P5699" s="231"/>
      <c r="Q5699" s="224"/>
    </row>
    <row r="5700" spans="1:17" s="225" customFormat="1" ht="10.5" x14ac:dyDescent="0.25">
      <c r="A5700" s="229"/>
      <c r="B5700" s="232" t="s">
        <v>5</v>
      </c>
      <c r="C5700" s="182" t="s">
        <v>1328</v>
      </c>
      <c r="D5700" s="182"/>
      <c r="E5700" s="182"/>
      <c r="F5700" s="182"/>
      <c r="G5700" s="182"/>
      <c r="H5700" s="182"/>
      <c r="I5700" s="182"/>
      <c r="J5700" s="182"/>
      <c r="K5700" s="184"/>
      <c r="L5700" s="182"/>
      <c r="M5700" s="182"/>
      <c r="N5700" s="184"/>
      <c r="O5700" s="184">
        <f>SUM(O5697:O5699)</f>
        <v>8.6284800000000015</v>
      </c>
      <c r="P5700" s="233"/>
      <c r="Q5700" s="224"/>
    </row>
    <row r="5701" spans="1:17" s="228" customFormat="1" ht="21.75" customHeight="1" x14ac:dyDescent="0.25">
      <c r="A5701" s="226" t="str">
        <f>ORÇAMENTO!A1035</f>
        <v xml:space="preserve"> 8.7.6</v>
      </c>
      <c r="B5701" s="227" t="str">
        <f>VLOOKUP(A5701,ORÇAMENTO!A:K,4,0)</f>
        <v>ARMAÇÃO EM AÇO CA-50 - FORNECIMENTO, PREPARO E COLOCAÇÃO</v>
      </c>
      <c r="C5701" s="173" t="str">
        <f>VLOOKUP(A5701,ORÇAMENTO!A:K,5,0)</f>
        <v>KG</v>
      </c>
      <c r="D5701" s="173">
        <f>ROUND(SUM(E5705:O5705),2)</f>
        <v>308.12</v>
      </c>
      <c r="E5701" s="173" t="s">
        <v>1718</v>
      </c>
      <c r="F5701" s="173" t="s">
        <v>1719</v>
      </c>
      <c r="G5701" s="173" t="s">
        <v>1720</v>
      </c>
      <c r="H5701" s="173" t="s">
        <v>1721</v>
      </c>
      <c r="I5701" s="173" t="s">
        <v>1722</v>
      </c>
      <c r="J5701" s="173" t="s">
        <v>1723</v>
      </c>
      <c r="K5701" s="173" t="s">
        <v>1724</v>
      </c>
      <c r="L5701" s="173" t="s">
        <v>1804</v>
      </c>
      <c r="M5701" s="173" t="s">
        <v>1726</v>
      </c>
      <c r="N5701" s="173" t="s">
        <v>1809</v>
      </c>
      <c r="O5701" s="173" t="s">
        <v>1728</v>
      </c>
      <c r="P5701" s="224"/>
      <c r="Q5701" s="224"/>
    </row>
    <row r="5702" spans="1:17" s="225" customFormat="1" ht="10.5" x14ac:dyDescent="0.25">
      <c r="A5702" s="229"/>
      <c r="B5702" s="230"/>
      <c r="C5702" s="184"/>
      <c r="D5702" s="185"/>
      <c r="E5702" s="185"/>
      <c r="F5702" s="185"/>
      <c r="G5702" s="185"/>
      <c r="H5702" s="185"/>
      <c r="I5702" s="185"/>
      <c r="J5702" s="185"/>
      <c r="K5702" s="185"/>
      <c r="L5702" s="185"/>
      <c r="M5702" s="185"/>
      <c r="N5702" s="205"/>
      <c r="O5702" s="185"/>
      <c r="P5702" s="231"/>
      <c r="Q5702" s="224"/>
    </row>
    <row r="5703" spans="1:17" s="225" customFormat="1" ht="10.5" x14ac:dyDescent="0.25">
      <c r="A5703" s="229"/>
      <c r="B5703" s="230" t="str">
        <f>B5682</f>
        <v>PV DN 1200</v>
      </c>
      <c r="C5703" s="184"/>
      <c r="D5703" s="185"/>
      <c r="E5703" s="185"/>
      <c r="F5703" s="185"/>
      <c r="G5703" s="185"/>
      <c r="H5703" s="185"/>
      <c r="I5703" s="185"/>
      <c r="J5703" s="185"/>
      <c r="K5703" s="185">
        <f>154.06*M5703</f>
        <v>308.12</v>
      </c>
      <c r="L5703" s="185"/>
      <c r="M5703" s="185">
        <f>M5669</f>
        <v>2</v>
      </c>
      <c r="N5703" s="205"/>
      <c r="O5703" s="185"/>
      <c r="P5703" s="231"/>
      <c r="Q5703" s="224"/>
    </row>
    <row r="5704" spans="1:17" s="225" customFormat="1" ht="10.5" x14ac:dyDescent="0.25">
      <c r="A5704" s="229"/>
      <c r="B5704" s="230"/>
      <c r="C5704" s="184"/>
      <c r="D5704" s="185"/>
      <c r="E5704" s="185"/>
      <c r="F5704" s="185"/>
      <c r="G5704" s="185"/>
      <c r="H5704" s="185"/>
      <c r="I5704" s="185"/>
      <c r="J5704" s="185"/>
      <c r="K5704" s="185"/>
      <c r="L5704" s="185"/>
      <c r="M5704" s="185"/>
      <c r="N5704" s="205"/>
      <c r="O5704" s="185"/>
      <c r="P5704" s="231"/>
      <c r="Q5704" s="224"/>
    </row>
    <row r="5705" spans="1:17" s="225" customFormat="1" ht="10.5" x14ac:dyDescent="0.25">
      <c r="A5705" s="229"/>
      <c r="B5705" s="232" t="s">
        <v>5</v>
      </c>
      <c r="C5705" s="182" t="s">
        <v>1328</v>
      </c>
      <c r="D5705" s="182"/>
      <c r="E5705" s="182"/>
      <c r="F5705" s="182"/>
      <c r="G5705" s="182"/>
      <c r="H5705" s="182"/>
      <c r="I5705" s="182"/>
      <c r="J5705" s="182"/>
      <c r="K5705" s="184">
        <f>SUM(K5702:K5704)</f>
        <v>308.12</v>
      </c>
      <c r="L5705" s="182"/>
      <c r="M5705" s="182"/>
      <c r="N5705" s="184"/>
      <c r="O5705" s="182"/>
      <c r="P5705" s="233"/>
      <c r="Q5705" s="224"/>
    </row>
    <row r="5706" spans="1:17" s="225" customFormat="1" ht="10.5" x14ac:dyDescent="0.25">
      <c r="A5706" s="222" t="str">
        <f>ORÇAMENTO!A1036</f>
        <v xml:space="preserve"> 8.8 </v>
      </c>
      <c r="B5706" s="223" t="str">
        <f>VLOOKUP(A5706,ORÇAMENTO!A:K,4,0)</f>
        <v>SINALIZAÇÃO</v>
      </c>
      <c r="C5706" s="167" t="str">
        <f>VLOOKUP(A5706,ORÇAMENTO!A:K,5,0)</f>
        <v/>
      </c>
      <c r="D5706" s="167"/>
      <c r="E5706" s="168"/>
      <c r="F5706" s="168"/>
      <c r="G5706" s="168"/>
      <c r="H5706" s="168"/>
      <c r="I5706" s="168"/>
      <c r="J5706" s="168"/>
      <c r="K5706" s="168"/>
      <c r="L5706" s="168"/>
      <c r="M5706" s="168"/>
      <c r="N5706" s="168"/>
      <c r="O5706" s="168"/>
      <c r="P5706" s="224"/>
      <c r="Q5706" s="224"/>
    </row>
    <row r="5707" spans="1:17" s="228" customFormat="1" ht="21" x14ac:dyDescent="0.25">
      <c r="A5707" s="226" t="str">
        <f>ORÇAMENTO!A1037</f>
        <v xml:space="preserve"> 8.8.1 </v>
      </c>
      <c r="B5707" s="227" t="str">
        <f>VLOOKUP(A5707,ORÇAMENTO!A:K,4,0)</f>
        <v>PLACA DE OBRA EM CHAPA DE ACO GALVANIZADO</v>
      </c>
      <c r="C5707" s="173" t="str">
        <f>VLOOKUP(A5707,ORÇAMENTO!A:K,5,0)</f>
        <v>M²</v>
      </c>
      <c r="D5707" s="173">
        <f>SUM(E5711:O5711)</f>
        <v>6</v>
      </c>
      <c r="E5707" s="173" t="s">
        <v>1718</v>
      </c>
      <c r="F5707" s="173" t="s">
        <v>1719</v>
      </c>
      <c r="G5707" s="173" t="s">
        <v>1720</v>
      </c>
      <c r="H5707" s="173" t="s">
        <v>1721</v>
      </c>
      <c r="I5707" s="173" t="s">
        <v>1722</v>
      </c>
      <c r="J5707" s="173" t="s">
        <v>1723</v>
      </c>
      <c r="K5707" s="173" t="s">
        <v>1724</v>
      </c>
      <c r="L5707" s="173" t="s">
        <v>1725</v>
      </c>
      <c r="M5707" s="173" t="s">
        <v>1726</v>
      </c>
      <c r="N5707" s="173" t="s">
        <v>1727</v>
      </c>
      <c r="O5707" s="173" t="s">
        <v>1728</v>
      </c>
      <c r="P5707" s="224"/>
      <c r="Q5707" s="224"/>
    </row>
    <row r="5708" spans="1:17" s="225" customFormat="1" ht="10.5" x14ac:dyDescent="0.25">
      <c r="A5708" s="229"/>
      <c r="B5708" s="230"/>
      <c r="C5708" s="177"/>
      <c r="D5708" s="178"/>
      <c r="E5708" s="178"/>
      <c r="F5708" s="178"/>
      <c r="G5708" s="178"/>
      <c r="H5708" s="178"/>
      <c r="I5708" s="178"/>
      <c r="J5708" s="178"/>
      <c r="K5708" s="178"/>
      <c r="L5708" s="178"/>
      <c r="M5708" s="178"/>
      <c r="N5708" s="178"/>
      <c r="O5708" s="178"/>
      <c r="P5708" s="231"/>
      <c r="Q5708" s="224"/>
    </row>
    <row r="5709" spans="1:17" s="225" customFormat="1" ht="21" x14ac:dyDescent="0.25">
      <c r="A5709" s="229"/>
      <c r="B5709" s="230" t="s">
        <v>1935</v>
      </c>
      <c r="C5709" s="177"/>
      <c r="D5709" s="178"/>
      <c r="E5709" s="178">
        <v>3</v>
      </c>
      <c r="F5709" s="178"/>
      <c r="G5709" s="178">
        <v>2</v>
      </c>
      <c r="H5709" s="178"/>
      <c r="I5709" s="178"/>
      <c r="J5709" s="178"/>
      <c r="K5709" s="178"/>
      <c r="L5709" s="178"/>
      <c r="M5709" s="178">
        <v>1</v>
      </c>
      <c r="N5709" s="178">
        <f>E5709*G5709*M5709</f>
        <v>6</v>
      </c>
      <c r="O5709" s="178"/>
      <c r="P5709" s="231"/>
      <c r="Q5709" s="224"/>
    </row>
    <row r="5710" spans="1:17" s="225" customFormat="1" ht="10.5" x14ac:dyDescent="0.25">
      <c r="A5710" s="229"/>
      <c r="B5710" s="230"/>
      <c r="C5710" s="177"/>
      <c r="D5710" s="178"/>
      <c r="E5710" s="178"/>
      <c r="F5710" s="178"/>
      <c r="G5710" s="178"/>
      <c r="H5710" s="178"/>
      <c r="I5710" s="178"/>
      <c r="J5710" s="178"/>
      <c r="K5710" s="178"/>
      <c r="L5710" s="180"/>
      <c r="M5710" s="178"/>
      <c r="N5710" s="178"/>
      <c r="O5710" s="178"/>
      <c r="P5710" s="231"/>
      <c r="Q5710" s="224"/>
    </row>
    <row r="5711" spans="1:17" s="225" customFormat="1" ht="10.5" x14ac:dyDescent="0.25">
      <c r="A5711" s="229"/>
      <c r="B5711" s="232" t="s">
        <v>5</v>
      </c>
      <c r="C5711" s="182" t="s">
        <v>1328</v>
      </c>
      <c r="D5711" s="182"/>
      <c r="E5711" s="182"/>
      <c r="F5711" s="182"/>
      <c r="G5711" s="182"/>
      <c r="H5711" s="182"/>
      <c r="I5711" s="182"/>
      <c r="J5711" s="182"/>
      <c r="K5711" s="182"/>
      <c r="L5711" s="182"/>
      <c r="M5711" s="182"/>
      <c r="N5711" s="182">
        <f>SUM(N5708:N5710)</f>
        <v>6</v>
      </c>
      <c r="O5711" s="182"/>
      <c r="P5711" s="233"/>
      <c r="Q5711" s="224"/>
    </row>
    <row r="5712" spans="1:17" s="228" customFormat="1" ht="21" x14ac:dyDescent="0.25">
      <c r="A5712" s="226" t="str">
        <f>ORÇAMENTO!A1038</f>
        <v xml:space="preserve"> 8.8.2</v>
      </c>
      <c r="B5712" s="227" t="str">
        <f>VLOOKUP(A5712,ORÇAMENTO!A:K,4,0)</f>
        <v>TELA TAPUME, COR LARANJA, COM SUPORTE A CADA 2M (FORNECIMENTO E INSTALAÇÃO)</v>
      </c>
      <c r="C5712" s="173" t="str">
        <f>VLOOKUP(A5712,ORÇAMENTO!A:K,5,0)</f>
        <v>M</v>
      </c>
      <c r="D5712" s="173">
        <f>SUM(E5717:O5717)</f>
        <v>380</v>
      </c>
      <c r="E5712" s="173" t="s">
        <v>1718</v>
      </c>
      <c r="F5712" s="173" t="s">
        <v>1719</v>
      </c>
      <c r="G5712" s="173" t="s">
        <v>1720</v>
      </c>
      <c r="H5712" s="173" t="s">
        <v>1721</v>
      </c>
      <c r="I5712" s="173" t="s">
        <v>1722</v>
      </c>
      <c r="J5712" s="173" t="s">
        <v>1723</v>
      </c>
      <c r="K5712" s="173" t="s">
        <v>1724</v>
      </c>
      <c r="L5712" s="173" t="s">
        <v>1725</v>
      </c>
      <c r="M5712" s="173" t="s">
        <v>1726</v>
      </c>
      <c r="N5712" s="173" t="s">
        <v>1727</v>
      </c>
      <c r="O5712" s="173" t="s">
        <v>1728</v>
      </c>
      <c r="P5712" s="224"/>
      <c r="Q5712" s="224"/>
    </row>
    <row r="5713" spans="1:17" s="225" customFormat="1" ht="10.5" x14ac:dyDescent="0.25">
      <c r="A5713" s="229"/>
      <c r="B5713" s="230"/>
      <c r="C5713" s="177"/>
      <c r="D5713" s="178"/>
      <c r="E5713" s="178"/>
      <c r="F5713" s="178"/>
      <c r="G5713" s="178"/>
      <c r="H5713" s="178"/>
      <c r="I5713" s="178"/>
      <c r="J5713" s="178"/>
      <c r="K5713" s="178"/>
      <c r="L5713" s="178"/>
      <c r="M5713" s="178"/>
      <c r="N5713" s="178"/>
      <c r="O5713" s="178"/>
      <c r="P5713" s="231"/>
      <c r="Q5713" s="224"/>
    </row>
    <row r="5714" spans="1:17" s="225" customFormat="1" ht="10.5" x14ac:dyDescent="0.25">
      <c r="A5714" s="229"/>
      <c r="B5714" s="230" t="s">
        <v>1893</v>
      </c>
      <c r="C5714" s="177"/>
      <c r="D5714" s="178"/>
      <c r="E5714" s="178">
        <v>96</v>
      </c>
      <c r="F5714" s="178">
        <v>94</v>
      </c>
      <c r="G5714" s="178"/>
      <c r="H5714" s="178"/>
      <c r="I5714" s="178">
        <f>2*E5714+2*F5714</f>
        <v>380</v>
      </c>
      <c r="J5714" s="178"/>
      <c r="K5714" s="178"/>
      <c r="L5714" s="178"/>
      <c r="M5714" s="178"/>
      <c r="N5714" s="178"/>
      <c r="O5714" s="178"/>
      <c r="P5714" s="231"/>
      <c r="Q5714" s="224"/>
    </row>
    <row r="5715" spans="1:17" s="225" customFormat="1" ht="10.5" x14ac:dyDescent="0.25">
      <c r="A5715" s="229"/>
      <c r="B5715" s="230"/>
      <c r="C5715" s="177"/>
      <c r="D5715" s="178"/>
      <c r="E5715" s="178"/>
      <c r="F5715" s="178"/>
      <c r="G5715" s="178"/>
      <c r="H5715" s="178"/>
      <c r="I5715" s="178"/>
      <c r="J5715" s="178"/>
      <c r="K5715" s="178"/>
      <c r="L5715" s="178"/>
      <c r="M5715" s="178"/>
      <c r="N5715" s="178"/>
      <c r="O5715" s="178"/>
      <c r="P5715" s="231"/>
      <c r="Q5715" s="224"/>
    </row>
    <row r="5716" spans="1:17" s="225" customFormat="1" ht="10.5" x14ac:dyDescent="0.25">
      <c r="A5716" s="229"/>
      <c r="B5716" s="230"/>
      <c r="C5716" s="177"/>
      <c r="D5716" s="178"/>
      <c r="E5716" s="178"/>
      <c r="F5716" s="178"/>
      <c r="G5716" s="178"/>
      <c r="H5716" s="178"/>
      <c r="I5716" s="178"/>
      <c r="J5716" s="178"/>
      <c r="K5716" s="178"/>
      <c r="L5716" s="180"/>
      <c r="M5716" s="178"/>
      <c r="N5716" s="178"/>
      <c r="O5716" s="178"/>
      <c r="P5716" s="231"/>
      <c r="Q5716" s="224"/>
    </row>
    <row r="5717" spans="1:17" s="225" customFormat="1" ht="10.5" x14ac:dyDescent="0.25">
      <c r="A5717" s="229"/>
      <c r="B5717" s="232" t="s">
        <v>5</v>
      </c>
      <c r="C5717" s="182" t="s">
        <v>1328</v>
      </c>
      <c r="D5717" s="182"/>
      <c r="E5717" s="182"/>
      <c r="F5717" s="182"/>
      <c r="G5717" s="182"/>
      <c r="H5717" s="182"/>
      <c r="I5717" s="182">
        <f>SUM(I5714:I5716)</f>
        <v>380</v>
      </c>
      <c r="J5717" s="182"/>
      <c r="K5717" s="182"/>
      <c r="L5717" s="182"/>
      <c r="M5717" s="182"/>
      <c r="N5717" s="182"/>
      <c r="O5717" s="182"/>
      <c r="P5717" s="233"/>
      <c r="Q5717" s="224"/>
    </row>
    <row r="5718" spans="1:17" s="228" customFormat="1" ht="21" x14ac:dyDescent="0.25">
      <c r="A5718" s="226" t="str">
        <f>ORÇAMENTO!A1039</f>
        <v xml:space="preserve"> 8.8.3</v>
      </c>
      <c r="B5718" s="227" t="str">
        <f>VLOOKUP(A5718,ORÇAMENTO!A:K,4,0)</f>
        <v>SINALIZADOR ELETRÔNICO</v>
      </c>
      <c r="C5718" s="173" t="str">
        <f>VLOOKUP(A5718,ORÇAMENTO!A:K,5,0)</f>
        <v>UN</v>
      </c>
      <c r="D5718" s="173">
        <f>SUM(E5723:O5723)</f>
        <v>8</v>
      </c>
      <c r="E5718" s="173" t="s">
        <v>1718</v>
      </c>
      <c r="F5718" s="173" t="s">
        <v>1719</v>
      </c>
      <c r="G5718" s="173" t="s">
        <v>1720</v>
      </c>
      <c r="H5718" s="173" t="s">
        <v>1721</v>
      </c>
      <c r="I5718" s="173" t="s">
        <v>1722</v>
      </c>
      <c r="J5718" s="173" t="s">
        <v>1723</v>
      </c>
      <c r="K5718" s="173" t="s">
        <v>1724</v>
      </c>
      <c r="L5718" s="173" t="s">
        <v>1725</v>
      </c>
      <c r="M5718" s="173" t="s">
        <v>1726</v>
      </c>
      <c r="N5718" s="173" t="s">
        <v>1727</v>
      </c>
      <c r="O5718" s="173" t="s">
        <v>1728</v>
      </c>
      <c r="P5718" s="224"/>
      <c r="Q5718" s="224"/>
    </row>
    <row r="5719" spans="1:17" s="225" customFormat="1" ht="10.5" x14ac:dyDescent="0.25">
      <c r="A5719" s="229"/>
      <c r="B5719" s="230"/>
      <c r="C5719" s="177"/>
      <c r="D5719" s="178"/>
      <c r="E5719" s="178"/>
      <c r="F5719" s="178"/>
      <c r="G5719" s="178"/>
      <c r="H5719" s="178"/>
      <c r="I5719" s="178"/>
      <c r="J5719" s="178"/>
      <c r="K5719" s="178"/>
      <c r="L5719" s="178"/>
      <c r="M5719" s="178"/>
      <c r="N5719" s="178"/>
      <c r="O5719" s="178"/>
      <c r="P5719" s="231"/>
      <c r="Q5719" s="224"/>
    </row>
    <row r="5720" spans="1:17" s="225" customFormat="1" ht="10.5" x14ac:dyDescent="0.25">
      <c r="A5720" s="229"/>
      <c r="B5720" s="230" t="str">
        <f>B5714</f>
        <v>BACIA DE DETENÇÃO</v>
      </c>
      <c r="C5720" s="177"/>
      <c r="D5720" s="178"/>
      <c r="E5720" s="178">
        <f>E5714</f>
        <v>96</v>
      </c>
      <c r="F5720" s="178">
        <f>F5714</f>
        <v>94</v>
      </c>
      <c r="G5720" s="178"/>
      <c r="H5720" s="178"/>
      <c r="I5720" s="178">
        <f>I5714</f>
        <v>380</v>
      </c>
      <c r="J5720" s="178"/>
      <c r="K5720" s="178"/>
      <c r="L5720" s="178"/>
      <c r="M5720" s="178"/>
      <c r="N5720" s="178"/>
      <c r="O5720" s="178"/>
      <c r="P5720" s="231"/>
      <c r="Q5720" s="224"/>
    </row>
    <row r="5721" spans="1:17" s="225" customFormat="1" ht="21" x14ac:dyDescent="0.25">
      <c r="A5721" s="229"/>
      <c r="B5721" s="230" t="s">
        <v>1738</v>
      </c>
      <c r="C5721" s="177"/>
      <c r="D5721" s="178"/>
      <c r="E5721" s="178"/>
      <c r="F5721" s="178"/>
      <c r="G5721" s="178"/>
      <c r="H5721" s="178"/>
      <c r="I5721" s="178"/>
      <c r="J5721" s="178"/>
      <c r="K5721" s="178"/>
      <c r="L5721" s="178"/>
      <c r="M5721" s="178">
        <f>ROUNDUP(I5720*0.2/10,0)</f>
        <v>8</v>
      </c>
      <c r="N5721" s="178"/>
      <c r="O5721" s="178"/>
      <c r="P5721" s="231"/>
      <c r="Q5721" s="224"/>
    </row>
    <row r="5722" spans="1:17" s="225" customFormat="1" ht="10.5" x14ac:dyDescent="0.25">
      <c r="A5722" s="229"/>
      <c r="B5722" s="230"/>
      <c r="C5722" s="177"/>
      <c r="D5722" s="178"/>
      <c r="E5722" s="178"/>
      <c r="F5722" s="178"/>
      <c r="G5722" s="178"/>
      <c r="H5722" s="178"/>
      <c r="I5722" s="178"/>
      <c r="J5722" s="178"/>
      <c r="K5722" s="178"/>
      <c r="L5722" s="180"/>
      <c r="M5722" s="178"/>
      <c r="N5722" s="178"/>
      <c r="O5722" s="178"/>
      <c r="P5722" s="231"/>
      <c r="Q5722" s="224"/>
    </row>
    <row r="5723" spans="1:17" s="225" customFormat="1" ht="10.5" x14ac:dyDescent="0.25">
      <c r="A5723" s="229"/>
      <c r="B5723" s="232" t="s">
        <v>5</v>
      </c>
      <c r="C5723" s="182" t="s">
        <v>1328</v>
      </c>
      <c r="D5723" s="182"/>
      <c r="E5723" s="182"/>
      <c r="F5723" s="182"/>
      <c r="G5723" s="182"/>
      <c r="H5723" s="182"/>
      <c r="I5723" s="182"/>
      <c r="J5723" s="182"/>
      <c r="K5723" s="182"/>
      <c r="L5723" s="182"/>
      <c r="M5723" s="182">
        <f>SUM(M5721:M5722)</f>
        <v>8</v>
      </c>
      <c r="N5723" s="182"/>
      <c r="O5723" s="182"/>
      <c r="P5723" s="233"/>
      <c r="Q5723" s="224"/>
    </row>
    <row r="5724" spans="1:17" s="228" customFormat="1" ht="42" x14ac:dyDescent="0.25">
      <c r="A5724" s="226" t="str">
        <f>ORÇAMENTO!A1040</f>
        <v xml:space="preserve"> 8.8.4</v>
      </c>
      <c r="B5724" s="227" t="str">
        <f>VLOOKUP(A5724,ORÇAMENTO!A:K,4,0)</f>
        <v>PLACA PARA SINALIZAÇÃO DE OBRAS MONTADA EM CAVALETE METÁLICO - 1,00 X 1,00 M - UTILIZAÇÃO DE 600 CICLOS - FORNECIMENTO, 01IMPLANTAÇÃO E 01 RETIRADA DIÁRIA</v>
      </c>
      <c r="C5724" s="173" t="str">
        <f>VLOOKUP(A5724,ORÇAMENTO!A:K,5,0)</f>
        <v>UN.DIA</v>
      </c>
      <c r="D5724" s="173">
        <f>SUM(E5729:O5729)</f>
        <v>20</v>
      </c>
      <c r="E5724" s="173" t="s">
        <v>1718</v>
      </c>
      <c r="F5724" s="173" t="s">
        <v>1719</v>
      </c>
      <c r="G5724" s="173" t="s">
        <v>1720</v>
      </c>
      <c r="H5724" s="173" t="s">
        <v>1721</v>
      </c>
      <c r="I5724" s="173" t="s">
        <v>1722</v>
      </c>
      <c r="J5724" s="173" t="s">
        <v>1723</v>
      </c>
      <c r="K5724" s="173" t="s">
        <v>1724</v>
      </c>
      <c r="L5724" s="173" t="s">
        <v>1725</v>
      </c>
      <c r="M5724" s="173" t="s">
        <v>1726</v>
      </c>
      <c r="N5724" s="173" t="s">
        <v>1727</v>
      </c>
      <c r="O5724" s="173" t="s">
        <v>1728</v>
      </c>
      <c r="P5724" s="224"/>
      <c r="Q5724" s="224"/>
    </row>
    <row r="5725" spans="1:17" s="225" customFormat="1" ht="10.5" x14ac:dyDescent="0.25">
      <c r="A5725" s="229"/>
      <c r="B5725" s="230"/>
      <c r="C5725" s="177"/>
      <c r="D5725" s="178"/>
      <c r="E5725" s="178"/>
      <c r="F5725" s="178"/>
      <c r="G5725" s="178"/>
      <c r="H5725" s="178"/>
      <c r="I5725" s="178"/>
      <c r="J5725" s="178"/>
      <c r="K5725" s="178"/>
      <c r="L5725" s="178"/>
      <c r="M5725" s="178"/>
      <c r="N5725" s="178"/>
      <c r="O5725" s="178"/>
      <c r="P5725" s="231"/>
      <c r="Q5725" s="224"/>
    </row>
    <row r="5726" spans="1:17" s="225" customFormat="1" ht="10.5" x14ac:dyDescent="0.25">
      <c r="A5726" s="229"/>
      <c r="B5726" s="230"/>
      <c r="C5726" s="177"/>
      <c r="D5726" s="178"/>
      <c r="E5726" s="178"/>
      <c r="F5726" s="178"/>
      <c r="G5726" s="178"/>
      <c r="H5726" s="178"/>
      <c r="I5726" s="178"/>
      <c r="J5726" s="178"/>
      <c r="K5726" s="178"/>
      <c r="L5726" s="178"/>
      <c r="M5726" s="178"/>
      <c r="N5726" s="178"/>
      <c r="O5726" s="178"/>
      <c r="P5726" s="231"/>
      <c r="Q5726" s="224"/>
    </row>
    <row r="5727" spans="1:17" s="225" customFormat="1" ht="10.5" x14ac:dyDescent="0.25">
      <c r="A5727" s="229"/>
      <c r="B5727" s="230" t="str">
        <f>B5720</f>
        <v>BACIA DE DETENÇÃO</v>
      </c>
      <c r="C5727" s="177"/>
      <c r="D5727" s="178"/>
      <c r="E5727" s="178"/>
      <c r="F5727" s="178"/>
      <c r="G5727" s="178"/>
      <c r="H5727" s="178"/>
      <c r="I5727" s="178"/>
      <c r="J5727" s="178"/>
      <c r="K5727" s="178"/>
      <c r="L5727" s="178"/>
      <c r="M5727" s="178">
        <v>20</v>
      </c>
      <c r="N5727" s="178"/>
      <c r="O5727" s="178"/>
      <c r="P5727" s="231"/>
      <c r="Q5727" s="224"/>
    </row>
    <row r="5728" spans="1:17" s="225" customFormat="1" ht="10.5" x14ac:dyDescent="0.25">
      <c r="A5728" s="229"/>
      <c r="B5728" s="230"/>
      <c r="C5728" s="177"/>
      <c r="D5728" s="178"/>
      <c r="E5728" s="178"/>
      <c r="F5728" s="178"/>
      <c r="G5728" s="178"/>
      <c r="H5728" s="178"/>
      <c r="I5728" s="178"/>
      <c r="J5728" s="178"/>
      <c r="K5728" s="178"/>
      <c r="L5728" s="180"/>
      <c r="M5728" s="178"/>
      <c r="N5728" s="178"/>
      <c r="O5728" s="178"/>
      <c r="P5728" s="231"/>
      <c r="Q5728" s="224"/>
    </row>
    <row r="5729" spans="1:17" s="225" customFormat="1" ht="10.5" x14ac:dyDescent="0.25">
      <c r="A5729" s="229"/>
      <c r="B5729" s="232" t="s">
        <v>5</v>
      </c>
      <c r="C5729" s="182" t="s">
        <v>1328</v>
      </c>
      <c r="D5729" s="182"/>
      <c r="E5729" s="182"/>
      <c r="F5729" s="182"/>
      <c r="G5729" s="182"/>
      <c r="H5729" s="182"/>
      <c r="I5729" s="182"/>
      <c r="J5729" s="182"/>
      <c r="K5729" s="182"/>
      <c r="L5729" s="182"/>
      <c r="M5729" s="182">
        <f>SUM(M5727:M5728)</f>
        <v>20</v>
      </c>
      <c r="N5729" s="182"/>
      <c r="O5729" s="182"/>
      <c r="P5729" s="233"/>
      <c r="Q5729" s="224"/>
    </row>
    <row r="5730" spans="1:17" s="228" customFormat="1" ht="52.5" x14ac:dyDescent="0.25">
      <c r="A5730" s="226" t="str">
        <f>ORÇAMENTO!A1041</f>
        <v xml:space="preserve"> 8.8.5</v>
      </c>
      <c r="B5730" s="227" t="str">
        <f>VLOOKUP(A5730,ORÇAMENTO!A:K,4,0)</f>
        <v>PLACA DE ADVERTÊNCIA PARA SINALIZAÇÃO DE OBRAS MONTADA EM SUPORTE METÁLICO MÓVEL, LADO 1,00 M - UTILIZAÇÃO DE 600 CICLOS - FORNECIMENTO, 01 IMPLANTAÇÃO E 01 RETIRADA DIÁRIA</v>
      </c>
      <c r="C5730" s="173" t="str">
        <f>VLOOKUP(A5730,ORÇAMENTO!A:K,5,0)</f>
        <v>UN.DIA</v>
      </c>
      <c r="D5730" s="173">
        <f>SUM(E5735:O5735)</f>
        <v>20</v>
      </c>
      <c r="E5730" s="173" t="s">
        <v>1718</v>
      </c>
      <c r="F5730" s="173" t="s">
        <v>1719</v>
      </c>
      <c r="G5730" s="173" t="s">
        <v>1720</v>
      </c>
      <c r="H5730" s="173" t="s">
        <v>1721</v>
      </c>
      <c r="I5730" s="173" t="s">
        <v>1722</v>
      </c>
      <c r="J5730" s="173" t="s">
        <v>1723</v>
      </c>
      <c r="K5730" s="173" t="s">
        <v>1724</v>
      </c>
      <c r="L5730" s="173" t="s">
        <v>1725</v>
      </c>
      <c r="M5730" s="173" t="s">
        <v>1726</v>
      </c>
      <c r="N5730" s="173" t="s">
        <v>1727</v>
      </c>
      <c r="O5730" s="173" t="s">
        <v>1728</v>
      </c>
      <c r="P5730" s="224"/>
      <c r="Q5730" s="224"/>
    </row>
    <row r="5731" spans="1:17" s="225" customFormat="1" ht="10.5" x14ac:dyDescent="0.25">
      <c r="A5731" s="229"/>
      <c r="B5731" s="230"/>
      <c r="C5731" s="177"/>
      <c r="D5731" s="178"/>
      <c r="E5731" s="178"/>
      <c r="F5731" s="178"/>
      <c r="G5731" s="178"/>
      <c r="H5731" s="178"/>
      <c r="I5731" s="178"/>
      <c r="J5731" s="178"/>
      <c r="K5731" s="178"/>
      <c r="L5731" s="178"/>
      <c r="M5731" s="178"/>
      <c r="N5731" s="178"/>
      <c r="O5731" s="178"/>
      <c r="P5731" s="231"/>
      <c r="Q5731" s="224"/>
    </row>
    <row r="5732" spans="1:17" s="225" customFormat="1" ht="10.5" x14ac:dyDescent="0.25">
      <c r="A5732" s="229"/>
      <c r="B5732" s="230"/>
      <c r="C5732" s="177"/>
      <c r="D5732" s="178"/>
      <c r="E5732" s="178"/>
      <c r="F5732" s="178"/>
      <c r="G5732" s="178"/>
      <c r="H5732" s="178"/>
      <c r="I5732" s="178"/>
      <c r="J5732" s="178"/>
      <c r="K5732" s="178"/>
      <c r="L5732" s="178"/>
      <c r="M5732" s="178"/>
      <c r="N5732" s="178"/>
      <c r="O5732" s="178"/>
      <c r="P5732" s="231"/>
      <c r="Q5732" s="224"/>
    </row>
    <row r="5733" spans="1:17" s="225" customFormat="1" ht="10.5" x14ac:dyDescent="0.25">
      <c r="A5733" s="229"/>
      <c r="B5733" s="230" t="str">
        <f>B5727</f>
        <v>BACIA DE DETENÇÃO</v>
      </c>
      <c r="C5733" s="177"/>
      <c r="D5733" s="178"/>
      <c r="E5733" s="178"/>
      <c r="F5733" s="178"/>
      <c r="G5733" s="178"/>
      <c r="H5733" s="178"/>
      <c r="I5733" s="178"/>
      <c r="J5733" s="178"/>
      <c r="K5733" s="178"/>
      <c r="L5733" s="178"/>
      <c r="M5733" s="178">
        <v>20</v>
      </c>
      <c r="N5733" s="178"/>
      <c r="O5733" s="178"/>
      <c r="P5733" s="231"/>
      <c r="Q5733" s="224"/>
    </row>
    <row r="5734" spans="1:17" s="225" customFormat="1" ht="10.5" x14ac:dyDescent="0.25">
      <c r="A5734" s="229"/>
      <c r="B5734" s="230"/>
      <c r="C5734" s="177"/>
      <c r="D5734" s="178"/>
      <c r="E5734" s="178"/>
      <c r="F5734" s="178"/>
      <c r="G5734" s="178"/>
      <c r="H5734" s="178"/>
      <c r="I5734" s="178"/>
      <c r="J5734" s="178"/>
      <c r="K5734" s="178"/>
      <c r="L5734" s="180"/>
      <c r="M5734" s="178"/>
      <c r="N5734" s="178"/>
      <c r="O5734" s="178"/>
      <c r="P5734" s="231"/>
      <c r="Q5734" s="224"/>
    </row>
    <row r="5735" spans="1:17" s="225" customFormat="1" ht="10.5" x14ac:dyDescent="0.25">
      <c r="A5735" s="229"/>
      <c r="B5735" s="232" t="s">
        <v>5</v>
      </c>
      <c r="C5735" s="182" t="s">
        <v>1328</v>
      </c>
      <c r="D5735" s="182"/>
      <c r="E5735" s="182"/>
      <c r="F5735" s="182"/>
      <c r="G5735" s="182"/>
      <c r="H5735" s="182"/>
      <c r="I5735" s="182"/>
      <c r="J5735" s="182"/>
      <c r="K5735" s="182"/>
      <c r="L5735" s="182"/>
      <c r="M5735" s="182">
        <f>SUM(M5733:M5734)</f>
        <v>20</v>
      </c>
      <c r="N5735" s="182"/>
      <c r="O5735" s="182"/>
      <c r="P5735" s="233"/>
      <c r="Q5735" s="224"/>
    </row>
    <row r="5736" spans="1:17" s="228" customFormat="1" ht="42" x14ac:dyDescent="0.25">
      <c r="A5736" s="226" t="str">
        <f>ORÇAMENTO!A1042</f>
        <v xml:space="preserve"> 8.8.6</v>
      </c>
      <c r="B5736" s="227" t="str">
        <f>VLOOKUP(A5736,ORÇAMENTO!A:K,4,0)</f>
        <v>BARREIRA DE SINALIZAÇÃO TIPO III DE DIRECIONAMENTO OU BLOQUEIO - UTILIZAÇÃO DE 150 CICLOS - FORNECIMENTO, 01 IMPLANTAÇÃO E 01 RETIRADA DIÁRIA</v>
      </c>
      <c r="C5736" s="173" t="str">
        <f>VLOOKUP(A5736,ORÇAMENTO!A:K,5,0)</f>
        <v>UN.DIA</v>
      </c>
      <c r="D5736" s="173">
        <f>SUM(E5741:O5741)</f>
        <v>5</v>
      </c>
      <c r="E5736" s="173" t="s">
        <v>1718</v>
      </c>
      <c r="F5736" s="173" t="s">
        <v>1719</v>
      </c>
      <c r="G5736" s="173" t="s">
        <v>1720</v>
      </c>
      <c r="H5736" s="173" t="s">
        <v>1721</v>
      </c>
      <c r="I5736" s="173" t="s">
        <v>1722</v>
      </c>
      <c r="J5736" s="173" t="s">
        <v>1723</v>
      </c>
      <c r="K5736" s="173" t="s">
        <v>1724</v>
      </c>
      <c r="L5736" s="173" t="s">
        <v>1725</v>
      </c>
      <c r="M5736" s="173" t="s">
        <v>1726</v>
      </c>
      <c r="N5736" s="173" t="s">
        <v>1727</v>
      </c>
      <c r="O5736" s="173" t="s">
        <v>1728</v>
      </c>
      <c r="P5736" s="224"/>
      <c r="Q5736" s="224"/>
    </row>
    <row r="5737" spans="1:17" s="225" customFormat="1" ht="10.5" x14ac:dyDescent="0.25">
      <c r="A5737" s="229"/>
      <c r="B5737" s="230"/>
      <c r="C5737" s="177"/>
      <c r="D5737" s="178"/>
      <c r="E5737" s="178"/>
      <c r="F5737" s="178"/>
      <c r="G5737" s="178"/>
      <c r="H5737" s="178"/>
      <c r="I5737" s="178"/>
      <c r="J5737" s="178"/>
      <c r="K5737" s="178"/>
      <c r="L5737" s="178"/>
      <c r="M5737" s="178"/>
      <c r="N5737" s="178"/>
      <c r="O5737" s="178"/>
      <c r="P5737" s="231"/>
      <c r="Q5737" s="224"/>
    </row>
    <row r="5738" spans="1:17" s="225" customFormat="1" ht="10.5" x14ac:dyDescent="0.25">
      <c r="A5738" s="229"/>
      <c r="B5738" s="230"/>
      <c r="C5738" s="177"/>
      <c r="D5738" s="178"/>
      <c r="E5738" s="178"/>
      <c r="F5738" s="178"/>
      <c r="G5738" s="178"/>
      <c r="H5738" s="178"/>
      <c r="I5738" s="178"/>
      <c r="J5738" s="178"/>
      <c r="K5738" s="178"/>
      <c r="L5738" s="178"/>
      <c r="M5738" s="178"/>
      <c r="N5738" s="178"/>
      <c r="O5738" s="178"/>
      <c r="P5738" s="231"/>
      <c r="Q5738" s="224"/>
    </row>
    <row r="5739" spans="1:17" s="225" customFormat="1" ht="10.5" x14ac:dyDescent="0.25">
      <c r="A5739" s="229"/>
      <c r="B5739" s="230" t="str">
        <f>B5733</f>
        <v>BACIA DE DETENÇÃO</v>
      </c>
      <c r="C5739" s="177"/>
      <c r="D5739" s="178"/>
      <c r="E5739" s="178"/>
      <c r="F5739" s="178"/>
      <c r="G5739" s="178"/>
      <c r="H5739" s="178"/>
      <c r="I5739" s="178"/>
      <c r="J5739" s="178"/>
      <c r="K5739" s="178"/>
      <c r="L5739" s="178"/>
      <c r="M5739" s="178">
        <v>5</v>
      </c>
      <c r="N5739" s="178"/>
      <c r="O5739" s="178"/>
      <c r="P5739" s="231"/>
      <c r="Q5739" s="224"/>
    </row>
    <row r="5740" spans="1:17" s="225" customFormat="1" ht="10.5" x14ac:dyDescent="0.25">
      <c r="A5740" s="229"/>
      <c r="B5740" s="230"/>
      <c r="C5740" s="177"/>
      <c r="D5740" s="178"/>
      <c r="E5740" s="178"/>
      <c r="F5740" s="178"/>
      <c r="G5740" s="178"/>
      <c r="H5740" s="178"/>
      <c r="I5740" s="178"/>
      <c r="J5740" s="178"/>
      <c r="K5740" s="178"/>
      <c r="L5740" s="180"/>
      <c r="M5740" s="178"/>
      <c r="N5740" s="178"/>
      <c r="O5740" s="178"/>
      <c r="P5740" s="231"/>
      <c r="Q5740" s="224"/>
    </row>
    <row r="5741" spans="1:17" s="225" customFormat="1" ht="10.5" x14ac:dyDescent="0.25">
      <c r="A5741" s="229"/>
      <c r="B5741" s="232" t="s">
        <v>5</v>
      </c>
      <c r="C5741" s="182" t="s">
        <v>1328</v>
      </c>
      <c r="D5741" s="182"/>
      <c r="E5741" s="182"/>
      <c r="F5741" s="182"/>
      <c r="G5741" s="182"/>
      <c r="H5741" s="182"/>
      <c r="I5741" s="182"/>
      <c r="J5741" s="182"/>
      <c r="K5741" s="182"/>
      <c r="L5741" s="182"/>
      <c r="M5741" s="182">
        <f>SUM(M5739:M5740)</f>
        <v>5</v>
      </c>
      <c r="N5741" s="182"/>
      <c r="O5741" s="182"/>
      <c r="P5741" s="233"/>
      <c r="Q5741" s="224"/>
    </row>
    <row r="5742" spans="1:17" s="228" customFormat="1" ht="31.5" x14ac:dyDescent="0.25">
      <c r="A5742" s="226" t="str">
        <f>ORÇAMENTO!A1043</f>
        <v xml:space="preserve"> 8.8.7</v>
      </c>
      <c r="B5742" s="227" t="str">
        <f>VLOOKUP(A5742,ORÇAMENTO!A:K,4,0)</f>
        <v>CONE PLÁSTICO PARA CANALIZAÇÃO DE TRÂNSITO - UTILIZAÇÃO DE 150 CICLOS - FORNECIMENTO, 01 IMPLANTAÇÃO E 01 RETIRADA DIÁRIA</v>
      </c>
      <c r="C5742" s="173" t="str">
        <f>VLOOKUP(A5742,ORÇAMENTO!A:K,5,0)</f>
        <v>UN.DIA</v>
      </c>
      <c r="D5742" s="173">
        <f>SUM(E5747:O5747)</f>
        <v>25</v>
      </c>
      <c r="E5742" s="173" t="s">
        <v>1718</v>
      </c>
      <c r="F5742" s="173" t="s">
        <v>1719</v>
      </c>
      <c r="G5742" s="173" t="s">
        <v>1720</v>
      </c>
      <c r="H5742" s="173" t="s">
        <v>1721</v>
      </c>
      <c r="I5742" s="173" t="s">
        <v>1722</v>
      </c>
      <c r="J5742" s="173" t="s">
        <v>1723</v>
      </c>
      <c r="K5742" s="173" t="s">
        <v>1724</v>
      </c>
      <c r="L5742" s="173" t="s">
        <v>1725</v>
      </c>
      <c r="M5742" s="173" t="s">
        <v>1726</v>
      </c>
      <c r="N5742" s="173" t="s">
        <v>1727</v>
      </c>
      <c r="O5742" s="173" t="s">
        <v>1728</v>
      </c>
      <c r="P5742" s="224"/>
      <c r="Q5742" s="224"/>
    </row>
    <row r="5743" spans="1:17" s="225" customFormat="1" ht="10.5" x14ac:dyDescent="0.25">
      <c r="A5743" s="229"/>
      <c r="B5743" s="230"/>
      <c r="C5743" s="177"/>
      <c r="D5743" s="178"/>
      <c r="E5743" s="178"/>
      <c r="F5743" s="178"/>
      <c r="G5743" s="178"/>
      <c r="H5743" s="178"/>
      <c r="I5743" s="178"/>
      <c r="J5743" s="178"/>
      <c r="K5743" s="178"/>
      <c r="L5743" s="178"/>
      <c r="M5743" s="178"/>
      <c r="N5743" s="178"/>
      <c r="O5743" s="178"/>
      <c r="P5743" s="231"/>
      <c r="Q5743" s="224"/>
    </row>
    <row r="5744" spans="1:17" s="225" customFormat="1" ht="10.5" x14ac:dyDescent="0.25">
      <c r="A5744" s="229"/>
      <c r="B5744" s="230"/>
      <c r="C5744" s="177"/>
      <c r="D5744" s="178"/>
      <c r="E5744" s="178"/>
      <c r="F5744" s="178"/>
      <c r="G5744" s="178"/>
      <c r="H5744" s="178"/>
      <c r="I5744" s="178"/>
      <c r="J5744" s="178"/>
      <c r="K5744" s="178"/>
      <c r="L5744" s="178"/>
      <c r="M5744" s="178"/>
      <c r="N5744" s="178"/>
      <c r="O5744" s="178"/>
      <c r="P5744" s="231"/>
      <c r="Q5744" s="224"/>
    </row>
    <row r="5745" spans="1:17" s="225" customFormat="1" ht="10.5" x14ac:dyDescent="0.25">
      <c r="A5745" s="229"/>
      <c r="B5745" s="230" t="str">
        <f>B5739</f>
        <v>BACIA DE DETENÇÃO</v>
      </c>
      <c r="C5745" s="177"/>
      <c r="D5745" s="178"/>
      <c r="E5745" s="178"/>
      <c r="F5745" s="178"/>
      <c r="G5745" s="178"/>
      <c r="H5745" s="178"/>
      <c r="I5745" s="178"/>
      <c r="J5745" s="178"/>
      <c r="K5745" s="178"/>
      <c r="L5745" s="178"/>
      <c r="M5745" s="178">
        <v>25</v>
      </c>
      <c r="N5745" s="178"/>
      <c r="O5745" s="178"/>
      <c r="P5745" s="231"/>
      <c r="Q5745" s="224"/>
    </row>
    <row r="5746" spans="1:17" s="225" customFormat="1" ht="10.5" x14ac:dyDescent="0.25">
      <c r="A5746" s="229"/>
      <c r="B5746" s="230"/>
      <c r="C5746" s="177"/>
      <c r="D5746" s="178"/>
      <c r="E5746" s="178"/>
      <c r="F5746" s="178"/>
      <c r="G5746" s="178"/>
      <c r="H5746" s="178"/>
      <c r="I5746" s="178"/>
      <c r="J5746" s="178"/>
      <c r="K5746" s="178"/>
      <c r="L5746" s="180"/>
      <c r="M5746" s="178"/>
      <c r="N5746" s="178"/>
      <c r="O5746" s="178"/>
      <c r="P5746" s="231"/>
      <c r="Q5746" s="224"/>
    </row>
    <row r="5747" spans="1:17" s="225" customFormat="1" ht="10.5" x14ac:dyDescent="0.25">
      <c r="A5747" s="229"/>
      <c r="B5747" s="232" t="s">
        <v>5</v>
      </c>
      <c r="C5747" s="182" t="s">
        <v>1328</v>
      </c>
      <c r="D5747" s="182"/>
      <c r="E5747" s="182"/>
      <c r="F5747" s="182"/>
      <c r="G5747" s="182"/>
      <c r="H5747" s="182"/>
      <c r="I5747" s="182"/>
      <c r="J5747" s="182"/>
      <c r="K5747" s="182"/>
      <c r="L5747" s="182"/>
      <c r="M5747" s="182">
        <f>SUM(M5745:M5746)</f>
        <v>25</v>
      </c>
      <c r="N5747" s="182"/>
      <c r="O5747" s="182"/>
      <c r="P5747" s="233"/>
      <c r="Q5747" s="224"/>
    </row>
    <row r="5748" spans="1:17" s="228" customFormat="1" ht="42" x14ac:dyDescent="0.25">
      <c r="A5748" s="226" t="str">
        <f>ORÇAMENTO!A1044</f>
        <v xml:space="preserve"> 8.8.8</v>
      </c>
      <c r="B5748" s="227" t="str">
        <f>VLOOKUP(A5748,ORÇAMENTO!A:K,4,0)</f>
        <v>BALIZADOR CÔNICO REFLETIVO EM POLIETILENO SEMIFLEXÍVEL DE 114 X 11 X 40 CM - UTILIZAÇÃO DE 150 CICLOS - FORNECIMENTO, 01 IMPLANTAÇÃO E 01 RETIRADA DIÁRIA</v>
      </c>
      <c r="C5748" s="173" t="str">
        <f>VLOOKUP(A5748,ORÇAMENTO!A:K,5,0)</f>
        <v>UN.DIA</v>
      </c>
      <c r="D5748" s="173">
        <f>SUM(E5753:O5753)</f>
        <v>25</v>
      </c>
      <c r="E5748" s="173" t="s">
        <v>1718</v>
      </c>
      <c r="F5748" s="173" t="s">
        <v>1719</v>
      </c>
      <c r="G5748" s="173" t="s">
        <v>1720</v>
      </c>
      <c r="H5748" s="173" t="s">
        <v>1721</v>
      </c>
      <c r="I5748" s="173" t="s">
        <v>1722</v>
      </c>
      <c r="J5748" s="173" t="s">
        <v>1723</v>
      </c>
      <c r="K5748" s="173" t="s">
        <v>1724</v>
      </c>
      <c r="L5748" s="173" t="s">
        <v>1725</v>
      </c>
      <c r="M5748" s="173" t="s">
        <v>1726</v>
      </c>
      <c r="N5748" s="173" t="s">
        <v>1727</v>
      </c>
      <c r="O5748" s="173" t="s">
        <v>1728</v>
      </c>
      <c r="P5748" s="224"/>
      <c r="Q5748" s="224"/>
    </row>
    <row r="5749" spans="1:17" s="225" customFormat="1" ht="10.5" x14ac:dyDescent="0.25">
      <c r="A5749" s="229"/>
      <c r="B5749" s="230"/>
      <c r="C5749" s="177"/>
      <c r="D5749" s="178"/>
      <c r="E5749" s="178"/>
      <c r="F5749" s="178"/>
      <c r="G5749" s="178"/>
      <c r="H5749" s="178"/>
      <c r="I5749" s="178"/>
      <c r="J5749" s="178"/>
      <c r="K5749" s="178"/>
      <c r="L5749" s="178"/>
      <c r="M5749" s="178"/>
      <c r="N5749" s="178"/>
      <c r="O5749" s="178"/>
      <c r="P5749" s="231"/>
      <c r="Q5749" s="224"/>
    </row>
    <row r="5750" spans="1:17" s="225" customFormat="1" ht="10.5" x14ac:dyDescent="0.25">
      <c r="A5750" s="229"/>
      <c r="B5750" s="230"/>
      <c r="C5750" s="177"/>
      <c r="D5750" s="178"/>
      <c r="E5750" s="178"/>
      <c r="F5750" s="178"/>
      <c r="G5750" s="178"/>
      <c r="H5750" s="178"/>
      <c r="I5750" s="178"/>
      <c r="J5750" s="178"/>
      <c r="K5750" s="178"/>
      <c r="L5750" s="178"/>
      <c r="M5750" s="178"/>
      <c r="N5750" s="178"/>
      <c r="O5750" s="178"/>
      <c r="P5750" s="231"/>
      <c r="Q5750" s="224"/>
    </row>
    <row r="5751" spans="1:17" s="225" customFormat="1" ht="10.5" x14ac:dyDescent="0.25">
      <c r="A5751" s="229"/>
      <c r="B5751" s="230" t="str">
        <f>B5745</f>
        <v>BACIA DE DETENÇÃO</v>
      </c>
      <c r="C5751" s="177"/>
      <c r="D5751" s="178"/>
      <c r="E5751" s="178"/>
      <c r="F5751" s="178"/>
      <c r="G5751" s="178"/>
      <c r="H5751" s="178"/>
      <c r="I5751" s="178"/>
      <c r="J5751" s="178"/>
      <c r="K5751" s="178"/>
      <c r="L5751" s="178"/>
      <c r="M5751" s="178">
        <v>25</v>
      </c>
      <c r="N5751" s="178"/>
      <c r="O5751" s="178"/>
      <c r="P5751" s="231"/>
      <c r="Q5751" s="224"/>
    </row>
    <row r="5752" spans="1:17" s="225" customFormat="1" ht="10.5" x14ac:dyDescent="0.25">
      <c r="A5752" s="229"/>
      <c r="B5752" s="230"/>
      <c r="C5752" s="177"/>
      <c r="D5752" s="178"/>
      <c r="E5752" s="178"/>
      <c r="F5752" s="178"/>
      <c r="G5752" s="178"/>
      <c r="H5752" s="178"/>
      <c r="I5752" s="178"/>
      <c r="J5752" s="178"/>
      <c r="K5752" s="178"/>
      <c r="L5752" s="180"/>
      <c r="M5752" s="178"/>
      <c r="N5752" s="178"/>
      <c r="O5752" s="178"/>
      <c r="P5752" s="231"/>
      <c r="Q5752" s="224"/>
    </row>
    <row r="5753" spans="1:17" s="225" customFormat="1" ht="10.5" x14ac:dyDescent="0.25">
      <c r="A5753" s="229"/>
      <c r="B5753" s="232" t="s">
        <v>5</v>
      </c>
      <c r="C5753" s="182" t="s">
        <v>1328</v>
      </c>
      <c r="D5753" s="182"/>
      <c r="E5753" s="182"/>
      <c r="F5753" s="182"/>
      <c r="G5753" s="182"/>
      <c r="H5753" s="182"/>
      <c r="I5753" s="182"/>
      <c r="J5753" s="182"/>
      <c r="K5753" s="182"/>
      <c r="L5753" s="182"/>
      <c r="M5753" s="182">
        <f>SUM(M5751:M5752)</f>
        <v>25</v>
      </c>
      <c r="N5753" s="182"/>
      <c r="O5753" s="182"/>
      <c r="P5753" s="233"/>
      <c r="Q5753" s="224"/>
    </row>
    <row r="5754" spans="1:17" s="228" customFormat="1" ht="31.5" x14ac:dyDescent="0.25">
      <c r="A5754" s="226" t="str">
        <f>ORÇAMENTO!A1045</f>
        <v xml:space="preserve"> 8.8.9</v>
      </c>
      <c r="B5754" s="227" t="str">
        <f>VLOOKUP(A5754,ORÇAMENTO!A:K,4,0)</f>
        <v>ALAMBRADO EM MOURÕES DE CONCRETO, COM TELA DE ARAME GALVANIZADO (INCLUSIVE MURETA EM CONCRETO). AF_05/2018</v>
      </c>
      <c r="C5754" s="173" t="str">
        <f>VLOOKUP(A5754,ORÇAMENTO!A:K,5,0)</f>
        <v>M</v>
      </c>
      <c r="D5754" s="173">
        <f>SUM(E5759:O5759)</f>
        <v>411.3</v>
      </c>
      <c r="E5754" s="173" t="s">
        <v>1718</v>
      </c>
      <c r="F5754" s="173" t="s">
        <v>1719</v>
      </c>
      <c r="G5754" s="173" t="s">
        <v>1720</v>
      </c>
      <c r="H5754" s="173" t="s">
        <v>1721</v>
      </c>
      <c r="I5754" s="173" t="s">
        <v>1722</v>
      </c>
      <c r="J5754" s="173" t="s">
        <v>1723</v>
      </c>
      <c r="K5754" s="173" t="s">
        <v>1724</v>
      </c>
      <c r="L5754" s="173" t="s">
        <v>1725</v>
      </c>
      <c r="M5754" s="173" t="s">
        <v>1726</v>
      </c>
      <c r="N5754" s="173" t="s">
        <v>1727</v>
      </c>
      <c r="O5754" s="173" t="s">
        <v>1728</v>
      </c>
      <c r="P5754" s="224"/>
      <c r="Q5754" s="224"/>
    </row>
    <row r="5755" spans="1:17" s="225" customFormat="1" ht="10.5" x14ac:dyDescent="0.25">
      <c r="A5755" s="229"/>
      <c r="B5755" s="230"/>
      <c r="C5755" s="177"/>
      <c r="D5755" s="178"/>
      <c r="E5755" s="178"/>
      <c r="F5755" s="178"/>
      <c r="G5755" s="178"/>
      <c r="H5755" s="178"/>
      <c r="I5755" s="178"/>
      <c r="J5755" s="178"/>
      <c r="K5755" s="178"/>
      <c r="L5755" s="178"/>
      <c r="M5755" s="178"/>
      <c r="N5755" s="178"/>
      <c r="O5755" s="178"/>
      <c r="P5755" s="231"/>
      <c r="Q5755" s="224"/>
    </row>
    <row r="5756" spans="1:17" s="225" customFormat="1" ht="10.5" x14ac:dyDescent="0.25">
      <c r="A5756" s="229"/>
      <c r="B5756" s="230"/>
      <c r="C5756" s="177"/>
      <c r="D5756" s="178"/>
      <c r="E5756" s="178"/>
      <c r="F5756" s="178"/>
      <c r="G5756" s="178"/>
      <c r="H5756" s="178"/>
      <c r="I5756" s="178"/>
      <c r="J5756" s="178"/>
      <c r="K5756" s="178"/>
      <c r="L5756" s="178"/>
      <c r="M5756" s="178"/>
      <c r="N5756" s="178"/>
      <c r="O5756" s="178"/>
      <c r="P5756" s="231"/>
      <c r="Q5756" s="224"/>
    </row>
    <row r="5757" spans="1:17" s="225" customFormat="1" ht="10.5" x14ac:dyDescent="0.25">
      <c r="A5757" s="229"/>
      <c r="B5757" s="230" t="s">
        <v>1936</v>
      </c>
      <c r="C5757" s="177"/>
      <c r="D5757" s="178"/>
      <c r="E5757" s="178"/>
      <c r="F5757" s="178"/>
      <c r="G5757" s="178"/>
      <c r="H5757" s="178"/>
      <c r="I5757" s="178">
        <v>411.3</v>
      </c>
      <c r="J5757" s="178"/>
      <c r="K5757" s="178"/>
      <c r="L5757" s="178"/>
      <c r="M5757" s="178"/>
      <c r="N5757" s="178"/>
      <c r="O5757" s="178"/>
      <c r="P5757" s="231"/>
      <c r="Q5757" s="224"/>
    </row>
    <row r="5758" spans="1:17" s="225" customFormat="1" ht="10.5" x14ac:dyDescent="0.25">
      <c r="A5758" s="229"/>
      <c r="B5758" s="230"/>
      <c r="C5758" s="177"/>
      <c r="D5758" s="178"/>
      <c r="E5758" s="178"/>
      <c r="F5758" s="178"/>
      <c r="G5758" s="178"/>
      <c r="H5758" s="178"/>
      <c r="I5758" s="178"/>
      <c r="J5758" s="178"/>
      <c r="K5758" s="178"/>
      <c r="L5758" s="180"/>
      <c r="M5758" s="178"/>
      <c r="N5758" s="178"/>
      <c r="O5758" s="178"/>
      <c r="P5758" s="231"/>
      <c r="Q5758" s="224"/>
    </row>
    <row r="5759" spans="1:17" s="225" customFormat="1" ht="10.5" x14ac:dyDescent="0.25">
      <c r="A5759" s="229"/>
      <c r="B5759" s="232" t="s">
        <v>5</v>
      </c>
      <c r="C5759" s="182" t="s">
        <v>1328</v>
      </c>
      <c r="D5759" s="182"/>
      <c r="E5759" s="182"/>
      <c r="F5759" s="182"/>
      <c r="G5759" s="182"/>
      <c r="H5759" s="182"/>
      <c r="I5759" s="182">
        <f>SUM(I5757:I5758)</f>
        <v>411.3</v>
      </c>
      <c r="J5759" s="182"/>
      <c r="K5759" s="182"/>
      <c r="L5759" s="182"/>
      <c r="M5759" s="182"/>
      <c r="N5759" s="182"/>
      <c r="O5759" s="182"/>
      <c r="P5759" s="233"/>
      <c r="Q5759" s="224"/>
    </row>
    <row r="5760" spans="1:17" s="228" customFormat="1" ht="63" x14ac:dyDescent="0.25">
      <c r="A5760" s="226" t="str">
        <f>ORÇAMENTO!A1046</f>
        <v xml:space="preserve"> 8.8.10</v>
      </c>
      <c r="B5760" s="227" t="str">
        <f>VLOOKUP(A5760,ORÇAMENTO!A:K,4,0)</f>
        <v>PORTÃO TUBULAR, EM FERRO GALVANIZADO DE 1 1/2", COM CONTRAVENTAMENTO EM TUBO DE FERRO GALVANIZADO DE 1" E COM TELA ARAMADA # 1" COM FIO Nº 10, INCLUSIVE DOBRADIÇAS, BATEDOR, FECHO, PINTURA E ASSENTAMENTO EM ESTRUTURA DE CONCRETO.</v>
      </c>
      <c r="C5760" s="173" t="str">
        <f>VLOOKUP(A5760,ORÇAMENTO!A:K,5,0)</f>
        <v>M²</v>
      </c>
      <c r="D5760" s="173">
        <f>SUM(E5765:O5765)</f>
        <v>11.5</v>
      </c>
      <c r="E5760" s="173" t="s">
        <v>1718</v>
      </c>
      <c r="F5760" s="173" t="s">
        <v>1719</v>
      </c>
      <c r="G5760" s="173" t="s">
        <v>1720</v>
      </c>
      <c r="H5760" s="173" t="s">
        <v>1721</v>
      </c>
      <c r="I5760" s="173" t="s">
        <v>1722</v>
      </c>
      <c r="J5760" s="173" t="s">
        <v>1723</v>
      </c>
      <c r="K5760" s="173" t="s">
        <v>1724</v>
      </c>
      <c r="L5760" s="173" t="s">
        <v>1725</v>
      </c>
      <c r="M5760" s="173" t="s">
        <v>1726</v>
      </c>
      <c r="N5760" s="173" t="s">
        <v>1727</v>
      </c>
      <c r="O5760" s="173" t="s">
        <v>1728</v>
      </c>
      <c r="P5760" s="224"/>
      <c r="Q5760" s="224"/>
    </row>
    <row r="5761" spans="1:17" s="225" customFormat="1" ht="10.5" x14ac:dyDescent="0.25">
      <c r="A5761" s="229"/>
      <c r="B5761" s="230"/>
      <c r="C5761" s="177"/>
      <c r="D5761" s="178"/>
      <c r="E5761" s="178"/>
      <c r="F5761" s="178"/>
      <c r="G5761" s="178"/>
      <c r="H5761" s="178"/>
      <c r="I5761" s="178"/>
      <c r="J5761" s="178"/>
      <c r="K5761" s="178"/>
      <c r="L5761" s="178"/>
      <c r="M5761" s="178"/>
      <c r="N5761" s="178"/>
      <c r="O5761" s="178"/>
      <c r="P5761" s="231"/>
      <c r="Q5761" s="224"/>
    </row>
    <row r="5762" spans="1:17" s="225" customFormat="1" ht="10.5" x14ac:dyDescent="0.25">
      <c r="A5762" s="229"/>
      <c r="B5762" s="230"/>
      <c r="C5762" s="177"/>
      <c r="D5762" s="178"/>
      <c r="E5762" s="178"/>
      <c r="F5762" s="178"/>
      <c r="G5762" s="178"/>
      <c r="H5762" s="178"/>
      <c r="I5762" s="178"/>
      <c r="J5762" s="178"/>
      <c r="K5762" s="178"/>
      <c r="L5762" s="178"/>
      <c r="M5762" s="178"/>
      <c r="N5762" s="178"/>
      <c r="O5762" s="178"/>
      <c r="P5762" s="231"/>
      <c r="Q5762" s="224"/>
    </row>
    <row r="5763" spans="1:17" s="225" customFormat="1" ht="10.5" x14ac:dyDescent="0.25">
      <c r="A5763" s="229"/>
      <c r="B5763" s="230" t="s">
        <v>1936</v>
      </c>
      <c r="C5763" s="177"/>
      <c r="D5763" s="178"/>
      <c r="E5763" s="178">
        <v>5</v>
      </c>
      <c r="F5763" s="178"/>
      <c r="G5763" s="178">
        <v>2.2999999999999998</v>
      </c>
      <c r="H5763" s="178"/>
      <c r="I5763" s="178"/>
      <c r="J5763" s="178"/>
      <c r="K5763" s="178"/>
      <c r="L5763" s="178"/>
      <c r="M5763" s="178"/>
      <c r="N5763" s="178">
        <f>E5763*G5763</f>
        <v>11.5</v>
      </c>
      <c r="O5763" s="178"/>
      <c r="P5763" s="231"/>
      <c r="Q5763" s="224"/>
    </row>
    <row r="5764" spans="1:17" s="225" customFormat="1" ht="10.5" x14ac:dyDescent="0.25">
      <c r="A5764" s="229"/>
      <c r="B5764" s="230"/>
      <c r="C5764" s="177"/>
      <c r="D5764" s="178"/>
      <c r="E5764" s="178"/>
      <c r="F5764" s="178"/>
      <c r="G5764" s="178"/>
      <c r="H5764" s="178"/>
      <c r="I5764" s="178"/>
      <c r="J5764" s="178"/>
      <c r="K5764" s="178"/>
      <c r="L5764" s="180"/>
      <c r="M5764" s="178"/>
      <c r="N5764" s="178"/>
      <c r="O5764" s="178"/>
      <c r="P5764" s="231"/>
      <c r="Q5764" s="224"/>
    </row>
    <row r="5765" spans="1:17" s="225" customFormat="1" ht="10.5" x14ac:dyDescent="0.25">
      <c r="A5765" s="229"/>
      <c r="B5765" s="232" t="s">
        <v>5</v>
      </c>
      <c r="C5765" s="182" t="s">
        <v>1328</v>
      </c>
      <c r="D5765" s="182"/>
      <c r="E5765" s="182"/>
      <c r="F5765" s="182"/>
      <c r="G5765" s="182"/>
      <c r="H5765" s="182"/>
      <c r="I5765" s="182">
        <f>SUM(I5763:I5764)</f>
        <v>0</v>
      </c>
      <c r="J5765" s="182"/>
      <c r="K5765" s="182"/>
      <c r="L5765" s="182"/>
      <c r="M5765" s="182"/>
      <c r="N5765" s="182">
        <f>SUM(N5763:N5764)</f>
        <v>11.5</v>
      </c>
      <c r="O5765" s="182"/>
      <c r="P5765" s="233"/>
      <c r="Q5765" s="224"/>
    </row>
  </sheetData>
  <autoFilter ref="A5:O5765" xr:uid="{CC812F40-1537-4B5D-965E-4E6481865E10}"/>
  <mergeCells count="6">
    <mergeCell ref="A1:O1"/>
    <mergeCell ref="A2:O2"/>
    <mergeCell ref="A3:B3"/>
    <mergeCell ref="C3:K3"/>
    <mergeCell ref="A4:B4"/>
    <mergeCell ref="C4:K4"/>
  </mergeCells>
  <conditionalFormatting sqref="B1281">
    <cfRule type="duplicateValues" dxfId="3" priority="1"/>
  </conditionalFormatting>
  <printOptions horizontalCentered="1"/>
  <pageMargins left="0.39370078740157483" right="0.39370078740157483" top="0.78740157480314965" bottom="0.39370078740157483" header="0.31496062992125984" footer="0.3937007874015748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84A4F-D088-4692-B4B2-444C4AC82671}">
  <dimension ref="A1:DD360"/>
  <sheetViews>
    <sheetView topLeftCell="AT339" workbookViewId="0">
      <selection activeCell="CK273" sqref="CK273"/>
    </sheetView>
  </sheetViews>
  <sheetFormatPr defaultColWidth="7" defaultRowHeight="12.5" x14ac:dyDescent="0.25"/>
  <cols>
    <col min="1" max="4" width="13.5" style="73" customWidth="1"/>
    <col min="5" max="5" width="15.75" style="73" customWidth="1"/>
    <col min="6" max="6" width="14" style="73" customWidth="1"/>
    <col min="7" max="7" width="17.08203125" style="73" customWidth="1"/>
    <col min="8" max="8" width="8.58203125" style="134" customWidth="1"/>
    <col min="9" max="10" width="13.33203125" style="73" customWidth="1"/>
    <col min="11" max="11" width="8.25" style="73" customWidth="1"/>
    <col min="12" max="12" width="12" style="73" customWidth="1"/>
    <col min="13" max="13" width="9.5" style="73" customWidth="1"/>
    <col min="14" max="14" width="10.08203125" style="73" customWidth="1"/>
    <col min="15" max="15" width="12.08203125" style="73" customWidth="1"/>
    <col min="16" max="16" width="12.08203125" style="135" customWidth="1"/>
    <col min="17" max="17" width="18.25" style="135" customWidth="1"/>
    <col min="18" max="18" width="14.58203125" style="135" customWidth="1"/>
    <col min="19" max="19" width="18.25" style="135" customWidth="1"/>
    <col min="20" max="20" width="12.08203125" style="135" customWidth="1"/>
    <col min="21" max="21" width="8.83203125" style="73" customWidth="1"/>
    <col min="22" max="22" width="14.08203125" style="73" customWidth="1"/>
    <col min="23" max="27" width="12.25" style="73" customWidth="1"/>
    <col min="28" max="28" width="29.58203125" style="73" customWidth="1"/>
    <col min="29" max="29" width="23.33203125" style="574" customWidth="1"/>
    <col min="30" max="31" width="24.25" style="574" customWidth="1"/>
    <col min="32" max="34" width="29.58203125" style="73" customWidth="1"/>
    <col min="35" max="35" width="13.83203125" style="73" customWidth="1"/>
    <col min="36" max="36" width="10.58203125" style="73" customWidth="1"/>
    <col min="37" max="37" width="13.08203125" style="73" customWidth="1"/>
    <col min="38" max="38" width="16.33203125" style="73" customWidth="1"/>
    <col min="39" max="39" width="12.25" style="73" customWidth="1"/>
    <col min="40" max="40" width="12.08203125" style="73" customWidth="1"/>
    <col min="41" max="48" width="16.33203125" style="73" customWidth="1"/>
    <col min="49" max="50" width="16.58203125" style="73" customWidth="1"/>
    <col min="51" max="51" width="16.5" style="73" customWidth="1"/>
    <col min="52" max="52" width="22.75" style="73" customWidth="1"/>
    <col min="53" max="54" width="20.25" style="73" customWidth="1"/>
    <col min="55" max="56" width="16.5" style="73" customWidth="1"/>
    <col min="57" max="57" width="10.33203125" style="73" customWidth="1"/>
    <col min="58" max="58" width="8.08203125" style="73" customWidth="1"/>
    <col min="59" max="59" width="8.25" style="73" customWidth="1"/>
    <col min="60" max="60" width="23.75" style="135" customWidth="1"/>
    <col min="61" max="61" width="19" style="73" customWidth="1"/>
    <col min="62" max="63" width="18.83203125" style="73" customWidth="1"/>
    <col min="64" max="64" width="17.75" style="73" customWidth="1"/>
    <col min="65" max="65" width="18.83203125" style="73" customWidth="1"/>
    <col min="66" max="67" width="14.25" style="73" customWidth="1"/>
    <col min="68" max="68" width="5" style="73" customWidth="1"/>
    <col min="69" max="69" width="12.08203125" style="73" customWidth="1"/>
    <col min="70" max="70" width="16.25" style="73" customWidth="1"/>
    <col min="71" max="71" width="16.58203125" style="73" customWidth="1"/>
    <col min="72" max="73" width="7" style="73" customWidth="1"/>
    <col min="74" max="77" width="27.33203125" style="73" customWidth="1"/>
    <col min="78" max="80" width="17.83203125" style="73" customWidth="1"/>
    <col min="81" max="81" width="25.33203125" style="73" customWidth="1"/>
    <col min="82" max="85" width="21.25" style="73" customWidth="1"/>
    <col min="86" max="86" width="14.83203125" style="73" customWidth="1"/>
    <col min="87" max="90" width="21.25" style="73" customWidth="1"/>
    <col min="91" max="91" width="7" style="73" customWidth="1"/>
    <col min="92" max="93" width="14.5" style="73" customWidth="1"/>
    <col min="94" max="94" width="10" style="73" customWidth="1"/>
    <col min="95" max="95" width="9" style="73" customWidth="1"/>
    <col min="96" max="96" width="19.08203125" style="73" customWidth="1"/>
    <col min="97" max="97" width="13.33203125" style="73" customWidth="1"/>
    <col min="98" max="98" width="16.75" style="73" customWidth="1"/>
    <col min="99" max="99" width="18.33203125" style="73" customWidth="1"/>
    <col min="100" max="100" width="15.33203125" style="73" customWidth="1"/>
    <col min="101" max="101" width="23" style="73" customWidth="1"/>
    <col min="102" max="102" width="21.25" style="73" customWidth="1"/>
    <col min="103" max="103" width="13.25" style="73" customWidth="1"/>
    <col min="104" max="104" width="27.83203125" style="73" customWidth="1"/>
    <col min="105" max="105" width="7" style="73" customWidth="1"/>
    <col min="106" max="106" width="7" style="73"/>
    <col min="107" max="107" width="20.25" style="73" customWidth="1"/>
    <col min="108" max="108" width="12.5" style="73" bestFit="1" customWidth="1"/>
    <col min="109" max="16384" width="7" style="73"/>
  </cols>
  <sheetData>
    <row r="1" spans="1:108" x14ac:dyDescent="0.25">
      <c r="H1" s="73"/>
      <c r="P1" s="73"/>
      <c r="Q1" s="73"/>
      <c r="R1" s="73"/>
      <c r="S1" s="73"/>
      <c r="T1" s="73"/>
      <c r="AC1" s="73"/>
      <c r="AD1" s="73"/>
      <c r="AE1" s="73"/>
      <c r="BH1" s="73"/>
    </row>
    <row r="2" spans="1:108" ht="16" thickBot="1" x14ac:dyDescent="0.35">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5"/>
      <c r="AJ2" s="73" t="s">
        <v>2116</v>
      </c>
      <c r="BG2" s="73" t="s">
        <v>2117</v>
      </c>
      <c r="BV2" s="127" t="s">
        <v>1813</v>
      </c>
      <c r="BW2" s="127"/>
      <c r="BX2" s="127"/>
      <c r="BY2" s="127"/>
      <c r="BZ2" s="127"/>
      <c r="CA2" s="127"/>
      <c r="CB2" s="127"/>
      <c r="CC2" s="127"/>
      <c r="CD2" s="127"/>
      <c r="CE2" s="127"/>
      <c r="CF2" s="127"/>
      <c r="CG2" s="127"/>
      <c r="CH2" s="127"/>
      <c r="CI2" s="127"/>
      <c r="CJ2" s="127"/>
      <c r="CK2" s="127"/>
      <c r="CL2" s="127"/>
      <c r="CM2" s="127"/>
      <c r="CN2" s="127"/>
      <c r="CO2" s="127"/>
      <c r="CP2" s="127"/>
      <c r="CQ2" s="127"/>
      <c r="CX2" s="127"/>
    </row>
    <row r="3" spans="1:108" ht="13.5" thickBot="1" x14ac:dyDescent="0.35">
      <c r="A3" s="76" t="s">
        <v>1937</v>
      </c>
      <c r="B3" s="76"/>
      <c r="C3" s="76"/>
      <c r="D3" s="76"/>
      <c r="E3" s="76"/>
      <c r="F3" s="76"/>
      <c r="G3" s="76"/>
      <c r="H3" s="77"/>
      <c r="I3" s="76"/>
      <c r="J3" s="76"/>
      <c r="K3" s="76"/>
      <c r="L3" s="76"/>
      <c r="M3" s="76"/>
      <c r="N3" s="76"/>
      <c r="O3" s="76"/>
      <c r="P3" s="78"/>
      <c r="Q3" s="78"/>
      <c r="R3" s="78"/>
      <c r="S3" s="78"/>
      <c r="T3" s="78"/>
      <c r="U3" s="76"/>
      <c r="V3" s="76"/>
      <c r="W3" s="924"/>
      <c r="X3" s="925"/>
      <c r="Y3" s="925"/>
      <c r="Z3" s="925"/>
      <c r="AA3" s="925"/>
      <c r="AB3" s="925"/>
      <c r="AC3" s="925"/>
      <c r="AD3" s="925"/>
      <c r="AE3" s="925"/>
      <c r="AF3" s="925"/>
      <c r="AG3" s="925"/>
      <c r="AH3" s="925"/>
      <c r="AI3" s="79"/>
      <c r="AJ3" s="79"/>
      <c r="AK3" s="79"/>
      <c r="AL3" s="79"/>
      <c r="AM3" s="76"/>
      <c r="AN3" s="76"/>
      <c r="AO3" s="79" t="s">
        <v>2118</v>
      </c>
      <c r="AP3" s="79"/>
      <c r="AQ3" s="79"/>
      <c r="AR3" s="79"/>
      <c r="AS3" s="79"/>
      <c r="AT3" s="79"/>
      <c r="AU3" s="79"/>
      <c r="AV3" s="79"/>
      <c r="AW3" s="76"/>
      <c r="AX3" s="76" t="s">
        <v>1940</v>
      </c>
      <c r="AY3" s="76" t="s">
        <v>1941</v>
      </c>
      <c r="AZ3" s="76"/>
      <c r="BA3" s="76"/>
      <c r="BB3" s="76"/>
      <c r="BC3" s="76"/>
      <c r="BD3" s="76"/>
      <c r="BE3" s="926" t="s">
        <v>1942</v>
      </c>
      <c r="BF3" s="926"/>
      <c r="BG3" s="926"/>
      <c r="BH3" s="78"/>
      <c r="BI3" s="927" t="s">
        <v>451</v>
      </c>
      <c r="BJ3" s="925"/>
      <c r="BK3" s="925"/>
      <c r="BL3" s="925"/>
      <c r="BM3" s="925"/>
      <c r="BN3" s="925"/>
      <c r="BO3" s="925"/>
      <c r="BP3" s="76"/>
      <c r="BQ3" s="928" t="s">
        <v>1945</v>
      </c>
      <c r="BR3" s="929"/>
      <c r="BS3" s="929"/>
      <c r="BV3" s="530"/>
      <c r="BW3" s="530"/>
      <c r="BX3" s="530"/>
      <c r="BY3" s="530"/>
      <c r="BZ3" s="530"/>
      <c r="CA3" s="530"/>
      <c r="CB3" s="530"/>
      <c r="CC3" s="530"/>
      <c r="CD3" s="530"/>
      <c r="CE3" s="530"/>
      <c r="CF3" s="530"/>
      <c r="CG3" s="530"/>
      <c r="CH3" s="530"/>
      <c r="CI3" s="530"/>
      <c r="CJ3" s="530"/>
      <c r="CK3" s="530"/>
      <c r="CL3" s="530"/>
      <c r="CM3" s="530"/>
      <c r="CN3" s="530"/>
      <c r="CO3" s="530"/>
      <c r="CP3" s="930" t="s">
        <v>1945</v>
      </c>
      <c r="CQ3" s="930"/>
      <c r="CR3" s="939" t="s">
        <v>2119</v>
      </c>
      <c r="CS3" s="939" t="s">
        <v>2120</v>
      </c>
      <c r="CT3" s="941" t="s">
        <v>1921</v>
      </c>
      <c r="CU3" s="941" t="s">
        <v>2121</v>
      </c>
      <c r="CV3" s="941" t="s">
        <v>2122</v>
      </c>
      <c r="CW3" s="941" t="s">
        <v>2123</v>
      </c>
      <c r="CX3" s="941" t="s">
        <v>2124</v>
      </c>
      <c r="CY3" s="932" t="s">
        <v>2125</v>
      </c>
      <c r="CZ3" s="932" t="s">
        <v>2126</v>
      </c>
    </row>
    <row r="4" spans="1:108" s="86" customFormat="1" ht="65" x14ac:dyDescent="0.3">
      <c r="A4" s="82" t="s">
        <v>1392</v>
      </c>
      <c r="B4" s="82" t="s">
        <v>1390</v>
      </c>
      <c r="C4" s="82" t="s">
        <v>1394</v>
      </c>
      <c r="D4" s="82" t="s">
        <v>2127</v>
      </c>
      <c r="E4" s="82" t="s">
        <v>1947</v>
      </c>
      <c r="F4" s="82" t="s">
        <v>1948</v>
      </c>
      <c r="G4" s="82" t="s">
        <v>2128</v>
      </c>
      <c r="H4" s="136" t="s">
        <v>2129</v>
      </c>
      <c r="I4" s="82" t="s">
        <v>1951</v>
      </c>
      <c r="J4" s="136" t="s">
        <v>1952</v>
      </c>
      <c r="K4" s="82" t="s">
        <v>1953</v>
      </c>
      <c r="L4" s="137" t="s">
        <v>2130</v>
      </c>
      <c r="M4" s="138" t="s">
        <v>1955</v>
      </c>
      <c r="N4" s="137" t="s">
        <v>2131</v>
      </c>
      <c r="O4" s="137" t="s">
        <v>2132</v>
      </c>
      <c r="P4" s="137" t="s">
        <v>1958</v>
      </c>
      <c r="Q4" s="137" t="s">
        <v>1959</v>
      </c>
      <c r="R4" s="137" t="s">
        <v>1960</v>
      </c>
      <c r="S4" s="137" t="s">
        <v>1961</v>
      </c>
      <c r="T4" s="137" t="s">
        <v>1962</v>
      </c>
      <c r="U4" s="138" t="s">
        <v>1963</v>
      </c>
      <c r="V4" s="139" t="s">
        <v>2133</v>
      </c>
      <c r="W4" s="140" t="s">
        <v>1965</v>
      </c>
      <c r="X4" s="140" t="s">
        <v>1966</v>
      </c>
      <c r="Y4" s="140" t="s">
        <v>1967</v>
      </c>
      <c r="Z4" s="140" t="s">
        <v>1968</v>
      </c>
      <c r="AA4" s="140" t="s">
        <v>1969</v>
      </c>
      <c r="AB4" s="80" t="s">
        <v>1970</v>
      </c>
      <c r="AC4" s="141" t="s">
        <v>1972</v>
      </c>
      <c r="AD4" s="141" t="s">
        <v>1973</v>
      </c>
      <c r="AE4" s="141" t="s">
        <v>1974</v>
      </c>
      <c r="AF4" s="141" t="s">
        <v>1979</v>
      </c>
      <c r="AG4" s="141" t="s">
        <v>1980</v>
      </c>
      <c r="AH4" s="141" t="s">
        <v>2134</v>
      </c>
      <c r="AI4" s="141" t="s">
        <v>2135</v>
      </c>
      <c r="AJ4" s="82" t="s">
        <v>1987</v>
      </c>
      <c r="AK4" s="82" t="s">
        <v>1988</v>
      </c>
      <c r="AL4" s="82" t="s">
        <v>1989</v>
      </c>
      <c r="AM4" s="136" t="s">
        <v>1990</v>
      </c>
      <c r="AN4" s="136" t="s">
        <v>1991</v>
      </c>
      <c r="AO4" s="136" t="s">
        <v>1992</v>
      </c>
      <c r="AP4" s="141" t="s">
        <v>1993</v>
      </c>
      <c r="AQ4" s="141" t="s">
        <v>1994</v>
      </c>
      <c r="AR4" s="142" t="s">
        <v>1995</v>
      </c>
      <c r="AS4" s="531" t="s">
        <v>1996</v>
      </c>
      <c r="AT4" s="141" t="s">
        <v>1997</v>
      </c>
      <c r="AU4" s="141" t="s">
        <v>1998</v>
      </c>
      <c r="AV4" s="141" t="s">
        <v>1999</v>
      </c>
      <c r="AW4" s="82" t="s">
        <v>2000</v>
      </c>
      <c r="AX4" s="136" t="s">
        <v>2001</v>
      </c>
      <c r="AY4" s="136" t="s">
        <v>2002</v>
      </c>
      <c r="AZ4" s="136" t="s">
        <v>2004</v>
      </c>
      <c r="BA4" s="136" t="s">
        <v>2136</v>
      </c>
      <c r="BB4" s="136" t="s">
        <v>2006</v>
      </c>
      <c r="BC4" s="136" t="s">
        <v>2007</v>
      </c>
      <c r="BD4" s="136" t="s">
        <v>2008</v>
      </c>
      <c r="BE4" s="934">
        <v>400</v>
      </c>
      <c r="BF4" s="934"/>
      <c r="BG4" s="934"/>
      <c r="BH4" s="136" t="s">
        <v>1813</v>
      </c>
      <c r="BI4" s="532" t="s">
        <v>1405</v>
      </c>
      <c r="BJ4" s="532" t="s">
        <v>1410</v>
      </c>
      <c r="BK4" s="532" t="s">
        <v>1415</v>
      </c>
      <c r="BL4" s="532" t="s">
        <v>1418</v>
      </c>
      <c r="BM4" s="532" t="s">
        <v>1429</v>
      </c>
      <c r="BN4" s="532" t="s">
        <v>1431</v>
      </c>
      <c r="BO4" s="533" t="s">
        <v>1434</v>
      </c>
      <c r="BP4" s="143"/>
      <c r="BQ4" s="84" t="s">
        <v>2010</v>
      </c>
      <c r="BR4" s="84" t="s">
        <v>2137</v>
      </c>
      <c r="BS4" s="84" t="s">
        <v>2138</v>
      </c>
      <c r="BV4" s="534" t="s">
        <v>2139</v>
      </c>
      <c r="BW4" s="534" t="s">
        <v>2140</v>
      </c>
      <c r="BX4" s="535" t="s">
        <v>2141</v>
      </c>
      <c r="BY4" s="534" t="s">
        <v>2142</v>
      </c>
      <c r="BZ4" s="80" t="s">
        <v>2143</v>
      </c>
      <c r="CA4" s="80" t="s">
        <v>2144</v>
      </c>
      <c r="CB4" s="80" t="s">
        <v>2145</v>
      </c>
      <c r="CC4" s="533" t="s">
        <v>2146</v>
      </c>
      <c r="CD4" s="533" t="s">
        <v>2147</v>
      </c>
      <c r="CE4" s="533" t="s">
        <v>2148</v>
      </c>
      <c r="CF4" s="533" t="s">
        <v>2149</v>
      </c>
      <c r="CG4" s="533" t="s">
        <v>2150</v>
      </c>
      <c r="CH4" s="536" t="s">
        <v>1966</v>
      </c>
      <c r="CI4" s="141" t="s">
        <v>2151</v>
      </c>
      <c r="CJ4" s="533" t="s">
        <v>2152</v>
      </c>
      <c r="CK4" s="533" t="s">
        <v>2153</v>
      </c>
      <c r="CL4" s="533" t="s">
        <v>2154</v>
      </c>
      <c r="CM4" s="533" t="s">
        <v>2008</v>
      </c>
      <c r="CN4" s="533" t="s">
        <v>2155</v>
      </c>
      <c r="CO4" s="533" t="s">
        <v>2156</v>
      </c>
      <c r="CP4" s="533" t="s">
        <v>2157</v>
      </c>
      <c r="CQ4" s="533" t="s">
        <v>2158</v>
      </c>
      <c r="CR4" s="940"/>
      <c r="CS4" s="940"/>
      <c r="CT4" s="942"/>
      <c r="CU4" s="942"/>
      <c r="CV4" s="942"/>
      <c r="CW4" s="942"/>
      <c r="CX4" s="942"/>
      <c r="CY4" s="933"/>
      <c r="CZ4" s="933"/>
    </row>
    <row r="5" spans="1:108" s="112" customFormat="1" ht="13" x14ac:dyDescent="0.25">
      <c r="A5" s="114" t="str">
        <f>'BOCA DE LOBO'!A3</f>
        <v>RD-1</v>
      </c>
      <c r="B5" s="114"/>
      <c r="C5" s="114"/>
      <c r="D5" s="114"/>
      <c r="E5" s="100"/>
      <c r="F5" s="100"/>
      <c r="G5" s="100"/>
      <c r="H5" s="101"/>
      <c r="I5" s="102"/>
      <c r="J5" s="102"/>
      <c r="K5" s="103"/>
      <c r="L5" s="104"/>
      <c r="M5" s="104"/>
      <c r="N5" s="104"/>
      <c r="O5" s="104"/>
      <c r="P5" s="144"/>
      <c r="Q5" s="144"/>
      <c r="R5" s="105"/>
      <c r="S5" s="105"/>
      <c r="T5" s="105"/>
      <c r="U5" s="104"/>
      <c r="V5" s="107"/>
      <c r="W5" s="107"/>
      <c r="X5" s="107"/>
      <c r="Y5" s="107"/>
      <c r="Z5" s="107"/>
      <c r="AA5" s="107"/>
      <c r="AB5" s="108"/>
      <c r="AC5" s="109"/>
      <c r="AD5" s="109"/>
      <c r="AE5" s="109"/>
      <c r="AF5" s="109"/>
      <c r="AG5" s="109"/>
      <c r="AH5" s="109"/>
      <c r="AI5" s="537"/>
      <c r="AJ5" s="104"/>
      <c r="AK5" s="104"/>
      <c r="AL5" s="104"/>
      <c r="AM5" s="102"/>
      <c r="AN5" s="106"/>
      <c r="AO5" s="104"/>
      <c r="AP5" s="104"/>
      <c r="AQ5" s="104"/>
      <c r="AR5" s="104"/>
      <c r="AS5" s="104"/>
      <c r="AT5" s="104"/>
      <c r="AU5" s="104"/>
      <c r="AV5" s="104"/>
      <c r="AW5" s="104"/>
      <c r="AX5" s="104"/>
      <c r="AY5" s="104"/>
      <c r="AZ5" s="104"/>
      <c r="BA5" s="104"/>
      <c r="BB5" s="104"/>
      <c r="BC5" s="104"/>
      <c r="BD5" s="104"/>
      <c r="BE5" s="108"/>
      <c r="BF5" s="110"/>
      <c r="BG5" s="110"/>
      <c r="BH5" s="105"/>
      <c r="BI5" s="104"/>
      <c r="BJ5" s="104"/>
      <c r="BK5" s="104"/>
      <c r="BL5" s="104"/>
      <c r="BM5" s="104"/>
      <c r="BN5" s="104"/>
      <c r="BO5" s="111"/>
      <c r="BP5" s="111"/>
      <c r="BQ5" s="108"/>
      <c r="BR5" s="108"/>
      <c r="BS5" s="108"/>
      <c r="BV5" s="538"/>
      <c r="BW5" s="538"/>
      <c r="BX5" s="538"/>
      <c r="BY5" s="538"/>
      <c r="BZ5" s="538"/>
      <c r="CA5" s="538"/>
      <c r="CB5" s="538"/>
      <c r="CC5" s="538"/>
      <c r="CD5" s="538"/>
      <c r="CE5" s="538"/>
      <c r="CF5" s="538"/>
      <c r="CG5" s="538"/>
      <c r="CH5" s="538"/>
      <c r="CI5" s="538"/>
      <c r="CJ5" s="538"/>
      <c r="CK5" s="538"/>
      <c r="CL5" s="538"/>
      <c r="CM5" s="538"/>
      <c r="CN5" s="538"/>
      <c r="CO5" s="538"/>
      <c r="CP5" s="538"/>
      <c r="CQ5" s="538"/>
      <c r="CR5" s="539"/>
      <c r="CS5" s="540"/>
      <c r="CT5" s="540"/>
      <c r="CU5" s="541"/>
      <c r="CV5" s="538"/>
      <c r="CW5" s="538"/>
      <c r="CX5" s="104"/>
      <c r="CY5" s="542">
        <f t="shared" ref="CY5:CY11" si="0">CX5*0.5</f>
        <v>0</v>
      </c>
      <c r="CZ5" s="538">
        <f t="shared" ref="CZ5:CZ10" si="1">IF(AND(C5="EXISTENTE",D5="PROJETADA"),PI()*0.51*0.51/4*0.12,0)</f>
        <v>0</v>
      </c>
    </row>
    <row r="6" spans="1:108" s="112" customFormat="1" ht="25" x14ac:dyDescent="0.25">
      <c r="A6" s="100" t="str">
        <f>'BOCA DE LOBO'!C4</f>
        <v>BL1-&gt;PV1.1</v>
      </c>
      <c r="B6" s="100" t="str">
        <f>'BOCA DE LOBO'!A4</f>
        <v>PV1.1</v>
      </c>
      <c r="C6" s="100" t="str">
        <f>VLOOKUP(A6,'BOCA DE LOBO'!C:F,3,0)</f>
        <v>PROJETADO</v>
      </c>
      <c r="D6" s="100" t="str">
        <f>VLOOKUP(A6,'BOCA DE LOBO'!C:L,10,0)</f>
        <v>PROJETADA</v>
      </c>
      <c r="E6" s="100">
        <f t="shared" ref="E6:E7" si="2">IF(F6-G6*4%&lt;2.5,F6-G6*4%,2.5)</f>
        <v>1.0024000000000002</v>
      </c>
      <c r="F6" s="100">
        <f>VLOOKUP(A6,'BOCA DE LOBO'!C:D,2,0)</f>
        <v>1.55</v>
      </c>
      <c r="G6" s="100">
        <f>VLOOKUP(A6,'BOCA DE LOBO'!C:F,4,0)</f>
        <v>13.69</v>
      </c>
      <c r="H6" s="101">
        <v>400</v>
      </c>
      <c r="I6" s="102">
        <f t="shared" ref="I6:I7" si="3">IF(H6=400,((E6+F6)/2)+0.08+U6,IF(H6=500,((E6+F6)/2)+0.1+U6,IF(H6=600,((E6+F6)/2)+0.12+U6,IF(H6=800,((E6+F6)/2)+0.16+U6,IF(H6=1000,((E6+F6)/2)+0.2+U6,IF(H6=1200,((E6+F6)/2)+0.24+U6,IF(H6=1500,((E6+F6)/2)+0.3+U6,IF(H6&gt;1500,((E6+F6)/2)+0.4+U6))))))))</f>
        <v>1.4062000000000003</v>
      </c>
      <c r="J6" s="102">
        <f t="shared" ref="J6:J7" si="4">IF(L6=0,0,IF(I6&gt;=1.25,G6*I6/20,0))</f>
        <v>0.96254390000000023</v>
      </c>
      <c r="K6" s="103">
        <v>0</v>
      </c>
      <c r="L6" s="104">
        <f t="shared" ref="L6:L7" si="5">IF(D6&lt;&gt;"PROJETADA",0,IF(H6=400,1,0)+IF(H6=500,1.2,0)+IF(H6=600,1.4,0)+IF(H6=800,1.7,0)+IF(H6=1000,2,0)+IF(H6=1200,2.2,0)+IF(H6=1500,2.6,0)+IF(H6=1650,3,0)+IF(H6=1800,3.2,0)+IF(H6=2000,3.4,0)+IF(H6=2200,3.6,0)+IF(H6=2400,3.8,0)+IF(H6=2600,4,0)+IF(H6=3000,4.4,0))</f>
        <v>1</v>
      </c>
      <c r="M6" s="104">
        <f t="shared" ref="M6:M7" si="6">2*K6*I6+L6</f>
        <v>1</v>
      </c>
      <c r="N6" s="104">
        <f t="shared" ref="N6:N7" si="7">IF(OR(D6="EXISTENTE",D6="AMPLIADA"),400,0)</f>
        <v>0</v>
      </c>
      <c r="O6" s="104">
        <f>IF(P6="TERRENO NATURAL",0,M6*G6)</f>
        <v>13.69</v>
      </c>
      <c r="P6" s="144" t="str">
        <f>VLOOKUP(B6,'Planilha Hidráulica'!$AE$32:$AQ$36,13,0)</f>
        <v>ASFALTO</v>
      </c>
      <c r="Q6" s="144" t="s">
        <v>2031</v>
      </c>
      <c r="R6" s="105"/>
      <c r="S6" s="105">
        <f>VLOOKUP(Q6,Quantitativos!P:R,3,0)</f>
        <v>5</v>
      </c>
      <c r="T6" s="105">
        <f>VLOOKUP(Q6,Quantitativos!P:S,4,0)</f>
        <v>5</v>
      </c>
      <c r="U6" s="104">
        <f t="shared" ref="U6:U7" si="8">IF(H6=400,0.05,0)+IF(H6=500,0.05,0)+IF(H6=600,0.1,0)+IF(H6=800,0.1,0)+IF(H6=1000,0.15,0)+IF(H6=1200,0.15,0)+IF(H6=1500,0.2,0)+IF(H6=1650,0.2,0)+IF(H6=1800,0.2,0)+IF(H6=2000,0.25,0)+IF(H6=2200,0.25,0)+IF(H6=2400,0.25,0)+IF(H6=2600,0.25,0)+IF(H6=3000,0.25,0)</f>
        <v>0.05</v>
      </c>
      <c r="V6" s="106">
        <f t="shared" ref="V6:V7" si="9">IF(L6=0,0,IF("EXISTENTE"=C6,0,IFERROR((PI()*(N6/1000)*(N6/1000)/4)*G6,0)))</f>
        <v>0</v>
      </c>
      <c r="W6" s="106">
        <f t="shared" ref="W6:W7" si="10">IF(O6=0,0,((((K6*I6)*I6)/2)*2+L6*I6)*G6-V6+AO6)</f>
        <v>19.250878000000004</v>
      </c>
      <c r="X6" s="107">
        <f>W6-SUM(AC6:AJ6)</f>
        <v>0</v>
      </c>
      <c r="Y6" s="107">
        <f>IF(R6=1,IF(N6=0,I6+0.4,0.4),0)</f>
        <v>0</v>
      </c>
      <c r="Z6" s="107">
        <f t="shared" ref="Z6:Z7" si="11">IF(Y6&gt;0.5,0,IF(S6&lt;I6,S6,I6))</f>
        <v>1.4062000000000003</v>
      </c>
      <c r="AA6" s="107">
        <f t="shared" ref="AA6:AA7" si="12">I6-Z6</f>
        <v>0</v>
      </c>
      <c r="AB6" s="108">
        <f>IF(P6="ASFALTO",IF(D6="PROJETADA",O6,IF(D6="EXISTENTE",0,O6/2)),0)</f>
        <v>13.69</v>
      </c>
      <c r="AC6" s="109">
        <f>IF(Y6=0,0,IF(Y6=0.4,IF(L6&lt;=1.5,IF(Z6+0.4&gt;=1.5,0,L6*G6*0.4),0),IF(L6&lt;=1.5,IF(Y6&gt;=1.5,M6*G6*1.5,L6*G6*(Y6)),0)+IF(S6&lt;I6+0.4,0,IF(AND(Y6&lt;=1.5,L6&lt;=1.5),-V6,0))))</f>
        <v>0</v>
      </c>
      <c r="AD6" s="109">
        <f>IF(Y6=0,0,IF(Y6=0.4,IF(L6&lt;=1.5,IF(OR(Z6+0.4&gt;=3,Z6+0.4&lt;1.5),0,L6*G6*0.4),0),IF(IF(L6&lt;=1.5,IF(Y6&gt;=3,M6*G6*1.5,L6*G6*(Y6-1.5)),0)&lt;0,0,IF(L6&lt;=1.5,IF(Y6&gt;=3,M6*G6*1.5,L6*G6*(Y6-1.5)),0))+IF(S6&lt;I6+0.4,0,IF(AND(Y6&lt;=3,L6&lt;=1.5),-V6,0))))</f>
        <v>0</v>
      </c>
      <c r="AE6" s="109">
        <f>IF(Y6=0,0,IF(Y6=0.4,IF(L6&lt;=1.5,IF(OR(Z6+0.4&gt;=4.5,Z6+0.4&lt;3),0,L6*G6*0.4),0),IF(IF(L6&lt;=1.5,IF(Y6&gt;=4.5,M6*G6*1.5,L6*G6*(Y6-3)),0)&lt;0,0,IF(L6&lt;=1.5,IF(Y6&gt;=4.5,M6*G6*1.5,L6*G6*(Y6-3)),0))+IF(S6&lt;I6+0.4,0,IF(AND(Y6&lt;=4.5,L6&lt;=1.5),-V6,0))))</f>
        <v>0</v>
      </c>
      <c r="AF6" s="109">
        <f>IF(L6&lt;=1.5,IF(Z6&gt;=1.5,M6*G6*1.5,L6*G6*Z6),0)+IF(S6&lt;I6,0,IF(AND(Z6&lt;=1.5,L6&lt;=1.5),-V6,0))</f>
        <v>19.250878000000004</v>
      </c>
      <c r="AG6" s="109">
        <f>IF(IF(L6&lt;=1.5,IF(Z6&gt;=3,M6*G6*1.5,L6*G6*(Z6-1.5)),0)&lt;0,0,IF(L6&lt;=1.5,IF(Z6&gt;=3,M6*G6*1.5,L6*G6*(Z6-1.5)),0))+IF(S6&lt;I6,0,IF(AND(Z6&lt;=3,L6&lt;=1.5),-V6,0))</f>
        <v>0</v>
      </c>
      <c r="AH6" s="109">
        <f>IF(IF(IF(L6&lt;=1.5,IF(Z6&gt;=4.5,M6*G6*1.5,L6*G6*(Z6-3)),0)&lt;0,0,IF(L6&lt;=1.5,IF(Z6&gt;=4.5,M6*G6*1.5,L6*G6*(Z6-3)),0))+IF(S6&lt;I6,0,IF(AND(Z6&lt;=4.5,L6&lt;=1.5),-V6,0))&lt;0,0,IF(IF(L6&lt;=1.5,IF(Z6&gt;=4.5,M6*G6*1.5,L6*G6*(Z6-3)),0)&lt;0,0,IF(L6&lt;=1.5,IF(Z6&gt;=4.5,M6*G6*1.5,L6*G6*(Z6-3)),0))+IF(S6&lt;I6,0,IF(AND(Z6&lt;=4.5,L6&lt;=1.5),-V6,0)))</f>
        <v>0</v>
      </c>
      <c r="AI6" s="537" t="str">
        <f>IF(I6&gt;S6,"SIM","NÃO")</f>
        <v>NÃO</v>
      </c>
      <c r="AJ6" s="104">
        <f>W6-SUM(AC6:AH6)</f>
        <v>0</v>
      </c>
      <c r="AK6" s="104">
        <f>IF(I6-T6&lt;0,0,(I6-T6)*G6)/75</f>
        <v>0</v>
      </c>
      <c r="AL6" s="104">
        <f>IF(L6=0,0,G6*L6*I6-PI()*(H6/1000)*(H6/1000)/4*G6+AO6)</f>
        <v>17.530541862894232</v>
      </c>
      <c r="AM6" s="102">
        <f>IF(L6&lt;1.5,L6*G6*IF(H6&lt;=500,0.05,IF(H6&lt;=800,0.1,IF(H6&lt;=1200,0.15,IF(H6&gt;=1500,0.2)))),0)</f>
        <v>0.6845</v>
      </c>
      <c r="AN6" s="106">
        <f>IF(L6&gt;=1.5,L6*G6*IF(H6&lt;=500,0.05,IF(H6&lt;=800,0.1,IF(H6&lt;=1200,0.15,IF(H6&gt;=1500,0.2)))),0)</f>
        <v>0</v>
      </c>
      <c r="AO6" s="104">
        <f>IF(R6=1,0.4*G6*L6,0)</f>
        <v>0</v>
      </c>
      <c r="AP6" s="104">
        <f>IF(AO6&lt;SUM(AF6:AH6),0,AO6)</f>
        <v>0</v>
      </c>
      <c r="AQ6" s="104">
        <f>H6/1000+0.3</f>
        <v>0.7</v>
      </c>
      <c r="AR6" s="104">
        <f>IF(D6&lt;&gt;"PROJETADA",0,AQ6*L6*G6-PI()*(H6/1000*H6/1000)/4*G6)</f>
        <v>7.8626638628942276</v>
      </c>
      <c r="AS6" s="104">
        <f>IF(AR6&lt;SUM(AF6:AH6),0,AR6)</f>
        <v>0</v>
      </c>
      <c r="AT6" s="104">
        <f>IF(P6="ASFALTO",0.15*G6*L6,0)</f>
        <v>2.0534999999999997</v>
      </c>
      <c r="AU6" s="104">
        <f t="shared" ref="AU6:AU7" si="13">AT6</f>
        <v>2.0534999999999997</v>
      </c>
      <c r="AV6" s="104">
        <f>IF(P6="ASFALTO",0.03*G6*L6,0)</f>
        <v>0.41069999999999995</v>
      </c>
      <c r="AW6" s="104">
        <f>AL6-AO6-SUM(AM6:AN6)-AT6-AU6-AR6</f>
        <v>4.8763780000000052</v>
      </c>
      <c r="AX6" s="104">
        <f>SUM(AF6:AH6)-AO6-AT6-AR6</f>
        <v>9.3347141371057774</v>
      </c>
      <c r="AY6" s="104">
        <f>SMALL(AW6:AX6,1)</f>
        <v>4.8763780000000052</v>
      </c>
      <c r="AZ6" s="104">
        <f>AW6-AY6</f>
        <v>0</v>
      </c>
      <c r="BA6" s="104">
        <f>IF($AZ$96&gt;$BA$98,($BA$98/$AZ$96)*AZ6,AZ6)</f>
        <v>0</v>
      </c>
      <c r="BB6" s="104">
        <f t="shared" ref="BB6:BB7" si="14">AZ6-BA6</f>
        <v>0</v>
      </c>
      <c r="BC6" s="104"/>
      <c r="BD6" s="104">
        <f>IF(AO6+AT6&gt;0,4%*(AO6+AT6),0)</f>
        <v>8.2139999999999991E-2</v>
      </c>
      <c r="BE6" s="108">
        <f>IF(H6=400,I6,0)</f>
        <v>1.4062000000000003</v>
      </c>
      <c r="BF6" s="110">
        <f>IF(BE6&lt;=1.75,G6*IF(D6="PROJETADA",1,0),0)</f>
        <v>13.69</v>
      </c>
      <c r="BG6" s="110">
        <f>IF(AND(BE6&lt;=3,BE6&gt;1.75),IF(D6="PROJETADA",1,0)*G6,0)</f>
        <v>0</v>
      </c>
      <c r="BH6" s="105" t="str">
        <f>VLOOKUP(A6,'BOCA DE LOBO'!C:I,7,0)</f>
        <v>BOCA DE LOBO PROJETADA TRIPLA</v>
      </c>
      <c r="BI6" s="104">
        <f t="shared" ref="BI6:BI7" si="15">IF(BH6=$BI$4,1,0)</f>
        <v>0</v>
      </c>
      <c r="BJ6" s="104">
        <f t="shared" ref="BJ6:BJ7" si="16">IF(BH6=$BJ$4,1,0)</f>
        <v>0</v>
      </c>
      <c r="BK6" s="104">
        <f t="shared" ref="BK6:BK7" si="17">IF(BH6=$BK$4,1,0)</f>
        <v>0</v>
      </c>
      <c r="BL6" s="104">
        <f t="shared" ref="BL6:BL7" si="18">IF(BH6=$BL$4,1,0)</f>
        <v>0</v>
      </c>
      <c r="BM6" s="104">
        <f t="shared" ref="BM6:BM7" si="19">IF(BH6=$BM$4,1,0)</f>
        <v>0</v>
      </c>
      <c r="BN6" s="104">
        <f t="shared" ref="BN6:BN7" si="20">IF(BH6=$BN$4,1,0)</f>
        <v>0</v>
      </c>
      <c r="BO6" s="104">
        <f t="shared" ref="BO6:BO7" si="21">IF(BH6=$BO$4,1,0)</f>
        <v>1</v>
      </c>
      <c r="BP6" s="111"/>
      <c r="BQ6" s="108">
        <f>IF(L6&lt;=1.5,IF(I6+IF(R6=1,0.5,0)&lt;1.5,(I6+IF(R6=1,0.5,0))*G6*2,G6*2*1.5),0)</f>
        <v>38.501756000000007</v>
      </c>
      <c r="BR6" s="108">
        <f>IF(L6&lt;=1.5,IF(AND(I6+IF(R6=1,0.5,0)&lt;3,I6+IF(R6=1,0.5,0)&gt;1.5),(I6+IF(R6=1,0.5,0)-1.5)*G6*2,IF(I6+IF(R6=1,0.5,0)&gt;=3,(G6*2*1.5),0)),0)</f>
        <v>0</v>
      </c>
      <c r="BS6" s="108">
        <f>IF(L6&lt;=1.5,IF(AND(I6+IF(R6=1,0.5,0)&lt;4.5,I6+IF(R6=1,0.5,0)&gt;3),(I6+IF(R6=1,0.5,0)-3)*G6*2,IF(I6+IF(R6=1,0.5,0)&gt;=4.5,(G6*2*1.5),0)),0)</f>
        <v>0</v>
      </c>
      <c r="BV6" s="538">
        <f t="shared" ref="BV6:BV7" si="22">IF(OR("BOCA DE LOBO EXISTENTE TRIPLA"=BH6,"BOCA DE LOBO EXISTENTE SIMPLES"=BH6,"BOCA DE LOBO EXISTENTE DUPLA"=BH6),0,IF("BOCA DE LOBO PROJETADA DUPLA"=BH6,(2.57+1)*(1.18+1),IF(OR("BOCA DE LOBO DUPLA EXISTENTE COM BOCA DE LOBO SIMPLES PROJETADA"=BH6,"BOCA DE LOBO SIMPLES EXISTENTE COM BOCA DE LOBO SIMPLES PROJETADA"=BH6),(1.18+0.5)*(1.18+1),IF(OR(BH6="BOCA DE LOBO DUPLA EXISTENTE COM BOCA DE LOBO DUPLA PROJETADA",BH6="BOCA DE LOBO SIMPLES EXISTENTE COM BOCA DE LOBO DUPLA PROJETADA"),(2.38+0.5)*(1.18+1),IF("BOCA DE LOBO PROJETADA TRIPLA"=BH6,(3.76+1)*(1.18+1),IF("BOCA DE LOBO PROJETADA QUADRUPLA"=BH6,(4.92+1)*(1.18+1),"X"))))))*(E6+IF(CA6&gt;0,0.5,0))</f>
        <v>10.401704319999999</v>
      </c>
      <c r="BW6" s="538">
        <f t="shared" ref="BW6:BW7" si="23">IF(OR("BOCA DE LOBO EXISTENTE TRIPLA"=BH6,"BOCA DE LOBO EXISTENTE SIMPLES"=BH6,"BOCA DE LOBO EXISTENTE DUPLA"=BH6),0,IF("BOCA DE LOBO PROJETADA DUPLA"=BH6,(2.57+1)*(1.18+1),IF(OR("BOCA DE LOBO DUPLA EXISTENTE COM BOCA DE LOBO SIMPLES PROJETADA"=BH6,"BOCA DE LOBO SIMPLES EXISTENTE COM BOCA DE LOBO SIMPLES PROJETADA"=BH6),(1.18+1)*(1.18+0.5),IF(OR(BH6="BOCA DE LOBO DUPLA EXISTENTE COM BOCA DE LOBO DUPLA PROJETADA",BH6="BOCA DE LOBO SIMPLES EXISTENTE COM BOCA DE LOBO DUPLA PROJETADA"),(2.38+0.5)*(1.18+1),IF("BOCA DE LOBO PROJETADA TRIPLA"=BH6,(3.76+0.5*2)*(1.18+1),IF("BOCA DE LOBO PROJETADA QUADRUPLA"=BH6,(4.92+0.5*2)*(1.18+1),"X"))))))</f>
        <v>10.376799999999998</v>
      </c>
      <c r="BX6" s="538">
        <f t="shared" ref="BX6:BX7" si="24">IF(OR("BOCA DE LOBO EXISTENTE TRIPLA"=BH6,"BOCA DE LOBO EXISTENTE SIMPLES"=BH6,"BOCA DE LOBO EXISTENTE DUPLA"=BH6),0,IF("BOCA DE LOBO PROJETADA DUPLA"=BH6,(2.57)*(1.18),IF(OR("BOCA DE LOBO DUPLA EXISTENTE COM BOCA DE LOBO SIMPLES PROJETADA"=BH6,"BOCA DE LOBO SIMPLES EXISTENTE COM BOCA DE LOBO SIMPLES PROJETADA"=BH6),(1.18)*(1.18),IF(OR(BH6="BOCA DE LOBO DUPLA EXISTENTE COM BOCA DE LOBO DUPLA PROJETADA",BH6="BOCA DE LOBO SIMPLES EXISTENTE COM BOCA DE LOBO DUPLA PROJETADA"),(2.38)*(1.18),IF("BOCA DE LOBO PROJETADA TRIPLA"=BH6,(3.76)*(1.18),IF("BOCA DE LOBO PROJETADA QUADRUPLA"=BH6,(4.92)*(1.18),"X"))))))</f>
        <v>4.4367999999999999</v>
      </c>
      <c r="BY6" s="538">
        <f>E6</f>
        <v>1.0024000000000002</v>
      </c>
      <c r="BZ6" s="538">
        <f>IF(Y6&gt;0.5,0,IF(S6&lt;E6,S6,E6))</f>
        <v>1.0024000000000002</v>
      </c>
      <c r="CA6" s="538">
        <f t="shared" ref="CA6:CA7" si="25">IF(Y6&gt;0.4,BY6+0.4,Y6)</f>
        <v>0</v>
      </c>
      <c r="CB6" s="538">
        <f>IF(S6&gt;E6,0,E6-S6)</f>
        <v>0</v>
      </c>
      <c r="CC6" s="538">
        <f>IF(BZ6&gt;1.5,BW6*1.5,BW6*BZ6)</f>
        <v>10.401704319999999</v>
      </c>
      <c r="CD6" s="538">
        <f>IF(BZ6&gt;1.5,BW6*(BZ6-1.5),0)</f>
        <v>0</v>
      </c>
      <c r="CE6" s="538">
        <f t="shared" ref="CE6:CE7" si="26">IF(CA6=0.4,IF(BZ6+CA6&gt;1.5,0,CA6*BW6),IF(CA6&gt;1.5,BW6*1.5,BW6*CA6))</f>
        <v>0</v>
      </c>
      <c r="CF6" s="538">
        <f t="shared" ref="CF6:CF7" si="27">IF(CA6=0.4,IF(BZ6+CA6&lt;=1.5,0,CA6*BW6),IF(CA6&gt;1.5,BW6*(CA6-1.5),0))</f>
        <v>0</v>
      </c>
      <c r="CG6" s="538">
        <f>BV6-SUM(CC6:CF6)</f>
        <v>0</v>
      </c>
      <c r="CH6" s="538">
        <f>SUM(CC6:CG6)-BV6</f>
        <v>0</v>
      </c>
      <c r="CI6" s="104">
        <f t="shared" ref="CI6:CI7" si="28">IF(OR("BOCA DE LOBO EXISTENTE TRIPLA"=BH6,"BOCA DE LOBO EXISTENTE SIMPLES"=BH6,"BOCA DE LOBO EXISTENTE DUPLA"=BH6),0,IF("BOCA DE LOBO PROJETADA DUPLA"=BH6,(2.57+1)*(0.5),IF(OR("BOCA DE LOBO DUPLA EXISTENTE COM BOCA DE LOBO SIMPLES PROJETADA"=BH6,"BOCA DE LOBO SIMPLES EXISTENTE COM BOCA DE LOBO SIMPLES PROJETADA"=BH6),(1.18+0.5)*(0.5),IF(OR(BH6="BOCA DE LOBO DUPLA EXISTENTE COM BOCA DE LOBO DUPLA PROJETADA",BH6="BOCA DE LOBO SIMPLES EXISTENTE COM BOCA DE LOBO DUPLA PROJETADA"),(2.38+0.5)*(0.5),IF("BOCA DE LOBO PROJETADA TRIPLA"=BH6,(3.76+1)*(0.5),IF("BOCA DE LOBO PROJETADA QUADRUPLA"=BH6,(4.92+1)*(0.5),"X")))))*0.3)</f>
        <v>0.71399999999999997</v>
      </c>
      <c r="CJ6" s="538">
        <f t="shared" ref="CJ6:CJ7" si="29">(BW6-BX6)*(BY6+IF(CA6&gt;=0.4,0.4,0))-CI6</f>
        <v>5.2402559999999987</v>
      </c>
      <c r="CK6" s="538">
        <f>IF($CK$98&gt;$CJ$96,CJ6,CJ6*$CK$98/$CJ$96)</f>
        <v>5.2402559999999987</v>
      </c>
      <c r="CL6" s="538">
        <f>CJ6-CK6</f>
        <v>0</v>
      </c>
      <c r="CM6" s="538">
        <f>IF(CA6&gt;0,0.5*4%*BW6,0)</f>
        <v>0</v>
      </c>
      <c r="CN6" s="538">
        <f>IF(OR("BOCA DE LOBO EXISTENTE TRIPLA"=BH6,"BOCA DE LOBO EXISTENTE SIMPLES"=BH6,"BOCA DE LOBO EXISTENTE DUPLA"=BH6),0,IF("BOCA DE LOBO PROJETADA DUPLA"=BH6,(2.57+1),IF(OR("BOCA DE LOBO DUPLA EXISTENTE COM BOCA DE LOBO SIMPLES PROJETADA"=BH6,"BOCA DE LOBO SIMPLES EXISTENTE COM BOCA DE LOBO SIMPLES PROJETADA"=BH6),(1.18+0.5),IF(OR(BH6="BOCA DE LOBO DUPLA EXISTENTE COM BOCA DE LOBO DUPLA PROJETADA",BH6="BOCA DE LOBO SIMPLES EXISTENTE COM BOCA DE LOBO DUPLA PROJETADA"),(2.38+0.5),IF("BOCA DE LOBO PROJETADA TRIPLA"=BH6,(3.76+0.5*2),IF("BOCA DE LOBO PROJETADA QUADRUPLA"=BH6,(4.92+0.5*2),"X"))))))</f>
        <v>4.76</v>
      </c>
      <c r="CO6" s="538">
        <f>IF(CA6&gt;0,BY6+0.5,BY6)</f>
        <v>1.0024000000000002</v>
      </c>
      <c r="CP6" s="538">
        <f>IF(CO6&gt;=1.5,CN6*1.5*2,CN6*CO6*2)</f>
        <v>9.5428480000000011</v>
      </c>
      <c r="CQ6" s="538">
        <f>IF(CO6&lt;=1.5,0,IF(CO6&gt;=3,CN6*1.5*2,CN6*(CO6-1.5)*2))</f>
        <v>0</v>
      </c>
      <c r="CR6" s="539">
        <f>IF(D6="AMPLIADA",0.55*(E6-0.5),0)</f>
        <v>0</v>
      </c>
      <c r="CS6" s="540">
        <f t="shared" ref="CS6:CS7" si="30">IF(OR("BOCA DE LOBO EXISTENTE TRIPLA"=BH6,"BOCA DE LOBO EXISTENTE SIMPLES"=BH6,"BOCA DE LOBO EXISTENTE DUPLA"=BH6,"BOCA DE LOBO EXISTENTE QUADRUPLA"=BH6),0,IF("BOCA DE LOBO PROJETADA DUPLA"=BH6,(0),IF(OR("BOCA DE LOBO DUPLA EXISTENTE COM BOCA DE LOBO SIMPLES PROJETADA"=BH6,"BOCA DE LOBO SIMPLES EXISTENTE COM BOCA DE LOBO SIMPLES PROJETADA"=BH6),(0.8*0.15*0.17),IF(OR(BH6="BOCA DE LOBO DUPLA EXISTENTE COM BOCA DE LOBO DUPLA PROJETADA",BH6="BOCA DE LOBO SIMPLES EXISTENTE COM BOCA DE LOBO DUPLA PROJETADA"),(0.8*0.15*0.17),IF("BOCA DE LOBO PROJETADA TRIPLA"=BH6,(0),IF("BOCA DE LOBO PROJETADA QUADRUPLA"=BH6,(0),"X")))))*E6)</f>
        <v>0</v>
      </c>
      <c r="CT6" s="540">
        <f t="shared" ref="CT6:CT7" si="31">IF(OR("BOCA DE LOBO EXISTENTE TRIPLA"=BH6,"BOCA DE LOBO EXISTENTE SIMPLES"=BH6,"BOCA DE LOBO EXISTENTE DUPLA"=BH6,"BOCA DE LOBO EXISTENTE QUADRUPLA"=BH6),0,IF("BOCA DE LOBO PROJETADA DUPLA"=BH6,(1.18*2.57*0.05),IF(OR("BOCA DE LOBO DUPLA EXISTENTE COM BOCA DE LOBO SIMPLES PROJETADA"=BH6,"BOCA DE LOBO SIMPLES EXISTENTE COM BOCA DE LOBO SIMPLES PROJETADA"=BH6),(1.19*1.18*0.05),IF(OR(BH6="BOCA DE LOBO DUPLA EXISTENTE COM BOCA DE LOBO DUPLA PROJETADA",BH6="BOCA DE LOBO SIMPLES EXISTENTE COM BOCA DE LOBO DUPLA PROJETADA"),(2.38*1.18*0.056),IF("BOCA DE LOBO PROJETADA TRIPLA"=BH6,(3.76*1.18*0.05),IF("BOCA DE LOBO PROJETADA QUADRUPLA"=BH6,(4.92*1.18*0.05),"X")))))+CI6/3)</f>
        <v>0.45984000000000003</v>
      </c>
      <c r="CU6" s="541">
        <f t="shared" ref="CU6:CU7" si="32">IF(OR("BOCA DE LOBO EXISTENTE TRIPLA"=BH6,"BOCA DE LOBO EXISTENTE SIMPLES"=BH6,"BOCA DE LOBO EXISTENTE DUPLA"=BH6,"BOCA DE LOBO EXISTENTE QUADRUPLA"=BH6),0,IF("BOCA DE LOBO PROJETADA DUPLA"=BH6,(1*4+0.6*2),IF(OR("BOCA DE LOBO DUPLA EXISTENTE COM BOCA DE LOBO SIMPLES PROJETADA"=BH6,"BOCA DE LOBO SIMPLES EXISTENTE COM BOCA DE LOBO SIMPLES PROJETADA"=BH6),(1*2+0.6),IF(OR(BH6="BOCA DE LOBO DUPLA EXISTENTE COM BOCA DE LOBO DUPLA PROJETADA",BH6="BOCA DE LOBO SIMPLES EXISTENTE COM BOCA DE LOBO DUPLA PROJETADA"),(1*4+0.6),IF("BOCA DE LOBO PROJETADA TRIPLA"=BH6,(6*1+0.6*2),IF("BOCA DE LOBO PROJETADA QUADRUPLA"=BH6,(8*1+0.6*2),"X")))))*E6)</f>
        <v>7.2172800000000015</v>
      </c>
      <c r="CV6" s="538">
        <f t="shared" ref="CV6:CV7" si="33">IF(OR("BOCA DE LOBO EXISTENTE TRIPLA"=BH6,"BOCA DE LOBO EXISTENTE SIMPLES"=BH6,"BOCA DE LOBO EXISTENTE DUPLA"=BH6,"BOCA DE LOBO EXISTENTE QUADRUPLA"=BH6),0,IF("BOCA DE LOBO PROJETADA DUPLA"=BH6,(12*E6*0.17*0.15+1*0.17*0.15*5+1.09*0.6*0.07*2+2.57*1.18*0.15),IF(OR("BOCA DE LOBO DUPLA EXISTENTE COM BOCA DE LOBO SIMPLES PROJETADA"=BH6,"BOCA DE LOBO SIMPLES EXISTENTE COM BOCA DE LOBO SIMPLES PROJETADA"=BH6),(8*E6*0.17*0.15+1*0.17*0.15*4+1.09*0.6*0.07*1+1.38*1.18*0.15),IF(OR(BH6="BOCA DE LOBO DUPLA EXISTENTE COM BOCA DE LOBO DUPLA PROJETADA",BH6="BOCA DE LOBO SIMPLES EXISTENTE COM BOCA DE LOBO DUPLA PROJETADA"),(7*E6*0.17*0.15+1*0.17*0.15*5+1.09*0.6*0.07*2+2.38*1.18*0.15),IF("BOCA DE LOBO PROJETADA TRIPLA"=BH6,(15*E6*0.17*0.15+1*0.17*0.15*7+1.09*0.6*0.07*3+3.76*1.18*0.15),IF("BOCA DE LOBO PROJETADA QUADRUPLA"=BH6,(19*E6*0.17*0.15+1*0.17*0.15*9+1.09*0.6*0.07*4+4.92*1.18*0.15),"X"))))))</f>
        <v>1.3647780000000003</v>
      </c>
      <c r="CW6" s="538">
        <f t="shared" ref="CW6:CW7" si="34">IF(OR("BOCA DE LOBO EXISTENTE TRIPLA"=BH6,"BOCA DE LOBO EXISTENTE SIMPLES"=BH6,"BOCA DE LOBO EXISTENTE DUPLA"=BH6,"BOCA DE LOBO EXISTENTE QUADRUPLA"=BH6),0,IF("BOCA DE LOBO PROJETADA DUPLA"=BH6,(12*E6*2*(0.17+0.15)+1*(2*0.17+0.15)*5+2*(2.57+1.18)*0.15+(1.09+0.6)*2*0.07*2),IF(OR("BOCA DE LOBO DUPLA EXISTENTE COM BOCA DE LOBO SIMPLES PROJETADA"=BH6,"BOCA DE LOBO SIMPLES EXISTENTE COM BOCA DE LOBO SIMPLES PROJETADA"=BH6),(8*E6*2*(0.17+0.15)+1*(2*0.17+0.15)*4+2*(1.38+1.18)*0.15+(1.09+0.6)*2*0.07*1),IF(OR(BH6="BOCA DE LOBO DUPLA EXISTENTE COM BOCA DE LOBO DUPLA PROJETADA",BH6="BOCA DE LOBO SIMPLES EXISTENTE COM BOCA DE LOBO DUPLA PROJETADA"),(7*E6*2*(0.17+0.15)+1*(2*0.17+0.15)*5+2*(2.38+1.18)*0.15+(1.09+0.6)*2*0.07*2),IF("BOCA DE LOBO PROJETADA TRIPLA"=BH6,(15*E6*2*(0.17+0.15)+1*(2*0.17+0.15)*7+2*(3.76+1.18)*0.15+(1.09+0.6)*2*0.07*3),IF("BOCA DE LOBO PROJETADA QUADRUPLA"=BH6,(19*E6*2*(0.17+0.15)+1*(2*0.17+0.15)*7+2*(4.92+1.18)*0.15+(1.09+0.6)*2*0.07*4),"X"))))))</f>
        <v>15.24484</v>
      </c>
      <c r="CX6" s="104">
        <f t="shared" ref="CX6:CX7" si="35">IF(OR("BOCA DE LOBO EXISTENTE TRIPLA"=BH6,"BOCA DE LOBO EXISTENTE SIMPLES"=BH6,"BOCA DE LOBO EXISTENTE DUPLA"=BH6,"BOCA DE LOBO EXISTENTE QUADRUPLA"=BH6),0,IF("BOCA DE LOBO PROJETADA DUPLA"=BH6,(2.57+1),IF(OR("BOCA DE LOBO DUPLA EXISTENTE COM BOCA DE LOBO SIMPLES PROJETADA"=BH6,"BOCA DE LOBO SIMPLES EXISTENTE COM BOCA DE LOBO SIMPLES PROJETADA"=BH6),(1.18+0.5),IF(OR(BH6="BOCA DE LOBO DUPLA EXISTENTE COM BOCA DE LOBO DUPLA PROJETADA",BH6="BOCA DE LOBO SIMPLES EXISTENTE COM BOCA DE LOBO DUPLA PROJETADA"),(2.38+0.5),IF("BOCA DE LOBO PROJETADA TRIPLA"=BH6,(3.76+1),IF("BOCA DE LOBO PROJETADA QUADRUPLA"=BH6,(4.92+1),"X"))))))</f>
        <v>4.76</v>
      </c>
      <c r="CY6" s="542">
        <f t="shared" si="0"/>
        <v>2.38</v>
      </c>
      <c r="CZ6" s="538">
        <f t="shared" si="1"/>
        <v>0</v>
      </c>
    </row>
    <row r="7" spans="1:108" s="112" customFormat="1" ht="25" x14ac:dyDescent="0.25">
      <c r="A7" s="100" t="str">
        <f>'BOCA DE LOBO'!C5</f>
        <v>BL2-&gt;PV3.1</v>
      </c>
      <c r="B7" s="100" t="str">
        <f>'BOCA DE LOBO'!A5</f>
        <v>PV3.1</v>
      </c>
      <c r="C7" s="100" t="str">
        <f>VLOOKUP(A7,'BOCA DE LOBO'!C:F,3,0)</f>
        <v>PROJETADO</v>
      </c>
      <c r="D7" s="100" t="str">
        <f>VLOOKUP(A7,'BOCA DE LOBO'!C:L,10,0)</f>
        <v>PROJETADA</v>
      </c>
      <c r="E7" s="100">
        <f t="shared" si="2"/>
        <v>1.6736</v>
      </c>
      <c r="F7" s="100">
        <f>VLOOKUP(A7,'BOCA DE LOBO'!C:D,2,0)</f>
        <v>1.89</v>
      </c>
      <c r="G7" s="100">
        <f>VLOOKUP(A7,'BOCA DE LOBO'!C:F,4,0)</f>
        <v>5.41</v>
      </c>
      <c r="H7" s="101">
        <v>400</v>
      </c>
      <c r="I7" s="102">
        <f t="shared" si="3"/>
        <v>1.9118000000000002</v>
      </c>
      <c r="J7" s="102">
        <f t="shared" si="4"/>
        <v>0.51714190000000004</v>
      </c>
      <c r="K7" s="103">
        <v>0</v>
      </c>
      <c r="L7" s="104">
        <f t="shared" si="5"/>
        <v>1</v>
      </c>
      <c r="M7" s="104">
        <f t="shared" si="6"/>
        <v>1</v>
      </c>
      <c r="N7" s="104">
        <f t="shared" si="7"/>
        <v>0</v>
      </c>
      <c r="O7" s="104">
        <f>IF(P7="TERRENO NATURAL",0,M7*G7)</f>
        <v>5.41</v>
      </c>
      <c r="P7" s="144" t="str">
        <f>VLOOKUP(B7,'Planilha Hidráulica'!$AE$32:$AQ$36,13,0)</f>
        <v>ASFALTO</v>
      </c>
      <c r="Q7" s="144" t="s">
        <v>2031</v>
      </c>
      <c r="R7" s="105">
        <v>1</v>
      </c>
      <c r="S7" s="105">
        <f>VLOOKUP(Q7,Quantitativos!P:R,3,0)</f>
        <v>5</v>
      </c>
      <c r="T7" s="105">
        <f>VLOOKUP(Q7,Quantitativos!P:S,4,0)</f>
        <v>5</v>
      </c>
      <c r="U7" s="104">
        <f t="shared" si="8"/>
        <v>0.05</v>
      </c>
      <c r="V7" s="106">
        <f t="shared" si="9"/>
        <v>0</v>
      </c>
      <c r="W7" s="106">
        <f t="shared" si="10"/>
        <v>12.506838</v>
      </c>
      <c r="X7" s="107">
        <f>W7-SUM(AC7:AJ7)</f>
        <v>0</v>
      </c>
      <c r="Y7" s="107">
        <f>IF(R7=1,IF(N7=0,I7+0.4,0.4),0)</f>
        <v>2.3118000000000003</v>
      </c>
      <c r="Z7" s="107">
        <f t="shared" si="11"/>
        <v>0</v>
      </c>
      <c r="AA7" s="107">
        <f t="shared" si="12"/>
        <v>1.9118000000000002</v>
      </c>
      <c r="AB7" s="108">
        <f>IF(P7="ASFALTO",IF(D7="PROJETADA",O7,IF(D7="EXISTENTE",0,O7/2)),0)</f>
        <v>5.41</v>
      </c>
      <c r="AC7" s="109">
        <f>IF(Y7=0,0,IF(Y7=0.4,IF(L7&lt;=1.5,IF(Z7+0.4&gt;=1.5,0,L7*G7*0.4),0),IF(L7&lt;=1.5,IF(Y7&gt;=1.5,M7*G7*1.5,L7*G7*(Y7)),0)+IF(S7&lt;I7+0.4,0,IF(AND(Y7&lt;=1.5,L7&lt;=1.5),-V7,0))))</f>
        <v>8.1150000000000002</v>
      </c>
      <c r="AD7" s="109">
        <f>IF(Y7=0,0,IF(Y7=0.4,IF(L7&lt;=1.5,IF(OR(Z7+0.4&gt;=3,Z7+0.4&lt;1.5),0,L7*G7*0.4),0),IF(IF(L7&lt;=1.5,IF(Y7&gt;=3,M7*G7*1.5,L7*G7*(Y7-1.5)),0)&lt;0,0,IF(L7&lt;=1.5,IF(Y7&gt;=3,M7*G7*1.5,L7*G7*(Y7-1.5)),0))+IF(S7&lt;I7+0.4,0,IF(AND(Y7&lt;=3,L7&lt;=1.5),-V7,0))))</f>
        <v>4.3918380000000017</v>
      </c>
      <c r="AE7" s="109">
        <f>IF(Y7=0,0,IF(Y7=0.4,IF(L7&lt;=1.5,IF(OR(Z7+0.4&gt;=4.5,Z7+0.4&lt;3),0,L7*G7*0.4),0),IF(IF(L7&lt;=1.5,IF(Y7&gt;=4.5,M7*G7*1.5,L7*G7*(Y7-3)),0)&lt;0,0,IF(L7&lt;=1.5,IF(Y7&gt;=4.5,M7*G7*1.5,L7*G7*(Y7-3)),0))+IF(S7&lt;I7+0.4,0,IF(AND(Y7&lt;=4.5,L7&lt;=1.5),-V7,0))))</f>
        <v>0</v>
      </c>
      <c r="AF7" s="109">
        <f>IF(L7&lt;=1.5,IF(Z7&gt;=1.5,M7*G7*1.5,L7*G7*Z7),0)+IF(S7&lt;I7,0,IF(AND(Z7&lt;=1.5,L7&lt;=1.5),-V7,0))</f>
        <v>0</v>
      </c>
      <c r="AG7" s="109">
        <f>IF(IF(L7&lt;=1.5,IF(Z7&gt;=3,M7*G7*1.5,L7*G7*(Z7-1.5)),0)&lt;0,0,IF(L7&lt;=1.5,IF(Z7&gt;=3,M7*G7*1.5,L7*G7*(Z7-1.5)),0))+IF(S7&lt;I7,0,IF(AND(Z7&lt;=3,L7&lt;=1.5),-V7,0))</f>
        <v>0</v>
      </c>
      <c r="AH7" s="109">
        <f>IF(IF(IF(L7&lt;=1.5,IF(Z7&gt;=4.5,M7*G7*1.5,L7*G7*(Z7-3)),0)&lt;0,0,IF(L7&lt;=1.5,IF(Z7&gt;=4.5,M7*G7*1.5,L7*G7*(Z7-3)),0))+IF(S7&lt;I7,0,IF(AND(Z7&lt;=4.5,L7&lt;=1.5),-V7,0))&lt;0,0,IF(IF(L7&lt;=1.5,IF(Z7&gt;=4.5,M7*G7*1.5,L7*G7*(Z7-3)),0)&lt;0,0,IF(L7&lt;=1.5,IF(Z7&gt;=4.5,M7*G7*1.5,L7*G7*(Z7-3)),0))+IF(S7&lt;I7,0,IF(AND(Z7&lt;=4.5,L7&lt;=1.5),-V7,0)))</f>
        <v>0</v>
      </c>
      <c r="AI7" s="537" t="str">
        <f>IF(I7&gt;S7,"SIM","NÃO")</f>
        <v>NÃO</v>
      </c>
      <c r="AJ7" s="104">
        <f>W7-SUM(AC7:AH7)</f>
        <v>0</v>
      </c>
      <c r="AK7" s="104">
        <f>IF(I7-T7&lt;0,0,(I7-T7)*G7)/75</f>
        <v>0</v>
      </c>
      <c r="AL7" s="104">
        <f>IF(L7=0,0,G7*L7*I7-PI()*(H7/1000)*(H7/1000)/4*G7+AO7)</f>
        <v>11.826997349763168</v>
      </c>
      <c r="AM7" s="102">
        <f>IF(L7&lt;1.5,L7*G7*IF(H7&lt;=500,0.05,IF(H7&lt;=800,0.1,IF(H7&lt;=1200,0.15,IF(H7&gt;=1500,0.2)))),0)</f>
        <v>0.27050000000000002</v>
      </c>
      <c r="AN7" s="106">
        <f>IF(L7&gt;=1.5,L7*G7*IF(H7&lt;=500,0.05,IF(H7&lt;=800,0.1,IF(H7&lt;=1200,0.15,IF(H7&gt;=1500,0.2)))),0)</f>
        <v>0</v>
      </c>
      <c r="AO7" s="104">
        <f>IF(R7=1,0.4*G7*L7,0)</f>
        <v>2.1640000000000001</v>
      </c>
      <c r="AP7" s="104">
        <f>IF(AO7&lt;SUM(AF7:AH7),0,AO7)</f>
        <v>2.1640000000000001</v>
      </c>
      <c r="AQ7" s="104">
        <f>H7/1000+0.3</f>
        <v>0.7</v>
      </c>
      <c r="AR7" s="104">
        <f>IF(D7&lt;&gt;"PROJETADA",0,AQ7*L7*G7-PI()*(H7/1000*H7/1000)/4*G7)</f>
        <v>3.1071593497631689</v>
      </c>
      <c r="AS7" s="104">
        <f>IF(AR7&lt;SUM(AF7:AH7),0,AR7)</f>
        <v>3.1071593497631689</v>
      </c>
      <c r="AT7" s="104">
        <f>IF(P7="ASFALTO",0.15*G7*L7,0)</f>
        <v>0.8115</v>
      </c>
      <c r="AU7" s="104">
        <f t="shared" si="13"/>
        <v>0.8115</v>
      </c>
      <c r="AV7" s="104">
        <f>IF(P7="ASFALTO",0.03*G7*L7,0)</f>
        <v>0.1623</v>
      </c>
      <c r="AW7" s="104">
        <f>AL7-AO7-SUM(AM7:AN7)-AT7-AU7-AR7</f>
        <v>4.6623379999999992</v>
      </c>
      <c r="AX7" s="104">
        <f>SUM(AF7:AH7)-AO7-AT7-AR7</f>
        <v>-6.0826593497631691</v>
      </c>
      <c r="AY7" s="104">
        <f>SMALL(AW7:AX7,1)</f>
        <v>-6.0826593497631691</v>
      </c>
      <c r="AZ7" s="104">
        <f>AW7-AY7</f>
        <v>10.744997349763167</v>
      </c>
      <c r="BA7" s="104">
        <f>IF($AZ$96&gt;$BA$98,($BA$98/$AZ$96)*AZ7,AZ7)</f>
        <v>2.7809211543427272</v>
      </c>
      <c r="BB7" s="104">
        <f t="shared" si="14"/>
        <v>7.9640761954204402</v>
      </c>
      <c r="BC7" s="104"/>
      <c r="BD7" s="104">
        <f>IF(AO7+AT7&gt;0,4%*(AO7+AT7),0)</f>
        <v>0.11902000000000001</v>
      </c>
      <c r="BE7" s="108">
        <f>IF(H7=400,I7,0)</f>
        <v>1.9118000000000002</v>
      </c>
      <c r="BF7" s="110">
        <f>IF(BE7&lt;=1.75,G7*IF(D7="PROJETADA",1,0),0)</f>
        <v>0</v>
      </c>
      <c r="BG7" s="110">
        <f>IF(AND(BE7&lt;=3,BE7&gt;1.75),IF(D7="PROJETADA",1,0)*G7,0)</f>
        <v>5.41</v>
      </c>
      <c r="BH7" s="105" t="str">
        <f>VLOOKUP(A7,'BOCA DE LOBO'!C:I,7,0)</f>
        <v>BOCA DE LOBO PROJETADA TRIPLA</v>
      </c>
      <c r="BI7" s="104">
        <f t="shared" si="15"/>
        <v>0</v>
      </c>
      <c r="BJ7" s="104">
        <f t="shared" si="16"/>
        <v>0</v>
      </c>
      <c r="BK7" s="104">
        <f t="shared" si="17"/>
        <v>0</v>
      </c>
      <c r="BL7" s="104">
        <f t="shared" si="18"/>
        <v>0</v>
      </c>
      <c r="BM7" s="104">
        <f t="shared" si="19"/>
        <v>0</v>
      </c>
      <c r="BN7" s="104">
        <f t="shared" si="20"/>
        <v>0</v>
      </c>
      <c r="BO7" s="104">
        <f t="shared" si="21"/>
        <v>1</v>
      </c>
      <c r="BP7" s="111"/>
      <c r="BQ7" s="108">
        <f>IF(L7&lt;=1.5,IF(I7+IF(R7=1,0.5,0)&lt;1.5,(I7+IF(R7=1,0.5,0))*G7*2,G7*2*1.5),0)</f>
        <v>16.23</v>
      </c>
      <c r="BR7" s="108">
        <f>IF(L7&lt;=1.5,IF(AND(I7+IF(R7=1,0.5,0)&lt;3,I7+IF(R7=1,0.5,0)&gt;1.5),(I7+IF(R7=1,0.5,0)-1.5)*G7*2,IF(I7+IF(R7=1,0.5,0)&gt;=3,(G7*2*1.5),0)),0)</f>
        <v>9.8656760000000041</v>
      </c>
      <c r="BS7" s="108">
        <f>IF(L7&lt;=1.5,IF(AND(I7+IF(R7=1,0.5,0)&lt;4.5,I7+IF(R7=1,0.5,0)&gt;3),(I7+IF(R7=1,0.5,0)-3)*G7*2,IF(I7+IF(R7=1,0.5,0)&gt;=4.5,(G7*2*1.5),0)),0)</f>
        <v>0</v>
      </c>
      <c r="BV7" s="538">
        <f t="shared" si="22"/>
        <v>22.555012479999995</v>
      </c>
      <c r="BW7" s="538">
        <f t="shared" si="23"/>
        <v>10.376799999999998</v>
      </c>
      <c r="BX7" s="538">
        <f t="shared" si="24"/>
        <v>4.4367999999999999</v>
      </c>
      <c r="BY7" s="538">
        <f>E7</f>
        <v>1.6736</v>
      </c>
      <c r="BZ7" s="538">
        <f>IF(Y7&gt;0.5,0,IF(S7&lt;E7,S7,E7))</f>
        <v>0</v>
      </c>
      <c r="CA7" s="538">
        <f t="shared" si="25"/>
        <v>2.0735999999999999</v>
      </c>
      <c r="CB7" s="538">
        <f>IF(S7&gt;E7,0,E7-S7)</f>
        <v>0</v>
      </c>
      <c r="CC7" s="538">
        <f>IF(BZ7&gt;1.5,BW7*1.5,BW7*BZ7)</f>
        <v>0</v>
      </c>
      <c r="CD7" s="538">
        <f>IF(BZ7&gt;1.5,BW7*(BZ7-1.5),0)</f>
        <v>0</v>
      </c>
      <c r="CE7" s="538">
        <f t="shared" si="26"/>
        <v>15.565199999999997</v>
      </c>
      <c r="CF7" s="538">
        <f t="shared" si="27"/>
        <v>5.9521324799999977</v>
      </c>
      <c r="CG7" s="538">
        <f>BV7-SUM(CC7:CF7)</f>
        <v>1.0376800000000017</v>
      </c>
      <c r="CH7" s="538">
        <f>SUM(CC7:CG7)-BV7</f>
        <v>0</v>
      </c>
      <c r="CI7" s="104">
        <f t="shared" si="28"/>
        <v>0.71399999999999997</v>
      </c>
      <c r="CJ7" s="538">
        <f t="shared" si="29"/>
        <v>11.603183999999994</v>
      </c>
      <c r="CK7" s="538">
        <f>IF($CK$98&gt;$CJ$96,CJ7,CJ7*$CK$98/$CJ$96)</f>
        <v>11.603183999999994</v>
      </c>
      <c r="CL7" s="538">
        <f>CJ7-CK7</f>
        <v>0</v>
      </c>
      <c r="CM7" s="538">
        <f>IF(CA7&gt;0,0.5*4%*BW7,0)</f>
        <v>0.20753599999999994</v>
      </c>
      <c r="CN7" s="538">
        <f t="shared" ref="CN7" si="36">IF(OR("BOCA DE LOBO EXISTENTE TRIPLA"=BH7,"BOCA DE LOBO EXISTENTE SIMPLES"=BH7,"BOCA DE LOBO EXISTENTE DUPLA"=BH7),0,IF("BOCA DE LOBO PROJETADA DUPLA"=BH7,(2.57+1),IF(OR("BOCA DE LOBO DUPLA EXISTENTE COM BOCA DE LOBO SIMPLES PROJETADA"=BH7,"BOCA DE LOBO SIMPLES EXISTENTE COM BOCA DE LOBO SIMPLES PROJETADA"=BH7),(1.18+0.5),IF(OR(BH7="BOCA DE LOBO DUPLA EXISTENTE COM BOCA DE LOBO DUPLA PROJETADA",BH7="BOCA DE LOBO SIMPLES EXISTENTE COM BOCA DE LOBO DUPLA PROJETADA"),(2.38+0.5),IF("BOCA DE LOBO PROJETADA TRIPLA"=BH7,(3.76+0.5*2),IF("BOCA DE LOBO PROJETADA QUADRUPLA"=BH7,(4.92+0.5*2),"X"))))))</f>
        <v>4.76</v>
      </c>
      <c r="CO7" s="538">
        <f>IF(CA7&gt;0,BY7+0.5,BY7)</f>
        <v>2.1736</v>
      </c>
      <c r="CP7" s="538">
        <f>IF(CO7&gt;=1.5,CN7*1.5*2,CN7*CO7*2)</f>
        <v>14.28</v>
      </c>
      <c r="CQ7" s="538">
        <f>IF(CO7&lt;=1.5,0,IF(CO7&gt;=3,CN7*1.5*2,CN7*(CO7-1.5)*2))</f>
        <v>6.4126719999999997</v>
      </c>
      <c r="CR7" s="539">
        <f>IF(D7="AMPLIADA",0.55*(E7-0.5),0)</f>
        <v>0</v>
      </c>
      <c r="CS7" s="540">
        <f t="shared" si="30"/>
        <v>0</v>
      </c>
      <c r="CT7" s="540">
        <f t="shared" si="31"/>
        <v>0.45984000000000003</v>
      </c>
      <c r="CU7" s="541">
        <f t="shared" si="32"/>
        <v>12.04992</v>
      </c>
      <c r="CV7" s="538">
        <f t="shared" si="33"/>
        <v>1.6215120000000001</v>
      </c>
      <c r="CW7" s="538">
        <f t="shared" si="34"/>
        <v>21.688359999999999</v>
      </c>
      <c r="CX7" s="104">
        <f t="shared" si="35"/>
        <v>4.76</v>
      </c>
      <c r="CY7" s="542">
        <f t="shared" si="0"/>
        <v>2.38</v>
      </c>
      <c r="CZ7" s="538">
        <f t="shared" si="1"/>
        <v>0</v>
      </c>
    </row>
    <row r="8" spans="1:108" s="112" customFormat="1" ht="13" x14ac:dyDescent="0.25">
      <c r="A8" s="114" t="str">
        <f>'BOCA DE LOBO'!A6</f>
        <v>RD-2</v>
      </c>
      <c r="B8" s="114"/>
      <c r="C8" s="114"/>
      <c r="D8" s="114"/>
      <c r="E8" s="100"/>
      <c r="F8" s="100"/>
      <c r="G8" s="100"/>
      <c r="H8" s="101"/>
      <c r="I8" s="102"/>
      <c r="J8" s="102"/>
      <c r="K8" s="103"/>
      <c r="L8" s="104"/>
      <c r="M8" s="104"/>
      <c r="N8" s="104"/>
      <c r="O8" s="104"/>
      <c r="P8" s="144"/>
      <c r="Q8" s="105"/>
      <c r="R8" s="105"/>
      <c r="S8" s="105"/>
      <c r="T8" s="105"/>
      <c r="U8" s="104"/>
      <c r="V8" s="107"/>
      <c r="W8" s="107"/>
      <c r="X8" s="107"/>
      <c r="Y8" s="107"/>
      <c r="Z8" s="107"/>
      <c r="AA8" s="107"/>
      <c r="AB8" s="108"/>
      <c r="AC8" s="109"/>
      <c r="AD8" s="109"/>
      <c r="AE8" s="109"/>
      <c r="AF8" s="109"/>
      <c r="AG8" s="109"/>
      <c r="AH8" s="109"/>
      <c r="AI8" s="537" t="str">
        <f>IF(I8&gt;S8,"SIM","NÃO")</f>
        <v>NÃO</v>
      </c>
      <c r="AJ8" s="104"/>
      <c r="AK8" s="104"/>
      <c r="AL8" s="104"/>
      <c r="AM8" s="102"/>
      <c r="AN8" s="106"/>
      <c r="AO8" s="104"/>
      <c r="AP8" s="104"/>
      <c r="AQ8" s="104"/>
      <c r="AR8" s="104"/>
      <c r="AS8" s="104"/>
      <c r="AT8" s="104"/>
      <c r="AU8" s="104"/>
      <c r="AV8" s="104"/>
      <c r="AW8" s="104"/>
      <c r="AX8" s="104"/>
      <c r="AY8" s="104"/>
      <c r="AZ8" s="104"/>
      <c r="BA8" s="104"/>
      <c r="BB8" s="104"/>
      <c r="BC8" s="104"/>
      <c r="BD8" s="104"/>
      <c r="BE8" s="108"/>
      <c r="BF8" s="110"/>
      <c r="BG8" s="110"/>
      <c r="BH8" s="105"/>
      <c r="BI8" s="104"/>
      <c r="BJ8" s="104"/>
      <c r="BK8" s="104"/>
      <c r="BL8" s="104"/>
      <c r="BM8" s="104"/>
      <c r="BN8" s="104"/>
      <c r="BO8" s="111"/>
      <c r="BP8" s="111"/>
      <c r="BQ8" s="108"/>
      <c r="BR8" s="108"/>
      <c r="BS8" s="108"/>
      <c r="BV8" s="538"/>
      <c r="BW8" s="538"/>
      <c r="BX8" s="538"/>
      <c r="BY8" s="538"/>
      <c r="BZ8" s="538"/>
      <c r="CA8" s="538"/>
      <c r="CB8" s="538"/>
      <c r="CC8" s="538"/>
      <c r="CD8" s="538"/>
      <c r="CE8" s="538"/>
      <c r="CF8" s="538"/>
      <c r="CG8" s="538"/>
      <c r="CH8" s="538"/>
      <c r="CI8" s="538"/>
      <c r="CJ8" s="538"/>
      <c r="CK8" s="538"/>
      <c r="CL8" s="538"/>
      <c r="CM8" s="538"/>
      <c r="CN8" s="538"/>
      <c r="CO8" s="538"/>
      <c r="CP8" s="538"/>
      <c r="CQ8" s="538"/>
      <c r="CR8" s="539"/>
      <c r="CS8" s="540"/>
      <c r="CT8" s="540"/>
      <c r="CU8" s="541"/>
      <c r="CV8" s="538"/>
      <c r="CW8" s="538"/>
      <c r="CX8" s="538"/>
      <c r="CY8" s="542">
        <f t="shared" si="0"/>
        <v>0</v>
      </c>
      <c r="CZ8" s="538">
        <f t="shared" si="1"/>
        <v>0</v>
      </c>
    </row>
    <row r="9" spans="1:108" s="112" customFormat="1" ht="25" x14ac:dyDescent="0.25">
      <c r="A9" s="100" t="str">
        <f>'BOCA DE LOBO'!C7</f>
        <v>BL3-&gt;PV1.1</v>
      </c>
      <c r="B9" s="100" t="str">
        <f>'BOCA DE LOBO'!A7</f>
        <v>PV1.1</v>
      </c>
      <c r="C9" s="100" t="str">
        <f>VLOOKUP(A9,'BOCA DE LOBO'!C:F,3,0)</f>
        <v>PROJETADO</v>
      </c>
      <c r="D9" s="100" t="str">
        <f>VLOOKUP(A9,'BOCA DE LOBO'!C:L,10,0)</f>
        <v>PROJETADA</v>
      </c>
      <c r="E9" s="100">
        <f>IF(F9-G9*4%&lt;2.5,F9-G9*4%,2.5)</f>
        <v>2.5</v>
      </c>
      <c r="F9" s="100">
        <f>VLOOKUP(A9,'BOCA DE LOBO'!C:D,2,0)</f>
        <v>3.05</v>
      </c>
      <c r="G9" s="100">
        <f>VLOOKUP(A9,'BOCA DE LOBO'!C:F,4,0)</f>
        <v>5.95</v>
      </c>
      <c r="H9" s="101">
        <v>400</v>
      </c>
      <c r="I9" s="102">
        <f>IF(H9=400,((E9+F9)/2)+0.08+U9,IF(H9=500,((E9+F9)/2)+0.1+U9,IF(H9=600,((E9+F9)/2)+0.12+U9,IF(H9=800,((E9+F9)/2)+0.16+U9,IF(H9=1000,((E9+F9)/2)+0.2+U9,IF(H9=1200,((E9+F9)/2)+0.24+U9,IF(H9=1500,((E9+F9)/2)+0.3+U9,IF(H9&gt;1500,((E9+F9)/2)+0.4+U9))))))))</f>
        <v>2.9049999999999998</v>
      </c>
      <c r="J9" s="102">
        <f>IF(L9=0,0,IF(I9&gt;=1.25,G9*I9/20,0))</f>
        <v>0.86423749999999999</v>
      </c>
      <c r="K9" s="103">
        <v>0</v>
      </c>
      <c r="L9" s="104">
        <f>IF(D9&lt;&gt;"PROJETADA",0,IF(H9=400,1,0)+IF(H9=500,1.2,0)+IF(H9=600,1.4,0)+IF(H9=800,1.7,0)+IF(H9=1000,2,0)+IF(H9=1200,2.2,0)+IF(H9=1500,2.6,0)+IF(H9=1650,3,0)+IF(H9=1800,3.2,0)+IF(H9=2000,3.4,0)+IF(H9=2200,3.6,0)+IF(H9=2400,3.8,0)+IF(H9=2600,4,0)+IF(H9=3000,4.4,0))</f>
        <v>1</v>
      </c>
      <c r="M9" s="104">
        <f>2*K9*I9+L9</f>
        <v>1</v>
      </c>
      <c r="N9" s="104">
        <f>IF(OR(D9="EXISTENTE",D9="AMPLIADA"),400,0)</f>
        <v>0</v>
      </c>
      <c r="O9" s="104">
        <f>IF(P9="TERRENO NATURAL",0,M9*G9)</f>
        <v>5.95</v>
      </c>
      <c r="P9" s="144" t="s">
        <v>1999</v>
      </c>
      <c r="Q9" s="144" t="s">
        <v>2032</v>
      </c>
      <c r="R9" s="105">
        <v>1</v>
      </c>
      <c r="S9" s="105">
        <f>VLOOKUP(Q9,Quantitativos!P:R,3,0)</f>
        <v>5</v>
      </c>
      <c r="T9" s="105">
        <f>VLOOKUP(Q9,Quantitativos!P:S,4,0)</f>
        <v>5</v>
      </c>
      <c r="U9" s="104">
        <f>IF(H9=400,0.05,0)+IF(H9=500,0.05,0)+IF(H9=600,0.1,0)+IF(H9=800,0.1,0)+IF(H9=1000,0.15,0)+IF(H9=1200,0.15,0)+IF(H9=1500,0.2,0)+IF(H9=1650,0.2,0)+IF(H9=1800,0.2,0)+IF(H9=2000,0.25,0)+IF(H9=2200,0.25,0)+IF(H9=2400,0.25,0)+IF(H9=2600,0.25,0)+IF(H9=3000,0.25,0)</f>
        <v>0.05</v>
      </c>
      <c r="V9" s="106">
        <f>IF(L9=0,0,IF("EXISTENTE"=C9,0,IFERROR((PI()*(N9/1000)*(N9/1000)/4)*G9,0)))</f>
        <v>0</v>
      </c>
      <c r="W9" s="106">
        <f>IF(O9=0,0,((((K9*I9)*I9)/2)*2+L9*I9)*G9-V9+AO9)</f>
        <v>19.664749999999998</v>
      </c>
      <c r="X9" s="107">
        <f>W9-SUM(AC9:AJ9)</f>
        <v>0</v>
      </c>
      <c r="Y9" s="107"/>
      <c r="Z9" s="107">
        <f>IF(S9&lt;I9,S9,I9)</f>
        <v>2.9049999999999998</v>
      </c>
      <c r="AA9" s="107">
        <f>I9-Z9</f>
        <v>0</v>
      </c>
      <c r="AB9" s="108">
        <f>IF(P9="ASFALTO",IF(D9="PROJETADA",O9,IF(D9="EXISTENTE",0,O9/2)),0)</f>
        <v>5.95</v>
      </c>
      <c r="AC9" s="109">
        <f>IF(Y9=0,0,IF(Y9=0.4,IF(L9&lt;=1.5,IF(Z9+0.4&gt;=1.5,0,L9*G9*0.4),0),IF(L9&lt;=1.5,IF(Y9&gt;=1.5,M9*G9*1.5,L9*G9*(Y9)),0)+IF(S9&lt;I9+0.4,0,IF(AND(Y9&lt;=1.5,L9&lt;=1.5),-V9,0))))</f>
        <v>0</v>
      </c>
      <c r="AD9" s="109">
        <f>IF(Y9=0,0,IF(Y9=0.4,IF(L9&lt;=1.5,IF(OR(Z9+0.4&gt;=3,Z9+0.4&lt;1.5),0,L9*G9*0.4),0),IF(IF(L9&lt;=1.5,IF(Y9&gt;=3,M9*G9*1.5,L9*G9*(Y9-1.5)),0)&lt;0,0,IF(L9&lt;=1.5,IF(Y9&gt;=3,M9*G9*1.5,L9*G9*(Y9-1.5)),0))+IF(S9&lt;I9+0.4,0,IF(AND(Y9&lt;=3,L9&lt;=1.5),-V9,0))))</f>
        <v>0</v>
      </c>
      <c r="AE9" s="109">
        <f>IF(Y9=0,0,IF(Y9=0.4,IF(L9&lt;=1.5,IF(OR(Z9+0.4&gt;=4.5,Z9+0.4&lt;3),0,L9*G9*0.4),0),IF(IF(L9&lt;=1.5,IF(Y9&gt;=4.5,M9*G9*1.5,L9*G9*(Y9-3)),0)&lt;0,0,IF(L9&lt;=1.5,IF(Y9&gt;=4.5,M9*G9*1.5,L9*G9*(Y9-3)),0))+IF(S9&lt;I9+0.4,0,IF(AND(Y9&lt;=4.5,L9&lt;=1.5),-V9,0))))</f>
        <v>0</v>
      </c>
      <c r="AF9" s="109">
        <f>IF(L9&lt;=1.5,IF(Z9&gt;=1.5,M9*G9*1.5,L9*G9*Z9),0)+IF(S9&lt;I9,0,IF(AND(Z9&lt;=1.5,L9&lt;=1.5),-V9,0))</f>
        <v>8.9250000000000007</v>
      </c>
      <c r="AG9" s="109">
        <f>IF(IF(L9&lt;=1.5,IF(Z9&gt;=3,M9*G9*1.5,L9*G9*(Z9-1.5)),0)&lt;0,0,IF(L9&lt;=1.5,IF(Z9&gt;=3,M9*G9*1.5,L9*G9*(Z9-1.5)),0))+IF(S9&lt;I9,0,IF(AND(Z9&lt;=3,L9&lt;=1.5),-V9,0))</f>
        <v>8.3597499999999982</v>
      </c>
      <c r="AH9" s="109">
        <f>IF(IF(IF(L9&lt;=1.5,IF(Z9&gt;=4.5,M9*G9*1.5,L9*G9*(Z9-3)),0)&lt;0,0,IF(L9&lt;=1.5,IF(Z9&gt;=4.5,M9*G9*1.5,L9*G9*(Z9-3)),0))+IF(S9&lt;I9,0,IF(AND(Z9&lt;=4.5,L9&lt;=1.5),-V9,0))&lt;0,0,IF(IF(L9&lt;=1.5,IF(Z9&gt;=4.5,M9*G9*1.5,L9*G9*(Z9-3)),0)&lt;0,0,IF(L9&lt;=1.5,IF(Z9&gt;=4.5,M9*G9*1.5,L9*G9*(Z9-3)),0))+IF(S9&lt;I9,0,IF(AND(Z9&lt;=4.5,L9&lt;=1.5),-V9,0)))</f>
        <v>0</v>
      </c>
      <c r="AI9" s="537" t="str">
        <f>IF(I9&gt;S9,"SIM","NÃO")</f>
        <v>NÃO</v>
      </c>
      <c r="AJ9" s="104">
        <f>W9-SUM(AC9:AH9)</f>
        <v>2.379999999999999</v>
      </c>
      <c r="AK9" s="104">
        <f>IF(I9-T9&lt;0,0,(I9-T9)*G9)/75</f>
        <v>0</v>
      </c>
      <c r="AL9" s="104">
        <f>IF(L9=0,0,G9*L9*I9-PI()*(H9/1000)*(H9/1000)/4*G9+AO9)</f>
        <v>18.917050948445628</v>
      </c>
      <c r="AM9" s="102">
        <f>IF(L9&lt;1.5,L9*G9*IF(H9&lt;=500,0.05,IF(H9&lt;=800,0.1,IF(H9&lt;=1200,0.15,IF(H9&gt;=1500,0.2)))),0)</f>
        <v>0.29750000000000004</v>
      </c>
      <c r="AN9" s="106">
        <f>IF(L9&gt;=1.5,L9*G9*IF(H9&lt;=500,0.05,IF(H9&lt;=800,0.1,IF(H9&lt;=1200,0.15,IF(H9&gt;=1500,0.2)))),0)</f>
        <v>0</v>
      </c>
      <c r="AO9" s="104">
        <f>IF(R9=1,0.4*G9*L9,0)</f>
        <v>2.3800000000000003</v>
      </c>
      <c r="AP9" s="104">
        <f>IF(AO9&lt;SUM(AF9:AH9),0,AO9)</f>
        <v>0</v>
      </c>
      <c r="AQ9" s="104">
        <f>H9/1000+0.3</f>
        <v>0.7</v>
      </c>
      <c r="AR9" s="104">
        <f>IF(D9&lt;&gt;"PROJETADA",0,AQ9*L9*G9-PI()*(H9/1000*H9/1000)/4*G9)</f>
        <v>3.4173009484456291</v>
      </c>
      <c r="AS9" s="104">
        <f>IF(AR9&lt;SUM(AF9:AH9),0,AR9)</f>
        <v>0</v>
      </c>
      <c r="AT9" s="104">
        <f>IF(P9="ASFALTO",0.15*G9*L9,0)</f>
        <v>0.89249999999999996</v>
      </c>
      <c r="AU9" s="104">
        <f>AT9</f>
        <v>0.89249999999999996</v>
      </c>
      <c r="AV9" s="104">
        <f>IF(P9="ASFALTO",0.03*G9*L9,0)</f>
        <v>0.17849999999999999</v>
      </c>
      <c r="AW9" s="104">
        <f>AL9-AO9-SUM(AM9:AN9)-AT9-AU9-AR9</f>
        <v>11.03725</v>
      </c>
      <c r="AX9" s="104">
        <f>SUM(AF9:AH9)-AO9-AT9-AR9</f>
        <v>10.594949051554369</v>
      </c>
      <c r="AY9" s="104">
        <f>SMALL(AW9:AX9,1)</f>
        <v>10.594949051554369</v>
      </c>
      <c r="AZ9" s="104">
        <f>AW9-AY9</f>
        <v>0.44230094844563084</v>
      </c>
      <c r="BA9" s="104">
        <f>IF($AZ$96&gt;$BA$98,($BA$98/$AZ$96)*AZ9,AZ9)</f>
        <v>0.11447225383870546</v>
      </c>
      <c r="BB9" s="104">
        <f t="shared" ref="BB9" si="37">AZ9-BA9</f>
        <v>0.32782869460692537</v>
      </c>
      <c r="BC9" s="104"/>
      <c r="BD9" s="104">
        <f>IF(AO9+AT9&gt;0,4%*(AO9+AT9),0)</f>
        <v>0.13090000000000002</v>
      </c>
      <c r="BE9" s="108">
        <f>IF(H9=400,I9,0)</f>
        <v>2.9049999999999998</v>
      </c>
      <c r="BF9" s="110">
        <f>IF(BE9&lt;=1.75,G9*IF(D9="PROJETADA",1,0),0)</f>
        <v>0</v>
      </c>
      <c r="BG9" s="110">
        <f>IF(AND(BE9&lt;=3,BE9&gt;1.75),IF(D9="PROJETADA",1,0)*G9,0)</f>
        <v>5.95</v>
      </c>
      <c r="BH9" s="105" t="str">
        <f>VLOOKUP(A9,'BOCA DE LOBO'!C:I,7,0)</f>
        <v>BOCA DE LOBO PROJETADA TRIPLA</v>
      </c>
      <c r="BI9" s="104">
        <f>IF(BH9=$BI$4,1,0)</f>
        <v>0</v>
      </c>
      <c r="BJ9" s="104">
        <f>IF(BH9=$BJ$4,1,0)</f>
        <v>0</v>
      </c>
      <c r="BK9" s="104">
        <f>IF(BH9=$BK$4,1,0)</f>
        <v>0</v>
      </c>
      <c r="BL9" s="104">
        <f>IF(BH9=$BL$4,1,0)</f>
        <v>0</v>
      </c>
      <c r="BM9" s="104">
        <f>IF(BH9=$BM$4,1,0)</f>
        <v>0</v>
      </c>
      <c r="BN9" s="104">
        <f>IF(BH9=$BN$4,1,0)</f>
        <v>0</v>
      </c>
      <c r="BO9" s="104">
        <f>IF(BH9=$BO$4,1,0)</f>
        <v>1</v>
      </c>
      <c r="BP9" s="111"/>
      <c r="BQ9" s="108">
        <f>IF(L9&lt;=1.5,IF(I9+IF(R9=1,0.5,0)&lt;1.5,(I9+IF(R9=1,0.5,0))*G9*2,G9*2*1.5),0)</f>
        <v>17.850000000000001</v>
      </c>
      <c r="BR9" s="108">
        <f>IF(L9&lt;=1.5,IF(AND(I9+IF(R9=1,0.5,0)&lt;3,I9+IF(R9=1,0.5,0)&gt;1.5),(I9+IF(R9=1,0.5,0)-1.5)*G9*2,IF(I9+IF(R9=1,0.5,0)&gt;=3,(G9*2*1.5),0)),0)</f>
        <v>17.850000000000001</v>
      </c>
      <c r="BS9" s="108">
        <f>IF(L9&lt;=1.5,IF(AND(I9+IF(R9=1,0.5,0)&lt;4.5,I9+IF(R9=1,0.5,0)&gt;3),(I9+IF(R9=1,0.5,0)-3)*G9*2,IF(I9+IF(R9=1,0.5,0)&gt;=4.5,(G9*2*1.5),0)),0)</f>
        <v>4.8194999999999979</v>
      </c>
      <c r="BV9" s="538">
        <f t="shared" ref="BV9:BV13" si="38">IF(OR("BOCA DE LOBO EXISTENTE TRIPLA"=BH9,"BOCA DE LOBO EXISTENTE SIMPLES"=BH9,"BOCA DE LOBO EXISTENTE DUPLA"=BH9),0,IF("BOCA DE LOBO PROJETADA DUPLA"=BH9,(2.57+1)*(1.18+1),IF(OR("BOCA DE LOBO DUPLA EXISTENTE COM BOCA DE LOBO SIMPLES PROJETADA"=BH9,"BOCA DE LOBO SIMPLES EXISTENTE COM BOCA DE LOBO SIMPLES PROJETADA"=BH9),(1.18+0.5)*(1.18+1),IF(OR(BH9="BOCA DE LOBO DUPLA EXISTENTE COM BOCA DE LOBO DUPLA PROJETADA",BH9="BOCA DE LOBO SIMPLES EXISTENTE COM BOCA DE LOBO DUPLA PROJETADA"),(2.38+0.5)*(1.18+1),IF("BOCA DE LOBO PROJETADA TRIPLA"=BH9,(3.76+1)*(1.18+1),IF("BOCA DE LOBO PROJETADA QUADRUPLA"=BH9,(4.92+1)*(1.18+1),"X"))))))*(E9+IF(CA9&gt;0,0.5,0))</f>
        <v>25.941999999999993</v>
      </c>
      <c r="BW9" s="538">
        <f t="shared" ref="BW9:BW12" si="39">IF(OR("BOCA DE LOBO EXISTENTE TRIPLA"=BH9,"BOCA DE LOBO EXISTENTE SIMPLES"=BH9,"BOCA DE LOBO EXISTENTE DUPLA"=BH9),0,IF("BOCA DE LOBO PROJETADA DUPLA"=BH9,(2.57+1)*(1.18+1),IF(OR("BOCA DE LOBO DUPLA EXISTENTE COM BOCA DE LOBO SIMPLES PROJETADA"=BH9,"BOCA DE LOBO SIMPLES EXISTENTE COM BOCA DE LOBO SIMPLES PROJETADA"=BH9),(1.18+1)*(1.18+0.5),IF(OR(BH9="BOCA DE LOBO DUPLA EXISTENTE COM BOCA DE LOBO DUPLA PROJETADA",BH9="BOCA DE LOBO SIMPLES EXISTENTE COM BOCA DE LOBO DUPLA PROJETADA"),(2.38+0.5)*(1.18+1),IF("BOCA DE LOBO PROJETADA TRIPLA"=BH9,(3.76+0.5*2)*(1.18+1),IF("BOCA DE LOBO PROJETADA QUADRUPLA"=BH9,(4.92+0.5*2)*(1.18+1),"X"))))))</f>
        <v>10.376799999999998</v>
      </c>
      <c r="BX9" s="538">
        <f t="shared" ref="BX9:BX41" si="40">IF(OR("BOCA DE LOBO EXISTENTE TRIPLA"=BH9,"BOCA DE LOBO EXISTENTE SIMPLES"=BH9,"BOCA DE LOBO EXISTENTE DUPLA"=BH9),0,IF("BOCA DE LOBO PROJETADA DUPLA"=BH9,(2.57)*(1.18),IF(OR("BOCA DE LOBO DUPLA EXISTENTE COM BOCA DE LOBO SIMPLES PROJETADA"=BH9,"BOCA DE LOBO SIMPLES EXISTENTE COM BOCA DE LOBO SIMPLES PROJETADA"=BH9),(1.18)*(1.18),IF(OR(BH9="BOCA DE LOBO DUPLA EXISTENTE COM BOCA DE LOBO DUPLA PROJETADA",BH9="BOCA DE LOBO SIMPLES EXISTENTE COM BOCA DE LOBO DUPLA PROJETADA"),(2.38)*(1.18),IF("BOCA DE LOBO PROJETADA TRIPLA"=BH9,(3.76)*(1.18),IF("BOCA DE LOBO PROJETADA QUADRUPLA"=BH9,(4.92)*(1.18),"X"))))))</f>
        <v>4.4367999999999999</v>
      </c>
      <c r="BY9" s="538">
        <f>E9</f>
        <v>2.5</v>
      </c>
      <c r="BZ9" s="538">
        <f>IF(Y9&gt;0.5,0,IF(S9&lt;E9,S9,E9))</f>
        <v>2.5</v>
      </c>
      <c r="CA9" s="538">
        <f>IF(Y9&gt;0.4,BY9+0.4,Y9)</f>
        <v>0</v>
      </c>
      <c r="CB9" s="538">
        <f>IF(S9&gt;E9,0,E9-S9)</f>
        <v>0</v>
      </c>
      <c r="CC9" s="538">
        <f>IF(BZ9&gt;1.5,BW9*1.5,BW9*BZ9)</f>
        <v>15.565199999999997</v>
      </c>
      <c r="CD9" s="538">
        <f>IF(BZ9&gt;1.5,BW9*(BZ9-1.5),0)</f>
        <v>10.376799999999998</v>
      </c>
      <c r="CE9" s="538">
        <f t="shared" ref="CE9" si="41">IF(CA9=0.4,IF(BZ9+CA9&gt;1.5,0,CA9*BW9),IF(CA9&gt;1.5,BW9*1.5,BW9*CA9))</f>
        <v>0</v>
      </c>
      <c r="CF9" s="538">
        <f t="shared" ref="CF9" si="42">IF(CA9=0.4,IF(BZ9+CA9&lt;=1.5,0,CA9*BW9),IF(CA9&gt;1.5,BW9*(CA9-1.5),0))</f>
        <v>0</v>
      </c>
      <c r="CG9" s="538">
        <f>BV9-SUM(CC9:CF9)</f>
        <v>0</v>
      </c>
      <c r="CH9" s="538">
        <f>SUM(CC9:CG9)-BV9</f>
        <v>0</v>
      </c>
      <c r="CI9" s="104">
        <f t="shared" ref="CI9:CI12" si="43">IF(OR("BOCA DE LOBO EXISTENTE TRIPLA"=BH9,"BOCA DE LOBO EXISTENTE SIMPLES"=BH9,"BOCA DE LOBO EXISTENTE DUPLA"=BH9),0,IF("BOCA DE LOBO PROJETADA DUPLA"=BH9,(2.57+1)*(0.5),IF(OR("BOCA DE LOBO DUPLA EXISTENTE COM BOCA DE LOBO SIMPLES PROJETADA"=BH9,"BOCA DE LOBO SIMPLES EXISTENTE COM BOCA DE LOBO SIMPLES PROJETADA"=BH9),(1.18+0.5)*(0.5),IF(OR(BH9="BOCA DE LOBO DUPLA EXISTENTE COM BOCA DE LOBO DUPLA PROJETADA",BH9="BOCA DE LOBO SIMPLES EXISTENTE COM BOCA DE LOBO DUPLA PROJETADA"),(2.38+0.5)*(0.5),IF("BOCA DE LOBO PROJETADA TRIPLA"=BH9,(3.76+1)*(0.5),IF("BOCA DE LOBO PROJETADA QUADRUPLA"=BH9,(4.92+1)*(0.5),"X")))))*0.3)</f>
        <v>0.71399999999999997</v>
      </c>
      <c r="CJ9" s="538">
        <f>(BW9-BX9)*(BY9+IF(CA9&gt;=0.4,0.4,0))-CI9</f>
        <v>14.135999999999994</v>
      </c>
      <c r="CK9" s="538">
        <f>IF($CK$98&gt;$CJ$96,CJ9,CJ9*$CK$98/$CJ$96)</f>
        <v>14.135999999999994</v>
      </c>
      <c r="CL9" s="538">
        <f>CJ9-CK9</f>
        <v>0</v>
      </c>
      <c r="CM9" s="538">
        <f>IF(CA9&gt;0,0.5*4%*BW9,0)</f>
        <v>0</v>
      </c>
      <c r="CN9" s="538">
        <f t="shared" ref="CN9:CN41" si="44">IF(OR("BOCA DE LOBO EXISTENTE TRIPLA"=BH9,"BOCA DE LOBO EXISTENTE SIMPLES"=BH9,"BOCA DE LOBO EXISTENTE DUPLA"=BH9),0,IF("BOCA DE LOBO PROJETADA DUPLA"=BH9,(2.57+1),IF(OR("BOCA DE LOBO DUPLA EXISTENTE COM BOCA DE LOBO SIMPLES PROJETADA"=BH9,"BOCA DE LOBO SIMPLES EXISTENTE COM BOCA DE LOBO SIMPLES PROJETADA"=BH9),(1.18+0.5),IF(OR(BH9="BOCA DE LOBO DUPLA EXISTENTE COM BOCA DE LOBO DUPLA PROJETADA",BH9="BOCA DE LOBO SIMPLES EXISTENTE COM BOCA DE LOBO DUPLA PROJETADA"),(2.38+0.5),IF("BOCA DE LOBO PROJETADA TRIPLA"=BH9,(3.76+0.5*2),IF("BOCA DE LOBO PROJETADA QUADRUPLA"=BH9,(4.92+0.5*2),"X"))))))</f>
        <v>4.76</v>
      </c>
      <c r="CO9" s="538">
        <f>IF(CA9&gt;0,BY9+0.5,BY9)</f>
        <v>2.5</v>
      </c>
      <c r="CP9" s="538">
        <f>IF(CO9&gt;=1.5,CN9*1.5*2,CN9*CO9*2)</f>
        <v>14.28</v>
      </c>
      <c r="CQ9" s="538">
        <f>IF(CO9&lt;=1.5,0,IF(CO9&gt;=3,CN9*1.5*2,CN9*(CO9-1.5)*2))</f>
        <v>9.52</v>
      </c>
      <c r="CR9" s="539">
        <f>IF(D9="AMPLIADA",0.55*(E9-0.5),0)</f>
        <v>0</v>
      </c>
      <c r="CS9" s="540">
        <f t="shared" ref="CS9:CS41" si="45">IF(OR("BOCA DE LOBO EXISTENTE TRIPLA"=BH9,"BOCA DE LOBO EXISTENTE SIMPLES"=BH9,"BOCA DE LOBO EXISTENTE DUPLA"=BH9,"BOCA DE LOBO EXISTENTE QUADRUPLA"=BH9),0,IF("BOCA DE LOBO PROJETADA DUPLA"=BH9,(0),IF(OR("BOCA DE LOBO DUPLA EXISTENTE COM BOCA DE LOBO SIMPLES PROJETADA"=BH9,"BOCA DE LOBO SIMPLES EXISTENTE COM BOCA DE LOBO SIMPLES PROJETADA"=BH9),(0.8*0.15*0.17),IF(OR(BH9="BOCA DE LOBO DUPLA EXISTENTE COM BOCA DE LOBO DUPLA PROJETADA",BH9="BOCA DE LOBO SIMPLES EXISTENTE COM BOCA DE LOBO DUPLA PROJETADA"),(0.8*0.15*0.17),IF("BOCA DE LOBO PROJETADA TRIPLA"=BH9,(0),IF("BOCA DE LOBO PROJETADA QUADRUPLA"=BH9,(0),"X")))))*E9)</f>
        <v>0</v>
      </c>
      <c r="CT9" s="540">
        <f t="shared" ref="CT9:CT41" si="46">IF(OR("BOCA DE LOBO EXISTENTE TRIPLA"=BH9,"BOCA DE LOBO EXISTENTE SIMPLES"=BH9,"BOCA DE LOBO EXISTENTE DUPLA"=BH9,"BOCA DE LOBO EXISTENTE QUADRUPLA"=BH9),0,IF("BOCA DE LOBO PROJETADA DUPLA"=BH9,(1.18*2.57*0.05),IF(OR("BOCA DE LOBO DUPLA EXISTENTE COM BOCA DE LOBO SIMPLES PROJETADA"=BH9,"BOCA DE LOBO SIMPLES EXISTENTE COM BOCA DE LOBO SIMPLES PROJETADA"=BH9),(1.19*1.18*0.05),IF(OR(BH9="BOCA DE LOBO DUPLA EXISTENTE COM BOCA DE LOBO DUPLA PROJETADA",BH9="BOCA DE LOBO SIMPLES EXISTENTE COM BOCA DE LOBO DUPLA PROJETADA"),(2.38*1.18*0.056),IF("BOCA DE LOBO PROJETADA TRIPLA"=BH9,(3.76*1.18*0.05),IF("BOCA DE LOBO PROJETADA QUADRUPLA"=BH9,(4.92*1.18*0.05),"X")))))+CI9/3)</f>
        <v>0.45984000000000003</v>
      </c>
      <c r="CU9" s="541">
        <f t="shared" ref="CU9:CU41" si="47">IF(OR("BOCA DE LOBO EXISTENTE TRIPLA"=BH9,"BOCA DE LOBO EXISTENTE SIMPLES"=BH9,"BOCA DE LOBO EXISTENTE DUPLA"=BH9,"BOCA DE LOBO EXISTENTE QUADRUPLA"=BH9),0,IF("BOCA DE LOBO PROJETADA DUPLA"=BH9,(1*4+0.6*2),IF(OR("BOCA DE LOBO DUPLA EXISTENTE COM BOCA DE LOBO SIMPLES PROJETADA"=BH9,"BOCA DE LOBO SIMPLES EXISTENTE COM BOCA DE LOBO SIMPLES PROJETADA"=BH9),(1*2+0.6),IF(OR(BH9="BOCA DE LOBO DUPLA EXISTENTE COM BOCA DE LOBO DUPLA PROJETADA",BH9="BOCA DE LOBO SIMPLES EXISTENTE COM BOCA DE LOBO DUPLA PROJETADA"),(1*4+0.6),IF("BOCA DE LOBO PROJETADA TRIPLA"=BH9,(6*1+0.6*2),IF("BOCA DE LOBO PROJETADA QUADRUPLA"=BH9,(8*1+0.6*2),"X")))))*E9)</f>
        <v>18</v>
      </c>
      <c r="CV9" s="538">
        <f t="shared" ref="CV9:CV41" si="48">IF(OR("BOCA DE LOBO EXISTENTE TRIPLA"=BH9,"BOCA DE LOBO EXISTENTE SIMPLES"=BH9,"BOCA DE LOBO EXISTENTE DUPLA"=BH9,"BOCA DE LOBO EXISTENTE QUADRUPLA"=BH9),0,IF("BOCA DE LOBO PROJETADA DUPLA"=BH9,(12*E9*0.17*0.15+1*0.17*0.15*5+1.09*0.6*0.07*2+2.57*1.18*0.15),IF(OR("BOCA DE LOBO DUPLA EXISTENTE COM BOCA DE LOBO SIMPLES PROJETADA"=BH9,"BOCA DE LOBO SIMPLES EXISTENTE COM BOCA DE LOBO SIMPLES PROJETADA"=BH9),(8*E9*0.17*0.15+1*0.17*0.15*4+1.09*0.6*0.07*1+1.38*1.18*0.15),IF(OR(BH9="BOCA DE LOBO DUPLA EXISTENTE COM BOCA DE LOBO DUPLA PROJETADA",BH9="BOCA DE LOBO SIMPLES EXISTENTE COM BOCA DE LOBO DUPLA PROJETADA"),(7*E9*0.17*0.15+1*0.17*0.15*5+1.09*0.6*0.07*2+2.38*1.18*0.15),IF("BOCA DE LOBO PROJETADA TRIPLA"=BH9,(15*E9*0.17*0.15+1*0.17*0.15*7+1.09*0.6*0.07*3+3.76*1.18*0.15),IF("BOCA DE LOBO PROJETADA QUADRUPLA"=BH9,(19*E9*0.17*0.15+1*0.17*0.15*9+1.09*0.6*0.07*4+4.92*1.18*0.15),"X"))))))</f>
        <v>1.9376100000000003</v>
      </c>
      <c r="CW9" s="538">
        <f t="shared" ref="CW9:CW41" si="49">IF(OR("BOCA DE LOBO EXISTENTE TRIPLA"=BH9,"BOCA DE LOBO EXISTENTE SIMPLES"=BH9,"BOCA DE LOBO EXISTENTE DUPLA"=BH9,"BOCA DE LOBO EXISTENTE QUADRUPLA"=BH9),0,IF("BOCA DE LOBO PROJETADA DUPLA"=BH9,(12*E9*2*(0.17+0.15)+1*(2*0.17+0.15)*5+2*(2.57+1.18)*0.15+(1.09+0.6)*2*0.07*2),IF(OR("BOCA DE LOBO DUPLA EXISTENTE COM BOCA DE LOBO SIMPLES PROJETADA"=BH9,"BOCA DE LOBO SIMPLES EXISTENTE COM BOCA DE LOBO SIMPLES PROJETADA"=BH9),(8*E9*2*(0.17+0.15)+1*(2*0.17+0.15)*4+2*(1.38+1.18)*0.15+(1.09+0.6)*2*0.07*1),IF(OR(BH9="BOCA DE LOBO DUPLA EXISTENTE COM BOCA DE LOBO DUPLA PROJETADA",BH9="BOCA DE LOBO SIMPLES EXISTENTE COM BOCA DE LOBO DUPLA PROJETADA"),(7*E9*2*(0.17+0.15)+1*(2*0.17+0.15)*5+2*(2.38+1.18)*0.15+(1.09+0.6)*2*0.07*2),IF("BOCA DE LOBO PROJETADA TRIPLA"=BH9,(15*E9*2*(0.17+0.15)+1*(2*0.17+0.15)*7+2*(3.76+1.18)*0.15+(1.09+0.6)*2*0.07*3),IF("BOCA DE LOBO PROJETADA QUADRUPLA"=BH9,(19*E9*2*(0.17+0.15)+1*(2*0.17+0.15)*7+2*(4.92+1.18)*0.15+(1.09+0.6)*2*0.07*4),"X"))))))</f>
        <v>29.6218</v>
      </c>
      <c r="CX9" s="104">
        <f t="shared" ref="CX9:CX41" si="50">IF(OR("BOCA DE LOBO EXISTENTE TRIPLA"=BH9,"BOCA DE LOBO EXISTENTE SIMPLES"=BH9,"BOCA DE LOBO EXISTENTE DUPLA"=BH9,"BOCA DE LOBO EXISTENTE QUADRUPLA"=BH9),0,IF("BOCA DE LOBO PROJETADA DUPLA"=BH9,(2.57+1),IF(OR("BOCA DE LOBO DUPLA EXISTENTE COM BOCA DE LOBO SIMPLES PROJETADA"=BH9,"BOCA DE LOBO SIMPLES EXISTENTE COM BOCA DE LOBO SIMPLES PROJETADA"=BH9),(1.18+0.5),IF(OR(BH9="BOCA DE LOBO DUPLA EXISTENTE COM BOCA DE LOBO DUPLA PROJETADA",BH9="BOCA DE LOBO SIMPLES EXISTENTE COM BOCA DE LOBO DUPLA PROJETADA"),(2.38+0.5),IF("BOCA DE LOBO PROJETADA TRIPLA"=BH9,(3.76+1),IF("BOCA DE LOBO PROJETADA QUADRUPLA"=BH9,(4.92+1),"X"))))))</f>
        <v>4.76</v>
      </c>
      <c r="CY9" s="542">
        <f t="shared" si="0"/>
        <v>2.38</v>
      </c>
      <c r="CZ9" s="538">
        <f t="shared" si="1"/>
        <v>0</v>
      </c>
    </row>
    <row r="10" spans="1:108" s="112" customFormat="1" ht="25" x14ac:dyDescent="0.25">
      <c r="A10" s="100" t="str">
        <f>'BOCA DE LOBO'!C8</f>
        <v>BL4-&gt;PV2.1</v>
      </c>
      <c r="B10" s="100" t="str">
        <f>'BOCA DE LOBO'!A8</f>
        <v>PV2.1</v>
      </c>
      <c r="C10" s="100"/>
      <c r="D10" s="100"/>
      <c r="E10" s="100"/>
      <c r="F10" s="100"/>
      <c r="G10" s="100"/>
      <c r="H10" s="101"/>
      <c r="I10" s="102"/>
      <c r="J10" s="102"/>
      <c r="K10" s="103"/>
      <c r="L10" s="104"/>
      <c r="M10" s="104"/>
      <c r="N10" s="104"/>
      <c r="O10" s="104"/>
      <c r="P10" s="144"/>
      <c r="Q10" s="144" t="s">
        <v>2032</v>
      </c>
      <c r="R10" s="105">
        <v>1</v>
      </c>
      <c r="S10" s="105">
        <f>VLOOKUP(Q10,Quantitativos!P:R,3,0)</f>
        <v>5</v>
      </c>
      <c r="T10" s="105">
        <f>VLOOKUP(Q10,Quantitativos!P:S,4,0)</f>
        <v>5</v>
      </c>
      <c r="U10" s="104">
        <f>IF(H10=400,0.05,0)+IF(H10=500,0.05,0)+IF(H10=600,0.1,0)+IF(H10=800,0.1,0)+IF(H10=1000,0.15,0)+IF(H10=1200,0.15,0)+IF(H10=1500,0.2,0)+IF(H10=1650,0.2,0)+IF(H10=1800,0.2,0)+IF(H10=2000,0.25,0)+IF(H10=2200,0.25,0)+IF(H10=2400,0.25,0)+IF(H10=2600,0.25,0)+IF(H10=3000,0.25,0)</f>
        <v>0</v>
      </c>
      <c r="V10" s="106">
        <f>IF(L10=0,0,IF("EXISTENTE"=C10,0,IFERROR((PI()*(N10/1000)*(N10/1000)/4)*G10,0)))</f>
        <v>0</v>
      </c>
      <c r="W10" s="106">
        <f>IF(O10=0,0,((((K10*I10)*I10)/2)*2+L10*I10)*G10-V10+AO10)</f>
        <v>0</v>
      </c>
      <c r="X10" s="107">
        <f>W10-SUM(AC10:AJ10)</f>
        <v>0</v>
      </c>
      <c r="Y10" s="107"/>
      <c r="Z10" s="107">
        <f>IF(S10&lt;I10,S10,I10)</f>
        <v>0</v>
      </c>
      <c r="AA10" s="107">
        <f>I10-Z10</f>
        <v>0</v>
      </c>
      <c r="AB10" s="108">
        <f>IF(P10="ASFALTO",IF(D10="PROJETADA",O10,IF(D10="EXISTENTE",0,O10/2)),0)</f>
        <v>0</v>
      </c>
      <c r="AC10" s="109">
        <f>IF(Y10=0,0,IF(Y10=0.4,IF(L10&lt;=1.5,IF(Z10+0.4&gt;=1.5,0,L10*G10*0.4),0),IF(L10&lt;=1.5,IF(Y10&gt;=1.5,M10*G10*1.5,L10*G10*(Y10)),0)+IF(S10&lt;I10+0.4,0,IF(AND(Y10&lt;=1.5,L10&lt;=1.5),-V10,0))))</f>
        <v>0</v>
      </c>
      <c r="AD10" s="109">
        <f>IF(Y10=0,0,IF(Y10=0.4,IF(L10&lt;=1.5,IF(OR(Z10+0.4&gt;=3,Z10+0.4&lt;1.5),0,L10*G10*0.4),0),IF(IF(L10&lt;=1.5,IF(Y10&gt;=3,M10*G10*1.5,L10*G10*(Y10-1.5)),0)&lt;0,0,IF(L10&lt;=1.5,IF(Y10&gt;=3,M10*G10*1.5,L10*G10*(Y10-1.5)),0))+IF(S10&lt;I10+0.4,0,IF(AND(Y10&lt;=3,L10&lt;=1.5),-V10,0))))</f>
        <v>0</v>
      </c>
      <c r="AE10" s="109">
        <f>IF(Y10=0,0,IF(Y10=0.4,IF(L10&lt;=1.5,IF(OR(Z10+0.4&gt;=4.5,Z10+0.4&lt;3),0,L10*G10*0.4),0),IF(IF(L10&lt;=1.5,IF(Y10&gt;=4.5,M10*G10*1.5,L10*G10*(Y10-3)),0)&lt;0,0,IF(L10&lt;=1.5,IF(Y10&gt;=4.5,M10*G10*1.5,L10*G10*(Y10-3)),0))+IF(S10&lt;I10+0.4,0,IF(AND(Y10&lt;=4.5,L10&lt;=1.5),-V10,0))))</f>
        <v>0</v>
      </c>
      <c r="AF10" s="109">
        <f>IF(L10&lt;=1.5,IF(Z10&gt;=1.5,M10*G10*1.5,L10*G10*Z10),0)+IF(S10&lt;I10,0,IF(AND(Z10&lt;=1.5,L10&lt;=1.5),-V10,0))</f>
        <v>0</v>
      </c>
      <c r="AG10" s="109">
        <f>IF(IF(L10&lt;=1.5,IF(Z10&gt;=3,M10*G10*1.5,L10*G10*(Z10-1.5)),0)&lt;0,0,IF(L10&lt;=1.5,IF(Z10&gt;=3,M10*G10*1.5,L10*G10*(Z10-1.5)),0))+IF(S10&lt;I10,0,IF(AND(Z10&lt;=3,L10&lt;=1.5),-V10,0))</f>
        <v>0</v>
      </c>
      <c r="AH10" s="109">
        <f>IF(IF(IF(L10&lt;=1.5,IF(Z10&gt;=4.5,M10*G10*1.5,L10*G10*(Z10-3)),0)&lt;0,0,IF(L10&lt;=1.5,IF(Z10&gt;=4.5,M10*G10*1.5,L10*G10*(Z10-3)),0))+IF(S10&lt;I10,0,IF(AND(Z10&lt;=4.5,L10&lt;=1.5),-V10,0))&lt;0,0,IF(IF(L10&lt;=1.5,IF(Z10&gt;=4.5,M10*G10*1.5,L10*G10*(Z10-3)),0)&lt;0,0,IF(L10&lt;=1.5,IF(Z10&gt;=4.5,M10*G10*1.5,L10*G10*(Z10-3)),0))+IF(S10&lt;I10,0,IF(AND(Z10&lt;=4.5,L10&lt;=1.5),-V10,0)))</f>
        <v>0</v>
      </c>
      <c r="AI10" s="537" t="str">
        <f>IF(I10&gt;S10,"SIM","NÃO")</f>
        <v>NÃO</v>
      </c>
      <c r="AJ10" s="104">
        <f>W10-SUM(AC10:AH10)</f>
        <v>0</v>
      </c>
      <c r="AK10" s="104">
        <f>IF(I10-T10&lt;0,0,(I10-T10)*G10)/75</f>
        <v>0</v>
      </c>
      <c r="AL10" s="104">
        <f>IF(L10=0,0,G10*L10*I10-PI()*(H10/1000)*(H10/1000)/4*G10+AO10)</f>
        <v>0</v>
      </c>
      <c r="AM10" s="102">
        <f>IF(L10&lt;1.5,L10*G10*IF(H10&lt;=500,0.05,IF(H10&lt;=800,0.1,IF(H10&lt;=1200,0.15,IF(H10&gt;=1500,0.2)))),0)</f>
        <v>0</v>
      </c>
      <c r="AN10" s="106">
        <f>IF(L10&gt;=1.5,L10*G10*IF(H10&lt;=500,0.05,IF(H10&lt;=800,0.1,IF(H10&lt;=1200,0.15,IF(H10&gt;=1500,0.2)))),0)</f>
        <v>0</v>
      </c>
      <c r="AO10" s="104">
        <f>IF(R10=1,0.4*G10*L10,0)</f>
        <v>0</v>
      </c>
      <c r="AP10" s="104">
        <f>IF(AO10&lt;SUM(AF10:AH10),0,AO10)</f>
        <v>0</v>
      </c>
      <c r="AQ10" s="104">
        <f>H10/1000+0.3</f>
        <v>0.3</v>
      </c>
      <c r="AR10" s="104">
        <f>IF(D10&lt;&gt;"PROJETADA",0,AQ10*L10*G10-PI()*(H10/1000*H10/1000)/4*G10)</f>
        <v>0</v>
      </c>
      <c r="AS10" s="104">
        <f>IF(AR10&lt;SUM(AF10:AH10),0,AR10)</f>
        <v>0</v>
      </c>
      <c r="AT10" s="104">
        <f>IF(P10="ASFALTO",0.15*G10*L10,0)</f>
        <v>0</v>
      </c>
      <c r="AU10" s="104">
        <f>AT10</f>
        <v>0</v>
      </c>
      <c r="AV10" s="104">
        <f>IF(P10="ASFALTO",0.03*G10*L10,0)</f>
        <v>0</v>
      </c>
      <c r="AW10" s="104">
        <f>AL10-AO10-SUM(AM10:AN10)-AT10-AU10-AR10</f>
        <v>0</v>
      </c>
      <c r="AX10" s="104">
        <f>SUM(AF10:AH10)-AO10-AT10-AR10</f>
        <v>0</v>
      </c>
      <c r="AY10" s="104">
        <f>SMALL(AW10:AX10,1)</f>
        <v>0</v>
      </c>
      <c r="AZ10" s="104">
        <f>AW10-AY10</f>
        <v>0</v>
      </c>
      <c r="BA10" s="104">
        <f>IF($AZ$96&gt;$BA$98,($BA$98/$AZ$96)*AZ10,AZ10)</f>
        <v>0</v>
      </c>
      <c r="BB10" s="104">
        <f t="shared" ref="BB10" si="51">AZ10-BA10</f>
        <v>0</v>
      </c>
      <c r="BC10" s="104"/>
      <c r="BD10" s="104">
        <f>IF(AO10+AT10&gt;0,4%*(AO10+AT10),0)</f>
        <v>0</v>
      </c>
      <c r="BE10" s="108">
        <f>IF(H10=400,I10,0)</f>
        <v>0</v>
      </c>
      <c r="BF10" s="110">
        <f>IF(BE10&lt;=1.75,G10*IF(D10="PROJETADA",1,0),0)</f>
        <v>0</v>
      </c>
      <c r="BG10" s="110">
        <f>IF(AND(BE10&lt;=3,BE10&gt;1.75),IF(D10="PROJETADA",1,0)*G10,0)</f>
        <v>0</v>
      </c>
      <c r="BH10" s="105" t="str">
        <f>VLOOKUP(A10,'BOCA DE LOBO'!C:I,7,0)</f>
        <v>BOCA DE LOBO PROJETADA DUPLA</v>
      </c>
      <c r="BI10" s="104">
        <f>IF(BH10=$BI$4,1,0)</f>
        <v>0</v>
      </c>
      <c r="BJ10" s="104">
        <f>IF(BH10=$BJ$4,1,0)</f>
        <v>0</v>
      </c>
      <c r="BK10" s="104">
        <f>IF(BH10=$BK$4,1,0)</f>
        <v>0</v>
      </c>
      <c r="BL10" s="104">
        <f>IF(BH10=$BL$4,1,0)</f>
        <v>0</v>
      </c>
      <c r="BM10" s="104">
        <f>IF(BH10=$BM$4,1,0)</f>
        <v>0</v>
      </c>
      <c r="BN10" s="104">
        <f>IF(BH10=$BN$4,1,0)</f>
        <v>1</v>
      </c>
      <c r="BO10" s="104">
        <f>IF(BH10=$BO$4,1,0)</f>
        <v>0</v>
      </c>
      <c r="BP10" s="111"/>
      <c r="BQ10" s="108">
        <f>IF(L10&lt;=1.5,IF(I10+IF(R10=1,0.5,0)&lt;1.5,(I10+IF(R10=1,0.5,0))*G10*2,G10*2*1.5),0)</f>
        <v>0</v>
      </c>
      <c r="BR10" s="108">
        <f>IF(L10&lt;=1.5,IF(AND(I10+IF(R10=1,0.5,0)&lt;3,I10+IF(R10=1,0.5,0)&gt;1.5),(I10+IF(R10=1,0.5,0)-1.5)*G10*2,IF(I10+IF(R10=1,0.5,0)&gt;=3,(G10*2*1.5),0)),0)</f>
        <v>0</v>
      </c>
      <c r="BS10" s="108">
        <f>IF(L10&lt;=1.5,IF(AND(I10+IF(R10=1,0.5,0)&lt;4.5,I10+IF(R10=1,0.5,0)&gt;3),(I10+IF(R10=1,0.5,0)-3)*G10*2,IF(I10+IF(R10=1,0.5,0)&gt;=4.5,(G10*2*1.5),0)),0)</f>
        <v>0</v>
      </c>
      <c r="BV10" s="538">
        <f t="shared" si="38"/>
        <v>0</v>
      </c>
      <c r="BW10" s="538">
        <f t="shared" si="39"/>
        <v>7.7825999999999986</v>
      </c>
      <c r="BX10" s="538">
        <f t="shared" si="40"/>
        <v>3.0325999999999995</v>
      </c>
      <c r="BY10" s="538">
        <f>E10</f>
        <v>0</v>
      </c>
      <c r="BZ10" s="538">
        <f>IF(Y10&gt;0.5,0,IF(S10&lt;E10,S10,E10))</f>
        <v>0</v>
      </c>
      <c r="CA10" s="538">
        <f>IF(Y10&gt;0.4,BY10+0.4,Y10)</f>
        <v>0</v>
      </c>
      <c r="CB10" s="538">
        <f>IF(S10&gt;E10,0,E10-S10)</f>
        <v>0</v>
      </c>
      <c r="CC10" s="538">
        <f>IF(BZ10&gt;1.5,BW10*1.5,BW10*BZ10)</f>
        <v>0</v>
      </c>
      <c r="CD10" s="538">
        <f>IF(BZ10&gt;1.5,BW10*(BZ10-1.5),0)</f>
        <v>0</v>
      </c>
      <c r="CE10" s="538">
        <f t="shared" ref="CE10" si="52">IF(CA10=0.4,IF(BZ10+CA10&gt;1.5,0,CA10*BW10),IF(CA10&gt;1.5,BW10*1.5,BW10*CA10))</f>
        <v>0</v>
      </c>
      <c r="CF10" s="538">
        <f t="shared" ref="CF10" si="53">IF(CA10=0.4,IF(BZ10+CA10&lt;=1.5,0,CA10*BW10),IF(CA10&gt;1.5,BW10*(CA10-1.5),0))</f>
        <v>0</v>
      </c>
      <c r="CG10" s="538">
        <f>BV10-SUM(CC10:CF10)</f>
        <v>0</v>
      </c>
      <c r="CH10" s="538">
        <f>SUM(CC10:CG10)-BV10</f>
        <v>0</v>
      </c>
      <c r="CI10" s="104">
        <f t="shared" si="43"/>
        <v>0.53549999999999998</v>
      </c>
      <c r="CJ10" s="538">
        <f>(BW10-BX10)*(BY10+IF(CA10&gt;=0.4,0.4,0))-CI10</f>
        <v>-0.53549999999999998</v>
      </c>
      <c r="CK10" s="538">
        <f>IF($CK$98&gt;$CJ$96,CJ10,CJ10*$CK$98/$CJ$96)</f>
        <v>-0.53549999999999998</v>
      </c>
      <c r="CL10" s="538">
        <f>CJ10-CK10</f>
        <v>0</v>
      </c>
      <c r="CM10" s="538">
        <f>IF(CA10&gt;0,0.5*4%*BW10,0)</f>
        <v>0</v>
      </c>
      <c r="CN10" s="538">
        <f t="shared" si="44"/>
        <v>3.57</v>
      </c>
      <c r="CO10" s="538">
        <f>IF(CA10&gt;0,BY10+0.5,BY10)</f>
        <v>0</v>
      </c>
      <c r="CP10" s="538">
        <f>IF(CO10&gt;=1.5,CN10*1.5*2,CN10*CO10*2)</f>
        <v>0</v>
      </c>
      <c r="CQ10" s="538">
        <f>IF(CO10&lt;=1.5,0,IF(CO10&gt;=3,CN10*1.5*2,CN10*(CO10-1.5)*2))</f>
        <v>0</v>
      </c>
      <c r="CR10" s="539">
        <f>IF(D10="AMPLIADA",0.55*(E10-0.5),0)</f>
        <v>0</v>
      </c>
      <c r="CS10" s="540">
        <f t="shared" si="45"/>
        <v>0</v>
      </c>
      <c r="CT10" s="540">
        <f t="shared" si="46"/>
        <v>0.33012999999999998</v>
      </c>
      <c r="CU10" s="541">
        <f t="shared" si="47"/>
        <v>0</v>
      </c>
      <c r="CV10" s="538">
        <f t="shared" si="48"/>
        <v>0.67394999999999994</v>
      </c>
      <c r="CW10" s="538">
        <f t="shared" si="49"/>
        <v>4.0482000000000005</v>
      </c>
      <c r="CX10" s="104">
        <f t="shared" si="50"/>
        <v>3.57</v>
      </c>
      <c r="CY10" s="542">
        <f t="shared" si="0"/>
        <v>1.7849999999999999</v>
      </c>
      <c r="CZ10" s="538">
        <f t="shared" si="1"/>
        <v>0</v>
      </c>
    </row>
    <row r="11" spans="1:108" s="112" customFormat="1" ht="37.5" x14ac:dyDescent="0.25">
      <c r="A11" s="100" t="str">
        <f>'BOCA DE LOBO'!C9</f>
        <v>BL5-&gt;PV3.1</v>
      </c>
      <c r="B11" s="100" t="str">
        <f>'BOCA DE LOBO'!A9</f>
        <v>PV3.1</v>
      </c>
      <c r="C11" s="100" t="str">
        <f>VLOOKUP(A11,'BOCA DE LOBO'!C:F,3,0)</f>
        <v>PROJETADO</v>
      </c>
      <c r="D11" s="100" t="str">
        <f>VLOOKUP(A11,'BOCA DE LOBO'!C:L,10,0)</f>
        <v>AMPLIADA</v>
      </c>
      <c r="E11" s="100">
        <f>IF(F11-G11*4%&lt;2.5,F11-G11*4%,2.5)</f>
        <v>2.5</v>
      </c>
      <c r="F11" s="100">
        <f>VLOOKUP(A11,'BOCA DE LOBO'!C:D,2,0)</f>
        <v>2.92</v>
      </c>
      <c r="G11" s="100">
        <f>VLOOKUP(A11,'BOCA DE LOBO'!C:F,4,0)</f>
        <v>6.06</v>
      </c>
      <c r="H11" s="101">
        <v>400</v>
      </c>
      <c r="I11" s="102">
        <f t="shared" ref="I11:I24" si="54">IF(H11=400,((E11+F11)/2)+0.08+U11,IF(H11=500,((E11+F11)/2)+0.1+U11,IF(H11=600,((E11+F11)/2)+0.12+U11,IF(H11=800,((E11+F11)/2)+0.16+U11,IF(H11=1000,((E11+F11)/2)+0.2+U11,IF(H11=1200,((E11+F11)/2)+0.24+U11,IF(H11=1500,((E11+F11)/2)+0.3+U11,IF(H11&gt;1500,((E11+F11)/2)+0.4+U11))))))))</f>
        <v>2.84</v>
      </c>
      <c r="J11" s="102">
        <f>IF(L11=0,0,IF(I11&gt;=1.25,G11*I11/20,0))</f>
        <v>0</v>
      </c>
      <c r="K11" s="103">
        <v>0</v>
      </c>
      <c r="L11" s="104">
        <f>IF(D11&lt;&gt;"PROJETADA",0,IF(H11=400,1,0)+IF(H11=500,1.2,0)+IF(H11=600,1.4,0)+IF(H11=800,1.7,0)+IF(H11=1000,2,0)+IF(H11=1200,2.2,0)+IF(H11=1500,2.6,0)+IF(H11=1650,3,0)+IF(H11=1800,3.2,0)+IF(H11=2000,3.4,0)+IF(H11=2200,3.6,0)+IF(H11=2400,3.8,0)+IF(H11=2600,4,0)+IF(H11=3000,4.4,0))</f>
        <v>0</v>
      </c>
      <c r="M11" s="104">
        <f>2*K11*I11+L11</f>
        <v>0</v>
      </c>
      <c r="N11" s="104">
        <f>IF(OR(D11="EXISTENTE",D11="AMPLIADA"),400,0)</f>
        <v>400</v>
      </c>
      <c r="O11" s="104">
        <f t="shared" ref="O11:O24" si="55">IF(P11="TERRENO NATURAL",0,M11*G11)</f>
        <v>0</v>
      </c>
      <c r="P11" s="144" t="str">
        <f>VLOOKUP(B11,'Planilha Hidráulica'!$AE$10:$AQ$30,13,0)</f>
        <v>ASFALTO</v>
      </c>
      <c r="Q11" s="144" t="s">
        <v>2024</v>
      </c>
      <c r="R11" s="105"/>
      <c r="S11" s="105">
        <f>VLOOKUP(Q11,Quantitativos!P:R,3,0)</f>
        <v>5</v>
      </c>
      <c r="T11" s="105">
        <f>VLOOKUP(Q11,Quantitativos!P:S,4,0)</f>
        <v>5</v>
      </c>
      <c r="U11" s="104">
        <f t="shared" ref="U11:U24" si="56">IF(H11=400,0.05,0)+IF(H11=500,0.05,0)+IF(H11=600,0.1,0)+IF(H11=800,0.1,0)+IF(H11=1000,0.15,0)+IF(H11=1200,0.15,0)+IF(H11=1500,0.2,0)+IF(H11=1650,0.2,0)+IF(H11=1800,0.2,0)+IF(H11=2000,0.25,0)+IF(H11=2200,0.25,0)+IF(H11=2400,0.25,0)+IF(H11=2600,0.25,0)+IF(H11=3000,0.25,0)</f>
        <v>0.05</v>
      </c>
      <c r="V11" s="106">
        <f>IF(L11=0,0,IF("EXISTENTE"=C11,0,IFERROR((PI()*(N11/1000)*(N11/1000)/4)*G11,0)))</f>
        <v>0</v>
      </c>
      <c r="W11" s="106">
        <f>IF(O11=0,0,((((K11*I11)*I11)/2)*2+L11*I11)*G11-V11+AO11)</f>
        <v>0</v>
      </c>
      <c r="X11" s="107">
        <f t="shared" ref="X11:X24" si="57">W11-SUM(AC11:AJ11)</f>
        <v>0</v>
      </c>
      <c r="Y11" s="107">
        <f t="shared" ref="Y11:Y24" si="58">IF(R11=1,IF(N11=0,I11+0.4,0.4),0)</f>
        <v>0</v>
      </c>
      <c r="Z11" s="107">
        <f t="shared" ref="Z11:Z22" si="59">IF(Y11&gt;0.5,0,IF(S11&lt;I11,S11,I11))</f>
        <v>2.84</v>
      </c>
      <c r="AA11" s="107">
        <f>I11-Z11</f>
        <v>0</v>
      </c>
      <c r="AB11" s="108">
        <f>IF(P11="ASFALTO",IF(D11="PROJETADA",O11,IF(D11="EXISTENTE",0,O11/2)),0)</f>
        <v>0</v>
      </c>
      <c r="AC11" s="109">
        <f t="shared" ref="AC11:AC24" si="60">IF(Y11=0,0,IF(Y11=0.4,IF(L11&lt;=1.5,IF(Z11+0.4&gt;=1.5,0,L11*G11*0.4),0),IF(L11&lt;=1.5,IF(Y11&gt;=1.5,M11*G11*1.5,L11*G11*(Y11)),0)+IF(S11&lt;I11+0.4,0,IF(AND(Y11&lt;=1.5,L11&lt;=1.5),-V11,0))))</f>
        <v>0</v>
      </c>
      <c r="AD11" s="109">
        <f t="shared" ref="AD11:AD24" si="61">IF(Y11=0,0,IF(Y11=0.4,IF(L11&lt;=1.5,IF(OR(Z11+0.4&gt;=3,Z11+0.4&lt;1.5),0,L11*G11*0.4),0),IF(IF(L11&lt;=1.5,IF(Y11&gt;=3,M11*G11*1.5,L11*G11*(Y11-1.5)),0)&lt;0,0,IF(L11&lt;=1.5,IF(Y11&gt;=3,M11*G11*1.5,L11*G11*(Y11-1.5)),0))+IF(S11&lt;I11+0.4,0,IF(AND(Y11&lt;=3,L11&lt;=1.5),-V11,0))))</f>
        <v>0</v>
      </c>
      <c r="AE11" s="109">
        <f t="shared" ref="AE11:AE24" si="62">IF(Y11=0,0,IF(Y11=0.4,IF(L11&lt;=1.5,IF(OR(Z11+0.4&gt;=4.5,Z11+0.4&lt;3),0,L11*G11*0.4),0),IF(IF(L11&lt;=1.5,IF(Y11&gt;=4.5,M11*G11*1.5,L11*G11*(Y11-3)),0)&lt;0,0,IF(L11&lt;=1.5,IF(Y11&gt;=4.5,M11*G11*1.5,L11*G11*(Y11-3)),0))+IF(S11&lt;I11+0.4,0,IF(AND(Y11&lt;=4.5,L11&lt;=1.5),-V11,0))))</f>
        <v>0</v>
      </c>
      <c r="AF11" s="109">
        <f t="shared" ref="AF11:AF24" si="63">IF(L11&lt;=1.5,IF(Z11&gt;=1.5,M11*G11*1.5,L11*G11*Z11),0)+IF(S11&lt;I11,0,IF(AND(Z11&lt;=1.5,L11&lt;=1.5),-V11,0))</f>
        <v>0</v>
      </c>
      <c r="AG11" s="109">
        <f t="shared" ref="AG11:AG24" si="64">IF(IF(L11&lt;=1.5,IF(Z11&gt;=3,M11*G11*1.5,L11*G11*(Z11-1.5)),0)&lt;0,0,IF(L11&lt;=1.5,IF(Z11&gt;=3,M11*G11*1.5,L11*G11*(Z11-1.5)),0))+IF(S11&lt;I11,0,IF(AND(Z11&lt;=3,L11&lt;=1.5),-V11,0))</f>
        <v>0</v>
      </c>
      <c r="AH11" s="109">
        <f t="shared" ref="AH11:AH24" si="65">IF(IF(IF(L11&lt;=1.5,IF(Z11&gt;=4.5,M11*G11*1.5,L11*G11*(Z11-3)),0)&lt;0,0,IF(L11&lt;=1.5,IF(Z11&gt;=4.5,M11*G11*1.5,L11*G11*(Z11-3)),0))+IF(S11&lt;I11,0,IF(AND(Z11&lt;=4.5,L11&lt;=1.5),-V11,0))&lt;0,0,IF(IF(L11&lt;=1.5,IF(Z11&gt;=4.5,M11*G11*1.5,L11*G11*(Z11-3)),0)&lt;0,0,IF(L11&lt;=1.5,IF(Z11&gt;=4.5,M11*G11*1.5,L11*G11*(Z11-3)),0))+IF(S11&lt;I11,0,IF(AND(Z11&lt;=4.5,L11&lt;=1.5),-V11,0)))</f>
        <v>0</v>
      </c>
      <c r="AI11" s="537" t="str">
        <f t="shared" ref="AI11:AI24" si="66">IF(I11&gt;S11,"SIM","NÃO")</f>
        <v>NÃO</v>
      </c>
      <c r="AJ11" s="104">
        <f t="shared" ref="AJ11:AJ24" si="67">W11-SUM(AC11:AH11)</f>
        <v>0</v>
      </c>
      <c r="AK11" s="104">
        <f t="shared" ref="AK11:AK24" si="68">IF(I11-T11&lt;0,0,(I11-T11)*G11)/75</f>
        <v>0</v>
      </c>
      <c r="AL11" s="104">
        <f t="shared" ref="AL11:AL24" si="69">IF(L11=0,0,G11*L11*I11-PI()*(H11/1000)*(H11/1000)/4*G11+AO11)</f>
        <v>0</v>
      </c>
      <c r="AM11" s="102">
        <f t="shared" ref="AM11:AM24" si="70">IF(L11&lt;1.5,L11*G11*IF(H11&lt;=500,0.05,IF(H11&lt;=800,0.1,IF(H11&lt;=1200,0.15,IF(H11&gt;=1500,0.2)))),0)</f>
        <v>0</v>
      </c>
      <c r="AN11" s="106">
        <f t="shared" ref="AN11:AN24" si="71">IF(L11&gt;=1.5,L11*G11*IF(H11&lt;=500,0.05,IF(H11&lt;=800,0.1,IF(H11&lt;=1200,0.15,IF(H11&gt;=1500,0.2)))),0)</f>
        <v>0</v>
      </c>
      <c r="AO11" s="104">
        <f t="shared" ref="AO11:AO24" si="72">IF(R11=1,0.4*G11*L11,0)</f>
        <v>0</v>
      </c>
      <c r="AP11" s="104">
        <f t="shared" ref="AP11:AP24" si="73">IF(AO11&lt;SUM(AF11:AH11),0,AO11)</f>
        <v>0</v>
      </c>
      <c r="AQ11" s="104">
        <f t="shared" ref="AQ11:AQ24" si="74">H11/1000+0.3</f>
        <v>0.7</v>
      </c>
      <c r="AR11" s="104">
        <f t="shared" ref="AR11:AR24" si="75">IF(D11&lt;&gt;"PROJETADA",0,AQ11*L11*G11-PI()*(H11/1000*H11/1000)/4*G11)</f>
        <v>0</v>
      </c>
      <c r="AS11" s="104">
        <f t="shared" ref="AS11:AS24" si="76">IF(AR11&lt;SUM(AF11:AH11),0,AR11)</f>
        <v>0</v>
      </c>
      <c r="AT11" s="104">
        <f t="shared" ref="AT11:AT24" si="77">IF(P11="ASFALTO",0.15*G11*L11,0)</f>
        <v>0</v>
      </c>
      <c r="AU11" s="104">
        <f>AT11</f>
        <v>0</v>
      </c>
      <c r="AV11" s="104">
        <f t="shared" ref="AV11:AV24" si="78">IF(P11="ASFALTO",0.03*G11*L11,0)</f>
        <v>0</v>
      </c>
      <c r="AW11" s="104">
        <f t="shared" ref="AW11:AW24" si="79">AL11-AO11-SUM(AM11:AN11)-AT11-AU11-AR11</f>
        <v>0</v>
      </c>
      <c r="AX11" s="104">
        <f>SUM(AF11:AH11)-AO11-AT11-AR11</f>
        <v>0</v>
      </c>
      <c r="AY11" s="104">
        <f t="shared" ref="AY11:AY24" si="80">SMALL(AW11:AX11,1)</f>
        <v>0</v>
      </c>
      <c r="AZ11" s="104">
        <f t="shared" ref="AZ11:AZ24" si="81">AW11-AY11</f>
        <v>0</v>
      </c>
      <c r="BA11" s="104">
        <f t="shared" ref="BA11:BA41" si="82">IF($AZ$96&gt;$BA$98,($BA$98/$AZ$96)*AZ11,AZ11)</f>
        <v>0</v>
      </c>
      <c r="BB11" s="104">
        <f t="shared" ref="BB11:BB24" si="83">AZ11-BA11</f>
        <v>0</v>
      </c>
      <c r="BC11" s="104"/>
      <c r="BD11" s="104">
        <f t="shared" ref="BD11:BD24" si="84">IF(AO11&gt;0,4%*(AO11+AT11),0)</f>
        <v>0</v>
      </c>
      <c r="BE11" s="108">
        <f t="shared" ref="BE11:BE24" si="85">IF(H11=400,I11,0)</f>
        <v>2.84</v>
      </c>
      <c r="BF11" s="110">
        <f t="shared" ref="BF11:BF24" si="86">IF(BE11&lt;=1.75,G11*IF(D11="PROJETADA",1,0),0)</f>
        <v>0</v>
      </c>
      <c r="BG11" s="110">
        <f t="shared" ref="BG11:BG24" si="87">IF(AND(BE11&lt;=3,BE11&gt;1.75),IF(D11="PROJETADA",1,0)*G11,0)</f>
        <v>0</v>
      </c>
      <c r="BH11" s="105" t="str">
        <f>VLOOKUP(A11,'BOCA DE LOBO'!C:I,7,0)</f>
        <v>BOCA DE LOBO DUPLA EXISTENTE COM BOCA DE LOBO SIMPLES PROJETADA</v>
      </c>
      <c r="BI11" s="104">
        <f>IF(BH11=$BI$4,1,0)</f>
        <v>0</v>
      </c>
      <c r="BJ11" s="104">
        <f>IF(BH11=$BJ$4,1,0)</f>
        <v>0</v>
      </c>
      <c r="BK11" s="104">
        <f>IF(BH11=$BK$4,1,0)</f>
        <v>1</v>
      </c>
      <c r="BL11" s="104">
        <f>IF(BH11=$BL$4,1,0)</f>
        <v>0</v>
      </c>
      <c r="BM11" s="104">
        <f>IF(BH11=$BM$4,1,0)</f>
        <v>0</v>
      </c>
      <c r="BN11" s="104">
        <f>IF(BH11=$BN$4,1,0)</f>
        <v>0</v>
      </c>
      <c r="BO11" s="543">
        <f>IF(BH11=$BO$4,1,0)</f>
        <v>0</v>
      </c>
      <c r="BP11" s="111"/>
      <c r="BQ11" s="108">
        <f t="shared" ref="BQ11:BQ24" si="88">IF(L11&lt;=1.5,IF(I11+IF(R11=1,0.5,0)&lt;1.5,(I11+IF(R11=1,0.5,0))*G11*2,G11*2*1.5),0)</f>
        <v>18.18</v>
      </c>
      <c r="BR11" s="108">
        <f t="shared" ref="BR11:BR24" si="89">IF(L11&lt;=1.5,IF(AND(I11+IF(R11=1,0.5,0)&lt;3,I11+IF(R11=1,0.5,0)&gt;1.5),(I11+IF(R11=1,0.5,0)-1.5)*G11*2,IF(I11+IF(R11=1,0.5,0)&gt;=3,(G11*2*1.5),0)),0)</f>
        <v>16.240799999999997</v>
      </c>
      <c r="BS11" s="108">
        <f t="shared" ref="BS11:BS24" si="90">IF(L11&lt;=1.5,IF(AND(I11+IF(R11=1,0.5,0)&lt;4.5,I11+IF(R11=1,0.5,0)&gt;3),(I11+IF(R11=1,0.5,0)-3)*G11*2,IF(I11+IF(R11=1,0.5,0)&gt;=4.5,(G11*2*1.5),0)),0)</f>
        <v>0</v>
      </c>
      <c r="BV11" s="538">
        <f t="shared" si="38"/>
        <v>9.1559999999999988</v>
      </c>
      <c r="BW11" s="538">
        <f t="shared" si="39"/>
        <v>3.6623999999999994</v>
      </c>
      <c r="BX11" s="538">
        <f t="shared" si="40"/>
        <v>1.3923999999999999</v>
      </c>
      <c r="BY11" s="538">
        <f t="shared" ref="BY11:BY24" si="91">E11</f>
        <v>2.5</v>
      </c>
      <c r="BZ11" s="538">
        <f t="shared" ref="BZ11:BZ24" si="92">IF(Y11&gt;0.5,0,IF(S11&lt;E11,S11,E11))</f>
        <v>2.5</v>
      </c>
      <c r="CA11" s="538">
        <f>IF(Y11&gt;0.4,BY11+0.4,Y11)</f>
        <v>0</v>
      </c>
      <c r="CB11" s="538">
        <f t="shared" ref="CB11:CB24" si="93">IF(S11&gt;E11,0,E11-S11)</f>
        <v>0</v>
      </c>
      <c r="CC11" s="538">
        <f t="shared" ref="CC11:CC24" si="94">IF(BZ11&gt;1.5,BW11*1.5,BW11*BZ11)</f>
        <v>5.4935999999999989</v>
      </c>
      <c r="CD11" s="538">
        <f t="shared" ref="CD11:CD24" si="95">IF(BZ11&gt;1.5,BW11*(BZ11-1.5),0)</f>
        <v>3.6623999999999994</v>
      </c>
      <c r="CE11" s="538">
        <f>IF(CA11=0.4,IF(BZ11+CA11&gt;1.5,0,CA11*BW11),IF(CA11&gt;1.5,BW11*1.5,BW11*CA11))</f>
        <v>0</v>
      </c>
      <c r="CF11" s="538">
        <f>IF(CA11=0.4,IF(BZ11+CA11&lt;=1.5,0,CA11*BW11),IF(CA11&gt;1.5,BW11*(CA11-1.5),0))</f>
        <v>0</v>
      </c>
      <c r="CG11" s="538">
        <f t="shared" ref="CG11:CG24" si="96">BV11-SUM(CC11:CF11)</f>
        <v>0</v>
      </c>
      <c r="CH11" s="538">
        <f t="shared" ref="CH11:CH24" si="97">SUM(CC11:CG11)-BV11</f>
        <v>0</v>
      </c>
      <c r="CI11" s="104">
        <f t="shared" si="43"/>
        <v>0.252</v>
      </c>
      <c r="CJ11" s="538">
        <f>(BW11-BX11)*(BY11+IF(CA11&gt;=0.4,0.4,0))-CI11</f>
        <v>5.4229999999999992</v>
      </c>
      <c r="CK11" s="538">
        <f t="shared" ref="CK11:CK41" si="98">IF($CK$98&gt;$CJ$96,CJ11,CJ11*$CK$98/$CJ$96)</f>
        <v>5.4229999999999992</v>
      </c>
      <c r="CL11" s="538">
        <f t="shared" ref="CL11:CL24" si="99">CJ11-CK11</f>
        <v>0</v>
      </c>
      <c r="CM11" s="538">
        <f t="shared" ref="CM11:CM24" si="100">IF(CA11&gt;0,0.5*4%*BW11,0)</f>
        <v>0</v>
      </c>
      <c r="CN11" s="538">
        <f t="shared" si="44"/>
        <v>1.68</v>
      </c>
      <c r="CO11" s="538">
        <f t="shared" ref="CO11:CO24" si="101">IF(CA11&gt;0,BY11+0.5,BY11)</f>
        <v>2.5</v>
      </c>
      <c r="CP11" s="538">
        <f t="shared" ref="CP11:CP24" si="102">IF(CO11&gt;=1.5,CN11*1.5*2,CN11*CO11*2)</f>
        <v>5.04</v>
      </c>
      <c r="CQ11" s="538">
        <f t="shared" ref="CQ11:CQ24" si="103">IF(CO11&lt;=1.5,0,IF(CO11&gt;=3,CN11*1.5*2,CN11*(CO11-1.5)*2))</f>
        <v>3.36</v>
      </c>
      <c r="CR11" s="539">
        <f t="shared" ref="CR11:CR24" si="104">IF(D11="AMPLIADA",0.55*(E11-0.5),0)</f>
        <v>1.1000000000000001</v>
      </c>
      <c r="CS11" s="540">
        <f t="shared" si="45"/>
        <v>5.1000000000000004E-2</v>
      </c>
      <c r="CT11" s="540">
        <f t="shared" si="46"/>
        <v>0.15421000000000001</v>
      </c>
      <c r="CU11" s="541">
        <f t="shared" si="47"/>
        <v>6.5</v>
      </c>
      <c r="CV11" s="538">
        <f t="shared" si="48"/>
        <v>0.90203999999999995</v>
      </c>
      <c r="CW11" s="538">
        <f t="shared" si="49"/>
        <v>15.764600000000002</v>
      </c>
      <c r="CX11" s="104">
        <f t="shared" si="50"/>
        <v>1.68</v>
      </c>
      <c r="CY11" s="542">
        <f t="shared" si="0"/>
        <v>0.84</v>
      </c>
      <c r="CZ11" s="538">
        <f t="shared" ref="CZ11:CZ24" si="105">IF(AND(C11="EXISTENTE",D11="PROJETADA"),PI()*0.51*0.51/4*0.12,0)</f>
        <v>0</v>
      </c>
      <c r="DC11" s="112" t="s">
        <v>1406</v>
      </c>
      <c r="DD11" s="112" t="b">
        <f>B11=DC11</f>
        <v>0</v>
      </c>
    </row>
    <row r="12" spans="1:108" s="112" customFormat="1" ht="37.5" x14ac:dyDescent="0.25">
      <c r="A12" s="100" t="str">
        <f>'BOCA DE LOBO'!C10</f>
        <v>BL6-&gt;PV3.1</v>
      </c>
      <c r="B12" s="100" t="str">
        <f>'BOCA DE LOBO'!A10</f>
        <v>PV3.1</v>
      </c>
      <c r="C12" s="100" t="str">
        <f>VLOOKUP(A12,'BOCA DE LOBO'!C:F,3,0)</f>
        <v>PROJETADO</v>
      </c>
      <c r="D12" s="100" t="str">
        <f>VLOOKUP(A12,'BOCA DE LOBO'!C:L,10,0)</f>
        <v>AMPLIADA</v>
      </c>
      <c r="E12" s="100">
        <f t="shared" ref="E12:E24" si="106">IF(F12-G12*4%&lt;2.5,F12-G12*4%,2.5)</f>
        <v>2.5</v>
      </c>
      <c r="F12" s="100">
        <f>VLOOKUP(A12,'BOCA DE LOBO'!C:D,2,0)</f>
        <v>2.92</v>
      </c>
      <c r="G12" s="100">
        <f>VLOOKUP(A12,'BOCA DE LOBO'!C:F,4,0)</f>
        <v>8.2799999999999994</v>
      </c>
      <c r="H12" s="101">
        <v>400</v>
      </c>
      <c r="I12" s="102">
        <f t="shared" si="54"/>
        <v>2.84</v>
      </c>
      <c r="J12" s="102">
        <f t="shared" ref="J12:J24" si="107">IF(L12=0,0,IF(I12&gt;=1.25,G12*I12/20,0))</f>
        <v>0</v>
      </c>
      <c r="K12" s="103">
        <v>0</v>
      </c>
      <c r="L12" s="104">
        <f t="shared" ref="L12:L24" si="108">IF(D12&lt;&gt;"PROJETADA",0,IF(H12=400,1,0)+IF(H12=500,1.2,0)+IF(H12=600,1.4,0)+IF(H12=800,1.7,0)+IF(H12=1000,2,0)+IF(H12=1200,2.2,0)+IF(H12=1500,2.6,0)+IF(H12=1650,3,0)+IF(H12=1800,3.2,0)+IF(H12=2000,3.4,0)+IF(H12=2200,3.6,0)+IF(H12=2400,3.8,0)+IF(H12=2600,4,0)+IF(H12=3000,4.4,0))</f>
        <v>0</v>
      </c>
      <c r="M12" s="104">
        <f t="shared" ref="M12:M24" si="109">2*K12*I12+L12</f>
        <v>0</v>
      </c>
      <c r="N12" s="104">
        <f>IF(OR(D12="EXISTENTE",D12="AMPLIADA"),400,0)</f>
        <v>400</v>
      </c>
      <c r="O12" s="104">
        <f t="shared" si="55"/>
        <v>0</v>
      </c>
      <c r="P12" s="144" t="str">
        <f>VLOOKUP(B12,'Planilha Hidráulica'!$AE$10:$AQ$30,13,0)</f>
        <v>ASFALTO</v>
      </c>
      <c r="Q12" s="144" t="s">
        <v>2024</v>
      </c>
      <c r="R12" s="105"/>
      <c r="S12" s="105">
        <f>VLOOKUP(Q12,Quantitativos!P:R,3,0)</f>
        <v>5</v>
      </c>
      <c r="T12" s="105">
        <f>VLOOKUP(Q12,Quantitativos!P:S,4,0)</f>
        <v>5</v>
      </c>
      <c r="U12" s="104">
        <f t="shared" si="56"/>
        <v>0.05</v>
      </c>
      <c r="V12" s="106">
        <f t="shared" ref="V12:V24" si="110">IF(L12=0,0,IF("EXISTENTE"=C12,0,IFERROR((PI()*(N12/1000)*(N12/1000)/4)*G12,0)))</f>
        <v>0</v>
      </c>
      <c r="W12" s="106">
        <f t="shared" ref="W12:W24" si="111">IF(O12=0,0,((((K12*I12)*I12)/2)*2+L12*I12)*G12-V12+AO12)</f>
        <v>0</v>
      </c>
      <c r="X12" s="107">
        <f t="shared" si="57"/>
        <v>0</v>
      </c>
      <c r="Y12" s="107">
        <f t="shared" si="58"/>
        <v>0</v>
      </c>
      <c r="Z12" s="107">
        <f t="shared" si="59"/>
        <v>2.84</v>
      </c>
      <c r="AA12" s="107">
        <f t="shared" ref="AA12:AA24" si="112">I12-Z12</f>
        <v>0</v>
      </c>
      <c r="AB12" s="108">
        <f t="shared" ref="AB12:AB24" si="113">IF(P12="ASFALTO",IF(D12="PROJETADA",O12,IF(D12="EXISTENTE",0,O12/2)),0)</f>
        <v>0</v>
      </c>
      <c r="AC12" s="109">
        <f t="shared" si="60"/>
        <v>0</v>
      </c>
      <c r="AD12" s="109">
        <f t="shared" si="61"/>
        <v>0</v>
      </c>
      <c r="AE12" s="109">
        <f t="shared" si="62"/>
        <v>0</v>
      </c>
      <c r="AF12" s="109">
        <f t="shared" si="63"/>
        <v>0</v>
      </c>
      <c r="AG12" s="109">
        <f t="shared" si="64"/>
        <v>0</v>
      </c>
      <c r="AH12" s="109">
        <f t="shared" si="65"/>
        <v>0</v>
      </c>
      <c r="AI12" s="537" t="str">
        <f t="shared" si="66"/>
        <v>NÃO</v>
      </c>
      <c r="AJ12" s="104">
        <f t="shared" si="67"/>
        <v>0</v>
      </c>
      <c r="AK12" s="104">
        <f t="shared" si="68"/>
        <v>0</v>
      </c>
      <c r="AL12" s="104">
        <f t="shared" si="69"/>
        <v>0</v>
      </c>
      <c r="AM12" s="102">
        <f t="shared" si="70"/>
        <v>0</v>
      </c>
      <c r="AN12" s="106">
        <f t="shared" si="71"/>
        <v>0</v>
      </c>
      <c r="AO12" s="104">
        <f t="shared" si="72"/>
        <v>0</v>
      </c>
      <c r="AP12" s="104">
        <f t="shared" si="73"/>
        <v>0</v>
      </c>
      <c r="AQ12" s="104">
        <f t="shared" si="74"/>
        <v>0.7</v>
      </c>
      <c r="AR12" s="104">
        <f t="shared" si="75"/>
        <v>0</v>
      </c>
      <c r="AS12" s="104">
        <f t="shared" si="76"/>
        <v>0</v>
      </c>
      <c r="AT12" s="104">
        <f t="shared" si="77"/>
        <v>0</v>
      </c>
      <c r="AU12" s="104">
        <f t="shared" ref="AU12:AU24" si="114">AT12</f>
        <v>0</v>
      </c>
      <c r="AV12" s="104">
        <f t="shared" si="78"/>
        <v>0</v>
      </c>
      <c r="AW12" s="104">
        <f t="shared" si="79"/>
        <v>0</v>
      </c>
      <c r="AX12" s="104">
        <f t="shared" ref="AX12:AX24" si="115">SUM(AF12:AH12)-AO12-AT12-AR12</f>
        <v>0</v>
      </c>
      <c r="AY12" s="104">
        <f t="shared" si="80"/>
        <v>0</v>
      </c>
      <c r="AZ12" s="104">
        <f t="shared" si="81"/>
        <v>0</v>
      </c>
      <c r="BA12" s="104">
        <f t="shared" si="82"/>
        <v>0</v>
      </c>
      <c r="BB12" s="104">
        <f t="shared" si="83"/>
        <v>0</v>
      </c>
      <c r="BC12" s="104"/>
      <c r="BD12" s="104">
        <f t="shared" si="84"/>
        <v>0</v>
      </c>
      <c r="BE12" s="108">
        <f t="shared" si="85"/>
        <v>2.84</v>
      </c>
      <c r="BF12" s="110">
        <f t="shared" si="86"/>
        <v>0</v>
      </c>
      <c r="BG12" s="110">
        <f t="shared" si="87"/>
        <v>0</v>
      </c>
      <c r="BH12" s="105" t="str">
        <f>VLOOKUP(A12,'BOCA DE LOBO'!C:I,7,0)</f>
        <v>BOCA DE LOBO DUPLA EXISTENTE COM BOCA DE LOBO DUPLA PROJETADA</v>
      </c>
      <c r="BI12" s="104">
        <f t="shared" ref="BI12:BI24" si="116">IF(BH12=$BI$4,1,0)</f>
        <v>0</v>
      </c>
      <c r="BJ12" s="104">
        <f t="shared" ref="BJ12:BJ24" si="117">IF(BH12=$BJ$4,1,0)</f>
        <v>0</v>
      </c>
      <c r="BK12" s="104">
        <f t="shared" ref="BK12:BK24" si="118">IF(BH12=$BK$4,1,0)</f>
        <v>0</v>
      </c>
      <c r="BL12" s="104">
        <f t="shared" ref="BL12:BL24" si="119">IF(BH12=$BL$4,1,0)</f>
        <v>1</v>
      </c>
      <c r="BM12" s="104">
        <f t="shared" ref="BM12:BM24" si="120">IF(BH12=$BM$4,1,0)</f>
        <v>0</v>
      </c>
      <c r="BN12" s="104">
        <f t="shared" ref="BN12:BN24" si="121">IF(BH12=$BN$4,1,0)</f>
        <v>0</v>
      </c>
      <c r="BO12" s="104">
        <f t="shared" ref="BO12:BO24" si="122">IF(BH12=$BO$4,1,0)</f>
        <v>0</v>
      </c>
      <c r="BP12" s="111"/>
      <c r="BQ12" s="108">
        <f t="shared" si="88"/>
        <v>24.839999999999996</v>
      </c>
      <c r="BR12" s="108">
        <f t="shared" si="89"/>
        <v>22.190399999999997</v>
      </c>
      <c r="BS12" s="108">
        <f t="shared" si="90"/>
        <v>0</v>
      </c>
      <c r="BV12" s="538">
        <f t="shared" si="38"/>
        <v>15.695999999999996</v>
      </c>
      <c r="BW12" s="538">
        <f t="shared" si="39"/>
        <v>6.2783999999999986</v>
      </c>
      <c r="BX12" s="538">
        <f t="shared" si="40"/>
        <v>2.8083999999999998</v>
      </c>
      <c r="BY12" s="538">
        <f t="shared" si="91"/>
        <v>2.5</v>
      </c>
      <c r="BZ12" s="538">
        <f t="shared" si="92"/>
        <v>2.5</v>
      </c>
      <c r="CA12" s="538">
        <f t="shared" ref="CA12:CA24" si="123">IF(Y12&gt;0.4,BY12+0.4,Y12)</f>
        <v>0</v>
      </c>
      <c r="CB12" s="538">
        <f t="shared" si="93"/>
        <v>0</v>
      </c>
      <c r="CC12" s="538">
        <f t="shared" si="94"/>
        <v>9.4175999999999984</v>
      </c>
      <c r="CD12" s="538">
        <f t="shared" si="95"/>
        <v>6.2783999999999986</v>
      </c>
      <c r="CE12" s="538">
        <f t="shared" ref="CE12:CE24" si="124">IF(CA12=0.4,IF(BZ12+CA12&gt;1.5,0,CA12*BW12),IF(CA12&gt;1.5,BW12*1.5,BW12*CA12))</f>
        <v>0</v>
      </c>
      <c r="CF12" s="538">
        <f t="shared" ref="CF12:CF24" si="125">IF(CA12=0.4,IF(BZ12+CA12&lt;=1.5,0,CA12*BW12),IF(CA12&gt;1.5,BW12*(CA12-1.5),0))</f>
        <v>0</v>
      </c>
      <c r="CG12" s="538">
        <f t="shared" si="96"/>
        <v>0</v>
      </c>
      <c r="CH12" s="538">
        <f t="shared" si="97"/>
        <v>0</v>
      </c>
      <c r="CI12" s="104">
        <f t="shared" si="43"/>
        <v>0.432</v>
      </c>
      <c r="CJ12" s="538">
        <f t="shared" ref="CJ12:CJ24" si="126">(BW12-BX12)*(BY12+IF(CA12&gt;=0.4,0.4,0))-CI12</f>
        <v>8.2429999999999968</v>
      </c>
      <c r="CK12" s="538">
        <f t="shared" si="98"/>
        <v>8.2429999999999968</v>
      </c>
      <c r="CL12" s="538">
        <f t="shared" si="99"/>
        <v>0</v>
      </c>
      <c r="CM12" s="538">
        <f t="shared" si="100"/>
        <v>0</v>
      </c>
      <c r="CN12" s="538">
        <f t="shared" si="44"/>
        <v>2.88</v>
      </c>
      <c r="CO12" s="538">
        <f t="shared" si="101"/>
        <v>2.5</v>
      </c>
      <c r="CP12" s="538">
        <f t="shared" si="102"/>
        <v>8.64</v>
      </c>
      <c r="CQ12" s="538">
        <f t="shared" si="103"/>
        <v>5.76</v>
      </c>
      <c r="CR12" s="539">
        <f t="shared" si="104"/>
        <v>1.1000000000000001</v>
      </c>
      <c r="CS12" s="540">
        <f t="shared" si="45"/>
        <v>5.1000000000000004E-2</v>
      </c>
      <c r="CT12" s="540">
        <f t="shared" si="46"/>
        <v>0.30127039999999999</v>
      </c>
      <c r="CU12" s="541">
        <f t="shared" si="47"/>
        <v>11.5</v>
      </c>
      <c r="CV12" s="538">
        <f t="shared" si="48"/>
        <v>1.08657</v>
      </c>
      <c r="CW12" s="538">
        <f t="shared" si="49"/>
        <v>15.191200000000002</v>
      </c>
      <c r="CX12" s="104">
        <f t="shared" si="50"/>
        <v>2.88</v>
      </c>
      <c r="CY12" s="542">
        <f t="shared" ref="CY12:CY24" si="127">CX12*0.5</f>
        <v>1.44</v>
      </c>
      <c r="CZ12" s="538">
        <f t="shared" si="105"/>
        <v>0</v>
      </c>
      <c r="DC12" s="112" t="s">
        <v>1421</v>
      </c>
      <c r="DD12" s="112" t="b">
        <f t="shared" ref="DD12:DD75" si="128">B12=DC12</f>
        <v>0</v>
      </c>
    </row>
    <row r="13" spans="1:108" s="112" customFormat="1" ht="37.5" x14ac:dyDescent="0.25">
      <c r="A13" s="100" t="str">
        <f>'BOCA DE LOBO'!C11</f>
        <v>BL7-&gt;PV3.1</v>
      </c>
      <c r="B13" s="100" t="str">
        <f>'BOCA DE LOBO'!A11</f>
        <v>PV3.1</v>
      </c>
      <c r="C13" s="100" t="str">
        <f>VLOOKUP(A13,'BOCA DE LOBO'!C:F,3,0)</f>
        <v>PROJETADO</v>
      </c>
      <c r="D13" s="100" t="str">
        <f>VLOOKUP(A13,'BOCA DE LOBO'!C:L,10,0)</f>
        <v>AMPLIADA</v>
      </c>
      <c r="E13" s="100">
        <f t="shared" si="106"/>
        <v>2.5</v>
      </c>
      <c r="F13" s="100">
        <f>VLOOKUP(A13,'BOCA DE LOBO'!C:D,2,0)</f>
        <v>2.92</v>
      </c>
      <c r="G13" s="100">
        <f>VLOOKUP(A13,'BOCA DE LOBO'!C:F,4,0)</f>
        <v>9.3000000000000007</v>
      </c>
      <c r="H13" s="101">
        <v>400</v>
      </c>
      <c r="I13" s="102">
        <f t="shared" si="54"/>
        <v>2.84</v>
      </c>
      <c r="J13" s="102">
        <f t="shared" si="107"/>
        <v>0</v>
      </c>
      <c r="K13" s="103">
        <v>0</v>
      </c>
      <c r="L13" s="104">
        <f t="shared" si="108"/>
        <v>0</v>
      </c>
      <c r="M13" s="104">
        <f t="shared" si="109"/>
        <v>0</v>
      </c>
      <c r="N13" s="104">
        <f t="shared" ref="N13:N24" si="129">IF(OR(D13="EXISTENTE",D13="AMPLIADA"),400,0)</f>
        <v>400</v>
      </c>
      <c r="O13" s="104">
        <f t="shared" si="55"/>
        <v>0</v>
      </c>
      <c r="P13" s="144" t="str">
        <f>VLOOKUP(B13,'Planilha Hidráulica'!$AE$10:$AQ$30,13,0)</f>
        <v>ASFALTO</v>
      </c>
      <c r="Q13" s="144" t="s">
        <v>2024</v>
      </c>
      <c r="R13" s="105"/>
      <c r="S13" s="105">
        <f>VLOOKUP(Q13,Quantitativos!P:R,3,0)</f>
        <v>5</v>
      </c>
      <c r="T13" s="105">
        <f>VLOOKUP(Q13,Quantitativos!P:S,4,0)</f>
        <v>5</v>
      </c>
      <c r="U13" s="104">
        <f t="shared" si="56"/>
        <v>0.05</v>
      </c>
      <c r="V13" s="106">
        <f t="shared" si="110"/>
        <v>0</v>
      </c>
      <c r="W13" s="106">
        <f t="shared" si="111"/>
        <v>0</v>
      </c>
      <c r="X13" s="107">
        <f t="shared" si="57"/>
        <v>0</v>
      </c>
      <c r="Y13" s="107">
        <f t="shared" si="58"/>
        <v>0</v>
      </c>
      <c r="Z13" s="107">
        <f t="shared" si="59"/>
        <v>2.84</v>
      </c>
      <c r="AA13" s="107">
        <f t="shared" si="112"/>
        <v>0</v>
      </c>
      <c r="AB13" s="108">
        <f t="shared" si="113"/>
        <v>0</v>
      </c>
      <c r="AC13" s="109">
        <f t="shared" si="60"/>
        <v>0</v>
      </c>
      <c r="AD13" s="109">
        <f t="shared" si="61"/>
        <v>0</v>
      </c>
      <c r="AE13" s="109">
        <f t="shared" si="62"/>
        <v>0</v>
      </c>
      <c r="AF13" s="109">
        <f t="shared" si="63"/>
        <v>0</v>
      </c>
      <c r="AG13" s="109">
        <f t="shared" si="64"/>
        <v>0</v>
      </c>
      <c r="AH13" s="109">
        <f t="shared" si="65"/>
        <v>0</v>
      </c>
      <c r="AI13" s="537" t="str">
        <f t="shared" si="66"/>
        <v>NÃO</v>
      </c>
      <c r="AJ13" s="104">
        <f t="shared" si="67"/>
        <v>0</v>
      </c>
      <c r="AK13" s="104">
        <f t="shared" si="68"/>
        <v>0</v>
      </c>
      <c r="AL13" s="104">
        <f t="shared" si="69"/>
        <v>0</v>
      </c>
      <c r="AM13" s="102">
        <f t="shared" si="70"/>
        <v>0</v>
      </c>
      <c r="AN13" s="106">
        <f t="shared" si="71"/>
        <v>0</v>
      </c>
      <c r="AO13" s="104">
        <f t="shared" si="72"/>
        <v>0</v>
      </c>
      <c r="AP13" s="104">
        <f t="shared" si="73"/>
        <v>0</v>
      </c>
      <c r="AQ13" s="104">
        <f t="shared" si="74"/>
        <v>0.7</v>
      </c>
      <c r="AR13" s="104">
        <f t="shared" si="75"/>
        <v>0</v>
      </c>
      <c r="AS13" s="104">
        <f t="shared" si="76"/>
        <v>0</v>
      </c>
      <c r="AT13" s="104">
        <f t="shared" si="77"/>
        <v>0</v>
      </c>
      <c r="AU13" s="104">
        <f t="shared" si="114"/>
        <v>0</v>
      </c>
      <c r="AV13" s="104">
        <f t="shared" si="78"/>
        <v>0</v>
      </c>
      <c r="AW13" s="104">
        <f t="shared" si="79"/>
        <v>0</v>
      </c>
      <c r="AX13" s="104">
        <f t="shared" si="115"/>
        <v>0</v>
      </c>
      <c r="AY13" s="104">
        <f t="shared" si="80"/>
        <v>0</v>
      </c>
      <c r="AZ13" s="104">
        <f t="shared" si="81"/>
        <v>0</v>
      </c>
      <c r="BA13" s="104">
        <f t="shared" si="82"/>
        <v>0</v>
      </c>
      <c r="BB13" s="104">
        <f t="shared" si="83"/>
        <v>0</v>
      </c>
      <c r="BC13" s="104"/>
      <c r="BD13" s="104">
        <f t="shared" si="84"/>
        <v>0</v>
      </c>
      <c r="BE13" s="108">
        <f t="shared" si="85"/>
        <v>2.84</v>
      </c>
      <c r="BF13" s="110">
        <f t="shared" si="86"/>
        <v>0</v>
      </c>
      <c r="BG13" s="110">
        <f t="shared" si="87"/>
        <v>0</v>
      </c>
      <c r="BH13" s="105" t="str">
        <f>VLOOKUP(A13,'BOCA DE LOBO'!C:I,7,0)</f>
        <v>BOCA DE LOBO DUPLA EXISTENTE COM BOCA DE LOBO SIMPLES PROJETADA</v>
      </c>
      <c r="BI13" s="104">
        <f t="shared" si="116"/>
        <v>0</v>
      </c>
      <c r="BJ13" s="104">
        <f t="shared" si="117"/>
        <v>0</v>
      </c>
      <c r="BK13" s="104">
        <f t="shared" si="118"/>
        <v>1</v>
      </c>
      <c r="BL13" s="104">
        <f t="shared" si="119"/>
        <v>0</v>
      </c>
      <c r="BM13" s="104">
        <f t="shared" si="120"/>
        <v>0</v>
      </c>
      <c r="BN13" s="104">
        <f t="shared" si="121"/>
        <v>0</v>
      </c>
      <c r="BO13" s="104">
        <f t="shared" si="122"/>
        <v>0</v>
      </c>
      <c r="BP13" s="111"/>
      <c r="BQ13" s="108">
        <f t="shared" si="88"/>
        <v>27.900000000000002</v>
      </c>
      <c r="BR13" s="108">
        <f t="shared" si="89"/>
        <v>24.923999999999999</v>
      </c>
      <c r="BS13" s="108">
        <f t="shared" si="90"/>
        <v>0</v>
      </c>
      <c r="BV13" s="538">
        <f t="shared" si="38"/>
        <v>9.1559999999999988</v>
      </c>
      <c r="BW13" s="538">
        <f>IF(OR("BOCA DE LOBO EXISTENTE TRIPLA"=BH13,"BOCA DE LOBO EXISTENTE SIMPLES"=BH13,"BOCA DE LOBO EXISTENTE DUPLA"=BH13),0,IF("BOCA DE LOBO PROJETADA DUPLA"=BH13,(2.57+1)*(1.18+1),IF(OR("BOCA DE LOBO DUPLA EXISTENTE COM BOCA DE LOBO SIMPLES PROJETADA"=BH13,"BOCA DE LOBO SIMPLES EXISTENTE COM BOCA DE LOBO SIMPLES PROJETADA"=BH13),(1.18+1)*(1.18+0.5),IF(OR(BH13="BOCA DE LOBO DUPLA EXISTENTE COM BOCA DE LOBO DUPLA PROJETADA",BH13="BOCA DE LOBO SIMPLES EXISTENTE COM BOCA DE LOBO DUPLA PROJETADA"),(2.38+0.5)*(1.18+1),IF("BOCA DE LOBO PROJETADA TRIPLA"=BH13,(3.76+0.5*2)*(1.18+1),IF("BOCA DE LOBO PROJETADA QUADRUPLA"=BH13,(4.92+0.5*2)*(1.18+1),"X"))))))</f>
        <v>3.6623999999999994</v>
      </c>
      <c r="BX13" s="538">
        <f t="shared" si="40"/>
        <v>1.3923999999999999</v>
      </c>
      <c r="BY13" s="538">
        <f t="shared" si="91"/>
        <v>2.5</v>
      </c>
      <c r="BZ13" s="538">
        <f t="shared" si="92"/>
        <v>2.5</v>
      </c>
      <c r="CA13" s="538">
        <f t="shared" si="123"/>
        <v>0</v>
      </c>
      <c r="CB13" s="538">
        <f t="shared" si="93"/>
        <v>0</v>
      </c>
      <c r="CC13" s="538">
        <f t="shared" si="94"/>
        <v>5.4935999999999989</v>
      </c>
      <c r="CD13" s="538">
        <f t="shared" si="95"/>
        <v>3.6623999999999994</v>
      </c>
      <c r="CE13" s="538">
        <f t="shared" si="124"/>
        <v>0</v>
      </c>
      <c r="CF13" s="538">
        <f t="shared" si="125"/>
        <v>0</v>
      </c>
      <c r="CG13" s="538">
        <f t="shared" si="96"/>
        <v>0</v>
      </c>
      <c r="CH13" s="538">
        <f t="shared" si="97"/>
        <v>0</v>
      </c>
      <c r="CI13" s="104">
        <f>IF(OR("BOCA DE LOBO EXISTENTE TRIPLA"=BH13,"BOCA DE LOBO EXISTENTE SIMPLES"=BH13,"BOCA DE LOBO EXISTENTE DUPLA"=BH13),0,IF("BOCA DE LOBO PROJETADA DUPLA"=BH13,(2.57+1)*(0.5),IF(OR("BOCA DE LOBO DUPLA EXISTENTE COM BOCA DE LOBO SIMPLES PROJETADA"=BH13,"BOCA DE LOBO SIMPLES EXISTENTE COM BOCA DE LOBO SIMPLES PROJETADA"=BH13),(1.18+0.5)*(0.5),IF(OR(BH13="BOCA DE LOBO DUPLA EXISTENTE COM BOCA DE LOBO DUPLA PROJETADA",BH13="BOCA DE LOBO SIMPLES EXISTENTE COM BOCA DE LOBO DUPLA PROJETADA"),(2.38+0.5)*(0.5),IF("BOCA DE LOBO PROJETADA TRIPLA"=BH13,(3.76+1)*(0.5),IF("BOCA DE LOBO PROJETADA QUADRUPLA"=BH13,(4.92+1)*(0.5),"X")))))*0.3)</f>
        <v>0.252</v>
      </c>
      <c r="CJ13" s="538">
        <f t="shared" si="126"/>
        <v>5.4229999999999992</v>
      </c>
      <c r="CK13" s="538">
        <f t="shared" si="98"/>
        <v>5.4229999999999992</v>
      </c>
      <c r="CL13" s="538">
        <f t="shared" si="99"/>
        <v>0</v>
      </c>
      <c r="CM13" s="538">
        <f t="shared" si="100"/>
        <v>0</v>
      </c>
      <c r="CN13" s="538">
        <f t="shared" si="44"/>
        <v>1.68</v>
      </c>
      <c r="CO13" s="538">
        <f t="shared" si="101"/>
        <v>2.5</v>
      </c>
      <c r="CP13" s="538">
        <f t="shared" si="102"/>
        <v>5.04</v>
      </c>
      <c r="CQ13" s="538">
        <f t="shared" si="103"/>
        <v>3.36</v>
      </c>
      <c r="CR13" s="539">
        <f t="shared" si="104"/>
        <v>1.1000000000000001</v>
      </c>
      <c r="CS13" s="540">
        <f t="shared" si="45"/>
        <v>5.1000000000000004E-2</v>
      </c>
      <c r="CT13" s="540">
        <f t="shared" si="46"/>
        <v>0.15421000000000001</v>
      </c>
      <c r="CU13" s="541">
        <f t="shared" si="47"/>
        <v>6.5</v>
      </c>
      <c r="CV13" s="538">
        <f t="shared" si="48"/>
        <v>0.90203999999999995</v>
      </c>
      <c r="CW13" s="538">
        <f t="shared" si="49"/>
        <v>15.764600000000002</v>
      </c>
      <c r="CX13" s="104">
        <f t="shared" si="50"/>
        <v>1.68</v>
      </c>
      <c r="CY13" s="542">
        <f t="shared" si="127"/>
        <v>0.84</v>
      </c>
      <c r="CZ13" s="538">
        <f t="shared" si="105"/>
        <v>0</v>
      </c>
      <c r="DC13" s="112" t="s">
        <v>1411</v>
      </c>
      <c r="DD13" s="112" t="b">
        <f t="shared" si="128"/>
        <v>1</v>
      </c>
    </row>
    <row r="14" spans="1:108" s="112" customFormat="1" ht="25" x14ac:dyDescent="0.25">
      <c r="A14" s="100" t="str">
        <f>'BOCA DE LOBO'!C12</f>
        <v>BL8-&gt;PV4.1</v>
      </c>
      <c r="B14" s="100" t="str">
        <f>'BOCA DE LOBO'!A12</f>
        <v>PV4.1</v>
      </c>
      <c r="C14" s="100" t="str">
        <f>VLOOKUP(A14,'BOCA DE LOBO'!C:F,3,0)</f>
        <v>PROJETADO</v>
      </c>
      <c r="D14" s="100" t="str">
        <f>VLOOKUP(A14,'BOCA DE LOBO'!C:L,10,0)</f>
        <v>PROJETADA</v>
      </c>
      <c r="E14" s="100">
        <f t="shared" si="106"/>
        <v>1.9892000000000003</v>
      </c>
      <c r="F14" s="100">
        <f>VLOOKUP(A14,'BOCA DE LOBO'!C:D,2,0)</f>
        <v>2.2000000000000002</v>
      </c>
      <c r="G14" s="100">
        <f>VLOOKUP(A14,'BOCA DE LOBO'!C:F,4,0)</f>
        <v>5.27</v>
      </c>
      <c r="H14" s="101">
        <v>400</v>
      </c>
      <c r="I14" s="102">
        <f t="shared" si="54"/>
        <v>2.2246000000000001</v>
      </c>
      <c r="J14" s="102">
        <f t="shared" si="107"/>
        <v>0.58618210000000004</v>
      </c>
      <c r="K14" s="103">
        <v>0</v>
      </c>
      <c r="L14" s="104">
        <f t="shared" si="108"/>
        <v>1</v>
      </c>
      <c r="M14" s="104">
        <f t="shared" si="109"/>
        <v>1</v>
      </c>
      <c r="N14" s="104">
        <f t="shared" si="129"/>
        <v>0</v>
      </c>
      <c r="O14" s="104">
        <f t="shared" si="55"/>
        <v>5.27</v>
      </c>
      <c r="P14" s="144" t="str">
        <f>VLOOKUP(B14,'Planilha Hidráulica'!$AE$10:$AQ$30,13,0)</f>
        <v>ASFALTO</v>
      </c>
      <c r="Q14" s="144" t="s">
        <v>2024</v>
      </c>
      <c r="R14" s="105"/>
      <c r="S14" s="105">
        <f>VLOOKUP(Q14,Quantitativos!P:R,3,0)</f>
        <v>5</v>
      </c>
      <c r="T14" s="105">
        <f>VLOOKUP(Q14,Quantitativos!P:S,4,0)</f>
        <v>5</v>
      </c>
      <c r="U14" s="104">
        <f t="shared" si="56"/>
        <v>0.05</v>
      </c>
      <c r="V14" s="106">
        <f t="shared" si="110"/>
        <v>0</v>
      </c>
      <c r="W14" s="106">
        <f t="shared" si="111"/>
        <v>11.723642</v>
      </c>
      <c r="X14" s="107">
        <f t="shared" si="57"/>
        <v>0</v>
      </c>
      <c r="Y14" s="107">
        <f t="shared" si="58"/>
        <v>0</v>
      </c>
      <c r="Z14" s="107">
        <f t="shared" si="59"/>
        <v>2.2246000000000001</v>
      </c>
      <c r="AA14" s="107">
        <f t="shared" si="112"/>
        <v>0</v>
      </c>
      <c r="AB14" s="108">
        <f t="shared" si="113"/>
        <v>5.27</v>
      </c>
      <c r="AC14" s="109">
        <f t="shared" si="60"/>
        <v>0</v>
      </c>
      <c r="AD14" s="109">
        <f t="shared" si="61"/>
        <v>0</v>
      </c>
      <c r="AE14" s="109">
        <f t="shared" si="62"/>
        <v>0</v>
      </c>
      <c r="AF14" s="109">
        <f t="shared" si="63"/>
        <v>7.9049999999999994</v>
      </c>
      <c r="AG14" s="109">
        <f t="shared" si="64"/>
        <v>3.8186420000000005</v>
      </c>
      <c r="AH14" s="109">
        <f t="shared" si="65"/>
        <v>0</v>
      </c>
      <c r="AI14" s="537" t="str">
        <f t="shared" si="66"/>
        <v>NÃO</v>
      </c>
      <c r="AJ14" s="104">
        <f t="shared" si="67"/>
        <v>0</v>
      </c>
      <c r="AK14" s="104">
        <f t="shared" si="68"/>
        <v>0</v>
      </c>
      <c r="AL14" s="104">
        <f t="shared" si="69"/>
        <v>11.061394268623271</v>
      </c>
      <c r="AM14" s="102">
        <f t="shared" si="70"/>
        <v>0.26350000000000001</v>
      </c>
      <c r="AN14" s="106">
        <f t="shared" si="71"/>
        <v>0</v>
      </c>
      <c r="AO14" s="104">
        <f t="shared" si="72"/>
        <v>0</v>
      </c>
      <c r="AP14" s="104">
        <f t="shared" si="73"/>
        <v>0</v>
      </c>
      <c r="AQ14" s="104">
        <f t="shared" si="74"/>
        <v>0.7</v>
      </c>
      <c r="AR14" s="104">
        <f t="shared" si="75"/>
        <v>3.0267522686232713</v>
      </c>
      <c r="AS14" s="104">
        <f t="shared" si="76"/>
        <v>0</v>
      </c>
      <c r="AT14" s="104">
        <f t="shared" si="77"/>
        <v>0.79049999999999987</v>
      </c>
      <c r="AU14" s="104">
        <f t="shared" si="114"/>
        <v>0.79049999999999987</v>
      </c>
      <c r="AV14" s="104">
        <f t="shared" si="78"/>
        <v>0.15809999999999999</v>
      </c>
      <c r="AW14" s="104">
        <f t="shared" si="79"/>
        <v>6.1901419999999998</v>
      </c>
      <c r="AX14" s="104">
        <f t="shared" si="115"/>
        <v>7.9063897313767288</v>
      </c>
      <c r="AY14" s="104">
        <f t="shared" si="80"/>
        <v>6.1901419999999998</v>
      </c>
      <c r="AZ14" s="104">
        <f t="shared" si="81"/>
        <v>0</v>
      </c>
      <c r="BA14" s="104">
        <f t="shared" si="82"/>
        <v>0</v>
      </c>
      <c r="BB14" s="104">
        <f t="shared" si="83"/>
        <v>0</v>
      </c>
      <c r="BC14" s="104"/>
      <c r="BD14" s="104">
        <f t="shared" si="84"/>
        <v>0</v>
      </c>
      <c r="BE14" s="108">
        <f t="shared" si="85"/>
        <v>2.2246000000000001</v>
      </c>
      <c r="BF14" s="110">
        <f t="shared" si="86"/>
        <v>0</v>
      </c>
      <c r="BG14" s="110">
        <f t="shared" si="87"/>
        <v>5.27</v>
      </c>
      <c r="BH14" s="105" t="str">
        <f>VLOOKUP(A14,'BOCA DE LOBO'!C:I,7,0)</f>
        <v>BOCA DE LOBO PROJETADA DUPLA</v>
      </c>
      <c r="BI14" s="104">
        <f t="shared" si="116"/>
        <v>0</v>
      </c>
      <c r="BJ14" s="104">
        <f t="shared" si="117"/>
        <v>0</v>
      </c>
      <c r="BK14" s="104">
        <f t="shared" si="118"/>
        <v>0</v>
      </c>
      <c r="BL14" s="104">
        <f t="shared" si="119"/>
        <v>0</v>
      </c>
      <c r="BM14" s="104">
        <f t="shared" si="120"/>
        <v>0</v>
      </c>
      <c r="BN14" s="104">
        <f t="shared" si="121"/>
        <v>1</v>
      </c>
      <c r="BO14" s="104">
        <f t="shared" si="122"/>
        <v>0</v>
      </c>
      <c r="BP14" s="111"/>
      <c r="BQ14" s="108">
        <f t="shared" si="88"/>
        <v>15.809999999999999</v>
      </c>
      <c r="BR14" s="108">
        <f t="shared" si="89"/>
        <v>7.6372840000000011</v>
      </c>
      <c r="BS14" s="108">
        <f t="shared" si="90"/>
        <v>0</v>
      </c>
      <c r="BV14" s="538">
        <f>IF(OR("BOCA DE LOBO EXISTENTE TRIPLA"=BH14,"BOCA DE LOBO EXISTENTE SIMPLES"=BH14,"BOCA DE LOBO EXISTENTE DUPLA"=BH14),0,IF("BOCA DE LOBO PROJETADA DUPLA"=BH14,(2.57+1)*(1.18+1),IF(OR("BOCA DE LOBO DUPLA EXISTENTE COM BOCA DE LOBO SIMPLES PROJETADA"=BH14,"BOCA DE LOBO SIMPLES EXISTENTE COM BOCA DE LOBO SIMPLES PROJETADA"=BH14),(1.18+0.5)*(1.18+1),IF(OR(BH14="BOCA DE LOBO DUPLA EXISTENTE COM BOCA DE LOBO DUPLA PROJETADA",BH14="BOCA DE LOBO SIMPLES EXISTENTE COM BOCA DE LOBO DUPLA PROJETADA"),(2.38+0.5)*(1.18+1),IF("BOCA DE LOBO PROJETADA TRIPLA"=BH14,(3.76+1)*(1.18+1),IF("BOCA DE LOBO PROJETADA QUADRUPLA"=BH14,(4.92+1)*(1.18+1),"X"))))))*(E14+IF(CA14&gt;0,0.5,0))</f>
        <v>15.48114792</v>
      </c>
      <c r="BW14" s="538">
        <f t="shared" ref="BW14:BW41" si="130">IF(OR("BOCA DE LOBO EXISTENTE TRIPLA"=BH14,"BOCA DE LOBO EXISTENTE SIMPLES"=BH14,"BOCA DE LOBO EXISTENTE DUPLA"=BH14),0,IF("BOCA DE LOBO PROJETADA DUPLA"=BH14,(2.57+1)*(1.18+1),IF(OR("BOCA DE LOBO DUPLA EXISTENTE COM BOCA DE LOBO SIMPLES PROJETADA"=BH14,"BOCA DE LOBO SIMPLES EXISTENTE COM BOCA DE LOBO SIMPLES PROJETADA"=BH14),(1.18+1)*(1.18+0.5),IF(OR(BH14="BOCA DE LOBO DUPLA EXISTENTE COM BOCA DE LOBO DUPLA PROJETADA",BH14="BOCA DE LOBO SIMPLES EXISTENTE COM BOCA DE LOBO DUPLA PROJETADA"),(2.38+0.5)*(1.18+1),IF("BOCA DE LOBO PROJETADA TRIPLA"=BH14,(3.76+0.5*2)*(1.18+1),IF("BOCA DE LOBO PROJETADA QUADRUPLA"=BH14,(4.92+0.5*2)*(1.18+1),"X"))))))</f>
        <v>7.7825999999999986</v>
      </c>
      <c r="BX14" s="538">
        <f t="shared" si="40"/>
        <v>3.0325999999999995</v>
      </c>
      <c r="BY14" s="538">
        <f t="shared" si="91"/>
        <v>1.9892000000000003</v>
      </c>
      <c r="BZ14" s="538">
        <f t="shared" si="92"/>
        <v>1.9892000000000003</v>
      </c>
      <c r="CA14" s="538">
        <f t="shared" si="123"/>
        <v>0</v>
      </c>
      <c r="CB14" s="538">
        <f t="shared" si="93"/>
        <v>0</v>
      </c>
      <c r="CC14" s="538">
        <f t="shared" si="94"/>
        <v>11.673899999999998</v>
      </c>
      <c r="CD14" s="538">
        <f t="shared" si="95"/>
        <v>3.8072479200000018</v>
      </c>
      <c r="CE14" s="538">
        <f t="shared" si="124"/>
        <v>0</v>
      </c>
      <c r="CF14" s="538">
        <f t="shared" si="125"/>
        <v>0</v>
      </c>
      <c r="CG14" s="538">
        <f t="shared" si="96"/>
        <v>0</v>
      </c>
      <c r="CH14" s="538">
        <f t="shared" si="97"/>
        <v>0</v>
      </c>
      <c r="CI14" s="104">
        <f t="shared" ref="CI14:CI41" si="131">IF(OR("BOCA DE LOBO EXISTENTE TRIPLA"=BH14,"BOCA DE LOBO EXISTENTE SIMPLES"=BH14,"BOCA DE LOBO EXISTENTE DUPLA"=BH14),0,IF("BOCA DE LOBO PROJETADA DUPLA"=BH14,(2.57+1)*(0.5),IF(OR("BOCA DE LOBO DUPLA EXISTENTE COM BOCA DE LOBO SIMPLES PROJETADA"=BH14,"BOCA DE LOBO SIMPLES EXISTENTE COM BOCA DE LOBO SIMPLES PROJETADA"=BH14),(1.18+0.5)*(0.5),IF(OR(BH14="BOCA DE LOBO DUPLA EXISTENTE COM BOCA DE LOBO DUPLA PROJETADA",BH14="BOCA DE LOBO SIMPLES EXISTENTE COM BOCA DE LOBO DUPLA PROJETADA"),(2.38+0.5)*(0.5),IF("BOCA DE LOBO PROJETADA TRIPLA"=BH14,(3.76+1)*(0.5),IF("BOCA DE LOBO PROJETADA QUADRUPLA"=BH14,(4.92+1)*(0.5),"X")))))*0.3)</f>
        <v>0.53549999999999998</v>
      </c>
      <c r="CJ14" s="538">
        <f t="shared" si="126"/>
        <v>8.9131999999999998</v>
      </c>
      <c r="CK14" s="538">
        <f t="shared" si="98"/>
        <v>8.9131999999999998</v>
      </c>
      <c r="CL14" s="538">
        <f t="shared" si="99"/>
        <v>0</v>
      </c>
      <c r="CM14" s="538">
        <f t="shared" si="100"/>
        <v>0</v>
      </c>
      <c r="CN14" s="538">
        <f t="shared" si="44"/>
        <v>3.57</v>
      </c>
      <c r="CO14" s="538">
        <f t="shared" si="101"/>
        <v>1.9892000000000003</v>
      </c>
      <c r="CP14" s="538">
        <f t="shared" si="102"/>
        <v>10.709999999999999</v>
      </c>
      <c r="CQ14" s="538">
        <f t="shared" si="103"/>
        <v>3.492888000000002</v>
      </c>
      <c r="CR14" s="539">
        <f t="shared" si="104"/>
        <v>0</v>
      </c>
      <c r="CS14" s="540">
        <f t="shared" si="45"/>
        <v>0</v>
      </c>
      <c r="CT14" s="540">
        <f t="shared" si="46"/>
        <v>0.33012999999999998</v>
      </c>
      <c r="CU14" s="541">
        <f t="shared" si="47"/>
        <v>10.343840000000002</v>
      </c>
      <c r="CV14" s="538">
        <f t="shared" si="48"/>
        <v>1.2826451999999999</v>
      </c>
      <c r="CW14" s="538">
        <f t="shared" si="49"/>
        <v>19.325256</v>
      </c>
      <c r="CX14" s="104">
        <f t="shared" si="50"/>
        <v>3.57</v>
      </c>
      <c r="CY14" s="542">
        <f t="shared" si="127"/>
        <v>1.7849999999999999</v>
      </c>
      <c r="CZ14" s="538">
        <f t="shared" si="105"/>
        <v>0</v>
      </c>
      <c r="DC14" s="112" t="s">
        <v>1411</v>
      </c>
      <c r="DD14" s="112" t="b">
        <f t="shared" si="128"/>
        <v>0</v>
      </c>
    </row>
    <row r="15" spans="1:108" s="112" customFormat="1" ht="37.5" x14ac:dyDescent="0.25">
      <c r="A15" s="100" t="str">
        <f>'BOCA DE LOBO'!C13</f>
        <v>BL9-&gt;PV5.1</v>
      </c>
      <c r="B15" s="100" t="str">
        <f>'BOCA DE LOBO'!A13</f>
        <v>PV5.1</v>
      </c>
      <c r="C15" s="100" t="str">
        <f>VLOOKUP(A15,'BOCA DE LOBO'!C:F,3,0)</f>
        <v>PROJETADO</v>
      </c>
      <c r="D15" s="100" t="str">
        <f>VLOOKUP(A15,'BOCA DE LOBO'!C:L,10,0)</f>
        <v>AMPLIADA</v>
      </c>
      <c r="E15" s="100">
        <f t="shared" si="106"/>
        <v>2.5</v>
      </c>
      <c r="F15" s="100">
        <f>VLOOKUP(A15,'BOCA DE LOBO'!C:D,2,0)</f>
        <v>3.28</v>
      </c>
      <c r="G15" s="100">
        <f>VLOOKUP(A15,'BOCA DE LOBO'!C:F,4,0)</f>
        <v>7.8</v>
      </c>
      <c r="H15" s="101">
        <v>400</v>
      </c>
      <c r="I15" s="102">
        <f t="shared" si="54"/>
        <v>3.0199999999999996</v>
      </c>
      <c r="J15" s="102">
        <f t="shared" si="107"/>
        <v>0</v>
      </c>
      <c r="K15" s="103">
        <v>0</v>
      </c>
      <c r="L15" s="104">
        <f t="shared" si="108"/>
        <v>0</v>
      </c>
      <c r="M15" s="104">
        <f t="shared" si="109"/>
        <v>0</v>
      </c>
      <c r="N15" s="104">
        <f t="shared" si="129"/>
        <v>400</v>
      </c>
      <c r="O15" s="104">
        <f t="shared" si="55"/>
        <v>0</v>
      </c>
      <c r="P15" s="144" t="str">
        <f>VLOOKUP(B15,'Planilha Hidráulica'!$AE$10:$AQ$30,13,0)</f>
        <v>ASFALTO</v>
      </c>
      <c r="Q15" s="144" t="s">
        <v>2024</v>
      </c>
      <c r="R15" s="105"/>
      <c r="S15" s="105">
        <f>VLOOKUP(Q15,Quantitativos!P:R,3,0)</f>
        <v>5</v>
      </c>
      <c r="T15" s="105">
        <f>VLOOKUP(Q15,Quantitativos!P:S,4,0)</f>
        <v>5</v>
      </c>
      <c r="U15" s="104">
        <f t="shared" si="56"/>
        <v>0.05</v>
      </c>
      <c r="V15" s="106">
        <f t="shared" si="110"/>
        <v>0</v>
      </c>
      <c r="W15" s="106">
        <f t="shared" si="111"/>
        <v>0</v>
      </c>
      <c r="X15" s="107">
        <f t="shared" si="57"/>
        <v>0</v>
      </c>
      <c r="Y15" s="107">
        <f t="shared" si="58"/>
        <v>0</v>
      </c>
      <c r="Z15" s="107">
        <f t="shared" si="59"/>
        <v>3.0199999999999996</v>
      </c>
      <c r="AA15" s="107">
        <f t="shared" si="112"/>
        <v>0</v>
      </c>
      <c r="AB15" s="108">
        <f t="shared" si="113"/>
        <v>0</v>
      </c>
      <c r="AC15" s="109">
        <f t="shared" si="60"/>
        <v>0</v>
      </c>
      <c r="AD15" s="109">
        <f t="shared" si="61"/>
        <v>0</v>
      </c>
      <c r="AE15" s="109">
        <f t="shared" si="62"/>
        <v>0</v>
      </c>
      <c r="AF15" s="109">
        <f t="shared" si="63"/>
        <v>0</v>
      </c>
      <c r="AG15" s="109">
        <f t="shared" si="64"/>
        <v>0</v>
      </c>
      <c r="AH15" s="109">
        <f t="shared" si="65"/>
        <v>0</v>
      </c>
      <c r="AI15" s="537" t="str">
        <f t="shared" si="66"/>
        <v>NÃO</v>
      </c>
      <c r="AJ15" s="104">
        <f t="shared" si="67"/>
        <v>0</v>
      </c>
      <c r="AK15" s="104">
        <f t="shared" si="68"/>
        <v>0</v>
      </c>
      <c r="AL15" s="104">
        <f t="shared" si="69"/>
        <v>0</v>
      </c>
      <c r="AM15" s="102">
        <f t="shared" si="70"/>
        <v>0</v>
      </c>
      <c r="AN15" s="106">
        <f t="shared" si="71"/>
        <v>0</v>
      </c>
      <c r="AO15" s="104">
        <f t="shared" si="72"/>
        <v>0</v>
      </c>
      <c r="AP15" s="104">
        <f t="shared" si="73"/>
        <v>0</v>
      </c>
      <c r="AQ15" s="104">
        <f t="shared" si="74"/>
        <v>0.7</v>
      </c>
      <c r="AR15" s="104">
        <f t="shared" si="75"/>
        <v>0</v>
      </c>
      <c r="AS15" s="104">
        <f t="shared" si="76"/>
        <v>0</v>
      </c>
      <c r="AT15" s="104">
        <f t="shared" si="77"/>
        <v>0</v>
      </c>
      <c r="AU15" s="104">
        <f t="shared" si="114"/>
        <v>0</v>
      </c>
      <c r="AV15" s="104">
        <f t="shared" si="78"/>
        <v>0</v>
      </c>
      <c r="AW15" s="104">
        <f t="shared" si="79"/>
        <v>0</v>
      </c>
      <c r="AX15" s="104">
        <f t="shared" si="115"/>
        <v>0</v>
      </c>
      <c r="AY15" s="104">
        <f t="shared" si="80"/>
        <v>0</v>
      </c>
      <c r="AZ15" s="104">
        <f t="shared" si="81"/>
        <v>0</v>
      </c>
      <c r="BA15" s="104">
        <f t="shared" si="82"/>
        <v>0</v>
      </c>
      <c r="BB15" s="104">
        <f t="shared" si="83"/>
        <v>0</v>
      </c>
      <c r="BC15" s="104"/>
      <c r="BD15" s="104">
        <f t="shared" si="84"/>
        <v>0</v>
      </c>
      <c r="BE15" s="108">
        <f t="shared" si="85"/>
        <v>3.0199999999999996</v>
      </c>
      <c r="BF15" s="110">
        <f t="shared" si="86"/>
        <v>0</v>
      </c>
      <c r="BG15" s="110">
        <f t="shared" si="87"/>
        <v>0</v>
      </c>
      <c r="BH15" s="105" t="str">
        <f>VLOOKUP(A15,'BOCA DE LOBO'!C:I,7,0)</f>
        <v>BOCA DE LOBO DUPLA EXISTENTE COM BOCA DE LOBO DUPLA PROJETADA</v>
      </c>
      <c r="BI15" s="104">
        <f t="shared" si="116"/>
        <v>0</v>
      </c>
      <c r="BJ15" s="104">
        <f t="shared" si="117"/>
        <v>0</v>
      </c>
      <c r="BK15" s="104">
        <f t="shared" si="118"/>
        <v>0</v>
      </c>
      <c r="BL15" s="104">
        <f t="shared" si="119"/>
        <v>1</v>
      </c>
      <c r="BM15" s="104">
        <f t="shared" si="120"/>
        <v>0</v>
      </c>
      <c r="BN15" s="104">
        <f t="shared" si="121"/>
        <v>0</v>
      </c>
      <c r="BO15" s="104">
        <f t="shared" si="122"/>
        <v>0</v>
      </c>
      <c r="BP15" s="111"/>
      <c r="BQ15" s="108">
        <f t="shared" si="88"/>
        <v>23.4</v>
      </c>
      <c r="BR15" s="108">
        <f t="shared" si="89"/>
        <v>23.4</v>
      </c>
      <c r="BS15" s="108">
        <f t="shared" si="90"/>
        <v>0.31199999999999334</v>
      </c>
      <c r="BV15" s="538">
        <f t="shared" ref="BV15:BV41" si="132">IF(OR("BOCA DE LOBO EXISTENTE TRIPLA"=BH15,"BOCA DE LOBO EXISTENTE SIMPLES"=BH15,"BOCA DE LOBO EXISTENTE DUPLA"=BH15),0,IF("BOCA DE LOBO PROJETADA DUPLA"=BH15,(2.57+1)*(1.18+1),IF(OR("BOCA DE LOBO DUPLA EXISTENTE COM BOCA DE LOBO SIMPLES PROJETADA"=BH15,"BOCA DE LOBO SIMPLES EXISTENTE COM BOCA DE LOBO SIMPLES PROJETADA"=BH15),(1.18+0.5)*(1.18+1),IF(OR(BH15="BOCA DE LOBO DUPLA EXISTENTE COM BOCA DE LOBO DUPLA PROJETADA",BH15="BOCA DE LOBO SIMPLES EXISTENTE COM BOCA DE LOBO DUPLA PROJETADA"),(2.38+0.5)*(1.18+1),IF("BOCA DE LOBO PROJETADA TRIPLA"=BH15,(3.76+1)*(1.18+1),IF("BOCA DE LOBO PROJETADA QUADRUPLA"=BH15,(4.92+1)*(1.18+1),"X"))))))*(E15+IF(CA15&gt;0,0.5,0))</f>
        <v>15.695999999999996</v>
      </c>
      <c r="BW15" s="538">
        <f t="shared" si="130"/>
        <v>6.2783999999999986</v>
      </c>
      <c r="BX15" s="538">
        <f t="shared" si="40"/>
        <v>2.8083999999999998</v>
      </c>
      <c r="BY15" s="538">
        <f t="shared" si="91"/>
        <v>2.5</v>
      </c>
      <c r="BZ15" s="538">
        <f t="shared" si="92"/>
        <v>2.5</v>
      </c>
      <c r="CA15" s="538">
        <f t="shared" si="123"/>
        <v>0</v>
      </c>
      <c r="CB15" s="538">
        <f t="shared" si="93"/>
        <v>0</v>
      </c>
      <c r="CC15" s="538">
        <f t="shared" si="94"/>
        <v>9.4175999999999984</v>
      </c>
      <c r="CD15" s="538">
        <f t="shared" si="95"/>
        <v>6.2783999999999986</v>
      </c>
      <c r="CE15" s="538">
        <f t="shared" si="124"/>
        <v>0</v>
      </c>
      <c r="CF15" s="538">
        <f t="shared" si="125"/>
        <v>0</v>
      </c>
      <c r="CG15" s="538">
        <f t="shared" si="96"/>
        <v>0</v>
      </c>
      <c r="CH15" s="538">
        <f t="shared" si="97"/>
        <v>0</v>
      </c>
      <c r="CI15" s="104">
        <f t="shared" si="131"/>
        <v>0.432</v>
      </c>
      <c r="CJ15" s="538">
        <f t="shared" si="126"/>
        <v>8.2429999999999968</v>
      </c>
      <c r="CK15" s="538">
        <f t="shared" si="98"/>
        <v>8.2429999999999968</v>
      </c>
      <c r="CL15" s="538">
        <f t="shared" si="99"/>
        <v>0</v>
      </c>
      <c r="CM15" s="538">
        <f t="shared" si="100"/>
        <v>0</v>
      </c>
      <c r="CN15" s="538">
        <f t="shared" si="44"/>
        <v>2.88</v>
      </c>
      <c r="CO15" s="538">
        <f t="shared" si="101"/>
        <v>2.5</v>
      </c>
      <c r="CP15" s="538">
        <f t="shared" si="102"/>
        <v>8.64</v>
      </c>
      <c r="CQ15" s="538">
        <f t="shared" si="103"/>
        <v>5.76</v>
      </c>
      <c r="CR15" s="539">
        <f t="shared" si="104"/>
        <v>1.1000000000000001</v>
      </c>
      <c r="CS15" s="540">
        <f t="shared" si="45"/>
        <v>5.1000000000000004E-2</v>
      </c>
      <c r="CT15" s="540">
        <f t="shared" si="46"/>
        <v>0.30127039999999999</v>
      </c>
      <c r="CU15" s="541">
        <f t="shared" si="47"/>
        <v>11.5</v>
      </c>
      <c r="CV15" s="538">
        <f t="shared" si="48"/>
        <v>1.08657</v>
      </c>
      <c r="CW15" s="538">
        <f t="shared" si="49"/>
        <v>15.191200000000002</v>
      </c>
      <c r="CX15" s="104">
        <f t="shared" si="50"/>
        <v>2.88</v>
      </c>
      <c r="CY15" s="542">
        <f t="shared" si="127"/>
        <v>1.44</v>
      </c>
      <c r="CZ15" s="538">
        <f t="shared" si="105"/>
        <v>0</v>
      </c>
      <c r="DC15" s="112" t="s">
        <v>1411</v>
      </c>
      <c r="DD15" s="112" t="b">
        <f t="shared" si="128"/>
        <v>0</v>
      </c>
    </row>
    <row r="16" spans="1:108" s="112" customFormat="1" ht="25" x14ac:dyDescent="0.25">
      <c r="A16" s="100" t="str">
        <f>'BOCA DE LOBO'!C14</f>
        <v>BL10-&gt;PV5.1</v>
      </c>
      <c r="B16" s="100" t="str">
        <f>'BOCA DE LOBO'!A14</f>
        <v>PV5.1</v>
      </c>
      <c r="C16" s="100" t="str">
        <f>VLOOKUP(A16,'BOCA DE LOBO'!C:F,3,0)</f>
        <v>PROJETADO</v>
      </c>
      <c r="D16" s="100" t="str">
        <f>VLOOKUP(A16,'BOCA DE LOBO'!C:L,10,0)</f>
        <v>PROJETADA</v>
      </c>
      <c r="E16" s="100">
        <f t="shared" si="106"/>
        <v>2.5</v>
      </c>
      <c r="F16" s="100">
        <f>VLOOKUP(A16,'BOCA DE LOBO'!C:D,2,0)</f>
        <v>3.28</v>
      </c>
      <c r="G16" s="100">
        <f>VLOOKUP(A16,'BOCA DE LOBO'!C:F,4,0)</f>
        <v>10.49</v>
      </c>
      <c r="H16" s="101">
        <v>400</v>
      </c>
      <c r="I16" s="102">
        <f t="shared" si="54"/>
        <v>3.0199999999999996</v>
      </c>
      <c r="J16" s="102">
        <f t="shared" si="107"/>
        <v>1.5839899999999998</v>
      </c>
      <c r="K16" s="103">
        <v>0</v>
      </c>
      <c r="L16" s="104">
        <f t="shared" si="108"/>
        <v>1</v>
      </c>
      <c r="M16" s="104">
        <f t="shared" si="109"/>
        <v>1</v>
      </c>
      <c r="N16" s="104">
        <f t="shared" si="129"/>
        <v>0</v>
      </c>
      <c r="O16" s="104">
        <f t="shared" si="55"/>
        <v>10.49</v>
      </c>
      <c r="P16" s="144" t="str">
        <f>VLOOKUP(B16,'Planilha Hidráulica'!$AE$10:$AQ$30,13,0)</f>
        <v>ASFALTO</v>
      </c>
      <c r="Q16" s="144" t="s">
        <v>2024</v>
      </c>
      <c r="R16" s="105"/>
      <c r="S16" s="105">
        <f>VLOOKUP(Q16,Quantitativos!P:R,3,0)</f>
        <v>5</v>
      </c>
      <c r="T16" s="105">
        <f>VLOOKUP(Q16,Quantitativos!P:S,4,0)</f>
        <v>5</v>
      </c>
      <c r="U16" s="104">
        <f t="shared" si="56"/>
        <v>0.05</v>
      </c>
      <c r="V16" s="106">
        <f t="shared" si="110"/>
        <v>0</v>
      </c>
      <c r="W16" s="106">
        <f t="shared" si="111"/>
        <v>31.679799999999997</v>
      </c>
      <c r="X16" s="107">
        <f t="shared" si="57"/>
        <v>0</v>
      </c>
      <c r="Y16" s="107">
        <f t="shared" si="58"/>
        <v>0</v>
      </c>
      <c r="Z16" s="107">
        <f t="shared" si="59"/>
        <v>3.0199999999999996</v>
      </c>
      <c r="AA16" s="107">
        <f t="shared" si="112"/>
        <v>0</v>
      </c>
      <c r="AB16" s="108">
        <f t="shared" si="113"/>
        <v>10.49</v>
      </c>
      <c r="AC16" s="109">
        <f t="shared" si="60"/>
        <v>0</v>
      </c>
      <c r="AD16" s="109">
        <f t="shared" si="61"/>
        <v>0</v>
      </c>
      <c r="AE16" s="109">
        <f t="shared" si="62"/>
        <v>0</v>
      </c>
      <c r="AF16" s="109">
        <f t="shared" si="63"/>
        <v>15.734999999999999</v>
      </c>
      <c r="AG16" s="109">
        <f>IF(IF(L16&lt;=1.5,IF(Z16&gt;=3,M16*G16*1.5,L16*G16*(Z16-1.5)),0)&lt;0,0,IF(L16&lt;=1.5,IF(Z16&gt;=3,M16*G16*1.5,L16*G16*(Z16-1.5)),0))+IF(S16&lt;I16,0,IF(AND(Z16&lt;=3,L16&lt;=1.5),-V16,0))</f>
        <v>15.734999999999999</v>
      </c>
      <c r="AH16" s="109">
        <f t="shared" si="65"/>
        <v>0.20979999999999555</v>
      </c>
      <c r="AI16" s="537" t="str">
        <f t="shared" si="66"/>
        <v>NÃO</v>
      </c>
      <c r="AJ16" s="104">
        <f t="shared" si="67"/>
        <v>0</v>
      </c>
      <c r="AK16" s="104">
        <f t="shared" si="68"/>
        <v>0</v>
      </c>
      <c r="AL16" s="104">
        <f t="shared" si="69"/>
        <v>30.361587722553718</v>
      </c>
      <c r="AM16" s="102">
        <f t="shared" si="70"/>
        <v>0.52450000000000008</v>
      </c>
      <c r="AN16" s="106">
        <f t="shared" si="71"/>
        <v>0</v>
      </c>
      <c r="AO16" s="104">
        <f t="shared" si="72"/>
        <v>0</v>
      </c>
      <c r="AP16" s="104">
        <f t="shared" si="73"/>
        <v>0</v>
      </c>
      <c r="AQ16" s="104">
        <f t="shared" si="74"/>
        <v>0.7</v>
      </c>
      <c r="AR16" s="104">
        <f t="shared" si="75"/>
        <v>6.0247877225537225</v>
      </c>
      <c r="AS16" s="104">
        <f t="shared" si="76"/>
        <v>0</v>
      </c>
      <c r="AT16" s="104">
        <f t="shared" si="77"/>
        <v>1.5734999999999999</v>
      </c>
      <c r="AU16" s="104">
        <f t="shared" si="114"/>
        <v>1.5734999999999999</v>
      </c>
      <c r="AV16" s="104">
        <f t="shared" si="78"/>
        <v>0.31469999999999998</v>
      </c>
      <c r="AW16" s="104">
        <f t="shared" si="79"/>
        <v>20.665299999999998</v>
      </c>
      <c r="AX16" s="104">
        <f t="shared" si="115"/>
        <v>24.081512277446272</v>
      </c>
      <c r="AY16" s="104">
        <f t="shared" si="80"/>
        <v>20.665299999999998</v>
      </c>
      <c r="AZ16" s="104">
        <f t="shared" si="81"/>
        <v>0</v>
      </c>
      <c r="BA16" s="104">
        <f t="shared" si="82"/>
        <v>0</v>
      </c>
      <c r="BB16" s="104">
        <f t="shared" si="83"/>
        <v>0</v>
      </c>
      <c r="BC16" s="104"/>
      <c r="BD16" s="104">
        <f t="shared" si="84"/>
        <v>0</v>
      </c>
      <c r="BE16" s="108">
        <f t="shared" si="85"/>
        <v>3.0199999999999996</v>
      </c>
      <c r="BF16" s="110">
        <f t="shared" si="86"/>
        <v>0</v>
      </c>
      <c r="BG16" s="110">
        <f t="shared" si="87"/>
        <v>0</v>
      </c>
      <c r="BH16" s="105" t="str">
        <f>VLOOKUP(A16,'BOCA DE LOBO'!C:I,7,0)</f>
        <v>BOCA DE LOBO PROJETADA TRIPLA</v>
      </c>
      <c r="BI16" s="104">
        <f t="shared" si="116"/>
        <v>0</v>
      </c>
      <c r="BJ16" s="104">
        <f t="shared" si="117"/>
        <v>0</v>
      </c>
      <c r="BK16" s="104">
        <f t="shared" si="118"/>
        <v>0</v>
      </c>
      <c r="BL16" s="104">
        <f t="shared" si="119"/>
        <v>0</v>
      </c>
      <c r="BM16" s="104">
        <f t="shared" si="120"/>
        <v>0</v>
      </c>
      <c r="BN16" s="104">
        <f t="shared" si="121"/>
        <v>0</v>
      </c>
      <c r="BO16" s="104">
        <f t="shared" si="122"/>
        <v>1</v>
      </c>
      <c r="BP16" s="111"/>
      <c r="BQ16" s="108">
        <f t="shared" si="88"/>
        <v>31.47</v>
      </c>
      <c r="BR16" s="108">
        <f t="shared" si="89"/>
        <v>31.47</v>
      </c>
      <c r="BS16" s="108">
        <f t="shared" si="90"/>
        <v>0.41959999999999109</v>
      </c>
      <c r="BV16" s="538">
        <f t="shared" si="132"/>
        <v>25.941999999999993</v>
      </c>
      <c r="BW16" s="538">
        <f t="shared" si="130"/>
        <v>10.376799999999998</v>
      </c>
      <c r="BX16" s="538">
        <f t="shared" si="40"/>
        <v>4.4367999999999999</v>
      </c>
      <c r="BY16" s="538">
        <f t="shared" si="91"/>
        <v>2.5</v>
      </c>
      <c r="BZ16" s="538">
        <f t="shared" si="92"/>
        <v>2.5</v>
      </c>
      <c r="CA16" s="538">
        <f t="shared" si="123"/>
        <v>0</v>
      </c>
      <c r="CB16" s="538">
        <f t="shared" si="93"/>
        <v>0</v>
      </c>
      <c r="CC16" s="538">
        <f t="shared" si="94"/>
        <v>15.565199999999997</v>
      </c>
      <c r="CD16" s="538">
        <f t="shared" si="95"/>
        <v>10.376799999999998</v>
      </c>
      <c r="CE16" s="538">
        <f t="shared" si="124"/>
        <v>0</v>
      </c>
      <c r="CF16" s="538">
        <f t="shared" si="125"/>
        <v>0</v>
      </c>
      <c r="CG16" s="538">
        <f t="shared" si="96"/>
        <v>0</v>
      </c>
      <c r="CH16" s="538">
        <f t="shared" si="97"/>
        <v>0</v>
      </c>
      <c r="CI16" s="104">
        <f t="shared" si="131"/>
        <v>0.71399999999999997</v>
      </c>
      <c r="CJ16" s="538">
        <f t="shared" si="126"/>
        <v>14.135999999999994</v>
      </c>
      <c r="CK16" s="538">
        <f t="shared" si="98"/>
        <v>14.135999999999994</v>
      </c>
      <c r="CL16" s="538">
        <f t="shared" si="99"/>
        <v>0</v>
      </c>
      <c r="CM16" s="538">
        <f t="shared" si="100"/>
        <v>0</v>
      </c>
      <c r="CN16" s="538">
        <f t="shared" si="44"/>
        <v>4.76</v>
      </c>
      <c r="CO16" s="538">
        <f t="shared" si="101"/>
        <v>2.5</v>
      </c>
      <c r="CP16" s="538">
        <f t="shared" si="102"/>
        <v>14.28</v>
      </c>
      <c r="CQ16" s="538">
        <f t="shared" si="103"/>
        <v>9.52</v>
      </c>
      <c r="CR16" s="539">
        <f t="shared" si="104"/>
        <v>0</v>
      </c>
      <c r="CS16" s="540">
        <f t="shared" si="45"/>
        <v>0</v>
      </c>
      <c r="CT16" s="540">
        <f t="shared" si="46"/>
        <v>0.45984000000000003</v>
      </c>
      <c r="CU16" s="541">
        <f t="shared" si="47"/>
        <v>18</v>
      </c>
      <c r="CV16" s="538">
        <f t="shared" si="48"/>
        <v>1.9376100000000003</v>
      </c>
      <c r="CW16" s="538">
        <f t="shared" si="49"/>
        <v>29.6218</v>
      </c>
      <c r="CX16" s="104">
        <f t="shared" si="50"/>
        <v>4.76</v>
      </c>
      <c r="CY16" s="542">
        <f t="shared" si="127"/>
        <v>2.38</v>
      </c>
      <c r="CZ16" s="538">
        <f t="shared" si="105"/>
        <v>0</v>
      </c>
      <c r="DC16" s="112" t="s">
        <v>1432</v>
      </c>
      <c r="DD16" s="112" t="b">
        <f t="shared" si="128"/>
        <v>0</v>
      </c>
    </row>
    <row r="17" spans="1:108" s="112" customFormat="1" ht="37.5" x14ac:dyDescent="0.25">
      <c r="A17" s="100" t="str">
        <f>'BOCA DE LOBO'!C15</f>
        <v>BL11-&gt;PV5.1</v>
      </c>
      <c r="B17" s="100" t="str">
        <f>'BOCA DE LOBO'!A15</f>
        <v>PV5.1</v>
      </c>
      <c r="C17" s="100" t="str">
        <f>VLOOKUP(A17,'BOCA DE LOBO'!C:F,3,0)</f>
        <v>PROJETADO</v>
      </c>
      <c r="D17" s="100" t="str">
        <f>VLOOKUP(A17,'BOCA DE LOBO'!C:L,10,0)</f>
        <v>AMPLIADA</v>
      </c>
      <c r="E17" s="100">
        <f t="shared" si="106"/>
        <v>2.5</v>
      </c>
      <c r="F17" s="100">
        <f>VLOOKUP(A17,'BOCA DE LOBO'!C:D,2,0)</f>
        <v>3.28</v>
      </c>
      <c r="G17" s="100">
        <f>VLOOKUP(A17,'BOCA DE LOBO'!C:F,4,0)</f>
        <v>5.98</v>
      </c>
      <c r="H17" s="101">
        <v>400</v>
      </c>
      <c r="I17" s="102">
        <f t="shared" si="54"/>
        <v>3.0199999999999996</v>
      </c>
      <c r="J17" s="102">
        <f t="shared" si="107"/>
        <v>0</v>
      </c>
      <c r="K17" s="103">
        <v>0</v>
      </c>
      <c r="L17" s="104">
        <f t="shared" si="108"/>
        <v>0</v>
      </c>
      <c r="M17" s="104">
        <f t="shared" si="109"/>
        <v>0</v>
      </c>
      <c r="N17" s="104">
        <f t="shared" si="129"/>
        <v>400</v>
      </c>
      <c r="O17" s="104">
        <f t="shared" si="55"/>
        <v>0</v>
      </c>
      <c r="P17" s="144" t="str">
        <f>VLOOKUP(B17,'Planilha Hidráulica'!$AE$10:$AQ$30,13,0)</f>
        <v>ASFALTO</v>
      </c>
      <c r="Q17" s="144" t="s">
        <v>2024</v>
      </c>
      <c r="R17" s="105"/>
      <c r="S17" s="105">
        <f>VLOOKUP(Q17,Quantitativos!P:R,3,0)</f>
        <v>5</v>
      </c>
      <c r="T17" s="105">
        <f>VLOOKUP(Q17,Quantitativos!P:S,4,0)</f>
        <v>5</v>
      </c>
      <c r="U17" s="104">
        <f t="shared" si="56"/>
        <v>0.05</v>
      </c>
      <c r="V17" s="106">
        <f t="shared" si="110"/>
        <v>0</v>
      </c>
      <c r="W17" s="106">
        <f t="shared" si="111"/>
        <v>0</v>
      </c>
      <c r="X17" s="107">
        <f t="shared" si="57"/>
        <v>0</v>
      </c>
      <c r="Y17" s="107">
        <f t="shared" si="58"/>
        <v>0</v>
      </c>
      <c r="Z17" s="107">
        <f t="shared" si="59"/>
        <v>3.0199999999999996</v>
      </c>
      <c r="AA17" s="107">
        <f t="shared" si="112"/>
        <v>0</v>
      </c>
      <c r="AB17" s="108">
        <f t="shared" si="113"/>
        <v>0</v>
      </c>
      <c r="AC17" s="109">
        <f t="shared" si="60"/>
        <v>0</v>
      </c>
      <c r="AD17" s="109">
        <f t="shared" si="61"/>
        <v>0</v>
      </c>
      <c r="AE17" s="109">
        <f t="shared" si="62"/>
        <v>0</v>
      </c>
      <c r="AF17" s="109">
        <f t="shared" si="63"/>
        <v>0</v>
      </c>
      <c r="AG17" s="109">
        <f t="shared" si="64"/>
        <v>0</v>
      </c>
      <c r="AH17" s="109">
        <f t="shared" si="65"/>
        <v>0</v>
      </c>
      <c r="AI17" s="537" t="str">
        <f t="shared" si="66"/>
        <v>NÃO</v>
      </c>
      <c r="AJ17" s="544">
        <f t="shared" si="67"/>
        <v>0</v>
      </c>
      <c r="AK17" s="104">
        <f t="shared" si="68"/>
        <v>0</v>
      </c>
      <c r="AL17" s="104">
        <f t="shared" si="69"/>
        <v>0</v>
      </c>
      <c r="AM17" s="102">
        <f t="shared" si="70"/>
        <v>0</v>
      </c>
      <c r="AN17" s="106">
        <f t="shared" si="71"/>
        <v>0</v>
      </c>
      <c r="AO17" s="104">
        <f t="shared" si="72"/>
        <v>0</v>
      </c>
      <c r="AP17" s="104">
        <f t="shared" si="73"/>
        <v>0</v>
      </c>
      <c r="AQ17" s="104">
        <f t="shared" si="74"/>
        <v>0.7</v>
      </c>
      <c r="AR17" s="104">
        <f t="shared" si="75"/>
        <v>0</v>
      </c>
      <c r="AS17" s="104">
        <f t="shared" si="76"/>
        <v>0</v>
      </c>
      <c r="AT17" s="104">
        <f t="shared" si="77"/>
        <v>0</v>
      </c>
      <c r="AU17" s="104">
        <f t="shared" si="114"/>
        <v>0</v>
      </c>
      <c r="AV17" s="104">
        <f t="shared" si="78"/>
        <v>0</v>
      </c>
      <c r="AW17" s="104">
        <f t="shared" si="79"/>
        <v>0</v>
      </c>
      <c r="AX17" s="104">
        <f t="shared" si="115"/>
        <v>0</v>
      </c>
      <c r="AY17" s="104">
        <f t="shared" si="80"/>
        <v>0</v>
      </c>
      <c r="AZ17" s="104">
        <f t="shared" si="81"/>
        <v>0</v>
      </c>
      <c r="BA17" s="104">
        <f t="shared" si="82"/>
        <v>0</v>
      </c>
      <c r="BB17" s="104">
        <f t="shared" si="83"/>
        <v>0</v>
      </c>
      <c r="BC17" s="104"/>
      <c r="BD17" s="104">
        <f t="shared" si="84"/>
        <v>0</v>
      </c>
      <c r="BE17" s="108">
        <f t="shared" si="85"/>
        <v>3.0199999999999996</v>
      </c>
      <c r="BF17" s="110">
        <f t="shared" si="86"/>
        <v>0</v>
      </c>
      <c r="BG17" s="110">
        <f t="shared" si="87"/>
        <v>0</v>
      </c>
      <c r="BH17" s="105" t="str">
        <f>VLOOKUP(A17,'BOCA DE LOBO'!C:I,7,0)</f>
        <v>BOCA DE LOBO SIMPLES EXISTENTE COM BOCA DE LOBO DUPLA PROJETADA</v>
      </c>
      <c r="BI17" s="104">
        <f t="shared" si="116"/>
        <v>1</v>
      </c>
      <c r="BJ17" s="104">
        <f t="shared" si="117"/>
        <v>0</v>
      </c>
      <c r="BK17" s="104">
        <f t="shared" si="118"/>
        <v>0</v>
      </c>
      <c r="BL17" s="104">
        <f t="shared" si="119"/>
        <v>0</v>
      </c>
      <c r="BM17" s="104">
        <f t="shared" si="120"/>
        <v>0</v>
      </c>
      <c r="BN17" s="104">
        <f t="shared" si="121"/>
        <v>0</v>
      </c>
      <c r="BO17" s="104">
        <f t="shared" si="122"/>
        <v>0</v>
      </c>
      <c r="BP17" s="111"/>
      <c r="BQ17" s="108">
        <f t="shared" si="88"/>
        <v>17.940000000000001</v>
      </c>
      <c r="BR17" s="108">
        <f t="shared" si="89"/>
        <v>17.940000000000001</v>
      </c>
      <c r="BS17" s="108">
        <f t="shared" si="90"/>
        <v>0.23919999999999492</v>
      </c>
      <c r="BV17" s="538">
        <f t="shared" si="132"/>
        <v>15.695999999999996</v>
      </c>
      <c r="BW17" s="538">
        <f t="shared" si="130"/>
        <v>6.2783999999999986</v>
      </c>
      <c r="BX17" s="538">
        <f t="shared" si="40"/>
        <v>2.8083999999999998</v>
      </c>
      <c r="BY17" s="538">
        <f t="shared" si="91"/>
        <v>2.5</v>
      </c>
      <c r="BZ17" s="538">
        <f t="shared" si="92"/>
        <v>2.5</v>
      </c>
      <c r="CA17" s="538">
        <f t="shared" si="123"/>
        <v>0</v>
      </c>
      <c r="CB17" s="538">
        <f t="shared" si="93"/>
        <v>0</v>
      </c>
      <c r="CC17" s="538">
        <f t="shared" si="94"/>
        <v>9.4175999999999984</v>
      </c>
      <c r="CD17" s="538">
        <f t="shared" si="95"/>
        <v>6.2783999999999986</v>
      </c>
      <c r="CE17" s="538">
        <f t="shared" si="124"/>
        <v>0</v>
      </c>
      <c r="CF17" s="538">
        <f t="shared" si="125"/>
        <v>0</v>
      </c>
      <c r="CG17" s="538">
        <f t="shared" si="96"/>
        <v>0</v>
      </c>
      <c r="CH17" s="538">
        <f t="shared" si="97"/>
        <v>0</v>
      </c>
      <c r="CI17" s="104">
        <f t="shared" si="131"/>
        <v>0.432</v>
      </c>
      <c r="CJ17" s="538">
        <f t="shared" si="126"/>
        <v>8.2429999999999968</v>
      </c>
      <c r="CK17" s="538">
        <f t="shared" si="98"/>
        <v>8.2429999999999968</v>
      </c>
      <c r="CL17" s="538">
        <f t="shared" si="99"/>
        <v>0</v>
      </c>
      <c r="CM17" s="538">
        <f t="shared" si="100"/>
        <v>0</v>
      </c>
      <c r="CN17" s="538">
        <f t="shared" si="44"/>
        <v>2.88</v>
      </c>
      <c r="CO17" s="538">
        <f t="shared" si="101"/>
        <v>2.5</v>
      </c>
      <c r="CP17" s="538">
        <f t="shared" si="102"/>
        <v>8.64</v>
      </c>
      <c r="CQ17" s="538">
        <f t="shared" si="103"/>
        <v>5.76</v>
      </c>
      <c r="CR17" s="539">
        <f t="shared" si="104"/>
        <v>1.1000000000000001</v>
      </c>
      <c r="CS17" s="540">
        <f t="shared" si="45"/>
        <v>5.1000000000000004E-2</v>
      </c>
      <c r="CT17" s="540">
        <f t="shared" si="46"/>
        <v>0.30127039999999999</v>
      </c>
      <c r="CU17" s="541">
        <f t="shared" si="47"/>
        <v>11.5</v>
      </c>
      <c r="CV17" s="538">
        <f t="shared" si="48"/>
        <v>1.08657</v>
      </c>
      <c r="CW17" s="538">
        <f t="shared" si="49"/>
        <v>15.191200000000002</v>
      </c>
      <c r="CX17" s="104">
        <f t="shared" si="50"/>
        <v>2.88</v>
      </c>
      <c r="CY17" s="542">
        <f t="shared" si="127"/>
        <v>1.44</v>
      </c>
      <c r="CZ17" s="538">
        <f t="shared" si="105"/>
        <v>0</v>
      </c>
      <c r="DC17" s="112" t="s">
        <v>1435</v>
      </c>
      <c r="DD17" s="112" t="b">
        <f t="shared" si="128"/>
        <v>1</v>
      </c>
    </row>
    <row r="18" spans="1:108" s="112" customFormat="1" ht="25" x14ac:dyDescent="0.25">
      <c r="A18" s="100" t="str">
        <f>'BOCA DE LOBO'!C16</f>
        <v>BL12-&gt;PV6.1</v>
      </c>
      <c r="B18" s="100" t="str">
        <f>'BOCA DE LOBO'!A16</f>
        <v>PV6.1</v>
      </c>
      <c r="C18" s="100" t="str">
        <f>VLOOKUP(A18,'BOCA DE LOBO'!C:F,3,0)</f>
        <v>PROJETADO</v>
      </c>
      <c r="D18" s="100" t="str">
        <f>VLOOKUP(A18,'BOCA DE LOBO'!C:L,10,0)</f>
        <v>PROJETADA</v>
      </c>
      <c r="E18" s="100">
        <f t="shared" si="106"/>
        <v>2.2115999999999998</v>
      </c>
      <c r="F18" s="100">
        <f>VLOOKUP(A18,'BOCA DE LOBO'!C:D,2,0)</f>
        <v>2.42</v>
      </c>
      <c r="G18" s="100">
        <f>VLOOKUP(A18,'BOCA DE LOBO'!C:F,4,0)</f>
        <v>5.21</v>
      </c>
      <c r="H18" s="101">
        <v>400</v>
      </c>
      <c r="I18" s="102">
        <f t="shared" si="54"/>
        <v>2.4457999999999998</v>
      </c>
      <c r="J18" s="102">
        <f t="shared" si="107"/>
        <v>0.63713089999999994</v>
      </c>
      <c r="K18" s="103">
        <v>0</v>
      </c>
      <c r="L18" s="104">
        <f t="shared" si="108"/>
        <v>1</v>
      </c>
      <c r="M18" s="104">
        <f t="shared" si="109"/>
        <v>1</v>
      </c>
      <c r="N18" s="104">
        <f t="shared" si="129"/>
        <v>0</v>
      </c>
      <c r="O18" s="104">
        <f t="shared" si="55"/>
        <v>5.21</v>
      </c>
      <c r="P18" s="144" t="str">
        <f>VLOOKUP(B18,'Planilha Hidráulica'!$AE$10:$AQ$30,13,0)</f>
        <v>ASFALTO</v>
      </c>
      <c r="Q18" s="144" t="s">
        <v>2024</v>
      </c>
      <c r="R18" s="105"/>
      <c r="S18" s="105">
        <f>VLOOKUP(Q18,Quantitativos!P:R,3,0)</f>
        <v>5</v>
      </c>
      <c r="T18" s="105">
        <f>VLOOKUP(Q18,Quantitativos!P:S,4,0)</f>
        <v>5</v>
      </c>
      <c r="U18" s="104">
        <f t="shared" si="56"/>
        <v>0.05</v>
      </c>
      <c r="V18" s="106">
        <f t="shared" si="110"/>
        <v>0</v>
      </c>
      <c r="W18" s="106">
        <f t="shared" si="111"/>
        <v>12.742617999999998</v>
      </c>
      <c r="X18" s="107">
        <f t="shared" si="57"/>
        <v>0</v>
      </c>
      <c r="Y18" s="107">
        <f t="shared" si="58"/>
        <v>0</v>
      </c>
      <c r="Z18" s="107">
        <f t="shared" si="59"/>
        <v>2.4457999999999998</v>
      </c>
      <c r="AA18" s="107">
        <f t="shared" si="112"/>
        <v>0</v>
      </c>
      <c r="AB18" s="108">
        <f t="shared" si="113"/>
        <v>5.21</v>
      </c>
      <c r="AC18" s="109">
        <f t="shared" si="60"/>
        <v>0</v>
      </c>
      <c r="AD18" s="109">
        <f t="shared" si="61"/>
        <v>0</v>
      </c>
      <c r="AE18" s="109">
        <f t="shared" si="62"/>
        <v>0</v>
      </c>
      <c r="AF18" s="109">
        <f t="shared" si="63"/>
        <v>7.8149999999999995</v>
      </c>
      <c r="AG18" s="109">
        <f t="shared" si="64"/>
        <v>4.9276179999999989</v>
      </c>
      <c r="AH18" s="109">
        <f t="shared" si="65"/>
        <v>0</v>
      </c>
      <c r="AI18" s="537" t="str">
        <f t="shared" si="66"/>
        <v>NÃO</v>
      </c>
      <c r="AJ18" s="104">
        <f t="shared" si="67"/>
        <v>0</v>
      </c>
      <c r="AK18" s="104">
        <f t="shared" si="68"/>
        <v>0</v>
      </c>
      <c r="AL18" s="104">
        <f t="shared" si="69"/>
        <v>12.087910090991885</v>
      </c>
      <c r="AM18" s="102">
        <f t="shared" si="70"/>
        <v>0.26050000000000001</v>
      </c>
      <c r="AN18" s="106">
        <f t="shared" si="71"/>
        <v>0</v>
      </c>
      <c r="AO18" s="104">
        <f t="shared" si="72"/>
        <v>0</v>
      </c>
      <c r="AP18" s="104">
        <f t="shared" si="73"/>
        <v>0</v>
      </c>
      <c r="AQ18" s="104">
        <f t="shared" si="74"/>
        <v>0.7</v>
      </c>
      <c r="AR18" s="104">
        <f t="shared" si="75"/>
        <v>2.9922920909918869</v>
      </c>
      <c r="AS18" s="104">
        <f t="shared" si="76"/>
        <v>0</v>
      </c>
      <c r="AT18" s="104">
        <f t="shared" si="77"/>
        <v>0.78149999999999997</v>
      </c>
      <c r="AU18" s="104">
        <f t="shared" si="114"/>
        <v>0.78149999999999997</v>
      </c>
      <c r="AV18" s="104">
        <f t="shared" si="78"/>
        <v>0.15629999999999999</v>
      </c>
      <c r="AW18" s="104">
        <f t="shared" si="79"/>
        <v>7.272117999999999</v>
      </c>
      <c r="AX18" s="104">
        <f t="shared" si="115"/>
        <v>8.9688259090081122</v>
      </c>
      <c r="AY18" s="104">
        <f t="shared" si="80"/>
        <v>7.272117999999999</v>
      </c>
      <c r="AZ18" s="104">
        <f t="shared" si="81"/>
        <v>0</v>
      </c>
      <c r="BA18" s="104">
        <f t="shared" si="82"/>
        <v>0</v>
      </c>
      <c r="BB18" s="104">
        <f t="shared" si="83"/>
        <v>0</v>
      </c>
      <c r="BC18" s="104"/>
      <c r="BD18" s="104">
        <f t="shared" si="84"/>
        <v>0</v>
      </c>
      <c r="BE18" s="108">
        <f t="shared" si="85"/>
        <v>2.4457999999999998</v>
      </c>
      <c r="BF18" s="110">
        <f t="shared" si="86"/>
        <v>0</v>
      </c>
      <c r="BG18" s="110">
        <f t="shared" si="87"/>
        <v>5.21</v>
      </c>
      <c r="BH18" s="105" t="str">
        <f>VLOOKUP(A18,'BOCA DE LOBO'!C:I,7,0)</f>
        <v>BOCA DE LOBO PROJETADA DUPLA</v>
      </c>
      <c r="BI18" s="104">
        <f t="shared" si="116"/>
        <v>0</v>
      </c>
      <c r="BJ18" s="104">
        <f t="shared" si="117"/>
        <v>0</v>
      </c>
      <c r="BK18" s="104">
        <f t="shared" si="118"/>
        <v>0</v>
      </c>
      <c r="BL18" s="104">
        <f t="shared" si="119"/>
        <v>0</v>
      </c>
      <c r="BM18" s="104">
        <f t="shared" si="120"/>
        <v>0</v>
      </c>
      <c r="BN18" s="104">
        <f t="shared" si="121"/>
        <v>1</v>
      </c>
      <c r="BO18" s="104">
        <f t="shared" si="122"/>
        <v>0</v>
      </c>
      <c r="BP18" s="111"/>
      <c r="BQ18" s="108">
        <f t="shared" si="88"/>
        <v>15.629999999999999</v>
      </c>
      <c r="BR18" s="108">
        <f t="shared" si="89"/>
        <v>9.8552359999999979</v>
      </c>
      <c r="BS18" s="108">
        <f t="shared" si="90"/>
        <v>0</v>
      </c>
      <c r="BV18" s="538">
        <f t="shared" si="132"/>
        <v>17.211998159999997</v>
      </c>
      <c r="BW18" s="538">
        <f t="shared" si="130"/>
        <v>7.7825999999999986</v>
      </c>
      <c r="BX18" s="538">
        <f t="shared" si="40"/>
        <v>3.0325999999999995</v>
      </c>
      <c r="BY18" s="538">
        <f t="shared" si="91"/>
        <v>2.2115999999999998</v>
      </c>
      <c r="BZ18" s="538">
        <f t="shared" si="92"/>
        <v>2.2115999999999998</v>
      </c>
      <c r="CA18" s="538">
        <f t="shared" si="123"/>
        <v>0</v>
      </c>
      <c r="CB18" s="538">
        <f t="shared" si="93"/>
        <v>0</v>
      </c>
      <c r="CC18" s="538">
        <f t="shared" si="94"/>
        <v>11.673899999999998</v>
      </c>
      <c r="CD18" s="538">
        <f t="shared" si="95"/>
        <v>5.538098159999997</v>
      </c>
      <c r="CE18" s="538">
        <f t="shared" si="124"/>
        <v>0</v>
      </c>
      <c r="CF18" s="538">
        <f t="shared" si="125"/>
        <v>0</v>
      </c>
      <c r="CG18" s="538">
        <f t="shared" si="96"/>
        <v>0</v>
      </c>
      <c r="CH18" s="538">
        <f t="shared" si="97"/>
        <v>0</v>
      </c>
      <c r="CI18" s="104">
        <f t="shared" si="131"/>
        <v>0.53549999999999998</v>
      </c>
      <c r="CJ18" s="538">
        <f t="shared" si="126"/>
        <v>9.9695999999999962</v>
      </c>
      <c r="CK18" s="538">
        <f t="shared" si="98"/>
        <v>9.9695999999999962</v>
      </c>
      <c r="CL18" s="538">
        <f t="shared" si="99"/>
        <v>0</v>
      </c>
      <c r="CM18" s="538">
        <f t="shared" si="100"/>
        <v>0</v>
      </c>
      <c r="CN18" s="538">
        <f t="shared" si="44"/>
        <v>3.57</v>
      </c>
      <c r="CO18" s="538">
        <f t="shared" si="101"/>
        <v>2.2115999999999998</v>
      </c>
      <c r="CP18" s="538">
        <f t="shared" si="102"/>
        <v>10.709999999999999</v>
      </c>
      <c r="CQ18" s="538">
        <f t="shared" si="103"/>
        <v>5.080823999999998</v>
      </c>
      <c r="CR18" s="539">
        <f t="shared" si="104"/>
        <v>0</v>
      </c>
      <c r="CS18" s="540">
        <f t="shared" si="45"/>
        <v>0</v>
      </c>
      <c r="CT18" s="540">
        <f t="shared" si="46"/>
        <v>0.33012999999999998</v>
      </c>
      <c r="CU18" s="541">
        <f t="shared" si="47"/>
        <v>11.500319999999999</v>
      </c>
      <c r="CV18" s="538">
        <f t="shared" si="48"/>
        <v>1.3506995999999998</v>
      </c>
      <c r="CW18" s="538">
        <f t="shared" si="49"/>
        <v>21.033287999999995</v>
      </c>
      <c r="CX18" s="104">
        <f t="shared" si="50"/>
        <v>3.57</v>
      </c>
      <c r="CY18" s="542">
        <f t="shared" si="127"/>
        <v>1.7849999999999999</v>
      </c>
      <c r="CZ18" s="538">
        <f t="shared" si="105"/>
        <v>0</v>
      </c>
      <c r="DC18" s="112" t="s">
        <v>1435</v>
      </c>
      <c r="DD18" s="112" t="b">
        <f t="shared" si="128"/>
        <v>0</v>
      </c>
    </row>
    <row r="19" spans="1:108" s="112" customFormat="1" ht="37.5" x14ac:dyDescent="0.25">
      <c r="A19" s="100" t="str">
        <f>'BOCA DE LOBO'!C17</f>
        <v>BL13-&gt;PV7.1</v>
      </c>
      <c r="B19" s="100" t="str">
        <f>'BOCA DE LOBO'!A17</f>
        <v>PV7.1</v>
      </c>
      <c r="C19" s="100" t="str">
        <f>VLOOKUP(A19,'BOCA DE LOBO'!C:F,3,0)</f>
        <v>PROJETADO</v>
      </c>
      <c r="D19" s="100" t="str">
        <f>VLOOKUP(A19,'BOCA DE LOBO'!C:L,10,0)</f>
        <v>AMPLIADA</v>
      </c>
      <c r="E19" s="100">
        <f t="shared" si="106"/>
        <v>2.5</v>
      </c>
      <c r="F19" s="100">
        <f>VLOOKUP(A19,'BOCA DE LOBO'!C:D,2,0)</f>
        <v>3.02</v>
      </c>
      <c r="G19" s="100">
        <f>VLOOKUP(A19,'BOCA DE LOBO'!C:F,4,0)</f>
        <v>8.66</v>
      </c>
      <c r="H19" s="101">
        <v>400</v>
      </c>
      <c r="I19" s="102">
        <f t="shared" si="54"/>
        <v>2.8899999999999997</v>
      </c>
      <c r="J19" s="102">
        <f t="shared" si="107"/>
        <v>0</v>
      </c>
      <c r="K19" s="103">
        <v>0</v>
      </c>
      <c r="L19" s="104">
        <f t="shared" si="108"/>
        <v>0</v>
      </c>
      <c r="M19" s="104">
        <f t="shared" si="109"/>
        <v>0</v>
      </c>
      <c r="N19" s="104">
        <f t="shared" si="129"/>
        <v>400</v>
      </c>
      <c r="O19" s="104">
        <f t="shared" si="55"/>
        <v>0</v>
      </c>
      <c r="P19" s="144" t="str">
        <f>VLOOKUP(B19,'Planilha Hidráulica'!$AE$10:$AQ$30,13,0)</f>
        <v>ASFALTO</v>
      </c>
      <c r="Q19" s="144" t="s">
        <v>2024</v>
      </c>
      <c r="R19" s="105"/>
      <c r="S19" s="105">
        <f>VLOOKUP(Q19,Quantitativos!P:R,3,0)</f>
        <v>5</v>
      </c>
      <c r="T19" s="105">
        <f>VLOOKUP(Q19,Quantitativos!P:S,4,0)</f>
        <v>5</v>
      </c>
      <c r="U19" s="104">
        <f t="shared" si="56"/>
        <v>0.05</v>
      </c>
      <c r="V19" s="106">
        <f t="shared" si="110"/>
        <v>0</v>
      </c>
      <c r="W19" s="106">
        <f t="shared" si="111"/>
        <v>0</v>
      </c>
      <c r="X19" s="107">
        <f t="shared" si="57"/>
        <v>0</v>
      </c>
      <c r="Y19" s="107">
        <f t="shared" si="58"/>
        <v>0</v>
      </c>
      <c r="Z19" s="107">
        <f t="shared" si="59"/>
        <v>2.8899999999999997</v>
      </c>
      <c r="AA19" s="107">
        <f t="shared" si="112"/>
        <v>0</v>
      </c>
      <c r="AB19" s="108">
        <f t="shared" si="113"/>
        <v>0</v>
      </c>
      <c r="AC19" s="109">
        <f t="shared" si="60"/>
        <v>0</v>
      </c>
      <c r="AD19" s="109">
        <f t="shared" si="61"/>
        <v>0</v>
      </c>
      <c r="AE19" s="109">
        <f t="shared" si="62"/>
        <v>0</v>
      </c>
      <c r="AF19" s="109">
        <f t="shared" si="63"/>
        <v>0</v>
      </c>
      <c r="AG19" s="109">
        <f t="shared" si="64"/>
        <v>0</v>
      </c>
      <c r="AH19" s="109">
        <f t="shared" si="65"/>
        <v>0</v>
      </c>
      <c r="AI19" s="537" t="str">
        <f t="shared" si="66"/>
        <v>NÃO</v>
      </c>
      <c r="AJ19" s="104">
        <f t="shared" si="67"/>
        <v>0</v>
      </c>
      <c r="AK19" s="104">
        <f t="shared" si="68"/>
        <v>0</v>
      </c>
      <c r="AL19" s="104">
        <f t="shared" si="69"/>
        <v>0</v>
      </c>
      <c r="AM19" s="102">
        <f t="shared" si="70"/>
        <v>0</v>
      </c>
      <c r="AN19" s="106">
        <f t="shared" si="71"/>
        <v>0</v>
      </c>
      <c r="AO19" s="104">
        <f t="shared" si="72"/>
        <v>0</v>
      </c>
      <c r="AP19" s="104">
        <f t="shared" si="73"/>
        <v>0</v>
      </c>
      <c r="AQ19" s="104">
        <f t="shared" si="74"/>
        <v>0.7</v>
      </c>
      <c r="AR19" s="104">
        <f t="shared" si="75"/>
        <v>0</v>
      </c>
      <c r="AS19" s="104">
        <f t="shared" si="76"/>
        <v>0</v>
      </c>
      <c r="AT19" s="104">
        <f t="shared" si="77"/>
        <v>0</v>
      </c>
      <c r="AU19" s="104">
        <f t="shared" si="114"/>
        <v>0</v>
      </c>
      <c r="AV19" s="104">
        <f t="shared" si="78"/>
        <v>0</v>
      </c>
      <c r="AW19" s="104">
        <f t="shared" si="79"/>
        <v>0</v>
      </c>
      <c r="AX19" s="104">
        <f t="shared" si="115"/>
        <v>0</v>
      </c>
      <c r="AY19" s="104">
        <f t="shared" si="80"/>
        <v>0</v>
      </c>
      <c r="AZ19" s="104">
        <f t="shared" si="81"/>
        <v>0</v>
      </c>
      <c r="BA19" s="104">
        <f t="shared" si="82"/>
        <v>0</v>
      </c>
      <c r="BB19" s="104">
        <f t="shared" si="83"/>
        <v>0</v>
      </c>
      <c r="BC19" s="104"/>
      <c r="BD19" s="104">
        <f t="shared" si="84"/>
        <v>0</v>
      </c>
      <c r="BE19" s="108">
        <f t="shared" si="85"/>
        <v>2.8899999999999997</v>
      </c>
      <c r="BF19" s="110">
        <f t="shared" si="86"/>
        <v>0</v>
      </c>
      <c r="BG19" s="110">
        <f t="shared" si="87"/>
        <v>0</v>
      </c>
      <c r="BH19" s="105" t="str">
        <f>VLOOKUP(A19,'BOCA DE LOBO'!C:I,7,0)</f>
        <v>BOCA DE LOBO SIMPLES EXISTENTE COM BOCA DE LOBO DUPLA PROJETADA</v>
      </c>
      <c r="BI19" s="104">
        <f t="shared" si="116"/>
        <v>1</v>
      </c>
      <c r="BJ19" s="104">
        <f t="shared" si="117"/>
        <v>0</v>
      </c>
      <c r="BK19" s="104">
        <f t="shared" si="118"/>
        <v>0</v>
      </c>
      <c r="BL19" s="104">
        <f t="shared" si="119"/>
        <v>0</v>
      </c>
      <c r="BM19" s="104">
        <f t="shared" si="120"/>
        <v>0</v>
      </c>
      <c r="BN19" s="104">
        <f t="shared" si="121"/>
        <v>0</v>
      </c>
      <c r="BO19" s="104">
        <f t="shared" si="122"/>
        <v>0</v>
      </c>
      <c r="BP19" s="111"/>
      <c r="BQ19" s="108">
        <f t="shared" si="88"/>
        <v>25.98</v>
      </c>
      <c r="BR19" s="108">
        <f t="shared" si="89"/>
        <v>24.074799999999996</v>
      </c>
      <c r="BS19" s="108">
        <f t="shared" si="90"/>
        <v>0</v>
      </c>
      <c r="BV19" s="538">
        <f t="shared" si="132"/>
        <v>15.695999999999996</v>
      </c>
      <c r="BW19" s="538">
        <f t="shared" si="130"/>
        <v>6.2783999999999986</v>
      </c>
      <c r="BX19" s="538">
        <f t="shared" si="40"/>
        <v>2.8083999999999998</v>
      </c>
      <c r="BY19" s="538">
        <f t="shared" si="91"/>
        <v>2.5</v>
      </c>
      <c r="BZ19" s="538">
        <f t="shared" si="92"/>
        <v>2.5</v>
      </c>
      <c r="CA19" s="538">
        <f t="shared" si="123"/>
        <v>0</v>
      </c>
      <c r="CB19" s="538">
        <f t="shared" si="93"/>
        <v>0</v>
      </c>
      <c r="CC19" s="538">
        <f t="shared" si="94"/>
        <v>9.4175999999999984</v>
      </c>
      <c r="CD19" s="538">
        <f t="shared" si="95"/>
        <v>6.2783999999999986</v>
      </c>
      <c r="CE19" s="538">
        <f t="shared" si="124"/>
        <v>0</v>
      </c>
      <c r="CF19" s="538">
        <f t="shared" si="125"/>
        <v>0</v>
      </c>
      <c r="CG19" s="538">
        <f t="shared" si="96"/>
        <v>0</v>
      </c>
      <c r="CH19" s="538">
        <f t="shared" si="97"/>
        <v>0</v>
      </c>
      <c r="CI19" s="104">
        <f t="shared" si="131"/>
        <v>0.432</v>
      </c>
      <c r="CJ19" s="538">
        <f t="shared" si="126"/>
        <v>8.2429999999999968</v>
      </c>
      <c r="CK19" s="538">
        <f t="shared" si="98"/>
        <v>8.2429999999999968</v>
      </c>
      <c r="CL19" s="538">
        <f t="shared" si="99"/>
        <v>0</v>
      </c>
      <c r="CM19" s="538">
        <f t="shared" si="100"/>
        <v>0</v>
      </c>
      <c r="CN19" s="538">
        <f t="shared" si="44"/>
        <v>2.88</v>
      </c>
      <c r="CO19" s="538">
        <f t="shared" si="101"/>
        <v>2.5</v>
      </c>
      <c r="CP19" s="538">
        <f t="shared" si="102"/>
        <v>8.64</v>
      </c>
      <c r="CQ19" s="538">
        <f t="shared" si="103"/>
        <v>5.76</v>
      </c>
      <c r="CR19" s="539">
        <f t="shared" si="104"/>
        <v>1.1000000000000001</v>
      </c>
      <c r="CS19" s="540">
        <f t="shared" si="45"/>
        <v>5.1000000000000004E-2</v>
      </c>
      <c r="CT19" s="540">
        <f t="shared" si="46"/>
        <v>0.30127039999999999</v>
      </c>
      <c r="CU19" s="541">
        <f t="shared" si="47"/>
        <v>11.5</v>
      </c>
      <c r="CV19" s="538">
        <f t="shared" si="48"/>
        <v>1.08657</v>
      </c>
      <c r="CW19" s="538">
        <f t="shared" si="49"/>
        <v>15.191200000000002</v>
      </c>
      <c r="CX19" s="104">
        <f t="shared" si="50"/>
        <v>2.88</v>
      </c>
      <c r="CY19" s="542">
        <f t="shared" si="127"/>
        <v>1.44</v>
      </c>
      <c r="CZ19" s="538">
        <f t="shared" si="105"/>
        <v>0</v>
      </c>
      <c r="DC19" s="112" t="s">
        <v>1435</v>
      </c>
      <c r="DD19" s="112" t="b">
        <f t="shared" si="128"/>
        <v>0</v>
      </c>
    </row>
    <row r="20" spans="1:108" s="112" customFormat="1" ht="37.5" x14ac:dyDescent="0.25">
      <c r="A20" s="100" t="str">
        <f>'BOCA DE LOBO'!C18</f>
        <v>BL14-&gt;PV7.1</v>
      </c>
      <c r="B20" s="100" t="str">
        <f>'BOCA DE LOBO'!A18</f>
        <v>PV7.1</v>
      </c>
      <c r="C20" s="100" t="str">
        <f>VLOOKUP(A20,'BOCA DE LOBO'!C:F,3,0)</f>
        <v>PROJETADO</v>
      </c>
      <c r="D20" s="100" t="str">
        <f>VLOOKUP(A20,'BOCA DE LOBO'!C:L,10,0)</f>
        <v>AMPLIADA</v>
      </c>
      <c r="E20" s="100">
        <f t="shared" si="106"/>
        <v>2.5</v>
      </c>
      <c r="F20" s="100">
        <f>VLOOKUP(A20,'BOCA DE LOBO'!C:D,2,0)</f>
        <v>3.02</v>
      </c>
      <c r="G20" s="100">
        <f>VLOOKUP(A20,'BOCA DE LOBO'!C:F,4,0)</f>
        <v>6.65</v>
      </c>
      <c r="H20" s="101">
        <v>400</v>
      </c>
      <c r="I20" s="102">
        <f t="shared" si="54"/>
        <v>2.8899999999999997</v>
      </c>
      <c r="J20" s="102">
        <f t="shared" si="107"/>
        <v>0</v>
      </c>
      <c r="K20" s="103">
        <v>0</v>
      </c>
      <c r="L20" s="104">
        <f t="shared" si="108"/>
        <v>0</v>
      </c>
      <c r="M20" s="104">
        <f t="shared" si="109"/>
        <v>0</v>
      </c>
      <c r="N20" s="104">
        <f t="shared" si="129"/>
        <v>400</v>
      </c>
      <c r="O20" s="104">
        <f t="shared" si="55"/>
        <v>0</v>
      </c>
      <c r="P20" s="144" t="str">
        <f>VLOOKUP(B20,'Planilha Hidráulica'!$AE$10:$AQ$30,13,0)</f>
        <v>ASFALTO</v>
      </c>
      <c r="Q20" s="144" t="s">
        <v>2024</v>
      </c>
      <c r="R20" s="105"/>
      <c r="S20" s="105">
        <f>VLOOKUP(Q20,Quantitativos!P:R,3,0)</f>
        <v>5</v>
      </c>
      <c r="T20" s="105">
        <f>VLOOKUP(Q20,Quantitativos!P:S,4,0)</f>
        <v>5</v>
      </c>
      <c r="U20" s="104">
        <f t="shared" si="56"/>
        <v>0.05</v>
      </c>
      <c r="V20" s="106">
        <f t="shared" si="110"/>
        <v>0</v>
      </c>
      <c r="W20" s="106">
        <f t="shared" si="111"/>
        <v>0</v>
      </c>
      <c r="X20" s="107">
        <f t="shared" si="57"/>
        <v>0</v>
      </c>
      <c r="Y20" s="107">
        <f t="shared" si="58"/>
        <v>0</v>
      </c>
      <c r="Z20" s="107">
        <f t="shared" si="59"/>
        <v>2.8899999999999997</v>
      </c>
      <c r="AA20" s="107">
        <f t="shared" si="112"/>
        <v>0</v>
      </c>
      <c r="AB20" s="108">
        <f t="shared" si="113"/>
        <v>0</v>
      </c>
      <c r="AC20" s="109">
        <f t="shared" si="60"/>
        <v>0</v>
      </c>
      <c r="AD20" s="109">
        <f t="shared" si="61"/>
        <v>0</v>
      </c>
      <c r="AE20" s="109">
        <f t="shared" si="62"/>
        <v>0</v>
      </c>
      <c r="AF20" s="109">
        <f t="shared" si="63"/>
        <v>0</v>
      </c>
      <c r="AG20" s="109">
        <f t="shared" si="64"/>
        <v>0</v>
      </c>
      <c r="AH20" s="109">
        <f t="shared" si="65"/>
        <v>0</v>
      </c>
      <c r="AI20" s="537" t="str">
        <f t="shared" si="66"/>
        <v>NÃO</v>
      </c>
      <c r="AJ20" s="104">
        <f t="shared" si="67"/>
        <v>0</v>
      </c>
      <c r="AK20" s="104">
        <f t="shared" si="68"/>
        <v>0</v>
      </c>
      <c r="AL20" s="104">
        <f t="shared" si="69"/>
        <v>0</v>
      </c>
      <c r="AM20" s="102">
        <f t="shared" si="70"/>
        <v>0</v>
      </c>
      <c r="AN20" s="106">
        <f t="shared" si="71"/>
        <v>0</v>
      </c>
      <c r="AO20" s="104">
        <f t="shared" si="72"/>
        <v>0</v>
      </c>
      <c r="AP20" s="104">
        <f t="shared" si="73"/>
        <v>0</v>
      </c>
      <c r="AQ20" s="104">
        <f t="shared" si="74"/>
        <v>0.7</v>
      </c>
      <c r="AR20" s="104">
        <f t="shared" si="75"/>
        <v>0</v>
      </c>
      <c r="AS20" s="104">
        <f t="shared" si="76"/>
        <v>0</v>
      </c>
      <c r="AT20" s="104">
        <f t="shared" si="77"/>
        <v>0</v>
      </c>
      <c r="AU20" s="104">
        <f t="shared" si="114"/>
        <v>0</v>
      </c>
      <c r="AV20" s="104">
        <f t="shared" si="78"/>
        <v>0</v>
      </c>
      <c r="AW20" s="104">
        <f t="shared" si="79"/>
        <v>0</v>
      </c>
      <c r="AX20" s="104">
        <f t="shared" si="115"/>
        <v>0</v>
      </c>
      <c r="AY20" s="104">
        <f t="shared" si="80"/>
        <v>0</v>
      </c>
      <c r="AZ20" s="104">
        <f t="shared" si="81"/>
        <v>0</v>
      </c>
      <c r="BA20" s="104">
        <f t="shared" si="82"/>
        <v>0</v>
      </c>
      <c r="BB20" s="104">
        <f t="shared" si="83"/>
        <v>0</v>
      </c>
      <c r="BC20" s="104"/>
      <c r="BD20" s="104">
        <f t="shared" si="84"/>
        <v>0</v>
      </c>
      <c r="BE20" s="108">
        <f t="shared" si="85"/>
        <v>2.8899999999999997</v>
      </c>
      <c r="BF20" s="110">
        <f t="shared" si="86"/>
        <v>0</v>
      </c>
      <c r="BG20" s="110">
        <f t="shared" si="87"/>
        <v>0</v>
      </c>
      <c r="BH20" s="105" t="str">
        <f>VLOOKUP(A20,'BOCA DE LOBO'!C:I,7,0)</f>
        <v>BOCA DE LOBO DUPLA EXISTENTE COM BOCA DE LOBO SIMPLES PROJETADA</v>
      </c>
      <c r="BI20" s="104">
        <f t="shared" si="116"/>
        <v>0</v>
      </c>
      <c r="BJ20" s="104">
        <f t="shared" si="117"/>
        <v>0</v>
      </c>
      <c r="BK20" s="104">
        <f t="shared" si="118"/>
        <v>1</v>
      </c>
      <c r="BL20" s="104">
        <f t="shared" si="119"/>
        <v>0</v>
      </c>
      <c r="BM20" s="104">
        <f t="shared" si="120"/>
        <v>0</v>
      </c>
      <c r="BN20" s="104">
        <f t="shared" si="121"/>
        <v>0</v>
      </c>
      <c r="BO20" s="104">
        <f t="shared" si="122"/>
        <v>0</v>
      </c>
      <c r="BP20" s="111"/>
      <c r="BQ20" s="108">
        <f t="shared" si="88"/>
        <v>19.950000000000003</v>
      </c>
      <c r="BR20" s="108">
        <f t="shared" si="89"/>
        <v>18.486999999999998</v>
      </c>
      <c r="BS20" s="108">
        <f t="shared" si="90"/>
        <v>0</v>
      </c>
      <c r="BV20" s="538">
        <f t="shared" si="132"/>
        <v>9.1559999999999988</v>
      </c>
      <c r="BW20" s="538">
        <f t="shared" si="130"/>
        <v>3.6623999999999994</v>
      </c>
      <c r="BX20" s="538">
        <f t="shared" si="40"/>
        <v>1.3923999999999999</v>
      </c>
      <c r="BY20" s="538">
        <f t="shared" si="91"/>
        <v>2.5</v>
      </c>
      <c r="BZ20" s="538">
        <f t="shared" si="92"/>
        <v>2.5</v>
      </c>
      <c r="CA20" s="538">
        <f t="shared" si="123"/>
        <v>0</v>
      </c>
      <c r="CB20" s="538">
        <f t="shared" si="93"/>
        <v>0</v>
      </c>
      <c r="CC20" s="538">
        <f t="shared" si="94"/>
        <v>5.4935999999999989</v>
      </c>
      <c r="CD20" s="538">
        <f t="shared" si="95"/>
        <v>3.6623999999999994</v>
      </c>
      <c r="CE20" s="538">
        <f t="shared" si="124"/>
        <v>0</v>
      </c>
      <c r="CF20" s="538">
        <f t="shared" si="125"/>
        <v>0</v>
      </c>
      <c r="CG20" s="538">
        <f t="shared" si="96"/>
        <v>0</v>
      </c>
      <c r="CH20" s="538">
        <f t="shared" si="97"/>
        <v>0</v>
      </c>
      <c r="CI20" s="104">
        <f t="shared" si="131"/>
        <v>0.252</v>
      </c>
      <c r="CJ20" s="538">
        <f t="shared" si="126"/>
        <v>5.4229999999999992</v>
      </c>
      <c r="CK20" s="538">
        <f t="shared" si="98"/>
        <v>5.4229999999999992</v>
      </c>
      <c r="CL20" s="538">
        <f t="shared" si="99"/>
        <v>0</v>
      </c>
      <c r="CM20" s="538">
        <f t="shared" si="100"/>
        <v>0</v>
      </c>
      <c r="CN20" s="538">
        <f t="shared" si="44"/>
        <v>1.68</v>
      </c>
      <c r="CO20" s="538">
        <f t="shared" si="101"/>
        <v>2.5</v>
      </c>
      <c r="CP20" s="538">
        <f t="shared" si="102"/>
        <v>5.04</v>
      </c>
      <c r="CQ20" s="538">
        <f t="shared" si="103"/>
        <v>3.36</v>
      </c>
      <c r="CR20" s="539">
        <f t="shared" si="104"/>
        <v>1.1000000000000001</v>
      </c>
      <c r="CS20" s="540">
        <f t="shared" si="45"/>
        <v>5.1000000000000004E-2</v>
      </c>
      <c r="CT20" s="540">
        <f t="shared" si="46"/>
        <v>0.15421000000000001</v>
      </c>
      <c r="CU20" s="541">
        <f t="shared" si="47"/>
        <v>6.5</v>
      </c>
      <c r="CV20" s="538">
        <f t="shared" si="48"/>
        <v>0.90203999999999995</v>
      </c>
      <c r="CW20" s="538">
        <f t="shared" si="49"/>
        <v>15.764600000000002</v>
      </c>
      <c r="CX20" s="104">
        <f t="shared" si="50"/>
        <v>1.68</v>
      </c>
      <c r="CY20" s="542">
        <f t="shared" si="127"/>
        <v>0.84</v>
      </c>
      <c r="CZ20" s="538">
        <f t="shared" si="105"/>
        <v>0</v>
      </c>
      <c r="DC20" s="112" t="s">
        <v>1440</v>
      </c>
      <c r="DD20" s="112" t="b">
        <f t="shared" si="128"/>
        <v>0</v>
      </c>
    </row>
    <row r="21" spans="1:108" s="112" customFormat="1" ht="37.5" x14ac:dyDescent="0.25">
      <c r="A21" s="100" t="str">
        <f>'BOCA DE LOBO'!C19</f>
        <v>BL15-&gt;PV7.1</v>
      </c>
      <c r="B21" s="100" t="str">
        <f>'BOCA DE LOBO'!A19</f>
        <v>PV7.1</v>
      </c>
      <c r="C21" s="100" t="str">
        <f>VLOOKUP(A21,'BOCA DE LOBO'!C:F,3,0)</f>
        <v>PROJETADO</v>
      </c>
      <c r="D21" s="100" t="str">
        <f>VLOOKUP(A21,'BOCA DE LOBO'!C:L,10,0)</f>
        <v>AMPLIADA</v>
      </c>
      <c r="E21" s="100">
        <f t="shared" si="106"/>
        <v>2.5</v>
      </c>
      <c r="F21" s="100">
        <f>VLOOKUP(A21,'BOCA DE LOBO'!C:D,2,0)</f>
        <v>3.02</v>
      </c>
      <c r="G21" s="100">
        <f>VLOOKUP(A21,'BOCA DE LOBO'!C:F,4,0)</f>
        <v>5.27</v>
      </c>
      <c r="H21" s="101">
        <v>400</v>
      </c>
      <c r="I21" s="102">
        <f t="shared" si="54"/>
        <v>2.8899999999999997</v>
      </c>
      <c r="J21" s="102">
        <f t="shared" si="107"/>
        <v>0</v>
      </c>
      <c r="K21" s="103">
        <v>0</v>
      </c>
      <c r="L21" s="104">
        <f t="shared" si="108"/>
        <v>0</v>
      </c>
      <c r="M21" s="104">
        <f t="shared" si="109"/>
        <v>0</v>
      </c>
      <c r="N21" s="104">
        <f t="shared" si="129"/>
        <v>400</v>
      </c>
      <c r="O21" s="104">
        <f t="shared" si="55"/>
        <v>0</v>
      </c>
      <c r="P21" s="144" t="str">
        <f>VLOOKUP(B21,'Planilha Hidráulica'!$AE$10:$AQ$30,13,0)</f>
        <v>ASFALTO</v>
      </c>
      <c r="Q21" s="144" t="s">
        <v>2024</v>
      </c>
      <c r="R21" s="105"/>
      <c r="S21" s="105">
        <f>VLOOKUP(Q21,Quantitativos!P:R,3,0)</f>
        <v>5</v>
      </c>
      <c r="T21" s="105">
        <f>VLOOKUP(Q21,Quantitativos!P:S,4,0)</f>
        <v>5</v>
      </c>
      <c r="U21" s="104">
        <f t="shared" si="56"/>
        <v>0.05</v>
      </c>
      <c r="V21" s="106">
        <f t="shared" si="110"/>
        <v>0</v>
      </c>
      <c r="W21" s="106">
        <f t="shared" si="111"/>
        <v>0</v>
      </c>
      <c r="X21" s="107">
        <f t="shared" si="57"/>
        <v>0</v>
      </c>
      <c r="Y21" s="107">
        <f t="shared" si="58"/>
        <v>0</v>
      </c>
      <c r="Z21" s="107">
        <f t="shared" si="59"/>
        <v>2.8899999999999997</v>
      </c>
      <c r="AA21" s="107">
        <f t="shared" si="112"/>
        <v>0</v>
      </c>
      <c r="AB21" s="108">
        <f t="shared" si="113"/>
        <v>0</v>
      </c>
      <c r="AC21" s="109">
        <f t="shared" si="60"/>
        <v>0</v>
      </c>
      <c r="AD21" s="109">
        <f t="shared" si="61"/>
        <v>0</v>
      </c>
      <c r="AE21" s="109">
        <f t="shared" si="62"/>
        <v>0</v>
      </c>
      <c r="AF21" s="109">
        <f t="shared" si="63"/>
        <v>0</v>
      </c>
      <c r="AG21" s="109">
        <f t="shared" si="64"/>
        <v>0</v>
      </c>
      <c r="AH21" s="109">
        <f t="shared" si="65"/>
        <v>0</v>
      </c>
      <c r="AI21" s="537" t="str">
        <f t="shared" si="66"/>
        <v>NÃO</v>
      </c>
      <c r="AJ21" s="104">
        <f t="shared" si="67"/>
        <v>0</v>
      </c>
      <c r="AK21" s="104">
        <f t="shared" si="68"/>
        <v>0</v>
      </c>
      <c r="AL21" s="104">
        <f t="shared" si="69"/>
        <v>0</v>
      </c>
      <c r="AM21" s="102">
        <f t="shared" si="70"/>
        <v>0</v>
      </c>
      <c r="AN21" s="106">
        <f t="shared" si="71"/>
        <v>0</v>
      </c>
      <c r="AO21" s="104">
        <f t="shared" si="72"/>
        <v>0</v>
      </c>
      <c r="AP21" s="104">
        <f t="shared" si="73"/>
        <v>0</v>
      </c>
      <c r="AQ21" s="104">
        <f t="shared" si="74"/>
        <v>0.7</v>
      </c>
      <c r="AR21" s="104">
        <f t="shared" si="75"/>
        <v>0</v>
      </c>
      <c r="AS21" s="104">
        <f t="shared" si="76"/>
        <v>0</v>
      </c>
      <c r="AT21" s="104">
        <f t="shared" si="77"/>
        <v>0</v>
      </c>
      <c r="AU21" s="104">
        <f t="shared" si="114"/>
        <v>0</v>
      </c>
      <c r="AV21" s="104">
        <f t="shared" si="78"/>
        <v>0</v>
      </c>
      <c r="AW21" s="104">
        <f t="shared" si="79"/>
        <v>0</v>
      </c>
      <c r="AX21" s="104">
        <f t="shared" si="115"/>
        <v>0</v>
      </c>
      <c r="AY21" s="104">
        <f t="shared" si="80"/>
        <v>0</v>
      </c>
      <c r="AZ21" s="104">
        <f t="shared" si="81"/>
        <v>0</v>
      </c>
      <c r="BA21" s="104">
        <f t="shared" si="82"/>
        <v>0</v>
      </c>
      <c r="BB21" s="104">
        <f t="shared" si="83"/>
        <v>0</v>
      </c>
      <c r="BC21" s="104"/>
      <c r="BD21" s="104">
        <f t="shared" si="84"/>
        <v>0</v>
      </c>
      <c r="BE21" s="108">
        <f t="shared" si="85"/>
        <v>2.8899999999999997</v>
      </c>
      <c r="BF21" s="110">
        <f t="shared" si="86"/>
        <v>0</v>
      </c>
      <c r="BG21" s="110">
        <f t="shared" si="87"/>
        <v>0</v>
      </c>
      <c r="BH21" s="105" t="str">
        <f>VLOOKUP(A21,'BOCA DE LOBO'!C:I,7,0)</f>
        <v>BOCA DE LOBO DUPLA EXISTENTE COM BOCA DE LOBO SIMPLES PROJETADA</v>
      </c>
      <c r="BI21" s="104">
        <f t="shared" si="116"/>
        <v>0</v>
      </c>
      <c r="BJ21" s="104">
        <f t="shared" si="117"/>
        <v>0</v>
      </c>
      <c r="BK21" s="104">
        <f t="shared" si="118"/>
        <v>1</v>
      </c>
      <c r="BL21" s="104">
        <f t="shared" si="119"/>
        <v>0</v>
      </c>
      <c r="BM21" s="104">
        <f t="shared" si="120"/>
        <v>0</v>
      </c>
      <c r="BN21" s="104">
        <f t="shared" si="121"/>
        <v>0</v>
      </c>
      <c r="BO21" s="104">
        <f t="shared" si="122"/>
        <v>0</v>
      </c>
      <c r="BP21" s="111"/>
      <c r="BQ21" s="108">
        <f t="shared" si="88"/>
        <v>15.809999999999999</v>
      </c>
      <c r="BR21" s="108">
        <f t="shared" si="89"/>
        <v>14.650599999999995</v>
      </c>
      <c r="BS21" s="108">
        <f t="shared" si="90"/>
        <v>0</v>
      </c>
      <c r="BV21" s="538">
        <f t="shared" si="132"/>
        <v>9.1559999999999988</v>
      </c>
      <c r="BW21" s="538">
        <f t="shared" si="130"/>
        <v>3.6623999999999994</v>
      </c>
      <c r="BX21" s="538">
        <f t="shared" si="40"/>
        <v>1.3923999999999999</v>
      </c>
      <c r="BY21" s="538">
        <f t="shared" si="91"/>
        <v>2.5</v>
      </c>
      <c r="BZ21" s="538">
        <f t="shared" si="92"/>
        <v>2.5</v>
      </c>
      <c r="CA21" s="538">
        <f t="shared" si="123"/>
        <v>0</v>
      </c>
      <c r="CB21" s="538">
        <f t="shared" si="93"/>
        <v>0</v>
      </c>
      <c r="CC21" s="538">
        <f t="shared" si="94"/>
        <v>5.4935999999999989</v>
      </c>
      <c r="CD21" s="538">
        <f t="shared" si="95"/>
        <v>3.6623999999999994</v>
      </c>
      <c r="CE21" s="538">
        <f t="shared" si="124"/>
        <v>0</v>
      </c>
      <c r="CF21" s="538">
        <f t="shared" si="125"/>
        <v>0</v>
      </c>
      <c r="CG21" s="538">
        <f t="shared" si="96"/>
        <v>0</v>
      </c>
      <c r="CH21" s="538">
        <f t="shared" si="97"/>
        <v>0</v>
      </c>
      <c r="CI21" s="104">
        <f t="shared" si="131"/>
        <v>0.252</v>
      </c>
      <c r="CJ21" s="538">
        <f t="shared" si="126"/>
        <v>5.4229999999999992</v>
      </c>
      <c r="CK21" s="538">
        <f t="shared" si="98"/>
        <v>5.4229999999999992</v>
      </c>
      <c r="CL21" s="538">
        <f t="shared" si="99"/>
        <v>0</v>
      </c>
      <c r="CM21" s="538">
        <f t="shared" si="100"/>
        <v>0</v>
      </c>
      <c r="CN21" s="538">
        <f t="shared" si="44"/>
        <v>1.68</v>
      </c>
      <c r="CO21" s="538">
        <f t="shared" si="101"/>
        <v>2.5</v>
      </c>
      <c r="CP21" s="538">
        <f t="shared" si="102"/>
        <v>5.04</v>
      </c>
      <c r="CQ21" s="538">
        <f t="shared" si="103"/>
        <v>3.36</v>
      </c>
      <c r="CR21" s="539">
        <f t="shared" si="104"/>
        <v>1.1000000000000001</v>
      </c>
      <c r="CS21" s="540">
        <f t="shared" si="45"/>
        <v>5.1000000000000004E-2</v>
      </c>
      <c r="CT21" s="540">
        <f t="shared" si="46"/>
        <v>0.15421000000000001</v>
      </c>
      <c r="CU21" s="541">
        <f t="shared" si="47"/>
        <v>6.5</v>
      </c>
      <c r="CV21" s="538">
        <f t="shared" si="48"/>
        <v>0.90203999999999995</v>
      </c>
      <c r="CW21" s="538">
        <f t="shared" si="49"/>
        <v>15.764600000000002</v>
      </c>
      <c r="CX21" s="104">
        <f t="shared" si="50"/>
        <v>1.68</v>
      </c>
      <c r="CY21" s="542">
        <f t="shared" si="127"/>
        <v>0.84</v>
      </c>
      <c r="CZ21" s="538">
        <f t="shared" si="105"/>
        <v>0</v>
      </c>
      <c r="DC21" s="112" t="s">
        <v>1442</v>
      </c>
      <c r="DD21" s="112" t="b">
        <f t="shared" si="128"/>
        <v>1</v>
      </c>
    </row>
    <row r="22" spans="1:108" s="112" customFormat="1" ht="25" x14ac:dyDescent="0.25">
      <c r="A22" s="100" t="str">
        <f>'BOCA DE LOBO'!C20</f>
        <v>BL16-&gt;PV8.1</v>
      </c>
      <c r="B22" s="100" t="str">
        <f>'BOCA DE LOBO'!A20</f>
        <v>PV8.1</v>
      </c>
      <c r="C22" s="100" t="str">
        <f>VLOOKUP(A22,'BOCA DE LOBO'!C:F,3,0)</f>
        <v>PROJETADO</v>
      </c>
      <c r="D22" s="100" t="str">
        <f>VLOOKUP(A22,'BOCA DE LOBO'!C:L,10,0)</f>
        <v>PROJETADA</v>
      </c>
      <c r="E22" s="100">
        <f t="shared" si="106"/>
        <v>2.4371999999999998</v>
      </c>
      <c r="F22" s="100">
        <f>VLOOKUP(A22,'BOCA DE LOBO'!C:D,2,0)</f>
        <v>2.65</v>
      </c>
      <c r="G22" s="100">
        <f>VLOOKUP(A22,'BOCA DE LOBO'!C:F,4,0)</f>
        <v>5.32</v>
      </c>
      <c r="H22" s="101">
        <v>400</v>
      </c>
      <c r="I22" s="102">
        <f t="shared" si="54"/>
        <v>2.6735999999999995</v>
      </c>
      <c r="J22" s="102">
        <f t="shared" si="107"/>
        <v>0.71117759999999985</v>
      </c>
      <c r="K22" s="103">
        <v>0</v>
      </c>
      <c r="L22" s="104">
        <f t="shared" si="108"/>
        <v>1</v>
      </c>
      <c r="M22" s="104">
        <f t="shared" si="109"/>
        <v>1</v>
      </c>
      <c r="N22" s="104">
        <f t="shared" si="129"/>
        <v>0</v>
      </c>
      <c r="O22" s="104">
        <f t="shared" si="55"/>
        <v>5.32</v>
      </c>
      <c r="P22" s="144" t="str">
        <f>VLOOKUP(B22,'Planilha Hidráulica'!$AE$10:$AQ$30,13,0)</f>
        <v>ASFALTO</v>
      </c>
      <c r="Q22" s="144" t="s">
        <v>2025</v>
      </c>
      <c r="R22" s="105"/>
      <c r="S22" s="105">
        <f>VLOOKUP(Q22,Quantitativos!P:R,3,0)</f>
        <v>4.4000000000000004</v>
      </c>
      <c r="T22" s="105">
        <f>VLOOKUP(Q22,Quantitativos!P:S,4,0)</f>
        <v>3.5</v>
      </c>
      <c r="U22" s="104">
        <f t="shared" si="56"/>
        <v>0.05</v>
      </c>
      <c r="V22" s="106">
        <f t="shared" si="110"/>
        <v>0</v>
      </c>
      <c r="W22" s="106">
        <f t="shared" si="111"/>
        <v>14.223551999999998</v>
      </c>
      <c r="X22" s="107">
        <f t="shared" si="57"/>
        <v>0</v>
      </c>
      <c r="Y22" s="107">
        <f t="shared" si="58"/>
        <v>0</v>
      </c>
      <c r="Z22" s="107">
        <f t="shared" si="59"/>
        <v>2.6735999999999995</v>
      </c>
      <c r="AA22" s="107">
        <f t="shared" si="112"/>
        <v>0</v>
      </c>
      <c r="AB22" s="108">
        <f t="shared" si="113"/>
        <v>5.32</v>
      </c>
      <c r="AC22" s="109">
        <f t="shared" si="60"/>
        <v>0</v>
      </c>
      <c r="AD22" s="109">
        <f t="shared" si="61"/>
        <v>0</v>
      </c>
      <c r="AE22" s="109">
        <f t="shared" si="62"/>
        <v>0</v>
      </c>
      <c r="AF22" s="109">
        <f t="shared" si="63"/>
        <v>7.98</v>
      </c>
      <c r="AG22" s="109">
        <f t="shared" si="64"/>
        <v>6.2435519999999975</v>
      </c>
      <c r="AH22" s="109">
        <f t="shared" si="65"/>
        <v>0</v>
      </c>
      <c r="AI22" s="537" t="str">
        <f t="shared" si="66"/>
        <v>NÃO</v>
      </c>
      <c r="AJ22" s="104">
        <f t="shared" si="67"/>
        <v>0</v>
      </c>
      <c r="AK22" s="104">
        <f t="shared" si="68"/>
        <v>0</v>
      </c>
      <c r="AL22" s="104">
        <f t="shared" si="69"/>
        <v>13.55502108331609</v>
      </c>
      <c r="AM22" s="102">
        <f t="shared" si="70"/>
        <v>0.26600000000000001</v>
      </c>
      <c r="AN22" s="106">
        <f t="shared" si="71"/>
        <v>0</v>
      </c>
      <c r="AO22" s="104">
        <f t="shared" si="72"/>
        <v>0</v>
      </c>
      <c r="AP22" s="104">
        <f t="shared" si="73"/>
        <v>0</v>
      </c>
      <c r="AQ22" s="104">
        <f t="shared" si="74"/>
        <v>0.7</v>
      </c>
      <c r="AR22" s="104">
        <f t="shared" si="75"/>
        <v>3.0554690833160918</v>
      </c>
      <c r="AS22" s="104">
        <f t="shared" si="76"/>
        <v>0</v>
      </c>
      <c r="AT22" s="104">
        <f t="shared" si="77"/>
        <v>0.79800000000000004</v>
      </c>
      <c r="AU22" s="104">
        <f t="shared" si="114"/>
        <v>0.79800000000000004</v>
      </c>
      <c r="AV22" s="104">
        <f t="shared" si="78"/>
        <v>0.15959999999999999</v>
      </c>
      <c r="AW22" s="104">
        <f t="shared" si="79"/>
        <v>8.6375519999999977</v>
      </c>
      <c r="AX22" s="104">
        <f t="shared" si="115"/>
        <v>10.370082916683906</v>
      </c>
      <c r="AY22" s="104">
        <f t="shared" si="80"/>
        <v>8.6375519999999977</v>
      </c>
      <c r="AZ22" s="104">
        <f t="shared" si="81"/>
        <v>0</v>
      </c>
      <c r="BA22" s="104">
        <f t="shared" si="82"/>
        <v>0</v>
      </c>
      <c r="BB22" s="104">
        <f t="shared" si="83"/>
        <v>0</v>
      </c>
      <c r="BC22" s="104"/>
      <c r="BD22" s="104">
        <f t="shared" si="84"/>
        <v>0</v>
      </c>
      <c r="BE22" s="108">
        <f t="shared" si="85"/>
        <v>2.6735999999999995</v>
      </c>
      <c r="BF22" s="110">
        <f t="shared" si="86"/>
        <v>0</v>
      </c>
      <c r="BG22" s="110">
        <f t="shared" si="87"/>
        <v>5.32</v>
      </c>
      <c r="BH22" s="105" t="str">
        <f>VLOOKUP(A22,'BOCA DE LOBO'!C:I,7,0)</f>
        <v>BOCA DE LOBO PROJETADA DUPLA</v>
      </c>
      <c r="BI22" s="104">
        <f t="shared" si="116"/>
        <v>0</v>
      </c>
      <c r="BJ22" s="104">
        <f t="shared" si="117"/>
        <v>0</v>
      </c>
      <c r="BK22" s="104">
        <f t="shared" si="118"/>
        <v>0</v>
      </c>
      <c r="BL22" s="104">
        <f t="shared" si="119"/>
        <v>0</v>
      </c>
      <c r="BM22" s="104">
        <f t="shared" si="120"/>
        <v>0</v>
      </c>
      <c r="BN22" s="104">
        <f t="shared" si="121"/>
        <v>1</v>
      </c>
      <c r="BO22" s="104">
        <f t="shared" si="122"/>
        <v>0</v>
      </c>
      <c r="BP22" s="111"/>
      <c r="BQ22" s="108">
        <f t="shared" si="88"/>
        <v>15.96</v>
      </c>
      <c r="BR22" s="108">
        <f t="shared" si="89"/>
        <v>12.487103999999995</v>
      </c>
      <c r="BS22" s="108">
        <f t="shared" si="90"/>
        <v>0</v>
      </c>
      <c r="BV22" s="538">
        <f t="shared" si="132"/>
        <v>18.967752719999996</v>
      </c>
      <c r="BW22" s="538">
        <f t="shared" si="130"/>
        <v>7.7825999999999986</v>
      </c>
      <c r="BX22" s="538">
        <f t="shared" si="40"/>
        <v>3.0325999999999995</v>
      </c>
      <c r="BY22" s="538">
        <f t="shared" si="91"/>
        <v>2.4371999999999998</v>
      </c>
      <c r="BZ22" s="538">
        <f t="shared" si="92"/>
        <v>2.4371999999999998</v>
      </c>
      <c r="CA22" s="538">
        <f t="shared" si="123"/>
        <v>0</v>
      </c>
      <c r="CB22" s="538">
        <f t="shared" si="93"/>
        <v>0</v>
      </c>
      <c r="CC22" s="538">
        <f t="shared" si="94"/>
        <v>11.673899999999998</v>
      </c>
      <c r="CD22" s="538">
        <f t="shared" si="95"/>
        <v>7.2938527199999976</v>
      </c>
      <c r="CE22" s="538">
        <f t="shared" si="124"/>
        <v>0</v>
      </c>
      <c r="CF22" s="538">
        <f t="shared" si="125"/>
        <v>0</v>
      </c>
      <c r="CG22" s="538">
        <f t="shared" si="96"/>
        <v>0</v>
      </c>
      <c r="CH22" s="538">
        <f t="shared" si="97"/>
        <v>0</v>
      </c>
      <c r="CI22" s="104">
        <f t="shared" si="131"/>
        <v>0.53549999999999998</v>
      </c>
      <c r="CJ22" s="538">
        <f t="shared" si="126"/>
        <v>11.041199999999996</v>
      </c>
      <c r="CK22" s="538">
        <f t="shared" si="98"/>
        <v>11.041199999999996</v>
      </c>
      <c r="CL22" s="538">
        <f t="shared" si="99"/>
        <v>0</v>
      </c>
      <c r="CM22" s="538">
        <f t="shared" si="100"/>
        <v>0</v>
      </c>
      <c r="CN22" s="538">
        <f t="shared" si="44"/>
        <v>3.57</v>
      </c>
      <c r="CO22" s="538">
        <f t="shared" si="101"/>
        <v>2.4371999999999998</v>
      </c>
      <c r="CP22" s="538">
        <f t="shared" si="102"/>
        <v>10.709999999999999</v>
      </c>
      <c r="CQ22" s="538">
        <f t="shared" si="103"/>
        <v>6.6916079999999987</v>
      </c>
      <c r="CR22" s="539">
        <f t="shared" si="104"/>
        <v>0</v>
      </c>
      <c r="CS22" s="540">
        <f t="shared" si="45"/>
        <v>0</v>
      </c>
      <c r="CT22" s="540">
        <f t="shared" si="46"/>
        <v>0.33012999999999998</v>
      </c>
      <c r="CU22" s="541">
        <f t="shared" si="47"/>
        <v>12.673439999999999</v>
      </c>
      <c r="CV22" s="538">
        <f t="shared" si="48"/>
        <v>1.4197331999999998</v>
      </c>
      <c r="CW22" s="538">
        <f t="shared" si="49"/>
        <v>22.765895999999998</v>
      </c>
      <c r="CX22" s="104">
        <f t="shared" si="50"/>
        <v>3.57</v>
      </c>
      <c r="CY22" s="542">
        <f t="shared" si="127"/>
        <v>1.7849999999999999</v>
      </c>
      <c r="CZ22" s="538">
        <f t="shared" si="105"/>
        <v>0</v>
      </c>
      <c r="DC22" s="112" t="s">
        <v>1442</v>
      </c>
      <c r="DD22" s="112" t="b">
        <f t="shared" si="128"/>
        <v>0</v>
      </c>
    </row>
    <row r="23" spans="1:108" s="112" customFormat="1" ht="25" x14ac:dyDescent="0.25">
      <c r="A23" s="100" t="str">
        <f>'BOCA DE LOBO'!C21</f>
        <v>BL17-&gt;PV9.1</v>
      </c>
      <c r="B23" s="100" t="str">
        <f>'BOCA DE LOBO'!A21</f>
        <v>PV9.1</v>
      </c>
      <c r="C23" s="100" t="str">
        <f>VLOOKUP(A23,'BOCA DE LOBO'!C:F,3,0)</f>
        <v>PROJETADO</v>
      </c>
      <c r="D23" s="100" t="str">
        <f>VLOOKUP(A23,'BOCA DE LOBO'!C:L,10,0)</f>
        <v>EXISTENTE</v>
      </c>
      <c r="E23" s="100">
        <f t="shared" si="106"/>
        <v>2.5</v>
      </c>
      <c r="F23" s="100">
        <f>VLOOKUP(A23,'BOCA DE LOBO'!C:D,2,0)</f>
        <v>3.15</v>
      </c>
      <c r="G23" s="100">
        <f>VLOOKUP(A23,'BOCA DE LOBO'!C:F,4,0)</f>
        <v>5.95</v>
      </c>
      <c r="H23" s="101">
        <v>400</v>
      </c>
      <c r="I23" s="102">
        <f t="shared" si="54"/>
        <v>2.9550000000000001</v>
      </c>
      <c r="J23" s="102">
        <f t="shared" si="107"/>
        <v>0</v>
      </c>
      <c r="K23" s="103">
        <v>0</v>
      </c>
      <c r="L23" s="104">
        <f t="shared" si="108"/>
        <v>0</v>
      </c>
      <c r="M23" s="104">
        <f t="shared" si="109"/>
        <v>0</v>
      </c>
      <c r="N23" s="104">
        <f t="shared" si="129"/>
        <v>400</v>
      </c>
      <c r="O23" s="104">
        <f t="shared" si="55"/>
        <v>0</v>
      </c>
      <c r="P23" s="144" t="str">
        <f>VLOOKUP(B23,'Planilha Hidráulica'!$AE$10:$AQ$30,13,0)</f>
        <v>ASFALTO</v>
      </c>
      <c r="Q23" s="144" t="s">
        <v>2025</v>
      </c>
      <c r="R23" s="105"/>
      <c r="S23" s="105">
        <f>VLOOKUP(Q23,Quantitativos!P:R,3,0)</f>
        <v>4.4000000000000004</v>
      </c>
      <c r="T23" s="105">
        <f>VLOOKUP(Q23,Quantitativos!P:S,4,0)</f>
        <v>3.5</v>
      </c>
      <c r="U23" s="104">
        <f t="shared" si="56"/>
        <v>0.05</v>
      </c>
      <c r="V23" s="106">
        <f t="shared" si="110"/>
        <v>0</v>
      </c>
      <c r="W23" s="106">
        <f t="shared" si="111"/>
        <v>0</v>
      </c>
      <c r="X23" s="107">
        <f t="shared" si="57"/>
        <v>0</v>
      </c>
      <c r="Y23" s="107">
        <f t="shared" si="58"/>
        <v>0</v>
      </c>
      <c r="Z23" s="107">
        <f t="shared" ref="Z23:Z24" si="133">IF(Y23&gt;0.5,0,IF(S23&lt;I23,S23,I23))</f>
        <v>2.9550000000000001</v>
      </c>
      <c r="AA23" s="107">
        <f t="shared" si="112"/>
        <v>0</v>
      </c>
      <c r="AB23" s="108">
        <f t="shared" si="113"/>
        <v>0</v>
      </c>
      <c r="AC23" s="109">
        <f t="shared" si="60"/>
        <v>0</v>
      </c>
      <c r="AD23" s="109">
        <f t="shared" si="61"/>
        <v>0</v>
      </c>
      <c r="AE23" s="109">
        <f t="shared" si="62"/>
        <v>0</v>
      </c>
      <c r="AF23" s="109">
        <f t="shared" si="63"/>
        <v>0</v>
      </c>
      <c r="AG23" s="109">
        <f t="shared" si="64"/>
        <v>0</v>
      </c>
      <c r="AH23" s="109">
        <f t="shared" si="65"/>
        <v>0</v>
      </c>
      <c r="AI23" s="537" t="str">
        <f t="shared" si="66"/>
        <v>NÃO</v>
      </c>
      <c r="AJ23" s="104">
        <f t="shared" si="67"/>
        <v>0</v>
      </c>
      <c r="AK23" s="104">
        <f t="shared" si="68"/>
        <v>0</v>
      </c>
      <c r="AL23" s="104">
        <f t="shared" si="69"/>
        <v>0</v>
      </c>
      <c r="AM23" s="102">
        <f t="shared" si="70"/>
        <v>0</v>
      </c>
      <c r="AN23" s="106">
        <f t="shared" si="71"/>
        <v>0</v>
      </c>
      <c r="AO23" s="104">
        <f t="shared" si="72"/>
        <v>0</v>
      </c>
      <c r="AP23" s="104">
        <f t="shared" si="73"/>
        <v>0</v>
      </c>
      <c r="AQ23" s="104">
        <f t="shared" si="74"/>
        <v>0.7</v>
      </c>
      <c r="AR23" s="104">
        <f t="shared" si="75"/>
        <v>0</v>
      </c>
      <c r="AS23" s="104">
        <f t="shared" si="76"/>
        <v>0</v>
      </c>
      <c r="AT23" s="104">
        <f t="shared" si="77"/>
        <v>0</v>
      </c>
      <c r="AU23" s="104">
        <f t="shared" si="114"/>
        <v>0</v>
      </c>
      <c r="AV23" s="104">
        <f t="shared" si="78"/>
        <v>0</v>
      </c>
      <c r="AW23" s="104">
        <f t="shared" si="79"/>
        <v>0</v>
      </c>
      <c r="AX23" s="104">
        <f t="shared" si="115"/>
        <v>0</v>
      </c>
      <c r="AY23" s="104">
        <f t="shared" si="80"/>
        <v>0</v>
      </c>
      <c r="AZ23" s="104">
        <f t="shared" si="81"/>
        <v>0</v>
      </c>
      <c r="BA23" s="104">
        <f t="shared" si="82"/>
        <v>0</v>
      </c>
      <c r="BB23" s="104">
        <f t="shared" si="83"/>
        <v>0</v>
      </c>
      <c r="BC23" s="104"/>
      <c r="BD23" s="104">
        <f t="shared" si="84"/>
        <v>0</v>
      </c>
      <c r="BE23" s="108">
        <f t="shared" si="85"/>
        <v>2.9550000000000001</v>
      </c>
      <c r="BF23" s="110">
        <f t="shared" si="86"/>
        <v>0</v>
      </c>
      <c r="BG23" s="110">
        <f t="shared" si="87"/>
        <v>0</v>
      </c>
      <c r="BH23" s="105" t="str">
        <f>VLOOKUP(A23,'BOCA DE LOBO'!C:I,7,0)</f>
        <v>BOCA DE LOBO EXISTENTE DUPLA</v>
      </c>
      <c r="BI23" s="104">
        <f t="shared" si="116"/>
        <v>0</v>
      </c>
      <c r="BJ23" s="104">
        <f t="shared" si="117"/>
        <v>0</v>
      </c>
      <c r="BK23" s="104">
        <f t="shared" si="118"/>
        <v>0</v>
      </c>
      <c r="BL23" s="104">
        <f t="shared" si="119"/>
        <v>0</v>
      </c>
      <c r="BM23" s="104">
        <f t="shared" si="120"/>
        <v>0</v>
      </c>
      <c r="BN23" s="104">
        <f t="shared" si="121"/>
        <v>0</v>
      </c>
      <c r="BO23" s="104">
        <f t="shared" si="122"/>
        <v>0</v>
      </c>
      <c r="BP23" s="111"/>
      <c r="BQ23" s="108">
        <f t="shared" si="88"/>
        <v>17.850000000000001</v>
      </c>
      <c r="BR23" s="108">
        <f t="shared" si="89"/>
        <v>17.314500000000002</v>
      </c>
      <c r="BS23" s="108">
        <f t="shared" si="90"/>
        <v>0</v>
      </c>
      <c r="BV23" s="538">
        <f t="shared" si="132"/>
        <v>0</v>
      </c>
      <c r="BW23" s="538">
        <f t="shared" si="130"/>
        <v>0</v>
      </c>
      <c r="BX23" s="538">
        <f t="shared" si="40"/>
        <v>0</v>
      </c>
      <c r="BY23" s="538">
        <f t="shared" si="91"/>
        <v>2.5</v>
      </c>
      <c r="BZ23" s="538">
        <f t="shared" si="92"/>
        <v>2.5</v>
      </c>
      <c r="CA23" s="538">
        <f t="shared" si="123"/>
        <v>0</v>
      </c>
      <c r="CB23" s="538">
        <f t="shared" si="93"/>
        <v>0</v>
      </c>
      <c r="CC23" s="538">
        <f t="shared" si="94"/>
        <v>0</v>
      </c>
      <c r="CD23" s="538">
        <f t="shared" si="95"/>
        <v>0</v>
      </c>
      <c r="CE23" s="538">
        <f t="shared" si="124"/>
        <v>0</v>
      </c>
      <c r="CF23" s="538">
        <f t="shared" si="125"/>
        <v>0</v>
      </c>
      <c r="CG23" s="538">
        <f t="shared" si="96"/>
        <v>0</v>
      </c>
      <c r="CH23" s="538">
        <f t="shared" si="97"/>
        <v>0</v>
      </c>
      <c r="CI23" s="104">
        <f t="shared" si="131"/>
        <v>0</v>
      </c>
      <c r="CJ23" s="538">
        <f t="shared" si="126"/>
        <v>0</v>
      </c>
      <c r="CK23" s="538">
        <f t="shared" si="98"/>
        <v>0</v>
      </c>
      <c r="CL23" s="538">
        <f t="shared" si="99"/>
        <v>0</v>
      </c>
      <c r="CM23" s="538">
        <f t="shared" si="100"/>
        <v>0</v>
      </c>
      <c r="CN23" s="538">
        <f t="shared" si="44"/>
        <v>0</v>
      </c>
      <c r="CO23" s="538">
        <f t="shared" si="101"/>
        <v>2.5</v>
      </c>
      <c r="CP23" s="538">
        <f t="shared" si="102"/>
        <v>0</v>
      </c>
      <c r="CQ23" s="538">
        <f t="shared" si="103"/>
        <v>0</v>
      </c>
      <c r="CR23" s="539">
        <f t="shared" si="104"/>
        <v>0</v>
      </c>
      <c r="CS23" s="540">
        <f t="shared" si="45"/>
        <v>0</v>
      </c>
      <c r="CT23" s="540">
        <f t="shared" si="46"/>
        <v>0</v>
      </c>
      <c r="CU23" s="541">
        <f t="shared" si="47"/>
        <v>0</v>
      </c>
      <c r="CV23" s="538">
        <f t="shared" si="48"/>
        <v>0</v>
      </c>
      <c r="CW23" s="538">
        <f t="shared" si="49"/>
        <v>0</v>
      </c>
      <c r="CX23" s="104">
        <f t="shared" si="50"/>
        <v>0</v>
      </c>
      <c r="CY23" s="542">
        <f t="shared" si="127"/>
        <v>0</v>
      </c>
      <c r="CZ23" s="538">
        <f t="shared" si="105"/>
        <v>0</v>
      </c>
      <c r="DC23" s="112" t="s">
        <v>1442</v>
      </c>
      <c r="DD23" s="112" t="b">
        <f t="shared" si="128"/>
        <v>0</v>
      </c>
    </row>
    <row r="24" spans="1:108" s="112" customFormat="1" ht="37.5" x14ac:dyDescent="0.25">
      <c r="A24" s="100" t="str">
        <f>'BOCA DE LOBO'!C22</f>
        <v>BL18-&gt;PV9.1</v>
      </c>
      <c r="B24" s="100" t="str">
        <f>'BOCA DE LOBO'!A22</f>
        <v>PV9.1</v>
      </c>
      <c r="C24" s="100" t="str">
        <f>VLOOKUP(A24,'BOCA DE LOBO'!C:F,3,0)</f>
        <v>PROJETADO</v>
      </c>
      <c r="D24" s="100" t="str">
        <f>VLOOKUP(A24,'BOCA DE LOBO'!C:L,10,0)</f>
        <v>AMPLIADA</v>
      </c>
      <c r="E24" s="100">
        <f t="shared" si="106"/>
        <v>2.5</v>
      </c>
      <c r="F24" s="100">
        <f>VLOOKUP(A24,'BOCA DE LOBO'!C:D,2,0)</f>
        <v>3.15</v>
      </c>
      <c r="G24" s="100">
        <f>VLOOKUP(A24,'BOCA DE LOBO'!C:F,4,0)</f>
        <v>7.86</v>
      </c>
      <c r="H24" s="101">
        <v>400</v>
      </c>
      <c r="I24" s="102">
        <f t="shared" si="54"/>
        <v>2.9550000000000001</v>
      </c>
      <c r="J24" s="102">
        <f t="shared" si="107"/>
        <v>0</v>
      </c>
      <c r="K24" s="103">
        <v>0</v>
      </c>
      <c r="L24" s="104">
        <f t="shared" si="108"/>
        <v>0</v>
      </c>
      <c r="M24" s="104">
        <f t="shared" si="109"/>
        <v>0</v>
      </c>
      <c r="N24" s="104">
        <f t="shared" si="129"/>
        <v>400</v>
      </c>
      <c r="O24" s="104">
        <f t="shared" si="55"/>
        <v>0</v>
      </c>
      <c r="P24" s="144" t="str">
        <f>VLOOKUP(B24,'Planilha Hidráulica'!$AE$10:$AQ$30,13,0)</f>
        <v>ASFALTO</v>
      </c>
      <c r="Q24" s="144" t="s">
        <v>2025</v>
      </c>
      <c r="R24" s="105"/>
      <c r="S24" s="105">
        <f>VLOOKUP(Q24,Quantitativos!P:R,3,0)</f>
        <v>4.4000000000000004</v>
      </c>
      <c r="T24" s="105">
        <f>VLOOKUP(Q24,Quantitativos!P:S,4,0)</f>
        <v>3.5</v>
      </c>
      <c r="U24" s="104">
        <f t="shared" si="56"/>
        <v>0.05</v>
      </c>
      <c r="V24" s="106">
        <f t="shared" si="110"/>
        <v>0</v>
      </c>
      <c r="W24" s="106">
        <f t="shared" si="111"/>
        <v>0</v>
      </c>
      <c r="X24" s="107">
        <f t="shared" si="57"/>
        <v>0</v>
      </c>
      <c r="Y24" s="107">
        <f t="shared" si="58"/>
        <v>0</v>
      </c>
      <c r="Z24" s="107">
        <f t="shared" si="133"/>
        <v>2.9550000000000001</v>
      </c>
      <c r="AA24" s="107">
        <f t="shared" si="112"/>
        <v>0</v>
      </c>
      <c r="AB24" s="108">
        <f t="shared" si="113"/>
        <v>0</v>
      </c>
      <c r="AC24" s="109">
        <f t="shared" si="60"/>
        <v>0</v>
      </c>
      <c r="AD24" s="109">
        <f t="shared" si="61"/>
        <v>0</v>
      </c>
      <c r="AE24" s="109">
        <f t="shared" si="62"/>
        <v>0</v>
      </c>
      <c r="AF24" s="109">
        <f t="shared" si="63"/>
        <v>0</v>
      </c>
      <c r="AG24" s="109">
        <f t="shared" si="64"/>
        <v>0</v>
      </c>
      <c r="AH24" s="109">
        <f t="shared" si="65"/>
        <v>0</v>
      </c>
      <c r="AI24" s="537" t="str">
        <f t="shared" si="66"/>
        <v>NÃO</v>
      </c>
      <c r="AJ24" s="104">
        <f t="shared" si="67"/>
        <v>0</v>
      </c>
      <c r="AK24" s="104">
        <f t="shared" si="68"/>
        <v>0</v>
      </c>
      <c r="AL24" s="104">
        <f t="shared" si="69"/>
        <v>0</v>
      </c>
      <c r="AM24" s="102">
        <f t="shared" si="70"/>
        <v>0</v>
      </c>
      <c r="AN24" s="106">
        <f t="shared" si="71"/>
        <v>0</v>
      </c>
      <c r="AO24" s="104">
        <f t="shared" si="72"/>
        <v>0</v>
      </c>
      <c r="AP24" s="104">
        <f t="shared" si="73"/>
        <v>0</v>
      </c>
      <c r="AQ24" s="104">
        <f t="shared" si="74"/>
        <v>0.7</v>
      </c>
      <c r="AR24" s="104">
        <f t="shared" si="75"/>
        <v>0</v>
      </c>
      <c r="AS24" s="104">
        <f t="shared" si="76"/>
        <v>0</v>
      </c>
      <c r="AT24" s="104">
        <f t="shared" si="77"/>
        <v>0</v>
      </c>
      <c r="AU24" s="104">
        <f t="shared" si="114"/>
        <v>0</v>
      </c>
      <c r="AV24" s="104">
        <f t="shared" si="78"/>
        <v>0</v>
      </c>
      <c r="AW24" s="104">
        <f t="shared" si="79"/>
        <v>0</v>
      </c>
      <c r="AX24" s="104">
        <f t="shared" si="115"/>
        <v>0</v>
      </c>
      <c r="AY24" s="104">
        <f t="shared" si="80"/>
        <v>0</v>
      </c>
      <c r="AZ24" s="104">
        <f t="shared" si="81"/>
        <v>0</v>
      </c>
      <c r="BA24" s="104">
        <f t="shared" si="82"/>
        <v>0</v>
      </c>
      <c r="BB24" s="104">
        <f t="shared" si="83"/>
        <v>0</v>
      </c>
      <c r="BC24" s="104"/>
      <c r="BD24" s="104">
        <f t="shared" si="84"/>
        <v>0</v>
      </c>
      <c r="BE24" s="108">
        <f t="shared" si="85"/>
        <v>2.9550000000000001</v>
      </c>
      <c r="BF24" s="110">
        <f t="shared" si="86"/>
        <v>0</v>
      </c>
      <c r="BG24" s="110">
        <f t="shared" si="87"/>
        <v>0</v>
      </c>
      <c r="BH24" s="105" t="str">
        <f>VLOOKUP(A24,'BOCA DE LOBO'!C:I,7,0)</f>
        <v>BOCA DE LOBO DUPLA EXISTENTE COM BOCA DE LOBO SIMPLES PROJETADA</v>
      </c>
      <c r="BI24" s="104">
        <f t="shared" si="116"/>
        <v>0</v>
      </c>
      <c r="BJ24" s="104">
        <f t="shared" si="117"/>
        <v>0</v>
      </c>
      <c r="BK24" s="104">
        <f t="shared" si="118"/>
        <v>1</v>
      </c>
      <c r="BL24" s="104">
        <f t="shared" si="119"/>
        <v>0</v>
      </c>
      <c r="BM24" s="104">
        <f t="shared" si="120"/>
        <v>0</v>
      </c>
      <c r="BN24" s="104">
        <f t="shared" si="121"/>
        <v>0</v>
      </c>
      <c r="BO24" s="104">
        <f t="shared" si="122"/>
        <v>0</v>
      </c>
      <c r="BP24" s="111"/>
      <c r="BQ24" s="108">
        <f t="shared" si="88"/>
        <v>23.580000000000002</v>
      </c>
      <c r="BR24" s="108">
        <f t="shared" si="89"/>
        <v>22.872600000000002</v>
      </c>
      <c r="BS24" s="108">
        <f t="shared" si="90"/>
        <v>0</v>
      </c>
      <c r="BV24" s="538">
        <f t="shared" si="132"/>
        <v>9.1559999999999988</v>
      </c>
      <c r="BW24" s="538">
        <f t="shared" si="130"/>
        <v>3.6623999999999994</v>
      </c>
      <c r="BX24" s="538">
        <f t="shared" si="40"/>
        <v>1.3923999999999999</v>
      </c>
      <c r="BY24" s="538">
        <f t="shared" si="91"/>
        <v>2.5</v>
      </c>
      <c r="BZ24" s="538">
        <f t="shared" si="92"/>
        <v>2.5</v>
      </c>
      <c r="CA24" s="538">
        <f t="shared" si="123"/>
        <v>0</v>
      </c>
      <c r="CB24" s="538">
        <f t="shared" si="93"/>
        <v>0</v>
      </c>
      <c r="CC24" s="538">
        <f t="shared" si="94"/>
        <v>5.4935999999999989</v>
      </c>
      <c r="CD24" s="538">
        <f t="shared" si="95"/>
        <v>3.6623999999999994</v>
      </c>
      <c r="CE24" s="538">
        <f t="shared" si="124"/>
        <v>0</v>
      </c>
      <c r="CF24" s="538">
        <f t="shared" si="125"/>
        <v>0</v>
      </c>
      <c r="CG24" s="538">
        <f t="shared" si="96"/>
        <v>0</v>
      </c>
      <c r="CH24" s="538">
        <f t="shared" si="97"/>
        <v>0</v>
      </c>
      <c r="CI24" s="104">
        <f t="shared" si="131"/>
        <v>0.252</v>
      </c>
      <c r="CJ24" s="538">
        <f t="shared" si="126"/>
        <v>5.4229999999999992</v>
      </c>
      <c r="CK24" s="538">
        <f t="shared" si="98"/>
        <v>5.4229999999999992</v>
      </c>
      <c r="CL24" s="538">
        <f t="shared" si="99"/>
        <v>0</v>
      </c>
      <c r="CM24" s="538">
        <f t="shared" si="100"/>
        <v>0</v>
      </c>
      <c r="CN24" s="538">
        <f t="shared" si="44"/>
        <v>1.68</v>
      </c>
      <c r="CO24" s="538">
        <f t="shared" si="101"/>
        <v>2.5</v>
      </c>
      <c r="CP24" s="538">
        <f t="shared" si="102"/>
        <v>5.04</v>
      </c>
      <c r="CQ24" s="538">
        <f t="shared" si="103"/>
        <v>3.36</v>
      </c>
      <c r="CR24" s="539">
        <f t="shared" si="104"/>
        <v>1.1000000000000001</v>
      </c>
      <c r="CS24" s="540">
        <f t="shared" si="45"/>
        <v>5.1000000000000004E-2</v>
      </c>
      <c r="CT24" s="540">
        <f t="shared" si="46"/>
        <v>0.15421000000000001</v>
      </c>
      <c r="CU24" s="541">
        <f t="shared" si="47"/>
        <v>6.5</v>
      </c>
      <c r="CV24" s="538">
        <f t="shared" si="48"/>
        <v>0.90203999999999995</v>
      </c>
      <c r="CW24" s="538">
        <f t="shared" si="49"/>
        <v>15.764600000000002</v>
      </c>
      <c r="CX24" s="104">
        <f t="shared" si="50"/>
        <v>1.68</v>
      </c>
      <c r="CY24" s="542">
        <f t="shared" si="127"/>
        <v>0.84</v>
      </c>
      <c r="CZ24" s="538">
        <f t="shared" si="105"/>
        <v>0</v>
      </c>
      <c r="DC24" s="112" t="s">
        <v>1447</v>
      </c>
      <c r="DD24" s="112" t="b">
        <f t="shared" si="128"/>
        <v>0</v>
      </c>
    </row>
    <row r="25" spans="1:108" s="112" customFormat="1" ht="37.5" x14ac:dyDescent="0.25">
      <c r="A25" s="100" t="str">
        <f>'BOCA DE LOBO'!C23</f>
        <v>BL19-&gt;PV9.1</v>
      </c>
      <c r="B25" s="100" t="str">
        <f>'BOCA DE LOBO'!A23</f>
        <v>PV9.1</v>
      </c>
      <c r="C25" s="100" t="str">
        <f>VLOOKUP(A25,'BOCA DE LOBO'!C:F,3,0)</f>
        <v>PROJETADO</v>
      </c>
      <c r="D25" s="100" t="str">
        <f>VLOOKUP(A25,'BOCA DE LOBO'!C:L,10,0)</f>
        <v>AMPLIADA</v>
      </c>
      <c r="E25" s="100">
        <f t="shared" ref="E25:E54" si="134">IF(F25-G25*4%&lt;2.5,F25-G25*4%,2.5)</f>
        <v>2.5</v>
      </c>
      <c r="F25" s="100">
        <f>VLOOKUP(A25,'BOCA DE LOBO'!C:D,2,0)</f>
        <v>3.15</v>
      </c>
      <c r="G25" s="100">
        <f>VLOOKUP(A25,'BOCA DE LOBO'!C:F,4,0)</f>
        <v>6.64</v>
      </c>
      <c r="H25" s="101">
        <v>400</v>
      </c>
      <c r="I25" s="102">
        <f t="shared" ref="I25:I54" si="135">IF(H25=400,((E25+F25)/2)+0.08+U25,IF(H25=500,((E25+F25)/2)+0.1+U25,IF(H25=600,((E25+F25)/2)+0.12+U25,IF(H25=800,((E25+F25)/2)+0.16+U25,IF(H25=1000,((E25+F25)/2)+0.2+U25,IF(H25=1200,((E25+F25)/2)+0.24+U25,IF(H25=1500,((E25+F25)/2)+0.3+U25,IF(H25&gt;1500,((E25+F25)/2)+0.4+U25))))))))</f>
        <v>2.9550000000000001</v>
      </c>
      <c r="J25" s="102">
        <f t="shared" ref="J25:J54" si="136">IF(L25=0,0,IF(I25&gt;=1.25,G25*I25/20,0))</f>
        <v>0</v>
      </c>
      <c r="K25" s="103">
        <v>0</v>
      </c>
      <c r="L25" s="104">
        <f t="shared" ref="L25:L54" si="137">IF(D25&lt;&gt;"PROJETADA",0,IF(H25=400,1,0)+IF(H25=500,1.2,0)+IF(H25=600,1.4,0)+IF(H25=800,1.7,0)+IF(H25=1000,2,0)+IF(H25=1200,2.2,0)+IF(H25=1500,2.6,0)+IF(H25=1650,3,0)+IF(H25=1800,3.2,0)+IF(H25=2000,3.4,0)+IF(H25=2200,3.6,0)+IF(H25=2400,3.8,0)+IF(H25=2600,4,0)+IF(H25=3000,4.4,0))</f>
        <v>0</v>
      </c>
      <c r="M25" s="104">
        <f t="shared" ref="M25:M54" si="138">2*K25*I25+L25</f>
        <v>0</v>
      </c>
      <c r="N25" s="104">
        <f t="shared" ref="N25:N54" si="139">IF(OR(D25="EXISTENTE",D25="AMPLIADA"),400,0)</f>
        <v>400</v>
      </c>
      <c r="O25" s="104">
        <f t="shared" ref="O25:O54" si="140">IF(P25="TERRENO NATURAL",0,M25*G25)</f>
        <v>0</v>
      </c>
      <c r="P25" s="144" t="str">
        <f>VLOOKUP(B25,'Planilha Hidráulica'!$AE$10:$AQ$30,13,0)</f>
        <v>ASFALTO</v>
      </c>
      <c r="Q25" s="144" t="s">
        <v>2025</v>
      </c>
      <c r="R25" s="105"/>
      <c r="S25" s="105">
        <f>VLOOKUP(Q25,Quantitativos!P:R,3,0)</f>
        <v>4.4000000000000004</v>
      </c>
      <c r="T25" s="105">
        <f>VLOOKUP(Q25,Quantitativos!P:S,4,0)</f>
        <v>3.5</v>
      </c>
      <c r="U25" s="104">
        <f t="shared" ref="U25:U54" si="141">IF(H25=400,0.05,0)+IF(H25=500,0.05,0)+IF(H25=600,0.1,0)+IF(H25=800,0.1,0)+IF(H25=1000,0.15,0)+IF(H25=1200,0.15,0)+IF(H25=1500,0.2,0)+IF(H25=1650,0.2,0)+IF(H25=1800,0.2,0)+IF(H25=2000,0.25,0)+IF(H25=2200,0.25,0)+IF(H25=2400,0.25,0)+IF(H25=2600,0.25,0)+IF(H25=3000,0.25,0)</f>
        <v>0.05</v>
      </c>
      <c r="V25" s="106">
        <f t="shared" ref="V25:V54" si="142">IF(L25=0,0,IF("EXISTENTE"=C25,0,IFERROR((PI()*(N25/1000)*(N25/1000)/4)*G25,0)))</f>
        <v>0</v>
      </c>
      <c r="W25" s="106">
        <f t="shared" ref="W25:W54" si="143">IF(O25=0,0,((((K25*I25)*I25)/2)*2+L25*I25)*G25-V25+AO25)</f>
        <v>0</v>
      </c>
      <c r="X25" s="107">
        <f t="shared" ref="X25:X54" si="144">W25-SUM(AC25:AJ25)</f>
        <v>0</v>
      </c>
      <c r="Y25" s="107">
        <f t="shared" ref="Y25:Y54" si="145">IF(R25=1,IF(N25=0,I25+0.4,0.4),0)</f>
        <v>0</v>
      </c>
      <c r="Z25" s="107">
        <f t="shared" ref="Z25:Z54" si="146">IF(Y25&gt;0.5,0,IF(S25&lt;I25,S25,I25))</f>
        <v>2.9550000000000001</v>
      </c>
      <c r="AA25" s="107">
        <f t="shared" ref="AA25:AA54" si="147">I25-Z25</f>
        <v>0</v>
      </c>
      <c r="AB25" s="108">
        <f t="shared" ref="AB25:AB54" si="148">IF(P25="ASFALTO",IF(D25="PROJETADA",O25,IF(D25="EXISTENTE",0,O25/2)),0)</f>
        <v>0</v>
      </c>
      <c r="AC25" s="109">
        <f t="shared" ref="AC25:AC54" si="149">IF(Y25=0,0,IF(Y25=0.4,IF(L25&lt;=1.5,IF(Z25+0.4&gt;=1.5,0,L25*G25*0.4),0),IF(L25&lt;=1.5,IF(Y25&gt;=1.5,M25*G25*1.5,L25*G25*(Y25)),0)+IF(S25&lt;I25+0.4,0,IF(AND(Y25&lt;=1.5,L25&lt;=1.5),-V25,0))))</f>
        <v>0</v>
      </c>
      <c r="AD25" s="109">
        <f t="shared" ref="AD25:AD54" si="150">IF(Y25=0,0,IF(Y25=0.4,IF(L25&lt;=1.5,IF(OR(Z25+0.4&gt;=3,Z25+0.4&lt;1.5),0,L25*G25*0.4),0),IF(IF(L25&lt;=1.5,IF(Y25&gt;=3,M25*G25*1.5,L25*G25*(Y25-1.5)),0)&lt;0,0,IF(L25&lt;=1.5,IF(Y25&gt;=3,M25*G25*1.5,L25*G25*(Y25-1.5)),0))+IF(S25&lt;I25+0.4,0,IF(AND(Y25&lt;=3,L25&lt;=1.5),-V25,0))))</f>
        <v>0</v>
      </c>
      <c r="AE25" s="109">
        <f t="shared" ref="AE25:AE54" si="151">IF(Y25=0,0,IF(Y25=0.4,IF(L25&lt;=1.5,IF(OR(Z25+0.4&gt;=4.5,Z25+0.4&lt;3),0,L25*G25*0.4),0),IF(IF(L25&lt;=1.5,IF(Y25&gt;=4.5,M25*G25*1.5,L25*G25*(Y25-3)),0)&lt;0,0,IF(L25&lt;=1.5,IF(Y25&gt;=4.5,M25*G25*1.5,L25*G25*(Y25-3)),0))+IF(S25&lt;I25+0.4,0,IF(AND(Y25&lt;=4.5,L25&lt;=1.5),-V25,0))))</f>
        <v>0</v>
      </c>
      <c r="AF25" s="109">
        <f t="shared" ref="AF25:AF54" si="152">IF(L25&lt;=1.5,IF(Z25&gt;=1.5,M25*G25*1.5,L25*G25*Z25),0)+IF(S25&lt;I25,0,IF(AND(Z25&lt;=1.5,L25&lt;=1.5),-V25,0))</f>
        <v>0</v>
      </c>
      <c r="AG25" s="109">
        <f t="shared" ref="AG25:AG54" si="153">IF(IF(L25&lt;=1.5,IF(Z25&gt;=3,M25*G25*1.5,L25*G25*(Z25-1.5)),0)&lt;0,0,IF(L25&lt;=1.5,IF(Z25&gt;=3,M25*G25*1.5,L25*G25*(Z25-1.5)),0))+IF(S25&lt;I25,0,IF(AND(Z25&lt;=3,L25&lt;=1.5),-V25,0))</f>
        <v>0</v>
      </c>
      <c r="AH25" s="109">
        <f t="shared" ref="AH25:AH54" si="154">IF(IF(IF(L25&lt;=1.5,IF(Z25&gt;=4.5,M25*G25*1.5,L25*G25*(Z25-3)),0)&lt;0,0,IF(L25&lt;=1.5,IF(Z25&gt;=4.5,M25*G25*1.5,L25*G25*(Z25-3)),0))+IF(S25&lt;I25,0,IF(AND(Z25&lt;=4.5,L25&lt;=1.5),-V25,0))&lt;0,0,IF(IF(L25&lt;=1.5,IF(Z25&gt;=4.5,M25*G25*1.5,L25*G25*(Z25-3)),0)&lt;0,0,IF(L25&lt;=1.5,IF(Z25&gt;=4.5,M25*G25*1.5,L25*G25*(Z25-3)),0))+IF(S25&lt;I25,0,IF(AND(Z25&lt;=4.5,L25&lt;=1.5),-V25,0)))</f>
        <v>0</v>
      </c>
      <c r="AI25" s="537" t="str">
        <f t="shared" ref="AI25:AI54" si="155">IF(I25&gt;S25,"SIM","NÃO")</f>
        <v>NÃO</v>
      </c>
      <c r="AJ25" s="104">
        <f t="shared" ref="AJ25:AJ54" si="156">W25-SUM(AC25:AH25)</f>
        <v>0</v>
      </c>
      <c r="AK25" s="104">
        <f t="shared" ref="AK25:AK54" si="157">IF(I25-T25&lt;0,0,(I25-T25)*G25)/75</f>
        <v>0</v>
      </c>
      <c r="AL25" s="104">
        <f t="shared" ref="AL25:AL54" si="158">IF(L25=0,0,G25*L25*I25-PI()*(H25/1000)*(H25/1000)/4*G25+AO25)</f>
        <v>0</v>
      </c>
      <c r="AM25" s="102">
        <f t="shared" ref="AM25:AM54" si="159">IF(L25&lt;1.5,L25*G25*IF(H25&lt;=500,0.05,IF(H25&lt;=800,0.1,IF(H25&lt;=1200,0.15,IF(H25&gt;=1500,0.2)))),0)</f>
        <v>0</v>
      </c>
      <c r="AN25" s="106">
        <f t="shared" ref="AN25:AN54" si="160">IF(L25&gt;=1.5,L25*G25*IF(H25&lt;=500,0.05,IF(H25&lt;=800,0.1,IF(H25&lt;=1200,0.15,IF(H25&gt;=1500,0.2)))),0)</f>
        <v>0</v>
      </c>
      <c r="AO25" s="104">
        <f t="shared" ref="AO25:AO54" si="161">IF(R25=1,0.4*G25*L25,0)</f>
        <v>0</v>
      </c>
      <c r="AP25" s="104">
        <f t="shared" ref="AP25:AP54" si="162">IF(AO25&lt;SUM(AF25:AH25),0,AO25)</f>
        <v>0</v>
      </c>
      <c r="AQ25" s="104">
        <f t="shared" ref="AQ25:AQ54" si="163">H25/1000+0.3</f>
        <v>0.7</v>
      </c>
      <c r="AR25" s="104">
        <f t="shared" ref="AR25:AR54" si="164">IF(D25&lt;&gt;"PROJETADA",0,AQ25*L25*G25-PI()*(H25/1000*H25/1000)/4*G25)</f>
        <v>0</v>
      </c>
      <c r="AS25" s="104">
        <f t="shared" ref="AS25:AS54" si="165">IF(AR25&lt;SUM(AF25:AH25),0,AR25)</f>
        <v>0</v>
      </c>
      <c r="AT25" s="104">
        <f t="shared" ref="AT25:AT54" si="166">IF(P25="ASFALTO",0.15*G25*L25,0)</f>
        <v>0</v>
      </c>
      <c r="AU25" s="104">
        <f t="shared" ref="AU25:AU54" si="167">AT25</f>
        <v>0</v>
      </c>
      <c r="AV25" s="104">
        <f t="shared" ref="AV25:AV54" si="168">IF(P25="ASFALTO",0.03*G25*L25,0)</f>
        <v>0</v>
      </c>
      <c r="AW25" s="104">
        <f t="shared" ref="AW25:AW54" si="169">AL25-AO25-SUM(AM25:AN25)-AT25-AU25-AR25</f>
        <v>0</v>
      </c>
      <c r="AX25" s="104">
        <f t="shared" ref="AX25:AX54" si="170">SUM(AF25:AH25)-AO25-AT25-AR25</f>
        <v>0</v>
      </c>
      <c r="AY25" s="104">
        <f t="shared" ref="AY25:AY54" si="171">SMALL(AW25:AX25,1)</f>
        <v>0</v>
      </c>
      <c r="AZ25" s="104">
        <f t="shared" ref="AZ25:AZ54" si="172">AW25-AY25</f>
        <v>0</v>
      </c>
      <c r="BA25" s="104">
        <f t="shared" si="82"/>
        <v>0</v>
      </c>
      <c r="BB25" s="104">
        <f t="shared" ref="BB25:BB54" si="173">AZ25-BA25</f>
        <v>0</v>
      </c>
      <c r="BC25" s="104"/>
      <c r="BD25" s="104">
        <f t="shared" ref="BD25:BD54" si="174">IF(AO25&gt;0,4%*(AO25+AT25),0)</f>
        <v>0</v>
      </c>
      <c r="BE25" s="108">
        <f t="shared" ref="BE25:BE54" si="175">IF(H25=400,I25,0)</f>
        <v>2.9550000000000001</v>
      </c>
      <c r="BF25" s="110">
        <f t="shared" ref="BF25:BF54" si="176">IF(BE25&lt;=1.75,G25*IF(D25="PROJETADA",1,0),0)</f>
        <v>0</v>
      </c>
      <c r="BG25" s="110">
        <f t="shared" ref="BG25:BG54" si="177">IF(AND(BE25&lt;=3,BE25&gt;1.75),IF(D25="PROJETADA",1,0)*G25,0)</f>
        <v>0</v>
      </c>
      <c r="BH25" s="105" t="str">
        <f>VLOOKUP(A25,'BOCA DE LOBO'!C:I,7,0)</f>
        <v>BOCA DE LOBO DUPLA EXISTENTE COM BOCA DE LOBO SIMPLES PROJETADA</v>
      </c>
      <c r="BI25" s="104">
        <f t="shared" ref="BI25:BI54" si="178">IF(BH25=$BI$4,1,0)</f>
        <v>0</v>
      </c>
      <c r="BJ25" s="104">
        <f t="shared" ref="BJ25:BJ54" si="179">IF(BH25=$BJ$4,1,0)</f>
        <v>0</v>
      </c>
      <c r="BK25" s="104">
        <f t="shared" ref="BK25:BK54" si="180">IF(BH25=$BK$4,1,0)</f>
        <v>1</v>
      </c>
      <c r="BL25" s="104">
        <f t="shared" ref="BL25:BL54" si="181">IF(BH25=$BL$4,1,0)</f>
        <v>0</v>
      </c>
      <c r="BM25" s="104">
        <f t="shared" ref="BM25:BM54" si="182">IF(BH25=$BM$4,1,0)</f>
        <v>0</v>
      </c>
      <c r="BN25" s="104">
        <f t="shared" ref="BN25:BN54" si="183">IF(BH25=$BN$4,1,0)</f>
        <v>0</v>
      </c>
      <c r="BO25" s="104">
        <f t="shared" ref="BO25:BO54" si="184">IF(BH25=$BO$4,1,0)</f>
        <v>0</v>
      </c>
      <c r="BP25" s="111"/>
      <c r="BQ25" s="108">
        <f t="shared" ref="BQ25:BQ54" si="185">IF(L25&lt;=1.5,IF(I25+IF(R25=1,0.5,0)&lt;1.5,(I25+IF(R25=1,0.5,0))*G25*2,G25*2*1.5),0)</f>
        <v>19.919999999999998</v>
      </c>
      <c r="BR25" s="108">
        <f t="shared" ref="BR25:BR54" si="186">IF(L25&lt;=1.5,IF(AND(I25+IF(R25=1,0.5,0)&lt;3,I25+IF(R25=1,0.5,0)&gt;1.5),(I25+IF(R25=1,0.5,0)-1.5)*G25*2,IF(I25+IF(R25=1,0.5,0)&gt;=3,(G25*2*1.5),0)),0)</f>
        <v>19.322399999999998</v>
      </c>
      <c r="BS25" s="108">
        <f t="shared" ref="BS25:BS54" si="187">IF(L25&lt;=1.5,IF(AND(I25+IF(R25=1,0.5,0)&lt;4.5,I25+IF(R25=1,0.5,0)&gt;3),(I25+IF(R25=1,0.5,0)-3)*G25*2,IF(I25+IF(R25=1,0.5,0)&gt;=4.5,(G25*2*1.5),0)),0)</f>
        <v>0</v>
      </c>
      <c r="BV25" s="538">
        <f t="shared" si="132"/>
        <v>9.1559999999999988</v>
      </c>
      <c r="BW25" s="538">
        <f t="shared" si="130"/>
        <v>3.6623999999999994</v>
      </c>
      <c r="BX25" s="538">
        <f t="shared" si="40"/>
        <v>1.3923999999999999</v>
      </c>
      <c r="BY25" s="538">
        <f t="shared" ref="BY25:BY54" si="188">E25</f>
        <v>2.5</v>
      </c>
      <c r="BZ25" s="538">
        <f t="shared" ref="BZ25:BZ54" si="189">IF(Y25&gt;0.5,0,IF(S25&lt;E25,S25,E25))</f>
        <v>2.5</v>
      </c>
      <c r="CA25" s="538">
        <f t="shared" ref="CA25:CA54" si="190">IF(Y25&gt;0.4,BY25+0.4,Y25)</f>
        <v>0</v>
      </c>
      <c r="CB25" s="538">
        <f t="shared" ref="CB25:CB54" si="191">IF(S25&gt;E25,0,E25-S25)</f>
        <v>0</v>
      </c>
      <c r="CC25" s="538">
        <f t="shared" ref="CC25:CC54" si="192">IF(BZ25&gt;1.5,BW25*1.5,BW25*BZ25)</f>
        <v>5.4935999999999989</v>
      </c>
      <c r="CD25" s="538">
        <f t="shared" ref="CD25:CD54" si="193">IF(BZ25&gt;1.5,BW25*(BZ25-1.5),0)</f>
        <v>3.6623999999999994</v>
      </c>
      <c r="CE25" s="538">
        <f t="shared" ref="CE25:CE54" si="194">IF(CA25=0.4,IF(BZ25+CA25&gt;1.5,0,CA25*BW25),IF(CA25&gt;1.5,BW25*1.5,BW25*CA25))</f>
        <v>0</v>
      </c>
      <c r="CF25" s="538">
        <f t="shared" ref="CF25:CF54" si="195">IF(CA25=0.4,IF(BZ25+CA25&lt;=1.5,0,CA25*BW25),IF(CA25&gt;1.5,BW25*(CA25-1.5),0))</f>
        <v>0</v>
      </c>
      <c r="CG25" s="538">
        <f t="shared" ref="CG25:CG54" si="196">BV25-SUM(CC25:CF25)</f>
        <v>0</v>
      </c>
      <c r="CH25" s="538">
        <f t="shared" ref="CH25:CH54" si="197">SUM(CC25:CG25)-BV25</f>
        <v>0</v>
      </c>
      <c r="CI25" s="104">
        <f t="shared" si="131"/>
        <v>0.252</v>
      </c>
      <c r="CJ25" s="538">
        <f t="shared" ref="CJ25:CJ54" si="198">(BW25-BX25)*(BY25+IF(CA25&gt;=0.4,0.4,0))-CI25</f>
        <v>5.4229999999999992</v>
      </c>
      <c r="CK25" s="538">
        <f t="shared" si="98"/>
        <v>5.4229999999999992</v>
      </c>
      <c r="CL25" s="538">
        <f t="shared" ref="CL25:CL54" si="199">CJ25-CK25</f>
        <v>0</v>
      </c>
      <c r="CM25" s="538">
        <f t="shared" ref="CM25:CM54" si="200">IF(CA25&gt;0,0.5*4%*BW25,0)</f>
        <v>0</v>
      </c>
      <c r="CN25" s="538">
        <f t="shared" si="44"/>
        <v>1.68</v>
      </c>
      <c r="CO25" s="538">
        <f t="shared" ref="CO25:CO54" si="201">IF(CA25&gt;0,BY25+0.5,BY25)</f>
        <v>2.5</v>
      </c>
      <c r="CP25" s="538">
        <f t="shared" ref="CP25:CP54" si="202">IF(CO25&gt;=1.5,CN25*1.5*2,CN25*CO25*2)</f>
        <v>5.04</v>
      </c>
      <c r="CQ25" s="538">
        <f t="shared" ref="CQ25:CQ54" si="203">IF(CO25&lt;=1.5,0,IF(CO25&gt;=3,CN25*1.5*2,CN25*(CO25-1.5)*2))</f>
        <v>3.36</v>
      </c>
      <c r="CR25" s="539">
        <f t="shared" ref="CR25:CR54" si="204">IF(D25="AMPLIADA",0.55*(E25-0.5),0)</f>
        <v>1.1000000000000001</v>
      </c>
      <c r="CS25" s="540">
        <f t="shared" si="45"/>
        <v>5.1000000000000004E-2</v>
      </c>
      <c r="CT25" s="540">
        <f t="shared" si="46"/>
        <v>0.15421000000000001</v>
      </c>
      <c r="CU25" s="541">
        <f t="shared" si="47"/>
        <v>6.5</v>
      </c>
      <c r="CV25" s="538">
        <f t="shared" si="48"/>
        <v>0.90203999999999995</v>
      </c>
      <c r="CW25" s="538">
        <f t="shared" si="49"/>
        <v>15.764600000000002</v>
      </c>
      <c r="CX25" s="104">
        <f t="shared" si="50"/>
        <v>1.68</v>
      </c>
      <c r="CY25" s="542">
        <f t="shared" ref="CY25:CY54" si="205">CX25*0.5</f>
        <v>0.84</v>
      </c>
      <c r="CZ25" s="538">
        <f t="shared" ref="CZ25:CZ54" si="206">IF(AND(C25="EXISTENTE",D25="PROJETADA"),PI()*0.51*0.51/4*0.12,0)</f>
        <v>0</v>
      </c>
      <c r="DC25" s="112" t="s">
        <v>1449</v>
      </c>
      <c r="DD25" s="112" t="b">
        <f t="shared" si="128"/>
        <v>1</v>
      </c>
    </row>
    <row r="26" spans="1:108" s="112" customFormat="1" ht="37.5" x14ac:dyDescent="0.25">
      <c r="A26" s="100" t="str">
        <f>'BOCA DE LOBO'!C24</f>
        <v>BL20-&gt;PV10.1</v>
      </c>
      <c r="B26" s="100" t="str">
        <f>'BOCA DE LOBO'!A24</f>
        <v>PV10.1</v>
      </c>
      <c r="C26" s="100" t="str">
        <f>VLOOKUP(A26,'BOCA DE LOBO'!C:F,3,0)</f>
        <v>PROJETADO</v>
      </c>
      <c r="D26" s="100" t="str">
        <f>VLOOKUP(A26,'BOCA DE LOBO'!C:L,10,0)</f>
        <v>AMPLIADA</v>
      </c>
      <c r="E26" s="100">
        <f t="shared" si="134"/>
        <v>2.5</v>
      </c>
      <c r="F26" s="100">
        <f>VLOOKUP(A26,'BOCA DE LOBO'!C:D,2,0)</f>
        <v>2.8</v>
      </c>
      <c r="G26" s="100">
        <f>VLOOKUP(A26,'BOCA DE LOBO'!C:F,4,0)</f>
        <v>4.66</v>
      </c>
      <c r="H26" s="101">
        <v>400</v>
      </c>
      <c r="I26" s="102">
        <f t="shared" si="135"/>
        <v>2.78</v>
      </c>
      <c r="J26" s="102">
        <f t="shared" si="136"/>
        <v>0</v>
      </c>
      <c r="K26" s="103">
        <v>0</v>
      </c>
      <c r="L26" s="104">
        <f t="shared" si="137"/>
        <v>0</v>
      </c>
      <c r="M26" s="104">
        <f t="shared" si="138"/>
        <v>0</v>
      </c>
      <c r="N26" s="104">
        <f t="shared" si="139"/>
        <v>400</v>
      </c>
      <c r="O26" s="104">
        <f t="shared" si="140"/>
        <v>0</v>
      </c>
      <c r="P26" s="144" t="str">
        <f>VLOOKUP(B26,'Planilha Hidráulica'!$AE$10:$AQ$30,13,0)</f>
        <v>ASFALTO</v>
      </c>
      <c r="Q26" s="144" t="s">
        <v>2025</v>
      </c>
      <c r="R26" s="105"/>
      <c r="S26" s="105">
        <f>VLOOKUP(Q26,Quantitativos!P:R,3,0)</f>
        <v>4.4000000000000004</v>
      </c>
      <c r="T26" s="105">
        <f>VLOOKUP(Q26,Quantitativos!P:S,4,0)</f>
        <v>3.5</v>
      </c>
      <c r="U26" s="104">
        <f t="shared" si="141"/>
        <v>0.05</v>
      </c>
      <c r="V26" s="106">
        <f t="shared" si="142"/>
        <v>0</v>
      </c>
      <c r="W26" s="106">
        <f t="shared" si="143"/>
        <v>0</v>
      </c>
      <c r="X26" s="107">
        <f t="shared" si="144"/>
        <v>0</v>
      </c>
      <c r="Y26" s="107">
        <f t="shared" si="145"/>
        <v>0</v>
      </c>
      <c r="Z26" s="107">
        <f t="shared" si="146"/>
        <v>2.78</v>
      </c>
      <c r="AA26" s="107">
        <f t="shared" si="147"/>
        <v>0</v>
      </c>
      <c r="AB26" s="108">
        <f t="shared" si="148"/>
        <v>0</v>
      </c>
      <c r="AC26" s="109">
        <f t="shared" si="149"/>
        <v>0</v>
      </c>
      <c r="AD26" s="109">
        <f t="shared" si="150"/>
        <v>0</v>
      </c>
      <c r="AE26" s="109">
        <f t="shared" si="151"/>
        <v>0</v>
      </c>
      <c r="AF26" s="109">
        <f t="shared" si="152"/>
        <v>0</v>
      </c>
      <c r="AG26" s="109">
        <f t="shared" si="153"/>
        <v>0</v>
      </c>
      <c r="AH26" s="109">
        <f t="shared" si="154"/>
        <v>0</v>
      </c>
      <c r="AI26" s="537" t="str">
        <f t="shared" si="155"/>
        <v>NÃO</v>
      </c>
      <c r="AJ26" s="104">
        <f t="shared" si="156"/>
        <v>0</v>
      </c>
      <c r="AK26" s="104">
        <f t="shared" si="157"/>
        <v>0</v>
      </c>
      <c r="AL26" s="104">
        <f t="shared" si="158"/>
        <v>0</v>
      </c>
      <c r="AM26" s="102">
        <f t="shared" si="159"/>
        <v>0</v>
      </c>
      <c r="AN26" s="106">
        <f t="shared" si="160"/>
        <v>0</v>
      </c>
      <c r="AO26" s="104">
        <f t="shared" si="161"/>
        <v>0</v>
      </c>
      <c r="AP26" s="104">
        <f t="shared" si="162"/>
        <v>0</v>
      </c>
      <c r="AQ26" s="104">
        <f t="shared" si="163"/>
        <v>0.7</v>
      </c>
      <c r="AR26" s="104">
        <f t="shared" si="164"/>
        <v>0</v>
      </c>
      <c r="AS26" s="104">
        <f t="shared" si="165"/>
        <v>0</v>
      </c>
      <c r="AT26" s="104">
        <f t="shared" si="166"/>
        <v>0</v>
      </c>
      <c r="AU26" s="104">
        <f t="shared" si="167"/>
        <v>0</v>
      </c>
      <c r="AV26" s="104">
        <f t="shared" si="168"/>
        <v>0</v>
      </c>
      <c r="AW26" s="104">
        <f t="shared" si="169"/>
        <v>0</v>
      </c>
      <c r="AX26" s="104">
        <f t="shared" si="170"/>
        <v>0</v>
      </c>
      <c r="AY26" s="104">
        <f t="shared" si="171"/>
        <v>0</v>
      </c>
      <c r="AZ26" s="104">
        <f t="shared" si="172"/>
        <v>0</v>
      </c>
      <c r="BA26" s="104">
        <f t="shared" si="82"/>
        <v>0</v>
      </c>
      <c r="BB26" s="104">
        <f t="shared" si="173"/>
        <v>0</v>
      </c>
      <c r="BC26" s="104"/>
      <c r="BD26" s="104">
        <f t="shared" si="174"/>
        <v>0</v>
      </c>
      <c r="BE26" s="108">
        <f t="shared" si="175"/>
        <v>2.78</v>
      </c>
      <c r="BF26" s="110">
        <f t="shared" si="176"/>
        <v>0</v>
      </c>
      <c r="BG26" s="110">
        <f t="shared" si="177"/>
        <v>0</v>
      </c>
      <c r="BH26" s="105" t="str">
        <f>VLOOKUP(A26,'BOCA DE LOBO'!C:I,7,0)</f>
        <v>BOCA DE LOBO DUPLA EXISTENTE COM BOCA DE LOBO SIMPLES PROJETADA</v>
      </c>
      <c r="BI26" s="104">
        <f t="shared" si="178"/>
        <v>0</v>
      </c>
      <c r="BJ26" s="104">
        <f t="shared" si="179"/>
        <v>0</v>
      </c>
      <c r="BK26" s="104">
        <f t="shared" si="180"/>
        <v>1</v>
      </c>
      <c r="BL26" s="104">
        <f t="shared" si="181"/>
        <v>0</v>
      </c>
      <c r="BM26" s="104">
        <f t="shared" si="182"/>
        <v>0</v>
      </c>
      <c r="BN26" s="104">
        <f t="shared" si="183"/>
        <v>0</v>
      </c>
      <c r="BO26" s="104">
        <f t="shared" si="184"/>
        <v>0</v>
      </c>
      <c r="BP26" s="111"/>
      <c r="BQ26" s="108">
        <f t="shared" si="185"/>
        <v>13.98</v>
      </c>
      <c r="BR26" s="108">
        <f t="shared" si="186"/>
        <v>11.929599999999999</v>
      </c>
      <c r="BS26" s="108">
        <f t="shared" si="187"/>
        <v>0</v>
      </c>
      <c r="BV26" s="538">
        <f t="shared" si="132"/>
        <v>9.1559999999999988</v>
      </c>
      <c r="BW26" s="538">
        <f t="shared" si="130"/>
        <v>3.6623999999999994</v>
      </c>
      <c r="BX26" s="538">
        <f t="shared" si="40"/>
        <v>1.3923999999999999</v>
      </c>
      <c r="BY26" s="538">
        <f t="shared" si="188"/>
        <v>2.5</v>
      </c>
      <c r="BZ26" s="538">
        <f t="shared" si="189"/>
        <v>2.5</v>
      </c>
      <c r="CA26" s="538">
        <f t="shared" si="190"/>
        <v>0</v>
      </c>
      <c r="CB26" s="538">
        <f t="shared" si="191"/>
        <v>0</v>
      </c>
      <c r="CC26" s="538">
        <f t="shared" si="192"/>
        <v>5.4935999999999989</v>
      </c>
      <c r="CD26" s="538">
        <f t="shared" si="193"/>
        <v>3.6623999999999994</v>
      </c>
      <c r="CE26" s="538">
        <f t="shared" si="194"/>
        <v>0</v>
      </c>
      <c r="CF26" s="538">
        <f t="shared" si="195"/>
        <v>0</v>
      </c>
      <c r="CG26" s="538">
        <f t="shared" si="196"/>
        <v>0</v>
      </c>
      <c r="CH26" s="538">
        <f t="shared" si="197"/>
        <v>0</v>
      </c>
      <c r="CI26" s="104">
        <f t="shared" si="131"/>
        <v>0.252</v>
      </c>
      <c r="CJ26" s="538">
        <f t="shared" si="198"/>
        <v>5.4229999999999992</v>
      </c>
      <c r="CK26" s="538">
        <f t="shared" si="98"/>
        <v>5.4229999999999992</v>
      </c>
      <c r="CL26" s="538">
        <f t="shared" si="199"/>
        <v>0</v>
      </c>
      <c r="CM26" s="538">
        <f t="shared" si="200"/>
        <v>0</v>
      </c>
      <c r="CN26" s="538">
        <f t="shared" si="44"/>
        <v>1.68</v>
      </c>
      <c r="CO26" s="538">
        <f t="shared" si="201"/>
        <v>2.5</v>
      </c>
      <c r="CP26" s="538">
        <f t="shared" si="202"/>
        <v>5.04</v>
      </c>
      <c r="CQ26" s="538">
        <f t="shared" si="203"/>
        <v>3.36</v>
      </c>
      <c r="CR26" s="539">
        <f t="shared" si="204"/>
        <v>1.1000000000000001</v>
      </c>
      <c r="CS26" s="540">
        <f t="shared" si="45"/>
        <v>5.1000000000000004E-2</v>
      </c>
      <c r="CT26" s="540">
        <f t="shared" si="46"/>
        <v>0.15421000000000001</v>
      </c>
      <c r="CU26" s="541">
        <f t="shared" si="47"/>
        <v>6.5</v>
      </c>
      <c r="CV26" s="538">
        <f t="shared" si="48"/>
        <v>0.90203999999999995</v>
      </c>
      <c r="CW26" s="538">
        <f t="shared" si="49"/>
        <v>15.764600000000002</v>
      </c>
      <c r="CX26" s="104">
        <f t="shared" si="50"/>
        <v>1.68</v>
      </c>
      <c r="CY26" s="542">
        <f t="shared" si="205"/>
        <v>0.84</v>
      </c>
      <c r="CZ26" s="538">
        <f t="shared" si="206"/>
        <v>0</v>
      </c>
      <c r="DC26" s="112" t="s">
        <v>1449</v>
      </c>
      <c r="DD26" s="112" t="b">
        <f t="shared" si="128"/>
        <v>0</v>
      </c>
    </row>
    <row r="27" spans="1:108" s="112" customFormat="1" ht="37.5" x14ac:dyDescent="0.25">
      <c r="A27" s="100" t="str">
        <f>'BOCA DE LOBO'!C25</f>
        <v>BL21-&gt;PV11.1</v>
      </c>
      <c r="B27" s="100" t="str">
        <f>'BOCA DE LOBO'!A25</f>
        <v>PV11.1</v>
      </c>
      <c r="C27" s="100" t="str">
        <f>VLOOKUP(A27,'BOCA DE LOBO'!C:F,3,0)</f>
        <v>PROJETADO</v>
      </c>
      <c r="D27" s="100" t="str">
        <f>VLOOKUP(A27,'BOCA DE LOBO'!C:L,10,0)</f>
        <v>AMPLIADA</v>
      </c>
      <c r="E27" s="100">
        <f t="shared" si="134"/>
        <v>2.5</v>
      </c>
      <c r="F27" s="100">
        <f>VLOOKUP(A27,'BOCA DE LOBO'!C:D,2,0)</f>
        <v>3</v>
      </c>
      <c r="G27" s="100">
        <f>VLOOKUP(A27,'BOCA DE LOBO'!C:F,4,0)</f>
        <v>6.63</v>
      </c>
      <c r="H27" s="101">
        <v>400</v>
      </c>
      <c r="I27" s="102">
        <f t="shared" si="135"/>
        <v>2.88</v>
      </c>
      <c r="J27" s="102">
        <f t="shared" si="136"/>
        <v>0</v>
      </c>
      <c r="K27" s="103">
        <v>0</v>
      </c>
      <c r="L27" s="104">
        <f t="shared" si="137"/>
        <v>0</v>
      </c>
      <c r="M27" s="104">
        <f t="shared" si="138"/>
        <v>0</v>
      </c>
      <c r="N27" s="104">
        <f t="shared" si="139"/>
        <v>400</v>
      </c>
      <c r="O27" s="104">
        <f t="shared" si="140"/>
        <v>0</v>
      </c>
      <c r="P27" s="144" t="str">
        <f>VLOOKUP(B27,'Planilha Hidráulica'!$AE$10:$AQ$30,13,0)</f>
        <v>ASFALTO</v>
      </c>
      <c r="Q27" s="144" t="s">
        <v>2025</v>
      </c>
      <c r="R27" s="105"/>
      <c r="S27" s="105">
        <f>VLOOKUP(Q27,Quantitativos!P:R,3,0)</f>
        <v>4.4000000000000004</v>
      </c>
      <c r="T27" s="105">
        <f>VLOOKUP(Q27,Quantitativos!P:S,4,0)</f>
        <v>3.5</v>
      </c>
      <c r="U27" s="104">
        <f t="shared" si="141"/>
        <v>0.05</v>
      </c>
      <c r="V27" s="106">
        <f t="shared" si="142"/>
        <v>0</v>
      </c>
      <c r="W27" s="106">
        <f t="shared" si="143"/>
        <v>0</v>
      </c>
      <c r="X27" s="107">
        <f t="shared" si="144"/>
        <v>0</v>
      </c>
      <c r="Y27" s="107">
        <f t="shared" si="145"/>
        <v>0</v>
      </c>
      <c r="Z27" s="107">
        <f t="shared" si="146"/>
        <v>2.88</v>
      </c>
      <c r="AA27" s="107">
        <f t="shared" si="147"/>
        <v>0</v>
      </c>
      <c r="AB27" s="108">
        <f t="shared" si="148"/>
        <v>0</v>
      </c>
      <c r="AC27" s="109">
        <f t="shared" si="149"/>
        <v>0</v>
      </c>
      <c r="AD27" s="109">
        <f t="shared" si="150"/>
        <v>0</v>
      </c>
      <c r="AE27" s="109">
        <f t="shared" si="151"/>
        <v>0</v>
      </c>
      <c r="AF27" s="109">
        <f t="shared" si="152"/>
        <v>0</v>
      </c>
      <c r="AG27" s="109">
        <f t="shared" si="153"/>
        <v>0</v>
      </c>
      <c r="AH27" s="109">
        <f t="shared" si="154"/>
        <v>0</v>
      </c>
      <c r="AI27" s="537" t="str">
        <f t="shared" si="155"/>
        <v>NÃO</v>
      </c>
      <c r="AJ27" s="104">
        <f t="shared" si="156"/>
        <v>0</v>
      </c>
      <c r="AK27" s="104">
        <f t="shared" si="157"/>
        <v>0</v>
      </c>
      <c r="AL27" s="104">
        <f t="shared" si="158"/>
        <v>0</v>
      </c>
      <c r="AM27" s="102">
        <f t="shared" si="159"/>
        <v>0</v>
      </c>
      <c r="AN27" s="106">
        <f t="shared" si="160"/>
        <v>0</v>
      </c>
      <c r="AO27" s="104">
        <f t="shared" si="161"/>
        <v>0</v>
      </c>
      <c r="AP27" s="104">
        <f t="shared" si="162"/>
        <v>0</v>
      </c>
      <c r="AQ27" s="104">
        <f t="shared" si="163"/>
        <v>0.7</v>
      </c>
      <c r="AR27" s="104">
        <f t="shared" si="164"/>
        <v>0</v>
      </c>
      <c r="AS27" s="104">
        <f t="shared" si="165"/>
        <v>0</v>
      </c>
      <c r="AT27" s="104">
        <f t="shared" si="166"/>
        <v>0</v>
      </c>
      <c r="AU27" s="104">
        <f t="shared" si="167"/>
        <v>0</v>
      </c>
      <c r="AV27" s="104">
        <f t="shared" si="168"/>
        <v>0</v>
      </c>
      <c r="AW27" s="104">
        <f t="shared" si="169"/>
        <v>0</v>
      </c>
      <c r="AX27" s="104">
        <f t="shared" si="170"/>
        <v>0</v>
      </c>
      <c r="AY27" s="104">
        <f t="shared" si="171"/>
        <v>0</v>
      </c>
      <c r="AZ27" s="104">
        <f t="shared" si="172"/>
        <v>0</v>
      </c>
      <c r="BA27" s="104">
        <f t="shared" si="82"/>
        <v>0</v>
      </c>
      <c r="BB27" s="104">
        <f t="shared" si="173"/>
        <v>0</v>
      </c>
      <c r="BC27" s="104"/>
      <c r="BD27" s="104">
        <f t="shared" si="174"/>
        <v>0</v>
      </c>
      <c r="BE27" s="108">
        <f t="shared" si="175"/>
        <v>2.88</v>
      </c>
      <c r="BF27" s="110">
        <f t="shared" si="176"/>
        <v>0</v>
      </c>
      <c r="BG27" s="110">
        <f t="shared" si="177"/>
        <v>0</v>
      </c>
      <c r="BH27" s="105" t="str">
        <f>VLOOKUP(A27,'BOCA DE LOBO'!C:I,7,0)</f>
        <v>BOCA DE LOBO DUPLA EXISTENTE COM BOCA DE LOBO SIMPLES PROJETADA</v>
      </c>
      <c r="BI27" s="104">
        <f t="shared" si="178"/>
        <v>0</v>
      </c>
      <c r="BJ27" s="104">
        <f t="shared" si="179"/>
        <v>0</v>
      </c>
      <c r="BK27" s="104">
        <f t="shared" si="180"/>
        <v>1</v>
      </c>
      <c r="BL27" s="104">
        <f t="shared" si="181"/>
        <v>0</v>
      </c>
      <c r="BM27" s="104">
        <f t="shared" si="182"/>
        <v>0</v>
      </c>
      <c r="BN27" s="104">
        <f t="shared" si="183"/>
        <v>0</v>
      </c>
      <c r="BO27" s="104">
        <f t="shared" si="184"/>
        <v>0</v>
      </c>
      <c r="BP27" s="111"/>
      <c r="BQ27" s="108">
        <f t="shared" si="185"/>
        <v>19.89</v>
      </c>
      <c r="BR27" s="108">
        <f t="shared" si="186"/>
        <v>18.2988</v>
      </c>
      <c r="BS27" s="108">
        <f t="shared" si="187"/>
        <v>0</v>
      </c>
      <c r="BV27" s="538">
        <f t="shared" si="132"/>
        <v>9.1559999999999988</v>
      </c>
      <c r="BW27" s="538">
        <f t="shared" si="130"/>
        <v>3.6623999999999994</v>
      </c>
      <c r="BX27" s="538">
        <f t="shared" si="40"/>
        <v>1.3923999999999999</v>
      </c>
      <c r="BY27" s="538">
        <f t="shared" si="188"/>
        <v>2.5</v>
      </c>
      <c r="BZ27" s="538">
        <f t="shared" si="189"/>
        <v>2.5</v>
      </c>
      <c r="CA27" s="538">
        <f t="shared" si="190"/>
        <v>0</v>
      </c>
      <c r="CB27" s="538">
        <f t="shared" si="191"/>
        <v>0</v>
      </c>
      <c r="CC27" s="538">
        <f t="shared" si="192"/>
        <v>5.4935999999999989</v>
      </c>
      <c r="CD27" s="538">
        <f t="shared" si="193"/>
        <v>3.6623999999999994</v>
      </c>
      <c r="CE27" s="538">
        <f t="shared" si="194"/>
        <v>0</v>
      </c>
      <c r="CF27" s="538">
        <f t="shared" si="195"/>
        <v>0</v>
      </c>
      <c r="CG27" s="538">
        <f t="shared" si="196"/>
        <v>0</v>
      </c>
      <c r="CH27" s="538">
        <f t="shared" si="197"/>
        <v>0</v>
      </c>
      <c r="CI27" s="104">
        <f t="shared" si="131"/>
        <v>0.252</v>
      </c>
      <c r="CJ27" s="538">
        <f t="shared" si="198"/>
        <v>5.4229999999999992</v>
      </c>
      <c r="CK27" s="538">
        <f t="shared" si="98"/>
        <v>5.4229999999999992</v>
      </c>
      <c r="CL27" s="538">
        <f t="shared" si="199"/>
        <v>0</v>
      </c>
      <c r="CM27" s="538">
        <f t="shared" si="200"/>
        <v>0</v>
      </c>
      <c r="CN27" s="538">
        <f t="shared" si="44"/>
        <v>1.68</v>
      </c>
      <c r="CO27" s="538">
        <f t="shared" si="201"/>
        <v>2.5</v>
      </c>
      <c r="CP27" s="538">
        <f t="shared" si="202"/>
        <v>5.04</v>
      </c>
      <c r="CQ27" s="538">
        <f t="shared" si="203"/>
        <v>3.36</v>
      </c>
      <c r="CR27" s="539">
        <f t="shared" si="204"/>
        <v>1.1000000000000001</v>
      </c>
      <c r="CS27" s="540">
        <f t="shared" si="45"/>
        <v>5.1000000000000004E-2</v>
      </c>
      <c r="CT27" s="540">
        <f t="shared" si="46"/>
        <v>0.15421000000000001</v>
      </c>
      <c r="CU27" s="541">
        <f t="shared" si="47"/>
        <v>6.5</v>
      </c>
      <c r="CV27" s="538">
        <f t="shared" si="48"/>
        <v>0.90203999999999995</v>
      </c>
      <c r="CW27" s="538">
        <f t="shared" si="49"/>
        <v>15.764600000000002</v>
      </c>
      <c r="CX27" s="104">
        <f t="shared" si="50"/>
        <v>1.68</v>
      </c>
      <c r="CY27" s="542">
        <f t="shared" si="205"/>
        <v>0.84</v>
      </c>
      <c r="CZ27" s="538">
        <f t="shared" si="206"/>
        <v>0</v>
      </c>
      <c r="DC27" s="112" t="s">
        <v>1449</v>
      </c>
      <c r="DD27" s="112" t="b">
        <f t="shared" si="128"/>
        <v>0</v>
      </c>
    </row>
    <row r="28" spans="1:108" s="112" customFormat="1" ht="37.5" x14ac:dyDescent="0.25">
      <c r="A28" s="100" t="str">
        <f>'BOCA DE LOBO'!C26</f>
        <v>BL22-&gt;PV11.1</v>
      </c>
      <c r="B28" s="100" t="str">
        <f>'BOCA DE LOBO'!A26</f>
        <v>PV11.1</v>
      </c>
      <c r="C28" s="100" t="str">
        <f>VLOOKUP(A28,'BOCA DE LOBO'!C:F,3,0)</f>
        <v>PROJETADO</v>
      </c>
      <c r="D28" s="100" t="str">
        <f>VLOOKUP(A28,'BOCA DE LOBO'!C:L,10,0)</f>
        <v>AMPLIADA</v>
      </c>
      <c r="E28" s="100">
        <f t="shared" si="134"/>
        <v>2.5</v>
      </c>
      <c r="F28" s="100">
        <f>VLOOKUP(A28,'BOCA DE LOBO'!C:D,2,0)</f>
        <v>3</v>
      </c>
      <c r="G28" s="100">
        <f>VLOOKUP(A28,'BOCA DE LOBO'!C:F,4,0)</f>
        <v>8.7100000000000009</v>
      </c>
      <c r="H28" s="101">
        <v>400</v>
      </c>
      <c r="I28" s="102">
        <f t="shared" si="135"/>
        <v>2.88</v>
      </c>
      <c r="J28" s="102">
        <f t="shared" si="136"/>
        <v>0</v>
      </c>
      <c r="K28" s="103">
        <v>0</v>
      </c>
      <c r="L28" s="104">
        <f t="shared" si="137"/>
        <v>0</v>
      </c>
      <c r="M28" s="104">
        <f t="shared" si="138"/>
        <v>0</v>
      </c>
      <c r="N28" s="104">
        <f t="shared" si="139"/>
        <v>400</v>
      </c>
      <c r="O28" s="104">
        <f t="shared" si="140"/>
        <v>0</v>
      </c>
      <c r="P28" s="144" t="str">
        <f>VLOOKUP(B28,'Planilha Hidráulica'!$AE$10:$AQ$30,13,0)</f>
        <v>ASFALTO</v>
      </c>
      <c r="Q28" s="144" t="s">
        <v>2025</v>
      </c>
      <c r="R28" s="105"/>
      <c r="S28" s="105">
        <f>VLOOKUP(Q28,Quantitativos!P:R,3,0)</f>
        <v>4.4000000000000004</v>
      </c>
      <c r="T28" s="105">
        <f>VLOOKUP(Q28,Quantitativos!P:S,4,0)</f>
        <v>3.5</v>
      </c>
      <c r="U28" s="104">
        <f t="shared" si="141"/>
        <v>0.05</v>
      </c>
      <c r="V28" s="106">
        <f t="shared" si="142"/>
        <v>0</v>
      </c>
      <c r="W28" s="106">
        <f t="shared" si="143"/>
        <v>0</v>
      </c>
      <c r="X28" s="107">
        <f t="shared" si="144"/>
        <v>0</v>
      </c>
      <c r="Y28" s="107">
        <f t="shared" si="145"/>
        <v>0</v>
      </c>
      <c r="Z28" s="107">
        <f t="shared" si="146"/>
        <v>2.88</v>
      </c>
      <c r="AA28" s="107">
        <f t="shared" si="147"/>
        <v>0</v>
      </c>
      <c r="AB28" s="108">
        <f t="shared" si="148"/>
        <v>0</v>
      </c>
      <c r="AC28" s="109">
        <f t="shared" si="149"/>
        <v>0</v>
      </c>
      <c r="AD28" s="109">
        <f t="shared" si="150"/>
        <v>0</v>
      </c>
      <c r="AE28" s="109">
        <f t="shared" si="151"/>
        <v>0</v>
      </c>
      <c r="AF28" s="109">
        <f t="shared" si="152"/>
        <v>0</v>
      </c>
      <c r="AG28" s="109">
        <f t="shared" si="153"/>
        <v>0</v>
      </c>
      <c r="AH28" s="109">
        <f t="shared" si="154"/>
        <v>0</v>
      </c>
      <c r="AI28" s="537" t="str">
        <f t="shared" si="155"/>
        <v>NÃO</v>
      </c>
      <c r="AJ28" s="104">
        <f t="shared" si="156"/>
        <v>0</v>
      </c>
      <c r="AK28" s="104">
        <f t="shared" si="157"/>
        <v>0</v>
      </c>
      <c r="AL28" s="104">
        <f t="shared" si="158"/>
        <v>0</v>
      </c>
      <c r="AM28" s="102">
        <f t="shared" si="159"/>
        <v>0</v>
      </c>
      <c r="AN28" s="106">
        <f t="shared" si="160"/>
        <v>0</v>
      </c>
      <c r="AO28" s="104">
        <f t="shared" si="161"/>
        <v>0</v>
      </c>
      <c r="AP28" s="104">
        <f t="shared" si="162"/>
        <v>0</v>
      </c>
      <c r="AQ28" s="104">
        <f t="shared" si="163"/>
        <v>0.7</v>
      </c>
      <c r="AR28" s="104">
        <f t="shared" si="164"/>
        <v>0</v>
      </c>
      <c r="AS28" s="104">
        <f t="shared" si="165"/>
        <v>0</v>
      </c>
      <c r="AT28" s="104">
        <f t="shared" si="166"/>
        <v>0</v>
      </c>
      <c r="AU28" s="104">
        <f t="shared" si="167"/>
        <v>0</v>
      </c>
      <c r="AV28" s="104">
        <f t="shared" si="168"/>
        <v>0</v>
      </c>
      <c r="AW28" s="104">
        <f t="shared" si="169"/>
        <v>0</v>
      </c>
      <c r="AX28" s="104">
        <f t="shared" si="170"/>
        <v>0</v>
      </c>
      <c r="AY28" s="104">
        <f t="shared" si="171"/>
        <v>0</v>
      </c>
      <c r="AZ28" s="104">
        <f t="shared" si="172"/>
        <v>0</v>
      </c>
      <c r="BA28" s="104">
        <f t="shared" si="82"/>
        <v>0</v>
      </c>
      <c r="BB28" s="104">
        <f t="shared" si="173"/>
        <v>0</v>
      </c>
      <c r="BC28" s="104"/>
      <c r="BD28" s="104">
        <f t="shared" si="174"/>
        <v>0</v>
      </c>
      <c r="BE28" s="108">
        <f t="shared" si="175"/>
        <v>2.88</v>
      </c>
      <c r="BF28" s="110">
        <f t="shared" si="176"/>
        <v>0</v>
      </c>
      <c r="BG28" s="110">
        <f t="shared" si="177"/>
        <v>0</v>
      </c>
      <c r="BH28" s="105" t="str">
        <f>VLOOKUP(A28,'BOCA DE LOBO'!C:I,7,0)</f>
        <v>BOCA DE LOBO SIMPLES EXISTENTE COM BOCA DE LOBO DUPLA PROJETADA</v>
      </c>
      <c r="BI28" s="104">
        <f t="shared" si="178"/>
        <v>1</v>
      </c>
      <c r="BJ28" s="104">
        <f t="shared" si="179"/>
        <v>0</v>
      </c>
      <c r="BK28" s="104">
        <f t="shared" si="180"/>
        <v>0</v>
      </c>
      <c r="BL28" s="104">
        <f t="shared" si="181"/>
        <v>0</v>
      </c>
      <c r="BM28" s="104">
        <f t="shared" si="182"/>
        <v>0</v>
      </c>
      <c r="BN28" s="104">
        <f t="shared" si="183"/>
        <v>0</v>
      </c>
      <c r="BO28" s="104">
        <f t="shared" si="184"/>
        <v>0</v>
      </c>
      <c r="BP28" s="111"/>
      <c r="BQ28" s="108">
        <f t="shared" si="185"/>
        <v>26.130000000000003</v>
      </c>
      <c r="BR28" s="108">
        <f t="shared" si="186"/>
        <v>24.0396</v>
      </c>
      <c r="BS28" s="108">
        <f t="shared" si="187"/>
        <v>0</v>
      </c>
      <c r="BV28" s="538">
        <f t="shared" si="132"/>
        <v>15.695999999999996</v>
      </c>
      <c r="BW28" s="538">
        <f t="shared" si="130"/>
        <v>6.2783999999999986</v>
      </c>
      <c r="BX28" s="538">
        <f t="shared" si="40"/>
        <v>2.8083999999999998</v>
      </c>
      <c r="BY28" s="538">
        <f t="shared" si="188"/>
        <v>2.5</v>
      </c>
      <c r="BZ28" s="538">
        <f t="shared" si="189"/>
        <v>2.5</v>
      </c>
      <c r="CA28" s="538">
        <f t="shared" si="190"/>
        <v>0</v>
      </c>
      <c r="CB28" s="538">
        <f t="shared" si="191"/>
        <v>0</v>
      </c>
      <c r="CC28" s="538">
        <f t="shared" si="192"/>
        <v>9.4175999999999984</v>
      </c>
      <c r="CD28" s="538">
        <f t="shared" si="193"/>
        <v>6.2783999999999986</v>
      </c>
      <c r="CE28" s="538">
        <f t="shared" si="194"/>
        <v>0</v>
      </c>
      <c r="CF28" s="538">
        <f t="shared" si="195"/>
        <v>0</v>
      </c>
      <c r="CG28" s="538">
        <f t="shared" si="196"/>
        <v>0</v>
      </c>
      <c r="CH28" s="538">
        <f t="shared" si="197"/>
        <v>0</v>
      </c>
      <c r="CI28" s="104">
        <f t="shared" si="131"/>
        <v>0.432</v>
      </c>
      <c r="CJ28" s="538">
        <f t="shared" si="198"/>
        <v>8.2429999999999968</v>
      </c>
      <c r="CK28" s="538">
        <f t="shared" si="98"/>
        <v>8.2429999999999968</v>
      </c>
      <c r="CL28" s="538">
        <f t="shared" si="199"/>
        <v>0</v>
      </c>
      <c r="CM28" s="538">
        <f t="shared" si="200"/>
        <v>0</v>
      </c>
      <c r="CN28" s="538">
        <f t="shared" si="44"/>
        <v>2.88</v>
      </c>
      <c r="CO28" s="538">
        <f t="shared" si="201"/>
        <v>2.5</v>
      </c>
      <c r="CP28" s="538">
        <f t="shared" si="202"/>
        <v>8.64</v>
      </c>
      <c r="CQ28" s="538">
        <f t="shared" si="203"/>
        <v>5.76</v>
      </c>
      <c r="CR28" s="539">
        <f t="shared" si="204"/>
        <v>1.1000000000000001</v>
      </c>
      <c r="CS28" s="540">
        <f t="shared" si="45"/>
        <v>5.1000000000000004E-2</v>
      </c>
      <c r="CT28" s="540">
        <f t="shared" si="46"/>
        <v>0.30127039999999999</v>
      </c>
      <c r="CU28" s="541">
        <f t="shared" si="47"/>
        <v>11.5</v>
      </c>
      <c r="CV28" s="538">
        <f t="shared" si="48"/>
        <v>1.08657</v>
      </c>
      <c r="CW28" s="538">
        <f t="shared" si="49"/>
        <v>15.191200000000002</v>
      </c>
      <c r="CX28" s="104">
        <f t="shared" si="50"/>
        <v>2.88</v>
      </c>
      <c r="CY28" s="542">
        <f t="shared" si="205"/>
        <v>1.44</v>
      </c>
      <c r="CZ28" s="538">
        <f t="shared" si="206"/>
        <v>0</v>
      </c>
      <c r="DC28" s="112" t="s">
        <v>1453</v>
      </c>
      <c r="DD28" s="112" t="b">
        <f t="shared" si="128"/>
        <v>0</v>
      </c>
    </row>
    <row r="29" spans="1:108" s="112" customFormat="1" ht="25" x14ac:dyDescent="0.25">
      <c r="A29" s="100" t="str">
        <f>'BOCA DE LOBO'!C27</f>
        <v>BL23-&gt;PV12.1</v>
      </c>
      <c r="B29" s="100" t="str">
        <f>'BOCA DE LOBO'!A27</f>
        <v>PV12.1</v>
      </c>
      <c r="C29" s="100" t="str">
        <f>VLOOKUP(A29,'BOCA DE LOBO'!C:F,3,0)</f>
        <v>PROJETADO</v>
      </c>
      <c r="D29" s="100" t="str">
        <f>VLOOKUP(A29,'BOCA DE LOBO'!C:L,10,0)</f>
        <v>PROJETADA</v>
      </c>
      <c r="E29" s="100">
        <f t="shared" si="134"/>
        <v>2.5</v>
      </c>
      <c r="F29" s="100">
        <f>VLOOKUP(A29,'BOCA DE LOBO'!C:D,2,0)</f>
        <v>2.91</v>
      </c>
      <c r="G29" s="100">
        <f>VLOOKUP(A29,'BOCA DE LOBO'!C:F,4,0)</f>
        <v>4.79</v>
      </c>
      <c r="H29" s="101">
        <v>400</v>
      </c>
      <c r="I29" s="102">
        <f t="shared" si="135"/>
        <v>2.835</v>
      </c>
      <c r="J29" s="102">
        <f t="shared" si="136"/>
        <v>0.67898249999999993</v>
      </c>
      <c r="K29" s="103">
        <v>0</v>
      </c>
      <c r="L29" s="104">
        <f t="shared" si="137"/>
        <v>1</v>
      </c>
      <c r="M29" s="104">
        <f t="shared" si="138"/>
        <v>1</v>
      </c>
      <c r="N29" s="104">
        <f t="shared" si="139"/>
        <v>0</v>
      </c>
      <c r="O29" s="104">
        <f t="shared" si="140"/>
        <v>4.79</v>
      </c>
      <c r="P29" s="144" t="str">
        <f>VLOOKUP(B29,'Planilha Hidráulica'!$AE$10:$AQ$30,13,0)</f>
        <v>ASFALTO</v>
      </c>
      <c r="Q29" s="144" t="s">
        <v>2025</v>
      </c>
      <c r="R29" s="105"/>
      <c r="S29" s="105">
        <f>VLOOKUP(Q29,Quantitativos!P:R,3,0)</f>
        <v>4.4000000000000004</v>
      </c>
      <c r="T29" s="105">
        <f>VLOOKUP(Q29,Quantitativos!P:S,4,0)</f>
        <v>3.5</v>
      </c>
      <c r="U29" s="104">
        <f t="shared" si="141"/>
        <v>0.05</v>
      </c>
      <c r="V29" s="106">
        <f t="shared" si="142"/>
        <v>0</v>
      </c>
      <c r="W29" s="106">
        <f t="shared" si="143"/>
        <v>13.579649999999999</v>
      </c>
      <c r="X29" s="107">
        <f t="shared" si="144"/>
        <v>0</v>
      </c>
      <c r="Y29" s="107">
        <f t="shared" si="145"/>
        <v>0</v>
      </c>
      <c r="Z29" s="107">
        <f t="shared" si="146"/>
        <v>2.835</v>
      </c>
      <c r="AA29" s="107">
        <f t="shared" si="147"/>
        <v>0</v>
      </c>
      <c r="AB29" s="108">
        <f t="shared" si="148"/>
        <v>4.79</v>
      </c>
      <c r="AC29" s="109">
        <f t="shared" si="149"/>
        <v>0</v>
      </c>
      <c r="AD29" s="109">
        <f t="shared" si="150"/>
        <v>0</v>
      </c>
      <c r="AE29" s="109">
        <f t="shared" si="151"/>
        <v>0</v>
      </c>
      <c r="AF29" s="109">
        <f t="shared" si="152"/>
        <v>7.1850000000000005</v>
      </c>
      <c r="AG29" s="109">
        <f t="shared" si="153"/>
        <v>6.3946499999999995</v>
      </c>
      <c r="AH29" s="109">
        <f t="shared" si="154"/>
        <v>0</v>
      </c>
      <c r="AI29" s="537" t="str">
        <f t="shared" si="155"/>
        <v>NÃO</v>
      </c>
      <c r="AJ29" s="104">
        <f t="shared" si="156"/>
        <v>0</v>
      </c>
      <c r="AK29" s="104">
        <f t="shared" si="157"/>
        <v>0</v>
      </c>
      <c r="AL29" s="104">
        <f t="shared" si="158"/>
        <v>12.977720847572195</v>
      </c>
      <c r="AM29" s="102">
        <f t="shared" si="159"/>
        <v>0.23950000000000002</v>
      </c>
      <c r="AN29" s="106">
        <f t="shared" si="160"/>
        <v>0</v>
      </c>
      <c r="AO29" s="104">
        <f t="shared" si="161"/>
        <v>0</v>
      </c>
      <c r="AP29" s="104">
        <f t="shared" si="162"/>
        <v>0</v>
      </c>
      <c r="AQ29" s="104">
        <f t="shared" si="163"/>
        <v>0.7</v>
      </c>
      <c r="AR29" s="104">
        <f t="shared" si="164"/>
        <v>2.7510708475721954</v>
      </c>
      <c r="AS29" s="104">
        <f t="shared" si="165"/>
        <v>0</v>
      </c>
      <c r="AT29" s="104">
        <f t="shared" si="166"/>
        <v>0.71850000000000003</v>
      </c>
      <c r="AU29" s="104">
        <f t="shared" si="167"/>
        <v>0.71850000000000003</v>
      </c>
      <c r="AV29" s="104">
        <f t="shared" si="168"/>
        <v>0.14369999999999999</v>
      </c>
      <c r="AW29" s="104">
        <f t="shared" si="169"/>
        <v>8.5501499999999986</v>
      </c>
      <c r="AX29" s="104">
        <f t="shared" si="170"/>
        <v>10.110079152427804</v>
      </c>
      <c r="AY29" s="104">
        <f t="shared" si="171"/>
        <v>8.5501499999999986</v>
      </c>
      <c r="AZ29" s="104">
        <f t="shared" si="172"/>
        <v>0</v>
      </c>
      <c r="BA29" s="104">
        <f t="shared" si="82"/>
        <v>0</v>
      </c>
      <c r="BB29" s="104">
        <f t="shared" si="173"/>
        <v>0</v>
      </c>
      <c r="BC29" s="104"/>
      <c r="BD29" s="104">
        <f t="shared" si="174"/>
        <v>0</v>
      </c>
      <c r="BE29" s="108">
        <f t="shared" si="175"/>
        <v>2.835</v>
      </c>
      <c r="BF29" s="110">
        <f t="shared" si="176"/>
        <v>0</v>
      </c>
      <c r="BG29" s="110">
        <f t="shared" si="177"/>
        <v>4.79</v>
      </c>
      <c r="BH29" s="105" t="str">
        <f>VLOOKUP(A29,'BOCA DE LOBO'!C:I,7,0)</f>
        <v>BOCA DE LOBO PROJETADA DUPLA</v>
      </c>
      <c r="BI29" s="104">
        <f t="shared" si="178"/>
        <v>0</v>
      </c>
      <c r="BJ29" s="104">
        <f t="shared" si="179"/>
        <v>0</v>
      </c>
      <c r="BK29" s="104">
        <f t="shared" si="180"/>
        <v>0</v>
      </c>
      <c r="BL29" s="104">
        <f t="shared" si="181"/>
        <v>0</v>
      </c>
      <c r="BM29" s="104">
        <f t="shared" si="182"/>
        <v>0</v>
      </c>
      <c r="BN29" s="104">
        <f t="shared" si="183"/>
        <v>1</v>
      </c>
      <c r="BO29" s="104">
        <f t="shared" si="184"/>
        <v>0</v>
      </c>
      <c r="BP29" s="111"/>
      <c r="BQ29" s="108">
        <f t="shared" si="185"/>
        <v>14.370000000000001</v>
      </c>
      <c r="BR29" s="108">
        <f t="shared" si="186"/>
        <v>12.789299999999999</v>
      </c>
      <c r="BS29" s="108">
        <f t="shared" si="187"/>
        <v>0</v>
      </c>
      <c r="BV29" s="538">
        <f t="shared" si="132"/>
        <v>19.456499999999998</v>
      </c>
      <c r="BW29" s="538">
        <f t="shared" si="130"/>
        <v>7.7825999999999986</v>
      </c>
      <c r="BX29" s="538">
        <f t="shared" si="40"/>
        <v>3.0325999999999995</v>
      </c>
      <c r="BY29" s="538">
        <f t="shared" si="188"/>
        <v>2.5</v>
      </c>
      <c r="BZ29" s="538">
        <f t="shared" si="189"/>
        <v>2.5</v>
      </c>
      <c r="CA29" s="538">
        <f t="shared" si="190"/>
        <v>0</v>
      </c>
      <c r="CB29" s="538">
        <f t="shared" si="191"/>
        <v>0</v>
      </c>
      <c r="CC29" s="538">
        <f t="shared" si="192"/>
        <v>11.673899999999998</v>
      </c>
      <c r="CD29" s="538">
        <f t="shared" si="193"/>
        <v>7.7825999999999986</v>
      </c>
      <c r="CE29" s="538">
        <f t="shared" si="194"/>
        <v>0</v>
      </c>
      <c r="CF29" s="538">
        <f t="shared" si="195"/>
        <v>0</v>
      </c>
      <c r="CG29" s="538">
        <f t="shared" si="196"/>
        <v>0</v>
      </c>
      <c r="CH29" s="538">
        <f t="shared" si="197"/>
        <v>0</v>
      </c>
      <c r="CI29" s="104">
        <f t="shared" si="131"/>
        <v>0.53549999999999998</v>
      </c>
      <c r="CJ29" s="538">
        <f t="shared" si="198"/>
        <v>11.339499999999997</v>
      </c>
      <c r="CK29" s="538">
        <f t="shared" si="98"/>
        <v>11.339499999999997</v>
      </c>
      <c r="CL29" s="538">
        <f t="shared" si="199"/>
        <v>0</v>
      </c>
      <c r="CM29" s="538">
        <f t="shared" si="200"/>
        <v>0</v>
      </c>
      <c r="CN29" s="538">
        <f t="shared" si="44"/>
        <v>3.57</v>
      </c>
      <c r="CO29" s="538">
        <f t="shared" si="201"/>
        <v>2.5</v>
      </c>
      <c r="CP29" s="538">
        <f t="shared" si="202"/>
        <v>10.709999999999999</v>
      </c>
      <c r="CQ29" s="538">
        <f t="shared" si="203"/>
        <v>7.14</v>
      </c>
      <c r="CR29" s="539">
        <f t="shared" si="204"/>
        <v>0</v>
      </c>
      <c r="CS29" s="540">
        <f t="shared" si="45"/>
        <v>0</v>
      </c>
      <c r="CT29" s="540">
        <f t="shared" si="46"/>
        <v>0.33012999999999998</v>
      </c>
      <c r="CU29" s="541">
        <f t="shared" si="47"/>
        <v>13</v>
      </c>
      <c r="CV29" s="538">
        <f t="shared" si="48"/>
        <v>1.43895</v>
      </c>
      <c r="CW29" s="538">
        <f t="shared" si="49"/>
        <v>23.248199999999997</v>
      </c>
      <c r="CX29" s="104">
        <f t="shared" si="50"/>
        <v>3.57</v>
      </c>
      <c r="CY29" s="542">
        <f t="shared" si="205"/>
        <v>1.7849999999999999</v>
      </c>
      <c r="CZ29" s="538">
        <f t="shared" si="206"/>
        <v>0</v>
      </c>
      <c r="DC29" s="112" t="s">
        <v>1455</v>
      </c>
      <c r="DD29" s="112" t="b">
        <f t="shared" si="128"/>
        <v>0</v>
      </c>
    </row>
    <row r="30" spans="1:108" s="112" customFormat="1" ht="25" x14ac:dyDescent="0.25">
      <c r="A30" s="100" t="str">
        <f>'BOCA DE LOBO'!C28</f>
        <v>BL24-&gt;PV13.1</v>
      </c>
      <c r="B30" s="100" t="str">
        <f>'BOCA DE LOBO'!A28</f>
        <v>PV13.1</v>
      </c>
      <c r="C30" s="100" t="str">
        <f>VLOOKUP(A30,'BOCA DE LOBO'!C:F,3,0)</f>
        <v>PROJETADO</v>
      </c>
      <c r="D30" s="100" t="str">
        <f>VLOOKUP(A30,'BOCA DE LOBO'!C:L,10,0)</f>
        <v>PROJETADA</v>
      </c>
      <c r="E30" s="100">
        <f t="shared" si="134"/>
        <v>2.5</v>
      </c>
      <c r="F30" s="100">
        <f>VLOOKUP(A30,'BOCA DE LOBO'!C:D,2,0)</f>
        <v>3.15</v>
      </c>
      <c r="G30" s="100">
        <f>VLOOKUP(A30,'BOCA DE LOBO'!C:F,4,0)</f>
        <v>5.0999999999999996</v>
      </c>
      <c r="H30" s="101">
        <v>400</v>
      </c>
      <c r="I30" s="102">
        <f t="shared" si="135"/>
        <v>2.9550000000000001</v>
      </c>
      <c r="J30" s="102">
        <f t="shared" si="136"/>
        <v>0.753525</v>
      </c>
      <c r="K30" s="103">
        <v>0</v>
      </c>
      <c r="L30" s="104">
        <f t="shared" si="137"/>
        <v>1</v>
      </c>
      <c r="M30" s="104">
        <f t="shared" si="138"/>
        <v>1</v>
      </c>
      <c r="N30" s="104">
        <f t="shared" si="139"/>
        <v>0</v>
      </c>
      <c r="O30" s="104">
        <f t="shared" si="140"/>
        <v>5.0999999999999996</v>
      </c>
      <c r="P30" s="144" t="str">
        <f>VLOOKUP(B30,'Planilha Hidráulica'!$AE$10:$AQ$30,13,0)</f>
        <v>ASFALTO</v>
      </c>
      <c r="Q30" s="144" t="s">
        <v>2027</v>
      </c>
      <c r="R30" s="105"/>
      <c r="S30" s="105">
        <f>VLOOKUP(Q30,Quantitativos!P:R,3,0)</f>
        <v>2.5</v>
      </c>
      <c r="T30" s="105">
        <f>VLOOKUP(Q30,Quantitativos!P:S,4,0)</f>
        <v>1.6</v>
      </c>
      <c r="U30" s="104">
        <f t="shared" si="141"/>
        <v>0.05</v>
      </c>
      <c r="V30" s="106">
        <f t="shared" si="142"/>
        <v>0</v>
      </c>
      <c r="W30" s="106">
        <f t="shared" si="143"/>
        <v>15.070499999999999</v>
      </c>
      <c r="X30" s="107">
        <f t="shared" si="144"/>
        <v>0</v>
      </c>
      <c r="Y30" s="107">
        <f t="shared" si="145"/>
        <v>0</v>
      </c>
      <c r="Z30" s="107">
        <f t="shared" si="146"/>
        <v>2.5</v>
      </c>
      <c r="AA30" s="107">
        <f t="shared" si="147"/>
        <v>0.45500000000000007</v>
      </c>
      <c r="AB30" s="108">
        <f t="shared" si="148"/>
        <v>5.0999999999999996</v>
      </c>
      <c r="AC30" s="109">
        <f t="shared" si="149"/>
        <v>0</v>
      </c>
      <c r="AD30" s="109">
        <f t="shared" si="150"/>
        <v>0</v>
      </c>
      <c r="AE30" s="109">
        <f t="shared" si="151"/>
        <v>0</v>
      </c>
      <c r="AF30" s="109">
        <f t="shared" si="152"/>
        <v>7.6499999999999995</v>
      </c>
      <c r="AG30" s="109">
        <f t="shared" si="153"/>
        <v>5.0999999999999996</v>
      </c>
      <c r="AH30" s="109">
        <f t="shared" si="154"/>
        <v>0</v>
      </c>
      <c r="AI30" s="537" t="str">
        <f t="shared" si="155"/>
        <v>SIM</v>
      </c>
      <c r="AJ30" s="104">
        <f t="shared" si="156"/>
        <v>2.3204999999999991</v>
      </c>
      <c r="AK30" s="104">
        <f t="shared" si="157"/>
        <v>9.214E-2</v>
      </c>
      <c r="AL30" s="104">
        <f t="shared" si="158"/>
        <v>14.429615098667682</v>
      </c>
      <c r="AM30" s="102">
        <f t="shared" si="159"/>
        <v>0.255</v>
      </c>
      <c r="AN30" s="106">
        <f t="shared" si="160"/>
        <v>0</v>
      </c>
      <c r="AO30" s="104">
        <f t="shared" si="161"/>
        <v>0</v>
      </c>
      <c r="AP30" s="104">
        <f t="shared" si="162"/>
        <v>0</v>
      </c>
      <c r="AQ30" s="104">
        <f t="shared" si="163"/>
        <v>0.7</v>
      </c>
      <c r="AR30" s="104">
        <f t="shared" si="164"/>
        <v>2.9291150986676815</v>
      </c>
      <c r="AS30" s="104">
        <f t="shared" si="165"/>
        <v>0</v>
      </c>
      <c r="AT30" s="104">
        <f t="shared" si="166"/>
        <v>0.7649999999999999</v>
      </c>
      <c r="AU30" s="104">
        <f t="shared" si="167"/>
        <v>0.7649999999999999</v>
      </c>
      <c r="AV30" s="104">
        <f t="shared" si="168"/>
        <v>0.153</v>
      </c>
      <c r="AW30" s="104">
        <f t="shared" si="169"/>
        <v>9.7154999999999987</v>
      </c>
      <c r="AX30" s="104">
        <f t="shared" si="170"/>
        <v>9.0558849013323179</v>
      </c>
      <c r="AY30" s="104">
        <f t="shared" si="171"/>
        <v>9.0558849013323179</v>
      </c>
      <c r="AZ30" s="104">
        <f t="shared" si="172"/>
        <v>0.65961509866768075</v>
      </c>
      <c r="BA30" s="104">
        <f t="shared" si="82"/>
        <v>0.17071549874781958</v>
      </c>
      <c r="BB30" s="104">
        <f t="shared" si="173"/>
        <v>0.48889959991986121</v>
      </c>
      <c r="BC30" s="104"/>
      <c r="BD30" s="104">
        <f t="shared" si="174"/>
        <v>0</v>
      </c>
      <c r="BE30" s="108">
        <f t="shared" si="175"/>
        <v>2.9550000000000001</v>
      </c>
      <c r="BF30" s="110">
        <f t="shared" si="176"/>
        <v>0</v>
      </c>
      <c r="BG30" s="110">
        <f t="shared" si="177"/>
        <v>5.0999999999999996</v>
      </c>
      <c r="BH30" s="105" t="str">
        <f>VLOOKUP(A30,'BOCA DE LOBO'!C:I,7,0)</f>
        <v>BOCA DE LOBO PROJETADA DUPLA</v>
      </c>
      <c r="BI30" s="104">
        <f t="shared" si="178"/>
        <v>0</v>
      </c>
      <c r="BJ30" s="104">
        <f t="shared" si="179"/>
        <v>0</v>
      </c>
      <c r="BK30" s="104">
        <f t="shared" si="180"/>
        <v>0</v>
      </c>
      <c r="BL30" s="104">
        <f t="shared" si="181"/>
        <v>0</v>
      </c>
      <c r="BM30" s="104">
        <f t="shared" si="182"/>
        <v>0</v>
      </c>
      <c r="BN30" s="104">
        <f t="shared" si="183"/>
        <v>1</v>
      </c>
      <c r="BO30" s="104">
        <f t="shared" si="184"/>
        <v>0</v>
      </c>
      <c r="BP30" s="111"/>
      <c r="BQ30" s="108">
        <f t="shared" si="185"/>
        <v>15.299999999999999</v>
      </c>
      <c r="BR30" s="108">
        <f t="shared" si="186"/>
        <v>14.840999999999999</v>
      </c>
      <c r="BS30" s="108">
        <f t="shared" si="187"/>
        <v>0</v>
      </c>
      <c r="BV30" s="538">
        <f t="shared" si="132"/>
        <v>19.456499999999998</v>
      </c>
      <c r="BW30" s="538">
        <f t="shared" si="130"/>
        <v>7.7825999999999986</v>
      </c>
      <c r="BX30" s="538">
        <f t="shared" si="40"/>
        <v>3.0325999999999995</v>
      </c>
      <c r="BY30" s="538">
        <f t="shared" si="188"/>
        <v>2.5</v>
      </c>
      <c r="BZ30" s="538">
        <f t="shared" si="189"/>
        <v>2.5</v>
      </c>
      <c r="CA30" s="538">
        <f t="shared" si="190"/>
        <v>0</v>
      </c>
      <c r="CB30" s="538">
        <f t="shared" si="191"/>
        <v>0</v>
      </c>
      <c r="CC30" s="538">
        <f t="shared" si="192"/>
        <v>11.673899999999998</v>
      </c>
      <c r="CD30" s="538">
        <f t="shared" si="193"/>
        <v>7.7825999999999986</v>
      </c>
      <c r="CE30" s="538">
        <f t="shared" si="194"/>
        <v>0</v>
      </c>
      <c r="CF30" s="538">
        <f t="shared" si="195"/>
        <v>0</v>
      </c>
      <c r="CG30" s="538">
        <f t="shared" si="196"/>
        <v>0</v>
      </c>
      <c r="CH30" s="538">
        <f t="shared" si="197"/>
        <v>0</v>
      </c>
      <c r="CI30" s="104">
        <f t="shared" si="131"/>
        <v>0.53549999999999998</v>
      </c>
      <c r="CJ30" s="538">
        <f t="shared" si="198"/>
        <v>11.339499999999997</v>
      </c>
      <c r="CK30" s="538">
        <f t="shared" si="98"/>
        <v>11.339499999999997</v>
      </c>
      <c r="CL30" s="538">
        <f t="shared" si="199"/>
        <v>0</v>
      </c>
      <c r="CM30" s="538">
        <f t="shared" si="200"/>
        <v>0</v>
      </c>
      <c r="CN30" s="538">
        <f t="shared" si="44"/>
        <v>3.57</v>
      </c>
      <c r="CO30" s="538">
        <f t="shared" si="201"/>
        <v>2.5</v>
      </c>
      <c r="CP30" s="538">
        <f t="shared" si="202"/>
        <v>10.709999999999999</v>
      </c>
      <c r="CQ30" s="538">
        <f t="shared" si="203"/>
        <v>7.14</v>
      </c>
      <c r="CR30" s="539">
        <f t="shared" si="204"/>
        <v>0</v>
      </c>
      <c r="CS30" s="540">
        <f t="shared" si="45"/>
        <v>0</v>
      </c>
      <c r="CT30" s="540">
        <f t="shared" si="46"/>
        <v>0.33012999999999998</v>
      </c>
      <c r="CU30" s="541">
        <f t="shared" si="47"/>
        <v>13</v>
      </c>
      <c r="CV30" s="538">
        <f t="shared" si="48"/>
        <v>1.43895</v>
      </c>
      <c r="CW30" s="538">
        <f t="shared" si="49"/>
        <v>23.248199999999997</v>
      </c>
      <c r="CX30" s="104">
        <f t="shared" si="50"/>
        <v>3.57</v>
      </c>
      <c r="CY30" s="542">
        <f t="shared" si="205"/>
        <v>1.7849999999999999</v>
      </c>
      <c r="CZ30" s="538">
        <f t="shared" si="206"/>
        <v>0</v>
      </c>
      <c r="DC30" s="112" t="s">
        <v>1455</v>
      </c>
      <c r="DD30" s="112" t="b">
        <f t="shared" si="128"/>
        <v>0</v>
      </c>
    </row>
    <row r="31" spans="1:108" s="112" customFormat="1" ht="37.5" x14ac:dyDescent="0.25">
      <c r="A31" s="100" t="str">
        <f>'BOCA DE LOBO'!C29</f>
        <v>BL25-&gt;PV14.1</v>
      </c>
      <c r="B31" s="100" t="str">
        <f>'BOCA DE LOBO'!A29</f>
        <v>PV14.1</v>
      </c>
      <c r="C31" s="100" t="str">
        <f>VLOOKUP(A31,'BOCA DE LOBO'!C:F,3,0)</f>
        <v>PROJETADO</v>
      </c>
      <c r="D31" s="100" t="str">
        <f>VLOOKUP(A31,'BOCA DE LOBO'!C:L,10,0)</f>
        <v>AMPLIADA</v>
      </c>
      <c r="E31" s="100">
        <f t="shared" si="134"/>
        <v>2.5</v>
      </c>
      <c r="F31" s="100">
        <f>VLOOKUP(A31,'BOCA DE LOBO'!C:D,2,0)</f>
        <v>4.3</v>
      </c>
      <c r="G31" s="100">
        <f>VLOOKUP(A31,'BOCA DE LOBO'!C:F,4,0)</f>
        <v>5.8</v>
      </c>
      <c r="H31" s="101">
        <v>400</v>
      </c>
      <c r="I31" s="102">
        <f t="shared" si="135"/>
        <v>3.53</v>
      </c>
      <c r="J31" s="102">
        <f t="shared" si="136"/>
        <v>0</v>
      </c>
      <c r="K31" s="103">
        <v>0</v>
      </c>
      <c r="L31" s="104">
        <f t="shared" si="137"/>
        <v>0</v>
      </c>
      <c r="M31" s="104">
        <f t="shared" si="138"/>
        <v>0</v>
      </c>
      <c r="N31" s="104">
        <f t="shared" si="139"/>
        <v>400</v>
      </c>
      <c r="O31" s="104">
        <f t="shared" si="140"/>
        <v>0</v>
      </c>
      <c r="P31" s="144" t="str">
        <f>VLOOKUP(B31,'Planilha Hidráulica'!$AE$10:$AQ$30,13,0)</f>
        <v>ASFALTO</v>
      </c>
      <c r="Q31" s="144" t="s">
        <v>2027</v>
      </c>
      <c r="R31" s="105"/>
      <c r="S31" s="105">
        <f>VLOOKUP(Q31,Quantitativos!P:R,3,0)</f>
        <v>2.5</v>
      </c>
      <c r="T31" s="105">
        <f>VLOOKUP(Q31,Quantitativos!P:S,4,0)</f>
        <v>1.6</v>
      </c>
      <c r="U31" s="104">
        <f t="shared" si="141"/>
        <v>0.05</v>
      </c>
      <c r="V31" s="106">
        <f t="shared" si="142"/>
        <v>0</v>
      </c>
      <c r="W31" s="106">
        <f t="shared" si="143"/>
        <v>0</v>
      </c>
      <c r="X31" s="107">
        <f t="shared" si="144"/>
        <v>0</v>
      </c>
      <c r="Y31" s="107">
        <f t="shared" si="145"/>
        <v>0</v>
      </c>
      <c r="Z31" s="107">
        <f t="shared" si="146"/>
        <v>2.5</v>
      </c>
      <c r="AA31" s="107">
        <f t="shared" si="147"/>
        <v>1.0299999999999998</v>
      </c>
      <c r="AB31" s="108">
        <f t="shared" si="148"/>
        <v>0</v>
      </c>
      <c r="AC31" s="109">
        <f t="shared" si="149"/>
        <v>0</v>
      </c>
      <c r="AD31" s="109">
        <f t="shared" si="150"/>
        <v>0</v>
      </c>
      <c r="AE31" s="109">
        <f t="shared" si="151"/>
        <v>0</v>
      </c>
      <c r="AF31" s="109">
        <f t="shared" si="152"/>
        <v>0</v>
      </c>
      <c r="AG31" s="109">
        <f t="shared" si="153"/>
        <v>0</v>
      </c>
      <c r="AH31" s="109">
        <f t="shared" si="154"/>
        <v>0</v>
      </c>
      <c r="AI31" s="537" t="str">
        <f t="shared" si="155"/>
        <v>SIM</v>
      </c>
      <c r="AJ31" s="104">
        <f t="shared" si="156"/>
        <v>0</v>
      </c>
      <c r="AK31" s="104">
        <f t="shared" si="157"/>
        <v>0.14925333333333329</v>
      </c>
      <c r="AL31" s="104">
        <f t="shared" si="158"/>
        <v>0</v>
      </c>
      <c r="AM31" s="102">
        <f t="shared" si="159"/>
        <v>0</v>
      </c>
      <c r="AN31" s="106">
        <f t="shared" si="160"/>
        <v>0</v>
      </c>
      <c r="AO31" s="104">
        <f t="shared" si="161"/>
        <v>0</v>
      </c>
      <c r="AP31" s="104">
        <f t="shared" si="162"/>
        <v>0</v>
      </c>
      <c r="AQ31" s="104">
        <f t="shared" si="163"/>
        <v>0.7</v>
      </c>
      <c r="AR31" s="104">
        <f t="shared" si="164"/>
        <v>0</v>
      </c>
      <c r="AS31" s="104">
        <f t="shared" si="165"/>
        <v>0</v>
      </c>
      <c r="AT31" s="104">
        <f t="shared" si="166"/>
        <v>0</v>
      </c>
      <c r="AU31" s="104">
        <f t="shared" si="167"/>
        <v>0</v>
      </c>
      <c r="AV31" s="104">
        <f t="shared" si="168"/>
        <v>0</v>
      </c>
      <c r="AW31" s="104">
        <f t="shared" si="169"/>
        <v>0</v>
      </c>
      <c r="AX31" s="104">
        <f t="shared" si="170"/>
        <v>0</v>
      </c>
      <c r="AY31" s="104">
        <f t="shared" si="171"/>
        <v>0</v>
      </c>
      <c r="AZ31" s="104">
        <f t="shared" si="172"/>
        <v>0</v>
      </c>
      <c r="BA31" s="104">
        <f t="shared" si="82"/>
        <v>0</v>
      </c>
      <c r="BB31" s="104">
        <f t="shared" si="173"/>
        <v>0</v>
      </c>
      <c r="BC31" s="104"/>
      <c r="BD31" s="104">
        <f t="shared" si="174"/>
        <v>0</v>
      </c>
      <c r="BE31" s="108">
        <f t="shared" si="175"/>
        <v>3.53</v>
      </c>
      <c r="BF31" s="110">
        <f t="shared" si="176"/>
        <v>0</v>
      </c>
      <c r="BG31" s="110">
        <f t="shared" si="177"/>
        <v>0</v>
      </c>
      <c r="BH31" s="105" t="str">
        <f>VLOOKUP(A31,'BOCA DE LOBO'!C:I,7,0)</f>
        <v>BOCA DE LOBO DUPLA EXISTENTE COM BOCA DE LOBO SIMPLES PROJETADA</v>
      </c>
      <c r="BI31" s="104">
        <f t="shared" si="178"/>
        <v>0</v>
      </c>
      <c r="BJ31" s="104">
        <f t="shared" si="179"/>
        <v>0</v>
      </c>
      <c r="BK31" s="104">
        <f t="shared" si="180"/>
        <v>1</v>
      </c>
      <c r="BL31" s="104">
        <f t="shared" si="181"/>
        <v>0</v>
      </c>
      <c r="BM31" s="104">
        <f t="shared" si="182"/>
        <v>0</v>
      </c>
      <c r="BN31" s="104">
        <f t="shared" si="183"/>
        <v>0</v>
      </c>
      <c r="BO31" s="104">
        <f t="shared" si="184"/>
        <v>0</v>
      </c>
      <c r="BP31" s="111"/>
      <c r="BQ31" s="108">
        <f t="shared" si="185"/>
        <v>17.399999999999999</v>
      </c>
      <c r="BR31" s="108">
        <f t="shared" si="186"/>
        <v>17.399999999999999</v>
      </c>
      <c r="BS31" s="108">
        <f t="shared" si="187"/>
        <v>6.1479999999999979</v>
      </c>
      <c r="BV31" s="538">
        <f t="shared" si="132"/>
        <v>9.1559999999999988</v>
      </c>
      <c r="BW31" s="538">
        <f t="shared" si="130"/>
        <v>3.6623999999999994</v>
      </c>
      <c r="BX31" s="538">
        <f t="shared" si="40"/>
        <v>1.3923999999999999</v>
      </c>
      <c r="BY31" s="538">
        <f t="shared" si="188"/>
        <v>2.5</v>
      </c>
      <c r="BZ31" s="538">
        <f t="shared" si="189"/>
        <v>2.5</v>
      </c>
      <c r="CA31" s="538">
        <f t="shared" si="190"/>
        <v>0</v>
      </c>
      <c r="CB31" s="538">
        <f t="shared" si="191"/>
        <v>0</v>
      </c>
      <c r="CC31" s="538">
        <f t="shared" si="192"/>
        <v>5.4935999999999989</v>
      </c>
      <c r="CD31" s="538">
        <f t="shared" si="193"/>
        <v>3.6623999999999994</v>
      </c>
      <c r="CE31" s="538">
        <f t="shared" si="194"/>
        <v>0</v>
      </c>
      <c r="CF31" s="538">
        <f t="shared" si="195"/>
        <v>0</v>
      </c>
      <c r="CG31" s="538">
        <f t="shared" si="196"/>
        <v>0</v>
      </c>
      <c r="CH31" s="538">
        <f t="shared" si="197"/>
        <v>0</v>
      </c>
      <c r="CI31" s="104">
        <f t="shared" si="131"/>
        <v>0.252</v>
      </c>
      <c r="CJ31" s="538">
        <f t="shared" si="198"/>
        <v>5.4229999999999992</v>
      </c>
      <c r="CK31" s="538">
        <f t="shared" si="98"/>
        <v>5.4229999999999992</v>
      </c>
      <c r="CL31" s="538">
        <f t="shared" si="199"/>
        <v>0</v>
      </c>
      <c r="CM31" s="538">
        <f t="shared" si="200"/>
        <v>0</v>
      </c>
      <c r="CN31" s="538">
        <f t="shared" si="44"/>
        <v>1.68</v>
      </c>
      <c r="CO31" s="538">
        <f t="shared" si="201"/>
        <v>2.5</v>
      </c>
      <c r="CP31" s="538">
        <f t="shared" si="202"/>
        <v>5.04</v>
      </c>
      <c r="CQ31" s="538">
        <f t="shared" si="203"/>
        <v>3.36</v>
      </c>
      <c r="CR31" s="539">
        <f t="shared" si="204"/>
        <v>1.1000000000000001</v>
      </c>
      <c r="CS31" s="540">
        <f t="shared" si="45"/>
        <v>5.1000000000000004E-2</v>
      </c>
      <c r="CT31" s="540">
        <f t="shared" si="46"/>
        <v>0.15421000000000001</v>
      </c>
      <c r="CU31" s="541">
        <f t="shared" si="47"/>
        <v>6.5</v>
      </c>
      <c r="CV31" s="538">
        <f t="shared" si="48"/>
        <v>0.90203999999999995</v>
      </c>
      <c r="CW31" s="538">
        <f t="shared" si="49"/>
        <v>15.764600000000002</v>
      </c>
      <c r="CX31" s="104">
        <f t="shared" si="50"/>
        <v>1.68</v>
      </c>
      <c r="CY31" s="542">
        <f t="shared" si="205"/>
        <v>0.84</v>
      </c>
      <c r="CZ31" s="538">
        <f t="shared" si="206"/>
        <v>0</v>
      </c>
      <c r="DC31" s="112" t="s">
        <v>1458</v>
      </c>
      <c r="DD31" s="112" t="b">
        <f t="shared" si="128"/>
        <v>0</v>
      </c>
    </row>
    <row r="32" spans="1:108" s="112" customFormat="1" ht="25" x14ac:dyDescent="0.25">
      <c r="A32" s="100" t="str">
        <f>'BOCA DE LOBO'!C30</f>
        <v>BL26-&gt;PV14.1</v>
      </c>
      <c r="B32" s="100" t="str">
        <f>'BOCA DE LOBO'!A30</f>
        <v>PV14.1</v>
      </c>
      <c r="C32" s="100" t="str">
        <f>VLOOKUP(A32,'BOCA DE LOBO'!C:F,3,0)</f>
        <v>PROJETADO</v>
      </c>
      <c r="D32" s="100" t="str">
        <f>VLOOKUP(A32,'BOCA DE LOBO'!C:L,10,0)</f>
        <v>PROJETADA</v>
      </c>
      <c r="E32" s="100">
        <f t="shared" si="134"/>
        <v>2.5</v>
      </c>
      <c r="F32" s="100">
        <f>VLOOKUP(A32,'BOCA DE LOBO'!C:D,2,0)</f>
        <v>4.3</v>
      </c>
      <c r="G32" s="100">
        <f>VLOOKUP(A32,'BOCA DE LOBO'!C:F,4,0)</f>
        <v>7.91</v>
      </c>
      <c r="H32" s="101">
        <v>400</v>
      </c>
      <c r="I32" s="102">
        <f t="shared" si="135"/>
        <v>3.53</v>
      </c>
      <c r="J32" s="102">
        <f t="shared" si="136"/>
        <v>1.396115</v>
      </c>
      <c r="K32" s="103">
        <v>0</v>
      </c>
      <c r="L32" s="104">
        <f t="shared" si="137"/>
        <v>1</v>
      </c>
      <c r="M32" s="104">
        <f t="shared" si="138"/>
        <v>1</v>
      </c>
      <c r="N32" s="104">
        <f t="shared" si="139"/>
        <v>0</v>
      </c>
      <c r="O32" s="104">
        <f t="shared" si="140"/>
        <v>7.91</v>
      </c>
      <c r="P32" s="144" t="str">
        <f>VLOOKUP(B32,'Planilha Hidráulica'!$AE$10:$AQ$30,13,0)</f>
        <v>ASFALTO</v>
      </c>
      <c r="Q32" s="144" t="s">
        <v>2027</v>
      </c>
      <c r="R32" s="105"/>
      <c r="S32" s="105">
        <f>VLOOKUP(Q32,Quantitativos!P:R,3,0)</f>
        <v>2.5</v>
      </c>
      <c r="T32" s="105">
        <f>VLOOKUP(Q32,Quantitativos!P:S,4,0)</f>
        <v>1.6</v>
      </c>
      <c r="U32" s="104">
        <f t="shared" si="141"/>
        <v>0.05</v>
      </c>
      <c r="V32" s="106">
        <f t="shared" si="142"/>
        <v>0</v>
      </c>
      <c r="W32" s="106">
        <f t="shared" si="143"/>
        <v>27.9223</v>
      </c>
      <c r="X32" s="107">
        <f t="shared" si="144"/>
        <v>0</v>
      </c>
      <c r="Y32" s="107">
        <f t="shared" si="145"/>
        <v>0</v>
      </c>
      <c r="Z32" s="107">
        <f t="shared" si="146"/>
        <v>2.5</v>
      </c>
      <c r="AA32" s="107">
        <f t="shared" si="147"/>
        <v>1.0299999999999998</v>
      </c>
      <c r="AB32" s="108">
        <f t="shared" si="148"/>
        <v>7.91</v>
      </c>
      <c r="AC32" s="109">
        <f t="shared" si="149"/>
        <v>0</v>
      </c>
      <c r="AD32" s="109">
        <f t="shared" si="150"/>
        <v>0</v>
      </c>
      <c r="AE32" s="109">
        <f t="shared" si="151"/>
        <v>0</v>
      </c>
      <c r="AF32" s="109">
        <f t="shared" si="152"/>
        <v>11.865</v>
      </c>
      <c r="AG32" s="109">
        <f t="shared" si="153"/>
        <v>7.91</v>
      </c>
      <c r="AH32" s="109">
        <f t="shared" si="154"/>
        <v>0</v>
      </c>
      <c r="AI32" s="537" t="str">
        <f t="shared" si="155"/>
        <v>SIM</v>
      </c>
      <c r="AJ32" s="104">
        <f t="shared" si="156"/>
        <v>8.1473000000000013</v>
      </c>
      <c r="AK32" s="104">
        <f t="shared" si="157"/>
        <v>0.20355066666666663</v>
      </c>
      <c r="AL32" s="104">
        <f t="shared" si="158"/>
        <v>26.928300084404189</v>
      </c>
      <c r="AM32" s="102">
        <f t="shared" si="159"/>
        <v>0.39550000000000002</v>
      </c>
      <c r="AN32" s="106">
        <f t="shared" si="160"/>
        <v>0</v>
      </c>
      <c r="AO32" s="104">
        <f t="shared" si="161"/>
        <v>0</v>
      </c>
      <c r="AP32" s="104">
        <f t="shared" si="162"/>
        <v>0</v>
      </c>
      <c r="AQ32" s="104">
        <f t="shared" si="163"/>
        <v>0.7</v>
      </c>
      <c r="AR32" s="104">
        <f t="shared" si="164"/>
        <v>4.5430000844041896</v>
      </c>
      <c r="AS32" s="104">
        <f t="shared" si="165"/>
        <v>0</v>
      </c>
      <c r="AT32" s="104">
        <f t="shared" si="166"/>
        <v>1.1864999999999999</v>
      </c>
      <c r="AU32" s="104">
        <f t="shared" si="167"/>
        <v>1.1864999999999999</v>
      </c>
      <c r="AV32" s="104">
        <f t="shared" si="168"/>
        <v>0.23729999999999998</v>
      </c>
      <c r="AW32" s="104">
        <f t="shared" si="169"/>
        <v>19.616800000000005</v>
      </c>
      <c r="AX32" s="104">
        <f t="shared" si="170"/>
        <v>14.04549991559581</v>
      </c>
      <c r="AY32" s="104">
        <f t="shared" si="171"/>
        <v>14.04549991559581</v>
      </c>
      <c r="AZ32" s="104">
        <f t="shared" si="172"/>
        <v>5.5713000844041947</v>
      </c>
      <c r="BA32" s="104">
        <f t="shared" si="82"/>
        <v>1.441912525204349</v>
      </c>
      <c r="BB32" s="104">
        <f t="shared" si="173"/>
        <v>4.1293875591998459</v>
      </c>
      <c r="BC32" s="104"/>
      <c r="BD32" s="104">
        <f t="shared" si="174"/>
        <v>0</v>
      </c>
      <c r="BE32" s="108">
        <f t="shared" si="175"/>
        <v>3.53</v>
      </c>
      <c r="BF32" s="110">
        <f t="shared" si="176"/>
        <v>0</v>
      </c>
      <c r="BG32" s="110">
        <f t="shared" si="177"/>
        <v>0</v>
      </c>
      <c r="BH32" s="105" t="str">
        <f>VLOOKUP(A32,'BOCA DE LOBO'!C:I,7,0)</f>
        <v>BOCA DE LOBO PROJETADA TRIPLA</v>
      </c>
      <c r="BI32" s="104">
        <f t="shared" si="178"/>
        <v>0</v>
      </c>
      <c r="BJ32" s="104">
        <f t="shared" si="179"/>
        <v>0</v>
      </c>
      <c r="BK32" s="104">
        <f t="shared" si="180"/>
        <v>0</v>
      </c>
      <c r="BL32" s="104">
        <f t="shared" si="181"/>
        <v>0</v>
      </c>
      <c r="BM32" s="104">
        <f t="shared" si="182"/>
        <v>0</v>
      </c>
      <c r="BN32" s="104">
        <f t="shared" si="183"/>
        <v>0</v>
      </c>
      <c r="BO32" s="104">
        <f t="shared" si="184"/>
        <v>1</v>
      </c>
      <c r="BP32" s="111"/>
      <c r="BQ32" s="108">
        <f t="shared" si="185"/>
        <v>23.73</v>
      </c>
      <c r="BR32" s="108">
        <f t="shared" si="186"/>
        <v>23.73</v>
      </c>
      <c r="BS32" s="108">
        <f t="shared" si="187"/>
        <v>8.3845999999999972</v>
      </c>
      <c r="BV32" s="538">
        <f t="shared" si="132"/>
        <v>25.941999999999993</v>
      </c>
      <c r="BW32" s="538">
        <f t="shared" si="130"/>
        <v>10.376799999999998</v>
      </c>
      <c r="BX32" s="538">
        <f t="shared" si="40"/>
        <v>4.4367999999999999</v>
      </c>
      <c r="BY32" s="538">
        <f t="shared" si="188"/>
        <v>2.5</v>
      </c>
      <c r="BZ32" s="538">
        <f t="shared" si="189"/>
        <v>2.5</v>
      </c>
      <c r="CA32" s="538">
        <f t="shared" si="190"/>
        <v>0</v>
      </c>
      <c r="CB32" s="538">
        <f t="shared" si="191"/>
        <v>0</v>
      </c>
      <c r="CC32" s="538">
        <f t="shared" si="192"/>
        <v>15.565199999999997</v>
      </c>
      <c r="CD32" s="538">
        <f t="shared" si="193"/>
        <v>10.376799999999998</v>
      </c>
      <c r="CE32" s="538">
        <f t="shared" si="194"/>
        <v>0</v>
      </c>
      <c r="CF32" s="538">
        <f t="shared" si="195"/>
        <v>0</v>
      </c>
      <c r="CG32" s="538">
        <f t="shared" si="196"/>
        <v>0</v>
      </c>
      <c r="CH32" s="538">
        <f t="shared" si="197"/>
        <v>0</v>
      </c>
      <c r="CI32" s="104">
        <f t="shared" si="131"/>
        <v>0.71399999999999997</v>
      </c>
      <c r="CJ32" s="538">
        <f t="shared" si="198"/>
        <v>14.135999999999994</v>
      </c>
      <c r="CK32" s="538">
        <f t="shared" si="98"/>
        <v>14.135999999999994</v>
      </c>
      <c r="CL32" s="538">
        <f t="shared" si="199"/>
        <v>0</v>
      </c>
      <c r="CM32" s="538">
        <f t="shared" si="200"/>
        <v>0</v>
      </c>
      <c r="CN32" s="538">
        <f t="shared" si="44"/>
        <v>4.76</v>
      </c>
      <c r="CO32" s="538">
        <f t="shared" si="201"/>
        <v>2.5</v>
      </c>
      <c r="CP32" s="538">
        <f t="shared" si="202"/>
        <v>14.28</v>
      </c>
      <c r="CQ32" s="538">
        <f t="shared" si="203"/>
        <v>9.52</v>
      </c>
      <c r="CR32" s="539">
        <f t="shared" si="204"/>
        <v>0</v>
      </c>
      <c r="CS32" s="540">
        <f t="shared" si="45"/>
        <v>0</v>
      </c>
      <c r="CT32" s="540">
        <f t="shared" si="46"/>
        <v>0.45984000000000003</v>
      </c>
      <c r="CU32" s="541">
        <f t="shared" si="47"/>
        <v>18</v>
      </c>
      <c r="CV32" s="538">
        <f t="shared" si="48"/>
        <v>1.9376100000000003</v>
      </c>
      <c r="CW32" s="538">
        <f t="shared" si="49"/>
        <v>29.6218</v>
      </c>
      <c r="CX32" s="104">
        <f t="shared" si="50"/>
        <v>4.76</v>
      </c>
      <c r="CY32" s="542">
        <f t="shared" si="205"/>
        <v>2.38</v>
      </c>
      <c r="CZ32" s="538">
        <f t="shared" si="206"/>
        <v>0</v>
      </c>
      <c r="DC32" s="112" t="s">
        <v>1460</v>
      </c>
      <c r="DD32" s="112" t="b">
        <f t="shared" si="128"/>
        <v>0</v>
      </c>
    </row>
    <row r="33" spans="1:108" s="112" customFormat="1" ht="25" x14ac:dyDescent="0.25">
      <c r="A33" s="100" t="str">
        <f>'BOCA DE LOBO'!C31</f>
        <v>BL27-&gt;PV15.1</v>
      </c>
      <c r="B33" s="100" t="str">
        <f>'BOCA DE LOBO'!A31</f>
        <v>PV15.1</v>
      </c>
      <c r="C33" s="100" t="str">
        <f>VLOOKUP(A33,'BOCA DE LOBO'!C:F,3,0)</f>
        <v>PROJETADO</v>
      </c>
      <c r="D33" s="100" t="str">
        <f>VLOOKUP(A33,'BOCA DE LOBO'!C:L,10,0)</f>
        <v>PROJETADA</v>
      </c>
      <c r="E33" s="100">
        <f t="shared" si="134"/>
        <v>2.5</v>
      </c>
      <c r="F33" s="100">
        <f>VLOOKUP(A33,'BOCA DE LOBO'!C:D,2,0)</f>
        <v>4.3</v>
      </c>
      <c r="G33" s="100">
        <f>VLOOKUP(A33,'BOCA DE LOBO'!C:F,4,0)</f>
        <v>3.98</v>
      </c>
      <c r="H33" s="101">
        <v>400</v>
      </c>
      <c r="I33" s="102">
        <f t="shared" si="135"/>
        <v>3.53</v>
      </c>
      <c r="J33" s="102">
        <f t="shared" si="136"/>
        <v>0.70246999999999993</v>
      </c>
      <c r="K33" s="103">
        <v>0</v>
      </c>
      <c r="L33" s="104">
        <f t="shared" si="137"/>
        <v>1</v>
      </c>
      <c r="M33" s="104">
        <f t="shared" si="138"/>
        <v>1</v>
      </c>
      <c r="N33" s="104">
        <f t="shared" si="139"/>
        <v>0</v>
      </c>
      <c r="O33" s="104">
        <f t="shared" si="140"/>
        <v>3.98</v>
      </c>
      <c r="P33" s="144" t="str">
        <f>VLOOKUP(B33,'Planilha Hidráulica'!$AE$10:$AQ$30,13,0)</f>
        <v>ASFALTO</v>
      </c>
      <c r="Q33" s="144" t="s">
        <v>2027</v>
      </c>
      <c r="R33" s="105">
        <v>1</v>
      </c>
      <c r="S33" s="105">
        <f>VLOOKUP(Q33,Quantitativos!P:R,3,0)</f>
        <v>2.5</v>
      </c>
      <c r="T33" s="105">
        <f>VLOOKUP(Q33,Quantitativos!P:S,4,0)</f>
        <v>1.6</v>
      </c>
      <c r="U33" s="104">
        <f t="shared" si="141"/>
        <v>0.05</v>
      </c>
      <c r="V33" s="106">
        <f t="shared" si="142"/>
        <v>0</v>
      </c>
      <c r="W33" s="106">
        <f t="shared" si="143"/>
        <v>15.641399999999999</v>
      </c>
      <c r="X33" s="107">
        <f t="shared" si="144"/>
        <v>0</v>
      </c>
      <c r="Y33" s="107">
        <f t="shared" si="145"/>
        <v>3.9299999999999997</v>
      </c>
      <c r="Z33" s="107">
        <f t="shared" si="146"/>
        <v>0</v>
      </c>
      <c r="AA33" s="107">
        <f t="shared" si="147"/>
        <v>3.53</v>
      </c>
      <c r="AB33" s="108">
        <f t="shared" si="148"/>
        <v>3.98</v>
      </c>
      <c r="AC33" s="109">
        <f t="shared" si="149"/>
        <v>5.97</v>
      </c>
      <c r="AD33" s="109">
        <f t="shared" si="150"/>
        <v>5.97</v>
      </c>
      <c r="AE33" s="109">
        <f t="shared" si="151"/>
        <v>3.7013999999999987</v>
      </c>
      <c r="AF33" s="109">
        <f t="shared" si="152"/>
        <v>0</v>
      </c>
      <c r="AG33" s="109">
        <f t="shared" si="153"/>
        <v>0</v>
      </c>
      <c r="AH33" s="109">
        <f t="shared" si="154"/>
        <v>0</v>
      </c>
      <c r="AI33" s="537" t="str">
        <f t="shared" si="155"/>
        <v>SIM</v>
      </c>
      <c r="AJ33" s="104">
        <f t="shared" si="156"/>
        <v>0</v>
      </c>
      <c r="AK33" s="104">
        <f t="shared" si="157"/>
        <v>0.10241866666666666</v>
      </c>
      <c r="AL33" s="104">
        <f t="shared" si="158"/>
        <v>15.141258449548504</v>
      </c>
      <c r="AM33" s="102">
        <f t="shared" si="159"/>
        <v>0.19900000000000001</v>
      </c>
      <c r="AN33" s="106">
        <f t="shared" si="160"/>
        <v>0</v>
      </c>
      <c r="AO33" s="104">
        <f t="shared" si="161"/>
        <v>1.5920000000000001</v>
      </c>
      <c r="AP33" s="104">
        <f t="shared" si="162"/>
        <v>1.5920000000000001</v>
      </c>
      <c r="AQ33" s="104">
        <f t="shared" si="163"/>
        <v>0.7</v>
      </c>
      <c r="AR33" s="104">
        <f t="shared" si="164"/>
        <v>2.2858584495485048</v>
      </c>
      <c r="AS33" s="104">
        <f t="shared" si="165"/>
        <v>2.2858584495485048</v>
      </c>
      <c r="AT33" s="104">
        <f t="shared" si="166"/>
        <v>0.59699999999999998</v>
      </c>
      <c r="AU33" s="104">
        <f t="shared" si="167"/>
        <v>0.59699999999999998</v>
      </c>
      <c r="AV33" s="104">
        <f t="shared" si="168"/>
        <v>0.11939999999999999</v>
      </c>
      <c r="AW33" s="104">
        <f t="shared" si="169"/>
        <v>9.8704000000000001</v>
      </c>
      <c r="AX33" s="104">
        <f t="shared" si="170"/>
        <v>-4.4748584495485044</v>
      </c>
      <c r="AY33" s="104">
        <f t="shared" si="171"/>
        <v>-4.4748584495485044</v>
      </c>
      <c r="AZ33" s="104">
        <f t="shared" si="172"/>
        <v>14.345258449548504</v>
      </c>
      <c r="BA33" s="104">
        <f t="shared" si="82"/>
        <v>3.7127075408485308</v>
      </c>
      <c r="BB33" s="104">
        <f t="shared" si="173"/>
        <v>10.632550908699974</v>
      </c>
      <c r="BC33" s="104"/>
      <c r="BD33" s="104">
        <f t="shared" si="174"/>
        <v>8.7559999999999999E-2</v>
      </c>
      <c r="BE33" s="108">
        <f t="shared" si="175"/>
        <v>3.53</v>
      </c>
      <c r="BF33" s="110">
        <f t="shared" si="176"/>
        <v>0</v>
      </c>
      <c r="BG33" s="110">
        <f t="shared" si="177"/>
        <v>0</v>
      </c>
      <c r="BH33" s="105" t="str">
        <f>VLOOKUP(A33,'BOCA DE LOBO'!C:I,7,0)</f>
        <v>BOCA DE LOBO PROJETADA DUPLA</v>
      </c>
      <c r="BI33" s="104">
        <f t="shared" si="178"/>
        <v>0</v>
      </c>
      <c r="BJ33" s="104">
        <f t="shared" si="179"/>
        <v>0</v>
      </c>
      <c r="BK33" s="104">
        <f t="shared" si="180"/>
        <v>0</v>
      </c>
      <c r="BL33" s="104">
        <f t="shared" si="181"/>
        <v>0</v>
      </c>
      <c r="BM33" s="104">
        <f t="shared" si="182"/>
        <v>0</v>
      </c>
      <c r="BN33" s="104">
        <f t="shared" si="183"/>
        <v>1</v>
      </c>
      <c r="BO33" s="104">
        <f t="shared" si="184"/>
        <v>0</v>
      </c>
      <c r="BP33" s="111"/>
      <c r="BQ33" s="108">
        <f t="shared" si="185"/>
        <v>11.94</v>
      </c>
      <c r="BR33" s="108">
        <f t="shared" si="186"/>
        <v>11.94</v>
      </c>
      <c r="BS33" s="108">
        <f t="shared" si="187"/>
        <v>8.198799999999995</v>
      </c>
      <c r="BV33" s="538">
        <f t="shared" si="132"/>
        <v>23.347799999999996</v>
      </c>
      <c r="BW33" s="538">
        <f t="shared" si="130"/>
        <v>7.7825999999999986</v>
      </c>
      <c r="BX33" s="538">
        <f t="shared" si="40"/>
        <v>3.0325999999999995</v>
      </c>
      <c r="BY33" s="538">
        <f t="shared" si="188"/>
        <v>2.5</v>
      </c>
      <c r="BZ33" s="538">
        <f t="shared" si="189"/>
        <v>0</v>
      </c>
      <c r="CA33" s="538">
        <f t="shared" si="190"/>
        <v>2.9</v>
      </c>
      <c r="CB33" s="538">
        <f t="shared" si="191"/>
        <v>0</v>
      </c>
      <c r="CC33" s="538">
        <f t="shared" si="192"/>
        <v>0</v>
      </c>
      <c r="CD33" s="538">
        <f t="shared" si="193"/>
        <v>0</v>
      </c>
      <c r="CE33" s="538">
        <f t="shared" si="194"/>
        <v>11.673899999999998</v>
      </c>
      <c r="CF33" s="538">
        <f t="shared" si="195"/>
        <v>10.895639999999997</v>
      </c>
      <c r="CG33" s="538">
        <f t="shared" si="196"/>
        <v>0.77825999999999951</v>
      </c>
      <c r="CH33" s="538">
        <f t="shared" si="197"/>
        <v>0</v>
      </c>
      <c r="CI33" s="104">
        <f t="shared" si="131"/>
        <v>0.53549999999999998</v>
      </c>
      <c r="CJ33" s="538">
        <f t="shared" si="198"/>
        <v>13.239499999999996</v>
      </c>
      <c r="CK33" s="538">
        <f t="shared" si="98"/>
        <v>13.239499999999996</v>
      </c>
      <c r="CL33" s="538">
        <f t="shared" si="199"/>
        <v>0</v>
      </c>
      <c r="CM33" s="538">
        <f t="shared" si="200"/>
        <v>0.15565199999999998</v>
      </c>
      <c r="CN33" s="538">
        <f t="shared" si="44"/>
        <v>3.57</v>
      </c>
      <c r="CO33" s="538">
        <f t="shared" si="201"/>
        <v>3</v>
      </c>
      <c r="CP33" s="538">
        <f t="shared" si="202"/>
        <v>10.709999999999999</v>
      </c>
      <c r="CQ33" s="538">
        <f t="shared" si="203"/>
        <v>10.709999999999999</v>
      </c>
      <c r="CR33" s="539">
        <f t="shared" si="204"/>
        <v>0</v>
      </c>
      <c r="CS33" s="540">
        <f t="shared" si="45"/>
        <v>0</v>
      </c>
      <c r="CT33" s="540">
        <f t="shared" si="46"/>
        <v>0.33012999999999998</v>
      </c>
      <c r="CU33" s="541">
        <f t="shared" si="47"/>
        <v>13</v>
      </c>
      <c r="CV33" s="538">
        <f t="shared" si="48"/>
        <v>1.43895</v>
      </c>
      <c r="CW33" s="538">
        <f t="shared" si="49"/>
        <v>23.248199999999997</v>
      </c>
      <c r="CX33" s="104">
        <f t="shared" si="50"/>
        <v>3.57</v>
      </c>
      <c r="CY33" s="542">
        <f t="shared" si="205"/>
        <v>1.7849999999999999</v>
      </c>
      <c r="CZ33" s="538">
        <f t="shared" si="206"/>
        <v>0</v>
      </c>
      <c r="DC33" s="112" t="s">
        <v>1462</v>
      </c>
      <c r="DD33" s="112" t="b">
        <f t="shared" si="128"/>
        <v>0</v>
      </c>
    </row>
    <row r="34" spans="1:108" s="112" customFormat="1" ht="37.5" x14ac:dyDescent="0.25">
      <c r="A34" s="100" t="str">
        <f>'BOCA DE LOBO'!C32</f>
        <v>BL28-&gt;PV16.1</v>
      </c>
      <c r="B34" s="100" t="str">
        <f>'BOCA DE LOBO'!A32</f>
        <v>PV16.1</v>
      </c>
      <c r="C34" s="100" t="str">
        <f>VLOOKUP(A34,'BOCA DE LOBO'!C:F,3,0)</f>
        <v>PROJETADO</v>
      </c>
      <c r="D34" s="100" t="str">
        <f>VLOOKUP(A34,'BOCA DE LOBO'!C:L,10,0)</f>
        <v>AMPLIADA</v>
      </c>
      <c r="E34" s="100">
        <f t="shared" si="134"/>
        <v>2.5</v>
      </c>
      <c r="F34" s="100">
        <f>VLOOKUP(A34,'BOCA DE LOBO'!C:D,2,0)</f>
        <v>4.0999999999999996</v>
      </c>
      <c r="G34" s="100">
        <f>VLOOKUP(A34,'BOCA DE LOBO'!C:F,4,0)</f>
        <v>22.88</v>
      </c>
      <c r="H34" s="101">
        <v>400</v>
      </c>
      <c r="I34" s="102">
        <f t="shared" si="135"/>
        <v>3.4299999999999997</v>
      </c>
      <c r="J34" s="102">
        <f t="shared" si="136"/>
        <v>0</v>
      </c>
      <c r="K34" s="103">
        <v>0</v>
      </c>
      <c r="L34" s="104">
        <f t="shared" si="137"/>
        <v>0</v>
      </c>
      <c r="M34" s="104">
        <f t="shared" si="138"/>
        <v>0</v>
      </c>
      <c r="N34" s="104">
        <f t="shared" si="139"/>
        <v>400</v>
      </c>
      <c r="O34" s="104">
        <f t="shared" si="140"/>
        <v>0</v>
      </c>
      <c r="P34" s="144" t="str">
        <f>VLOOKUP(B34,'Planilha Hidráulica'!$AE$10:$AQ$30,13,0)</f>
        <v>ASFALTO</v>
      </c>
      <c r="Q34" s="144" t="s">
        <v>2029</v>
      </c>
      <c r="R34" s="105">
        <v>1</v>
      </c>
      <c r="S34" s="105">
        <f>VLOOKUP(Q34,Quantitativos!P:R,3,0)</f>
        <v>11.84</v>
      </c>
      <c r="T34" s="105">
        <f>VLOOKUP(Q34,Quantitativos!P:S,4,0)</f>
        <v>1.7</v>
      </c>
      <c r="U34" s="104">
        <f t="shared" si="141"/>
        <v>0.05</v>
      </c>
      <c r="V34" s="106">
        <f t="shared" si="142"/>
        <v>0</v>
      </c>
      <c r="W34" s="106">
        <f t="shared" si="143"/>
        <v>0</v>
      </c>
      <c r="X34" s="107">
        <f t="shared" si="144"/>
        <v>0</v>
      </c>
      <c r="Y34" s="107">
        <f t="shared" si="145"/>
        <v>0.4</v>
      </c>
      <c r="Z34" s="107">
        <f t="shared" si="146"/>
        <v>3.4299999999999997</v>
      </c>
      <c r="AA34" s="107">
        <f t="shared" si="147"/>
        <v>0</v>
      </c>
      <c r="AB34" s="108">
        <f t="shared" si="148"/>
        <v>0</v>
      </c>
      <c r="AC34" s="109">
        <f t="shared" si="149"/>
        <v>0</v>
      </c>
      <c r="AD34" s="109">
        <f t="shared" si="150"/>
        <v>0</v>
      </c>
      <c r="AE34" s="109">
        <f t="shared" si="151"/>
        <v>0</v>
      </c>
      <c r="AF34" s="109">
        <f t="shared" si="152"/>
        <v>0</v>
      </c>
      <c r="AG34" s="109">
        <f t="shared" si="153"/>
        <v>0</v>
      </c>
      <c r="AH34" s="109">
        <f t="shared" si="154"/>
        <v>0</v>
      </c>
      <c r="AI34" s="537" t="str">
        <f t="shared" si="155"/>
        <v>NÃO</v>
      </c>
      <c r="AJ34" s="104">
        <f t="shared" si="156"/>
        <v>0</v>
      </c>
      <c r="AK34" s="104">
        <f t="shared" si="157"/>
        <v>0.5277653333333332</v>
      </c>
      <c r="AL34" s="104">
        <f t="shared" si="158"/>
        <v>0</v>
      </c>
      <c r="AM34" s="102">
        <f t="shared" si="159"/>
        <v>0</v>
      </c>
      <c r="AN34" s="106">
        <f t="shared" si="160"/>
        <v>0</v>
      </c>
      <c r="AO34" s="104">
        <f t="shared" si="161"/>
        <v>0</v>
      </c>
      <c r="AP34" s="104">
        <f t="shared" si="162"/>
        <v>0</v>
      </c>
      <c r="AQ34" s="104">
        <f t="shared" si="163"/>
        <v>0.7</v>
      </c>
      <c r="AR34" s="104">
        <f t="shared" si="164"/>
        <v>0</v>
      </c>
      <c r="AS34" s="104">
        <f t="shared" si="165"/>
        <v>0</v>
      </c>
      <c r="AT34" s="104">
        <f t="shared" si="166"/>
        <v>0</v>
      </c>
      <c r="AU34" s="104">
        <f t="shared" si="167"/>
        <v>0</v>
      </c>
      <c r="AV34" s="104">
        <f t="shared" si="168"/>
        <v>0</v>
      </c>
      <c r="AW34" s="104">
        <f t="shared" si="169"/>
        <v>0</v>
      </c>
      <c r="AX34" s="104">
        <f t="shared" si="170"/>
        <v>0</v>
      </c>
      <c r="AY34" s="104">
        <f t="shared" si="171"/>
        <v>0</v>
      </c>
      <c r="AZ34" s="104">
        <f t="shared" si="172"/>
        <v>0</v>
      </c>
      <c r="BA34" s="104">
        <f t="shared" si="82"/>
        <v>0</v>
      </c>
      <c r="BB34" s="104">
        <f t="shared" si="173"/>
        <v>0</v>
      </c>
      <c r="BC34" s="104"/>
      <c r="BD34" s="104">
        <f t="shared" si="174"/>
        <v>0</v>
      </c>
      <c r="BE34" s="108">
        <f t="shared" si="175"/>
        <v>3.4299999999999997</v>
      </c>
      <c r="BF34" s="110">
        <f t="shared" si="176"/>
        <v>0</v>
      </c>
      <c r="BG34" s="110">
        <f t="shared" si="177"/>
        <v>0</v>
      </c>
      <c r="BH34" s="105" t="str">
        <f>VLOOKUP(A34,'BOCA DE LOBO'!C:I,7,0)</f>
        <v>BOCA DE LOBO SIMPLES EXISTENTE COM BOCA DE LOBO SIMPLES PROJETADA</v>
      </c>
      <c r="BI34" s="104">
        <f t="shared" si="178"/>
        <v>0</v>
      </c>
      <c r="BJ34" s="104">
        <f t="shared" si="179"/>
        <v>1</v>
      </c>
      <c r="BK34" s="104">
        <f t="shared" si="180"/>
        <v>0</v>
      </c>
      <c r="BL34" s="104">
        <f t="shared" si="181"/>
        <v>0</v>
      </c>
      <c r="BM34" s="104">
        <f t="shared" si="182"/>
        <v>0</v>
      </c>
      <c r="BN34" s="104">
        <f t="shared" si="183"/>
        <v>0</v>
      </c>
      <c r="BO34" s="104">
        <f t="shared" si="184"/>
        <v>0</v>
      </c>
      <c r="BP34" s="111"/>
      <c r="BQ34" s="108">
        <f t="shared" si="185"/>
        <v>68.64</v>
      </c>
      <c r="BR34" s="108">
        <f t="shared" si="186"/>
        <v>68.64</v>
      </c>
      <c r="BS34" s="108">
        <f t="shared" si="187"/>
        <v>42.556799999999988</v>
      </c>
      <c r="BV34" s="538">
        <f t="shared" si="132"/>
        <v>10.987199999999998</v>
      </c>
      <c r="BW34" s="538">
        <f t="shared" si="130"/>
        <v>3.6623999999999994</v>
      </c>
      <c r="BX34" s="538">
        <f t="shared" si="40"/>
        <v>1.3923999999999999</v>
      </c>
      <c r="BY34" s="538">
        <f t="shared" si="188"/>
        <v>2.5</v>
      </c>
      <c r="BZ34" s="538">
        <f t="shared" si="189"/>
        <v>2.5</v>
      </c>
      <c r="CA34" s="538">
        <f t="shared" si="190"/>
        <v>0.4</v>
      </c>
      <c r="CB34" s="538">
        <f t="shared" si="191"/>
        <v>0</v>
      </c>
      <c r="CC34" s="538">
        <f t="shared" si="192"/>
        <v>5.4935999999999989</v>
      </c>
      <c r="CD34" s="538">
        <f t="shared" si="193"/>
        <v>3.6623999999999994</v>
      </c>
      <c r="CE34" s="538">
        <f t="shared" si="194"/>
        <v>0</v>
      </c>
      <c r="CF34" s="538">
        <f t="shared" si="195"/>
        <v>1.4649599999999998</v>
      </c>
      <c r="CG34" s="538">
        <f t="shared" si="196"/>
        <v>0.36623999999999945</v>
      </c>
      <c r="CH34" s="538">
        <f t="shared" si="197"/>
        <v>0</v>
      </c>
      <c r="CI34" s="104">
        <f t="shared" si="131"/>
        <v>0.252</v>
      </c>
      <c r="CJ34" s="538">
        <f t="shared" si="198"/>
        <v>6.3309999999999986</v>
      </c>
      <c r="CK34" s="538">
        <f t="shared" si="98"/>
        <v>6.3309999999999986</v>
      </c>
      <c r="CL34" s="538">
        <f t="shared" si="199"/>
        <v>0</v>
      </c>
      <c r="CM34" s="538">
        <f t="shared" si="200"/>
        <v>7.3247999999999994E-2</v>
      </c>
      <c r="CN34" s="538">
        <f t="shared" si="44"/>
        <v>1.68</v>
      </c>
      <c r="CO34" s="538">
        <f t="shared" si="201"/>
        <v>3</v>
      </c>
      <c r="CP34" s="538">
        <f t="shared" si="202"/>
        <v>5.04</v>
      </c>
      <c r="CQ34" s="538">
        <f t="shared" si="203"/>
        <v>5.04</v>
      </c>
      <c r="CR34" s="539">
        <f t="shared" si="204"/>
        <v>1.1000000000000001</v>
      </c>
      <c r="CS34" s="540">
        <f t="shared" si="45"/>
        <v>5.1000000000000004E-2</v>
      </c>
      <c r="CT34" s="540">
        <f t="shared" si="46"/>
        <v>0.15421000000000001</v>
      </c>
      <c r="CU34" s="541">
        <f t="shared" si="47"/>
        <v>6.5</v>
      </c>
      <c r="CV34" s="538">
        <f t="shared" si="48"/>
        <v>0.90203999999999995</v>
      </c>
      <c r="CW34" s="538">
        <f t="shared" si="49"/>
        <v>15.764600000000002</v>
      </c>
      <c r="CX34" s="104">
        <f t="shared" si="50"/>
        <v>1.68</v>
      </c>
      <c r="CY34" s="542">
        <f t="shared" si="205"/>
        <v>0.84</v>
      </c>
      <c r="CZ34" s="538">
        <f t="shared" si="206"/>
        <v>0</v>
      </c>
      <c r="DC34" s="112" t="s">
        <v>1462</v>
      </c>
      <c r="DD34" s="112" t="b">
        <f t="shared" si="128"/>
        <v>0</v>
      </c>
    </row>
    <row r="35" spans="1:108" s="112" customFormat="1" ht="25" x14ac:dyDescent="0.25">
      <c r="A35" s="100" t="str">
        <f>'BOCA DE LOBO'!C33</f>
        <v>BL29-&gt;PV16.1</v>
      </c>
      <c r="B35" s="100" t="str">
        <f>'BOCA DE LOBO'!A33</f>
        <v>PV16.1</v>
      </c>
      <c r="C35" s="100" t="str">
        <f>VLOOKUP(A35,'BOCA DE LOBO'!C:F,3,0)</f>
        <v>PROJETADO</v>
      </c>
      <c r="D35" s="100" t="str">
        <f>VLOOKUP(A35,'BOCA DE LOBO'!C:L,10,0)</f>
        <v>PROJETADA</v>
      </c>
      <c r="E35" s="100">
        <f t="shared" si="134"/>
        <v>2.5</v>
      </c>
      <c r="F35" s="100">
        <f>VLOOKUP(A35,'BOCA DE LOBO'!C:D,2,0)</f>
        <v>4.0999999999999996</v>
      </c>
      <c r="G35" s="100">
        <f>VLOOKUP(A35,'BOCA DE LOBO'!C:F,4,0)</f>
        <v>8.9499999999999993</v>
      </c>
      <c r="H35" s="101">
        <v>400</v>
      </c>
      <c r="I35" s="102">
        <f t="shared" si="135"/>
        <v>3.4299999999999997</v>
      </c>
      <c r="J35" s="102">
        <f t="shared" si="136"/>
        <v>1.5349249999999999</v>
      </c>
      <c r="K35" s="103">
        <v>0</v>
      </c>
      <c r="L35" s="104">
        <f t="shared" si="137"/>
        <v>1</v>
      </c>
      <c r="M35" s="104">
        <f t="shared" si="138"/>
        <v>1</v>
      </c>
      <c r="N35" s="104">
        <f t="shared" si="139"/>
        <v>0</v>
      </c>
      <c r="O35" s="104">
        <f t="shared" si="140"/>
        <v>8.9499999999999993</v>
      </c>
      <c r="P35" s="144" t="str">
        <f>VLOOKUP(B35,'Planilha Hidráulica'!$AE$10:$AQ$30,13,0)</f>
        <v>ASFALTO</v>
      </c>
      <c r="Q35" s="144" t="s">
        <v>2029</v>
      </c>
      <c r="R35" s="105">
        <v>1</v>
      </c>
      <c r="S35" s="105">
        <f>VLOOKUP(Q35,Quantitativos!P:R,3,0)</f>
        <v>11.84</v>
      </c>
      <c r="T35" s="105">
        <f>VLOOKUP(Q35,Quantitativos!P:S,4,0)</f>
        <v>1.7</v>
      </c>
      <c r="U35" s="104">
        <f t="shared" si="141"/>
        <v>0.05</v>
      </c>
      <c r="V35" s="106">
        <f t="shared" si="142"/>
        <v>0</v>
      </c>
      <c r="W35" s="106">
        <f t="shared" si="143"/>
        <v>34.278499999999994</v>
      </c>
      <c r="X35" s="107">
        <f t="shared" si="144"/>
        <v>0</v>
      </c>
      <c r="Y35" s="107">
        <f t="shared" si="145"/>
        <v>3.8299999999999996</v>
      </c>
      <c r="Z35" s="107">
        <f t="shared" si="146"/>
        <v>0</v>
      </c>
      <c r="AA35" s="107">
        <f t="shared" si="147"/>
        <v>3.4299999999999997</v>
      </c>
      <c r="AB35" s="108">
        <f t="shared" si="148"/>
        <v>8.9499999999999993</v>
      </c>
      <c r="AC35" s="109">
        <f t="shared" si="149"/>
        <v>13.424999999999999</v>
      </c>
      <c r="AD35" s="109">
        <f t="shared" si="150"/>
        <v>13.424999999999999</v>
      </c>
      <c r="AE35" s="109">
        <f t="shared" si="151"/>
        <v>7.4284999999999961</v>
      </c>
      <c r="AF35" s="109">
        <f t="shared" si="152"/>
        <v>0</v>
      </c>
      <c r="AG35" s="109">
        <f t="shared" si="153"/>
        <v>0</v>
      </c>
      <c r="AH35" s="109">
        <f t="shared" si="154"/>
        <v>0</v>
      </c>
      <c r="AI35" s="537" t="str">
        <f t="shared" si="155"/>
        <v>NÃO</v>
      </c>
      <c r="AJ35" s="104">
        <f t="shared" si="156"/>
        <v>0</v>
      </c>
      <c r="AK35" s="104">
        <f t="shared" si="157"/>
        <v>0.20644666666666661</v>
      </c>
      <c r="AL35" s="104">
        <f t="shared" si="158"/>
        <v>33.15380983001485</v>
      </c>
      <c r="AM35" s="102">
        <f t="shared" si="159"/>
        <v>0.44750000000000001</v>
      </c>
      <c r="AN35" s="106">
        <f t="shared" si="160"/>
        <v>0</v>
      </c>
      <c r="AO35" s="104">
        <f t="shared" si="161"/>
        <v>3.58</v>
      </c>
      <c r="AP35" s="104">
        <f t="shared" si="162"/>
        <v>3.58</v>
      </c>
      <c r="AQ35" s="104">
        <f t="shared" si="163"/>
        <v>0.7</v>
      </c>
      <c r="AR35" s="104">
        <f t="shared" si="164"/>
        <v>5.1403098300148526</v>
      </c>
      <c r="AS35" s="104">
        <f t="shared" si="165"/>
        <v>5.1403098300148526</v>
      </c>
      <c r="AT35" s="104">
        <f t="shared" si="166"/>
        <v>1.3424999999999998</v>
      </c>
      <c r="AU35" s="104">
        <f t="shared" si="167"/>
        <v>1.3424999999999998</v>
      </c>
      <c r="AV35" s="104">
        <f t="shared" si="168"/>
        <v>0.26849999999999996</v>
      </c>
      <c r="AW35" s="104">
        <f t="shared" si="169"/>
        <v>21.300999999999995</v>
      </c>
      <c r="AX35" s="104">
        <f t="shared" si="170"/>
        <v>-10.062809830014853</v>
      </c>
      <c r="AY35" s="104">
        <f t="shared" si="171"/>
        <v>-10.062809830014853</v>
      </c>
      <c r="AZ35" s="104">
        <f t="shared" si="172"/>
        <v>31.363809830014848</v>
      </c>
      <c r="BA35" s="104">
        <f t="shared" si="82"/>
        <v>8.1172921125935051</v>
      </c>
      <c r="BB35" s="104">
        <f t="shared" si="173"/>
        <v>23.246517717421341</v>
      </c>
      <c r="BC35" s="104"/>
      <c r="BD35" s="104">
        <f t="shared" si="174"/>
        <v>0.19689999999999999</v>
      </c>
      <c r="BE35" s="108">
        <f t="shared" si="175"/>
        <v>3.4299999999999997</v>
      </c>
      <c r="BF35" s="110">
        <f t="shared" si="176"/>
        <v>0</v>
      </c>
      <c r="BG35" s="110">
        <f t="shared" si="177"/>
        <v>0</v>
      </c>
      <c r="BH35" s="105" t="str">
        <f>VLOOKUP(A35,'BOCA DE LOBO'!C:I,7,0)</f>
        <v>BOCA DE LOBO PROJETADA DUPLA</v>
      </c>
      <c r="BI35" s="104">
        <f t="shared" si="178"/>
        <v>0</v>
      </c>
      <c r="BJ35" s="104">
        <f t="shared" si="179"/>
        <v>0</v>
      </c>
      <c r="BK35" s="104">
        <f t="shared" si="180"/>
        <v>0</v>
      </c>
      <c r="BL35" s="104">
        <f t="shared" si="181"/>
        <v>0</v>
      </c>
      <c r="BM35" s="104">
        <f t="shared" si="182"/>
        <v>0</v>
      </c>
      <c r="BN35" s="104">
        <f t="shared" si="183"/>
        <v>1</v>
      </c>
      <c r="BO35" s="104">
        <f t="shared" si="184"/>
        <v>0</v>
      </c>
      <c r="BP35" s="111"/>
      <c r="BQ35" s="108">
        <f t="shared" si="185"/>
        <v>26.849999999999998</v>
      </c>
      <c r="BR35" s="108">
        <f t="shared" si="186"/>
        <v>26.849999999999998</v>
      </c>
      <c r="BS35" s="108">
        <f t="shared" si="187"/>
        <v>16.646999999999995</v>
      </c>
      <c r="BV35" s="538">
        <f t="shared" si="132"/>
        <v>23.347799999999996</v>
      </c>
      <c r="BW35" s="538">
        <f t="shared" si="130"/>
        <v>7.7825999999999986</v>
      </c>
      <c r="BX35" s="538">
        <f t="shared" si="40"/>
        <v>3.0325999999999995</v>
      </c>
      <c r="BY35" s="538">
        <f t="shared" si="188"/>
        <v>2.5</v>
      </c>
      <c r="BZ35" s="538">
        <f t="shared" si="189"/>
        <v>0</v>
      </c>
      <c r="CA35" s="538">
        <f t="shared" si="190"/>
        <v>2.9</v>
      </c>
      <c r="CB35" s="538">
        <f t="shared" si="191"/>
        <v>0</v>
      </c>
      <c r="CC35" s="538">
        <f t="shared" si="192"/>
        <v>0</v>
      </c>
      <c r="CD35" s="538">
        <f t="shared" si="193"/>
        <v>0</v>
      </c>
      <c r="CE35" s="538">
        <f t="shared" si="194"/>
        <v>11.673899999999998</v>
      </c>
      <c r="CF35" s="538">
        <f t="shared" si="195"/>
        <v>10.895639999999997</v>
      </c>
      <c r="CG35" s="538">
        <f t="shared" si="196"/>
        <v>0.77825999999999951</v>
      </c>
      <c r="CH35" s="538">
        <f t="shared" si="197"/>
        <v>0</v>
      </c>
      <c r="CI35" s="104">
        <f t="shared" si="131"/>
        <v>0.53549999999999998</v>
      </c>
      <c r="CJ35" s="538">
        <f t="shared" si="198"/>
        <v>13.239499999999996</v>
      </c>
      <c r="CK35" s="538">
        <f t="shared" si="98"/>
        <v>13.239499999999996</v>
      </c>
      <c r="CL35" s="538">
        <f t="shared" si="199"/>
        <v>0</v>
      </c>
      <c r="CM35" s="538">
        <f t="shared" si="200"/>
        <v>0.15565199999999998</v>
      </c>
      <c r="CN35" s="538">
        <f t="shared" si="44"/>
        <v>3.57</v>
      </c>
      <c r="CO35" s="538">
        <f t="shared" si="201"/>
        <v>3</v>
      </c>
      <c r="CP35" s="538">
        <f t="shared" si="202"/>
        <v>10.709999999999999</v>
      </c>
      <c r="CQ35" s="538">
        <f t="shared" si="203"/>
        <v>10.709999999999999</v>
      </c>
      <c r="CR35" s="539">
        <f t="shared" si="204"/>
        <v>0</v>
      </c>
      <c r="CS35" s="540">
        <f t="shared" si="45"/>
        <v>0</v>
      </c>
      <c r="CT35" s="540">
        <f t="shared" si="46"/>
        <v>0.33012999999999998</v>
      </c>
      <c r="CU35" s="541">
        <f t="shared" si="47"/>
        <v>13</v>
      </c>
      <c r="CV35" s="538">
        <f t="shared" si="48"/>
        <v>1.43895</v>
      </c>
      <c r="CW35" s="538">
        <f t="shared" si="49"/>
        <v>23.248199999999997</v>
      </c>
      <c r="CX35" s="104">
        <f t="shared" si="50"/>
        <v>3.57</v>
      </c>
      <c r="CY35" s="542">
        <f t="shared" si="205"/>
        <v>1.7849999999999999</v>
      </c>
      <c r="CZ35" s="538">
        <f t="shared" si="206"/>
        <v>0</v>
      </c>
      <c r="DC35" s="112" t="s">
        <v>1465</v>
      </c>
      <c r="DD35" s="112" t="b">
        <f t="shared" si="128"/>
        <v>0</v>
      </c>
    </row>
    <row r="36" spans="1:108" s="112" customFormat="1" ht="25" x14ac:dyDescent="0.25">
      <c r="A36" s="100" t="str">
        <f>'BOCA DE LOBO'!C34</f>
        <v>BL30-&gt;PV16.1</v>
      </c>
      <c r="B36" s="100" t="str">
        <f>'BOCA DE LOBO'!A34</f>
        <v>PV16.1</v>
      </c>
      <c r="C36" s="100" t="str">
        <f>VLOOKUP(A36,'BOCA DE LOBO'!C:F,3,0)</f>
        <v>PROJETADO</v>
      </c>
      <c r="D36" s="100" t="str">
        <f>VLOOKUP(A36,'BOCA DE LOBO'!C:L,10,0)</f>
        <v>PROJETADA</v>
      </c>
      <c r="E36" s="100">
        <f t="shared" si="134"/>
        <v>2.5</v>
      </c>
      <c r="F36" s="100">
        <f>VLOOKUP(A36,'BOCA DE LOBO'!C:D,2,0)</f>
        <v>4.0999999999999996</v>
      </c>
      <c r="G36" s="100">
        <f>VLOOKUP(A36,'BOCA DE LOBO'!C:F,4,0)</f>
        <v>7.23</v>
      </c>
      <c r="H36" s="101">
        <v>400</v>
      </c>
      <c r="I36" s="102">
        <f t="shared" si="135"/>
        <v>3.4299999999999997</v>
      </c>
      <c r="J36" s="102">
        <f t="shared" si="136"/>
        <v>1.2399450000000001</v>
      </c>
      <c r="K36" s="103">
        <v>0</v>
      </c>
      <c r="L36" s="104">
        <f t="shared" si="137"/>
        <v>1</v>
      </c>
      <c r="M36" s="104">
        <f t="shared" si="138"/>
        <v>1</v>
      </c>
      <c r="N36" s="104">
        <f t="shared" si="139"/>
        <v>0</v>
      </c>
      <c r="O36" s="104">
        <f t="shared" si="140"/>
        <v>7.23</v>
      </c>
      <c r="P36" s="144" t="str">
        <f>VLOOKUP(B36,'Planilha Hidráulica'!$AE$10:$AQ$30,13,0)</f>
        <v>ASFALTO</v>
      </c>
      <c r="Q36" s="144" t="s">
        <v>2029</v>
      </c>
      <c r="R36" s="105">
        <v>1</v>
      </c>
      <c r="S36" s="105">
        <f>VLOOKUP(Q36,Quantitativos!P:R,3,0)</f>
        <v>11.84</v>
      </c>
      <c r="T36" s="105">
        <f>VLOOKUP(Q36,Quantitativos!P:S,4,0)</f>
        <v>1.7</v>
      </c>
      <c r="U36" s="104">
        <f t="shared" si="141"/>
        <v>0.05</v>
      </c>
      <c r="V36" s="106">
        <f t="shared" si="142"/>
        <v>0</v>
      </c>
      <c r="W36" s="106">
        <f t="shared" si="143"/>
        <v>27.690899999999999</v>
      </c>
      <c r="X36" s="107">
        <f t="shared" si="144"/>
        <v>0</v>
      </c>
      <c r="Y36" s="107">
        <f t="shared" si="145"/>
        <v>3.8299999999999996</v>
      </c>
      <c r="Z36" s="107">
        <f t="shared" si="146"/>
        <v>0</v>
      </c>
      <c r="AA36" s="107">
        <f t="shared" si="147"/>
        <v>3.4299999999999997</v>
      </c>
      <c r="AB36" s="108">
        <f t="shared" si="148"/>
        <v>7.23</v>
      </c>
      <c r="AC36" s="109">
        <f t="shared" si="149"/>
        <v>10.845000000000001</v>
      </c>
      <c r="AD36" s="109">
        <f t="shared" si="150"/>
        <v>10.845000000000001</v>
      </c>
      <c r="AE36" s="109">
        <f t="shared" si="151"/>
        <v>6.0008999999999979</v>
      </c>
      <c r="AF36" s="109">
        <f t="shared" si="152"/>
        <v>0</v>
      </c>
      <c r="AG36" s="109">
        <f t="shared" si="153"/>
        <v>0</v>
      </c>
      <c r="AH36" s="109">
        <f t="shared" si="154"/>
        <v>0</v>
      </c>
      <c r="AI36" s="537" t="str">
        <f t="shared" si="155"/>
        <v>NÃO</v>
      </c>
      <c r="AJ36" s="104">
        <f t="shared" si="156"/>
        <v>0</v>
      </c>
      <c r="AK36" s="104">
        <f t="shared" si="157"/>
        <v>0.166772</v>
      </c>
      <c r="AL36" s="104">
        <f t="shared" si="158"/>
        <v>26.782351404581831</v>
      </c>
      <c r="AM36" s="102">
        <f t="shared" si="159"/>
        <v>0.36150000000000004</v>
      </c>
      <c r="AN36" s="106">
        <f t="shared" si="160"/>
        <v>0</v>
      </c>
      <c r="AO36" s="104">
        <f t="shared" si="161"/>
        <v>2.8920000000000003</v>
      </c>
      <c r="AP36" s="104">
        <f t="shared" si="162"/>
        <v>2.8920000000000003</v>
      </c>
      <c r="AQ36" s="104">
        <f t="shared" si="163"/>
        <v>0.7</v>
      </c>
      <c r="AR36" s="104">
        <f t="shared" si="164"/>
        <v>4.1524514045818313</v>
      </c>
      <c r="AS36" s="104">
        <f t="shared" si="165"/>
        <v>4.1524514045818313</v>
      </c>
      <c r="AT36" s="104">
        <f t="shared" si="166"/>
        <v>1.0845</v>
      </c>
      <c r="AU36" s="104">
        <f t="shared" si="167"/>
        <v>1.0845</v>
      </c>
      <c r="AV36" s="104">
        <f t="shared" si="168"/>
        <v>0.21690000000000001</v>
      </c>
      <c r="AW36" s="104">
        <f t="shared" si="169"/>
        <v>17.207400000000003</v>
      </c>
      <c r="AX36" s="104">
        <f t="shared" si="170"/>
        <v>-8.1289514045818319</v>
      </c>
      <c r="AY36" s="104">
        <f t="shared" si="171"/>
        <v>-8.1289514045818319</v>
      </c>
      <c r="AZ36" s="104">
        <f t="shared" si="172"/>
        <v>25.336351404581833</v>
      </c>
      <c r="BA36" s="104">
        <f t="shared" si="82"/>
        <v>6.5573208909554248</v>
      </c>
      <c r="BB36" s="104">
        <f t="shared" si="173"/>
        <v>18.77903051362641</v>
      </c>
      <c r="BC36" s="104"/>
      <c r="BD36" s="104">
        <f t="shared" si="174"/>
        <v>0.15906000000000003</v>
      </c>
      <c r="BE36" s="108">
        <f t="shared" si="175"/>
        <v>3.4299999999999997</v>
      </c>
      <c r="BF36" s="110">
        <f t="shared" si="176"/>
        <v>0</v>
      </c>
      <c r="BG36" s="110">
        <f t="shared" si="177"/>
        <v>0</v>
      </c>
      <c r="BH36" s="105" t="str">
        <f>VLOOKUP(A36,'BOCA DE LOBO'!C:I,7,0)</f>
        <v>BOCA DE LOBO PROJETADA DUPLA</v>
      </c>
      <c r="BI36" s="104">
        <f t="shared" si="178"/>
        <v>0</v>
      </c>
      <c r="BJ36" s="104">
        <f t="shared" si="179"/>
        <v>0</v>
      </c>
      <c r="BK36" s="104">
        <f t="shared" si="180"/>
        <v>0</v>
      </c>
      <c r="BL36" s="104">
        <f t="shared" si="181"/>
        <v>0</v>
      </c>
      <c r="BM36" s="104">
        <f t="shared" si="182"/>
        <v>0</v>
      </c>
      <c r="BN36" s="104">
        <f t="shared" si="183"/>
        <v>1</v>
      </c>
      <c r="BO36" s="104">
        <f t="shared" si="184"/>
        <v>0</v>
      </c>
      <c r="BP36" s="111"/>
      <c r="BQ36" s="108">
        <f t="shared" si="185"/>
        <v>21.69</v>
      </c>
      <c r="BR36" s="108">
        <f t="shared" si="186"/>
        <v>21.69</v>
      </c>
      <c r="BS36" s="108">
        <f t="shared" si="187"/>
        <v>13.447799999999997</v>
      </c>
      <c r="BV36" s="538">
        <f t="shared" si="132"/>
        <v>23.347799999999996</v>
      </c>
      <c r="BW36" s="538">
        <f t="shared" si="130"/>
        <v>7.7825999999999986</v>
      </c>
      <c r="BX36" s="538">
        <f t="shared" si="40"/>
        <v>3.0325999999999995</v>
      </c>
      <c r="BY36" s="538">
        <f t="shared" si="188"/>
        <v>2.5</v>
      </c>
      <c r="BZ36" s="538">
        <f t="shared" si="189"/>
        <v>0</v>
      </c>
      <c r="CA36" s="538">
        <f t="shared" si="190"/>
        <v>2.9</v>
      </c>
      <c r="CB36" s="538">
        <f t="shared" si="191"/>
        <v>0</v>
      </c>
      <c r="CC36" s="538">
        <f t="shared" si="192"/>
        <v>0</v>
      </c>
      <c r="CD36" s="538">
        <f t="shared" si="193"/>
        <v>0</v>
      </c>
      <c r="CE36" s="538">
        <f t="shared" si="194"/>
        <v>11.673899999999998</v>
      </c>
      <c r="CF36" s="538">
        <f t="shared" si="195"/>
        <v>10.895639999999997</v>
      </c>
      <c r="CG36" s="538">
        <f t="shared" si="196"/>
        <v>0.77825999999999951</v>
      </c>
      <c r="CH36" s="538">
        <f t="shared" si="197"/>
        <v>0</v>
      </c>
      <c r="CI36" s="104">
        <f t="shared" si="131"/>
        <v>0.53549999999999998</v>
      </c>
      <c r="CJ36" s="538">
        <f t="shared" si="198"/>
        <v>13.239499999999996</v>
      </c>
      <c r="CK36" s="538">
        <f t="shared" si="98"/>
        <v>13.239499999999996</v>
      </c>
      <c r="CL36" s="538">
        <f t="shared" si="199"/>
        <v>0</v>
      </c>
      <c r="CM36" s="538">
        <f t="shared" si="200"/>
        <v>0.15565199999999998</v>
      </c>
      <c r="CN36" s="538">
        <f t="shared" si="44"/>
        <v>3.57</v>
      </c>
      <c r="CO36" s="538">
        <f t="shared" si="201"/>
        <v>3</v>
      </c>
      <c r="CP36" s="538">
        <f t="shared" si="202"/>
        <v>10.709999999999999</v>
      </c>
      <c r="CQ36" s="538">
        <f t="shared" si="203"/>
        <v>10.709999999999999</v>
      </c>
      <c r="CR36" s="539">
        <f t="shared" si="204"/>
        <v>0</v>
      </c>
      <c r="CS36" s="540">
        <f t="shared" si="45"/>
        <v>0</v>
      </c>
      <c r="CT36" s="540">
        <f t="shared" si="46"/>
        <v>0.33012999999999998</v>
      </c>
      <c r="CU36" s="541">
        <f t="shared" si="47"/>
        <v>13</v>
      </c>
      <c r="CV36" s="538">
        <f t="shared" si="48"/>
        <v>1.43895</v>
      </c>
      <c r="CW36" s="538">
        <f t="shared" si="49"/>
        <v>23.248199999999997</v>
      </c>
      <c r="CX36" s="104">
        <f t="shared" si="50"/>
        <v>3.57</v>
      </c>
      <c r="CY36" s="542">
        <f t="shared" si="205"/>
        <v>1.7849999999999999</v>
      </c>
      <c r="CZ36" s="538">
        <f t="shared" si="206"/>
        <v>0</v>
      </c>
      <c r="DC36" s="112" t="s">
        <v>1467</v>
      </c>
      <c r="DD36" s="112" t="b">
        <f t="shared" si="128"/>
        <v>1</v>
      </c>
    </row>
    <row r="37" spans="1:108" s="112" customFormat="1" ht="25" x14ac:dyDescent="0.25">
      <c r="A37" s="100" t="str">
        <f>'BOCA DE LOBO'!C35</f>
        <v>BL31-&gt;PV17.1</v>
      </c>
      <c r="B37" s="100" t="str">
        <f>'BOCA DE LOBO'!A35</f>
        <v>PV17.1</v>
      </c>
      <c r="C37" s="100" t="str">
        <f>VLOOKUP(A37,'BOCA DE LOBO'!C:F,3,0)</f>
        <v>PROJETADO</v>
      </c>
      <c r="D37" s="100" t="str">
        <f>VLOOKUP(A37,'BOCA DE LOBO'!C:L,10,0)</f>
        <v>PROJETADA</v>
      </c>
      <c r="E37" s="100">
        <f t="shared" si="134"/>
        <v>2.5</v>
      </c>
      <c r="F37" s="100">
        <f>VLOOKUP(A37,'BOCA DE LOBO'!C:D,2,0)</f>
        <v>4.0999999999999996</v>
      </c>
      <c r="G37" s="100">
        <f>VLOOKUP(A37,'BOCA DE LOBO'!C:F,4,0)</f>
        <v>6.24</v>
      </c>
      <c r="H37" s="101">
        <v>400</v>
      </c>
      <c r="I37" s="102">
        <f t="shared" si="135"/>
        <v>3.4299999999999997</v>
      </c>
      <c r="J37" s="102">
        <f t="shared" si="136"/>
        <v>1.07016</v>
      </c>
      <c r="K37" s="103">
        <v>0</v>
      </c>
      <c r="L37" s="104">
        <f t="shared" si="137"/>
        <v>1</v>
      </c>
      <c r="M37" s="104">
        <f t="shared" si="138"/>
        <v>1</v>
      </c>
      <c r="N37" s="104">
        <f t="shared" si="139"/>
        <v>0</v>
      </c>
      <c r="O37" s="104">
        <f t="shared" si="140"/>
        <v>6.24</v>
      </c>
      <c r="P37" s="144" t="str">
        <f>VLOOKUP(B37,'Planilha Hidráulica'!$AE$10:$AQ$30,13,0)</f>
        <v>ASFALTO</v>
      </c>
      <c r="Q37" s="144" t="s">
        <v>2029</v>
      </c>
      <c r="R37" s="105">
        <v>1</v>
      </c>
      <c r="S37" s="105">
        <f>VLOOKUP(Q37,Quantitativos!P:R,3,0)</f>
        <v>11.84</v>
      </c>
      <c r="T37" s="105">
        <f>VLOOKUP(Q37,Quantitativos!P:S,4,0)</f>
        <v>1.7</v>
      </c>
      <c r="U37" s="104">
        <f t="shared" si="141"/>
        <v>0.05</v>
      </c>
      <c r="V37" s="106">
        <f t="shared" si="142"/>
        <v>0</v>
      </c>
      <c r="W37" s="106">
        <f t="shared" si="143"/>
        <v>23.8992</v>
      </c>
      <c r="X37" s="107">
        <f t="shared" si="144"/>
        <v>0</v>
      </c>
      <c r="Y37" s="107">
        <f t="shared" si="145"/>
        <v>3.8299999999999996</v>
      </c>
      <c r="Z37" s="107">
        <f t="shared" si="146"/>
        <v>0</v>
      </c>
      <c r="AA37" s="107">
        <f t="shared" si="147"/>
        <v>3.4299999999999997</v>
      </c>
      <c r="AB37" s="108">
        <f t="shared" si="148"/>
        <v>6.24</v>
      </c>
      <c r="AC37" s="109">
        <f t="shared" si="149"/>
        <v>9.36</v>
      </c>
      <c r="AD37" s="109">
        <f t="shared" si="150"/>
        <v>9.36</v>
      </c>
      <c r="AE37" s="109">
        <f t="shared" si="151"/>
        <v>5.179199999999998</v>
      </c>
      <c r="AF37" s="109">
        <f t="shared" si="152"/>
        <v>0</v>
      </c>
      <c r="AG37" s="109">
        <f t="shared" si="153"/>
        <v>0</v>
      </c>
      <c r="AH37" s="109">
        <f t="shared" si="154"/>
        <v>0</v>
      </c>
      <c r="AI37" s="537" t="str">
        <f t="shared" si="155"/>
        <v>NÃO</v>
      </c>
      <c r="AJ37" s="104">
        <f t="shared" si="156"/>
        <v>0</v>
      </c>
      <c r="AK37" s="104">
        <f t="shared" si="157"/>
        <v>0.14393599999999998</v>
      </c>
      <c r="AL37" s="104">
        <f t="shared" si="158"/>
        <v>23.115058473663986</v>
      </c>
      <c r="AM37" s="102">
        <f t="shared" si="159"/>
        <v>0.31200000000000006</v>
      </c>
      <c r="AN37" s="106">
        <f t="shared" si="160"/>
        <v>0</v>
      </c>
      <c r="AO37" s="104">
        <f t="shared" si="161"/>
        <v>2.4960000000000004</v>
      </c>
      <c r="AP37" s="104">
        <f t="shared" si="162"/>
        <v>2.4960000000000004</v>
      </c>
      <c r="AQ37" s="104">
        <f t="shared" si="163"/>
        <v>0.7</v>
      </c>
      <c r="AR37" s="104">
        <f t="shared" si="164"/>
        <v>3.5838584736639869</v>
      </c>
      <c r="AS37" s="104">
        <f t="shared" si="165"/>
        <v>3.5838584736639869</v>
      </c>
      <c r="AT37" s="104">
        <f t="shared" si="166"/>
        <v>0.93599999999999994</v>
      </c>
      <c r="AU37" s="104">
        <f t="shared" si="167"/>
        <v>0.93599999999999994</v>
      </c>
      <c r="AV37" s="104">
        <f t="shared" si="168"/>
        <v>0.18720000000000001</v>
      </c>
      <c r="AW37" s="104">
        <f t="shared" si="169"/>
        <v>14.851199999999995</v>
      </c>
      <c r="AX37" s="104">
        <f t="shared" si="170"/>
        <v>-7.0158584736639877</v>
      </c>
      <c r="AY37" s="104">
        <f t="shared" si="171"/>
        <v>-7.0158584736639877</v>
      </c>
      <c r="AZ37" s="104">
        <f t="shared" si="172"/>
        <v>21.867058473663981</v>
      </c>
      <c r="BA37" s="104">
        <f t="shared" si="82"/>
        <v>5.6594304785009459</v>
      </c>
      <c r="BB37" s="104">
        <f t="shared" si="173"/>
        <v>16.207627995163037</v>
      </c>
      <c r="BC37" s="104"/>
      <c r="BD37" s="104">
        <f t="shared" si="174"/>
        <v>0.13728000000000001</v>
      </c>
      <c r="BE37" s="108">
        <f t="shared" si="175"/>
        <v>3.4299999999999997</v>
      </c>
      <c r="BF37" s="110">
        <f t="shared" si="176"/>
        <v>0</v>
      </c>
      <c r="BG37" s="110">
        <f t="shared" si="177"/>
        <v>0</v>
      </c>
      <c r="BH37" s="105" t="str">
        <f>VLOOKUP(A37,'BOCA DE LOBO'!C:I,7,0)</f>
        <v>BOCA DE LOBO PROJETADA TRIPLA</v>
      </c>
      <c r="BI37" s="104">
        <f t="shared" si="178"/>
        <v>0</v>
      </c>
      <c r="BJ37" s="104">
        <f t="shared" si="179"/>
        <v>0</v>
      </c>
      <c r="BK37" s="104">
        <f t="shared" si="180"/>
        <v>0</v>
      </c>
      <c r="BL37" s="104">
        <f t="shared" si="181"/>
        <v>0</v>
      </c>
      <c r="BM37" s="104">
        <f t="shared" si="182"/>
        <v>0</v>
      </c>
      <c r="BN37" s="104">
        <f t="shared" si="183"/>
        <v>0</v>
      </c>
      <c r="BO37" s="104">
        <f t="shared" si="184"/>
        <v>1</v>
      </c>
      <c r="BP37" s="111"/>
      <c r="BQ37" s="108">
        <f t="shared" si="185"/>
        <v>18.72</v>
      </c>
      <c r="BR37" s="108">
        <f t="shared" si="186"/>
        <v>18.72</v>
      </c>
      <c r="BS37" s="108">
        <f t="shared" si="187"/>
        <v>11.606399999999997</v>
      </c>
      <c r="BV37" s="538">
        <f t="shared" si="132"/>
        <v>31.130399999999995</v>
      </c>
      <c r="BW37" s="538">
        <f t="shared" si="130"/>
        <v>10.376799999999998</v>
      </c>
      <c r="BX37" s="538">
        <f t="shared" si="40"/>
        <v>4.4367999999999999</v>
      </c>
      <c r="BY37" s="538">
        <f t="shared" si="188"/>
        <v>2.5</v>
      </c>
      <c r="BZ37" s="538">
        <f t="shared" si="189"/>
        <v>0</v>
      </c>
      <c r="CA37" s="538">
        <f t="shared" si="190"/>
        <v>2.9</v>
      </c>
      <c r="CB37" s="538">
        <f t="shared" si="191"/>
        <v>0</v>
      </c>
      <c r="CC37" s="538">
        <f t="shared" si="192"/>
        <v>0</v>
      </c>
      <c r="CD37" s="538">
        <f t="shared" si="193"/>
        <v>0</v>
      </c>
      <c r="CE37" s="538">
        <f t="shared" si="194"/>
        <v>15.565199999999997</v>
      </c>
      <c r="CF37" s="538">
        <f t="shared" si="195"/>
        <v>14.527519999999996</v>
      </c>
      <c r="CG37" s="538">
        <f t="shared" si="196"/>
        <v>1.0376800000000017</v>
      </c>
      <c r="CH37" s="538">
        <f t="shared" si="197"/>
        <v>0</v>
      </c>
      <c r="CI37" s="104">
        <f t="shared" si="131"/>
        <v>0.71399999999999997</v>
      </c>
      <c r="CJ37" s="538">
        <f t="shared" si="198"/>
        <v>16.511999999999993</v>
      </c>
      <c r="CK37" s="538">
        <f t="shared" si="98"/>
        <v>16.511999999999993</v>
      </c>
      <c r="CL37" s="538">
        <f t="shared" si="199"/>
        <v>0</v>
      </c>
      <c r="CM37" s="538">
        <f t="shared" si="200"/>
        <v>0.20753599999999994</v>
      </c>
      <c r="CN37" s="538">
        <f t="shared" si="44"/>
        <v>4.76</v>
      </c>
      <c r="CO37" s="538">
        <f t="shared" si="201"/>
        <v>3</v>
      </c>
      <c r="CP37" s="538">
        <f t="shared" si="202"/>
        <v>14.28</v>
      </c>
      <c r="CQ37" s="538">
        <f t="shared" si="203"/>
        <v>14.28</v>
      </c>
      <c r="CR37" s="539">
        <f t="shared" si="204"/>
        <v>0</v>
      </c>
      <c r="CS37" s="540">
        <f t="shared" si="45"/>
        <v>0</v>
      </c>
      <c r="CT37" s="540">
        <f t="shared" si="46"/>
        <v>0.45984000000000003</v>
      </c>
      <c r="CU37" s="541">
        <f t="shared" si="47"/>
        <v>18</v>
      </c>
      <c r="CV37" s="538">
        <f t="shared" si="48"/>
        <v>1.9376100000000003</v>
      </c>
      <c r="CW37" s="538">
        <f t="shared" si="49"/>
        <v>29.6218</v>
      </c>
      <c r="CX37" s="104">
        <f t="shared" si="50"/>
        <v>4.76</v>
      </c>
      <c r="CY37" s="542">
        <f t="shared" si="205"/>
        <v>2.38</v>
      </c>
      <c r="CZ37" s="538">
        <f t="shared" si="206"/>
        <v>0</v>
      </c>
      <c r="DC37" s="112" t="s">
        <v>1467</v>
      </c>
      <c r="DD37" s="112" t="b">
        <f t="shared" si="128"/>
        <v>0</v>
      </c>
    </row>
    <row r="38" spans="1:108" s="112" customFormat="1" ht="25" x14ac:dyDescent="0.25">
      <c r="A38" s="100" t="str">
        <f>'BOCA DE LOBO'!C36</f>
        <v>BL32-&gt;PV17.1</v>
      </c>
      <c r="B38" s="100" t="str">
        <f>'BOCA DE LOBO'!A36</f>
        <v>PV17.1</v>
      </c>
      <c r="C38" s="100" t="str">
        <f>VLOOKUP(A38,'BOCA DE LOBO'!C:F,3,0)</f>
        <v>PROJETADO</v>
      </c>
      <c r="D38" s="100" t="str">
        <f>VLOOKUP(A38,'BOCA DE LOBO'!C:L,10,0)</f>
        <v>PROJETADA</v>
      </c>
      <c r="E38" s="100">
        <f t="shared" si="134"/>
        <v>2.5</v>
      </c>
      <c r="F38" s="100">
        <f>VLOOKUP(A38,'BOCA DE LOBO'!C:D,2,0)</f>
        <v>4.0999999999999996</v>
      </c>
      <c r="G38" s="100">
        <f>VLOOKUP(A38,'BOCA DE LOBO'!C:F,4,0)</f>
        <v>3.84</v>
      </c>
      <c r="H38" s="101">
        <v>400</v>
      </c>
      <c r="I38" s="102">
        <f t="shared" si="135"/>
        <v>3.4299999999999997</v>
      </c>
      <c r="J38" s="102">
        <f t="shared" si="136"/>
        <v>0.65855999999999992</v>
      </c>
      <c r="K38" s="103">
        <v>0</v>
      </c>
      <c r="L38" s="104">
        <f t="shared" si="137"/>
        <v>1</v>
      </c>
      <c r="M38" s="104">
        <f t="shared" si="138"/>
        <v>1</v>
      </c>
      <c r="N38" s="104">
        <f t="shared" si="139"/>
        <v>0</v>
      </c>
      <c r="O38" s="104">
        <f t="shared" si="140"/>
        <v>3.84</v>
      </c>
      <c r="P38" s="144" t="str">
        <f>VLOOKUP(B38,'Planilha Hidráulica'!$AE$10:$AQ$30,13,0)</f>
        <v>ASFALTO</v>
      </c>
      <c r="Q38" s="144" t="s">
        <v>2029</v>
      </c>
      <c r="R38" s="105">
        <v>1</v>
      </c>
      <c r="S38" s="105">
        <f>VLOOKUP(Q38,Quantitativos!P:R,3,0)</f>
        <v>11.84</v>
      </c>
      <c r="T38" s="105">
        <f>VLOOKUP(Q38,Quantitativos!P:S,4,0)</f>
        <v>1.7</v>
      </c>
      <c r="U38" s="104">
        <f t="shared" si="141"/>
        <v>0.05</v>
      </c>
      <c r="V38" s="106">
        <f t="shared" si="142"/>
        <v>0</v>
      </c>
      <c r="W38" s="106">
        <f t="shared" si="143"/>
        <v>14.707199999999998</v>
      </c>
      <c r="X38" s="107">
        <f t="shared" si="144"/>
        <v>0</v>
      </c>
      <c r="Y38" s="107">
        <f t="shared" si="145"/>
        <v>3.8299999999999996</v>
      </c>
      <c r="Z38" s="107">
        <f t="shared" si="146"/>
        <v>0</v>
      </c>
      <c r="AA38" s="107">
        <f t="shared" si="147"/>
        <v>3.4299999999999997</v>
      </c>
      <c r="AB38" s="108">
        <f t="shared" si="148"/>
        <v>3.84</v>
      </c>
      <c r="AC38" s="109">
        <f t="shared" si="149"/>
        <v>5.76</v>
      </c>
      <c r="AD38" s="109">
        <f t="shared" si="150"/>
        <v>5.76</v>
      </c>
      <c r="AE38" s="109">
        <f t="shared" si="151"/>
        <v>3.1871999999999985</v>
      </c>
      <c r="AF38" s="109">
        <f t="shared" si="152"/>
        <v>0</v>
      </c>
      <c r="AG38" s="109">
        <f t="shared" si="153"/>
        <v>0</v>
      </c>
      <c r="AH38" s="109">
        <f t="shared" si="154"/>
        <v>0</v>
      </c>
      <c r="AI38" s="537" t="str">
        <f t="shared" si="155"/>
        <v>NÃO</v>
      </c>
      <c r="AJ38" s="104">
        <f t="shared" si="156"/>
        <v>0</v>
      </c>
      <c r="AK38" s="104">
        <f t="shared" si="157"/>
        <v>8.8575999999999974E-2</v>
      </c>
      <c r="AL38" s="104">
        <f t="shared" si="158"/>
        <v>14.224651368408606</v>
      </c>
      <c r="AM38" s="102">
        <f t="shared" si="159"/>
        <v>0.192</v>
      </c>
      <c r="AN38" s="106">
        <f t="shared" si="160"/>
        <v>0</v>
      </c>
      <c r="AO38" s="104">
        <f t="shared" si="161"/>
        <v>1.536</v>
      </c>
      <c r="AP38" s="104">
        <f t="shared" si="162"/>
        <v>1.536</v>
      </c>
      <c r="AQ38" s="104">
        <f t="shared" si="163"/>
        <v>0.7</v>
      </c>
      <c r="AR38" s="104">
        <f t="shared" si="164"/>
        <v>2.2054513684086077</v>
      </c>
      <c r="AS38" s="104">
        <f t="shared" si="165"/>
        <v>2.2054513684086077</v>
      </c>
      <c r="AT38" s="104">
        <f t="shared" si="166"/>
        <v>0.57599999999999996</v>
      </c>
      <c r="AU38" s="104">
        <f t="shared" si="167"/>
        <v>0.57599999999999996</v>
      </c>
      <c r="AV38" s="104">
        <f t="shared" si="168"/>
        <v>0.1152</v>
      </c>
      <c r="AW38" s="104">
        <f t="shared" si="169"/>
        <v>9.1391999999999989</v>
      </c>
      <c r="AX38" s="104">
        <f t="shared" si="170"/>
        <v>-4.3174513684086078</v>
      </c>
      <c r="AY38" s="104">
        <f t="shared" si="171"/>
        <v>-4.3174513684086078</v>
      </c>
      <c r="AZ38" s="104">
        <f t="shared" si="172"/>
        <v>13.456651368408608</v>
      </c>
      <c r="BA38" s="104">
        <f t="shared" si="82"/>
        <v>3.4827264483082754</v>
      </c>
      <c r="BB38" s="104">
        <f t="shared" si="173"/>
        <v>9.9739249201003322</v>
      </c>
      <c r="BC38" s="104"/>
      <c r="BD38" s="104">
        <f t="shared" si="174"/>
        <v>8.448E-2</v>
      </c>
      <c r="BE38" s="108">
        <f t="shared" si="175"/>
        <v>3.4299999999999997</v>
      </c>
      <c r="BF38" s="110">
        <f t="shared" si="176"/>
        <v>0</v>
      </c>
      <c r="BG38" s="110">
        <f t="shared" si="177"/>
        <v>0</v>
      </c>
      <c r="BH38" s="105" t="str">
        <f>VLOOKUP(A38,'BOCA DE LOBO'!C:I,7,0)</f>
        <v>BOCA DE LOBO PROJETADA DUPLA</v>
      </c>
      <c r="BI38" s="104">
        <f t="shared" si="178"/>
        <v>0</v>
      </c>
      <c r="BJ38" s="104">
        <f t="shared" si="179"/>
        <v>0</v>
      </c>
      <c r="BK38" s="104">
        <f t="shared" si="180"/>
        <v>0</v>
      </c>
      <c r="BL38" s="104">
        <f t="shared" si="181"/>
        <v>0</v>
      </c>
      <c r="BM38" s="104">
        <f t="shared" si="182"/>
        <v>0</v>
      </c>
      <c r="BN38" s="104">
        <f t="shared" si="183"/>
        <v>1</v>
      </c>
      <c r="BO38" s="104">
        <f t="shared" si="184"/>
        <v>0</v>
      </c>
      <c r="BP38" s="111"/>
      <c r="BQ38" s="108">
        <f t="shared" si="185"/>
        <v>11.52</v>
      </c>
      <c r="BR38" s="108">
        <f t="shared" si="186"/>
        <v>11.52</v>
      </c>
      <c r="BS38" s="108">
        <f t="shared" si="187"/>
        <v>7.1423999999999976</v>
      </c>
      <c r="BV38" s="538">
        <f t="shared" si="132"/>
        <v>23.347799999999996</v>
      </c>
      <c r="BW38" s="538">
        <f t="shared" si="130"/>
        <v>7.7825999999999986</v>
      </c>
      <c r="BX38" s="538">
        <f t="shared" si="40"/>
        <v>3.0325999999999995</v>
      </c>
      <c r="BY38" s="538">
        <f t="shared" si="188"/>
        <v>2.5</v>
      </c>
      <c r="BZ38" s="538">
        <f t="shared" si="189"/>
        <v>0</v>
      </c>
      <c r="CA38" s="538">
        <f t="shared" si="190"/>
        <v>2.9</v>
      </c>
      <c r="CB38" s="538">
        <f t="shared" si="191"/>
        <v>0</v>
      </c>
      <c r="CC38" s="538">
        <f t="shared" si="192"/>
        <v>0</v>
      </c>
      <c r="CD38" s="538">
        <f t="shared" si="193"/>
        <v>0</v>
      </c>
      <c r="CE38" s="538">
        <f t="shared" si="194"/>
        <v>11.673899999999998</v>
      </c>
      <c r="CF38" s="538">
        <f t="shared" si="195"/>
        <v>10.895639999999997</v>
      </c>
      <c r="CG38" s="538">
        <f t="shared" si="196"/>
        <v>0.77825999999999951</v>
      </c>
      <c r="CH38" s="538">
        <f t="shared" si="197"/>
        <v>0</v>
      </c>
      <c r="CI38" s="104">
        <f t="shared" si="131"/>
        <v>0.53549999999999998</v>
      </c>
      <c r="CJ38" s="538">
        <f t="shared" si="198"/>
        <v>13.239499999999996</v>
      </c>
      <c r="CK38" s="538">
        <f t="shared" si="98"/>
        <v>13.239499999999996</v>
      </c>
      <c r="CL38" s="538">
        <f t="shared" si="199"/>
        <v>0</v>
      </c>
      <c r="CM38" s="538">
        <f t="shared" si="200"/>
        <v>0.15565199999999998</v>
      </c>
      <c r="CN38" s="538">
        <f t="shared" si="44"/>
        <v>3.57</v>
      </c>
      <c r="CO38" s="538">
        <f t="shared" si="201"/>
        <v>3</v>
      </c>
      <c r="CP38" s="538">
        <f t="shared" si="202"/>
        <v>10.709999999999999</v>
      </c>
      <c r="CQ38" s="538">
        <f t="shared" si="203"/>
        <v>10.709999999999999</v>
      </c>
      <c r="CR38" s="539">
        <f t="shared" si="204"/>
        <v>0</v>
      </c>
      <c r="CS38" s="540">
        <f t="shared" si="45"/>
        <v>0</v>
      </c>
      <c r="CT38" s="540">
        <f t="shared" si="46"/>
        <v>0.33012999999999998</v>
      </c>
      <c r="CU38" s="541">
        <f t="shared" si="47"/>
        <v>13</v>
      </c>
      <c r="CV38" s="538">
        <f t="shared" si="48"/>
        <v>1.43895</v>
      </c>
      <c r="CW38" s="538">
        <f t="shared" si="49"/>
        <v>23.248199999999997</v>
      </c>
      <c r="CX38" s="104">
        <f t="shared" si="50"/>
        <v>3.57</v>
      </c>
      <c r="CY38" s="542">
        <f t="shared" si="205"/>
        <v>1.7849999999999999</v>
      </c>
      <c r="CZ38" s="538">
        <f t="shared" si="206"/>
        <v>0</v>
      </c>
      <c r="DC38" s="112" t="s">
        <v>1467</v>
      </c>
      <c r="DD38" s="112" t="b">
        <f t="shared" si="128"/>
        <v>0</v>
      </c>
    </row>
    <row r="39" spans="1:108" s="112" customFormat="1" ht="37.5" x14ac:dyDescent="0.25">
      <c r="A39" s="100" t="str">
        <f>'BOCA DE LOBO'!C37</f>
        <v>BL33-&gt;PV18.1</v>
      </c>
      <c r="B39" s="100" t="str">
        <f>'BOCA DE LOBO'!A37</f>
        <v>PV18.1</v>
      </c>
      <c r="C39" s="100" t="str">
        <f>VLOOKUP(A39,'BOCA DE LOBO'!C:F,3,0)</f>
        <v>PROJETADO</v>
      </c>
      <c r="D39" s="100" t="str">
        <f>VLOOKUP(A39,'BOCA DE LOBO'!C:L,10,0)</f>
        <v>AMPLIADA</v>
      </c>
      <c r="E39" s="100">
        <f t="shared" si="134"/>
        <v>2.5</v>
      </c>
      <c r="F39" s="100">
        <f>VLOOKUP(A39,'BOCA DE LOBO'!C:D,2,0)</f>
        <v>3.82</v>
      </c>
      <c r="G39" s="100">
        <f>VLOOKUP(A39,'BOCA DE LOBO'!C:F,4,0)</f>
        <v>5.38</v>
      </c>
      <c r="H39" s="101">
        <v>400</v>
      </c>
      <c r="I39" s="102">
        <f t="shared" si="135"/>
        <v>3.29</v>
      </c>
      <c r="J39" s="102">
        <f t="shared" si="136"/>
        <v>0</v>
      </c>
      <c r="K39" s="103">
        <v>0</v>
      </c>
      <c r="L39" s="104">
        <f t="shared" si="137"/>
        <v>0</v>
      </c>
      <c r="M39" s="104">
        <f t="shared" si="138"/>
        <v>0</v>
      </c>
      <c r="N39" s="104">
        <f t="shared" si="139"/>
        <v>400</v>
      </c>
      <c r="O39" s="104">
        <f t="shared" si="140"/>
        <v>0</v>
      </c>
      <c r="P39" s="144" t="str">
        <f>VLOOKUP(B39,'Planilha Hidráulica'!$AE$10:$AQ$30,13,0)</f>
        <v>ASFALTO</v>
      </c>
      <c r="Q39" s="144" t="s">
        <v>2029</v>
      </c>
      <c r="R39" s="105">
        <v>1</v>
      </c>
      <c r="S39" s="105">
        <f>VLOOKUP(Q39,Quantitativos!P:R,3,0)</f>
        <v>11.84</v>
      </c>
      <c r="T39" s="105">
        <f>VLOOKUP(Q39,Quantitativos!P:S,4,0)</f>
        <v>1.7</v>
      </c>
      <c r="U39" s="104">
        <f t="shared" si="141"/>
        <v>0.05</v>
      </c>
      <c r="V39" s="106">
        <f t="shared" si="142"/>
        <v>0</v>
      </c>
      <c r="W39" s="106">
        <f t="shared" si="143"/>
        <v>0</v>
      </c>
      <c r="X39" s="107">
        <f t="shared" si="144"/>
        <v>0</v>
      </c>
      <c r="Y39" s="107">
        <f t="shared" si="145"/>
        <v>0.4</v>
      </c>
      <c r="Z39" s="107">
        <f t="shared" si="146"/>
        <v>3.29</v>
      </c>
      <c r="AA39" s="107">
        <f t="shared" si="147"/>
        <v>0</v>
      </c>
      <c r="AB39" s="108">
        <f t="shared" si="148"/>
        <v>0</v>
      </c>
      <c r="AC39" s="109">
        <f t="shared" si="149"/>
        <v>0</v>
      </c>
      <c r="AD39" s="109">
        <f t="shared" si="150"/>
        <v>0</v>
      </c>
      <c r="AE39" s="109">
        <f t="shared" si="151"/>
        <v>0</v>
      </c>
      <c r="AF39" s="109">
        <f t="shared" si="152"/>
        <v>0</v>
      </c>
      <c r="AG39" s="109">
        <f t="shared" si="153"/>
        <v>0</v>
      </c>
      <c r="AH39" s="109">
        <f t="shared" si="154"/>
        <v>0</v>
      </c>
      <c r="AI39" s="537" t="str">
        <f t="shared" si="155"/>
        <v>NÃO</v>
      </c>
      <c r="AJ39" s="104">
        <f t="shared" si="156"/>
        <v>0</v>
      </c>
      <c r="AK39" s="104">
        <f t="shared" si="157"/>
        <v>0.11405599999999999</v>
      </c>
      <c r="AL39" s="104">
        <f t="shared" si="158"/>
        <v>0</v>
      </c>
      <c r="AM39" s="102">
        <f t="shared" si="159"/>
        <v>0</v>
      </c>
      <c r="AN39" s="106">
        <f t="shared" si="160"/>
        <v>0</v>
      </c>
      <c r="AO39" s="104">
        <f t="shared" si="161"/>
        <v>0</v>
      </c>
      <c r="AP39" s="104">
        <f t="shared" si="162"/>
        <v>0</v>
      </c>
      <c r="AQ39" s="104">
        <f t="shared" si="163"/>
        <v>0.7</v>
      </c>
      <c r="AR39" s="104">
        <f t="shared" si="164"/>
        <v>0</v>
      </c>
      <c r="AS39" s="104">
        <f t="shared" si="165"/>
        <v>0</v>
      </c>
      <c r="AT39" s="104">
        <f t="shared" si="166"/>
        <v>0</v>
      </c>
      <c r="AU39" s="104">
        <f t="shared" si="167"/>
        <v>0</v>
      </c>
      <c r="AV39" s="104">
        <f t="shared" si="168"/>
        <v>0</v>
      </c>
      <c r="AW39" s="104">
        <f t="shared" si="169"/>
        <v>0</v>
      </c>
      <c r="AX39" s="104">
        <f t="shared" si="170"/>
        <v>0</v>
      </c>
      <c r="AY39" s="104">
        <f t="shared" si="171"/>
        <v>0</v>
      </c>
      <c r="AZ39" s="104">
        <f t="shared" si="172"/>
        <v>0</v>
      </c>
      <c r="BA39" s="104">
        <f t="shared" si="82"/>
        <v>0</v>
      </c>
      <c r="BB39" s="104">
        <f t="shared" si="173"/>
        <v>0</v>
      </c>
      <c r="BC39" s="104"/>
      <c r="BD39" s="104">
        <f t="shared" si="174"/>
        <v>0</v>
      </c>
      <c r="BE39" s="108">
        <f t="shared" si="175"/>
        <v>3.29</v>
      </c>
      <c r="BF39" s="110">
        <f t="shared" si="176"/>
        <v>0</v>
      </c>
      <c r="BG39" s="110">
        <f t="shared" si="177"/>
        <v>0</v>
      </c>
      <c r="BH39" s="105" t="str">
        <f>VLOOKUP(A39,'BOCA DE LOBO'!C:I,7,0)</f>
        <v>BOCA DE LOBO DUPLA EXISTENTE COM BOCA DE LOBO SIMPLES PROJETADA</v>
      </c>
      <c r="BI39" s="104">
        <f t="shared" si="178"/>
        <v>0</v>
      </c>
      <c r="BJ39" s="104">
        <f t="shared" si="179"/>
        <v>0</v>
      </c>
      <c r="BK39" s="104">
        <f t="shared" si="180"/>
        <v>1</v>
      </c>
      <c r="BL39" s="104">
        <f t="shared" si="181"/>
        <v>0</v>
      </c>
      <c r="BM39" s="104">
        <f t="shared" si="182"/>
        <v>0</v>
      </c>
      <c r="BN39" s="104">
        <f t="shared" si="183"/>
        <v>0</v>
      </c>
      <c r="BO39" s="104">
        <f t="shared" si="184"/>
        <v>0</v>
      </c>
      <c r="BP39" s="111"/>
      <c r="BQ39" s="108">
        <f t="shared" si="185"/>
        <v>16.14</v>
      </c>
      <c r="BR39" s="108">
        <f t="shared" si="186"/>
        <v>16.14</v>
      </c>
      <c r="BS39" s="108">
        <f t="shared" si="187"/>
        <v>8.5004000000000008</v>
      </c>
      <c r="BV39" s="538">
        <f t="shared" si="132"/>
        <v>10.987199999999998</v>
      </c>
      <c r="BW39" s="538">
        <f t="shared" si="130"/>
        <v>3.6623999999999994</v>
      </c>
      <c r="BX39" s="538">
        <f t="shared" si="40"/>
        <v>1.3923999999999999</v>
      </c>
      <c r="BY39" s="538">
        <f t="shared" si="188"/>
        <v>2.5</v>
      </c>
      <c r="BZ39" s="538">
        <f t="shared" si="189"/>
        <v>2.5</v>
      </c>
      <c r="CA39" s="538">
        <f t="shared" si="190"/>
        <v>0.4</v>
      </c>
      <c r="CB39" s="538">
        <f t="shared" si="191"/>
        <v>0</v>
      </c>
      <c r="CC39" s="538">
        <f t="shared" si="192"/>
        <v>5.4935999999999989</v>
      </c>
      <c r="CD39" s="538">
        <f t="shared" si="193"/>
        <v>3.6623999999999994</v>
      </c>
      <c r="CE39" s="538">
        <f t="shared" si="194"/>
        <v>0</v>
      </c>
      <c r="CF39" s="538">
        <f t="shared" si="195"/>
        <v>1.4649599999999998</v>
      </c>
      <c r="CG39" s="538">
        <f t="shared" si="196"/>
        <v>0.36623999999999945</v>
      </c>
      <c r="CH39" s="538">
        <f t="shared" si="197"/>
        <v>0</v>
      </c>
      <c r="CI39" s="104">
        <f t="shared" si="131"/>
        <v>0.252</v>
      </c>
      <c r="CJ39" s="538">
        <f t="shared" si="198"/>
        <v>6.3309999999999986</v>
      </c>
      <c r="CK39" s="538">
        <f t="shared" si="98"/>
        <v>6.3309999999999986</v>
      </c>
      <c r="CL39" s="538">
        <f t="shared" si="199"/>
        <v>0</v>
      </c>
      <c r="CM39" s="538">
        <f t="shared" si="200"/>
        <v>7.3247999999999994E-2</v>
      </c>
      <c r="CN39" s="538">
        <f t="shared" si="44"/>
        <v>1.68</v>
      </c>
      <c r="CO39" s="538">
        <f t="shared" si="201"/>
        <v>3</v>
      </c>
      <c r="CP39" s="538">
        <f t="shared" si="202"/>
        <v>5.04</v>
      </c>
      <c r="CQ39" s="538">
        <f t="shared" si="203"/>
        <v>5.04</v>
      </c>
      <c r="CR39" s="539">
        <f t="shared" si="204"/>
        <v>1.1000000000000001</v>
      </c>
      <c r="CS39" s="540">
        <f t="shared" si="45"/>
        <v>5.1000000000000004E-2</v>
      </c>
      <c r="CT39" s="540">
        <f t="shared" si="46"/>
        <v>0.15421000000000001</v>
      </c>
      <c r="CU39" s="541">
        <f t="shared" si="47"/>
        <v>6.5</v>
      </c>
      <c r="CV39" s="538">
        <f t="shared" si="48"/>
        <v>0.90203999999999995</v>
      </c>
      <c r="CW39" s="538">
        <f t="shared" si="49"/>
        <v>15.764600000000002</v>
      </c>
      <c r="CX39" s="104">
        <f t="shared" si="50"/>
        <v>1.68</v>
      </c>
      <c r="CY39" s="542">
        <f t="shared" si="205"/>
        <v>0.84</v>
      </c>
      <c r="CZ39" s="538">
        <f t="shared" si="206"/>
        <v>0</v>
      </c>
      <c r="DC39" s="112" t="s">
        <v>1471</v>
      </c>
      <c r="DD39" s="112" t="b">
        <f t="shared" si="128"/>
        <v>0</v>
      </c>
    </row>
    <row r="40" spans="1:108" s="112" customFormat="1" ht="25" x14ac:dyDescent="0.25">
      <c r="A40" s="100" t="str">
        <f>'BOCA DE LOBO'!C38</f>
        <v>BL34-&gt;PV18.1</v>
      </c>
      <c r="B40" s="100" t="str">
        <f>'BOCA DE LOBO'!A38</f>
        <v>PV18.1</v>
      </c>
      <c r="C40" s="100" t="str">
        <f>VLOOKUP(A40,'BOCA DE LOBO'!C:F,3,0)</f>
        <v>PROJETADO</v>
      </c>
      <c r="D40" s="100" t="str">
        <f>VLOOKUP(A40,'BOCA DE LOBO'!C:L,10,0)</f>
        <v>PROJETADA</v>
      </c>
      <c r="E40" s="100">
        <f t="shared" si="134"/>
        <v>2.5</v>
      </c>
      <c r="F40" s="100">
        <f>VLOOKUP(A40,'BOCA DE LOBO'!C:D,2,0)</f>
        <v>3.82</v>
      </c>
      <c r="G40" s="100">
        <f>VLOOKUP(A40,'BOCA DE LOBO'!C:F,4,0)</f>
        <v>11.11</v>
      </c>
      <c r="H40" s="101">
        <v>400</v>
      </c>
      <c r="I40" s="102">
        <f t="shared" si="135"/>
        <v>3.29</v>
      </c>
      <c r="J40" s="102">
        <f t="shared" si="136"/>
        <v>1.8275949999999999</v>
      </c>
      <c r="K40" s="103">
        <v>0</v>
      </c>
      <c r="L40" s="104">
        <f t="shared" si="137"/>
        <v>1</v>
      </c>
      <c r="M40" s="104">
        <f t="shared" si="138"/>
        <v>1</v>
      </c>
      <c r="N40" s="104">
        <f t="shared" si="139"/>
        <v>0</v>
      </c>
      <c r="O40" s="104">
        <f t="shared" si="140"/>
        <v>11.11</v>
      </c>
      <c r="P40" s="144" t="str">
        <f>VLOOKUP(B40,'Planilha Hidráulica'!$AE$10:$AQ$30,13,0)</f>
        <v>ASFALTO</v>
      </c>
      <c r="Q40" s="144" t="s">
        <v>2029</v>
      </c>
      <c r="R40" s="105">
        <v>1</v>
      </c>
      <c r="S40" s="105">
        <f>VLOOKUP(Q40,Quantitativos!P:R,3,0)</f>
        <v>11.84</v>
      </c>
      <c r="T40" s="105">
        <f>VLOOKUP(Q40,Quantitativos!P:S,4,0)</f>
        <v>1.7</v>
      </c>
      <c r="U40" s="104">
        <f t="shared" si="141"/>
        <v>0.05</v>
      </c>
      <c r="V40" s="106">
        <f t="shared" si="142"/>
        <v>0</v>
      </c>
      <c r="W40" s="106">
        <f t="shared" si="143"/>
        <v>40.995899999999999</v>
      </c>
      <c r="X40" s="107">
        <f t="shared" si="144"/>
        <v>0</v>
      </c>
      <c r="Y40" s="107">
        <f t="shared" si="145"/>
        <v>3.69</v>
      </c>
      <c r="Z40" s="107">
        <f t="shared" si="146"/>
        <v>0</v>
      </c>
      <c r="AA40" s="107">
        <f t="shared" si="147"/>
        <v>3.29</v>
      </c>
      <c r="AB40" s="108">
        <f t="shared" si="148"/>
        <v>11.11</v>
      </c>
      <c r="AC40" s="109">
        <f t="shared" si="149"/>
        <v>16.664999999999999</v>
      </c>
      <c r="AD40" s="109">
        <f t="shared" si="150"/>
        <v>16.664999999999999</v>
      </c>
      <c r="AE40" s="109">
        <f t="shared" si="151"/>
        <v>7.6658999999999988</v>
      </c>
      <c r="AF40" s="109">
        <f t="shared" si="152"/>
        <v>0</v>
      </c>
      <c r="AG40" s="109">
        <f t="shared" si="153"/>
        <v>0</v>
      </c>
      <c r="AH40" s="109">
        <f t="shared" si="154"/>
        <v>0</v>
      </c>
      <c r="AI40" s="537" t="str">
        <f t="shared" si="155"/>
        <v>NÃO</v>
      </c>
      <c r="AJ40" s="104">
        <f t="shared" si="156"/>
        <v>0</v>
      </c>
      <c r="AK40" s="104">
        <f t="shared" si="157"/>
        <v>0.23553199999999999</v>
      </c>
      <c r="AL40" s="104">
        <f t="shared" si="158"/>
        <v>39.599776224744694</v>
      </c>
      <c r="AM40" s="102">
        <f t="shared" si="159"/>
        <v>0.55549999999999999</v>
      </c>
      <c r="AN40" s="106">
        <f t="shared" si="160"/>
        <v>0</v>
      </c>
      <c r="AO40" s="104">
        <f t="shared" si="161"/>
        <v>4.444</v>
      </c>
      <c r="AP40" s="104">
        <f t="shared" si="162"/>
        <v>4.444</v>
      </c>
      <c r="AQ40" s="104">
        <f t="shared" si="163"/>
        <v>0.7</v>
      </c>
      <c r="AR40" s="104">
        <f t="shared" si="164"/>
        <v>6.3808762247446946</v>
      </c>
      <c r="AS40" s="104">
        <f t="shared" si="165"/>
        <v>6.3808762247446946</v>
      </c>
      <c r="AT40" s="104">
        <f t="shared" si="166"/>
        <v>1.6664999999999999</v>
      </c>
      <c r="AU40" s="104">
        <f t="shared" si="167"/>
        <v>1.6664999999999999</v>
      </c>
      <c r="AV40" s="104">
        <f t="shared" si="168"/>
        <v>0.33329999999999999</v>
      </c>
      <c r="AW40" s="104">
        <f t="shared" si="169"/>
        <v>24.886399999999995</v>
      </c>
      <c r="AX40" s="104">
        <f t="shared" si="170"/>
        <v>-12.491376224744695</v>
      </c>
      <c r="AY40" s="104">
        <f t="shared" si="171"/>
        <v>-12.491376224744695</v>
      </c>
      <c r="AZ40" s="104">
        <f t="shared" si="172"/>
        <v>37.377776224744693</v>
      </c>
      <c r="BA40" s="104">
        <f t="shared" si="82"/>
        <v>9.6737714512300208</v>
      </c>
      <c r="BB40" s="104">
        <f t="shared" si="173"/>
        <v>27.704004773514672</v>
      </c>
      <c r="BC40" s="104"/>
      <c r="BD40" s="104">
        <f t="shared" si="174"/>
        <v>0.24442</v>
      </c>
      <c r="BE40" s="108">
        <f t="shared" si="175"/>
        <v>3.29</v>
      </c>
      <c r="BF40" s="110">
        <f t="shared" si="176"/>
        <v>0</v>
      </c>
      <c r="BG40" s="110">
        <f t="shared" si="177"/>
        <v>0</v>
      </c>
      <c r="BH40" s="105" t="str">
        <f>VLOOKUP(A40,'BOCA DE LOBO'!C:I,7,0)</f>
        <v>BOCA DE LOBO PROJETADA DUPLA</v>
      </c>
      <c r="BI40" s="104">
        <f t="shared" si="178"/>
        <v>0</v>
      </c>
      <c r="BJ40" s="104">
        <f t="shared" si="179"/>
        <v>0</v>
      </c>
      <c r="BK40" s="104">
        <f t="shared" si="180"/>
        <v>0</v>
      </c>
      <c r="BL40" s="104">
        <f t="shared" si="181"/>
        <v>0</v>
      </c>
      <c r="BM40" s="104">
        <f t="shared" si="182"/>
        <v>0</v>
      </c>
      <c r="BN40" s="104">
        <f t="shared" si="183"/>
        <v>1</v>
      </c>
      <c r="BO40" s="104">
        <f t="shared" si="184"/>
        <v>0</v>
      </c>
      <c r="BP40" s="111"/>
      <c r="BQ40" s="108">
        <f t="shared" si="185"/>
        <v>33.33</v>
      </c>
      <c r="BR40" s="108">
        <f t="shared" si="186"/>
        <v>33.33</v>
      </c>
      <c r="BS40" s="108">
        <f t="shared" si="187"/>
        <v>17.553799999999999</v>
      </c>
      <c r="BV40" s="538">
        <f t="shared" si="132"/>
        <v>23.347799999999996</v>
      </c>
      <c r="BW40" s="538">
        <f t="shared" si="130"/>
        <v>7.7825999999999986</v>
      </c>
      <c r="BX40" s="538">
        <f t="shared" si="40"/>
        <v>3.0325999999999995</v>
      </c>
      <c r="BY40" s="538">
        <f t="shared" si="188"/>
        <v>2.5</v>
      </c>
      <c r="BZ40" s="538">
        <f t="shared" si="189"/>
        <v>0</v>
      </c>
      <c r="CA40" s="538">
        <f t="shared" si="190"/>
        <v>2.9</v>
      </c>
      <c r="CB40" s="538">
        <f t="shared" si="191"/>
        <v>0</v>
      </c>
      <c r="CC40" s="538">
        <f t="shared" si="192"/>
        <v>0</v>
      </c>
      <c r="CD40" s="538">
        <f t="shared" si="193"/>
        <v>0</v>
      </c>
      <c r="CE40" s="538">
        <f t="shared" si="194"/>
        <v>11.673899999999998</v>
      </c>
      <c r="CF40" s="538">
        <f t="shared" si="195"/>
        <v>10.895639999999997</v>
      </c>
      <c r="CG40" s="538">
        <f t="shared" si="196"/>
        <v>0.77825999999999951</v>
      </c>
      <c r="CH40" s="538">
        <f t="shared" si="197"/>
        <v>0</v>
      </c>
      <c r="CI40" s="104">
        <f t="shared" si="131"/>
        <v>0.53549999999999998</v>
      </c>
      <c r="CJ40" s="538">
        <f t="shared" si="198"/>
        <v>13.239499999999996</v>
      </c>
      <c r="CK40" s="538">
        <f t="shared" si="98"/>
        <v>13.239499999999996</v>
      </c>
      <c r="CL40" s="538">
        <f t="shared" si="199"/>
        <v>0</v>
      </c>
      <c r="CM40" s="538">
        <f t="shared" si="200"/>
        <v>0.15565199999999998</v>
      </c>
      <c r="CN40" s="538">
        <f t="shared" si="44"/>
        <v>3.57</v>
      </c>
      <c r="CO40" s="538">
        <f t="shared" si="201"/>
        <v>3</v>
      </c>
      <c r="CP40" s="538">
        <f t="shared" si="202"/>
        <v>10.709999999999999</v>
      </c>
      <c r="CQ40" s="538">
        <f t="shared" si="203"/>
        <v>10.709999999999999</v>
      </c>
      <c r="CR40" s="539">
        <f t="shared" si="204"/>
        <v>0</v>
      </c>
      <c r="CS40" s="540">
        <f t="shared" si="45"/>
        <v>0</v>
      </c>
      <c r="CT40" s="540">
        <f t="shared" si="46"/>
        <v>0.33012999999999998</v>
      </c>
      <c r="CU40" s="541">
        <f t="shared" si="47"/>
        <v>13</v>
      </c>
      <c r="CV40" s="538">
        <f t="shared" si="48"/>
        <v>1.43895</v>
      </c>
      <c r="CW40" s="538">
        <f t="shared" si="49"/>
        <v>23.248199999999997</v>
      </c>
      <c r="CX40" s="104">
        <f t="shared" si="50"/>
        <v>3.57</v>
      </c>
      <c r="CY40" s="542">
        <f t="shared" si="205"/>
        <v>1.7849999999999999</v>
      </c>
      <c r="CZ40" s="538">
        <f t="shared" si="206"/>
        <v>0</v>
      </c>
      <c r="DC40" s="112" t="s">
        <v>1471</v>
      </c>
      <c r="DD40" s="112" t="b">
        <f t="shared" si="128"/>
        <v>0</v>
      </c>
    </row>
    <row r="41" spans="1:108" s="112" customFormat="1" ht="25" x14ac:dyDescent="0.25">
      <c r="A41" s="100" t="str">
        <f>'BOCA DE LOBO'!C39</f>
        <v>BL35-&gt;PV19.1</v>
      </c>
      <c r="B41" s="100" t="str">
        <f>'BOCA DE LOBO'!A39</f>
        <v>PV19.1</v>
      </c>
      <c r="C41" s="100" t="str">
        <f>VLOOKUP(A41,'BOCA DE LOBO'!C:F,3,0)</f>
        <v>PROJETADO</v>
      </c>
      <c r="D41" s="100" t="str">
        <f>VLOOKUP(A41,'BOCA DE LOBO'!C:L,10,0)</f>
        <v>PROJETADA</v>
      </c>
      <c r="E41" s="100">
        <f t="shared" si="134"/>
        <v>2.5</v>
      </c>
      <c r="F41" s="100">
        <f>VLOOKUP(A41,'BOCA DE LOBO'!C:D,2,0)</f>
        <v>4.22</v>
      </c>
      <c r="G41" s="100">
        <f>VLOOKUP(A41,'BOCA DE LOBO'!C:F,4,0)</f>
        <v>10.08</v>
      </c>
      <c r="H41" s="101">
        <v>400</v>
      </c>
      <c r="I41" s="102">
        <f t="shared" si="135"/>
        <v>3.4899999999999998</v>
      </c>
      <c r="J41" s="102">
        <f t="shared" si="136"/>
        <v>1.7589599999999996</v>
      </c>
      <c r="K41" s="103">
        <v>0</v>
      </c>
      <c r="L41" s="104">
        <f t="shared" si="137"/>
        <v>1</v>
      </c>
      <c r="M41" s="104">
        <f t="shared" si="138"/>
        <v>1</v>
      </c>
      <c r="N41" s="104">
        <f t="shared" si="139"/>
        <v>0</v>
      </c>
      <c r="O41" s="104">
        <f t="shared" si="140"/>
        <v>0</v>
      </c>
      <c r="P41" s="144" t="str">
        <f>VLOOKUP(B41,'Planilha Hidráulica'!$AE$10:$AQ$30,13,0)</f>
        <v>TERRENO NATURAL</v>
      </c>
      <c r="Q41" s="144" t="s">
        <v>2029</v>
      </c>
      <c r="R41" s="105">
        <v>1</v>
      </c>
      <c r="S41" s="105">
        <f>VLOOKUP(Q41,Quantitativos!P:R,3,0)</f>
        <v>11.84</v>
      </c>
      <c r="T41" s="105">
        <f>VLOOKUP(Q41,Quantitativos!P:S,4,0)</f>
        <v>1.7</v>
      </c>
      <c r="U41" s="104">
        <f t="shared" si="141"/>
        <v>0.05</v>
      </c>
      <c r="V41" s="106">
        <f t="shared" si="142"/>
        <v>0</v>
      </c>
      <c r="W41" s="106">
        <f>IF(G41=0,0,((((K41*I41)*I41)/2)*2+L41*I41)*G41-V41+AO41)</f>
        <v>39.211199999999991</v>
      </c>
      <c r="X41" s="107">
        <f t="shared" si="144"/>
        <v>0</v>
      </c>
      <c r="Y41" s="107">
        <f t="shared" si="145"/>
        <v>3.8899999999999997</v>
      </c>
      <c r="Z41" s="107">
        <f t="shared" si="146"/>
        <v>0</v>
      </c>
      <c r="AA41" s="107">
        <f t="shared" si="147"/>
        <v>3.4899999999999998</v>
      </c>
      <c r="AB41" s="108">
        <f t="shared" si="148"/>
        <v>0</v>
      </c>
      <c r="AC41" s="109">
        <f t="shared" si="149"/>
        <v>15.120000000000001</v>
      </c>
      <c r="AD41" s="109">
        <f t="shared" si="150"/>
        <v>15.120000000000001</v>
      </c>
      <c r="AE41" s="109">
        <f t="shared" si="151"/>
        <v>8.9711999999999961</v>
      </c>
      <c r="AF41" s="109">
        <f t="shared" si="152"/>
        <v>0</v>
      </c>
      <c r="AG41" s="109">
        <f t="shared" si="153"/>
        <v>0</v>
      </c>
      <c r="AH41" s="109">
        <f t="shared" si="154"/>
        <v>0</v>
      </c>
      <c r="AI41" s="537" t="str">
        <f t="shared" si="155"/>
        <v>NÃO</v>
      </c>
      <c r="AJ41" s="104">
        <f t="shared" si="156"/>
        <v>0</v>
      </c>
      <c r="AK41" s="104">
        <f t="shared" si="157"/>
        <v>0.24057599999999998</v>
      </c>
      <c r="AL41" s="104">
        <f t="shared" si="158"/>
        <v>37.944509842072591</v>
      </c>
      <c r="AM41" s="102">
        <f t="shared" si="159"/>
        <v>0.504</v>
      </c>
      <c r="AN41" s="106">
        <f t="shared" si="160"/>
        <v>0</v>
      </c>
      <c r="AO41" s="104">
        <f t="shared" si="161"/>
        <v>4.032</v>
      </c>
      <c r="AP41" s="104">
        <f t="shared" si="162"/>
        <v>4.032</v>
      </c>
      <c r="AQ41" s="104">
        <f t="shared" si="163"/>
        <v>0.7</v>
      </c>
      <c r="AR41" s="104">
        <f t="shared" si="164"/>
        <v>5.7893098420725941</v>
      </c>
      <c r="AS41" s="104">
        <f t="shared" si="165"/>
        <v>5.7893098420725941</v>
      </c>
      <c r="AT41" s="104">
        <f t="shared" si="166"/>
        <v>0</v>
      </c>
      <c r="AU41" s="104">
        <f t="shared" si="167"/>
        <v>0</v>
      </c>
      <c r="AV41" s="104">
        <f t="shared" si="168"/>
        <v>0</v>
      </c>
      <c r="AW41" s="104">
        <f t="shared" si="169"/>
        <v>27.619200000000003</v>
      </c>
      <c r="AX41" s="104">
        <f t="shared" si="170"/>
        <v>-9.8213098420725942</v>
      </c>
      <c r="AY41" s="104">
        <f t="shared" si="171"/>
        <v>-9.8213098420725942</v>
      </c>
      <c r="AZ41" s="104">
        <f t="shared" si="172"/>
        <v>37.440509842072601</v>
      </c>
      <c r="BA41" s="104">
        <f t="shared" si="82"/>
        <v>9.6900075877163143</v>
      </c>
      <c r="BB41" s="104">
        <f t="shared" si="173"/>
        <v>27.750502254356284</v>
      </c>
      <c r="BC41" s="104"/>
      <c r="BD41" s="104">
        <f t="shared" si="174"/>
        <v>0.16128000000000001</v>
      </c>
      <c r="BE41" s="108">
        <f t="shared" si="175"/>
        <v>3.4899999999999998</v>
      </c>
      <c r="BF41" s="110">
        <f t="shared" si="176"/>
        <v>0</v>
      </c>
      <c r="BG41" s="110">
        <f t="shared" si="177"/>
        <v>0</v>
      </c>
      <c r="BH41" s="105" t="str">
        <f>VLOOKUP(A41,'BOCA DE LOBO'!C:I,7,0)</f>
        <v>BOCA DE LOBO PROJETADA DUPLA</v>
      </c>
      <c r="BI41" s="104">
        <f t="shared" si="178"/>
        <v>0</v>
      </c>
      <c r="BJ41" s="104">
        <f t="shared" si="179"/>
        <v>0</v>
      </c>
      <c r="BK41" s="104">
        <f t="shared" si="180"/>
        <v>0</v>
      </c>
      <c r="BL41" s="104">
        <f t="shared" si="181"/>
        <v>0</v>
      </c>
      <c r="BM41" s="104">
        <f t="shared" si="182"/>
        <v>0</v>
      </c>
      <c r="BN41" s="104">
        <f t="shared" si="183"/>
        <v>1</v>
      </c>
      <c r="BO41" s="104">
        <f t="shared" si="184"/>
        <v>0</v>
      </c>
      <c r="BP41" s="111"/>
      <c r="BQ41" s="108">
        <f t="shared" si="185"/>
        <v>30.240000000000002</v>
      </c>
      <c r="BR41" s="108">
        <f t="shared" si="186"/>
        <v>30.240000000000002</v>
      </c>
      <c r="BS41" s="108">
        <f t="shared" si="187"/>
        <v>19.958399999999994</v>
      </c>
      <c r="BV41" s="538">
        <f t="shared" si="132"/>
        <v>23.347799999999996</v>
      </c>
      <c r="BW41" s="538">
        <f t="shared" si="130"/>
        <v>7.7825999999999986</v>
      </c>
      <c r="BX41" s="538">
        <f t="shared" si="40"/>
        <v>3.0325999999999995</v>
      </c>
      <c r="BY41" s="538">
        <f t="shared" si="188"/>
        <v>2.5</v>
      </c>
      <c r="BZ41" s="538">
        <f t="shared" si="189"/>
        <v>0</v>
      </c>
      <c r="CA41" s="538">
        <f t="shared" si="190"/>
        <v>2.9</v>
      </c>
      <c r="CB41" s="538">
        <f t="shared" si="191"/>
        <v>0</v>
      </c>
      <c r="CC41" s="538">
        <f t="shared" si="192"/>
        <v>0</v>
      </c>
      <c r="CD41" s="538">
        <f t="shared" si="193"/>
        <v>0</v>
      </c>
      <c r="CE41" s="538">
        <f t="shared" si="194"/>
        <v>11.673899999999998</v>
      </c>
      <c r="CF41" s="538">
        <f t="shared" si="195"/>
        <v>10.895639999999997</v>
      </c>
      <c r="CG41" s="538">
        <f t="shared" si="196"/>
        <v>0.77825999999999951</v>
      </c>
      <c r="CH41" s="538">
        <f t="shared" si="197"/>
        <v>0</v>
      </c>
      <c r="CI41" s="104">
        <f t="shared" si="131"/>
        <v>0.53549999999999998</v>
      </c>
      <c r="CJ41" s="538">
        <f t="shared" si="198"/>
        <v>13.239499999999996</v>
      </c>
      <c r="CK41" s="538">
        <f t="shared" si="98"/>
        <v>13.239499999999996</v>
      </c>
      <c r="CL41" s="538">
        <f t="shared" si="199"/>
        <v>0</v>
      </c>
      <c r="CM41" s="538">
        <f t="shared" si="200"/>
        <v>0.15565199999999998</v>
      </c>
      <c r="CN41" s="538">
        <f t="shared" si="44"/>
        <v>3.57</v>
      </c>
      <c r="CO41" s="538">
        <f t="shared" si="201"/>
        <v>3</v>
      </c>
      <c r="CP41" s="538">
        <f t="shared" si="202"/>
        <v>10.709999999999999</v>
      </c>
      <c r="CQ41" s="538">
        <f t="shared" si="203"/>
        <v>10.709999999999999</v>
      </c>
      <c r="CR41" s="539">
        <f t="shared" si="204"/>
        <v>0</v>
      </c>
      <c r="CS41" s="540">
        <f t="shared" si="45"/>
        <v>0</v>
      </c>
      <c r="CT41" s="540">
        <f t="shared" si="46"/>
        <v>0.33012999999999998</v>
      </c>
      <c r="CU41" s="541">
        <f t="shared" si="47"/>
        <v>13</v>
      </c>
      <c r="CV41" s="538">
        <f t="shared" si="48"/>
        <v>1.43895</v>
      </c>
      <c r="CW41" s="538">
        <f t="shared" si="49"/>
        <v>23.248199999999997</v>
      </c>
      <c r="CX41" s="104">
        <f t="shared" si="50"/>
        <v>3.57</v>
      </c>
      <c r="CY41" s="542">
        <f t="shared" si="205"/>
        <v>1.7849999999999999</v>
      </c>
      <c r="CZ41" s="538">
        <f t="shared" si="206"/>
        <v>0</v>
      </c>
      <c r="DC41" s="112" t="s">
        <v>1474</v>
      </c>
      <c r="DD41" s="112" t="b">
        <f t="shared" si="128"/>
        <v>0</v>
      </c>
    </row>
    <row r="42" spans="1:108" s="557" customFormat="1" ht="13" x14ac:dyDescent="0.25">
      <c r="A42" s="114" t="str">
        <f>'BOCA DE LOBO'!A40</f>
        <v>EXISTENTE</v>
      </c>
      <c r="B42" s="328"/>
      <c r="C42" s="328"/>
      <c r="D42" s="328"/>
      <c r="E42" s="328"/>
      <c r="F42" s="328"/>
      <c r="G42" s="328"/>
      <c r="H42" s="329"/>
      <c r="I42" s="545"/>
      <c r="J42" s="545"/>
      <c r="K42" s="546"/>
      <c r="L42" s="547"/>
      <c r="M42" s="547"/>
      <c r="N42" s="547"/>
      <c r="O42" s="547"/>
      <c r="P42" s="548"/>
      <c r="Q42" s="548"/>
      <c r="R42" s="549"/>
      <c r="S42" s="549"/>
      <c r="T42" s="549"/>
      <c r="U42" s="547"/>
      <c r="V42" s="550"/>
      <c r="W42" s="550"/>
      <c r="X42" s="551"/>
      <c r="Y42" s="551"/>
      <c r="Z42" s="551"/>
      <c r="AA42" s="551"/>
      <c r="AB42" s="552"/>
      <c r="AC42" s="553"/>
      <c r="AD42" s="553"/>
      <c r="AE42" s="553"/>
      <c r="AF42" s="553"/>
      <c r="AG42" s="553"/>
      <c r="AH42" s="553"/>
      <c r="AI42" s="554"/>
      <c r="AJ42" s="547"/>
      <c r="AK42" s="547"/>
      <c r="AL42" s="547"/>
      <c r="AM42" s="545"/>
      <c r="AN42" s="550"/>
      <c r="AO42" s="547"/>
      <c r="AP42" s="547"/>
      <c r="AQ42" s="547"/>
      <c r="AR42" s="547"/>
      <c r="AS42" s="547"/>
      <c r="AT42" s="547"/>
      <c r="AU42" s="547"/>
      <c r="AV42" s="547"/>
      <c r="AW42" s="547"/>
      <c r="AX42" s="547"/>
      <c r="AY42" s="547"/>
      <c r="AZ42" s="547"/>
      <c r="BA42" s="547"/>
      <c r="BB42" s="547"/>
      <c r="BC42" s="547"/>
      <c r="BD42" s="547"/>
      <c r="BE42" s="552"/>
      <c r="BF42" s="555"/>
      <c r="BG42" s="555"/>
      <c r="BH42" s="549"/>
      <c r="BI42" s="547"/>
      <c r="BJ42" s="547"/>
      <c r="BK42" s="547"/>
      <c r="BL42" s="547"/>
      <c r="BM42" s="547"/>
      <c r="BN42" s="547"/>
      <c r="BO42" s="547"/>
      <c r="BP42" s="556"/>
      <c r="BQ42" s="552"/>
      <c r="BR42" s="552"/>
      <c r="BS42" s="552"/>
      <c r="BV42" s="558"/>
      <c r="BW42" s="558"/>
      <c r="BX42" s="558"/>
      <c r="BY42" s="558"/>
      <c r="BZ42" s="558"/>
      <c r="CA42" s="558"/>
      <c r="CB42" s="558"/>
      <c r="CC42" s="558"/>
      <c r="CD42" s="558"/>
      <c r="CE42" s="558"/>
      <c r="CF42" s="558"/>
      <c r="CG42" s="558"/>
      <c r="CH42" s="558"/>
      <c r="CI42" s="547"/>
      <c r="CJ42" s="558"/>
      <c r="CK42" s="558"/>
      <c r="CL42" s="558"/>
      <c r="CM42" s="558"/>
      <c r="CN42" s="558"/>
      <c r="CO42" s="558"/>
      <c r="CP42" s="558"/>
      <c r="CQ42" s="558"/>
      <c r="CR42" s="559"/>
      <c r="CS42" s="560"/>
      <c r="CT42" s="560"/>
      <c r="CU42" s="561"/>
      <c r="CV42" s="558"/>
      <c r="CW42" s="558"/>
      <c r="CX42" s="547"/>
      <c r="CY42" s="562"/>
      <c r="CZ42" s="558"/>
    </row>
    <row r="43" spans="1:108" s="112" customFormat="1" ht="25" x14ac:dyDescent="0.25">
      <c r="A43" s="100" t="str">
        <f>'BOCA DE LOBO'!C41</f>
        <v>BL36-&gt;PV1-19</v>
      </c>
      <c r="B43" s="100" t="str">
        <f>'BOCA DE LOBO'!A41</f>
        <v>PV1-19</v>
      </c>
      <c r="C43" s="100" t="str">
        <f>VLOOKUP(A43,'BOCA DE LOBO'!C:F,3,0)</f>
        <v>EXISTENTE</v>
      </c>
      <c r="D43" s="100" t="str">
        <f>VLOOKUP(A43,'BOCA DE LOBO'!C:L,10,0)</f>
        <v>PROJETADA</v>
      </c>
      <c r="E43" s="100">
        <f t="shared" si="134"/>
        <v>1.4092</v>
      </c>
      <c r="F43" s="100">
        <f>VLOOKUP(A43,'BOCA DE LOBO'!C:D,2,0)</f>
        <v>1.6</v>
      </c>
      <c r="G43" s="100">
        <f>VLOOKUP(A43,'BOCA DE LOBO'!C:F,4,0)</f>
        <v>4.7699999999999996</v>
      </c>
      <c r="H43" s="101">
        <v>400</v>
      </c>
      <c r="I43" s="102">
        <f t="shared" si="135"/>
        <v>1.6346000000000001</v>
      </c>
      <c r="J43" s="102">
        <f t="shared" si="136"/>
        <v>0.38985209999999998</v>
      </c>
      <c r="K43" s="103">
        <v>0</v>
      </c>
      <c r="L43" s="104">
        <f t="shared" si="137"/>
        <v>1</v>
      </c>
      <c r="M43" s="104">
        <f t="shared" si="138"/>
        <v>1</v>
      </c>
      <c r="N43" s="104">
        <f t="shared" si="139"/>
        <v>0</v>
      </c>
      <c r="O43" s="104">
        <f t="shared" si="140"/>
        <v>4.7699999999999996</v>
      </c>
      <c r="P43" s="105" t="s">
        <v>1999</v>
      </c>
      <c r="Q43" s="144" t="s">
        <v>2159</v>
      </c>
      <c r="R43" s="105"/>
      <c r="S43" s="105">
        <v>5</v>
      </c>
      <c r="T43" s="105">
        <v>2.8</v>
      </c>
      <c r="U43" s="104">
        <f t="shared" si="141"/>
        <v>0.05</v>
      </c>
      <c r="V43" s="106">
        <f t="shared" si="142"/>
        <v>0</v>
      </c>
      <c r="W43" s="106">
        <f t="shared" si="143"/>
        <v>7.7970419999999994</v>
      </c>
      <c r="X43" s="107">
        <f t="shared" si="144"/>
        <v>0</v>
      </c>
      <c r="Y43" s="107">
        <f t="shared" si="145"/>
        <v>0</v>
      </c>
      <c r="Z43" s="107">
        <f t="shared" si="146"/>
        <v>1.6346000000000001</v>
      </c>
      <c r="AA43" s="107">
        <f t="shared" si="147"/>
        <v>0</v>
      </c>
      <c r="AB43" s="108">
        <f t="shared" si="148"/>
        <v>4.7699999999999996</v>
      </c>
      <c r="AC43" s="109">
        <f t="shared" si="149"/>
        <v>0</v>
      </c>
      <c r="AD43" s="109">
        <f t="shared" si="150"/>
        <v>0</v>
      </c>
      <c r="AE43" s="109">
        <f t="shared" si="151"/>
        <v>0</v>
      </c>
      <c r="AF43" s="109">
        <f t="shared" si="152"/>
        <v>7.1549999999999994</v>
      </c>
      <c r="AG43" s="109">
        <f t="shared" si="153"/>
        <v>0.64204200000000022</v>
      </c>
      <c r="AH43" s="109">
        <f t="shared" si="154"/>
        <v>0</v>
      </c>
      <c r="AI43" s="537" t="str">
        <f t="shared" si="155"/>
        <v>NÃO</v>
      </c>
      <c r="AJ43" s="104">
        <f t="shared" si="156"/>
        <v>0</v>
      </c>
      <c r="AK43" s="104">
        <f t="shared" si="157"/>
        <v>0</v>
      </c>
      <c r="AL43" s="104">
        <f t="shared" si="158"/>
        <v>7.197626121695067</v>
      </c>
      <c r="AM43" s="102">
        <f t="shared" si="159"/>
        <v>0.23849999999999999</v>
      </c>
      <c r="AN43" s="106">
        <f t="shared" si="160"/>
        <v>0</v>
      </c>
      <c r="AO43" s="104">
        <f t="shared" si="161"/>
        <v>0</v>
      </c>
      <c r="AP43" s="104">
        <f t="shared" si="162"/>
        <v>0</v>
      </c>
      <c r="AQ43" s="104">
        <f t="shared" si="163"/>
        <v>0.7</v>
      </c>
      <c r="AR43" s="104">
        <f t="shared" si="164"/>
        <v>2.7395841216950672</v>
      </c>
      <c r="AS43" s="104">
        <f t="shared" si="165"/>
        <v>0</v>
      </c>
      <c r="AT43" s="104">
        <f t="shared" si="166"/>
        <v>0.71549999999999991</v>
      </c>
      <c r="AU43" s="104">
        <f t="shared" si="167"/>
        <v>0.71549999999999991</v>
      </c>
      <c r="AV43" s="104">
        <f t="shared" si="168"/>
        <v>0.14309999999999998</v>
      </c>
      <c r="AW43" s="104">
        <f t="shared" si="169"/>
        <v>2.7885420000000005</v>
      </c>
      <c r="AX43" s="104">
        <f t="shared" si="170"/>
        <v>4.3419578783049326</v>
      </c>
      <c r="AY43" s="104">
        <f t="shared" si="171"/>
        <v>2.7885420000000005</v>
      </c>
      <c r="AZ43" s="104">
        <f t="shared" si="172"/>
        <v>0</v>
      </c>
      <c r="BA43" s="104">
        <f t="shared" ref="BA43:BA74" si="207">IF($AZ$96&gt;$BA$98,($BA$98/$AZ$96)*AZ43,AZ43)</f>
        <v>0</v>
      </c>
      <c r="BB43" s="104">
        <f t="shared" si="173"/>
        <v>0</v>
      </c>
      <c r="BC43" s="104"/>
      <c r="BD43" s="104">
        <f t="shared" si="174"/>
        <v>0</v>
      </c>
      <c r="BE43" s="108">
        <f t="shared" si="175"/>
        <v>1.6346000000000001</v>
      </c>
      <c r="BF43" s="110">
        <f t="shared" si="176"/>
        <v>4.7699999999999996</v>
      </c>
      <c r="BG43" s="110">
        <f t="shared" si="177"/>
        <v>0</v>
      </c>
      <c r="BH43" s="105" t="str">
        <f>VLOOKUP(A43,'BOCA DE LOBO'!C:I,7,0)</f>
        <v>BOCA DE LOBO PROJETADA TRIPLA</v>
      </c>
      <c r="BI43" s="104">
        <f t="shared" si="178"/>
        <v>0</v>
      </c>
      <c r="BJ43" s="104">
        <f t="shared" si="179"/>
        <v>0</v>
      </c>
      <c r="BK43" s="104">
        <f t="shared" si="180"/>
        <v>0</v>
      </c>
      <c r="BL43" s="104">
        <f t="shared" si="181"/>
        <v>0</v>
      </c>
      <c r="BM43" s="104">
        <f t="shared" si="182"/>
        <v>0</v>
      </c>
      <c r="BN43" s="104">
        <f t="shared" si="183"/>
        <v>0</v>
      </c>
      <c r="BO43" s="104">
        <f t="shared" si="184"/>
        <v>1</v>
      </c>
      <c r="BP43" s="111"/>
      <c r="BQ43" s="108">
        <f t="shared" si="185"/>
        <v>14.309999999999999</v>
      </c>
      <c r="BR43" s="108">
        <f t="shared" si="186"/>
        <v>1.2840840000000004</v>
      </c>
      <c r="BS43" s="108">
        <f t="shared" si="187"/>
        <v>0</v>
      </c>
      <c r="BV43" s="538">
        <f t="shared" ref="BV43:BV95" si="208">IF(OR("BOCA DE LOBO EXISTENTE TRIPLA"=BH43,"BOCA DE LOBO EXISTENTE SIMPLES"=BH43,"BOCA DE LOBO EXISTENTE DUPLA"=BH43),0,IF("BOCA DE LOBO PROJETADA DUPLA"=BH43,(2.57+1)*(1.18+1),IF(OR("BOCA DE LOBO DUPLA EXISTENTE COM BOCA DE LOBO SIMPLES PROJETADA"=BH43,"BOCA DE LOBO SIMPLES EXISTENTE COM BOCA DE LOBO SIMPLES PROJETADA"=BH43),(1.18+0.5)*(1.18+1),IF(OR(BH43="BOCA DE LOBO DUPLA EXISTENTE COM BOCA DE LOBO DUPLA PROJETADA",BH43="BOCA DE LOBO SIMPLES EXISTENTE COM BOCA DE LOBO DUPLA PROJETADA"),(2.38+0.5)*(1.18+1),IF("BOCA DE LOBO PROJETADA TRIPLA"=BH43,(3.76+1)*(1.18+1),IF("BOCA DE LOBO PROJETADA QUADRUPLA"=BH43,(4.92+1)*(1.18+1),"X"))))))*(E43+IF(CA43&gt;0,0.5,0))</f>
        <v>14.622986559999998</v>
      </c>
      <c r="BW43" s="538">
        <f t="shared" ref="BW43:BW95" si="209">IF(OR("BOCA DE LOBO EXISTENTE TRIPLA"=BH43,"BOCA DE LOBO EXISTENTE SIMPLES"=BH43,"BOCA DE LOBO EXISTENTE DUPLA"=BH43),0,IF("BOCA DE LOBO PROJETADA DUPLA"=BH43,(2.57+1)*(1.18+1),IF(OR("BOCA DE LOBO DUPLA EXISTENTE COM BOCA DE LOBO SIMPLES PROJETADA"=BH43,"BOCA DE LOBO SIMPLES EXISTENTE COM BOCA DE LOBO SIMPLES PROJETADA"=BH43),(1.18+1)*(1.18+0.5),IF(OR(BH43="BOCA DE LOBO DUPLA EXISTENTE COM BOCA DE LOBO DUPLA PROJETADA",BH43="BOCA DE LOBO SIMPLES EXISTENTE COM BOCA DE LOBO DUPLA PROJETADA"),(2.38+0.5)*(1.18+1),IF("BOCA DE LOBO PROJETADA TRIPLA"=BH43,(3.76+0.5*2)*(1.18+1),IF("BOCA DE LOBO PROJETADA QUADRUPLA"=BH43,(4.92+0.5*2)*(1.18+1),"X"))))))</f>
        <v>10.376799999999998</v>
      </c>
      <c r="BX43" s="538">
        <f t="shared" ref="BX43:BX71" si="210">IF(OR("BOCA DE LOBO EXISTENTE TRIPLA"=BH43,"BOCA DE LOBO EXISTENTE SIMPLES"=BH43,"BOCA DE LOBO EXISTENTE DUPLA"=BH43),0,IF("BOCA DE LOBO PROJETADA DUPLA"=BH43,(2.57)*(1.18),IF(OR("BOCA DE LOBO DUPLA EXISTENTE COM BOCA DE LOBO SIMPLES PROJETADA"=BH43,"BOCA DE LOBO SIMPLES EXISTENTE COM BOCA DE LOBO SIMPLES PROJETADA"=BH43),(1.18)*(1.18),IF(OR(BH43="BOCA DE LOBO DUPLA EXISTENTE COM BOCA DE LOBO DUPLA PROJETADA",BH43="BOCA DE LOBO SIMPLES EXISTENTE COM BOCA DE LOBO DUPLA PROJETADA"),(2.38)*(1.18),IF("BOCA DE LOBO PROJETADA TRIPLA"=BH43,(3.76)*(1.18),IF("BOCA DE LOBO PROJETADA QUADRUPLA"=BH43,(4.92)*(1.18),"X"))))))</f>
        <v>4.4367999999999999</v>
      </c>
      <c r="BY43" s="538">
        <f t="shared" si="188"/>
        <v>1.4092</v>
      </c>
      <c r="BZ43" s="538">
        <f t="shared" si="189"/>
        <v>1.4092</v>
      </c>
      <c r="CA43" s="538">
        <f t="shared" si="190"/>
        <v>0</v>
      </c>
      <c r="CB43" s="538">
        <f t="shared" si="191"/>
        <v>0</v>
      </c>
      <c r="CC43" s="538">
        <f t="shared" si="192"/>
        <v>14.622986559999998</v>
      </c>
      <c r="CD43" s="538">
        <f t="shared" si="193"/>
        <v>0</v>
      </c>
      <c r="CE43" s="538">
        <f t="shared" si="194"/>
        <v>0</v>
      </c>
      <c r="CF43" s="538">
        <f t="shared" si="195"/>
        <v>0</v>
      </c>
      <c r="CG43" s="538">
        <f t="shared" si="196"/>
        <v>0</v>
      </c>
      <c r="CH43" s="538">
        <f t="shared" si="197"/>
        <v>0</v>
      </c>
      <c r="CI43" s="104">
        <f t="shared" ref="CI43:CI95" si="211">IF(OR("BOCA DE LOBO EXISTENTE TRIPLA"=BH43,"BOCA DE LOBO EXISTENTE SIMPLES"=BH43,"BOCA DE LOBO EXISTENTE DUPLA"=BH43),0,IF("BOCA DE LOBO PROJETADA DUPLA"=BH43,(2.57+1)*(0.5),IF(OR("BOCA DE LOBO DUPLA EXISTENTE COM BOCA DE LOBO SIMPLES PROJETADA"=BH43,"BOCA DE LOBO SIMPLES EXISTENTE COM BOCA DE LOBO SIMPLES PROJETADA"=BH43),(1.18+0.5)*(0.5),IF(OR(BH43="BOCA DE LOBO DUPLA EXISTENTE COM BOCA DE LOBO DUPLA PROJETADA",BH43="BOCA DE LOBO SIMPLES EXISTENTE COM BOCA DE LOBO DUPLA PROJETADA"),(2.38+0.5)*(0.5),IF("BOCA DE LOBO PROJETADA TRIPLA"=BH43,(3.76+1)*(0.5),IF("BOCA DE LOBO PROJETADA QUADRUPLA"=BH43,(4.92+1)*(0.5),"X")))))*0.3)</f>
        <v>0.71399999999999997</v>
      </c>
      <c r="CJ43" s="538">
        <f t="shared" si="198"/>
        <v>7.656647999999997</v>
      </c>
      <c r="CK43" s="538">
        <f t="shared" ref="CK43:CK74" si="212">IF($CK$98&gt;$CJ$96,CJ43,CJ43*$CK$98/$CJ$96)</f>
        <v>7.656647999999997</v>
      </c>
      <c r="CL43" s="538">
        <f t="shared" si="199"/>
        <v>0</v>
      </c>
      <c r="CM43" s="538">
        <f t="shared" si="200"/>
        <v>0</v>
      </c>
      <c r="CN43" s="538">
        <f t="shared" ref="CN43:CN95" si="213">IF(OR("BOCA DE LOBO EXISTENTE TRIPLA"=BH43,"BOCA DE LOBO EXISTENTE SIMPLES"=BH43,"BOCA DE LOBO EXISTENTE DUPLA"=BH43),0,IF("BOCA DE LOBO PROJETADA DUPLA"=BH43,(2.57+1),IF(OR("BOCA DE LOBO DUPLA EXISTENTE COM BOCA DE LOBO SIMPLES PROJETADA"=BH43,"BOCA DE LOBO SIMPLES EXISTENTE COM BOCA DE LOBO SIMPLES PROJETADA"=BH43),(1.18+0.5),IF(OR(BH43="BOCA DE LOBO DUPLA EXISTENTE COM BOCA DE LOBO DUPLA PROJETADA",BH43="BOCA DE LOBO SIMPLES EXISTENTE COM BOCA DE LOBO DUPLA PROJETADA"),(2.38+0.5),IF("BOCA DE LOBO PROJETADA TRIPLA"=BH43,(3.76+0.5*2),IF("BOCA DE LOBO PROJETADA QUADRUPLA"=BH43,(4.92+0.5*2),"X"))))))</f>
        <v>4.76</v>
      </c>
      <c r="CO43" s="538">
        <f t="shared" si="201"/>
        <v>1.4092</v>
      </c>
      <c r="CP43" s="538">
        <f t="shared" si="202"/>
        <v>13.415583999999999</v>
      </c>
      <c r="CQ43" s="538">
        <f t="shared" si="203"/>
        <v>0</v>
      </c>
      <c r="CR43" s="539">
        <f t="shared" si="204"/>
        <v>0</v>
      </c>
      <c r="CS43" s="540">
        <f t="shared" ref="CS43:CS95" si="214">IF(OR("BOCA DE LOBO EXISTENTE TRIPLA"=BH43,"BOCA DE LOBO EXISTENTE SIMPLES"=BH43,"BOCA DE LOBO EXISTENTE DUPLA"=BH43,"BOCA DE LOBO EXISTENTE QUADRUPLA"=BH43),0,IF("BOCA DE LOBO PROJETADA DUPLA"=BH43,(0),IF(OR("BOCA DE LOBO DUPLA EXISTENTE COM BOCA DE LOBO SIMPLES PROJETADA"=BH43,"BOCA DE LOBO SIMPLES EXISTENTE COM BOCA DE LOBO SIMPLES PROJETADA"=BH43),(0.8*0.15*0.17),IF(OR(BH43="BOCA DE LOBO DUPLA EXISTENTE COM BOCA DE LOBO DUPLA PROJETADA",BH43="BOCA DE LOBO SIMPLES EXISTENTE COM BOCA DE LOBO DUPLA PROJETADA"),(0.8*0.15*0.17),IF("BOCA DE LOBO PROJETADA TRIPLA"=BH43,(0),IF("BOCA DE LOBO PROJETADA QUADRUPLA"=BH43,(0),"X")))))*E43)</f>
        <v>0</v>
      </c>
      <c r="CT43" s="540">
        <f t="shared" ref="CT43:CT95" si="215">IF(OR("BOCA DE LOBO EXISTENTE TRIPLA"=BH43,"BOCA DE LOBO EXISTENTE SIMPLES"=BH43,"BOCA DE LOBO EXISTENTE DUPLA"=BH43,"BOCA DE LOBO EXISTENTE QUADRUPLA"=BH43),0,IF("BOCA DE LOBO PROJETADA DUPLA"=BH43,(1.18*2.57*0.05),IF(OR("BOCA DE LOBO DUPLA EXISTENTE COM BOCA DE LOBO SIMPLES PROJETADA"=BH43,"BOCA DE LOBO SIMPLES EXISTENTE COM BOCA DE LOBO SIMPLES PROJETADA"=BH43),(1.19*1.18*0.05),IF(OR(BH43="BOCA DE LOBO DUPLA EXISTENTE COM BOCA DE LOBO DUPLA PROJETADA",BH43="BOCA DE LOBO SIMPLES EXISTENTE COM BOCA DE LOBO DUPLA PROJETADA"),(2.38*1.18*0.056),IF("BOCA DE LOBO PROJETADA TRIPLA"=BH43,(3.76*1.18*0.05),IF("BOCA DE LOBO PROJETADA QUADRUPLA"=BH43,(4.92*1.18*0.05),"X")))))+CI43/3)</f>
        <v>0.45984000000000003</v>
      </c>
      <c r="CU43" s="541">
        <f t="shared" ref="CU43:CU95" si="216">IF(OR("BOCA DE LOBO EXISTENTE TRIPLA"=BH43,"BOCA DE LOBO EXISTENTE SIMPLES"=BH43,"BOCA DE LOBO EXISTENTE DUPLA"=BH43,"BOCA DE LOBO EXISTENTE QUADRUPLA"=BH43),0,IF("BOCA DE LOBO PROJETADA DUPLA"=BH43,(1*4+0.6*2),IF(OR("BOCA DE LOBO DUPLA EXISTENTE COM BOCA DE LOBO SIMPLES PROJETADA"=BH43,"BOCA DE LOBO SIMPLES EXISTENTE COM BOCA DE LOBO SIMPLES PROJETADA"=BH43),(1*2+0.6),IF(OR(BH43="BOCA DE LOBO DUPLA EXISTENTE COM BOCA DE LOBO DUPLA PROJETADA",BH43="BOCA DE LOBO SIMPLES EXISTENTE COM BOCA DE LOBO DUPLA PROJETADA"),(1*4+0.6),IF("BOCA DE LOBO PROJETADA TRIPLA"=BH43,(6*1+0.6*2),IF("BOCA DE LOBO PROJETADA QUADRUPLA"=BH43,(8*1+0.6*2),"X")))))*E43)</f>
        <v>10.146240000000001</v>
      </c>
      <c r="CV43" s="538">
        <f t="shared" ref="CV43:CV95" si="217">IF(OR("BOCA DE LOBO EXISTENTE TRIPLA"=BH43,"BOCA DE LOBO EXISTENTE SIMPLES"=BH43,"BOCA DE LOBO EXISTENTE DUPLA"=BH43,"BOCA DE LOBO EXISTENTE QUADRUPLA"=BH43),0,IF("BOCA DE LOBO PROJETADA DUPLA"=BH43,(12*E43*0.17*0.15+1*0.17*0.15*5+1.09*0.6*0.07*2+2.57*1.18*0.15),IF(OR("BOCA DE LOBO DUPLA EXISTENTE COM BOCA DE LOBO SIMPLES PROJETADA"=BH43,"BOCA DE LOBO SIMPLES EXISTENTE COM BOCA DE LOBO SIMPLES PROJETADA"=BH43),(8*E43*0.17*0.15+1*0.17*0.15*4+1.09*0.6*0.07*1+1.38*1.18*0.15),IF(OR(BH43="BOCA DE LOBO DUPLA EXISTENTE COM BOCA DE LOBO DUPLA PROJETADA",BH43="BOCA DE LOBO SIMPLES EXISTENTE COM BOCA DE LOBO DUPLA PROJETADA"),(7*E43*0.17*0.15+1*0.17*0.15*5+1.09*0.6*0.07*2+2.38*1.18*0.15),IF("BOCA DE LOBO PROJETADA TRIPLA"=BH43,(15*E43*0.17*0.15+1*0.17*0.15*7+1.09*0.6*0.07*3+3.76*1.18*0.15),IF("BOCA DE LOBO PROJETADA QUADRUPLA"=BH43,(19*E43*0.17*0.15+1*0.17*0.15*9+1.09*0.6*0.07*4+4.92*1.18*0.15),"X"))))))</f>
        <v>1.5203790000000001</v>
      </c>
      <c r="CW43" s="538">
        <f t="shared" ref="CW43:CW95" si="218">IF(OR("BOCA DE LOBO EXISTENTE TRIPLA"=BH43,"BOCA DE LOBO EXISTENTE SIMPLES"=BH43,"BOCA DE LOBO EXISTENTE DUPLA"=BH43,"BOCA DE LOBO EXISTENTE QUADRUPLA"=BH43),0,IF("BOCA DE LOBO PROJETADA DUPLA"=BH43,(12*E43*2*(0.17+0.15)+1*(2*0.17+0.15)*5+2*(2.57+1.18)*0.15+(1.09+0.6)*2*0.07*2),IF(OR("BOCA DE LOBO DUPLA EXISTENTE COM BOCA DE LOBO SIMPLES PROJETADA"=BH43,"BOCA DE LOBO SIMPLES EXISTENTE COM BOCA DE LOBO SIMPLES PROJETADA"=BH43),(8*E43*2*(0.17+0.15)+1*(2*0.17+0.15)*4+2*(1.38+1.18)*0.15+(1.09+0.6)*2*0.07*1),IF(OR(BH43="BOCA DE LOBO DUPLA EXISTENTE COM BOCA DE LOBO DUPLA PROJETADA",BH43="BOCA DE LOBO SIMPLES EXISTENTE COM BOCA DE LOBO DUPLA PROJETADA"),(7*E43*2*(0.17+0.15)+1*(2*0.17+0.15)*5+2*(2.38+1.18)*0.15+(1.09+0.6)*2*0.07*2),IF("BOCA DE LOBO PROJETADA TRIPLA"=BH43,(15*E43*2*(0.17+0.15)+1*(2*0.17+0.15)*7+2*(3.76+1.18)*0.15+(1.09+0.6)*2*0.07*3),IF("BOCA DE LOBO PROJETADA QUADRUPLA"=BH43,(19*E43*2*(0.17+0.15)+1*(2*0.17+0.15)*7+2*(4.92+1.18)*0.15+(1.09+0.6)*2*0.07*4),"X"))))))</f>
        <v>19.150120000000001</v>
      </c>
      <c r="CX43" s="104">
        <f t="shared" ref="CX43:CX95" si="219">IF(OR("BOCA DE LOBO EXISTENTE TRIPLA"=BH43,"BOCA DE LOBO EXISTENTE SIMPLES"=BH43,"BOCA DE LOBO EXISTENTE DUPLA"=BH43,"BOCA DE LOBO EXISTENTE QUADRUPLA"=BH43),0,IF("BOCA DE LOBO PROJETADA DUPLA"=BH43,(2.57+1),IF(OR("BOCA DE LOBO DUPLA EXISTENTE COM BOCA DE LOBO SIMPLES PROJETADA"=BH43,"BOCA DE LOBO SIMPLES EXISTENTE COM BOCA DE LOBO SIMPLES PROJETADA"=BH43),(1.18+0.5),IF(OR(BH43="BOCA DE LOBO DUPLA EXISTENTE COM BOCA DE LOBO DUPLA PROJETADA",BH43="BOCA DE LOBO SIMPLES EXISTENTE COM BOCA DE LOBO DUPLA PROJETADA"),(2.38+0.5),IF("BOCA DE LOBO PROJETADA TRIPLA"=BH43,(3.76+1),IF("BOCA DE LOBO PROJETADA QUADRUPLA"=BH43,(4.92+1),"X"))))))</f>
        <v>4.76</v>
      </c>
      <c r="CY43" s="542">
        <f t="shared" si="205"/>
        <v>2.38</v>
      </c>
      <c r="CZ43" s="538">
        <f t="shared" si="206"/>
        <v>2.4513847475961154E-2</v>
      </c>
      <c r="DC43" s="112" t="s">
        <v>1477</v>
      </c>
      <c r="DD43" s="112" t="b">
        <f t="shared" si="128"/>
        <v>0</v>
      </c>
    </row>
    <row r="44" spans="1:108" s="112" customFormat="1" ht="25" x14ac:dyDescent="0.25">
      <c r="A44" s="100" t="str">
        <f>'BOCA DE LOBO'!C42</f>
        <v>BL37-&gt;PV1-19</v>
      </c>
      <c r="B44" s="100" t="str">
        <f>'BOCA DE LOBO'!A42</f>
        <v>PV1-19</v>
      </c>
      <c r="C44" s="100" t="str">
        <f>VLOOKUP(A44,'BOCA DE LOBO'!C:F,3,0)</f>
        <v>EXISTENTE</v>
      </c>
      <c r="D44" s="100" t="str">
        <f>VLOOKUP(A44,'BOCA DE LOBO'!C:L,10,0)</f>
        <v>PROJETADA</v>
      </c>
      <c r="E44" s="100">
        <f t="shared" si="134"/>
        <v>1.2292000000000001</v>
      </c>
      <c r="F44" s="100">
        <f>VLOOKUP(A44,'BOCA DE LOBO'!C:D,2,0)</f>
        <v>1.6</v>
      </c>
      <c r="G44" s="100">
        <f>VLOOKUP(A44,'BOCA DE LOBO'!C:F,4,0)</f>
        <v>9.27</v>
      </c>
      <c r="H44" s="101">
        <v>400</v>
      </c>
      <c r="I44" s="102">
        <f t="shared" si="135"/>
        <v>1.5446000000000002</v>
      </c>
      <c r="J44" s="102">
        <f t="shared" si="136"/>
        <v>0.71592210000000001</v>
      </c>
      <c r="K44" s="103">
        <v>0</v>
      </c>
      <c r="L44" s="104">
        <f t="shared" si="137"/>
        <v>1</v>
      </c>
      <c r="M44" s="104">
        <f t="shared" si="138"/>
        <v>1</v>
      </c>
      <c r="N44" s="104">
        <f t="shared" si="139"/>
        <v>0</v>
      </c>
      <c r="O44" s="104">
        <f t="shared" si="140"/>
        <v>9.27</v>
      </c>
      <c r="P44" s="105" t="s">
        <v>1999</v>
      </c>
      <c r="Q44" s="144" t="s">
        <v>2159</v>
      </c>
      <c r="R44" s="105"/>
      <c r="S44" s="105">
        <v>5</v>
      </c>
      <c r="T44" s="105">
        <v>2.8</v>
      </c>
      <c r="U44" s="104">
        <f t="shared" si="141"/>
        <v>0.05</v>
      </c>
      <c r="V44" s="106">
        <f t="shared" si="142"/>
        <v>0</v>
      </c>
      <c r="W44" s="106">
        <f t="shared" si="143"/>
        <v>14.318442000000001</v>
      </c>
      <c r="X44" s="107">
        <f t="shared" si="144"/>
        <v>0</v>
      </c>
      <c r="Y44" s="107">
        <f t="shared" si="145"/>
        <v>0</v>
      </c>
      <c r="Z44" s="107">
        <f t="shared" si="146"/>
        <v>1.5446000000000002</v>
      </c>
      <c r="AA44" s="107">
        <f t="shared" si="147"/>
        <v>0</v>
      </c>
      <c r="AB44" s="108">
        <f t="shared" si="148"/>
        <v>9.27</v>
      </c>
      <c r="AC44" s="109">
        <f t="shared" si="149"/>
        <v>0</v>
      </c>
      <c r="AD44" s="109">
        <f t="shared" si="150"/>
        <v>0</v>
      </c>
      <c r="AE44" s="109">
        <f t="shared" si="151"/>
        <v>0</v>
      </c>
      <c r="AF44" s="109">
        <f t="shared" si="152"/>
        <v>13.904999999999999</v>
      </c>
      <c r="AG44" s="109">
        <f t="shared" si="153"/>
        <v>0.41344200000000181</v>
      </c>
      <c r="AH44" s="109">
        <f t="shared" si="154"/>
        <v>0</v>
      </c>
      <c r="AI44" s="537" t="str">
        <f t="shared" si="155"/>
        <v>NÃO</v>
      </c>
      <c r="AJ44" s="104">
        <f t="shared" si="156"/>
        <v>0</v>
      </c>
      <c r="AK44" s="104">
        <f t="shared" si="157"/>
        <v>0</v>
      </c>
      <c r="AL44" s="104">
        <f t="shared" si="158"/>
        <v>13.153539444048906</v>
      </c>
      <c r="AM44" s="102">
        <f t="shared" si="159"/>
        <v>0.46350000000000002</v>
      </c>
      <c r="AN44" s="106">
        <f t="shared" si="160"/>
        <v>0</v>
      </c>
      <c r="AO44" s="104">
        <f t="shared" si="161"/>
        <v>0</v>
      </c>
      <c r="AP44" s="104">
        <f t="shared" si="162"/>
        <v>0</v>
      </c>
      <c r="AQ44" s="104">
        <f t="shared" si="163"/>
        <v>0.7</v>
      </c>
      <c r="AR44" s="104">
        <f t="shared" si="164"/>
        <v>5.3240974440489035</v>
      </c>
      <c r="AS44" s="104">
        <f t="shared" si="165"/>
        <v>0</v>
      </c>
      <c r="AT44" s="104">
        <f t="shared" si="166"/>
        <v>1.3904999999999998</v>
      </c>
      <c r="AU44" s="104">
        <f t="shared" si="167"/>
        <v>1.3904999999999998</v>
      </c>
      <c r="AV44" s="104">
        <f t="shared" si="168"/>
        <v>0.27809999999999996</v>
      </c>
      <c r="AW44" s="104">
        <f t="shared" si="169"/>
        <v>4.5849420000000043</v>
      </c>
      <c r="AX44" s="104">
        <f t="shared" si="170"/>
        <v>7.6038445559510981</v>
      </c>
      <c r="AY44" s="104">
        <f t="shared" si="171"/>
        <v>4.5849420000000043</v>
      </c>
      <c r="AZ44" s="104">
        <f t="shared" si="172"/>
        <v>0</v>
      </c>
      <c r="BA44" s="104">
        <f t="shared" si="207"/>
        <v>0</v>
      </c>
      <c r="BB44" s="104">
        <f t="shared" si="173"/>
        <v>0</v>
      </c>
      <c r="BC44" s="104"/>
      <c r="BD44" s="104">
        <f t="shared" si="174"/>
        <v>0</v>
      </c>
      <c r="BE44" s="108">
        <f t="shared" si="175"/>
        <v>1.5446000000000002</v>
      </c>
      <c r="BF44" s="110">
        <f t="shared" si="176"/>
        <v>9.27</v>
      </c>
      <c r="BG44" s="110">
        <f t="shared" si="177"/>
        <v>0</v>
      </c>
      <c r="BH44" s="105" t="str">
        <f>VLOOKUP(A44,'BOCA DE LOBO'!C:I,7,0)</f>
        <v>BOCA DE LOBO PROJETADA TRIPLA</v>
      </c>
      <c r="BI44" s="104">
        <f t="shared" si="178"/>
        <v>0</v>
      </c>
      <c r="BJ44" s="104">
        <f t="shared" si="179"/>
        <v>0</v>
      </c>
      <c r="BK44" s="104">
        <f t="shared" si="180"/>
        <v>0</v>
      </c>
      <c r="BL44" s="104">
        <f t="shared" si="181"/>
        <v>0</v>
      </c>
      <c r="BM44" s="104">
        <f t="shared" si="182"/>
        <v>0</v>
      </c>
      <c r="BN44" s="104">
        <f t="shared" si="183"/>
        <v>0</v>
      </c>
      <c r="BO44" s="104">
        <f t="shared" si="184"/>
        <v>1</v>
      </c>
      <c r="BP44" s="111"/>
      <c r="BQ44" s="108">
        <f t="shared" si="185"/>
        <v>27.81</v>
      </c>
      <c r="BR44" s="108">
        <f t="shared" si="186"/>
        <v>0.82688400000000362</v>
      </c>
      <c r="BS44" s="108">
        <f t="shared" si="187"/>
        <v>0</v>
      </c>
      <c r="BV44" s="538">
        <f t="shared" si="208"/>
        <v>12.755162559999997</v>
      </c>
      <c r="BW44" s="538">
        <f t="shared" si="209"/>
        <v>10.376799999999998</v>
      </c>
      <c r="BX44" s="538">
        <f t="shared" si="210"/>
        <v>4.4367999999999999</v>
      </c>
      <c r="BY44" s="538">
        <f t="shared" si="188"/>
        <v>1.2292000000000001</v>
      </c>
      <c r="BZ44" s="538">
        <f t="shared" si="189"/>
        <v>1.2292000000000001</v>
      </c>
      <c r="CA44" s="538">
        <f t="shared" si="190"/>
        <v>0</v>
      </c>
      <c r="CB44" s="538">
        <f t="shared" si="191"/>
        <v>0</v>
      </c>
      <c r="CC44" s="538">
        <f t="shared" si="192"/>
        <v>12.755162559999997</v>
      </c>
      <c r="CD44" s="538">
        <f t="shared" si="193"/>
        <v>0</v>
      </c>
      <c r="CE44" s="538">
        <f t="shared" si="194"/>
        <v>0</v>
      </c>
      <c r="CF44" s="538">
        <f t="shared" si="195"/>
        <v>0</v>
      </c>
      <c r="CG44" s="538">
        <f t="shared" si="196"/>
        <v>0</v>
      </c>
      <c r="CH44" s="538">
        <f t="shared" si="197"/>
        <v>0</v>
      </c>
      <c r="CI44" s="104">
        <f t="shared" si="211"/>
        <v>0.71399999999999997</v>
      </c>
      <c r="CJ44" s="538">
        <f t="shared" si="198"/>
        <v>6.5874479999999984</v>
      </c>
      <c r="CK44" s="538">
        <f t="shared" si="212"/>
        <v>6.5874479999999984</v>
      </c>
      <c r="CL44" s="538">
        <f t="shared" si="199"/>
        <v>0</v>
      </c>
      <c r="CM44" s="538">
        <f t="shared" si="200"/>
        <v>0</v>
      </c>
      <c r="CN44" s="538">
        <f t="shared" si="213"/>
        <v>4.76</v>
      </c>
      <c r="CO44" s="538">
        <f t="shared" si="201"/>
        <v>1.2292000000000001</v>
      </c>
      <c r="CP44" s="538">
        <f t="shared" si="202"/>
        <v>11.701983999999999</v>
      </c>
      <c r="CQ44" s="538">
        <f t="shared" si="203"/>
        <v>0</v>
      </c>
      <c r="CR44" s="539">
        <f t="shared" si="204"/>
        <v>0</v>
      </c>
      <c r="CS44" s="540">
        <f t="shared" si="214"/>
        <v>0</v>
      </c>
      <c r="CT44" s="540">
        <f t="shared" si="215"/>
        <v>0.45984000000000003</v>
      </c>
      <c r="CU44" s="541">
        <f t="shared" si="216"/>
        <v>8.8502400000000012</v>
      </c>
      <c r="CV44" s="538">
        <f t="shared" si="217"/>
        <v>1.4515290000000001</v>
      </c>
      <c r="CW44" s="538">
        <f t="shared" si="218"/>
        <v>17.422120000000003</v>
      </c>
      <c r="CX44" s="104">
        <f t="shared" si="219"/>
        <v>4.76</v>
      </c>
      <c r="CY44" s="542">
        <f t="shared" si="205"/>
        <v>2.38</v>
      </c>
      <c r="CZ44" s="538">
        <f t="shared" si="206"/>
        <v>2.4513847475961154E-2</v>
      </c>
      <c r="DC44" s="112" t="s">
        <v>1555</v>
      </c>
      <c r="DD44" s="112" t="b">
        <f t="shared" si="128"/>
        <v>0</v>
      </c>
    </row>
    <row r="45" spans="1:108" s="112" customFormat="1" ht="25" x14ac:dyDescent="0.25">
      <c r="A45" s="100" t="str">
        <f>'BOCA DE LOBO'!C43</f>
        <v>BL38-&gt;PV2-19</v>
      </c>
      <c r="B45" s="100" t="str">
        <f>'BOCA DE LOBO'!A43</f>
        <v>PV2-19</v>
      </c>
      <c r="C45" s="100" t="str">
        <f>VLOOKUP(A45,'BOCA DE LOBO'!C:F,3,0)</f>
        <v>EXISTENTE</v>
      </c>
      <c r="D45" s="100" t="str">
        <f>VLOOKUP(A45,'BOCA DE LOBO'!C:L,10,0)</f>
        <v>EXISTENTE</v>
      </c>
      <c r="E45" s="100">
        <f t="shared" si="134"/>
        <v>2.218799999999959</v>
      </c>
      <c r="F45" s="100">
        <f>VLOOKUP(A45,'BOCA DE LOBO'!C:D,2,0)</f>
        <v>2.4199999999999591</v>
      </c>
      <c r="G45" s="100">
        <f>VLOOKUP(A45,'BOCA DE LOBO'!C:F,4,0)</f>
        <v>5.03</v>
      </c>
      <c r="H45" s="101">
        <v>400</v>
      </c>
      <c r="I45" s="102">
        <f t="shared" si="135"/>
        <v>2.4493999999999589</v>
      </c>
      <c r="J45" s="102">
        <f t="shared" si="136"/>
        <v>0</v>
      </c>
      <c r="K45" s="103">
        <v>0</v>
      </c>
      <c r="L45" s="104">
        <f t="shared" si="137"/>
        <v>0</v>
      </c>
      <c r="M45" s="104">
        <f t="shared" si="138"/>
        <v>0</v>
      </c>
      <c r="N45" s="104">
        <f t="shared" si="139"/>
        <v>400</v>
      </c>
      <c r="O45" s="104">
        <f t="shared" si="140"/>
        <v>0</v>
      </c>
      <c r="P45" s="105" t="s">
        <v>1999</v>
      </c>
      <c r="Q45" s="144" t="s">
        <v>2159</v>
      </c>
      <c r="R45" s="105"/>
      <c r="S45" s="105">
        <v>5</v>
      </c>
      <c r="T45" s="105">
        <v>2.8</v>
      </c>
      <c r="U45" s="104">
        <f t="shared" si="141"/>
        <v>0.05</v>
      </c>
      <c r="V45" s="106">
        <f t="shared" si="142"/>
        <v>0</v>
      </c>
      <c r="W45" s="106">
        <f t="shared" si="143"/>
        <v>0</v>
      </c>
      <c r="X45" s="107">
        <f t="shared" si="144"/>
        <v>0</v>
      </c>
      <c r="Y45" s="107">
        <f t="shared" si="145"/>
        <v>0</v>
      </c>
      <c r="Z45" s="107">
        <f t="shared" si="146"/>
        <v>2.4493999999999589</v>
      </c>
      <c r="AA45" s="107">
        <f t="shared" si="147"/>
        <v>0</v>
      </c>
      <c r="AB45" s="108">
        <f t="shared" si="148"/>
        <v>0</v>
      </c>
      <c r="AC45" s="109">
        <f t="shared" si="149"/>
        <v>0</v>
      </c>
      <c r="AD45" s="109">
        <f t="shared" si="150"/>
        <v>0</v>
      </c>
      <c r="AE45" s="109">
        <f t="shared" si="151"/>
        <v>0</v>
      </c>
      <c r="AF45" s="109">
        <f t="shared" si="152"/>
        <v>0</v>
      </c>
      <c r="AG45" s="109">
        <f t="shared" si="153"/>
        <v>0</v>
      </c>
      <c r="AH45" s="109">
        <f t="shared" si="154"/>
        <v>0</v>
      </c>
      <c r="AI45" s="537" t="str">
        <f t="shared" si="155"/>
        <v>NÃO</v>
      </c>
      <c r="AJ45" s="104">
        <f t="shared" si="156"/>
        <v>0</v>
      </c>
      <c r="AK45" s="104">
        <f t="shared" si="157"/>
        <v>0</v>
      </c>
      <c r="AL45" s="104">
        <f t="shared" si="158"/>
        <v>0</v>
      </c>
      <c r="AM45" s="102">
        <f t="shared" si="159"/>
        <v>0</v>
      </c>
      <c r="AN45" s="106">
        <f t="shared" si="160"/>
        <v>0</v>
      </c>
      <c r="AO45" s="104">
        <f t="shared" si="161"/>
        <v>0</v>
      </c>
      <c r="AP45" s="104">
        <f t="shared" si="162"/>
        <v>0</v>
      </c>
      <c r="AQ45" s="104">
        <f t="shared" si="163"/>
        <v>0.7</v>
      </c>
      <c r="AR45" s="104">
        <f t="shared" si="164"/>
        <v>0</v>
      </c>
      <c r="AS45" s="104">
        <f t="shared" si="165"/>
        <v>0</v>
      </c>
      <c r="AT45" s="104">
        <f t="shared" si="166"/>
        <v>0</v>
      </c>
      <c r="AU45" s="104">
        <f t="shared" si="167"/>
        <v>0</v>
      </c>
      <c r="AV45" s="104">
        <f t="shared" si="168"/>
        <v>0</v>
      </c>
      <c r="AW45" s="104">
        <f t="shared" si="169"/>
        <v>0</v>
      </c>
      <c r="AX45" s="104">
        <f t="shared" si="170"/>
        <v>0</v>
      </c>
      <c r="AY45" s="104">
        <f t="shared" si="171"/>
        <v>0</v>
      </c>
      <c r="AZ45" s="104">
        <f t="shared" si="172"/>
        <v>0</v>
      </c>
      <c r="BA45" s="104">
        <f t="shared" si="207"/>
        <v>0</v>
      </c>
      <c r="BB45" s="104">
        <f t="shared" si="173"/>
        <v>0</v>
      </c>
      <c r="BC45" s="104"/>
      <c r="BD45" s="104">
        <f t="shared" si="174"/>
        <v>0</v>
      </c>
      <c r="BE45" s="108">
        <f t="shared" si="175"/>
        <v>2.4493999999999589</v>
      </c>
      <c r="BF45" s="110">
        <f t="shared" si="176"/>
        <v>0</v>
      </c>
      <c r="BG45" s="110">
        <f t="shared" si="177"/>
        <v>0</v>
      </c>
      <c r="BH45" s="105" t="str">
        <f>VLOOKUP(A45,'BOCA DE LOBO'!C:I,7,0)</f>
        <v>BOCA DE LOBO EXISTENTE SIMPLES</v>
      </c>
      <c r="BI45" s="104">
        <f t="shared" si="178"/>
        <v>0</v>
      </c>
      <c r="BJ45" s="104">
        <f t="shared" si="179"/>
        <v>0</v>
      </c>
      <c r="BK45" s="104">
        <f t="shared" si="180"/>
        <v>0</v>
      </c>
      <c r="BL45" s="104">
        <f t="shared" si="181"/>
        <v>0</v>
      </c>
      <c r="BM45" s="104">
        <f t="shared" si="182"/>
        <v>0</v>
      </c>
      <c r="BN45" s="104">
        <f t="shared" si="183"/>
        <v>0</v>
      </c>
      <c r="BO45" s="104">
        <f t="shared" si="184"/>
        <v>0</v>
      </c>
      <c r="BP45" s="111"/>
      <c r="BQ45" s="108">
        <f t="shared" si="185"/>
        <v>15.09</v>
      </c>
      <c r="BR45" s="108">
        <f t="shared" si="186"/>
        <v>9.5509639999995866</v>
      </c>
      <c r="BS45" s="108">
        <f t="shared" si="187"/>
        <v>0</v>
      </c>
      <c r="BV45" s="538">
        <f t="shared" si="208"/>
        <v>0</v>
      </c>
      <c r="BW45" s="538">
        <f t="shared" si="209"/>
        <v>0</v>
      </c>
      <c r="BX45" s="538">
        <f t="shared" si="210"/>
        <v>0</v>
      </c>
      <c r="BY45" s="538">
        <f t="shared" si="188"/>
        <v>2.218799999999959</v>
      </c>
      <c r="BZ45" s="538">
        <f t="shared" si="189"/>
        <v>2.218799999999959</v>
      </c>
      <c r="CA45" s="538">
        <f t="shared" si="190"/>
        <v>0</v>
      </c>
      <c r="CB45" s="538">
        <f t="shared" si="191"/>
        <v>0</v>
      </c>
      <c r="CC45" s="538">
        <f t="shared" si="192"/>
        <v>0</v>
      </c>
      <c r="CD45" s="538">
        <f t="shared" si="193"/>
        <v>0</v>
      </c>
      <c r="CE45" s="538">
        <f t="shared" si="194"/>
        <v>0</v>
      </c>
      <c r="CF45" s="538">
        <f t="shared" si="195"/>
        <v>0</v>
      </c>
      <c r="CG45" s="538">
        <f t="shared" si="196"/>
        <v>0</v>
      </c>
      <c r="CH45" s="538">
        <f t="shared" si="197"/>
        <v>0</v>
      </c>
      <c r="CI45" s="104">
        <f t="shared" si="211"/>
        <v>0</v>
      </c>
      <c r="CJ45" s="538">
        <f t="shared" si="198"/>
        <v>0</v>
      </c>
      <c r="CK45" s="538">
        <f t="shared" si="212"/>
        <v>0</v>
      </c>
      <c r="CL45" s="538">
        <f t="shared" si="199"/>
        <v>0</v>
      </c>
      <c r="CM45" s="538">
        <f t="shared" si="200"/>
        <v>0</v>
      </c>
      <c r="CN45" s="538">
        <f t="shared" si="213"/>
        <v>0</v>
      </c>
      <c r="CO45" s="538">
        <f t="shared" si="201"/>
        <v>2.218799999999959</v>
      </c>
      <c r="CP45" s="538">
        <f t="shared" si="202"/>
        <v>0</v>
      </c>
      <c r="CQ45" s="538">
        <f t="shared" si="203"/>
        <v>0</v>
      </c>
      <c r="CR45" s="539">
        <f t="shared" si="204"/>
        <v>0</v>
      </c>
      <c r="CS45" s="540">
        <f t="shared" si="214"/>
        <v>0</v>
      </c>
      <c r="CT45" s="540">
        <f t="shared" si="215"/>
        <v>0</v>
      </c>
      <c r="CU45" s="541">
        <f t="shared" si="216"/>
        <v>0</v>
      </c>
      <c r="CV45" s="538">
        <f t="shared" si="217"/>
        <v>0</v>
      </c>
      <c r="CW45" s="538">
        <f t="shared" si="218"/>
        <v>0</v>
      </c>
      <c r="CX45" s="104">
        <f t="shared" si="219"/>
        <v>0</v>
      </c>
      <c r="CY45" s="542">
        <f t="shared" si="205"/>
        <v>0</v>
      </c>
      <c r="CZ45" s="538">
        <f t="shared" si="206"/>
        <v>0</v>
      </c>
      <c r="DC45" s="112" t="s">
        <v>1557</v>
      </c>
      <c r="DD45" s="112" t="b">
        <f t="shared" si="128"/>
        <v>0</v>
      </c>
    </row>
    <row r="46" spans="1:108" s="112" customFormat="1" ht="25" x14ac:dyDescent="0.25">
      <c r="A46" s="100" t="str">
        <f>'BOCA DE LOBO'!C44</f>
        <v>BL39-&gt;PV2-19</v>
      </c>
      <c r="B46" s="100" t="str">
        <f>'BOCA DE LOBO'!A44</f>
        <v>PV2-19</v>
      </c>
      <c r="C46" s="100" t="str">
        <f>VLOOKUP(A46,'BOCA DE LOBO'!C:F,3,0)</f>
        <v>EXISTENTE</v>
      </c>
      <c r="D46" s="100" t="str">
        <f>VLOOKUP(A46,'BOCA DE LOBO'!C:L,10,0)</f>
        <v>EXISTENTE</v>
      </c>
      <c r="E46" s="100">
        <f t="shared" si="134"/>
        <v>2.2175999999999592</v>
      </c>
      <c r="F46" s="100">
        <f>VLOOKUP(A46,'BOCA DE LOBO'!C:D,2,0)</f>
        <v>2.4199999999999591</v>
      </c>
      <c r="G46" s="100">
        <f>VLOOKUP(A46,'BOCA DE LOBO'!C:F,4,0)</f>
        <v>5.0599999999999996</v>
      </c>
      <c r="H46" s="101">
        <v>400</v>
      </c>
      <c r="I46" s="102">
        <f t="shared" si="135"/>
        <v>2.448799999999959</v>
      </c>
      <c r="J46" s="102">
        <f t="shared" si="136"/>
        <v>0</v>
      </c>
      <c r="K46" s="103">
        <v>0</v>
      </c>
      <c r="L46" s="104">
        <f t="shared" si="137"/>
        <v>0</v>
      </c>
      <c r="M46" s="104">
        <f t="shared" si="138"/>
        <v>0</v>
      </c>
      <c r="N46" s="104">
        <f t="shared" si="139"/>
        <v>400</v>
      </c>
      <c r="O46" s="104">
        <f t="shared" si="140"/>
        <v>0</v>
      </c>
      <c r="P46" s="105" t="s">
        <v>1999</v>
      </c>
      <c r="Q46" s="144" t="s">
        <v>2159</v>
      </c>
      <c r="R46" s="105"/>
      <c r="S46" s="105">
        <v>5</v>
      </c>
      <c r="T46" s="105">
        <v>2.8</v>
      </c>
      <c r="U46" s="104">
        <f t="shared" si="141"/>
        <v>0.05</v>
      </c>
      <c r="V46" s="106">
        <f t="shared" si="142"/>
        <v>0</v>
      </c>
      <c r="W46" s="106">
        <f t="shared" si="143"/>
        <v>0</v>
      </c>
      <c r="X46" s="107">
        <f t="shared" si="144"/>
        <v>0</v>
      </c>
      <c r="Y46" s="107">
        <f t="shared" si="145"/>
        <v>0</v>
      </c>
      <c r="Z46" s="107">
        <f t="shared" si="146"/>
        <v>2.448799999999959</v>
      </c>
      <c r="AA46" s="107">
        <f t="shared" si="147"/>
        <v>0</v>
      </c>
      <c r="AB46" s="108">
        <f t="shared" si="148"/>
        <v>0</v>
      </c>
      <c r="AC46" s="109">
        <f t="shared" si="149"/>
        <v>0</v>
      </c>
      <c r="AD46" s="109">
        <f t="shared" si="150"/>
        <v>0</v>
      </c>
      <c r="AE46" s="109">
        <f t="shared" si="151"/>
        <v>0</v>
      </c>
      <c r="AF46" s="109">
        <f t="shared" si="152"/>
        <v>0</v>
      </c>
      <c r="AG46" s="109">
        <f t="shared" si="153"/>
        <v>0</v>
      </c>
      <c r="AH46" s="109">
        <f t="shared" si="154"/>
        <v>0</v>
      </c>
      <c r="AI46" s="537" t="str">
        <f t="shared" si="155"/>
        <v>NÃO</v>
      </c>
      <c r="AJ46" s="104">
        <f t="shared" si="156"/>
        <v>0</v>
      </c>
      <c r="AK46" s="104">
        <f t="shared" si="157"/>
        <v>0</v>
      </c>
      <c r="AL46" s="104">
        <f t="shared" si="158"/>
        <v>0</v>
      </c>
      <c r="AM46" s="102">
        <f t="shared" si="159"/>
        <v>0</v>
      </c>
      <c r="AN46" s="106">
        <f t="shared" si="160"/>
        <v>0</v>
      </c>
      <c r="AO46" s="104">
        <f t="shared" si="161"/>
        <v>0</v>
      </c>
      <c r="AP46" s="104">
        <f t="shared" si="162"/>
        <v>0</v>
      </c>
      <c r="AQ46" s="104">
        <f t="shared" si="163"/>
        <v>0.7</v>
      </c>
      <c r="AR46" s="104">
        <f t="shared" si="164"/>
        <v>0</v>
      </c>
      <c r="AS46" s="104">
        <f t="shared" si="165"/>
        <v>0</v>
      </c>
      <c r="AT46" s="104">
        <f t="shared" si="166"/>
        <v>0</v>
      </c>
      <c r="AU46" s="104">
        <f t="shared" si="167"/>
        <v>0</v>
      </c>
      <c r="AV46" s="104">
        <f t="shared" si="168"/>
        <v>0</v>
      </c>
      <c r="AW46" s="104">
        <f t="shared" si="169"/>
        <v>0</v>
      </c>
      <c r="AX46" s="104">
        <f t="shared" si="170"/>
        <v>0</v>
      </c>
      <c r="AY46" s="104">
        <f t="shared" si="171"/>
        <v>0</v>
      </c>
      <c r="AZ46" s="104">
        <f t="shared" si="172"/>
        <v>0</v>
      </c>
      <c r="BA46" s="104">
        <f t="shared" si="207"/>
        <v>0</v>
      </c>
      <c r="BB46" s="104">
        <f t="shared" si="173"/>
        <v>0</v>
      </c>
      <c r="BC46" s="104"/>
      <c r="BD46" s="104">
        <f t="shared" si="174"/>
        <v>0</v>
      </c>
      <c r="BE46" s="108">
        <f t="shared" si="175"/>
        <v>2.448799999999959</v>
      </c>
      <c r="BF46" s="110">
        <f t="shared" si="176"/>
        <v>0</v>
      </c>
      <c r="BG46" s="110">
        <f t="shared" si="177"/>
        <v>0</v>
      </c>
      <c r="BH46" s="105" t="str">
        <f>VLOOKUP(A46,'BOCA DE LOBO'!C:I,7,0)</f>
        <v>BOCA DE LOBO EXISTENTE DUPLA</v>
      </c>
      <c r="BI46" s="104">
        <f t="shared" si="178"/>
        <v>0</v>
      </c>
      <c r="BJ46" s="104">
        <f t="shared" si="179"/>
        <v>0</v>
      </c>
      <c r="BK46" s="104">
        <f t="shared" si="180"/>
        <v>0</v>
      </c>
      <c r="BL46" s="104">
        <f t="shared" si="181"/>
        <v>0</v>
      </c>
      <c r="BM46" s="104">
        <f t="shared" si="182"/>
        <v>0</v>
      </c>
      <c r="BN46" s="104">
        <f t="shared" si="183"/>
        <v>0</v>
      </c>
      <c r="BO46" s="104">
        <f t="shared" si="184"/>
        <v>0</v>
      </c>
      <c r="BP46" s="111"/>
      <c r="BQ46" s="108">
        <f t="shared" si="185"/>
        <v>15.18</v>
      </c>
      <c r="BR46" s="108">
        <f t="shared" si="186"/>
        <v>9.6018559999995841</v>
      </c>
      <c r="BS46" s="108">
        <f t="shared" si="187"/>
        <v>0</v>
      </c>
      <c r="BV46" s="538">
        <f t="shared" si="208"/>
        <v>0</v>
      </c>
      <c r="BW46" s="538">
        <f t="shared" si="209"/>
        <v>0</v>
      </c>
      <c r="BX46" s="538">
        <f t="shared" si="210"/>
        <v>0</v>
      </c>
      <c r="BY46" s="538">
        <f t="shared" si="188"/>
        <v>2.2175999999999592</v>
      </c>
      <c r="BZ46" s="538">
        <f t="shared" si="189"/>
        <v>2.2175999999999592</v>
      </c>
      <c r="CA46" s="538">
        <f t="shared" si="190"/>
        <v>0</v>
      </c>
      <c r="CB46" s="538">
        <f t="shared" si="191"/>
        <v>0</v>
      </c>
      <c r="CC46" s="538">
        <f t="shared" si="192"/>
        <v>0</v>
      </c>
      <c r="CD46" s="538">
        <f t="shared" si="193"/>
        <v>0</v>
      </c>
      <c r="CE46" s="538">
        <f t="shared" si="194"/>
        <v>0</v>
      </c>
      <c r="CF46" s="538">
        <f t="shared" si="195"/>
        <v>0</v>
      </c>
      <c r="CG46" s="538">
        <f t="shared" si="196"/>
        <v>0</v>
      </c>
      <c r="CH46" s="538">
        <f t="shared" si="197"/>
        <v>0</v>
      </c>
      <c r="CI46" s="104">
        <f t="shared" si="211"/>
        <v>0</v>
      </c>
      <c r="CJ46" s="538">
        <f t="shared" si="198"/>
        <v>0</v>
      </c>
      <c r="CK46" s="538">
        <f t="shared" si="212"/>
        <v>0</v>
      </c>
      <c r="CL46" s="538">
        <f t="shared" si="199"/>
        <v>0</v>
      </c>
      <c r="CM46" s="538">
        <f t="shared" si="200"/>
        <v>0</v>
      </c>
      <c r="CN46" s="538">
        <f t="shared" si="213"/>
        <v>0</v>
      </c>
      <c r="CO46" s="538">
        <f t="shared" si="201"/>
        <v>2.2175999999999592</v>
      </c>
      <c r="CP46" s="538">
        <f t="shared" si="202"/>
        <v>0</v>
      </c>
      <c r="CQ46" s="538">
        <f t="shared" si="203"/>
        <v>0</v>
      </c>
      <c r="CR46" s="539">
        <f t="shared" si="204"/>
        <v>0</v>
      </c>
      <c r="CS46" s="540">
        <f t="shared" si="214"/>
        <v>0</v>
      </c>
      <c r="CT46" s="540">
        <f t="shared" si="215"/>
        <v>0</v>
      </c>
      <c r="CU46" s="541">
        <f t="shared" si="216"/>
        <v>0</v>
      </c>
      <c r="CV46" s="538">
        <f t="shared" si="217"/>
        <v>0</v>
      </c>
      <c r="CW46" s="538">
        <f t="shared" si="218"/>
        <v>0</v>
      </c>
      <c r="CX46" s="104">
        <f t="shared" si="219"/>
        <v>0</v>
      </c>
      <c r="CY46" s="542">
        <f t="shared" si="205"/>
        <v>0</v>
      </c>
      <c r="CZ46" s="538">
        <f t="shared" si="206"/>
        <v>0</v>
      </c>
      <c r="DC46" s="112" t="s">
        <v>1557</v>
      </c>
      <c r="DD46" s="112" t="b">
        <f t="shared" si="128"/>
        <v>0</v>
      </c>
    </row>
    <row r="47" spans="1:108" s="112" customFormat="1" ht="25" x14ac:dyDescent="0.25">
      <c r="A47" s="100" t="str">
        <f>'BOCA DE LOBO'!C45</f>
        <v>BL40-&gt;PV3-19</v>
      </c>
      <c r="B47" s="100" t="str">
        <f>'BOCA DE LOBO'!A45</f>
        <v>PV3-19</v>
      </c>
      <c r="C47" s="100" t="str">
        <f>VLOOKUP(A47,'BOCA DE LOBO'!C:F,3,0)</f>
        <v>EXISTENTE</v>
      </c>
      <c r="D47" s="100" t="str">
        <f>VLOOKUP(A47,'BOCA DE LOBO'!C:L,10,0)</f>
        <v>EXISTENTE</v>
      </c>
      <c r="E47" s="100">
        <f t="shared" si="134"/>
        <v>1.8667999999999818</v>
      </c>
      <c r="F47" s="100">
        <f>VLOOKUP(A47,'BOCA DE LOBO'!C:D,2,0)</f>
        <v>2.2699999999999818</v>
      </c>
      <c r="G47" s="100">
        <f>VLOOKUP(A47,'BOCA DE LOBO'!C:F,4,0)</f>
        <v>10.08</v>
      </c>
      <c r="H47" s="101">
        <v>400</v>
      </c>
      <c r="I47" s="102">
        <f t="shared" si="135"/>
        <v>2.1983999999999817</v>
      </c>
      <c r="J47" s="102">
        <f t="shared" si="136"/>
        <v>0</v>
      </c>
      <c r="K47" s="103">
        <v>0</v>
      </c>
      <c r="L47" s="104">
        <f t="shared" si="137"/>
        <v>0</v>
      </c>
      <c r="M47" s="104">
        <f t="shared" si="138"/>
        <v>0</v>
      </c>
      <c r="N47" s="104">
        <f t="shared" si="139"/>
        <v>400</v>
      </c>
      <c r="O47" s="104">
        <f t="shared" si="140"/>
        <v>0</v>
      </c>
      <c r="P47" s="105" t="s">
        <v>1999</v>
      </c>
      <c r="Q47" s="144" t="s">
        <v>2159</v>
      </c>
      <c r="R47" s="105"/>
      <c r="S47" s="105">
        <v>5</v>
      </c>
      <c r="T47" s="105">
        <v>2.8</v>
      </c>
      <c r="U47" s="104">
        <f t="shared" si="141"/>
        <v>0.05</v>
      </c>
      <c r="V47" s="106">
        <f t="shared" si="142"/>
        <v>0</v>
      </c>
      <c r="W47" s="106">
        <f t="shared" si="143"/>
        <v>0</v>
      </c>
      <c r="X47" s="107">
        <f t="shared" si="144"/>
        <v>0</v>
      </c>
      <c r="Y47" s="107">
        <f t="shared" si="145"/>
        <v>0</v>
      </c>
      <c r="Z47" s="107">
        <f t="shared" si="146"/>
        <v>2.1983999999999817</v>
      </c>
      <c r="AA47" s="107">
        <f t="shared" si="147"/>
        <v>0</v>
      </c>
      <c r="AB47" s="108">
        <f t="shared" si="148"/>
        <v>0</v>
      </c>
      <c r="AC47" s="109">
        <f t="shared" si="149"/>
        <v>0</v>
      </c>
      <c r="AD47" s="109">
        <f t="shared" si="150"/>
        <v>0</v>
      </c>
      <c r="AE47" s="109">
        <f t="shared" si="151"/>
        <v>0</v>
      </c>
      <c r="AF47" s="109">
        <f t="shared" si="152"/>
        <v>0</v>
      </c>
      <c r="AG47" s="109">
        <f t="shared" si="153"/>
        <v>0</v>
      </c>
      <c r="AH47" s="109">
        <f t="shared" si="154"/>
        <v>0</v>
      </c>
      <c r="AI47" s="537" t="str">
        <f t="shared" si="155"/>
        <v>NÃO</v>
      </c>
      <c r="AJ47" s="104">
        <f t="shared" si="156"/>
        <v>0</v>
      </c>
      <c r="AK47" s="104">
        <f t="shared" si="157"/>
        <v>0</v>
      </c>
      <c r="AL47" s="104">
        <f t="shared" si="158"/>
        <v>0</v>
      </c>
      <c r="AM47" s="102">
        <f t="shared" si="159"/>
        <v>0</v>
      </c>
      <c r="AN47" s="106">
        <f t="shared" si="160"/>
        <v>0</v>
      </c>
      <c r="AO47" s="104">
        <f t="shared" si="161"/>
        <v>0</v>
      </c>
      <c r="AP47" s="104">
        <f t="shared" si="162"/>
        <v>0</v>
      </c>
      <c r="AQ47" s="104">
        <f t="shared" si="163"/>
        <v>0.7</v>
      </c>
      <c r="AR47" s="104">
        <f t="shared" si="164"/>
        <v>0</v>
      </c>
      <c r="AS47" s="104">
        <f t="shared" si="165"/>
        <v>0</v>
      </c>
      <c r="AT47" s="104">
        <f t="shared" si="166"/>
        <v>0</v>
      </c>
      <c r="AU47" s="104">
        <f t="shared" si="167"/>
        <v>0</v>
      </c>
      <c r="AV47" s="104">
        <f t="shared" si="168"/>
        <v>0</v>
      </c>
      <c r="AW47" s="104">
        <f t="shared" si="169"/>
        <v>0</v>
      </c>
      <c r="AX47" s="104">
        <f t="shared" si="170"/>
        <v>0</v>
      </c>
      <c r="AY47" s="104">
        <f t="shared" si="171"/>
        <v>0</v>
      </c>
      <c r="AZ47" s="104">
        <f t="shared" si="172"/>
        <v>0</v>
      </c>
      <c r="BA47" s="104">
        <f t="shared" si="207"/>
        <v>0</v>
      </c>
      <c r="BB47" s="104">
        <f t="shared" si="173"/>
        <v>0</v>
      </c>
      <c r="BC47" s="104"/>
      <c r="BD47" s="104">
        <f t="shared" si="174"/>
        <v>0</v>
      </c>
      <c r="BE47" s="108">
        <f t="shared" si="175"/>
        <v>2.1983999999999817</v>
      </c>
      <c r="BF47" s="110">
        <f t="shared" si="176"/>
        <v>0</v>
      </c>
      <c r="BG47" s="110">
        <f t="shared" si="177"/>
        <v>0</v>
      </c>
      <c r="BH47" s="105" t="str">
        <f>VLOOKUP(A47,'BOCA DE LOBO'!C:I,7,0)</f>
        <v>BOCA DE LOBO EXISTENTE TRIPLA</v>
      </c>
      <c r="BI47" s="104">
        <f t="shared" si="178"/>
        <v>0</v>
      </c>
      <c r="BJ47" s="104">
        <f t="shared" si="179"/>
        <v>0</v>
      </c>
      <c r="BK47" s="104">
        <f t="shared" si="180"/>
        <v>0</v>
      </c>
      <c r="BL47" s="104">
        <f t="shared" si="181"/>
        <v>0</v>
      </c>
      <c r="BM47" s="104">
        <f t="shared" si="182"/>
        <v>0</v>
      </c>
      <c r="BN47" s="104">
        <f t="shared" si="183"/>
        <v>0</v>
      </c>
      <c r="BO47" s="104">
        <f t="shared" si="184"/>
        <v>0</v>
      </c>
      <c r="BP47" s="111"/>
      <c r="BQ47" s="108">
        <f t="shared" si="185"/>
        <v>30.240000000000002</v>
      </c>
      <c r="BR47" s="108">
        <f t="shared" si="186"/>
        <v>14.07974399999963</v>
      </c>
      <c r="BS47" s="108">
        <f t="shared" si="187"/>
        <v>0</v>
      </c>
      <c r="BV47" s="538">
        <f t="shared" si="208"/>
        <v>0</v>
      </c>
      <c r="BW47" s="538">
        <f t="shared" si="209"/>
        <v>0</v>
      </c>
      <c r="BX47" s="538">
        <f t="shared" si="210"/>
        <v>0</v>
      </c>
      <c r="BY47" s="538">
        <f t="shared" si="188"/>
        <v>1.8667999999999818</v>
      </c>
      <c r="BZ47" s="538">
        <f t="shared" si="189"/>
        <v>1.8667999999999818</v>
      </c>
      <c r="CA47" s="538">
        <f t="shared" si="190"/>
        <v>0</v>
      </c>
      <c r="CB47" s="538">
        <f t="shared" si="191"/>
        <v>0</v>
      </c>
      <c r="CC47" s="538">
        <f t="shared" si="192"/>
        <v>0</v>
      </c>
      <c r="CD47" s="538">
        <f t="shared" si="193"/>
        <v>0</v>
      </c>
      <c r="CE47" s="538">
        <f t="shared" si="194"/>
        <v>0</v>
      </c>
      <c r="CF47" s="538">
        <f t="shared" si="195"/>
        <v>0</v>
      </c>
      <c r="CG47" s="538">
        <f t="shared" si="196"/>
        <v>0</v>
      </c>
      <c r="CH47" s="538">
        <f t="shared" si="197"/>
        <v>0</v>
      </c>
      <c r="CI47" s="104">
        <f t="shared" si="211"/>
        <v>0</v>
      </c>
      <c r="CJ47" s="538">
        <f t="shared" si="198"/>
        <v>0</v>
      </c>
      <c r="CK47" s="538">
        <f t="shared" si="212"/>
        <v>0</v>
      </c>
      <c r="CL47" s="538">
        <f t="shared" si="199"/>
        <v>0</v>
      </c>
      <c r="CM47" s="538">
        <f t="shared" si="200"/>
        <v>0</v>
      </c>
      <c r="CN47" s="538">
        <f t="shared" si="213"/>
        <v>0</v>
      </c>
      <c r="CO47" s="538">
        <f t="shared" si="201"/>
        <v>1.8667999999999818</v>
      </c>
      <c r="CP47" s="538">
        <f t="shared" si="202"/>
        <v>0</v>
      </c>
      <c r="CQ47" s="538">
        <f t="shared" si="203"/>
        <v>0</v>
      </c>
      <c r="CR47" s="539">
        <f t="shared" si="204"/>
        <v>0</v>
      </c>
      <c r="CS47" s="540">
        <f t="shared" si="214"/>
        <v>0</v>
      </c>
      <c r="CT47" s="540">
        <f t="shared" si="215"/>
        <v>0</v>
      </c>
      <c r="CU47" s="541">
        <f t="shared" si="216"/>
        <v>0</v>
      </c>
      <c r="CV47" s="538">
        <f t="shared" si="217"/>
        <v>0</v>
      </c>
      <c r="CW47" s="538">
        <f t="shared" si="218"/>
        <v>0</v>
      </c>
      <c r="CX47" s="104">
        <f t="shared" si="219"/>
        <v>0</v>
      </c>
      <c r="CY47" s="542">
        <f t="shared" si="205"/>
        <v>0</v>
      </c>
      <c r="CZ47" s="538">
        <f t="shared" si="206"/>
        <v>0</v>
      </c>
      <c r="DC47" s="112" t="s">
        <v>1560</v>
      </c>
      <c r="DD47" s="112" t="b">
        <f t="shared" si="128"/>
        <v>0</v>
      </c>
    </row>
    <row r="48" spans="1:108" s="112" customFormat="1" ht="25" x14ac:dyDescent="0.25">
      <c r="A48" s="100" t="str">
        <f>'BOCA DE LOBO'!C46</f>
        <v>BL41-&gt;PV4-19</v>
      </c>
      <c r="B48" s="100" t="str">
        <f>'BOCA DE LOBO'!A46</f>
        <v>PV4-19</v>
      </c>
      <c r="C48" s="100" t="str">
        <f>VLOOKUP(A48,'BOCA DE LOBO'!C:F,3,0)</f>
        <v>EXISTENTE</v>
      </c>
      <c r="D48" s="100" t="str">
        <f>VLOOKUP(A48,'BOCA DE LOBO'!C:L,10,0)</f>
        <v>EXISTENTE</v>
      </c>
      <c r="E48" s="100">
        <f t="shared" si="134"/>
        <v>1.9907999999999819</v>
      </c>
      <c r="F48" s="100">
        <f>VLOOKUP(A48,'BOCA DE LOBO'!C:D,2,0)</f>
        <v>2.2699999999999818</v>
      </c>
      <c r="G48" s="100">
        <f>VLOOKUP(A48,'BOCA DE LOBO'!C:F,4,0)</f>
        <v>6.98</v>
      </c>
      <c r="H48" s="101">
        <v>400</v>
      </c>
      <c r="I48" s="102">
        <f t="shared" si="135"/>
        <v>2.260399999999982</v>
      </c>
      <c r="J48" s="102">
        <f t="shared" si="136"/>
        <v>0</v>
      </c>
      <c r="K48" s="103">
        <v>0</v>
      </c>
      <c r="L48" s="104">
        <f t="shared" si="137"/>
        <v>0</v>
      </c>
      <c r="M48" s="104">
        <f t="shared" si="138"/>
        <v>0</v>
      </c>
      <c r="N48" s="104">
        <f t="shared" si="139"/>
        <v>400</v>
      </c>
      <c r="O48" s="104">
        <f t="shared" si="140"/>
        <v>0</v>
      </c>
      <c r="P48" s="105" t="s">
        <v>1999</v>
      </c>
      <c r="Q48" s="144" t="s">
        <v>2159</v>
      </c>
      <c r="R48" s="105"/>
      <c r="S48" s="105">
        <v>5</v>
      </c>
      <c r="T48" s="105">
        <v>2.8</v>
      </c>
      <c r="U48" s="104">
        <f t="shared" si="141"/>
        <v>0.05</v>
      </c>
      <c r="V48" s="106">
        <f t="shared" si="142"/>
        <v>0</v>
      </c>
      <c r="W48" s="106">
        <f t="shared" si="143"/>
        <v>0</v>
      </c>
      <c r="X48" s="107">
        <f t="shared" si="144"/>
        <v>0</v>
      </c>
      <c r="Y48" s="107">
        <f t="shared" si="145"/>
        <v>0</v>
      </c>
      <c r="Z48" s="107">
        <f t="shared" si="146"/>
        <v>2.260399999999982</v>
      </c>
      <c r="AA48" s="107">
        <f t="shared" si="147"/>
        <v>0</v>
      </c>
      <c r="AB48" s="108">
        <f t="shared" si="148"/>
        <v>0</v>
      </c>
      <c r="AC48" s="109">
        <f t="shared" si="149"/>
        <v>0</v>
      </c>
      <c r="AD48" s="109">
        <f t="shared" si="150"/>
        <v>0</v>
      </c>
      <c r="AE48" s="109">
        <f t="shared" si="151"/>
        <v>0</v>
      </c>
      <c r="AF48" s="109">
        <f t="shared" si="152"/>
        <v>0</v>
      </c>
      <c r="AG48" s="109">
        <f t="shared" si="153"/>
        <v>0</v>
      </c>
      <c r="AH48" s="109">
        <f t="shared" si="154"/>
        <v>0</v>
      </c>
      <c r="AI48" s="537" t="str">
        <f t="shared" si="155"/>
        <v>NÃO</v>
      </c>
      <c r="AJ48" s="104">
        <f t="shared" si="156"/>
        <v>0</v>
      </c>
      <c r="AK48" s="104">
        <f t="shared" si="157"/>
        <v>0</v>
      </c>
      <c r="AL48" s="104">
        <f t="shared" si="158"/>
        <v>0</v>
      </c>
      <c r="AM48" s="102">
        <f t="shared" si="159"/>
        <v>0</v>
      </c>
      <c r="AN48" s="106">
        <f t="shared" si="160"/>
        <v>0</v>
      </c>
      <c r="AO48" s="104">
        <f t="shared" si="161"/>
        <v>0</v>
      </c>
      <c r="AP48" s="104">
        <f t="shared" si="162"/>
        <v>0</v>
      </c>
      <c r="AQ48" s="104">
        <f t="shared" si="163"/>
        <v>0.7</v>
      </c>
      <c r="AR48" s="104">
        <f t="shared" si="164"/>
        <v>0</v>
      </c>
      <c r="AS48" s="104">
        <f t="shared" si="165"/>
        <v>0</v>
      </c>
      <c r="AT48" s="104">
        <f t="shared" si="166"/>
        <v>0</v>
      </c>
      <c r="AU48" s="104">
        <f t="shared" si="167"/>
        <v>0</v>
      </c>
      <c r="AV48" s="104">
        <f t="shared" si="168"/>
        <v>0</v>
      </c>
      <c r="AW48" s="104">
        <f t="shared" si="169"/>
        <v>0</v>
      </c>
      <c r="AX48" s="104">
        <f t="shared" si="170"/>
        <v>0</v>
      </c>
      <c r="AY48" s="104">
        <f t="shared" si="171"/>
        <v>0</v>
      </c>
      <c r="AZ48" s="104">
        <f t="shared" si="172"/>
        <v>0</v>
      </c>
      <c r="BA48" s="104">
        <f t="shared" si="207"/>
        <v>0</v>
      </c>
      <c r="BB48" s="104">
        <f t="shared" si="173"/>
        <v>0</v>
      </c>
      <c r="BC48" s="104"/>
      <c r="BD48" s="104">
        <f t="shared" si="174"/>
        <v>0</v>
      </c>
      <c r="BE48" s="108">
        <f t="shared" si="175"/>
        <v>2.260399999999982</v>
      </c>
      <c r="BF48" s="110">
        <f t="shared" si="176"/>
        <v>0</v>
      </c>
      <c r="BG48" s="110">
        <f t="shared" si="177"/>
        <v>0</v>
      </c>
      <c r="BH48" s="105" t="str">
        <f>VLOOKUP(A48,'BOCA DE LOBO'!C:I,7,0)</f>
        <v>BOCA DE LOBO EXISTENTE SIMPLES</v>
      </c>
      <c r="BI48" s="104">
        <f t="shared" si="178"/>
        <v>0</v>
      </c>
      <c r="BJ48" s="104">
        <f t="shared" si="179"/>
        <v>0</v>
      </c>
      <c r="BK48" s="104">
        <f t="shared" si="180"/>
        <v>0</v>
      </c>
      <c r="BL48" s="104">
        <f t="shared" si="181"/>
        <v>0</v>
      </c>
      <c r="BM48" s="104">
        <f t="shared" si="182"/>
        <v>0</v>
      </c>
      <c r="BN48" s="104">
        <f t="shared" si="183"/>
        <v>0</v>
      </c>
      <c r="BO48" s="104">
        <f t="shared" si="184"/>
        <v>0</v>
      </c>
      <c r="BP48" s="111"/>
      <c r="BQ48" s="108">
        <f t="shared" si="185"/>
        <v>20.94</v>
      </c>
      <c r="BR48" s="108">
        <f t="shared" si="186"/>
        <v>10.615183999999749</v>
      </c>
      <c r="BS48" s="108">
        <f t="shared" si="187"/>
        <v>0</v>
      </c>
      <c r="BV48" s="538">
        <f t="shared" si="208"/>
        <v>0</v>
      </c>
      <c r="BW48" s="538">
        <f t="shared" si="209"/>
        <v>0</v>
      </c>
      <c r="BX48" s="538">
        <f t="shared" si="210"/>
        <v>0</v>
      </c>
      <c r="BY48" s="538">
        <f t="shared" si="188"/>
        <v>1.9907999999999819</v>
      </c>
      <c r="BZ48" s="538">
        <f t="shared" si="189"/>
        <v>1.9907999999999819</v>
      </c>
      <c r="CA48" s="538">
        <f t="shared" si="190"/>
        <v>0</v>
      </c>
      <c r="CB48" s="538">
        <f t="shared" si="191"/>
        <v>0</v>
      </c>
      <c r="CC48" s="538">
        <f t="shared" si="192"/>
        <v>0</v>
      </c>
      <c r="CD48" s="538">
        <f t="shared" si="193"/>
        <v>0</v>
      </c>
      <c r="CE48" s="538">
        <f t="shared" si="194"/>
        <v>0</v>
      </c>
      <c r="CF48" s="538">
        <f t="shared" si="195"/>
        <v>0</v>
      </c>
      <c r="CG48" s="538">
        <f t="shared" si="196"/>
        <v>0</v>
      </c>
      <c r="CH48" s="538">
        <f t="shared" si="197"/>
        <v>0</v>
      </c>
      <c r="CI48" s="104">
        <f t="shared" si="211"/>
        <v>0</v>
      </c>
      <c r="CJ48" s="538">
        <f t="shared" si="198"/>
        <v>0</v>
      </c>
      <c r="CK48" s="538">
        <f t="shared" si="212"/>
        <v>0</v>
      </c>
      <c r="CL48" s="538">
        <f t="shared" si="199"/>
        <v>0</v>
      </c>
      <c r="CM48" s="538">
        <f t="shared" si="200"/>
        <v>0</v>
      </c>
      <c r="CN48" s="538">
        <f t="shared" si="213"/>
        <v>0</v>
      </c>
      <c r="CO48" s="538">
        <f t="shared" si="201"/>
        <v>1.9907999999999819</v>
      </c>
      <c r="CP48" s="538">
        <f t="shared" si="202"/>
        <v>0</v>
      </c>
      <c r="CQ48" s="538">
        <f t="shared" si="203"/>
        <v>0</v>
      </c>
      <c r="CR48" s="539">
        <f t="shared" si="204"/>
        <v>0</v>
      </c>
      <c r="CS48" s="540">
        <f t="shared" si="214"/>
        <v>0</v>
      </c>
      <c r="CT48" s="540">
        <f t="shared" si="215"/>
        <v>0</v>
      </c>
      <c r="CU48" s="541">
        <f t="shared" si="216"/>
        <v>0</v>
      </c>
      <c r="CV48" s="538">
        <f t="shared" si="217"/>
        <v>0</v>
      </c>
      <c r="CW48" s="538">
        <f t="shared" si="218"/>
        <v>0</v>
      </c>
      <c r="CX48" s="104">
        <f t="shared" si="219"/>
        <v>0</v>
      </c>
      <c r="CY48" s="542">
        <f t="shared" si="205"/>
        <v>0</v>
      </c>
      <c r="CZ48" s="538">
        <f t="shared" si="206"/>
        <v>0</v>
      </c>
      <c r="DC48" s="112" t="s">
        <v>1560</v>
      </c>
      <c r="DD48" s="112" t="b">
        <f t="shared" si="128"/>
        <v>0</v>
      </c>
    </row>
    <row r="49" spans="1:108" s="112" customFormat="1" ht="25" x14ac:dyDescent="0.25">
      <c r="A49" s="100" t="str">
        <f>'BOCA DE LOBO'!C47</f>
        <v>BL42-&gt;PV5-19</v>
      </c>
      <c r="B49" s="100" t="str">
        <f>'BOCA DE LOBO'!A47</f>
        <v>PV5-19</v>
      </c>
      <c r="C49" s="100" t="str">
        <f>VLOOKUP(A49,'BOCA DE LOBO'!C:F,3,0)</f>
        <v>EXISTENTE</v>
      </c>
      <c r="D49" s="100" t="str">
        <f>VLOOKUP(A49,'BOCA DE LOBO'!C:L,10,0)</f>
        <v>EXISTENTE</v>
      </c>
      <c r="E49" s="100">
        <f t="shared" si="134"/>
        <v>2.4820000000000002</v>
      </c>
      <c r="F49" s="100">
        <f>VLOOKUP(A49,'BOCA DE LOBO'!C:D,2,0)</f>
        <v>2.75</v>
      </c>
      <c r="G49" s="100">
        <f>VLOOKUP(A49,'BOCA DE LOBO'!C:F,4,0)</f>
        <v>6.7</v>
      </c>
      <c r="H49" s="101">
        <v>400</v>
      </c>
      <c r="I49" s="102">
        <f t="shared" si="135"/>
        <v>2.746</v>
      </c>
      <c r="J49" s="102">
        <f t="shared" si="136"/>
        <v>0</v>
      </c>
      <c r="K49" s="103">
        <v>0</v>
      </c>
      <c r="L49" s="104">
        <f t="shared" si="137"/>
        <v>0</v>
      </c>
      <c r="M49" s="104">
        <f t="shared" si="138"/>
        <v>0</v>
      </c>
      <c r="N49" s="104">
        <f t="shared" si="139"/>
        <v>400</v>
      </c>
      <c r="O49" s="104">
        <f t="shared" si="140"/>
        <v>0</v>
      </c>
      <c r="P49" s="105" t="s">
        <v>1999</v>
      </c>
      <c r="Q49" s="144" t="s">
        <v>2160</v>
      </c>
      <c r="R49" s="105"/>
      <c r="S49" s="105">
        <v>2.4</v>
      </c>
      <c r="T49" s="105">
        <v>0.8</v>
      </c>
      <c r="U49" s="104">
        <f t="shared" si="141"/>
        <v>0.05</v>
      </c>
      <c r="V49" s="106">
        <f t="shared" si="142"/>
        <v>0</v>
      </c>
      <c r="W49" s="106">
        <f t="shared" si="143"/>
        <v>0</v>
      </c>
      <c r="X49" s="107">
        <f t="shared" si="144"/>
        <v>0</v>
      </c>
      <c r="Y49" s="107">
        <f t="shared" si="145"/>
        <v>0</v>
      </c>
      <c r="Z49" s="107">
        <f t="shared" si="146"/>
        <v>2.4</v>
      </c>
      <c r="AA49" s="107">
        <f t="shared" si="147"/>
        <v>0.34600000000000009</v>
      </c>
      <c r="AB49" s="108">
        <f t="shared" si="148"/>
        <v>0</v>
      </c>
      <c r="AC49" s="109">
        <f t="shared" si="149"/>
        <v>0</v>
      </c>
      <c r="AD49" s="109">
        <f t="shared" si="150"/>
        <v>0</v>
      </c>
      <c r="AE49" s="109">
        <f t="shared" si="151"/>
        <v>0</v>
      </c>
      <c r="AF49" s="109">
        <f t="shared" si="152"/>
        <v>0</v>
      </c>
      <c r="AG49" s="109">
        <f t="shared" si="153"/>
        <v>0</v>
      </c>
      <c r="AH49" s="109">
        <f t="shared" si="154"/>
        <v>0</v>
      </c>
      <c r="AI49" s="537" t="str">
        <f t="shared" si="155"/>
        <v>SIM</v>
      </c>
      <c r="AJ49" s="104">
        <f t="shared" si="156"/>
        <v>0</v>
      </c>
      <c r="AK49" s="104">
        <f t="shared" si="157"/>
        <v>0.17384266666666667</v>
      </c>
      <c r="AL49" s="104">
        <f t="shared" si="158"/>
        <v>0</v>
      </c>
      <c r="AM49" s="102">
        <f t="shared" si="159"/>
        <v>0</v>
      </c>
      <c r="AN49" s="106">
        <f t="shared" si="160"/>
        <v>0</v>
      </c>
      <c r="AO49" s="104">
        <f t="shared" si="161"/>
        <v>0</v>
      </c>
      <c r="AP49" s="104">
        <f t="shared" si="162"/>
        <v>0</v>
      </c>
      <c r="AQ49" s="104">
        <f t="shared" si="163"/>
        <v>0.7</v>
      </c>
      <c r="AR49" s="104">
        <f t="shared" si="164"/>
        <v>0</v>
      </c>
      <c r="AS49" s="104">
        <f t="shared" si="165"/>
        <v>0</v>
      </c>
      <c r="AT49" s="104">
        <f t="shared" si="166"/>
        <v>0</v>
      </c>
      <c r="AU49" s="104">
        <f t="shared" si="167"/>
        <v>0</v>
      </c>
      <c r="AV49" s="104">
        <f t="shared" si="168"/>
        <v>0</v>
      </c>
      <c r="AW49" s="104">
        <f t="shared" si="169"/>
        <v>0</v>
      </c>
      <c r="AX49" s="104">
        <f t="shared" si="170"/>
        <v>0</v>
      </c>
      <c r="AY49" s="104">
        <f t="shared" si="171"/>
        <v>0</v>
      </c>
      <c r="AZ49" s="104">
        <f t="shared" si="172"/>
        <v>0</v>
      </c>
      <c r="BA49" s="104">
        <f t="shared" si="207"/>
        <v>0</v>
      </c>
      <c r="BB49" s="104">
        <f t="shared" si="173"/>
        <v>0</v>
      </c>
      <c r="BC49" s="104"/>
      <c r="BD49" s="104">
        <f t="shared" si="174"/>
        <v>0</v>
      </c>
      <c r="BE49" s="108">
        <f t="shared" si="175"/>
        <v>2.746</v>
      </c>
      <c r="BF49" s="110">
        <f t="shared" si="176"/>
        <v>0</v>
      </c>
      <c r="BG49" s="110">
        <f t="shared" si="177"/>
        <v>0</v>
      </c>
      <c r="BH49" s="105" t="str">
        <f>VLOOKUP(A49,'BOCA DE LOBO'!C:I,7,0)</f>
        <v>BOCA DE LOBO EXISTENTE DUPLA</v>
      </c>
      <c r="BI49" s="104">
        <f t="shared" si="178"/>
        <v>0</v>
      </c>
      <c r="BJ49" s="104">
        <f t="shared" si="179"/>
        <v>0</v>
      </c>
      <c r="BK49" s="104">
        <f t="shared" si="180"/>
        <v>0</v>
      </c>
      <c r="BL49" s="104">
        <f t="shared" si="181"/>
        <v>0</v>
      </c>
      <c r="BM49" s="104">
        <f t="shared" si="182"/>
        <v>0</v>
      </c>
      <c r="BN49" s="104">
        <f t="shared" si="183"/>
        <v>0</v>
      </c>
      <c r="BO49" s="104">
        <f t="shared" si="184"/>
        <v>0</v>
      </c>
      <c r="BP49" s="111"/>
      <c r="BQ49" s="108">
        <f t="shared" si="185"/>
        <v>20.100000000000001</v>
      </c>
      <c r="BR49" s="108">
        <f t="shared" si="186"/>
        <v>16.696400000000001</v>
      </c>
      <c r="BS49" s="108">
        <f t="shared" si="187"/>
        <v>0</v>
      </c>
      <c r="BV49" s="538">
        <f t="shared" si="208"/>
        <v>0</v>
      </c>
      <c r="BW49" s="538">
        <f t="shared" si="209"/>
        <v>0</v>
      </c>
      <c r="BX49" s="538">
        <f t="shared" si="210"/>
        <v>0</v>
      </c>
      <c r="BY49" s="538">
        <f t="shared" si="188"/>
        <v>2.4820000000000002</v>
      </c>
      <c r="BZ49" s="538">
        <f t="shared" si="189"/>
        <v>2.4</v>
      </c>
      <c r="CA49" s="538">
        <f t="shared" si="190"/>
        <v>0</v>
      </c>
      <c r="CB49" s="538">
        <f t="shared" si="191"/>
        <v>8.2000000000000295E-2</v>
      </c>
      <c r="CC49" s="538">
        <f t="shared" si="192"/>
        <v>0</v>
      </c>
      <c r="CD49" s="538">
        <f t="shared" si="193"/>
        <v>0</v>
      </c>
      <c r="CE49" s="538">
        <f t="shared" si="194"/>
        <v>0</v>
      </c>
      <c r="CF49" s="538">
        <f t="shared" si="195"/>
        <v>0</v>
      </c>
      <c r="CG49" s="538">
        <f t="shared" si="196"/>
        <v>0</v>
      </c>
      <c r="CH49" s="538">
        <f t="shared" si="197"/>
        <v>0</v>
      </c>
      <c r="CI49" s="104">
        <f t="shared" si="211"/>
        <v>0</v>
      </c>
      <c r="CJ49" s="538">
        <f t="shared" si="198"/>
        <v>0</v>
      </c>
      <c r="CK49" s="538">
        <f t="shared" si="212"/>
        <v>0</v>
      </c>
      <c r="CL49" s="538">
        <f t="shared" si="199"/>
        <v>0</v>
      </c>
      <c r="CM49" s="538">
        <f t="shared" si="200"/>
        <v>0</v>
      </c>
      <c r="CN49" s="538">
        <f t="shared" si="213"/>
        <v>0</v>
      </c>
      <c r="CO49" s="538">
        <f t="shared" si="201"/>
        <v>2.4820000000000002</v>
      </c>
      <c r="CP49" s="538">
        <f t="shared" si="202"/>
        <v>0</v>
      </c>
      <c r="CQ49" s="538">
        <f t="shared" si="203"/>
        <v>0</v>
      </c>
      <c r="CR49" s="539">
        <f t="shared" si="204"/>
        <v>0</v>
      </c>
      <c r="CS49" s="540">
        <f t="shared" si="214"/>
        <v>0</v>
      </c>
      <c r="CT49" s="540">
        <f t="shared" si="215"/>
        <v>0</v>
      </c>
      <c r="CU49" s="541">
        <f t="shared" si="216"/>
        <v>0</v>
      </c>
      <c r="CV49" s="538">
        <f t="shared" si="217"/>
        <v>0</v>
      </c>
      <c r="CW49" s="538">
        <f t="shared" si="218"/>
        <v>0</v>
      </c>
      <c r="CX49" s="104">
        <f t="shared" si="219"/>
        <v>0</v>
      </c>
      <c r="CY49" s="542">
        <f t="shared" si="205"/>
        <v>0</v>
      </c>
      <c r="CZ49" s="538">
        <f t="shared" si="206"/>
        <v>0</v>
      </c>
      <c r="DC49" s="112" t="s">
        <v>1563</v>
      </c>
      <c r="DD49" s="112" t="b">
        <f t="shared" si="128"/>
        <v>0</v>
      </c>
    </row>
    <row r="50" spans="1:108" s="112" customFormat="1" ht="25" x14ac:dyDescent="0.25">
      <c r="A50" s="100" t="str">
        <f>'BOCA DE LOBO'!C48</f>
        <v>BL43-&gt;PV6-19</v>
      </c>
      <c r="B50" s="100" t="str">
        <f>'BOCA DE LOBO'!A48</f>
        <v>PV6-19</v>
      </c>
      <c r="C50" s="100" t="str">
        <f>VLOOKUP(A50,'BOCA DE LOBO'!C:F,3,0)</f>
        <v>EXISTENTE</v>
      </c>
      <c r="D50" s="100" t="str">
        <f>VLOOKUP(A50,'BOCA DE LOBO'!C:L,10,0)</f>
        <v>EXISTENTE</v>
      </c>
      <c r="E50" s="100">
        <f t="shared" si="134"/>
        <v>2.4360000000000452</v>
      </c>
      <c r="F50" s="100">
        <f>VLOOKUP(A50,'BOCA DE LOBO'!C:D,2,0)</f>
        <v>2.7000000000000455</v>
      </c>
      <c r="G50" s="100">
        <f>VLOOKUP(A50,'BOCA DE LOBO'!C:F,4,0)</f>
        <v>6.6</v>
      </c>
      <c r="H50" s="101">
        <v>400</v>
      </c>
      <c r="I50" s="102">
        <f t="shared" si="135"/>
        <v>2.6980000000000453</v>
      </c>
      <c r="J50" s="102">
        <f t="shared" si="136"/>
        <v>0</v>
      </c>
      <c r="K50" s="103">
        <v>0</v>
      </c>
      <c r="L50" s="104">
        <f t="shared" si="137"/>
        <v>0</v>
      </c>
      <c r="M50" s="104">
        <f t="shared" si="138"/>
        <v>0</v>
      </c>
      <c r="N50" s="104">
        <f t="shared" si="139"/>
        <v>400</v>
      </c>
      <c r="O50" s="104">
        <f t="shared" si="140"/>
        <v>0</v>
      </c>
      <c r="P50" s="105" t="s">
        <v>1999</v>
      </c>
      <c r="Q50" s="144" t="s">
        <v>2160</v>
      </c>
      <c r="R50" s="105"/>
      <c r="S50" s="105">
        <v>2.4</v>
      </c>
      <c r="T50" s="105">
        <v>0.8</v>
      </c>
      <c r="U50" s="104">
        <f t="shared" si="141"/>
        <v>0.05</v>
      </c>
      <c r="V50" s="106">
        <f t="shared" si="142"/>
        <v>0</v>
      </c>
      <c r="W50" s="106">
        <f t="shared" si="143"/>
        <v>0</v>
      </c>
      <c r="X50" s="107">
        <f t="shared" si="144"/>
        <v>0</v>
      </c>
      <c r="Y50" s="107">
        <f t="shared" si="145"/>
        <v>0</v>
      </c>
      <c r="Z50" s="107">
        <f t="shared" si="146"/>
        <v>2.4</v>
      </c>
      <c r="AA50" s="107">
        <f t="shared" si="147"/>
        <v>0.29800000000004534</v>
      </c>
      <c r="AB50" s="108">
        <f t="shared" si="148"/>
        <v>0</v>
      </c>
      <c r="AC50" s="109">
        <f t="shared" si="149"/>
        <v>0</v>
      </c>
      <c r="AD50" s="109">
        <f t="shared" si="150"/>
        <v>0</v>
      </c>
      <c r="AE50" s="109">
        <f t="shared" si="151"/>
        <v>0</v>
      </c>
      <c r="AF50" s="109">
        <f t="shared" si="152"/>
        <v>0</v>
      </c>
      <c r="AG50" s="109">
        <f t="shared" si="153"/>
        <v>0</v>
      </c>
      <c r="AH50" s="109">
        <f t="shared" si="154"/>
        <v>0</v>
      </c>
      <c r="AI50" s="537" t="str">
        <f t="shared" si="155"/>
        <v>SIM</v>
      </c>
      <c r="AJ50" s="104">
        <f t="shared" si="156"/>
        <v>0</v>
      </c>
      <c r="AK50" s="104">
        <f t="shared" si="157"/>
        <v>0.16702400000000397</v>
      </c>
      <c r="AL50" s="104">
        <f t="shared" si="158"/>
        <v>0</v>
      </c>
      <c r="AM50" s="102">
        <f t="shared" si="159"/>
        <v>0</v>
      </c>
      <c r="AN50" s="106">
        <f t="shared" si="160"/>
        <v>0</v>
      </c>
      <c r="AO50" s="104">
        <f t="shared" si="161"/>
        <v>0</v>
      </c>
      <c r="AP50" s="104">
        <f t="shared" si="162"/>
        <v>0</v>
      </c>
      <c r="AQ50" s="104">
        <f t="shared" si="163"/>
        <v>0.7</v>
      </c>
      <c r="AR50" s="104">
        <f t="shared" si="164"/>
        <v>0</v>
      </c>
      <c r="AS50" s="104">
        <f t="shared" si="165"/>
        <v>0</v>
      </c>
      <c r="AT50" s="104">
        <f t="shared" si="166"/>
        <v>0</v>
      </c>
      <c r="AU50" s="104">
        <f t="shared" si="167"/>
        <v>0</v>
      </c>
      <c r="AV50" s="104">
        <f t="shared" si="168"/>
        <v>0</v>
      </c>
      <c r="AW50" s="104">
        <f t="shared" si="169"/>
        <v>0</v>
      </c>
      <c r="AX50" s="104">
        <f t="shared" si="170"/>
        <v>0</v>
      </c>
      <c r="AY50" s="104">
        <f t="shared" si="171"/>
        <v>0</v>
      </c>
      <c r="AZ50" s="104">
        <f t="shared" si="172"/>
        <v>0</v>
      </c>
      <c r="BA50" s="104">
        <f t="shared" si="207"/>
        <v>0</v>
      </c>
      <c r="BB50" s="104">
        <f t="shared" si="173"/>
        <v>0</v>
      </c>
      <c r="BC50" s="104"/>
      <c r="BD50" s="104">
        <f t="shared" si="174"/>
        <v>0</v>
      </c>
      <c r="BE50" s="108">
        <f t="shared" si="175"/>
        <v>2.6980000000000453</v>
      </c>
      <c r="BF50" s="110">
        <f t="shared" si="176"/>
        <v>0</v>
      </c>
      <c r="BG50" s="110">
        <f t="shared" si="177"/>
        <v>0</v>
      </c>
      <c r="BH50" s="105" t="str">
        <f>VLOOKUP(A50,'BOCA DE LOBO'!C:I,7,0)</f>
        <v>BOCA DE LOBO EXISTENTE DUPLA</v>
      </c>
      <c r="BI50" s="104">
        <f t="shared" si="178"/>
        <v>0</v>
      </c>
      <c r="BJ50" s="104">
        <f t="shared" si="179"/>
        <v>0</v>
      </c>
      <c r="BK50" s="104">
        <f t="shared" si="180"/>
        <v>0</v>
      </c>
      <c r="BL50" s="104">
        <f t="shared" si="181"/>
        <v>0</v>
      </c>
      <c r="BM50" s="104">
        <f t="shared" si="182"/>
        <v>0</v>
      </c>
      <c r="BN50" s="104">
        <f t="shared" si="183"/>
        <v>0</v>
      </c>
      <c r="BO50" s="104">
        <f t="shared" si="184"/>
        <v>0</v>
      </c>
      <c r="BP50" s="111"/>
      <c r="BQ50" s="108">
        <f t="shared" si="185"/>
        <v>19.799999999999997</v>
      </c>
      <c r="BR50" s="108">
        <f t="shared" si="186"/>
        <v>15.813600000000596</v>
      </c>
      <c r="BS50" s="108">
        <f t="shared" si="187"/>
        <v>0</v>
      </c>
      <c r="BV50" s="538">
        <f t="shared" si="208"/>
        <v>0</v>
      </c>
      <c r="BW50" s="538">
        <f t="shared" si="209"/>
        <v>0</v>
      </c>
      <c r="BX50" s="538">
        <f t="shared" si="210"/>
        <v>0</v>
      </c>
      <c r="BY50" s="538">
        <f t="shared" si="188"/>
        <v>2.4360000000000452</v>
      </c>
      <c r="BZ50" s="538">
        <f t="shared" si="189"/>
        <v>2.4</v>
      </c>
      <c r="CA50" s="538">
        <f t="shared" si="190"/>
        <v>0</v>
      </c>
      <c r="CB50" s="538">
        <f t="shared" si="191"/>
        <v>3.6000000000045329E-2</v>
      </c>
      <c r="CC50" s="538">
        <f t="shared" si="192"/>
        <v>0</v>
      </c>
      <c r="CD50" s="538">
        <f t="shared" si="193"/>
        <v>0</v>
      </c>
      <c r="CE50" s="538">
        <f t="shared" si="194"/>
        <v>0</v>
      </c>
      <c r="CF50" s="538">
        <f t="shared" si="195"/>
        <v>0</v>
      </c>
      <c r="CG50" s="538">
        <f t="shared" si="196"/>
        <v>0</v>
      </c>
      <c r="CH50" s="538">
        <f t="shared" si="197"/>
        <v>0</v>
      </c>
      <c r="CI50" s="104">
        <f t="shared" si="211"/>
        <v>0</v>
      </c>
      <c r="CJ50" s="538">
        <f t="shared" si="198"/>
        <v>0</v>
      </c>
      <c r="CK50" s="538">
        <f t="shared" si="212"/>
        <v>0</v>
      </c>
      <c r="CL50" s="538">
        <f t="shared" si="199"/>
        <v>0</v>
      </c>
      <c r="CM50" s="538">
        <f t="shared" si="200"/>
        <v>0</v>
      </c>
      <c r="CN50" s="538">
        <f t="shared" si="213"/>
        <v>0</v>
      </c>
      <c r="CO50" s="538">
        <f t="shared" si="201"/>
        <v>2.4360000000000452</v>
      </c>
      <c r="CP50" s="538">
        <f t="shared" si="202"/>
        <v>0</v>
      </c>
      <c r="CQ50" s="538">
        <f t="shared" si="203"/>
        <v>0</v>
      </c>
      <c r="CR50" s="539">
        <f t="shared" si="204"/>
        <v>0</v>
      </c>
      <c r="CS50" s="540">
        <f t="shared" si="214"/>
        <v>0</v>
      </c>
      <c r="CT50" s="540">
        <f t="shared" si="215"/>
        <v>0</v>
      </c>
      <c r="CU50" s="541">
        <f t="shared" si="216"/>
        <v>0</v>
      </c>
      <c r="CV50" s="538">
        <f t="shared" si="217"/>
        <v>0</v>
      </c>
      <c r="CW50" s="538">
        <f t="shared" si="218"/>
        <v>0</v>
      </c>
      <c r="CX50" s="104">
        <f t="shared" si="219"/>
        <v>0</v>
      </c>
      <c r="CY50" s="542">
        <f t="shared" si="205"/>
        <v>0</v>
      </c>
      <c r="CZ50" s="538">
        <f t="shared" si="206"/>
        <v>0</v>
      </c>
      <c r="DC50" s="112" t="s">
        <v>1565</v>
      </c>
      <c r="DD50" s="112" t="b">
        <f t="shared" si="128"/>
        <v>0</v>
      </c>
    </row>
    <row r="51" spans="1:108" s="112" customFormat="1" ht="25" x14ac:dyDescent="0.25">
      <c r="A51" s="100" t="str">
        <f>'BOCA DE LOBO'!C49</f>
        <v>BL44-&gt;PV7-19</v>
      </c>
      <c r="B51" s="100" t="str">
        <f>'BOCA DE LOBO'!A49</f>
        <v>PV7-19</v>
      </c>
      <c r="C51" s="100" t="str">
        <f>VLOOKUP(A51,'BOCA DE LOBO'!C:F,3,0)</f>
        <v>EXISTENTE</v>
      </c>
      <c r="D51" s="100" t="str">
        <f>VLOOKUP(A51,'BOCA DE LOBO'!C:L,10,0)</f>
        <v>EXISTENTE</v>
      </c>
      <c r="E51" s="100">
        <f t="shared" si="134"/>
        <v>2.5</v>
      </c>
      <c r="F51" s="100">
        <f>VLOOKUP(A51,'BOCA DE LOBO'!C:D,2,0)</f>
        <v>2.6699999999999591</v>
      </c>
      <c r="G51" s="100">
        <f>VLOOKUP(A51,'BOCA DE LOBO'!C:F,4,0)</f>
        <v>2.89</v>
      </c>
      <c r="H51" s="101">
        <v>400</v>
      </c>
      <c r="I51" s="102">
        <f t="shared" si="135"/>
        <v>2.7149999999999794</v>
      </c>
      <c r="J51" s="102">
        <f t="shared" si="136"/>
        <v>0</v>
      </c>
      <c r="K51" s="103">
        <v>0</v>
      </c>
      <c r="L51" s="104">
        <f t="shared" si="137"/>
        <v>0</v>
      </c>
      <c r="M51" s="104">
        <f t="shared" si="138"/>
        <v>0</v>
      </c>
      <c r="N51" s="104">
        <f t="shared" si="139"/>
        <v>400</v>
      </c>
      <c r="O51" s="104">
        <f t="shared" si="140"/>
        <v>0</v>
      </c>
      <c r="P51" s="105" t="s">
        <v>1999</v>
      </c>
      <c r="Q51" s="144" t="s">
        <v>2160</v>
      </c>
      <c r="R51" s="105"/>
      <c r="S51" s="105">
        <v>2.4</v>
      </c>
      <c r="T51" s="105">
        <v>0.8</v>
      </c>
      <c r="U51" s="104">
        <f t="shared" si="141"/>
        <v>0.05</v>
      </c>
      <c r="V51" s="106">
        <f t="shared" si="142"/>
        <v>0</v>
      </c>
      <c r="W51" s="106">
        <f t="shared" si="143"/>
        <v>0</v>
      </c>
      <c r="X51" s="107">
        <f t="shared" si="144"/>
        <v>0</v>
      </c>
      <c r="Y51" s="107">
        <f t="shared" si="145"/>
        <v>0</v>
      </c>
      <c r="Z51" s="107">
        <f t="shared" si="146"/>
        <v>2.4</v>
      </c>
      <c r="AA51" s="107">
        <f t="shared" si="147"/>
        <v>0.31499999999997952</v>
      </c>
      <c r="AB51" s="108">
        <f t="shared" si="148"/>
        <v>0</v>
      </c>
      <c r="AC51" s="109">
        <f t="shared" si="149"/>
        <v>0</v>
      </c>
      <c r="AD51" s="109">
        <f t="shared" si="150"/>
        <v>0</v>
      </c>
      <c r="AE51" s="109">
        <f t="shared" si="151"/>
        <v>0</v>
      </c>
      <c r="AF51" s="109">
        <f t="shared" si="152"/>
        <v>0</v>
      </c>
      <c r="AG51" s="109">
        <f t="shared" si="153"/>
        <v>0</v>
      </c>
      <c r="AH51" s="109">
        <f t="shared" si="154"/>
        <v>0</v>
      </c>
      <c r="AI51" s="537" t="str">
        <f t="shared" si="155"/>
        <v>SIM</v>
      </c>
      <c r="AJ51" s="104">
        <f t="shared" si="156"/>
        <v>0</v>
      </c>
      <c r="AK51" s="104">
        <f t="shared" si="157"/>
        <v>7.3791333333332543E-2</v>
      </c>
      <c r="AL51" s="104">
        <f t="shared" si="158"/>
        <v>0</v>
      </c>
      <c r="AM51" s="102">
        <f t="shared" si="159"/>
        <v>0</v>
      </c>
      <c r="AN51" s="106">
        <f t="shared" si="160"/>
        <v>0</v>
      </c>
      <c r="AO51" s="104">
        <f t="shared" si="161"/>
        <v>0</v>
      </c>
      <c r="AP51" s="104">
        <f t="shared" si="162"/>
        <v>0</v>
      </c>
      <c r="AQ51" s="104">
        <f t="shared" si="163"/>
        <v>0.7</v>
      </c>
      <c r="AR51" s="104">
        <f t="shared" si="164"/>
        <v>0</v>
      </c>
      <c r="AS51" s="104">
        <f t="shared" si="165"/>
        <v>0</v>
      </c>
      <c r="AT51" s="104">
        <f t="shared" si="166"/>
        <v>0</v>
      </c>
      <c r="AU51" s="104">
        <f t="shared" si="167"/>
        <v>0</v>
      </c>
      <c r="AV51" s="104">
        <f t="shared" si="168"/>
        <v>0</v>
      </c>
      <c r="AW51" s="104">
        <f t="shared" si="169"/>
        <v>0</v>
      </c>
      <c r="AX51" s="104">
        <f t="shared" si="170"/>
        <v>0</v>
      </c>
      <c r="AY51" s="104">
        <f t="shared" si="171"/>
        <v>0</v>
      </c>
      <c r="AZ51" s="104">
        <f t="shared" si="172"/>
        <v>0</v>
      </c>
      <c r="BA51" s="104">
        <f t="shared" si="207"/>
        <v>0</v>
      </c>
      <c r="BB51" s="104">
        <f t="shared" si="173"/>
        <v>0</v>
      </c>
      <c r="BC51" s="104"/>
      <c r="BD51" s="104">
        <f t="shared" si="174"/>
        <v>0</v>
      </c>
      <c r="BE51" s="108">
        <f t="shared" si="175"/>
        <v>2.7149999999999794</v>
      </c>
      <c r="BF51" s="110">
        <f t="shared" si="176"/>
        <v>0</v>
      </c>
      <c r="BG51" s="110">
        <f t="shared" si="177"/>
        <v>0</v>
      </c>
      <c r="BH51" s="105" t="str">
        <f>VLOOKUP(A51,'BOCA DE LOBO'!C:I,7,0)</f>
        <v>BOCA DE LOBO EXISTENTE SIMPLES</v>
      </c>
      <c r="BI51" s="104">
        <f t="shared" si="178"/>
        <v>0</v>
      </c>
      <c r="BJ51" s="104">
        <f t="shared" si="179"/>
        <v>0</v>
      </c>
      <c r="BK51" s="104">
        <f t="shared" si="180"/>
        <v>0</v>
      </c>
      <c r="BL51" s="104">
        <f t="shared" si="181"/>
        <v>0</v>
      </c>
      <c r="BM51" s="104">
        <f t="shared" si="182"/>
        <v>0</v>
      </c>
      <c r="BN51" s="104">
        <f t="shared" si="183"/>
        <v>0</v>
      </c>
      <c r="BO51" s="104">
        <f t="shared" si="184"/>
        <v>0</v>
      </c>
      <c r="BP51" s="111"/>
      <c r="BQ51" s="108">
        <f t="shared" si="185"/>
        <v>8.67</v>
      </c>
      <c r="BR51" s="108">
        <f t="shared" si="186"/>
        <v>7.0226999999998814</v>
      </c>
      <c r="BS51" s="108">
        <f t="shared" si="187"/>
        <v>0</v>
      </c>
      <c r="BV51" s="538">
        <f t="shared" si="208"/>
        <v>0</v>
      </c>
      <c r="BW51" s="538">
        <f t="shared" si="209"/>
        <v>0</v>
      </c>
      <c r="BX51" s="538">
        <f t="shared" si="210"/>
        <v>0</v>
      </c>
      <c r="BY51" s="538">
        <f t="shared" si="188"/>
        <v>2.5</v>
      </c>
      <c r="BZ51" s="538">
        <f t="shared" si="189"/>
        <v>2.4</v>
      </c>
      <c r="CA51" s="538">
        <f t="shared" si="190"/>
        <v>0</v>
      </c>
      <c r="CB51" s="538">
        <f t="shared" si="191"/>
        <v>0.10000000000000009</v>
      </c>
      <c r="CC51" s="538">
        <f t="shared" si="192"/>
        <v>0</v>
      </c>
      <c r="CD51" s="538">
        <f t="shared" si="193"/>
        <v>0</v>
      </c>
      <c r="CE51" s="538">
        <f t="shared" si="194"/>
        <v>0</v>
      </c>
      <c r="CF51" s="538">
        <f t="shared" si="195"/>
        <v>0</v>
      </c>
      <c r="CG51" s="538">
        <f t="shared" si="196"/>
        <v>0</v>
      </c>
      <c r="CH51" s="538">
        <f t="shared" si="197"/>
        <v>0</v>
      </c>
      <c r="CI51" s="104">
        <f t="shared" si="211"/>
        <v>0</v>
      </c>
      <c r="CJ51" s="538">
        <f t="shared" si="198"/>
        <v>0</v>
      </c>
      <c r="CK51" s="538">
        <f t="shared" si="212"/>
        <v>0</v>
      </c>
      <c r="CL51" s="538">
        <f t="shared" si="199"/>
        <v>0</v>
      </c>
      <c r="CM51" s="538">
        <f t="shared" si="200"/>
        <v>0</v>
      </c>
      <c r="CN51" s="538">
        <f t="shared" si="213"/>
        <v>0</v>
      </c>
      <c r="CO51" s="538">
        <f t="shared" si="201"/>
        <v>2.5</v>
      </c>
      <c r="CP51" s="538">
        <f t="shared" si="202"/>
        <v>0</v>
      </c>
      <c r="CQ51" s="538">
        <f t="shared" si="203"/>
        <v>0</v>
      </c>
      <c r="CR51" s="539">
        <f t="shared" si="204"/>
        <v>0</v>
      </c>
      <c r="CS51" s="540">
        <f t="shared" si="214"/>
        <v>0</v>
      </c>
      <c r="CT51" s="540">
        <f t="shared" si="215"/>
        <v>0</v>
      </c>
      <c r="CU51" s="541">
        <f t="shared" si="216"/>
        <v>0</v>
      </c>
      <c r="CV51" s="538">
        <f t="shared" si="217"/>
        <v>0</v>
      </c>
      <c r="CW51" s="538">
        <f t="shared" si="218"/>
        <v>0</v>
      </c>
      <c r="CX51" s="104">
        <f t="shared" si="219"/>
        <v>0</v>
      </c>
      <c r="CY51" s="542">
        <f t="shared" si="205"/>
        <v>0</v>
      </c>
      <c r="CZ51" s="538">
        <f t="shared" si="206"/>
        <v>0</v>
      </c>
      <c r="DC51" s="112" t="s">
        <v>1566</v>
      </c>
      <c r="DD51" s="112" t="b">
        <f t="shared" si="128"/>
        <v>0</v>
      </c>
    </row>
    <row r="52" spans="1:108" s="112" customFormat="1" ht="25" x14ac:dyDescent="0.25">
      <c r="A52" s="100" t="str">
        <f>'BOCA DE LOBO'!C50</f>
        <v>BL45-&gt;PV1-20</v>
      </c>
      <c r="B52" s="100" t="str">
        <f>'BOCA DE LOBO'!A50</f>
        <v>PV1-20</v>
      </c>
      <c r="C52" s="100" t="str">
        <f>VLOOKUP(A52,'BOCA DE LOBO'!C:F,3,0)</f>
        <v>EXISTENTE</v>
      </c>
      <c r="D52" s="100" t="str">
        <f>VLOOKUP(A52,'BOCA DE LOBO'!C:L,10,0)</f>
        <v>EXISTENTE</v>
      </c>
      <c r="E52" s="100">
        <f t="shared" si="134"/>
        <v>1.446</v>
      </c>
      <c r="F52" s="100">
        <f>VLOOKUP(A52,'BOCA DE LOBO'!C:D,2,0)</f>
        <v>1.75</v>
      </c>
      <c r="G52" s="100">
        <f>VLOOKUP(A52,'BOCA DE LOBO'!C:F,4,0)</f>
        <v>7.6</v>
      </c>
      <c r="H52" s="101">
        <v>400</v>
      </c>
      <c r="I52" s="102">
        <f t="shared" si="135"/>
        <v>1.728</v>
      </c>
      <c r="J52" s="102">
        <f t="shared" si="136"/>
        <v>0</v>
      </c>
      <c r="K52" s="103">
        <v>0</v>
      </c>
      <c r="L52" s="104">
        <f t="shared" si="137"/>
        <v>0</v>
      </c>
      <c r="M52" s="104">
        <f t="shared" si="138"/>
        <v>0</v>
      </c>
      <c r="N52" s="104">
        <f t="shared" si="139"/>
        <v>400</v>
      </c>
      <c r="O52" s="104">
        <f t="shared" si="140"/>
        <v>0</v>
      </c>
      <c r="P52" s="105" t="s">
        <v>1999</v>
      </c>
      <c r="Q52" s="144" t="s">
        <v>2159</v>
      </c>
      <c r="R52" s="105"/>
      <c r="S52" s="105">
        <v>5</v>
      </c>
      <c r="T52" s="105">
        <v>2.8</v>
      </c>
      <c r="U52" s="104">
        <f t="shared" si="141"/>
        <v>0.05</v>
      </c>
      <c r="V52" s="106">
        <f t="shared" si="142"/>
        <v>0</v>
      </c>
      <c r="W52" s="106">
        <f t="shared" si="143"/>
        <v>0</v>
      </c>
      <c r="X52" s="107">
        <f t="shared" si="144"/>
        <v>0</v>
      </c>
      <c r="Y52" s="107">
        <f t="shared" si="145"/>
        <v>0</v>
      </c>
      <c r="Z52" s="107">
        <f t="shared" si="146"/>
        <v>1.728</v>
      </c>
      <c r="AA52" s="107">
        <f t="shared" si="147"/>
        <v>0</v>
      </c>
      <c r="AB52" s="108">
        <f t="shared" si="148"/>
        <v>0</v>
      </c>
      <c r="AC52" s="109">
        <f t="shared" si="149"/>
        <v>0</v>
      </c>
      <c r="AD52" s="109">
        <f t="shared" si="150"/>
        <v>0</v>
      </c>
      <c r="AE52" s="109">
        <f t="shared" si="151"/>
        <v>0</v>
      </c>
      <c r="AF52" s="109">
        <f t="shared" si="152"/>
        <v>0</v>
      </c>
      <c r="AG52" s="109">
        <f t="shared" si="153"/>
        <v>0</v>
      </c>
      <c r="AH52" s="109">
        <f t="shared" si="154"/>
        <v>0</v>
      </c>
      <c r="AI52" s="537" t="str">
        <f t="shared" si="155"/>
        <v>NÃO</v>
      </c>
      <c r="AJ52" s="104">
        <f t="shared" si="156"/>
        <v>0</v>
      </c>
      <c r="AK52" s="104">
        <f t="shared" si="157"/>
        <v>0</v>
      </c>
      <c r="AL52" s="104">
        <f t="shared" si="158"/>
        <v>0</v>
      </c>
      <c r="AM52" s="102">
        <f t="shared" si="159"/>
        <v>0</v>
      </c>
      <c r="AN52" s="106">
        <f t="shared" si="160"/>
        <v>0</v>
      </c>
      <c r="AO52" s="104">
        <f t="shared" si="161"/>
        <v>0</v>
      </c>
      <c r="AP52" s="104">
        <f t="shared" si="162"/>
        <v>0</v>
      </c>
      <c r="AQ52" s="104">
        <f t="shared" si="163"/>
        <v>0.7</v>
      </c>
      <c r="AR52" s="104">
        <f t="shared" si="164"/>
        <v>0</v>
      </c>
      <c r="AS52" s="104">
        <f t="shared" si="165"/>
        <v>0</v>
      </c>
      <c r="AT52" s="104">
        <f t="shared" si="166"/>
        <v>0</v>
      </c>
      <c r="AU52" s="104">
        <f t="shared" si="167"/>
        <v>0</v>
      </c>
      <c r="AV52" s="104">
        <f t="shared" si="168"/>
        <v>0</v>
      </c>
      <c r="AW52" s="104">
        <f t="shared" si="169"/>
        <v>0</v>
      </c>
      <c r="AX52" s="104">
        <f t="shared" si="170"/>
        <v>0</v>
      </c>
      <c r="AY52" s="104">
        <f t="shared" si="171"/>
        <v>0</v>
      </c>
      <c r="AZ52" s="104">
        <f t="shared" si="172"/>
        <v>0</v>
      </c>
      <c r="BA52" s="104">
        <f t="shared" si="207"/>
        <v>0</v>
      </c>
      <c r="BB52" s="104">
        <f t="shared" si="173"/>
        <v>0</v>
      </c>
      <c r="BC52" s="104"/>
      <c r="BD52" s="104">
        <f t="shared" si="174"/>
        <v>0</v>
      </c>
      <c r="BE52" s="108">
        <f t="shared" si="175"/>
        <v>1.728</v>
      </c>
      <c r="BF52" s="110">
        <f t="shared" si="176"/>
        <v>0</v>
      </c>
      <c r="BG52" s="110">
        <f t="shared" si="177"/>
        <v>0</v>
      </c>
      <c r="BH52" s="105" t="str">
        <f>VLOOKUP(A52,'BOCA DE LOBO'!C:I,7,0)</f>
        <v>BOCA DE LOBO EXISTENTE SIMPLES</v>
      </c>
      <c r="BI52" s="104">
        <f t="shared" si="178"/>
        <v>0</v>
      </c>
      <c r="BJ52" s="104">
        <f t="shared" si="179"/>
        <v>0</v>
      </c>
      <c r="BK52" s="104">
        <f t="shared" si="180"/>
        <v>0</v>
      </c>
      <c r="BL52" s="104">
        <f t="shared" si="181"/>
        <v>0</v>
      </c>
      <c r="BM52" s="104">
        <f t="shared" si="182"/>
        <v>0</v>
      </c>
      <c r="BN52" s="104">
        <f t="shared" si="183"/>
        <v>0</v>
      </c>
      <c r="BO52" s="104">
        <f t="shared" si="184"/>
        <v>0</v>
      </c>
      <c r="BP52" s="111"/>
      <c r="BQ52" s="108">
        <f t="shared" si="185"/>
        <v>22.799999999999997</v>
      </c>
      <c r="BR52" s="108">
        <f t="shared" si="186"/>
        <v>3.4655999999999993</v>
      </c>
      <c r="BS52" s="108">
        <f t="shared" si="187"/>
        <v>0</v>
      </c>
      <c r="BV52" s="538">
        <f t="shared" si="208"/>
        <v>0</v>
      </c>
      <c r="BW52" s="538">
        <f t="shared" si="209"/>
        <v>0</v>
      </c>
      <c r="BX52" s="538">
        <f t="shared" si="210"/>
        <v>0</v>
      </c>
      <c r="BY52" s="538">
        <f t="shared" si="188"/>
        <v>1.446</v>
      </c>
      <c r="BZ52" s="538">
        <f t="shared" si="189"/>
        <v>1.446</v>
      </c>
      <c r="CA52" s="538">
        <f t="shared" si="190"/>
        <v>0</v>
      </c>
      <c r="CB52" s="538">
        <f t="shared" si="191"/>
        <v>0</v>
      </c>
      <c r="CC52" s="538">
        <f t="shared" si="192"/>
        <v>0</v>
      </c>
      <c r="CD52" s="538">
        <f t="shared" si="193"/>
        <v>0</v>
      </c>
      <c r="CE52" s="538">
        <f t="shared" si="194"/>
        <v>0</v>
      </c>
      <c r="CF52" s="538">
        <f t="shared" si="195"/>
        <v>0</v>
      </c>
      <c r="CG52" s="538">
        <f t="shared" si="196"/>
        <v>0</v>
      </c>
      <c r="CH52" s="538">
        <f t="shared" si="197"/>
        <v>0</v>
      </c>
      <c r="CI52" s="104">
        <f t="shared" si="211"/>
        <v>0</v>
      </c>
      <c r="CJ52" s="538">
        <f t="shared" si="198"/>
        <v>0</v>
      </c>
      <c r="CK52" s="538">
        <f t="shared" si="212"/>
        <v>0</v>
      </c>
      <c r="CL52" s="538">
        <f t="shared" si="199"/>
        <v>0</v>
      </c>
      <c r="CM52" s="538">
        <f t="shared" si="200"/>
        <v>0</v>
      </c>
      <c r="CN52" s="538">
        <f t="shared" si="213"/>
        <v>0</v>
      </c>
      <c r="CO52" s="538">
        <f t="shared" si="201"/>
        <v>1.446</v>
      </c>
      <c r="CP52" s="538">
        <f t="shared" si="202"/>
        <v>0</v>
      </c>
      <c r="CQ52" s="538">
        <f t="shared" si="203"/>
        <v>0</v>
      </c>
      <c r="CR52" s="539">
        <f t="shared" si="204"/>
        <v>0</v>
      </c>
      <c r="CS52" s="540">
        <f t="shared" si="214"/>
        <v>0</v>
      </c>
      <c r="CT52" s="540">
        <f t="shared" si="215"/>
        <v>0</v>
      </c>
      <c r="CU52" s="541">
        <f t="shared" si="216"/>
        <v>0</v>
      </c>
      <c r="CV52" s="538">
        <f t="shared" si="217"/>
        <v>0</v>
      </c>
      <c r="CW52" s="538">
        <f t="shared" si="218"/>
        <v>0</v>
      </c>
      <c r="CX52" s="104">
        <f t="shared" si="219"/>
        <v>0</v>
      </c>
      <c r="CY52" s="542">
        <f t="shared" si="205"/>
        <v>0</v>
      </c>
      <c r="CZ52" s="538">
        <f t="shared" si="206"/>
        <v>0</v>
      </c>
      <c r="DC52" s="112" t="s">
        <v>1567</v>
      </c>
      <c r="DD52" s="112" t="b">
        <f t="shared" si="128"/>
        <v>0</v>
      </c>
    </row>
    <row r="53" spans="1:108" s="112" customFormat="1" ht="25" x14ac:dyDescent="0.25">
      <c r="A53" s="100" t="str">
        <f>'BOCA DE LOBO'!C51</f>
        <v>BL46-&gt;PV1-21</v>
      </c>
      <c r="B53" s="100" t="str">
        <f>'BOCA DE LOBO'!A51</f>
        <v>PV1-21</v>
      </c>
      <c r="C53" s="100" t="str">
        <f>VLOOKUP(A53,'BOCA DE LOBO'!C:F,3,0)</f>
        <v>EXISTENTE</v>
      </c>
      <c r="D53" s="100" t="str">
        <f>VLOOKUP(A53,'BOCA DE LOBO'!C:L,10,0)</f>
        <v>PROJETADA</v>
      </c>
      <c r="E53" s="100">
        <f t="shared" si="134"/>
        <v>1.8480000000000181</v>
      </c>
      <c r="F53" s="100">
        <f>VLOOKUP(A53,'BOCA DE LOBO'!C:D,2,0)</f>
        <v>2.2300000000000182</v>
      </c>
      <c r="G53" s="100">
        <f>VLOOKUP(A53,'BOCA DE LOBO'!C:F,4,0)</f>
        <v>9.5500000000000007</v>
      </c>
      <c r="H53" s="101">
        <v>400</v>
      </c>
      <c r="I53" s="102">
        <f t="shared" si="135"/>
        <v>2.1690000000000182</v>
      </c>
      <c r="J53" s="102">
        <f t="shared" si="136"/>
        <v>1.0356975000000088</v>
      </c>
      <c r="K53" s="103">
        <v>0</v>
      </c>
      <c r="L53" s="104">
        <f t="shared" si="137"/>
        <v>1</v>
      </c>
      <c r="M53" s="104">
        <f t="shared" si="138"/>
        <v>1</v>
      </c>
      <c r="N53" s="104">
        <f t="shared" si="139"/>
        <v>0</v>
      </c>
      <c r="O53" s="104">
        <f t="shared" si="140"/>
        <v>9.5500000000000007</v>
      </c>
      <c r="P53" s="105" t="s">
        <v>1999</v>
      </c>
      <c r="Q53" s="144" t="s">
        <v>2161</v>
      </c>
      <c r="R53" s="105"/>
      <c r="S53" s="105">
        <v>5</v>
      </c>
      <c r="T53" s="105">
        <v>5</v>
      </c>
      <c r="U53" s="104">
        <f t="shared" si="141"/>
        <v>0.05</v>
      </c>
      <c r="V53" s="106">
        <f t="shared" si="142"/>
        <v>0</v>
      </c>
      <c r="W53" s="106">
        <f t="shared" si="143"/>
        <v>20.713950000000175</v>
      </c>
      <c r="X53" s="107">
        <f t="shared" si="144"/>
        <v>0</v>
      </c>
      <c r="Y53" s="107">
        <f t="shared" si="145"/>
        <v>0</v>
      </c>
      <c r="Z53" s="107">
        <f t="shared" si="146"/>
        <v>2.1690000000000182</v>
      </c>
      <c r="AA53" s="107">
        <f t="shared" si="147"/>
        <v>0</v>
      </c>
      <c r="AB53" s="108">
        <f t="shared" si="148"/>
        <v>9.5500000000000007</v>
      </c>
      <c r="AC53" s="109">
        <f t="shared" si="149"/>
        <v>0</v>
      </c>
      <c r="AD53" s="109">
        <f t="shared" si="150"/>
        <v>0</v>
      </c>
      <c r="AE53" s="109">
        <f t="shared" si="151"/>
        <v>0</v>
      </c>
      <c r="AF53" s="109">
        <f t="shared" si="152"/>
        <v>14.325000000000001</v>
      </c>
      <c r="AG53" s="109">
        <f t="shared" si="153"/>
        <v>6.3889500000001744</v>
      </c>
      <c r="AH53" s="109">
        <f t="shared" si="154"/>
        <v>0</v>
      </c>
      <c r="AI53" s="537" t="str">
        <f t="shared" si="155"/>
        <v>NÃO</v>
      </c>
      <c r="AJ53" s="104">
        <f t="shared" si="156"/>
        <v>0</v>
      </c>
      <c r="AK53" s="104">
        <f t="shared" si="157"/>
        <v>0</v>
      </c>
      <c r="AL53" s="104">
        <f t="shared" si="158"/>
        <v>19.513861606328874</v>
      </c>
      <c r="AM53" s="102">
        <f t="shared" si="159"/>
        <v>0.47750000000000004</v>
      </c>
      <c r="AN53" s="106">
        <f t="shared" si="160"/>
        <v>0</v>
      </c>
      <c r="AO53" s="104">
        <f t="shared" si="161"/>
        <v>0</v>
      </c>
      <c r="AP53" s="104">
        <f t="shared" si="162"/>
        <v>0</v>
      </c>
      <c r="AQ53" s="104">
        <f t="shared" si="163"/>
        <v>0.7</v>
      </c>
      <c r="AR53" s="104">
        <f t="shared" si="164"/>
        <v>5.4849116063286996</v>
      </c>
      <c r="AS53" s="104">
        <f t="shared" si="165"/>
        <v>0</v>
      </c>
      <c r="AT53" s="104">
        <f t="shared" si="166"/>
        <v>1.4325000000000001</v>
      </c>
      <c r="AU53" s="104">
        <f t="shared" si="167"/>
        <v>1.4325000000000001</v>
      </c>
      <c r="AV53" s="104">
        <f t="shared" si="168"/>
        <v>0.28650000000000003</v>
      </c>
      <c r="AW53" s="104">
        <f t="shared" si="169"/>
        <v>10.686450000000173</v>
      </c>
      <c r="AX53" s="104">
        <f t="shared" si="170"/>
        <v>13.796538393671474</v>
      </c>
      <c r="AY53" s="104">
        <f t="shared" si="171"/>
        <v>10.686450000000173</v>
      </c>
      <c r="AZ53" s="104">
        <f t="shared" si="172"/>
        <v>0</v>
      </c>
      <c r="BA53" s="104">
        <f t="shared" si="207"/>
        <v>0</v>
      </c>
      <c r="BB53" s="104">
        <f t="shared" si="173"/>
        <v>0</v>
      </c>
      <c r="BC53" s="104"/>
      <c r="BD53" s="104">
        <f t="shared" si="174"/>
        <v>0</v>
      </c>
      <c r="BE53" s="108">
        <f t="shared" si="175"/>
        <v>2.1690000000000182</v>
      </c>
      <c r="BF53" s="110">
        <f t="shared" si="176"/>
        <v>0</v>
      </c>
      <c r="BG53" s="110">
        <f t="shared" si="177"/>
        <v>9.5500000000000007</v>
      </c>
      <c r="BH53" s="105" t="str">
        <f>VLOOKUP(A53,'BOCA DE LOBO'!C:I,7,0)</f>
        <v>BOCA DE LOBO PROJETADA DUPLA</v>
      </c>
      <c r="BI53" s="104">
        <f t="shared" si="178"/>
        <v>0</v>
      </c>
      <c r="BJ53" s="104">
        <f t="shared" si="179"/>
        <v>0</v>
      </c>
      <c r="BK53" s="104">
        <f t="shared" si="180"/>
        <v>0</v>
      </c>
      <c r="BL53" s="104">
        <f t="shared" si="181"/>
        <v>0</v>
      </c>
      <c r="BM53" s="104">
        <f t="shared" si="182"/>
        <v>0</v>
      </c>
      <c r="BN53" s="104">
        <f t="shared" si="183"/>
        <v>1</v>
      </c>
      <c r="BO53" s="104">
        <f t="shared" si="184"/>
        <v>0</v>
      </c>
      <c r="BP53" s="111"/>
      <c r="BQ53" s="108">
        <f t="shared" si="185"/>
        <v>28.650000000000002</v>
      </c>
      <c r="BR53" s="108">
        <f t="shared" si="186"/>
        <v>12.777900000000349</v>
      </c>
      <c r="BS53" s="108">
        <f t="shared" si="187"/>
        <v>0</v>
      </c>
      <c r="BV53" s="538">
        <f t="shared" si="208"/>
        <v>14.382244800000137</v>
      </c>
      <c r="BW53" s="538">
        <f t="shared" si="209"/>
        <v>7.7825999999999986</v>
      </c>
      <c r="BX53" s="538">
        <f t="shared" si="210"/>
        <v>3.0325999999999995</v>
      </c>
      <c r="BY53" s="538">
        <f t="shared" si="188"/>
        <v>1.8480000000000181</v>
      </c>
      <c r="BZ53" s="538">
        <f t="shared" si="189"/>
        <v>1.8480000000000181</v>
      </c>
      <c r="CA53" s="538">
        <f t="shared" si="190"/>
        <v>0</v>
      </c>
      <c r="CB53" s="538">
        <f t="shared" si="191"/>
        <v>0</v>
      </c>
      <c r="CC53" s="538">
        <f t="shared" si="192"/>
        <v>11.673899999999998</v>
      </c>
      <c r="CD53" s="538">
        <f t="shared" si="193"/>
        <v>2.7083448000001402</v>
      </c>
      <c r="CE53" s="538">
        <f t="shared" si="194"/>
        <v>0</v>
      </c>
      <c r="CF53" s="538">
        <f t="shared" si="195"/>
        <v>0</v>
      </c>
      <c r="CG53" s="538">
        <f t="shared" si="196"/>
        <v>0</v>
      </c>
      <c r="CH53" s="538">
        <f t="shared" si="197"/>
        <v>0</v>
      </c>
      <c r="CI53" s="104">
        <f t="shared" si="211"/>
        <v>0.53549999999999998</v>
      </c>
      <c r="CJ53" s="538">
        <f t="shared" si="198"/>
        <v>8.2425000000000832</v>
      </c>
      <c r="CK53" s="538">
        <f t="shared" si="212"/>
        <v>8.2425000000000832</v>
      </c>
      <c r="CL53" s="538">
        <f t="shared" si="199"/>
        <v>0</v>
      </c>
      <c r="CM53" s="538">
        <f t="shared" si="200"/>
        <v>0</v>
      </c>
      <c r="CN53" s="538">
        <f t="shared" si="213"/>
        <v>3.57</v>
      </c>
      <c r="CO53" s="538">
        <f t="shared" si="201"/>
        <v>1.8480000000000181</v>
      </c>
      <c r="CP53" s="538">
        <f t="shared" si="202"/>
        <v>10.709999999999999</v>
      </c>
      <c r="CQ53" s="538">
        <f t="shared" si="203"/>
        <v>2.484720000000129</v>
      </c>
      <c r="CR53" s="539">
        <f t="shared" si="204"/>
        <v>0</v>
      </c>
      <c r="CS53" s="540">
        <f t="shared" si="214"/>
        <v>0</v>
      </c>
      <c r="CT53" s="540">
        <f t="shared" si="215"/>
        <v>0.33012999999999998</v>
      </c>
      <c r="CU53" s="541">
        <f t="shared" si="216"/>
        <v>9.6096000000000945</v>
      </c>
      <c r="CV53" s="538">
        <f t="shared" si="217"/>
        <v>1.2394380000000054</v>
      </c>
      <c r="CW53" s="538">
        <f t="shared" si="218"/>
        <v>18.240840000000137</v>
      </c>
      <c r="CX53" s="104">
        <f t="shared" si="219"/>
        <v>3.57</v>
      </c>
      <c r="CY53" s="542">
        <f t="shared" si="205"/>
        <v>1.7849999999999999</v>
      </c>
      <c r="CZ53" s="538">
        <f t="shared" si="206"/>
        <v>2.4513847475961154E-2</v>
      </c>
      <c r="DC53" s="112" t="s">
        <v>1507</v>
      </c>
      <c r="DD53" s="112" t="b">
        <f t="shared" si="128"/>
        <v>1</v>
      </c>
    </row>
    <row r="54" spans="1:108" s="112" customFormat="1" ht="25" x14ac:dyDescent="0.25">
      <c r="A54" s="100" t="str">
        <f>'BOCA DE LOBO'!C52</f>
        <v>BL47-&gt;PV2-21</v>
      </c>
      <c r="B54" s="100" t="str">
        <f>'BOCA DE LOBO'!A52</f>
        <v>PV2-21</v>
      </c>
      <c r="C54" s="100" t="str">
        <f>VLOOKUP(A54,'BOCA DE LOBO'!C:F,3,0)</f>
        <v>EXISTENTE</v>
      </c>
      <c r="D54" s="100" t="str">
        <f>VLOOKUP(A54,'BOCA DE LOBO'!C:L,10,0)</f>
        <v>PROJETADA</v>
      </c>
      <c r="E54" s="100">
        <f t="shared" si="134"/>
        <v>1.7743999999999773</v>
      </c>
      <c r="F54" s="100">
        <f>VLOOKUP(A54,'BOCA DE LOBO'!C:D,2,0)</f>
        <v>2.1499999999999773</v>
      </c>
      <c r="G54" s="100">
        <f>VLOOKUP(A54,'BOCA DE LOBO'!C:F,4,0)</f>
        <v>9.39</v>
      </c>
      <c r="H54" s="101">
        <v>400</v>
      </c>
      <c r="I54" s="102">
        <f t="shared" si="135"/>
        <v>2.092199999999977</v>
      </c>
      <c r="J54" s="102">
        <f t="shared" si="136"/>
        <v>0.98228789999998922</v>
      </c>
      <c r="K54" s="103">
        <v>0</v>
      </c>
      <c r="L54" s="104">
        <f t="shared" si="137"/>
        <v>1</v>
      </c>
      <c r="M54" s="104">
        <f t="shared" si="138"/>
        <v>1</v>
      </c>
      <c r="N54" s="104">
        <f t="shared" si="139"/>
        <v>0</v>
      </c>
      <c r="O54" s="104">
        <f t="shared" si="140"/>
        <v>9.39</v>
      </c>
      <c r="P54" s="105" t="s">
        <v>1999</v>
      </c>
      <c r="Q54" s="144" t="s">
        <v>2161</v>
      </c>
      <c r="R54" s="105"/>
      <c r="S54" s="105">
        <v>5</v>
      </c>
      <c r="T54" s="105">
        <v>5</v>
      </c>
      <c r="U54" s="104">
        <f t="shared" si="141"/>
        <v>0.05</v>
      </c>
      <c r="V54" s="106">
        <f t="shared" si="142"/>
        <v>0</v>
      </c>
      <c r="W54" s="106">
        <f t="shared" si="143"/>
        <v>19.645757999999784</v>
      </c>
      <c r="X54" s="107">
        <f t="shared" si="144"/>
        <v>0</v>
      </c>
      <c r="Y54" s="107">
        <f t="shared" si="145"/>
        <v>0</v>
      </c>
      <c r="Z54" s="107">
        <f t="shared" si="146"/>
        <v>2.092199999999977</v>
      </c>
      <c r="AA54" s="107">
        <f t="shared" si="147"/>
        <v>0</v>
      </c>
      <c r="AB54" s="108">
        <f t="shared" si="148"/>
        <v>9.39</v>
      </c>
      <c r="AC54" s="109">
        <f t="shared" si="149"/>
        <v>0</v>
      </c>
      <c r="AD54" s="109">
        <f t="shared" si="150"/>
        <v>0</v>
      </c>
      <c r="AE54" s="109">
        <f t="shared" si="151"/>
        <v>0</v>
      </c>
      <c r="AF54" s="109">
        <f t="shared" si="152"/>
        <v>14.085000000000001</v>
      </c>
      <c r="AG54" s="109">
        <f t="shared" si="153"/>
        <v>5.560757999999784</v>
      </c>
      <c r="AH54" s="109">
        <f t="shared" si="154"/>
        <v>0</v>
      </c>
      <c r="AI54" s="537" t="str">
        <f t="shared" si="155"/>
        <v>NÃO</v>
      </c>
      <c r="AJ54" s="104">
        <f t="shared" si="156"/>
        <v>0</v>
      </c>
      <c r="AK54" s="104">
        <f t="shared" si="157"/>
        <v>0</v>
      </c>
      <c r="AL54" s="104">
        <f t="shared" si="158"/>
        <v>18.465775799311459</v>
      </c>
      <c r="AM54" s="102">
        <f t="shared" si="159"/>
        <v>0.46950000000000003</v>
      </c>
      <c r="AN54" s="106">
        <f t="shared" si="160"/>
        <v>0</v>
      </c>
      <c r="AO54" s="104">
        <f t="shared" si="161"/>
        <v>0</v>
      </c>
      <c r="AP54" s="104">
        <f t="shared" si="162"/>
        <v>0</v>
      </c>
      <c r="AQ54" s="104">
        <f t="shared" si="163"/>
        <v>0.7</v>
      </c>
      <c r="AR54" s="104">
        <f t="shared" si="164"/>
        <v>5.3930177993116741</v>
      </c>
      <c r="AS54" s="104">
        <f t="shared" si="165"/>
        <v>0</v>
      </c>
      <c r="AT54" s="104">
        <f t="shared" si="166"/>
        <v>1.4085000000000001</v>
      </c>
      <c r="AU54" s="104">
        <f t="shared" si="167"/>
        <v>1.4085000000000001</v>
      </c>
      <c r="AV54" s="104">
        <f t="shared" si="168"/>
        <v>0.28170000000000001</v>
      </c>
      <c r="AW54" s="104">
        <f t="shared" si="169"/>
        <v>9.7862579999997834</v>
      </c>
      <c r="AX54" s="104">
        <f t="shared" si="170"/>
        <v>12.844240200688109</v>
      </c>
      <c r="AY54" s="104">
        <f t="shared" si="171"/>
        <v>9.7862579999997834</v>
      </c>
      <c r="AZ54" s="104">
        <f t="shared" si="172"/>
        <v>0</v>
      </c>
      <c r="BA54" s="104">
        <f t="shared" si="207"/>
        <v>0</v>
      </c>
      <c r="BB54" s="104">
        <f t="shared" si="173"/>
        <v>0</v>
      </c>
      <c r="BC54" s="104"/>
      <c r="BD54" s="104">
        <f t="shared" si="174"/>
        <v>0</v>
      </c>
      <c r="BE54" s="108">
        <f t="shared" si="175"/>
        <v>2.092199999999977</v>
      </c>
      <c r="BF54" s="110">
        <f t="shared" si="176"/>
        <v>0</v>
      </c>
      <c r="BG54" s="110">
        <f t="shared" si="177"/>
        <v>9.39</v>
      </c>
      <c r="BH54" s="105" t="str">
        <f>VLOOKUP(A54,'BOCA DE LOBO'!C:I,7,0)</f>
        <v>BOCA DE LOBO PROJETADA DUPLA</v>
      </c>
      <c r="BI54" s="104">
        <f t="shared" si="178"/>
        <v>0</v>
      </c>
      <c r="BJ54" s="104">
        <f t="shared" si="179"/>
        <v>0</v>
      </c>
      <c r="BK54" s="104">
        <f t="shared" si="180"/>
        <v>0</v>
      </c>
      <c r="BL54" s="104">
        <f t="shared" si="181"/>
        <v>0</v>
      </c>
      <c r="BM54" s="104">
        <f t="shared" si="182"/>
        <v>0</v>
      </c>
      <c r="BN54" s="104">
        <f t="shared" si="183"/>
        <v>1</v>
      </c>
      <c r="BO54" s="104">
        <f t="shared" si="184"/>
        <v>0</v>
      </c>
      <c r="BP54" s="111"/>
      <c r="BQ54" s="108">
        <f t="shared" si="185"/>
        <v>28.17</v>
      </c>
      <c r="BR54" s="108">
        <f t="shared" si="186"/>
        <v>11.121515999999568</v>
      </c>
      <c r="BS54" s="108">
        <f t="shared" si="187"/>
        <v>0</v>
      </c>
      <c r="BV54" s="538">
        <f t="shared" si="208"/>
        <v>13.809445439999822</v>
      </c>
      <c r="BW54" s="538">
        <f t="shared" si="209"/>
        <v>7.7825999999999986</v>
      </c>
      <c r="BX54" s="538">
        <f t="shared" si="210"/>
        <v>3.0325999999999995</v>
      </c>
      <c r="BY54" s="538">
        <f t="shared" si="188"/>
        <v>1.7743999999999773</v>
      </c>
      <c r="BZ54" s="538">
        <f t="shared" si="189"/>
        <v>1.7743999999999773</v>
      </c>
      <c r="CA54" s="538">
        <f t="shared" si="190"/>
        <v>0</v>
      </c>
      <c r="CB54" s="538">
        <f t="shared" si="191"/>
        <v>0</v>
      </c>
      <c r="CC54" s="538">
        <f t="shared" si="192"/>
        <v>11.673899999999998</v>
      </c>
      <c r="CD54" s="538">
        <f t="shared" si="193"/>
        <v>2.1355454399998233</v>
      </c>
      <c r="CE54" s="538">
        <f t="shared" si="194"/>
        <v>0</v>
      </c>
      <c r="CF54" s="538">
        <f t="shared" si="195"/>
        <v>0</v>
      </c>
      <c r="CG54" s="538">
        <f t="shared" si="196"/>
        <v>0</v>
      </c>
      <c r="CH54" s="538">
        <f t="shared" si="197"/>
        <v>0</v>
      </c>
      <c r="CI54" s="104">
        <f t="shared" si="211"/>
        <v>0.53549999999999998</v>
      </c>
      <c r="CJ54" s="538">
        <f t="shared" si="198"/>
        <v>7.8928999999998917</v>
      </c>
      <c r="CK54" s="538">
        <f t="shared" si="212"/>
        <v>7.8928999999998917</v>
      </c>
      <c r="CL54" s="538">
        <f t="shared" si="199"/>
        <v>0</v>
      </c>
      <c r="CM54" s="538">
        <f t="shared" si="200"/>
        <v>0</v>
      </c>
      <c r="CN54" s="538">
        <f t="shared" si="213"/>
        <v>3.57</v>
      </c>
      <c r="CO54" s="538">
        <f t="shared" si="201"/>
        <v>1.7743999999999773</v>
      </c>
      <c r="CP54" s="538">
        <f t="shared" si="202"/>
        <v>10.709999999999999</v>
      </c>
      <c r="CQ54" s="538">
        <f t="shared" si="203"/>
        <v>1.959215999999838</v>
      </c>
      <c r="CR54" s="539">
        <f t="shared" si="204"/>
        <v>0</v>
      </c>
      <c r="CS54" s="540">
        <f t="shared" si="214"/>
        <v>0</v>
      </c>
      <c r="CT54" s="540">
        <f t="shared" si="215"/>
        <v>0.33012999999999998</v>
      </c>
      <c r="CU54" s="541">
        <f t="shared" si="216"/>
        <v>9.2268799999998823</v>
      </c>
      <c r="CV54" s="538">
        <f t="shared" si="217"/>
        <v>1.216916399999993</v>
      </c>
      <c r="CW54" s="538">
        <f t="shared" si="218"/>
        <v>17.675591999999828</v>
      </c>
      <c r="CX54" s="104">
        <f t="shared" si="219"/>
        <v>3.57</v>
      </c>
      <c r="CY54" s="542">
        <f t="shared" si="205"/>
        <v>1.7849999999999999</v>
      </c>
      <c r="CZ54" s="538">
        <f t="shared" si="206"/>
        <v>2.4513847475961154E-2</v>
      </c>
      <c r="DC54" s="112" t="s">
        <v>1509</v>
      </c>
      <c r="DD54" s="112" t="b">
        <f t="shared" si="128"/>
        <v>1</v>
      </c>
    </row>
    <row r="55" spans="1:108" s="112" customFormat="1" ht="25" x14ac:dyDescent="0.25">
      <c r="A55" s="100" t="str">
        <f>'BOCA DE LOBO'!C53</f>
        <v>BL48-&gt;PV3-21</v>
      </c>
      <c r="B55" s="100" t="str">
        <f>'BOCA DE LOBO'!A53</f>
        <v>PV3-21</v>
      </c>
      <c r="C55" s="100" t="str">
        <f>VLOOKUP(A55,'BOCA DE LOBO'!C:F,3,0)</f>
        <v>EXISTENTE</v>
      </c>
      <c r="D55" s="100" t="str">
        <f>VLOOKUP(A55,'BOCA DE LOBO'!C:L,10,0)</f>
        <v>PROJETADA</v>
      </c>
      <c r="E55" s="100">
        <f t="shared" ref="E55:E88" si="220">IF(F55-G55*4%&lt;2.5,F55-G55*4%,2.5)</f>
        <v>2.198</v>
      </c>
      <c r="F55" s="100">
        <f>VLOOKUP(A55,'BOCA DE LOBO'!C:D,2,0)</f>
        <v>2.5</v>
      </c>
      <c r="G55" s="100">
        <f>VLOOKUP(A55,'BOCA DE LOBO'!C:F,4,0)</f>
        <v>7.55</v>
      </c>
      <c r="H55" s="101">
        <v>400</v>
      </c>
      <c r="I55" s="102">
        <f t="shared" ref="I55:I88" si="221">IF(H55=400,((E55+F55)/2)+0.08+U55,IF(H55=500,((E55+F55)/2)+0.1+U55,IF(H55=600,((E55+F55)/2)+0.12+U55,IF(H55=800,((E55+F55)/2)+0.16+U55,IF(H55=1000,((E55+F55)/2)+0.2+U55,IF(H55=1200,((E55+F55)/2)+0.24+U55,IF(H55=1500,((E55+F55)/2)+0.3+U55,IF(H55&gt;1500,((E55+F55)/2)+0.4+U55))))))))</f>
        <v>2.4790000000000001</v>
      </c>
      <c r="J55" s="102">
        <f t="shared" ref="J55:J88" si="222">IF(L55=0,0,IF(I55&gt;=1.25,G55*I55/20,0))</f>
        <v>0.93582250000000011</v>
      </c>
      <c r="K55" s="103">
        <v>0</v>
      </c>
      <c r="L55" s="104">
        <f t="shared" ref="L55:L88" si="223">IF(D55&lt;&gt;"PROJETADA",0,IF(H55=400,1,0)+IF(H55=500,1.2,0)+IF(H55=600,1.4,0)+IF(H55=800,1.7,0)+IF(H55=1000,2,0)+IF(H55=1200,2.2,0)+IF(H55=1500,2.6,0)+IF(H55=1650,3,0)+IF(H55=1800,3.2,0)+IF(H55=2000,3.4,0)+IF(H55=2200,3.6,0)+IF(H55=2400,3.8,0)+IF(H55=2600,4,0)+IF(H55=3000,4.4,0))</f>
        <v>1</v>
      </c>
      <c r="M55" s="104">
        <f t="shared" ref="M55:M88" si="224">2*K55*I55+L55</f>
        <v>1</v>
      </c>
      <c r="N55" s="104">
        <f t="shared" ref="N55:N88" si="225">IF(OR(D55="EXISTENTE",D55="AMPLIADA"),400,0)</f>
        <v>0</v>
      </c>
      <c r="O55" s="104">
        <f t="shared" ref="O55:O88" si="226">IF(P55="TERRENO NATURAL",0,M55*G55)</f>
        <v>7.55</v>
      </c>
      <c r="P55" s="105" t="s">
        <v>1999</v>
      </c>
      <c r="Q55" s="144" t="s">
        <v>2161</v>
      </c>
      <c r="R55" s="105"/>
      <c r="S55" s="105">
        <v>5</v>
      </c>
      <c r="T55" s="105">
        <v>5</v>
      </c>
      <c r="U55" s="104">
        <f t="shared" ref="U55:U88" si="227">IF(H55=400,0.05,0)+IF(H55=500,0.05,0)+IF(H55=600,0.1,0)+IF(H55=800,0.1,0)+IF(H55=1000,0.15,0)+IF(H55=1200,0.15,0)+IF(H55=1500,0.2,0)+IF(H55=1650,0.2,0)+IF(H55=1800,0.2,0)+IF(H55=2000,0.25,0)+IF(H55=2200,0.25,0)+IF(H55=2400,0.25,0)+IF(H55=2600,0.25,0)+IF(H55=3000,0.25,0)</f>
        <v>0.05</v>
      </c>
      <c r="V55" s="106">
        <f t="shared" ref="V55:V88" si="228">IF(L55=0,0,IF("EXISTENTE"=C55,0,IFERROR((PI()*(N55/1000)*(N55/1000)/4)*G55,0)))</f>
        <v>0</v>
      </c>
      <c r="W55" s="106">
        <f t="shared" ref="W55:W88" si="229">IF(O55=0,0,((((K55*I55)*I55)/2)*2+L55*I55)*G55-V55+AO55)</f>
        <v>18.716450000000002</v>
      </c>
      <c r="X55" s="107">
        <f t="shared" ref="X55:X88" si="230">W55-SUM(AC55:AJ55)</f>
        <v>0</v>
      </c>
      <c r="Y55" s="107">
        <f t="shared" ref="Y55:Y88" si="231">IF(R55=1,IF(N55=0,I55+0.4,0.4),0)</f>
        <v>0</v>
      </c>
      <c r="Z55" s="107">
        <f t="shared" ref="Z55:Z88" si="232">IF(Y55&gt;0.5,0,IF(S55&lt;I55,S55,I55))</f>
        <v>2.4790000000000001</v>
      </c>
      <c r="AA55" s="107">
        <f t="shared" ref="AA55:AA88" si="233">I55-Z55</f>
        <v>0</v>
      </c>
      <c r="AB55" s="108">
        <f t="shared" ref="AB55:AB88" si="234">IF(P55="ASFALTO",IF(D55="PROJETADA",O55,IF(D55="EXISTENTE",0,O55/2)),0)</f>
        <v>7.55</v>
      </c>
      <c r="AC55" s="109">
        <f t="shared" ref="AC55:AC88" si="235">IF(Y55=0,0,IF(Y55=0.4,IF(L55&lt;=1.5,IF(Z55+0.4&gt;=1.5,0,L55*G55*0.4),0),IF(L55&lt;=1.5,IF(Y55&gt;=1.5,M55*G55*1.5,L55*G55*(Y55)),0)+IF(S55&lt;I55+0.4,0,IF(AND(Y55&lt;=1.5,L55&lt;=1.5),-V55,0))))</f>
        <v>0</v>
      </c>
      <c r="AD55" s="109">
        <f t="shared" ref="AD55:AD88" si="236">IF(Y55=0,0,IF(Y55=0.4,IF(L55&lt;=1.5,IF(OR(Z55+0.4&gt;=3,Z55+0.4&lt;1.5),0,L55*G55*0.4),0),IF(IF(L55&lt;=1.5,IF(Y55&gt;=3,M55*G55*1.5,L55*G55*(Y55-1.5)),0)&lt;0,0,IF(L55&lt;=1.5,IF(Y55&gt;=3,M55*G55*1.5,L55*G55*(Y55-1.5)),0))+IF(S55&lt;I55+0.4,0,IF(AND(Y55&lt;=3,L55&lt;=1.5),-V55,0))))</f>
        <v>0</v>
      </c>
      <c r="AE55" s="109">
        <f t="shared" ref="AE55:AE88" si="237">IF(Y55=0,0,IF(Y55=0.4,IF(L55&lt;=1.5,IF(OR(Z55+0.4&gt;=4.5,Z55+0.4&lt;3),0,L55*G55*0.4),0),IF(IF(L55&lt;=1.5,IF(Y55&gt;=4.5,M55*G55*1.5,L55*G55*(Y55-3)),0)&lt;0,0,IF(L55&lt;=1.5,IF(Y55&gt;=4.5,M55*G55*1.5,L55*G55*(Y55-3)),0))+IF(S55&lt;I55+0.4,0,IF(AND(Y55&lt;=4.5,L55&lt;=1.5),-V55,0))))</f>
        <v>0</v>
      </c>
      <c r="AF55" s="109">
        <f t="shared" ref="AF55:AF88" si="238">IF(L55&lt;=1.5,IF(Z55&gt;=1.5,M55*G55*1.5,L55*G55*Z55),0)+IF(S55&lt;I55,0,IF(AND(Z55&lt;=1.5,L55&lt;=1.5),-V55,0))</f>
        <v>11.324999999999999</v>
      </c>
      <c r="AG55" s="109">
        <f t="shared" ref="AG55:AG88" si="239">IF(IF(L55&lt;=1.5,IF(Z55&gt;=3,M55*G55*1.5,L55*G55*(Z55-1.5)),0)&lt;0,0,IF(L55&lt;=1.5,IF(Z55&gt;=3,M55*G55*1.5,L55*G55*(Z55-1.5)),0))+IF(S55&lt;I55,0,IF(AND(Z55&lt;=3,L55&lt;=1.5),-V55,0))</f>
        <v>7.3914500000000007</v>
      </c>
      <c r="AH55" s="109">
        <f t="shared" ref="AH55:AH88" si="240">IF(IF(IF(L55&lt;=1.5,IF(Z55&gt;=4.5,M55*G55*1.5,L55*G55*(Z55-3)),0)&lt;0,0,IF(L55&lt;=1.5,IF(Z55&gt;=4.5,M55*G55*1.5,L55*G55*(Z55-3)),0))+IF(S55&lt;I55,0,IF(AND(Z55&lt;=4.5,L55&lt;=1.5),-V55,0))&lt;0,0,IF(IF(L55&lt;=1.5,IF(Z55&gt;=4.5,M55*G55*1.5,L55*G55*(Z55-3)),0)&lt;0,0,IF(L55&lt;=1.5,IF(Z55&gt;=4.5,M55*G55*1.5,L55*G55*(Z55-3)),0))+IF(S55&lt;I55,0,IF(AND(Z55&lt;=4.5,L55&lt;=1.5),-V55,0)))</f>
        <v>0</v>
      </c>
      <c r="AI55" s="537" t="str">
        <f t="shared" ref="AI55:AI88" si="241">IF(I55&gt;S55,"SIM","NÃO")</f>
        <v>NÃO</v>
      </c>
      <c r="AJ55" s="104">
        <f t="shared" ref="AJ55:AJ88" si="242">W55-SUM(AC55:AH55)</f>
        <v>0</v>
      </c>
      <c r="AK55" s="104">
        <f t="shared" ref="AK55:AK88" si="243">IF(I55-T55&lt;0,0,(I55-T55)*G55)/75</f>
        <v>0</v>
      </c>
      <c r="AL55" s="104">
        <f t="shared" ref="AL55:AL88" si="244">IF(L55=0,0,G55*L55*I55-PI()*(H55/1000)*(H55/1000)/4*G55+AO55)</f>
        <v>17.767689018615883</v>
      </c>
      <c r="AM55" s="102">
        <f t="shared" ref="AM55:AM88" si="245">IF(L55&lt;1.5,L55*G55*IF(H55&lt;=500,0.05,IF(H55&lt;=800,0.1,IF(H55&lt;=1200,0.15,IF(H55&gt;=1500,0.2)))),0)</f>
        <v>0.3775</v>
      </c>
      <c r="AN55" s="106">
        <f t="shared" ref="AN55:AN88" si="246">IF(L55&gt;=1.5,L55*G55*IF(H55&lt;=500,0.05,IF(H55&lt;=800,0.1,IF(H55&lt;=1200,0.15,IF(H55&gt;=1500,0.2)))),0)</f>
        <v>0</v>
      </c>
      <c r="AO55" s="104">
        <f t="shared" ref="AO55:AO88" si="247">IF(R55=1,0.4*G55*L55,0)</f>
        <v>0</v>
      </c>
      <c r="AP55" s="104">
        <f t="shared" ref="AP55:AP88" si="248">IF(AO55&lt;SUM(AF55:AH55),0,AO55)</f>
        <v>0</v>
      </c>
      <c r="AQ55" s="104">
        <f t="shared" ref="AQ55:AQ88" si="249">H55/1000+0.3</f>
        <v>0.7</v>
      </c>
      <c r="AR55" s="104">
        <f t="shared" ref="AR55:AR88" si="250">IF(D55&lt;&gt;"PROJETADA",0,AQ55*L55*G55-PI()*(H55/1000*H55/1000)/4*G55)</f>
        <v>4.3362390186158812</v>
      </c>
      <c r="AS55" s="104">
        <f t="shared" ref="AS55:AS88" si="251">IF(AR55&lt;SUM(AF55:AH55),0,AR55)</f>
        <v>0</v>
      </c>
      <c r="AT55" s="104">
        <f t="shared" ref="AT55:AT88" si="252">IF(P55="ASFALTO",0.15*G55*L55,0)</f>
        <v>1.1324999999999998</v>
      </c>
      <c r="AU55" s="104">
        <f t="shared" ref="AU55:AU88" si="253">AT55</f>
        <v>1.1324999999999998</v>
      </c>
      <c r="AV55" s="104">
        <f t="shared" ref="AV55:AV88" si="254">IF(P55="ASFALTO",0.03*G55*L55,0)</f>
        <v>0.22649999999999998</v>
      </c>
      <c r="AW55" s="104">
        <f t="shared" ref="AW55:AW88" si="255">AL55-AO55-SUM(AM55:AN55)-AT55-AU55-AR55</f>
        <v>10.78895</v>
      </c>
      <c r="AX55" s="104">
        <f t="shared" ref="AX55:AX88" si="256">SUM(AF55:AH55)-AO55-AT55-AR55</f>
        <v>13.24771098138412</v>
      </c>
      <c r="AY55" s="104">
        <f t="shared" ref="AY55:AY88" si="257">SMALL(AW55:AX55,1)</f>
        <v>10.78895</v>
      </c>
      <c r="AZ55" s="104">
        <f t="shared" ref="AZ55:AZ88" si="258">AW55-AY55</f>
        <v>0</v>
      </c>
      <c r="BA55" s="104">
        <f t="shared" si="207"/>
        <v>0</v>
      </c>
      <c r="BB55" s="104">
        <f t="shared" ref="BB55:BB88" si="259">AZ55-BA55</f>
        <v>0</v>
      </c>
      <c r="BC55" s="104"/>
      <c r="BD55" s="104">
        <f t="shared" ref="BD55:BD88" si="260">IF(AO55&gt;0,4%*(AO55+AT55),0)</f>
        <v>0</v>
      </c>
      <c r="BE55" s="108">
        <f t="shared" ref="BE55:BE88" si="261">IF(H55=400,I55,0)</f>
        <v>2.4790000000000001</v>
      </c>
      <c r="BF55" s="110">
        <f t="shared" ref="BF55:BF88" si="262">IF(BE55&lt;=1.75,G55*IF(D55="PROJETADA",1,0),0)</f>
        <v>0</v>
      </c>
      <c r="BG55" s="110">
        <f t="shared" ref="BG55:BG88" si="263">IF(AND(BE55&lt;=3,BE55&gt;1.75),IF(D55="PROJETADA",1,0)*G55,0)</f>
        <v>7.55</v>
      </c>
      <c r="BH55" s="105" t="str">
        <f>VLOOKUP(A55,'BOCA DE LOBO'!C:I,7,0)</f>
        <v>BOCA DE LOBO PROJETADA DUPLA</v>
      </c>
      <c r="BI55" s="104">
        <f t="shared" ref="BI55:BI88" si="264">IF(BH55=$BI$4,1,0)</f>
        <v>0</v>
      </c>
      <c r="BJ55" s="104">
        <f t="shared" ref="BJ55:BJ88" si="265">IF(BH55=$BJ$4,1,0)</f>
        <v>0</v>
      </c>
      <c r="BK55" s="104">
        <f t="shared" ref="BK55:BK88" si="266">IF(BH55=$BK$4,1,0)</f>
        <v>0</v>
      </c>
      <c r="BL55" s="104">
        <f t="shared" ref="BL55:BL88" si="267">IF(BH55=$BL$4,1,0)</f>
        <v>0</v>
      </c>
      <c r="BM55" s="104">
        <f t="shared" ref="BM55:BM88" si="268">IF(BH55=$BM$4,1,0)</f>
        <v>0</v>
      </c>
      <c r="BN55" s="104">
        <f t="shared" ref="BN55:BN88" si="269">IF(BH55=$BN$4,1,0)</f>
        <v>1</v>
      </c>
      <c r="BO55" s="104">
        <f t="shared" ref="BO55:BO88" si="270">IF(BH55=$BO$4,1,0)</f>
        <v>0</v>
      </c>
      <c r="BP55" s="111"/>
      <c r="BQ55" s="108">
        <f t="shared" ref="BQ55:BQ88" si="271">IF(L55&lt;=1.5,IF(I55+IF(R55=1,0.5,0)&lt;1.5,(I55+IF(R55=1,0.5,0))*G55*2,G55*2*1.5),0)</f>
        <v>22.65</v>
      </c>
      <c r="BR55" s="108">
        <f t="shared" ref="BR55:BR88" si="272">IF(L55&lt;=1.5,IF(AND(I55+IF(R55=1,0.5,0)&lt;3,I55+IF(R55=1,0.5,0)&gt;1.5),(I55+IF(R55=1,0.5,0)-1.5)*G55*2,IF(I55+IF(R55=1,0.5,0)&gt;=3,(G55*2*1.5),0)),0)</f>
        <v>14.782900000000001</v>
      </c>
      <c r="BS55" s="108">
        <f t="shared" ref="BS55:BS88" si="273">IF(L55&lt;=1.5,IF(AND(I55+IF(R55=1,0.5,0)&lt;4.5,I55+IF(R55=1,0.5,0)&gt;3),(I55+IF(R55=1,0.5,0)-3)*G55*2,IF(I55+IF(R55=1,0.5,0)&gt;=4.5,(G55*2*1.5),0)),0)</f>
        <v>0</v>
      </c>
      <c r="BV55" s="538">
        <f t="shared" si="208"/>
        <v>17.106154799999995</v>
      </c>
      <c r="BW55" s="538">
        <f t="shared" si="209"/>
        <v>7.7825999999999986</v>
      </c>
      <c r="BX55" s="538">
        <f t="shared" si="210"/>
        <v>3.0325999999999995</v>
      </c>
      <c r="BY55" s="538">
        <f t="shared" ref="BY55:BY88" si="274">E55</f>
        <v>2.198</v>
      </c>
      <c r="BZ55" s="538">
        <f t="shared" ref="BZ55:BZ88" si="275">IF(Y55&gt;0.5,0,IF(S55&lt;E55,S55,E55))</f>
        <v>2.198</v>
      </c>
      <c r="CA55" s="538">
        <f t="shared" ref="CA55:CA88" si="276">IF(Y55&gt;0.4,BY55+0.4,Y55)</f>
        <v>0</v>
      </c>
      <c r="CB55" s="538">
        <f t="shared" ref="CB55:CB88" si="277">IF(S55&gt;E55,0,E55-S55)</f>
        <v>0</v>
      </c>
      <c r="CC55" s="538">
        <f t="shared" ref="CC55:CC88" si="278">IF(BZ55&gt;1.5,BW55*1.5,BW55*BZ55)</f>
        <v>11.673899999999998</v>
      </c>
      <c r="CD55" s="538">
        <f t="shared" ref="CD55:CD88" si="279">IF(BZ55&gt;1.5,BW55*(BZ55-1.5),0)</f>
        <v>5.4322547999999991</v>
      </c>
      <c r="CE55" s="538">
        <f t="shared" ref="CE55:CE88" si="280">IF(CA55=0.4,IF(BZ55+CA55&gt;1.5,0,CA55*BW55),IF(CA55&gt;1.5,BW55*1.5,BW55*CA55))</f>
        <v>0</v>
      </c>
      <c r="CF55" s="538">
        <f t="shared" ref="CF55:CF88" si="281">IF(CA55=0.4,IF(BZ55+CA55&lt;=1.5,0,CA55*BW55),IF(CA55&gt;1.5,BW55*(CA55-1.5),0))</f>
        <v>0</v>
      </c>
      <c r="CG55" s="538">
        <f t="shared" ref="CG55:CG88" si="282">BV55-SUM(CC55:CF55)</f>
        <v>0</v>
      </c>
      <c r="CH55" s="538">
        <f t="shared" ref="CH55:CH88" si="283">SUM(CC55:CG55)-BV55</f>
        <v>0</v>
      </c>
      <c r="CI55" s="104">
        <f t="shared" si="211"/>
        <v>0.53549999999999998</v>
      </c>
      <c r="CJ55" s="538">
        <f t="shared" ref="CJ55:CJ88" si="284">(BW55-BX55)*(BY55+IF(CA55&gt;=0.4,0.4,0))-CI55</f>
        <v>9.9049999999999976</v>
      </c>
      <c r="CK55" s="538">
        <f t="shared" si="212"/>
        <v>9.9049999999999976</v>
      </c>
      <c r="CL55" s="538">
        <f t="shared" ref="CL55:CL88" si="285">CJ55-CK55</f>
        <v>0</v>
      </c>
      <c r="CM55" s="538">
        <f t="shared" ref="CM55:CM88" si="286">IF(CA55&gt;0,0.5*4%*BW55,0)</f>
        <v>0</v>
      </c>
      <c r="CN55" s="538">
        <f t="shared" si="213"/>
        <v>3.57</v>
      </c>
      <c r="CO55" s="538">
        <f t="shared" ref="CO55:CO88" si="287">IF(CA55&gt;0,BY55+0.5,BY55)</f>
        <v>2.198</v>
      </c>
      <c r="CP55" s="538">
        <f t="shared" ref="CP55:CP88" si="288">IF(CO55&gt;=1.5,CN55*1.5*2,CN55*CO55*2)</f>
        <v>10.709999999999999</v>
      </c>
      <c r="CQ55" s="538">
        <f t="shared" ref="CQ55:CQ88" si="289">IF(CO55&lt;=1.5,0,IF(CO55&gt;=3,CN55*1.5*2,CN55*(CO55-1.5)*2))</f>
        <v>4.983719999999999</v>
      </c>
      <c r="CR55" s="539">
        <f t="shared" ref="CR55:CR88" si="290">IF(D55="AMPLIADA",0.55*(E55-0.5),0)</f>
        <v>0</v>
      </c>
      <c r="CS55" s="540">
        <f t="shared" si="214"/>
        <v>0</v>
      </c>
      <c r="CT55" s="540">
        <f t="shared" si="215"/>
        <v>0.33012999999999998</v>
      </c>
      <c r="CU55" s="541">
        <f t="shared" si="216"/>
        <v>11.429600000000001</v>
      </c>
      <c r="CV55" s="538">
        <f t="shared" si="217"/>
        <v>1.346538</v>
      </c>
      <c r="CW55" s="538">
        <f t="shared" si="218"/>
        <v>20.928839999999997</v>
      </c>
      <c r="CX55" s="104">
        <f t="shared" si="219"/>
        <v>3.57</v>
      </c>
      <c r="CY55" s="542">
        <f t="shared" ref="CY55:CY88" si="291">CX55*0.5</f>
        <v>1.7849999999999999</v>
      </c>
      <c r="CZ55" s="538">
        <f t="shared" ref="CZ55:CZ88" si="292">IF(AND(C55="EXISTENTE",D55="PROJETADA"),PI()*0.51*0.51/4*0.12,0)</f>
        <v>2.4513847475961154E-2</v>
      </c>
      <c r="DC55" s="112" t="s">
        <v>1537</v>
      </c>
      <c r="DD55" s="112" t="b">
        <f t="shared" si="128"/>
        <v>0</v>
      </c>
    </row>
    <row r="56" spans="1:108" s="112" customFormat="1" ht="25" x14ac:dyDescent="0.25">
      <c r="A56" s="100" t="str">
        <f>'BOCA DE LOBO'!C54</f>
        <v>BL49-&gt;PV4-21</v>
      </c>
      <c r="B56" s="100" t="str">
        <f>'BOCA DE LOBO'!A54</f>
        <v>PV4-21</v>
      </c>
      <c r="C56" s="100" t="str">
        <f>VLOOKUP(A56,'BOCA DE LOBO'!C:F,3,0)</f>
        <v>EXISTENTE</v>
      </c>
      <c r="D56" s="100" t="str">
        <f>VLOOKUP(A56,'BOCA DE LOBO'!C:L,10,0)</f>
        <v>PROJETADA</v>
      </c>
      <c r="E56" s="100">
        <f t="shared" si="220"/>
        <v>1.3812000000000164</v>
      </c>
      <c r="F56" s="100">
        <f>VLOOKUP(A56,'BOCA DE LOBO'!C:D,2,0)</f>
        <v>1.6820000000000164</v>
      </c>
      <c r="G56" s="100">
        <f>VLOOKUP(A56,'BOCA DE LOBO'!C:F,4,0)</f>
        <v>7.52</v>
      </c>
      <c r="H56" s="101">
        <v>400</v>
      </c>
      <c r="I56" s="102">
        <f t="shared" si="221"/>
        <v>1.6616000000000166</v>
      </c>
      <c r="J56" s="102">
        <f t="shared" si="222"/>
        <v>0.62476160000000625</v>
      </c>
      <c r="K56" s="103">
        <v>0</v>
      </c>
      <c r="L56" s="104">
        <f t="shared" si="223"/>
        <v>1</v>
      </c>
      <c r="M56" s="104">
        <f t="shared" si="224"/>
        <v>1</v>
      </c>
      <c r="N56" s="104">
        <f t="shared" si="225"/>
        <v>0</v>
      </c>
      <c r="O56" s="104">
        <f t="shared" si="226"/>
        <v>7.52</v>
      </c>
      <c r="P56" s="105" t="s">
        <v>1999</v>
      </c>
      <c r="Q56" s="144" t="s">
        <v>2161</v>
      </c>
      <c r="R56" s="105"/>
      <c r="S56" s="105">
        <v>5</v>
      </c>
      <c r="T56" s="105">
        <v>5</v>
      </c>
      <c r="U56" s="104">
        <f t="shared" si="227"/>
        <v>0.05</v>
      </c>
      <c r="V56" s="106">
        <f t="shared" si="228"/>
        <v>0</v>
      </c>
      <c r="W56" s="106">
        <f t="shared" si="229"/>
        <v>12.495232000000124</v>
      </c>
      <c r="X56" s="107">
        <f t="shared" si="230"/>
        <v>0</v>
      </c>
      <c r="Y56" s="107">
        <f t="shared" si="231"/>
        <v>0</v>
      </c>
      <c r="Z56" s="107">
        <f t="shared" si="232"/>
        <v>1.6616000000000166</v>
      </c>
      <c r="AA56" s="107">
        <f t="shared" si="233"/>
        <v>0</v>
      </c>
      <c r="AB56" s="108">
        <f t="shared" si="234"/>
        <v>7.52</v>
      </c>
      <c r="AC56" s="109">
        <f t="shared" si="235"/>
        <v>0</v>
      </c>
      <c r="AD56" s="109">
        <f t="shared" si="236"/>
        <v>0</v>
      </c>
      <c r="AE56" s="109">
        <f t="shared" si="237"/>
        <v>0</v>
      </c>
      <c r="AF56" s="109">
        <f t="shared" si="238"/>
        <v>11.28</v>
      </c>
      <c r="AG56" s="109">
        <f t="shared" si="239"/>
        <v>1.2152320000001249</v>
      </c>
      <c r="AH56" s="109">
        <f t="shared" si="240"/>
        <v>0</v>
      </c>
      <c r="AI56" s="537" t="str">
        <f t="shared" si="241"/>
        <v>NÃO</v>
      </c>
      <c r="AJ56" s="104">
        <f t="shared" si="242"/>
        <v>0</v>
      </c>
      <c r="AK56" s="104">
        <f t="shared" si="243"/>
        <v>0</v>
      </c>
      <c r="AL56" s="104">
        <f t="shared" si="244"/>
        <v>11.550240929800314</v>
      </c>
      <c r="AM56" s="102">
        <f t="shared" si="245"/>
        <v>0.376</v>
      </c>
      <c r="AN56" s="106">
        <f t="shared" si="246"/>
        <v>0</v>
      </c>
      <c r="AO56" s="104">
        <f t="shared" si="247"/>
        <v>0</v>
      </c>
      <c r="AP56" s="104">
        <f t="shared" si="248"/>
        <v>0</v>
      </c>
      <c r="AQ56" s="104">
        <f t="shared" si="249"/>
        <v>0.7</v>
      </c>
      <c r="AR56" s="104">
        <f t="shared" si="250"/>
        <v>4.3190089298001899</v>
      </c>
      <c r="AS56" s="104">
        <f t="shared" si="251"/>
        <v>0</v>
      </c>
      <c r="AT56" s="104">
        <f t="shared" si="252"/>
        <v>1.1279999999999999</v>
      </c>
      <c r="AU56" s="104">
        <f t="shared" si="253"/>
        <v>1.1279999999999999</v>
      </c>
      <c r="AV56" s="104">
        <f t="shared" si="254"/>
        <v>0.22559999999999997</v>
      </c>
      <c r="AW56" s="104">
        <f t="shared" si="255"/>
        <v>4.5992320000001241</v>
      </c>
      <c r="AX56" s="104">
        <f t="shared" si="256"/>
        <v>7.048223070199934</v>
      </c>
      <c r="AY56" s="104">
        <f t="shared" si="257"/>
        <v>4.5992320000001241</v>
      </c>
      <c r="AZ56" s="104">
        <f t="shared" si="258"/>
        <v>0</v>
      </c>
      <c r="BA56" s="104">
        <f t="shared" si="207"/>
        <v>0</v>
      </c>
      <c r="BB56" s="104">
        <f t="shared" si="259"/>
        <v>0</v>
      </c>
      <c r="BC56" s="104"/>
      <c r="BD56" s="104">
        <f t="shared" si="260"/>
        <v>0</v>
      </c>
      <c r="BE56" s="108">
        <f t="shared" si="261"/>
        <v>1.6616000000000166</v>
      </c>
      <c r="BF56" s="110">
        <f t="shared" si="262"/>
        <v>7.52</v>
      </c>
      <c r="BG56" s="110">
        <f t="shared" si="263"/>
        <v>0</v>
      </c>
      <c r="BH56" s="105" t="str">
        <f>VLOOKUP(A56,'BOCA DE LOBO'!C:I,7,0)</f>
        <v>BOCA DE LOBO PROJETADA DUPLA</v>
      </c>
      <c r="BI56" s="104">
        <f t="shared" si="264"/>
        <v>0</v>
      </c>
      <c r="BJ56" s="104">
        <f t="shared" si="265"/>
        <v>0</v>
      </c>
      <c r="BK56" s="104">
        <f t="shared" si="266"/>
        <v>0</v>
      </c>
      <c r="BL56" s="104">
        <f t="shared" si="267"/>
        <v>0</v>
      </c>
      <c r="BM56" s="104">
        <f t="shared" si="268"/>
        <v>0</v>
      </c>
      <c r="BN56" s="104">
        <f t="shared" si="269"/>
        <v>1</v>
      </c>
      <c r="BO56" s="104">
        <f t="shared" si="270"/>
        <v>0</v>
      </c>
      <c r="BP56" s="111"/>
      <c r="BQ56" s="108">
        <f t="shared" si="271"/>
        <v>22.56</v>
      </c>
      <c r="BR56" s="108">
        <f t="shared" si="272"/>
        <v>2.4304640000002498</v>
      </c>
      <c r="BS56" s="108">
        <f t="shared" si="273"/>
        <v>0</v>
      </c>
      <c r="BV56" s="538">
        <f t="shared" si="208"/>
        <v>10.749327120000126</v>
      </c>
      <c r="BW56" s="538">
        <f t="shared" si="209"/>
        <v>7.7825999999999986</v>
      </c>
      <c r="BX56" s="538">
        <f t="shared" si="210"/>
        <v>3.0325999999999995</v>
      </c>
      <c r="BY56" s="538">
        <f t="shared" si="274"/>
        <v>1.3812000000000164</v>
      </c>
      <c r="BZ56" s="538">
        <f t="shared" si="275"/>
        <v>1.3812000000000164</v>
      </c>
      <c r="CA56" s="538">
        <f t="shared" si="276"/>
        <v>0</v>
      </c>
      <c r="CB56" s="538">
        <f t="shared" si="277"/>
        <v>0</v>
      </c>
      <c r="CC56" s="538">
        <f t="shared" si="278"/>
        <v>10.749327120000126</v>
      </c>
      <c r="CD56" s="538">
        <f t="shared" si="279"/>
        <v>0</v>
      </c>
      <c r="CE56" s="538">
        <f t="shared" si="280"/>
        <v>0</v>
      </c>
      <c r="CF56" s="538">
        <f t="shared" si="281"/>
        <v>0</v>
      </c>
      <c r="CG56" s="538">
        <f t="shared" si="282"/>
        <v>0</v>
      </c>
      <c r="CH56" s="538">
        <f t="shared" si="283"/>
        <v>0</v>
      </c>
      <c r="CI56" s="104">
        <f t="shared" si="211"/>
        <v>0.53549999999999998</v>
      </c>
      <c r="CJ56" s="538">
        <f t="shared" si="284"/>
        <v>6.0252000000000772</v>
      </c>
      <c r="CK56" s="538">
        <f t="shared" si="212"/>
        <v>6.0252000000000772</v>
      </c>
      <c r="CL56" s="538">
        <f t="shared" si="285"/>
        <v>0</v>
      </c>
      <c r="CM56" s="538">
        <f t="shared" si="286"/>
        <v>0</v>
      </c>
      <c r="CN56" s="538">
        <f t="shared" si="213"/>
        <v>3.57</v>
      </c>
      <c r="CO56" s="538">
        <f t="shared" si="287"/>
        <v>1.3812000000000164</v>
      </c>
      <c r="CP56" s="538">
        <f t="shared" si="288"/>
        <v>9.8617680000001169</v>
      </c>
      <c r="CQ56" s="538">
        <f t="shared" si="289"/>
        <v>0</v>
      </c>
      <c r="CR56" s="539">
        <f t="shared" si="290"/>
        <v>0</v>
      </c>
      <c r="CS56" s="540">
        <f t="shared" si="214"/>
        <v>0</v>
      </c>
      <c r="CT56" s="540">
        <f t="shared" si="215"/>
        <v>0.33012999999999998</v>
      </c>
      <c r="CU56" s="541">
        <f t="shared" si="216"/>
        <v>7.1822400000000854</v>
      </c>
      <c r="CV56" s="538">
        <f t="shared" si="217"/>
        <v>1.0965972000000048</v>
      </c>
      <c r="CW56" s="538">
        <f t="shared" si="218"/>
        <v>14.655816000000128</v>
      </c>
      <c r="CX56" s="104">
        <f t="shared" si="219"/>
        <v>3.57</v>
      </c>
      <c r="CY56" s="542">
        <f t="shared" si="291"/>
        <v>1.7849999999999999</v>
      </c>
      <c r="CZ56" s="538">
        <f t="shared" si="292"/>
        <v>2.4513847475961154E-2</v>
      </c>
      <c r="DC56" s="112" t="s">
        <v>1539</v>
      </c>
      <c r="DD56" s="112" t="b">
        <f t="shared" si="128"/>
        <v>0</v>
      </c>
    </row>
    <row r="57" spans="1:108" s="112" customFormat="1" ht="25" x14ac:dyDescent="0.25">
      <c r="A57" s="100" t="str">
        <f>'BOCA DE LOBO'!C55</f>
        <v>BL50-&gt;PV5-21</v>
      </c>
      <c r="B57" s="100" t="str">
        <f>'BOCA DE LOBO'!A55</f>
        <v>PV5-21</v>
      </c>
      <c r="C57" s="100" t="str">
        <f>VLOOKUP(A57,'BOCA DE LOBO'!C:F,3,0)</f>
        <v>EXISTENTE</v>
      </c>
      <c r="D57" s="100" t="str">
        <f>VLOOKUP(A57,'BOCA DE LOBO'!C:L,10,0)</f>
        <v>PROJETADA</v>
      </c>
      <c r="E57" s="100">
        <f t="shared" si="220"/>
        <v>2.5</v>
      </c>
      <c r="F57" s="100">
        <f>VLOOKUP(A57,'BOCA DE LOBO'!C:D,2,0)</f>
        <v>2.9329999999999927</v>
      </c>
      <c r="G57" s="100">
        <f>VLOOKUP(A57,'BOCA DE LOBO'!C:F,4,0)</f>
        <v>2.5299999999999998</v>
      </c>
      <c r="H57" s="101">
        <v>400</v>
      </c>
      <c r="I57" s="102">
        <f t="shared" si="221"/>
        <v>2.8464999999999963</v>
      </c>
      <c r="J57" s="102">
        <f t="shared" si="222"/>
        <v>0.36008224999999949</v>
      </c>
      <c r="K57" s="103">
        <v>0</v>
      </c>
      <c r="L57" s="104">
        <f t="shared" si="223"/>
        <v>1</v>
      </c>
      <c r="M57" s="104">
        <f t="shared" si="224"/>
        <v>1</v>
      </c>
      <c r="N57" s="104">
        <f t="shared" si="225"/>
        <v>0</v>
      </c>
      <c r="O57" s="104">
        <f t="shared" si="226"/>
        <v>2.5299999999999998</v>
      </c>
      <c r="P57" s="105" t="s">
        <v>1999</v>
      </c>
      <c r="Q57" s="144" t="s">
        <v>2162</v>
      </c>
      <c r="R57" s="105"/>
      <c r="S57" s="105">
        <v>5</v>
      </c>
      <c r="T57" s="105">
        <v>5</v>
      </c>
      <c r="U57" s="104">
        <f t="shared" si="227"/>
        <v>0.05</v>
      </c>
      <c r="V57" s="106">
        <f t="shared" si="228"/>
        <v>0</v>
      </c>
      <c r="W57" s="106">
        <f t="shared" si="229"/>
        <v>7.2016449999999903</v>
      </c>
      <c r="X57" s="107">
        <f t="shared" si="230"/>
        <v>0</v>
      </c>
      <c r="Y57" s="107">
        <f t="shared" si="231"/>
        <v>0</v>
      </c>
      <c r="Z57" s="107">
        <f t="shared" si="232"/>
        <v>2.8464999999999963</v>
      </c>
      <c r="AA57" s="107">
        <f t="shared" si="233"/>
        <v>0</v>
      </c>
      <c r="AB57" s="108">
        <f t="shared" si="234"/>
        <v>2.5299999999999998</v>
      </c>
      <c r="AC57" s="109">
        <f t="shared" si="235"/>
        <v>0</v>
      </c>
      <c r="AD57" s="109">
        <f t="shared" si="236"/>
        <v>0</v>
      </c>
      <c r="AE57" s="109">
        <f t="shared" si="237"/>
        <v>0</v>
      </c>
      <c r="AF57" s="109">
        <f t="shared" si="238"/>
        <v>3.7949999999999999</v>
      </c>
      <c r="AG57" s="109">
        <f t="shared" si="239"/>
        <v>3.4066449999999904</v>
      </c>
      <c r="AH57" s="109">
        <f t="shared" si="240"/>
        <v>0</v>
      </c>
      <c r="AI57" s="537" t="str">
        <f t="shared" si="241"/>
        <v>NÃO</v>
      </c>
      <c r="AJ57" s="104">
        <f t="shared" si="242"/>
        <v>0</v>
      </c>
      <c r="AK57" s="104">
        <f t="shared" si="243"/>
        <v>0</v>
      </c>
      <c r="AL57" s="104">
        <f t="shared" si="244"/>
        <v>6.8837158234567033</v>
      </c>
      <c r="AM57" s="102">
        <f t="shared" si="245"/>
        <v>0.1265</v>
      </c>
      <c r="AN57" s="106">
        <f t="shared" si="246"/>
        <v>0</v>
      </c>
      <c r="AO57" s="104">
        <f t="shared" si="247"/>
        <v>0</v>
      </c>
      <c r="AP57" s="104">
        <f t="shared" si="248"/>
        <v>0</v>
      </c>
      <c r="AQ57" s="104">
        <f t="shared" si="249"/>
        <v>0.7</v>
      </c>
      <c r="AR57" s="104">
        <f t="shared" si="250"/>
        <v>1.4530708234567127</v>
      </c>
      <c r="AS57" s="104">
        <f t="shared" si="251"/>
        <v>0</v>
      </c>
      <c r="AT57" s="104">
        <f t="shared" si="252"/>
        <v>0.37949999999999995</v>
      </c>
      <c r="AU57" s="104">
        <f t="shared" si="253"/>
        <v>0.37949999999999995</v>
      </c>
      <c r="AV57" s="104">
        <f t="shared" si="254"/>
        <v>7.5899999999999995E-2</v>
      </c>
      <c r="AW57" s="104">
        <f t="shared" si="255"/>
        <v>4.54514499999999</v>
      </c>
      <c r="AX57" s="104">
        <f t="shared" si="256"/>
        <v>5.3690741765432772</v>
      </c>
      <c r="AY57" s="104">
        <f t="shared" si="257"/>
        <v>4.54514499999999</v>
      </c>
      <c r="AZ57" s="104">
        <f t="shared" si="258"/>
        <v>0</v>
      </c>
      <c r="BA57" s="104">
        <f t="shared" si="207"/>
        <v>0</v>
      </c>
      <c r="BB57" s="104">
        <f t="shared" si="259"/>
        <v>0</v>
      </c>
      <c r="BC57" s="104"/>
      <c r="BD57" s="104">
        <f t="shared" si="260"/>
        <v>0</v>
      </c>
      <c r="BE57" s="108">
        <f t="shared" si="261"/>
        <v>2.8464999999999963</v>
      </c>
      <c r="BF57" s="110">
        <f t="shared" si="262"/>
        <v>0</v>
      </c>
      <c r="BG57" s="110">
        <f t="shared" si="263"/>
        <v>2.5299999999999998</v>
      </c>
      <c r="BH57" s="105" t="str">
        <f>VLOOKUP(A57,'BOCA DE LOBO'!C:I,7,0)</f>
        <v>BOCA DE LOBO PROJETADA DUPLA</v>
      </c>
      <c r="BI57" s="104">
        <f t="shared" si="264"/>
        <v>0</v>
      </c>
      <c r="BJ57" s="104">
        <f t="shared" si="265"/>
        <v>0</v>
      </c>
      <c r="BK57" s="104">
        <f t="shared" si="266"/>
        <v>0</v>
      </c>
      <c r="BL57" s="104">
        <f t="shared" si="267"/>
        <v>0</v>
      </c>
      <c r="BM57" s="104">
        <f t="shared" si="268"/>
        <v>0</v>
      </c>
      <c r="BN57" s="104">
        <f t="shared" si="269"/>
        <v>1</v>
      </c>
      <c r="BO57" s="104">
        <f t="shared" si="270"/>
        <v>0</v>
      </c>
      <c r="BP57" s="111"/>
      <c r="BQ57" s="108">
        <f t="shared" si="271"/>
        <v>7.59</v>
      </c>
      <c r="BR57" s="108">
        <f t="shared" si="272"/>
        <v>6.8132899999999808</v>
      </c>
      <c r="BS57" s="108">
        <f t="shared" si="273"/>
        <v>0</v>
      </c>
      <c r="BV57" s="538">
        <f t="shared" si="208"/>
        <v>19.456499999999998</v>
      </c>
      <c r="BW57" s="538">
        <f t="shared" si="209"/>
        <v>7.7825999999999986</v>
      </c>
      <c r="BX57" s="538">
        <f t="shared" si="210"/>
        <v>3.0325999999999995</v>
      </c>
      <c r="BY57" s="538">
        <f t="shared" si="274"/>
        <v>2.5</v>
      </c>
      <c r="BZ57" s="538">
        <f t="shared" si="275"/>
        <v>2.5</v>
      </c>
      <c r="CA57" s="538">
        <f t="shared" si="276"/>
        <v>0</v>
      </c>
      <c r="CB57" s="538">
        <f t="shared" si="277"/>
        <v>0</v>
      </c>
      <c r="CC57" s="538">
        <f t="shared" si="278"/>
        <v>11.673899999999998</v>
      </c>
      <c r="CD57" s="538">
        <f t="shared" si="279"/>
        <v>7.7825999999999986</v>
      </c>
      <c r="CE57" s="538">
        <f t="shared" si="280"/>
        <v>0</v>
      </c>
      <c r="CF57" s="538">
        <f t="shared" si="281"/>
        <v>0</v>
      </c>
      <c r="CG57" s="538">
        <f t="shared" si="282"/>
        <v>0</v>
      </c>
      <c r="CH57" s="538">
        <f t="shared" si="283"/>
        <v>0</v>
      </c>
      <c r="CI57" s="104">
        <f t="shared" si="211"/>
        <v>0.53549999999999998</v>
      </c>
      <c r="CJ57" s="538">
        <f t="shared" si="284"/>
        <v>11.339499999999997</v>
      </c>
      <c r="CK57" s="538">
        <f t="shared" si="212"/>
        <v>11.339499999999997</v>
      </c>
      <c r="CL57" s="538">
        <f t="shared" si="285"/>
        <v>0</v>
      </c>
      <c r="CM57" s="538">
        <f t="shared" si="286"/>
        <v>0</v>
      </c>
      <c r="CN57" s="538">
        <f t="shared" si="213"/>
        <v>3.57</v>
      </c>
      <c r="CO57" s="538">
        <f t="shared" si="287"/>
        <v>2.5</v>
      </c>
      <c r="CP57" s="538">
        <f t="shared" si="288"/>
        <v>10.709999999999999</v>
      </c>
      <c r="CQ57" s="538">
        <f t="shared" si="289"/>
        <v>7.14</v>
      </c>
      <c r="CR57" s="539">
        <f t="shared" si="290"/>
        <v>0</v>
      </c>
      <c r="CS57" s="540">
        <f t="shared" si="214"/>
        <v>0</v>
      </c>
      <c r="CT57" s="540">
        <f t="shared" si="215"/>
        <v>0.33012999999999998</v>
      </c>
      <c r="CU57" s="541">
        <f t="shared" si="216"/>
        <v>13</v>
      </c>
      <c r="CV57" s="538">
        <f t="shared" si="217"/>
        <v>1.43895</v>
      </c>
      <c r="CW57" s="538">
        <f t="shared" si="218"/>
        <v>23.248199999999997</v>
      </c>
      <c r="CX57" s="104">
        <f t="shared" si="219"/>
        <v>3.57</v>
      </c>
      <c r="CY57" s="542">
        <f t="shared" si="291"/>
        <v>1.7849999999999999</v>
      </c>
      <c r="CZ57" s="538">
        <f t="shared" si="292"/>
        <v>2.4513847475961154E-2</v>
      </c>
      <c r="DC57" s="112" t="s">
        <v>1540</v>
      </c>
      <c r="DD57" s="112" t="b">
        <f t="shared" si="128"/>
        <v>0</v>
      </c>
    </row>
    <row r="58" spans="1:108" s="112" customFormat="1" ht="25" x14ac:dyDescent="0.25">
      <c r="A58" s="100" t="str">
        <f>'BOCA DE LOBO'!C56</f>
        <v>BL51-&gt;PV7-21</v>
      </c>
      <c r="B58" s="100" t="str">
        <f>'BOCA DE LOBO'!A56</f>
        <v>PV7-21</v>
      </c>
      <c r="C58" s="100" t="str">
        <f>VLOOKUP(A58,'BOCA DE LOBO'!C:F,3,0)</f>
        <v>EXISTENTE</v>
      </c>
      <c r="D58" s="100" t="str">
        <f>VLOOKUP(A58,'BOCA DE LOBO'!C:L,10,0)</f>
        <v>EXISTENTE</v>
      </c>
      <c r="E58" s="100">
        <f t="shared" si="220"/>
        <v>2.5</v>
      </c>
      <c r="F58" s="100">
        <f>VLOOKUP(A58,'BOCA DE LOBO'!C:D,2,0)</f>
        <v>3.42999999999995</v>
      </c>
      <c r="G58" s="100">
        <f>VLOOKUP(A58,'BOCA DE LOBO'!C:F,4,0)</f>
        <v>4.67</v>
      </c>
      <c r="H58" s="101">
        <v>400</v>
      </c>
      <c r="I58" s="102">
        <f t="shared" si="221"/>
        <v>3.0949999999999749</v>
      </c>
      <c r="J58" s="102">
        <f t="shared" si="222"/>
        <v>0</v>
      </c>
      <c r="K58" s="103">
        <v>0</v>
      </c>
      <c r="L58" s="104">
        <f t="shared" si="223"/>
        <v>0</v>
      </c>
      <c r="M58" s="104">
        <f t="shared" si="224"/>
        <v>0</v>
      </c>
      <c r="N58" s="104">
        <f t="shared" si="225"/>
        <v>400</v>
      </c>
      <c r="O58" s="104">
        <f t="shared" si="226"/>
        <v>0</v>
      </c>
      <c r="P58" s="105" t="s">
        <v>1999</v>
      </c>
      <c r="Q58" s="144" t="s">
        <v>2162</v>
      </c>
      <c r="R58" s="105"/>
      <c r="S58" s="105">
        <v>5</v>
      </c>
      <c r="T58" s="105">
        <v>5</v>
      </c>
      <c r="U58" s="104">
        <f t="shared" si="227"/>
        <v>0.05</v>
      </c>
      <c r="V58" s="106">
        <f t="shared" si="228"/>
        <v>0</v>
      </c>
      <c r="W58" s="106">
        <f t="shared" si="229"/>
        <v>0</v>
      </c>
      <c r="X58" s="107">
        <f t="shared" si="230"/>
        <v>0</v>
      </c>
      <c r="Y58" s="107">
        <f t="shared" si="231"/>
        <v>0</v>
      </c>
      <c r="Z58" s="107">
        <f t="shared" si="232"/>
        <v>3.0949999999999749</v>
      </c>
      <c r="AA58" s="107">
        <f t="shared" si="233"/>
        <v>0</v>
      </c>
      <c r="AB58" s="108">
        <f t="shared" si="234"/>
        <v>0</v>
      </c>
      <c r="AC58" s="109">
        <f t="shared" si="235"/>
        <v>0</v>
      </c>
      <c r="AD58" s="109">
        <f t="shared" si="236"/>
        <v>0</v>
      </c>
      <c r="AE58" s="109">
        <f t="shared" si="237"/>
        <v>0</v>
      </c>
      <c r="AF58" s="109">
        <f t="shared" si="238"/>
        <v>0</v>
      </c>
      <c r="AG58" s="109">
        <f t="shared" si="239"/>
        <v>0</v>
      </c>
      <c r="AH58" s="109">
        <f t="shared" si="240"/>
        <v>0</v>
      </c>
      <c r="AI58" s="537" t="str">
        <f t="shared" si="241"/>
        <v>NÃO</v>
      </c>
      <c r="AJ58" s="104">
        <f t="shared" si="242"/>
        <v>0</v>
      </c>
      <c r="AK58" s="104">
        <f t="shared" si="243"/>
        <v>0</v>
      </c>
      <c r="AL58" s="104">
        <f t="shared" si="244"/>
        <v>0</v>
      </c>
      <c r="AM58" s="102">
        <f t="shared" si="245"/>
        <v>0</v>
      </c>
      <c r="AN58" s="106">
        <f t="shared" si="246"/>
        <v>0</v>
      </c>
      <c r="AO58" s="104">
        <f t="shared" si="247"/>
        <v>0</v>
      </c>
      <c r="AP58" s="104">
        <f t="shared" si="248"/>
        <v>0</v>
      </c>
      <c r="AQ58" s="104">
        <f t="shared" si="249"/>
        <v>0.7</v>
      </c>
      <c r="AR58" s="104">
        <f t="shared" si="250"/>
        <v>0</v>
      </c>
      <c r="AS58" s="104">
        <f t="shared" si="251"/>
        <v>0</v>
      </c>
      <c r="AT58" s="104">
        <f t="shared" si="252"/>
        <v>0</v>
      </c>
      <c r="AU58" s="104">
        <f t="shared" si="253"/>
        <v>0</v>
      </c>
      <c r="AV58" s="104">
        <f t="shared" si="254"/>
        <v>0</v>
      </c>
      <c r="AW58" s="104">
        <f t="shared" si="255"/>
        <v>0</v>
      </c>
      <c r="AX58" s="104">
        <f t="shared" si="256"/>
        <v>0</v>
      </c>
      <c r="AY58" s="104">
        <f t="shared" si="257"/>
        <v>0</v>
      </c>
      <c r="AZ58" s="104">
        <f t="shared" si="258"/>
        <v>0</v>
      </c>
      <c r="BA58" s="104">
        <f t="shared" si="207"/>
        <v>0</v>
      </c>
      <c r="BB58" s="104">
        <f t="shared" si="259"/>
        <v>0</v>
      </c>
      <c r="BC58" s="104"/>
      <c r="BD58" s="104">
        <f t="shared" si="260"/>
        <v>0</v>
      </c>
      <c r="BE58" s="108">
        <f t="shared" si="261"/>
        <v>3.0949999999999749</v>
      </c>
      <c r="BF58" s="110">
        <f t="shared" si="262"/>
        <v>0</v>
      </c>
      <c r="BG58" s="110">
        <f t="shared" si="263"/>
        <v>0</v>
      </c>
      <c r="BH58" s="105" t="str">
        <f>VLOOKUP(A58,'BOCA DE LOBO'!C:I,7,0)</f>
        <v>BOCA DE LOBO EXISTENTE SIMPLES</v>
      </c>
      <c r="BI58" s="104">
        <f t="shared" si="264"/>
        <v>0</v>
      </c>
      <c r="BJ58" s="104">
        <f t="shared" si="265"/>
        <v>0</v>
      </c>
      <c r="BK58" s="104">
        <f t="shared" si="266"/>
        <v>0</v>
      </c>
      <c r="BL58" s="104">
        <f t="shared" si="267"/>
        <v>0</v>
      </c>
      <c r="BM58" s="104">
        <f t="shared" si="268"/>
        <v>0</v>
      </c>
      <c r="BN58" s="104">
        <f t="shared" si="269"/>
        <v>0</v>
      </c>
      <c r="BO58" s="104">
        <f t="shared" si="270"/>
        <v>0</v>
      </c>
      <c r="BP58" s="111"/>
      <c r="BQ58" s="108">
        <f t="shared" si="271"/>
        <v>14.01</v>
      </c>
      <c r="BR58" s="108">
        <f t="shared" si="272"/>
        <v>14.01</v>
      </c>
      <c r="BS58" s="108">
        <f t="shared" si="273"/>
        <v>0.88729999999976539</v>
      </c>
      <c r="BV58" s="538">
        <f t="shared" si="208"/>
        <v>0</v>
      </c>
      <c r="BW58" s="538">
        <f t="shared" si="209"/>
        <v>0</v>
      </c>
      <c r="BX58" s="538">
        <f t="shared" si="210"/>
        <v>0</v>
      </c>
      <c r="BY58" s="538">
        <f t="shared" si="274"/>
        <v>2.5</v>
      </c>
      <c r="BZ58" s="538">
        <f t="shared" si="275"/>
        <v>2.5</v>
      </c>
      <c r="CA58" s="538">
        <f t="shared" si="276"/>
        <v>0</v>
      </c>
      <c r="CB58" s="538">
        <f t="shared" si="277"/>
        <v>0</v>
      </c>
      <c r="CC58" s="538">
        <f t="shared" si="278"/>
        <v>0</v>
      </c>
      <c r="CD58" s="538">
        <f t="shared" si="279"/>
        <v>0</v>
      </c>
      <c r="CE58" s="538">
        <f t="shared" si="280"/>
        <v>0</v>
      </c>
      <c r="CF58" s="538">
        <f t="shared" si="281"/>
        <v>0</v>
      </c>
      <c r="CG58" s="538">
        <f t="shared" si="282"/>
        <v>0</v>
      </c>
      <c r="CH58" s="538">
        <f t="shared" si="283"/>
        <v>0</v>
      </c>
      <c r="CI58" s="104">
        <f t="shared" si="211"/>
        <v>0</v>
      </c>
      <c r="CJ58" s="538">
        <f t="shared" si="284"/>
        <v>0</v>
      </c>
      <c r="CK58" s="538">
        <f t="shared" si="212"/>
        <v>0</v>
      </c>
      <c r="CL58" s="538">
        <f t="shared" si="285"/>
        <v>0</v>
      </c>
      <c r="CM58" s="538">
        <f t="shared" si="286"/>
        <v>0</v>
      </c>
      <c r="CN58" s="538">
        <f t="shared" si="213"/>
        <v>0</v>
      </c>
      <c r="CO58" s="538">
        <f t="shared" si="287"/>
        <v>2.5</v>
      </c>
      <c r="CP58" s="538">
        <f t="shared" si="288"/>
        <v>0</v>
      </c>
      <c r="CQ58" s="538">
        <f t="shared" si="289"/>
        <v>0</v>
      </c>
      <c r="CR58" s="539">
        <f t="shared" si="290"/>
        <v>0</v>
      </c>
      <c r="CS58" s="540">
        <f t="shared" si="214"/>
        <v>0</v>
      </c>
      <c r="CT58" s="540">
        <f t="shared" si="215"/>
        <v>0</v>
      </c>
      <c r="CU58" s="541">
        <f t="shared" si="216"/>
        <v>0</v>
      </c>
      <c r="CV58" s="538">
        <f t="shared" si="217"/>
        <v>0</v>
      </c>
      <c r="CW58" s="538">
        <f t="shared" si="218"/>
        <v>0</v>
      </c>
      <c r="CX58" s="104">
        <f t="shared" si="219"/>
        <v>0</v>
      </c>
      <c r="CY58" s="542">
        <f t="shared" si="291"/>
        <v>0</v>
      </c>
      <c r="CZ58" s="538">
        <f t="shared" si="292"/>
        <v>0</v>
      </c>
      <c r="DC58" s="112" t="s">
        <v>1542</v>
      </c>
      <c r="DD58" s="112" t="b">
        <f t="shared" si="128"/>
        <v>0</v>
      </c>
    </row>
    <row r="59" spans="1:108" s="112" customFormat="1" ht="25" x14ac:dyDescent="0.25">
      <c r="A59" s="100" t="str">
        <f>'BOCA DE LOBO'!C57</f>
        <v>BL52-&gt;PV8-21</v>
      </c>
      <c r="B59" s="100" t="str">
        <f>'BOCA DE LOBO'!A57</f>
        <v>PV8-21</v>
      </c>
      <c r="C59" s="100" t="str">
        <f>VLOOKUP(A59,'BOCA DE LOBO'!C:F,3,0)</f>
        <v>EXISTENTE</v>
      </c>
      <c r="D59" s="100" t="str">
        <f>VLOOKUP(A59,'BOCA DE LOBO'!C:L,10,0)</f>
        <v>EXISTENTE</v>
      </c>
      <c r="E59" s="100">
        <f t="shared" si="220"/>
        <v>2.5</v>
      </c>
      <c r="F59" s="100">
        <f>VLOOKUP(A59,'BOCA DE LOBO'!C:D,2,0)</f>
        <v>4.0130000000000337</v>
      </c>
      <c r="G59" s="100">
        <f>VLOOKUP(A59,'BOCA DE LOBO'!C:F,4,0)</f>
        <v>6</v>
      </c>
      <c r="H59" s="101">
        <v>400</v>
      </c>
      <c r="I59" s="102">
        <f t="shared" si="221"/>
        <v>3.3865000000000167</v>
      </c>
      <c r="J59" s="102">
        <f t="shared" si="222"/>
        <v>0</v>
      </c>
      <c r="K59" s="103">
        <v>0</v>
      </c>
      <c r="L59" s="104">
        <f t="shared" si="223"/>
        <v>0</v>
      </c>
      <c r="M59" s="104">
        <f t="shared" si="224"/>
        <v>0</v>
      </c>
      <c r="N59" s="104">
        <f t="shared" si="225"/>
        <v>400</v>
      </c>
      <c r="O59" s="104">
        <f t="shared" si="226"/>
        <v>0</v>
      </c>
      <c r="P59" s="105" t="s">
        <v>1999</v>
      </c>
      <c r="Q59" s="144" t="s">
        <v>2162</v>
      </c>
      <c r="R59" s="105"/>
      <c r="S59" s="105">
        <v>5</v>
      </c>
      <c r="T59" s="105">
        <v>5</v>
      </c>
      <c r="U59" s="104">
        <f t="shared" si="227"/>
        <v>0.05</v>
      </c>
      <c r="V59" s="106">
        <f t="shared" si="228"/>
        <v>0</v>
      </c>
      <c r="W59" s="106">
        <f t="shared" si="229"/>
        <v>0</v>
      </c>
      <c r="X59" s="107">
        <f t="shared" si="230"/>
        <v>0</v>
      </c>
      <c r="Y59" s="107">
        <f t="shared" si="231"/>
        <v>0</v>
      </c>
      <c r="Z59" s="107">
        <f t="shared" si="232"/>
        <v>3.3865000000000167</v>
      </c>
      <c r="AA59" s="107">
        <f t="shared" si="233"/>
        <v>0</v>
      </c>
      <c r="AB59" s="108">
        <f t="shared" si="234"/>
        <v>0</v>
      </c>
      <c r="AC59" s="109">
        <f t="shared" si="235"/>
        <v>0</v>
      </c>
      <c r="AD59" s="109">
        <f t="shared" si="236"/>
        <v>0</v>
      </c>
      <c r="AE59" s="109">
        <f t="shared" si="237"/>
        <v>0</v>
      </c>
      <c r="AF59" s="109">
        <f t="shared" si="238"/>
        <v>0</v>
      </c>
      <c r="AG59" s="109">
        <f t="shared" si="239"/>
        <v>0</v>
      </c>
      <c r="AH59" s="109">
        <f t="shared" si="240"/>
        <v>0</v>
      </c>
      <c r="AI59" s="537" t="str">
        <f t="shared" si="241"/>
        <v>NÃO</v>
      </c>
      <c r="AJ59" s="104">
        <f t="shared" si="242"/>
        <v>0</v>
      </c>
      <c r="AK59" s="104">
        <f t="shared" si="243"/>
        <v>0</v>
      </c>
      <c r="AL59" s="104">
        <f t="shared" si="244"/>
        <v>0</v>
      </c>
      <c r="AM59" s="102">
        <f t="shared" si="245"/>
        <v>0</v>
      </c>
      <c r="AN59" s="106">
        <f t="shared" si="246"/>
        <v>0</v>
      </c>
      <c r="AO59" s="104">
        <f t="shared" si="247"/>
        <v>0</v>
      </c>
      <c r="AP59" s="104">
        <f t="shared" si="248"/>
        <v>0</v>
      </c>
      <c r="AQ59" s="104">
        <f t="shared" si="249"/>
        <v>0.7</v>
      </c>
      <c r="AR59" s="104">
        <f t="shared" si="250"/>
        <v>0</v>
      </c>
      <c r="AS59" s="104">
        <f t="shared" si="251"/>
        <v>0</v>
      </c>
      <c r="AT59" s="104">
        <f t="shared" si="252"/>
        <v>0</v>
      </c>
      <c r="AU59" s="104">
        <f t="shared" si="253"/>
        <v>0</v>
      </c>
      <c r="AV59" s="104">
        <f t="shared" si="254"/>
        <v>0</v>
      </c>
      <c r="AW59" s="104">
        <f t="shared" si="255"/>
        <v>0</v>
      </c>
      <c r="AX59" s="104">
        <f t="shared" si="256"/>
        <v>0</v>
      </c>
      <c r="AY59" s="104">
        <f t="shared" si="257"/>
        <v>0</v>
      </c>
      <c r="AZ59" s="104">
        <f t="shared" si="258"/>
        <v>0</v>
      </c>
      <c r="BA59" s="104">
        <f t="shared" si="207"/>
        <v>0</v>
      </c>
      <c r="BB59" s="104">
        <f t="shared" si="259"/>
        <v>0</v>
      </c>
      <c r="BC59" s="104"/>
      <c r="BD59" s="104">
        <f t="shared" si="260"/>
        <v>0</v>
      </c>
      <c r="BE59" s="108">
        <f t="shared" si="261"/>
        <v>3.3865000000000167</v>
      </c>
      <c r="BF59" s="110">
        <f t="shared" si="262"/>
        <v>0</v>
      </c>
      <c r="BG59" s="110">
        <f t="shared" si="263"/>
        <v>0</v>
      </c>
      <c r="BH59" s="105" t="str">
        <f>VLOOKUP(A59,'BOCA DE LOBO'!C:I,7,0)</f>
        <v>BOCA DE LOBO EXISTENTE SIMPLES</v>
      </c>
      <c r="BI59" s="104">
        <f t="shared" si="264"/>
        <v>0</v>
      </c>
      <c r="BJ59" s="104">
        <f t="shared" si="265"/>
        <v>0</v>
      </c>
      <c r="BK59" s="104">
        <f t="shared" si="266"/>
        <v>0</v>
      </c>
      <c r="BL59" s="104">
        <f t="shared" si="267"/>
        <v>0</v>
      </c>
      <c r="BM59" s="104">
        <f t="shared" si="268"/>
        <v>0</v>
      </c>
      <c r="BN59" s="104">
        <f t="shared" si="269"/>
        <v>0</v>
      </c>
      <c r="BO59" s="104">
        <f t="shared" si="270"/>
        <v>0</v>
      </c>
      <c r="BP59" s="111"/>
      <c r="BQ59" s="108">
        <f t="shared" si="271"/>
        <v>18</v>
      </c>
      <c r="BR59" s="108">
        <f t="shared" si="272"/>
        <v>18</v>
      </c>
      <c r="BS59" s="108">
        <f t="shared" si="273"/>
        <v>4.6380000000002006</v>
      </c>
      <c r="BV59" s="538">
        <f t="shared" si="208"/>
        <v>0</v>
      </c>
      <c r="BW59" s="538">
        <f t="shared" si="209"/>
        <v>0</v>
      </c>
      <c r="BX59" s="538">
        <f t="shared" si="210"/>
        <v>0</v>
      </c>
      <c r="BY59" s="538">
        <f t="shared" si="274"/>
        <v>2.5</v>
      </c>
      <c r="BZ59" s="538">
        <f t="shared" si="275"/>
        <v>2.5</v>
      </c>
      <c r="CA59" s="538">
        <f t="shared" si="276"/>
        <v>0</v>
      </c>
      <c r="CB59" s="538">
        <f t="shared" si="277"/>
        <v>0</v>
      </c>
      <c r="CC59" s="538">
        <f t="shared" si="278"/>
        <v>0</v>
      </c>
      <c r="CD59" s="538">
        <f t="shared" si="279"/>
        <v>0</v>
      </c>
      <c r="CE59" s="538">
        <f t="shared" si="280"/>
        <v>0</v>
      </c>
      <c r="CF59" s="538">
        <f t="shared" si="281"/>
        <v>0</v>
      </c>
      <c r="CG59" s="538">
        <f t="shared" si="282"/>
        <v>0</v>
      </c>
      <c r="CH59" s="538">
        <f t="shared" si="283"/>
        <v>0</v>
      </c>
      <c r="CI59" s="104">
        <f t="shared" si="211"/>
        <v>0</v>
      </c>
      <c r="CJ59" s="538">
        <f t="shared" si="284"/>
        <v>0</v>
      </c>
      <c r="CK59" s="538">
        <f t="shared" si="212"/>
        <v>0</v>
      </c>
      <c r="CL59" s="538">
        <f t="shared" si="285"/>
        <v>0</v>
      </c>
      <c r="CM59" s="538">
        <f t="shared" si="286"/>
        <v>0</v>
      </c>
      <c r="CN59" s="538">
        <f t="shared" si="213"/>
        <v>0</v>
      </c>
      <c r="CO59" s="538">
        <f t="shared" si="287"/>
        <v>2.5</v>
      </c>
      <c r="CP59" s="538">
        <f t="shared" si="288"/>
        <v>0</v>
      </c>
      <c r="CQ59" s="538">
        <f t="shared" si="289"/>
        <v>0</v>
      </c>
      <c r="CR59" s="539">
        <f t="shared" si="290"/>
        <v>0</v>
      </c>
      <c r="CS59" s="540">
        <f t="shared" si="214"/>
        <v>0</v>
      </c>
      <c r="CT59" s="540">
        <f t="shared" si="215"/>
        <v>0</v>
      </c>
      <c r="CU59" s="541">
        <f t="shared" si="216"/>
        <v>0</v>
      </c>
      <c r="CV59" s="538">
        <f t="shared" si="217"/>
        <v>0</v>
      </c>
      <c r="CW59" s="538">
        <f t="shared" si="218"/>
        <v>0</v>
      </c>
      <c r="CX59" s="104">
        <f t="shared" si="219"/>
        <v>0</v>
      </c>
      <c r="CY59" s="542">
        <f t="shared" si="291"/>
        <v>0</v>
      </c>
      <c r="CZ59" s="538">
        <f t="shared" si="292"/>
        <v>0</v>
      </c>
      <c r="DC59" s="112" t="s">
        <v>1511</v>
      </c>
      <c r="DD59" s="112" t="b">
        <f t="shared" si="128"/>
        <v>0</v>
      </c>
    </row>
    <row r="60" spans="1:108" s="112" customFormat="1" ht="25" x14ac:dyDescent="0.25">
      <c r="A60" s="100" t="str">
        <f>'BOCA DE LOBO'!C58</f>
        <v>BL53-&gt;PV9-21</v>
      </c>
      <c r="B60" s="100" t="str">
        <f>'BOCA DE LOBO'!A58</f>
        <v>PV9-21</v>
      </c>
      <c r="C60" s="100" t="str">
        <f>VLOOKUP(A60,'BOCA DE LOBO'!C:F,3,0)</f>
        <v>EXISTENTE</v>
      </c>
      <c r="D60" s="100" t="str">
        <f>VLOOKUP(A60,'BOCA DE LOBO'!C:L,10,0)</f>
        <v>EXISTENTE</v>
      </c>
      <c r="E60" s="100">
        <f t="shared" si="220"/>
        <v>2.5</v>
      </c>
      <c r="F60" s="100">
        <f>VLOOKUP(A60,'BOCA DE LOBO'!C:D,2,0)</f>
        <v>4.1999999999999318</v>
      </c>
      <c r="G60" s="100">
        <f>VLOOKUP(A60,'BOCA DE LOBO'!C:F,4,0)</f>
        <v>10.52</v>
      </c>
      <c r="H60" s="101">
        <v>400</v>
      </c>
      <c r="I60" s="102">
        <f t="shared" si="221"/>
        <v>3.4799999999999658</v>
      </c>
      <c r="J60" s="102">
        <f t="shared" si="222"/>
        <v>0</v>
      </c>
      <c r="K60" s="103">
        <v>0</v>
      </c>
      <c r="L60" s="104">
        <f t="shared" si="223"/>
        <v>0</v>
      </c>
      <c r="M60" s="104">
        <f t="shared" si="224"/>
        <v>0</v>
      </c>
      <c r="N60" s="104">
        <f t="shared" si="225"/>
        <v>400</v>
      </c>
      <c r="O60" s="104">
        <f t="shared" si="226"/>
        <v>0</v>
      </c>
      <c r="P60" s="105" t="s">
        <v>1999</v>
      </c>
      <c r="Q60" s="144" t="s">
        <v>2162</v>
      </c>
      <c r="R60" s="105"/>
      <c r="S60" s="105">
        <v>5</v>
      </c>
      <c r="T60" s="105">
        <v>5</v>
      </c>
      <c r="U60" s="104">
        <f t="shared" si="227"/>
        <v>0.05</v>
      </c>
      <c r="V60" s="106">
        <f t="shared" si="228"/>
        <v>0</v>
      </c>
      <c r="W60" s="106">
        <f t="shared" si="229"/>
        <v>0</v>
      </c>
      <c r="X60" s="107">
        <f t="shared" si="230"/>
        <v>0</v>
      </c>
      <c r="Y60" s="107">
        <f t="shared" si="231"/>
        <v>0</v>
      </c>
      <c r="Z60" s="107">
        <f t="shared" si="232"/>
        <v>3.4799999999999658</v>
      </c>
      <c r="AA60" s="107">
        <f t="shared" si="233"/>
        <v>0</v>
      </c>
      <c r="AB60" s="108">
        <f t="shared" si="234"/>
        <v>0</v>
      </c>
      <c r="AC60" s="109">
        <f t="shared" si="235"/>
        <v>0</v>
      </c>
      <c r="AD60" s="109">
        <f t="shared" si="236"/>
        <v>0</v>
      </c>
      <c r="AE60" s="109">
        <f t="shared" si="237"/>
        <v>0</v>
      </c>
      <c r="AF60" s="109">
        <f t="shared" si="238"/>
        <v>0</v>
      </c>
      <c r="AG60" s="109">
        <f t="shared" si="239"/>
        <v>0</v>
      </c>
      <c r="AH60" s="109">
        <f t="shared" si="240"/>
        <v>0</v>
      </c>
      <c r="AI60" s="537" t="str">
        <f t="shared" si="241"/>
        <v>NÃO</v>
      </c>
      <c r="AJ60" s="104">
        <f t="shared" si="242"/>
        <v>0</v>
      </c>
      <c r="AK60" s="104">
        <f t="shared" si="243"/>
        <v>0</v>
      </c>
      <c r="AL60" s="104">
        <f t="shared" si="244"/>
        <v>0</v>
      </c>
      <c r="AM60" s="102">
        <f t="shared" si="245"/>
        <v>0</v>
      </c>
      <c r="AN60" s="106">
        <f t="shared" si="246"/>
        <v>0</v>
      </c>
      <c r="AO60" s="104">
        <f t="shared" si="247"/>
        <v>0</v>
      </c>
      <c r="AP60" s="104">
        <f t="shared" si="248"/>
        <v>0</v>
      </c>
      <c r="AQ60" s="104">
        <f t="shared" si="249"/>
        <v>0.7</v>
      </c>
      <c r="AR60" s="104">
        <f t="shared" si="250"/>
        <v>0</v>
      </c>
      <c r="AS60" s="104">
        <f t="shared" si="251"/>
        <v>0</v>
      </c>
      <c r="AT60" s="104">
        <f t="shared" si="252"/>
        <v>0</v>
      </c>
      <c r="AU60" s="104">
        <f t="shared" si="253"/>
        <v>0</v>
      </c>
      <c r="AV60" s="104">
        <f t="shared" si="254"/>
        <v>0</v>
      </c>
      <c r="AW60" s="104">
        <f t="shared" si="255"/>
        <v>0</v>
      </c>
      <c r="AX60" s="104">
        <f t="shared" si="256"/>
        <v>0</v>
      </c>
      <c r="AY60" s="104">
        <f t="shared" si="257"/>
        <v>0</v>
      </c>
      <c r="AZ60" s="104">
        <f t="shared" si="258"/>
        <v>0</v>
      </c>
      <c r="BA60" s="104">
        <f t="shared" si="207"/>
        <v>0</v>
      </c>
      <c r="BB60" s="104">
        <f t="shared" si="259"/>
        <v>0</v>
      </c>
      <c r="BC60" s="104"/>
      <c r="BD60" s="104">
        <f t="shared" si="260"/>
        <v>0</v>
      </c>
      <c r="BE60" s="108">
        <f t="shared" si="261"/>
        <v>3.4799999999999658</v>
      </c>
      <c r="BF60" s="110">
        <f t="shared" si="262"/>
        <v>0</v>
      </c>
      <c r="BG60" s="110">
        <f t="shared" si="263"/>
        <v>0</v>
      </c>
      <c r="BH60" s="105" t="str">
        <f>VLOOKUP(A60,'BOCA DE LOBO'!C:I,7,0)</f>
        <v>BOCA DE LOBO EXISTENTE SIMPLES</v>
      </c>
      <c r="BI60" s="104">
        <f t="shared" si="264"/>
        <v>0</v>
      </c>
      <c r="BJ60" s="104">
        <f t="shared" si="265"/>
        <v>0</v>
      </c>
      <c r="BK60" s="104">
        <f t="shared" si="266"/>
        <v>0</v>
      </c>
      <c r="BL60" s="104">
        <f t="shared" si="267"/>
        <v>0</v>
      </c>
      <c r="BM60" s="104">
        <f t="shared" si="268"/>
        <v>0</v>
      </c>
      <c r="BN60" s="104">
        <f t="shared" si="269"/>
        <v>0</v>
      </c>
      <c r="BO60" s="104">
        <f t="shared" si="270"/>
        <v>0</v>
      </c>
      <c r="BP60" s="111"/>
      <c r="BQ60" s="108">
        <f t="shared" si="271"/>
        <v>31.56</v>
      </c>
      <c r="BR60" s="108">
        <f t="shared" si="272"/>
        <v>31.56</v>
      </c>
      <c r="BS60" s="108">
        <f t="shared" si="273"/>
        <v>10.09919999999928</v>
      </c>
      <c r="BV60" s="538">
        <f t="shared" si="208"/>
        <v>0</v>
      </c>
      <c r="BW60" s="538">
        <f t="shared" si="209"/>
        <v>0</v>
      </c>
      <c r="BX60" s="538">
        <f t="shared" si="210"/>
        <v>0</v>
      </c>
      <c r="BY60" s="538">
        <f t="shared" si="274"/>
        <v>2.5</v>
      </c>
      <c r="BZ60" s="538">
        <f t="shared" si="275"/>
        <v>2.5</v>
      </c>
      <c r="CA60" s="538">
        <f t="shared" si="276"/>
        <v>0</v>
      </c>
      <c r="CB60" s="538">
        <f t="shared" si="277"/>
        <v>0</v>
      </c>
      <c r="CC60" s="538">
        <f t="shared" si="278"/>
        <v>0</v>
      </c>
      <c r="CD60" s="538">
        <f t="shared" si="279"/>
        <v>0</v>
      </c>
      <c r="CE60" s="538">
        <f t="shared" si="280"/>
        <v>0</v>
      </c>
      <c r="CF60" s="538">
        <f t="shared" si="281"/>
        <v>0</v>
      </c>
      <c r="CG60" s="538">
        <f t="shared" si="282"/>
        <v>0</v>
      </c>
      <c r="CH60" s="538">
        <f t="shared" si="283"/>
        <v>0</v>
      </c>
      <c r="CI60" s="104">
        <f t="shared" si="211"/>
        <v>0</v>
      </c>
      <c r="CJ60" s="538">
        <f t="shared" si="284"/>
        <v>0</v>
      </c>
      <c r="CK60" s="538">
        <f t="shared" si="212"/>
        <v>0</v>
      </c>
      <c r="CL60" s="538">
        <f t="shared" si="285"/>
        <v>0</v>
      </c>
      <c r="CM60" s="538">
        <f t="shared" si="286"/>
        <v>0</v>
      </c>
      <c r="CN60" s="538">
        <f t="shared" si="213"/>
        <v>0</v>
      </c>
      <c r="CO60" s="538">
        <f t="shared" si="287"/>
        <v>2.5</v>
      </c>
      <c r="CP60" s="538">
        <f t="shared" si="288"/>
        <v>0</v>
      </c>
      <c r="CQ60" s="538">
        <f t="shared" si="289"/>
        <v>0</v>
      </c>
      <c r="CR60" s="539">
        <f t="shared" si="290"/>
        <v>0</v>
      </c>
      <c r="CS60" s="540">
        <f t="shared" si="214"/>
        <v>0</v>
      </c>
      <c r="CT60" s="540">
        <f t="shared" si="215"/>
        <v>0</v>
      </c>
      <c r="CU60" s="541">
        <f t="shared" si="216"/>
        <v>0</v>
      </c>
      <c r="CV60" s="538">
        <f t="shared" si="217"/>
        <v>0</v>
      </c>
      <c r="CW60" s="538">
        <f t="shared" si="218"/>
        <v>0</v>
      </c>
      <c r="CX60" s="104">
        <f t="shared" si="219"/>
        <v>0</v>
      </c>
      <c r="CY60" s="542">
        <f t="shared" si="291"/>
        <v>0</v>
      </c>
      <c r="CZ60" s="538">
        <f t="shared" si="292"/>
        <v>0</v>
      </c>
      <c r="DC60" s="112" t="s">
        <v>2163</v>
      </c>
      <c r="DD60" s="112" t="b">
        <f t="shared" si="128"/>
        <v>0</v>
      </c>
    </row>
    <row r="61" spans="1:108" s="112" customFormat="1" ht="25" x14ac:dyDescent="0.25">
      <c r="A61" s="100" t="str">
        <f>'BOCA DE LOBO'!C59</f>
        <v>BL54-&gt;PV9-21</v>
      </c>
      <c r="B61" s="100" t="str">
        <f>'BOCA DE LOBO'!A59</f>
        <v>PV9-21</v>
      </c>
      <c r="C61" s="100" t="str">
        <f>VLOOKUP(A61,'BOCA DE LOBO'!C:F,3,0)</f>
        <v>EXISTENTE</v>
      </c>
      <c r="D61" s="100" t="str">
        <f>VLOOKUP(A61,'BOCA DE LOBO'!C:L,10,0)</f>
        <v>EXISTENTE</v>
      </c>
      <c r="E61" s="100">
        <f t="shared" si="220"/>
        <v>2.5</v>
      </c>
      <c r="F61" s="100">
        <f>VLOOKUP(A61,'BOCA DE LOBO'!C:D,2,0)</f>
        <v>4.1999999999999318</v>
      </c>
      <c r="G61" s="100">
        <f>VLOOKUP(A61,'BOCA DE LOBO'!C:F,4,0)</f>
        <v>7.93</v>
      </c>
      <c r="H61" s="101">
        <v>400</v>
      </c>
      <c r="I61" s="102">
        <f t="shared" si="221"/>
        <v>3.4799999999999658</v>
      </c>
      <c r="J61" s="102">
        <f t="shared" si="222"/>
        <v>0</v>
      </c>
      <c r="K61" s="103">
        <v>0</v>
      </c>
      <c r="L61" s="104">
        <f t="shared" si="223"/>
        <v>0</v>
      </c>
      <c r="M61" s="104">
        <f t="shared" si="224"/>
        <v>0</v>
      </c>
      <c r="N61" s="104">
        <f t="shared" si="225"/>
        <v>400</v>
      </c>
      <c r="O61" s="104">
        <f t="shared" si="226"/>
        <v>0</v>
      </c>
      <c r="P61" s="105" t="s">
        <v>1999</v>
      </c>
      <c r="Q61" s="144" t="s">
        <v>2162</v>
      </c>
      <c r="R61" s="105"/>
      <c r="S61" s="105">
        <v>5</v>
      </c>
      <c r="T61" s="105">
        <v>5</v>
      </c>
      <c r="U61" s="104">
        <f t="shared" si="227"/>
        <v>0.05</v>
      </c>
      <c r="V61" s="106">
        <f t="shared" si="228"/>
        <v>0</v>
      </c>
      <c r="W61" s="106">
        <f t="shared" si="229"/>
        <v>0</v>
      </c>
      <c r="X61" s="107">
        <f t="shared" si="230"/>
        <v>0</v>
      </c>
      <c r="Y61" s="107">
        <f t="shared" si="231"/>
        <v>0</v>
      </c>
      <c r="Z61" s="107">
        <f t="shared" si="232"/>
        <v>3.4799999999999658</v>
      </c>
      <c r="AA61" s="107">
        <f t="shared" si="233"/>
        <v>0</v>
      </c>
      <c r="AB61" s="108">
        <f t="shared" si="234"/>
        <v>0</v>
      </c>
      <c r="AC61" s="109">
        <f t="shared" si="235"/>
        <v>0</v>
      </c>
      <c r="AD61" s="109">
        <f t="shared" si="236"/>
        <v>0</v>
      </c>
      <c r="AE61" s="109">
        <f t="shared" si="237"/>
        <v>0</v>
      </c>
      <c r="AF61" s="109">
        <f t="shared" si="238"/>
        <v>0</v>
      </c>
      <c r="AG61" s="109">
        <f t="shared" si="239"/>
        <v>0</v>
      </c>
      <c r="AH61" s="109">
        <f t="shared" si="240"/>
        <v>0</v>
      </c>
      <c r="AI61" s="537" t="str">
        <f t="shared" si="241"/>
        <v>NÃO</v>
      </c>
      <c r="AJ61" s="104">
        <f t="shared" si="242"/>
        <v>0</v>
      </c>
      <c r="AK61" s="104">
        <f t="shared" si="243"/>
        <v>0</v>
      </c>
      <c r="AL61" s="104">
        <f t="shared" si="244"/>
        <v>0</v>
      </c>
      <c r="AM61" s="102">
        <f t="shared" si="245"/>
        <v>0</v>
      </c>
      <c r="AN61" s="106">
        <f t="shared" si="246"/>
        <v>0</v>
      </c>
      <c r="AO61" s="104">
        <f t="shared" si="247"/>
        <v>0</v>
      </c>
      <c r="AP61" s="104">
        <f t="shared" si="248"/>
        <v>0</v>
      </c>
      <c r="AQ61" s="104">
        <f t="shared" si="249"/>
        <v>0.7</v>
      </c>
      <c r="AR61" s="104">
        <f t="shared" si="250"/>
        <v>0</v>
      </c>
      <c r="AS61" s="104">
        <f t="shared" si="251"/>
        <v>0</v>
      </c>
      <c r="AT61" s="104">
        <f t="shared" si="252"/>
        <v>0</v>
      </c>
      <c r="AU61" s="104">
        <f t="shared" si="253"/>
        <v>0</v>
      </c>
      <c r="AV61" s="104">
        <f t="shared" si="254"/>
        <v>0</v>
      </c>
      <c r="AW61" s="104">
        <f t="shared" si="255"/>
        <v>0</v>
      </c>
      <c r="AX61" s="104">
        <f t="shared" si="256"/>
        <v>0</v>
      </c>
      <c r="AY61" s="104">
        <f t="shared" si="257"/>
        <v>0</v>
      </c>
      <c r="AZ61" s="104">
        <f t="shared" si="258"/>
        <v>0</v>
      </c>
      <c r="BA61" s="104">
        <f t="shared" si="207"/>
        <v>0</v>
      </c>
      <c r="BB61" s="104">
        <f t="shared" si="259"/>
        <v>0</v>
      </c>
      <c r="BC61" s="104"/>
      <c r="BD61" s="104">
        <f t="shared" si="260"/>
        <v>0</v>
      </c>
      <c r="BE61" s="108">
        <f t="shared" si="261"/>
        <v>3.4799999999999658</v>
      </c>
      <c r="BF61" s="110">
        <f t="shared" si="262"/>
        <v>0</v>
      </c>
      <c r="BG61" s="110">
        <f t="shared" si="263"/>
        <v>0</v>
      </c>
      <c r="BH61" s="105" t="str">
        <f>VLOOKUP(A61,'BOCA DE LOBO'!C:I,7,0)</f>
        <v>BOCA DE LOBO EXISTENTE TRIPLA</v>
      </c>
      <c r="BI61" s="104">
        <f t="shared" si="264"/>
        <v>0</v>
      </c>
      <c r="BJ61" s="104">
        <f t="shared" si="265"/>
        <v>0</v>
      </c>
      <c r="BK61" s="104">
        <f t="shared" si="266"/>
        <v>0</v>
      </c>
      <c r="BL61" s="104">
        <f t="shared" si="267"/>
        <v>0</v>
      </c>
      <c r="BM61" s="104">
        <f t="shared" si="268"/>
        <v>0</v>
      </c>
      <c r="BN61" s="104">
        <f t="shared" si="269"/>
        <v>0</v>
      </c>
      <c r="BO61" s="104">
        <f t="shared" si="270"/>
        <v>0</v>
      </c>
      <c r="BP61" s="111"/>
      <c r="BQ61" s="108">
        <f t="shared" si="271"/>
        <v>23.79</v>
      </c>
      <c r="BR61" s="108">
        <f t="shared" si="272"/>
        <v>23.79</v>
      </c>
      <c r="BS61" s="108">
        <f t="shared" si="273"/>
        <v>7.6127999999994573</v>
      </c>
      <c r="BV61" s="538">
        <f t="shared" si="208"/>
        <v>0</v>
      </c>
      <c r="BW61" s="538">
        <f t="shared" si="209"/>
        <v>0</v>
      </c>
      <c r="BX61" s="538">
        <f t="shared" si="210"/>
        <v>0</v>
      </c>
      <c r="BY61" s="538">
        <f t="shared" si="274"/>
        <v>2.5</v>
      </c>
      <c r="BZ61" s="538">
        <f t="shared" si="275"/>
        <v>2.5</v>
      </c>
      <c r="CA61" s="538">
        <f t="shared" si="276"/>
        <v>0</v>
      </c>
      <c r="CB61" s="538">
        <f t="shared" si="277"/>
        <v>0</v>
      </c>
      <c r="CC61" s="538">
        <f t="shared" si="278"/>
        <v>0</v>
      </c>
      <c r="CD61" s="538">
        <f t="shared" si="279"/>
        <v>0</v>
      </c>
      <c r="CE61" s="538">
        <f t="shared" si="280"/>
        <v>0</v>
      </c>
      <c r="CF61" s="538">
        <f t="shared" si="281"/>
        <v>0</v>
      </c>
      <c r="CG61" s="538">
        <f t="shared" si="282"/>
        <v>0</v>
      </c>
      <c r="CH61" s="538">
        <f t="shared" si="283"/>
        <v>0</v>
      </c>
      <c r="CI61" s="104">
        <f t="shared" si="211"/>
        <v>0</v>
      </c>
      <c r="CJ61" s="538">
        <f t="shared" si="284"/>
        <v>0</v>
      </c>
      <c r="CK61" s="538">
        <f t="shared" si="212"/>
        <v>0</v>
      </c>
      <c r="CL61" s="538">
        <f t="shared" si="285"/>
        <v>0</v>
      </c>
      <c r="CM61" s="538">
        <f t="shared" si="286"/>
        <v>0</v>
      </c>
      <c r="CN61" s="538">
        <f t="shared" si="213"/>
        <v>0</v>
      </c>
      <c r="CO61" s="538">
        <f t="shared" si="287"/>
        <v>2.5</v>
      </c>
      <c r="CP61" s="538">
        <f t="shared" si="288"/>
        <v>0</v>
      </c>
      <c r="CQ61" s="538">
        <f t="shared" si="289"/>
        <v>0</v>
      </c>
      <c r="CR61" s="539">
        <f t="shared" si="290"/>
        <v>0</v>
      </c>
      <c r="CS61" s="540">
        <f t="shared" si="214"/>
        <v>0</v>
      </c>
      <c r="CT61" s="540">
        <f t="shared" si="215"/>
        <v>0</v>
      </c>
      <c r="CU61" s="541">
        <f t="shared" si="216"/>
        <v>0</v>
      </c>
      <c r="CV61" s="538">
        <f t="shared" si="217"/>
        <v>0</v>
      </c>
      <c r="CW61" s="538">
        <f t="shared" si="218"/>
        <v>0</v>
      </c>
      <c r="CX61" s="104">
        <f t="shared" si="219"/>
        <v>0</v>
      </c>
      <c r="CY61" s="542">
        <f t="shared" si="291"/>
        <v>0</v>
      </c>
      <c r="CZ61" s="538">
        <f t="shared" si="292"/>
        <v>0</v>
      </c>
      <c r="DC61" s="112" t="s">
        <v>1514</v>
      </c>
      <c r="DD61" s="112" t="b">
        <f t="shared" si="128"/>
        <v>0</v>
      </c>
    </row>
    <row r="62" spans="1:108" s="112" customFormat="1" ht="25" x14ac:dyDescent="0.25">
      <c r="A62" s="100" t="str">
        <f>'BOCA DE LOBO'!C60</f>
        <v>BL55-&gt;PV10-21</v>
      </c>
      <c r="B62" s="100" t="str">
        <f>'BOCA DE LOBO'!A60</f>
        <v>PV10-21</v>
      </c>
      <c r="C62" s="100" t="str">
        <f>VLOOKUP(A62,'BOCA DE LOBO'!C:F,3,0)</f>
        <v>EXISTENTE</v>
      </c>
      <c r="D62" s="100" t="str">
        <f>VLOOKUP(A62,'BOCA DE LOBO'!C:L,10,0)</f>
        <v>EXISTENTE</v>
      </c>
      <c r="E62" s="100">
        <f t="shared" si="220"/>
        <v>2.5</v>
      </c>
      <c r="F62" s="100">
        <f>VLOOKUP(A62,'BOCA DE LOBO'!C:D,2,0)</f>
        <v>4</v>
      </c>
      <c r="G62" s="100">
        <f>VLOOKUP(A62,'BOCA DE LOBO'!C:F,4,0)</f>
        <v>4.63</v>
      </c>
      <c r="H62" s="101">
        <v>400</v>
      </c>
      <c r="I62" s="102">
        <f t="shared" si="221"/>
        <v>3.38</v>
      </c>
      <c r="J62" s="102">
        <f t="shared" si="222"/>
        <v>0</v>
      </c>
      <c r="K62" s="103">
        <v>0</v>
      </c>
      <c r="L62" s="104">
        <f t="shared" si="223"/>
        <v>0</v>
      </c>
      <c r="M62" s="104">
        <f t="shared" si="224"/>
        <v>0</v>
      </c>
      <c r="N62" s="104">
        <f t="shared" si="225"/>
        <v>400</v>
      </c>
      <c r="O62" s="104">
        <f t="shared" si="226"/>
        <v>0</v>
      </c>
      <c r="P62" s="105" t="s">
        <v>1999</v>
      </c>
      <c r="Q62" s="144" t="s">
        <v>2027</v>
      </c>
      <c r="R62" s="105"/>
      <c r="S62" s="105">
        <f>VLOOKUP(Q62,Quantitativos!P:R,3,0)</f>
        <v>2.5</v>
      </c>
      <c r="T62" s="105">
        <f>VLOOKUP(Q62,Quantitativos!P:S,4,0)</f>
        <v>1.6</v>
      </c>
      <c r="U62" s="104">
        <f t="shared" si="227"/>
        <v>0.05</v>
      </c>
      <c r="V62" s="106">
        <f t="shared" si="228"/>
        <v>0</v>
      </c>
      <c r="W62" s="106">
        <f t="shared" si="229"/>
        <v>0</v>
      </c>
      <c r="X62" s="107">
        <f t="shared" si="230"/>
        <v>0</v>
      </c>
      <c r="Y62" s="107">
        <f t="shared" si="231"/>
        <v>0</v>
      </c>
      <c r="Z62" s="107">
        <f t="shared" si="232"/>
        <v>2.5</v>
      </c>
      <c r="AA62" s="107">
        <f t="shared" si="233"/>
        <v>0.87999999999999989</v>
      </c>
      <c r="AB62" s="108">
        <f t="shared" si="234"/>
        <v>0</v>
      </c>
      <c r="AC62" s="109">
        <f t="shared" si="235"/>
        <v>0</v>
      </c>
      <c r="AD62" s="109">
        <f t="shared" si="236"/>
        <v>0</v>
      </c>
      <c r="AE62" s="109">
        <f t="shared" si="237"/>
        <v>0</v>
      </c>
      <c r="AF62" s="109">
        <f t="shared" si="238"/>
        <v>0</v>
      </c>
      <c r="AG62" s="109">
        <f t="shared" si="239"/>
        <v>0</v>
      </c>
      <c r="AH62" s="109">
        <f t="shared" si="240"/>
        <v>0</v>
      </c>
      <c r="AI62" s="537" t="str">
        <f t="shared" si="241"/>
        <v>SIM</v>
      </c>
      <c r="AJ62" s="104">
        <f t="shared" si="242"/>
        <v>0</v>
      </c>
      <c r="AK62" s="104">
        <f t="shared" si="243"/>
        <v>0.10988533333333332</v>
      </c>
      <c r="AL62" s="104">
        <f t="shared" si="244"/>
        <v>0</v>
      </c>
      <c r="AM62" s="102">
        <f t="shared" si="245"/>
        <v>0</v>
      </c>
      <c r="AN62" s="106">
        <f t="shared" si="246"/>
        <v>0</v>
      </c>
      <c r="AO62" s="104">
        <f t="shared" si="247"/>
        <v>0</v>
      </c>
      <c r="AP62" s="104">
        <f t="shared" si="248"/>
        <v>0</v>
      </c>
      <c r="AQ62" s="104">
        <f t="shared" si="249"/>
        <v>0.7</v>
      </c>
      <c r="AR62" s="104">
        <f t="shared" si="250"/>
        <v>0</v>
      </c>
      <c r="AS62" s="104">
        <f t="shared" si="251"/>
        <v>0</v>
      </c>
      <c r="AT62" s="104">
        <f t="shared" si="252"/>
        <v>0</v>
      </c>
      <c r="AU62" s="104">
        <f t="shared" si="253"/>
        <v>0</v>
      </c>
      <c r="AV62" s="104">
        <f t="shared" si="254"/>
        <v>0</v>
      </c>
      <c r="AW62" s="104">
        <f t="shared" si="255"/>
        <v>0</v>
      </c>
      <c r="AX62" s="104">
        <f t="shared" si="256"/>
        <v>0</v>
      </c>
      <c r="AY62" s="104">
        <f t="shared" si="257"/>
        <v>0</v>
      </c>
      <c r="AZ62" s="104">
        <f t="shared" si="258"/>
        <v>0</v>
      </c>
      <c r="BA62" s="104">
        <f t="shared" si="207"/>
        <v>0</v>
      </c>
      <c r="BB62" s="104">
        <f t="shared" si="259"/>
        <v>0</v>
      </c>
      <c r="BC62" s="104"/>
      <c r="BD62" s="104">
        <f t="shared" si="260"/>
        <v>0</v>
      </c>
      <c r="BE62" s="108">
        <f t="shared" si="261"/>
        <v>3.38</v>
      </c>
      <c r="BF62" s="110">
        <f t="shared" si="262"/>
        <v>0</v>
      </c>
      <c r="BG62" s="110">
        <f t="shared" si="263"/>
        <v>0</v>
      </c>
      <c r="BH62" s="105" t="str">
        <f>VLOOKUP(A62,'BOCA DE LOBO'!C:I,7,0)</f>
        <v>BOCA DE LOBO EXISTENTE TRIPLA</v>
      </c>
      <c r="BI62" s="104">
        <f t="shared" si="264"/>
        <v>0</v>
      </c>
      <c r="BJ62" s="104">
        <f t="shared" si="265"/>
        <v>0</v>
      </c>
      <c r="BK62" s="104">
        <f t="shared" si="266"/>
        <v>0</v>
      </c>
      <c r="BL62" s="104">
        <f t="shared" si="267"/>
        <v>0</v>
      </c>
      <c r="BM62" s="104">
        <f t="shared" si="268"/>
        <v>0</v>
      </c>
      <c r="BN62" s="104">
        <f t="shared" si="269"/>
        <v>0</v>
      </c>
      <c r="BO62" s="104">
        <f t="shared" si="270"/>
        <v>0</v>
      </c>
      <c r="BP62" s="111"/>
      <c r="BQ62" s="108">
        <f t="shared" si="271"/>
        <v>13.89</v>
      </c>
      <c r="BR62" s="108">
        <f t="shared" si="272"/>
        <v>13.89</v>
      </c>
      <c r="BS62" s="108">
        <f t="shared" si="273"/>
        <v>3.5187999999999988</v>
      </c>
      <c r="BV62" s="538">
        <f t="shared" si="208"/>
        <v>0</v>
      </c>
      <c r="BW62" s="538">
        <f t="shared" si="209"/>
        <v>0</v>
      </c>
      <c r="BX62" s="538">
        <f t="shared" si="210"/>
        <v>0</v>
      </c>
      <c r="BY62" s="538">
        <f t="shared" si="274"/>
        <v>2.5</v>
      </c>
      <c r="BZ62" s="538">
        <f t="shared" si="275"/>
        <v>2.5</v>
      </c>
      <c r="CA62" s="538">
        <f t="shared" si="276"/>
        <v>0</v>
      </c>
      <c r="CB62" s="538">
        <f t="shared" si="277"/>
        <v>0</v>
      </c>
      <c r="CC62" s="538">
        <f t="shared" si="278"/>
        <v>0</v>
      </c>
      <c r="CD62" s="538">
        <f t="shared" si="279"/>
        <v>0</v>
      </c>
      <c r="CE62" s="538">
        <f t="shared" si="280"/>
        <v>0</v>
      </c>
      <c r="CF62" s="538">
        <f t="shared" si="281"/>
        <v>0</v>
      </c>
      <c r="CG62" s="538">
        <f t="shared" si="282"/>
        <v>0</v>
      </c>
      <c r="CH62" s="538">
        <f t="shared" si="283"/>
        <v>0</v>
      </c>
      <c r="CI62" s="104">
        <f t="shared" si="211"/>
        <v>0</v>
      </c>
      <c r="CJ62" s="538">
        <f t="shared" si="284"/>
        <v>0</v>
      </c>
      <c r="CK62" s="538">
        <f t="shared" si="212"/>
        <v>0</v>
      </c>
      <c r="CL62" s="538">
        <f t="shared" si="285"/>
        <v>0</v>
      </c>
      <c r="CM62" s="538">
        <f t="shared" si="286"/>
        <v>0</v>
      </c>
      <c r="CN62" s="538">
        <f t="shared" si="213"/>
        <v>0</v>
      </c>
      <c r="CO62" s="538">
        <f t="shared" si="287"/>
        <v>2.5</v>
      </c>
      <c r="CP62" s="538">
        <f t="shared" si="288"/>
        <v>0</v>
      </c>
      <c r="CQ62" s="538">
        <f t="shared" si="289"/>
        <v>0</v>
      </c>
      <c r="CR62" s="539">
        <f t="shared" si="290"/>
        <v>0</v>
      </c>
      <c r="CS62" s="540">
        <f t="shared" si="214"/>
        <v>0</v>
      </c>
      <c r="CT62" s="540">
        <f t="shared" si="215"/>
        <v>0</v>
      </c>
      <c r="CU62" s="541">
        <f t="shared" si="216"/>
        <v>0</v>
      </c>
      <c r="CV62" s="538">
        <f t="shared" si="217"/>
        <v>0</v>
      </c>
      <c r="CW62" s="538">
        <f t="shared" si="218"/>
        <v>0</v>
      </c>
      <c r="CX62" s="104">
        <f t="shared" si="219"/>
        <v>0</v>
      </c>
      <c r="CY62" s="542">
        <f t="shared" si="291"/>
        <v>0</v>
      </c>
      <c r="CZ62" s="538">
        <f t="shared" si="292"/>
        <v>0</v>
      </c>
      <c r="DC62" s="112" t="s">
        <v>1544</v>
      </c>
      <c r="DD62" s="112" t="b">
        <f t="shared" si="128"/>
        <v>0</v>
      </c>
    </row>
    <row r="63" spans="1:108" s="112" customFormat="1" ht="25" x14ac:dyDescent="0.25">
      <c r="A63" s="100" t="str">
        <f>'BOCA DE LOBO'!C61</f>
        <v>BL56-&gt;PV11-21</v>
      </c>
      <c r="B63" s="100" t="str">
        <f>'BOCA DE LOBO'!A61</f>
        <v>PV11-21</v>
      </c>
      <c r="C63" s="100" t="str">
        <f>VLOOKUP(A63,'BOCA DE LOBO'!C:F,3,0)</f>
        <v>EXISTENTE</v>
      </c>
      <c r="D63" s="100" t="str">
        <f>VLOOKUP(A63,'BOCA DE LOBO'!C:L,10,0)</f>
        <v>EXISTENTE</v>
      </c>
      <c r="E63" s="100">
        <f t="shared" si="220"/>
        <v>2.5</v>
      </c>
      <c r="F63" s="100">
        <f>VLOOKUP(A63,'BOCA DE LOBO'!C:D,2,0)</f>
        <v>3.8499999999999091</v>
      </c>
      <c r="G63" s="100">
        <f>VLOOKUP(A63,'BOCA DE LOBO'!C:F,4,0)</f>
        <v>5.74</v>
      </c>
      <c r="H63" s="101">
        <v>400</v>
      </c>
      <c r="I63" s="102">
        <f t="shared" si="221"/>
        <v>3.3049999999999544</v>
      </c>
      <c r="J63" s="102">
        <f t="shared" si="222"/>
        <v>0</v>
      </c>
      <c r="K63" s="103">
        <v>0</v>
      </c>
      <c r="L63" s="104">
        <f t="shared" si="223"/>
        <v>0</v>
      </c>
      <c r="M63" s="104">
        <f t="shared" si="224"/>
        <v>0</v>
      </c>
      <c r="N63" s="104">
        <f t="shared" si="225"/>
        <v>400</v>
      </c>
      <c r="O63" s="104">
        <f t="shared" si="226"/>
        <v>0</v>
      </c>
      <c r="P63" s="105" t="s">
        <v>1999</v>
      </c>
      <c r="Q63" s="144" t="s">
        <v>2027</v>
      </c>
      <c r="R63" s="105"/>
      <c r="S63" s="105">
        <f>VLOOKUP(Q63,Quantitativos!P:R,3,0)</f>
        <v>2.5</v>
      </c>
      <c r="T63" s="105">
        <f>VLOOKUP(Q63,Quantitativos!P:S,4,0)</f>
        <v>1.6</v>
      </c>
      <c r="U63" s="104">
        <f t="shared" si="227"/>
        <v>0.05</v>
      </c>
      <c r="V63" s="106">
        <f t="shared" si="228"/>
        <v>0</v>
      </c>
      <c r="W63" s="106">
        <f t="shared" si="229"/>
        <v>0</v>
      </c>
      <c r="X63" s="107">
        <f t="shared" si="230"/>
        <v>0</v>
      </c>
      <c r="Y63" s="107">
        <f t="shared" si="231"/>
        <v>0</v>
      </c>
      <c r="Z63" s="107">
        <f t="shared" si="232"/>
        <v>2.5</v>
      </c>
      <c r="AA63" s="107">
        <f t="shared" si="233"/>
        <v>0.80499999999995442</v>
      </c>
      <c r="AB63" s="108">
        <f t="shared" si="234"/>
        <v>0</v>
      </c>
      <c r="AC63" s="109">
        <f t="shared" si="235"/>
        <v>0</v>
      </c>
      <c r="AD63" s="109">
        <f t="shared" si="236"/>
        <v>0</v>
      </c>
      <c r="AE63" s="109">
        <f t="shared" si="237"/>
        <v>0</v>
      </c>
      <c r="AF63" s="109">
        <f t="shared" si="238"/>
        <v>0</v>
      </c>
      <c r="AG63" s="109">
        <f t="shared" si="239"/>
        <v>0</v>
      </c>
      <c r="AH63" s="109">
        <f t="shared" si="240"/>
        <v>0</v>
      </c>
      <c r="AI63" s="537" t="str">
        <f t="shared" si="241"/>
        <v>SIM</v>
      </c>
      <c r="AJ63" s="104">
        <f t="shared" si="242"/>
        <v>0</v>
      </c>
      <c r="AK63" s="104">
        <f t="shared" si="243"/>
        <v>0.13048933333332985</v>
      </c>
      <c r="AL63" s="104">
        <f t="shared" si="244"/>
        <v>0</v>
      </c>
      <c r="AM63" s="102">
        <f t="shared" si="245"/>
        <v>0</v>
      </c>
      <c r="AN63" s="106">
        <f t="shared" si="246"/>
        <v>0</v>
      </c>
      <c r="AO63" s="104">
        <f t="shared" si="247"/>
        <v>0</v>
      </c>
      <c r="AP63" s="104">
        <f t="shared" si="248"/>
        <v>0</v>
      </c>
      <c r="AQ63" s="104">
        <f t="shared" si="249"/>
        <v>0.7</v>
      </c>
      <c r="AR63" s="104">
        <f t="shared" si="250"/>
        <v>0</v>
      </c>
      <c r="AS63" s="104">
        <f t="shared" si="251"/>
        <v>0</v>
      </c>
      <c r="AT63" s="104">
        <f t="shared" si="252"/>
        <v>0</v>
      </c>
      <c r="AU63" s="104">
        <f t="shared" si="253"/>
        <v>0</v>
      </c>
      <c r="AV63" s="104">
        <f t="shared" si="254"/>
        <v>0</v>
      </c>
      <c r="AW63" s="104">
        <f t="shared" si="255"/>
        <v>0</v>
      </c>
      <c r="AX63" s="104">
        <f t="shared" si="256"/>
        <v>0</v>
      </c>
      <c r="AY63" s="104">
        <f t="shared" si="257"/>
        <v>0</v>
      </c>
      <c r="AZ63" s="104">
        <f t="shared" si="258"/>
        <v>0</v>
      </c>
      <c r="BA63" s="104">
        <f t="shared" si="207"/>
        <v>0</v>
      </c>
      <c r="BB63" s="104">
        <f t="shared" si="259"/>
        <v>0</v>
      </c>
      <c r="BC63" s="104"/>
      <c r="BD63" s="104">
        <f t="shared" si="260"/>
        <v>0</v>
      </c>
      <c r="BE63" s="108">
        <f t="shared" si="261"/>
        <v>3.3049999999999544</v>
      </c>
      <c r="BF63" s="110">
        <f t="shared" si="262"/>
        <v>0</v>
      </c>
      <c r="BG63" s="110">
        <f t="shared" si="263"/>
        <v>0</v>
      </c>
      <c r="BH63" s="105" t="str">
        <f>VLOOKUP(A63,'BOCA DE LOBO'!C:I,7,0)</f>
        <v>BOCA DE LOBO EXISTENTE SIMPLES</v>
      </c>
      <c r="BI63" s="104">
        <f t="shared" si="264"/>
        <v>0</v>
      </c>
      <c r="BJ63" s="104">
        <f t="shared" si="265"/>
        <v>0</v>
      </c>
      <c r="BK63" s="104">
        <f t="shared" si="266"/>
        <v>0</v>
      </c>
      <c r="BL63" s="104">
        <f t="shared" si="267"/>
        <v>0</v>
      </c>
      <c r="BM63" s="104">
        <f t="shared" si="268"/>
        <v>0</v>
      </c>
      <c r="BN63" s="104">
        <f t="shared" si="269"/>
        <v>0</v>
      </c>
      <c r="BO63" s="104">
        <f t="shared" si="270"/>
        <v>0</v>
      </c>
      <c r="BP63" s="111"/>
      <c r="BQ63" s="108">
        <f t="shared" si="271"/>
        <v>17.22</v>
      </c>
      <c r="BR63" s="108">
        <f t="shared" si="272"/>
        <v>17.22</v>
      </c>
      <c r="BS63" s="108">
        <f t="shared" si="273"/>
        <v>3.5013999999994767</v>
      </c>
      <c r="BV63" s="538">
        <f t="shared" si="208"/>
        <v>0</v>
      </c>
      <c r="BW63" s="538">
        <f t="shared" si="209"/>
        <v>0</v>
      </c>
      <c r="BX63" s="538">
        <f t="shared" si="210"/>
        <v>0</v>
      </c>
      <c r="BY63" s="538">
        <f t="shared" si="274"/>
        <v>2.5</v>
      </c>
      <c r="BZ63" s="538">
        <f t="shared" si="275"/>
        <v>2.5</v>
      </c>
      <c r="CA63" s="538">
        <f t="shared" si="276"/>
        <v>0</v>
      </c>
      <c r="CB63" s="538">
        <f t="shared" si="277"/>
        <v>0</v>
      </c>
      <c r="CC63" s="538">
        <f t="shared" si="278"/>
        <v>0</v>
      </c>
      <c r="CD63" s="538">
        <f t="shared" si="279"/>
        <v>0</v>
      </c>
      <c r="CE63" s="538">
        <f t="shared" si="280"/>
        <v>0</v>
      </c>
      <c r="CF63" s="538">
        <f t="shared" si="281"/>
        <v>0</v>
      </c>
      <c r="CG63" s="538">
        <f t="shared" si="282"/>
        <v>0</v>
      </c>
      <c r="CH63" s="538">
        <f t="shared" si="283"/>
        <v>0</v>
      </c>
      <c r="CI63" s="104">
        <f t="shared" si="211"/>
        <v>0</v>
      </c>
      <c r="CJ63" s="538">
        <f t="shared" si="284"/>
        <v>0</v>
      </c>
      <c r="CK63" s="538">
        <f t="shared" si="212"/>
        <v>0</v>
      </c>
      <c r="CL63" s="538">
        <f t="shared" si="285"/>
        <v>0</v>
      </c>
      <c r="CM63" s="538">
        <f t="shared" si="286"/>
        <v>0</v>
      </c>
      <c r="CN63" s="538">
        <f t="shared" si="213"/>
        <v>0</v>
      </c>
      <c r="CO63" s="538">
        <f t="shared" si="287"/>
        <v>2.5</v>
      </c>
      <c r="CP63" s="538">
        <f t="shared" si="288"/>
        <v>0</v>
      </c>
      <c r="CQ63" s="538">
        <f t="shared" si="289"/>
        <v>0</v>
      </c>
      <c r="CR63" s="539">
        <f t="shared" si="290"/>
        <v>0</v>
      </c>
      <c r="CS63" s="540">
        <f t="shared" si="214"/>
        <v>0</v>
      </c>
      <c r="CT63" s="540">
        <f t="shared" si="215"/>
        <v>0</v>
      </c>
      <c r="CU63" s="541">
        <f t="shared" si="216"/>
        <v>0</v>
      </c>
      <c r="CV63" s="538">
        <f t="shared" si="217"/>
        <v>0</v>
      </c>
      <c r="CW63" s="538">
        <f t="shared" si="218"/>
        <v>0</v>
      </c>
      <c r="CX63" s="104">
        <f t="shared" si="219"/>
        <v>0</v>
      </c>
      <c r="CY63" s="542">
        <f t="shared" si="291"/>
        <v>0</v>
      </c>
      <c r="CZ63" s="538">
        <f t="shared" si="292"/>
        <v>0</v>
      </c>
      <c r="DC63" s="112" t="s">
        <v>1551</v>
      </c>
      <c r="DD63" s="112" t="b">
        <f t="shared" si="128"/>
        <v>0</v>
      </c>
    </row>
    <row r="64" spans="1:108" s="112" customFormat="1" ht="25" x14ac:dyDescent="0.25">
      <c r="A64" s="100" t="str">
        <f>'BOCA DE LOBO'!C62</f>
        <v>BL57-&gt;PV11-21</v>
      </c>
      <c r="B64" s="100" t="str">
        <f>'BOCA DE LOBO'!A62</f>
        <v>PV11-21</v>
      </c>
      <c r="C64" s="100" t="str">
        <f>VLOOKUP(A64,'BOCA DE LOBO'!C:F,3,0)</f>
        <v>EXISTENTE</v>
      </c>
      <c r="D64" s="100" t="str">
        <f>VLOOKUP(A64,'BOCA DE LOBO'!C:L,10,0)</f>
        <v>EXISTENTE</v>
      </c>
      <c r="E64" s="100">
        <f t="shared" si="220"/>
        <v>2.5</v>
      </c>
      <c r="F64" s="100">
        <f>VLOOKUP(A64,'BOCA DE LOBO'!C:D,2,0)</f>
        <v>3.8499999999999091</v>
      </c>
      <c r="G64" s="100">
        <f>VLOOKUP(A64,'BOCA DE LOBO'!C:F,4,0)</f>
        <v>6.67</v>
      </c>
      <c r="H64" s="101">
        <v>400</v>
      </c>
      <c r="I64" s="102">
        <f t="shared" si="221"/>
        <v>3.3049999999999544</v>
      </c>
      <c r="J64" s="102">
        <f t="shared" si="222"/>
        <v>0</v>
      </c>
      <c r="K64" s="103">
        <v>0</v>
      </c>
      <c r="L64" s="104">
        <f t="shared" si="223"/>
        <v>0</v>
      </c>
      <c r="M64" s="104">
        <f t="shared" si="224"/>
        <v>0</v>
      </c>
      <c r="N64" s="104">
        <f t="shared" si="225"/>
        <v>400</v>
      </c>
      <c r="O64" s="104">
        <f t="shared" si="226"/>
        <v>0</v>
      </c>
      <c r="P64" s="105" t="s">
        <v>1999</v>
      </c>
      <c r="Q64" s="144" t="s">
        <v>2027</v>
      </c>
      <c r="R64" s="105"/>
      <c r="S64" s="105">
        <f>VLOOKUP(Q64,Quantitativos!P:R,3,0)</f>
        <v>2.5</v>
      </c>
      <c r="T64" s="105">
        <f>VLOOKUP(Q64,Quantitativos!P:S,4,0)</f>
        <v>1.6</v>
      </c>
      <c r="U64" s="104">
        <f t="shared" si="227"/>
        <v>0.05</v>
      </c>
      <c r="V64" s="106">
        <f t="shared" si="228"/>
        <v>0</v>
      </c>
      <c r="W64" s="106">
        <f t="shared" si="229"/>
        <v>0</v>
      </c>
      <c r="X64" s="107">
        <f t="shared" si="230"/>
        <v>0</v>
      </c>
      <c r="Y64" s="107">
        <f t="shared" si="231"/>
        <v>0</v>
      </c>
      <c r="Z64" s="107">
        <f t="shared" si="232"/>
        <v>2.5</v>
      </c>
      <c r="AA64" s="107">
        <f t="shared" si="233"/>
        <v>0.80499999999995442</v>
      </c>
      <c r="AB64" s="108">
        <f t="shared" si="234"/>
        <v>0</v>
      </c>
      <c r="AC64" s="109">
        <f t="shared" si="235"/>
        <v>0</v>
      </c>
      <c r="AD64" s="109">
        <f t="shared" si="236"/>
        <v>0</v>
      </c>
      <c r="AE64" s="109">
        <f t="shared" si="237"/>
        <v>0</v>
      </c>
      <c r="AF64" s="109">
        <f t="shared" si="238"/>
        <v>0</v>
      </c>
      <c r="AG64" s="109">
        <f t="shared" si="239"/>
        <v>0</v>
      </c>
      <c r="AH64" s="109">
        <f t="shared" si="240"/>
        <v>0</v>
      </c>
      <c r="AI64" s="537" t="str">
        <f t="shared" si="241"/>
        <v>SIM</v>
      </c>
      <c r="AJ64" s="104">
        <f t="shared" si="242"/>
        <v>0</v>
      </c>
      <c r="AK64" s="104">
        <f t="shared" si="243"/>
        <v>0.15163133333332926</v>
      </c>
      <c r="AL64" s="104">
        <f t="shared" si="244"/>
        <v>0</v>
      </c>
      <c r="AM64" s="102">
        <f t="shared" si="245"/>
        <v>0</v>
      </c>
      <c r="AN64" s="106">
        <f t="shared" si="246"/>
        <v>0</v>
      </c>
      <c r="AO64" s="104">
        <f t="shared" si="247"/>
        <v>0</v>
      </c>
      <c r="AP64" s="104">
        <f t="shared" si="248"/>
        <v>0</v>
      </c>
      <c r="AQ64" s="104">
        <f t="shared" si="249"/>
        <v>0.7</v>
      </c>
      <c r="AR64" s="104">
        <f t="shared" si="250"/>
        <v>0</v>
      </c>
      <c r="AS64" s="104">
        <f t="shared" si="251"/>
        <v>0</v>
      </c>
      <c r="AT64" s="104">
        <f t="shared" si="252"/>
        <v>0</v>
      </c>
      <c r="AU64" s="104">
        <f t="shared" si="253"/>
        <v>0</v>
      </c>
      <c r="AV64" s="104">
        <f t="shared" si="254"/>
        <v>0</v>
      </c>
      <c r="AW64" s="104">
        <f t="shared" si="255"/>
        <v>0</v>
      </c>
      <c r="AX64" s="104">
        <f t="shared" si="256"/>
        <v>0</v>
      </c>
      <c r="AY64" s="104">
        <f t="shared" si="257"/>
        <v>0</v>
      </c>
      <c r="AZ64" s="104">
        <f t="shared" si="258"/>
        <v>0</v>
      </c>
      <c r="BA64" s="104">
        <f t="shared" si="207"/>
        <v>0</v>
      </c>
      <c r="BB64" s="104">
        <f t="shared" si="259"/>
        <v>0</v>
      </c>
      <c r="BC64" s="104"/>
      <c r="BD64" s="104">
        <f t="shared" si="260"/>
        <v>0</v>
      </c>
      <c r="BE64" s="108">
        <f t="shared" si="261"/>
        <v>3.3049999999999544</v>
      </c>
      <c r="BF64" s="110">
        <f t="shared" si="262"/>
        <v>0</v>
      </c>
      <c r="BG64" s="110">
        <f t="shared" si="263"/>
        <v>0</v>
      </c>
      <c r="BH64" s="105" t="str">
        <f>VLOOKUP(A64,'BOCA DE LOBO'!C:I,7,0)</f>
        <v>BOCA DE LOBO EXISTENTE DUPLA</v>
      </c>
      <c r="BI64" s="104">
        <f t="shared" si="264"/>
        <v>0</v>
      </c>
      <c r="BJ64" s="104">
        <f t="shared" si="265"/>
        <v>0</v>
      </c>
      <c r="BK64" s="104">
        <f t="shared" si="266"/>
        <v>0</v>
      </c>
      <c r="BL64" s="104">
        <f t="shared" si="267"/>
        <v>0</v>
      </c>
      <c r="BM64" s="104">
        <f t="shared" si="268"/>
        <v>0</v>
      </c>
      <c r="BN64" s="104">
        <f t="shared" si="269"/>
        <v>0</v>
      </c>
      <c r="BO64" s="104">
        <f t="shared" si="270"/>
        <v>0</v>
      </c>
      <c r="BP64" s="111"/>
      <c r="BQ64" s="108">
        <f t="shared" si="271"/>
        <v>20.009999999999998</v>
      </c>
      <c r="BR64" s="108">
        <f t="shared" si="272"/>
        <v>20.009999999999998</v>
      </c>
      <c r="BS64" s="108">
        <f t="shared" si="273"/>
        <v>4.0686999999993922</v>
      </c>
      <c r="BV64" s="538">
        <f t="shared" si="208"/>
        <v>0</v>
      </c>
      <c r="BW64" s="538">
        <f t="shared" si="209"/>
        <v>0</v>
      </c>
      <c r="BX64" s="538">
        <f t="shared" si="210"/>
        <v>0</v>
      </c>
      <c r="BY64" s="538">
        <f t="shared" si="274"/>
        <v>2.5</v>
      </c>
      <c r="BZ64" s="538">
        <f t="shared" si="275"/>
        <v>2.5</v>
      </c>
      <c r="CA64" s="538">
        <f t="shared" si="276"/>
        <v>0</v>
      </c>
      <c r="CB64" s="538">
        <f t="shared" si="277"/>
        <v>0</v>
      </c>
      <c r="CC64" s="538">
        <f t="shared" si="278"/>
        <v>0</v>
      </c>
      <c r="CD64" s="538">
        <f t="shared" si="279"/>
        <v>0</v>
      </c>
      <c r="CE64" s="538">
        <f t="shared" si="280"/>
        <v>0</v>
      </c>
      <c r="CF64" s="538">
        <f t="shared" si="281"/>
        <v>0</v>
      </c>
      <c r="CG64" s="538">
        <f t="shared" si="282"/>
        <v>0</v>
      </c>
      <c r="CH64" s="538">
        <f t="shared" si="283"/>
        <v>0</v>
      </c>
      <c r="CI64" s="104">
        <f t="shared" si="211"/>
        <v>0</v>
      </c>
      <c r="CJ64" s="538">
        <f t="shared" si="284"/>
        <v>0</v>
      </c>
      <c r="CK64" s="538">
        <f t="shared" si="212"/>
        <v>0</v>
      </c>
      <c r="CL64" s="538">
        <f t="shared" si="285"/>
        <v>0</v>
      </c>
      <c r="CM64" s="538">
        <f t="shared" si="286"/>
        <v>0</v>
      </c>
      <c r="CN64" s="538">
        <f t="shared" si="213"/>
        <v>0</v>
      </c>
      <c r="CO64" s="538">
        <f t="shared" si="287"/>
        <v>2.5</v>
      </c>
      <c r="CP64" s="538">
        <f t="shared" si="288"/>
        <v>0</v>
      </c>
      <c r="CQ64" s="538">
        <f t="shared" si="289"/>
        <v>0</v>
      </c>
      <c r="CR64" s="539">
        <f t="shared" si="290"/>
        <v>0</v>
      </c>
      <c r="CS64" s="540">
        <f t="shared" si="214"/>
        <v>0</v>
      </c>
      <c r="CT64" s="540">
        <f t="shared" si="215"/>
        <v>0</v>
      </c>
      <c r="CU64" s="541">
        <f t="shared" si="216"/>
        <v>0</v>
      </c>
      <c r="CV64" s="538">
        <f t="shared" si="217"/>
        <v>0</v>
      </c>
      <c r="CW64" s="538">
        <f t="shared" si="218"/>
        <v>0</v>
      </c>
      <c r="CX64" s="104">
        <f t="shared" si="219"/>
        <v>0</v>
      </c>
      <c r="CY64" s="542">
        <f t="shared" si="291"/>
        <v>0</v>
      </c>
      <c r="CZ64" s="538">
        <f t="shared" si="292"/>
        <v>0</v>
      </c>
      <c r="DC64" s="112" t="s">
        <v>1551</v>
      </c>
      <c r="DD64" s="112" t="b">
        <f t="shared" si="128"/>
        <v>0</v>
      </c>
    </row>
    <row r="65" spans="1:108" s="112" customFormat="1" ht="25" x14ac:dyDescent="0.25">
      <c r="A65" s="100" t="str">
        <f>'BOCA DE LOBO'!C63</f>
        <v>BL58-&gt;PV1-22</v>
      </c>
      <c r="B65" s="100" t="str">
        <f>'BOCA DE LOBO'!A63</f>
        <v>PV1-22</v>
      </c>
      <c r="C65" s="100" t="str">
        <f>VLOOKUP(A65,'BOCA DE LOBO'!C:F,3,0)</f>
        <v>EXISTENTE</v>
      </c>
      <c r="D65" s="100" t="str">
        <f>VLOOKUP(A65,'BOCA DE LOBO'!C:L,10,0)</f>
        <v>PROJETADA</v>
      </c>
      <c r="E65" s="100">
        <f t="shared" si="220"/>
        <v>1.5232000000000636</v>
      </c>
      <c r="F65" s="100">
        <f>VLOOKUP(A65,'BOCA DE LOBO'!C:D,2,0)</f>
        <v>1.6800000000000637</v>
      </c>
      <c r="G65" s="100">
        <f>VLOOKUP(A65,'BOCA DE LOBO'!C:F,4,0)</f>
        <v>3.92</v>
      </c>
      <c r="H65" s="101">
        <v>400</v>
      </c>
      <c r="I65" s="102">
        <f t="shared" si="221"/>
        <v>1.7316000000000638</v>
      </c>
      <c r="J65" s="102">
        <f t="shared" si="222"/>
        <v>0.33939360000001251</v>
      </c>
      <c r="K65" s="103">
        <v>0</v>
      </c>
      <c r="L65" s="104">
        <f t="shared" si="223"/>
        <v>1</v>
      </c>
      <c r="M65" s="104">
        <f t="shared" si="224"/>
        <v>1</v>
      </c>
      <c r="N65" s="104">
        <f t="shared" si="225"/>
        <v>0</v>
      </c>
      <c r="O65" s="104">
        <f t="shared" si="226"/>
        <v>3.92</v>
      </c>
      <c r="P65" s="105" t="s">
        <v>1999</v>
      </c>
      <c r="Q65" s="144" t="s">
        <v>2164</v>
      </c>
      <c r="R65" s="105"/>
      <c r="S65" s="105">
        <v>5</v>
      </c>
      <c r="T65" s="105">
        <v>5</v>
      </c>
      <c r="U65" s="104">
        <f t="shared" si="227"/>
        <v>0.05</v>
      </c>
      <c r="V65" s="106">
        <f t="shared" si="228"/>
        <v>0</v>
      </c>
      <c r="W65" s="106">
        <f t="shared" si="229"/>
        <v>6.7878720000002497</v>
      </c>
      <c r="X65" s="107">
        <f t="shared" si="230"/>
        <v>0</v>
      </c>
      <c r="Y65" s="107">
        <f t="shared" si="231"/>
        <v>0</v>
      </c>
      <c r="Z65" s="107">
        <f t="shared" si="232"/>
        <v>1.7316000000000638</v>
      </c>
      <c r="AA65" s="107">
        <f t="shared" si="233"/>
        <v>0</v>
      </c>
      <c r="AB65" s="108">
        <f t="shared" si="234"/>
        <v>3.92</v>
      </c>
      <c r="AC65" s="109">
        <f t="shared" si="235"/>
        <v>0</v>
      </c>
      <c r="AD65" s="109">
        <f t="shared" si="236"/>
        <v>0</v>
      </c>
      <c r="AE65" s="109">
        <f t="shared" si="237"/>
        <v>0</v>
      </c>
      <c r="AF65" s="109">
        <f t="shared" si="238"/>
        <v>5.88</v>
      </c>
      <c r="AG65" s="109">
        <f t="shared" si="239"/>
        <v>0.90787200000024992</v>
      </c>
      <c r="AH65" s="109">
        <f t="shared" si="240"/>
        <v>0</v>
      </c>
      <c r="AI65" s="537" t="str">
        <f t="shared" si="241"/>
        <v>NÃO</v>
      </c>
      <c r="AJ65" s="104">
        <f t="shared" si="242"/>
        <v>0</v>
      </c>
      <c r="AK65" s="104">
        <f t="shared" si="243"/>
        <v>0</v>
      </c>
      <c r="AL65" s="104">
        <f t="shared" si="244"/>
        <v>6.2952702719173699</v>
      </c>
      <c r="AM65" s="102">
        <f t="shared" si="245"/>
        <v>0.19600000000000001</v>
      </c>
      <c r="AN65" s="106">
        <f t="shared" si="246"/>
        <v>0</v>
      </c>
      <c r="AO65" s="104">
        <f t="shared" si="247"/>
        <v>0</v>
      </c>
      <c r="AP65" s="104">
        <f t="shared" si="248"/>
        <v>0</v>
      </c>
      <c r="AQ65" s="104">
        <f t="shared" si="249"/>
        <v>0.7</v>
      </c>
      <c r="AR65" s="104">
        <f t="shared" si="250"/>
        <v>2.2513982719171199</v>
      </c>
      <c r="AS65" s="104">
        <f t="shared" si="251"/>
        <v>0</v>
      </c>
      <c r="AT65" s="104">
        <f t="shared" si="252"/>
        <v>0.58799999999999997</v>
      </c>
      <c r="AU65" s="104">
        <f t="shared" si="253"/>
        <v>0.58799999999999997</v>
      </c>
      <c r="AV65" s="104">
        <f t="shared" si="254"/>
        <v>0.1176</v>
      </c>
      <c r="AW65" s="104">
        <f t="shared" si="255"/>
        <v>2.67187200000025</v>
      </c>
      <c r="AX65" s="104">
        <f t="shared" si="256"/>
        <v>3.9484737280831297</v>
      </c>
      <c r="AY65" s="104">
        <f t="shared" si="257"/>
        <v>2.67187200000025</v>
      </c>
      <c r="AZ65" s="104">
        <f t="shared" si="258"/>
        <v>0</v>
      </c>
      <c r="BA65" s="104">
        <f t="shared" si="207"/>
        <v>0</v>
      </c>
      <c r="BB65" s="104">
        <f t="shared" si="259"/>
        <v>0</v>
      </c>
      <c r="BC65" s="104"/>
      <c r="BD65" s="104">
        <f t="shared" si="260"/>
        <v>0</v>
      </c>
      <c r="BE65" s="108">
        <f t="shared" si="261"/>
        <v>1.7316000000000638</v>
      </c>
      <c r="BF65" s="110">
        <f t="shared" si="262"/>
        <v>3.92</v>
      </c>
      <c r="BG65" s="110">
        <f t="shared" si="263"/>
        <v>0</v>
      </c>
      <c r="BH65" s="105" t="str">
        <f>VLOOKUP(A65,'BOCA DE LOBO'!C:I,7,0)</f>
        <v>BOCA DE LOBO PROJETADA TRIPLA</v>
      </c>
      <c r="BI65" s="104">
        <f t="shared" si="264"/>
        <v>0</v>
      </c>
      <c r="BJ65" s="104">
        <f t="shared" si="265"/>
        <v>0</v>
      </c>
      <c r="BK65" s="104">
        <f t="shared" si="266"/>
        <v>0</v>
      </c>
      <c r="BL65" s="104">
        <f t="shared" si="267"/>
        <v>0</v>
      </c>
      <c r="BM65" s="104">
        <f t="shared" si="268"/>
        <v>0</v>
      </c>
      <c r="BN65" s="104">
        <f t="shared" si="269"/>
        <v>0</v>
      </c>
      <c r="BO65" s="104">
        <f t="shared" si="270"/>
        <v>1</v>
      </c>
      <c r="BP65" s="111"/>
      <c r="BQ65" s="108">
        <f t="shared" si="271"/>
        <v>11.76</v>
      </c>
      <c r="BR65" s="108">
        <f t="shared" si="272"/>
        <v>1.8157440000004998</v>
      </c>
      <c r="BS65" s="108">
        <f t="shared" si="273"/>
        <v>0</v>
      </c>
      <c r="BV65" s="538">
        <f t="shared" si="208"/>
        <v>15.805941760000657</v>
      </c>
      <c r="BW65" s="538">
        <f t="shared" si="209"/>
        <v>10.376799999999998</v>
      </c>
      <c r="BX65" s="538">
        <f t="shared" si="210"/>
        <v>4.4367999999999999</v>
      </c>
      <c r="BY65" s="538">
        <f t="shared" si="274"/>
        <v>1.5232000000000636</v>
      </c>
      <c r="BZ65" s="538">
        <f t="shared" si="275"/>
        <v>1.5232000000000636</v>
      </c>
      <c r="CA65" s="538">
        <f t="shared" si="276"/>
        <v>0</v>
      </c>
      <c r="CB65" s="538">
        <f t="shared" si="277"/>
        <v>0</v>
      </c>
      <c r="CC65" s="538">
        <f t="shared" si="278"/>
        <v>15.565199999999997</v>
      </c>
      <c r="CD65" s="538">
        <f t="shared" si="279"/>
        <v>0.24074176000066005</v>
      </c>
      <c r="CE65" s="538">
        <f t="shared" si="280"/>
        <v>0</v>
      </c>
      <c r="CF65" s="538">
        <f t="shared" si="281"/>
        <v>0</v>
      </c>
      <c r="CG65" s="538">
        <f t="shared" si="282"/>
        <v>0</v>
      </c>
      <c r="CH65" s="538">
        <f t="shared" si="283"/>
        <v>0</v>
      </c>
      <c r="CI65" s="104">
        <f t="shared" si="211"/>
        <v>0.71399999999999997</v>
      </c>
      <c r="CJ65" s="538">
        <f t="shared" si="284"/>
        <v>8.3338080000003742</v>
      </c>
      <c r="CK65" s="538">
        <f t="shared" si="212"/>
        <v>8.3338080000003742</v>
      </c>
      <c r="CL65" s="538">
        <f t="shared" si="285"/>
        <v>0</v>
      </c>
      <c r="CM65" s="538">
        <f t="shared" si="286"/>
        <v>0</v>
      </c>
      <c r="CN65" s="538">
        <f t="shared" si="213"/>
        <v>4.76</v>
      </c>
      <c r="CO65" s="538">
        <f t="shared" si="287"/>
        <v>1.5232000000000636</v>
      </c>
      <c r="CP65" s="538">
        <f t="shared" si="288"/>
        <v>14.28</v>
      </c>
      <c r="CQ65" s="538">
        <f t="shared" si="289"/>
        <v>0.2208640000006056</v>
      </c>
      <c r="CR65" s="539">
        <f t="shared" si="290"/>
        <v>0</v>
      </c>
      <c r="CS65" s="540">
        <f t="shared" si="214"/>
        <v>0</v>
      </c>
      <c r="CT65" s="540">
        <f t="shared" si="215"/>
        <v>0.45984000000000003</v>
      </c>
      <c r="CU65" s="541">
        <f t="shared" si="216"/>
        <v>10.967040000000459</v>
      </c>
      <c r="CV65" s="538">
        <f t="shared" si="217"/>
        <v>1.5639840000000245</v>
      </c>
      <c r="CW65" s="538">
        <f t="shared" si="218"/>
        <v>20.244520000000612</v>
      </c>
      <c r="CX65" s="104">
        <f t="shared" si="219"/>
        <v>4.76</v>
      </c>
      <c r="CY65" s="542">
        <f t="shared" si="291"/>
        <v>2.38</v>
      </c>
      <c r="CZ65" s="538">
        <f t="shared" si="292"/>
        <v>2.4513847475961154E-2</v>
      </c>
      <c r="DC65" s="112" t="s">
        <v>1548</v>
      </c>
      <c r="DD65" s="112" t="b">
        <f t="shared" si="128"/>
        <v>0</v>
      </c>
    </row>
    <row r="66" spans="1:108" s="112" customFormat="1" ht="25" x14ac:dyDescent="0.25">
      <c r="A66" s="100" t="str">
        <f>'BOCA DE LOBO'!C64</f>
        <v>BL59-&gt;PV1-23</v>
      </c>
      <c r="B66" s="100" t="str">
        <f>'BOCA DE LOBO'!A64</f>
        <v>PV1-23</v>
      </c>
      <c r="C66" s="100" t="str">
        <f>VLOOKUP(A66,'BOCA DE LOBO'!C:F,3,0)</f>
        <v>EXISTENTE</v>
      </c>
      <c r="D66" s="100" t="str">
        <f>VLOOKUP(A66,'BOCA DE LOBO'!C:L,10,0)</f>
        <v>PROJETADA</v>
      </c>
      <c r="E66" s="100">
        <f t="shared" si="220"/>
        <v>1.3580000000000001</v>
      </c>
      <c r="F66" s="100">
        <f>VLOOKUP(A66,'BOCA DE LOBO'!C:D,2,0)</f>
        <v>1.5</v>
      </c>
      <c r="G66" s="100">
        <f>VLOOKUP(A66,'BOCA DE LOBO'!C:F,4,0)</f>
        <v>3.55</v>
      </c>
      <c r="H66" s="101">
        <v>400</v>
      </c>
      <c r="I66" s="102">
        <f t="shared" si="221"/>
        <v>1.5590000000000002</v>
      </c>
      <c r="J66" s="102">
        <f t="shared" si="222"/>
        <v>0.27672250000000004</v>
      </c>
      <c r="K66" s="103">
        <v>0</v>
      </c>
      <c r="L66" s="104">
        <f t="shared" si="223"/>
        <v>1</v>
      </c>
      <c r="M66" s="104">
        <f t="shared" si="224"/>
        <v>1</v>
      </c>
      <c r="N66" s="104">
        <f t="shared" si="225"/>
        <v>0</v>
      </c>
      <c r="O66" s="104">
        <f t="shared" si="226"/>
        <v>3.55</v>
      </c>
      <c r="P66" s="105" t="s">
        <v>1999</v>
      </c>
      <c r="Q66" s="144" t="s">
        <v>2164</v>
      </c>
      <c r="R66" s="105"/>
      <c r="S66" s="105">
        <v>5</v>
      </c>
      <c r="T66" s="105">
        <v>5</v>
      </c>
      <c r="U66" s="104">
        <f t="shared" si="227"/>
        <v>0.05</v>
      </c>
      <c r="V66" s="106">
        <f t="shared" si="228"/>
        <v>0</v>
      </c>
      <c r="W66" s="106">
        <f t="shared" si="229"/>
        <v>5.5344500000000005</v>
      </c>
      <c r="X66" s="107">
        <f t="shared" si="230"/>
        <v>0</v>
      </c>
      <c r="Y66" s="107">
        <f t="shared" si="231"/>
        <v>0</v>
      </c>
      <c r="Z66" s="107">
        <f t="shared" si="232"/>
        <v>1.5590000000000002</v>
      </c>
      <c r="AA66" s="107">
        <f t="shared" si="233"/>
        <v>0</v>
      </c>
      <c r="AB66" s="108">
        <f t="shared" si="234"/>
        <v>3.55</v>
      </c>
      <c r="AC66" s="109">
        <f t="shared" si="235"/>
        <v>0</v>
      </c>
      <c r="AD66" s="109">
        <f t="shared" si="236"/>
        <v>0</v>
      </c>
      <c r="AE66" s="109">
        <f t="shared" si="237"/>
        <v>0</v>
      </c>
      <c r="AF66" s="109">
        <f t="shared" si="238"/>
        <v>5.3249999999999993</v>
      </c>
      <c r="AG66" s="109">
        <f t="shared" si="239"/>
        <v>0.20945000000000058</v>
      </c>
      <c r="AH66" s="109">
        <f t="shared" si="240"/>
        <v>0</v>
      </c>
      <c r="AI66" s="537" t="str">
        <f t="shared" si="241"/>
        <v>NÃO</v>
      </c>
      <c r="AJ66" s="104">
        <f t="shared" si="242"/>
        <v>0</v>
      </c>
      <c r="AK66" s="104">
        <f t="shared" si="243"/>
        <v>0</v>
      </c>
      <c r="AL66" s="104">
        <f t="shared" si="244"/>
        <v>5.0883438431902501</v>
      </c>
      <c r="AM66" s="102">
        <f t="shared" si="245"/>
        <v>0.17749999999999999</v>
      </c>
      <c r="AN66" s="106">
        <f t="shared" si="246"/>
        <v>0</v>
      </c>
      <c r="AO66" s="104">
        <f t="shared" si="247"/>
        <v>0</v>
      </c>
      <c r="AP66" s="104">
        <f t="shared" si="248"/>
        <v>0</v>
      </c>
      <c r="AQ66" s="104">
        <f t="shared" si="249"/>
        <v>0.7</v>
      </c>
      <c r="AR66" s="104">
        <f t="shared" si="250"/>
        <v>2.038893843190249</v>
      </c>
      <c r="AS66" s="104">
        <f t="shared" si="251"/>
        <v>0</v>
      </c>
      <c r="AT66" s="104">
        <f t="shared" si="252"/>
        <v>0.53249999999999997</v>
      </c>
      <c r="AU66" s="104">
        <f t="shared" si="253"/>
        <v>0.53249999999999997</v>
      </c>
      <c r="AV66" s="104">
        <f t="shared" si="254"/>
        <v>0.1065</v>
      </c>
      <c r="AW66" s="104">
        <f t="shared" si="255"/>
        <v>1.8069500000000014</v>
      </c>
      <c r="AX66" s="104">
        <f t="shared" si="256"/>
        <v>2.9630561568097509</v>
      </c>
      <c r="AY66" s="104">
        <f t="shared" si="257"/>
        <v>1.8069500000000014</v>
      </c>
      <c r="AZ66" s="104">
        <f t="shared" si="258"/>
        <v>0</v>
      </c>
      <c r="BA66" s="104">
        <f t="shared" si="207"/>
        <v>0</v>
      </c>
      <c r="BB66" s="104">
        <f t="shared" si="259"/>
        <v>0</v>
      </c>
      <c r="BC66" s="104"/>
      <c r="BD66" s="104">
        <f t="shared" si="260"/>
        <v>0</v>
      </c>
      <c r="BE66" s="108">
        <f t="shared" si="261"/>
        <v>1.5590000000000002</v>
      </c>
      <c r="BF66" s="110">
        <f t="shared" si="262"/>
        <v>3.55</v>
      </c>
      <c r="BG66" s="110">
        <f t="shared" si="263"/>
        <v>0</v>
      </c>
      <c r="BH66" s="105" t="str">
        <f>VLOOKUP(A66,'BOCA DE LOBO'!C:I,7,0)</f>
        <v>BOCA DE LOBO PROJETADA TRIPLA</v>
      </c>
      <c r="BI66" s="104">
        <f t="shared" si="264"/>
        <v>0</v>
      </c>
      <c r="BJ66" s="104">
        <f t="shared" si="265"/>
        <v>0</v>
      </c>
      <c r="BK66" s="104">
        <f t="shared" si="266"/>
        <v>0</v>
      </c>
      <c r="BL66" s="104">
        <f t="shared" si="267"/>
        <v>0</v>
      </c>
      <c r="BM66" s="104">
        <f t="shared" si="268"/>
        <v>0</v>
      </c>
      <c r="BN66" s="104">
        <f t="shared" si="269"/>
        <v>0</v>
      </c>
      <c r="BO66" s="104">
        <f t="shared" si="270"/>
        <v>1</v>
      </c>
      <c r="BP66" s="111"/>
      <c r="BQ66" s="108">
        <f t="shared" si="271"/>
        <v>10.649999999999999</v>
      </c>
      <c r="BR66" s="108">
        <f t="shared" si="272"/>
        <v>0.41890000000000116</v>
      </c>
      <c r="BS66" s="108">
        <f t="shared" si="273"/>
        <v>0</v>
      </c>
      <c r="BV66" s="538">
        <f t="shared" si="208"/>
        <v>14.091694399999998</v>
      </c>
      <c r="BW66" s="538">
        <f t="shared" si="209"/>
        <v>10.376799999999998</v>
      </c>
      <c r="BX66" s="538">
        <f t="shared" si="210"/>
        <v>4.4367999999999999</v>
      </c>
      <c r="BY66" s="538">
        <f t="shared" si="274"/>
        <v>1.3580000000000001</v>
      </c>
      <c r="BZ66" s="538">
        <f t="shared" si="275"/>
        <v>1.3580000000000001</v>
      </c>
      <c r="CA66" s="538">
        <f t="shared" si="276"/>
        <v>0</v>
      </c>
      <c r="CB66" s="538">
        <f t="shared" si="277"/>
        <v>0</v>
      </c>
      <c r="CC66" s="538">
        <f t="shared" si="278"/>
        <v>14.091694399999998</v>
      </c>
      <c r="CD66" s="538">
        <f t="shared" si="279"/>
        <v>0</v>
      </c>
      <c r="CE66" s="538">
        <f t="shared" si="280"/>
        <v>0</v>
      </c>
      <c r="CF66" s="538">
        <f t="shared" si="281"/>
        <v>0</v>
      </c>
      <c r="CG66" s="538">
        <f t="shared" si="282"/>
        <v>0</v>
      </c>
      <c r="CH66" s="538">
        <f t="shared" si="283"/>
        <v>0</v>
      </c>
      <c r="CI66" s="104">
        <f t="shared" si="211"/>
        <v>0.71399999999999997</v>
      </c>
      <c r="CJ66" s="538">
        <f t="shared" si="284"/>
        <v>7.3525199999999966</v>
      </c>
      <c r="CK66" s="538">
        <f t="shared" si="212"/>
        <v>7.3525199999999966</v>
      </c>
      <c r="CL66" s="538">
        <f t="shared" si="285"/>
        <v>0</v>
      </c>
      <c r="CM66" s="538">
        <f t="shared" si="286"/>
        <v>0</v>
      </c>
      <c r="CN66" s="538">
        <f t="shared" si="213"/>
        <v>4.76</v>
      </c>
      <c r="CO66" s="538">
        <f t="shared" si="287"/>
        <v>1.3580000000000001</v>
      </c>
      <c r="CP66" s="538">
        <f t="shared" si="288"/>
        <v>12.92816</v>
      </c>
      <c r="CQ66" s="538">
        <f t="shared" si="289"/>
        <v>0</v>
      </c>
      <c r="CR66" s="539">
        <f t="shared" si="290"/>
        <v>0</v>
      </c>
      <c r="CS66" s="540">
        <f t="shared" si="214"/>
        <v>0</v>
      </c>
      <c r="CT66" s="540">
        <f t="shared" si="215"/>
        <v>0.45984000000000003</v>
      </c>
      <c r="CU66" s="541">
        <f t="shared" si="216"/>
        <v>9.7776000000000014</v>
      </c>
      <c r="CV66" s="538">
        <f t="shared" si="217"/>
        <v>1.5007950000000001</v>
      </c>
      <c r="CW66" s="538">
        <f t="shared" si="218"/>
        <v>18.6586</v>
      </c>
      <c r="CX66" s="104">
        <f t="shared" si="219"/>
        <v>4.76</v>
      </c>
      <c r="CY66" s="542">
        <f t="shared" si="291"/>
        <v>2.38</v>
      </c>
      <c r="CZ66" s="538">
        <f t="shared" si="292"/>
        <v>2.4513847475961154E-2</v>
      </c>
      <c r="DC66" s="112" t="s">
        <v>1517</v>
      </c>
      <c r="DD66" s="112" t="b">
        <f t="shared" si="128"/>
        <v>0</v>
      </c>
    </row>
    <row r="67" spans="1:108" s="112" customFormat="1" ht="25" x14ac:dyDescent="0.25">
      <c r="A67" s="100" t="str">
        <f>'BOCA DE LOBO'!C65</f>
        <v>BL60-&gt;PV2-23</v>
      </c>
      <c r="B67" s="100" t="str">
        <f>'BOCA DE LOBO'!A65</f>
        <v>PV2-23</v>
      </c>
      <c r="C67" s="100" t="str">
        <f>VLOOKUP(A67,'BOCA DE LOBO'!C:F,3,0)</f>
        <v>EXISTENTE</v>
      </c>
      <c r="D67" s="100" t="str">
        <f>VLOOKUP(A67,'BOCA DE LOBO'!C:L,10,0)</f>
        <v>PROJETADA</v>
      </c>
      <c r="E67" s="100">
        <f t="shared" si="220"/>
        <v>1.533000000000041</v>
      </c>
      <c r="F67" s="100">
        <f>VLOOKUP(A67,'BOCA DE LOBO'!C:D,2,0)</f>
        <v>1.7050000000000409</v>
      </c>
      <c r="G67" s="100">
        <f>VLOOKUP(A67,'BOCA DE LOBO'!C:F,4,0)</f>
        <v>4.3</v>
      </c>
      <c r="H67" s="101">
        <v>400</v>
      </c>
      <c r="I67" s="102">
        <f t="shared" si="221"/>
        <v>1.7490000000000412</v>
      </c>
      <c r="J67" s="102">
        <f t="shared" si="222"/>
        <v>0.37603500000000883</v>
      </c>
      <c r="K67" s="103">
        <v>0</v>
      </c>
      <c r="L67" s="104">
        <f t="shared" si="223"/>
        <v>1</v>
      </c>
      <c r="M67" s="104">
        <f t="shared" si="224"/>
        <v>1</v>
      </c>
      <c r="N67" s="104">
        <f t="shared" si="225"/>
        <v>0</v>
      </c>
      <c r="O67" s="104">
        <f t="shared" si="226"/>
        <v>4.3</v>
      </c>
      <c r="P67" s="105" t="s">
        <v>1999</v>
      </c>
      <c r="Q67" s="144" t="s">
        <v>2164</v>
      </c>
      <c r="R67" s="105"/>
      <c r="S67" s="105">
        <v>5</v>
      </c>
      <c r="T67" s="105">
        <v>5</v>
      </c>
      <c r="U67" s="104">
        <f t="shared" si="227"/>
        <v>0.05</v>
      </c>
      <c r="V67" s="106">
        <f t="shared" si="228"/>
        <v>0</v>
      </c>
      <c r="W67" s="106">
        <f t="shared" si="229"/>
        <v>7.5207000000001765</v>
      </c>
      <c r="X67" s="107">
        <f t="shared" si="230"/>
        <v>0</v>
      </c>
      <c r="Y67" s="107">
        <f t="shared" si="231"/>
        <v>0</v>
      </c>
      <c r="Z67" s="107">
        <f t="shared" si="232"/>
        <v>1.7490000000000412</v>
      </c>
      <c r="AA67" s="107">
        <f t="shared" si="233"/>
        <v>0</v>
      </c>
      <c r="AB67" s="108">
        <f t="shared" si="234"/>
        <v>4.3</v>
      </c>
      <c r="AC67" s="109">
        <f t="shared" si="235"/>
        <v>0</v>
      </c>
      <c r="AD67" s="109">
        <f t="shared" si="236"/>
        <v>0</v>
      </c>
      <c r="AE67" s="109">
        <f t="shared" si="237"/>
        <v>0</v>
      </c>
      <c r="AF67" s="109">
        <f t="shared" si="238"/>
        <v>6.4499999999999993</v>
      </c>
      <c r="AG67" s="109">
        <f t="shared" si="239"/>
        <v>1.0707000000001772</v>
      </c>
      <c r="AH67" s="109">
        <f t="shared" si="240"/>
        <v>0</v>
      </c>
      <c r="AI67" s="537" t="str">
        <f t="shared" si="241"/>
        <v>NÃO</v>
      </c>
      <c r="AJ67" s="104">
        <f t="shared" si="242"/>
        <v>0</v>
      </c>
      <c r="AK67" s="104">
        <f t="shared" si="243"/>
        <v>0</v>
      </c>
      <c r="AL67" s="104">
        <f t="shared" si="244"/>
        <v>6.9803460635827319</v>
      </c>
      <c r="AM67" s="102">
        <f t="shared" si="245"/>
        <v>0.215</v>
      </c>
      <c r="AN67" s="106">
        <f t="shared" si="246"/>
        <v>0</v>
      </c>
      <c r="AO67" s="104">
        <f t="shared" si="247"/>
        <v>0</v>
      </c>
      <c r="AP67" s="104">
        <f t="shared" si="248"/>
        <v>0</v>
      </c>
      <c r="AQ67" s="104">
        <f t="shared" si="249"/>
        <v>0.7</v>
      </c>
      <c r="AR67" s="104">
        <f t="shared" si="250"/>
        <v>2.4696460635825552</v>
      </c>
      <c r="AS67" s="104">
        <f t="shared" si="251"/>
        <v>0</v>
      </c>
      <c r="AT67" s="104">
        <f t="shared" si="252"/>
        <v>0.64499999999999991</v>
      </c>
      <c r="AU67" s="104">
        <f t="shared" si="253"/>
        <v>0.64499999999999991</v>
      </c>
      <c r="AV67" s="104">
        <f t="shared" si="254"/>
        <v>0.129</v>
      </c>
      <c r="AW67" s="104">
        <f t="shared" si="255"/>
        <v>3.0057000000001777</v>
      </c>
      <c r="AX67" s="104">
        <f t="shared" si="256"/>
        <v>4.4060539364176217</v>
      </c>
      <c r="AY67" s="104">
        <f t="shared" si="257"/>
        <v>3.0057000000001777</v>
      </c>
      <c r="AZ67" s="104">
        <f t="shared" si="258"/>
        <v>0</v>
      </c>
      <c r="BA67" s="104">
        <f t="shared" si="207"/>
        <v>0</v>
      </c>
      <c r="BB67" s="104">
        <f t="shared" si="259"/>
        <v>0</v>
      </c>
      <c r="BC67" s="104"/>
      <c r="BD67" s="104">
        <f t="shared" si="260"/>
        <v>0</v>
      </c>
      <c r="BE67" s="108">
        <f t="shared" si="261"/>
        <v>1.7490000000000412</v>
      </c>
      <c r="BF67" s="110">
        <f t="shared" si="262"/>
        <v>4.3</v>
      </c>
      <c r="BG67" s="110">
        <f t="shared" si="263"/>
        <v>0</v>
      </c>
      <c r="BH67" s="105" t="str">
        <f>VLOOKUP(A67,'BOCA DE LOBO'!C:I,7,0)</f>
        <v>BOCA DE LOBO PROJETADA DUPLA</v>
      </c>
      <c r="BI67" s="104">
        <f t="shared" si="264"/>
        <v>0</v>
      </c>
      <c r="BJ67" s="104">
        <f t="shared" si="265"/>
        <v>0</v>
      </c>
      <c r="BK67" s="104">
        <f t="shared" si="266"/>
        <v>0</v>
      </c>
      <c r="BL67" s="104">
        <f t="shared" si="267"/>
        <v>0</v>
      </c>
      <c r="BM67" s="104">
        <f t="shared" si="268"/>
        <v>0</v>
      </c>
      <c r="BN67" s="104">
        <f t="shared" si="269"/>
        <v>1</v>
      </c>
      <c r="BO67" s="104">
        <f t="shared" si="270"/>
        <v>0</v>
      </c>
      <c r="BP67" s="111"/>
      <c r="BQ67" s="108">
        <f t="shared" si="271"/>
        <v>12.899999999999999</v>
      </c>
      <c r="BR67" s="108">
        <f t="shared" si="272"/>
        <v>2.1414000000003544</v>
      </c>
      <c r="BS67" s="108">
        <f t="shared" si="273"/>
        <v>0</v>
      </c>
      <c r="BV67" s="538">
        <f t="shared" si="208"/>
        <v>11.930725800000317</v>
      </c>
      <c r="BW67" s="538">
        <f t="shared" si="209"/>
        <v>7.7825999999999986</v>
      </c>
      <c r="BX67" s="538">
        <f t="shared" si="210"/>
        <v>3.0325999999999995</v>
      </c>
      <c r="BY67" s="538">
        <f t="shared" si="274"/>
        <v>1.533000000000041</v>
      </c>
      <c r="BZ67" s="538">
        <f t="shared" si="275"/>
        <v>1.533000000000041</v>
      </c>
      <c r="CA67" s="538">
        <f t="shared" si="276"/>
        <v>0</v>
      </c>
      <c r="CB67" s="538">
        <f t="shared" si="277"/>
        <v>0</v>
      </c>
      <c r="CC67" s="538">
        <f t="shared" si="278"/>
        <v>11.673899999999998</v>
      </c>
      <c r="CD67" s="538">
        <f t="shared" si="279"/>
        <v>0.25682580000031902</v>
      </c>
      <c r="CE67" s="538">
        <f t="shared" si="280"/>
        <v>0</v>
      </c>
      <c r="CF67" s="538">
        <f t="shared" si="281"/>
        <v>0</v>
      </c>
      <c r="CG67" s="538">
        <f t="shared" si="282"/>
        <v>0</v>
      </c>
      <c r="CH67" s="538">
        <f t="shared" si="283"/>
        <v>0</v>
      </c>
      <c r="CI67" s="104">
        <f t="shared" si="211"/>
        <v>0.53549999999999998</v>
      </c>
      <c r="CJ67" s="538">
        <f t="shared" si="284"/>
        <v>6.7462500000001935</v>
      </c>
      <c r="CK67" s="538">
        <f t="shared" si="212"/>
        <v>6.7462500000001935</v>
      </c>
      <c r="CL67" s="538">
        <f t="shared" si="285"/>
        <v>0</v>
      </c>
      <c r="CM67" s="538">
        <f t="shared" si="286"/>
        <v>0</v>
      </c>
      <c r="CN67" s="538">
        <f t="shared" si="213"/>
        <v>3.57</v>
      </c>
      <c r="CO67" s="538">
        <f t="shared" si="287"/>
        <v>1.533000000000041</v>
      </c>
      <c r="CP67" s="538">
        <f t="shared" si="288"/>
        <v>10.709999999999999</v>
      </c>
      <c r="CQ67" s="538">
        <f t="shared" si="289"/>
        <v>0.23562000000029271</v>
      </c>
      <c r="CR67" s="539">
        <f t="shared" si="290"/>
        <v>0</v>
      </c>
      <c r="CS67" s="540">
        <f t="shared" si="214"/>
        <v>0</v>
      </c>
      <c r="CT67" s="540">
        <f t="shared" si="215"/>
        <v>0.33012999999999998</v>
      </c>
      <c r="CU67" s="541">
        <f t="shared" si="216"/>
        <v>7.9716000000002136</v>
      </c>
      <c r="CV67" s="538">
        <f t="shared" si="217"/>
        <v>1.1430480000000123</v>
      </c>
      <c r="CW67" s="538">
        <f t="shared" si="218"/>
        <v>15.821640000000317</v>
      </c>
      <c r="CX67" s="104">
        <f t="shared" si="219"/>
        <v>3.57</v>
      </c>
      <c r="CY67" s="542">
        <f t="shared" si="291"/>
        <v>1.7849999999999999</v>
      </c>
      <c r="CZ67" s="538">
        <f t="shared" si="292"/>
        <v>2.4513847475961154E-2</v>
      </c>
      <c r="DC67" s="112" t="s">
        <v>1546</v>
      </c>
      <c r="DD67" s="112" t="b">
        <f t="shared" si="128"/>
        <v>0</v>
      </c>
    </row>
    <row r="68" spans="1:108" s="112" customFormat="1" ht="25" x14ac:dyDescent="0.25">
      <c r="A68" s="100" t="str">
        <f>'BOCA DE LOBO'!C66</f>
        <v>BL61-&gt;PV3-23</v>
      </c>
      <c r="B68" s="100" t="str">
        <f>'BOCA DE LOBO'!A66</f>
        <v>PV3-23</v>
      </c>
      <c r="C68" s="100" t="str">
        <f>VLOOKUP(A68,'BOCA DE LOBO'!C:F,3,0)</f>
        <v>EXISTENTE</v>
      </c>
      <c r="D68" s="100" t="str">
        <f>VLOOKUP(A68,'BOCA DE LOBO'!C:L,10,0)</f>
        <v>PROJETADA</v>
      </c>
      <c r="E68" s="100">
        <f t="shared" si="220"/>
        <v>1.6299999999999091</v>
      </c>
      <c r="F68" s="100">
        <f>VLOOKUP(A68,'BOCA DE LOBO'!C:D,2,0)</f>
        <v>1.8499999999999091</v>
      </c>
      <c r="G68" s="100">
        <f>VLOOKUP(A68,'BOCA DE LOBO'!C:F,4,0)</f>
        <v>5.5</v>
      </c>
      <c r="H68" s="101">
        <v>400</v>
      </c>
      <c r="I68" s="102">
        <f t="shared" si="221"/>
        <v>1.8699999999999093</v>
      </c>
      <c r="J68" s="102">
        <f t="shared" si="222"/>
        <v>0.514249999999975</v>
      </c>
      <c r="K68" s="103">
        <v>0</v>
      </c>
      <c r="L68" s="104">
        <f t="shared" si="223"/>
        <v>1</v>
      </c>
      <c r="M68" s="104">
        <f t="shared" si="224"/>
        <v>1</v>
      </c>
      <c r="N68" s="104">
        <f t="shared" si="225"/>
        <v>0</v>
      </c>
      <c r="O68" s="104">
        <f t="shared" si="226"/>
        <v>5.5</v>
      </c>
      <c r="P68" s="105" t="s">
        <v>1999</v>
      </c>
      <c r="Q68" s="144" t="s">
        <v>2165</v>
      </c>
      <c r="R68" s="105"/>
      <c r="S68" s="105">
        <v>5</v>
      </c>
      <c r="T68" s="105">
        <v>4.3</v>
      </c>
      <c r="U68" s="104">
        <f t="shared" si="227"/>
        <v>0.05</v>
      </c>
      <c r="V68" s="106">
        <f t="shared" si="228"/>
        <v>0</v>
      </c>
      <c r="W68" s="106">
        <f t="shared" si="229"/>
        <v>10.284999999999501</v>
      </c>
      <c r="X68" s="107">
        <f t="shared" si="230"/>
        <v>0</v>
      </c>
      <c r="Y68" s="107">
        <f t="shared" si="231"/>
        <v>0</v>
      </c>
      <c r="Z68" s="107">
        <f t="shared" si="232"/>
        <v>1.8699999999999093</v>
      </c>
      <c r="AA68" s="107">
        <f t="shared" si="233"/>
        <v>0</v>
      </c>
      <c r="AB68" s="108">
        <f t="shared" si="234"/>
        <v>5.5</v>
      </c>
      <c r="AC68" s="109">
        <f t="shared" si="235"/>
        <v>0</v>
      </c>
      <c r="AD68" s="109">
        <f t="shared" si="236"/>
        <v>0</v>
      </c>
      <c r="AE68" s="109">
        <f t="shared" si="237"/>
        <v>0</v>
      </c>
      <c r="AF68" s="109">
        <f t="shared" si="238"/>
        <v>8.25</v>
      </c>
      <c r="AG68" s="109">
        <f t="shared" si="239"/>
        <v>2.034999999999501</v>
      </c>
      <c r="AH68" s="109">
        <f t="shared" si="240"/>
        <v>0</v>
      </c>
      <c r="AI68" s="537" t="str">
        <f t="shared" si="241"/>
        <v>NÃO</v>
      </c>
      <c r="AJ68" s="104">
        <f t="shared" si="242"/>
        <v>0</v>
      </c>
      <c r="AK68" s="104">
        <f t="shared" si="243"/>
        <v>0</v>
      </c>
      <c r="AL68" s="104">
        <f t="shared" si="244"/>
        <v>9.5938496162097469</v>
      </c>
      <c r="AM68" s="102">
        <f t="shared" si="245"/>
        <v>0.27500000000000002</v>
      </c>
      <c r="AN68" s="106">
        <f t="shared" si="246"/>
        <v>0</v>
      </c>
      <c r="AO68" s="104">
        <f t="shared" si="247"/>
        <v>0</v>
      </c>
      <c r="AP68" s="104">
        <f t="shared" si="248"/>
        <v>0</v>
      </c>
      <c r="AQ68" s="104">
        <f t="shared" si="249"/>
        <v>0.7</v>
      </c>
      <c r="AR68" s="104">
        <f t="shared" si="250"/>
        <v>3.1588496162102451</v>
      </c>
      <c r="AS68" s="104">
        <f t="shared" si="251"/>
        <v>0</v>
      </c>
      <c r="AT68" s="104">
        <f t="shared" si="252"/>
        <v>0.82499999999999996</v>
      </c>
      <c r="AU68" s="104">
        <f t="shared" si="253"/>
        <v>0.82499999999999996</v>
      </c>
      <c r="AV68" s="104">
        <f t="shared" si="254"/>
        <v>0.16499999999999998</v>
      </c>
      <c r="AW68" s="104">
        <f t="shared" si="255"/>
        <v>4.5099999999995024</v>
      </c>
      <c r="AX68" s="104">
        <f t="shared" si="256"/>
        <v>6.3011503837892562</v>
      </c>
      <c r="AY68" s="104">
        <f t="shared" si="257"/>
        <v>4.5099999999995024</v>
      </c>
      <c r="AZ68" s="104">
        <f t="shared" si="258"/>
        <v>0</v>
      </c>
      <c r="BA68" s="104">
        <f t="shared" si="207"/>
        <v>0</v>
      </c>
      <c r="BB68" s="104">
        <f t="shared" si="259"/>
        <v>0</v>
      </c>
      <c r="BC68" s="104"/>
      <c r="BD68" s="104">
        <f t="shared" si="260"/>
        <v>0</v>
      </c>
      <c r="BE68" s="108">
        <f t="shared" si="261"/>
        <v>1.8699999999999093</v>
      </c>
      <c r="BF68" s="110">
        <f t="shared" si="262"/>
        <v>0</v>
      </c>
      <c r="BG68" s="110">
        <f t="shared" si="263"/>
        <v>5.5</v>
      </c>
      <c r="BH68" s="105" t="str">
        <f>VLOOKUP(A68,'BOCA DE LOBO'!C:I,7,0)</f>
        <v>BOCA DE LOBO PROJETADA DUPLA</v>
      </c>
      <c r="BI68" s="104">
        <f t="shared" si="264"/>
        <v>0</v>
      </c>
      <c r="BJ68" s="104">
        <f t="shared" si="265"/>
        <v>0</v>
      </c>
      <c r="BK68" s="104">
        <f t="shared" si="266"/>
        <v>0</v>
      </c>
      <c r="BL68" s="104">
        <f t="shared" si="267"/>
        <v>0</v>
      </c>
      <c r="BM68" s="104">
        <f t="shared" si="268"/>
        <v>0</v>
      </c>
      <c r="BN68" s="104">
        <f t="shared" si="269"/>
        <v>1</v>
      </c>
      <c r="BO68" s="104">
        <f t="shared" si="270"/>
        <v>0</v>
      </c>
      <c r="BP68" s="111"/>
      <c r="BQ68" s="108">
        <f t="shared" si="271"/>
        <v>16.5</v>
      </c>
      <c r="BR68" s="108">
        <f t="shared" si="272"/>
        <v>4.069999999999002</v>
      </c>
      <c r="BS68" s="108">
        <f t="shared" si="273"/>
        <v>0</v>
      </c>
      <c r="BV68" s="538">
        <f t="shared" si="208"/>
        <v>12.68563799999929</v>
      </c>
      <c r="BW68" s="538">
        <f t="shared" si="209"/>
        <v>7.7825999999999986</v>
      </c>
      <c r="BX68" s="538">
        <f t="shared" si="210"/>
        <v>3.0325999999999995</v>
      </c>
      <c r="BY68" s="538">
        <f t="shared" si="274"/>
        <v>1.6299999999999091</v>
      </c>
      <c r="BZ68" s="538">
        <f t="shared" si="275"/>
        <v>1.6299999999999091</v>
      </c>
      <c r="CA68" s="538">
        <f t="shared" si="276"/>
        <v>0</v>
      </c>
      <c r="CB68" s="538">
        <f t="shared" si="277"/>
        <v>0</v>
      </c>
      <c r="CC68" s="538">
        <f t="shared" si="278"/>
        <v>11.673899999999998</v>
      </c>
      <c r="CD68" s="538">
        <f t="shared" si="279"/>
        <v>1.0117379999992921</v>
      </c>
      <c r="CE68" s="538">
        <f t="shared" si="280"/>
        <v>0</v>
      </c>
      <c r="CF68" s="538">
        <f t="shared" si="281"/>
        <v>0</v>
      </c>
      <c r="CG68" s="538">
        <f t="shared" si="282"/>
        <v>0</v>
      </c>
      <c r="CH68" s="538">
        <f t="shared" si="283"/>
        <v>0</v>
      </c>
      <c r="CI68" s="104">
        <f t="shared" si="211"/>
        <v>0.53549999999999998</v>
      </c>
      <c r="CJ68" s="538">
        <f t="shared" si="284"/>
        <v>7.2069999999995664</v>
      </c>
      <c r="CK68" s="538">
        <f t="shared" si="212"/>
        <v>7.2069999999995664</v>
      </c>
      <c r="CL68" s="538">
        <f t="shared" si="285"/>
        <v>0</v>
      </c>
      <c r="CM68" s="538">
        <f t="shared" si="286"/>
        <v>0</v>
      </c>
      <c r="CN68" s="538">
        <f t="shared" si="213"/>
        <v>3.57</v>
      </c>
      <c r="CO68" s="538">
        <f t="shared" si="287"/>
        <v>1.6299999999999091</v>
      </c>
      <c r="CP68" s="538">
        <f t="shared" si="288"/>
        <v>10.709999999999999</v>
      </c>
      <c r="CQ68" s="538">
        <f t="shared" si="289"/>
        <v>0.92819999999935077</v>
      </c>
      <c r="CR68" s="539">
        <f t="shared" si="290"/>
        <v>0</v>
      </c>
      <c r="CS68" s="540">
        <f t="shared" si="214"/>
        <v>0</v>
      </c>
      <c r="CT68" s="540">
        <f t="shared" si="215"/>
        <v>0.33012999999999998</v>
      </c>
      <c r="CU68" s="541">
        <f t="shared" si="216"/>
        <v>8.4759999999995284</v>
      </c>
      <c r="CV68" s="538">
        <f t="shared" si="217"/>
        <v>1.1727299999999721</v>
      </c>
      <c r="CW68" s="538">
        <f t="shared" si="218"/>
        <v>16.566599999999301</v>
      </c>
      <c r="CX68" s="104">
        <f t="shared" si="219"/>
        <v>3.57</v>
      </c>
      <c r="CY68" s="542">
        <f t="shared" si="291"/>
        <v>1.7849999999999999</v>
      </c>
      <c r="CZ68" s="538">
        <f t="shared" si="292"/>
        <v>2.4513847475961154E-2</v>
      </c>
      <c r="DC68" s="112" t="s">
        <v>1547</v>
      </c>
      <c r="DD68" s="112" t="b">
        <f t="shared" si="128"/>
        <v>0</v>
      </c>
    </row>
    <row r="69" spans="1:108" s="112" customFormat="1" ht="25" x14ac:dyDescent="0.25">
      <c r="A69" s="100" t="str">
        <f>'BOCA DE LOBO'!C67</f>
        <v>BL62-&gt;PV4-23</v>
      </c>
      <c r="B69" s="100" t="str">
        <f>'BOCA DE LOBO'!A67</f>
        <v>PV4-23</v>
      </c>
      <c r="C69" s="100" t="str">
        <f>VLOOKUP(A69,'BOCA DE LOBO'!C:F,3,0)</f>
        <v>EXISTENTE</v>
      </c>
      <c r="D69" s="100" t="str">
        <f>VLOOKUP(A69,'BOCA DE LOBO'!C:L,10,0)</f>
        <v>PROJETADA</v>
      </c>
      <c r="E69" s="100">
        <f t="shared" si="220"/>
        <v>2.5</v>
      </c>
      <c r="F69" s="100">
        <f>VLOOKUP(A69,'BOCA DE LOBO'!C:D,2,0)</f>
        <v>3.5909999999998945</v>
      </c>
      <c r="G69" s="100">
        <f>VLOOKUP(A69,'BOCA DE LOBO'!C:F,4,0)</f>
        <v>5.54</v>
      </c>
      <c r="H69" s="101">
        <v>400</v>
      </c>
      <c r="I69" s="102">
        <f t="shared" si="221"/>
        <v>3.1754999999999471</v>
      </c>
      <c r="J69" s="102">
        <f t="shared" si="222"/>
        <v>0.87961349999998539</v>
      </c>
      <c r="K69" s="103">
        <v>0</v>
      </c>
      <c r="L69" s="104">
        <f t="shared" si="223"/>
        <v>1</v>
      </c>
      <c r="M69" s="104">
        <f t="shared" si="224"/>
        <v>1</v>
      </c>
      <c r="N69" s="104">
        <f t="shared" si="225"/>
        <v>0</v>
      </c>
      <c r="O69" s="104">
        <f t="shared" si="226"/>
        <v>5.54</v>
      </c>
      <c r="P69" s="105" t="s">
        <v>1999</v>
      </c>
      <c r="Q69" s="144" t="s">
        <v>2165</v>
      </c>
      <c r="R69" s="105"/>
      <c r="S69" s="105">
        <v>5</v>
      </c>
      <c r="T69" s="105">
        <v>4.3</v>
      </c>
      <c r="U69" s="104">
        <f t="shared" si="227"/>
        <v>0.05</v>
      </c>
      <c r="V69" s="106">
        <f t="shared" si="228"/>
        <v>0</v>
      </c>
      <c r="W69" s="106">
        <f t="shared" si="229"/>
        <v>17.592269999999708</v>
      </c>
      <c r="X69" s="107">
        <f t="shared" si="230"/>
        <v>0</v>
      </c>
      <c r="Y69" s="107">
        <f t="shared" si="231"/>
        <v>0</v>
      </c>
      <c r="Z69" s="107">
        <f t="shared" si="232"/>
        <v>3.1754999999999471</v>
      </c>
      <c r="AA69" s="107">
        <f t="shared" si="233"/>
        <v>0</v>
      </c>
      <c r="AB69" s="108">
        <f t="shared" si="234"/>
        <v>5.54</v>
      </c>
      <c r="AC69" s="109">
        <f t="shared" si="235"/>
        <v>0</v>
      </c>
      <c r="AD69" s="109">
        <f t="shared" si="236"/>
        <v>0</v>
      </c>
      <c r="AE69" s="109">
        <f t="shared" si="237"/>
        <v>0</v>
      </c>
      <c r="AF69" s="109">
        <f t="shared" si="238"/>
        <v>8.31</v>
      </c>
      <c r="AG69" s="109">
        <f t="shared" si="239"/>
        <v>8.31</v>
      </c>
      <c r="AH69" s="109">
        <f t="shared" si="240"/>
        <v>0.9722699999997072</v>
      </c>
      <c r="AI69" s="537" t="str">
        <f t="shared" si="241"/>
        <v>NÃO</v>
      </c>
      <c r="AJ69" s="104">
        <f t="shared" si="242"/>
        <v>0</v>
      </c>
      <c r="AK69" s="104">
        <f t="shared" si="243"/>
        <v>0</v>
      </c>
      <c r="AL69" s="104">
        <f t="shared" si="244"/>
        <v>16.896093067964209</v>
      </c>
      <c r="AM69" s="102">
        <f t="shared" si="245"/>
        <v>0.27700000000000002</v>
      </c>
      <c r="AN69" s="106">
        <f t="shared" si="246"/>
        <v>0</v>
      </c>
      <c r="AO69" s="104">
        <f t="shared" si="247"/>
        <v>0</v>
      </c>
      <c r="AP69" s="104">
        <f t="shared" si="248"/>
        <v>0</v>
      </c>
      <c r="AQ69" s="104">
        <f t="shared" si="249"/>
        <v>0.7</v>
      </c>
      <c r="AR69" s="104">
        <f t="shared" si="250"/>
        <v>3.1818230679645012</v>
      </c>
      <c r="AS69" s="104">
        <f t="shared" si="251"/>
        <v>0</v>
      </c>
      <c r="AT69" s="104">
        <f t="shared" si="252"/>
        <v>0.83099999999999996</v>
      </c>
      <c r="AU69" s="104">
        <f t="shared" si="253"/>
        <v>0.83099999999999996</v>
      </c>
      <c r="AV69" s="104">
        <f t="shared" si="254"/>
        <v>0.16619999999999999</v>
      </c>
      <c r="AW69" s="104">
        <f t="shared" si="255"/>
        <v>11.775269999999708</v>
      </c>
      <c r="AX69" s="104">
        <f t="shared" si="256"/>
        <v>13.579446932035207</v>
      </c>
      <c r="AY69" s="104">
        <f t="shared" si="257"/>
        <v>11.775269999999708</v>
      </c>
      <c r="AZ69" s="104">
        <f t="shared" si="258"/>
        <v>0</v>
      </c>
      <c r="BA69" s="104">
        <f t="shared" si="207"/>
        <v>0</v>
      </c>
      <c r="BB69" s="104">
        <f t="shared" si="259"/>
        <v>0</v>
      </c>
      <c r="BC69" s="104"/>
      <c r="BD69" s="104">
        <f t="shared" si="260"/>
        <v>0</v>
      </c>
      <c r="BE69" s="108">
        <f t="shared" si="261"/>
        <v>3.1754999999999471</v>
      </c>
      <c r="BF69" s="110">
        <f t="shared" si="262"/>
        <v>0</v>
      </c>
      <c r="BG69" s="110">
        <f t="shared" si="263"/>
        <v>0</v>
      </c>
      <c r="BH69" s="105" t="str">
        <f>VLOOKUP(A69,'BOCA DE LOBO'!C:I,7,0)</f>
        <v>BOCA DE LOBO PROJETADA DUPLA</v>
      </c>
      <c r="BI69" s="104">
        <f t="shared" si="264"/>
        <v>0</v>
      </c>
      <c r="BJ69" s="104">
        <f t="shared" si="265"/>
        <v>0</v>
      </c>
      <c r="BK69" s="104">
        <f t="shared" si="266"/>
        <v>0</v>
      </c>
      <c r="BL69" s="104">
        <f t="shared" si="267"/>
        <v>0</v>
      </c>
      <c r="BM69" s="104">
        <f t="shared" si="268"/>
        <v>0</v>
      </c>
      <c r="BN69" s="104">
        <f t="shared" si="269"/>
        <v>1</v>
      </c>
      <c r="BO69" s="104">
        <f t="shared" si="270"/>
        <v>0</v>
      </c>
      <c r="BP69" s="111"/>
      <c r="BQ69" s="108">
        <f t="shared" si="271"/>
        <v>16.62</v>
      </c>
      <c r="BR69" s="108">
        <f t="shared" si="272"/>
        <v>16.62</v>
      </c>
      <c r="BS69" s="108">
        <f t="shared" si="273"/>
        <v>1.9445399999994144</v>
      </c>
      <c r="BV69" s="538">
        <f t="shared" si="208"/>
        <v>19.456499999999998</v>
      </c>
      <c r="BW69" s="538">
        <f t="shared" si="209"/>
        <v>7.7825999999999986</v>
      </c>
      <c r="BX69" s="538">
        <f t="shared" si="210"/>
        <v>3.0325999999999995</v>
      </c>
      <c r="BY69" s="538">
        <f t="shared" si="274"/>
        <v>2.5</v>
      </c>
      <c r="BZ69" s="538">
        <f t="shared" si="275"/>
        <v>2.5</v>
      </c>
      <c r="CA69" s="538">
        <f t="shared" si="276"/>
        <v>0</v>
      </c>
      <c r="CB69" s="538">
        <f t="shared" si="277"/>
        <v>0</v>
      </c>
      <c r="CC69" s="538">
        <f t="shared" si="278"/>
        <v>11.673899999999998</v>
      </c>
      <c r="CD69" s="538">
        <f t="shared" si="279"/>
        <v>7.7825999999999986</v>
      </c>
      <c r="CE69" s="538">
        <f t="shared" si="280"/>
        <v>0</v>
      </c>
      <c r="CF69" s="538">
        <f t="shared" si="281"/>
        <v>0</v>
      </c>
      <c r="CG69" s="538">
        <f t="shared" si="282"/>
        <v>0</v>
      </c>
      <c r="CH69" s="538">
        <f t="shared" si="283"/>
        <v>0</v>
      </c>
      <c r="CI69" s="104">
        <f t="shared" si="211"/>
        <v>0.53549999999999998</v>
      </c>
      <c r="CJ69" s="538">
        <f t="shared" si="284"/>
        <v>11.339499999999997</v>
      </c>
      <c r="CK69" s="538">
        <f t="shared" si="212"/>
        <v>11.339499999999997</v>
      </c>
      <c r="CL69" s="538">
        <f t="shared" si="285"/>
        <v>0</v>
      </c>
      <c r="CM69" s="538">
        <f t="shared" si="286"/>
        <v>0</v>
      </c>
      <c r="CN69" s="538">
        <f t="shared" si="213"/>
        <v>3.57</v>
      </c>
      <c r="CO69" s="538">
        <f t="shared" si="287"/>
        <v>2.5</v>
      </c>
      <c r="CP69" s="538">
        <f t="shared" si="288"/>
        <v>10.709999999999999</v>
      </c>
      <c r="CQ69" s="538">
        <f t="shared" si="289"/>
        <v>7.14</v>
      </c>
      <c r="CR69" s="539">
        <f t="shared" si="290"/>
        <v>0</v>
      </c>
      <c r="CS69" s="540">
        <f t="shared" si="214"/>
        <v>0</v>
      </c>
      <c r="CT69" s="540">
        <f t="shared" si="215"/>
        <v>0.33012999999999998</v>
      </c>
      <c r="CU69" s="541">
        <f t="shared" si="216"/>
        <v>13</v>
      </c>
      <c r="CV69" s="538">
        <f t="shared" si="217"/>
        <v>1.43895</v>
      </c>
      <c r="CW69" s="538">
        <f t="shared" si="218"/>
        <v>23.248199999999997</v>
      </c>
      <c r="CX69" s="104">
        <f t="shared" si="219"/>
        <v>3.57</v>
      </c>
      <c r="CY69" s="542">
        <f t="shared" si="291"/>
        <v>1.7849999999999999</v>
      </c>
      <c r="CZ69" s="538">
        <f t="shared" si="292"/>
        <v>2.4513847475961154E-2</v>
      </c>
      <c r="DC69" s="112" t="s">
        <v>1552</v>
      </c>
      <c r="DD69" s="112" t="b">
        <f t="shared" si="128"/>
        <v>0</v>
      </c>
    </row>
    <row r="70" spans="1:108" s="112" customFormat="1" ht="25" x14ac:dyDescent="0.25">
      <c r="A70" s="100" t="str">
        <f>'BOCA DE LOBO'!C68</f>
        <v>BL65-&gt;PV5-23</v>
      </c>
      <c r="B70" s="100" t="str">
        <f>'BOCA DE LOBO'!A68</f>
        <v>PV5-23</v>
      </c>
      <c r="C70" s="100" t="str">
        <f>VLOOKUP(A70,'BOCA DE LOBO'!C:F,3,0)</f>
        <v>EXISTENTE</v>
      </c>
      <c r="D70" s="100" t="str">
        <f>VLOOKUP(A70,'BOCA DE LOBO'!C:L,10,0)</f>
        <v>EXISTENTE</v>
      </c>
      <c r="E70" s="100">
        <f t="shared" si="220"/>
        <v>2.5</v>
      </c>
      <c r="F70" s="100">
        <f>VLOOKUP(A70,'BOCA DE LOBO'!C:D,2,0)</f>
        <v>4.0559999999999263</v>
      </c>
      <c r="G70" s="100">
        <f>VLOOKUP(A70,'BOCA DE LOBO'!C:F,4,0)</f>
        <v>5.52</v>
      </c>
      <c r="H70" s="101">
        <v>400</v>
      </c>
      <c r="I70" s="102">
        <f t="shared" si="221"/>
        <v>3.4079999999999631</v>
      </c>
      <c r="J70" s="102">
        <f t="shared" si="222"/>
        <v>0</v>
      </c>
      <c r="K70" s="103">
        <v>0</v>
      </c>
      <c r="L70" s="104">
        <f t="shared" si="223"/>
        <v>0</v>
      </c>
      <c r="M70" s="104">
        <f t="shared" si="224"/>
        <v>0</v>
      </c>
      <c r="N70" s="104">
        <f t="shared" si="225"/>
        <v>400</v>
      </c>
      <c r="O70" s="104">
        <f t="shared" si="226"/>
        <v>0</v>
      </c>
      <c r="P70" s="105" t="s">
        <v>1999</v>
      </c>
      <c r="Q70" s="144" t="s">
        <v>2165</v>
      </c>
      <c r="R70" s="105"/>
      <c r="S70" s="105">
        <v>5</v>
      </c>
      <c r="T70" s="105">
        <v>4.3</v>
      </c>
      <c r="U70" s="104">
        <f t="shared" si="227"/>
        <v>0.05</v>
      </c>
      <c r="V70" s="106">
        <f t="shared" si="228"/>
        <v>0</v>
      </c>
      <c r="W70" s="106">
        <f t="shared" si="229"/>
        <v>0</v>
      </c>
      <c r="X70" s="107">
        <f t="shared" si="230"/>
        <v>0</v>
      </c>
      <c r="Y70" s="107">
        <f t="shared" si="231"/>
        <v>0</v>
      </c>
      <c r="Z70" s="107">
        <f t="shared" si="232"/>
        <v>3.4079999999999631</v>
      </c>
      <c r="AA70" s="107">
        <f t="shared" si="233"/>
        <v>0</v>
      </c>
      <c r="AB70" s="108">
        <f t="shared" si="234"/>
        <v>0</v>
      </c>
      <c r="AC70" s="109">
        <f t="shared" si="235"/>
        <v>0</v>
      </c>
      <c r="AD70" s="109">
        <f t="shared" si="236"/>
        <v>0</v>
      </c>
      <c r="AE70" s="109">
        <f t="shared" si="237"/>
        <v>0</v>
      </c>
      <c r="AF70" s="109">
        <f t="shared" si="238"/>
        <v>0</v>
      </c>
      <c r="AG70" s="109">
        <f t="shared" si="239"/>
        <v>0</v>
      </c>
      <c r="AH70" s="109">
        <f t="shared" si="240"/>
        <v>0</v>
      </c>
      <c r="AI70" s="537" t="str">
        <f t="shared" si="241"/>
        <v>NÃO</v>
      </c>
      <c r="AJ70" s="104">
        <f t="shared" si="242"/>
        <v>0</v>
      </c>
      <c r="AK70" s="104">
        <f t="shared" si="243"/>
        <v>0</v>
      </c>
      <c r="AL70" s="104">
        <f t="shared" si="244"/>
        <v>0</v>
      </c>
      <c r="AM70" s="102">
        <f t="shared" si="245"/>
        <v>0</v>
      </c>
      <c r="AN70" s="106">
        <f t="shared" si="246"/>
        <v>0</v>
      </c>
      <c r="AO70" s="104">
        <f t="shared" si="247"/>
        <v>0</v>
      </c>
      <c r="AP70" s="104">
        <f t="shared" si="248"/>
        <v>0</v>
      </c>
      <c r="AQ70" s="104">
        <f t="shared" si="249"/>
        <v>0.7</v>
      </c>
      <c r="AR70" s="104">
        <f t="shared" si="250"/>
        <v>0</v>
      </c>
      <c r="AS70" s="104">
        <f t="shared" si="251"/>
        <v>0</v>
      </c>
      <c r="AT70" s="104">
        <f t="shared" si="252"/>
        <v>0</v>
      </c>
      <c r="AU70" s="104">
        <f t="shared" si="253"/>
        <v>0</v>
      </c>
      <c r="AV70" s="104">
        <f t="shared" si="254"/>
        <v>0</v>
      </c>
      <c r="AW70" s="104">
        <f t="shared" si="255"/>
        <v>0</v>
      </c>
      <c r="AX70" s="104">
        <f t="shared" si="256"/>
        <v>0</v>
      </c>
      <c r="AY70" s="104">
        <f t="shared" si="257"/>
        <v>0</v>
      </c>
      <c r="AZ70" s="104">
        <f t="shared" si="258"/>
        <v>0</v>
      </c>
      <c r="BA70" s="104">
        <f t="shared" si="207"/>
        <v>0</v>
      </c>
      <c r="BB70" s="104">
        <f t="shared" si="259"/>
        <v>0</v>
      </c>
      <c r="BC70" s="104"/>
      <c r="BD70" s="104">
        <f t="shared" si="260"/>
        <v>0</v>
      </c>
      <c r="BE70" s="108">
        <f t="shared" si="261"/>
        <v>3.4079999999999631</v>
      </c>
      <c r="BF70" s="110">
        <f t="shared" si="262"/>
        <v>0</v>
      </c>
      <c r="BG70" s="110">
        <f t="shared" si="263"/>
        <v>0</v>
      </c>
      <c r="BH70" s="105" t="str">
        <f>VLOOKUP(A70,'BOCA DE LOBO'!C:I,7,0)</f>
        <v>BOCA DE LOBO EXISTENTE SIMPLES</v>
      </c>
      <c r="BI70" s="104">
        <f t="shared" si="264"/>
        <v>0</v>
      </c>
      <c r="BJ70" s="104">
        <f t="shared" si="265"/>
        <v>0</v>
      </c>
      <c r="BK70" s="104">
        <f t="shared" si="266"/>
        <v>0</v>
      </c>
      <c r="BL70" s="104">
        <f t="shared" si="267"/>
        <v>0</v>
      </c>
      <c r="BM70" s="104">
        <f t="shared" si="268"/>
        <v>0</v>
      </c>
      <c r="BN70" s="104">
        <f t="shared" si="269"/>
        <v>0</v>
      </c>
      <c r="BO70" s="104">
        <f t="shared" si="270"/>
        <v>0</v>
      </c>
      <c r="BP70" s="111"/>
      <c r="BQ70" s="108">
        <f t="shared" si="271"/>
        <v>16.559999999999999</v>
      </c>
      <c r="BR70" s="108">
        <f t="shared" si="272"/>
        <v>16.559999999999999</v>
      </c>
      <c r="BS70" s="108">
        <f t="shared" si="273"/>
        <v>4.5043199999995922</v>
      </c>
      <c r="BV70" s="538">
        <f t="shared" si="208"/>
        <v>0</v>
      </c>
      <c r="BW70" s="538">
        <f t="shared" si="209"/>
        <v>0</v>
      </c>
      <c r="BX70" s="538">
        <f t="shared" si="210"/>
        <v>0</v>
      </c>
      <c r="BY70" s="538">
        <f t="shared" si="274"/>
        <v>2.5</v>
      </c>
      <c r="BZ70" s="538">
        <f t="shared" si="275"/>
        <v>2.5</v>
      </c>
      <c r="CA70" s="538">
        <f t="shared" si="276"/>
        <v>0</v>
      </c>
      <c r="CB70" s="538">
        <f t="shared" si="277"/>
        <v>0</v>
      </c>
      <c r="CC70" s="538">
        <f t="shared" si="278"/>
        <v>0</v>
      </c>
      <c r="CD70" s="538">
        <f t="shared" si="279"/>
        <v>0</v>
      </c>
      <c r="CE70" s="538">
        <f t="shared" si="280"/>
        <v>0</v>
      </c>
      <c r="CF70" s="538">
        <f t="shared" si="281"/>
        <v>0</v>
      </c>
      <c r="CG70" s="538">
        <f t="shared" si="282"/>
        <v>0</v>
      </c>
      <c r="CH70" s="538">
        <f t="shared" si="283"/>
        <v>0</v>
      </c>
      <c r="CI70" s="104">
        <f t="shared" si="211"/>
        <v>0</v>
      </c>
      <c r="CJ70" s="538">
        <f t="shared" si="284"/>
        <v>0</v>
      </c>
      <c r="CK70" s="538">
        <f t="shared" si="212"/>
        <v>0</v>
      </c>
      <c r="CL70" s="538">
        <f t="shared" si="285"/>
        <v>0</v>
      </c>
      <c r="CM70" s="538">
        <f t="shared" si="286"/>
        <v>0</v>
      </c>
      <c r="CN70" s="538">
        <f t="shared" si="213"/>
        <v>0</v>
      </c>
      <c r="CO70" s="538">
        <f t="shared" si="287"/>
        <v>2.5</v>
      </c>
      <c r="CP70" s="538">
        <f t="shared" si="288"/>
        <v>0</v>
      </c>
      <c r="CQ70" s="538">
        <f t="shared" si="289"/>
        <v>0</v>
      </c>
      <c r="CR70" s="539">
        <f t="shared" si="290"/>
        <v>0</v>
      </c>
      <c r="CS70" s="540">
        <f t="shared" si="214"/>
        <v>0</v>
      </c>
      <c r="CT70" s="540">
        <f t="shared" si="215"/>
        <v>0</v>
      </c>
      <c r="CU70" s="541">
        <f t="shared" si="216"/>
        <v>0</v>
      </c>
      <c r="CV70" s="538">
        <f t="shared" si="217"/>
        <v>0</v>
      </c>
      <c r="CW70" s="538">
        <f t="shared" si="218"/>
        <v>0</v>
      </c>
      <c r="CX70" s="104">
        <f t="shared" si="219"/>
        <v>0</v>
      </c>
      <c r="CY70" s="542">
        <f t="shared" si="291"/>
        <v>0</v>
      </c>
      <c r="CZ70" s="538">
        <f t="shared" si="292"/>
        <v>0</v>
      </c>
      <c r="DC70" s="112" t="s">
        <v>1525</v>
      </c>
      <c r="DD70" s="112" t="b">
        <f t="shared" si="128"/>
        <v>0</v>
      </c>
    </row>
    <row r="71" spans="1:108" s="112" customFormat="1" ht="25" x14ac:dyDescent="0.25">
      <c r="A71" s="100" t="str">
        <f>'BOCA DE LOBO'!C69</f>
        <v>BL66-&gt;PV6-23</v>
      </c>
      <c r="B71" s="100" t="str">
        <f>'BOCA DE LOBO'!A69</f>
        <v>PV6-23</v>
      </c>
      <c r="C71" s="100" t="str">
        <f>VLOOKUP(A71,'BOCA DE LOBO'!C:F,3,0)</f>
        <v>EXISTENTE</v>
      </c>
      <c r="D71" s="100" t="str">
        <f>VLOOKUP(A71,'BOCA DE LOBO'!C:L,10,0)</f>
        <v>EXISTENTE</v>
      </c>
      <c r="E71" s="100">
        <f t="shared" si="220"/>
        <v>2.5</v>
      </c>
      <c r="F71" s="100">
        <f>VLOOKUP(A71,'BOCA DE LOBO'!C:D,2,0)</f>
        <v>4.0999999999999091</v>
      </c>
      <c r="G71" s="100">
        <f>VLOOKUP(A71,'BOCA DE LOBO'!C:F,4,0)</f>
        <v>5.53</v>
      </c>
      <c r="H71" s="101">
        <v>400</v>
      </c>
      <c r="I71" s="102">
        <f t="shared" si="221"/>
        <v>3.4299999999999544</v>
      </c>
      <c r="J71" s="102">
        <f t="shared" si="222"/>
        <v>0</v>
      </c>
      <c r="K71" s="103">
        <v>0</v>
      </c>
      <c r="L71" s="104">
        <f t="shared" si="223"/>
        <v>0</v>
      </c>
      <c r="M71" s="104">
        <f t="shared" si="224"/>
        <v>0</v>
      </c>
      <c r="N71" s="104">
        <f t="shared" si="225"/>
        <v>400</v>
      </c>
      <c r="O71" s="104">
        <f t="shared" si="226"/>
        <v>0</v>
      </c>
      <c r="P71" s="105" t="s">
        <v>1999</v>
      </c>
      <c r="Q71" s="144" t="s">
        <v>2162</v>
      </c>
      <c r="R71" s="105"/>
      <c r="S71" s="105">
        <v>5</v>
      </c>
      <c r="T71" s="105">
        <v>5</v>
      </c>
      <c r="U71" s="104">
        <f t="shared" si="227"/>
        <v>0.05</v>
      </c>
      <c r="V71" s="106">
        <f t="shared" si="228"/>
        <v>0</v>
      </c>
      <c r="W71" s="106">
        <f t="shared" si="229"/>
        <v>0</v>
      </c>
      <c r="X71" s="107">
        <f t="shared" si="230"/>
        <v>0</v>
      </c>
      <c r="Y71" s="107">
        <f t="shared" si="231"/>
        <v>0</v>
      </c>
      <c r="Z71" s="107">
        <f t="shared" si="232"/>
        <v>3.4299999999999544</v>
      </c>
      <c r="AA71" s="107">
        <f t="shared" si="233"/>
        <v>0</v>
      </c>
      <c r="AB71" s="108">
        <f t="shared" si="234"/>
        <v>0</v>
      </c>
      <c r="AC71" s="109">
        <f t="shared" si="235"/>
        <v>0</v>
      </c>
      <c r="AD71" s="109">
        <f t="shared" si="236"/>
        <v>0</v>
      </c>
      <c r="AE71" s="109">
        <f t="shared" si="237"/>
        <v>0</v>
      </c>
      <c r="AF71" s="109">
        <f t="shared" si="238"/>
        <v>0</v>
      </c>
      <c r="AG71" s="109">
        <f t="shared" si="239"/>
        <v>0</v>
      </c>
      <c r="AH71" s="109">
        <f t="shared" si="240"/>
        <v>0</v>
      </c>
      <c r="AI71" s="537" t="str">
        <f t="shared" si="241"/>
        <v>NÃO</v>
      </c>
      <c r="AJ71" s="104">
        <f t="shared" si="242"/>
        <v>0</v>
      </c>
      <c r="AK71" s="104">
        <f t="shared" si="243"/>
        <v>0</v>
      </c>
      <c r="AL71" s="104">
        <f t="shared" si="244"/>
        <v>0</v>
      </c>
      <c r="AM71" s="102">
        <f t="shared" si="245"/>
        <v>0</v>
      </c>
      <c r="AN71" s="106">
        <f t="shared" si="246"/>
        <v>0</v>
      </c>
      <c r="AO71" s="104">
        <f t="shared" si="247"/>
        <v>0</v>
      </c>
      <c r="AP71" s="104">
        <f t="shared" si="248"/>
        <v>0</v>
      </c>
      <c r="AQ71" s="104">
        <f t="shared" si="249"/>
        <v>0.7</v>
      </c>
      <c r="AR71" s="104">
        <f t="shared" si="250"/>
        <v>0</v>
      </c>
      <c r="AS71" s="104">
        <f t="shared" si="251"/>
        <v>0</v>
      </c>
      <c r="AT71" s="104">
        <f t="shared" si="252"/>
        <v>0</v>
      </c>
      <c r="AU71" s="104">
        <f t="shared" si="253"/>
        <v>0</v>
      </c>
      <c r="AV71" s="104">
        <f t="shared" si="254"/>
        <v>0</v>
      </c>
      <c r="AW71" s="104">
        <f t="shared" si="255"/>
        <v>0</v>
      </c>
      <c r="AX71" s="104">
        <f t="shared" si="256"/>
        <v>0</v>
      </c>
      <c r="AY71" s="104">
        <f t="shared" si="257"/>
        <v>0</v>
      </c>
      <c r="AZ71" s="104">
        <f t="shared" si="258"/>
        <v>0</v>
      </c>
      <c r="BA71" s="104">
        <f t="shared" si="207"/>
        <v>0</v>
      </c>
      <c r="BB71" s="104">
        <f t="shared" si="259"/>
        <v>0</v>
      </c>
      <c r="BC71" s="104"/>
      <c r="BD71" s="104">
        <f t="shared" si="260"/>
        <v>0</v>
      </c>
      <c r="BE71" s="108">
        <f t="shared" si="261"/>
        <v>3.4299999999999544</v>
      </c>
      <c r="BF71" s="110">
        <f t="shared" si="262"/>
        <v>0</v>
      </c>
      <c r="BG71" s="110">
        <f t="shared" si="263"/>
        <v>0</v>
      </c>
      <c r="BH71" s="105" t="str">
        <f>VLOOKUP(A71,'BOCA DE LOBO'!C:I,7,0)</f>
        <v>BOCA DE LOBO EXISTENTE SIMPLES</v>
      </c>
      <c r="BI71" s="104">
        <f t="shared" si="264"/>
        <v>0</v>
      </c>
      <c r="BJ71" s="104">
        <f t="shared" si="265"/>
        <v>0</v>
      </c>
      <c r="BK71" s="104">
        <f t="shared" si="266"/>
        <v>0</v>
      </c>
      <c r="BL71" s="104">
        <f t="shared" si="267"/>
        <v>0</v>
      </c>
      <c r="BM71" s="104">
        <f t="shared" si="268"/>
        <v>0</v>
      </c>
      <c r="BN71" s="104">
        <f t="shared" si="269"/>
        <v>0</v>
      </c>
      <c r="BO71" s="104">
        <f t="shared" si="270"/>
        <v>0</v>
      </c>
      <c r="BP71" s="111"/>
      <c r="BQ71" s="108">
        <f t="shared" si="271"/>
        <v>16.59</v>
      </c>
      <c r="BR71" s="108">
        <f t="shared" si="272"/>
        <v>16.59</v>
      </c>
      <c r="BS71" s="108">
        <f t="shared" si="273"/>
        <v>4.7557999999994962</v>
      </c>
      <c r="BV71" s="538">
        <f t="shared" si="208"/>
        <v>0</v>
      </c>
      <c r="BW71" s="538">
        <f t="shared" si="209"/>
        <v>0</v>
      </c>
      <c r="BX71" s="538">
        <f t="shared" si="210"/>
        <v>0</v>
      </c>
      <c r="BY71" s="538">
        <f t="shared" si="274"/>
        <v>2.5</v>
      </c>
      <c r="BZ71" s="538">
        <f t="shared" si="275"/>
        <v>2.5</v>
      </c>
      <c r="CA71" s="538">
        <f t="shared" si="276"/>
        <v>0</v>
      </c>
      <c r="CB71" s="538">
        <f t="shared" si="277"/>
        <v>0</v>
      </c>
      <c r="CC71" s="538">
        <f t="shared" si="278"/>
        <v>0</v>
      </c>
      <c r="CD71" s="538">
        <f t="shared" si="279"/>
        <v>0</v>
      </c>
      <c r="CE71" s="538">
        <f t="shared" si="280"/>
        <v>0</v>
      </c>
      <c r="CF71" s="538">
        <f t="shared" si="281"/>
        <v>0</v>
      </c>
      <c r="CG71" s="538">
        <f t="shared" si="282"/>
        <v>0</v>
      </c>
      <c r="CH71" s="538">
        <f t="shared" si="283"/>
        <v>0</v>
      </c>
      <c r="CI71" s="104">
        <f t="shared" si="211"/>
        <v>0</v>
      </c>
      <c r="CJ71" s="538">
        <f t="shared" si="284"/>
        <v>0</v>
      </c>
      <c r="CK71" s="538">
        <f t="shared" si="212"/>
        <v>0</v>
      </c>
      <c r="CL71" s="538">
        <f t="shared" si="285"/>
        <v>0</v>
      </c>
      <c r="CM71" s="538">
        <f t="shared" si="286"/>
        <v>0</v>
      </c>
      <c r="CN71" s="538">
        <f t="shared" si="213"/>
        <v>0</v>
      </c>
      <c r="CO71" s="538">
        <f t="shared" si="287"/>
        <v>2.5</v>
      </c>
      <c r="CP71" s="538">
        <f t="shared" si="288"/>
        <v>0</v>
      </c>
      <c r="CQ71" s="538">
        <f t="shared" si="289"/>
        <v>0</v>
      </c>
      <c r="CR71" s="539">
        <f t="shared" si="290"/>
        <v>0</v>
      </c>
      <c r="CS71" s="540">
        <f t="shared" si="214"/>
        <v>0</v>
      </c>
      <c r="CT71" s="540">
        <f t="shared" si="215"/>
        <v>0</v>
      </c>
      <c r="CU71" s="541">
        <f t="shared" si="216"/>
        <v>0</v>
      </c>
      <c r="CV71" s="538">
        <f t="shared" si="217"/>
        <v>0</v>
      </c>
      <c r="CW71" s="538">
        <f t="shared" si="218"/>
        <v>0</v>
      </c>
      <c r="CX71" s="104">
        <f t="shared" si="219"/>
        <v>0</v>
      </c>
      <c r="CY71" s="542">
        <f t="shared" si="291"/>
        <v>0</v>
      </c>
      <c r="CZ71" s="538">
        <f t="shared" si="292"/>
        <v>0</v>
      </c>
      <c r="DC71" s="112" t="s">
        <v>1525</v>
      </c>
      <c r="DD71" s="112" t="b">
        <f t="shared" si="128"/>
        <v>0</v>
      </c>
    </row>
    <row r="72" spans="1:108" s="112" customFormat="1" ht="25" x14ac:dyDescent="0.25">
      <c r="A72" s="100" t="str">
        <f>'BOCA DE LOBO'!C70</f>
        <v>BL67-&gt;PV1-24</v>
      </c>
      <c r="B72" s="100" t="str">
        <f>'BOCA DE LOBO'!A70</f>
        <v>PV1-24</v>
      </c>
      <c r="C72" s="100" t="str">
        <f>VLOOKUP(A72,'BOCA DE LOBO'!C:F,3,0)</f>
        <v>EXISTENTE</v>
      </c>
      <c r="D72" s="100" t="str">
        <f>VLOOKUP(A72,'BOCA DE LOBO'!C:L,10,0)</f>
        <v>PROJETADA</v>
      </c>
      <c r="E72" s="100">
        <f t="shared" si="220"/>
        <v>0.79679999999999995</v>
      </c>
      <c r="F72" s="100">
        <f>VLOOKUP(A72,'BOCA DE LOBO'!C:D,2,0)</f>
        <v>1</v>
      </c>
      <c r="G72" s="100">
        <f>VLOOKUP(A72,'BOCA DE LOBO'!C:F,4,0)</f>
        <v>5.08</v>
      </c>
      <c r="H72" s="101">
        <v>400</v>
      </c>
      <c r="I72" s="102">
        <f t="shared" si="221"/>
        <v>1.0284</v>
      </c>
      <c r="J72" s="102">
        <f t="shared" si="222"/>
        <v>0</v>
      </c>
      <c r="K72" s="103">
        <v>0</v>
      </c>
      <c r="L72" s="104">
        <f t="shared" si="223"/>
        <v>1</v>
      </c>
      <c r="M72" s="104">
        <f t="shared" si="224"/>
        <v>1</v>
      </c>
      <c r="N72" s="104">
        <f t="shared" si="225"/>
        <v>0</v>
      </c>
      <c r="O72" s="104">
        <f t="shared" si="226"/>
        <v>5.08</v>
      </c>
      <c r="P72" s="105" t="s">
        <v>1999</v>
      </c>
      <c r="Q72" s="144" t="s">
        <v>2166</v>
      </c>
      <c r="R72" s="105"/>
      <c r="S72" s="105">
        <v>5</v>
      </c>
      <c r="T72" s="105">
        <v>3.7</v>
      </c>
      <c r="U72" s="104">
        <f t="shared" si="227"/>
        <v>0.05</v>
      </c>
      <c r="V72" s="106">
        <f t="shared" si="228"/>
        <v>0</v>
      </c>
      <c r="W72" s="106">
        <f t="shared" si="229"/>
        <v>5.224272</v>
      </c>
      <c r="X72" s="107">
        <f t="shared" si="230"/>
        <v>0</v>
      </c>
      <c r="Y72" s="107">
        <f t="shared" si="231"/>
        <v>0</v>
      </c>
      <c r="Z72" s="107">
        <f t="shared" si="232"/>
        <v>1.0284</v>
      </c>
      <c r="AA72" s="107">
        <f t="shared" si="233"/>
        <v>0</v>
      </c>
      <c r="AB72" s="108">
        <f t="shared" si="234"/>
        <v>5.08</v>
      </c>
      <c r="AC72" s="109">
        <f t="shared" si="235"/>
        <v>0</v>
      </c>
      <c r="AD72" s="109">
        <f t="shared" si="236"/>
        <v>0</v>
      </c>
      <c r="AE72" s="109">
        <f t="shared" si="237"/>
        <v>0</v>
      </c>
      <c r="AF72" s="109">
        <f t="shared" si="238"/>
        <v>5.224272</v>
      </c>
      <c r="AG72" s="109">
        <f t="shared" si="239"/>
        <v>0</v>
      </c>
      <c r="AH72" s="109">
        <f t="shared" si="240"/>
        <v>0</v>
      </c>
      <c r="AI72" s="537" t="str">
        <f t="shared" si="241"/>
        <v>NÃO</v>
      </c>
      <c r="AJ72" s="104">
        <f t="shared" si="242"/>
        <v>0</v>
      </c>
      <c r="AK72" s="104">
        <f t="shared" si="243"/>
        <v>0</v>
      </c>
      <c r="AL72" s="104">
        <f t="shared" si="244"/>
        <v>4.5859003727905536</v>
      </c>
      <c r="AM72" s="102">
        <f t="shared" si="245"/>
        <v>0.254</v>
      </c>
      <c r="AN72" s="106">
        <f t="shared" si="246"/>
        <v>0</v>
      </c>
      <c r="AO72" s="104">
        <f t="shared" si="247"/>
        <v>0</v>
      </c>
      <c r="AP72" s="104">
        <f t="shared" si="248"/>
        <v>0</v>
      </c>
      <c r="AQ72" s="104">
        <f t="shared" si="249"/>
        <v>0.7</v>
      </c>
      <c r="AR72" s="104">
        <f t="shared" si="250"/>
        <v>2.9176283727905536</v>
      </c>
      <c r="AS72" s="104">
        <f t="shared" si="251"/>
        <v>0</v>
      </c>
      <c r="AT72" s="104">
        <f t="shared" si="252"/>
        <v>0.76200000000000001</v>
      </c>
      <c r="AU72" s="104">
        <f t="shared" si="253"/>
        <v>0.76200000000000001</v>
      </c>
      <c r="AV72" s="104">
        <f t="shared" si="254"/>
        <v>0.15240000000000001</v>
      </c>
      <c r="AW72" s="104">
        <f t="shared" si="255"/>
        <v>-0.10972800000000049</v>
      </c>
      <c r="AX72" s="104">
        <f t="shared" si="256"/>
        <v>1.5446436272094468</v>
      </c>
      <c r="AY72" s="104">
        <f t="shared" si="257"/>
        <v>-0.10972800000000049</v>
      </c>
      <c r="AZ72" s="104">
        <f t="shared" si="258"/>
        <v>0</v>
      </c>
      <c r="BA72" s="104">
        <f t="shared" si="207"/>
        <v>0</v>
      </c>
      <c r="BB72" s="104">
        <f t="shared" si="259"/>
        <v>0</v>
      </c>
      <c r="BC72" s="104"/>
      <c r="BD72" s="104">
        <f t="shared" si="260"/>
        <v>0</v>
      </c>
      <c r="BE72" s="108">
        <f t="shared" si="261"/>
        <v>1.0284</v>
      </c>
      <c r="BF72" s="110">
        <f t="shared" si="262"/>
        <v>5.08</v>
      </c>
      <c r="BG72" s="110">
        <f t="shared" si="263"/>
        <v>0</v>
      </c>
      <c r="BH72" s="105" t="str">
        <f>VLOOKUP(A72,'BOCA DE LOBO'!C:I,7,0)</f>
        <v>BOCA DE LOBO PROJETADA QUADRUPLA</v>
      </c>
      <c r="BI72" s="104">
        <f t="shared" si="264"/>
        <v>0</v>
      </c>
      <c r="BJ72" s="104">
        <f t="shared" si="265"/>
        <v>0</v>
      </c>
      <c r="BK72" s="104">
        <f t="shared" si="266"/>
        <v>0</v>
      </c>
      <c r="BL72" s="104">
        <f t="shared" si="267"/>
        <v>0</v>
      </c>
      <c r="BM72" s="104">
        <f t="shared" si="268"/>
        <v>0</v>
      </c>
      <c r="BN72" s="104">
        <f t="shared" si="269"/>
        <v>0</v>
      </c>
      <c r="BO72" s="104">
        <f t="shared" si="270"/>
        <v>0</v>
      </c>
      <c r="BP72" s="111"/>
      <c r="BQ72" s="108">
        <f t="shared" si="271"/>
        <v>10.448544</v>
      </c>
      <c r="BR72" s="108">
        <f t="shared" si="272"/>
        <v>0</v>
      </c>
      <c r="BS72" s="108">
        <f t="shared" si="273"/>
        <v>0</v>
      </c>
      <c r="BV72" s="538">
        <f t="shared" si="208"/>
        <v>10.283182079999998</v>
      </c>
      <c r="BW72" s="538">
        <f t="shared" si="209"/>
        <v>12.905599999999998</v>
      </c>
      <c r="BX72" s="538">
        <f>IF(OR("BOCA DE LOBO EXISTENTE TRIPLA"=BH72,"BOCA DE LOBO EXISTENTE SIMPLES"=BH72,"BOCA DE LOBO EXISTENTE DUPLA"=BH72),0,IF("BOCA DE LOBO PROJETADA DUPLA"=BH72,(2.57)*(1.18),IF(OR("BOCA DE LOBO DUPLA EXISTENTE COM BOCA DE LOBO SIMPLES PROJETADA"=BH72,"BOCA DE LOBO SIMPLES EXISTENTE COM BOCA DE LOBO SIMPLES PROJETADA"=BH72),(1.18)*(1.18),IF(OR(BH72="BOCA DE LOBO DUPLA EXISTENTE COM BOCA DE LOBO DUPLA PROJETADA",BH72="BOCA DE LOBO SIMPLES EXISTENTE COM BOCA DE LOBO DUPLA PROJETADA"),(2.38)*(1.18),IF("BOCA DE LOBO PROJETADA TRIPLA"=BH72,(3.76)*(1.18),IF("BOCA DE LOBO PROJETADA QUADRUPLA"=BH72,(4.92)*(1.18),"X"))))))</f>
        <v>5.8055999999999992</v>
      </c>
      <c r="BY72" s="538">
        <f t="shared" si="274"/>
        <v>0.79679999999999995</v>
      </c>
      <c r="BZ72" s="538">
        <f t="shared" si="275"/>
        <v>0.79679999999999995</v>
      </c>
      <c r="CA72" s="538">
        <f t="shared" si="276"/>
        <v>0</v>
      </c>
      <c r="CB72" s="538">
        <f t="shared" si="277"/>
        <v>0</v>
      </c>
      <c r="CC72" s="538">
        <f t="shared" si="278"/>
        <v>10.283182079999998</v>
      </c>
      <c r="CD72" s="538">
        <f t="shared" si="279"/>
        <v>0</v>
      </c>
      <c r="CE72" s="538">
        <f t="shared" si="280"/>
        <v>0</v>
      </c>
      <c r="CF72" s="538">
        <f t="shared" si="281"/>
        <v>0</v>
      </c>
      <c r="CG72" s="538">
        <f t="shared" si="282"/>
        <v>0</v>
      </c>
      <c r="CH72" s="538">
        <f t="shared" si="283"/>
        <v>0</v>
      </c>
      <c r="CI72" s="104">
        <f t="shared" si="211"/>
        <v>0.88800000000000001</v>
      </c>
      <c r="CJ72" s="538">
        <f t="shared" si="284"/>
        <v>4.7692799999999984</v>
      </c>
      <c r="CK72" s="538">
        <f t="shared" si="212"/>
        <v>4.7692799999999984</v>
      </c>
      <c r="CL72" s="538">
        <f t="shared" si="285"/>
        <v>0</v>
      </c>
      <c r="CM72" s="538">
        <f t="shared" si="286"/>
        <v>0</v>
      </c>
      <c r="CN72" s="538">
        <f t="shared" si="213"/>
        <v>5.92</v>
      </c>
      <c r="CO72" s="538">
        <f t="shared" si="287"/>
        <v>0.79679999999999995</v>
      </c>
      <c r="CP72" s="538">
        <f t="shared" si="288"/>
        <v>9.4341119999999989</v>
      </c>
      <c r="CQ72" s="538">
        <f t="shared" si="289"/>
        <v>0</v>
      </c>
      <c r="CR72" s="539">
        <f t="shared" si="290"/>
        <v>0</v>
      </c>
      <c r="CS72" s="540">
        <f t="shared" si="214"/>
        <v>0</v>
      </c>
      <c r="CT72" s="540">
        <f t="shared" si="215"/>
        <v>0.58627999999999991</v>
      </c>
      <c r="CU72" s="541">
        <f t="shared" si="216"/>
        <v>7.3305599999999993</v>
      </c>
      <c r="CV72" s="538">
        <f t="shared" si="217"/>
        <v>1.6695096</v>
      </c>
      <c r="CW72" s="538">
        <f t="shared" si="218"/>
        <v>15.895488</v>
      </c>
      <c r="CX72" s="104">
        <f t="shared" si="219"/>
        <v>5.92</v>
      </c>
      <c r="CY72" s="542">
        <f t="shared" si="291"/>
        <v>2.96</v>
      </c>
      <c r="CZ72" s="538">
        <f t="shared" si="292"/>
        <v>2.4513847475961154E-2</v>
      </c>
      <c r="DC72" s="112" t="s">
        <v>1529</v>
      </c>
      <c r="DD72" s="112" t="b">
        <f t="shared" si="128"/>
        <v>0</v>
      </c>
    </row>
    <row r="73" spans="1:108" s="112" customFormat="1" ht="25" x14ac:dyDescent="0.25">
      <c r="A73" s="100" t="str">
        <f>'BOCA DE LOBO'!C71</f>
        <v>BL63-&gt;PV2-24</v>
      </c>
      <c r="B73" s="100" t="str">
        <f>'BOCA DE LOBO'!A71</f>
        <v>PV2-24</v>
      </c>
      <c r="C73" s="100" t="str">
        <f>VLOOKUP(A73,'BOCA DE LOBO'!C:F,3,0)</f>
        <v>EXISTENTE</v>
      </c>
      <c r="D73" s="100" t="str">
        <f>VLOOKUP(A73,'BOCA DE LOBO'!C:L,10,0)</f>
        <v>PROJETADA</v>
      </c>
      <c r="E73" s="100">
        <f>IF(F73-G73*4%&lt;2.5,F73-G73*4%,2.5)</f>
        <v>2.5</v>
      </c>
      <c r="F73" s="100">
        <f>VLOOKUP(A73,'BOCA DE LOBO'!C:D,2,0)</f>
        <v>2.7399999999998954</v>
      </c>
      <c r="G73" s="100">
        <f>VLOOKUP(A73,'BOCA DE LOBO'!C:F,4,0)</f>
        <v>5.34</v>
      </c>
      <c r="H73" s="101">
        <v>400</v>
      </c>
      <c r="I73" s="102">
        <f>IF(H73=400,((E73+F73)/2)+0.08+U73,IF(H73=500,((E73+F73)/2)+0.1+U73,IF(H73=600,((E73+F73)/2)+0.12+U73,IF(H73=800,((E73+F73)/2)+0.16+U73,IF(H73=1000,((E73+F73)/2)+0.2+U73,IF(H73=1200,((E73+F73)/2)+0.24+U73,IF(H73=1500,((E73+F73)/2)+0.3+U73,IF(H73&gt;1500,((E73+F73)/2)+0.4+U73))))))))</f>
        <v>2.7499999999999476</v>
      </c>
      <c r="J73" s="102">
        <f>IF(L73=0,0,IF(I73&gt;=1.25,G73*I73/20,0))</f>
        <v>0.73424999999998597</v>
      </c>
      <c r="K73" s="103">
        <v>0</v>
      </c>
      <c r="L73" s="104">
        <f>IF(D73&lt;&gt;"PROJETADA",0,IF(H73=400,1,0)+IF(H73=500,1.2,0)+IF(H73=600,1.4,0)+IF(H73=800,1.7,0)+IF(H73=1000,2,0)+IF(H73=1200,2.2,0)+IF(H73=1500,2.6,0)+IF(H73=1650,3,0)+IF(H73=1800,3.2,0)+IF(H73=2000,3.4,0)+IF(H73=2200,3.6,0)+IF(H73=2400,3.8,0)+IF(H73=2600,4,0)+IF(H73=3000,4.4,0))</f>
        <v>1</v>
      </c>
      <c r="M73" s="104">
        <f>2*K73*I73+L73</f>
        <v>1</v>
      </c>
      <c r="N73" s="104">
        <f>IF(OR(D73="EXISTENTE",D73="AMPLIADA"),400,0)</f>
        <v>0</v>
      </c>
      <c r="O73" s="104">
        <f>IF(P73="TERRENO NATURAL",0,M73*G73)</f>
        <v>5.34</v>
      </c>
      <c r="P73" s="105" t="s">
        <v>1999</v>
      </c>
      <c r="Q73" s="144" t="s">
        <v>2165</v>
      </c>
      <c r="R73" s="105"/>
      <c r="S73" s="105">
        <v>5</v>
      </c>
      <c r="T73" s="105">
        <v>4.3</v>
      </c>
      <c r="U73" s="104">
        <f>IF(H73=400,0.05,0)+IF(H73=500,0.05,0)+IF(H73=600,0.1,0)+IF(H73=800,0.1,0)+IF(H73=1000,0.15,0)+IF(H73=1200,0.15,0)+IF(H73=1500,0.2,0)+IF(H73=1650,0.2,0)+IF(H73=1800,0.2,0)+IF(H73=2000,0.25,0)+IF(H73=2200,0.25,0)+IF(H73=2400,0.25,0)+IF(H73=2600,0.25,0)+IF(H73=3000,0.25,0)</f>
        <v>0.05</v>
      </c>
      <c r="V73" s="106">
        <f>IF(L73=0,0,IF("EXISTENTE"=C73,0,IFERROR((PI()*(N73/1000)*(N73/1000)/4)*G73,0)))</f>
        <v>0</v>
      </c>
      <c r="W73" s="106">
        <f>IF(O73=0,0,((((K73*I73)*I73)/2)*2+L73*I73)*G73-V73+AO73)</f>
        <v>14.68499999999972</v>
      </c>
      <c r="X73" s="107">
        <f>W73-SUM(AC73:AJ73)</f>
        <v>0</v>
      </c>
      <c r="Y73" s="107">
        <f>IF(R73=1,IF(N73=0,I73+0.4,0.4),0)</f>
        <v>0</v>
      </c>
      <c r="Z73" s="107">
        <f>IF(Y73&gt;0.5,0,IF(S73&lt;I73,S73,I73))</f>
        <v>2.7499999999999476</v>
      </c>
      <c r="AA73" s="107">
        <f>I73-Z73</f>
        <v>0</v>
      </c>
      <c r="AB73" s="108">
        <f>IF(P73="ASFALTO",IF(D73="PROJETADA",O73,IF(D73="EXISTENTE",0,O73/2)),0)</f>
        <v>5.34</v>
      </c>
      <c r="AC73" s="109">
        <f>IF(Y73=0,0,IF(Y73=0.4,IF(L73&lt;=1.5,IF(Z73+0.4&gt;=1.5,0,L73*G73*0.4),0),IF(L73&lt;=1.5,IF(Y73&gt;=1.5,M73*G73*1.5,L73*G73*(Y73)),0)+IF(S73&lt;I73+0.4,0,IF(AND(Y73&lt;=1.5,L73&lt;=1.5),-V73,0))))</f>
        <v>0</v>
      </c>
      <c r="AD73" s="109">
        <f>IF(Y73=0,0,IF(Y73=0.4,IF(L73&lt;=1.5,IF(OR(Z73+0.4&gt;=3,Z73+0.4&lt;1.5),0,L73*G73*0.4),0),IF(IF(L73&lt;=1.5,IF(Y73&gt;=3,M73*G73*1.5,L73*G73*(Y73-1.5)),0)&lt;0,0,IF(L73&lt;=1.5,IF(Y73&gt;=3,M73*G73*1.5,L73*G73*(Y73-1.5)),0))+IF(S73&lt;I73+0.4,0,IF(AND(Y73&lt;=3,L73&lt;=1.5),-V73,0))))</f>
        <v>0</v>
      </c>
      <c r="AE73" s="109">
        <f>IF(Y73=0,0,IF(Y73=0.4,IF(L73&lt;=1.5,IF(OR(Z73+0.4&gt;=4.5,Z73+0.4&lt;3),0,L73*G73*0.4),0),IF(IF(L73&lt;=1.5,IF(Y73&gt;=4.5,M73*G73*1.5,L73*G73*(Y73-3)),0)&lt;0,0,IF(L73&lt;=1.5,IF(Y73&gt;=4.5,M73*G73*1.5,L73*G73*(Y73-3)),0))+IF(S73&lt;I73+0.4,0,IF(AND(Y73&lt;=4.5,L73&lt;=1.5),-V73,0))))</f>
        <v>0</v>
      </c>
      <c r="AF73" s="109">
        <f>IF(L73&lt;=1.5,IF(Z73&gt;=1.5,M73*G73*1.5,L73*G73*Z73),0)+IF(S73&lt;I73,0,IF(AND(Z73&lt;=1.5,L73&lt;=1.5),-V73,0))</f>
        <v>8.01</v>
      </c>
      <c r="AG73" s="109">
        <f>IF(IF(L73&lt;=1.5,IF(Z73&gt;=3,M73*G73*1.5,L73*G73*(Z73-1.5)),0)&lt;0,0,IF(L73&lt;=1.5,IF(Z73&gt;=3,M73*G73*1.5,L73*G73*(Z73-1.5)),0))+IF(S73&lt;I73,0,IF(AND(Z73&lt;=3,L73&lt;=1.5),-V73,0))</f>
        <v>6.67499999999972</v>
      </c>
      <c r="AH73" s="109">
        <f>IF(IF(IF(L73&lt;=1.5,IF(Z73&gt;=4.5,M73*G73*1.5,L73*G73*(Z73-3)),0)&lt;0,0,IF(L73&lt;=1.5,IF(Z73&gt;=4.5,M73*G73*1.5,L73*G73*(Z73-3)),0))+IF(S73&lt;I73,0,IF(AND(Z73&lt;=4.5,L73&lt;=1.5),-V73,0))&lt;0,0,IF(IF(L73&lt;=1.5,IF(Z73&gt;=4.5,M73*G73*1.5,L73*G73*(Z73-3)),0)&lt;0,0,IF(L73&lt;=1.5,IF(Z73&gt;=4.5,M73*G73*1.5,L73*G73*(Z73-3)),0))+IF(S73&lt;I73,0,IF(AND(Z73&lt;=4.5,L73&lt;=1.5),-V73,0)))</f>
        <v>0</v>
      </c>
      <c r="AI73" s="537" t="str">
        <f>IF(I73&gt;S73,"SIM","NÃO")</f>
        <v>NÃO</v>
      </c>
      <c r="AJ73" s="104">
        <f>W73-SUM(AC73:AH73)</f>
        <v>0</v>
      </c>
      <c r="AK73" s="104">
        <f>IF(I73-T73&lt;0,0,(I73-T73)*G73)/75</f>
        <v>0</v>
      </c>
      <c r="AL73" s="104">
        <f>IF(L73=0,0,G73*L73*I73-PI()*(H73/1000)*(H73/1000)/4*G73+AO73)</f>
        <v>14.013955809192939</v>
      </c>
      <c r="AM73" s="102">
        <f>IF(L73&lt;1.5,L73*G73*IF(H73&lt;=500,0.05,IF(H73&lt;=800,0.1,IF(H73&lt;=1200,0.15,IF(H73&gt;=1500,0.2)))),0)</f>
        <v>0.26700000000000002</v>
      </c>
      <c r="AN73" s="106">
        <f>IF(L73&gt;=1.5,L73*G73*IF(H73&lt;=500,0.05,IF(H73&lt;=800,0.1,IF(H73&lt;=1200,0.15,IF(H73&gt;=1500,0.2)))),0)</f>
        <v>0</v>
      </c>
      <c r="AO73" s="104">
        <f>IF(R73=1,0.4*G73*L73,0)</f>
        <v>0</v>
      </c>
      <c r="AP73" s="104">
        <f>IF(AO73&lt;SUM(AF73:AH73),0,AO73)</f>
        <v>0</v>
      </c>
      <c r="AQ73" s="104">
        <f>H73/1000+0.3</f>
        <v>0.7</v>
      </c>
      <c r="AR73" s="104">
        <f>IF(D73&lt;&gt;"PROJETADA",0,AQ73*L73*G73-PI()*(H73/1000*H73/1000)/4*G73)</f>
        <v>3.0669558091932196</v>
      </c>
      <c r="AS73" s="104">
        <f>IF(AR73&lt;SUM(AF73:AH73),0,AR73)</f>
        <v>0</v>
      </c>
      <c r="AT73" s="104">
        <f>IF(P73="ASFALTO",0.15*G73*L73,0)</f>
        <v>0.80099999999999993</v>
      </c>
      <c r="AU73" s="104">
        <f>AT73</f>
        <v>0.80099999999999993</v>
      </c>
      <c r="AV73" s="104">
        <f>IF(P73="ASFALTO",0.03*G73*L73,0)</f>
        <v>0.16019999999999998</v>
      </c>
      <c r="AW73" s="104">
        <f>AL73-AO73-SUM(AM73:AN73)-AT73-AU73-AR73</f>
        <v>9.0779999999997205</v>
      </c>
      <c r="AX73" s="104">
        <f>SUM(AF73:AH73)-AO73-AT73-AR73</f>
        <v>10.8170441908065</v>
      </c>
      <c r="AY73" s="104">
        <f>SMALL(AW73:AX73,1)</f>
        <v>9.0779999999997205</v>
      </c>
      <c r="AZ73" s="104">
        <f>AW73-AY73</f>
        <v>0</v>
      </c>
      <c r="BA73" s="104">
        <f t="shared" si="207"/>
        <v>0</v>
      </c>
      <c r="BB73" s="104">
        <f>AZ73-BA73</f>
        <v>0</v>
      </c>
      <c r="BC73" s="104"/>
      <c r="BD73" s="104">
        <f>IF(AO73&gt;0,4%*(AO73+AT73),0)</f>
        <v>0</v>
      </c>
      <c r="BE73" s="108">
        <f>IF(H73=400,I73,0)</f>
        <v>2.7499999999999476</v>
      </c>
      <c r="BF73" s="110">
        <f>IF(BE73&lt;=1.75,G73*IF(D73="PROJETADA",1,0),0)</f>
        <v>0</v>
      </c>
      <c r="BG73" s="110">
        <f>IF(AND(BE73&lt;=3,BE73&gt;1.75),IF(D73="PROJETADA",1,0)*G73,0)</f>
        <v>5.34</v>
      </c>
      <c r="BH73" s="105" t="str">
        <f>VLOOKUP(A73,'BOCA DE LOBO'!C:I,7,0)</f>
        <v>BOCA DE LOBO PROJETADA DUPLA</v>
      </c>
      <c r="BI73" s="104">
        <f>IF(BH73=$BI$4,1,0)</f>
        <v>0</v>
      </c>
      <c r="BJ73" s="104">
        <f>IF(BH73=$BJ$4,1,0)</f>
        <v>0</v>
      </c>
      <c r="BK73" s="104">
        <f>IF(BH73=$BK$4,1,0)</f>
        <v>0</v>
      </c>
      <c r="BL73" s="104">
        <f>IF(BH73=$BL$4,1,0)</f>
        <v>0</v>
      </c>
      <c r="BM73" s="104">
        <f>IF(BH73=$BM$4,1,0)</f>
        <v>0</v>
      </c>
      <c r="BN73" s="104">
        <f>IF(BH73=$BN$4,1,0)</f>
        <v>1</v>
      </c>
      <c r="BO73" s="104">
        <f>IF(BH73=$BO$4,1,0)</f>
        <v>0</v>
      </c>
      <c r="BP73" s="111"/>
      <c r="BQ73" s="108">
        <f>IF(L73&lt;=1.5,IF(I73+IF(R73=1,0.5,0)&lt;1.5,(I73+IF(R73=1,0.5,0))*G73*2,G73*2*1.5),0)</f>
        <v>16.02</v>
      </c>
      <c r="BR73" s="108">
        <f>IF(L73&lt;=1.5,IF(AND(I73+IF(R73=1,0.5,0)&lt;3,I73+IF(R73=1,0.5,0)&gt;1.5),(I73+IF(R73=1,0.5,0)-1.5)*G73*2,IF(I73+IF(R73=1,0.5,0)&gt;=3,(G73*2*1.5),0)),0)</f>
        <v>13.34999999999944</v>
      </c>
      <c r="BS73" s="108">
        <f>IF(L73&lt;=1.5,IF(AND(I73+IF(R73=1,0.5,0)&lt;4.5,I73+IF(R73=1,0.5,0)&gt;3),(I73+IF(R73=1,0.5,0)-3)*G73*2,IF(I73+IF(R73=1,0.5,0)&gt;=4.5,(G73*2*1.5),0)),0)</f>
        <v>0</v>
      </c>
      <c r="BV73" s="538">
        <f t="shared" si="208"/>
        <v>19.456499999999998</v>
      </c>
      <c r="BW73" s="538">
        <f t="shared" si="209"/>
        <v>7.7825999999999986</v>
      </c>
      <c r="BX73" s="538">
        <f t="shared" ref="BX73:BX95" si="293">IF(OR("BOCA DE LOBO EXISTENTE TRIPLA"=BH73,"BOCA DE LOBO EXISTENTE SIMPLES"=BH73,"BOCA DE LOBO EXISTENTE DUPLA"=BH73),0,IF("BOCA DE LOBO PROJETADA DUPLA"=BH73,(2.57)*(1.18),IF(OR("BOCA DE LOBO DUPLA EXISTENTE COM BOCA DE LOBO SIMPLES PROJETADA"=BH73,"BOCA DE LOBO SIMPLES EXISTENTE COM BOCA DE LOBO SIMPLES PROJETADA"=BH73),(1.18)*(1.18),IF(OR(BH73="BOCA DE LOBO DUPLA EXISTENTE COM BOCA DE LOBO DUPLA PROJETADA",BH73="BOCA DE LOBO SIMPLES EXISTENTE COM BOCA DE LOBO DUPLA PROJETADA"),(2.38)*(1.18),IF("BOCA DE LOBO PROJETADA TRIPLA"=BH73,(3.76)*(1.18),IF("BOCA DE LOBO PROJETADA QUADRUPLA"=BH73,(4.92)*(1.18),"X"))))))</f>
        <v>3.0325999999999995</v>
      </c>
      <c r="BY73" s="538">
        <f>E73</f>
        <v>2.5</v>
      </c>
      <c r="BZ73" s="538">
        <f>IF(Y73&gt;0.5,0,IF(S73&lt;E73,S73,E73))</f>
        <v>2.5</v>
      </c>
      <c r="CA73" s="538">
        <f>IF(Y73&gt;0.4,BY73+0.4,Y73)</f>
        <v>0</v>
      </c>
      <c r="CB73" s="538">
        <f>IF(S73&gt;E73,0,E73-S73)</f>
        <v>0</v>
      </c>
      <c r="CC73" s="538">
        <f>IF(BZ73&gt;1.5,BW73*1.5,BW73*BZ73)</f>
        <v>11.673899999999998</v>
      </c>
      <c r="CD73" s="538">
        <f>IF(BZ73&gt;1.5,BW73*(BZ73-1.5),0)</f>
        <v>7.7825999999999986</v>
      </c>
      <c r="CE73" s="538">
        <f>IF(CA73=0.4,IF(BZ73+CA73&gt;1.5,0,CA73*BW73),IF(CA73&gt;1.5,BW73*1.5,BW73*CA73))</f>
        <v>0</v>
      </c>
      <c r="CF73" s="538">
        <f>IF(CA73=0.4,IF(BZ73+CA73&lt;=1.5,0,CA73*BW73),IF(CA73&gt;1.5,BW73*(CA73-1.5),0))</f>
        <v>0</v>
      </c>
      <c r="CG73" s="538">
        <f>BV73-SUM(CC73:CF73)</f>
        <v>0</v>
      </c>
      <c r="CH73" s="538">
        <f>SUM(CC73:CG73)-BV73</f>
        <v>0</v>
      </c>
      <c r="CI73" s="104">
        <f t="shared" si="211"/>
        <v>0.53549999999999998</v>
      </c>
      <c r="CJ73" s="538">
        <f>(BW73-BX73)*(BY73+IF(CA73&gt;=0.4,0.4,0))-CI73</f>
        <v>11.339499999999997</v>
      </c>
      <c r="CK73" s="538">
        <f t="shared" si="212"/>
        <v>11.339499999999997</v>
      </c>
      <c r="CL73" s="538">
        <f>CJ73-CK73</f>
        <v>0</v>
      </c>
      <c r="CM73" s="538">
        <f>IF(CA73&gt;0,0.5*4%*BW73,0)</f>
        <v>0</v>
      </c>
      <c r="CN73" s="538">
        <f t="shared" si="213"/>
        <v>3.57</v>
      </c>
      <c r="CO73" s="538">
        <f>IF(CA73&gt;0,BY73+0.5,BY73)</f>
        <v>2.5</v>
      </c>
      <c r="CP73" s="538">
        <f>IF(CO73&gt;=1.5,CN73*1.5*2,CN73*CO73*2)</f>
        <v>10.709999999999999</v>
      </c>
      <c r="CQ73" s="538">
        <f>IF(CO73&lt;=1.5,0,IF(CO73&gt;=3,CN73*1.5*2,CN73*(CO73-1.5)*2))</f>
        <v>7.14</v>
      </c>
      <c r="CR73" s="539">
        <f>IF(D73="AMPLIADA",0.55*(E73-0.5),0)</f>
        <v>0</v>
      </c>
      <c r="CS73" s="540">
        <f t="shared" si="214"/>
        <v>0</v>
      </c>
      <c r="CT73" s="540">
        <f t="shared" si="215"/>
        <v>0.33012999999999998</v>
      </c>
      <c r="CU73" s="541">
        <f t="shared" si="216"/>
        <v>13</v>
      </c>
      <c r="CV73" s="538">
        <f t="shared" si="217"/>
        <v>1.43895</v>
      </c>
      <c r="CW73" s="538">
        <f t="shared" si="218"/>
        <v>23.248199999999997</v>
      </c>
      <c r="CX73" s="104">
        <f t="shared" si="219"/>
        <v>3.57</v>
      </c>
      <c r="CY73" s="542">
        <f>CX73*0.5</f>
        <v>1.7849999999999999</v>
      </c>
      <c r="CZ73" s="538">
        <f>IF(AND(C73="EXISTENTE",D73="PROJETADA"),PI()*0.51*0.51/4*0.12,0)</f>
        <v>2.4513847475961154E-2</v>
      </c>
      <c r="DC73" s="112" t="s">
        <v>1520</v>
      </c>
      <c r="DD73" s="112" t="b">
        <f>B73=DC73</f>
        <v>0</v>
      </c>
    </row>
    <row r="74" spans="1:108" s="112" customFormat="1" ht="25" x14ac:dyDescent="0.25">
      <c r="A74" s="100" t="str">
        <f>'BOCA DE LOBO'!C72</f>
        <v>BL64-&gt;PV2-24</v>
      </c>
      <c r="B74" s="100" t="str">
        <f>'BOCA DE LOBO'!A72</f>
        <v>PV2-24</v>
      </c>
      <c r="C74" s="100" t="str">
        <f>VLOOKUP(A74,'BOCA DE LOBO'!C:F,3,0)</f>
        <v>EXISTENTE</v>
      </c>
      <c r="D74" s="100" t="str">
        <f>VLOOKUP(A74,'BOCA DE LOBO'!C:L,10,0)</f>
        <v>PROJETADA</v>
      </c>
      <c r="E74" s="100">
        <f>IF(F74-G74*4%&lt;2.5,F74-G74*4%,2.5)</f>
        <v>2.5</v>
      </c>
      <c r="F74" s="100">
        <f>VLOOKUP(A74,'BOCA DE LOBO'!C:D,2,0)</f>
        <v>2.7399999999998954</v>
      </c>
      <c r="G74" s="100">
        <f>VLOOKUP(A74,'BOCA DE LOBO'!C:F,4,0)</f>
        <v>2.95</v>
      </c>
      <c r="H74" s="101">
        <v>400</v>
      </c>
      <c r="I74" s="102">
        <f>IF(H74=400,((E74+F74)/2)+0.08+U74,IF(H74=500,((E74+F74)/2)+0.1+U74,IF(H74=600,((E74+F74)/2)+0.12+U74,IF(H74=800,((E74+F74)/2)+0.16+U74,IF(H74=1000,((E74+F74)/2)+0.2+U74,IF(H74=1200,((E74+F74)/2)+0.24+U74,IF(H74=1500,((E74+F74)/2)+0.3+U74,IF(H74&gt;1500,((E74+F74)/2)+0.4+U74))))))))</f>
        <v>2.7499999999999476</v>
      </c>
      <c r="J74" s="102">
        <f>IF(L74=0,0,IF(I74&gt;=1.25,G74*I74/20,0))</f>
        <v>0.4056249999999923</v>
      </c>
      <c r="K74" s="103">
        <v>0</v>
      </c>
      <c r="L74" s="104">
        <f>IF(D74&lt;&gt;"PROJETADA",0,IF(H74=400,1,0)+IF(H74=500,1.2,0)+IF(H74=600,1.4,0)+IF(H74=800,1.7,0)+IF(H74=1000,2,0)+IF(H74=1200,2.2,0)+IF(H74=1500,2.6,0)+IF(H74=1650,3,0)+IF(H74=1800,3.2,0)+IF(H74=2000,3.4,0)+IF(H74=2200,3.6,0)+IF(H74=2400,3.8,0)+IF(H74=2600,4,0)+IF(H74=3000,4.4,0))</f>
        <v>1</v>
      </c>
      <c r="M74" s="104">
        <f>2*K74*I74+L74</f>
        <v>1</v>
      </c>
      <c r="N74" s="104">
        <f>IF(OR(D74="EXISTENTE",D74="AMPLIADA"),400,0)</f>
        <v>0</v>
      </c>
      <c r="O74" s="104">
        <f>IF(P74="TERRENO NATURAL",0,M74*G74)</f>
        <v>2.95</v>
      </c>
      <c r="P74" s="105" t="s">
        <v>1999</v>
      </c>
      <c r="Q74" s="144" t="s">
        <v>2165</v>
      </c>
      <c r="R74" s="105"/>
      <c r="S74" s="105">
        <v>5</v>
      </c>
      <c r="T74" s="105">
        <v>4.3</v>
      </c>
      <c r="U74" s="104">
        <f>IF(H74=400,0.05,0)+IF(H74=500,0.05,0)+IF(H74=600,0.1,0)+IF(H74=800,0.1,0)+IF(H74=1000,0.15,0)+IF(H74=1200,0.15,0)+IF(H74=1500,0.2,0)+IF(H74=1650,0.2,0)+IF(H74=1800,0.2,0)+IF(H74=2000,0.25,0)+IF(H74=2200,0.25,0)+IF(H74=2400,0.25,0)+IF(H74=2600,0.25,0)+IF(H74=3000,0.25,0)</f>
        <v>0.05</v>
      </c>
      <c r="V74" s="106">
        <f>IF(L74=0,0,IF("EXISTENTE"=C74,0,IFERROR((PI()*(N74/1000)*(N74/1000)/4)*G74,0)))</f>
        <v>0</v>
      </c>
      <c r="W74" s="106">
        <f>IF(O74=0,0,((((K74*I74)*I74)/2)*2+L74*I74)*G74-V74+AO74)</f>
        <v>8.1124999999998462</v>
      </c>
      <c r="X74" s="107">
        <f>W74-SUM(AC74:AJ74)</f>
        <v>0</v>
      </c>
      <c r="Y74" s="107">
        <f>IF(R74=1,IF(N74=0,I74+0.4,0.4),0)</f>
        <v>0</v>
      </c>
      <c r="Z74" s="107">
        <f>IF(Y74&gt;0.5,0,IF(S74&lt;I74,S74,I74))</f>
        <v>2.7499999999999476</v>
      </c>
      <c r="AA74" s="107">
        <f>I74-Z74</f>
        <v>0</v>
      </c>
      <c r="AB74" s="108">
        <f>IF(P74="ASFALTO",IF(D74="PROJETADA",O74,IF(D74="EXISTENTE",0,O74/2)),0)</f>
        <v>2.95</v>
      </c>
      <c r="AC74" s="109">
        <f>IF(Y74=0,0,IF(Y74=0.4,IF(L74&lt;=1.5,IF(Z74+0.4&gt;=1.5,0,L74*G74*0.4),0),IF(L74&lt;=1.5,IF(Y74&gt;=1.5,M74*G74*1.5,L74*G74*(Y74)),0)+IF(S74&lt;I74+0.4,0,IF(AND(Y74&lt;=1.5,L74&lt;=1.5),-V74,0))))</f>
        <v>0</v>
      </c>
      <c r="AD74" s="109">
        <f>IF(Y74=0,0,IF(Y74=0.4,IF(L74&lt;=1.5,IF(OR(Z74+0.4&gt;=3,Z74+0.4&lt;1.5),0,L74*G74*0.4),0),IF(IF(L74&lt;=1.5,IF(Y74&gt;=3,M74*G74*1.5,L74*G74*(Y74-1.5)),0)&lt;0,0,IF(L74&lt;=1.5,IF(Y74&gt;=3,M74*G74*1.5,L74*G74*(Y74-1.5)),0))+IF(S74&lt;I74+0.4,0,IF(AND(Y74&lt;=3,L74&lt;=1.5),-V74,0))))</f>
        <v>0</v>
      </c>
      <c r="AE74" s="109">
        <f>IF(Y74=0,0,IF(Y74=0.4,IF(L74&lt;=1.5,IF(OR(Z74+0.4&gt;=4.5,Z74+0.4&lt;3),0,L74*G74*0.4),0),IF(IF(L74&lt;=1.5,IF(Y74&gt;=4.5,M74*G74*1.5,L74*G74*(Y74-3)),0)&lt;0,0,IF(L74&lt;=1.5,IF(Y74&gt;=4.5,M74*G74*1.5,L74*G74*(Y74-3)),0))+IF(S74&lt;I74+0.4,0,IF(AND(Y74&lt;=4.5,L74&lt;=1.5),-V74,0))))</f>
        <v>0</v>
      </c>
      <c r="AF74" s="109">
        <f>IF(L74&lt;=1.5,IF(Z74&gt;=1.5,M74*G74*1.5,L74*G74*Z74),0)+IF(S74&lt;I74,0,IF(AND(Z74&lt;=1.5,L74&lt;=1.5),-V74,0))</f>
        <v>4.4250000000000007</v>
      </c>
      <c r="AG74" s="109">
        <f>IF(IF(L74&lt;=1.5,IF(Z74&gt;=3,M74*G74*1.5,L74*G74*(Z74-1.5)),0)&lt;0,0,IF(L74&lt;=1.5,IF(Z74&gt;=3,M74*G74*1.5,L74*G74*(Z74-1.5)),0))+IF(S74&lt;I74,0,IF(AND(Z74&lt;=3,L74&lt;=1.5),-V74,0))</f>
        <v>3.6874999999998455</v>
      </c>
      <c r="AH74" s="109">
        <f>IF(IF(IF(L74&lt;=1.5,IF(Z74&gt;=4.5,M74*G74*1.5,L74*G74*(Z74-3)),0)&lt;0,0,IF(L74&lt;=1.5,IF(Z74&gt;=4.5,M74*G74*1.5,L74*G74*(Z74-3)),0))+IF(S74&lt;I74,0,IF(AND(Z74&lt;=4.5,L74&lt;=1.5),-V74,0))&lt;0,0,IF(IF(L74&lt;=1.5,IF(Z74&gt;=4.5,M74*G74*1.5,L74*G74*(Z74-3)),0)&lt;0,0,IF(L74&lt;=1.5,IF(Z74&gt;=4.5,M74*G74*1.5,L74*G74*(Z74-3)),0))+IF(S74&lt;I74,0,IF(AND(Z74&lt;=4.5,L74&lt;=1.5),-V74,0)))</f>
        <v>0</v>
      </c>
      <c r="AI74" s="537" t="str">
        <f>IF(I74&gt;S74,"SIM","NÃO")</f>
        <v>NÃO</v>
      </c>
      <c r="AJ74" s="104">
        <f>W74-SUM(AC74:AH74)</f>
        <v>0</v>
      </c>
      <c r="AK74" s="104">
        <f>IF(I74-T74&lt;0,0,(I74-T74)*G74)/75</f>
        <v>0</v>
      </c>
      <c r="AL74" s="104">
        <f>IF(L74=0,0,G74*L74*I74-PI()*(H74/1000)*(H74/1000)/4*G74+AO74)</f>
        <v>7.7417920668762505</v>
      </c>
      <c r="AM74" s="102">
        <f>IF(L74&lt;1.5,L74*G74*IF(H74&lt;=500,0.05,IF(H74&lt;=800,0.1,IF(H74&lt;=1200,0.15,IF(H74&gt;=1500,0.2)))),0)</f>
        <v>0.14750000000000002</v>
      </c>
      <c r="AN74" s="106">
        <f>IF(L74&gt;=1.5,L74*G74*IF(H74&lt;=500,0.05,IF(H74&lt;=800,0.1,IF(H74&lt;=1200,0.15,IF(H74&gt;=1500,0.2)))),0)</f>
        <v>0</v>
      </c>
      <c r="AO74" s="104">
        <f>IF(R74=1,0.4*G74*L74,0)</f>
        <v>0</v>
      </c>
      <c r="AP74" s="104">
        <f>IF(AO74&lt;SUM(AF74:AH74),0,AO74)</f>
        <v>0</v>
      </c>
      <c r="AQ74" s="104">
        <f>H74/1000+0.3</f>
        <v>0.7</v>
      </c>
      <c r="AR74" s="104">
        <f>IF(D74&lt;&gt;"PROJETADA",0,AQ74*L74*G74-PI()*(H74/1000*H74/1000)/4*G74)</f>
        <v>1.6942920668764043</v>
      </c>
      <c r="AS74" s="104">
        <f>IF(AR74&lt;SUM(AF74:AH74),0,AR74)</f>
        <v>0</v>
      </c>
      <c r="AT74" s="104">
        <f>IF(P74="ASFALTO",0.15*G74*L74,0)</f>
        <v>0.4425</v>
      </c>
      <c r="AU74" s="104">
        <f>AT74</f>
        <v>0.4425</v>
      </c>
      <c r="AV74" s="104">
        <f>IF(P74="ASFALTO",0.03*G74*L74,0)</f>
        <v>8.8499999999999995E-2</v>
      </c>
      <c r="AW74" s="104">
        <f>AL74-AO74-SUM(AM74:AN74)-AT74-AU74-AR74</f>
        <v>5.014999999999846</v>
      </c>
      <c r="AX74" s="104">
        <f>SUM(AF74:AH74)-AO74-AT74-AR74</f>
        <v>5.9757079331234415</v>
      </c>
      <c r="AY74" s="104">
        <f>SMALL(AW74:AX74,1)</f>
        <v>5.014999999999846</v>
      </c>
      <c r="AZ74" s="104">
        <f>AW74-AY74</f>
        <v>0</v>
      </c>
      <c r="BA74" s="104">
        <f t="shared" si="207"/>
        <v>0</v>
      </c>
      <c r="BB74" s="104">
        <f>AZ74-BA74</f>
        <v>0</v>
      </c>
      <c r="BC74" s="104"/>
      <c r="BD74" s="104">
        <f>IF(AO74&gt;0,4%*(AO74+AT74),0)</f>
        <v>0</v>
      </c>
      <c r="BE74" s="108">
        <f>IF(H74=400,I74,0)</f>
        <v>2.7499999999999476</v>
      </c>
      <c r="BF74" s="110">
        <f>IF(BE74&lt;=1.75,G74*IF(D74="PROJETADA",1,0),0)</f>
        <v>0</v>
      </c>
      <c r="BG74" s="110">
        <f>IF(AND(BE74&lt;=3,BE74&gt;1.75),IF(D74="PROJETADA",1,0)*G74,0)</f>
        <v>2.95</v>
      </c>
      <c r="BH74" s="105" t="str">
        <f>VLOOKUP(A74,'BOCA DE LOBO'!C:I,7,0)</f>
        <v>BOCA DE LOBO PROJETADA DUPLA</v>
      </c>
      <c r="BI74" s="104">
        <f>IF(BH74=$BI$4,1,0)</f>
        <v>0</v>
      </c>
      <c r="BJ74" s="104">
        <f>IF(BH74=$BJ$4,1,0)</f>
        <v>0</v>
      </c>
      <c r="BK74" s="104">
        <f>IF(BH74=$BK$4,1,0)</f>
        <v>0</v>
      </c>
      <c r="BL74" s="104">
        <f>IF(BH74=$BL$4,1,0)</f>
        <v>0</v>
      </c>
      <c r="BM74" s="104">
        <f>IF(BH74=$BM$4,1,0)</f>
        <v>0</v>
      </c>
      <c r="BN74" s="104">
        <f>IF(BH74=$BN$4,1,0)</f>
        <v>1</v>
      </c>
      <c r="BO74" s="104">
        <f>IF(BH74=$BO$4,1,0)</f>
        <v>0</v>
      </c>
      <c r="BP74" s="111"/>
      <c r="BQ74" s="108">
        <f>IF(L74&lt;=1.5,IF(I74+IF(R74=1,0.5,0)&lt;1.5,(I74+IF(R74=1,0.5,0))*G74*2,G74*2*1.5),0)</f>
        <v>8.8500000000000014</v>
      </c>
      <c r="BR74" s="108">
        <f>IF(L74&lt;=1.5,IF(AND(I74+IF(R74=1,0.5,0)&lt;3,I74+IF(R74=1,0.5,0)&gt;1.5),(I74+IF(R74=1,0.5,0)-1.5)*G74*2,IF(I74+IF(R74=1,0.5,0)&gt;=3,(G74*2*1.5),0)),0)</f>
        <v>7.3749999999996909</v>
      </c>
      <c r="BS74" s="108">
        <f>IF(L74&lt;=1.5,IF(AND(I74+IF(R74=1,0.5,0)&lt;4.5,I74+IF(R74=1,0.5,0)&gt;3),(I74+IF(R74=1,0.5,0)-3)*G74*2,IF(I74+IF(R74=1,0.5,0)&gt;=4.5,(G74*2*1.5),0)),0)</f>
        <v>0</v>
      </c>
      <c r="BV74" s="538">
        <f t="shared" si="208"/>
        <v>19.456499999999998</v>
      </c>
      <c r="BW74" s="538">
        <f t="shared" si="209"/>
        <v>7.7825999999999986</v>
      </c>
      <c r="BX74" s="538">
        <f t="shared" si="293"/>
        <v>3.0325999999999995</v>
      </c>
      <c r="BY74" s="538">
        <f>E74</f>
        <v>2.5</v>
      </c>
      <c r="BZ74" s="538">
        <f>IF(Y74&gt;0.5,0,IF(S74&lt;E74,S74,E74))</f>
        <v>2.5</v>
      </c>
      <c r="CA74" s="538">
        <f>IF(Y74&gt;0.4,BY74+0.4,Y74)</f>
        <v>0</v>
      </c>
      <c r="CB74" s="538">
        <f>IF(S74&gt;E74,0,E74-S74)</f>
        <v>0</v>
      </c>
      <c r="CC74" s="538">
        <f>IF(BZ74&gt;1.5,BW74*1.5,BW74*BZ74)</f>
        <v>11.673899999999998</v>
      </c>
      <c r="CD74" s="538">
        <f>IF(BZ74&gt;1.5,BW74*(BZ74-1.5),0)</f>
        <v>7.7825999999999986</v>
      </c>
      <c r="CE74" s="538">
        <f>IF(CA74=0.4,IF(BZ74+CA74&gt;1.5,0,CA74*BW74),IF(CA74&gt;1.5,BW74*1.5,BW74*CA74))</f>
        <v>0</v>
      </c>
      <c r="CF74" s="538">
        <f>IF(CA74=0.4,IF(BZ74+CA74&lt;=1.5,0,CA74*BW74),IF(CA74&gt;1.5,BW74*(CA74-1.5),0))</f>
        <v>0</v>
      </c>
      <c r="CG74" s="538">
        <f>BV74-SUM(CC74:CF74)</f>
        <v>0</v>
      </c>
      <c r="CH74" s="538">
        <f>SUM(CC74:CG74)-BV74</f>
        <v>0</v>
      </c>
      <c r="CI74" s="104">
        <f t="shared" si="211"/>
        <v>0.53549999999999998</v>
      </c>
      <c r="CJ74" s="538">
        <f>(BW74-BX74)*(BY74+IF(CA74&gt;=0.4,0.4,0))-CI74</f>
        <v>11.339499999999997</v>
      </c>
      <c r="CK74" s="538">
        <f t="shared" si="212"/>
        <v>11.339499999999997</v>
      </c>
      <c r="CL74" s="538">
        <f>CJ74-CK74</f>
        <v>0</v>
      </c>
      <c r="CM74" s="538">
        <f>IF(CA74&gt;0,0.5*4%*BW74,0)</f>
        <v>0</v>
      </c>
      <c r="CN74" s="538">
        <f t="shared" si="213"/>
        <v>3.57</v>
      </c>
      <c r="CO74" s="538">
        <f>IF(CA74&gt;0,BY74+0.5,BY74)</f>
        <v>2.5</v>
      </c>
      <c r="CP74" s="538">
        <f>IF(CO74&gt;=1.5,CN74*1.5*2,CN74*CO74*2)</f>
        <v>10.709999999999999</v>
      </c>
      <c r="CQ74" s="538">
        <f>IF(CO74&lt;=1.5,0,IF(CO74&gt;=3,CN74*1.5*2,CN74*(CO74-1.5)*2))</f>
        <v>7.14</v>
      </c>
      <c r="CR74" s="539">
        <f>IF(D74="AMPLIADA",0.55*(E74-0.5),0)</f>
        <v>0</v>
      </c>
      <c r="CS74" s="540">
        <f t="shared" si="214"/>
        <v>0</v>
      </c>
      <c r="CT74" s="540">
        <f t="shared" si="215"/>
        <v>0.33012999999999998</v>
      </c>
      <c r="CU74" s="541">
        <f t="shared" si="216"/>
        <v>13</v>
      </c>
      <c r="CV74" s="538">
        <f t="shared" si="217"/>
        <v>1.43895</v>
      </c>
      <c r="CW74" s="538">
        <f t="shared" si="218"/>
        <v>23.248199999999997</v>
      </c>
      <c r="CX74" s="104">
        <f t="shared" si="219"/>
        <v>3.57</v>
      </c>
      <c r="CY74" s="542">
        <f>CX74*0.5</f>
        <v>1.7849999999999999</v>
      </c>
      <c r="CZ74" s="538">
        <f>IF(AND(C74="EXISTENTE",D74="PROJETADA"),PI()*0.51*0.51/4*0.12,0)</f>
        <v>2.4513847475961154E-2</v>
      </c>
      <c r="DC74" s="112" t="s">
        <v>1523</v>
      </c>
      <c r="DD74" s="112" t="b">
        <f>B74=DC74</f>
        <v>0</v>
      </c>
    </row>
    <row r="75" spans="1:108" s="112" customFormat="1" ht="25" x14ac:dyDescent="0.25">
      <c r="A75" s="100" t="str">
        <f>'BOCA DE LOBO'!C73</f>
        <v>BL68-&gt;PV1-25</v>
      </c>
      <c r="B75" s="100" t="str">
        <f>'BOCA DE LOBO'!A73</f>
        <v>PV1-25</v>
      </c>
      <c r="C75" s="100" t="str">
        <f>VLOOKUP(A75,'BOCA DE LOBO'!C:F,3,0)</f>
        <v>EXISTENTE</v>
      </c>
      <c r="D75" s="100" t="str">
        <f>VLOOKUP(A75,'BOCA DE LOBO'!C:L,10,0)</f>
        <v>EXISTENTE</v>
      </c>
      <c r="E75" s="100">
        <f t="shared" si="220"/>
        <v>1.4647999999999999</v>
      </c>
      <c r="F75" s="100">
        <f>VLOOKUP(A75,'BOCA DE LOBO'!C:D,2,0)</f>
        <v>1.75</v>
      </c>
      <c r="G75" s="100">
        <f>VLOOKUP(A75,'BOCA DE LOBO'!C:F,4,0)</f>
        <v>7.13</v>
      </c>
      <c r="H75" s="101">
        <v>400</v>
      </c>
      <c r="I75" s="102">
        <f t="shared" si="221"/>
        <v>1.7374000000000001</v>
      </c>
      <c r="J75" s="102">
        <f t="shared" si="222"/>
        <v>0</v>
      </c>
      <c r="K75" s="103">
        <v>0</v>
      </c>
      <c r="L75" s="104">
        <f t="shared" si="223"/>
        <v>0</v>
      </c>
      <c r="M75" s="104">
        <f t="shared" si="224"/>
        <v>0</v>
      </c>
      <c r="N75" s="104">
        <f t="shared" si="225"/>
        <v>400</v>
      </c>
      <c r="O75" s="104">
        <f t="shared" si="226"/>
        <v>0</v>
      </c>
      <c r="P75" s="105" t="s">
        <v>1999</v>
      </c>
      <c r="Q75" s="144" t="s">
        <v>2167</v>
      </c>
      <c r="R75" s="105"/>
      <c r="S75" s="105">
        <v>5</v>
      </c>
      <c r="T75" s="105">
        <v>5</v>
      </c>
      <c r="U75" s="104">
        <f t="shared" si="227"/>
        <v>0.05</v>
      </c>
      <c r="V75" s="106">
        <f t="shared" si="228"/>
        <v>0</v>
      </c>
      <c r="W75" s="106">
        <f t="shared" si="229"/>
        <v>0</v>
      </c>
      <c r="X75" s="107">
        <f t="shared" si="230"/>
        <v>0</v>
      </c>
      <c r="Y75" s="107">
        <f t="shared" si="231"/>
        <v>0</v>
      </c>
      <c r="Z75" s="107">
        <f t="shared" si="232"/>
        <v>1.7374000000000001</v>
      </c>
      <c r="AA75" s="107">
        <f t="shared" si="233"/>
        <v>0</v>
      </c>
      <c r="AB75" s="108">
        <f t="shared" si="234"/>
        <v>0</v>
      </c>
      <c r="AC75" s="109">
        <f t="shared" si="235"/>
        <v>0</v>
      </c>
      <c r="AD75" s="109">
        <f t="shared" si="236"/>
        <v>0</v>
      </c>
      <c r="AE75" s="109">
        <f t="shared" si="237"/>
        <v>0</v>
      </c>
      <c r="AF75" s="109">
        <f t="shared" si="238"/>
        <v>0</v>
      </c>
      <c r="AG75" s="109">
        <f t="shared" si="239"/>
        <v>0</v>
      </c>
      <c r="AH75" s="109">
        <f t="shared" si="240"/>
        <v>0</v>
      </c>
      <c r="AI75" s="537" t="str">
        <f t="shared" si="241"/>
        <v>NÃO</v>
      </c>
      <c r="AJ75" s="104">
        <f t="shared" si="242"/>
        <v>0</v>
      </c>
      <c r="AK75" s="104">
        <f t="shared" si="243"/>
        <v>0</v>
      </c>
      <c r="AL75" s="104">
        <f t="shared" si="244"/>
        <v>0</v>
      </c>
      <c r="AM75" s="102">
        <f t="shared" si="245"/>
        <v>0</v>
      </c>
      <c r="AN75" s="106">
        <f t="shared" si="246"/>
        <v>0</v>
      </c>
      <c r="AO75" s="104">
        <f t="shared" si="247"/>
        <v>0</v>
      </c>
      <c r="AP75" s="104">
        <f t="shared" si="248"/>
        <v>0</v>
      </c>
      <c r="AQ75" s="104">
        <f t="shared" si="249"/>
        <v>0.7</v>
      </c>
      <c r="AR75" s="104">
        <f t="shared" si="250"/>
        <v>0</v>
      </c>
      <c r="AS75" s="104">
        <f t="shared" si="251"/>
        <v>0</v>
      </c>
      <c r="AT75" s="104">
        <f t="shared" si="252"/>
        <v>0</v>
      </c>
      <c r="AU75" s="104">
        <f t="shared" si="253"/>
        <v>0</v>
      </c>
      <c r="AV75" s="104">
        <f t="shared" si="254"/>
        <v>0</v>
      </c>
      <c r="AW75" s="104">
        <f t="shared" si="255"/>
        <v>0</v>
      </c>
      <c r="AX75" s="104">
        <f t="shared" si="256"/>
        <v>0</v>
      </c>
      <c r="AY75" s="104">
        <f t="shared" si="257"/>
        <v>0</v>
      </c>
      <c r="AZ75" s="104">
        <f t="shared" si="258"/>
        <v>0</v>
      </c>
      <c r="BA75" s="104">
        <f t="shared" ref="BA75:BA95" si="294">IF($AZ$96&gt;$BA$98,($BA$98/$AZ$96)*AZ75,AZ75)</f>
        <v>0</v>
      </c>
      <c r="BB75" s="104">
        <f t="shared" si="259"/>
        <v>0</v>
      </c>
      <c r="BC75" s="104"/>
      <c r="BD75" s="104">
        <f t="shared" si="260"/>
        <v>0</v>
      </c>
      <c r="BE75" s="108">
        <f t="shared" si="261"/>
        <v>1.7374000000000001</v>
      </c>
      <c r="BF75" s="110">
        <f t="shared" si="262"/>
        <v>0</v>
      </c>
      <c r="BG75" s="110">
        <f t="shared" si="263"/>
        <v>0</v>
      </c>
      <c r="BH75" s="105" t="str">
        <f>VLOOKUP(A75,'BOCA DE LOBO'!C:I,7,0)</f>
        <v>BOCA DE LOBO EXISTENTE SIMPLES</v>
      </c>
      <c r="BI75" s="104">
        <f t="shared" si="264"/>
        <v>0</v>
      </c>
      <c r="BJ75" s="104">
        <f t="shared" si="265"/>
        <v>0</v>
      </c>
      <c r="BK75" s="104">
        <f t="shared" si="266"/>
        <v>0</v>
      </c>
      <c r="BL75" s="104">
        <f t="shared" si="267"/>
        <v>0</v>
      </c>
      <c r="BM75" s="104">
        <f t="shared" si="268"/>
        <v>0</v>
      </c>
      <c r="BN75" s="104">
        <f t="shared" si="269"/>
        <v>0</v>
      </c>
      <c r="BO75" s="104">
        <f t="shared" si="270"/>
        <v>0</v>
      </c>
      <c r="BP75" s="111"/>
      <c r="BQ75" s="108">
        <f t="shared" si="271"/>
        <v>21.39</v>
      </c>
      <c r="BR75" s="108">
        <f t="shared" si="272"/>
        <v>3.3853240000000007</v>
      </c>
      <c r="BS75" s="108">
        <f t="shared" si="273"/>
        <v>0</v>
      </c>
      <c r="BV75" s="538">
        <f t="shared" si="208"/>
        <v>0</v>
      </c>
      <c r="BW75" s="538">
        <f t="shared" si="209"/>
        <v>0</v>
      </c>
      <c r="BX75" s="538">
        <f t="shared" si="293"/>
        <v>0</v>
      </c>
      <c r="BY75" s="538">
        <f t="shared" si="274"/>
        <v>1.4647999999999999</v>
      </c>
      <c r="BZ75" s="538">
        <f t="shared" si="275"/>
        <v>1.4647999999999999</v>
      </c>
      <c r="CA75" s="538">
        <f t="shared" si="276"/>
        <v>0</v>
      </c>
      <c r="CB75" s="538">
        <f t="shared" si="277"/>
        <v>0</v>
      </c>
      <c r="CC75" s="538">
        <f t="shared" si="278"/>
        <v>0</v>
      </c>
      <c r="CD75" s="538">
        <f t="shared" si="279"/>
        <v>0</v>
      </c>
      <c r="CE75" s="538">
        <f t="shared" si="280"/>
        <v>0</v>
      </c>
      <c r="CF75" s="538">
        <f t="shared" si="281"/>
        <v>0</v>
      </c>
      <c r="CG75" s="538">
        <f t="shared" si="282"/>
        <v>0</v>
      </c>
      <c r="CH75" s="538">
        <f t="shared" si="283"/>
        <v>0</v>
      </c>
      <c r="CI75" s="104">
        <f t="shared" si="211"/>
        <v>0</v>
      </c>
      <c r="CJ75" s="538">
        <f t="shared" si="284"/>
        <v>0</v>
      </c>
      <c r="CK75" s="538">
        <f t="shared" ref="CK75:CK95" si="295">IF($CK$98&gt;$CJ$96,CJ75,CJ75*$CK$98/$CJ$96)</f>
        <v>0</v>
      </c>
      <c r="CL75" s="538">
        <f t="shared" si="285"/>
        <v>0</v>
      </c>
      <c r="CM75" s="538">
        <f t="shared" si="286"/>
        <v>0</v>
      </c>
      <c r="CN75" s="538">
        <f t="shared" si="213"/>
        <v>0</v>
      </c>
      <c r="CO75" s="538">
        <f t="shared" si="287"/>
        <v>1.4647999999999999</v>
      </c>
      <c r="CP75" s="538">
        <f t="shared" si="288"/>
        <v>0</v>
      </c>
      <c r="CQ75" s="538">
        <f t="shared" si="289"/>
        <v>0</v>
      </c>
      <c r="CR75" s="539">
        <f t="shared" si="290"/>
        <v>0</v>
      </c>
      <c r="CS75" s="540">
        <f t="shared" si="214"/>
        <v>0</v>
      </c>
      <c r="CT75" s="540">
        <f t="shared" si="215"/>
        <v>0</v>
      </c>
      <c r="CU75" s="541">
        <f t="shared" si="216"/>
        <v>0</v>
      </c>
      <c r="CV75" s="538">
        <f t="shared" si="217"/>
        <v>0</v>
      </c>
      <c r="CW75" s="538">
        <f t="shared" si="218"/>
        <v>0</v>
      </c>
      <c r="CX75" s="104">
        <f t="shared" si="219"/>
        <v>0</v>
      </c>
      <c r="CY75" s="542">
        <f t="shared" si="291"/>
        <v>0</v>
      </c>
      <c r="CZ75" s="538">
        <f t="shared" si="292"/>
        <v>0</v>
      </c>
      <c r="DC75" s="112" t="s">
        <v>1532</v>
      </c>
      <c r="DD75" s="112" t="b">
        <f t="shared" si="128"/>
        <v>0</v>
      </c>
    </row>
    <row r="76" spans="1:108" s="112" customFormat="1" ht="25" x14ac:dyDescent="0.25">
      <c r="A76" s="100" t="str">
        <f>'BOCA DE LOBO'!C74</f>
        <v>BL69-&gt;PV1-26</v>
      </c>
      <c r="B76" s="100" t="str">
        <f>'BOCA DE LOBO'!A74</f>
        <v>PV1-26</v>
      </c>
      <c r="C76" s="100" t="str">
        <f>VLOOKUP(A76,'BOCA DE LOBO'!C:F,3,0)</f>
        <v>EXISTENTE</v>
      </c>
      <c r="D76" s="100" t="str">
        <f>VLOOKUP(A76,'BOCA DE LOBO'!C:L,10,0)</f>
        <v>EXISTENTE</v>
      </c>
      <c r="E76" s="100">
        <f t="shared" si="220"/>
        <v>1.4860000000000864</v>
      </c>
      <c r="F76" s="100">
        <f>VLOOKUP(A76,'BOCA DE LOBO'!C:D,2,0)</f>
        <v>1.7800000000000864</v>
      </c>
      <c r="G76" s="100">
        <f>VLOOKUP(A76,'BOCA DE LOBO'!C:F,4,0)</f>
        <v>7.35</v>
      </c>
      <c r="H76" s="101">
        <v>400</v>
      </c>
      <c r="I76" s="102">
        <f t="shared" si="221"/>
        <v>1.7630000000000865</v>
      </c>
      <c r="J76" s="102">
        <f t="shared" si="222"/>
        <v>0</v>
      </c>
      <c r="K76" s="103">
        <v>0</v>
      </c>
      <c r="L76" s="104">
        <f t="shared" si="223"/>
        <v>0</v>
      </c>
      <c r="M76" s="104">
        <f t="shared" si="224"/>
        <v>0</v>
      </c>
      <c r="N76" s="104">
        <f t="shared" si="225"/>
        <v>400</v>
      </c>
      <c r="O76" s="104">
        <f t="shared" si="226"/>
        <v>0</v>
      </c>
      <c r="P76" s="105" t="s">
        <v>1999</v>
      </c>
      <c r="Q76" s="144" t="s">
        <v>2025</v>
      </c>
      <c r="R76" s="105"/>
      <c r="S76" s="105">
        <f>VLOOKUP(Q76,Quantitativos!P:R,3,0)</f>
        <v>4.4000000000000004</v>
      </c>
      <c r="T76" s="105">
        <f>VLOOKUP(Q76,Quantitativos!P:S,4,0)</f>
        <v>3.5</v>
      </c>
      <c r="U76" s="104">
        <f t="shared" si="227"/>
        <v>0.05</v>
      </c>
      <c r="V76" s="106">
        <f t="shared" si="228"/>
        <v>0</v>
      </c>
      <c r="W76" s="106">
        <f t="shared" si="229"/>
        <v>0</v>
      </c>
      <c r="X76" s="107">
        <f t="shared" si="230"/>
        <v>0</v>
      </c>
      <c r="Y76" s="107">
        <f t="shared" si="231"/>
        <v>0</v>
      </c>
      <c r="Z76" s="107">
        <f t="shared" si="232"/>
        <v>1.7630000000000865</v>
      </c>
      <c r="AA76" s="107">
        <f t="shared" si="233"/>
        <v>0</v>
      </c>
      <c r="AB76" s="108">
        <f t="shared" si="234"/>
        <v>0</v>
      </c>
      <c r="AC76" s="109">
        <f t="shared" si="235"/>
        <v>0</v>
      </c>
      <c r="AD76" s="109">
        <f t="shared" si="236"/>
        <v>0</v>
      </c>
      <c r="AE76" s="109">
        <f t="shared" si="237"/>
        <v>0</v>
      </c>
      <c r="AF76" s="109">
        <f t="shared" si="238"/>
        <v>0</v>
      </c>
      <c r="AG76" s="109">
        <f t="shared" si="239"/>
        <v>0</v>
      </c>
      <c r="AH76" s="109">
        <f t="shared" si="240"/>
        <v>0</v>
      </c>
      <c r="AI76" s="537" t="str">
        <f t="shared" si="241"/>
        <v>NÃO</v>
      </c>
      <c r="AJ76" s="104">
        <f t="shared" si="242"/>
        <v>0</v>
      </c>
      <c r="AK76" s="104">
        <f t="shared" si="243"/>
        <v>0</v>
      </c>
      <c r="AL76" s="104">
        <f t="shared" si="244"/>
        <v>0</v>
      </c>
      <c r="AM76" s="102">
        <f t="shared" si="245"/>
        <v>0</v>
      </c>
      <c r="AN76" s="106">
        <f t="shared" si="246"/>
        <v>0</v>
      </c>
      <c r="AO76" s="104">
        <f t="shared" si="247"/>
        <v>0</v>
      </c>
      <c r="AP76" s="104">
        <f t="shared" si="248"/>
        <v>0</v>
      </c>
      <c r="AQ76" s="104">
        <f t="shared" si="249"/>
        <v>0.7</v>
      </c>
      <c r="AR76" s="104">
        <f t="shared" si="250"/>
        <v>0</v>
      </c>
      <c r="AS76" s="104">
        <f t="shared" si="251"/>
        <v>0</v>
      </c>
      <c r="AT76" s="104">
        <f t="shared" si="252"/>
        <v>0</v>
      </c>
      <c r="AU76" s="104">
        <f t="shared" si="253"/>
        <v>0</v>
      </c>
      <c r="AV76" s="104">
        <f t="shared" si="254"/>
        <v>0</v>
      </c>
      <c r="AW76" s="104">
        <f t="shared" si="255"/>
        <v>0</v>
      </c>
      <c r="AX76" s="104">
        <f t="shared" si="256"/>
        <v>0</v>
      </c>
      <c r="AY76" s="104">
        <f t="shared" si="257"/>
        <v>0</v>
      </c>
      <c r="AZ76" s="104">
        <f t="shared" si="258"/>
        <v>0</v>
      </c>
      <c r="BA76" s="104">
        <f t="shared" si="294"/>
        <v>0</v>
      </c>
      <c r="BB76" s="104">
        <f t="shared" si="259"/>
        <v>0</v>
      </c>
      <c r="BC76" s="104"/>
      <c r="BD76" s="104">
        <f t="shared" si="260"/>
        <v>0</v>
      </c>
      <c r="BE76" s="108">
        <f t="shared" si="261"/>
        <v>1.7630000000000865</v>
      </c>
      <c r="BF76" s="110">
        <f t="shared" si="262"/>
        <v>0</v>
      </c>
      <c r="BG76" s="110">
        <f t="shared" si="263"/>
        <v>0</v>
      </c>
      <c r="BH76" s="105" t="str">
        <f>VLOOKUP(A76,'BOCA DE LOBO'!C:I,7,0)</f>
        <v>BOCA DE LOBO EXISTENTE TRIPLA</v>
      </c>
      <c r="BI76" s="104">
        <f t="shared" si="264"/>
        <v>0</v>
      </c>
      <c r="BJ76" s="104">
        <f t="shared" si="265"/>
        <v>0</v>
      </c>
      <c r="BK76" s="104">
        <f t="shared" si="266"/>
        <v>0</v>
      </c>
      <c r="BL76" s="104">
        <f t="shared" si="267"/>
        <v>0</v>
      </c>
      <c r="BM76" s="104">
        <f t="shared" si="268"/>
        <v>0</v>
      </c>
      <c r="BN76" s="104">
        <f t="shared" si="269"/>
        <v>0</v>
      </c>
      <c r="BO76" s="104">
        <f t="shared" si="270"/>
        <v>0</v>
      </c>
      <c r="BP76" s="111"/>
      <c r="BQ76" s="108">
        <f t="shared" si="271"/>
        <v>22.049999999999997</v>
      </c>
      <c r="BR76" s="108">
        <f t="shared" si="272"/>
        <v>3.8661000000012713</v>
      </c>
      <c r="BS76" s="108">
        <f t="shared" si="273"/>
        <v>0</v>
      </c>
      <c r="BV76" s="538">
        <f t="shared" si="208"/>
        <v>0</v>
      </c>
      <c r="BW76" s="538">
        <f t="shared" si="209"/>
        <v>0</v>
      </c>
      <c r="BX76" s="538">
        <f t="shared" si="293"/>
        <v>0</v>
      </c>
      <c r="BY76" s="538">
        <f t="shared" si="274"/>
        <v>1.4860000000000864</v>
      </c>
      <c r="BZ76" s="538">
        <f t="shared" si="275"/>
        <v>1.4860000000000864</v>
      </c>
      <c r="CA76" s="538">
        <f t="shared" si="276"/>
        <v>0</v>
      </c>
      <c r="CB76" s="538">
        <f t="shared" si="277"/>
        <v>0</v>
      </c>
      <c r="CC76" s="538">
        <f t="shared" si="278"/>
        <v>0</v>
      </c>
      <c r="CD76" s="538">
        <f t="shared" si="279"/>
        <v>0</v>
      </c>
      <c r="CE76" s="538">
        <f t="shared" si="280"/>
        <v>0</v>
      </c>
      <c r="CF76" s="538">
        <f t="shared" si="281"/>
        <v>0</v>
      </c>
      <c r="CG76" s="538">
        <f t="shared" si="282"/>
        <v>0</v>
      </c>
      <c r="CH76" s="538">
        <f t="shared" si="283"/>
        <v>0</v>
      </c>
      <c r="CI76" s="104">
        <f t="shared" si="211"/>
        <v>0</v>
      </c>
      <c r="CJ76" s="538">
        <f t="shared" si="284"/>
        <v>0</v>
      </c>
      <c r="CK76" s="538">
        <f t="shared" si="295"/>
        <v>0</v>
      </c>
      <c r="CL76" s="538">
        <f t="shared" si="285"/>
        <v>0</v>
      </c>
      <c r="CM76" s="538">
        <f t="shared" si="286"/>
        <v>0</v>
      </c>
      <c r="CN76" s="538">
        <f t="shared" si="213"/>
        <v>0</v>
      </c>
      <c r="CO76" s="538">
        <f t="shared" si="287"/>
        <v>1.4860000000000864</v>
      </c>
      <c r="CP76" s="538">
        <f t="shared" si="288"/>
        <v>0</v>
      </c>
      <c r="CQ76" s="538">
        <f t="shared" si="289"/>
        <v>0</v>
      </c>
      <c r="CR76" s="539">
        <f t="shared" si="290"/>
        <v>0</v>
      </c>
      <c r="CS76" s="540">
        <f t="shared" si="214"/>
        <v>0</v>
      </c>
      <c r="CT76" s="540">
        <f t="shared" si="215"/>
        <v>0</v>
      </c>
      <c r="CU76" s="541">
        <f t="shared" si="216"/>
        <v>0</v>
      </c>
      <c r="CV76" s="538">
        <f t="shared" si="217"/>
        <v>0</v>
      </c>
      <c r="CW76" s="538">
        <f t="shared" si="218"/>
        <v>0</v>
      </c>
      <c r="CX76" s="104">
        <f t="shared" si="219"/>
        <v>0</v>
      </c>
      <c r="CY76" s="542">
        <f t="shared" si="291"/>
        <v>0</v>
      </c>
      <c r="CZ76" s="538">
        <f t="shared" si="292"/>
        <v>0</v>
      </c>
      <c r="DC76" s="112" t="s">
        <v>1532</v>
      </c>
      <c r="DD76" s="112" t="b">
        <f t="shared" ref="DD76:DD88" si="296">B76=DC76</f>
        <v>0</v>
      </c>
    </row>
    <row r="77" spans="1:108" s="112" customFormat="1" ht="25" x14ac:dyDescent="0.25">
      <c r="A77" s="100" t="str">
        <f>'BOCA DE LOBO'!C75</f>
        <v>BL70-&gt;PV1-27</v>
      </c>
      <c r="B77" s="100" t="str">
        <f>'BOCA DE LOBO'!A75</f>
        <v>PV1-27</v>
      </c>
      <c r="C77" s="100" t="str">
        <f>VLOOKUP(A77,'BOCA DE LOBO'!C:F,3,0)</f>
        <v>EXISTENTE</v>
      </c>
      <c r="D77" s="100" t="str">
        <f>VLOOKUP(A77,'BOCA DE LOBO'!C:L,10,0)</f>
        <v>EXISTENTE</v>
      </c>
      <c r="E77" s="100">
        <f t="shared" si="220"/>
        <v>1.8652</v>
      </c>
      <c r="F77" s="100">
        <f>VLOOKUP(A77,'BOCA DE LOBO'!C:D,2,0)</f>
        <v>2</v>
      </c>
      <c r="G77" s="100">
        <f>VLOOKUP(A77,'BOCA DE LOBO'!C:F,4,0)</f>
        <v>3.37</v>
      </c>
      <c r="H77" s="101">
        <v>400</v>
      </c>
      <c r="I77" s="102">
        <f t="shared" si="221"/>
        <v>2.0625999999999998</v>
      </c>
      <c r="J77" s="102">
        <f t="shared" si="222"/>
        <v>0</v>
      </c>
      <c r="K77" s="103">
        <v>0</v>
      </c>
      <c r="L77" s="104">
        <f t="shared" si="223"/>
        <v>0</v>
      </c>
      <c r="M77" s="104">
        <f t="shared" si="224"/>
        <v>0</v>
      </c>
      <c r="N77" s="104">
        <f t="shared" si="225"/>
        <v>400</v>
      </c>
      <c r="O77" s="104">
        <f t="shared" si="226"/>
        <v>0</v>
      </c>
      <c r="P77" s="105" t="s">
        <v>1999</v>
      </c>
      <c r="Q77" s="144" t="s">
        <v>2025</v>
      </c>
      <c r="R77" s="105">
        <v>1</v>
      </c>
      <c r="S77" s="105">
        <f>VLOOKUP(Q77,Quantitativos!P:R,3,0)</f>
        <v>4.4000000000000004</v>
      </c>
      <c r="T77" s="105">
        <f>VLOOKUP(Q77,Quantitativos!P:S,4,0)</f>
        <v>3.5</v>
      </c>
      <c r="U77" s="104">
        <f t="shared" si="227"/>
        <v>0.05</v>
      </c>
      <c r="V77" s="106">
        <f t="shared" si="228"/>
        <v>0</v>
      </c>
      <c r="W77" s="106">
        <f t="shared" si="229"/>
        <v>0</v>
      </c>
      <c r="X77" s="107">
        <f t="shared" si="230"/>
        <v>0</v>
      </c>
      <c r="Y77" s="107">
        <f t="shared" si="231"/>
        <v>0.4</v>
      </c>
      <c r="Z77" s="107">
        <f t="shared" si="232"/>
        <v>2.0625999999999998</v>
      </c>
      <c r="AA77" s="107">
        <f t="shared" si="233"/>
        <v>0</v>
      </c>
      <c r="AB77" s="108">
        <f t="shared" si="234"/>
        <v>0</v>
      </c>
      <c r="AC77" s="109">
        <f t="shared" si="235"/>
        <v>0</v>
      </c>
      <c r="AD77" s="109">
        <f t="shared" si="236"/>
        <v>0</v>
      </c>
      <c r="AE77" s="109">
        <f t="shared" si="237"/>
        <v>0</v>
      </c>
      <c r="AF77" s="109">
        <f t="shared" si="238"/>
        <v>0</v>
      </c>
      <c r="AG77" s="109">
        <f t="shared" si="239"/>
        <v>0</v>
      </c>
      <c r="AH77" s="109">
        <f t="shared" si="240"/>
        <v>0</v>
      </c>
      <c r="AI77" s="537" t="str">
        <f t="shared" si="241"/>
        <v>NÃO</v>
      </c>
      <c r="AJ77" s="104">
        <f t="shared" si="242"/>
        <v>0</v>
      </c>
      <c r="AK77" s="104">
        <f t="shared" si="243"/>
        <v>0</v>
      </c>
      <c r="AL77" s="104">
        <f t="shared" si="244"/>
        <v>0</v>
      </c>
      <c r="AM77" s="102">
        <f t="shared" si="245"/>
        <v>0</v>
      </c>
      <c r="AN77" s="106">
        <f t="shared" si="246"/>
        <v>0</v>
      </c>
      <c r="AO77" s="104">
        <f t="shared" si="247"/>
        <v>0</v>
      </c>
      <c r="AP77" s="104">
        <f t="shared" si="248"/>
        <v>0</v>
      </c>
      <c r="AQ77" s="104">
        <f t="shared" si="249"/>
        <v>0.7</v>
      </c>
      <c r="AR77" s="104">
        <f t="shared" si="250"/>
        <v>0</v>
      </c>
      <c r="AS77" s="104">
        <f t="shared" si="251"/>
        <v>0</v>
      </c>
      <c r="AT77" s="104">
        <f t="shared" si="252"/>
        <v>0</v>
      </c>
      <c r="AU77" s="104">
        <f t="shared" si="253"/>
        <v>0</v>
      </c>
      <c r="AV77" s="104">
        <f t="shared" si="254"/>
        <v>0</v>
      </c>
      <c r="AW77" s="104">
        <f t="shared" si="255"/>
        <v>0</v>
      </c>
      <c r="AX77" s="104">
        <f t="shared" si="256"/>
        <v>0</v>
      </c>
      <c r="AY77" s="104">
        <f t="shared" si="257"/>
        <v>0</v>
      </c>
      <c r="AZ77" s="104">
        <f t="shared" si="258"/>
        <v>0</v>
      </c>
      <c r="BA77" s="104">
        <f t="shared" si="294"/>
        <v>0</v>
      </c>
      <c r="BB77" s="104">
        <f t="shared" si="259"/>
        <v>0</v>
      </c>
      <c r="BC77" s="104"/>
      <c r="BD77" s="104">
        <f t="shared" si="260"/>
        <v>0</v>
      </c>
      <c r="BE77" s="108">
        <f t="shared" si="261"/>
        <v>2.0625999999999998</v>
      </c>
      <c r="BF77" s="110">
        <f t="shared" si="262"/>
        <v>0</v>
      </c>
      <c r="BG77" s="110">
        <f t="shared" si="263"/>
        <v>0</v>
      </c>
      <c r="BH77" s="105" t="str">
        <f>VLOOKUP(A77,'BOCA DE LOBO'!C:I,7,0)</f>
        <v>BOCA DE LOBO EXISTENTE TRIPLA</v>
      </c>
      <c r="BI77" s="104">
        <f t="shared" si="264"/>
        <v>0</v>
      </c>
      <c r="BJ77" s="104">
        <f t="shared" si="265"/>
        <v>0</v>
      </c>
      <c r="BK77" s="104">
        <f t="shared" si="266"/>
        <v>0</v>
      </c>
      <c r="BL77" s="104">
        <f t="shared" si="267"/>
        <v>0</v>
      </c>
      <c r="BM77" s="104">
        <f t="shared" si="268"/>
        <v>0</v>
      </c>
      <c r="BN77" s="104">
        <f t="shared" si="269"/>
        <v>0</v>
      </c>
      <c r="BO77" s="104">
        <f t="shared" si="270"/>
        <v>0</v>
      </c>
      <c r="BP77" s="111"/>
      <c r="BQ77" s="108">
        <f t="shared" si="271"/>
        <v>10.11</v>
      </c>
      <c r="BR77" s="108">
        <f t="shared" si="272"/>
        <v>7.1619239999999991</v>
      </c>
      <c r="BS77" s="108">
        <f t="shared" si="273"/>
        <v>0</v>
      </c>
      <c r="BV77" s="538">
        <f t="shared" si="208"/>
        <v>0</v>
      </c>
      <c r="BW77" s="538">
        <f t="shared" si="209"/>
        <v>0</v>
      </c>
      <c r="BX77" s="538">
        <f t="shared" si="293"/>
        <v>0</v>
      </c>
      <c r="BY77" s="538">
        <f t="shared" si="274"/>
        <v>1.8652</v>
      </c>
      <c r="BZ77" s="538">
        <f t="shared" si="275"/>
        <v>1.8652</v>
      </c>
      <c r="CA77" s="538">
        <f t="shared" si="276"/>
        <v>0.4</v>
      </c>
      <c r="CB77" s="538">
        <f t="shared" si="277"/>
        <v>0</v>
      </c>
      <c r="CC77" s="538">
        <f t="shared" si="278"/>
        <v>0</v>
      </c>
      <c r="CD77" s="538">
        <f t="shared" si="279"/>
        <v>0</v>
      </c>
      <c r="CE77" s="538">
        <f t="shared" si="280"/>
        <v>0</v>
      </c>
      <c r="CF77" s="538">
        <f t="shared" si="281"/>
        <v>0</v>
      </c>
      <c r="CG77" s="538">
        <f t="shared" si="282"/>
        <v>0</v>
      </c>
      <c r="CH77" s="538">
        <f t="shared" si="283"/>
        <v>0</v>
      </c>
      <c r="CI77" s="104">
        <f t="shared" si="211"/>
        <v>0</v>
      </c>
      <c r="CJ77" s="538">
        <f t="shared" si="284"/>
        <v>0</v>
      </c>
      <c r="CK77" s="538">
        <f t="shared" si="295"/>
        <v>0</v>
      </c>
      <c r="CL77" s="538">
        <f t="shared" si="285"/>
        <v>0</v>
      </c>
      <c r="CM77" s="538">
        <f t="shared" si="286"/>
        <v>0</v>
      </c>
      <c r="CN77" s="538">
        <f t="shared" si="213"/>
        <v>0</v>
      </c>
      <c r="CO77" s="538">
        <f t="shared" si="287"/>
        <v>2.3651999999999997</v>
      </c>
      <c r="CP77" s="538">
        <f t="shared" si="288"/>
        <v>0</v>
      </c>
      <c r="CQ77" s="538">
        <f t="shared" si="289"/>
        <v>0</v>
      </c>
      <c r="CR77" s="539">
        <f t="shared" si="290"/>
        <v>0</v>
      </c>
      <c r="CS77" s="540">
        <f t="shared" si="214"/>
        <v>0</v>
      </c>
      <c r="CT77" s="540">
        <f t="shared" si="215"/>
        <v>0</v>
      </c>
      <c r="CU77" s="541">
        <f t="shared" si="216"/>
        <v>0</v>
      </c>
      <c r="CV77" s="538">
        <f t="shared" si="217"/>
        <v>0</v>
      </c>
      <c r="CW77" s="538">
        <f t="shared" si="218"/>
        <v>0</v>
      </c>
      <c r="CX77" s="104">
        <f t="shared" si="219"/>
        <v>0</v>
      </c>
      <c r="CY77" s="542">
        <f t="shared" si="291"/>
        <v>0</v>
      </c>
      <c r="CZ77" s="538">
        <f t="shared" si="292"/>
        <v>0</v>
      </c>
      <c r="DC77" s="112" t="s">
        <v>1480</v>
      </c>
      <c r="DD77" s="112" t="b">
        <f t="shared" si="296"/>
        <v>0</v>
      </c>
    </row>
    <row r="78" spans="1:108" s="112" customFormat="1" ht="25" x14ac:dyDescent="0.25">
      <c r="A78" s="100" t="str">
        <f>'BOCA DE LOBO'!C76</f>
        <v>BL71-&gt;PV2-27</v>
      </c>
      <c r="B78" s="100" t="str">
        <f>'BOCA DE LOBO'!A76</f>
        <v>PV2-27</v>
      </c>
      <c r="C78" s="100" t="str">
        <f>VLOOKUP(A78,'BOCA DE LOBO'!C:F,3,0)</f>
        <v>EXISTENTE</v>
      </c>
      <c r="D78" s="100" t="str">
        <f>VLOOKUP(A78,'BOCA DE LOBO'!C:L,10,0)</f>
        <v>EXISTENTE</v>
      </c>
      <c r="E78" s="100">
        <f t="shared" si="220"/>
        <v>1.9171999999999545</v>
      </c>
      <c r="F78" s="100">
        <f>VLOOKUP(A78,'BOCA DE LOBO'!C:D,2,0)</f>
        <v>2.0499999999999545</v>
      </c>
      <c r="G78" s="100">
        <f>VLOOKUP(A78,'BOCA DE LOBO'!C:F,4,0)</f>
        <v>3.32</v>
      </c>
      <c r="H78" s="101">
        <v>400</v>
      </c>
      <c r="I78" s="102">
        <f t="shared" si="221"/>
        <v>2.1135999999999542</v>
      </c>
      <c r="J78" s="102">
        <f t="shared" si="222"/>
        <v>0</v>
      </c>
      <c r="K78" s="103">
        <v>0</v>
      </c>
      <c r="L78" s="104">
        <f t="shared" si="223"/>
        <v>0</v>
      </c>
      <c r="M78" s="104">
        <f t="shared" si="224"/>
        <v>0</v>
      </c>
      <c r="N78" s="104">
        <f t="shared" si="225"/>
        <v>400</v>
      </c>
      <c r="O78" s="104">
        <f t="shared" si="226"/>
        <v>0</v>
      </c>
      <c r="P78" s="105" t="s">
        <v>1999</v>
      </c>
      <c r="Q78" s="144" t="s">
        <v>2029</v>
      </c>
      <c r="R78" s="105">
        <v>1</v>
      </c>
      <c r="S78" s="105">
        <f>VLOOKUP(Q78,Quantitativos!P:R,3,0)</f>
        <v>11.84</v>
      </c>
      <c r="T78" s="105">
        <f>VLOOKUP(Q78,Quantitativos!P:S,4,0)</f>
        <v>1.7</v>
      </c>
      <c r="U78" s="104">
        <f t="shared" si="227"/>
        <v>0.05</v>
      </c>
      <c r="V78" s="106">
        <f t="shared" si="228"/>
        <v>0</v>
      </c>
      <c r="W78" s="106">
        <f t="shared" si="229"/>
        <v>0</v>
      </c>
      <c r="X78" s="107">
        <f t="shared" si="230"/>
        <v>0</v>
      </c>
      <c r="Y78" s="107">
        <f t="shared" si="231"/>
        <v>0.4</v>
      </c>
      <c r="Z78" s="107">
        <f t="shared" si="232"/>
        <v>2.1135999999999542</v>
      </c>
      <c r="AA78" s="107">
        <f t="shared" si="233"/>
        <v>0</v>
      </c>
      <c r="AB78" s="108">
        <f t="shared" si="234"/>
        <v>0</v>
      </c>
      <c r="AC78" s="109">
        <f t="shared" si="235"/>
        <v>0</v>
      </c>
      <c r="AD78" s="109">
        <f t="shared" si="236"/>
        <v>0</v>
      </c>
      <c r="AE78" s="109">
        <f t="shared" si="237"/>
        <v>0</v>
      </c>
      <c r="AF78" s="109">
        <f t="shared" si="238"/>
        <v>0</v>
      </c>
      <c r="AG78" s="109">
        <f t="shared" si="239"/>
        <v>0</v>
      </c>
      <c r="AH78" s="109">
        <f t="shared" si="240"/>
        <v>0</v>
      </c>
      <c r="AI78" s="537" t="str">
        <f t="shared" si="241"/>
        <v>NÃO</v>
      </c>
      <c r="AJ78" s="104">
        <f t="shared" si="242"/>
        <v>0</v>
      </c>
      <c r="AK78" s="104">
        <f t="shared" si="243"/>
        <v>1.8308693333331308E-2</v>
      </c>
      <c r="AL78" s="104">
        <f t="shared" si="244"/>
        <v>0</v>
      </c>
      <c r="AM78" s="102">
        <f t="shared" si="245"/>
        <v>0</v>
      </c>
      <c r="AN78" s="106">
        <f t="shared" si="246"/>
        <v>0</v>
      </c>
      <c r="AO78" s="104">
        <f t="shared" si="247"/>
        <v>0</v>
      </c>
      <c r="AP78" s="104">
        <f t="shared" si="248"/>
        <v>0</v>
      </c>
      <c r="AQ78" s="104">
        <f t="shared" si="249"/>
        <v>0.7</v>
      </c>
      <c r="AR78" s="104">
        <f t="shared" si="250"/>
        <v>0</v>
      </c>
      <c r="AS78" s="104">
        <f t="shared" si="251"/>
        <v>0</v>
      </c>
      <c r="AT78" s="104">
        <f t="shared" si="252"/>
        <v>0</v>
      </c>
      <c r="AU78" s="104">
        <f t="shared" si="253"/>
        <v>0</v>
      </c>
      <c r="AV78" s="104">
        <f t="shared" si="254"/>
        <v>0</v>
      </c>
      <c r="AW78" s="104">
        <f t="shared" si="255"/>
        <v>0</v>
      </c>
      <c r="AX78" s="104">
        <f t="shared" si="256"/>
        <v>0</v>
      </c>
      <c r="AY78" s="104">
        <f t="shared" si="257"/>
        <v>0</v>
      </c>
      <c r="AZ78" s="104">
        <f t="shared" si="258"/>
        <v>0</v>
      </c>
      <c r="BA78" s="104">
        <f t="shared" si="294"/>
        <v>0</v>
      </c>
      <c r="BB78" s="104">
        <f t="shared" si="259"/>
        <v>0</v>
      </c>
      <c r="BC78" s="104"/>
      <c r="BD78" s="104">
        <f t="shared" si="260"/>
        <v>0</v>
      </c>
      <c r="BE78" s="108">
        <f t="shared" si="261"/>
        <v>2.1135999999999542</v>
      </c>
      <c r="BF78" s="110">
        <f t="shared" si="262"/>
        <v>0</v>
      </c>
      <c r="BG78" s="110">
        <f t="shared" si="263"/>
        <v>0</v>
      </c>
      <c r="BH78" s="105" t="str">
        <f>VLOOKUP(A78,'BOCA DE LOBO'!C:I,7,0)</f>
        <v>BOCA DE LOBO EXISTENTE DUPLA</v>
      </c>
      <c r="BI78" s="104">
        <f t="shared" si="264"/>
        <v>0</v>
      </c>
      <c r="BJ78" s="104">
        <f t="shared" si="265"/>
        <v>0</v>
      </c>
      <c r="BK78" s="104">
        <f t="shared" si="266"/>
        <v>0</v>
      </c>
      <c r="BL78" s="104">
        <f t="shared" si="267"/>
        <v>0</v>
      </c>
      <c r="BM78" s="104">
        <f t="shared" si="268"/>
        <v>0</v>
      </c>
      <c r="BN78" s="104">
        <f t="shared" si="269"/>
        <v>0</v>
      </c>
      <c r="BO78" s="104">
        <f t="shared" si="270"/>
        <v>0</v>
      </c>
      <c r="BP78" s="111"/>
      <c r="BQ78" s="108">
        <f t="shared" si="271"/>
        <v>9.9599999999999991</v>
      </c>
      <c r="BR78" s="108">
        <f t="shared" si="272"/>
        <v>7.3943039999996953</v>
      </c>
      <c r="BS78" s="108">
        <f t="shared" si="273"/>
        <v>0</v>
      </c>
      <c r="BV78" s="538">
        <f t="shared" si="208"/>
        <v>0</v>
      </c>
      <c r="BW78" s="538">
        <f t="shared" si="209"/>
        <v>0</v>
      </c>
      <c r="BX78" s="538">
        <f t="shared" si="293"/>
        <v>0</v>
      </c>
      <c r="BY78" s="538">
        <f t="shared" si="274"/>
        <v>1.9171999999999545</v>
      </c>
      <c r="BZ78" s="538">
        <f t="shared" si="275"/>
        <v>1.9171999999999545</v>
      </c>
      <c r="CA78" s="538">
        <f t="shared" si="276"/>
        <v>0.4</v>
      </c>
      <c r="CB78" s="538">
        <f t="shared" si="277"/>
        <v>0</v>
      </c>
      <c r="CC78" s="538">
        <f t="shared" si="278"/>
        <v>0</v>
      </c>
      <c r="CD78" s="538">
        <f t="shared" si="279"/>
        <v>0</v>
      </c>
      <c r="CE78" s="538">
        <f t="shared" si="280"/>
        <v>0</v>
      </c>
      <c r="CF78" s="538">
        <f t="shared" si="281"/>
        <v>0</v>
      </c>
      <c r="CG78" s="538">
        <f t="shared" si="282"/>
        <v>0</v>
      </c>
      <c r="CH78" s="538">
        <f t="shared" si="283"/>
        <v>0</v>
      </c>
      <c r="CI78" s="104">
        <f t="shared" si="211"/>
        <v>0</v>
      </c>
      <c r="CJ78" s="538">
        <f t="shared" si="284"/>
        <v>0</v>
      </c>
      <c r="CK78" s="538">
        <f t="shared" si="295"/>
        <v>0</v>
      </c>
      <c r="CL78" s="538">
        <f t="shared" si="285"/>
        <v>0</v>
      </c>
      <c r="CM78" s="538">
        <f t="shared" si="286"/>
        <v>0</v>
      </c>
      <c r="CN78" s="538">
        <f t="shared" si="213"/>
        <v>0</v>
      </c>
      <c r="CO78" s="538">
        <f t="shared" si="287"/>
        <v>2.4171999999999545</v>
      </c>
      <c r="CP78" s="538">
        <f t="shared" si="288"/>
        <v>0</v>
      </c>
      <c r="CQ78" s="538">
        <f t="shared" si="289"/>
        <v>0</v>
      </c>
      <c r="CR78" s="539">
        <f t="shared" si="290"/>
        <v>0</v>
      </c>
      <c r="CS78" s="540">
        <f t="shared" si="214"/>
        <v>0</v>
      </c>
      <c r="CT78" s="540">
        <f t="shared" si="215"/>
        <v>0</v>
      </c>
      <c r="CU78" s="541">
        <f t="shared" si="216"/>
        <v>0</v>
      </c>
      <c r="CV78" s="538">
        <f t="shared" si="217"/>
        <v>0</v>
      </c>
      <c r="CW78" s="538">
        <f t="shared" si="218"/>
        <v>0</v>
      </c>
      <c r="CX78" s="104">
        <f t="shared" si="219"/>
        <v>0</v>
      </c>
      <c r="CY78" s="542">
        <f t="shared" si="291"/>
        <v>0</v>
      </c>
      <c r="CZ78" s="538">
        <f t="shared" si="292"/>
        <v>0</v>
      </c>
      <c r="DC78" s="112" t="s">
        <v>1480</v>
      </c>
      <c r="DD78" s="112" t="b">
        <f t="shared" si="296"/>
        <v>0</v>
      </c>
    </row>
    <row r="79" spans="1:108" s="112" customFormat="1" ht="25" x14ac:dyDescent="0.25">
      <c r="A79" s="100" t="str">
        <f>'BOCA DE LOBO'!C77</f>
        <v>BL72-&gt;PV1-28</v>
      </c>
      <c r="B79" s="100" t="str">
        <f>'BOCA DE LOBO'!A77</f>
        <v>PV1-28</v>
      </c>
      <c r="C79" s="100" t="str">
        <f>VLOOKUP(A79,'BOCA DE LOBO'!C:F,3,0)</f>
        <v>EXISTENTE</v>
      </c>
      <c r="D79" s="100" t="str">
        <f>VLOOKUP(A79,'BOCA DE LOBO'!C:L,10,0)</f>
        <v>EXISTENTE</v>
      </c>
      <c r="E79" s="100">
        <f t="shared" si="220"/>
        <v>0.70359999999993628</v>
      </c>
      <c r="F79" s="100">
        <f>VLOOKUP(A79,'BOCA DE LOBO'!C:D,2,0)</f>
        <v>1.0699999999999363</v>
      </c>
      <c r="G79" s="100">
        <f>VLOOKUP(A79,'BOCA DE LOBO'!C:F,4,0)</f>
        <v>9.16</v>
      </c>
      <c r="H79" s="101">
        <v>400</v>
      </c>
      <c r="I79" s="102">
        <f t="shared" si="221"/>
        <v>1.0167999999999362</v>
      </c>
      <c r="J79" s="102">
        <f t="shared" si="222"/>
        <v>0</v>
      </c>
      <c r="K79" s="103">
        <v>0</v>
      </c>
      <c r="L79" s="104">
        <f t="shared" si="223"/>
        <v>0</v>
      </c>
      <c r="M79" s="104">
        <f t="shared" si="224"/>
        <v>0</v>
      </c>
      <c r="N79" s="104">
        <f t="shared" si="225"/>
        <v>400</v>
      </c>
      <c r="O79" s="104">
        <f t="shared" si="226"/>
        <v>0</v>
      </c>
      <c r="P79" s="105" t="s">
        <v>1999</v>
      </c>
      <c r="Q79" s="144" t="s">
        <v>2029</v>
      </c>
      <c r="R79" s="105">
        <v>1</v>
      </c>
      <c r="S79" s="105">
        <f>VLOOKUP(Q79,Quantitativos!P:R,3,0)</f>
        <v>11.84</v>
      </c>
      <c r="T79" s="105">
        <f>VLOOKUP(Q79,Quantitativos!P:S,4,0)</f>
        <v>1.7</v>
      </c>
      <c r="U79" s="104">
        <f t="shared" si="227"/>
        <v>0.05</v>
      </c>
      <c r="V79" s="106">
        <f t="shared" si="228"/>
        <v>0</v>
      </c>
      <c r="W79" s="106">
        <f t="shared" si="229"/>
        <v>0</v>
      </c>
      <c r="X79" s="107">
        <f t="shared" si="230"/>
        <v>0</v>
      </c>
      <c r="Y79" s="107">
        <f t="shared" si="231"/>
        <v>0.4</v>
      </c>
      <c r="Z79" s="107">
        <f t="shared" si="232"/>
        <v>1.0167999999999362</v>
      </c>
      <c r="AA79" s="107">
        <f t="shared" si="233"/>
        <v>0</v>
      </c>
      <c r="AB79" s="108">
        <f t="shared" si="234"/>
        <v>0</v>
      </c>
      <c r="AC79" s="109">
        <f t="shared" si="235"/>
        <v>0</v>
      </c>
      <c r="AD79" s="109">
        <f t="shared" si="236"/>
        <v>0</v>
      </c>
      <c r="AE79" s="109">
        <f t="shared" si="237"/>
        <v>0</v>
      </c>
      <c r="AF79" s="109">
        <f t="shared" si="238"/>
        <v>0</v>
      </c>
      <c r="AG79" s="109">
        <f t="shared" si="239"/>
        <v>0</v>
      </c>
      <c r="AH79" s="109">
        <f t="shared" si="240"/>
        <v>0</v>
      </c>
      <c r="AI79" s="537" t="str">
        <f t="shared" si="241"/>
        <v>NÃO</v>
      </c>
      <c r="AJ79" s="104">
        <f t="shared" si="242"/>
        <v>0</v>
      </c>
      <c r="AK79" s="104">
        <f t="shared" si="243"/>
        <v>0</v>
      </c>
      <c r="AL79" s="104">
        <f t="shared" si="244"/>
        <v>0</v>
      </c>
      <c r="AM79" s="102">
        <f t="shared" si="245"/>
        <v>0</v>
      </c>
      <c r="AN79" s="106">
        <f t="shared" si="246"/>
        <v>0</v>
      </c>
      <c r="AO79" s="104">
        <f t="shared" si="247"/>
        <v>0</v>
      </c>
      <c r="AP79" s="104">
        <f t="shared" si="248"/>
        <v>0</v>
      </c>
      <c r="AQ79" s="104">
        <f t="shared" si="249"/>
        <v>0.7</v>
      </c>
      <c r="AR79" s="104">
        <f t="shared" si="250"/>
        <v>0</v>
      </c>
      <c r="AS79" s="104">
        <f t="shared" si="251"/>
        <v>0</v>
      </c>
      <c r="AT79" s="104">
        <f t="shared" si="252"/>
        <v>0</v>
      </c>
      <c r="AU79" s="104">
        <f t="shared" si="253"/>
        <v>0</v>
      </c>
      <c r="AV79" s="104">
        <f t="shared" si="254"/>
        <v>0</v>
      </c>
      <c r="AW79" s="104">
        <f t="shared" si="255"/>
        <v>0</v>
      </c>
      <c r="AX79" s="104">
        <f t="shared" si="256"/>
        <v>0</v>
      </c>
      <c r="AY79" s="104">
        <f t="shared" si="257"/>
        <v>0</v>
      </c>
      <c r="AZ79" s="104">
        <f t="shared" si="258"/>
        <v>0</v>
      </c>
      <c r="BA79" s="104">
        <f t="shared" si="294"/>
        <v>0</v>
      </c>
      <c r="BB79" s="104">
        <f t="shared" si="259"/>
        <v>0</v>
      </c>
      <c r="BC79" s="104"/>
      <c r="BD79" s="104">
        <f t="shared" si="260"/>
        <v>0</v>
      </c>
      <c r="BE79" s="108">
        <f t="shared" si="261"/>
        <v>1.0167999999999362</v>
      </c>
      <c r="BF79" s="110">
        <f t="shared" si="262"/>
        <v>0</v>
      </c>
      <c r="BG79" s="110">
        <f t="shared" si="263"/>
        <v>0</v>
      </c>
      <c r="BH79" s="105" t="str">
        <f>VLOOKUP(A79,'BOCA DE LOBO'!C:I,7,0)</f>
        <v>BOCA DE LOBO EXISTENTE DUPLA</v>
      </c>
      <c r="BI79" s="104">
        <f t="shared" si="264"/>
        <v>0</v>
      </c>
      <c r="BJ79" s="104">
        <f t="shared" si="265"/>
        <v>0</v>
      </c>
      <c r="BK79" s="104">
        <f t="shared" si="266"/>
        <v>0</v>
      </c>
      <c r="BL79" s="104">
        <f t="shared" si="267"/>
        <v>0</v>
      </c>
      <c r="BM79" s="104">
        <f t="shared" si="268"/>
        <v>0</v>
      </c>
      <c r="BN79" s="104">
        <f t="shared" si="269"/>
        <v>0</v>
      </c>
      <c r="BO79" s="104">
        <f t="shared" si="270"/>
        <v>0</v>
      </c>
      <c r="BP79" s="111"/>
      <c r="BQ79" s="108">
        <f t="shared" si="271"/>
        <v>27.48</v>
      </c>
      <c r="BR79" s="108">
        <f t="shared" si="272"/>
        <v>0.30777599999883115</v>
      </c>
      <c r="BS79" s="108">
        <f t="shared" si="273"/>
        <v>0</v>
      </c>
      <c r="BV79" s="538">
        <f t="shared" si="208"/>
        <v>0</v>
      </c>
      <c r="BW79" s="538">
        <f t="shared" si="209"/>
        <v>0</v>
      </c>
      <c r="BX79" s="538">
        <f t="shared" si="293"/>
        <v>0</v>
      </c>
      <c r="BY79" s="538">
        <f t="shared" si="274"/>
        <v>0.70359999999993628</v>
      </c>
      <c r="BZ79" s="538">
        <f t="shared" si="275"/>
        <v>0.70359999999993628</v>
      </c>
      <c r="CA79" s="538">
        <f t="shared" si="276"/>
        <v>0.4</v>
      </c>
      <c r="CB79" s="538">
        <f t="shared" si="277"/>
        <v>0</v>
      </c>
      <c r="CC79" s="538">
        <f t="shared" si="278"/>
        <v>0</v>
      </c>
      <c r="CD79" s="538">
        <f t="shared" si="279"/>
        <v>0</v>
      </c>
      <c r="CE79" s="538">
        <f t="shared" si="280"/>
        <v>0</v>
      </c>
      <c r="CF79" s="538">
        <f t="shared" si="281"/>
        <v>0</v>
      </c>
      <c r="CG79" s="538">
        <f t="shared" si="282"/>
        <v>0</v>
      </c>
      <c r="CH79" s="538">
        <f t="shared" si="283"/>
        <v>0</v>
      </c>
      <c r="CI79" s="104">
        <f t="shared" si="211"/>
        <v>0</v>
      </c>
      <c r="CJ79" s="538">
        <f t="shared" si="284"/>
        <v>0</v>
      </c>
      <c r="CK79" s="538">
        <f t="shared" si="295"/>
        <v>0</v>
      </c>
      <c r="CL79" s="538">
        <f t="shared" si="285"/>
        <v>0</v>
      </c>
      <c r="CM79" s="538">
        <f t="shared" si="286"/>
        <v>0</v>
      </c>
      <c r="CN79" s="538">
        <f t="shared" si="213"/>
        <v>0</v>
      </c>
      <c r="CO79" s="538">
        <f t="shared" si="287"/>
        <v>1.2035999999999363</v>
      </c>
      <c r="CP79" s="538">
        <f t="shared" si="288"/>
        <v>0</v>
      </c>
      <c r="CQ79" s="538">
        <f t="shared" si="289"/>
        <v>0</v>
      </c>
      <c r="CR79" s="539">
        <f t="shared" si="290"/>
        <v>0</v>
      </c>
      <c r="CS79" s="540">
        <f t="shared" si="214"/>
        <v>0</v>
      </c>
      <c r="CT79" s="540">
        <f t="shared" si="215"/>
        <v>0</v>
      </c>
      <c r="CU79" s="541">
        <f t="shared" si="216"/>
        <v>0</v>
      </c>
      <c r="CV79" s="538">
        <f t="shared" si="217"/>
        <v>0</v>
      </c>
      <c r="CW79" s="538">
        <f t="shared" si="218"/>
        <v>0</v>
      </c>
      <c r="CX79" s="104">
        <f t="shared" si="219"/>
        <v>0</v>
      </c>
      <c r="CY79" s="542">
        <f t="shared" si="291"/>
        <v>0</v>
      </c>
      <c r="CZ79" s="538">
        <f t="shared" si="292"/>
        <v>0</v>
      </c>
      <c r="DC79" s="112" t="s">
        <v>1484</v>
      </c>
      <c r="DD79" s="112" t="b">
        <f t="shared" si="296"/>
        <v>0</v>
      </c>
    </row>
    <row r="80" spans="1:108" s="112" customFormat="1" ht="25" x14ac:dyDescent="0.25">
      <c r="A80" s="100" t="str">
        <f>'BOCA DE LOBO'!C78</f>
        <v>BL73-&gt;PV1-29</v>
      </c>
      <c r="B80" s="100" t="str">
        <f>'BOCA DE LOBO'!A78</f>
        <v>PV1-29</v>
      </c>
      <c r="C80" s="100" t="str">
        <f>VLOOKUP(A80,'BOCA DE LOBO'!C:F,3,0)</f>
        <v>EXISTENTE</v>
      </c>
      <c r="D80" s="100" t="str">
        <f>VLOOKUP(A80,'BOCA DE LOBO'!C:L,10,0)</f>
        <v>EXISTENTE</v>
      </c>
      <c r="E80" s="100">
        <f t="shared" si="220"/>
        <v>2.1212</v>
      </c>
      <c r="F80" s="100">
        <f>VLOOKUP(A80,'BOCA DE LOBO'!C:D,2,0)</f>
        <v>2.66</v>
      </c>
      <c r="G80" s="100">
        <f>VLOOKUP(A80,'BOCA DE LOBO'!C:F,4,0)</f>
        <v>13.47</v>
      </c>
      <c r="H80" s="101">
        <v>400</v>
      </c>
      <c r="I80" s="102">
        <f t="shared" si="221"/>
        <v>2.5206</v>
      </c>
      <c r="J80" s="102">
        <f t="shared" si="222"/>
        <v>0</v>
      </c>
      <c r="K80" s="103">
        <v>0</v>
      </c>
      <c r="L80" s="104">
        <f t="shared" si="223"/>
        <v>0</v>
      </c>
      <c r="M80" s="104">
        <f t="shared" si="224"/>
        <v>0</v>
      </c>
      <c r="N80" s="104">
        <f t="shared" si="225"/>
        <v>400</v>
      </c>
      <c r="O80" s="104">
        <f t="shared" si="226"/>
        <v>0</v>
      </c>
      <c r="P80" s="105" t="s">
        <v>1999</v>
      </c>
      <c r="Q80" s="144" t="s">
        <v>2032</v>
      </c>
      <c r="R80" s="105">
        <v>1</v>
      </c>
      <c r="S80" s="105">
        <f>VLOOKUP(Q80,Quantitativos!P:R,3,0)</f>
        <v>5</v>
      </c>
      <c r="T80" s="105">
        <f>VLOOKUP(Q80,Quantitativos!P:S,4,0)</f>
        <v>5</v>
      </c>
      <c r="U80" s="104">
        <f t="shared" si="227"/>
        <v>0.05</v>
      </c>
      <c r="V80" s="106">
        <f t="shared" si="228"/>
        <v>0</v>
      </c>
      <c r="W80" s="106">
        <f t="shared" si="229"/>
        <v>0</v>
      </c>
      <c r="X80" s="107">
        <f t="shared" si="230"/>
        <v>0</v>
      </c>
      <c r="Y80" s="107">
        <f t="shared" si="231"/>
        <v>0.4</v>
      </c>
      <c r="Z80" s="107">
        <f t="shared" si="232"/>
        <v>2.5206</v>
      </c>
      <c r="AA80" s="107">
        <f t="shared" si="233"/>
        <v>0</v>
      </c>
      <c r="AB80" s="108">
        <f t="shared" si="234"/>
        <v>0</v>
      </c>
      <c r="AC80" s="109">
        <f t="shared" si="235"/>
        <v>0</v>
      </c>
      <c r="AD80" s="109">
        <f t="shared" si="236"/>
        <v>0</v>
      </c>
      <c r="AE80" s="109">
        <f t="shared" si="237"/>
        <v>0</v>
      </c>
      <c r="AF80" s="109">
        <f t="shared" si="238"/>
        <v>0</v>
      </c>
      <c r="AG80" s="109">
        <f t="shared" si="239"/>
        <v>0</v>
      </c>
      <c r="AH80" s="109">
        <f t="shared" si="240"/>
        <v>0</v>
      </c>
      <c r="AI80" s="537" t="str">
        <f t="shared" si="241"/>
        <v>NÃO</v>
      </c>
      <c r="AJ80" s="104">
        <f t="shared" si="242"/>
        <v>0</v>
      </c>
      <c r="AK80" s="104">
        <f t="shared" si="243"/>
        <v>0</v>
      </c>
      <c r="AL80" s="104">
        <f t="shared" si="244"/>
        <v>0</v>
      </c>
      <c r="AM80" s="102">
        <f t="shared" si="245"/>
        <v>0</v>
      </c>
      <c r="AN80" s="106">
        <f t="shared" si="246"/>
        <v>0</v>
      </c>
      <c r="AO80" s="104">
        <f t="shared" si="247"/>
        <v>0</v>
      </c>
      <c r="AP80" s="104">
        <f t="shared" si="248"/>
        <v>0</v>
      </c>
      <c r="AQ80" s="104">
        <f t="shared" si="249"/>
        <v>0.7</v>
      </c>
      <c r="AR80" s="104">
        <f t="shared" si="250"/>
        <v>0</v>
      </c>
      <c r="AS80" s="104">
        <f t="shared" si="251"/>
        <v>0</v>
      </c>
      <c r="AT80" s="104">
        <f t="shared" si="252"/>
        <v>0</v>
      </c>
      <c r="AU80" s="104">
        <f t="shared" si="253"/>
        <v>0</v>
      </c>
      <c r="AV80" s="104">
        <f t="shared" si="254"/>
        <v>0</v>
      </c>
      <c r="AW80" s="104">
        <f t="shared" si="255"/>
        <v>0</v>
      </c>
      <c r="AX80" s="104">
        <f t="shared" si="256"/>
        <v>0</v>
      </c>
      <c r="AY80" s="104">
        <f t="shared" si="257"/>
        <v>0</v>
      </c>
      <c r="AZ80" s="104">
        <f t="shared" si="258"/>
        <v>0</v>
      </c>
      <c r="BA80" s="104">
        <f t="shared" si="294"/>
        <v>0</v>
      </c>
      <c r="BB80" s="104">
        <f t="shared" si="259"/>
        <v>0</v>
      </c>
      <c r="BC80" s="104"/>
      <c r="BD80" s="104">
        <f t="shared" si="260"/>
        <v>0</v>
      </c>
      <c r="BE80" s="108">
        <f t="shared" si="261"/>
        <v>2.5206</v>
      </c>
      <c r="BF80" s="110">
        <f t="shared" si="262"/>
        <v>0</v>
      </c>
      <c r="BG80" s="110">
        <f t="shared" si="263"/>
        <v>0</v>
      </c>
      <c r="BH80" s="105" t="str">
        <f>VLOOKUP(A80,'BOCA DE LOBO'!C:I,7,0)</f>
        <v>BOCA DE LOBO EXISTENTE TRIPLA</v>
      </c>
      <c r="BI80" s="104">
        <f t="shared" si="264"/>
        <v>0</v>
      </c>
      <c r="BJ80" s="104">
        <f t="shared" si="265"/>
        <v>0</v>
      </c>
      <c r="BK80" s="104">
        <f t="shared" si="266"/>
        <v>0</v>
      </c>
      <c r="BL80" s="104">
        <f t="shared" si="267"/>
        <v>0</v>
      </c>
      <c r="BM80" s="104">
        <f t="shared" si="268"/>
        <v>0</v>
      </c>
      <c r="BN80" s="104">
        <f t="shared" si="269"/>
        <v>0</v>
      </c>
      <c r="BO80" s="104">
        <f t="shared" si="270"/>
        <v>0</v>
      </c>
      <c r="BP80" s="111"/>
      <c r="BQ80" s="108">
        <f t="shared" si="271"/>
        <v>40.410000000000004</v>
      </c>
      <c r="BR80" s="108">
        <f t="shared" si="272"/>
        <v>40.410000000000004</v>
      </c>
      <c r="BS80" s="108">
        <f t="shared" si="273"/>
        <v>0.55496399999999868</v>
      </c>
      <c r="BV80" s="538">
        <f t="shared" si="208"/>
        <v>0</v>
      </c>
      <c r="BW80" s="538">
        <f t="shared" si="209"/>
        <v>0</v>
      </c>
      <c r="BX80" s="538">
        <f t="shared" si="293"/>
        <v>0</v>
      </c>
      <c r="BY80" s="538">
        <f t="shared" si="274"/>
        <v>2.1212</v>
      </c>
      <c r="BZ80" s="538">
        <f t="shared" si="275"/>
        <v>2.1212</v>
      </c>
      <c r="CA80" s="538">
        <f t="shared" si="276"/>
        <v>0.4</v>
      </c>
      <c r="CB80" s="538">
        <f t="shared" si="277"/>
        <v>0</v>
      </c>
      <c r="CC80" s="538">
        <f t="shared" si="278"/>
        <v>0</v>
      </c>
      <c r="CD80" s="538">
        <f t="shared" si="279"/>
        <v>0</v>
      </c>
      <c r="CE80" s="538">
        <f t="shared" si="280"/>
        <v>0</v>
      </c>
      <c r="CF80" s="538">
        <f t="shared" si="281"/>
        <v>0</v>
      </c>
      <c r="CG80" s="538">
        <f t="shared" si="282"/>
        <v>0</v>
      </c>
      <c r="CH80" s="538">
        <f t="shared" si="283"/>
        <v>0</v>
      </c>
      <c r="CI80" s="104">
        <f t="shared" si="211"/>
        <v>0</v>
      </c>
      <c r="CJ80" s="538">
        <f t="shared" si="284"/>
        <v>0</v>
      </c>
      <c r="CK80" s="538">
        <f t="shared" si="295"/>
        <v>0</v>
      </c>
      <c r="CL80" s="538">
        <f t="shared" si="285"/>
        <v>0</v>
      </c>
      <c r="CM80" s="538">
        <f t="shared" si="286"/>
        <v>0</v>
      </c>
      <c r="CN80" s="538">
        <f t="shared" si="213"/>
        <v>0</v>
      </c>
      <c r="CO80" s="538">
        <f t="shared" si="287"/>
        <v>2.6212</v>
      </c>
      <c r="CP80" s="538">
        <f t="shared" si="288"/>
        <v>0</v>
      </c>
      <c r="CQ80" s="538">
        <f t="shared" si="289"/>
        <v>0</v>
      </c>
      <c r="CR80" s="539">
        <f t="shared" si="290"/>
        <v>0</v>
      </c>
      <c r="CS80" s="540">
        <f t="shared" si="214"/>
        <v>0</v>
      </c>
      <c r="CT80" s="540">
        <f t="shared" si="215"/>
        <v>0</v>
      </c>
      <c r="CU80" s="541">
        <f t="shared" si="216"/>
        <v>0</v>
      </c>
      <c r="CV80" s="538">
        <f t="shared" si="217"/>
        <v>0</v>
      </c>
      <c r="CW80" s="538">
        <f t="shared" si="218"/>
        <v>0</v>
      </c>
      <c r="CX80" s="104">
        <f t="shared" si="219"/>
        <v>0</v>
      </c>
      <c r="CY80" s="542">
        <f t="shared" si="291"/>
        <v>0</v>
      </c>
      <c r="CZ80" s="538">
        <f t="shared" si="292"/>
        <v>0</v>
      </c>
      <c r="DC80" s="112" t="s">
        <v>1484</v>
      </c>
      <c r="DD80" s="112" t="b">
        <f t="shared" si="296"/>
        <v>0</v>
      </c>
    </row>
    <row r="81" spans="1:108" s="112" customFormat="1" ht="25" x14ac:dyDescent="0.25">
      <c r="A81" s="100" t="str">
        <f>'BOCA DE LOBO'!C79</f>
        <v>BL74-&gt;PV1-30</v>
      </c>
      <c r="B81" s="100" t="str">
        <f>'BOCA DE LOBO'!A79</f>
        <v>PV1-30</v>
      </c>
      <c r="C81" s="100" t="str">
        <f>VLOOKUP(A81,'BOCA DE LOBO'!C:F,3,0)</f>
        <v>EXISTENTE</v>
      </c>
      <c r="D81" s="100" t="str">
        <f>VLOOKUP(A81,'BOCA DE LOBO'!C:L,10,0)</f>
        <v>PROJETADA</v>
      </c>
      <c r="E81" s="100">
        <f t="shared" si="220"/>
        <v>1.3724000000000001</v>
      </c>
      <c r="F81" s="100">
        <f>VLOOKUP(A81,'BOCA DE LOBO'!C:D,2,0)</f>
        <v>1.75</v>
      </c>
      <c r="G81" s="100">
        <f>VLOOKUP(A81,'BOCA DE LOBO'!C:F,4,0)</f>
        <v>9.44</v>
      </c>
      <c r="H81" s="101">
        <v>400</v>
      </c>
      <c r="I81" s="102">
        <f t="shared" si="221"/>
        <v>1.6912</v>
      </c>
      <c r="J81" s="102">
        <f t="shared" si="222"/>
        <v>0.79824639999999991</v>
      </c>
      <c r="K81" s="103">
        <v>0</v>
      </c>
      <c r="L81" s="104">
        <f t="shared" si="223"/>
        <v>1</v>
      </c>
      <c r="M81" s="104">
        <f t="shared" si="224"/>
        <v>1</v>
      </c>
      <c r="N81" s="104">
        <f t="shared" si="225"/>
        <v>0</v>
      </c>
      <c r="O81" s="104">
        <f t="shared" si="226"/>
        <v>9.44</v>
      </c>
      <c r="P81" s="105" t="s">
        <v>1999</v>
      </c>
      <c r="Q81" s="144" t="s">
        <v>2032</v>
      </c>
      <c r="R81" s="105">
        <v>1</v>
      </c>
      <c r="S81" s="105">
        <f>VLOOKUP(Q81,Quantitativos!P:R,3,0)</f>
        <v>5</v>
      </c>
      <c r="T81" s="105">
        <f>VLOOKUP(Q81,Quantitativos!P:S,4,0)</f>
        <v>5</v>
      </c>
      <c r="U81" s="104">
        <f t="shared" si="227"/>
        <v>0.05</v>
      </c>
      <c r="V81" s="106">
        <f t="shared" si="228"/>
        <v>0</v>
      </c>
      <c r="W81" s="106">
        <f t="shared" si="229"/>
        <v>19.740927999999997</v>
      </c>
      <c r="X81" s="107">
        <f t="shared" si="230"/>
        <v>0</v>
      </c>
      <c r="Y81" s="107">
        <f t="shared" si="231"/>
        <v>2.0912000000000002</v>
      </c>
      <c r="Z81" s="107">
        <f t="shared" si="232"/>
        <v>0</v>
      </c>
      <c r="AA81" s="107">
        <f t="shared" si="233"/>
        <v>1.6912</v>
      </c>
      <c r="AB81" s="108">
        <f t="shared" si="234"/>
        <v>9.44</v>
      </c>
      <c r="AC81" s="109">
        <f t="shared" si="235"/>
        <v>14.16</v>
      </c>
      <c r="AD81" s="109">
        <f t="shared" si="236"/>
        <v>5.580928000000001</v>
      </c>
      <c r="AE81" s="109">
        <f t="shared" si="237"/>
        <v>0</v>
      </c>
      <c r="AF81" s="109">
        <f t="shared" si="238"/>
        <v>0</v>
      </c>
      <c r="AG81" s="109">
        <f t="shared" si="239"/>
        <v>0</v>
      </c>
      <c r="AH81" s="109">
        <f t="shared" si="240"/>
        <v>0</v>
      </c>
      <c r="AI81" s="537" t="str">
        <f t="shared" si="241"/>
        <v>NÃO</v>
      </c>
      <c r="AJ81" s="104">
        <f t="shared" si="242"/>
        <v>0</v>
      </c>
      <c r="AK81" s="104">
        <f t="shared" si="243"/>
        <v>0</v>
      </c>
      <c r="AL81" s="104">
        <f t="shared" si="244"/>
        <v>18.554662614004492</v>
      </c>
      <c r="AM81" s="102">
        <f t="shared" si="245"/>
        <v>0.47199999999999998</v>
      </c>
      <c r="AN81" s="106">
        <f t="shared" si="246"/>
        <v>0</v>
      </c>
      <c r="AO81" s="104">
        <f t="shared" si="247"/>
        <v>3.7759999999999998</v>
      </c>
      <c r="AP81" s="104">
        <f t="shared" si="248"/>
        <v>3.7759999999999998</v>
      </c>
      <c r="AQ81" s="104">
        <f t="shared" si="249"/>
        <v>0.7</v>
      </c>
      <c r="AR81" s="104">
        <f t="shared" si="250"/>
        <v>5.4217346140044942</v>
      </c>
      <c r="AS81" s="104">
        <f t="shared" si="251"/>
        <v>5.4217346140044942</v>
      </c>
      <c r="AT81" s="104">
        <f t="shared" si="252"/>
        <v>1.4159999999999999</v>
      </c>
      <c r="AU81" s="104">
        <f t="shared" si="253"/>
        <v>1.4159999999999999</v>
      </c>
      <c r="AV81" s="104">
        <f t="shared" si="254"/>
        <v>0.28319999999999995</v>
      </c>
      <c r="AW81" s="104">
        <f t="shared" si="255"/>
        <v>6.0529279999999979</v>
      </c>
      <c r="AX81" s="104">
        <f t="shared" si="256"/>
        <v>-10.613734614004494</v>
      </c>
      <c r="AY81" s="104">
        <f t="shared" si="257"/>
        <v>-10.613734614004494</v>
      </c>
      <c r="AZ81" s="104">
        <f t="shared" si="258"/>
        <v>16.666662614004494</v>
      </c>
      <c r="BA81" s="104">
        <f t="shared" si="294"/>
        <v>4.3135119653240057</v>
      </c>
      <c r="BB81" s="104">
        <f t="shared" si="259"/>
        <v>12.353150648680488</v>
      </c>
      <c r="BC81" s="104"/>
      <c r="BD81" s="104">
        <f t="shared" si="260"/>
        <v>0.20768</v>
      </c>
      <c r="BE81" s="108">
        <f t="shared" si="261"/>
        <v>1.6912</v>
      </c>
      <c r="BF81" s="110">
        <f t="shared" si="262"/>
        <v>9.44</v>
      </c>
      <c r="BG81" s="110">
        <f t="shared" si="263"/>
        <v>0</v>
      </c>
      <c r="BH81" s="105" t="str">
        <f>VLOOKUP(A81,'BOCA DE LOBO'!C:I,7,0)</f>
        <v>BOCA DE LOBO PROJETADA DUPLA</v>
      </c>
      <c r="BI81" s="104">
        <f t="shared" si="264"/>
        <v>0</v>
      </c>
      <c r="BJ81" s="104">
        <f t="shared" si="265"/>
        <v>0</v>
      </c>
      <c r="BK81" s="104">
        <f t="shared" si="266"/>
        <v>0</v>
      </c>
      <c r="BL81" s="104">
        <f t="shared" si="267"/>
        <v>0</v>
      </c>
      <c r="BM81" s="104">
        <f t="shared" si="268"/>
        <v>0</v>
      </c>
      <c r="BN81" s="104">
        <f t="shared" si="269"/>
        <v>1</v>
      </c>
      <c r="BO81" s="104">
        <f t="shared" si="270"/>
        <v>0</v>
      </c>
      <c r="BP81" s="111"/>
      <c r="BQ81" s="108">
        <f t="shared" si="271"/>
        <v>28.32</v>
      </c>
      <c r="BR81" s="108">
        <f t="shared" si="272"/>
        <v>13.049856000000004</v>
      </c>
      <c r="BS81" s="108">
        <f t="shared" si="273"/>
        <v>0</v>
      </c>
      <c r="BV81" s="538">
        <f t="shared" si="208"/>
        <v>14.572140239999998</v>
      </c>
      <c r="BW81" s="538">
        <f t="shared" si="209"/>
        <v>7.7825999999999986</v>
      </c>
      <c r="BX81" s="538">
        <f t="shared" si="293"/>
        <v>3.0325999999999995</v>
      </c>
      <c r="BY81" s="538">
        <f t="shared" si="274"/>
        <v>1.3724000000000001</v>
      </c>
      <c r="BZ81" s="538">
        <f t="shared" si="275"/>
        <v>0</v>
      </c>
      <c r="CA81" s="538">
        <f t="shared" si="276"/>
        <v>1.7724000000000002</v>
      </c>
      <c r="CB81" s="538">
        <f t="shared" si="277"/>
        <v>0</v>
      </c>
      <c r="CC81" s="538">
        <f t="shared" si="278"/>
        <v>0</v>
      </c>
      <c r="CD81" s="538">
        <f t="shared" si="279"/>
        <v>0</v>
      </c>
      <c r="CE81" s="538">
        <f t="shared" si="280"/>
        <v>11.673899999999998</v>
      </c>
      <c r="CF81" s="538">
        <f t="shared" si="281"/>
        <v>2.1199802400000012</v>
      </c>
      <c r="CG81" s="538">
        <f t="shared" si="282"/>
        <v>0.77825999999999773</v>
      </c>
      <c r="CH81" s="538">
        <f t="shared" si="283"/>
        <v>0</v>
      </c>
      <c r="CI81" s="104">
        <f t="shared" si="211"/>
        <v>0.53549999999999998</v>
      </c>
      <c r="CJ81" s="538">
        <f t="shared" si="284"/>
        <v>7.8833999999999991</v>
      </c>
      <c r="CK81" s="538">
        <f t="shared" si="295"/>
        <v>7.8833999999999991</v>
      </c>
      <c r="CL81" s="538">
        <f t="shared" si="285"/>
        <v>0</v>
      </c>
      <c r="CM81" s="538">
        <f t="shared" si="286"/>
        <v>0.15565199999999998</v>
      </c>
      <c r="CN81" s="538">
        <f t="shared" si="213"/>
        <v>3.57</v>
      </c>
      <c r="CO81" s="538">
        <f t="shared" si="287"/>
        <v>1.8724000000000001</v>
      </c>
      <c r="CP81" s="538">
        <f t="shared" si="288"/>
        <v>10.709999999999999</v>
      </c>
      <c r="CQ81" s="538">
        <f t="shared" si="289"/>
        <v>2.6589360000000002</v>
      </c>
      <c r="CR81" s="539">
        <f t="shared" si="290"/>
        <v>0</v>
      </c>
      <c r="CS81" s="540">
        <f t="shared" si="214"/>
        <v>0</v>
      </c>
      <c r="CT81" s="540">
        <f t="shared" si="215"/>
        <v>0.33012999999999998</v>
      </c>
      <c r="CU81" s="541">
        <f t="shared" si="216"/>
        <v>7.1364800000000006</v>
      </c>
      <c r="CV81" s="538">
        <f t="shared" si="217"/>
        <v>1.0939044</v>
      </c>
      <c r="CW81" s="538">
        <f t="shared" si="218"/>
        <v>14.588232000000003</v>
      </c>
      <c r="CX81" s="104">
        <f t="shared" si="219"/>
        <v>3.57</v>
      </c>
      <c r="CY81" s="542">
        <f t="shared" si="291"/>
        <v>1.7849999999999999</v>
      </c>
      <c r="CZ81" s="538">
        <f t="shared" si="292"/>
        <v>2.4513847475961154E-2</v>
      </c>
      <c r="DC81" s="112" t="s">
        <v>1489</v>
      </c>
      <c r="DD81" s="112" t="b">
        <f t="shared" si="296"/>
        <v>0</v>
      </c>
    </row>
    <row r="82" spans="1:108" s="112" customFormat="1" ht="25" x14ac:dyDescent="0.25">
      <c r="A82" s="100" t="str">
        <f>'BOCA DE LOBO'!C80</f>
        <v>BL75-&gt;PV1-31</v>
      </c>
      <c r="B82" s="100" t="str">
        <f>'BOCA DE LOBO'!A80</f>
        <v>PV1-31</v>
      </c>
      <c r="C82" s="100" t="str">
        <f>VLOOKUP(A82,'BOCA DE LOBO'!C:F,3,0)</f>
        <v>EXISTENTE</v>
      </c>
      <c r="D82" s="100" t="str">
        <f>VLOOKUP(A82,'BOCA DE LOBO'!C:L,10,0)</f>
        <v>PROJETADA</v>
      </c>
      <c r="E82" s="100">
        <f t="shared" si="220"/>
        <v>1.4527999999999772</v>
      </c>
      <c r="F82" s="100">
        <f>VLOOKUP(A82,'BOCA DE LOBO'!C:D,2,0)</f>
        <v>1.6499999999999773</v>
      </c>
      <c r="G82" s="100">
        <f>VLOOKUP(A82,'BOCA DE LOBO'!C:F,4,0)</f>
        <v>4.93</v>
      </c>
      <c r="H82" s="101">
        <v>400</v>
      </c>
      <c r="I82" s="102">
        <f t="shared" si="221"/>
        <v>1.6813999999999774</v>
      </c>
      <c r="J82" s="102">
        <f t="shared" si="222"/>
        <v>0.41446509999999437</v>
      </c>
      <c r="K82" s="103">
        <v>0</v>
      </c>
      <c r="L82" s="104">
        <f t="shared" si="223"/>
        <v>1</v>
      </c>
      <c r="M82" s="104">
        <f t="shared" si="224"/>
        <v>1</v>
      </c>
      <c r="N82" s="104">
        <f t="shared" si="225"/>
        <v>0</v>
      </c>
      <c r="O82" s="104">
        <f t="shared" si="226"/>
        <v>4.93</v>
      </c>
      <c r="P82" s="105" t="s">
        <v>1999</v>
      </c>
      <c r="Q82" s="144" t="s">
        <v>2167</v>
      </c>
      <c r="R82" s="105"/>
      <c r="S82" s="105">
        <v>5</v>
      </c>
      <c r="T82" s="105">
        <v>5</v>
      </c>
      <c r="U82" s="104">
        <f t="shared" si="227"/>
        <v>0.05</v>
      </c>
      <c r="V82" s="106">
        <f t="shared" si="228"/>
        <v>0</v>
      </c>
      <c r="W82" s="106">
        <f t="shared" si="229"/>
        <v>8.2893019999998874</v>
      </c>
      <c r="X82" s="107">
        <f t="shared" si="230"/>
        <v>0</v>
      </c>
      <c r="Y82" s="107">
        <f t="shared" si="231"/>
        <v>0</v>
      </c>
      <c r="Z82" s="107">
        <f t="shared" si="232"/>
        <v>1.6813999999999774</v>
      </c>
      <c r="AA82" s="107">
        <f t="shared" si="233"/>
        <v>0</v>
      </c>
      <c r="AB82" s="108">
        <f t="shared" si="234"/>
        <v>4.93</v>
      </c>
      <c r="AC82" s="109">
        <f t="shared" si="235"/>
        <v>0</v>
      </c>
      <c r="AD82" s="109">
        <f t="shared" si="236"/>
        <v>0</v>
      </c>
      <c r="AE82" s="109">
        <f t="shared" si="237"/>
        <v>0</v>
      </c>
      <c r="AF82" s="109">
        <f t="shared" si="238"/>
        <v>7.3949999999999996</v>
      </c>
      <c r="AG82" s="109">
        <f t="shared" si="239"/>
        <v>0.89430199999988835</v>
      </c>
      <c r="AH82" s="109">
        <f t="shared" si="240"/>
        <v>0</v>
      </c>
      <c r="AI82" s="537" t="str">
        <f t="shared" si="241"/>
        <v>NÃO</v>
      </c>
      <c r="AJ82" s="104">
        <f t="shared" si="242"/>
        <v>0</v>
      </c>
      <c r="AK82" s="104">
        <f t="shared" si="243"/>
        <v>0</v>
      </c>
      <c r="AL82" s="104">
        <f t="shared" si="244"/>
        <v>7.6697799287119803</v>
      </c>
      <c r="AM82" s="102">
        <f t="shared" si="245"/>
        <v>0.2465</v>
      </c>
      <c r="AN82" s="106">
        <f t="shared" si="246"/>
        <v>0</v>
      </c>
      <c r="AO82" s="104">
        <f t="shared" si="247"/>
        <v>0</v>
      </c>
      <c r="AP82" s="104">
        <f t="shared" si="248"/>
        <v>0</v>
      </c>
      <c r="AQ82" s="104">
        <f t="shared" si="249"/>
        <v>0.7</v>
      </c>
      <c r="AR82" s="104">
        <f t="shared" si="250"/>
        <v>2.8314779287120926</v>
      </c>
      <c r="AS82" s="104">
        <f t="shared" si="251"/>
        <v>0</v>
      </c>
      <c r="AT82" s="104">
        <f t="shared" si="252"/>
        <v>0.73949999999999994</v>
      </c>
      <c r="AU82" s="104">
        <f t="shared" si="253"/>
        <v>0.73949999999999994</v>
      </c>
      <c r="AV82" s="104">
        <f t="shared" si="254"/>
        <v>0.14789999999999998</v>
      </c>
      <c r="AW82" s="104">
        <f t="shared" si="255"/>
        <v>3.1128019999998884</v>
      </c>
      <c r="AX82" s="104">
        <f t="shared" si="256"/>
        <v>4.7183240712877952</v>
      </c>
      <c r="AY82" s="104">
        <f t="shared" si="257"/>
        <v>3.1128019999998884</v>
      </c>
      <c r="AZ82" s="104">
        <f t="shared" si="258"/>
        <v>0</v>
      </c>
      <c r="BA82" s="104">
        <f t="shared" si="294"/>
        <v>0</v>
      </c>
      <c r="BB82" s="104">
        <f t="shared" si="259"/>
        <v>0</v>
      </c>
      <c r="BC82" s="104"/>
      <c r="BD82" s="104">
        <f t="shared" si="260"/>
        <v>0</v>
      </c>
      <c r="BE82" s="108">
        <f t="shared" si="261"/>
        <v>1.6813999999999774</v>
      </c>
      <c r="BF82" s="110">
        <f t="shared" si="262"/>
        <v>4.93</v>
      </c>
      <c r="BG82" s="110">
        <f t="shared" si="263"/>
        <v>0</v>
      </c>
      <c r="BH82" s="105" t="str">
        <f>VLOOKUP(A82,'BOCA DE LOBO'!C:I,7,0)</f>
        <v>BOCA DE LOBO PROJETADA DUPLA</v>
      </c>
      <c r="BI82" s="104">
        <f t="shared" si="264"/>
        <v>0</v>
      </c>
      <c r="BJ82" s="104">
        <f t="shared" si="265"/>
        <v>0</v>
      </c>
      <c r="BK82" s="104">
        <f t="shared" si="266"/>
        <v>0</v>
      </c>
      <c r="BL82" s="104">
        <f t="shared" si="267"/>
        <v>0</v>
      </c>
      <c r="BM82" s="104">
        <f t="shared" si="268"/>
        <v>0</v>
      </c>
      <c r="BN82" s="104">
        <f t="shared" si="269"/>
        <v>1</v>
      </c>
      <c r="BO82" s="104">
        <f t="shared" si="270"/>
        <v>0</v>
      </c>
      <c r="BP82" s="111"/>
      <c r="BQ82" s="108">
        <f t="shared" si="271"/>
        <v>14.79</v>
      </c>
      <c r="BR82" s="108">
        <f t="shared" si="272"/>
        <v>1.7886039999997767</v>
      </c>
      <c r="BS82" s="108">
        <f t="shared" si="273"/>
        <v>0</v>
      </c>
      <c r="BV82" s="538">
        <f t="shared" si="208"/>
        <v>11.306561279999821</v>
      </c>
      <c r="BW82" s="538">
        <f t="shared" si="209"/>
        <v>7.7825999999999986</v>
      </c>
      <c r="BX82" s="538">
        <f t="shared" si="293"/>
        <v>3.0325999999999995</v>
      </c>
      <c r="BY82" s="538">
        <f t="shared" si="274"/>
        <v>1.4527999999999772</v>
      </c>
      <c r="BZ82" s="538">
        <f t="shared" si="275"/>
        <v>1.4527999999999772</v>
      </c>
      <c r="CA82" s="538">
        <f t="shared" si="276"/>
        <v>0</v>
      </c>
      <c r="CB82" s="538">
        <f t="shared" si="277"/>
        <v>0</v>
      </c>
      <c r="CC82" s="538">
        <f t="shared" si="278"/>
        <v>11.306561279999821</v>
      </c>
      <c r="CD82" s="538">
        <f t="shared" si="279"/>
        <v>0</v>
      </c>
      <c r="CE82" s="538">
        <f t="shared" si="280"/>
        <v>0</v>
      </c>
      <c r="CF82" s="538">
        <f t="shared" si="281"/>
        <v>0</v>
      </c>
      <c r="CG82" s="538">
        <f t="shared" si="282"/>
        <v>0</v>
      </c>
      <c r="CH82" s="538">
        <f t="shared" si="283"/>
        <v>0</v>
      </c>
      <c r="CI82" s="104">
        <f t="shared" si="211"/>
        <v>0.53549999999999998</v>
      </c>
      <c r="CJ82" s="538">
        <f t="shared" si="284"/>
        <v>6.3652999999998903</v>
      </c>
      <c r="CK82" s="538">
        <f t="shared" si="295"/>
        <v>6.3652999999998903</v>
      </c>
      <c r="CL82" s="538">
        <f t="shared" si="285"/>
        <v>0</v>
      </c>
      <c r="CM82" s="538">
        <f t="shared" si="286"/>
        <v>0</v>
      </c>
      <c r="CN82" s="538">
        <f t="shared" si="213"/>
        <v>3.57</v>
      </c>
      <c r="CO82" s="538">
        <f t="shared" si="287"/>
        <v>1.4527999999999772</v>
      </c>
      <c r="CP82" s="538">
        <f t="shared" si="288"/>
        <v>10.372991999999837</v>
      </c>
      <c r="CQ82" s="538">
        <f t="shared" si="289"/>
        <v>0</v>
      </c>
      <c r="CR82" s="539">
        <f t="shared" si="290"/>
        <v>0</v>
      </c>
      <c r="CS82" s="540">
        <f t="shared" si="214"/>
        <v>0</v>
      </c>
      <c r="CT82" s="540">
        <f t="shared" si="215"/>
        <v>0.33012999999999998</v>
      </c>
      <c r="CU82" s="541">
        <f t="shared" si="216"/>
        <v>7.5545599999998814</v>
      </c>
      <c r="CV82" s="538">
        <f t="shared" si="217"/>
        <v>1.1185067999999929</v>
      </c>
      <c r="CW82" s="538">
        <f t="shared" si="218"/>
        <v>15.205703999999828</v>
      </c>
      <c r="CX82" s="104">
        <f t="shared" si="219"/>
        <v>3.57</v>
      </c>
      <c r="CY82" s="542">
        <f t="shared" si="291"/>
        <v>1.7849999999999999</v>
      </c>
      <c r="CZ82" s="538">
        <f t="shared" si="292"/>
        <v>2.4513847475961154E-2</v>
      </c>
      <c r="DC82" s="112" t="s">
        <v>1504</v>
      </c>
      <c r="DD82" s="112" t="b">
        <f t="shared" si="296"/>
        <v>0</v>
      </c>
    </row>
    <row r="83" spans="1:108" s="112" customFormat="1" ht="25" x14ac:dyDescent="0.25">
      <c r="A83" s="100" t="str">
        <f>'BOCA DE LOBO'!C81</f>
        <v>BL76-&gt;PV1-31</v>
      </c>
      <c r="B83" s="100" t="str">
        <f>'BOCA DE LOBO'!A81</f>
        <v>PV1-31</v>
      </c>
      <c r="C83" s="100" t="str">
        <f>VLOOKUP(A83,'BOCA DE LOBO'!C:F,3,0)</f>
        <v>EXISTENTE</v>
      </c>
      <c r="D83" s="100" t="str">
        <f>VLOOKUP(A83,'BOCA DE LOBO'!C:L,10,0)</f>
        <v>PROJETADA</v>
      </c>
      <c r="E83" s="100">
        <f t="shared" si="220"/>
        <v>1.3075999999999772</v>
      </c>
      <c r="F83" s="100">
        <f>VLOOKUP(A83,'BOCA DE LOBO'!C:D,2,0)</f>
        <v>1.6499999999999773</v>
      </c>
      <c r="G83" s="100">
        <f>VLOOKUP(A83,'BOCA DE LOBO'!C:F,4,0)</f>
        <v>8.56</v>
      </c>
      <c r="H83" s="101">
        <v>400</v>
      </c>
      <c r="I83" s="102">
        <f t="shared" si="221"/>
        <v>1.6087999999999774</v>
      </c>
      <c r="J83" s="102">
        <f t="shared" si="222"/>
        <v>0.68856639999999036</v>
      </c>
      <c r="K83" s="103">
        <v>0</v>
      </c>
      <c r="L83" s="104">
        <f t="shared" si="223"/>
        <v>1</v>
      </c>
      <c r="M83" s="104">
        <f t="shared" si="224"/>
        <v>1</v>
      </c>
      <c r="N83" s="104">
        <f t="shared" si="225"/>
        <v>0</v>
      </c>
      <c r="O83" s="104">
        <f t="shared" si="226"/>
        <v>8.56</v>
      </c>
      <c r="P83" s="105" t="s">
        <v>1999</v>
      </c>
      <c r="Q83" s="144" t="s">
        <v>2167</v>
      </c>
      <c r="R83" s="105"/>
      <c r="S83" s="105">
        <v>5</v>
      </c>
      <c r="T83" s="105">
        <v>5</v>
      </c>
      <c r="U83" s="104">
        <f t="shared" si="227"/>
        <v>0.05</v>
      </c>
      <c r="V83" s="106">
        <f t="shared" si="228"/>
        <v>0</v>
      </c>
      <c r="W83" s="106">
        <f t="shared" si="229"/>
        <v>13.771327999999807</v>
      </c>
      <c r="X83" s="107">
        <f t="shared" si="230"/>
        <v>0</v>
      </c>
      <c r="Y83" s="107">
        <f t="shared" si="231"/>
        <v>0</v>
      </c>
      <c r="Z83" s="107">
        <f t="shared" si="232"/>
        <v>1.6087999999999774</v>
      </c>
      <c r="AA83" s="107">
        <f t="shared" si="233"/>
        <v>0</v>
      </c>
      <c r="AB83" s="108">
        <f t="shared" si="234"/>
        <v>8.56</v>
      </c>
      <c r="AC83" s="109">
        <f t="shared" si="235"/>
        <v>0</v>
      </c>
      <c r="AD83" s="109">
        <f t="shared" si="236"/>
        <v>0</v>
      </c>
      <c r="AE83" s="109">
        <f t="shared" si="237"/>
        <v>0</v>
      </c>
      <c r="AF83" s="109">
        <f t="shared" si="238"/>
        <v>12.84</v>
      </c>
      <c r="AG83" s="109">
        <f t="shared" si="239"/>
        <v>0.9313279999998062</v>
      </c>
      <c r="AH83" s="109">
        <f t="shared" si="240"/>
        <v>0</v>
      </c>
      <c r="AI83" s="537" t="str">
        <f t="shared" si="241"/>
        <v>NÃO</v>
      </c>
      <c r="AJ83" s="104">
        <f t="shared" si="242"/>
        <v>0</v>
      </c>
      <c r="AK83" s="104">
        <f t="shared" si="243"/>
        <v>0</v>
      </c>
      <c r="AL83" s="104">
        <f t="shared" si="244"/>
        <v>12.695646675410661</v>
      </c>
      <c r="AM83" s="102">
        <f t="shared" si="245"/>
        <v>0.42800000000000005</v>
      </c>
      <c r="AN83" s="106">
        <f t="shared" si="246"/>
        <v>0</v>
      </c>
      <c r="AO83" s="104">
        <f t="shared" si="247"/>
        <v>0</v>
      </c>
      <c r="AP83" s="104">
        <f t="shared" si="248"/>
        <v>0</v>
      </c>
      <c r="AQ83" s="104">
        <f t="shared" si="249"/>
        <v>0.7</v>
      </c>
      <c r="AR83" s="104">
        <f t="shared" si="250"/>
        <v>4.9163186754108548</v>
      </c>
      <c r="AS83" s="104">
        <f t="shared" si="251"/>
        <v>0</v>
      </c>
      <c r="AT83" s="104">
        <f t="shared" si="252"/>
        <v>1.284</v>
      </c>
      <c r="AU83" s="104">
        <f t="shared" si="253"/>
        <v>1.284</v>
      </c>
      <c r="AV83" s="104">
        <f t="shared" si="254"/>
        <v>0.25680000000000003</v>
      </c>
      <c r="AW83" s="104">
        <f t="shared" si="255"/>
        <v>4.7833279999998037</v>
      </c>
      <c r="AX83" s="104">
        <f t="shared" si="256"/>
        <v>7.5710093245889514</v>
      </c>
      <c r="AY83" s="104">
        <f t="shared" si="257"/>
        <v>4.7833279999998037</v>
      </c>
      <c r="AZ83" s="104">
        <f t="shared" si="258"/>
        <v>0</v>
      </c>
      <c r="BA83" s="104">
        <f t="shared" si="294"/>
        <v>0</v>
      </c>
      <c r="BB83" s="104">
        <f t="shared" si="259"/>
        <v>0</v>
      </c>
      <c r="BC83" s="104"/>
      <c r="BD83" s="104">
        <f t="shared" si="260"/>
        <v>0</v>
      </c>
      <c r="BE83" s="108">
        <f t="shared" si="261"/>
        <v>1.6087999999999774</v>
      </c>
      <c r="BF83" s="110">
        <f t="shared" si="262"/>
        <v>8.56</v>
      </c>
      <c r="BG83" s="110">
        <f t="shared" si="263"/>
        <v>0</v>
      </c>
      <c r="BH83" s="105" t="str">
        <f>VLOOKUP(A83,'BOCA DE LOBO'!C:I,7,0)</f>
        <v>BOCA DE LOBO PROJETADA DUPLA</v>
      </c>
      <c r="BI83" s="104">
        <f t="shared" si="264"/>
        <v>0</v>
      </c>
      <c r="BJ83" s="104">
        <f t="shared" si="265"/>
        <v>0</v>
      </c>
      <c r="BK83" s="104">
        <f t="shared" si="266"/>
        <v>0</v>
      </c>
      <c r="BL83" s="104">
        <f t="shared" si="267"/>
        <v>0</v>
      </c>
      <c r="BM83" s="104">
        <f t="shared" si="268"/>
        <v>0</v>
      </c>
      <c r="BN83" s="104">
        <f t="shared" si="269"/>
        <v>1</v>
      </c>
      <c r="BO83" s="104">
        <f t="shared" si="270"/>
        <v>0</v>
      </c>
      <c r="BP83" s="111"/>
      <c r="BQ83" s="108">
        <f t="shared" si="271"/>
        <v>25.68</v>
      </c>
      <c r="BR83" s="108">
        <f t="shared" si="272"/>
        <v>1.8626559999996124</v>
      </c>
      <c r="BS83" s="108">
        <f t="shared" si="273"/>
        <v>0</v>
      </c>
      <c r="BV83" s="538">
        <f t="shared" si="208"/>
        <v>10.176527759999821</v>
      </c>
      <c r="BW83" s="538">
        <f t="shared" si="209"/>
        <v>7.7825999999999986</v>
      </c>
      <c r="BX83" s="538">
        <f t="shared" si="293"/>
        <v>3.0325999999999995</v>
      </c>
      <c r="BY83" s="538">
        <f t="shared" si="274"/>
        <v>1.3075999999999772</v>
      </c>
      <c r="BZ83" s="538">
        <f t="shared" si="275"/>
        <v>1.3075999999999772</v>
      </c>
      <c r="CA83" s="538">
        <f t="shared" si="276"/>
        <v>0</v>
      </c>
      <c r="CB83" s="538">
        <f t="shared" si="277"/>
        <v>0</v>
      </c>
      <c r="CC83" s="538">
        <f t="shared" si="278"/>
        <v>10.176527759999821</v>
      </c>
      <c r="CD83" s="538">
        <f t="shared" si="279"/>
        <v>0</v>
      </c>
      <c r="CE83" s="538">
        <f t="shared" si="280"/>
        <v>0</v>
      </c>
      <c r="CF83" s="538">
        <f t="shared" si="281"/>
        <v>0</v>
      </c>
      <c r="CG83" s="538">
        <f t="shared" si="282"/>
        <v>0</v>
      </c>
      <c r="CH83" s="538">
        <f t="shared" si="283"/>
        <v>0</v>
      </c>
      <c r="CI83" s="104">
        <f t="shared" si="211"/>
        <v>0.53549999999999998</v>
      </c>
      <c r="CJ83" s="538">
        <f t="shared" si="284"/>
        <v>5.675599999999891</v>
      </c>
      <c r="CK83" s="538">
        <f t="shared" si="295"/>
        <v>5.675599999999891</v>
      </c>
      <c r="CL83" s="538">
        <f t="shared" si="285"/>
        <v>0</v>
      </c>
      <c r="CM83" s="538">
        <f t="shared" si="286"/>
        <v>0</v>
      </c>
      <c r="CN83" s="538">
        <f t="shared" si="213"/>
        <v>3.57</v>
      </c>
      <c r="CO83" s="538">
        <f t="shared" si="287"/>
        <v>1.3075999999999772</v>
      </c>
      <c r="CP83" s="538">
        <f t="shared" si="288"/>
        <v>9.3362639999998365</v>
      </c>
      <c r="CQ83" s="538">
        <f t="shared" si="289"/>
        <v>0</v>
      </c>
      <c r="CR83" s="539">
        <f t="shared" si="290"/>
        <v>0</v>
      </c>
      <c r="CS83" s="540">
        <f t="shared" si="214"/>
        <v>0</v>
      </c>
      <c r="CT83" s="540">
        <f t="shared" si="215"/>
        <v>0.33012999999999998</v>
      </c>
      <c r="CU83" s="541">
        <f t="shared" si="216"/>
        <v>6.7995199999998821</v>
      </c>
      <c r="CV83" s="538">
        <f t="shared" si="217"/>
        <v>1.0740755999999929</v>
      </c>
      <c r="CW83" s="538">
        <f t="shared" si="218"/>
        <v>14.090567999999825</v>
      </c>
      <c r="CX83" s="104">
        <f t="shared" si="219"/>
        <v>3.57</v>
      </c>
      <c r="CY83" s="542">
        <f t="shared" si="291"/>
        <v>1.7849999999999999</v>
      </c>
      <c r="CZ83" s="538">
        <f t="shared" si="292"/>
        <v>2.4513847475961154E-2</v>
      </c>
      <c r="DC83" s="112" t="s">
        <v>1492</v>
      </c>
      <c r="DD83" s="112" t="b">
        <f t="shared" si="296"/>
        <v>0</v>
      </c>
    </row>
    <row r="84" spans="1:108" s="112" customFormat="1" ht="25" x14ac:dyDescent="0.25">
      <c r="A84" s="100" t="str">
        <f>'BOCA DE LOBO'!C82</f>
        <v>BL77-&gt;PV2-31</v>
      </c>
      <c r="B84" s="100" t="str">
        <f>'BOCA DE LOBO'!A82</f>
        <v>PV2-31</v>
      </c>
      <c r="C84" s="100" t="str">
        <f>VLOOKUP(A84,'BOCA DE LOBO'!C:F,3,0)</f>
        <v>EXISTENTE</v>
      </c>
      <c r="D84" s="100" t="str">
        <f>VLOOKUP(A84,'BOCA DE LOBO'!C:L,10,0)</f>
        <v>PROJETADA</v>
      </c>
      <c r="E84" s="100">
        <f t="shared" si="220"/>
        <v>1.9623999999999637</v>
      </c>
      <c r="F84" s="100">
        <f>VLOOKUP(A84,'BOCA DE LOBO'!C:D,2,0)</f>
        <v>2.2899999999999636</v>
      </c>
      <c r="G84" s="100">
        <f>VLOOKUP(A84,'BOCA DE LOBO'!C:F,4,0)</f>
        <v>8.19</v>
      </c>
      <c r="H84" s="101">
        <v>400</v>
      </c>
      <c r="I84" s="102">
        <f t="shared" si="221"/>
        <v>2.2561999999999633</v>
      </c>
      <c r="J84" s="102">
        <f t="shared" si="222"/>
        <v>0.92391389999998486</v>
      </c>
      <c r="K84" s="103">
        <v>0</v>
      </c>
      <c r="L84" s="104">
        <f t="shared" si="223"/>
        <v>1</v>
      </c>
      <c r="M84" s="104">
        <f t="shared" si="224"/>
        <v>1</v>
      </c>
      <c r="N84" s="104">
        <f t="shared" si="225"/>
        <v>0</v>
      </c>
      <c r="O84" s="104">
        <f t="shared" si="226"/>
        <v>8.19</v>
      </c>
      <c r="P84" s="105" t="s">
        <v>1999</v>
      </c>
      <c r="Q84" s="144" t="s">
        <v>2167</v>
      </c>
      <c r="R84" s="105"/>
      <c r="S84" s="105">
        <v>5</v>
      </c>
      <c r="T84" s="105">
        <v>5</v>
      </c>
      <c r="U84" s="104">
        <f t="shared" si="227"/>
        <v>0.05</v>
      </c>
      <c r="V84" s="106">
        <f t="shared" si="228"/>
        <v>0</v>
      </c>
      <c r="W84" s="106">
        <f t="shared" si="229"/>
        <v>18.478277999999698</v>
      </c>
      <c r="X84" s="107">
        <f t="shared" si="230"/>
        <v>0</v>
      </c>
      <c r="Y84" s="107">
        <f t="shared" si="231"/>
        <v>0</v>
      </c>
      <c r="Z84" s="107">
        <f t="shared" si="232"/>
        <v>2.2561999999999633</v>
      </c>
      <c r="AA84" s="107">
        <f t="shared" si="233"/>
        <v>0</v>
      </c>
      <c r="AB84" s="108">
        <f t="shared" si="234"/>
        <v>8.19</v>
      </c>
      <c r="AC84" s="109">
        <f t="shared" si="235"/>
        <v>0</v>
      </c>
      <c r="AD84" s="109">
        <f t="shared" si="236"/>
        <v>0</v>
      </c>
      <c r="AE84" s="109">
        <f t="shared" si="237"/>
        <v>0</v>
      </c>
      <c r="AF84" s="109">
        <f t="shared" si="238"/>
        <v>12.285</v>
      </c>
      <c r="AG84" s="109">
        <f t="shared" si="239"/>
        <v>6.1932779999996992</v>
      </c>
      <c r="AH84" s="109">
        <f t="shared" si="240"/>
        <v>0</v>
      </c>
      <c r="AI84" s="537" t="str">
        <f t="shared" si="241"/>
        <v>NÃO</v>
      </c>
      <c r="AJ84" s="104">
        <f t="shared" si="242"/>
        <v>0</v>
      </c>
      <c r="AK84" s="104">
        <f t="shared" si="243"/>
        <v>0</v>
      </c>
      <c r="AL84" s="104">
        <f t="shared" si="244"/>
        <v>17.44909224668368</v>
      </c>
      <c r="AM84" s="102">
        <f t="shared" si="245"/>
        <v>0.40949999999999998</v>
      </c>
      <c r="AN84" s="106">
        <f t="shared" si="246"/>
        <v>0</v>
      </c>
      <c r="AO84" s="104">
        <f t="shared" si="247"/>
        <v>0</v>
      </c>
      <c r="AP84" s="104">
        <f t="shared" si="248"/>
        <v>0</v>
      </c>
      <c r="AQ84" s="104">
        <f t="shared" si="249"/>
        <v>0.7</v>
      </c>
      <c r="AR84" s="104">
        <f t="shared" si="250"/>
        <v>4.703814246683983</v>
      </c>
      <c r="AS84" s="104">
        <f t="shared" si="251"/>
        <v>0</v>
      </c>
      <c r="AT84" s="104">
        <f t="shared" si="252"/>
        <v>1.2284999999999999</v>
      </c>
      <c r="AU84" s="104">
        <f t="shared" si="253"/>
        <v>1.2284999999999999</v>
      </c>
      <c r="AV84" s="104">
        <f t="shared" si="254"/>
        <v>0.24569999999999997</v>
      </c>
      <c r="AW84" s="104">
        <f t="shared" si="255"/>
        <v>9.878777999999695</v>
      </c>
      <c r="AX84" s="104">
        <f t="shared" si="256"/>
        <v>12.545963753315714</v>
      </c>
      <c r="AY84" s="104">
        <f t="shared" si="257"/>
        <v>9.878777999999695</v>
      </c>
      <c r="AZ84" s="104">
        <f t="shared" si="258"/>
        <v>0</v>
      </c>
      <c r="BA84" s="104">
        <f t="shared" si="294"/>
        <v>0</v>
      </c>
      <c r="BB84" s="104">
        <f t="shared" si="259"/>
        <v>0</v>
      </c>
      <c r="BC84" s="104"/>
      <c r="BD84" s="104">
        <f t="shared" si="260"/>
        <v>0</v>
      </c>
      <c r="BE84" s="108">
        <f t="shared" si="261"/>
        <v>2.2561999999999633</v>
      </c>
      <c r="BF84" s="110">
        <f t="shared" si="262"/>
        <v>0</v>
      </c>
      <c r="BG84" s="110">
        <f t="shared" si="263"/>
        <v>8.19</v>
      </c>
      <c r="BH84" s="105" t="str">
        <f>VLOOKUP(A84,'BOCA DE LOBO'!C:I,7,0)</f>
        <v>BOCA DE LOBO PROJETADA DUPLA</v>
      </c>
      <c r="BI84" s="104">
        <f t="shared" si="264"/>
        <v>0</v>
      </c>
      <c r="BJ84" s="104">
        <f t="shared" si="265"/>
        <v>0</v>
      </c>
      <c r="BK84" s="104">
        <f t="shared" si="266"/>
        <v>0</v>
      </c>
      <c r="BL84" s="104">
        <f t="shared" si="267"/>
        <v>0</v>
      </c>
      <c r="BM84" s="104">
        <f t="shared" si="268"/>
        <v>0</v>
      </c>
      <c r="BN84" s="104">
        <f t="shared" si="269"/>
        <v>1</v>
      </c>
      <c r="BO84" s="104">
        <f t="shared" si="270"/>
        <v>0</v>
      </c>
      <c r="BP84" s="111"/>
      <c r="BQ84" s="108">
        <f t="shared" si="271"/>
        <v>24.57</v>
      </c>
      <c r="BR84" s="108">
        <f t="shared" si="272"/>
        <v>12.386555999999398</v>
      </c>
      <c r="BS84" s="108">
        <f t="shared" si="273"/>
        <v>0</v>
      </c>
      <c r="BV84" s="538">
        <f t="shared" si="208"/>
        <v>15.272574239999715</v>
      </c>
      <c r="BW84" s="538">
        <f t="shared" si="209"/>
        <v>7.7825999999999986</v>
      </c>
      <c r="BX84" s="538">
        <f t="shared" si="293"/>
        <v>3.0325999999999995</v>
      </c>
      <c r="BY84" s="538">
        <f t="shared" si="274"/>
        <v>1.9623999999999637</v>
      </c>
      <c r="BZ84" s="538">
        <f t="shared" si="275"/>
        <v>1.9623999999999637</v>
      </c>
      <c r="CA84" s="538">
        <f t="shared" si="276"/>
        <v>0</v>
      </c>
      <c r="CB84" s="538">
        <f t="shared" si="277"/>
        <v>0</v>
      </c>
      <c r="CC84" s="538">
        <f t="shared" si="278"/>
        <v>11.673899999999998</v>
      </c>
      <c r="CD84" s="538">
        <f t="shared" si="279"/>
        <v>3.5986742399997169</v>
      </c>
      <c r="CE84" s="538">
        <f t="shared" si="280"/>
        <v>0</v>
      </c>
      <c r="CF84" s="538">
        <f t="shared" si="281"/>
        <v>0</v>
      </c>
      <c r="CG84" s="538">
        <f t="shared" si="282"/>
        <v>0</v>
      </c>
      <c r="CH84" s="538">
        <f t="shared" si="283"/>
        <v>0</v>
      </c>
      <c r="CI84" s="104">
        <f t="shared" si="211"/>
        <v>0.53549999999999998</v>
      </c>
      <c r="CJ84" s="538">
        <f t="shared" si="284"/>
        <v>8.7858999999998257</v>
      </c>
      <c r="CK84" s="538">
        <f t="shared" si="295"/>
        <v>8.7858999999998257</v>
      </c>
      <c r="CL84" s="538">
        <f t="shared" si="285"/>
        <v>0</v>
      </c>
      <c r="CM84" s="538">
        <f t="shared" si="286"/>
        <v>0</v>
      </c>
      <c r="CN84" s="538">
        <f t="shared" si="213"/>
        <v>3.57</v>
      </c>
      <c r="CO84" s="538">
        <f t="shared" si="287"/>
        <v>1.9623999999999637</v>
      </c>
      <c r="CP84" s="538">
        <f t="shared" si="288"/>
        <v>10.709999999999999</v>
      </c>
      <c r="CQ84" s="538">
        <f t="shared" si="289"/>
        <v>3.3015359999997407</v>
      </c>
      <c r="CR84" s="539">
        <f t="shared" si="290"/>
        <v>0</v>
      </c>
      <c r="CS84" s="540">
        <f t="shared" si="214"/>
        <v>0</v>
      </c>
      <c r="CT84" s="540">
        <f t="shared" si="215"/>
        <v>0.33012999999999998</v>
      </c>
      <c r="CU84" s="541">
        <f t="shared" si="216"/>
        <v>10.204479999999812</v>
      </c>
      <c r="CV84" s="538">
        <f t="shared" si="217"/>
        <v>1.2744443999999888</v>
      </c>
      <c r="CW84" s="538">
        <f t="shared" si="218"/>
        <v>19.119431999999723</v>
      </c>
      <c r="CX84" s="104">
        <f t="shared" si="219"/>
        <v>3.57</v>
      </c>
      <c r="CY84" s="542">
        <f t="shared" si="291"/>
        <v>1.7849999999999999</v>
      </c>
      <c r="CZ84" s="538">
        <f t="shared" si="292"/>
        <v>2.4513847475961154E-2</v>
      </c>
      <c r="DC84" s="112" t="s">
        <v>1492</v>
      </c>
      <c r="DD84" s="112" t="b">
        <f t="shared" si="296"/>
        <v>0</v>
      </c>
    </row>
    <row r="85" spans="1:108" s="112" customFormat="1" ht="25" x14ac:dyDescent="0.25">
      <c r="A85" s="100" t="str">
        <f>'BOCA DE LOBO'!C83</f>
        <v>BL78-&gt;PV2-31</v>
      </c>
      <c r="B85" s="100" t="str">
        <f>'BOCA DE LOBO'!A83</f>
        <v>PV2-31</v>
      </c>
      <c r="C85" s="100" t="str">
        <f>VLOOKUP(A85,'BOCA DE LOBO'!C:F,3,0)</f>
        <v>EXISTENTE</v>
      </c>
      <c r="D85" s="100" t="str">
        <f>VLOOKUP(A85,'BOCA DE LOBO'!C:L,10,0)</f>
        <v>PROJETADA</v>
      </c>
      <c r="E85" s="100">
        <f t="shared" si="220"/>
        <v>2.0807999999999636</v>
      </c>
      <c r="F85" s="100">
        <f>VLOOKUP(A85,'BOCA DE LOBO'!C:D,2,0)</f>
        <v>2.2899999999999636</v>
      </c>
      <c r="G85" s="100">
        <f>VLOOKUP(A85,'BOCA DE LOBO'!C:F,4,0)</f>
        <v>5.23</v>
      </c>
      <c r="H85" s="101">
        <v>400</v>
      </c>
      <c r="I85" s="102">
        <f t="shared" si="221"/>
        <v>2.3153999999999635</v>
      </c>
      <c r="J85" s="102">
        <f t="shared" si="222"/>
        <v>0.60547709999999044</v>
      </c>
      <c r="K85" s="103">
        <v>0</v>
      </c>
      <c r="L85" s="104">
        <f t="shared" si="223"/>
        <v>1</v>
      </c>
      <c r="M85" s="104">
        <f t="shared" si="224"/>
        <v>1</v>
      </c>
      <c r="N85" s="104">
        <f t="shared" si="225"/>
        <v>0</v>
      </c>
      <c r="O85" s="104">
        <f t="shared" si="226"/>
        <v>5.23</v>
      </c>
      <c r="P85" s="105" t="s">
        <v>1999</v>
      </c>
      <c r="Q85" s="144" t="s">
        <v>2167</v>
      </c>
      <c r="R85" s="105"/>
      <c r="S85" s="105">
        <v>5</v>
      </c>
      <c r="T85" s="105">
        <v>5</v>
      </c>
      <c r="U85" s="104">
        <f t="shared" si="227"/>
        <v>0.05</v>
      </c>
      <c r="V85" s="106">
        <f t="shared" si="228"/>
        <v>0</v>
      </c>
      <c r="W85" s="106">
        <f t="shared" si="229"/>
        <v>12.109541999999809</v>
      </c>
      <c r="X85" s="107">
        <f t="shared" si="230"/>
        <v>0</v>
      </c>
      <c r="Y85" s="107">
        <f t="shared" si="231"/>
        <v>0</v>
      </c>
      <c r="Z85" s="107">
        <f t="shared" si="232"/>
        <v>2.3153999999999635</v>
      </c>
      <c r="AA85" s="107">
        <f t="shared" si="233"/>
        <v>0</v>
      </c>
      <c r="AB85" s="108">
        <f t="shared" si="234"/>
        <v>5.23</v>
      </c>
      <c r="AC85" s="109">
        <f t="shared" si="235"/>
        <v>0</v>
      </c>
      <c r="AD85" s="109">
        <f t="shared" si="236"/>
        <v>0</v>
      </c>
      <c r="AE85" s="109">
        <f t="shared" si="237"/>
        <v>0</v>
      </c>
      <c r="AF85" s="109">
        <f t="shared" si="238"/>
        <v>7.8450000000000006</v>
      </c>
      <c r="AG85" s="109">
        <f t="shared" si="239"/>
        <v>4.2645419999998095</v>
      </c>
      <c r="AH85" s="109">
        <f t="shared" si="240"/>
        <v>0</v>
      </c>
      <c r="AI85" s="537" t="str">
        <f t="shared" si="241"/>
        <v>NÃO</v>
      </c>
      <c r="AJ85" s="104">
        <f t="shared" si="242"/>
        <v>0</v>
      </c>
      <c r="AK85" s="104">
        <f t="shared" si="243"/>
        <v>0</v>
      </c>
      <c r="AL85" s="104">
        <f t="shared" si="244"/>
        <v>11.452320816868824</v>
      </c>
      <c r="AM85" s="102">
        <f t="shared" si="245"/>
        <v>0.26150000000000001</v>
      </c>
      <c r="AN85" s="106">
        <f t="shared" si="246"/>
        <v>0</v>
      </c>
      <c r="AO85" s="104">
        <f t="shared" si="247"/>
        <v>0</v>
      </c>
      <c r="AP85" s="104">
        <f t="shared" si="248"/>
        <v>0</v>
      </c>
      <c r="AQ85" s="104">
        <f t="shared" si="249"/>
        <v>0.7</v>
      </c>
      <c r="AR85" s="104">
        <f t="shared" si="250"/>
        <v>3.0037788168690152</v>
      </c>
      <c r="AS85" s="104">
        <f t="shared" si="251"/>
        <v>0</v>
      </c>
      <c r="AT85" s="104">
        <f t="shared" si="252"/>
        <v>0.78450000000000009</v>
      </c>
      <c r="AU85" s="104">
        <f t="shared" si="253"/>
        <v>0.78450000000000009</v>
      </c>
      <c r="AV85" s="104">
        <f t="shared" si="254"/>
        <v>0.15690000000000001</v>
      </c>
      <c r="AW85" s="104">
        <f t="shared" si="255"/>
        <v>6.618041999999809</v>
      </c>
      <c r="AX85" s="104">
        <f t="shared" si="256"/>
        <v>8.3212631831307942</v>
      </c>
      <c r="AY85" s="104">
        <f t="shared" si="257"/>
        <v>6.618041999999809</v>
      </c>
      <c r="AZ85" s="104">
        <f t="shared" si="258"/>
        <v>0</v>
      </c>
      <c r="BA85" s="104">
        <f t="shared" si="294"/>
        <v>0</v>
      </c>
      <c r="BB85" s="104">
        <f t="shared" si="259"/>
        <v>0</v>
      </c>
      <c r="BC85" s="104"/>
      <c r="BD85" s="104">
        <f t="shared" si="260"/>
        <v>0</v>
      </c>
      <c r="BE85" s="108">
        <f t="shared" si="261"/>
        <v>2.3153999999999635</v>
      </c>
      <c r="BF85" s="110">
        <f t="shared" si="262"/>
        <v>0</v>
      </c>
      <c r="BG85" s="110">
        <f t="shared" si="263"/>
        <v>5.23</v>
      </c>
      <c r="BH85" s="105" t="str">
        <f>VLOOKUP(A85,'BOCA DE LOBO'!C:I,7,0)</f>
        <v>BOCA DE LOBO PROJETADA DUPLA</v>
      </c>
      <c r="BI85" s="104">
        <f t="shared" si="264"/>
        <v>0</v>
      </c>
      <c r="BJ85" s="104">
        <f t="shared" si="265"/>
        <v>0</v>
      </c>
      <c r="BK85" s="104">
        <f t="shared" si="266"/>
        <v>0</v>
      </c>
      <c r="BL85" s="104">
        <f t="shared" si="267"/>
        <v>0</v>
      </c>
      <c r="BM85" s="104">
        <f t="shared" si="268"/>
        <v>0</v>
      </c>
      <c r="BN85" s="104">
        <f t="shared" si="269"/>
        <v>1</v>
      </c>
      <c r="BO85" s="104">
        <f t="shared" si="270"/>
        <v>0</v>
      </c>
      <c r="BP85" s="111"/>
      <c r="BQ85" s="108">
        <f t="shared" si="271"/>
        <v>15.690000000000001</v>
      </c>
      <c r="BR85" s="108">
        <f t="shared" si="272"/>
        <v>8.5290839999996191</v>
      </c>
      <c r="BS85" s="108">
        <f t="shared" si="273"/>
        <v>0</v>
      </c>
      <c r="BV85" s="538">
        <f t="shared" si="208"/>
        <v>16.194034079999714</v>
      </c>
      <c r="BW85" s="538">
        <f t="shared" si="209"/>
        <v>7.7825999999999986</v>
      </c>
      <c r="BX85" s="538">
        <f t="shared" si="293"/>
        <v>3.0325999999999995</v>
      </c>
      <c r="BY85" s="538">
        <f t="shared" si="274"/>
        <v>2.0807999999999636</v>
      </c>
      <c r="BZ85" s="538">
        <f t="shared" si="275"/>
        <v>2.0807999999999636</v>
      </c>
      <c r="CA85" s="538">
        <f t="shared" si="276"/>
        <v>0</v>
      </c>
      <c r="CB85" s="538">
        <f t="shared" si="277"/>
        <v>0</v>
      </c>
      <c r="CC85" s="538">
        <f t="shared" si="278"/>
        <v>11.673899999999998</v>
      </c>
      <c r="CD85" s="538">
        <f t="shared" si="279"/>
        <v>4.5201340799997158</v>
      </c>
      <c r="CE85" s="538">
        <f t="shared" si="280"/>
        <v>0</v>
      </c>
      <c r="CF85" s="538">
        <f t="shared" si="281"/>
        <v>0</v>
      </c>
      <c r="CG85" s="538">
        <f t="shared" si="282"/>
        <v>0</v>
      </c>
      <c r="CH85" s="538">
        <f t="shared" si="283"/>
        <v>0</v>
      </c>
      <c r="CI85" s="104">
        <f t="shared" si="211"/>
        <v>0.53549999999999998</v>
      </c>
      <c r="CJ85" s="538">
        <f t="shared" si="284"/>
        <v>9.3482999999998242</v>
      </c>
      <c r="CK85" s="538">
        <f t="shared" si="295"/>
        <v>9.3482999999998242</v>
      </c>
      <c r="CL85" s="538">
        <f t="shared" si="285"/>
        <v>0</v>
      </c>
      <c r="CM85" s="538">
        <f t="shared" si="286"/>
        <v>0</v>
      </c>
      <c r="CN85" s="538">
        <f t="shared" si="213"/>
        <v>3.57</v>
      </c>
      <c r="CO85" s="538">
        <f t="shared" si="287"/>
        <v>2.0807999999999636</v>
      </c>
      <c r="CP85" s="538">
        <f t="shared" si="288"/>
        <v>10.709999999999999</v>
      </c>
      <c r="CQ85" s="538">
        <f t="shared" si="289"/>
        <v>4.1469119999997393</v>
      </c>
      <c r="CR85" s="539">
        <f t="shared" si="290"/>
        <v>0</v>
      </c>
      <c r="CS85" s="540">
        <f t="shared" si="214"/>
        <v>0</v>
      </c>
      <c r="CT85" s="540">
        <f t="shared" si="215"/>
        <v>0.33012999999999998</v>
      </c>
      <c r="CU85" s="541">
        <f t="shared" si="216"/>
        <v>10.820159999999811</v>
      </c>
      <c r="CV85" s="538">
        <f t="shared" si="217"/>
        <v>1.3106747999999888</v>
      </c>
      <c r="CW85" s="538">
        <f t="shared" si="218"/>
        <v>20.028743999999719</v>
      </c>
      <c r="CX85" s="104">
        <f t="shared" si="219"/>
        <v>3.57</v>
      </c>
      <c r="CY85" s="542">
        <f t="shared" si="291"/>
        <v>1.7849999999999999</v>
      </c>
      <c r="CZ85" s="538">
        <f t="shared" si="292"/>
        <v>2.4513847475961154E-2</v>
      </c>
      <c r="DC85" s="112" t="s">
        <v>1548</v>
      </c>
      <c r="DD85" s="112" t="b">
        <f t="shared" si="296"/>
        <v>0</v>
      </c>
    </row>
    <row r="86" spans="1:108" s="112" customFormat="1" ht="25" x14ac:dyDescent="0.25">
      <c r="A86" s="100" t="str">
        <f>'BOCA DE LOBO'!C84</f>
        <v>BL79-&gt;PV1-32</v>
      </c>
      <c r="B86" s="100" t="str">
        <f>'BOCA DE LOBO'!A84</f>
        <v>PV1-32</v>
      </c>
      <c r="C86" s="100" t="str">
        <f>VLOOKUP(A86,'BOCA DE LOBO'!C:F,3,0)</f>
        <v>EXISTENTE</v>
      </c>
      <c r="D86" s="100" t="str">
        <f>VLOOKUP(A86,'BOCA DE LOBO'!C:L,10,0)</f>
        <v>PROJETADA</v>
      </c>
      <c r="E86" s="100">
        <f t="shared" si="220"/>
        <v>1.5643999999999545</v>
      </c>
      <c r="F86" s="100">
        <f>VLOOKUP(A86,'BOCA DE LOBO'!C:D,2,0)</f>
        <v>1.7999999999999545</v>
      </c>
      <c r="G86" s="100">
        <f>VLOOKUP(A86,'BOCA DE LOBO'!C:F,4,0)</f>
        <v>5.89</v>
      </c>
      <c r="H86" s="101">
        <v>400</v>
      </c>
      <c r="I86" s="102">
        <f t="shared" si="221"/>
        <v>1.8121999999999547</v>
      </c>
      <c r="J86" s="102">
        <f t="shared" si="222"/>
        <v>0.53369289999998659</v>
      </c>
      <c r="K86" s="103">
        <v>0</v>
      </c>
      <c r="L86" s="104">
        <f t="shared" si="223"/>
        <v>1</v>
      </c>
      <c r="M86" s="104">
        <f t="shared" si="224"/>
        <v>1</v>
      </c>
      <c r="N86" s="104">
        <f t="shared" si="225"/>
        <v>0</v>
      </c>
      <c r="O86" s="104">
        <f t="shared" si="226"/>
        <v>5.89</v>
      </c>
      <c r="P86" s="105" t="s">
        <v>1999</v>
      </c>
      <c r="Q86" s="144" t="s">
        <v>2167</v>
      </c>
      <c r="R86" s="105"/>
      <c r="S86" s="105">
        <v>5</v>
      </c>
      <c r="T86" s="105">
        <v>5</v>
      </c>
      <c r="U86" s="104">
        <f t="shared" si="227"/>
        <v>0.05</v>
      </c>
      <c r="V86" s="106">
        <f t="shared" si="228"/>
        <v>0</v>
      </c>
      <c r="W86" s="106">
        <f t="shared" si="229"/>
        <v>10.673857999999733</v>
      </c>
      <c r="X86" s="107">
        <f t="shared" si="230"/>
        <v>0</v>
      </c>
      <c r="Y86" s="107">
        <f t="shared" si="231"/>
        <v>0</v>
      </c>
      <c r="Z86" s="107">
        <f t="shared" si="232"/>
        <v>1.8121999999999547</v>
      </c>
      <c r="AA86" s="107">
        <f t="shared" si="233"/>
        <v>0</v>
      </c>
      <c r="AB86" s="108">
        <f t="shared" si="234"/>
        <v>5.89</v>
      </c>
      <c r="AC86" s="109">
        <f t="shared" si="235"/>
        <v>0</v>
      </c>
      <c r="AD86" s="109">
        <f t="shared" si="236"/>
        <v>0</v>
      </c>
      <c r="AE86" s="109">
        <f t="shared" si="237"/>
        <v>0</v>
      </c>
      <c r="AF86" s="109">
        <f t="shared" si="238"/>
        <v>8.8349999999999991</v>
      </c>
      <c r="AG86" s="109">
        <f t="shared" si="239"/>
        <v>1.8388579999997332</v>
      </c>
      <c r="AH86" s="109">
        <f t="shared" si="240"/>
        <v>0</v>
      </c>
      <c r="AI86" s="537" t="str">
        <f t="shared" si="241"/>
        <v>NÃO</v>
      </c>
      <c r="AJ86" s="104">
        <f t="shared" si="242"/>
        <v>0</v>
      </c>
      <c r="AK86" s="104">
        <f t="shared" si="243"/>
        <v>0</v>
      </c>
      <c r="AL86" s="104">
        <f t="shared" si="244"/>
        <v>9.9336987708139777</v>
      </c>
      <c r="AM86" s="102">
        <f t="shared" si="245"/>
        <v>0.29449999999999998</v>
      </c>
      <c r="AN86" s="106">
        <f t="shared" si="246"/>
        <v>0</v>
      </c>
      <c r="AO86" s="104">
        <f t="shared" si="247"/>
        <v>0</v>
      </c>
      <c r="AP86" s="104">
        <f t="shared" si="248"/>
        <v>0</v>
      </c>
      <c r="AQ86" s="104">
        <f t="shared" si="249"/>
        <v>0.7</v>
      </c>
      <c r="AR86" s="104">
        <f t="shared" si="250"/>
        <v>3.3828407708142443</v>
      </c>
      <c r="AS86" s="104">
        <f t="shared" si="251"/>
        <v>0</v>
      </c>
      <c r="AT86" s="104">
        <f t="shared" si="252"/>
        <v>0.88349999999999995</v>
      </c>
      <c r="AU86" s="104">
        <f t="shared" si="253"/>
        <v>0.88349999999999995</v>
      </c>
      <c r="AV86" s="104">
        <f t="shared" si="254"/>
        <v>0.1767</v>
      </c>
      <c r="AW86" s="104">
        <f t="shared" si="255"/>
        <v>4.4893579999997346</v>
      </c>
      <c r="AX86" s="104">
        <f t="shared" si="256"/>
        <v>6.4075172291854887</v>
      </c>
      <c r="AY86" s="104">
        <f t="shared" si="257"/>
        <v>4.4893579999997346</v>
      </c>
      <c r="AZ86" s="104">
        <f t="shared" si="258"/>
        <v>0</v>
      </c>
      <c r="BA86" s="104">
        <f t="shared" si="294"/>
        <v>0</v>
      </c>
      <c r="BB86" s="104">
        <f t="shared" si="259"/>
        <v>0</v>
      </c>
      <c r="BC86" s="104"/>
      <c r="BD86" s="104">
        <f t="shared" si="260"/>
        <v>0</v>
      </c>
      <c r="BE86" s="108">
        <f t="shared" si="261"/>
        <v>1.8121999999999547</v>
      </c>
      <c r="BF86" s="110">
        <f t="shared" si="262"/>
        <v>0</v>
      </c>
      <c r="BG86" s="110">
        <f t="shared" si="263"/>
        <v>5.89</v>
      </c>
      <c r="BH86" s="105" t="str">
        <f>VLOOKUP(A86,'BOCA DE LOBO'!C:I,7,0)</f>
        <v>BOCA DE LOBO PROJETADA DUPLA</v>
      </c>
      <c r="BI86" s="104">
        <f t="shared" si="264"/>
        <v>0</v>
      </c>
      <c r="BJ86" s="104">
        <f t="shared" si="265"/>
        <v>0</v>
      </c>
      <c r="BK86" s="104">
        <f t="shared" si="266"/>
        <v>0</v>
      </c>
      <c r="BL86" s="104">
        <f t="shared" si="267"/>
        <v>0</v>
      </c>
      <c r="BM86" s="104">
        <f t="shared" si="268"/>
        <v>0</v>
      </c>
      <c r="BN86" s="104">
        <f t="shared" si="269"/>
        <v>1</v>
      </c>
      <c r="BO86" s="104">
        <f t="shared" si="270"/>
        <v>0</v>
      </c>
      <c r="BP86" s="111"/>
      <c r="BQ86" s="108">
        <f t="shared" si="271"/>
        <v>17.669999999999998</v>
      </c>
      <c r="BR86" s="108">
        <f t="shared" si="272"/>
        <v>3.6777159999994664</v>
      </c>
      <c r="BS86" s="108">
        <f t="shared" si="273"/>
        <v>0</v>
      </c>
      <c r="BV86" s="538">
        <f t="shared" si="208"/>
        <v>12.175099439999643</v>
      </c>
      <c r="BW86" s="538">
        <f t="shared" si="209"/>
        <v>7.7825999999999986</v>
      </c>
      <c r="BX86" s="538">
        <f t="shared" si="293"/>
        <v>3.0325999999999995</v>
      </c>
      <c r="BY86" s="538">
        <f t="shared" si="274"/>
        <v>1.5643999999999545</v>
      </c>
      <c r="BZ86" s="538">
        <f t="shared" si="275"/>
        <v>1.5643999999999545</v>
      </c>
      <c r="CA86" s="538">
        <f t="shared" si="276"/>
        <v>0</v>
      </c>
      <c r="CB86" s="538">
        <f t="shared" si="277"/>
        <v>0</v>
      </c>
      <c r="CC86" s="538">
        <f t="shared" si="278"/>
        <v>11.673899999999998</v>
      </c>
      <c r="CD86" s="538">
        <f t="shared" si="279"/>
        <v>0.50119943999964578</v>
      </c>
      <c r="CE86" s="538">
        <f t="shared" si="280"/>
        <v>0</v>
      </c>
      <c r="CF86" s="538">
        <f t="shared" si="281"/>
        <v>0</v>
      </c>
      <c r="CG86" s="538">
        <f t="shared" si="282"/>
        <v>0</v>
      </c>
      <c r="CH86" s="538">
        <f t="shared" si="283"/>
        <v>0</v>
      </c>
      <c r="CI86" s="104">
        <f t="shared" si="211"/>
        <v>0.53549999999999998</v>
      </c>
      <c r="CJ86" s="538">
        <f t="shared" si="284"/>
        <v>6.8953999999997828</v>
      </c>
      <c r="CK86" s="538">
        <f t="shared" si="295"/>
        <v>6.8953999999997828</v>
      </c>
      <c r="CL86" s="538">
        <f t="shared" si="285"/>
        <v>0</v>
      </c>
      <c r="CM86" s="538">
        <f t="shared" si="286"/>
        <v>0</v>
      </c>
      <c r="CN86" s="538">
        <f t="shared" si="213"/>
        <v>3.57</v>
      </c>
      <c r="CO86" s="538">
        <f t="shared" si="287"/>
        <v>1.5643999999999545</v>
      </c>
      <c r="CP86" s="538">
        <f t="shared" si="288"/>
        <v>10.709999999999999</v>
      </c>
      <c r="CQ86" s="538">
        <f t="shared" si="289"/>
        <v>0.45981599999967504</v>
      </c>
      <c r="CR86" s="539">
        <f t="shared" si="290"/>
        <v>0</v>
      </c>
      <c r="CS86" s="540">
        <f t="shared" si="214"/>
        <v>0</v>
      </c>
      <c r="CT86" s="540">
        <f t="shared" si="215"/>
        <v>0.33012999999999998</v>
      </c>
      <c r="CU86" s="541">
        <f t="shared" si="216"/>
        <v>8.1348799999997645</v>
      </c>
      <c r="CV86" s="538">
        <f t="shared" si="217"/>
        <v>1.1526563999999859</v>
      </c>
      <c r="CW86" s="538">
        <f t="shared" si="218"/>
        <v>16.06279199999965</v>
      </c>
      <c r="CX86" s="104">
        <f t="shared" si="219"/>
        <v>3.57</v>
      </c>
      <c r="CY86" s="542">
        <f t="shared" si="291"/>
        <v>1.7849999999999999</v>
      </c>
      <c r="CZ86" s="538">
        <f t="shared" si="292"/>
        <v>2.4513847475961154E-2</v>
      </c>
      <c r="DC86" s="112" t="s">
        <v>1495</v>
      </c>
      <c r="DD86" s="112" t="b">
        <f t="shared" si="296"/>
        <v>0</v>
      </c>
    </row>
    <row r="87" spans="1:108" s="112" customFormat="1" ht="25" x14ac:dyDescent="0.25">
      <c r="A87" s="100" t="str">
        <f>'BOCA DE LOBO'!C85</f>
        <v>BL80-&gt;PV2-32</v>
      </c>
      <c r="B87" s="100" t="str">
        <f>'BOCA DE LOBO'!A85</f>
        <v>PV2-32</v>
      </c>
      <c r="C87" s="100" t="str">
        <f>VLOOKUP(A87,'BOCA DE LOBO'!C:F,3,0)</f>
        <v>EXISTENTE</v>
      </c>
      <c r="D87" s="100" t="str">
        <f>VLOOKUP(A87,'BOCA DE LOBO'!C:L,10,0)</f>
        <v>PROJETADA</v>
      </c>
      <c r="E87" s="100">
        <f t="shared" si="220"/>
        <v>1.9023999999999091</v>
      </c>
      <c r="F87" s="100">
        <f>VLOOKUP(A87,'BOCA DE LOBO'!C:D,2,0)</f>
        <v>2.0999999999999091</v>
      </c>
      <c r="G87" s="100">
        <f>VLOOKUP(A87,'BOCA DE LOBO'!C:F,4,0)</f>
        <v>4.9400000000000004</v>
      </c>
      <c r="H87" s="101">
        <v>400</v>
      </c>
      <c r="I87" s="102">
        <f t="shared" si="221"/>
        <v>2.1311999999999092</v>
      </c>
      <c r="J87" s="102">
        <f t="shared" si="222"/>
        <v>0.52640639999997763</v>
      </c>
      <c r="K87" s="103">
        <v>0</v>
      </c>
      <c r="L87" s="104">
        <f t="shared" si="223"/>
        <v>1</v>
      </c>
      <c r="M87" s="104">
        <f t="shared" si="224"/>
        <v>1</v>
      </c>
      <c r="N87" s="104">
        <f t="shared" si="225"/>
        <v>0</v>
      </c>
      <c r="O87" s="104">
        <f t="shared" si="226"/>
        <v>4.9400000000000004</v>
      </c>
      <c r="P87" s="105" t="s">
        <v>1999</v>
      </c>
      <c r="Q87" s="144" t="s">
        <v>2024</v>
      </c>
      <c r="R87" s="105"/>
      <c r="S87" s="105">
        <f>VLOOKUP(Q87,Quantitativos!P:R,3,0)</f>
        <v>5</v>
      </c>
      <c r="T87" s="105">
        <f>VLOOKUP(Q87,Quantitativos!P:S,4,0)</f>
        <v>5</v>
      </c>
      <c r="U87" s="104">
        <f t="shared" si="227"/>
        <v>0.05</v>
      </c>
      <c r="V87" s="106">
        <f t="shared" si="228"/>
        <v>0</v>
      </c>
      <c r="W87" s="106">
        <f t="shared" si="229"/>
        <v>10.528127999999553</v>
      </c>
      <c r="X87" s="107">
        <f t="shared" si="230"/>
        <v>0</v>
      </c>
      <c r="Y87" s="107">
        <f t="shared" si="231"/>
        <v>0</v>
      </c>
      <c r="Z87" s="107">
        <f t="shared" si="232"/>
        <v>2.1311999999999092</v>
      </c>
      <c r="AA87" s="107">
        <f t="shared" si="233"/>
        <v>0</v>
      </c>
      <c r="AB87" s="108">
        <f t="shared" si="234"/>
        <v>4.9400000000000004</v>
      </c>
      <c r="AC87" s="109">
        <f t="shared" si="235"/>
        <v>0</v>
      </c>
      <c r="AD87" s="109">
        <f t="shared" si="236"/>
        <v>0</v>
      </c>
      <c r="AE87" s="109">
        <f t="shared" si="237"/>
        <v>0</v>
      </c>
      <c r="AF87" s="109">
        <f t="shared" si="238"/>
        <v>7.41</v>
      </c>
      <c r="AG87" s="109">
        <f t="shared" si="239"/>
        <v>3.1181279999995515</v>
      </c>
      <c r="AH87" s="109">
        <f t="shared" si="240"/>
        <v>0</v>
      </c>
      <c r="AI87" s="537" t="str">
        <f t="shared" si="241"/>
        <v>NÃO</v>
      </c>
      <c r="AJ87" s="104">
        <f t="shared" si="242"/>
        <v>0</v>
      </c>
      <c r="AK87" s="104">
        <f t="shared" si="243"/>
        <v>0</v>
      </c>
      <c r="AL87" s="104">
        <f t="shared" si="244"/>
        <v>9.9073492916502097</v>
      </c>
      <c r="AM87" s="102">
        <f t="shared" si="245"/>
        <v>0.24700000000000003</v>
      </c>
      <c r="AN87" s="106">
        <f t="shared" si="246"/>
        <v>0</v>
      </c>
      <c r="AO87" s="104">
        <f t="shared" si="247"/>
        <v>0</v>
      </c>
      <c r="AP87" s="104">
        <f t="shared" si="248"/>
        <v>0</v>
      </c>
      <c r="AQ87" s="104">
        <f t="shared" si="249"/>
        <v>0.7</v>
      </c>
      <c r="AR87" s="104">
        <f t="shared" si="250"/>
        <v>2.837221291650657</v>
      </c>
      <c r="AS87" s="104">
        <f t="shared" si="251"/>
        <v>0</v>
      </c>
      <c r="AT87" s="104">
        <f t="shared" si="252"/>
        <v>0.74099999999999999</v>
      </c>
      <c r="AU87" s="104">
        <f t="shared" si="253"/>
        <v>0.74099999999999999</v>
      </c>
      <c r="AV87" s="104">
        <f t="shared" si="254"/>
        <v>0.1482</v>
      </c>
      <c r="AW87" s="104">
        <f t="shared" si="255"/>
        <v>5.3411279999995536</v>
      </c>
      <c r="AX87" s="104">
        <f t="shared" si="256"/>
        <v>6.9499067083488946</v>
      </c>
      <c r="AY87" s="104">
        <f t="shared" si="257"/>
        <v>5.3411279999995536</v>
      </c>
      <c r="AZ87" s="104">
        <f t="shared" si="258"/>
        <v>0</v>
      </c>
      <c r="BA87" s="104">
        <f t="shared" si="294"/>
        <v>0</v>
      </c>
      <c r="BB87" s="104">
        <f t="shared" si="259"/>
        <v>0</v>
      </c>
      <c r="BC87" s="104"/>
      <c r="BD87" s="104">
        <f t="shared" si="260"/>
        <v>0</v>
      </c>
      <c r="BE87" s="108">
        <f t="shared" si="261"/>
        <v>2.1311999999999092</v>
      </c>
      <c r="BF87" s="110">
        <f t="shared" si="262"/>
        <v>0</v>
      </c>
      <c r="BG87" s="110">
        <f t="shared" si="263"/>
        <v>4.9400000000000004</v>
      </c>
      <c r="BH87" s="105" t="str">
        <f>VLOOKUP(A87,'BOCA DE LOBO'!C:I,7,0)</f>
        <v>BOCA DE LOBO PROJETADA DUPLA</v>
      </c>
      <c r="BI87" s="104">
        <f t="shared" si="264"/>
        <v>0</v>
      </c>
      <c r="BJ87" s="104">
        <f t="shared" si="265"/>
        <v>0</v>
      </c>
      <c r="BK87" s="104">
        <f t="shared" si="266"/>
        <v>0</v>
      </c>
      <c r="BL87" s="104">
        <f t="shared" si="267"/>
        <v>0</v>
      </c>
      <c r="BM87" s="104">
        <f t="shared" si="268"/>
        <v>0</v>
      </c>
      <c r="BN87" s="104">
        <f t="shared" si="269"/>
        <v>1</v>
      </c>
      <c r="BO87" s="104">
        <f t="shared" si="270"/>
        <v>0</v>
      </c>
      <c r="BP87" s="111"/>
      <c r="BQ87" s="108">
        <f t="shared" si="271"/>
        <v>14.82</v>
      </c>
      <c r="BR87" s="108">
        <f t="shared" si="272"/>
        <v>6.236255999999103</v>
      </c>
      <c r="BS87" s="108">
        <f t="shared" si="273"/>
        <v>0</v>
      </c>
      <c r="BV87" s="538">
        <f t="shared" si="208"/>
        <v>14.805618239999289</v>
      </c>
      <c r="BW87" s="538">
        <f t="shared" si="209"/>
        <v>7.7825999999999986</v>
      </c>
      <c r="BX87" s="538">
        <f t="shared" si="293"/>
        <v>3.0325999999999995</v>
      </c>
      <c r="BY87" s="538">
        <f t="shared" si="274"/>
        <v>1.9023999999999091</v>
      </c>
      <c r="BZ87" s="538">
        <f t="shared" si="275"/>
        <v>1.9023999999999091</v>
      </c>
      <c r="CA87" s="538">
        <f t="shared" si="276"/>
        <v>0</v>
      </c>
      <c r="CB87" s="538">
        <f t="shared" si="277"/>
        <v>0</v>
      </c>
      <c r="CC87" s="538">
        <f t="shared" si="278"/>
        <v>11.673899999999998</v>
      </c>
      <c r="CD87" s="538">
        <f t="shared" si="279"/>
        <v>3.1317182399992918</v>
      </c>
      <c r="CE87" s="538">
        <f t="shared" si="280"/>
        <v>0</v>
      </c>
      <c r="CF87" s="538">
        <f t="shared" si="281"/>
        <v>0</v>
      </c>
      <c r="CG87" s="538">
        <f t="shared" si="282"/>
        <v>0</v>
      </c>
      <c r="CH87" s="538">
        <f t="shared" si="283"/>
        <v>0</v>
      </c>
      <c r="CI87" s="104">
        <f t="shared" si="211"/>
        <v>0.53549999999999998</v>
      </c>
      <c r="CJ87" s="538">
        <f t="shared" si="284"/>
        <v>8.5008999999995662</v>
      </c>
      <c r="CK87" s="538">
        <f t="shared" si="295"/>
        <v>8.5008999999995662</v>
      </c>
      <c r="CL87" s="538">
        <f t="shared" si="285"/>
        <v>0</v>
      </c>
      <c r="CM87" s="538">
        <f t="shared" si="286"/>
        <v>0</v>
      </c>
      <c r="CN87" s="538">
        <f t="shared" si="213"/>
        <v>3.57</v>
      </c>
      <c r="CO87" s="538">
        <f t="shared" si="287"/>
        <v>1.9023999999999091</v>
      </c>
      <c r="CP87" s="538">
        <f t="shared" si="288"/>
        <v>10.709999999999999</v>
      </c>
      <c r="CQ87" s="538">
        <f t="shared" si="289"/>
        <v>2.8731359999993504</v>
      </c>
      <c r="CR87" s="539">
        <f t="shared" si="290"/>
        <v>0</v>
      </c>
      <c r="CS87" s="540">
        <f t="shared" si="214"/>
        <v>0</v>
      </c>
      <c r="CT87" s="540">
        <f t="shared" si="215"/>
        <v>0.33012999999999998</v>
      </c>
      <c r="CU87" s="541">
        <f t="shared" si="216"/>
        <v>9.8924799999995265</v>
      </c>
      <c r="CV87" s="538">
        <f t="shared" si="217"/>
        <v>1.256084399999972</v>
      </c>
      <c r="CW87" s="538">
        <f t="shared" si="218"/>
        <v>18.658631999999301</v>
      </c>
      <c r="CX87" s="104">
        <f t="shared" si="219"/>
        <v>3.57</v>
      </c>
      <c r="CY87" s="542">
        <f t="shared" si="291"/>
        <v>1.7849999999999999</v>
      </c>
      <c r="CZ87" s="538">
        <f t="shared" si="292"/>
        <v>2.4513847475961154E-2</v>
      </c>
      <c r="DC87" s="112" t="s">
        <v>1498</v>
      </c>
      <c r="DD87" s="112" t="b">
        <f t="shared" si="296"/>
        <v>0</v>
      </c>
    </row>
    <row r="88" spans="1:108" s="112" customFormat="1" ht="25" x14ac:dyDescent="0.25">
      <c r="A88" s="100" t="str">
        <f>'BOCA DE LOBO'!C86</f>
        <v>BL81-&gt;PV1-33</v>
      </c>
      <c r="B88" s="100" t="str">
        <f>'BOCA DE LOBO'!A86</f>
        <v>PV1-33</v>
      </c>
      <c r="C88" s="100" t="str">
        <f>VLOOKUP(A88,'BOCA DE LOBO'!C:F,3,0)</f>
        <v>EXISTENTE</v>
      </c>
      <c r="D88" s="100" t="str">
        <f>VLOOKUP(A88,'BOCA DE LOBO'!C:L,10,0)</f>
        <v>EXISTENTE</v>
      </c>
      <c r="E88" s="100">
        <f t="shared" si="220"/>
        <v>1.6552000000000135</v>
      </c>
      <c r="F88" s="100">
        <f>VLOOKUP(A88,'BOCA DE LOBO'!C:D,2,0)</f>
        <v>1.8600000000000136</v>
      </c>
      <c r="G88" s="100">
        <f>VLOOKUP(A88,'BOCA DE LOBO'!C:F,4,0)</f>
        <v>5.12</v>
      </c>
      <c r="H88" s="101">
        <v>400</v>
      </c>
      <c r="I88" s="102">
        <f t="shared" si="221"/>
        <v>1.8876000000000137</v>
      </c>
      <c r="J88" s="102">
        <f t="shared" si="222"/>
        <v>0</v>
      </c>
      <c r="K88" s="103">
        <v>0</v>
      </c>
      <c r="L88" s="104">
        <f t="shared" si="223"/>
        <v>0</v>
      </c>
      <c r="M88" s="104">
        <f t="shared" si="224"/>
        <v>0</v>
      </c>
      <c r="N88" s="104">
        <f t="shared" si="225"/>
        <v>400</v>
      </c>
      <c r="O88" s="104">
        <f t="shared" si="226"/>
        <v>0</v>
      </c>
      <c r="P88" s="105" t="s">
        <v>1999</v>
      </c>
      <c r="Q88" s="144" t="s">
        <v>2024</v>
      </c>
      <c r="R88" s="105"/>
      <c r="S88" s="105">
        <f>VLOOKUP(Q88,Quantitativos!P:R,3,0)</f>
        <v>5</v>
      </c>
      <c r="T88" s="105">
        <f>VLOOKUP(Q88,Quantitativos!P:S,4,0)</f>
        <v>5</v>
      </c>
      <c r="U88" s="104">
        <f t="shared" si="227"/>
        <v>0.05</v>
      </c>
      <c r="V88" s="106">
        <f t="shared" si="228"/>
        <v>0</v>
      </c>
      <c r="W88" s="106">
        <f t="shared" si="229"/>
        <v>0</v>
      </c>
      <c r="X88" s="107">
        <f t="shared" si="230"/>
        <v>0</v>
      </c>
      <c r="Y88" s="107">
        <f t="shared" si="231"/>
        <v>0</v>
      </c>
      <c r="Z88" s="107">
        <f t="shared" si="232"/>
        <v>1.8876000000000137</v>
      </c>
      <c r="AA88" s="107">
        <f t="shared" si="233"/>
        <v>0</v>
      </c>
      <c r="AB88" s="108">
        <f t="shared" si="234"/>
        <v>0</v>
      </c>
      <c r="AC88" s="109">
        <f t="shared" si="235"/>
        <v>0</v>
      </c>
      <c r="AD88" s="109">
        <f t="shared" si="236"/>
        <v>0</v>
      </c>
      <c r="AE88" s="109">
        <f t="shared" si="237"/>
        <v>0</v>
      </c>
      <c r="AF88" s="109">
        <f t="shared" si="238"/>
        <v>0</v>
      </c>
      <c r="AG88" s="109">
        <f t="shared" si="239"/>
        <v>0</v>
      </c>
      <c r="AH88" s="109">
        <f t="shared" si="240"/>
        <v>0</v>
      </c>
      <c r="AI88" s="537" t="str">
        <f t="shared" si="241"/>
        <v>NÃO</v>
      </c>
      <c r="AJ88" s="104">
        <f t="shared" si="242"/>
        <v>0</v>
      </c>
      <c r="AK88" s="104">
        <f t="shared" si="243"/>
        <v>0</v>
      </c>
      <c r="AL88" s="104">
        <f t="shared" si="244"/>
        <v>0</v>
      </c>
      <c r="AM88" s="102">
        <f t="shared" si="245"/>
        <v>0</v>
      </c>
      <c r="AN88" s="106">
        <f t="shared" si="246"/>
        <v>0</v>
      </c>
      <c r="AO88" s="104">
        <f t="shared" si="247"/>
        <v>0</v>
      </c>
      <c r="AP88" s="104">
        <f t="shared" si="248"/>
        <v>0</v>
      </c>
      <c r="AQ88" s="104">
        <f t="shared" si="249"/>
        <v>0.7</v>
      </c>
      <c r="AR88" s="104">
        <f t="shared" si="250"/>
        <v>0</v>
      </c>
      <c r="AS88" s="104">
        <f t="shared" si="251"/>
        <v>0</v>
      </c>
      <c r="AT88" s="104">
        <f t="shared" si="252"/>
        <v>0</v>
      </c>
      <c r="AU88" s="104">
        <f t="shared" si="253"/>
        <v>0</v>
      </c>
      <c r="AV88" s="104">
        <f t="shared" si="254"/>
        <v>0</v>
      </c>
      <c r="AW88" s="104">
        <f t="shared" si="255"/>
        <v>0</v>
      </c>
      <c r="AX88" s="104">
        <f t="shared" si="256"/>
        <v>0</v>
      </c>
      <c r="AY88" s="104">
        <f t="shared" si="257"/>
        <v>0</v>
      </c>
      <c r="AZ88" s="104">
        <f t="shared" si="258"/>
        <v>0</v>
      </c>
      <c r="BA88" s="104">
        <f t="shared" si="294"/>
        <v>0</v>
      </c>
      <c r="BB88" s="104">
        <f t="shared" si="259"/>
        <v>0</v>
      </c>
      <c r="BC88" s="104"/>
      <c r="BD88" s="104">
        <f t="shared" si="260"/>
        <v>0</v>
      </c>
      <c r="BE88" s="108">
        <f t="shared" si="261"/>
        <v>1.8876000000000137</v>
      </c>
      <c r="BF88" s="110">
        <f t="shared" si="262"/>
        <v>0</v>
      </c>
      <c r="BG88" s="110">
        <f t="shared" si="263"/>
        <v>0</v>
      </c>
      <c r="BH88" s="105" t="str">
        <f>VLOOKUP(A88,'BOCA DE LOBO'!C:I,7,0)</f>
        <v>BOCA DE LOBO EXISTENTE TRIPLA</v>
      </c>
      <c r="BI88" s="104">
        <f t="shared" si="264"/>
        <v>0</v>
      </c>
      <c r="BJ88" s="104">
        <f t="shared" si="265"/>
        <v>0</v>
      </c>
      <c r="BK88" s="104">
        <f t="shared" si="266"/>
        <v>0</v>
      </c>
      <c r="BL88" s="104">
        <f t="shared" si="267"/>
        <v>0</v>
      </c>
      <c r="BM88" s="104">
        <f t="shared" si="268"/>
        <v>0</v>
      </c>
      <c r="BN88" s="104">
        <f t="shared" si="269"/>
        <v>0</v>
      </c>
      <c r="BO88" s="104">
        <f t="shared" si="270"/>
        <v>0</v>
      </c>
      <c r="BP88" s="111"/>
      <c r="BQ88" s="108">
        <f t="shared" si="271"/>
        <v>15.36</v>
      </c>
      <c r="BR88" s="108">
        <f t="shared" si="272"/>
        <v>3.9690240000001404</v>
      </c>
      <c r="BS88" s="108">
        <f t="shared" si="273"/>
        <v>0</v>
      </c>
      <c r="BV88" s="538">
        <f t="shared" si="208"/>
        <v>0</v>
      </c>
      <c r="BW88" s="538">
        <f t="shared" si="209"/>
        <v>0</v>
      </c>
      <c r="BX88" s="538">
        <f t="shared" si="293"/>
        <v>0</v>
      </c>
      <c r="BY88" s="538">
        <f t="shared" si="274"/>
        <v>1.6552000000000135</v>
      </c>
      <c r="BZ88" s="538">
        <f t="shared" si="275"/>
        <v>1.6552000000000135</v>
      </c>
      <c r="CA88" s="538">
        <f t="shared" si="276"/>
        <v>0</v>
      </c>
      <c r="CB88" s="538">
        <f t="shared" si="277"/>
        <v>0</v>
      </c>
      <c r="CC88" s="538">
        <f t="shared" si="278"/>
        <v>0</v>
      </c>
      <c r="CD88" s="538">
        <f t="shared" si="279"/>
        <v>0</v>
      </c>
      <c r="CE88" s="538">
        <f t="shared" si="280"/>
        <v>0</v>
      </c>
      <c r="CF88" s="538">
        <f t="shared" si="281"/>
        <v>0</v>
      </c>
      <c r="CG88" s="538">
        <f t="shared" si="282"/>
        <v>0</v>
      </c>
      <c r="CH88" s="538">
        <f t="shared" si="283"/>
        <v>0</v>
      </c>
      <c r="CI88" s="104">
        <f t="shared" si="211"/>
        <v>0</v>
      </c>
      <c r="CJ88" s="538">
        <f t="shared" si="284"/>
        <v>0</v>
      </c>
      <c r="CK88" s="538">
        <f t="shared" si="295"/>
        <v>0</v>
      </c>
      <c r="CL88" s="538">
        <f t="shared" si="285"/>
        <v>0</v>
      </c>
      <c r="CM88" s="538">
        <f t="shared" si="286"/>
        <v>0</v>
      </c>
      <c r="CN88" s="538">
        <f t="shared" si="213"/>
        <v>0</v>
      </c>
      <c r="CO88" s="538">
        <f t="shared" si="287"/>
        <v>1.6552000000000135</v>
      </c>
      <c r="CP88" s="538">
        <f t="shared" si="288"/>
        <v>0</v>
      </c>
      <c r="CQ88" s="538">
        <f t="shared" si="289"/>
        <v>0</v>
      </c>
      <c r="CR88" s="539">
        <f t="shared" si="290"/>
        <v>0</v>
      </c>
      <c r="CS88" s="540">
        <f t="shared" si="214"/>
        <v>0</v>
      </c>
      <c r="CT88" s="540">
        <f t="shared" si="215"/>
        <v>0</v>
      </c>
      <c r="CU88" s="541">
        <f t="shared" si="216"/>
        <v>0</v>
      </c>
      <c r="CV88" s="538">
        <f t="shared" si="217"/>
        <v>0</v>
      </c>
      <c r="CW88" s="538">
        <f t="shared" si="218"/>
        <v>0</v>
      </c>
      <c r="CX88" s="104">
        <f t="shared" si="219"/>
        <v>0</v>
      </c>
      <c r="CY88" s="542">
        <f t="shared" si="291"/>
        <v>0</v>
      </c>
      <c r="CZ88" s="538">
        <f t="shared" si="292"/>
        <v>0</v>
      </c>
      <c r="DC88" s="112" t="s">
        <v>1501</v>
      </c>
      <c r="DD88" s="112" t="b">
        <f t="shared" si="296"/>
        <v>0</v>
      </c>
    </row>
    <row r="89" spans="1:108" s="112" customFormat="1" ht="25" x14ac:dyDescent="0.25">
      <c r="A89" s="100" t="str">
        <f>'BOCA DE LOBO'!C87</f>
        <v>BL82-&gt;PV1-34</v>
      </c>
      <c r="B89" s="100" t="str">
        <f>'BOCA DE LOBO'!A87</f>
        <v>PV1-34</v>
      </c>
      <c r="C89" s="100" t="str">
        <f>VLOOKUP(A89,'BOCA DE LOBO'!C:F,3,0)</f>
        <v>EXISTENTE</v>
      </c>
      <c r="D89" s="100" t="str">
        <f>VLOOKUP(A89,'BOCA DE LOBO'!C:L,10,0)</f>
        <v>PROJETADA</v>
      </c>
      <c r="E89" s="100">
        <f t="shared" ref="E89:E95" si="297">IF(F89-G89*4%&lt;2.5,F89-G89*4%,2.5)</f>
        <v>1.4356000000000455</v>
      </c>
      <c r="F89" s="100">
        <f>VLOOKUP(A89,'BOCA DE LOBO'!C:D,2,0)</f>
        <v>1.7000000000000455</v>
      </c>
      <c r="G89" s="100">
        <f>VLOOKUP(A89,'BOCA DE LOBO'!C:F,4,0)</f>
        <v>6.61</v>
      </c>
      <c r="H89" s="101">
        <v>400</v>
      </c>
      <c r="I89" s="102">
        <f t="shared" ref="I89:I95" si="298">IF(H89=400,((E89+F89)/2)+0.08+U89,IF(H89=500,((E89+F89)/2)+0.1+U89,IF(H89=600,((E89+F89)/2)+0.12+U89,IF(H89=800,((E89+F89)/2)+0.16+U89,IF(H89=1000,((E89+F89)/2)+0.2+U89,IF(H89=1200,((E89+F89)/2)+0.24+U89,IF(H89=1500,((E89+F89)/2)+0.3+U89,IF(H89&gt;1500,((E89+F89)/2)+0.4+U89))))))))</f>
        <v>1.6978000000000455</v>
      </c>
      <c r="J89" s="102">
        <f t="shared" ref="J89:J95" si="299">IF(L89=0,0,IF(I89&gt;=1.25,G89*I89/20,0))</f>
        <v>0.56112290000001508</v>
      </c>
      <c r="K89" s="103">
        <v>0</v>
      </c>
      <c r="L89" s="104">
        <f t="shared" ref="L89:L95" si="300">IF(D89&lt;&gt;"PROJETADA",0,IF(H89=400,1,0)+IF(H89=500,1.2,0)+IF(H89=600,1.4,0)+IF(H89=800,1.7,0)+IF(H89=1000,2,0)+IF(H89=1200,2.2,0)+IF(H89=1500,2.6,0)+IF(H89=1650,3,0)+IF(H89=1800,3.2,0)+IF(H89=2000,3.4,0)+IF(H89=2200,3.6,0)+IF(H89=2400,3.8,0)+IF(H89=2600,4,0)+IF(H89=3000,4.4,0))</f>
        <v>1</v>
      </c>
      <c r="M89" s="104">
        <f t="shared" ref="M89:M95" si="301">2*K89*I89+L89</f>
        <v>1</v>
      </c>
      <c r="N89" s="104">
        <f t="shared" ref="N89:N95" si="302">IF(OR(D89="EXISTENTE",D89="AMPLIADA"),400,0)</f>
        <v>0</v>
      </c>
      <c r="O89" s="104">
        <f t="shared" ref="O89:O95" si="303">IF(P89="TERRENO NATURAL",0,M89*G89)</f>
        <v>6.61</v>
      </c>
      <c r="P89" s="105" t="s">
        <v>1999</v>
      </c>
      <c r="Q89" s="144" t="s">
        <v>2025</v>
      </c>
      <c r="R89" s="105"/>
      <c r="S89" s="105">
        <f>VLOOKUP(Q89,Quantitativos!P:R,3,0)</f>
        <v>4.4000000000000004</v>
      </c>
      <c r="T89" s="105">
        <f>VLOOKUP(Q89,Quantitativos!P:S,4,0)</f>
        <v>3.5</v>
      </c>
      <c r="U89" s="104">
        <f t="shared" ref="U89:U95" si="304">IF(H89=400,0.05,0)+IF(H89=500,0.05,0)+IF(H89=600,0.1,0)+IF(H89=800,0.1,0)+IF(H89=1000,0.15,0)+IF(H89=1200,0.15,0)+IF(H89=1500,0.2,0)+IF(H89=1650,0.2,0)+IF(H89=1800,0.2,0)+IF(H89=2000,0.25,0)+IF(H89=2200,0.25,0)+IF(H89=2400,0.25,0)+IF(H89=2600,0.25,0)+IF(H89=3000,0.25,0)</f>
        <v>0.05</v>
      </c>
      <c r="V89" s="106">
        <f t="shared" ref="V89:V95" si="305">IF(L89=0,0,IF("EXISTENTE"=C89,0,IFERROR((PI()*(N89/1000)*(N89/1000)/4)*G89,0)))</f>
        <v>0</v>
      </c>
      <c r="W89" s="106">
        <f t="shared" ref="W89:W95" si="306">IF(O89=0,0,((((K89*I89)*I89)/2)*2+L89*I89)*G89-V89+AO89)</f>
        <v>11.222458000000302</v>
      </c>
      <c r="X89" s="107">
        <f t="shared" ref="X89:X95" si="307">W89-SUM(AC89:AJ89)</f>
        <v>0</v>
      </c>
      <c r="Y89" s="107">
        <f t="shared" ref="Y89:Y95" si="308">IF(R89=1,IF(N89=0,I89+0.4,0.4),0)</f>
        <v>0</v>
      </c>
      <c r="Z89" s="107">
        <f t="shared" ref="Z89:Z95" si="309">IF(Y89&gt;0.5,0,IF(S89&lt;I89,S89,I89))</f>
        <v>1.6978000000000455</v>
      </c>
      <c r="AA89" s="107">
        <f t="shared" ref="AA89:AA95" si="310">I89-Z89</f>
        <v>0</v>
      </c>
      <c r="AB89" s="108">
        <f t="shared" ref="AB89:AB95" si="311">IF(P89="ASFALTO",IF(D89="PROJETADA",O89,IF(D89="EXISTENTE",0,O89/2)),0)</f>
        <v>6.61</v>
      </c>
      <c r="AC89" s="109">
        <f t="shared" ref="AC89:AC95" si="312">IF(Y89=0,0,IF(Y89=0.4,IF(L89&lt;=1.5,IF(Z89+0.4&gt;=1.5,0,L89*G89*0.4),0),IF(L89&lt;=1.5,IF(Y89&gt;=1.5,M89*G89*1.5,L89*G89*(Y89)),0)+IF(S89&lt;I89+0.4,0,IF(AND(Y89&lt;=1.5,L89&lt;=1.5),-V89,0))))</f>
        <v>0</v>
      </c>
      <c r="AD89" s="109">
        <f t="shared" ref="AD89:AD95" si="313">IF(Y89=0,0,IF(Y89=0.4,IF(L89&lt;=1.5,IF(OR(Z89+0.4&gt;=3,Z89+0.4&lt;1.5),0,L89*G89*0.4),0),IF(IF(L89&lt;=1.5,IF(Y89&gt;=3,M89*G89*1.5,L89*G89*(Y89-1.5)),0)&lt;0,0,IF(L89&lt;=1.5,IF(Y89&gt;=3,M89*G89*1.5,L89*G89*(Y89-1.5)),0))+IF(S89&lt;I89+0.4,0,IF(AND(Y89&lt;=3,L89&lt;=1.5),-V89,0))))</f>
        <v>0</v>
      </c>
      <c r="AE89" s="109">
        <f t="shared" ref="AE89:AE95" si="314">IF(Y89=0,0,IF(Y89=0.4,IF(L89&lt;=1.5,IF(OR(Z89+0.4&gt;=4.5,Z89+0.4&lt;3),0,L89*G89*0.4),0),IF(IF(L89&lt;=1.5,IF(Y89&gt;=4.5,M89*G89*1.5,L89*G89*(Y89-3)),0)&lt;0,0,IF(L89&lt;=1.5,IF(Y89&gt;=4.5,M89*G89*1.5,L89*G89*(Y89-3)),0))+IF(S89&lt;I89+0.4,0,IF(AND(Y89&lt;=4.5,L89&lt;=1.5),-V89,0))))</f>
        <v>0</v>
      </c>
      <c r="AF89" s="109">
        <f t="shared" ref="AF89:AF95" si="315">IF(L89&lt;=1.5,IF(Z89&gt;=1.5,M89*G89*1.5,L89*G89*Z89),0)+IF(S89&lt;I89,0,IF(AND(Z89&lt;=1.5,L89&lt;=1.5),-V89,0))</f>
        <v>9.9150000000000009</v>
      </c>
      <c r="AG89" s="109">
        <f t="shared" ref="AG89:AG95" si="316">IF(IF(L89&lt;=1.5,IF(Z89&gt;=3,M89*G89*1.5,L89*G89*(Z89-1.5)),0)&lt;0,0,IF(L89&lt;=1.5,IF(Z89&gt;=3,M89*G89*1.5,L89*G89*(Z89-1.5)),0))+IF(S89&lt;I89,0,IF(AND(Z89&lt;=3,L89&lt;=1.5),-V89,0))</f>
        <v>1.3074580000003009</v>
      </c>
      <c r="AH89" s="109">
        <f t="shared" ref="AH89:AH95" si="317">IF(IF(IF(L89&lt;=1.5,IF(Z89&gt;=4.5,M89*G89*1.5,L89*G89*(Z89-3)),0)&lt;0,0,IF(L89&lt;=1.5,IF(Z89&gt;=4.5,M89*G89*1.5,L89*G89*(Z89-3)),0))+IF(S89&lt;I89,0,IF(AND(Z89&lt;=4.5,L89&lt;=1.5),-V89,0))&lt;0,0,IF(IF(L89&lt;=1.5,IF(Z89&gt;=4.5,M89*G89*1.5,L89*G89*(Z89-3)),0)&lt;0,0,IF(L89&lt;=1.5,IF(Z89&gt;=4.5,M89*G89*1.5,L89*G89*(Z89-3)),0))+IF(S89&lt;I89,0,IF(AND(Z89&lt;=4.5,L89&lt;=1.5),-V89,0)))</f>
        <v>0</v>
      </c>
      <c r="AI89" s="537" t="str">
        <f t="shared" ref="AI89:AI95" si="318">IF(I89&gt;S89,"SIM","NÃO")</f>
        <v>NÃO</v>
      </c>
      <c r="AJ89" s="104">
        <f t="shared" ref="AJ89:AJ95" si="319">W89-SUM(AC89:AH89)</f>
        <v>0</v>
      </c>
      <c r="AK89" s="104">
        <f t="shared" ref="AK89:AK95" si="320">IF(I89-T89&lt;0,0,(I89-T89)*G89)/75</f>
        <v>0</v>
      </c>
      <c r="AL89" s="104">
        <f t="shared" ref="AL89:AL95" si="321">IF(L89=0,0,G89*L89*I89-PI()*(H89/1000)*(H89/1000)/4*G89+AO89)</f>
        <v>10.39182090239116</v>
      </c>
      <c r="AM89" s="102">
        <f t="shared" ref="AM89:AM95" si="322">IF(L89&lt;1.5,L89*G89*IF(H89&lt;=500,0.05,IF(H89&lt;=800,0.1,IF(H89&lt;=1200,0.15,IF(H89&gt;=1500,0.2)))),0)</f>
        <v>0.33050000000000002</v>
      </c>
      <c r="AN89" s="106">
        <f t="shared" ref="AN89:AN95" si="323">IF(L89&gt;=1.5,L89*G89*IF(H89&lt;=500,0.05,IF(H89&lt;=800,0.1,IF(H89&lt;=1200,0.15,IF(H89&gt;=1500,0.2)))),0)</f>
        <v>0</v>
      </c>
      <c r="AO89" s="104">
        <f t="shared" ref="AO89:AO95" si="324">IF(R89=1,0.4*G89*L89,0)</f>
        <v>0</v>
      </c>
      <c r="AP89" s="104">
        <f t="shared" ref="AP89:AP95" si="325">IF(AO89&lt;SUM(AF89:AH89),0,AO89)</f>
        <v>0</v>
      </c>
      <c r="AQ89" s="104">
        <f t="shared" ref="AQ89:AQ95" si="326">H89/1000+0.3</f>
        <v>0.7</v>
      </c>
      <c r="AR89" s="104">
        <f t="shared" ref="AR89:AR95" si="327">IF(D89&lt;&gt;"PROJETADA",0,AQ89*L89*G89-PI()*(H89/1000*H89/1000)/4*G89)</f>
        <v>3.7963629023908583</v>
      </c>
      <c r="AS89" s="104">
        <f t="shared" ref="AS89:AS95" si="328">IF(AR89&lt;SUM(AF89:AH89),0,AR89)</f>
        <v>0</v>
      </c>
      <c r="AT89" s="104">
        <f t="shared" ref="AT89:AT95" si="329">IF(P89="ASFALTO",0.15*G89*L89,0)</f>
        <v>0.99150000000000005</v>
      </c>
      <c r="AU89" s="104">
        <f t="shared" ref="AU89:AU95" si="330">AT89</f>
        <v>0.99150000000000005</v>
      </c>
      <c r="AV89" s="104">
        <f t="shared" ref="AV89:AV95" si="331">IF(P89="ASFALTO",0.03*G89*L89,0)</f>
        <v>0.1983</v>
      </c>
      <c r="AW89" s="104">
        <f t="shared" ref="AW89:AW95" si="332">AL89-AO89-SUM(AM89:AN89)-AT89-AU89-AR89</f>
        <v>4.2819580000003006</v>
      </c>
      <c r="AX89" s="104">
        <f t="shared" ref="AX89:AX95" si="333">SUM(AF89:AH89)-AO89-AT89-AR89</f>
        <v>6.434595097609443</v>
      </c>
      <c r="AY89" s="104">
        <f t="shared" ref="AY89:AY95" si="334">SMALL(AW89:AX89,1)</f>
        <v>4.2819580000003006</v>
      </c>
      <c r="AZ89" s="104">
        <f t="shared" ref="AZ89:AZ95" si="335">AW89-AY89</f>
        <v>0</v>
      </c>
      <c r="BA89" s="104">
        <f t="shared" si="294"/>
        <v>0</v>
      </c>
      <c r="BB89" s="104">
        <f t="shared" ref="BB89:BB95" si="336">AZ89-BA89</f>
        <v>0</v>
      </c>
      <c r="BC89" s="104"/>
      <c r="BD89" s="104">
        <f t="shared" ref="BD89:BD95" si="337">IF(AO89&gt;0,4%*(AO89+AT89),0)</f>
        <v>0</v>
      </c>
      <c r="BE89" s="108">
        <f t="shared" ref="BE89:BE95" si="338">IF(H89=400,I89,0)</f>
        <v>1.6978000000000455</v>
      </c>
      <c r="BF89" s="110">
        <f t="shared" ref="BF89:BF95" si="339">IF(BE89&lt;=1.75,G89*IF(D89="PROJETADA",1,0),0)</f>
        <v>6.61</v>
      </c>
      <c r="BG89" s="110">
        <f t="shared" ref="BG89:BG95" si="340">IF(AND(BE89&lt;=3,BE89&gt;1.75),IF(D89="PROJETADA",1,0)*G89,0)</f>
        <v>0</v>
      </c>
      <c r="BH89" s="105" t="str">
        <f>VLOOKUP(A89,'BOCA DE LOBO'!C:I,7,0)</f>
        <v>BOCA DE LOBO PROJETADA DUPLA</v>
      </c>
      <c r="BI89" s="104">
        <f t="shared" ref="BI89:BI95" si="341">IF(BH89=$BI$4,1,0)</f>
        <v>0</v>
      </c>
      <c r="BJ89" s="104">
        <f t="shared" ref="BJ89:BJ95" si="342">IF(BH89=$BJ$4,1,0)</f>
        <v>0</v>
      </c>
      <c r="BK89" s="104">
        <f t="shared" ref="BK89:BK95" si="343">IF(BH89=$BK$4,1,0)</f>
        <v>0</v>
      </c>
      <c r="BL89" s="104">
        <f t="shared" ref="BL89:BL95" si="344">IF(BH89=$BL$4,1,0)</f>
        <v>0</v>
      </c>
      <c r="BM89" s="104">
        <f t="shared" ref="BM89:BM95" si="345">IF(BH89=$BM$4,1,0)</f>
        <v>0</v>
      </c>
      <c r="BN89" s="104">
        <f t="shared" ref="BN89:BN95" si="346">IF(BH89=$BN$4,1,0)</f>
        <v>1</v>
      </c>
      <c r="BO89" s="104">
        <f t="shared" ref="BO89:BO95" si="347">IF(BH89=$BO$4,1,0)</f>
        <v>0</v>
      </c>
      <c r="BP89" s="111"/>
      <c r="BQ89" s="108">
        <f t="shared" ref="BQ89:BQ95" si="348">IF(L89&lt;=1.5,IF(I89+IF(R89=1,0.5,0)&lt;1.5,(I89+IF(R89=1,0.5,0))*G89*2,G89*2*1.5),0)</f>
        <v>19.830000000000002</v>
      </c>
      <c r="BR89" s="108">
        <f t="shared" ref="BR89:BR95" si="349">IF(L89&lt;=1.5,IF(AND(I89+IF(R89=1,0.5,0)&lt;3,I89+IF(R89=1,0.5,0)&gt;1.5),(I89+IF(R89=1,0.5,0)-1.5)*G89*2,IF(I89+IF(R89=1,0.5,0)&gt;=3,(G89*2*1.5),0)),0)</f>
        <v>2.6149160000006018</v>
      </c>
      <c r="BS89" s="108">
        <f t="shared" ref="BS89:BS95" si="350">IF(L89&lt;=1.5,IF(AND(I89+IF(R89=1,0.5,0)&lt;4.5,I89+IF(R89=1,0.5,0)&gt;3),(I89+IF(R89=1,0.5,0)-3)*G89*2,IF(I89+IF(R89=1,0.5,0)&gt;=4.5,(G89*2*1.5),0)),0)</f>
        <v>0</v>
      </c>
      <c r="BV89" s="538">
        <f t="shared" si="208"/>
        <v>11.172700560000353</v>
      </c>
      <c r="BW89" s="538">
        <f t="shared" si="209"/>
        <v>7.7825999999999986</v>
      </c>
      <c r="BX89" s="538">
        <f t="shared" si="293"/>
        <v>3.0325999999999995</v>
      </c>
      <c r="BY89" s="538">
        <f t="shared" ref="BY89:BY95" si="351">E89</f>
        <v>1.4356000000000455</v>
      </c>
      <c r="BZ89" s="538">
        <f t="shared" ref="BZ89:BZ95" si="352">IF(Y89&gt;0.5,0,IF(S89&lt;E89,S89,E89))</f>
        <v>1.4356000000000455</v>
      </c>
      <c r="CA89" s="538">
        <f t="shared" ref="CA89:CA95" si="353">IF(Y89&gt;0.4,BY89+0.4,Y89)</f>
        <v>0</v>
      </c>
      <c r="CB89" s="538">
        <f t="shared" ref="CB89:CB95" si="354">IF(S89&gt;E89,0,E89-S89)</f>
        <v>0</v>
      </c>
      <c r="CC89" s="538">
        <f t="shared" ref="CC89:CC95" si="355">IF(BZ89&gt;1.5,BW89*1.5,BW89*BZ89)</f>
        <v>11.172700560000353</v>
      </c>
      <c r="CD89" s="538">
        <f t="shared" ref="CD89:CD95" si="356">IF(BZ89&gt;1.5,BW89*(BZ89-1.5),0)</f>
        <v>0</v>
      </c>
      <c r="CE89" s="538">
        <f t="shared" ref="CE89:CE95" si="357">IF(CA89=0.4,IF(BZ89+CA89&gt;1.5,0,CA89*BW89),IF(CA89&gt;1.5,BW89*1.5,BW89*CA89))</f>
        <v>0</v>
      </c>
      <c r="CF89" s="538">
        <f t="shared" ref="CF89:CF95" si="358">IF(CA89=0.4,IF(BZ89+CA89&lt;=1.5,0,CA89*BW89),IF(CA89&gt;1.5,BW89*(CA89-1.5),0))</f>
        <v>0</v>
      </c>
      <c r="CG89" s="538">
        <f t="shared" ref="CG89:CG95" si="359">BV89-SUM(CC89:CF89)</f>
        <v>0</v>
      </c>
      <c r="CH89" s="538">
        <f t="shared" ref="CH89:CH95" si="360">SUM(CC89:CG89)-BV89</f>
        <v>0</v>
      </c>
      <c r="CI89" s="104">
        <f t="shared" si="211"/>
        <v>0.53549999999999998</v>
      </c>
      <c r="CJ89" s="538">
        <f t="shared" ref="CJ89:CJ95" si="361">(BW89-BX89)*(BY89+IF(CA89&gt;=0.4,0.4,0))-CI89</f>
        <v>6.2836000000002148</v>
      </c>
      <c r="CK89" s="538">
        <f t="shared" si="295"/>
        <v>6.2836000000002148</v>
      </c>
      <c r="CL89" s="538">
        <f t="shared" ref="CL89:CL95" si="362">CJ89-CK89</f>
        <v>0</v>
      </c>
      <c r="CM89" s="538">
        <f t="shared" ref="CM89:CM95" si="363">IF(CA89&gt;0,0.5*4%*BW89,0)</f>
        <v>0</v>
      </c>
      <c r="CN89" s="538">
        <f t="shared" si="213"/>
        <v>3.57</v>
      </c>
      <c r="CO89" s="538">
        <f t="shared" ref="CO89:CO95" si="364">IF(CA89&gt;0,BY89+0.5,BY89)</f>
        <v>1.4356000000000455</v>
      </c>
      <c r="CP89" s="538">
        <f t="shared" ref="CP89:CP95" si="365">IF(CO89&gt;=1.5,CN89*1.5*2,CN89*CO89*2)</f>
        <v>10.250184000000324</v>
      </c>
      <c r="CQ89" s="538">
        <f t="shared" ref="CQ89:CQ95" si="366">IF(CO89&lt;=1.5,0,IF(CO89&gt;=3,CN89*1.5*2,CN89*(CO89-1.5)*2))</f>
        <v>0</v>
      </c>
      <c r="CR89" s="539">
        <f t="shared" ref="CR89:CR95" si="367">IF(D89="AMPLIADA",0.55*(E89-0.5),0)</f>
        <v>0</v>
      </c>
      <c r="CS89" s="540">
        <f t="shared" si="214"/>
        <v>0</v>
      </c>
      <c r="CT89" s="540">
        <f t="shared" si="215"/>
        <v>0.33012999999999998</v>
      </c>
      <c r="CU89" s="541">
        <f t="shared" si="216"/>
        <v>7.4651200000002369</v>
      </c>
      <c r="CV89" s="538">
        <f t="shared" si="217"/>
        <v>1.1132436000000139</v>
      </c>
      <c r="CW89" s="538">
        <f t="shared" si="218"/>
        <v>15.07360800000035</v>
      </c>
      <c r="CX89" s="104">
        <f t="shared" si="219"/>
        <v>3.57</v>
      </c>
      <c r="CY89" s="542">
        <f t="shared" ref="CY89:CY95" si="368">CX89*0.5</f>
        <v>1.7849999999999999</v>
      </c>
      <c r="CZ89" s="538">
        <f t="shared" ref="CZ89:CZ95" si="369">IF(AND(C89="EXISTENTE",D89="PROJETADA"),PI()*0.51*0.51/4*0.12,0)</f>
        <v>2.4513847475961154E-2</v>
      </c>
      <c r="DC89" s="112" t="s">
        <v>1504</v>
      </c>
      <c r="DD89" s="112" t="b">
        <f t="shared" ref="DD89:DD95" si="370">B89=DC89</f>
        <v>0</v>
      </c>
    </row>
    <row r="90" spans="1:108" s="112" customFormat="1" ht="25" x14ac:dyDescent="0.25">
      <c r="A90" s="100" t="str">
        <f>'BOCA DE LOBO'!C88</f>
        <v>BL83-&gt;PV1-35</v>
      </c>
      <c r="B90" s="100" t="str">
        <f>'BOCA DE LOBO'!A88</f>
        <v>PV1-35</v>
      </c>
      <c r="C90" s="100" t="str">
        <f>VLOOKUP(A90,'BOCA DE LOBO'!C:F,3,0)</f>
        <v>EXISTENTE</v>
      </c>
      <c r="D90" s="100" t="str">
        <f>VLOOKUP(A90,'BOCA DE LOBO'!C:L,10,0)</f>
        <v>EXISTENTE</v>
      </c>
      <c r="E90" s="100">
        <f t="shared" si="297"/>
        <v>1.3608000000000227</v>
      </c>
      <c r="F90" s="100">
        <f>VLOOKUP(A90,'BOCA DE LOBO'!C:D,2,0)</f>
        <v>1.6000000000000227</v>
      </c>
      <c r="G90" s="100">
        <f>VLOOKUP(A90,'BOCA DE LOBO'!C:F,4,0)</f>
        <v>5.98</v>
      </c>
      <c r="H90" s="101">
        <v>400</v>
      </c>
      <c r="I90" s="102">
        <f t="shared" si="298"/>
        <v>1.6104000000000227</v>
      </c>
      <c r="J90" s="102">
        <f t="shared" si="299"/>
        <v>0</v>
      </c>
      <c r="K90" s="103">
        <v>0</v>
      </c>
      <c r="L90" s="104">
        <f t="shared" si="300"/>
        <v>0</v>
      </c>
      <c r="M90" s="104">
        <f t="shared" si="301"/>
        <v>0</v>
      </c>
      <c r="N90" s="104">
        <f t="shared" si="302"/>
        <v>400</v>
      </c>
      <c r="O90" s="104">
        <f t="shared" si="303"/>
        <v>0</v>
      </c>
      <c r="P90" s="105" t="s">
        <v>1999</v>
      </c>
      <c r="Q90" s="144" t="s">
        <v>2023</v>
      </c>
      <c r="R90" s="105"/>
      <c r="S90" s="105">
        <f>VLOOKUP(Q90,Quantitativos!P:R,3,0)</f>
        <v>5</v>
      </c>
      <c r="T90" s="105">
        <f>VLOOKUP(Q90,Quantitativos!P:S,4,0)</f>
        <v>5</v>
      </c>
      <c r="U90" s="104">
        <f t="shared" si="304"/>
        <v>0.05</v>
      </c>
      <c r="V90" s="106">
        <f t="shared" si="305"/>
        <v>0</v>
      </c>
      <c r="W90" s="106">
        <f t="shared" si="306"/>
        <v>0</v>
      </c>
      <c r="X90" s="107">
        <f t="shared" si="307"/>
        <v>0</v>
      </c>
      <c r="Y90" s="107">
        <f t="shared" si="308"/>
        <v>0</v>
      </c>
      <c r="Z90" s="107">
        <f t="shared" si="309"/>
        <v>1.6104000000000227</v>
      </c>
      <c r="AA90" s="107">
        <f t="shared" si="310"/>
        <v>0</v>
      </c>
      <c r="AB90" s="108">
        <f t="shared" si="311"/>
        <v>0</v>
      </c>
      <c r="AC90" s="109">
        <f t="shared" si="312"/>
        <v>0</v>
      </c>
      <c r="AD90" s="109">
        <f t="shared" si="313"/>
        <v>0</v>
      </c>
      <c r="AE90" s="109">
        <f t="shared" si="314"/>
        <v>0</v>
      </c>
      <c r="AF90" s="109">
        <f t="shared" si="315"/>
        <v>0</v>
      </c>
      <c r="AG90" s="109">
        <f t="shared" si="316"/>
        <v>0</v>
      </c>
      <c r="AH90" s="109">
        <f t="shared" si="317"/>
        <v>0</v>
      </c>
      <c r="AI90" s="537" t="str">
        <f t="shared" si="318"/>
        <v>NÃO</v>
      </c>
      <c r="AJ90" s="104">
        <f t="shared" si="319"/>
        <v>0</v>
      </c>
      <c r="AK90" s="104">
        <f t="shared" si="320"/>
        <v>0</v>
      </c>
      <c r="AL90" s="104">
        <f t="shared" si="321"/>
        <v>0</v>
      </c>
      <c r="AM90" s="102">
        <f t="shared" si="322"/>
        <v>0</v>
      </c>
      <c r="AN90" s="106">
        <f t="shared" si="323"/>
        <v>0</v>
      </c>
      <c r="AO90" s="104">
        <f t="shared" si="324"/>
        <v>0</v>
      </c>
      <c r="AP90" s="104">
        <f t="shared" si="325"/>
        <v>0</v>
      </c>
      <c r="AQ90" s="104">
        <f t="shared" si="326"/>
        <v>0.7</v>
      </c>
      <c r="AR90" s="104">
        <f t="shared" si="327"/>
        <v>0</v>
      </c>
      <c r="AS90" s="104">
        <f t="shared" si="328"/>
        <v>0</v>
      </c>
      <c r="AT90" s="104">
        <f t="shared" si="329"/>
        <v>0</v>
      </c>
      <c r="AU90" s="104">
        <f t="shared" si="330"/>
        <v>0</v>
      </c>
      <c r="AV90" s="104">
        <f t="shared" si="331"/>
        <v>0</v>
      </c>
      <c r="AW90" s="104">
        <f t="shared" si="332"/>
        <v>0</v>
      </c>
      <c r="AX90" s="104">
        <f t="shared" si="333"/>
        <v>0</v>
      </c>
      <c r="AY90" s="104">
        <f t="shared" si="334"/>
        <v>0</v>
      </c>
      <c r="AZ90" s="104">
        <f t="shared" si="335"/>
        <v>0</v>
      </c>
      <c r="BA90" s="104">
        <f t="shared" si="294"/>
        <v>0</v>
      </c>
      <c r="BB90" s="104">
        <f t="shared" si="336"/>
        <v>0</v>
      </c>
      <c r="BC90" s="104"/>
      <c r="BD90" s="104">
        <f t="shared" si="337"/>
        <v>0</v>
      </c>
      <c r="BE90" s="108">
        <f t="shared" si="338"/>
        <v>1.6104000000000227</v>
      </c>
      <c r="BF90" s="110">
        <f t="shared" si="339"/>
        <v>0</v>
      </c>
      <c r="BG90" s="110">
        <f t="shared" si="340"/>
        <v>0</v>
      </c>
      <c r="BH90" s="105" t="str">
        <f>VLOOKUP(A90,'BOCA DE LOBO'!C:I,7,0)</f>
        <v>BOCA DE LOBO EXISTENTE TRIPLA</v>
      </c>
      <c r="BI90" s="104">
        <f t="shared" si="341"/>
        <v>0</v>
      </c>
      <c r="BJ90" s="104">
        <f t="shared" si="342"/>
        <v>0</v>
      </c>
      <c r="BK90" s="104">
        <f t="shared" si="343"/>
        <v>0</v>
      </c>
      <c r="BL90" s="104">
        <f t="shared" si="344"/>
        <v>0</v>
      </c>
      <c r="BM90" s="104">
        <f t="shared" si="345"/>
        <v>0</v>
      </c>
      <c r="BN90" s="104">
        <f t="shared" si="346"/>
        <v>0</v>
      </c>
      <c r="BO90" s="104">
        <f t="shared" si="347"/>
        <v>0</v>
      </c>
      <c r="BP90" s="111"/>
      <c r="BQ90" s="108">
        <f t="shared" si="348"/>
        <v>17.940000000000001</v>
      </c>
      <c r="BR90" s="108">
        <f t="shared" si="349"/>
        <v>1.3203840000002716</v>
      </c>
      <c r="BS90" s="108">
        <f t="shared" si="350"/>
        <v>0</v>
      </c>
      <c r="BV90" s="538">
        <f t="shared" si="208"/>
        <v>0</v>
      </c>
      <c r="BW90" s="538">
        <f t="shared" si="209"/>
        <v>0</v>
      </c>
      <c r="BX90" s="538">
        <f t="shared" si="293"/>
        <v>0</v>
      </c>
      <c r="BY90" s="538">
        <f t="shared" si="351"/>
        <v>1.3608000000000227</v>
      </c>
      <c r="BZ90" s="538">
        <f t="shared" si="352"/>
        <v>1.3608000000000227</v>
      </c>
      <c r="CA90" s="538">
        <f t="shared" si="353"/>
        <v>0</v>
      </c>
      <c r="CB90" s="538">
        <f t="shared" si="354"/>
        <v>0</v>
      </c>
      <c r="CC90" s="538">
        <f t="shared" si="355"/>
        <v>0</v>
      </c>
      <c r="CD90" s="538">
        <f t="shared" si="356"/>
        <v>0</v>
      </c>
      <c r="CE90" s="538">
        <f t="shared" si="357"/>
        <v>0</v>
      </c>
      <c r="CF90" s="538">
        <f t="shared" si="358"/>
        <v>0</v>
      </c>
      <c r="CG90" s="538">
        <f t="shared" si="359"/>
        <v>0</v>
      </c>
      <c r="CH90" s="538">
        <f t="shared" si="360"/>
        <v>0</v>
      </c>
      <c r="CI90" s="104">
        <f t="shared" si="211"/>
        <v>0</v>
      </c>
      <c r="CJ90" s="538">
        <f t="shared" si="361"/>
        <v>0</v>
      </c>
      <c r="CK90" s="538">
        <f t="shared" si="295"/>
        <v>0</v>
      </c>
      <c r="CL90" s="538">
        <f t="shared" si="362"/>
        <v>0</v>
      </c>
      <c r="CM90" s="538">
        <f t="shared" si="363"/>
        <v>0</v>
      </c>
      <c r="CN90" s="538">
        <f t="shared" si="213"/>
        <v>0</v>
      </c>
      <c r="CO90" s="538">
        <f t="shared" si="364"/>
        <v>1.3608000000000227</v>
      </c>
      <c r="CP90" s="538">
        <f t="shared" si="365"/>
        <v>0</v>
      </c>
      <c r="CQ90" s="538">
        <f t="shared" si="366"/>
        <v>0</v>
      </c>
      <c r="CR90" s="539">
        <f t="shared" si="367"/>
        <v>0</v>
      </c>
      <c r="CS90" s="540">
        <f t="shared" si="214"/>
        <v>0</v>
      </c>
      <c r="CT90" s="540">
        <f t="shared" si="215"/>
        <v>0</v>
      </c>
      <c r="CU90" s="541">
        <f t="shared" si="216"/>
        <v>0</v>
      </c>
      <c r="CV90" s="538">
        <f t="shared" si="217"/>
        <v>0</v>
      </c>
      <c r="CW90" s="538">
        <f t="shared" si="218"/>
        <v>0</v>
      </c>
      <c r="CX90" s="104">
        <f t="shared" si="219"/>
        <v>0</v>
      </c>
      <c r="CY90" s="542">
        <f t="shared" si="368"/>
        <v>0</v>
      </c>
      <c r="CZ90" s="538">
        <f t="shared" si="369"/>
        <v>0</v>
      </c>
      <c r="DC90" s="112" t="s">
        <v>1492</v>
      </c>
      <c r="DD90" s="112" t="b">
        <f t="shared" si="370"/>
        <v>0</v>
      </c>
    </row>
    <row r="91" spans="1:108" s="112" customFormat="1" ht="25" x14ac:dyDescent="0.25">
      <c r="A91" s="100" t="str">
        <f>'BOCA DE LOBO'!C89</f>
        <v>BL84-&gt;PV2-35</v>
      </c>
      <c r="B91" s="100" t="str">
        <f>'BOCA DE LOBO'!A89</f>
        <v>PV2-35</v>
      </c>
      <c r="C91" s="100" t="str">
        <f>VLOOKUP(A91,'BOCA DE LOBO'!C:F,3,0)</f>
        <v>EXISTENTE</v>
      </c>
      <c r="D91" s="100" t="str">
        <f>VLOOKUP(A91,'BOCA DE LOBO'!C:L,10,0)</f>
        <v>EXISTENTE</v>
      </c>
      <c r="E91" s="100">
        <f t="shared" si="297"/>
        <v>1.9956000000000453</v>
      </c>
      <c r="F91" s="100">
        <f>VLOOKUP(A91,'BOCA DE LOBO'!C:D,2,0)</f>
        <v>2.2000000000000455</v>
      </c>
      <c r="G91" s="100">
        <f>VLOOKUP(A91,'BOCA DE LOBO'!C:F,4,0)</f>
        <v>5.1100000000000003</v>
      </c>
      <c r="H91" s="101">
        <v>400</v>
      </c>
      <c r="I91" s="102">
        <f t="shared" si="298"/>
        <v>2.2278000000000455</v>
      </c>
      <c r="J91" s="102">
        <f t="shared" si="299"/>
        <v>0</v>
      </c>
      <c r="K91" s="103">
        <v>0</v>
      </c>
      <c r="L91" s="104">
        <f t="shared" si="300"/>
        <v>0</v>
      </c>
      <c r="M91" s="104">
        <f t="shared" si="301"/>
        <v>0</v>
      </c>
      <c r="N91" s="104">
        <f t="shared" si="302"/>
        <v>400</v>
      </c>
      <c r="O91" s="104">
        <f t="shared" si="303"/>
        <v>0</v>
      </c>
      <c r="P91" s="105" t="s">
        <v>1999</v>
      </c>
      <c r="Q91" s="144" t="s">
        <v>2024</v>
      </c>
      <c r="R91" s="105"/>
      <c r="S91" s="105">
        <f>VLOOKUP(Q91,Quantitativos!P:R,3,0)</f>
        <v>5</v>
      </c>
      <c r="T91" s="105">
        <f>VLOOKUP(Q91,Quantitativos!P:S,4,0)</f>
        <v>5</v>
      </c>
      <c r="U91" s="104">
        <f t="shared" si="304"/>
        <v>0.05</v>
      </c>
      <c r="V91" s="106">
        <f t="shared" si="305"/>
        <v>0</v>
      </c>
      <c r="W91" s="106">
        <f t="shared" si="306"/>
        <v>0</v>
      </c>
      <c r="X91" s="107">
        <f t="shared" si="307"/>
        <v>0</v>
      </c>
      <c r="Y91" s="107">
        <f t="shared" si="308"/>
        <v>0</v>
      </c>
      <c r="Z91" s="107">
        <f t="shared" si="309"/>
        <v>2.2278000000000455</v>
      </c>
      <c r="AA91" s="107">
        <f t="shared" si="310"/>
        <v>0</v>
      </c>
      <c r="AB91" s="108">
        <f t="shared" si="311"/>
        <v>0</v>
      </c>
      <c r="AC91" s="109">
        <f t="shared" si="312"/>
        <v>0</v>
      </c>
      <c r="AD91" s="109">
        <f t="shared" si="313"/>
        <v>0</v>
      </c>
      <c r="AE91" s="109">
        <f t="shared" si="314"/>
        <v>0</v>
      </c>
      <c r="AF91" s="109">
        <f t="shared" si="315"/>
        <v>0</v>
      </c>
      <c r="AG91" s="109">
        <f t="shared" si="316"/>
        <v>0</v>
      </c>
      <c r="AH91" s="109">
        <f t="shared" si="317"/>
        <v>0</v>
      </c>
      <c r="AI91" s="537" t="str">
        <f t="shared" si="318"/>
        <v>NÃO</v>
      </c>
      <c r="AJ91" s="104">
        <f t="shared" si="319"/>
        <v>0</v>
      </c>
      <c r="AK91" s="104">
        <f t="shared" si="320"/>
        <v>0</v>
      </c>
      <c r="AL91" s="104">
        <f t="shared" si="321"/>
        <v>0</v>
      </c>
      <c r="AM91" s="102">
        <f t="shared" si="322"/>
        <v>0</v>
      </c>
      <c r="AN91" s="106">
        <f t="shared" si="323"/>
        <v>0</v>
      </c>
      <c r="AO91" s="104">
        <f t="shared" si="324"/>
        <v>0</v>
      </c>
      <c r="AP91" s="104">
        <f t="shared" si="325"/>
        <v>0</v>
      </c>
      <c r="AQ91" s="104">
        <f t="shared" si="326"/>
        <v>0.7</v>
      </c>
      <c r="AR91" s="104">
        <f t="shared" si="327"/>
        <v>0</v>
      </c>
      <c r="AS91" s="104">
        <f t="shared" si="328"/>
        <v>0</v>
      </c>
      <c r="AT91" s="104">
        <f t="shared" si="329"/>
        <v>0</v>
      </c>
      <c r="AU91" s="104">
        <f t="shared" si="330"/>
        <v>0</v>
      </c>
      <c r="AV91" s="104">
        <f t="shared" si="331"/>
        <v>0</v>
      </c>
      <c r="AW91" s="104">
        <f t="shared" si="332"/>
        <v>0</v>
      </c>
      <c r="AX91" s="104">
        <f t="shared" si="333"/>
        <v>0</v>
      </c>
      <c r="AY91" s="104">
        <f t="shared" si="334"/>
        <v>0</v>
      </c>
      <c r="AZ91" s="104">
        <f t="shared" si="335"/>
        <v>0</v>
      </c>
      <c r="BA91" s="104">
        <f t="shared" si="294"/>
        <v>0</v>
      </c>
      <c r="BB91" s="104">
        <f t="shared" si="336"/>
        <v>0</v>
      </c>
      <c r="BC91" s="104"/>
      <c r="BD91" s="104">
        <f t="shared" si="337"/>
        <v>0</v>
      </c>
      <c r="BE91" s="108">
        <f t="shared" si="338"/>
        <v>2.2278000000000455</v>
      </c>
      <c r="BF91" s="110">
        <f t="shared" si="339"/>
        <v>0</v>
      </c>
      <c r="BG91" s="110">
        <f t="shared" si="340"/>
        <v>0</v>
      </c>
      <c r="BH91" s="105" t="str">
        <f>VLOOKUP(A91,'BOCA DE LOBO'!C:I,7,0)</f>
        <v>BOCA DE LOBO EXISTENTE DUPLA</v>
      </c>
      <c r="BI91" s="104">
        <f t="shared" si="341"/>
        <v>0</v>
      </c>
      <c r="BJ91" s="104">
        <f t="shared" si="342"/>
        <v>0</v>
      </c>
      <c r="BK91" s="104">
        <f t="shared" si="343"/>
        <v>0</v>
      </c>
      <c r="BL91" s="104">
        <f t="shared" si="344"/>
        <v>0</v>
      </c>
      <c r="BM91" s="104">
        <f t="shared" si="345"/>
        <v>0</v>
      </c>
      <c r="BN91" s="104">
        <f t="shared" si="346"/>
        <v>0</v>
      </c>
      <c r="BO91" s="104">
        <f t="shared" si="347"/>
        <v>0</v>
      </c>
      <c r="BP91" s="111"/>
      <c r="BQ91" s="108">
        <f t="shared" si="348"/>
        <v>15.330000000000002</v>
      </c>
      <c r="BR91" s="108">
        <f t="shared" si="349"/>
        <v>7.4381160000004654</v>
      </c>
      <c r="BS91" s="108">
        <f t="shared" si="350"/>
        <v>0</v>
      </c>
      <c r="BV91" s="538">
        <f t="shared" si="208"/>
        <v>0</v>
      </c>
      <c r="BW91" s="538">
        <f t="shared" si="209"/>
        <v>0</v>
      </c>
      <c r="BX91" s="538">
        <f t="shared" si="293"/>
        <v>0</v>
      </c>
      <c r="BY91" s="538">
        <f t="shared" si="351"/>
        <v>1.9956000000000453</v>
      </c>
      <c r="BZ91" s="538">
        <f t="shared" si="352"/>
        <v>1.9956000000000453</v>
      </c>
      <c r="CA91" s="538">
        <f t="shared" si="353"/>
        <v>0</v>
      </c>
      <c r="CB91" s="538">
        <f t="shared" si="354"/>
        <v>0</v>
      </c>
      <c r="CC91" s="538">
        <f t="shared" si="355"/>
        <v>0</v>
      </c>
      <c r="CD91" s="538">
        <f t="shared" si="356"/>
        <v>0</v>
      </c>
      <c r="CE91" s="538">
        <f t="shared" si="357"/>
        <v>0</v>
      </c>
      <c r="CF91" s="538">
        <f t="shared" si="358"/>
        <v>0</v>
      </c>
      <c r="CG91" s="538">
        <f t="shared" si="359"/>
        <v>0</v>
      </c>
      <c r="CH91" s="538">
        <f t="shared" si="360"/>
        <v>0</v>
      </c>
      <c r="CI91" s="104">
        <f t="shared" si="211"/>
        <v>0</v>
      </c>
      <c r="CJ91" s="538">
        <f t="shared" si="361"/>
        <v>0</v>
      </c>
      <c r="CK91" s="538">
        <f t="shared" si="295"/>
        <v>0</v>
      </c>
      <c r="CL91" s="538">
        <f t="shared" si="362"/>
        <v>0</v>
      </c>
      <c r="CM91" s="538">
        <f t="shared" si="363"/>
        <v>0</v>
      </c>
      <c r="CN91" s="538">
        <f t="shared" si="213"/>
        <v>0</v>
      </c>
      <c r="CO91" s="538">
        <f t="shared" si="364"/>
        <v>1.9956000000000453</v>
      </c>
      <c r="CP91" s="538">
        <f t="shared" si="365"/>
        <v>0</v>
      </c>
      <c r="CQ91" s="538">
        <f t="shared" si="366"/>
        <v>0</v>
      </c>
      <c r="CR91" s="539">
        <f t="shared" si="367"/>
        <v>0</v>
      </c>
      <c r="CS91" s="540">
        <f t="shared" si="214"/>
        <v>0</v>
      </c>
      <c r="CT91" s="540">
        <f t="shared" si="215"/>
        <v>0</v>
      </c>
      <c r="CU91" s="541">
        <f t="shared" si="216"/>
        <v>0</v>
      </c>
      <c r="CV91" s="538">
        <f t="shared" si="217"/>
        <v>0</v>
      </c>
      <c r="CW91" s="538">
        <f t="shared" si="218"/>
        <v>0</v>
      </c>
      <c r="CX91" s="104">
        <f t="shared" si="219"/>
        <v>0</v>
      </c>
      <c r="CY91" s="542">
        <f t="shared" si="368"/>
        <v>0</v>
      </c>
      <c r="CZ91" s="538">
        <f t="shared" si="369"/>
        <v>0</v>
      </c>
      <c r="DC91" s="112" t="s">
        <v>1492</v>
      </c>
      <c r="DD91" s="112" t="b">
        <f t="shared" si="370"/>
        <v>0</v>
      </c>
    </row>
    <row r="92" spans="1:108" s="112" customFormat="1" ht="25" x14ac:dyDescent="0.25">
      <c r="A92" s="100" t="str">
        <f>'BOCA DE LOBO'!C90</f>
        <v>BL85-&gt;PV1-36</v>
      </c>
      <c r="B92" s="100" t="str">
        <f>'BOCA DE LOBO'!A90</f>
        <v>PV1-36</v>
      </c>
      <c r="C92" s="100" t="str">
        <f>VLOOKUP(A92,'BOCA DE LOBO'!C:F,3,0)</f>
        <v>EXISTENTE</v>
      </c>
      <c r="D92" s="100" t="str">
        <f>VLOOKUP(A92,'BOCA DE LOBO'!C:L,10,0)</f>
        <v>EXISTENTE</v>
      </c>
      <c r="E92" s="100">
        <f t="shared" si="297"/>
        <v>1.5924000000000227</v>
      </c>
      <c r="F92" s="100">
        <f>VLOOKUP(A92,'BOCA DE LOBO'!C:D,2,0)</f>
        <v>1.8500000000000227</v>
      </c>
      <c r="G92" s="100">
        <f>VLOOKUP(A92,'BOCA DE LOBO'!C:F,4,0)</f>
        <v>6.44</v>
      </c>
      <c r="H92" s="101">
        <v>400</v>
      </c>
      <c r="I92" s="102">
        <f t="shared" si="298"/>
        <v>1.8512000000000228</v>
      </c>
      <c r="J92" s="102">
        <f t="shared" si="299"/>
        <v>0</v>
      </c>
      <c r="K92" s="103">
        <v>0</v>
      </c>
      <c r="L92" s="104">
        <f t="shared" si="300"/>
        <v>0</v>
      </c>
      <c r="M92" s="104">
        <f t="shared" si="301"/>
        <v>0</v>
      </c>
      <c r="N92" s="104">
        <f t="shared" si="302"/>
        <v>400</v>
      </c>
      <c r="O92" s="104">
        <f t="shared" si="303"/>
        <v>0</v>
      </c>
      <c r="P92" s="105" t="s">
        <v>1999</v>
      </c>
      <c r="Q92" s="144" t="s">
        <v>2024</v>
      </c>
      <c r="R92" s="105"/>
      <c r="S92" s="105">
        <f>VLOOKUP(Q92,Quantitativos!P:R,3,0)</f>
        <v>5</v>
      </c>
      <c r="T92" s="105">
        <f>VLOOKUP(Q92,Quantitativos!P:S,4,0)</f>
        <v>5</v>
      </c>
      <c r="U92" s="104">
        <f t="shared" si="304"/>
        <v>0.05</v>
      </c>
      <c r="V92" s="106">
        <f t="shared" si="305"/>
        <v>0</v>
      </c>
      <c r="W92" s="106">
        <f t="shared" si="306"/>
        <v>0</v>
      </c>
      <c r="X92" s="107">
        <f t="shared" si="307"/>
        <v>0</v>
      </c>
      <c r="Y92" s="107">
        <f t="shared" si="308"/>
        <v>0</v>
      </c>
      <c r="Z92" s="107">
        <f t="shared" si="309"/>
        <v>1.8512000000000228</v>
      </c>
      <c r="AA92" s="107">
        <f t="shared" si="310"/>
        <v>0</v>
      </c>
      <c r="AB92" s="108">
        <f t="shared" si="311"/>
        <v>0</v>
      </c>
      <c r="AC92" s="109">
        <f t="shared" si="312"/>
        <v>0</v>
      </c>
      <c r="AD92" s="109">
        <f t="shared" si="313"/>
        <v>0</v>
      </c>
      <c r="AE92" s="109">
        <f t="shared" si="314"/>
        <v>0</v>
      </c>
      <c r="AF92" s="109">
        <f t="shared" si="315"/>
        <v>0</v>
      </c>
      <c r="AG92" s="109">
        <f t="shared" si="316"/>
        <v>0</v>
      </c>
      <c r="AH92" s="109">
        <f t="shared" si="317"/>
        <v>0</v>
      </c>
      <c r="AI92" s="537" t="str">
        <f t="shared" si="318"/>
        <v>NÃO</v>
      </c>
      <c r="AJ92" s="104">
        <f t="shared" si="319"/>
        <v>0</v>
      </c>
      <c r="AK92" s="104">
        <f t="shared" si="320"/>
        <v>0</v>
      </c>
      <c r="AL92" s="104">
        <f t="shared" si="321"/>
        <v>0</v>
      </c>
      <c r="AM92" s="102">
        <f t="shared" si="322"/>
        <v>0</v>
      </c>
      <c r="AN92" s="106">
        <f t="shared" si="323"/>
        <v>0</v>
      </c>
      <c r="AO92" s="104">
        <f t="shared" si="324"/>
        <v>0</v>
      </c>
      <c r="AP92" s="104">
        <f t="shared" si="325"/>
        <v>0</v>
      </c>
      <c r="AQ92" s="104">
        <f t="shared" si="326"/>
        <v>0.7</v>
      </c>
      <c r="AR92" s="104">
        <f t="shared" si="327"/>
        <v>0</v>
      </c>
      <c r="AS92" s="104">
        <f t="shared" si="328"/>
        <v>0</v>
      </c>
      <c r="AT92" s="104">
        <f t="shared" si="329"/>
        <v>0</v>
      </c>
      <c r="AU92" s="104">
        <f t="shared" si="330"/>
        <v>0</v>
      </c>
      <c r="AV92" s="104">
        <f t="shared" si="331"/>
        <v>0</v>
      </c>
      <c r="AW92" s="104">
        <f t="shared" si="332"/>
        <v>0</v>
      </c>
      <c r="AX92" s="104">
        <f t="shared" si="333"/>
        <v>0</v>
      </c>
      <c r="AY92" s="104">
        <f t="shared" si="334"/>
        <v>0</v>
      </c>
      <c r="AZ92" s="104">
        <f t="shared" si="335"/>
        <v>0</v>
      </c>
      <c r="BA92" s="104">
        <f t="shared" si="294"/>
        <v>0</v>
      </c>
      <c r="BB92" s="104">
        <f t="shared" si="336"/>
        <v>0</v>
      </c>
      <c r="BC92" s="104"/>
      <c r="BD92" s="104">
        <f t="shared" si="337"/>
        <v>0</v>
      </c>
      <c r="BE92" s="108">
        <f t="shared" si="338"/>
        <v>1.8512000000000228</v>
      </c>
      <c r="BF92" s="110">
        <f t="shared" si="339"/>
        <v>0</v>
      </c>
      <c r="BG92" s="110">
        <f t="shared" si="340"/>
        <v>0</v>
      </c>
      <c r="BH92" s="105" t="str">
        <f>VLOOKUP(A92,'BOCA DE LOBO'!C:I,7,0)</f>
        <v>BOCA DE LOBO EXISTENTE DUPLA</v>
      </c>
      <c r="BI92" s="104">
        <f t="shared" si="341"/>
        <v>0</v>
      </c>
      <c r="BJ92" s="104">
        <f t="shared" si="342"/>
        <v>0</v>
      </c>
      <c r="BK92" s="104">
        <f t="shared" si="343"/>
        <v>0</v>
      </c>
      <c r="BL92" s="104">
        <f t="shared" si="344"/>
        <v>0</v>
      </c>
      <c r="BM92" s="104">
        <f t="shared" si="345"/>
        <v>0</v>
      </c>
      <c r="BN92" s="104">
        <f t="shared" si="346"/>
        <v>0</v>
      </c>
      <c r="BO92" s="104">
        <f t="shared" si="347"/>
        <v>0</v>
      </c>
      <c r="BP92" s="111"/>
      <c r="BQ92" s="108">
        <f t="shared" si="348"/>
        <v>19.32</v>
      </c>
      <c r="BR92" s="108">
        <f t="shared" si="349"/>
        <v>4.5234560000002944</v>
      </c>
      <c r="BS92" s="108">
        <f t="shared" si="350"/>
        <v>0</v>
      </c>
      <c r="BV92" s="538">
        <f t="shared" si="208"/>
        <v>0</v>
      </c>
      <c r="BW92" s="538">
        <f t="shared" si="209"/>
        <v>0</v>
      </c>
      <c r="BX92" s="538">
        <f t="shared" si="293"/>
        <v>0</v>
      </c>
      <c r="BY92" s="538">
        <f t="shared" si="351"/>
        <v>1.5924000000000227</v>
      </c>
      <c r="BZ92" s="538">
        <f t="shared" si="352"/>
        <v>1.5924000000000227</v>
      </c>
      <c r="CA92" s="538">
        <f t="shared" si="353"/>
        <v>0</v>
      </c>
      <c r="CB92" s="538">
        <f t="shared" si="354"/>
        <v>0</v>
      </c>
      <c r="CC92" s="538">
        <f t="shared" si="355"/>
        <v>0</v>
      </c>
      <c r="CD92" s="538">
        <f t="shared" si="356"/>
        <v>0</v>
      </c>
      <c r="CE92" s="538">
        <f t="shared" si="357"/>
        <v>0</v>
      </c>
      <c r="CF92" s="538">
        <f t="shared" si="358"/>
        <v>0</v>
      </c>
      <c r="CG92" s="538">
        <f t="shared" si="359"/>
        <v>0</v>
      </c>
      <c r="CH92" s="538">
        <f t="shared" si="360"/>
        <v>0</v>
      </c>
      <c r="CI92" s="104">
        <f t="shared" si="211"/>
        <v>0</v>
      </c>
      <c r="CJ92" s="538">
        <f t="shared" si="361"/>
        <v>0</v>
      </c>
      <c r="CK92" s="538">
        <f t="shared" si="295"/>
        <v>0</v>
      </c>
      <c r="CL92" s="538">
        <f t="shared" si="362"/>
        <v>0</v>
      </c>
      <c r="CM92" s="538">
        <f t="shared" si="363"/>
        <v>0</v>
      </c>
      <c r="CN92" s="538">
        <f t="shared" si="213"/>
        <v>0</v>
      </c>
      <c r="CO92" s="538">
        <f t="shared" si="364"/>
        <v>1.5924000000000227</v>
      </c>
      <c r="CP92" s="538">
        <f t="shared" si="365"/>
        <v>0</v>
      </c>
      <c r="CQ92" s="538">
        <f t="shared" si="366"/>
        <v>0</v>
      </c>
      <c r="CR92" s="539">
        <f t="shared" si="367"/>
        <v>0</v>
      </c>
      <c r="CS92" s="540">
        <f t="shared" si="214"/>
        <v>0</v>
      </c>
      <c r="CT92" s="540">
        <f t="shared" si="215"/>
        <v>0</v>
      </c>
      <c r="CU92" s="541">
        <f t="shared" si="216"/>
        <v>0</v>
      </c>
      <c r="CV92" s="538">
        <f t="shared" si="217"/>
        <v>0</v>
      </c>
      <c r="CW92" s="538">
        <f t="shared" si="218"/>
        <v>0</v>
      </c>
      <c r="CX92" s="104">
        <f t="shared" si="219"/>
        <v>0</v>
      </c>
      <c r="CY92" s="542">
        <f t="shared" si="368"/>
        <v>0</v>
      </c>
      <c r="CZ92" s="538">
        <f t="shared" si="369"/>
        <v>0</v>
      </c>
      <c r="DC92" s="112" t="s">
        <v>1548</v>
      </c>
      <c r="DD92" s="112" t="b">
        <f t="shared" si="370"/>
        <v>0</v>
      </c>
    </row>
    <row r="93" spans="1:108" s="112" customFormat="1" ht="25" x14ac:dyDescent="0.25">
      <c r="A93" s="100" t="str">
        <f>'BOCA DE LOBO'!C91</f>
        <v>BL86-&gt;PV2-36</v>
      </c>
      <c r="B93" s="100" t="str">
        <f>'BOCA DE LOBO'!A91</f>
        <v>PV2-36</v>
      </c>
      <c r="C93" s="100" t="str">
        <f>VLOOKUP(A93,'BOCA DE LOBO'!C:F,3,0)</f>
        <v>EXISTENTE</v>
      </c>
      <c r="D93" s="100" t="str">
        <f>VLOOKUP(A93,'BOCA DE LOBO'!C:L,10,0)</f>
        <v>EXISTENTE</v>
      </c>
      <c r="E93" s="100">
        <f t="shared" si="297"/>
        <v>1.7524</v>
      </c>
      <c r="F93" s="100">
        <f>VLOOKUP(A93,'BOCA DE LOBO'!C:D,2,0)</f>
        <v>2</v>
      </c>
      <c r="G93" s="100">
        <f>VLOOKUP(A93,'BOCA DE LOBO'!C:F,4,0)</f>
        <v>6.19</v>
      </c>
      <c r="H93" s="101">
        <v>400</v>
      </c>
      <c r="I93" s="102">
        <f t="shared" si="298"/>
        <v>2.0061999999999998</v>
      </c>
      <c r="J93" s="102">
        <f t="shared" si="299"/>
        <v>0</v>
      </c>
      <c r="K93" s="103">
        <v>0</v>
      </c>
      <c r="L93" s="104">
        <f t="shared" si="300"/>
        <v>0</v>
      </c>
      <c r="M93" s="104">
        <f t="shared" si="301"/>
        <v>0</v>
      </c>
      <c r="N93" s="104">
        <f t="shared" si="302"/>
        <v>400</v>
      </c>
      <c r="O93" s="104">
        <f t="shared" si="303"/>
        <v>0</v>
      </c>
      <c r="P93" s="105" t="s">
        <v>1999</v>
      </c>
      <c r="Q93" s="144" t="s">
        <v>2024</v>
      </c>
      <c r="R93" s="105"/>
      <c r="S93" s="105">
        <f>VLOOKUP(Q93,Quantitativos!P:R,3,0)</f>
        <v>5</v>
      </c>
      <c r="T93" s="105">
        <f>VLOOKUP(Q93,Quantitativos!P:S,4,0)</f>
        <v>5</v>
      </c>
      <c r="U93" s="104">
        <f t="shared" si="304"/>
        <v>0.05</v>
      </c>
      <c r="V93" s="106">
        <f t="shared" si="305"/>
        <v>0</v>
      </c>
      <c r="W93" s="106">
        <f t="shared" si="306"/>
        <v>0</v>
      </c>
      <c r="X93" s="107">
        <f t="shared" si="307"/>
        <v>0</v>
      </c>
      <c r="Y93" s="107">
        <f t="shared" si="308"/>
        <v>0</v>
      </c>
      <c r="Z93" s="107">
        <f t="shared" si="309"/>
        <v>2.0061999999999998</v>
      </c>
      <c r="AA93" s="107">
        <f t="shared" si="310"/>
        <v>0</v>
      </c>
      <c r="AB93" s="108">
        <f t="shared" si="311"/>
        <v>0</v>
      </c>
      <c r="AC93" s="109">
        <f t="shared" si="312"/>
        <v>0</v>
      </c>
      <c r="AD93" s="109">
        <f t="shared" si="313"/>
        <v>0</v>
      </c>
      <c r="AE93" s="109">
        <f t="shared" si="314"/>
        <v>0</v>
      </c>
      <c r="AF93" s="109">
        <f t="shared" si="315"/>
        <v>0</v>
      </c>
      <c r="AG93" s="109">
        <f t="shared" si="316"/>
        <v>0</v>
      </c>
      <c r="AH93" s="109">
        <f t="shared" si="317"/>
        <v>0</v>
      </c>
      <c r="AI93" s="537" t="str">
        <f t="shared" si="318"/>
        <v>NÃO</v>
      </c>
      <c r="AJ93" s="104">
        <f t="shared" si="319"/>
        <v>0</v>
      </c>
      <c r="AK93" s="104">
        <f t="shared" si="320"/>
        <v>0</v>
      </c>
      <c r="AL93" s="104">
        <f t="shared" si="321"/>
        <v>0</v>
      </c>
      <c r="AM93" s="102">
        <f t="shared" si="322"/>
        <v>0</v>
      </c>
      <c r="AN93" s="106">
        <f t="shared" si="323"/>
        <v>0</v>
      </c>
      <c r="AO93" s="104">
        <f t="shared" si="324"/>
        <v>0</v>
      </c>
      <c r="AP93" s="104">
        <f t="shared" si="325"/>
        <v>0</v>
      </c>
      <c r="AQ93" s="104">
        <f t="shared" si="326"/>
        <v>0.7</v>
      </c>
      <c r="AR93" s="104">
        <f t="shared" si="327"/>
        <v>0</v>
      </c>
      <c r="AS93" s="104">
        <f t="shared" si="328"/>
        <v>0</v>
      </c>
      <c r="AT93" s="104">
        <f t="shared" si="329"/>
        <v>0</v>
      </c>
      <c r="AU93" s="104">
        <f t="shared" si="330"/>
        <v>0</v>
      </c>
      <c r="AV93" s="104">
        <f t="shared" si="331"/>
        <v>0</v>
      </c>
      <c r="AW93" s="104">
        <f t="shared" si="332"/>
        <v>0</v>
      </c>
      <c r="AX93" s="104">
        <f t="shared" si="333"/>
        <v>0</v>
      </c>
      <c r="AY93" s="104">
        <f t="shared" si="334"/>
        <v>0</v>
      </c>
      <c r="AZ93" s="104">
        <f t="shared" si="335"/>
        <v>0</v>
      </c>
      <c r="BA93" s="104">
        <f t="shared" si="294"/>
        <v>0</v>
      </c>
      <c r="BB93" s="104">
        <f t="shared" si="336"/>
        <v>0</v>
      </c>
      <c r="BC93" s="104"/>
      <c r="BD93" s="104">
        <f t="shared" si="337"/>
        <v>0</v>
      </c>
      <c r="BE93" s="108">
        <f t="shared" si="338"/>
        <v>2.0061999999999998</v>
      </c>
      <c r="BF93" s="110">
        <f t="shared" si="339"/>
        <v>0</v>
      </c>
      <c r="BG93" s="110">
        <f t="shared" si="340"/>
        <v>0</v>
      </c>
      <c r="BH93" s="105" t="str">
        <f>VLOOKUP(A93,'BOCA DE LOBO'!C:I,7,0)</f>
        <v>BOCA DE LOBO EXISTENTE DUPLA</v>
      </c>
      <c r="BI93" s="104">
        <f t="shared" si="341"/>
        <v>0</v>
      </c>
      <c r="BJ93" s="104">
        <f t="shared" si="342"/>
        <v>0</v>
      </c>
      <c r="BK93" s="104">
        <f t="shared" si="343"/>
        <v>0</v>
      </c>
      <c r="BL93" s="104">
        <f t="shared" si="344"/>
        <v>0</v>
      </c>
      <c r="BM93" s="104">
        <f t="shared" si="345"/>
        <v>0</v>
      </c>
      <c r="BN93" s="104">
        <f t="shared" si="346"/>
        <v>0</v>
      </c>
      <c r="BO93" s="104">
        <f t="shared" si="347"/>
        <v>0</v>
      </c>
      <c r="BP93" s="111"/>
      <c r="BQ93" s="108">
        <f t="shared" si="348"/>
        <v>18.57</v>
      </c>
      <c r="BR93" s="108">
        <f t="shared" si="349"/>
        <v>6.2667559999999973</v>
      </c>
      <c r="BS93" s="108">
        <f t="shared" si="350"/>
        <v>0</v>
      </c>
      <c r="BV93" s="538">
        <f t="shared" si="208"/>
        <v>0</v>
      </c>
      <c r="BW93" s="538">
        <f t="shared" si="209"/>
        <v>0</v>
      </c>
      <c r="BX93" s="538">
        <f t="shared" si="293"/>
        <v>0</v>
      </c>
      <c r="BY93" s="538">
        <f t="shared" si="351"/>
        <v>1.7524</v>
      </c>
      <c r="BZ93" s="538">
        <f t="shared" si="352"/>
        <v>1.7524</v>
      </c>
      <c r="CA93" s="538">
        <f t="shared" si="353"/>
        <v>0</v>
      </c>
      <c r="CB93" s="538">
        <f t="shared" si="354"/>
        <v>0</v>
      </c>
      <c r="CC93" s="538">
        <f t="shared" si="355"/>
        <v>0</v>
      </c>
      <c r="CD93" s="538">
        <f t="shared" si="356"/>
        <v>0</v>
      </c>
      <c r="CE93" s="538">
        <f t="shared" si="357"/>
        <v>0</v>
      </c>
      <c r="CF93" s="538">
        <f t="shared" si="358"/>
        <v>0</v>
      </c>
      <c r="CG93" s="538">
        <f t="shared" si="359"/>
        <v>0</v>
      </c>
      <c r="CH93" s="538">
        <f t="shared" si="360"/>
        <v>0</v>
      </c>
      <c r="CI93" s="104">
        <f t="shared" si="211"/>
        <v>0</v>
      </c>
      <c r="CJ93" s="538">
        <f t="shared" si="361"/>
        <v>0</v>
      </c>
      <c r="CK93" s="538">
        <f t="shared" si="295"/>
        <v>0</v>
      </c>
      <c r="CL93" s="538">
        <f t="shared" si="362"/>
        <v>0</v>
      </c>
      <c r="CM93" s="538">
        <f t="shared" si="363"/>
        <v>0</v>
      </c>
      <c r="CN93" s="538">
        <f t="shared" si="213"/>
        <v>0</v>
      </c>
      <c r="CO93" s="538">
        <f t="shared" si="364"/>
        <v>1.7524</v>
      </c>
      <c r="CP93" s="538">
        <f t="shared" si="365"/>
        <v>0</v>
      </c>
      <c r="CQ93" s="538">
        <f t="shared" si="366"/>
        <v>0</v>
      </c>
      <c r="CR93" s="539">
        <f t="shared" si="367"/>
        <v>0</v>
      </c>
      <c r="CS93" s="540">
        <f t="shared" si="214"/>
        <v>0</v>
      </c>
      <c r="CT93" s="540">
        <f t="shared" si="215"/>
        <v>0</v>
      </c>
      <c r="CU93" s="541">
        <f t="shared" si="216"/>
        <v>0</v>
      </c>
      <c r="CV93" s="538">
        <f t="shared" si="217"/>
        <v>0</v>
      </c>
      <c r="CW93" s="538">
        <f t="shared" si="218"/>
        <v>0</v>
      </c>
      <c r="CX93" s="104">
        <f t="shared" si="219"/>
        <v>0</v>
      </c>
      <c r="CY93" s="542">
        <f t="shared" si="368"/>
        <v>0</v>
      </c>
      <c r="CZ93" s="538">
        <f t="shared" si="369"/>
        <v>0</v>
      </c>
      <c r="DC93" s="112" t="s">
        <v>1495</v>
      </c>
      <c r="DD93" s="112" t="b">
        <f t="shared" si="370"/>
        <v>0</v>
      </c>
    </row>
    <row r="94" spans="1:108" s="112" customFormat="1" ht="25" x14ac:dyDescent="0.25">
      <c r="A94" s="100" t="str">
        <f>'BOCA DE LOBO'!C92</f>
        <v>BL87-&gt;PV1-37</v>
      </c>
      <c r="B94" s="100" t="str">
        <f>'BOCA DE LOBO'!A92</f>
        <v>PV1-37</v>
      </c>
      <c r="C94" s="100" t="str">
        <f>VLOOKUP(A94,'BOCA DE LOBO'!C:F,3,0)</f>
        <v>EXISTENTE</v>
      </c>
      <c r="D94" s="100" t="str">
        <f>VLOOKUP(A94,'BOCA DE LOBO'!C:L,10,0)</f>
        <v>EXISTENTE</v>
      </c>
      <c r="E94" s="100">
        <f t="shared" si="297"/>
        <v>1.3975999999999726</v>
      </c>
      <c r="F94" s="100">
        <f>VLOOKUP(A94,'BOCA DE LOBO'!C:D,2,0)</f>
        <v>1.7799999999999727</v>
      </c>
      <c r="G94" s="100">
        <f>VLOOKUP(A94,'BOCA DE LOBO'!C:F,4,0)</f>
        <v>9.56</v>
      </c>
      <c r="H94" s="101">
        <v>400</v>
      </c>
      <c r="I94" s="102">
        <f t="shared" si="298"/>
        <v>1.7187999999999728</v>
      </c>
      <c r="J94" s="102">
        <f t="shared" si="299"/>
        <v>0</v>
      </c>
      <c r="K94" s="103">
        <v>0</v>
      </c>
      <c r="L94" s="104">
        <f t="shared" si="300"/>
        <v>0</v>
      </c>
      <c r="M94" s="104">
        <f t="shared" si="301"/>
        <v>0</v>
      </c>
      <c r="N94" s="104">
        <f t="shared" si="302"/>
        <v>400</v>
      </c>
      <c r="O94" s="104">
        <f t="shared" si="303"/>
        <v>0</v>
      </c>
      <c r="P94" s="105" t="s">
        <v>1999</v>
      </c>
      <c r="Q94" s="144" t="s">
        <v>2025</v>
      </c>
      <c r="R94" s="105"/>
      <c r="S94" s="105">
        <f>VLOOKUP(Q94,Quantitativos!P:R,3,0)</f>
        <v>4.4000000000000004</v>
      </c>
      <c r="T94" s="105">
        <f>VLOOKUP(Q94,Quantitativos!P:S,4,0)</f>
        <v>3.5</v>
      </c>
      <c r="U94" s="104">
        <f t="shared" si="304"/>
        <v>0.05</v>
      </c>
      <c r="V94" s="106">
        <f t="shared" si="305"/>
        <v>0</v>
      </c>
      <c r="W94" s="106">
        <f t="shared" si="306"/>
        <v>0</v>
      </c>
      <c r="X94" s="107">
        <f t="shared" si="307"/>
        <v>0</v>
      </c>
      <c r="Y94" s="107">
        <f t="shared" si="308"/>
        <v>0</v>
      </c>
      <c r="Z94" s="107">
        <f t="shared" si="309"/>
        <v>1.7187999999999728</v>
      </c>
      <c r="AA94" s="107">
        <f t="shared" si="310"/>
        <v>0</v>
      </c>
      <c r="AB94" s="108">
        <f t="shared" si="311"/>
        <v>0</v>
      </c>
      <c r="AC94" s="109">
        <f t="shared" si="312"/>
        <v>0</v>
      </c>
      <c r="AD94" s="109">
        <f t="shared" si="313"/>
        <v>0</v>
      </c>
      <c r="AE94" s="109">
        <f t="shared" si="314"/>
        <v>0</v>
      </c>
      <c r="AF94" s="109">
        <f t="shared" si="315"/>
        <v>0</v>
      </c>
      <c r="AG94" s="109">
        <f t="shared" si="316"/>
        <v>0</v>
      </c>
      <c r="AH94" s="109">
        <f t="shared" si="317"/>
        <v>0</v>
      </c>
      <c r="AI94" s="537" t="str">
        <f t="shared" si="318"/>
        <v>NÃO</v>
      </c>
      <c r="AJ94" s="104">
        <f t="shared" si="319"/>
        <v>0</v>
      </c>
      <c r="AK94" s="104">
        <f t="shared" si="320"/>
        <v>0</v>
      </c>
      <c r="AL94" s="104">
        <f t="shared" si="321"/>
        <v>0</v>
      </c>
      <c r="AM94" s="102">
        <f t="shared" si="322"/>
        <v>0</v>
      </c>
      <c r="AN94" s="106">
        <f t="shared" si="323"/>
        <v>0</v>
      </c>
      <c r="AO94" s="104">
        <f t="shared" si="324"/>
        <v>0</v>
      </c>
      <c r="AP94" s="104">
        <f t="shared" si="325"/>
        <v>0</v>
      </c>
      <c r="AQ94" s="104">
        <f t="shared" si="326"/>
        <v>0.7</v>
      </c>
      <c r="AR94" s="104">
        <f t="shared" si="327"/>
        <v>0</v>
      </c>
      <c r="AS94" s="104">
        <f t="shared" si="328"/>
        <v>0</v>
      </c>
      <c r="AT94" s="104">
        <f t="shared" si="329"/>
        <v>0</v>
      </c>
      <c r="AU94" s="104">
        <f t="shared" si="330"/>
        <v>0</v>
      </c>
      <c r="AV94" s="104">
        <f t="shared" si="331"/>
        <v>0</v>
      </c>
      <c r="AW94" s="104">
        <f t="shared" si="332"/>
        <v>0</v>
      </c>
      <c r="AX94" s="104">
        <f t="shared" si="333"/>
        <v>0</v>
      </c>
      <c r="AY94" s="104">
        <f t="shared" si="334"/>
        <v>0</v>
      </c>
      <c r="AZ94" s="104">
        <f t="shared" si="335"/>
        <v>0</v>
      </c>
      <c r="BA94" s="104">
        <f t="shared" si="294"/>
        <v>0</v>
      </c>
      <c r="BB94" s="104">
        <f t="shared" si="336"/>
        <v>0</v>
      </c>
      <c r="BC94" s="104"/>
      <c r="BD94" s="104">
        <f t="shared" si="337"/>
        <v>0</v>
      </c>
      <c r="BE94" s="108">
        <f t="shared" si="338"/>
        <v>1.7187999999999728</v>
      </c>
      <c r="BF94" s="110">
        <f t="shared" si="339"/>
        <v>0</v>
      </c>
      <c r="BG94" s="110">
        <f t="shared" si="340"/>
        <v>0</v>
      </c>
      <c r="BH94" s="105" t="str">
        <f>VLOOKUP(A94,'BOCA DE LOBO'!C:I,7,0)</f>
        <v>BOCA DE LOBO EXISTENTE DUPLA</v>
      </c>
      <c r="BI94" s="104">
        <f t="shared" si="341"/>
        <v>0</v>
      </c>
      <c r="BJ94" s="104">
        <f t="shared" si="342"/>
        <v>0</v>
      </c>
      <c r="BK94" s="104">
        <f t="shared" si="343"/>
        <v>0</v>
      </c>
      <c r="BL94" s="104">
        <f t="shared" si="344"/>
        <v>0</v>
      </c>
      <c r="BM94" s="104">
        <f t="shared" si="345"/>
        <v>0</v>
      </c>
      <c r="BN94" s="104">
        <f t="shared" si="346"/>
        <v>0</v>
      </c>
      <c r="BO94" s="104">
        <f t="shared" si="347"/>
        <v>0</v>
      </c>
      <c r="BP94" s="111"/>
      <c r="BQ94" s="108">
        <f t="shared" si="348"/>
        <v>28.68</v>
      </c>
      <c r="BR94" s="108">
        <f t="shared" si="349"/>
        <v>4.18345599999948</v>
      </c>
      <c r="BS94" s="108">
        <f t="shared" si="350"/>
        <v>0</v>
      </c>
      <c r="BV94" s="538">
        <f t="shared" si="208"/>
        <v>0</v>
      </c>
      <c r="BW94" s="538">
        <f t="shared" si="209"/>
        <v>0</v>
      </c>
      <c r="BX94" s="538">
        <f t="shared" si="293"/>
        <v>0</v>
      </c>
      <c r="BY94" s="538">
        <f t="shared" si="351"/>
        <v>1.3975999999999726</v>
      </c>
      <c r="BZ94" s="538">
        <f t="shared" si="352"/>
        <v>1.3975999999999726</v>
      </c>
      <c r="CA94" s="538">
        <f t="shared" si="353"/>
        <v>0</v>
      </c>
      <c r="CB94" s="538">
        <f t="shared" si="354"/>
        <v>0</v>
      </c>
      <c r="CC94" s="538">
        <f t="shared" si="355"/>
        <v>0</v>
      </c>
      <c r="CD94" s="538">
        <f t="shared" si="356"/>
        <v>0</v>
      </c>
      <c r="CE94" s="538">
        <f t="shared" si="357"/>
        <v>0</v>
      </c>
      <c r="CF94" s="538">
        <f t="shared" si="358"/>
        <v>0</v>
      </c>
      <c r="CG94" s="538">
        <f t="shared" si="359"/>
        <v>0</v>
      </c>
      <c r="CH94" s="538">
        <f t="shared" si="360"/>
        <v>0</v>
      </c>
      <c r="CI94" s="104">
        <f t="shared" si="211"/>
        <v>0</v>
      </c>
      <c r="CJ94" s="538">
        <f t="shared" si="361"/>
        <v>0</v>
      </c>
      <c r="CK94" s="538">
        <f t="shared" si="295"/>
        <v>0</v>
      </c>
      <c r="CL94" s="538">
        <f t="shared" si="362"/>
        <v>0</v>
      </c>
      <c r="CM94" s="538">
        <f t="shared" si="363"/>
        <v>0</v>
      </c>
      <c r="CN94" s="538">
        <f t="shared" si="213"/>
        <v>0</v>
      </c>
      <c r="CO94" s="538">
        <f t="shared" si="364"/>
        <v>1.3975999999999726</v>
      </c>
      <c r="CP94" s="538">
        <f t="shared" si="365"/>
        <v>0</v>
      </c>
      <c r="CQ94" s="538">
        <f t="shared" si="366"/>
        <v>0</v>
      </c>
      <c r="CR94" s="539">
        <f t="shared" si="367"/>
        <v>0</v>
      </c>
      <c r="CS94" s="540">
        <f t="shared" si="214"/>
        <v>0</v>
      </c>
      <c r="CT94" s="540">
        <f t="shared" si="215"/>
        <v>0</v>
      </c>
      <c r="CU94" s="541">
        <f t="shared" si="216"/>
        <v>0</v>
      </c>
      <c r="CV94" s="538">
        <f t="shared" si="217"/>
        <v>0</v>
      </c>
      <c r="CW94" s="538">
        <f t="shared" si="218"/>
        <v>0</v>
      </c>
      <c r="CX94" s="104">
        <f t="shared" si="219"/>
        <v>0</v>
      </c>
      <c r="CY94" s="542">
        <f t="shared" si="368"/>
        <v>0</v>
      </c>
      <c r="CZ94" s="538">
        <f t="shared" si="369"/>
        <v>0</v>
      </c>
      <c r="DC94" s="112" t="s">
        <v>1498</v>
      </c>
      <c r="DD94" s="112" t="b">
        <f t="shared" si="370"/>
        <v>0</v>
      </c>
    </row>
    <row r="95" spans="1:108" s="112" customFormat="1" ht="25" x14ac:dyDescent="0.25">
      <c r="A95" s="100" t="str">
        <f>'BOCA DE LOBO'!C93</f>
        <v>BL88-&gt;PV1-168</v>
      </c>
      <c r="B95" s="100" t="str">
        <f>'BOCA DE LOBO'!A93</f>
        <v>PV1-168</v>
      </c>
      <c r="C95" s="100" t="str">
        <f>VLOOKUP(A95,'BOCA DE LOBO'!C:F,3,0)</f>
        <v>EXISTENTE</v>
      </c>
      <c r="D95" s="100" t="str">
        <f>VLOOKUP(A95,'BOCA DE LOBO'!C:L,10,0)</f>
        <v>EXISTENTE</v>
      </c>
      <c r="E95" s="100">
        <f t="shared" si="297"/>
        <v>1.1984000000000319</v>
      </c>
      <c r="F95" s="100">
        <f>VLOOKUP(A95,'BOCA DE LOBO'!C:D,2,0)</f>
        <v>1.3400000000000318</v>
      </c>
      <c r="G95" s="100">
        <f>VLOOKUP(A95,'BOCA DE LOBO'!C:F,4,0)</f>
        <v>3.54</v>
      </c>
      <c r="H95" s="101">
        <v>400</v>
      </c>
      <c r="I95" s="102">
        <f t="shared" si="298"/>
        <v>1.399200000000032</v>
      </c>
      <c r="J95" s="102">
        <f t="shared" si="299"/>
        <v>0</v>
      </c>
      <c r="K95" s="103">
        <v>0</v>
      </c>
      <c r="L95" s="104">
        <f t="shared" si="300"/>
        <v>0</v>
      </c>
      <c r="M95" s="104">
        <f t="shared" si="301"/>
        <v>0</v>
      </c>
      <c r="N95" s="104">
        <f t="shared" si="302"/>
        <v>400</v>
      </c>
      <c r="O95" s="104">
        <f t="shared" si="303"/>
        <v>0</v>
      </c>
      <c r="P95" s="105" t="s">
        <v>1999</v>
      </c>
      <c r="Q95" s="144" t="s">
        <v>2029</v>
      </c>
      <c r="R95" s="105">
        <v>1</v>
      </c>
      <c r="S95" s="105">
        <f>VLOOKUP(Q95,Quantitativos!P:R,3,0)</f>
        <v>11.84</v>
      </c>
      <c r="T95" s="105">
        <f>VLOOKUP(Q95,Quantitativos!P:S,4,0)</f>
        <v>1.7</v>
      </c>
      <c r="U95" s="104">
        <f t="shared" si="304"/>
        <v>0.05</v>
      </c>
      <c r="V95" s="106">
        <f t="shared" si="305"/>
        <v>0</v>
      </c>
      <c r="W95" s="106">
        <f t="shared" si="306"/>
        <v>0</v>
      </c>
      <c r="X95" s="107">
        <f t="shared" si="307"/>
        <v>0</v>
      </c>
      <c r="Y95" s="107">
        <f t="shared" si="308"/>
        <v>0.4</v>
      </c>
      <c r="Z95" s="107">
        <f t="shared" si="309"/>
        <v>1.399200000000032</v>
      </c>
      <c r="AA95" s="107">
        <f t="shared" si="310"/>
        <v>0</v>
      </c>
      <c r="AB95" s="108">
        <f t="shared" si="311"/>
        <v>0</v>
      </c>
      <c r="AC95" s="109">
        <f t="shared" si="312"/>
        <v>0</v>
      </c>
      <c r="AD95" s="109">
        <f t="shared" si="313"/>
        <v>0</v>
      </c>
      <c r="AE95" s="109">
        <f t="shared" si="314"/>
        <v>0</v>
      </c>
      <c r="AF95" s="109">
        <f t="shared" si="315"/>
        <v>0</v>
      </c>
      <c r="AG95" s="109">
        <f t="shared" si="316"/>
        <v>0</v>
      </c>
      <c r="AH95" s="109">
        <f t="shared" si="317"/>
        <v>0</v>
      </c>
      <c r="AI95" s="537" t="str">
        <f t="shared" si="318"/>
        <v>NÃO</v>
      </c>
      <c r="AJ95" s="104">
        <f t="shared" si="319"/>
        <v>0</v>
      </c>
      <c r="AK95" s="104">
        <f t="shared" si="320"/>
        <v>0</v>
      </c>
      <c r="AL95" s="104">
        <f t="shared" si="321"/>
        <v>0</v>
      </c>
      <c r="AM95" s="102">
        <f t="shared" si="322"/>
        <v>0</v>
      </c>
      <c r="AN95" s="106">
        <f t="shared" si="323"/>
        <v>0</v>
      </c>
      <c r="AO95" s="104">
        <f t="shared" si="324"/>
        <v>0</v>
      </c>
      <c r="AP95" s="104">
        <f t="shared" si="325"/>
        <v>0</v>
      </c>
      <c r="AQ95" s="104">
        <f t="shared" si="326"/>
        <v>0.7</v>
      </c>
      <c r="AR95" s="104">
        <f t="shared" si="327"/>
        <v>0</v>
      </c>
      <c r="AS95" s="104">
        <f t="shared" si="328"/>
        <v>0</v>
      </c>
      <c r="AT95" s="104">
        <f t="shared" si="329"/>
        <v>0</v>
      </c>
      <c r="AU95" s="104">
        <f t="shared" si="330"/>
        <v>0</v>
      </c>
      <c r="AV95" s="104">
        <f t="shared" si="331"/>
        <v>0</v>
      </c>
      <c r="AW95" s="104">
        <f t="shared" si="332"/>
        <v>0</v>
      </c>
      <c r="AX95" s="104">
        <f t="shared" si="333"/>
        <v>0</v>
      </c>
      <c r="AY95" s="104">
        <f t="shared" si="334"/>
        <v>0</v>
      </c>
      <c r="AZ95" s="104">
        <f t="shared" si="335"/>
        <v>0</v>
      </c>
      <c r="BA95" s="104">
        <f t="shared" si="294"/>
        <v>0</v>
      </c>
      <c r="BB95" s="104">
        <f t="shared" si="336"/>
        <v>0</v>
      </c>
      <c r="BC95" s="104"/>
      <c r="BD95" s="104">
        <f t="shared" si="337"/>
        <v>0</v>
      </c>
      <c r="BE95" s="108">
        <f t="shared" si="338"/>
        <v>1.399200000000032</v>
      </c>
      <c r="BF95" s="110">
        <f t="shared" si="339"/>
        <v>0</v>
      </c>
      <c r="BG95" s="110">
        <f t="shared" si="340"/>
        <v>0</v>
      </c>
      <c r="BH95" s="105" t="str">
        <f>VLOOKUP(A95,'BOCA DE LOBO'!C:I,7,0)</f>
        <v>BOCA DE LOBO EXISTENTE DUPLA</v>
      </c>
      <c r="BI95" s="104">
        <f t="shared" si="341"/>
        <v>0</v>
      </c>
      <c r="BJ95" s="104">
        <f t="shared" si="342"/>
        <v>0</v>
      </c>
      <c r="BK95" s="104">
        <f t="shared" si="343"/>
        <v>0</v>
      </c>
      <c r="BL95" s="104">
        <f t="shared" si="344"/>
        <v>0</v>
      </c>
      <c r="BM95" s="104">
        <f t="shared" si="345"/>
        <v>0</v>
      </c>
      <c r="BN95" s="104">
        <f t="shared" si="346"/>
        <v>0</v>
      </c>
      <c r="BO95" s="104">
        <f t="shared" si="347"/>
        <v>0</v>
      </c>
      <c r="BP95" s="111"/>
      <c r="BQ95" s="108">
        <f t="shared" si="348"/>
        <v>10.620000000000001</v>
      </c>
      <c r="BR95" s="108">
        <f t="shared" si="349"/>
        <v>2.8263360000002264</v>
      </c>
      <c r="BS95" s="108">
        <f t="shared" si="350"/>
        <v>0</v>
      </c>
      <c r="BV95" s="538">
        <f t="shared" si="208"/>
        <v>0</v>
      </c>
      <c r="BW95" s="538">
        <f t="shared" si="209"/>
        <v>0</v>
      </c>
      <c r="BX95" s="538">
        <f t="shared" si="293"/>
        <v>0</v>
      </c>
      <c r="BY95" s="538">
        <f t="shared" si="351"/>
        <v>1.1984000000000319</v>
      </c>
      <c r="BZ95" s="538">
        <f t="shared" si="352"/>
        <v>1.1984000000000319</v>
      </c>
      <c r="CA95" s="538">
        <f t="shared" si="353"/>
        <v>0.4</v>
      </c>
      <c r="CB95" s="538">
        <f t="shared" si="354"/>
        <v>0</v>
      </c>
      <c r="CC95" s="538">
        <f t="shared" si="355"/>
        <v>0</v>
      </c>
      <c r="CD95" s="538">
        <f t="shared" si="356"/>
        <v>0</v>
      </c>
      <c r="CE95" s="538">
        <f t="shared" si="357"/>
        <v>0</v>
      </c>
      <c r="CF95" s="538">
        <f t="shared" si="358"/>
        <v>0</v>
      </c>
      <c r="CG95" s="538">
        <f t="shared" si="359"/>
        <v>0</v>
      </c>
      <c r="CH95" s="538">
        <f t="shared" si="360"/>
        <v>0</v>
      </c>
      <c r="CI95" s="104">
        <f t="shared" si="211"/>
        <v>0</v>
      </c>
      <c r="CJ95" s="538">
        <f t="shared" si="361"/>
        <v>0</v>
      </c>
      <c r="CK95" s="538">
        <f t="shared" si="295"/>
        <v>0</v>
      </c>
      <c r="CL95" s="538">
        <f t="shared" si="362"/>
        <v>0</v>
      </c>
      <c r="CM95" s="538">
        <f t="shared" si="363"/>
        <v>0</v>
      </c>
      <c r="CN95" s="538">
        <f t="shared" si="213"/>
        <v>0</v>
      </c>
      <c r="CO95" s="538">
        <f t="shared" si="364"/>
        <v>1.6984000000000319</v>
      </c>
      <c r="CP95" s="538">
        <f t="shared" si="365"/>
        <v>0</v>
      </c>
      <c r="CQ95" s="538">
        <f t="shared" si="366"/>
        <v>0</v>
      </c>
      <c r="CR95" s="539">
        <f t="shared" si="367"/>
        <v>0</v>
      </c>
      <c r="CS95" s="540">
        <f t="shared" si="214"/>
        <v>0</v>
      </c>
      <c r="CT95" s="540">
        <f t="shared" si="215"/>
        <v>0</v>
      </c>
      <c r="CU95" s="541">
        <f t="shared" si="216"/>
        <v>0</v>
      </c>
      <c r="CV95" s="538">
        <f t="shared" si="217"/>
        <v>0</v>
      </c>
      <c r="CW95" s="538">
        <f t="shared" si="218"/>
        <v>0</v>
      </c>
      <c r="CX95" s="104">
        <f t="shared" si="219"/>
        <v>0</v>
      </c>
      <c r="CY95" s="542">
        <f t="shared" si="368"/>
        <v>0</v>
      </c>
      <c r="CZ95" s="538">
        <f t="shared" si="369"/>
        <v>0</v>
      </c>
      <c r="DC95" s="112" t="s">
        <v>1501</v>
      </c>
      <c r="DD95" s="112" t="b">
        <f t="shared" si="370"/>
        <v>0</v>
      </c>
    </row>
    <row r="96" spans="1:108" s="115" customFormat="1" ht="13" x14ac:dyDescent="0.3">
      <c r="G96" s="116">
        <f>SUM(G11:G95)</f>
        <v>562.47000000000014</v>
      </c>
      <c r="H96" s="85"/>
      <c r="J96" s="116">
        <f>SUM(J11:J95)</f>
        <v>28.761924749999903</v>
      </c>
      <c r="O96" s="116">
        <f>SUM(O11:O95)</f>
        <v>225.98999999999998</v>
      </c>
      <c r="Q96" s="416"/>
      <c r="R96" s="416"/>
      <c r="S96" s="416"/>
      <c r="T96" s="416"/>
      <c r="X96" s="98" t="s">
        <v>2033</v>
      </c>
      <c r="AB96" s="116">
        <f t="shared" ref="AB96:AH96" si="371">SUM(AB11:AB95)</f>
        <v>225.98999999999998</v>
      </c>
      <c r="AC96" s="330">
        <f t="shared" si="371"/>
        <v>91.304999999999993</v>
      </c>
      <c r="AD96" s="330">
        <f t="shared" si="371"/>
        <v>82.725927999999996</v>
      </c>
      <c r="AE96" s="330">
        <f t="shared" si="371"/>
        <v>42.134299999999982</v>
      </c>
      <c r="AF96" s="330">
        <f t="shared" si="371"/>
        <v>260.40427199999999</v>
      </c>
      <c r="AG96" s="330">
        <f t="shared" si="371"/>
        <v>116.59139699999838</v>
      </c>
      <c r="AH96" s="330">
        <f t="shared" si="371"/>
        <v>1.1820699999997029</v>
      </c>
      <c r="AI96" s="330"/>
      <c r="AJ96" s="330">
        <f t="shared" ref="AJ96:AP96" si="372">SUM(AJ11:AJ95)</f>
        <v>10.4678</v>
      </c>
      <c r="AK96" s="330">
        <f t="shared" si="372"/>
        <v>3.0959953599999932</v>
      </c>
      <c r="AL96" s="330">
        <f t="shared" si="372"/>
        <v>575.14533589068049</v>
      </c>
      <c r="AM96" s="330">
        <f t="shared" si="372"/>
        <v>11.803499999999998</v>
      </c>
      <c r="AN96" s="330">
        <f t="shared" si="372"/>
        <v>0</v>
      </c>
      <c r="AO96" s="330">
        <f t="shared" si="372"/>
        <v>24.347999999999999</v>
      </c>
      <c r="AP96" s="330">
        <f t="shared" si="372"/>
        <v>24.347999999999999</v>
      </c>
      <c r="AQ96" s="330"/>
      <c r="AR96" s="330">
        <f t="shared" ref="AR96:BB96" si="373">SUM(AR11:AR95)</f>
        <v>135.5835688906823</v>
      </c>
      <c r="AS96" s="330">
        <f t="shared" si="373"/>
        <v>34.959850207039565</v>
      </c>
      <c r="AT96" s="330">
        <f t="shared" si="373"/>
        <v>33.898499999999999</v>
      </c>
      <c r="AU96" s="330">
        <f t="shared" si="373"/>
        <v>33.898499999999999</v>
      </c>
      <c r="AV96" s="330">
        <f t="shared" si="373"/>
        <v>6.7797000000000001</v>
      </c>
      <c r="AW96" s="330">
        <f t="shared" si="373"/>
        <v>335.61326699999813</v>
      </c>
      <c r="AX96" s="330">
        <f t="shared" si="373"/>
        <v>184.34767010931571</v>
      </c>
      <c r="AY96" s="330">
        <f t="shared" si="373"/>
        <v>131.52827360988658</v>
      </c>
      <c r="AZ96" s="330">
        <f t="shared" si="373"/>
        <v>204.08499339011144</v>
      </c>
      <c r="BA96" s="330">
        <f t="shared" si="373"/>
        <v>52.819396499429189</v>
      </c>
      <c r="BB96" s="330">
        <f t="shared" si="373"/>
        <v>151.26559689068225</v>
      </c>
      <c r="BC96" s="330">
        <f>SUM(AC96:AE96)+BA100+AJ96</f>
        <v>226.63302799999997</v>
      </c>
      <c r="BD96" s="330">
        <f>SUM(BD11:BD95)</f>
        <v>1.2786600000000001</v>
      </c>
      <c r="BE96" s="935">
        <v>400</v>
      </c>
      <c r="BF96" s="926"/>
      <c r="BG96" s="936"/>
      <c r="BH96" s="124">
        <f t="shared" ref="BH96:BO96" si="374">SUM(BH11:BH95)</f>
        <v>0</v>
      </c>
      <c r="BI96" s="115">
        <f t="shared" si="374"/>
        <v>3</v>
      </c>
      <c r="BJ96" s="115">
        <f t="shared" si="374"/>
        <v>1</v>
      </c>
      <c r="BK96" s="115">
        <f t="shared" si="374"/>
        <v>10</v>
      </c>
      <c r="BL96" s="115">
        <f t="shared" si="374"/>
        <v>2</v>
      </c>
      <c r="BM96" s="115">
        <f t="shared" si="374"/>
        <v>0</v>
      </c>
      <c r="BN96" s="115">
        <f t="shared" si="374"/>
        <v>29</v>
      </c>
      <c r="BO96" s="115">
        <f t="shared" si="374"/>
        <v>7</v>
      </c>
      <c r="BQ96" s="116">
        <f>SUM(BQ11:BQ95)</f>
        <v>1682.6185439999995</v>
      </c>
      <c r="BR96" s="116">
        <f>SUM(BR11:BR95)</f>
        <v>1142.4677539999968</v>
      </c>
      <c r="BS96" s="116">
        <f>SUM(BS11:BS95)</f>
        <v>207.20102399999601</v>
      </c>
      <c r="BV96" s="116">
        <f>SUM(BV11:BV95)</f>
        <v>828.25725795999881</v>
      </c>
      <c r="CC96" s="124">
        <f>SUM(CC11:CC95)</f>
        <v>459.50154232000011</v>
      </c>
      <c r="CD96" s="124">
        <f>SUM(CD11:CD95)</f>
        <v>179.30397539999868</v>
      </c>
      <c r="CE96" s="124">
        <f>SUM(CE11:CE95)</f>
        <v>97.282499999999999</v>
      </c>
      <c r="CF96" s="124">
        <f>SUM(CF11:CF95)</f>
        <v>84.951260239999982</v>
      </c>
      <c r="CG96" s="124">
        <f>SUM(CG11:CG95)</f>
        <v>7.2179799999999954</v>
      </c>
      <c r="CI96" s="124">
        <f>SUM(CI11:CI95)</f>
        <v>26.347499999999993</v>
      </c>
      <c r="CJ96" s="124">
        <f>SUM(CJ11:CJ95)</f>
        <v>465.3229539999989</v>
      </c>
      <c r="CK96" s="124">
        <f>SUM(CK11:CK95)</f>
        <v>465.3229539999989</v>
      </c>
      <c r="CL96" s="124">
        <f>SUM(CL11:CL95)</f>
        <v>0</v>
      </c>
      <c r="CM96" s="124">
        <f>SUM(CM11:CM95)</f>
        <v>1.4435959999999997</v>
      </c>
      <c r="CN96" s="112"/>
      <c r="CO96" s="112"/>
      <c r="CP96" s="124">
        <f t="shared" ref="CP96:CZ96" si="375">SUM(CP11:CP95)</f>
        <v>510.81104799999991</v>
      </c>
      <c r="CQ96" s="124">
        <f t="shared" si="375"/>
        <v>249.0579959999987</v>
      </c>
      <c r="CR96" s="124">
        <f t="shared" si="375"/>
        <v>17.599999999999998</v>
      </c>
      <c r="CS96" s="124">
        <f t="shared" si="375"/>
        <v>0.81600000000000028</v>
      </c>
      <c r="CT96" s="563">
        <f t="shared" si="375"/>
        <v>16.581592000000004</v>
      </c>
      <c r="CU96" s="124">
        <f t="shared" si="375"/>
        <v>542.49287999999899</v>
      </c>
      <c r="CV96" s="564">
        <f t="shared" si="375"/>
        <v>66.803652599999936</v>
      </c>
      <c r="CW96" s="565">
        <f t="shared" si="375"/>
        <v>1008.4227279999986</v>
      </c>
      <c r="CX96" s="124">
        <f t="shared" si="375"/>
        <v>175.64999999999986</v>
      </c>
      <c r="CY96" s="124">
        <f t="shared" si="375"/>
        <v>87.824999999999932</v>
      </c>
      <c r="CZ96" s="124">
        <f t="shared" si="375"/>
        <v>0.56381849194710654</v>
      </c>
    </row>
    <row r="97" spans="1:104" s="115" customFormat="1" ht="13" x14ac:dyDescent="0.3">
      <c r="H97" s="85"/>
      <c r="Q97" s="416"/>
      <c r="R97" s="416"/>
      <c r="S97" s="416"/>
      <c r="T97" s="416"/>
      <c r="AB97" s="117">
        <f>IF(P97="ASFALTO",M97*G96,0)</f>
        <v>0</v>
      </c>
      <c r="AC97" s="566"/>
      <c r="AD97" s="566"/>
      <c r="AE97" s="566"/>
      <c r="AF97" s="118"/>
      <c r="AG97" s="118"/>
      <c r="AH97" s="118"/>
      <c r="AI97" s="119"/>
      <c r="AZ97" s="115" t="s">
        <v>2034</v>
      </c>
      <c r="BA97" s="121">
        <f>SUM(AF96:AH96)</f>
        <v>378.1777389999981</v>
      </c>
      <c r="BB97" s="122" t="s">
        <v>2035</v>
      </c>
      <c r="BC97" s="123">
        <f>SUM(AJ96)</f>
        <v>10.4678</v>
      </c>
      <c r="BD97" s="118"/>
      <c r="BE97" s="81" t="s">
        <v>2036</v>
      </c>
      <c r="BF97" s="256" t="s">
        <v>2037</v>
      </c>
      <c r="BG97" s="256" t="s">
        <v>2038</v>
      </c>
      <c r="BH97" s="567"/>
    </row>
    <row r="98" spans="1:104" s="115" customFormat="1" ht="52" x14ac:dyDescent="0.3">
      <c r="H98" s="85"/>
      <c r="Q98" s="416"/>
      <c r="R98" s="416"/>
      <c r="S98" s="416"/>
      <c r="T98" s="416"/>
      <c r="AB98" s="117">
        <f>IF(P98="ASFALTO",M98*G98,0)</f>
        <v>0</v>
      </c>
      <c r="AC98" s="566"/>
      <c r="AD98" s="566"/>
      <c r="AE98" s="566"/>
      <c r="AF98" s="118"/>
      <c r="AG98" s="118"/>
      <c r="AH98" s="118"/>
      <c r="AZ98" s="124" t="s">
        <v>2042</v>
      </c>
      <c r="BA98" s="125">
        <f>BA97-AY96-AO96-AT96-AR96</f>
        <v>52.819396499429189</v>
      </c>
      <c r="BB98" s="126" t="s">
        <v>2043</v>
      </c>
      <c r="BC98" s="126">
        <f>BA100+SUM(AC96:AE96)</f>
        <v>216.16522799999996</v>
      </c>
      <c r="BD98" s="118"/>
      <c r="BE98" s="127"/>
      <c r="BF98" s="128">
        <f>SUM(BF11:BF95)</f>
        <v>67.95</v>
      </c>
      <c r="BG98" s="128">
        <f>SUM(BG11:BG95)</f>
        <v>92.75</v>
      </c>
      <c r="BH98" s="567"/>
      <c r="CI98" s="124"/>
      <c r="CJ98" s="124" t="s">
        <v>2168</v>
      </c>
      <c r="CK98" s="115">
        <f>SUM(CC96:CD96)</f>
        <v>638.80551771999876</v>
      </c>
      <c r="CL98" s="122" t="s">
        <v>2035</v>
      </c>
      <c r="CM98" s="115">
        <f>CG96</f>
        <v>7.2179799999999954</v>
      </c>
      <c r="CP98" s="112"/>
      <c r="CX98" s="124"/>
    </row>
    <row r="99" spans="1:104" s="115" customFormat="1" ht="39" x14ac:dyDescent="0.3">
      <c r="H99" s="85"/>
      <c r="Q99" s="416"/>
      <c r="R99" s="416"/>
      <c r="S99" s="416"/>
      <c r="T99" s="416"/>
      <c r="AB99" s="118"/>
      <c r="AC99" s="566"/>
      <c r="AD99" s="566"/>
      <c r="AE99" s="566"/>
      <c r="AF99" s="118"/>
      <c r="AG99" s="118"/>
      <c r="AH99" s="118"/>
      <c r="AZ99" s="124" t="s">
        <v>2169</v>
      </c>
      <c r="BA99" s="129">
        <f>BB96</f>
        <v>151.26559689068225</v>
      </c>
      <c r="BB99" s="126"/>
      <c r="BC99" s="118"/>
      <c r="BD99" s="118"/>
      <c r="BE99" s="127"/>
      <c r="BF99" s="130"/>
      <c r="BG99" s="131"/>
      <c r="BH99" s="567"/>
      <c r="CJ99" s="115" t="s">
        <v>2170</v>
      </c>
      <c r="CK99" s="115">
        <f>CL96</f>
        <v>0</v>
      </c>
      <c r="CL99" s="126" t="s">
        <v>2043</v>
      </c>
      <c r="CM99" s="115">
        <f>CK100+SUM(CE96:CF96)</f>
        <v>355.71632395999984</v>
      </c>
      <c r="CP99" s="112"/>
    </row>
    <row r="100" spans="1:104" s="115" customFormat="1" ht="13" x14ac:dyDescent="0.3">
      <c r="H100" s="85"/>
      <c r="P100" s="124"/>
      <c r="Q100" s="124"/>
      <c r="R100" s="124"/>
      <c r="S100" s="124"/>
      <c r="T100" s="124"/>
      <c r="AC100" s="568"/>
      <c r="AD100" s="568"/>
      <c r="AE100" s="566"/>
      <c r="AZ100" s="115" t="s">
        <v>2045</v>
      </c>
      <c r="BA100" s="120">
        <f>BA98-BA96</f>
        <v>0</v>
      </c>
      <c r="BE100" s="127"/>
      <c r="BF100" s="937">
        <f>SUM(BF98:BG98)</f>
        <v>160.69999999999999</v>
      </c>
      <c r="BG100" s="938"/>
      <c r="BH100" s="567"/>
      <c r="CJ100" s="115" t="s">
        <v>2045</v>
      </c>
      <c r="CK100" s="115">
        <f>CK98-CK96</f>
        <v>173.48256371999986</v>
      </c>
    </row>
    <row r="101" spans="1:104" s="115" customFormat="1" ht="13" x14ac:dyDescent="0.3">
      <c r="H101" s="85"/>
      <c r="P101" s="124"/>
      <c r="Q101" s="124"/>
      <c r="R101" s="124"/>
      <c r="S101" s="124"/>
      <c r="T101" s="124"/>
      <c r="AC101" s="568"/>
      <c r="AD101" s="568"/>
      <c r="AE101" s="566"/>
      <c r="AZ101" s="124"/>
      <c r="BA101" s="120"/>
      <c r="BH101" s="124"/>
      <c r="BM101" s="132"/>
    </row>
    <row r="102" spans="1:104" s="115" customFormat="1" ht="13" x14ac:dyDescent="0.3">
      <c r="H102" s="85"/>
      <c r="P102" s="124"/>
      <c r="Q102" s="124"/>
      <c r="R102" s="124"/>
      <c r="S102" s="124"/>
      <c r="T102" s="124"/>
      <c r="AC102" s="568"/>
      <c r="AD102" s="568"/>
      <c r="AE102" s="566"/>
      <c r="BH102" s="124"/>
      <c r="BM102" s="133"/>
    </row>
    <row r="103" spans="1:104" s="115" customFormat="1" ht="13" x14ac:dyDescent="0.3">
      <c r="H103" s="85"/>
      <c r="P103" s="124"/>
      <c r="Q103" s="124"/>
      <c r="R103" s="124"/>
      <c r="S103" s="124"/>
      <c r="T103" s="124"/>
      <c r="AC103" s="568"/>
      <c r="AD103" s="568"/>
      <c r="AE103" s="566"/>
      <c r="BH103" s="124"/>
    </row>
    <row r="104" spans="1:104" s="115" customFormat="1" ht="13" x14ac:dyDescent="0.3">
      <c r="H104" s="85"/>
      <c r="P104" s="124"/>
      <c r="Q104" s="124"/>
      <c r="R104" s="124"/>
      <c r="S104" s="124"/>
      <c r="T104" s="124"/>
      <c r="AC104" s="568"/>
      <c r="AD104" s="568"/>
      <c r="AE104" s="568"/>
      <c r="BH104" s="124"/>
    </row>
    <row r="105" spans="1:104" s="115" customFormat="1" ht="13.5" thickBot="1" x14ac:dyDescent="0.35">
      <c r="H105" s="85"/>
      <c r="P105" s="124"/>
      <c r="Q105" s="124"/>
      <c r="R105" s="124"/>
      <c r="S105" s="124"/>
      <c r="T105" s="124"/>
      <c r="AC105" s="568"/>
      <c r="AD105" s="568"/>
      <c r="AE105" s="568"/>
      <c r="BH105" s="124"/>
    </row>
    <row r="106" spans="1:104" ht="13.5" thickBot="1" x14ac:dyDescent="0.35">
      <c r="A106" s="76" t="s">
        <v>2107</v>
      </c>
      <c r="B106" s="76"/>
      <c r="C106" s="76"/>
      <c r="D106" s="76"/>
      <c r="E106" s="76"/>
      <c r="F106" s="76"/>
      <c r="G106" s="76"/>
      <c r="H106" s="77"/>
      <c r="I106" s="76"/>
      <c r="J106" s="76"/>
      <c r="K106" s="76"/>
      <c r="L106" s="76"/>
      <c r="M106" s="76"/>
      <c r="N106" s="76"/>
      <c r="O106" s="76"/>
      <c r="P106" s="78"/>
      <c r="Q106" s="78"/>
      <c r="R106" s="78"/>
      <c r="S106" s="78"/>
      <c r="T106" s="78"/>
      <c r="U106" s="76"/>
      <c r="V106" s="76"/>
      <c r="W106" s="924" t="s">
        <v>1938</v>
      </c>
      <c r="X106" s="925"/>
      <c r="Y106" s="925"/>
      <c r="Z106" s="925"/>
      <c r="AA106" s="925"/>
      <c r="AB106" s="925"/>
      <c r="AC106" s="925"/>
      <c r="AD106" s="925"/>
      <c r="AE106" s="925"/>
      <c r="AF106" s="925"/>
      <c r="AG106" s="925"/>
      <c r="AH106" s="925"/>
      <c r="AI106" s="79"/>
      <c r="AJ106" s="79"/>
      <c r="AK106" s="79"/>
      <c r="AL106" s="79"/>
      <c r="AM106" s="76"/>
      <c r="AN106" s="76"/>
      <c r="AO106" s="79" t="s">
        <v>2118</v>
      </c>
      <c r="AP106" s="79"/>
      <c r="AQ106" s="79"/>
      <c r="AR106" s="79"/>
      <c r="AS106" s="79"/>
      <c r="AT106" s="79"/>
      <c r="AU106" s="79"/>
      <c r="AV106" s="79"/>
      <c r="AW106" s="76"/>
      <c r="AX106" s="76"/>
      <c r="AY106" s="76"/>
      <c r="AZ106" s="76"/>
      <c r="BA106" s="76"/>
      <c r="BB106" s="76"/>
      <c r="BC106" s="76"/>
      <c r="BD106" s="76"/>
      <c r="BE106" s="926" t="s">
        <v>1942</v>
      </c>
      <c r="BF106" s="926"/>
      <c r="BG106" s="926"/>
      <c r="BH106" s="78"/>
      <c r="BI106" s="927" t="s">
        <v>451</v>
      </c>
      <c r="BJ106" s="925"/>
      <c r="BK106" s="925"/>
      <c r="BL106" s="925"/>
      <c r="BM106" s="925"/>
      <c r="BN106" s="925"/>
      <c r="BO106" s="925"/>
      <c r="BP106" s="76"/>
      <c r="BQ106" s="928" t="s">
        <v>1945</v>
      </c>
      <c r="BR106" s="929"/>
      <c r="BS106" s="929"/>
      <c r="BV106" s="127"/>
      <c r="BW106" s="127"/>
      <c r="BX106" s="127"/>
      <c r="BY106" s="127"/>
      <c r="BZ106" s="127"/>
      <c r="CA106" s="127"/>
      <c r="CB106" s="127"/>
      <c r="CC106" s="127"/>
      <c r="CD106" s="127"/>
      <c r="CE106" s="127"/>
      <c r="CF106" s="127"/>
      <c r="CG106" s="127"/>
      <c r="CH106" s="127"/>
      <c r="CI106" s="127"/>
      <c r="CJ106" s="127"/>
      <c r="CK106" s="127"/>
      <c r="CL106" s="127"/>
      <c r="CM106" s="127"/>
      <c r="CN106" s="127"/>
      <c r="CO106" s="127"/>
      <c r="CP106" s="931" t="s">
        <v>1945</v>
      </c>
      <c r="CQ106" s="931"/>
      <c r="CR106" s="946" t="s">
        <v>2171</v>
      </c>
      <c r="CS106" s="939" t="s">
        <v>2120</v>
      </c>
      <c r="CT106" s="943" t="s">
        <v>1921</v>
      </c>
      <c r="CU106" s="943" t="s">
        <v>2121</v>
      </c>
      <c r="CV106" s="943" t="s">
        <v>2122</v>
      </c>
      <c r="CW106" s="943" t="s">
        <v>2123</v>
      </c>
      <c r="CX106" s="943" t="s">
        <v>2124</v>
      </c>
      <c r="CY106" s="943" t="s">
        <v>2125</v>
      </c>
    </row>
    <row r="107" spans="1:104" ht="65" x14ac:dyDescent="0.25">
      <c r="A107" s="82" t="s">
        <v>1392</v>
      </c>
      <c r="B107" s="82" t="s">
        <v>1390</v>
      </c>
      <c r="C107" s="82" t="s">
        <v>1394</v>
      </c>
      <c r="D107" s="82" t="s">
        <v>2127</v>
      </c>
      <c r="E107" s="82" t="s">
        <v>1947</v>
      </c>
      <c r="F107" s="82" t="s">
        <v>1948</v>
      </c>
      <c r="G107" s="82" t="s">
        <v>2128</v>
      </c>
      <c r="H107" s="136" t="s">
        <v>2129</v>
      </c>
      <c r="I107" s="82" t="s">
        <v>1951</v>
      </c>
      <c r="J107" s="136" t="s">
        <v>1952</v>
      </c>
      <c r="K107" s="82" t="s">
        <v>1953</v>
      </c>
      <c r="L107" s="137" t="s">
        <v>2130</v>
      </c>
      <c r="M107" s="138" t="s">
        <v>1955</v>
      </c>
      <c r="N107" s="137" t="s">
        <v>2131</v>
      </c>
      <c r="O107" s="137" t="s">
        <v>2132</v>
      </c>
      <c r="P107" s="137" t="s">
        <v>1958</v>
      </c>
      <c r="Q107" s="137" t="s">
        <v>1959</v>
      </c>
      <c r="R107" s="137" t="s">
        <v>1960</v>
      </c>
      <c r="S107" s="137" t="s">
        <v>1961</v>
      </c>
      <c r="T107" s="137" t="s">
        <v>1962</v>
      </c>
      <c r="U107" s="138" t="s">
        <v>1963</v>
      </c>
      <c r="V107" s="139" t="s">
        <v>2133</v>
      </c>
      <c r="W107" s="140" t="s">
        <v>1965</v>
      </c>
      <c r="X107" s="140" t="s">
        <v>1966</v>
      </c>
      <c r="Y107" s="140" t="s">
        <v>1967</v>
      </c>
      <c r="Z107" s="140" t="s">
        <v>1968</v>
      </c>
      <c r="AA107" s="140" t="s">
        <v>1969</v>
      </c>
      <c r="AB107" s="80" t="s">
        <v>1970</v>
      </c>
      <c r="AC107" s="141" t="s">
        <v>1972</v>
      </c>
      <c r="AD107" s="141" t="s">
        <v>1973</v>
      </c>
      <c r="AE107" s="141" t="s">
        <v>1974</v>
      </c>
      <c r="AF107" s="141" t="s">
        <v>1979</v>
      </c>
      <c r="AG107" s="141" t="s">
        <v>1980</v>
      </c>
      <c r="AH107" s="141" t="s">
        <v>2134</v>
      </c>
      <c r="AI107" s="141" t="s">
        <v>2135</v>
      </c>
      <c r="AJ107" s="82" t="s">
        <v>1987</v>
      </c>
      <c r="AK107" s="82" t="s">
        <v>1988</v>
      </c>
      <c r="AL107" s="82" t="s">
        <v>1989</v>
      </c>
      <c r="AM107" s="136" t="s">
        <v>1990</v>
      </c>
      <c r="AN107" s="136" t="s">
        <v>1991</v>
      </c>
      <c r="AO107" s="136" t="s">
        <v>1992</v>
      </c>
      <c r="AP107" s="141" t="s">
        <v>1993</v>
      </c>
      <c r="AQ107" s="141" t="s">
        <v>1994</v>
      </c>
      <c r="AR107" s="142" t="s">
        <v>1995</v>
      </c>
      <c r="AS107" s="531" t="s">
        <v>1996</v>
      </c>
      <c r="AT107" s="141" t="s">
        <v>1997</v>
      </c>
      <c r="AU107" s="141" t="s">
        <v>1998</v>
      </c>
      <c r="AV107" s="141" t="s">
        <v>1999</v>
      </c>
      <c r="AW107" s="82" t="s">
        <v>2000</v>
      </c>
      <c r="AX107" s="136" t="s">
        <v>2001</v>
      </c>
      <c r="AY107" s="136" t="s">
        <v>2002</v>
      </c>
      <c r="AZ107" s="136" t="s">
        <v>2004</v>
      </c>
      <c r="BA107" s="136" t="s">
        <v>2136</v>
      </c>
      <c r="BB107" s="136" t="s">
        <v>2006</v>
      </c>
      <c r="BC107" s="136" t="s">
        <v>2007</v>
      </c>
      <c r="BD107" s="136" t="s">
        <v>2008</v>
      </c>
      <c r="BE107" s="934">
        <v>400</v>
      </c>
      <c r="BF107" s="934"/>
      <c r="BG107" s="934"/>
      <c r="BH107" s="136" t="s">
        <v>1813</v>
      </c>
      <c r="BI107" s="532" t="s">
        <v>1405</v>
      </c>
      <c r="BJ107" s="532" t="s">
        <v>1410</v>
      </c>
      <c r="BK107" s="532" t="s">
        <v>1415</v>
      </c>
      <c r="BL107" s="532" t="s">
        <v>1418</v>
      </c>
      <c r="BM107" s="532" t="s">
        <v>1429</v>
      </c>
      <c r="BN107" s="532" t="s">
        <v>1431</v>
      </c>
      <c r="BO107" s="533" t="s">
        <v>1434</v>
      </c>
      <c r="BP107" s="143"/>
      <c r="BQ107" s="84" t="s">
        <v>2010</v>
      </c>
      <c r="BR107" s="84" t="s">
        <v>2137</v>
      </c>
      <c r="BS107" s="84" t="s">
        <v>2138</v>
      </c>
      <c r="BT107" s="86"/>
      <c r="BU107" s="86"/>
      <c r="BV107" s="534" t="s">
        <v>2139</v>
      </c>
      <c r="BW107" s="534" t="s">
        <v>2140</v>
      </c>
      <c r="BX107" s="535" t="s">
        <v>2141</v>
      </c>
      <c r="BY107" s="534" t="s">
        <v>2142</v>
      </c>
      <c r="BZ107" s="80" t="s">
        <v>2143</v>
      </c>
      <c r="CA107" s="80" t="s">
        <v>2144</v>
      </c>
      <c r="CB107" s="80" t="s">
        <v>2145</v>
      </c>
      <c r="CC107" s="533" t="s">
        <v>2146</v>
      </c>
      <c r="CD107" s="533" t="s">
        <v>2147</v>
      </c>
      <c r="CE107" s="533" t="s">
        <v>2148</v>
      </c>
      <c r="CF107" s="533" t="s">
        <v>2149</v>
      </c>
      <c r="CG107" s="533" t="s">
        <v>2150</v>
      </c>
      <c r="CH107" s="536" t="s">
        <v>1966</v>
      </c>
      <c r="CI107" s="141" t="s">
        <v>2151</v>
      </c>
      <c r="CJ107" s="533" t="s">
        <v>2152</v>
      </c>
      <c r="CK107" s="533" t="s">
        <v>2153</v>
      </c>
      <c r="CL107" s="533" t="s">
        <v>2154</v>
      </c>
      <c r="CM107" s="533" t="s">
        <v>2008</v>
      </c>
      <c r="CN107" s="533" t="s">
        <v>2155</v>
      </c>
      <c r="CO107" s="533" t="s">
        <v>2156</v>
      </c>
      <c r="CP107" s="533" t="s">
        <v>2157</v>
      </c>
      <c r="CQ107" s="533" t="s">
        <v>2158</v>
      </c>
      <c r="CR107" s="947"/>
      <c r="CS107" s="940"/>
      <c r="CT107" s="944"/>
      <c r="CU107" s="944"/>
      <c r="CV107" s="944"/>
      <c r="CW107" s="944"/>
      <c r="CX107" s="944"/>
      <c r="CY107" s="944"/>
    </row>
    <row r="108" spans="1:104" ht="14.5" x14ac:dyDescent="0.35">
      <c r="A108" s="146" t="str">
        <f>'BOCA DE LOBO'!A98</f>
        <v>RD-1</v>
      </c>
      <c r="B108" s="87"/>
      <c r="C108" s="87"/>
      <c r="D108" s="87"/>
      <c r="E108" s="88"/>
      <c r="F108" s="88"/>
      <c r="G108" s="88"/>
      <c r="H108" s="82"/>
      <c r="I108" s="82"/>
      <c r="J108" s="82"/>
      <c r="K108" s="82"/>
      <c r="L108" s="89"/>
      <c r="M108" s="90"/>
      <c r="N108" s="90"/>
      <c r="O108" s="90"/>
      <c r="P108" s="89"/>
      <c r="Q108" s="89"/>
      <c r="R108" s="89"/>
      <c r="S108" s="89"/>
      <c r="T108" s="89"/>
      <c r="U108" s="90"/>
      <c r="V108" s="91"/>
      <c r="W108" s="92" t="s">
        <v>2020</v>
      </c>
      <c r="X108" s="92"/>
      <c r="Y108" s="92"/>
      <c r="Z108" s="92"/>
      <c r="AA108" s="92"/>
      <c r="AB108" s="93" t="s">
        <v>2021</v>
      </c>
      <c r="AC108" s="94"/>
      <c r="AD108" s="94"/>
      <c r="AE108" s="94"/>
      <c r="AF108" s="94"/>
      <c r="AG108" s="94"/>
      <c r="AH108" s="94"/>
      <c r="AI108" s="81"/>
      <c r="AJ108" s="82"/>
      <c r="AK108" s="82"/>
      <c r="AL108" s="82"/>
      <c r="AM108" s="82"/>
      <c r="AN108" s="83"/>
      <c r="AO108" s="82"/>
      <c r="AP108" s="82"/>
      <c r="AQ108" s="82"/>
      <c r="AR108" s="82"/>
      <c r="AS108" s="82"/>
      <c r="AT108" s="82"/>
      <c r="AU108" s="82"/>
      <c r="AV108" s="82"/>
      <c r="AW108" s="82"/>
      <c r="AX108" s="82"/>
      <c r="AY108" s="82"/>
      <c r="AZ108" s="82"/>
      <c r="BA108" s="82"/>
      <c r="BB108" s="82"/>
      <c r="BC108" s="82"/>
      <c r="BD108" s="82"/>
      <c r="BE108" s="95"/>
      <c r="BF108" s="79"/>
      <c r="BG108" s="79"/>
      <c r="BH108" s="569"/>
      <c r="BI108" s="96"/>
      <c r="BJ108" s="96"/>
      <c r="BK108" s="96"/>
      <c r="BL108" s="96"/>
      <c r="BM108" s="96"/>
      <c r="BN108" s="570"/>
      <c r="BO108" s="571"/>
      <c r="BP108" s="572"/>
      <c r="BQ108" s="79"/>
      <c r="BR108" s="79"/>
      <c r="BS108" s="79"/>
      <c r="BV108" s="539"/>
      <c r="BW108" s="539"/>
      <c r="BX108" s="539"/>
      <c r="BY108" s="539"/>
      <c r="BZ108" s="539"/>
      <c r="CA108" s="539"/>
      <c r="CB108" s="539"/>
      <c r="CC108" s="539"/>
      <c r="CD108" s="539"/>
      <c r="CE108" s="539"/>
      <c r="CF108" s="539"/>
      <c r="CG108" s="539"/>
      <c r="CH108" s="539"/>
      <c r="CI108" s="539"/>
      <c r="CJ108" s="539"/>
      <c r="CK108" s="539"/>
      <c r="CL108" s="539"/>
      <c r="CM108" s="539"/>
      <c r="CN108" s="539"/>
      <c r="CO108" s="539"/>
      <c r="CP108" s="539"/>
      <c r="CQ108" s="539"/>
      <c r="CR108" s="539"/>
      <c r="CS108" s="573"/>
      <c r="CT108" s="573"/>
      <c r="CU108" s="573"/>
      <c r="CV108" s="539"/>
      <c r="CW108" s="539"/>
      <c r="CX108" s="82"/>
    </row>
    <row r="109" spans="1:104" ht="37.5" x14ac:dyDescent="0.25">
      <c r="A109" s="100" t="str">
        <f>'BOCA DE LOBO'!C99</f>
        <v>BL1-&gt;PV1.1</v>
      </c>
      <c r="B109" s="100" t="str">
        <f>'BOCA DE LOBO'!A99</f>
        <v>PV1.1</v>
      </c>
      <c r="C109" s="100" t="str">
        <f>VLOOKUP(A109,'BOCA DE LOBO'!C:F,3,0)</f>
        <v>PROJETADO</v>
      </c>
      <c r="D109" s="100" t="str">
        <f>VLOOKUP(A109,'BOCA DE LOBO'!C:M,10,0)</f>
        <v>PROJETADA</v>
      </c>
      <c r="E109" s="100">
        <f t="shared" ref="E109" si="376">IF(F109-G109*4%&lt;2.5,F109-G109*4%,2.5)</f>
        <v>1.4340000000000002</v>
      </c>
      <c r="F109" s="100">
        <f>VLOOKUP(A109,'BOCA DE LOBO'!$C$97:$P$172,2,0)</f>
        <v>1.6</v>
      </c>
      <c r="G109" s="100">
        <f>VLOOKUP(A109,'BOCA DE LOBO'!$C$97:$L$172,4,0)</f>
        <v>4.1500000000000004</v>
      </c>
      <c r="H109" s="101">
        <v>400</v>
      </c>
      <c r="I109" s="102">
        <f t="shared" ref="I109" si="377">IF(H109=400,((E109+F109)/2)+0.08+U109,IF(H109=500,((E109+F109)/2)+0.1+U109,IF(H109=600,((E109+F109)/2)+0.12+U109,IF(H109=800,((E109+F109)/2)+0.16+U109,IF(H109=1000,((E109+F109)/2)+0.2+U109,IF(H109=1200,((E109+F109)/2)+0.24+U109,IF(H109=1500,((E109+F109)/2)+0.3+U109,IF(H109&gt;1500,((E109+F109)/2)+0.4+U109))))))))</f>
        <v>1.6470000000000002</v>
      </c>
      <c r="J109" s="102">
        <f t="shared" ref="J109" si="378">IF(I109&gt;=1.25,G109*I109/20,0)</f>
        <v>0.34175250000000007</v>
      </c>
      <c r="K109" s="103">
        <v>0</v>
      </c>
      <c r="L109" s="104">
        <f t="shared" ref="L109" si="379">IF(D109&lt;&gt;"PROJETADA",0,IF(H109=400,1,0)+IF(H109=500,1.2,0)+IF(H109=600,1.4,0)+IF(H109=800,1.7,0)+IF(H109=1000,2,0)+IF(H109=1200,2.2,0)+IF(H109=1500,2.6,0)+IF(H109=1650,3,0)+IF(H109=1800,3.2,0)+IF(H109=2000,3.4,0)+IF(H109=2200,3.6,0)+IF(H109=2400,3.8,0)+IF(H109=2600,4,0)+IF(H109=3000,4.4,0))</f>
        <v>1</v>
      </c>
      <c r="M109" s="104">
        <f t="shared" ref="M109" si="380">2*K109*I109+L109</f>
        <v>1</v>
      </c>
      <c r="N109" s="104">
        <f t="shared" ref="N109" si="381">IF(OR(D109="EXISTENTE",D109="AMPLIADA"),400,0)</f>
        <v>0</v>
      </c>
      <c r="O109" s="104">
        <f t="shared" ref="O109" si="382">IF(P109="TERRENO NATURAL",0,M109*G109)</f>
        <v>4.1500000000000004</v>
      </c>
      <c r="P109" s="105" t="str">
        <f>VLOOKUP(B109,'Planilha Hidráulica'!$AE$49:$AQ$94,13,0)</f>
        <v>ASFALTO</v>
      </c>
      <c r="Q109" s="452" t="s">
        <v>2050</v>
      </c>
      <c r="R109" s="105"/>
      <c r="S109" s="105">
        <f>VLOOKUP(Q109,Quantitativos!$P$43:$R$88,3,0)</f>
        <v>5</v>
      </c>
      <c r="T109" s="105">
        <f>VLOOKUP(Q109,Quantitativos!$P$43:$S$88,4,0)</f>
        <v>5</v>
      </c>
      <c r="U109" s="104">
        <f t="shared" ref="U109" si="383">IF(H109=400,0.05,0)+IF(H109=500,0.05,0)+IF(H109=600,0.1,0)+IF(H109=800,0.1,0)+IF(H109=1000,0.15,0)+IF(H109=1200,0.15,0)+IF(H109=1500,0.2,0)+IF(H109=1650,0.2,0)+IF(H109=1800,0.2,0)+IF(H109=2000,0.25,0)+IF(H109=2200,0.25,0)+IF(H109=2400,0.25,0)+IF(H109=2600,0.25,0)+IF(H109=3000,0.25,0)</f>
        <v>0.05</v>
      </c>
      <c r="V109" s="106">
        <f t="shared" ref="V109" si="384">IF(L109=0,0,IF("EXISTENTE"=C109,0,IFERROR((PI()*(N109/1000)*(N109/1000)/4)*G109,0)))</f>
        <v>0</v>
      </c>
      <c r="W109" s="106">
        <f t="shared" ref="W109" si="385">IF(O109=0,0,((((K109*I109)*I109)/2)*2+L109*I109)*G109-V109+AO109)</f>
        <v>6.8350500000000016</v>
      </c>
      <c r="X109" s="107">
        <f t="shared" ref="X109" si="386">W109-SUM(AC109:AJ109)</f>
        <v>0</v>
      </c>
      <c r="Y109" s="107">
        <f t="shared" ref="Y109" si="387">IF(R109=1,IF(N109=0,I109+0.4,0.4),0)</f>
        <v>0</v>
      </c>
      <c r="Z109" s="107">
        <f t="shared" ref="Z109" si="388">IF(Y109&gt;0.5,0,IF(S109&lt;I109,S109,I109))</f>
        <v>1.6470000000000002</v>
      </c>
      <c r="AA109" s="107">
        <f t="shared" ref="AA109" si="389">I109-Z109</f>
        <v>0</v>
      </c>
      <c r="AB109" s="108">
        <f t="shared" ref="AB109" si="390">IF(P109="ASFALTO",IF(D109="PROJETADA",O109,IF(D109="EXISTENTE",0,O109/2)),0)</f>
        <v>4.1500000000000004</v>
      </c>
      <c r="AC109" s="109">
        <f t="shared" ref="AC109" si="391">IF(Y109=0,0,IF(Y109=0.4,IF(L109&lt;=1.5,IF(Z109+0.4&gt;=1.5,0,L109*G109*0.4),0),IF(L109&lt;=1.5,IF(Y109&gt;=1.5,M109*G109*1.5,L109*G109*(Y109)),0)+IF(S109&lt;I109+0.4,0,IF(AND(Y109&lt;=1.5,L109&lt;=1.5),-V109,0))))</f>
        <v>0</v>
      </c>
      <c r="AD109" s="109">
        <f t="shared" ref="AD109" si="392">IF(Y109=0,0,IF(Y109=0.4,IF(L109&lt;=1.5,IF(OR(Z109+0.4&gt;=3,Z109+0.4&lt;1.5),0,L109*G109*0.4),0),IF(IF(L109&lt;=1.5,IF(Y109&gt;=3,M109*G109*1.5,L109*G109*(Y109-1.5)),0)&lt;0,0,IF(L109&lt;=1.5,IF(Y109&gt;=3,M109*G109*1.5,L109*G109*(Y109-1.5)),0))+IF(S109&lt;I109+0.4,0,IF(AND(Y109&lt;=3,L109&lt;=1.5),-V109,0))))</f>
        <v>0</v>
      </c>
      <c r="AE109" s="109">
        <f t="shared" ref="AE109" si="393">IF(Y109=0,0,IF(Y109=0.4,IF(L109&lt;=1.5,IF(OR(Z109+0.4&gt;=4.5,Z109+0.4&lt;3),0,L109*G109*0.4),0),IF(IF(L109&lt;=1.5,IF(Y109&gt;=4.5,M109*G109*1.5,L109*G109*(Y109-3)),0)&lt;0,0,IF(L109&lt;=1.5,IF(Y109&gt;=4.5,M109*G109*1.5,L109*G109*(Y109-3)),0))+IF(S109&lt;I109+0.4,0,IF(AND(Y109&lt;=4.5,L109&lt;=1.5),-V109,0))))</f>
        <v>0</v>
      </c>
      <c r="AF109" s="109">
        <f>IF(L109&lt;=1.5,IF(Z109&gt;=1.5,M109*G109*1.5,L109*G109*Z109),0)+IF(S109&lt;I109,0,IF(AND(Z109&lt;=1.5,L109&lt;=1.5),-V109,0))-V109</f>
        <v>6.2250000000000005</v>
      </c>
      <c r="AG109" s="109">
        <f>IF(IF(L109&lt;=1.5,IF(Z109&gt;=3,M109*G109*1.5,L109*G109*(Z109-1.5)),0)&lt;0,0,IF(L109&lt;=1.5,IF(Z109&gt;=3,M109*G109*1.5,L109*G109*(Z109-1.5)),0))</f>
        <v>0.61005000000000109</v>
      </c>
      <c r="AH109" s="109">
        <f t="shared" ref="AH109" si="394">IF(IF(L109&lt;=1.5,IF(Z109&gt;=4.5,M109*G109*1.5,L109*G109*(Z109-3)),0)&lt;0,0,IF(L109&lt;=1.5,IF(Z109&gt;=4.5,M109*G109*1.5,L109*G109*(Z109-3)),0))+IF(S109&lt;I109,0,IF(AND(Z109&lt;=4.5,Z109&gt;3,L109&lt;=1.5),-V109,0))</f>
        <v>0</v>
      </c>
      <c r="AI109" s="537" t="str">
        <f t="shared" ref="AI109" si="395">IF(I109&gt;S109,"SIM","NÃO")</f>
        <v>NÃO</v>
      </c>
      <c r="AJ109" s="104">
        <f t="shared" ref="AJ109" si="396">W109-SUM(AC109:AH109)</f>
        <v>0</v>
      </c>
      <c r="AK109" s="104">
        <f t="shared" ref="AK109" si="397">IF(I109-T109&lt;0,0,(I109-T109)*G109)/75</f>
        <v>0</v>
      </c>
      <c r="AL109" s="104">
        <f t="shared" ref="AL109" si="398">IF(L109=0,0,G109*L109*I109-PI()*(H109/1000)*(H109/1000)/4*G109+AO109)</f>
        <v>6.3135456195040955</v>
      </c>
      <c r="AM109" s="102">
        <f t="shared" ref="AM109" si="399">IF(L109&lt;1.5,L109*G109*IF(H109&lt;=500,0.05,IF(H109&lt;=800,0.1,IF(H109&lt;=1200,0.15,IF(H109&gt;=1500,0.2)))),0)</f>
        <v>0.20750000000000002</v>
      </c>
      <c r="AN109" s="106">
        <f t="shared" ref="AN109" si="400">IF(L109&gt;=1.5,L109*G109*IF(H109&lt;=500,0.05,IF(H109&lt;=800,0.1,IF(H109&lt;=1200,0.15,IF(H109&gt;=1500,0.2)))),0)</f>
        <v>0</v>
      </c>
      <c r="AO109" s="104">
        <f t="shared" ref="AO109" si="401">IF(R109=1,0.4*G109*L109,0)</f>
        <v>0</v>
      </c>
      <c r="AP109" s="104">
        <f t="shared" ref="AP109" si="402">IF(AO109&lt;SUM(AF109:AH109),0,AO109)</f>
        <v>0</v>
      </c>
      <c r="AQ109" s="104">
        <f t="shared" ref="AQ109" si="403">H109/1000+0.3</f>
        <v>0.7</v>
      </c>
      <c r="AR109" s="104">
        <f t="shared" ref="AR109" si="404">IF(D109&lt;&gt;"PROJETADA",0,AQ109*L109*G109-PI()*(H109/1000*H109/1000)/4*G109)</f>
        <v>2.3834956195040946</v>
      </c>
      <c r="AS109" s="104">
        <f t="shared" ref="AS109" si="405">IF(AR109&lt;SUM(AF109:AH109),0,AR109)</f>
        <v>0</v>
      </c>
      <c r="AT109" s="104">
        <f t="shared" ref="AT109" si="406">IF(P109="ASFALTO",0.15*G109*L109,0)</f>
        <v>0.62250000000000005</v>
      </c>
      <c r="AU109" s="104">
        <f t="shared" ref="AU109" si="407">AT109</f>
        <v>0.62250000000000005</v>
      </c>
      <c r="AV109" s="104">
        <f t="shared" ref="AV109" si="408">IF(P109="ASFALTO",0.03*G109*L109,0)</f>
        <v>0.1245</v>
      </c>
      <c r="AW109" s="104">
        <f t="shared" ref="AW109" si="409">AL109-AO109-SUM(AM109:AN109)-AT109-AU109-AR109</f>
        <v>2.4775500000000004</v>
      </c>
      <c r="AX109" s="104">
        <f t="shared" ref="AX109" si="410">SUM(AF109:AH109)-AO109-AT109-AR109</f>
        <v>3.8290543804959074</v>
      </c>
      <c r="AY109" s="104">
        <f t="shared" ref="AY109" si="411">SMALL(AW109:AX109,1)</f>
        <v>2.4775500000000004</v>
      </c>
      <c r="AZ109" s="104">
        <f t="shared" ref="AZ109" si="412">AW109-AY109</f>
        <v>0</v>
      </c>
      <c r="BA109" s="104">
        <f t="shared" ref="BA109:BA141" si="413">IF($AZ$183&gt;$BA$185,($BA$185/$AZ$183)*AZ109,AZ109)</f>
        <v>0</v>
      </c>
      <c r="BB109" s="104">
        <f t="shared" ref="BB109" si="414">AZ109-BA109</f>
        <v>0</v>
      </c>
      <c r="BC109" s="104"/>
      <c r="BD109" s="104">
        <f t="shared" ref="BD109" si="415">IF(AO109&gt;0,4%*(AO109+AT109),0)</f>
        <v>0</v>
      </c>
      <c r="BE109" s="108">
        <f t="shared" ref="BE109" si="416">IF(H109=400,I109,0)</f>
        <v>1.6470000000000002</v>
      </c>
      <c r="BF109" s="110">
        <f t="shared" ref="BF109" si="417">IF(BE109&lt;=1.75,AND(BE109&gt;0)*G109,0)</f>
        <v>4.1500000000000004</v>
      </c>
      <c r="BG109" s="110">
        <f t="shared" ref="BG109" si="418">IF(BE109&lt;=3,AND(BE109&gt;1.75)*G109,0)</f>
        <v>0</v>
      </c>
      <c r="BH109" s="105" t="str">
        <f>VLOOKUP(A109,'BOCA DE LOBO'!$C$99:$P$172,7,0)</f>
        <v>BOCA DE LOBO SIMPLES EXISTENTE COM BOCA DE LOBO DUPLA PROJETADA</v>
      </c>
      <c r="BI109" s="104">
        <f t="shared" ref="BI109" si="419">IF(BH109=$BI$107,1,0)</f>
        <v>1</v>
      </c>
      <c r="BJ109" s="104">
        <f t="shared" ref="BJ109" si="420">IF(BH109=$BJ$107,1,0)</f>
        <v>0</v>
      </c>
      <c r="BK109" s="104">
        <f t="shared" ref="BK109" si="421">IF(BH109=$BK$107,1,0)</f>
        <v>0</v>
      </c>
      <c r="BL109" s="104">
        <f t="shared" ref="BL109" si="422">IF(BH109=$BL$107,1,0)</f>
        <v>0</v>
      </c>
      <c r="BM109" s="104">
        <f t="shared" ref="BM109" si="423">IF(BH109=$BM$107,1,0)</f>
        <v>0</v>
      </c>
      <c r="BN109" s="104">
        <f t="shared" ref="BN109" si="424">IF(BH109=$BN$107,1,0)</f>
        <v>0</v>
      </c>
      <c r="BO109" s="543">
        <f t="shared" ref="BO109" si="425">IF(BH109=$BO$107,1,0)</f>
        <v>0</v>
      </c>
      <c r="BP109" s="111"/>
      <c r="BQ109" s="108">
        <f t="shared" ref="BQ109" si="426">IF(L109&lt;=1.5,IF(I109+IF(R109=1,0.5,0)&lt;1.5,(I109+IF(R109=1,0.5,0))*G109*2,G109*2*1.5),0)</f>
        <v>12.450000000000001</v>
      </c>
      <c r="BR109" s="108">
        <f t="shared" ref="BR109" si="427">IF(L109&lt;=1.5,IF(AND(I109+IF(R109=1,0.5,0)&lt;3,I109+IF(R109=1,0.5,0)&gt;1.5),(I109+IF(R109=1,0.5,0)-1.5)*G109*2,IF(I109+IF(R109=1,0.5,0)&gt;=3,(G109*2*1.5),0)),0)</f>
        <v>1.2201000000000022</v>
      </c>
      <c r="BS109" s="108">
        <f t="shared" ref="BS109" si="428">IF(L109&lt;=1.5,IF(AND(I109+IF(R109=1,0.5,0)&lt;4.5,I109+IF(R109=1,0.5,0)&gt;3),(I109+IF(R109=1,0.5,0)-3)*G109*2,IF(I109+IF(R109=1,0.5,0)&gt;=4.5,(G109*2*1.5),0)),0)</f>
        <v>0</v>
      </c>
      <c r="BT109" s="112"/>
      <c r="BU109" s="112" t="s">
        <v>1410</v>
      </c>
      <c r="BV109" s="538">
        <f t="shared" ref="BV109:BV141" si="429">IF(OR("BOCA DE LOBO EXISTENTE TRIPLA"=BH109,"BOCA DE LOBO EXISTENTE SIMPLES"=BH109,"BOCA DE LOBO EXISTENTE DUPLA"=BH109),0,IF("BOCA DE LOBO PROJETADA DUPLA"=BH109,(2.57+1)*(1.18+1),IF(OR("BOCA DE LOBO DUPLA EXISTENTE COM BOCA DE LOBO SIMPLES PROJETADA"=BH109,"BOCA DE LOBO SIMPLES EXISTENTE COM BOCA DE LOBO SIMPLES PROJETADA"=BH109),(1.18+0.5)*(1.18+1),IF(OR(BH109="BOCA DE LOBO DUPLA EXISTENTE COM BOCA DE LOBO DUPLA PROJETADA",BH109="BOCA DE LOBO SIMPLES EXISTENTE COM BOCA DE LOBO DUPLA PROJETADA"),(2.38+0.5)*(1.18+1),IF("BOCA DE LOBO PROJETADA TRIPLA"=BH109,(3.76+1)*(1.18+1),IF("BOCA DE LOBO PROJETADA QUADRUPLA"=BH109,(4.92+1)*(1.18+1),"X"))))))*(E109+IF(CA109&gt;0,0.5,0))</f>
        <v>9.0032255999999986</v>
      </c>
      <c r="BW109" s="538">
        <f t="shared" ref="BW109:BW141" si="430">IF(OR("BOCA DE LOBO EXISTENTE TRIPLA"=BH109,"BOCA DE LOBO EXISTENTE SIMPLES"=BH109,"BOCA DE LOBO EXISTENTE DUPLA"=BH109),0,IF("BOCA DE LOBO PROJETADA DUPLA"=BH109,(2.57+1)*(1.18+1),IF(OR("BOCA DE LOBO DUPLA EXISTENTE COM BOCA DE LOBO SIMPLES PROJETADA"=BH109,"BOCA DE LOBO SIMPLES EXISTENTE COM BOCA DE LOBO SIMPLES PROJETADA"=BH109),(1.18+1)*(1.18+0.5),IF(OR(BH109="BOCA DE LOBO DUPLA EXISTENTE COM BOCA DE LOBO DUPLA PROJETADA",BH109="BOCA DE LOBO SIMPLES EXISTENTE COM BOCA DE LOBO DUPLA PROJETADA"),(2.38+0.5)*(1.18+1),IF("BOCA DE LOBO PROJETADA TRIPLA"=BH109,(3.76+0.5*2)*(1.18+1),IF("BOCA DE LOBO PROJETADA QUADRUPLA"=BH109,(4.92+0.5*2)*(1.18+1),"X"))))))</f>
        <v>6.2783999999999986</v>
      </c>
      <c r="BX109" s="538">
        <f t="shared" ref="BX109:BX141" si="431">IF(OR("BOCA DE LOBO EXISTENTE TRIPLA"=BH109,"BOCA DE LOBO EXISTENTE SIMPLES"=BH109,"BOCA DE LOBO EXISTENTE DUPLA"=BH109),0,IF("BOCA DE LOBO PROJETADA DUPLA"=BH109,(2.57)*(1.18),IF(OR("BOCA DE LOBO DUPLA EXISTENTE COM BOCA DE LOBO SIMPLES PROJETADA"=BH109,"BOCA DE LOBO SIMPLES EXISTENTE COM BOCA DE LOBO SIMPLES PROJETADA"=BH109),(1.18)*(1.18),IF(OR(BH109="BOCA DE LOBO DUPLA EXISTENTE COM BOCA DE LOBO DUPLA PROJETADA",BH109="BOCA DE LOBO SIMPLES EXISTENTE COM BOCA DE LOBO DUPLA PROJETADA"),(2.38)*(1.18),IF("BOCA DE LOBO PROJETADA TRIPLA"=BH109,(3.76)*(1.18),IF("BOCA DE LOBO PROJETADA QUADRUPLA"=BH109,(4.92)*(1.18),"X"))))))</f>
        <v>2.8083999999999998</v>
      </c>
      <c r="BY109" s="538">
        <f t="shared" ref="BY109" si="432">E109</f>
        <v>1.4340000000000002</v>
      </c>
      <c r="BZ109" s="538">
        <f t="shared" ref="BZ109" si="433">IF(Y109&gt;0.5,0,IF(S109&lt;E109,S109,E109))</f>
        <v>1.4340000000000002</v>
      </c>
      <c r="CA109" s="538">
        <f t="shared" ref="CA109" si="434">IF(Y109&gt;0.5,BY109+0.5,Y109)</f>
        <v>0</v>
      </c>
      <c r="CB109" s="538">
        <f t="shared" ref="CB109" si="435">IF(S109&gt;E109,0,E109-S109)</f>
        <v>0</v>
      </c>
      <c r="CC109" s="538">
        <f t="shared" ref="CC109" si="436">IF(BZ109&gt;1.5,BW109*1.5,BW109*BZ109)</f>
        <v>9.0032255999999986</v>
      </c>
      <c r="CD109" s="538">
        <f t="shared" ref="CD109" si="437">IF(BZ109&gt;1.5,BW109*(BZ109-1.5),0)</f>
        <v>0</v>
      </c>
      <c r="CE109" s="538">
        <f t="shared" ref="CE109" si="438">IF(CA109&gt;1.5,BW109*1.5,BW109*CA109)</f>
        <v>0</v>
      </c>
      <c r="CF109" s="538">
        <f t="shared" ref="CF109" si="439">IF(CA109&gt;1.5,BW109*(CA109-1.5),0)</f>
        <v>0</v>
      </c>
      <c r="CG109" s="538">
        <f t="shared" ref="CG109" si="440">BV109-SUM(CC109:CF109)</f>
        <v>0</v>
      </c>
      <c r="CH109" s="538">
        <f t="shared" ref="CH109" si="441">SUM(CC109:CG109)-BV109</f>
        <v>0</v>
      </c>
      <c r="CI109" s="104">
        <f t="shared" ref="CI109:CI141" si="442">IF(OR("BOCA DE LOBO EXISTENTE TRIPLA"=BH109,"BOCA DE LOBO EXISTENTE SIMPLES"=BH109,"BOCA DE LOBO EXISTENTE DUPLA"=BH109),0,IF("BOCA DE LOBO PROJETADA DUPLA"=BH109,(2.57+1)*(0.5),IF(OR("BOCA DE LOBO DUPLA EXISTENTE COM BOCA DE LOBO SIMPLES PROJETADA"=BH109,"BOCA DE LOBO SIMPLES EXISTENTE COM BOCA DE LOBO SIMPLES PROJETADA"=BH109),(1.18+0.5)*(0.5),IF(OR(BH109="BOCA DE LOBO DUPLA EXISTENTE COM BOCA DE LOBO DUPLA PROJETADA",BH109="BOCA DE LOBO SIMPLES EXISTENTE COM BOCA DE LOBO DUPLA PROJETADA"),(2.38+0.5)*(0.5),IF("BOCA DE LOBO PROJETADA TRIPLA"=BH109,(3.76+1)*(0.5),IF("BOCA DE LOBO PROJETADA QUADRUPLA"=BH109,(4.92+1)*(0.5),"X")))))*0.3)</f>
        <v>0.432</v>
      </c>
      <c r="CJ109" s="538">
        <f t="shared" ref="CJ109" si="443">(BW109-BX109)*(BY109+IF(CA109&gt;=0.4,0.4,0))-CI109</f>
        <v>4.5439799999999986</v>
      </c>
      <c r="CK109" s="538">
        <f t="shared" ref="CK109:CK141" si="444">IF($CK$185&gt;$CJ$183,CJ109,CJ109*$CK$185/$CJ$183)</f>
        <v>4.5439799999999986</v>
      </c>
      <c r="CL109" s="538">
        <f t="shared" ref="CL109" si="445">CJ109-CK109</f>
        <v>0</v>
      </c>
      <c r="CM109" s="538">
        <f t="shared" ref="CM109" si="446">IF(CA109&gt;0,0.5*4%*BW109,0)</f>
        <v>0</v>
      </c>
      <c r="CN109" s="538">
        <f t="shared" ref="CN109:CN141" si="447">IF(OR("BOCA DE LOBO EXISTENTE TRIPLA"=BH109,"BOCA DE LOBO EXISTENTE SIMPLES"=BH109,"BOCA DE LOBO EXISTENTE DUPLA"=BH109),0,IF("BOCA DE LOBO PROJETADA DUPLA"=BH109,(2.57+1),IF(OR("BOCA DE LOBO DUPLA EXISTENTE COM BOCA DE LOBO SIMPLES PROJETADA"=BH109,"BOCA DE LOBO SIMPLES EXISTENTE COM BOCA DE LOBO SIMPLES PROJETADA"=BH109),(1.18+0.5),IF(OR(BH109="BOCA DE LOBO DUPLA EXISTENTE COM BOCA DE LOBO DUPLA PROJETADA",BH109="BOCA DE LOBO SIMPLES EXISTENTE COM BOCA DE LOBO DUPLA PROJETADA"),(2.38+0.5),IF("BOCA DE LOBO PROJETADA TRIPLA"=BH109,(3.76+0.5*2),IF("BOCA DE LOBO PROJETADA QUADRUPLA"=BH109,(4.92+0.5*2),"X"))))))</f>
        <v>2.88</v>
      </c>
      <c r="CO109" s="538">
        <f t="shared" ref="CO109" si="448">IF(CA109&gt;0,BY109+0.5,BY109)</f>
        <v>1.4340000000000002</v>
      </c>
      <c r="CP109" s="538">
        <f t="shared" ref="CP109" si="449">IF(CO109&gt;=1.5,CN109*1.5*2,CN109*CO109*2)</f>
        <v>8.2598400000000005</v>
      </c>
      <c r="CQ109" s="538">
        <f t="shared" ref="CQ109" si="450">IF(CO109&lt;=1.5,0,IF(CO109&gt;=3,CN109*1.5*2,CN109*(CO109-1.5)*2))</f>
        <v>0</v>
      </c>
      <c r="CR109" s="539">
        <f t="shared" ref="CR109:CR141" si="451">IF(D109="AMPLIADA",0.55*(E109-0.5),0)</f>
        <v>0</v>
      </c>
      <c r="CS109" s="540">
        <f t="shared" ref="CS109:CS141" si="452">IF(OR("BOCA DE LOBO EXISTENTE TRIPLA"=BH109,"BOCA DE LOBO EXISTENTE SIMPLES"=BH109,"BOCA DE LOBO EXISTENTE DUPLA"=BH109,"BOCA DE LOBO EXISTENTE QUADRUPLA"=BH109),0,IF("BOCA DE LOBO PROJETADA DUPLA"=BH109,(0),IF(OR("BOCA DE LOBO DUPLA EXISTENTE COM BOCA DE LOBO SIMPLES PROJETADA"=BH109,"BOCA DE LOBO SIMPLES EXISTENTE COM BOCA DE LOBO SIMPLES PROJETADA"=BH109),(0.8*0.15*0.17),IF(OR(BH109="BOCA DE LOBO DUPLA EXISTENTE COM BOCA DE LOBO DUPLA PROJETADA",BH109="BOCA DE LOBO SIMPLES EXISTENTE COM BOCA DE LOBO DUPLA PROJETADA"),(0.8*0.15*0.17),IF("BOCA DE LOBO PROJETADA TRIPLA"=BH109,(0),IF("BOCA DE LOBO PROJETADA QUADRUPLA"=BH109,(0),"X")))))*E109)</f>
        <v>2.9253600000000005E-2</v>
      </c>
      <c r="CT109" s="540">
        <f t="shared" ref="CT109:CT141" si="453">IF(OR("BOCA DE LOBO EXISTENTE TRIPLA"=BH109,"BOCA DE LOBO EXISTENTE SIMPLES"=BH109,"BOCA DE LOBO EXISTENTE DUPLA"=BH109,"BOCA DE LOBO EXISTENTE QUADRUPLA"=BH109),0,IF("BOCA DE LOBO PROJETADA DUPLA"=BH109,(1.18*2.57*0.05),IF(OR("BOCA DE LOBO DUPLA EXISTENTE COM BOCA DE LOBO SIMPLES PROJETADA"=BH109,"BOCA DE LOBO SIMPLES EXISTENTE COM BOCA DE LOBO SIMPLES PROJETADA"=BH109),(1.19*1.18*0.05),IF(OR(BH109="BOCA DE LOBO DUPLA EXISTENTE COM BOCA DE LOBO DUPLA PROJETADA",BH109="BOCA DE LOBO SIMPLES EXISTENTE COM BOCA DE LOBO DUPLA PROJETADA"),(2.38*1.18*0.056),IF("BOCA DE LOBO PROJETADA TRIPLA"=BH109,(3.76*1.18*0.05),IF("BOCA DE LOBO PROJETADA QUADRUPLA"=BH109,(4.92*1.18*0.05),"X")))))+CI109/3)</f>
        <v>0.30127039999999999</v>
      </c>
      <c r="CU109" s="541">
        <f t="shared" ref="CU109:CU141" si="454">IF(OR("BOCA DE LOBO EXISTENTE TRIPLA"=BH109,"BOCA DE LOBO EXISTENTE SIMPLES"=BH109,"BOCA DE LOBO EXISTENTE DUPLA"=BH109,"BOCA DE LOBO EXISTENTE QUADRUPLA"=BH109),0,IF("BOCA DE LOBO PROJETADA DUPLA"=BH109,(1*4+0.6*2),IF(OR("BOCA DE LOBO DUPLA EXISTENTE COM BOCA DE LOBO SIMPLES PROJETADA"=BH109,"BOCA DE LOBO SIMPLES EXISTENTE COM BOCA DE LOBO SIMPLES PROJETADA"=BH109),(1*2+0.6),IF(OR(BH109="BOCA DE LOBO DUPLA EXISTENTE COM BOCA DE LOBO DUPLA PROJETADA",BH109="BOCA DE LOBO SIMPLES EXISTENTE COM BOCA DE LOBO DUPLA PROJETADA"),(1*4+0.6),IF("BOCA DE LOBO PROJETADA TRIPLA"=BH109,(6*1+0.6*2),IF("BOCA DE LOBO PROJETADA QUADRUPLA"=BH109,(8*1+0.6*2),"X")))))*E109)</f>
        <v>6.5964</v>
      </c>
      <c r="CV109" s="538">
        <f t="shared" ref="CV109:CV141" si="455">IF(OR("BOCA DE LOBO EXISTENTE TRIPLA"=BH109,"BOCA DE LOBO EXISTENTE SIMPLES"=BH109,"BOCA DE LOBO EXISTENTE DUPLA"=BH109,"BOCA DE LOBO EXISTENTE QUADRUPLA"=BH109),0,IF("BOCA DE LOBO PROJETADA DUPLA"=BH109,(12*E109*0.17*0.15+1*0.17*0.15*5+1.09*0.6*0.07*2+2.57*1.18*0.15),IF(OR("BOCA DE LOBO DUPLA EXISTENTE COM BOCA DE LOBO SIMPLES PROJETADA"=BH109,"BOCA DE LOBO SIMPLES EXISTENTE COM BOCA DE LOBO SIMPLES PROJETADA"=BH109),(8*E109*0.17*0.15+1*0.17*0.15*4+1.09*0.6*0.07*1+1.38*1.18*0.15),IF(OR(BH109="BOCA DE LOBO DUPLA EXISTENTE COM BOCA DE LOBO DUPLA PROJETADA",BH109="BOCA DE LOBO SIMPLES EXISTENTE COM BOCA DE LOBO DUPLA PROJETADA"),(7*E109*0.17*0.15+1*0.17*0.15*5+1.09*0.6*0.07*2+2.38*1.18*0.15),IF("BOCA DE LOBO PROJETADA TRIPLA"=BH109,(15*E109*0.17*0.15+1*0.17*0.15*7+1.09*0.6*0.07*3+3.76*1.18*0.15),IF("BOCA DE LOBO PROJETADA QUADRUPLA"=BH109,(19*E109*0.17*0.15+1*0.17*0.15*9+1.09*0.6*0.07*4+4.92*1.18*0.15),"X"))))))</f>
        <v>0.896289</v>
      </c>
      <c r="CW109" s="538">
        <f t="shared" ref="CW109:CW141" si="456">IF(OR("BOCA DE LOBO EXISTENTE TRIPLA"=BH109,"BOCA DE LOBO EXISTENTE SIMPLES"=BH109,"BOCA DE LOBO EXISTENTE DUPLA"=BH109,"BOCA DE LOBO EXISTENTE QUADRUPLA"=BH109),0,IF("BOCA DE LOBO PROJETADA DUPLA"=BH109,(12*E109*2*(0.17+0.15)+1*(2*0.17+0.15)*5+2*(2.57+1.18)*0.15+(1.09+0.6)*2*0.07*2),IF(OR("BOCA DE LOBO DUPLA EXISTENTE COM BOCA DE LOBO SIMPLES PROJETADA"=BH109,"BOCA DE LOBO SIMPLES EXISTENTE COM BOCA DE LOBO SIMPLES PROJETADA"=BH109),(8*E109*2*(0.17+0.15)+1*(2*0.17+0.15)*4+2*(1.38+1.18)*0.15+(1.09+0.6)*2*0.07*1),IF(OR(BH109="BOCA DE LOBO DUPLA EXISTENTE COM BOCA DE LOBO DUPLA PROJETADA",BH109="BOCA DE LOBO SIMPLES EXISTENTE COM BOCA DE LOBO DUPLA PROJETADA"),(7*E109*2*(0.17+0.15)+1*(2*0.17+0.15)*5+2*(2.38+1.18)*0.15+(1.09+0.6)*2*0.07*2),IF("BOCA DE LOBO PROJETADA TRIPLA"=BH109,(15*E109*2*(0.17+0.15)+1*(2*0.17+0.15)*7+2*(3.76+1.18)*0.15+(1.09+0.6)*2*0.07*3),IF("BOCA DE LOBO PROJETADA QUADRUPLA"=BH109,(19*E109*2*(0.17+0.15)+1*(2*0.17+0.15)*7+2*(4.92+1.18)*0.15+(1.09+0.6)*2*0.07*4),"X"))))))</f>
        <v>10.415520000000001</v>
      </c>
      <c r="CX109" s="104">
        <f t="shared" ref="CX109:CX141" si="457">IF(OR("BOCA DE LOBO EXISTENTE TRIPLA"=BH109,"BOCA DE LOBO EXISTENTE SIMPLES"=BH109,"BOCA DE LOBO EXISTENTE DUPLA"=BH109,"BOCA DE LOBO EXISTENTE QUADRUPLA"=BH109),0,IF("BOCA DE LOBO PROJETADA DUPLA"=BH109,(2.57+1),IF(OR("BOCA DE LOBO DUPLA EXISTENTE COM BOCA DE LOBO SIMPLES PROJETADA"=BH109,"BOCA DE LOBO SIMPLES EXISTENTE COM BOCA DE LOBO SIMPLES PROJETADA"=BH109),(1.18+0.5),IF(OR(BH109="BOCA DE LOBO DUPLA EXISTENTE COM BOCA DE LOBO DUPLA PROJETADA",BH109="BOCA DE LOBO SIMPLES EXISTENTE COM BOCA DE LOBO DUPLA PROJETADA"),(2.38+0.5),IF("BOCA DE LOBO PROJETADA TRIPLA"=BH109,(3.76+1),IF("BOCA DE LOBO PROJETADA QUADRUPLA"=BH109,(4.92+1),"X"))))))</f>
        <v>2.88</v>
      </c>
      <c r="CY109" s="542">
        <f t="shared" ref="CY109:CY141" si="458">CX109*0.5</f>
        <v>1.44</v>
      </c>
      <c r="CZ109" s="538">
        <f t="shared" ref="CZ109:CZ141" si="459">IF(AND(C109="EXISTENTE",D109="PROJETADA"),PI()*0.51*0.51/4*0.12,0)</f>
        <v>0</v>
      </c>
    </row>
    <row r="110" spans="1:104" ht="25" x14ac:dyDescent="0.25">
      <c r="A110" s="100" t="str">
        <f>'BOCA DE LOBO'!C100</f>
        <v>BL2-&gt;PV3.1</v>
      </c>
      <c r="B110" s="100" t="str">
        <f>'BOCA DE LOBO'!A100</f>
        <v>PV3.1</v>
      </c>
      <c r="C110" s="100" t="str">
        <f>VLOOKUP(A110,'BOCA DE LOBO'!C:F,3,0)</f>
        <v>PROJETADO</v>
      </c>
      <c r="D110" s="100" t="str">
        <f>VLOOKUP(A110,'BOCA DE LOBO'!C:M,10,0)</f>
        <v>PROJETADA</v>
      </c>
      <c r="E110" s="100">
        <f t="shared" ref="E110:E141" si="460">IF(F110-G110*4%&lt;2.5,F110-G110*4%,2.5)</f>
        <v>1.3296000000000001</v>
      </c>
      <c r="F110" s="100">
        <f>VLOOKUP(A110,'BOCA DE LOBO'!$C$97:$P$172,2,0)</f>
        <v>1.6</v>
      </c>
      <c r="G110" s="100">
        <f>VLOOKUP(A110,'BOCA DE LOBO'!$C$97:$L$172,4,0)</f>
        <v>6.76</v>
      </c>
      <c r="H110" s="101">
        <v>400</v>
      </c>
      <c r="I110" s="102">
        <f t="shared" ref="I110:I141" si="461">IF(H110=400,((E110+F110)/2)+0.08+U110,IF(H110=500,((E110+F110)/2)+0.1+U110,IF(H110=600,((E110+F110)/2)+0.12+U110,IF(H110=800,((E110+F110)/2)+0.16+U110,IF(H110=1000,((E110+F110)/2)+0.2+U110,IF(H110=1200,((E110+F110)/2)+0.24+U110,IF(H110=1500,((E110+F110)/2)+0.3+U110,IF(H110&gt;1500,((E110+F110)/2)+0.4+U110))))))))</f>
        <v>1.5948000000000002</v>
      </c>
      <c r="J110" s="102">
        <f t="shared" ref="J110:J141" si="462">IF(I110&gt;=1.25,G110*I110/20,0)</f>
        <v>0.53904240000000003</v>
      </c>
      <c r="K110" s="103">
        <v>0</v>
      </c>
      <c r="L110" s="104">
        <f t="shared" ref="L110:L141" si="463">IF(D110&lt;&gt;"PROJETADA",0,IF(H110=400,1,0)+IF(H110=500,1.2,0)+IF(H110=600,1.4,0)+IF(H110=800,1.7,0)+IF(H110=1000,2,0)+IF(H110=1200,2.2,0)+IF(H110=1500,2.6,0)+IF(H110=1650,3,0)+IF(H110=1800,3.2,0)+IF(H110=2000,3.4,0)+IF(H110=2200,3.6,0)+IF(H110=2400,3.8,0)+IF(H110=2600,4,0)+IF(H110=3000,4.4,0))</f>
        <v>1</v>
      </c>
      <c r="M110" s="104">
        <f t="shared" ref="M110:M141" si="464">2*K110*I110+L110</f>
        <v>1</v>
      </c>
      <c r="N110" s="104">
        <f t="shared" ref="N110:N141" si="465">IF(OR(D110="EXISTENTE",D110="AMPLIADA"),400,0)</f>
        <v>0</v>
      </c>
      <c r="O110" s="104">
        <f t="shared" ref="O110:O141" si="466">IF(P110="TERRENO NATURAL",0,M110*G110)</f>
        <v>6.76</v>
      </c>
      <c r="P110" s="105" t="str">
        <f>VLOOKUP(B110,'Planilha Hidráulica'!$AE$49:$AQ$94,13,0)</f>
        <v>ASFALTO</v>
      </c>
      <c r="Q110" s="452" t="s">
        <v>2050</v>
      </c>
      <c r="R110" s="105"/>
      <c r="S110" s="105">
        <f>VLOOKUP(Q110,Quantitativos!$P$43:$R$88,3,0)</f>
        <v>5</v>
      </c>
      <c r="T110" s="105">
        <f>VLOOKUP(Q110,Quantitativos!$P$43:$S$88,4,0)</f>
        <v>5</v>
      </c>
      <c r="U110" s="104">
        <f t="shared" ref="U110:U141" si="467">IF(H110=400,0.05,0)+IF(H110=500,0.05,0)+IF(H110=600,0.1,0)+IF(H110=800,0.1,0)+IF(H110=1000,0.15,0)+IF(H110=1200,0.15,0)+IF(H110=1500,0.2,0)+IF(H110=1650,0.2,0)+IF(H110=1800,0.2,0)+IF(H110=2000,0.25,0)+IF(H110=2200,0.25,0)+IF(H110=2400,0.25,0)+IF(H110=2600,0.25,0)+IF(H110=3000,0.25,0)</f>
        <v>0.05</v>
      </c>
      <c r="V110" s="106">
        <f t="shared" ref="V110:V141" si="468">IF(L110=0,0,IF("EXISTENTE"=C110,0,IFERROR((PI()*(N110/1000)*(N110/1000)/4)*G110,0)))</f>
        <v>0</v>
      </c>
      <c r="W110" s="106">
        <f t="shared" ref="W110:W141" si="469">IF(O110=0,0,((((K110*I110)*I110)/2)*2+L110*I110)*G110-V110+AO110)</f>
        <v>10.780848000000001</v>
      </c>
      <c r="X110" s="107">
        <f t="shared" ref="X110:X141" si="470">W110-SUM(AC110:AJ110)</f>
        <v>0</v>
      </c>
      <c r="Y110" s="107">
        <f t="shared" ref="Y110:Y141" si="471">IF(R110=1,IF(N110=0,I110+0.4,0.4),0)</f>
        <v>0</v>
      </c>
      <c r="Z110" s="107">
        <f t="shared" ref="Z110:Z141" si="472">IF(Y110&gt;0.5,0,IF(S110&lt;I110,S110,I110))</f>
        <v>1.5948000000000002</v>
      </c>
      <c r="AA110" s="107">
        <f t="shared" ref="AA110:AA141" si="473">I110-Z110</f>
        <v>0</v>
      </c>
      <c r="AB110" s="108">
        <f t="shared" ref="AB110:AB141" si="474">IF(P110="ASFALTO",IF(D110="PROJETADA",O110,IF(D110="EXISTENTE",0,O110/2)),0)</f>
        <v>6.76</v>
      </c>
      <c r="AC110" s="109">
        <f t="shared" ref="AC110:AC141" si="475">IF(Y110=0,0,IF(Y110=0.4,IF(L110&lt;=1.5,IF(Z110+0.4&gt;=1.5,0,L110*G110*0.4),0),IF(L110&lt;=1.5,IF(Y110&gt;=1.5,M110*G110*1.5,L110*G110*(Y110)),0)+IF(S110&lt;I110+0.4,0,IF(AND(Y110&lt;=1.5,L110&lt;=1.5),-V110,0))))</f>
        <v>0</v>
      </c>
      <c r="AD110" s="109">
        <f t="shared" ref="AD110:AD141" si="476">IF(Y110=0,0,IF(Y110=0.4,IF(L110&lt;=1.5,IF(OR(Z110+0.4&gt;=3,Z110+0.4&lt;1.5),0,L110*G110*0.4),0),IF(IF(L110&lt;=1.5,IF(Y110&gt;=3,M110*G110*1.5,L110*G110*(Y110-1.5)),0)&lt;0,0,IF(L110&lt;=1.5,IF(Y110&gt;=3,M110*G110*1.5,L110*G110*(Y110-1.5)),0))+IF(S110&lt;I110+0.4,0,IF(AND(Y110&lt;=3,L110&lt;=1.5),-V110,0))))</f>
        <v>0</v>
      </c>
      <c r="AE110" s="109">
        <f t="shared" ref="AE110:AE141" si="477">IF(Y110=0,0,IF(Y110=0.4,IF(L110&lt;=1.5,IF(OR(Z110+0.4&gt;=4.5,Z110+0.4&lt;3),0,L110*G110*0.4),0),IF(IF(L110&lt;=1.5,IF(Y110&gt;=4.5,M110*G110*1.5,L110*G110*(Y110-3)),0)&lt;0,0,IF(L110&lt;=1.5,IF(Y110&gt;=4.5,M110*G110*1.5,L110*G110*(Y110-3)),0))+IF(S110&lt;I110+0.4,0,IF(AND(Y110&lt;=4.5,L110&lt;=1.5),-V110,0))))</f>
        <v>0</v>
      </c>
      <c r="AF110" s="109">
        <f t="shared" ref="AF110:AF141" si="478">IF(L110&lt;=1.5,IF(Z110&gt;=1.5,M110*G110*1.5,L110*G110*Z110),0)+IF(S110&lt;I110,0,IF(AND(Z110&lt;=1.5,L110&lt;=1.5),-V110,0))-V110</f>
        <v>10.14</v>
      </c>
      <c r="AG110" s="109">
        <f t="shared" ref="AG110:AG141" si="479">IF(IF(L110&lt;=1.5,IF(Z110&gt;=3,M110*G110*1.5,L110*G110*(Z110-1.5)),0)&lt;0,0,IF(L110&lt;=1.5,IF(Z110&gt;=3,M110*G110*1.5,L110*G110*(Z110-1.5)),0))</f>
        <v>0.64084800000000142</v>
      </c>
      <c r="AH110" s="109">
        <f t="shared" ref="AH110:AH141" si="480">IF(IF(L110&lt;=1.5,IF(Z110&gt;=4.5,M110*G110*1.5,L110*G110*(Z110-3)),0)&lt;0,0,IF(L110&lt;=1.5,IF(Z110&gt;=4.5,M110*G110*1.5,L110*G110*(Z110-3)),0))+IF(S110&lt;I110,0,IF(AND(Z110&lt;=4.5,Z110&gt;3,L110&lt;=1.5),-V110,0))</f>
        <v>0</v>
      </c>
      <c r="AI110" s="537" t="str">
        <f t="shared" ref="AI110:AI141" si="481">IF(I110&gt;S110,"SIM","NÃO")</f>
        <v>NÃO</v>
      </c>
      <c r="AJ110" s="104">
        <f t="shared" ref="AJ110:AJ141" si="482">W110-SUM(AC110:AH110)</f>
        <v>0</v>
      </c>
      <c r="AK110" s="104">
        <f t="shared" ref="AK110:AK141" si="483">IF(I110-T110&lt;0,0,(I110-T110)*G110)/75</f>
        <v>0</v>
      </c>
      <c r="AL110" s="104">
        <f t="shared" ref="AL110:AL141" si="484">IF(L110=0,0,G110*L110*I110-PI()*(H110/1000)*(H110/1000)/4*G110+AO110)</f>
        <v>9.9313613464693198</v>
      </c>
      <c r="AM110" s="102">
        <f t="shared" ref="AM110:AM141" si="485">IF(L110&lt;1.5,L110*G110*IF(H110&lt;=500,0.05,IF(H110&lt;=800,0.1,IF(H110&lt;=1200,0.15,IF(H110&gt;=1500,0.2)))),0)</f>
        <v>0.33800000000000002</v>
      </c>
      <c r="AN110" s="106">
        <f t="shared" ref="AN110:AN141" si="486">IF(L110&gt;=1.5,L110*G110*IF(H110&lt;=500,0.05,IF(H110&lt;=800,0.1,IF(H110&lt;=1200,0.15,IF(H110&gt;=1500,0.2)))),0)</f>
        <v>0</v>
      </c>
      <c r="AO110" s="104">
        <f t="shared" ref="AO110:AO141" si="487">IF(R110=1,0.4*G110*L110,0)</f>
        <v>0</v>
      </c>
      <c r="AP110" s="104">
        <f t="shared" ref="AP110:AP141" si="488">IF(AO110&lt;SUM(AF110:AH110),0,AO110)</f>
        <v>0</v>
      </c>
      <c r="AQ110" s="104">
        <f t="shared" ref="AQ110:AQ141" si="489">H110/1000+0.3</f>
        <v>0.7</v>
      </c>
      <c r="AR110" s="104">
        <f t="shared" ref="AR110:AR141" si="490">IF(D110&lt;&gt;"PROJETADA",0,AQ110*L110*G110-PI()*(H110/1000*H110/1000)/4*G110)</f>
        <v>3.8825133464693193</v>
      </c>
      <c r="AS110" s="104">
        <f t="shared" ref="AS110:AS141" si="491">IF(AR110&lt;SUM(AF110:AH110),0,AR110)</f>
        <v>0</v>
      </c>
      <c r="AT110" s="104">
        <f t="shared" ref="AT110:AT141" si="492">IF(P110="ASFALTO",0.15*G110*L110,0)</f>
        <v>1.014</v>
      </c>
      <c r="AU110" s="104">
        <f t="shared" ref="AU110:AU141" si="493">AT110</f>
        <v>1.014</v>
      </c>
      <c r="AV110" s="104">
        <f t="shared" ref="AV110:AV141" si="494">IF(P110="ASFALTO",0.03*G110*L110,0)</f>
        <v>0.20279999999999998</v>
      </c>
      <c r="AW110" s="104">
        <f t="shared" ref="AW110:AW141" si="495">AL110-AO110-SUM(AM110:AN110)-AT110-AU110-AR110</f>
        <v>3.6828480000000017</v>
      </c>
      <c r="AX110" s="104">
        <f t="shared" ref="AX110:AX141" si="496">SUM(AF110:AH110)-AO110-AT110-AR110</f>
        <v>5.8843346535306837</v>
      </c>
      <c r="AY110" s="104">
        <f t="shared" ref="AY110:AY141" si="497">SMALL(AW110:AX110,1)</f>
        <v>3.6828480000000017</v>
      </c>
      <c r="AZ110" s="104">
        <f t="shared" ref="AZ110:AZ141" si="498">AW110-AY110</f>
        <v>0</v>
      </c>
      <c r="BA110" s="104">
        <f t="shared" si="413"/>
        <v>0</v>
      </c>
      <c r="BB110" s="104">
        <f t="shared" ref="BB110:BB141" si="499">AZ110-BA110</f>
        <v>0</v>
      </c>
      <c r="BC110" s="104"/>
      <c r="BD110" s="104">
        <f t="shared" ref="BD110:BD141" si="500">IF(AO110&gt;0,4%*(AO110+AT110),0)</f>
        <v>0</v>
      </c>
      <c r="BE110" s="108">
        <f t="shared" ref="BE110:BE141" si="501">IF(H110=400,I110,0)</f>
        <v>1.5948000000000002</v>
      </c>
      <c r="BF110" s="110">
        <f t="shared" ref="BF110:BF141" si="502">IF(BE110&lt;=1.75,AND(BE110&gt;0)*G110,0)</f>
        <v>6.76</v>
      </c>
      <c r="BG110" s="110">
        <f t="shared" ref="BG110:BG141" si="503">IF(BE110&lt;=3,AND(BE110&gt;1.75)*G110,0)</f>
        <v>0</v>
      </c>
      <c r="BH110" s="105" t="str">
        <f>VLOOKUP(A110,'BOCA DE LOBO'!$C$99:$P$172,7,0)</f>
        <v>BOCA DE LOBO PROJETADA DUPLA</v>
      </c>
      <c r="BI110" s="104">
        <f t="shared" ref="BI110:BI141" si="504">IF(BH110=$BI$107,1,0)</f>
        <v>0</v>
      </c>
      <c r="BJ110" s="104">
        <f t="shared" ref="BJ110:BJ141" si="505">IF(BH110=$BJ$107,1,0)</f>
        <v>0</v>
      </c>
      <c r="BK110" s="104">
        <f t="shared" ref="BK110:BK141" si="506">IF(BH110=$BK$107,1,0)</f>
        <v>0</v>
      </c>
      <c r="BL110" s="104">
        <f t="shared" ref="BL110:BL141" si="507">IF(BH110=$BL$107,1,0)</f>
        <v>0</v>
      </c>
      <c r="BM110" s="104">
        <f t="shared" ref="BM110:BM141" si="508">IF(BH110=$BM$107,1,0)</f>
        <v>0</v>
      </c>
      <c r="BN110" s="104">
        <f t="shared" ref="BN110:BN141" si="509">IF(BH110=$BN$107,1,0)</f>
        <v>1</v>
      </c>
      <c r="BO110" s="543">
        <f t="shared" ref="BO110:BO141" si="510">IF(BH110=$BO$107,1,0)</f>
        <v>0</v>
      </c>
      <c r="BP110" s="111"/>
      <c r="BQ110" s="108">
        <f t="shared" ref="BQ110:BQ141" si="511">IF(L110&lt;=1.5,IF(I110+IF(R110=1,0.5,0)&lt;1.5,(I110+IF(R110=1,0.5,0))*G110*2,G110*2*1.5),0)</f>
        <v>20.28</v>
      </c>
      <c r="BR110" s="108">
        <f t="shared" ref="BR110:BR141" si="512">IF(L110&lt;=1.5,IF(AND(I110+IF(R110=1,0.5,0)&lt;3,I110+IF(R110=1,0.5,0)&gt;1.5),(I110+IF(R110=1,0.5,0)-1.5)*G110*2,IF(I110+IF(R110=1,0.5,0)&gt;=3,(G110*2*1.5),0)),0)</f>
        <v>1.2816960000000028</v>
      </c>
      <c r="BS110" s="108">
        <f t="shared" ref="BS110:BS141" si="513">IF(L110&lt;=1.5,IF(AND(I110+IF(R110=1,0.5,0)&lt;4.5,I110+IF(R110=1,0.5,0)&gt;3),(I110+IF(R110=1,0.5,0)-3)*G110*2,IF(I110+IF(R110=1,0.5,0)&gt;=4.5,(G110*2*1.5),0)),0)</f>
        <v>0</v>
      </c>
      <c r="BT110" s="112"/>
      <c r="BU110" s="112" t="s">
        <v>1410</v>
      </c>
      <c r="BV110" s="538">
        <f t="shared" si="429"/>
        <v>10.347744959999998</v>
      </c>
      <c r="BW110" s="538">
        <f t="shared" si="430"/>
        <v>7.7825999999999986</v>
      </c>
      <c r="BX110" s="538">
        <f t="shared" si="431"/>
        <v>3.0325999999999995</v>
      </c>
      <c r="BY110" s="538">
        <f t="shared" ref="BY110:BY141" si="514">E110</f>
        <v>1.3296000000000001</v>
      </c>
      <c r="BZ110" s="538">
        <f t="shared" ref="BZ110:BZ141" si="515">IF(Y110&gt;0.5,0,IF(S110&lt;E110,S110,E110))</f>
        <v>1.3296000000000001</v>
      </c>
      <c r="CA110" s="538">
        <f t="shared" ref="CA110:CA141" si="516">IF(Y110&gt;0.5,BY110+0.5,Y110)</f>
        <v>0</v>
      </c>
      <c r="CB110" s="538">
        <f t="shared" ref="CB110:CB141" si="517">IF(S110&gt;E110,0,E110-S110)</f>
        <v>0</v>
      </c>
      <c r="CC110" s="538">
        <f t="shared" ref="CC110:CC141" si="518">IF(BZ110&gt;1.5,BW110*1.5,BW110*BZ110)</f>
        <v>10.347744959999998</v>
      </c>
      <c r="CD110" s="538">
        <f t="shared" ref="CD110:CD141" si="519">IF(BZ110&gt;1.5,BW110*(BZ110-1.5),0)</f>
        <v>0</v>
      </c>
      <c r="CE110" s="538">
        <f t="shared" ref="CE110:CE141" si="520">IF(CA110&gt;1.5,BW110*1.5,BW110*CA110)</f>
        <v>0</v>
      </c>
      <c r="CF110" s="538">
        <f t="shared" ref="CF110:CF141" si="521">IF(CA110&gt;1.5,BW110*(CA110-1.5),0)</f>
        <v>0</v>
      </c>
      <c r="CG110" s="538">
        <f t="shared" ref="CG110:CG141" si="522">BV110-SUM(CC110:CF110)</f>
        <v>0</v>
      </c>
      <c r="CH110" s="538">
        <f t="shared" ref="CH110:CH141" si="523">SUM(CC110:CG110)-BV110</f>
        <v>0</v>
      </c>
      <c r="CI110" s="104">
        <f t="shared" si="442"/>
        <v>0.53549999999999998</v>
      </c>
      <c r="CJ110" s="538">
        <f t="shared" ref="CJ110:CJ141" si="524">(BW110-BX110)*(BY110+IF(CA110&gt;=0.4,0.4,0))-CI110</f>
        <v>5.7800999999999991</v>
      </c>
      <c r="CK110" s="538">
        <f t="shared" si="444"/>
        <v>5.7800999999999991</v>
      </c>
      <c r="CL110" s="538">
        <f t="shared" ref="CL110:CL141" si="525">CJ110-CK110</f>
        <v>0</v>
      </c>
      <c r="CM110" s="538">
        <f t="shared" ref="CM110:CM141" si="526">IF(CA110&gt;0,0.5*4%*BW110,0)</f>
        <v>0</v>
      </c>
      <c r="CN110" s="538">
        <f t="shared" si="447"/>
        <v>3.57</v>
      </c>
      <c r="CO110" s="538">
        <f t="shared" ref="CO110:CO141" si="527">IF(CA110&gt;0,BY110+0.5,BY110)</f>
        <v>1.3296000000000001</v>
      </c>
      <c r="CP110" s="538">
        <f t="shared" ref="CP110:CP141" si="528">IF(CO110&gt;=1.5,CN110*1.5*2,CN110*CO110*2)</f>
        <v>9.4933440000000004</v>
      </c>
      <c r="CQ110" s="538">
        <f t="shared" ref="CQ110:CQ141" si="529">IF(CO110&lt;=1.5,0,IF(CO110&gt;=3,CN110*1.5*2,CN110*(CO110-1.5)*2))</f>
        <v>0</v>
      </c>
      <c r="CR110" s="539">
        <f t="shared" si="451"/>
        <v>0</v>
      </c>
      <c r="CS110" s="540">
        <f t="shared" si="452"/>
        <v>0</v>
      </c>
      <c r="CT110" s="540">
        <f t="shared" si="453"/>
        <v>0.33012999999999998</v>
      </c>
      <c r="CU110" s="541">
        <f t="shared" si="454"/>
        <v>6.913920000000001</v>
      </c>
      <c r="CV110" s="538">
        <f t="shared" si="455"/>
        <v>1.0808076</v>
      </c>
      <c r="CW110" s="538">
        <f t="shared" si="456"/>
        <v>14.259528000000001</v>
      </c>
      <c r="CX110" s="104">
        <f t="shared" si="457"/>
        <v>3.57</v>
      </c>
      <c r="CY110" s="542">
        <f t="shared" si="458"/>
        <v>1.7849999999999999</v>
      </c>
      <c r="CZ110" s="538">
        <f t="shared" si="459"/>
        <v>0</v>
      </c>
    </row>
    <row r="111" spans="1:104" ht="25" x14ac:dyDescent="0.25">
      <c r="A111" s="100" t="str">
        <f>'BOCA DE LOBO'!C101</f>
        <v>BL3-&gt;PV4.1</v>
      </c>
      <c r="B111" s="100" t="str">
        <f>'BOCA DE LOBO'!A101</f>
        <v>PV4.1</v>
      </c>
      <c r="C111" s="100" t="str">
        <f>VLOOKUP(A111,'BOCA DE LOBO'!C:F,3,0)</f>
        <v>PROJETADO</v>
      </c>
      <c r="D111" s="100" t="str">
        <f>VLOOKUP(A111,'BOCA DE LOBO'!C:M,10,0)</f>
        <v>PROJETADA</v>
      </c>
      <c r="E111" s="100">
        <f t="shared" si="460"/>
        <v>1.474</v>
      </c>
      <c r="F111" s="100">
        <f>VLOOKUP(A111,'BOCA DE LOBO'!$C$97:$P$172,2,0)</f>
        <v>1.82</v>
      </c>
      <c r="G111" s="100">
        <f>VLOOKUP(A111,'BOCA DE LOBO'!$C$97:$L$172,4,0)</f>
        <v>8.65</v>
      </c>
      <c r="H111" s="101">
        <v>400</v>
      </c>
      <c r="I111" s="102">
        <f t="shared" si="461"/>
        <v>1.7770000000000001</v>
      </c>
      <c r="J111" s="102">
        <f t="shared" si="462"/>
        <v>0.76855250000000008</v>
      </c>
      <c r="K111" s="103">
        <v>0</v>
      </c>
      <c r="L111" s="104">
        <f t="shared" si="463"/>
        <v>1</v>
      </c>
      <c r="M111" s="104">
        <f t="shared" si="464"/>
        <v>1</v>
      </c>
      <c r="N111" s="104">
        <f t="shared" si="465"/>
        <v>0</v>
      </c>
      <c r="O111" s="104">
        <f t="shared" si="466"/>
        <v>8.65</v>
      </c>
      <c r="P111" s="105" t="str">
        <f>VLOOKUP(B111,'Planilha Hidráulica'!$AE$49:$AQ$94,13,0)</f>
        <v>ASFALTO</v>
      </c>
      <c r="Q111" s="452" t="s">
        <v>2052</v>
      </c>
      <c r="R111" s="105"/>
      <c r="S111" s="105">
        <f>VLOOKUP(Q111,Quantitativos!$P$43:$R$88,3,0)</f>
        <v>5</v>
      </c>
      <c r="T111" s="105">
        <f>VLOOKUP(Q111,Quantitativos!$P$43:$S$88,4,0)</f>
        <v>5</v>
      </c>
      <c r="U111" s="104">
        <f t="shared" si="467"/>
        <v>0.05</v>
      </c>
      <c r="V111" s="106">
        <f t="shared" si="468"/>
        <v>0</v>
      </c>
      <c r="W111" s="106">
        <f t="shared" si="469"/>
        <v>15.371050000000002</v>
      </c>
      <c r="X111" s="107">
        <f t="shared" si="470"/>
        <v>0</v>
      </c>
      <c r="Y111" s="107">
        <f t="shared" si="471"/>
        <v>0</v>
      </c>
      <c r="Z111" s="107">
        <f t="shared" si="472"/>
        <v>1.7770000000000001</v>
      </c>
      <c r="AA111" s="107">
        <f t="shared" si="473"/>
        <v>0</v>
      </c>
      <c r="AB111" s="108">
        <f t="shared" si="474"/>
        <v>8.65</v>
      </c>
      <c r="AC111" s="109">
        <f t="shared" si="475"/>
        <v>0</v>
      </c>
      <c r="AD111" s="109">
        <f t="shared" si="476"/>
        <v>0</v>
      </c>
      <c r="AE111" s="109">
        <f t="shared" si="477"/>
        <v>0</v>
      </c>
      <c r="AF111" s="109">
        <f t="shared" si="478"/>
        <v>12.975000000000001</v>
      </c>
      <c r="AG111" s="109">
        <f t="shared" si="479"/>
        <v>2.3960500000000011</v>
      </c>
      <c r="AH111" s="109">
        <f t="shared" si="480"/>
        <v>0</v>
      </c>
      <c r="AI111" s="537" t="str">
        <f t="shared" si="481"/>
        <v>NÃO</v>
      </c>
      <c r="AJ111" s="104">
        <f t="shared" si="482"/>
        <v>0</v>
      </c>
      <c r="AK111" s="104">
        <f t="shared" si="483"/>
        <v>0</v>
      </c>
      <c r="AL111" s="104">
        <f t="shared" si="484"/>
        <v>14.284058941857934</v>
      </c>
      <c r="AM111" s="102">
        <f t="shared" si="485"/>
        <v>0.43250000000000005</v>
      </c>
      <c r="AN111" s="106">
        <f t="shared" si="486"/>
        <v>0</v>
      </c>
      <c r="AO111" s="104">
        <f t="shared" si="487"/>
        <v>0</v>
      </c>
      <c r="AP111" s="104">
        <f t="shared" si="488"/>
        <v>0</v>
      </c>
      <c r="AQ111" s="104">
        <f t="shared" si="489"/>
        <v>0.7</v>
      </c>
      <c r="AR111" s="104">
        <f t="shared" si="490"/>
        <v>4.9680089418579314</v>
      </c>
      <c r="AS111" s="104">
        <f t="shared" si="491"/>
        <v>0</v>
      </c>
      <c r="AT111" s="104">
        <f t="shared" si="492"/>
        <v>1.2975000000000001</v>
      </c>
      <c r="AU111" s="104">
        <f t="shared" si="493"/>
        <v>1.2975000000000001</v>
      </c>
      <c r="AV111" s="104">
        <f t="shared" si="494"/>
        <v>0.25950000000000001</v>
      </c>
      <c r="AW111" s="104">
        <f t="shared" si="495"/>
        <v>6.2885500000000043</v>
      </c>
      <c r="AX111" s="104">
        <f t="shared" si="496"/>
        <v>9.1055410581420713</v>
      </c>
      <c r="AY111" s="104">
        <f t="shared" si="497"/>
        <v>6.2885500000000043</v>
      </c>
      <c r="AZ111" s="104">
        <f t="shared" si="498"/>
        <v>0</v>
      </c>
      <c r="BA111" s="104">
        <f t="shared" si="413"/>
        <v>0</v>
      </c>
      <c r="BB111" s="104">
        <f t="shared" si="499"/>
        <v>0</v>
      </c>
      <c r="BC111" s="104"/>
      <c r="BD111" s="104">
        <f t="shared" si="500"/>
        <v>0</v>
      </c>
      <c r="BE111" s="108">
        <f t="shared" si="501"/>
        <v>1.7770000000000001</v>
      </c>
      <c r="BF111" s="110">
        <f t="shared" si="502"/>
        <v>0</v>
      </c>
      <c r="BG111" s="110">
        <f t="shared" si="503"/>
        <v>8.65</v>
      </c>
      <c r="BH111" s="105" t="str">
        <f>VLOOKUP(A111,'BOCA DE LOBO'!$C$99:$P$172,7,0)</f>
        <v>BOCA DE LOBO PROJETADA TRIPLA</v>
      </c>
      <c r="BI111" s="104">
        <f t="shared" si="504"/>
        <v>0</v>
      </c>
      <c r="BJ111" s="104">
        <f t="shared" si="505"/>
        <v>0</v>
      </c>
      <c r="BK111" s="104">
        <f t="shared" si="506"/>
        <v>0</v>
      </c>
      <c r="BL111" s="104">
        <f t="shared" si="507"/>
        <v>0</v>
      </c>
      <c r="BM111" s="104">
        <f t="shared" si="508"/>
        <v>0</v>
      </c>
      <c r="BN111" s="104">
        <f t="shared" si="509"/>
        <v>0</v>
      </c>
      <c r="BO111" s="543">
        <f t="shared" si="510"/>
        <v>1</v>
      </c>
      <c r="BP111" s="111"/>
      <c r="BQ111" s="108">
        <f t="shared" si="511"/>
        <v>25.950000000000003</v>
      </c>
      <c r="BR111" s="108">
        <f t="shared" si="512"/>
        <v>4.7921000000000022</v>
      </c>
      <c r="BS111" s="108">
        <f t="shared" si="513"/>
        <v>0</v>
      </c>
      <c r="BT111" s="112"/>
      <c r="BU111" s="112" t="s">
        <v>1410</v>
      </c>
      <c r="BV111" s="538">
        <f t="shared" si="429"/>
        <v>15.295403199999996</v>
      </c>
      <c r="BW111" s="538">
        <f t="shared" si="430"/>
        <v>10.376799999999998</v>
      </c>
      <c r="BX111" s="538">
        <f t="shared" si="431"/>
        <v>4.4367999999999999</v>
      </c>
      <c r="BY111" s="538">
        <f t="shared" si="514"/>
        <v>1.474</v>
      </c>
      <c r="BZ111" s="538">
        <f t="shared" si="515"/>
        <v>1.474</v>
      </c>
      <c r="CA111" s="538">
        <f t="shared" si="516"/>
        <v>0</v>
      </c>
      <c r="CB111" s="538">
        <f t="shared" si="517"/>
        <v>0</v>
      </c>
      <c r="CC111" s="538">
        <f t="shared" si="518"/>
        <v>15.295403199999996</v>
      </c>
      <c r="CD111" s="538">
        <f t="shared" si="519"/>
        <v>0</v>
      </c>
      <c r="CE111" s="538">
        <f t="shared" si="520"/>
        <v>0</v>
      </c>
      <c r="CF111" s="538">
        <f t="shared" si="521"/>
        <v>0</v>
      </c>
      <c r="CG111" s="538">
        <f t="shared" si="522"/>
        <v>0</v>
      </c>
      <c r="CH111" s="538">
        <f t="shared" si="523"/>
        <v>0</v>
      </c>
      <c r="CI111" s="104">
        <f t="shared" si="442"/>
        <v>0.71399999999999997</v>
      </c>
      <c r="CJ111" s="538">
        <f t="shared" si="524"/>
        <v>8.0415599999999969</v>
      </c>
      <c r="CK111" s="538">
        <f t="shared" si="444"/>
        <v>8.0415599999999969</v>
      </c>
      <c r="CL111" s="538">
        <f t="shared" si="525"/>
        <v>0</v>
      </c>
      <c r="CM111" s="538">
        <f t="shared" si="526"/>
        <v>0</v>
      </c>
      <c r="CN111" s="538">
        <f t="shared" si="447"/>
        <v>4.76</v>
      </c>
      <c r="CO111" s="538">
        <f t="shared" si="527"/>
        <v>1.474</v>
      </c>
      <c r="CP111" s="538">
        <f t="shared" si="528"/>
        <v>14.03248</v>
      </c>
      <c r="CQ111" s="538">
        <f t="shared" si="529"/>
        <v>0</v>
      </c>
      <c r="CR111" s="539">
        <f t="shared" si="451"/>
        <v>0</v>
      </c>
      <c r="CS111" s="540">
        <f t="shared" si="452"/>
        <v>0</v>
      </c>
      <c r="CT111" s="540">
        <f t="shared" si="453"/>
        <v>0.45984000000000003</v>
      </c>
      <c r="CU111" s="541">
        <f t="shared" si="454"/>
        <v>10.6128</v>
      </c>
      <c r="CV111" s="538">
        <f t="shared" si="455"/>
        <v>1.5451649999999999</v>
      </c>
      <c r="CW111" s="538">
        <f t="shared" si="456"/>
        <v>19.772199999999998</v>
      </c>
      <c r="CX111" s="104">
        <f t="shared" si="457"/>
        <v>4.76</v>
      </c>
      <c r="CY111" s="542">
        <f t="shared" si="458"/>
        <v>2.38</v>
      </c>
      <c r="CZ111" s="538">
        <f t="shared" si="459"/>
        <v>0</v>
      </c>
    </row>
    <row r="112" spans="1:104" ht="25" x14ac:dyDescent="0.25">
      <c r="A112" s="100" t="str">
        <f>'BOCA DE LOBO'!C102</f>
        <v>BL4-&gt;PV5.1</v>
      </c>
      <c r="B112" s="100" t="str">
        <f>'BOCA DE LOBO'!A102</f>
        <v>PV5.1</v>
      </c>
      <c r="C112" s="100" t="str">
        <f>VLOOKUP(A112,'BOCA DE LOBO'!C:F,3,0)</f>
        <v>PROJETADO</v>
      </c>
      <c r="D112" s="100" t="str">
        <f>VLOOKUP(A112,'BOCA DE LOBO'!C:M,10,0)</f>
        <v>PROJETADA</v>
      </c>
      <c r="E112" s="100">
        <f t="shared" si="460"/>
        <v>1.7143999999999999</v>
      </c>
      <c r="F112" s="100">
        <f>VLOOKUP(A112,'BOCA DE LOBO'!$C$97:$P$172,2,0)</f>
        <v>2.0539999999999998</v>
      </c>
      <c r="G112" s="100">
        <f>VLOOKUP(A112,'BOCA DE LOBO'!$C$97:$L$172,4,0)</f>
        <v>8.49</v>
      </c>
      <c r="H112" s="101">
        <v>400</v>
      </c>
      <c r="I112" s="102">
        <f t="shared" si="461"/>
        <v>2.0141999999999998</v>
      </c>
      <c r="J112" s="102">
        <f t="shared" si="462"/>
        <v>0.85502789999999995</v>
      </c>
      <c r="K112" s="103">
        <v>0</v>
      </c>
      <c r="L112" s="104">
        <f t="shared" si="463"/>
        <v>1</v>
      </c>
      <c r="M112" s="104">
        <f t="shared" si="464"/>
        <v>1</v>
      </c>
      <c r="N112" s="104">
        <f t="shared" si="465"/>
        <v>0</v>
      </c>
      <c r="O112" s="104">
        <f t="shared" si="466"/>
        <v>8.49</v>
      </c>
      <c r="P112" s="105" t="str">
        <f>VLOOKUP(B112,'Planilha Hidráulica'!$AE$49:$AQ$94,13,0)</f>
        <v>ASFALTO</v>
      </c>
      <c r="Q112" s="452" t="s">
        <v>2052</v>
      </c>
      <c r="R112" s="105"/>
      <c r="S112" s="105">
        <f>VLOOKUP(Q112,Quantitativos!$P$43:$R$88,3,0)</f>
        <v>5</v>
      </c>
      <c r="T112" s="105">
        <f>VLOOKUP(Q112,Quantitativos!$P$43:$S$88,4,0)</f>
        <v>5</v>
      </c>
      <c r="U112" s="104">
        <f t="shared" si="467"/>
        <v>0.05</v>
      </c>
      <c r="V112" s="106">
        <f t="shared" si="468"/>
        <v>0</v>
      </c>
      <c r="W112" s="106">
        <f t="shared" si="469"/>
        <v>17.100557999999999</v>
      </c>
      <c r="X112" s="107">
        <f t="shared" si="470"/>
        <v>0</v>
      </c>
      <c r="Y112" s="107">
        <f t="shared" si="471"/>
        <v>0</v>
      </c>
      <c r="Z112" s="107">
        <f t="shared" si="472"/>
        <v>2.0141999999999998</v>
      </c>
      <c r="AA112" s="107">
        <f t="shared" si="473"/>
        <v>0</v>
      </c>
      <c r="AB112" s="108">
        <f t="shared" si="474"/>
        <v>8.49</v>
      </c>
      <c r="AC112" s="109">
        <f t="shared" si="475"/>
        <v>0</v>
      </c>
      <c r="AD112" s="109">
        <f t="shared" si="476"/>
        <v>0</v>
      </c>
      <c r="AE112" s="109">
        <f t="shared" si="477"/>
        <v>0</v>
      </c>
      <c r="AF112" s="109">
        <f t="shared" si="478"/>
        <v>12.734999999999999</v>
      </c>
      <c r="AG112" s="109">
        <f t="shared" si="479"/>
        <v>4.3655579999999983</v>
      </c>
      <c r="AH112" s="109">
        <f t="shared" si="480"/>
        <v>0</v>
      </c>
      <c r="AI112" s="537" t="str">
        <f t="shared" si="481"/>
        <v>NÃO</v>
      </c>
      <c r="AJ112" s="104">
        <f t="shared" si="482"/>
        <v>0</v>
      </c>
      <c r="AK112" s="104">
        <f t="shared" si="483"/>
        <v>0</v>
      </c>
      <c r="AL112" s="104">
        <f t="shared" si="484"/>
        <v>16.033673134840907</v>
      </c>
      <c r="AM112" s="102">
        <f t="shared" si="485"/>
        <v>0.42450000000000004</v>
      </c>
      <c r="AN112" s="106">
        <f t="shared" si="486"/>
        <v>0</v>
      </c>
      <c r="AO112" s="104">
        <f t="shared" si="487"/>
        <v>0</v>
      </c>
      <c r="AP112" s="104">
        <f t="shared" si="488"/>
        <v>0</v>
      </c>
      <c r="AQ112" s="104">
        <f t="shared" si="489"/>
        <v>0.7</v>
      </c>
      <c r="AR112" s="104">
        <f t="shared" si="490"/>
        <v>4.876115134840906</v>
      </c>
      <c r="AS112" s="104">
        <f t="shared" si="491"/>
        <v>0</v>
      </c>
      <c r="AT112" s="104">
        <f t="shared" si="492"/>
        <v>1.2735000000000001</v>
      </c>
      <c r="AU112" s="104">
        <f t="shared" si="493"/>
        <v>1.2735000000000001</v>
      </c>
      <c r="AV112" s="104">
        <f t="shared" si="494"/>
        <v>0.25469999999999998</v>
      </c>
      <c r="AW112" s="104">
        <f t="shared" si="495"/>
        <v>8.1860579999999992</v>
      </c>
      <c r="AX112" s="104">
        <f t="shared" si="496"/>
        <v>10.950942865159092</v>
      </c>
      <c r="AY112" s="104">
        <f t="shared" si="497"/>
        <v>8.1860579999999992</v>
      </c>
      <c r="AZ112" s="104">
        <f t="shared" si="498"/>
        <v>0</v>
      </c>
      <c r="BA112" s="104">
        <f t="shared" si="413"/>
        <v>0</v>
      </c>
      <c r="BB112" s="104">
        <f t="shared" si="499"/>
        <v>0</v>
      </c>
      <c r="BC112" s="104"/>
      <c r="BD112" s="104">
        <f t="shared" si="500"/>
        <v>0</v>
      </c>
      <c r="BE112" s="108">
        <f t="shared" si="501"/>
        <v>2.0141999999999998</v>
      </c>
      <c r="BF112" s="110">
        <f t="shared" si="502"/>
        <v>0</v>
      </c>
      <c r="BG112" s="110">
        <f t="shared" si="503"/>
        <v>8.49</v>
      </c>
      <c r="BH112" s="105" t="str">
        <f>VLOOKUP(A112,'BOCA DE LOBO'!$C$99:$P$172,7,0)</f>
        <v>BOCA DE LOBO PROJETADA TRIPLA</v>
      </c>
      <c r="BI112" s="104">
        <f t="shared" si="504"/>
        <v>0</v>
      </c>
      <c r="BJ112" s="104">
        <f t="shared" si="505"/>
        <v>0</v>
      </c>
      <c r="BK112" s="104">
        <f t="shared" si="506"/>
        <v>0</v>
      </c>
      <c r="BL112" s="104">
        <f t="shared" si="507"/>
        <v>0</v>
      </c>
      <c r="BM112" s="104">
        <f t="shared" si="508"/>
        <v>0</v>
      </c>
      <c r="BN112" s="104">
        <f t="shared" si="509"/>
        <v>0</v>
      </c>
      <c r="BO112" s="543">
        <f t="shared" si="510"/>
        <v>1</v>
      </c>
      <c r="BP112" s="111"/>
      <c r="BQ112" s="108">
        <f t="shared" si="511"/>
        <v>25.47</v>
      </c>
      <c r="BR112" s="108">
        <f t="shared" si="512"/>
        <v>8.7311159999999965</v>
      </c>
      <c r="BS112" s="108">
        <f t="shared" si="513"/>
        <v>0</v>
      </c>
      <c r="BT112" s="112"/>
      <c r="BU112" s="112" t="s">
        <v>1410</v>
      </c>
      <c r="BV112" s="538">
        <f t="shared" si="429"/>
        <v>17.789985919999996</v>
      </c>
      <c r="BW112" s="538">
        <f t="shared" si="430"/>
        <v>10.376799999999998</v>
      </c>
      <c r="BX112" s="538">
        <f t="shared" si="431"/>
        <v>4.4367999999999999</v>
      </c>
      <c r="BY112" s="538">
        <f t="shared" si="514"/>
        <v>1.7143999999999999</v>
      </c>
      <c r="BZ112" s="538">
        <f t="shared" si="515"/>
        <v>1.7143999999999999</v>
      </c>
      <c r="CA112" s="538">
        <f t="shared" si="516"/>
        <v>0</v>
      </c>
      <c r="CB112" s="538">
        <f t="shared" si="517"/>
        <v>0</v>
      </c>
      <c r="CC112" s="538">
        <f t="shared" si="518"/>
        <v>15.565199999999997</v>
      </c>
      <c r="CD112" s="538">
        <f t="shared" si="519"/>
        <v>2.2247859199999986</v>
      </c>
      <c r="CE112" s="538">
        <f t="shared" si="520"/>
        <v>0</v>
      </c>
      <c r="CF112" s="538">
        <f t="shared" si="521"/>
        <v>0</v>
      </c>
      <c r="CG112" s="538">
        <f t="shared" si="522"/>
        <v>0</v>
      </c>
      <c r="CH112" s="538">
        <f t="shared" si="523"/>
        <v>0</v>
      </c>
      <c r="CI112" s="104">
        <f t="shared" si="442"/>
        <v>0.71399999999999997</v>
      </c>
      <c r="CJ112" s="538">
        <f t="shared" si="524"/>
        <v>9.4695359999999944</v>
      </c>
      <c r="CK112" s="538">
        <f t="shared" si="444"/>
        <v>9.4695359999999944</v>
      </c>
      <c r="CL112" s="538">
        <f t="shared" si="525"/>
        <v>0</v>
      </c>
      <c r="CM112" s="538">
        <f t="shared" si="526"/>
        <v>0</v>
      </c>
      <c r="CN112" s="538">
        <f t="shared" si="447"/>
        <v>4.76</v>
      </c>
      <c r="CO112" s="538">
        <f t="shared" si="527"/>
        <v>1.7143999999999999</v>
      </c>
      <c r="CP112" s="538">
        <f t="shared" si="528"/>
        <v>14.28</v>
      </c>
      <c r="CQ112" s="538">
        <f t="shared" si="529"/>
        <v>2.0410879999999993</v>
      </c>
      <c r="CR112" s="539">
        <f t="shared" si="451"/>
        <v>0</v>
      </c>
      <c r="CS112" s="540">
        <f t="shared" si="452"/>
        <v>0</v>
      </c>
      <c r="CT112" s="540">
        <f t="shared" si="453"/>
        <v>0.45984000000000003</v>
      </c>
      <c r="CU112" s="541">
        <f t="shared" si="454"/>
        <v>12.343679999999999</v>
      </c>
      <c r="CV112" s="538">
        <f t="shared" si="455"/>
        <v>1.6371180000000001</v>
      </c>
      <c r="CW112" s="538">
        <f t="shared" si="456"/>
        <v>22.08004</v>
      </c>
      <c r="CX112" s="104">
        <f t="shared" si="457"/>
        <v>4.76</v>
      </c>
      <c r="CY112" s="542">
        <f t="shared" si="458"/>
        <v>2.38</v>
      </c>
      <c r="CZ112" s="538">
        <f t="shared" si="459"/>
        <v>0</v>
      </c>
    </row>
    <row r="113" spans="1:104" ht="37.5" x14ac:dyDescent="0.25">
      <c r="A113" s="100" t="str">
        <f>'BOCA DE LOBO'!C103</f>
        <v>BL5-&gt;PV7.1</v>
      </c>
      <c r="B113" s="100" t="str">
        <f>'BOCA DE LOBO'!A103</f>
        <v>PV7.1</v>
      </c>
      <c r="C113" s="100" t="str">
        <f>VLOOKUP(A113,'BOCA DE LOBO'!C:F,3,0)</f>
        <v>PROJETADO</v>
      </c>
      <c r="D113" s="100" t="str">
        <f>VLOOKUP(A113,'BOCA DE LOBO'!C:M,10,0)</f>
        <v>AMPLIADA</v>
      </c>
      <c r="E113" s="100">
        <f t="shared" si="460"/>
        <v>2.5</v>
      </c>
      <c r="F113" s="100">
        <f>VLOOKUP(A113,'BOCA DE LOBO'!$C$97:$P$172,2,0)</f>
        <v>3.657</v>
      </c>
      <c r="G113" s="100">
        <f>VLOOKUP(A113,'BOCA DE LOBO'!$C$97:$L$172,4,0)</f>
        <v>4.67</v>
      </c>
      <c r="H113" s="101">
        <v>400</v>
      </c>
      <c r="I113" s="102">
        <f t="shared" si="461"/>
        <v>3.2084999999999999</v>
      </c>
      <c r="J113" s="102">
        <f t="shared" si="462"/>
        <v>0.74918474999999995</v>
      </c>
      <c r="K113" s="103">
        <v>0</v>
      </c>
      <c r="L113" s="104">
        <f t="shared" si="463"/>
        <v>0</v>
      </c>
      <c r="M113" s="104">
        <f t="shared" si="464"/>
        <v>0</v>
      </c>
      <c r="N113" s="104">
        <f t="shared" si="465"/>
        <v>400</v>
      </c>
      <c r="O113" s="104">
        <f t="shared" si="466"/>
        <v>0</v>
      </c>
      <c r="P113" s="105" t="str">
        <f>VLOOKUP(B113,'Planilha Hidráulica'!$AE$49:$AQ$94,13,0)</f>
        <v>ASFALTO</v>
      </c>
      <c r="Q113" s="452" t="s">
        <v>2052</v>
      </c>
      <c r="R113" s="105"/>
      <c r="S113" s="105">
        <f>VLOOKUP(Q113,Quantitativos!$P$43:$R$88,3,0)</f>
        <v>5</v>
      </c>
      <c r="T113" s="105">
        <f>VLOOKUP(Q113,Quantitativos!$P$43:$S$88,4,0)</f>
        <v>5</v>
      </c>
      <c r="U113" s="104">
        <f t="shared" si="467"/>
        <v>0.05</v>
      </c>
      <c r="V113" s="106">
        <f t="shared" si="468"/>
        <v>0</v>
      </c>
      <c r="W113" s="106">
        <f t="shared" si="469"/>
        <v>0</v>
      </c>
      <c r="X113" s="107">
        <f t="shared" si="470"/>
        <v>0</v>
      </c>
      <c r="Y113" s="107">
        <f t="shared" si="471"/>
        <v>0</v>
      </c>
      <c r="Z113" s="107">
        <f t="shared" si="472"/>
        <v>3.2084999999999999</v>
      </c>
      <c r="AA113" s="107">
        <f t="shared" si="473"/>
        <v>0</v>
      </c>
      <c r="AB113" s="108">
        <f t="shared" si="474"/>
        <v>0</v>
      </c>
      <c r="AC113" s="109">
        <f t="shared" si="475"/>
        <v>0</v>
      </c>
      <c r="AD113" s="109">
        <f t="shared" si="476"/>
        <v>0</v>
      </c>
      <c r="AE113" s="109">
        <f t="shared" si="477"/>
        <v>0</v>
      </c>
      <c r="AF113" s="109">
        <f t="shared" si="478"/>
        <v>0</v>
      </c>
      <c r="AG113" s="109">
        <f t="shared" si="479"/>
        <v>0</v>
      </c>
      <c r="AH113" s="109">
        <f t="shared" si="480"/>
        <v>0</v>
      </c>
      <c r="AI113" s="537" t="str">
        <f t="shared" si="481"/>
        <v>NÃO</v>
      </c>
      <c r="AJ113" s="104">
        <f t="shared" si="482"/>
        <v>0</v>
      </c>
      <c r="AK113" s="104">
        <f t="shared" si="483"/>
        <v>0</v>
      </c>
      <c r="AL113" s="104">
        <f t="shared" si="484"/>
        <v>0</v>
      </c>
      <c r="AM113" s="102">
        <f t="shared" si="485"/>
        <v>0</v>
      </c>
      <c r="AN113" s="106">
        <f t="shared" si="486"/>
        <v>0</v>
      </c>
      <c r="AO113" s="104">
        <f t="shared" si="487"/>
        <v>0</v>
      </c>
      <c r="AP113" s="104">
        <f t="shared" si="488"/>
        <v>0</v>
      </c>
      <c r="AQ113" s="104">
        <f t="shared" si="489"/>
        <v>0.7</v>
      </c>
      <c r="AR113" s="104">
        <f t="shared" si="490"/>
        <v>0</v>
      </c>
      <c r="AS113" s="104">
        <f t="shared" si="491"/>
        <v>0</v>
      </c>
      <c r="AT113" s="104">
        <f t="shared" si="492"/>
        <v>0</v>
      </c>
      <c r="AU113" s="104">
        <f t="shared" si="493"/>
        <v>0</v>
      </c>
      <c r="AV113" s="104">
        <f t="shared" si="494"/>
        <v>0</v>
      </c>
      <c r="AW113" s="104">
        <f t="shared" si="495"/>
        <v>0</v>
      </c>
      <c r="AX113" s="104">
        <f t="shared" si="496"/>
        <v>0</v>
      </c>
      <c r="AY113" s="104">
        <f t="shared" si="497"/>
        <v>0</v>
      </c>
      <c r="AZ113" s="104">
        <f t="shared" si="498"/>
        <v>0</v>
      </c>
      <c r="BA113" s="104">
        <f t="shared" si="413"/>
        <v>0</v>
      </c>
      <c r="BB113" s="104">
        <f t="shared" si="499"/>
        <v>0</v>
      </c>
      <c r="BC113" s="104"/>
      <c r="BD113" s="104">
        <f t="shared" si="500"/>
        <v>0</v>
      </c>
      <c r="BE113" s="108">
        <f t="shared" si="501"/>
        <v>3.2084999999999999</v>
      </c>
      <c r="BF113" s="110">
        <f t="shared" si="502"/>
        <v>0</v>
      </c>
      <c r="BG113" s="110">
        <f t="shared" si="503"/>
        <v>0</v>
      </c>
      <c r="BH113" s="105" t="str">
        <f>VLOOKUP(A113,'BOCA DE LOBO'!$C$99:$P$172,7,0)</f>
        <v>BOCA DE LOBO SIMPLES EXISTENTE COM BOCA DE LOBO DUPLA PROJETADA</v>
      </c>
      <c r="BI113" s="104">
        <f t="shared" si="504"/>
        <v>1</v>
      </c>
      <c r="BJ113" s="104">
        <f t="shared" si="505"/>
        <v>0</v>
      </c>
      <c r="BK113" s="104">
        <f t="shared" si="506"/>
        <v>0</v>
      </c>
      <c r="BL113" s="104">
        <f t="shared" si="507"/>
        <v>0</v>
      </c>
      <c r="BM113" s="104">
        <f t="shared" si="508"/>
        <v>0</v>
      </c>
      <c r="BN113" s="104">
        <f t="shared" si="509"/>
        <v>0</v>
      </c>
      <c r="BO113" s="543">
        <f t="shared" si="510"/>
        <v>0</v>
      </c>
      <c r="BP113" s="111"/>
      <c r="BQ113" s="108">
        <f t="shared" si="511"/>
        <v>14.01</v>
      </c>
      <c r="BR113" s="108">
        <f t="shared" si="512"/>
        <v>14.01</v>
      </c>
      <c r="BS113" s="108">
        <f t="shared" si="513"/>
        <v>1.9473899999999991</v>
      </c>
      <c r="BT113" s="112"/>
      <c r="BU113" s="112" t="s">
        <v>1410</v>
      </c>
      <c r="BV113" s="538">
        <f t="shared" si="429"/>
        <v>15.695999999999996</v>
      </c>
      <c r="BW113" s="538">
        <f t="shared" si="430"/>
        <v>6.2783999999999986</v>
      </c>
      <c r="BX113" s="538">
        <f t="shared" si="431"/>
        <v>2.8083999999999998</v>
      </c>
      <c r="BY113" s="538">
        <f t="shared" si="514"/>
        <v>2.5</v>
      </c>
      <c r="BZ113" s="538">
        <f t="shared" si="515"/>
        <v>2.5</v>
      </c>
      <c r="CA113" s="538">
        <f t="shared" si="516"/>
        <v>0</v>
      </c>
      <c r="CB113" s="538">
        <f t="shared" si="517"/>
        <v>0</v>
      </c>
      <c r="CC113" s="538">
        <f t="shared" si="518"/>
        <v>9.4175999999999984</v>
      </c>
      <c r="CD113" s="538">
        <f t="shared" si="519"/>
        <v>6.2783999999999986</v>
      </c>
      <c r="CE113" s="538">
        <f t="shared" si="520"/>
        <v>0</v>
      </c>
      <c r="CF113" s="538">
        <f t="shared" si="521"/>
        <v>0</v>
      </c>
      <c r="CG113" s="538">
        <f t="shared" si="522"/>
        <v>0</v>
      </c>
      <c r="CH113" s="538">
        <f t="shared" si="523"/>
        <v>0</v>
      </c>
      <c r="CI113" s="104">
        <f t="shared" si="442"/>
        <v>0.432</v>
      </c>
      <c r="CJ113" s="538">
        <f t="shared" si="524"/>
        <v>8.2429999999999968</v>
      </c>
      <c r="CK113" s="538">
        <f t="shared" si="444"/>
        <v>8.2429999999999968</v>
      </c>
      <c r="CL113" s="538">
        <f t="shared" si="525"/>
        <v>0</v>
      </c>
      <c r="CM113" s="538">
        <f t="shared" si="526"/>
        <v>0</v>
      </c>
      <c r="CN113" s="538">
        <f t="shared" si="447"/>
        <v>2.88</v>
      </c>
      <c r="CO113" s="538">
        <f t="shared" si="527"/>
        <v>2.5</v>
      </c>
      <c r="CP113" s="538">
        <f t="shared" si="528"/>
        <v>8.64</v>
      </c>
      <c r="CQ113" s="538">
        <f t="shared" si="529"/>
        <v>5.76</v>
      </c>
      <c r="CR113" s="539">
        <f t="shared" si="451"/>
        <v>1.1000000000000001</v>
      </c>
      <c r="CS113" s="540">
        <f t="shared" si="452"/>
        <v>5.1000000000000004E-2</v>
      </c>
      <c r="CT113" s="540">
        <f t="shared" si="453"/>
        <v>0.30127039999999999</v>
      </c>
      <c r="CU113" s="541">
        <f t="shared" si="454"/>
        <v>11.5</v>
      </c>
      <c r="CV113" s="538">
        <f t="shared" si="455"/>
        <v>1.08657</v>
      </c>
      <c r="CW113" s="538">
        <f t="shared" si="456"/>
        <v>15.191200000000002</v>
      </c>
      <c r="CX113" s="104">
        <f t="shared" si="457"/>
        <v>2.88</v>
      </c>
      <c r="CY113" s="542">
        <f t="shared" si="458"/>
        <v>1.44</v>
      </c>
      <c r="CZ113" s="538">
        <f t="shared" si="459"/>
        <v>0</v>
      </c>
    </row>
    <row r="114" spans="1:104" ht="37.5" x14ac:dyDescent="0.25">
      <c r="A114" s="100" t="str">
        <f>'BOCA DE LOBO'!C104</f>
        <v>BL6-&gt;PV7.1</v>
      </c>
      <c r="B114" s="100" t="str">
        <f>'BOCA DE LOBO'!A104</f>
        <v>PV7.1</v>
      </c>
      <c r="C114" s="100" t="str">
        <f>VLOOKUP(A114,'BOCA DE LOBO'!C:F,3,0)</f>
        <v>PROJETADO</v>
      </c>
      <c r="D114" s="100" t="str">
        <f>VLOOKUP(A114,'BOCA DE LOBO'!C:M,10,0)</f>
        <v>AMPLIADA</v>
      </c>
      <c r="E114" s="100">
        <f t="shared" si="460"/>
        <v>2.5</v>
      </c>
      <c r="F114" s="100">
        <f>VLOOKUP(A114,'BOCA DE LOBO'!$C$97:$P$172,2,0)</f>
        <v>3.657</v>
      </c>
      <c r="G114" s="100">
        <f>VLOOKUP(A114,'BOCA DE LOBO'!$C$97:$L$172,4,0)</f>
        <v>9.32</v>
      </c>
      <c r="H114" s="101">
        <v>400</v>
      </c>
      <c r="I114" s="102">
        <f t="shared" si="461"/>
        <v>3.2084999999999999</v>
      </c>
      <c r="J114" s="102">
        <f t="shared" si="462"/>
        <v>1.495161</v>
      </c>
      <c r="K114" s="103">
        <v>0</v>
      </c>
      <c r="L114" s="104">
        <f t="shared" si="463"/>
        <v>0</v>
      </c>
      <c r="M114" s="104">
        <f t="shared" si="464"/>
        <v>0</v>
      </c>
      <c r="N114" s="104">
        <f t="shared" si="465"/>
        <v>400</v>
      </c>
      <c r="O114" s="104">
        <f t="shared" si="466"/>
        <v>0</v>
      </c>
      <c r="P114" s="105" t="str">
        <f>VLOOKUP(B114,'Planilha Hidráulica'!$AE$49:$AQ$94,13,0)</f>
        <v>ASFALTO</v>
      </c>
      <c r="Q114" s="452" t="s">
        <v>2052</v>
      </c>
      <c r="R114" s="105"/>
      <c r="S114" s="105">
        <f>VLOOKUP(Q114,Quantitativos!$P$43:$R$88,3,0)</f>
        <v>5</v>
      </c>
      <c r="T114" s="105">
        <f>VLOOKUP(Q114,Quantitativos!$P$43:$S$88,4,0)</f>
        <v>5</v>
      </c>
      <c r="U114" s="104">
        <f t="shared" si="467"/>
        <v>0.05</v>
      </c>
      <c r="V114" s="106">
        <f t="shared" si="468"/>
        <v>0</v>
      </c>
      <c r="W114" s="106">
        <f t="shared" si="469"/>
        <v>0</v>
      </c>
      <c r="X114" s="107">
        <f t="shared" si="470"/>
        <v>0</v>
      </c>
      <c r="Y114" s="107">
        <f t="shared" si="471"/>
        <v>0</v>
      </c>
      <c r="Z114" s="107">
        <f t="shared" si="472"/>
        <v>3.2084999999999999</v>
      </c>
      <c r="AA114" s="107">
        <f t="shared" si="473"/>
        <v>0</v>
      </c>
      <c r="AB114" s="108">
        <f t="shared" si="474"/>
        <v>0</v>
      </c>
      <c r="AC114" s="109">
        <f t="shared" si="475"/>
        <v>0</v>
      </c>
      <c r="AD114" s="109">
        <f t="shared" si="476"/>
        <v>0</v>
      </c>
      <c r="AE114" s="109">
        <f t="shared" si="477"/>
        <v>0</v>
      </c>
      <c r="AF114" s="109">
        <f t="shared" si="478"/>
        <v>0</v>
      </c>
      <c r="AG114" s="109">
        <f t="shared" si="479"/>
        <v>0</v>
      </c>
      <c r="AH114" s="109">
        <f t="shared" si="480"/>
        <v>0</v>
      </c>
      <c r="AI114" s="537" t="str">
        <f t="shared" si="481"/>
        <v>NÃO</v>
      </c>
      <c r="AJ114" s="104">
        <f t="shared" si="482"/>
        <v>0</v>
      </c>
      <c r="AK114" s="104">
        <f t="shared" si="483"/>
        <v>0</v>
      </c>
      <c r="AL114" s="104">
        <f t="shared" si="484"/>
        <v>0</v>
      </c>
      <c r="AM114" s="102">
        <f t="shared" si="485"/>
        <v>0</v>
      </c>
      <c r="AN114" s="106">
        <f t="shared" si="486"/>
        <v>0</v>
      </c>
      <c r="AO114" s="104">
        <f t="shared" si="487"/>
        <v>0</v>
      </c>
      <c r="AP114" s="104">
        <f t="shared" si="488"/>
        <v>0</v>
      </c>
      <c r="AQ114" s="104">
        <f t="shared" si="489"/>
        <v>0.7</v>
      </c>
      <c r="AR114" s="104">
        <f t="shared" si="490"/>
        <v>0</v>
      </c>
      <c r="AS114" s="104">
        <f t="shared" si="491"/>
        <v>0</v>
      </c>
      <c r="AT114" s="104">
        <f t="shared" si="492"/>
        <v>0</v>
      </c>
      <c r="AU114" s="104">
        <f t="shared" si="493"/>
        <v>0</v>
      </c>
      <c r="AV114" s="104">
        <f t="shared" si="494"/>
        <v>0</v>
      </c>
      <c r="AW114" s="104">
        <f t="shared" si="495"/>
        <v>0</v>
      </c>
      <c r="AX114" s="104">
        <f t="shared" si="496"/>
        <v>0</v>
      </c>
      <c r="AY114" s="104">
        <f t="shared" si="497"/>
        <v>0</v>
      </c>
      <c r="AZ114" s="104">
        <f t="shared" si="498"/>
        <v>0</v>
      </c>
      <c r="BA114" s="104">
        <f t="shared" si="413"/>
        <v>0</v>
      </c>
      <c r="BB114" s="104">
        <f t="shared" si="499"/>
        <v>0</v>
      </c>
      <c r="BC114" s="104"/>
      <c r="BD114" s="104">
        <f t="shared" si="500"/>
        <v>0</v>
      </c>
      <c r="BE114" s="108">
        <f t="shared" si="501"/>
        <v>3.2084999999999999</v>
      </c>
      <c r="BF114" s="110">
        <f t="shared" si="502"/>
        <v>0</v>
      </c>
      <c r="BG114" s="110">
        <f t="shared" si="503"/>
        <v>0</v>
      </c>
      <c r="BH114" s="105" t="str">
        <f>VLOOKUP(A114,'BOCA DE LOBO'!$C$99:$P$172,7,0)</f>
        <v>BOCA DE LOBO DUPLA EXISTENTE COM BOCA DE LOBO SIMPLES PROJETADA</v>
      </c>
      <c r="BI114" s="104">
        <f t="shared" si="504"/>
        <v>0</v>
      </c>
      <c r="BJ114" s="104">
        <f t="shared" si="505"/>
        <v>0</v>
      </c>
      <c r="BK114" s="104">
        <f t="shared" si="506"/>
        <v>1</v>
      </c>
      <c r="BL114" s="104">
        <f t="shared" si="507"/>
        <v>0</v>
      </c>
      <c r="BM114" s="104">
        <f t="shared" si="508"/>
        <v>0</v>
      </c>
      <c r="BN114" s="104">
        <f t="shared" si="509"/>
        <v>0</v>
      </c>
      <c r="BO114" s="543">
        <f t="shared" si="510"/>
        <v>0</v>
      </c>
      <c r="BP114" s="111"/>
      <c r="BQ114" s="108">
        <f t="shared" si="511"/>
        <v>27.96</v>
      </c>
      <c r="BR114" s="108">
        <f t="shared" si="512"/>
        <v>27.96</v>
      </c>
      <c r="BS114" s="108">
        <f t="shared" si="513"/>
        <v>3.8864399999999986</v>
      </c>
      <c r="BT114" s="112"/>
      <c r="BU114" s="112" t="s">
        <v>1410</v>
      </c>
      <c r="BV114" s="538">
        <f t="shared" si="429"/>
        <v>9.1559999999999988</v>
      </c>
      <c r="BW114" s="538">
        <f t="shared" si="430"/>
        <v>3.6623999999999994</v>
      </c>
      <c r="BX114" s="538">
        <f t="shared" si="431"/>
        <v>1.3923999999999999</v>
      </c>
      <c r="BY114" s="538">
        <f t="shared" si="514"/>
        <v>2.5</v>
      </c>
      <c r="BZ114" s="538">
        <f t="shared" si="515"/>
        <v>2.5</v>
      </c>
      <c r="CA114" s="538">
        <f t="shared" si="516"/>
        <v>0</v>
      </c>
      <c r="CB114" s="538">
        <f t="shared" si="517"/>
        <v>0</v>
      </c>
      <c r="CC114" s="538">
        <f t="shared" si="518"/>
        <v>5.4935999999999989</v>
      </c>
      <c r="CD114" s="538">
        <f t="shared" si="519"/>
        <v>3.6623999999999994</v>
      </c>
      <c r="CE114" s="538">
        <f t="shared" si="520"/>
        <v>0</v>
      </c>
      <c r="CF114" s="538">
        <f t="shared" si="521"/>
        <v>0</v>
      </c>
      <c r="CG114" s="538">
        <f t="shared" si="522"/>
        <v>0</v>
      </c>
      <c r="CH114" s="538">
        <f t="shared" si="523"/>
        <v>0</v>
      </c>
      <c r="CI114" s="104">
        <f t="shared" si="442"/>
        <v>0.252</v>
      </c>
      <c r="CJ114" s="538">
        <f t="shared" si="524"/>
        <v>5.4229999999999992</v>
      </c>
      <c r="CK114" s="538">
        <f t="shared" si="444"/>
        <v>5.4229999999999992</v>
      </c>
      <c r="CL114" s="538">
        <f t="shared" si="525"/>
        <v>0</v>
      </c>
      <c r="CM114" s="538">
        <f t="shared" si="526"/>
        <v>0</v>
      </c>
      <c r="CN114" s="538">
        <f t="shared" si="447"/>
        <v>1.68</v>
      </c>
      <c r="CO114" s="538">
        <f t="shared" si="527"/>
        <v>2.5</v>
      </c>
      <c r="CP114" s="538">
        <f t="shared" si="528"/>
        <v>5.04</v>
      </c>
      <c r="CQ114" s="538">
        <f t="shared" si="529"/>
        <v>3.36</v>
      </c>
      <c r="CR114" s="539">
        <f t="shared" si="451"/>
        <v>1.1000000000000001</v>
      </c>
      <c r="CS114" s="540">
        <f t="shared" si="452"/>
        <v>5.1000000000000004E-2</v>
      </c>
      <c r="CT114" s="540">
        <f t="shared" si="453"/>
        <v>0.15421000000000001</v>
      </c>
      <c r="CU114" s="541">
        <f t="shared" si="454"/>
        <v>6.5</v>
      </c>
      <c r="CV114" s="538">
        <f t="shared" si="455"/>
        <v>0.90203999999999995</v>
      </c>
      <c r="CW114" s="538">
        <f t="shared" si="456"/>
        <v>15.764600000000002</v>
      </c>
      <c r="CX114" s="104">
        <f t="shared" si="457"/>
        <v>1.68</v>
      </c>
      <c r="CY114" s="542">
        <f t="shared" si="458"/>
        <v>0.84</v>
      </c>
      <c r="CZ114" s="538">
        <f t="shared" si="459"/>
        <v>0</v>
      </c>
    </row>
    <row r="115" spans="1:104" ht="37.5" x14ac:dyDescent="0.25">
      <c r="A115" s="100" t="str">
        <f>'BOCA DE LOBO'!C105</f>
        <v>BL7-&gt;PV9.1</v>
      </c>
      <c r="B115" s="100" t="str">
        <f>'BOCA DE LOBO'!A105</f>
        <v>PV9.1</v>
      </c>
      <c r="C115" s="100" t="str">
        <f>VLOOKUP(A115,'BOCA DE LOBO'!C:F,3,0)</f>
        <v>PROJETADO</v>
      </c>
      <c r="D115" s="100" t="str">
        <f>VLOOKUP(A115,'BOCA DE LOBO'!C:M,10,0)</f>
        <v>AMPLIADA</v>
      </c>
      <c r="E115" s="100">
        <f t="shared" si="460"/>
        <v>2.5</v>
      </c>
      <c r="F115" s="100">
        <f>VLOOKUP(A115,'BOCA DE LOBO'!$C$97:$P$172,2,0)</f>
        <v>3.5</v>
      </c>
      <c r="G115" s="100">
        <f>VLOOKUP(A115,'BOCA DE LOBO'!$C$97:$L$172,4,0)</f>
        <v>8.99</v>
      </c>
      <c r="H115" s="101">
        <v>400</v>
      </c>
      <c r="I115" s="102">
        <f t="shared" si="461"/>
        <v>3.13</v>
      </c>
      <c r="J115" s="102">
        <f t="shared" si="462"/>
        <v>1.406935</v>
      </c>
      <c r="K115" s="103">
        <v>0</v>
      </c>
      <c r="L115" s="104">
        <f t="shared" si="463"/>
        <v>0</v>
      </c>
      <c r="M115" s="104">
        <f t="shared" si="464"/>
        <v>0</v>
      </c>
      <c r="N115" s="104">
        <f t="shared" si="465"/>
        <v>400</v>
      </c>
      <c r="O115" s="104">
        <f t="shared" si="466"/>
        <v>0</v>
      </c>
      <c r="P115" s="105" t="str">
        <f>VLOOKUP(B115,'Planilha Hidráulica'!$AE$49:$AQ$94,13,0)</f>
        <v>ASFALTO</v>
      </c>
      <c r="Q115" s="452" t="s">
        <v>2052</v>
      </c>
      <c r="R115" s="105"/>
      <c r="S115" s="105">
        <f>VLOOKUP(Q115,Quantitativos!$P$43:$R$88,3,0)</f>
        <v>5</v>
      </c>
      <c r="T115" s="105">
        <f>VLOOKUP(Q115,Quantitativos!$P$43:$S$88,4,0)</f>
        <v>5</v>
      </c>
      <c r="U115" s="104">
        <f t="shared" si="467"/>
        <v>0.05</v>
      </c>
      <c r="V115" s="106">
        <f t="shared" si="468"/>
        <v>0</v>
      </c>
      <c r="W115" s="106">
        <f t="shared" si="469"/>
        <v>0</v>
      </c>
      <c r="X115" s="107">
        <f t="shared" si="470"/>
        <v>0</v>
      </c>
      <c r="Y115" s="107">
        <f t="shared" si="471"/>
        <v>0</v>
      </c>
      <c r="Z115" s="107">
        <f t="shared" si="472"/>
        <v>3.13</v>
      </c>
      <c r="AA115" s="107">
        <f t="shared" si="473"/>
        <v>0</v>
      </c>
      <c r="AB115" s="108">
        <f t="shared" si="474"/>
        <v>0</v>
      </c>
      <c r="AC115" s="109">
        <f t="shared" si="475"/>
        <v>0</v>
      </c>
      <c r="AD115" s="109">
        <f t="shared" si="476"/>
        <v>0</v>
      </c>
      <c r="AE115" s="109">
        <f t="shared" si="477"/>
        <v>0</v>
      </c>
      <c r="AF115" s="109">
        <f t="shared" si="478"/>
        <v>0</v>
      </c>
      <c r="AG115" s="109">
        <f t="shared" si="479"/>
        <v>0</v>
      </c>
      <c r="AH115" s="109">
        <f t="shared" si="480"/>
        <v>0</v>
      </c>
      <c r="AI115" s="537" t="str">
        <f t="shared" si="481"/>
        <v>NÃO</v>
      </c>
      <c r="AJ115" s="104">
        <f t="shared" si="482"/>
        <v>0</v>
      </c>
      <c r="AK115" s="104">
        <f t="shared" si="483"/>
        <v>0</v>
      </c>
      <c r="AL115" s="104">
        <f t="shared" si="484"/>
        <v>0</v>
      </c>
      <c r="AM115" s="102">
        <f t="shared" si="485"/>
        <v>0</v>
      </c>
      <c r="AN115" s="106">
        <f t="shared" si="486"/>
        <v>0</v>
      </c>
      <c r="AO115" s="104">
        <f t="shared" si="487"/>
        <v>0</v>
      </c>
      <c r="AP115" s="104">
        <f t="shared" si="488"/>
        <v>0</v>
      </c>
      <c r="AQ115" s="104">
        <f t="shared" si="489"/>
        <v>0.7</v>
      </c>
      <c r="AR115" s="104">
        <f t="shared" si="490"/>
        <v>0</v>
      </c>
      <c r="AS115" s="104">
        <f t="shared" si="491"/>
        <v>0</v>
      </c>
      <c r="AT115" s="104">
        <f t="shared" si="492"/>
        <v>0</v>
      </c>
      <c r="AU115" s="104">
        <f t="shared" si="493"/>
        <v>0</v>
      </c>
      <c r="AV115" s="104">
        <f t="shared" si="494"/>
        <v>0</v>
      </c>
      <c r="AW115" s="104">
        <f t="shared" si="495"/>
        <v>0</v>
      </c>
      <c r="AX115" s="104">
        <f t="shared" si="496"/>
        <v>0</v>
      </c>
      <c r="AY115" s="104">
        <f t="shared" si="497"/>
        <v>0</v>
      </c>
      <c r="AZ115" s="104">
        <f t="shared" si="498"/>
        <v>0</v>
      </c>
      <c r="BA115" s="104">
        <f t="shared" si="413"/>
        <v>0</v>
      </c>
      <c r="BB115" s="104">
        <f t="shared" si="499"/>
        <v>0</v>
      </c>
      <c r="BC115" s="104"/>
      <c r="BD115" s="104">
        <f t="shared" si="500"/>
        <v>0</v>
      </c>
      <c r="BE115" s="108">
        <f t="shared" si="501"/>
        <v>3.13</v>
      </c>
      <c r="BF115" s="110">
        <f t="shared" si="502"/>
        <v>0</v>
      </c>
      <c r="BG115" s="110">
        <f t="shared" si="503"/>
        <v>0</v>
      </c>
      <c r="BH115" s="105" t="str">
        <f>VLOOKUP(A115,'BOCA DE LOBO'!$C$99:$P$172,7,0)</f>
        <v>BOCA DE LOBO SIMPLES EXISTENTE COM BOCA DE LOBO DUPLA PROJETADA</v>
      </c>
      <c r="BI115" s="104">
        <f t="shared" si="504"/>
        <v>1</v>
      </c>
      <c r="BJ115" s="104">
        <f t="shared" si="505"/>
        <v>0</v>
      </c>
      <c r="BK115" s="104">
        <f t="shared" si="506"/>
        <v>0</v>
      </c>
      <c r="BL115" s="104">
        <f t="shared" si="507"/>
        <v>0</v>
      </c>
      <c r="BM115" s="104">
        <f t="shared" si="508"/>
        <v>0</v>
      </c>
      <c r="BN115" s="104">
        <f t="shared" si="509"/>
        <v>0</v>
      </c>
      <c r="BO115" s="543">
        <f t="shared" si="510"/>
        <v>0</v>
      </c>
      <c r="BP115" s="111"/>
      <c r="BQ115" s="108">
        <f t="shared" si="511"/>
        <v>26.97</v>
      </c>
      <c r="BR115" s="108">
        <f t="shared" si="512"/>
        <v>26.97</v>
      </c>
      <c r="BS115" s="108">
        <f t="shared" si="513"/>
        <v>2.3373999999999979</v>
      </c>
      <c r="BT115" s="112"/>
      <c r="BU115" s="112" t="s">
        <v>1410</v>
      </c>
      <c r="BV115" s="538">
        <f t="shared" si="429"/>
        <v>15.695999999999996</v>
      </c>
      <c r="BW115" s="538">
        <f t="shared" si="430"/>
        <v>6.2783999999999986</v>
      </c>
      <c r="BX115" s="538">
        <f t="shared" si="431"/>
        <v>2.8083999999999998</v>
      </c>
      <c r="BY115" s="538">
        <f t="shared" si="514"/>
        <v>2.5</v>
      </c>
      <c r="BZ115" s="538">
        <f t="shared" si="515"/>
        <v>2.5</v>
      </c>
      <c r="CA115" s="538">
        <f t="shared" si="516"/>
        <v>0</v>
      </c>
      <c r="CB115" s="538">
        <f t="shared" si="517"/>
        <v>0</v>
      </c>
      <c r="CC115" s="538">
        <f t="shared" si="518"/>
        <v>9.4175999999999984</v>
      </c>
      <c r="CD115" s="538">
        <f t="shared" si="519"/>
        <v>6.2783999999999986</v>
      </c>
      <c r="CE115" s="538">
        <f t="shared" si="520"/>
        <v>0</v>
      </c>
      <c r="CF115" s="538">
        <f t="shared" si="521"/>
        <v>0</v>
      </c>
      <c r="CG115" s="538">
        <f t="shared" si="522"/>
        <v>0</v>
      </c>
      <c r="CH115" s="538">
        <f t="shared" si="523"/>
        <v>0</v>
      </c>
      <c r="CI115" s="104">
        <f t="shared" si="442"/>
        <v>0.432</v>
      </c>
      <c r="CJ115" s="538">
        <f t="shared" si="524"/>
        <v>8.2429999999999968</v>
      </c>
      <c r="CK115" s="538">
        <f t="shared" si="444"/>
        <v>8.2429999999999968</v>
      </c>
      <c r="CL115" s="538">
        <f t="shared" si="525"/>
        <v>0</v>
      </c>
      <c r="CM115" s="538">
        <f t="shared" si="526"/>
        <v>0</v>
      </c>
      <c r="CN115" s="538">
        <f t="shared" si="447"/>
        <v>2.88</v>
      </c>
      <c r="CO115" s="538">
        <f t="shared" si="527"/>
        <v>2.5</v>
      </c>
      <c r="CP115" s="538">
        <f t="shared" si="528"/>
        <v>8.64</v>
      </c>
      <c r="CQ115" s="538">
        <f t="shared" si="529"/>
        <v>5.76</v>
      </c>
      <c r="CR115" s="539">
        <f t="shared" si="451"/>
        <v>1.1000000000000001</v>
      </c>
      <c r="CS115" s="540">
        <f t="shared" si="452"/>
        <v>5.1000000000000004E-2</v>
      </c>
      <c r="CT115" s="540">
        <f t="shared" si="453"/>
        <v>0.30127039999999999</v>
      </c>
      <c r="CU115" s="541">
        <f t="shared" si="454"/>
        <v>11.5</v>
      </c>
      <c r="CV115" s="538">
        <f t="shared" si="455"/>
        <v>1.08657</v>
      </c>
      <c r="CW115" s="538">
        <f t="shared" si="456"/>
        <v>15.191200000000002</v>
      </c>
      <c r="CX115" s="104">
        <f t="shared" si="457"/>
        <v>2.88</v>
      </c>
      <c r="CY115" s="542">
        <f t="shared" si="458"/>
        <v>1.44</v>
      </c>
      <c r="CZ115" s="538">
        <f t="shared" si="459"/>
        <v>0</v>
      </c>
    </row>
    <row r="116" spans="1:104" ht="25" x14ac:dyDescent="0.25">
      <c r="A116" s="100" t="str">
        <f>'BOCA DE LOBO'!C106</f>
        <v>BL8-&gt;PV9.1</v>
      </c>
      <c r="B116" s="100" t="str">
        <f>'BOCA DE LOBO'!A106</f>
        <v>PV9.1</v>
      </c>
      <c r="C116" s="100" t="str">
        <f>VLOOKUP(A116,'BOCA DE LOBO'!C:F,3,0)</f>
        <v>PROJETADO</v>
      </c>
      <c r="D116" s="100" t="str">
        <f>VLOOKUP(A116,'BOCA DE LOBO'!C:M,10,0)</f>
        <v>PROJETADA</v>
      </c>
      <c r="E116" s="100">
        <f t="shared" si="460"/>
        <v>2.5</v>
      </c>
      <c r="F116" s="100">
        <f>VLOOKUP(A116,'BOCA DE LOBO'!$C$97:$P$172,2,0)</f>
        <v>3.5</v>
      </c>
      <c r="G116" s="100">
        <f>VLOOKUP(A116,'BOCA DE LOBO'!$C$97:$L$172,4,0)</f>
        <v>6.96</v>
      </c>
      <c r="H116" s="101">
        <v>400</v>
      </c>
      <c r="I116" s="102">
        <f t="shared" si="461"/>
        <v>3.13</v>
      </c>
      <c r="J116" s="102">
        <f t="shared" si="462"/>
        <v>1.08924</v>
      </c>
      <c r="K116" s="103">
        <v>0</v>
      </c>
      <c r="L116" s="104">
        <f t="shared" si="463"/>
        <v>1</v>
      </c>
      <c r="M116" s="104">
        <f t="shared" si="464"/>
        <v>1</v>
      </c>
      <c r="N116" s="104">
        <f t="shared" si="465"/>
        <v>0</v>
      </c>
      <c r="O116" s="104">
        <f t="shared" si="466"/>
        <v>6.96</v>
      </c>
      <c r="P116" s="105" t="str">
        <f>VLOOKUP(B116,'Planilha Hidráulica'!$AE$49:$AQ$94,13,0)</f>
        <v>ASFALTO</v>
      </c>
      <c r="Q116" s="452" t="s">
        <v>2052</v>
      </c>
      <c r="R116" s="105"/>
      <c r="S116" s="105">
        <f>VLOOKUP(Q116,Quantitativos!$P$43:$R$88,3,0)</f>
        <v>5</v>
      </c>
      <c r="T116" s="105">
        <f>VLOOKUP(Q116,Quantitativos!$P$43:$S$88,4,0)</f>
        <v>5</v>
      </c>
      <c r="U116" s="104">
        <f t="shared" si="467"/>
        <v>0.05</v>
      </c>
      <c r="V116" s="106">
        <f t="shared" si="468"/>
        <v>0</v>
      </c>
      <c r="W116" s="106">
        <f t="shared" si="469"/>
        <v>21.784800000000001</v>
      </c>
      <c r="X116" s="107">
        <f t="shared" si="470"/>
        <v>0</v>
      </c>
      <c r="Y116" s="107">
        <f t="shared" si="471"/>
        <v>0</v>
      </c>
      <c r="Z116" s="107">
        <f t="shared" si="472"/>
        <v>3.13</v>
      </c>
      <c r="AA116" s="107">
        <f t="shared" si="473"/>
        <v>0</v>
      </c>
      <c r="AB116" s="108">
        <f t="shared" si="474"/>
        <v>6.96</v>
      </c>
      <c r="AC116" s="109">
        <f t="shared" si="475"/>
        <v>0</v>
      </c>
      <c r="AD116" s="109">
        <f t="shared" si="476"/>
        <v>0</v>
      </c>
      <c r="AE116" s="109">
        <f t="shared" si="477"/>
        <v>0</v>
      </c>
      <c r="AF116" s="109">
        <f t="shared" si="478"/>
        <v>10.44</v>
      </c>
      <c r="AG116" s="109">
        <f t="shared" si="479"/>
        <v>10.44</v>
      </c>
      <c r="AH116" s="109">
        <f t="shared" si="480"/>
        <v>0.90479999999999927</v>
      </c>
      <c r="AI116" s="537" t="str">
        <f t="shared" si="481"/>
        <v>NÃO</v>
      </c>
      <c r="AJ116" s="104">
        <f t="shared" si="482"/>
        <v>0</v>
      </c>
      <c r="AK116" s="104">
        <f t="shared" si="483"/>
        <v>0</v>
      </c>
      <c r="AL116" s="104">
        <f t="shared" si="484"/>
        <v>20.910180605240601</v>
      </c>
      <c r="AM116" s="102">
        <f t="shared" si="485"/>
        <v>0.34800000000000003</v>
      </c>
      <c r="AN116" s="106">
        <f t="shared" si="486"/>
        <v>0</v>
      </c>
      <c r="AO116" s="104">
        <f t="shared" si="487"/>
        <v>0</v>
      </c>
      <c r="AP116" s="104">
        <f t="shared" si="488"/>
        <v>0</v>
      </c>
      <c r="AQ116" s="104">
        <f t="shared" si="489"/>
        <v>0.7</v>
      </c>
      <c r="AR116" s="104">
        <f t="shared" si="490"/>
        <v>3.9973806052406013</v>
      </c>
      <c r="AS116" s="104">
        <f t="shared" si="491"/>
        <v>0</v>
      </c>
      <c r="AT116" s="104">
        <f t="shared" si="492"/>
        <v>1.044</v>
      </c>
      <c r="AU116" s="104">
        <f t="shared" si="493"/>
        <v>1.044</v>
      </c>
      <c r="AV116" s="104">
        <f t="shared" si="494"/>
        <v>0.20879999999999999</v>
      </c>
      <c r="AW116" s="104">
        <f t="shared" si="495"/>
        <v>14.476800000000001</v>
      </c>
      <c r="AX116" s="104">
        <f t="shared" si="496"/>
        <v>16.743419394759396</v>
      </c>
      <c r="AY116" s="104">
        <f t="shared" si="497"/>
        <v>14.476800000000001</v>
      </c>
      <c r="AZ116" s="104">
        <f t="shared" si="498"/>
        <v>0</v>
      </c>
      <c r="BA116" s="104">
        <f t="shared" si="413"/>
        <v>0</v>
      </c>
      <c r="BB116" s="104">
        <f t="shared" si="499"/>
        <v>0</v>
      </c>
      <c r="BC116" s="104"/>
      <c r="BD116" s="104">
        <f t="shared" si="500"/>
        <v>0</v>
      </c>
      <c r="BE116" s="108">
        <f t="shared" si="501"/>
        <v>3.13</v>
      </c>
      <c r="BF116" s="110">
        <f t="shared" si="502"/>
        <v>0</v>
      </c>
      <c r="BG116" s="110">
        <f t="shared" si="503"/>
        <v>0</v>
      </c>
      <c r="BH116" s="105" t="str">
        <f>VLOOKUP(A116,'BOCA DE LOBO'!$C$99:$P$172,7,0)</f>
        <v>BOCA DE LOBO PROJETADA TRIPLA</v>
      </c>
      <c r="BI116" s="104">
        <f t="shared" si="504"/>
        <v>0</v>
      </c>
      <c r="BJ116" s="104">
        <f t="shared" si="505"/>
        <v>0</v>
      </c>
      <c r="BK116" s="104">
        <f t="shared" si="506"/>
        <v>0</v>
      </c>
      <c r="BL116" s="104">
        <f t="shared" si="507"/>
        <v>0</v>
      </c>
      <c r="BM116" s="104">
        <f t="shared" si="508"/>
        <v>0</v>
      </c>
      <c r="BN116" s="104">
        <f t="shared" si="509"/>
        <v>0</v>
      </c>
      <c r="BO116" s="543">
        <f t="shared" si="510"/>
        <v>1</v>
      </c>
      <c r="BP116" s="111"/>
      <c r="BQ116" s="108">
        <f t="shared" si="511"/>
        <v>20.88</v>
      </c>
      <c r="BR116" s="108">
        <f t="shared" si="512"/>
        <v>20.88</v>
      </c>
      <c r="BS116" s="108">
        <f t="shared" si="513"/>
        <v>1.8095999999999985</v>
      </c>
      <c r="BT116" s="112"/>
      <c r="BU116" s="112" t="s">
        <v>1410</v>
      </c>
      <c r="BV116" s="538">
        <f t="shared" si="429"/>
        <v>25.941999999999993</v>
      </c>
      <c r="BW116" s="538">
        <f t="shared" si="430"/>
        <v>10.376799999999998</v>
      </c>
      <c r="BX116" s="538">
        <f t="shared" si="431"/>
        <v>4.4367999999999999</v>
      </c>
      <c r="BY116" s="538">
        <f t="shared" si="514"/>
        <v>2.5</v>
      </c>
      <c r="BZ116" s="538">
        <f t="shared" si="515"/>
        <v>2.5</v>
      </c>
      <c r="CA116" s="538">
        <f t="shared" si="516"/>
        <v>0</v>
      </c>
      <c r="CB116" s="538">
        <f t="shared" si="517"/>
        <v>0</v>
      </c>
      <c r="CC116" s="538">
        <f t="shared" si="518"/>
        <v>15.565199999999997</v>
      </c>
      <c r="CD116" s="538">
        <f t="shared" si="519"/>
        <v>10.376799999999998</v>
      </c>
      <c r="CE116" s="538">
        <f t="shared" si="520"/>
        <v>0</v>
      </c>
      <c r="CF116" s="538">
        <f t="shared" si="521"/>
        <v>0</v>
      </c>
      <c r="CG116" s="538">
        <f t="shared" si="522"/>
        <v>0</v>
      </c>
      <c r="CH116" s="538">
        <f t="shared" si="523"/>
        <v>0</v>
      </c>
      <c r="CI116" s="104">
        <f t="shared" si="442"/>
        <v>0.71399999999999997</v>
      </c>
      <c r="CJ116" s="538">
        <f t="shared" si="524"/>
        <v>14.135999999999994</v>
      </c>
      <c r="CK116" s="538">
        <f t="shared" si="444"/>
        <v>14.135999999999994</v>
      </c>
      <c r="CL116" s="538">
        <f t="shared" si="525"/>
        <v>0</v>
      </c>
      <c r="CM116" s="538">
        <f t="shared" si="526"/>
        <v>0</v>
      </c>
      <c r="CN116" s="538">
        <f t="shared" si="447"/>
        <v>4.76</v>
      </c>
      <c r="CO116" s="538">
        <f t="shared" si="527"/>
        <v>2.5</v>
      </c>
      <c r="CP116" s="538">
        <f t="shared" si="528"/>
        <v>14.28</v>
      </c>
      <c r="CQ116" s="538">
        <f t="shared" si="529"/>
        <v>9.52</v>
      </c>
      <c r="CR116" s="539">
        <f t="shared" si="451"/>
        <v>0</v>
      </c>
      <c r="CS116" s="540">
        <f t="shared" si="452"/>
        <v>0</v>
      </c>
      <c r="CT116" s="540">
        <f t="shared" si="453"/>
        <v>0.45984000000000003</v>
      </c>
      <c r="CU116" s="541">
        <f t="shared" si="454"/>
        <v>18</v>
      </c>
      <c r="CV116" s="538">
        <f t="shared" si="455"/>
        <v>1.9376100000000003</v>
      </c>
      <c r="CW116" s="538">
        <f t="shared" si="456"/>
        <v>29.6218</v>
      </c>
      <c r="CX116" s="104">
        <f t="shared" si="457"/>
        <v>4.76</v>
      </c>
      <c r="CY116" s="542">
        <f t="shared" si="458"/>
        <v>2.38</v>
      </c>
      <c r="CZ116" s="538">
        <f t="shared" si="459"/>
        <v>0</v>
      </c>
    </row>
    <row r="117" spans="1:104" ht="25" x14ac:dyDescent="0.25">
      <c r="A117" s="100" t="str">
        <f>'BOCA DE LOBO'!C107</f>
        <v>BL9-&gt;PV10.1</v>
      </c>
      <c r="B117" s="100" t="str">
        <f>'BOCA DE LOBO'!A107</f>
        <v>PV10.1</v>
      </c>
      <c r="C117" s="100" t="str">
        <f>VLOOKUP(A117,'BOCA DE LOBO'!C:F,3,0)</f>
        <v>PROJETADO</v>
      </c>
      <c r="D117" s="100" t="str">
        <f>VLOOKUP(A117,'BOCA DE LOBO'!C:M,10,0)</f>
        <v>PROJETADA</v>
      </c>
      <c r="E117" s="100">
        <f t="shared" ref="E117" si="530">IF(F117-G117*4%&lt;2.5,F117-G117*4%,2.5)</f>
        <v>2.5</v>
      </c>
      <c r="F117" s="100">
        <f>VLOOKUP(A117,'BOCA DE LOBO'!$C$97:$P$172,2,0)</f>
        <v>2.89</v>
      </c>
      <c r="G117" s="100">
        <f>VLOOKUP(A117,'BOCA DE LOBO'!$C$97:$L$172,4,0)</f>
        <v>5.46</v>
      </c>
      <c r="H117" s="101">
        <v>400</v>
      </c>
      <c r="I117" s="102">
        <f t="shared" ref="I117" si="531">IF(H117=400,((E117+F117)/2)+0.08+U117,IF(H117=500,((E117+F117)/2)+0.1+U117,IF(H117=600,((E117+F117)/2)+0.12+U117,IF(H117=800,((E117+F117)/2)+0.16+U117,IF(H117=1000,((E117+F117)/2)+0.2+U117,IF(H117=1200,((E117+F117)/2)+0.24+U117,IF(H117=1500,((E117+F117)/2)+0.3+U117,IF(H117&gt;1500,((E117+F117)/2)+0.4+U117))))))))</f>
        <v>2.8250000000000002</v>
      </c>
      <c r="J117" s="102">
        <f t="shared" ref="J117" si="532">IF(I117&gt;=1.25,G117*I117/20,0)</f>
        <v>0.77122500000000005</v>
      </c>
      <c r="K117" s="103">
        <v>0</v>
      </c>
      <c r="L117" s="104">
        <f t="shared" ref="L117" si="533">IF(D117&lt;&gt;"PROJETADA",0,IF(H117=400,1,0)+IF(H117=500,1.2,0)+IF(H117=600,1.4,0)+IF(H117=800,1.7,0)+IF(H117=1000,2,0)+IF(H117=1200,2.2,0)+IF(H117=1500,2.6,0)+IF(H117=1650,3,0)+IF(H117=1800,3.2,0)+IF(H117=2000,3.4,0)+IF(H117=2200,3.6,0)+IF(H117=2400,3.8,0)+IF(H117=2600,4,0)+IF(H117=3000,4.4,0))</f>
        <v>1</v>
      </c>
      <c r="M117" s="104">
        <f t="shared" ref="M117" si="534">2*K117*I117+L117</f>
        <v>1</v>
      </c>
      <c r="N117" s="104">
        <f t="shared" ref="N117" si="535">IF(OR(D117="EXISTENTE",D117="AMPLIADA"),400,0)</f>
        <v>0</v>
      </c>
      <c r="O117" s="104">
        <f t="shared" ref="O117" si="536">IF(P117="TERRENO NATURAL",0,M117*G117)</f>
        <v>5.46</v>
      </c>
      <c r="P117" s="105" t="str">
        <f>VLOOKUP(B117,'Planilha Hidráulica'!$AE$49:$AQ$94,13,0)</f>
        <v>ASFALTO</v>
      </c>
      <c r="Q117" s="452" t="s">
        <v>2052</v>
      </c>
      <c r="R117" s="105"/>
      <c r="S117" s="105">
        <f>VLOOKUP(Q117,Quantitativos!$P$43:$R$88,3,0)</f>
        <v>5</v>
      </c>
      <c r="T117" s="105">
        <f>VLOOKUP(Q117,Quantitativos!$P$43:$S$88,4,0)</f>
        <v>5</v>
      </c>
      <c r="U117" s="104">
        <f t="shared" ref="U117" si="537">IF(H117=400,0.05,0)+IF(H117=500,0.05,0)+IF(H117=600,0.1,0)+IF(H117=800,0.1,0)+IF(H117=1000,0.15,0)+IF(H117=1200,0.15,0)+IF(H117=1500,0.2,0)+IF(H117=1650,0.2,0)+IF(H117=1800,0.2,0)+IF(H117=2000,0.25,0)+IF(H117=2200,0.25,0)+IF(H117=2400,0.25,0)+IF(H117=2600,0.25,0)+IF(H117=3000,0.25,0)</f>
        <v>0.05</v>
      </c>
      <c r="V117" s="106">
        <f t="shared" ref="V117" si="538">IF(L117=0,0,IF("EXISTENTE"=C117,0,IFERROR((PI()*(N117/1000)*(N117/1000)/4)*G117,0)))</f>
        <v>0</v>
      </c>
      <c r="W117" s="106">
        <f t="shared" ref="W117" si="539">IF(O117=0,0,((((K117*I117)*I117)/2)*2+L117*I117)*G117-V117+AO117)</f>
        <v>15.4245</v>
      </c>
      <c r="X117" s="107">
        <f t="shared" ref="X117" si="540">W117-SUM(AC117:AJ117)</f>
        <v>0</v>
      </c>
      <c r="Y117" s="107">
        <f t="shared" ref="Y117" si="541">IF(R117=1,IF(N117=0,I117+0.4,0.4),0)</f>
        <v>0</v>
      </c>
      <c r="Z117" s="107">
        <f t="shared" ref="Z117" si="542">IF(Y117&gt;0.5,0,IF(S117&lt;I117,S117,I117))</f>
        <v>2.8250000000000002</v>
      </c>
      <c r="AA117" s="107">
        <f t="shared" ref="AA117" si="543">I117-Z117</f>
        <v>0</v>
      </c>
      <c r="AB117" s="108">
        <f t="shared" ref="AB117" si="544">IF(P117="ASFALTO",IF(D117="PROJETADA",O117,IF(D117="EXISTENTE",0,O117/2)),0)</f>
        <v>5.46</v>
      </c>
      <c r="AC117" s="109">
        <f t="shared" ref="AC117" si="545">IF(Y117=0,0,IF(Y117=0.4,IF(L117&lt;=1.5,IF(Z117+0.4&gt;=1.5,0,L117*G117*0.4),0),IF(L117&lt;=1.5,IF(Y117&gt;=1.5,M117*G117*1.5,L117*G117*(Y117)),0)+IF(S117&lt;I117+0.4,0,IF(AND(Y117&lt;=1.5,L117&lt;=1.5),-V117,0))))</f>
        <v>0</v>
      </c>
      <c r="AD117" s="109">
        <f t="shared" ref="AD117" si="546">IF(Y117=0,0,IF(Y117=0.4,IF(L117&lt;=1.5,IF(OR(Z117+0.4&gt;=3,Z117+0.4&lt;1.5),0,L117*G117*0.4),0),IF(IF(L117&lt;=1.5,IF(Y117&gt;=3,M117*G117*1.5,L117*G117*(Y117-1.5)),0)&lt;0,0,IF(L117&lt;=1.5,IF(Y117&gt;=3,M117*G117*1.5,L117*G117*(Y117-1.5)),0))+IF(S117&lt;I117+0.4,0,IF(AND(Y117&lt;=3,L117&lt;=1.5),-V117,0))))</f>
        <v>0</v>
      </c>
      <c r="AE117" s="109">
        <f t="shared" ref="AE117" si="547">IF(Y117=0,0,IF(Y117=0.4,IF(L117&lt;=1.5,IF(OR(Z117+0.4&gt;=4.5,Z117+0.4&lt;3),0,L117*G117*0.4),0),IF(IF(L117&lt;=1.5,IF(Y117&gt;=4.5,M117*G117*1.5,L117*G117*(Y117-3)),0)&lt;0,0,IF(L117&lt;=1.5,IF(Y117&gt;=4.5,M117*G117*1.5,L117*G117*(Y117-3)),0))+IF(S117&lt;I117+0.4,0,IF(AND(Y117&lt;=4.5,L117&lt;=1.5),-V117,0))))</f>
        <v>0</v>
      </c>
      <c r="AF117" s="109">
        <f t="shared" ref="AF117" si="548">IF(L117&lt;=1.5,IF(Z117&gt;=1.5,M117*G117*1.5,L117*G117*Z117),0)+IF(S117&lt;I117,0,IF(AND(Z117&lt;=1.5,L117&lt;=1.5),-V117,0))-V117</f>
        <v>8.19</v>
      </c>
      <c r="AG117" s="109">
        <f t="shared" ref="AG117" si="549">IF(IF(L117&lt;=1.5,IF(Z117&gt;=3,M117*G117*1.5,L117*G117*(Z117-1.5)),0)&lt;0,0,IF(L117&lt;=1.5,IF(Z117&gt;=3,M117*G117*1.5,L117*G117*(Z117-1.5)),0))</f>
        <v>7.2345000000000006</v>
      </c>
      <c r="AH117" s="109">
        <f t="shared" ref="AH117" si="550">IF(IF(L117&lt;=1.5,IF(Z117&gt;=4.5,M117*G117*1.5,L117*G117*(Z117-3)),0)&lt;0,0,IF(L117&lt;=1.5,IF(Z117&gt;=4.5,M117*G117*1.5,L117*G117*(Z117-3)),0))+IF(S117&lt;I117,0,IF(AND(Z117&lt;=4.5,Z117&gt;3,L117&lt;=1.5),-V117,0))</f>
        <v>0</v>
      </c>
      <c r="AI117" s="537" t="str">
        <f t="shared" ref="AI117" si="551">IF(I117&gt;S117,"SIM","NÃO")</f>
        <v>NÃO</v>
      </c>
      <c r="AJ117" s="104">
        <f t="shared" ref="AJ117" si="552">W117-SUM(AC117:AH117)</f>
        <v>0</v>
      </c>
      <c r="AK117" s="104">
        <f t="shared" ref="AK117" si="553">IF(I117-T117&lt;0,0,(I117-T117)*G117)/75</f>
        <v>0</v>
      </c>
      <c r="AL117" s="104">
        <f t="shared" ref="AL117" si="554">IF(L117=0,0,G117*L117*I117-PI()*(H117/1000)*(H117/1000)/4*G117+AO117)</f>
        <v>14.738376164455989</v>
      </c>
      <c r="AM117" s="102">
        <f t="shared" ref="AM117" si="555">IF(L117&lt;1.5,L117*G117*IF(H117&lt;=500,0.05,IF(H117&lt;=800,0.1,IF(H117&lt;=1200,0.15,IF(H117&gt;=1500,0.2)))),0)</f>
        <v>0.27300000000000002</v>
      </c>
      <c r="AN117" s="106">
        <f t="shared" ref="AN117" si="556">IF(L117&gt;=1.5,L117*G117*IF(H117&lt;=500,0.05,IF(H117&lt;=800,0.1,IF(H117&lt;=1200,0.15,IF(H117&gt;=1500,0.2)))),0)</f>
        <v>0</v>
      </c>
      <c r="AO117" s="104">
        <f t="shared" ref="AO117" si="557">IF(R117=1,0.4*G117*L117,0)</f>
        <v>0</v>
      </c>
      <c r="AP117" s="104">
        <f t="shared" ref="AP117" si="558">IF(AO117&lt;SUM(AF117:AH117),0,AO117)</f>
        <v>0</v>
      </c>
      <c r="AQ117" s="104">
        <f t="shared" ref="AQ117" si="559">H117/1000+0.3</f>
        <v>0.7</v>
      </c>
      <c r="AR117" s="104">
        <f t="shared" ref="AR117" si="560">IF(D117&lt;&gt;"PROJETADA",0,AQ117*L117*G117-PI()*(H117/1000*H117/1000)/4*G117)</f>
        <v>3.1358761644559889</v>
      </c>
      <c r="AS117" s="104">
        <f t="shared" ref="AS117" si="561">IF(AR117&lt;SUM(AF117:AH117),0,AR117)</f>
        <v>0</v>
      </c>
      <c r="AT117" s="104">
        <f t="shared" ref="AT117" si="562">IF(P117="ASFALTO",0.15*G117*L117,0)</f>
        <v>0.81899999999999995</v>
      </c>
      <c r="AU117" s="104">
        <f t="shared" ref="AU117" si="563">AT117</f>
        <v>0.81899999999999995</v>
      </c>
      <c r="AV117" s="104">
        <f t="shared" ref="AV117" si="564">IF(P117="ASFALTO",0.03*G117*L117,0)</f>
        <v>0.1638</v>
      </c>
      <c r="AW117" s="104">
        <f t="shared" ref="AW117" si="565">AL117-AO117-SUM(AM117:AN117)-AT117-AU117-AR117</f>
        <v>9.6915000000000013</v>
      </c>
      <c r="AX117" s="104">
        <f t="shared" ref="AX117" si="566">SUM(AF117:AH117)-AO117-AT117-AR117</f>
        <v>11.469623835544009</v>
      </c>
      <c r="AY117" s="104">
        <f t="shared" ref="AY117" si="567">SMALL(AW117:AX117,1)</f>
        <v>9.6915000000000013</v>
      </c>
      <c r="AZ117" s="104">
        <f t="shared" ref="AZ117" si="568">AW117-AY117</f>
        <v>0</v>
      </c>
      <c r="BA117" s="104">
        <f t="shared" si="413"/>
        <v>0</v>
      </c>
      <c r="BB117" s="104">
        <f t="shared" ref="BB117" si="569">AZ117-BA117</f>
        <v>0</v>
      </c>
      <c r="BC117" s="104"/>
      <c r="BD117" s="104">
        <f t="shared" ref="BD117" si="570">IF(AO117&gt;0,4%*(AO117+AT117),0)</f>
        <v>0</v>
      </c>
      <c r="BE117" s="108">
        <f t="shared" ref="BE117" si="571">IF(H117=400,I117,0)</f>
        <v>2.8250000000000002</v>
      </c>
      <c r="BF117" s="110">
        <f t="shared" ref="BF117" si="572">IF(BE117&lt;=1.75,AND(BE117&gt;0)*G117,0)</f>
        <v>0</v>
      </c>
      <c r="BG117" s="110">
        <f t="shared" ref="BG117" si="573">IF(BE117&lt;=3,AND(BE117&gt;1.75)*G117,0)</f>
        <v>5.46</v>
      </c>
      <c r="BH117" s="105" t="str">
        <f>VLOOKUP(A117,'BOCA DE LOBO'!$C$99:$P$172,7,0)</f>
        <v>BOCA DE LOBO PROJETADA TRIPLA</v>
      </c>
      <c r="BI117" s="104">
        <f t="shared" ref="BI117" si="574">IF(BH117=$BI$107,1,0)</f>
        <v>0</v>
      </c>
      <c r="BJ117" s="104">
        <f t="shared" ref="BJ117" si="575">IF(BH117=$BJ$107,1,0)</f>
        <v>0</v>
      </c>
      <c r="BK117" s="104">
        <f t="shared" ref="BK117" si="576">IF(BH117=$BK$107,1,0)</f>
        <v>0</v>
      </c>
      <c r="BL117" s="104">
        <f t="shared" ref="BL117" si="577">IF(BH117=$BL$107,1,0)</f>
        <v>0</v>
      </c>
      <c r="BM117" s="104">
        <f t="shared" ref="BM117" si="578">IF(BH117=$BM$107,1,0)</f>
        <v>0</v>
      </c>
      <c r="BN117" s="104">
        <f t="shared" ref="BN117" si="579">IF(BH117=$BN$107,1,0)</f>
        <v>0</v>
      </c>
      <c r="BO117" s="543">
        <f t="shared" ref="BO117" si="580">IF(BH117=$BO$107,1,0)</f>
        <v>1</v>
      </c>
      <c r="BP117" s="111"/>
      <c r="BQ117" s="108">
        <f t="shared" ref="BQ117" si="581">IF(L117&lt;=1.5,IF(I117+IF(R117=1,0.5,0)&lt;1.5,(I117+IF(R117=1,0.5,0))*G117*2,G117*2*1.5),0)</f>
        <v>16.38</v>
      </c>
      <c r="BR117" s="108">
        <f t="shared" ref="BR117" si="582">IF(L117&lt;=1.5,IF(AND(I117+IF(R117=1,0.5,0)&lt;3,I117+IF(R117=1,0.5,0)&gt;1.5),(I117+IF(R117=1,0.5,0)-1.5)*G117*2,IF(I117+IF(R117=1,0.5,0)&gt;=3,(G117*2*1.5),0)),0)</f>
        <v>14.469000000000001</v>
      </c>
      <c r="BS117" s="108">
        <f t="shared" ref="BS117" si="583">IF(L117&lt;=1.5,IF(AND(I117+IF(R117=1,0.5,0)&lt;4.5,I117+IF(R117=1,0.5,0)&gt;3),(I117+IF(R117=1,0.5,0)-3)*G117*2,IF(I117+IF(R117=1,0.5,0)&gt;=4.5,(G117*2*1.5),0)),0)</f>
        <v>0</v>
      </c>
      <c r="BT117" s="112"/>
      <c r="BU117" s="112" t="s">
        <v>1410</v>
      </c>
      <c r="BV117" s="538">
        <f t="shared" ref="BV117" si="584">IF(OR("BOCA DE LOBO EXISTENTE TRIPLA"=BH117,"BOCA DE LOBO EXISTENTE SIMPLES"=BH117,"BOCA DE LOBO EXISTENTE DUPLA"=BH117),0,IF("BOCA DE LOBO PROJETADA DUPLA"=BH117,(2.57+1)*(1.18+1),IF(OR("BOCA DE LOBO DUPLA EXISTENTE COM BOCA DE LOBO SIMPLES PROJETADA"=BH117,"BOCA DE LOBO SIMPLES EXISTENTE COM BOCA DE LOBO SIMPLES PROJETADA"=BH117),(1.18+0.5)*(1.18+1),IF(OR(BH117="BOCA DE LOBO DUPLA EXISTENTE COM BOCA DE LOBO DUPLA PROJETADA",BH117="BOCA DE LOBO SIMPLES EXISTENTE COM BOCA DE LOBO DUPLA PROJETADA"),(2.38+0.5)*(1.18+1),IF("BOCA DE LOBO PROJETADA TRIPLA"=BH117,(3.76+1)*(1.18+1),IF("BOCA DE LOBO PROJETADA QUADRUPLA"=BH117,(4.92+1)*(1.18+1),"X"))))))*(E117+IF(CA117&gt;0,0.5,0))</f>
        <v>25.941999999999993</v>
      </c>
      <c r="BW117" s="538">
        <f t="shared" ref="BW117" si="585">IF(OR("BOCA DE LOBO EXISTENTE TRIPLA"=BH117,"BOCA DE LOBO EXISTENTE SIMPLES"=BH117,"BOCA DE LOBO EXISTENTE DUPLA"=BH117),0,IF("BOCA DE LOBO PROJETADA DUPLA"=BH117,(2.57+1)*(1.18+1),IF(OR("BOCA DE LOBO DUPLA EXISTENTE COM BOCA DE LOBO SIMPLES PROJETADA"=BH117,"BOCA DE LOBO SIMPLES EXISTENTE COM BOCA DE LOBO SIMPLES PROJETADA"=BH117),(1.18+1)*(1.18+0.5),IF(OR(BH117="BOCA DE LOBO DUPLA EXISTENTE COM BOCA DE LOBO DUPLA PROJETADA",BH117="BOCA DE LOBO SIMPLES EXISTENTE COM BOCA DE LOBO DUPLA PROJETADA"),(2.38+0.5)*(1.18+1),IF("BOCA DE LOBO PROJETADA TRIPLA"=BH117,(3.76+0.5*2)*(1.18+1),IF("BOCA DE LOBO PROJETADA QUADRUPLA"=BH117,(4.92+0.5*2)*(1.18+1),"X"))))))</f>
        <v>10.376799999999998</v>
      </c>
      <c r="BX117" s="538">
        <f t="shared" ref="BX117" si="586">IF(OR("BOCA DE LOBO EXISTENTE TRIPLA"=BH117,"BOCA DE LOBO EXISTENTE SIMPLES"=BH117,"BOCA DE LOBO EXISTENTE DUPLA"=BH117),0,IF("BOCA DE LOBO PROJETADA DUPLA"=BH117,(2.57)*(1.18),IF(OR("BOCA DE LOBO DUPLA EXISTENTE COM BOCA DE LOBO SIMPLES PROJETADA"=BH117,"BOCA DE LOBO SIMPLES EXISTENTE COM BOCA DE LOBO SIMPLES PROJETADA"=BH117),(1.18)*(1.18),IF(OR(BH117="BOCA DE LOBO DUPLA EXISTENTE COM BOCA DE LOBO DUPLA PROJETADA",BH117="BOCA DE LOBO SIMPLES EXISTENTE COM BOCA DE LOBO DUPLA PROJETADA"),(2.38)*(1.18),IF("BOCA DE LOBO PROJETADA TRIPLA"=BH117,(3.76)*(1.18),IF("BOCA DE LOBO PROJETADA QUADRUPLA"=BH117,(4.92)*(1.18),"X"))))))</f>
        <v>4.4367999999999999</v>
      </c>
      <c r="BY117" s="538">
        <f t="shared" ref="BY117" si="587">E117</f>
        <v>2.5</v>
      </c>
      <c r="BZ117" s="538">
        <f t="shared" ref="BZ117" si="588">IF(Y117&gt;0.5,0,IF(S117&lt;E117,S117,E117))</f>
        <v>2.5</v>
      </c>
      <c r="CA117" s="538">
        <f t="shared" ref="CA117" si="589">IF(Y117&gt;0.5,BY117+0.5,Y117)</f>
        <v>0</v>
      </c>
      <c r="CB117" s="538">
        <f t="shared" ref="CB117" si="590">IF(S117&gt;E117,0,E117-S117)</f>
        <v>0</v>
      </c>
      <c r="CC117" s="538">
        <f t="shared" ref="CC117" si="591">IF(BZ117&gt;1.5,BW117*1.5,BW117*BZ117)</f>
        <v>15.565199999999997</v>
      </c>
      <c r="CD117" s="538">
        <f t="shared" ref="CD117" si="592">IF(BZ117&gt;1.5,BW117*(BZ117-1.5),0)</f>
        <v>10.376799999999998</v>
      </c>
      <c r="CE117" s="538">
        <f t="shared" ref="CE117" si="593">IF(CA117&gt;1.5,BW117*1.5,BW117*CA117)</f>
        <v>0</v>
      </c>
      <c r="CF117" s="538">
        <f t="shared" ref="CF117" si="594">IF(CA117&gt;1.5,BW117*(CA117-1.5),0)</f>
        <v>0</v>
      </c>
      <c r="CG117" s="538">
        <f t="shared" ref="CG117" si="595">BV117-SUM(CC117:CF117)</f>
        <v>0</v>
      </c>
      <c r="CH117" s="538">
        <f t="shared" ref="CH117" si="596">SUM(CC117:CG117)-BV117</f>
        <v>0</v>
      </c>
      <c r="CI117" s="104">
        <f t="shared" ref="CI117" si="597">IF(OR("BOCA DE LOBO EXISTENTE TRIPLA"=BH117,"BOCA DE LOBO EXISTENTE SIMPLES"=BH117,"BOCA DE LOBO EXISTENTE DUPLA"=BH117),0,IF("BOCA DE LOBO PROJETADA DUPLA"=BH117,(2.57+1)*(0.5),IF(OR("BOCA DE LOBO DUPLA EXISTENTE COM BOCA DE LOBO SIMPLES PROJETADA"=BH117,"BOCA DE LOBO SIMPLES EXISTENTE COM BOCA DE LOBO SIMPLES PROJETADA"=BH117),(1.18+0.5)*(0.5),IF(OR(BH117="BOCA DE LOBO DUPLA EXISTENTE COM BOCA DE LOBO DUPLA PROJETADA",BH117="BOCA DE LOBO SIMPLES EXISTENTE COM BOCA DE LOBO DUPLA PROJETADA"),(2.38+0.5)*(0.5),IF("BOCA DE LOBO PROJETADA TRIPLA"=BH117,(3.76+1)*(0.5),IF("BOCA DE LOBO PROJETADA QUADRUPLA"=BH117,(4.92+1)*(0.5),"X")))))*0.3)</f>
        <v>0.71399999999999997</v>
      </c>
      <c r="CJ117" s="538">
        <f t="shared" ref="CJ117" si="598">(BW117-BX117)*(BY117+IF(CA117&gt;=0.4,0.4,0))-CI117</f>
        <v>14.135999999999994</v>
      </c>
      <c r="CK117" s="538">
        <f t="shared" si="444"/>
        <v>14.135999999999994</v>
      </c>
      <c r="CL117" s="538">
        <f t="shared" ref="CL117" si="599">CJ117-CK117</f>
        <v>0</v>
      </c>
      <c r="CM117" s="538">
        <f t="shared" ref="CM117" si="600">IF(CA117&gt;0,0.5*4%*BW117,0)</f>
        <v>0</v>
      </c>
      <c r="CN117" s="538">
        <f t="shared" ref="CN117" si="601">IF(OR("BOCA DE LOBO EXISTENTE TRIPLA"=BH117,"BOCA DE LOBO EXISTENTE SIMPLES"=BH117,"BOCA DE LOBO EXISTENTE DUPLA"=BH117),0,IF("BOCA DE LOBO PROJETADA DUPLA"=BH117,(2.57+1),IF(OR("BOCA DE LOBO DUPLA EXISTENTE COM BOCA DE LOBO SIMPLES PROJETADA"=BH117,"BOCA DE LOBO SIMPLES EXISTENTE COM BOCA DE LOBO SIMPLES PROJETADA"=BH117),(1.18+0.5),IF(OR(BH117="BOCA DE LOBO DUPLA EXISTENTE COM BOCA DE LOBO DUPLA PROJETADA",BH117="BOCA DE LOBO SIMPLES EXISTENTE COM BOCA DE LOBO DUPLA PROJETADA"),(2.38+0.5),IF("BOCA DE LOBO PROJETADA TRIPLA"=BH117,(3.76+0.5*2),IF("BOCA DE LOBO PROJETADA QUADRUPLA"=BH117,(4.92+0.5*2),"X"))))))</f>
        <v>4.76</v>
      </c>
      <c r="CO117" s="538">
        <f t="shared" ref="CO117" si="602">IF(CA117&gt;0,BY117+0.5,BY117)</f>
        <v>2.5</v>
      </c>
      <c r="CP117" s="538">
        <f t="shared" ref="CP117" si="603">IF(CO117&gt;=1.5,CN117*1.5*2,CN117*CO117*2)</f>
        <v>14.28</v>
      </c>
      <c r="CQ117" s="538">
        <f t="shared" ref="CQ117" si="604">IF(CO117&lt;=1.5,0,IF(CO117&gt;=3,CN117*1.5*2,CN117*(CO117-1.5)*2))</f>
        <v>9.52</v>
      </c>
      <c r="CR117" s="539">
        <f t="shared" ref="CR117" si="605">IF(D117="AMPLIADA",0.55*(E117-0.5),0)</f>
        <v>0</v>
      </c>
      <c r="CS117" s="540">
        <f t="shared" ref="CS117" si="606">IF(OR("BOCA DE LOBO EXISTENTE TRIPLA"=BH117,"BOCA DE LOBO EXISTENTE SIMPLES"=BH117,"BOCA DE LOBO EXISTENTE DUPLA"=BH117,"BOCA DE LOBO EXISTENTE QUADRUPLA"=BH117),0,IF("BOCA DE LOBO PROJETADA DUPLA"=BH117,(0),IF(OR("BOCA DE LOBO DUPLA EXISTENTE COM BOCA DE LOBO SIMPLES PROJETADA"=BH117,"BOCA DE LOBO SIMPLES EXISTENTE COM BOCA DE LOBO SIMPLES PROJETADA"=BH117),(0.8*0.15*0.17),IF(OR(BH117="BOCA DE LOBO DUPLA EXISTENTE COM BOCA DE LOBO DUPLA PROJETADA",BH117="BOCA DE LOBO SIMPLES EXISTENTE COM BOCA DE LOBO DUPLA PROJETADA"),(0.8*0.15*0.17),IF("BOCA DE LOBO PROJETADA TRIPLA"=BH117,(0),IF("BOCA DE LOBO PROJETADA QUADRUPLA"=BH117,(0),"X")))))*E117)</f>
        <v>0</v>
      </c>
      <c r="CT117" s="540">
        <f t="shared" ref="CT117" si="607">IF(OR("BOCA DE LOBO EXISTENTE TRIPLA"=BH117,"BOCA DE LOBO EXISTENTE SIMPLES"=BH117,"BOCA DE LOBO EXISTENTE DUPLA"=BH117,"BOCA DE LOBO EXISTENTE QUADRUPLA"=BH117),0,IF("BOCA DE LOBO PROJETADA DUPLA"=BH117,(1.18*2.57*0.05),IF(OR("BOCA DE LOBO DUPLA EXISTENTE COM BOCA DE LOBO SIMPLES PROJETADA"=BH117,"BOCA DE LOBO SIMPLES EXISTENTE COM BOCA DE LOBO SIMPLES PROJETADA"=BH117),(1.19*1.18*0.05),IF(OR(BH117="BOCA DE LOBO DUPLA EXISTENTE COM BOCA DE LOBO DUPLA PROJETADA",BH117="BOCA DE LOBO SIMPLES EXISTENTE COM BOCA DE LOBO DUPLA PROJETADA"),(2.38*1.18*0.056),IF("BOCA DE LOBO PROJETADA TRIPLA"=BH117,(3.76*1.18*0.05),IF("BOCA DE LOBO PROJETADA QUADRUPLA"=BH117,(4.92*1.18*0.05),"X")))))+CI117/3)</f>
        <v>0.45984000000000003</v>
      </c>
      <c r="CU117" s="541">
        <f t="shared" ref="CU117" si="608">IF(OR("BOCA DE LOBO EXISTENTE TRIPLA"=BH117,"BOCA DE LOBO EXISTENTE SIMPLES"=BH117,"BOCA DE LOBO EXISTENTE DUPLA"=BH117,"BOCA DE LOBO EXISTENTE QUADRUPLA"=BH117),0,IF("BOCA DE LOBO PROJETADA DUPLA"=BH117,(1*4+0.6*2),IF(OR("BOCA DE LOBO DUPLA EXISTENTE COM BOCA DE LOBO SIMPLES PROJETADA"=BH117,"BOCA DE LOBO SIMPLES EXISTENTE COM BOCA DE LOBO SIMPLES PROJETADA"=BH117),(1*2+0.6),IF(OR(BH117="BOCA DE LOBO DUPLA EXISTENTE COM BOCA DE LOBO DUPLA PROJETADA",BH117="BOCA DE LOBO SIMPLES EXISTENTE COM BOCA DE LOBO DUPLA PROJETADA"),(1*4+0.6),IF("BOCA DE LOBO PROJETADA TRIPLA"=BH117,(6*1+0.6*2),IF("BOCA DE LOBO PROJETADA QUADRUPLA"=BH117,(8*1+0.6*2),"X")))))*E117)</f>
        <v>18</v>
      </c>
      <c r="CV117" s="538">
        <f t="shared" ref="CV117" si="609">IF(OR("BOCA DE LOBO EXISTENTE TRIPLA"=BH117,"BOCA DE LOBO EXISTENTE SIMPLES"=BH117,"BOCA DE LOBO EXISTENTE DUPLA"=BH117,"BOCA DE LOBO EXISTENTE QUADRUPLA"=BH117),0,IF("BOCA DE LOBO PROJETADA DUPLA"=BH117,(12*E117*0.17*0.15+1*0.17*0.15*5+1.09*0.6*0.07*2+2.57*1.18*0.15),IF(OR("BOCA DE LOBO DUPLA EXISTENTE COM BOCA DE LOBO SIMPLES PROJETADA"=BH117,"BOCA DE LOBO SIMPLES EXISTENTE COM BOCA DE LOBO SIMPLES PROJETADA"=BH117),(8*E117*0.17*0.15+1*0.17*0.15*4+1.09*0.6*0.07*1+1.38*1.18*0.15),IF(OR(BH117="BOCA DE LOBO DUPLA EXISTENTE COM BOCA DE LOBO DUPLA PROJETADA",BH117="BOCA DE LOBO SIMPLES EXISTENTE COM BOCA DE LOBO DUPLA PROJETADA"),(7*E117*0.17*0.15+1*0.17*0.15*5+1.09*0.6*0.07*2+2.38*1.18*0.15),IF("BOCA DE LOBO PROJETADA TRIPLA"=BH117,(15*E117*0.17*0.15+1*0.17*0.15*7+1.09*0.6*0.07*3+3.76*1.18*0.15),IF("BOCA DE LOBO PROJETADA QUADRUPLA"=BH117,(19*E117*0.17*0.15+1*0.17*0.15*9+1.09*0.6*0.07*4+4.92*1.18*0.15),"X"))))))</f>
        <v>1.9376100000000003</v>
      </c>
      <c r="CW117" s="538">
        <f t="shared" ref="CW117" si="610">IF(OR("BOCA DE LOBO EXISTENTE TRIPLA"=BH117,"BOCA DE LOBO EXISTENTE SIMPLES"=BH117,"BOCA DE LOBO EXISTENTE DUPLA"=BH117,"BOCA DE LOBO EXISTENTE QUADRUPLA"=BH117),0,IF("BOCA DE LOBO PROJETADA DUPLA"=BH117,(12*E117*2*(0.17+0.15)+1*(2*0.17+0.15)*5+2*(2.57+1.18)*0.15+(1.09+0.6)*2*0.07*2),IF(OR("BOCA DE LOBO DUPLA EXISTENTE COM BOCA DE LOBO SIMPLES PROJETADA"=BH117,"BOCA DE LOBO SIMPLES EXISTENTE COM BOCA DE LOBO SIMPLES PROJETADA"=BH117),(8*E117*2*(0.17+0.15)+1*(2*0.17+0.15)*4+2*(1.38+1.18)*0.15+(1.09+0.6)*2*0.07*1),IF(OR(BH117="BOCA DE LOBO DUPLA EXISTENTE COM BOCA DE LOBO DUPLA PROJETADA",BH117="BOCA DE LOBO SIMPLES EXISTENTE COM BOCA DE LOBO DUPLA PROJETADA"),(7*E117*2*(0.17+0.15)+1*(2*0.17+0.15)*5+2*(2.38+1.18)*0.15+(1.09+0.6)*2*0.07*2),IF("BOCA DE LOBO PROJETADA TRIPLA"=BH117,(15*E117*2*(0.17+0.15)+1*(2*0.17+0.15)*7+2*(3.76+1.18)*0.15+(1.09+0.6)*2*0.07*3),IF("BOCA DE LOBO PROJETADA QUADRUPLA"=BH117,(19*E117*2*(0.17+0.15)+1*(2*0.17+0.15)*7+2*(4.92+1.18)*0.15+(1.09+0.6)*2*0.07*4),"X"))))))</f>
        <v>29.6218</v>
      </c>
      <c r="CX117" s="104">
        <f t="shared" ref="CX117" si="611">IF(OR("BOCA DE LOBO EXISTENTE TRIPLA"=BH117,"BOCA DE LOBO EXISTENTE SIMPLES"=BH117,"BOCA DE LOBO EXISTENTE DUPLA"=BH117,"BOCA DE LOBO EXISTENTE QUADRUPLA"=BH117),0,IF("BOCA DE LOBO PROJETADA DUPLA"=BH117,(2.57+1),IF(OR("BOCA DE LOBO DUPLA EXISTENTE COM BOCA DE LOBO SIMPLES PROJETADA"=BH117,"BOCA DE LOBO SIMPLES EXISTENTE COM BOCA DE LOBO SIMPLES PROJETADA"=BH117),(1.18+0.5),IF(OR(BH117="BOCA DE LOBO DUPLA EXISTENTE COM BOCA DE LOBO DUPLA PROJETADA",BH117="BOCA DE LOBO SIMPLES EXISTENTE COM BOCA DE LOBO DUPLA PROJETADA"),(2.38+0.5),IF("BOCA DE LOBO PROJETADA TRIPLA"=BH117,(3.76+1),IF("BOCA DE LOBO PROJETADA QUADRUPLA"=BH117,(4.92+1),"X"))))))</f>
        <v>4.76</v>
      </c>
      <c r="CY117" s="542">
        <f t="shared" ref="CY117" si="612">CX117*0.5</f>
        <v>2.38</v>
      </c>
      <c r="CZ117" s="538">
        <f t="shared" ref="CZ117" si="613">IF(AND(C117="EXISTENTE",D117="PROJETADA"),PI()*0.51*0.51/4*0.12,0)</f>
        <v>0</v>
      </c>
    </row>
    <row r="118" spans="1:104" ht="37.5" x14ac:dyDescent="0.25">
      <c r="A118" s="100" t="str">
        <f>'BOCA DE LOBO'!C108</f>
        <v>BL10-&gt;PV11.1</v>
      </c>
      <c r="B118" s="100" t="str">
        <f>'BOCA DE LOBO'!A108</f>
        <v>PV11.1</v>
      </c>
      <c r="C118" s="100" t="str">
        <f>VLOOKUP(A118,'BOCA DE LOBO'!C:F,3,0)</f>
        <v>PROJETADO</v>
      </c>
      <c r="D118" s="100" t="str">
        <f>VLOOKUP(A118,'BOCA DE LOBO'!C:M,10,0)</f>
        <v>AMPLIADA</v>
      </c>
      <c r="E118" s="100">
        <f t="shared" si="460"/>
        <v>2.5</v>
      </c>
      <c r="F118" s="100">
        <f>VLOOKUP(A118,'BOCA DE LOBO'!$C$97:$P$172,2,0)</f>
        <v>3.5</v>
      </c>
      <c r="G118" s="100">
        <f>VLOOKUP(A118,'BOCA DE LOBO'!$C$97:$L$172,4,0)</f>
        <v>4.9800000000000004</v>
      </c>
      <c r="H118" s="101">
        <v>400</v>
      </c>
      <c r="I118" s="102">
        <f t="shared" si="461"/>
        <v>3.13</v>
      </c>
      <c r="J118" s="102">
        <f t="shared" si="462"/>
        <v>0.77937000000000001</v>
      </c>
      <c r="K118" s="103">
        <v>0</v>
      </c>
      <c r="L118" s="104">
        <f t="shared" si="463"/>
        <v>0</v>
      </c>
      <c r="M118" s="104">
        <f t="shared" si="464"/>
        <v>0</v>
      </c>
      <c r="N118" s="104">
        <f t="shared" si="465"/>
        <v>400</v>
      </c>
      <c r="O118" s="104">
        <f t="shared" si="466"/>
        <v>0</v>
      </c>
      <c r="P118" s="105" t="str">
        <f>VLOOKUP(B118,'Planilha Hidráulica'!$AE$49:$AQ$94,13,0)</f>
        <v>ASFALTO</v>
      </c>
      <c r="Q118" s="452" t="s">
        <v>2053</v>
      </c>
      <c r="R118" s="105"/>
      <c r="S118" s="105">
        <f>VLOOKUP(Q118,Quantitativos!$P$43:$R$88,3,0)</f>
        <v>3.5</v>
      </c>
      <c r="T118" s="105">
        <f>VLOOKUP(Q118,Quantitativos!$P$43:$S$88,4,0)</f>
        <v>5</v>
      </c>
      <c r="U118" s="104">
        <f t="shared" si="467"/>
        <v>0.05</v>
      </c>
      <c r="V118" s="106">
        <f t="shared" si="468"/>
        <v>0</v>
      </c>
      <c r="W118" s="106">
        <f t="shared" si="469"/>
        <v>0</v>
      </c>
      <c r="X118" s="107">
        <f t="shared" si="470"/>
        <v>0</v>
      </c>
      <c r="Y118" s="107">
        <f t="shared" si="471"/>
        <v>0</v>
      </c>
      <c r="Z118" s="107">
        <f t="shared" si="472"/>
        <v>3.13</v>
      </c>
      <c r="AA118" s="107">
        <f t="shared" si="473"/>
        <v>0</v>
      </c>
      <c r="AB118" s="108">
        <f t="shared" si="474"/>
        <v>0</v>
      </c>
      <c r="AC118" s="109">
        <f t="shared" si="475"/>
        <v>0</v>
      </c>
      <c r="AD118" s="109">
        <f t="shared" si="476"/>
        <v>0</v>
      </c>
      <c r="AE118" s="109">
        <f t="shared" si="477"/>
        <v>0</v>
      </c>
      <c r="AF118" s="109">
        <f t="shared" si="478"/>
        <v>0</v>
      </c>
      <c r="AG118" s="109">
        <f t="shared" si="479"/>
        <v>0</v>
      </c>
      <c r="AH118" s="109">
        <f t="shared" si="480"/>
        <v>0</v>
      </c>
      <c r="AI118" s="537" t="str">
        <f t="shared" si="481"/>
        <v>NÃO</v>
      </c>
      <c r="AJ118" s="104">
        <f t="shared" si="482"/>
        <v>0</v>
      </c>
      <c r="AK118" s="104">
        <f t="shared" si="483"/>
        <v>0</v>
      </c>
      <c r="AL118" s="104">
        <f t="shared" si="484"/>
        <v>0</v>
      </c>
      <c r="AM118" s="102">
        <f t="shared" si="485"/>
        <v>0</v>
      </c>
      <c r="AN118" s="106">
        <f t="shared" si="486"/>
        <v>0</v>
      </c>
      <c r="AO118" s="104">
        <f t="shared" si="487"/>
        <v>0</v>
      </c>
      <c r="AP118" s="104">
        <f t="shared" si="488"/>
        <v>0</v>
      </c>
      <c r="AQ118" s="104">
        <f t="shared" si="489"/>
        <v>0.7</v>
      </c>
      <c r="AR118" s="104">
        <f t="shared" si="490"/>
        <v>0</v>
      </c>
      <c r="AS118" s="104">
        <f t="shared" si="491"/>
        <v>0</v>
      </c>
      <c r="AT118" s="104">
        <f t="shared" si="492"/>
        <v>0</v>
      </c>
      <c r="AU118" s="104">
        <f t="shared" si="493"/>
        <v>0</v>
      </c>
      <c r="AV118" s="104">
        <f t="shared" si="494"/>
        <v>0</v>
      </c>
      <c r="AW118" s="104">
        <f t="shared" si="495"/>
        <v>0</v>
      </c>
      <c r="AX118" s="104">
        <f t="shared" si="496"/>
        <v>0</v>
      </c>
      <c r="AY118" s="104">
        <f t="shared" si="497"/>
        <v>0</v>
      </c>
      <c r="AZ118" s="104">
        <f t="shared" si="498"/>
        <v>0</v>
      </c>
      <c r="BA118" s="104">
        <f t="shared" si="413"/>
        <v>0</v>
      </c>
      <c r="BB118" s="104">
        <f t="shared" si="499"/>
        <v>0</v>
      </c>
      <c r="BC118" s="104"/>
      <c r="BD118" s="104">
        <f t="shared" si="500"/>
        <v>0</v>
      </c>
      <c r="BE118" s="108">
        <f t="shared" si="501"/>
        <v>3.13</v>
      </c>
      <c r="BF118" s="110">
        <f t="shared" si="502"/>
        <v>0</v>
      </c>
      <c r="BG118" s="110">
        <f t="shared" si="503"/>
        <v>0</v>
      </c>
      <c r="BH118" s="105" t="str">
        <f>VLOOKUP(A118,'BOCA DE LOBO'!$C$99:$P$172,7,0)</f>
        <v>BOCA DE LOBO SIMPLES EXISTENTE COM BOCA DE LOBO DUPLA PROJETADA</v>
      </c>
      <c r="BI118" s="104">
        <f t="shared" si="504"/>
        <v>1</v>
      </c>
      <c r="BJ118" s="104">
        <f t="shared" si="505"/>
        <v>0</v>
      </c>
      <c r="BK118" s="104">
        <f t="shared" si="506"/>
        <v>0</v>
      </c>
      <c r="BL118" s="104">
        <f t="shared" si="507"/>
        <v>0</v>
      </c>
      <c r="BM118" s="104">
        <f t="shared" si="508"/>
        <v>0</v>
      </c>
      <c r="BN118" s="104">
        <f t="shared" si="509"/>
        <v>0</v>
      </c>
      <c r="BO118" s="543">
        <f t="shared" si="510"/>
        <v>0</v>
      </c>
      <c r="BP118" s="111"/>
      <c r="BQ118" s="108">
        <f t="shared" si="511"/>
        <v>14.940000000000001</v>
      </c>
      <c r="BR118" s="108">
        <f t="shared" si="512"/>
        <v>14.940000000000001</v>
      </c>
      <c r="BS118" s="108">
        <f t="shared" si="513"/>
        <v>1.2947999999999991</v>
      </c>
      <c r="BT118" s="112"/>
      <c r="BU118" s="112" t="s">
        <v>1410</v>
      </c>
      <c r="BV118" s="538">
        <f t="shared" si="429"/>
        <v>15.695999999999996</v>
      </c>
      <c r="BW118" s="538">
        <f t="shared" si="430"/>
        <v>6.2783999999999986</v>
      </c>
      <c r="BX118" s="538">
        <f t="shared" si="431"/>
        <v>2.8083999999999998</v>
      </c>
      <c r="BY118" s="538">
        <f t="shared" si="514"/>
        <v>2.5</v>
      </c>
      <c r="BZ118" s="538">
        <f t="shared" si="515"/>
        <v>2.5</v>
      </c>
      <c r="CA118" s="538">
        <f t="shared" si="516"/>
        <v>0</v>
      </c>
      <c r="CB118" s="538">
        <f t="shared" si="517"/>
        <v>0</v>
      </c>
      <c r="CC118" s="538">
        <f t="shared" si="518"/>
        <v>9.4175999999999984</v>
      </c>
      <c r="CD118" s="538">
        <f t="shared" si="519"/>
        <v>6.2783999999999986</v>
      </c>
      <c r="CE118" s="538">
        <f t="shared" si="520"/>
        <v>0</v>
      </c>
      <c r="CF118" s="538">
        <f t="shared" si="521"/>
        <v>0</v>
      </c>
      <c r="CG118" s="538">
        <f t="shared" si="522"/>
        <v>0</v>
      </c>
      <c r="CH118" s="538">
        <f t="shared" si="523"/>
        <v>0</v>
      </c>
      <c r="CI118" s="104">
        <f t="shared" si="442"/>
        <v>0.432</v>
      </c>
      <c r="CJ118" s="538">
        <f t="shared" si="524"/>
        <v>8.2429999999999968</v>
      </c>
      <c r="CK118" s="538">
        <f t="shared" si="444"/>
        <v>8.2429999999999968</v>
      </c>
      <c r="CL118" s="538">
        <f t="shared" si="525"/>
        <v>0</v>
      </c>
      <c r="CM118" s="538">
        <f t="shared" si="526"/>
        <v>0</v>
      </c>
      <c r="CN118" s="538">
        <f t="shared" si="447"/>
        <v>2.88</v>
      </c>
      <c r="CO118" s="538">
        <f t="shared" si="527"/>
        <v>2.5</v>
      </c>
      <c r="CP118" s="538">
        <f t="shared" si="528"/>
        <v>8.64</v>
      </c>
      <c r="CQ118" s="538">
        <f t="shared" si="529"/>
        <v>5.76</v>
      </c>
      <c r="CR118" s="539">
        <f t="shared" si="451"/>
        <v>1.1000000000000001</v>
      </c>
      <c r="CS118" s="540">
        <f t="shared" si="452"/>
        <v>5.1000000000000004E-2</v>
      </c>
      <c r="CT118" s="540">
        <f t="shared" si="453"/>
        <v>0.30127039999999999</v>
      </c>
      <c r="CU118" s="541">
        <f t="shared" si="454"/>
        <v>11.5</v>
      </c>
      <c r="CV118" s="538">
        <f t="shared" si="455"/>
        <v>1.08657</v>
      </c>
      <c r="CW118" s="538">
        <f t="shared" si="456"/>
        <v>15.191200000000002</v>
      </c>
      <c r="CX118" s="104">
        <f t="shared" si="457"/>
        <v>2.88</v>
      </c>
      <c r="CY118" s="542">
        <f t="shared" si="458"/>
        <v>1.44</v>
      </c>
      <c r="CZ118" s="538">
        <f t="shared" si="459"/>
        <v>0</v>
      </c>
    </row>
    <row r="119" spans="1:104" ht="25" x14ac:dyDescent="0.25">
      <c r="A119" s="100" t="str">
        <f>'BOCA DE LOBO'!C109</f>
        <v>BL11-&gt;PV12.1</v>
      </c>
      <c r="B119" s="100" t="str">
        <f>'BOCA DE LOBO'!A109</f>
        <v>PV12.1</v>
      </c>
      <c r="C119" s="100" t="str">
        <f>VLOOKUP(A119,'BOCA DE LOBO'!C:F,3,0)</f>
        <v>PROJETADO</v>
      </c>
      <c r="D119" s="100" t="str">
        <f>VLOOKUP(A119,'BOCA DE LOBO'!C:M,10,0)</f>
        <v>PROJETADA</v>
      </c>
      <c r="E119" s="100">
        <f t="shared" ref="E119" si="614">IF(F119-G119*4%&lt;2.5,F119-G119*4%,2.5)</f>
        <v>2.5</v>
      </c>
      <c r="F119" s="100">
        <f>VLOOKUP(A119,'BOCA DE LOBO'!$C$97:$P$172,2,0)</f>
        <v>3.54</v>
      </c>
      <c r="G119" s="100">
        <f>VLOOKUP(A119,'BOCA DE LOBO'!$C$97:$L$172,4,0)</f>
        <v>4.74</v>
      </c>
      <c r="H119" s="101">
        <v>400</v>
      </c>
      <c r="I119" s="102">
        <f t="shared" ref="I119" si="615">IF(H119=400,((E119+F119)/2)+0.08+U119,IF(H119=500,((E119+F119)/2)+0.1+U119,IF(H119=600,((E119+F119)/2)+0.12+U119,IF(H119=800,((E119+F119)/2)+0.16+U119,IF(H119=1000,((E119+F119)/2)+0.2+U119,IF(H119=1200,((E119+F119)/2)+0.24+U119,IF(H119=1500,((E119+F119)/2)+0.3+U119,IF(H119&gt;1500,((E119+F119)/2)+0.4+U119))))))))</f>
        <v>3.15</v>
      </c>
      <c r="J119" s="102">
        <f t="shared" ref="J119" si="616">IF(I119&gt;=1.25,G119*I119/20,0)</f>
        <v>0.74655000000000005</v>
      </c>
      <c r="K119" s="103">
        <v>0</v>
      </c>
      <c r="L119" s="104">
        <f t="shared" ref="L119" si="617">IF(D119&lt;&gt;"PROJETADA",0,IF(H119=400,1,0)+IF(H119=500,1.2,0)+IF(H119=600,1.4,0)+IF(H119=800,1.7,0)+IF(H119=1000,2,0)+IF(H119=1200,2.2,0)+IF(H119=1500,2.6,0)+IF(H119=1650,3,0)+IF(H119=1800,3.2,0)+IF(H119=2000,3.4,0)+IF(H119=2200,3.6,0)+IF(H119=2400,3.8,0)+IF(H119=2600,4,0)+IF(H119=3000,4.4,0))</f>
        <v>1</v>
      </c>
      <c r="M119" s="104">
        <f t="shared" ref="M119" si="618">2*K119*I119+L119</f>
        <v>1</v>
      </c>
      <c r="N119" s="104">
        <f t="shared" ref="N119" si="619">IF(OR(D119="EXISTENTE",D119="AMPLIADA"),400,0)</f>
        <v>0</v>
      </c>
      <c r="O119" s="104">
        <f t="shared" ref="O119" si="620">IF(P119="TERRENO NATURAL",0,M119*G119)</f>
        <v>4.74</v>
      </c>
      <c r="P119" s="105" t="str">
        <f>VLOOKUP(B119,'Planilha Hidráulica'!$AE$49:$AQ$94,13,0)</f>
        <v>ASFALTO</v>
      </c>
      <c r="Q119" s="452" t="s">
        <v>2053</v>
      </c>
      <c r="R119" s="105"/>
      <c r="S119" s="105">
        <f>VLOOKUP(Q119,Quantitativos!$P$43:$R$88,3,0)</f>
        <v>3.5</v>
      </c>
      <c r="T119" s="105">
        <f>VLOOKUP(Q119,Quantitativos!$P$43:$S$88,4,0)</f>
        <v>5</v>
      </c>
      <c r="U119" s="104">
        <f t="shared" ref="U119" si="621">IF(H119=400,0.05,0)+IF(H119=500,0.05,0)+IF(H119=600,0.1,0)+IF(H119=800,0.1,0)+IF(H119=1000,0.15,0)+IF(H119=1200,0.15,0)+IF(H119=1500,0.2,0)+IF(H119=1650,0.2,0)+IF(H119=1800,0.2,0)+IF(H119=2000,0.25,0)+IF(H119=2200,0.25,0)+IF(H119=2400,0.25,0)+IF(H119=2600,0.25,0)+IF(H119=3000,0.25,0)</f>
        <v>0.05</v>
      </c>
      <c r="V119" s="106">
        <f t="shared" ref="V119" si="622">IF(L119=0,0,IF("EXISTENTE"=C119,0,IFERROR((PI()*(N119/1000)*(N119/1000)/4)*G119,0)))</f>
        <v>0</v>
      </c>
      <c r="W119" s="106">
        <f t="shared" ref="W119" si="623">IF(O119=0,0,((((K119*I119)*I119)/2)*2+L119*I119)*G119-V119+AO119)</f>
        <v>14.931000000000001</v>
      </c>
      <c r="X119" s="107">
        <f t="shared" ref="X119" si="624">W119-SUM(AC119:AJ119)</f>
        <v>0</v>
      </c>
      <c r="Y119" s="107">
        <f t="shared" ref="Y119" si="625">IF(R119=1,IF(N119=0,I119+0.4,0.4),0)</f>
        <v>0</v>
      </c>
      <c r="Z119" s="107">
        <f t="shared" ref="Z119" si="626">IF(Y119&gt;0.5,0,IF(S119&lt;I119,S119,I119))</f>
        <v>3.15</v>
      </c>
      <c r="AA119" s="107">
        <f t="shared" ref="AA119" si="627">I119-Z119</f>
        <v>0</v>
      </c>
      <c r="AB119" s="108">
        <f t="shared" ref="AB119" si="628">IF(P119="ASFALTO",IF(D119="PROJETADA",O119,IF(D119="EXISTENTE",0,O119/2)),0)</f>
        <v>4.74</v>
      </c>
      <c r="AC119" s="109">
        <f t="shared" ref="AC119" si="629">IF(Y119=0,0,IF(Y119=0.4,IF(L119&lt;=1.5,IF(Z119+0.4&gt;=1.5,0,L119*G119*0.4),0),IF(L119&lt;=1.5,IF(Y119&gt;=1.5,M119*G119*1.5,L119*G119*(Y119)),0)+IF(S119&lt;I119+0.4,0,IF(AND(Y119&lt;=1.5,L119&lt;=1.5),-V119,0))))</f>
        <v>0</v>
      </c>
      <c r="AD119" s="109">
        <f t="shared" ref="AD119" si="630">IF(Y119=0,0,IF(Y119=0.4,IF(L119&lt;=1.5,IF(OR(Z119+0.4&gt;=3,Z119+0.4&lt;1.5),0,L119*G119*0.4),0),IF(IF(L119&lt;=1.5,IF(Y119&gt;=3,M119*G119*1.5,L119*G119*(Y119-1.5)),0)&lt;0,0,IF(L119&lt;=1.5,IF(Y119&gt;=3,M119*G119*1.5,L119*G119*(Y119-1.5)),0))+IF(S119&lt;I119+0.4,0,IF(AND(Y119&lt;=3,L119&lt;=1.5),-V119,0))))</f>
        <v>0</v>
      </c>
      <c r="AE119" s="109">
        <f t="shared" ref="AE119" si="631">IF(Y119=0,0,IF(Y119=0.4,IF(L119&lt;=1.5,IF(OR(Z119+0.4&gt;=4.5,Z119+0.4&lt;3),0,L119*G119*0.4),0),IF(IF(L119&lt;=1.5,IF(Y119&gt;=4.5,M119*G119*1.5,L119*G119*(Y119-3)),0)&lt;0,0,IF(L119&lt;=1.5,IF(Y119&gt;=4.5,M119*G119*1.5,L119*G119*(Y119-3)),0))+IF(S119&lt;I119+0.4,0,IF(AND(Y119&lt;=4.5,L119&lt;=1.5),-V119,0))))</f>
        <v>0</v>
      </c>
      <c r="AF119" s="109">
        <f t="shared" ref="AF119" si="632">IF(L119&lt;=1.5,IF(Z119&gt;=1.5,M119*G119*1.5,L119*G119*Z119),0)+IF(S119&lt;I119,0,IF(AND(Z119&lt;=1.5,L119&lt;=1.5),-V119,0))-V119</f>
        <v>7.11</v>
      </c>
      <c r="AG119" s="109">
        <f t="shared" ref="AG119" si="633">IF(IF(L119&lt;=1.5,IF(Z119&gt;=3,M119*G119*1.5,L119*G119*(Z119-1.5)),0)&lt;0,0,IF(L119&lt;=1.5,IF(Z119&gt;=3,M119*G119*1.5,L119*G119*(Z119-1.5)),0))</f>
        <v>7.11</v>
      </c>
      <c r="AH119" s="109">
        <f t="shared" ref="AH119" si="634">IF(IF(L119&lt;=1.5,IF(Z119&gt;=4.5,M119*G119*1.5,L119*G119*(Z119-3)),0)&lt;0,0,IF(L119&lt;=1.5,IF(Z119&gt;=4.5,M119*G119*1.5,L119*G119*(Z119-3)),0))+IF(S119&lt;I119,0,IF(AND(Z119&lt;=4.5,Z119&gt;3,L119&lt;=1.5),-V119,0))</f>
        <v>0.71099999999999963</v>
      </c>
      <c r="AI119" s="537" t="str">
        <f t="shared" ref="AI119" si="635">IF(I119&gt;S119,"SIM","NÃO")</f>
        <v>NÃO</v>
      </c>
      <c r="AJ119" s="104">
        <f t="shared" ref="AJ119" si="636">W119-SUM(AC119:AH119)</f>
        <v>0</v>
      </c>
      <c r="AK119" s="104">
        <f t="shared" ref="AK119" si="637">IF(I119-T119&lt;0,0,(I119-T119)*G119)/75</f>
        <v>0</v>
      </c>
      <c r="AL119" s="104">
        <f t="shared" ref="AL119" si="638">IF(L119=0,0,G119*L119*I119-PI()*(H119/1000)*(H119/1000)/4*G119+AO119)</f>
        <v>14.335354032879376</v>
      </c>
      <c r="AM119" s="102">
        <f t="shared" ref="AM119" si="639">IF(L119&lt;1.5,L119*G119*IF(H119&lt;=500,0.05,IF(H119&lt;=800,0.1,IF(H119&lt;=1200,0.15,IF(H119&gt;=1500,0.2)))),0)</f>
        <v>0.23700000000000002</v>
      </c>
      <c r="AN119" s="106">
        <f t="shared" ref="AN119" si="640">IF(L119&gt;=1.5,L119*G119*IF(H119&lt;=500,0.05,IF(H119&lt;=800,0.1,IF(H119&lt;=1200,0.15,IF(H119&gt;=1500,0.2)))),0)</f>
        <v>0</v>
      </c>
      <c r="AO119" s="104">
        <f t="shared" ref="AO119" si="641">IF(R119=1,0.4*G119*L119,0)</f>
        <v>0</v>
      </c>
      <c r="AP119" s="104">
        <f t="shared" ref="AP119" si="642">IF(AO119&lt;SUM(AF119:AH119),0,AO119)</f>
        <v>0</v>
      </c>
      <c r="AQ119" s="104">
        <f t="shared" ref="AQ119" si="643">H119/1000+0.3</f>
        <v>0.7</v>
      </c>
      <c r="AR119" s="104">
        <f t="shared" ref="AR119" si="644">IF(D119&lt;&gt;"PROJETADA",0,AQ119*L119*G119-PI()*(H119/1000*H119/1000)/4*G119)</f>
        <v>2.7223540328793749</v>
      </c>
      <c r="AS119" s="104">
        <f t="shared" ref="AS119" si="645">IF(AR119&lt;SUM(AF119:AH119),0,AR119)</f>
        <v>0</v>
      </c>
      <c r="AT119" s="104">
        <f t="shared" ref="AT119" si="646">IF(P119="ASFALTO",0.15*G119*L119,0)</f>
        <v>0.71099999999999997</v>
      </c>
      <c r="AU119" s="104">
        <f t="shared" ref="AU119" si="647">AT119</f>
        <v>0.71099999999999997</v>
      </c>
      <c r="AV119" s="104">
        <f t="shared" ref="AV119" si="648">IF(P119="ASFALTO",0.03*G119*L119,0)</f>
        <v>0.14219999999999999</v>
      </c>
      <c r="AW119" s="104">
        <f t="shared" ref="AW119" si="649">AL119-AO119-SUM(AM119:AN119)-AT119-AU119-AR119</f>
        <v>9.9540000000000006</v>
      </c>
      <c r="AX119" s="104">
        <f t="shared" ref="AX119" si="650">SUM(AF119:AH119)-AO119-AT119-AR119</f>
        <v>11.497645967120626</v>
      </c>
      <c r="AY119" s="104">
        <f t="shared" ref="AY119" si="651">SMALL(AW119:AX119,1)</f>
        <v>9.9540000000000006</v>
      </c>
      <c r="AZ119" s="104">
        <f t="shared" ref="AZ119" si="652">AW119-AY119</f>
        <v>0</v>
      </c>
      <c r="BA119" s="104">
        <f t="shared" si="413"/>
        <v>0</v>
      </c>
      <c r="BB119" s="104">
        <f t="shared" ref="BB119" si="653">AZ119-BA119</f>
        <v>0</v>
      </c>
      <c r="BC119" s="104"/>
      <c r="BD119" s="104">
        <f t="shared" ref="BD119" si="654">IF(AO119&gt;0,4%*(AO119+AT119),0)</f>
        <v>0</v>
      </c>
      <c r="BE119" s="108">
        <f t="shared" ref="BE119" si="655">IF(H119=400,I119,0)</f>
        <v>3.15</v>
      </c>
      <c r="BF119" s="110">
        <f t="shared" ref="BF119" si="656">IF(BE119&lt;=1.75,AND(BE119&gt;0)*G119,0)</f>
        <v>0</v>
      </c>
      <c r="BG119" s="110">
        <f t="shared" ref="BG119" si="657">IF(BE119&lt;=3,AND(BE119&gt;1.75)*G119,0)</f>
        <v>0</v>
      </c>
      <c r="BH119" s="105" t="str">
        <f>VLOOKUP(A119,'BOCA DE LOBO'!$C$99:$P$172,7,0)</f>
        <v>BOCA DE LOBO PROJETADA TRIPLA</v>
      </c>
      <c r="BI119" s="104">
        <f t="shared" ref="BI119" si="658">IF(BH119=$BI$107,1,0)</f>
        <v>0</v>
      </c>
      <c r="BJ119" s="104">
        <f t="shared" ref="BJ119" si="659">IF(BH119=$BJ$107,1,0)</f>
        <v>0</v>
      </c>
      <c r="BK119" s="104">
        <f t="shared" ref="BK119" si="660">IF(BH119=$BK$107,1,0)</f>
        <v>0</v>
      </c>
      <c r="BL119" s="104">
        <f t="shared" ref="BL119" si="661">IF(BH119=$BL$107,1,0)</f>
        <v>0</v>
      </c>
      <c r="BM119" s="104">
        <f t="shared" ref="BM119" si="662">IF(BH119=$BM$107,1,0)</f>
        <v>0</v>
      </c>
      <c r="BN119" s="104">
        <f t="shared" ref="BN119" si="663">IF(BH119=$BN$107,1,0)</f>
        <v>0</v>
      </c>
      <c r="BO119" s="543">
        <f t="shared" ref="BO119" si="664">IF(BH119=$BO$107,1,0)</f>
        <v>1</v>
      </c>
      <c r="BP119" s="111"/>
      <c r="BQ119" s="108">
        <f t="shared" ref="BQ119" si="665">IF(L119&lt;=1.5,IF(I119+IF(R119=1,0.5,0)&lt;1.5,(I119+IF(R119=1,0.5,0))*G119*2,G119*2*1.5),0)</f>
        <v>14.22</v>
      </c>
      <c r="BR119" s="108">
        <f t="shared" ref="BR119" si="666">IF(L119&lt;=1.5,IF(AND(I119+IF(R119=1,0.5,0)&lt;3,I119+IF(R119=1,0.5,0)&gt;1.5),(I119+IF(R119=1,0.5,0)-1.5)*G119*2,IF(I119+IF(R119=1,0.5,0)&gt;=3,(G119*2*1.5),0)),0)</f>
        <v>14.22</v>
      </c>
      <c r="BS119" s="108">
        <f t="shared" ref="BS119" si="667">IF(L119&lt;=1.5,IF(AND(I119+IF(R119=1,0.5,0)&lt;4.5,I119+IF(R119=1,0.5,0)&gt;3),(I119+IF(R119=1,0.5,0)-3)*G119*2,IF(I119+IF(R119=1,0.5,0)&gt;=4.5,(G119*2*1.5),0)),0)</f>
        <v>1.4219999999999993</v>
      </c>
      <c r="BT119" s="112"/>
      <c r="BU119" s="112" t="s">
        <v>1410</v>
      </c>
      <c r="BV119" s="538">
        <f t="shared" ref="BV119" si="668">IF(OR("BOCA DE LOBO EXISTENTE TRIPLA"=BH119,"BOCA DE LOBO EXISTENTE SIMPLES"=BH119,"BOCA DE LOBO EXISTENTE DUPLA"=BH119),0,IF("BOCA DE LOBO PROJETADA DUPLA"=BH119,(2.57+1)*(1.18+1),IF(OR("BOCA DE LOBO DUPLA EXISTENTE COM BOCA DE LOBO SIMPLES PROJETADA"=BH119,"BOCA DE LOBO SIMPLES EXISTENTE COM BOCA DE LOBO SIMPLES PROJETADA"=BH119),(1.18+0.5)*(1.18+1),IF(OR(BH119="BOCA DE LOBO DUPLA EXISTENTE COM BOCA DE LOBO DUPLA PROJETADA",BH119="BOCA DE LOBO SIMPLES EXISTENTE COM BOCA DE LOBO DUPLA PROJETADA"),(2.38+0.5)*(1.18+1),IF("BOCA DE LOBO PROJETADA TRIPLA"=BH119,(3.76+1)*(1.18+1),IF("BOCA DE LOBO PROJETADA QUADRUPLA"=BH119,(4.92+1)*(1.18+1),"X"))))))*(E119+IF(CA119&gt;0,0.5,0))</f>
        <v>25.941999999999993</v>
      </c>
      <c r="BW119" s="538">
        <f t="shared" ref="BW119" si="669">IF(OR("BOCA DE LOBO EXISTENTE TRIPLA"=BH119,"BOCA DE LOBO EXISTENTE SIMPLES"=BH119,"BOCA DE LOBO EXISTENTE DUPLA"=BH119),0,IF("BOCA DE LOBO PROJETADA DUPLA"=BH119,(2.57+1)*(1.18+1),IF(OR("BOCA DE LOBO DUPLA EXISTENTE COM BOCA DE LOBO SIMPLES PROJETADA"=BH119,"BOCA DE LOBO SIMPLES EXISTENTE COM BOCA DE LOBO SIMPLES PROJETADA"=BH119),(1.18+1)*(1.18+0.5),IF(OR(BH119="BOCA DE LOBO DUPLA EXISTENTE COM BOCA DE LOBO DUPLA PROJETADA",BH119="BOCA DE LOBO SIMPLES EXISTENTE COM BOCA DE LOBO DUPLA PROJETADA"),(2.38+0.5)*(1.18+1),IF("BOCA DE LOBO PROJETADA TRIPLA"=BH119,(3.76+0.5*2)*(1.18+1),IF("BOCA DE LOBO PROJETADA QUADRUPLA"=BH119,(4.92+0.5*2)*(1.18+1),"X"))))))</f>
        <v>10.376799999999998</v>
      </c>
      <c r="BX119" s="538">
        <f t="shared" ref="BX119" si="670">IF(OR("BOCA DE LOBO EXISTENTE TRIPLA"=BH119,"BOCA DE LOBO EXISTENTE SIMPLES"=BH119,"BOCA DE LOBO EXISTENTE DUPLA"=BH119),0,IF("BOCA DE LOBO PROJETADA DUPLA"=BH119,(2.57)*(1.18),IF(OR("BOCA DE LOBO DUPLA EXISTENTE COM BOCA DE LOBO SIMPLES PROJETADA"=BH119,"BOCA DE LOBO SIMPLES EXISTENTE COM BOCA DE LOBO SIMPLES PROJETADA"=BH119),(1.18)*(1.18),IF(OR(BH119="BOCA DE LOBO DUPLA EXISTENTE COM BOCA DE LOBO DUPLA PROJETADA",BH119="BOCA DE LOBO SIMPLES EXISTENTE COM BOCA DE LOBO DUPLA PROJETADA"),(2.38)*(1.18),IF("BOCA DE LOBO PROJETADA TRIPLA"=BH119,(3.76)*(1.18),IF("BOCA DE LOBO PROJETADA QUADRUPLA"=BH119,(4.92)*(1.18),"X"))))))</f>
        <v>4.4367999999999999</v>
      </c>
      <c r="BY119" s="538">
        <f t="shared" ref="BY119" si="671">E119</f>
        <v>2.5</v>
      </c>
      <c r="BZ119" s="538">
        <f t="shared" ref="BZ119" si="672">IF(Y119&gt;0.5,0,IF(S119&lt;E119,S119,E119))</f>
        <v>2.5</v>
      </c>
      <c r="CA119" s="538">
        <f t="shared" ref="CA119" si="673">IF(Y119&gt;0.5,BY119+0.5,Y119)</f>
        <v>0</v>
      </c>
      <c r="CB119" s="538">
        <f t="shared" ref="CB119" si="674">IF(S119&gt;E119,0,E119-S119)</f>
        <v>0</v>
      </c>
      <c r="CC119" s="538">
        <f t="shared" ref="CC119" si="675">IF(BZ119&gt;1.5,BW119*1.5,BW119*BZ119)</f>
        <v>15.565199999999997</v>
      </c>
      <c r="CD119" s="538">
        <f t="shared" ref="CD119" si="676">IF(BZ119&gt;1.5,BW119*(BZ119-1.5),0)</f>
        <v>10.376799999999998</v>
      </c>
      <c r="CE119" s="538">
        <f t="shared" ref="CE119" si="677">IF(CA119&gt;1.5,BW119*1.5,BW119*CA119)</f>
        <v>0</v>
      </c>
      <c r="CF119" s="538">
        <f t="shared" ref="CF119" si="678">IF(CA119&gt;1.5,BW119*(CA119-1.5),0)</f>
        <v>0</v>
      </c>
      <c r="CG119" s="538">
        <f t="shared" ref="CG119" si="679">BV119-SUM(CC119:CF119)</f>
        <v>0</v>
      </c>
      <c r="CH119" s="538">
        <f t="shared" ref="CH119" si="680">SUM(CC119:CG119)-BV119</f>
        <v>0</v>
      </c>
      <c r="CI119" s="104">
        <f t="shared" ref="CI119" si="681">IF(OR("BOCA DE LOBO EXISTENTE TRIPLA"=BH119,"BOCA DE LOBO EXISTENTE SIMPLES"=BH119,"BOCA DE LOBO EXISTENTE DUPLA"=BH119),0,IF("BOCA DE LOBO PROJETADA DUPLA"=BH119,(2.57+1)*(0.5),IF(OR("BOCA DE LOBO DUPLA EXISTENTE COM BOCA DE LOBO SIMPLES PROJETADA"=BH119,"BOCA DE LOBO SIMPLES EXISTENTE COM BOCA DE LOBO SIMPLES PROJETADA"=BH119),(1.18+0.5)*(0.5),IF(OR(BH119="BOCA DE LOBO DUPLA EXISTENTE COM BOCA DE LOBO DUPLA PROJETADA",BH119="BOCA DE LOBO SIMPLES EXISTENTE COM BOCA DE LOBO DUPLA PROJETADA"),(2.38+0.5)*(0.5),IF("BOCA DE LOBO PROJETADA TRIPLA"=BH119,(3.76+1)*(0.5),IF("BOCA DE LOBO PROJETADA QUADRUPLA"=BH119,(4.92+1)*(0.5),"X")))))*0.3)</f>
        <v>0.71399999999999997</v>
      </c>
      <c r="CJ119" s="538">
        <f t="shared" ref="CJ119" si="682">(BW119-BX119)*(BY119+IF(CA119&gt;=0.4,0.4,0))-CI119</f>
        <v>14.135999999999994</v>
      </c>
      <c r="CK119" s="538">
        <f t="shared" si="444"/>
        <v>14.135999999999994</v>
      </c>
      <c r="CL119" s="538">
        <f t="shared" ref="CL119" si="683">CJ119-CK119</f>
        <v>0</v>
      </c>
      <c r="CM119" s="538">
        <f t="shared" ref="CM119" si="684">IF(CA119&gt;0,0.5*4%*BW119,0)</f>
        <v>0</v>
      </c>
      <c r="CN119" s="538">
        <f t="shared" ref="CN119" si="685">IF(OR("BOCA DE LOBO EXISTENTE TRIPLA"=BH119,"BOCA DE LOBO EXISTENTE SIMPLES"=BH119,"BOCA DE LOBO EXISTENTE DUPLA"=BH119),0,IF("BOCA DE LOBO PROJETADA DUPLA"=BH119,(2.57+1),IF(OR("BOCA DE LOBO DUPLA EXISTENTE COM BOCA DE LOBO SIMPLES PROJETADA"=BH119,"BOCA DE LOBO SIMPLES EXISTENTE COM BOCA DE LOBO SIMPLES PROJETADA"=BH119),(1.18+0.5),IF(OR(BH119="BOCA DE LOBO DUPLA EXISTENTE COM BOCA DE LOBO DUPLA PROJETADA",BH119="BOCA DE LOBO SIMPLES EXISTENTE COM BOCA DE LOBO DUPLA PROJETADA"),(2.38+0.5),IF("BOCA DE LOBO PROJETADA TRIPLA"=BH119,(3.76+0.5*2),IF("BOCA DE LOBO PROJETADA QUADRUPLA"=BH119,(4.92+0.5*2),"X"))))))</f>
        <v>4.76</v>
      </c>
      <c r="CO119" s="538">
        <f t="shared" ref="CO119" si="686">IF(CA119&gt;0,BY119+0.5,BY119)</f>
        <v>2.5</v>
      </c>
      <c r="CP119" s="538">
        <f t="shared" ref="CP119" si="687">IF(CO119&gt;=1.5,CN119*1.5*2,CN119*CO119*2)</f>
        <v>14.28</v>
      </c>
      <c r="CQ119" s="538">
        <f t="shared" ref="CQ119" si="688">IF(CO119&lt;=1.5,0,IF(CO119&gt;=3,CN119*1.5*2,CN119*(CO119-1.5)*2))</f>
        <v>9.52</v>
      </c>
      <c r="CR119" s="539">
        <f t="shared" ref="CR119" si="689">IF(D119="AMPLIADA",0.55*(E119-0.5),0)</f>
        <v>0</v>
      </c>
      <c r="CS119" s="540">
        <f t="shared" ref="CS119" si="690">IF(OR("BOCA DE LOBO EXISTENTE TRIPLA"=BH119,"BOCA DE LOBO EXISTENTE SIMPLES"=BH119,"BOCA DE LOBO EXISTENTE DUPLA"=BH119,"BOCA DE LOBO EXISTENTE QUADRUPLA"=BH119),0,IF("BOCA DE LOBO PROJETADA DUPLA"=BH119,(0),IF(OR("BOCA DE LOBO DUPLA EXISTENTE COM BOCA DE LOBO SIMPLES PROJETADA"=BH119,"BOCA DE LOBO SIMPLES EXISTENTE COM BOCA DE LOBO SIMPLES PROJETADA"=BH119),(0.8*0.15*0.17),IF(OR(BH119="BOCA DE LOBO DUPLA EXISTENTE COM BOCA DE LOBO DUPLA PROJETADA",BH119="BOCA DE LOBO SIMPLES EXISTENTE COM BOCA DE LOBO DUPLA PROJETADA"),(0.8*0.15*0.17),IF("BOCA DE LOBO PROJETADA TRIPLA"=BH119,(0),IF("BOCA DE LOBO PROJETADA QUADRUPLA"=BH119,(0),"X")))))*E119)</f>
        <v>0</v>
      </c>
      <c r="CT119" s="540">
        <f t="shared" ref="CT119" si="691">IF(OR("BOCA DE LOBO EXISTENTE TRIPLA"=BH119,"BOCA DE LOBO EXISTENTE SIMPLES"=BH119,"BOCA DE LOBO EXISTENTE DUPLA"=BH119,"BOCA DE LOBO EXISTENTE QUADRUPLA"=BH119),0,IF("BOCA DE LOBO PROJETADA DUPLA"=BH119,(1.18*2.57*0.05),IF(OR("BOCA DE LOBO DUPLA EXISTENTE COM BOCA DE LOBO SIMPLES PROJETADA"=BH119,"BOCA DE LOBO SIMPLES EXISTENTE COM BOCA DE LOBO SIMPLES PROJETADA"=BH119),(1.19*1.18*0.05),IF(OR(BH119="BOCA DE LOBO DUPLA EXISTENTE COM BOCA DE LOBO DUPLA PROJETADA",BH119="BOCA DE LOBO SIMPLES EXISTENTE COM BOCA DE LOBO DUPLA PROJETADA"),(2.38*1.18*0.056),IF("BOCA DE LOBO PROJETADA TRIPLA"=BH119,(3.76*1.18*0.05),IF("BOCA DE LOBO PROJETADA QUADRUPLA"=BH119,(4.92*1.18*0.05),"X")))))+CI119/3)</f>
        <v>0.45984000000000003</v>
      </c>
      <c r="CU119" s="541">
        <f t="shared" ref="CU119" si="692">IF(OR("BOCA DE LOBO EXISTENTE TRIPLA"=BH119,"BOCA DE LOBO EXISTENTE SIMPLES"=BH119,"BOCA DE LOBO EXISTENTE DUPLA"=BH119,"BOCA DE LOBO EXISTENTE QUADRUPLA"=BH119),0,IF("BOCA DE LOBO PROJETADA DUPLA"=BH119,(1*4+0.6*2),IF(OR("BOCA DE LOBO DUPLA EXISTENTE COM BOCA DE LOBO SIMPLES PROJETADA"=BH119,"BOCA DE LOBO SIMPLES EXISTENTE COM BOCA DE LOBO SIMPLES PROJETADA"=BH119),(1*2+0.6),IF(OR(BH119="BOCA DE LOBO DUPLA EXISTENTE COM BOCA DE LOBO DUPLA PROJETADA",BH119="BOCA DE LOBO SIMPLES EXISTENTE COM BOCA DE LOBO DUPLA PROJETADA"),(1*4+0.6),IF("BOCA DE LOBO PROJETADA TRIPLA"=BH119,(6*1+0.6*2),IF("BOCA DE LOBO PROJETADA QUADRUPLA"=BH119,(8*1+0.6*2),"X")))))*E119)</f>
        <v>18</v>
      </c>
      <c r="CV119" s="538">
        <f t="shared" ref="CV119" si="693">IF(OR("BOCA DE LOBO EXISTENTE TRIPLA"=BH119,"BOCA DE LOBO EXISTENTE SIMPLES"=BH119,"BOCA DE LOBO EXISTENTE DUPLA"=BH119,"BOCA DE LOBO EXISTENTE QUADRUPLA"=BH119),0,IF("BOCA DE LOBO PROJETADA DUPLA"=BH119,(12*E119*0.17*0.15+1*0.17*0.15*5+1.09*0.6*0.07*2+2.57*1.18*0.15),IF(OR("BOCA DE LOBO DUPLA EXISTENTE COM BOCA DE LOBO SIMPLES PROJETADA"=BH119,"BOCA DE LOBO SIMPLES EXISTENTE COM BOCA DE LOBO SIMPLES PROJETADA"=BH119),(8*E119*0.17*0.15+1*0.17*0.15*4+1.09*0.6*0.07*1+1.38*1.18*0.15),IF(OR(BH119="BOCA DE LOBO DUPLA EXISTENTE COM BOCA DE LOBO DUPLA PROJETADA",BH119="BOCA DE LOBO SIMPLES EXISTENTE COM BOCA DE LOBO DUPLA PROJETADA"),(7*E119*0.17*0.15+1*0.17*0.15*5+1.09*0.6*0.07*2+2.38*1.18*0.15),IF("BOCA DE LOBO PROJETADA TRIPLA"=BH119,(15*E119*0.17*0.15+1*0.17*0.15*7+1.09*0.6*0.07*3+3.76*1.18*0.15),IF("BOCA DE LOBO PROJETADA QUADRUPLA"=BH119,(19*E119*0.17*0.15+1*0.17*0.15*9+1.09*0.6*0.07*4+4.92*1.18*0.15),"X"))))))</f>
        <v>1.9376100000000003</v>
      </c>
      <c r="CW119" s="538">
        <f t="shared" ref="CW119" si="694">IF(OR("BOCA DE LOBO EXISTENTE TRIPLA"=BH119,"BOCA DE LOBO EXISTENTE SIMPLES"=BH119,"BOCA DE LOBO EXISTENTE DUPLA"=BH119,"BOCA DE LOBO EXISTENTE QUADRUPLA"=BH119),0,IF("BOCA DE LOBO PROJETADA DUPLA"=BH119,(12*E119*2*(0.17+0.15)+1*(2*0.17+0.15)*5+2*(2.57+1.18)*0.15+(1.09+0.6)*2*0.07*2),IF(OR("BOCA DE LOBO DUPLA EXISTENTE COM BOCA DE LOBO SIMPLES PROJETADA"=BH119,"BOCA DE LOBO SIMPLES EXISTENTE COM BOCA DE LOBO SIMPLES PROJETADA"=BH119),(8*E119*2*(0.17+0.15)+1*(2*0.17+0.15)*4+2*(1.38+1.18)*0.15+(1.09+0.6)*2*0.07*1),IF(OR(BH119="BOCA DE LOBO DUPLA EXISTENTE COM BOCA DE LOBO DUPLA PROJETADA",BH119="BOCA DE LOBO SIMPLES EXISTENTE COM BOCA DE LOBO DUPLA PROJETADA"),(7*E119*2*(0.17+0.15)+1*(2*0.17+0.15)*5+2*(2.38+1.18)*0.15+(1.09+0.6)*2*0.07*2),IF("BOCA DE LOBO PROJETADA TRIPLA"=BH119,(15*E119*2*(0.17+0.15)+1*(2*0.17+0.15)*7+2*(3.76+1.18)*0.15+(1.09+0.6)*2*0.07*3),IF("BOCA DE LOBO PROJETADA QUADRUPLA"=BH119,(19*E119*2*(0.17+0.15)+1*(2*0.17+0.15)*7+2*(4.92+1.18)*0.15+(1.09+0.6)*2*0.07*4),"X"))))))</f>
        <v>29.6218</v>
      </c>
      <c r="CX119" s="104">
        <f t="shared" ref="CX119" si="695">IF(OR("BOCA DE LOBO EXISTENTE TRIPLA"=BH119,"BOCA DE LOBO EXISTENTE SIMPLES"=BH119,"BOCA DE LOBO EXISTENTE DUPLA"=BH119,"BOCA DE LOBO EXISTENTE QUADRUPLA"=BH119),0,IF("BOCA DE LOBO PROJETADA DUPLA"=BH119,(2.57+1),IF(OR("BOCA DE LOBO DUPLA EXISTENTE COM BOCA DE LOBO SIMPLES PROJETADA"=BH119,"BOCA DE LOBO SIMPLES EXISTENTE COM BOCA DE LOBO SIMPLES PROJETADA"=BH119),(1.18+0.5),IF(OR(BH119="BOCA DE LOBO DUPLA EXISTENTE COM BOCA DE LOBO DUPLA PROJETADA",BH119="BOCA DE LOBO SIMPLES EXISTENTE COM BOCA DE LOBO DUPLA PROJETADA"),(2.38+0.5),IF("BOCA DE LOBO PROJETADA TRIPLA"=BH119,(3.76+1),IF("BOCA DE LOBO PROJETADA QUADRUPLA"=BH119,(4.92+1),"X"))))))</f>
        <v>4.76</v>
      </c>
      <c r="CY119" s="542">
        <f t="shared" ref="CY119" si="696">CX119*0.5</f>
        <v>2.38</v>
      </c>
      <c r="CZ119" s="538">
        <f t="shared" ref="CZ119" si="697">IF(AND(C119="EXISTENTE",D119="PROJETADA"),PI()*0.51*0.51/4*0.12,0)</f>
        <v>0</v>
      </c>
    </row>
    <row r="120" spans="1:104" ht="37.5" x14ac:dyDescent="0.25">
      <c r="A120" s="100" t="str">
        <f>'BOCA DE LOBO'!C110</f>
        <v>BL12-&gt;PV13.1</v>
      </c>
      <c r="B120" s="100" t="str">
        <f>'BOCA DE LOBO'!A110</f>
        <v>PV13.1</v>
      </c>
      <c r="C120" s="100" t="str">
        <f>VLOOKUP(A120,'BOCA DE LOBO'!C:F,3,0)</f>
        <v>PROJETADO</v>
      </c>
      <c r="D120" s="100" t="str">
        <f>VLOOKUP(A120,'BOCA DE LOBO'!C:M,10,0)</f>
        <v>AMPLIADA</v>
      </c>
      <c r="E120" s="100">
        <f t="shared" si="460"/>
        <v>2.5</v>
      </c>
      <c r="F120" s="100">
        <f>VLOOKUP(A120,'BOCA DE LOBO'!$C$97:$P$172,2,0)</f>
        <v>3.91</v>
      </c>
      <c r="G120" s="100">
        <f>VLOOKUP(A120,'BOCA DE LOBO'!$C$97:$L$172,4,0)</f>
        <v>3.8</v>
      </c>
      <c r="H120" s="101">
        <v>400</v>
      </c>
      <c r="I120" s="102">
        <f t="shared" si="461"/>
        <v>3.335</v>
      </c>
      <c r="J120" s="102">
        <f t="shared" si="462"/>
        <v>0.63365000000000005</v>
      </c>
      <c r="K120" s="103">
        <v>0</v>
      </c>
      <c r="L120" s="104">
        <f t="shared" si="463"/>
        <v>0</v>
      </c>
      <c r="M120" s="104">
        <f t="shared" si="464"/>
        <v>0</v>
      </c>
      <c r="N120" s="104">
        <f t="shared" si="465"/>
        <v>400</v>
      </c>
      <c r="O120" s="104">
        <f t="shared" si="466"/>
        <v>0</v>
      </c>
      <c r="P120" s="105" t="str">
        <f>VLOOKUP(B120,'Planilha Hidráulica'!$AE$49:$AQ$94,13,0)</f>
        <v>ASFALTO</v>
      </c>
      <c r="Q120" s="452" t="s">
        <v>2053</v>
      </c>
      <c r="R120" s="105"/>
      <c r="S120" s="105">
        <f>VLOOKUP(Q120,Quantitativos!$P$43:$R$88,3,0)</f>
        <v>3.5</v>
      </c>
      <c r="T120" s="105">
        <f>VLOOKUP(Q120,Quantitativos!$P$43:$S$88,4,0)</f>
        <v>5</v>
      </c>
      <c r="U120" s="104">
        <f t="shared" si="467"/>
        <v>0.05</v>
      </c>
      <c r="V120" s="106">
        <f t="shared" si="468"/>
        <v>0</v>
      </c>
      <c r="W120" s="106">
        <f t="shared" si="469"/>
        <v>0</v>
      </c>
      <c r="X120" s="107">
        <f t="shared" si="470"/>
        <v>0</v>
      </c>
      <c r="Y120" s="107">
        <f t="shared" si="471"/>
        <v>0</v>
      </c>
      <c r="Z120" s="107">
        <f t="shared" si="472"/>
        <v>3.335</v>
      </c>
      <c r="AA120" s="107">
        <f t="shared" si="473"/>
        <v>0</v>
      </c>
      <c r="AB120" s="108">
        <f t="shared" si="474"/>
        <v>0</v>
      </c>
      <c r="AC120" s="109">
        <f t="shared" si="475"/>
        <v>0</v>
      </c>
      <c r="AD120" s="109">
        <f t="shared" si="476"/>
        <v>0</v>
      </c>
      <c r="AE120" s="109">
        <f t="shared" si="477"/>
        <v>0</v>
      </c>
      <c r="AF120" s="109">
        <f t="shared" si="478"/>
        <v>0</v>
      </c>
      <c r="AG120" s="109">
        <f t="shared" si="479"/>
        <v>0</v>
      </c>
      <c r="AH120" s="109">
        <f t="shared" si="480"/>
        <v>0</v>
      </c>
      <c r="AI120" s="537" t="str">
        <f t="shared" si="481"/>
        <v>NÃO</v>
      </c>
      <c r="AJ120" s="104">
        <f t="shared" si="482"/>
        <v>0</v>
      </c>
      <c r="AK120" s="104">
        <f t="shared" si="483"/>
        <v>0</v>
      </c>
      <c r="AL120" s="104">
        <f t="shared" si="484"/>
        <v>0</v>
      </c>
      <c r="AM120" s="102">
        <f t="shared" si="485"/>
        <v>0</v>
      </c>
      <c r="AN120" s="106">
        <f t="shared" si="486"/>
        <v>0</v>
      </c>
      <c r="AO120" s="104">
        <f t="shared" si="487"/>
        <v>0</v>
      </c>
      <c r="AP120" s="104">
        <f t="shared" si="488"/>
        <v>0</v>
      </c>
      <c r="AQ120" s="104">
        <f t="shared" si="489"/>
        <v>0.7</v>
      </c>
      <c r="AR120" s="104">
        <f t="shared" si="490"/>
        <v>0</v>
      </c>
      <c r="AS120" s="104">
        <f t="shared" si="491"/>
        <v>0</v>
      </c>
      <c r="AT120" s="104">
        <f t="shared" si="492"/>
        <v>0</v>
      </c>
      <c r="AU120" s="104">
        <f t="shared" si="493"/>
        <v>0</v>
      </c>
      <c r="AV120" s="104">
        <f t="shared" si="494"/>
        <v>0</v>
      </c>
      <c r="AW120" s="104">
        <f t="shared" si="495"/>
        <v>0</v>
      </c>
      <c r="AX120" s="104">
        <f t="shared" si="496"/>
        <v>0</v>
      </c>
      <c r="AY120" s="104">
        <f t="shared" si="497"/>
        <v>0</v>
      </c>
      <c r="AZ120" s="104">
        <f t="shared" si="498"/>
        <v>0</v>
      </c>
      <c r="BA120" s="104">
        <f t="shared" si="413"/>
        <v>0</v>
      </c>
      <c r="BB120" s="104">
        <f t="shared" si="499"/>
        <v>0</v>
      </c>
      <c r="BC120" s="104"/>
      <c r="BD120" s="104">
        <f t="shared" si="500"/>
        <v>0</v>
      </c>
      <c r="BE120" s="108">
        <f t="shared" si="501"/>
        <v>3.335</v>
      </c>
      <c r="BF120" s="110">
        <f t="shared" si="502"/>
        <v>0</v>
      </c>
      <c r="BG120" s="110">
        <f t="shared" si="503"/>
        <v>0</v>
      </c>
      <c r="BH120" s="105" t="str">
        <f>VLOOKUP(A120,'BOCA DE LOBO'!$C$99:$P$172,7,0)</f>
        <v>BOCA DE LOBO DUPLA EXISTENTE COM BOCA DE LOBO SIMPLES PROJETADA</v>
      </c>
      <c r="BI120" s="104">
        <f t="shared" si="504"/>
        <v>0</v>
      </c>
      <c r="BJ120" s="104">
        <f t="shared" si="505"/>
        <v>0</v>
      </c>
      <c r="BK120" s="104">
        <f t="shared" si="506"/>
        <v>1</v>
      </c>
      <c r="BL120" s="104">
        <f t="shared" si="507"/>
        <v>0</v>
      </c>
      <c r="BM120" s="104">
        <f t="shared" si="508"/>
        <v>0</v>
      </c>
      <c r="BN120" s="104">
        <f t="shared" si="509"/>
        <v>0</v>
      </c>
      <c r="BO120" s="543">
        <f t="shared" si="510"/>
        <v>0</v>
      </c>
      <c r="BP120" s="111"/>
      <c r="BQ120" s="108">
        <f t="shared" si="511"/>
        <v>11.399999999999999</v>
      </c>
      <c r="BR120" s="108">
        <f t="shared" si="512"/>
        <v>11.399999999999999</v>
      </c>
      <c r="BS120" s="108">
        <f t="shared" si="513"/>
        <v>2.5459999999999998</v>
      </c>
      <c r="BT120" s="112"/>
      <c r="BU120" s="112" t="s">
        <v>1410</v>
      </c>
      <c r="BV120" s="538">
        <f t="shared" si="429"/>
        <v>9.1559999999999988</v>
      </c>
      <c r="BW120" s="538">
        <f t="shared" si="430"/>
        <v>3.6623999999999994</v>
      </c>
      <c r="BX120" s="538">
        <f t="shared" si="431"/>
        <v>1.3923999999999999</v>
      </c>
      <c r="BY120" s="538">
        <f t="shared" si="514"/>
        <v>2.5</v>
      </c>
      <c r="BZ120" s="538">
        <f t="shared" si="515"/>
        <v>2.5</v>
      </c>
      <c r="CA120" s="538">
        <f t="shared" si="516"/>
        <v>0</v>
      </c>
      <c r="CB120" s="538">
        <f t="shared" si="517"/>
        <v>0</v>
      </c>
      <c r="CC120" s="538">
        <f t="shared" si="518"/>
        <v>5.4935999999999989</v>
      </c>
      <c r="CD120" s="538">
        <f t="shared" si="519"/>
        <v>3.6623999999999994</v>
      </c>
      <c r="CE120" s="538">
        <f t="shared" si="520"/>
        <v>0</v>
      </c>
      <c r="CF120" s="538">
        <f t="shared" si="521"/>
        <v>0</v>
      </c>
      <c r="CG120" s="538">
        <f t="shared" si="522"/>
        <v>0</v>
      </c>
      <c r="CH120" s="538">
        <f t="shared" si="523"/>
        <v>0</v>
      </c>
      <c r="CI120" s="104">
        <f t="shared" si="442"/>
        <v>0.252</v>
      </c>
      <c r="CJ120" s="538">
        <f t="shared" si="524"/>
        <v>5.4229999999999992</v>
      </c>
      <c r="CK120" s="538">
        <f t="shared" si="444"/>
        <v>5.4229999999999992</v>
      </c>
      <c r="CL120" s="538">
        <f t="shared" si="525"/>
        <v>0</v>
      </c>
      <c r="CM120" s="538">
        <f t="shared" si="526"/>
        <v>0</v>
      </c>
      <c r="CN120" s="538">
        <f t="shared" si="447"/>
        <v>1.68</v>
      </c>
      <c r="CO120" s="538">
        <f t="shared" si="527"/>
        <v>2.5</v>
      </c>
      <c r="CP120" s="538">
        <f t="shared" si="528"/>
        <v>5.04</v>
      </c>
      <c r="CQ120" s="538">
        <f t="shared" si="529"/>
        <v>3.36</v>
      </c>
      <c r="CR120" s="539">
        <f t="shared" si="451"/>
        <v>1.1000000000000001</v>
      </c>
      <c r="CS120" s="540">
        <f t="shared" si="452"/>
        <v>5.1000000000000004E-2</v>
      </c>
      <c r="CT120" s="540">
        <f t="shared" si="453"/>
        <v>0.15421000000000001</v>
      </c>
      <c r="CU120" s="541">
        <f t="shared" si="454"/>
        <v>6.5</v>
      </c>
      <c r="CV120" s="538">
        <f t="shared" si="455"/>
        <v>0.90203999999999995</v>
      </c>
      <c r="CW120" s="538">
        <f t="shared" si="456"/>
        <v>15.764600000000002</v>
      </c>
      <c r="CX120" s="104">
        <f t="shared" si="457"/>
        <v>1.68</v>
      </c>
      <c r="CY120" s="542">
        <f t="shared" si="458"/>
        <v>0.84</v>
      </c>
      <c r="CZ120" s="538">
        <f t="shared" si="459"/>
        <v>0</v>
      </c>
    </row>
    <row r="121" spans="1:104" ht="37.5" x14ac:dyDescent="0.25">
      <c r="A121" s="100" t="str">
        <f>'BOCA DE LOBO'!C111</f>
        <v>BL13-&gt;PV14.1</v>
      </c>
      <c r="B121" s="100" t="str">
        <f>'BOCA DE LOBO'!A111</f>
        <v>PV14.1</v>
      </c>
      <c r="C121" s="100" t="str">
        <f>VLOOKUP(A121,'BOCA DE LOBO'!C:F,3,0)</f>
        <v>PROJETADO</v>
      </c>
      <c r="D121" s="100" t="str">
        <f>VLOOKUP(A121,'BOCA DE LOBO'!C:M,10,0)</f>
        <v>AMPLIADA</v>
      </c>
      <c r="E121" s="100">
        <f t="shared" si="460"/>
        <v>2.5</v>
      </c>
      <c r="F121" s="100">
        <f>VLOOKUP(A121,'BOCA DE LOBO'!$C$97:$P$172,2,0)</f>
        <v>3.1</v>
      </c>
      <c r="G121" s="100">
        <f>VLOOKUP(A121,'BOCA DE LOBO'!$C$97:$L$172,4,0)</f>
        <v>4.01</v>
      </c>
      <c r="H121" s="101">
        <v>400</v>
      </c>
      <c r="I121" s="102">
        <f t="shared" si="461"/>
        <v>2.9299999999999997</v>
      </c>
      <c r="J121" s="102">
        <f t="shared" si="462"/>
        <v>0.5874649999999999</v>
      </c>
      <c r="K121" s="103">
        <v>0</v>
      </c>
      <c r="L121" s="104">
        <f t="shared" si="463"/>
        <v>0</v>
      </c>
      <c r="M121" s="104">
        <f t="shared" si="464"/>
        <v>0</v>
      </c>
      <c r="N121" s="104">
        <f t="shared" si="465"/>
        <v>400</v>
      </c>
      <c r="O121" s="104">
        <f t="shared" si="466"/>
        <v>0</v>
      </c>
      <c r="P121" s="105" t="str">
        <f>VLOOKUP(B121,'Planilha Hidráulica'!$AE$49:$AQ$94,13,0)</f>
        <v>ASFALTO</v>
      </c>
      <c r="Q121" s="452" t="s">
        <v>2053</v>
      </c>
      <c r="R121" s="105"/>
      <c r="S121" s="105">
        <f>VLOOKUP(Q121,Quantitativos!$P$43:$R$88,3,0)</f>
        <v>3.5</v>
      </c>
      <c r="T121" s="105">
        <f>VLOOKUP(Q121,Quantitativos!$P$43:$S$88,4,0)</f>
        <v>5</v>
      </c>
      <c r="U121" s="104">
        <f t="shared" si="467"/>
        <v>0.05</v>
      </c>
      <c r="V121" s="106">
        <f t="shared" si="468"/>
        <v>0</v>
      </c>
      <c r="W121" s="106">
        <f t="shared" si="469"/>
        <v>0</v>
      </c>
      <c r="X121" s="107">
        <f t="shared" si="470"/>
        <v>0</v>
      </c>
      <c r="Y121" s="107">
        <f t="shared" si="471"/>
        <v>0</v>
      </c>
      <c r="Z121" s="107">
        <f t="shared" si="472"/>
        <v>2.9299999999999997</v>
      </c>
      <c r="AA121" s="107">
        <f t="shared" si="473"/>
        <v>0</v>
      </c>
      <c r="AB121" s="108">
        <f t="shared" si="474"/>
        <v>0</v>
      </c>
      <c r="AC121" s="109">
        <f t="shared" si="475"/>
        <v>0</v>
      </c>
      <c r="AD121" s="109">
        <f t="shared" si="476"/>
        <v>0</v>
      </c>
      <c r="AE121" s="109">
        <f t="shared" si="477"/>
        <v>0</v>
      </c>
      <c r="AF121" s="109">
        <f t="shared" si="478"/>
        <v>0</v>
      </c>
      <c r="AG121" s="109">
        <f t="shared" si="479"/>
        <v>0</v>
      </c>
      <c r="AH121" s="109">
        <f t="shared" si="480"/>
        <v>0</v>
      </c>
      <c r="AI121" s="537" t="str">
        <f t="shared" si="481"/>
        <v>NÃO</v>
      </c>
      <c r="AJ121" s="104">
        <f t="shared" si="482"/>
        <v>0</v>
      </c>
      <c r="AK121" s="104">
        <f t="shared" si="483"/>
        <v>0</v>
      </c>
      <c r="AL121" s="104">
        <f t="shared" si="484"/>
        <v>0</v>
      </c>
      <c r="AM121" s="102">
        <f t="shared" si="485"/>
        <v>0</v>
      </c>
      <c r="AN121" s="106">
        <f t="shared" si="486"/>
        <v>0</v>
      </c>
      <c r="AO121" s="104">
        <f t="shared" si="487"/>
        <v>0</v>
      </c>
      <c r="AP121" s="104">
        <f t="shared" si="488"/>
        <v>0</v>
      </c>
      <c r="AQ121" s="104">
        <f t="shared" si="489"/>
        <v>0.7</v>
      </c>
      <c r="AR121" s="104">
        <f t="shared" si="490"/>
        <v>0</v>
      </c>
      <c r="AS121" s="104">
        <f t="shared" si="491"/>
        <v>0</v>
      </c>
      <c r="AT121" s="104">
        <f t="shared" si="492"/>
        <v>0</v>
      </c>
      <c r="AU121" s="104">
        <f t="shared" si="493"/>
        <v>0</v>
      </c>
      <c r="AV121" s="104">
        <f t="shared" si="494"/>
        <v>0</v>
      </c>
      <c r="AW121" s="104">
        <f t="shared" si="495"/>
        <v>0</v>
      </c>
      <c r="AX121" s="104">
        <f t="shared" si="496"/>
        <v>0</v>
      </c>
      <c r="AY121" s="104">
        <f t="shared" si="497"/>
        <v>0</v>
      </c>
      <c r="AZ121" s="104">
        <f t="shared" si="498"/>
        <v>0</v>
      </c>
      <c r="BA121" s="104">
        <f t="shared" si="413"/>
        <v>0</v>
      </c>
      <c r="BB121" s="104">
        <f t="shared" si="499"/>
        <v>0</v>
      </c>
      <c r="BC121" s="104"/>
      <c r="BD121" s="104">
        <f t="shared" si="500"/>
        <v>0</v>
      </c>
      <c r="BE121" s="108">
        <f t="shared" si="501"/>
        <v>2.9299999999999997</v>
      </c>
      <c r="BF121" s="110">
        <f t="shared" si="502"/>
        <v>0</v>
      </c>
      <c r="BG121" s="110">
        <f t="shared" si="503"/>
        <v>4.01</v>
      </c>
      <c r="BH121" s="105" t="str">
        <f>VLOOKUP(A121,'BOCA DE LOBO'!$C$99:$P$172,7,0)</f>
        <v>BOCA DE LOBO SIMPLES EXISTENTE COM BOCA DE LOBO DUPLA PROJETADA</v>
      </c>
      <c r="BI121" s="104">
        <f t="shared" si="504"/>
        <v>1</v>
      </c>
      <c r="BJ121" s="104">
        <f t="shared" si="505"/>
        <v>0</v>
      </c>
      <c r="BK121" s="104">
        <f t="shared" si="506"/>
        <v>0</v>
      </c>
      <c r="BL121" s="104">
        <f t="shared" si="507"/>
        <v>0</v>
      </c>
      <c r="BM121" s="104">
        <f t="shared" si="508"/>
        <v>0</v>
      </c>
      <c r="BN121" s="104">
        <f t="shared" si="509"/>
        <v>0</v>
      </c>
      <c r="BO121" s="543">
        <f t="shared" si="510"/>
        <v>0</v>
      </c>
      <c r="BP121" s="111"/>
      <c r="BQ121" s="108">
        <f t="shared" si="511"/>
        <v>12.03</v>
      </c>
      <c r="BR121" s="108">
        <f t="shared" si="512"/>
        <v>11.468599999999997</v>
      </c>
      <c r="BS121" s="108">
        <f t="shared" si="513"/>
        <v>0</v>
      </c>
      <c r="BT121" s="112"/>
      <c r="BU121" s="112" t="s">
        <v>1410</v>
      </c>
      <c r="BV121" s="538">
        <f t="shared" si="429"/>
        <v>15.695999999999996</v>
      </c>
      <c r="BW121" s="538">
        <f t="shared" si="430"/>
        <v>6.2783999999999986</v>
      </c>
      <c r="BX121" s="538">
        <f t="shared" si="431"/>
        <v>2.8083999999999998</v>
      </c>
      <c r="BY121" s="538">
        <f t="shared" si="514"/>
        <v>2.5</v>
      </c>
      <c r="BZ121" s="538">
        <f t="shared" si="515"/>
        <v>2.5</v>
      </c>
      <c r="CA121" s="538">
        <f t="shared" si="516"/>
        <v>0</v>
      </c>
      <c r="CB121" s="538">
        <f t="shared" si="517"/>
        <v>0</v>
      </c>
      <c r="CC121" s="538">
        <f t="shared" si="518"/>
        <v>9.4175999999999984</v>
      </c>
      <c r="CD121" s="538">
        <f t="shared" si="519"/>
        <v>6.2783999999999986</v>
      </c>
      <c r="CE121" s="538">
        <f t="shared" si="520"/>
        <v>0</v>
      </c>
      <c r="CF121" s="538">
        <f t="shared" si="521"/>
        <v>0</v>
      </c>
      <c r="CG121" s="538">
        <f t="shared" si="522"/>
        <v>0</v>
      </c>
      <c r="CH121" s="538">
        <f t="shared" si="523"/>
        <v>0</v>
      </c>
      <c r="CI121" s="104">
        <f t="shared" si="442"/>
        <v>0.432</v>
      </c>
      <c r="CJ121" s="538">
        <f t="shared" si="524"/>
        <v>8.2429999999999968</v>
      </c>
      <c r="CK121" s="538">
        <f t="shared" si="444"/>
        <v>8.2429999999999968</v>
      </c>
      <c r="CL121" s="538">
        <f t="shared" si="525"/>
        <v>0</v>
      </c>
      <c r="CM121" s="538">
        <f t="shared" si="526"/>
        <v>0</v>
      </c>
      <c r="CN121" s="538">
        <f t="shared" si="447"/>
        <v>2.88</v>
      </c>
      <c r="CO121" s="538">
        <f t="shared" si="527"/>
        <v>2.5</v>
      </c>
      <c r="CP121" s="538">
        <f t="shared" si="528"/>
        <v>8.64</v>
      </c>
      <c r="CQ121" s="538">
        <f t="shared" si="529"/>
        <v>5.76</v>
      </c>
      <c r="CR121" s="539">
        <f t="shared" si="451"/>
        <v>1.1000000000000001</v>
      </c>
      <c r="CS121" s="540">
        <f t="shared" si="452"/>
        <v>5.1000000000000004E-2</v>
      </c>
      <c r="CT121" s="540">
        <f t="shared" si="453"/>
        <v>0.30127039999999999</v>
      </c>
      <c r="CU121" s="541">
        <f t="shared" si="454"/>
        <v>11.5</v>
      </c>
      <c r="CV121" s="538">
        <f t="shared" si="455"/>
        <v>1.08657</v>
      </c>
      <c r="CW121" s="538">
        <f t="shared" si="456"/>
        <v>15.191200000000002</v>
      </c>
      <c r="CX121" s="104">
        <f t="shared" si="457"/>
        <v>2.88</v>
      </c>
      <c r="CY121" s="542">
        <f t="shared" si="458"/>
        <v>1.44</v>
      </c>
      <c r="CZ121" s="538">
        <f t="shared" si="459"/>
        <v>0</v>
      </c>
    </row>
    <row r="122" spans="1:104" ht="37.5" x14ac:dyDescent="0.25">
      <c r="A122" s="100" t="str">
        <f>'BOCA DE LOBO'!C112</f>
        <v>BL14-&gt;PV15.1</v>
      </c>
      <c r="B122" s="100" t="str">
        <f>'BOCA DE LOBO'!A112</f>
        <v>PV15.1</v>
      </c>
      <c r="C122" s="100" t="str">
        <f>VLOOKUP(A122,'BOCA DE LOBO'!C:F,3,0)</f>
        <v>PROJETADO</v>
      </c>
      <c r="D122" s="100" t="str">
        <f>VLOOKUP(A122,'BOCA DE LOBO'!C:M,10,0)</f>
        <v>AMPLIADA</v>
      </c>
      <c r="E122" s="100">
        <f t="shared" si="460"/>
        <v>2.4787999999999997</v>
      </c>
      <c r="F122" s="100">
        <f>VLOOKUP(A122,'BOCA DE LOBO'!$C$97:$P$172,2,0)</f>
        <v>2.8</v>
      </c>
      <c r="G122" s="100">
        <f>VLOOKUP(A122,'BOCA DE LOBO'!$C$97:$L$172,4,0)</f>
        <v>8.0299999999999994</v>
      </c>
      <c r="H122" s="101">
        <v>400</v>
      </c>
      <c r="I122" s="102">
        <f t="shared" si="461"/>
        <v>2.7693999999999996</v>
      </c>
      <c r="J122" s="102">
        <f t="shared" si="462"/>
        <v>1.1119140999999997</v>
      </c>
      <c r="K122" s="103">
        <v>0</v>
      </c>
      <c r="L122" s="104">
        <f t="shared" si="463"/>
        <v>0</v>
      </c>
      <c r="M122" s="104">
        <f t="shared" si="464"/>
        <v>0</v>
      </c>
      <c r="N122" s="104">
        <f t="shared" si="465"/>
        <v>400</v>
      </c>
      <c r="O122" s="104">
        <f t="shared" si="466"/>
        <v>0</v>
      </c>
      <c r="P122" s="105" t="str">
        <f>VLOOKUP(B122,'Planilha Hidráulica'!$AE$49:$AQ$94,13,0)</f>
        <v>ASFALTO</v>
      </c>
      <c r="Q122" s="452" t="s">
        <v>2053</v>
      </c>
      <c r="R122" s="105"/>
      <c r="S122" s="105">
        <f>VLOOKUP(Q122,Quantitativos!$P$43:$R$88,3,0)</f>
        <v>3.5</v>
      </c>
      <c r="T122" s="105">
        <f>VLOOKUP(Q122,Quantitativos!$P$43:$S$88,4,0)</f>
        <v>5</v>
      </c>
      <c r="U122" s="104">
        <f t="shared" si="467"/>
        <v>0.05</v>
      </c>
      <c r="V122" s="106">
        <f t="shared" si="468"/>
        <v>0</v>
      </c>
      <c r="W122" s="106">
        <f t="shared" si="469"/>
        <v>0</v>
      </c>
      <c r="X122" s="107">
        <f t="shared" si="470"/>
        <v>0</v>
      </c>
      <c r="Y122" s="107">
        <f t="shared" si="471"/>
        <v>0</v>
      </c>
      <c r="Z122" s="107">
        <f t="shared" si="472"/>
        <v>2.7693999999999996</v>
      </c>
      <c r="AA122" s="107">
        <f t="shared" si="473"/>
        <v>0</v>
      </c>
      <c r="AB122" s="108">
        <f t="shared" si="474"/>
        <v>0</v>
      </c>
      <c r="AC122" s="109">
        <f t="shared" si="475"/>
        <v>0</v>
      </c>
      <c r="AD122" s="109">
        <f t="shared" si="476"/>
        <v>0</v>
      </c>
      <c r="AE122" s="109">
        <f t="shared" si="477"/>
        <v>0</v>
      </c>
      <c r="AF122" s="109">
        <f t="shared" si="478"/>
        <v>0</v>
      </c>
      <c r="AG122" s="109">
        <f t="shared" si="479"/>
        <v>0</v>
      </c>
      <c r="AH122" s="109">
        <f t="shared" si="480"/>
        <v>0</v>
      </c>
      <c r="AI122" s="537" t="str">
        <f t="shared" si="481"/>
        <v>NÃO</v>
      </c>
      <c r="AJ122" s="104">
        <f t="shared" si="482"/>
        <v>0</v>
      </c>
      <c r="AK122" s="104">
        <f t="shared" si="483"/>
        <v>0</v>
      </c>
      <c r="AL122" s="104">
        <f t="shared" si="484"/>
        <v>0</v>
      </c>
      <c r="AM122" s="102">
        <f t="shared" si="485"/>
        <v>0</v>
      </c>
      <c r="AN122" s="106">
        <f t="shared" si="486"/>
        <v>0</v>
      </c>
      <c r="AO122" s="104">
        <f t="shared" si="487"/>
        <v>0</v>
      </c>
      <c r="AP122" s="104">
        <f t="shared" si="488"/>
        <v>0</v>
      </c>
      <c r="AQ122" s="104">
        <f t="shared" si="489"/>
        <v>0.7</v>
      </c>
      <c r="AR122" s="104">
        <f t="shared" si="490"/>
        <v>0</v>
      </c>
      <c r="AS122" s="104">
        <f t="shared" si="491"/>
        <v>0</v>
      </c>
      <c r="AT122" s="104">
        <f t="shared" si="492"/>
        <v>0</v>
      </c>
      <c r="AU122" s="104">
        <f t="shared" si="493"/>
        <v>0</v>
      </c>
      <c r="AV122" s="104">
        <f t="shared" si="494"/>
        <v>0</v>
      </c>
      <c r="AW122" s="104">
        <f t="shared" si="495"/>
        <v>0</v>
      </c>
      <c r="AX122" s="104">
        <f t="shared" si="496"/>
        <v>0</v>
      </c>
      <c r="AY122" s="104">
        <f t="shared" si="497"/>
        <v>0</v>
      </c>
      <c r="AZ122" s="104">
        <f t="shared" si="498"/>
        <v>0</v>
      </c>
      <c r="BA122" s="104">
        <f t="shared" si="413"/>
        <v>0</v>
      </c>
      <c r="BB122" s="104">
        <f t="shared" si="499"/>
        <v>0</v>
      </c>
      <c r="BC122" s="104"/>
      <c r="BD122" s="104">
        <f t="shared" si="500"/>
        <v>0</v>
      </c>
      <c r="BE122" s="108">
        <f t="shared" si="501"/>
        <v>2.7693999999999996</v>
      </c>
      <c r="BF122" s="110">
        <f t="shared" si="502"/>
        <v>0</v>
      </c>
      <c r="BG122" s="110">
        <f t="shared" si="503"/>
        <v>8.0299999999999994</v>
      </c>
      <c r="BH122" s="105" t="str">
        <f>VLOOKUP(A122,'BOCA DE LOBO'!$C$99:$P$172,7,0)</f>
        <v>BOCA DE LOBO SIMPLES EXISTENTE COM BOCA DE LOBO DUPLA PROJETADA</v>
      </c>
      <c r="BI122" s="104">
        <f t="shared" si="504"/>
        <v>1</v>
      </c>
      <c r="BJ122" s="104">
        <f t="shared" si="505"/>
        <v>0</v>
      </c>
      <c r="BK122" s="104">
        <f t="shared" si="506"/>
        <v>0</v>
      </c>
      <c r="BL122" s="104">
        <f t="shared" si="507"/>
        <v>0</v>
      </c>
      <c r="BM122" s="104">
        <f t="shared" si="508"/>
        <v>0</v>
      </c>
      <c r="BN122" s="104">
        <f t="shared" si="509"/>
        <v>0</v>
      </c>
      <c r="BO122" s="543">
        <f t="shared" si="510"/>
        <v>0</v>
      </c>
      <c r="BP122" s="111"/>
      <c r="BQ122" s="108">
        <f t="shared" si="511"/>
        <v>24.089999999999996</v>
      </c>
      <c r="BR122" s="108">
        <f t="shared" si="512"/>
        <v>20.386563999999993</v>
      </c>
      <c r="BS122" s="108">
        <f t="shared" si="513"/>
        <v>0</v>
      </c>
      <c r="BT122" s="112"/>
      <c r="BU122" s="112" t="s">
        <v>1410</v>
      </c>
      <c r="BV122" s="538">
        <f t="shared" si="429"/>
        <v>15.562897919999994</v>
      </c>
      <c r="BW122" s="538">
        <f t="shared" si="430"/>
        <v>6.2783999999999986</v>
      </c>
      <c r="BX122" s="538">
        <f t="shared" si="431"/>
        <v>2.8083999999999998</v>
      </c>
      <c r="BY122" s="538">
        <f t="shared" si="514"/>
        <v>2.4787999999999997</v>
      </c>
      <c r="BZ122" s="538">
        <f t="shared" si="515"/>
        <v>2.4787999999999997</v>
      </c>
      <c r="CA122" s="538">
        <f t="shared" si="516"/>
        <v>0</v>
      </c>
      <c r="CB122" s="538">
        <f t="shared" si="517"/>
        <v>0</v>
      </c>
      <c r="CC122" s="538">
        <f t="shared" si="518"/>
        <v>9.4175999999999984</v>
      </c>
      <c r="CD122" s="538">
        <f t="shared" si="519"/>
        <v>6.1452979199999964</v>
      </c>
      <c r="CE122" s="538">
        <f t="shared" si="520"/>
        <v>0</v>
      </c>
      <c r="CF122" s="538">
        <f t="shared" si="521"/>
        <v>0</v>
      </c>
      <c r="CG122" s="538">
        <f t="shared" si="522"/>
        <v>0</v>
      </c>
      <c r="CH122" s="538">
        <f t="shared" si="523"/>
        <v>0</v>
      </c>
      <c r="CI122" s="104">
        <f t="shared" si="442"/>
        <v>0.432</v>
      </c>
      <c r="CJ122" s="538">
        <f t="shared" si="524"/>
        <v>8.1694359999999957</v>
      </c>
      <c r="CK122" s="538">
        <f t="shared" si="444"/>
        <v>8.1694359999999957</v>
      </c>
      <c r="CL122" s="538">
        <f t="shared" si="525"/>
        <v>0</v>
      </c>
      <c r="CM122" s="538">
        <f t="shared" si="526"/>
        <v>0</v>
      </c>
      <c r="CN122" s="538">
        <f t="shared" si="447"/>
        <v>2.88</v>
      </c>
      <c r="CO122" s="538">
        <f t="shared" si="527"/>
        <v>2.4787999999999997</v>
      </c>
      <c r="CP122" s="538">
        <f t="shared" si="528"/>
        <v>8.64</v>
      </c>
      <c r="CQ122" s="538">
        <f t="shared" si="529"/>
        <v>5.6378879999999976</v>
      </c>
      <c r="CR122" s="539">
        <f t="shared" si="451"/>
        <v>1.0883399999999999</v>
      </c>
      <c r="CS122" s="540">
        <f t="shared" si="452"/>
        <v>5.0567519999999998E-2</v>
      </c>
      <c r="CT122" s="540">
        <f t="shared" si="453"/>
        <v>0.30127039999999999</v>
      </c>
      <c r="CU122" s="541">
        <f t="shared" si="454"/>
        <v>11.402479999999997</v>
      </c>
      <c r="CV122" s="538">
        <f t="shared" si="455"/>
        <v>1.0827857999999999</v>
      </c>
      <c r="CW122" s="538">
        <f t="shared" si="456"/>
        <v>15.096223999999999</v>
      </c>
      <c r="CX122" s="104">
        <f t="shared" si="457"/>
        <v>2.88</v>
      </c>
      <c r="CY122" s="542">
        <f t="shared" si="458"/>
        <v>1.44</v>
      </c>
      <c r="CZ122" s="538">
        <f t="shared" si="459"/>
        <v>0</v>
      </c>
    </row>
    <row r="123" spans="1:104" ht="37.5" x14ac:dyDescent="0.25">
      <c r="A123" s="100" t="str">
        <f>'BOCA DE LOBO'!C113</f>
        <v>BL15-&gt;PV16.1</v>
      </c>
      <c r="B123" s="100" t="str">
        <f>'BOCA DE LOBO'!A113</f>
        <v>PV16.1</v>
      </c>
      <c r="C123" s="100" t="str">
        <f>VLOOKUP(A123,'BOCA DE LOBO'!C:F,3,0)</f>
        <v>PROJETADO</v>
      </c>
      <c r="D123" s="100" t="str">
        <f>VLOOKUP(A123,'BOCA DE LOBO'!C:M,10,0)</f>
        <v>AMPLIADA</v>
      </c>
      <c r="E123" s="100">
        <f t="shared" si="460"/>
        <v>2.3163999999999998</v>
      </c>
      <c r="F123" s="100">
        <f>VLOOKUP(A123,'BOCA DE LOBO'!$C$97:$P$172,2,0)</f>
        <v>2.5</v>
      </c>
      <c r="G123" s="100">
        <f>VLOOKUP(A123,'BOCA DE LOBO'!$C$97:$L$172,4,0)</f>
        <v>4.59</v>
      </c>
      <c r="H123" s="101">
        <v>400</v>
      </c>
      <c r="I123" s="102">
        <f t="shared" si="461"/>
        <v>2.5381999999999998</v>
      </c>
      <c r="J123" s="102">
        <f t="shared" si="462"/>
        <v>0.58251689999999989</v>
      </c>
      <c r="K123" s="103">
        <v>0</v>
      </c>
      <c r="L123" s="104">
        <f t="shared" si="463"/>
        <v>0</v>
      </c>
      <c r="M123" s="104">
        <f t="shared" si="464"/>
        <v>0</v>
      </c>
      <c r="N123" s="104">
        <f t="shared" si="465"/>
        <v>400</v>
      </c>
      <c r="O123" s="104">
        <f t="shared" si="466"/>
        <v>0</v>
      </c>
      <c r="P123" s="105" t="str">
        <f>VLOOKUP(B123,'Planilha Hidráulica'!$AE$49:$AQ$94,13,0)</f>
        <v>ASFALTO</v>
      </c>
      <c r="Q123" s="452" t="s">
        <v>2053</v>
      </c>
      <c r="R123" s="105"/>
      <c r="S123" s="105">
        <f>VLOOKUP(Q123,Quantitativos!$P$43:$R$88,3,0)</f>
        <v>3.5</v>
      </c>
      <c r="T123" s="105">
        <f>VLOOKUP(Q123,Quantitativos!$P$43:$S$88,4,0)</f>
        <v>5</v>
      </c>
      <c r="U123" s="104">
        <f t="shared" si="467"/>
        <v>0.05</v>
      </c>
      <c r="V123" s="106">
        <f t="shared" si="468"/>
        <v>0</v>
      </c>
      <c r="W123" s="106">
        <f t="shared" si="469"/>
        <v>0</v>
      </c>
      <c r="X123" s="107">
        <f t="shared" si="470"/>
        <v>0</v>
      </c>
      <c r="Y123" s="107">
        <f t="shared" si="471"/>
        <v>0</v>
      </c>
      <c r="Z123" s="107">
        <f t="shared" si="472"/>
        <v>2.5381999999999998</v>
      </c>
      <c r="AA123" s="107">
        <f t="shared" si="473"/>
        <v>0</v>
      </c>
      <c r="AB123" s="108">
        <f t="shared" si="474"/>
        <v>0</v>
      </c>
      <c r="AC123" s="109">
        <f t="shared" si="475"/>
        <v>0</v>
      </c>
      <c r="AD123" s="109">
        <f t="shared" si="476"/>
        <v>0</v>
      </c>
      <c r="AE123" s="109">
        <f t="shared" si="477"/>
        <v>0</v>
      </c>
      <c r="AF123" s="109">
        <f t="shared" si="478"/>
        <v>0</v>
      </c>
      <c r="AG123" s="109">
        <f t="shared" si="479"/>
        <v>0</v>
      </c>
      <c r="AH123" s="109">
        <f t="shared" si="480"/>
        <v>0</v>
      </c>
      <c r="AI123" s="537" t="str">
        <f t="shared" si="481"/>
        <v>NÃO</v>
      </c>
      <c r="AJ123" s="104">
        <f t="shared" si="482"/>
        <v>0</v>
      </c>
      <c r="AK123" s="104">
        <f t="shared" si="483"/>
        <v>0</v>
      </c>
      <c r="AL123" s="104">
        <f t="shared" si="484"/>
        <v>0</v>
      </c>
      <c r="AM123" s="102">
        <f t="shared" si="485"/>
        <v>0</v>
      </c>
      <c r="AN123" s="106">
        <f t="shared" si="486"/>
        <v>0</v>
      </c>
      <c r="AO123" s="104">
        <f t="shared" si="487"/>
        <v>0</v>
      </c>
      <c r="AP123" s="104">
        <f t="shared" si="488"/>
        <v>0</v>
      </c>
      <c r="AQ123" s="104">
        <f t="shared" si="489"/>
        <v>0.7</v>
      </c>
      <c r="AR123" s="104">
        <f t="shared" si="490"/>
        <v>0</v>
      </c>
      <c r="AS123" s="104">
        <f t="shared" si="491"/>
        <v>0</v>
      </c>
      <c r="AT123" s="104">
        <f t="shared" si="492"/>
        <v>0</v>
      </c>
      <c r="AU123" s="104">
        <f t="shared" si="493"/>
        <v>0</v>
      </c>
      <c r="AV123" s="104">
        <f t="shared" si="494"/>
        <v>0</v>
      </c>
      <c r="AW123" s="104">
        <f t="shared" si="495"/>
        <v>0</v>
      </c>
      <c r="AX123" s="104">
        <f t="shared" si="496"/>
        <v>0</v>
      </c>
      <c r="AY123" s="104">
        <f t="shared" si="497"/>
        <v>0</v>
      </c>
      <c r="AZ123" s="104">
        <f t="shared" si="498"/>
        <v>0</v>
      </c>
      <c r="BA123" s="104">
        <f t="shared" si="413"/>
        <v>0</v>
      </c>
      <c r="BB123" s="104">
        <f t="shared" si="499"/>
        <v>0</v>
      </c>
      <c r="BC123" s="104"/>
      <c r="BD123" s="104">
        <f t="shared" si="500"/>
        <v>0</v>
      </c>
      <c r="BE123" s="108">
        <f t="shared" si="501"/>
        <v>2.5381999999999998</v>
      </c>
      <c r="BF123" s="110">
        <f t="shared" si="502"/>
        <v>0</v>
      </c>
      <c r="BG123" s="110">
        <f t="shared" si="503"/>
        <v>4.59</v>
      </c>
      <c r="BH123" s="105" t="str">
        <f>VLOOKUP(A123,'BOCA DE LOBO'!$C$99:$P$172,7,0)</f>
        <v>BOCA DE LOBO SIMPLES EXISTENTE COM BOCA DE LOBO DUPLA PROJETADA</v>
      </c>
      <c r="BI123" s="104">
        <f t="shared" si="504"/>
        <v>1</v>
      </c>
      <c r="BJ123" s="104">
        <f t="shared" si="505"/>
        <v>0</v>
      </c>
      <c r="BK123" s="104">
        <f t="shared" si="506"/>
        <v>0</v>
      </c>
      <c r="BL123" s="104">
        <f t="shared" si="507"/>
        <v>0</v>
      </c>
      <c r="BM123" s="104">
        <f t="shared" si="508"/>
        <v>0</v>
      </c>
      <c r="BN123" s="104">
        <f t="shared" si="509"/>
        <v>0</v>
      </c>
      <c r="BO123" s="543">
        <f t="shared" si="510"/>
        <v>0</v>
      </c>
      <c r="BP123" s="111"/>
      <c r="BQ123" s="108">
        <f t="shared" si="511"/>
        <v>13.77</v>
      </c>
      <c r="BR123" s="108">
        <f t="shared" si="512"/>
        <v>9.5306759999999979</v>
      </c>
      <c r="BS123" s="108">
        <f t="shared" si="513"/>
        <v>0</v>
      </c>
      <c r="BT123" s="112"/>
      <c r="BU123" s="112" t="s">
        <v>1410</v>
      </c>
      <c r="BV123" s="538">
        <f t="shared" si="429"/>
        <v>14.543285759999996</v>
      </c>
      <c r="BW123" s="538">
        <f t="shared" si="430"/>
        <v>6.2783999999999986</v>
      </c>
      <c r="BX123" s="538">
        <f t="shared" si="431"/>
        <v>2.8083999999999998</v>
      </c>
      <c r="BY123" s="538">
        <f t="shared" si="514"/>
        <v>2.3163999999999998</v>
      </c>
      <c r="BZ123" s="538">
        <f t="shared" si="515"/>
        <v>2.3163999999999998</v>
      </c>
      <c r="CA123" s="538">
        <f t="shared" si="516"/>
        <v>0</v>
      </c>
      <c r="CB123" s="538">
        <f t="shared" si="517"/>
        <v>0</v>
      </c>
      <c r="CC123" s="538">
        <f t="shared" si="518"/>
        <v>9.4175999999999984</v>
      </c>
      <c r="CD123" s="538">
        <f t="shared" si="519"/>
        <v>5.1256857599999979</v>
      </c>
      <c r="CE123" s="538">
        <f t="shared" si="520"/>
        <v>0</v>
      </c>
      <c r="CF123" s="538">
        <f t="shared" si="521"/>
        <v>0</v>
      </c>
      <c r="CG123" s="538">
        <f t="shared" si="522"/>
        <v>0</v>
      </c>
      <c r="CH123" s="538">
        <f t="shared" si="523"/>
        <v>0</v>
      </c>
      <c r="CI123" s="104">
        <f t="shared" si="442"/>
        <v>0.432</v>
      </c>
      <c r="CJ123" s="538">
        <f t="shared" si="524"/>
        <v>7.6059079999999959</v>
      </c>
      <c r="CK123" s="538">
        <f t="shared" si="444"/>
        <v>7.6059079999999959</v>
      </c>
      <c r="CL123" s="538">
        <f t="shared" si="525"/>
        <v>0</v>
      </c>
      <c r="CM123" s="538">
        <f t="shared" si="526"/>
        <v>0</v>
      </c>
      <c r="CN123" s="538">
        <f t="shared" si="447"/>
        <v>2.88</v>
      </c>
      <c r="CO123" s="538">
        <f t="shared" si="527"/>
        <v>2.3163999999999998</v>
      </c>
      <c r="CP123" s="538">
        <f t="shared" si="528"/>
        <v>8.64</v>
      </c>
      <c r="CQ123" s="538">
        <f t="shared" si="529"/>
        <v>4.7024639999999982</v>
      </c>
      <c r="CR123" s="539">
        <f t="shared" si="451"/>
        <v>0.99902000000000002</v>
      </c>
      <c r="CS123" s="540">
        <f t="shared" si="452"/>
        <v>4.7254560000000001E-2</v>
      </c>
      <c r="CT123" s="540">
        <f t="shared" si="453"/>
        <v>0.30127039999999999</v>
      </c>
      <c r="CU123" s="541">
        <f t="shared" si="454"/>
        <v>10.655439999999999</v>
      </c>
      <c r="CV123" s="538">
        <f t="shared" si="455"/>
        <v>1.0537973999999999</v>
      </c>
      <c r="CW123" s="538">
        <f t="shared" si="456"/>
        <v>14.368671999999997</v>
      </c>
      <c r="CX123" s="104">
        <f t="shared" si="457"/>
        <v>2.88</v>
      </c>
      <c r="CY123" s="542">
        <f t="shared" si="458"/>
        <v>1.44</v>
      </c>
      <c r="CZ123" s="538">
        <f t="shared" si="459"/>
        <v>0</v>
      </c>
    </row>
    <row r="124" spans="1:104" ht="37.5" x14ac:dyDescent="0.25">
      <c r="A124" s="100" t="str">
        <f>'BOCA DE LOBO'!C114</f>
        <v>BL16-&gt;PV17.1</v>
      </c>
      <c r="B124" s="100" t="str">
        <f>'BOCA DE LOBO'!A114</f>
        <v>PV17.1</v>
      </c>
      <c r="C124" s="100" t="str">
        <f>VLOOKUP(A124,'BOCA DE LOBO'!C:F,3,0)</f>
        <v>PROJETADO</v>
      </c>
      <c r="D124" s="100" t="str">
        <f>VLOOKUP(A124,'BOCA DE LOBO'!C:M,10,0)</f>
        <v>AMPLIADA</v>
      </c>
      <c r="E124" s="100">
        <f t="shared" si="460"/>
        <v>1.9324000000000001</v>
      </c>
      <c r="F124" s="100">
        <f>VLOOKUP(A124,'BOCA DE LOBO'!$C$97:$P$172,2,0)</f>
        <v>2.1</v>
      </c>
      <c r="G124" s="100">
        <f>VLOOKUP(A124,'BOCA DE LOBO'!$C$97:$L$172,4,0)</f>
        <v>4.1900000000000004</v>
      </c>
      <c r="H124" s="101">
        <v>400</v>
      </c>
      <c r="I124" s="102">
        <f t="shared" si="461"/>
        <v>2.1461999999999999</v>
      </c>
      <c r="J124" s="102">
        <f t="shared" si="462"/>
        <v>0.4496289</v>
      </c>
      <c r="K124" s="103">
        <v>0</v>
      </c>
      <c r="L124" s="104">
        <f t="shared" si="463"/>
        <v>0</v>
      </c>
      <c r="M124" s="104">
        <f t="shared" si="464"/>
        <v>0</v>
      </c>
      <c r="N124" s="104">
        <f t="shared" si="465"/>
        <v>400</v>
      </c>
      <c r="O124" s="104">
        <f t="shared" si="466"/>
        <v>0</v>
      </c>
      <c r="P124" s="105" t="str">
        <f>VLOOKUP(B124,'Planilha Hidráulica'!$AE$49:$AQ$94,13,0)</f>
        <v>ASFALTO</v>
      </c>
      <c r="Q124" s="452" t="s">
        <v>2053</v>
      </c>
      <c r="R124" s="105"/>
      <c r="S124" s="105">
        <f>VLOOKUP(Q124,Quantitativos!$P$43:$R$88,3,0)</f>
        <v>3.5</v>
      </c>
      <c r="T124" s="105">
        <f>VLOOKUP(Q124,Quantitativos!$P$43:$S$88,4,0)</f>
        <v>5</v>
      </c>
      <c r="U124" s="104">
        <f t="shared" si="467"/>
        <v>0.05</v>
      </c>
      <c r="V124" s="106">
        <f t="shared" si="468"/>
        <v>0</v>
      </c>
      <c r="W124" s="106">
        <f t="shared" si="469"/>
        <v>0</v>
      </c>
      <c r="X124" s="107">
        <f t="shared" si="470"/>
        <v>0</v>
      </c>
      <c r="Y124" s="107">
        <f t="shared" si="471"/>
        <v>0</v>
      </c>
      <c r="Z124" s="107">
        <f t="shared" si="472"/>
        <v>2.1461999999999999</v>
      </c>
      <c r="AA124" s="107">
        <f t="shared" si="473"/>
        <v>0</v>
      </c>
      <c r="AB124" s="108">
        <f t="shared" si="474"/>
        <v>0</v>
      </c>
      <c r="AC124" s="109">
        <f t="shared" si="475"/>
        <v>0</v>
      </c>
      <c r="AD124" s="109">
        <f t="shared" si="476"/>
        <v>0</v>
      </c>
      <c r="AE124" s="109">
        <f t="shared" si="477"/>
        <v>0</v>
      </c>
      <c r="AF124" s="109">
        <f t="shared" si="478"/>
        <v>0</v>
      </c>
      <c r="AG124" s="109">
        <f t="shared" si="479"/>
        <v>0</v>
      </c>
      <c r="AH124" s="109">
        <f t="shared" si="480"/>
        <v>0</v>
      </c>
      <c r="AI124" s="537" t="str">
        <f t="shared" si="481"/>
        <v>NÃO</v>
      </c>
      <c r="AJ124" s="104">
        <f t="shared" si="482"/>
        <v>0</v>
      </c>
      <c r="AK124" s="104">
        <f t="shared" si="483"/>
        <v>0</v>
      </c>
      <c r="AL124" s="104">
        <f t="shared" si="484"/>
        <v>0</v>
      </c>
      <c r="AM124" s="102">
        <f t="shared" si="485"/>
        <v>0</v>
      </c>
      <c r="AN124" s="106">
        <f t="shared" si="486"/>
        <v>0</v>
      </c>
      <c r="AO124" s="104">
        <f t="shared" si="487"/>
        <v>0</v>
      </c>
      <c r="AP124" s="104">
        <f t="shared" si="488"/>
        <v>0</v>
      </c>
      <c r="AQ124" s="104">
        <f t="shared" si="489"/>
        <v>0.7</v>
      </c>
      <c r="AR124" s="104">
        <f t="shared" si="490"/>
        <v>0</v>
      </c>
      <c r="AS124" s="104">
        <f t="shared" si="491"/>
        <v>0</v>
      </c>
      <c r="AT124" s="104">
        <f t="shared" si="492"/>
        <v>0</v>
      </c>
      <c r="AU124" s="104">
        <f t="shared" si="493"/>
        <v>0</v>
      </c>
      <c r="AV124" s="104">
        <f t="shared" si="494"/>
        <v>0</v>
      </c>
      <c r="AW124" s="104">
        <f t="shared" si="495"/>
        <v>0</v>
      </c>
      <c r="AX124" s="104">
        <f t="shared" si="496"/>
        <v>0</v>
      </c>
      <c r="AY124" s="104">
        <f t="shared" si="497"/>
        <v>0</v>
      </c>
      <c r="AZ124" s="104">
        <f t="shared" si="498"/>
        <v>0</v>
      </c>
      <c r="BA124" s="104">
        <f t="shared" si="413"/>
        <v>0</v>
      </c>
      <c r="BB124" s="104">
        <f t="shared" si="499"/>
        <v>0</v>
      </c>
      <c r="BC124" s="104"/>
      <c r="BD124" s="104">
        <f t="shared" si="500"/>
        <v>0</v>
      </c>
      <c r="BE124" s="108">
        <f t="shared" si="501"/>
        <v>2.1461999999999999</v>
      </c>
      <c r="BF124" s="110">
        <f t="shared" si="502"/>
        <v>0</v>
      </c>
      <c r="BG124" s="110">
        <f t="shared" si="503"/>
        <v>4.1900000000000004</v>
      </c>
      <c r="BH124" s="105" t="str">
        <f>VLOOKUP(A124,'BOCA DE LOBO'!$C$99:$P$172,7,0)</f>
        <v>BOCA DE LOBO SIMPLES EXISTENTE COM BOCA DE LOBO DUPLA PROJETADA</v>
      </c>
      <c r="BI124" s="104">
        <f t="shared" si="504"/>
        <v>1</v>
      </c>
      <c r="BJ124" s="104">
        <f t="shared" si="505"/>
        <v>0</v>
      </c>
      <c r="BK124" s="104">
        <f t="shared" si="506"/>
        <v>0</v>
      </c>
      <c r="BL124" s="104">
        <f t="shared" si="507"/>
        <v>0</v>
      </c>
      <c r="BM124" s="104">
        <f t="shared" si="508"/>
        <v>0</v>
      </c>
      <c r="BN124" s="104">
        <f t="shared" si="509"/>
        <v>0</v>
      </c>
      <c r="BO124" s="543">
        <f t="shared" si="510"/>
        <v>0</v>
      </c>
      <c r="BP124" s="111"/>
      <c r="BQ124" s="108">
        <f t="shared" si="511"/>
        <v>12.57</v>
      </c>
      <c r="BR124" s="108">
        <f t="shared" si="512"/>
        <v>5.4151559999999996</v>
      </c>
      <c r="BS124" s="108">
        <f t="shared" si="513"/>
        <v>0</v>
      </c>
      <c r="BT124" s="112"/>
      <c r="BU124" s="112" t="s">
        <v>1410</v>
      </c>
      <c r="BV124" s="538">
        <f t="shared" si="429"/>
        <v>12.132380159999999</v>
      </c>
      <c r="BW124" s="538">
        <f t="shared" si="430"/>
        <v>6.2783999999999986</v>
      </c>
      <c r="BX124" s="538">
        <f t="shared" si="431"/>
        <v>2.8083999999999998</v>
      </c>
      <c r="BY124" s="538">
        <f t="shared" si="514"/>
        <v>1.9324000000000001</v>
      </c>
      <c r="BZ124" s="538">
        <f t="shared" si="515"/>
        <v>1.9324000000000001</v>
      </c>
      <c r="CA124" s="538">
        <f t="shared" si="516"/>
        <v>0</v>
      </c>
      <c r="CB124" s="538">
        <f t="shared" si="517"/>
        <v>0</v>
      </c>
      <c r="CC124" s="538">
        <f t="shared" si="518"/>
        <v>9.4175999999999984</v>
      </c>
      <c r="CD124" s="538">
        <f t="shared" si="519"/>
        <v>2.7147801600000001</v>
      </c>
      <c r="CE124" s="538">
        <f t="shared" si="520"/>
        <v>0</v>
      </c>
      <c r="CF124" s="538">
        <f t="shared" si="521"/>
        <v>0</v>
      </c>
      <c r="CG124" s="538">
        <f t="shared" si="522"/>
        <v>0</v>
      </c>
      <c r="CH124" s="538">
        <f t="shared" si="523"/>
        <v>0</v>
      </c>
      <c r="CI124" s="104">
        <f t="shared" si="442"/>
        <v>0.432</v>
      </c>
      <c r="CJ124" s="538">
        <f t="shared" si="524"/>
        <v>6.2734279999999982</v>
      </c>
      <c r="CK124" s="538">
        <f t="shared" si="444"/>
        <v>6.2734279999999982</v>
      </c>
      <c r="CL124" s="538">
        <f t="shared" si="525"/>
        <v>0</v>
      </c>
      <c r="CM124" s="538">
        <f t="shared" si="526"/>
        <v>0</v>
      </c>
      <c r="CN124" s="538">
        <f t="shared" si="447"/>
        <v>2.88</v>
      </c>
      <c r="CO124" s="538">
        <f t="shared" si="527"/>
        <v>1.9324000000000001</v>
      </c>
      <c r="CP124" s="538">
        <f t="shared" si="528"/>
        <v>8.64</v>
      </c>
      <c r="CQ124" s="538">
        <f t="shared" si="529"/>
        <v>2.4906240000000004</v>
      </c>
      <c r="CR124" s="539">
        <f t="shared" si="451"/>
        <v>0.78782000000000008</v>
      </c>
      <c r="CS124" s="540">
        <f t="shared" si="452"/>
        <v>3.9420960000000005E-2</v>
      </c>
      <c r="CT124" s="540">
        <f t="shared" si="453"/>
        <v>0.30127039999999999</v>
      </c>
      <c r="CU124" s="541">
        <f t="shared" si="454"/>
        <v>8.8890399999999996</v>
      </c>
      <c r="CV124" s="538">
        <f t="shared" si="455"/>
        <v>0.98525340000000006</v>
      </c>
      <c r="CW124" s="538">
        <f t="shared" si="456"/>
        <v>12.648352000000003</v>
      </c>
      <c r="CX124" s="104">
        <f t="shared" si="457"/>
        <v>2.88</v>
      </c>
      <c r="CY124" s="542">
        <f t="shared" si="458"/>
        <v>1.44</v>
      </c>
      <c r="CZ124" s="538">
        <f t="shared" si="459"/>
        <v>0</v>
      </c>
    </row>
    <row r="125" spans="1:104" ht="37.5" x14ac:dyDescent="0.25">
      <c r="A125" s="100" t="str">
        <f>'BOCA DE LOBO'!C115</f>
        <v>BL17-&gt;PV19.1</v>
      </c>
      <c r="B125" s="100" t="str">
        <f>'BOCA DE LOBO'!A115</f>
        <v>PV19.1</v>
      </c>
      <c r="C125" s="100" t="str">
        <f>VLOOKUP(A125,'BOCA DE LOBO'!C:F,3,0)</f>
        <v>PROJETADO</v>
      </c>
      <c r="D125" s="100" t="str">
        <f>VLOOKUP(A125,'BOCA DE LOBO'!C:M,10,0)</f>
        <v>AMPLIADA</v>
      </c>
      <c r="E125" s="100">
        <f t="shared" si="460"/>
        <v>2.254</v>
      </c>
      <c r="F125" s="100">
        <f>VLOOKUP(A125,'BOCA DE LOBO'!$C$97:$P$172,2,0)</f>
        <v>2.5</v>
      </c>
      <c r="G125" s="100">
        <f>VLOOKUP(A125,'BOCA DE LOBO'!$C$97:$L$172,4,0)</f>
        <v>6.15</v>
      </c>
      <c r="H125" s="101">
        <v>400</v>
      </c>
      <c r="I125" s="102">
        <f t="shared" si="461"/>
        <v>2.5069999999999997</v>
      </c>
      <c r="J125" s="102">
        <f t="shared" si="462"/>
        <v>0.77090249999999994</v>
      </c>
      <c r="K125" s="103">
        <v>0</v>
      </c>
      <c r="L125" s="104">
        <f t="shared" si="463"/>
        <v>0</v>
      </c>
      <c r="M125" s="104">
        <f t="shared" si="464"/>
        <v>0</v>
      </c>
      <c r="N125" s="104">
        <f t="shared" si="465"/>
        <v>400</v>
      </c>
      <c r="O125" s="104">
        <f t="shared" si="466"/>
        <v>0</v>
      </c>
      <c r="P125" s="105" t="str">
        <f>VLOOKUP(B125,'Planilha Hidráulica'!$AE$49:$AQ$94,13,0)</f>
        <v>ASFALTO</v>
      </c>
      <c r="Q125" s="452" t="s">
        <v>2054</v>
      </c>
      <c r="R125" s="105"/>
      <c r="S125" s="105">
        <f>VLOOKUP(Q125,Quantitativos!$P$43:$R$88,3,0)</f>
        <v>3.8</v>
      </c>
      <c r="T125" s="105">
        <f>VLOOKUP(Q125,Quantitativos!$P$43:$S$88,4,0)</f>
        <v>2.4</v>
      </c>
      <c r="U125" s="104">
        <f t="shared" si="467"/>
        <v>0.05</v>
      </c>
      <c r="V125" s="106">
        <f t="shared" si="468"/>
        <v>0</v>
      </c>
      <c r="W125" s="106">
        <f t="shared" si="469"/>
        <v>0</v>
      </c>
      <c r="X125" s="107">
        <f t="shared" si="470"/>
        <v>0</v>
      </c>
      <c r="Y125" s="107">
        <f t="shared" si="471"/>
        <v>0</v>
      </c>
      <c r="Z125" s="107">
        <f t="shared" si="472"/>
        <v>2.5069999999999997</v>
      </c>
      <c r="AA125" s="107">
        <f t="shared" si="473"/>
        <v>0</v>
      </c>
      <c r="AB125" s="108">
        <f t="shared" si="474"/>
        <v>0</v>
      </c>
      <c r="AC125" s="109">
        <f t="shared" si="475"/>
        <v>0</v>
      </c>
      <c r="AD125" s="109">
        <f t="shared" si="476"/>
        <v>0</v>
      </c>
      <c r="AE125" s="109">
        <f t="shared" si="477"/>
        <v>0</v>
      </c>
      <c r="AF125" s="109">
        <f t="shared" si="478"/>
        <v>0</v>
      </c>
      <c r="AG125" s="109">
        <f t="shared" si="479"/>
        <v>0</v>
      </c>
      <c r="AH125" s="109">
        <f t="shared" si="480"/>
        <v>0</v>
      </c>
      <c r="AI125" s="537" t="str">
        <f t="shared" si="481"/>
        <v>NÃO</v>
      </c>
      <c r="AJ125" s="104">
        <f t="shared" si="482"/>
        <v>0</v>
      </c>
      <c r="AK125" s="104">
        <f t="shared" si="483"/>
        <v>8.7739999999999815E-3</v>
      </c>
      <c r="AL125" s="104">
        <f t="shared" si="484"/>
        <v>0</v>
      </c>
      <c r="AM125" s="102">
        <f t="shared" si="485"/>
        <v>0</v>
      </c>
      <c r="AN125" s="106">
        <f t="shared" si="486"/>
        <v>0</v>
      </c>
      <c r="AO125" s="104">
        <f t="shared" si="487"/>
        <v>0</v>
      </c>
      <c r="AP125" s="104">
        <f t="shared" si="488"/>
        <v>0</v>
      </c>
      <c r="AQ125" s="104">
        <f t="shared" si="489"/>
        <v>0.7</v>
      </c>
      <c r="AR125" s="104">
        <f t="shared" si="490"/>
        <v>0</v>
      </c>
      <c r="AS125" s="104">
        <f t="shared" si="491"/>
        <v>0</v>
      </c>
      <c r="AT125" s="104">
        <f t="shared" si="492"/>
        <v>0</v>
      </c>
      <c r="AU125" s="104">
        <f t="shared" si="493"/>
        <v>0</v>
      </c>
      <c r="AV125" s="104">
        <f t="shared" si="494"/>
        <v>0</v>
      </c>
      <c r="AW125" s="104">
        <f t="shared" si="495"/>
        <v>0</v>
      </c>
      <c r="AX125" s="104">
        <f t="shared" si="496"/>
        <v>0</v>
      </c>
      <c r="AY125" s="104">
        <f t="shared" si="497"/>
        <v>0</v>
      </c>
      <c r="AZ125" s="104">
        <f t="shared" si="498"/>
        <v>0</v>
      </c>
      <c r="BA125" s="104">
        <f t="shared" si="413"/>
        <v>0</v>
      </c>
      <c r="BB125" s="104">
        <f t="shared" si="499"/>
        <v>0</v>
      </c>
      <c r="BC125" s="104"/>
      <c r="BD125" s="104">
        <f t="shared" si="500"/>
        <v>0</v>
      </c>
      <c r="BE125" s="108">
        <f t="shared" si="501"/>
        <v>2.5069999999999997</v>
      </c>
      <c r="BF125" s="110">
        <f t="shared" si="502"/>
        <v>0</v>
      </c>
      <c r="BG125" s="110">
        <f t="shared" si="503"/>
        <v>6.15</v>
      </c>
      <c r="BH125" s="105" t="str">
        <f>VLOOKUP(A125,'BOCA DE LOBO'!$C$99:$P$172,7,0)</f>
        <v>BOCA DE LOBO DUPLA EXISTENTE COM BOCA DE LOBO SIMPLES PROJETADA</v>
      </c>
      <c r="BI125" s="104">
        <f t="shared" si="504"/>
        <v>0</v>
      </c>
      <c r="BJ125" s="104">
        <f t="shared" si="505"/>
        <v>0</v>
      </c>
      <c r="BK125" s="104">
        <f t="shared" si="506"/>
        <v>1</v>
      </c>
      <c r="BL125" s="104">
        <f t="shared" si="507"/>
        <v>0</v>
      </c>
      <c r="BM125" s="104">
        <f t="shared" si="508"/>
        <v>0</v>
      </c>
      <c r="BN125" s="104">
        <f t="shared" si="509"/>
        <v>0</v>
      </c>
      <c r="BO125" s="543">
        <f t="shared" si="510"/>
        <v>0</v>
      </c>
      <c r="BP125" s="111"/>
      <c r="BQ125" s="108">
        <f t="shared" si="511"/>
        <v>18.450000000000003</v>
      </c>
      <c r="BR125" s="108">
        <f t="shared" si="512"/>
        <v>12.386099999999997</v>
      </c>
      <c r="BS125" s="108">
        <f t="shared" si="513"/>
        <v>0</v>
      </c>
      <c r="BT125" s="112"/>
      <c r="BU125" s="112" t="s">
        <v>1410</v>
      </c>
      <c r="BV125" s="538">
        <f t="shared" si="429"/>
        <v>8.2550495999999995</v>
      </c>
      <c r="BW125" s="538">
        <f t="shared" si="430"/>
        <v>3.6623999999999994</v>
      </c>
      <c r="BX125" s="538">
        <f t="shared" si="431"/>
        <v>1.3923999999999999</v>
      </c>
      <c r="BY125" s="538">
        <f t="shared" si="514"/>
        <v>2.254</v>
      </c>
      <c r="BZ125" s="538">
        <f t="shared" si="515"/>
        <v>2.254</v>
      </c>
      <c r="CA125" s="538">
        <f t="shared" si="516"/>
        <v>0</v>
      </c>
      <c r="CB125" s="538">
        <f t="shared" si="517"/>
        <v>0</v>
      </c>
      <c r="CC125" s="538">
        <f t="shared" si="518"/>
        <v>5.4935999999999989</v>
      </c>
      <c r="CD125" s="538">
        <f t="shared" si="519"/>
        <v>2.7614495999999997</v>
      </c>
      <c r="CE125" s="538">
        <f t="shared" si="520"/>
        <v>0</v>
      </c>
      <c r="CF125" s="538">
        <f t="shared" si="521"/>
        <v>0</v>
      </c>
      <c r="CG125" s="538">
        <f t="shared" si="522"/>
        <v>0</v>
      </c>
      <c r="CH125" s="538">
        <f t="shared" si="523"/>
        <v>0</v>
      </c>
      <c r="CI125" s="104">
        <f t="shared" si="442"/>
        <v>0.252</v>
      </c>
      <c r="CJ125" s="538">
        <f t="shared" si="524"/>
        <v>4.8645799999999992</v>
      </c>
      <c r="CK125" s="538">
        <f t="shared" si="444"/>
        <v>4.8645799999999992</v>
      </c>
      <c r="CL125" s="538">
        <f t="shared" si="525"/>
        <v>0</v>
      </c>
      <c r="CM125" s="538">
        <f t="shared" si="526"/>
        <v>0</v>
      </c>
      <c r="CN125" s="538">
        <f t="shared" si="447"/>
        <v>1.68</v>
      </c>
      <c r="CO125" s="538">
        <f t="shared" si="527"/>
        <v>2.254</v>
      </c>
      <c r="CP125" s="538">
        <f t="shared" si="528"/>
        <v>5.04</v>
      </c>
      <c r="CQ125" s="538">
        <f t="shared" si="529"/>
        <v>2.5334400000000001</v>
      </c>
      <c r="CR125" s="539">
        <f t="shared" si="451"/>
        <v>0.96470000000000011</v>
      </c>
      <c r="CS125" s="540">
        <f t="shared" si="452"/>
        <v>4.5981600000000004E-2</v>
      </c>
      <c r="CT125" s="540">
        <f t="shared" si="453"/>
        <v>0.15421000000000001</v>
      </c>
      <c r="CU125" s="541">
        <f t="shared" si="454"/>
        <v>5.8604000000000003</v>
      </c>
      <c r="CV125" s="538">
        <f t="shared" si="455"/>
        <v>0.85185599999999995</v>
      </c>
      <c r="CW125" s="538">
        <f t="shared" si="456"/>
        <v>14.50508</v>
      </c>
      <c r="CX125" s="104">
        <f t="shared" si="457"/>
        <v>1.68</v>
      </c>
      <c r="CY125" s="542">
        <f t="shared" si="458"/>
        <v>0.84</v>
      </c>
      <c r="CZ125" s="538">
        <f t="shared" si="459"/>
        <v>0</v>
      </c>
    </row>
    <row r="126" spans="1:104" ht="25" x14ac:dyDescent="0.25">
      <c r="A126" s="100" t="str">
        <f>'BOCA DE LOBO'!C116</f>
        <v>BL18-&gt;PV20.1</v>
      </c>
      <c r="B126" s="100" t="str">
        <f>'BOCA DE LOBO'!A116</f>
        <v>PV20.1</v>
      </c>
      <c r="C126" s="100" t="str">
        <f>VLOOKUP(A126,'BOCA DE LOBO'!C:F,3,0)</f>
        <v>PROJETADO</v>
      </c>
      <c r="D126" s="100" t="str">
        <f>VLOOKUP(A126,'BOCA DE LOBO'!C:M,10,0)</f>
        <v>PROJETADA</v>
      </c>
      <c r="E126" s="100">
        <f t="shared" si="460"/>
        <v>2.2056</v>
      </c>
      <c r="F126" s="100">
        <f>VLOOKUP(A126,'BOCA DE LOBO'!$C$97:$P$172,2,0)</f>
        <v>2.5</v>
      </c>
      <c r="G126" s="100">
        <f>VLOOKUP(A126,'BOCA DE LOBO'!$C$97:$L$172,4,0)</f>
        <v>7.36</v>
      </c>
      <c r="H126" s="101">
        <v>400</v>
      </c>
      <c r="I126" s="102">
        <f t="shared" si="461"/>
        <v>2.4828000000000001</v>
      </c>
      <c r="J126" s="102">
        <f t="shared" si="462"/>
        <v>0.91367040000000022</v>
      </c>
      <c r="K126" s="103">
        <v>0</v>
      </c>
      <c r="L126" s="104">
        <f t="shared" si="463"/>
        <v>1</v>
      </c>
      <c r="M126" s="104">
        <f t="shared" si="464"/>
        <v>1</v>
      </c>
      <c r="N126" s="104">
        <f t="shared" si="465"/>
        <v>0</v>
      </c>
      <c r="O126" s="104">
        <f t="shared" si="466"/>
        <v>7.36</v>
      </c>
      <c r="P126" s="105" t="str">
        <f>VLOOKUP(B126,'Planilha Hidráulica'!$AE$49:$AQ$94,13,0)</f>
        <v>ASFALTO</v>
      </c>
      <c r="Q126" s="452" t="s">
        <v>2057</v>
      </c>
      <c r="R126" s="105"/>
      <c r="S126" s="105">
        <f>VLOOKUP(Q126,Quantitativos!$P$43:$R$88,3,0)</f>
        <v>3.7</v>
      </c>
      <c r="T126" s="105">
        <f>VLOOKUP(Q126,Quantitativos!$P$43:$S$88,4,0)</f>
        <v>2.5</v>
      </c>
      <c r="U126" s="104">
        <f t="shared" si="467"/>
        <v>0.05</v>
      </c>
      <c r="V126" s="106">
        <f t="shared" si="468"/>
        <v>0</v>
      </c>
      <c r="W126" s="106">
        <f t="shared" si="469"/>
        <v>18.273408000000003</v>
      </c>
      <c r="X126" s="107">
        <f t="shared" si="470"/>
        <v>0</v>
      </c>
      <c r="Y126" s="107">
        <f t="shared" si="471"/>
        <v>0</v>
      </c>
      <c r="Z126" s="107">
        <f t="shared" si="472"/>
        <v>2.4828000000000001</v>
      </c>
      <c r="AA126" s="107">
        <f t="shared" si="473"/>
        <v>0</v>
      </c>
      <c r="AB126" s="108">
        <f t="shared" si="474"/>
        <v>7.36</v>
      </c>
      <c r="AC126" s="109">
        <f t="shared" si="475"/>
        <v>0</v>
      </c>
      <c r="AD126" s="109">
        <f t="shared" si="476"/>
        <v>0</v>
      </c>
      <c r="AE126" s="109">
        <f t="shared" si="477"/>
        <v>0</v>
      </c>
      <c r="AF126" s="109">
        <f t="shared" si="478"/>
        <v>11.040000000000001</v>
      </c>
      <c r="AG126" s="109">
        <f t="shared" si="479"/>
        <v>7.2334080000000016</v>
      </c>
      <c r="AH126" s="109">
        <f t="shared" si="480"/>
        <v>0</v>
      </c>
      <c r="AI126" s="537" t="str">
        <f t="shared" si="481"/>
        <v>NÃO</v>
      </c>
      <c r="AJ126" s="104">
        <f t="shared" si="482"/>
        <v>0</v>
      </c>
      <c r="AK126" s="104">
        <f t="shared" si="483"/>
        <v>0</v>
      </c>
      <c r="AL126" s="104">
        <f t="shared" si="484"/>
        <v>17.348523122783167</v>
      </c>
      <c r="AM126" s="102">
        <f t="shared" si="485"/>
        <v>0.36800000000000005</v>
      </c>
      <c r="AN126" s="106">
        <f t="shared" si="486"/>
        <v>0</v>
      </c>
      <c r="AO126" s="104">
        <f t="shared" si="487"/>
        <v>0</v>
      </c>
      <c r="AP126" s="104">
        <f t="shared" si="488"/>
        <v>0</v>
      </c>
      <c r="AQ126" s="104">
        <f t="shared" si="489"/>
        <v>0.7</v>
      </c>
      <c r="AR126" s="104">
        <f t="shared" si="490"/>
        <v>4.2271151227831645</v>
      </c>
      <c r="AS126" s="104">
        <f t="shared" si="491"/>
        <v>0</v>
      </c>
      <c r="AT126" s="104">
        <f t="shared" si="492"/>
        <v>1.1040000000000001</v>
      </c>
      <c r="AU126" s="104">
        <f t="shared" si="493"/>
        <v>1.1040000000000001</v>
      </c>
      <c r="AV126" s="104">
        <f t="shared" si="494"/>
        <v>0.2208</v>
      </c>
      <c r="AW126" s="104">
        <f t="shared" si="495"/>
        <v>10.545408000000005</v>
      </c>
      <c r="AX126" s="104">
        <f t="shared" si="496"/>
        <v>12.94229287721684</v>
      </c>
      <c r="AY126" s="104">
        <f t="shared" si="497"/>
        <v>10.545408000000005</v>
      </c>
      <c r="AZ126" s="104">
        <f t="shared" si="498"/>
        <v>0</v>
      </c>
      <c r="BA126" s="104">
        <f t="shared" si="413"/>
        <v>0</v>
      </c>
      <c r="BB126" s="104">
        <f t="shared" si="499"/>
        <v>0</v>
      </c>
      <c r="BC126" s="104"/>
      <c r="BD126" s="104">
        <f t="shared" si="500"/>
        <v>0</v>
      </c>
      <c r="BE126" s="108">
        <f t="shared" si="501"/>
        <v>2.4828000000000001</v>
      </c>
      <c r="BF126" s="110">
        <f t="shared" si="502"/>
        <v>0</v>
      </c>
      <c r="BG126" s="110">
        <f t="shared" si="503"/>
        <v>7.36</v>
      </c>
      <c r="BH126" s="105" t="str">
        <f>VLOOKUP(A126,'BOCA DE LOBO'!$C$99:$P$172,7,0)</f>
        <v>BOCA DE LOBO PROJETADA TRIPLA</v>
      </c>
      <c r="BI126" s="104">
        <f t="shared" si="504"/>
        <v>0</v>
      </c>
      <c r="BJ126" s="104">
        <f t="shared" si="505"/>
        <v>0</v>
      </c>
      <c r="BK126" s="104">
        <f t="shared" si="506"/>
        <v>0</v>
      </c>
      <c r="BL126" s="104">
        <f t="shared" si="507"/>
        <v>0</v>
      </c>
      <c r="BM126" s="104">
        <f t="shared" si="508"/>
        <v>0</v>
      </c>
      <c r="BN126" s="104">
        <f t="shared" si="509"/>
        <v>0</v>
      </c>
      <c r="BO126" s="543">
        <f t="shared" si="510"/>
        <v>1</v>
      </c>
      <c r="BP126" s="111"/>
      <c r="BQ126" s="108">
        <f t="shared" si="511"/>
        <v>22.080000000000002</v>
      </c>
      <c r="BR126" s="108">
        <f t="shared" si="512"/>
        <v>14.466816000000003</v>
      </c>
      <c r="BS126" s="108">
        <f t="shared" si="513"/>
        <v>0</v>
      </c>
      <c r="BT126" s="112"/>
      <c r="BU126" s="112" t="s">
        <v>1410</v>
      </c>
      <c r="BV126" s="538">
        <f t="shared" si="429"/>
        <v>22.887070079999994</v>
      </c>
      <c r="BW126" s="538">
        <f t="shared" si="430"/>
        <v>10.376799999999998</v>
      </c>
      <c r="BX126" s="538">
        <f t="shared" si="431"/>
        <v>4.4367999999999999</v>
      </c>
      <c r="BY126" s="538">
        <f t="shared" si="514"/>
        <v>2.2056</v>
      </c>
      <c r="BZ126" s="538">
        <f t="shared" si="515"/>
        <v>2.2056</v>
      </c>
      <c r="CA126" s="538">
        <f t="shared" si="516"/>
        <v>0</v>
      </c>
      <c r="CB126" s="538">
        <f t="shared" si="517"/>
        <v>0</v>
      </c>
      <c r="CC126" s="538">
        <f t="shared" si="518"/>
        <v>15.565199999999997</v>
      </c>
      <c r="CD126" s="538">
        <f t="shared" si="519"/>
        <v>7.3218700799999983</v>
      </c>
      <c r="CE126" s="538">
        <f t="shared" si="520"/>
        <v>0</v>
      </c>
      <c r="CF126" s="538">
        <f t="shared" si="521"/>
        <v>0</v>
      </c>
      <c r="CG126" s="538">
        <f t="shared" si="522"/>
        <v>0</v>
      </c>
      <c r="CH126" s="538">
        <f t="shared" si="523"/>
        <v>0</v>
      </c>
      <c r="CI126" s="104">
        <f t="shared" si="442"/>
        <v>0.71399999999999997</v>
      </c>
      <c r="CJ126" s="538">
        <f t="shared" si="524"/>
        <v>12.387263999999995</v>
      </c>
      <c r="CK126" s="538">
        <f t="shared" si="444"/>
        <v>12.387263999999995</v>
      </c>
      <c r="CL126" s="538">
        <f t="shared" si="525"/>
        <v>0</v>
      </c>
      <c r="CM126" s="538">
        <f t="shared" si="526"/>
        <v>0</v>
      </c>
      <c r="CN126" s="538">
        <f t="shared" si="447"/>
        <v>4.76</v>
      </c>
      <c r="CO126" s="538">
        <f t="shared" si="527"/>
        <v>2.2056</v>
      </c>
      <c r="CP126" s="538">
        <f t="shared" si="528"/>
        <v>14.28</v>
      </c>
      <c r="CQ126" s="538">
        <f t="shared" si="529"/>
        <v>6.7173119999999997</v>
      </c>
      <c r="CR126" s="539">
        <f t="shared" si="451"/>
        <v>0</v>
      </c>
      <c r="CS126" s="540">
        <f t="shared" si="452"/>
        <v>0</v>
      </c>
      <c r="CT126" s="540">
        <f t="shared" si="453"/>
        <v>0.45984000000000003</v>
      </c>
      <c r="CU126" s="541">
        <f t="shared" si="454"/>
        <v>15.880320000000001</v>
      </c>
      <c r="CV126" s="538">
        <f t="shared" si="455"/>
        <v>1.825002</v>
      </c>
      <c r="CW126" s="538">
        <f t="shared" si="456"/>
        <v>26.795560000000002</v>
      </c>
      <c r="CX126" s="104">
        <f t="shared" si="457"/>
        <v>4.76</v>
      </c>
      <c r="CY126" s="542">
        <f t="shared" si="458"/>
        <v>2.38</v>
      </c>
      <c r="CZ126" s="538">
        <f t="shared" si="459"/>
        <v>0</v>
      </c>
    </row>
    <row r="127" spans="1:104" ht="25" x14ac:dyDescent="0.25">
      <c r="A127" s="100" t="str">
        <f>'BOCA DE LOBO'!C117</f>
        <v>BL19-&gt;PV21.1</v>
      </c>
      <c r="B127" s="100" t="str">
        <f>'BOCA DE LOBO'!A117</f>
        <v>PV21.1</v>
      </c>
      <c r="C127" s="100" t="str">
        <f>VLOOKUP(A127,'BOCA DE LOBO'!C:F,3,0)</f>
        <v>PROJETADO</v>
      </c>
      <c r="D127" s="100" t="str">
        <f>VLOOKUP(A127,'BOCA DE LOBO'!C:M,10,0)</f>
        <v>PROJETADA</v>
      </c>
      <c r="E127" s="100">
        <f t="shared" si="460"/>
        <v>2.1783999999999999</v>
      </c>
      <c r="F127" s="100">
        <f>VLOOKUP(A127,'BOCA DE LOBO'!$C$97:$P$172,2,0)</f>
        <v>2.4</v>
      </c>
      <c r="G127" s="100">
        <f>VLOOKUP(A127,'BOCA DE LOBO'!$C$97:$L$172,4,0)</f>
        <v>5.54</v>
      </c>
      <c r="H127" s="101">
        <v>400</v>
      </c>
      <c r="I127" s="102">
        <f t="shared" si="461"/>
        <v>2.4192</v>
      </c>
      <c r="J127" s="102">
        <f t="shared" si="462"/>
        <v>0.6701184</v>
      </c>
      <c r="K127" s="103">
        <v>0</v>
      </c>
      <c r="L127" s="104">
        <f t="shared" si="463"/>
        <v>1</v>
      </c>
      <c r="M127" s="104">
        <f t="shared" si="464"/>
        <v>1</v>
      </c>
      <c r="N127" s="104">
        <f t="shared" si="465"/>
        <v>0</v>
      </c>
      <c r="O127" s="104">
        <f t="shared" si="466"/>
        <v>5.54</v>
      </c>
      <c r="P127" s="105" t="str">
        <f>VLOOKUP(B127,'Planilha Hidráulica'!$AE$49:$AQ$94,13,0)</f>
        <v>ASFALTO</v>
      </c>
      <c r="Q127" s="452" t="s">
        <v>2057</v>
      </c>
      <c r="R127" s="105"/>
      <c r="S127" s="105">
        <f>VLOOKUP(Q127,Quantitativos!$P$43:$R$88,3,0)</f>
        <v>3.7</v>
      </c>
      <c r="T127" s="105">
        <f>VLOOKUP(Q127,Quantitativos!$P$43:$S$88,4,0)</f>
        <v>2.5</v>
      </c>
      <c r="U127" s="104">
        <f t="shared" si="467"/>
        <v>0.05</v>
      </c>
      <c r="V127" s="106">
        <f t="shared" si="468"/>
        <v>0</v>
      </c>
      <c r="W127" s="106">
        <f t="shared" si="469"/>
        <v>13.402368000000001</v>
      </c>
      <c r="X127" s="107">
        <f t="shared" si="470"/>
        <v>0</v>
      </c>
      <c r="Y127" s="107">
        <f t="shared" si="471"/>
        <v>0</v>
      </c>
      <c r="Z127" s="107">
        <f t="shared" si="472"/>
        <v>2.4192</v>
      </c>
      <c r="AA127" s="107">
        <f t="shared" si="473"/>
        <v>0</v>
      </c>
      <c r="AB127" s="108">
        <f t="shared" si="474"/>
        <v>5.54</v>
      </c>
      <c r="AC127" s="109">
        <f t="shared" si="475"/>
        <v>0</v>
      </c>
      <c r="AD127" s="109">
        <f t="shared" si="476"/>
        <v>0</v>
      </c>
      <c r="AE127" s="109">
        <f t="shared" si="477"/>
        <v>0</v>
      </c>
      <c r="AF127" s="109">
        <f t="shared" si="478"/>
        <v>8.31</v>
      </c>
      <c r="AG127" s="109">
        <f t="shared" si="479"/>
        <v>5.0923680000000004</v>
      </c>
      <c r="AH127" s="109">
        <f t="shared" si="480"/>
        <v>0</v>
      </c>
      <c r="AI127" s="537" t="str">
        <f t="shared" si="481"/>
        <v>NÃO</v>
      </c>
      <c r="AJ127" s="104">
        <f t="shared" si="482"/>
        <v>0</v>
      </c>
      <c r="AK127" s="104">
        <f t="shared" si="483"/>
        <v>0</v>
      </c>
      <c r="AL127" s="104">
        <f t="shared" si="484"/>
        <v>12.706191067964502</v>
      </c>
      <c r="AM127" s="102">
        <f t="shared" si="485"/>
        <v>0.27700000000000002</v>
      </c>
      <c r="AN127" s="106">
        <f t="shared" si="486"/>
        <v>0</v>
      </c>
      <c r="AO127" s="104">
        <f t="shared" si="487"/>
        <v>0</v>
      </c>
      <c r="AP127" s="104">
        <f t="shared" si="488"/>
        <v>0</v>
      </c>
      <c r="AQ127" s="104">
        <f t="shared" si="489"/>
        <v>0.7</v>
      </c>
      <c r="AR127" s="104">
        <f t="shared" si="490"/>
        <v>3.1818230679645012</v>
      </c>
      <c r="AS127" s="104">
        <f t="shared" si="491"/>
        <v>0</v>
      </c>
      <c r="AT127" s="104">
        <f t="shared" si="492"/>
        <v>0.83099999999999996</v>
      </c>
      <c r="AU127" s="104">
        <f t="shared" si="493"/>
        <v>0.83099999999999996</v>
      </c>
      <c r="AV127" s="104">
        <f t="shared" si="494"/>
        <v>0.16619999999999999</v>
      </c>
      <c r="AW127" s="104">
        <f t="shared" si="495"/>
        <v>7.5853680000000026</v>
      </c>
      <c r="AX127" s="104">
        <f t="shared" si="496"/>
        <v>9.3895449320355002</v>
      </c>
      <c r="AY127" s="104">
        <f t="shared" si="497"/>
        <v>7.5853680000000026</v>
      </c>
      <c r="AZ127" s="104">
        <f t="shared" si="498"/>
        <v>0</v>
      </c>
      <c r="BA127" s="104">
        <f t="shared" si="413"/>
        <v>0</v>
      </c>
      <c r="BB127" s="104">
        <f t="shared" si="499"/>
        <v>0</v>
      </c>
      <c r="BC127" s="104"/>
      <c r="BD127" s="104">
        <f t="shared" si="500"/>
        <v>0</v>
      </c>
      <c r="BE127" s="108">
        <f t="shared" si="501"/>
        <v>2.4192</v>
      </c>
      <c r="BF127" s="110">
        <f t="shared" si="502"/>
        <v>0</v>
      </c>
      <c r="BG127" s="110">
        <f t="shared" si="503"/>
        <v>5.54</v>
      </c>
      <c r="BH127" s="105" t="str">
        <f>VLOOKUP(A127,'BOCA DE LOBO'!$C$99:$P$172,7,0)</f>
        <v>BOCA DE LOBO PROJETADA TRIPLA</v>
      </c>
      <c r="BI127" s="104">
        <f t="shared" si="504"/>
        <v>0</v>
      </c>
      <c r="BJ127" s="104">
        <f t="shared" si="505"/>
        <v>0</v>
      </c>
      <c r="BK127" s="104">
        <f t="shared" si="506"/>
        <v>0</v>
      </c>
      <c r="BL127" s="104">
        <f t="shared" si="507"/>
        <v>0</v>
      </c>
      <c r="BM127" s="104">
        <f t="shared" si="508"/>
        <v>0</v>
      </c>
      <c r="BN127" s="104">
        <f t="shared" si="509"/>
        <v>0</v>
      </c>
      <c r="BO127" s="543">
        <f t="shared" si="510"/>
        <v>1</v>
      </c>
      <c r="BP127" s="111"/>
      <c r="BQ127" s="108">
        <f t="shared" si="511"/>
        <v>16.62</v>
      </c>
      <c r="BR127" s="108">
        <f t="shared" si="512"/>
        <v>10.184736000000001</v>
      </c>
      <c r="BS127" s="108">
        <f t="shared" si="513"/>
        <v>0</v>
      </c>
      <c r="BT127" s="112"/>
      <c r="BU127" s="112" t="s">
        <v>1410</v>
      </c>
      <c r="BV127" s="538">
        <f t="shared" si="429"/>
        <v>22.604821119999993</v>
      </c>
      <c r="BW127" s="538">
        <f t="shared" si="430"/>
        <v>10.376799999999998</v>
      </c>
      <c r="BX127" s="538">
        <f t="shared" si="431"/>
        <v>4.4367999999999999</v>
      </c>
      <c r="BY127" s="538">
        <f t="shared" si="514"/>
        <v>2.1783999999999999</v>
      </c>
      <c r="BZ127" s="538">
        <f t="shared" si="515"/>
        <v>2.1783999999999999</v>
      </c>
      <c r="CA127" s="538">
        <f t="shared" si="516"/>
        <v>0</v>
      </c>
      <c r="CB127" s="538">
        <f t="shared" si="517"/>
        <v>0</v>
      </c>
      <c r="CC127" s="538">
        <f t="shared" si="518"/>
        <v>15.565199999999997</v>
      </c>
      <c r="CD127" s="538">
        <f t="shared" si="519"/>
        <v>7.039621119999997</v>
      </c>
      <c r="CE127" s="538">
        <f t="shared" si="520"/>
        <v>0</v>
      </c>
      <c r="CF127" s="538">
        <f t="shared" si="521"/>
        <v>0</v>
      </c>
      <c r="CG127" s="538">
        <f t="shared" si="522"/>
        <v>0</v>
      </c>
      <c r="CH127" s="538">
        <f t="shared" si="523"/>
        <v>0</v>
      </c>
      <c r="CI127" s="104">
        <f t="shared" si="442"/>
        <v>0.71399999999999997</v>
      </c>
      <c r="CJ127" s="538">
        <f t="shared" si="524"/>
        <v>12.225695999999994</v>
      </c>
      <c r="CK127" s="538">
        <f t="shared" si="444"/>
        <v>12.225695999999994</v>
      </c>
      <c r="CL127" s="538">
        <f t="shared" si="525"/>
        <v>0</v>
      </c>
      <c r="CM127" s="538">
        <f t="shared" si="526"/>
        <v>0</v>
      </c>
      <c r="CN127" s="538">
        <f t="shared" si="447"/>
        <v>4.76</v>
      </c>
      <c r="CO127" s="538">
        <f t="shared" si="527"/>
        <v>2.1783999999999999</v>
      </c>
      <c r="CP127" s="538">
        <f t="shared" si="528"/>
        <v>14.28</v>
      </c>
      <c r="CQ127" s="538">
        <f t="shared" si="529"/>
        <v>6.4583679999999983</v>
      </c>
      <c r="CR127" s="539">
        <f t="shared" si="451"/>
        <v>0</v>
      </c>
      <c r="CS127" s="540">
        <f t="shared" si="452"/>
        <v>0</v>
      </c>
      <c r="CT127" s="540">
        <f t="shared" si="453"/>
        <v>0.45984000000000003</v>
      </c>
      <c r="CU127" s="541">
        <f t="shared" si="454"/>
        <v>15.684479999999999</v>
      </c>
      <c r="CV127" s="538">
        <f t="shared" si="455"/>
        <v>1.8145980000000002</v>
      </c>
      <c r="CW127" s="538">
        <f t="shared" si="456"/>
        <v>26.534440000000004</v>
      </c>
      <c r="CX127" s="104">
        <f t="shared" si="457"/>
        <v>4.76</v>
      </c>
      <c r="CY127" s="542">
        <f t="shared" si="458"/>
        <v>2.38</v>
      </c>
      <c r="CZ127" s="538">
        <f t="shared" si="459"/>
        <v>0</v>
      </c>
    </row>
    <row r="128" spans="1:104" ht="25" x14ac:dyDescent="0.25">
      <c r="A128" s="100" t="str">
        <f>'BOCA DE LOBO'!C118</f>
        <v>BL20-&gt;PV22.1</v>
      </c>
      <c r="B128" s="100" t="str">
        <f>'BOCA DE LOBO'!A118</f>
        <v>PV22.1</v>
      </c>
      <c r="C128" s="100" t="str">
        <f>VLOOKUP(A128,'BOCA DE LOBO'!C:F,3,0)</f>
        <v>PROJETADO</v>
      </c>
      <c r="D128" s="100" t="str">
        <f>VLOOKUP(A128,'BOCA DE LOBO'!C:M,10,0)</f>
        <v>PROJETADA</v>
      </c>
      <c r="E128" s="100">
        <f t="shared" si="460"/>
        <v>2.3115999999999999</v>
      </c>
      <c r="F128" s="100">
        <f>VLOOKUP(A128,'BOCA DE LOBO'!$C$97:$P$172,2,0)</f>
        <v>2.5</v>
      </c>
      <c r="G128" s="100">
        <f>VLOOKUP(A128,'BOCA DE LOBO'!$C$97:$L$172,4,0)</f>
        <v>4.71</v>
      </c>
      <c r="H128" s="101">
        <v>400</v>
      </c>
      <c r="I128" s="102">
        <f t="shared" si="461"/>
        <v>2.5358000000000001</v>
      </c>
      <c r="J128" s="102">
        <f t="shared" si="462"/>
        <v>0.59718090000000001</v>
      </c>
      <c r="K128" s="103">
        <v>0</v>
      </c>
      <c r="L128" s="104">
        <f t="shared" si="463"/>
        <v>1</v>
      </c>
      <c r="M128" s="104">
        <f t="shared" si="464"/>
        <v>1</v>
      </c>
      <c r="N128" s="104">
        <f t="shared" si="465"/>
        <v>0</v>
      </c>
      <c r="O128" s="104">
        <f t="shared" si="466"/>
        <v>4.71</v>
      </c>
      <c r="P128" s="105" t="str">
        <f>VLOOKUP(B128,'Planilha Hidráulica'!$AE$49:$AQ$94,13,0)</f>
        <v>ASFALTO</v>
      </c>
      <c r="Q128" s="452" t="s">
        <v>2057</v>
      </c>
      <c r="R128" s="105"/>
      <c r="S128" s="105">
        <f>VLOOKUP(Q128,Quantitativos!$P$43:$R$88,3,0)</f>
        <v>3.7</v>
      </c>
      <c r="T128" s="105">
        <f>VLOOKUP(Q128,Quantitativos!$P$43:$S$88,4,0)</f>
        <v>2.5</v>
      </c>
      <c r="U128" s="104">
        <f t="shared" si="467"/>
        <v>0.05</v>
      </c>
      <c r="V128" s="106">
        <f t="shared" si="468"/>
        <v>0</v>
      </c>
      <c r="W128" s="106">
        <f t="shared" si="469"/>
        <v>11.943618000000001</v>
      </c>
      <c r="X128" s="107">
        <f t="shared" si="470"/>
        <v>0</v>
      </c>
      <c r="Y128" s="107">
        <f t="shared" si="471"/>
        <v>0</v>
      </c>
      <c r="Z128" s="107">
        <f t="shared" si="472"/>
        <v>2.5358000000000001</v>
      </c>
      <c r="AA128" s="107">
        <f t="shared" si="473"/>
        <v>0</v>
      </c>
      <c r="AB128" s="108">
        <f t="shared" si="474"/>
        <v>4.71</v>
      </c>
      <c r="AC128" s="109">
        <f t="shared" si="475"/>
        <v>0</v>
      </c>
      <c r="AD128" s="109">
        <f t="shared" si="476"/>
        <v>0</v>
      </c>
      <c r="AE128" s="109">
        <f t="shared" si="477"/>
        <v>0</v>
      </c>
      <c r="AF128" s="109">
        <f t="shared" si="478"/>
        <v>7.0649999999999995</v>
      </c>
      <c r="AG128" s="109">
        <f t="shared" si="479"/>
        <v>4.8786180000000003</v>
      </c>
      <c r="AH128" s="109">
        <f t="shared" si="480"/>
        <v>0</v>
      </c>
      <c r="AI128" s="537" t="str">
        <f t="shared" si="481"/>
        <v>NÃO</v>
      </c>
      <c r="AJ128" s="104">
        <f t="shared" si="482"/>
        <v>0</v>
      </c>
      <c r="AK128" s="104">
        <f t="shared" si="483"/>
        <v>2.2482400000000033E-3</v>
      </c>
      <c r="AL128" s="104">
        <f t="shared" si="484"/>
        <v>11.351741944063683</v>
      </c>
      <c r="AM128" s="102">
        <f t="shared" si="485"/>
        <v>0.23550000000000001</v>
      </c>
      <c r="AN128" s="106">
        <f t="shared" si="486"/>
        <v>0</v>
      </c>
      <c r="AO128" s="104">
        <f t="shared" si="487"/>
        <v>0</v>
      </c>
      <c r="AP128" s="104">
        <f t="shared" si="488"/>
        <v>0</v>
      </c>
      <c r="AQ128" s="104">
        <f t="shared" si="489"/>
        <v>0.7</v>
      </c>
      <c r="AR128" s="104">
        <f t="shared" si="490"/>
        <v>2.7051239440636827</v>
      </c>
      <c r="AS128" s="104">
        <f t="shared" si="491"/>
        <v>0</v>
      </c>
      <c r="AT128" s="104">
        <f t="shared" si="492"/>
        <v>0.70650000000000002</v>
      </c>
      <c r="AU128" s="104">
        <f t="shared" si="493"/>
        <v>0.70650000000000002</v>
      </c>
      <c r="AV128" s="104">
        <f t="shared" si="494"/>
        <v>0.14129999999999998</v>
      </c>
      <c r="AW128" s="104">
        <f t="shared" si="495"/>
        <v>6.9981179999999998</v>
      </c>
      <c r="AX128" s="104">
        <f t="shared" si="496"/>
        <v>8.5319940559363179</v>
      </c>
      <c r="AY128" s="104">
        <f t="shared" si="497"/>
        <v>6.9981179999999998</v>
      </c>
      <c r="AZ128" s="104">
        <f t="shared" si="498"/>
        <v>0</v>
      </c>
      <c r="BA128" s="104">
        <f t="shared" si="413"/>
        <v>0</v>
      </c>
      <c r="BB128" s="104">
        <f t="shared" si="499"/>
        <v>0</v>
      </c>
      <c r="BC128" s="104"/>
      <c r="BD128" s="104">
        <f t="shared" si="500"/>
        <v>0</v>
      </c>
      <c r="BE128" s="108">
        <f t="shared" si="501"/>
        <v>2.5358000000000001</v>
      </c>
      <c r="BF128" s="110">
        <f t="shared" si="502"/>
        <v>0</v>
      </c>
      <c r="BG128" s="110">
        <f t="shared" si="503"/>
        <v>4.71</v>
      </c>
      <c r="BH128" s="105" t="str">
        <f>VLOOKUP(A128,'BOCA DE LOBO'!$C$99:$P$172,7,0)</f>
        <v>BOCA DE LOBO PROJETADA TRIPLA</v>
      </c>
      <c r="BI128" s="104">
        <f t="shared" si="504"/>
        <v>0</v>
      </c>
      <c r="BJ128" s="104">
        <f t="shared" si="505"/>
        <v>0</v>
      </c>
      <c r="BK128" s="104">
        <f t="shared" si="506"/>
        <v>0</v>
      </c>
      <c r="BL128" s="104">
        <f t="shared" si="507"/>
        <v>0</v>
      </c>
      <c r="BM128" s="104">
        <f t="shared" si="508"/>
        <v>0</v>
      </c>
      <c r="BN128" s="104">
        <f t="shared" si="509"/>
        <v>0</v>
      </c>
      <c r="BO128" s="543">
        <f t="shared" si="510"/>
        <v>1</v>
      </c>
      <c r="BP128" s="111"/>
      <c r="BQ128" s="108">
        <f t="shared" si="511"/>
        <v>14.129999999999999</v>
      </c>
      <c r="BR128" s="108">
        <f t="shared" si="512"/>
        <v>9.7572360000000007</v>
      </c>
      <c r="BS128" s="108">
        <f t="shared" si="513"/>
        <v>0</v>
      </c>
      <c r="BT128" s="112"/>
      <c r="BU128" s="112" t="s">
        <v>1410</v>
      </c>
      <c r="BV128" s="538">
        <f t="shared" si="429"/>
        <v>23.987010879999993</v>
      </c>
      <c r="BW128" s="538">
        <f t="shared" si="430"/>
        <v>10.376799999999998</v>
      </c>
      <c r="BX128" s="538">
        <f t="shared" si="431"/>
        <v>4.4367999999999999</v>
      </c>
      <c r="BY128" s="538">
        <f t="shared" si="514"/>
        <v>2.3115999999999999</v>
      </c>
      <c r="BZ128" s="538">
        <f t="shared" si="515"/>
        <v>2.3115999999999999</v>
      </c>
      <c r="CA128" s="538">
        <f t="shared" si="516"/>
        <v>0</v>
      </c>
      <c r="CB128" s="538">
        <f t="shared" si="517"/>
        <v>0</v>
      </c>
      <c r="CC128" s="538">
        <f t="shared" si="518"/>
        <v>15.565199999999997</v>
      </c>
      <c r="CD128" s="538">
        <f t="shared" si="519"/>
        <v>8.4218108799999971</v>
      </c>
      <c r="CE128" s="538">
        <f t="shared" si="520"/>
        <v>0</v>
      </c>
      <c r="CF128" s="538">
        <f t="shared" si="521"/>
        <v>0</v>
      </c>
      <c r="CG128" s="538">
        <f t="shared" si="522"/>
        <v>0</v>
      </c>
      <c r="CH128" s="538">
        <f t="shared" si="523"/>
        <v>0</v>
      </c>
      <c r="CI128" s="104">
        <f t="shared" si="442"/>
        <v>0.71399999999999997</v>
      </c>
      <c r="CJ128" s="538">
        <f t="shared" si="524"/>
        <v>13.016903999999993</v>
      </c>
      <c r="CK128" s="538">
        <f t="shared" si="444"/>
        <v>13.016903999999993</v>
      </c>
      <c r="CL128" s="538">
        <f t="shared" si="525"/>
        <v>0</v>
      </c>
      <c r="CM128" s="538">
        <f t="shared" si="526"/>
        <v>0</v>
      </c>
      <c r="CN128" s="538">
        <f t="shared" si="447"/>
        <v>4.76</v>
      </c>
      <c r="CO128" s="538">
        <f t="shared" si="527"/>
        <v>2.3115999999999999</v>
      </c>
      <c r="CP128" s="538">
        <f t="shared" si="528"/>
        <v>14.28</v>
      </c>
      <c r="CQ128" s="538">
        <f t="shared" si="529"/>
        <v>7.7264319999999982</v>
      </c>
      <c r="CR128" s="539">
        <f t="shared" si="451"/>
        <v>0</v>
      </c>
      <c r="CS128" s="540">
        <f t="shared" si="452"/>
        <v>0</v>
      </c>
      <c r="CT128" s="540">
        <f t="shared" si="453"/>
        <v>0.45984000000000003</v>
      </c>
      <c r="CU128" s="541">
        <f t="shared" si="454"/>
        <v>16.643519999999999</v>
      </c>
      <c r="CV128" s="538">
        <f t="shared" si="455"/>
        <v>1.8655470000000003</v>
      </c>
      <c r="CW128" s="538">
        <f t="shared" si="456"/>
        <v>27.81316</v>
      </c>
      <c r="CX128" s="104">
        <f t="shared" si="457"/>
        <v>4.76</v>
      </c>
      <c r="CY128" s="542">
        <f t="shared" si="458"/>
        <v>2.38</v>
      </c>
      <c r="CZ128" s="538">
        <f t="shared" si="459"/>
        <v>0</v>
      </c>
    </row>
    <row r="129" spans="1:104" ht="25" x14ac:dyDescent="0.25">
      <c r="A129" s="100" t="str">
        <f>'BOCA DE LOBO'!C119</f>
        <v>BL21-&gt;PV23.1</v>
      </c>
      <c r="B129" s="100" t="str">
        <f>'BOCA DE LOBO'!A119</f>
        <v>PV23.1</v>
      </c>
      <c r="C129" s="100" t="str">
        <f>VLOOKUP(A129,'BOCA DE LOBO'!C:F,3,0)</f>
        <v>PROJETADO</v>
      </c>
      <c r="D129" s="100" t="str">
        <f>VLOOKUP(A129,'BOCA DE LOBO'!C:M,10,0)</f>
        <v>PROJETADA</v>
      </c>
      <c r="E129" s="100">
        <f t="shared" si="460"/>
        <v>2.5</v>
      </c>
      <c r="F129" s="100">
        <f>VLOOKUP(A129,'BOCA DE LOBO'!$C$97:$P$172,2,0)</f>
        <v>2.82</v>
      </c>
      <c r="G129" s="100">
        <f>VLOOKUP(A129,'BOCA DE LOBO'!$C$97:$L$172,4,0)</f>
        <v>3.79</v>
      </c>
      <c r="H129" s="101">
        <v>400</v>
      </c>
      <c r="I129" s="102">
        <f t="shared" si="461"/>
        <v>2.79</v>
      </c>
      <c r="J129" s="102">
        <f t="shared" si="462"/>
        <v>0.52870499999999998</v>
      </c>
      <c r="K129" s="103">
        <v>0</v>
      </c>
      <c r="L129" s="104">
        <f t="shared" si="463"/>
        <v>1</v>
      </c>
      <c r="M129" s="104">
        <f t="shared" si="464"/>
        <v>1</v>
      </c>
      <c r="N129" s="104">
        <f t="shared" si="465"/>
        <v>0</v>
      </c>
      <c r="O129" s="104">
        <f t="shared" si="466"/>
        <v>3.79</v>
      </c>
      <c r="P129" s="105" t="str">
        <f>VLOOKUP(B129,'Planilha Hidráulica'!$AE$49:$AQ$94,13,0)</f>
        <v>ASFALTO</v>
      </c>
      <c r="Q129" s="452" t="s">
        <v>2058</v>
      </c>
      <c r="R129" s="105"/>
      <c r="S129" s="105">
        <f>VLOOKUP(Q129,Quantitativos!$P$43:$R$88,3,0)</f>
        <v>2.5</v>
      </c>
      <c r="T129" s="105">
        <f>VLOOKUP(Q129,Quantitativos!$P$43:$S$88,4,0)</f>
        <v>1.6</v>
      </c>
      <c r="U129" s="104">
        <f t="shared" si="467"/>
        <v>0.05</v>
      </c>
      <c r="V129" s="106">
        <f t="shared" si="468"/>
        <v>0</v>
      </c>
      <c r="W129" s="106">
        <f t="shared" si="469"/>
        <v>10.5741</v>
      </c>
      <c r="X129" s="107">
        <f t="shared" si="470"/>
        <v>0</v>
      </c>
      <c r="Y129" s="107">
        <f t="shared" si="471"/>
        <v>0</v>
      </c>
      <c r="Z129" s="107">
        <f t="shared" si="472"/>
        <v>2.5</v>
      </c>
      <c r="AA129" s="107">
        <f t="shared" si="473"/>
        <v>0.29000000000000004</v>
      </c>
      <c r="AB129" s="108">
        <f t="shared" si="474"/>
        <v>3.79</v>
      </c>
      <c r="AC129" s="109">
        <f t="shared" si="475"/>
        <v>0</v>
      </c>
      <c r="AD129" s="109">
        <f t="shared" si="476"/>
        <v>0</v>
      </c>
      <c r="AE129" s="109">
        <f t="shared" si="477"/>
        <v>0</v>
      </c>
      <c r="AF129" s="109">
        <f t="shared" si="478"/>
        <v>5.6850000000000005</v>
      </c>
      <c r="AG129" s="109">
        <f t="shared" si="479"/>
        <v>3.79</v>
      </c>
      <c r="AH129" s="109">
        <f t="shared" si="480"/>
        <v>0</v>
      </c>
      <c r="AI129" s="537" t="str">
        <f t="shared" si="481"/>
        <v>SIM</v>
      </c>
      <c r="AJ129" s="104">
        <f t="shared" si="482"/>
        <v>1.0990999999999982</v>
      </c>
      <c r="AK129" s="104">
        <f t="shared" si="483"/>
        <v>6.0134666666666663E-2</v>
      </c>
      <c r="AL129" s="104">
        <f t="shared" si="484"/>
        <v>10.097834553715787</v>
      </c>
      <c r="AM129" s="102">
        <f t="shared" si="485"/>
        <v>0.1895</v>
      </c>
      <c r="AN129" s="106">
        <f t="shared" si="486"/>
        <v>0</v>
      </c>
      <c r="AO129" s="104">
        <f t="shared" si="487"/>
        <v>0</v>
      </c>
      <c r="AP129" s="104">
        <f t="shared" si="488"/>
        <v>0</v>
      </c>
      <c r="AQ129" s="104">
        <f t="shared" si="489"/>
        <v>0.7</v>
      </c>
      <c r="AR129" s="104">
        <f t="shared" si="490"/>
        <v>2.1767345537157872</v>
      </c>
      <c r="AS129" s="104">
        <f t="shared" si="491"/>
        <v>0</v>
      </c>
      <c r="AT129" s="104">
        <f t="shared" si="492"/>
        <v>0.56850000000000001</v>
      </c>
      <c r="AU129" s="104">
        <f t="shared" si="493"/>
        <v>0.56850000000000001</v>
      </c>
      <c r="AV129" s="104">
        <f t="shared" si="494"/>
        <v>0.1137</v>
      </c>
      <c r="AW129" s="104">
        <f t="shared" si="495"/>
        <v>6.594599999999998</v>
      </c>
      <c r="AX129" s="104">
        <f t="shared" si="496"/>
        <v>6.7297654462842136</v>
      </c>
      <c r="AY129" s="104">
        <f t="shared" si="497"/>
        <v>6.594599999999998</v>
      </c>
      <c r="AZ129" s="104">
        <f t="shared" si="498"/>
        <v>0</v>
      </c>
      <c r="BA129" s="104">
        <f t="shared" si="413"/>
        <v>0</v>
      </c>
      <c r="BB129" s="104">
        <f t="shared" si="499"/>
        <v>0</v>
      </c>
      <c r="BC129" s="104"/>
      <c r="BD129" s="104">
        <f t="shared" si="500"/>
        <v>0</v>
      </c>
      <c r="BE129" s="108">
        <f t="shared" si="501"/>
        <v>2.79</v>
      </c>
      <c r="BF129" s="110">
        <f t="shared" si="502"/>
        <v>0</v>
      </c>
      <c r="BG129" s="110">
        <f t="shared" si="503"/>
        <v>3.79</v>
      </c>
      <c r="BH129" s="105" t="str">
        <f>VLOOKUP(A129,'BOCA DE LOBO'!$C$99:$P$172,7,0)</f>
        <v>BOCA DE LOBO PROJETADA TRIPLA</v>
      </c>
      <c r="BI129" s="104">
        <f t="shared" si="504"/>
        <v>0</v>
      </c>
      <c r="BJ129" s="104">
        <f t="shared" si="505"/>
        <v>0</v>
      </c>
      <c r="BK129" s="104">
        <f t="shared" si="506"/>
        <v>0</v>
      </c>
      <c r="BL129" s="104">
        <f t="shared" si="507"/>
        <v>0</v>
      </c>
      <c r="BM129" s="104">
        <f t="shared" si="508"/>
        <v>0</v>
      </c>
      <c r="BN129" s="104">
        <f t="shared" si="509"/>
        <v>0</v>
      </c>
      <c r="BO129" s="543">
        <f t="shared" si="510"/>
        <v>1</v>
      </c>
      <c r="BP129" s="111"/>
      <c r="BQ129" s="108">
        <f t="shared" si="511"/>
        <v>11.370000000000001</v>
      </c>
      <c r="BR129" s="108">
        <f t="shared" si="512"/>
        <v>9.7782</v>
      </c>
      <c r="BS129" s="108">
        <f t="shared" si="513"/>
        <v>0</v>
      </c>
      <c r="BT129" s="112"/>
      <c r="BU129" s="112" t="s">
        <v>1410</v>
      </c>
      <c r="BV129" s="538">
        <f t="shared" si="429"/>
        <v>25.941999999999993</v>
      </c>
      <c r="BW129" s="538">
        <f t="shared" si="430"/>
        <v>10.376799999999998</v>
      </c>
      <c r="BX129" s="538">
        <f t="shared" si="431"/>
        <v>4.4367999999999999</v>
      </c>
      <c r="BY129" s="538">
        <f t="shared" si="514"/>
        <v>2.5</v>
      </c>
      <c r="BZ129" s="538">
        <f t="shared" si="515"/>
        <v>2.5</v>
      </c>
      <c r="CA129" s="538">
        <f t="shared" si="516"/>
        <v>0</v>
      </c>
      <c r="CB129" s="538">
        <f t="shared" si="517"/>
        <v>0</v>
      </c>
      <c r="CC129" s="538">
        <f t="shared" si="518"/>
        <v>15.565199999999997</v>
      </c>
      <c r="CD129" s="538">
        <f t="shared" si="519"/>
        <v>10.376799999999998</v>
      </c>
      <c r="CE129" s="538">
        <f t="shared" si="520"/>
        <v>0</v>
      </c>
      <c r="CF129" s="538">
        <f t="shared" si="521"/>
        <v>0</v>
      </c>
      <c r="CG129" s="538">
        <f t="shared" si="522"/>
        <v>0</v>
      </c>
      <c r="CH129" s="538">
        <f t="shared" si="523"/>
        <v>0</v>
      </c>
      <c r="CI129" s="104">
        <f t="shared" si="442"/>
        <v>0.71399999999999997</v>
      </c>
      <c r="CJ129" s="538">
        <f t="shared" si="524"/>
        <v>14.135999999999994</v>
      </c>
      <c r="CK129" s="538">
        <f t="shared" si="444"/>
        <v>14.135999999999994</v>
      </c>
      <c r="CL129" s="538">
        <f t="shared" si="525"/>
        <v>0</v>
      </c>
      <c r="CM129" s="538">
        <f t="shared" si="526"/>
        <v>0</v>
      </c>
      <c r="CN129" s="538">
        <f t="shared" si="447"/>
        <v>4.76</v>
      </c>
      <c r="CO129" s="538">
        <f t="shared" si="527"/>
        <v>2.5</v>
      </c>
      <c r="CP129" s="538">
        <f t="shared" si="528"/>
        <v>14.28</v>
      </c>
      <c r="CQ129" s="538">
        <f t="shared" si="529"/>
        <v>9.52</v>
      </c>
      <c r="CR129" s="539">
        <f t="shared" si="451"/>
        <v>0</v>
      </c>
      <c r="CS129" s="540">
        <f t="shared" si="452"/>
        <v>0</v>
      </c>
      <c r="CT129" s="540">
        <f t="shared" si="453"/>
        <v>0.45984000000000003</v>
      </c>
      <c r="CU129" s="541">
        <f t="shared" si="454"/>
        <v>18</v>
      </c>
      <c r="CV129" s="538">
        <f t="shared" si="455"/>
        <v>1.9376100000000003</v>
      </c>
      <c r="CW129" s="538">
        <f t="shared" si="456"/>
        <v>29.6218</v>
      </c>
      <c r="CX129" s="104">
        <f t="shared" si="457"/>
        <v>4.76</v>
      </c>
      <c r="CY129" s="542">
        <f t="shared" si="458"/>
        <v>2.38</v>
      </c>
      <c r="CZ129" s="538">
        <f t="shared" si="459"/>
        <v>0</v>
      </c>
    </row>
    <row r="130" spans="1:104" ht="25" x14ac:dyDescent="0.25">
      <c r="A130" s="100" t="str">
        <f>'BOCA DE LOBO'!C120</f>
        <v>BL22-&gt;PV24.1</v>
      </c>
      <c r="B130" s="100" t="str">
        <f>'BOCA DE LOBO'!A120</f>
        <v>PV24.1</v>
      </c>
      <c r="C130" s="100" t="str">
        <f>VLOOKUP(A130,'BOCA DE LOBO'!C:F,3,0)</f>
        <v>PROJETADO</v>
      </c>
      <c r="D130" s="100" t="str">
        <f>VLOOKUP(A130,'BOCA DE LOBO'!C:M,10,0)</f>
        <v>PROJETADA</v>
      </c>
      <c r="E130" s="100">
        <f t="shared" si="460"/>
        <v>2.5</v>
      </c>
      <c r="F130" s="100">
        <f>VLOOKUP(A130,'BOCA DE LOBO'!$C$97:$P$172,2,0)</f>
        <v>2.82</v>
      </c>
      <c r="G130" s="100">
        <f>VLOOKUP(A130,'BOCA DE LOBO'!$C$97:$L$172,4,0)</f>
        <v>5.2</v>
      </c>
      <c r="H130" s="101">
        <v>400</v>
      </c>
      <c r="I130" s="102">
        <f t="shared" si="461"/>
        <v>2.79</v>
      </c>
      <c r="J130" s="102">
        <f t="shared" si="462"/>
        <v>0.72540000000000004</v>
      </c>
      <c r="K130" s="103">
        <v>0</v>
      </c>
      <c r="L130" s="104">
        <f t="shared" si="463"/>
        <v>1</v>
      </c>
      <c r="M130" s="104">
        <f t="shared" si="464"/>
        <v>1</v>
      </c>
      <c r="N130" s="104">
        <f t="shared" si="465"/>
        <v>0</v>
      </c>
      <c r="O130" s="104">
        <f t="shared" si="466"/>
        <v>5.2</v>
      </c>
      <c r="P130" s="105" t="str">
        <f>VLOOKUP(B130,'Planilha Hidráulica'!$AE$49:$AQ$94,13,0)</f>
        <v>ASFALTO</v>
      </c>
      <c r="Q130" s="452" t="s">
        <v>2058</v>
      </c>
      <c r="R130" s="105"/>
      <c r="S130" s="105">
        <f>VLOOKUP(Q130,Quantitativos!$P$43:$R$88,3,0)</f>
        <v>2.5</v>
      </c>
      <c r="T130" s="105">
        <f>VLOOKUP(Q130,Quantitativos!$P$43:$S$88,4,0)</f>
        <v>1.6</v>
      </c>
      <c r="U130" s="104">
        <f t="shared" si="467"/>
        <v>0.05</v>
      </c>
      <c r="V130" s="106">
        <f t="shared" si="468"/>
        <v>0</v>
      </c>
      <c r="W130" s="106">
        <f t="shared" si="469"/>
        <v>14.508000000000001</v>
      </c>
      <c r="X130" s="107">
        <f t="shared" si="470"/>
        <v>0</v>
      </c>
      <c r="Y130" s="107">
        <f t="shared" si="471"/>
        <v>0</v>
      </c>
      <c r="Z130" s="107">
        <f t="shared" si="472"/>
        <v>2.5</v>
      </c>
      <c r="AA130" s="107">
        <f t="shared" si="473"/>
        <v>0.29000000000000004</v>
      </c>
      <c r="AB130" s="108">
        <f t="shared" si="474"/>
        <v>5.2</v>
      </c>
      <c r="AC130" s="109">
        <f t="shared" si="475"/>
        <v>0</v>
      </c>
      <c r="AD130" s="109">
        <f t="shared" si="476"/>
        <v>0</v>
      </c>
      <c r="AE130" s="109">
        <f t="shared" si="477"/>
        <v>0</v>
      </c>
      <c r="AF130" s="109">
        <f t="shared" si="478"/>
        <v>7.8000000000000007</v>
      </c>
      <c r="AG130" s="109">
        <f t="shared" si="479"/>
        <v>5.2</v>
      </c>
      <c r="AH130" s="109">
        <f t="shared" si="480"/>
        <v>0</v>
      </c>
      <c r="AI130" s="537" t="str">
        <f t="shared" si="481"/>
        <v>SIM</v>
      </c>
      <c r="AJ130" s="104">
        <f t="shared" si="482"/>
        <v>1.5080000000000009</v>
      </c>
      <c r="AK130" s="104">
        <f t="shared" si="483"/>
        <v>8.2506666666666659E-2</v>
      </c>
      <c r="AL130" s="104">
        <f t="shared" si="484"/>
        <v>13.854548728053324</v>
      </c>
      <c r="AM130" s="102">
        <f t="shared" si="485"/>
        <v>0.26</v>
      </c>
      <c r="AN130" s="106">
        <f t="shared" si="486"/>
        <v>0</v>
      </c>
      <c r="AO130" s="104">
        <f t="shared" si="487"/>
        <v>0</v>
      </c>
      <c r="AP130" s="104">
        <f t="shared" si="488"/>
        <v>0</v>
      </c>
      <c r="AQ130" s="104">
        <f t="shared" si="489"/>
        <v>0.7</v>
      </c>
      <c r="AR130" s="104">
        <f t="shared" si="490"/>
        <v>2.9865487280533225</v>
      </c>
      <c r="AS130" s="104">
        <f t="shared" si="491"/>
        <v>0</v>
      </c>
      <c r="AT130" s="104">
        <f t="shared" si="492"/>
        <v>0.78</v>
      </c>
      <c r="AU130" s="104">
        <f t="shared" si="493"/>
        <v>0.78</v>
      </c>
      <c r="AV130" s="104">
        <f t="shared" si="494"/>
        <v>0.156</v>
      </c>
      <c r="AW130" s="104">
        <f t="shared" si="495"/>
        <v>9.0480000000000018</v>
      </c>
      <c r="AX130" s="104">
        <f t="shared" si="496"/>
        <v>9.2334512719466773</v>
      </c>
      <c r="AY130" s="104">
        <f t="shared" si="497"/>
        <v>9.0480000000000018</v>
      </c>
      <c r="AZ130" s="104">
        <f t="shared" si="498"/>
        <v>0</v>
      </c>
      <c r="BA130" s="104">
        <f t="shared" si="413"/>
        <v>0</v>
      </c>
      <c r="BB130" s="104">
        <f t="shared" si="499"/>
        <v>0</v>
      </c>
      <c r="BC130" s="104"/>
      <c r="BD130" s="104">
        <f t="shared" si="500"/>
        <v>0</v>
      </c>
      <c r="BE130" s="108">
        <f t="shared" si="501"/>
        <v>2.79</v>
      </c>
      <c r="BF130" s="110">
        <f t="shared" si="502"/>
        <v>0</v>
      </c>
      <c r="BG130" s="110">
        <f t="shared" si="503"/>
        <v>5.2</v>
      </c>
      <c r="BH130" s="105" t="str">
        <f>VLOOKUP(A130,'BOCA DE LOBO'!$C$99:$P$172,7,0)</f>
        <v>BOCA DE LOBO PROJETADA TRIPLA</v>
      </c>
      <c r="BI130" s="104">
        <f t="shared" si="504"/>
        <v>0</v>
      </c>
      <c r="BJ130" s="104">
        <f t="shared" si="505"/>
        <v>0</v>
      </c>
      <c r="BK130" s="104">
        <f t="shared" si="506"/>
        <v>0</v>
      </c>
      <c r="BL130" s="104">
        <f t="shared" si="507"/>
        <v>0</v>
      </c>
      <c r="BM130" s="104">
        <f t="shared" si="508"/>
        <v>0</v>
      </c>
      <c r="BN130" s="104">
        <f t="shared" si="509"/>
        <v>0</v>
      </c>
      <c r="BO130" s="543">
        <f t="shared" si="510"/>
        <v>1</v>
      </c>
      <c r="BP130" s="111"/>
      <c r="BQ130" s="108">
        <f t="shared" si="511"/>
        <v>15.600000000000001</v>
      </c>
      <c r="BR130" s="108">
        <f t="shared" si="512"/>
        <v>13.416</v>
      </c>
      <c r="BS130" s="108">
        <f t="shared" si="513"/>
        <v>0</v>
      </c>
      <c r="BT130" s="112"/>
      <c r="BU130" s="112" t="s">
        <v>1410</v>
      </c>
      <c r="BV130" s="538">
        <f t="shared" si="429"/>
        <v>25.941999999999993</v>
      </c>
      <c r="BW130" s="538">
        <f t="shared" si="430"/>
        <v>10.376799999999998</v>
      </c>
      <c r="BX130" s="538">
        <f t="shared" si="431"/>
        <v>4.4367999999999999</v>
      </c>
      <c r="BY130" s="538">
        <f t="shared" si="514"/>
        <v>2.5</v>
      </c>
      <c r="BZ130" s="538">
        <f t="shared" si="515"/>
        <v>2.5</v>
      </c>
      <c r="CA130" s="538">
        <f t="shared" si="516"/>
        <v>0</v>
      </c>
      <c r="CB130" s="538">
        <f t="shared" si="517"/>
        <v>0</v>
      </c>
      <c r="CC130" s="538">
        <f t="shared" si="518"/>
        <v>15.565199999999997</v>
      </c>
      <c r="CD130" s="538">
        <f t="shared" si="519"/>
        <v>10.376799999999998</v>
      </c>
      <c r="CE130" s="538">
        <f t="shared" si="520"/>
        <v>0</v>
      </c>
      <c r="CF130" s="538">
        <f t="shared" si="521"/>
        <v>0</v>
      </c>
      <c r="CG130" s="538">
        <f t="shared" si="522"/>
        <v>0</v>
      </c>
      <c r="CH130" s="538">
        <f t="shared" si="523"/>
        <v>0</v>
      </c>
      <c r="CI130" s="104">
        <f t="shared" si="442"/>
        <v>0.71399999999999997</v>
      </c>
      <c r="CJ130" s="538">
        <f t="shared" si="524"/>
        <v>14.135999999999994</v>
      </c>
      <c r="CK130" s="538">
        <f t="shared" si="444"/>
        <v>14.135999999999994</v>
      </c>
      <c r="CL130" s="538">
        <f t="shared" si="525"/>
        <v>0</v>
      </c>
      <c r="CM130" s="538">
        <f t="shared" si="526"/>
        <v>0</v>
      </c>
      <c r="CN130" s="538">
        <f t="shared" si="447"/>
        <v>4.76</v>
      </c>
      <c r="CO130" s="538">
        <f t="shared" si="527"/>
        <v>2.5</v>
      </c>
      <c r="CP130" s="538">
        <f t="shared" si="528"/>
        <v>14.28</v>
      </c>
      <c r="CQ130" s="538">
        <f t="shared" si="529"/>
        <v>9.52</v>
      </c>
      <c r="CR130" s="539">
        <f t="shared" si="451"/>
        <v>0</v>
      </c>
      <c r="CS130" s="540">
        <f t="shared" si="452"/>
        <v>0</v>
      </c>
      <c r="CT130" s="540">
        <f t="shared" si="453"/>
        <v>0.45984000000000003</v>
      </c>
      <c r="CU130" s="541">
        <f t="shared" si="454"/>
        <v>18</v>
      </c>
      <c r="CV130" s="538">
        <f t="shared" si="455"/>
        <v>1.9376100000000003</v>
      </c>
      <c r="CW130" s="538">
        <f t="shared" si="456"/>
        <v>29.6218</v>
      </c>
      <c r="CX130" s="104">
        <f t="shared" si="457"/>
        <v>4.76</v>
      </c>
      <c r="CY130" s="542">
        <f t="shared" si="458"/>
        <v>2.38</v>
      </c>
      <c r="CZ130" s="538">
        <f t="shared" si="459"/>
        <v>0</v>
      </c>
    </row>
    <row r="131" spans="1:104" ht="25" x14ac:dyDescent="0.25">
      <c r="A131" s="100" t="str">
        <f>'BOCA DE LOBO'!C121</f>
        <v>BL23-&gt;PV25.1</v>
      </c>
      <c r="B131" s="100" t="str">
        <f>'BOCA DE LOBO'!A121</f>
        <v>PV25.1</v>
      </c>
      <c r="C131" s="100" t="str">
        <f>VLOOKUP(A131,'BOCA DE LOBO'!C:F,3,0)</f>
        <v>PROJETADO</v>
      </c>
      <c r="D131" s="100" t="str">
        <f>VLOOKUP(A131,'BOCA DE LOBO'!C:M,10,0)</f>
        <v>PROJETADA</v>
      </c>
      <c r="E131" s="100">
        <f t="shared" si="460"/>
        <v>2.5</v>
      </c>
      <c r="F131" s="100">
        <f>VLOOKUP(A131,'BOCA DE LOBO'!$C$97:$P$172,2,0)</f>
        <v>2.82</v>
      </c>
      <c r="G131" s="100">
        <f>VLOOKUP(A131,'BOCA DE LOBO'!$C$97:$L$172,4,0)</f>
        <v>5.89</v>
      </c>
      <c r="H131" s="101">
        <v>400</v>
      </c>
      <c r="I131" s="102">
        <f t="shared" si="461"/>
        <v>2.79</v>
      </c>
      <c r="J131" s="102">
        <f t="shared" si="462"/>
        <v>0.82165500000000002</v>
      </c>
      <c r="K131" s="103">
        <v>0</v>
      </c>
      <c r="L131" s="104">
        <f t="shared" si="463"/>
        <v>1</v>
      </c>
      <c r="M131" s="104">
        <f t="shared" si="464"/>
        <v>1</v>
      </c>
      <c r="N131" s="104">
        <f t="shared" si="465"/>
        <v>0</v>
      </c>
      <c r="O131" s="104">
        <f t="shared" si="466"/>
        <v>5.89</v>
      </c>
      <c r="P131" s="105" t="str">
        <f>VLOOKUP(B131,'Planilha Hidráulica'!$AE$49:$AQ$94,13,0)</f>
        <v>ASFALTO</v>
      </c>
      <c r="Q131" s="452" t="s">
        <v>2058</v>
      </c>
      <c r="R131" s="105">
        <v>1</v>
      </c>
      <c r="S131" s="105">
        <f>VLOOKUP(Q131,Quantitativos!$P$43:$R$88,3,0)</f>
        <v>2.5</v>
      </c>
      <c r="T131" s="105">
        <f>VLOOKUP(Q131,Quantitativos!$P$43:$S$88,4,0)</f>
        <v>1.6</v>
      </c>
      <c r="U131" s="104">
        <f t="shared" si="467"/>
        <v>0.05</v>
      </c>
      <c r="V131" s="106">
        <f t="shared" si="468"/>
        <v>0</v>
      </c>
      <c r="W131" s="106">
        <f t="shared" si="469"/>
        <v>18.789099999999998</v>
      </c>
      <c r="X131" s="107">
        <f t="shared" si="470"/>
        <v>0</v>
      </c>
      <c r="Y131" s="107">
        <f t="shared" si="471"/>
        <v>3.19</v>
      </c>
      <c r="Z131" s="107">
        <f t="shared" si="472"/>
        <v>0</v>
      </c>
      <c r="AA131" s="107">
        <f t="shared" si="473"/>
        <v>2.79</v>
      </c>
      <c r="AB131" s="108">
        <f t="shared" si="474"/>
        <v>5.89</v>
      </c>
      <c r="AC131" s="109">
        <f t="shared" si="475"/>
        <v>8.8349999999999991</v>
      </c>
      <c r="AD131" s="109">
        <f t="shared" si="476"/>
        <v>8.8349999999999991</v>
      </c>
      <c r="AE131" s="109">
        <f t="shared" si="477"/>
        <v>1.1190999999999995</v>
      </c>
      <c r="AF131" s="109">
        <f t="shared" si="478"/>
        <v>0</v>
      </c>
      <c r="AG131" s="109">
        <f t="shared" si="479"/>
        <v>0</v>
      </c>
      <c r="AH131" s="109">
        <f t="shared" si="480"/>
        <v>0</v>
      </c>
      <c r="AI131" s="537" t="str">
        <f t="shared" si="481"/>
        <v>SIM</v>
      </c>
      <c r="AJ131" s="104">
        <f t="shared" si="482"/>
        <v>0</v>
      </c>
      <c r="AK131" s="104">
        <f t="shared" si="483"/>
        <v>9.3454666666666658E-2</v>
      </c>
      <c r="AL131" s="104">
        <f t="shared" si="484"/>
        <v>18.048940770814244</v>
      </c>
      <c r="AM131" s="102">
        <f t="shared" si="485"/>
        <v>0.29449999999999998</v>
      </c>
      <c r="AN131" s="106">
        <f t="shared" si="486"/>
        <v>0</v>
      </c>
      <c r="AO131" s="104">
        <f t="shared" si="487"/>
        <v>2.3559999999999999</v>
      </c>
      <c r="AP131" s="104">
        <f t="shared" si="488"/>
        <v>2.3559999999999999</v>
      </c>
      <c r="AQ131" s="104">
        <f t="shared" si="489"/>
        <v>0.7</v>
      </c>
      <c r="AR131" s="104">
        <f t="shared" si="490"/>
        <v>3.3828407708142443</v>
      </c>
      <c r="AS131" s="104">
        <f t="shared" si="491"/>
        <v>3.3828407708142443</v>
      </c>
      <c r="AT131" s="104">
        <f t="shared" si="492"/>
        <v>0.88349999999999995</v>
      </c>
      <c r="AU131" s="104">
        <f t="shared" si="493"/>
        <v>0.88349999999999995</v>
      </c>
      <c r="AV131" s="104">
        <f t="shared" si="494"/>
        <v>0.1767</v>
      </c>
      <c r="AW131" s="104">
        <f t="shared" si="495"/>
        <v>10.248600000000001</v>
      </c>
      <c r="AX131" s="104">
        <f t="shared" si="496"/>
        <v>-6.6223407708142439</v>
      </c>
      <c r="AY131" s="104">
        <f t="shared" si="497"/>
        <v>-6.6223407708142439</v>
      </c>
      <c r="AZ131" s="104">
        <f t="shared" si="498"/>
        <v>16.870940770814244</v>
      </c>
      <c r="BA131" s="104">
        <f t="shared" si="413"/>
        <v>7.8790616969985514</v>
      </c>
      <c r="BB131" s="104">
        <f t="shared" si="499"/>
        <v>8.9918790738156922</v>
      </c>
      <c r="BC131" s="104"/>
      <c r="BD131" s="104">
        <f t="shared" si="500"/>
        <v>0.12957999999999997</v>
      </c>
      <c r="BE131" s="108">
        <f t="shared" si="501"/>
        <v>2.79</v>
      </c>
      <c r="BF131" s="110">
        <f t="shared" si="502"/>
        <v>0</v>
      </c>
      <c r="BG131" s="110">
        <f t="shared" si="503"/>
        <v>5.89</v>
      </c>
      <c r="BH131" s="105" t="str">
        <f>VLOOKUP(A131,'BOCA DE LOBO'!$C$99:$P$172,7,0)</f>
        <v>BOCA DE LOBO PROJETADA TRIPLA</v>
      </c>
      <c r="BI131" s="104">
        <f t="shared" si="504"/>
        <v>0</v>
      </c>
      <c r="BJ131" s="104">
        <f t="shared" si="505"/>
        <v>0</v>
      </c>
      <c r="BK131" s="104">
        <f t="shared" si="506"/>
        <v>0</v>
      </c>
      <c r="BL131" s="104">
        <f t="shared" si="507"/>
        <v>0</v>
      </c>
      <c r="BM131" s="104">
        <f t="shared" si="508"/>
        <v>0</v>
      </c>
      <c r="BN131" s="104">
        <f t="shared" si="509"/>
        <v>0</v>
      </c>
      <c r="BO131" s="543">
        <f t="shared" si="510"/>
        <v>1</v>
      </c>
      <c r="BP131" s="111"/>
      <c r="BQ131" s="108">
        <f t="shared" si="511"/>
        <v>17.669999999999998</v>
      </c>
      <c r="BR131" s="108">
        <f t="shared" si="512"/>
        <v>17.669999999999998</v>
      </c>
      <c r="BS131" s="108">
        <f t="shared" si="513"/>
        <v>3.4162000000000003</v>
      </c>
      <c r="BT131" s="112"/>
      <c r="BU131" s="112" t="s">
        <v>1410</v>
      </c>
      <c r="BV131" s="538">
        <f t="shared" si="429"/>
        <v>31.130399999999995</v>
      </c>
      <c r="BW131" s="538">
        <f t="shared" si="430"/>
        <v>10.376799999999998</v>
      </c>
      <c r="BX131" s="538">
        <f t="shared" si="431"/>
        <v>4.4367999999999999</v>
      </c>
      <c r="BY131" s="538">
        <f t="shared" si="514"/>
        <v>2.5</v>
      </c>
      <c r="BZ131" s="538">
        <f t="shared" si="515"/>
        <v>0</v>
      </c>
      <c r="CA131" s="538">
        <f t="shared" si="516"/>
        <v>3</v>
      </c>
      <c r="CB131" s="538">
        <f t="shared" si="517"/>
        <v>0</v>
      </c>
      <c r="CC131" s="538">
        <f t="shared" si="518"/>
        <v>0</v>
      </c>
      <c r="CD131" s="538">
        <f t="shared" si="519"/>
        <v>0</v>
      </c>
      <c r="CE131" s="538">
        <f t="shared" si="520"/>
        <v>15.565199999999997</v>
      </c>
      <c r="CF131" s="538">
        <f t="shared" si="521"/>
        <v>15.565199999999997</v>
      </c>
      <c r="CG131" s="538">
        <f t="shared" si="522"/>
        <v>0</v>
      </c>
      <c r="CH131" s="538">
        <f t="shared" si="523"/>
        <v>0</v>
      </c>
      <c r="CI131" s="104">
        <f t="shared" si="442"/>
        <v>0.71399999999999997</v>
      </c>
      <c r="CJ131" s="538">
        <f t="shared" si="524"/>
        <v>16.511999999999993</v>
      </c>
      <c r="CK131" s="538">
        <f t="shared" si="444"/>
        <v>16.511999999999993</v>
      </c>
      <c r="CL131" s="538">
        <f t="shared" si="525"/>
        <v>0</v>
      </c>
      <c r="CM131" s="538">
        <f t="shared" si="526"/>
        <v>0.20753599999999994</v>
      </c>
      <c r="CN131" s="538">
        <f t="shared" si="447"/>
        <v>4.76</v>
      </c>
      <c r="CO131" s="538">
        <f t="shared" si="527"/>
        <v>3</v>
      </c>
      <c r="CP131" s="538">
        <f t="shared" si="528"/>
        <v>14.28</v>
      </c>
      <c r="CQ131" s="538">
        <f t="shared" si="529"/>
        <v>14.28</v>
      </c>
      <c r="CR131" s="539">
        <f t="shared" si="451"/>
        <v>0</v>
      </c>
      <c r="CS131" s="540">
        <f t="shared" si="452"/>
        <v>0</v>
      </c>
      <c r="CT131" s="540">
        <f t="shared" si="453"/>
        <v>0.45984000000000003</v>
      </c>
      <c r="CU131" s="541">
        <f t="shared" si="454"/>
        <v>18</v>
      </c>
      <c r="CV131" s="538">
        <f t="shared" si="455"/>
        <v>1.9376100000000003</v>
      </c>
      <c r="CW131" s="538">
        <f t="shared" si="456"/>
        <v>29.6218</v>
      </c>
      <c r="CX131" s="104">
        <f t="shared" si="457"/>
        <v>4.76</v>
      </c>
      <c r="CY131" s="542">
        <f t="shared" si="458"/>
        <v>2.38</v>
      </c>
      <c r="CZ131" s="538">
        <f t="shared" si="459"/>
        <v>0</v>
      </c>
    </row>
    <row r="132" spans="1:104" ht="25" x14ac:dyDescent="0.25">
      <c r="A132" s="100" t="str">
        <f>'BOCA DE LOBO'!C122</f>
        <v>BL24-&gt;PV26.1</v>
      </c>
      <c r="B132" s="100" t="str">
        <f>'BOCA DE LOBO'!A122</f>
        <v>PV26.1</v>
      </c>
      <c r="C132" s="100" t="str">
        <f>VLOOKUP(A132,'BOCA DE LOBO'!C:F,3,0)</f>
        <v>PROJETADO</v>
      </c>
      <c r="D132" s="100" t="str">
        <f>VLOOKUP(A132,'BOCA DE LOBO'!C:M,10,0)</f>
        <v>PROJETADA</v>
      </c>
      <c r="E132" s="100">
        <f t="shared" si="460"/>
        <v>2.5</v>
      </c>
      <c r="F132" s="100">
        <f>VLOOKUP(A132,'BOCA DE LOBO'!$C$97:$P$172,2,0)</f>
        <v>3.65</v>
      </c>
      <c r="G132" s="100">
        <f>VLOOKUP(A132,'BOCA DE LOBO'!$C$97:$L$172,4,0)</f>
        <v>9.0399999999999991</v>
      </c>
      <c r="H132" s="101">
        <v>400</v>
      </c>
      <c r="I132" s="102">
        <f t="shared" si="461"/>
        <v>3.2050000000000001</v>
      </c>
      <c r="J132" s="102">
        <f t="shared" si="462"/>
        <v>1.4486599999999998</v>
      </c>
      <c r="K132" s="103">
        <v>0</v>
      </c>
      <c r="L132" s="104">
        <f t="shared" si="463"/>
        <v>1</v>
      </c>
      <c r="M132" s="104">
        <f t="shared" si="464"/>
        <v>1</v>
      </c>
      <c r="N132" s="104">
        <f t="shared" si="465"/>
        <v>0</v>
      </c>
      <c r="O132" s="104">
        <f t="shared" si="466"/>
        <v>9.0399999999999991</v>
      </c>
      <c r="P132" s="105" t="s">
        <v>1999</v>
      </c>
      <c r="Q132" s="452" t="s">
        <v>2058</v>
      </c>
      <c r="R132" s="105">
        <v>1</v>
      </c>
      <c r="S132" s="105">
        <f>VLOOKUP(Q132,Quantitativos!$P$43:$R$88,3,0)</f>
        <v>2.5</v>
      </c>
      <c r="T132" s="105">
        <f>VLOOKUP(Q132,Quantitativos!$P$43:$S$88,4,0)</f>
        <v>1.6</v>
      </c>
      <c r="U132" s="104">
        <f t="shared" si="467"/>
        <v>0.05</v>
      </c>
      <c r="V132" s="106">
        <f t="shared" si="468"/>
        <v>0</v>
      </c>
      <c r="W132" s="106">
        <f t="shared" si="469"/>
        <v>32.589199999999998</v>
      </c>
      <c r="X132" s="107">
        <f t="shared" si="470"/>
        <v>0</v>
      </c>
      <c r="Y132" s="107">
        <f t="shared" si="471"/>
        <v>3.605</v>
      </c>
      <c r="Z132" s="107">
        <f t="shared" si="472"/>
        <v>0</v>
      </c>
      <c r="AA132" s="107">
        <f t="shared" si="473"/>
        <v>3.2050000000000001</v>
      </c>
      <c r="AB132" s="108">
        <f t="shared" si="474"/>
        <v>9.0399999999999991</v>
      </c>
      <c r="AC132" s="109">
        <f t="shared" si="475"/>
        <v>13.559999999999999</v>
      </c>
      <c r="AD132" s="109">
        <f t="shared" si="476"/>
        <v>13.559999999999999</v>
      </c>
      <c r="AE132" s="109">
        <f t="shared" si="477"/>
        <v>5.469199999999999</v>
      </c>
      <c r="AF132" s="109">
        <f t="shared" si="478"/>
        <v>0</v>
      </c>
      <c r="AG132" s="109">
        <f t="shared" si="479"/>
        <v>0</v>
      </c>
      <c r="AH132" s="109">
        <f t="shared" si="480"/>
        <v>0</v>
      </c>
      <c r="AI132" s="537" t="str">
        <f t="shared" si="481"/>
        <v>SIM</v>
      </c>
      <c r="AJ132" s="104">
        <f t="shared" si="482"/>
        <v>0</v>
      </c>
      <c r="AK132" s="104">
        <f t="shared" si="483"/>
        <v>0.19345599999999996</v>
      </c>
      <c r="AL132" s="104">
        <f t="shared" si="484"/>
        <v>31.453200096461927</v>
      </c>
      <c r="AM132" s="102">
        <f t="shared" si="485"/>
        <v>0.45199999999999996</v>
      </c>
      <c r="AN132" s="106">
        <f t="shared" si="486"/>
        <v>0</v>
      </c>
      <c r="AO132" s="104">
        <f t="shared" si="487"/>
        <v>3.6159999999999997</v>
      </c>
      <c r="AP132" s="104">
        <f t="shared" si="488"/>
        <v>3.6159999999999997</v>
      </c>
      <c r="AQ132" s="104">
        <f t="shared" si="489"/>
        <v>0.7</v>
      </c>
      <c r="AR132" s="104">
        <f t="shared" si="490"/>
        <v>5.1920000964619302</v>
      </c>
      <c r="AS132" s="104">
        <f t="shared" si="491"/>
        <v>5.1920000964619302</v>
      </c>
      <c r="AT132" s="104">
        <f t="shared" si="492"/>
        <v>1.3559999999999999</v>
      </c>
      <c r="AU132" s="104">
        <f t="shared" si="493"/>
        <v>1.3559999999999999</v>
      </c>
      <c r="AV132" s="104">
        <f t="shared" si="494"/>
        <v>0.27119999999999994</v>
      </c>
      <c r="AW132" s="104">
        <f t="shared" si="495"/>
        <v>19.481199999999994</v>
      </c>
      <c r="AX132" s="104">
        <f t="shared" si="496"/>
        <v>-10.16400009646193</v>
      </c>
      <c r="AY132" s="104">
        <f t="shared" si="497"/>
        <v>-10.16400009646193</v>
      </c>
      <c r="AZ132" s="104">
        <f t="shared" si="498"/>
        <v>29.645200096461924</v>
      </c>
      <c r="BA132" s="104">
        <f t="shared" si="413"/>
        <v>13.844892454602446</v>
      </c>
      <c r="BB132" s="104">
        <f t="shared" si="499"/>
        <v>15.800307641859478</v>
      </c>
      <c r="BC132" s="104"/>
      <c r="BD132" s="104">
        <f t="shared" si="500"/>
        <v>0.19887999999999997</v>
      </c>
      <c r="BE132" s="108">
        <f t="shared" si="501"/>
        <v>3.2050000000000001</v>
      </c>
      <c r="BF132" s="110">
        <f t="shared" si="502"/>
        <v>0</v>
      </c>
      <c r="BG132" s="110">
        <f t="shared" si="503"/>
        <v>0</v>
      </c>
      <c r="BH132" s="105" t="str">
        <f>VLOOKUP(A132,'BOCA DE LOBO'!$C$99:$P$172,7,0)</f>
        <v>BOCA DE LOBO PROJETADA TRIPLA</v>
      </c>
      <c r="BI132" s="104">
        <f t="shared" si="504"/>
        <v>0</v>
      </c>
      <c r="BJ132" s="104">
        <f t="shared" si="505"/>
        <v>0</v>
      </c>
      <c r="BK132" s="104">
        <f t="shared" si="506"/>
        <v>0</v>
      </c>
      <c r="BL132" s="104">
        <f t="shared" si="507"/>
        <v>0</v>
      </c>
      <c r="BM132" s="104">
        <f t="shared" si="508"/>
        <v>0</v>
      </c>
      <c r="BN132" s="104">
        <f t="shared" si="509"/>
        <v>0</v>
      </c>
      <c r="BO132" s="543">
        <f t="shared" si="510"/>
        <v>1</v>
      </c>
      <c r="BP132" s="111"/>
      <c r="BQ132" s="108">
        <f t="shared" si="511"/>
        <v>27.119999999999997</v>
      </c>
      <c r="BR132" s="108">
        <f t="shared" si="512"/>
        <v>27.119999999999997</v>
      </c>
      <c r="BS132" s="108">
        <f t="shared" si="513"/>
        <v>12.7464</v>
      </c>
      <c r="BT132" s="112"/>
      <c r="BU132" s="112" t="s">
        <v>1410</v>
      </c>
      <c r="BV132" s="538">
        <f t="shared" si="429"/>
        <v>31.130399999999995</v>
      </c>
      <c r="BW132" s="538">
        <f t="shared" si="430"/>
        <v>10.376799999999998</v>
      </c>
      <c r="BX132" s="538">
        <f t="shared" si="431"/>
        <v>4.4367999999999999</v>
      </c>
      <c r="BY132" s="538">
        <f t="shared" si="514"/>
        <v>2.5</v>
      </c>
      <c r="BZ132" s="538">
        <f t="shared" si="515"/>
        <v>0</v>
      </c>
      <c r="CA132" s="538">
        <f t="shared" si="516"/>
        <v>3</v>
      </c>
      <c r="CB132" s="538">
        <f t="shared" si="517"/>
        <v>0</v>
      </c>
      <c r="CC132" s="538">
        <f t="shared" si="518"/>
        <v>0</v>
      </c>
      <c r="CD132" s="538">
        <f t="shared" si="519"/>
        <v>0</v>
      </c>
      <c r="CE132" s="538">
        <f t="shared" si="520"/>
        <v>15.565199999999997</v>
      </c>
      <c r="CF132" s="538">
        <f t="shared" si="521"/>
        <v>15.565199999999997</v>
      </c>
      <c r="CG132" s="538">
        <f t="shared" si="522"/>
        <v>0</v>
      </c>
      <c r="CH132" s="538">
        <f t="shared" si="523"/>
        <v>0</v>
      </c>
      <c r="CI132" s="104">
        <f t="shared" si="442"/>
        <v>0.71399999999999997</v>
      </c>
      <c r="CJ132" s="538">
        <f t="shared" si="524"/>
        <v>16.511999999999993</v>
      </c>
      <c r="CK132" s="538">
        <f t="shared" si="444"/>
        <v>16.511999999999993</v>
      </c>
      <c r="CL132" s="538">
        <f t="shared" si="525"/>
        <v>0</v>
      </c>
      <c r="CM132" s="538">
        <f t="shared" si="526"/>
        <v>0.20753599999999994</v>
      </c>
      <c r="CN132" s="538">
        <f t="shared" si="447"/>
        <v>4.76</v>
      </c>
      <c r="CO132" s="538">
        <f t="shared" si="527"/>
        <v>3</v>
      </c>
      <c r="CP132" s="538">
        <f t="shared" si="528"/>
        <v>14.28</v>
      </c>
      <c r="CQ132" s="538">
        <f t="shared" si="529"/>
        <v>14.28</v>
      </c>
      <c r="CR132" s="539">
        <f t="shared" si="451"/>
        <v>0</v>
      </c>
      <c r="CS132" s="540">
        <f t="shared" si="452"/>
        <v>0</v>
      </c>
      <c r="CT132" s="540">
        <f t="shared" si="453"/>
        <v>0.45984000000000003</v>
      </c>
      <c r="CU132" s="541">
        <f t="shared" si="454"/>
        <v>18</v>
      </c>
      <c r="CV132" s="538">
        <f t="shared" si="455"/>
        <v>1.9376100000000003</v>
      </c>
      <c r="CW132" s="538">
        <f t="shared" si="456"/>
        <v>29.6218</v>
      </c>
      <c r="CX132" s="104">
        <f t="shared" si="457"/>
        <v>4.76</v>
      </c>
      <c r="CY132" s="542">
        <f t="shared" si="458"/>
        <v>2.38</v>
      </c>
      <c r="CZ132" s="538">
        <f t="shared" si="459"/>
        <v>0</v>
      </c>
    </row>
    <row r="133" spans="1:104" ht="25" x14ac:dyDescent="0.25">
      <c r="A133" s="100" t="str">
        <f>'BOCA DE LOBO'!C123</f>
        <v>BL25-&gt;PV1.2</v>
      </c>
      <c r="B133" s="100" t="str">
        <f>'BOCA DE LOBO'!A123</f>
        <v>PV1.2</v>
      </c>
      <c r="C133" s="100" t="str">
        <f>VLOOKUP(A133,'BOCA DE LOBO'!C:F,3,0)</f>
        <v>PROJETADO</v>
      </c>
      <c r="D133" s="100" t="str">
        <f>VLOOKUP(A133,'BOCA DE LOBO'!C:M,10,0)</f>
        <v>PROJETADA</v>
      </c>
      <c r="E133" s="100">
        <f t="shared" ref="E133" si="698">IF(F133-G133*4%&lt;2.5,F133-G133*4%,2.5)</f>
        <v>2.5</v>
      </c>
      <c r="F133" s="100">
        <f>VLOOKUP(A133,'BOCA DE LOBO'!$C$97:$P$172,2,0)</f>
        <v>3.55</v>
      </c>
      <c r="G133" s="100">
        <f>VLOOKUP(A133,'BOCA DE LOBO'!$C$97:$L$172,4,0)</f>
        <v>4.0999999999999996</v>
      </c>
      <c r="H133" s="101">
        <v>400</v>
      </c>
      <c r="I133" s="102">
        <f t="shared" ref="I133" si="699">IF(H133=400,((E133+F133)/2)+0.08+U133,IF(H133=500,((E133+F133)/2)+0.1+U133,IF(H133=600,((E133+F133)/2)+0.12+U133,IF(H133=800,((E133+F133)/2)+0.16+U133,IF(H133=1000,((E133+F133)/2)+0.2+U133,IF(H133=1200,((E133+F133)/2)+0.24+U133,IF(H133=1500,((E133+F133)/2)+0.3+U133,IF(H133&gt;1500,((E133+F133)/2)+0.4+U133))))))))</f>
        <v>3.1549999999999998</v>
      </c>
      <c r="J133" s="102">
        <f t="shared" ref="J133" si="700">IF(I133&gt;=1.25,G133*I133/20,0)</f>
        <v>0.64677499999999988</v>
      </c>
      <c r="K133" s="103">
        <v>0</v>
      </c>
      <c r="L133" s="104">
        <f t="shared" ref="L133" si="701">IF(D133&lt;&gt;"PROJETADA",0,IF(H133=400,1,0)+IF(H133=500,1.2,0)+IF(H133=600,1.4,0)+IF(H133=800,1.7,0)+IF(H133=1000,2,0)+IF(H133=1200,2.2,0)+IF(H133=1500,2.6,0)+IF(H133=1650,3,0)+IF(H133=1800,3.2,0)+IF(H133=2000,3.4,0)+IF(H133=2200,3.6,0)+IF(H133=2400,3.8,0)+IF(H133=2600,4,0)+IF(H133=3000,4.4,0))</f>
        <v>1</v>
      </c>
      <c r="M133" s="104">
        <f t="shared" ref="M133" si="702">2*K133*I133+L133</f>
        <v>1</v>
      </c>
      <c r="N133" s="104">
        <f t="shared" ref="N133" si="703">IF(OR(D133="EXISTENTE",D133="AMPLIADA"),400,0)</f>
        <v>0</v>
      </c>
      <c r="O133" s="104">
        <f t="shared" ref="O133" si="704">IF(P133="TERRENO NATURAL",0,M133*G133)</f>
        <v>4.0999999999999996</v>
      </c>
      <c r="P133" s="105" t="s">
        <v>1999</v>
      </c>
      <c r="Q133" s="452" t="s">
        <v>2058</v>
      </c>
      <c r="R133" s="105">
        <v>1</v>
      </c>
      <c r="S133" s="105">
        <f>VLOOKUP(Q133,Quantitativos!$P$43:$R$88,3,0)</f>
        <v>2.5</v>
      </c>
      <c r="T133" s="105">
        <f>VLOOKUP(Q133,Quantitativos!$P$43:$S$88,4,0)</f>
        <v>1.6</v>
      </c>
      <c r="U133" s="104">
        <f t="shared" ref="U133" si="705">IF(H133=400,0.05,0)+IF(H133=500,0.05,0)+IF(H133=600,0.1,0)+IF(H133=800,0.1,0)+IF(H133=1000,0.15,0)+IF(H133=1200,0.15,0)+IF(H133=1500,0.2,0)+IF(H133=1650,0.2,0)+IF(H133=1800,0.2,0)+IF(H133=2000,0.25,0)+IF(H133=2200,0.25,0)+IF(H133=2400,0.25,0)+IF(H133=2600,0.25,0)+IF(H133=3000,0.25,0)</f>
        <v>0.05</v>
      </c>
      <c r="V133" s="106">
        <f t="shared" ref="V133" si="706">IF(L133=0,0,IF("EXISTENTE"=C133,0,IFERROR((PI()*(N133/1000)*(N133/1000)/4)*G133,0)))</f>
        <v>0</v>
      </c>
      <c r="W133" s="106">
        <f t="shared" ref="W133" si="707">IF(O133=0,0,((((K133*I133)*I133)/2)*2+L133*I133)*G133-V133+AO133)</f>
        <v>14.575499999999998</v>
      </c>
      <c r="X133" s="107">
        <f t="shared" ref="X133" si="708">W133-SUM(AC133:AJ133)</f>
        <v>0</v>
      </c>
      <c r="Y133" s="107">
        <f t="shared" ref="Y133" si="709">IF(R133=1,IF(N133=0,I133+0.4,0.4),0)</f>
        <v>3.5549999999999997</v>
      </c>
      <c r="Z133" s="107">
        <f t="shared" ref="Z133" si="710">IF(Y133&gt;0.5,0,IF(S133&lt;I133,S133,I133))</f>
        <v>0</v>
      </c>
      <c r="AA133" s="107">
        <f t="shared" ref="AA133" si="711">I133-Z133</f>
        <v>3.1549999999999998</v>
      </c>
      <c r="AB133" s="108">
        <f t="shared" ref="AB133" si="712">IF(P133="ASFALTO",IF(D133="PROJETADA",O133,IF(D133="EXISTENTE",0,O133/2)),0)</f>
        <v>4.0999999999999996</v>
      </c>
      <c r="AC133" s="109">
        <f t="shared" ref="AC133" si="713">IF(Y133=0,0,IF(Y133=0.4,IF(L133&lt;=1.5,IF(Z133+0.4&gt;=1.5,0,L133*G133*0.4),0),IF(L133&lt;=1.5,IF(Y133&gt;=1.5,M133*G133*1.5,L133*G133*(Y133)),0)+IF(S133&lt;I133+0.4,0,IF(AND(Y133&lt;=1.5,L133&lt;=1.5),-V133,0))))</f>
        <v>6.1499999999999995</v>
      </c>
      <c r="AD133" s="109">
        <f t="shared" ref="AD133" si="714">IF(Y133=0,0,IF(Y133=0.4,IF(L133&lt;=1.5,IF(OR(Z133+0.4&gt;=3,Z133+0.4&lt;1.5),0,L133*G133*0.4),0),IF(IF(L133&lt;=1.5,IF(Y133&gt;=3,M133*G133*1.5,L133*G133*(Y133-1.5)),0)&lt;0,0,IF(L133&lt;=1.5,IF(Y133&gt;=3,M133*G133*1.5,L133*G133*(Y133-1.5)),0))+IF(S133&lt;I133+0.4,0,IF(AND(Y133&lt;=3,L133&lt;=1.5),-V133,0))))</f>
        <v>6.1499999999999995</v>
      </c>
      <c r="AE133" s="109">
        <f t="shared" ref="AE133" si="715">IF(Y133=0,0,IF(Y133=0.4,IF(L133&lt;=1.5,IF(OR(Z133+0.4&gt;=4.5,Z133+0.4&lt;3),0,L133*G133*0.4),0),IF(IF(L133&lt;=1.5,IF(Y133&gt;=4.5,M133*G133*1.5,L133*G133*(Y133-3)),0)&lt;0,0,IF(L133&lt;=1.5,IF(Y133&gt;=4.5,M133*G133*1.5,L133*G133*(Y133-3)),0))+IF(S133&lt;I133+0.4,0,IF(AND(Y133&lt;=4.5,L133&lt;=1.5),-V133,0))))</f>
        <v>2.2754999999999987</v>
      </c>
      <c r="AF133" s="109">
        <f t="shared" ref="AF133" si="716">IF(L133&lt;=1.5,IF(Z133&gt;=1.5,M133*G133*1.5,L133*G133*Z133),0)+IF(S133&lt;I133,0,IF(AND(Z133&lt;=1.5,L133&lt;=1.5),-V133,0))-V133</f>
        <v>0</v>
      </c>
      <c r="AG133" s="109">
        <f t="shared" ref="AG133" si="717">IF(IF(L133&lt;=1.5,IF(Z133&gt;=3,M133*G133*1.5,L133*G133*(Z133-1.5)),0)&lt;0,0,IF(L133&lt;=1.5,IF(Z133&gt;=3,M133*G133*1.5,L133*G133*(Z133-1.5)),0))</f>
        <v>0</v>
      </c>
      <c r="AH133" s="109">
        <f t="shared" ref="AH133" si="718">IF(IF(L133&lt;=1.5,IF(Z133&gt;=4.5,M133*G133*1.5,L133*G133*(Z133-3)),0)&lt;0,0,IF(L133&lt;=1.5,IF(Z133&gt;=4.5,M133*G133*1.5,L133*G133*(Z133-3)),0))+IF(S133&lt;I133,0,IF(AND(Z133&lt;=4.5,Z133&gt;3,L133&lt;=1.5),-V133,0))</f>
        <v>0</v>
      </c>
      <c r="AI133" s="537" t="str">
        <f t="shared" ref="AI133" si="719">IF(I133&gt;S133,"SIM","NÃO")</f>
        <v>SIM</v>
      </c>
      <c r="AJ133" s="104">
        <f t="shared" ref="AJ133" si="720">W133-SUM(AC133:AH133)</f>
        <v>0</v>
      </c>
      <c r="AK133" s="104">
        <f t="shared" ref="AK133" si="721">IF(I133-T133&lt;0,0,(I133-T133)*G133)/75</f>
        <v>8.5006666666666633E-2</v>
      </c>
      <c r="AL133" s="104">
        <f t="shared" ref="AL133" si="722">IF(L133=0,0,G133*L133*I133-PI()*(H133/1000)*(H133/1000)/4*G133+AO133)</f>
        <v>14.060278804811272</v>
      </c>
      <c r="AM133" s="102">
        <f t="shared" ref="AM133" si="723">IF(L133&lt;1.5,L133*G133*IF(H133&lt;=500,0.05,IF(H133&lt;=800,0.1,IF(H133&lt;=1200,0.15,IF(H133&gt;=1500,0.2)))),0)</f>
        <v>0.20499999999999999</v>
      </c>
      <c r="AN133" s="106">
        <f t="shared" ref="AN133" si="724">IF(L133&gt;=1.5,L133*G133*IF(H133&lt;=500,0.05,IF(H133&lt;=800,0.1,IF(H133&lt;=1200,0.15,IF(H133&gt;=1500,0.2)))),0)</f>
        <v>0</v>
      </c>
      <c r="AO133" s="104">
        <f t="shared" ref="AO133" si="725">IF(R133=1,0.4*G133*L133,0)</f>
        <v>1.64</v>
      </c>
      <c r="AP133" s="104">
        <f t="shared" ref="AP133" si="726">IF(AO133&lt;SUM(AF133:AH133),0,AO133)</f>
        <v>1.64</v>
      </c>
      <c r="AQ133" s="104">
        <f t="shared" ref="AQ133" si="727">H133/1000+0.3</f>
        <v>0.7</v>
      </c>
      <c r="AR133" s="104">
        <f t="shared" ref="AR133" si="728">IF(D133&lt;&gt;"PROJETADA",0,AQ133*L133*G133-PI()*(H133/1000*H133/1000)/4*G133)</f>
        <v>2.3547788048112737</v>
      </c>
      <c r="AS133" s="104">
        <f t="shared" ref="AS133" si="729">IF(AR133&lt;SUM(AF133:AH133),0,AR133)</f>
        <v>2.3547788048112737</v>
      </c>
      <c r="AT133" s="104">
        <f t="shared" ref="AT133" si="730">IF(P133="ASFALTO",0.15*G133*L133,0)</f>
        <v>0.61499999999999988</v>
      </c>
      <c r="AU133" s="104">
        <f t="shared" ref="AU133" si="731">AT133</f>
        <v>0.61499999999999988</v>
      </c>
      <c r="AV133" s="104">
        <f t="shared" ref="AV133" si="732">IF(P133="ASFALTO",0.03*G133*L133,0)</f>
        <v>0.12299999999999998</v>
      </c>
      <c r="AW133" s="104">
        <f t="shared" ref="AW133" si="733">AL133-AO133-SUM(AM133:AN133)-AT133-AU133-AR133</f>
        <v>8.6304999999999978</v>
      </c>
      <c r="AX133" s="104">
        <f t="shared" ref="AX133" si="734">SUM(AF133:AH133)-AO133-AT133-AR133</f>
        <v>-4.609778804811274</v>
      </c>
      <c r="AY133" s="104">
        <f t="shared" ref="AY133" si="735">SMALL(AW133:AX133,1)</f>
        <v>-4.609778804811274</v>
      </c>
      <c r="AZ133" s="104">
        <f t="shared" ref="AZ133" si="736">AW133-AY133</f>
        <v>13.240278804811272</v>
      </c>
      <c r="BA133" s="104">
        <f t="shared" si="413"/>
        <v>6.1834710349430857</v>
      </c>
      <c r="BB133" s="104">
        <f t="shared" ref="BB133" si="737">AZ133-BA133</f>
        <v>7.0568077698681861</v>
      </c>
      <c r="BC133" s="104"/>
      <c r="BD133" s="104">
        <f t="shared" ref="BD133" si="738">IF(AO133&gt;0,4%*(AO133+AT133),0)</f>
        <v>9.0200000000000002E-2</v>
      </c>
      <c r="BE133" s="108">
        <f t="shared" ref="BE133" si="739">IF(H133=400,I133,0)</f>
        <v>3.1549999999999998</v>
      </c>
      <c r="BF133" s="110">
        <f t="shared" ref="BF133" si="740">IF(BE133&lt;=1.75,AND(BE133&gt;0)*G133,0)</f>
        <v>0</v>
      </c>
      <c r="BG133" s="110">
        <f t="shared" ref="BG133" si="741">IF(BE133&lt;=3,AND(BE133&gt;1.75)*G133,0)</f>
        <v>0</v>
      </c>
      <c r="BH133" s="105" t="str">
        <f>VLOOKUP(A133,'BOCA DE LOBO'!$C$99:$P$172,7,0)</f>
        <v>BOCA DE LOBO PROJETADA TRIPLA</v>
      </c>
      <c r="BI133" s="104">
        <f t="shared" ref="BI133" si="742">IF(BH133=$BI$107,1,0)</f>
        <v>0</v>
      </c>
      <c r="BJ133" s="104">
        <f t="shared" ref="BJ133" si="743">IF(BH133=$BJ$107,1,0)</f>
        <v>0</v>
      </c>
      <c r="BK133" s="104">
        <f t="shared" ref="BK133" si="744">IF(BH133=$BK$107,1,0)</f>
        <v>0</v>
      </c>
      <c r="BL133" s="104">
        <f t="shared" ref="BL133" si="745">IF(BH133=$BL$107,1,0)</f>
        <v>0</v>
      </c>
      <c r="BM133" s="104">
        <f t="shared" ref="BM133" si="746">IF(BH133=$BM$107,1,0)</f>
        <v>0</v>
      </c>
      <c r="BN133" s="104">
        <f t="shared" ref="BN133" si="747">IF(BH133=$BN$107,1,0)</f>
        <v>0</v>
      </c>
      <c r="BO133" s="543">
        <f t="shared" ref="BO133" si="748">IF(BH133=$BO$107,1,0)</f>
        <v>1</v>
      </c>
      <c r="BP133" s="111"/>
      <c r="BQ133" s="108">
        <f t="shared" ref="BQ133" si="749">IF(L133&lt;=1.5,IF(I133+IF(R133=1,0.5,0)&lt;1.5,(I133+IF(R133=1,0.5,0))*G133*2,G133*2*1.5),0)</f>
        <v>12.299999999999999</v>
      </c>
      <c r="BR133" s="108">
        <f t="shared" ref="BR133" si="750">IF(L133&lt;=1.5,IF(AND(I133+IF(R133=1,0.5,0)&lt;3,I133+IF(R133=1,0.5,0)&gt;1.5),(I133+IF(R133=1,0.5,0)-1.5)*G133*2,IF(I133+IF(R133=1,0.5,0)&gt;=3,(G133*2*1.5),0)),0)</f>
        <v>12.299999999999999</v>
      </c>
      <c r="BS133" s="108">
        <f t="shared" ref="BS133" si="751">IF(L133&lt;=1.5,IF(AND(I133+IF(R133=1,0.5,0)&lt;4.5,I133+IF(R133=1,0.5,0)&gt;3),(I133+IF(R133=1,0.5,0)-3)*G133*2,IF(I133+IF(R133=1,0.5,0)&gt;=4.5,(G133*2*1.5),0)),0)</f>
        <v>5.3709999999999978</v>
      </c>
      <c r="BT133" s="112"/>
      <c r="BU133" s="112" t="s">
        <v>1410</v>
      </c>
      <c r="BV133" s="538">
        <f t="shared" ref="BV133" si="752">IF(OR("BOCA DE LOBO EXISTENTE TRIPLA"=BH133,"BOCA DE LOBO EXISTENTE SIMPLES"=BH133,"BOCA DE LOBO EXISTENTE DUPLA"=BH133),0,IF("BOCA DE LOBO PROJETADA DUPLA"=BH133,(2.57+1)*(1.18+1),IF(OR("BOCA DE LOBO DUPLA EXISTENTE COM BOCA DE LOBO SIMPLES PROJETADA"=BH133,"BOCA DE LOBO SIMPLES EXISTENTE COM BOCA DE LOBO SIMPLES PROJETADA"=BH133),(1.18+0.5)*(1.18+1),IF(OR(BH133="BOCA DE LOBO DUPLA EXISTENTE COM BOCA DE LOBO DUPLA PROJETADA",BH133="BOCA DE LOBO SIMPLES EXISTENTE COM BOCA DE LOBO DUPLA PROJETADA"),(2.38+0.5)*(1.18+1),IF("BOCA DE LOBO PROJETADA TRIPLA"=BH133,(3.76+1)*(1.18+1),IF("BOCA DE LOBO PROJETADA QUADRUPLA"=BH133,(4.92+1)*(1.18+1),"X"))))))*(E133+IF(CA133&gt;0,0.5,0))</f>
        <v>31.130399999999995</v>
      </c>
      <c r="BW133" s="538">
        <f t="shared" ref="BW133" si="753">IF(OR("BOCA DE LOBO EXISTENTE TRIPLA"=BH133,"BOCA DE LOBO EXISTENTE SIMPLES"=BH133,"BOCA DE LOBO EXISTENTE DUPLA"=BH133),0,IF("BOCA DE LOBO PROJETADA DUPLA"=BH133,(2.57+1)*(1.18+1),IF(OR("BOCA DE LOBO DUPLA EXISTENTE COM BOCA DE LOBO SIMPLES PROJETADA"=BH133,"BOCA DE LOBO SIMPLES EXISTENTE COM BOCA DE LOBO SIMPLES PROJETADA"=BH133),(1.18+1)*(1.18+0.5),IF(OR(BH133="BOCA DE LOBO DUPLA EXISTENTE COM BOCA DE LOBO DUPLA PROJETADA",BH133="BOCA DE LOBO SIMPLES EXISTENTE COM BOCA DE LOBO DUPLA PROJETADA"),(2.38+0.5)*(1.18+1),IF("BOCA DE LOBO PROJETADA TRIPLA"=BH133,(3.76+0.5*2)*(1.18+1),IF("BOCA DE LOBO PROJETADA QUADRUPLA"=BH133,(4.92+0.5*2)*(1.18+1),"X"))))))</f>
        <v>10.376799999999998</v>
      </c>
      <c r="BX133" s="538">
        <f t="shared" ref="BX133" si="754">IF(OR("BOCA DE LOBO EXISTENTE TRIPLA"=BH133,"BOCA DE LOBO EXISTENTE SIMPLES"=BH133,"BOCA DE LOBO EXISTENTE DUPLA"=BH133),0,IF("BOCA DE LOBO PROJETADA DUPLA"=BH133,(2.57)*(1.18),IF(OR("BOCA DE LOBO DUPLA EXISTENTE COM BOCA DE LOBO SIMPLES PROJETADA"=BH133,"BOCA DE LOBO SIMPLES EXISTENTE COM BOCA DE LOBO SIMPLES PROJETADA"=BH133),(1.18)*(1.18),IF(OR(BH133="BOCA DE LOBO DUPLA EXISTENTE COM BOCA DE LOBO DUPLA PROJETADA",BH133="BOCA DE LOBO SIMPLES EXISTENTE COM BOCA DE LOBO DUPLA PROJETADA"),(2.38)*(1.18),IF("BOCA DE LOBO PROJETADA TRIPLA"=BH133,(3.76)*(1.18),IF("BOCA DE LOBO PROJETADA QUADRUPLA"=BH133,(4.92)*(1.18),"X"))))))</f>
        <v>4.4367999999999999</v>
      </c>
      <c r="BY133" s="538">
        <f t="shared" ref="BY133" si="755">E133</f>
        <v>2.5</v>
      </c>
      <c r="BZ133" s="538">
        <f t="shared" ref="BZ133" si="756">IF(Y133&gt;0.5,0,IF(S133&lt;E133,S133,E133))</f>
        <v>0</v>
      </c>
      <c r="CA133" s="538">
        <f t="shared" ref="CA133" si="757">IF(Y133&gt;0.5,BY133+0.5,Y133)</f>
        <v>3</v>
      </c>
      <c r="CB133" s="538">
        <f t="shared" ref="CB133" si="758">IF(S133&gt;E133,0,E133-S133)</f>
        <v>0</v>
      </c>
      <c r="CC133" s="538">
        <f t="shared" ref="CC133" si="759">IF(BZ133&gt;1.5,BW133*1.5,BW133*BZ133)</f>
        <v>0</v>
      </c>
      <c r="CD133" s="538">
        <f t="shared" ref="CD133" si="760">IF(BZ133&gt;1.5,BW133*(BZ133-1.5),0)</f>
        <v>0</v>
      </c>
      <c r="CE133" s="538">
        <f t="shared" ref="CE133" si="761">IF(CA133&gt;1.5,BW133*1.5,BW133*CA133)</f>
        <v>15.565199999999997</v>
      </c>
      <c r="CF133" s="538">
        <f t="shared" ref="CF133" si="762">IF(CA133&gt;1.5,BW133*(CA133-1.5),0)</f>
        <v>15.565199999999997</v>
      </c>
      <c r="CG133" s="538">
        <f t="shared" ref="CG133" si="763">BV133-SUM(CC133:CF133)</f>
        <v>0</v>
      </c>
      <c r="CH133" s="538">
        <f t="shared" ref="CH133" si="764">SUM(CC133:CG133)-BV133</f>
        <v>0</v>
      </c>
      <c r="CI133" s="104">
        <f t="shared" ref="CI133" si="765">IF(OR("BOCA DE LOBO EXISTENTE TRIPLA"=BH133,"BOCA DE LOBO EXISTENTE SIMPLES"=BH133,"BOCA DE LOBO EXISTENTE DUPLA"=BH133),0,IF("BOCA DE LOBO PROJETADA DUPLA"=BH133,(2.57+1)*(0.5),IF(OR("BOCA DE LOBO DUPLA EXISTENTE COM BOCA DE LOBO SIMPLES PROJETADA"=BH133,"BOCA DE LOBO SIMPLES EXISTENTE COM BOCA DE LOBO SIMPLES PROJETADA"=BH133),(1.18+0.5)*(0.5),IF(OR(BH133="BOCA DE LOBO DUPLA EXISTENTE COM BOCA DE LOBO DUPLA PROJETADA",BH133="BOCA DE LOBO SIMPLES EXISTENTE COM BOCA DE LOBO DUPLA PROJETADA"),(2.38+0.5)*(0.5),IF("BOCA DE LOBO PROJETADA TRIPLA"=BH133,(3.76+1)*(0.5),IF("BOCA DE LOBO PROJETADA QUADRUPLA"=BH133,(4.92+1)*(0.5),"X")))))*0.3)</f>
        <v>0.71399999999999997</v>
      </c>
      <c r="CJ133" s="538">
        <f t="shared" ref="CJ133" si="766">(BW133-BX133)*(BY133+IF(CA133&gt;=0.4,0.4,0))-CI133</f>
        <v>16.511999999999993</v>
      </c>
      <c r="CK133" s="538">
        <f t="shared" si="444"/>
        <v>16.511999999999993</v>
      </c>
      <c r="CL133" s="538">
        <f t="shared" ref="CL133" si="767">CJ133-CK133</f>
        <v>0</v>
      </c>
      <c r="CM133" s="538">
        <f t="shared" ref="CM133" si="768">IF(CA133&gt;0,0.5*4%*BW133,0)</f>
        <v>0.20753599999999994</v>
      </c>
      <c r="CN133" s="538">
        <f t="shared" ref="CN133" si="769">IF(OR("BOCA DE LOBO EXISTENTE TRIPLA"=BH133,"BOCA DE LOBO EXISTENTE SIMPLES"=BH133,"BOCA DE LOBO EXISTENTE DUPLA"=BH133),0,IF("BOCA DE LOBO PROJETADA DUPLA"=BH133,(2.57+1),IF(OR("BOCA DE LOBO DUPLA EXISTENTE COM BOCA DE LOBO SIMPLES PROJETADA"=BH133,"BOCA DE LOBO SIMPLES EXISTENTE COM BOCA DE LOBO SIMPLES PROJETADA"=BH133),(1.18+0.5),IF(OR(BH133="BOCA DE LOBO DUPLA EXISTENTE COM BOCA DE LOBO DUPLA PROJETADA",BH133="BOCA DE LOBO SIMPLES EXISTENTE COM BOCA DE LOBO DUPLA PROJETADA"),(2.38+0.5),IF("BOCA DE LOBO PROJETADA TRIPLA"=BH133,(3.76+0.5*2),IF("BOCA DE LOBO PROJETADA QUADRUPLA"=BH133,(4.92+0.5*2),"X"))))))</f>
        <v>4.76</v>
      </c>
      <c r="CO133" s="538">
        <f t="shared" ref="CO133" si="770">IF(CA133&gt;0,BY133+0.5,BY133)</f>
        <v>3</v>
      </c>
      <c r="CP133" s="538">
        <f t="shared" ref="CP133" si="771">IF(CO133&gt;=1.5,CN133*1.5*2,CN133*CO133*2)</f>
        <v>14.28</v>
      </c>
      <c r="CQ133" s="538">
        <f t="shared" ref="CQ133" si="772">IF(CO133&lt;=1.5,0,IF(CO133&gt;=3,CN133*1.5*2,CN133*(CO133-1.5)*2))</f>
        <v>14.28</v>
      </c>
      <c r="CR133" s="539">
        <f t="shared" ref="CR133" si="773">IF(D133="AMPLIADA",0.55*(E133-0.5),0)</f>
        <v>0</v>
      </c>
      <c r="CS133" s="540">
        <f t="shared" ref="CS133" si="774">IF(OR("BOCA DE LOBO EXISTENTE TRIPLA"=BH133,"BOCA DE LOBO EXISTENTE SIMPLES"=BH133,"BOCA DE LOBO EXISTENTE DUPLA"=BH133,"BOCA DE LOBO EXISTENTE QUADRUPLA"=BH133),0,IF("BOCA DE LOBO PROJETADA DUPLA"=BH133,(0),IF(OR("BOCA DE LOBO DUPLA EXISTENTE COM BOCA DE LOBO SIMPLES PROJETADA"=BH133,"BOCA DE LOBO SIMPLES EXISTENTE COM BOCA DE LOBO SIMPLES PROJETADA"=BH133),(0.8*0.15*0.17),IF(OR(BH133="BOCA DE LOBO DUPLA EXISTENTE COM BOCA DE LOBO DUPLA PROJETADA",BH133="BOCA DE LOBO SIMPLES EXISTENTE COM BOCA DE LOBO DUPLA PROJETADA"),(0.8*0.15*0.17),IF("BOCA DE LOBO PROJETADA TRIPLA"=BH133,(0),IF("BOCA DE LOBO PROJETADA QUADRUPLA"=BH133,(0),"X")))))*E133)</f>
        <v>0</v>
      </c>
      <c r="CT133" s="540">
        <f t="shared" ref="CT133" si="775">IF(OR("BOCA DE LOBO EXISTENTE TRIPLA"=BH133,"BOCA DE LOBO EXISTENTE SIMPLES"=BH133,"BOCA DE LOBO EXISTENTE DUPLA"=BH133,"BOCA DE LOBO EXISTENTE QUADRUPLA"=BH133),0,IF("BOCA DE LOBO PROJETADA DUPLA"=BH133,(1.18*2.57*0.05),IF(OR("BOCA DE LOBO DUPLA EXISTENTE COM BOCA DE LOBO SIMPLES PROJETADA"=BH133,"BOCA DE LOBO SIMPLES EXISTENTE COM BOCA DE LOBO SIMPLES PROJETADA"=BH133),(1.19*1.18*0.05),IF(OR(BH133="BOCA DE LOBO DUPLA EXISTENTE COM BOCA DE LOBO DUPLA PROJETADA",BH133="BOCA DE LOBO SIMPLES EXISTENTE COM BOCA DE LOBO DUPLA PROJETADA"),(2.38*1.18*0.056),IF("BOCA DE LOBO PROJETADA TRIPLA"=BH133,(3.76*1.18*0.05),IF("BOCA DE LOBO PROJETADA QUADRUPLA"=BH133,(4.92*1.18*0.05),"X")))))+CI133/3)</f>
        <v>0.45984000000000003</v>
      </c>
      <c r="CU133" s="541">
        <f t="shared" ref="CU133" si="776">IF(OR("BOCA DE LOBO EXISTENTE TRIPLA"=BH133,"BOCA DE LOBO EXISTENTE SIMPLES"=BH133,"BOCA DE LOBO EXISTENTE DUPLA"=BH133,"BOCA DE LOBO EXISTENTE QUADRUPLA"=BH133),0,IF("BOCA DE LOBO PROJETADA DUPLA"=BH133,(1*4+0.6*2),IF(OR("BOCA DE LOBO DUPLA EXISTENTE COM BOCA DE LOBO SIMPLES PROJETADA"=BH133,"BOCA DE LOBO SIMPLES EXISTENTE COM BOCA DE LOBO SIMPLES PROJETADA"=BH133),(1*2+0.6),IF(OR(BH133="BOCA DE LOBO DUPLA EXISTENTE COM BOCA DE LOBO DUPLA PROJETADA",BH133="BOCA DE LOBO SIMPLES EXISTENTE COM BOCA DE LOBO DUPLA PROJETADA"),(1*4+0.6),IF("BOCA DE LOBO PROJETADA TRIPLA"=BH133,(6*1+0.6*2),IF("BOCA DE LOBO PROJETADA QUADRUPLA"=BH133,(8*1+0.6*2),"X")))))*E133)</f>
        <v>18</v>
      </c>
      <c r="CV133" s="538">
        <f t="shared" ref="CV133" si="777">IF(OR("BOCA DE LOBO EXISTENTE TRIPLA"=BH133,"BOCA DE LOBO EXISTENTE SIMPLES"=BH133,"BOCA DE LOBO EXISTENTE DUPLA"=BH133,"BOCA DE LOBO EXISTENTE QUADRUPLA"=BH133),0,IF("BOCA DE LOBO PROJETADA DUPLA"=BH133,(12*E133*0.17*0.15+1*0.17*0.15*5+1.09*0.6*0.07*2+2.57*1.18*0.15),IF(OR("BOCA DE LOBO DUPLA EXISTENTE COM BOCA DE LOBO SIMPLES PROJETADA"=BH133,"BOCA DE LOBO SIMPLES EXISTENTE COM BOCA DE LOBO SIMPLES PROJETADA"=BH133),(8*E133*0.17*0.15+1*0.17*0.15*4+1.09*0.6*0.07*1+1.38*1.18*0.15),IF(OR(BH133="BOCA DE LOBO DUPLA EXISTENTE COM BOCA DE LOBO DUPLA PROJETADA",BH133="BOCA DE LOBO SIMPLES EXISTENTE COM BOCA DE LOBO DUPLA PROJETADA"),(7*E133*0.17*0.15+1*0.17*0.15*5+1.09*0.6*0.07*2+2.38*1.18*0.15),IF("BOCA DE LOBO PROJETADA TRIPLA"=BH133,(15*E133*0.17*0.15+1*0.17*0.15*7+1.09*0.6*0.07*3+3.76*1.18*0.15),IF("BOCA DE LOBO PROJETADA QUADRUPLA"=BH133,(19*E133*0.17*0.15+1*0.17*0.15*9+1.09*0.6*0.07*4+4.92*1.18*0.15),"X"))))))</f>
        <v>1.9376100000000003</v>
      </c>
      <c r="CW133" s="538">
        <f t="shared" ref="CW133" si="778">IF(OR("BOCA DE LOBO EXISTENTE TRIPLA"=BH133,"BOCA DE LOBO EXISTENTE SIMPLES"=BH133,"BOCA DE LOBO EXISTENTE DUPLA"=BH133,"BOCA DE LOBO EXISTENTE QUADRUPLA"=BH133),0,IF("BOCA DE LOBO PROJETADA DUPLA"=BH133,(12*E133*2*(0.17+0.15)+1*(2*0.17+0.15)*5+2*(2.57+1.18)*0.15+(1.09+0.6)*2*0.07*2),IF(OR("BOCA DE LOBO DUPLA EXISTENTE COM BOCA DE LOBO SIMPLES PROJETADA"=BH133,"BOCA DE LOBO SIMPLES EXISTENTE COM BOCA DE LOBO SIMPLES PROJETADA"=BH133),(8*E133*2*(0.17+0.15)+1*(2*0.17+0.15)*4+2*(1.38+1.18)*0.15+(1.09+0.6)*2*0.07*1),IF(OR(BH133="BOCA DE LOBO DUPLA EXISTENTE COM BOCA DE LOBO DUPLA PROJETADA",BH133="BOCA DE LOBO SIMPLES EXISTENTE COM BOCA DE LOBO DUPLA PROJETADA"),(7*E133*2*(0.17+0.15)+1*(2*0.17+0.15)*5+2*(2.38+1.18)*0.15+(1.09+0.6)*2*0.07*2),IF("BOCA DE LOBO PROJETADA TRIPLA"=BH133,(15*E133*2*(0.17+0.15)+1*(2*0.17+0.15)*7+2*(3.76+1.18)*0.15+(1.09+0.6)*2*0.07*3),IF("BOCA DE LOBO PROJETADA QUADRUPLA"=BH133,(19*E133*2*(0.17+0.15)+1*(2*0.17+0.15)*7+2*(4.92+1.18)*0.15+(1.09+0.6)*2*0.07*4),"X"))))))</f>
        <v>29.6218</v>
      </c>
      <c r="CX133" s="104">
        <f t="shared" ref="CX133" si="779">IF(OR("BOCA DE LOBO EXISTENTE TRIPLA"=BH133,"BOCA DE LOBO EXISTENTE SIMPLES"=BH133,"BOCA DE LOBO EXISTENTE DUPLA"=BH133,"BOCA DE LOBO EXISTENTE QUADRUPLA"=BH133),0,IF("BOCA DE LOBO PROJETADA DUPLA"=BH133,(2.57+1),IF(OR("BOCA DE LOBO DUPLA EXISTENTE COM BOCA DE LOBO SIMPLES PROJETADA"=BH133,"BOCA DE LOBO SIMPLES EXISTENTE COM BOCA DE LOBO SIMPLES PROJETADA"=BH133),(1.18+0.5),IF(OR(BH133="BOCA DE LOBO DUPLA EXISTENTE COM BOCA DE LOBO DUPLA PROJETADA",BH133="BOCA DE LOBO SIMPLES EXISTENTE COM BOCA DE LOBO DUPLA PROJETADA"),(2.38+0.5),IF("BOCA DE LOBO PROJETADA TRIPLA"=BH133,(3.76+1),IF("BOCA DE LOBO PROJETADA QUADRUPLA"=BH133,(4.92+1),"X"))))))</f>
        <v>4.76</v>
      </c>
      <c r="CY133" s="542">
        <f t="shared" ref="CY133" si="780">CX133*0.5</f>
        <v>2.38</v>
      </c>
      <c r="CZ133" s="538">
        <f t="shared" ref="CZ133" si="781">IF(AND(C133="EXISTENTE",D133="PROJETADA"),PI()*0.51*0.51/4*0.12,0)</f>
        <v>0</v>
      </c>
    </row>
    <row r="134" spans="1:104" ht="25" x14ac:dyDescent="0.25">
      <c r="A134" s="100" t="str">
        <f>'BOCA DE LOBO'!C124</f>
        <v>BL26-&gt;PV2.2</v>
      </c>
      <c r="B134" s="100" t="str">
        <f>'BOCA DE LOBO'!A124</f>
        <v>PV2.2</v>
      </c>
      <c r="C134" s="100" t="str">
        <f>VLOOKUP(A134,'BOCA DE LOBO'!C:F,3,0)</f>
        <v>PROJETADO</v>
      </c>
      <c r="D134" s="100" t="str">
        <f>VLOOKUP(A134,'BOCA DE LOBO'!C:M,10,0)</f>
        <v>EXISTENTE</v>
      </c>
      <c r="E134" s="100">
        <f t="shared" ref="E134:E140" si="782">IF(F134-G134*4%&lt;2.5,F134-G134*4%,2.5)</f>
        <v>2.5</v>
      </c>
      <c r="F134" s="100">
        <f>VLOOKUP(A134,'BOCA DE LOBO'!$C$97:$P$172,2,0)</f>
        <v>3.55</v>
      </c>
      <c r="G134" s="100">
        <f>VLOOKUP(A134,'BOCA DE LOBO'!$C$97:$L$172,4,0)</f>
        <v>7.13</v>
      </c>
      <c r="H134" s="101">
        <v>400</v>
      </c>
      <c r="I134" s="102">
        <f t="shared" ref="I134:I140" si="783">IF(H134=400,((E134+F134)/2)+0.08+U134,IF(H134=500,((E134+F134)/2)+0.1+U134,IF(H134=600,((E134+F134)/2)+0.12+U134,IF(H134=800,((E134+F134)/2)+0.16+U134,IF(H134=1000,((E134+F134)/2)+0.2+U134,IF(H134=1200,((E134+F134)/2)+0.24+U134,IF(H134=1500,((E134+F134)/2)+0.3+U134,IF(H134&gt;1500,((E134+F134)/2)+0.4+U134))))))))</f>
        <v>3.1549999999999998</v>
      </c>
      <c r="J134" s="102">
        <f t="shared" ref="J134:J140" si="784">IF(I134&gt;=1.25,G134*I134/20,0)</f>
        <v>1.1247574999999999</v>
      </c>
      <c r="K134" s="103">
        <v>0</v>
      </c>
      <c r="L134" s="104">
        <f t="shared" ref="L134:L140" si="785">IF(D134&lt;&gt;"PROJETADA",0,IF(H134=400,1,0)+IF(H134=500,1.2,0)+IF(H134=600,1.4,0)+IF(H134=800,1.7,0)+IF(H134=1000,2,0)+IF(H134=1200,2.2,0)+IF(H134=1500,2.6,0)+IF(H134=1650,3,0)+IF(H134=1800,3.2,0)+IF(H134=2000,3.4,0)+IF(H134=2200,3.6,0)+IF(H134=2400,3.8,0)+IF(H134=2600,4,0)+IF(H134=3000,4.4,0))</f>
        <v>0</v>
      </c>
      <c r="M134" s="104">
        <f t="shared" ref="M134:M140" si="786">2*K134*I134+L134</f>
        <v>0</v>
      </c>
      <c r="N134" s="104">
        <f t="shared" ref="N134:N140" si="787">IF(OR(D134="EXISTENTE",D134="AMPLIADA"),400,0)</f>
        <v>400</v>
      </c>
      <c r="O134" s="104">
        <f t="shared" ref="O134:O140" si="788">IF(P134="TERRENO NATURAL",0,M134*G134)</f>
        <v>0</v>
      </c>
      <c r="P134" s="105" t="str">
        <f>VLOOKUP(B134,'Planilha Hidráulica'!$AE$49:$AQ$94,13,0)</f>
        <v>ASFALTO</v>
      </c>
      <c r="Q134" s="452" t="s">
        <v>2057</v>
      </c>
      <c r="R134" s="105"/>
      <c r="S134" s="105">
        <f>VLOOKUP(Q134,Quantitativos!$P$43:$R$88,3,0)</f>
        <v>3.7</v>
      </c>
      <c r="T134" s="105">
        <f>VLOOKUP(Q134,Quantitativos!$P$43:$S$88,4,0)</f>
        <v>2.5</v>
      </c>
      <c r="U134" s="104">
        <f t="shared" ref="U134:U140" si="789">IF(H134=400,0.05,0)+IF(H134=500,0.05,0)+IF(H134=600,0.1,0)+IF(H134=800,0.1,0)+IF(H134=1000,0.15,0)+IF(H134=1200,0.15,0)+IF(H134=1500,0.2,0)+IF(H134=1650,0.2,0)+IF(H134=1800,0.2,0)+IF(H134=2000,0.25,0)+IF(H134=2200,0.25,0)+IF(H134=2400,0.25,0)+IF(H134=2600,0.25,0)+IF(H134=3000,0.25,0)</f>
        <v>0.05</v>
      </c>
      <c r="V134" s="106">
        <f t="shared" ref="V134:V140" si="790">IF(L134=0,0,IF("EXISTENTE"=C134,0,IFERROR((PI()*(N134/1000)*(N134/1000)/4)*G134,0)))</f>
        <v>0</v>
      </c>
      <c r="W134" s="106">
        <f t="shared" ref="W134:W140" si="791">IF(O134=0,0,((((K134*I134)*I134)/2)*2+L134*I134)*G134-V134+AO134)</f>
        <v>0</v>
      </c>
      <c r="X134" s="107">
        <f t="shared" ref="X134:X140" si="792">W134-SUM(AC134:AJ134)</f>
        <v>0</v>
      </c>
      <c r="Y134" s="107">
        <f t="shared" ref="Y134:Y140" si="793">IF(R134=1,IF(N134=0,I134+0.4,0.4),0)</f>
        <v>0</v>
      </c>
      <c r="Z134" s="107">
        <f t="shared" ref="Z134:Z140" si="794">IF(Y134&gt;0.5,0,IF(S134&lt;I134,S134,I134))</f>
        <v>3.1549999999999998</v>
      </c>
      <c r="AA134" s="107">
        <f t="shared" ref="AA134:AA140" si="795">I134-Z134</f>
        <v>0</v>
      </c>
      <c r="AB134" s="108">
        <f t="shared" ref="AB134:AB140" si="796">IF(P134="ASFALTO",IF(D134="PROJETADA",O134,IF(D134="EXISTENTE",0,O134/2)),0)</f>
        <v>0</v>
      </c>
      <c r="AC134" s="109">
        <f t="shared" ref="AC134:AC140" si="797">IF(Y134=0,0,IF(Y134=0.4,IF(L134&lt;=1.5,IF(Z134+0.4&gt;=1.5,0,L134*G134*0.4),0),IF(L134&lt;=1.5,IF(Y134&gt;=1.5,M134*G134*1.5,L134*G134*(Y134)),0)+IF(S134&lt;I134+0.4,0,IF(AND(Y134&lt;=1.5,L134&lt;=1.5),-V134,0))))</f>
        <v>0</v>
      </c>
      <c r="AD134" s="109">
        <f t="shared" ref="AD134:AD140" si="798">IF(Y134=0,0,IF(Y134=0.4,IF(L134&lt;=1.5,IF(OR(Z134+0.4&gt;=3,Z134+0.4&lt;1.5),0,L134*G134*0.4),0),IF(IF(L134&lt;=1.5,IF(Y134&gt;=3,M134*G134*1.5,L134*G134*(Y134-1.5)),0)&lt;0,0,IF(L134&lt;=1.5,IF(Y134&gt;=3,M134*G134*1.5,L134*G134*(Y134-1.5)),0))+IF(S134&lt;I134+0.4,0,IF(AND(Y134&lt;=3,L134&lt;=1.5),-V134,0))))</f>
        <v>0</v>
      </c>
      <c r="AE134" s="109">
        <f t="shared" ref="AE134:AE140" si="799">IF(Y134=0,0,IF(Y134=0.4,IF(L134&lt;=1.5,IF(OR(Z134+0.4&gt;=4.5,Z134+0.4&lt;3),0,L134*G134*0.4),0),IF(IF(L134&lt;=1.5,IF(Y134&gt;=4.5,M134*G134*1.5,L134*G134*(Y134-3)),0)&lt;0,0,IF(L134&lt;=1.5,IF(Y134&gt;=4.5,M134*G134*1.5,L134*G134*(Y134-3)),0))+IF(S134&lt;I134+0.4,0,IF(AND(Y134&lt;=4.5,L134&lt;=1.5),-V134,0))))</f>
        <v>0</v>
      </c>
      <c r="AF134" s="109">
        <f t="shared" ref="AF134:AF140" si="800">IF(L134&lt;=1.5,IF(Z134&gt;=1.5,M134*G134*1.5,L134*G134*Z134),0)+IF(S134&lt;I134,0,IF(AND(Z134&lt;=1.5,L134&lt;=1.5),-V134,0))-V134</f>
        <v>0</v>
      </c>
      <c r="AG134" s="109">
        <f t="shared" ref="AG134:AG140" si="801">IF(IF(L134&lt;=1.5,IF(Z134&gt;=3,M134*G134*1.5,L134*G134*(Z134-1.5)),0)&lt;0,0,IF(L134&lt;=1.5,IF(Z134&gt;=3,M134*G134*1.5,L134*G134*(Z134-1.5)),0))</f>
        <v>0</v>
      </c>
      <c r="AH134" s="109">
        <f t="shared" ref="AH134:AH140" si="802">IF(IF(L134&lt;=1.5,IF(Z134&gt;=4.5,M134*G134*1.5,L134*G134*(Z134-3)),0)&lt;0,0,IF(L134&lt;=1.5,IF(Z134&gt;=4.5,M134*G134*1.5,L134*G134*(Z134-3)),0))+IF(S134&lt;I134,0,IF(AND(Z134&lt;=4.5,Z134&gt;3,L134&lt;=1.5),-V134,0))</f>
        <v>0</v>
      </c>
      <c r="AI134" s="537" t="str">
        <f t="shared" ref="AI134:AI140" si="803">IF(I134&gt;S134,"SIM","NÃO")</f>
        <v>NÃO</v>
      </c>
      <c r="AJ134" s="104">
        <f t="shared" ref="AJ134:AJ140" si="804">W134-SUM(AC134:AH134)</f>
        <v>0</v>
      </c>
      <c r="AK134" s="104">
        <f t="shared" ref="AK134:AK140" si="805">IF(I134-T134&lt;0,0,(I134-T134)*G134)/75</f>
        <v>6.2268666666666646E-2</v>
      </c>
      <c r="AL134" s="104">
        <f t="shared" ref="AL134:AL140" si="806">IF(L134=0,0,G134*L134*I134-PI()*(H134/1000)*(H134/1000)/4*G134+AO134)</f>
        <v>0</v>
      </c>
      <c r="AM134" s="102">
        <f t="shared" ref="AM134:AM140" si="807">IF(L134&lt;1.5,L134*G134*IF(H134&lt;=500,0.05,IF(H134&lt;=800,0.1,IF(H134&lt;=1200,0.15,IF(H134&gt;=1500,0.2)))),0)</f>
        <v>0</v>
      </c>
      <c r="AN134" s="106">
        <f t="shared" ref="AN134:AN140" si="808">IF(L134&gt;=1.5,L134*G134*IF(H134&lt;=500,0.05,IF(H134&lt;=800,0.1,IF(H134&lt;=1200,0.15,IF(H134&gt;=1500,0.2)))),0)</f>
        <v>0</v>
      </c>
      <c r="AO134" s="104">
        <f t="shared" ref="AO134:AO140" si="809">IF(R134=1,0.4*G134*L134,0)</f>
        <v>0</v>
      </c>
      <c r="AP134" s="104">
        <f t="shared" ref="AP134:AP140" si="810">IF(AO134&lt;SUM(AF134:AH134),0,AO134)</f>
        <v>0</v>
      </c>
      <c r="AQ134" s="104">
        <f t="shared" ref="AQ134:AQ140" si="811">H134/1000+0.3</f>
        <v>0.7</v>
      </c>
      <c r="AR134" s="104">
        <f t="shared" ref="AR134:AR140" si="812">IF(D134&lt;&gt;"PROJETADA",0,AQ134*L134*G134-PI()*(H134/1000*H134/1000)/4*G134)</f>
        <v>0</v>
      </c>
      <c r="AS134" s="104">
        <f t="shared" ref="AS134:AS140" si="813">IF(AR134&lt;SUM(AF134:AH134),0,AR134)</f>
        <v>0</v>
      </c>
      <c r="AT134" s="104">
        <f t="shared" ref="AT134:AT140" si="814">IF(P134="ASFALTO",0.15*G134*L134,0)</f>
        <v>0</v>
      </c>
      <c r="AU134" s="104">
        <f t="shared" ref="AU134:AU140" si="815">AT134</f>
        <v>0</v>
      </c>
      <c r="AV134" s="104">
        <f t="shared" ref="AV134:AV140" si="816">IF(P134="ASFALTO",0.03*G134*L134,0)</f>
        <v>0</v>
      </c>
      <c r="AW134" s="104">
        <f t="shared" ref="AW134:AW140" si="817">AL134-AO134-SUM(AM134:AN134)-AT134-AU134-AR134</f>
        <v>0</v>
      </c>
      <c r="AX134" s="104">
        <f t="shared" ref="AX134:AX140" si="818">SUM(AF134:AH134)-AO134-AT134-AR134</f>
        <v>0</v>
      </c>
      <c r="AY134" s="104">
        <f t="shared" ref="AY134:AY140" si="819">SMALL(AW134:AX134,1)</f>
        <v>0</v>
      </c>
      <c r="AZ134" s="104">
        <f t="shared" ref="AZ134:AZ140" si="820">AW134-AY134</f>
        <v>0</v>
      </c>
      <c r="BA134" s="104">
        <f t="shared" si="413"/>
        <v>0</v>
      </c>
      <c r="BB134" s="104">
        <f t="shared" ref="BB134:BB140" si="821">AZ134-BA134</f>
        <v>0</v>
      </c>
      <c r="BC134" s="104"/>
      <c r="BD134" s="104">
        <f t="shared" ref="BD134:BD140" si="822">IF(AO134&gt;0,4%*(AO134+AT134),0)</f>
        <v>0</v>
      </c>
      <c r="BE134" s="108">
        <f t="shared" ref="BE134:BE140" si="823">IF(H134=400,I134,0)</f>
        <v>3.1549999999999998</v>
      </c>
      <c r="BF134" s="110">
        <f t="shared" ref="BF134:BF140" si="824">IF(BE134&lt;=1.75,AND(BE134&gt;0)*G134,0)</f>
        <v>0</v>
      </c>
      <c r="BG134" s="110">
        <f t="shared" ref="BG134:BG140" si="825">IF(BE134&lt;=3,AND(BE134&gt;1.75)*G134,0)</f>
        <v>0</v>
      </c>
      <c r="BH134" s="105" t="str">
        <f>VLOOKUP(A134,'BOCA DE LOBO'!$C$99:$P$172,7,0)</f>
        <v>BOCA DE LOBO EXISTENTE DUPLA</v>
      </c>
      <c r="BI134" s="104">
        <f t="shared" ref="BI134:BI140" si="826">IF(BH134=$BI$107,1,0)</f>
        <v>0</v>
      </c>
      <c r="BJ134" s="104">
        <f t="shared" ref="BJ134:BJ140" si="827">IF(BH134=$BJ$107,1,0)</f>
        <v>0</v>
      </c>
      <c r="BK134" s="104">
        <f t="shared" ref="BK134:BK140" si="828">IF(BH134=$BK$107,1,0)</f>
        <v>0</v>
      </c>
      <c r="BL134" s="104">
        <f t="shared" ref="BL134:BL140" si="829">IF(BH134=$BL$107,1,0)</f>
        <v>0</v>
      </c>
      <c r="BM134" s="104">
        <f t="shared" ref="BM134:BM140" si="830">IF(BH134=$BM$107,1,0)</f>
        <v>0</v>
      </c>
      <c r="BN134" s="104">
        <f t="shared" ref="BN134:BN140" si="831">IF(BH134=$BN$107,1,0)</f>
        <v>0</v>
      </c>
      <c r="BO134" s="543">
        <f t="shared" ref="BO134:BO140" si="832">IF(BH134=$BO$107,1,0)</f>
        <v>0</v>
      </c>
      <c r="BP134" s="111"/>
      <c r="BQ134" s="108">
        <f t="shared" ref="BQ134:BQ140" si="833">IF(L134&lt;=1.5,IF(I134+IF(R134=1,0.5,0)&lt;1.5,(I134+IF(R134=1,0.5,0))*G134*2,G134*2*1.5),0)</f>
        <v>21.39</v>
      </c>
      <c r="BR134" s="108">
        <f t="shared" ref="BR134:BR140" si="834">IF(L134&lt;=1.5,IF(AND(I134+IF(R134=1,0.5,0)&lt;3,I134+IF(R134=1,0.5,0)&gt;1.5),(I134+IF(R134=1,0.5,0)-1.5)*G134*2,IF(I134+IF(R134=1,0.5,0)&gt;=3,(G134*2*1.5),0)),0)</f>
        <v>21.39</v>
      </c>
      <c r="BS134" s="108">
        <f t="shared" ref="BS134:BS140" si="835">IF(L134&lt;=1.5,IF(AND(I134+IF(R134=1,0.5,0)&lt;4.5,I134+IF(R134=1,0.5,0)&gt;3),(I134+IF(R134=1,0.5,0)-3)*G134*2,IF(I134+IF(R134=1,0.5,0)&gt;=4.5,(G134*2*1.5),0)),0)</f>
        <v>2.210299999999997</v>
      </c>
      <c r="BT134" s="112"/>
      <c r="BU134" s="112" t="s">
        <v>1410</v>
      </c>
      <c r="BV134" s="538">
        <f t="shared" ref="BV134:BV140" si="836">IF(OR("BOCA DE LOBO EXISTENTE TRIPLA"=BH134,"BOCA DE LOBO EXISTENTE SIMPLES"=BH134,"BOCA DE LOBO EXISTENTE DUPLA"=BH134),0,IF("BOCA DE LOBO PROJETADA DUPLA"=BH134,(2.57+1)*(1.18+1),IF(OR("BOCA DE LOBO DUPLA EXISTENTE COM BOCA DE LOBO SIMPLES PROJETADA"=BH134,"BOCA DE LOBO SIMPLES EXISTENTE COM BOCA DE LOBO SIMPLES PROJETADA"=BH134),(1.18+0.5)*(1.18+1),IF(OR(BH134="BOCA DE LOBO DUPLA EXISTENTE COM BOCA DE LOBO DUPLA PROJETADA",BH134="BOCA DE LOBO SIMPLES EXISTENTE COM BOCA DE LOBO DUPLA PROJETADA"),(2.38+0.5)*(1.18+1),IF("BOCA DE LOBO PROJETADA TRIPLA"=BH134,(3.76+1)*(1.18+1),IF("BOCA DE LOBO PROJETADA QUADRUPLA"=BH134,(4.92+1)*(1.18+1),"X"))))))*(E134+IF(CA134&gt;0,0.5,0))</f>
        <v>0</v>
      </c>
      <c r="BW134" s="538">
        <f t="shared" ref="BW134:BW140" si="837">IF(OR("BOCA DE LOBO EXISTENTE TRIPLA"=BH134,"BOCA DE LOBO EXISTENTE SIMPLES"=BH134,"BOCA DE LOBO EXISTENTE DUPLA"=BH134),0,IF("BOCA DE LOBO PROJETADA DUPLA"=BH134,(2.57+1)*(1.18+1),IF(OR("BOCA DE LOBO DUPLA EXISTENTE COM BOCA DE LOBO SIMPLES PROJETADA"=BH134,"BOCA DE LOBO SIMPLES EXISTENTE COM BOCA DE LOBO SIMPLES PROJETADA"=BH134),(1.18+1)*(1.18+0.5),IF(OR(BH134="BOCA DE LOBO DUPLA EXISTENTE COM BOCA DE LOBO DUPLA PROJETADA",BH134="BOCA DE LOBO SIMPLES EXISTENTE COM BOCA DE LOBO DUPLA PROJETADA"),(2.38+0.5)*(1.18+1),IF("BOCA DE LOBO PROJETADA TRIPLA"=BH134,(3.76+0.5*2)*(1.18+1),IF("BOCA DE LOBO PROJETADA QUADRUPLA"=BH134,(4.92+0.5*2)*(1.18+1),"X"))))))</f>
        <v>0</v>
      </c>
      <c r="BX134" s="538">
        <f t="shared" ref="BX134:BX140" si="838">IF(OR("BOCA DE LOBO EXISTENTE TRIPLA"=BH134,"BOCA DE LOBO EXISTENTE SIMPLES"=BH134,"BOCA DE LOBO EXISTENTE DUPLA"=BH134),0,IF("BOCA DE LOBO PROJETADA DUPLA"=BH134,(2.57)*(1.18),IF(OR("BOCA DE LOBO DUPLA EXISTENTE COM BOCA DE LOBO SIMPLES PROJETADA"=BH134,"BOCA DE LOBO SIMPLES EXISTENTE COM BOCA DE LOBO SIMPLES PROJETADA"=BH134),(1.18)*(1.18),IF(OR(BH134="BOCA DE LOBO DUPLA EXISTENTE COM BOCA DE LOBO DUPLA PROJETADA",BH134="BOCA DE LOBO SIMPLES EXISTENTE COM BOCA DE LOBO DUPLA PROJETADA"),(2.38)*(1.18),IF("BOCA DE LOBO PROJETADA TRIPLA"=BH134,(3.76)*(1.18),IF("BOCA DE LOBO PROJETADA QUADRUPLA"=BH134,(4.92)*(1.18),"X"))))))</f>
        <v>0</v>
      </c>
      <c r="BY134" s="538">
        <f t="shared" ref="BY134:BY140" si="839">E134</f>
        <v>2.5</v>
      </c>
      <c r="BZ134" s="538">
        <f t="shared" ref="BZ134:BZ140" si="840">IF(Y134&gt;0.5,0,IF(S134&lt;E134,S134,E134))</f>
        <v>2.5</v>
      </c>
      <c r="CA134" s="538">
        <f t="shared" ref="CA134:CA140" si="841">IF(Y134&gt;0.5,BY134+0.5,Y134)</f>
        <v>0</v>
      </c>
      <c r="CB134" s="538">
        <f t="shared" ref="CB134:CB140" si="842">IF(S134&gt;E134,0,E134-S134)</f>
        <v>0</v>
      </c>
      <c r="CC134" s="538">
        <f t="shared" ref="CC134:CC140" si="843">IF(BZ134&gt;1.5,BW134*1.5,BW134*BZ134)</f>
        <v>0</v>
      </c>
      <c r="CD134" s="538">
        <f t="shared" ref="CD134:CD140" si="844">IF(BZ134&gt;1.5,BW134*(BZ134-1.5),0)</f>
        <v>0</v>
      </c>
      <c r="CE134" s="538">
        <f t="shared" ref="CE134:CE140" si="845">IF(CA134&gt;1.5,BW134*1.5,BW134*CA134)</f>
        <v>0</v>
      </c>
      <c r="CF134" s="538">
        <f t="shared" ref="CF134:CF140" si="846">IF(CA134&gt;1.5,BW134*(CA134-1.5),0)</f>
        <v>0</v>
      </c>
      <c r="CG134" s="538">
        <f t="shared" ref="CG134:CG140" si="847">BV134-SUM(CC134:CF134)</f>
        <v>0</v>
      </c>
      <c r="CH134" s="538">
        <f t="shared" ref="CH134:CH140" si="848">SUM(CC134:CG134)-BV134</f>
        <v>0</v>
      </c>
      <c r="CI134" s="104">
        <f t="shared" ref="CI134:CI140" si="849">IF(OR("BOCA DE LOBO EXISTENTE TRIPLA"=BH134,"BOCA DE LOBO EXISTENTE SIMPLES"=BH134,"BOCA DE LOBO EXISTENTE DUPLA"=BH134),0,IF("BOCA DE LOBO PROJETADA DUPLA"=BH134,(2.57+1)*(0.5),IF(OR("BOCA DE LOBO DUPLA EXISTENTE COM BOCA DE LOBO SIMPLES PROJETADA"=BH134,"BOCA DE LOBO SIMPLES EXISTENTE COM BOCA DE LOBO SIMPLES PROJETADA"=BH134),(1.18+0.5)*(0.5),IF(OR(BH134="BOCA DE LOBO DUPLA EXISTENTE COM BOCA DE LOBO DUPLA PROJETADA",BH134="BOCA DE LOBO SIMPLES EXISTENTE COM BOCA DE LOBO DUPLA PROJETADA"),(2.38+0.5)*(0.5),IF("BOCA DE LOBO PROJETADA TRIPLA"=BH134,(3.76+1)*(0.5),IF("BOCA DE LOBO PROJETADA QUADRUPLA"=BH134,(4.92+1)*(0.5),"X")))))*0.3)</f>
        <v>0</v>
      </c>
      <c r="CJ134" s="538">
        <f t="shared" ref="CJ134:CJ140" si="850">(BW134-BX134)*(BY134+IF(CA134&gt;=0.4,0.4,0))-CI134</f>
        <v>0</v>
      </c>
      <c r="CK134" s="538">
        <f t="shared" si="444"/>
        <v>0</v>
      </c>
      <c r="CL134" s="538">
        <f t="shared" ref="CL134:CL140" si="851">CJ134-CK134</f>
        <v>0</v>
      </c>
      <c r="CM134" s="538">
        <f t="shared" ref="CM134:CM140" si="852">IF(CA134&gt;0,0.5*4%*BW134,0)</f>
        <v>0</v>
      </c>
      <c r="CN134" s="538">
        <f t="shared" ref="CN134:CN140" si="853">IF(OR("BOCA DE LOBO EXISTENTE TRIPLA"=BH134,"BOCA DE LOBO EXISTENTE SIMPLES"=BH134,"BOCA DE LOBO EXISTENTE DUPLA"=BH134),0,IF("BOCA DE LOBO PROJETADA DUPLA"=BH134,(2.57+1),IF(OR("BOCA DE LOBO DUPLA EXISTENTE COM BOCA DE LOBO SIMPLES PROJETADA"=BH134,"BOCA DE LOBO SIMPLES EXISTENTE COM BOCA DE LOBO SIMPLES PROJETADA"=BH134),(1.18+0.5),IF(OR(BH134="BOCA DE LOBO DUPLA EXISTENTE COM BOCA DE LOBO DUPLA PROJETADA",BH134="BOCA DE LOBO SIMPLES EXISTENTE COM BOCA DE LOBO DUPLA PROJETADA"),(2.38+0.5),IF("BOCA DE LOBO PROJETADA TRIPLA"=BH134,(3.76+0.5*2),IF("BOCA DE LOBO PROJETADA QUADRUPLA"=BH134,(4.92+0.5*2),"X"))))))</f>
        <v>0</v>
      </c>
      <c r="CO134" s="538">
        <f t="shared" ref="CO134:CO140" si="854">IF(CA134&gt;0,BY134+0.5,BY134)</f>
        <v>2.5</v>
      </c>
      <c r="CP134" s="538">
        <f t="shared" ref="CP134:CP140" si="855">IF(CO134&gt;=1.5,CN134*1.5*2,CN134*CO134*2)</f>
        <v>0</v>
      </c>
      <c r="CQ134" s="538">
        <f t="shared" ref="CQ134:CQ140" si="856">IF(CO134&lt;=1.5,0,IF(CO134&gt;=3,CN134*1.5*2,CN134*(CO134-1.5)*2))</f>
        <v>0</v>
      </c>
      <c r="CR134" s="539">
        <f t="shared" ref="CR134:CR140" si="857">IF(D134="AMPLIADA",0.55*(E134-0.5),0)</f>
        <v>0</v>
      </c>
      <c r="CS134" s="540">
        <f t="shared" ref="CS134:CS140" si="858">IF(OR("BOCA DE LOBO EXISTENTE TRIPLA"=BH134,"BOCA DE LOBO EXISTENTE SIMPLES"=BH134,"BOCA DE LOBO EXISTENTE DUPLA"=BH134,"BOCA DE LOBO EXISTENTE QUADRUPLA"=BH134),0,IF("BOCA DE LOBO PROJETADA DUPLA"=BH134,(0),IF(OR("BOCA DE LOBO DUPLA EXISTENTE COM BOCA DE LOBO SIMPLES PROJETADA"=BH134,"BOCA DE LOBO SIMPLES EXISTENTE COM BOCA DE LOBO SIMPLES PROJETADA"=BH134),(0.8*0.15*0.17),IF(OR(BH134="BOCA DE LOBO DUPLA EXISTENTE COM BOCA DE LOBO DUPLA PROJETADA",BH134="BOCA DE LOBO SIMPLES EXISTENTE COM BOCA DE LOBO DUPLA PROJETADA"),(0.8*0.15*0.17),IF("BOCA DE LOBO PROJETADA TRIPLA"=BH134,(0),IF("BOCA DE LOBO PROJETADA QUADRUPLA"=BH134,(0),"X")))))*E134)</f>
        <v>0</v>
      </c>
      <c r="CT134" s="540">
        <f t="shared" ref="CT134:CT140" si="859">IF(OR("BOCA DE LOBO EXISTENTE TRIPLA"=BH134,"BOCA DE LOBO EXISTENTE SIMPLES"=BH134,"BOCA DE LOBO EXISTENTE DUPLA"=BH134,"BOCA DE LOBO EXISTENTE QUADRUPLA"=BH134),0,IF("BOCA DE LOBO PROJETADA DUPLA"=BH134,(1.18*2.57*0.05),IF(OR("BOCA DE LOBO DUPLA EXISTENTE COM BOCA DE LOBO SIMPLES PROJETADA"=BH134,"BOCA DE LOBO SIMPLES EXISTENTE COM BOCA DE LOBO SIMPLES PROJETADA"=BH134),(1.19*1.18*0.05),IF(OR(BH134="BOCA DE LOBO DUPLA EXISTENTE COM BOCA DE LOBO DUPLA PROJETADA",BH134="BOCA DE LOBO SIMPLES EXISTENTE COM BOCA DE LOBO DUPLA PROJETADA"),(2.38*1.18*0.056),IF("BOCA DE LOBO PROJETADA TRIPLA"=BH134,(3.76*1.18*0.05),IF("BOCA DE LOBO PROJETADA QUADRUPLA"=BH134,(4.92*1.18*0.05),"X")))))+CI134/3)</f>
        <v>0</v>
      </c>
      <c r="CU134" s="541">
        <f t="shared" ref="CU134:CU140" si="860">IF(OR("BOCA DE LOBO EXISTENTE TRIPLA"=BH134,"BOCA DE LOBO EXISTENTE SIMPLES"=BH134,"BOCA DE LOBO EXISTENTE DUPLA"=BH134,"BOCA DE LOBO EXISTENTE QUADRUPLA"=BH134),0,IF("BOCA DE LOBO PROJETADA DUPLA"=BH134,(1*4+0.6*2),IF(OR("BOCA DE LOBO DUPLA EXISTENTE COM BOCA DE LOBO SIMPLES PROJETADA"=BH134,"BOCA DE LOBO SIMPLES EXISTENTE COM BOCA DE LOBO SIMPLES PROJETADA"=BH134),(1*2+0.6),IF(OR(BH134="BOCA DE LOBO DUPLA EXISTENTE COM BOCA DE LOBO DUPLA PROJETADA",BH134="BOCA DE LOBO SIMPLES EXISTENTE COM BOCA DE LOBO DUPLA PROJETADA"),(1*4+0.6),IF("BOCA DE LOBO PROJETADA TRIPLA"=BH134,(6*1+0.6*2),IF("BOCA DE LOBO PROJETADA QUADRUPLA"=BH134,(8*1+0.6*2),"X")))))*E134)</f>
        <v>0</v>
      </c>
      <c r="CV134" s="538">
        <f t="shared" ref="CV134:CV140" si="861">IF(OR("BOCA DE LOBO EXISTENTE TRIPLA"=BH134,"BOCA DE LOBO EXISTENTE SIMPLES"=BH134,"BOCA DE LOBO EXISTENTE DUPLA"=BH134,"BOCA DE LOBO EXISTENTE QUADRUPLA"=BH134),0,IF("BOCA DE LOBO PROJETADA DUPLA"=BH134,(12*E134*0.17*0.15+1*0.17*0.15*5+1.09*0.6*0.07*2+2.57*1.18*0.15),IF(OR("BOCA DE LOBO DUPLA EXISTENTE COM BOCA DE LOBO SIMPLES PROJETADA"=BH134,"BOCA DE LOBO SIMPLES EXISTENTE COM BOCA DE LOBO SIMPLES PROJETADA"=BH134),(8*E134*0.17*0.15+1*0.17*0.15*4+1.09*0.6*0.07*1+1.38*1.18*0.15),IF(OR(BH134="BOCA DE LOBO DUPLA EXISTENTE COM BOCA DE LOBO DUPLA PROJETADA",BH134="BOCA DE LOBO SIMPLES EXISTENTE COM BOCA DE LOBO DUPLA PROJETADA"),(7*E134*0.17*0.15+1*0.17*0.15*5+1.09*0.6*0.07*2+2.38*1.18*0.15),IF("BOCA DE LOBO PROJETADA TRIPLA"=BH134,(15*E134*0.17*0.15+1*0.17*0.15*7+1.09*0.6*0.07*3+3.76*1.18*0.15),IF("BOCA DE LOBO PROJETADA QUADRUPLA"=BH134,(19*E134*0.17*0.15+1*0.17*0.15*9+1.09*0.6*0.07*4+4.92*1.18*0.15),"X"))))))</f>
        <v>0</v>
      </c>
      <c r="CW134" s="538">
        <f t="shared" ref="CW134:CW140" si="862">IF(OR("BOCA DE LOBO EXISTENTE TRIPLA"=BH134,"BOCA DE LOBO EXISTENTE SIMPLES"=BH134,"BOCA DE LOBO EXISTENTE DUPLA"=BH134,"BOCA DE LOBO EXISTENTE QUADRUPLA"=BH134),0,IF("BOCA DE LOBO PROJETADA DUPLA"=BH134,(12*E134*2*(0.17+0.15)+1*(2*0.17+0.15)*5+2*(2.57+1.18)*0.15+(1.09+0.6)*2*0.07*2),IF(OR("BOCA DE LOBO DUPLA EXISTENTE COM BOCA DE LOBO SIMPLES PROJETADA"=BH134,"BOCA DE LOBO SIMPLES EXISTENTE COM BOCA DE LOBO SIMPLES PROJETADA"=BH134),(8*E134*2*(0.17+0.15)+1*(2*0.17+0.15)*4+2*(1.38+1.18)*0.15+(1.09+0.6)*2*0.07*1),IF(OR(BH134="BOCA DE LOBO DUPLA EXISTENTE COM BOCA DE LOBO DUPLA PROJETADA",BH134="BOCA DE LOBO SIMPLES EXISTENTE COM BOCA DE LOBO DUPLA PROJETADA"),(7*E134*2*(0.17+0.15)+1*(2*0.17+0.15)*5+2*(2.38+1.18)*0.15+(1.09+0.6)*2*0.07*2),IF("BOCA DE LOBO PROJETADA TRIPLA"=BH134,(15*E134*2*(0.17+0.15)+1*(2*0.17+0.15)*7+2*(3.76+1.18)*0.15+(1.09+0.6)*2*0.07*3),IF("BOCA DE LOBO PROJETADA QUADRUPLA"=BH134,(19*E134*2*(0.17+0.15)+1*(2*0.17+0.15)*7+2*(4.92+1.18)*0.15+(1.09+0.6)*2*0.07*4),"X"))))))</f>
        <v>0</v>
      </c>
      <c r="CX134" s="104">
        <f t="shared" ref="CX134:CX140" si="863">IF(OR("BOCA DE LOBO EXISTENTE TRIPLA"=BH134,"BOCA DE LOBO EXISTENTE SIMPLES"=BH134,"BOCA DE LOBO EXISTENTE DUPLA"=BH134,"BOCA DE LOBO EXISTENTE QUADRUPLA"=BH134),0,IF("BOCA DE LOBO PROJETADA DUPLA"=BH134,(2.57+1),IF(OR("BOCA DE LOBO DUPLA EXISTENTE COM BOCA DE LOBO SIMPLES PROJETADA"=BH134,"BOCA DE LOBO SIMPLES EXISTENTE COM BOCA DE LOBO SIMPLES PROJETADA"=BH134),(1.18+0.5),IF(OR(BH134="BOCA DE LOBO DUPLA EXISTENTE COM BOCA DE LOBO DUPLA PROJETADA",BH134="BOCA DE LOBO SIMPLES EXISTENTE COM BOCA DE LOBO DUPLA PROJETADA"),(2.38+0.5),IF("BOCA DE LOBO PROJETADA TRIPLA"=BH134,(3.76+1),IF("BOCA DE LOBO PROJETADA QUADRUPLA"=BH134,(4.92+1),"X"))))))</f>
        <v>0</v>
      </c>
      <c r="CY134" s="542">
        <f t="shared" ref="CY134:CY140" si="864">CX134*0.5</f>
        <v>0</v>
      </c>
      <c r="CZ134" s="538">
        <f t="shared" ref="CZ134:CZ140" si="865">IF(AND(C134="EXISTENTE",D134="PROJETADA"),PI()*0.51*0.51/4*0.12,0)</f>
        <v>0</v>
      </c>
    </row>
    <row r="135" spans="1:104" ht="25" x14ac:dyDescent="0.25">
      <c r="A135" s="100" t="str">
        <f>'BOCA DE LOBO'!C125</f>
        <v>BL27-&gt;PV3.2</v>
      </c>
      <c r="B135" s="100" t="str">
        <f>'BOCA DE LOBO'!A125</f>
        <v>PV3.2</v>
      </c>
      <c r="C135" s="100" t="str">
        <f>VLOOKUP(A135,'BOCA DE LOBO'!C:F,3,0)</f>
        <v>PROJETADO</v>
      </c>
      <c r="D135" s="100" t="str">
        <f>VLOOKUP(A135,'BOCA DE LOBO'!C:M,10,0)</f>
        <v>PROJETADA</v>
      </c>
      <c r="E135" s="100">
        <f t="shared" si="782"/>
        <v>2.5</v>
      </c>
      <c r="F135" s="100">
        <f>VLOOKUP(A135,'BOCA DE LOBO'!$C$97:$P$172,2,0)</f>
        <v>3.55</v>
      </c>
      <c r="G135" s="100">
        <f>VLOOKUP(A135,'BOCA DE LOBO'!$C$97:$L$172,4,0)</f>
        <v>4.03</v>
      </c>
      <c r="H135" s="101">
        <v>400</v>
      </c>
      <c r="I135" s="102">
        <f t="shared" si="783"/>
        <v>3.1549999999999998</v>
      </c>
      <c r="J135" s="102">
        <f t="shared" si="784"/>
        <v>0.63573250000000003</v>
      </c>
      <c r="K135" s="103">
        <v>0</v>
      </c>
      <c r="L135" s="104">
        <f t="shared" si="785"/>
        <v>1</v>
      </c>
      <c r="M135" s="104">
        <f t="shared" si="786"/>
        <v>1</v>
      </c>
      <c r="N135" s="104">
        <f t="shared" si="787"/>
        <v>0</v>
      </c>
      <c r="O135" s="104">
        <f t="shared" si="788"/>
        <v>4.03</v>
      </c>
      <c r="P135" s="105" t="str">
        <f>VLOOKUP(B135,'Planilha Hidráulica'!$AE$49:$AQ$94,13,0)</f>
        <v>ASFALTO</v>
      </c>
      <c r="Q135" s="452" t="s">
        <v>2172</v>
      </c>
      <c r="R135" s="105"/>
      <c r="S135" s="105">
        <v>3.2</v>
      </c>
      <c r="T135" s="105">
        <v>1.4</v>
      </c>
      <c r="U135" s="104">
        <f t="shared" si="789"/>
        <v>0.05</v>
      </c>
      <c r="V135" s="106">
        <f t="shared" si="790"/>
        <v>0</v>
      </c>
      <c r="W135" s="106">
        <f t="shared" si="791"/>
        <v>12.714650000000001</v>
      </c>
      <c r="X135" s="107">
        <f t="shared" si="792"/>
        <v>0</v>
      </c>
      <c r="Y135" s="107">
        <f t="shared" si="793"/>
        <v>0</v>
      </c>
      <c r="Z135" s="107">
        <f t="shared" si="794"/>
        <v>3.1549999999999998</v>
      </c>
      <c r="AA135" s="107">
        <f t="shared" si="795"/>
        <v>0</v>
      </c>
      <c r="AB135" s="108">
        <f t="shared" si="796"/>
        <v>4.03</v>
      </c>
      <c r="AC135" s="109">
        <f t="shared" si="797"/>
        <v>0</v>
      </c>
      <c r="AD135" s="109">
        <f t="shared" si="798"/>
        <v>0</v>
      </c>
      <c r="AE135" s="109">
        <f t="shared" si="799"/>
        <v>0</v>
      </c>
      <c r="AF135" s="109">
        <f t="shared" si="800"/>
        <v>6.0449999999999999</v>
      </c>
      <c r="AG135" s="109">
        <f t="shared" si="801"/>
        <v>6.0449999999999999</v>
      </c>
      <c r="AH135" s="109">
        <f t="shared" si="802"/>
        <v>0.62464999999999926</v>
      </c>
      <c r="AI135" s="537" t="str">
        <f t="shared" si="803"/>
        <v>NÃO</v>
      </c>
      <c r="AJ135" s="104">
        <f t="shared" si="804"/>
        <v>0</v>
      </c>
      <c r="AK135" s="104">
        <f t="shared" si="805"/>
        <v>9.4302000000000011E-2</v>
      </c>
      <c r="AL135" s="104">
        <f t="shared" si="806"/>
        <v>12.208225264241326</v>
      </c>
      <c r="AM135" s="102">
        <f t="shared" si="807"/>
        <v>0.20150000000000001</v>
      </c>
      <c r="AN135" s="106">
        <f t="shared" si="808"/>
        <v>0</v>
      </c>
      <c r="AO135" s="104">
        <f t="shared" si="809"/>
        <v>0</v>
      </c>
      <c r="AP135" s="104">
        <f t="shared" si="810"/>
        <v>0</v>
      </c>
      <c r="AQ135" s="104">
        <f t="shared" si="811"/>
        <v>0.7</v>
      </c>
      <c r="AR135" s="104">
        <f t="shared" si="812"/>
        <v>2.3145752642413253</v>
      </c>
      <c r="AS135" s="104">
        <f t="shared" si="813"/>
        <v>0</v>
      </c>
      <c r="AT135" s="104">
        <f t="shared" si="814"/>
        <v>0.60450000000000004</v>
      </c>
      <c r="AU135" s="104">
        <f t="shared" si="815"/>
        <v>0.60450000000000004</v>
      </c>
      <c r="AV135" s="104">
        <f t="shared" si="816"/>
        <v>0.12090000000000001</v>
      </c>
      <c r="AW135" s="104">
        <f t="shared" si="817"/>
        <v>8.483150000000002</v>
      </c>
      <c r="AX135" s="104">
        <f t="shared" si="818"/>
        <v>9.7955747357586738</v>
      </c>
      <c r="AY135" s="104">
        <f t="shared" si="819"/>
        <v>8.483150000000002</v>
      </c>
      <c r="AZ135" s="104">
        <f t="shared" si="820"/>
        <v>0</v>
      </c>
      <c r="BA135" s="104">
        <f t="shared" si="413"/>
        <v>0</v>
      </c>
      <c r="BB135" s="104">
        <f t="shared" si="821"/>
        <v>0</v>
      </c>
      <c r="BC135" s="104"/>
      <c r="BD135" s="104">
        <f t="shared" si="822"/>
        <v>0</v>
      </c>
      <c r="BE135" s="108">
        <f t="shared" si="823"/>
        <v>3.1549999999999998</v>
      </c>
      <c r="BF135" s="110">
        <f t="shared" si="824"/>
        <v>0</v>
      </c>
      <c r="BG135" s="110">
        <f t="shared" si="825"/>
        <v>0</v>
      </c>
      <c r="BH135" s="105" t="str">
        <f>VLOOKUP(A135,'BOCA DE LOBO'!$C$99:$P$172,7,0)</f>
        <v>BOCA DE LOBO PROJETADA TRIPLA</v>
      </c>
      <c r="BI135" s="104">
        <f t="shared" si="826"/>
        <v>0</v>
      </c>
      <c r="BJ135" s="104">
        <f t="shared" si="827"/>
        <v>0</v>
      </c>
      <c r="BK135" s="104">
        <f t="shared" si="828"/>
        <v>0</v>
      </c>
      <c r="BL135" s="104">
        <f t="shared" si="829"/>
        <v>0</v>
      </c>
      <c r="BM135" s="104">
        <f t="shared" si="830"/>
        <v>0</v>
      </c>
      <c r="BN135" s="104">
        <f t="shared" si="831"/>
        <v>0</v>
      </c>
      <c r="BO135" s="543">
        <f t="shared" si="832"/>
        <v>1</v>
      </c>
      <c r="BP135" s="111"/>
      <c r="BQ135" s="108">
        <f t="shared" si="833"/>
        <v>12.09</v>
      </c>
      <c r="BR135" s="108">
        <f t="shared" si="834"/>
        <v>12.09</v>
      </c>
      <c r="BS135" s="108">
        <f t="shared" si="835"/>
        <v>1.2492999999999985</v>
      </c>
      <c r="BT135" s="112"/>
      <c r="BU135" s="112" t="s">
        <v>1410</v>
      </c>
      <c r="BV135" s="538">
        <f t="shared" si="836"/>
        <v>25.941999999999993</v>
      </c>
      <c r="BW135" s="538">
        <f t="shared" si="837"/>
        <v>10.376799999999998</v>
      </c>
      <c r="BX135" s="538">
        <f t="shared" si="838"/>
        <v>4.4367999999999999</v>
      </c>
      <c r="BY135" s="538">
        <f t="shared" si="839"/>
        <v>2.5</v>
      </c>
      <c r="BZ135" s="538">
        <f t="shared" si="840"/>
        <v>2.5</v>
      </c>
      <c r="CA135" s="538">
        <f t="shared" si="841"/>
        <v>0</v>
      </c>
      <c r="CB135" s="538">
        <f t="shared" si="842"/>
        <v>0</v>
      </c>
      <c r="CC135" s="538">
        <f t="shared" si="843"/>
        <v>15.565199999999997</v>
      </c>
      <c r="CD135" s="538">
        <f t="shared" si="844"/>
        <v>10.376799999999998</v>
      </c>
      <c r="CE135" s="538">
        <f t="shared" si="845"/>
        <v>0</v>
      </c>
      <c r="CF135" s="538">
        <f t="shared" si="846"/>
        <v>0</v>
      </c>
      <c r="CG135" s="538">
        <f t="shared" si="847"/>
        <v>0</v>
      </c>
      <c r="CH135" s="538">
        <f t="shared" si="848"/>
        <v>0</v>
      </c>
      <c r="CI135" s="104">
        <f t="shared" si="849"/>
        <v>0.71399999999999997</v>
      </c>
      <c r="CJ135" s="538">
        <f t="shared" si="850"/>
        <v>14.135999999999994</v>
      </c>
      <c r="CK135" s="538">
        <f t="shared" si="444"/>
        <v>14.135999999999994</v>
      </c>
      <c r="CL135" s="538">
        <f t="shared" si="851"/>
        <v>0</v>
      </c>
      <c r="CM135" s="538">
        <f t="shared" si="852"/>
        <v>0</v>
      </c>
      <c r="CN135" s="538">
        <f t="shared" si="853"/>
        <v>4.76</v>
      </c>
      <c r="CO135" s="538">
        <f t="shared" si="854"/>
        <v>2.5</v>
      </c>
      <c r="CP135" s="538">
        <f t="shared" si="855"/>
        <v>14.28</v>
      </c>
      <c r="CQ135" s="538">
        <f t="shared" si="856"/>
        <v>9.52</v>
      </c>
      <c r="CR135" s="539">
        <f t="shared" si="857"/>
        <v>0</v>
      </c>
      <c r="CS135" s="540">
        <f t="shared" si="858"/>
        <v>0</v>
      </c>
      <c r="CT135" s="540">
        <f t="shared" si="859"/>
        <v>0.45984000000000003</v>
      </c>
      <c r="CU135" s="541">
        <f t="shared" si="860"/>
        <v>18</v>
      </c>
      <c r="CV135" s="538">
        <f t="shared" si="861"/>
        <v>1.9376100000000003</v>
      </c>
      <c r="CW135" s="538">
        <f t="shared" si="862"/>
        <v>29.6218</v>
      </c>
      <c r="CX135" s="104">
        <f t="shared" si="863"/>
        <v>4.76</v>
      </c>
      <c r="CY135" s="542">
        <f t="shared" si="864"/>
        <v>2.38</v>
      </c>
      <c r="CZ135" s="538">
        <f t="shared" si="865"/>
        <v>0</v>
      </c>
    </row>
    <row r="136" spans="1:104" ht="25" x14ac:dyDescent="0.25">
      <c r="A136" s="100" t="str">
        <f>'BOCA DE LOBO'!C126</f>
        <v>BL28-&gt;PV4.2</v>
      </c>
      <c r="B136" s="100" t="str">
        <f>'BOCA DE LOBO'!A126</f>
        <v>PV4.2</v>
      </c>
      <c r="C136" s="100" t="str">
        <f>VLOOKUP(A136,'BOCA DE LOBO'!C:F,3,0)</f>
        <v>PROJETADO</v>
      </c>
      <c r="D136" s="100" t="str">
        <f>VLOOKUP(A136,'BOCA DE LOBO'!C:M,10,0)</f>
        <v>PROJETADA</v>
      </c>
      <c r="E136" s="100">
        <f t="shared" si="782"/>
        <v>2.5</v>
      </c>
      <c r="F136" s="100">
        <f>VLOOKUP(A136,'BOCA DE LOBO'!$C$97:$P$172,2,0)</f>
        <v>3</v>
      </c>
      <c r="G136" s="100">
        <f>VLOOKUP(A136,'BOCA DE LOBO'!$C$97:$L$172,4,0)</f>
        <v>4.59</v>
      </c>
      <c r="H136" s="101">
        <v>400</v>
      </c>
      <c r="I136" s="102">
        <f t="shared" si="783"/>
        <v>2.88</v>
      </c>
      <c r="J136" s="102">
        <f t="shared" si="784"/>
        <v>0.66095999999999999</v>
      </c>
      <c r="K136" s="103">
        <v>0</v>
      </c>
      <c r="L136" s="104">
        <f t="shared" si="785"/>
        <v>1</v>
      </c>
      <c r="M136" s="104">
        <f t="shared" si="786"/>
        <v>1</v>
      </c>
      <c r="N136" s="104">
        <f t="shared" si="787"/>
        <v>0</v>
      </c>
      <c r="O136" s="104">
        <f t="shared" si="788"/>
        <v>4.59</v>
      </c>
      <c r="P136" s="105" t="str">
        <f>VLOOKUP(B136,'Planilha Hidráulica'!$AE$49:$AQ$94,13,0)</f>
        <v>ASFALTO</v>
      </c>
      <c r="Q136" s="452" t="s">
        <v>2058</v>
      </c>
      <c r="R136" s="105"/>
      <c r="S136" s="105">
        <f>VLOOKUP(Q136,Quantitativos!$P$43:$R$88,3,0)</f>
        <v>2.5</v>
      </c>
      <c r="T136" s="105">
        <f>VLOOKUP(Q136,Quantitativos!$P$43:$S$88,4,0)</f>
        <v>1.6</v>
      </c>
      <c r="U136" s="104">
        <f t="shared" si="789"/>
        <v>0.05</v>
      </c>
      <c r="V136" s="106">
        <f t="shared" si="790"/>
        <v>0</v>
      </c>
      <c r="W136" s="106">
        <f t="shared" si="791"/>
        <v>13.219199999999999</v>
      </c>
      <c r="X136" s="107">
        <f t="shared" si="792"/>
        <v>0</v>
      </c>
      <c r="Y136" s="107">
        <f t="shared" si="793"/>
        <v>0</v>
      </c>
      <c r="Z136" s="107">
        <f t="shared" si="794"/>
        <v>2.5</v>
      </c>
      <c r="AA136" s="107">
        <f t="shared" si="795"/>
        <v>0.37999999999999989</v>
      </c>
      <c r="AB136" s="108">
        <f t="shared" si="796"/>
        <v>4.59</v>
      </c>
      <c r="AC136" s="109">
        <f t="shared" si="797"/>
        <v>0</v>
      </c>
      <c r="AD136" s="109">
        <f t="shared" si="798"/>
        <v>0</v>
      </c>
      <c r="AE136" s="109">
        <f t="shared" si="799"/>
        <v>0</v>
      </c>
      <c r="AF136" s="109">
        <f t="shared" si="800"/>
        <v>6.8849999999999998</v>
      </c>
      <c r="AG136" s="109">
        <f t="shared" si="801"/>
        <v>4.59</v>
      </c>
      <c r="AH136" s="109">
        <f t="shared" si="802"/>
        <v>0</v>
      </c>
      <c r="AI136" s="537" t="str">
        <f t="shared" si="803"/>
        <v>SIM</v>
      </c>
      <c r="AJ136" s="104">
        <f t="shared" si="804"/>
        <v>1.7441999999999993</v>
      </c>
      <c r="AK136" s="104">
        <f t="shared" si="805"/>
        <v>7.8335999999999975E-2</v>
      </c>
      <c r="AL136" s="104">
        <f t="shared" si="806"/>
        <v>12.642403588800914</v>
      </c>
      <c r="AM136" s="102">
        <f t="shared" si="807"/>
        <v>0.22950000000000001</v>
      </c>
      <c r="AN136" s="106">
        <f t="shared" si="808"/>
        <v>0</v>
      </c>
      <c r="AO136" s="104">
        <f t="shared" si="809"/>
        <v>0</v>
      </c>
      <c r="AP136" s="104">
        <f t="shared" si="810"/>
        <v>0</v>
      </c>
      <c r="AQ136" s="104">
        <f t="shared" si="811"/>
        <v>0.7</v>
      </c>
      <c r="AR136" s="104">
        <f t="shared" si="812"/>
        <v>2.6362035888009134</v>
      </c>
      <c r="AS136" s="104">
        <f t="shared" si="813"/>
        <v>0</v>
      </c>
      <c r="AT136" s="104">
        <f t="shared" si="814"/>
        <v>0.6885</v>
      </c>
      <c r="AU136" s="104">
        <f t="shared" si="815"/>
        <v>0.6885</v>
      </c>
      <c r="AV136" s="104">
        <f t="shared" si="816"/>
        <v>0.13769999999999999</v>
      </c>
      <c r="AW136" s="104">
        <f t="shared" si="817"/>
        <v>8.3997000000000011</v>
      </c>
      <c r="AX136" s="104">
        <f t="shared" si="818"/>
        <v>8.1502964111990863</v>
      </c>
      <c r="AY136" s="104">
        <f t="shared" si="819"/>
        <v>8.1502964111990863</v>
      </c>
      <c r="AZ136" s="104">
        <f t="shared" si="820"/>
        <v>0.24940358880091473</v>
      </c>
      <c r="BA136" s="104">
        <f t="shared" si="413"/>
        <v>0.11647638921326282</v>
      </c>
      <c r="BB136" s="104">
        <f t="shared" si="821"/>
        <v>0.13292719958765192</v>
      </c>
      <c r="BC136" s="104"/>
      <c r="BD136" s="104">
        <f t="shared" si="822"/>
        <v>0</v>
      </c>
      <c r="BE136" s="108">
        <f t="shared" si="823"/>
        <v>2.88</v>
      </c>
      <c r="BF136" s="110">
        <f t="shared" si="824"/>
        <v>0</v>
      </c>
      <c r="BG136" s="110">
        <f t="shared" si="825"/>
        <v>4.59</v>
      </c>
      <c r="BH136" s="105" t="str">
        <f>VLOOKUP(A136,'BOCA DE LOBO'!$C$99:$P$172,7,0)</f>
        <v>BOCA DE LOBO PROJETADA TRIPLA</v>
      </c>
      <c r="BI136" s="104">
        <f t="shared" si="826"/>
        <v>0</v>
      </c>
      <c r="BJ136" s="104">
        <f t="shared" si="827"/>
        <v>0</v>
      </c>
      <c r="BK136" s="104">
        <f t="shared" si="828"/>
        <v>0</v>
      </c>
      <c r="BL136" s="104">
        <f t="shared" si="829"/>
        <v>0</v>
      </c>
      <c r="BM136" s="104">
        <f t="shared" si="830"/>
        <v>0</v>
      </c>
      <c r="BN136" s="104">
        <f t="shared" si="831"/>
        <v>0</v>
      </c>
      <c r="BO136" s="543">
        <f t="shared" si="832"/>
        <v>1</v>
      </c>
      <c r="BP136" s="111"/>
      <c r="BQ136" s="108">
        <f t="shared" si="833"/>
        <v>13.77</v>
      </c>
      <c r="BR136" s="108">
        <f t="shared" si="834"/>
        <v>12.668399999999998</v>
      </c>
      <c r="BS136" s="108">
        <f t="shared" si="835"/>
        <v>0</v>
      </c>
      <c r="BT136" s="112"/>
      <c r="BU136" s="112" t="s">
        <v>1410</v>
      </c>
      <c r="BV136" s="538">
        <f t="shared" si="836"/>
        <v>25.941999999999993</v>
      </c>
      <c r="BW136" s="538">
        <f t="shared" si="837"/>
        <v>10.376799999999998</v>
      </c>
      <c r="BX136" s="538">
        <f t="shared" si="838"/>
        <v>4.4367999999999999</v>
      </c>
      <c r="BY136" s="538">
        <f t="shared" si="839"/>
        <v>2.5</v>
      </c>
      <c r="BZ136" s="538">
        <f t="shared" si="840"/>
        <v>2.5</v>
      </c>
      <c r="CA136" s="538">
        <f t="shared" si="841"/>
        <v>0</v>
      </c>
      <c r="CB136" s="538">
        <f t="shared" si="842"/>
        <v>0</v>
      </c>
      <c r="CC136" s="538">
        <f t="shared" si="843"/>
        <v>15.565199999999997</v>
      </c>
      <c r="CD136" s="538">
        <f t="shared" si="844"/>
        <v>10.376799999999998</v>
      </c>
      <c r="CE136" s="538">
        <f t="shared" si="845"/>
        <v>0</v>
      </c>
      <c r="CF136" s="538">
        <f t="shared" si="846"/>
        <v>0</v>
      </c>
      <c r="CG136" s="538">
        <f t="shared" si="847"/>
        <v>0</v>
      </c>
      <c r="CH136" s="538">
        <f t="shared" si="848"/>
        <v>0</v>
      </c>
      <c r="CI136" s="104">
        <f t="shared" si="849"/>
        <v>0.71399999999999997</v>
      </c>
      <c r="CJ136" s="538">
        <f t="shared" si="850"/>
        <v>14.135999999999994</v>
      </c>
      <c r="CK136" s="538">
        <f t="shared" si="444"/>
        <v>14.135999999999994</v>
      </c>
      <c r="CL136" s="538">
        <f t="shared" si="851"/>
        <v>0</v>
      </c>
      <c r="CM136" s="538">
        <f t="shared" si="852"/>
        <v>0</v>
      </c>
      <c r="CN136" s="538">
        <f t="shared" si="853"/>
        <v>4.76</v>
      </c>
      <c r="CO136" s="538">
        <f t="shared" si="854"/>
        <v>2.5</v>
      </c>
      <c r="CP136" s="538">
        <f t="shared" si="855"/>
        <v>14.28</v>
      </c>
      <c r="CQ136" s="538">
        <f t="shared" si="856"/>
        <v>9.52</v>
      </c>
      <c r="CR136" s="539">
        <f t="shared" si="857"/>
        <v>0</v>
      </c>
      <c r="CS136" s="540">
        <f t="shared" si="858"/>
        <v>0</v>
      </c>
      <c r="CT136" s="540">
        <f t="shared" si="859"/>
        <v>0.45984000000000003</v>
      </c>
      <c r="CU136" s="541">
        <f t="shared" si="860"/>
        <v>18</v>
      </c>
      <c r="CV136" s="538">
        <f t="shared" si="861"/>
        <v>1.9376100000000003</v>
      </c>
      <c r="CW136" s="538">
        <f t="shared" si="862"/>
        <v>29.6218</v>
      </c>
      <c r="CX136" s="104">
        <f t="shared" si="863"/>
        <v>4.76</v>
      </c>
      <c r="CY136" s="542">
        <f t="shared" si="864"/>
        <v>2.38</v>
      </c>
      <c r="CZ136" s="538">
        <f t="shared" si="865"/>
        <v>0</v>
      </c>
    </row>
    <row r="137" spans="1:104" ht="25" x14ac:dyDescent="0.25">
      <c r="A137" s="100" t="str">
        <f>'BOCA DE LOBO'!C127</f>
        <v>BL29-&gt;PV5.2</v>
      </c>
      <c r="B137" s="100" t="str">
        <f>'BOCA DE LOBO'!A127</f>
        <v>PV5.2</v>
      </c>
      <c r="C137" s="100" t="str">
        <f>VLOOKUP(A137,'BOCA DE LOBO'!C:F,3,0)</f>
        <v>PROJETADO</v>
      </c>
      <c r="D137" s="100" t="str">
        <f>VLOOKUP(A137,'BOCA DE LOBO'!C:M,10,0)</f>
        <v>PROJETADA</v>
      </c>
      <c r="E137" s="100">
        <f t="shared" si="782"/>
        <v>1.9112</v>
      </c>
      <c r="F137" s="100">
        <f>VLOOKUP(A137,'BOCA DE LOBO'!$C$97:$P$172,2,0)</f>
        <v>2</v>
      </c>
      <c r="G137" s="100">
        <f>VLOOKUP(A137,'BOCA DE LOBO'!$C$97:$L$172,4,0)</f>
        <v>2.2200000000000002</v>
      </c>
      <c r="H137" s="101">
        <v>400</v>
      </c>
      <c r="I137" s="102">
        <f t="shared" si="783"/>
        <v>2.0855999999999999</v>
      </c>
      <c r="J137" s="102">
        <f t="shared" si="784"/>
        <v>0.2315016</v>
      </c>
      <c r="K137" s="103">
        <v>0</v>
      </c>
      <c r="L137" s="104">
        <f t="shared" si="785"/>
        <v>1</v>
      </c>
      <c r="M137" s="104">
        <f t="shared" si="786"/>
        <v>1</v>
      </c>
      <c r="N137" s="104">
        <f t="shared" si="787"/>
        <v>0</v>
      </c>
      <c r="O137" s="104">
        <f t="shared" si="788"/>
        <v>2.2200000000000002</v>
      </c>
      <c r="P137" s="105" t="str">
        <f>VLOOKUP(B137,'Planilha Hidráulica'!$AE$49:$AQ$94,13,0)</f>
        <v>ASFALTO</v>
      </c>
      <c r="Q137" s="452" t="s">
        <v>2058</v>
      </c>
      <c r="R137" s="105"/>
      <c r="S137" s="105">
        <f>VLOOKUP(Q137,Quantitativos!$P$43:$R$88,3,0)</f>
        <v>2.5</v>
      </c>
      <c r="T137" s="105">
        <f>VLOOKUP(Q137,Quantitativos!$P$43:$S$88,4,0)</f>
        <v>1.6</v>
      </c>
      <c r="U137" s="104">
        <f t="shared" si="789"/>
        <v>0.05</v>
      </c>
      <c r="V137" s="106">
        <f t="shared" si="790"/>
        <v>0</v>
      </c>
      <c r="W137" s="106">
        <f t="shared" si="791"/>
        <v>4.6300319999999999</v>
      </c>
      <c r="X137" s="107">
        <f t="shared" si="792"/>
        <v>0</v>
      </c>
      <c r="Y137" s="107">
        <f t="shared" si="793"/>
        <v>0</v>
      </c>
      <c r="Z137" s="107">
        <f t="shared" si="794"/>
        <v>2.0855999999999999</v>
      </c>
      <c r="AA137" s="107">
        <f t="shared" si="795"/>
        <v>0</v>
      </c>
      <c r="AB137" s="108">
        <f t="shared" si="796"/>
        <v>2.2200000000000002</v>
      </c>
      <c r="AC137" s="109">
        <f t="shared" si="797"/>
        <v>0</v>
      </c>
      <c r="AD137" s="109">
        <f t="shared" si="798"/>
        <v>0</v>
      </c>
      <c r="AE137" s="109">
        <f t="shared" si="799"/>
        <v>0</v>
      </c>
      <c r="AF137" s="109">
        <f t="shared" si="800"/>
        <v>3.33</v>
      </c>
      <c r="AG137" s="109">
        <f t="shared" si="801"/>
        <v>1.3000319999999999</v>
      </c>
      <c r="AH137" s="109">
        <f t="shared" si="802"/>
        <v>0</v>
      </c>
      <c r="AI137" s="537" t="str">
        <f t="shared" si="803"/>
        <v>NÃO</v>
      </c>
      <c r="AJ137" s="104">
        <f t="shared" si="804"/>
        <v>0</v>
      </c>
      <c r="AK137" s="104">
        <f t="shared" si="805"/>
        <v>1.4373759999999996E-2</v>
      </c>
      <c r="AL137" s="104">
        <f t="shared" si="806"/>
        <v>4.3510585723612261</v>
      </c>
      <c r="AM137" s="102">
        <f t="shared" si="807"/>
        <v>0.11100000000000002</v>
      </c>
      <c r="AN137" s="106">
        <f t="shared" si="808"/>
        <v>0</v>
      </c>
      <c r="AO137" s="104">
        <f t="shared" si="809"/>
        <v>0</v>
      </c>
      <c r="AP137" s="104">
        <f t="shared" si="810"/>
        <v>0</v>
      </c>
      <c r="AQ137" s="104">
        <f t="shared" si="811"/>
        <v>0.7</v>
      </c>
      <c r="AR137" s="104">
        <f t="shared" si="812"/>
        <v>1.2750265723612264</v>
      </c>
      <c r="AS137" s="104">
        <f t="shared" si="813"/>
        <v>0</v>
      </c>
      <c r="AT137" s="104">
        <f t="shared" si="814"/>
        <v>0.33300000000000002</v>
      </c>
      <c r="AU137" s="104">
        <f t="shared" si="815"/>
        <v>0.33300000000000002</v>
      </c>
      <c r="AV137" s="104">
        <f t="shared" si="816"/>
        <v>6.6600000000000006E-2</v>
      </c>
      <c r="AW137" s="104">
        <f t="shared" si="817"/>
        <v>2.2990319999999995</v>
      </c>
      <c r="AX137" s="104">
        <f t="shared" si="818"/>
        <v>3.0220054276387733</v>
      </c>
      <c r="AY137" s="104">
        <f t="shared" si="819"/>
        <v>2.2990319999999995</v>
      </c>
      <c r="AZ137" s="104">
        <f t="shared" si="820"/>
        <v>0</v>
      </c>
      <c r="BA137" s="104">
        <f t="shared" si="413"/>
        <v>0</v>
      </c>
      <c r="BB137" s="104">
        <f t="shared" si="821"/>
        <v>0</v>
      </c>
      <c r="BC137" s="104"/>
      <c r="BD137" s="104">
        <f t="shared" si="822"/>
        <v>0</v>
      </c>
      <c r="BE137" s="108">
        <f t="shared" si="823"/>
        <v>2.0855999999999999</v>
      </c>
      <c r="BF137" s="110">
        <f t="shared" si="824"/>
        <v>0</v>
      </c>
      <c r="BG137" s="110">
        <f t="shared" si="825"/>
        <v>2.2200000000000002</v>
      </c>
      <c r="BH137" s="105" t="str">
        <f>VLOOKUP(A137,'BOCA DE LOBO'!$C$99:$P$172,7,0)</f>
        <v>BOCA DE LOBO PROJETADA TRIPLA</v>
      </c>
      <c r="BI137" s="104">
        <f t="shared" si="826"/>
        <v>0</v>
      </c>
      <c r="BJ137" s="104">
        <f t="shared" si="827"/>
        <v>0</v>
      </c>
      <c r="BK137" s="104">
        <f t="shared" si="828"/>
        <v>0</v>
      </c>
      <c r="BL137" s="104">
        <f t="shared" si="829"/>
        <v>0</v>
      </c>
      <c r="BM137" s="104">
        <f t="shared" si="830"/>
        <v>0</v>
      </c>
      <c r="BN137" s="104">
        <f t="shared" si="831"/>
        <v>0</v>
      </c>
      <c r="BO137" s="543">
        <f t="shared" si="832"/>
        <v>1</v>
      </c>
      <c r="BP137" s="111"/>
      <c r="BQ137" s="108">
        <f t="shared" si="833"/>
        <v>6.66</v>
      </c>
      <c r="BR137" s="108">
        <f t="shared" si="834"/>
        <v>2.6000639999999997</v>
      </c>
      <c r="BS137" s="108">
        <f t="shared" si="835"/>
        <v>0</v>
      </c>
      <c r="BT137" s="112"/>
      <c r="BU137" s="112" t="s">
        <v>1410</v>
      </c>
      <c r="BV137" s="538">
        <f t="shared" si="836"/>
        <v>19.832140159999994</v>
      </c>
      <c r="BW137" s="538">
        <f t="shared" si="837"/>
        <v>10.376799999999998</v>
      </c>
      <c r="BX137" s="538">
        <f t="shared" si="838"/>
        <v>4.4367999999999999</v>
      </c>
      <c r="BY137" s="538">
        <f t="shared" si="839"/>
        <v>1.9112</v>
      </c>
      <c r="BZ137" s="538">
        <f t="shared" si="840"/>
        <v>1.9112</v>
      </c>
      <c r="CA137" s="538">
        <f t="shared" si="841"/>
        <v>0</v>
      </c>
      <c r="CB137" s="538">
        <f t="shared" si="842"/>
        <v>0</v>
      </c>
      <c r="CC137" s="538">
        <f t="shared" si="843"/>
        <v>15.565199999999997</v>
      </c>
      <c r="CD137" s="538">
        <f t="shared" si="844"/>
        <v>4.266940159999999</v>
      </c>
      <c r="CE137" s="538">
        <f t="shared" si="845"/>
        <v>0</v>
      </c>
      <c r="CF137" s="538">
        <f t="shared" si="846"/>
        <v>0</v>
      </c>
      <c r="CG137" s="538">
        <f t="shared" si="847"/>
        <v>0</v>
      </c>
      <c r="CH137" s="538">
        <f t="shared" si="848"/>
        <v>0</v>
      </c>
      <c r="CI137" s="104">
        <f t="shared" si="849"/>
        <v>0.71399999999999997</v>
      </c>
      <c r="CJ137" s="538">
        <f t="shared" si="850"/>
        <v>10.638527999999996</v>
      </c>
      <c r="CK137" s="538">
        <f t="shared" si="444"/>
        <v>10.638527999999996</v>
      </c>
      <c r="CL137" s="538">
        <f t="shared" si="851"/>
        <v>0</v>
      </c>
      <c r="CM137" s="538">
        <f t="shared" si="852"/>
        <v>0</v>
      </c>
      <c r="CN137" s="538">
        <f t="shared" si="853"/>
        <v>4.76</v>
      </c>
      <c r="CO137" s="538">
        <f t="shared" si="854"/>
        <v>1.9112</v>
      </c>
      <c r="CP137" s="538">
        <f t="shared" si="855"/>
        <v>14.28</v>
      </c>
      <c r="CQ137" s="538">
        <f t="shared" si="856"/>
        <v>3.9146239999999999</v>
      </c>
      <c r="CR137" s="539">
        <f t="shared" si="857"/>
        <v>0</v>
      </c>
      <c r="CS137" s="540">
        <f t="shared" si="858"/>
        <v>0</v>
      </c>
      <c r="CT137" s="540">
        <f t="shared" si="859"/>
        <v>0.45984000000000003</v>
      </c>
      <c r="CU137" s="541">
        <f t="shared" si="860"/>
        <v>13.76064</v>
      </c>
      <c r="CV137" s="538">
        <f t="shared" si="861"/>
        <v>1.7123940000000002</v>
      </c>
      <c r="CW137" s="538">
        <f t="shared" si="862"/>
        <v>23.96932</v>
      </c>
      <c r="CX137" s="104">
        <f t="shared" si="863"/>
        <v>4.76</v>
      </c>
      <c r="CY137" s="542">
        <f t="shared" si="864"/>
        <v>2.38</v>
      </c>
      <c r="CZ137" s="538">
        <f t="shared" si="865"/>
        <v>0</v>
      </c>
    </row>
    <row r="138" spans="1:104" ht="37.5" x14ac:dyDescent="0.25">
      <c r="A138" s="100" t="str">
        <f>'BOCA DE LOBO'!C128</f>
        <v>BL30-&gt;PV5.2</v>
      </c>
      <c r="B138" s="100" t="str">
        <f>'BOCA DE LOBO'!A128</f>
        <v>PV5.2</v>
      </c>
      <c r="C138" s="100" t="str">
        <f>VLOOKUP(A138,'BOCA DE LOBO'!C:F,3,0)</f>
        <v>PROJETADO</v>
      </c>
      <c r="D138" s="100" t="str">
        <f>VLOOKUP(A138,'BOCA DE LOBO'!C:M,10,0)</f>
        <v>AMPLIADA</v>
      </c>
      <c r="E138" s="100">
        <f t="shared" si="782"/>
        <v>1.742</v>
      </c>
      <c r="F138" s="100">
        <f>VLOOKUP(A138,'BOCA DE LOBO'!$C$97:$P$172,2,0)</f>
        <v>2</v>
      </c>
      <c r="G138" s="100">
        <f>VLOOKUP(A138,'BOCA DE LOBO'!$C$97:$L$172,4,0)</f>
        <v>6.45</v>
      </c>
      <c r="H138" s="101">
        <v>400</v>
      </c>
      <c r="I138" s="102">
        <f t="shared" si="783"/>
        <v>2.0009999999999999</v>
      </c>
      <c r="J138" s="102">
        <f t="shared" si="784"/>
        <v>0.64532250000000002</v>
      </c>
      <c r="K138" s="103">
        <v>0</v>
      </c>
      <c r="L138" s="104">
        <f t="shared" si="785"/>
        <v>0</v>
      </c>
      <c r="M138" s="104">
        <f t="shared" si="786"/>
        <v>0</v>
      </c>
      <c r="N138" s="104">
        <f t="shared" si="787"/>
        <v>400</v>
      </c>
      <c r="O138" s="104">
        <f t="shared" si="788"/>
        <v>0</v>
      </c>
      <c r="P138" s="105" t="str">
        <f>VLOOKUP(B138,'Planilha Hidráulica'!$AE$49:$AQ$94,13,0)</f>
        <v>ASFALTO</v>
      </c>
      <c r="Q138" s="452" t="s">
        <v>2058</v>
      </c>
      <c r="R138" s="105"/>
      <c r="S138" s="105">
        <f>VLOOKUP(Q138,Quantitativos!$P$43:$R$88,3,0)</f>
        <v>2.5</v>
      </c>
      <c r="T138" s="105">
        <f>VLOOKUP(Q138,Quantitativos!$P$43:$S$88,4,0)</f>
        <v>1.6</v>
      </c>
      <c r="U138" s="104">
        <f t="shared" si="789"/>
        <v>0.05</v>
      </c>
      <c r="V138" s="106">
        <f t="shared" si="790"/>
        <v>0</v>
      </c>
      <c r="W138" s="106">
        <f t="shared" si="791"/>
        <v>0</v>
      </c>
      <c r="X138" s="107">
        <f t="shared" si="792"/>
        <v>0</v>
      </c>
      <c r="Y138" s="107">
        <f t="shared" si="793"/>
        <v>0</v>
      </c>
      <c r="Z138" s="107">
        <f t="shared" si="794"/>
        <v>2.0009999999999999</v>
      </c>
      <c r="AA138" s="107">
        <f t="shared" si="795"/>
        <v>0</v>
      </c>
      <c r="AB138" s="108">
        <f t="shared" si="796"/>
        <v>0</v>
      </c>
      <c r="AC138" s="109">
        <f t="shared" si="797"/>
        <v>0</v>
      </c>
      <c r="AD138" s="109">
        <f t="shared" si="798"/>
        <v>0</v>
      </c>
      <c r="AE138" s="109">
        <f t="shared" si="799"/>
        <v>0</v>
      </c>
      <c r="AF138" s="109">
        <f t="shared" si="800"/>
        <v>0</v>
      </c>
      <c r="AG138" s="109">
        <f t="shared" si="801"/>
        <v>0</v>
      </c>
      <c r="AH138" s="109">
        <f t="shared" si="802"/>
        <v>0</v>
      </c>
      <c r="AI138" s="537" t="str">
        <f t="shared" si="803"/>
        <v>NÃO</v>
      </c>
      <c r="AJ138" s="104">
        <f t="shared" si="804"/>
        <v>0</v>
      </c>
      <c r="AK138" s="104">
        <f t="shared" si="805"/>
        <v>3.4485999999999982E-2</v>
      </c>
      <c r="AL138" s="104">
        <f t="shared" si="806"/>
        <v>0</v>
      </c>
      <c r="AM138" s="102">
        <f t="shared" si="807"/>
        <v>0</v>
      </c>
      <c r="AN138" s="106">
        <f t="shared" si="808"/>
        <v>0</v>
      </c>
      <c r="AO138" s="104">
        <f t="shared" si="809"/>
        <v>0</v>
      </c>
      <c r="AP138" s="104">
        <f t="shared" si="810"/>
        <v>0</v>
      </c>
      <c r="AQ138" s="104">
        <f t="shared" si="811"/>
        <v>0.7</v>
      </c>
      <c r="AR138" s="104">
        <f t="shared" si="812"/>
        <v>0</v>
      </c>
      <c r="AS138" s="104">
        <f t="shared" si="813"/>
        <v>0</v>
      </c>
      <c r="AT138" s="104">
        <f t="shared" si="814"/>
        <v>0</v>
      </c>
      <c r="AU138" s="104">
        <f t="shared" si="815"/>
        <v>0</v>
      </c>
      <c r="AV138" s="104">
        <f t="shared" si="816"/>
        <v>0</v>
      </c>
      <c r="AW138" s="104">
        <f t="shared" si="817"/>
        <v>0</v>
      </c>
      <c r="AX138" s="104">
        <f t="shared" si="818"/>
        <v>0</v>
      </c>
      <c r="AY138" s="104">
        <f t="shared" si="819"/>
        <v>0</v>
      </c>
      <c r="AZ138" s="104">
        <f t="shared" si="820"/>
        <v>0</v>
      </c>
      <c r="BA138" s="104">
        <f t="shared" si="413"/>
        <v>0</v>
      </c>
      <c r="BB138" s="104">
        <f t="shared" si="821"/>
        <v>0</v>
      </c>
      <c r="BC138" s="104"/>
      <c r="BD138" s="104">
        <f t="shared" si="822"/>
        <v>0</v>
      </c>
      <c r="BE138" s="108">
        <f t="shared" si="823"/>
        <v>2.0009999999999999</v>
      </c>
      <c r="BF138" s="110">
        <f t="shared" si="824"/>
        <v>0</v>
      </c>
      <c r="BG138" s="110">
        <f t="shared" si="825"/>
        <v>6.45</v>
      </c>
      <c r="BH138" s="105" t="str">
        <f>VLOOKUP(A138,'BOCA DE LOBO'!$C$99:$P$172,7,0)</f>
        <v>BOCA DE LOBO DUPLA EXISTENTE COM BOCA DE LOBO SIMPLES PROJETADA</v>
      </c>
      <c r="BI138" s="104">
        <f t="shared" si="826"/>
        <v>0</v>
      </c>
      <c r="BJ138" s="104">
        <f t="shared" si="827"/>
        <v>0</v>
      </c>
      <c r="BK138" s="104">
        <f t="shared" si="828"/>
        <v>1</v>
      </c>
      <c r="BL138" s="104">
        <f t="shared" si="829"/>
        <v>0</v>
      </c>
      <c r="BM138" s="104">
        <f t="shared" si="830"/>
        <v>0</v>
      </c>
      <c r="BN138" s="104">
        <f t="shared" si="831"/>
        <v>0</v>
      </c>
      <c r="BO138" s="543">
        <f t="shared" si="832"/>
        <v>0</v>
      </c>
      <c r="BP138" s="111"/>
      <c r="BQ138" s="108">
        <f t="shared" si="833"/>
        <v>19.350000000000001</v>
      </c>
      <c r="BR138" s="108">
        <f t="shared" si="834"/>
        <v>6.4628999999999985</v>
      </c>
      <c r="BS138" s="108">
        <f t="shared" si="835"/>
        <v>0</v>
      </c>
      <c r="BT138" s="112"/>
      <c r="BU138" s="112" t="s">
        <v>1410</v>
      </c>
      <c r="BV138" s="538">
        <f t="shared" si="836"/>
        <v>6.3799007999999988</v>
      </c>
      <c r="BW138" s="538">
        <f t="shared" si="837"/>
        <v>3.6623999999999994</v>
      </c>
      <c r="BX138" s="538">
        <f t="shared" si="838"/>
        <v>1.3923999999999999</v>
      </c>
      <c r="BY138" s="538">
        <f t="shared" si="839"/>
        <v>1.742</v>
      </c>
      <c r="BZ138" s="538">
        <f t="shared" si="840"/>
        <v>1.742</v>
      </c>
      <c r="CA138" s="538">
        <f t="shared" si="841"/>
        <v>0</v>
      </c>
      <c r="CB138" s="538">
        <f t="shared" si="842"/>
        <v>0</v>
      </c>
      <c r="CC138" s="538">
        <f t="shared" si="843"/>
        <v>5.4935999999999989</v>
      </c>
      <c r="CD138" s="538">
        <f t="shared" si="844"/>
        <v>0.88630079999999989</v>
      </c>
      <c r="CE138" s="538">
        <f t="shared" si="845"/>
        <v>0</v>
      </c>
      <c r="CF138" s="538">
        <f t="shared" si="846"/>
        <v>0</v>
      </c>
      <c r="CG138" s="538">
        <f t="shared" si="847"/>
        <v>0</v>
      </c>
      <c r="CH138" s="538">
        <f t="shared" si="848"/>
        <v>0</v>
      </c>
      <c r="CI138" s="104">
        <f t="shared" si="849"/>
        <v>0.252</v>
      </c>
      <c r="CJ138" s="538">
        <f t="shared" si="850"/>
        <v>3.7023399999999995</v>
      </c>
      <c r="CK138" s="538">
        <f t="shared" si="444"/>
        <v>3.7023399999999995</v>
      </c>
      <c r="CL138" s="538">
        <f t="shared" si="851"/>
        <v>0</v>
      </c>
      <c r="CM138" s="538">
        <f t="shared" si="852"/>
        <v>0</v>
      </c>
      <c r="CN138" s="538">
        <f t="shared" si="853"/>
        <v>1.68</v>
      </c>
      <c r="CO138" s="538">
        <f t="shared" si="854"/>
        <v>1.742</v>
      </c>
      <c r="CP138" s="538">
        <f t="shared" si="855"/>
        <v>5.04</v>
      </c>
      <c r="CQ138" s="538">
        <f t="shared" si="856"/>
        <v>0.81311999999999995</v>
      </c>
      <c r="CR138" s="539">
        <f t="shared" si="857"/>
        <v>0.68310000000000004</v>
      </c>
      <c r="CS138" s="540">
        <f t="shared" si="858"/>
        <v>3.55368E-2</v>
      </c>
      <c r="CT138" s="540">
        <f t="shared" si="859"/>
        <v>0.15421000000000001</v>
      </c>
      <c r="CU138" s="541">
        <f t="shared" si="860"/>
        <v>4.5292000000000003</v>
      </c>
      <c r="CV138" s="538">
        <f t="shared" si="861"/>
        <v>0.74740800000000007</v>
      </c>
      <c r="CW138" s="538">
        <f t="shared" si="862"/>
        <v>11.88364</v>
      </c>
      <c r="CX138" s="104">
        <f t="shared" si="863"/>
        <v>1.68</v>
      </c>
      <c r="CY138" s="542">
        <f t="shared" si="864"/>
        <v>0.84</v>
      </c>
      <c r="CZ138" s="538">
        <f t="shared" si="865"/>
        <v>0</v>
      </c>
    </row>
    <row r="139" spans="1:104" ht="25" x14ac:dyDescent="0.25">
      <c r="A139" s="100" t="str">
        <f>'BOCA DE LOBO'!C129</f>
        <v>BL31-&gt;PV6.2</v>
      </c>
      <c r="B139" s="100" t="str">
        <f>'BOCA DE LOBO'!A129</f>
        <v>PV6.2</v>
      </c>
      <c r="C139" s="100" t="str">
        <f>VLOOKUP(A139,'BOCA DE LOBO'!C:F,3,0)</f>
        <v>PROJETADO</v>
      </c>
      <c r="D139" s="100" t="str">
        <f>VLOOKUP(A139,'BOCA DE LOBO'!C:M,10,0)</f>
        <v>EXISTENTE</v>
      </c>
      <c r="E139" s="100">
        <f t="shared" si="782"/>
        <v>2.5</v>
      </c>
      <c r="F139" s="100">
        <f>VLOOKUP(A139,'BOCA DE LOBO'!$C$97:$P$172,2,0)</f>
        <v>2.8</v>
      </c>
      <c r="G139" s="100">
        <f>VLOOKUP(A139,'BOCA DE LOBO'!$C$97:$L$172,4,0)</f>
        <v>4.5999999999999996</v>
      </c>
      <c r="H139" s="101">
        <v>400</v>
      </c>
      <c r="I139" s="102">
        <f t="shared" si="783"/>
        <v>2.78</v>
      </c>
      <c r="J139" s="102">
        <f t="shared" si="784"/>
        <v>0.63939999999999997</v>
      </c>
      <c r="K139" s="103">
        <v>0</v>
      </c>
      <c r="L139" s="104">
        <f t="shared" si="785"/>
        <v>0</v>
      </c>
      <c r="M139" s="104">
        <f t="shared" si="786"/>
        <v>0</v>
      </c>
      <c r="N139" s="104">
        <f t="shared" si="787"/>
        <v>400</v>
      </c>
      <c r="O139" s="104">
        <f t="shared" si="788"/>
        <v>0</v>
      </c>
      <c r="P139" s="105" t="str">
        <f>VLOOKUP(B139,'Planilha Hidráulica'!$AE$49:$AQ$94,13,0)</f>
        <v>ASFALTO</v>
      </c>
      <c r="Q139" s="452" t="s">
        <v>2058</v>
      </c>
      <c r="R139" s="105"/>
      <c r="S139" s="105">
        <f>VLOOKUP(Q139,Quantitativos!$P$43:$R$88,3,0)</f>
        <v>2.5</v>
      </c>
      <c r="T139" s="105">
        <f>VLOOKUP(Q139,Quantitativos!$P$43:$S$88,4,0)</f>
        <v>1.6</v>
      </c>
      <c r="U139" s="104">
        <f t="shared" si="789"/>
        <v>0.05</v>
      </c>
      <c r="V139" s="106">
        <f t="shared" si="790"/>
        <v>0</v>
      </c>
      <c r="W139" s="106">
        <f t="shared" si="791"/>
        <v>0</v>
      </c>
      <c r="X139" s="107">
        <f t="shared" si="792"/>
        <v>0</v>
      </c>
      <c r="Y139" s="107">
        <f t="shared" si="793"/>
        <v>0</v>
      </c>
      <c r="Z139" s="107">
        <f t="shared" si="794"/>
        <v>2.5</v>
      </c>
      <c r="AA139" s="107">
        <f t="shared" si="795"/>
        <v>0.2799999999999998</v>
      </c>
      <c r="AB139" s="108">
        <f t="shared" si="796"/>
        <v>0</v>
      </c>
      <c r="AC139" s="109">
        <f t="shared" si="797"/>
        <v>0</v>
      </c>
      <c r="AD139" s="109">
        <f t="shared" si="798"/>
        <v>0</v>
      </c>
      <c r="AE139" s="109">
        <f t="shared" si="799"/>
        <v>0</v>
      </c>
      <c r="AF139" s="109">
        <f t="shared" si="800"/>
        <v>0</v>
      </c>
      <c r="AG139" s="109">
        <f t="shared" si="801"/>
        <v>0</v>
      </c>
      <c r="AH139" s="109">
        <f t="shared" si="802"/>
        <v>0</v>
      </c>
      <c r="AI139" s="537" t="str">
        <f t="shared" si="803"/>
        <v>SIM</v>
      </c>
      <c r="AJ139" s="104">
        <f t="shared" si="804"/>
        <v>0</v>
      </c>
      <c r="AK139" s="104">
        <f t="shared" si="805"/>
        <v>7.2373333333333303E-2</v>
      </c>
      <c r="AL139" s="104">
        <f t="shared" si="806"/>
        <v>0</v>
      </c>
      <c r="AM139" s="102">
        <f t="shared" si="807"/>
        <v>0</v>
      </c>
      <c r="AN139" s="106">
        <f t="shared" si="808"/>
        <v>0</v>
      </c>
      <c r="AO139" s="104">
        <f t="shared" si="809"/>
        <v>0</v>
      </c>
      <c r="AP139" s="104">
        <f t="shared" si="810"/>
        <v>0</v>
      </c>
      <c r="AQ139" s="104">
        <f t="shared" si="811"/>
        <v>0.7</v>
      </c>
      <c r="AR139" s="104">
        <f t="shared" si="812"/>
        <v>0</v>
      </c>
      <c r="AS139" s="104">
        <f t="shared" si="813"/>
        <v>0</v>
      </c>
      <c r="AT139" s="104">
        <f t="shared" si="814"/>
        <v>0</v>
      </c>
      <c r="AU139" s="104">
        <f t="shared" si="815"/>
        <v>0</v>
      </c>
      <c r="AV139" s="104">
        <f t="shared" si="816"/>
        <v>0</v>
      </c>
      <c r="AW139" s="104">
        <f t="shared" si="817"/>
        <v>0</v>
      </c>
      <c r="AX139" s="104">
        <f t="shared" si="818"/>
        <v>0</v>
      </c>
      <c r="AY139" s="104">
        <f t="shared" si="819"/>
        <v>0</v>
      </c>
      <c r="AZ139" s="104">
        <f t="shared" si="820"/>
        <v>0</v>
      </c>
      <c r="BA139" s="104">
        <f t="shared" si="413"/>
        <v>0</v>
      </c>
      <c r="BB139" s="104">
        <f t="shared" si="821"/>
        <v>0</v>
      </c>
      <c r="BC139" s="104"/>
      <c r="BD139" s="104">
        <f t="shared" si="822"/>
        <v>0</v>
      </c>
      <c r="BE139" s="108">
        <f t="shared" si="823"/>
        <v>2.78</v>
      </c>
      <c r="BF139" s="110">
        <f t="shared" si="824"/>
        <v>0</v>
      </c>
      <c r="BG139" s="110">
        <f t="shared" si="825"/>
        <v>4.5999999999999996</v>
      </c>
      <c r="BH139" s="105" t="str">
        <f>VLOOKUP(A139,'BOCA DE LOBO'!$C$99:$P$172,7,0)</f>
        <v>BOCA DE LOBO EXISTENTE DUPLA</v>
      </c>
      <c r="BI139" s="104">
        <f t="shared" si="826"/>
        <v>0</v>
      </c>
      <c r="BJ139" s="104">
        <f t="shared" si="827"/>
        <v>0</v>
      </c>
      <c r="BK139" s="104">
        <f t="shared" si="828"/>
        <v>0</v>
      </c>
      <c r="BL139" s="104">
        <f t="shared" si="829"/>
        <v>0</v>
      </c>
      <c r="BM139" s="104">
        <f t="shared" si="830"/>
        <v>0</v>
      </c>
      <c r="BN139" s="104">
        <f t="shared" si="831"/>
        <v>0</v>
      </c>
      <c r="BO139" s="543">
        <f t="shared" si="832"/>
        <v>0</v>
      </c>
      <c r="BP139" s="111"/>
      <c r="BQ139" s="108">
        <f t="shared" si="833"/>
        <v>13.799999999999999</v>
      </c>
      <c r="BR139" s="108">
        <f t="shared" si="834"/>
        <v>11.775999999999998</v>
      </c>
      <c r="BS139" s="108">
        <f t="shared" si="835"/>
        <v>0</v>
      </c>
      <c r="BT139" s="112"/>
      <c r="BU139" s="112" t="s">
        <v>1410</v>
      </c>
      <c r="BV139" s="538">
        <f t="shared" si="836"/>
        <v>0</v>
      </c>
      <c r="BW139" s="538">
        <f t="shared" si="837"/>
        <v>0</v>
      </c>
      <c r="BX139" s="538">
        <f t="shared" si="838"/>
        <v>0</v>
      </c>
      <c r="BY139" s="538">
        <f t="shared" si="839"/>
        <v>2.5</v>
      </c>
      <c r="BZ139" s="538">
        <f t="shared" si="840"/>
        <v>2.5</v>
      </c>
      <c r="CA139" s="538">
        <f t="shared" si="841"/>
        <v>0</v>
      </c>
      <c r="CB139" s="538">
        <f t="shared" si="842"/>
        <v>0</v>
      </c>
      <c r="CC139" s="538">
        <f t="shared" si="843"/>
        <v>0</v>
      </c>
      <c r="CD139" s="538">
        <f t="shared" si="844"/>
        <v>0</v>
      </c>
      <c r="CE139" s="538">
        <f t="shared" si="845"/>
        <v>0</v>
      </c>
      <c r="CF139" s="538">
        <f t="shared" si="846"/>
        <v>0</v>
      </c>
      <c r="CG139" s="538">
        <f t="shared" si="847"/>
        <v>0</v>
      </c>
      <c r="CH139" s="538">
        <f t="shared" si="848"/>
        <v>0</v>
      </c>
      <c r="CI139" s="104">
        <f t="shared" si="849"/>
        <v>0</v>
      </c>
      <c r="CJ139" s="538">
        <f t="shared" si="850"/>
        <v>0</v>
      </c>
      <c r="CK139" s="538">
        <f t="shared" si="444"/>
        <v>0</v>
      </c>
      <c r="CL139" s="538">
        <f t="shared" si="851"/>
        <v>0</v>
      </c>
      <c r="CM139" s="538">
        <f t="shared" si="852"/>
        <v>0</v>
      </c>
      <c r="CN139" s="538">
        <f t="shared" si="853"/>
        <v>0</v>
      </c>
      <c r="CO139" s="538">
        <f t="shared" si="854"/>
        <v>2.5</v>
      </c>
      <c r="CP139" s="538">
        <f t="shared" si="855"/>
        <v>0</v>
      </c>
      <c r="CQ139" s="538">
        <f t="shared" si="856"/>
        <v>0</v>
      </c>
      <c r="CR139" s="539">
        <f t="shared" si="857"/>
        <v>0</v>
      </c>
      <c r="CS139" s="540">
        <f t="shared" si="858"/>
        <v>0</v>
      </c>
      <c r="CT139" s="540">
        <f t="shared" si="859"/>
        <v>0</v>
      </c>
      <c r="CU139" s="541">
        <f t="shared" si="860"/>
        <v>0</v>
      </c>
      <c r="CV139" s="538">
        <f t="shared" si="861"/>
        <v>0</v>
      </c>
      <c r="CW139" s="538">
        <f t="shared" si="862"/>
        <v>0</v>
      </c>
      <c r="CX139" s="104">
        <f t="shared" si="863"/>
        <v>0</v>
      </c>
      <c r="CY139" s="542">
        <f t="shared" si="864"/>
        <v>0</v>
      </c>
      <c r="CZ139" s="538">
        <f t="shared" si="865"/>
        <v>0</v>
      </c>
    </row>
    <row r="140" spans="1:104" ht="25" x14ac:dyDescent="0.25">
      <c r="A140" s="100" t="str">
        <f>'BOCA DE LOBO'!C130</f>
        <v>BL32-&gt;PV6.2</v>
      </c>
      <c r="B140" s="100" t="str">
        <f>'BOCA DE LOBO'!A130</f>
        <v>PV6.2</v>
      </c>
      <c r="C140" s="100" t="str">
        <f>VLOOKUP(A140,'BOCA DE LOBO'!C:F,3,0)</f>
        <v>PROJETADO</v>
      </c>
      <c r="D140" s="100" t="str">
        <f>VLOOKUP(A140,'BOCA DE LOBO'!C:M,10,0)</f>
        <v>PROJETADA</v>
      </c>
      <c r="E140" s="100">
        <f t="shared" si="782"/>
        <v>2.4407999999999999</v>
      </c>
      <c r="F140" s="100">
        <f>VLOOKUP(A140,'BOCA DE LOBO'!$C$97:$P$172,2,0)</f>
        <v>2.8</v>
      </c>
      <c r="G140" s="100">
        <f>VLOOKUP(A140,'BOCA DE LOBO'!$C$97:$L$172,4,0)</f>
        <v>8.98</v>
      </c>
      <c r="H140" s="101">
        <v>400</v>
      </c>
      <c r="I140" s="102">
        <f t="shared" si="783"/>
        <v>2.7504</v>
      </c>
      <c r="J140" s="102">
        <f t="shared" si="784"/>
        <v>1.2349296000000001</v>
      </c>
      <c r="K140" s="103">
        <v>0</v>
      </c>
      <c r="L140" s="104">
        <f t="shared" si="785"/>
        <v>1</v>
      </c>
      <c r="M140" s="104">
        <f t="shared" si="786"/>
        <v>1</v>
      </c>
      <c r="N140" s="104">
        <f t="shared" si="787"/>
        <v>0</v>
      </c>
      <c r="O140" s="104">
        <f t="shared" si="788"/>
        <v>8.98</v>
      </c>
      <c r="P140" s="105" t="str">
        <f>VLOOKUP(B140,'Planilha Hidráulica'!$AE$49:$AQ$94,13,0)</f>
        <v>ASFALTO</v>
      </c>
      <c r="Q140" s="452" t="s">
        <v>2058</v>
      </c>
      <c r="R140" s="105"/>
      <c r="S140" s="105">
        <f>VLOOKUP(Q140,Quantitativos!$P$43:$R$88,3,0)</f>
        <v>2.5</v>
      </c>
      <c r="T140" s="105">
        <f>VLOOKUP(Q140,Quantitativos!$P$43:$S$88,4,0)</f>
        <v>1.6</v>
      </c>
      <c r="U140" s="104">
        <f t="shared" si="789"/>
        <v>0.05</v>
      </c>
      <c r="V140" s="106">
        <f t="shared" si="790"/>
        <v>0</v>
      </c>
      <c r="W140" s="106">
        <f t="shared" si="791"/>
        <v>24.698592000000001</v>
      </c>
      <c r="X140" s="107">
        <f t="shared" si="792"/>
        <v>0</v>
      </c>
      <c r="Y140" s="107">
        <f t="shared" si="793"/>
        <v>0</v>
      </c>
      <c r="Z140" s="107">
        <f t="shared" si="794"/>
        <v>2.5</v>
      </c>
      <c r="AA140" s="107">
        <f t="shared" si="795"/>
        <v>0.25039999999999996</v>
      </c>
      <c r="AB140" s="108">
        <f t="shared" si="796"/>
        <v>8.98</v>
      </c>
      <c r="AC140" s="109">
        <f t="shared" si="797"/>
        <v>0</v>
      </c>
      <c r="AD140" s="109">
        <f t="shared" si="798"/>
        <v>0</v>
      </c>
      <c r="AE140" s="109">
        <f t="shared" si="799"/>
        <v>0</v>
      </c>
      <c r="AF140" s="109">
        <f t="shared" si="800"/>
        <v>13.47</v>
      </c>
      <c r="AG140" s="109">
        <f t="shared" si="801"/>
        <v>8.98</v>
      </c>
      <c r="AH140" s="109">
        <f t="shared" si="802"/>
        <v>0</v>
      </c>
      <c r="AI140" s="537" t="str">
        <f t="shared" si="803"/>
        <v>SIM</v>
      </c>
      <c r="AJ140" s="104">
        <f t="shared" si="804"/>
        <v>2.2485919999999986</v>
      </c>
      <c r="AK140" s="104">
        <f t="shared" si="805"/>
        <v>0.13774122666666666</v>
      </c>
      <c r="AL140" s="104">
        <f t="shared" si="806"/>
        <v>23.570131918830548</v>
      </c>
      <c r="AM140" s="102">
        <f t="shared" si="807"/>
        <v>0.44900000000000007</v>
      </c>
      <c r="AN140" s="106">
        <f t="shared" si="808"/>
        <v>0</v>
      </c>
      <c r="AO140" s="104">
        <f t="shared" si="809"/>
        <v>0</v>
      </c>
      <c r="AP140" s="104">
        <f t="shared" si="810"/>
        <v>0</v>
      </c>
      <c r="AQ140" s="104">
        <f t="shared" si="811"/>
        <v>0.7</v>
      </c>
      <c r="AR140" s="104">
        <f t="shared" si="812"/>
        <v>5.1575399188305457</v>
      </c>
      <c r="AS140" s="104">
        <f t="shared" si="813"/>
        <v>0</v>
      </c>
      <c r="AT140" s="104">
        <f t="shared" si="814"/>
        <v>1.347</v>
      </c>
      <c r="AU140" s="104">
        <f t="shared" si="815"/>
        <v>1.347</v>
      </c>
      <c r="AV140" s="104">
        <f t="shared" si="816"/>
        <v>0.26940000000000003</v>
      </c>
      <c r="AW140" s="104">
        <f t="shared" si="817"/>
        <v>15.269591999999998</v>
      </c>
      <c r="AX140" s="104">
        <f t="shared" si="818"/>
        <v>15.945460081169456</v>
      </c>
      <c r="AY140" s="104">
        <f t="shared" si="819"/>
        <v>15.269591999999998</v>
      </c>
      <c r="AZ140" s="104">
        <f t="shared" si="820"/>
        <v>0</v>
      </c>
      <c r="BA140" s="104">
        <f t="shared" si="413"/>
        <v>0</v>
      </c>
      <c r="BB140" s="104">
        <f t="shared" si="821"/>
        <v>0</v>
      </c>
      <c r="BC140" s="104"/>
      <c r="BD140" s="104">
        <f t="shared" si="822"/>
        <v>0</v>
      </c>
      <c r="BE140" s="108">
        <f t="shared" si="823"/>
        <v>2.7504</v>
      </c>
      <c r="BF140" s="110">
        <f t="shared" si="824"/>
        <v>0</v>
      </c>
      <c r="BG140" s="110">
        <f t="shared" si="825"/>
        <v>8.98</v>
      </c>
      <c r="BH140" s="105" t="str">
        <f>VLOOKUP(A140,'BOCA DE LOBO'!$C$99:$P$172,7,0)</f>
        <v>BOCA DE LOBO PROJETADA TRIPLA</v>
      </c>
      <c r="BI140" s="104">
        <f t="shared" si="826"/>
        <v>0</v>
      </c>
      <c r="BJ140" s="104">
        <f t="shared" si="827"/>
        <v>0</v>
      </c>
      <c r="BK140" s="104">
        <f t="shared" si="828"/>
        <v>0</v>
      </c>
      <c r="BL140" s="104">
        <f t="shared" si="829"/>
        <v>0</v>
      </c>
      <c r="BM140" s="104">
        <f t="shared" si="830"/>
        <v>0</v>
      </c>
      <c r="BN140" s="104">
        <f t="shared" si="831"/>
        <v>0</v>
      </c>
      <c r="BO140" s="543">
        <f t="shared" si="832"/>
        <v>1</v>
      </c>
      <c r="BP140" s="111"/>
      <c r="BQ140" s="108">
        <f t="shared" si="833"/>
        <v>26.94</v>
      </c>
      <c r="BR140" s="108">
        <f t="shared" si="834"/>
        <v>22.457184000000002</v>
      </c>
      <c r="BS140" s="108">
        <f t="shared" si="835"/>
        <v>0</v>
      </c>
      <c r="BT140" s="112"/>
      <c r="BU140" s="112" t="s">
        <v>1410</v>
      </c>
      <c r="BV140" s="538">
        <f t="shared" si="836"/>
        <v>25.327693439999994</v>
      </c>
      <c r="BW140" s="538">
        <f t="shared" si="837"/>
        <v>10.376799999999998</v>
      </c>
      <c r="BX140" s="538">
        <f t="shared" si="838"/>
        <v>4.4367999999999999</v>
      </c>
      <c r="BY140" s="538">
        <f t="shared" si="839"/>
        <v>2.4407999999999999</v>
      </c>
      <c r="BZ140" s="538">
        <f t="shared" si="840"/>
        <v>2.4407999999999999</v>
      </c>
      <c r="CA140" s="538">
        <f t="shared" si="841"/>
        <v>0</v>
      </c>
      <c r="CB140" s="538">
        <f t="shared" si="842"/>
        <v>0</v>
      </c>
      <c r="CC140" s="538">
        <f t="shared" si="843"/>
        <v>15.565199999999997</v>
      </c>
      <c r="CD140" s="538">
        <f t="shared" si="844"/>
        <v>9.7624934399999965</v>
      </c>
      <c r="CE140" s="538">
        <f t="shared" si="845"/>
        <v>0</v>
      </c>
      <c r="CF140" s="538">
        <f t="shared" si="846"/>
        <v>0</v>
      </c>
      <c r="CG140" s="538">
        <f t="shared" si="847"/>
        <v>0</v>
      </c>
      <c r="CH140" s="538">
        <f t="shared" si="848"/>
        <v>0</v>
      </c>
      <c r="CI140" s="104">
        <f t="shared" si="849"/>
        <v>0.71399999999999997</v>
      </c>
      <c r="CJ140" s="538">
        <f t="shared" si="850"/>
        <v>13.784351999999993</v>
      </c>
      <c r="CK140" s="538">
        <f t="shared" si="444"/>
        <v>13.784351999999993</v>
      </c>
      <c r="CL140" s="538">
        <f t="shared" si="851"/>
        <v>0</v>
      </c>
      <c r="CM140" s="538">
        <f t="shared" si="852"/>
        <v>0</v>
      </c>
      <c r="CN140" s="538">
        <f t="shared" si="853"/>
        <v>4.76</v>
      </c>
      <c r="CO140" s="538">
        <f t="shared" si="854"/>
        <v>2.4407999999999999</v>
      </c>
      <c r="CP140" s="538">
        <f t="shared" si="855"/>
        <v>14.28</v>
      </c>
      <c r="CQ140" s="538">
        <f t="shared" si="856"/>
        <v>8.956415999999999</v>
      </c>
      <c r="CR140" s="539">
        <f t="shared" si="857"/>
        <v>0</v>
      </c>
      <c r="CS140" s="540">
        <f t="shared" si="858"/>
        <v>0</v>
      </c>
      <c r="CT140" s="540">
        <f t="shared" si="859"/>
        <v>0.45984000000000003</v>
      </c>
      <c r="CU140" s="541">
        <f t="shared" si="860"/>
        <v>17.57376</v>
      </c>
      <c r="CV140" s="538">
        <f t="shared" si="861"/>
        <v>1.9149660000000002</v>
      </c>
      <c r="CW140" s="538">
        <f t="shared" si="862"/>
        <v>29.053479999999997</v>
      </c>
      <c r="CX140" s="104">
        <f t="shared" si="863"/>
        <v>4.76</v>
      </c>
      <c r="CY140" s="542">
        <f t="shared" si="864"/>
        <v>2.38</v>
      </c>
      <c r="CZ140" s="538">
        <f t="shared" si="865"/>
        <v>0</v>
      </c>
    </row>
    <row r="141" spans="1:104" ht="25" x14ac:dyDescent="0.25">
      <c r="A141" s="100" t="str">
        <f>'BOCA DE LOBO'!C131</f>
        <v>BL33-&gt;PV1.3</v>
      </c>
      <c r="B141" s="100" t="str">
        <f>'BOCA DE LOBO'!A131</f>
        <v>PV1.3</v>
      </c>
      <c r="C141" s="100" t="str">
        <f>VLOOKUP(A141,'BOCA DE LOBO'!C:F,3,0)</f>
        <v>PROJETADO</v>
      </c>
      <c r="D141" s="100" t="str">
        <f>VLOOKUP(A141,'BOCA DE LOBO'!C:M,10,0)</f>
        <v>PROJETADA</v>
      </c>
      <c r="E141" s="100">
        <f t="shared" si="460"/>
        <v>1.4544000000000001</v>
      </c>
      <c r="F141" s="100">
        <f>VLOOKUP(A141,'BOCA DE LOBO'!$C$97:$P$172,2,0)</f>
        <v>1.6</v>
      </c>
      <c r="G141" s="100">
        <f>VLOOKUP(A141,'BOCA DE LOBO'!$C$97:$L$172,4,0)</f>
        <v>3.64</v>
      </c>
      <c r="H141" s="101">
        <v>400</v>
      </c>
      <c r="I141" s="102">
        <f t="shared" si="461"/>
        <v>1.6572000000000002</v>
      </c>
      <c r="J141" s="102">
        <f t="shared" si="462"/>
        <v>0.30161040000000006</v>
      </c>
      <c r="K141" s="103">
        <v>0</v>
      </c>
      <c r="L141" s="104">
        <f t="shared" si="463"/>
        <v>1</v>
      </c>
      <c r="M141" s="104">
        <f t="shared" si="464"/>
        <v>1</v>
      </c>
      <c r="N141" s="104">
        <f t="shared" si="465"/>
        <v>0</v>
      </c>
      <c r="O141" s="104">
        <f t="shared" si="466"/>
        <v>3.64</v>
      </c>
      <c r="P141" s="105" t="str">
        <f>VLOOKUP(B141,'Planilha Hidráulica'!$AE$49:$AQ$94,13,0)</f>
        <v>ASFALTO</v>
      </c>
      <c r="Q141" s="452" t="s">
        <v>2058</v>
      </c>
      <c r="R141" s="105"/>
      <c r="S141" s="105">
        <f>VLOOKUP(Q141,Quantitativos!$P$43:$R$88,3,0)</f>
        <v>2.5</v>
      </c>
      <c r="T141" s="105">
        <f>VLOOKUP(Q141,Quantitativos!$P$43:$S$88,4,0)</f>
        <v>1.6</v>
      </c>
      <c r="U141" s="104">
        <f t="shared" si="467"/>
        <v>0.05</v>
      </c>
      <c r="V141" s="106">
        <f t="shared" si="468"/>
        <v>0</v>
      </c>
      <c r="W141" s="106">
        <f t="shared" si="469"/>
        <v>6.0322080000000007</v>
      </c>
      <c r="X141" s="107">
        <f t="shared" si="470"/>
        <v>0</v>
      </c>
      <c r="Y141" s="107">
        <f t="shared" si="471"/>
        <v>0</v>
      </c>
      <c r="Z141" s="107">
        <f t="shared" si="472"/>
        <v>1.6572000000000002</v>
      </c>
      <c r="AA141" s="107">
        <f t="shared" si="473"/>
        <v>0</v>
      </c>
      <c r="AB141" s="108">
        <f t="shared" si="474"/>
        <v>3.64</v>
      </c>
      <c r="AC141" s="109">
        <f t="shared" si="475"/>
        <v>0</v>
      </c>
      <c r="AD141" s="109">
        <f t="shared" si="476"/>
        <v>0</v>
      </c>
      <c r="AE141" s="109">
        <f t="shared" si="477"/>
        <v>0</v>
      </c>
      <c r="AF141" s="109">
        <f t="shared" si="478"/>
        <v>5.46</v>
      </c>
      <c r="AG141" s="109">
        <f t="shared" si="479"/>
        <v>0.57220800000000083</v>
      </c>
      <c r="AH141" s="109">
        <f t="shared" si="480"/>
        <v>0</v>
      </c>
      <c r="AI141" s="537" t="str">
        <f t="shared" si="481"/>
        <v>NÃO</v>
      </c>
      <c r="AJ141" s="104">
        <f t="shared" si="482"/>
        <v>0</v>
      </c>
      <c r="AK141" s="104">
        <f t="shared" si="483"/>
        <v>2.7761066666666732E-3</v>
      </c>
      <c r="AL141" s="104">
        <f t="shared" si="484"/>
        <v>5.5747921096373272</v>
      </c>
      <c r="AM141" s="102">
        <f t="shared" si="485"/>
        <v>0.18200000000000002</v>
      </c>
      <c r="AN141" s="106">
        <f t="shared" si="486"/>
        <v>0</v>
      </c>
      <c r="AO141" s="104">
        <f t="shared" si="487"/>
        <v>0</v>
      </c>
      <c r="AP141" s="104">
        <f t="shared" si="488"/>
        <v>0</v>
      </c>
      <c r="AQ141" s="104">
        <f t="shared" si="489"/>
        <v>0.7</v>
      </c>
      <c r="AR141" s="104">
        <f t="shared" si="490"/>
        <v>2.0905841096373261</v>
      </c>
      <c r="AS141" s="104">
        <f t="shared" si="491"/>
        <v>0</v>
      </c>
      <c r="AT141" s="104">
        <f t="shared" si="492"/>
        <v>0.54600000000000004</v>
      </c>
      <c r="AU141" s="104">
        <f t="shared" si="493"/>
        <v>0.54600000000000004</v>
      </c>
      <c r="AV141" s="104">
        <f t="shared" si="494"/>
        <v>0.10920000000000001</v>
      </c>
      <c r="AW141" s="104">
        <f t="shared" si="495"/>
        <v>2.2102080000000002</v>
      </c>
      <c r="AX141" s="104">
        <f t="shared" si="496"/>
        <v>3.3956238903626743</v>
      </c>
      <c r="AY141" s="104">
        <f t="shared" si="497"/>
        <v>2.2102080000000002</v>
      </c>
      <c r="AZ141" s="104">
        <f t="shared" si="498"/>
        <v>0</v>
      </c>
      <c r="BA141" s="104">
        <f t="shared" si="413"/>
        <v>0</v>
      </c>
      <c r="BB141" s="104">
        <f t="shared" si="499"/>
        <v>0</v>
      </c>
      <c r="BC141" s="104"/>
      <c r="BD141" s="104">
        <f t="shared" si="500"/>
        <v>0</v>
      </c>
      <c r="BE141" s="108">
        <f t="shared" si="501"/>
        <v>1.6572000000000002</v>
      </c>
      <c r="BF141" s="110">
        <f t="shared" si="502"/>
        <v>3.64</v>
      </c>
      <c r="BG141" s="110">
        <f t="shared" si="503"/>
        <v>0</v>
      </c>
      <c r="BH141" s="105" t="str">
        <f>VLOOKUP(A141,'BOCA DE LOBO'!$C$99:$P$172,7,0)</f>
        <v>BOCA DE LOBO PROJETADA TRIPLA</v>
      </c>
      <c r="BI141" s="104">
        <f t="shared" si="504"/>
        <v>0</v>
      </c>
      <c r="BJ141" s="104">
        <f t="shared" si="505"/>
        <v>0</v>
      </c>
      <c r="BK141" s="104">
        <f t="shared" si="506"/>
        <v>0</v>
      </c>
      <c r="BL141" s="104">
        <f t="shared" si="507"/>
        <v>0</v>
      </c>
      <c r="BM141" s="104">
        <f t="shared" si="508"/>
        <v>0</v>
      </c>
      <c r="BN141" s="104">
        <f t="shared" si="509"/>
        <v>0</v>
      </c>
      <c r="BO141" s="543">
        <f t="shared" si="510"/>
        <v>1</v>
      </c>
      <c r="BP141" s="111"/>
      <c r="BQ141" s="108">
        <f t="shared" si="511"/>
        <v>10.92</v>
      </c>
      <c r="BR141" s="108">
        <f t="shared" si="512"/>
        <v>1.1444160000000017</v>
      </c>
      <c r="BS141" s="108">
        <f t="shared" si="513"/>
        <v>0</v>
      </c>
      <c r="BT141" s="112"/>
      <c r="BU141" s="112" t="s">
        <v>1410</v>
      </c>
      <c r="BV141" s="538">
        <f t="shared" si="429"/>
        <v>15.092017919999998</v>
      </c>
      <c r="BW141" s="538">
        <f t="shared" si="430"/>
        <v>10.376799999999998</v>
      </c>
      <c r="BX141" s="538">
        <f t="shared" si="431"/>
        <v>4.4367999999999999</v>
      </c>
      <c r="BY141" s="538">
        <f t="shared" si="514"/>
        <v>1.4544000000000001</v>
      </c>
      <c r="BZ141" s="538">
        <f t="shared" si="515"/>
        <v>1.4544000000000001</v>
      </c>
      <c r="CA141" s="538">
        <f t="shared" si="516"/>
        <v>0</v>
      </c>
      <c r="CB141" s="538">
        <f t="shared" si="517"/>
        <v>0</v>
      </c>
      <c r="CC141" s="538">
        <f t="shared" si="518"/>
        <v>15.092017919999998</v>
      </c>
      <c r="CD141" s="538">
        <f t="shared" si="519"/>
        <v>0</v>
      </c>
      <c r="CE141" s="538">
        <f t="shared" si="520"/>
        <v>0</v>
      </c>
      <c r="CF141" s="538">
        <f t="shared" si="521"/>
        <v>0</v>
      </c>
      <c r="CG141" s="538">
        <f t="shared" si="522"/>
        <v>0</v>
      </c>
      <c r="CH141" s="538">
        <f t="shared" si="523"/>
        <v>0</v>
      </c>
      <c r="CI141" s="104">
        <f t="shared" si="442"/>
        <v>0.71399999999999997</v>
      </c>
      <c r="CJ141" s="538">
        <f t="shared" si="524"/>
        <v>7.9251359999999966</v>
      </c>
      <c r="CK141" s="538">
        <f t="shared" si="444"/>
        <v>7.9251359999999966</v>
      </c>
      <c r="CL141" s="538">
        <f t="shared" si="525"/>
        <v>0</v>
      </c>
      <c r="CM141" s="538">
        <f t="shared" si="526"/>
        <v>0</v>
      </c>
      <c r="CN141" s="538">
        <f t="shared" si="447"/>
        <v>4.76</v>
      </c>
      <c r="CO141" s="538">
        <f t="shared" si="527"/>
        <v>1.4544000000000001</v>
      </c>
      <c r="CP141" s="538">
        <f t="shared" si="528"/>
        <v>13.845888</v>
      </c>
      <c r="CQ141" s="538">
        <f t="shared" si="529"/>
        <v>0</v>
      </c>
      <c r="CR141" s="539">
        <f t="shared" si="451"/>
        <v>0</v>
      </c>
      <c r="CS141" s="540">
        <f t="shared" si="452"/>
        <v>0</v>
      </c>
      <c r="CT141" s="540">
        <f t="shared" si="453"/>
        <v>0.45984000000000003</v>
      </c>
      <c r="CU141" s="541">
        <f t="shared" si="454"/>
        <v>10.471680000000001</v>
      </c>
      <c r="CV141" s="538">
        <f t="shared" si="455"/>
        <v>1.537668</v>
      </c>
      <c r="CW141" s="538">
        <f t="shared" si="456"/>
        <v>19.584040000000002</v>
      </c>
      <c r="CX141" s="104">
        <f t="shared" si="457"/>
        <v>4.76</v>
      </c>
      <c r="CY141" s="542">
        <f t="shared" si="458"/>
        <v>2.38</v>
      </c>
      <c r="CZ141" s="538">
        <f t="shared" si="459"/>
        <v>0</v>
      </c>
    </row>
    <row r="142" spans="1:104" ht="14.5" x14ac:dyDescent="0.35">
      <c r="A142" s="325" t="str">
        <f>'BOCA DE LOBO'!A132</f>
        <v>RD-2</v>
      </c>
      <c r="B142" s="87"/>
      <c r="C142" s="87"/>
      <c r="D142" s="87"/>
      <c r="E142" s="88"/>
      <c r="F142" s="88"/>
      <c r="G142" s="88"/>
      <c r="H142" s="82"/>
      <c r="I142" s="82"/>
      <c r="J142" s="82"/>
      <c r="K142" s="82"/>
      <c r="L142" s="89"/>
      <c r="M142" s="90"/>
      <c r="N142" s="90"/>
      <c r="O142" s="90"/>
      <c r="P142" s="89"/>
      <c r="Q142" s="89"/>
      <c r="R142" s="89"/>
      <c r="S142" s="89"/>
      <c r="T142" s="89"/>
      <c r="U142" s="90"/>
      <c r="V142" s="91"/>
      <c r="W142" s="92"/>
      <c r="X142" s="92"/>
      <c r="Y142" s="92"/>
      <c r="Z142" s="92"/>
      <c r="AA142" s="92"/>
      <c r="AB142" s="93"/>
      <c r="AC142" s="94"/>
      <c r="AD142" s="94"/>
      <c r="AE142" s="94"/>
      <c r="AF142" s="94"/>
      <c r="AG142" s="94"/>
      <c r="AH142" s="94"/>
      <c r="AI142" s="81"/>
      <c r="AJ142" s="82"/>
      <c r="AK142" s="82"/>
      <c r="AL142" s="82"/>
      <c r="AM142" s="82"/>
      <c r="AN142" s="83"/>
      <c r="AO142" s="82"/>
      <c r="AP142" s="82"/>
      <c r="AQ142" s="82"/>
      <c r="AR142" s="82"/>
      <c r="AS142" s="82"/>
      <c r="AT142" s="82"/>
      <c r="AU142" s="82"/>
      <c r="AV142" s="82"/>
      <c r="AW142" s="82"/>
      <c r="AX142" s="82"/>
      <c r="AY142" s="82"/>
      <c r="AZ142" s="82"/>
      <c r="BA142" s="82"/>
      <c r="BB142" s="82"/>
      <c r="BC142" s="82"/>
      <c r="BD142" s="82"/>
      <c r="BE142" s="95"/>
      <c r="BF142" s="79"/>
      <c r="BG142" s="79"/>
      <c r="BH142" s="569"/>
      <c r="BI142" s="96"/>
      <c r="BJ142" s="96"/>
      <c r="BK142" s="96"/>
      <c r="BL142" s="96"/>
      <c r="BM142" s="96"/>
      <c r="BN142" s="570"/>
      <c r="BO142" s="571"/>
      <c r="BP142" s="572"/>
      <c r="BQ142" s="79"/>
      <c r="BR142" s="79"/>
      <c r="BS142" s="79"/>
      <c r="BV142" s="539"/>
      <c r="BW142" s="539"/>
      <c r="BX142" s="539"/>
      <c r="BY142" s="539"/>
      <c r="BZ142" s="539"/>
      <c r="CA142" s="539"/>
      <c r="CB142" s="539"/>
      <c r="CC142" s="539"/>
      <c r="CD142" s="539"/>
      <c r="CE142" s="539"/>
      <c r="CF142" s="539"/>
      <c r="CG142" s="539"/>
      <c r="CH142" s="539"/>
      <c r="CI142" s="539"/>
      <c r="CJ142" s="539"/>
      <c r="CK142" s="539"/>
      <c r="CL142" s="539"/>
      <c r="CM142" s="539"/>
      <c r="CN142" s="539"/>
      <c r="CO142" s="539"/>
      <c r="CP142" s="539"/>
      <c r="CQ142" s="539"/>
      <c r="CR142" s="539"/>
      <c r="CS142" s="573"/>
      <c r="CT142" s="573"/>
      <c r="CU142" s="573"/>
      <c r="CV142" s="539"/>
      <c r="CW142" s="539"/>
      <c r="CX142" s="82"/>
    </row>
    <row r="143" spans="1:104" ht="37.5" x14ac:dyDescent="0.25">
      <c r="A143" s="100" t="str">
        <f>'BOCA DE LOBO'!C133</f>
        <v>BL34-&gt;PV1.1</v>
      </c>
      <c r="B143" s="100" t="str">
        <f>'BOCA DE LOBO'!A133</f>
        <v>PV1.1</v>
      </c>
      <c r="C143" s="100" t="str">
        <f>VLOOKUP(A143,'BOCA DE LOBO'!C:F,3,0)</f>
        <v>PROJETADO</v>
      </c>
      <c r="D143" s="100" t="str">
        <f>VLOOKUP(A143,'BOCA DE LOBO'!C:M,10,0)</f>
        <v>AMPLIADA</v>
      </c>
      <c r="E143" s="100">
        <f t="shared" ref="E143:E152" si="866">IF(F143-G143*4%&lt;2.5,F143-G143*4%,2.5)</f>
        <v>2.5</v>
      </c>
      <c r="F143" s="100">
        <f>VLOOKUP(A143,'BOCA DE LOBO'!$C$97:$P$172,2,0)</f>
        <v>3.5</v>
      </c>
      <c r="G143" s="100">
        <f>VLOOKUP(A143,'BOCA DE LOBO'!$C$97:$L$172,4,0)</f>
        <v>10.92</v>
      </c>
      <c r="H143" s="101">
        <v>400</v>
      </c>
      <c r="I143" s="102">
        <f t="shared" ref="I143:I152" si="867">IF(H143=400,((E143+F143)/2)+0.08+U143,IF(H143=500,((E143+F143)/2)+0.1+U143,IF(H143=600,((E143+F143)/2)+0.12+U143,IF(H143=800,((E143+F143)/2)+0.16+U143,IF(H143=1000,((E143+F143)/2)+0.2+U143,IF(H143=1200,((E143+F143)/2)+0.24+U143,IF(H143=1500,((E143+F143)/2)+0.3+U143,IF(H143&gt;1500,((E143+F143)/2)+0.4+U143))))))))</f>
        <v>3.13</v>
      </c>
      <c r="J143" s="102">
        <f t="shared" ref="J143:J152" si="868">IF(I143&gt;=1.25,G143*I143/20,0)</f>
        <v>1.7089799999999999</v>
      </c>
      <c r="K143" s="103">
        <v>0</v>
      </c>
      <c r="L143" s="104">
        <f t="shared" ref="L143:L152" si="869">IF(D143&lt;&gt;"PROJETADA",0,IF(H143=400,1,0)+IF(H143=500,1.2,0)+IF(H143=600,1.4,0)+IF(H143=800,1.7,0)+IF(H143=1000,2,0)+IF(H143=1200,2.2,0)+IF(H143=1500,2.6,0)+IF(H143=1650,3,0)+IF(H143=1800,3.2,0)+IF(H143=2000,3.4,0)+IF(H143=2200,3.6,0)+IF(H143=2400,3.8,0)+IF(H143=2600,4,0)+IF(H143=3000,4.4,0))</f>
        <v>0</v>
      </c>
      <c r="M143" s="104">
        <f t="shared" ref="M143:M152" si="870">2*K143*I143+L143</f>
        <v>0</v>
      </c>
      <c r="N143" s="104">
        <f t="shared" ref="N143:N152" si="871">IF(OR(D143="EXISTENTE",D143="AMPLIADA"),400,0)</f>
        <v>400</v>
      </c>
      <c r="O143" s="104">
        <f t="shared" ref="O143:O152" si="872">IF(P143="TERRENO NATURAL",0,M143*G143)</f>
        <v>0</v>
      </c>
      <c r="P143" s="105" t="str">
        <f>VLOOKUP(B143,'Planilha Hidráulica'!$AE$49:$AQ$94,13,0)</f>
        <v>ASFALTO</v>
      </c>
      <c r="Q143" s="452" t="s">
        <v>2065</v>
      </c>
      <c r="R143" s="105"/>
      <c r="S143" s="105">
        <f>VLOOKUP(Q143,Quantitativos!$P$43:$R$88,3,0)</f>
        <v>5</v>
      </c>
      <c r="T143" s="105">
        <f>VLOOKUP(Q143,Quantitativos!$P$43:$S$88,4,0)</f>
        <v>5</v>
      </c>
      <c r="U143" s="104">
        <f t="shared" ref="U143:U152" si="873">IF(H143=400,0.05,0)+IF(H143=500,0.05,0)+IF(H143=600,0.1,0)+IF(H143=800,0.1,0)+IF(H143=1000,0.15,0)+IF(H143=1200,0.15,0)+IF(H143=1500,0.2,0)+IF(H143=1650,0.2,0)+IF(H143=1800,0.2,0)+IF(H143=2000,0.25,0)+IF(H143=2200,0.25,0)+IF(H143=2400,0.25,0)+IF(H143=2600,0.25,0)+IF(H143=3000,0.25,0)</f>
        <v>0.05</v>
      </c>
      <c r="V143" s="106">
        <f t="shared" ref="V143:V152" si="874">IF(L143=0,0,IF("EXISTENTE"=C143,0,IFERROR((PI()*(N143/1000)*(N143/1000)/4)*G143,0)))</f>
        <v>0</v>
      </c>
      <c r="W143" s="106">
        <f t="shared" ref="W143:W152" si="875">IF(O143=0,0,((((K143*I143)*I143)/2)*2+L143*I143)*G143-V143+AO143)</f>
        <v>0</v>
      </c>
      <c r="X143" s="107">
        <f t="shared" ref="X143:X152" si="876">W143-SUM(AC143:AJ143)</f>
        <v>0</v>
      </c>
      <c r="Y143" s="107">
        <f t="shared" ref="Y143:Y152" si="877">IF(R143=1,IF(N143=0,I143+0.4,0.4),0)</f>
        <v>0</v>
      </c>
      <c r="Z143" s="107">
        <f t="shared" ref="Z143:Z152" si="878">IF(Y143&gt;0.5,0,IF(S143&lt;I143,S143,I143))</f>
        <v>3.13</v>
      </c>
      <c r="AA143" s="107">
        <f t="shared" ref="AA143:AA152" si="879">I143-Z143</f>
        <v>0</v>
      </c>
      <c r="AB143" s="108">
        <f t="shared" ref="AB143:AB152" si="880">IF(P143="ASFALTO",IF(D143="PROJETADA",O143,IF(D143="EXISTENTE",0,O143/2)),0)</f>
        <v>0</v>
      </c>
      <c r="AC143" s="109">
        <f t="shared" ref="AC143:AC152" si="881">IF(Y143=0,0,IF(Y143=0.4,IF(L143&lt;=1.5,IF(Z143+0.4&gt;=1.5,0,L143*G143*0.4),0),IF(L143&lt;=1.5,IF(Y143&gt;=1.5,M143*G143*1.5,L143*G143*(Y143)),0)+IF(S143&lt;I143+0.4,0,IF(AND(Y143&lt;=1.5,L143&lt;=1.5),-V143,0))))</f>
        <v>0</v>
      </c>
      <c r="AD143" s="109">
        <f t="shared" ref="AD143:AD152" si="882">IF(Y143=0,0,IF(Y143=0.4,IF(L143&lt;=1.5,IF(OR(Z143+0.4&gt;=3,Z143+0.4&lt;1.5),0,L143*G143*0.4),0),IF(IF(L143&lt;=1.5,IF(Y143&gt;=3,M143*G143*1.5,L143*G143*(Y143-1.5)),0)&lt;0,0,IF(L143&lt;=1.5,IF(Y143&gt;=3,M143*G143*1.5,L143*G143*(Y143-1.5)),0))+IF(S143&lt;I143+0.4,0,IF(AND(Y143&lt;=3,L143&lt;=1.5),-V143,0))))</f>
        <v>0</v>
      </c>
      <c r="AE143" s="109">
        <f t="shared" ref="AE143:AE152" si="883">IF(Y143=0,0,IF(Y143=0.4,IF(L143&lt;=1.5,IF(OR(Z143+0.4&gt;=4.5,Z143+0.4&lt;3),0,L143*G143*0.4),0),IF(IF(L143&lt;=1.5,IF(Y143&gt;=4.5,M143*G143*1.5,L143*G143*(Y143-3)),0)&lt;0,0,IF(L143&lt;=1.5,IF(Y143&gt;=4.5,M143*G143*1.5,L143*G143*(Y143-3)),0))+IF(S143&lt;I143+0.4,0,IF(AND(Y143&lt;=4.5,L143&lt;=1.5),-V143,0))))</f>
        <v>0</v>
      </c>
      <c r="AF143" s="109">
        <f t="shared" ref="AF143:AF152" si="884">IF(L143&lt;=1.5,IF(Z143&gt;=1.5,M143*G143*1.5,L143*G143*Z143),0)+IF(S143&lt;I143,0,IF(AND(Z143&lt;=1.5,L143&lt;=1.5),-V143,0))-V143</f>
        <v>0</v>
      </c>
      <c r="AG143" s="109">
        <f t="shared" ref="AG143:AG152" si="885">IF(IF(L143&lt;=1.5,IF(Z143&gt;=3,M143*G143*1.5,L143*G143*(Z143-1.5)),0)&lt;0,0,IF(L143&lt;=1.5,IF(Z143&gt;=3,M143*G143*1.5,L143*G143*(Z143-1.5)),0))</f>
        <v>0</v>
      </c>
      <c r="AH143" s="109">
        <f t="shared" ref="AH143:AH152" si="886">IF(IF(L143&lt;=1.5,IF(Z143&gt;=4.5,M143*G143*1.5,L143*G143*(Z143-3)),0)&lt;0,0,IF(L143&lt;=1.5,IF(Z143&gt;=4.5,M143*G143*1.5,L143*G143*(Z143-3)),0))+IF(S143&lt;I143,0,IF(AND(Z143&lt;=4.5,Z143&gt;3,L143&lt;=1.5),-V143,0))</f>
        <v>0</v>
      </c>
      <c r="AI143" s="537" t="str">
        <f t="shared" ref="AI143:AI152" si="887">IF(I143&gt;S143,"SIM","NÃO")</f>
        <v>NÃO</v>
      </c>
      <c r="AJ143" s="104">
        <f t="shared" ref="AJ143:AJ152" si="888">W143-SUM(AC143:AH143)</f>
        <v>0</v>
      </c>
      <c r="AK143" s="104">
        <f t="shared" ref="AK143:AK152" si="889">IF(I143-T143&lt;0,0,(I143-T143)*G143)/75</f>
        <v>0</v>
      </c>
      <c r="AL143" s="104">
        <f t="shared" ref="AL143:AL152" si="890">IF(L143=0,0,G143*L143*I143-PI()*(H143/1000)*(H143/1000)/4*G143+AO143)</f>
        <v>0</v>
      </c>
      <c r="AM143" s="102">
        <f t="shared" ref="AM143:AM152" si="891">IF(L143&lt;1.5,L143*G143*IF(H143&lt;=500,0.05,IF(H143&lt;=800,0.1,IF(H143&lt;=1200,0.15,IF(H143&gt;=1500,0.2)))),0)</f>
        <v>0</v>
      </c>
      <c r="AN143" s="106">
        <f t="shared" ref="AN143:AN152" si="892">IF(L143&gt;=1.5,L143*G143*IF(H143&lt;=500,0.05,IF(H143&lt;=800,0.1,IF(H143&lt;=1200,0.15,IF(H143&gt;=1500,0.2)))),0)</f>
        <v>0</v>
      </c>
      <c r="AO143" s="104">
        <f t="shared" ref="AO143:AO152" si="893">IF(R143=1,0.4*G143*L143,0)</f>
        <v>0</v>
      </c>
      <c r="AP143" s="104">
        <f t="shared" ref="AP143:AP152" si="894">IF(AO143&lt;SUM(AF143:AH143),0,AO143)</f>
        <v>0</v>
      </c>
      <c r="AQ143" s="104">
        <f t="shared" ref="AQ143:AQ152" si="895">H143/1000+0.3</f>
        <v>0.7</v>
      </c>
      <c r="AR143" s="104">
        <f t="shared" ref="AR143:AR152" si="896">IF(D143&lt;&gt;"PROJETADA",0,AQ143*L143*G143-PI()*(H143/1000*H143/1000)/4*G143)</f>
        <v>0</v>
      </c>
      <c r="AS143" s="104">
        <f t="shared" ref="AS143:AS152" si="897">IF(AR143&lt;SUM(AF143:AH143),0,AR143)</f>
        <v>0</v>
      </c>
      <c r="AT143" s="104">
        <f t="shared" ref="AT143:AT152" si="898">IF(P143="ASFALTO",0.15*G143*L143,0)</f>
        <v>0</v>
      </c>
      <c r="AU143" s="104">
        <f t="shared" ref="AU143:AU152" si="899">AT143</f>
        <v>0</v>
      </c>
      <c r="AV143" s="104">
        <f t="shared" ref="AV143:AV152" si="900">IF(P143="ASFALTO",0.03*G143*L143,0)</f>
        <v>0</v>
      </c>
      <c r="AW143" s="104">
        <f t="shared" ref="AW143:AW152" si="901">AL143-AO143-SUM(AM143:AN143)-AT143-AU143-AR143</f>
        <v>0</v>
      </c>
      <c r="AX143" s="104">
        <f t="shared" ref="AX143:AX152" si="902">SUM(AF143:AH143)-AO143-AT143-AR143</f>
        <v>0</v>
      </c>
      <c r="AY143" s="104">
        <f t="shared" ref="AY143:AY152" si="903">SMALL(AW143:AX143,1)</f>
        <v>0</v>
      </c>
      <c r="AZ143" s="104">
        <f t="shared" ref="AZ143:AZ152" si="904">AW143-AY143</f>
        <v>0</v>
      </c>
      <c r="BA143" s="104">
        <f t="shared" ref="BA143:BA152" si="905">IF($AZ$183&gt;$BA$185,($BA$185/$AZ$183)*AZ143,AZ143)</f>
        <v>0</v>
      </c>
      <c r="BB143" s="104">
        <f t="shared" ref="BB143:BB152" si="906">AZ143-BA143</f>
        <v>0</v>
      </c>
      <c r="BC143" s="104"/>
      <c r="BD143" s="104">
        <f t="shared" ref="BD143:BD152" si="907">IF(AO143&gt;0,4%*(AO143+AT143),0)</f>
        <v>0</v>
      </c>
      <c r="BE143" s="108">
        <f t="shared" ref="BE143:BE152" si="908">IF(H143=400,I143,0)</f>
        <v>3.13</v>
      </c>
      <c r="BF143" s="110">
        <f t="shared" ref="BF143:BF152" si="909">IF(BE143&lt;=1.75,AND(BE143&gt;0)*G143,0)</f>
        <v>0</v>
      </c>
      <c r="BG143" s="110">
        <f t="shared" ref="BG143:BG152" si="910">IF(BE143&lt;=3,AND(BE143&gt;1.75)*G143,0)</f>
        <v>0</v>
      </c>
      <c r="BH143" s="105" t="str">
        <f>VLOOKUP(A143,'BOCA DE LOBO'!$C$99:$P$172,7,0)</f>
        <v>BOCA DE LOBO SIMPLES EXISTENTE COM BOCA DE LOBO DUPLA PROJETADA</v>
      </c>
      <c r="BI143" s="104">
        <f t="shared" ref="BI143:BI152" si="911">IF(BH143=$BI$107,1,0)</f>
        <v>1</v>
      </c>
      <c r="BJ143" s="104">
        <f t="shared" ref="BJ143:BJ152" si="912">IF(BH143=$BJ$107,1,0)</f>
        <v>0</v>
      </c>
      <c r="BK143" s="104">
        <f t="shared" ref="BK143:BK152" si="913">IF(BH143=$BK$107,1,0)</f>
        <v>0</v>
      </c>
      <c r="BL143" s="104">
        <f t="shared" ref="BL143:BL152" si="914">IF(BH143=$BL$107,1,0)</f>
        <v>0</v>
      </c>
      <c r="BM143" s="104">
        <f t="shared" ref="BM143:BM152" si="915">IF(BH143=$BM$107,1,0)</f>
        <v>0</v>
      </c>
      <c r="BN143" s="104">
        <f t="shared" ref="BN143:BN152" si="916">IF(BH143=$BN$107,1,0)</f>
        <v>0</v>
      </c>
      <c r="BO143" s="543">
        <f t="shared" ref="BO143:BO152" si="917">IF(BH143=$BO$107,1,0)</f>
        <v>0</v>
      </c>
      <c r="BP143" s="111"/>
      <c r="BQ143" s="108">
        <f t="shared" ref="BQ143:BQ152" si="918">IF(L143&lt;=1.5,IF(I143+IF(R143=1,0.5,0)&lt;1.5,(I143+IF(R143=1,0.5,0))*G143*2,G143*2*1.5),0)</f>
        <v>32.76</v>
      </c>
      <c r="BR143" s="108">
        <f t="shared" ref="BR143:BR152" si="919">IF(L143&lt;=1.5,IF(AND(I143+IF(R143=1,0.5,0)&lt;3,I143+IF(R143=1,0.5,0)&gt;1.5),(I143+IF(R143=1,0.5,0)-1.5)*G143*2,IF(I143+IF(R143=1,0.5,0)&gt;=3,(G143*2*1.5),0)),0)</f>
        <v>32.76</v>
      </c>
      <c r="BS143" s="108">
        <f t="shared" ref="BS143:BS152" si="920">IF(L143&lt;=1.5,IF(AND(I143+IF(R143=1,0.5,0)&lt;4.5,I143+IF(R143=1,0.5,0)&gt;3),(I143+IF(R143=1,0.5,0)-3)*G143*2,IF(I143+IF(R143=1,0.5,0)&gt;=4.5,(G143*2*1.5),0)),0)</f>
        <v>2.8391999999999977</v>
      </c>
      <c r="BT143" s="112"/>
      <c r="BU143" s="112" t="s">
        <v>1410</v>
      </c>
      <c r="BV143" s="538">
        <f t="shared" ref="BV143:BV152" si="921">IF(OR("BOCA DE LOBO EXISTENTE TRIPLA"=BH143,"BOCA DE LOBO EXISTENTE SIMPLES"=BH143,"BOCA DE LOBO EXISTENTE DUPLA"=BH143),0,IF("BOCA DE LOBO PROJETADA DUPLA"=BH143,(2.57+1)*(1.18+1),IF(OR("BOCA DE LOBO DUPLA EXISTENTE COM BOCA DE LOBO SIMPLES PROJETADA"=BH143,"BOCA DE LOBO SIMPLES EXISTENTE COM BOCA DE LOBO SIMPLES PROJETADA"=BH143),(1.18+0.5)*(1.18+1),IF(OR(BH143="BOCA DE LOBO DUPLA EXISTENTE COM BOCA DE LOBO DUPLA PROJETADA",BH143="BOCA DE LOBO SIMPLES EXISTENTE COM BOCA DE LOBO DUPLA PROJETADA"),(2.38+0.5)*(1.18+1),IF("BOCA DE LOBO PROJETADA TRIPLA"=BH143,(3.76+1)*(1.18+1),IF("BOCA DE LOBO PROJETADA QUADRUPLA"=BH143,(4.92+1)*(1.18+1),"X"))))))*(E143+IF(CA143&gt;0,0.5,0))</f>
        <v>15.695999999999996</v>
      </c>
      <c r="BW143" s="538">
        <f t="shared" ref="BW143:BW152" si="922">IF(OR("BOCA DE LOBO EXISTENTE TRIPLA"=BH143,"BOCA DE LOBO EXISTENTE SIMPLES"=BH143,"BOCA DE LOBO EXISTENTE DUPLA"=BH143),0,IF("BOCA DE LOBO PROJETADA DUPLA"=BH143,(2.57+1)*(1.18+1),IF(OR("BOCA DE LOBO DUPLA EXISTENTE COM BOCA DE LOBO SIMPLES PROJETADA"=BH143,"BOCA DE LOBO SIMPLES EXISTENTE COM BOCA DE LOBO SIMPLES PROJETADA"=BH143),(1.18+1)*(1.18+0.5),IF(OR(BH143="BOCA DE LOBO DUPLA EXISTENTE COM BOCA DE LOBO DUPLA PROJETADA",BH143="BOCA DE LOBO SIMPLES EXISTENTE COM BOCA DE LOBO DUPLA PROJETADA"),(2.38+0.5)*(1.18+1),IF("BOCA DE LOBO PROJETADA TRIPLA"=BH143,(3.76+0.5*2)*(1.18+1),IF("BOCA DE LOBO PROJETADA QUADRUPLA"=BH143,(4.92+0.5*2)*(1.18+1),"X"))))))</f>
        <v>6.2783999999999986</v>
      </c>
      <c r="BX143" s="538">
        <f t="shared" ref="BX143:BX152" si="923">IF(OR("BOCA DE LOBO EXISTENTE TRIPLA"=BH143,"BOCA DE LOBO EXISTENTE SIMPLES"=BH143,"BOCA DE LOBO EXISTENTE DUPLA"=BH143),0,IF("BOCA DE LOBO PROJETADA DUPLA"=BH143,(2.57)*(1.18),IF(OR("BOCA DE LOBO DUPLA EXISTENTE COM BOCA DE LOBO SIMPLES PROJETADA"=BH143,"BOCA DE LOBO SIMPLES EXISTENTE COM BOCA DE LOBO SIMPLES PROJETADA"=BH143),(1.18)*(1.18),IF(OR(BH143="BOCA DE LOBO DUPLA EXISTENTE COM BOCA DE LOBO DUPLA PROJETADA",BH143="BOCA DE LOBO SIMPLES EXISTENTE COM BOCA DE LOBO DUPLA PROJETADA"),(2.38)*(1.18),IF("BOCA DE LOBO PROJETADA TRIPLA"=BH143,(3.76)*(1.18),IF("BOCA DE LOBO PROJETADA QUADRUPLA"=BH143,(4.92)*(1.18),"X"))))))</f>
        <v>2.8083999999999998</v>
      </c>
      <c r="BY143" s="538">
        <f t="shared" ref="BY143:BY152" si="924">E143</f>
        <v>2.5</v>
      </c>
      <c r="BZ143" s="538">
        <f t="shared" ref="BZ143:BZ152" si="925">IF(Y143&gt;0.5,0,IF(S143&lt;E143,S143,E143))</f>
        <v>2.5</v>
      </c>
      <c r="CA143" s="538">
        <f t="shared" ref="CA143:CA152" si="926">IF(Y143&gt;0.5,BY143+0.5,Y143)</f>
        <v>0</v>
      </c>
      <c r="CB143" s="538">
        <f t="shared" ref="CB143:CB152" si="927">IF(S143&gt;E143,0,E143-S143)</f>
        <v>0</v>
      </c>
      <c r="CC143" s="538">
        <f t="shared" ref="CC143:CC152" si="928">IF(BZ143&gt;1.5,BW143*1.5,BW143*BZ143)</f>
        <v>9.4175999999999984</v>
      </c>
      <c r="CD143" s="538">
        <f t="shared" ref="CD143:CD152" si="929">IF(BZ143&gt;1.5,BW143*(BZ143-1.5),0)</f>
        <v>6.2783999999999986</v>
      </c>
      <c r="CE143" s="538">
        <f t="shared" ref="CE143:CE152" si="930">IF(CA143&gt;1.5,BW143*1.5,BW143*CA143)</f>
        <v>0</v>
      </c>
      <c r="CF143" s="538">
        <f t="shared" ref="CF143:CF152" si="931">IF(CA143&gt;1.5,BW143*(CA143-1.5),0)</f>
        <v>0</v>
      </c>
      <c r="CG143" s="538">
        <f t="shared" ref="CG143:CG152" si="932">BV143-SUM(CC143:CF143)</f>
        <v>0</v>
      </c>
      <c r="CH143" s="538">
        <f t="shared" ref="CH143:CH152" si="933">SUM(CC143:CG143)-BV143</f>
        <v>0</v>
      </c>
      <c r="CI143" s="104">
        <f t="shared" ref="CI143:CI152" si="934">IF(OR("BOCA DE LOBO EXISTENTE TRIPLA"=BH143,"BOCA DE LOBO EXISTENTE SIMPLES"=BH143,"BOCA DE LOBO EXISTENTE DUPLA"=BH143),0,IF("BOCA DE LOBO PROJETADA DUPLA"=BH143,(2.57+1)*(0.5),IF(OR("BOCA DE LOBO DUPLA EXISTENTE COM BOCA DE LOBO SIMPLES PROJETADA"=BH143,"BOCA DE LOBO SIMPLES EXISTENTE COM BOCA DE LOBO SIMPLES PROJETADA"=BH143),(1.18+0.5)*(0.5),IF(OR(BH143="BOCA DE LOBO DUPLA EXISTENTE COM BOCA DE LOBO DUPLA PROJETADA",BH143="BOCA DE LOBO SIMPLES EXISTENTE COM BOCA DE LOBO DUPLA PROJETADA"),(2.38+0.5)*(0.5),IF("BOCA DE LOBO PROJETADA TRIPLA"=BH143,(3.76+1)*(0.5),IF("BOCA DE LOBO PROJETADA QUADRUPLA"=BH143,(4.92+1)*(0.5),"X")))))*0.3)</f>
        <v>0.432</v>
      </c>
      <c r="CJ143" s="538">
        <f t="shared" ref="CJ143:CJ152" si="935">(BW143-BX143)*(BY143+IF(CA143&gt;=0.4,0.4,0))-CI143</f>
        <v>8.2429999999999968</v>
      </c>
      <c r="CK143" s="538">
        <f t="shared" ref="CK143:CK152" si="936">IF($CK$185&gt;$CJ$183,CJ143,CJ143*$CK$185/$CJ$183)</f>
        <v>8.2429999999999968</v>
      </c>
      <c r="CL143" s="538">
        <f t="shared" ref="CL143:CL152" si="937">CJ143-CK143</f>
        <v>0</v>
      </c>
      <c r="CM143" s="538">
        <f t="shared" ref="CM143:CM152" si="938">IF(CA143&gt;0,0.5*4%*BW143,0)</f>
        <v>0</v>
      </c>
      <c r="CN143" s="538">
        <f t="shared" ref="CN143:CN152" si="939">IF(OR("BOCA DE LOBO EXISTENTE TRIPLA"=BH143,"BOCA DE LOBO EXISTENTE SIMPLES"=BH143,"BOCA DE LOBO EXISTENTE DUPLA"=BH143),0,IF("BOCA DE LOBO PROJETADA DUPLA"=BH143,(2.57+1),IF(OR("BOCA DE LOBO DUPLA EXISTENTE COM BOCA DE LOBO SIMPLES PROJETADA"=BH143,"BOCA DE LOBO SIMPLES EXISTENTE COM BOCA DE LOBO SIMPLES PROJETADA"=BH143),(1.18+0.5),IF(OR(BH143="BOCA DE LOBO DUPLA EXISTENTE COM BOCA DE LOBO DUPLA PROJETADA",BH143="BOCA DE LOBO SIMPLES EXISTENTE COM BOCA DE LOBO DUPLA PROJETADA"),(2.38+0.5),IF("BOCA DE LOBO PROJETADA TRIPLA"=BH143,(3.76+0.5*2),IF("BOCA DE LOBO PROJETADA QUADRUPLA"=BH143,(4.92+0.5*2),"X"))))))</f>
        <v>2.88</v>
      </c>
      <c r="CO143" s="538">
        <f t="shared" ref="CO143:CO152" si="940">IF(CA143&gt;0,BY143+0.5,BY143)</f>
        <v>2.5</v>
      </c>
      <c r="CP143" s="538">
        <f t="shared" ref="CP143:CP152" si="941">IF(CO143&gt;=1.5,CN143*1.5*2,CN143*CO143*2)</f>
        <v>8.64</v>
      </c>
      <c r="CQ143" s="538">
        <f t="shared" ref="CQ143:CQ152" si="942">IF(CO143&lt;=1.5,0,IF(CO143&gt;=3,CN143*1.5*2,CN143*(CO143-1.5)*2))</f>
        <v>5.76</v>
      </c>
      <c r="CR143" s="539">
        <f t="shared" ref="CR143:CR152" si="943">IF(D143="AMPLIADA",0.55*(E143-0.5),0)</f>
        <v>1.1000000000000001</v>
      </c>
      <c r="CS143" s="540">
        <f t="shared" ref="CS143:CS152" si="944">IF(OR("BOCA DE LOBO EXISTENTE TRIPLA"=BH143,"BOCA DE LOBO EXISTENTE SIMPLES"=BH143,"BOCA DE LOBO EXISTENTE DUPLA"=BH143,"BOCA DE LOBO EXISTENTE QUADRUPLA"=BH143),0,IF("BOCA DE LOBO PROJETADA DUPLA"=BH143,(0),IF(OR("BOCA DE LOBO DUPLA EXISTENTE COM BOCA DE LOBO SIMPLES PROJETADA"=BH143,"BOCA DE LOBO SIMPLES EXISTENTE COM BOCA DE LOBO SIMPLES PROJETADA"=BH143),(0.8*0.15*0.17),IF(OR(BH143="BOCA DE LOBO DUPLA EXISTENTE COM BOCA DE LOBO DUPLA PROJETADA",BH143="BOCA DE LOBO SIMPLES EXISTENTE COM BOCA DE LOBO DUPLA PROJETADA"),(0.8*0.15*0.17),IF("BOCA DE LOBO PROJETADA TRIPLA"=BH143,(0),IF("BOCA DE LOBO PROJETADA QUADRUPLA"=BH143,(0),"X")))))*E143)</f>
        <v>5.1000000000000004E-2</v>
      </c>
      <c r="CT143" s="540">
        <f t="shared" ref="CT143:CT152" si="945">IF(OR("BOCA DE LOBO EXISTENTE TRIPLA"=BH143,"BOCA DE LOBO EXISTENTE SIMPLES"=BH143,"BOCA DE LOBO EXISTENTE DUPLA"=BH143,"BOCA DE LOBO EXISTENTE QUADRUPLA"=BH143),0,IF("BOCA DE LOBO PROJETADA DUPLA"=BH143,(1.18*2.57*0.05),IF(OR("BOCA DE LOBO DUPLA EXISTENTE COM BOCA DE LOBO SIMPLES PROJETADA"=BH143,"BOCA DE LOBO SIMPLES EXISTENTE COM BOCA DE LOBO SIMPLES PROJETADA"=BH143),(1.19*1.18*0.05),IF(OR(BH143="BOCA DE LOBO DUPLA EXISTENTE COM BOCA DE LOBO DUPLA PROJETADA",BH143="BOCA DE LOBO SIMPLES EXISTENTE COM BOCA DE LOBO DUPLA PROJETADA"),(2.38*1.18*0.056),IF("BOCA DE LOBO PROJETADA TRIPLA"=BH143,(3.76*1.18*0.05),IF("BOCA DE LOBO PROJETADA QUADRUPLA"=BH143,(4.92*1.18*0.05),"X")))))+CI143/3)</f>
        <v>0.30127039999999999</v>
      </c>
      <c r="CU143" s="541">
        <f t="shared" ref="CU143:CU152" si="946">IF(OR("BOCA DE LOBO EXISTENTE TRIPLA"=BH143,"BOCA DE LOBO EXISTENTE SIMPLES"=BH143,"BOCA DE LOBO EXISTENTE DUPLA"=BH143,"BOCA DE LOBO EXISTENTE QUADRUPLA"=BH143),0,IF("BOCA DE LOBO PROJETADA DUPLA"=BH143,(1*4+0.6*2),IF(OR("BOCA DE LOBO DUPLA EXISTENTE COM BOCA DE LOBO SIMPLES PROJETADA"=BH143,"BOCA DE LOBO SIMPLES EXISTENTE COM BOCA DE LOBO SIMPLES PROJETADA"=BH143),(1*2+0.6),IF(OR(BH143="BOCA DE LOBO DUPLA EXISTENTE COM BOCA DE LOBO DUPLA PROJETADA",BH143="BOCA DE LOBO SIMPLES EXISTENTE COM BOCA DE LOBO DUPLA PROJETADA"),(1*4+0.6),IF("BOCA DE LOBO PROJETADA TRIPLA"=BH143,(6*1+0.6*2),IF("BOCA DE LOBO PROJETADA QUADRUPLA"=BH143,(8*1+0.6*2),"X")))))*E143)</f>
        <v>11.5</v>
      </c>
      <c r="CV143" s="538">
        <f t="shared" ref="CV143:CV152" si="947">IF(OR("BOCA DE LOBO EXISTENTE TRIPLA"=BH143,"BOCA DE LOBO EXISTENTE SIMPLES"=BH143,"BOCA DE LOBO EXISTENTE DUPLA"=BH143,"BOCA DE LOBO EXISTENTE QUADRUPLA"=BH143),0,IF("BOCA DE LOBO PROJETADA DUPLA"=BH143,(12*E143*0.17*0.15+1*0.17*0.15*5+1.09*0.6*0.07*2+2.57*1.18*0.15),IF(OR("BOCA DE LOBO DUPLA EXISTENTE COM BOCA DE LOBO SIMPLES PROJETADA"=BH143,"BOCA DE LOBO SIMPLES EXISTENTE COM BOCA DE LOBO SIMPLES PROJETADA"=BH143),(8*E143*0.17*0.15+1*0.17*0.15*4+1.09*0.6*0.07*1+1.38*1.18*0.15),IF(OR(BH143="BOCA DE LOBO DUPLA EXISTENTE COM BOCA DE LOBO DUPLA PROJETADA",BH143="BOCA DE LOBO SIMPLES EXISTENTE COM BOCA DE LOBO DUPLA PROJETADA"),(7*E143*0.17*0.15+1*0.17*0.15*5+1.09*0.6*0.07*2+2.38*1.18*0.15),IF("BOCA DE LOBO PROJETADA TRIPLA"=BH143,(15*E143*0.17*0.15+1*0.17*0.15*7+1.09*0.6*0.07*3+3.76*1.18*0.15),IF("BOCA DE LOBO PROJETADA QUADRUPLA"=BH143,(19*E143*0.17*0.15+1*0.17*0.15*9+1.09*0.6*0.07*4+4.92*1.18*0.15),"X"))))))</f>
        <v>1.08657</v>
      </c>
      <c r="CW143" s="538">
        <f t="shared" ref="CW143:CW152" si="948">IF(OR("BOCA DE LOBO EXISTENTE TRIPLA"=BH143,"BOCA DE LOBO EXISTENTE SIMPLES"=BH143,"BOCA DE LOBO EXISTENTE DUPLA"=BH143,"BOCA DE LOBO EXISTENTE QUADRUPLA"=BH143),0,IF("BOCA DE LOBO PROJETADA DUPLA"=BH143,(12*E143*2*(0.17+0.15)+1*(2*0.17+0.15)*5+2*(2.57+1.18)*0.15+(1.09+0.6)*2*0.07*2),IF(OR("BOCA DE LOBO DUPLA EXISTENTE COM BOCA DE LOBO SIMPLES PROJETADA"=BH143,"BOCA DE LOBO SIMPLES EXISTENTE COM BOCA DE LOBO SIMPLES PROJETADA"=BH143),(8*E143*2*(0.17+0.15)+1*(2*0.17+0.15)*4+2*(1.38+1.18)*0.15+(1.09+0.6)*2*0.07*1),IF(OR(BH143="BOCA DE LOBO DUPLA EXISTENTE COM BOCA DE LOBO DUPLA PROJETADA",BH143="BOCA DE LOBO SIMPLES EXISTENTE COM BOCA DE LOBO DUPLA PROJETADA"),(7*E143*2*(0.17+0.15)+1*(2*0.17+0.15)*5+2*(2.38+1.18)*0.15+(1.09+0.6)*2*0.07*2),IF("BOCA DE LOBO PROJETADA TRIPLA"=BH143,(15*E143*2*(0.17+0.15)+1*(2*0.17+0.15)*7+2*(3.76+1.18)*0.15+(1.09+0.6)*2*0.07*3),IF("BOCA DE LOBO PROJETADA QUADRUPLA"=BH143,(19*E143*2*(0.17+0.15)+1*(2*0.17+0.15)*7+2*(4.92+1.18)*0.15+(1.09+0.6)*2*0.07*4),"X"))))))</f>
        <v>15.191200000000002</v>
      </c>
      <c r="CX143" s="104">
        <f t="shared" ref="CX143:CX152" si="949">IF(OR("BOCA DE LOBO EXISTENTE TRIPLA"=BH143,"BOCA DE LOBO EXISTENTE SIMPLES"=BH143,"BOCA DE LOBO EXISTENTE DUPLA"=BH143,"BOCA DE LOBO EXISTENTE QUADRUPLA"=BH143),0,IF("BOCA DE LOBO PROJETADA DUPLA"=BH143,(2.57+1),IF(OR("BOCA DE LOBO DUPLA EXISTENTE COM BOCA DE LOBO SIMPLES PROJETADA"=BH143,"BOCA DE LOBO SIMPLES EXISTENTE COM BOCA DE LOBO SIMPLES PROJETADA"=BH143),(1.18+0.5),IF(OR(BH143="BOCA DE LOBO DUPLA EXISTENTE COM BOCA DE LOBO DUPLA PROJETADA",BH143="BOCA DE LOBO SIMPLES EXISTENTE COM BOCA DE LOBO DUPLA PROJETADA"),(2.38+0.5),IF("BOCA DE LOBO PROJETADA TRIPLA"=BH143,(3.76+1),IF("BOCA DE LOBO PROJETADA QUADRUPLA"=BH143,(4.92+1),"X"))))))</f>
        <v>2.88</v>
      </c>
      <c r="CY143" s="542">
        <f t="shared" ref="CY143:CY152" si="950">CX143*0.5</f>
        <v>1.44</v>
      </c>
      <c r="CZ143" s="538">
        <f t="shared" ref="CZ143:CZ152" si="951">IF(AND(C143="EXISTENTE",D143="PROJETADA"),PI()*0.51*0.51/4*0.12,0)</f>
        <v>0</v>
      </c>
    </row>
    <row r="144" spans="1:104" ht="37.5" x14ac:dyDescent="0.25">
      <c r="A144" s="100" t="str">
        <f>'BOCA DE LOBO'!C134</f>
        <v>BL35-&gt;PV2.1</v>
      </c>
      <c r="B144" s="100" t="str">
        <f>'BOCA DE LOBO'!A134</f>
        <v>PV2.1</v>
      </c>
      <c r="C144" s="100" t="str">
        <f>VLOOKUP(A144,'BOCA DE LOBO'!C:F,3,0)</f>
        <v>PROJETADO</v>
      </c>
      <c r="D144" s="100" t="str">
        <f>VLOOKUP(A144,'BOCA DE LOBO'!C:M,10,0)</f>
        <v>AMPLIADA</v>
      </c>
      <c r="E144" s="100">
        <f t="shared" ref="E144" si="952">IF(F144-G144*4%&lt;2.5,F144-G144*4%,2.5)</f>
        <v>2.5</v>
      </c>
      <c r="F144" s="100">
        <f>VLOOKUP(A144,'BOCA DE LOBO'!$C$97:$P$172,2,0)</f>
        <v>3.177</v>
      </c>
      <c r="G144" s="100">
        <f>VLOOKUP(A144,'BOCA DE LOBO'!$C$97:$L$172,4,0)</f>
        <v>4.01</v>
      </c>
      <c r="H144" s="101">
        <v>400</v>
      </c>
      <c r="I144" s="102">
        <f t="shared" ref="I144" si="953">IF(H144=400,((E144+F144)/2)+0.08+U144,IF(H144=500,((E144+F144)/2)+0.1+U144,IF(H144=600,((E144+F144)/2)+0.12+U144,IF(H144=800,((E144+F144)/2)+0.16+U144,IF(H144=1000,((E144+F144)/2)+0.2+U144,IF(H144=1200,((E144+F144)/2)+0.24+U144,IF(H144=1500,((E144+F144)/2)+0.3+U144,IF(H144&gt;1500,((E144+F144)/2)+0.4+U144))))))))</f>
        <v>2.9684999999999997</v>
      </c>
      <c r="J144" s="102">
        <f t="shared" ref="J144" si="954">IF(I144&gt;=1.25,G144*I144/20,0)</f>
        <v>0.59518424999999986</v>
      </c>
      <c r="K144" s="103">
        <v>0</v>
      </c>
      <c r="L144" s="104">
        <f t="shared" ref="L144" si="955">IF(D144&lt;&gt;"PROJETADA",0,IF(H144=400,1,0)+IF(H144=500,1.2,0)+IF(H144=600,1.4,0)+IF(H144=800,1.7,0)+IF(H144=1000,2,0)+IF(H144=1200,2.2,0)+IF(H144=1500,2.6,0)+IF(H144=1650,3,0)+IF(H144=1800,3.2,0)+IF(H144=2000,3.4,0)+IF(H144=2200,3.6,0)+IF(H144=2400,3.8,0)+IF(H144=2600,4,0)+IF(H144=3000,4.4,0))</f>
        <v>0</v>
      </c>
      <c r="M144" s="104">
        <f t="shared" ref="M144" si="956">2*K144*I144+L144</f>
        <v>0</v>
      </c>
      <c r="N144" s="104">
        <f t="shared" ref="N144" si="957">IF(OR(D144="EXISTENTE",D144="AMPLIADA"),400,0)</f>
        <v>400</v>
      </c>
      <c r="O144" s="104">
        <f t="shared" ref="O144" si="958">IF(P144="TERRENO NATURAL",0,M144*G144)</f>
        <v>0</v>
      </c>
      <c r="P144" s="105" t="str">
        <f>VLOOKUP(B144,'Planilha Hidráulica'!$AE$49:$AQ$94,13,0)</f>
        <v>ASFALTO</v>
      </c>
      <c r="Q144" s="452" t="s">
        <v>2065</v>
      </c>
      <c r="R144" s="105"/>
      <c r="S144" s="105">
        <f>VLOOKUP(Q144,Quantitativos!$P$43:$R$88,3,0)</f>
        <v>5</v>
      </c>
      <c r="T144" s="105">
        <f>VLOOKUP(Q144,Quantitativos!$P$43:$S$88,4,0)</f>
        <v>5</v>
      </c>
      <c r="U144" s="104">
        <f t="shared" ref="U144" si="959">IF(H144=400,0.05,0)+IF(H144=500,0.05,0)+IF(H144=600,0.1,0)+IF(H144=800,0.1,0)+IF(H144=1000,0.15,0)+IF(H144=1200,0.15,0)+IF(H144=1500,0.2,0)+IF(H144=1650,0.2,0)+IF(H144=1800,0.2,0)+IF(H144=2000,0.25,0)+IF(H144=2200,0.25,0)+IF(H144=2400,0.25,0)+IF(H144=2600,0.25,0)+IF(H144=3000,0.25,0)</f>
        <v>0.05</v>
      </c>
      <c r="V144" s="106">
        <f t="shared" ref="V144" si="960">IF(L144=0,0,IF("EXISTENTE"=C144,0,IFERROR((PI()*(N144/1000)*(N144/1000)/4)*G144,0)))</f>
        <v>0</v>
      </c>
      <c r="W144" s="106">
        <f t="shared" ref="W144" si="961">IF(O144=0,0,((((K144*I144)*I144)/2)*2+L144*I144)*G144-V144+AO144)</f>
        <v>0</v>
      </c>
      <c r="X144" s="107">
        <f t="shared" ref="X144" si="962">W144-SUM(AC144:AJ144)</f>
        <v>0</v>
      </c>
      <c r="Y144" s="107">
        <f t="shared" ref="Y144" si="963">IF(R144=1,IF(N144=0,I144+0.4,0.4),0)</f>
        <v>0</v>
      </c>
      <c r="Z144" s="107">
        <f t="shared" ref="Z144" si="964">IF(Y144&gt;0.5,0,IF(S144&lt;I144,S144,I144))</f>
        <v>2.9684999999999997</v>
      </c>
      <c r="AA144" s="107">
        <f t="shared" ref="AA144" si="965">I144-Z144</f>
        <v>0</v>
      </c>
      <c r="AB144" s="108">
        <f t="shared" ref="AB144" si="966">IF(P144="ASFALTO",IF(D144="PROJETADA",O144,IF(D144="EXISTENTE",0,O144/2)),0)</f>
        <v>0</v>
      </c>
      <c r="AC144" s="109">
        <f t="shared" ref="AC144" si="967">IF(Y144=0,0,IF(Y144=0.4,IF(L144&lt;=1.5,IF(Z144+0.4&gt;=1.5,0,L144*G144*0.4),0),IF(L144&lt;=1.5,IF(Y144&gt;=1.5,M144*G144*1.5,L144*G144*(Y144)),0)+IF(S144&lt;I144+0.4,0,IF(AND(Y144&lt;=1.5,L144&lt;=1.5),-V144,0))))</f>
        <v>0</v>
      </c>
      <c r="AD144" s="109">
        <f t="shared" ref="AD144" si="968">IF(Y144=0,0,IF(Y144=0.4,IF(L144&lt;=1.5,IF(OR(Z144+0.4&gt;=3,Z144+0.4&lt;1.5),0,L144*G144*0.4),0),IF(IF(L144&lt;=1.5,IF(Y144&gt;=3,M144*G144*1.5,L144*G144*(Y144-1.5)),0)&lt;0,0,IF(L144&lt;=1.5,IF(Y144&gt;=3,M144*G144*1.5,L144*G144*(Y144-1.5)),0))+IF(S144&lt;I144+0.4,0,IF(AND(Y144&lt;=3,L144&lt;=1.5),-V144,0))))</f>
        <v>0</v>
      </c>
      <c r="AE144" s="109">
        <f t="shared" ref="AE144" si="969">IF(Y144=0,0,IF(Y144=0.4,IF(L144&lt;=1.5,IF(OR(Z144+0.4&gt;=4.5,Z144+0.4&lt;3),0,L144*G144*0.4),0),IF(IF(L144&lt;=1.5,IF(Y144&gt;=4.5,M144*G144*1.5,L144*G144*(Y144-3)),0)&lt;0,0,IF(L144&lt;=1.5,IF(Y144&gt;=4.5,M144*G144*1.5,L144*G144*(Y144-3)),0))+IF(S144&lt;I144+0.4,0,IF(AND(Y144&lt;=4.5,L144&lt;=1.5),-V144,0))))</f>
        <v>0</v>
      </c>
      <c r="AF144" s="109">
        <f t="shared" ref="AF144" si="970">IF(L144&lt;=1.5,IF(Z144&gt;=1.5,M144*G144*1.5,L144*G144*Z144),0)+IF(S144&lt;I144,0,IF(AND(Z144&lt;=1.5,L144&lt;=1.5),-V144,0))-V144</f>
        <v>0</v>
      </c>
      <c r="AG144" s="109">
        <f t="shared" ref="AG144" si="971">IF(IF(L144&lt;=1.5,IF(Z144&gt;=3,M144*G144*1.5,L144*G144*(Z144-1.5)),0)&lt;0,0,IF(L144&lt;=1.5,IF(Z144&gt;=3,M144*G144*1.5,L144*G144*(Z144-1.5)),0))</f>
        <v>0</v>
      </c>
      <c r="AH144" s="109">
        <f t="shared" ref="AH144" si="972">IF(IF(L144&lt;=1.5,IF(Z144&gt;=4.5,M144*G144*1.5,L144*G144*(Z144-3)),0)&lt;0,0,IF(L144&lt;=1.5,IF(Z144&gt;=4.5,M144*G144*1.5,L144*G144*(Z144-3)),0))+IF(S144&lt;I144,0,IF(AND(Z144&lt;=4.5,Z144&gt;3,L144&lt;=1.5),-V144,0))</f>
        <v>0</v>
      </c>
      <c r="AI144" s="537" t="str">
        <f t="shared" ref="AI144" si="973">IF(I144&gt;S144,"SIM","NÃO")</f>
        <v>NÃO</v>
      </c>
      <c r="AJ144" s="104">
        <f t="shared" ref="AJ144" si="974">W144-SUM(AC144:AH144)</f>
        <v>0</v>
      </c>
      <c r="AK144" s="104">
        <f t="shared" ref="AK144" si="975">IF(I144-T144&lt;0,0,(I144-T144)*G144)/75</f>
        <v>0</v>
      </c>
      <c r="AL144" s="104">
        <f t="shared" ref="AL144" si="976">IF(L144=0,0,G144*L144*I144-PI()*(H144/1000)*(H144/1000)/4*G144+AO144)</f>
        <v>0</v>
      </c>
      <c r="AM144" s="102">
        <f t="shared" ref="AM144" si="977">IF(L144&lt;1.5,L144*G144*IF(H144&lt;=500,0.05,IF(H144&lt;=800,0.1,IF(H144&lt;=1200,0.15,IF(H144&gt;=1500,0.2)))),0)</f>
        <v>0</v>
      </c>
      <c r="AN144" s="106">
        <f t="shared" ref="AN144" si="978">IF(L144&gt;=1.5,L144*G144*IF(H144&lt;=500,0.05,IF(H144&lt;=800,0.1,IF(H144&lt;=1200,0.15,IF(H144&gt;=1500,0.2)))),0)</f>
        <v>0</v>
      </c>
      <c r="AO144" s="104">
        <f t="shared" ref="AO144" si="979">IF(R144=1,0.4*G144*L144,0)</f>
        <v>0</v>
      </c>
      <c r="AP144" s="104">
        <f t="shared" ref="AP144" si="980">IF(AO144&lt;SUM(AF144:AH144),0,AO144)</f>
        <v>0</v>
      </c>
      <c r="AQ144" s="104">
        <f t="shared" ref="AQ144" si="981">H144/1000+0.3</f>
        <v>0.7</v>
      </c>
      <c r="AR144" s="104">
        <f t="shared" ref="AR144" si="982">IF(D144&lt;&gt;"PROJETADA",0,AQ144*L144*G144-PI()*(H144/1000*H144/1000)/4*G144)</f>
        <v>0</v>
      </c>
      <c r="AS144" s="104">
        <f t="shared" ref="AS144" si="983">IF(AR144&lt;SUM(AF144:AH144),0,AR144)</f>
        <v>0</v>
      </c>
      <c r="AT144" s="104">
        <f t="shared" ref="AT144" si="984">IF(P144="ASFALTO",0.15*G144*L144,0)</f>
        <v>0</v>
      </c>
      <c r="AU144" s="104">
        <f t="shared" ref="AU144" si="985">AT144</f>
        <v>0</v>
      </c>
      <c r="AV144" s="104">
        <f t="shared" ref="AV144" si="986">IF(P144="ASFALTO",0.03*G144*L144,0)</f>
        <v>0</v>
      </c>
      <c r="AW144" s="104">
        <f t="shared" ref="AW144" si="987">AL144-AO144-SUM(AM144:AN144)-AT144-AU144-AR144</f>
        <v>0</v>
      </c>
      <c r="AX144" s="104">
        <f t="shared" ref="AX144" si="988">SUM(AF144:AH144)-AO144-AT144-AR144</f>
        <v>0</v>
      </c>
      <c r="AY144" s="104">
        <f t="shared" ref="AY144" si="989">SMALL(AW144:AX144,1)</f>
        <v>0</v>
      </c>
      <c r="AZ144" s="104">
        <f t="shared" ref="AZ144" si="990">AW144-AY144</f>
        <v>0</v>
      </c>
      <c r="BA144" s="104">
        <f t="shared" si="905"/>
        <v>0</v>
      </c>
      <c r="BB144" s="104">
        <f t="shared" ref="BB144" si="991">AZ144-BA144</f>
        <v>0</v>
      </c>
      <c r="BC144" s="104"/>
      <c r="BD144" s="104">
        <f t="shared" ref="BD144" si="992">IF(AO144&gt;0,4%*(AO144+AT144),0)</f>
        <v>0</v>
      </c>
      <c r="BE144" s="108">
        <f t="shared" ref="BE144" si="993">IF(H144=400,I144,0)</f>
        <v>2.9684999999999997</v>
      </c>
      <c r="BF144" s="110">
        <f t="shared" ref="BF144" si="994">IF(BE144&lt;=1.75,AND(BE144&gt;0)*G144,0)</f>
        <v>0</v>
      </c>
      <c r="BG144" s="110">
        <f t="shared" ref="BG144" si="995">IF(BE144&lt;=3,AND(BE144&gt;1.75)*G144,0)</f>
        <v>4.01</v>
      </c>
      <c r="BH144" s="105" t="str">
        <f>VLOOKUP(A144,'BOCA DE LOBO'!$C$99:$P$172,7,0)</f>
        <v>BOCA DE LOBO DUPLA EXISTENTE COM BOCA DE LOBO SIMPLES PROJETADA</v>
      </c>
      <c r="BI144" s="104">
        <f t="shared" ref="BI144" si="996">IF(BH144=$BI$107,1,0)</f>
        <v>0</v>
      </c>
      <c r="BJ144" s="104">
        <f t="shared" ref="BJ144" si="997">IF(BH144=$BJ$107,1,0)</f>
        <v>0</v>
      </c>
      <c r="BK144" s="104">
        <f t="shared" ref="BK144" si="998">IF(BH144=$BK$107,1,0)</f>
        <v>1</v>
      </c>
      <c r="BL144" s="104">
        <f t="shared" ref="BL144" si="999">IF(BH144=$BL$107,1,0)</f>
        <v>0</v>
      </c>
      <c r="BM144" s="104">
        <f t="shared" ref="BM144" si="1000">IF(BH144=$BM$107,1,0)</f>
        <v>0</v>
      </c>
      <c r="BN144" s="104">
        <f t="shared" ref="BN144" si="1001">IF(BH144=$BN$107,1,0)</f>
        <v>0</v>
      </c>
      <c r="BO144" s="543">
        <f t="shared" ref="BO144" si="1002">IF(BH144=$BO$107,1,0)</f>
        <v>0</v>
      </c>
      <c r="BP144" s="111"/>
      <c r="BQ144" s="108">
        <f t="shared" ref="BQ144" si="1003">IF(L144&lt;=1.5,IF(I144+IF(R144=1,0.5,0)&lt;1.5,(I144+IF(R144=1,0.5,0))*G144*2,G144*2*1.5),0)</f>
        <v>12.03</v>
      </c>
      <c r="BR144" s="108">
        <f t="shared" ref="BR144" si="1004">IF(L144&lt;=1.5,IF(AND(I144+IF(R144=1,0.5,0)&lt;3,I144+IF(R144=1,0.5,0)&gt;1.5),(I144+IF(R144=1,0.5,0)-1.5)*G144*2,IF(I144+IF(R144=1,0.5,0)&gt;=3,(G144*2*1.5),0)),0)</f>
        <v>11.777369999999998</v>
      </c>
      <c r="BS144" s="108">
        <f t="shared" ref="BS144" si="1005">IF(L144&lt;=1.5,IF(AND(I144+IF(R144=1,0.5,0)&lt;4.5,I144+IF(R144=1,0.5,0)&gt;3),(I144+IF(R144=1,0.5,0)-3)*G144*2,IF(I144+IF(R144=1,0.5,0)&gt;=4.5,(G144*2*1.5),0)),0)</f>
        <v>0</v>
      </c>
      <c r="BT144" s="112"/>
      <c r="BU144" s="112" t="s">
        <v>1410</v>
      </c>
      <c r="BV144" s="538">
        <f t="shared" ref="BV144" si="1006">IF(OR("BOCA DE LOBO EXISTENTE TRIPLA"=BH144,"BOCA DE LOBO EXISTENTE SIMPLES"=BH144,"BOCA DE LOBO EXISTENTE DUPLA"=BH144),0,IF("BOCA DE LOBO PROJETADA DUPLA"=BH144,(2.57+1)*(1.18+1),IF(OR("BOCA DE LOBO DUPLA EXISTENTE COM BOCA DE LOBO SIMPLES PROJETADA"=BH144,"BOCA DE LOBO SIMPLES EXISTENTE COM BOCA DE LOBO SIMPLES PROJETADA"=BH144),(1.18+0.5)*(1.18+1),IF(OR(BH144="BOCA DE LOBO DUPLA EXISTENTE COM BOCA DE LOBO DUPLA PROJETADA",BH144="BOCA DE LOBO SIMPLES EXISTENTE COM BOCA DE LOBO DUPLA PROJETADA"),(2.38+0.5)*(1.18+1),IF("BOCA DE LOBO PROJETADA TRIPLA"=BH144,(3.76+1)*(1.18+1),IF("BOCA DE LOBO PROJETADA QUADRUPLA"=BH144,(4.92+1)*(1.18+1),"X"))))))*(E144+IF(CA144&gt;0,0.5,0))</f>
        <v>9.1559999999999988</v>
      </c>
      <c r="BW144" s="538">
        <f t="shared" ref="BW144" si="1007">IF(OR("BOCA DE LOBO EXISTENTE TRIPLA"=BH144,"BOCA DE LOBO EXISTENTE SIMPLES"=BH144,"BOCA DE LOBO EXISTENTE DUPLA"=BH144),0,IF("BOCA DE LOBO PROJETADA DUPLA"=BH144,(2.57+1)*(1.18+1),IF(OR("BOCA DE LOBO DUPLA EXISTENTE COM BOCA DE LOBO SIMPLES PROJETADA"=BH144,"BOCA DE LOBO SIMPLES EXISTENTE COM BOCA DE LOBO SIMPLES PROJETADA"=BH144),(1.18+1)*(1.18+0.5),IF(OR(BH144="BOCA DE LOBO DUPLA EXISTENTE COM BOCA DE LOBO DUPLA PROJETADA",BH144="BOCA DE LOBO SIMPLES EXISTENTE COM BOCA DE LOBO DUPLA PROJETADA"),(2.38+0.5)*(1.18+1),IF("BOCA DE LOBO PROJETADA TRIPLA"=BH144,(3.76+0.5*2)*(1.18+1),IF("BOCA DE LOBO PROJETADA QUADRUPLA"=BH144,(4.92+0.5*2)*(1.18+1),"X"))))))</f>
        <v>3.6623999999999994</v>
      </c>
      <c r="BX144" s="538">
        <f t="shared" ref="BX144" si="1008">IF(OR("BOCA DE LOBO EXISTENTE TRIPLA"=BH144,"BOCA DE LOBO EXISTENTE SIMPLES"=BH144,"BOCA DE LOBO EXISTENTE DUPLA"=BH144),0,IF("BOCA DE LOBO PROJETADA DUPLA"=BH144,(2.57)*(1.18),IF(OR("BOCA DE LOBO DUPLA EXISTENTE COM BOCA DE LOBO SIMPLES PROJETADA"=BH144,"BOCA DE LOBO SIMPLES EXISTENTE COM BOCA DE LOBO SIMPLES PROJETADA"=BH144),(1.18)*(1.18),IF(OR(BH144="BOCA DE LOBO DUPLA EXISTENTE COM BOCA DE LOBO DUPLA PROJETADA",BH144="BOCA DE LOBO SIMPLES EXISTENTE COM BOCA DE LOBO DUPLA PROJETADA"),(2.38)*(1.18),IF("BOCA DE LOBO PROJETADA TRIPLA"=BH144,(3.76)*(1.18),IF("BOCA DE LOBO PROJETADA QUADRUPLA"=BH144,(4.92)*(1.18),"X"))))))</f>
        <v>1.3923999999999999</v>
      </c>
      <c r="BY144" s="538">
        <f t="shared" ref="BY144" si="1009">E144</f>
        <v>2.5</v>
      </c>
      <c r="BZ144" s="538">
        <f t="shared" ref="BZ144" si="1010">IF(Y144&gt;0.5,0,IF(S144&lt;E144,S144,E144))</f>
        <v>2.5</v>
      </c>
      <c r="CA144" s="538">
        <f t="shared" ref="CA144" si="1011">IF(Y144&gt;0.5,BY144+0.5,Y144)</f>
        <v>0</v>
      </c>
      <c r="CB144" s="538">
        <f t="shared" ref="CB144" si="1012">IF(S144&gt;E144,0,E144-S144)</f>
        <v>0</v>
      </c>
      <c r="CC144" s="538">
        <f t="shared" ref="CC144" si="1013">IF(BZ144&gt;1.5,BW144*1.5,BW144*BZ144)</f>
        <v>5.4935999999999989</v>
      </c>
      <c r="CD144" s="538">
        <f t="shared" ref="CD144" si="1014">IF(BZ144&gt;1.5,BW144*(BZ144-1.5),0)</f>
        <v>3.6623999999999994</v>
      </c>
      <c r="CE144" s="538">
        <f t="shared" ref="CE144" si="1015">IF(CA144&gt;1.5,BW144*1.5,BW144*CA144)</f>
        <v>0</v>
      </c>
      <c r="CF144" s="538">
        <f t="shared" ref="CF144" si="1016">IF(CA144&gt;1.5,BW144*(CA144-1.5),0)</f>
        <v>0</v>
      </c>
      <c r="CG144" s="538">
        <f t="shared" ref="CG144" si="1017">BV144-SUM(CC144:CF144)</f>
        <v>0</v>
      </c>
      <c r="CH144" s="538">
        <f t="shared" ref="CH144" si="1018">SUM(CC144:CG144)-BV144</f>
        <v>0</v>
      </c>
      <c r="CI144" s="104">
        <f t="shared" ref="CI144" si="1019">IF(OR("BOCA DE LOBO EXISTENTE TRIPLA"=BH144,"BOCA DE LOBO EXISTENTE SIMPLES"=BH144,"BOCA DE LOBO EXISTENTE DUPLA"=BH144),0,IF("BOCA DE LOBO PROJETADA DUPLA"=BH144,(2.57+1)*(0.5),IF(OR("BOCA DE LOBO DUPLA EXISTENTE COM BOCA DE LOBO SIMPLES PROJETADA"=BH144,"BOCA DE LOBO SIMPLES EXISTENTE COM BOCA DE LOBO SIMPLES PROJETADA"=BH144),(1.18+0.5)*(0.5),IF(OR(BH144="BOCA DE LOBO DUPLA EXISTENTE COM BOCA DE LOBO DUPLA PROJETADA",BH144="BOCA DE LOBO SIMPLES EXISTENTE COM BOCA DE LOBO DUPLA PROJETADA"),(2.38+0.5)*(0.5),IF("BOCA DE LOBO PROJETADA TRIPLA"=BH144,(3.76+1)*(0.5),IF("BOCA DE LOBO PROJETADA QUADRUPLA"=BH144,(4.92+1)*(0.5),"X")))))*0.3)</f>
        <v>0.252</v>
      </c>
      <c r="CJ144" s="538">
        <f t="shared" ref="CJ144" si="1020">(BW144-BX144)*(BY144+IF(CA144&gt;=0.4,0.4,0))-CI144</f>
        <v>5.4229999999999992</v>
      </c>
      <c r="CK144" s="538">
        <f t="shared" si="936"/>
        <v>5.4229999999999992</v>
      </c>
      <c r="CL144" s="538">
        <f t="shared" ref="CL144" si="1021">CJ144-CK144</f>
        <v>0</v>
      </c>
      <c r="CM144" s="538">
        <f t="shared" ref="CM144" si="1022">IF(CA144&gt;0,0.5*4%*BW144,0)</f>
        <v>0</v>
      </c>
      <c r="CN144" s="538">
        <f t="shared" ref="CN144" si="1023">IF(OR("BOCA DE LOBO EXISTENTE TRIPLA"=BH144,"BOCA DE LOBO EXISTENTE SIMPLES"=BH144,"BOCA DE LOBO EXISTENTE DUPLA"=BH144),0,IF("BOCA DE LOBO PROJETADA DUPLA"=BH144,(2.57+1),IF(OR("BOCA DE LOBO DUPLA EXISTENTE COM BOCA DE LOBO SIMPLES PROJETADA"=BH144,"BOCA DE LOBO SIMPLES EXISTENTE COM BOCA DE LOBO SIMPLES PROJETADA"=BH144),(1.18+0.5),IF(OR(BH144="BOCA DE LOBO DUPLA EXISTENTE COM BOCA DE LOBO DUPLA PROJETADA",BH144="BOCA DE LOBO SIMPLES EXISTENTE COM BOCA DE LOBO DUPLA PROJETADA"),(2.38+0.5),IF("BOCA DE LOBO PROJETADA TRIPLA"=BH144,(3.76+0.5*2),IF("BOCA DE LOBO PROJETADA QUADRUPLA"=BH144,(4.92+0.5*2),"X"))))))</f>
        <v>1.68</v>
      </c>
      <c r="CO144" s="538">
        <f t="shared" ref="CO144" si="1024">IF(CA144&gt;0,BY144+0.5,BY144)</f>
        <v>2.5</v>
      </c>
      <c r="CP144" s="538">
        <f t="shared" ref="CP144" si="1025">IF(CO144&gt;=1.5,CN144*1.5*2,CN144*CO144*2)</f>
        <v>5.04</v>
      </c>
      <c r="CQ144" s="538">
        <f t="shared" ref="CQ144" si="1026">IF(CO144&lt;=1.5,0,IF(CO144&gt;=3,CN144*1.5*2,CN144*(CO144-1.5)*2))</f>
        <v>3.36</v>
      </c>
      <c r="CR144" s="539">
        <f t="shared" ref="CR144" si="1027">IF(D144="AMPLIADA",0.55*(E144-0.5),0)</f>
        <v>1.1000000000000001</v>
      </c>
      <c r="CS144" s="540">
        <f t="shared" ref="CS144" si="1028">IF(OR("BOCA DE LOBO EXISTENTE TRIPLA"=BH144,"BOCA DE LOBO EXISTENTE SIMPLES"=BH144,"BOCA DE LOBO EXISTENTE DUPLA"=BH144,"BOCA DE LOBO EXISTENTE QUADRUPLA"=BH144),0,IF("BOCA DE LOBO PROJETADA DUPLA"=BH144,(0),IF(OR("BOCA DE LOBO DUPLA EXISTENTE COM BOCA DE LOBO SIMPLES PROJETADA"=BH144,"BOCA DE LOBO SIMPLES EXISTENTE COM BOCA DE LOBO SIMPLES PROJETADA"=BH144),(0.8*0.15*0.17),IF(OR(BH144="BOCA DE LOBO DUPLA EXISTENTE COM BOCA DE LOBO DUPLA PROJETADA",BH144="BOCA DE LOBO SIMPLES EXISTENTE COM BOCA DE LOBO DUPLA PROJETADA"),(0.8*0.15*0.17),IF("BOCA DE LOBO PROJETADA TRIPLA"=BH144,(0),IF("BOCA DE LOBO PROJETADA QUADRUPLA"=BH144,(0),"X")))))*E144)</f>
        <v>5.1000000000000004E-2</v>
      </c>
      <c r="CT144" s="540">
        <f t="shared" ref="CT144" si="1029">IF(OR("BOCA DE LOBO EXISTENTE TRIPLA"=BH144,"BOCA DE LOBO EXISTENTE SIMPLES"=BH144,"BOCA DE LOBO EXISTENTE DUPLA"=BH144,"BOCA DE LOBO EXISTENTE QUADRUPLA"=BH144),0,IF("BOCA DE LOBO PROJETADA DUPLA"=BH144,(1.18*2.57*0.05),IF(OR("BOCA DE LOBO DUPLA EXISTENTE COM BOCA DE LOBO SIMPLES PROJETADA"=BH144,"BOCA DE LOBO SIMPLES EXISTENTE COM BOCA DE LOBO SIMPLES PROJETADA"=BH144),(1.19*1.18*0.05),IF(OR(BH144="BOCA DE LOBO DUPLA EXISTENTE COM BOCA DE LOBO DUPLA PROJETADA",BH144="BOCA DE LOBO SIMPLES EXISTENTE COM BOCA DE LOBO DUPLA PROJETADA"),(2.38*1.18*0.056),IF("BOCA DE LOBO PROJETADA TRIPLA"=BH144,(3.76*1.18*0.05),IF("BOCA DE LOBO PROJETADA QUADRUPLA"=BH144,(4.92*1.18*0.05),"X")))))+CI144/3)</f>
        <v>0.15421000000000001</v>
      </c>
      <c r="CU144" s="541">
        <f t="shared" ref="CU144" si="1030">IF(OR("BOCA DE LOBO EXISTENTE TRIPLA"=BH144,"BOCA DE LOBO EXISTENTE SIMPLES"=BH144,"BOCA DE LOBO EXISTENTE DUPLA"=BH144,"BOCA DE LOBO EXISTENTE QUADRUPLA"=BH144),0,IF("BOCA DE LOBO PROJETADA DUPLA"=BH144,(1*4+0.6*2),IF(OR("BOCA DE LOBO DUPLA EXISTENTE COM BOCA DE LOBO SIMPLES PROJETADA"=BH144,"BOCA DE LOBO SIMPLES EXISTENTE COM BOCA DE LOBO SIMPLES PROJETADA"=BH144),(1*2+0.6),IF(OR(BH144="BOCA DE LOBO DUPLA EXISTENTE COM BOCA DE LOBO DUPLA PROJETADA",BH144="BOCA DE LOBO SIMPLES EXISTENTE COM BOCA DE LOBO DUPLA PROJETADA"),(1*4+0.6),IF("BOCA DE LOBO PROJETADA TRIPLA"=BH144,(6*1+0.6*2),IF("BOCA DE LOBO PROJETADA QUADRUPLA"=BH144,(8*1+0.6*2),"X")))))*E144)</f>
        <v>6.5</v>
      </c>
      <c r="CV144" s="538">
        <f t="shared" ref="CV144" si="1031">IF(OR("BOCA DE LOBO EXISTENTE TRIPLA"=BH144,"BOCA DE LOBO EXISTENTE SIMPLES"=BH144,"BOCA DE LOBO EXISTENTE DUPLA"=BH144,"BOCA DE LOBO EXISTENTE QUADRUPLA"=BH144),0,IF("BOCA DE LOBO PROJETADA DUPLA"=BH144,(12*E144*0.17*0.15+1*0.17*0.15*5+1.09*0.6*0.07*2+2.57*1.18*0.15),IF(OR("BOCA DE LOBO DUPLA EXISTENTE COM BOCA DE LOBO SIMPLES PROJETADA"=BH144,"BOCA DE LOBO SIMPLES EXISTENTE COM BOCA DE LOBO SIMPLES PROJETADA"=BH144),(8*E144*0.17*0.15+1*0.17*0.15*4+1.09*0.6*0.07*1+1.38*1.18*0.15),IF(OR(BH144="BOCA DE LOBO DUPLA EXISTENTE COM BOCA DE LOBO DUPLA PROJETADA",BH144="BOCA DE LOBO SIMPLES EXISTENTE COM BOCA DE LOBO DUPLA PROJETADA"),(7*E144*0.17*0.15+1*0.17*0.15*5+1.09*0.6*0.07*2+2.38*1.18*0.15),IF("BOCA DE LOBO PROJETADA TRIPLA"=BH144,(15*E144*0.17*0.15+1*0.17*0.15*7+1.09*0.6*0.07*3+3.76*1.18*0.15),IF("BOCA DE LOBO PROJETADA QUADRUPLA"=BH144,(19*E144*0.17*0.15+1*0.17*0.15*9+1.09*0.6*0.07*4+4.92*1.18*0.15),"X"))))))</f>
        <v>0.90203999999999995</v>
      </c>
      <c r="CW144" s="538">
        <f t="shared" ref="CW144" si="1032">IF(OR("BOCA DE LOBO EXISTENTE TRIPLA"=BH144,"BOCA DE LOBO EXISTENTE SIMPLES"=BH144,"BOCA DE LOBO EXISTENTE DUPLA"=BH144,"BOCA DE LOBO EXISTENTE QUADRUPLA"=BH144),0,IF("BOCA DE LOBO PROJETADA DUPLA"=BH144,(12*E144*2*(0.17+0.15)+1*(2*0.17+0.15)*5+2*(2.57+1.18)*0.15+(1.09+0.6)*2*0.07*2),IF(OR("BOCA DE LOBO DUPLA EXISTENTE COM BOCA DE LOBO SIMPLES PROJETADA"=BH144,"BOCA DE LOBO SIMPLES EXISTENTE COM BOCA DE LOBO SIMPLES PROJETADA"=BH144),(8*E144*2*(0.17+0.15)+1*(2*0.17+0.15)*4+2*(1.38+1.18)*0.15+(1.09+0.6)*2*0.07*1),IF(OR(BH144="BOCA DE LOBO DUPLA EXISTENTE COM BOCA DE LOBO DUPLA PROJETADA",BH144="BOCA DE LOBO SIMPLES EXISTENTE COM BOCA DE LOBO DUPLA PROJETADA"),(7*E144*2*(0.17+0.15)+1*(2*0.17+0.15)*5+2*(2.38+1.18)*0.15+(1.09+0.6)*2*0.07*2),IF("BOCA DE LOBO PROJETADA TRIPLA"=BH144,(15*E144*2*(0.17+0.15)+1*(2*0.17+0.15)*7+2*(3.76+1.18)*0.15+(1.09+0.6)*2*0.07*3),IF("BOCA DE LOBO PROJETADA QUADRUPLA"=BH144,(19*E144*2*(0.17+0.15)+1*(2*0.17+0.15)*7+2*(4.92+1.18)*0.15+(1.09+0.6)*2*0.07*4),"X"))))))</f>
        <v>15.764600000000002</v>
      </c>
      <c r="CX144" s="104">
        <f t="shared" ref="CX144" si="1033">IF(OR("BOCA DE LOBO EXISTENTE TRIPLA"=BH144,"BOCA DE LOBO EXISTENTE SIMPLES"=BH144,"BOCA DE LOBO EXISTENTE DUPLA"=BH144,"BOCA DE LOBO EXISTENTE QUADRUPLA"=BH144),0,IF("BOCA DE LOBO PROJETADA DUPLA"=BH144,(2.57+1),IF(OR("BOCA DE LOBO DUPLA EXISTENTE COM BOCA DE LOBO SIMPLES PROJETADA"=BH144,"BOCA DE LOBO SIMPLES EXISTENTE COM BOCA DE LOBO SIMPLES PROJETADA"=BH144),(1.18+0.5),IF(OR(BH144="BOCA DE LOBO DUPLA EXISTENTE COM BOCA DE LOBO DUPLA PROJETADA",BH144="BOCA DE LOBO SIMPLES EXISTENTE COM BOCA DE LOBO DUPLA PROJETADA"),(2.38+0.5),IF("BOCA DE LOBO PROJETADA TRIPLA"=BH144,(3.76+1),IF("BOCA DE LOBO PROJETADA QUADRUPLA"=BH144,(4.92+1),"X"))))))</f>
        <v>1.68</v>
      </c>
      <c r="CY144" s="542">
        <f t="shared" ref="CY144" si="1034">CX144*0.5</f>
        <v>0.84</v>
      </c>
      <c r="CZ144" s="538">
        <f t="shared" ref="CZ144" si="1035">IF(AND(C144="EXISTENTE",D144="PROJETADA"),PI()*0.51*0.51/4*0.12,0)</f>
        <v>0</v>
      </c>
    </row>
    <row r="145" spans="1:104" ht="37.5" x14ac:dyDescent="0.25">
      <c r="A145" s="100" t="str">
        <f>'BOCA DE LOBO'!C135</f>
        <v>BL36-&gt;PV3.1</v>
      </c>
      <c r="B145" s="100" t="str">
        <f>'BOCA DE LOBO'!A135</f>
        <v>PV3.1</v>
      </c>
      <c r="C145" s="100" t="str">
        <f>VLOOKUP(A145,'BOCA DE LOBO'!C:F,3,0)</f>
        <v>PROJETADO</v>
      </c>
      <c r="D145" s="100" t="str">
        <f>VLOOKUP(A145,'BOCA DE LOBO'!C:M,10,0)</f>
        <v>AMPLIADA</v>
      </c>
      <c r="E145" s="100">
        <f t="shared" si="866"/>
        <v>2.5</v>
      </c>
      <c r="F145" s="100">
        <f>VLOOKUP(A145,'BOCA DE LOBO'!$C$97:$P$172,2,0)</f>
        <v>3</v>
      </c>
      <c r="G145" s="100">
        <f>VLOOKUP(A145,'BOCA DE LOBO'!$C$97:$L$172,4,0)</f>
        <v>3.94</v>
      </c>
      <c r="H145" s="101">
        <v>400</v>
      </c>
      <c r="I145" s="102">
        <f t="shared" si="867"/>
        <v>2.88</v>
      </c>
      <c r="J145" s="102">
        <f t="shared" si="868"/>
        <v>0.56735999999999998</v>
      </c>
      <c r="K145" s="103">
        <v>0</v>
      </c>
      <c r="L145" s="104">
        <f t="shared" si="869"/>
        <v>0</v>
      </c>
      <c r="M145" s="104">
        <f t="shared" si="870"/>
        <v>0</v>
      </c>
      <c r="N145" s="104">
        <f t="shared" si="871"/>
        <v>400</v>
      </c>
      <c r="O145" s="104">
        <f t="shared" si="872"/>
        <v>0</v>
      </c>
      <c r="P145" s="105" t="str">
        <f>VLOOKUP(B145,'Planilha Hidráulica'!$AE$49:$AQ$94,13,0)</f>
        <v>ASFALTO</v>
      </c>
      <c r="Q145" s="452" t="s">
        <v>2066</v>
      </c>
      <c r="R145" s="105"/>
      <c r="S145" s="105">
        <f>VLOOKUP(Q145,Quantitativos!$P$43:$R$88,3,0)</f>
        <v>5</v>
      </c>
      <c r="T145" s="105">
        <f>VLOOKUP(Q145,Quantitativos!$P$43:$S$88,4,0)</f>
        <v>5</v>
      </c>
      <c r="U145" s="104">
        <f t="shared" si="873"/>
        <v>0.05</v>
      </c>
      <c r="V145" s="106">
        <f t="shared" si="874"/>
        <v>0</v>
      </c>
      <c r="W145" s="106">
        <f t="shared" si="875"/>
        <v>0</v>
      </c>
      <c r="X145" s="107">
        <f t="shared" si="876"/>
        <v>0</v>
      </c>
      <c r="Y145" s="107">
        <f t="shared" si="877"/>
        <v>0</v>
      </c>
      <c r="Z145" s="107">
        <f t="shared" si="878"/>
        <v>2.88</v>
      </c>
      <c r="AA145" s="107">
        <f t="shared" si="879"/>
        <v>0</v>
      </c>
      <c r="AB145" s="108">
        <f t="shared" si="880"/>
        <v>0</v>
      </c>
      <c r="AC145" s="109">
        <f t="shared" si="881"/>
        <v>0</v>
      </c>
      <c r="AD145" s="109">
        <f t="shared" si="882"/>
        <v>0</v>
      </c>
      <c r="AE145" s="109">
        <f t="shared" si="883"/>
        <v>0</v>
      </c>
      <c r="AF145" s="109">
        <f t="shared" si="884"/>
        <v>0</v>
      </c>
      <c r="AG145" s="109">
        <f t="shared" si="885"/>
        <v>0</v>
      </c>
      <c r="AH145" s="109">
        <f t="shared" si="886"/>
        <v>0</v>
      </c>
      <c r="AI145" s="537" t="str">
        <f t="shared" si="887"/>
        <v>NÃO</v>
      </c>
      <c r="AJ145" s="104">
        <f t="shared" si="888"/>
        <v>0</v>
      </c>
      <c r="AK145" s="104">
        <f t="shared" si="889"/>
        <v>0</v>
      </c>
      <c r="AL145" s="104">
        <f t="shared" si="890"/>
        <v>0</v>
      </c>
      <c r="AM145" s="102">
        <f t="shared" si="891"/>
        <v>0</v>
      </c>
      <c r="AN145" s="106">
        <f t="shared" si="892"/>
        <v>0</v>
      </c>
      <c r="AO145" s="104">
        <f t="shared" si="893"/>
        <v>0</v>
      </c>
      <c r="AP145" s="104">
        <f t="shared" si="894"/>
        <v>0</v>
      </c>
      <c r="AQ145" s="104">
        <f t="shared" si="895"/>
        <v>0.7</v>
      </c>
      <c r="AR145" s="104">
        <f t="shared" si="896"/>
        <v>0</v>
      </c>
      <c r="AS145" s="104">
        <f t="shared" si="897"/>
        <v>0</v>
      </c>
      <c r="AT145" s="104">
        <f t="shared" si="898"/>
        <v>0</v>
      </c>
      <c r="AU145" s="104">
        <f t="shared" si="899"/>
        <v>0</v>
      </c>
      <c r="AV145" s="104">
        <f t="shared" si="900"/>
        <v>0</v>
      </c>
      <c r="AW145" s="104">
        <f t="shared" si="901"/>
        <v>0</v>
      </c>
      <c r="AX145" s="104">
        <f t="shared" si="902"/>
        <v>0</v>
      </c>
      <c r="AY145" s="104">
        <f t="shared" si="903"/>
        <v>0</v>
      </c>
      <c r="AZ145" s="104">
        <f t="shared" si="904"/>
        <v>0</v>
      </c>
      <c r="BA145" s="104">
        <f t="shared" si="905"/>
        <v>0</v>
      </c>
      <c r="BB145" s="104">
        <f t="shared" si="906"/>
        <v>0</v>
      </c>
      <c r="BC145" s="104"/>
      <c r="BD145" s="104">
        <f t="shared" si="907"/>
        <v>0</v>
      </c>
      <c r="BE145" s="108">
        <f t="shared" si="908"/>
        <v>2.88</v>
      </c>
      <c r="BF145" s="110">
        <f t="shared" si="909"/>
        <v>0</v>
      </c>
      <c r="BG145" s="110">
        <f t="shared" si="910"/>
        <v>3.94</v>
      </c>
      <c r="BH145" s="105" t="str">
        <f>VLOOKUP(A145,'BOCA DE LOBO'!$C$99:$P$172,7,0)</f>
        <v>BOCA DE LOBO DUPLA EXISTENTE COM BOCA DE LOBO SIMPLES PROJETADA</v>
      </c>
      <c r="BI145" s="104">
        <f t="shared" si="911"/>
        <v>0</v>
      </c>
      <c r="BJ145" s="104">
        <f t="shared" si="912"/>
        <v>0</v>
      </c>
      <c r="BK145" s="104">
        <f t="shared" si="913"/>
        <v>1</v>
      </c>
      <c r="BL145" s="104">
        <f t="shared" si="914"/>
        <v>0</v>
      </c>
      <c r="BM145" s="104">
        <f t="shared" si="915"/>
        <v>0</v>
      </c>
      <c r="BN145" s="104">
        <f t="shared" si="916"/>
        <v>0</v>
      </c>
      <c r="BO145" s="543">
        <f t="shared" si="917"/>
        <v>0</v>
      </c>
      <c r="BP145" s="111"/>
      <c r="BQ145" s="108">
        <f t="shared" si="918"/>
        <v>11.82</v>
      </c>
      <c r="BR145" s="108">
        <f t="shared" si="919"/>
        <v>10.8744</v>
      </c>
      <c r="BS145" s="108">
        <f t="shared" si="920"/>
        <v>0</v>
      </c>
      <c r="BT145" s="112"/>
      <c r="BU145" s="112" t="s">
        <v>1410</v>
      </c>
      <c r="BV145" s="538">
        <f t="shared" si="921"/>
        <v>9.1559999999999988</v>
      </c>
      <c r="BW145" s="538">
        <f t="shared" si="922"/>
        <v>3.6623999999999994</v>
      </c>
      <c r="BX145" s="538">
        <f t="shared" si="923"/>
        <v>1.3923999999999999</v>
      </c>
      <c r="BY145" s="538">
        <f t="shared" si="924"/>
        <v>2.5</v>
      </c>
      <c r="BZ145" s="538">
        <f t="shared" si="925"/>
        <v>2.5</v>
      </c>
      <c r="CA145" s="538">
        <f t="shared" si="926"/>
        <v>0</v>
      </c>
      <c r="CB145" s="538">
        <f t="shared" si="927"/>
        <v>0</v>
      </c>
      <c r="CC145" s="538">
        <f t="shared" si="928"/>
        <v>5.4935999999999989</v>
      </c>
      <c r="CD145" s="538">
        <f t="shared" si="929"/>
        <v>3.6623999999999994</v>
      </c>
      <c r="CE145" s="538">
        <f t="shared" si="930"/>
        <v>0</v>
      </c>
      <c r="CF145" s="538">
        <f t="shared" si="931"/>
        <v>0</v>
      </c>
      <c r="CG145" s="538">
        <f t="shared" si="932"/>
        <v>0</v>
      </c>
      <c r="CH145" s="538">
        <f t="shared" si="933"/>
        <v>0</v>
      </c>
      <c r="CI145" s="104">
        <f t="shared" si="934"/>
        <v>0.252</v>
      </c>
      <c r="CJ145" s="538">
        <f t="shared" si="935"/>
        <v>5.4229999999999992</v>
      </c>
      <c r="CK145" s="538">
        <f t="shared" si="936"/>
        <v>5.4229999999999992</v>
      </c>
      <c r="CL145" s="538">
        <f t="shared" si="937"/>
        <v>0</v>
      </c>
      <c r="CM145" s="538">
        <f t="shared" si="938"/>
        <v>0</v>
      </c>
      <c r="CN145" s="538">
        <f t="shared" si="939"/>
        <v>1.68</v>
      </c>
      <c r="CO145" s="538">
        <f t="shared" si="940"/>
        <v>2.5</v>
      </c>
      <c r="CP145" s="538">
        <f t="shared" si="941"/>
        <v>5.04</v>
      </c>
      <c r="CQ145" s="538">
        <f t="shared" si="942"/>
        <v>3.36</v>
      </c>
      <c r="CR145" s="539">
        <f t="shared" si="943"/>
        <v>1.1000000000000001</v>
      </c>
      <c r="CS145" s="540">
        <f t="shared" si="944"/>
        <v>5.1000000000000004E-2</v>
      </c>
      <c r="CT145" s="540">
        <f t="shared" si="945"/>
        <v>0.15421000000000001</v>
      </c>
      <c r="CU145" s="541">
        <f t="shared" si="946"/>
        <v>6.5</v>
      </c>
      <c r="CV145" s="538">
        <f t="shared" si="947"/>
        <v>0.90203999999999995</v>
      </c>
      <c r="CW145" s="538">
        <f t="shared" si="948"/>
        <v>15.764600000000002</v>
      </c>
      <c r="CX145" s="104">
        <f t="shared" si="949"/>
        <v>1.68</v>
      </c>
      <c r="CY145" s="542">
        <f t="shared" si="950"/>
        <v>0.84</v>
      </c>
      <c r="CZ145" s="538">
        <f t="shared" si="951"/>
        <v>0</v>
      </c>
    </row>
    <row r="146" spans="1:104" ht="37.5" x14ac:dyDescent="0.25">
      <c r="A146" s="100" t="str">
        <f>'BOCA DE LOBO'!C136</f>
        <v>BL37-&gt;PV3.1</v>
      </c>
      <c r="B146" s="100" t="str">
        <f>'BOCA DE LOBO'!A136</f>
        <v>PV3.1</v>
      </c>
      <c r="C146" s="100" t="str">
        <f>VLOOKUP(A146,'BOCA DE LOBO'!C:F,3,0)</f>
        <v>PROJETADO</v>
      </c>
      <c r="D146" s="100" t="str">
        <f>VLOOKUP(A146,'BOCA DE LOBO'!C:M,10,0)</f>
        <v>AMPLIADA</v>
      </c>
      <c r="E146" s="100">
        <f t="shared" si="866"/>
        <v>2.5</v>
      </c>
      <c r="F146" s="100">
        <f>VLOOKUP(A146,'BOCA DE LOBO'!$C$97:$P$172,2,0)</f>
        <v>3</v>
      </c>
      <c r="G146" s="100">
        <f>VLOOKUP(A146,'BOCA DE LOBO'!$C$97:$L$172,4,0)</f>
        <v>9.44</v>
      </c>
      <c r="H146" s="101">
        <v>400</v>
      </c>
      <c r="I146" s="102">
        <f t="shared" si="867"/>
        <v>2.88</v>
      </c>
      <c r="J146" s="102">
        <f t="shared" si="868"/>
        <v>1.3593599999999999</v>
      </c>
      <c r="K146" s="103">
        <v>0</v>
      </c>
      <c r="L146" s="104">
        <f t="shared" si="869"/>
        <v>0</v>
      </c>
      <c r="M146" s="104">
        <f t="shared" si="870"/>
        <v>0</v>
      </c>
      <c r="N146" s="104">
        <f t="shared" si="871"/>
        <v>400</v>
      </c>
      <c r="O146" s="104">
        <f t="shared" si="872"/>
        <v>0</v>
      </c>
      <c r="P146" s="105" t="str">
        <f>VLOOKUP(B146,'Planilha Hidráulica'!$AE$49:$AQ$94,13,0)</f>
        <v>ASFALTO</v>
      </c>
      <c r="Q146" s="452" t="s">
        <v>2066</v>
      </c>
      <c r="R146" s="105"/>
      <c r="S146" s="105">
        <f>VLOOKUP(Q146,Quantitativos!$P$43:$R$88,3,0)</f>
        <v>5</v>
      </c>
      <c r="T146" s="105">
        <f>VLOOKUP(Q146,Quantitativos!$P$43:$S$88,4,0)</f>
        <v>5</v>
      </c>
      <c r="U146" s="104">
        <f t="shared" si="873"/>
        <v>0.05</v>
      </c>
      <c r="V146" s="106">
        <f t="shared" si="874"/>
        <v>0</v>
      </c>
      <c r="W146" s="106">
        <f t="shared" si="875"/>
        <v>0</v>
      </c>
      <c r="X146" s="107">
        <f t="shared" si="876"/>
        <v>0</v>
      </c>
      <c r="Y146" s="107">
        <f t="shared" si="877"/>
        <v>0</v>
      </c>
      <c r="Z146" s="107">
        <f t="shared" si="878"/>
        <v>2.88</v>
      </c>
      <c r="AA146" s="107">
        <f t="shared" si="879"/>
        <v>0</v>
      </c>
      <c r="AB146" s="108">
        <f t="shared" si="880"/>
        <v>0</v>
      </c>
      <c r="AC146" s="109">
        <f t="shared" si="881"/>
        <v>0</v>
      </c>
      <c r="AD146" s="109">
        <f t="shared" si="882"/>
        <v>0</v>
      </c>
      <c r="AE146" s="109">
        <f t="shared" si="883"/>
        <v>0</v>
      </c>
      <c r="AF146" s="109">
        <f t="shared" si="884"/>
        <v>0</v>
      </c>
      <c r="AG146" s="109">
        <f t="shared" si="885"/>
        <v>0</v>
      </c>
      <c r="AH146" s="109">
        <f t="shared" si="886"/>
        <v>0</v>
      </c>
      <c r="AI146" s="537" t="str">
        <f t="shared" si="887"/>
        <v>NÃO</v>
      </c>
      <c r="AJ146" s="104">
        <f t="shared" si="888"/>
        <v>0</v>
      </c>
      <c r="AK146" s="104">
        <f t="shared" si="889"/>
        <v>0</v>
      </c>
      <c r="AL146" s="104">
        <f t="shared" si="890"/>
        <v>0</v>
      </c>
      <c r="AM146" s="102">
        <f t="shared" si="891"/>
        <v>0</v>
      </c>
      <c r="AN146" s="106">
        <f t="shared" si="892"/>
        <v>0</v>
      </c>
      <c r="AO146" s="104">
        <f t="shared" si="893"/>
        <v>0</v>
      </c>
      <c r="AP146" s="104">
        <f t="shared" si="894"/>
        <v>0</v>
      </c>
      <c r="AQ146" s="104">
        <f t="shared" si="895"/>
        <v>0.7</v>
      </c>
      <c r="AR146" s="104">
        <f t="shared" si="896"/>
        <v>0</v>
      </c>
      <c r="AS146" s="104">
        <f t="shared" si="897"/>
        <v>0</v>
      </c>
      <c r="AT146" s="104">
        <f t="shared" si="898"/>
        <v>0</v>
      </c>
      <c r="AU146" s="104">
        <f t="shared" si="899"/>
        <v>0</v>
      </c>
      <c r="AV146" s="104">
        <f t="shared" si="900"/>
        <v>0</v>
      </c>
      <c r="AW146" s="104">
        <f t="shared" si="901"/>
        <v>0</v>
      </c>
      <c r="AX146" s="104">
        <f t="shared" si="902"/>
        <v>0</v>
      </c>
      <c r="AY146" s="104">
        <f t="shared" si="903"/>
        <v>0</v>
      </c>
      <c r="AZ146" s="104">
        <f t="shared" si="904"/>
        <v>0</v>
      </c>
      <c r="BA146" s="104">
        <f t="shared" si="905"/>
        <v>0</v>
      </c>
      <c r="BB146" s="104">
        <f t="shared" si="906"/>
        <v>0</v>
      </c>
      <c r="BC146" s="104"/>
      <c r="BD146" s="104">
        <f t="shared" si="907"/>
        <v>0</v>
      </c>
      <c r="BE146" s="108">
        <f t="shared" si="908"/>
        <v>2.88</v>
      </c>
      <c r="BF146" s="110">
        <f t="shared" si="909"/>
        <v>0</v>
      </c>
      <c r="BG146" s="110">
        <f t="shared" si="910"/>
        <v>9.44</v>
      </c>
      <c r="BH146" s="105" t="str">
        <f>VLOOKUP(A146,'BOCA DE LOBO'!$C$99:$P$172,7,0)</f>
        <v>BOCA DE LOBO DUPLA EXISTENTE COM BOCA DE LOBO SIMPLES PROJETADA</v>
      </c>
      <c r="BI146" s="104">
        <f t="shared" si="911"/>
        <v>0</v>
      </c>
      <c r="BJ146" s="104">
        <f t="shared" si="912"/>
        <v>0</v>
      </c>
      <c r="BK146" s="104">
        <f t="shared" si="913"/>
        <v>1</v>
      </c>
      <c r="BL146" s="104">
        <f t="shared" si="914"/>
        <v>0</v>
      </c>
      <c r="BM146" s="104">
        <f t="shared" si="915"/>
        <v>0</v>
      </c>
      <c r="BN146" s="104">
        <f t="shared" si="916"/>
        <v>0</v>
      </c>
      <c r="BO146" s="543">
        <f t="shared" si="917"/>
        <v>0</v>
      </c>
      <c r="BP146" s="111"/>
      <c r="BQ146" s="108">
        <f t="shared" si="918"/>
        <v>28.32</v>
      </c>
      <c r="BR146" s="108">
        <f t="shared" si="919"/>
        <v>26.054399999999998</v>
      </c>
      <c r="BS146" s="108">
        <f t="shared" si="920"/>
        <v>0</v>
      </c>
      <c r="BT146" s="112"/>
      <c r="BU146" s="112" t="s">
        <v>1410</v>
      </c>
      <c r="BV146" s="538">
        <f t="shared" si="921"/>
        <v>9.1559999999999988</v>
      </c>
      <c r="BW146" s="538">
        <f t="shared" si="922"/>
        <v>3.6623999999999994</v>
      </c>
      <c r="BX146" s="538">
        <f t="shared" si="923"/>
        <v>1.3923999999999999</v>
      </c>
      <c r="BY146" s="538">
        <f t="shared" si="924"/>
        <v>2.5</v>
      </c>
      <c r="BZ146" s="538">
        <f t="shared" si="925"/>
        <v>2.5</v>
      </c>
      <c r="CA146" s="538">
        <f t="shared" si="926"/>
        <v>0</v>
      </c>
      <c r="CB146" s="538">
        <f t="shared" si="927"/>
        <v>0</v>
      </c>
      <c r="CC146" s="538">
        <f t="shared" si="928"/>
        <v>5.4935999999999989</v>
      </c>
      <c r="CD146" s="538">
        <f t="shared" si="929"/>
        <v>3.6623999999999994</v>
      </c>
      <c r="CE146" s="538">
        <f t="shared" si="930"/>
        <v>0</v>
      </c>
      <c r="CF146" s="538">
        <f t="shared" si="931"/>
        <v>0</v>
      </c>
      <c r="CG146" s="538">
        <f t="shared" si="932"/>
        <v>0</v>
      </c>
      <c r="CH146" s="538">
        <f t="shared" si="933"/>
        <v>0</v>
      </c>
      <c r="CI146" s="104">
        <f t="shared" si="934"/>
        <v>0.252</v>
      </c>
      <c r="CJ146" s="538">
        <f t="shared" si="935"/>
        <v>5.4229999999999992</v>
      </c>
      <c r="CK146" s="538">
        <f t="shared" si="936"/>
        <v>5.4229999999999992</v>
      </c>
      <c r="CL146" s="538">
        <f t="shared" si="937"/>
        <v>0</v>
      </c>
      <c r="CM146" s="538">
        <f t="shared" si="938"/>
        <v>0</v>
      </c>
      <c r="CN146" s="538">
        <f t="shared" si="939"/>
        <v>1.68</v>
      </c>
      <c r="CO146" s="538">
        <f t="shared" si="940"/>
        <v>2.5</v>
      </c>
      <c r="CP146" s="538">
        <f t="shared" si="941"/>
        <v>5.04</v>
      </c>
      <c r="CQ146" s="538">
        <f t="shared" si="942"/>
        <v>3.36</v>
      </c>
      <c r="CR146" s="539">
        <f t="shared" si="943"/>
        <v>1.1000000000000001</v>
      </c>
      <c r="CS146" s="540">
        <f t="shared" si="944"/>
        <v>5.1000000000000004E-2</v>
      </c>
      <c r="CT146" s="540">
        <f t="shared" si="945"/>
        <v>0.15421000000000001</v>
      </c>
      <c r="CU146" s="541">
        <f t="shared" si="946"/>
        <v>6.5</v>
      </c>
      <c r="CV146" s="538">
        <f t="shared" si="947"/>
        <v>0.90203999999999995</v>
      </c>
      <c r="CW146" s="538">
        <f t="shared" si="948"/>
        <v>15.764600000000002</v>
      </c>
      <c r="CX146" s="104">
        <f t="shared" si="949"/>
        <v>1.68</v>
      </c>
      <c r="CY146" s="542">
        <f t="shared" si="950"/>
        <v>0.84</v>
      </c>
      <c r="CZ146" s="538">
        <f t="shared" si="951"/>
        <v>0</v>
      </c>
    </row>
    <row r="147" spans="1:104" ht="25" x14ac:dyDescent="0.25">
      <c r="A147" s="100" t="str">
        <f>'BOCA DE LOBO'!C137</f>
        <v>BL38-&gt;PV4.1</v>
      </c>
      <c r="B147" s="100" t="str">
        <f>'BOCA DE LOBO'!A137</f>
        <v>PV4.1</v>
      </c>
      <c r="C147" s="100" t="str">
        <f>VLOOKUP(A147,'BOCA DE LOBO'!C:F,3,0)</f>
        <v>PROJETADO</v>
      </c>
      <c r="D147" s="100" t="str">
        <f>VLOOKUP(A147,'BOCA DE LOBO'!C:M,10,0)</f>
        <v>PROJETADA</v>
      </c>
      <c r="E147" s="100">
        <f t="shared" ref="E147" si="1036">IF(F147-G147*4%&lt;2.5,F147-G147*4%,2.5)</f>
        <v>2.5</v>
      </c>
      <c r="F147" s="100">
        <f>VLOOKUP(A147,'BOCA DE LOBO'!$C$97:$P$172,2,0)</f>
        <v>3.03</v>
      </c>
      <c r="G147" s="100">
        <f>VLOOKUP(A147,'BOCA DE LOBO'!$C$97:$L$172,4,0)</f>
        <v>4.34</v>
      </c>
      <c r="H147" s="101">
        <v>400</v>
      </c>
      <c r="I147" s="102">
        <f t="shared" ref="I147" si="1037">IF(H147=400,((E147+F147)/2)+0.08+U147,IF(H147=500,((E147+F147)/2)+0.1+U147,IF(H147=600,((E147+F147)/2)+0.12+U147,IF(H147=800,((E147+F147)/2)+0.16+U147,IF(H147=1000,((E147+F147)/2)+0.2+U147,IF(H147=1200,((E147+F147)/2)+0.24+U147,IF(H147=1500,((E147+F147)/2)+0.3+U147,IF(H147&gt;1500,((E147+F147)/2)+0.4+U147))))))))</f>
        <v>2.8949999999999996</v>
      </c>
      <c r="J147" s="102">
        <f t="shared" ref="J147" si="1038">IF(I147&gt;=1.25,G147*I147/20,0)</f>
        <v>0.62821499999999986</v>
      </c>
      <c r="K147" s="103">
        <v>0</v>
      </c>
      <c r="L147" s="104">
        <f t="shared" ref="L147" si="1039">IF(D147&lt;&gt;"PROJETADA",0,IF(H147=400,1,0)+IF(H147=500,1.2,0)+IF(H147=600,1.4,0)+IF(H147=800,1.7,0)+IF(H147=1000,2,0)+IF(H147=1200,2.2,0)+IF(H147=1500,2.6,0)+IF(H147=1650,3,0)+IF(H147=1800,3.2,0)+IF(H147=2000,3.4,0)+IF(H147=2200,3.6,0)+IF(H147=2400,3.8,0)+IF(H147=2600,4,0)+IF(H147=3000,4.4,0))</f>
        <v>1</v>
      </c>
      <c r="M147" s="104">
        <f t="shared" ref="M147" si="1040">2*K147*I147+L147</f>
        <v>1</v>
      </c>
      <c r="N147" s="104">
        <f t="shared" ref="N147" si="1041">IF(OR(D147="EXISTENTE",D147="AMPLIADA"),400,0)</f>
        <v>0</v>
      </c>
      <c r="O147" s="104">
        <f t="shared" ref="O147" si="1042">IF(P147="TERRENO NATURAL",0,M147*G147)</f>
        <v>4.34</v>
      </c>
      <c r="P147" s="105" t="str">
        <f>VLOOKUP(B147,'Planilha Hidráulica'!$AE$49:$AQ$94,13,0)</f>
        <v>ASFALTO</v>
      </c>
      <c r="Q147" s="452" t="s">
        <v>2066</v>
      </c>
      <c r="R147" s="105"/>
      <c r="S147" s="105">
        <f>VLOOKUP(Q147,Quantitativos!$P$43:$R$88,3,0)</f>
        <v>5</v>
      </c>
      <c r="T147" s="105">
        <f>VLOOKUP(Q147,Quantitativos!$P$43:$S$88,4,0)</f>
        <v>5</v>
      </c>
      <c r="U147" s="104">
        <f t="shared" ref="U147" si="1043">IF(H147=400,0.05,0)+IF(H147=500,0.05,0)+IF(H147=600,0.1,0)+IF(H147=800,0.1,0)+IF(H147=1000,0.15,0)+IF(H147=1200,0.15,0)+IF(H147=1500,0.2,0)+IF(H147=1650,0.2,0)+IF(H147=1800,0.2,0)+IF(H147=2000,0.25,0)+IF(H147=2200,0.25,0)+IF(H147=2400,0.25,0)+IF(H147=2600,0.25,0)+IF(H147=3000,0.25,0)</f>
        <v>0.05</v>
      </c>
      <c r="V147" s="106">
        <f t="shared" ref="V147" si="1044">IF(L147=0,0,IF("EXISTENTE"=C147,0,IFERROR((PI()*(N147/1000)*(N147/1000)/4)*G147,0)))</f>
        <v>0</v>
      </c>
      <c r="W147" s="106">
        <f t="shared" ref="W147" si="1045">IF(O147=0,0,((((K147*I147)*I147)/2)*2+L147*I147)*G147-V147+AO147)</f>
        <v>12.564299999999998</v>
      </c>
      <c r="X147" s="107">
        <f t="shared" ref="X147" si="1046">W147-SUM(AC147:AJ147)</f>
        <v>0</v>
      </c>
      <c r="Y147" s="107">
        <f t="shared" ref="Y147" si="1047">IF(R147=1,IF(N147=0,I147+0.4,0.4),0)</f>
        <v>0</v>
      </c>
      <c r="Z147" s="107">
        <f t="shared" ref="Z147" si="1048">IF(Y147&gt;0.5,0,IF(S147&lt;I147,S147,I147))</f>
        <v>2.8949999999999996</v>
      </c>
      <c r="AA147" s="107">
        <f t="shared" ref="AA147" si="1049">I147-Z147</f>
        <v>0</v>
      </c>
      <c r="AB147" s="108">
        <f t="shared" ref="AB147" si="1050">IF(P147="ASFALTO",IF(D147="PROJETADA",O147,IF(D147="EXISTENTE",0,O147/2)),0)</f>
        <v>4.34</v>
      </c>
      <c r="AC147" s="109">
        <f t="shared" ref="AC147" si="1051">IF(Y147=0,0,IF(Y147=0.4,IF(L147&lt;=1.5,IF(Z147+0.4&gt;=1.5,0,L147*G147*0.4),0),IF(L147&lt;=1.5,IF(Y147&gt;=1.5,M147*G147*1.5,L147*G147*(Y147)),0)+IF(S147&lt;I147+0.4,0,IF(AND(Y147&lt;=1.5,L147&lt;=1.5),-V147,0))))</f>
        <v>0</v>
      </c>
      <c r="AD147" s="109">
        <f t="shared" ref="AD147" si="1052">IF(Y147=0,0,IF(Y147=0.4,IF(L147&lt;=1.5,IF(OR(Z147+0.4&gt;=3,Z147+0.4&lt;1.5),0,L147*G147*0.4),0),IF(IF(L147&lt;=1.5,IF(Y147&gt;=3,M147*G147*1.5,L147*G147*(Y147-1.5)),0)&lt;0,0,IF(L147&lt;=1.5,IF(Y147&gt;=3,M147*G147*1.5,L147*G147*(Y147-1.5)),0))+IF(S147&lt;I147+0.4,0,IF(AND(Y147&lt;=3,L147&lt;=1.5),-V147,0))))</f>
        <v>0</v>
      </c>
      <c r="AE147" s="109">
        <f t="shared" ref="AE147" si="1053">IF(Y147=0,0,IF(Y147=0.4,IF(L147&lt;=1.5,IF(OR(Z147+0.4&gt;=4.5,Z147+0.4&lt;3),0,L147*G147*0.4),0),IF(IF(L147&lt;=1.5,IF(Y147&gt;=4.5,M147*G147*1.5,L147*G147*(Y147-3)),0)&lt;0,0,IF(L147&lt;=1.5,IF(Y147&gt;=4.5,M147*G147*1.5,L147*G147*(Y147-3)),0))+IF(S147&lt;I147+0.4,0,IF(AND(Y147&lt;=4.5,L147&lt;=1.5),-V147,0))))</f>
        <v>0</v>
      </c>
      <c r="AF147" s="109">
        <f t="shared" ref="AF147" si="1054">IF(L147&lt;=1.5,IF(Z147&gt;=1.5,M147*G147*1.5,L147*G147*Z147),0)+IF(S147&lt;I147,0,IF(AND(Z147&lt;=1.5,L147&lt;=1.5),-V147,0))-V147</f>
        <v>6.51</v>
      </c>
      <c r="AG147" s="109">
        <f t="shared" ref="AG147" si="1055">IF(IF(L147&lt;=1.5,IF(Z147&gt;=3,M147*G147*1.5,L147*G147*(Z147-1.5)),0)&lt;0,0,IF(L147&lt;=1.5,IF(Z147&gt;=3,M147*G147*1.5,L147*G147*(Z147-1.5)),0))</f>
        <v>6.0542999999999978</v>
      </c>
      <c r="AH147" s="109">
        <f t="shared" ref="AH147" si="1056">IF(IF(L147&lt;=1.5,IF(Z147&gt;=4.5,M147*G147*1.5,L147*G147*(Z147-3)),0)&lt;0,0,IF(L147&lt;=1.5,IF(Z147&gt;=4.5,M147*G147*1.5,L147*G147*(Z147-3)),0))+IF(S147&lt;I147,0,IF(AND(Z147&lt;=4.5,Z147&gt;3,L147&lt;=1.5),-V147,0))</f>
        <v>0</v>
      </c>
      <c r="AI147" s="537" t="str">
        <f t="shared" ref="AI147" si="1057">IF(I147&gt;S147,"SIM","NÃO")</f>
        <v>NÃO</v>
      </c>
      <c r="AJ147" s="104">
        <f t="shared" ref="AJ147" si="1058">W147-SUM(AC147:AH147)</f>
        <v>0</v>
      </c>
      <c r="AK147" s="104">
        <f t="shared" ref="AK147" si="1059">IF(I147-T147&lt;0,0,(I147-T147)*G147)/75</f>
        <v>0</v>
      </c>
      <c r="AL147" s="104">
        <f t="shared" ref="AL147" si="1060">IF(L147=0,0,G147*L147*I147-PI()*(H147/1000)*(H147/1000)/4*G147+AO147)</f>
        <v>12.01891951533681</v>
      </c>
      <c r="AM147" s="102">
        <f t="shared" ref="AM147" si="1061">IF(L147&lt;1.5,L147*G147*IF(H147&lt;=500,0.05,IF(H147&lt;=800,0.1,IF(H147&lt;=1200,0.15,IF(H147&gt;=1500,0.2)))),0)</f>
        <v>0.217</v>
      </c>
      <c r="AN147" s="106">
        <f t="shared" ref="AN147" si="1062">IF(L147&gt;=1.5,L147*G147*IF(H147&lt;=500,0.05,IF(H147&lt;=800,0.1,IF(H147&lt;=1200,0.15,IF(H147&gt;=1500,0.2)))),0)</f>
        <v>0</v>
      </c>
      <c r="AO147" s="104">
        <f t="shared" ref="AO147" si="1063">IF(R147=1,0.4*G147*L147,0)</f>
        <v>0</v>
      </c>
      <c r="AP147" s="104">
        <f t="shared" ref="AP147" si="1064">IF(AO147&lt;SUM(AF147:AH147),0,AO147)</f>
        <v>0</v>
      </c>
      <c r="AQ147" s="104">
        <f t="shared" ref="AQ147" si="1065">H147/1000+0.3</f>
        <v>0.7</v>
      </c>
      <c r="AR147" s="104">
        <f t="shared" ref="AR147" si="1066">IF(D147&lt;&gt;"PROJETADA",0,AQ147*L147*G147-PI()*(H147/1000*H147/1000)/4*G147)</f>
        <v>2.4926195153368118</v>
      </c>
      <c r="AS147" s="104">
        <f t="shared" ref="AS147" si="1067">IF(AR147&lt;SUM(AF147:AH147),0,AR147)</f>
        <v>0</v>
      </c>
      <c r="AT147" s="104">
        <f t="shared" ref="AT147" si="1068">IF(P147="ASFALTO",0.15*G147*L147,0)</f>
        <v>0.65099999999999991</v>
      </c>
      <c r="AU147" s="104">
        <f t="shared" ref="AU147" si="1069">AT147</f>
        <v>0.65099999999999991</v>
      </c>
      <c r="AV147" s="104">
        <f t="shared" ref="AV147" si="1070">IF(P147="ASFALTO",0.03*G147*L147,0)</f>
        <v>0.13019999999999998</v>
      </c>
      <c r="AW147" s="104">
        <f t="shared" ref="AW147" si="1071">AL147-AO147-SUM(AM147:AN147)-AT147-AU147-AR147</f>
        <v>8.0072999999999972</v>
      </c>
      <c r="AX147" s="104">
        <f t="shared" ref="AX147" si="1072">SUM(AF147:AH147)-AO147-AT147-AR147</f>
        <v>9.4206804846631869</v>
      </c>
      <c r="AY147" s="104">
        <f t="shared" ref="AY147" si="1073">SMALL(AW147:AX147,1)</f>
        <v>8.0072999999999972</v>
      </c>
      <c r="AZ147" s="104">
        <f t="shared" ref="AZ147" si="1074">AW147-AY147</f>
        <v>0</v>
      </c>
      <c r="BA147" s="104">
        <f t="shared" si="905"/>
        <v>0</v>
      </c>
      <c r="BB147" s="104">
        <f t="shared" ref="BB147" si="1075">AZ147-BA147</f>
        <v>0</v>
      </c>
      <c r="BC147" s="104"/>
      <c r="BD147" s="104">
        <f t="shared" ref="BD147" si="1076">IF(AO147&gt;0,4%*(AO147+AT147),0)</f>
        <v>0</v>
      </c>
      <c r="BE147" s="108">
        <f t="shared" ref="BE147" si="1077">IF(H147=400,I147,0)</f>
        <v>2.8949999999999996</v>
      </c>
      <c r="BF147" s="110">
        <f t="shared" ref="BF147" si="1078">IF(BE147&lt;=1.75,AND(BE147&gt;0)*G147,0)</f>
        <v>0</v>
      </c>
      <c r="BG147" s="110">
        <f t="shared" ref="BG147" si="1079">IF(BE147&lt;=3,AND(BE147&gt;1.75)*G147,0)</f>
        <v>4.34</v>
      </c>
      <c r="BH147" s="105" t="str">
        <f>VLOOKUP(A147,'BOCA DE LOBO'!$C$99:$P$172,7,0)</f>
        <v>BOCA DE LOBO PROJETADA TRIPLA</v>
      </c>
      <c r="BI147" s="104">
        <f t="shared" ref="BI147" si="1080">IF(BH147=$BI$107,1,0)</f>
        <v>0</v>
      </c>
      <c r="BJ147" s="104">
        <f t="shared" ref="BJ147" si="1081">IF(BH147=$BJ$107,1,0)</f>
        <v>0</v>
      </c>
      <c r="BK147" s="104">
        <f t="shared" ref="BK147" si="1082">IF(BH147=$BK$107,1,0)</f>
        <v>0</v>
      </c>
      <c r="BL147" s="104">
        <f t="shared" ref="BL147" si="1083">IF(BH147=$BL$107,1,0)</f>
        <v>0</v>
      </c>
      <c r="BM147" s="104">
        <f t="shared" ref="BM147" si="1084">IF(BH147=$BM$107,1,0)</f>
        <v>0</v>
      </c>
      <c r="BN147" s="104">
        <f t="shared" ref="BN147" si="1085">IF(BH147=$BN$107,1,0)</f>
        <v>0</v>
      </c>
      <c r="BO147" s="543">
        <f t="shared" ref="BO147" si="1086">IF(BH147=$BO$107,1,0)</f>
        <v>1</v>
      </c>
      <c r="BP147" s="111"/>
      <c r="BQ147" s="108">
        <f t="shared" ref="BQ147" si="1087">IF(L147&lt;=1.5,IF(I147+IF(R147=1,0.5,0)&lt;1.5,(I147+IF(R147=1,0.5,0))*G147*2,G147*2*1.5),0)</f>
        <v>13.02</v>
      </c>
      <c r="BR147" s="108">
        <f t="shared" ref="BR147" si="1088">IF(L147&lt;=1.5,IF(AND(I147+IF(R147=1,0.5,0)&lt;3,I147+IF(R147=1,0.5,0)&gt;1.5),(I147+IF(R147=1,0.5,0)-1.5)*G147*2,IF(I147+IF(R147=1,0.5,0)&gt;=3,(G147*2*1.5),0)),0)</f>
        <v>12.108599999999996</v>
      </c>
      <c r="BS147" s="108">
        <f t="shared" ref="BS147" si="1089">IF(L147&lt;=1.5,IF(AND(I147+IF(R147=1,0.5,0)&lt;4.5,I147+IF(R147=1,0.5,0)&gt;3),(I147+IF(R147=1,0.5,0)-3)*G147*2,IF(I147+IF(R147=1,0.5,0)&gt;=4.5,(G147*2*1.5),0)),0)</f>
        <v>0</v>
      </c>
      <c r="BT147" s="112"/>
      <c r="BU147" s="112" t="s">
        <v>1410</v>
      </c>
      <c r="BV147" s="538">
        <f t="shared" ref="BV147" si="1090">IF(OR("BOCA DE LOBO EXISTENTE TRIPLA"=BH147,"BOCA DE LOBO EXISTENTE SIMPLES"=BH147,"BOCA DE LOBO EXISTENTE DUPLA"=BH147),0,IF("BOCA DE LOBO PROJETADA DUPLA"=BH147,(2.57+1)*(1.18+1),IF(OR("BOCA DE LOBO DUPLA EXISTENTE COM BOCA DE LOBO SIMPLES PROJETADA"=BH147,"BOCA DE LOBO SIMPLES EXISTENTE COM BOCA DE LOBO SIMPLES PROJETADA"=BH147),(1.18+0.5)*(1.18+1),IF(OR(BH147="BOCA DE LOBO DUPLA EXISTENTE COM BOCA DE LOBO DUPLA PROJETADA",BH147="BOCA DE LOBO SIMPLES EXISTENTE COM BOCA DE LOBO DUPLA PROJETADA"),(2.38+0.5)*(1.18+1),IF("BOCA DE LOBO PROJETADA TRIPLA"=BH147,(3.76+1)*(1.18+1),IF("BOCA DE LOBO PROJETADA QUADRUPLA"=BH147,(4.92+1)*(1.18+1),"X"))))))*(E147+IF(CA147&gt;0,0.5,0))</f>
        <v>25.941999999999993</v>
      </c>
      <c r="BW147" s="538">
        <f t="shared" ref="BW147" si="1091">IF(OR("BOCA DE LOBO EXISTENTE TRIPLA"=BH147,"BOCA DE LOBO EXISTENTE SIMPLES"=BH147,"BOCA DE LOBO EXISTENTE DUPLA"=BH147),0,IF("BOCA DE LOBO PROJETADA DUPLA"=BH147,(2.57+1)*(1.18+1),IF(OR("BOCA DE LOBO DUPLA EXISTENTE COM BOCA DE LOBO SIMPLES PROJETADA"=BH147,"BOCA DE LOBO SIMPLES EXISTENTE COM BOCA DE LOBO SIMPLES PROJETADA"=BH147),(1.18+1)*(1.18+0.5),IF(OR(BH147="BOCA DE LOBO DUPLA EXISTENTE COM BOCA DE LOBO DUPLA PROJETADA",BH147="BOCA DE LOBO SIMPLES EXISTENTE COM BOCA DE LOBO DUPLA PROJETADA"),(2.38+0.5)*(1.18+1),IF("BOCA DE LOBO PROJETADA TRIPLA"=BH147,(3.76+0.5*2)*(1.18+1),IF("BOCA DE LOBO PROJETADA QUADRUPLA"=BH147,(4.92+0.5*2)*(1.18+1),"X"))))))</f>
        <v>10.376799999999998</v>
      </c>
      <c r="BX147" s="538">
        <f t="shared" ref="BX147" si="1092">IF(OR("BOCA DE LOBO EXISTENTE TRIPLA"=BH147,"BOCA DE LOBO EXISTENTE SIMPLES"=BH147,"BOCA DE LOBO EXISTENTE DUPLA"=BH147),0,IF("BOCA DE LOBO PROJETADA DUPLA"=BH147,(2.57)*(1.18),IF(OR("BOCA DE LOBO DUPLA EXISTENTE COM BOCA DE LOBO SIMPLES PROJETADA"=BH147,"BOCA DE LOBO SIMPLES EXISTENTE COM BOCA DE LOBO SIMPLES PROJETADA"=BH147),(1.18)*(1.18),IF(OR(BH147="BOCA DE LOBO DUPLA EXISTENTE COM BOCA DE LOBO DUPLA PROJETADA",BH147="BOCA DE LOBO SIMPLES EXISTENTE COM BOCA DE LOBO DUPLA PROJETADA"),(2.38)*(1.18),IF("BOCA DE LOBO PROJETADA TRIPLA"=BH147,(3.76)*(1.18),IF("BOCA DE LOBO PROJETADA QUADRUPLA"=BH147,(4.92)*(1.18),"X"))))))</f>
        <v>4.4367999999999999</v>
      </c>
      <c r="BY147" s="538">
        <f t="shared" ref="BY147" si="1093">E147</f>
        <v>2.5</v>
      </c>
      <c r="BZ147" s="538">
        <f t="shared" ref="BZ147" si="1094">IF(Y147&gt;0.5,0,IF(S147&lt;E147,S147,E147))</f>
        <v>2.5</v>
      </c>
      <c r="CA147" s="538">
        <f t="shared" ref="CA147" si="1095">IF(Y147&gt;0.5,BY147+0.5,Y147)</f>
        <v>0</v>
      </c>
      <c r="CB147" s="538">
        <f t="shared" ref="CB147" si="1096">IF(S147&gt;E147,0,E147-S147)</f>
        <v>0</v>
      </c>
      <c r="CC147" s="538">
        <f t="shared" ref="CC147" si="1097">IF(BZ147&gt;1.5,BW147*1.5,BW147*BZ147)</f>
        <v>15.565199999999997</v>
      </c>
      <c r="CD147" s="538">
        <f t="shared" ref="CD147" si="1098">IF(BZ147&gt;1.5,BW147*(BZ147-1.5),0)</f>
        <v>10.376799999999998</v>
      </c>
      <c r="CE147" s="538">
        <f t="shared" ref="CE147" si="1099">IF(CA147&gt;1.5,BW147*1.5,BW147*CA147)</f>
        <v>0</v>
      </c>
      <c r="CF147" s="538">
        <f t="shared" ref="CF147" si="1100">IF(CA147&gt;1.5,BW147*(CA147-1.5),0)</f>
        <v>0</v>
      </c>
      <c r="CG147" s="538">
        <f t="shared" ref="CG147" si="1101">BV147-SUM(CC147:CF147)</f>
        <v>0</v>
      </c>
      <c r="CH147" s="538">
        <f t="shared" ref="CH147" si="1102">SUM(CC147:CG147)-BV147</f>
        <v>0</v>
      </c>
      <c r="CI147" s="104">
        <f t="shared" ref="CI147" si="1103">IF(OR("BOCA DE LOBO EXISTENTE TRIPLA"=BH147,"BOCA DE LOBO EXISTENTE SIMPLES"=BH147,"BOCA DE LOBO EXISTENTE DUPLA"=BH147),0,IF("BOCA DE LOBO PROJETADA DUPLA"=BH147,(2.57+1)*(0.5),IF(OR("BOCA DE LOBO DUPLA EXISTENTE COM BOCA DE LOBO SIMPLES PROJETADA"=BH147,"BOCA DE LOBO SIMPLES EXISTENTE COM BOCA DE LOBO SIMPLES PROJETADA"=BH147),(1.18+0.5)*(0.5),IF(OR(BH147="BOCA DE LOBO DUPLA EXISTENTE COM BOCA DE LOBO DUPLA PROJETADA",BH147="BOCA DE LOBO SIMPLES EXISTENTE COM BOCA DE LOBO DUPLA PROJETADA"),(2.38+0.5)*(0.5),IF("BOCA DE LOBO PROJETADA TRIPLA"=BH147,(3.76+1)*(0.5),IF("BOCA DE LOBO PROJETADA QUADRUPLA"=BH147,(4.92+1)*(0.5),"X")))))*0.3)</f>
        <v>0.71399999999999997</v>
      </c>
      <c r="CJ147" s="538">
        <f t="shared" ref="CJ147" si="1104">(BW147-BX147)*(BY147+IF(CA147&gt;=0.4,0.4,0))-CI147</f>
        <v>14.135999999999994</v>
      </c>
      <c r="CK147" s="538">
        <f t="shared" si="936"/>
        <v>14.135999999999994</v>
      </c>
      <c r="CL147" s="538">
        <f t="shared" ref="CL147" si="1105">CJ147-CK147</f>
        <v>0</v>
      </c>
      <c r="CM147" s="538">
        <f t="shared" ref="CM147" si="1106">IF(CA147&gt;0,0.5*4%*BW147,0)</f>
        <v>0</v>
      </c>
      <c r="CN147" s="538">
        <f t="shared" ref="CN147" si="1107">IF(OR("BOCA DE LOBO EXISTENTE TRIPLA"=BH147,"BOCA DE LOBO EXISTENTE SIMPLES"=BH147,"BOCA DE LOBO EXISTENTE DUPLA"=BH147),0,IF("BOCA DE LOBO PROJETADA DUPLA"=BH147,(2.57+1),IF(OR("BOCA DE LOBO DUPLA EXISTENTE COM BOCA DE LOBO SIMPLES PROJETADA"=BH147,"BOCA DE LOBO SIMPLES EXISTENTE COM BOCA DE LOBO SIMPLES PROJETADA"=BH147),(1.18+0.5),IF(OR(BH147="BOCA DE LOBO DUPLA EXISTENTE COM BOCA DE LOBO DUPLA PROJETADA",BH147="BOCA DE LOBO SIMPLES EXISTENTE COM BOCA DE LOBO DUPLA PROJETADA"),(2.38+0.5),IF("BOCA DE LOBO PROJETADA TRIPLA"=BH147,(3.76+0.5*2),IF("BOCA DE LOBO PROJETADA QUADRUPLA"=BH147,(4.92+0.5*2),"X"))))))</f>
        <v>4.76</v>
      </c>
      <c r="CO147" s="538">
        <f t="shared" ref="CO147" si="1108">IF(CA147&gt;0,BY147+0.5,BY147)</f>
        <v>2.5</v>
      </c>
      <c r="CP147" s="538">
        <f t="shared" ref="CP147" si="1109">IF(CO147&gt;=1.5,CN147*1.5*2,CN147*CO147*2)</f>
        <v>14.28</v>
      </c>
      <c r="CQ147" s="538">
        <f t="shared" ref="CQ147" si="1110">IF(CO147&lt;=1.5,0,IF(CO147&gt;=3,CN147*1.5*2,CN147*(CO147-1.5)*2))</f>
        <v>9.52</v>
      </c>
      <c r="CR147" s="539">
        <f t="shared" ref="CR147" si="1111">IF(D147="AMPLIADA",0.55*(E147-0.5),0)</f>
        <v>0</v>
      </c>
      <c r="CS147" s="540">
        <f t="shared" ref="CS147" si="1112">IF(OR("BOCA DE LOBO EXISTENTE TRIPLA"=BH147,"BOCA DE LOBO EXISTENTE SIMPLES"=BH147,"BOCA DE LOBO EXISTENTE DUPLA"=BH147,"BOCA DE LOBO EXISTENTE QUADRUPLA"=BH147),0,IF("BOCA DE LOBO PROJETADA DUPLA"=BH147,(0),IF(OR("BOCA DE LOBO DUPLA EXISTENTE COM BOCA DE LOBO SIMPLES PROJETADA"=BH147,"BOCA DE LOBO SIMPLES EXISTENTE COM BOCA DE LOBO SIMPLES PROJETADA"=BH147),(0.8*0.15*0.17),IF(OR(BH147="BOCA DE LOBO DUPLA EXISTENTE COM BOCA DE LOBO DUPLA PROJETADA",BH147="BOCA DE LOBO SIMPLES EXISTENTE COM BOCA DE LOBO DUPLA PROJETADA"),(0.8*0.15*0.17),IF("BOCA DE LOBO PROJETADA TRIPLA"=BH147,(0),IF("BOCA DE LOBO PROJETADA QUADRUPLA"=BH147,(0),"X")))))*E147)</f>
        <v>0</v>
      </c>
      <c r="CT147" s="540">
        <f t="shared" ref="CT147" si="1113">IF(OR("BOCA DE LOBO EXISTENTE TRIPLA"=BH147,"BOCA DE LOBO EXISTENTE SIMPLES"=BH147,"BOCA DE LOBO EXISTENTE DUPLA"=BH147,"BOCA DE LOBO EXISTENTE QUADRUPLA"=BH147),0,IF("BOCA DE LOBO PROJETADA DUPLA"=BH147,(1.18*2.57*0.05),IF(OR("BOCA DE LOBO DUPLA EXISTENTE COM BOCA DE LOBO SIMPLES PROJETADA"=BH147,"BOCA DE LOBO SIMPLES EXISTENTE COM BOCA DE LOBO SIMPLES PROJETADA"=BH147),(1.19*1.18*0.05),IF(OR(BH147="BOCA DE LOBO DUPLA EXISTENTE COM BOCA DE LOBO DUPLA PROJETADA",BH147="BOCA DE LOBO SIMPLES EXISTENTE COM BOCA DE LOBO DUPLA PROJETADA"),(2.38*1.18*0.056),IF("BOCA DE LOBO PROJETADA TRIPLA"=BH147,(3.76*1.18*0.05),IF("BOCA DE LOBO PROJETADA QUADRUPLA"=BH147,(4.92*1.18*0.05),"X")))))+CI147/3)</f>
        <v>0.45984000000000003</v>
      </c>
      <c r="CU147" s="541">
        <f t="shared" ref="CU147" si="1114">IF(OR("BOCA DE LOBO EXISTENTE TRIPLA"=BH147,"BOCA DE LOBO EXISTENTE SIMPLES"=BH147,"BOCA DE LOBO EXISTENTE DUPLA"=BH147,"BOCA DE LOBO EXISTENTE QUADRUPLA"=BH147),0,IF("BOCA DE LOBO PROJETADA DUPLA"=BH147,(1*4+0.6*2),IF(OR("BOCA DE LOBO DUPLA EXISTENTE COM BOCA DE LOBO SIMPLES PROJETADA"=BH147,"BOCA DE LOBO SIMPLES EXISTENTE COM BOCA DE LOBO SIMPLES PROJETADA"=BH147),(1*2+0.6),IF(OR(BH147="BOCA DE LOBO DUPLA EXISTENTE COM BOCA DE LOBO DUPLA PROJETADA",BH147="BOCA DE LOBO SIMPLES EXISTENTE COM BOCA DE LOBO DUPLA PROJETADA"),(1*4+0.6),IF("BOCA DE LOBO PROJETADA TRIPLA"=BH147,(6*1+0.6*2),IF("BOCA DE LOBO PROJETADA QUADRUPLA"=BH147,(8*1+0.6*2),"X")))))*E147)</f>
        <v>18</v>
      </c>
      <c r="CV147" s="538">
        <f t="shared" ref="CV147" si="1115">IF(OR("BOCA DE LOBO EXISTENTE TRIPLA"=BH147,"BOCA DE LOBO EXISTENTE SIMPLES"=BH147,"BOCA DE LOBO EXISTENTE DUPLA"=BH147,"BOCA DE LOBO EXISTENTE QUADRUPLA"=BH147),0,IF("BOCA DE LOBO PROJETADA DUPLA"=BH147,(12*E147*0.17*0.15+1*0.17*0.15*5+1.09*0.6*0.07*2+2.57*1.18*0.15),IF(OR("BOCA DE LOBO DUPLA EXISTENTE COM BOCA DE LOBO SIMPLES PROJETADA"=BH147,"BOCA DE LOBO SIMPLES EXISTENTE COM BOCA DE LOBO SIMPLES PROJETADA"=BH147),(8*E147*0.17*0.15+1*0.17*0.15*4+1.09*0.6*0.07*1+1.38*1.18*0.15),IF(OR(BH147="BOCA DE LOBO DUPLA EXISTENTE COM BOCA DE LOBO DUPLA PROJETADA",BH147="BOCA DE LOBO SIMPLES EXISTENTE COM BOCA DE LOBO DUPLA PROJETADA"),(7*E147*0.17*0.15+1*0.17*0.15*5+1.09*0.6*0.07*2+2.38*1.18*0.15),IF("BOCA DE LOBO PROJETADA TRIPLA"=BH147,(15*E147*0.17*0.15+1*0.17*0.15*7+1.09*0.6*0.07*3+3.76*1.18*0.15),IF("BOCA DE LOBO PROJETADA QUADRUPLA"=BH147,(19*E147*0.17*0.15+1*0.17*0.15*9+1.09*0.6*0.07*4+4.92*1.18*0.15),"X"))))))</f>
        <v>1.9376100000000003</v>
      </c>
      <c r="CW147" s="538">
        <f t="shared" ref="CW147" si="1116">IF(OR("BOCA DE LOBO EXISTENTE TRIPLA"=BH147,"BOCA DE LOBO EXISTENTE SIMPLES"=BH147,"BOCA DE LOBO EXISTENTE DUPLA"=BH147,"BOCA DE LOBO EXISTENTE QUADRUPLA"=BH147),0,IF("BOCA DE LOBO PROJETADA DUPLA"=BH147,(12*E147*2*(0.17+0.15)+1*(2*0.17+0.15)*5+2*(2.57+1.18)*0.15+(1.09+0.6)*2*0.07*2),IF(OR("BOCA DE LOBO DUPLA EXISTENTE COM BOCA DE LOBO SIMPLES PROJETADA"=BH147,"BOCA DE LOBO SIMPLES EXISTENTE COM BOCA DE LOBO SIMPLES PROJETADA"=BH147),(8*E147*2*(0.17+0.15)+1*(2*0.17+0.15)*4+2*(1.38+1.18)*0.15+(1.09+0.6)*2*0.07*1),IF(OR(BH147="BOCA DE LOBO DUPLA EXISTENTE COM BOCA DE LOBO DUPLA PROJETADA",BH147="BOCA DE LOBO SIMPLES EXISTENTE COM BOCA DE LOBO DUPLA PROJETADA"),(7*E147*2*(0.17+0.15)+1*(2*0.17+0.15)*5+2*(2.38+1.18)*0.15+(1.09+0.6)*2*0.07*2),IF("BOCA DE LOBO PROJETADA TRIPLA"=BH147,(15*E147*2*(0.17+0.15)+1*(2*0.17+0.15)*7+2*(3.76+1.18)*0.15+(1.09+0.6)*2*0.07*3),IF("BOCA DE LOBO PROJETADA QUADRUPLA"=BH147,(19*E147*2*(0.17+0.15)+1*(2*0.17+0.15)*7+2*(4.92+1.18)*0.15+(1.09+0.6)*2*0.07*4),"X"))))))</f>
        <v>29.6218</v>
      </c>
      <c r="CX147" s="104">
        <f t="shared" ref="CX147" si="1117">IF(OR("BOCA DE LOBO EXISTENTE TRIPLA"=BH147,"BOCA DE LOBO EXISTENTE SIMPLES"=BH147,"BOCA DE LOBO EXISTENTE DUPLA"=BH147,"BOCA DE LOBO EXISTENTE QUADRUPLA"=BH147),0,IF("BOCA DE LOBO PROJETADA DUPLA"=BH147,(2.57+1),IF(OR("BOCA DE LOBO DUPLA EXISTENTE COM BOCA DE LOBO SIMPLES PROJETADA"=BH147,"BOCA DE LOBO SIMPLES EXISTENTE COM BOCA DE LOBO SIMPLES PROJETADA"=BH147),(1.18+0.5),IF(OR(BH147="BOCA DE LOBO DUPLA EXISTENTE COM BOCA DE LOBO DUPLA PROJETADA",BH147="BOCA DE LOBO SIMPLES EXISTENTE COM BOCA DE LOBO DUPLA PROJETADA"),(2.38+0.5),IF("BOCA DE LOBO PROJETADA TRIPLA"=BH147,(3.76+1),IF("BOCA DE LOBO PROJETADA QUADRUPLA"=BH147,(4.92+1),"X"))))))</f>
        <v>4.76</v>
      </c>
      <c r="CY147" s="542">
        <f t="shared" ref="CY147" si="1118">CX147*0.5</f>
        <v>2.38</v>
      </c>
      <c r="CZ147" s="538">
        <f t="shared" ref="CZ147" si="1119">IF(AND(C147="EXISTENTE",D147="PROJETADA"),PI()*0.51*0.51/4*0.12,0)</f>
        <v>0</v>
      </c>
    </row>
    <row r="148" spans="1:104" ht="37.5" x14ac:dyDescent="0.25">
      <c r="A148" s="100" t="str">
        <f>'BOCA DE LOBO'!C138</f>
        <v>BL39-&gt;PV5.1</v>
      </c>
      <c r="B148" s="100" t="str">
        <f>'BOCA DE LOBO'!A138</f>
        <v>PV5.1</v>
      </c>
      <c r="C148" s="100" t="str">
        <f>VLOOKUP(A148,'BOCA DE LOBO'!C:F,3,0)</f>
        <v>PROJETADO</v>
      </c>
      <c r="D148" s="100" t="str">
        <f>VLOOKUP(A148,'BOCA DE LOBO'!C:M,10,0)</f>
        <v>AMPLIADA</v>
      </c>
      <c r="E148" s="100">
        <f t="shared" si="866"/>
        <v>2.5</v>
      </c>
      <c r="F148" s="100">
        <f>VLOOKUP(A148,'BOCA DE LOBO'!$C$97:$P$172,2,0)</f>
        <v>3</v>
      </c>
      <c r="G148" s="100">
        <f>VLOOKUP(A148,'BOCA DE LOBO'!$C$97:$L$172,4,0)</f>
        <v>8.3699999999999992</v>
      </c>
      <c r="H148" s="101">
        <v>400</v>
      </c>
      <c r="I148" s="102">
        <f t="shared" si="867"/>
        <v>2.88</v>
      </c>
      <c r="J148" s="102">
        <f t="shared" si="868"/>
        <v>1.2052799999999997</v>
      </c>
      <c r="K148" s="103">
        <v>0</v>
      </c>
      <c r="L148" s="104">
        <f t="shared" si="869"/>
        <v>0</v>
      </c>
      <c r="M148" s="104">
        <f t="shared" si="870"/>
        <v>0</v>
      </c>
      <c r="N148" s="104">
        <f t="shared" si="871"/>
        <v>400</v>
      </c>
      <c r="O148" s="104">
        <f t="shared" si="872"/>
        <v>0</v>
      </c>
      <c r="P148" s="105" t="str">
        <f>VLOOKUP(B148,'Planilha Hidráulica'!$AE$49:$AQ$94,13,0)</f>
        <v>ASFALTO</v>
      </c>
      <c r="Q148" s="452" t="s">
        <v>2066</v>
      </c>
      <c r="R148" s="105"/>
      <c r="S148" s="105">
        <f>VLOOKUP(Q148,Quantitativos!$P$43:$R$88,3,0)</f>
        <v>5</v>
      </c>
      <c r="T148" s="105">
        <f>VLOOKUP(Q148,Quantitativos!$P$43:$S$88,4,0)</f>
        <v>5</v>
      </c>
      <c r="U148" s="104">
        <f t="shared" si="873"/>
        <v>0.05</v>
      </c>
      <c r="V148" s="106">
        <f t="shared" si="874"/>
        <v>0</v>
      </c>
      <c r="W148" s="106">
        <f t="shared" si="875"/>
        <v>0</v>
      </c>
      <c r="X148" s="107">
        <f t="shared" si="876"/>
        <v>0</v>
      </c>
      <c r="Y148" s="107">
        <f t="shared" si="877"/>
        <v>0</v>
      </c>
      <c r="Z148" s="107">
        <f t="shared" si="878"/>
        <v>2.88</v>
      </c>
      <c r="AA148" s="107">
        <f t="shared" si="879"/>
        <v>0</v>
      </c>
      <c r="AB148" s="108">
        <f t="shared" si="880"/>
        <v>0</v>
      </c>
      <c r="AC148" s="109">
        <f t="shared" si="881"/>
        <v>0</v>
      </c>
      <c r="AD148" s="109">
        <f t="shared" si="882"/>
        <v>0</v>
      </c>
      <c r="AE148" s="109">
        <f t="shared" si="883"/>
        <v>0</v>
      </c>
      <c r="AF148" s="109">
        <f t="shared" si="884"/>
        <v>0</v>
      </c>
      <c r="AG148" s="109">
        <f t="shared" si="885"/>
        <v>0</v>
      </c>
      <c r="AH148" s="109">
        <f t="shared" si="886"/>
        <v>0</v>
      </c>
      <c r="AI148" s="537" t="str">
        <f t="shared" si="887"/>
        <v>NÃO</v>
      </c>
      <c r="AJ148" s="104">
        <f t="shared" si="888"/>
        <v>0</v>
      </c>
      <c r="AK148" s="104">
        <f t="shared" si="889"/>
        <v>0</v>
      </c>
      <c r="AL148" s="104">
        <f t="shared" si="890"/>
        <v>0</v>
      </c>
      <c r="AM148" s="102">
        <f t="shared" si="891"/>
        <v>0</v>
      </c>
      <c r="AN148" s="106">
        <f t="shared" si="892"/>
        <v>0</v>
      </c>
      <c r="AO148" s="104">
        <f t="shared" si="893"/>
        <v>0</v>
      </c>
      <c r="AP148" s="104">
        <f t="shared" si="894"/>
        <v>0</v>
      </c>
      <c r="AQ148" s="104">
        <f t="shared" si="895"/>
        <v>0.7</v>
      </c>
      <c r="AR148" s="104">
        <f t="shared" si="896"/>
        <v>0</v>
      </c>
      <c r="AS148" s="104">
        <f t="shared" si="897"/>
        <v>0</v>
      </c>
      <c r="AT148" s="104">
        <f t="shared" si="898"/>
        <v>0</v>
      </c>
      <c r="AU148" s="104">
        <f t="shared" si="899"/>
        <v>0</v>
      </c>
      <c r="AV148" s="104">
        <f t="shared" si="900"/>
        <v>0</v>
      </c>
      <c r="AW148" s="104">
        <f t="shared" si="901"/>
        <v>0</v>
      </c>
      <c r="AX148" s="104">
        <f t="shared" si="902"/>
        <v>0</v>
      </c>
      <c r="AY148" s="104">
        <f t="shared" si="903"/>
        <v>0</v>
      </c>
      <c r="AZ148" s="104">
        <f t="shared" si="904"/>
        <v>0</v>
      </c>
      <c r="BA148" s="104">
        <f t="shared" si="905"/>
        <v>0</v>
      </c>
      <c r="BB148" s="104">
        <f t="shared" si="906"/>
        <v>0</v>
      </c>
      <c r="BC148" s="104"/>
      <c r="BD148" s="104">
        <f t="shared" si="907"/>
        <v>0</v>
      </c>
      <c r="BE148" s="108">
        <f t="shared" si="908"/>
        <v>2.88</v>
      </c>
      <c r="BF148" s="110">
        <f t="shared" si="909"/>
        <v>0</v>
      </c>
      <c r="BG148" s="110">
        <f t="shared" si="910"/>
        <v>8.3699999999999992</v>
      </c>
      <c r="BH148" s="105" t="str">
        <f>VLOOKUP(A148,'BOCA DE LOBO'!$C$99:$P$172,7,0)</f>
        <v>BOCA DE LOBO DUPLA EXISTENTE COM BOCA DE LOBO SIMPLES PROJETADA</v>
      </c>
      <c r="BI148" s="104">
        <f t="shared" si="911"/>
        <v>0</v>
      </c>
      <c r="BJ148" s="104">
        <f t="shared" si="912"/>
        <v>0</v>
      </c>
      <c r="BK148" s="104">
        <f t="shared" si="913"/>
        <v>1</v>
      </c>
      <c r="BL148" s="104">
        <f t="shared" si="914"/>
        <v>0</v>
      </c>
      <c r="BM148" s="104">
        <f t="shared" si="915"/>
        <v>0</v>
      </c>
      <c r="BN148" s="104">
        <f t="shared" si="916"/>
        <v>0</v>
      </c>
      <c r="BO148" s="543">
        <f t="shared" si="917"/>
        <v>0</v>
      </c>
      <c r="BP148" s="111"/>
      <c r="BQ148" s="108">
        <f t="shared" si="918"/>
        <v>25.11</v>
      </c>
      <c r="BR148" s="108">
        <f t="shared" si="919"/>
        <v>23.101199999999995</v>
      </c>
      <c r="BS148" s="108">
        <f t="shared" si="920"/>
        <v>0</v>
      </c>
      <c r="BT148" s="112"/>
      <c r="BU148" s="112" t="s">
        <v>1410</v>
      </c>
      <c r="BV148" s="538">
        <f t="shared" si="921"/>
        <v>9.1559999999999988</v>
      </c>
      <c r="BW148" s="538">
        <f t="shared" si="922"/>
        <v>3.6623999999999994</v>
      </c>
      <c r="BX148" s="538">
        <f t="shared" si="923"/>
        <v>1.3923999999999999</v>
      </c>
      <c r="BY148" s="538">
        <f t="shared" si="924"/>
        <v>2.5</v>
      </c>
      <c r="BZ148" s="538">
        <f t="shared" si="925"/>
        <v>2.5</v>
      </c>
      <c r="CA148" s="538">
        <f t="shared" si="926"/>
        <v>0</v>
      </c>
      <c r="CB148" s="538">
        <f t="shared" si="927"/>
        <v>0</v>
      </c>
      <c r="CC148" s="538">
        <f t="shared" si="928"/>
        <v>5.4935999999999989</v>
      </c>
      <c r="CD148" s="538">
        <f t="shared" si="929"/>
        <v>3.6623999999999994</v>
      </c>
      <c r="CE148" s="538">
        <f t="shared" si="930"/>
        <v>0</v>
      </c>
      <c r="CF148" s="538">
        <f t="shared" si="931"/>
        <v>0</v>
      </c>
      <c r="CG148" s="538">
        <f t="shared" si="932"/>
        <v>0</v>
      </c>
      <c r="CH148" s="538">
        <f t="shared" si="933"/>
        <v>0</v>
      </c>
      <c r="CI148" s="104">
        <f t="shared" si="934"/>
        <v>0.252</v>
      </c>
      <c r="CJ148" s="538">
        <f t="shared" si="935"/>
        <v>5.4229999999999992</v>
      </c>
      <c r="CK148" s="538">
        <f t="shared" si="936"/>
        <v>5.4229999999999992</v>
      </c>
      <c r="CL148" s="538">
        <f t="shared" si="937"/>
        <v>0</v>
      </c>
      <c r="CM148" s="538">
        <f t="shared" si="938"/>
        <v>0</v>
      </c>
      <c r="CN148" s="538">
        <f t="shared" si="939"/>
        <v>1.68</v>
      </c>
      <c r="CO148" s="538">
        <f t="shared" si="940"/>
        <v>2.5</v>
      </c>
      <c r="CP148" s="538">
        <f t="shared" si="941"/>
        <v>5.04</v>
      </c>
      <c r="CQ148" s="538">
        <f t="shared" si="942"/>
        <v>3.36</v>
      </c>
      <c r="CR148" s="539">
        <f t="shared" si="943"/>
        <v>1.1000000000000001</v>
      </c>
      <c r="CS148" s="540">
        <f t="shared" si="944"/>
        <v>5.1000000000000004E-2</v>
      </c>
      <c r="CT148" s="540">
        <f t="shared" si="945"/>
        <v>0.15421000000000001</v>
      </c>
      <c r="CU148" s="541">
        <f t="shared" si="946"/>
        <v>6.5</v>
      </c>
      <c r="CV148" s="538">
        <f t="shared" si="947"/>
        <v>0.90203999999999995</v>
      </c>
      <c r="CW148" s="538">
        <f t="shared" si="948"/>
        <v>15.764600000000002</v>
      </c>
      <c r="CX148" s="104">
        <f t="shared" si="949"/>
        <v>1.68</v>
      </c>
      <c r="CY148" s="542">
        <f t="shared" si="950"/>
        <v>0.84</v>
      </c>
      <c r="CZ148" s="538">
        <f t="shared" si="951"/>
        <v>0</v>
      </c>
    </row>
    <row r="149" spans="1:104" ht="37.5" x14ac:dyDescent="0.25">
      <c r="A149" s="100" t="str">
        <f>'BOCA DE LOBO'!C139</f>
        <v>BL40-&gt;PV7.1</v>
      </c>
      <c r="B149" s="100" t="str">
        <f>'BOCA DE LOBO'!A139</f>
        <v>PV7.1</v>
      </c>
      <c r="C149" s="100" t="str">
        <f>VLOOKUP(A149,'BOCA DE LOBO'!C:F,3,0)</f>
        <v>PROJETADO</v>
      </c>
      <c r="D149" s="100" t="str">
        <f>VLOOKUP(A149,'BOCA DE LOBO'!C:M,10,0)</f>
        <v>AMPLIADA</v>
      </c>
      <c r="E149" s="100">
        <f t="shared" si="866"/>
        <v>2.5</v>
      </c>
      <c r="F149" s="100">
        <f>VLOOKUP(A149,'BOCA DE LOBO'!$C$97:$P$172,2,0)</f>
        <v>3.87</v>
      </c>
      <c r="G149" s="100">
        <f>VLOOKUP(A149,'BOCA DE LOBO'!$C$97:$L$172,4,0)</f>
        <v>3.9</v>
      </c>
      <c r="H149" s="101">
        <v>400</v>
      </c>
      <c r="I149" s="102">
        <f t="shared" si="867"/>
        <v>3.3149999999999999</v>
      </c>
      <c r="J149" s="102">
        <f t="shared" si="868"/>
        <v>0.64642500000000003</v>
      </c>
      <c r="K149" s="103">
        <v>0</v>
      </c>
      <c r="L149" s="104">
        <f t="shared" si="869"/>
        <v>0</v>
      </c>
      <c r="M149" s="104">
        <f t="shared" si="870"/>
        <v>0</v>
      </c>
      <c r="N149" s="104">
        <f t="shared" si="871"/>
        <v>400</v>
      </c>
      <c r="O149" s="104">
        <f t="shared" si="872"/>
        <v>0</v>
      </c>
      <c r="P149" s="105" t="str">
        <f>VLOOKUP(B149,'Planilha Hidráulica'!$AE$49:$AQ$94,13,0)</f>
        <v>ASFALTO</v>
      </c>
      <c r="Q149" s="452" t="s">
        <v>2067</v>
      </c>
      <c r="R149" s="105"/>
      <c r="S149" s="105">
        <f>VLOOKUP(Q149,Quantitativos!$P$43:$R$88,3,0)</f>
        <v>3.7</v>
      </c>
      <c r="T149" s="105">
        <f>VLOOKUP(Q149,Quantitativos!$P$43:$S$88,4,0)</f>
        <v>5</v>
      </c>
      <c r="U149" s="104">
        <f t="shared" si="873"/>
        <v>0.05</v>
      </c>
      <c r="V149" s="106">
        <f t="shared" si="874"/>
        <v>0</v>
      </c>
      <c r="W149" s="106">
        <f t="shared" si="875"/>
        <v>0</v>
      </c>
      <c r="X149" s="107">
        <f t="shared" si="876"/>
        <v>0</v>
      </c>
      <c r="Y149" s="107">
        <f t="shared" si="877"/>
        <v>0</v>
      </c>
      <c r="Z149" s="107">
        <f t="shared" si="878"/>
        <v>3.3149999999999999</v>
      </c>
      <c r="AA149" s="107">
        <f t="shared" si="879"/>
        <v>0</v>
      </c>
      <c r="AB149" s="108">
        <f t="shared" si="880"/>
        <v>0</v>
      </c>
      <c r="AC149" s="109">
        <f t="shared" si="881"/>
        <v>0</v>
      </c>
      <c r="AD149" s="109">
        <f t="shared" si="882"/>
        <v>0</v>
      </c>
      <c r="AE149" s="109">
        <f t="shared" si="883"/>
        <v>0</v>
      </c>
      <c r="AF149" s="109">
        <f t="shared" si="884"/>
        <v>0</v>
      </c>
      <c r="AG149" s="109">
        <f t="shared" si="885"/>
        <v>0</v>
      </c>
      <c r="AH149" s="109">
        <f t="shared" si="886"/>
        <v>0</v>
      </c>
      <c r="AI149" s="537" t="str">
        <f t="shared" si="887"/>
        <v>NÃO</v>
      </c>
      <c r="AJ149" s="104">
        <f t="shared" si="888"/>
        <v>0</v>
      </c>
      <c r="AK149" s="104">
        <f t="shared" si="889"/>
        <v>0</v>
      </c>
      <c r="AL149" s="104">
        <f t="shared" si="890"/>
        <v>0</v>
      </c>
      <c r="AM149" s="102">
        <f t="shared" si="891"/>
        <v>0</v>
      </c>
      <c r="AN149" s="106">
        <f t="shared" si="892"/>
        <v>0</v>
      </c>
      <c r="AO149" s="104">
        <f t="shared" si="893"/>
        <v>0</v>
      </c>
      <c r="AP149" s="104">
        <f t="shared" si="894"/>
        <v>0</v>
      </c>
      <c r="AQ149" s="104">
        <f t="shared" si="895"/>
        <v>0.7</v>
      </c>
      <c r="AR149" s="104">
        <f t="shared" si="896"/>
        <v>0</v>
      </c>
      <c r="AS149" s="104">
        <f t="shared" si="897"/>
        <v>0</v>
      </c>
      <c r="AT149" s="104">
        <f t="shared" si="898"/>
        <v>0</v>
      </c>
      <c r="AU149" s="104">
        <f t="shared" si="899"/>
        <v>0</v>
      </c>
      <c r="AV149" s="104">
        <f t="shared" si="900"/>
        <v>0</v>
      </c>
      <c r="AW149" s="104">
        <f t="shared" si="901"/>
        <v>0</v>
      </c>
      <c r="AX149" s="104">
        <f t="shared" si="902"/>
        <v>0</v>
      </c>
      <c r="AY149" s="104">
        <f t="shared" si="903"/>
        <v>0</v>
      </c>
      <c r="AZ149" s="104">
        <f t="shared" si="904"/>
        <v>0</v>
      </c>
      <c r="BA149" s="104">
        <f t="shared" si="905"/>
        <v>0</v>
      </c>
      <c r="BB149" s="104">
        <f t="shared" si="906"/>
        <v>0</v>
      </c>
      <c r="BC149" s="104"/>
      <c r="BD149" s="104">
        <f t="shared" si="907"/>
        <v>0</v>
      </c>
      <c r="BE149" s="108">
        <f t="shared" si="908"/>
        <v>3.3149999999999999</v>
      </c>
      <c r="BF149" s="110">
        <f t="shared" si="909"/>
        <v>0</v>
      </c>
      <c r="BG149" s="110">
        <f t="shared" si="910"/>
        <v>0</v>
      </c>
      <c r="BH149" s="105" t="str">
        <f>VLOOKUP(A149,'BOCA DE LOBO'!$C$99:$P$172,7,0)</f>
        <v>BOCA DE LOBO DUPLA EXISTENTE COM BOCA DE LOBO SIMPLES PROJETADA</v>
      </c>
      <c r="BI149" s="104">
        <f t="shared" si="911"/>
        <v>0</v>
      </c>
      <c r="BJ149" s="104">
        <f t="shared" si="912"/>
        <v>0</v>
      </c>
      <c r="BK149" s="104">
        <f t="shared" si="913"/>
        <v>1</v>
      </c>
      <c r="BL149" s="104">
        <f t="shared" si="914"/>
        <v>0</v>
      </c>
      <c r="BM149" s="104">
        <f t="shared" si="915"/>
        <v>0</v>
      </c>
      <c r="BN149" s="104">
        <f t="shared" si="916"/>
        <v>0</v>
      </c>
      <c r="BO149" s="543">
        <f t="shared" si="917"/>
        <v>0</v>
      </c>
      <c r="BP149" s="111"/>
      <c r="BQ149" s="108">
        <f t="shared" si="918"/>
        <v>11.7</v>
      </c>
      <c r="BR149" s="108">
        <f t="shared" si="919"/>
        <v>11.7</v>
      </c>
      <c r="BS149" s="108">
        <f t="shared" si="920"/>
        <v>2.4569999999999994</v>
      </c>
      <c r="BT149" s="112"/>
      <c r="BU149" s="112" t="s">
        <v>1410</v>
      </c>
      <c r="BV149" s="538">
        <f t="shared" si="921"/>
        <v>9.1559999999999988</v>
      </c>
      <c r="BW149" s="538">
        <f t="shared" si="922"/>
        <v>3.6623999999999994</v>
      </c>
      <c r="BX149" s="538">
        <f t="shared" si="923"/>
        <v>1.3923999999999999</v>
      </c>
      <c r="BY149" s="538">
        <f t="shared" si="924"/>
        <v>2.5</v>
      </c>
      <c r="BZ149" s="538">
        <f t="shared" si="925"/>
        <v>2.5</v>
      </c>
      <c r="CA149" s="538">
        <f t="shared" si="926"/>
        <v>0</v>
      </c>
      <c r="CB149" s="538">
        <f t="shared" si="927"/>
        <v>0</v>
      </c>
      <c r="CC149" s="538">
        <f t="shared" si="928"/>
        <v>5.4935999999999989</v>
      </c>
      <c r="CD149" s="538">
        <f t="shared" si="929"/>
        <v>3.6623999999999994</v>
      </c>
      <c r="CE149" s="538">
        <f t="shared" si="930"/>
        <v>0</v>
      </c>
      <c r="CF149" s="538">
        <f t="shared" si="931"/>
        <v>0</v>
      </c>
      <c r="CG149" s="538">
        <f t="shared" si="932"/>
        <v>0</v>
      </c>
      <c r="CH149" s="538">
        <f t="shared" si="933"/>
        <v>0</v>
      </c>
      <c r="CI149" s="104">
        <f t="shared" si="934"/>
        <v>0.252</v>
      </c>
      <c r="CJ149" s="538">
        <f t="shared" si="935"/>
        <v>5.4229999999999992</v>
      </c>
      <c r="CK149" s="538">
        <f t="shared" si="936"/>
        <v>5.4229999999999992</v>
      </c>
      <c r="CL149" s="538">
        <f t="shared" si="937"/>
        <v>0</v>
      </c>
      <c r="CM149" s="538">
        <f t="shared" si="938"/>
        <v>0</v>
      </c>
      <c r="CN149" s="538">
        <f t="shared" si="939"/>
        <v>1.68</v>
      </c>
      <c r="CO149" s="538">
        <f t="shared" si="940"/>
        <v>2.5</v>
      </c>
      <c r="CP149" s="538">
        <f t="shared" si="941"/>
        <v>5.04</v>
      </c>
      <c r="CQ149" s="538">
        <f t="shared" si="942"/>
        <v>3.36</v>
      </c>
      <c r="CR149" s="539">
        <f t="shared" si="943"/>
        <v>1.1000000000000001</v>
      </c>
      <c r="CS149" s="540">
        <f t="shared" si="944"/>
        <v>5.1000000000000004E-2</v>
      </c>
      <c r="CT149" s="540">
        <f t="shared" si="945"/>
        <v>0.15421000000000001</v>
      </c>
      <c r="CU149" s="541">
        <f t="shared" si="946"/>
        <v>6.5</v>
      </c>
      <c r="CV149" s="538">
        <f t="shared" si="947"/>
        <v>0.90203999999999995</v>
      </c>
      <c r="CW149" s="538">
        <f t="shared" si="948"/>
        <v>15.764600000000002</v>
      </c>
      <c r="CX149" s="104">
        <f t="shared" si="949"/>
        <v>1.68</v>
      </c>
      <c r="CY149" s="542">
        <f t="shared" si="950"/>
        <v>0.84</v>
      </c>
      <c r="CZ149" s="538">
        <f t="shared" si="951"/>
        <v>0</v>
      </c>
    </row>
    <row r="150" spans="1:104" ht="37.5" x14ac:dyDescent="0.25">
      <c r="A150" s="100" t="str">
        <f>'BOCA DE LOBO'!C140</f>
        <v>BL41-&gt;PV9.1</v>
      </c>
      <c r="B150" s="100" t="str">
        <f>'BOCA DE LOBO'!A140</f>
        <v>PV9.1</v>
      </c>
      <c r="C150" s="100" t="str">
        <f>VLOOKUP(A150,'BOCA DE LOBO'!C:F,3,0)</f>
        <v>PROJETADO</v>
      </c>
      <c r="D150" s="100" t="str">
        <f>VLOOKUP(A150,'BOCA DE LOBO'!C:M,10,0)</f>
        <v>AMPLIADA</v>
      </c>
      <c r="E150" s="100">
        <f t="shared" si="866"/>
        <v>2.5</v>
      </c>
      <c r="F150" s="100">
        <f>VLOOKUP(A150,'BOCA DE LOBO'!$C$97:$P$172,2,0)</f>
        <v>3</v>
      </c>
      <c r="G150" s="100">
        <f>VLOOKUP(A150,'BOCA DE LOBO'!$C$97:$L$172,4,0)</f>
        <v>6.9</v>
      </c>
      <c r="H150" s="101">
        <v>400</v>
      </c>
      <c r="I150" s="102">
        <f t="shared" si="867"/>
        <v>2.88</v>
      </c>
      <c r="J150" s="102">
        <f t="shared" si="868"/>
        <v>0.99360000000000004</v>
      </c>
      <c r="K150" s="103">
        <v>0</v>
      </c>
      <c r="L150" s="104">
        <f t="shared" si="869"/>
        <v>0</v>
      </c>
      <c r="M150" s="104">
        <f t="shared" si="870"/>
        <v>0</v>
      </c>
      <c r="N150" s="104">
        <f t="shared" si="871"/>
        <v>400</v>
      </c>
      <c r="O150" s="104">
        <f t="shared" si="872"/>
        <v>0</v>
      </c>
      <c r="P150" s="105" t="str">
        <f>VLOOKUP(B150,'Planilha Hidráulica'!$AE$49:$AQ$94,13,0)</f>
        <v>ASFALTO</v>
      </c>
      <c r="Q150" s="452" t="s">
        <v>2067</v>
      </c>
      <c r="R150" s="105"/>
      <c r="S150" s="105">
        <f>VLOOKUP(Q150,Quantitativos!$P$43:$R$88,3,0)</f>
        <v>3.7</v>
      </c>
      <c r="T150" s="105">
        <f>VLOOKUP(Q150,Quantitativos!$P$43:$S$88,4,0)</f>
        <v>5</v>
      </c>
      <c r="U150" s="104">
        <f t="shared" si="873"/>
        <v>0.05</v>
      </c>
      <c r="V150" s="106">
        <f t="shared" si="874"/>
        <v>0</v>
      </c>
      <c r="W150" s="106">
        <f t="shared" si="875"/>
        <v>0</v>
      </c>
      <c r="X150" s="107">
        <f t="shared" si="876"/>
        <v>0</v>
      </c>
      <c r="Y150" s="107">
        <f t="shared" si="877"/>
        <v>0</v>
      </c>
      <c r="Z150" s="107">
        <f t="shared" si="878"/>
        <v>2.88</v>
      </c>
      <c r="AA150" s="107">
        <f t="shared" si="879"/>
        <v>0</v>
      </c>
      <c r="AB150" s="108">
        <f t="shared" si="880"/>
        <v>0</v>
      </c>
      <c r="AC150" s="109">
        <f t="shared" si="881"/>
        <v>0</v>
      </c>
      <c r="AD150" s="109">
        <f t="shared" si="882"/>
        <v>0</v>
      </c>
      <c r="AE150" s="109">
        <f t="shared" si="883"/>
        <v>0</v>
      </c>
      <c r="AF150" s="109">
        <f t="shared" si="884"/>
        <v>0</v>
      </c>
      <c r="AG150" s="109">
        <f t="shared" si="885"/>
        <v>0</v>
      </c>
      <c r="AH150" s="109">
        <f t="shared" si="886"/>
        <v>0</v>
      </c>
      <c r="AI150" s="537" t="str">
        <f t="shared" si="887"/>
        <v>NÃO</v>
      </c>
      <c r="AJ150" s="104">
        <f t="shared" si="888"/>
        <v>0</v>
      </c>
      <c r="AK150" s="104">
        <f t="shared" si="889"/>
        <v>0</v>
      </c>
      <c r="AL150" s="104">
        <f t="shared" si="890"/>
        <v>0</v>
      </c>
      <c r="AM150" s="102">
        <f t="shared" si="891"/>
        <v>0</v>
      </c>
      <c r="AN150" s="106">
        <f t="shared" si="892"/>
        <v>0</v>
      </c>
      <c r="AO150" s="104">
        <f t="shared" si="893"/>
        <v>0</v>
      </c>
      <c r="AP150" s="104">
        <f t="shared" si="894"/>
        <v>0</v>
      </c>
      <c r="AQ150" s="104">
        <f t="shared" si="895"/>
        <v>0.7</v>
      </c>
      <c r="AR150" s="104">
        <f t="shared" si="896"/>
        <v>0</v>
      </c>
      <c r="AS150" s="104">
        <f t="shared" si="897"/>
        <v>0</v>
      </c>
      <c r="AT150" s="104">
        <f t="shared" si="898"/>
        <v>0</v>
      </c>
      <c r="AU150" s="104">
        <f t="shared" si="899"/>
        <v>0</v>
      </c>
      <c r="AV150" s="104">
        <f t="shared" si="900"/>
        <v>0</v>
      </c>
      <c r="AW150" s="104">
        <f t="shared" si="901"/>
        <v>0</v>
      </c>
      <c r="AX150" s="104">
        <f t="shared" si="902"/>
        <v>0</v>
      </c>
      <c r="AY150" s="104">
        <f t="shared" si="903"/>
        <v>0</v>
      </c>
      <c r="AZ150" s="104">
        <f t="shared" si="904"/>
        <v>0</v>
      </c>
      <c r="BA150" s="104">
        <f t="shared" si="905"/>
        <v>0</v>
      </c>
      <c r="BB150" s="104">
        <f t="shared" si="906"/>
        <v>0</v>
      </c>
      <c r="BC150" s="104"/>
      <c r="BD150" s="104">
        <f t="shared" si="907"/>
        <v>0</v>
      </c>
      <c r="BE150" s="108">
        <f t="shared" si="908"/>
        <v>2.88</v>
      </c>
      <c r="BF150" s="110">
        <f t="shared" si="909"/>
        <v>0</v>
      </c>
      <c r="BG150" s="110">
        <f t="shared" si="910"/>
        <v>6.9</v>
      </c>
      <c r="BH150" s="105" t="str">
        <f>VLOOKUP(A150,'BOCA DE LOBO'!$C$99:$P$172,7,0)</f>
        <v>BOCA DE LOBO DUPLA EXISTENTE COM BOCA DE LOBO SIMPLES PROJETADA</v>
      </c>
      <c r="BI150" s="104">
        <f t="shared" si="911"/>
        <v>0</v>
      </c>
      <c r="BJ150" s="104">
        <f t="shared" si="912"/>
        <v>0</v>
      </c>
      <c r="BK150" s="104">
        <f t="shared" si="913"/>
        <v>1</v>
      </c>
      <c r="BL150" s="104">
        <f t="shared" si="914"/>
        <v>0</v>
      </c>
      <c r="BM150" s="104">
        <f t="shared" si="915"/>
        <v>0</v>
      </c>
      <c r="BN150" s="104">
        <f t="shared" si="916"/>
        <v>0</v>
      </c>
      <c r="BO150" s="543">
        <f t="shared" si="917"/>
        <v>0</v>
      </c>
      <c r="BP150" s="111"/>
      <c r="BQ150" s="108">
        <f t="shared" si="918"/>
        <v>20.700000000000003</v>
      </c>
      <c r="BR150" s="108">
        <f t="shared" si="919"/>
        <v>19.044</v>
      </c>
      <c r="BS150" s="108">
        <f t="shared" si="920"/>
        <v>0</v>
      </c>
      <c r="BT150" s="112"/>
      <c r="BU150" s="112" t="s">
        <v>1410</v>
      </c>
      <c r="BV150" s="538">
        <f t="shared" si="921"/>
        <v>9.1559999999999988</v>
      </c>
      <c r="BW150" s="538">
        <f t="shared" si="922"/>
        <v>3.6623999999999994</v>
      </c>
      <c r="BX150" s="538">
        <f t="shared" si="923"/>
        <v>1.3923999999999999</v>
      </c>
      <c r="BY150" s="538">
        <f t="shared" si="924"/>
        <v>2.5</v>
      </c>
      <c r="BZ150" s="538">
        <f t="shared" si="925"/>
        <v>2.5</v>
      </c>
      <c r="CA150" s="538">
        <f t="shared" si="926"/>
        <v>0</v>
      </c>
      <c r="CB150" s="538">
        <f t="shared" si="927"/>
        <v>0</v>
      </c>
      <c r="CC150" s="538">
        <f t="shared" si="928"/>
        <v>5.4935999999999989</v>
      </c>
      <c r="CD150" s="538">
        <f t="shared" si="929"/>
        <v>3.6623999999999994</v>
      </c>
      <c r="CE150" s="538">
        <f t="shared" si="930"/>
        <v>0</v>
      </c>
      <c r="CF150" s="538">
        <f t="shared" si="931"/>
        <v>0</v>
      </c>
      <c r="CG150" s="538">
        <f t="shared" si="932"/>
        <v>0</v>
      </c>
      <c r="CH150" s="538">
        <f t="shared" si="933"/>
        <v>0</v>
      </c>
      <c r="CI150" s="104">
        <f t="shared" si="934"/>
        <v>0.252</v>
      </c>
      <c r="CJ150" s="538">
        <f t="shared" si="935"/>
        <v>5.4229999999999992</v>
      </c>
      <c r="CK150" s="538">
        <f t="shared" si="936"/>
        <v>5.4229999999999992</v>
      </c>
      <c r="CL150" s="538">
        <f t="shared" si="937"/>
        <v>0</v>
      </c>
      <c r="CM150" s="538">
        <f t="shared" si="938"/>
        <v>0</v>
      </c>
      <c r="CN150" s="538">
        <f t="shared" si="939"/>
        <v>1.68</v>
      </c>
      <c r="CO150" s="538">
        <f t="shared" si="940"/>
        <v>2.5</v>
      </c>
      <c r="CP150" s="538">
        <f t="shared" si="941"/>
        <v>5.04</v>
      </c>
      <c r="CQ150" s="538">
        <f t="shared" si="942"/>
        <v>3.36</v>
      </c>
      <c r="CR150" s="539">
        <f t="shared" si="943"/>
        <v>1.1000000000000001</v>
      </c>
      <c r="CS150" s="540">
        <f t="shared" si="944"/>
        <v>5.1000000000000004E-2</v>
      </c>
      <c r="CT150" s="540">
        <f t="shared" si="945"/>
        <v>0.15421000000000001</v>
      </c>
      <c r="CU150" s="541">
        <f t="shared" si="946"/>
        <v>6.5</v>
      </c>
      <c r="CV150" s="538">
        <f t="shared" si="947"/>
        <v>0.90203999999999995</v>
      </c>
      <c r="CW150" s="538">
        <f t="shared" si="948"/>
        <v>15.764600000000002</v>
      </c>
      <c r="CX150" s="104">
        <f t="shared" si="949"/>
        <v>1.68</v>
      </c>
      <c r="CY150" s="542">
        <f t="shared" si="950"/>
        <v>0.84</v>
      </c>
      <c r="CZ150" s="538">
        <f t="shared" si="951"/>
        <v>0</v>
      </c>
    </row>
    <row r="151" spans="1:104" ht="37.5" x14ac:dyDescent="0.25">
      <c r="A151" s="100" t="str">
        <f>'BOCA DE LOBO'!C141</f>
        <v>BL42-&gt;PV10.1</v>
      </c>
      <c r="B151" s="100" t="str">
        <f>'BOCA DE LOBO'!A141</f>
        <v>PV10.1</v>
      </c>
      <c r="C151" s="100" t="str">
        <f>VLOOKUP(A151,'BOCA DE LOBO'!C:F,3,0)</f>
        <v>PROJETADO</v>
      </c>
      <c r="D151" s="100" t="str">
        <f>VLOOKUP(A151,'BOCA DE LOBO'!C:M,10,0)</f>
        <v>AMPLIADA</v>
      </c>
      <c r="E151" s="100">
        <f t="shared" si="866"/>
        <v>2.5</v>
      </c>
      <c r="F151" s="100">
        <f>VLOOKUP(A151,'BOCA DE LOBO'!$C$97:$P$172,2,0)</f>
        <v>3.22</v>
      </c>
      <c r="G151" s="100">
        <f>VLOOKUP(A151,'BOCA DE LOBO'!$C$97:$L$172,4,0)</f>
        <v>3.28</v>
      </c>
      <c r="H151" s="101">
        <v>400</v>
      </c>
      <c r="I151" s="102">
        <f t="shared" si="867"/>
        <v>2.99</v>
      </c>
      <c r="J151" s="102">
        <f t="shared" si="868"/>
        <v>0.49036000000000002</v>
      </c>
      <c r="K151" s="103">
        <v>0</v>
      </c>
      <c r="L151" s="104">
        <f t="shared" si="869"/>
        <v>0</v>
      </c>
      <c r="M151" s="104">
        <f t="shared" si="870"/>
        <v>0</v>
      </c>
      <c r="N151" s="104">
        <f t="shared" si="871"/>
        <v>400</v>
      </c>
      <c r="O151" s="104">
        <f t="shared" si="872"/>
        <v>0</v>
      </c>
      <c r="P151" s="105" t="str">
        <f>VLOOKUP(B151,'Planilha Hidráulica'!$AE$49:$AQ$94,13,0)</f>
        <v>ASFALTO</v>
      </c>
      <c r="Q151" s="452" t="s">
        <v>2068</v>
      </c>
      <c r="R151" s="105"/>
      <c r="S151" s="105">
        <f>VLOOKUP(Q151,Quantitativos!$P$43:$R$88,3,0)</f>
        <v>2.2999999999999998</v>
      </c>
      <c r="T151" s="105">
        <f>VLOOKUP(Q151,Quantitativos!$P$43:$S$88,4,0)</f>
        <v>5</v>
      </c>
      <c r="U151" s="104">
        <f t="shared" si="873"/>
        <v>0.05</v>
      </c>
      <c r="V151" s="106">
        <f t="shared" si="874"/>
        <v>0</v>
      </c>
      <c r="W151" s="106">
        <f t="shared" si="875"/>
        <v>0</v>
      </c>
      <c r="X151" s="107">
        <f t="shared" si="876"/>
        <v>0</v>
      </c>
      <c r="Y151" s="107">
        <f t="shared" si="877"/>
        <v>0</v>
      </c>
      <c r="Z151" s="107">
        <f t="shared" si="878"/>
        <v>2.2999999999999998</v>
      </c>
      <c r="AA151" s="107">
        <f t="shared" si="879"/>
        <v>0.69000000000000039</v>
      </c>
      <c r="AB151" s="108">
        <f t="shared" si="880"/>
        <v>0</v>
      </c>
      <c r="AC151" s="109">
        <f t="shared" si="881"/>
        <v>0</v>
      </c>
      <c r="AD151" s="109">
        <f t="shared" si="882"/>
        <v>0</v>
      </c>
      <c r="AE151" s="109">
        <f t="shared" si="883"/>
        <v>0</v>
      </c>
      <c r="AF151" s="109">
        <f t="shared" si="884"/>
        <v>0</v>
      </c>
      <c r="AG151" s="109">
        <f t="shared" si="885"/>
        <v>0</v>
      </c>
      <c r="AH151" s="109">
        <f t="shared" si="886"/>
        <v>0</v>
      </c>
      <c r="AI151" s="537" t="str">
        <f t="shared" si="887"/>
        <v>SIM</v>
      </c>
      <c r="AJ151" s="104">
        <f t="shared" si="888"/>
        <v>0</v>
      </c>
      <c r="AK151" s="104">
        <f t="shared" si="889"/>
        <v>0</v>
      </c>
      <c r="AL151" s="104">
        <f t="shared" si="890"/>
        <v>0</v>
      </c>
      <c r="AM151" s="102">
        <f t="shared" si="891"/>
        <v>0</v>
      </c>
      <c r="AN151" s="106">
        <f t="shared" si="892"/>
        <v>0</v>
      </c>
      <c r="AO151" s="104">
        <f t="shared" si="893"/>
        <v>0</v>
      </c>
      <c r="AP151" s="104">
        <f t="shared" si="894"/>
        <v>0</v>
      </c>
      <c r="AQ151" s="104">
        <f t="shared" si="895"/>
        <v>0.7</v>
      </c>
      <c r="AR151" s="104">
        <f t="shared" si="896"/>
        <v>0</v>
      </c>
      <c r="AS151" s="104">
        <f t="shared" si="897"/>
        <v>0</v>
      </c>
      <c r="AT151" s="104">
        <f t="shared" si="898"/>
        <v>0</v>
      </c>
      <c r="AU151" s="104">
        <f t="shared" si="899"/>
        <v>0</v>
      </c>
      <c r="AV151" s="104">
        <f t="shared" si="900"/>
        <v>0</v>
      </c>
      <c r="AW151" s="104">
        <f t="shared" si="901"/>
        <v>0</v>
      </c>
      <c r="AX151" s="104">
        <f t="shared" si="902"/>
        <v>0</v>
      </c>
      <c r="AY151" s="104">
        <f t="shared" si="903"/>
        <v>0</v>
      </c>
      <c r="AZ151" s="104">
        <f t="shared" si="904"/>
        <v>0</v>
      </c>
      <c r="BA151" s="104">
        <f t="shared" si="905"/>
        <v>0</v>
      </c>
      <c r="BB151" s="104">
        <f t="shared" si="906"/>
        <v>0</v>
      </c>
      <c r="BC151" s="104"/>
      <c r="BD151" s="104">
        <f t="shared" si="907"/>
        <v>0</v>
      </c>
      <c r="BE151" s="108">
        <f t="shared" si="908"/>
        <v>2.99</v>
      </c>
      <c r="BF151" s="110">
        <f t="shared" si="909"/>
        <v>0</v>
      </c>
      <c r="BG151" s="110">
        <f t="shared" si="910"/>
        <v>3.28</v>
      </c>
      <c r="BH151" s="105" t="str">
        <f>VLOOKUP(A151,'BOCA DE LOBO'!$C$99:$P$172,7,0)</f>
        <v>BOCA DE LOBO DUPLA EXISTENTE COM BOCA DE LOBO SIMPLES PROJETADA</v>
      </c>
      <c r="BI151" s="104">
        <f t="shared" si="911"/>
        <v>0</v>
      </c>
      <c r="BJ151" s="104">
        <f t="shared" si="912"/>
        <v>0</v>
      </c>
      <c r="BK151" s="104">
        <f t="shared" si="913"/>
        <v>1</v>
      </c>
      <c r="BL151" s="104">
        <f t="shared" si="914"/>
        <v>0</v>
      </c>
      <c r="BM151" s="104">
        <f t="shared" si="915"/>
        <v>0</v>
      </c>
      <c r="BN151" s="104">
        <f t="shared" si="916"/>
        <v>0</v>
      </c>
      <c r="BO151" s="543">
        <f t="shared" si="917"/>
        <v>0</v>
      </c>
      <c r="BP151" s="111"/>
      <c r="BQ151" s="108">
        <f t="shared" si="918"/>
        <v>9.84</v>
      </c>
      <c r="BR151" s="108">
        <f t="shared" si="919"/>
        <v>9.7744</v>
      </c>
      <c r="BS151" s="108">
        <f t="shared" si="920"/>
        <v>0</v>
      </c>
      <c r="BT151" s="112"/>
      <c r="BU151" s="112" t="s">
        <v>1410</v>
      </c>
      <c r="BV151" s="538">
        <f t="shared" si="921"/>
        <v>9.1559999999999988</v>
      </c>
      <c r="BW151" s="538">
        <f t="shared" si="922"/>
        <v>3.6623999999999994</v>
      </c>
      <c r="BX151" s="538">
        <f t="shared" si="923"/>
        <v>1.3923999999999999</v>
      </c>
      <c r="BY151" s="538">
        <f t="shared" si="924"/>
        <v>2.5</v>
      </c>
      <c r="BZ151" s="538">
        <f t="shared" si="925"/>
        <v>2.2999999999999998</v>
      </c>
      <c r="CA151" s="538">
        <f t="shared" si="926"/>
        <v>0</v>
      </c>
      <c r="CB151" s="538">
        <f t="shared" si="927"/>
        <v>0.20000000000000018</v>
      </c>
      <c r="CC151" s="538">
        <f t="shared" si="928"/>
        <v>5.4935999999999989</v>
      </c>
      <c r="CD151" s="538">
        <f t="shared" si="929"/>
        <v>2.9299199999999987</v>
      </c>
      <c r="CE151" s="538">
        <f t="shared" si="930"/>
        <v>0</v>
      </c>
      <c r="CF151" s="538">
        <f t="shared" si="931"/>
        <v>0</v>
      </c>
      <c r="CG151" s="538">
        <f t="shared" si="932"/>
        <v>0.73248000000000069</v>
      </c>
      <c r="CH151" s="538">
        <f t="shared" si="933"/>
        <v>0</v>
      </c>
      <c r="CI151" s="104">
        <f t="shared" si="934"/>
        <v>0.252</v>
      </c>
      <c r="CJ151" s="538">
        <f t="shared" si="935"/>
        <v>5.4229999999999992</v>
      </c>
      <c r="CK151" s="538">
        <f t="shared" si="936"/>
        <v>5.4229999999999992</v>
      </c>
      <c r="CL151" s="538">
        <f t="shared" si="937"/>
        <v>0</v>
      </c>
      <c r="CM151" s="538">
        <f t="shared" si="938"/>
        <v>0</v>
      </c>
      <c r="CN151" s="538">
        <f t="shared" si="939"/>
        <v>1.68</v>
      </c>
      <c r="CO151" s="538">
        <f t="shared" si="940"/>
        <v>2.5</v>
      </c>
      <c r="CP151" s="538">
        <f t="shared" si="941"/>
        <v>5.04</v>
      </c>
      <c r="CQ151" s="538">
        <f t="shared" si="942"/>
        <v>3.36</v>
      </c>
      <c r="CR151" s="539">
        <f t="shared" si="943"/>
        <v>1.1000000000000001</v>
      </c>
      <c r="CS151" s="540">
        <f t="shared" si="944"/>
        <v>5.1000000000000004E-2</v>
      </c>
      <c r="CT151" s="540">
        <f t="shared" si="945"/>
        <v>0.15421000000000001</v>
      </c>
      <c r="CU151" s="541">
        <f t="shared" si="946"/>
        <v>6.5</v>
      </c>
      <c r="CV151" s="538">
        <f t="shared" si="947"/>
        <v>0.90203999999999995</v>
      </c>
      <c r="CW151" s="538">
        <f t="shared" si="948"/>
        <v>15.764600000000002</v>
      </c>
      <c r="CX151" s="104">
        <f t="shared" si="949"/>
        <v>1.68</v>
      </c>
      <c r="CY151" s="542">
        <f t="shared" si="950"/>
        <v>0.84</v>
      </c>
      <c r="CZ151" s="538">
        <f t="shared" si="951"/>
        <v>0</v>
      </c>
    </row>
    <row r="152" spans="1:104" ht="37.5" x14ac:dyDescent="0.25">
      <c r="A152" s="100" t="str">
        <f>'BOCA DE LOBO'!C142</f>
        <v>BL43-&gt;PV11.1</v>
      </c>
      <c r="B152" s="100" t="str">
        <f>'BOCA DE LOBO'!A142</f>
        <v>PV11.1</v>
      </c>
      <c r="C152" s="100" t="str">
        <f>VLOOKUP(A152,'BOCA DE LOBO'!C:F,3,0)</f>
        <v>PROJETADO</v>
      </c>
      <c r="D152" s="100" t="str">
        <f>VLOOKUP(A152,'BOCA DE LOBO'!C:M,10,0)</f>
        <v>AMPLIADA</v>
      </c>
      <c r="E152" s="100">
        <f t="shared" si="866"/>
        <v>2.5</v>
      </c>
      <c r="F152" s="100">
        <f>VLOOKUP(A152,'BOCA DE LOBO'!$C$97:$P$172,2,0)</f>
        <v>3.1</v>
      </c>
      <c r="G152" s="100">
        <f>VLOOKUP(A152,'BOCA DE LOBO'!$C$97:$L$172,4,0)</f>
        <v>8.19</v>
      </c>
      <c r="H152" s="101">
        <v>400</v>
      </c>
      <c r="I152" s="102">
        <f t="shared" si="867"/>
        <v>2.9299999999999997</v>
      </c>
      <c r="J152" s="102">
        <f t="shared" si="868"/>
        <v>1.1998349999999998</v>
      </c>
      <c r="K152" s="103">
        <v>0</v>
      </c>
      <c r="L152" s="104">
        <f t="shared" si="869"/>
        <v>0</v>
      </c>
      <c r="M152" s="104">
        <f t="shared" si="870"/>
        <v>0</v>
      </c>
      <c r="N152" s="104">
        <f t="shared" si="871"/>
        <v>400</v>
      </c>
      <c r="O152" s="104">
        <f t="shared" si="872"/>
        <v>0</v>
      </c>
      <c r="P152" s="105" t="str">
        <f>VLOOKUP(B152,'Planilha Hidráulica'!$AE$49:$AQ$94,13,0)</f>
        <v>ASFALTO</v>
      </c>
      <c r="Q152" s="452" t="s">
        <v>2068</v>
      </c>
      <c r="R152" s="105"/>
      <c r="S152" s="105">
        <f>VLOOKUP(Q152,Quantitativos!$P$43:$R$88,3,0)</f>
        <v>2.2999999999999998</v>
      </c>
      <c r="T152" s="105">
        <f>VLOOKUP(Q152,Quantitativos!$P$43:$S$88,4,0)</f>
        <v>5</v>
      </c>
      <c r="U152" s="104">
        <f t="shared" si="873"/>
        <v>0.05</v>
      </c>
      <c r="V152" s="106">
        <f t="shared" si="874"/>
        <v>0</v>
      </c>
      <c r="W152" s="106">
        <f t="shared" si="875"/>
        <v>0</v>
      </c>
      <c r="X152" s="107">
        <f t="shared" si="876"/>
        <v>0</v>
      </c>
      <c r="Y152" s="107">
        <f t="shared" si="877"/>
        <v>0</v>
      </c>
      <c r="Z152" s="107">
        <f t="shared" si="878"/>
        <v>2.2999999999999998</v>
      </c>
      <c r="AA152" s="107">
        <f t="shared" si="879"/>
        <v>0.62999999999999989</v>
      </c>
      <c r="AB152" s="108">
        <f t="shared" si="880"/>
        <v>0</v>
      </c>
      <c r="AC152" s="109">
        <f t="shared" si="881"/>
        <v>0</v>
      </c>
      <c r="AD152" s="109">
        <f t="shared" si="882"/>
        <v>0</v>
      </c>
      <c r="AE152" s="109">
        <f t="shared" si="883"/>
        <v>0</v>
      </c>
      <c r="AF152" s="109">
        <f t="shared" si="884"/>
        <v>0</v>
      </c>
      <c r="AG152" s="109">
        <f t="shared" si="885"/>
        <v>0</v>
      </c>
      <c r="AH152" s="109">
        <f t="shared" si="886"/>
        <v>0</v>
      </c>
      <c r="AI152" s="537" t="str">
        <f t="shared" si="887"/>
        <v>SIM</v>
      </c>
      <c r="AJ152" s="104">
        <f t="shared" si="888"/>
        <v>0</v>
      </c>
      <c r="AK152" s="104">
        <f t="shared" si="889"/>
        <v>0</v>
      </c>
      <c r="AL152" s="104">
        <f t="shared" si="890"/>
        <v>0</v>
      </c>
      <c r="AM152" s="102">
        <f t="shared" si="891"/>
        <v>0</v>
      </c>
      <c r="AN152" s="106">
        <f t="shared" si="892"/>
        <v>0</v>
      </c>
      <c r="AO152" s="104">
        <f t="shared" si="893"/>
        <v>0</v>
      </c>
      <c r="AP152" s="104">
        <f t="shared" si="894"/>
        <v>0</v>
      </c>
      <c r="AQ152" s="104">
        <f t="shared" si="895"/>
        <v>0.7</v>
      </c>
      <c r="AR152" s="104">
        <f t="shared" si="896"/>
        <v>0</v>
      </c>
      <c r="AS152" s="104">
        <f t="shared" si="897"/>
        <v>0</v>
      </c>
      <c r="AT152" s="104">
        <f t="shared" si="898"/>
        <v>0</v>
      </c>
      <c r="AU152" s="104">
        <f t="shared" si="899"/>
        <v>0</v>
      </c>
      <c r="AV152" s="104">
        <f t="shared" si="900"/>
        <v>0</v>
      </c>
      <c r="AW152" s="104">
        <f t="shared" si="901"/>
        <v>0</v>
      </c>
      <c r="AX152" s="104">
        <f t="shared" si="902"/>
        <v>0</v>
      </c>
      <c r="AY152" s="104">
        <f t="shared" si="903"/>
        <v>0</v>
      </c>
      <c r="AZ152" s="104">
        <f t="shared" si="904"/>
        <v>0</v>
      </c>
      <c r="BA152" s="104">
        <f t="shared" si="905"/>
        <v>0</v>
      </c>
      <c r="BB152" s="104">
        <f t="shared" si="906"/>
        <v>0</v>
      </c>
      <c r="BC152" s="104"/>
      <c r="BD152" s="104">
        <f t="shared" si="907"/>
        <v>0</v>
      </c>
      <c r="BE152" s="108">
        <f t="shared" si="908"/>
        <v>2.9299999999999997</v>
      </c>
      <c r="BF152" s="110">
        <f t="shared" si="909"/>
        <v>0</v>
      </c>
      <c r="BG152" s="110">
        <f t="shared" si="910"/>
        <v>8.19</v>
      </c>
      <c r="BH152" s="105" t="str">
        <f>VLOOKUP(A152,'BOCA DE LOBO'!$C$99:$P$172,7,0)</f>
        <v>BOCA DE LOBO DUPLA EXISTENTE COM BOCA DE LOBO SIMPLES PROJETADA</v>
      </c>
      <c r="BI152" s="104">
        <f t="shared" si="911"/>
        <v>0</v>
      </c>
      <c r="BJ152" s="104">
        <f t="shared" si="912"/>
        <v>0</v>
      </c>
      <c r="BK152" s="104">
        <f t="shared" si="913"/>
        <v>1</v>
      </c>
      <c r="BL152" s="104">
        <f t="shared" si="914"/>
        <v>0</v>
      </c>
      <c r="BM152" s="104">
        <f t="shared" si="915"/>
        <v>0</v>
      </c>
      <c r="BN152" s="104">
        <f t="shared" si="916"/>
        <v>0</v>
      </c>
      <c r="BO152" s="543">
        <f t="shared" si="917"/>
        <v>0</v>
      </c>
      <c r="BP152" s="111"/>
      <c r="BQ152" s="108">
        <f t="shared" si="918"/>
        <v>24.57</v>
      </c>
      <c r="BR152" s="108">
        <f t="shared" si="919"/>
        <v>23.423399999999994</v>
      </c>
      <c r="BS152" s="108">
        <f t="shared" si="920"/>
        <v>0</v>
      </c>
      <c r="BT152" s="112"/>
      <c r="BU152" s="112" t="s">
        <v>1410</v>
      </c>
      <c r="BV152" s="538">
        <f t="shared" si="921"/>
        <v>9.1559999999999988</v>
      </c>
      <c r="BW152" s="538">
        <f t="shared" si="922"/>
        <v>3.6623999999999994</v>
      </c>
      <c r="BX152" s="538">
        <f t="shared" si="923"/>
        <v>1.3923999999999999</v>
      </c>
      <c r="BY152" s="538">
        <f t="shared" si="924"/>
        <v>2.5</v>
      </c>
      <c r="BZ152" s="538">
        <f t="shared" si="925"/>
        <v>2.2999999999999998</v>
      </c>
      <c r="CA152" s="538">
        <f t="shared" si="926"/>
        <v>0</v>
      </c>
      <c r="CB152" s="538">
        <f t="shared" si="927"/>
        <v>0.20000000000000018</v>
      </c>
      <c r="CC152" s="538">
        <f t="shared" si="928"/>
        <v>5.4935999999999989</v>
      </c>
      <c r="CD152" s="538">
        <f t="shared" si="929"/>
        <v>2.9299199999999987</v>
      </c>
      <c r="CE152" s="538">
        <f t="shared" si="930"/>
        <v>0</v>
      </c>
      <c r="CF152" s="538">
        <f t="shared" si="931"/>
        <v>0</v>
      </c>
      <c r="CG152" s="538">
        <f t="shared" si="932"/>
        <v>0.73248000000000069</v>
      </c>
      <c r="CH152" s="538">
        <f t="shared" si="933"/>
        <v>0</v>
      </c>
      <c r="CI152" s="104">
        <f t="shared" si="934"/>
        <v>0.252</v>
      </c>
      <c r="CJ152" s="538">
        <f t="shared" si="935"/>
        <v>5.4229999999999992</v>
      </c>
      <c r="CK152" s="538">
        <f t="shared" si="936"/>
        <v>5.4229999999999992</v>
      </c>
      <c r="CL152" s="538">
        <f t="shared" si="937"/>
        <v>0</v>
      </c>
      <c r="CM152" s="538">
        <f t="shared" si="938"/>
        <v>0</v>
      </c>
      <c r="CN152" s="538">
        <f t="shared" si="939"/>
        <v>1.68</v>
      </c>
      <c r="CO152" s="538">
        <f t="shared" si="940"/>
        <v>2.5</v>
      </c>
      <c r="CP152" s="538">
        <f t="shared" si="941"/>
        <v>5.04</v>
      </c>
      <c r="CQ152" s="538">
        <f t="shared" si="942"/>
        <v>3.36</v>
      </c>
      <c r="CR152" s="539">
        <f t="shared" si="943"/>
        <v>1.1000000000000001</v>
      </c>
      <c r="CS152" s="540">
        <f t="shared" si="944"/>
        <v>5.1000000000000004E-2</v>
      </c>
      <c r="CT152" s="540">
        <f t="shared" si="945"/>
        <v>0.15421000000000001</v>
      </c>
      <c r="CU152" s="541">
        <f t="shared" si="946"/>
        <v>6.5</v>
      </c>
      <c r="CV152" s="538">
        <f t="shared" si="947"/>
        <v>0.90203999999999995</v>
      </c>
      <c r="CW152" s="538">
        <f t="shared" si="948"/>
        <v>15.764600000000002</v>
      </c>
      <c r="CX152" s="104">
        <f t="shared" si="949"/>
        <v>1.68</v>
      </c>
      <c r="CY152" s="542">
        <f t="shared" si="950"/>
        <v>0.84</v>
      </c>
      <c r="CZ152" s="538">
        <f t="shared" si="951"/>
        <v>0</v>
      </c>
    </row>
    <row r="153" spans="1:104" ht="14.5" x14ac:dyDescent="0.35">
      <c r="A153" s="325" t="str">
        <f>'BOCA DE LOBO'!A143</f>
        <v>EXISTENTE</v>
      </c>
      <c r="B153" s="114"/>
      <c r="C153" s="114"/>
      <c r="D153" s="114"/>
      <c r="E153" s="100"/>
      <c r="F153" s="100"/>
      <c r="G153" s="100"/>
      <c r="H153" s="101"/>
      <c r="I153" s="102"/>
      <c r="J153" s="102"/>
      <c r="K153" s="103"/>
      <c r="L153" s="104"/>
      <c r="M153" s="104"/>
      <c r="N153" s="104"/>
      <c r="O153" s="104"/>
      <c r="P153" s="105"/>
      <c r="Q153" s="105"/>
      <c r="R153" s="105"/>
      <c r="S153" s="105"/>
      <c r="T153" s="105"/>
      <c r="U153" s="104"/>
      <c r="V153" s="107"/>
      <c r="W153" s="107"/>
      <c r="X153" s="107"/>
      <c r="Y153" s="107"/>
      <c r="Z153" s="107"/>
      <c r="AA153" s="107"/>
      <c r="AB153" s="108"/>
      <c r="AC153" s="109"/>
      <c r="AD153" s="109"/>
      <c r="AE153" s="109"/>
      <c r="AF153" s="109"/>
      <c r="AG153" s="109"/>
      <c r="AH153" s="109"/>
      <c r="AI153" s="537"/>
      <c r="AJ153" s="104"/>
      <c r="AK153" s="104"/>
      <c r="AL153" s="104"/>
      <c r="AM153" s="102"/>
      <c r="AN153" s="106"/>
      <c r="AO153" s="104"/>
      <c r="AP153" s="104"/>
      <c r="AQ153" s="104"/>
      <c r="AR153" s="104"/>
      <c r="AS153" s="104"/>
      <c r="AT153" s="104"/>
      <c r="AU153" s="104"/>
      <c r="AV153" s="104"/>
      <c r="AW153" s="104"/>
      <c r="AX153" s="104"/>
      <c r="AY153" s="104"/>
      <c r="AZ153" s="104"/>
      <c r="BA153" s="104"/>
      <c r="BB153" s="104"/>
      <c r="BC153" s="104"/>
      <c r="BD153" s="104"/>
      <c r="BE153" s="108"/>
      <c r="BF153" s="110"/>
      <c r="BG153" s="110"/>
      <c r="BH153" s="105"/>
      <c r="BI153" s="104"/>
      <c r="BJ153" s="104"/>
      <c r="BK153" s="104"/>
      <c r="BL153" s="104"/>
      <c r="BM153" s="104"/>
      <c r="BN153" s="104"/>
      <c r="BO153" s="111"/>
      <c r="BP153" s="111"/>
      <c r="BQ153" s="108"/>
      <c r="BR153" s="108"/>
      <c r="BS153" s="108"/>
      <c r="BT153" s="112"/>
      <c r="BU153" s="112"/>
      <c r="BV153" s="538"/>
      <c r="BW153" s="538"/>
      <c r="BX153" s="538"/>
      <c r="BY153" s="538"/>
      <c r="BZ153" s="538"/>
      <c r="CA153" s="538"/>
      <c r="CB153" s="538"/>
      <c r="CC153" s="538"/>
      <c r="CD153" s="538"/>
      <c r="CE153" s="538"/>
      <c r="CF153" s="538"/>
      <c r="CG153" s="538"/>
      <c r="CH153" s="538"/>
      <c r="CI153" s="538"/>
      <c r="CJ153" s="538"/>
      <c r="CK153" s="538"/>
      <c r="CL153" s="538"/>
      <c r="CM153" s="538"/>
      <c r="CN153" s="538"/>
      <c r="CO153" s="538"/>
      <c r="CP153" s="538"/>
      <c r="CQ153" s="538"/>
      <c r="CR153" s="539"/>
      <c r="CS153" s="540"/>
      <c r="CT153" s="540"/>
      <c r="CU153" s="541"/>
      <c r="CV153" s="538"/>
      <c r="CW153" s="538"/>
      <c r="CX153" s="112"/>
      <c r="CY153" s="112"/>
    </row>
    <row r="154" spans="1:104" ht="37.5" x14ac:dyDescent="0.25">
      <c r="A154" s="100" t="str">
        <f>'BOCA DE LOBO'!C144</f>
        <v>BL44-&gt;PV1-39</v>
      </c>
      <c r="B154" s="100" t="str">
        <f>'BOCA DE LOBO'!A144</f>
        <v>PV1-39</v>
      </c>
      <c r="C154" s="100" t="str">
        <f>VLOOKUP(A154,'BOCA DE LOBO'!C:F,3,0)</f>
        <v>EXISTENTE</v>
      </c>
      <c r="D154" s="100" t="str">
        <f>VLOOKUP(A154,'BOCA DE LOBO'!C:M,10,0)</f>
        <v>AMPLIADA</v>
      </c>
      <c r="E154" s="100">
        <f t="shared" ref="E154:E162" si="1120">IF(F154-G154*4%&lt;2.5,F154-G154*4%,2.5)</f>
        <v>1.1768000000000365</v>
      </c>
      <c r="F154" s="100">
        <f>VLOOKUP(A154,'BOCA DE LOBO'!$C$97:$P$172,2,0)</f>
        <v>1.4600000000000364</v>
      </c>
      <c r="G154" s="100">
        <f>VLOOKUP(A154,'BOCA DE LOBO'!$C$97:$L$172,4,0)</f>
        <v>7.08</v>
      </c>
      <c r="H154" s="101">
        <v>400</v>
      </c>
      <c r="I154" s="102">
        <f t="shared" ref="I154:I162" si="1121">IF(H154=400,((E154+F154)/2)+0.08+U154,IF(H154=500,((E154+F154)/2)+0.1+U154,IF(H154=600,((E154+F154)/2)+0.12+U154,IF(H154=800,((E154+F154)/2)+0.16+U154,IF(H154=1000,((E154+F154)/2)+0.2+U154,IF(H154=1200,((E154+F154)/2)+0.24+U154,IF(H154=1500,((E154+F154)/2)+0.3+U154,IF(H154&gt;1500,((E154+F154)/2)+0.4+U154))))))))</f>
        <v>1.4484000000000365</v>
      </c>
      <c r="J154" s="102">
        <f t="shared" ref="J154:J162" si="1122">IF(I154&gt;=1.25,G154*I154/20,0)</f>
        <v>0.51273360000001289</v>
      </c>
      <c r="K154" s="103">
        <v>0</v>
      </c>
      <c r="L154" s="104">
        <f t="shared" ref="L154:L162" si="1123">IF(D154&lt;&gt;"PROJETADA",0,IF(H154=400,1,0)+IF(H154=500,1.2,0)+IF(H154=600,1.4,0)+IF(H154=800,1.7,0)+IF(H154=1000,2,0)+IF(H154=1200,2.2,0)+IF(H154=1500,2.6,0)+IF(H154=1650,3,0)+IF(H154=1800,3.2,0)+IF(H154=2000,3.4,0)+IF(H154=2200,3.6,0)+IF(H154=2400,3.8,0)+IF(H154=2600,4,0)+IF(H154=3000,4.4,0))</f>
        <v>0</v>
      </c>
      <c r="M154" s="104">
        <f t="shared" ref="M154:M162" si="1124">2*K154*I154+L154</f>
        <v>0</v>
      </c>
      <c r="N154" s="104">
        <f t="shared" ref="N154:N162" si="1125">IF(OR(D154="EXISTENTE",D154="AMPLIADA"),400,0)</f>
        <v>400</v>
      </c>
      <c r="O154" s="104">
        <f t="shared" ref="O154:O162" si="1126">IF(P154="TERRENO NATURAL",0,M154*G154)</f>
        <v>0</v>
      </c>
      <c r="P154" s="105" t="s">
        <v>1999</v>
      </c>
      <c r="Q154" s="452" t="s">
        <v>2052</v>
      </c>
      <c r="R154" s="105"/>
      <c r="S154" s="105">
        <f>VLOOKUP(Q154,Quantitativos!$P$43:$R$88,3,0)</f>
        <v>5</v>
      </c>
      <c r="T154" s="105">
        <f>VLOOKUP(Q154,Quantitativos!$P$43:$S$88,4,0)</f>
        <v>5</v>
      </c>
      <c r="U154" s="104">
        <f t="shared" ref="U154:U162" si="1127">IF(H154=400,0.05,0)+IF(H154=500,0.05,0)+IF(H154=600,0.1,0)+IF(H154=800,0.1,0)+IF(H154=1000,0.15,0)+IF(H154=1200,0.15,0)+IF(H154=1500,0.2,0)+IF(H154=1650,0.2,0)+IF(H154=1800,0.2,0)+IF(H154=2000,0.25,0)+IF(H154=2200,0.25,0)+IF(H154=2400,0.25,0)+IF(H154=2600,0.25,0)+IF(H154=3000,0.25,0)</f>
        <v>0.05</v>
      </c>
      <c r="V154" s="106">
        <f t="shared" ref="V154:V162" si="1128">IF(L154=0,0,IF("EXISTENTE"=C154,0,IFERROR((PI()*(N154/1000)*(N154/1000)/4)*G154,0)))</f>
        <v>0</v>
      </c>
      <c r="W154" s="106">
        <f t="shared" ref="W154:W162" si="1129">IF(O154=0,0,((((K154*I154)*I154)/2)*2+L154*I154)*G154-V154+AO154)</f>
        <v>0</v>
      </c>
      <c r="X154" s="107">
        <f t="shared" ref="X154:X162" si="1130">W154-SUM(AC154:AJ154)</f>
        <v>0</v>
      </c>
      <c r="Y154" s="107">
        <f t="shared" ref="Y154:Y162" si="1131">IF(R154=1,IF(N154=0,I154+0.4,0.4),0)</f>
        <v>0</v>
      </c>
      <c r="Z154" s="107">
        <f t="shared" ref="Z154:Z162" si="1132">IF(Y154&gt;0.5,0,IF(S154&lt;I154,S154,I154))</f>
        <v>1.4484000000000365</v>
      </c>
      <c r="AA154" s="107">
        <f t="shared" ref="AA154:AA162" si="1133">I154-Z154</f>
        <v>0</v>
      </c>
      <c r="AB154" s="108">
        <f t="shared" ref="AB154:AB162" si="1134">IF(P154="ASFALTO",IF(D154="PROJETADA",O154,IF(D154="EXISTENTE",0,O154/2)),0)</f>
        <v>0</v>
      </c>
      <c r="AC154" s="109">
        <f t="shared" ref="AC154:AC162" si="1135">IF(Y154=0,0,IF(Y154=0.4,IF(L154&lt;=1.5,IF(Z154+0.4&gt;=1.5,0,L154*G154*0.4),0),IF(L154&lt;=1.5,IF(Y154&gt;=1.5,M154*G154*1.5,L154*G154*(Y154)),0)+IF(S154&lt;I154+0.4,0,IF(AND(Y154&lt;=1.5,L154&lt;=1.5),-V154,0))))</f>
        <v>0</v>
      </c>
      <c r="AD154" s="109">
        <f t="shared" ref="AD154:AD162" si="1136">IF(Y154=0,0,IF(Y154=0.4,IF(L154&lt;=1.5,IF(OR(Z154+0.4&gt;=3,Z154+0.4&lt;1.5),0,L154*G154*0.4),0),IF(IF(L154&lt;=1.5,IF(Y154&gt;=3,M154*G154*1.5,L154*G154*(Y154-1.5)),0)&lt;0,0,IF(L154&lt;=1.5,IF(Y154&gt;=3,M154*G154*1.5,L154*G154*(Y154-1.5)),0))+IF(S154&lt;I154+0.4,0,IF(AND(Y154&lt;=3,L154&lt;=1.5),-V154,0))))</f>
        <v>0</v>
      </c>
      <c r="AE154" s="109">
        <f t="shared" ref="AE154:AE162" si="1137">IF(Y154=0,0,IF(Y154=0.4,IF(L154&lt;=1.5,IF(OR(Z154+0.4&gt;=4.5,Z154+0.4&lt;3),0,L154*G154*0.4),0),IF(IF(L154&lt;=1.5,IF(Y154&gt;=4.5,M154*G154*1.5,L154*G154*(Y154-3)),0)&lt;0,0,IF(L154&lt;=1.5,IF(Y154&gt;=4.5,M154*G154*1.5,L154*G154*(Y154-3)),0))+IF(S154&lt;I154+0.4,0,IF(AND(Y154&lt;=4.5,L154&lt;=1.5),-V154,0))))</f>
        <v>0</v>
      </c>
      <c r="AF154" s="109">
        <f t="shared" ref="AF154:AF162" si="1138">IF(L154&lt;=1.5,IF(Z154&gt;=1.5,M154*G154*1.5,L154*G154*Z154),0)+IF(S154&lt;I154,0,IF(AND(Z154&lt;=1.5,L154&lt;=1.5),-V154,0))-V154</f>
        <v>0</v>
      </c>
      <c r="AG154" s="109">
        <f t="shared" ref="AG154:AG162" si="1139">IF(IF(L154&lt;=1.5,IF(Z154&gt;=3,M154*G154*1.5,L154*G154*(Z154-1.5)),0)&lt;0,0,IF(L154&lt;=1.5,IF(Z154&gt;=3,M154*G154*1.5,L154*G154*(Z154-1.5)),0))</f>
        <v>0</v>
      </c>
      <c r="AH154" s="109">
        <f t="shared" ref="AH154:AH162" si="1140">IF(IF(L154&lt;=1.5,IF(Z154&gt;=4.5,M154*G154*1.5,L154*G154*(Z154-3)),0)&lt;0,0,IF(L154&lt;=1.5,IF(Z154&gt;=4.5,M154*G154*1.5,L154*G154*(Z154-3)),0))+IF(S154&lt;I154,0,IF(AND(Z154&lt;=4.5,Z154&gt;3,L154&lt;=1.5),-V154,0))</f>
        <v>0</v>
      </c>
      <c r="AI154" s="537" t="str">
        <f t="shared" ref="AI154:AI162" si="1141">IF(I154&gt;S154,"SIM","NÃO")</f>
        <v>NÃO</v>
      </c>
      <c r="AJ154" s="104">
        <f t="shared" ref="AJ154:AJ162" si="1142">W154-SUM(AC154:AH154)</f>
        <v>0</v>
      </c>
      <c r="AK154" s="104">
        <f t="shared" ref="AK154:AK162" si="1143">IF(I154-T154&lt;0,0,(I154-T154)*G154)/75</f>
        <v>0</v>
      </c>
      <c r="AL154" s="104">
        <f t="shared" ref="AL154:AL162" si="1144">IF(L154=0,0,G154*L154*I154-PI()*(H154/1000)*(H154/1000)/4*G154+AO154)</f>
        <v>0</v>
      </c>
      <c r="AM154" s="102">
        <f t="shared" ref="AM154:AM162" si="1145">IF(L154&lt;1.5,L154*G154*IF(H154&lt;=500,0.05,IF(H154&lt;=800,0.1,IF(H154&lt;=1200,0.15,IF(H154&gt;=1500,0.2)))),0)</f>
        <v>0</v>
      </c>
      <c r="AN154" s="106">
        <f t="shared" ref="AN154:AN162" si="1146">IF(L154&gt;=1.5,L154*G154*IF(H154&lt;=500,0.05,IF(H154&lt;=800,0.1,IF(H154&lt;=1200,0.15,IF(H154&gt;=1500,0.2)))),0)</f>
        <v>0</v>
      </c>
      <c r="AO154" s="104">
        <f t="shared" ref="AO154:AO162" si="1147">IF(R154=1,0.4*G154*L154,0)</f>
        <v>0</v>
      </c>
      <c r="AP154" s="104">
        <f t="shared" ref="AP154:AP162" si="1148">IF(AO154&lt;SUM(AF154:AH154),0,AO154)</f>
        <v>0</v>
      </c>
      <c r="AQ154" s="104">
        <f t="shared" ref="AQ154:AQ162" si="1149">H154/1000+0.3</f>
        <v>0.7</v>
      </c>
      <c r="AR154" s="104">
        <f t="shared" ref="AR154:AR162" si="1150">IF(D154&lt;&gt;"PROJETADA",0,AQ154*L154*G154-PI()*(H154/1000*H154/1000)/4*G154)</f>
        <v>0</v>
      </c>
      <c r="AS154" s="104">
        <f t="shared" ref="AS154:AS162" si="1151">IF(AR154&lt;SUM(AF154:AH154),0,AR154)</f>
        <v>0</v>
      </c>
      <c r="AT154" s="104">
        <f t="shared" ref="AT154:AT162" si="1152">IF(P154="ASFALTO",0.15*G154*L154,0)</f>
        <v>0</v>
      </c>
      <c r="AU154" s="104">
        <f t="shared" ref="AU154:AU162" si="1153">AT154</f>
        <v>0</v>
      </c>
      <c r="AV154" s="104">
        <f t="shared" ref="AV154:AV162" si="1154">IF(P154="ASFALTO",0.03*G154*L154,0)</f>
        <v>0</v>
      </c>
      <c r="AW154" s="104">
        <f t="shared" ref="AW154:AW162" si="1155">AL154-AO154-SUM(AM154:AN154)-AT154-AU154-AR154</f>
        <v>0</v>
      </c>
      <c r="AX154" s="104">
        <f t="shared" ref="AX154:AX162" si="1156">SUM(AF154:AH154)-AO154-AT154-AR154</f>
        <v>0</v>
      </c>
      <c r="AY154" s="104">
        <f t="shared" ref="AY154:AY162" si="1157">SMALL(AW154:AX154,1)</f>
        <v>0</v>
      </c>
      <c r="AZ154" s="104">
        <f t="shared" ref="AZ154:AZ162" si="1158">AW154-AY154</f>
        <v>0</v>
      </c>
      <c r="BA154" s="104">
        <f t="shared" ref="BA154:BA182" si="1159">IF($AZ$183&gt;$BA$185,($BA$185/$AZ$183)*AZ154,AZ154)</f>
        <v>0</v>
      </c>
      <c r="BB154" s="104">
        <f t="shared" ref="BB154:BB162" si="1160">AZ154-BA154</f>
        <v>0</v>
      </c>
      <c r="BC154" s="104"/>
      <c r="BD154" s="104">
        <f t="shared" ref="BD154:BD162" si="1161">IF(AO154&gt;0,4%*(AO154+AT154),0)</f>
        <v>0</v>
      </c>
      <c r="BE154" s="108">
        <f t="shared" ref="BE154:BE162" si="1162">IF(H154=400,I154,0)</f>
        <v>1.4484000000000365</v>
      </c>
      <c r="BF154" s="110">
        <f t="shared" ref="BF154:BF162" si="1163">IF(BE154&lt;=1.75,AND(BE154&gt;0)*G154,0)</f>
        <v>7.08</v>
      </c>
      <c r="BG154" s="110">
        <f t="shared" ref="BG154:BG162" si="1164">IF(BE154&lt;=3,AND(BE154&gt;1.75)*G154,0)</f>
        <v>0</v>
      </c>
      <c r="BH154" s="105" t="str">
        <f>VLOOKUP(A154,'BOCA DE LOBO'!$C$99:$P$172,7,0)</f>
        <v>BOCA DE LOBO DUPLA EXISTENTE COM BOCA DE LOBO SIMPLES PROJETADA</v>
      </c>
      <c r="BI154" s="104">
        <f t="shared" ref="BI154:BI162" si="1165">IF(BH154=$BI$107,1,0)</f>
        <v>0</v>
      </c>
      <c r="BJ154" s="104">
        <f t="shared" ref="BJ154:BJ162" si="1166">IF(BH154=$BJ$107,1,0)</f>
        <v>0</v>
      </c>
      <c r="BK154" s="104">
        <f t="shared" ref="BK154:BK162" si="1167">IF(BH154=$BK$107,1,0)</f>
        <v>1</v>
      </c>
      <c r="BL154" s="104">
        <f t="shared" ref="BL154:BL162" si="1168">IF(BH154=$BL$107,1,0)</f>
        <v>0</v>
      </c>
      <c r="BM154" s="104">
        <f t="shared" ref="BM154:BM162" si="1169">IF(BH154=$BM$107,1,0)</f>
        <v>0</v>
      </c>
      <c r="BN154" s="104">
        <f t="shared" ref="BN154:BN162" si="1170">IF(BH154=$BN$107,1,0)</f>
        <v>0</v>
      </c>
      <c r="BO154" s="543">
        <f t="shared" ref="BO154:BO162" si="1171">IF(BH154=$BO$107,1,0)</f>
        <v>0</v>
      </c>
      <c r="BP154" s="111"/>
      <c r="BQ154" s="108">
        <f t="shared" ref="BQ154:BQ162" si="1172">IF(L154&lt;=1.5,IF(I154+IF(R154=1,0.5,0)&lt;1.5,(I154+IF(R154=1,0.5,0))*G154*2,G154*2*1.5),0)</f>
        <v>20.509344000000517</v>
      </c>
      <c r="BR154" s="108">
        <f t="shared" ref="BR154:BR162" si="1173">IF(L154&lt;=1.5,IF(AND(I154+IF(R154=1,0.5,0)&lt;3,I154+IF(R154=1,0.5,0)&gt;1.5),(I154+IF(R154=1,0.5,0)-1.5)*G154*2,IF(I154+IF(R154=1,0.5,0)&gt;=3,(G154*2*1.5),0)),0)</f>
        <v>0</v>
      </c>
      <c r="BS154" s="108">
        <f t="shared" ref="BS154:BS162" si="1174">IF(L154&lt;=1.5,IF(AND(I154+IF(R154=1,0.5,0)&lt;4.5,I154+IF(R154=1,0.5,0)&gt;3),(I154+IF(R154=1,0.5,0)-3)*G154*2,IF(I154+IF(R154=1,0.5,0)&gt;=4.5,(G154*2*1.5),0)),0)</f>
        <v>0</v>
      </c>
      <c r="BT154" s="112"/>
      <c r="BU154" s="112" t="s">
        <v>1410</v>
      </c>
      <c r="BV154" s="538">
        <f t="shared" ref="BV154:BV182" si="1175">IF(OR("BOCA DE LOBO EXISTENTE TRIPLA"=BH154,"BOCA DE LOBO EXISTENTE SIMPLES"=BH154,"BOCA DE LOBO EXISTENTE DUPLA"=BH154),0,IF("BOCA DE LOBO PROJETADA DUPLA"=BH154,(2.57+1)*(1.18+1),IF(OR("BOCA DE LOBO DUPLA EXISTENTE COM BOCA DE LOBO SIMPLES PROJETADA"=BH154,"BOCA DE LOBO SIMPLES EXISTENTE COM BOCA DE LOBO SIMPLES PROJETADA"=BH154),(1.18+0.5)*(1.18+1),IF(OR(BH154="BOCA DE LOBO DUPLA EXISTENTE COM BOCA DE LOBO DUPLA PROJETADA",BH154="BOCA DE LOBO SIMPLES EXISTENTE COM BOCA DE LOBO DUPLA PROJETADA"),(2.38+0.5)*(1.18+1),IF("BOCA DE LOBO PROJETADA TRIPLA"=BH154,(3.76+1)*(1.18+1),IF("BOCA DE LOBO PROJETADA QUADRUPLA"=BH154,(4.92+1)*(1.18+1),"X"))))))*(E154+IF(CA154&gt;0,0.5,0))</f>
        <v>4.3099123200001328</v>
      </c>
      <c r="BW154" s="538">
        <f t="shared" ref="BW154:BW182" si="1176">IF(OR("BOCA DE LOBO EXISTENTE TRIPLA"=BH154,"BOCA DE LOBO EXISTENTE SIMPLES"=BH154,"BOCA DE LOBO EXISTENTE DUPLA"=BH154),0,IF("BOCA DE LOBO PROJETADA DUPLA"=BH154,(2.57+1)*(1.18+1),IF(OR("BOCA DE LOBO DUPLA EXISTENTE COM BOCA DE LOBO SIMPLES PROJETADA"=BH154,"BOCA DE LOBO SIMPLES EXISTENTE COM BOCA DE LOBO SIMPLES PROJETADA"=BH154),(1.18+1)*(1.18+0.5),IF(OR(BH154="BOCA DE LOBO DUPLA EXISTENTE COM BOCA DE LOBO DUPLA PROJETADA",BH154="BOCA DE LOBO SIMPLES EXISTENTE COM BOCA DE LOBO DUPLA PROJETADA"),(2.38+0.5)*(1.18+1),IF("BOCA DE LOBO PROJETADA TRIPLA"=BH154,(3.76+0.5*2)*(1.18+1),IF("BOCA DE LOBO PROJETADA QUADRUPLA"=BH154,(4.92+0.5*2)*(1.18+1),"X"))))))</f>
        <v>3.6623999999999994</v>
      </c>
      <c r="BX154" s="538">
        <f t="shared" ref="BX154:BX182" si="1177">IF(OR("BOCA DE LOBO EXISTENTE TRIPLA"=BH154,"BOCA DE LOBO EXISTENTE SIMPLES"=BH154,"BOCA DE LOBO EXISTENTE DUPLA"=BH154),0,IF("BOCA DE LOBO PROJETADA DUPLA"=BH154,(2.57)*(1.18),IF(OR("BOCA DE LOBO DUPLA EXISTENTE COM BOCA DE LOBO SIMPLES PROJETADA"=BH154,"BOCA DE LOBO SIMPLES EXISTENTE COM BOCA DE LOBO SIMPLES PROJETADA"=BH154),(1.18)*(1.18),IF(OR(BH154="BOCA DE LOBO DUPLA EXISTENTE COM BOCA DE LOBO DUPLA PROJETADA",BH154="BOCA DE LOBO SIMPLES EXISTENTE COM BOCA DE LOBO DUPLA PROJETADA"),(2.38)*(1.18),IF("BOCA DE LOBO PROJETADA TRIPLA"=BH154,(3.76)*(1.18),IF("BOCA DE LOBO PROJETADA QUADRUPLA"=BH154,(4.92)*(1.18),"X"))))))</f>
        <v>1.3923999999999999</v>
      </c>
      <c r="BY154" s="538">
        <f t="shared" ref="BY154:BY162" si="1178">E154</f>
        <v>1.1768000000000365</v>
      </c>
      <c r="BZ154" s="538">
        <f t="shared" ref="BZ154:BZ162" si="1179">IF(Y154&gt;0.5,0,IF(S154&lt;E154,S154,E154))</f>
        <v>1.1768000000000365</v>
      </c>
      <c r="CA154" s="538">
        <f t="shared" ref="CA154:CA162" si="1180">IF(Y154&gt;0.5,BY154+0.5,Y154)</f>
        <v>0</v>
      </c>
      <c r="CB154" s="538">
        <f t="shared" ref="CB154:CB162" si="1181">IF(S154&gt;E154,0,E154-S154)</f>
        <v>0</v>
      </c>
      <c r="CC154" s="538">
        <f t="shared" ref="CC154:CC162" si="1182">IF(BZ154&gt;1.5,BW154*1.5,BW154*BZ154)</f>
        <v>4.3099123200001328</v>
      </c>
      <c r="CD154" s="538">
        <f t="shared" ref="CD154:CD162" si="1183">IF(BZ154&gt;1.5,BW154*(BZ154-1.5),0)</f>
        <v>0</v>
      </c>
      <c r="CE154" s="538">
        <f t="shared" ref="CE154:CE162" si="1184">IF(CA154&gt;1.5,BW154*1.5,BW154*CA154)</f>
        <v>0</v>
      </c>
      <c r="CF154" s="538">
        <f t="shared" ref="CF154:CF162" si="1185">IF(CA154&gt;1.5,BW154*(CA154-1.5),0)</f>
        <v>0</v>
      </c>
      <c r="CG154" s="538">
        <f t="shared" ref="CG154:CG162" si="1186">BV154-SUM(CC154:CF154)</f>
        <v>0</v>
      </c>
      <c r="CH154" s="538">
        <f t="shared" ref="CH154:CH162" si="1187">SUM(CC154:CG154)-BV154</f>
        <v>0</v>
      </c>
      <c r="CI154" s="104">
        <f t="shared" ref="CI154:CI182" si="1188">IF(OR("BOCA DE LOBO EXISTENTE TRIPLA"=BH154,"BOCA DE LOBO EXISTENTE SIMPLES"=BH154,"BOCA DE LOBO EXISTENTE DUPLA"=BH154),0,IF("BOCA DE LOBO PROJETADA DUPLA"=BH154,(2.57+1)*(0.5),IF(OR("BOCA DE LOBO DUPLA EXISTENTE COM BOCA DE LOBO SIMPLES PROJETADA"=BH154,"BOCA DE LOBO SIMPLES EXISTENTE COM BOCA DE LOBO SIMPLES PROJETADA"=BH154),(1.18+0.5)*(0.5),IF(OR(BH154="BOCA DE LOBO DUPLA EXISTENTE COM BOCA DE LOBO DUPLA PROJETADA",BH154="BOCA DE LOBO SIMPLES EXISTENTE COM BOCA DE LOBO DUPLA PROJETADA"),(2.38+0.5)*(0.5),IF("BOCA DE LOBO PROJETADA TRIPLA"=BH154,(3.76+1)*(0.5),IF("BOCA DE LOBO PROJETADA QUADRUPLA"=BH154,(4.92+1)*(0.5),"X")))))*0.3)</f>
        <v>0.252</v>
      </c>
      <c r="CJ154" s="538">
        <f t="shared" ref="CJ154:CJ162" si="1189">(BW154-BX154)*(BY154+IF(CA154&gt;=0.4,0.4,0))-CI154</f>
        <v>2.4193360000000821</v>
      </c>
      <c r="CK154" s="538">
        <f t="shared" ref="CK154:CK182" si="1190">IF($CK$185&gt;$CJ$183,CJ154,CJ154*$CK$185/$CJ$183)</f>
        <v>2.4193360000000821</v>
      </c>
      <c r="CL154" s="538">
        <f t="shared" ref="CL154:CL162" si="1191">CJ154-CK154</f>
        <v>0</v>
      </c>
      <c r="CM154" s="538">
        <f t="shared" ref="CM154:CM162" si="1192">IF(CA154&gt;0,0.5*4%*BW154,0)</f>
        <v>0</v>
      </c>
      <c r="CN154" s="538">
        <f t="shared" ref="CN154:CN182" si="1193">IF(OR("BOCA DE LOBO EXISTENTE TRIPLA"=BH154,"BOCA DE LOBO EXISTENTE SIMPLES"=BH154,"BOCA DE LOBO EXISTENTE DUPLA"=BH154),0,IF("BOCA DE LOBO PROJETADA DUPLA"=BH154,(2.57+1),IF(OR("BOCA DE LOBO DUPLA EXISTENTE COM BOCA DE LOBO SIMPLES PROJETADA"=BH154,"BOCA DE LOBO SIMPLES EXISTENTE COM BOCA DE LOBO SIMPLES PROJETADA"=BH154),(1.18+0.5),IF(OR(BH154="BOCA DE LOBO DUPLA EXISTENTE COM BOCA DE LOBO DUPLA PROJETADA",BH154="BOCA DE LOBO SIMPLES EXISTENTE COM BOCA DE LOBO DUPLA PROJETADA"),(2.38+0.5),IF("BOCA DE LOBO PROJETADA TRIPLA"=BH154,(3.76+0.5*2),IF("BOCA DE LOBO PROJETADA QUADRUPLA"=BH154,(4.92+0.5*2),"X"))))))</f>
        <v>1.68</v>
      </c>
      <c r="CO154" s="538">
        <f t="shared" ref="CO154:CO162" si="1194">IF(CA154&gt;0,BY154+0.5,BY154)</f>
        <v>1.1768000000000365</v>
      </c>
      <c r="CP154" s="538">
        <f t="shared" ref="CP154:CP162" si="1195">IF(CO154&gt;=1.5,CN154*1.5*2,CN154*CO154*2)</f>
        <v>3.9540480000001224</v>
      </c>
      <c r="CQ154" s="538">
        <f t="shared" ref="CQ154:CQ162" si="1196">IF(CO154&lt;=1.5,0,IF(CO154&gt;=3,CN154*1.5*2,CN154*(CO154-1.5)*2))</f>
        <v>0</v>
      </c>
      <c r="CR154" s="539">
        <f t="shared" ref="CR154:CR182" si="1197">IF(D154="AMPLIADA",0.55*(E154-0.5),0)</f>
        <v>0.37224000000002011</v>
      </c>
      <c r="CS154" s="540">
        <f t="shared" ref="CS154:CS182" si="1198">IF(OR("BOCA DE LOBO EXISTENTE TRIPLA"=BH154,"BOCA DE LOBO EXISTENTE SIMPLES"=BH154,"BOCA DE LOBO EXISTENTE DUPLA"=BH154,"BOCA DE LOBO EXISTENTE QUADRUPLA"=BH154),0,IF("BOCA DE LOBO PROJETADA DUPLA"=BH154,(0),IF(OR("BOCA DE LOBO DUPLA EXISTENTE COM BOCA DE LOBO SIMPLES PROJETADA"=BH154,"BOCA DE LOBO SIMPLES EXISTENTE COM BOCA DE LOBO SIMPLES PROJETADA"=BH154),(0.8*0.15*0.17),IF(OR(BH154="BOCA DE LOBO DUPLA EXISTENTE COM BOCA DE LOBO DUPLA PROJETADA",BH154="BOCA DE LOBO SIMPLES EXISTENTE COM BOCA DE LOBO DUPLA PROJETADA"),(0.8*0.15*0.17),IF("BOCA DE LOBO PROJETADA TRIPLA"=BH154,(0),IF("BOCA DE LOBO PROJETADA QUADRUPLA"=BH154,(0),"X")))))*E154)</f>
        <v>2.4006720000000745E-2</v>
      </c>
      <c r="CT154" s="540">
        <f t="shared" ref="CT154:CT182" si="1199">IF(OR("BOCA DE LOBO EXISTENTE TRIPLA"=BH154,"BOCA DE LOBO EXISTENTE SIMPLES"=BH154,"BOCA DE LOBO EXISTENTE DUPLA"=BH154,"BOCA DE LOBO EXISTENTE QUADRUPLA"=BH154),0,IF("BOCA DE LOBO PROJETADA DUPLA"=BH154,(1.18*2.57*0.05),IF(OR("BOCA DE LOBO DUPLA EXISTENTE COM BOCA DE LOBO SIMPLES PROJETADA"=BH154,"BOCA DE LOBO SIMPLES EXISTENTE COM BOCA DE LOBO SIMPLES PROJETADA"=BH154),(1.19*1.18*0.05),IF(OR(BH154="BOCA DE LOBO DUPLA EXISTENTE COM BOCA DE LOBO DUPLA PROJETADA",BH154="BOCA DE LOBO SIMPLES EXISTENTE COM BOCA DE LOBO DUPLA PROJETADA"),(2.38*1.18*0.056),IF("BOCA DE LOBO PROJETADA TRIPLA"=BH154,(3.76*1.18*0.05),IF("BOCA DE LOBO PROJETADA QUADRUPLA"=BH154,(4.92*1.18*0.05),"X")))))+CI154/3)</f>
        <v>0.15421000000000001</v>
      </c>
      <c r="CU154" s="541">
        <f t="shared" ref="CU154:CU182" si="1200">IF(OR("BOCA DE LOBO EXISTENTE TRIPLA"=BH154,"BOCA DE LOBO EXISTENTE SIMPLES"=BH154,"BOCA DE LOBO EXISTENTE DUPLA"=BH154,"BOCA DE LOBO EXISTENTE QUADRUPLA"=BH154),0,IF("BOCA DE LOBO PROJETADA DUPLA"=BH154,(1*4+0.6*2),IF(OR("BOCA DE LOBO DUPLA EXISTENTE COM BOCA DE LOBO SIMPLES PROJETADA"=BH154,"BOCA DE LOBO SIMPLES EXISTENTE COM BOCA DE LOBO SIMPLES PROJETADA"=BH154),(1*2+0.6),IF(OR(BH154="BOCA DE LOBO DUPLA EXISTENTE COM BOCA DE LOBO DUPLA PROJETADA",BH154="BOCA DE LOBO SIMPLES EXISTENTE COM BOCA DE LOBO DUPLA PROJETADA"),(1*4+0.6),IF("BOCA DE LOBO PROJETADA TRIPLA"=BH154,(6*1+0.6*2),IF("BOCA DE LOBO PROJETADA QUADRUPLA"=BH154,(8*1+0.6*2),"X")))))*E154)</f>
        <v>3.0596800000000948</v>
      </c>
      <c r="CV154" s="538">
        <f t="shared" ref="CV154:CV182" si="1201">IF(OR("BOCA DE LOBO EXISTENTE TRIPLA"=BH154,"BOCA DE LOBO EXISTENTE SIMPLES"=BH154,"BOCA DE LOBO EXISTENTE DUPLA"=BH154,"BOCA DE LOBO EXISTENTE QUADRUPLA"=BH154),0,IF("BOCA DE LOBO PROJETADA DUPLA"=BH154,(12*E154*0.17*0.15+1*0.17*0.15*5+1.09*0.6*0.07*2+2.57*1.18*0.15),IF(OR("BOCA DE LOBO DUPLA EXISTENTE COM BOCA DE LOBO SIMPLES PROJETADA"=BH154,"BOCA DE LOBO SIMPLES EXISTENTE COM BOCA DE LOBO SIMPLES PROJETADA"=BH154),(8*E154*0.17*0.15+1*0.17*0.15*4+1.09*0.6*0.07*1+1.38*1.18*0.15),IF(OR(BH154="BOCA DE LOBO DUPLA EXISTENTE COM BOCA DE LOBO DUPLA PROJETADA",BH154="BOCA DE LOBO SIMPLES EXISTENTE COM BOCA DE LOBO DUPLA PROJETADA"),(7*E154*0.17*0.15+1*0.17*0.15*5+1.09*0.6*0.07*2+2.38*1.18*0.15),IF("BOCA DE LOBO PROJETADA TRIPLA"=BH154,(15*E154*0.17*0.15+1*0.17*0.15*7+1.09*0.6*0.07*3+3.76*1.18*0.15),IF("BOCA DE LOBO PROJETADA QUADRUPLA"=BH154,(19*E154*0.17*0.15+1*0.17*0.15*9+1.09*0.6*0.07*4+4.92*1.18*0.15),"X"))))))</f>
        <v>0.63210720000000742</v>
      </c>
      <c r="CW154" s="538">
        <f t="shared" ref="CW154:CW182" si="1202">IF(OR("BOCA DE LOBO EXISTENTE TRIPLA"=BH154,"BOCA DE LOBO EXISTENTE SIMPLES"=BH154,"BOCA DE LOBO EXISTENTE DUPLA"=BH154,"BOCA DE LOBO EXISTENTE QUADRUPLA"=BH154),0,IF("BOCA DE LOBO PROJETADA DUPLA"=BH154,(12*E154*2*(0.17+0.15)+1*(2*0.17+0.15)*5+2*(2.57+1.18)*0.15+(1.09+0.6)*2*0.07*2),IF(OR("BOCA DE LOBO DUPLA EXISTENTE COM BOCA DE LOBO SIMPLES PROJETADA"=BH154,"BOCA DE LOBO SIMPLES EXISTENTE COM BOCA DE LOBO SIMPLES PROJETADA"=BH154),(8*E154*2*(0.17+0.15)+1*(2*0.17+0.15)*4+2*(1.38+1.18)*0.15+(1.09+0.6)*2*0.07*1),IF(OR(BH154="BOCA DE LOBO DUPLA EXISTENTE COM BOCA DE LOBO DUPLA PROJETADA",BH154="BOCA DE LOBO SIMPLES EXISTENTE COM BOCA DE LOBO DUPLA PROJETADA"),(7*E154*2*(0.17+0.15)+1*(2*0.17+0.15)*5+2*(2.38+1.18)*0.15+(1.09+0.6)*2*0.07*2),IF("BOCA DE LOBO PROJETADA TRIPLA"=BH154,(15*E154*2*(0.17+0.15)+1*(2*0.17+0.15)*7+2*(3.76+1.18)*0.15+(1.09+0.6)*2*0.07*3),IF("BOCA DE LOBO PROJETADA QUADRUPLA"=BH154,(19*E154*2*(0.17+0.15)+1*(2*0.17+0.15)*7+2*(4.92+1.18)*0.15+(1.09+0.6)*2*0.07*4),"X"))))))</f>
        <v>8.9898160000001859</v>
      </c>
      <c r="CX154" s="104">
        <f t="shared" ref="CX154:CX182" si="1203">IF(OR("BOCA DE LOBO EXISTENTE TRIPLA"=BH154,"BOCA DE LOBO EXISTENTE SIMPLES"=BH154,"BOCA DE LOBO EXISTENTE DUPLA"=BH154,"BOCA DE LOBO EXISTENTE QUADRUPLA"=BH154),0,IF("BOCA DE LOBO PROJETADA DUPLA"=BH154,(2.57+1),IF(OR("BOCA DE LOBO DUPLA EXISTENTE COM BOCA DE LOBO SIMPLES PROJETADA"=BH154,"BOCA DE LOBO SIMPLES EXISTENTE COM BOCA DE LOBO SIMPLES PROJETADA"=BH154),(1.18+0.5),IF(OR(BH154="BOCA DE LOBO DUPLA EXISTENTE COM BOCA DE LOBO DUPLA PROJETADA",BH154="BOCA DE LOBO SIMPLES EXISTENTE COM BOCA DE LOBO DUPLA PROJETADA"),(2.38+0.5),IF("BOCA DE LOBO PROJETADA TRIPLA"=BH154,(3.76+1),IF("BOCA DE LOBO PROJETADA QUADRUPLA"=BH154,(4.92+1),"X"))))))</f>
        <v>1.68</v>
      </c>
      <c r="CY154" s="542">
        <f t="shared" ref="CY154:CY182" si="1204">CX154*0.5</f>
        <v>0.84</v>
      </c>
      <c r="CZ154" s="538">
        <f t="shared" ref="CZ154:CZ182" si="1205">IF(AND(C154="EXISTENTE",D154="PROJETADA"),PI()*0.51*0.51/4*0.12,0)</f>
        <v>0</v>
      </c>
    </row>
    <row r="155" spans="1:104" ht="37.5" x14ac:dyDescent="0.25">
      <c r="A155" s="100" t="str">
        <f>'BOCA DE LOBO'!C145</f>
        <v>BL45-&gt;PV1-40</v>
      </c>
      <c r="B155" s="100" t="str">
        <f>'BOCA DE LOBO'!A145</f>
        <v>PV1-40</v>
      </c>
      <c r="C155" s="100" t="str">
        <f>VLOOKUP(A155,'BOCA DE LOBO'!C:F,3,0)</f>
        <v>EXISTENTE</v>
      </c>
      <c r="D155" s="100" t="str">
        <f>VLOOKUP(A155,'BOCA DE LOBO'!C:M,10,0)</f>
        <v>AMPLIADA</v>
      </c>
      <c r="E155" s="100">
        <f t="shared" si="1120"/>
        <v>1.5687999999999727</v>
      </c>
      <c r="F155" s="100">
        <f>VLOOKUP(A155,'BOCA DE LOBO'!$C$97:$P$172,2,0)</f>
        <v>1.7799999999999727</v>
      </c>
      <c r="G155" s="100">
        <f>VLOOKUP(A155,'BOCA DE LOBO'!$C$97:$L$172,4,0)</f>
        <v>5.28</v>
      </c>
      <c r="H155" s="101">
        <v>400</v>
      </c>
      <c r="I155" s="102">
        <f t="shared" si="1121"/>
        <v>1.8043999999999729</v>
      </c>
      <c r="J155" s="102">
        <f t="shared" si="1122"/>
        <v>0.47636159999999289</v>
      </c>
      <c r="K155" s="103">
        <v>0</v>
      </c>
      <c r="L155" s="104">
        <f t="shared" si="1123"/>
        <v>0</v>
      </c>
      <c r="M155" s="104">
        <f t="shared" si="1124"/>
        <v>0</v>
      </c>
      <c r="N155" s="104">
        <f t="shared" si="1125"/>
        <v>400</v>
      </c>
      <c r="O155" s="104">
        <f t="shared" si="1126"/>
        <v>0</v>
      </c>
      <c r="P155" s="105" t="s">
        <v>1999</v>
      </c>
      <c r="Q155" s="452" t="s">
        <v>2023</v>
      </c>
      <c r="R155" s="105"/>
      <c r="S155" s="105">
        <v>5</v>
      </c>
      <c r="T155" s="105">
        <v>5</v>
      </c>
      <c r="U155" s="104">
        <f t="shared" si="1127"/>
        <v>0.05</v>
      </c>
      <c r="V155" s="106">
        <f t="shared" si="1128"/>
        <v>0</v>
      </c>
      <c r="W155" s="106">
        <f t="shared" si="1129"/>
        <v>0</v>
      </c>
      <c r="X155" s="107">
        <f t="shared" si="1130"/>
        <v>0</v>
      </c>
      <c r="Y155" s="107">
        <f t="shared" si="1131"/>
        <v>0</v>
      </c>
      <c r="Z155" s="107">
        <f t="shared" si="1132"/>
        <v>1.8043999999999729</v>
      </c>
      <c r="AA155" s="107">
        <f t="shared" si="1133"/>
        <v>0</v>
      </c>
      <c r="AB155" s="108">
        <f t="shared" si="1134"/>
        <v>0</v>
      </c>
      <c r="AC155" s="109">
        <f t="shared" si="1135"/>
        <v>0</v>
      </c>
      <c r="AD155" s="109">
        <f t="shared" si="1136"/>
        <v>0</v>
      </c>
      <c r="AE155" s="109">
        <f t="shared" si="1137"/>
        <v>0</v>
      </c>
      <c r="AF155" s="109">
        <f t="shared" si="1138"/>
        <v>0</v>
      </c>
      <c r="AG155" s="109">
        <f t="shared" si="1139"/>
        <v>0</v>
      </c>
      <c r="AH155" s="109">
        <f t="shared" si="1140"/>
        <v>0</v>
      </c>
      <c r="AI155" s="537" t="str">
        <f t="shared" si="1141"/>
        <v>NÃO</v>
      </c>
      <c r="AJ155" s="104">
        <f t="shared" si="1142"/>
        <v>0</v>
      </c>
      <c r="AK155" s="104">
        <f t="shared" si="1143"/>
        <v>0</v>
      </c>
      <c r="AL155" s="104">
        <f t="shared" si="1144"/>
        <v>0</v>
      </c>
      <c r="AM155" s="102">
        <f t="shared" si="1145"/>
        <v>0</v>
      </c>
      <c r="AN155" s="106">
        <f t="shared" si="1146"/>
        <v>0</v>
      </c>
      <c r="AO155" s="104">
        <f t="shared" si="1147"/>
        <v>0</v>
      </c>
      <c r="AP155" s="104">
        <f t="shared" si="1148"/>
        <v>0</v>
      </c>
      <c r="AQ155" s="104">
        <f t="shared" si="1149"/>
        <v>0.7</v>
      </c>
      <c r="AR155" s="104">
        <f t="shared" si="1150"/>
        <v>0</v>
      </c>
      <c r="AS155" s="104">
        <f t="shared" si="1151"/>
        <v>0</v>
      </c>
      <c r="AT155" s="104">
        <f t="shared" si="1152"/>
        <v>0</v>
      </c>
      <c r="AU155" s="104">
        <f t="shared" si="1153"/>
        <v>0</v>
      </c>
      <c r="AV155" s="104">
        <f t="shared" si="1154"/>
        <v>0</v>
      </c>
      <c r="AW155" s="104">
        <f t="shared" si="1155"/>
        <v>0</v>
      </c>
      <c r="AX155" s="104">
        <f t="shared" si="1156"/>
        <v>0</v>
      </c>
      <c r="AY155" s="104">
        <f t="shared" si="1157"/>
        <v>0</v>
      </c>
      <c r="AZ155" s="104">
        <f t="shared" si="1158"/>
        <v>0</v>
      </c>
      <c r="BA155" s="104">
        <f t="shared" si="1159"/>
        <v>0</v>
      </c>
      <c r="BB155" s="104">
        <f t="shared" si="1160"/>
        <v>0</v>
      </c>
      <c r="BC155" s="104"/>
      <c r="BD155" s="104">
        <f t="shared" si="1161"/>
        <v>0</v>
      </c>
      <c r="BE155" s="108">
        <f t="shared" si="1162"/>
        <v>1.8043999999999729</v>
      </c>
      <c r="BF155" s="110">
        <f t="shared" si="1163"/>
        <v>0</v>
      </c>
      <c r="BG155" s="110">
        <f t="shared" si="1164"/>
        <v>5.28</v>
      </c>
      <c r="BH155" s="105" t="str">
        <f>VLOOKUP(A155,'BOCA DE LOBO'!$C$99:$P$172,7,0)</f>
        <v>BOCA DE LOBO SIMPLES EXISTENTE COM BOCA DE LOBO DUPLA PROJETADA</v>
      </c>
      <c r="BI155" s="104">
        <f t="shared" si="1165"/>
        <v>1</v>
      </c>
      <c r="BJ155" s="104">
        <f t="shared" si="1166"/>
        <v>0</v>
      </c>
      <c r="BK155" s="104">
        <f t="shared" si="1167"/>
        <v>0</v>
      </c>
      <c r="BL155" s="104">
        <f t="shared" si="1168"/>
        <v>0</v>
      </c>
      <c r="BM155" s="104">
        <f t="shared" si="1169"/>
        <v>0</v>
      </c>
      <c r="BN155" s="104">
        <f t="shared" si="1170"/>
        <v>0</v>
      </c>
      <c r="BO155" s="543">
        <f t="shared" si="1171"/>
        <v>0</v>
      </c>
      <c r="BP155" s="111"/>
      <c r="BQ155" s="108">
        <f t="shared" si="1172"/>
        <v>15.84</v>
      </c>
      <c r="BR155" s="108">
        <f t="shared" si="1173"/>
        <v>3.214463999999714</v>
      </c>
      <c r="BS155" s="108">
        <f t="shared" si="1174"/>
        <v>0</v>
      </c>
      <c r="BT155" s="112"/>
      <c r="BU155" s="112" t="s">
        <v>1410</v>
      </c>
      <c r="BV155" s="538">
        <f t="shared" si="1175"/>
        <v>9.8495539199998259</v>
      </c>
      <c r="BW155" s="538">
        <f t="shared" si="1176"/>
        <v>6.2783999999999986</v>
      </c>
      <c r="BX155" s="538">
        <f t="shared" si="1177"/>
        <v>2.8083999999999998</v>
      </c>
      <c r="BY155" s="538">
        <f t="shared" si="1178"/>
        <v>1.5687999999999727</v>
      </c>
      <c r="BZ155" s="538">
        <f t="shared" si="1179"/>
        <v>1.5687999999999727</v>
      </c>
      <c r="CA155" s="538">
        <f t="shared" si="1180"/>
        <v>0</v>
      </c>
      <c r="CB155" s="538">
        <f t="shared" si="1181"/>
        <v>0</v>
      </c>
      <c r="CC155" s="538">
        <f t="shared" si="1182"/>
        <v>9.4175999999999984</v>
      </c>
      <c r="CD155" s="538">
        <f t="shared" si="1183"/>
        <v>0.43195391999982824</v>
      </c>
      <c r="CE155" s="538">
        <f t="shared" si="1184"/>
        <v>0</v>
      </c>
      <c r="CF155" s="538">
        <f t="shared" si="1185"/>
        <v>0</v>
      </c>
      <c r="CG155" s="538">
        <f t="shared" si="1186"/>
        <v>0</v>
      </c>
      <c r="CH155" s="538">
        <f t="shared" si="1187"/>
        <v>0</v>
      </c>
      <c r="CI155" s="104">
        <f t="shared" si="1188"/>
        <v>0.432</v>
      </c>
      <c r="CJ155" s="538">
        <f t="shared" si="1189"/>
        <v>5.0117359999999032</v>
      </c>
      <c r="CK155" s="538">
        <f t="shared" si="1190"/>
        <v>5.0117359999999032</v>
      </c>
      <c r="CL155" s="538">
        <f t="shared" si="1191"/>
        <v>0</v>
      </c>
      <c r="CM155" s="538">
        <f t="shared" si="1192"/>
        <v>0</v>
      </c>
      <c r="CN155" s="538">
        <f t="shared" si="1193"/>
        <v>2.88</v>
      </c>
      <c r="CO155" s="538">
        <f t="shared" si="1194"/>
        <v>1.5687999999999727</v>
      </c>
      <c r="CP155" s="538">
        <f t="shared" si="1195"/>
        <v>8.64</v>
      </c>
      <c r="CQ155" s="538">
        <f t="shared" si="1196"/>
        <v>0.39628799999984249</v>
      </c>
      <c r="CR155" s="539">
        <f t="shared" si="1197"/>
        <v>0.58783999999998504</v>
      </c>
      <c r="CS155" s="540">
        <f t="shared" si="1198"/>
        <v>3.2003519999999445E-2</v>
      </c>
      <c r="CT155" s="540">
        <f t="shared" si="1199"/>
        <v>0.30127039999999999</v>
      </c>
      <c r="CU155" s="541">
        <f t="shared" si="1200"/>
        <v>7.2164799999998737</v>
      </c>
      <c r="CV155" s="538">
        <f t="shared" si="1201"/>
        <v>0.92035079999999514</v>
      </c>
      <c r="CW155" s="538">
        <f t="shared" si="1202"/>
        <v>11.019423999999876</v>
      </c>
      <c r="CX155" s="104">
        <f t="shared" si="1203"/>
        <v>2.88</v>
      </c>
      <c r="CY155" s="542">
        <f t="shared" si="1204"/>
        <v>1.44</v>
      </c>
      <c r="CZ155" s="538">
        <f t="shared" si="1205"/>
        <v>0</v>
      </c>
    </row>
    <row r="156" spans="1:104" ht="37.5" x14ac:dyDescent="0.25">
      <c r="A156" s="100" t="str">
        <f>'BOCA DE LOBO'!C146</f>
        <v>BL46-&gt;PV2-40</v>
      </c>
      <c r="B156" s="100" t="str">
        <f>'BOCA DE LOBO'!A146</f>
        <v>PV2-40</v>
      </c>
      <c r="C156" s="100" t="str">
        <f>VLOOKUP(A156,'BOCA DE LOBO'!C:F,3,0)</f>
        <v>EXISTENTE</v>
      </c>
      <c r="D156" s="100" t="str">
        <f>VLOOKUP(A156,'BOCA DE LOBO'!C:M,10,0)</f>
        <v>AMPLIADA</v>
      </c>
      <c r="E156" s="100">
        <f t="shared" si="1120"/>
        <v>2.0064000000000455</v>
      </c>
      <c r="F156" s="100">
        <f>VLOOKUP(A156,'BOCA DE LOBO'!$C$97:$P$172,2,0)</f>
        <v>2.2000000000000455</v>
      </c>
      <c r="G156" s="100">
        <f>VLOOKUP(A156,'BOCA DE LOBO'!$C$97:$L$172,4,0)</f>
        <v>4.84</v>
      </c>
      <c r="H156" s="101">
        <v>400</v>
      </c>
      <c r="I156" s="102">
        <f t="shared" si="1121"/>
        <v>2.2332000000000454</v>
      </c>
      <c r="J156" s="102">
        <f t="shared" si="1122"/>
        <v>0.54043440000001097</v>
      </c>
      <c r="K156" s="103">
        <v>0</v>
      </c>
      <c r="L156" s="104">
        <f t="shared" si="1123"/>
        <v>0</v>
      </c>
      <c r="M156" s="104">
        <f t="shared" si="1124"/>
        <v>0</v>
      </c>
      <c r="N156" s="104">
        <f t="shared" si="1125"/>
        <v>400</v>
      </c>
      <c r="O156" s="104">
        <f t="shared" si="1126"/>
        <v>0</v>
      </c>
      <c r="P156" s="105" t="s">
        <v>1999</v>
      </c>
      <c r="Q156" s="452" t="s">
        <v>2023</v>
      </c>
      <c r="R156" s="105"/>
      <c r="S156" s="105">
        <v>5</v>
      </c>
      <c r="T156" s="105">
        <v>5</v>
      </c>
      <c r="U156" s="104">
        <f t="shared" si="1127"/>
        <v>0.05</v>
      </c>
      <c r="V156" s="106">
        <f t="shared" si="1128"/>
        <v>0</v>
      </c>
      <c r="W156" s="106">
        <f t="shared" si="1129"/>
        <v>0</v>
      </c>
      <c r="X156" s="107">
        <f t="shared" si="1130"/>
        <v>0</v>
      </c>
      <c r="Y156" s="107">
        <f t="shared" si="1131"/>
        <v>0</v>
      </c>
      <c r="Z156" s="107">
        <f t="shared" si="1132"/>
        <v>2.2332000000000454</v>
      </c>
      <c r="AA156" s="107">
        <f t="shared" si="1133"/>
        <v>0</v>
      </c>
      <c r="AB156" s="108">
        <f t="shared" si="1134"/>
        <v>0</v>
      </c>
      <c r="AC156" s="109">
        <f t="shared" si="1135"/>
        <v>0</v>
      </c>
      <c r="AD156" s="109">
        <f t="shared" si="1136"/>
        <v>0</v>
      </c>
      <c r="AE156" s="109">
        <f t="shared" si="1137"/>
        <v>0</v>
      </c>
      <c r="AF156" s="109">
        <f t="shared" si="1138"/>
        <v>0</v>
      </c>
      <c r="AG156" s="109">
        <f t="shared" si="1139"/>
        <v>0</v>
      </c>
      <c r="AH156" s="109">
        <f t="shared" si="1140"/>
        <v>0</v>
      </c>
      <c r="AI156" s="537" t="str">
        <f t="shared" si="1141"/>
        <v>NÃO</v>
      </c>
      <c r="AJ156" s="104">
        <f t="shared" si="1142"/>
        <v>0</v>
      </c>
      <c r="AK156" s="104">
        <f t="shared" si="1143"/>
        <v>0</v>
      </c>
      <c r="AL156" s="104">
        <f t="shared" si="1144"/>
        <v>0</v>
      </c>
      <c r="AM156" s="102">
        <f t="shared" si="1145"/>
        <v>0</v>
      </c>
      <c r="AN156" s="106">
        <f t="shared" si="1146"/>
        <v>0</v>
      </c>
      <c r="AO156" s="104">
        <f t="shared" si="1147"/>
        <v>0</v>
      </c>
      <c r="AP156" s="104">
        <f t="shared" si="1148"/>
        <v>0</v>
      </c>
      <c r="AQ156" s="104">
        <f t="shared" si="1149"/>
        <v>0.7</v>
      </c>
      <c r="AR156" s="104">
        <f t="shared" si="1150"/>
        <v>0</v>
      </c>
      <c r="AS156" s="104">
        <f t="shared" si="1151"/>
        <v>0</v>
      </c>
      <c r="AT156" s="104">
        <f t="shared" si="1152"/>
        <v>0</v>
      </c>
      <c r="AU156" s="104">
        <f t="shared" si="1153"/>
        <v>0</v>
      </c>
      <c r="AV156" s="104">
        <f t="shared" si="1154"/>
        <v>0</v>
      </c>
      <c r="AW156" s="104">
        <f t="shared" si="1155"/>
        <v>0</v>
      </c>
      <c r="AX156" s="104">
        <f t="shared" si="1156"/>
        <v>0</v>
      </c>
      <c r="AY156" s="104">
        <f t="shared" si="1157"/>
        <v>0</v>
      </c>
      <c r="AZ156" s="104">
        <f t="shared" si="1158"/>
        <v>0</v>
      </c>
      <c r="BA156" s="104">
        <f t="shared" si="1159"/>
        <v>0</v>
      </c>
      <c r="BB156" s="104">
        <f t="shared" si="1160"/>
        <v>0</v>
      </c>
      <c r="BC156" s="104"/>
      <c r="BD156" s="104">
        <f t="shared" si="1161"/>
        <v>0</v>
      </c>
      <c r="BE156" s="108">
        <f t="shared" si="1162"/>
        <v>2.2332000000000454</v>
      </c>
      <c r="BF156" s="110">
        <f t="shared" si="1163"/>
        <v>0</v>
      </c>
      <c r="BG156" s="110">
        <f t="shared" si="1164"/>
        <v>4.84</v>
      </c>
      <c r="BH156" s="105" t="str">
        <f>VLOOKUP(A156,'BOCA DE LOBO'!$C$99:$P$172,7,0)</f>
        <v>BOCA DE LOBO DUPLA EXISTENTE COM BOCA DE LOBO SIMPLES PROJETADA</v>
      </c>
      <c r="BI156" s="104">
        <f t="shared" si="1165"/>
        <v>0</v>
      </c>
      <c r="BJ156" s="104">
        <f t="shared" si="1166"/>
        <v>0</v>
      </c>
      <c r="BK156" s="104">
        <f t="shared" si="1167"/>
        <v>1</v>
      </c>
      <c r="BL156" s="104">
        <f t="shared" si="1168"/>
        <v>0</v>
      </c>
      <c r="BM156" s="104">
        <f t="shared" si="1169"/>
        <v>0</v>
      </c>
      <c r="BN156" s="104">
        <f t="shared" si="1170"/>
        <v>0</v>
      </c>
      <c r="BO156" s="543">
        <f t="shared" si="1171"/>
        <v>0</v>
      </c>
      <c r="BP156" s="111"/>
      <c r="BQ156" s="108">
        <f t="shared" si="1172"/>
        <v>14.52</v>
      </c>
      <c r="BR156" s="108">
        <f t="shared" si="1173"/>
        <v>7.0973760000004393</v>
      </c>
      <c r="BS156" s="108">
        <f t="shared" si="1174"/>
        <v>0</v>
      </c>
      <c r="BT156" s="112"/>
      <c r="BU156" s="112" t="s">
        <v>1410</v>
      </c>
      <c r="BV156" s="538">
        <f t="shared" si="1175"/>
        <v>7.3482393600001652</v>
      </c>
      <c r="BW156" s="538">
        <f t="shared" si="1176"/>
        <v>3.6623999999999994</v>
      </c>
      <c r="BX156" s="538">
        <f t="shared" si="1177"/>
        <v>1.3923999999999999</v>
      </c>
      <c r="BY156" s="538">
        <f t="shared" si="1178"/>
        <v>2.0064000000000455</v>
      </c>
      <c r="BZ156" s="538">
        <f t="shared" si="1179"/>
        <v>2.0064000000000455</v>
      </c>
      <c r="CA156" s="538">
        <f t="shared" si="1180"/>
        <v>0</v>
      </c>
      <c r="CB156" s="538">
        <f t="shared" si="1181"/>
        <v>0</v>
      </c>
      <c r="CC156" s="538">
        <f t="shared" si="1182"/>
        <v>5.4935999999999989</v>
      </c>
      <c r="CD156" s="538">
        <f t="shared" si="1183"/>
        <v>1.8546393600001663</v>
      </c>
      <c r="CE156" s="538">
        <f t="shared" si="1184"/>
        <v>0</v>
      </c>
      <c r="CF156" s="538">
        <f t="shared" si="1185"/>
        <v>0</v>
      </c>
      <c r="CG156" s="538">
        <f t="shared" si="1186"/>
        <v>0</v>
      </c>
      <c r="CH156" s="538">
        <f t="shared" si="1187"/>
        <v>0</v>
      </c>
      <c r="CI156" s="104">
        <f t="shared" si="1188"/>
        <v>0.252</v>
      </c>
      <c r="CJ156" s="538">
        <f t="shared" si="1189"/>
        <v>4.3025280000001027</v>
      </c>
      <c r="CK156" s="538">
        <f t="shared" si="1190"/>
        <v>4.3025280000001027</v>
      </c>
      <c r="CL156" s="538">
        <f t="shared" si="1191"/>
        <v>0</v>
      </c>
      <c r="CM156" s="538">
        <f t="shared" si="1192"/>
        <v>0</v>
      </c>
      <c r="CN156" s="538">
        <f t="shared" si="1193"/>
        <v>1.68</v>
      </c>
      <c r="CO156" s="538">
        <f t="shared" si="1194"/>
        <v>2.0064000000000455</v>
      </c>
      <c r="CP156" s="538">
        <f t="shared" si="1195"/>
        <v>5.04</v>
      </c>
      <c r="CQ156" s="538">
        <f t="shared" si="1196"/>
        <v>1.7015040000001527</v>
      </c>
      <c r="CR156" s="539">
        <f t="shared" si="1197"/>
        <v>0.82852000000002513</v>
      </c>
      <c r="CS156" s="540">
        <f t="shared" si="1198"/>
        <v>4.0930560000000928E-2</v>
      </c>
      <c r="CT156" s="540">
        <f t="shared" si="1199"/>
        <v>0.15421000000000001</v>
      </c>
      <c r="CU156" s="541">
        <f t="shared" si="1200"/>
        <v>5.2166400000001181</v>
      </c>
      <c r="CV156" s="538">
        <f t="shared" si="1201"/>
        <v>0.80134560000000943</v>
      </c>
      <c r="CW156" s="538">
        <f t="shared" si="1202"/>
        <v>13.237368000000235</v>
      </c>
      <c r="CX156" s="104">
        <f t="shared" si="1203"/>
        <v>1.68</v>
      </c>
      <c r="CY156" s="542">
        <f t="shared" si="1204"/>
        <v>0.84</v>
      </c>
      <c r="CZ156" s="538">
        <f t="shared" si="1205"/>
        <v>0</v>
      </c>
    </row>
    <row r="157" spans="1:104" ht="37.5" x14ac:dyDescent="0.25">
      <c r="A157" s="100" t="str">
        <f>'BOCA DE LOBO'!C147</f>
        <v>BL47-&gt;PV1-41</v>
      </c>
      <c r="B157" s="100" t="str">
        <f>'BOCA DE LOBO'!A147</f>
        <v>PV1-41</v>
      </c>
      <c r="C157" s="100" t="str">
        <f>VLOOKUP(A157,'BOCA DE LOBO'!C:F,3,0)</f>
        <v>EXISTENTE</v>
      </c>
      <c r="D157" s="100" t="str">
        <f>VLOOKUP(A157,'BOCA DE LOBO'!C:M,10,0)</f>
        <v>AMPLIADA</v>
      </c>
      <c r="E157" s="100">
        <f t="shared" si="1120"/>
        <v>1.2001200000000454</v>
      </c>
      <c r="F157" s="100">
        <f>VLOOKUP(A157,'BOCA DE LOBO'!$C$97:$P$172,2,0)</f>
        <v>1.4500000000000455</v>
      </c>
      <c r="G157" s="100">
        <f>VLOOKUP(A157,'BOCA DE LOBO'!$C$97:$L$172,4,0)</f>
        <v>6.2469999999999999</v>
      </c>
      <c r="H157" s="101">
        <v>400</v>
      </c>
      <c r="I157" s="102">
        <f t="shared" si="1121"/>
        <v>1.4550600000000455</v>
      </c>
      <c r="J157" s="102">
        <f t="shared" si="1122"/>
        <v>0.45448799100001419</v>
      </c>
      <c r="K157" s="103">
        <v>0</v>
      </c>
      <c r="L157" s="104">
        <f t="shared" si="1123"/>
        <v>0</v>
      </c>
      <c r="M157" s="104">
        <f t="shared" si="1124"/>
        <v>0</v>
      </c>
      <c r="N157" s="104">
        <f t="shared" si="1125"/>
        <v>400</v>
      </c>
      <c r="O157" s="104">
        <f t="shared" si="1126"/>
        <v>0</v>
      </c>
      <c r="P157" s="105" t="s">
        <v>1999</v>
      </c>
      <c r="Q157" s="452" t="s">
        <v>2054</v>
      </c>
      <c r="R157" s="105"/>
      <c r="S157" s="105">
        <f>VLOOKUP(Q157,Quantitativos!$P$43:$R$88,3,0)</f>
        <v>3.8</v>
      </c>
      <c r="T157" s="105">
        <f>VLOOKUP(Q157,Quantitativos!$P$43:$S$88,4,0)</f>
        <v>2.4</v>
      </c>
      <c r="U157" s="104">
        <f t="shared" si="1127"/>
        <v>0.05</v>
      </c>
      <c r="V157" s="106">
        <f t="shared" si="1128"/>
        <v>0</v>
      </c>
      <c r="W157" s="106">
        <f t="shared" si="1129"/>
        <v>0</v>
      </c>
      <c r="X157" s="107">
        <f t="shared" si="1130"/>
        <v>0</v>
      </c>
      <c r="Y157" s="107">
        <f t="shared" si="1131"/>
        <v>0</v>
      </c>
      <c r="Z157" s="107">
        <f t="shared" si="1132"/>
        <v>1.4550600000000455</v>
      </c>
      <c r="AA157" s="107">
        <f t="shared" si="1133"/>
        <v>0</v>
      </c>
      <c r="AB157" s="108">
        <f t="shared" si="1134"/>
        <v>0</v>
      </c>
      <c r="AC157" s="109">
        <f t="shared" si="1135"/>
        <v>0</v>
      </c>
      <c r="AD157" s="109">
        <f t="shared" si="1136"/>
        <v>0</v>
      </c>
      <c r="AE157" s="109">
        <f t="shared" si="1137"/>
        <v>0</v>
      </c>
      <c r="AF157" s="109">
        <f t="shared" si="1138"/>
        <v>0</v>
      </c>
      <c r="AG157" s="109">
        <f t="shared" si="1139"/>
        <v>0</v>
      </c>
      <c r="AH157" s="109">
        <f t="shared" si="1140"/>
        <v>0</v>
      </c>
      <c r="AI157" s="537" t="str">
        <f t="shared" si="1141"/>
        <v>NÃO</v>
      </c>
      <c r="AJ157" s="104">
        <f t="shared" si="1142"/>
        <v>0</v>
      </c>
      <c r="AK157" s="104">
        <f t="shared" si="1143"/>
        <v>0</v>
      </c>
      <c r="AL157" s="104">
        <f t="shared" si="1144"/>
        <v>0</v>
      </c>
      <c r="AM157" s="102">
        <f t="shared" si="1145"/>
        <v>0</v>
      </c>
      <c r="AN157" s="106">
        <f t="shared" si="1146"/>
        <v>0</v>
      </c>
      <c r="AO157" s="104">
        <f t="shared" si="1147"/>
        <v>0</v>
      </c>
      <c r="AP157" s="104">
        <f t="shared" si="1148"/>
        <v>0</v>
      </c>
      <c r="AQ157" s="104">
        <f t="shared" si="1149"/>
        <v>0.7</v>
      </c>
      <c r="AR157" s="104">
        <f t="shared" si="1150"/>
        <v>0</v>
      </c>
      <c r="AS157" s="104">
        <f t="shared" si="1151"/>
        <v>0</v>
      </c>
      <c r="AT157" s="104">
        <f t="shared" si="1152"/>
        <v>0</v>
      </c>
      <c r="AU157" s="104">
        <f t="shared" si="1153"/>
        <v>0</v>
      </c>
      <c r="AV157" s="104">
        <f t="shared" si="1154"/>
        <v>0</v>
      </c>
      <c r="AW157" s="104">
        <f t="shared" si="1155"/>
        <v>0</v>
      </c>
      <c r="AX157" s="104">
        <f t="shared" si="1156"/>
        <v>0</v>
      </c>
      <c r="AY157" s="104">
        <f t="shared" si="1157"/>
        <v>0</v>
      </c>
      <c r="AZ157" s="104">
        <f t="shared" si="1158"/>
        <v>0</v>
      </c>
      <c r="BA157" s="104">
        <f t="shared" si="1159"/>
        <v>0</v>
      </c>
      <c r="BB157" s="104">
        <f t="shared" si="1160"/>
        <v>0</v>
      </c>
      <c r="BC157" s="104"/>
      <c r="BD157" s="104">
        <f t="shared" si="1161"/>
        <v>0</v>
      </c>
      <c r="BE157" s="108">
        <f t="shared" si="1162"/>
        <v>1.4550600000000455</v>
      </c>
      <c r="BF157" s="110">
        <f t="shared" si="1163"/>
        <v>6.2469999999999999</v>
      </c>
      <c r="BG157" s="110">
        <f t="shared" si="1164"/>
        <v>0</v>
      </c>
      <c r="BH157" s="105" t="str">
        <f>VLOOKUP(A157,'BOCA DE LOBO'!$C$99:$P$172,7,0)</f>
        <v>BOCA DE LOBO SIMPLES EXISTENTE COM BOCA DE LOBO DUPLA PROJETADA</v>
      </c>
      <c r="BI157" s="104">
        <f t="shared" si="1165"/>
        <v>1</v>
      </c>
      <c r="BJ157" s="104">
        <f t="shared" si="1166"/>
        <v>0</v>
      </c>
      <c r="BK157" s="104">
        <f t="shared" si="1167"/>
        <v>0</v>
      </c>
      <c r="BL157" s="104">
        <f t="shared" si="1168"/>
        <v>0</v>
      </c>
      <c r="BM157" s="104">
        <f t="shared" si="1169"/>
        <v>0</v>
      </c>
      <c r="BN157" s="104">
        <f t="shared" si="1170"/>
        <v>0</v>
      </c>
      <c r="BO157" s="543">
        <f t="shared" si="1171"/>
        <v>0</v>
      </c>
      <c r="BP157" s="111"/>
      <c r="BQ157" s="108">
        <f t="shared" si="1172"/>
        <v>18.179519640000567</v>
      </c>
      <c r="BR157" s="108">
        <f t="shared" si="1173"/>
        <v>0</v>
      </c>
      <c r="BS157" s="108">
        <f t="shared" si="1174"/>
        <v>0</v>
      </c>
      <c r="BT157" s="112"/>
      <c r="BU157" s="112" t="s">
        <v>1410</v>
      </c>
      <c r="BV157" s="538">
        <f t="shared" si="1175"/>
        <v>7.5348334080002832</v>
      </c>
      <c r="BW157" s="538">
        <f t="shared" si="1176"/>
        <v>6.2783999999999986</v>
      </c>
      <c r="BX157" s="538">
        <f t="shared" si="1177"/>
        <v>2.8083999999999998</v>
      </c>
      <c r="BY157" s="538">
        <f t="shared" si="1178"/>
        <v>1.2001200000000454</v>
      </c>
      <c r="BZ157" s="538">
        <f t="shared" si="1179"/>
        <v>1.2001200000000454</v>
      </c>
      <c r="CA157" s="538">
        <f t="shared" si="1180"/>
        <v>0</v>
      </c>
      <c r="CB157" s="538">
        <f t="shared" si="1181"/>
        <v>0</v>
      </c>
      <c r="CC157" s="538">
        <f t="shared" si="1182"/>
        <v>7.5348334080002832</v>
      </c>
      <c r="CD157" s="538">
        <f t="shared" si="1183"/>
        <v>0</v>
      </c>
      <c r="CE157" s="538">
        <f t="shared" si="1184"/>
        <v>0</v>
      </c>
      <c r="CF157" s="538">
        <f t="shared" si="1185"/>
        <v>0</v>
      </c>
      <c r="CG157" s="538">
        <f t="shared" si="1186"/>
        <v>0</v>
      </c>
      <c r="CH157" s="538">
        <f t="shared" si="1187"/>
        <v>0</v>
      </c>
      <c r="CI157" s="104">
        <f t="shared" si="1188"/>
        <v>0.432</v>
      </c>
      <c r="CJ157" s="538">
        <f t="shared" si="1189"/>
        <v>3.7324164000001558</v>
      </c>
      <c r="CK157" s="538">
        <f t="shared" si="1190"/>
        <v>3.7324164000001558</v>
      </c>
      <c r="CL157" s="538">
        <f t="shared" si="1191"/>
        <v>0</v>
      </c>
      <c r="CM157" s="538">
        <f t="shared" si="1192"/>
        <v>0</v>
      </c>
      <c r="CN157" s="538">
        <f t="shared" si="1193"/>
        <v>2.88</v>
      </c>
      <c r="CO157" s="538">
        <f t="shared" si="1194"/>
        <v>1.2001200000000454</v>
      </c>
      <c r="CP157" s="538">
        <f t="shared" si="1195"/>
        <v>6.9126912000002614</v>
      </c>
      <c r="CQ157" s="538">
        <f t="shared" si="1196"/>
        <v>0</v>
      </c>
      <c r="CR157" s="539">
        <f t="shared" si="1197"/>
        <v>0.385066000000025</v>
      </c>
      <c r="CS157" s="540">
        <f t="shared" si="1198"/>
        <v>2.4482448000000927E-2</v>
      </c>
      <c r="CT157" s="540">
        <f t="shared" si="1199"/>
        <v>0.30127039999999999</v>
      </c>
      <c r="CU157" s="541">
        <f t="shared" si="1200"/>
        <v>5.5205520000002082</v>
      </c>
      <c r="CV157" s="538">
        <f t="shared" si="1201"/>
        <v>0.8545414200000081</v>
      </c>
      <c r="CW157" s="538">
        <f t="shared" si="1202"/>
        <v>9.3677376000002042</v>
      </c>
      <c r="CX157" s="104">
        <f t="shared" si="1203"/>
        <v>2.88</v>
      </c>
      <c r="CY157" s="542">
        <f t="shared" si="1204"/>
        <v>1.44</v>
      </c>
      <c r="CZ157" s="538">
        <f t="shared" si="1205"/>
        <v>0</v>
      </c>
    </row>
    <row r="158" spans="1:104" ht="25" x14ac:dyDescent="0.25">
      <c r="A158" s="100" t="str">
        <f>'BOCA DE LOBO'!C148</f>
        <v>BL48-&gt;PV1-42</v>
      </c>
      <c r="B158" s="100" t="str">
        <f>'BOCA DE LOBO'!A148</f>
        <v>PV1-42</v>
      </c>
      <c r="C158" s="100" t="str">
        <f>VLOOKUP(A158,'BOCA DE LOBO'!C:F,3,0)</f>
        <v>EXISTENTE</v>
      </c>
      <c r="D158" s="100" t="str">
        <f>VLOOKUP(A158,'BOCA DE LOBO'!C:M,10,0)</f>
        <v>EXISTENTE</v>
      </c>
      <c r="E158" s="100">
        <f t="shared" si="1120"/>
        <v>1.5375999999999546</v>
      </c>
      <c r="F158" s="100">
        <f>VLOOKUP(A158,'BOCA DE LOBO'!$C$97:$P$172,2,0)</f>
        <v>1.7999999999999545</v>
      </c>
      <c r="G158" s="100">
        <f>VLOOKUP(A158,'BOCA DE LOBO'!$C$97:$L$172,4,0)</f>
        <v>6.56</v>
      </c>
      <c r="H158" s="101">
        <v>400</v>
      </c>
      <c r="I158" s="102">
        <f t="shared" si="1121"/>
        <v>1.7987999999999547</v>
      </c>
      <c r="J158" s="102">
        <f t="shared" si="1122"/>
        <v>0.59000639999998516</v>
      </c>
      <c r="K158" s="103">
        <v>0</v>
      </c>
      <c r="L158" s="104">
        <f t="shared" si="1123"/>
        <v>0</v>
      </c>
      <c r="M158" s="104">
        <f t="shared" si="1124"/>
        <v>0</v>
      </c>
      <c r="N158" s="104">
        <f t="shared" si="1125"/>
        <v>400</v>
      </c>
      <c r="O158" s="104">
        <f t="shared" si="1126"/>
        <v>0</v>
      </c>
      <c r="P158" s="105" t="s">
        <v>1999</v>
      </c>
      <c r="Q158" s="452" t="s">
        <v>2173</v>
      </c>
      <c r="R158" s="105"/>
      <c r="S158" s="105">
        <v>5</v>
      </c>
      <c r="T158" s="105">
        <v>5</v>
      </c>
      <c r="U158" s="104">
        <f t="shared" si="1127"/>
        <v>0.05</v>
      </c>
      <c r="V158" s="106">
        <f t="shared" si="1128"/>
        <v>0</v>
      </c>
      <c r="W158" s="106">
        <f t="shared" si="1129"/>
        <v>0</v>
      </c>
      <c r="X158" s="107">
        <f t="shared" si="1130"/>
        <v>0</v>
      </c>
      <c r="Y158" s="107">
        <f t="shared" si="1131"/>
        <v>0</v>
      </c>
      <c r="Z158" s="107">
        <f t="shared" si="1132"/>
        <v>1.7987999999999547</v>
      </c>
      <c r="AA158" s="107">
        <f t="shared" si="1133"/>
        <v>0</v>
      </c>
      <c r="AB158" s="108">
        <f t="shared" si="1134"/>
        <v>0</v>
      </c>
      <c r="AC158" s="109">
        <f t="shared" si="1135"/>
        <v>0</v>
      </c>
      <c r="AD158" s="109">
        <f t="shared" si="1136"/>
        <v>0</v>
      </c>
      <c r="AE158" s="109">
        <f t="shared" si="1137"/>
        <v>0</v>
      </c>
      <c r="AF158" s="109">
        <f t="shared" si="1138"/>
        <v>0</v>
      </c>
      <c r="AG158" s="109">
        <f t="shared" si="1139"/>
        <v>0</v>
      </c>
      <c r="AH158" s="109">
        <f t="shared" si="1140"/>
        <v>0</v>
      </c>
      <c r="AI158" s="537" t="str">
        <f t="shared" si="1141"/>
        <v>NÃO</v>
      </c>
      <c r="AJ158" s="104">
        <f t="shared" si="1142"/>
        <v>0</v>
      </c>
      <c r="AK158" s="104">
        <f t="shared" si="1143"/>
        <v>0</v>
      </c>
      <c r="AL158" s="104">
        <f t="shared" si="1144"/>
        <v>0</v>
      </c>
      <c r="AM158" s="102">
        <f t="shared" si="1145"/>
        <v>0</v>
      </c>
      <c r="AN158" s="106">
        <f t="shared" si="1146"/>
        <v>0</v>
      </c>
      <c r="AO158" s="104">
        <f t="shared" si="1147"/>
        <v>0</v>
      </c>
      <c r="AP158" s="104">
        <f t="shared" si="1148"/>
        <v>0</v>
      </c>
      <c r="AQ158" s="104">
        <f t="shared" si="1149"/>
        <v>0.7</v>
      </c>
      <c r="AR158" s="104">
        <f t="shared" si="1150"/>
        <v>0</v>
      </c>
      <c r="AS158" s="104">
        <f t="shared" si="1151"/>
        <v>0</v>
      </c>
      <c r="AT158" s="104">
        <f t="shared" si="1152"/>
        <v>0</v>
      </c>
      <c r="AU158" s="104">
        <f t="shared" si="1153"/>
        <v>0</v>
      </c>
      <c r="AV158" s="104">
        <f t="shared" si="1154"/>
        <v>0</v>
      </c>
      <c r="AW158" s="104">
        <f t="shared" si="1155"/>
        <v>0</v>
      </c>
      <c r="AX158" s="104">
        <f t="shared" si="1156"/>
        <v>0</v>
      </c>
      <c r="AY158" s="104">
        <f t="shared" si="1157"/>
        <v>0</v>
      </c>
      <c r="AZ158" s="104">
        <f t="shared" si="1158"/>
        <v>0</v>
      </c>
      <c r="BA158" s="104">
        <f t="shared" si="1159"/>
        <v>0</v>
      </c>
      <c r="BB158" s="104">
        <f t="shared" si="1160"/>
        <v>0</v>
      </c>
      <c r="BC158" s="104"/>
      <c r="BD158" s="104">
        <f t="shared" si="1161"/>
        <v>0</v>
      </c>
      <c r="BE158" s="108">
        <f t="shared" si="1162"/>
        <v>1.7987999999999547</v>
      </c>
      <c r="BF158" s="110">
        <f t="shared" si="1163"/>
        <v>0</v>
      </c>
      <c r="BG158" s="110">
        <f t="shared" si="1164"/>
        <v>6.56</v>
      </c>
      <c r="BH158" s="105" t="str">
        <f>VLOOKUP(A158,'BOCA DE LOBO'!$C$99:$P$172,7,0)</f>
        <v>BOCA DE LOBO EXISTENTE TRIPLA</v>
      </c>
      <c r="BI158" s="104">
        <f t="shared" si="1165"/>
        <v>0</v>
      </c>
      <c r="BJ158" s="104">
        <f t="shared" si="1166"/>
        <v>0</v>
      </c>
      <c r="BK158" s="104">
        <f t="shared" si="1167"/>
        <v>0</v>
      </c>
      <c r="BL158" s="104">
        <f t="shared" si="1168"/>
        <v>0</v>
      </c>
      <c r="BM158" s="104">
        <f t="shared" si="1169"/>
        <v>0</v>
      </c>
      <c r="BN158" s="104">
        <f t="shared" si="1170"/>
        <v>0</v>
      </c>
      <c r="BO158" s="543">
        <f t="shared" si="1171"/>
        <v>0</v>
      </c>
      <c r="BP158" s="111"/>
      <c r="BQ158" s="108">
        <f t="shared" si="1172"/>
        <v>19.68</v>
      </c>
      <c r="BR158" s="108">
        <f t="shared" si="1173"/>
        <v>3.9202559999994047</v>
      </c>
      <c r="BS158" s="108">
        <f t="shared" si="1174"/>
        <v>0</v>
      </c>
      <c r="BT158" s="112"/>
      <c r="BU158" s="112" t="s">
        <v>1410</v>
      </c>
      <c r="BV158" s="538">
        <f t="shared" si="1175"/>
        <v>0</v>
      </c>
      <c r="BW158" s="538">
        <f t="shared" si="1176"/>
        <v>0</v>
      </c>
      <c r="BX158" s="538">
        <f t="shared" si="1177"/>
        <v>0</v>
      </c>
      <c r="BY158" s="538">
        <f t="shared" si="1178"/>
        <v>1.5375999999999546</v>
      </c>
      <c r="BZ158" s="538">
        <f t="shared" si="1179"/>
        <v>1.5375999999999546</v>
      </c>
      <c r="CA158" s="538">
        <f t="shared" si="1180"/>
        <v>0</v>
      </c>
      <c r="CB158" s="538">
        <f t="shared" si="1181"/>
        <v>0</v>
      </c>
      <c r="CC158" s="538">
        <f t="shared" si="1182"/>
        <v>0</v>
      </c>
      <c r="CD158" s="538">
        <f t="shared" si="1183"/>
        <v>0</v>
      </c>
      <c r="CE158" s="538">
        <f t="shared" si="1184"/>
        <v>0</v>
      </c>
      <c r="CF158" s="538">
        <f t="shared" si="1185"/>
        <v>0</v>
      </c>
      <c r="CG158" s="538">
        <f t="shared" si="1186"/>
        <v>0</v>
      </c>
      <c r="CH158" s="538">
        <f t="shared" si="1187"/>
        <v>0</v>
      </c>
      <c r="CI158" s="104">
        <f t="shared" si="1188"/>
        <v>0</v>
      </c>
      <c r="CJ158" s="538">
        <f t="shared" si="1189"/>
        <v>0</v>
      </c>
      <c r="CK158" s="538">
        <f t="shared" si="1190"/>
        <v>0</v>
      </c>
      <c r="CL158" s="538">
        <f t="shared" si="1191"/>
        <v>0</v>
      </c>
      <c r="CM158" s="538">
        <f t="shared" si="1192"/>
        <v>0</v>
      </c>
      <c r="CN158" s="538">
        <f t="shared" si="1193"/>
        <v>0</v>
      </c>
      <c r="CO158" s="538">
        <f t="shared" si="1194"/>
        <v>1.5375999999999546</v>
      </c>
      <c r="CP158" s="538">
        <f t="shared" si="1195"/>
        <v>0</v>
      </c>
      <c r="CQ158" s="538">
        <f t="shared" si="1196"/>
        <v>0</v>
      </c>
      <c r="CR158" s="539">
        <f t="shared" si="1197"/>
        <v>0</v>
      </c>
      <c r="CS158" s="540">
        <f t="shared" si="1198"/>
        <v>0</v>
      </c>
      <c r="CT158" s="540">
        <f t="shared" si="1199"/>
        <v>0</v>
      </c>
      <c r="CU158" s="541">
        <f t="shared" si="1200"/>
        <v>0</v>
      </c>
      <c r="CV158" s="538">
        <f t="shared" si="1201"/>
        <v>0</v>
      </c>
      <c r="CW158" s="538">
        <f t="shared" si="1202"/>
        <v>0</v>
      </c>
      <c r="CX158" s="104">
        <f t="shared" si="1203"/>
        <v>0</v>
      </c>
      <c r="CY158" s="542">
        <f t="shared" si="1204"/>
        <v>0</v>
      </c>
      <c r="CZ158" s="538">
        <f t="shared" si="1205"/>
        <v>0</v>
      </c>
    </row>
    <row r="159" spans="1:104" ht="25" x14ac:dyDescent="0.25">
      <c r="A159" s="100" t="str">
        <f>'BOCA DE LOBO'!C149</f>
        <v>BL49-&gt;PV2-42</v>
      </c>
      <c r="B159" s="100" t="str">
        <f>'BOCA DE LOBO'!A149</f>
        <v>PV2-42</v>
      </c>
      <c r="C159" s="100" t="str">
        <f>VLOOKUP(A159,'BOCA DE LOBO'!C:F,3,0)</f>
        <v>EXISTENTE</v>
      </c>
      <c r="D159" s="100" t="str">
        <f>VLOOKUP(A159,'BOCA DE LOBO'!C:M,10,0)</f>
        <v>EXISTENTE</v>
      </c>
      <c r="E159" s="100">
        <f t="shared" si="1120"/>
        <v>2.0352000000000001</v>
      </c>
      <c r="F159" s="100">
        <f>VLOOKUP(A159,'BOCA DE LOBO'!$C$97:$P$172,2,0)</f>
        <v>2.25</v>
      </c>
      <c r="G159" s="100">
        <f>VLOOKUP(A159,'BOCA DE LOBO'!$C$97:$L$172,4,0)</f>
        <v>5.37</v>
      </c>
      <c r="H159" s="101">
        <v>400</v>
      </c>
      <c r="I159" s="102">
        <f t="shared" si="1121"/>
        <v>2.2725999999999997</v>
      </c>
      <c r="J159" s="102">
        <f t="shared" si="1122"/>
        <v>0.61019309999999993</v>
      </c>
      <c r="K159" s="103">
        <v>0</v>
      </c>
      <c r="L159" s="104">
        <f t="shared" si="1123"/>
        <v>0</v>
      </c>
      <c r="M159" s="104">
        <f t="shared" si="1124"/>
        <v>0</v>
      </c>
      <c r="N159" s="104">
        <f t="shared" si="1125"/>
        <v>400</v>
      </c>
      <c r="O159" s="104">
        <f t="shared" si="1126"/>
        <v>0</v>
      </c>
      <c r="P159" s="105" t="s">
        <v>1999</v>
      </c>
      <c r="Q159" s="452" t="s">
        <v>2052</v>
      </c>
      <c r="R159" s="105"/>
      <c r="S159" s="105">
        <f>VLOOKUP(Q159,Quantitativos!$P$43:$R$88,3,0)</f>
        <v>5</v>
      </c>
      <c r="T159" s="105">
        <f>VLOOKUP(Q159,Quantitativos!$P$43:$S$88,4,0)</f>
        <v>5</v>
      </c>
      <c r="U159" s="104">
        <f t="shared" si="1127"/>
        <v>0.05</v>
      </c>
      <c r="V159" s="106">
        <f t="shared" si="1128"/>
        <v>0</v>
      </c>
      <c r="W159" s="106">
        <f t="shared" si="1129"/>
        <v>0</v>
      </c>
      <c r="X159" s="107">
        <f t="shared" si="1130"/>
        <v>0</v>
      </c>
      <c r="Y159" s="107">
        <f t="shared" si="1131"/>
        <v>0</v>
      </c>
      <c r="Z159" s="107">
        <f t="shared" si="1132"/>
        <v>2.2725999999999997</v>
      </c>
      <c r="AA159" s="107">
        <f t="shared" si="1133"/>
        <v>0</v>
      </c>
      <c r="AB159" s="108">
        <f t="shared" si="1134"/>
        <v>0</v>
      </c>
      <c r="AC159" s="109">
        <f t="shared" si="1135"/>
        <v>0</v>
      </c>
      <c r="AD159" s="109">
        <f t="shared" si="1136"/>
        <v>0</v>
      </c>
      <c r="AE159" s="109">
        <f t="shared" si="1137"/>
        <v>0</v>
      </c>
      <c r="AF159" s="109">
        <f t="shared" si="1138"/>
        <v>0</v>
      </c>
      <c r="AG159" s="109">
        <f t="shared" si="1139"/>
        <v>0</v>
      </c>
      <c r="AH159" s="109">
        <f t="shared" si="1140"/>
        <v>0</v>
      </c>
      <c r="AI159" s="537" t="str">
        <f t="shared" si="1141"/>
        <v>NÃO</v>
      </c>
      <c r="AJ159" s="104">
        <f t="shared" si="1142"/>
        <v>0</v>
      </c>
      <c r="AK159" s="104">
        <f t="shared" si="1143"/>
        <v>0</v>
      </c>
      <c r="AL159" s="104">
        <f t="shared" si="1144"/>
        <v>0</v>
      </c>
      <c r="AM159" s="102">
        <f t="shared" si="1145"/>
        <v>0</v>
      </c>
      <c r="AN159" s="106">
        <f t="shared" si="1146"/>
        <v>0</v>
      </c>
      <c r="AO159" s="104">
        <f t="shared" si="1147"/>
        <v>0</v>
      </c>
      <c r="AP159" s="104">
        <f t="shared" si="1148"/>
        <v>0</v>
      </c>
      <c r="AQ159" s="104">
        <f t="shared" si="1149"/>
        <v>0.7</v>
      </c>
      <c r="AR159" s="104">
        <f t="shared" si="1150"/>
        <v>0</v>
      </c>
      <c r="AS159" s="104">
        <f t="shared" si="1151"/>
        <v>0</v>
      </c>
      <c r="AT159" s="104">
        <f t="shared" si="1152"/>
        <v>0</v>
      </c>
      <c r="AU159" s="104">
        <f t="shared" si="1153"/>
        <v>0</v>
      </c>
      <c r="AV159" s="104">
        <f t="shared" si="1154"/>
        <v>0</v>
      </c>
      <c r="AW159" s="104">
        <f t="shared" si="1155"/>
        <v>0</v>
      </c>
      <c r="AX159" s="104">
        <f t="shared" si="1156"/>
        <v>0</v>
      </c>
      <c r="AY159" s="104">
        <f t="shared" si="1157"/>
        <v>0</v>
      </c>
      <c r="AZ159" s="104">
        <f t="shared" si="1158"/>
        <v>0</v>
      </c>
      <c r="BA159" s="104">
        <f t="shared" si="1159"/>
        <v>0</v>
      </c>
      <c r="BB159" s="104">
        <f t="shared" si="1160"/>
        <v>0</v>
      </c>
      <c r="BC159" s="104"/>
      <c r="BD159" s="104">
        <f t="shared" si="1161"/>
        <v>0</v>
      </c>
      <c r="BE159" s="108">
        <f t="shared" si="1162"/>
        <v>2.2725999999999997</v>
      </c>
      <c r="BF159" s="110">
        <f t="shared" si="1163"/>
        <v>0</v>
      </c>
      <c r="BG159" s="110">
        <f t="shared" si="1164"/>
        <v>5.37</v>
      </c>
      <c r="BH159" s="105" t="str">
        <f>VLOOKUP(A159,'BOCA DE LOBO'!$C$99:$P$172,7,0)</f>
        <v>BOCA DE LOBO EXISTENTE DUPLA</v>
      </c>
      <c r="BI159" s="104">
        <f t="shared" si="1165"/>
        <v>0</v>
      </c>
      <c r="BJ159" s="104">
        <f t="shared" si="1166"/>
        <v>0</v>
      </c>
      <c r="BK159" s="104">
        <f t="shared" si="1167"/>
        <v>0</v>
      </c>
      <c r="BL159" s="104">
        <f t="shared" si="1168"/>
        <v>0</v>
      </c>
      <c r="BM159" s="104">
        <f t="shared" si="1169"/>
        <v>0</v>
      </c>
      <c r="BN159" s="104">
        <f t="shared" si="1170"/>
        <v>0</v>
      </c>
      <c r="BO159" s="543">
        <f t="shared" si="1171"/>
        <v>0</v>
      </c>
      <c r="BP159" s="111"/>
      <c r="BQ159" s="108">
        <f t="shared" si="1172"/>
        <v>16.11</v>
      </c>
      <c r="BR159" s="108">
        <f t="shared" si="1173"/>
        <v>8.297723999999997</v>
      </c>
      <c r="BS159" s="108">
        <f t="shared" si="1174"/>
        <v>0</v>
      </c>
      <c r="BT159" s="112"/>
      <c r="BU159" s="112" t="s">
        <v>1410</v>
      </c>
      <c r="BV159" s="538">
        <f t="shared" si="1175"/>
        <v>0</v>
      </c>
      <c r="BW159" s="538">
        <f t="shared" si="1176"/>
        <v>0</v>
      </c>
      <c r="BX159" s="538">
        <f t="shared" si="1177"/>
        <v>0</v>
      </c>
      <c r="BY159" s="538">
        <f t="shared" si="1178"/>
        <v>2.0352000000000001</v>
      </c>
      <c r="BZ159" s="538">
        <f t="shared" si="1179"/>
        <v>2.0352000000000001</v>
      </c>
      <c r="CA159" s="538">
        <f t="shared" si="1180"/>
        <v>0</v>
      </c>
      <c r="CB159" s="538">
        <f t="shared" si="1181"/>
        <v>0</v>
      </c>
      <c r="CC159" s="538">
        <f t="shared" si="1182"/>
        <v>0</v>
      </c>
      <c r="CD159" s="538">
        <f t="shared" si="1183"/>
        <v>0</v>
      </c>
      <c r="CE159" s="538">
        <f t="shared" si="1184"/>
        <v>0</v>
      </c>
      <c r="CF159" s="538">
        <f t="shared" si="1185"/>
        <v>0</v>
      </c>
      <c r="CG159" s="538">
        <f t="shared" si="1186"/>
        <v>0</v>
      </c>
      <c r="CH159" s="538">
        <f t="shared" si="1187"/>
        <v>0</v>
      </c>
      <c r="CI159" s="104">
        <f t="shared" si="1188"/>
        <v>0</v>
      </c>
      <c r="CJ159" s="538">
        <f t="shared" si="1189"/>
        <v>0</v>
      </c>
      <c r="CK159" s="538">
        <f t="shared" si="1190"/>
        <v>0</v>
      </c>
      <c r="CL159" s="538">
        <f t="shared" si="1191"/>
        <v>0</v>
      </c>
      <c r="CM159" s="538">
        <f t="shared" si="1192"/>
        <v>0</v>
      </c>
      <c r="CN159" s="538">
        <f t="shared" si="1193"/>
        <v>0</v>
      </c>
      <c r="CO159" s="538">
        <f t="shared" si="1194"/>
        <v>2.0352000000000001</v>
      </c>
      <c r="CP159" s="538">
        <f t="shared" si="1195"/>
        <v>0</v>
      </c>
      <c r="CQ159" s="538">
        <f t="shared" si="1196"/>
        <v>0</v>
      </c>
      <c r="CR159" s="539">
        <f t="shared" si="1197"/>
        <v>0</v>
      </c>
      <c r="CS159" s="540">
        <f t="shared" si="1198"/>
        <v>0</v>
      </c>
      <c r="CT159" s="540">
        <f t="shared" si="1199"/>
        <v>0</v>
      </c>
      <c r="CU159" s="541">
        <f t="shared" si="1200"/>
        <v>0</v>
      </c>
      <c r="CV159" s="538">
        <f t="shared" si="1201"/>
        <v>0</v>
      </c>
      <c r="CW159" s="538">
        <f t="shared" si="1202"/>
        <v>0</v>
      </c>
      <c r="CX159" s="104">
        <f t="shared" si="1203"/>
        <v>0</v>
      </c>
      <c r="CY159" s="542">
        <f t="shared" si="1204"/>
        <v>0</v>
      </c>
      <c r="CZ159" s="538">
        <f t="shared" si="1205"/>
        <v>0</v>
      </c>
    </row>
    <row r="160" spans="1:104" ht="25" x14ac:dyDescent="0.25">
      <c r="A160" s="100" t="str">
        <f>'BOCA DE LOBO'!C150</f>
        <v>BL50-&gt;PV1-43</v>
      </c>
      <c r="B160" s="100" t="str">
        <f>'BOCA DE LOBO'!A150</f>
        <v>PV1-43</v>
      </c>
      <c r="C160" s="100" t="str">
        <f>VLOOKUP(A160,'BOCA DE LOBO'!C:F,3,0)</f>
        <v>EXISTENTE</v>
      </c>
      <c r="D160" s="100" t="str">
        <f>VLOOKUP(A160,'BOCA DE LOBO'!C:M,10,0)</f>
        <v>EXISTENTE</v>
      </c>
      <c r="E160" s="100">
        <f t="shared" si="1120"/>
        <v>1.7495999999999319</v>
      </c>
      <c r="F160" s="100">
        <f>VLOOKUP(A160,'BOCA DE LOBO'!$C$97:$P$172,2,0)</f>
        <v>1.9499999999999318</v>
      </c>
      <c r="G160" s="100">
        <f>VLOOKUP(A160,'BOCA DE LOBO'!$C$97:$L$172,4,0)</f>
        <v>5.01</v>
      </c>
      <c r="H160" s="101">
        <v>400</v>
      </c>
      <c r="I160" s="102">
        <f t="shared" si="1121"/>
        <v>1.9797999999999318</v>
      </c>
      <c r="J160" s="102">
        <f t="shared" si="1122"/>
        <v>0.49593989999998289</v>
      </c>
      <c r="K160" s="103">
        <v>0</v>
      </c>
      <c r="L160" s="104">
        <f t="shared" si="1123"/>
        <v>0</v>
      </c>
      <c r="M160" s="104">
        <f t="shared" si="1124"/>
        <v>0</v>
      </c>
      <c r="N160" s="104">
        <f t="shared" si="1125"/>
        <v>400</v>
      </c>
      <c r="O160" s="104">
        <f t="shared" si="1126"/>
        <v>0</v>
      </c>
      <c r="P160" s="105" t="s">
        <v>1999</v>
      </c>
      <c r="Q160" s="452" t="s">
        <v>2173</v>
      </c>
      <c r="R160" s="105"/>
      <c r="S160" s="105">
        <v>5</v>
      </c>
      <c r="T160" s="105">
        <v>5</v>
      </c>
      <c r="U160" s="104">
        <f t="shared" si="1127"/>
        <v>0.05</v>
      </c>
      <c r="V160" s="106">
        <f t="shared" si="1128"/>
        <v>0</v>
      </c>
      <c r="W160" s="106">
        <f t="shared" si="1129"/>
        <v>0</v>
      </c>
      <c r="X160" s="107">
        <f t="shared" si="1130"/>
        <v>0</v>
      </c>
      <c r="Y160" s="107">
        <f t="shared" si="1131"/>
        <v>0</v>
      </c>
      <c r="Z160" s="107">
        <f t="shared" si="1132"/>
        <v>1.9797999999999318</v>
      </c>
      <c r="AA160" s="107">
        <f t="shared" si="1133"/>
        <v>0</v>
      </c>
      <c r="AB160" s="108">
        <f t="shared" si="1134"/>
        <v>0</v>
      </c>
      <c r="AC160" s="109">
        <f t="shared" si="1135"/>
        <v>0</v>
      </c>
      <c r="AD160" s="109">
        <f t="shared" si="1136"/>
        <v>0</v>
      </c>
      <c r="AE160" s="109">
        <f t="shared" si="1137"/>
        <v>0</v>
      </c>
      <c r="AF160" s="109">
        <f t="shared" si="1138"/>
        <v>0</v>
      </c>
      <c r="AG160" s="109">
        <f t="shared" si="1139"/>
        <v>0</v>
      </c>
      <c r="AH160" s="109">
        <f t="shared" si="1140"/>
        <v>0</v>
      </c>
      <c r="AI160" s="537" t="str">
        <f t="shared" si="1141"/>
        <v>NÃO</v>
      </c>
      <c r="AJ160" s="104">
        <f t="shared" si="1142"/>
        <v>0</v>
      </c>
      <c r="AK160" s="104">
        <f t="shared" si="1143"/>
        <v>0</v>
      </c>
      <c r="AL160" s="104">
        <f t="shared" si="1144"/>
        <v>0</v>
      </c>
      <c r="AM160" s="102">
        <f t="shared" si="1145"/>
        <v>0</v>
      </c>
      <c r="AN160" s="106">
        <f t="shared" si="1146"/>
        <v>0</v>
      </c>
      <c r="AO160" s="104">
        <f t="shared" si="1147"/>
        <v>0</v>
      </c>
      <c r="AP160" s="104">
        <f t="shared" si="1148"/>
        <v>0</v>
      </c>
      <c r="AQ160" s="104">
        <f t="shared" si="1149"/>
        <v>0.7</v>
      </c>
      <c r="AR160" s="104">
        <f t="shared" si="1150"/>
        <v>0</v>
      </c>
      <c r="AS160" s="104">
        <f t="shared" si="1151"/>
        <v>0</v>
      </c>
      <c r="AT160" s="104">
        <f t="shared" si="1152"/>
        <v>0</v>
      </c>
      <c r="AU160" s="104">
        <f t="shared" si="1153"/>
        <v>0</v>
      </c>
      <c r="AV160" s="104">
        <f t="shared" si="1154"/>
        <v>0</v>
      </c>
      <c r="AW160" s="104">
        <f t="shared" si="1155"/>
        <v>0</v>
      </c>
      <c r="AX160" s="104">
        <f t="shared" si="1156"/>
        <v>0</v>
      </c>
      <c r="AY160" s="104">
        <f t="shared" si="1157"/>
        <v>0</v>
      </c>
      <c r="AZ160" s="104">
        <f t="shared" si="1158"/>
        <v>0</v>
      </c>
      <c r="BA160" s="104">
        <f t="shared" si="1159"/>
        <v>0</v>
      </c>
      <c r="BB160" s="104">
        <f t="shared" si="1160"/>
        <v>0</v>
      </c>
      <c r="BC160" s="104"/>
      <c r="BD160" s="104">
        <f t="shared" si="1161"/>
        <v>0</v>
      </c>
      <c r="BE160" s="108">
        <f t="shared" si="1162"/>
        <v>1.9797999999999318</v>
      </c>
      <c r="BF160" s="110">
        <f t="shared" si="1163"/>
        <v>0</v>
      </c>
      <c r="BG160" s="110">
        <f t="shared" si="1164"/>
        <v>5.01</v>
      </c>
      <c r="BH160" s="105" t="str">
        <f>VLOOKUP(A160,'BOCA DE LOBO'!$C$99:$P$172,7,0)</f>
        <v>BOCA DE LOBO EXISTENTE DUPLA</v>
      </c>
      <c r="BI160" s="104">
        <f t="shared" si="1165"/>
        <v>0</v>
      </c>
      <c r="BJ160" s="104">
        <f t="shared" si="1166"/>
        <v>0</v>
      </c>
      <c r="BK160" s="104">
        <f t="shared" si="1167"/>
        <v>0</v>
      </c>
      <c r="BL160" s="104">
        <f t="shared" si="1168"/>
        <v>0</v>
      </c>
      <c r="BM160" s="104">
        <f t="shared" si="1169"/>
        <v>0</v>
      </c>
      <c r="BN160" s="104">
        <f t="shared" si="1170"/>
        <v>0</v>
      </c>
      <c r="BO160" s="543">
        <f t="shared" si="1171"/>
        <v>0</v>
      </c>
      <c r="BP160" s="111"/>
      <c r="BQ160" s="108">
        <f t="shared" si="1172"/>
        <v>15.03</v>
      </c>
      <c r="BR160" s="108">
        <f t="shared" si="1173"/>
        <v>4.8075959999993172</v>
      </c>
      <c r="BS160" s="108">
        <f t="shared" si="1174"/>
        <v>0</v>
      </c>
      <c r="BT160" s="112"/>
      <c r="BU160" s="112" t="s">
        <v>1410</v>
      </c>
      <c r="BV160" s="538">
        <f t="shared" si="1175"/>
        <v>0</v>
      </c>
      <c r="BW160" s="538">
        <f t="shared" si="1176"/>
        <v>0</v>
      </c>
      <c r="BX160" s="538">
        <f t="shared" si="1177"/>
        <v>0</v>
      </c>
      <c r="BY160" s="538">
        <f t="shared" si="1178"/>
        <v>1.7495999999999319</v>
      </c>
      <c r="BZ160" s="538">
        <f t="shared" si="1179"/>
        <v>1.7495999999999319</v>
      </c>
      <c r="CA160" s="538">
        <f t="shared" si="1180"/>
        <v>0</v>
      </c>
      <c r="CB160" s="538">
        <f t="shared" si="1181"/>
        <v>0</v>
      </c>
      <c r="CC160" s="538">
        <f t="shared" si="1182"/>
        <v>0</v>
      </c>
      <c r="CD160" s="538">
        <f t="shared" si="1183"/>
        <v>0</v>
      </c>
      <c r="CE160" s="538">
        <f t="shared" si="1184"/>
        <v>0</v>
      </c>
      <c r="CF160" s="538">
        <f t="shared" si="1185"/>
        <v>0</v>
      </c>
      <c r="CG160" s="538">
        <f t="shared" si="1186"/>
        <v>0</v>
      </c>
      <c r="CH160" s="538">
        <f t="shared" si="1187"/>
        <v>0</v>
      </c>
      <c r="CI160" s="104">
        <f t="shared" si="1188"/>
        <v>0</v>
      </c>
      <c r="CJ160" s="538">
        <f t="shared" si="1189"/>
        <v>0</v>
      </c>
      <c r="CK160" s="538">
        <f t="shared" si="1190"/>
        <v>0</v>
      </c>
      <c r="CL160" s="538">
        <f t="shared" si="1191"/>
        <v>0</v>
      </c>
      <c r="CM160" s="538">
        <f t="shared" si="1192"/>
        <v>0</v>
      </c>
      <c r="CN160" s="538">
        <f t="shared" si="1193"/>
        <v>0</v>
      </c>
      <c r="CO160" s="538">
        <f t="shared" si="1194"/>
        <v>1.7495999999999319</v>
      </c>
      <c r="CP160" s="538">
        <f t="shared" si="1195"/>
        <v>0</v>
      </c>
      <c r="CQ160" s="538">
        <f t="shared" si="1196"/>
        <v>0</v>
      </c>
      <c r="CR160" s="539">
        <f t="shared" si="1197"/>
        <v>0</v>
      </c>
      <c r="CS160" s="540">
        <f t="shared" si="1198"/>
        <v>0</v>
      </c>
      <c r="CT160" s="540">
        <f t="shared" si="1199"/>
        <v>0</v>
      </c>
      <c r="CU160" s="541">
        <f t="shared" si="1200"/>
        <v>0</v>
      </c>
      <c r="CV160" s="538">
        <f t="shared" si="1201"/>
        <v>0</v>
      </c>
      <c r="CW160" s="538">
        <f t="shared" si="1202"/>
        <v>0</v>
      </c>
      <c r="CX160" s="104">
        <f t="shared" si="1203"/>
        <v>0</v>
      </c>
      <c r="CY160" s="542">
        <f t="shared" si="1204"/>
        <v>0</v>
      </c>
      <c r="CZ160" s="538">
        <f t="shared" si="1205"/>
        <v>0</v>
      </c>
    </row>
    <row r="161" spans="1:104" ht="25" x14ac:dyDescent="0.25">
      <c r="A161" s="100" t="str">
        <f>'BOCA DE LOBO'!C151</f>
        <v>BL51-&gt;PV2-43</v>
      </c>
      <c r="B161" s="100" t="str">
        <f>'BOCA DE LOBO'!A151</f>
        <v>PV2-43</v>
      </c>
      <c r="C161" s="100" t="str">
        <f>VLOOKUP(A161,'BOCA DE LOBO'!C:F,3,0)</f>
        <v>EXISTENTE</v>
      </c>
      <c r="D161" s="100" t="str">
        <f>VLOOKUP(A161,'BOCA DE LOBO'!C:M,10,0)</f>
        <v>EXISTENTE</v>
      </c>
      <c r="E161" s="100">
        <f t="shared" si="1120"/>
        <v>1.8625999999999954</v>
      </c>
      <c r="F161" s="100">
        <f>VLOOKUP(A161,'BOCA DE LOBO'!$C$97:$P$172,2,0)</f>
        <v>2.0049999999999955</v>
      </c>
      <c r="G161" s="100">
        <f>VLOOKUP(A161,'BOCA DE LOBO'!$C$97:$L$172,4,0)</f>
        <v>3.56</v>
      </c>
      <c r="H161" s="101">
        <v>400</v>
      </c>
      <c r="I161" s="102">
        <f t="shared" si="1121"/>
        <v>2.0637999999999952</v>
      </c>
      <c r="J161" s="102">
        <f t="shared" si="1122"/>
        <v>0.36735639999999914</v>
      </c>
      <c r="K161" s="103">
        <v>0</v>
      </c>
      <c r="L161" s="104">
        <f t="shared" si="1123"/>
        <v>0</v>
      </c>
      <c r="M161" s="104">
        <f t="shared" si="1124"/>
        <v>0</v>
      </c>
      <c r="N161" s="104">
        <f t="shared" si="1125"/>
        <v>400</v>
      </c>
      <c r="O161" s="104">
        <f t="shared" si="1126"/>
        <v>0</v>
      </c>
      <c r="P161" s="105" t="s">
        <v>1999</v>
      </c>
      <c r="Q161" s="452" t="s">
        <v>2173</v>
      </c>
      <c r="R161" s="105"/>
      <c r="S161" s="105">
        <v>5</v>
      </c>
      <c r="T161" s="105">
        <v>5</v>
      </c>
      <c r="U161" s="104">
        <f t="shared" si="1127"/>
        <v>0.05</v>
      </c>
      <c r="V161" s="106">
        <f t="shared" si="1128"/>
        <v>0</v>
      </c>
      <c r="W161" s="106">
        <f t="shared" si="1129"/>
        <v>0</v>
      </c>
      <c r="X161" s="107">
        <f t="shared" si="1130"/>
        <v>0</v>
      </c>
      <c r="Y161" s="107">
        <f t="shared" si="1131"/>
        <v>0</v>
      </c>
      <c r="Z161" s="107">
        <f t="shared" si="1132"/>
        <v>2.0637999999999952</v>
      </c>
      <c r="AA161" s="107">
        <f t="shared" si="1133"/>
        <v>0</v>
      </c>
      <c r="AB161" s="108">
        <f t="shared" si="1134"/>
        <v>0</v>
      </c>
      <c r="AC161" s="109">
        <f t="shared" si="1135"/>
        <v>0</v>
      </c>
      <c r="AD161" s="109">
        <f t="shared" si="1136"/>
        <v>0</v>
      </c>
      <c r="AE161" s="109">
        <f t="shared" si="1137"/>
        <v>0</v>
      </c>
      <c r="AF161" s="109">
        <f t="shared" si="1138"/>
        <v>0</v>
      </c>
      <c r="AG161" s="109">
        <f t="shared" si="1139"/>
        <v>0</v>
      </c>
      <c r="AH161" s="109">
        <f t="shared" si="1140"/>
        <v>0</v>
      </c>
      <c r="AI161" s="537" t="str">
        <f t="shared" si="1141"/>
        <v>NÃO</v>
      </c>
      <c r="AJ161" s="104">
        <f t="shared" si="1142"/>
        <v>0</v>
      </c>
      <c r="AK161" s="104">
        <f t="shared" si="1143"/>
        <v>0</v>
      </c>
      <c r="AL161" s="104">
        <f t="shared" si="1144"/>
        <v>0</v>
      </c>
      <c r="AM161" s="102">
        <f t="shared" si="1145"/>
        <v>0</v>
      </c>
      <c r="AN161" s="106">
        <f t="shared" si="1146"/>
        <v>0</v>
      </c>
      <c r="AO161" s="104">
        <f t="shared" si="1147"/>
        <v>0</v>
      </c>
      <c r="AP161" s="104">
        <f t="shared" si="1148"/>
        <v>0</v>
      </c>
      <c r="AQ161" s="104">
        <f t="shared" si="1149"/>
        <v>0.7</v>
      </c>
      <c r="AR161" s="104">
        <f t="shared" si="1150"/>
        <v>0</v>
      </c>
      <c r="AS161" s="104">
        <f t="shared" si="1151"/>
        <v>0</v>
      </c>
      <c r="AT161" s="104">
        <f t="shared" si="1152"/>
        <v>0</v>
      </c>
      <c r="AU161" s="104">
        <f t="shared" si="1153"/>
        <v>0</v>
      </c>
      <c r="AV161" s="104">
        <f t="shared" si="1154"/>
        <v>0</v>
      </c>
      <c r="AW161" s="104">
        <f t="shared" si="1155"/>
        <v>0</v>
      </c>
      <c r="AX161" s="104">
        <f t="shared" si="1156"/>
        <v>0</v>
      </c>
      <c r="AY161" s="104">
        <f t="shared" si="1157"/>
        <v>0</v>
      </c>
      <c r="AZ161" s="104">
        <f t="shared" si="1158"/>
        <v>0</v>
      </c>
      <c r="BA161" s="104">
        <f t="shared" si="1159"/>
        <v>0</v>
      </c>
      <c r="BB161" s="104">
        <f t="shared" si="1160"/>
        <v>0</v>
      </c>
      <c r="BC161" s="104"/>
      <c r="BD161" s="104">
        <f t="shared" si="1161"/>
        <v>0</v>
      </c>
      <c r="BE161" s="108">
        <f t="shared" si="1162"/>
        <v>2.0637999999999952</v>
      </c>
      <c r="BF161" s="110">
        <f t="shared" si="1163"/>
        <v>0</v>
      </c>
      <c r="BG161" s="110">
        <f t="shared" si="1164"/>
        <v>3.56</v>
      </c>
      <c r="BH161" s="105" t="str">
        <f>VLOOKUP(A161,'BOCA DE LOBO'!$C$99:$P$172,7,0)</f>
        <v>BOCA DE LOBO EXISTENTE DUPLA</v>
      </c>
      <c r="BI161" s="104">
        <f t="shared" si="1165"/>
        <v>0</v>
      </c>
      <c r="BJ161" s="104">
        <f t="shared" si="1166"/>
        <v>0</v>
      </c>
      <c r="BK161" s="104">
        <f t="shared" si="1167"/>
        <v>0</v>
      </c>
      <c r="BL161" s="104">
        <f t="shared" si="1168"/>
        <v>0</v>
      </c>
      <c r="BM161" s="104">
        <f t="shared" si="1169"/>
        <v>0</v>
      </c>
      <c r="BN161" s="104">
        <f t="shared" si="1170"/>
        <v>0</v>
      </c>
      <c r="BO161" s="543">
        <f t="shared" si="1171"/>
        <v>0</v>
      </c>
      <c r="BP161" s="111"/>
      <c r="BQ161" s="108">
        <f t="shared" si="1172"/>
        <v>10.68</v>
      </c>
      <c r="BR161" s="108">
        <f t="shared" si="1173"/>
        <v>4.0142559999999659</v>
      </c>
      <c r="BS161" s="108">
        <f t="shared" si="1174"/>
        <v>0</v>
      </c>
      <c r="BT161" s="112"/>
      <c r="BU161" s="112" t="s">
        <v>1410</v>
      </c>
      <c r="BV161" s="538">
        <f t="shared" si="1175"/>
        <v>0</v>
      </c>
      <c r="BW161" s="538">
        <f t="shared" si="1176"/>
        <v>0</v>
      </c>
      <c r="BX161" s="538">
        <f t="shared" si="1177"/>
        <v>0</v>
      </c>
      <c r="BY161" s="538">
        <f t="shared" si="1178"/>
        <v>1.8625999999999954</v>
      </c>
      <c r="BZ161" s="538">
        <f t="shared" si="1179"/>
        <v>1.8625999999999954</v>
      </c>
      <c r="CA161" s="538">
        <f t="shared" si="1180"/>
        <v>0</v>
      </c>
      <c r="CB161" s="538">
        <f t="shared" si="1181"/>
        <v>0</v>
      </c>
      <c r="CC161" s="538">
        <f t="shared" si="1182"/>
        <v>0</v>
      </c>
      <c r="CD161" s="538">
        <f t="shared" si="1183"/>
        <v>0</v>
      </c>
      <c r="CE161" s="538">
        <f t="shared" si="1184"/>
        <v>0</v>
      </c>
      <c r="CF161" s="538">
        <f t="shared" si="1185"/>
        <v>0</v>
      </c>
      <c r="CG161" s="538">
        <f t="shared" si="1186"/>
        <v>0</v>
      </c>
      <c r="CH161" s="538">
        <f t="shared" si="1187"/>
        <v>0</v>
      </c>
      <c r="CI161" s="104">
        <f t="shared" si="1188"/>
        <v>0</v>
      </c>
      <c r="CJ161" s="538">
        <f t="shared" si="1189"/>
        <v>0</v>
      </c>
      <c r="CK161" s="538">
        <f t="shared" si="1190"/>
        <v>0</v>
      </c>
      <c r="CL161" s="538">
        <f t="shared" si="1191"/>
        <v>0</v>
      </c>
      <c r="CM161" s="538">
        <f t="shared" si="1192"/>
        <v>0</v>
      </c>
      <c r="CN161" s="538">
        <f t="shared" si="1193"/>
        <v>0</v>
      </c>
      <c r="CO161" s="538">
        <f t="shared" si="1194"/>
        <v>1.8625999999999954</v>
      </c>
      <c r="CP161" s="538">
        <f t="shared" si="1195"/>
        <v>0</v>
      </c>
      <c r="CQ161" s="538">
        <f t="shared" si="1196"/>
        <v>0</v>
      </c>
      <c r="CR161" s="539">
        <f t="shared" si="1197"/>
        <v>0</v>
      </c>
      <c r="CS161" s="540">
        <f t="shared" si="1198"/>
        <v>0</v>
      </c>
      <c r="CT161" s="540">
        <f t="shared" si="1199"/>
        <v>0</v>
      </c>
      <c r="CU161" s="541">
        <f t="shared" si="1200"/>
        <v>0</v>
      </c>
      <c r="CV161" s="538">
        <f t="shared" si="1201"/>
        <v>0</v>
      </c>
      <c r="CW161" s="538">
        <f t="shared" si="1202"/>
        <v>0</v>
      </c>
      <c r="CX161" s="104">
        <f t="shared" si="1203"/>
        <v>0</v>
      </c>
      <c r="CY161" s="542">
        <f t="shared" si="1204"/>
        <v>0</v>
      </c>
      <c r="CZ161" s="538">
        <f t="shared" si="1205"/>
        <v>0</v>
      </c>
    </row>
    <row r="162" spans="1:104" ht="37.5" x14ac:dyDescent="0.25">
      <c r="A162" s="100" t="str">
        <f>'BOCA DE LOBO'!C152</f>
        <v>BL52-&gt;PV1-44</v>
      </c>
      <c r="B162" s="100" t="str">
        <f>'BOCA DE LOBO'!A152</f>
        <v>PV1-44</v>
      </c>
      <c r="C162" s="100" t="str">
        <f>VLOOKUP(A162,'BOCA DE LOBO'!C:F,3,0)</f>
        <v>EXISTENTE</v>
      </c>
      <c r="D162" s="100" t="str">
        <f>VLOOKUP(A162,'BOCA DE LOBO'!C:M,10,0)</f>
        <v>AMPLIADA</v>
      </c>
      <c r="E162" s="100">
        <f t="shared" si="1120"/>
        <v>1.6439999999999999</v>
      </c>
      <c r="F162" s="100">
        <f>VLOOKUP(A162,'BOCA DE LOBO'!$C$97:$P$172,2,0)</f>
        <v>1.75</v>
      </c>
      <c r="G162" s="100">
        <f>VLOOKUP(A162,'BOCA DE LOBO'!$C$97:$L$172,4,0)</f>
        <v>2.65</v>
      </c>
      <c r="H162" s="101">
        <v>400</v>
      </c>
      <c r="I162" s="102">
        <f t="shared" si="1121"/>
        <v>1.8270000000000002</v>
      </c>
      <c r="J162" s="102">
        <f t="shared" si="1122"/>
        <v>0.24207750000000003</v>
      </c>
      <c r="K162" s="103">
        <v>0</v>
      </c>
      <c r="L162" s="104">
        <f t="shared" si="1123"/>
        <v>0</v>
      </c>
      <c r="M162" s="104">
        <f t="shared" si="1124"/>
        <v>0</v>
      </c>
      <c r="N162" s="104">
        <f t="shared" si="1125"/>
        <v>400</v>
      </c>
      <c r="O162" s="104">
        <f t="shared" si="1126"/>
        <v>0</v>
      </c>
      <c r="P162" s="105" t="s">
        <v>1999</v>
      </c>
      <c r="Q162" s="452" t="s">
        <v>2173</v>
      </c>
      <c r="R162" s="105"/>
      <c r="S162" s="105">
        <v>5</v>
      </c>
      <c r="T162" s="105">
        <v>5</v>
      </c>
      <c r="U162" s="104">
        <f t="shared" si="1127"/>
        <v>0.05</v>
      </c>
      <c r="V162" s="106">
        <f t="shared" si="1128"/>
        <v>0</v>
      </c>
      <c r="W162" s="106">
        <f t="shared" si="1129"/>
        <v>0</v>
      </c>
      <c r="X162" s="107">
        <f t="shared" si="1130"/>
        <v>0</v>
      </c>
      <c r="Y162" s="107">
        <f t="shared" si="1131"/>
        <v>0</v>
      </c>
      <c r="Z162" s="107">
        <f t="shared" si="1132"/>
        <v>1.8270000000000002</v>
      </c>
      <c r="AA162" s="107">
        <f t="shared" si="1133"/>
        <v>0</v>
      </c>
      <c r="AB162" s="108">
        <f t="shared" si="1134"/>
        <v>0</v>
      </c>
      <c r="AC162" s="109">
        <f t="shared" si="1135"/>
        <v>0</v>
      </c>
      <c r="AD162" s="109">
        <f t="shared" si="1136"/>
        <v>0</v>
      </c>
      <c r="AE162" s="109">
        <f t="shared" si="1137"/>
        <v>0</v>
      </c>
      <c r="AF162" s="109">
        <f t="shared" si="1138"/>
        <v>0</v>
      </c>
      <c r="AG162" s="109">
        <f t="shared" si="1139"/>
        <v>0</v>
      </c>
      <c r="AH162" s="109">
        <f t="shared" si="1140"/>
        <v>0</v>
      </c>
      <c r="AI162" s="537" t="str">
        <f t="shared" si="1141"/>
        <v>NÃO</v>
      </c>
      <c r="AJ162" s="104">
        <f t="shared" si="1142"/>
        <v>0</v>
      </c>
      <c r="AK162" s="104">
        <f t="shared" si="1143"/>
        <v>0</v>
      </c>
      <c r="AL162" s="104">
        <f t="shared" si="1144"/>
        <v>0</v>
      </c>
      <c r="AM162" s="102">
        <f t="shared" si="1145"/>
        <v>0</v>
      </c>
      <c r="AN162" s="106">
        <f t="shared" si="1146"/>
        <v>0</v>
      </c>
      <c r="AO162" s="104">
        <f t="shared" si="1147"/>
        <v>0</v>
      </c>
      <c r="AP162" s="104">
        <f t="shared" si="1148"/>
        <v>0</v>
      </c>
      <c r="AQ162" s="104">
        <f t="shared" si="1149"/>
        <v>0.7</v>
      </c>
      <c r="AR162" s="104">
        <f t="shared" si="1150"/>
        <v>0</v>
      </c>
      <c r="AS162" s="104">
        <f t="shared" si="1151"/>
        <v>0</v>
      </c>
      <c r="AT162" s="104">
        <f t="shared" si="1152"/>
        <v>0</v>
      </c>
      <c r="AU162" s="104">
        <f t="shared" si="1153"/>
        <v>0</v>
      </c>
      <c r="AV162" s="104">
        <f t="shared" si="1154"/>
        <v>0</v>
      </c>
      <c r="AW162" s="104">
        <f t="shared" si="1155"/>
        <v>0</v>
      </c>
      <c r="AX162" s="104">
        <f t="shared" si="1156"/>
        <v>0</v>
      </c>
      <c r="AY162" s="104">
        <f t="shared" si="1157"/>
        <v>0</v>
      </c>
      <c r="AZ162" s="104">
        <f t="shared" si="1158"/>
        <v>0</v>
      </c>
      <c r="BA162" s="104">
        <f t="shared" si="1159"/>
        <v>0</v>
      </c>
      <c r="BB162" s="104">
        <f t="shared" si="1160"/>
        <v>0</v>
      </c>
      <c r="BC162" s="104"/>
      <c r="BD162" s="104">
        <f t="shared" si="1161"/>
        <v>0</v>
      </c>
      <c r="BE162" s="108">
        <f t="shared" si="1162"/>
        <v>1.8270000000000002</v>
      </c>
      <c r="BF162" s="110">
        <f t="shared" si="1163"/>
        <v>0</v>
      </c>
      <c r="BG162" s="110">
        <f t="shared" si="1164"/>
        <v>2.65</v>
      </c>
      <c r="BH162" s="105" t="str">
        <f>VLOOKUP(A162,'BOCA DE LOBO'!$C$99:$P$172,7,0)</f>
        <v>BOCA DE LOBO DUPLA EXISTENTE COM BOCA DE LOBO SIMPLES PROJETADA</v>
      </c>
      <c r="BI162" s="104">
        <f t="shared" si="1165"/>
        <v>0</v>
      </c>
      <c r="BJ162" s="104">
        <f t="shared" si="1166"/>
        <v>0</v>
      </c>
      <c r="BK162" s="104">
        <f t="shared" si="1167"/>
        <v>1</v>
      </c>
      <c r="BL162" s="104">
        <f t="shared" si="1168"/>
        <v>0</v>
      </c>
      <c r="BM162" s="104">
        <f t="shared" si="1169"/>
        <v>0</v>
      </c>
      <c r="BN162" s="104">
        <f t="shared" si="1170"/>
        <v>0</v>
      </c>
      <c r="BO162" s="543">
        <f t="shared" si="1171"/>
        <v>0</v>
      </c>
      <c r="BP162" s="111"/>
      <c r="BQ162" s="108">
        <f t="shared" si="1172"/>
        <v>7.9499999999999993</v>
      </c>
      <c r="BR162" s="108">
        <f t="shared" si="1173"/>
        <v>1.733100000000001</v>
      </c>
      <c r="BS162" s="108">
        <f t="shared" si="1174"/>
        <v>0</v>
      </c>
      <c r="BT162" s="112"/>
      <c r="BU162" s="112" t="s">
        <v>1410</v>
      </c>
      <c r="BV162" s="538">
        <f t="shared" si="1175"/>
        <v>6.0209855999999986</v>
      </c>
      <c r="BW162" s="538">
        <f t="shared" si="1176"/>
        <v>3.6623999999999994</v>
      </c>
      <c r="BX162" s="538">
        <f t="shared" si="1177"/>
        <v>1.3923999999999999</v>
      </c>
      <c r="BY162" s="538">
        <f t="shared" si="1178"/>
        <v>1.6439999999999999</v>
      </c>
      <c r="BZ162" s="538">
        <f t="shared" si="1179"/>
        <v>1.6439999999999999</v>
      </c>
      <c r="CA162" s="538">
        <f t="shared" si="1180"/>
        <v>0</v>
      </c>
      <c r="CB162" s="538">
        <f t="shared" si="1181"/>
        <v>0</v>
      </c>
      <c r="CC162" s="538">
        <f t="shared" si="1182"/>
        <v>5.4935999999999989</v>
      </c>
      <c r="CD162" s="538">
        <f t="shared" si="1183"/>
        <v>0.52738559999999957</v>
      </c>
      <c r="CE162" s="538">
        <f t="shared" si="1184"/>
        <v>0</v>
      </c>
      <c r="CF162" s="538">
        <f t="shared" si="1185"/>
        <v>0</v>
      </c>
      <c r="CG162" s="538">
        <f t="shared" si="1186"/>
        <v>0</v>
      </c>
      <c r="CH162" s="538">
        <f t="shared" si="1187"/>
        <v>0</v>
      </c>
      <c r="CI162" s="104">
        <f t="shared" si="1188"/>
        <v>0.252</v>
      </c>
      <c r="CJ162" s="538">
        <f t="shared" si="1189"/>
        <v>3.4798799999999988</v>
      </c>
      <c r="CK162" s="538">
        <f t="shared" si="1190"/>
        <v>3.4798799999999988</v>
      </c>
      <c r="CL162" s="538">
        <f t="shared" si="1191"/>
        <v>0</v>
      </c>
      <c r="CM162" s="538">
        <f t="shared" si="1192"/>
        <v>0</v>
      </c>
      <c r="CN162" s="538">
        <f t="shared" si="1193"/>
        <v>1.68</v>
      </c>
      <c r="CO162" s="538">
        <f t="shared" si="1194"/>
        <v>1.6439999999999999</v>
      </c>
      <c r="CP162" s="538">
        <f t="shared" si="1195"/>
        <v>5.04</v>
      </c>
      <c r="CQ162" s="538">
        <f t="shared" si="1196"/>
        <v>0.48383999999999966</v>
      </c>
      <c r="CR162" s="539">
        <f t="shared" si="1197"/>
        <v>0.62919999999999998</v>
      </c>
      <c r="CS162" s="540">
        <f t="shared" si="1198"/>
        <v>3.3537600000000001E-2</v>
      </c>
      <c r="CT162" s="540">
        <f t="shared" si="1199"/>
        <v>0.15421000000000001</v>
      </c>
      <c r="CU162" s="541">
        <f t="shared" si="1200"/>
        <v>4.2744</v>
      </c>
      <c r="CV162" s="538">
        <f t="shared" si="1201"/>
        <v>0.72741599999999995</v>
      </c>
      <c r="CW162" s="538">
        <f t="shared" si="1202"/>
        <v>11.381879999999999</v>
      </c>
      <c r="CX162" s="104">
        <f t="shared" si="1203"/>
        <v>1.68</v>
      </c>
      <c r="CY162" s="542">
        <f t="shared" si="1204"/>
        <v>0.84</v>
      </c>
      <c r="CZ162" s="538">
        <f t="shared" si="1205"/>
        <v>0</v>
      </c>
    </row>
    <row r="163" spans="1:104" ht="37.5" x14ac:dyDescent="0.25">
      <c r="A163" s="100" t="str">
        <f>'BOCA DE LOBO'!C153</f>
        <v>BL53-&gt;PV2-44</v>
      </c>
      <c r="B163" s="100" t="str">
        <f>'BOCA DE LOBO'!A153</f>
        <v>PV2-44</v>
      </c>
      <c r="C163" s="100" t="str">
        <f>VLOOKUP(A163,'BOCA DE LOBO'!C:F,3,0)</f>
        <v>EXISTENTE</v>
      </c>
      <c r="D163" s="100" t="str">
        <f>VLOOKUP(A163,'BOCA DE LOBO'!C:M,10,0)</f>
        <v>AMPLIADA</v>
      </c>
      <c r="E163" s="100">
        <f t="shared" ref="E163" si="1206">IF(F163-G163*4%&lt;2.5,F163-G163*4%,2.5)</f>
        <v>2.0896000000000456</v>
      </c>
      <c r="F163" s="100">
        <f>VLOOKUP(A163,'BOCA DE LOBO'!$C$97:$P$172,2,0)</f>
        <v>2.2000000000000455</v>
      </c>
      <c r="G163" s="100">
        <f>VLOOKUP(A163,'BOCA DE LOBO'!$C$97:$L$172,4,0)</f>
        <v>2.76</v>
      </c>
      <c r="H163" s="101">
        <v>400</v>
      </c>
      <c r="I163" s="102">
        <f t="shared" ref="I163" si="1207">IF(H163=400,((E163+F163)/2)+0.08+U163,IF(H163=500,((E163+F163)/2)+0.1+U163,IF(H163=600,((E163+F163)/2)+0.12+U163,IF(H163=800,((E163+F163)/2)+0.16+U163,IF(H163=1000,((E163+F163)/2)+0.2+U163,IF(H163=1200,((E163+F163)/2)+0.24+U163,IF(H163=1500,((E163+F163)/2)+0.3+U163,IF(H163&gt;1500,((E163+F163)/2)+0.4+U163))))))))</f>
        <v>2.2748000000000452</v>
      </c>
      <c r="J163" s="102">
        <f t="shared" ref="J163" si="1208">IF(I163&gt;=1.25,G163*I163/20,0)</f>
        <v>0.31392240000000621</v>
      </c>
      <c r="K163" s="103">
        <v>0</v>
      </c>
      <c r="L163" s="104">
        <f t="shared" ref="L163" si="1209">IF(D163&lt;&gt;"PROJETADA",0,IF(H163=400,1,0)+IF(H163=500,1.2,0)+IF(H163=600,1.4,0)+IF(H163=800,1.7,0)+IF(H163=1000,2,0)+IF(H163=1200,2.2,0)+IF(H163=1500,2.6,0)+IF(H163=1650,3,0)+IF(H163=1800,3.2,0)+IF(H163=2000,3.4,0)+IF(H163=2200,3.6,0)+IF(H163=2400,3.8,0)+IF(H163=2600,4,0)+IF(H163=3000,4.4,0))</f>
        <v>0</v>
      </c>
      <c r="M163" s="104">
        <f t="shared" ref="M163" si="1210">2*K163*I163+L163</f>
        <v>0</v>
      </c>
      <c r="N163" s="104">
        <f t="shared" ref="N163" si="1211">IF(OR(D163="EXISTENTE",D163="AMPLIADA"),400,0)</f>
        <v>400</v>
      </c>
      <c r="O163" s="104">
        <f t="shared" ref="O163" si="1212">IF(P163="TERRENO NATURAL",0,M163*G163)</f>
        <v>0</v>
      </c>
      <c r="P163" s="105" t="s">
        <v>1999</v>
      </c>
      <c r="Q163" s="452" t="s">
        <v>2173</v>
      </c>
      <c r="R163" s="105"/>
      <c r="S163" s="105">
        <v>5</v>
      </c>
      <c r="T163" s="105">
        <v>5</v>
      </c>
      <c r="U163" s="104">
        <f t="shared" ref="U163" si="1213">IF(H163=400,0.05,0)+IF(H163=500,0.05,0)+IF(H163=600,0.1,0)+IF(H163=800,0.1,0)+IF(H163=1000,0.15,0)+IF(H163=1200,0.15,0)+IF(H163=1500,0.2,0)+IF(H163=1650,0.2,0)+IF(H163=1800,0.2,0)+IF(H163=2000,0.25,0)+IF(H163=2200,0.25,0)+IF(H163=2400,0.25,0)+IF(H163=2600,0.25,0)+IF(H163=3000,0.25,0)</f>
        <v>0.05</v>
      </c>
      <c r="V163" s="106">
        <f t="shared" ref="V163" si="1214">IF(L163=0,0,IF("EXISTENTE"=C163,0,IFERROR((PI()*(N163/1000)*(N163/1000)/4)*G163,0)))</f>
        <v>0</v>
      </c>
      <c r="W163" s="106">
        <f t="shared" ref="W163" si="1215">IF(O163=0,0,((((K163*I163)*I163)/2)*2+L163*I163)*G163-V163+AO163)</f>
        <v>0</v>
      </c>
      <c r="X163" s="107">
        <f t="shared" ref="X163" si="1216">W163-SUM(AC163:AJ163)</f>
        <v>0</v>
      </c>
      <c r="Y163" s="107">
        <f t="shared" ref="Y163" si="1217">IF(R163=1,IF(N163=0,I163+0.4,0.4),0)</f>
        <v>0</v>
      </c>
      <c r="Z163" s="107">
        <f t="shared" ref="Z163" si="1218">IF(Y163&gt;0.5,0,IF(S163&lt;I163,S163,I163))</f>
        <v>2.2748000000000452</v>
      </c>
      <c r="AA163" s="107">
        <f t="shared" ref="AA163" si="1219">I163-Z163</f>
        <v>0</v>
      </c>
      <c r="AB163" s="108">
        <f t="shared" ref="AB163" si="1220">IF(P163="ASFALTO",IF(D163="PROJETADA",O163,IF(D163="EXISTENTE",0,O163/2)),0)</f>
        <v>0</v>
      </c>
      <c r="AC163" s="109">
        <f t="shared" ref="AC163" si="1221">IF(Y163=0,0,IF(Y163=0.4,IF(L163&lt;=1.5,IF(Z163+0.4&gt;=1.5,0,L163*G163*0.4),0),IF(L163&lt;=1.5,IF(Y163&gt;=1.5,M163*G163*1.5,L163*G163*(Y163)),0)+IF(S163&lt;I163+0.4,0,IF(AND(Y163&lt;=1.5,L163&lt;=1.5),-V163,0))))</f>
        <v>0</v>
      </c>
      <c r="AD163" s="109">
        <f t="shared" ref="AD163" si="1222">IF(Y163=0,0,IF(Y163=0.4,IF(L163&lt;=1.5,IF(OR(Z163+0.4&gt;=3,Z163+0.4&lt;1.5),0,L163*G163*0.4),0),IF(IF(L163&lt;=1.5,IF(Y163&gt;=3,M163*G163*1.5,L163*G163*(Y163-1.5)),0)&lt;0,0,IF(L163&lt;=1.5,IF(Y163&gt;=3,M163*G163*1.5,L163*G163*(Y163-1.5)),0))+IF(S163&lt;I163+0.4,0,IF(AND(Y163&lt;=3,L163&lt;=1.5),-V163,0))))</f>
        <v>0</v>
      </c>
      <c r="AE163" s="109">
        <f t="shared" ref="AE163" si="1223">IF(Y163=0,0,IF(Y163=0.4,IF(L163&lt;=1.5,IF(OR(Z163+0.4&gt;=4.5,Z163+0.4&lt;3),0,L163*G163*0.4),0),IF(IF(L163&lt;=1.5,IF(Y163&gt;=4.5,M163*G163*1.5,L163*G163*(Y163-3)),0)&lt;0,0,IF(L163&lt;=1.5,IF(Y163&gt;=4.5,M163*G163*1.5,L163*G163*(Y163-3)),0))+IF(S163&lt;I163+0.4,0,IF(AND(Y163&lt;=4.5,L163&lt;=1.5),-V163,0))))</f>
        <v>0</v>
      </c>
      <c r="AF163" s="109">
        <f t="shared" ref="AF163" si="1224">IF(L163&lt;=1.5,IF(Z163&gt;=1.5,M163*G163*1.5,L163*G163*Z163),0)+IF(S163&lt;I163,0,IF(AND(Z163&lt;=1.5,L163&lt;=1.5),-V163,0))-V163</f>
        <v>0</v>
      </c>
      <c r="AG163" s="109">
        <f t="shared" ref="AG163" si="1225">IF(IF(L163&lt;=1.5,IF(Z163&gt;=3,M163*G163*1.5,L163*G163*(Z163-1.5)),0)&lt;0,0,IF(L163&lt;=1.5,IF(Z163&gt;=3,M163*G163*1.5,L163*G163*(Z163-1.5)),0))</f>
        <v>0</v>
      </c>
      <c r="AH163" s="109">
        <f t="shared" ref="AH163" si="1226">IF(IF(L163&lt;=1.5,IF(Z163&gt;=4.5,M163*G163*1.5,L163*G163*(Z163-3)),0)&lt;0,0,IF(L163&lt;=1.5,IF(Z163&gt;=4.5,M163*G163*1.5,L163*G163*(Z163-3)),0))+IF(S163&lt;I163,0,IF(AND(Z163&lt;=4.5,Z163&gt;3,L163&lt;=1.5),-V163,0))</f>
        <v>0</v>
      </c>
      <c r="AI163" s="537" t="str">
        <f t="shared" ref="AI163" si="1227">IF(I163&gt;S163,"SIM","NÃO")</f>
        <v>NÃO</v>
      </c>
      <c r="AJ163" s="104">
        <f t="shared" ref="AJ163" si="1228">W163-SUM(AC163:AH163)</f>
        <v>0</v>
      </c>
      <c r="AK163" s="104">
        <f t="shared" ref="AK163" si="1229">IF(I163-T163&lt;0,0,(I163-T163)*G163)/75</f>
        <v>0</v>
      </c>
      <c r="AL163" s="104">
        <f t="shared" ref="AL163" si="1230">IF(L163=0,0,G163*L163*I163-PI()*(H163/1000)*(H163/1000)/4*G163+AO163)</f>
        <v>0</v>
      </c>
      <c r="AM163" s="102">
        <f t="shared" ref="AM163" si="1231">IF(L163&lt;1.5,L163*G163*IF(H163&lt;=500,0.05,IF(H163&lt;=800,0.1,IF(H163&lt;=1200,0.15,IF(H163&gt;=1500,0.2)))),0)</f>
        <v>0</v>
      </c>
      <c r="AN163" s="106">
        <f t="shared" ref="AN163" si="1232">IF(L163&gt;=1.5,L163*G163*IF(H163&lt;=500,0.05,IF(H163&lt;=800,0.1,IF(H163&lt;=1200,0.15,IF(H163&gt;=1500,0.2)))),0)</f>
        <v>0</v>
      </c>
      <c r="AO163" s="104">
        <f t="shared" ref="AO163" si="1233">IF(R163=1,0.4*G163*L163,0)</f>
        <v>0</v>
      </c>
      <c r="AP163" s="104">
        <f t="shared" ref="AP163" si="1234">IF(AO163&lt;SUM(AF163:AH163),0,AO163)</f>
        <v>0</v>
      </c>
      <c r="AQ163" s="104">
        <f t="shared" ref="AQ163" si="1235">H163/1000+0.3</f>
        <v>0.7</v>
      </c>
      <c r="AR163" s="104">
        <f t="shared" ref="AR163" si="1236">IF(D163&lt;&gt;"PROJETADA",0,AQ163*L163*G163-PI()*(H163/1000*H163/1000)/4*G163)</f>
        <v>0</v>
      </c>
      <c r="AS163" s="104">
        <f t="shared" ref="AS163" si="1237">IF(AR163&lt;SUM(AF163:AH163),0,AR163)</f>
        <v>0</v>
      </c>
      <c r="AT163" s="104">
        <f t="shared" ref="AT163" si="1238">IF(P163="ASFALTO",0.15*G163*L163,0)</f>
        <v>0</v>
      </c>
      <c r="AU163" s="104">
        <f t="shared" ref="AU163" si="1239">AT163</f>
        <v>0</v>
      </c>
      <c r="AV163" s="104">
        <f t="shared" ref="AV163" si="1240">IF(P163="ASFALTO",0.03*G163*L163,0)</f>
        <v>0</v>
      </c>
      <c r="AW163" s="104">
        <f t="shared" ref="AW163" si="1241">AL163-AO163-SUM(AM163:AN163)-AT163-AU163-AR163</f>
        <v>0</v>
      </c>
      <c r="AX163" s="104">
        <f t="shared" ref="AX163" si="1242">SUM(AF163:AH163)-AO163-AT163-AR163</f>
        <v>0</v>
      </c>
      <c r="AY163" s="104">
        <f t="shared" ref="AY163" si="1243">SMALL(AW163:AX163,1)</f>
        <v>0</v>
      </c>
      <c r="AZ163" s="104">
        <f t="shared" ref="AZ163" si="1244">AW163-AY163</f>
        <v>0</v>
      </c>
      <c r="BA163" s="104">
        <f t="shared" si="1159"/>
        <v>0</v>
      </c>
      <c r="BB163" s="104">
        <f t="shared" ref="BB163" si="1245">AZ163-BA163</f>
        <v>0</v>
      </c>
      <c r="BC163" s="104"/>
      <c r="BD163" s="104">
        <f t="shared" ref="BD163" si="1246">IF(AO163&gt;0,4%*(AO163+AT163),0)</f>
        <v>0</v>
      </c>
      <c r="BE163" s="108">
        <f t="shared" ref="BE163" si="1247">IF(H163=400,I163,0)</f>
        <v>2.2748000000000452</v>
      </c>
      <c r="BF163" s="110">
        <f t="shared" ref="BF163" si="1248">IF(BE163&lt;=1.75,AND(BE163&gt;0)*G163,0)</f>
        <v>0</v>
      </c>
      <c r="BG163" s="110">
        <f t="shared" ref="BG163" si="1249">IF(BE163&lt;=3,AND(BE163&gt;1.75)*G163,0)</f>
        <v>2.76</v>
      </c>
      <c r="BH163" s="105" t="str">
        <f>VLOOKUP(A163,'BOCA DE LOBO'!$C$99:$P$172,7,0)</f>
        <v>BOCA DE LOBO DUPLA EXISTENTE COM BOCA DE LOBO SIMPLES PROJETADA</v>
      </c>
      <c r="BI163" s="104">
        <f t="shared" ref="BI163" si="1250">IF(BH163=$BI$107,1,0)</f>
        <v>0</v>
      </c>
      <c r="BJ163" s="104">
        <f t="shared" ref="BJ163" si="1251">IF(BH163=$BJ$107,1,0)</f>
        <v>0</v>
      </c>
      <c r="BK163" s="104">
        <f t="shared" ref="BK163" si="1252">IF(BH163=$BK$107,1,0)</f>
        <v>1</v>
      </c>
      <c r="BL163" s="104">
        <f t="shared" ref="BL163" si="1253">IF(BH163=$BL$107,1,0)</f>
        <v>0</v>
      </c>
      <c r="BM163" s="104">
        <f t="shared" ref="BM163" si="1254">IF(BH163=$BM$107,1,0)</f>
        <v>0</v>
      </c>
      <c r="BN163" s="104">
        <f t="shared" ref="BN163" si="1255">IF(BH163=$BN$107,1,0)</f>
        <v>0</v>
      </c>
      <c r="BO163" s="543">
        <f t="shared" ref="BO163" si="1256">IF(BH163=$BO$107,1,0)</f>
        <v>0</v>
      </c>
      <c r="BP163" s="111"/>
      <c r="BQ163" s="108">
        <f t="shared" ref="BQ163" si="1257">IF(L163&lt;=1.5,IF(I163+IF(R163=1,0.5,0)&lt;1.5,(I163+IF(R163=1,0.5,0))*G163*2,G163*2*1.5),0)</f>
        <v>8.2799999999999994</v>
      </c>
      <c r="BR163" s="108">
        <f t="shared" ref="BR163" si="1258">IF(L163&lt;=1.5,IF(AND(I163+IF(R163=1,0.5,0)&lt;3,I163+IF(R163=1,0.5,0)&gt;1.5),(I163+IF(R163=1,0.5,0)-1.5)*G163*2,IF(I163+IF(R163=1,0.5,0)&gt;=3,(G163*2*1.5),0)),0)</f>
        <v>4.2768960000002494</v>
      </c>
      <c r="BS163" s="108">
        <f t="shared" ref="BS163" si="1259">IF(L163&lt;=1.5,IF(AND(I163+IF(R163=1,0.5,0)&lt;4.5,I163+IF(R163=1,0.5,0)&gt;3),(I163+IF(R163=1,0.5,0)-3)*G163*2,IF(I163+IF(R163=1,0.5,0)&gt;=4.5,(G163*2*1.5),0)),0)</f>
        <v>0</v>
      </c>
      <c r="BT163" s="112"/>
      <c r="BU163" s="112" t="s">
        <v>1410</v>
      </c>
      <c r="BV163" s="538">
        <f t="shared" si="1175"/>
        <v>7.6529510400001657</v>
      </c>
      <c r="BW163" s="538">
        <f t="shared" si="1176"/>
        <v>3.6623999999999994</v>
      </c>
      <c r="BX163" s="538">
        <f t="shared" si="1177"/>
        <v>1.3923999999999999</v>
      </c>
      <c r="BY163" s="538">
        <f t="shared" ref="BY163" si="1260">E163</f>
        <v>2.0896000000000456</v>
      </c>
      <c r="BZ163" s="538">
        <f t="shared" ref="BZ163" si="1261">IF(Y163&gt;0.5,0,IF(S163&lt;E163,S163,E163))</f>
        <v>2.0896000000000456</v>
      </c>
      <c r="CA163" s="538">
        <f t="shared" ref="CA163" si="1262">IF(Y163&gt;0.5,BY163+0.5,Y163)</f>
        <v>0</v>
      </c>
      <c r="CB163" s="538">
        <f t="shared" ref="CB163" si="1263">IF(S163&gt;E163,0,E163-S163)</f>
        <v>0</v>
      </c>
      <c r="CC163" s="538">
        <f t="shared" ref="CC163" si="1264">IF(BZ163&gt;1.5,BW163*1.5,BW163*BZ163)</f>
        <v>5.4935999999999989</v>
      </c>
      <c r="CD163" s="538">
        <f t="shared" ref="CD163" si="1265">IF(BZ163&gt;1.5,BW163*(BZ163-1.5),0)</f>
        <v>2.1593510400001668</v>
      </c>
      <c r="CE163" s="538">
        <f t="shared" ref="CE163" si="1266">IF(CA163&gt;1.5,BW163*1.5,BW163*CA163)</f>
        <v>0</v>
      </c>
      <c r="CF163" s="538">
        <f t="shared" ref="CF163" si="1267">IF(CA163&gt;1.5,BW163*(CA163-1.5),0)</f>
        <v>0</v>
      </c>
      <c r="CG163" s="538">
        <f t="shared" ref="CG163" si="1268">BV163-SUM(CC163:CF163)</f>
        <v>0</v>
      </c>
      <c r="CH163" s="538">
        <f t="shared" ref="CH163" si="1269">SUM(CC163:CG163)-BV163</f>
        <v>0</v>
      </c>
      <c r="CI163" s="104">
        <f t="shared" si="1188"/>
        <v>0.252</v>
      </c>
      <c r="CJ163" s="538">
        <f t="shared" ref="CJ163" si="1270">(BW163-BX163)*(BY163+IF(CA163&gt;=0.4,0.4,0))-CI163</f>
        <v>4.4913920000001033</v>
      </c>
      <c r="CK163" s="538">
        <f t="shared" si="1190"/>
        <v>4.4913920000001033</v>
      </c>
      <c r="CL163" s="538">
        <f t="shared" ref="CL163" si="1271">CJ163-CK163</f>
        <v>0</v>
      </c>
      <c r="CM163" s="538">
        <f t="shared" ref="CM163" si="1272">IF(CA163&gt;0,0.5*4%*BW163,0)</f>
        <v>0</v>
      </c>
      <c r="CN163" s="538">
        <f t="shared" si="1193"/>
        <v>1.68</v>
      </c>
      <c r="CO163" s="538">
        <f t="shared" ref="CO163" si="1273">IF(CA163&gt;0,BY163+0.5,BY163)</f>
        <v>2.0896000000000456</v>
      </c>
      <c r="CP163" s="538">
        <f t="shared" ref="CP163" si="1274">IF(CO163&gt;=1.5,CN163*1.5*2,CN163*CO163*2)</f>
        <v>5.04</v>
      </c>
      <c r="CQ163" s="538">
        <f t="shared" ref="CQ163" si="1275">IF(CO163&lt;=1.5,0,IF(CO163&gt;=3,CN163*1.5*2,CN163*(CO163-1.5)*2))</f>
        <v>1.9810560000001534</v>
      </c>
      <c r="CR163" s="539">
        <f t="shared" si="1197"/>
        <v>0.87428000000002515</v>
      </c>
      <c r="CS163" s="540">
        <f t="shared" si="1198"/>
        <v>4.2627840000000937E-2</v>
      </c>
      <c r="CT163" s="540">
        <f t="shared" si="1199"/>
        <v>0.15421000000000001</v>
      </c>
      <c r="CU163" s="541">
        <f t="shared" si="1200"/>
        <v>5.4329600000001186</v>
      </c>
      <c r="CV163" s="538">
        <f t="shared" si="1201"/>
        <v>0.81831840000000944</v>
      </c>
      <c r="CW163" s="538">
        <f t="shared" si="1202"/>
        <v>13.663352000000234</v>
      </c>
      <c r="CX163" s="104">
        <f t="shared" si="1203"/>
        <v>1.68</v>
      </c>
      <c r="CY163" s="542">
        <f t="shared" si="1204"/>
        <v>0.84</v>
      </c>
      <c r="CZ163" s="538">
        <f t="shared" si="1205"/>
        <v>0</v>
      </c>
    </row>
    <row r="164" spans="1:104" ht="37.5" x14ac:dyDescent="0.25">
      <c r="A164" s="100" t="str">
        <f>'BOCA DE LOBO'!C154</f>
        <v>BL54-&gt;PV1-45</v>
      </c>
      <c r="B164" s="100" t="str">
        <f>'BOCA DE LOBO'!A154</f>
        <v>PV1-45</v>
      </c>
      <c r="C164" s="100" t="str">
        <f>VLOOKUP(A164,'BOCA DE LOBO'!C:F,3,0)</f>
        <v>EXISTENTE</v>
      </c>
      <c r="D164" s="100" t="str">
        <f>VLOOKUP(A164,'BOCA DE LOBO'!C:M,10,0)</f>
        <v>AMPLIADA</v>
      </c>
      <c r="E164" s="100">
        <f t="shared" ref="E164:E170" si="1276">IF(F164-G164*4%&lt;2.5,F164-G164*4%,2.5)</f>
        <v>1.2431999999999999</v>
      </c>
      <c r="F164" s="100">
        <f>VLOOKUP(A164,'BOCA DE LOBO'!$C$97:$P$172,2,0)</f>
        <v>1.5</v>
      </c>
      <c r="G164" s="100">
        <f>VLOOKUP(A164,'BOCA DE LOBO'!$C$97:$L$172,4,0)</f>
        <v>6.42</v>
      </c>
      <c r="H164" s="101">
        <v>400</v>
      </c>
      <c r="I164" s="102">
        <f t="shared" ref="I164:I170" si="1277">IF(H164=400,((E164+F164)/2)+0.08+U164,IF(H164=500,((E164+F164)/2)+0.1+U164,IF(H164=600,((E164+F164)/2)+0.12+U164,IF(H164=800,((E164+F164)/2)+0.16+U164,IF(H164=1000,((E164+F164)/2)+0.2+U164,IF(H164=1200,((E164+F164)/2)+0.24+U164,IF(H164=1500,((E164+F164)/2)+0.3+U164,IF(H164&gt;1500,((E164+F164)/2)+0.4+U164))))))))</f>
        <v>1.5016</v>
      </c>
      <c r="J164" s="102">
        <f t="shared" ref="J164:J170" si="1278">IF(I164&gt;=1.25,G164*I164/20,0)</f>
        <v>0.48201359999999999</v>
      </c>
      <c r="K164" s="103">
        <v>0</v>
      </c>
      <c r="L164" s="104">
        <f t="shared" ref="L164:L170" si="1279">IF(D164&lt;&gt;"PROJETADA",0,IF(H164=400,1,0)+IF(H164=500,1.2,0)+IF(H164=600,1.4,0)+IF(H164=800,1.7,0)+IF(H164=1000,2,0)+IF(H164=1200,2.2,0)+IF(H164=1500,2.6,0)+IF(H164=1650,3,0)+IF(H164=1800,3.2,0)+IF(H164=2000,3.4,0)+IF(H164=2200,3.6,0)+IF(H164=2400,3.8,0)+IF(H164=2600,4,0)+IF(H164=3000,4.4,0))</f>
        <v>0</v>
      </c>
      <c r="M164" s="104">
        <f t="shared" ref="M164:M170" si="1280">2*K164*I164+L164</f>
        <v>0</v>
      </c>
      <c r="N164" s="104">
        <f t="shared" ref="N164:N170" si="1281">IF(OR(D164="EXISTENTE",D164="AMPLIADA"),400,0)</f>
        <v>400</v>
      </c>
      <c r="O164" s="104">
        <f t="shared" ref="O164:O170" si="1282">IF(P164="TERRENO NATURAL",0,M164*G164)</f>
        <v>0</v>
      </c>
      <c r="P164" s="105" t="s">
        <v>1999</v>
      </c>
      <c r="Q164" s="452" t="s">
        <v>2174</v>
      </c>
      <c r="R164" s="105"/>
      <c r="S164" s="105">
        <v>5</v>
      </c>
      <c r="T164" s="105">
        <v>5</v>
      </c>
      <c r="U164" s="104">
        <f t="shared" ref="U164:U170" si="1283">IF(H164=400,0.05,0)+IF(H164=500,0.05,0)+IF(H164=600,0.1,0)+IF(H164=800,0.1,0)+IF(H164=1000,0.15,0)+IF(H164=1200,0.15,0)+IF(H164=1500,0.2,0)+IF(H164=1650,0.2,0)+IF(H164=1800,0.2,0)+IF(H164=2000,0.25,0)+IF(H164=2200,0.25,0)+IF(H164=2400,0.25,0)+IF(H164=2600,0.25,0)+IF(H164=3000,0.25,0)</f>
        <v>0.05</v>
      </c>
      <c r="V164" s="106">
        <f t="shared" ref="V164:V170" si="1284">IF(L164=0,0,IF("EXISTENTE"=C164,0,IFERROR((PI()*(N164/1000)*(N164/1000)/4)*G164,0)))</f>
        <v>0</v>
      </c>
      <c r="W164" s="106">
        <f t="shared" ref="W164:W170" si="1285">IF(O164=0,0,((((K164*I164)*I164)/2)*2+L164*I164)*G164-V164+AO164)</f>
        <v>0</v>
      </c>
      <c r="X164" s="107">
        <f t="shared" ref="X164:X170" si="1286">W164-SUM(AC164:AJ164)</f>
        <v>0</v>
      </c>
      <c r="Y164" s="107">
        <f t="shared" ref="Y164:Y170" si="1287">IF(R164=1,IF(N164=0,I164+0.4,0.4),0)</f>
        <v>0</v>
      </c>
      <c r="Z164" s="107">
        <f t="shared" ref="Z164:Z170" si="1288">IF(Y164&gt;0.5,0,IF(S164&lt;I164,S164,I164))</f>
        <v>1.5016</v>
      </c>
      <c r="AA164" s="107">
        <f t="shared" ref="AA164:AA170" si="1289">I164-Z164</f>
        <v>0</v>
      </c>
      <c r="AB164" s="108">
        <f t="shared" ref="AB164:AB170" si="1290">IF(P164="ASFALTO",IF(D164="PROJETADA",O164,IF(D164="EXISTENTE",0,O164/2)),0)</f>
        <v>0</v>
      </c>
      <c r="AC164" s="109">
        <f t="shared" ref="AC164:AC170" si="1291">IF(Y164=0,0,IF(Y164=0.4,IF(L164&lt;=1.5,IF(Z164+0.4&gt;=1.5,0,L164*G164*0.4),0),IF(L164&lt;=1.5,IF(Y164&gt;=1.5,M164*G164*1.5,L164*G164*(Y164)),0)+IF(S164&lt;I164+0.4,0,IF(AND(Y164&lt;=1.5,L164&lt;=1.5),-V164,0))))</f>
        <v>0</v>
      </c>
      <c r="AD164" s="109">
        <f t="shared" ref="AD164:AD170" si="1292">IF(Y164=0,0,IF(Y164=0.4,IF(L164&lt;=1.5,IF(OR(Z164+0.4&gt;=3,Z164+0.4&lt;1.5),0,L164*G164*0.4),0),IF(IF(L164&lt;=1.5,IF(Y164&gt;=3,M164*G164*1.5,L164*G164*(Y164-1.5)),0)&lt;0,0,IF(L164&lt;=1.5,IF(Y164&gt;=3,M164*G164*1.5,L164*G164*(Y164-1.5)),0))+IF(S164&lt;I164+0.4,0,IF(AND(Y164&lt;=3,L164&lt;=1.5),-V164,0))))</f>
        <v>0</v>
      </c>
      <c r="AE164" s="109">
        <f t="shared" ref="AE164:AE170" si="1293">IF(Y164=0,0,IF(Y164=0.4,IF(L164&lt;=1.5,IF(OR(Z164+0.4&gt;=4.5,Z164+0.4&lt;3),0,L164*G164*0.4),0),IF(IF(L164&lt;=1.5,IF(Y164&gt;=4.5,M164*G164*1.5,L164*G164*(Y164-3)),0)&lt;0,0,IF(L164&lt;=1.5,IF(Y164&gt;=4.5,M164*G164*1.5,L164*G164*(Y164-3)),0))+IF(S164&lt;I164+0.4,0,IF(AND(Y164&lt;=4.5,L164&lt;=1.5),-V164,0))))</f>
        <v>0</v>
      </c>
      <c r="AF164" s="109">
        <f t="shared" ref="AF164:AF170" si="1294">IF(L164&lt;=1.5,IF(Z164&gt;=1.5,M164*G164*1.5,L164*G164*Z164),0)+IF(S164&lt;I164,0,IF(AND(Z164&lt;=1.5,L164&lt;=1.5),-V164,0))-V164</f>
        <v>0</v>
      </c>
      <c r="AG164" s="109">
        <f t="shared" ref="AG164:AG170" si="1295">IF(IF(L164&lt;=1.5,IF(Z164&gt;=3,M164*G164*1.5,L164*G164*(Z164-1.5)),0)&lt;0,0,IF(L164&lt;=1.5,IF(Z164&gt;=3,M164*G164*1.5,L164*G164*(Z164-1.5)),0))</f>
        <v>0</v>
      </c>
      <c r="AH164" s="109">
        <f t="shared" ref="AH164:AH170" si="1296">IF(IF(L164&lt;=1.5,IF(Z164&gt;=4.5,M164*G164*1.5,L164*G164*(Z164-3)),0)&lt;0,0,IF(L164&lt;=1.5,IF(Z164&gt;=4.5,M164*G164*1.5,L164*G164*(Z164-3)),0))+IF(S164&lt;I164,0,IF(AND(Z164&lt;=4.5,Z164&gt;3,L164&lt;=1.5),-V164,0))</f>
        <v>0</v>
      </c>
      <c r="AI164" s="537" t="str">
        <f t="shared" ref="AI164:AI170" si="1297">IF(I164&gt;S164,"SIM","NÃO")</f>
        <v>NÃO</v>
      </c>
      <c r="AJ164" s="104">
        <f t="shared" ref="AJ164:AJ170" si="1298">W164-SUM(AC164:AH164)</f>
        <v>0</v>
      </c>
      <c r="AK164" s="104">
        <f t="shared" ref="AK164:AK170" si="1299">IF(I164-T164&lt;0,0,(I164-T164)*G164)/75</f>
        <v>0</v>
      </c>
      <c r="AL164" s="104">
        <f t="shared" ref="AL164:AL170" si="1300">IF(L164=0,0,G164*L164*I164-PI()*(H164/1000)*(H164/1000)/4*G164+AO164)</f>
        <v>0</v>
      </c>
      <c r="AM164" s="102">
        <f t="shared" ref="AM164:AM170" si="1301">IF(L164&lt;1.5,L164*G164*IF(H164&lt;=500,0.05,IF(H164&lt;=800,0.1,IF(H164&lt;=1200,0.15,IF(H164&gt;=1500,0.2)))),0)</f>
        <v>0</v>
      </c>
      <c r="AN164" s="106">
        <f t="shared" ref="AN164:AN170" si="1302">IF(L164&gt;=1.5,L164*G164*IF(H164&lt;=500,0.05,IF(H164&lt;=800,0.1,IF(H164&lt;=1200,0.15,IF(H164&gt;=1500,0.2)))),0)</f>
        <v>0</v>
      </c>
      <c r="AO164" s="104">
        <f t="shared" ref="AO164:AO170" si="1303">IF(R164=1,0.4*G164*L164,0)</f>
        <v>0</v>
      </c>
      <c r="AP164" s="104">
        <f t="shared" ref="AP164:AP170" si="1304">IF(AO164&lt;SUM(AF164:AH164),0,AO164)</f>
        <v>0</v>
      </c>
      <c r="AQ164" s="104">
        <f t="shared" ref="AQ164:AQ170" si="1305">H164/1000+0.3</f>
        <v>0.7</v>
      </c>
      <c r="AR164" s="104">
        <f t="shared" ref="AR164:AR170" si="1306">IF(D164&lt;&gt;"PROJETADA",0,AQ164*L164*G164-PI()*(H164/1000*H164/1000)/4*G164)</f>
        <v>0</v>
      </c>
      <c r="AS164" s="104">
        <f t="shared" ref="AS164:AS170" si="1307">IF(AR164&lt;SUM(AF164:AH164),0,AR164)</f>
        <v>0</v>
      </c>
      <c r="AT164" s="104">
        <f t="shared" ref="AT164:AT170" si="1308">IF(P164="ASFALTO",0.15*G164*L164,0)</f>
        <v>0</v>
      </c>
      <c r="AU164" s="104">
        <f t="shared" ref="AU164:AU170" si="1309">AT164</f>
        <v>0</v>
      </c>
      <c r="AV164" s="104">
        <f t="shared" ref="AV164:AV170" si="1310">IF(P164="ASFALTO",0.03*G164*L164,0)</f>
        <v>0</v>
      </c>
      <c r="AW164" s="104">
        <f t="shared" ref="AW164:AW170" si="1311">AL164-AO164-SUM(AM164:AN164)-AT164-AU164-AR164</f>
        <v>0</v>
      </c>
      <c r="AX164" s="104">
        <f t="shared" ref="AX164:AX170" si="1312">SUM(AF164:AH164)-AO164-AT164-AR164</f>
        <v>0</v>
      </c>
      <c r="AY164" s="104">
        <f t="shared" ref="AY164:AY170" si="1313">SMALL(AW164:AX164,1)</f>
        <v>0</v>
      </c>
      <c r="AZ164" s="104">
        <f t="shared" ref="AZ164:AZ170" si="1314">AW164-AY164</f>
        <v>0</v>
      </c>
      <c r="BA164" s="104">
        <f t="shared" si="1159"/>
        <v>0</v>
      </c>
      <c r="BB164" s="104">
        <f t="shared" ref="BB164:BB170" si="1315">AZ164-BA164</f>
        <v>0</v>
      </c>
      <c r="BC164" s="104"/>
      <c r="BD164" s="104">
        <f t="shared" ref="BD164:BD170" si="1316">IF(AO164&gt;0,4%*(AO164+AT164),0)</f>
        <v>0</v>
      </c>
      <c r="BE164" s="108">
        <f t="shared" ref="BE164:BE170" si="1317">IF(H164=400,I164,0)</f>
        <v>1.5016</v>
      </c>
      <c r="BF164" s="110">
        <f t="shared" ref="BF164:BF170" si="1318">IF(BE164&lt;=1.75,AND(BE164&gt;0)*G164,0)</f>
        <v>6.42</v>
      </c>
      <c r="BG164" s="110">
        <f t="shared" ref="BG164:BG170" si="1319">IF(BE164&lt;=3,AND(BE164&gt;1.75)*G164,0)</f>
        <v>0</v>
      </c>
      <c r="BH164" s="105" t="str">
        <f>VLOOKUP(A164,'BOCA DE LOBO'!$C$99:$P$172,7,0)</f>
        <v>BOCA DE LOBO SIMPLES EXISTENTE COM BOCA DE LOBO DUPLA PROJETADA</v>
      </c>
      <c r="BI164" s="104">
        <f t="shared" ref="BI164:BI170" si="1320">IF(BH164=$BI$107,1,0)</f>
        <v>1</v>
      </c>
      <c r="BJ164" s="104">
        <f t="shared" ref="BJ164:BJ170" si="1321">IF(BH164=$BJ$107,1,0)</f>
        <v>0</v>
      </c>
      <c r="BK164" s="104">
        <f t="shared" ref="BK164:BK170" si="1322">IF(BH164=$BK$107,1,0)</f>
        <v>0</v>
      </c>
      <c r="BL164" s="104">
        <f t="shared" ref="BL164:BL170" si="1323">IF(BH164=$BL$107,1,0)</f>
        <v>0</v>
      </c>
      <c r="BM164" s="104">
        <f t="shared" ref="BM164:BM170" si="1324">IF(BH164=$BM$107,1,0)</f>
        <v>0</v>
      </c>
      <c r="BN164" s="104">
        <f t="shared" ref="BN164:BN170" si="1325">IF(BH164=$BN$107,1,0)</f>
        <v>0</v>
      </c>
      <c r="BO164" s="543">
        <f t="shared" ref="BO164:BO170" si="1326">IF(BH164=$BO$107,1,0)</f>
        <v>0</v>
      </c>
      <c r="BP164" s="111"/>
      <c r="BQ164" s="108">
        <f t="shared" ref="BQ164:BQ170" si="1327">IF(L164&lt;=1.5,IF(I164+IF(R164=1,0.5,0)&lt;1.5,(I164+IF(R164=1,0.5,0))*G164*2,G164*2*1.5),0)</f>
        <v>19.259999999999998</v>
      </c>
      <c r="BR164" s="108">
        <f t="shared" ref="BR164:BR170" si="1328">IF(L164&lt;=1.5,IF(AND(I164+IF(R164=1,0.5,0)&lt;3,I164+IF(R164=1,0.5,0)&gt;1.5),(I164+IF(R164=1,0.5,0)-1.5)*G164*2,IF(I164+IF(R164=1,0.5,0)&gt;=3,(G164*2*1.5),0)),0)</f>
        <v>2.054400000000059E-2</v>
      </c>
      <c r="BS164" s="108">
        <f t="shared" ref="BS164:BS170" si="1329">IF(L164&lt;=1.5,IF(AND(I164+IF(R164=1,0.5,0)&lt;4.5,I164+IF(R164=1,0.5,0)&gt;3),(I164+IF(R164=1,0.5,0)-3)*G164*2,IF(I164+IF(R164=1,0.5,0)&gt;=4.5,(G164*2*1.5),0)),0)</f>
        <v>0</v>
      </c>
      <c r="BT164" s="112"/>
      <c r="BU164" s="112" t="s">
        <v>1410</v>
      </c>
      <c r="BV164" s="538">
        <f t="shared" si="1175"/>
        <v>7.8053068799999972</v>
      </c>
      <c r="BW164" s="538">
        <f t="shared" si="1176"/>
        <v>6.2783999999999986</v>
      </c>
      <c r="BX164" s="538">
        <f t="shared" si="1177"/>
        <v>2.8083999999999998</v>
      </c>
      <c r="BY164" s="538">
        <f t="shared" ref="BY164:BY170" si="1330">E164</f>
        <v>1.2431999999999999</v>
      </c>
      <c r="BZ164" s="538">
        <f t="shared" ref="BZ164:BZ170" si="1331">IF(Y164&gt;0.5,0,IF(S164&lt;E164,S164,E164))</f>
        <v>1.2431999999999999</v>
      </c>
      <c r="CA164" s="538">
        <f t="shared" ref="CA164:CA170" si="1332">IF(Y164&gt;0.5,BY164+0.5,Y164)</f>
        <v>0</v>
      </c>
      <c r="CB164" s="538">
        <f t="shared" ref="CB164:CB170" si="1333">IF(S164&gt;E164,0,E164-S164)</f>
        <v>0</v>
      </c>
      <c r="CC164" s="538">
        <f t="shared" ref="CC164:CC170" si="1334">IF(BZ164&gt;1.5,BW164*1.5,BW164*BZ164)</f>
        <v>7.8053068799999972</v>
      </c>
      <c r="CD164" s="538">
        <f t="shared" ref="CD164:CD170" si="1335">IF(BZ164&gt;1.5,BW164*(BZ164-1.5),0)</f>
        <v>0</v>
      </c>
      <c r="CE164" s="538">
        <f t="shared" ref="CE164:CE170" si="1336">IF(CA164&gt;1.5,BW164*1.5,BW164*CA164)</f>
        <v>0</v>
      </c>
      <c r="CF164" s="538">
        <f t="shared" ref="CF164:CF170" si="1337">IF(CA164&gt;1.5,BW164*(CA164-1.5),0)</f>
        <v>0</v>
      </c>
      <c r="CG164" s="538">
        <f t="shared" ref="CG164:CG170" si="1338">BV164-SUM(CC164:CF164)</f>
        <v>0</v>
      </c>
      <c r="CH164" s="538">
        <f t="shared" ref="CH164:CH170" si="1339">SUM(CC164:CG164)-BV164</f>
        <v>0</v>
      </c>
      <c r="CI164" s="104">
        <f t="shared" si="1188"/>
        <v>0.432</v>
      </c>
      <c r="CJ164" s="538">
        <f t="shared" ref="CJ164:CJ170" si="1340">(BW164-BX164)*(BY164+IF(CA164&gt;=0.4,0.4,0))-CI164</f>
        <v>3.8819039999999982</v>
      </c>
      <c r="CK164" s="538">
        <f t="shared" si="1190"/>
        <v>3.8819039999999982</v>
      </c>
      <c r="CL164" s="538">
        <f t="shared" ref="CL164:CL170" si="1341">CJ164-CK164</f>
        <v>0</v>
      </c>
      <c r="CM164" s="538">
        <f t="shared" ref="CM164:CM170" si="1342">IF(CA164&gt;0,0.5*4%*BW164,0)</f>
        <v>0</v>
      </c>
      <c r="CN164" s="538">
        <f t="shared" si="1193"/>
        <v>2.88</v>
      </c>
      <c r="CO164" s="538">
        <f t="shared" ref="CO164:CO170" si="1343">IF(CA164&gt;0,BY164+0.5,BY164)</f>
        <v>1.2431999999999999</v>
      </c>
      <c r="CP164" s="538">
        <f t="shared" ref="CP164:CP170" si="1344">IF(CO164&gt;=1.5,CN164*1.5*2,CN164*CO164*2)</f>
        <v>7.1608319999999992</v>
      </c>
      <c r="CQ164" s="538">
        <f t="shared" ref="CQ164:CQ170" si="1345">IF(CO164&lt;=1.5,0,IF(CO164&gt;=3,CN164*1.5*2,CN164*(CO164-1.5)*2))</f>
        <v>0</v>
      </c>
      <c r="CR164" s="539">
        <f t="shared" si="1197"/>
        <v>0.40875999999999996</v>
      </c>
      <c r="CS164" s="540">
        <f t="shared" si="1198"/>
        <v>2.536128E-2</v>
      </c>
      <c r="CT164" s="540">
        <f t="shared" si="1199"/>
        <v>0.30127039999999999</v>
      </c>
      <c r="CU164" s="541">
        <f t="shared" si="1200"/>
        <v>5.7187199999999994</v>
      </c>
      <c r="CV164" s="538">
        <f t="shared" si="1201"/>
        <v>0.86223119999999998</v>
      </c>
      <c r="CW164" s="538">
        <f t="shared" si="1202"/>
        <v>9.5607359999999986</v>
      </c>
      <c r="CX164" s="104">
        <f t="shared" si="1203"/>
        <v>2.88</v>
      </c>
      <c r="CY164" s="542">
        <f t="shared" si="1204"/>
        <v>1.44</v>
      </c>
      <c r="CZ164" s="538">
        <f t="shared" si="1205"/>
        <v>0</v>
      </c>
    </row>
    <row r="165" spans="1:104" ht="37.5" x14ac:dyDescent="0.25">
      <c r="A165" s="100" t="str">
        <f>'BOCA DE LOBO'!C155</f>
        <v>BL55-&gt;PV2-45</v>
      </c>
      <c r="B165" s="100" t="str">
        <f>'BOCA DE LOBO'!A155</f>
        <v>PV2-45</v>
      </c>
      <c r="C165" s="100" t="str">
        <f>VLOOKUP(A165,'BOCA DE LOBO'!C:F,3,0)</f>
        <v>EXISTENTE</v>
      </c>
      <c r="D165" s="100" t="str">
        <f>VLOOKUP(A165,'BOCA DE LOBO'!C:M,10,0)</f>
        <v>AMPLIADA</v>
      </c>
      <c r="E165" s="100">
        <f t="shared" si="1276"/>
        <v>1.5395999999999772</v>
      </c>
      <c r="F165" s="100">
        <f>VLOOKUP(A165,'BOCA DE LOBO'!$C$97:$P$172,2,0)</f>
        <v>1.8999999999999773</v>
      </c>
      <c r="G165" s="100">
        <f>VLOOKUP(A165,'BOCA DE LOBO'!$C$97:$L$172,4,0)</f>
        <v>9.01</v>
      </c>
      <c r="H165" s="101">
        <v>400</v>
      </c>
      <c r="I165" s="102">
        <f t="shared" si="1277"/>
        <v>1.8497999999999772</v>
      </c>
      <c r="J165" s="102">
        <f t="shared" si="1278"/>
        <v>0.83333489999998966</v>
      </c>
      <c r="K165" s="103">
        <v>0</v>
      </c>
      <c r="L165" s="104">
        <f t="shared" si="1279"/>
        <v>0</v>
      </c>
      <c r="M165" s="104">
        <f t="shared" si="1280"/>
        <v>0</v>
      </c>
      <c r="N165" s="104">
        <f t="shared" si="1281"/>
        <v>400</v>
      </c>
      <c r="O165" s="104">
        <f t="shared" si="1282"/>
        <v>0</v>
      </c>
      <c r="P165" s="105" t="s">
        <v>1999</v>
      </c>
      <c r="Q165" s="452" t="s">
        <v>2174</v>
      </c>
      <c r="R165" s="105"/>
      <c r="S165" s="105">
        <v>5</v>
      </c>
      <c r="T165" s="105">
        <v>5</v>
      </c>
      <c r="U165" s="104">
        <f t="shared" si="1283"/>
        <v>0.05</v>
      </c>
      <c r="V165" s="106">
        <f t="shared" si="1284"/>
        <v>0</v>
      </c>
      <c r="W165" s="106">
        <f t="shared" si="1285"/>
        <v>0</v>
      </c>
      <c r="X165" s="107">
        <f t="shared" si="1286"/>
        <v>0</v>
      </c>
      <c r="Y165" s="107">
        <f t="shared" si="1287"/>
        <v>0</v>
      </c>
      <c r="Z165" s="107">
        <f t="shared" si="1288"/>
        <v>1.8497999999999772</v>
      </c>
      <c r="AA165" s="107">
        <f t="shared" si="1289"/>
        <v>0</v>
      </c>
      <c r="AB165" s="108">
        <f t="shared" si="1290"/>
        <v>0</v>
      </c>
      <c r="AC165" s="109">
        <f t="shared" si="1291"/>
        <v>0</v>
      </c>
      <c r="AD165" s="109">
        <f t="shared" si="1292"/>
        <v>0</v>
      </c>
      <c r="AE165" s="109">
        <f t="shared" si="1293"/>
        <v>0</v>
      </c>
      <c r="AF165" s="109">
        <f t="shared" si="1294"/>
        <v>0</v>
      </c>
      <c r="AG165" s="109">
        <f t="shared" si="1295"/>
        <v>0</v>
      </c>
      <c r="AH165" s="109">
        <f t="shared" si="1296"/>
        <v>0</v>
      </c>
      <c r="AI165" s="537" t="str">
        <f t="shared" si="1297"/>
        <v>NÃO</v>
      </c>
      <c r="AJ165" s="104">
        <f t="shared" si="1298"/>
        <v>0</v>
      </c>
      <c r="AK165" s="104">
        <f t="shared" si="1299"/>
        <v>0</v>
      </c>
      <c r="AL165" s="104">
        <f t="shared" si="1300"/>
        <v>0</v>
      </c>
      <c r="AM165" s="102">
        <f t="shared" si="1301"/>
        <v>0</v>
      </c>
      <c r="AN165" s="106">
        <f t="shared" si="1302"/>
        <v>0</v>
      </c>
      <c r="AO165" s="104">
        <f t="shared" si="1303"/>
        <v>0</v>
      </c>
      <c r="AP165" s="104">
        <f t="shared" si="1304"/>
        <v>0</v>
      </c>
      <c r="AQ165" s="104">
        <f t="shared" si="1305"/>
        <v>0.7</v>
      </c>
      <c r="AR165" s="104">
        <f t="shared" si="1306"/>
        <v>0</v>
      </c>
      <c r="AS165" s="104">
        <f t="shared" si="1307"/>
        <v>0</v>
      </c>
      <c r="AT165" s="104">
        <f t="shared" si="1308"/>
        <v>0</v>
      </c>
      <c r="AU165" s="104">
        <f t="shared" si="1309"/>
        <v>0</v>
      </c>
      <c r="AV165" s="104">
        <f t="shared" si="1310"/>
        <v>0</v>
      </c>
      <c r="AW165" s="104">
        <f t="shared" si="1311"/>
        <v>0</v>
      </c>
      <c r="AX165" s="104">
        <f t="shared" si="1312"/>
        <v>0</v>
      </c>
      <c r="AY165" s="104">
        <f t="shared" si="1313"/>
        <v>0</v>
      </c>
      <c r="AZ165" s="104">
        <f t="shared" si="1314"/>
        <v>0</v>
      </c>
      <c r="BA165" s="104">
        <f t="shared" si="1159"/>
        <v>0</v>
      </c>
      <c r="BB165" s="104">
        <f t="shared" si="1315"/>
        <v>0</v>
      </c>
      <c r="BC165" s="104"/>
      <c r="BD165" s="104">
        <f t="shared" si="1316"/>
        <v>0</v>
      </c>
      <c r="BE165" s="108">
        <f t="shared" si="1317"/>
        <v>1.8497999999999772</v>
      </c>
      <c r="BF165" s="110">
        <f t="shared" si="1318"/>
        <v>0</v>
      </c>
      <c r="BG165" s="110">
        <f t="shared" si="1319"/>
        <v>9.01</v>
      </c>
      <c r="BH165" s="105" t="str">
        <f>VLOOKUP(A165,'BOCA DE LOBO'!$C$99:$P$172,7,0)</f>
        <v>BOCA DE LOBO SIMPLES EXISTENTE COM BOCA DE LOBO DUPLA PROJETADA</v>
      </c>
      <c r="BI165" s="104">
        <f t="shared" si="1320"/>
        <v>1</v>
      </c>
      <c r="BJ165" s="104">
        <f t="shared" si="1321"/>
        <v>0</v>
      </c>
      <c r="BK165" s="104">
        <f t="shared" si="1322"/>
        <v>0</v>
      </c>
      <c r="BL165" s="104">
        <f t="shared" si="1323"/>
        <v>0</v>
      </c>
      <c r="BM165" s="104">
        <f t="shared" si="1324"/>
        <v>0</v>
      </c>
      <c r="BN165" s="104">
        <f t="shared" si="1325"/>
        <v>0</v>
      </c>
      <c r="BO165" s="543">
        <f t="shared" si="1326"/>
        <v>0</v>
      </c>
      <c r="BP165" s="111"/>
      <c r="BQ165" s="108">
        <f t="shared" si="1327"/>
        <v>27.03</v>
      </c>
      <c r="BR165" s="108">
        <f t="shared" si="1328"/>
        <v>6.3033959999995899</v>
      </c>
      <c r="BS165" s="108">
        <f t="shared" si="1329"/>
        <v>0</v>
      </c>
      <c r="BT165" s="112"/>
      <c r="BU165" s="112" t="s">
        <v>1410</v>
      </c>
      <c r="BV165" s="538">
        <f t="shared" si="1175"/>
        <v>9.6662246399998555</v>
      </c>
      <c r="BW165" s="538">
        <f t="shared" si="1176"/>
        <v>6.2783999999999986</v>
      </c>
      <c r="BX165" s="538">
        <f t="shared" si="1177"/>
        <v>2.8083999999999998</v>
      </c>
      <c r="BY165" s="538">
        <f t="shared" si="1330"/>
        <v>1.5395999999999772</v>
      </c>
      <c r="BZ165" s="538">
        <f t="shared" si="1331"/>
        <v>1.5395999999999772</v>
      </c>
      <c r="CA165" s="538">
        <f t="shared" si="1332"/>
        <v>0</v>
      </c>
      <c r="CB165" s="538">
        <f t="shared" si="1333"/>
        <v>0</v>
      </c>
      <c r="CC165" s="538">
        <f t="shared" si="1334"/>
        <v>9.4175999999999984</v>
      </c>
      <c r="CD165" s="538">
        <f t="shared" si="1335"/>
        <v>0.24862463999985684</v>
      </c>
      <c r="CE165" s="538">
        <f t="shared" si="1336"/>
        <v>0</v>
      </c>
      <c r="CF165" s="538">
        <f t="shared" si="1337"/>
        <v>0</v>
      </c>
      <c r="CG165" s="538">
        <f t="shared" si="1338"/>
        <v>0</v>
      </c>
      <c r="CH165" s="538">
        <f t="shared" si="1339"/>
        <v>0</v>
      </c>
      <c r="CI165" s="104">
        <f t="shared" si="1188"/>
        <v>0.432</v>
      </c>
      <c r="CJ165" s="538">
        <f t="shared" si="1340"/>
        <v>4.9104119999999192</v>
      </c>
      <c r="CK165" s="538">
        <f t="shared" si="1190"/>
        <v>4.9104119999999192</v>
      </c>
      <c r="CL165" s="538">
        <f t="shared" si="1341"/>
        <v>0</v>
      </c>
      <c r="CM165" s="538">
        <f t="shared" si="1342"/>
        <v>0</v>
      </c>
      <c r="CN165" s="538">
        <f t="shared" si="1193"/>
        <v>2.88</v>
      </c>
      <c r="CO165" s="538">
        <f t="shared" si="1343"/>
        <v>1.5395999999999772</v>
      </c>
      <c r="CP165" s="538">
        <f t="shared" si="1344"/>
        <v>8.64</v>
      </c>
      <c r="CQ165" s="538">
        <f t="shared" si="1345"/>
        <v>0.22809599999986871</v>
      </c>
      <c r="CR165" s="539">
        <f t="shared" si="1197"/>
        <v>0.57177999999998752</v>
      </c>
      <c r="CS165" s="540">
        <f t="shared" si="1198"/>
        <v>3.1407839999999534E-2</v>
      </c>
      <c r="CT165" s="540">
        <f t="shared" si="1199"/>
        <v>0.30127039999999999</v>
      </c>
      <c r="CU165" s="541">
        <f t="shared" si="1200"/>
        <v>7.0821599999998943</v>
      </c>
      <c r="CV165" s="538">
        <f t="shared" si="1201"/>
        <v>0.91513859999999592</v>
      </c>
      <c r="CW165" s="538">
        <f t="shared" si="1202"/>
        <v>10.888607999999898</v>
      </c>
      <c r="CX165" s="104">
        <f t="shared" si="1203"/>
        <v>2.88</v>
      </c>
      <c r="CY165" s="542">
        <f t="shared" si="1204"/>
        <v>1.44</v>
      </c>
      <c r="CZ165" s="538">
        <f t="shared" si="1205"/>
        <v>0</v>
      </c>
    </row>
    <row r="166" spans="1:104" ht="37.5" x14ac:dyDescent="0.25">
      <c r="A166" s="100" t="str">
        <f>'BOCA DE LOBO'!C156</f>
        <v>BL56-&gt;PV3-45</v>
      </c>
      <c r="B166" s="100" t="str">
        <f>'BOCA DE LOBO'!A156</f>
        <v>PV3-45</v>
      </c>
      <c r="C166" s="100" t="str">
        <f>VLOOKUP(A166,'BOCA DE LOBO'!C:F,3,0)</f>
        <v>EXISTENTE</v>
      </c>
      <c r="D166" s="100" t="str">
        <f>VLOOKUP(A166,'BOCA DE LOBO'!C:M,10,0)</f>
        <v>AMPLIADA</v>
      </c>
      <c r="E166" s="100">
        <f t="shared" si="1276"/>
        <v>2.5</v>
      </c>
      <c r="F166" s="100">
        <f>VLOOKUP(A166,'BOCA DE LOBO'!$C$97:$P$172,2,0)</f>
        <v>3.0799999999999272</v>
      </c>
      <c r="G166" s="100">
        <f>VLOOKUP(A166,'BOCA DE LOBO'!$C$97:$L$172,4,0)</f>
        <v>4.24</v>
      </c>
      <c r="H166" s="101">
        <v>400</v>
      </c>
      <c r="I166" s="102">
        <f t="shared" si="1277"/>
        <v>2.9199999999999635</v>
      </c>
      <c r="J166" s="102">
        <f t="shared" si="1278"/>
        <v>0.61903999999999226</v>
      </c>
      <c r="K166" s="103">
        <v>0</v>
      </c>
      <c r="L166" s="104">
        <f t="shared" si="1279"/>
        <v>0</v>
      </c>
      <c r="M166" s="104">
        <f t="shared" si="1280"/>
        <v>0</v>
      </c>
      <c r="N166" s="104">
        <f t="shared" si="1281"/>
        <v>400</v>
      </c>
      <c r="O166" s="104">
        <f t="shared" si="1282"/>
        <v>0</v>
      </c>
      <c r="P166" s="105" t="s">
        <v>1999</v>
      </c>
      <c r="Q166" s="452" t="s">
        <v>2174</v>
      </c>
      <c r="R166" s="105"/>
      <c r="S166" s="105">
        <v>5</v>
      </c>
      <c r="T166" s="105">
        <v>5</v>
      </c>
      <c r="U166" s="104">
        <f t="shared" si="1283"/>
        <v>0.05</v>
      </c>
      <c r="V166" s="106">
        <f t="shared" si="1284"/>
        <v>0</v>
      </c>
      <c r="W166" s="106">
        <f t="shared" si="1285"/>
        <v>0</v>
      </c>
      <c r="X166" s="107">
        <f t="shared" si="1286"/>
        <v>0</v>
      </c>
      <c r="Y166" s="107">
        <f t="shared" si="1287"/>
        <v>0</v>
      </c>
      <c r="Z166" s="107">
        <f t="shared" si="1288"/>
        <v>2.9199999999999635</v>
      </c>
      <c r="AA166" s="107">
        <f t="shared" si="1289"/>
        <v>0</v>
      </c>
      <c r="AB166" s="108">
        <f t="shared" si="1290"/>
        <v>0</v>
      </c>
      <c r="AC166" s="109">
        <f t="shared" si="1291"/>
        <v>0</v>
      </c>
      <c r="AD166" s="109">
        <f t="shared" si="1292"/>
        <v>0</v>
      </c>
      <c r="AE166" s="109">
        <f t="shared" si="1293"/>
        <v>0</v>
      </c>
      <c r="AF166" s="109">
        <f t="shared" si="1294"/>
        <v>0</v>
      </c>
      <c r="AG166" s="109">
        <f t="shared" si="1295"/>
        <v>0</v>
      </c>
      <c r="AH166" s="109">
        <f t="shared" si="1296"/>
        <v>0</v>
      </c>
      <c r="AI166" s="537" t="str">
        <f t="shared" si="1297"/>
        <v>NÃO</v>
      </c>
      <c r="AJ166" s="104">
        <f t="shared" si="1298"/>
        <v>0</v>
      </c>
      <c r="AK166" s="104">
        <f t="shared" si="1299"/>
        <v>0</v>
      </c>
      <c r="AL166" s="104">
        <f t="shared" si="1300"/>
        <v>0</v>
      </c>
      <c r="AM166" s="102">
        <f t="shared" si="1301"/>
        <v>0</v>
      </c>
      <c r="AN166" s="106">
        <f t="shared" si="1302"/>
        <v>0</v>
      </c>
      <c r="AO166" s="104">
        <f t="shared" si="1303"/>
        <v>0</v>
      </c>
      <c r="AP166" s="104">
        <f t="shared" si="1304"/>
        <v>0</v>
      </c>
      <c r="AQ166" s="104">
        <f t="shared" si="1305"/>
        <v>0.7</v>
      </c>
      <c r="AR166" s="104">
        <f t="shared" si="1306"/>
        <v>0</v>
      </c>
      <c r="AS166" s="104">
        <f t="shared" si="1307"/>
        <v>0</v>
      </c>
      <c r="AT166" s="104">
        <f t="shared" si="1308"/>
        <v>0</v>
      </c>
      <c r="AU166" s="104">
        <f t="shared" si="1309"/>
        <v>0</v>
      </c>
      <c r="AV166" s="104">
        <f t="shared" si="1310"/>
        <v>0</v>
      </c>
      <c r="AW166" s="104">
        <f t="shared" si="1311"/>
        <v>0</v>
      </c>
      <c r="AX166" s="104">
        <f t="shared" si="1312"/>
        <v>0</v>
      </c>
      <c r="AY166" s="104">
        <f t="shared" si="1313"/>
        <v>0</v>
      </c>
      <c r="AZ166" s="104">
        <f t="shared" si="1314"/>
        <v>0</v>
      </c>
      <c r="BA166" s="104">
        <f t="shared" si="1159"/>
        <v>0</v>
      </c>
      <c r="BB166" s="104">
        <f t="shared" si="1315"/>
        <v>0</v>
      </c>
      <c r="BC166" s="104"/>
      <c r="BD166" s="104">
        <f t="shared" si="1316"/>
        <v>0</v>
      </c>
      <c r="BE166" s="108">
        <f t="shared" si="1317"/>
        <v>2.9199999999999635</v>
      </c>
      <c r="BF166" s="110">
        <f t="shared" si="1318"/>
        <v>0</v>
      </c>
      <c r="BG166" s="110">
        <f t="shared" si="1319"/>
        <v>4.24</v>
      </c>
      <c r="BH166" s="105" t="str">
        <f>VLOOKUP(A166,'BOCA DE LOBO'!$C$99:$P$172,7,0)</f>
        <v>BOCA DE LOBO DUPLA EXISTENTE COM BOCA DE LOBO SIMPLES PROJETADA</v>
      </c>
      <c r="BI166" s="104">
        <f t="shared" si="1320"/>
        <v>0</v>
      </c>
      <c r="BJ166" s="104">
        <f t="shared" si="1321"/>
        <v>0</v>
      </c>
      <c r="BK166" s="104">
        <f t="shared" si="1322"/>
        <v>1</v>
      </c>
      <c r="BL166" s="104">
        <f t="shared" si="1323"/>
        <v>0</v>
      </c>
      <c r="BM166" s="104">
        <f t="shared" si="1324"/>
        <v>0</v>
      </c>
      <c r="BN166" s="104">
        <f t="shared" si="1325"/>
        <v>0</v>
      </c>
      <c r="BO166" s="543">
        <f t="shared" si="1326"/>
        <v>0</v>
      </c>
      <c r="BP166" s="111"/>
      <c r="BQ166" s="108">
        <f t="shared" si="1327"/>
        <v>12.72</v>
      </c>
      <c r="BR166" s="108">
        <f t="shared" si="1328"/>
        <v>12.041599999999692</v>
      </c>
      <c r="BS166" s="108">
        <f t="shared" si="1329"/>
        <v>0</v>
      </c>
      <c r="BT166" s="112"/>
      <c r="BU166" s="112" t="s">
        <v>1410</v>
      </c>
      <c r="BV166" s="538">
        <f t="shared" si="1175"/>
        <v>9.1559999999999988</v>
      </c>
      <c r="BW166" s="538">
        <f t="shared" si="1176"/>
        <v>3.6623999999999994</v>
      </c>
      <c r="BX166" s="538">
        <f t="shared" si="1177"/>
        <v>1.3923999999999999</v>
      </c>
      <c r="BY166" s="538">
        <f t="shared" si="1330"/>
        <v>2.5</v>
      </c>
      <c r="BZ166" s="538">
        <f t="shared" si="1331"/>
        <v>2.5</v>
      </c>
      <c r="CA166" s="538">
        <f t="shared" si="1332"/>
        <v>0</v>
      </c>
      <c r="CB166" s="538">
        <f t="shared" si="1333"/>
        <v>0</v>
      </c>
      <c r="CC166" s="538">
        <f t="shared" si="1334"/>
        <v>5.4935999999999989</v>
      </c>
      <c r="CD166" s="538">
        <f t="shared" si="1335"/>
        <v>3.6623999999999994</v>
      </c>
      <c r="CE166" s="538">
        <f t="shared" si="1336"/>
        <v>0</v>
      </c>
      <c r="CF166" s="538">
        <f t="shared" si="1337"/>
        <v>0</v>
      </c>
      <c r="CG166" s="538">
        <f t="shared" si="1338"/>
        <v>0</v>
      </c>
      <c r="CH166" s="538">
        <f t="shared" si="1339"/>
        <v>0</v>
      </c>
      <c r="CI166" s="104">
        <f t="shared" si="1188"/>
        <v>0.252</v>
      </c>
      <c r="CJ166" s="538">
        <f t="shared" si="1340"/>
        <v>5.4229999999999992</v>
      </c>
      <c r="CK166" s="538">
        <f t="shared" si="1190"/>
        <v>5.4229999999999992</v>
      </c>
      <c r="CL166" s="538">
        <f t="shared" si="1341"/>
        <v>0</v>
      </c>
      <c r="CM166" s="538">
        <f t="shared" si="1342"/>
        <v>0</v>
      </c>
      <c r="CN166" s="538">
        <f t="shared" si="1193"/>
        <v>1.68</v>
      </c>
      <c r="CO166" s="538">
        <f t="shared" si="1343"/>
        <v>2.5</v>
      </c>
      <c r="CP166" s="538">
        <f t="shared" si="1344"/>
        <v>5.04</v>
      </c>
      <c r="CQ166" s="538">
        <f t="shared" si="1345"/>
        <v>3.36</v>
      </c>
      <c r="CR166" s="539">
        <f t="shared" si="1197"/>
        <v>1.1000000000000001</v>
      </c>
      <c r="CS166" s="540">
        <f t="shared" si="1198"/>
        <v>5.1000000000000004E-2</v>
      </c>
      <c r="CT166" s="540">
        <f t="shared" si="1199"/>
        <v>0.15421000000000001</v>
      </c>
      <c r="CU166" s="541">
        <f t="shared" si="1200"/>
        <v>6.5</v>
      </c>
      <c r="CV166" s="538">
        <f t="shared" si="1201"/>
        <v>0.90203999999999995</v>
      </c>
      <c r="CW166" s="538">
        <f t="shared" si="1202"/>
        <v>15.764600000000002</v>
      </c>
      <c r="CX166" s="104">
        <f t="shared" si="1203"/>
        <v>1.68</v>
      </c>
      <c r="CY166" s="542">
        <f t="shared" si="1204"/>
        <v>0.84</v>
      </c>
      <c r="CZ166" s="538">
        <f t="shared" si="1205"/>
        <v>0</v>
      </c>
    </row>
    <row r="167" spans="1:104" ht="25" x14ac:dyDescent="0.25">
      <c r="A167" s="100" t="str">
        <f>'BOCA DE LOBO'!C157</f>
        <v>BL57-&gt;PV4-45</v>
      </c>
      <c r="B167" s="100" t="str">
        <f>'BOCA DE LOBO'!A157</f>
        <v>PV4-45</v>
      </c>
      <c r="C167" s="100" t="str">
        <f>VLOOKUP(A167,'BOCA DE LOBO'!C:F,3,0)</f>
        <v>EXISTENTE</v>
      </c>
      <c r="D167" s="100" t="str">
        <f>VLOOKUP(A167,'BOCA DE LOBO'!C:M,10,0)</f>
        <v>PROJETADA</v>
      </c>
      <c r="E167" s="100">
        <f t="shared" ref="E167:E168" si="1346">IF(F167-G167*4%&lt;2.5,F167-G167*4%,2.5)</f>
        <v>2.4327999999999301</v>
      </c>
      <c r="F167" s="100">
        <f>VLOOKUP(A167,'BOCA DE LOBO'!$C$97:$P$172,2,0)</f>
        <v>2.65199999999993</v>
      </c>
      <c r="G167" s="100">
        <f>VLOOKUP(A167,'BOCA DE LOBO'!$C$97:$L$172,4,0)</f>
        <v>5.48</v>
      </c>
      <c r="H167" s="101">
        <v>400</v>
      </c>
      <c r="I167" s="102">
        <f t="shared" ref="I167:I168" si="1347">IF(H167=400,((E167+F167)/2)+0.08+U167,IF(H167=500,((E167+F167)/2)+0.1+U167,IF(H167=600,((E167+F167)/2)+0.12+U167,IF(H167=800,((E167+F167)/2)+0.16+U167,IF(H167=1000,((E167+F167)/2)+0.2+U167,IF(H167=1200,((E167+F167)/2)+0.24+U167,IF(H167=1500,((E167+F167)/2)+0.3+U167,IF(H167&gt;1500,((E167+F167)/2)+0.4+U167))))))))</f>
        <v>2.6723999999999299</v>
      </c>
      <c r="J167" s="102">
        <f t="shared" ref="J167:J168" si="1348">IF(I167&gt;=1.25,G167*I167/20,0)</f>
        <v>0.73223759999998084</v>
      </c>
      <c r="K167" s="103">
        <v>0</v>
      </c>
      <c r="L167" s="104">
        <f t="shared" ref="L167:L168" si="1349">IF(D167&lt;&gt;"PROJETADA",0,IF(H167=400,1,0)+IF(H167=500,1.2,0)+IF(H167=600,1.4,0)+IF(H167=800,1.7,0)+IF(H167=1000,2,0)+IF(H167=1200,2.2,0)+IF(H167=1500,2.6,0)+IF(H167=1650,3,0)+IF(H167=1800,3.2,0)+IF(H167=2000,3.4,0)+IF(H167=2200,3.6,0)+IF(H167=2400,3.8,0)+IF(H167=2600,4,0)+IF(H167=3000,4.4,0))</f>
        <v>1</v>
      </c>
      <c r="M167" s="104">
        <f t="shared" ref="M167:M168" si="1350">2*K167*I167+L167</f>
        <v>1</v>
      </c>
      <c r="N167" s="104">
        <f t="shared" ref="N167:N168" si="1351">IF(OR(D167="EXISTENTE",D167="AMPLIADA"),400,0)</f>
        <v>0</v>
      </c>
      <c r="O167" s="104">
        <f t="shared" ref="O167:O168" si="1352">IF(P167="TERRENO NATURAL",0,M167*G167)</f>
        <v>5.48</v>
      </c>
      <c r="P167" s="105" t="s">
        <v>1999</v>
      </c>
      <c r="Q167" s="452" t="s">
        <v>2174</v>
      </c>
      <c r="R167" s="105"/>
      <c r="S167" s="105">
        <v>5</v>
      </c>
      <c r="T167" s="105">
        <v>5</v>
      </c>
      <c r="U167" s="104">
        <f t="shared" ref="U167:U168" si="1353">IF(H167=400,0.05,0)+IF(H167=500,0.05,0)+IF(H167=600,0.1,0)+IF(H167=800,0.1,0)+IF(H167=1000,0.15,0)+IF(H167=1200,0.15,0)+IF(H167=1500,0.2,0)+IF(H167=1650,0.2,0)+IF(H167=1800,0.2,0)+IF(H167=2000,0.25,0)+IF(H167=2200,0.25,0)+IF(H167=2400,0.25,0)+IF(H167=2600,0.25,0)+IF(H167=3000,0.25,0)</f>
        <v>0.05</v>
      </c>
      <c r="V167" s="106">
        <f t="shared" ref="V167:V168" si="1354">IF(L167=0,0,IF("EXISTENTE"=C167,0,IFERROR((PI()*(N167/1000)*(N167/1000)/4)*G167,0)))</f>
        <v>0</v>
      </c>
      <c r="W167" s="106">
        <f t="shared" ref="W167:W168" si="1355">IF(O167=0,0,((((K167*I167)*I167)/2)*2+L167*I167)*G167-V167+AO167)</f>
        <v>14.644751999999617</v>
      </c>
      <c r="X167" s="107">
        <f t="shared" ref="X167:X168" si="1356">W167-SUM(AC167:AJ167)</f>
        <v>0</v>
      </c>
      <c r="Y167" s="107">
        <f t="shared" ref="Y167:Y168" si="1357">IF(R167=1,IF(N167=0,I167+0.4,0.4),0)</f>
        <v>0</v>
      </c>
      <c r="Z167" s="107">
        <f t="shared" ref="Z167:Z168" si="1358">IF(Y167&gt;0.5,0,IF(S167&lt;I167,S167,I167))</f>
        <v>2.6723999999999299</v>
      </c>
      <c r="AA167" s="107">
        <f t="shared" ref="AA167:AA168" si="1359">I167-Z167</f>
        <v>0</v>
      </c>
      <c r="AB167" s="108">
        <f t="shared" ref="AB167:AB168" si="1360">IF(P167="ASFALTO",IF(D167="PROJETADA",O167,IF(D167="EXISTENTE",0,O167/2)),0)</f>
        <v>5.48</v>
      </c>
      <c r="AC167" s="109">
        <f t="shared" ref="AC167:AC168" si="1361">IF(Y167=0,0,IF(Y167=0.4,IF(L167&lt;=1.5,IF(Z167+0.4&gt;=1.5,0,L167*G167*0.4),0),IF(L167&lt;=1.5,IF(Y167&gt;=1.5,M167*G167*1.5,L167*G167*(Y167)),0)+IF(S167&lt;I167+0.4,0,IF(AND(Y167&lt;=1.5,L167&lt;=1.5),-V167,0))))</f>
        <v>0</v>
      </c>
      <c r="AD167" s="109">
        <f t="shared" ref="AD167:AD168" si="1362">IF(Y167=0,0,IF(Y167=0.4,IF(L167&lt;=1.5,IF(OR(Z167+0.4&gt;=3,Z167+0.4&lt;1.5),0,L167*G167*0.4),0),IF(IF(L167&lt;=1.5,IF(Y167&gt;=3,M167*G167*1.5,L167*G167*(Y167-1.5)),0)&lt;0,0,IF(L167&lt;=1.5,IF(Y167&gt;=3,M167*G167*1.5,L167*G167*(Y167-1.5)),0))+IF(S167&lt;I167+0.4,0,IF(AND(Y167&lt;=3,L167&lt;=1.5),-V167,0))))</f>
        <v>0</v>
      </c>
      <c r="AE167" s="109">
        <f t="shared" ref="AE167:AE168" si="1363">IF(Y167=0,0,IF(Y167=0.4,IF(L167&lt;=1.5,IF(OR(Z167+0.4&gt;=4.5,Z167+0.4&lt;3),0,L167*G167*0.4),0),IF(IF(L167&lt;=1.5,IF(Y167&gt;=4.5,M167*G167*1.5,L167*G167*(Y167-3)),0)&lt;0,0,IF(L167&lt;=1.5,IF(Y167&gt;=4.5,M167*G167*1.5,L167*G167*(Y167-3)),0))+IF(S167&lt;I167+0.4,0,IF(AND(Y167&lt;=4.5,L167&lt;=1.5),-V167,0))))</f>
        <v>0</v>
      </c>
      <c r="AF167" s="109">
        <f t="shared" ref="AF167:AF168" si="1364">IF(L167&lt;=1.5,IF(Z167&gt;=1.5,M167*G167*1.5,L167*G167*Z167),0)+IF(S167&lt;I167,0,IF(AND(Z167&lt;=1.5,L167&lt;=1.5),-V167,0))-V167</f>
        <v>8.2200000000000006</v>
      </c>
      <c r="AG167" s="109">
        <f t="shared" ref="AG167:AG168" si="1365">IF(IF(L167&lt;=1.5,IF(Z167&gt;=3,M167*G167*1.5,L167*G167*(Z167-1.5)),0)&lt;0,0,IF(L167&lt;=1.5,IF(Z167&gt;=3,M167*G167*1.5,L167*G167*(Z167-1.5)),0))</f>
        <v>6.424751999999617</v>
      </c>
      <c r="AH167" s="109">
        <f t="shared" ref="AH167:AH168" si="1366">IF(IF(L167&lt;=1.5,IF(Z167&gt;=4.5,M167*G167*1.5,L167*G167*(Z167-3)),0)&lt;0,0,IF(L167&lt;=1.5,IF(Z167&gt;=4.5,M167*G167*1.5,L167*G167*(Z167-3)),0))+IF(S167&lt;I167,0,IF(AND(Z167&lt;=4.5,Z167&gt;3,L167&lt;=1.5),-V167,0))</f>
        <v>0</v>
      </c>
      <c r="AI167" s="537" t="str">
        <f t="shared" ref="AI167:AI168" si="1367">IF(I167&gt;S167,"SIM","NÃO")</f>
        <v>NÃO</v>
      </c>
      <c r="AJ167" s="104">
        <f t="shared" ref="AJ167:AJ168" si="1368">W167-SUM(AC167:AH167)</f>
        <v>0</v>
      </c>
      <c r="AK167" s="104">
        <f t="shared" ref="AK167:AK168" si="1369">IF(I167-T167&lt;0,0,(I167-T167)*G167)/75</f>
        <v>0</v>
      </c>
      <c r="AL167" s="104">
        <f t="shared" ref="AL167:AL168" si="1370">IF(L167=0,0,G167*L167*I167-PI()*(H167/1000)*(H167/1000)/4*G167+AO167)</f>
        <v>13.956114890332733</v>
      </c>
      <c r="AM167" s="102">
        <f t="shared" ref="AM167:AM168" si="1371">IF(L167&lt;1.5,L167*G167*IF(H167&lt;=500,0.05,IF(H167&lt;=800,0.1,IF(H167&lt;=1200,0.15,IF(H167&gt;=1500,0.2)))),0)</f>
        <v>0.27400000000000002</v>
      </c>
      <c r="AN167" s="106">
        <f t="shared" ref="AN167:AN168" si="1372">IF(L167&gt;=1.5,L167*G167*IF(H167&lt;=500,0.05,IF(H167&lt;=800,0.1,IF(H167&lt;=1200,0.15,IF(H167&gt;=1500,0.2)))),0)</f>
        <v>0</v>
      </c>
      <c r="AO167" s="104">
        <f t="shared" ref="AO167:AO168" si="1373">IF(R167=1,0.4*G167*L167,0)</f>
        <v>0</v>
      </c>
      <c r="AP167" s="104">
        <f t="shared" ref="AP167:AP168" si="1374">IF(AO167&lt;SUM(AF167:AH167),0,AO167)</f>
        <v>0</v>
      </c>
      <c r="AQ167" s="104">
        <f t="shared" ref="AQ167:AQ168" si="1375">H167/1000+0.3</f>
        <v>0.7</v>
      </c>
      <c r="AR167" s="104">
        <f t="shared" ref="AR167:AR168" si="1376">IF(D167&lt;&gt;"PROJETADA",0,AQ167*L167*G167-PI()*(H167/1000*H167/1000)/4*G167)</f>
        <v>3.1473628903331172</v>
      </c>
      <c r="AS167" s="104">
        <f t="shared" ref="AS167:AS168" si="1377">IF(AR167&lt;SUM(AF167:AH167),0,AR167)</f>
        <v>0</v>
      </c>
      <c r="AT167" s="104">
        <f t="shared" ref="AT167:AT168" si="1378">IF(P167="ASFALTO",0.15*G167*L167,0)</f>
        <v>0.82200000000000006</v>
      </c>
      <c r="AU167" s="104">
        <f t="shared" ref="AU167:AU168" si="1379">AT167</f>
        <v>0.82200000000000006</v>
      </c>
      <c r="AV167" s="104">
        <f t="shared" ref="AV167:AV168" si="1380">IF(P167="ASFALTO",0.03*G167*L167,0)</f>
        <v>0.16440000000000002</v>
      </c>
      <c r="AW167" s="104">
        <f t="shared" ref="AW167:AW168" si="1381">AL167-AO167-SUM(AM167:AN167)-AT167-AU167-AR167</f>
        <v>8.890751999999619</v>
      </c>
      <c r="AX167" s="104">
        <f t="shared" ref="AX167:AX168" si="1382">SUM(AF167:AH167)-AO167-AT167-AR167</f>
        <v>10.675389109666501</v>
      </c>
      <c r="AY167" s="104">
        <f t="shared" ref="AY167:AY168" si="1383">SMALL(AW167:AX167,1)</f>
        <v>8.890751999999619</v>
      </c>
      <c r="AZ167" s="104">
        <f t="shared" ref="AZ167:AZ168" si="1384">AW167-AY167</f>
        <v>0</v>
      </c>
      <c r="BA167" s="104">
        <f t="shared" si="1159"/>
        <v>0</v>
      </c>
      <c r="BB167" s="104">
        <f t="shared" ref="BB167:BB168" si="1385">AZ167-BA167</f>
        <v>0</v>
      </c>
      <c r="BC167" s="104"/>
      <c r="BD167" s="104">
        <f t="shared" ref="BD167:BD168" si="1386">IF(AO167&gt;0,4%*(AO167+AT167),0)</f>
        <v>0</v>
      </c>
      <c r="BE167" s="108">
        <f t="shared" ref="BE167:BE168" si="1387">IF(H167=400,I167,0)</f>
        <v>2.6723999999999299</v>
      </c>
      <c r="BF167" s="110">
        <f t="shared" ref="BF167:BF168" si="1388">IF(BE167&lt;=1.75,AND(BE167&gt;0)*G167,0)</f>
        <v>0</v>
      </c>
      <c r="BG167" s="110">
        <f t="shared" ref="BG167:BG168" si="1389">IF(BE167&lt;=3,AND(BE167&gt;1.75)*G167,0)</f>
        <v>5.48</v>
      </c>
      <c r="BH167" s="105" t="str">
        <f>VLOOKUP(A167,'BOCA DE LOBO'!$C$99:$P$172,7,0)</f>
        <v>BOCA DE LOBO PROJETADA TRIPLA</v>
      </c>
      <c r="BI167" s="104">
        <f t="shared" ref="BI167:BI168" si="1390">IF(BH167=$BI$107,1,0)</f>
        <v>0</v>
      </c>
      <c r="BJ167" s="104">
        <f t="shared" ref="BJ167:BJ168" si="1391">IF(BH167=$BJ$107,1,0)</f>
        <v>0</v>
      </c>
      <c r="BK167" s="104">
        <f t="shared" ref="BK167:BK168" si="1392">IF(BH167=$BK$107,1,0)</f>
        <v>0</v>
      </c>
      <c r="BL167" s="104">
        <f t="shared" ref="BL167:BL168" si="1393">IF(BH167=$BL$107,1,0)</f>
        <v>0</v>
      </c>
      <c r="BM167" s="104">
        <f t="shared" ref="BM167:BM168" si="1394">IF(BH167=$BM$107,1,0)</f>
        <v>0</v>
      </c>
      <c r="BN167" s="104">
        <f t="shared" ref="BN167:BN168" si="1395">IF(BH167=$BN$107,1,0)</f>
        <v>0</v>
      </c>
      <c r="BO167" s="543">
        <f t="shared" ref="BO167:BO168" si="1396">IF(BH167=$BO$107,1,0)</f>
        <v>1</v>
      </c>
      <c r="BP167" s="111"/>
      <c r="BQ167" s="108">
        <f t="shared" ref="BQ167:BQ168" si="1397">IF(L167&lt;=1.5,IF(I167+IF(R167=1,0.5,0)&lt;1.5,(I167+IF(R167=1,0.5,0))*G167*2,G167*2*1.5),0)</f>
        <v>16.440000000000001</v>
      </c>
      <c r="BR167" s="108">
        <f t="shared" ref="BR167:BR168" si="1398">IF(L167&lt;=1.5,IF(AND(I167+IF(R167=1,0.5,0)&lt;3,I167+IF(R167=1,0.5,0)&gt;1.5),(I167+IF(R167=1,0.5,0)-1.5)*G167*2,IF(I167+IF(R167=1,0.5,0)&gt;=3,(G167*2*1.5),0)),0)</f>
        <v>12.849503999999234</v>
      </c>
      <c r="BS167" s="108">
        <f t="shared" ref="BS167:BS168" si="1399">IF(L167&lt;=1.5,IF(AND(I167+IF(R167=1,0.5,0)&lt;4.5,I167+IF(R167=1,0.5,0)&gt;3),(I167+IF(R167=1,0.5,0)-3)*G167*2,IF(I167+IF(R167=1,0.5,0)&gt;=4.5,(G167*2*1.5),0)),0)</f>
        <v>0</v>
      </c>
      <c r="BT167" s="112"/>
      <c r="BU167" s="112" t="s">
        <v>1410</v>
      </c>
      <c r="BV167" s="538">
        <f t="shared" ref="BV167:BV168" si="1400">IF(OR("BOCA DE LOBO EXISTENTE TRIPLA"=BH167,"BOCA DE LOBO EXISTENTE SIMPLES"=BH167,"BOCA DE LOBO EXISTENTE DUPLA"=BH167),0,IF("BOCA DE LOBO PROJETADA DUPLA"=BH167,(2.57+1)*(1.18+1),IF(OR("BOCA DE LOBO DUPLA EXISTENTE COM BOCA DE LOBO SIMPLES PROJETADA"=BH167,"BOCA DE LOBO SIMPLES EXISTENTE COM BOCA DE LOBO SIMPLES PROJETADA"=BH167),(1.18+0.5)*(1.18+1),IF(OR(BH167="BOCA DE LOBO DUPLA EXISTENTE COM BOCA DE LOBO DUPLA PROJETADA",BH167="BOCA DE LOBO SIMPLES EXISTENTE COM BOCA DE LOBO DUPLA PROJETADA"),(2.38+0.5)*(1.18+1),IF("BOCA DE LOBO PROJETADA TRIPLA"=BH167,(3.76+1)*(1.18+1),IF("BOCA DE LOBO PROJETADA QUADRUPLA"=BH167,(4.92+1)*(1.18+1),"X"))))))*(E167+IF(CA167&gt;0,0.5,0))</f>
        <v>25.244679039999269</v>
      </c>
      <c r="BW167" s="538">
        <f t="shared" ref="BW167:BW168" si="1401">IF(OR("BOCA DE LOBO EXISTENTE TRIPLA"=BH167,"BOCA DE LOBO EXISTENTE SIMPLES"=BH167,"BOCA DE LOBO EXISTENTE DUPLA"=BH167),0,IF("BOCA DE LOBO PROJETADA DUPLA"=BH167,(2.57+1)*(1.18+1),IF(OR("BOCA DE LOBO DUPLA EXISTENTE COM BOCA DE LOBO SIMPLES PROJETADA"=BH167,"BOCA DE LOBO SIMPLES EXISTENTE COM BOCA DE LOBO SIMPLES PROJETADA"=BH167),(1.18+1)*(1.18+0.5),IF(OR(BH167="BOCA DE LOBO DUPLA EXISTENTE COM BOCA DE LOBO DUPLA PROJETADA",BH167="BOCA DE LOBO SIMPLES EXISTENTE COM BOCA DE LOBO DUPLA PROJETADA"),(2.38+0.5)*(1.18+1),IF("BOCA DE LOBO PROJETADA TRIPLA"=BH167,(3.76+0.5*2)*(1.18+1),IF("BOCA DE LOBO PROJETADA QUADRUPLA"=BH167,(4.92+0.5*2)*(1.18+1),"X"))))))</f>
        <v>10.376799999999998</v>
      </c>
      <c r="BX167" s="538">
        <f t="shared" ref="BX167:BX168" si="1402">IF(OR("BOCA DE LOBO EXISTENTE TRIPLA"=BH167,"BOCA DE LOBO EXISTENTE SIMPLES"=BH167,"BOCA DE LOBO EXISTENTE DUPLA"=BH167),0,IF("BOCA DE LOBO PROJETADA DUPLA"=BH167,(2.57)*(1.18),IF(OR("BOCA DE LOBO DUPLA EXISTENTE COM BOCA DE LOBO SIMPLES PROJETADA"=BH167,"BOCA DE LOBO SIMPLES EXISTENTE COM BOCA DE LOBO SIMPLES PROJETADA"=BH167),(1.18)*(1.18),IF(OR(BH167="BOCA DE LOBO DUPLA EXISTENTE COM BOCA DE LOBO DUPLA PROJETADA",BH167="BOCA DE LOBO SIMPLES EXISTENTE COM BOCA DE LOBO DUPLA PROJETADA"),(2.38)*(1.18),IF("BOCA DE LOBO PROJETADA TRIPLA"=BH167,(3.76)*(1.18),IF("BOCA DE LOBO PROJETADA QUADRUPLA"=BH167,(4.92)*(1.18),"X"))))))</f>
        <v>4.4367999999999999</v>
      </c>
      <c r="BY167" s="538">
        <f t="shared" ref="BY167:BY168" si="1403">E167</f>
        <v>2.4327999999999301</v>
      </c>
      <c r="BZ167" s="538">
        <f t="shared" ref="BZ167:BZ168" si="1404">IF(Y167&gt;0.5,0,IF(S167&lt;E167,S167,E167))</f>
        <v>2.4327999999999301</v>
      </c>
      <c r="CA167" s="538">
        <f t="shared" ref="CA167:CA168" si="1405">IF(Y167&gt;0.5,BY167+0.5,Y167)</f>
        <v>0</v>
      </c>
      <c r="CB167" s="538">
        <f t="shared" ref="CB167:CB168" si="1406">IF(S167&gt;E167,0,E167-S167)</f>
        <v>0</v>
      </c>
      <c r="CC167" s="538">
        <f t="shared" ref="CC167:CC168" si="1407">IF(BZ167&gt;1.5,BW167*1.5,BW167*BZ167)</f>
        <v>15.565199999999997</v>
      </c>
      <c r="CD167" s="538">
        <f t="shared" ref="CD167:CD168" si="1408">IF(BZ167&gt;1.5,BW167*(BZ167-1.5),0)</f>
        <v>9.6794790399992721</v>
      </c>
      <c r="CE167" s="538">
        <f t="shared" ref="CE167:CE168" si="1409">IF(CA167&gt;1.5,BW167*1.5,BW167*CA167)</f>
        <v>0</v>
      </c>
      <c r="CF167" s="538">
        <f t="shared" ref="CF167:CF168" si="1410">IF(CA167&gt;1.5,BW167*(CA167-1.5),0)</f>
        <v>0</v>
      </c>
      <c r="CG167" s="538">
        <f t="shared" ref="CG167:CG168" si="1411">BV167-SUM(CC167:CF167)</f>
        <v>0</v>
      </c>
      <c r="CH167" s="538">
        <f t="shared" ref="CH167:CH168" si="1412">SUM(CC167:CG167)-BV167</f>
        <v>0</v>
      </c>
      <c r="CI167" s="104">
        <f t="shared" ref="CI167:CI168" si="1413">IF(OR("BOCA DE LOBO EXISTENTE TRIPLA"=BH167,"BOCA DE LOBO EXISTENTE SIMPLES"=BH167,"BOCA DE LOBO EXISTENTE DUPLA"=BH167),0,IF("BOCA DE LOBO PROJETADA DUPLA"=BH167,(2.57+1)*(0.5),IF(OR("BOCA DE LOBO DUPLA EXISTENTE COM BOCA DE LOBO SIMPLES PROJETADA"=BH167,"BOCA DE LOBO SIMPLES EXISTENTE COM BOCA DE LOBO SIMPLES PROJETADA"=BH167),(1.18+0.5)*(0.5),IF(OR(BH167="BOCA DE LOBO DUPLA EXISTENTE COM BOCA DE LOBO DUPLA PROJETADA",BH167="BOCA DE LOBO SIMPLES EXISTENTE COM BOCA DE LOBO DUPLA PROJETADA"),(2.38+0.5)*(0.5),IF("BOCA DE LOBO PROJETADA TRIPLA"=BH167,(3.76+1)*(0.5),IF("BOCA DE LOBO PROJETADA QUADRUPLA"=BH167,(4.92+1)*(0.5),"X")))))*0.3)</f>
        <v>0.71399999999999997</v>
      </c>
      <c r="CJ167" s="538">
        <f t="shared" ref="CJ167:CJ168" si="1414">(BW167-BX167)*(BY167+IF(CA167&gt;=0.4,0.4,0))-CI167</f>
        <v>13.736831999999579</v>
      </c>
      <c r="CK167" s="538">
        <f t="shared" si="1190"/>
        <v>13.736831999999579</v>
      </c>
      <c r="CL167" s="538">
        <f t="shared" ref="CL167:CL168" si="1415">CJ167-CK167</f>
        <v>0</v>
      </c>
      <c r="CM167" s="538">
        <f t="shared" ref="CM167:CM168" si="1416">IF(CA167&gt;0,0.5*4%*BW167,0)</f>
        <v>0</v>
      </c>
      <c r="CN167" s="538">
        <f t="shared" ref="CN167:CN168" si="1417">IF(OR("BOCA DE LOBO EXISTENTE TRIPLA"=BH167,"BOCA DE LOBO EXISTENTE SIMPLES"=BH167,"BOCA DE LOBO EXISTENTE DUPLA"=BH167),0,IF("BOCA DE LOBO PROJETADA DUPLA"=BH167,(2.57+1),IF(OR("BOCA DE LOBO DUPLA EXISTENTE COM BOCA DE LOBO SIMPLES PROJETADA"=BH167,"BOCA DE LOBO SIMPLES EXISTENTE COM BOCA DE LOBO SIMPLES PROJETADA"=BH167),(1.18+0.5),IF(OR(BH167="BOCA DE LOBO DUPLA EXISTENTE COM BOCA DE LOBO DUPLA PROJETADA",BH167="BOCA DE LOBO SIMPLES EXISTENTE COM BOCA DE LOBO DUPLA PROJETADA"),(2.38+0.5),IF("BOCA DE LOBO PROJETADA TRIPLA"=BH167,(3.76+0.5*2),IF("BOCA DE LOBO PROJETADA QUADRUPLA"=BH167,(4.92+0.5*2),"X"))))))</f>
        <v>4.76</v>
      </c>
      <c r="CO167" s="538">
        <f t="shared" ref="CO167:CO168" si="1418">IF(CA167&gt;0,BY167+0.5,BY167)</f>
        <v>2.4327999999999301</v>
      </c>
      <c r="CP167" s="538">
        <f t="shared" ref="CP167:CP168" si="1419">IF(CO167&gt;=1.5,CN167*1.5*2,CN167*CO167*2)</f>
        <v>14.28</v>
      </c>
      <c r="CQ167" s="538">
        <f t="shared" ref="CQ167:CQ168" si="1420">IF(CO167&lt;=1.5,0,IF(CO167&gt;=3,CN167*1.5*2,CN167*(CO167-1.5)*2))</f>
        <v>8.8802559999993349</v>
      </c>
      <c r="CR167" s="539">
        <f t="shared" ref="CR167:CR168" si="1421">IF(D167="AMPLIADA",0.55*(E167-0.5),0)</f>
        <v>0</v>
      </c>
      <c r="CS167" s="540">
        <f t="shared" ref="CS167:CS168" si="1422">IF(OR("BOCA DE LOBO EXISTENTE TRIPLA"=BH167,"BOCA DE LOBO EXISTENTE SIMPLES"=BH167,"BOCA DE LOBO EXISTENTE DUPLA"=BH167,"BOCA DE LOBO EXISTENTE QUADRUPLA"=BH167),0,IF("BOCA DE LOBO PROJETADA DUPLA"=BH167,(0),IF(OR("BOCA DE LOBO DUPLA EXISTENTE COM BOCA DE LOBO SIMPLES PROJETADA"=BH167,"BOCA DE LOBO SIMPLES EXISTENTE COM BOCA DE LOBO SIMPLES PROJETADA"=BH167),(0.8*0.15*0.17),IF(OR(BH167="BOCA DE LOBO DUPLA EXISTENTE COM BOCA DE LOBO DUPLA PROJETADA",BH167="BOCA DE LOBO SIMPLES EXISTENTE COM BOCA DE LOBO DUPLA PROJETADA"),(0.8*0.15*0.17),IF("BOCA DE LOBO PROJETADA TRIPLA"=BH167,(0),IF("BOCA DE LOBO PROJETADA QUADRUPLA"=BH167,(0),"X")))))*E167)</f>
        <v>0</v>
      </c>
      <c r="CT167" s="540">
        <f t="shared" ref="CT167:CT168" si="1423">IF(OR("BOCA DE LOBO EXISTENTE TRIPLA"=BH167,"BOCA DE LOBO EXISTENTE SIMPLES"=BH167,"BOCA DE LOBO EXISTENTE DUPLA"=BH167,"BOCA DE LOBO EXISTENTE QUADRUPLA"=BH167),0,IF("BOCA DE LOBO PROJETADA DUPLA"=BH167,(1.18*2.57*0.05),IF(OR("BOCA DE LOBO DUPLA EXISTENTE COM BOCA DE LOBO SIMPLES PROJETADA"=BH167,"BOCA DE LOBO SIMPLES EXISTENTE COM BOCA DE LOBO SIMPLES PROJETADA"=BH167),(1.19*1.18*0.05),IF(OR(BH167="BOCA DE LOBO DUPLA EXISTENTE COM BOCA DE LOBO DUPLA PROJETADA",BH167="BOCA DE LOBO SIMPLES EXISTENTE COM BOCA DE LOBO DUPLA PROJETADA"),(2.38*1.18*0.056),IF("BOCA DE LOBO PROJETADA TRIPLA"=BH167,(3.76*1.18*0.05),IF("BOCA DE LOBO PROJETADA QUADRUPLA"=BH167,(4.92*1.18*0.05),"X")))))+CI167/3)</f>
        <v>0.45984000000000003</v>
      </c>
      <c r="CU167" s="541">
        <f t="shared" ref="CU167:CU168" si="1424">IF(OR("BOCA DE LOBO EXISTENTE TRIPLA"=BH167,"BOCA DE LOBO EXISTENTE SIMPLES"=BH167,"BOCA DE LOBO EXISTENTE DUPLA"=BH167,"BOCA DE LOBO EXISTENTE QUADRUPLA"=BH167),0,IF("BOCA DE LOBO PROJETADA DUPLA"=BH167,(1*4+0.6*2),IF(OR("BOCA DE LOBO DUPLA EXISTENTE COM BOCA DE LOBO SIMPLES PROJETADA"=BH167,"BOCA DE LOBO SIMPLES EXISTENTE COM BOCA DE LOBO SIMPLES PROJETADA"=BH167),(1*2+0.6),IF(OR(BH167="BOCA DE LOBO DUPLA EXISTENTE COM BOCA DE LOBO DUPLA PROJETADA",BH167="BOCA DE LOBO SIMPLES EXISTENTE COM BOCA DE LOBO DUPLA PROJETADA"),(1*4+0.6),IF("BOCA DE LOBO PROJETADA TRIPLA"=BH167,(6*1+0.6*2),IF("BOCA DE LOBO PROJETADA QUADRUPLA"=BH167,(8*1+0.6*2),"X")))))*E167)</f>
        <v>17.516159999999498</v>
      </c>
      <c r="CV167" s="538">
        <f t="shared" ref="CV167:CV168" si="1425">IF(OR("BOCA DE LOBO EXISTENTE TRIPLA"=BH167,"BOCA DE LOBO EXISTENTE SIMPLES"=BH167,"BOCA DE LOBO EXISTENTE DUPLA"=BH167,"BOCA DE LOBO EXISTENTE QUADRUPLA"=BH167),0,IF("BOCA DE LOBO PROJETADA DUPLA"=BH167,(12*E167*0.17*0.15+1*0.17*0.15*5+1.09*0.6*0.07*2+2.57*1.18*0.15),IF(OR("BOCA DE LOBO DUPLA EXISTENTE COM BOCA DE LOBO SIMPLES PROJETADA"=BH167,"BOCA DE LOBO SIMPLES EXISTENTE COM BOCA DE LOBO SIMPLES PROJETADA"=BH167),(8*E167*0.17*0.15+1*0.17*0.15*4+1.09*0.6*0.07*1+1.38*1.18*0.15),IF(OR(BH167="BOCA DE LOBO DUPLA EXISTENTE COM BOCA DE LOBO DUPLA PROJETADA",BH167="BOCA DE LOBO SIMPLES EXISTENTE COM BOCA DE LOBO DUPLA PROJETADA"),(7*E167*0.17*0.15+1*0.17*0.15*5+1.09*0.6*0.07*2+2.38*1.18*0.15),IF("BOCA DE LOBO PROJETADA TRIPLA"=BH167,(15*E167*0.17*0.15+1*0.17*0.15*7+1.09*0.6*0.07*3+3.76*1.18*0.15),IF("BOCA DE LOBO PROJETADA QUADRUPLA"=BH167,(19*E167*0.17*0.15+1*0.17*0.15*9+1.09*0.6*0.07*4+4.92*1.18*0.15),"X"))))))</f>
        <v>1.9119059999999735</v>
      </c>
      <c r="CW167" s="538">
        <f t="shared" ref="CW167:CW168" si="1426">IF(OR("BOCA DE LOBO EXISTENTE TRIPLA"=BH167,"BOCA DE LOBO EXISTENTE SIMPLES"=BH167,"BOCA DE LOBO EXISTENTE DUPLA"=BH167,"BOCA DE LOBO EXISTENTE QUADRUPLA"=BH167),0,IF("BOCA DE LOBO PROJETADA DUPLA"=BH167,(12*E167*2*(0.17+0.15)+1*(2*0.17+0.15)*5+2*(2.57+1.18)*0.15+(1.09+0.6)*2*0.07*2),IF(OR("BOCA DE LOBO DUPLA EXISTENTE COM BOCA DE LOBO SIMPLES PROJETADA"=BH167,"BOCA DE LOBO SIMPLES EXISTENTE COM BOCA DE LOBO SIMPLES PROJETADA"=BH167),(8*E167*2*(0.17+0.15)+1*(2*0.17+0.15)*4+2*(1.38+1.18)*0.15+(1.09+0.6)*2*0.07*1),IF(OR(BH167="BOCA DE LOBO DUPLA EXISTENTE COM BOCA DE LOBO DUPLA PROJETADA",BH167="BOCA DE LOBO SIMPLES EXISTENTE COM BOCA DE LOBO DUPLA PROJETADA"),(7*E167*2*(0.17+0.15)+1*(2*0.17+0.15)*5+2*(2.38+1.18)*0.15+(1.09+0.6)*2*0.07*2),IF("BOCA DE LOBO PROJETADA TRIPLA"=BH167,(15*E167*2*(0.17+0.15)+1*(2*0.17+0.15)*7+2*(3.76+1.18)*0.15+(1.09+0.6)*2*0.07*3),IF("BOCA DE LOBO PROJETADA QUADRUPLA"=BH167,(19*E167*2*(0.17+0.15)+1*(2*0.17+0.15)*7+2*(4.92+1.18)*0.15+(1.09+0.6)*2*0.07*4),"X"))))))</f>
        <v>28.97667999999933</v>
      </c>
      <c r="CX167" s="104">
        <f t="shared" ref="CX167:CX168" si="1427">IF(OR("BOCA DE LOBO EXISTENTE TRIPLA"=BH167,"BOCA DE LOBO EXISTENTE SIMPLES"=BH167,"BOCA DE LOBO EXISTENTE DUPLA"=BH167,"BOCA DE LOBO EXISTENTE QUADRUPLA"=BH167),0,IF("BOCA DE LOBO PROJETADA DUPLA"=BH167,(2.57+1),IF(OR("BOCA DE LOBO DUPLA EXISTENTE COM BOCA DE LOBO SIMPLES PROJETADA"=BH167,"BOCA DE LOBO SIMPLES EXISTENTE COM BOCA DE LOBO SIMPLES PROJETADA"=BH167),(1.18+0.5),IF(OR(BH167="BOCA DE LOBO DUPLA EXISTENTE COM BOCA DE LOBO DUPLA PROJETADA",BH167="BOCA DE LOBO SIMPLES EXISTENTE COM BOCA DE LOBO DUPLA PROJETADA"),(2.38+0.5),IF("BOCA DE LOBO PROJETADA TRIPLA"=BH167,(3.76+1),IF("BOCA DE LOBO PROJETADA QUADRUPLA"=BH167,(4.92+1),"X"))))))</f>
        <v>4.76</v>
      </c>
      <c r="CY167" s="542">
        <f t="shared" ref="CY167:CY168" si="1428">CX167*0.5</f>
        <v>2.38</v>
      </c>
      <c r="CZ167" s="538">
        <f t="shared" ref="CZ167:CZ168" si="1429">IF(AND(C167="EXISTENTE",D167="PROJETADA"),PI()*0.51*0.51/4*0.12,0)</f>
        <v>2.4513847475961154E-2</v>
      </c>
    </row>
    <row r="168" spans="1:104" ht="25" x14ac:dyDescent="0.25">
      <c r="A168" s="100" t="str">
        <f>'BOCA DE LOBO'!C158</f>
        <v>BL58-&gt;PV5-45</v>
      </c>
      <c r="B168" s="100" t="str">
        <f>'BOCA DE LOBO'!A158</f>
        <v>PV5-45</v>
      </c>
      <c r="C168" s="100" t="str">
        <f>VLOOKUP(A168,'BOCA DE LOBO'!C:F,3,0)</f>
        <v>EXISTENTE</v>
      </c>
      <c r="D168" s="100" t="str">
        <f>VLOOKUP(A168,'BOCA DE LOBO'!C:M,10,0)</f>
        <v>PROJETADA</v>
      </c>
      <c r="E168" s="100">
        <f t="shared" si="1346"/>
        <v>2.5</v>
      </c>
      <c r="F168" s="100">
        <f>VLOOKUP(A168,'BOCA DE LOBO'!$C$97:$P$172,2,0)</f>
        <v>3.2609999999999673</v>
      </c>
      <c r="G168" s="100">
        <f>VLOOKUP(A168,'BOCA DE LOBO'!$C$97:$L$172,4,0)</f>
        <v>5.6</v>
      </c>
      <c r="H168" s="101">
        <v>400</v>
      </c>
      <c r="I168" s="102">
        <f t="shared" si="1347"/>
        <v>3.0104999999999835</v>
      </c>
      <c r="J168" s="102">
        <f t="shared" si="1348"/>
        <v>0.84293999999999536</v>
      </c>
      <c r="K168" s="103">
        <v>0</v>
      </c>
      <c r="L168" s="104">
        <f t="shared" si="1349"/>
        <v>1</v>
      </c>
      <c r="M168" s="104">
        <f t="shared" si="1350"/>
        <v>1</v>
      </c>
      <c r="N168" s="104">
        <f t="shared" si="1351"/>
        <v>0</v>
      </c>
      <c r="O168" s="104">
        <f t="shared" si="1352"/>
        <v>5.6</v>
      </c>
      <c r="P168" s="105" t="s">
        <v>1999</v>
      </c>
      <c r="Q168" s="452" t="s">
        <v>2174</v>
      </c>
      <c r="R168" s="105"/>
      <c r="S168" s="105">
        <v>5</v>
      </c>
      <c r="T168" s="105">
        <v>5</v>
      </c>
      <c r="U168" s="104">
        <f t="shared" si="1353"/>
        <v>0.05</v>
      </c>
      <c r="V168" s="106">
        <f t="shared" si="1354"/>
        <v>0</v>
      </c>
      <c r="W168" s="106">
        <f t="shared" si="1355"/>
        <v>16.858799999999906</v>
      </c>
      <c r="X168" s="107">
        <f t="shared" si="1356"/>
        <v>0</v>
      </c>
      <c r="Y168" s="107">
        <f t="shared" si="1357"/>
        <v>0</v>
      </c>
      <c r="Z168" s="107">
        <f t="shared" si="1358"/>
        <v>3.0104999999999835</v>
      </c>
      <c r="AA168" s="107">
        <f t="shared" si="1359"/>
        <v>0</v>
      </c>
      <c r="AB168" s="108">
        <f t="shared" si="1360"/>
        <v>5.6</v>
      </c>
      <c r="AC168" s="109">
        <f t="shared" si="1361"/>
        <v>0</v>
      </c>
      <c r="AD168" s="109">
        <f t="shared" si="1362"/>
        <v>0</v>
      </c>
      <c r="AE168" s="109">
        <f t="shared" si="1363"/>
        <v>0</v>
      </c>
      <c r="AF168" s="109">
        <f t="shared" si="1364"/>
        <v>8.3999999999999986</v>
      </c>
      <c r="AG168" s="109">
        <f t="shared" si="1365"/>
        <v>8.3999999999999986</v>
      </c>
      <c r="AH168" s="109">
        <f t="shared" si="1366"/>
        <v>5.8799999999907725E-2</v>
      </c>
      <c r="AI168" s="537" t="str">
        <f t="shared" si="1367"/>
        <v>NÃO</v>
      </c>
      <c r="AJ168" s="104">
        <f t="shared" si="1368"/>
        <v>0</v>
      </c>
      <c r="AK168" s="104">
        <f t="shared" si="1369"/>
        <v>0</v>
      </c>
      <c r="AL168" s="104">
        <f t="shared" si="1370"/>
        <v>16.155083245595794</v>
      </c>
      <c r="AM168" s="102">
        <f t="shared" si="1371"/>
        <v>0.27999999999999997</v>
      </c>
      <c r="AN168" s="106">
        <f t="shared" si="1372"/>
        <v>0</v>
      </c>
      <c r="AO168" s="104">
        <f t="shared" si="1373"/>
        <v>0</v>
      </c>
      <c r="AP168" s="104">
        <f t="shared" si="1374"/>
        <v>0</v>
      </c>
      <c r="AQ168" s="104">
        <f t="shared" si="1375"/>
        <v>0.7</v>
      </c>
      <c r="AR168" s="104">
        <f t="shared" si="1376"/>
        <v>3.2162832455958856</v>
      </c>
      <c r="AS168" s="104">
        <f t="shared" si="1377"/>
        <v>0</v>
      </c>
      <c r="AT168" s="104">
        <f t="shared" si="1378"/>
        <v>0.84</v>
      </c>
      <c r="AU168" s="104">
        <f t="shared" si="1379"/>
        <v>0.84</v>
      </c>
      <c r="AV168" s="104">
        <f t="shared" si="1380"/>
        <v>0.16799999999999998</v>
      </c>
      <c r="AW168" s="104">
        <f t="shared" si="1381"/>
        <v>10.978799999999909</v>
      </c>
      <c r="AX168" s="104">
        <f t="shared" si="1382"/>
        <v>12.802516754404021</v>
      </c>
      <c r="AY168" s="104">
        <f t="shared" si="1383"/>
        <v>10.978799999999909</v>
      </c>
      <c r="AZ168" s="104">
        <f t="shared" si="1384"/>
        <v>0</v>
      </c>
      <c r="BA168" s="104">
        <f t="shared" si="1159"/>
        <v>0</v>
      </c>
      <c r="BB168" s="104">
        <f t="shared" si="1385"/>
        <v>0</v>
      </c>
      <c r="BC168" s="104"/>
      <c r="BD168" s="104">
        <f t="shared" si="1386"/>
        <v>0</v>
      </c>
      <c r="BE168" s="108">
        <f t="shared" si="1387"/>
        <v>3.0104999999999835</v>
      </c>
      <c r="BF168" s="110">
        <f t="shared" si="1388"/>
        <v>0</v>
      </c>
      <c r="BG168" s="110">
        <f t="shared" si="1389"/>
        <v>0</v>
      </c>
      <c r="BH168" s="105" t="str">
        <f>VLOOKUP(A168,'BOCA DE LOBO'!$C$99:$P$172,7,0)</f>
        <v>BOCA DE LOBO PROJETADA TRIPLA</v>
      </c>
      <c r="BI168" s="104">
        <f t="shared" si="1390"/>
        <v>0</v>
      </c>
      <c r="BJ168" s="104">
        <f t="shared" si="1391"/>
        <v>0</v>
      </c>
      <c r="BK168" s="104">
        <f t="shared" si="1392"/>
        <v>0</v>
      </c>
      <c r="BL168" s="104">
        <f t="shared" si="1393"/>
        <v>0</v>
      </c>
      <c r="BM168" s="104">
        <f t="shared" si="1394"/>
        <v>0</v>
      </c>
      <c r="BN168" s="104">
        <f t="shared" si="1395"/>
        <v>0</v>
      </c>
      <c r="BO168" s="543">
        <f t="shared" si="1396"/>
        <v>1</v>
      </c>
      <c r="BP168" s="111"/>
      <c r="BQ168" s="108">
        <f t="shared" si="1397"/>
        <v>16.799999999999997</v>
      </c>
      <c r="BR168" s="108">
        <f t="shared" si="1398"/>
        <v>16.799999999999997</v>
      </c>
      <c r="BS168" s="108">
        <f t="shared" si="1399"/>
        <v>0.11759999999981545</v>
      </c>
      <c r="BT168" s="112"/>
      <c r="BU168" s="112" t="s">
        <v>1410</v>
      </c>
      <c r="BV168" s="538">
        <f t="shared" si="1400"/>
        <v>25.941999999999993</v>
      </c>
      <c r="BW168" s="538">
        <f t="shared" si="1401"/>
        <v>10.376799999999998</v>
      </c>
      <c r="BX168" s="538">
        <f t="shared" si="1402"/>
        <v>4.4367999999999999</v>
      </c>
      <c r="BY168" s="538">
        <f t="shared" si="1403"/>
        <v>2.5</v>
      </c>
      <c r="BZ168" s="538">
        <f t="shared" si="1404"/>
        <v>2.5</v>
      </c>
      <c r="CA168" s="538">
        <f t="shared" si="1405"/>
        <v>0</v>
      </c>
      <c r="CB168" s="538">
        <f t="shared" si="1406"/>
        <v>0</v>
      </c>
      <c r="CC168" s="538">
        <f t="shared" si="1407"/>
        <v>15.565199999999997</v>
      </c>
      <c r="CD168" s="538">
        <f t="shared" si="1408"/>
        <v>10.376799999999998</v>
      </c>
      <c r="CE168" s="538">
        <f t="shared" si="1409"/>
        <v>0</v>
      </c>
      <c r="CF168" s="538">
        <f t="shared" si="1410"/>
        <v>0</v>
      </c>
      <c r="CG168" s="538">
        <f t="shared" si="1411"/>
        <v>0</v>
      </c>
      <c r="CH168" s="538">
        <f t="shared" si="1412"/>
        <v>0</v>
      </c>
      <c r="CI168" s="104">
        <f t="shared" si="1413"/>
        <v>0.71399999999999997</v>
      </c>
      <c r="CJ168" s="538">
        <f t="shared" si="1414"/>
        <v>14.135999999999994</v>
      </c>
      <c r="CK168" s="538">
        <f t="shared" si="1190"/>
        <v>14.135999999999994</v>
      </c>
      <c r="CL168" s="538">
        <f t="shared" si="1415"/>
        <v>0</v>
      </c>
      <c r="CM168" s="538">
        <f t="shared" si="1416"/>
        <v>0</v>
      </c>
      <c r="CN168" s="538">
        <f t="shared" si="1417"/>
        <v>4.76</v>
      </c>
      <c r="CO168" s="538">
        <f t="shared" si="1418"/>
        <v>2.5</v>
      </c>
      <c r="CP168" s="538">
        <f t="shared" si="1419"/>
        <v>14.28</v>
      </c>
      <c r="CQ168" s="538">
        <f t="shared" si="1420"/>
        <v>9.52</v>
      </c>
      <c r="CR168" s="539">
        <f t="shared" si="1421"/>
        <v>0</v>
      </c>
      <c r="CS168" s="540">
        <f t="shared" si="1422"/>
        <v>0</v>
      </c>
      <c r="CT168" s="540">
        <f t="shared" si="1423"/>
        <v>0.45984000000000003</v>
      </c>
      <c r="CU168" s="541">
        <f t="shared" si="1424"/>
        <v>18</v>
      </c>
      <c r="CV168" s="538">
        <f t="shared" si="1425"/>
        <v>1.9376100000000003</v>
      </c>
      <c r="CW168" s="538">
        <f t="shared" si="1426"/>
        <v>29.6218</v>
      </c>
      <c r="CX168" s="104">
        <f t="shared" si="1427"/>
        <v>4.76</v>
      </c>
      <c r="CY168" s="542">
        <f t="shared" si="1428"/>
        <v>2.38</v>
      </c>
      <c r="CZ168" s="538">
        <f t="shared" si="1429"/>
        <v>2.4513847475961154E-2</v>
      </c>
    </row>
    <row r="169" spans="1:104" ht="37.5" x14ac:dyDescent="0.25">
      <c r="A169" s="100" t="str">
        <f>'BOCA DE LOBO'!C159</f>
        <v>BL59-&gt;PV1-46</v>
      </c>
      <c r="B169" s="100" t="str">
        <f>'BOCA DE LOBO'!A159</f>
        <v>PV1-46</v>
      </c>
      <c r="C169" s="100" t="str">
        <f>VLOOKUP(A169,'BOCA DE LOBO'!C:F,3,0)</f>
        <v>EXISTENTE</v>
      </c>
      <c r="D169" s="100" t="str">
        <f>VLOOKUP(A169,'BOCA DE LOBO'!C:M,10,0)</f>
        <v>AMPLIADA</v>
      </c>
      <c r="E169" s="100">
        <f t="shared" si="1276"/>
        <v>1.538</v>
      </c>
      <c r="F169" s="100">
        <f>VLOOKUP(A169,'BOCA DE LOBO'!$C$97:$P$172,2,0)</f>
        <v>1.75</v>
      </c>
      <c r="G169" s="100">
        <f>VLOOKUP(A169,'BOCA DE LOBO'!$C$97:$L$172,4,0)</f>
        <v>5.3</v>
      </c>
      <c r="H169" s="101">
        <v>400</v>
      </c>
      <c r="I169" s="102">
        <f t="shared" si="1277"/>
        <v>1.7740000000000002</v>
      </c>
      <c r="J169" s="102">
        <f t="shared" si="1278"/>
        <v>0.47011000000000003</v>
      </c>
      <c r="K169" s="103">
        <v>0</v>
      </c>
      <c r="L169" s="104">
        <f t="shared" si="1279"/>
        <v>0</v>
      </c>
      <c r="M169" s="104">
        <f t="shared" si="1280"/>
        <v>0</v>
      </c>
      <c r="N169" s="104">
        <f t="shared" si="1281"/>
        <v>400</v>
      </c>
      <c r="O169" s="104">
        <f t="shared" si="1282"/>
        <v>0</v>
      </c>
      <c r="P169" s="105" t="s">
        <v>1999</v>
      </c>
      <c r="Q169" s="452" t="s">
        <v>2174</v>
      </c>
      <c r="R169" s="105"/>
      <c r="S169" s="105">
        <v>5</v>
      </c>
      <c r="T169" s="105">
        <v>5</v>
      </c>
      <c r="U169" s="104">
        <f t="shared" si="1283"/>
        <v>0.05</v>
      </c>
      <c r="V169" s="106">
        <f t="shared" si="1284"/>
        <v>0</v>
      </c>
      <c r="W169" s="106">
        <f t="shared" si="1285"/>
        <v>0</v>
      </c>
      <c r="X169" s="107">
        <f t="shared" si="1286"/>
        <v>0</v>
      </c>
      <c r="Y169" s="107">
        <f t="shared" si="1287"/>
        <v>0</v>
      </c>
      <c r="Z169" s="107">
        <f t="shared" si="1288"/>
        <v>1.7740000000000002</v>
      </c>
      <c r="AA169" s="107">
        <f t="shared" si="1289"/>
        <v>0</v>
      </c>
      <c r="AB169" s="108">
        <f t="shared" si="1290"/>
        <v>0</v>
      </c>
      <c r="AC169" s="109">
        <f t="shared" si="1291"/>
        <v>0</v>
      </c>
      <c r="AD169" s="109">
        <f t="shared" si="1292"/>
        <v>0</v>
      </c>
      <c r="AE169" s="109">
        <f t="shared" si="1293"/>
        <v>0</v>
      </c>
      <c r="AF169" s="109">
        <f t="shared" si="1294"/>
        <v>0</v>
      </c>
      <c r="AG169" s="109">
        <f t="shared" si="1295"/>
        <v>0</v>
      </c>
      <c r="AH169" s="109">
        <f t="shared" si="1296"/>
        <v>0</v>
      </c>
      <c r="AI169" s="537" t="str">
        <f t="shared" si="1297"/>
        <v>NÃO</v>
      </c>
      <c r="AJ169" s="104">
        <f t="shared" si="1298"/>
        <v>0</v>
      </c>
      <c r="AK169" s="104">
        <f t="shared" si="1299"/>
        <v>0</v>
      </c>
      <c r="AL169" s="104">
        <f t="shared" si="1300"/>
        <v>0</v>
      </c>
      <c r="AM169" s="102">
        <f t="shared" si="1301"/>
        <v>0</v>
      </c>
      <c r="AN169" s="106">
        <f t="shared" si="1302"/>
        <v>0</v>
      </c>
      <c r="AO169" s="104">
        <f t="shared" si="1303"/>
        <v>0</v>
      </c>
      <c r="AP169" s="104">
        <f t="shared" si="1304"/>
        <v>0</v>
      </c>
      <c r="AQ169" s="104">
        <f t="shared" si="1305"/>
        <v>0.7</v>
      </c>
      <c r="AR169" s="104">
        <f t="shared" si="1306"/>
        <v>0</v>
      </c>
      <c r="AS169" s="104">
        <f t="shared" si="1307"/>
        <v>0</v>
      </c>
      <c r="AT169" s="104">
        <f t="shared" si="1308"/>
        <v>0</v>
      </c>
      <c r="AU169" s="104">
        <f t="shared" si="1309"/>
        <v>0</v>
      </c>
      <c r="AV169" s="104">
        <f t="shared" si="1310"/>
        <v>0</v>
      </c>
      <c r="AW169" s="104">
        <f t="shared" si="1311"/>
        <v>0</v>
      </c>
      <c r="AX169" s="104">
        <f t="shared" si="1312"/>
        <v>0</v>
      </c>
      <c r="AY169" s="104">
        <f t="shared" si="1313"/>
        <v>0</v>
      </c>
      <c r="AZ169" s="104">
        <f t="shared" si="1314"/>
        <v>0</v>
      </c>
      <c r="BA169" s="104">
        <f t="shared" si="1159"/>
        <v>0</v>
      </c>
      <c r="BB169" s="104">
        <f t="shared" si="1315"/>
        <v>0</v>
      </c>
      <c r="BC169" s="104"/>
      <c r="BD169" s="104">
        <f t="shared" si="1316"/>
        <v>0</v>
      </c>
      <c r="BE169" s="108">
        <f t="shared" si="1317"/>
        <v>1.7740000000000002</v>
      </c>
      <c r="BF169" s="110">
        <f t="shared" si="1318"/>
        <v>0</v>
      </c>
      <c r="BG169" s="110">
        <f t="shared" si="1319"/>
        <v>5.3</v>
      </c>
      <c r="BH169" s="105" t="str">
        <f>VLOOKUP(A169,'BOCA DE LOBO'!$C$99:$P$172,7,0)</f>
        <v>BOCA DE LOBO DUPLA EXISTENTE COM BOCA DE LOBO SIMPLES PROJETADA</v>
      </c>
      <c r="BI169" s="104">
        <f t="shared" si="1320"/>
        <v>0</v>
      </c>
      <c r="BJ169" s="104">
        <f t="shared" si="1321"/>
        <v>0</v>
      </c>
      <c r="BK169" s="104">
        <f t="shared" si="1322"/>
        <v>1</v>
      </c>
      <c r="BL169" s="104">
        <f t="shared" si="1323"/>
        <v>0</v>
      </c>
      <c r="BM169" s="104">
        <f t="shared" si="1324"/>
        <v>0</v>
      </c>
      <c r="BN169" s="104">
        <f t="shared" si="1325"/>
        <v>0</v>
      </c>
      <c r="BO169" s="543">
        <f t="shared" si="1326"/>
        <v>0</v>
      </c>
      <c r="BP169" s="111"/>
      <c r="BQ169" s="108">
        <f t="shared" si="1327"/>
        <v>15.899999999999999</v>
      </c>
      <c r="BR169" s="108">
        <f t="shared" si="1328"/>
        <v>2.9044000000000025</v>
      </c>
      <c r="BS169" s="108">
        <f t="shared" si="1329"/>
        <v>0</v>
      </c>
      <c r="BT169" s="112"/>
      <c r="BU169" s="112" t="s">
        <v>1410</v>
      </c>
      <c r="BV169" s="538">
        <f t="shared" si="1175"/>
        <v>5.6327711999999996</v>
      </c>
      <c r="BW169" s="538">
        <f t="shared" si="1176"/>
        <v>3.6623999999999994</v>
      </c>
      <c r="BX169" s="538">
        <f t="shared" si="1177"/>
        <v>1.3923999999999999</v>
      </c>
      <c r="BY169" s="538">
        <f t="shared" si="1330"/>
        <v>1.538</v>
      </c>
      <c r="BZ169" s="538">
        <f t="shared" si="1331"/>
        <v>1.538</v>
      </c>
      <c r="CA169" s="538">
        <f t="shared" si="1332"/>
        <v>0</v>
      </c>
      <c r="CB169" s="538">
        <f t="shared" si="1333"/>
        <v>0</v>
      </c>
      <c r="CC169" s="538">
        <f t="shared" si="1334"/>
        <v>5.4935999999999989</v>
      </c>
      <c r="CD169" s="538">
        <f t="shared" si="1335"/>
        <v>0.13917120000000011</v>
      </c>
      <c r="CE169" s="538">
        <f t="shared" si="1336"/>
        <v>0</v>
      </c>
      <c r="CF169" s="538">
        <f t="shared" si="1337"/>
        <v>0</v>
      </c>
      <c r="CG169" s="538">
        <f t="shared" si="1338"/>
        <v>0</v>
      </c>
      <c r="CH169" s="538">
        <f t="shared" si="1339"/>
        <v>0</v>
      </c>
      <c r="CI169" s="104">
        <f t="shared" si="1188"/>
        <v>0.252</v>
      </c>
      <c r="CJ169" s="538">
        <f t="shared" si="1340"/>
        <v>3.2392599999999998</v>
      </c>
      <c r="CK169" s="538">
        <f t="shared" si="1190"/>
        <v>3.2392599999999998</v>
      </c>
      <c r="CL169" s="538">
        <f t="shared" si="1341"/>
        <v>0</v>
      </c>
      <c r="CM169" s="538">
        <f t="shared" si="1342"/>
        <v>0</v>
      </c>
      <c r="CN169" s="538">
        <f t="shared" si="1193"/>
        <v>1.68</v>
      </c>
      <c r="CO169" s="538">
        <f t="shared" si="1343"/>
        <v>1.538</v>
      </c>
      <c r="CP169" s="538">
        <f t="shared" si="1344"/>
        <v>5.04</v>
      </c>
      <c r="CQ169" s="538">
        <f t="shared" si="1345"/>
        <v>0.1276800000000001</v>
      </c>
      <c r="CR169" s="539">
        <f t="shared" si="1197"/>
        <v>0.57090000000000007</v>
      </c>
      <c r="CS169" s="540">
        <f t="shared" si="1198"/>
        <v>3.1375200000000006E-2</v>
      </c>
      <c r="CT169" s="540">
        <f t="shared" si="1199"/>
        <v>0.15421000000000001</v>
      </c>
      <c r="CU169" s="541">
        <f t="shared" si="1200"/>
        <v>3.9988000000000001</v>
      </c>
      <c r="CV169" s="538">
        <f t="shared" si="1201"/>
        <v>0.70579199999999997</v>
      </c>
      <c r="CW169" s="538">
        <f t="shared" si="1202"/>
        <v>10.83916</v>
      </c>
      <c r="CX169" s="104">
        <f t="shared" si="1203"/>
        <v>1.68</v>
      </c>
      <c r="CY169" s="542">
        <f t="shared" si="1204"/>
        <v>0.84</v>
      </c>
      <c r="CZ169" s="538">
        <f t="shared" si="1205"/>
        <v>0</v>
      </c>
    </row>
    <row r="170" spans="1:104" ht="37.5" x14ac:dyDescent="0.25">
      <c r="A170" s="100" t="str">
        <f>'BOCA DE LOBO'!C160</f>
        <v>BL60-&gt;PV1-47</v>
      </c>
      <c r="B170" s="100" t="str">
        <f>'BOCA DE LOBO'!A160</f>
        <v>PV1-47</v>
      </c>
      <c r="C170" s="100" t="str">
        <f>VLOOKUP(A170,'BOCA DE LOBO'!C:F,3,0)</f>
        <v>EXISTENTE</v>
      </c>
      <c r="D170" s="100" t="str">
        <f>VLOOKUP(A170,'BOCA DE LOBO'!C:M,10,0)</f>
        <v>AMPLIADA</v>
      </c>
      <c r="E170" s="100">
        <f t="shared" si="1276"/>
        <v>1.4216000000000455</v>
      </c>
      <c r="F170" s="100">
        <f>VLOOKUP(A170,'BOCA DE LOBO'!$C$97:$P$172,2,0)</f>
        <v>1.7000000000000455</v>
      </c>
      <c r="G170" s="100">
        <f>VLOOKUP(A170,'BOCA DE LOBO'!$C$97:$L$172,4,0)</f>
        <v>6.96</v>
      </c>
      <c r="H170" s="101">
        <v>400</v>
      </c>
      <c r="I170" s="102">
        <f t="shared" si="1277"/>
        <v>1.6908000000000456</v>
      </c>
      <c r="J170" s="102">
        <f t="shared" si="1278"/>
        <v>0.58839840000001586</v>
      </c>
      <c r="K170" s="103">
        <v>0</v>
      </c>
      <c r="L170" s="104">
        <f t="shared" si="1279"/>
        <v>0</v>
      </c>
      <c r="M170" s="104">
        <f t="shared" si="1280"/>
        <v>0</v>
      </c>
      <c r="N170" s="104">
        <f t="shared" si="1281"/>
        <v>400</v>
      </c>
      <c r="O170" s="104">
        <f t="shared" si="1282"/>
        <v>0</v>
      </c>
      <c r="P170" s="105" t="s">
        <v>1999</v>
      </c>
      <c r="Q170" s="452" t="s">
        <v>2174</v>
      </c>
      <c r="R170" s="105"/>
      <c r="S170" s="105">
        <v>5</v>
      </c>
      <c r="T170" s="105">
        <v>5</v>
      </c>
      <c r="U170" s="104">
        <f t="shared" si="1283"/>
        <v>0.05</v>
      </c>
      <c r="V170" s="106">
        <f t="shared" si="1284"/>
        <v>0</v>
      </c>
      <c r="W170" s="106">
        <f t="shared" si="1285"/>
        <v>0</v>
      </c>
      <c r="X170" s="107">
        <f t="shared" si="1286"/>
        <v>0</v>
      </c>
      <c r="Y170" s="107">
        <f t="shared" si="1287"/>
        <v>0</v>
      </c>
      <c r="Z170" s="107">
        <f t="shared" si="1288"/>
        <v>1.6908000000000456</v>
      </c>
      <c r="AA170" s="107">
        <f t="shared" si="1289"/>
        <v>0</v>
      </c>
      <c r="AB170" s="108">
        <f t="shared" si="1290"/>
        <v>0</v>
      </c>
      <c r="AC170" s="109">
        <f t="shared" si="1291"/>
        <v>0</v>
      </c>
      <c r="AD170" s="109">
        <f t="shared" si="1292"/>
        <v>0</v>
      </c>
      <c r="AE170" s="109">
        <f t="shared" si="1293"/>
        <v>0</v>
      </c>
      <c r="AF170" s="109">
        <f t="shared" si="1294"/>
        <v>0</v>
      </c>
      <c r="AG170" s="109">
        <f t="shared" si="1295"/>
        <v>0</v>
      </c>
      <c r="AH170" s="109">
        <f t="shared" si="1296"/>
        <v>0</v>
      </c>
      <c r="AI170" s="537" t="str">
        <f t="shared" si="1297"/>
        <v>NÃO</v>
      </c>
      <c r="AJ170" s="104">
        <f t="shared" si="1298"/>
        <v>0</v>
      </c>
      <c r="AK170" s="104">
        <f t="shared" si="1299"/>
        <v>0</v>
      </c>
      <c r="AL170" s="104">
        <f t="shared" si="1300"/>
        <v>0</v>
      </c>
      <c r="AM170" s="102">
        <f t="shared" si="1301"/>
        <v>0</v>
      </c>
      <c r="AN170" s="106">
        <f t="shared" si="1302"/>
        <v>0</v>
      </c>
      <c r="AO170" s="104">
        <f t="shared" si="1303"/>
        <v>0</v>
      </c>
      <c r="AP170" s="104">
        <f t="shared" si="1304"/>
        <v>0</v>
      </c>
      <c r="AQ170" s="104">
        <f t="shared" si="1305"/>
        <v>0.7</v>
      </c>
      <c r="AR170" s="104">
        <f t="shared" si="1306"/>
        <v>0</v>
      </c>
      <c r="AS170" s="104">
        <f t="shared" si="1307"/>
        <v>0</v>
      </c>
      <c r="AT170" s="104">
        <f t="shared" si="1308"/>
        <v>0</v>
      </c>
      <c r="AU170" s="104">
        <f t="shared" si="1309"/>
        <v>0</v>
      </c>
      <c r="AV170" s="104">
        <f t="shared" si="1310"/>
        <v>0</v>
      </c>
      <c r="AW170" s="104">
        <f t="shared" si="1311"/>
        <v>0</v>
      </c>
      <c r="AX170" s="104">
        <f t="shared" si="1312"/>
        <v>0</v>
      </c>
      <c r="AY170" s="104">
        <f t="shared" si="1313"/>
        <v>0</v>
      </c>
      <c r="AZ170" s="104">
        <f t="shared" si="1314"/>
        <v>0</v>
      </c>
      <c r="BA170" s="104">
        <f t="shared" si="1159"/>
        <v>0</v>
      </c>
      <c r="BB170" s="104">
        <f t="shared" si="1315"/>
        <v>0</v>
      </c>
      <c r="BC170" s="104"/>
      <c r="BD170" s="104">
        <f t="shared" si="1316"/>
        <v>0</v>
      </c>
      <c r="BE170" s="108">
        <f t="shared" si="1317"/>
        <v>1.6908000000000456</v>
      </c>
      <c r="BF170" s="110">
        <f t="shared" si="1318"/>
        <v>6.96</v>
      </c>
      <c r="BG170" s="110">
        <f t="shared" si="1319"/>
        <v>0</v>
      </c>
      <c r="BH170" s="105" t="str">
        <f>VLOOKUP(A170,'BOCA DE LOBO'!$C$99:$P$172,7,0)</f>
        <v>BOCA DE LOBO DUPLA EXISTENTE COM BOCA DE LOBO SIMPLES PROJETADA</v>
      </c>
      <c r="BI170" s="104">
        <f t="shared" si="1320"/>
        <v>0</v>
      </c>
      <c r="BJ170" s="104">
        <f t="shared" si="1321"/>
        <v>0</v>
      </c>
      <c r="BK170" s="104">
        <f t="shared" si="1322"/>
        <v>1</v>
      </c>
      <c r="BL170" s="104">
        <f t="shared" si="1323"/>
        <v>0</v>
      </c>
      <c r="BM170" s="104">
        <f t="shared" si="1324"/>
        <v>0</v>
      </c>
      <c r="BN170" s="104">
        <f t="shared" si="1325"/>
        <v>0</v>
      </c>
      <c r="BO170" s="543">
        <f t="shared" si="1326"/>
        <v>0</v>
      </c>
      <c r="BP170" s="111"/>
      <c r="BQ170" s="108">
        <f t="shared" si="1327"/>
        <v>20.88</v>
      </c>
      <c r="BR170" s="108">
        <f t="shared" si="1328"/>
        <v>2.6559360000006347</v>
      </c>
      <c r="BS170" s="108">
        <f t="shared" si="1329"/>
        <v>0</v>
      </c>
      <c r="BT170" s="112"/>
      <c r="BU170" s="112" t="s">
        <v>1410</v>
      </c>
      <c r="BV170" s="538">
        <f t="shared" si="1175"/>
        <v>5.2064678400001654</v>
      </c>
      <c r="BW170" s="538">
        <f t="shared" si="1176"/>
        <v>3.6623999999999994</v>
      </c>
      <c r="BX170" s="538">
        <f t="shared" si="1177"/>
        <v>1.3923999999999999</v>
      </c>
      <c r="BY170" s="538">
        <f t="shared" si="1330"/>
        <v>1.4216000000000455</v>
      </c>
      <c r="BZ170" s="538">
        <f t="shared" si="1331"/>
        <v>1.4216000000000455</v>
      </c>
      <c r="CA170" s="538">
        <f t="shared" si="1332"/>
        <v>0</v>
      </c>
      <c r="CB170" s="538">
        <f t="shared" si="1333"/>
        <v>0</v>
      </c>
      <c r="CC170" s="538">
        <f t="shared" si="1334"/>
        <v>5.2064678400001654</v>
      </c>
      <c r="CD170" s="538">
        <f t="shared" si="1335"/>
        <v>0</v>
      </c>
      <c r="CE170" s="538">
        <f t="shared" si="1336"/>
        <v>0</v>
      </c>
      <c r="CF170" s="538">
        <f t="shared" si="1337"/>
        <v>0</v>
      </c>
      <c r="CG170" s="538">
        <f t="shared" si="1338"/>
        <v>0</v>
      </c>
      <c r="CH170" s="538">
        <f t="shared" si="1339"/>
        <v>0</v>
      </c>
      <c r="CI170" s="104">
        <f t="shared" si="1188"/>
        <v>0.252</v>
      </c>
      <c r="CJ170" s="538">
        <f t="shared" si="1340"/>
        <v>2.9750320000001027</v>
      </c>
      <c r="CK170" s="538">
        <f t="shared" si="1190"/>
        <v>2.9750320000001027</v>
      </c>
      <c r="CL170" s="538">
        <f t="shared" si="1341"/>
        <v>0</v>
      </c>
      <c r="CM170" s="538">
        <f t="shared" si="1342"/>
        <v>0</v>
      </c>
      <c r="CN170" s="538">
        <f t="shared" si="1193"/>
        <v>1.68</v>
      </c>
      <c r="CO170" s="538">
        <f t="shared" si="1343"/>
        <v>1.4216000000000455</v>
      </c>
      <c r="CP170" s="538">
        <f t="shared" si="1344"/>
        <v>4.7765760000001523</v>
      </c>
      <c r="CQ170" s="538">
        <f t="shared" si="1345"/>
        <v>0</v>
      </c>
      <c r="CR170" s="539">
        <f t="shared" si="1197"/>
        <v>0.50688000000002509</v>
      </c>
      <c r="CS170" s="540">
        <f t="shared" si="1198"/>
        <v>2.9000640000000931E-2</v>
      </c>
      <c r="CT170" s="540">
        <f t="shared" si="1199"/>
        <v>0.15421000000000001</v>
      </c>
      <c r="CU170" s="541">
        <f t="shared" si="1200"/>
        <v>3.6961600000001185</v>
      </c>
      <c r="CV170" s="538">
        <f t="shared" si="1201"/>
        <v>0.68204640000000927</v>
      </c>
      <c r="CW170" s="538">
        <f t="shared" si="1202"/>
        <v>10.243192000000233</v>
      </c>
      <c r="CX170" s="104">
        <f t="shared" si="1203"/>
        <v>1.68</v>
      </c>
      <c r="CY170" s="542">
        <f t="shared" si="1204"/>
        <v>0.84</v>
      </c>
      <c r="CZ170" s="538">
        <f t="shared" si="1205"/>
        <v>0</v>
      </c>
    </row>
    <row r="171" spans="1:104" ht="25" x14ac:dyDescent="0.25">
      <c r="A171" s="100" t="str">
        <f>'BOCA DE LOBO'!C161</f>
        <v>BL61-&gt;PV1-48</v>
      </c>
      <c r="B171" s="100" t="str">
        <f>'BOCA DE LOBO'!A161</f>
        <v>PV1-48</v>
      </c>
      <c r="C171" s="100" t="str">
        <f>VLOOKUP(A171,'BOCA DE LOBO'!C:F,3,0)</f>
        <v>EXISTENTE</v>
      </c>
      <c r="D171" s="100" t="str">
        <f>VLOOKUP(A171,'BOCA DE LOBO'!C:M,10,0)</f>
        <v>PROJETADA</v>
      </c>
      <c r="E171" s="100">
        <f t="shared" ref="E171:E182" si="1430">IF(F171-G171*4%&lt;2.5,F171-G171*4%,2.5)</f>
        <v>1.1828000000000001</v>
      </c>
      <c r="F171" s="100">
        <f>VLOOKUP(A171,'BOCA DE LOBO'!$C$97:$P$172,2,0)</f>
        <v>1.5</v>
      </c>
      <c r="G171" s="100">
        <f>VLOOKUP(A171,'BOCA DE LOBO'!$C$97:$L$172,4,0)</f>
        <v>7.93</v>
      </c>
      <c r="H171" s="101">
        <v>400</v>
      </c>
      <c r="I171" s="102">
        <f t="shared" ref="I171:I182" si="1431">IF(H171=400,((E171+F171)/2)+0.08+U171,IF(H171=500,((E171+F171)/2)+0.1+U171,IF(H171=600,((E171+F171)/2)+0.12+U171,IF(H171=800,((E171+F171)/2)+0.16+U171,IF(H171=1000,((E171+F171)/2)+0.2+U171,IF(H171=1200,((E171+F171)/2)+0.24+U171,IF(H171=1500,((E171+F171)/2)+0.3+U171,IF(H171&gt;1500,((E171+F171)/2)+0.4+U171))))))))</f>
        <v>1.4714000000000003</v>
      </c>
      <c r="J171" s="102">
        <f t="shared" ref="J171:J182" si="1432">IF(I171&gt;=1.25,G171*I171/20,0)</f>
        <v>0.58341010000000004</v>
      </c>
      <c r="K171" s="103">
        <v>0</v>
      </c>
      <c r="L171" s="104">
        <f t="shared" ref="L171:L182" si="1433">IF(D171&lt;&gt;"PROJETADA",0,IF(H171=400,1,0)+IF(H171=500,1.2,0)+IF(H171=600,1.4,0)+IF(H171=800,1.7,0)+IF(H171=1000,2,0)+IF(H171=1200,2.2,0)+IF(H171=1500,2.6,0)+IF(H171=1650,3,0)+IF(H171=1800,3.2,0)+IF(H171=2000,3.4,0)+IF(H171=2200,3.6,0)+IF(H171=2400,3.8,0)+IF(H171=2600,4,0)+IF(H171=3000,4.4,0))</f>
        <v>1</v>
      </c>
      <c r="M171" s="104">
        <f t="shared" ref="M171:M182" si="1434">2*K171*I171+L171</f>
        <v>1</v>
      </c>
      <c r="N171" s="104">
        <f t="shared" ref="N171:N182" si="1435">IF(OR(D171="EXISTENTE",D171="AMPLIADA"),400,0)</f>
        <v>0</v>
      </c>
      <c r="O171" s="104">
        <f t="shared" ref="O171:O182" si="1436">IF(P171="TERRENO NATURAL",0,M171*G171)</f>
        <v>7.93</v>
      </c>
      <c r="P171" s="105" t="s">
        <v>1999</v>
      </c>
      <c r="Q171" s="144" t="s">
        <v>2175</v>
      </c>
      <c r="R171" s="105">
        <v>1</v>
      </c>
      <c r="S171" s="105">
        <v>19.77</v>
      </c>
      <c r="T171" s="105">
        <v>5</v>
      </c>
      <c r="U171" s="104">
        <f t="shared" ref="U171:U182" si="1437">IF(H171=400,0.05,0)+IF(H171=500,0.05,0)+IF(H171=600,0.1,0)+IF(H171=800,0.1,0)+IF(H171=1000,0.15,0)+IF(H171=1200,0.15,0)+IF(H171=1500,0.2,0)+IF(H171=1650,0.2,0)+IF(H171=1800,0.2,0)+IF(H171=2000,0.25,0)+IF(H171=2200,0.25,0)+IF(H171=2400,0.25,0)+IF(H171=2600,0.25,0)+IF(H171=3000,0.25,0)</f>
        <v>0.05</v>
      </c>
      <c r="V171" s="106">
        <f t="shared" ref="V171:V182" si="1438">IF(L171=0,0,IF("EXISTENTE"=C171,0,IFERROR((PI()*(N171/1000)*(N171/1000)/4)*G171,0)))</f>
        <v>0</v>
      </c>
      <c r="W171" s="106">
        <f t="shared" ref="W171:W182" si="1439">IF(O171=0,0,((((K171*I171)*I171)/2)*2+L171*I171)*G171-V171+AO171)</f>
        <v>14.840202000000001</v>
      </c>
      <c r="X171" s="107">
        <f t="shared" ref="X171:X182" si="1440">W171-SUM(AC171:AJ171)</f>
        <v>0</v>
      </c>
      <c r="Y171" s="107">
        <f t="shared" ref="Y171:Y182" si="1441">IF(R171=1,IF(N171=0,I171+0.4,0.4),0)</f>
        <v>1.8714000000000004</v>
      </c>
      <c r="Z171" s="107">
        <f t="shared" ref="Z171:Z182" si="1442">IF(Y171&gt;0.5,0,IF(S171&lt;I171,S171,I171))</f>
        <v>0</v>
      </c>
      <c r="AA171" s="107">
        <f t="shared" ref="AA171:AA182" si="1443">I171-Z171</f>
        <v>1.4714000000000003</v>
      </c>
      <c r="AB171" s="108">
        <f t="shared" ref="AB171:AB182" si="1444">IF(P171="ASFALTO",IF(D171="PROJETADA",O171,IF(D171="EXISTENTE",0,O171/2)),0)</f>
        <v>7.93</v>
      </c>
      <c r="AC171" s="109">
        <f t="shared" ref="AC171:AC182" si="1445">IF(Y171=0,0,IF(Y171=0.4,IF(L171&lt;=1.5,IF(Z171+0.4&gt;=1.5,0,L171*G171*0.4),0),IF(L171&lt;=1.5,IF(Y171&gt;=1.5,M171*G171*1.5,L171*G171*(Y171)),0)+IF(S171&lt;I171+0.4,0,IF(AND(Y171&lt;=1.5,L171&lt;=1.5),-V171,0))))</f>
        <v>11.895</v>
      </c>
      <c r="AD171" s="109">
        <f t="shared" ref="AD171:AD182" si="1446">IF(Y171=0,0,IF(Y171=0.4,IF(L171&lt;=1.5,IF(OR(Z171+0.4&gt;=3,Z171+0.4&lt;1.5),0,L171*G171*0.4),0),IF(IF(L171&lt;=1.5,IF(Y171&gt;=3,M171*G171*1.5,L171*G171*(Y171-1.5)),0)&lt;0,0,IF(L171&lt;=1.5,IF(Y171&gt;=3,M171*G171*1.5,L171*G171*(Y171-1.5)),0))+IF(S171&lt;I171+0.4,0,IF(AND(Y171&lt;=3,L171&lt;=1.5),-V171,0))))</f>
        <v>2.9452020000000032</v>
      </c>
      <c r="AE171" s="109">
        <f t="shared" ref="AE171:AE182" si="1447">IF(Y171=0,0,IF(Y171=0.4,IF(L171&lt;=1.5,IF(OR(Z171+0.4&gt;=4.5,Z171+0.4&lt;3),0,L171*G171*0.4),0),IF(IF(L171&lt;=1.5,IF(Y171&gt;=4.5,M171*G171*1.5,L171*G171*(Y171-3)),0)&lt;0,0,IF(L171&lt;=1.5,IF(Y171&gt;=4.5,M171*G171*1.5,L171*G171*(Y171-3)),0))+IF(S171&lt;I171+0.4,0,IF(AND(Y171&lt;=4.5,L171&lt;=1.5),-V171,0))))</f>
        <v>0</v>
      </c>
      <c r="AF171" s="109">
        <f t="shared" ref="AF171:AF182" si="1448">IF(L171&lt;=1.5,IF(Z171&gt;=1.5,M171*G171*1.5,L171*G171*Z171),0)+IF(S171&lt;I171,0,IF(AND(Z171&lt;=1.5,L171&lt;=1.5),-V171,0))-V171</f>
        <v>0</v>
      </c>
      <c r="AG171" s="109">
        <f t="shared" ref="AG171:AG182" si="1449">IF(IF(L171&lt;=1.5,IF(Z171&gt;=3,M171*G171*1.5,L171*G171*(Z171-1.5)),0)&lt;0,0,IF(L171&lt;=1.5,IF(Z171&gt;=3,M171*G171*1.5,L171*G171*(Z171-1.5)),0))</f>
        <v>0</v>
      </c>
      <c r="AH171" s="109">
        <f t="shared" ref="AH171:AH182" si="1450">IF(IF(L171&lt;=1.5,IF(Z171&gt;=4.5,M171*G171*1.5,L171*G171*(Z171-3)),0)&lt;0,0,IF(L171&lt;=1.5,IF(Z171&gt;=4.5,M171*G171*1.5,L171*G171*(Z171-3)),0))+IF(S171&lt;I171,0,IF(AND(Z171&lt;=4.5,Z171&gt;3,L171&lt;=1.5),-V171,0))</f>
        <v>0</v>
      </c>
      <c r="AI171" s="537" t="str">
        <f t="shared" ref="AI171:AI182" si="1451">IF(I171&gt;S171,"SIM","NÃO")</f>
        <v>NÃO</v>
      </c>
      <c r="AJ171" s="104">
        <f t="shared" ref="AJ171:AJ182" si="1452">W171-SUM(AC171:AH171)</f>
        <v>0</v>
      </c>
      <c r="AK171" s="104">
        <f t="shared" ref="AK171:AK182" si="1453">IF(I171-T171&lt;0,0,(I171-T171)*G171)/75</f>
        <v>0</v>
      </c>
      <c r="AL171" s="104">
        <f t="shared" ref="AL171:AL182" si="1454">IF(L171=0,0,G171*L171*I171-PI()*(H171/1000)*(H171/1000)/4*G171+AO171)</f>
        <v>13.84368881028132</v>
      </c>
      <c r="AM171" s="102">
        <f t="shared" ref="AM171:AM182" si="1455">IF(L171&lt;1.5,L171*G171*IF(H171&lt;=500,0.05,IF(H171&lt;=800,0.1,IF(H171&lt;=1200,0.15,IF(H171&gt;=1500,0.2)))),0)</f>
        <v>0.39650000000000002</v>
      </c>
      <c r="AN171" s="106">
        <f t="shared" ref="AN171:AN182" si="1456">IF(L171&gt;=1.5,L171*G171*IF(H171&lt;=500,0.05,IF(H171&lt;=800,0.1,IF(H171&lt;=1200,0.15,IF(H171&gt;=1500,0.2)))),0)</f>
        <v>0</v>
      </c>
      <c r="AO171" s="104">
        <f t="shared" ref="AO171:AO182" si="1457">IF(R171=1,0.4*G171*L171,0)</f>
        <v>3.1720000000000002</v>
      </c>
      <c r="AP171" s="104">
        <f t="shared" ref="AP171:AP182" si="1458">IF(AO171&lt;SUM(AF171:AH171),0,AO171)</f>
        <v>3.1720000000000002</v>
      </c>
      <c r="AQ171" s="104">
        <f t="shared" ref="AQ171:AQ182" si="1459">H171/1000+0.3</f>
        <v>0.7</v>
      </c>
      <c r="AR171" s="104">
        <f t="shared" ref="AR171:AR182" si="1460">IF(D171&lt;&gt;"PROJETADA",0,AQ171*L171*G171-PI()*(H171/1000*H171/1000)/4*G171)</f>
        <v>4.5544868102813165</v>
      </c>
      <c r="AS171" s="104">
        <f t="shared" ref="AS171:AS182" si="1461">IF(AR171&lt;SUM(AF171:AH171),0,AR171)</f>
        <v>4.5544868102813165</v>
      </c>
      <c r="AT171" s="104">
        <f t="shared" ref="AT171:AT182" si="1462">IF(P171="ASFALTO",0.15*G171*L171,0)</f>
        <v>1.1895</v>
      </c>
      <c r="AU171" s="104">
        <f t="shared" ref="AU171:AU182" si="1463">AT171</f>
        <v>1.1895</v>
      </c>
      <c r="AV171" s="104">
        <f t="shared" ref="AV171:AV182" si="1464">IF(P171="ASFALTO",0.03*G171*L171,0)</f>
        <v>0.23789999999999997</v>
      </c>
      <c r="AW171" s="104">
        <f t="shared" ref="AW171:AW182" si="1465">AL171-AO171-SUM(AM171:AN171)-AT171-AU171-AR171</f>
        <v>3.3417020000000024</v>
      </c>
      <c r="AX171" s="104">
        <f t="shared" ref="AX171:AX182" si="1466">SUM(AF171:AH171)-AO171-AT171-AR171</f>
        <v>-8.9159868102813178</v>
      </c>
      <c r="AY171" s="104">
        <f t="shared" ref="AY171:AY182" si="1467">SMALL(AW171:AX171,1)</f>
        <v>-8.9159868102813178</v>
      </c>
      <c r="AZ171" s="104">
        <f t="shared" ref="AZ171:AZ182" si="1468">AW171-AY171</f>
        <v>12.257688810281319</v>
      </c>
      <c r="BA171" s="104">
        <f t="shared" si="1159"/>
        <v>5.7245821505041103</v>
      </c>
      <c r="BB171" s="104">
        <f t="shared" ref="BB171:BB182" si="1469">AZ171-BA171</f>
        <v>6.5331066597772089</v>
      </c>
      <c r="BC171" s="104"/>
      <c r="BD171" s="104">
        <f t="shared" ref="BD171:BD182" si="1470">IF(AO171&gt;0,4%*(AO171+AT171),0)</f>
        <v>0.17446000000000003</v>
      </c>
      <c r="BE171" s="108">
        <f t="shared" ref="BE171:BE182" si="1471">IF(H171=400,I171,0)</f>
        <v>1.4714000000000003</v>
      </c>
      <c r="BF171" s="110">
        <f t="shared" ref="BF171:BF182" si="1472">IF(BE171&lt;=1.75,AND(BE171&gt;0)*G171,0)</f>
        <v>7.93</v>
      </c>
      <c r="BG171" s="110">
        <f t="shared" ref="BG171:BG182" si="1473">IF(BE171&lt;=3,AND(BE171&gt;1.75)*G171,0)</f>
        <v>0</v>
      </c>
      <c r="BH171" s="105" t="str">
        <f>VLOOKUP(A171,'BOCA DE LOBO'!$C$99:$P$172,7,0)</f>
        <v>BOCA DE LOBO PROJETADA TRIPLA</v>
      </c>
      <c r="BI171" s="104">
        <f t="shared" ref="BI171:BI182" si="1474">IF(BH171=$BI$107,1,0)</f>
        <v>0</v>
      </c>
      <c r="BJ171" s="104">
        <f t="shared" ref="BJ171:BJ182" si="1475">IF(BH171=$BJ$107,1,0)</f>
        <v>0</v>
      </c>
      <c r="BK171" s="104">
        <f t="shared" ref="BK171:BK182" si="1476">IF(BH171=$BK$107,1,0)</f>
        <v>0</v>
      </c>
      <c r="BL171" s="104">
        <f t="shared" ref="BL171:BL182" si="1477">IF(BH171=$BL$107,1,0)</f>
        <v>0</v>
      </c>
      <c r="BM171" s="104">
        <f t="shared" ref="BM171:BM182" si="1478">IF(BH171=$BM$107,1,0)</f>
        <v>0</v>
      </c>
      <c r="BN171" s="104">
        <f t="shared" ref="BN171:BN182" si="1479">IF(BH171=$BN$107,1,0)</f>
        <v>0</v>
      </c>
      <c r="BO171" s="543">
        <f t="shared" ref="BO171:BO182" si="1480">IF(BH171=$BO$107,1,0)</f>
        <v>1</v>
      </c>
      <c r="BP171" s="111"/>
      <c r="BQ171" s="108">
        <f t="shared" ref="BQ171:BQ182" si="1481">IF(L171&lt;=1.5,IF(I171+IF(R171=1,0.5,0)&lt;1.5,(I171+IF(R171=1,0.5,0))*G171*2,G171*2*1.5),0)</f>
        <v>23.79</v>
      </c>
      <c r="BR171" s="108">
        <f t="shared" ref="BR171:BR182" si="1482">IF(L171&lt;=1.5,IF(AND(I171+IF(R171=1,0.5,0)&lt;3,I171+IF(R171=1,0.5,0)&gt;1.5),(I171+IF(R171=1,0.5,0)-1.5)*G171*2,IF(I171+IF(R171=1,0.5,0)&gt;=3,(G171*2*1.5),0)),0)</f>
        <v>7.476404000000004</v>
      </c>
      <c r="BS171" s="108">
        <f t="shared" ref="BS171:BS182" si="1483">IF(L171&lt;=1.5,IF(AND(I171+IF(R171=1,0.5,0)&lt;4.5,I171+IF(R171=1,0.5,0)&gt;3),(I171+IF(R171=1,0.5,0)-3)*G171*2,IF(I171+IF(R171=1,0.5,0)&gt;=4.5,(G171*2*1.5),0)),0)</f>
        <v>0</v>
      </c>
      <c r="BT171" s="112"/>
      <c r="BU171" s="112" t="s">
        <v>1410</v>
      </c>
      <c r="BV171" s="538">
        <f t="shared" si="1175"/>
        <v>17.462079039999995</v>
      </c>
      <c r="BW171" s="538">
        <f t="shared" si="1176"/>
        <v>10.376799999999998</v>
      </c>
      <c r="BX171" s="538">
        <f t="shared" si="1177"/>
        <v>4.4367999999999999</v>
      </c>
      <c r="BY171" s="538">
        <f t="shared" ref="BY171:BY182" si="1484">E171</f>
        <v>1.1828000000000001</v>
      </c>
      <c r="BZ171" s="538">
        <f t="shared" ref="BZ171:BZ182" si="1485">IF(Y171&gt;0.5,0,IF(S171&lt;E171,S171,E171))</f>
        <v>0</v>
      </c>
      <c r="CA171" s="538">
        <f t="shared" ref="CA171:CA182" si="1486">IF(Y171&gt;0.5,BY171+0.5,Y171)</f>
        <v>1.6828000000000001</v>
      </c>
      <c r="CB171" s="538">
        <f t="shared" ref="CB171:CB182" si="1487">IF(S171&gt;E171,0,E171-S171)</f>
        <v>0</v>
      </c>
      <c r="CC171" s="538">
        <f t="shared" ref="CC171:CC182" si="1488">IF(BZ171&gt;1.5,BW171*1.5,BW171*BZ171)</f>
        <v>0</v>
      </c>
      <c r="CD171" s="538">
        <f t="shared" ref="CD171:CD182" si="1489">IF(BZ171&gt;1.5,BW171*(BZ171-1.5),0)</f>
        <v>0</v>
      </c>
      <c r="CE171" s="538">
        <f t="shared" ref="CE171:CE182" si="1490">IF(CA171&gt;1.5,BW171*1.5,BW171*CA171)</f>
        <v>15.565199999999997</v>
      </c>
      <c r="CF171" s="538">
        <f t="shared" ref="CF171:CF182" si="1491">IF(CA171&gt;1.5,BW171*(CA171-1.5),0)</f>
        <v>1.8968790400000004</v>
      </c>
      <c r="CG171" s="538">
        <f t="shared" ref="CG171:CG182" si="1492">BV171-SUM(CC171:CF171)</f>
        <v>0</v>
      </c>
      <c r="CH171" s="538">
        <f t="shared" ref="CH171:CH182" si="1493">SUM(CC171:CG171)-BV171</f>
        <v>0</v>
      </c>
      <c r="CI171" s="104">
        <f t="shared" si="1188"/>
        <v>0.71399999999999997</v>
      </c>
      <c r="CJ171" s="538">
        <f t="shared" ref="CJ171:CJ182" si="1494">(BW171-BX171)*(BY171+IF(CA171&gt;=0.4,0.4,0))-CI171</f>
        <v>8.6878319999999967</v>
      </c>
      <c r="CK171" s="538">
        <f t="shared" si="1190"/>
        <v>8.6878319999999967</v>
      </c>
      <c r="CL171" s="538">
        <f t="shared" ref="CL171:CL182" si="1495">CJ171-CK171</f>
        <v>0</v>
      </c>
      <c r="CM171" s="538">
        <f t="shared" ref="CM171:CM182" si="1496">IF(CA171&gt;0,0.5*4%*BW171,0)</f>
        <v>0.20753599999999994</v>
      </c>
      <c r="CN171" s="538">
        <f t="shared" si="1193"/>
        <v>4.76</v>
      </c>
      <c r="CO171" s="538">
        <f t="shared" ref="CO171:CO182" si="1497">IF(CA171&gt;0,BY171+0.5,BY171)</f>
        <v>1.6828000000000001</v>
      </c>
      <c r="CP171" s="538">
        <f t="shared" ref="CP171:CP182" si="1498">IF(CO171&gt;=1.5,CN171*1.5*2,CN171*CO171*2)</f>
        <v>14.28</v>
      </c>
      <c r="CQ171" s="538">
        <f t="shared" ref="CQ171:CQ182" si="1499">IF(CO171&lt;=1.5,0,IF(CO171&gt;=3,CN171*1.5*2,CN171*(CO171-1.5)*2))</f>
        <v>1.7402560000000007</v>
      </c>
      <c r="CR171" s="539">
        <f t="shared" si="1197"/>
        <v>0</v>
      </c>
      <c r="CS171" s="540">
        <f t="shared" si="1198"/>
        <v>0</v>
      </c>
      <c r="CT171" s="540">
        <f t="shared" si="1199"/>
        <v>0.45984000000000003</v>
      </c>
      <c r="CU171" s="541">
        <f t="shared" si="1200"/>
        <v>8.5161600000000011</v>
      </c>
      <c r="CV171" s="538">
        <f t="shared" si="1201"/>
        <v>1.4337810000000002</v>
      </c>
      <c r="CW171" s="538">
        <f t="shared" si="1202"/>
        <v>16.976680000000002</v>
      </c>
      <c r="CX171" s="104">
        <f t="shared" si="1203"/>
        <v>4.76</v>
      </c>
      <c r="CY171" s="542">
        <f t="shared" si="1204"/>
        <v>2.38</v>
      </c>
      <c r="CZ171" s="538">
        <f t="shared" si="1205"/>
        <v>2.4513847475961154E-2</v>
      </c>
    </row>
    <row r="172" spans="1:104" ht="25" x14ac:dyDescent="0.25">
      <c r="A172" s="100" t="str">
        <f>'BOCA DE LOBO'!C162</f>
        <v>BL62-&gt;PV1-48</v>
      </c>
      <c r="B172" s="100" t="str">
        <f>'BOCA DE LOBO'!A162</f>
        <v>PV1-48</v>
      </c>
      <c r="C172" s="100" t="str">
        <f>VLOOKUP(A172,'BOCA DE LOBO'!C:F,3,0)</f>
        <v>EXISTENTE</v>
      </c>
      <c r="D172" s="100" t="str">
        <f>VLOOKUP(A172,'BOCA DE LOBO'!C:M,10,0)</f>
        <v>EXISTENTE</v>
      </c>
      <c r="E172" s="100">
        <f t="shared" ref="E172" si="1500">IF(F172-G172*4%&lt;2.5,F172-G172*4%,2.5)</f>
        <v>1.1295999999999999</v>
      </c>
      <c r="F172" s="100">
        <f>VLOOKUP(A172,'BOCA DE LOBO'!$C$97:$P$172,2,0)</f>
        <v>1.5</v>
      </c>
      <c r="G172" s="100">
        <f>VLOOKUP(A172,'BOCA DE LOBO'!$C$97:$L$172,4,0)</f>
        <v>9.26</v>
      </c>
      <c r="H172" s="101">
        <v>400</v>
      </c>
      <c r="I172" s="102">
        <f t="shared" ref="I172" si="1501">IF(H172=400,((E172+F172)/2)+0.08+U172,IF(H172=500,((E172+F172)/2)+0.1+U172,IF(H172=600,((E172+F172)/2)+0.12+U172,IF(H172=800,((E172+F172)/2)+0.16+U172,IF(H172=1000,((E172+F172)/2)+0.2+U172,IF(H172=1200,((E172+F172)/2)+0.24+U172,IF(H172=1500,((E172+F172)/2)+0.3+U172,IF(H172&gt;1500,((E172+F172)/2)+0.4+U172))))))))</f>
        <v>1.4448000000000001</v>
      </c>
      <c r="J172" s="102">
        <f t="shared" ref="J172" si="1502">IF(I172&gt;=1.25,G172*I172/20,0)</f>
        <v>0.66894239999999994</v>
      </c>
      <c r="K172" s="103">
        <v>0</v>
      </c>
      <c r="L172" s="104">
        <f t="shared" ref="L172" si="1503">IF(D172&lt;&gt;"PROJETADA",0,IF(H172=400,1,0)+IF(H172=500,1.2,0)+IF(H172=600,1.4,0)+IF(H172=800,1.7,0)+IF(H172=1000,2,0)+IF(H172=1200,2.2,0)+IF(H172=1500,2.6,0)+IF(H172=1650,3,0)+IF(H172=1800,3.2,0)+IF(H172=2000,3.4,0)+IF(H172=2200,3.6,0)+IF(H172=2400,3.8,0)+IF(H172=2600,4,0)+IF(H172=3000,4.4,0))</f>
        <v>0</v>
      </c>
      <c r="M172" s="104">
        <f t="shared" ref="M172" si="1504">2*K172*I172+L172</f>
        <v>0</v>
      </c>
      <c r="N172" s="104">
        <f t="shared" ref="N172" si="1505">IF(OR(D172="EXISTENTE",D172="AMPLIADA"),400,0)</f>
        <v>400</v>
      </c>
      <c r="O172" s="104">
        <f t="shared" ref="O172" si="1506">IF(P172="TERRENO NATURAL",0,M172*G172)</f>
        <v>0</v>
      </c>
      <c r="P172" s="105" t="s">
        <v>1999</v>
      </c>
      <c r="Q172" s="144" t="s">
        <v>2175</v>
      </c>
      <c r="R172" s="105">
        <v>1</v>
      </c>
      <c r="S172" s="105">
        <v>19.77</v>
      </c>
      <c r="T172" s="105">
        <v>5</v>
      </c>
      <c r="U172" s="104">
        <f t="shared" ref="U172" si="1507">IF(H172=400,0.05,0)+IF(H172=500,0.05,0)+IF(H172=600,0.1,0)+IF(H172=800,0.1,0)+IF(H172=1000,0.15,0)+IF(H172=1200,0.15,0)+IF(H172=1500,0.2,0)+IF(H172=1650,0.2,0)+IF(H172=1800,0.2,0)+IF(H172=2000,0.25,0)+IF(H172=2200,0.25,0)+IF(H172=2400,0.25,0)+IF(H172=2600,0.25,0)+IF(H172=3000,0.25,0)</f>
        <v>0.05</v>
      </c>
      <c r="V172" s="106">
        <f t="shared" ref="V172" si="1508">IF(L172=0,0,IF("EXISTENTE"=C172,0,IFERROR((PI()*(N172/1000)*(N172/1000)/4)*G172,0)))</f>
        <v>0</v>
      </c>
      <c r="W172" s="106">
        <f t="shared" ref="W172" si="1509">IF(O172=0,0,((((K172*I172)*I172)/2)*2+L172*I172)*G172-V172+AO172)</f>
        <v>0</v>
      </c>
      <c r="X172" s="107">
        <f t="shared" ref="X172" si="1510">W172-SUM(AC172:AJ172)</f>
        <v>0</v>
      </c>
      <c r="Y172" s="107">
        <f t="shared" ref="Y172" si="1511">IF(R172=1,IF(N172=0,I172+0.4,0.4),0)</f>
        <v>0.4</v>
      </c>
      <c r="Z172" s="107">
        <f t="shared" ref="Z172" si="1512">IF(Y172&gt;0.5,0,IF(S172&lt;I172,S172,I172))</f>
        <v>1.4448000000000001</v>
      </c>
      <c r="AA172" s="107">
        <f t="shared" ref="AA172" si="1513">I172-Z172</f>
        <v>0</v>
      </c>
      <c r="AB172" s="108">
        <f t="shared" ref="AB172" si="1514">IF(P172="ASFALTO",IF(D172="PROJETADA",O172,IF(D172="EXISTENTE",0,O172/2)),0)</f>
        <v>0</v>
      </c>
      <c r="AC172" s="109">
        <f t="shared" ref="AC172" si="1515">IF(Y172=0,0,IF(Y172=0.4,IF(L172&lt;=1.5,IF(Z172+0.4&gt;=1.5,0,L172*G172*0.4),0),IF(L172&lt;=1.5,IF(Y172&gt;=1.5,M172*G172*1.5,L172*G172*(Y172)),0)+IF(S172&lt;I172+0.4,0,IF(AND(Y172&lt;=1.5,L172&lt;=1.5),-V172,0))))</f>
        <v>0</v>
      </c>
      <c r="AD172" s="109">
        <f t="shared" ref="AD172" si="1516">IF(Y172=0,0,IF(Y172=0.4,IF(L172&lt;=1.5,IF(OR(Z172+0.4&gt;=3,Z172+0.4&lt;1.5),0,L172*G172*0.4),0),IF(IF(L172&lt;=1.5,IF(Y172&gt;=3,M172*G172*1.5,L172*G172*(Y172-1.5)),0)&lt;0,0,IF(L172&lt;=1.5,IF(Y172&gt;=3,M172*G172*1.5,L172*G172*(Y172-1.5)),0))+IF(S172&lt;I172+0.4,0,IF(AND(Y172&lt;=3,L172&lt;=1.5),-V172,0))))</f>
        <v>0</v>
      </c>
      <c r="AE172" s="109">
        <f t="shared" ref="AE172" si="1517">IF(Y172=0,0,IF(Y172=0.4,IF(L172&lt;=1.5,IF(OR(Z172+0.4&gt;=4.5,Z172+0.4&lt;3),0,L172*G172*0.4),0),IF(IF(L172&lt;=1.5,IF(Y172&gt;=4.5,M172*G172*1.5,L172*G172*(Y172-3)),0)&lt;0,0,IF(L172&lt;=1.5,IF(Y172&gt;=4.5,M172*G172*1.5,L172*G172*(Y172-3)),0))+IF(S172&lt;I172+0.4,0,IF(AND(Y172&lt;=4.5,L172&lt;=1.5),-V172,0))))</f>
        <v>0</v>
      </c>
      <c r="AF172" s="109">
        <f t="shared" ref="AF172" si="1518">IF(L172&lt;=1.5,IF(Z172&gt;=1.5,M172*G172*1.5,L172*G172*Z172),0)+IF(S172&lt;I172,0,IF(AND(Z172&lt;=1.5,L172&lt;=1.5),-V172,0))-V172</f>
        <v>0</v>
      </c>
      <c r="AG172" s="109">
        <f t="shared" ref="AG172" si="1519">IF(IF(L172&lt;=1.5,IF(Z172&gt;=3,M172*G172*1.5,L172*G172*(Z172-1.5)),0)&lt;0,0,IF(L172&lt;=1.5,IF(Z172&gt;=3,M172*G172*1.5,L172*G172*(Z172-1.5)),0))</f>
        <v>0</v>
      </c>
      <c r="AH172" s="109">
        <f t="shared" ref="AH172" si="1520">IF(IF(L172&lt;=1.5,IF(Z172&gt;=4.5,M172*G172*1.5,L172*G172*(Z172-3)),0)&lt;0,0,IF(L172&lt;=1.5,IF(Z172&gt;=4.5,M172*G172*1.5,L172*G172*(Z172-3)),0))+IF(S172&lt;I172,0,IF(AND(Z172&lt;=4.5,Z172&gt;3,L172&lt;=1.5),-V172,0))</f>
        <v>0</v>
      </c>
      <c r="AI172" s="537" t="str">
        <f t="shared" ref="AI172" si="1521">IF(I172&gt;S172,"SIM","NÃO")</f>
        <v>NÃO</v>
      </c>
      <c r="AJ172" s="104">
        <f t="shared" ref="AJ172" si="1522">W172-SUM(AC172:AH172)</f>
        <v>0</v>
      </c>
      <c r="AK172" s="104">
        <f t="shared" ref="AK172" si="1523">IF(I172-T172&lt;0,0,(I172-T172)*G172)/75</f>
        <v>0</v>
      </c>
      <c r="AL172" s="104">
        <f t="shared" ref="AL172" si="1524">IF(L172=0,0,G172*L172*I172-PI()*(H172/1000)*(H172/1000)/4*G172+AO172)</f>
        <v>0</v>
      </c>
      <c r="AM172" s="102">
        <f t="shared" ref="AM172" si="1525">IF(L172&lt;1.5,L172*G172*IF(H172&lt;=500,0.05,IF(H172&lt;=800,0.1,IF(H172&lt;=1200,0.15,IF(H172&gt;=1500,0.2)))),0)</f>
        <v>0</v>
      </c>
      <c r="AN172" s="106">
        <f t="shared" ref="AN172" si="1526">IF(L172&gt;=1.5,L172*G172*IF(H172&lt;=500,0.05,IF(H172&lt;=800,0.1,IF(H172&lt;=1200,0.15,IF(H172&gt;=1500,0.2)))),0)</f>
        <v>0</v>
      </c>
      <c r="AO172" s="104">
        <f t="shared" ref="AO172" si="1527">IF(R172=1,0.4*G172*L172,0)</f>
        <v>0</v>
      </c>
      <c r="AP172" s="104">
        <f t="shared" ref="AP172" si="1528">IF(AO172&lt;SUM(AF172:AH172),0,AO172)</f>
        <v>0</v>
      </c>
      <c r="AQ172" s="104">
        <f t="shared" ref="AQ172" si="1529">H172/1000+0.3</f>
        <v>0.7</v>
      </c>
      <c r="AR172" s="104">
        <f t="shared" ref="AR172" si="1530">IF(D172&lt;&gt;"PROJETADA",0,AQ172*L172*G172-PI()*(H172/1000*H172/1000)/4*G172)</f>
        <v>0</v>
      </c>
      <c r="AS172" s="104">
        <f t="shared" ref="AS172" si="1531">IF(AR172&lt;SUM(AF172:AH172),0,AR172)</f>
        <v>0</v>
      </c>
      <c r="AT172" s="104">
        <f t="shared" ref="AT172" si="1532">IF(P172="ASFALTO",0.15*G172*L172,0)</f>
        <v>0</v>
      </c>
      <c r="AU172" s="104">
        <f t="shared" ref="AU172" si="1533">AT172</f>
        <v>0</v>
      </c>
      <c r="AV172" s="104">
        <f t="shared" ref="AV172" si="1534">IF(P172="ASFALTO",0.03*G172*L172,0)</f>
        <v>0</v>
      </c>
      <c r="AW172" s="104">
        <f t="shared" ref="AW172" si="1535">AL172-AO172-SUM(AM172:AN172)-AT172-AU172-AR172</f>
        <v>0</v>
      </c>
      <c r="AX172" s="104">
        <f t="shared" ref="AX172" si="1536">SUM(AF172:AH172)-AO172-AT172-AR172</f>
        <v>0</v>
      </c>
      <c r="AY172" s="104">
        <f t="shared" ref="AY172" si="1537">SMALL(AW172:AX172,1)</f>
        <v>0</v>
      </c>
      <c r="AZ172" s="104">
        <f t="shared" ref="AZ172" si="1538">AW172-AY172</f>
        <v>0</v>
      </c>
      <c r="BA172" s="104">
        <f t="shared" si="1159"/>
        <v>0</v>
      </c>
      <c r="BB172" s="104">
        <f t="shared" ref="BB172" si="1539">AZ172-BA172</f>
        <v>0</v>
      </c>
      <c r="BC172" s="104"/>
      <c r="BD172" s="104">
        <f t="shared" ref="BD172" si="1540">IF(AO172&gt;0,4%*(AO172+AT172),0)</f>
        <v>0</v>
      </c>
      <c r="BE172" s="108">
        <f t="shared" ref="BE172" si="1541">IF(H172=400,I172,0)</f>
        <v>1.4448000000000001</v>
      </c>
      <c r="BF172" s="110">
        <f t="shared" ref="BF172" si="1542">IF(BE172&lt;=1.75,AND(BE172&gt;0)*G172,0)</f>
        <v>9.26</v>
      </c>
      <c r="BG172" s="110">
        <f t="shared" ref="BG172" si="1543">IF(BE172&lt;=3,AND(BE172&gt;1.75)*G172,0)</f>
        <v>0</v>
      </c>
      <c r="BH172" s="105" t="str">
        <f>VLOOKUP(A172,'BOCA DE LOBO'!$C$99:$P$172,7,0)</f>
        <v>BOCA DE LOBO EXISTENTE SIMPLES</v>
      </c>
      <c r="BI172" s="104">
        <f t="shared" ref="BI172" si="1544">IF(BH172=$BI$107,1,0)</f>
        <v>0</v>
      </c>
      <c r="BJ172" s="104">
        <f t="shared" ref="BJ172" si="1545">IF(BH172=$BJ$107,1,0)</f>
        <v>0</v>
      </c>
      <c r="BK172" s="104">
        <f t="shared" ref="BK172" si="1546">IF(BH172=$BK$107,1,0)</f>
        <v>0</v>
      </c>
      <c r="BL172" s="104">
        <f t="shared" ref="BL172" si="1547">IF(BH172=$BL$107,1,0)</f>
        <v>0</v>
      </c>
      <c r="BM172" s="104">
        <f t="shared" ref="BM172" si="1548">IF(BH172=$BM$107,1,0)</f>
        <v>0</v>
      </c>
      <c r="BN172" s="104">
        <f t="shared" ref="BN172" si="1549">IF(BH172=$BN$107,1,0)</f>
        <v>0</v>
      </c>
      <c r="BO172" s="543">
        <f t="shared" ref="BO172" si="1550">IF(BH172=$BO$107,1,0)</f>
        <v>0</v>
      </c>
      <c r="BP172" s="111"/>
      <c r="BQ172" s="108">
        <f t="shared" ref="BQ172" si="1551">IF(L172&lt;=1.5,IF(I172+IF(R172=1,0.5,0)&lt;1.5,(I172+IF(R172=1,0.5,0))*G172*2,G172*2*1.5),0)</f>
        <v>27.78</v>
      </c>
      <c r="BR172" s="108">
        <f t="shared" ref="BR172" si="1552">IF(L172&lt;=1.5,IF(AND(I172+IF(R172=1,0.5,0)&lt;3,I172+IF(R172=1,0.5,0)&gt;1.5),(I172+IF(R172=1,0.5,0)-1.5)*G172*2,IF(I172+IF(R172=1,0.5,0)&gt;=3,(G172*2*1.5),0)),0)</f>
        <v>8.2376960000000015</v>
      </c>
      <c r="BS172" s="108">
        <f t="shared" ref="BS172" si="1553">IF(L172&lt;=1.5,IF(AND(I172+IF(R172=1,0.5,0)&lt;4.5,I172+IF(R172=1,0.5,0)&gt;3),(I172+IF(R172=1,0.5,0)-3)*G172*2,IF(I172+IF(R172=1,0.5,0)&gt;=4.5,(G172*2*1.5),0)),0)</f>
        <v>0</v>
      </c>
      <c r="BT172" s="112"/>
      <c r="BU172" s="112" t="s">
        <v>1410</v>
      </c>
      <c r="BV172" s="538">
        <f t="shared" ref="BV172" si="1554">IF(OR("BOCA DE LOBO EXISTENTE TRIPLA"=BH172,"BOCA DE LOBO EXISTENTE SIMPLES"=BH172,"BOCA DE LOBO EXISTENTE DUPLA"=BH172),0,IF("BOCA DE LOBO PROJETADA DUPLA"=BH172,(2.57+1)*(1.18+1),IF(OR("BOCA DE LOBO DUPLA EXISTENTE COM BOCA DE LOBO SIMPLES PROJETADA"=BH172,"BOCA DE LOBO SIMPLES EXISTENTE COM BOCA DE LOBO SIMPLES PROJETADA"=BH172),(1.18+0.5)*(1.18+1),IF(OR(BH172="BOCA DE LOBO DUPLA EXISTENTE COM BOCA DE LOBO DUPLA PROJETADA",BH172="BOCA DE LOBO SIMPLES EXISTENTE COM BOCA DE LOBO DUPLA PROJETADA"),(2.38+0.5)*(1.18+1),IF("BOCA DE LOBO PROJETADA TRIPLA"=BH172,(3.76+1)*(1.18+1),IF("BOCA DE LOBO PROJETADA QUADRUPLA"=BH172,(4.92+1)*(1.18+1),"X"))))))*(E172+IF(CA172&gt;0,0.5,0))</f>
        <v>0</v>
      </c>
      <c r="BW172" s="538">
        <f t="shared" ref="BW172" si="1555">IF(OR("BOCA DE LOBO EXISTENTE TRIPLA"=BH172,"BOCA DE LOBO EXISTENTE SIMPLES"=BH172,"BOCA DE LOBO EXISTENTE DUPLA"=BH172),0,IF("BOCA DE LOBO PROJETADA DUPLA"=BH172,(2.57+1)*(1.18+1),IF(OR("BOCA DE LOBO DUPLA EXISTENTE COM BOCA DE LOBO SIMPLES PROJETADA"=BH172,"BOCA DE LOBO SIMPLES EXISTENTE COM BOCA DE LOBO SIMPLES PROJETADA"=BH172),(1.18+1)*(1.18+0.5),IF(OR(BH172="BOCA DE LOBO DUPLA EXISTENTE COM BOCA DE LOBO DUPLA PROJETADA",BH172="BOCA DE LOBO SIMPLES EXISTENTE COM BOCA DE LOBO DUPLA PROJETADA"),(2.38+0.5)*(1.18+1),IF("BOCA DE LOBO PROJETADA TRIPLA"=BH172,(3.76+0.5*2)*(1.18+1),IF("BOCA DE LOBO PROJETADA QUADRUPLA"=BH172,(4.92+0.5*2)*(1.18+1),"X"))))))</f>
        <v>0</v>
      </c>
      <c r="BX172" s="538">
        <f t="shared" ref="BX172" si="1556">IF(OR("BOCA DE LOBO EXISTENTE TRIPLA"=BH172,"BOCA DE LOBO EXISTENTE SIMPLES"=BH172,"BOCA DE LOBO EXISTENTE DUPLA"=BH172),0,IF("BOCA DE LOBO PROJETADA DUPLA"=BH172,(2.57)*(1.18),IF(OR("BOCA DE LOBO DUPLA EXISTENTE COM BOCA DE LOBO SIMPLES PROJETADA"=BH172,"BOCA DE LOBO SIMPLES EXISTENTE COM BOCA DE LOBO SIMPLES PROJETADA"=BH172),(1.18)*(1.18),IF(OR(BH172="BOCA DE LOBO DUPLA EXISTENTE COM BOCA DE LOBO DUPLA PROJETADA",BH172="BOCA DE LOBO SIMPLES EXISTENTE COM BOCA DE LOBO DUPLA PROJETADA"),(2.38)*(1.18),IF("BOCA DE LOBO PROJETADA TRIPLA"=BH172,(3.76)*(1.18),IF("BOCA DE LOBO PROJETADA QUADRUPLA"=BH172,(4.92)*(1.18),"X"))))))</f>
        <v>0</v>
      </c>
      <c r="BY172" s="538">
        <f t="shared" ref="BY172" si="1557">E172</f>
        <v>1.1295999999999999</v>
      </c>
      <c r="BZ172" s="538">
        <f t="shared" ref="BZ172" si="1558">IF(Y172&gt;0.5,0,IF(S172&lt;E172,S172,E172))</f>
        <v>1.1295999999999999</v>
      </c>
      <c r="CA172" s="538">
        <f t="shared" ref="CA172" si="1559">IF(Y172&gt;0.5,BY172+0.5,Y172)</f>
        <v>0.4</v>
      </c>
      <c r="CB172" s="538">
        <f t="shared" ref="CB172" si="1560">IF(S172&gt;E172,0,E172-S172)</f>
        <v>0</v>
      </c>
      <c r="CC172" s="538">
        <f t="shared" ref="CC172" si="1561">IF(BZ172&gt;1.5,BW172*1.5,BW172*BZ172)</f>
        <v>0</v>
      </c>
      <c r="CD172" s="538">
        <f t="shared" ref="CD172" si="1562">IF(BZ172&gt;1.5,BW172*(BZ172-1.5),0)</f>
        <v>0</v>
      </c>
      <c r="CE172" s="538">
        <f t="shared" ref="CE172" si="1563">IF(CA172&gt;1.5,BW172*1.5,BW172*CA172)</f>
        <v>0</v>
      </c>
      <c r="CF172" s="538">
        <f t="shared" ref="CF172" si="1564">IF(CA172&gt;1.5,BW172*(CA172-1.5),0)</f>
        <v>0</v>
      </c>
      <c r="CG172" s="538">
        <f t="shared" ref="CG172" si="1565">BV172-SUM(CC172:CF172)</f>
        <v>0</v>
      </c>
      <c r="CH172" s="538">
        <f t="shared" ref="CH172" si="1566">SUM(CC172:CG172)-BV172</f>
        <v>0</v>
      </c>
      <c r="CI172" s="104">
        <f t="shared" ref="CI172" si="1567">IF(OR("BOCA DE LOBO EXISTENTE TRIPLA"=BH172,"BOCA DE LOBO EXISTENTE SIMPLES"=BH172,"BOCA DE LOBO EXISTENTE DUPLA"=BH172),0,IF("BOCA DE LOBO PROJETADA DUPLA"=BH172,(2.57+1)*(0.5),IF(OR("BOCA DE LOBO DUPLA EXISTENTE COM BOCA DE LOBO SIMPLES PROJETADA"=BH172,"BOCA DE LOBO SIMPLES EXISTENTE COM BOCA DE LOBO SIMPLES PROJETADA"=BH172),(1.18+0.5)*(0.5),IF(OR(BH172="BOCA DE LOBO DUPLA EXISTENTE COM BOCA DE LOBO DUPLA PROJETADA",BH172="BOCA DE LOBO SIMPLES EXISTENTE COM BOCA DE LOBO DUPLA PROJETADA"),(2.38+0.5)*(0.5),IF("BOCA DE LOBO PROJETADA TRIPLA"=BH172,(3.76+1)*(0.5),IF("BOCA DE LOBO PROJETADA QUADRUPLA"=BH172,(4.92+1)*(0.5),"X")))))*0.3)</f>
        <v>0</v>
      </c>
      <c r="CJ172" s="538">
        <f t="shared" ref="CJ172" si="1568">(BW172-BX172)*(BY172+IF(CA172&gt;=0.4,0.4,0))-CI172</f>
        <v>0</v>
      </c>
      <c r="CK172" s="538">
        <f t="shared" si="1190"/>
        <v>0</v>
      </c>
      <c r="CL172" s="538">
        <f t="shared" ref="CL172" si="1569">CJ172-CK172</f>
        <v>0</v>
      </c>
      <c r="CM172" s="538">
        <f t="shared" ref="CM172" si="1570">IF(CA172&gt;0,0.5*4%*BW172,0)</f>
        <v>0</v>
      </c>
      <c r="CN172" s="538">
        <f t="shared" ref="CN172" si="1571">IF(OR("BOCA DE LOBO EXISTENTE TRIPLA"=BH172,"BOCA DE LOBO EXISTENTE SIMPLES"=BH172,"BOCA DE LOBO EXISTENTE DUPLA"=BH172),0,IF("BOCA DE LOBO PROJETADA DUPLA"=BH172,(2.57+1),IF(OR("BOCA DE LOBO DUPLA EXISTENTE COM BOCA DE LOBO SIMPLES PROJETADA"=BH172,"BOCA DE LOBO SIMPLES EXISTENTE COM BOCA DE LOBO SIMPLES PROJETADA"=BH172),(1.18+0.5),IF(OR(BH172="BOCA DE LOBO DUPLA EXISTENTE COM BOCA DE LOBO DUPLA PROJETADA",BH172="BOCA DE LOBO SIMPLES EXISTENTE COM BOCA DE LOBO DUPLA PROJETADA"),(2.38+0.5),IF("BOCA DE LOBO PROJETADA TRIPLA"=BH172,(3.76+0.5*2),IF("BOCA DE LOBO PROJETADA QUADRUPLA"=BH172,(4.92+0.5*2),"X"))))))</f>
        <v>0</v>
      </c>
      <c r="CO172" s="538">
        <f t="shared" ref="CO172" si="1572">IF(CA172&gt;0,BY172+0.5,BY172)</f>
        <v>1.6295999999999999</v>
      </c>
      <c r="CP172" s="538">
        <f t="shared" ref="CP172" si="1573">IF(CO172&gt;=1.5,CN172*1.5*2,CN172*CO172*2)</f>
        <v>0</v>
      </c>
      <c r="CQ172" s="538">
        <f t="shared" ref="CQ172" si="1574">IF(CO172&lt;=1.5,0,IF(CO172&gt;=3,CN172*1.5*2,CN172*(CO172-1.5)*2))</f>
        <v>0</v>
      </c>
      <c r="CR172" s="539">
        <f t="shared" ref="CR172" si="1575">IF(D172="AMPLIADA",0.55*(E172-0.5),0)</f>
        <v>0</v>
      </c>
      <c r="CS172" s="540">
        <f t="shared" ref="CS172" si="1576">IF(OR("BOCA DE LOBO EXISTENTE TRIPLA"=BH172,"BOCA DE LOBO EXISTENTE SIMPLES"=BH172,"BOCA DE LOBO EXISTENTE DUPLA"=BH172,"BOCA DE LOBO EXISTENTE QUADRUPLA"=BH172),0,IF("BOCA DE LOBO PROJETADA DUPLA"=BH172,(0),IF(OR("BOCA DE LOBO DUPLA EXISTENTE COM BOCA DE LOBO SIMPLES PROJETADA"=BH172,"BOCA DE LOBO SIMPLES EXISTENTE COM BOCA DE LOBO SIMPLES PROJETADA"=BH172),(0.8*0.15*0.17),IF(OR(BH172="BOCA DE LOBO DUPLA EXISTENTE COM BOCA DE LOBO DUPLA PROJETADA",BH172="BOCA DE LOBO SIMPLES EXISTENTE COM BOCA DE LOBO DUPLA PROJETADA"),(0.8*0.15*0.17),IF("BOCA DE LOBO PROJETADA TRIPLA"=BH172,(0),IF("BOCA DE LOBO PROJETADA QUADRUPLA"=BH172,(0),"X")))))*E172)</f>
        <v>0</v>
      </c>
      <c r="CT172" s="540">
        <f t="shared" ref="CT172" si="1577">IF(OR("BOCA DE LOBO EXISTENTE TRIPLA"=BH172,"BOCA DE LOBO EXISTENTE SIMPLES"=BH172,"BOCA DE LOBO EXISTENTE DUPLA"=BH172,"BOCA DE LOBO EXISTENTE QUADRUPLA"=BH172),0,IF("BOCA DE LOBO PROJETADA DUPLA"=BH172,(1.18*2.57*0.05),IF(OR("BOCA DE LOBO DUPLA EXISTENTE COM BOCA DE LOBO SIMPLES PROJETADA"=BH172,"BOCA DE LOBO SIMPLES EXISTENTE COM BOCA DE LOBO SIMPLES PROJETADA"=BH172),(1.19*1.18*0.05),IF(OR(BH172="BOCA DE LOBO DUPLA EXISTENTE COM BOCA DE LOBO DUPLA PROJETADA",BH172="BOCA DE LOBO SIMPLES EXISTENTE COM BOCA DE LOBO DUPLA PROJETADA"),(2.38*1.18*0.056),IF("BOCA DE LOBO PROJETADA TRIPLA"=BH172,(3.76*1.18*0.05),IF("BOCA DE LOBO PROJETADA QUADRUPLA"=BH172,(4.92*1.18*0.05),"X")))))+CI172/3)</f>
        <v>0</v>
      </c>
      <c r="CU172" s="541">
        <f t="shared" ref="CU172" si="1578">IF(OR("BOCA DE LOBO EXISTENTE TRIPLA"=BH172,"BOCA DE LOBO EXISTENTE SIMPLES"=BH172,"BOCA DE LOBO EXISTENTE DUPLA"=BH172,"BOCA DE LOBO EXISTENTE QUADRUPLA"=BH172),0,IF("BOCA DE LOBO PROJETADA DUPLA"=BH172,(1*4+0.6*2),IF(OR("BOCA DE LOBO DUPLA EXISTENTE COM BOCA DE LOBO SIMPLES PROJETADA"=BH172,"BOCA DE LOBO SIMPLES EXISTENTE COM BOCA DE LOBO SIMPLES PROJETADA"=BH172),(1*2+0.6),IF(OR(BH172="BOCA DE LOBO DUPLA EXISTENTE COM BOCA DE LOBO DUPLA PROJETADA",BH172="BOCA DE LOBO SIMPLES EXISTENTE COM BOCA DE LOBO DUPLA PROJETADA"),(1*4+0.6),IF("BOCA DE LOBO PROJETADA TRIPLA"=BH172,(6*1+0.6*2),IF("BOCA DE LOBO PROJETADA QUADRUPLA"=BH172,(8*1+0.6*2),"X")))))*E172)</f>
        <v>0</v>
      </c>
      <c r="CV172" s="538">
        <f t="shared" ref="CV172" si="1579">IF(OR("BOCA DE LOBO EXISTENTE TRIPLA"=BH172,"BOCA DE LOBO EXISTENTE SIMPLES"=BH172,"BOCA DE LOBO EXISTENTE DUPLA"=BH172,"BOCA DE LOBO EXISTENTE QUADRUPLA"=BH172),0,IF("BOCA DE LOBO PROJETADA DUPLA"=BH172,(12*E172*0.17*0.15+1*0.17*0.15*5+1.09*0.6*0.07*2+2.57*1.18*0.15),IF(OR("BOCA DE LOBO DUPLA EXISTENTE COM BOCA DE LOBO SIMPLES PROJETADA"=BH172,"BOCA DE LOBO SIMPLES EXISTENTE COM BOCA DE LOBO SIMPLES PROJETADA"=BH172),(8*E172*0.17*0.15+1*0.17*0.15*4+1.09*0.6*0.07*1+1.38*1.18*0.15),IF(OR(BH172="BOCA DE LOBO DUPLA EXISTENTE COM BOCA DE LOBO DUPLA PROJETADA",BH172="BOCA DE LOBO SIMPLES EXISTENTE COM BOCA DE LOBO DUPLA PROJETADA"),(7*E172*0.17*0.15+1*0.17*0.15*5+1.09*0.6*0.07*2+2.38*1.18*0.15),IF("BOCA DE LOBO PROJETADA TRIPLA"=BH172,(15*E172*0.17*0.15+1*0.17*0.15*7+1.09*0.6*0.07*3+3.76*1.18*0.15),IF("BOCA DE LOBO PROJETADA QUADRUPLA"=BH172,(19*E172*0.17*0.15+1*0.17*0.15*9+1.09*0.6*0.07*4+4.92*1.18*0.15),"X"))))))</f>
        <v>0</v>
      </c>
      <c r="CW172" s="538">
        <f t="shared" ref="CW172" si="1580">IF(OR("BOCA DE LOBO EXISTENTE TRIPLA"=BH172,"BOCA DE LOBO EXISTENTE SIMPLES"=BH172,"BOCA DE LOBO EXISTENTE DUPLA"=BH172,"BOCA DE LOBO EXISTENTE QUADRUPLA"=BH172),0,IF("BOCA DE LOBO PROJETADA DUPLA"=BH172,(12*E172*2*(0.17+0.15)+1*(2*0.17+0.15)*5+2*(2.57+1.18)*0.15+(1.09+0.6)*2*0.07*2),IF(OR("BOCA DE LOBO DUPLA EXISTENTE COM BOCA DE LOBO SIMPLES PROJETADA"=BH172,"BOCA DE LOBO SIMPLES EXISTENTE COM BOCA DE LOBO SIMPLES PROJETADA"=BH172),(8*E172*2*(0.17+0.15)+1*(2*0.17+0.15)*4+2*(1.38+1.18)*0.15+(1.09+0.6)*2*0.07*1),IF(OR(BH172="BOCA DE LOBO DUPLA EXISTENTE COM BOCA DE LOBO DUPLA PROJETADA",BH172="BOCA DE LOBO SIMPLES EXISTENTE COM BOCA DE LOBO DUPLA PROJETADA"),(7*E172*2*(0.17+0.15)+1*(2*0.17+0.15)*5+2*(2.38+1.18)*0.15+(1.09+0.6)*2*0.07*2),IF("BOCA DE LOBO PROJETADA TRIPLA"=BH172,(15*E172*2*(0.17+0.15)+1*(2*0.17+0.15)*7+2*(3.76+1.18)*0.15+(1.09+0.6)*2*0.07*3),IF("BOCA DE LOBO PROJETADA QUADRUPLA"=BH172,(19*E172*2*(0.17+0.15)+1*(2*0.17+0.15)*7+2*(4.92+1.18)*0.15+(1.09+0.6)*2*0.07*4),"X"))))))</f>
        <v>0</v>
      </c>
      <c r="CX172" s="104">
        <f t="shared" ref="CX172" si="1581">IF(OR("BOCA DE LOBO EXISTENTE TRIPLA"=BH172,"BOCA DE LOBO EXISTENTE SIMPLES"=BH172,"BOCA DE LOBO EXISTENTE DUPLA"=BH172,"BOCA DE LOBO EXISTENTE QUADRUPLA"=BH172),0,IF("BOCA DE LOBO PROJETADA DUPLA"=BH172,(2.57+1),IF(OR("BOCA DE LOBO DUPLA EXISTENTE COM BOCA DE LOBO SIMPLES PROJETADA"=BH172,"BOCA DE LOBO SIMPLES EXISTENTE COM BOCA DE LOBO SIMPLES PROJETADA"=BH172),(1.18+0.5),IF(OR(BH172="BOCA DE LOBO DUPLA EXISTENTE COM BOCA DE LOBO DUPLA PROJETADA",BH172="BOCA DE LOBO SIMPLES EXISTENTE COM BOCA DE LOBO DUPLA PROJETADA"),(2.38+0.5),IF("BOCA DE LOBO PROJETADA TRIPLA"=BH172,(3.76+1),IF("BOCA DE LOBO PROJETADA QUADRUPLA"=BH172,(4.92+1),"X"))))))</f>
        <v>0</v>
      </c>
      <c r="CY172" s="542">
        <f t="shared" ref="CY172" si="1582">CX172*0.5</f>
        <v>0</v>
      </c>
      <c r="CZ172" s="538">
        <f t="shared" ref="CZ172" si="1583">IF(AND(C172="EXISTENTE",D172="PROJETADA"),PI()*0.51*0.51/4*0.12,0)</f>
        <v>0</v>
      </c>
    </row>
    <row r="173" spans="1:104" ht="25" x14ac:dyDescent="0.25">
      <c r="A173" s="100" t="str">
        <f>'BOCA DE LOBO'!C163</f>
        <v>BL63-&gt;PV2-48</v>
      </c>
      <c r="B173" s="100" t="str">
        <f>'BOCA DE LOBO'!A163</f>
        <v>PV2-48</v>
      </c>
      <c r="C173" s="100" t="str">
        <f>VLOOKUP(A173,'BOCA DE LOBO'!C:F,3,0)</f>
        <v>EXISTENTE</v>
      </c>
      <c r="D173" s="100" t="str">
        <f>VLOOKUP(A173,'BOCA DE LOBO'!C:M,10,0)</f>
        <v>EXISTENTE</v>
      </c>
      <c r="E173" s="100">
        <f t="shared" si="1430"/>
        <v>1.8408</v>
      </c>
      <c r="F173" s="100">
        <f>VLOOKUP(A173,'BOCA DE LOBO'!$C$97:$P$172,2,0)</f>
        <v>2</v>
      </c>
      <c r="G173" s="100">
        <f>VLOOKUP(A173,'BOCA DE LOBO'!$C$97:$L$172,4,0)</f>
        <v>3.98</v>
      </c>
      <c r="H173" s="101">
        <v>400</v>
      </c>
      <c r="I173" s="102">
        <f t="shared" si="1431"/>
        <v>2.0503999999999998</v>
      </c>
      <c r="J173" s="102">
        <f t="shared" si="1432"/>
        <v>0.40802959999999999</v>
      </c>
      <c r="K173" s="103">
        <v>0</v>
      </c>
      <c r="L173" s="104">
        <f t="shared" si="1433"/>
        <v>0</v>
      </c>
      <c r="M173" s="104">
        <f t="shared" si="1434"/>
        <v>0</v>
      </c>
      <c r="N173" s="104">
        <f t="shared" si="1435"/>
        <v>400</v>
      </c>
      <c r="O173" s="104">
        <f t="shared" si="1436"/>
        <v>0</v>
      </c>
      <c r="P173" s="105" t="s">
        <v>1999</v>
      </c>
      <c r="Q173" s="452" t="s">
        <v>2176</v>
      </c>
      <c r="R173" s="105"/>
      <c r="S173" s="105">
        <v>5</v>
      </c>
      <c r="T173" s="105">
        <v>5</v>
      </c>
      <c r="U173" s="104">
        <f t="shared" si="1437"/>
        <v>0.05</v>
      </c>
      <c r="V173" s="106">
        <f t="shared" si="1438"/>
        <v>0</v>
      </c>
      <c r="W173" s="106">
        <f t="shared" si="1439"/>
        <v>0</v>
      </c>
      <c r="X173" s="107">
        <f t="shared" si="1440"/>
        <v>0</v>
      </c>
      <c r="Y173" s="107">
        <f t="shared" si="1441"/>
        <v>0</v>
      </c>
      <c r="Z173" s="107">
        <f t="shared" si="1442"/>
        <v>2.0503999999999998</v>
      </c>
      <c r="AA173" s="107">
        <f t="shared" si="1443"/>
        <v>0</v>
      </c>
      <c r="AB173" s="108">
        <f t="shared" si="1444"/>
        <v>0</v>
      </c>
      <c r="AC173" s="109">
        <f t="shared" si="1445"/>
        <v>0</v>
      </c>
      <c r="AD173" s="109">
        <f t="shared" si="1446"/>
        <v>0</v>
      </c>
      <c r="AE173" s="109">
        <f t="shared" si="1447"/>
        <v>0</v>
      </c>
      <c r="AF173" s="109">
        <f t="shared" si="1448"/>
        <v>0</v>
      </c>
      <c r="AG173" s="109">
        <f t="shared" si="1449"/>
        <v>0</v>
      </c>
      <c r="AH173" s="109">
        <f t="shared" si="1450"/>
        <v>0</v>
      </c>
      <c r="AI173" s="537" t="str">
        <f t="shared" si="1451"/>
        <v>NÃO</v>
      </c>
      <c r="AJ173" s="104">
        <f t="shared" si="1452"/>
        <v>0</v>
      </c>
      <c r="AK173" s="104">
        <f t="shared" si="1453"/>
        <v>0</v>
      </c>
      <c r="AL173" s="104">
        <f t="shared" si="1454"/>
        <v>0</v>
      </c>
      <c r="AM173" s="102">
        <f t="shared" si="1455"/>
        <v>0</v>
      </c>
      <c r="AN173" s="106">
        <f t="shared" si="1456"/>
        <v>0</v>
      </c>
      <c r="AO173" s="104">
        <f t="shared" si="1457"/>
        <v>0</v>
      </c>
      <c r="AP173" s="104">
        <f t="shared" si="1458"/>
        <v>0</v>
      </c>
      <c r="AQ173" s="104">
        <f t="shared" si="1459"/>
        <v>0.7</v>
      </c>
      <c r="AR173" s="104">
        <f t="shared" si="1460"/>
        <v>0</v>
      </c>
      <c r="AS173" s="104">
        <f t="shared" si="1461"/>
        <v>0</v>
      </c>
      <c r="AT173" s="104">
        <f t="shared" si="1462"/>
        <v>0</v>
      </c>
      <c r="AU173" s="104">
        <f t="shared" si="1463"/>
        <v>0</v>
      </c>
      <c r="AV173" s="104">
        <f t="shared" si="1464"/>
        <v>0</v>
      </c>
      <c r="AW173" s="104">
        <f t="shared" si="1465"/>
        <v>0</v>
      </c>
      <c r="AX173" s="104">
        <f t="shared" si="1466"/>
        <v>0</v>
      </c>
      <c r="AY173" s="104">
        <f t="shared" si="1467"/>
        <v>0</v>
      </c>
      <c r="AZ173" s="104">
        <f t="shared" si="1468"/>
        <v>0</v>
      </c>
      <c r="BA173" s="104">
        <f t="shared" si="1159"/>
        <v>0</v>
      </c>
      <c r="BB173" s="104">
        <f t="shared" si="1469"/>
        <v>0</v>
      </c>
      <c r="BC173" s="104"/>
      <c r="BD173" s="104">
        <f t="shared" si="1470"/>
        <v>0</v>
      </c>
      <c r="BE173" s="108">
        <f t="shared" si="1471"/>
        <v>2.0503999999999998</v>
      </c>
      <c r="BF173" s="110">
        <f t="shared" si="1472"/>
        <v>0</v>
      </c>
      <c r="BG173" s="110">
        <f t="shared" si="1473"/>
        <v>3.98</v>
      </c>
      <c r="BH173" s="105" t="str">
        <f>VLOOKUP(A173,'BOCA DE LOBO'!$C$99:$P$172,7,0)</f>
        <v>BOCA DE LOBO EXISTENTE SIMPLES</v>
      </c>
      <c r="BI173" s="104">
        <f t="shared" si="1474"/>
        <v>0</v>
      </c>
      <c r="BJ173" s="104">
        <f t="shared" si="1475"/>
        <v>0</v>
      </c>
      <c r="BK173" s="104">
        <f t="shared" si="1476"/>
        <v>0</v>
      </c>
      <c r="BL173" s="104">
        <f t="shared" si="1477"/>
        <v>0</v>
      </c>
      <c r="BM173" s="104">
        <f t="shared" si="1478"/>
        <v>0</v>
      </c>
      <c r="BN173" s="104">
        <f t="shared" si="1479"/>
        <v>0</v>
      </c>
      <c r="BO173" s="543">
        <f t="shared" si="1480"/>
        <v>0</v>
      </c>
      <c r="BP173" s="111"/>
      <c r="BQ173" s="108">
        <f t="shared" si="1481"/>
        <v>11.94</v>
      </c>
      <c r="BR173" s="108">
        <f t="shared" si="1482"/>
        <v>4.3811839999999984</v>
      </c>
      <c r="BS173" s="108">
        <f t="shared" si="1483"/>
        <v>0</v>
      </c>
      <c r="BT173" s="112"/>
      <c r="BU173" s="112" t="s">
        <v>1410</v>
      </c>
      <c r="BV173" s="538">
        <f t="shared" si="1175"/>
        <v>0</v>
      </c>
      <c r="BW173" s="538">
        <f t="shared" si="1176"/>
        <v>0</v>
      </c>
      <c r="BX173" s="538">
        <f t="shared" si="1177"/>
        <v>0</v>
      </c>
      <c r="BY173" s="538">
        <f t="shared" si="1484"/>
        <v>1.8408</v>
      </c>
      <c r="BZ173" s="538">
        <f t="shared" si="1485"/>
        <v>1.8408</v>
      </c>
      <c r="CA173" s="538">
        <f t="shared" si="1486"/>
        <v>0</v>
      </c>
      <c r="CB173" s="538">
        <f t="shared" si="1487"/>
        <v>0</v>
      </c>
      <c r="CC173" s="538">
        <f t="shared" si="1488"/>
        <v>0</v>
      </c>
      <c r="CD173" s="538">
        <f t="shared" si="1489"/>
        <v>0</v>
      </c>
      <c r="CE173" s="538">
        <f t="shared" si="1490"/>
        <v>0</v>
      </c>
      <c r="CF173" s="538">
        <f t="shared" si="1491"/>
        <v>0</v>
      </c>
      <c r="CG173" s="538">
        <f t="shared" si="1492"/>
        <v>0</v>
      </c>
      <c r="CH173" s="538">
        <f t="shared" si="1493"/>
        <v>0</v>
      </c>
      <c r="CI173" s="104">
        <f t="shared" si="1188"/>
        <v>0</v>
      </c>
      <c r="CJ173" s="538">
        <f t="shared" si="1494"/>
        <v>0</v>
      </c>
      <c r="CK173" s="538">
        <f t="shared" si="1190"/>
        <v>0</v>
      </c>
      <c r="CL173" s="538">
        <f t="shared" si="1495"/>
        <v>0</v>
      </c>
      <c r="CM173" s="538">
        <f t="shared" si="1496"/>
        <v>0</v>
      </c>
      <c r="CN173" s="538">
        <f t="shared" si="1193"/>
        <v>0</v>
      </c>
      <c r="CO173" s="538">
        <f t="shared" si="1497"/>
        <v>1.8408</v>
      </c>
      <c r="CP173" s="538">
        <f t="shared" si="1498"/>
        <v>0</v>
      </c>
      <c r="CQ173" s="538">
        <f t="shared" si="1499"/>
        <v>0</v>
      </c>
      <c r="CR173" s="539">
        <f t="shared" si="1197"/>
        <v>0</v>
      </c>
      <c r="CS173" s="540">
        <f t="shared" si="1198"/>
        <v>0</v>
      </c>
      <c r="CT173" s="540">
        <f t="shared" si="1199"/>
        <v>0</v>
      </c>
      <c r="CU173" s="541">
        <f t="shared" si="1200"/>
        <v>0</v>
      </c>
      <c r="CV173" s="538">
        <f t="shared" si="1201"/>
        <v>0</v>
      </c>
      <c r="CW173" s="538">
        <f t="shared" si="1202"/>
        <v>0</v>
      </c>
      <c r="CX173" s="104">
        <f t="shared" si="1203"/>
        <v>0</v>
      </c>
      <c r="CY173" s="542">
        <f t="shared" si="1204"/>
        <v>0</v>
      </c>
      <c r="CZ173" s="538">
        <f t="shared" si="1205"/>
        <v>0</v>
      </c>
    </row>
    <row r="174" spans="1:104" ht="25" x14ac:dyDescent="0.25">
      <c r="A174" s="100" t="str">
        <f>'BOCA DE LOBO'!C164</f>
        <v>BL64-&gt;PV3-48</v>
      </c>
      <c r="B174" s="100" t="str">
        <f>'BOCA DE LOBO'!A164</f>
        <v>PV3-48</v>
      </c>
      <c r="C174" s="100" t="str">
        <f>VLOOKUP(A174,'BOCA DE LOBO'!C:F,3,0)</f>
        <v>EXISTENTE</v>
      </c>
      <c r="D174" s="100" t="str">
        <f>VLOOKUP(A174,'BOCA DE LOBO'!C:M,10,0)</f>
        <v>EXISTENTE</v>
      </c>
      <c r="E174" s="100">
        <f t="shared" si="1430"/>
        <v>2.0011999999999319</v>
      </c>
      <c r="F174" s="100">
        <f>VLOOKUP(A174,'BOCA DE LOBO'!$C$97:$P$172,2,0)</f>
        <v>2.1999999999999318</v>
      </c>
      <c r="G174" s="100">
        <f>VLOOKUP(A174,'BOCA DE LOBO'!$C$97:$L$172,4,0)</f>
        <v>4.97</v>
      </c>
      <c r="H174" s="101">
        <v>400</v>
      </c>
      <c r="I174" s="102">
        <f t="shared" si="1431"/>
        <v>2.2305999999999315</v>
      </c>
      <c r="J174" s="102">
        <f t="shared" si="1432"/>
        <v>0.55430409999998287</v>
      </c>
      <c r="K174" s="103">
        <v>0</v>
      </c>
      <c r="L174" s="104">
        <f t="shared" si="1433"/>
        <v>0</v>
      </c>
      <c r="M174" s="104">
        <f t="shared" si="1434"/>
        <v>0</v>
      </c>
      <c r="N174" s="104">
        <f t="shared" si="1435"/>
        <v>400</v>
      </c>
      <c r="O174" s="104">
        <f t="shared" si="1436"/>
        <v>0</v>
      </c>
      <c r="P174" s="105" t="s">
        <v>1999</v>
      </c>
      <c r="Q174" s="452" t="s">
        <v>2176</v>
      </c>
      <c r="R174" s="105"/>
      <c r="S174" s="105">
        <v>5</v>
      </c>
      <c r="T174" s="105">
        <v>5</v>
      </c>
      <c r="U174" s="104">
        <f t="shared" si="1437"/>
        <v>0.05</v>
      </c>
      <c r="V174" s="106">
        <f t="shared" si="1438"/>
        <v>0</v>
      </c>
      <c r="W174" s="106">
        <f t="shared" si="1439"/>
        <v>0</v>
      </c>
      <c r="X174" s="107">
        <f t="shared" si="1440"/>
        <v>0</v>
      </c>
      <c r="Y174" s="107">
        <f t="shared" si="1441"/>
        <v>0</v>
      </c>
      <c r="Z174" s="107">
        <f t="shared" si="1442"/>
        <v>2.2305999999999315</v>
      </c>
      <c r="AA174" s="107">
        <f t="shared" si="1443"/>
        <v>0</v>
      </c>
      <c r="AB174" s="108">
        <f t="shared" si="1444"/>
        <v>0</v>
      </c>
      <c r="AC174" s="109">
        <f t="shared" si="1445"/>
        <v>0</v>
      </c>
      <c r="AD174" s="109">
        <f t="shared" si="1446"/>
        <v>0</v>
      </c>
      <c r="AE174" s="109">
        <f t="shared" si="1447"/>
        <v>0</v>
      </c>
      <c r="AF174" s="109">
        <f t="shared" si="1448"/>
        <v>0</v>
      </c>
      <c r="AG174" s="109">
        <f t="shared" si="1449"/>
        <v>0</v>
      </c>
      <c r="AH174" s="109">
        <f t="shared" si="1450"/>
        <v>0</v>
      </c>
      <c r="AI174" s="537" t="str">
        <f t="shared" si="1451"/>
        <v>NÃO</v>
      </c>
      <c r="AJ174" s="104">
        <f t="shared" si="1452"/>
        <v>0</v>
      </c>
      <c r="AK174" s="104">
        <f t="shared" si="1453"/>
        <v>0</v>
      </c>
      <c r="AL174" s="104">
        <f t="shared" si="1454"/>
        <v>0</v>
      </c>
      <c r="AM174" s="102">
        <f t="shared" si="1455"/>
        <v>0</v>
      </c>
      <c r="AN174" s="106">
        <f t="shared" si="1456"/>
        <v>0</v>
      </c>
      <c r="AO174" s="104">
        <f t="shared" si="1457"/>
        <v>0</v>
      </c>
      <c r="AP174" s="104">
        <f t="shared" si="1458"/>
        <v>0</v>
      </c>
      <c r="AQ174" s="104">
        <f t="shared" si="1459"/>
        <v>0.7</v>
      </c>
      <c r="AR174" s="104">
        <f t="shared" si="1460"/>
        <v>0</v>
      </c>
      <c r="AS174" s="104">
        <f t="shared" si="1461"/>
        <v>0</v>
      </c>
      <c r="AT174" s="104">
        <f t="shared" si="1462"/>
        <v>0</v>
      </c>
      <c r="AU174" s="104">
        <f t="shared" si="1463"/>
        <v>0</v>
      </c>
      <c r="AV174" s="104">
        <f t="shared" si="1464"/>
        <v>0</v>
      </c>
      <c r="AW174" s="104">
        <f t="shared" si="1465"/>
        <v>0</v>
      </c>
      <c r="AX174" s="104">
        <f t="shared" si="1466"/>
        <v>0</v>
      </c>
      <c r="AY174" s="104">
        <f t="shared" si="1467"/>
        <v>0</v>
      </c>
      <c r="AZ174" s="104">
        <f t="shared" si="1468"/>
        <v>0</v>
      </c>
      <c r="BA174" s="104">
        <f t="shared" si="1159"/>
        <v>0</v>
      </c>
      <c r="BB174" s="104">
        <f t="shared" si="1469"/>
        <v>0</v>
      </c>
      <c r="BC174" s="104"/>
      <c r="BD174" s="104">
        <f t="shared" si="1470"/>
        <v>0</v>
      </c>
      <c r="BE174" s="108">
        <f t="shared" si="1471"/>
        <v>2.2305999999999315</v>
      </c>
      <c r="BF174" s="110">
        <f t="shared" si="1472"/>
        <v>0</v>
      </c>
      <c r="BG174" s="110">
        <f t="shared" si="1473"/>
        <v>4.97</v>
      </c>
      <c r="BH174" s="105" t="str">
        <f>VLOOKUP(A174,'BOCA DE LOBO'!$C$99:$P$172,7,0)</f>
        <v>BOCA DE LOBO EXISTENTE SIMPLES</v>
      </c>
      <c r="BI174" s="104">
        <f t="shared" si="1474"/>
        <v>0</v>
      </c>
      <c r="BJ174" s="104">
        <f t="shared" si="1475"/>
        <v>0</v>
      </c>
      <c r="BK174" s="104">
        <f t="shared" si="1476"/>
        <v>0</v>
      </c>
      <c r="BL174" s="104">
        <f t="shared" si="1477"/>
        <v>0</v>
      </c>
      <c r="BM174" s="104">
        <f t="shared" si="1478"/>
        <v>0</v>
      </c>
      <c r="BN174" s="104">
        <f t="shared" si="1479"/>
        <v>0</v>
      </c>
      <c r="BO174" s="543">
        <f t="shared" si="1480"/>
        <v>0</v>
      </c>
      <c r="BP174" s="111"/>
      <c r="BQ174" s="108">
        <f t="shared" si="1481"/>
        <v>14.91</v>
      </c>
      <c r="BR174" s="108">
        <f t="shared" si="1482"/>
        <v>7.2621639999993191</v>
      </c>
      <c r="BS174" s="108">
        <f t="shared" si="1483"/>
        <v>0</v>
      </c>
      <c r="BT174" s="112"/>
      <c r="BU174" s="112" t="s">
        <v>1410</v>
      </c>
      <c r="BV174" s="538">
        <f t="shared" si="1175"/>
        <v>0</v>
      </c>
      <c r="BW174" s="538">
        <f t="shared" si="1176"/>
        <v>0</v>
      </c>
      <c r="BX174" s="538">
        <f t="shared" si="1177"/>
        <v>0</v>
      </c>
      <c r="BY174" s="538">
        <f t="shared" si="1484"/>
        <v>2.0011999999999319</v>
      </c>
      <c r="BZ174" s="538">
        <f t="shared" si="1485"/>
        <v>2.0011999999999319</v>
      </c>
      <c r="CA174" s="538">
        <f t="shared" si="1486"/>
        <v>0</v>
      </c>
      <c r="CB174" s="538">
        <f t="shared" si="1487"/>
        <v>0</v>
      </c>
      <c r="CC174" s="538">
        <f t="shared" si="1488"/>
        <v>0</v>
      </c>
      <c r="CD174" s="538">
        <f t="shared" si="1489"/>
        <v>0</v>
      </c>
      <c r="CE174" s="538">
        <f t="shared" si="1490"/>
        <v>0</v>
      </c>
      <c r="CF174" s="538">
        <f t="shared" si="1491"/>
        <v>0</v>
      </c>
      <c r="CG174" s="538">
        <f t="shared" si="1492"/>
        <v>0</v>
      </c>
      <c r="CH174" s="538">
        <f t="shared" si="1493"/>
        <v>0</v>
      </c>
      <c r="CI174" s="104">
        <f t="shared" si="1188"/>
        <v>0</v>
      </c>
      <c r="CJ174" s="538">
        <f t="shared" si="1494"/>
        <v>0</v>
      </c>
      <c r="CK174" s="538">
        <f t="shared" si="1190"/>
        <v>0</v>
      </c>
      <c r="CL174" s="538">
        <f t="shared" si="1495"/>
        <v>0</v>
      </c>
      <c r="CM174" s="538">
        <f t="shared" si="1496"/>
        <v>0</v>
      </c>
      <c r="CN174" s="538">
        <f t="shared" si="1193"/>
        <v>0</v>
      </c>
      <c r="CO174" s="538">
        <f t="shared" si="1497"/>
        <v>2.0011999999999319</v>
      </c>
      <c r="CP174" s="538">
        <f t="shared" si="1498"/>
        <v>0</v>
      </c>
      <c r="CQ174" s="538">
        <f t="shared" si="1499"/>
        <v>0</v>
      </c>
      <c r="CR174" s="539">
        <f t="shared" si="1197"/>
        <v>0</v>
      </c>
      <c r="CS174" s="540">
        <f t="shared" si="1198"/>
        <v>0</v>
      </c>
      <c r="CT174" s="540">
        <f t="shared" si="1199"/>
        <v>0</v>
      </c>
      <c r="CU174" s="541">
        <f t="shared" si="1200"/>
        <v>0</v>
      </c>
      <c r="CV174" s="538">
        <f t="shared" si="1201"/>
        <v>0</v>
      </c>
      <c r="CW174" s="538">
        <f t="shared" si="1202"/>
        <v>0</v>
      </c>
      <c r="CX174" s="104">
        <f t="shared" si="1203"/>
        <v>0</v>
      </c>
      <c r="CY174" s="542">
        <f t="shared" si="1204"/>
        <v>0</v>
      </c>
      <c r="CZ174" s="538">
        <f t="shared" si="1205"/>
        <v>0</v>
      </c>
    </row>
    <row r="175" spans="1:104" ht="37.5" x14ac:dyDescent="0.25">
      <c r="A175" s="100" t="str">
        <f>'BOCA DE LOBO'!C165</f>
        <v>BL65-&gt;PV4-48</v>
      </c>
      <c r="B175" s="100" t="str">
        <f>'BOCA DE LOBO'!A165</f>
        <v>PV4-48</v>
      </c>
      <c r="C175" s="100" t="str">
        <f>VLOOKUP(A175,'BOCA DE LOBO'!C:F,3,0)</f>
        <v>EXISTENTE</v>
      </c>
      <c r="D175" s="100" t="str">
        <f>VLOOKUP(A175,'BOCA DE LOBO'!C:M,10,0)</f>
        <v>AMPLIADA</v>
      </c>
      <c r="E175" s="100">
        <f t="shared" si="1430"/>
        <v>2.16</v>
      </c>
      <c r="F175" s="100">
        <f>VLOOKUP(A175,'BOCA DE LOBO'!$C$97:$P$172,2,0)</f>
        <v>2.25</v>
      </c>
      <c r="G175" s="100">
        <f>VLOOKUP(A175,'BOCA DE LOBO'!$C$97:$L$172,4,0)</f>
        <v>2.25</v>
      </c>
      <c r="H175" s="101">
        <v>400</v>
      </c>
      <c r="I175" s="102">
        <f t="shared" si="1431"/>
        <v>2.335</v>
      </c>
      <c r="J175" s="102">
        <f t="shared" si="1432"/>
        <v>0.26268750000000002</v>
      </c>
      <c r="K175" s="103">
        <v>0</v>
      </c>
      <c r="L175" s="104">
        <f t="shared" si="1433"/>
        <v>0</v>
      </c>
      <c r="M175" s="104">
        <f t="shared" si="1434"/>
        <v>0</v>
      </c>
      <c r="N175" s="104">
        <f t="shared" si="1435"/>
        <v>400</v>
      </c>
      <c r="O175" s="104">
        <f t="shared" si="1436"/>
        <v>0</v>
      </c>
      <c r="P175" s="105" t="s">
        <v>1999</v>
      </c>
      <c r="Q175" s="452" t="s">
        <v>2065</v>
      </c>
      <c r="R175" s="105"/>
      <c r="S175" s="105">
        <f>VLOOKUP(Q175,Quantitativos!$P$43:$R$88,3,0)</f>
        <v>5</v>
      </c>
      <c r="T175" s="105">
        <f>VLOOKUP(Q175,Quantitativos!$P$43:$S$88,4,0)</f>
        <v>5</v>
      </c>
      <c r="U175" s="104">
        <f t="shared" si="1437"/>
        <v>0.05</v>
      </c>
      <c r="V175" s="106">
        <f t="shared" si="1438"/>
        <v>0</v>
      </c>
      <c r="W175" s="106">
        <f t="shared" si="1439"/>
        <v>0</v>
      </c>
      <c r="X175" s="107">
        <f t="shared" si="1440"/>
        <v>0</v>
      </c>
      <c r="Y175" s="107">
        <f t="shared" si="1441"/>
        <v>0</v>
      </c>
      <c r="Z175" s="107">
        <f t="shared" si="1442"/>
        <v>2.335</v>
      </c>
      <c r="AA175" s="107">
        <f t="shared" si="1443"/>
        <v>0</v>
      </c>
      <c r="AB175" s="108">
        <f t="shared" si="1444"/>
        <v>0</v>
      </c>
      <c r="AC175" s="109">
        <f t="shared" si="1445"/>
        <v>0</v>
      </c>
      <c r="AD175" s="109">
        <f t="shared" si="1446"/>
        <v>0</v>
      </c>
      <c r="AE175" s="109">
        <f t="shared" si="1447"/>
        <v>0</v>
      </c>
      <c r="AF175" s="109">
        <f t="shared" si="1448"/>
        <v>0</v>
      </c>
      <c r="AG175" s="109">
        <f t="shared" si="1449"/>
        <v>0</v>
      </c>
      <c r="AH175" s="109">
        <f t="shared" si="1450"/>
        <v>0</v>
      </c>
      <c r="AI175" s="537" t="str">
        <f t="shared" si="1451"/>
        <v>NÃO</v>
      </c>
      <c r="AJ175" s="104">
        <f t="shared" si="1452"/>
        <v>0</v>
      </c>
      <c r="AK175" s="104">
        <f t="shared" si="1453"/>
        <v>0</v>
      </c>
      <c r="AL175" s="104">
        <f t="shared" si="1454"/>
        <v>0</v>
      </c>
      <c r="AM175" s="102">
        <f t="shared" si="1455"/>
        <v>0</v>
      </c>
      <c r="AN175" s="106">
        <f t="shared" si="1456"/>
        <v>0</v>
      </c>
      <c r="AO175" s="104">
        <f t="shared" si="1457"/>
        <v>0</v>
      </c>
      <c r="AP175" s="104">
        <f t="shared" si="1458"/>
        <v>0</v>
      </c>
      <c r="AQ175" s="104">
        <f t="shared" si="1459"/>
        <v>0.7</v>
      </c>
      <c r="AR175" s="104">
        <f t="shared" si="1460"/>
        <v>0</v>
      </c>
      <c r="AS175" s="104">
        <f t="shared" si="1461"/>
        <v>0</v>
      </c>
      <c r="AT175" s="104">
        <f t="shared" si="1462"/>
        <v>0</v>
      </c>
      <c r="AU175" s="104">
        <f t="shared" si="1463"/>
        <v>0</v>
      </c>
      <c r="AV175" s="104">
        <f t="shared" si="1464"/>
        <v>0</v>
      </c>
      <c r="AW175" s="104">
        <f t="shared" si="1465"/>
        <v>0</v>
      </c>
      <c r="AX175" s="104">
        <f t="shared" si="1466"/>
        <v>0</v>
      </c>
      <c r="AY175" s="104">
        <f t="shared" si="1467"/>
        <v>0</v>
      </c>
      <c r="AZ175" s="104">
        <f t="shared" si="1468"/>
        <v>0</v>
      </c>
      <c r="BA175" s="104">
        <f t="shared" si="1159"/>
        <v>0</v>
      </c>
      <c r="BB175" s="104">
        <f t="shared" si="1469"/>
        <v>0</v>
      </c>
      <c r="BC175" s="104"/>
      <c r="BD175" s="104">
        <f t="shared" si="1470"/>
        <v>0</v>
      </c>
      <c r="BE175" s="108">
        <f t="shared" si="1471"/>
        <v>2.335</v>
      </c>
      <c r="BF175" s="110">
        <f t="shared" si="1472"/>
        <v>0</v>
      </c>
      <c r="BG175" s="110">
        <f t="shared" si="1473"/>
        <v>2.25</v>
      </c>
      <c r="BH175" s="105" t="str">
        <f>VLOOKUP(A175,'BOCA DE LOBO'!$C$99:$P$172,7,0)</f>
        <v>BOCA DE LOBO SIMPLES EXISTENTE COM BOCA DE LOBO DUPLA PROJETADA</v>
      </c>
      <c r="BI175" s="104">
        <f t="shared" si="1474"/>
        <v>1</v>
      </c>
      <c r="BJ175" s="104">
        <f t="shared" si="1475"/>
        <v>0</v>
      </c>
      <c r="BK175" s="104">
        <f t="shared" si="1476"/>
        <v>0</v>
      </c>
      <c r="BL175" s="104">
        <f t="shared" si="1477"/>
        <v>0</v>
      </c>
      <c r="BM175" s="104">
        <f t="shared" si="1478"/>
        <v>0</v>
      </c>
      <c r="BN175" s="104">
        <f t="shared" si="1479"/>
        <v>0</v>
      </c>
      <c r="BO175" s="543">
        <f t="shared" si="1480"/>
        <v>0</v>
      </c>
      <c r="BP175" s="111"/>
      <c r="BQ175" s="108">
        <f t="shared" si="1481"/>
        <v>6.75</v>
      </c>
      <c r="BR175" s="108">
        <f t="shared" si="1482"/>
        <v>3.7574999999999998</v>
      </c>
      <c r="BS175" s="108">
        <f t="shared" si="1483"/>
        <v>0</v>
      </c>
      <c r="BT175" s="112"/>
      <c r="BU175" s="112" t="s">
        <v>1410</v>
      </c>
      <c r="BV175" s="538">
        <f t="shared" si="1175"/>
        <v>13.561343999999998</v>
      </c>
      <c r="BW175" s="538">
        <f t="shared" si="1176"/>
        <v>6.2783999999999986</v>
      </c>
      <c r="BX175" s="538">
        <f t="shared" si="1177"/>
        <v>2.8083999999999998</v>
      </c>
      <c r="BY175" s="538">
        <f t="shared" si="1484"/>
        <v>2.16</v>
      </c>
      <c r="BZ175" s="538">
        <f t="shared" si="1485"/>
        <v>2.16</v>
      </c>
      <c r="CA175" s="538">
        <f t="shared" si="1486"/>
        <v>0</v>
      </c>
      <c r="CB175" s="538">
        <f t="shared" si="1487"/>
        <v>0</v>
      </c>
      <c r="CC175" s="538">
        <f t="shared" si="1488"/>
        <v>9.4175999999999984</v>
      </c>
      <c r="CD175" s="538">
        <f t="shared" si="1489"/>
        <v>4.1437439999999999</v>
      </c>
      <c r="CE175" s="538">
        <f t="shared" si="1490"/>
        <v>0</v>
      </c>
      <c r="CF175" s="538">
        <f t="shared" si="1491"/>
        <v>0</v>
      </c>
      <c r="CG175" s="538">
        <f t="shared" si="1492"/>
        <v>0</v>
      </c>
      <c r="CH175" s="538">
        <f t="shared" si="1493"/>
        <v>0</v>
      </c>
      <c r="CI175" s="104">
        <f t="shared" si="1188"/>
        <v>0.432</v>
      </c>
      <c r="CJ175" s="538">
        <f t="shared" si="1494"/>
        <v>7.0631999999999975</v>
      </c>
      <c r="CK175" s="538">
        <f t="shared" si="1190"/>
        <v>7.0631999999999975</v>
      </c>
      <c r="CL175" s="538">
        <f t="shared" si="1495"/>
        <v>0</v>
      </c>
      <c r="CM175" s="538">
        <f t="shared" si="1496"/>
        <v>0</v>
      </c>
      <c r="CN175" s="538">
        <f t="shared" si="1193"/>
        <v>2.88</v>
      </c>
      <c r="CO175" s="538">
        <f t="shared" si="1497"/>
        <v>2.16</v>
      </c>
      <c r="CP175" s="538">
        <f t="shared" si="1498"/>
        <v>8.64</v>
      </c>
      <c r="CQ175" s="538">
        <f t="shared" si="1499"/>
        <v>3.8016000000000005</v>
      </c>
      <c r="CR175" s="539">
        <f t="shared" si="1197"/>
        <v>0.91300000000000014</v>
      </c>
      <c r="CS175" s="540">
        <f t="shared" si="1198"/>
        <v>4.4064000000000006E-2</v>
      </c>
      <c r="CT175" s="540">
        <f t="shared" si="1199"/>
        <v>0.30127039999999999</v>
      </c>
      <c r="CU175" s="541">
        <f t="shared" si="1200"/>
        <v>9.9359999999999999</v>
      </c>
      <c r="CV175" s="538">
        <f t="shared" si="1201"/>
        <v>1.0258799999999999</v>
      </c>
      <c r="CW175" s="538">
        <f t="shared" si="1202"/>
        <v>13.667999999999999</v>
      </c>
      <c r="CX175" s="104">
        <f t="shared" si="1203"/>
        <v>2.88</v>
      </c>
      <c r="CY175" s="542">
        <f t="shared" si="1204"/>
        <v>1.44</v>
      </c>
      <c r="CZ175" s="538">
        <f t="shared" si="1205"/>
        <v>0</v>
      </c>
    </row>
    <row r="176" spans="1:104" ht="25" x14ac:dyDescent="0.25">
      <c r="A176" s="100" t="str">
        <f>'BOCA DE LOBO'!C166</f>
        <v>BL66-&gt;PV12-48</v>
      </c>
      <c r="B176" s="100" t="str">
        <f>'BOCA DE LOBO'!A166</f>
        <v>PV12-48</v>
      </c>
      <c r="C176" s="100" t="str">
        <f>VLOOKUP(A176,'BOCA DE LOBO'!C:F,3,0)</f>
        <v>EXISTENTE</v>
      </c>
      <c r="D176" s="100" t="str">
        <f>VLOOKUP(A176,'BOCA DE LOBO'!C:M,10,0)</f>
        <v>PROJETADA</v>
      </c>
      <c r="E176" s="100">
        <f t="shared" ref="E176" si="1584">IF(F176-G176*4%&lt;2.5,F176-G176*4%,2.5)</f>
        <v>2.5</v>
      </c>
      <c r="F176" s="100">
        <f>VLOOKUP(A176,'BOCA DE LOBO'!$C$97:$P$172,2,0)</f>
        <v>3.2200000000000273</v>
      </c>
      <c r="G176" s="100">
        <f>VLOOKUP(A176,'BOCA DE LOBO'!$C$97:$L$172,4,0)</f>
        <v>6.06</v>
      </c>
      <c r="H176" s="101">
        <v>400</v>
      </c>
      <c r="I176" s="102">
        <f t="shared" ref="I176" si="1585">IF(H176=400,((E176+F176)/2)+0.08+U176,IF(H176=500,((E176+F176)/2)+0.1+U176,IF(H176=600,((E176+F176)/2)+0.12+U176,IF(H176=800,((E176+F176)/2)+0.16+U176,IF(H176=1000,((E176+F176)/2)+0.2+U176,IF(H176=1200,((E176+F176)/2)+0.24+U176,IF(H176=1500,((E176+F176)/2)+0.3+U176,IF(H176&gt;1500,((E176+F176)/2)+0.4+U176))))))))</f>
        <v>2.9900000000000135</v>
      </c>
      <c r="J176" s="102">
        <f t="shared" ref="J176" si="1586">IF(I176&gt;=1.25,G176*I176/20,0)</f>
        <v>0.90597000000000405</v>
      </c>
      <c r="K176" s="103">
        <v>0</v>
      </c>
      <c r="L176" s="104">
        <f t="shared" ref="L176" si="1587">IF(D176&lt;&gt;"PROJETADA",0,IF(H176=400,1,0)+IF(H176=500,1.2,0)+IF(H176=600,1.4,0)+IF(H176=800,1.7,0)+IF(H176=1000,2,0)+IF(H176=1200,2.2,0)+IF(H176=1500,2.6,0)+IF(H176=1650,3,0)+IF(H176=1800,3.2,0)+IF(H176=2000,3.4,0)+IF(H176=2200,3.6,0)+IF(H176=2400,3.8,0)+IF(H176=2600,4,0)+IF(H176=3000,4.4,0))</f>
        <v>1</v>
      </c>
      <c r="M176" s="104">
        <f t="shared" ref="M176" si="1588">2*K176*I176+L176</f>
        <v>1</v>
      </c>
      <c r="N176" s="104">
        <f t="shared" ref="N176" si="1589">IF(OR(D176="EXISTENTE",D176="AMPLIADA"),400,0)</f>
        <v>0</v>
      </c>
      <c r="O176" s="104">
        <f t="shared" ref="O176" si="1590">IF(P176="TERRENO NATURAL",0,M176*G176)</f>
        <v>6.06</v>
      </c>
      <c r="P176" s="105" t="s">
        <v>1999</v>
      </c>
      <c r="Q176" s="452" t="s">
        <v>2065</v>
      </c>
      <c r="R176" s="105"/>
      <c r="S176" s="105">
        <f>VLOOKUP(Q176,Quantitativos!$P$43:$R$88,3,0)</f>
        <v>5</v>
      </c>
      <c r="T176" s="105">
        <f>VLOOKUP(Q176,Quantitativos!$P$43:$S$88,4,0)</f>
        <v>5</v>
      </c>
      <c r="U176" s="104">
        <f t="shared" ref="U176" si="1591">IF(H176=400,0.05,0)+IF(H176=500,0.05,0)+IF(H176=600,0.1,0)+IF(H176=800,0.1,0)+IF(H176=1000,0.15,0)+IF(H176=1200,0.15,0)+IF(H176=1500,0.2,0)+IF(H176=1650,0.2,0)+IF(H176=1800,0.2,0)+IF(H176=2000,0.25,0)+IF(H176=2200,0.25,0)+IF(H176=2400,0.25,0)+IF(H176=2600,0.25,0)+IF(H176=3000,0.25,0)</f>
        <v>0.05</v>
      </c>
      <c r="V176" s="106">
        <f t="shared" ref="V176" si="1592">IF(L176=0,0,IF("EXISTENTE"=C176,0,IFERROR((PI()*(N176/1000)*(N176/1000)/4)*G176,0)))</f>
        <v>0</v>
      </c>
      <c r="W176" s="106">
        <f t="shared" ref="W176" si="1593">IF(O176=0,0,((((K176*I176)*I176)/2)*2+L176*I176)*G176-V176+AO176)</f>
        <v>18.119400000000081</v>
      </c>
      <c r="X176" s="107">
        <f t="shared" ref="X176" si="1594">W176-SUM(AC176:AJ176)</f>
        <v>0</v>
      </c>
      <c r="Y176" s="107">
        <f t="shared" ref="Y176" si="1595">IF(R176=1,IF(N176=0,I176+0.4,0.4),0)</f>
        <v>0</v>
      </c>
      <c r="Z176" s="107">
        <f t="shared" ref="Z176" si="1596">IF(Y176&gt;0.5,0,IF(S176&lt;I176,S176,I176))</f>
        <v>2.9900000000000135</v>
      </c>
      <c r="AA176" s="107">
        <f t="shared" ref="AA176" si="1597">I176-Z176</f>
        <v>0</v>
      </c>
      <c r="AB176" s="108">
        <f t="shared" ref="AB176" si="1598">IF(P176="ASFALTO",IF(D176="PROJETADA",O176,IF(D176="EXISTENTE",0,O176/2)),0)</f>
        <v>6.06</v>
      </c>
      <c r="AC176" s="109">
        <f t="shared" ref="AC176" si="1599">IF(Y176=0,0,IF(Y176=0.4,IF(L176&lt;=1.5,IF(Z176+0.4&gt;=1.5,0,L176*G176*0.4),0),IF(L176&lt;=1.5,IF(Y176&gt;=1.5,M176*G176*1.5,L176*G176*(Y176)),0)+IF(S176&lt;I176+0.4,0,IF(AND(Y176&lt;=1.5,L176&lt;=1.5),-V176,0))))</f>
        <v>0</v>
      </c>
      <c r="AD176" s="109">
        <f t="shared" ref="AD176" si="1600">IF(Y176=0,0,IF(Y176=0.4,IF(L176&lt;=1.5,IF(OR(Z176+0.4&gt;=3,Z176+0.4&lt;1.5),0,L176*G176*0.4),0),IF(IF(L176&lt;=1.5,IF(Y176&gt;=3,M176*G176*1.5,L176*G176*(Y176-1.5)),0)&lt;0,0,IF(L176&lt;=1.5,IF(Y176&gt;=3,M176*G176*1.5,L176*G176*(Y176-1.5)),0))+IF(S176&lt;I176+0.4,0,IF(AND(Y176&lt;=3,L176&lt;=1.5),-V176,0))))</f>
        <v>0</v>
      </c>
      <c r="AE176" s="109">
        <f t="shared" ref="AE176" si="1601">IF(Y176=0,0,IF(Y176=0.4,IF(L176&lt;=1.5,IF(OR(Z176+0.4&gt;=4.5,Z176+0.4&lt;3),0,L176*G176*0.4),0),IF(IF(L176&lt;=1.5,IF(Y176&gt;=4.5,M176*G176*1.5,L176*G176*(Y176-3)),0)&lt;0,0,IF(L176&lt;=1.5,IF(Y176&gt;=4.5,M176*G176*1.5,L176*G176*(Y176-3)),0))+IF(S176&lt;I176+0.4,0,IF(AND(Y176&lt;=4.5,L176&lt;=1.5),-V176,0))))</f>
        <v>0</v>
      </c>
      <c r="AF176" s="109">
        <f t="shared" ref="AF176" si="1602">IF(L176&lt;=1.5,IF(Z176&gt;=1.5,M176*G176*1.5,L176*G176*Z176),0)+IF(S176&lt;I176,0,IF(AND(Z176&lt;=1.5,L176&lt;=1.5),-V176,0))-V176</f>
        <v>9.09</v>
      </c>
      <c r="AG176" s="109">
        <f t="shared" ref="AG176" si="1603">IF(IF(L176&lt;=1.5,IF(Z176&gt;=3,M176*G176*1.5,L176*G176*(Z176-1.5)),0)&lt;0,0,IF(L176&lt;=1.5,IF(Z176&gt;=3,M176*G176*1.5,L176*G176*(Z176-1.5)),0))</f>
        <v>9.0294000000000807</v>
      </c>
      <c r="AH176" s="109">
        <f t="shared" ref="AH176" si="1604">IF(IF(L176&lt;=1.5,IF(Z176&gt;=4.5,M176*G176*1.5,L176*G176*(Z176-3)),0)&lt;0,0,IF(L176&lt;=1.5,IF(Z176&gt;=4.5,M176*G176*1.5,L176*G176*(Z176-3)),0))+IF(S176&lt;I176,0,IF(AND(Z176&lt;=4.5,Z176&gt;3,L176&lt;=1.5),-V176,0))</f>
        <v>0</v>
      </c>
      <c r="AI176" s="537" t="str">
        <f t="shared" ref="AI176" si="1605">IF(I176&gt;S176,"SIM","NÃO")</f>
        <v>NÃO</v>
      </c>
      <c r="AJ176" s="104">
        <f t="shared" ref="AJ176" si="1606">W176-SUM(AC176:AH176)</f>
        <v>0</v>
      </c>
      <c r="AK176" s="104">
        <f t="shared" ref="AK176" si="1607">IF(I176-T176&lt;0,0,(I176-T176)*G176)/75</f>
        <v>0</v>
      </c>
      <c r="AL176" s="104">
        <f t="shared" ref="AL176" si="1608">IF(L176=0,0,G176*L176*I176-PI()*(H176/1000)*(H176/1000)/4*G176+AO176)</f>
        <v>17.357877940769914</v>
      </c>
      <c r="AM176" s="102">
        <f t="shared" ref="AM176" si="1609">IF(L176&lt;1.5,L176*G176*IF(H176&lt;=500,0.05,IF(H176&lt;=800,0.1,IF(H176&lt;=1200,0.15,IF(H176&gt;=1500,0.2)))),0)</f>
        <v>0.30299999999999999</v>
      </c>
      <c r="AN176" s="106">
        <f t="shared" ref="AN176" si="1610">IF(L176&gt;=1.5,L176*G176*IF(H176&lt;=500,0.05,IF(H176&lt;=800,0.1,IF(H176&lt;=1200,0.15,IF(H176&gt;=1500,0.2)))),0)</f>
        <v>0</v>
      </c>
      <c r="AO176" s="104">
        <f t="shared" ref="AO176" si="1611">IF(R176=1,0.4*G176*L176,0)</f>
        <v>0</v>
      </c>
      <c r="AP176" s="104">
        <f t="shared" ref="AP176" si="1612">IF(AO176&lt;SUM(AF176:AH176),0,AO176)</f>
        <v>0</v>
      </c>
      <c r="AQ176" s="104">
        <f t="shared" ref="AQ176" si="1613">H176/1000+0.3</f>
        <v>0.7</v>
      </c>
      <c r="AR176" s="104">
        <f t="shared" ref="AR176" si="1614">IF(D176&lt;&gt;"PROJETADA",0,AQ176*L176*G176-PI()*(H176/1000*H176/1000)/4*G176)</f>
        <v>3.4804779407698332</v>
      </c>
      <c r="AS176" s="104">
        <f t="shared" ref="AS176" si="1615">IF(AR176&lt;SUM(AF176:AH176),0,AR176)</f>
        <v>0</v>
      </c>
      <c r="AT176" s="104">
        <f t="shared" ref="AT176" si="1616">IF(P176="ASFALTO",0.15*G176*L176,0)</f>
        <v>0.90899999999999992</v>
      </c>
      <c r="AU176" s="104">
        <f t="shared" ref="AU176" si="1617">AT176</f>
        <v>0.90899999999999992</v>
      </c>
      <c r="AV176" s="104">
        <f t="shared" ref="AV176" si="1618">IF(P176="ASFALTO",0.03*G176*L176,0)</f>
        <v>0.18179999999999999</v>
      </c>
      <c r="AW176" s="104">
        <f t="shared" ref="AW176" si="1619">AL176-AO176-SUM(AM176:AN176)-AT176-AU176-AR176</f>
        <v>11.756400000000081</v>
      </c>
      <c r="AX176" s="104">
        <f t="shared" ref="AX176" si="1620">SUM(AF176:AH176)-AO176-AT176-AR176</f>
        <v>13.729922059230248</v>
      </c>
      <c r="AY176" s="104">
        <f t="shared" ref="AY176" si="1621">SMALL(AW176:AX176,1)</f>
        <v>11.756400000000081</v>
      </c>
      <c r="AZ176" s="104">
        <f t="shared" ref="AZ176" si="1622">AW176-AY176</f>
        <v>0</v>
      </c>
      <c r="BA176" s="104">
        <f t="shared" si="1159"/>
        <v>0</v>
      </c>
      <c r="BB176" s="104">
        <f t="shared" ref="BB176" si="1623">AZ176-BA176</f>
        <v>0</v>
      </c>
      <c r="BC176" s="104"/>
      <c r="BD176" s="104">
        <f t="shared" ref="BD176" si="1624">IF(AO176&gt;0,4%*(AO176+AT176),0)</f>
        <v>0</v>
      </c>
      <c r="BE176" s="108">
        <f t="shared" ref="BE176" si="1625">IF(H176=400,I176,0)</f>
        <v>2.9900000000000135</v>
      </c>
      <c r="BF176" s="110">
        <f t="shared" ref="BF176" si="1626">IF(BE176&lt;=1.75,AND(BE176&gt;0)*G176,0)</f>
        <v>0</v>
      </c>
      <c r="BG176" s="110">
        <f t="shared" ref="BG176" si="1627">IF(BE176&lt;=3,AND(BE176&gt;1.75)*G176,0)</f>
        <v>6.06</v>
      </c>
      <c r="BH176" s="105" t="str">
        <f>VLOOKUP(A176,'BOCA DE LOBO'!$C$99:$P$172,7,0)</f>
        <v>BOCA DE LOBO PROJETADA TRIPLA</v>
      </c>
      <c r="BI176" s="104">
        <f t="shared" ref="BI176" si="1628">IF(BH176=$BI$107,1,0)</f>
        <v>0</v>
      </c>
      <c r="BJ176" s="104">
        <f t="shared" ref="BJ176" si="1629">IF(BH176=$BJ$107,1,0)</f>
        <v>0</v>
      </c>
      <c r="BK176" s="104">
        <f t="shared" ref="BK176" si="1630">IF(BH176=$BK$107,1,0)</f>
        <v>0</v>
      </c>
      <c r="BL176" s="104">
        <f t="shared" ref="BL176" si="1631">IF(BH176=$BL$107,1,0)</f>
        <v>0</v>
      </c>
      <c r="BM176" s="104">
        <f t="shared" ref="BM176" si="1632">IF(BH176=$BM$107,1,0)</f>
        <v>0</v>
      </c>
      <c r="BN176" s="104">
        <f t="shared" ref="BN176" si="1633">IF(BH176=$BN$107,1,0)</f>
        <v>0</v>
      </c>
      <c r="BO176" s="543">
        <f t="shared" ref="BO176" si="1634">IF(BH176=$BO$107,1,0)</f>
        <v>1</v>
      </c>
      <c r="BP176" s="111"/>
      <c r="BQ176" s="108">
        <f t="shared" ref="BQ176" si="1635">IF(L176&lt;=1.5,IF(I176+IF(R176=1,0.5,0)&lt;1.5,(I176+IF(R176=1,0.5,0))*G176*2,G176*2*1.5),0)</f>
        <v>18.18</v>
      </c>
      <c r="BR176" s="108">
        <f t="shared" ref="BR176" si="1636">IF(L176&lt;=1.5,IF(AND(I176+IF(R176=1,0.5,0)&lt;3,I176+IF(R176=1,0.5,0)&gt;1.5),(I176+IF(R176=1,0.5,0)-1.5)*G176*2,IF(I176+IF(R176=1,0.5,0)&gt;=3,(G176*2*1.5),0)),0)</f>
        <v>18.058800000000161</v>
      </c>
      <c r="BS176" s="108">
        <f t="shared" ref="BS176" si="1637">IF(L176&lt;=1.5,IF(AND(I176+IF(R176=1,0.5,0)&lt;4.5,I176+IF(R176=1,0.5,0)&gt;3),(I176+IF(R176=1,0.5,0)-3)*G176*2,IF(I176+IF(R176=1,0.5,0)&gt;=4.5,(G176*2*1.5),0)),0)</f>
        <v>0</v>
      </c>
      <c r="BT176" s="112"/>
      <c r="BU176" s="112" t="s">
        <v>1410</v>
      </c>
      <c r="BV176" s="538">
        <f t="shared" ref="BV176" si="1638">IF(OR("BOCA DE LOBO EXISTENTE TRIPLA"=BH176,"BOCA DE LOBO EXISTENTE SIMPLES"=BH176,"BOCA DE LOBO EXISTENTE DUPLA"=BH176),0,IF("BOCA DE LOBO PROJETADA DUPLA"=BH176,(2.57+1)*(1.18+1),IF(OR("BOCA DE LOBO DUPLA EXISTENTE COM BOCA DE LOBO SIMPLES PROJETADA"=BH176,"BOCA DE LOBO SIMPLES EXISTENTE COM BOCA DE LOBO SIMPLES PROJETADA"=BH176),(1.18+0.5)*(1.18+1),IF(OR(BH176="BOCA DE LOBO DUPLA EXISTENTE COM BOCA DE LOBO DUPLA PROJETADA",BH176="BOCA DE LOBO SIMPLES EXISTENTE COM BOCA DE LOBO DUPLA PROJETADA"),(2.38+0.5)*(1.18+1),IF("BOCA DE LOBO PROJETADA TRIPLA"=BH176,(3.76+1)*(1.18+1),IF("BOCA DE LOBO PROJETADA QUADRUPLA"=BH176,(4.92+1)*(1.18+1),"X"))))))*(E176+IF(CA176&gt;0,0.5,0))</f>
        <v>25.941999999999993</v>
      </c>
      <c r="BW176" s="538">
        <f t="shared" ref="BW176" si="1639">IF(OR("BOCA DE LOBO EXISTENTE TRIPLA"=BH176,"BOCA DE LOBO EXISTENTE SIMPLES"=BH176,"BOCA DE LOBO EXISTENTE DUPLA"=BH176),0,IF("BOCA DE LOBO PROJETADA DUPLA"=BH176,(2.57+1)*(1.18+1),IF(OR("BOCA DE LOBO DUPLA EXISTENTE COM BOCA DE LOBO SIMPLES PROJETADA"=BH176,"BOCA DE LOBO SIMPLES EXISTENTE COM BOCA DE LOBO SIMPLES PROJETADA"=BH176),(1.18+1)*(1.18+0.5),IF(OR(BH176="BOCA DE LOBO DUPLA EXISTENTE COM BOCA DE LOBO DUPLA PROJETADA",BH176="BOCA DE LOBO SIMPLES EXISTENTE COM BOCA DE LOBO DUPLA PROJETADA"),(2.38+0.5)*(1.18+1),IF("BOCA DE LOBO PROJETADA TRIPLA"=BH176,(3.76+0.5*2)*(1.18+1),IF("BOCA DE LOBO PROJETADA QUADRUPLA"=BH176,(4.92+0.5*2)*(1.18+1),"X"))))))</f>
        <v>10.376799999999998</v>
      </c>
      <c r="BX176" s="538">
        <f t="shared" ref="BX176" si="1640">IF(OR("BOCA DE LOBO EXISTENTE TRIPLA"=BH176,"BOCA DE LOBO EXISTENTE SIMPLES"=BH176,"BOCA DE LOBO EXISTENTE DUPLA"=BH176),0,IF("BOCA DE LOBO PROJETADA DUPLA"=BH176,(2.57)*(1.18),IF(OR("BOCA DE LOBO DUPLA EXISTENTE COM BOCA DE LOBO SIMPLES PROJETADA"=BH176,"BOCA DE LOBO SIMPLES EXISTENTE COM BOCA DE LOBO SIMPLES PROJETADA"=BH176),(1.18)*(1.18),IF(OR(BH176="BOCA DE LOBO DUPLA EXISTENTE COM BOCA DE LOBO DUPLA PROJETADA",BH176="BOCA DE LOBO SIMPLES EXISTENTE COM BOCA DE LOBO DUPLA PROJETADA"),(2.38)*(1.18),IF("BOCA DE LOBO PROJETADA TRIPLA"=BH176,(3.76)*(1.18),IF("BOCA DE LOBO PROJETADA QUADRUPLA"=BH176,(4.92)*(1.18),"X"))))))</f>
        <v>4.4367999999999999</v>
      </c>
      <c r="BY176" s="538">
        <f t="shared" ref="BY176" si="1641">E176</f>
        <v>2.5</v>
      </c>
      <c r="BZ176" s="538">
        <f t="shared" ref="BZ176" si="1642">IF(Y176&gt;0.5,0,IF(S176&lt;E176,S176,E176))</f>
        <v>2.5</v>
      </c>
      <c r="CA176" s="538">
        <f t="shared" ref="CA176" si="1643">IF(Y176&gt;0.5,BY176+0.5,Y176)</f>
        <v>0</v>
      </c>
      <c r="CB176" s="538">
        <f t="shared" ref="CB176" si="1644">IF(S176&gt;E176,0,E176-S176)</f>
        <v>0</v>
      </c>
      <c r="CC176" s="538">
        <f t="shared" ref="CC176" si="1645">IF(BZ176&gt;1.5,BW176*1.5,BW176*BZ176)</f>
        <v>15.565199999999997</v>
      </c>
      <c r="CD176" s="538">
        <f t="shared" ref="CD176" si="1646">IF(BZ176&gt;1.5,BW176*(BZ176-1.5),0)</f>
        <v>10.376799999999998</v>
      </c>
      <c r="CE176" s="538">
        <f t="shared" ref="CE176" si="1647">IF(CA176&gt;1.5,BW176*1.5,BW176*CA176)</f>
        <v>0</v>
      </c>
      <c r="CF176" s="538">
        <f t="shared" ref="CF176" si="1648">IF(CA176&gt;1.5,BW176*(CA176-1.5),0)</f>
        <v>0</v>
      </c>
      <c r="CG176" s="538">
        <f t="shared" ref="CG176" si="1649">BV176-SUM(CC176:CF176)</f>
        <v>0</v>
      </c>
      <c r="CH176" s="538">
        <f t="shared" ref="CH176" si="1650">SUM(CC176:CG176)-BV176</f>
        <v>0</v>
      </c>
      <c r="CI176" s="104">
        <f t="shared" ref="CI176" si="1651">IF(OR("BOCA DE LOBO EXISTENTE TRIPLA"=BH176,"BOCA DE LOBO EXISTENTE SIMPLES"=BH176,"BOCA DE LOBO EXISTENTE DUPLA"=BH176),0,IF("BOCA DE LOBO PROJETADA DUPLA"=BH176,(2.57+1)*(0.5),IF(OR("BOCA DE LOBO DUPLA EXISTENTE COM BOCA DE LOBO SIMPLES PROJETADA"=BH176,"BOCA DE LOBO SIMPLES EXISTENTE COM BOCA DE LOBO SIMPLES PROJETADA"=BH176),(1.18+0.5)*(0.5),IF(OR(BH176="BOCA DE LOBO DUPLA EXISTENTE COM BOCA DE LOBO DUPLA PROJETADA",BH176="BOCA DE LOBO SIMPLES EXISTENTE COM BOCA DE LOBO DUPLA PROJETADA"),(2.38+0.5)*(0.5),IF("BOCA DE LOBO PROJETADA TRIPLA"=BH176,(3.76+1)*(0.5),IF("BOCA DE LOBO PROJETADA QUADRUPLA"=BH176,(4.92+1)*(0.5),"X")))))*0.3)</f>
        <v>0.71399999999999997</v>
      </c>
      <c r="CJ176" s="538">
        <f t="shared" ref="CJ176" si="1652">(BW176-BX176)*(BY176+IF(CA176&gt;=0.4,0.4,0))-CI176</f>
        <v>14.135999999999994</v>
      </c>
      <c r="CK176" s="538">
        <f t="shared" si="1190"/>
        <v>14.135999999999994</v>
      </c>
      <c r="CL176" s="538">
        <f t="shared" ref="CL176" si="1653">CJ176-CK176</f>
        <v>0</v>
      </c>
      <c r="CM176" s="538">
        <f t="shared" ref="CM176" si="1654">IF(CA176&gt;0,0.5*4%*BW176,0)</f>
        <v>0</v>
      </c>
      <c r="CN176" s="538">
        <f t="shared" ref="CN176" si="1655">IF(OR("BOCA DE LOBO EXISTENTE TRIPLA"=BH176,"BOCA DE LOBO EXISTENTE SIMPLES"=BH176,"BOCA DE LOBO EXISTENTE DUPLA"=BH176),0,IF("BOCA DE LOBO PROJETADA DUPLA"=BH176,(2.57+1),IF(OR("BOCA DE LOBO DUPLA EXISTENTE COM BOCA DE LOBO SIMPLES PROJETADA"=BH176,"BOCA DE LOBO SIMPLES EXISTENTE COM BOCA DE LOBO SIMPLES PROJETADA"=BH176),(1.18+0.5),IF(OR(BH176="BOCA DE LOBO DUPLA EXISTENTE COM BOCA DE LOBO DUPLA PROJETADA",BH176="BOCA DE LOBO SIMPLES EXISTENTE COM BOCA DE LOBO DUPLA PROJETADA"),(2.38+0.5),IF("BOCA DE LOBO PROJETADA TRIPLA"=BH176,(3.76+0.5*2),IF("BOCA DE LOBO PROJETADA QUADRUPLA"=BH176,(4.92+0.5*2),"X"))))))</f>
        <v>4.76</v>
      </c>
      <c r="CO176" s="538">
        <f t="shared" ref="CO176" si="1656">IF(CA176&gt;0,BY176+0.5,BY176)</f>
        <v>2.5</v>
      </c>
      <c r="CP176" s="538">
        <f t="shared" ref="CP176" si="1657">IF(CO176&gt;=1.5,CN176*1.5*2,CN176*CO176*2)</f>
        <v>14.28</v>
      </c>
      <c r="CQ176" s="538">
        <f t="shared" ref="CQ176" si="1658">IF(CO176&lt;=1.5,0,IF(CO176&gt;=3,CN176*1.5*2,CN176*(CO176-1.5)*2))</f>
        <v>9.52</v>
      </c>
      <c r="CR176" s="539">
        <f t="shared" ref="CR176" si="1659">IF(D176="AMPLIADA",0.55*(E176-0.5),0)</f>
        <v>0</v>
      </c>
      <c r="CS176" s="540">
        <f t="shared" ref="CS176" si="1660">IF(OR("BOCA DE LOBO EXISTENTE TRIPLA"=BH176,"BOCA DE LOBO EXISTENTE SIMPLES"=BH176,"BOCA DE LOBO EXISTENTE DUPLA"=BH176,"BOCA DE LOBO EXISTENTE QUADRUPLA"=BH176),0,IF("BOCA DE LOBO PROJETADA DUPLA"=BH176,(0),IF(OR("BOCA DE LOBO DUPLA EXISTENTE COM BOCA DE LOBO SIMPLES PROJETADA"=BH176,"BOCA DE LOBO SIMPLES EXISTENTE COM BOCA DE LOBO SIMPLES PROJETADA"=BH176),(0.8*0.15*0.17),IF(OR(BH176="BOCA DE LOBO DUPLA EXISTENTE COM BOCA DE LOBO DUPLA PROJETADA",BH176="BOCA DE LOBO SIMPLES EXISTENTE COM BOCA DE LOBO DUPLA PROJETADA"),(0.8*0.15*0.17),IF("BOCA DE LOBO PROJETADA TRIPLA"=BH176,(0),IF("BOCA DE LOBO PROJETADA QUADRUPLA"=BH176,(0),"X")))))*E176)</f>
        <v>0</v>
      </c>
      <c r="CT176" s="540">
        <f t="shared" ref="CT176" si="1661">IF(OR("BOCA DE LOBO EXISTENTE TRIPLA"=BH176,"BOCA DE LOBO EXISTENTE SIMPLES"=BH176,"BOCA DE LOBO EXISTENTE DUPLA"=BH176,"BOCA DE LOBO EXISTENTE QUADRUPLA"=BH176),0,IF("BOCA DE LOBO PROJETADA DUPLA"=BH176,(1.18*2.57*0.05),IF(OR("BOCA DE LOBO DUPLA EXISTENTE COM BOCA DE LOBO SIMPLES PROJETADA"=BH176,"BOCA DE LOBO SIMPLES EXISTENTE COM BOCA DE LOBO SIMPLES PROJETADA"=BH176),(1.19*1.18*0.05),IF(OR(BH176="BOCA DE LOBO DUPLA EXISTENTE COM BOCA DE LOBO DUPLA PROJETADA",BH176="BOCA DE LOBO SIMPLES EXISTENTE COM BOCA DE LOBO DUPLA PROJETADA"),(2.38*1.18*0.056),IF("BOCA DE LOBO PROJETADA TRIPLA"=BH176,(3.76*1.18*0.05),IF("BOCA DE LOBO PROJETADA QUADRUPLA"=BH176,(4.92*1.18*0.05),"X")))))+CI176/3)</f>
        <v>0.45984000000000003</v>
      </c>
      <c r="CU176" s="541">
        <f t="shared" ref="CU176" si="1662">IF(OR("BOCA DE LOBO EXISTENTE TRIPLA"=BH176,"BOCA DE LOBO EXISTENTE SIMPLES"=BH176,"BOCA DE LOBO EXISTENTE DUPLA"=BH176,"BOCA DE LOBO EXISTENTE QUADRUPLA"=BH176),0,IF("BOCA DE LOBO PROJETADA DUPLA"=BH176,(1*4+0.6*2),IF(OR("BOCA DE LOBO DUPLA EXISTENTE COM BOCA DE LOBO SIMPLES PROJETADA"=BH176,"BOCA DE LOBO SIMPLES EXISTENTE COM BOCA DE LOBO SIMPLES PROJETADA"=BH176),(1*2+0.6),IF(OR(BH176="BOCA DE LOBO DUPLA EXISTENTE COM BOCA DE LOBO DUPLA PROJETADA",BH176="BOCA DE LOBO SIMPLES EXISTENTE COM BOCA DE LOBO DUPLA PROJETADA"),(1*4+0.6),IF("BOCA DE LOBO PROJETADA TRIPLA"=BH176,(6*1+0.6*2),IF("BOCA DE LOBO PROJETADA QUADRUPLA"=BH176,(8*1+0.6*2),"X")))))*E176)</f>
        <v>18</v>
      </c>
      <c r="CV176" s="538">
        <f t="shared" ref="CV176" si="1663">IF(OR("BOCA DE LOBO EXISTENTE TRIPLA"=BH176,"BOCA DE LOBO EXISTENTE SIMPLES"=BH176,"BOCA DE LOBO EXISTENTE DUPLA"=BH176,"BOCA DE LOBO EXISTENTE QUADRUPLA"=BH176),0,IF("BOCA DE LOBO PROJETADA DUPLA"=BH176,(12*E176*0.17*0.15+1*0.17*0.15*5+1.09*0.6*0.07*2+2.57*1.18*0.15),IF(OR("BOCA DE LOBO DUPLA EXISTENTE COM BOCA DE LOBO SIMPLES PROJETADA"=BH176,"BOCA DE LOBO SIMPLES EXISTENTE COM BOCA DE LOBO SIMPLES PROJETADA"=BH176),(8*E176*0.17*0.15+1*0.17*0.15*4+1.09*0.6*0.07*1+1.38*1.18*0.15),IF(OR(BH176="BOCA DE LOBO DUPLA EXISTENTE COM BOCA DE LOBO DUPLA PROJETADA",BH176="BOCA DE LOBO SIMPLES EXISTENTE COM BOCA DE LOBO DUPLA PROJETADA"),(7*E176*0.17*0.15+1*0.17*0.15*5+1.09*0.6*0.07*2+2.38*1.18*0.15),IF("BOCA DE LOBO PROJETADA TRIPLA"=BH176,(15*E176*0.17*0.15+1*0.17*0.15*7+1.09*0.6*0.07*3+3.76*1.18*0.15),IF("BOCA DE LOBO PROJETADA QUADRUPLA"=BH176,(19*E176*0.17*0.15+1*0.17*0.15*9+1.09*0.6*0.07*4+4.92*1.18*0.15),"X"))))))</f>
        <v>1.9376100000000003</v>
      </c>
      <c r="CW176" s="538">
        <f t="shared" ref="CW176" si="1664">IF(OR("BOCA DE LOBO EXISTENTE TRIPLA"=BH176,"BOCA DE LOBO EXISTENTE SIMPLES"=BH176,"BOCA DE LOBO EXISTENTE DUPLA"=BH176,"BOCA DE LOBO EXISTENTE QUADRUPLA"=BH176),0,IF("BOCA DE LOBO PROJETADA DUPLA"=BH176,(12*E176*2*(0.17+0.15)+1*(2*0.17+0.15)*5+2*(2.57+1.18)*0.15+(1.09+0.6)*2*0.07*2),IF(OR("BOCA DE LOBO DUPLA EXISTENTE COM BOCA DE LOBO SIMPLES PROJETADA"=BH176,"BOCA DE LOBO SIMPLES EXISTENTE COM BOCA DE LOBO SIMPLES PROJETADA"=BH176),(8*E176*2*(0.17+0.15)+1*(2*0.17+0.15)*4+2*(1.38+1.18)*0.15+(1.09+0.6)*2*0.07*1),IF(OR(BH176="BOCA DE LOBO DUPLA EXISTENTE COM BOCA DE LOBO DUPLA PROJETADA",BH176="BOCA DE LOBO SIMPLES EXISTENTE COM BOCA DE LOBO DUPLA PROJETADA"),(7*E176*2*(0.17+0.15)+1*(2*0.17+0.15)*5+2*(2.38+1.18)*0.15+(1.09+0.6)*2*0.07*2),IF("BOCA DE LOBO PROJETADA TRIPLA"=BH176,(15*E176*2*(0.17+0.15)+1*(2*0.17+0.15)*7+2*(3.76+1.18)*0.15+(1.09+0.6)*2*0.07*3),IF("BOCA DE LOBO PROJETADA QUADRUPLA"=BH176,(19*E176*2*(0.17+0.15)+1*(2*0.17+0.15)*7+2*(4.92+1.18)*0.15+(1.09+0.6)*2*0.07*4),"X"))))))</f>
        <v>29.6218</v>
      </c>
      <c r="CX176" s="104">
        <f t="shared" ref="CX176" si="1665">IF(OR("BOCA DE LOBO EXISTENTE TRIPLA"=BH176,"BOCA DE LOBO EXISTENTE SIMPLES"=BH176,"BOCA DE LOBO EXISTENTE DUPLA"=BH176,"BOCA DE LOBO EXISTENTE QUADRUPLA"=BH176),0,IF("BOCA DE LOBO PROJETADA DUPLA"=BH176,(2.57+1),IF(OR("BOCA DE LOBO DUPLA EXISTENTE COM BOCA DE LOBO SIMPLES PROJETADA"=BH176,"BOCA DE LOBO SIMPLES EXISTENTE COM BOCA DE LOBO SIMPLES PROJETADA"=BH176),(1.18+0.5),IF(OR(BH176="BOCA DE LOBO DUPLA EXISTENTE COM BOCA DE LOBO DUPLA PROJETADA",BH176="BOCA DE LOBO SIMPLES EXISTENTE COM BOCA DE LOBO DUPLA PROJETADA"),(2.38+0.5),IF("BOCA DE LOBO PROJETADA TRIPLA"=BH176,(3.76+1),IF("BOCA DE LOBO PROJETADA QUADRUPLA"=BH176,(4.92+1),"X"))))))</f>
        <v>4.76</v>
      </c>
      <c r="CY176" s="542">
        <f t="shared" ref="CY176" si="1666">CX176*0.5</f>
        <v>2.38</v>
      </c>
      <c r="CZ176" s="538">
        <f t="shared" ref="CZ176" si="1667">IF(AND(C176="EXISTENTE",D176="PROJETADA"),PI()*0.51*0.51/4*0.12,0)</f>
        <v>2.4513847475961154E-2</v>
      </c>
    </row>
    <row r="177" spans="1:104" ht="37.5" x14ac:dyDescent="0.25">
      <c r="A177" s="100" t="str">
        <f>'BOCA DE LOBO'!C167</f>
        <v>BL67-&gt;PV13-48</v>
      </c>
      <c r="B177" s="100" t="str">
        <f>'BOCA DE LOBO'!A167</f>
        <v>PV13-48</v>
      </c>
      <c r="C177" s="100" t="str">
        <f>VLOOKUP(A177,'BOCA DE LOBO'!C:F,3,0)</f>
        <v>EXISTENTE</v>
      </c>
      <c r="D177" s="100" t="str">
        <f>VLOOKUP(A177,'BOCA DE LOBO'!C:M,10,0)</f>
        <v>AMPLIADA</v>
      </c>
      <c r="E177" s="100">
        <f>IF(F177-G177*4%&lt;2.5,F177-G177*4%,2.5)</f>
        <v>2.3317999999999253</v>
      </c>
      <c r="F177" s="100">
        <f>VLOOKUP(A177,'BOCA DE LOBO'!$C$97:$P$172,2,0)</f>
        <v>2.6569999999999254</v>
      </c>
      <c r="G177" s="100">
        <f>VLOOKUP(A177,'BOCA DE LOBO'!$C$97:$L$172,4,0)</f>
        <v>8.1300000000000008</v>
      </c>
      <c r="H177" s="101">
        <v>400</v>
      </c>
      <c r="I177" s="102">
        <f>IF(H177=400,((E177+F177)/2)+0.08+U177,IF(H177=500,((E177+F177)/2)+0.1+U177,IF(H177=600,((E177+F177)/2)+0.12+U177,IF(H177=800,((E177+F177)/2)+0.16+U177,IF(H177=1000,((E177+F177)/2)+0.2+U177,IF(H177=1200,((E177+F177)/2)+0.24+U177,IF(H177=1500,((E177+F177)/2)+0.3+U177,IF(H177&gt;1500,((E177+F177)/2)+0.4+U177))))))))</f>
        <v>2.624399999999925</v>
      </c>
      <c r="J177" s="102">
        <f>IF(I177&gt;=1.25,G177*I177/20,0)</f>
        <v>1.0668185999999698</v>
      </c>
      <c r="K177" s="103">
        <v>0</v>
      </c>
      <c r="L177" s="104">
        <f>IF(D177&lt;&gt;"PROJETADA",0,IF(H177=400,1,0)+IF(H177=500,1.2,0)+IF(H177=600,1.4,0)+IF(H177=800,1.7,0)+IF(H177=1000,2,0)+IF(H177=1200,2.2,0)+IF(H177=1500,2.6,0)+IF(H177=1650,3,0)+IF(H177=1800,3.2,0)+IF(H177=2000,3.4,0)+IF(H177=2200,3.6,0)+IF(H177=2400,3.8,0)+IF(H177=2600,4,0)+IF(H177=3000,4.4,0))</f>
        <v>0</v>
      </c>
      <c r="M177" s="104">
        <f>2*K177*I177+L177</f>
        <v>0</v>
      </c>
      <c r="N177" s="104">
        <f>IF(OR(D177="EXISTENTE",D177="AMPLIADA"),400,0)</f>
        <v>400</v>
      </c>
      <c r="O177" s="104">
        <f>IF(P177="TERRENO NATURAL",0,M177*G177)</f>
        <v>0</v>
      </c>
      <c r="P177" s="105" t="s">
        <v>1999</v>
      </c>
      <c r="Q177" s="452" t="s">
        <v>2177</v>
      </c>
      <c r="R177" s="105"/>
      <c r="S177" s="105">
        <v>4</v>
      </c>
      <c r="T177" s="105">
        <v>4</v>
      </c>
      <c r="U177" s="104">
        <f>IF(H177=400,0.05,0)+IF(H177=500,0.05,0)+IF(H177=600,0.1,0)+IF(H177=800,0.1,0)+IF(H177=1000,0.15,0)+IF(H177=1200,0.15,0)+IF(H177=1500,0.2,0)+IF(H177=1650,0.2,0)+IF(H177=1800,0.2,0)+IF(H177=2000,0.25,0)+IF(H177=2200,0.25,0)+IF(H177=2400,0.25,0)+IF(H177=2600,0.25,0)+IF(H177=3000,0.25,0)</f>
        <v>0.05</v>
      </c>
      <c r="V177" s="106">
        <f>IF(L177=0,0,IF("EXISTENTE"=C177,0,IFERROR((PI()*(N177/1000)*(N177/1000)/4)*G177,0)))</f>
        <v>0</v>
      </c>
      <c r="W177" s="106">
        <f>IF(O177=0,0,((((K177*I177)*I177)/2)*2+L177*I177)*G177-V177+AO177)</f>
        <v>0</v>
      </c>
      <c r="X177" s="107">
        <f>W177-SUM(AC177:AJ177)</f>
        <v>0</v>
      </c>
      <c r="Y177" s="107">
        <f>IF(R177=1,IF(N177=0,I177+0.4,0.4),0)</f>
        <v>0</v>
      </c>
      <c r="Z177" s="107">
        <f>IF(Y177&gt;0.5,0,IF(S177&lt;I177,S177,I177))</f>
        <v>2.624399999999925</v>
      </c>
      <c r="AA177" s="107">
        <f>I177-Z177</f>
        <v>0</v>
      </c>
      <c r="AB177" s="108">
        <f>IF(P177="ASFALTO",IF(D177="PROJETADA",O177,IF(D177="EXISTENTE",0,O177/2)),0)</f>
        <v>0</v>
      </c>
      <c r="AC177" s="109">
        <f>IF(Y177=0,0,IF(Y177=0.4,IF(L177&lt;=1.5,IF(Z177+0.4&gt;=1.5,0,L177*G177*0.4),0),IF(L177&lt;=1.5,IF(Y177&gt;=1.5,M177*G177*1.5,L177*G177*(Y177)),0)+IF(S177&lt;I177+0.4,0,IF(AND(Y177&lt;=1.5,L177&lt;=1.5),-V177,0))))</f>
        <v>0</v>
      </c>
      <c r="AD177" s="109">
        <f>IF(Y177=0,0,IF(Y177=0.4,IF(L177&lt;=1.5,IF(OR(Z177+0.4&gt;=3,Z177+0.4&lt;1.5),0,L177*G177*0.4),0),IF(IF(L177&lt;=1.5,IF(Y177&gt;=3,M177*G177*1.5,L177*G177*(Y177-1.5)),0)&lt;0,0,IF(L177&lt;=1.5,IF(Y177&gt;=3,M177*G177*1.5,L177*G177*(Y177-1.5)),0))+IF(S177&lt;I177+0.4,0,IF(AND(Y177&lt;=3,L177&lt;=1.5),-V177,0))))</f>
        <v>0</v>
      </c>
      <c r="AE177" s="109">
        <f>IF(Y177=0,0,IF(Y177=0.4,IF(L177&lt;=1.5,IF(OR(Z177+0.4&gt;=4.5,Z177+0.4&lt;3),0,L177*G177*0.4),0),IF(IF(L177&lt;=1.5,IF(Y177&gt;=4.5,M177*G177*1.5,L177*G177*(Y177-3)),0)&lt;0,0,IF(L177&lt;=1.5,IF(Y177&gt;=4.5,M177*G177*1.5,L177*G177*(Y177-3)),0))+IF(S177&lt;I177+0.4,0,IF(AND(Y177&lt;=4.5,L177&lt;=1.5),-V177,0))))</f>
        <v>0</v>
      </c>
      <c r="AF177" s="109">
        <f>IF(L177&lt;=1.5,IF(Z177&gt;=1.5,M177*G177*1.5,L177*G177*Z177),0)+IF(S177&lt;I177,0,IF(AND(Z177&lt;=1.5,L177&lt;=1.5),-V177,0))-V177</f>
        <v>0</v>
      </c>
      <c r="AG177" s="109">
        <f>IF(IF(L177&lt;=1.5,IF(Z177&gt;=3,M177*G177*1.5,L177*G177*(Z177-1.5)),0)&lt;0,0,IF(L177&lt;=1.5,IF(Z177&gt;=3,M177*G177*1.5,L177*G177*(Z177-1.5)),0))</f>
        <v>0</v>
      </c>
      <c r="AH177" s="109">
        <f>IF(IF(L177&lt;=1.5,IF(Z177&gt;=4.5,M177*G177*1.5,L177*G177*(Z177-3)),0)&lt;0,0,IF(L177&lt;=1.5,IF(Z177&gt;=4.5,M177*G177*1.5,L177*G177*(Z177-3)),0))+IF(S177&lt;I177,0,IF(AND(Z177&lt;=4.5,Z177&gt;3,L177&lt;=1.5),-V177,0))</f>
        <v>0</v>
      </c>
      <c r="AI177" s="537" t="str">
        <f>IF(I177&gt;S177,"SIM","NÃO")</f>
        <v>NÃO</v>
      </c>
      <c r="AJ177" s="104">
        <f>W177-SUM(AC177:AH177)</f>
        <v>0</v>
      </c>
      <c r="AK177" s="104">
        <f>IF(I177-T177&lt;0,0,(I177-T177)*G177)/75</f>
        <v>0</v>
      </c>
      <c r="AL177" s="104">
        <f>IF(L177=0,0,G177*L177*I177-PI()*(H177/1000)*(H177/1000)/4*G177+AO177)</f>
        <v>0</v>
      </c>
      <c r="AM177" s="102">
        <f>IF(L177&lt;1.5,L177*G177*IF(H177&lt;=500,0.05,IF(H177&lt;=800,0.1,IF(H177&lt;=1200,0.15,IF(H177&gt;=1500,0.2)))),0)</f>
        <v>0</v>
      </c>
      <c r="AN177" s="106">
        <f>IF(L177&gt;=1.5,L177*G177*IF(H177&lt;=500,0.05,IF(H177&lt;=800,0.1,IF(H177&lt;=1200,0.15,IF(H177&gt;=1500,0.2)))),0)</f>
        <v>0</v>
      </c>
      <c r="AO177" s="104">
        <f>IF(R177=1,0.4*G177*L177,0)</f>
        <v>0</v>
      </c>
      <c r="AP177" s="104">
        <f>IF(AO177&lt;SUM(AF177:AH177),0,AO177)</f>
        <v>0</v>
      </c>
      <c r="AQ177" s="104">
        <f>H177/1000+0.3</f>
        <v>0.7</v>
      </c>
      <c r="AR177" s="104">
        <f>IF(D177&lt;&gt;"PROJETADA",0,AQ177*L177*G177-PI()*(H177/1000*H177/1000)/4*G177)</f>
        <v>0</v>
      </c>
      <c r="AS177" s="104">
        <f>IF(AR177&lt;SUM(AF177:AH177),0,AR177)</f>
        <v>0</v>
      </c>
      <c r="AT177" s="104">
        <f>IF(P177="ASFALTO",0.15*G177*L177,0)</f>
        <v>0</v>
      </c>
      <c r="AU177" s="104">
        <f>AT177</f>
        <v>0</v>
      </c>
      <c r="AV177" s="104">
        <f>IF(P177="ASFALTO",0.03*G177*L177,0)</f>
        <v>0</v>
      </c>
      <c r="AW177" s="104">
        <f>AL177-AO177-SUM(AM177:AN177)-AT177-AU177-AR177</f>
        <v>0</v>
      </c>
      <c r="AX177" s="104">
        <f>SUM(AF177:AH177)-AO177-AT177-AR177</f>
        <v>0</v>
      </c>
      <c r="AY177" s="104">
        <f>SMALL(AW177:AX177,1)</f>
        <v>0</v>
      </c>
      <c r="AZ177" s="104">
        <f>AW177-AY177</f>
        <v>0</v>
      </c>
      <c r="BA177" s="104">
        <f t="shared" si="1159"/>
        <v>0</v>
      </c>
      <c r="BB177" s="104">
        <f>AZ177-BA177</f>
        <v>0</v>
      </c>
      <c r="BC177" s="104"/>
      <c r="BD177" s="104">
        <f>IF(AO177&gt;0,4%*(AO177+AT177),0)</f>
        <v>0</v>
      </c>
      <c r="BE177" s="108">
        <f>IF(H177=400,I177,0)</f>
        <v>2.624399999999925</v>
      </c>
      <c r="BF177" s="110">
        <f>IF(BE177&lt;=1.75,AND(BE177&gt;0)*G177,0)</f>
        <v>0</v>
      </c>
      <c r="BG177" s="110">
        <f>IF(BE177&lt;=3,AND(BE177&gt;1.75)*G177,0)</f>
        <v>8.1300000000000008</v>
      </c>
      <c r="BH177" s="105" t="str">
        <f>VLOOKUP(A177,'BOCA DE LOBO'!$C$99:$P$172,7,0)</f>
        <v>BOCA DE LOBO DUPLA EXISTENTE COM BOCA DE LOBO SIMPLES PROJETADA</v>
      </c>
      <c r="BI177" s="104">
        <f>IF(BH177=$BI$107,1,0)</f>
        <v>0</v>
      </c>
      <c r="BJ177" s="104">
        <f>IF(BH177=$BJ$107,1,0)</f>
        <v>0</v>
      </c>
      <c r="BK177" s="104">
        <f>IF(BH177=$BK$107,1,0)</f>
        <v>1</v>
      </c>
      <c r="BL177" s="104">
        <f>IF(BH177=$BL$107,1,0)</f>
        <v>0</v>
      </c>
      <c r="BM177" s="104">
        <f>IF(BH177=$BM$107,1,0)</f>
        <v>0</v>
      </c>
      <c r="BN177" s="104">
        <f>IF(BH177=$BN$107,1,0)</f>
        <v>0</v>
      </c>
      <c r="BO177" s="543">
        <f>IF(BH177=$BO$107,1,0)</f>
        <v>0</v>
      </c>
      <c r="BP177" s="111"/>
      <c r="BQ177" s="108">
        <f>IF(L177&lt;=1.5,IF(I177+IF(R177=1,0.5,0)&lt;1.5,(I177+IF(R177=1,0.5,0))*G177*2,G177*2*1.5),0)</f>
        <v>24.39</v>
      </c>
      <c r="BR177" s="108">
        <f>IF(L177&lt;=1.5,IF(AND(I177+IF(R177=1,0.5,0)&lt;3,I177+IF(R177=1,0.5,0)&gt;1.5),(I177+IF(R177=1,0.5,0)-1.5)*G177*2,IF(I177+IF(R177=1,0.5,0)&gt;=3,(G177*2*1.5),0)),0)</f>
        <v>18.282743999998782</v>
      </c>
      <c r="BS177" s="108">
        <f>IF(L177&lt;=1.5,IF(AND(I177+IF(R177=1,0.5,0)&lt;4.5,I177+IF(R177=1,0.5,0)&gt;3),(I177+IF(R177=1,0.5,0)-3)*G177*2,IF(I177+IF(R177=1,0.5,0)&gt;=4.5,(G177*2*1.5),0)),0)</f>
        <v>0</v>
      </c>
      <c r="BT177" s="112"/>
      <c r="BU177" s="112" t="s">
        <v>1410</v>
      </c>
      <c r="BV177" s="538">
        <f>IF(OR("BOCA DE LOBO EXISTENTE TRIPLA"=BH177,"BOCA DE LOBO EXISTENTE SIMPLES"=BH177,"BOCA DE LOBO EXISTENTE DUPLA"=BH177),0,IF("BOCA DE LOBO PROJETADA DUPLA"=BH177,(2.57+1)*(1.18+1),IF(OR("BOCA DE LOBO DUPLA EXISTENTE COM BOCA DE LOBO SIMPLES PROJETADA"=BH177,"BOCA DE LOBO SIMPLES EXISTENTE COM BOCA DE LOBO SIMPLES PROJETADA"=BH177),(1.18+0.5)*(1.18+1),IF(OR(BH177="BOCA DE LOBO DUPLA EXISTENTE COM BOCA DE LOBO DUPLA PROJETADA",BH177="BOCA DE LOBO SIMPLES EXISTENTE COM BOCA DE LOBO DUPLA PROJETADA"),(2.38+0.5)*(1.18+1),IF("BOCA DE LOBO PROJETADA TRIPLA"=BH177,(3.76+1)*(1.18+1),IF("BOCA DE LOBO PROJETADA QUADRUPLA"=BH177,(4.92+1)*(1.18+1),"X"))))))*(E177+IF(CA177&gt;0,0.5,0))</f>
        <v>8.539984319999725</v>
      </c>
      <c r="BW177" s="538">
        <f>IF(OR("BOCA DE LOBO EXISTENTE TRIPLA"=BH177,"BOCA DE LOBO EXISTENTE SIMPLES"=BH177,"BOCA DE LOBO EXISTENTE DUPLA"=BH177),0,IF("BOCA DE LOBO PROJETADA DUPLA"=BH177,(2.57+1)*(1.18+1),IF(OR("BOCA DE LOBO DUPLA EXISTENTE COM BOCA DE LOBO SIMPLES PROJETADA"=BH177,"BOCA DE LOBO SIMPLES EXISTENTE COM BOCA DE LOBO SIMPLES PROJETADA"=BH177),(1.18+1)*(1.18+0.5),IF(OR(BH177="BOCA DE LOBO DUPLA EXISTENTE COM BOCA DE LOBO DUPLA PROJETADA",BH177="BOCA DE LOBO SIMPLES EXISTENTE COM BOCA DE LOBO DUPLA PROJETADA"),(2.38+0.5)*(1.18+1),IF("BOCA DE LOBO PROJETADA TRIPLA"=BH177,(3.76+0.5*2)*(1.18+1),IF("BOCA DE LOBO PROJETADA QUADRUPLA"=BH177,(4.92+0.5*2)*(1.18+1),"X"))))))</f>
        <v>3.6623999999999994</v>
      </c>
      <c r="BX177" s="538">
        <f>IF(OR("BOCA DE LOBO EXISTENTE TRIPLA"=BH177,"BOCA DE LOBO EXISTENTE SIMPLES"=BH177,"BOCA DE LOBO EXISTENTE DUPLA"=BH177),0,IF("BOCA DE LOBO PROJETADA DUPLA"=BH177,(2.57)*(1.18),IF(OR("BOCA DE LOBO DUPLA EXISTENTE COM BOCA DE LOBO SIMPLES PROJETADA"=BH177,"BOCA DE LOBO SIMPLES EXISTENTE COM BOCA DE LOBO SIMPLES PROJETADA"=BH177),(1.18)*(1.18),IF(OR(BH177="BOCA DE LOBO DUPLA EXISTENTE COM BOCA DE LOBO DUPLA PROJETADA",BH177="BOCA DE LOBO SIMPLES EXISTENTE COM BOCA DE LOBO DUPLA PROJETADA"),(2.38)*(1.18),IF("BOCA DE LOBO PROJETADA TRIPLA"=BH177,(3.76)*(1.18),IF("BOCA DE LOBO PROJETADA QUADRUPLA"=BH177,(4.92)*(1.18),"X"))))))</f>
        <v>1.3923999999999999</v>
      </c>
      <c r="BY177" s="538">
        <f>E177</f>
        <v>2.3317999999999253</v>
      </c>
      <c r="BZ177" s="538">
        <f>IF(Y177&gt;0.5,0,IF(S177&lt;E177,S177,E177))</f>
        <v>2.3317999999999253</v>
      </c>
      <c r="CA177" s="538">
        <f>IF(Y177&gt;0.5,BY177+0.5,Y177)</f>
        <v>0</v>
      </c>
      <c r="CB177" s="538">
        <f>IF(S177&gt;E177,0,E177-S177)</f>
        <v>0</v>
      </c>
      <c r="CC177" s="538">
        <f>IF(BZ177&gt;1.5,BW177*1.5,BW177*BZ177)</f>
        <v>5.4935999999999989</v>
      </c>
      <c r="CD177" s="538">
        <f>IF(BZ177&gt;1.5,BW177*(BZ177-1.5),0)</f>
        <v>3.046384319999726</v>
      </c>
      <c r="CE177" s="538">
        <f>IF(CA177&gt;1.5,BW177*1.5,BW177*CA177)</f>
        <v>0</v>
      </c>
      <c r="CF177" s="538">
        <f>IF(CA177&gt;1.5,BW177*(CA177-1.5),0)</f>
        <v>0</v>
      </c>
      <c r="CG177" s="538">
        <f>BV177-SUM(CC177:CF177)</f>
        <v>0</v>
      </c>
      <c r="CH177" s="538">
        <f>SUM(CC177:CG177)-BV177</f>
        <v>0</v>
      </c>
      <c r="CI177" s="104">
        <f>IF(OR("BOCA DE LOBO EXISTENTE TRIPLA"=BH177,"BOCA DE LOBO EXISTENTE SIMPLES"=BH177,"BOCA DE LOBO EXISTENTE DUPLA"=BH177),0,IF("BOCA DE LOBO PROJETADA DUPLA"=BH177,(2.57+1)*(0.5),IF(OR("BOCA DE LOBO DUPLA EXISTENTE COM BOCA DE LOBO SIMPLES PROJETADA"=BH177,"BOCA DE LOBO SIMPLES EXISTENTE COM BOCA DE LOBO SIMPLES PROJETADA"=BH177),(1.18+0.5)*(0.5),IF(OR(BH177="BOCA DE LOBO DUPLA EXISTENTE COM BOCA DE LOBO DUPLA PROJETADA",BH177="BOCA DE LOBO SIMPLES EXISTENTE COM BOCA DE LOBO DUPLA PROJETADA"),(2.38+0.5)*(0.5),IF("BOCA DE LOBO PROJETADA TRIPLA"=BH177,(3.76+1)*(0.5),IF("BOCA DE LOBO PROJETADA QUADRUPLA"=BH177,(4.92+1)*(0.5),"X")))))*0.3)</f>
        <v>0.252</v>
      </c>
      <c r="CJ177" s="538">
        <f>(BW177-BX177)*(BY177+IF(CA177&gt;=0.4,0.4,0))-CI177</f>
        <v>5.0411859999998292</v>
      </c>
      <c r="CK177" s="538">
        <f t="shared" si="1190"/>
        <v>5.0411859999998292</v>
      </c>
      <c r="CL177" s="538">
        <f>CJ177-CK177</f>
        <v>0</v>
      </c>
      <c r="CM177" s="538">
        <f>IF(CA177&gt;0,0.5*4%*BW177,0)</f>
        <v>0</v>
      </c>
      <c r="CN177" s="538">
        <f>IF(OR("BOCA DE LOBO EXISTENTE TRIPLA"=BH177,"BOCA DE LOBO EXISTENTE SIMPLES"=BH177,"BOCA DE LOBO EXISTENTE DUPLA"=BH177),0,IF("BOCA DE LOBO PROJETADA DUPLA"=BH177,(2.57+1),IF(OR("BOCA DE LOBO DUPLA EXISTENTE COM BOCA DE LOBO SIMPLES PROJETADA"=BH177,"BOCA DE LOBO SIMPLES EXISTENTE COM BOCA DE LOBO SIMPLES PROJETADA"=BH177),(1.18+0.5),IF(OR(BH177="BOCA DE LOBO DUPLA EXISTENTE COM BOCA DE LOBO DUPLA PROJETADA",BH177="BOCA DE LOBO SIMPLES EXISTENTE COM BOCA DE LOBO DUPLA PROJETADA"),(2.38+0.5),IF("BOCA DE LOBO PROJETADA TRIPLA"=BH177,(3.76+0.5*2),IF("BOCA DE LOBO PROJETADA QUADRUPLA"=BH177,(4.92+0.5*2),"X"))))))</f>
        <v>1.68</v>
      </c>
      <c r="CO177" s="538">
        <f>IF(CA177&gt;0,BY177+0.5,BY177)</f>
        <v>2.3317999999999253</v>
      </c>
      <c r="CP177" s="538">
        <f>IF(CO177&gt;=1.5,CN177*1.5*2,CN177*CO177*2)</f>
        <v>5.04</v>
      </c>
      <c r="CQ177" s="538">
        <f>IF(CO177&lt;=1.5,0,IF(CO177&gt;=3,CN177*1.5*2,CN177*(CO177-1.5)*2))</f>
        <v>2.7948479999997486</v>
      </c>
      <c r="CR177" s="539">
        <f>IF(D177="AMPLIADA",0.55*(E177-0.5),0)</f>
        <v>1.0074899999999589</v>
      </c>
      <c r="CS177" s="540">
        <f>IF(OR("BOCA DE LOBO EXISTENTE TRIPLA"=BH177,"BOCA DE LOBO EXISTENTE SIMPLES"=BH177,"BOCA DE LOBO EXISTENTE DUPLA"=BH177,"BOCA DE LOBO EXISTENTE QUADRUPLA"=BH177),0,IF("BOCA DE LOBO PROJETADA DUPLA"=BH177,(0),IF(OR("BOCA DE LOBO DUPLA EXISTENTE COM BOCA DE LOBO SIMPLES PROJETADA"=BH177,"BOCA DE LOBO SIMPLES EXISTENTE COM BOCA DE LOBO SIMPLES PROJETADA"=BH177),(0.8*0.15*0.17),IF(OR(BH177="BOCA DE LOBO DUPLA EXISTENTE COM BOCA DE LOBO DUPLA PROJETADA",BH177="BOCA DE LOBO SIMPLES EXISTENTE COM BOCA DE LOBO DUPLA PROJETADA"),(0.8*0.15*0.17),IF("BOCA DE LOBO PROJETADA TRIPLA"=BH177,(0),IF("BOCA DE LOBO PROJETADA QUADRUPLA"=BH177,(0),"X")))))*E177)</f>
        <v>4.7568719999998482E-2</v>
      </c>
      <c r="CT177" s="540">
        <f>IF(OR("BOCA DE LOBO EXISTENTE TRIPLA"=BH177,"BOCA DE LOBO EXISTENTE SIMPLES"=BH177,"BOCA DE LOBO EXISTENTE DUPLA"=BH177,"BOCA DE LOBO EXISTENTE QUADRUPLA"=BH177),0,IF("BOCA DE LOBO PROJETADA DUPLA"=BH177,(1.18*2.57*0.05),IF(OR("BOCA DE LOBO DUPLA EXISTENTE COM BOCA DE LOBO SIMPLES PROJETADA"=BH177,"BOCA DE LOBO SIMPLES EXISTENTE COM BOCA DE LOBO SIMPLES PROJETADA"=BH177),(1.19*1.18*0.05),IF(OR(BH177="BOCA DE LOBO DUPLA EXISTENTE COM BOCA DE LOBO DUPLA PROJETADA",BH177="BOCA DE LOBO SIMPLES EXISTENTE COM BOCA DE LOBO DUPLA PROJETADA"),(2.38*1.18*0.056),IF("BOCA DE LOBO PROJETADA TRIPLA"=BH177,(3.76*1.18*0.05),IF("BOCA DE LOBO PROJETADA QUADRUPLA"=BH177,(4.92*1.18*0.05),"X")))))+CI177/3)</f>
        <v>0.15421000000000001</v>
      </c>
      <c r="CU177" s="541">
        <f>IF(OR("BOCA DE LOBO EXISTENTE TRIPLA"=BH177,"BOCA DE LOBO EXISTENTE SIMPLES"=BH177,"BOCA DE LOBO EXISTENTE DUPLA"=BH177,"BOCA DE LOBO EXISTENTE QUADRUPLA"=BH177),0,IF("BOCA DE LOBO PROJETADA DUPLA"=BH177,(1*4+0.6*2),IF(OR("BOCA DE LOBO DUPLA EXISTENTE COM BOCA DE LOBO SIMPLES PROJETADA"=BH177,"BOCA DE LOBO SIMPLES EXISTENTE COM BOCA DE LOBO SIMPLES PROJETADA"=BH177),(1*2+0.6),IF(OR(BH177="BOCA DE LOBO DUPLA EXISTENTE COM BOCA DE LOBO DUPLA PROJETADA",BH177="BOCA DE LOBO SIMPLES EXISTENTE COM BOCA DE LOBO DUPLA PROJETADA"),(1*4+0.6),IF("BOCA DE LOBO PROJETADA TRIPLA"=BH177,(6*1+0.6*2),IF("BOCA DE LOBO PROJETADA QUADRUPLA"=BH177,(8*1+0.6*2),"X")))))*E177)</f>
        <v>6.0626799999998058</v>
      </c>
      <c r="CV177" s="538">
        <f>IF(OR("BOCA DE LOBO EXISTENTE TRIPLA"=BH177,"BOCA DE LOBO EXISTENTE SIMPLES"=BH177,"BOCA DE LOBO EXISTENTE DUPLA"=BH177,"BOCA DE LOBO EXISTENTE QUADRUPLA"=BH177),0,IF("BOCA DE LOBO PROJETADA DUPLA"=BH177,(12*E177*0.17*0.15+1*0.17*0.15*5+1.09*0.6*0.07*2+2.57*1.18*0.15),IF(OR("BOCA DE LOBO DUPLA EXISTENTE COM BOCA DE LOBO SIMPLES PROJETADA"=BH177,"BOCA DE LOBO SIMPLES EXISTENTE COM BOCA DE LOBO SIMPLES PROJETADA"=BH177),(8*E177*0.17*0.15+1*0.17*0.15*4+1.09*0.6*0.07*1+1.38*1.18*0.15),IF(OR(BH177="BOCA DE LOBO DUPLA EXISTENTE COM BOCA DE LOBO DUPLA PROJETADA",BH177="BOCA DE LOBO SIMPLES EXISTENTE COM BOCA DE LOBO DUPLA PROJETADA"),(7*E177*0.17*0.15+1*0.17*0.15*5+1.09*0.6*0.07*2+2.38*1.18*0.15),IF("BOCA DE LOBO PROJETADA TRIPLA"=BH177,(15*E177*0.17*0.15+1*0.17*0.15*7+1.09*0.6*0.07*3+3.76*1.18*0.15),IF("BOCA DE LOBO PROJETADA QUADRUPLA"=BH177,(19*E177*0.17*0.15+1*0.17*0.15*9+1.09*0.6*0.07*4+4.92*1.18*0.15),"X"))))))</f>
        <v>0.86772719999998471</v>
      </c>
      <c r="CW177" s="538">
        <f>IF(OR("BOCA DE LOBO EXISTENTE TRIPLA"=BH177,"BOCA DE LOBO EXISTENTE SIMPLES"=BH177,"BOCA DE LOBO EXISTENTE DUPLA"=BH177,"BOCA DE LOBO EXISTENTE QUADRUPLA"=BH177),0,IF("BOCA DE LOBO PROJETADA DUPLA"=BH177,(12*E177*2*(0.17+0.15)+1*(2*0.17+0.15)*5+2*(2.57+1.18)*0.15+(1.09+0.6)*2*0.07*2),IF(OR("BOCA DE LOBO DUPLA EXISTENTE COM BOCA DE LOBO SIMPLES PROJETADA"=BH177,"BOCA DE LOBO SIMPLES EXISTENTE COM BOCA DE LOBO SIMPLES PROJETADA"=BH177),(8*E177*2*(0.17+0.15)+1*(2*0.17+0.15)*4+2*(1.38+1.18)*0.15+(1.09+0.6)*2*0.07*1),IF(OR(BH177="BOCA DE LOBO DUPLA EXISTENTE COM BOCA DE LOBO DUPLA PROJETADA",BH177="BOCA DE LOBO SIMPLES EXISTENTE COM BOCA DE LOBO DUPLA PROJETADA"),(7*E177*2*(0.17+0.15)+1*(2*0.17+0.15)*5+2*(2.38+1.18)*0.15+(1.09+0.6)*2*0.07*2),IF("BOCA DE LOBO PROJETADA TRIPLA"=BH177,(15*E177*2*(0.17+0.15)+1*(2*0.17+0.15)*7+2*(3.76+1.18)*0.15+(1.09+0.6)*2*0.07*3),IF("BOCA DE LOBO PROJETADA QUADRUPLA"=BH177,(19*E177*2*(0.17+0.15)+1*(2*0.17+0.15)*7+2*(4.92+1.18)*0.15+(1.09+0.6)*2*0.07*4),"X"))))))</f>
        <v>14.903415999999616</v>
      </c>
      <c r="CX177" s="104">
        <f>IF(OR("BOCA DE LOBO EXISTENTE TRIPLA"=BH177,"BOCA DE LOBO EXISTENTE SIMPLES"=BH177,"BOCA DE LOBO EXISTENTE DUPLA"=BH177,"BOCA DE LOBO EXISTENTE QUADRUPLA"=BH177),0,IF("BOCA DE LOBO PROJETADA DUPLA"=BH177,(2.57+1),IF(OR("BOCA DE LOBO DUPLA EXISTENTE COM BOCA DE LOBO SIMPLES PROJETADA"=BH177,"BOCA DE LOBO SIMPLES EXISTENTE COM BOCA DE LOBO SIMPLES PROJETADA"=BH177),(1.18+0.5),IF(OR(BH177="BOCA DE LOBO DUPLA EXISTENTE COM BOCA DE LOBO DUPLA PROJETADA",BH177="BOCA DE LOBO SIMPLES EXISTENTE COM BOCA DE LOBO DUPLA PROJETADA"),(2.38+0.5),IF("BOCA DE LOBO PROJETADA TRIPLA"=BH177,(3.76+1),IF("BOCA DE LOBO PROJETADA QUADRUPLA"=BH177,(4.92+1),"X"))))))</f>
        <v>1.68</v>
      </c>
      <c r="CY177" s="542">
        <f>CX177*0.5</f>
        <v>0.84</v>
      </c>
      <c r="CZ177" s="538">
        <f>IF(AND(C177="EXISTENTE",D177="PROJETADA"),PI()*0.51*0.51/4*0.12,0)</f>
        <v>0</v>
      </c>
    </row>
    <row r="178" spans="1:104" ht="25" x14ac:dyDescent="0.25">
      <c r="A178" s="100" t="str">
        <f>'BOCA DE LOBO'!C168</f>
        <v>BL68-&gt;PV13-48</v>
      </c>
      <c r="B178" s="100" t="str">
        <f>'BOCA DE LOBO'!A168</f>
        <v>PV13-48</v>
      </c>
      <c r="C178" s="100" t="str">
        <f>VLOOKUP(A178,'BOCA DE LOBO'!C:F,3,0)</f>
        <v>EXISTENTE</v>
      </c>
      <c r="D178" s="100" t="str">
        <f>VLOOKUP(A178,'BOCA DE LOBO'!C:M,10,0)</f>
        <v>EXISTENTE</v>
      </c>
      <c r="E178" s="100">
        <f>IF(F178-G178*4%&lt;2.5,F178-G178*4%,2.5)</f>
        <v>2.4161999999999253</v>
      </c>
      <c r="F178" s="100">
        <f>VLOOKUP(A178,'BOCA DE LOBO'!$C$97:$P$172,2,0)</f>
        <v>2.6569999999999254</v>
      </c>
      <c r="G178" s="100">
        <f>VLOOKUP(A178,'BOCA DE LOBO'!$C$97:$L$172,4,0)</f>
        <v>6.02</v>
      </c>
      <c r="H178" s="101">
        <v>400</v>
      </c>
      <c r="I178" s="102">
        <f>IF(H178=400,((E178+F178)/2)+0.08+U178,IF(H178=500,((E178+F178)/2)+0.1+U178,IF(H178=600,((E178+F178)/2)+0.12+U178,IF(H178=800,((E178+F178)/2)+0.16+U178,IF(H178=1000,((E178+F178)/2)+0.2+U178,IF(H178=1200,((E178+F178)/2)+0.24+U178,IF(H178=1500,((E178+F178)/2)+0.3+U178,IF(H178&gt;1500,((E178+F178)/2)+0.4+U178))))))))</f>
        <v>2.6665999999999253</v>
      </c>
      <c r="J178" s="102">
        <f>IF(I178&gt;=1.25,G178*I178/20,0)</f>
        <v>0.80264659999997734</v>
      </c>
      <c r="K178" s="103">
        <v>0</v>
      </c>
      <c r="L178" s="104">
        <f>IF(D178&lt;&gt;"PROJETADA",0,IF(H178=400,1,0)+IF(H178=500,1.2,0)+IF(H178=600,1.4,0)+IF(H178=800,1.7,0)+IF(H178=1000,2,0)+IF(H178=1200,2.2,0)+IF(H178=1500,2.6,0)+IF(H178=1650,3,0)+IF(H178=1800,3.2,0)+IF(H178=2000,3.4,0)+IF(H178=2200,3.6,0)+IF(H178=2400,3.8,0)+IF(H178=2600,4,0)+IF(H178=3000,4.4,0))</f>
        <v>0</v>
      </c>
      <c r="M178" s="104">
        <f>2*K178*I178+L178</f>
        <v>0</v>
      </c>
      <c r="N178" s="104">
        <f>IF(OR(D178="EXISTENTE",D178="AMPLIADA"),400,0)</f>
        <v>400</v>
      </c>
      <c r="O178" s="104">
        <f>IF(P178="TERRENO NATURAL",0,M178*G178)</f>
        <v>0</v>
      </c>
      <c r="P178" s="105" t="s">
        <v>1999</v>
      </c>
      <c r="Q178" s="452" t="s">
        <v>2177</v>
      </c>
      <c r="R178" s="105"/>
      <c r="S178" s="105">
        <v>4</v>
      </c>
      <c r="T178" s="105">
        <v>4</v>
      </c>
      <c r="U178" s="104">
        <f>IF(H178=400,0.05,0)+IF(H178=500,0.05,0)+IF(H178=600,0.1,0)+IF(H178=800,0.1,0)+IF(H178=1000,0.15,0)+IF(H178=1200,0.15,0)+IF(H178=1500,0.2,0)+IF(H178=1650,0.2,0)+IF(H178=1800,0.2,0)+IF(H178=2000,0.25,0)+IF(H178=2200,0.25,0)+IF(H178=2400,0.25,0)+IF(H178=2600,0.25,0)+IF(H178=3000,0.25,0)</f>
        <v>0.05</v>
      </c>
      <c r="V178" s="106">
        <f>IF(L178=0,0,IF("EXISTENTE"=C178,0,IFERROR((PI()*(N178/1000)*(N178/1000)/4)*G178,0)))</f>
        <v>0</v>
      </c>
      <c r="W178" s="106">
        <f>IF(O178=0,0,((((K178*I178)*I178)/2)*2+L178*I178)*G178-V178+AO178)</f>
        <v>0</v>
      </c>
      <c r="X178" s="107">
        <f>W178-SUM(AC178:AJ178)</f>
        <v>0</v>
      </c>
      <c r="Y178" s="107">
        <f>IF(R178=1,IF(N178=0,I178+0.4,0.4),0)</f>
        <v>0</v>
      </c>
      <c r="Z178" s="107">
        <f>IF(Y178&gt;0.5,0,IF(S178&lt;I178,S178,I178))</f>
        <v>2.6665999999999253</v>
      </c>
      <c r="AA178" s="107">
        <f>I178-Z178</f>
        <v>0</v>
      </c>
      <c r="AB178" s="108">
        <f>IF(P178="ASFALTO",IF(D178="PROJETADA",O178,IF(D178="EXISTENTE",0,O178/2)),0)</f>
        <v>0</v>
      </c>
      <c r="AC178" s="109">
        <f>IF(Y178=0,0,IF(Y178=0.4,IF(L178&lt;=1.5,IF(Z178+0.4&gt;=1.5,0,L178*G178*0.4),0),IF(L178&lt;=1.5,IF(Y178&gt;=1.5,M178*G178*1.5,L178*G178*(Y178)),0)+IF(S178&lt;I178+0.4,0,IF(AND(Y178&lt;=1.5,L178&lt;=1.5),-V178,0))))</f>
        <v>0</v>
      </c>
      <c r="AD178" s="109">
        <f>IF(Y178=0,0,IF(Y178=0.4,IF(L178&lt;=1.5,IF(OR(Z178+0.4&gt;=3,Z178+0.4&lt;1.5),0,L178*G178*0.4),0),IF(IF(L178&lt;=1.5,IF(Y178&gt;=3,M178*G178*1.5,L178*G178*(Y178-1.5)),0)&lt;0,0,IF(L178&lt;=1.5,IF(Y178&gt;=3,M178*G178*1.5,L178*G178*(Y178-1.5)),0))+IF(S178&lt;I178+0.4,0,IF(AND(Y178&lt;=3,L178&lt;=1.5),-V178,0))))</f>
        <v>0</v>
      </c>
      <c r="AE178" s="109">
        <f>IF(Y178=0,0,IF(Y178=0.4,IF(L178&lt;=1.5,IF(OR(Z178+0.4&gt;=4.5,Z178+0.4&lt;3),0,L178*G178*0.4),0),IF(IF(L178&lt;=1.5,IF(Y178&gt;=4.5,M178*G178*1.5,L178*G178*(Y178-3)),0)&lt;0,0,IF(L178&lt;=1.5,IF(Y178&gt;=4.5,M178*G178*1.5,L178*G178*(Y178-3)),0))+IF(S178&lt;I178+0.4,0,IF(AND(Y178&lt;=4.5,L178&lt;=1.5),-V178,0))))</f>
        <v>0</v>
      </c>
      <c r="AF178" s="109">
        <f>IF(L178&lt;=1.5,IF(Z178&gt;=1.5,M178*G178*1.5,L178*G178*Z178),0)+IF(S178&lt;I178,0,IF(AND(Z178&lt;=1.5,L178&lt;=1.5),-V178,0))-V178</f>
        <v>0</v>
      </c>
      <c r="AG178" s="109">
        <f>IF(IF(L178&lt;=1.5,IF(Z178&gt;=3,M178*G178*1.5,L178*G178*(Z178-1.5)),0)&lt;0,0,IF(L178&lt;=1.5,IF(Z178&gt;=3,M178*G178*1.5,L178*G178*(Z178-1.5)),0))</f>
        <v>0</v>
      </c>
      <c r="AH178" s="109">
        <f>IF(IF(L178&lt;=1.5,IF(Z178&gt;=4.5,M178*G178*1.5,L178*G178*(Z178-3)),0)&lt;0,0,IF(L178&lt;=1.5,IF(Z178&gt;=4.5,M178*G178*1.5,L178*G178*(Z178-3)),0))+IF(S178&lt;I178,0,IF(AND(Z178&lt;=4.5,Z178&gt;3,L178&lt;=1.5),-V178,0))</f>
        <v>0</v>
      </c>
      <c r="AI178" s="537" t="str">
        <f>IF(I178&gt;S178,"SIM","NÃO")</f>
        <v>NÃO</v>
      </c>
      <c r="AJ178" s="104">
        <f>W178-SUM(AC178:AH178)</f>
        <v>0</v>
      </c>
      <c r="AK178" s="104">
        <f>IF(I178-T178&lt;0,0,(I178-T178)*G178)/75</f>
        <v>0</v>
      </c>
      <c r="AL178" s="104">
        <f>IF(L178=0,0,G178*L178*I178-PI()*(H178/1000)*(H178/1000)/4*G178+AO178)</f>
        <v>0</v>
      </c>
      <c r="AM178" s="102">
        <f>IF(L178&lt;1.5,L178*G178*IF(H178&lt;=500,0.05,IF(H178&lt;=800,0.1,IF(H178&lt;=1200,0.15,IF(H178&gt;=1500,0.2)))),0)</f>
        <v>0</v>
      </c>
      <c r="AN178" s="106">
        <f>IF(L178&gt;=1.5,L178*G178*IF(H178&lt;=500,0.05,IF(H178&lt;=800,0.1,IF(H178&lt;=1200,0.15,IF(H178&gt;=1500,0.2)))),0)</f>
        <v>0</v>
      </c>
      <c r="AO178" s="104">
        <f>IF(R178=1,0.4*G178*L178,0)</f>
        <v>0</v>
      </c>
      <c r="AP178" s="104">
        <f>IF(AO178&lt;SUM(AF178:AH178),0,AO178)</f>
        <v>0</v>
      </c>
      <c r="AQ178" s="104">
        <f>H178/1000+0.3</f>
        <v>0.7</v>
      </c>
      <c r="AR178" s="104">
        <f>IF(D178&lt;&gt;"PROJETADA",0,AQ178*L178*G178-PI()*(H178/1000*H178/1000)/4*G178)</f>
        <v>0</v>
      </c>
      <c r="AS178" s="104">
        <f>IF(AR178&lt;SUM(AF178:AH178),0,AR178)</f>
        <v>0</v>
      </c>
      <c r="AT178" s="104">
        <f>IF(P178="ASFALTO",0.15*G178*L178,0)</f>
        <v>0</v>
      </c>
      <c r="AU178" s="104">
        <f>AT178</f>
        <v>0</v>
      </c>
      <c r="AV178" s="104">
        <f>IF(P178="ASFALTO",0.03*G178*L178,0)</f>
        <v>0</v>
      </c>
      <c r="AW178" s="104">
        <f>AL178-AO178-SUM(AM178:AN178)-AT178-AU178-AR178</f>
        <v>0</v>
      </c>
      <c r="AX178" s="104">
        <f>SUM(AF178:AH178)-AO178-AT178-AR178</f>
        <v>0</v>
      </c>
      <c r="AY178" s="104">
        <f>SMALL(AW178:AX178,1)</f>
        <v>0</v>
      </c>
      <c r="AZ178" s="104">
        <f>AW178-AY178</f>
        <v>0</v>
      </c>
      <c r="BA178" s="104">
        <f t="shared" si="1159"/>
        <v>0</v>
      </c>
      <c r="BB178" s="104">
        <f>AZ178-BA178</f>
        <v>0</v>
      </c>
      <c r="BC178" s="104"/>
      <c r="BD178" s="104">
        <f>IF(AO178&gt;0,4%*(AO178+AT178),0)</f>
        <v>0</v>
      </c>
      <c r="BE178" s="108">
        <f>IF(H178=400,I178,0)</f>
        <v>2.6665999999999253</v>
      </c>
      <c r="BF178" s="110">
        <f>IF(BE178&lt;=1.75,AND(BE178&gt;0)*G178,0)</f>
        <v>0</v>
      </c>
      <c r="BG178" s="110">
        <f>IF(BE178&lt;=3,AND(BE178&gt;1.75)*G178,0)</f>
        <v>6.02</v>
      </c>
      <c r="BH178" s="105" t="str">
        <f>VLOOKUP(A178,'BOCA DE LOBO'!$C$99:$P$172,7,0)</f>
        <v>BOCA DE LOBO EXISTENTE DUPLA</v>
      </c>
      <c r="BI178" s="104">
        <f>IF(BH178=$BI$107,1,0)</f>
        <v>0</v>
      </c>
      <c r="BJ178" s="104">
        <f>IF(BH178=$BJ$107,1,0)</f>
        <v>0</v>
      </c>
      <c r="BK178" s="104">
        <f>IF(BH178=$BK$107,1,0)</f>
        <v>0</v>
      </c>
      <c r="BL178" s="104">
        <f>IF(BH178=$BL$107,1,0)</f>
        <v>0</v>
      </c>
      <c r="BM178" s="104">
        <f>IF(BH178=$BM$107,1,0)</f>
        <v>0</v>
      </c>
      <c r="BN178" s="104">
        <f>IF(BH178=$BN$107,1,0)</f>
        <v>0</v>
      </c>
      <c r="BO178" s="543">
        <f>IF(BH178=$BO$107,1,0)</f>
        <v>0</v>
      </c>
      <c r="BP178" s="111"/>
      <c r="BQ178" s="108">
        <f>IF(L178&lt;=1.5,IF(I178+IF(R178=1,0.5,0)&lt;1.5,(I178+IF(R178=1,0.5,0))*G178*2,G178*2*1.5),0)</f>
        <v>18.059999999999999</v>
      </c>
      <c r="BR178" s="108">
        <f>IF(L178&lt;=1.5,IF(AND(I178+IF(R178=1,0.5,0)&lt;3,I178+IF(R178=1,0.5,0)&gt;1.5),(I178+IF(R178=1,0.5,0)-1.5)*G178*2,IF(I178+IF(R178=1,0.5,0)&gt;=3,(G178*2*1.5),0)),0)</f>
        <v>14.045863999999099</v>
      </c>
      <c r="BS178" s="108">
        <f>IF(L178&lt;=1.5,IF(AND(I178+IF(R178=1,0.5,0)&lt;4.5,I178+IF(R178=1,0.5,0)&gt;3),(I178+IF(R178=1,0.5,0)-3)*G178*2,IF(I178+IF(R178=1,0.5,0)&gt;=4.5,(G178*2*1.5),0)),0)</f>
        <v>0</v>
      </c>
      <c r="BT178" s="112"/>
      <c r="BU178" s="112" t="s">
        <v>1410</v>
      </c>
      <c r="BV178" s="538">
        <f>IF(OR("BOCA DE LOBO EXISTENTE TRIPLA"=BH178,"BOCA DE LOBO EXISTENTE SIMPLES"=BH178,"BOCA DE LOBO EXISTENTE DUPLA"=BH178),0,IF("BOCA DE LOBO PROJETADA DUPLA"=BH178,(2.57+1)*(1.18+1),IF(OR("BOCA DE LOBO DUPLA EXISTENTE COM BOCA DE LOBO SIMPLES PROJETADA"=BH178,"BOCA DE LOBO SIMPLES EXISTENTE COM BOCA DE LOBO SIMPLES PROJETADA"=BH178),(1.18+0.5)*(1.18+1),IF(OR(BH178="BOCA DE LOBO DUPLA EXISTENTE COM BOCA DE LOBO DUPLA PROJETADA",BH178="BOCA DE LOBO SIMPLES EXISTENTE COM BOCA DE LOBO DUPLA PROJETADA"),(2.38+0.5)*(1.18+1),IF("BOCA DE LOBO PROJETADA TRIPLA"=BH178,(3.76+1)*(1.18+1),IF("BOCA DE LOBO PROJETADA QUADRUPLA"=BH178,(4.92+1)*(1.18+1),"X"))))))*(E178+IF(CA178&gt;0,0.5,0))</f>
        <v>0</v>
      </c>
      <c r="BW178" s="538">
        <f>IF(OR("BOCA DE LOBO EXISTENTE TRIPLA"=BH178,"BOCA DE LOBO EXISTENTE SIMPLES"=BH178,"BOCA DE LOBO EXISTENTE DUPLA"=BH178),0,IF("BOCA DE LOBO PROJETADA DUPLA"=BH178,(2.57+1)*(1.18+1),IF(OR("BOCA DE LOBO DUPLA EXISTENTE COM BOCA DE LOBO SIMPLES PROJETADA"=BH178,"BOCA DE LOBO SIMPLES EXISTENTE COM BOCA DE LOBO SIMPLES PROJETADA"=BH178),(1.18+1)*(1.18+0.5),IF(OR(BH178="BOCA DE LOBO DUPLA EXISTENTE COM BOCA DE LOBO DUPLA PROJETADA",BH178="BOCA DE LOBO SIMPLES EXISTENTE COM BOCA DE LOBO DUPLA PROJETADA"),(2.38+0.5)*(1.18+1),IF("BOCA DE LOBO PROJETADA TRIPLA"=BH178,(3.76+0.5*2)*(1.18+1),IF("BOCA DE LOBO PROJETADA QUADRUPLA"=BH178,(4.92+0.5*2)*(1.18+1),"X"))))))</f>
        <v>0</v>
      </c>
      <c r="BX178" s="538">
        <f>IF(OR("BOCA DE LOBO EXISTENTE TRIPLA"=BH178,"BOCA DE LOBO EXISTENTE SIMPLES"=BH178,"BOCA DE LOBO EXISTENTE DUPLA"=BH178),0,IF("BOCA DE LOBO PROJETADA DUPLA"=BH178,(2.57)*(1.18),IF(OR("BOCA DE LOBO DUPLA EXISTENTE COM BOCA DE LOBO SIMPLES PROJETADA"=BH178,"BOCA DE LOBO SIMPLES EXISTENTE COM BOCA DE LOBO SIMPLES PROJETADA"=BH178),(1.18)*(1.18),IF(OR(BH178="BOCA DE LOBO DUPLA EXISTENTE COM BOCA DE LOBO DUPLA PROJETADA",BH178="BOCA DE LOBO SIMPLES EXISTENTE COM BOCA DE LOBO DUPLA PROJETADA"),(2.38)*(1.18),IF("BOCA DE LOBO PROJETADA TRIPLA"=BH178,(3.76)*(1.18),IF("BOCA DE LOBO PROJETADA QUADRUPLA"=BH178,(4.92)*(1.18),"X"))))))</f>
        <v>0</v>
      </c>
      <c r="BY178" s="538">
        <f>E178</f>
        <v>2.4161999999999253</v>
      </c>
      <c r="BZ178" s="538">
        <f>IF(Y178&gt;0.5,0,IF(S178&lt;E178,S178,E178))</f>
        <v>2.4161999999999253</v>
      </c>
      <c r="CA178" s="538">
        <f>IF(Y178&gt;0.5,BY178+0.5,Y178)</f>
        <v>0</v>
      </c>
      <c r="CB178" s="538">
        <f>IF(S178&gt;E178,0,E178-S178)</f>
        <v>0</v>
      </c>
      <c r="CC178" s="538">
        <f>IF(BZ178&gt;1.5,BW178*1.5,BW178*BZ178)</f>
        <v>0</v>
      </c>
      <c r="CD178" s="538">
        <f>IF(BZ178&gt;1.5,BW178*(BZ178-1.5),0)</f>
        <v>0</v>
      </c>
      <c r="CE178" s="538">
        <f>IF(CA178&gt;1.5,BW178*1.5,BW178*CA178)</f>
        <v>0</v>
      </c>
      <c r="CF178" s="538">
        <f>IF(CA178&gt;1.5,BW178*(CA178-1.5),0)</f>
        <v>0</v>
      </c>
      <c r="CG178" s="538">
        <f>BV178-SUM(CC178:CF178)</f>
        <v>0</v>
      </c>
      <c r="CH178" s="538">
        <f>SUM(CC178:CG178)-BV178</f>
        <v>0</v>
      </c>
      <c r="CI178" s="104">
        <f>IF(OR("BOCA DE LOBO EXISTENTE TRIPLA"=BH178,"BOCA DE LOBO EXISTENTE SIMPLES"=BH178,"BOCA DE LOBO EXISTENTE DUPLA"=BH178),0,IF("BOCA DE LOBO PROJETADA DUPLA"=BH178,(2.57+1)*(0.5),IF(OR("BOCA DE LOBO DUPLA EXISTENTE COM BOCA DE LOBO SIMPLES PROJETADA"=BH178,"BOCA DE LOBO SIMPLES EXISTENTE COM BOCA DE LOBO SIMPLES PROJETADA"=BH178),(1.18+0.5)*(0.5),IF(OR(BH178="BOCA DE LOBO DUPLA EXISTENTE COM BOCA DE LOBO DUPLA PROJETADA",BH178="BOCA DE LOBO SIMPLES EXISTENTE COM BOCA DE LOBO DUPLA PROJETADA"),(2.38+0.5)*(0.5),IF("BOCA DE LOBO PROJETADA TRIPLA"=BH178,(3.76+1)*(0.5),IF("BOCA DE LOBO PROJETADA QUADRUPLA"=BH178,(4.92+1)*(0.5),"X")))))*0.3)</f>
        <v>0</v>
      </c>
      <c r="CJ178" s="538">
        <f>(BW178-BX178)*(BY178+IF(CA178&gt;=0.4,0.4,0))-CI178</f>
        <v>0</v>
      </c>
      <c r="CK178" s="538">
        <f t="shared" si="1190"/>
        <v>0</v>
      </c>
      <c r="CL178" s="538">
        <f>CJ178-CK178</f>
        <v>0</v>
      </c>
      <c r="CM178" s="538">
        <f>IF(CA178&gt;0,0.5*4%*BW178,0)</f>
        <v>0</v>
      </c>
      <c r="CN178" s="538">
        <f>IF(OR("BOCA DE LOBO EXISTENTE TRIPLA"=BH178,"BOCA DE LOBO EXISTENTE SIMPLES"=BH178,"BOCA DE LOBO EXISTENTE DUPLA"=BH178),0,IF("BOCA DE LOBO PROJETADA DUPLA"=BH178,(2.57+1),IF(OR("BOCA DE LOBO DUPLA EXISTENTE COM BOCA DE LOBO SIMPLES PROJETADA"=BH178,"BOCA DE LOBO SIMPLES EXISTENTE COM BOCA DE LOBO SIMPLES PROJETADA"=BH178),(1.18+0.5),IF(OR(BH178="BOCA DE LOBO DUPLA EXISTENTE COM BOCA DE LOBO DUPLA PROJETADA",BH178="BOCA DE LOBO SIMPLES EXISTENTE COM BOCA DE LOBO DUPLA PROJETADA"),(2.38+0.5),IF("BOCA DE LOBO PROJETADA TRIPLA"=BH178,(3.76+0.5*2),IF("BOCA DE LOBO PROJETADA QUADRUPLA"=BH178,(4.92+0.5*2),"X"))))))</f>
        <v>0</v>
      </c>
      <c r="CO178" s="538">
        <f>IF(CA178&gt;0,BY178+0.5,BY178)</f>
        <v>2.4161999999999253</v>
      </c>
      <c r="CP178" s="538">
        <f>IF(CO178&gt;=1.5,CN178*1.5*2,CN178*CO178*2)</f>
        <v>0</v>
      </c>
      <c r="CQ178" s="538">
        <f>IF(CO178&lt;=1.5,0,IF(CO178&gt;=3,CN178*1.5*2,CN178*(CO178-1.5)*2))</f>
        <v>0</v>
      </c>
      <c r="CR178" s="539">
        <f>IF(D178="AMPLIADA",0.55*(E178-0.5),0)</f>
        <v>0</v>
      </c>
      <c r="CS178" s="540">
        <f>IF(OR("BOCA DE LOBO EXISTENTE TRIPLA"=BH178,"BOCA DE LOBO EXISTENTE SIMPLES"=BH178,"BOCA DE LOBO EXISTENTE DUPLA"=BH178,"BOCA DE LOBO EXISTENTE QUADRUPLA"=BH178),0,IF("BOCA DE LOBO PROJETADA DUPLA"=BH178,(0),IF(OR("BOCA DE LOBO DUPLA EXISTENTE COM BOCA DE LOBO SIMPLES PROJETADA"=BH178,"BOCA DE LOBO SIMPLES EXISTENTE COM BOCA DE LOBO SIMPLES PROJETADA"=BH178),(0.8*0.15*0.17),IF(OR(BH178="BOCA DE LOBO DUPLA EXISTENTE COM BOCA DE LOBO DUPLA PROJETADA",BH178="BOCA DE LOBO SIMPLES EXISTENTE COM BOCA DE LOBO DUPLA PROJETADA"),(0.8*0.15*0.17),IF("BOCA DE LOBO PROJETADA TRIPLA"=BH178,(0),IF("BOCA DE LOBO PROJETADA QUADRUPLA"=BH178,(0),"X")))))*E178)</f>
        <v>0</v>
      </c>
      <c r="CT178" s="540">
        <f>IF(OR("BOCA DE LOBO EXISTENTE TRIPLA"=BH178,"BOCA DE LOBO EXISTENTE SIMPLES"=BH178,"BOCA DE LOBO EXISTENTE DUPLA"=BH178,"BOCA DE LOBO EXISTENTE QUADRUPLA"=BH178),0,IF("BOCA DE LOBO PROJETADA DUPLA"=BH178,(1.18*2.57*0.05),IF(OR("BOCA DE LOBO DUPLA EXISTENTE COM BOCA DE LOBO SIMPLES PROJETADA"=BH178,"BOCA DE LOBO SIMPLES EXISTENTE COM BOCA DE LOBO SIMPLES PROJETADA"=BH178),(1.19*1.18*0.05),IF(OR(BH178="BOCA DE LOBO DUPLA EXISTENTE COM BOCA DE LOBO DUPLA PROJETADA",BH178="BOCA DE LOBO SIMPLES EXISTENTE COM BOCA DE LOBO DUPLA PROJETADA"),(2.38*1.18*0.056),IF("BOCA DE LOBO PROJETADA TRIPLA"=BH178,(3.76*1.18*0.05),IF("BOCA DE LOBO PROJETADA QUADRUPLA"=BH178,(4.92*1.18*0.05),"X")))))+CI178/3)</f>
        <v>0</v>
      </c>
      <c r="CU178" s="541">
        <f>IF(OR("BOCA DE LOBO EXISTENTE TRIPLA"=BH178,"BOCA DE LOBO EXISTENTE SIMPLES"=BH178,"BOCA DE LOBO EXISTENTE DUPLA"=BH178,"BOCA DE LOBO EXISTENTE QUADRUPLA"=BH178),0,IF("BOCA DE LOBO PROJETADA DUPLA"=BH178,(1*4+0.6*2),IF(OR("BOCA DE LOBO DUPLA EXISTENTE COM BOCA DE LOBO SIMPLES PROJETADA"=BH178,"BOCA DE LOBO SIMPLES EXISTENTE COM BOCA DE LOBO SIMPLES PROJETADA"=BH178),(1*2+0.6),IF(OR(BH178="BOCA DE LOBO DUPLA EXISTENTE COM BOCA DE LOBO DUPLA PROJETADA",BH178="BOCA DE LOBO SIMPLES EXISTENTE COM BOCA DE LOBO DUPLA PROJETADA"),(1*4+0.6),IF("BOCA DE LOBO PROJETADA TRIPLA"=BH178,(6*1+0.6*2),IF("BOCA DE LOBO PROJETADA QUADRUPLA"=BH178,(8*1+0.6*2),"X")))))*E178)</f>
        <v>0</v>
      </c>
      <c r="CV178" s="538">
        <f>IF(OR("BOCA DE LOBO EXISTENTE TRIPLA"=BH178,"BOCA DE LOBO EXISTENTE SIMPLES"=BH178,"BOCA DE LOBO EXISTENTE DUPLA"=BH178,"BOCA DE LOBO EXISTENTE QUADRUPLA"=BH178),0,IF("BOCA DE LOBO PROJETADA DUPLA"=BH178,(12*E178*0.17*0.15+1*0.17*0.15*5+1.09*0.6*0.07*2+2.57*1.18*0.15),IF(OR("BOCA DE LOBO DUPLA EXISTENTE COM BOCA DE LOBO SIMPLES PROJETADA"=BH178,"BOCA DE LOBO SIMPLES EXISTENTE COM BOCA DE LOBO SIMPLES PROJETADA"=BH178),(8*E178*0.17*0.15+1*0.17*0.15*4+1.09*0.6*0.07*1+1.38*1.18*0.15),IF(OR(BH178="BOCA DE LOBO DUPLA EXISTENTE COM BOCA DE LOBO DUPLA PROJETADA",BH178="BOCA DE LOBO SIMPLES EXISTENTE COM BOCA DE LOBO DUPLA PROJETADA"),(7*E178*0.17*0.15+1*0.17*0.15*5+1.09*0.6*0.07*2+2.38*1.18*0.15),IF("BOCA DE LOBO PROJETADA TRIPLA"=BH178,(15*E178*0.17*0.15+1*0.17*0.15*7+1.09*0.6*0.07*3+3.76*1.18*0.15),IF("BOCA DE LOBO PROJETADA QUADRUPLA"=BH178,(19*E178*0.17*0.15+1*0.17*0.15*9+1.09*0.6*0.07*4+4.92*1.18*0.15),"X"))))))</f>
        <v>0</v>
      </c>
      <c r="CW178" s="538">
        <f>IF(OR("BOCA DE LOBO EXISTENTE TRIPLA"=BH178,"BOCA DE LOBO EXISTENTE SIMPLES"=BH178,"BOCA DE LOBO EXISTENTE DUPLA"=BH178,"BOCA DE LOBO EXISTENTE QUADRUPLA"=BH178),0,IF("BOCA DE LOBO PROJETADA DUPLA"=BH178,(12*E178*2*(0.17+0.15)+1*(2*0.17+0.15)*5+2*(2.57+1.18)*0.15+(1.09+0.6)*2*0.07*2),IF(OR("BOCA DE LOBO DUPLA EXISTENTE COM BOCA DE LOBO SIMPLES PROJETADA"=BH178,"BOCA DE LOBO SIMPLES EXISTENTE COM BOCA DE LOBO SIMPLES PROJETADA"=BH178),(8*E178*2*(0.17+0.15)+1*(2*0.17+0.15)*4+2*(1.38+1.18)*0.15+(1.09+0.6)*2*0.07*1),IF(OR(BH178="BOCA DE LOBO DUPLA EXISTENTE COM BOCA DE LOBO DUPLA PROJETADA",BH178="BOCA DE LOBO SIMPLES EXISTENTE COM BOCA DE LOBO DUPLA PROJETADA"),(7*E178*2*(0.17+0.15)+1*(2*0.17+0.15)*5+2*(2.38+1.18)*0.15+(1.09+0.6)*2*0.07*2),IF("BOCA DE LOBO PROJETADA TRIPLA"=BH178,(15*E178*2*(0.17+0.15)+1*(2*0.17+0.15)*7+2*(3.76+1.18)*0.15+(1.09+0.6)*2*0.07*3),IF("BOCA DE LOBO PROJETADA QUADRUPLA"=BH178,(19*E178*2*(0.17+0.15)+1*(2*0.17+0.15)*7+2*(4.92+1.18)*0.15+(1.09+0.6)*2*0.07*4),"X"))))))</f>
        <v>0</v>
      </c>
      <c r="CX178" s="104">
        <f>IF(OR("BOCA DE LOBO EXISTENTE TRIPLA"=BH178,"BOCA DE LOBO EXISTENTE SIMPLES"=BH178,"BOCA DE LOBO EXISTENTE DUPLA"=BH178,"BOCA DE LOBO EXISTENTE QUADRUPLA"=BH178),0,IF("BOCA DE LOBO PROJETADA DUPLA"=BH178,(2.57+1),IF(OR("BOCA DE LOBO DUPLA EXISTENTE COM BOCA DE LOBO SIMPLES PROJETADA"=BH178,"BOCA DE LOBO SIMPLES EXISTENTE COM BOCA DE LOBO SIMPLES PROJETADA"=BH178),(1.18+0.5),IF(OR(BH178="BOCA DE LOBO DUPLA EXISTENTE COM BOCA DE LOBO DUPLA PROJETADA",BH178="BOCA DE LOBO SIMPLES EXISTENTE COM BOCA DE LOBO DUPLA PROJETADA"),(2.38+0.5),IF("BOCA DE LOBO PROJETADA TRIPLA"=BH178,(3.76+1),IF("BOCA DE LOBO PROJETADA QUADRUPLA"=BH178,(4.92+1),"X"))))))</f>
        <v>0</v>
      </c>
      <c r="CY178" s="542">
        <f>CX178*0.5</f>
        <v>0</v>
      </c>
      <c r="CZ178" s="538">
        <f>IF(AND(C178="EXISTENTE",D178="PROJETADA"),PI()*0.51*0.51/4*0.12,0)</f>
        <v>0</v>
      </c>
    </row>
    <row r="179" spans="1:104" ht="37.5" x14ac:dyDescent="0.25">
      <c r="A179" s="100" t="str">
        <f>'BOCA DE LOBO'!C169</f>
        <v>BL69-&gt;PV1-50</v>
      </c>
      <c r="B179" s="100" t="str">
        <f>'BOCA DE LOBO'!A169</f>
        <v>PV1-50</v>
      </c>
      <c r="C179" s="100" t="str">
        <f>VLOOKUP(A179,'BOCA DE LOBO'!C:F,3,0)</f>
        <v>EXISTENTE</v>
      </c>
      <c r="D179" s="100" t="str">
        <f>VLOOKUP(A179,'BOCA DE LOBO'!C:M,10,0)</f>
        <v>AMPLIADA</v>
      </c>
      <c r="E179" s="100">
        <f t="shared" si="1430"/>
        <v>1.5291999999999999</v>
      </c>
      <c r="F179" s="100">
        <f>VLOOKUP(A179,'BOCA DE LOBO'!$C$97:$P$172,2,0)</f>
        <v>1.75</v>
      </c>
      <c r="G179" s="100">
        <f>VLOOKUP(A179,'BOCA DE LOBO'!$C$97:$L$172,4,0)</f>
        <v>5.52</v>
      </c>
      <c r="H179" s="101">
        <v>400</v>
      </c>
      <c r="I179" s="102">
        <f t="shared" si="1431"/>
        <v>1.7696000000000001</v>
      </c>
      <c r="J179" s="102">
        <f t="shared" si="1432"/>
        <v>0.48840959999999994</v>
      </c>
      <c r="K179" s="103">
        <v>0</v>
      </c>
      <c r="L179" s="104">
        <f t="shared" si="1433"/>
        <v>0</v>
      </c>
      <c r="M179" s="104">
        <f t="shared" si="1434"/>
        <v>0</v>
      </c>
      <c r="N179" s="104">
        <f t="shared" si="1435"/>
        <v>400</v>
      </c>
      <c r="O179" s="104">
        <f t="shared" si="1436"/>
        <v>0</v>
      </c>
      <c r="P179" s="105" t="s">
        <v>1999</v>
      </c>
      <c r="Q179" s="452" t="s">
        <v>2174</v>
      </c>
      <c r="R179" s="105"/>
      <c r="S179" s="105">
        <v>5</v>
      </c>
      <c r="T179" s="105">
        <v>5</v>
      </c>
      <c r="U179" s="104">
        <f t="shared" si="1437"/>
        <v>0.05</v>
      </c>
      <c r="V179" s="106">
        <f t="shared" si="1438"/>
        <v>0</v>
      </c>
      <c r="W179" s="106">
        <f t="shared" si="1439"/>
        <v>0</v>
      </c>
      <c r="X179" s="107">
        <f t="shared" si="1440"/>
        <v>0</v>
      </c>
      <c r="Y179" s="107">
        <f t="shared" si="1441"/>
        <v>0</v>
      </c>
      <c r="Z179" s="107">
        <f t="shared" si="1442"/>
        <v>1.7696000000000001</v>
      </c>
      <c r="AA179" s="107">
        <f t="shared" si="1443"/>
        <v>0</v>
      </c>
      <c r="AB179" s="108">
        <f t="shared" si="1444"/>
        <v>0</v>
      </c>
      <c r="AC179" s="109">
        <f t="shared" si="1445"/>
        <v>0</v>
      </c>
      <c r="AD179" s="109">
        <f t="shared" si="1446"/>
        <v>0</v>
      </c>
      <c r="AE179" s="109">
        <f t="shared" si="1447"/>
        <v>0</v>
      </c>
      <c r="AF179" s="109">
        <f t="shared" si="1448"/>
        <v>0</v>
      </c>
      <c r="AG179" s="109">
        <f t="shared" si="1449"/>
        <v>0</v>
      </c>
      <c r="AH179" s="109">
        <f t="shared" si="1450"/>
        <v>0</v>
      </c>
      <c r="AI179" s="537" t="str">
        <f t="shared" si="1451"/>
        <v>NÃO</v>
      </c>
      <c r="AJ179" s="104">
        <f t="shared" si="1452"/>
        <v>0</v>
      </c>
      <c r="AK179" s="104">
        <f t="shared" si="1453"/>
        <v>0</v>
      </c>
      <c r="AL179" s="104">
        <f t="shared" si="1454"/>
        <v>0</v>
      </c>
      <c r="AM179" s="102">
        <f t="shared" si="1455"/>
        <v>0</v>
      </c>
      <c r="AN179" s="106">
        <f t="shared" si="1456"/>
        <v>0</v>
      </c>
      <c r="AO179" s="104">
        <f t="shared" si="1457"/>
        <v>0</v>
      </c>
      <c r="AP179" s="104">
        <f t="shared" si="1458"/>
        <v>0</v>
      </c>
      <c r="AQ179" s="104">
        <f t="shared" si="1459"/>
        <v>0.7</v>
      </c>
      <c r="AR179" s="104">
        <f t="shared" si="1460"/>
        <v>0</v>
      </c>
      <c r="AS179" s="104">
        <f t="shared" si="1461"/>
        <v>0</v>
      </c>
      <c r="AT179" s="104">
        <f t="shared" si="1462"/>
        <v>0</v>
      </c>
      <c r="AU179" s="104">
        <f t="shared" si="1463"/>
        <v>0</v>
      </c>
      <c r="AV179" s="104">
        <f t="shared" si="1464"/>
        <v>0</v>
      </c>
      <c r="AW179" s="104">
        <f t="shared" si="1465"/>
        <v>0</v>
      </c>
      <c r="AX179" s="104">
        <f t="shared" si="1466"/>
        <v>0</v>
      </c>
      <c r="AY179" s="104">
        <f t="shared" si="1467"/>
        <v>0</v>
      </c>
      <c r="AZ179" s="104">
        <f t="shared" si="1468"/>
        <v>0</v>
      </c>
      <c r="BA179" s="104">
        <f t="shared" si="1159"/>
        <v>0</v>
      </c>
      <c r="BB179" s="104">
        <f t="shared" si="1469"/>
        <v>0</v>
      </c>
      <c r="BC179" s="104"/>
      <c r="BD179" s="104">
        <f t="shared" si="1470"/>
        <v>0</v>
      </c>
      <c r="BE179" s="108">
        <f t="shared" si="1471"/>
        <v>1.7696000000000001</v>
      </c>
      <c r="BF179" s="110">
        <f t="shared" si="1472"/>
        <v>0</v>
      </c>
      <c r="BG179" s="110">
        <f t="shared" si="1473"/>
        <v>5.52</v>
      </c>
      <c r="BH179" s="105" t="str">
        <f>VLOOKUP(A179,'BOCA DE LOBO'!$C$99:$P$172,7,0)</f>
        <v>BOCA DE LOBO DUPLA EXISTENTE COM BOCA DE LOBO SIMPLES PROJETADA</v>
      </c>
      <c r="BI179" s="104">
        <f t="shared" si="1474"/>
        <v>0</v>
      </c>
      <c r="BJ179" s="104">
        <f t="shared" si="1475"/>
        <v>0</v>
      </c>
      <c r="BK179" s="104">
        <f t="shared" si="1476"/>
        <v>1</v>
      </c>
      <c r="BL179" s="104">
        <f t="shared" si="1477"/>
        <v>0</v>
      </c>
      <c r="BM179" s="104">
        <f t="shared" si="1478"/>
        <v>0</v>
      </c>
      <c r="BN179" s="104">
        <f t="shared" si="1479"/>
        <v>0</v>
      </c>
      <c r="BO179" s="543">
        <f t="shared" si="1480"/>
        <v>0</v>
      </c>
      <c r="BP179" s="111"/>
      <c r="BQ179" s="108">
        <f t="shared" si="1481"/>
        <v>16.559999999999999</v>
      </c>
      <c r="BR179" s="108">
        <f t="shared" si="1482"/>
        <v>2.9763840000000004</v>
      </c>
      <c r="BS179" s="108">
        <f t="shared" si="1483"/>
        <v>0</v>
      </c>
      <c r="BT179" s="112"/>
      <c r="BU179" s="112" t="s">
        <v>1410</v>
      </c>
      <c r="BV179" s="538">
        <f t="shared" si="1175"/>
        <v>5.6005420799999985</v>
      </c>
      <c r="BW179" s="538">
        <f t="shared" si="1176"/>
        <v>3.6623999999999994</v>
      </c>
      <c r="BX179" s="538">
        <f t="shared" si="1177"/>
        <v>1.3923999999999999</v>
      </c>
      <c r="BY179" s="538">
        <f t="shared" si="1484"/>
        <v>1.5291999999999999</v>
      </c>
      <c r="BZ179" s="538">
        <f t="shared" si="1485"/>
        <v>1.5291999999999999</v>
      </c>
      <c r="CA179" s="538">
        <f t="shared" si="1486"/>
        <v>0</v>
      </c>
      <c r="CB179" s="538">
        <f t="shared" si="1487"/>
        <v>0</v>
      </c>
      <c r="CC179" s="538">
        <f t="shared" si="1488"/>
        <v>5.4935999999999989</v>
      </c>
      <c r="CD179" s="538">
        <f t="shared" si="1489"/>
        <v>0.10694207999999959</v>
      </c>
      <c r="CE179" s="538">
        <f t="shared" si="1490"/>
        <v>0</v>
      </c>
      <c r="CF179" s="538">
        <f t="shared" si="1491"/>
        <v>0</v>
      </c>
      <c r="CG179" s="538">
        <f t="shared" si="1492"/>
        <v>0</v>
      </c>
      <c r="CH179" s="538">
        <f t="shared" si="1493"/>
        <v>0</v>
      </c>
      <c r="CI179" s="104">
        <f t="shared" si="1188"/>
        <v>0.252</v>
      </c>
      <c r="CJ179" s="538">
        <f t="shared" si="1494"/>
        <v>3.2192839999999991</v>
      </c>
      <c r="CK179" s="538">
        <f t="shared" si="1190"/>
        <v>3.2192839999999991</v>
      </c>
      <c r="CL179" s="538">
        <f t="shared" si="1495"/>
        <v>0</v>
      </c>
      <c r="CM179" s="538">
        <f t="shared" si="1496"/>
        <v>0</v>
      </c>
      <c r="CN179" s="538">
        <f t="shared" si="1193"/>
        <v>1.68</v>
      </c>
      <c r="CO179" s="538">
        <f t="shared" si="1497"/>
        <v>1.5291999999999999</v>
      </c>
      <c r="CP179" s="538">
        <f t="shared" si="1498"/>
        <v>5.04</v>
      </c>
      <c r="CQ179" s="538">
        <f t="shared" si="1499"/>
        <v>9.811199999999963E-2</v>
      </c>
      <c r="CR179" s="539">
        <f t="shared" si="1197"/>
        <v>0.56606000000000001</v>
      </c>
      <c r="CS179" s="540">
        <f t="shared" si="1198"/>
        <v>3.119568E-2</v>
      </c>
      <c r="CT179" s="540">
        <f t="shared" si="1199"/>
        <v>0.15421000000000001</v>
      </c>
      <c r="CU179" s="541">
        <f t="shared" si="1200"/>
        <v>3.9759199999999999</v>
      </c>
      <c r="CV179" s="538">
        <f t="shared" si="1201"/>
        <v>0.70399679999999998</v>
      </c>
      <c r="CW179" s="538">
        <f t="shared" si="1202"/>
        <v>10.794104000000001</v>
      </c>
      <c r="CX179" s="104">
        <f t="shared" si="1203"/>
        <v>1.68</v>
      </c>
      <c r="CY179" s="542">
        <f t="shared" si="1204"/>
        <v>0.84</v>
      </c>
      <c r="CZ179" s="538">
        <f t="shared" si="1205"/>
        <v>0</v>
      </c>
    </row>
    <row r="180" spans="1:104" ht="37.5" x14ac:dyDescent="0.25">
      <c r="A180" s="100" t="str">
        <f>'BOCA DE LOBO'!C170</f>
        <v>BL70-&gt;PV1-51</v>
      </c>
      <c r="B180" s="100" t="str">
        <f>'BOCA DE LOBO'!A170</f>
        <v>PV1-51</v>
      </c>
      <c r="C180" s="100" t="str">
        <f>VLOOKUP(A180,'BOCA DE LOBO'!C:F,3,0)</f>
        <v>EXISTENTE</v>
      </c>
      <c r="D180" s="100" t="str">
        <f>VLOOKUP(A180,'BOCA DE LOBO'!C:M,10,0)</f>
        <v>AMPLIADA</v>
      </c>
      <c r="E180" s="100">
        <f t="shared" si="1430"/>
        <v>1.6147999999999363</v>
      </c>
      <c r="F180" s="100">
        <f>VLOOKUP(A180,'BOCA DE LOBO'!$C$97:$P$172,2,0)</f>
        <v>1.8199999999999363</v>
      </c>
      <c r="G180" s="100">
        <f>VLOOKUP(A180,'BOCA DE LOBO'!$C$97:$L$172,4,0)</f>
        <v>5.13</v>
      </c>
      <c r="H180" s="101">
        <v>400</v>
      </c>
      <c r="I180" s="102">
        <f t="shared" si="1431"/>
        <v>1.8473999999999364</v>
      </c>
      <c r="J180" s="102">
        <f t="shared" si="1432"/>
        <v>0.47385809999998363</v>
      </c>
      <c r="K180" s="103">
        <v>0</v>
      </c>
      <c r="L180" s="104">
        <f t="shared" si="1433"/>
        <v>0</v>
      </c>
      <c r="M180" s="104">
        <f t="shared" si="1434"/>
        <v>0</v>
      </c>
      <c r="N180" s="104">
        <f t="shared" si="1435"/>
        <v>400</v>
      </c>
      <c r="O180" s="104">
        <f t="shared" si="1436"/>
        <v>0</v>
      </c>
      <c r="P180" s="105" t="s">
        <v>1999</v>
      </c>
      <c r="Q180" s="452" t="s">
        <v>2177</v>
      </c>
      <c r="R180" s="105"/>
      <c r="S180" s="105">
        <v>4</v>
      </c>
      <c r="T180" s="105">
        <v>4</v>
      </c>
      <c r="U180" s="104">
        <f t="shared" si="1437"/>
        <v>0.05</v>
      </c>
      <c r="V180" s="106">
        <f t="shared" si="1438"/>
        <v>0</v>
      </c>
      <c r="W180" s="106">
        <f t="shared" si="1439"/>
        <v>0</v>
      </c>
      <c r="X180" s="107">
        <f t="shared" si="1440"/>
        <v>0</v>
      </c>
      <c r="Y180" s="107">
        <f t="shared" si="1441"/>
        <v>0</v>
      </c>
      <c r="Z180" s="107">
        <f t="shared" si="1442"/>
        <v>1.8473999999999364</v>
      </c>
      <c r="AA180" s="107">
        <f t="shared" si="1443"/>
        <v>0</v>
      </c>
      <c r="AB180" s="108">
        <f t="shared" si="1444"/>
        <v>0</v>
      </c>
      <c r="AC180" s="109">
        <f t="shared" si="1445"/>
        <v>0</v>
      </c>
      <c r="AD180" s="109">
        <f t="shared" si="1446"/>
        <v>0</v>
      </c>
      <c r="AE180" s="109">
        <f t="shared" si="1447"/>
        <v>0</v>
      </c>
      <c r="AF180" s="109">
        <f t="shared" si="1448"/>
        <v>0</v>
      </c>
      <c r="AG180" s="109">
        <f t="shared" si="1449"/>
        <v>0</v>
      </c>
      <c r="AH180" s="109">
        <f t="shared" si="1450"/>
        <v>0</v>
      </c>
      <c r="AI180" s="537" t="str">
        <f t="shared" si="1451"/>
        <v>NÃO</v>
      </c>
      <c r="AJ180" s="104">
        <f t="shared" si="1452"/>
        <v>0</v>
      </c>
      <c r="AK180" s="104">
        <f t="shared" si="1453"/>
        <v>0</v>
      </c>
      <c r="AL180" s="104">
        <f t="shared" si="1454"/>
        <v>0</v>
      </c>
      <c r="AM180" s="102">
        <f t="shared" si="1455"/>
        <v>0</v>
      </c>
      <c r="AN180" s="106">
        <f t="shared" si="1456"/>
        <v>0</v>
      </c>
      <c r="AO180" s="104">
        <f t="shared" si="1457"/>
        <v>0</v>
      </c>
      <c r="AP180" s="104">
        <f t="shared" si="1458"/>
        <v>0</v>
      </c>
      <c r="AQ180" s="104">
        <f t="shared" si="1459"/>
        <v>0.7</v>
      </c>
      <c r="AR180" s="104">
        <f t="shared" si="1460"/>
        <v>0</v>
      </c>
      <c r="AS180" s="104">
        <f t="shared" si="1461"/>
        <v>0</v>
      </c>
      <c r="AT180" s="104">
        <f t="shared" si="1462"/>
        <v>0</v>
      </c>
      <c r="AU180" s="104">
        <f t="shared" si="1463"/>
        <v>0</v>
      </c>
      <c r="AV180" s="104">
        <f t="shared" si="1464"/>
        <v>0</v>
      </c>
      <c r="AW180" s="104">
        <f t="shared" si="1465"/>
        <v>0</v>
      </c>
      <c r="AX180" s="104">
        <f t="shared" si="1466"/>
        <v>0</v>
      </c>
      <c r="AY180" s="104">
        <f t="shared" si="1467"/>
        <v>0</v>
      </c>
      <c r="AZ180" s="104">
        <f t="shared" si="1468"/>
        <v>0</v>
      </c>
      <c r="BA180" s="104">
        <f t="shared" si="1159"/>
        <v>0</v>
      </c>
      <c r="BB180" s="104">
        <f t="shared" si="1469"/>
        <v>0</v>
      </c>
      <c r="BC180" s="104"/>
      <c r="BD180" s="104">
        <f t="shared" si="1470"/>
        <v>0</v>
      </c>
      <c r="BE180" s="108">
        <f t="shared" si="1471"/>
        <v>1.8473999999999364</v>
      </c>
      <c r="BF180" s="110">
        <f t="shared" si="1472"/>
        <v>0</v>
      </c>
      <c r="BG180" s="110">
        <f t="shared" si="1473"/>
        <v>5.13</v>
      </c>
      <c r="BH180" s="105" t="str">
        <f>VLOOKUP(A180,'BOCA DE LOBO'!$C$99:$P$172,7,0)</f>
        <v>BOCA DE LOBO DUPLA EXISTENTE COM BOCA DE LOBO SIMPLES PROJETADA</v>
      </c>
      <c r="BI180" s="104">
        <f t="shared" si="1474"/>
        <v>0</v>
      </c>
      <c r="BJ180" s="104">
        <f t="shared" si="1475"/>
        <v>0</v>
      </c>
      <c r="BK180" s="104">
        <f t="shared" si="1476"/>
        <v>1</v>
      </c>
      <c r="BL180" s="104">
        <f t="shared" si="1477"/>
        <v>0</v>
      </c>
      <c r="BM180" s="104">
        <f t="shared" si="1478"/>
        <v>0</v>
      </c>
      <c r="BN180" s="104">
        <f t="shared" si="1479"/>
        <v>0</v>
      </c>
      <c r="BO180" s="543">
        <f t="shared" si="1480"/>
        <v>0</v>
      </c>
      <c r="BP180" s="111"/>
      <c r="BQ180" s="108">
        <f t="shared" si="1481"/>
        <v>15.39</v>
      </c>
      <c r="BR180" s="108">
        <f t="shared" si="1482"/>
        <v>3.5643239999993477</v>
      </c>
      <c r="BS180" s="108">
        <f t="shared" si="1483"/>
        <v>0</v>
      </c>
      <c r="BT180" s="112"/>
      <c r="BU180" s="112" t="s">
        <v>1410</v>
      </c>
      <c r="BV180" s="538">
        <f t="shared" si="1175"/>
        <v>5.9140435199997654</v>
      </c>
      <c r="BW180" s="538">
        <f t="shared" si="1176"/>
        <v>3.6623999999999994</v>
      </c>
      <c r="BX180" s="538">
        <f t="shared" si="1177"/>
        <v>1.3923999999999999</v>
      </c>
      <c r="BY180" s="538">
        <f t="shared" si="1484"/>
        <v>1.6147999999999363</v>
      </c>
      <c r="BZ180" s="538">
        <f t="shared" si="1485"/>
        <v>1.6147999999999363</v>
      </c>
      <c r="CA180" s="538">
        <f t="shared" si="1486"/>
        <v>0</v>
      </c>
      <c r="CB180" s="538">
        <f t="shared" si="1487"/>
        <v>0</v>
      </c>
      <c r="CC180" s="538">
        <f t="shared" si="1488"/>
        <v>5.4935999999999989</v>
      </c>
      <c r="CD180" s="538">
        <f t="shared" si="1489"/>
        <v>0.42044351999976659</v>
      </c>
      <c r="CE180" s="538">
        <f t="shared" si="1490"/>
        <v>0</v>
      </c>
      <c r="CF180" s="538">
        <f t="shared" si="1491"/>
        <v>0</v>
      </c>
      <c r="CG180" s="538">
        <f t="shared" si="1492"/>
        <v>0</v>
      </c>
      <c r="CH180" s="538">
        <f t="shared" si="1493"/>
        <v>0</v>
      </c>
      <c r="CI180" s="104">
        <f t="shared" si="1188"/>
        <v>0.252</v>
      </c>
      <c r="CJ180" s="538">
        <f t="shared" si="1494"/>
        <v>3.4135959999998544</v>
      </c>
      <c r="CK180" s="538">
        <f t="shared" si="1190"/>
        <v>3.4135959999998544</v>
      </c>
      <c r="CL180" s="538">
        <f t="shared" si="1495"/>
        <v>0</v>
      </c>
      <c r="CM180" s="538">
        <f t="shared" si="1496"/>
        <v>0</v>
      </c>
      <c r="CN180" s="538">
        <f t="shared" si="1193"/>
        <v>1.68</v>
      </c>
      <c r="CO180" s="538">
        <f t="shared" si="1497"/>
        <v>1.6147999999999363</v>
      </c>
      <c r="CP180" s="538">
        <f t="shared" si="1498"/>
        <v>5.04</v>
      </c>
      <c r="CQ180" s="538">
        <f t="shared" si="1499"/>
        <v>0.38572799999978591</v>
      </c>
      <c r="CR180" s="539">
        <f t="shared" si="1197"/>
        <v>0.61313999999996505</v>
      </c>
      <c r="CS180" s="540">
        <f t="shared" si="1198"/>
        <v>3.2941919999998702E-2</v>
      </c>
      <c r="CT180" s="540">
        <f t="shared" si="1199"/>
        <v>0.15421000000000001</v>
      </c>
      <c r="CU180" s="541">
        <f t="shared" si="1200"/>
        <v>4.1984799999998348</v>
      </c>
      <c r="CV180" s="538">
        <f t="shared" si="1201"/>
        <v>0.72145919999998698</v>
      </c>
      <c r="CW180" s="538">
        <f t="shared" si="1202"/>
        <v>11.232375999999675</v>
      </c>
      <c r="CX180" s="104">
        <f t="shared" si="1203"/>
        <v>1.68</v>
      </c>
      <c r="CY180" s="542">
        <f t="shared" si="1204"/>
        <v>0.84</v>
      </c>
      <c r="CZ180" s="538">
        <f t="shared" si="1205"/>
        <v>0</v>
      </c>
    </row>
    <row r="181" spans="1:104" ht="25" x14ac:dyDescent="0.25">
      <c r="A181" s="100" t="str">
        <f>'BOCA DE LOBO'!C171</f>
        <v>BL71-&gt;PV1-52</v>
      </c>
      <c r="B181" s="100" t="str">
        <f>'BOCA DE LOBO'!A171</f>
        <v>PV1-52</v>
      </c>
      <c r="C181" s="100" t="str">
        <f>VLOOKUP(A181,'BOCA DE LOBO'!C:F,3,0)</f>
        <v>EXISTENTE</v>
      </c>
      <c r="D181" s="100" t="str">
        <f>VLOOKUP(A181,'BOCA DE LOBO'!C:M,10,0)</f>
        <v>EXISTENTE</v>
      </c>
      <c r="E181" s="100">
        <f t="shared" ref="E181" si="1668">IF(F181-G181*4%&lt;2.5,F181-G181*4%,2.5)</f>
        <v>1.4091999999999953</v>
      </c>
      <c r="F181" s="100">
        <f>VLOOKUP(A181,'BOCA DE LOBO'!$C$97:$P$172,2,0)</f>
        <v>1.6299999999999955</v>
      </c>
      <c r="G181" s="100">
        <f>VLOOKUP(A181,'BOCA DE LOBO'!$C$97:$L$172,4,0)</f>
        <v>5.52</v>
      </c>
      <c r="H181" s="101">
        <v>400</v>
      </c>
      <c r="I181" s="102">
        <f t="shared" ref="I181" si="1669">IF(H181=400,((E181+F181)/2)+0.08+U181,IF(H181=500,((E181+F181)/2)+0.1+U181,IF(H181=600,((E181+F181)/2)+0.12+U181,IF(H181=800,((E181+F181)/2)+0.16+U181,IF(H181=1000,((E181+F181)/2)+0.2+U181,IF(H181=1200,((E181+F181)/2)+0.24+U181,IF(H181=1500,((E181+F181)/2)+0.3+U181,IF(H181&gt;1500,((E181+F181)/2)+0.4+U181))))))))</f>
        <v>1.6495999999999955</v>
      </c>
      <c r="J181" s="102">
        <f t="shared" ref="J181" si="1670">IF(I181&gt;=1.25,G181*I181/20,0)</f>
        <v>0.45528959999999874</v>
      </c>
      <c r="K181" s="103">
        <v>0</v>
      </c>
      <c r="L181" s="104">
        <f t="shared" ref="L181" si="1671">IF(D181&lt;&gt;"PROJETADA",0,IF(H181=400,1,0)+IF(H181=500,1.2,0)+IF(H181=600,1.4,0)+IF(H181=800,1.7,0)+IF(H181=1000,2,0)+IF(H181=1200,2.2,0)+IF(H181=1500,2.6,0)+IF(H181=1650,3,0)+IF(H181=1800,3.2,0)+IF(H181=2000,3.4,0)+IF(H181=2200,3.6,0)+IF(H181=2400,3.8,0)+IF(H181=2600,4,0)+IF(H181=3000,4.4,0))</f>
        <v>0</v>
      </c>
      <c r="M181" s="104">
        <f t="shared" ref="M181" si="1672">2*K181*I181+L181</f>
        <v>0</v>
      </c>
      <c r="N181" s="104">
        <f t="shared" ref="N181" si="1673">IF(OR(D181="EXISTENTE",D181="AMPLIADA"),400,0)</f>
        <v>400</v>
      </c>
      <c r="O181" s="104">
        <f t="shared" ref="O181" si="1674">IF(P181="TERRENO NATURAL",0,M181*G181)</f>
        <v>0</v>
      </c>
      <c r="P181" s="105" t="s">
        <v>1999</v>
      </c>
      <c r="Q181" s="452" t="s">
        <v>2177</v>
      </c>
      <c r="R181" s="105"/>
      <c r="S181" s="105">
        <v>4</v>
      </c>
      <c r="T181" s="105">
        <v>4</v>
      </c>
      <c r="U181" s="104">
        <f t="shared" ref="U181" si="1675">IF(H181=400,0.05,0)+IF(H181=500,0.05,0)+IF(H181=600,0.1,0)+IF(H181=800,0.1,0)+IF(H181=1000,0.15,0)+IF(H181=1200,0.15,0)+IF(H181=1500,0.2,0)+IF(H181=1650,0.2,0)+IF(H181=1800,0.2,0)+IF(H181=2000,0.25,0)+IF(H181=2200,0.25,0)+IF(H181=2400,0.25,0)+IF(H181=2600,0.25,0)+IF(H181=3000,0.25,0)</f>
        <v>0.05</v>
      </c>
      <c r="V181" s="106">
        <f t="shared" ref="V181" si="1676">IF(L181=0,0,IF("EXISTENTE"=C181,0,IFERROR((PI()*(N181/1000)*(N181/1000)/4)*G181,0)))</f>
        <v>0</v>
      </c>
      <c r="W181" s="106">
        <f t="shared" ref="W181" si="1677">IF(O181=0,0,((((K181*I181)*I181)/2)*2+L181*I181)*G181-V181+AO181)</f>
        <v>0</v>
      </c>
      <c r="X181" s="107">
        <f t="shared" ref="X181" si="1678">W181-SUM(AC181:AJ181)</f>
        <v>0</v>
      </c>
      <c r="Y181" s="107">
        <f t="shared" ref="Y181" si="1679">IF(R181=1,IF(N181=0,I181+0.4,0.4),0)</f>
        <v>0</v>
      </c>
      <c r="Z181" s="107">
        <f t="shared" ref="Z181" si="1680">IF(Y181&gt;0.5,0,IF(S181&lt;I181,S181,I181))</f>
        <v>1.6495999999999955</v>
      </c>
      <c r="AA181" s="107">
        <f t="shared" ref="AA181" si="1681">I181-Z181</f>
        <v>0</v>
      </c>
      <c r="AB181" s="108">
        <f t="shared" ref="AB181" si="1682">IF(P181="ASFALTO",IF(D181="PROJETADA",O181,IF(D181="EXISTENTE",0,O181/2)),0)</f>
        <v>0</v>
      </c>
      <c r="AC181" s="109">
        <f t="shared" ref="AC181" si="1683">IF(Y181=0,0,IF(Y181=0.4,IF(L181&lt;=1.5,IF(Z181+0.4&gt;=1.5,0,L181*G181*0.4),0),IF(L181&lt;=1.5,IF(Y181&gt;=1.5,M181*G181*1.5,L181*G181*(Y181)),0)+IF(S181&lt;I181+0.4,0,IF(AND(Y181&lt;=1.5,L181&lt;=1.5),-V181,0))))</f>
        <v>0</v>
      </c>
      <c r="AD181" s="109">
        <f t="shared" ref="AD181" si="1684">IF(Y181=0,0,IF(Y181=0.4,IF(L181&lt;=1.5,IF(OR(Z181+0.4&gt;=3,Z181+0.4&lt;1.5),0,L181*G181*0.4),0),IF(IF(L181&lt;=1.5,IF(Y181&gt;=3,M181*G181*1.5,L181*G181*(Y181-1.5)),0)&lt;0,0,IF(L181&lt;=1.5,IF(Y181&gt;=3,M181*G181*1.5,L181*G181*(Y181-1.5)),0))+IF(S181&lt;I181+0.4,0,IF(AND(Y181&lt;=3,L181&lt;=1.5),-V181,0))))</f>
        <v>0</v>
      </c>
      <c r="AE181" s="109">
        <f t="shared" ref="AE181" si="1685">IF(Y181=0,0,IF(Y181=0.4,IF(L181&lt;=1.5,IF(OR(Z181+0.4&gt;=4.5,Z181+0.4&lt;3),0,L181*G181*0.4),0),IF(IF(L181&lt;=1.5,IF(Y181&gt;=4.5,M181*G181*1.5,L181*G181*(Y181-3)),0)&lt;0,0,IF(L181&lt;=1.5,IF(Y181&gt;=4.5,M181*G181*1.5,L181*G181*(Y181-3)),0))+IF(S181&lt;I181+0.4,0,IF(AND(Y181&lt;=4.5,L181&lt;=1.5),-V181,0))))</f>
        <v>0</v>
      </c>
      <c r="AF181" s="109">
        <f t="shared" ref="AF181" si="1686">IF(L181&lt;=1.5,IF(Z181&gt;=1.5,M181*G181*1.5,L181*G181*Z181),0)+IF(S181&lt;I181,0,IF(AND(Z181&lt;=1.5,L181&lt;=1.5),-V181,0))-V181</f>
        <v>0</v>
      </c>
      <c r="AG181" s="109">
        <f t="shared" ref="AG181" si="1687">IF(IF(L181&lt;=1.5,IF(Z181&gt;=3,M181*G181*1.5,L181*G181*(Z181-1.5)),0)&lt;0,0,IF(L181&lt;=1.5,IF(Z181&gt;=3,M181*G181*1.5,L181*G181*(Z181-1.5)),0))</f>
        <v>0</v>
      </c>
      <c r="AH181" s="109">
        <f t="shared" ref="AH181" si="1688">IF(IF(L181&lt;=1.5,IF(Z181&gt;=4.5,M181*G181*1.5,L181*G181*(Z181-3)),0)&lt;0,0,IF(L181&lt;=1.5,IF(Z181&gt;=4.5,M181*G181*1.5,L181*G181*(Z181-3)),0))+IF(S181&lt;I181,0,IF(AND(Z181&lt;=4.5,Z181&gt;3,L181&lt;=1.5),-V181,0))</f>
        <v>0</v>
      </c>
      <c r="AI181" s="537" t="str">
        <f t="shared" ref="AI181" si="1689">IF(I181&gt;S181,"SIM","NÃO")</f>
        <v>NÃO</v>
      </c>
      <c r="AJ181" s="104">
        <f t="shared" ref="AJ181" si="1690">W181-SUM(AC181:AH181)</f>
        <v>0</v>
      </c>
      <c r="AK181" s="104">
        <f t="shared" ref="AK181" si="1691">IF(I181-T181&lt;0,0,(I181-T181)*G181)/75</f>
        <v>0</v>
      </c>
      <c r="AL181" s="104">
        <f t="shared" ref="AL181" si="1692">IF(L181=0,0,G181*L181*I181-PI()*(H181/1000)*(H181/1000)/4*G181+AO181)</f>
        <v>0</v>
      </c>
      <c r="AM181" s="102">
        <f t="shared" ref="AM181" si="1693">IF(L181&lt;1.5,L181*G181*IF(H181&lt;=500,0.05,IF(H181&lt;=800,0.1,IF(H181&lt;=1200,0.15,IF(H181&gt;=1500,0.2)))),0)</f>
        <v>0</v>
      </c>
      <c r="AN181" s="106">
        <f t="shared" ref="AN181" si="1694">IF(L181&gt;=1.5,L181*G181*IF(H181&lt;=500,0.05,IF(H181&lt;=800,0.1,IF(H181&lt;=1200,0.15,IF(H181&gt;=1500,0.2)))),0)</f>
        <v>0</v>
      </c>
      <c r="AO181" s="104">
        <f t="shared" ref="AO181" si="1695">IF(R181=1,0.4*G181*L181,0)</f>
        <v>0</v>
      </c>
      <c r="AP181" s="104">
        <f t="shared" ref="AP181" si="1696">IF(AO181&lt;SUM(AF181:AH181),0,AO181)</f>
        <v>0</v>
      </c>
      <c r="AQ181" s="104">
        <f t="shared" ref="AQ181" si="1697">H181/1000+0.3</f>
        <v>0.7</v>
      </c>
      <c r="AR181" s="104">
        <f t="shared" ref="AR181" si="1698">IF(D181&lt;&gt;"PROJETADA",0,AQ181*L181*G181-PI()*(H181/1000*H181/1000)/4*G181)</f>
        <v>0</v>
      </c>
      <c r="AS181" s="104">
        <f t="shared" ref="AS181" si="1699">IF(AR181&lt;SUM(AF181:AH181),0,AR181)</f>
        <v>0</v>
      </c>
      <c r="AT181" s="104">
        <f t="shared" ref="AT181" si="1700">IF(P181="ASFALTO",0.15*G181*L181,0)</f>
        <v>0</v>
      </c>
      <c r="AU181" s="104">
        <f t="shared" ref="AU181" si="1701">AT181</f>
        <v>0</v>
      </c>
      <c r="AV181" s="104">
        <f t="shared" ref="AV181" si="1702">IF(P181="ASFALTO",0.03*G181*L181,0)</f>
        <v>0</v>
      </c>
      <c r="AW181" s="104">
        <f t="shared" ref="AW181" si="1703">AL181-AO181-SUM(AM181:AN181)-AT181-AU181-AR181</f>
        <v>0</v>
      </c>
      <c r="AX181" s="104">
        <f t="shared" ref="AX181" si="1704">SUM(AF181:AH181)-AO181-AT181-AR181</f>
        <v>0</v>
      </c>
      <c r="AY181" s="104">
        <f t="shared" ref="AY181" si="1705">SMALL(AW181:AX181,1)</f>
        <v>0</v>
      </c>
      <c r="AZ181" s="104">
        <f t="shared" ref="AZ181" si="1706">AW181-AY181</f>
        <v>0</v>
      </c>
      <c r="BA181" s="104">
        <f t="shared" si="1159"/>
        <v>0</v>
      </c>
      <c r="BB181" s="104">
        <f t="shared" ref="BB181" si="1707">AZ181-BA181</f>
        <v>0</v>
      </c>
      <c r="BC181" s="104"/>
      <c r="BD181" s="104">
        <f t="shared" ref="BD181" si="1708">IF(AO181&gt;0,4%*(AO181+AT181),0)</f>
        <v>0</v>
      </c>
      <c r="BE181" s="108">
        <f t="shared" ref="BE181" si="1709">IF(H181=400,I181,0)</f>
        <v>1.6495999999999955</v>
      </c>
      <c r="BF181" s="110">
        <f t="shared" ref="BF181" si="1710">IF(BE181&lt;=1.75,AND(BE181&gt;0)*G181,0)</f>
        <v>5.52</v>
      </c>
      <c r="BG181" s="110">
        <f t="shared" ref="BG181" si="1711">IF(BE181&lt;=3,AND(BE181&gt;1.75)*G181,0)</f>
        <v>0</v>
      </c>
      <c r="BH181" s="105" t="str">
        <f>VLOOKUP(A181,'BOCA DE LOBO'!$C$99:$P$172,7,0)</f>
        <v>BOCA DE LOBO EXISTENTE DUPLA</v>
      </c>
      <c r="BI181" s="104">
        <f t="shared" ref="BI181" si="1712">IF(BH181=$BI$107,1,0)</f>
        <v>0</v>
      </c>
      <c r="BJ181" s="104">
        <f t="shared" ref="BJ181" si="1713">IF(BH181=$BJ$107,1,0)</f>
        <v>0</v>
      </c>
      <c r="BK181" s="104">
        <f t="shared" ref="BK181" si="1714">IF(BH181=$BK$107,1,0)</f>
        <v>0</v>
      </c>
      <c r="BL181" s="104">
        <f t="shared" ref="BL181" si="1715">IF(BH181=$BL$107,1,0)</f>
        <v>0</v>
      </c>
      <c r="BM181" s="104">
        <f t="shared" ref="BM181" si="1716">IF(BH181=$BM$107,1,0)</f>
        <v>0</v>
      </c>
      <c r="BN181" s="104">
        <f t="shared" ref="BN181" si="1717">IF(BH181=$BN$107,1,0)</f>
        <v>0</v>
      </c>
      <c r="BO181" s="543">
        <f t="shared" ref="BO181" si="1718">IF(BH181=$BO$107,1,0)</f>
        <v>0</v>
      </c>
      <c r="BP181" s="111"/>
      <c r="BQ181" s="108">
        <f t="shared" ref="BQ181" si="1719">IF(L181&lt;=1.5,IF(I181+IF(R181=1,0.5,0)&lt;1.5,(I181+IF(R181=1,0.5,0))*G181*2,G181*2*1.5),0)</f>
        <v>16.559999999999999</v>
      </c>
      <c r="BR181" s="108">
        <f t="shared" ref="BR181" si="1720">IF(L181&lt;=1.5,IF(AND(I181+IF(R181=1,0.5,0)&lt;3,I181+IF(R181=1,0.5,0)&gt;1.5),(I181+IF(R181=1,0.5,0)-1.5)*G181*2,IF(I181+IF(R181=1,0.5,0)&gt;=3,(G181*2*1.5),0)),0)</f>
        <v>1.6515839999999504</v>
      </c>
      <c r="BS181" s="108">
        <f t="shared" ref="BS181" si="1721">IF(L181&lt;=1.5,IF(AND(I181+IF(R181=1,0.5,0)&lt;4.5,I181+IF(R181=1,0.5,0)&gt;3),(I181+IF(R181=1,0.5,0)-3)*G181*2,IF(I181+IF(R181=1,0.5,0)&gt;=4.5,(G181*2*1.5),0)),0)</f>
        <v>0</v>
      </c>
      <c r="BT181" s="112"/>
      <c r="BU181" s="112" t="s">
        <v>1410</v>
      </c>
      <c r="BV181" s="538">
        <f t="shared" ref="BV181" si="1722">IF(OR("BOCA DE LOBO EXISTENTE TRIPLA"=BH181,"BOCA DE LOBO EXISTENTE SIMPLES"=BH181,"BOCA DE LOBO EXISTENTE DUPLA"=BH181),0,IF("BOCA DE LOBO PROJETADA DUPLA"=BH181,(2.57+1)*(1.18+1),IF(OR("BOCA DE LOBO DUPLA EXISTENTE COM BOCA DE LOBO SIMPLES PROJETADA"=BH181,"BOCA DE LOBO SIMPLES EXISTENTE COM BOCA DE LOBO SIMPLES PROJETADA"=BH181),(1.18+0.5)*(1.18+1),IF(OR(BH181="BOCA DE LOBO DUPLA EXISTENTE COM BOCA DE LOBO DUPLA PROJETADA",BH181="BOCA DE LOBO SIMPLES EXISTENTE COM BOCA DE LOBO DUPLA PROJETADA"),(2.38+0.5)*(1.18+1),IF("BOCA DE LOBO PROJETADA TRIPLA"=BH181,(3.76+1)*(1.18+1),IF("BOCA DE LOBO PROJETADA QUADRUPLA"=BH181,(4.92+1)*(1.18+1),"X"))))))*(E181+IF(CA181&gt;0,0.5,0))</f>
        <v>0</v>
      </c>
      <c r="BW181" s="538">
        <f t="shared" ref="BW181" si="1723">IF(OR("BOCA DE LOBO EXISTENTE TRIPLA"=BH181,"BOCA DE LOBO EXISTENTE SIMPLES"=BH181,"BOCA DE LOBO EXISTENTE DUPLA"=BH181),0,IF("BOCA DE LOBO PROJETADA DUPLA"=BH181,(2.57+1)*(1.18+1),IF(OR("BOCA DE LOBO DUPLA EXISTENTE COM BOCA DE LOBO SIMPLES PROJETADA"=BH181,"BOCA DE LOBO SIMPLES EXISTENTE COM BOCA DE LOBO SIMPLES PROJETADA"=BH181),(1.18+1)*(1.18+0.5),IF(OR(BH181="BOCA DE LOBO DUPLA EXISTENTE COM BOCA DE LOBO DUPLA PROJETADA",BH181="BOCA DE LOBO SIMPLES EXISTENTE COM BOCA DE LOBO DUPLA PROJETADA"),(2.38+0.5)*(1.18+1),IF("BOCA DE LOBO PROJETADA TRIPLA"=BH181,(3.76+0.5*2)*(1.18+1),IF("BOCA DE LOBO PROJETADA QUADRUPLA"=BH181,(4.92+0.5*2)*(1.18+1),"X"))))))</f>
        <v>0</v>
      </c>
      <c r="BX181" s="538">
        <f t="shared" ref="BX181" si="1724">IF(OR("BOCA DE LOBO EXISTENTE TRIPLA"=BH181,"BOCA DE LOBO EXISTENTE SIMPLES"=BH181,"BOCA DE LOBO EXISTENTE DUPLA"=BH181),0,IF("BOCA DE LOBO PROJETADA DUPLA"=BH181,(2.57)*(1.18),IF(OR("BOCA DE LOBO DUPLA EXISTENTE COM BOCA DE LOBO SIMPLES PROJETADA"=BH181,"BOCA DE LOBO SIMPLES EXISTENTE COM BOCA DE LOBO SIMPLES PROJETADA"=BH181),(1.18)*(1.18),IF(OR(BH181="BOCA DE LOBO DUPLA EXISTENTE COM BOCA DE LOBO DUPLA PROJETADA",BH181="BOCA DE LOBO SIMPLES EXISTENTE COM BOCA DE LOBO DUPLA PROJETADA"),(2.38)*(1.18),IF("BOCA DE LOBO PROJETADA TRIPLA"=BH181,(3.76)*(1.18),IF("BOCA DE LOBO PROJETADA QUADRUPLA"=BH181,(4.92)*(1.18),"X"))))))</f>
        <v>0</v>
      </c>
      <c r="BY181" s="538">
        <f t="shared" ref="BY181" si="1725">E181</f>
        <v>1.4091999999999953</v>
      </c>
      <c r="BZ181" s="538">
        <f t="shared" ref="BZ181" si="1726">IF(Y181&gt;0.5,0,IF(S181&lt;E181,S181,E181))</f>
        <v>1.4091999999999953</v>
      </c>
      <c r="CA181" s="538">
        <f t="shared" ref="CA181" si="1727">IF(Y181&gt;0.5,BY181+0.5,Y181)</f>
        <v>0</v>
      </c>
      <c r="CB181" s="538">
        <f t="shared" ref="CB181" si="1728">IF(S181&gt;E181,0,E181-S181)</f>
        <v>0</v>
      </c>
      <c r="CC181" s="538">
        <f t="shared" ref="CC181" si="1729">IF(BZ181&gt;1.5,BW181*1.5,BW181*BZ181)</f>
        <v>0</v>
      </c>
      <c r="CD181" s="538">
        <f t="shared" ref="CD181" si="1730">IF(BZ181&gt;1.5,BW181*(BZ181-1.5),0)</f>
        <v>0</v>
      </c>
      <c r="CE181" s="538">
        <f t="shared" ref="CE181" si="1731">IF(CA181&gt;1.5,BW181*1.5,BW181*CA181)</f>
        <v>0</v>
      </c>
      <c r="CF181" s="538">
        <f t="shared" ref="CF181" si="1732">IF(CA181&gt;1.5,BW181*(CA181-1.5),0)</f>
        <v>0</v>
      </c>
      <c r="CG181" s="538">
        <f t="shared" ref="CG181" si="1733">BV181-SUM(CC181:CF181)</f>
        <v>0</v>
      </c>
      <c r="CH181" s="538">
        <f t="shared" ref="CH181" si="1734">SUM(CC181:CG181)-BV181</f>
        <v>0</v>
      </c>
      <c r="CI181" s="104">
        <f t="shared" ref="CI181" si="1735">IF(OR("BOCA DE LOBO EXISTENTE TRIPLA"=BH181,"BOCA DE LOBO EXISTENTE SIMPLES"=BH181,"BOCA DE LOBO EXISTENTE DUPLA"=BH181),0,IF("BOCA DE LOBO PROJETADA DUPLA"=BH181,(2.57+1)*(0.5),IF(OR("BOCA DE LOBO DUPLA EXISTENTE COM BOCA DE LOBO SIMPLES PROJETADA"=BH181,"BOCA DE LOBO SIMPLES EXISTENTE COM BOCA DE LOBO SIMPLES PROJETADA"=BH181),(1.18+0.5)*(0.5),IF(OR(BH181="BOCA DE LOBO DUPLA EXISTENTE COM BOCA DE LOBO DUPLA PROJETADA",BH181="BOCA DE LOBO SIMPLES EXISTENTE COM BOCA DE LOBO DUPLA PROJETADA"),(2.38+0.5)*(0.5),IF("BOCA DE LOBO PROJETADA TRIPLA"=BH181,(3.76+1)*(0.5),IF("BOCA DE LOBO PROJETADA QUADRUPLA"=BH181,(4.92+1)*(0.5),"X")))))*0.3)</f>
        <v>0</v>
      </c>
      <c r="CJ181" s="538">
        <f t="shared" ref="CJ181" si="1736">(BW181-BX181)*(BY181+IF(CA181&gt;=0.4,0.4,0))-CI181</f>
        <v>0</v>
      </c>
      <c r="CK181" s="538">
        <f t="shared" si="1190"/>
        <v>0</v>
      </c>
      <c r="CL181" s="538">
        <f t="shared" ref="CL181" si="1737">CJ181-CK181</f>
        <v>0</v>
      </c>
      <c r="CM181" s="538">
        <f t="shared" ref="CM181" si="1738">IF(CA181&gt;0,0.5*4%*BW181,0)</f>
        <v>0</v>
      </c>
      <c r="CN181" s="538">
        <f t="shared" ref="CN181" si="1739">IF(OR("BOCA DE LOBO EXISTENTE TRIPLA"=BH181,"BOCA DE LOBO EXISTENTE SIMPLES"=BH181,"BOCA DE LOBO EXISTENTE DUPLA"=BH181),0,IF("BOCA DE LOBO PROJETADA DUPLA"=BH181,(2.57+1),IF(OR("BOCA DE LOBO DUPLA EXISTENTE COM BOCA DE LOBO SIMPLES PROJETADA"=BH181,"BOCA DE LOBO SIMPLES EXISTENTE COM BOCA DE LOBO SIMPLES PROJETADA"=BH181),(1.18+0.5),IF(OR(BH181="BOCA DE LOBO DUPLA EXISTENTE COM BOCA DE LOBO DUPLA PROJETADA",BH181="BOCA DE LOBO SIMPLES EXISTENTE COM BOCA DE LOBO DUPLA PROJETADA"),(2.38+0.5),IF("BOCA DE LOBO PROJETADA TRIPLA"=BH181,(3.76+0.5*2),IF("BOCA DE LOBO PROJETADA QUADRUPLA"=BH181,(4.92+0.5*2),"X"))))))</f>
        <v>0</v>
      </c>
      <c r="CO181" s="538">
        <f t="shared" ref="CO181" si="1740">IF(CA181&gt;0,BY181+0.5,BY181)</f>
        <v>1.4091999999999953</v>
      </c>
      <c r="CP181" s="538">
        <f t="shared" ref="CP181" si="1741">IF(CO181&gt;=1.5,CN181*1.5*2,CN181*CO181*2)</f>
        <v>0</v>
      </c>
      <c r="CQ181" s="538">
        <f t="shared" ref="CQ181" si="1742">IF(CO181&lt;=1.5,0,IF(CO181&gt;=3,CN181*1.5*2,CN181*(CO181-1.5)*2))</f>
        <v>0</v>
      </c>
      <c r="CR181" s="539">
        <f t="shared" ref="CR181" si="1743">IF(D181="AMPLIADA",0.55*(E181-0.5),0)</f>
        <v>0</v>
      </c>
      <c r="CS181" s="540">
        <f t="shared" ref="CS181" si="1744">IF(OR("BOCA DE LOBO EXISTENTE TRIPLA"=BH181,"BOCA DE LOBO EXISTENTE SIMPLES"=BH181,"BOCA DE LOBO EXISTENTE DUPLA"=BH181,"BOCA DE LOBO EXISTENTE QUADRUPLA"=BH181),0,IF("BOCA DE LOBO PROJETADA DUPLA"=BH181,(0),IF(OR("BOCA DE LOBO DUPLA EXISTENTE COM BOCA DE LOBO SIMPLES PROJETADA"=BH181,"BOCA DE LOBO SIMPLES EXISTENTE COM BOCA DE LOBO SIMPLES PROJETADA"=BH181),(0.8*0.15*0.17),IF(OR(BH181="BOCA DE LOBO DUPLA EXISTENTE COM BOCA DE LOBO DUPLA PROJETADA",BH181="BOCA DE LOBO SIMPLES EXISTENTE COM BOCA DE LOBO DUPLA PROJETADA"),(0.8*0.15*0.17),IF("BOCA DE LOBO PROJETADA TRIPLA"=BH181,(0),IF("BOCA DE LOBO PROJETADA QUADRUPLA"=BH181,(0),"X")))))*E181)</f>
        <v>0</v>
      </c>
      <c r="CT181" s="540">
        <f t="shared" ref="CT181" si="1745">IF(OR("BOCA DE LOBO EXISTENTE TRIPLA"=BH181,"BOCA DE LOBO EXISTENTE SIMPLES"=BH181,"BOCA DE LOBO EXISTENTE DUPLA"=BH181,"BOCA DE LOBO EXISTENTE QUADRUPLA"=BH181),0,IF("BOCA DE LOBO PROJETADA DUPLA"=BH181,(1.18*2.57*0.05),IF(OR("BOCA DE LOBO DUPLA EXISTENTE COM BOCA DE LOBO SIMPLES PROJETADA"=BH181,"BOCA DE LOBO SIMPLES EXISTENTE COM BOCA DE LOBO SIMPLES PROJETADA"=BH181),(1.19*1.18*0.05),IF(OR(BH181="BOCA DE LOBO DUPLA EXISTENTE COM BOCA DE LOBO DUPLA PROJETADA",BH181="BOCA DE LOBO SIMPLES EXISTENTE COM BOCA DE LOBO DUPLA PROJETADA"),(2.38*1.18*0.056),IF("BOCA DE LOBO PROJETADA TRIPLA"=BH181,(3.76*1.18*0.05),IF("BOCA DE LOBO PROJETADA QUADRUPLA"=BH181,(4.92*1.18*0.05),"X")))))+CI181/3)</f>
        <v>0</v>
      </c>
      <c r="CU181" s="541">
        <f t="shared" ref="CU181" si="1746">IF(OR("BOCA DE LOBO EXISTENTE TRIPLA"=BH181,"BOCA DE LOBO EXISTENTE SIMPLES"=BH181,"BOCA DE LOBO EXISTENTE DUPLA"=BH181,"BOCA DE LOBO EXISTENTE QUADRUPLA"=BH181),0,IF("BOCA DE LOBO PROJETADA DUPLA"=BH181,(1*4+0.6*2),IF(OR("BOCA DE LOBO DUPLA EXISTENTE COM BOCA DE LOBO SIMPLES PROJETADA"=BH181,"BOCA DE LOBO SIMPLES EXISTENTE COM BOCA DE LOBO SIMPLES PROJETADA"=BH181),(1*2+0.6),IF(OR(BH181="BOCA DE LOBO DUPLA EXISTENTE COM BOCA DE LOBO DUPLA PROJETADA",BH181="BOCA DE LOBO SIMPLES EXISTENTE COM BOCA DE LOBO DUPLA PROJETADA"),(1*4+0.6),IF("BOCA DE LOBO PROJETADA TRIPLA"=BH181,(6*1+0.6*2),IF("BOCA DE LOBO PROJETADA QUADRUPLA"=BH181,(8*1+0.6*2),"X")))))*E181)</f>
        <v>0</v>
      </c>
      <c r="CV181" s="538">
        <f t="shared" ref="CV181" si="1747">IF(OR("BOCA DE LOBO EXISTENTE TRIPLA"=BH181,"BOCA DE LOBO EXISTENTE SIMPLES"=BH181,"BOCA DE LOBO EXISTENTE DUPLA"=BH181,"BOCA DE LOBO EXISTENTE QUADRUPLA"=BH181),0,IF("BOCA DE LOBO PROJETADA DUPLA"=BH181,(12*E181*0.17*0.15+1*0.17*0.15*5+1.09*0.6*0.07*2+2.57*1.18*0.15),IF(OR("BOCA DE LOBO DUPLA EXISTENTE COM BOCA DE LOBO SIMPLES PROJETADA"=BH181,"BOCA DE LOBO SIMPLES EXISTENTE COM BOCA DE LOBO SIMPLES PROJETADA"=BH181),(8*E181*0.17*0.15+1*0.17*0.15*4+1.09*0.6*0.07*1+1.38*1.18*0.15),IF(OR(BH181="BOCA DE LOBO DUPLA EXISTENTE COM BOCA DE LOBO DUPLA PROJETADA",BH181="BOCA DE LOBO SIMPLES EXISTENTE COM BOCA DE LOBO DUPLA PROJETADA"),(7*E181*0.17*0.15+1*0.17*0.15*5+1.09*0.6*0.07*2+2.38*1.18*0.15),IF("BOCA DE LOBO PROJETADA TRIPLA"=BH181,(15*E181*0.17*0.15+1*0.17*0.15*7+1.09*0.6*0.07*3+3.76*1.18*0.15),IF("BOCA DE LOBO PROJETADA QUADRUPLA"=BH181,(19*E181*0.17*0.15+1*0.17*0.15*9+1.09*0.6*0.07*4+4.92*1.18*0.15),"X"))))))</f>
        <v>0</v>
      </c>
      <c r="CW181" s="538">
        <f t="shared" ref="CW181" si="1748">IF(OR("BOCA DE LOBO EXISTENTE TRIPLA"=BH181,"BOCA DE LOBO EXISTENTE SIMPLES"=BH181,"BOCA DE LOBO EXISTENTE DUPLA"=BH181,"BOCA DE LOBO EXISTENTE QUADRUPLA"=BH181),0,IF("BOCA DE LOBO PROJETADA DUPLA"=BH181,(12*E181*2*(0.17+0.15)+1*(2*0.17+0.15)*5+2*(2.57+1.18)*0.15+(1.09+0.6)*2*0.07*2),IF(OR("BOCA DE LOBO DUPLA EXISTENTE COM BOCA DE LOBO SIMPLES PROJETADA"=BH181,"BOCA DE LOBO SIMPLES EXISTENTE COM BOCA DE LOBO SIMPLES PROJETADA"=BH181),(8*E181*2*(0.17+0.15)+1*(2*0.17+0.15)*4+2*(1.38+1.18)*0.15+(1.09+0.6)*2*0.07*1),IF(OR(BH181="BOCA DE LOBO DUPLA EXISTENTE COM BOCA DE LOBO DUPLA PROJETADA",BH181="BOCA DE LOBO SIMPLES EXISTENTE COM BOCA DE LOBO DUPLA PROJETADA"),(7*E181*2*(0.17+0.15)+1*(2*0.17+0.15)*5+2*(2.38+1.18)*0.15+(1.09+0.6)*2*0.07*2),IF("BOCA DE LOBO PROJETADA TRIPLA"=BH181,(15*E181*2*(0.17+0.15)+1*(2*0.17+0.15)*7+2*(3.76+1.18)*0.15+(1.09+0.6)*2*0.07*3),IF("BOCA DE LOBO PROJETADA QUADRUPLA"=BH181,(19*E181*2*(0.17+0.15)+1*(2*0.17+0.15)*7+2*(4.92+1.18)*0.15+(1.09+0.6)*2*0.07*4),"X"))))))</f>
        <v>0</v>
      </c>
      <c r="CX181" s="104">
        <f t="shared" ref="CX181" si="1749">IF(OR("BOCA DE LOBO EXISTENTE TRIPLA"=BH181,"BOCA DE LOBO EXISTENTE SIMPLES"=BH181,"BOCA DE LOBO EXISTENTE DUPLA"=BH181,"BOCA DE LOBO EXISTENTE QUADRUPLA"=BH181),0,IF("BOCA DE LOBO PROJETADA DUPLA"=BH181,(2.57+1),IF(OR("BOCA DE LOBO DUPLA EXISTENTE COM BOCA DE LOBO SIMPLES PROJETADA"=BH181,"BOCA DE LOBO SIMPLES EXISTENTE COM BOCA DE LOBO SIMPLES PROJETADA"=BH181),(1.18+0.5),IF(OR(BH181="BOCA DE LOBO DUPLA EXISTENTE COM BOCA DE LOBO DUPLA PROJETADA",BH181="BOCA DE LOBO SIMPLES EXISTENTE COM BOCA DE LOBO DUPLA PROJETADA"),(2.38+0.5),IF("BOCA DE LOBO PROJETADA TRIPLA"=BH181,(3.76+1),IF("BOCA DE LOBO PROJETADA QUADRUPLA"=BH181,(4.92+1),"X"))))))</f>
        <v>0</v>
      </c>
      <c r="CY181" s="542">
        <f t="shared" ref="CY181" si="1750">CX181*0.5</f>
        <v>0</v>
      </c>
      <c r="CZ181" s="538">
        <f t="shared" ref="CZ181" si="1751">IF(AND(C181="EXISTENTE",D181="PROJETADA"),PI()*0.51*0.51/4*0.12,0)</f>
        <v>0</v>
      </c>
    </row>
    <row r="182" spans="1:104" ht="25" x14ac:dyDescent="0.25">
      <c r="A182" s="100" t="str">
        <f>'BOCA DE LOBO'!C172</f>
        <v>BL72-&gt;PV1-53</v>
      </c>
      <c r="B182" s="100" t="str">
        <f>'BOCA DE LOBO'!A172</f>
        <v>PV1-53</v>
      </c>
      <c r="C182" s="100" t="str">
        <f>VLOOKUP(A182,'BOCA DE LOBO'!C:F,3,0)</f>
        <v>EXISTENTE</v>
      </c>
      <c r="D182" s="100" t="str">
        <f>VLOOKUP(A182,'BOCA DE LOBO'!C:M,10,0)</f>
        <v>PROJETADA</v>
      </c>
      <c r="E182" s="100">
        <f t="shared" si="1430"/>
        <v>1.4948000000000001</v>
      </c>
      <c r="F182" s="100">
        <f>VLOOKUP(A182,'BOCA DE LOBO'!$C$97:$P$172,2,0)</f>
        <v>1.75</v>
      </c>
      <c r="G182" s="100">
        <f>VLOOKUP(A182,'BOCA DE LOBO'!$C$97:$L$172,4,0)</f>
        <v>6.38</v>
      </c>
      <c r="H182" s="101">
        <v>400</v>
      </c>
      <c r="I182" s="102">
        <f t="shared" si="1431"/>
        <v>1.7524000000000002</v>
      </c>
      <c r="J182" s="102">
        <f t="shared" si="1432"/>
        <v>0.55901560000000006</v>
      </c>
      <c r="K182" s="103">
        <v>0</v>
      </c>
      <c r="L182" s="104">
        <f t="shared" si="1433"/>
        <v>1</v>
      </c>
      <c r="M182" s="104">
        <f t="shared" si="1434"/>
        <v>1</v>
      </c>
      <c r="N182" s="104">
        <f t="shared" si="1435"/>
        <v>0</v>
      </c>
      <c r="O182" s="104">
        <f t="shared" si="1436"/>
        <v>6.38</v>
      </c>
      <c r="P182" s="105" t="s">
        <v>1999</v>
      </c>
      <c r="Q182" s="452" t="s">
        <v>2057</v>
      </c>
      <c r="R182" s="105"/>
      <c r="S182" s="105">
        <f>VLOOKUP(Q182,Quantitativos!$P$43:$R$88,3,0)</f>
        <v>3.7</v>
      </c>
      <c r="T182" s="105">
        <f>VLOOKUP(Q182,Quantitativos!$P$43:$S$88,4,0)</f>
        <v>2.5</v>
      </c>
      <c r="U182" s="104">
        <f t="shared" si="1437"/>
        <v>0.05</v>
      </c>
      <c r="V182" s="106">
        <f t="shared" si="1438"/>
        <v>0</v>
      </c>
      <c r="W182" s="106">
        <f t="shared" si="1439"/>
        <v>11.180312000000001</v>
      </c>
      <c r="X182" s="107">
        <f t="shared" si="1440"/>
        <v>0</v>
      </c>
      <c r="Y182" s="107">
        <f t="shared" si="1441"/>
        <v>0</v>
      </c>
      <c r="Z182" s="107">
        <f t="shared" si="1442"/>
        <v>1.7524000000000002</v>
      </c>
      <c r="AA182" s="107">
        <f t="shared" si="1443"/>
        <v>0</v>
      </c>
      <c r="AB182" s="108">
        <f t="shared" si="1444"/>
        <v>6.38</v>
      </c>
      <c r="AC182" s="109">
        <f t="shared" si="1445"/>
        <v>0</v>
      </c>
      <c r="AD182" s="109">
        <f t="shared" si="1446"/>
        <v>0</v>
      </c>
      <c r="AE182" s="109">
        <f t="shared" si="1447"/>
        <v>0</v>
      </c>
      <c r="AF182" s="109">
        <f t="shared" si="1448"/>
        <v>9.57</v>
      </c>
      <c r="AG182" s="109">
        <f t="shared" si="1449"/>
        <v>1.6103120000000011</v>
      </c>
      <c r="AH182" s="109">
        <f t="shared" si="1450"/>
        <v>0</v>
      </c>
      <c r="AI182" s="537" t="str">
        <f t="shared" si="1451"/>
        <v>NÃO</v>
      </c>
      <c r="AJ182" s="104">
        <f t="shared" si="1452"/>
        <v>0</v>
      </c>
      <c r="AK182" s="104">
        <f t="shared" si="1453"/>
        <v>0</v>
      </c>
      <c r="AL182" s="104">
        <f t="shared" si="1454"/>
        <v>10.378577554803886</v>
      </c>
      <c r="AM182" s="102">
        <f t="shared" si="1455"/>
        <v>0.31900000000000001</v>
      </c>
      <c r="AN182" s="106">
        <f t="shared" si="1456"/>
        <v>0</v>
      </c>
      <c r="AO182" s="104">
        <f t="shared" si="1457"/>
        <v>0</v>
      </c>
      <c r="AP182" s="104">
        <f t="shared" si="1458"/>
        <v>0</v>
      </c>
      <c r="AQ182" s="104">
        <f t="shared" si="1459"/>
        <v>0.7</v>
      </c>
      <c r="AR182" s="104">
        <f t="shared" si="1460"/>
        <v>3.6642655548038841</v>
      </c>
      <c r="AS182" s="104">
        <f t="shared" si="1461"/>
        <v>0</v>
      </c>
      <c r="AT182" s="104">
        <f t="shared" si="1462"/>
        <v>0.95699999999999996</v>
      </c>
      <c r="AU182" s="104">
        <f t="shared" si="1463"/>
        <v>0.95699999999999996</v>
      </c>
      <c r="AV182" s="104">
        <f t="shared" si="1464"/>
        <v>0.19139999999999999</v>
      </c>
      <c r="AW182" s="104">
        <f t="shared" si="1465"/>
        <v>4.481312</v>
      </c>
      <c r="AX182" s="104">
        <f t="shared" si="1466"/>
        <v>6.5590464451961159</v>
      </c>
      <c r="AY182" s="104">
        <f t="shared" si="1467"/>
        <v>4.481312</v>
      </c>
      <c r="AZ182" s="104">
        <f t="shared" si="1468"/>
        <v>0</v>
      </c>
      <c r="BA182" s="104">
        <f t="shared" si="1159"/>
        <v>0</v>
      </c>
      <c r="BB182" s="104">
        <f t="shared" si="1469"/>
        <v>0</v>
      </c>
      <c r="BC182" s="104"/>
      <c r="BD182" s="104">
        <f t="shared" si="1470"/>
        <v>0</v>
      </c>
      <c r="BE182" s="108">
        <f t="shared" si="1471"/>
        <v>1.7524000000000002</v>
      </c>
      <c r="BF182" s="110">
        <f t="shared" si="1472"/>
        <v>0</v>
      </c>
      <c r="BG182" s="110">
        <f t="shared" si="1473"/>
        <v>6.38</v>
      </c>
      <c r="BH182" s="105" t="str">
        <f>VLOOKUP(A182,'BOCA DE LOBO'!$C$99:$P$172,7,0)</f>
        <v>BOCA DE LOBO PROJETADA TRIPLA</v>
      </c>
      <c r="BI182" s="104">
        <f t="shared" si="1474"/>
        <v>0</v>
      </c>
      <c r="BJ182" s="104">
        <f t="shared" si="1475"/>
        <v>0</v>
      </c>
      <c r="BK182" s="104">
        <f t="shared" si="1476"/>
        <v>0</v>
      </c>
      <c r="BL182" s="104">
        <f t="shared" si="1477"/>
        <v>0</v>
      </c>
      <c r="BM182" s="104">
        <f t="shared" si="1478"/>
        <v>0</v>
      </c>
      <c r="BN182" s="104">
        <f t="shared" si="1479"/>
        <v>0</v>
      </c>
      <c r="BO182" s="543">
        <f t="shared" si="1480"/>
        <v>1</v>
      </c>
      <c r="BP182" s="111"/>
      <c r="BQ182" s="108">
        <f t="shared" si="1481"/>
        <v>19.14</v>
      </c>
      <c r="BR182" s="108">
        <f t="shared" si="1482"/>
        <v>3.2206240000000022</v>
      </c>
      <c r="BS182" s="108">
        <f t="shared" si="1483"/>
        <v>0</v>
      </c>
      <c r="BT182" s="112"/>
      <c r="BU182" s="112" t="s">
        <v>1410</v>
      </c>
      <c r="BV182" s="538">
        <f t="shared" si="1175"/>
        <v>15.511240639999997</v>
      </c>
      <c r="BW182" s="538">
        <f t="shared" si="1176"/>
        <v>10.376799999999998</v>
      </c>
      <c r="BX182" s="538">
        <f t="shared" si="1177"/>
        <v>4.4367999999999999</v>
      </c>
      <c r="BY182" s="538">
        <f t="shared" si="1484"/>
        <v>1.4948000000000001</v>
      </c>
      <c r="BZ182" s="538">
        <f t="shared" si="1485"/>
        <v>1.4948000000000001</v>
      </c>
      <c r="CA182" s="538">
        <f t="shared" si="1486"/>
        <v>0</v>
      </c>
      <c r="CB182" s="538">
        <f t="shared" si="1487"/>
        <v>0</v>
      </c>
      <c r="CC182" s="538">
        <f t="shared" si="1488"/>
        <v>15.511240639999997</v>
      </c>
      <c r="CD182" s="538">
        <f t="shared" si="1489"/>
        <v>0</v>
      </c>
      <c r="CE182" s="538">
        <f t="shared" si="1490"/>
        <v>0</v>
      </c>
      <c r="CF182" s="538">
        <f t="shared" si="1491"/>
        <v>0</v>
      </c>
      <c r="CG182" s="538">
        <f t="shared" si="1492"/>
        <v>0</v>
      </c>
      <c r="CH182" s="538">
        <f t="shared" si="1493"/>
        <v>0</v>
      </c>
      <c r="CI182" s="104">
        <f t="shared" si="1188"/>
        <v>0.71399999999999997</v>
      </c>
      <c r="CJ182" s="538">
        <f t="shared" si="1494"/>
        <v>8.165111999999997</v>
      </c>
      <c r="CK182" s="538">
        <f t="shared" si="1190"/>
        <v>8.165111999999997</v>
      </c>
      <c r="CL182" s="538">
        <f t="shared" si="1495"/>
        <v>0</v>
      </c>
      <c r="CM182" s="538">
        <f t="shared" si="1496"/>
        <v>0</v>
      </c>
      <c r="CN182" s="538">
        <f t="shared" si="1193"/>
        <v>4.76</v>
      </c>
      <c r="CO182" s="538">
        <f t="shared" si="1497"/>
        <v>1.4948000000000001</v>
      </c>
      <c r="CP182" s="538">
        <f t="shared" si="1498"/>
        <v>14.230496</v>
      </c>
      <c r="CQ182" s="538">
        <f t="shared" si="1499"/>
        <v>0</v>
      </c>
      <c r="CR182" s="539">
        <f t="shared" si="1197"/>
        <v>0</v>
      </c>
      <c r="CS182" s="540">
        <f t="shared" si="1198"/>
        <v>0</v>
      </c>
      <c r="CT182" s="540">
        <f t="shared" si="1199"/>
        <v>0.45984000000000003</v>
      </c>
      <c r="CU182" s="541">
        <f t="shared" si="1200"/>
        <v>10.762560000000001</v>
      </c>
      <c r="CV182" s="538">
        <f t="shared" si="1201"/>
        <v>1.553121</v>
      </c>
      <c r="CW182" s="538">
        <f t="shared" si="1202"/>
        <v>19.971879999999999</v>
      </c>
      <c r="CX182" s="104">
        <f t="shared" si="1203"/>
        <v>4.76</v>
      </c>
      <c r="CY182" s="542">
        <f t="shared" si="1204"/>
        <v>2.38</v>
      </c>
      <c r="CZ182" s="538">
        <f t="shared" si="1205"/>
        <v>2.4513847475961154E-2</v>
      </c>
    </row>
    <row r="183" spans="1:104" ht="13" x14ac:dyDescent="0.3">
      <c r="A183" s="115"/>
      <c r="B183" s="115"/>
      <c r="C183" s="115"/>
      <c r="D183" s="115"/>
      <c r="E183" s="115"/>
      <c r="F183" s="115"/>
      <c r="G183" s="116">
        <f>SUM(G109:G182)</f>
        <v>418.01699999999988</v>
      </c>
      <c r="H183" s="85"/>
      <c r="I183" s="115"/>
      <c r="J183" s="116">
        <f>SUM(J109:J182)</f>
        <v>51.300066090999891</v>
      </c>
      <c r="K183" s="115"/>
      <c r="L183" s="115"/>
      <c r="M183" s="115"/>
      <c r="N183" s="115"/>
      <c r="O183" s="116">
        <f>SUM(O111:O182)</f>
        <v>139.18</v>
      </c>
      <c r="P183" s="115"/>
      <c r="Q183" s="416"/>
      <c r="R183" s="416"/>
      <c r="S183" s="416"/>
      <c r="T183" s="416"/>
      <c r="U183" s="115"/>
      <c r="V183" s="115"/>
      <c r="W183" s="115"/>
      <c r="X183" s="98" t="s">
        <v>2033</v>
      </c>
      <c r="Y183" s="115"/>
      <c r="Z183" s="115"/>
      <c r="AA183" s="115"/>
      <c r="AB183" s="116">
        <f t="shared" ref="AB183:AH183" si="1752">SUM(AB109:AB182)</f>
        <v>150.09000000000003</v>
      </c>
      <c r="AC183" s="330">
        <f t="shared" si="1752"/>
        <v>40.44</v>
      </c>
      <c r="AD183" s="330">
        <f t="shared" si="1752"/>
        <v>31.490201999999996</v>
      </c>
      <c r="AE183" s="330">
        <f t="shared" si="1752"/>
        <v>8.8637999999999977</v>
      </c>
      <c r="AF183" s="330">
        <f t="shared" si="1752"/>
        <v>184.69500000000002</v>
      </c>
      <c r="AG183" s="330">
        <f t="shared" si="1752"/>
        <v>111.99740399999973</v>
      </c>
      <c r="AH183" s="330">
        <f t="shared" si="1752"/>
        <v>2.2992499999999061</v>
      </c>
      <c r="AI183" s="330"/>
      <c r="AJ183" s="330">
        <f t="shared" ref="AJ183:AP183" si="1753">SUM(AJ109:AJ182)</f>
        <v>6.599891999999997</v>
      </c>
      <c r="AK183" s="330">
        <f t="shared" si="1753"/>
        <v>1.022238</v>
      </c>
      <c r="AL183" s="330">
        <f t="shared" si="1753"/>
        <v>367.52468234490789</v>
      </c>
      <c r="AM183" s="330">
        <f t="shared" si="1753"/>
        <v>7.5045000000000002</v>
      </c>
      <c r="AN183" s="330">
        <f t="shared" si="1753"/>
        <v>0</v>
      </c>
      <c r="AO183" s="330">
        <f t="shared" si="1753"/>
        <v>10.783999999999999</v>
      </c>
      <c r="AP183" s="330">
        <f t="shared" si="1753"/>
        <v>10.783999999999999</v>
      </c>
      <c r="AQ183" s="330"/>
      <c r="AR183" s="330">
        <f t="shared" ref="AR183:BB183" si="1754">SUM(AR109:AR182)</f>
        <v>86.202134344908316</v>
      </c>
      <c r="AS183" s="330">
        <f t="shared" si="1754"/>
        <v>15.484106482368764</v>
      </c>
      <c r="AT183" s="330">
        <f t="shared" si="1754"/>
        <v>22.513499999999997</v>
      </c>
      <c r="AU183" s="330">
        <f t="shared" si="1754"/>
        <v>22.513499999999997</v>
      </c>
      <c r="AV183" s="330">
        <f t="shared" si="1754"/>
        <v>4.5026999999999999</v>
      </c>
      <c r="AW183" s="330">
        <f t="shared" si="1754"/>
        <v>218.00704799999957</v>
      </c>
      <c r="AX183" s="330">
        <f t="shared" si="1754"/>
        <v>179.49201965509135</v>
      </c>
      <c r="AY183" s="330">
        <f t="shared" si="1754"/>
        <v>145.74353592882994</v>
      </c>
      <c r="AZ183" s="330">
        <f t="shared" si="1754"/>
        <v>72.263512071169671</v>
      </c>
      <c r="BA183" s="330">
        <f t="shared" si="1754"/>
        <v>33.748483726261455</v>
      </c>
      <c r="BB183" s="330">
        <f t="shared" si="1754"/>
        <v>38.515028344908217</v>
      </c>
      <c r="BC183" s="330">
        <f>SUM(AC183:AE183)+QUANTBL!BA102+AJ183</f>
        <v>87.393893999999989</v>
      </c>
      <c r="BD183" s="330">
        <f>SUM(BD109:BD182)</f>
        <v>0.59311999999999998</v>
      </c>
      <c r="BE183" s="935">
        <v>400</v>
      </c>
      <c r="BF183" s="926"/>
      <c r="BG183" s="936"/>
      <c r="BH183" s="124">
        <f t="shared" ref="BH183:BO183" si="1755">SUM(BH109:BH182)</f>
        <v>0</v>
      </c>
      <c r="BI183" s="115">
        <f t="shared" si="1755"/>
        <v>14</v>
      </c>
      <c r="BJ183" s="115">
        <f t="shared" si="1755"/>
        <v>0</v>
      </c>
      <c r="BK183" s="115">
        <f t="shared" si="1755"/>
        <v>22</v>
      </c>
      <c r="BL183" s="115">
        <f t="shared" si="1755"/>
        <v>0</v>
      </c>
      <c r="BM183" s="115">
        <f t="shared" si="1755"/>
        <v>0</v>
      </c>
      <c r="BN183" s="115">
        <f t="shared" si="1755"/>
        <v>1</v>
      </c>
      <c r="BO183" s="115">
        <f t="shared" si="1755"/>
        <v>24</v>
      </c>
      <c r="BP183" s="115"/>
      <c r="BQ183" s="116">
        <f>SUM(BQ109:BQ182)</f>
        <v>1252.7588636400014</v>
      </c>
      <c r="BR183" s="116">
        <f>SUM(BR109:BR182)</f>
        <v>789.81314999999472</v>
      </c>
      <c r="BS183" s="116">
        <f>SUM(BS109:BS182)</f>
        <v>45.650629999999794</v>
      </c>
      <c r="BT183" s="115"/>
      <c r="BU183" s="115"/>
      <c r="BV183" s="115"/>
      <c r="BW183" s="115"/>
      <c r="BX183" s="115"/>
      <c r="BY183" s="115"/>
      <c r="BZ183" s="115"/>
      <c r="CA183" s="115"/>
      <c r="CB183" s="115"/>
      <c r="CC183" s="124">
        <f>SUM(CC109:CC182)</f>
        <v>568.18015276800077</v>
      </c>
      <c r="CD183" s="124">
        <f>SUM(CD109:CD182)</f>
        <v>253.41059455999871</v>
      </c>
      <c r="CE183" s="124">
        <f>SUM(CE109:CE182)</f>
        <v>62.260799999999989</v>
      </c>
      <c r="CF183" s="124">
        <f>SUM(CF109:CF182)</f>
        <v>48.592479039999994</v>
      </c>
      <c r="CG183" s="124">
        <f>SUM(CG109:CG182)</f>
        <v>1.4649600000000014</v>
      </c>
      <c r="CH183" s="115"/>
      <c r="CI183" s="115"/>
      <c r="CJ183" s="124">
        <f>SUM(CJ109:CJ182)</f>
        <v>507.96368639999946</v>
      </c>
      <c r="CK183" s="124">
        <f>SUM(CK109:CK182)</f>
        <v>507.96368639999946</v>
      </c>
      <c r="CL183" s="124">
        <f>SUM(CL109:CL182)</f>
        <v>0</v>
      </c>
      <c r="CM183" s="124">
        <f>SUM(CM109:CM182)</f>
        <v>0.83014399999999977</v>
      </c>
      <c r="CN183" s="112"/>
      <c r="CO183" s="112"/>
      <c r="CP183" s="124">
        <f t="shared" ref="CP183:CY183" si="1756">SUM(CP109:CP182)</f>
        <v>578.38619520000043</v>
      </c>
      <c r="CQ183" s="124">
        <f t="shared" si="1756"/>
        <v>278.41103999999899</v>
      </c>
      <c r="CR183" s="124">
        <f t="shared" si="1756"/>
        <v>30.958136000000021</v>
      </c>
      <c r="CS183" s="124">
        <f t="shared" si="1756"/>
        <v>1.5345190080000013</v>
      </c>
      <c r="CT183" s="563">
        <f t="shared" si="1756"/>
        <v>18.976695600000003</v>
      </c>
      <c r="CU183" s="124">
        <f t="shared" si="1756"/>
        <v>643.00227199999938</v>
      </c>
      <c r="CV183" s="564">
        <f t="shared" si="1756"/>
        <v>77.23203402</v>
      </c>
      <c r="CW183" s="564">
        <f t="shared" si="1756"/>
        <v>1148.9436655999993</v>
      </c>
      <c r="CX183" s="564">
        <f t="shared" si="1756"/>
        <v>195.09000000000012</v>
      </c>
      <c r="CY183" s="564">
        <f t="shared" si="1756"/>
        <v>97.545000000000059</v>
      </c>
    </row>
    <row r="184" spans="1:104" ht="13" x14ac:dyDescent="0.3">
      <c r="A184" s="115"/>
      <c r="B184" s="115"/>
      <c r="C184" s="115"/>
      <c r="D184" s="115"/>
      <c r="E184" s="115"/>
      <c r="F184" s="115"/>
      <c r="G184" s="115"/>
      <c r="H184" s="85"/>
      <c r="I184" s="115"/>
      <c r="J184" s="115"/>
      <c r="K184" s="115"/>
      <c r="L184" s="115"/>
      <c r="M184" s="115"/>
      <c r="N184" s="115"/>
      <c r="O184" s="115"/>
      <c r="P184" s="115"/>
      <c r="Q184" s="416"/>
      <c r="R184" s="416"/>
      <c r="S184" s="416"/>
      <c r="T184" s="416"/>
      <c r="U184" s="115"/>
      <c r="V184" s="115"/>
      <c r="W184" s="115"/>
      <c r="X184" s="115"/>
      <c r="Y184" s="115"/>
      <c r="Z184" s="115"/>
      <c r="AA184" s="115"/>
      <c r="AB184" s="117">
        <f>IF(P184="ASFALTO",M184*G183,0)</f>
        <v>0</v>
      </c>
      <c r="AC184" s="566"/>
      <c r="AD184" s="566"/>
      <c r="AE184" s="566"/>
      <c r="AF184" s="118"/>
      <c r="AG184" s="118"/>
      <c r="AH184" s="118"/>
      <c r="AI184" s="119"/>
      <c r="AJ184" s="115"/>
      <c r="AK184" s="115"/>
      <c r="AL184" s="115"/>
      <c r="AM184" s="115"/>
      <c r="AN184" s="115"/>
      <c r="AO184" s="115"/>
      <c r="AP184" s="115"/>
      <c r="AQ184" s="115"/>
      <c r="AR184" s="115"/>
      <c r="AS184" s="115"/>
      <c r="AT184" s="115"/>
      <c r="AU184" s="115"/>
      <c r="AV184" s="115"/>
      <c r="AW184" s="104"/>
      <c r="AX184" s="115"/>
      <c r="AY184" s="115"/>
      <c r="AZ184" s="115" t="s">
        <v>2034</v>
      </c>
      <c r="BA184" s="121">
        <f>SUM(AF183:AH183)</f>
        <v>298.9916539999997</v>
      </c>
      <c r="BB184" s="122" t="s">
        <v>2035</v>
      </c>
      <c r="BC184" s="123">
        <f>SUM(AJ183)</f>
        <v>6.599891999999997</v>
      </c>
      <c r="BD184" s="118"/>
      <c r="BE184" s="81" t="s">
        <v>2036</v>
      </c>
      <c r="BF184" s="256" t="s">
        <v>2037</v>
      </c>
      <c r="BG184" s="256" t="s">
        <v>2038</v>
      </c>
      <c r="BH184" s="567"/>
      <c r="BI184" s="115"/>
      <c r="BJ184" s="115"/>
      <c r="BK184" s="115"/>
      <c r="BL184" s="115"/>
      <c r="BM184" s="115"/>
      <c r="BN184" s="115"/>
      <c r="BO184" s="115"/>
      <c r="BP184" s="115"/>
      <c r="BQ184" s="115"/>
      <c r="BR184" s="115"/>
      <c r="BS184" s="115"/>
      <c r="BT184" s="115"/>
      <c r="BU184" s="115"/>
      <c r="BV184" s="115"/>
      <c r="BW184" s="115"/>
      <c r="BX184" s="115"/>
      <c r="BY184" s="115"/>
      <c r="BZ184" s="115"/>
      <c r="CA184" s="115"/>
      <c r="CB184" s="115"/>
      <c r="CC184" s="115"/>
      <c r="CD184" s="115"/>
      <c r="CE184" s="115"/>
      <c r="CF184" s="115"/>
      <c r="CG184" s="115"/>
      <c r="CH184" s="115"/>
      <c r="CI184" s="115"/>
      <c r="CJ184" s="115"/>
      <c r="CK184" s="115"/>
      <c r="CL184" s="115"/>
      <c r="CM184" s="115"/>
      <c r="CN184" s="115"/>
      <c r="CO184" s="115"/>
      <c r="CP184" s="115"/>
      <c r="CQ184" s="115"/>
      <c r="CR184" s="115"/>
      <c r="CS184" s="115"/>
      <c r="CT184" s="115"/>
      <c r="CU184" s="115"/>
      <c r="CV184" s="115"/>
      <c r="CW184" s="115"/>
      <c r="CX184" s="115"/>
      <c r="CY184" s="115"/>
    </row>
    <row r="185" spans="1:104" ht="52" x14ac:dyDescent="0.3">
      <c r="A185" s="115"/>
      <c r="B185" s="115"/>
      <c r="C185" s="115"/>
      <c r="D185" s="115"/>
      <c r="E185" s="115"/>
      <c r="F185" s="115"/>
      <c r="G185" s="115"/>
      <c r="H185" s="85"/>
      <c r="I185" s="115"/>
      <c r="J185" s="115"/>
      <c r="K185" s="115"/>
      <c r="L185" s="115"/>
      <c r="M185" s="115"/>
      <c r="N185" s="115"/>
      <c r="O185" s="115"/>
      <c r="P185" s="115"/>
      <c r="Q185" s="416"/>
      <c r="R185" s="416"/>
      <c r="S185" s="416"/>
      <c r="T185" s="416"/>
      <c r="U185" s="115"/>
      <c r="V185" s="115"/>
      <c r="W185" s="115"/>
      <c r="X185" s="115"/>
      <c r="Y185" s="115"/>
      <c r="Z185" s="115"/>
      <c r="AA185" s="115"/>
      <c r="AB185" s="117">
        <f>IF(P185="ASFALTO",M185*G185,0)</f>
        <v>0</v>
      </c>
      <c r="AC185" s="566"/>
      <c r="AD185" s="566"/>
      <c r="AE185" s="566"/>
      <c r="AF185" s="118"/>
      <c r="AG185" s="118"/>
      <c r="AH185" s="118"/>
      <c r="AI185" s="115"/>
      <c r="AJ185" s="115"/>
      <c r="AK185" s="115"/>
      <c r="AL185" s="115"/>
      <c r="AM185" s="115"/>
      <c r="AN185" s="115"/>
      <c r="AO185" s="115"/>
      <c r="AP185" s="115"/>
      <c r="AQ185" s="115"/>
      <c r="AR185" s="115"/>
      <c r="AS185" s="115"/>
      <c r="AT185" s="115"/>
      <c r="AU185" s="115"/>
      <c r="AV185" s="115"/>
      <c r="AW185" s="115"/>
      <c r="AX185" s="115"/>
      <c r="AY185" s="115"/>
      <c r="AZ185" s="124" t="s">
        <v>2042</v>
      </c>
      <c r="BA185" s="125">
        <f>BA184-AY183-AO183-AT183-AR183</f>
        <v>33.748483726261455</v>
      </c>
      <c r="BB185" s="126" t="s">
        <v>2043</v>
      </c>
      <c r="BC185" s="126">
        <f>QUANTBL!BA102+SUM(AC183:AE183)</f>
        <v>80.794001999999992</v>
      </c>
      <c r="BD185" s="118"/>
      <c r="BE185" s="127"/>
      <c r="BF185" s="128">
        <f>SUM(BF109:BF182)</f>
        <v>63.966999999999999</v>
      </c>
      <c r="BG185" s="128">
        <f>SUM(BG109:BG182)</f>
        <v>265.87</v>
      </c>
      <c r="BH185" s="567"/>
      <c r="BI185" s="115"/>
      <c r="BJ185" s="115"/>
      <c r="BK185" s="115"/>
      <c r="BL185" s="115"/>
      <c r="BM185" s="115"/>
      <c r="BN185" s="115"/>
      <c r="BO185" s="115"/>
      <c r="BP185" s="115"/>
      <c r="BQ185" s="115"/>
      <c r="BR185" s="115"/>
      <c r="BS185" s="115"/>
      <c r="BT185" s="115"/>
      <c r="BU185" s="115"/>
      <c r="BV185" s="115"/>
      <c r="BW185" s="115"/>
      <c r="BX185" s="115"/>
      <c r="BY185" s="115"/>
      <c r="BZ185" s="115"/>
      <c r="CA185" s="115"/>
      <c r="CB185" s="115"/>
      <c r="CC185" s="115"/>
      <c r="CD185" s="115"/>
      <c r="CE185" s="115"/>
      <c r="CF185" s="115"/>
      <c r="CG185" s="115"/>
      <c r="CH185" s="115"/>
      <c r="CI185" s="115"/>
      <c r="CJ185" s="124" t="s">
        <v>2168</v>
      </c>
      <c r="CK185" s="115">
        <f>SUM(CC183:CD183)</f>
        <v>821.59074732799945</v>
      </c>
      <c r="CL185" s="122" t="s">
        <v>2035</v>
      </c>
      <c r="CM185" s="115">
        <f>CG183</f>
        <v>1.4649600000000014</v>
      </c>
      <c r="CN185" s="115"/>
      <c r="CO185" s="115"/>
      <c r="CP185" s="112"/>
      <c r="CQ185" s="115"/>
      <c r="CR185" s="115"/>
      <c r="CS185" s="115"/>
      <c r="CT185" s="115"/>
      <c r="CU185" s="115"/>
      <c r="CV185" s="115"/>
      <c r="CW185" s="115"/>
      <c r="CX185" s="115"/>
      <c r="CY185" s="115"/>
    </row>
    <row r="186" spans="1:104" ht="13" x14ac:dyDescent="0.3">
      <c r="A186" s="115"/>
      <c r="B186" s="115"/>
      <c r="C186" s="115"/>
      <c r="D186" s="115"/>
      <c r="E186" s="115"/>
      <c r="F186" s="115"/>
      <c r="G186" s="115"/>
      <c r="H186" s="85"/>
      <c r="I186" s="115"/>
      <c r="J186" s="115"/>
      <c r="K186" s="115"/>
      <c r="L186" s="115"/>
      <c r="M186" s="115"/>
      <c r="N186" s="115"/>
      <c r="O186" s="115"/>
      <c r="P186" s="115"/>
      <c r="Q186" s="416"/>
      <c r="R186" s="416"/>
      <c r="S186" s="416"/>
      <c r="T186" s="416"/>
      <c r="U186" s="115"/>
      <c r="V186" s="115"/>
      <c r="W186" s="115"/>
      <c r="X186" s="115"/>
      <c r="Y186" s="115"/>
      <c r="Z186" s="115"/>
      <c r="AA186" s="115"/>
      <c r="AB186" s="118"/>
      <c r="AC186" s="566"/>
      <c r="AD186" s="566"/>
      <c r="AE186" s="566"/>
      <c r="AF186" s="118"/>
      <c r="AG186" s="118"/>
      <c r="AH186" s="118"/>
      <c r="AI186" s="115"/>
      <c r="AJ186" s="115"/>
      <c r="AK186" s="115"/>
      <c r="AL186" s="115"/>
      <c r="AM186" s="115"/>
      <c r="AN186" s="115"/>
      <c r="AO186" s="115"/>
      <c r="AP186" s="115"/>
      <c r="AQ186" s="115"/>
      <c r="AR186" s="115"/>
      <c r="AS186" s="115"/>
      <c r="AT186" s="115"/>
      <c r="AU186" s="115"/>
      <c r="AV186" s="115"/>
      <c r="AW186" s="330"/>
      <c r="AX186" s="115"/>
      <c r="AY186" s="115"/>
      <c r="AZ186" s="124" t="s">
        <v>2178</v>
      </c>
      <c r="BA186" s="129">
        <f>BB183</f>
        <v>38.515028344908217</v>
      </c>
      <c r="BB186" s="126"/>
      <c r="BC186" s="118"/>
      <c r="BD186" s="118"/>
      <c r="BE186" s="127"/>
      <c r="BF186" s="130"/>
      <c r="BG186" s="131"/>
      <c r="BH186" s="567"/>
      <c r="BI186" s="115"/>
      <c r="BJ186" s="115"/>
      <c r="BK186" s="115"/>
      <c r="BL186" s="115"/>
      <c r="BM186" s="115"/>
      <c r="BN186" s="115"/>
      <c r="BO186" s="115"/>
      <c r="BP186" s="115"/>
      <c r="BQ186" s="115"/>
      <c r="BR186" s="115"/>
      <c r="BS186" s="115"/>
      <c r="BT186" s="115"/>
      <c r="BU186" s="115"/>
      <c r="BV186" s="115"/>
      <c r="BW186" s="115"/>
      <c r="BX186" s="115"/>
      <c r="BY186" s="115"/>
      <c r="BZ186" s="115"/>
      <c r="CA186" s="115"/>
      <c r="CB186" s="115"/>
      <c r="CC186" s="115"/>
      <c r="CD186" s="115"/>
      <c r="CE186" s="115"/>
      <c r="CF186" s="115"/>
      <c r="CG186" s="115"/>
      <c r="CH186" s="115"/>
      <c r="CI186" s="115"/>
      <c r="CJ186" s="115" t="s">
        <v>2170</v>
      </c>
      <c r="CK186" s="115">
        <f>CL183</f>
        <v>0</v>
      </c>
      <c r="CL186" s="126" t="s">
        <v>2043</v>
      </c>
      <c r="CM186" s="115">
        <f>CK187+SUM(CE183:CF183)</f>
        <v>424.48033996799995</v>
      </c>
      <c r="CN186" s="115"/>
      <c r="CO186" s="115"/>
      <c r="CP186" s="112"/>
      <c r="CQ186" s="115"/>
      <c r="CR186" s="115"/>
      <c r="CS186" s="115"/>
      <c r="CT186" s="115"/>
      <c r="CU186" s="115"/>
      <c r="CV186" s="115"/>
      <c r="CW186" s="115"/>
      <c r="CX186" s="115"/>
      <c r="CY186" s="115"/>
    </row>
    <row r="187" spans="1:104" ht="13" x14ac:dyDescent="0.3">
      <c r="CJ187" s="115" t="s">
        <v>2045</v>
      </c>
      <c r="CK187" s="115">
        <f>CK185-CK183</f>
        <v>313.62706092799999</v>
      </c>
    </row>
    <row r="195" spans="1:104" x14ac:dyDescent="0.25">
      <c r="H195" s="73"/>
      <c r="P195" s="73"/>
      <c r="Q195" s="73"/>
      <c r="R195" s="73"/>
      <c r="S195" s="73"/>
      <c r="T195" s="73"/>
      <c r="AC195" s="73"/>
      <c r="AD195" s="73"/>
      <c r="AE195" s="73"/>
      <c r="BH195" s="73"/>
    </row>
    <row r="196" spans="1:104" ht="16" thickBot="1" x14ac:dyDescent="0.35">
      <c r="F196" s="74"/>
      <c r="G196" s="74"/>
      <c r="H196" s="74"/>
      <c r="I196" s="74"/>
      <c r="J196" s="74"/>
      <c r="K196" s="74"/>
      <c r="L196" s="74"/>
      <c r="M196" s="74"/>
      <c r="N196" s="74"/>
      <c r="O196" s="74"/>
      <c r="P196" s="74"/>
      <c r="Q196" s="74"/>
      <c r="R196" s="74"/>
      <c r="S196" s="74"/>
      <c r="T196" s="74"/>
      <c r="U196" s="74"/>
      <c r="V196" s="74"/>
      <c r="W196" s="74"/>
      <c r="X196" s="74"/>
      <c r="Y196" s="74"/>
      <c r="Z196" s="74"/>
      <c r="AA196" s="74"/>
      <c r="AB196" s="74"/>
      <c r="AC196" s="74"/>
      <c r="AD196" s="74"/>
      <c r="AE196" s="74"/>
      <c r="AF196" s="74"/>
      <c r="AG196" s="74"/>
      <c r="AH196" s="74"/>
      <c r="AI196" s="75"/>
      <c r="AJ196" s="73" t="s">
        <v>2116</v>
      </c>
      <c r="BV196" s="945" t="s">
        <v>1813</v>
      </c>
      <c r="BW196" s="945"/>
      <c r="BX196" s="945"/>
      <c r="BY196" s="945"/>
      <c r="BZ196" s="945"/>
      <c r="CA196" s="945"/>
      <c r="CB196" s="945"/>
      <c r="CC196" s="945"/>
      <c r="CD196" s="945"/>
      <c r="CE196" s="945"/>
      <c r="CF196" s="945"/>
      <c r="CG196" s="945"/>
      <c r="CH196" s="945"/>
      <c r="CI196" s="945"/>
      <c r="CJ196" s="945"/>
      <c r="CK196" s="945"/>
      <c r="CL196" s="945"/>
      <c r="CM196" s="945"/>
      <c r="CN196" s="945"/>
      <c r="CO196" s="945"/>
      <c r="CP196" s="945"/>
      <c r="CQ196" s="945"/>
    </row>
    <row r="197" spans="1:104" ht="13.5" customHeight="1" thickBot="1" x14ac:dyDescent="0.35">
      <c r="A197" s="73" t="s">
        <v>1622</v>
      </c>
      <c r="B197" s="76"/>
      <c r="C197" s="76"/>
      <c r="D197" s="76"/>
      <c r="E197" s="76"/>
      <c r="F197" s="76"/>
      <c r="G197" s="76"/>
      <c r="H197" s="77"/>
      <c r="I197" s="76"/>
      <c r="J197" s="76"/>
      <c r="K197" s="76"/>
      <c r="L197" s="76"/>
      <c r="M197" s="76"/>
      <c r="N197" s="76"/>
      <c r="O197" s="76"/>
      <c r="P197" s="78"/>
      <c r="Q197" s="78"/>
      <c r="R197" s="78"/>
      <c r="S197" s="78"/>
      <c r="T197" s="78"/>
      <c r="U197" s="76"/>
      <c r="V197" s="76"/>
      <c r="W197" s="924" t="s">
        <v>1938</v>
      </c>
      <c r="X197" s="925"/>
      <c r="Y197" s="925"/>
      <c r="Z197" s="925"/>
      <c r="AA197" s="925"/>
      <c r="AB197" s="925"/>
      <c r="AC197" s="925"/>
      <c r="AD197" s="925"/>
      <c r="AE197" s="925"/>
      <c r="AF197" s="925"/>
      <c r="AG197" s="925"/>
      <c r="AH197" s="925"/>
      <c r="AI197" s="79"/>
      <c r="AJ197" s="79"/>
      <c r="AK197" s="79"/>
      <c r="AL197" s="79"/>
      <c r="AM197" s="76"/>
      <c r="AN197" s="76"/>
      <c r="AO197" s="79" t="s">
        <v>2118</v>
      </c>
      <c r="AP197" s="79"/>
      <c r="AQ197" s="79"/>
      <c r="AR197" s="79"/>
      <c r="AS197" s="79"/>
      <c r="AT197" s="79"/>
      <c r="AU197" s="79"/>
      <c r="AV197" s="79"/>
      <c r="AW197" s="76"/>
      <c r="AX197" s="76"/>
      <c r="AY197" s="76"/>
      <c r="AZ197" s="76"/>
      <c r="BA197" s="76"/>
      <c r="BB197" s="76"/>
      <c r="BC197" s="76"/>
      <c r="BD197" s="76"/>
      <c r="BE197" s="926" t="s">
        <v>1942</v>
      </c>
      <c r="BF197" s="926"/>
      <c r="BG197" s="926"/>
      <c r="BH197" s="78"/>
      <c r="BI197" s="927" t="s">
        <v>451</v>
      </c>
      <c r="BJ197" s="925"/>
      <c r="BK197" s="925"/>
      <c r="BL197" s="925"/>
      <c r="BM197" s="925"/>
      <c r="BN197" s="925"/>
      <c r="BO197" s="925"/>
      <c r="BP197" s="76"/>
      <c r="BQ197" s="928" t="s">
        <v>1945</v>
      </c>
      <c r="BR197" s="929"/>
      <c r="BS197" s="929"/>
      <c r="BV197" s="127"/>
      <c r="BW197" s="127"/>
      <c r="BX197" s="127"/>
      <c r="BY197" s="127"/>
      <c r="BZ197" s="127"/>
      <c r="CA197" s="127"/>
      <c r="CB197" s="127"/>
      <c r="CC197" s="127"/>
      <c r="CD197" s="127"/>
      <c r="CE197" s="127"/>
      <c r="CF197" s="127"/>
      <c r="CG197" s="127"/>
      <c r="CH197" s="127"/>
      <c r="CI197" s="127"/>
      <c r="CJ197" s="127"/>
      <c r="CK197" s="127"/>
      <c r="CL197" s="127"/>
      <c r="CM197" s="127"/>
      <c r="CN197" s="127"/>
      <c r="CO197" s="127"/>
      <c r="CP197" s="931" t="s">
        <v>1945</v>
      </c>
      <c r="CQ197" s="931"/>
      <c r="CR197" s="946" t="s">
        <v>2171</v>
      </c>
      <c r="CS197" s="939" t="s">
        <v>2120</v>
      </c>
      <c r="CT197" s="939" t="s">
        <v>1921</v>
      </c>
      <c r="CU197" s="939" t="s">
        <v>2121</v>
      </c>
      <c r="CV197" s="939" t="s">
        <v>2122</v>
      </c>
      <c r="CW197" s="939" t="s">
        <v>2123</v>
      </c>
      <c r="CX197" s="939" t="s">
        <v>2124</v>
      </c>
      <c r="CY197" s="939" t="s">
        <v>2126</v>
      </c>
    </row>
    <row r="198" spans="1:104" s="86" customFormat="1" ht="65" x14ac:dyDescent="0.3">
      <c r="A198" s="82" t="s">
        <v>1392</v>
      </c>
      <c r="B198" s="82" t="s">
        <v>1390</v>
      </c>
      <c r="C198" s="82" t="s">
        <v>1394</v>
      </c>
      <c r="D198" s="82" t="s">
        <v>2127</v>
      </c>
      <c r="E198" s="82" t="s">
        <v>1947</v>
      </c>
      <c r="F198" s="82" t="s">
        <v>1948</v>
      </c>
      <c r="G198" s="136" t="s">
        <v>2128</v>
      </c>
      <c r="H198" s="136" t="s">
        <v>2129</v>
      </c>
      <c r="I198" s="82" t="s">
        <v>1951</v>
      </c>
      <c r="J198" s="136" t="s">
        <v>1952</v>
      </c>
      <c r="K198" s="82" t="s">
        <v>1953</v>
      </c>
      <c r="L198" s="137" t="s">
        <v>2130</v>
      </c>
      <c r="M198" s="138" t="s">
        <v>1955</v>
      </c>
      <c r="N198" s="137" t="s">
        <v>2131</v>
      </c>
      <c r="O198" s="137" t="s">
        <v>2132</v>
      </c>
      <c r="P198" s="137" t="s">
        <v>1958</v>
      </c>
      <c r="Q198" s="137" t="s">
        <v>1959</v>
      </c>
      <c r="R198" s="137" t="s">
        <v>1960</v>
      </c>
      <c r="S198" s="137" t="s">
        <v>1961</v>
      </c>
      <c r="T198" s="137" t="s">
        <v>1962</v>
      </c>
      <c r="U198" s="138" t="s">
        <v>1963</v>
      </c>
      <c r="V198" s="139" t="s">
        <v>2133</v>
      </c>
      <c r="W198" s="140" t="s">
        <v>1965</v>
      </c>
      <c r="X198" s="140" t="s">
        <v>1966</v>
      </c>
      <c r="Y198" s="140" t="s">
        <v>1967</v>
      </c>
      <c r="Z198" s="140" t="s">
        <v>1968</v>
      </c>
      <c r="AA198" s="140" t="s">
        <v>1969</v>
      </c>
      <c r="AB198" s="80" t="s">
        <v>1970</v>
      </c>
      <c r="AC198" s="141" t="s">
        <v>1972</v>
      </c>
      <c r="AD198" s="141" t="s">
        <v>1973</v>
      </c>
      <c r="AE198" s="141" t="s">
        <v>1974</v>
      </c>
      <c r="AF198" s="141" t="s">
        <v>1979</v>
      </c>
      <c r="AG198" s="141" t="s">
        <v>1980</v>
      </c>
      <c r="AH198" s="141" t="s">
        <v>2134</v>
      </c>
      <c r="AI198" s="141" t="s">
        <v>2135</v>
      </c>
      <c r="AJ198" s="82" t="s">
        <v>1987</v>
      </c>
      <c r="AK198" s="82" t="s">
        <v>1988</v>
      </c>
      <c r="AL198" s="82" t="s">
        <v>1989</v>
      </c>
      <c r="AM198" s="136" t="s">
        <v>1990</v>
      </c>
      <c r="AN198" s="136" t="s">
        <v>1991</v>
      </c>
      <c r="AO198" s="136" t="s">
        <v>1992</v>
      </c>
      <c r="AP198" s="141" t="s">
        <v>1993</v>
      </c>
      <c r="AQ198" s="141" t="s">
        <v>1994</v>
      </c>
      <c r="AR198" s="142" t="s">
        <v>1995</v>
      </c>
      <c r="AS198" s="531" t="s">
        <v>1996</v>
      </c>
      <c r="AT198" s="141" t="s">
        <v>1997</v>
      </c>
      <c r="AU198" s="141" t="s">
        <v>1998</v>
      </c>
      <c r="AV198" s="141" t="s">
        <v>1999</v>
      </c>
      <c r="AW198" s="136" t="s">
        <v>2000</v>
      </c>
      <c r="AX198" s="136" t="s">
        <v>2001</v>
      </c>
      <c r="AY198" s="136" t="s">
        <v>2002</v>
      </c>
      <c r="AZ198" s="136" t="s">
        <v>2004</v>
      </c>
      <c r="BA198" s="136" t="s">
        <v>2136</v>
      </c>
      <c r="BB198" s="136" t="s">
        <v>2006</v>
      </c>
      <c r="BC198" s="136" t="s">
        <v>2007</v>
      </c>
      <c r="BD198" s="136" t="s">
        <v>2008</v>
      </c>
      <c r="BE198" s="934">
        <v>400</v>
      </c>
      <c r="BF198" s="934"/>
      <c r="BG198" s="934"/>
      <c r="BH198" s="136" t="s">
        <v>1813</v>
      </c>
      <c r="BI198" s="532" t="s">
        <v>1405</v>
      </c>
      <c r="BJ198" s="532" t="s">
        <v>1410</v>
      </c>
      <c r="BK198" s="532" t="s">
        <v>1415</v>
      </c>
      <c r="BL198" s="532" t="s">
        <v>1418</v>
      </c>
      <c r="BM198" s="532" t="s">
        <v>1429</v>
      </c>
      <c r="BN198" s="532" t="s">
        <v>1431</v>
      </c>
      <c r="BO198" s="533" t="s">
        <v>1434</v>
      </c>
      <c r="BP198" s="143"/>
      <c r="BQ198" s="84" t="s">
        <v>2010</v>
      </c>
      <c r="BR198" s="84" t="s">
        <v>2011</v>
      </c>
      <c r="BS198" s="84" t="s">
        <v>2012</v>
      </c>
      <c r="BV198" s="534" t="s">
        <v>2139</v>
      </c>
      <c r="BW198" s="534" t="s">
        <v>2140</v>
      </c>
      <c r="BX198" s="535" t="s">
        <v>2141</v>
      </c>
      <c r="BY198" s="534" t="s">
        <v>2142</v>
      </c>
      <c r="BZ198" s="80" t="s">
        <v>2143</v>
      </c>
      <c r="CA198" s="80" t="s">
        <v>2144</v>
      </c>
      <c r="CB198" s="80" t="s">
        <v>2145</v>
      </c>
      <c r="CC198" s="533" t="s">
        <v>2146</v>
      </c>
      <c r="CD198" s="533" t="s">
        <v>2147</v>
      </c>
      <c r="CE198" s="533" t="s">
        <v>2148</v>
      </c>
      <c r="CF198" s="533" t="s">
        <v>2149</v>
      </c>
      <c r="CG198" s="533" t="s">
        <v>2150</v>
      </c>
      <c r="CH198" s="536" t="s">
        <v>1966</v>
      </c>
      <c r="CI198" s="141" t="s">
        <v>2151</v>
      </c>
      <c r="CJ198" s="533" t="s">
        <v>2152</v>
      </c>
      <c r="CK198" s="533" t="s">
        <v>2153</v>
      </c>
      <c r="CL198" s="533" t="s">
        <v>2154</v>
      </c>
      <c r="CM198" s="533" t="s">
        <v>2008</v>
      </c>
      <c r="CN198" s="533" t="s">
        <v>2155</v>
      </c>
      <c r="CO198" s="533" t="s">
        <v>2156</v>
      </c>
      <c r="CP198" s="533" t="s">
        <v>2157</v>
      </c>
      <c r="CQ198" s="533" t="s">
        <v>2158</v>
      </c>
      <c r="CR198" s="947"/>
      <c r="CS198" s="940"/>
      <c r="CT198" s="940"/>
      <c r="CU198" s="940"/>
      <c r="CV198" s="940"/>
      <c r="CW198" s="940"/>
      <c r="CX198" s="940"/>
      <c r="CY198" s="940"/>
    </row>
    <row r="199" spans="1:104" ht="14.5" x14ac:dyDescent="0.35">
      <c r="A199" s="325" t="str">
        <f>'BOCA DE LOBO'!A177</f>
        <v>RD-1</v>
      </c>
      <c r="B199" s="87"/>
      <c r="C199" s="87"/>
      <c r="D199" s="87"/>
      <c r="E199" s="88"/>
      <c r="F199" s="88"/>
      <c r="G199" s="88"/>
      <c r="H199" s="82"/>
      <c r="I199" s="82"/>
      <c r="J199" s="82"/>
      <c r="K199" s="82"/>
      <c r="L199" s="90"/>
      <c r="M199" s="90"/>
      <c r="N199" s="90"/>
      <c r="O199" s="90"/>
      <c r="P199" s="89"/>
      <c r="Q199" s="89"/>
      <c r="R199" s="89"/>
      <c r="S199" s="89"/>
      <c r="T199" s="89"/>
      <c r="U199" s="90"/>
      <c r="V199" s="91"/>
      <c r="W199" s="92" t="s">
        <v>2020</v>
      </c>
      <c r="X199" s="92"/>
      <c r="Y199" s="92"/>
      <c r="Z199" s="92"/>
      <c r="AA199" s="92"/>
      <c r="AB199" s="93" t="s">
        <v>2021</v>
      </c>
      <c r="AC199" s="94"/>
      <c r="AD199" s="94"/>
      <c r="AE199" s="94"/>
      <c r="AF199" s="94"/>
      <c r="AG199" s="94"/>
      <c r="AH199" s="94"/>
      <c r="AI199" s="81"/>
      <c r="AJ199" s="82"/>
      <c r="AK199" s="82"/>
      <c r="AL199" s="82"/>
      <c r="AM199" s="82"/>
      <c r="AN199" s="83"/>
      <c r="AO199" s="82"/>
      <c r="AP199" s="82"/>
      <c r="AQ199" s="82"/>
      <c r="AR199" s="82"/>
      <c r="AS199" s="82"/>
      <c r="AT199" s="82"/>
      <c r="AU199" s="82"/>
      <c r="AV199" s="82"/>
      <c r="AW199" s="82"/>
      <c r="AX199" s="82"/>
      <c r="AY199" s="82"/>
      <c r="AZ199" s="82"/>
      <c r="BA199" s="82"/>
      <c r="BB199" s="82"/>
      <c r="BC199" s="82"/>
      <c r="BD199" s="82"/>
      <c r="BE199" s="95"/>
      <c r="BF199" s="79"/>
      <c r="BG199" s="79"/>
      <c r="BH199" s="569"/>
      <c r="BI199" s="96"/>
      <c r="BJ199" s="96"/>
      <c r="BK199" s="96"/>
      <c r="BL199" s="96"/>
      <c r="BM199" s="96"/>
      <c r="BN199" s="570"/>
      <c r="BO199" s="571"/>
      <c r="BP199" s="572"/>
      <c r="BQ199" s="79"/>
      <c r="BR199" s="79"/>
      <c r="BS199" s="79"/>
      <c r="BV199" s="539"/>
      <c r="BW199" s="539"/>
      <c r="BX199" s="539"/>
      <c r="BY199" s="539"/>
      <c r="BZ199" s="539"/>
      <c r="CA199" s="539"/>
      <c r="CB199" s="539"/>
      <c r="CC199" s="539"/>
      <c r="CD199" s="539"/>
      <c r="CE199" s="539"/>
      <c r="CF199" s="539"/>
      <c r="CG199" s="539"/>
      <c r="CH199" s="539"/>
      <c r="CI199" s="82"/>
      <c r="CJ199" s="539"/>
      <c r="CK199" s="539"/>
      <c r="CL199" s="539"/>
      <c r="CM199" s="539"/>
      <c r="CN199" s="539"/>
      <c r="CO199" s="539"/>
      <c r="CP199" s="539"/>
      <c r="CQ199" s="539"/>
      <c r="CR199" s="539"/>
      <c r="CS199" s="573"/>
      <c r="CT199" s="573"/>
      <c r="CU199" s="573"/>
      <c r="CV199" s="573"/>
      <c r="CW199" s="539"/>
      <c r="CY199" s="539"/>
    </row>
    <row r="200" spans="1:104" s="112" customFormat="1" ht="25" x14ac:dyDescent="0.25">
      <c r="A200" s="100" t="str">
        <f>'BOCA DE LOBO'!C178</f>
        <v>BL1-&gt;PV 1.1</v>
      </c>
      <c r="B200" s="100" t="str">
        <f>'BOCA DE LOBO'!A178</f>
        <v>PV 1.1</v>
      </c>
      <c r="C200" s="100" t="str">
        <f>VLOOKUP(A200,'BOCA DE LOBO'!C:F,3,0)</f>
        <v>PROJETADO</v>
      </c>
      <c r="D200" s="100" t="str">
        <f>VLOOKUP(A200,'BOCA DE LOBO'!C:M,10,0)</f>
        <v>PROJETADA</v>
      </c>
      <c r="E200" s="100">
        <f>IF(F200-G200*4%&lt;2.5,F200-G200*4%,2.5)</f>
        <v>1.3972</v>
      </c>
      <c r="F200" s="100">
        <f>VLOOKUP(A200,'BOCA DE LOBO'!$C$178:$L$224,2,0)</f>
        <v>1.6</v>
      </c>
      <c r="G200" s="100">
        <f>VLOOKUP(A200,'BOCA DE LOBO'!$C$178:$L$224,4,0)</f>
        <v>5.07</v>
      </c>
      <c r="H200" s="101">
        <v>400</v>
      </c>
      <c r="I200" s="102">
        <f>IF(H200=400,((E200+F200)/2)+0.08+U200,IF(H200=500,((E200+F200)/2)+0.1+U200,IF(H200=600,((E200+F200)/2)+0.12+U200,IF(H200=800,((E200+F200)/2)+0.16+U200,IF(H200=1000,((E200+F200)/2)+0.2+U200,IF(H200=1200,((E200+F200)/2)+0.24+U200,IF(H200=1500,((E200+F200)/2)+0.3+U200,IF(H200&gt;1500,((E200+F200)/2)+0.4+U200))))))))</f>
        <v>1.6286000000000003</v>
      </c>
      <c r="J200" s="102">
        <f>IF(L200=0,0,IF(I200&gt;=1.25,G200*I200/20,0))</f>
        <v>0.41285010000000011</v>
      </c>
      <c r="K200" s="103">
        <v>0</v>
      </c>
      <c r="L200" s="104">
        <f>IF(D200&lt;&gt;"PROJETADA",0,IF(H200=400,1,0)+IF(H200=500,1.2,0)+IF(H200=600,1.4,0)+IF(H200=800,1.7,0)+IF(H200=1000,2,0)+IF(H200=1200,2.2,0)+IF(H200=1500,2.6,0)+IF(H200=1650,3,0)+IF(H200=1800,3.2,0)+IF(H200=2000,3.4,0)+IF(H200=2200,3.6,0)+IF(H200=2400,3.8,0)+IF(H200=2600,4,0)+IF(H200=3000,4.4,0))</f>
        <v>1</v>
      </c>
      <c r="M200" s="104">
        <f>2*K200*I200+L200</f>
        <v>1</v>
      </c>
      <c r="N200" s="104">
        <f>IF(OR(D200="EXISTENTE",D200="AMPLIADA"),400,0)</f>
        <v>0</v>
      </c>
      <c r="O200" s="104">
        <f>IF(P200="TERRENO NATURAL",0,M200*G200)</f>
        <v>5.07</v>
      </c>
      <c r="P200" s="105" t="s">
        <v>1999</v>
      </c>
      <c r="Q200" s="468" t="s">
        <v>2065</v>
      </c>
      <c r="R200" s="105"/>
      <c r="S200" s="105">
        <f>VLOOKUP(Q200,Quantitativos!P:R,3,0)</f>
        <v>5</v>
      </c>
      <c r="T200" s="105">
        <f>VLOOKUP(Q200,Quantitativos!P:S,4,0)</f>
        <v>5</v>
      </c>
      <c r="U200" s="104">
        <f>IF(H200=400,0.05,0)+IF(H200=500,0.05,0)+IF(H200=600,0.1,0)+IF(H200=800,0.1,0)+IF(H200=1000,0.15,0)+IF(H200=1200,0.15,0)+IF(H200=1500,0.2,0)+IF(H200=1650,0.2,0)+IF(H200=1800,0.2,0)+IF(H200=2000,0.25,0)+IF(H200=2200,0.25,0)+IF(H200=2400,0.25,0)+IF(H200=2600,0.25,0)+IF(H200=3000,0.25,0)</f>
        <v>0.05</v>
      </c>
      <c r="V200" s="106">
        <f>IF(L200=0,0,IF("EXISTENTE"=C200,0,IFERROR((PI()*(N200/1000)*(N200/1000)/4)*G200,0)))</f>
        <v>0</v>
      </c>
      <c r="W200" s="106">
        <f>IF(O200=0,0,((((K200*I200)*I200)/2)*2+L200*I200)*G200-V200+AO200)</f>
        <v>8.2570020000000017</v>
      </c>
      <c r="X200" s="107">
        <f>W200-SUM(AC200:AJ200)</f>
        <v>0</v>
      </c>
      <c r="Y200" s="107">
        <f>IF(R200=1,IF(N200=0,I200+0.4,0.4),0)</f>
        <v>0</v>
      </c>
      <c r="Z200" s="107">
        <f>IF(Y200&gt;0.5,0,IF(S200&lt;I200,S200,I200))</f>
        <v>1.6286000000000003</v>
      </c>
      <c r="AA200" s="107">
        <f>I200-Z200</f>
        <v>0</v>
      </c>
      <c r="AB200" s="108">
        <f>IF(P200="ASFALTO",IF(D200="PROJETADA",O200,IF(D200="EXISTENTE",0,O200/2)),0)</f>
        <v>5.07</v>
      </c>
      <c r="AC200" s="109">
        <f>IF(Y200=0,0,IF(Y200=0.4,IF(L200&lt;=1.5,IF(Z200+0.4&gt;=1.5,0,L200*G200*0.4),0),IF(L200&lt;=1.5,IF(Y200&gt;=1.5,M200*G200*1.5,L200*G200*(Y200)),0)+IF(S200&lt;I200+0.4,0,IF(AND(Y200&lt;=1.5,L200&lt;=1.5),-V200,0))))</f>
        <v>0</v>
      </c>
      <c r="AD200" s="109">
        <f>IF(Y200=0,0,IF(Y200=0.4,IF(L200&lt;=1.5,IF(OR(Z200+0.4&gt;=3,Z200+0.4&lt;1.5),0,L200*G200*0.4),0),IF(IF(L200&lt;=1.5,IF(Y200&gt;=3,M200*G200*1.5,L200*G200*(Y200-1.5)),0)&lt;0,0,IF(L200&lt;=1.5,IF(Y200&gt;=3,M200*G200*1.5,L200*G200*(Y200-1.5)),0))+IF(S200&lt;I200+0.4,0,IF(AND(Y200&lt;=3,L200&lt;=1.5),-V200,0))))</f>
        <v>0</v>
      </c>
      <c r="AE200" s="109">
        <f>IF(Y200=0,0,IF(Y200=0.4,IF(L200&lt;=1.5,IF(OR(Z200+0.4&gt;=4.5,Z200+0.4&lt;3),0,L200*G200*0.4),0),IF(IF(L200&lt;=1.5,IF(Y200&gt;=4.5,M200*G200*1.5,L200*G200*(Y200-3)),0)&lt;0,0,IF(L200&lt;=1.5,IF(Y200&gt;=4.5,M200*G200*1.5,L200*G200*(Y200-3)),0))+IF(S200&lt;I200+0.4,0,IF(AND(Y200&lt;=4.5,L200&lt;=1.5),-V200,0))))</f>
        <v>0</v>
      </c>
      <c r="AF200" s="109">
        <f>IF(L200&lt;=1.5,IF(Z200&gt;=1.5,M200*G200*1.5,L200*G200*Z200),0)+IF(S200&lt;I200,0,IF(AND(Z200&lt;=1.5,L200&lt;=1.5),-V200,0))-V200</f>
        <v>7.6050000000000004</v>
      </c>
      <c r="AG200" s="109">
        <f>IF(IF(L200&lt;=1.5,IF(Z200&gt;=3,M200*G200*1.5,L200*G200*(Z200-1.5)),0)&lt;0,0,IF(L200&lt;=1.5,IF(Z200&gt;=3,M200*G200*1.5,L200*G200*(Z200-1.5)),0))</f>
        <v>0.65200200000000141</v>
      </c>
      <c r="AH200" s="109">
        <f>IF(IF(IF(L200&lt;=1.5,IF(Z200&gt;=4.5,M200*G200*1.5,L200*G200*(Z200-3)),0)&lt;0,0,IF(L200&lt;=1.5,IF(Z200&gt;=4.5,M200*G200*1.5,L200*G200*(Z200-3)),0))+IF(S200&lt;I200,0,IF(AND(Z200&lt;=4.5,L200&lt;=1.5),-V200,0))&lt;0,0,IF(IF(L200&lt;=1.5,IF(Z200&gt;=4.5,M200*G200*1.5,L200*G200*(Z200-3)),0)&lt;0,0,IF(L200&lt;=1.5,IF(Z200&gt;=4.5,M200*G200*1.5,L200*G200*(Z200-3)),0))+IF(S200&lt;I200,0,IF(AND(Z200&lt;=4.5,L200&lt;=1.5),-V200,0)))</f>
        <v>0</v>
      </c>
      <c r="AI200" s="537" t="str">
        <f>IF(I200&gt;S200,"SIM","NÃO")</f>
        <v>NÃO</v>
      </c>
      <c r="AJ200" s="104">
        <f>W200-SUM(AC200:AH200)</f>
        <v>0</v>
      </c>
      <c r="AK200" s="104">
        <f>IF(I200-T200&lt;0,0,(I200-T200)*G200)/75</f>
        <v>0</v>
      </c>
      <c r="AL200" s="104">
        <f>IF(L200=0,0,G200*L200*I200-PI()*(H200/1000)*(H200/1000)/4*G200+AO200)</f>
        <v>7.6198870098519915</v>
      </c>
      <c r="AM200" s="102">
        <f>IF(L200&lt;1.5,L200*G200*IF(H200&lt;=500,0.05,IF(H200&lt;=800,0.1,IF(H200&lt;=1200,0.15,IF(H200&gt;=1500,0.2)))),0)</f>
        <v>0.2535</v>
      </c>
      <c r="AN200" s="106">
        <f>IF(L200&gt;=1.5,L200*G200*IF(H200&lt;=500,0.05,IF(H200&lt;=800,0.1,IF(H200&lt;=1200,0.15,IF(H200&gt;=1500,0.2)))),0)</f>
        <v>0</v>
      </c>
      <c r="AO200" s="104">
        <f>IF(R200=1,0.5*G200*L200,0)</f>
        <v>0</v>
      </c>
      <c r="AP200" s="104">
        <f>IF(AO200&lt;SUM(AF200:AH200),0,AO200)</f>
        <v>0</v>
      </c>
      <c r="AQ200" s="104">
        <f>H200/1000+0.3</f>
        <v>0.7</v>
      </c>
      <c r="AR200" s="104">
        <f>IF(D200&lt;&gt;"PROJETADA",0,AQ200*L200*G200-PI()*(H200/1000*H200/1000)/4*G200)</f>
        <v>2.9118850098519897</v>
      </c>
      <c r="AS200" s="104">
        <f>IF(AR200&lt;SUM(AF200:AH200),0,AR200)</f>
        <v>0</v>
      </c>
      <c r="AT200" s="104">
        <f>IF(P200="ASFALTO",0.15*G200*L200,0)</f>
        <v>0.76050000000000006</v>
      </c>
      <c r="AU200" s="104">
        <f>AT200</f>
        <v>0.76050000000000006</v>
      </c>
      <c r="AV200" s="104">
        <f>IF(P200="ASFALTO",0.03*G200*L200,0)</f>
        <v>0.15210000000000001</v>
      </c>
      <c r="AW200" s="104">
        <f>AL200-AO200-SUM(AM200:AN200)-AT200-AU200-AR200</f>
        <v>2.9335020000000012</v>
      </c>
      <c r="AX200" s="104">
        <f>SUM(AF200:AH200)-AO200-AT200-AR200</f>
        <v>4.5846169901480121</v>
      </c>
      <c r="AY200" s="104">
        <f>SMALL(AW200:AX200,1)</f>
        <v>2.9335020000000012</v>
      </c>
      <c r="AZ200" s="104">
        <f>AW200-AY200</f>
        <v>0</v>
      </c>
      <c r="BA200" s="104">
        <f>IF($AZ$246&gt;$BA$248,($BA$248/$AZ$246)*AZ200,AZ200)</f>
        <v>0</v>
      </c>
      <c r="BB200" s="104">
        <f>AZ200-BA200</f>
        <v>0</v>
      </c>
      <c r="BC200" s="104"/>
      <c r="BD200" s="104">
        <f>IF(AO200+AT200&gt;0,4%*(AO200+AT200),0)</f>
        <v>3.0420000000000003E-2</v>
      </c>
      <c r="BE200" s="108">
        <f>IF(H200=400,I200,0)</f>
        <v>1.6286000000000003</v>
      </c>
      <c r="BF200" s="110">
        <f>IF(BE200&lt;=1.75,G200*IF(D200="PROJETADA",1,0),0)</f>
        <v>5.07</v>
      </c>
      <c r="BG200" s="110">
        <f>IF(AND(BE200&lt;=3,BE200&gt;1.75),IF(D200="PROJETADA",1,0)*G200,0)</f>
        <v>0</v>
      </c>
      <c r="BH200" s="105" t="str">
        <f>VLOOKUP(A200,'BOCA DE LOBO'!C:I,7,0)</f>
        <v>BOCA DE LOBO PROJETADA DUPLA</v>
      </c>
      <c r="BI200" s="104">
        <f>IF(BH200=$BI$198,1,0)</f>
        <v>0</v>
      </c>
      <c r="BJ200" s="104">
        <f>IF(BH200=$BJ$198,1,0)</f>
        <v>0</v>
      </c>
      <c r="BK200" s="104">
        <f>IF(BH200=$BK$198,1,0)</f>
        <v>0</v>
      </c>
      <c r="BL200" s="104">
        <f>IF(BH200=$BL$198,1,0)</f>
        <v>0</v>
      </c>
      <c r="BM200" s="104">
        <f>IF(BH200=$BM$198,1,0)</f>
        <v>0</v>
      </c>
      <c r="BN200" s="104">
        <f>IF(BH200=$BN$198,1,0)</f>
        <v>1</v>
      </c>
      <c r="BO200" s="543">
        <f>IF(BH200=$BO$198,1,0)</f>
        <v>0</v>
      </c>
      <c r="BP200" s="111"/>
      <c r="BQ200" s="108">
        <f>IF(L200&lt;=1.5,IF(I200+IF(R200=1,0.5,0)&lt;1.5,(I200+IF(R200=1,0.5,0))*G200*2,G200*2*1.5),0)</f>
        <v>15.21</v>
      </c>
      <c r="BR200" s="108">
        <f>IF(L200&lt;=1.5,IF(AND(I200+IF(R200=1,0.5,0)&lt;3,I200+IF(R200=1,0.5,0)&gt;1.5),(I200+IF(R200=1,0.5,0)-1.5)*G200*2,IF(I200+IF(R200=1,0.5,0)&gt;=3,(G200*2*1.5),0)),0)</f>
        <v>1.3040040000000028</v>
      </c>
      <c r="BS200" s="108">
        <f>IF(L200&lt;=1.5,IF(AND(I200+IF(R200=1,0.5,0)&lt;4.5,I200+IF(R200=1,0.5,0)&gt;3),(I200+IF(R200=1,0.5,0)-3)*G200*2,IF(I200+IF(R200=1,0.5,0)&gt;=4.5,(G200*2*1.5),0)),0)</f>
        <v>0</v>
      </c>
      <c r="BV200" s="538">
        <f>IF(OR("BOCA DE LOBO EXISTENTE TRIPLA"=BH200,"BOCA DE LOBO EXISTENTE SIMPLES"=BH200,"BOCA DE LOBO EXISTENTE DUPLA"=BH200),0,IF("BOCA DE LOBO PROJETADA DUPLA"=BH200,(2.57+1)*(1.18+1),IF(OR("BOCA DE LOBO DUPLA EXISTENTE COM BOCA DE LOBO SIMPLES PROJETADA"=BH200,"BOCA DE LOBO SIMPLES EXISTENTE COM BOCA DE LOBO SIMPLES PROJETADA"=BH200),(1.18+0.5)*(1.18+1),IF(OR(BH200="BOCA DE LOBO DUPLA EXISTENTE COM BOCA DE LOBO DUPLA PROJETADA",BH200="BOCA DE LOBO SIMPLES EXISTENTE COM BOCA DE LOBO DUPLA PROJETADA"),(2.38+0.5)*(1.18+1),IF("BOCA DE LOBO PROJETADA TRIPLA"=BH200,(3.76+1)*(1.18+1),IF("BOCA DE LOBO PROJETADA QUADRUPLA"=BH200,(4.92+1)*(1.18+1),"X"))))))*(E200+IF(CA200&gt;0,0.5,0))</f>
        <v>10.873848719999998</v>
      </c>
      <c r="BW200" s="538">
        <f>IF(OR("BOCA DE LOBO EXISTENTE TRIPLA"=BH200,"BOCA DE LOBO EXISTENTE SIMPLES"=BH200,"BOCA DE LOBO EXISTENTE DUPLA"=BH200,"BOCA DE LOBO EXISTENTE QUADRUPLA"=BH200),0,IF("BOCA DE LOBO PROJETADA DUPLA"=BH200,(2.57+1)*(1.18+1),IF(OR("BOCA DE LOBO DUPLA EXISTENTE COM BOCA DE LOBO SIMPLES PROJETADA"=BH200,"BOCA DE LOBO SIMPLES EXISTENTE COM BOCA DE LOBO SIMPLES PROJETADA"=BH200),(1.18+1)*(1.18+0.5),IF(OR(BH200="BOCA DE LOBO DUPLA EXISTENTE COM BOCA DE LOBO DUPLA PROJETADA",BH200="BOCA DE LOBO SIMPLES EXISTENTE COM BOCA DE LOBO DUPLA PROJETADA"),(2.38+0.5)*(1.18+1),IF("BOCA DE LOBO PROJETADA TRIPLA"=BH200,(3.76+0.5*2)*(1.18+1),IF("BOCA DE LOBO PROJETADA QUADRUPLA"=BH200,(4.92+0.5*2)*(1.18+1),"X"))))))</f>
        <v>7.7825999999999986</v>
      </c>
      <c r="BX200" s="538">
        <f>IF(OR("BOCA DE LOBO EXISTENTE TRIPLA"=BH200,"BOCA DE LOBO EXISTENTE SIMPLES"=BH200,"BOCA DE LOBO EXISTENTE DUPLA"=BH200,"BOCA DE LOBO EXISTENTE QUADRUPLA"=BH200),0,IF("BOCA DE LOBO PROJETADA DUPLA"=BH200,(2.57)*(1.18),IF(OR("BOCA DE LOBO DUPLA EXISTENTE COM BOCA DE LOBO SIMPLES PROJETADA"=BH200,"BOCA DE LOBO SIMPLES EXISTENTE COM BOCA DE LOBO SIMPLES PROJETADA"=BH200),(1.18)*(1.18),IF(OR(BH200="BOCA DE LOBO DUPLA EXISTENTE COM BOCA DE LOBO DUPLA PROJETADA",BH200="BOCA DE LOBO SIMPLES EXISTENTE COM BOCA DE LOBO DUPLA PROJETADA"),(2.38)*(1.18),IF("BOCA DE LOBO PROJETADA TRIPLA"=BH200,(3.76)*(1.18),IF("BOCA DE LOBO PROJETADA QUADRUPLA"=BH200,(4.92)*(1.18),"X"))))))</f>
        <v>3.0325999999999995</v>
      </c>
      <c r="BY200" s="538">
        <f>E200</f>
        <v>1.3972</v>
      </c>
      <c r="BZ200" s="538">
        <f>IF(Y200&gt;0.5,0,IF(S200&lt;E200,S200,E200))</f>
        <v>1.3972</v>
      </c>
      <c r="CA200" s="538">
        <f>IF(Y200&gt;0.4,BY200+0.4,Y200)</f>
        <v>0</v>
      </c>
      <c r="CB200" s="538">
        <f>IF(S200&gt;E200,0,E200-S200)</f>
        <v>0</v>
      </c>
      <c r="CC200" s="538">
        <f>IF(BZ200&gt;1.5,BW200*1.5,BW200*BZ200)</f>
        <v>10.873848719999998</v>
      </c>
      <c r="CD200" s="538">
        <f>IF(BZ200&gt;1.5,BW200*(BZ200-1.5),0)</f>
        <v>0</v>
      </c>
      <c r="CE200" s="538">
        <f>IF(CA200=0.4,IF(BZ200+CA200&gt;1.5,0,CA200*BW200),IF(CA200&gt;1.5,BW200*1.5,BW200*CA200))</f>
        <v>0</v>
      </c>
      <c r="CF200" s="538">
        <f>IF(CA200=0.4,IF(BZ200+CA200&lt;=1.5,0,CA200*BW200),IF(CA200&gt;1.5,BW200*(CA200-1.5),0))</f>
        <v>0</v>
      </c>
      <c r="CG200" s="538">
        <f>BV200-SUM(CC200:CF200)</f>
        <v>0</v>
      </c>
      <c r="CH200" s="538">
        <f>SUM(CC200:CG200)-BV200</f>
        <v>0</v>
      </c>
      <c r="CI200" s="104">
        <f>IF(OR("BOCA DE LOBO EXISTENTE TRIPLA"=BH200,"BOCA DE LOBO EXISTENTE SIMPLES"=BH200,"BOCA DE LOBO EXISTENTE DUPLA"=BH200),0,IF("BOCA DE LOBO PROJETADA DUPLA"=BH200,(2.57+1)*(0.5),IF(OR("BOCA DE LOBO DUPLA EXISTENTE COM BOCA DE LOBO SIMPLES PROJETADA"=BH200,"BOCA DE LOBO SIMPLES EXISTENTE COM BOCA DE LOBO SIMPLES PROJETADA"=BH200),(1.18+0.5)*(0.5),IF(OR(BH200="BOCA DE LOBO DUPLA EXISTENTE COM BOCA DE LOBO DUPLA PROJETADA",BH200="BOCA DE LOBO SIMPLES EXISTENTE COM BOCA DE LOBO DUPLA PROJETADA"),(2.38+0.5)*(0.5),IF("BOCA DE LOBO PROJETADA TRIPLA"=BH200,(3.76+1)*(0.5),IF("BOCA DE LOBO PROJETADA QUADRUPLA"=BH200,(4.92+1)*(0.5),"X")))))*0.3)</f>
        <v>0.53549999999999998</v>
      </c>
      <c r="CJ200" s="538">
        <f>(BW200-BX200)*(BY200+IF(CA200&gt;=0.4,0.4,0))-CI200</f>
        <v>6.1011999999999986</v>
      </c>
      <c r="CK200" s="538">
        <f>IF($CK$248&gt;$CJ$246,CJ200,CJ200*$CK$248/$CJ$246)</f>
        <v>6.1011999999999986</v>
      </c>
      <c r="CL200" s="538">
        <f>CJ200-CK200</f>
        <v>0</v>
      </c>
      <c r="CM200" s="538">
        <f>IF(CA200&gt;0,0.5*4%*BW200,0)</f>
        <v>0</v>
      </c>
      <c r="CN200" s="538">
        <f>IF(OR("BOCA DE LOBO EXISTENTE TRIPLA"=BH200,"BOCA DE LOBO EXISTENTE SIMPLES"=BH200,"BOCA DE LOBO EXISTENTE DUPLA"=BH200),0,IF("BOCA DE LOBO PROJETADA DUPLA"=BH200,(2.57+1),IF(OR("BOCA DE LOBO DUPLA EXISTENTE COM BOCA DE LOBO SIMPLES PROJETADA"=BH200,"BOCA DE LOBO SIMPLES EXISTENTE COM BOCA DE LOBO SIMPLES PROJETADA"=BH200),(1.18+0.5),IF(OR(BH200="BOCA DE LOBO DUPLA EXISTENTE COM BOCA DE LOBO DUPLA PROJETADA",BH200="BOCA DE LOBO SIMPLES EXISTENTE COM BOCA DE LOBO DUPLA PROJETADA"),(2.38+0.5),IF("BOCA DE LOBO PROJETADA TRIPLA"=BH200,(3.76+0.5*2),IF("BOCA DE LOBO PROJETADA QUADRUPLA"=BH200,(4.92+0.5*2),"X"))))))</f>
        <v>3.57</v>
      </c>
      <c r="CO200" s="538">
        <f>IF(CA200&gt;0,BY200+0.5,BY200)</f>
        <v>1.3972</v>
      </c>
      <c r="CP200" s="538">
        <f>IF(CO200&gt;=1.5,CN200*1.5*2,CN200*CO200*2)</f>
        <v>9.9760080000000002</v>
      </c>
      <c r="CQ200" s="538">
        <f>IF(CO200&lt;=1.5,0,IF(CO200&gt;=3,CN200*1.5*2,CN200*(CO200-1.5)*2))</f>
        <v>0</v>
      </c>
      <c r="CR200" s="539">
        <f>IF(D200="AMPLIADA",0.55*(E200-0.5),0)</f>
        <v>0</v>
      </c>
      <c r="CS200" s="540">
        <f>IF(OR("BOCA DE LOBO EXISTENTE TRIPLA"=BH200,"BOCA DE LOBO EXISTENTE SIMPLES"=BH200,"BOCA DE LOBO EXISTENTE DUPLA"=BH200,"BOCA DE LOBO EXISTENTE QUADRUPLA"=BH200),0,IF("BOCA DE LOBO PROJETADA DUPLA"=BH200,(0),IF(OR("BOCA DE LOBO DUPLA EXISTENTE COM BOCA DE LOBO SIMPLES PROJETADA"=BH200,"BOCA DE LOBO SIMPLES EXISTENTE COM BOCA DE LOBO SIMPLES PROJETADA"=BH200),(0.8*0.15*0.17),IF(OR(BH200="BOCA DE LOBO DUPLA EXISTENTE COM BOCA DE LOBO DUPLA PROJETADA",BH200="BOCA DE LOBO SIMPLES EXISTENTE COM BOCA DE LOBO DUPLA PROJETADA"),(0.8*0.15*0.17),IF("BOCA DE LOBO PROJETADA TRIPLA"=BH200,(0),IF("BOCA DE LOBO PROJETADA QUADRUPLA"=BH200,(0),"X")))))*E200)</f>
        <v>0</v>
      </c>
      <c r="CT200" s="540">
        <f>IF(OR("BOCA DE LOBO EXISTENTE TRIPLA"=BH200,"BOCA DE LOBO EXISTENTE SIMPLES"=BH200,"BOCA DE LOBO EXISTENTE DUPLA"=BH200,"BOCA DE LOBO EXISTENTE QUADRUPLA"=BH200),0,IF("BOCA DE LOBO PROJETADA DUPLA"=BH200,(1.18*2.57*0.05),IF(OR("BOCA DE LOBO DUPLA EXISTENTE COM BOCA DE LOBO SIMPLES PROJETADA"=BH200,"BOCA DE LOBO SIMPLES EXISTENTE COM BOCA DE LOBO SIMPLES PROJETADA"=BH200),(1.19*1.18*0.05),IF(OR(BH200="BOCA DE LOBO DUPLA EXISTENTE COM BOCA DE LOBO DUPLA PROJETADA",BH200="BOCA DE LOBO SIMPLES EXISTENTE COM BOCA DE LOBO DUPLA PROJETADA"),(2.38*1.18*0.056),IF("BOCA DE LOBO PROJETADA TRIPLA"=BH200,(3.76*1.18*0.05),IF("BOCA DE LOBO PROJETADA QUADRUPLA"=BH200,(4.92*1.18*0.05),"X")))))+CI200/3)</f>
        <v>0.33012999999999998</v>
      </c>
      <c r="CU200" s="541">
        <f>IF(OR("BOCA DE LOBO EXISTENTE TRIPLA"=BH200,"BOCA DE LOBO EXISTENTE SIMPLES"=BH200,"BOCA DE LOBO EXISTENTE DUPLA"=BH200,"BOCA DE LOBO EXISTENTE QUADRUPLA"=BH200),0,IF("BOCA DE LOBO PROJETADA DUPLA"=BH200,(1*4+0.6*2),IF(OR("BOCA DE LOBO DUPLA EXISTENTE COM BOCA DE LOBO SIMPLES PROJETADA"=BH200,"BOCA DE LOBO SIMPLES EXISTENTE COM BOCA DE LOBO SIMPLES PROJETADA"=BH200),(1*2+0.6),IF(OR(BH200="BOCA DE LOBO DUPLA EXISTENTE COM BOCA DE LOBO DUPLA PROJETADA",BH200="BOCA DE LOBO SIMPLES EXISTENTE COM BOCA DE LOBO DUPLA PROJETADA"),(1*4+0.6),IF("BOCA DE LOBO PROJETADA TRIPLA"=BH200,(6*1+0.6*2),IF("BOCA DE LOBO PROJETADA QUADRUPLA"=BH200,(8*1+0.6*2),"X")))))*E200)</f>
        <v>7.2654399999999999</v>
      </c>
      <c r="CV200" s="538">
        <f>IF(OR("BOCA DE LOBO EXISTENTE TRIPLA"=BH200,"BOCA DE LOBO EXISTENTE SIMPLES"=BH200,"BOCA DE LOBO EXISTENTE DUPLA"=BH200,"BOCA DE LOBO EXISTENTE QUADRUPLA"=BH200),0,IF("BOCA DE LOBO PROJETADA DUPLA"=BH200,(12*E200*0.17*0.15+1*0.17*0.15*5+1.09*0.6*0.07*2+2.57*1.18*0.15),IF(OR("BOCA DE LOBO DUPLA EXISTENTE COM BOCA DE LOBO SIMPLES PROJETADA"=BH200,"BOCA DE LOBO SIMPLES EXISTENTE COM BOCA DE LOBO SIMPLES PROJETADA"=BH200),(8*E200*0.17*0.15+1*0.17*0.15*4+1.09*0.6*0.07*1+1.38*1.18*0.15),IF(OR(BH200="BOCA DE LOBO DUPLA EXISTENTE COM BOCA DE LOBO DUPLA PROJETADA",BH200="BOCA DE LOBO SIMPLES EXISTENTE COM BOCA DE LOBO DUPLA PROJETADA"),(7*E200*0.17*0.15+1*0.17*0.15*5+1.09*0.6*0.07*2+2.38*1.18*0.15),IF("BOCA DE LOBO PROJETADA TRIPLA"=BH200,(15*E200*0.17*0.15+1*0.17*0.15*7+1.09*0.6*0.07*3+3.76*1.18*0.15),IF("BOCA DE LOBO PROJETADA QUADRUPLA"=BH200,(19*E200*0.17*0.15+1*0.17*0.15*9+1.09*0.6*0.07*4+4.92*1.18*0.15),"X"))))))</f>
        <v>1.1014932</v>
      </c>
      <c r="CW200" s="538">
        <f>IF(OR("BOCA DE LOBO EXISTENTE TRIPLA"=BH200,"BOCA DE LOBO EXISTENTE SIMPLES"=BH200,"BOCA DE LOBO EXISTENTE DUPLA"=BH200,"BOCA DE LOBO EXISTENTE QUADRUPLA"=BH200),0,IF("BOCA DE LOBO PROJETADA DUPLA"=BH200,(12*E200*2*(0.17+0.15)+1*(2*0.17+0.15)*5+2*(2.57+1.18)*0.15+(1.09+0.6)*2*0.07*2),IF(OR("BOCA DE LOBO DUPLA EXISTENTE COM BOCA DE LOBO SIMPLES PROJETADA"=BH200,"BOCA DE LOBO SIMPLES EXISTENTE COM BOCA DE LOBO SIMPLES PROJETADA"=BH200),(8*E200*2*(0.17+0.15)+1*(2*0.17+0.15)*4+2*(1.38+1.18)*0.15+(1.09+0.6)*2*0.07*1),IF(OR(BH200="BOCA DE LOBO DUPLA EXISTENTE COM BOCA DE LOBO DUPLA PROJETADA",BH200="BOCA DE LOBO SIMPLES EXISTENTE COM BOCA DE LOBO DUPLA PROJETADA"),(7*E200*2*(0.17+0.15)+1*(2*0.17+0.15)*5+2*(2.38+1.18)*0.15+(1.09+0.6)*2*0.07*2),IF("BOCA DE LOBO PROJETADA TRIPLA"=BH200,(15*E200*2*(0.17+0.15)+1*(2*0.17+0.15)*7+2*(3.76+1.18)*0.15+(1.09+0.6)*2*0.07*3),IF("BOCA DE LOBO PROJETADA QUADRUPLA"=BH200,(19*E200*2*(0.17+0.15)+1*(2*0.17+0.15)*7+2*(4.92+1.18)*0.15+(1.09+0.6)*2*0.07*4),"X"))))))</f>
        <v>14.778696000000002</v>
      </c>
      <c r="CX200" s="104">
        <f>IF(OR("BOCA DE LOBO EXISTENTE TRIPLA"=BH200,"BOCA DE LOBO EXISTENTE SIMPLES"=BH200,"BOCA DE LOBO EXISTENTE DUPLA"=BH200,"BOCA DE LOBO EXISTENTE QUADRUPLA"=BH200),0,IF("BOCA DE LOBO PROJETADA DUPLA"=BH200,(2.57+1),IF(OR("BOCA DE LOBO DUPLA EXISTENTE COM BOCA DE LOBO SIMPLES PROJETADA"=BH200,"BOCA DE LOBO SIMPLES EXISTENTE COM BOCA DE LOBO SIMPLES PROJETADA"=BH200),(1.18+0.5),IF(OR(BH200="BOCA DE LOBO DUPLA EXISTENTE COM BOCA DE LOBO DUPLA PROJETADA",BH200="BOCA DE LOBO SIMPLES EXISTENTE COM BOCA DE LOBO DUPLA PROJETADA"),(2.38+0.5),IF("BOCA DE LOBO PROJETADA TRIPLA"=BH200,(3.76+1),IF("BOCA DE LOBO PROJETADA QUADRUPLA"=BH200,(4.92+1),"X"))))))</f>
        <v>3.57</v>
      </c>
      <c r="CY200" s="542">
        <f>CX200*0.5</f>
        <v>1.7849999999999999</v>
      </c>
      <c r="CZ200" s="538">
        <f>IF(AND(C200="EXISTENTE",D200="PROJETADA"),PI()*0.51*0.51/4*0.12,0)</f>
        <v>0</v>
      </c>
    </row>
    <row r="201" spans="1:104" ht="14.5" x14ac:dyDescent="0.35">
      <c r="A201" s="325" t="str">
        <f>'BOCA DE LOBO'!A179</f>
        <v>RD-2</v>
      </c>
      <c r="B201" s="87"/>
      <c r="C201" s="87"/>
      <c r="D201" s="87"/>
      <c r="E201" s="88"/>
      <c r="F201" s="88"/>
      <c r="G201" s="88"/>
      <c r="H201" s="82"/>
      <c r="I201" s="82"/>
      <c r="J201" s="82"/>
      <c r="K201" s="82"/>
      <c r="L201" s="90"/>
      <c r="M201" s="90"/>
      <c r="N201" s="90"/>
      <c r="O201" s="90"/>
      <c r="P201" s="89"/>
      <c r="Q201" s="89"/>
      <c r="R201" s="89"/>
      <c r="S201" s="89"/>
      <c r="T201" s="89"/>
      <c r="U201" s="90"/>
      <c r="V201" s="91"/>
      <c r="W201" s="92"/>
      <c r="X201" s="92"/>
      <c r="Y201" s="92"/>
      <c r="Z201" s="92"/>
      <c r="AA201" s="92"/>
      <c r="AB201" s="93"/>
      <c r="AC201" s="94"/>
      <c r="AD201" s="94"/>
      <c r="AE201" s="94"/>
      <c r="AF201" s="94"/>
      <c r="AG201" s="94"/>
      <c r="AH201" s="94"/>
      <c r="AI201" s="81"/>
      <c r="AJ201" s="82"/>
      <c r="AK201" s="82"/>
      <c r="AL201" s="82"/>
      <c r="AM201" s="82"/>
      <c r="AN201" s="83"/>
      <c r="AO201" s="82"/>
      <c r="AP201" s="82"/>
      <c r="AQ201" s="82"/>
      <c r="AR201" s="82"/>
      <c r="AS201" s="82"/>
      <c r="AT201" s="82"/>
      <c r="AU201" s="82"/>
      <c r="AV201" s="82"/>
      <c r="AW201" s="82"/>
      <c r="AX201" s="82"/>
      <c r="AY201" s="82"/>
      <c r="AZ201" s="82"/>
      <c r="BA201" s="82"/>
      <c r="BB201" s="82"/>
      <c r="BC201" s="82"/>
      <c r="BD201" s="82"/>
      <c r="BE201" s="95"/>
      <c r="BF201" s="79"/>
      <c r="BG201" s="79"/>
      <c r="BH201" s="569"/>
      <c r="BI201" s="96"/>
      <c r="BJ201" s="96"/>
      <c r="BK201" s="96"/>
      <c r="BL201" s="96"/>
      <c r="BM201" s="96"/>
      <c r="BN201" s="570"/>
      <c r="BO201" s="571"/>
      <c r="BP201" s="572"/>
      <c r="BQ201" s="79"/>
      <c r="BR201" s="79"/>
      <c r="BS201" s="79"/>
      <c r="BV201" s="539"/>
      <c r="BW201" s="539"/>
      <c r="BX201" s="539"/>
      <c r="BY201" s="539"/>
      <c r="BZ201" s="539"/>
      <c r="CA201" s="539"/>
      <c r="CB201" s="539"/>
      <c r="CC201" s="539"/>
      <c r="CD201" s="539"/>
      <c r="CE201" s="539"/>
      <c r="CF201" s="539"/>
      <c r="CG201" s="539"/>
      <c r="CH201" s="539"/>
      <c r="CI201" s="539"/>
      <c r="CJ201" s="539"/>
      <c r="CK201" s="539"/>
      <c r="CL201" s="539"/>
      <c r="CM201" s="539"/>
      <c r="CN201" s="539"/>
      <c r="CO201" s="539"/>
      <c r="CP201" s="539"/>
      <c r="CQ201" s="539"/>
      <c r="CR201" s="539"/>
      <c r="CS201" s="573"/>
      <c r="CT201" s="540"/>
      <c r="CU201" s="541"/>
      <c r="CV201" s="541"/>
      <c r="CW201" s="538"/>
      <c r="CY201" s="538"/>
    </row>
    <row r="202" spans="1:104" s="112" customFormat="1" ht="25" x14ac:dyDescent="0.25">
      <c r="A202" s="100" t="str">
        <f>'BOCA DE LOBO'!C180</f>
        <v>BL2-&gt;PV1.1</v>
      </c>
      <c r="B202" s="100" t="str">
        <f>'BOCA DE LOBO'!A180</f>
        <v>PV1.1</v>
      </c>
      <c r="C202" s="100" t="str">
        <f>VLOOKUP(A202,'BOCA DE LOBO'!C:F,3,0)</f>
        <v>PROJETADO</v>
      </c>
      <c r="D202" s="100" t="str">
        <f>VLOOKUP(A202,'BOCA DE LOBO'!C:M,10,0)</f>
        <v>EXISTENTE</v>
      </c>
      <c r="E202" s="100">
        <f t="shared" ref="E202:E207" si="1757">IF(F202-G202*4%&lt;2.5,F202-G202*4%,2.5)</f>
        <v>1.3084</v>
      </c>
      <c r="F202" s="100">
        <f>VLOOKUP(A202,'BOCA DE LOBO'!$C$178:$L$224,2,0)</f>
        <v>1.6</v>
      </c>
      <c r="G202" s="100">
        <f>VLOOKUP(A202,'BOCA DE LOBO'!$C$178:$L$224,4,0)</f>
        <v>7.29</v>
      </c>
      <c r="H202" s="101">
        <v>400</v>
      </c>
      <c r="I202" s="102">
        <f t="shared" ref="I202:I207" si="1758">IF(H202=400,((E202+F202)/2)+0.08+U202,IF(H202=500,((E202+F202)/2)+0.1+U202,IF(H202=600,((E202+F202)/2)+0.12+U202,IF(H202=800,((E202+F202)/2)+0.16+U202,IF(H202=1000,((E202+F202)/2)+0.2+U202,IF(H202=1200,((E202+F202)/2)+0.24+U202,IF(H202=1500,((E202+F202)/2)+0.3+U202,IF(H202&gt;1500,((E202+F202)/2)+0.4+U202))))))))</f>
        <v>1.5842000000000003</v>
      </c>
      <c r="J202" s="102">
        <f t="shared" ref="J202:J207" si="1759">IF(L202=0,0,IF(I202&gt;=1.25,G202*I202/20,0))</f>
        <v>0</v>
      </c>
      <c r="K202" s="103">
        <v>0</v>
      </c>
      <c r="L202" s="104">
        <f t="shared" ref="L202:L207" si="1760">IF(D202&lt;&gt;"PROJETADA",0,IF(H202=400,1,0)+IF(H202=500,1.2,0)+IF(H202=600,1.4,0)+IF(H202=800,1.7,0)+IF(H202=1000,2,0)+IF(H202=1200,2.2,0)+IF(H202=1500,2.6,0)+IF(H202=1650,3,0)+IF(H202=1800,3.2,0)+IF(H202=2000,3.4,0)+IF(H202=2200,3.6,0)+IF(H202=2400,3.8,0)+IF(H202=2600,4,0)+IF(H202=3000,4.4,0))</f>
        <v>0</v>
      </c>
      <c r="M202" s="104">
        <f t="shared" ref="M202:M207" si="1761">2*K202*I202+L202</f>
        <v>0</v>
      </c>
      <c r="N202" s="104">
        <f t="shared" ref="N202:N207" si="1762">IF(OR(D202="EXISTENTE",D202="AMPLIADA"),400,0)</f>
        <v>400</v>
      </c>
      <c r="O202" s="104">
        <f t="shared" ref="O202:O207" si="1763">IF(P202="TERRENO NATURAL",0,M202*G202)</f>
        <v>0</v>
      </c>
      <c r="P202" s="105" t="str">
        <f>VLOOKUP(B202,'Planilha Hidráulica'!$AE$36:$AQ$53,13,0)</f>
        <v>ASFALTO</v>
      </c>
      <c r="Q202" s="144" t="s">
        <v>2175</v>
      </c>
      <c r="R202" s="105">
        <v>1</v>
      </c>
      <c r="S202" s="105">
        <v>19.77</v>
      </c>
      <c r="T202" s="105">
        <v>5</v>
      </c>
      <c r="U202" s="104">
        <f t="shared" ref="U202:U207" si="1764">IF(H202=400,0.05,0)+IF(H202=500,0.05,0)+IF(H202=600,0.1,0)+IF(H202=800,0.1,0)+IF(H202=1000,0.15,0)+IF(H202=1200,0.15,0)+IF(H202=1500,0.2,0)+IF(H202=1650,0.2,0)+IF(H202=1800,0.2,0)+IF(H202=2000,0.25,0)+IF(H202=2200,0.25,0)+IF(H202=2400,0.25,0)+IF(H202=2600,0.25,0)+IF(H202=3000,0.25,0)</f>
        <v>0.05</v>
      </c>
      <c r="V202" s="106">
        <f t="shared" ref="V202:V207" si="1765">IF(L202=0,0,IF("EXISTENTE"=C202,0,IFERROR((PI()*(N202/1000)*(N202/1000)/4)*G202,0)))</f>
        <v>0</v>
      </c>
      <c r="W202" s="106">
        <f t="shared" ref="W202:W207" si="1766">IF(O202=0,0,((((K202*I202)*I202)/2)*2+L202*I202)*G202-V202+AO202)</f>
        <v>0</v>
      </c>
      <c r="X202" s="107">
        <f t="shared" ref="X202:X207" si="1767">W202-SUM(AC202:AJ202)</f>
        <v>0</v>
      </c>
      <c r="Y202" s="107">
        <f t="shared" ref="Y202:Y207" si="1768">IF(R202=1,IF(N202=0,I202+0.4,0.4),0)</f>
        <v>0.4</v>
      </c>
      <c r="Z202" s="107">
        <f t="shared" ref="Z202:Z207" si="1769">IF(Y202&gt;0.5,0,IF(S202&lt;I202,S202,I202))</f>
        <v>1.5842000000000003</v>
      </c>
      <c r="AA202" s="107">
        <f t="shared" ref="AA202:AA207" si="1770">I202-Z202</f>
        <v>0</v>
      </c>
      <c r="AB202" s="108">
        <f t="shared" ref="AB202:AB207" si="1771">IF(P202="ASFALTO",IF(D202="PROJETADA",O202,IF(D202="EXISTENTE",0,O202/2)),0)</f>
        <v>0</v>
      </c>
      <c r="AC202" s="109">
        <f t="shared" ref="AC202:AC207" si="1772">IF(Y202=0,0,IF(Y202=0.4,IF(L202&lt;=1.5,IF(Z202+0.4&gt;=1.5,0,L202*G202*0.4),0),IF(L202&lt;=1.5,IF(Y202&gt;=1.5,M202*G202*1.5,L202*G202*(Y202)),0)+IF(S202&lt;I202+0.4,0,IF(AND(Y202&lt;=1.5,L202&lt;=1.5),-V202,0))))</f>
        <v>0</v>
      </c>
      <c r="AD202" s="109">
        <f t="shared" ref="AD202:AD207" si="1773">IF(Y202=0,0,IF(Y202=0.4,IF(L202&lt;=1.5,IF(OR(Z202+0.4&gt;=3,Z202+0.4&lt;1.5),0,L202*G202*0.4),0),IF(IF(L202&lt;=1.5,IF(Y202&gt;=3,M202*G202*1.5,L202*G202*(Y202-1.5)),0)&lt;0,0,IF(L202&lt;=1.5,IF(Y202&gt;=3,M202*G202*1.5,L202*G202*(Y202-1.5)),0))+IF(S202&lt;I202+0.4,0,IF(AND(Y202&lt;=3,L202&lt;=1.5),-V202,0))))</f>
        <v>0</v>
      </c>
      <c r="AE202" s="109">
        <f t="shared" ref="AE202:AE207" si="1774">IF(Y202=0,0,IF(Y202=0.4,IF(L202&lt;=1.5,IF(OR(Z202+0.4&gt;=4.5,Z202+0.4&lt;3),0,L202*G202*0.4),0),IF(IF(L202&lt;=1.5,IF(Y202&gt;=4.5,M202*G202*1.5,L202*G202*(Y202-3)),0)&lt;0,0,IF(L202&lt;=1.5,IF(Y202&gt;=4.5,M202*G202*1.5,L202*G202*(Y202-3)),0))+IF(S202&lt;I202+0.4,0,IF(AND(Y202&lt;=4.5,L202&lt;=1.5),-V202,0))))</f>
        <v>0</v>
      </c>
      <c r="AF202" s="109">
        <f>IF(L202&lt;=1.5,IF(Z202&gt;=1.5,M202*G202*1.5,L202*G202*Z202),0)+IF(S202&lt;I202,0,IF(AND(Z202&lt;=1.5,L202&lt;=1.5),-V202,0))-V202</f>
        <v>0</v>
      </c>
      <c r="AG202" s="109">
        <f>IF(IF(L202&lt;=1.5,IF(Z202&gt;=3,M202*G202*1.5,L202*G202*(Z202-1.5)),0)&lt;0,0,IF(L202&lt;=1.5,IF(Z202&gt;=3,M202*G202*1.5,L202*G202*(Z202-1.5)),0))</f>
        <v>0</v>
      </c>
      <c r="AH202" s="109">
        <f t="shared" ref="AH202:AH207" si="1775">IF(IF(IF(L202&lt;=1.5,IF(Z202&gt;=4.5,M202*G202*1.5,L202*G202*(Z202-3)),0)&lt;0,0,IF(L202&lt;=1.5,IF(Z202&gt;=4.5,M202*G202*1.5,L202*G202*(Z202-3)),0))+IF(S202&lt;I202,0,IF(AND(Z202&lt;=4.5,L202&lt;=1.5),-V202,0))&lt;0,0,IF(IF(L202&lt;=1.5,IF(Z202&gt;=4.5,M202*G202*1.5,L202*G202*(Z202-3)),0)&lt;0,0,IF(L202&lt;=1.5,IF(Z202&gt;=4.5,M202*G202*1.5,L202*G202*(Z202-3)),0))+IF(S202&lt;I202,0,IF(AND(Z202&lt;=4.5,L202&lt;=1.5),-V202,0)))</f>
        <v>0</v>
      </c>
      <c r="AI202" s="537" t="str">
        <f t="shared" ref="AI202:AI207" si="1776">IF(I202&gt;S202,"SIM","NÃO")</f>
        <v>NÃO</v>
      </c>
      <c r="AJ202" s="104">
        <f t="shared" ref="AJ202:AJ207" si="1777">W202-SUM(AC202:AH202)</f>
        <v>0</v>
      </c>
      <c r="AK202" s="104">
        <f t="shared" ref="AK202:AK207" si="1778">IF(I202-T202&lt;0,0,(I202-T202)*G202)/75</f>
        <v>0</v>
      </c>
      <c r="AL202" s="104">
        <f t="shared" ref="AL202:AL207" si="1779">IF(L202=0,0,G202*L202*I202-PI()*(H202/1000)*(H202/1000)/4*G202+AO202)</f>
        <v>0</v>
      </c>
      <c r="AM202" s="102">
        <f t="shared" ref="AM202:AM207" si="1780">IF(L202&lt;1.5,L202*G202*IF(H202&lt;=500,0.05,IF(H202&lt;=800,0.1,IF(H202&lt;=1200,0.15,IF(H202&gt;=1500,0.2)))),0)</f>
        <v>0</v>
      </c>
      <c r="AN202" s="106">
        <f t="shared" ref="AN202:AN207" si="1781">IF(L202&gt;=1.5,L202*G202*IF(H202&lt;=500,0.05,IF(H202&lt;=800,0.1,IF(H202&lt;=1200,0.15,IF(H202&gt;=1500,0.2)))),0)</f>
        <v>0</v>
      </c>
      <c r="AO202" s="104">
        <f t="shared" ref="AO202:AO207" si="1782">IF(R202=1,0.5*G202*L202,0)</f>
        <v>0</v>
      </c>
      <c r="AP202" s="104">
        <f t="shared" ref="AP202:AP207" si="1783">IF(AO202&lt;SUM(AF202:AH202),0,AO202)</f>
        <v>0</v>
      </c>
      <c r="AQ202" s="104">
        <f t="shared" ref="AQ202:AQ207" si="1784">H202/1000+0.3</f>
        <v>0.7</v>
      </c>
      <c r="AR202" s="104">
        <f t="shared" ref="AR202:AR207" si="1785">IF(D202&lt;&gt;"PROJETADA",0,AQ202*L202*G202-PI()*(H202/1000*H202/1000)/4*G202)</f>
        <v>0</v>
      </c>
      <c r="AS202" s="104">
        <f t="shared" ref="AS202:AS207" si="1786">IF(AR202&lt;SUM(AF202:AH202),0,AR202)</f>
        <v>0</v>
      </c>
      <c r="AT202" s="104">
        <f t="shared" ref="AT202:AT207" si="1787">IF(P202="ASFALTO",0.15*G202*L202,0)</f>
        <v>0</v>
      </c>
      <c r="AU202" s="104">
        <f t="shared" ref="AU202:AU207" si="1788">AT202</f>
        <v>0</v>
      </c>
      <c r="AV202" s="104">
        <f t="shared" ref="AV202:AV207" si="1789">IF(P202="ASFALTO",0.03*G202*L202,0)</f>
        <v>0</v>
      </c>
      <c r="AW202" s="104">
        <f t="shared" ref="AW202:AW207" si="1790">AL202-AO202-SUM(AM202:AN202)-AT202-AU202-AR202</f>
        <v>0</v>
      </c>
      <c r="AX202" s="104">
        <f t="shared" ref="AX202:AX207" si="1791">SUM(AF202:AH202)-AO202-AT202-AR202</f>
        <v>0</v>
      </c>
      <c r="AY202" s="104">
        <f t="shared" ref="AY202:AY207" si="1792">SMALL(AW202:AX202,1)</f>
        <v>0</v>
      </c>
      <c r="AZ202" s="104">
        <f t="shared" ref="AZ202:AZ207" si="1793">AW202-AY202</f>
        <v>0</v>
      </c>
      <c r="BA202" s="104">
        <f t="shared" ref="BA202:BA207" si="1794">IF($AZ$246&gt;$BA$248,($BA$248/$AZ$246)*AZ202,AZ202)</f>
        <v>0</v>
      </c>
      <c r="BB202" s="104">
        <f t="shared" ref="BB202:BB207" si="1795">AZ202-BA202</f>
        <v>0</v>
      </c>
      <c r="BC202" s="104"/>
      <c r="BD202" s="104">
        <f t="shared" ref="BD202:BD207" si="1796">IF(AO202+AT202&gt;0,4%*(AO202+AT202),0)</f>
        <v>0</v>
      </c>
      <c r="BE202" s="108">
        <f t="shared" ref="BE202:BE207" si="1797">IF(H202=400,I202,0)</f>
        <v>1.5842000000000003</v>
      </c>
      <c r="BF202" s="110">
        <f t="shared" ref="BF202:BF207" si="1798">IF(BE202&lt;=1.75,G202*IF(D202="PROJETADA",1,0),0)</f>
        <v>0</v>
      </c>
      <c r="BG202" s="110">
        <f t="shared" ref="BG202:BG207" si="1799">IF(AND(BE202&lt;=3,BE202&gt;1.75),IF(D202="PROJETADA",1,0)*G202,0)</f>
        <v>0</v>
      </c>
      <c r="BH202" s="105" t="str">
        <f>VLOOKUP(A202,'BOCA DE LOBO'!C:I,7,0)</f>
        <v>BOCA DE LOBO EXISTENTE DUPLA</v>
      </c>
      <c r="BI202" s="104">
        <f t="shared" ref="BI202:BI207" si="1800">IF(BH202=$BI$198,1,0)</f>
        <v>0</v>
      </c>
      <c r="BJ202" s="104">
        <f t="shared" ref="BJ202:BJ207" si="1801">IF(BH202=$BJ$198,1,0)</f>
        <v>0</v>
      </c>
      <c r="BK202" s="104">
        <f t="shared" ref="BK202:BK207" si="1802">IF(BH202=$BK$198,1,0)</f>
        <v>0</v>
      </c>
      <c r="BL202" s="104">
        <f t="shared" ref="BL202:BL207" si="1803">IF(BH202=$BL$198,1,0)</f>
        <v>0</v>
      </c>
      <c r="BM202" s="104">
        <f t="shared" ref="BM202:BM207" si="1804">IF(BH202=$BM$198,1,0)</f>
        <v>0</v>
      </c>
      <c r="BN202" s="104">
        <f t="shared" ref="BN202:BN207" si="1805">IF(BH202=$BN$198,1,0)</f>
        <v>0</v>
      </c>
      <c r="BO202" s="104">
        <f t="shared" ref="BO202:BO207" si="1806">IF(BH202=$BO$198,1,0)</f>
        <v>0</v>
      </c>
      <c r="BP202" s="111"/>
      <c r="BQ202" s="108">
        <f t="shared" ref="BQ202:BQ207" si="1807">IF(L202&lt;=1.5,IF(I202+IF(R202=1,0.5,0)&lt;1.5,(I202+IF(R202=1,0.5,0))*G202*2,G202*2*1.5),0)</f>
        <v>21.87</v>
      </c>
      <c r="BR202" s="108">
        <f t="shared" ref="BR202:BR207" si="1808">IF(L202&lt;=1.5,IF(AND(I202+IF(R202=1,0.5,0)&lt;3,I202+IF(R202=1,0.5,0)&gt;1.5),(I202+IF(R202=1,0.5,0)-1.5)*G202*2,IF(I202+IF(R202=1,0.5,0)&gt;=3,(G202*2*1.5),0)),0)</f>
        <v>8.5176360000000013</v>
      </c>
      <c r="BS202" s="108">
        <f t="shared" ref="BS202:BS207" si="1809">IF(L202&lt;=1.5,IF(AND(I202+IF(R202=1,0.5,0)&lt;4.5,I202+IF(R202=1,0.5,0)&gt;3),(I202+IF(R202=1,0.5,0)-3)*G202*2,IF(I202+IF(R202=1,0.5,0)&gt;=4.5,(G202*2*1.5),0)),0)</f>
        <v>0</v>
      </c>
      <c r="BV202" s="538">
        <f t="shared" ref="BV202:BV207" si="1810">IF(OR("BOCA DE LOBO EXISTENTE TRIPLA"=BH202,"BOCA DE LOBO EXISTENTE SIMPLES"=BH202,"BOCA DE LOBO EXISTENTE DUPLA"=BH202),0,IF("BOCA DE LOBO PROJETADA DUPLA"=BH202,(2.57+1)*(1.18+1),IF(OR("BOCA DE LOBO DUPLA EXISTENTE COM BOCA DE LOBO SIMPLES PROJETADA"=BH202,"BOCA DE LOBO SIMPLES EXISTENTE COM BOCA DE LOBO SIMPLES PROJETADA"=BH202),(1.18+0.5)*(1.18+1),IF(OR(BH202="BOCA DE LOBO DUPLA EXISTENTE COM BOCA DE LOBO DUPLA PROJETADA",BH202="BOCA DE LOBO SIMPLES EXISTENTE COM BOCA DE LOBO DUPLA PROJETADA"),(2.38+0.5)*(1.18+1),IF("BOCA DE LOBO PROJETADA TRIPLA"=BH202,(3.76+1)*(1.18+1),IF("BOCA DE LOBO PROJETADA QUADRUPLA"=BH202,(4.92+1)*(1.18+1),"X"))))))*(E202+IF(CA202&gt;0,0.5,0))</f>
        <v>0</v>
      </c>
      <c r="BW202" s="538">
        <f t="shared" ref="BW202:BW207" si="1811">IF(OR("BOCA DE LOBO EXISTENTE TRIPLA"=BH202,"BOCA DE LOBO EXISTENTE SIMPLES"=BH202,"BOCA DE LOBO EXISTENTE DUPLA"=BH202,"BOCA DE LOBO EXISTENTE QUADRUPLA"=BH202),0,IF("BOCA DE LOBO PROJETADA DUPLA"=BH202,(2.57+1)*(1.18+1),IF(OR("BOCA DE LOBO DUPLA EXISTENTE COM BOCA DE LOBO SIMPLES PROJETADA"=BH202,"BOCA DE LOBO SIMPLES EXISTENTE COM BOCA DE LOBO SIMPLES PROJETADA"=BH202),(1.18+1)*(1.18+0.5),IF(OR(BH202="BOCA DE LOBO DUPLA EXISTENTE COM BOCA DE LOBO DUPLA PROJETADA",BH202="BOCA DE LOBO SIMPLES EXISTENTE COM BOCA DE LOBO DUPLA PROJETADA"),(2.38+0.5)*(1.18+1),IF("BOCA DE LOBO PROJETADA TRIPLA"=BH202,(3.76+0.5*2)*(1.18+1),IF("BOCA DE LOBO PROJETADA QUADRUPLA"=BH202,(4.92+0.5*2)*(1.18+1),"X"))))))</f>
        <v>0</v>
      </c>
      <c r="BX202" s="538">
        <f t="shared" ref="BX202:BX207" si="1812">IF(OR("BOCA DE LOBO EXISTENTE TRIPLA"=BH202,"BOCA DE LOBO EXISTENTE SIMPLES"=BH202,"BOCA DE LOBO EXISTENTE DUPLA"=BH202,"BOCA DE LOBO EXISTENTE QUADRUPLA"=BH202),0,IF("BOCA DE LOBO PROJETADA DUPLA"=BH202,(2.57)*(1.18),IF(OR("BOCA DE LOBO DUPLA EXISTENTE COM BOCA DE LOBO SIMPLES PROJETADA"=BH202,"BOCA DE LOBO SIMPLES EXISTENTE COM BOCA DE LOBO SIMPLES PROJETADA"=BH202),(1.18)*(1.18),IF(OR(BH202="BOCA DE LOBO DUPLA EXISTENTE COM BOCA DE LOBO DUPLA PROJETADA",BH202="BOCA DE LOBO SIMPLES EXISTENTE COM BOCA DE LOBO DUPLA PROJETADA"),(2.38)*(1.18),IF("BOCA DE LOBO PROJETADA TRIPLA"=BH202,(3.76)*(1.18),IF("BOCA DE LOBO PROJETADA QUADRUPLA"=BH202,(4.92)*(1.18),"X"))))))</f>
        <v>0</v>
      </c>
      <c r="BY202" s="538">
        <f t="shared" ref="BY202:BY207" si="1813">E202</f>
        <v>1.3084</v>
      </c>
      <c r="BZ202" s="538">
        <f t="shared" ref="BZ202:BZ207" si="1814">IF(Y202&gt;0.5,0,IF(S202&lt;E202,S202,E202))</f>
        <v>1.3084</v>
      </c>
      <c r="CA202" s="538">
        <f t="shared" ref="CA202:CA207" si="1815">IF(Y202&gt;0.4,BY202+0.4,Y202)</f>
        <v>0.4</v>
      </c>
      <c r="CB202" s="538">
        <f t="shared" ref="CB202:CB207" si="1816">IF(S202&gt;E202,0,E202-S202)</f>
        <v>0</v>
      </c>
      <c r="CC202" s="538">
        <f t="shared" ref="CC202:CC207" si="1817">IF(BZ202&gt;1.5,BW202*1.5,BW202*BZ202)</f>
        <v>0</v>
      </c>
      <c r="CD202" s="538">
        <f t="shared" ref="CD202:CD207" si="1818">IF(BZ202&gt;1.5,BW202*(BZ202-1.5),0)</f>
        <v>0</v>
      </c>
      <c r="CE202" s="538">
        <f t="shared" ref="CE202:CE207" si="1819">IF(CA202=0.4,IF(BZ202+CA202&gt;1.5,0,CA202*BW202),IF(CA202&gt;1.5,BW202*1.5,BW202*CA202))</f>
        <v>0</v>
      </c>
      <c r="CF202" s="538">
        <f t="shared" ref="CF202:CF207" si="1820">IF(CA202=0.4,IF(BZ202+CA202&lt;=1.5,0,CA202*BW202),IF(CA202&gt;1.5,BW202*(CA202-1.5),0))</f>
        <v>0</v>
      </c>
      <c r="CG202" s="538">
        <f t="shared" ref="CG202:CG207" si="1821">BV202-SUM(CC202:CF202)</f>
        <v>0</v>
      </c>
      <c r="CH202" s="538">
        <f t="shared" ref="CH202:CH207" si="1822">SUM(CC202:CG202)-BV202</f>
        <v>0</v>
      </c>
      <c r="CI202" s="104">
        <f t="shared" ref="CI202:CI207" si="1823">IF(OR("BOCA DE LOBO EXISTENTE TRIPLA"=BH202,"BOCA DE LOBO EXISTENTE SIMPLES"=BH202,"BOCA DE LOBO EXISTENTE DUPLA"=BH202),0,IF("BOCA DE LOBO PROJETADA DUPLA"=BH202,(2.57+1)*(0.5),IF(OR("BOCA DE LOBO DUPLA EXISTENTE COM BOCA DE LOBO SIMPLES PROJETADA"=BH202,"BOCA DE LOBO SIMPLES EXISTENTE COM BOCA DE LOBO SIMPLES PROJETADA"=BH202),(1.18+0.5)*(0.5),IF(OR(BH202="BOCA DE LOBO DUPLA EXISTENTE COM BOCA DE LOBO DUPLA PROJETADA",BH202="BOCA DE LOBO SIMPLES EXISTENTE COM BOCA DE LOBO DUPLA PROJETADA"),(2.38+0.5)*(0.5),IF("BOCA DE LOBO PROJETADA TRIPLA"=BH202,(3.76+1)*(0.5),IF("BOCA DE LOBO PROJETADA QUADRUPLA"=BH202,(4.92+1)*(0.5),"X")))))*0.3)</f>
        <v>0</v>
      </c>
      <c r="CJ202" s="538">
        <f t="shared" ref="CJ202:CJ207" si="1824">(BW202-BX202)*(BY202+IF(CA202&gt;=0.4,0.4,0))-CI202</f>
        <v>0</v>
      </c>
      <c r="CK202" s="538">
        <f t="shared" ref="CK202:CK207" si="1825">IF($CK$248&gt;$CJ$246,CJ202,CJ202*$CK$248/$CJ$246)</f>
        <v>0</v>
      </c>
      <c r="CL202" s="538">
        <f t="shared" ref="CL202:CL207" si="1826">CJ202-CK202</f>
        <v>0</v>
      </c>
      <c r="CM202" s="538">
        <f t="shared" ref="CM202:CM207" si="1827">IF(CA202&gt;0,0.5*4%*BW202,0)</f>
        <v>0</v>
      </c>
      <c r="CN202" s="538">
        <f t="shared" ref="CN202:CN207" si="1828">IF(OR("BOCA DE LOBO EXISTENTE TRIPLA"=BH202,"BOCA DE LOBO EXISTENTE SIMPLES"=BH202,"BOCA DE LOBO EXISTENTE DUPLA"=BH202),0,IF("BOCA DE LOBO PROJETADA DUPLA"=BH202,(2.57+1),IF(OR("BOCA DE LOBO DUPLA EXISTENTE COM BOCA DE LOBO SIMPLES PROJETADA"=BH202,"BOCA DE LOBO SIMPLES EXISTENTE COM BOCA DE LOBO SIMPLES PROJETADA"=BH202),(1.18+0.5),IF(OR(BH202="BOCA DE LOBO DUPLA EXISTENTE COM BOCA DE LOBO DUPLA PROJETADA",BH202="BOCA DE LOBO SIMPLES EXISTENTE COM BOCA DE LOBO DUPLA PROJETADA"),(2.38+0.5),IF("BOCA DE LOBO PROJETADA TRIPLA"=BH202,(3.76+0.5*2),IF("BOCA DE LOBO PROJETADA QUADRUPLA"=BH202,(4.92+0.5*2),"X"))))))</f>
        <v>0</v>
      </c>
      <c r="CO202" s="538">
        <f t="shared" ref="CO202:CO207" si="1829">IF(CA202&gt;0,BY202+0.5,BY202)</f>
        <v>1.8084</v>
      </c>
      <c r="CP202" s="538">
        <f t="shared" ref="CP202:CP207" si="1830">IF(CO202&gt;=1.5,CN202*1.5*2,CN202*CO202*2)</f>
        <v>0</v>
      </c>
      <c r="CQ202" s="538">
        <f t="shared" ref="CQ202:CQ207" si="1831">IF(CO202&lt;=1.5,0,IF(CO202&gt;=3,CN202*1.5*2,CN202*(CO202-1.5)*2))</f>
        <v>0</v>
      </c>
      <c r="CR202" s="539">
        <f t="shared" ref="CR202:CR207" si="1832">IF(D202="AMPLIADA",0.55*(E202-0.5),0)</f>
        <v>0</v>
      </c>
      <c r="CS202" s="540">
        <f t="shared" ref="CS202:CS207" si="1833">IF(OR("BOCA DE LOBO EXISTENTE TRIPLA"=BH202,"BOCA DE LOBO EXISTENTE SIMPLES"=BH202,"BOCA DE LOBO EXISTENTE DUPLA"=BH202,"BOCA DE LOBO EXISTENTE QUADRUPLA"=BH202),0,IF("BOCA DE LOBO PROJETADA DUPLA"=BH202,(0),IF(OR("BOCA DE LOBO DUPLA EXISTENTE COM BOCA DE LOBO SIMPLES PROJETADA"=BH202,"BOCA DE LOBO SIMPLES EXISTENTE COM BOCA DE LOBO SIMPLES PROJETADA"=BH202),(0.8*0.15*0.17),IF(OR(BH202="BOCA DE LOBO DUPLA EXISTENTE COM BOCA DE LOBO DUPLA PROJETADA",BH202="BOCA DE LOBO SIMPLES EXISTENTE COM BOCA DE LOBO DUPLA PROJETADA"),(0.8*0.15*0.17),IF("BOCA DE LOBO PROJETADA TRIPLA"=BH202,(0),IF("BOCA DE LOBO PROJETADA QUADRUPLA"=BH202,(0),"X")))))*E202)</f>
        <v>0</v>
      </c>
      <c r="CT202" s="540">
        <f t="shared" ref="CT202:CT207" si="1834">IF(OR("BOCA DE LOBO EXISTENTE TRIPLA"=BH202,"BOCA DE LOBO EXISTENTE SIMPLES"=BH202,"BOCA DE LOBO EXISTENTE DUPLA"=BH202,"BOCA DE LOBO EXISTENTE QUADRUPLA"=BH202),0,IF("BOCA DE LOBO PROJETADA DUPLA"=BH202,(1.18*2.57*0.05),IF(OR("BOCA DE LOBO DUPLA EXISTENTE COM BOCA DE LOBO SIMPLES PROJETADA"=BH202,"BOCA DE LOBO SIMPLES EXISTENTE COM BOCA DE LOBO SIMPLES PROJETADA"=BH202),(1.19*1.18*0.05),IF(OR(BH202="BOCA DE LOBO DUPLA EXISTENTE COM BOCA DE LOBO DUPLA PROJETADA",BH202="BOCA DE LOBO SIMPLES EXISTENTE COM BOCA DE LOBO DUPLA PROJETADA"),(2.38*1.18*0.056),IF("BOCA DE LOBO PROJETADA TRIPLA"=BH202,(3.76*1.18*0.05),IF("BOCA DE LOBO PROJETADA QUADRUPLA"=BH202,(4.92*1.18*0.05),"X")))))+CI202/3)</f>
        <v>0</v>
      </c>
      <c r="CU202" s="541">
        <f t="shared" ref="CU202:CU207" si="1835">IF(OR("BOCA DE LOBO EXISTENTE TRIPLA"=BH202,"BOCA DE LOBO EXISTENTE SIMPLES"=BH202,"BOCA DE LOBO EXISTENTE DUPLA"=BH202,"BOCA DE LOBO EXISTENTE QUADRUPLA"=BH202),0,IF("BOCA DE LOBO PROJETADA DUPLA"=BH202,(1*4+0.6*2),IF(OR("BOCA DE LOBO DUPLA EXISTENTE COM BOCA DE LOBO SIMPLES PROJETADA"=BH202,"BOCA DE LOBO SIMPLES EXISTENTE COM BOCA DE LOBO SIMPLES PROJETADA"=BH202),(1*2+0.6),IF(OR(BH202="BOCA DE LOBO DUPLA EXISTENTE COM BOCA DE LOBO DUPLA PROJETADA",BH202="BOCA DE LOBO SIMPLES EXISTENTE COM BOCA DE LOBO DUPLA PROJETADA"),(1*4+0.6),IF("BOCA DE LOBO PROJETADA TRIPLA"=BH202,(6*1+0.6*2),IF("BOCA DE LOBO PROJETADA QUADRUPLA"=BH202,(8*1+0.6*2),"X")))))*E202)</f>
        <v>0</v>
      </c>
      <c r="CV202" s="538">
        <f t="shared" ref="CV202:CV207" si="1836">IF(OR("BOCA DE LOBO EXISTENTE TRIPLA"=BH202,"BOCA DE LOBO EXISTENTE SIMPLES"=BH202,"BOCA DE LOBO EXISTENTE DUPLA"=BH202,"BOCA DE LOBO EXISTENTE QUADRUPLA"=BH202),0,IF("BOCA DE LOBO PROJETADA DUPLA"=BH202,(12*E202*0.17*0.15+1*0.17*0.15*5+1.09*0.6*0.07*2+2.57*1.18*0.15),IF(OR("BOCA DE LOBO DUPLA EXISTENTE COM BOCA DE LOBO SIMPLES PROJETADA"=BH202,"BOCA DE LOBO SIMPLES EXISTENTE COM BOCA DE LOBO SIMPLES PROJETADA"=BH202),(8*E202*0.17*0.15+1*0.17*0.15*4+1.09*0.6*0.07*1+1.38*1.18*0.15),IF(OR(BH202="BOCA DE LOBO DUPLA EXISTENTE COM BOCA DE LOBO DUPLA PROJETADA",BH202="BOCA DE LOBO SIMPLES EXISTENTE COM BOCA DE LOBO DUPLA PROJETADA"),(7*E202*0.17*0.15+1*0.17*0.15*5+1.09*0.6*0.07*2+2.38*1.18*0.15),IF("BOCA DE LOBO PROJETADA TRIPLA"=BH202,(15*E202*0.17*0.15+1*0.17*0.15*7+1.09*0.6*0.07*3+3.76*1.18*0.15),IF("BOCA DE LOBO PROJETADA QUADRUPLA"=BH202,(19*E202*0.17*0.15+1*0.17*0.15*9+1.09*0.6*0.07*4+4.92*1.18*0.15),"X"))))))</f>
        <v>0</v>
      </c>
      <c r="CW202" s="538">
        <f t="shared" ref="CW202:CW207" si="1837">IF(OR("BOCA DE LOBO EXISTENTE TRIPLA"=BH202,"BOCA DE LOBO EXISTENTE SIMPLES"=BH202,"BOCA DE LOBO EXISTENTE DUPLA"=BH202,"BOCA DE LOBO EXISTENTE QUADRUPLA"=BH202),0,IF("BOCA DE LOBO PROJETADA DUPLA"=BH202,(12*E202*2*(0.17+0.15)+1*(2*0.17+0.15)*5+2*(2.57+1.18)*0.15+(1.09+0.6)*2*0.07*2),IF(OR("BOCA DE LOBO DUPLA EXISTENTE COM BOCA DE LOBO SIMPLES PROJETADA"=BH202,"BOCA DE LOBO SIMPLES EXISTENTE COM BOCA DE LOBO SIMPLES PROJETADA"=BH202),(8*E202*2*(0.17+0.15)+1*(2*0.17+0.15)*4+2*(1.38+1.18)*0.15+(1.09+0.6)*2*0.07*1),IF(OR(BH202="BOCA DE LOBO DUPLA EXISTENTE COM BOCA DE LOBO DUPLA PROJETADA",BH202="BOCA DE LOBO SIMPLES EXISTENTE COM BOCA DE LOBO DUPLA PROJETADA"),(7*E202*2*(0.17+0.15)+1*(2*0.17+0.15)*5+2*(2.38+1.18)*0.15+(1.09+0.6)*2*0.07*2),IF("BOCA DE LOBO PROJETADA TRIPLA"=BH202,(15*E202*2*(0.17+0.15)+1*(2*0.17+0.15)*7+2*(3.76+1.18)*0.15+(1.09+0.6)*2*0.07*3),IF("BOCA DE LOBO PROJETADA QUADRUPLA"=BH202,(19*E202*2*(0.17+0.15)+1*(2*0.17+0.15)*7+2*(4.92+1.18)*0.15+(1.09+0.6)*2*0.07*4),"X"))))))</f>
        <v>0</v>
      </c>
      <c r="CX202" s="104">
        <f t="shared" ref="CX202:CX207" si="1838">IF(OR("BOCA DE LOBO EXISTENTE TRIPLA"=BH202,"BOCA DE LOBO EXISTENTE SIMPLES"=BH202,"BOCA DE LOBO EXISTENTE DUPLA"=BH202,"BOCA DE LOBO EXISTENTE QUADRUPLA"=BH202),0,IF("BOCA DE LOBO PROJETADA DUPLA"=BH202,(2.57+1),IF(OR("BOCA DE LOBO DUPLA EXISTENTE COM BOCA DE LOBO SIMPLES PROJETADA"=BH202,"BOCA DE LOBO SIMPLES EXISTENTE COM BOCA DE LOBO SIMPLES PROJETADA"=BH202),(1.18+0.5),IF(OR(BH202="BOCA DE LOBO DUPLA EXISTENTE COM BOCA DE LOBO DUPLA PROJETADA",BH202="BOCA DE LOBO SIMPLES EXISTENTE COM BOCA DE LOBO DUPLA PROJETADA"),(2.38+0.5),IF("BOCA DE LOBO PROJETADA TRIPLA"=BH202,(3.76+1),IF("BOCA DE LOBO PROJETADA QUADRUPLA"=BH202,(4.92+1),"X"))))))</f>
        <v>0</v>
      </c>
      <c r="CY202" s="542">
        <f t="shared" ref="CY202:CY207" si="1839">CX202*0.5</f>
        <v>0</v>
      </c>
      <c r="CZ202" s="538">
        <f t="shared" ref="CZ202:CZ207" si="1840">IF(AND(C202="EXISTENTE",D202="PROJETADA"),PI()*0.51*0.51/4*0.12,0)</f>
        <v>0</v>
      </c>
    </row>
    <row r="203" spans="1:104" s="112" customFormat="1" ht="25" x14ac:dyDescent="0.25">
      <c r="A203" s="100" t="str">
        <f>'BOCA DE LOBO'!C181</f>
        <v>BL3-&gt;PV2.1</v>
      </c>
      <c r="B203" s="100" t="str">
        <f>'BOCA DE LOBO'!A181</f>
        <v>PV2.1</v>
      </c>
      <c r="C203" s="100" t="str">
        <f>VLOOKUP(A203,'BOCA DE LOBO'!C:F,3,0)</f>
        <v>PROJETADO</v>
      </c>
      <c r="D203" s="100" t="str">
        <f>VLOOKUP(A203,'BOCA DE LOBO'!C:M,10,0)</f>
        <v>PROJETADA</v>
      </c>
      <c r="E203" s="100">
        <f t="shared" si="1757"/>
        <v>1.5644</v>
      </c>
      <c r="F203" s="100">
        <f>VLOOKUP(A203,'BOCA DE LOBO'!$C$178:$L$224,2,0)</f>
        <v>1.6</v>
      </c>
      <c r="G203" s="100">
        <f>VLOOKUP(A203,'BOCA DE LOBO'!$C$178:$L$224,4,0)</f>
        <v>0.89</v>
      </c>
      <c r="H203" s="101">
        <v>400</v>
      </c>
      <c r="I203" s="102">
        <f t="shared" si="1758"/>
        <v>1.7122000000000002</v>
      </c>
      <c r="J203" s="102">
        <f t="shared" si="1759"/>
        <v>7.6192900000000008E-2</v>
      </c>
      <c r="K203" s="103">
        <v>0</v>
      </c>
      <c r="L203" s="104">
        <f t="shared" si="1760"/>
        <v>1</v>
      </c>
      <c r="M203" s="104">
        <f t="shared" si="1761"/>
        <v>1</v>
      </c>
      <c r="N203" s="104">
        <f t="shared" si="1762"/>
        <v>0</v>
      </c>
      <c r="O203" s="104">
        <f t="shared" si="1763"/>
        <v>0.89</v>
      </c>
      <c r="P203" s="105" t="str">
        <f>VLOOKUP(B203,'Planilha Hidráulica'!$AE$36:$AQ$53,13,0)</f>
        <v>ASFALTO</v>
      </c>
      <c r="Q203" s="144" t="s">
        <v>2175</v>
      </c>
      <c r="R203" s="105"/>
      <c r="S203" s="105">
        <v>19.77</v>
      </c>
      <c r="T203" s="105">
        <v>5</v>
      </c>
      <c r="U203" s="104">
        <f t="shared" si="1764"/>
        <v>0.05</v>
      </c>
      <c r="V203" s="106">
        <f t="shared" si="1765"/>
        <v>0</v>
      </c>
      <c r="W203" s="106">
        <f t="shared" si="1766"/>
        <v>1.5238580000000002</v>
      </c>
      <c r="X203" s="107">
        <f t="shared" si="1767"/>
        <v>0</v>
      </c>
      <c r="Y203" s="107">
        <f t="shared" si="1768"/>
        <v>0</v>
      </c>
      <c r="Z203" s="107">
        <f t="shared" si="1769"/>
        <v>1.7122000000000002</v>
      </c>
      <c r="AA203" s="107">
        <f t="shared" si="1770"/>
        <v>0</v>
      </c>
      <c r="AB203" s="108">
        <f t="shared" si="1771"/>
        <v>0.89</v>
      </c>
      <c r="AC203" s="109">
        <f t="shared" si="1772"/>
        <v>0</v>
      </c>
      <c r="AD203" s="109">
        <f t="shared" si="1773"/>
        <v>0</v>
      </c>
      <c r="AE203" s="109">
        <f t="shared" si="1774"/>
        <v>0</v>
      </c>
      <c r="AF203" s="109">
        <f>IF(L203&lt;=1.5,IF(Z203&gt;=1.5,M203*G203*1.5,L203*G203*Z203),0)+IF(S203&lt;I203,0,IF(AND(Z203&lt;=1.5,L203&lt;=1.5),-V203,0))-V203</f>
        <v>1.335</v>
      </c>
      <c r="AG203" s="109">
        <f>IF(IF(L203&lt;=1.5,IF(Z203&gt;=3,M203*G203*1.5,L203*G203*(Z203-1.5)),0)&lt;0,0,IF(L203&lt;=1.5,IF(Z203&gt;=3,M203*G203*1.5,L203*G203*(Z203-1.5)),0))</f>
        <v>0.18885800000000016</v>
      </c>
      <c r="AH203" s="109">
        <f t="shared" si="1775"/>
        <v>0</v>
      </c>
      <c r="AI203" s="537" t="str">
        <f t="shared" si="1776"/>
        <v>NÃO</v>
      </c>
      <c r="AJ203" s="104">
        <f t="shared" si="1777"/>
        <v>0</v>
      </c>
      <c r="AK203" s="104">
        <f t="shared" si="1778"/>
        <v>0</v>
      </c>
      <c r="AL203" s="104">
        <f t="shared" si="1779"/>
        <v>1.4120173015322035</v>
      </c>
      <c r="AM203" s="102">
        <f t="shared" si="1780"/>
        <v>4.4500000000000005E-2</v>
      </c>
      <c r="AN203" s="106">
        <f t="shared" si="1781"/>
        <v>0</v>
      </c>
      <c r="AO203" s="104">
        <f t="shared" si="1782"/>
        <v>0</v>
      </c>
      <c r="AP203" s="104">
        <f t="shared" si="1783"/>
        <v>0</v>
      </c>
      <c r="AQ203" s="104">
        <f t="shared" si="1784"/>
        <v>0.7</v>
      </c>
      <c r="AR203" s="104">
        <f t="shared" si="1785"/>
        <v>0.51115930153220335</v>
      </c>
      <c r="AS203" s="104">
        <f t="shared" si="1786"/>
        <v>0</v>
      </c>
      <c r="AT203" s="104">
        <f t="shared" si="1787"/>
        <v>0.13350000000000001</v>
      </c>
      <c r="AU203" s="104">
        <f t="shared" si="1788"/>
        <v>0.13350000000000001</v>
      </c>
      <c r="AV203" s="104">
        <f t="shared" si="1789"/>
        <v>2.6699999999999998E-2</v>
      </c>
      <c r="AW203" s="104">
        <f t="shared" si="1790"/>
        <v>0.58935800000000027</v>
      </c>
      <c r="AX203" s="104">
        <f t="shared" si="1791"/>
        <v>0.87919869846779686</v>
      </c>
      <c r="AY203" s="104">
        <f t="shared" si="1792"/>
        <v>0.58935800000000027</v>
      </c>
      <c r="AZ203" s="104">
        <f t="shared" si="1793"/>
        <v>0</v>
      </c>
      <c r="BA203" s="104">
        <f t="shared" si="1794"/>
        <v>0</v>
      </c>
      <c r="BB203" s="104">
        <f t="shared" si="1795"/>
        <v>0</v>
      </c>
      <c r="BC203" s="104"/>
      <c r="BD203" s="104">
        <f t="shared" si="1796"/>
        <v>5.3400000000000001E-3</v>
      </c>
      <c r="BE203" s="108">
        <f t="shared" si="1797"/>
        <v>1.7122000000000002</v>
      </c>
      <c r="BF203" s="110">
        <f t="shared" si="1798"/>
        <v>0.89</v>
      </c>
      <c r="BG203" s="110">
        <f t="shared" si="1799"/>
        <v>0</v>
      </c>
      <c r="BH203" s="105" t="str">
        <f>VLOOKUP(A203,'BOCA DE LOBO'!C:I,7,0)</f>
        <v>BOCA DE LOBO PROJETADA DUPLA</v>
      </c>
      <c r="BI203" s="104">
        <f t="shared" si="1800"/>
        <v>0</v>
      </c>
      <c r="BJ203" s="104">
        <f t="shared" si="1801"/>
        <v>0</v>
      </c>
      <c r="BK203" s="104">
        <f t="shared" si="1802"/>
        <v>0</v>
      </c>
      <c r="BL203" s="104">
        <f t="shared" si="1803"/>
        <v>0</v>
      </c>
      <c r="BM203" s="104">
        <f t="shared" si="1804"/>
        <v>0</v>
      </c>
      <c r="BN203" s="104">
        <f t="shared" si="1805"/>
        <v>1</v>
      </c>
      <c r="BO203" s="104">
        <f t="shared" si="1806"/>
        <v>0</v>
      </c>
      <c r="BP203" s="111"/>
      <c r="BQ203" s="108">
        <f t="shared" si="1807"/>
        <v>2.67</v>
      </c>
      <c r="BR203" s="108">
        <f t="shared" si="1808"/>
        <v>0.37771600000000033</v>
      </c>
      <c r="BS203" s="108">
        <f t="shared" si="1809"/>
        <v>0</v>
      </c>
      <c r="BV203" s="538">
        <f t="shared" si="1810"/>
        <v>12.175099439999999</v>
      </c>
      <c r="BW203" s="538">
        <f t="shared" si="1811"/>
        <v>7.7825999999999986</v>
      </c>
      <c r="BX203" s="538">
        <f t="shared" si="1812"/>
        <v>3.0325999999999995</v>
      </c>
      <c r="BY203" s="538">
        <f t="shared" si="1813"/>
        <v>1.5644</v>
      </c>
      <c r="BZ203" s="538">
        <f t="shared" si="1814"/>
        <v>1.5644</v>
      </c>
      <c r="CA203" s="538">
        <f t="shared" si="1815"/>
        <v>0</v>
      </c>
      <c r="CB203" s="538">
        <f t="shared" si="1816"/>
        <v>0</v>
      </c>
      <c r="CC203" s="538">
        <f t="shared" si="1817"/>
        <v>11.673899999999998</v>
      </c>
      <c r="CD203" s="538">
        <f t="shared" si="1818"/>
        <v>0.50119944000000005</v>
      </c>
      <c r="CE203" s="538">
        <f t="shared" si="1819"/>
        <v>0</v>
      </c>
      <c r="CF203" s="538">
        <f t="shared" si="1820"/>
        <v>0</v>
      </c>
      <c r="CG203" s="538">
        <f t="shared" si="1821"/>
        <v>0</v>
      </c>
      <c r="CH203" s="538">
        <f t="shared" si="1822"/>
        <v>0</v>
      </c>
      <c r="CI203" s="104">
        <f t="shared" si="1823"/>
        <v>0.53549999999999998</v>
      </c>
      <c r="CJ203" s="538">
        <f t="shared" si="1824"/>
        <v>6.8953999999999986</v>
      </c>
      <c r="CK203" s="538">
        <f t="shared" si="1825"/>
        <v>6.8953999999999986</v>
      </c>
      <c r="CL203" s="538">
        <f t="shared" si="1826"/>
        <v>0</v>
      </c>
      <c r="CM203" s="538">
        <f t="shared" si="1827"/>
        <v>0</v>
      </c>
      <c r="CN203" s="538">
        <f t="shared" si="1828"/>
        <v>3.57</v>
      </c>
      <c r="CO203" s="538">
        <f t="shared" si="1829"/>
        <v>1.5644</v>
      </c>
      <c r="CP203" s="538">
        <f t="shared" si="1830"/>
        <v>10.709999999999999</v>
      </c>
      <c r="CQ203" s="538">
        <f t="shared" si="1831"/>
        <v>0.45981600000000006</v>
      </c>
      <c r="CR203" s="539">
        <f t="shared" si="1832"/>
        <v>0</v>
      </c>
      <c r="CS203" s="540">
        <f t="shared" si="1833"/>
        <v>0</v>
      </c>
      <c r="CT203" s="540">
        <f t="shared" si="1834"/>
        <v>0.33012999999999998</v>
      </c>
      <c r="CU203" s="541">
        <f t="shared" si="1835"/>
        <v>8.1348800000000008</v>
      </c>
      <c r="CV203" s="538">
        <f t="shared" si="1836"/>
        <v>1.1526563999999999</v>
      </c>
      <c r="CW203" s="538">
        <f t="shared" si="1837"/>
        <v>16.062791999999998</v>
      </c>
      <c r="CX203" s="104">
        <f t="shared" si="1838"/>
        <v>3.57</v>
      </c>
      <c r="CY203" s="542">
        <f t="shared" si="1839"/>
        <v>1.7849999999999999</v>
      </c>
      <c r="CZ203" s="538">
        <f t="shared" si="1840"/>
        <v>0</v>
      </c>
    </row>
    <row r="204" spans="1:104" s="112" customFormat="1" ht="25" x14ac:dyDescent="0.25">
      <c r="A204" s="100" t="str">
        <f>'BOCA DE LOBO'!C182</f>
        <v>BL4-&gt;PV3.1</v>
      </c>
      <c r="B204" s="100" t="str">
        <f>'BOCA DE LOBO'!A182</f>
        <v>PV3.1</v>
      </c>
      <c r="C204" s="100" t="str">
        <f>VLOOKUP(A204,'BOCA DE LOBO'!C:F,3,0)</f>
        <v>PROJETADO</v>
      </c>
      <c r="D204" s="100" t="str">
        <f>VLOOKUP(A204,'BOCA DE LOBO'!C:M,10,0)</f>
        <v>EXISTENTE</v>
      </c>
      <c r="E204" s="100">
        <f t="shared" si="1757"/>
        <v>1.2108000000000001</v>
      </c>
      <c r="F204" s="100">
        <f>VLOOKUP(A204,'BOCA DE LOBO'!$C$178:$L$224,2,0)</f>
        <v>1.6</v>
      </c>
      <c r="G204" s="100">
        <f>VLOOKUP(A204,'BOCA DE LOBO'!$C$178:$L$224,4,0)</f>
        <v>9.73</v>
      </c>
      <c r="H204" s="101">
        <v>400</v>
      </c>
      <c r="I204" s="102">
        <f t="shared" si="1758"/>
        <v>1.5354000000000003</v>
      </c>
      <c r="J204" s="102">
        <f t="shared" si="1759"/>
        <v>0</v>
      </c>
      <c r="K204" s="103">
        <v>0</v>
      </c>
      <c r="L204" s="104">
        <f t="shared" si="1760"/>
        <v>0</v>
      </c>
      <c r="M204" s="104">
        <f t="shared" si="1761"/>
        <v>0</v>
      </c>
      <c r="N204" s="104">
        <f t="shared" si="1762"/>
        <v>400</v>
      </c>
      <c r="O204" s="104">
        <f t="shared" si="1763"/>
        <v>0</v>
      </c>
      <c r="P204" s="105" t="str">
        <f>VLOOKUP(B204,'Planilha Hidráulica'!$AE$36:$AQ$53,13,0)</f>
        <v>ASFALTO</v>
      </c>
      <c r="Q204" s="468" t="s">
        <v>2071</v>
      </c>
      <c r="R204" s="105"/>
      <c r="S204" s="105">
        <f>VLOOKUP(Q204,Quantitativos!P:R,3,0)</f>
        <v>5</v>
      </c>
      <c r="T204" s="105">
        <f>VLOOKUP(Q204,Quantitativos!P:S,4,0)</f>
        <v>5</v>
      </c>
      <c r="U204" s="104">
        <f t="shared" si="1764"/>
        <v>0.05</v>
      </c>
      <c r="V204" s="106">
        <f t="shared" si="1765"/>
        <v>0</v>
      </c>
      <c r="W204" s="106">
        <f t="shared" si="1766"/>
        <v>0</v>
      </c>
      <c r="X204" s="107">
        <f t="shared" si="1767"/>
        <v>0</v>
      </c>
      <c r="Y204" s="107">
        <f t="shared" si="1768"/>
        <v>0</v>
      </c>
      <c r="Z204" s="107">
        <f t="shared" si="1769"/>
        <v>1.5354000000000003</v>
      </c>
      <c r="AA204" s="107">
        <f t="shared" si="1770"/>
        <v>0</v>
      </c>
      <c r="AB204" s="108">
        <f t="shared" si="1771"/>
        <v>0</v>
      </c>
      <c r="AC204" s="109">
        <f t="shared" si="1772"/>
        <v>0</v>
      </c>
      <c r="AD204" s="109">
        <f t="shared" si="1773"/>
        <v>0</v>
      </c>
      <c r="AE204" s="109">
        <f t="shared" si="1774"/>
        <v>0</v>
      </c>
      <c r="AF204" s="109">
        <f>IF(L204&lt;=1.5,IF(Z204&gt;=1.5,M204*G204*1.5,L204*G204*Z204),0)+IF(S204&lt;I204,0,IF(AND(Z204&lt;=1.5,L204&lt;=1.5),-V204,0))-V204</f>
        <v>0</v>
      </c>
      <c r="AG204" s="109">
        <f>IF(IF(L204&lt;=1.5,IF(Z204&gt;=3,M204*G204*1.5,L204*G204*(Z204-1.5)),0)&lt;0,0,IF(L204&lt;=1.5,IF(Z204&gt;=3,M204*G204*1.5,L204*G204*(Z204-1.5)),0))</f>
        <v>0</v>
      </c>
      <c r="AH204" s="109">
        <f t="shared" si="1775"/>
        <v>0</v>
      </c>
      <c r="AI204" s="537" t="str">
        <f t="shared" si="1776"/>
        <v>NÃO</v>
      </c>
      <c r="AJ204" s="104">
        <f t="shared" si="1777"/>
        <v>0</v>
      </c>
      <c r="AK204" s="104">
        <f t="shared" si="1778"/>
        <v>0</v>
      </c>
      <c r="AL204" s="104">
        <f t="shared" si="1779"/>
        <v>0</v>
      </c>
      <c r="AM204" s="102">
        <f t="shared" si="1780"/>
        <v>0</v>
      </c>
      <c r="AN204" s="106">
        <f t="shared" si="1781"/>
        <v>0</v>
      </c>
      <c r="AO204" s="104">
        <f t="shared" si="1782"/>
        <v>0</v>
      </c>
      <c r="AP204" s="104">
        <f t="shared" si="1783"/>
        <v>0</v>
      </c>
      <c r="AQ204" s="104">
        <f t="shared" si="1784"/>
        <v>0.7</v>
      </c>
      <c r="AR204" s="104">
        <f t="shared" si="1785"/>
        <v>0</v>
      </c>
      <c r="AS204" s="104">
        <f t="shared" si="1786"/>
        <v>0</v>
      </c>
      <c r="AT204" s="104">
        <f t="shared" si="1787"/>
        <v>0</v>
      </c>
      <c r="AU204" s="104">
        <f t="shared" si="1788"/>
        <v>0</v>
      </c>
      <c r="AV204" s="104">
        <f t="shared" si="1789"/>
        <v>0</v>
      </c>
      <c r="AW204" s="104">
        <f t="shared" si="1790"/>
        <v>0</v>
      </c>
      <c r="AX204" s="104">
        <f t="shared" si="1791"/>
        <v>0</v>
      </c>
      <c r="AY204" s="104">
        <f t="shared" si="1792"/>
        <v>0</v>
      </c>
      <c r="AZ204" s="104">
        <f t="shared" si="1793"/>
        <v>0</v>
      </c>
      <c r="BA204" s="104">
        <f t="shared" si="1794"/>
        <v>0</v>
      </c>
      <c r="BB204" s="104">
        <f t="shared" si="1795"/>
        <v>0</v>
      </c>
      <c r="BC204" s="104"/>
      <c r="BD204" s="104">
        <f t="shared" si="1796"/>
        <v>0</v>
      </c>
      <c r="BE204" s="108">
        <f t="shared" si="1797"/>
        <v>1.5354000000000003</v>
      </c>
      <c r="BF204" s="110">
        <f t="shared" si="1798"/>
        <v>0</v>
      </c>
      <c r="BG204" s="110">
        <f t="shared" si="1799"/>
        <v>0</v>
      </c>
      <c r="BH204" s="105" t="str">
        <f>VLOOKUP(A204,'BOCA DE LOBO'!C:I,7,0)</f>
        <v>BOCA DE LOBO EXISTENTE DUPLA</v>
      </c>
      <c r="BI204" s="104">
        <f t="shared" si="1800"/>
        <v>0</v>
      </c>
      <c r="BJ204" s="104">
        <f t="shared" si="1801"/>
        <v>0</v>
      </c>
      <c r="BK204" s="104">
        <f t="shared" si="1802"/>
        <v>0</v>
      </c>
      <c r="BL204" s="104">
        <f t="shared" si="1803"/>
        <v>0</v>
      </c>
      <c r="BM204" s="104">
        <f t="shared" si="1804"/>
        <v>0</v>
      </c>
      <c r="BN204" s="104">
        <f t="shared" si="1805"/>
        <v>0</v>
      </c>
      <c r="BO204" s="104">
        <f t="shared" si="1806"/>
        <v>0</v>
      </c>
      <c r="BP204" s="111"/>
      <c r="BQ204" s="108">
        <f t="shared" si="1807"/>
        <v>29.19</v>
      </c>
      <c r="BR204" s="108">
        <f t="shared" si="1808"/>
        <v>0.68888400000000627</v>
      </c>
      <c r="BS204" s="108">
        <f t="shared" si="1809"/>
        <v>0</v>
      </c>
      <c r="BV204" s="538">
        <f t="shared" si="1810"/>
        <v>0</v>
      </c>
      <c r="BW204" s="538">
        <f t="shared" si="1811"/>
        <v>0</v>
      </c>
      <c r="BX204" s="538">
        <f t="shared" si="1812"/>
        <v>0</v>
      </c>
      <c r="BY204" s="538">
        <f t="shared" si="1813"/>
        <v>1.2108000000000001</v>
      </c>
      <c r="BZ204" s="538">
        <f t="shared" si="1814"/>
        <v>1.2108000000000001</v>
      </c>
      <c r="CA204" s="538">
        <f t="shared" si="1815"/>
        <v>0</v>
      </c>
      <c r="CB204" s="538">
        <f t="shared" si="1816"/>
        <v>0</v>
      </c>
      <c r="CC204" s="538">
        <f t="shared" si="1817"/>
        <v>0</v>
      </c>
      <c r="CD204" s="538">
        <f t="shared" si="1818"/>
        <v>0</v>
      </c>
      <c r="CE204" s="538">
        <f t="shared" si="1819"/>
        <v>0</v>
      </c>
      <c r="CF204" s="538">
        <f t="shared" si="1820"/>
        <v>0</v>
      </c>
      <c r="CG204" s="538">
        <f t="shared" si="1821"/>
        <v>0</v>
      </c>
      <c r="CH204" s="538">
        <f t="shared" si="1822"/>
        <v>0</v>
      </c>
      <c r="CI204" s="104">
        <f t="shared" si="1823"/>
        <v>0</v>
      </c>
      <c r="CJ204" s="538">
        <f t="shared" si="1824"/>
        <v>0</v>
      </c>
      <c r="CK204" s="538">
        <f t="shared" si="1825"/>
        <v>0</v>
      </c>
      <c r="CL204" s="538">
        <f t="shared" si="1826"/>
        <v>0</v>
      </c>
      <c r="CM204" s="538">
        <f t="shared" si="1827"/>
        <v>0</v>
      </c>
      <c r="CN204" s="538">
        <f t="shared" si="1828"/>
        <v>0</v>
      </c>
      <c r="CO204" s="538">
        <f t="shared" si="1829"/>
        <v>1.2108000000000001</v>
      </c>
      <c r="CP204" s="538">
        <f t="shared" si="1830"/>
        <v>0</v>
      </c>
      <c r="CQ204" s="538">
        <f t="shared" si="1831"/>
        <v>0</v>
      </c>
      <c r="CR204" s="539">
        <f t="shared" si="1832"/>
        <v>0</v>
      </c>
      <c r="CS204" s="540">
        <f t="shared" si="1833"/>
        <v>0</v>
      </c>
      <c r="CT204" s="540">
        <f t="shared" si="1834"/>
        <v>0</v>
      </c>
      <c r="CU204" s="541">
        <f t="shared" si="1835"/>
        <v>0</v>
      </c>
      <c r="CV204" s="538">
        <f t="shared" si="1836"/>
        <v>0</v>
      </c>
      <c r="CW204" s="538">
        <f t="shared" si="1837"/>
        <v>0</v>
      </c>
      <c r="CX204" s="104">
        <f t="shared" si="1838"/>
        <v>0</v>
      </c>
      <c r="CY204" s="542">
        <f t="shared" si="1839"/>
        <v>0</v>
      </c>
      <c r="CZ204" s="538">
        <f t="shared" si="1840"/>
        <v>0</v>
      </c>
    </row>
    <row r="205" spans="1:104" s="112" customFormat="1" ht="25" x14ac:dyDescent="0.25">
      <c r="A205" s="100" t="str">
        <f>'BOCA DE LOBO'!C183</f>
        <v>BL5-&gt;PV4.1</v>
      </c>
      <c r="B205" s="100" t="str">
        <f>'BOCA DE LOBO'!A183</f>
        <v>PV4.1</v>
      </c>
      <c r="C205" s="100" t="str">
        <f>VLOOKUP(A205,'BOCA DE LOBO'!C:F,3,0)</f>
        <v>PROJETADO</v>
      </c>
      <c r="D205" s="100" t="str">
        <f>VLOOKUP(A205,'BOCA DE LOBO'!C:M,10,0)</f>
        <v>PROJETADA</v>
      </c>
      <c r="E205" s="100">
        <f t="shared" si="1757"/>
        <v>1.5332000000000001</v>
      </c>
      <c r="F205" s="100">
        <f>VLOOKUP(A205,'BOCA DE LOBO'!$C$178:$L$224,2,0)</f>
        <v>1.57</v>
      </c>
      <c r="G205" s="100">
        <f>VLOOKUP(A205,'BOCA DE LOBO'!$C$178:$L$224,4,0)</f>
        <v>0.92</v>
      </c>
      <c r="H205" s="101">
        <v>400</v>
      </c>
      <c r="I205" s="102">
        <f t="shared" si="1758"/>
        <v>1.6816000000000002</v>
      </c>
      <c r="J205" s="102">
        <f t="shared" si="1759"/>
        <v>7.7353600000000008E-2</v>
      </c>
      <c r="K205" s="103">
        <v>0</v>
      </c>
      <c r="L205" s="104">
        <f t="shared" si="1760"/>
        <v>1</v>
      </c>
      <c r="M205" s="104">
        <f t="shared" si="1761"/>
        <v>1</v>
      </c>
      <c r="N205" s="104">
        <f t="shared" si="1762"/>
        <v>0</v>
      </c>
      <c r="O205" s="104">
        <f t="shared" si="1763"/>
        <v>0.92</v>
      </c>
      <c r="P205" s="105" t="str">
        <f>VLOOKUP(B205,'Planilha Hidráulica'!$AE$36:$AQ$53,13,0)</f>
        <v>ASFALTO</v>
      </c>
      <c r="Q205" s="468" t="s">
        <v>2071</v>
      </c>
      <c r="R205" s="105"/>
      <c r="S205" s="105">
        <f>VLOOKUP(Q205,Quantitativos!P:R,3,0)</f>
        <v>5</v>
      </c>
      <c r="T205" s="105">
        <f>VLOOKUP(Q205,Quantitativos!P:S,4,0)</f>
        <v>5</v>
      </c>
      <c r="U205" s="104">
        <f t="shared" si="1764"/>
        <v>0.05</v>
      </c>
      <c r="V205" s="106">
        <f t="shared" si="1765"/>
        <v>0</v>
      </c>
      <c r="W205" s="106">
        <f t="shared" si="1766"/>
        <v>1.5470720000000002</v>
      </c>
      <c r="X205" s="107">
        <f t="shared" si="1767"/>
        <v>0</v>
      </c>
      <c r="Y205" s="107">
        <f t="shared" si="1768"/>
        <v>0</v>
      </c>
      <c r="Z205" s="107">
        <f t="shared" si="1769"/>
        <v>1.6816000000000002</v>
      </c>
      <c r="AA205" s="107">
        <f t="shared" si="1770"/>
        <v>0</v>
      </c>
      <c r="AB205" s="108">
        <f t="shared" si="1771"/>
        <v>0.92</v>
      </c>
      <c r="AC205" s="109">
        <f t="shared" si="1772"/>
        <v>0</v>
      </c>
      <c r="AD205" s="109">
        <f t="shared" si="1773"/>
        <v>0</v>
      </c>
      <c r="AE205" s="109">
        <f t="shared" si="1774"/>
        <v>0</v>
      </c>
      <c r="AF205" s="109">
        <f>IF(L205&lt;=1.5,IF(Z205&gt;=1.5,M205*G205*1.5,L205*G205*Z205),0)+IF(S205&lt;I205,0,IF(AND(Z205&lt;=1.5,L205&lt;=1.5),-V205,0))-V205</f>
        <v>1.3800000000000001</v>
      </c>
      <c r="AG205" s="109">
        <f>IF(IF(L205&lt;=1.5,IF(Z205&gt;=3,M205*G205*1.5,L205*G205*(Z205-1.5)),0)&lt;0,0,IF(L205&lt;=1.5,IF(Z205&gt;=3,M205*G205*1.5,L205*G205*(Z205-1.5)),0))</f>
        <v>0.16707200000000019</v>
      </c>
      <c r="AH205" s="109">
        <f t="shared" si="1775"/>
        <v>0</v>
      </c>
      <c r="AI205" s="537" t="str">
        <f t="shared" si="1776"/>
        <v>NÃO</v>
      </c>
      <c r="AJ205" s="104">
        <f t="shared" si="1777"/>
        <v>0</v>
      </c>
      <c r="AK205" s="104">
        <f t="shared" si="1778"/>
        <v>0</v>
      </c>
      <c r="AL205" s="104">
        <f t="shared" si="1779"/>
        <v>1.4314613903478959</v>
      </c>
      <c r="AM205" s="102">
        <f t="shared" si="1780"/>
        <v>4.6000000000000006E-2</v>
      </c>
      <c r="AN205" s="106">
        <f t="shared" si="1781"/>
        <v>0</v>
      </c>
      <c r="AO205" s="104">
        <f t="shared" si="1782"/>
        <v>0</v>
      </c>
      <c r="AP205" s="104">
        <f t="shared" si="1783"/>
        <v>0</v>
      </c>
      <c r="AQ205" s="104">
        <f t="shared" si="1784"/>
        <v>0.7</v>
      </c>
      <c r="AR205" s="104">
        <f t="shared" si="1785"/>
        <v>0.52838939034789556</v>
      </c>
      <c r="AS205" s="104">
        <f t="shared" si="1786"/>
        <v>0</v>
      </c>
      <c r="AT205" s="104">
        <f t="shared" si="1787"/>
        <v>0.13800000000000001</v>
      </c>
      <c r="AU205" s="104">
        <f t="shared" si="1788"/>
        <v>0.13800000000000001</v>
      </c>
      <c r="AV205" s="104">
        <f t="shared" si="1789"/>
        <v>2.76E-2</v>
      </c>
      <c r="AW205" s="104">
        <f t="shared" si="1790"/>
        <v>0.58107200000000025</v>
      </c>
      <c r="AX205" s="104">
        <f t="shared" si="1791"/>
        <v>0.88068260965210454</v>
      </c>
      <c r="AY205" s="104">
        <f t="shared" si="1792"/>
        <v>0.58107200000000025</v>
      </c>
      <c r="AZ205" s="104">
        <f t="shared" si="1793"/>
        <v>0</v>
      </c>
      <c r="BA205" s="104">
        <f t="shared" si="1794"/>
        <v>0</v>
      </c>
      <c r="BB205" s="104">
        <f t="shared" si="1795"/>
        <v>0</v>
      </c>
      <c r="BC205" s="104"/>
      <c r="BD205" s="104">
        <f t="shared" si="1796"/>
        <v>5.5200000000000006E-3</v>
      </c>
      <c r="BE205" s="108">
        <f t="shared" si="1797"/>
        <v>1.6816000000000002</v>
      </c>
      <c r="BF205" s="110">
        <f t="shared" si="1798"/>
        <v>0.92</v>
      </c>
      <c r="BG205" s="110">
        <f t="shared" si="1799"/>
        <v>0</v>
      </c>
      <c r="BH205" s="105" t="str">
        <f>VLOOKUP(A205,'BOCA DE LOBO'!C:I,7,0)</f>
        <v>BOCA DE LOBO PROJETADA DUPLA</v>
      </c>
      <c r="BI205" s="104">
        <f t="shared" si="1800"/>
        <v>0</v>
      </c>
      <c r="BJ205" s="104">
        <f t="shared" si="1801"/>
        <v>0</v>
      </c>
      <c r="BK205" s="104">
        <f t="shared" si="1802"/>
        <v>0</v>
      </c>
      <c r="BL205" s="104">
        <f t="shared" si="1803"/>
        <v>0</v>
      </c>
      <c r="BM205" s="104">
        <f t="shared" si="1804"/>
        <v>0</v>
      </c>
      <c r="BN205" s="104">
        <f t="shared" si="1805"/>
        <v>1</v>
      </c>
      <c r="BO205" s="104">
        <f t="shared" si="1806"/>
        <v>0</v>
      </c>
      <c r="BP205" s="111"/>
      <c r="BQ205" s="108">
        <f t="shared" si="1807"/>
        <v>2.7600000000000002</v>
      </c>
      <c r="BR205" s="108">
        <f t="shared" si="1808"/>
        <v>0.33414400000000039</v>
      </c>
      <c r="BS205" s="108">
        <f t="shared" si="1809"/>
        <v>0</v>
      </c>
      <c r="BV205" s="538">
        <f t="shared" si="1810"/>
        <v>11.932282319999999</v>
      </c>
      <c r="BW205" s="538">
        <f t="shared" si="1811"/>
        <v>7.7825999999999986</v>
      </c>
      <c r="BX205" s="538">
        <f t="shared" si="1812"/>
        <v>3.0325999999999995</v>
      </c>
      <c r="BY205" s="538">
        <f t="shared" si="1813"/>
        <v>1.5332000000000001</v>
      </c>
      <c r="BZ205" s="538">
        <f t="shared" si="1814"/>
        <v>1.5332000000000001</v>
      </c>
      <c r="CA205" s="538">
        <f t="shared" si="1815"/>
        <v>0</v>
      </c>
      <c r="CB205" s="538">
        <f t="shared" si="1816"/>
        <v>0</v>
      </c>
      <c r="CC205" s="538">
        <f t="shared" si="1817"/>
        <v>11.673899999999998</v>
      </c>
      <c r="CD205" s="538">
        <f t="shared" si="1818"/>
        <v>0.25838232000000089</v>
      </c>
      <c r="CE205" s="538">
        <f t="shared" si="1819"/>
        <v>0</v>
      </c>
      <c r="CF205" s="538">
        <f t="shared" si="1820"/>
        <v>0</v>
      </c>
      <c r="CG205" s="538">
        <f t="shared" si="1821"/>
        <v>0</v>
      </c>
      <c r="CH205" s="538">
        <f t="shared" si="1822"/>
        <v>0</v>
      </c>
      <c r="CI205" s="104">
        <f t="shared" si="1823"/>
        <v>0.53549999999999998</v>
      </c>
      <c r="CJ205" s="538">
        <f t="shared" si="1824"/>
        <v>6.7471999999999994</v>
      </c>
      <c r="CK205" s="538">
        <f t="shared" si="1825"/>
        <v>6.7471999999999994</v>
      </c>
      <c r="CL205" s="538">
        <f t="shared" si="1826"/>
        <v>0</v>
      </c>
      <c r="CM205" s="538">
        <f t="shared" si="1827"/>
        <v>0</v>
      </c>
      <c r="CN205" s="538">
        <f t="shared" si="1828"/>
        <v>3.57</v>
      </c>
      <c r="CO205" s="538">
        <f t="shared" si="1829"/>
        <v>1.5332000000000001</v>
      </c>
      <c r="CP205" s="538">
        <f t="shared" si="1830"/>
        <v>10.709999999999999</v>
      </c>
      <c r="CQ205" s="538">
        <f t="shared" si="1831"/>
        <v>0.23704800000000084</v>
      </c>
      <c r="CR205" s="539">
        <f t="shared" si="1832"/>
        <v>0</v>
      </c>
      <c r="CS205" s="540">
        <f t="shared" si="1833"/>
        <v>0</v>
      </c>
      <c r="CT205" s="540">
        <f t="shared" si="1834"/>
        <v>0.33012999999999998</v>
      </c>
      <c r="CU205" s="541">
        <f t="shared" si="1835"/>
        <v>7.9726400000000011</v>
      </c>
      <c r="CV205" s="538">
        <f t="shared" si="1836"/>
        <v>1.1431092</v>
      </c>
      <c r="CW205" s="538">
        <f t="shared" si="1837"/>
        <v>15.823176000000002</v>
      </c>
      <c r="CX205" s="104">
        <f t="shared" si="1838"/>
        <v>3.57</v>
      </c>
      <c r="CY205" s="542">
        <f t="shared" si="1839"/>
        <v>1.7849999999999999</v>
      </c>
      <c r="CZ205" s="538">
        <f t="shared" si="1840"/>
        <v>0</v>
      </c>
    </row>
    <row r="206" spans="1:104" s="112" customFormat="1" ht="25" x14ac:dyDescent="0.25">
      <c r="A206" s="100" t="str">
        <f>'BOCA DE LOBO'!C184</f>
        <v>BL6-&gt;PV5.1</v>
      </c>
      <c r="B206" s="100" t="str">
        <f>'BOCA DE LOBO'!A184</f>
        <v>PV5.1</v>
      </c>
      <c r="C206" s="100" t="str">
        <f>VLOOKUP(A206,'BOCA DE LOBO'!C:F,3,0)</f>
        <v>PROJETADO</v>
      </c>
      <c r="D206" s="100" t="str">
        <f>VLOOKUP(A206,'BOCA DE LOBO'!C:M,10,0)</f>
        <v>EXISTENTE</v>
      </c>
      <c r="E206" s="100">
        <f t="shared" si="1757"/>
        <v>1.2556</v>
      </c>
      <c r="F206" s="100">
        <f>VLOOKUP(A206,'BOCA DE LOBO'!$C$178:$L$224,2,0)</f>
        <v>1.6</v>
      </c>
      <c r="G206" s="100">
        <f>VLOOKUP(A206,'BOCA DE LOBO'!$C$178:$L$224,4,0)</f>
        <v>8.61</v>
      </c>
      <c r="H206" s="101">
        <v>400</v>
      </c>
      <c r="I206" s="102">
        <f t="shared" si="1758"/>
        <v>1.5578000000000001</v>
      </c>
      <c r="J206" s="102">
        <f t="shared" si="1759"/>
        <v>0</v>
      </c>
      <c r="K206" s="103">
        <v>0</v>
      </c>
      <c r="L206" s="104">
        <f t="shared" si="1760"/>
        <v>0</v>
      </c>
      <c r="M206" s="104">
        <f t="shared" si="1761"/>
        <v>0</v>
      </c>
      <c r="N206" s="104">
        <f t="shared" si="1762"/>
        <v>400</v>
      </c>
      <c r="O206" s="104">
        <f t="shared" si="1763"/>
        <v>0</v>
      </c>
      <c r="P206" s="105" t="str">
        <f>VLOOKUP(B206,'Planilha Hidráulica'!$AE$36:$AQ$53,13,0)</f>
        <v>ASFALTO</v>
      </c>
      <c r="Q206" s="468" t="s">
        <v>2071</v>
      </c>
      <c r="R206" s="105"/>
      <c r="S206" s="105">
        <f>VLOOKUP(Q206,Quantitativos!P:R,3,0)</f>
        <v>5</v>
      </c>
      <c r="T206" s="105">
        <f>VLOOKUP(Q206,Quantitativos!P:S,4,0)</f>
        <v>5</v>
      </c>
      <c r="U206" s="104">
        <f t="shared" si="1764"/>
        <v>0.05</v>
      </c>
      <c r="V206" s="106">
        <f t="shared" si="1765"/>
        <v>0</v>
      </c>
      <c r="W206" s="106">
        <f t="shared" si="1766"/>
        <v>0</v>
      </c>
      <c r="X206" s="107">
        <f t="shared" si="1767"/>
        <v>0</v>
      </c>
      <c r="Y206" s="107">
        <f t="shared" si="1768"/>
        <v>0</v>
      </c>
      <c r="Z206" s="107">
        <f t="shared" si="1769"/>
        <v>1.5578000000000001</v>
      </c>
      <c r="AA206" s="107">
        <f t="shared" si="1770"/>
        <v>0</v>
      </c>
      <c r="AB206" s="108">
        <f t="shared" si="1771"/>
        <v>0</v>
      </c>
      <c r="AC206" s="109">
        <f t="shared" si="1772"/>
        <v>0</v>
      </c>
      <c r="AD206" s="109">
        <f t="shared" si="1773"/>
        <v>0</v>
      </c>
      <c r="AE206" s="109">
        <f t="shared" si="1774"/>
        <v>0</v>
      </c>
      <c r="AF206" s="109">
        <f>IF(L206&lt;=1.5,IF(Z206&gt;=1.5,M206*G206*1.5,L206*G206*Z206),0)+IF(S206&lt;I206,0,IF(AND(Z206&lt;=1.5,L206&lt;=1.5),-V206,0))</f>
        <v>0</v>
      </c>
      <c r="AG206" s="109">
        <f>IF(IF(L206&lt;=1.5,IF(Z206&gt;=3,M206*G206*1.5,L206*G206*(Z206-1.5)),0)&lt;0,0,IF(L206&lt;=1.5,IF(Z206&gt;=3,M206*G206*1.5,L206*G206*(Z206-1.5)),0))+IF(S206&lt;I206,0,IF(AND(Z206&lt;=3,L206&lt;=1.5),-V206,0))</f>
        <v>0</v>
      </c>
      <c r="AH206" s="109">
        <f t="shared" si="1775"/>
        <v>0</v>
      </c>
      <c r="AI206" s="537" t="str">
        <f t="shared" si="1776"/>
        <v>NÃO</v>
      </c>
      <c r="AJ206" s="104">
        <f t="shared" si="1777"/>
        <v>0</v>
      </c>
      <c r="AK206" s="104">
        <f t="shared" si="1778"/>
        <v>0</v>
      </c>
      <c r="AL206" s="104">
        <f t="shared" si="1779"/>
        <v>0</v>
      </c>
      <c r="AM206" s="102">
        <f t="shared" si="1780"/>
        <v>0</v>
      </c>
      <c r="AN206" s="106">
        <f t="shared" si="1781"/>
        <v>0</v>
      </c>
      <c r="AO206" s="104">
        <f t="shared" si="1782"/>
        <v>0</v>
      </c>
      <c r="AP206" s="104">
        <f t="shared" si="1783"/>
        <v>0</v>
      </c>
      <c r="AQ206" s="104">
        <f t="shared" si="1784"/>
        <v>0.7</v>
      </c>
      <c r="AR206" s="104">
        <f t="shared" si="1785"/>
        <v>0</v>
      </c>
      <c r="AS206" s="104">
        <f t="shared" si="1786"/>
        <v>0</v>
      </c>
      <c r="AT206" s="104">
        <f t="shared" si="1787"/>
        <v>0</v>
      </c>
      <c r="AU206" s="104">
        <f t="shared" si="1788"/>
        <v>0</v>
      </c>
      <c r="AV206" s="104">
        <f t="shared" si="1789"/>
        <v>0</v>
      </c>
      <c r="AW206" s="104">
        <f t="shared" si="1790"/>
        <v>0</v>
      </c>
      <c r="AX206" s="104">
        <f t="shared" si="1791"/>
        <v>0</v>
      </c>
      <c r="AY206" s="104">
        <f t="shared" si="1792"/>
        <v>0</v>
      </c>
      <c r="AZ206" s="104">
        <f t="shared" si="1793"/>
        <v>0</v>
      </c>
      <c r="BA206" s="104">
        <f t="shared" si="1794"/>
        <v>0</v>
      </c>
      <c r="BB206" s="104">
        <f t="shared" si="1795"/>
        <v>0</v>
      </c>
      <c r="BC206" s="104"/>
      <c r="BD206" s="104">
        <f t="shared" si="1796"/>
        <v>0</v>
      </c>
      <c r="BE206" s="108">
        <f t="shared" si="1797"/>
        <v>1.5578000000000001</v>
      </c>
      <c r="BF206" s="110">
        <f t="shared" si="1798"/>
        <v>0</v>
      </c>
      <c r="BG206" s="110">
        <f t="shared" si="1799"/>
        <v>0</v>
      </c>
      <c r="BH206" s="105" t="str">
        <f>VLOOKUP(A206,'BOCA DE LOBO'!C:I,7,0)</f>
        <v>BOCA DE LOBO EXISTENTE DUPLA</v>
      </c>
      <c r="BI206" s="104">
        <f t="shared" si="1800"/>
        <v>0</v>
      </c>
      <c r="BJ206" s="104">
        <f t="shared" si="1801"/>
        <v>0</v>
      </c>
      <c r="BK206" s="104">
        <f t="shared" si="1802"/>
        <v>0</v>
      </c>
      <c r="BL206" s="104">
        <f t="shared" si="1803"/>
        <v>0</v>
      </c>
      <c r="BM206" s="104">
        <f t="shared" si="1804"/>
        <v>0</v>
      </c>
      <c r="BN206" s="104">
        <f t="shared" si="1805"/>
        <v>0</v>
      </c>
      <c r="BO206" s="104">
        <f t="shared" si="1806"/>
        <v>0</v>
      </c>
      <c r="BP206" s="111"/>
      <c r="BQ206" s="108">
        <f t="shared" si="1807"/>
        <v>25.83</v>
      </c>
      <c r="BR206" s="108">
        <f t="shared" si="1808"/>
        <v>0.9953160000000012</v>
      </c>
      <c r="BS206" s="108">
        <f t="shared" si="1809"/>
        <v>0</v>
      </c>
      <c r="BV206" s="538">
        <f t="shared" si="1810"/>
        <v>0</v>
      </c>
      <c r="BW206" s="538">
        <f t="shared" si="1811"/>
        <v>0</v>
      </c>
      <c r="BX206" s="538">
        <f t="shared" si="1812"/>
        <v>0</v>
      </c>
      <c r="BY206" s="538">
        <f t="shared" si="1813"/>
        <v>1.2556</v>
      </c>
      <c r="BZ206" s="538">
        <f t="shared" si="1814"/>
        <v>1.2556</v>
      </c>
      <c r="CA206" s="538">
        <f t="shared" si="1815"/>
        <v>0</v>
      </c>
      <c r="CB206" s="538">
        <f t="shared" si="1816"/>
        <v>0</v>
      </c>
      <c r="CC206" s="538">
        <f t="shared" si="1817"/>
        <v>0</v>
      </c>
      <c r="CD206" s="538">
        <f t="shared" si="1818"/>
        <v>0</v>
      </c>
      <c r="CE206" s="538">
        <f t="shared" si="1819"/>
        <v>0</v>
      </c>
      <c r="CF206" s="538">
        <f t="shared" si="1820"/>
        <v>0</v>
      </c>
      <c r="CG206" s="538">
        <f t="shared" si="1821"/>
        <v>0</v>
      </c>
      <c r="CH206" s="538">
        <f t="shared" si="1822"/>
        <v>0</v>
      </c>
      <c r="CI206" s="104">
        <f t="shared" si="1823"/>
        <v>0</v>
      </c>
      <c r="CJ206" s="538">
        <f t="shared" si="1824"/>
        <v>0</v>
      </c>
      <c r="CK206" s="538">
        <f t="shared" si="1825"/>
        <v>0</v>
      </c>
      <c r="CL206" s="538">
        <f t="shared" si="1826"/>
        <v>0</v>
      </c>
      <c r="CM206" s="538">
        <f t="shared" si="1827"/>
        <v>0</v>
      </c>
      <c r="CN206" s="538">
        <f t="shared" si="1828"/>
        <v>0</v>
      </c>
      <c r="CO206" s="538">
        <f t="shared" si="1829"/>
        <v>1.2556</v>
      </c>
      <c r="CP206" s="538">
        <f t="shared" si="1830"/>
        <v>0</v>
      </c>
      <c r="CQ206" s="538">
        <f t="shared" si="1831"/>
        <v>0</v>
      </c>
      <c r="CR206" s="539">
        <f t="shared" si="1832"/>
        <v>0</v>
      </c>
      <c r="CS206" s="540">
        <f t="shared" si="1833"/>
        <v>0</v>
      </c>
      <c r="CT206" s="540">
        <f t="shared" si="1834"/>
        <v>0</v>
      </c>
      <c r="CU206" s="541">
        <f t="shared" si="1835"/>
        <v>0</v>
      </c>
      <c r="CV206" s="538">
        <f t="shared" si="1836"/>
        <v>0</v>
      </c>
      <c r="CW206" s="538">
        <f t="shared" si="1837"/>
        <v>0</v>
      </c>
      <c r="CX206" s="104">
        <f t="shared" si="1838"/>
        <v>0</v>
      </c>
      <c r="CY206" s="542">
        <f t="shared" si="1839"/>
        <v>0</v>
      </c>
      <c r="CZ206" s="538">
        <f t="shared" si="1840"/>
        <v>0</v>
      </c>
    </row>
    <row r="207" spans="1:104" s="112" customFormat="1" ht="25" x14ac:dyDescent="0.25">
      <c r="A207" s="100" t="str">
        <f>'BOCA DE LOBO'!C185</f>
        <v>BL7-&gt;PV6.1</v>
      </c>
      <c r="B207" s="100" t="str">
        <f>'BOCA DE LOBO'!A185</f>
        <v>PV6.1</v>
      </c>
      <c r="C207" s="100" t="str">
        <f>VLOOKUP(A207,'BOCA DE LOBO'!C:F,3,0)</f>
        <v>PROJETADO</v>
      </c>
      <c r="D207" s="100" t="str">
        <f>VLOOKUP(A207,'BOCA DE LOBO'!C:M,10,0)</f>
        <v>PROJETADA</v>
      </c>
      <c r="E207" s="100">
        <f t="shared" si="1757"/>
        <v>2.3247999999999998</v>
      </c>
      <c r="F207" s="100">
        <f>VLOOKUP(A207,'BOCA DE LOBO'!$C$178:$L$224,2,0)</f>
        <v>2.36</v>
      </c>
      <c r="G207" s="100">
        <f>VLOOKUP(A207,'BOCA DE LOBO'!$C$178:$L$224,4,0)</f>
        <v>0.88</v>
      </c>
      <c r="H207" s="101">
        <v>400</v>
      </c>
      <c r="I207" s="102">
        <f t="shared" si="1758"/>
        <v>2.4723999999999995</v>
      </c>
      <c r="J207" s="102">
        <f t="shared" si="1759"/>
        <v>0.10878559999999997</v>
      </c>
      <c r="K207" s="103">
        <v>0</v>
      </c>
      <c r="L207" s="104">
        <f t="shared" si="1760"/>
        <v>1</v>
      </c>
      <c r="M207" s="104">
        <f t="shared" si="1761"/>
        <v>1</v>
      </c>
      <c r="N207" s="104">
        <f t="shared" si="1762"/>
        <v>0</v>
      </c>
      <c r="O207" s="104">
        <f t="shared" si="1763"/>
        <v>0.88</v>
      </c>
      <c r="P207" s="105" t="s">
        <v>2179</v>
      </c>
      <c r="Q207" s="468" t="s">
        <v>2071</v>
      </c>
      <c r="R207" s="105"/>
      <c r="S207" s="105">
        <f>VLOOKUP(Q207,Quantitativos!P:R,3,0)</f>
        <v>5</v>
      </c>
      <c r="T207" s="105">
        <f>VLOOKUP(Q207,Quantitativos!P:S,4,0)</f>
        <v>5</v>
      </c>
      <c r="U207" s="104">
        <f t="shared" si="1764"/>
        <v>0.05</v>
      </c>
      <c r="V207" s="106">
        <f t="shared" si="1765"/>
        <v>0</v>
      </c>
      <c r="W207" s="106">
        <f t="shared" si="1766"/>
        <v>2.1757119999999994</v>
      </c>
      <c r="X207" s="107">
        <f t="shared" si="1767"/>
        <v>0</v>
      </c>
      <c r="Y207" s="107">
        <f t="shared" si="1768"/>
        <v>0</v>
      </c>
      <c r="Z207" s="107">
        <f t="shared" si="1769"/>
        <v>2.4723999999999995</v>
      </c>
      <c r="AA207" s="107">
        <f t="shared" si="1770"/>
        <v>0</v>
      </c>
      <c r="AB207" s="108">
        <f t="shared" si="1771"/>
        <v>0</v>
      </c>
      <c r="AC207" s="109">
        <f t="shared" si="1772"/>
        <v>0</v>
      </c>
      <c r="AD207" s="109">
        <f t="shared" si="1773"/>
        <v>0</v>
      </c>
      <c r="AE207" s="109">
        <f t="shared" si="1774"/>
        <v>0</v>
      </c>
      <c r="AF207" s="109">
        <f>IF(L207&lt;=1.5,IF(Z207&gt;=1.5,M207*G207*1.5,L207*G207*Z207),0)+IF(S207&lt;I207,0,IF(AND(Z207&lt;=1.5,L207&lt;=1.5),-V207,0))-V207</f>
        <v>1.32</v>
      </c>
      <c r="AG207" s="109">
        <f>IF(IF(L207&lt;=1.5,IF(Z207&gt;=3,M207*G207*1.5,L207*G207*(Z207-1.5)),0)&lt;0,0,IF(L207&lt;=1.5,IF(Z207&gt;=3,M207*G207*1.5,L207*G207*(Z207-1.5)),0))</f>
        <v>0.85571199999999958</v>
      </c>
      <c r="AH207" s="109">
        <f t="shared" si="1775"/>
        <v>0</v>
      </c>
      <c r="AI207" s="537" t="str">
        <f t="shared" si="1776"/>
        <v>NÃO</v>
      </c>
      <c r="AJ207" s="104">
        <f t="shared" si="1777"/>
        <v>0</v>
      </c>
      <c r="AK207" s="104">
        <f t="shared" si="1778"/>
        <v>0</v>
      </c>
      <c r="AL207" s="104">
        <f t="shared" si="1779"/>
        <v>2.0651279385936387</v>
      </c>
      <c r="AM207" s="102">
        <f t="shared" si="1780"/>
        <v>4.4000000000000004E-2</v>
      </c>
      <c r="AN207" s="106">
        <f t="shared" si="1781"/>
        <v>0</v>
      </c>
      <c r="AO207" s="104">
        <f t="shared" si="1782"/>
        <v>0</v>
      </c>
      <c r="AP207" s="104">
        <f t="shared" si="1783"/>
        <v>0</v>
      </c>
      <c r="AQ207" s="104">
        <f t="shared" si="1784"/>
        <v>0.7</v>
      </c>
      <c r="AR207" s="104">
        <f t="shared" si="1785"/>
        <v>0.5054159385936392</v>
      </c>
      <c r="AS207" s="104">
        <f t="shared" si="1786"/>
        <v>0</v>
      </c>
      <c r="AT207" s="104">
        <f t="shared" si="1787"/>
        <v>0</v>
      </c>
      <c r="AU207" s="104">
        <f t="shared" si="1788"/>
        <v>0</v>
      </c>
      <c r="AV207" s="104">
        <f t="shared" si="1789"/>
        <v>0</v>
      </c>
      <c r="AW207" s="104">
        <f t="shared" si="1790"/>
        <v>1.5157119999999995</v>
      </c>
      <c r="AX207" s="104">
        <f t="shared" si="1791"/>
        <v>1.6702960614063607</v>
      </c>
      <c r="AY207" s="104">
        <f t="shared" si="1792"/>
        <v>1.5157119999999995</v>
      </c>
      <c r="AZ207" s="104">
        <f t="shared" si="1793"/>
        <v>0</v>
      </c>
      <c r="BA207" s="104">
        <f t="shared" si="1794"/>
        <v>0</v>
      </c>
      <c r="BB207" s="104">
        <f t="shared" si="1795"/>
        <v>0</v>
      </c>
      <c r="BC207" s="104"/>
      <c r="BD207" s="104">
        <f t="shared" si="1796"/>
        <v>0</v>
      </c>
      <c r="BE207" s="108">
        <f t="shared" si="1797"/>
        <v>2.4723999999999995</v>
      </c>
      <c r="BF207" s="110">
        <f t="shared" si="1798"/>
        <v>0</v>
      </c>
      <c r="BG207" s="110">
        <f t="shared" si="1799"/>
        <v>0.88</v>
      </c>
      <c r="BH207" s="105" t="str">
        <f>VLOOKUP(A207,'BOCA DE LOBO'!C:I,7,0)</f>
        <v>BOCA DE LOBO PROJETADA DUPLA</v>
      </c>
      <c r="BI207" s="104">
        <f t="shared" si="1800"/>
        <v>0</v>
      </c>
      <c r="BJ207" s="104">
        <f t="shared" si="1801"/>
        <v>0</v>
      </c>
      <c r="BK207" s="104">
        <f t="shared" si="1802"/>
        <v>0</v>
      </c>
      <c r="BL207" s="104">
        <f t="shared" si="1803"/>
        <v>0</v>
      </c>
      <c r="BM207" s="104">
        <f t="shared" si="1804"/>
        <v>0</v>
      </c>
      <c r="BN207" s="104">
        <f t="shared" si="1805"/>
        <v>1</v>
      </c>
      <c r="BO207" s="104">
        <f t="shared" si="1806"/>
        <v>0</v>
      </c>
      <c r="BP207" s="111"/>
      <c r="BQ207" s="108">
        <f t="shared" si="1807"/>
        <v>2.64</v>
      </c>
      <c r="BR207" s="108">
        <f t="shared" si="1808"/>
        <v>1.7114239999999992</v>
      </c>
      <c r="BS207" s="108">
        <f t="shared" si="1809"/>
        <v>0</v>
      </c>
      <c r="BV207" s="538">
        <f t="shared" si="1810"/>
        <v>18.092988479999995</v>
      </c>
      <c r="BW207" s="538">
        <f t="shared" si="1811"/>
        <v>7.7825999999999986</v>
      </c>
      <c r="BX207" s="538">
        <f t="shared" si="1812"/>
        <v>3.0325999999999995</v>
      </c>
      <c r="BY207" s="538">
        <f t="shared" si="1813"/>
        <v>2.3247999999999998</v>
      </c>
      <c r="BZ207" s="538">
        <f t="shared" si="1814"/>
        <v>2.3247999999999998</v>
      </c>
      <c r="CA207" s="538">
        <f t="shared" si="1815"/>
        <v>0</v>
      </c>
      <c r="CB207" s="538">
        <f t="shared" si="1816"/>
        <v>0</v>
      </c>
      <c r="CC207" s="538">
        <f t="shared" si="1817"/>
        <v>11.673899999999998</v>
      </c>
      <c r="CD207" s="538">
        <f t="shared" si="1818"/>
        <v>6.4190884799999965</v>
      </c>
      <c r="CE207" s="538">
        <f t="shared" si="1819"/>
        <v>0</v>
      </c>
      <c r="CF207" s="538">
        <f t="shared" si="1820"/>
        <v>0</v>
      </c>
      <c r="CG207" s="538">
        <f t="shared" si="1821"/>
        <v>0</v>
      </c>
      <c r="CH207" s="538">
        <f t="shared" si="1822"/>
        <v>0</v>
      </c>
      <c r="CI207" s="104">
        <f t="shared" si="1823"/>
        <v>0.53549999999999998</v>
      </c>
      <c r="CJ207" s="538">
        <f t="shared" si="1824"/>
        <v>10.507299999999995</v>
      </c>
      <c r="CK207" s="538">
        <f t="shared" si="1825"/>
        <v>10.507299999999995</v>
      </c>
      <c r="CL207" s="538">
        <f t="shared" si="1826"/>
        <v>0</v>
      </c>
      <c r="CM207" s="538">
        <f t="shared" si="1827"/>
        <v>0</v>
      </c>
      <c r="CN207" s="538">
        <f t="shared" si="1828"/>
        <v>3.57</v>
      </c>
      <c r="CO207" s="538">
        <f t="shared" si="1829"/>
        <v>2.3247999999999998</v>
      </c>
      <c r="CP207" s="538">
        <f t="shared" si="1830"/>
        <v>10.709999999999999</v>
      </c>
      <c r="CQ207" s="538">
        <f t="shared" si="1831"/>
        <v>5.8890719999999979</v>
      </c>
      <c r="CR207" s="539">
        <f t="shared" si="1832"/>
        <v>0</v>
      </c>
      <c r="CS207" s="540">
        <f t="shared" si="1833"/>
        <v>0</v>
      </c>
      <c r="CT207" s="540">
        <f t="shared" si="1834"/>
        <v>0.33012999999999998</v>
      </c>
      <c r="CU207" s="541">
        <f t="shared" si="1835"/>
        <v>12.088959999999998</v>
      </c>
      <c r="CV207" s="538">
        <f t="shared" si="1836"/>
        <v>1.3853388</v>
      </c>
      <c r="CW207" s="538">
        <f t="shared" si="1837"/>
        <v>21.902663999999998</v>
      </c>
      <c r="CX207" s="104">
        <f t="shared" si="1838"/>
        <v>3.57</v>
      </c>
      <c r="CY207" s="542">
        <f t="shared" si="1839"/>
        <v>1.7849999999999999</v>
      </c>
      <c r="CZ207" s="538">
        <f t="shared" si="1840"/>
        <v>0</v>
      </c>
    </row>
    <row r="208" spans="1:104" ht="14.5" x14ac:dyDescent="0.35">
      <c r="A208" s="325" t="str">
        <f>'BOCA DE LOBO'!A186</f>
        <v>RD-3</v>
      </c>
      <c r="B208" s="87"/>
      <c r="C208" s="87"/>
      <c r="D208" s="87"/>
      <c r="E208" s="88"/>
      <c r="F208" s="88"/>
      <c r="G208" s="88"/>
      <c r="H208" s="82"/>
      <c r="I208" s="82"/>
      <c r="J208" s="82"/>
      <c r="K208" s="82"/>
      <c r="L208" s="90"/>
      <c r="M208" s="90"/>
      <c r="N208" s="90"/>
      <c r="O208" s="90"/>
      <c r="P208" s="89"/>
      <c r="Q208" s="89"/>
      <c r="R208" s="89"/>
      <c r="S208" s="89"/>
      <c r="T208" s="89"/>
      <c r="U208" s="90"/>
      <c r="V208" s="91"/>
      <c r="W208" s="92"/>
      <c r="X208" s="92"/>
      <c r="Y208" s="92"/>
      <c r="Z208" s="92"/>
      <c r="AA208" s="92"/>
      <c r="AB208" s="93"/>
      <c r="AC208" s="94"/>
      <c r="AD208" s="94"/>
      <c r="AE208" s="94"/>
      <c r="AF208" s="94"/>
      <c r="AG208" s="94"/>
      <c r="AH208" s="94"/>
      <c r="AI208" s="81"/>
      <c r="AJ208" s="82"/>
      <c r="AK208" s="82"/>
      <c r="AL208" s="82"/>
      <c r="AM208" s="82"/>
      <c r="AN208" s="83"/>
      <c r="AO208" s="82"/>
      <c r="AP208" s="82"/>
      <c r="AQ208" s="82"/>
      <c r="AR208" s="82"/>
      <c r="AS208" s="82"/>
      <c r="AT208" s="82"/>
      <c r="AU208" s="82"/>
      <c r="AV208" s="82"/>
      <c r="AW208" s="82"/>
      <c r="AX208" s="82"/>
      <c r="AY208" s="82"/>
      <c r="AZ208" s="82"/>
      <c r="BA208" s="82"/>
      <c r="BB208" s="82"/>
      <c r="BC208" s="82"/>
      <c r="BD208" s="82"/>
      <c r="BE208" s="95"/>
      <c r="BF208" s="79"/>
      <c r="BG208" s="79"/>
      <c r="BH208" s="569"/>
      <c r="BI208" s="96"/>
      <c r="BJ208" s="96"/>
      <c r="BK208" s="96"/>
      <c r="BL208" s="96"/>
      <c r="BM208" s="96"/>
      <c r="BN208" s="570"/>
      <c r="BO208" s="571"/>
      <c r="BP208" s="572"/>
      <c r="BQ208" s="79"/>
      <c r="BR208" s="79"/>
      <c r="BS208" s="79"/>
      <c r="BV208" s="539"/>
      <c r="BW208" s="539"/>
      <c r="BX208" s="539"/>
      <c r="BY208" s="539"/>
      <c r="BZ208" s="539"/>
      <c r="CA208" s="539"/>
      <c r="CB208" s="539"/>
      <c r="CC208" s="539"/>
      <c r="CD208" s="539"/>
      <c r="CE208" s="539"/>
      <c r="CF208" s="539"/>
      <c r="CG208" s="539"/>
      <c r="CH208" s="539"/>
      <c r="CI208" s="539"/>
      <c r="CJ208" s="539"/>
      <c r="CK208" s="539"/>
      <c r="CL208" s="539"/>
      <c r="CM208" s="539"/>
      <c r="CN208" s="539"/>
      <c r="CO208" s="539"/>
      <c r="CP208" s="539"/>
      <c r="CQ208" s="539"/>
      <c r="CR208" s="539"/>
      <c r="CS208" s="540"/>
      <c r="CT208" s="540"/>
      <c r="CU208" s="541"/>
      <c r="CV208" s="541"/>
      <c r="CW208" s="538"/>
      <c r="CY208" s="538"/>
    </row>
    <row r="209" spans="1:104" s="112" customFormat="1" ht="25" x14ac:dyDescent="0.25">
      <c r="A209" s="100" t="str">
        <f>'BOCA DE LOBO'!C187</f>
        <v>BL8-&gt;PV1.1</v>
      </c>
      <c r="B209" s="100" t="str">
        <f>'BOCA DE LOBO'!A187</f>
        <v>PV1.1</v>
      </c>
      <c r="C209" s="100" t="str">
        <f>VLOOKUP(A209,'BOCA DE LOBO'!C:F,3,0)</f>
        <v>PROJETADO</v>
      </c>
      <c r="D209" s="100" t="str">
        <f>VLOOKUP(A209,'BOCA DE LOBO'!C:M,10,0)</f>
        <v>PROJETADA</v>
      </c>
      <c r="E209" s="100">
        <f>IF(F209-G209*4%&lt;2.5,F209-G209*4%,2.5)</f>
        <v>1.4120000000000001</v>
      </c>
      <c r="F209" s="100">
        <f>VLOOKUP(A209,'BOCA DE LOBO'!$C$178:$L$224,2,0)</f>
        <v>1.6</v>
      </c>
      <c r="G209" s="100">
        <f>VLOOKUP(A209,'BOCA DE LOBO'!$C$178:$L$224,4,0)</f>
        <v>4.7</v>
      </c>
      <c r="H209" s="101">
        <v>400</v>
      </c>
      <c r="I209" s="102">
        <f>IF(H209=400,((E209+F209)/2)+0.08+U209,IF(H209=500,((E209+F209)/2)+0.1+U209,IF(H209=600,((E209+F209)/2)+0.12+U209,IF(H209=800,((E209+F209)/2)+0.16+U209,IF(H209=1000,((E209+F209)/2)+0.2+U209,IF(H209=1200,((E209+F209)/2)+0.24+U209,IF(H209=1500,((E209+F209)/2)+0.3+U209,IF(H209&gt;1500,((E209+F209)/2)+0.4+U209))))))))</f>
        <v>1.6360000000000003</v>
      </c>
      <c r="J209" s="102">
        <f>IF(L209=0,0,IF(I209&gt;=1.25,G209*I209/20,0))</f>
        <v>0.38446000000000013</v>
      </c>
      <c r="K209" s="103">
        <v>0</v>
      </c>
      <c r="L209" s="104">
        <f>IF(D209&lt;&gt;"PROJETADA",0,IF(H209=400,1,0)+IF(H209=500,1.2,0)+IF(H209=600,1.4,0)+IF(H209=800,1.7,0)+IF(H209=1000,2,0)+IF(H209=1200,2.2,0)+IF(H209=1500,2.6,0)+IF(H209=1650,3,0)+IF(H209=1800,3.2,0)+IF(H209=2000,3.4,0)+IF(H209=2200,3.6,0)+IF(H209=2400,3.8,0)+IF(H209=2600,4,0)+IF(H209=3000,4.4,0))</f>
        <v>1</v>
      </c>
      <c r="M209" s="104">
        <f>2*K209*I209+L209</f>
        <v>1</v>
      </c>
      <c r="N209" s="104">
        <f>IF(OR(D209="EXISTENTE",D209="AMPLIADA"),400,0)</f>
        <v>0</v>
      </c>
      <c r="O209" s="104">
        <f>IF(P209="TERRENO NATURAL",0,M209*G209)</f>
        <v>4.7</v>
      </c>
      <c r="P209" s="105" t="str">
        <f>VLOOKUP(B209,'Planilha Hidráulica'!$AE$36:$AQ$53,13,0)</f>
        <v>ASFALTO</v>
      </c>
      <c r="Q209" s="468" t="s">
        <v>2065</v>
      </c>
      <c r="R209" s="105"/>
      <c r="S209" s="105">
        <f>VLOOKUP(Q209,Quantitativos!P:R,3,0)</f>
        <v>5</v>
      </c>
      <c r="T209" s="105">
        <f>VLOOKUP(Q209,Quantitativos!P:S,4,0)</f>
        <v>5</v>
      </c>
      <c r="U209" s="104">
        <f>IF(H209=400,0.05,0)+IF(H209=500,0.05,0)+IF(H209=600,0.1,0)+IF(H209=800,0.1,0)+IF(H209=1000,0.15,0)+IF(H209=1200,0.15,0)+IF(H209=1500,0.2,0)+IF(H209=1650,0.2,0)+IF(H209=1800,0.2,0)+IF(H209=2000,0.25,0)+IF(H209=2200,0.25,0)+IF(H209=2400,0.25,0)+IF(H209=2600,0.25,0)+IF(H209=3000,0.25,0)</f>
        <v>0.05</v>
      </c>
      <c r="V209" s="106">
        <f>IF(L209=0,0,IF("EXISTENTE"=C209,0,IFERROR((PI()*(N209/1000)*(N209/1000)/4)*G209,0)))</f>
        <v>0</v>
      </c>
      <c r="W209" s="106">
        <f>IF(O209=0,0,((((K209*I209)*I209)/2)*2+L209*I209)*G209-V209+AO209)</f>
        <v>7.6892000000000023</v>
      </c>
      <c r="X209" s="107">
        <f>W209-SUM(AC209:AJ209)</f>
        <v>0</v>
      </c>
      <c r="Y209" s="107">
        <f>IF(R209=1,IF(N209=0,I209+0.4,0.4),0)</f>
        <v>0</v>
      </c>
      <c r="Z209" s="107">
        <f>IF(Y209&gt;0.5,0,IF(S209&lt;I209,S209,I209))</f>
        <v>1.6360000000000003</v>
      </c>
      <c r="AA209" s="107">
        <f>I209-Z209</f>
        <v>0</v>
      </c>
      <c r="AB209" s="108">
        <f>IF(P209="ASFALTO",IF(D209="PROJETADA",O209,IF(D209="EXISTENTE",0,O209/2)),0)</f>
        <v>4.7</v>
      </c>
      <c r="AC209" s="109">
        <f>IF(Y209=0,0,IF(Y209=0.4,IF(L209&lt;=1.5,IF(Z209+0.4&gt;=1.5,0,L209*G209*0.4),0),IF(L209&lt;=1.5,IF(Y209&gt;=1.5,M209*G209*1.5,L209*G209*(Y209)),0)+IF(S209&lt;I209+0.4,0,IF(AND(Y209&lt;=1.5,L209&lt;=1.5),-V209,0))))</f>
        <v>0</v>
      </c>
      <c r="AD209" s="109">
        <f>IF(Y209=0,0,IF(Y209=0.4,IF(L209&lt;=1.5,IF(OR(Z209+0.4&gt;=3,Z209+0.4&lt;1.5),0,L209*G209*0.4),0),IF(IF(L209&lt;=1.5,IF(Y209&gt;=3,M209*G209*1.5,L209*G209*(Y209-1.5)),0)&lt;0,0,IF(L209&lt;=1.5,IF(Y209&gt;=3,M209*G209*1.5,L209*G209*(Y209-1.5)),0))+IF(S209&lt;I209+0.4,0,IF(AND(Y209&lt;=3,L209&lt;=1.5),-V209,0))))</f>
        <v>0</v>
      </c>
      <c r="AE209" s="109">
        <f>IF(Y209=0,0,IF(Y209=0.4,IF(L209&lt;=1.5,IF(OR(Z209+0.4&gt;=4.5,Z209+0.4&lt;3),0,L209*G209*0.4),0),IF(IF(L209&lt;=1.5,IF(Y209&gt;=4.5,M209*G209*1.5,L209*G209*(Y209-3)),0)&lt;0,0,IF(L209&lt;=1.5,IF(Y209&gt;=4.5,M209*G209*1.5,L209*G209*(Y209-3)),0))+IF(S209&lt;I209+0.4,0,IF(AND(Y209&lt;=4.5,L209&lt;=1.5),-V209,0))))</f>
        <v>0</v>
      </c>
      <c r="AF209" s="109">
        <f>IF(L209&lt;=1.5,IF(Z209&gt;=1.5,M209*G209*1.5,L209*G209*Z209),0)+IF(S209&lt;I209,0,IF(AND(Z209&lt;=1.5,L209&lt;=1.5),-V209,0))-V209</f>
        <v>7.0500000000000007</v>
      </c>
      <c r="AG209" s="109">
        <f>IF(IF(L209&lt;=1.5,IF(Z209&gt;=3,M209*G209*1.5,L209*G209*(Z209-1.5)),0)&lt;0,0,IF(L209&lt;=1.5,IF(Z209&gt;=3,M209*G209*1.5,L209*G209*(Z209-1.5)),0))</f>
        <v>0.63920000000000166</v>
      </c>
      <c r="AH209" s="109">
        <f>IF(IF(IF(L209&lt;=1.5,IF(Z209&gt;=4.5,M209*G209*1.5,L209*G209*(Z209-3)),0)&lt;0,0,IF(L209&lt;=1.5,IF(Z209&gt;=4.5,M209*G209*1.5,L209*G209*(Z209-3)),0))+IF(S209&lt;I209,0,IF(AND(Z209&lt;=4.5,L209&lt;=1.5),-V209,0))&lt;0,0,IF(IF(L209&lt;=1.5,IF(Z209&gt;=4.5,M209*G209*1.5,L209*G209*(Z209-3)),0)&lt;0,0,IF(L209&lt;=1.5,IF(Z209&gt;=4.5,M209*G209*1.5,L209*G209*(Z209-3)),0))+IF(S209&lt;I209,0,IF(AND(Z209&lt;=4.5,L209&lt;=1.5),-V209,0)))</f>
        <v>0</v>
      </c>
      <c r="AI209" s="537" t="str">
        <f>IF(I209&gt;S209,"SIM","NÃO")</f>
        <v>NÃO</v>
      </c>
      <c r="AJ209" s="104">
        <f>W209-SUM(AC209:AH209)</f>
        <v>0</v>
      </c>
      <c r="AK209" s="104">
        <f>IF(I209-T209&lt;0,0,(I209-T209)*G209)/75</f>
        <v>0</v>
      </c>
      <c r="AL209" s="104">
        <f>IF(L209=0,0,G209*L209*I209-PI()*(H209/1000)*(H209/1000)/4*G209+AO209)</f>
        <v>7.0985805811251215</v>
      </c>
      <c r="AM209" s="102">
        <f>IF(L209&lt;1.5,L209*G209*IF(H209&lt;=500,0.05,IF(H209&lt;=800,0.1,IF(H209&lt;=1200,0.15,IF(H209&gt;=1500,0.2)))),0)</f>
        <v>0.23500000000000001</v>
      </c>
      <c r="AN209" s="106">
        <f>IF(L209&gt;=1.5,L209*G209*IF(H209&lt;=500,0.05,IF(H209&lt;=800,0.1,IF(H209&lt;=1200,0.15,IF(H209&gt;=1500,0.2)))),0)</f>
        <v>0</v>
      </c>
      <c r="AO209" s="104">
        <f>IF(R209=1,0.5*G209*L209,0)</f>
        <v>0</v>
      </c>
      <c r="AP209" s="104">
        <f>IF(AO209&lt;SUM(AF209:AH209),0,AO209)</f>
        <v>0</v>
      </c>
      <c r="AQ209" s="104">
        <f>H209/1000+0.3</f>
        <v>0.7</v>
      </c>
      <c r="AR209" s="104">
        <f>IF(D209&lt;&gt;"PROJETADA",0,AQ209*L209*G209-PI()*(H209/1000*H209/1000)/4*G209)</f>
        <v>2.6993805811251188</v>
      </c>
      <c r="AS209" s="104">
        <f>IF(AR209&lt;SUM(AF209:AH209),0,AR209)</f>
        <v>0</v>
      </c>
      <c r="AT209" s="104">
        <f>IF(P209="ASFALTO",0.15*G209*L209,0)</f>
        <v>0.70499999999999996</v>
      </c>
      <c r="AU209" s="104">
        <f>AT209</f>
        <v>0.70499999999999996</v>
      </c>
      <c r="AV209" s="104">
        <f>IF(P209="ASFALTO",0.03*G209*L209,0)</f>
        <v>0.14099999999999999</v>
      </c>
      <c r="AW209" s="104">
        <f>AL209-AO209-SUM(AM209:AN209)-AT209-AU209-AR209</f>
        <v>2.7542000000000022</v>
      </c>
      <c r="AX209" s="104">
        <f>SUM(AF209:AH209)-AO209-AT209-AR209</f>
        <v>4.2848194188748838</v>
      </c>
      <c r="AY209" s="104">
        <f>SMALL(AW209:AX209,1)</f>
        <v>2.7542000000000022</v>
      </c>
      <c r="AZ209" s="104">
        <f>AW209-AY209</f>
        <v>0</v>
      </c>
      <c r="BA209" s="104">
        <f>IF($AZ$246&gt;$BA$248,($BA$248/$AZ$246)*AZ209,AZ209)</f>
        <v>0</v>
      </c>
      <c r="BB209" s="104">
        <f>AZ209-BA209</f>
        <v>0</v>
      </c>
      <c r="BC209" s="104"/>
      <c r="BD209" s="104">
        <f>IF(AO209+AT209&gt;0,4%*(AO209+AT209),0)</f>
        <v>2.8199999999999999E-2</v>
      </c>
      <c r="BE209" s="108">
        <f>IF(H209=400,I209,0)</f>
        <v>1.6360000000000003</v>
      </c>
      <c r="BF209" s="110">
        <f>IF(BE209&lt;=1.75,G209*IF(D209="PROJETADA",1,0),0)</f>
        <v>4.7</v>
      </c>
      <c r="BG209" s="110">
        <f>IF(AND(BE209&lt;=3,BE209&gt;1.75),IF(D209="PROJETADA",1,0)*G209,0)</f>
        <v>0</v>
      </c>
      <c r="BH209" s="105" t="str">
        <f>VLOOKUP(A209,'BOCA DE LOBO'!C:I,7,0)</f>
        <v>BOCA DE LOBO PROJETADA DUPLA</v>
      </c>
      <c r="BI209" s="104">
        <f>IF(BH209=$BI$198,1,0)</f>
        <v>0</v>
      </c>
      <c r="BJ209" s="104">
        <f>IF(BH209=$BJ$198,1,0)</f>
        <v>0</v>
      </c>
      <c r="BK209" s="104">
        <f>IF(BH209=$BK$198,1,0)</f>
        <v>0</v>
      </c>
      <c r="BL209" s="104">
        <f>IF(BH209=$BL$198,1,0)</f>
        <v>0</v>
      </c>
      <c r="BM209" s="104">
        <f>IF(BH209=$BM$198,1,0)</f>
        <v>0</v>
      </c>
      <c r="BN209" s="104">
        <f>IF(BH209=$BN$198,1,0)</f>
        <v>1</v>
      </c>
      <c r="BO209" s="104">
        <f>IF(BH209=$BO$198,1,0)</f>
        <v>0</v>
      </c>
      <c r="BP209" s="111"/>
      <c r="BQ209" s="108">
        <f>IF(L209&lt;=1.5,IF(I209+IF(R209=1,0.5,0)&lt;1.5,(I209+IF(R209=1,0.5,0))*G209*2,G209*2*1.5),0)</f>
        <v>14.100000000000001</v>
      </c>
      <c r="BR209" s="108">
        <f>IF(L209&lt;=1.5,IF(AND(I209+IF(R209=1,0.5,0)&lt;3,I209+IF(R209=1,0.5,0)&gt;1.5),(I209+IF(R209=1,0.5,0)-1.5)*G209*2,IF(I209+IF(R209=1,0.5,0)&gt;=3,(G209*2*1.5),0)),0)</f>
        <v>1.2784000000000033</v>
      </c>
      <c r="BS209" s="108">
        <f>IF(L209&lt;=1.5,IF(AND(I209+IF(R209=1,0.5,0)&lt;4.5,I209+IF(R209=1,0.5,0)&gt;3),(I209+IF(R209=1,0.5,0)-3)*G209*2,IF(I209+IF(R209=1,0.5,0)&gt;=4.5,(G209*2*1.5),0)),0)</f>
        <v>0</v>
      </c>
      <c r="BV209" s="538">
        <f>IF(OR("BOCA DE LOBO EXISTENTE TRIPLA"=BH209,"BOCA DE LOBO EXISTENTE SIMPLES"=BH209,"BOCA DE LOBO EXISTENTE DUPLA"=BH209),0,IF("BOCA DE LOBO PROJETADA DUPLA"=BH209,(2.57+1)*(1.18+1),IF(OR("BOCA DE LOBO DUPLA EXISTENTE COM BOCA DE LOBO SIMPLES PROJETADA"=BH209,"BOCA DE LOBO SIMPLES EXISTENTE COM BOCA DE LOBO SIMPLES PROJETADA"=BH209),(1.18+0.5)*(1.18+1),IF(OR(BH209="BOCA DE LOBO DUPLA EXISTENTE COM BOCA DE LOBO DUPLA PROJETADA",BH209="BOCA DE LOBO SIMPLES EXISTENTE COM BOCA DE LOBO DUPLA PROJETADA"),(2.38+0.5)*(1.18+1),IF("BOCA DE LOBO PROJETADA TRIPLA"=BH209,(3.76+1)*(1.18+1),IF("BOCA DE LOBO PROJETADA QUADRUPLA"=BH209,(4.92+1)*(1.18+1),"X"))))))*(E209+IF(CA209&gt;0,0.5,0))</f>
        <v>10.989031199999999</v>
      </c>
      <c r="BW209" s="538">
        <f>IF(OR("BOCA DE LOBO EXISTENTE TRIPLA"=BH209,"BOCA DE LOBO EXISTENTE SIMPLES"=BH209,"BOCA DE LOBO EXISTENTE DUPLA"=BH209,"BOCA DE LOBO EXISTENTE QUADRUPLA"=BH209),0,IF("BOCA DE LOBO PROJETADA DUPLA"=BH209,(2.57+1)*(1.18+1),IF(OR("BOCA DE LOBO DUPLA EXISTENTE COM BOCA DE LOBO SIMPLES PROJETADA"=BH209,"BOCA DE LOBO SIMPLES EXISTENTE COM BOCA DE LOBO SIMPLES PROJETADA"=BH209),(1.18+1)*(1.18+0.5),IF(OR(BH209="BOCA DE LOBO DUPLA EXISTENTE COM BOCA DE LOBO DUPLA PROJETADA",BH209="BOCA DE LOBO SIMPLES EXISTENTE COM BOCA DE LOBO DUPLA PROJETADA"),(2.38+0.5)*(1.18+1),IF("BOCA DE LOBO PROJETADA TRIPLA"=BH209,(3.76+0.5*2)*(1.18+1),IF("BOCA DE LOBO PROJETADA QUADRUPLA"=BH209,(4.92+0.5*2)*(1.18+1),"X"))))))</f>
        <v>7.7825999999999986</v>
      </c>
      <c r="BX209" s="538">
        <f>IF(OR("BOCA DE LOBO EXISTENTE TRIPLA"=BH209,"BOCA DE LOBO EXISTENTE SIMPLES"=BH209,"BOCA DE LOBO EXISTENTE DUPLA"=BH209,"BOCA DE LOBO EXISTENTE QUADRUPLA"=BH209),0,IF("BOCA DE LOBO PROJETADA DUPLA"=BH209,(2.57)*(1.18),IF(OR("BOCA DE LOBO DUPLA EXISTENTE COM BOCA DE LOBO SIMPLES PROJETADA"=BH209,"BOCA DE LOBO SIMPLES EXISTENTE COM BOCA DE LOBO SIMPLES PROJETADA"=BH209),(1.18)*(1.18),IF(OR(BH209="BOCA DE LOBO DUPLA EXISTENTE COM BOCA DE LOBO DUPLA PROJETADA",BH209="BOCA DE LOBO SIMPLES EXISTENTE COM BOCA DE LOBO DUPLA PROJETADA"),(2.38)*(1.18),IF("BOCA DE LOBO PROJETADA TRIPLA"=BH209,(3.76)*(1.18),IF("BOCA DE LOBO PROJETADA QUADRUPLA"=BH209,(4.92)*(1.18),"X"))))))</f>
        <v>3.0325999999999995</v>
      </c>
      <c r="BY209" s="538">
        <f>E209</f>
        <v>1.4120000000000001</v>
      </c>
      <c r="BZ209" s="538">
        <f>IF(Y209&gt;0.5,0,IF(S209&lt;E209,S209,E209))</f>
        <v>1.4120000000000001</v>
      </c>
      <c r="CA209" s="538">
        <f>IF(Y209&gt;0.4,BY209+0.4,Y209)</f>
        <v>0</v>
      </c>
      <c r="CB209" s="538">
        <f>IF(S209&gt;E209,0,E209-S209)</f>
        <v>0</v>
      </c>
      <c r="CC209" s="538">
        <f>IF(BZ209&gt;1.5,BW209*1.5,BW209*BZ209)</f>
        <v>10.989031199999999</v>
      </c>
      <c r="CD209" s="538">
        <f>IF(BZ209&gt;1.5,BW209*(BZ209-1.5),0)</f>
        <v>0</v>
      </c>
      <c r="CE209" s="538">
        <f>IF(CA209=0.4,IF(BZ209+CA209&gt;1.5,0,CA209*BW209),IF(CA209&gt;1.5,BW209*1.5,BW209*CA209))</f>
        <v>0</v>
      </c>
      <c r="CF209" s="538">
        <f>IF(CA209=0.4,IF(BZ209+CA209&lt;=1.5,0,CA209*BW209),IF(CA209&gt;1.5,BW209*(CA209-1.5),0))</f>
        <v>0</v>
      </c>
      <c r="CG209" s="538">
        <f>BV209-SUM(CC209:CF209)</f>
        <v>0</v>
      </c>
      <c r="CH209" s="538">
        <f>SUM(CC209:CG209)-BV209</f>
        <v>0</v>
      </c>
      <c r="CI209" s="104">
        <f>IF(OR("BOCA DE LOBO EXISTENTE TRIPLA"=BH209,"BOCA DE LOBO EXISTENTE SIMPLES"=BH209,"BOCA DE LOBO EXISTENTE DUPLA"=BH209),0,IF("BOCA DE LOBO PROJETADA DUPLA"=BH209,(2.57+1)*(0.5),IF(OR("BOCA DE LOBO DUPLA EXISTENTE COM BOCA DE LOBO SIMPLES PROJETADA"=BH209,"BOCA DE LOBO SIMPLES EXISTENTE COM BOCA DE LOBO SIMPLES PROJETADA"=BH209),(1.18+0.5)*(0.5),IF(OR(BH209="BOCA DE LOBO DUPLA EXISTENTE COM BOCA DE LOBO DUPLA PROJETADA",BH209="BOCA DE LOBO SIMPLES EXISTENTE COM BOCA DE LOBO DUPLA PROJETADA"),(2.38+0.5)*(0.5),IF("BOCA DE LOBO PROJETADA TRIPLA"=BH209,(3.76+1)*(0.5),IF("BOCA DE LOBO PROJETADA QUADRUPLA"=BH209,(4.92+1)*(0.5),"X")))))*0.3)</f>
        <v>0.53549999999999998</v>
      </c>
      <c r="CJ209" s="538">
        <f>(BW209-BX209)*(BY209+IF(CA209&gt;=0.4,0.4,0))-CI209</f>
        <v>6.1715</v>
      </c>
      <c r="CK209" s="538">
        <f>IF($CK$248&gt;$CJ$246,CJ209,CJ209*$CK$248/$CJ$246)</f>
        <v>6.1715</v>
      </c>
      <c r="CL209" s="538">
        <f>CJ209-CK209</f>
        <v>0</v>
      </c>
      <c r="CM209" s="538">
        <f>IF(CA209&gt;0,0.5*4%*BW209,0)</f>
        <v>0</v>
      </c>
      <c r="CN209" s="538">
        <f t="shared" ref="CN209:CN245" si="1841">IF(OR("BOCA DE LOBO EXISTENTE TRIPLA"=BH209,"BOCA DE LOBO EXISTENTE SIMPLES"=BH209,"BOCA DE LOBO EXISTENTE DUPLA"=BH209),0,IF("BOCA DE LOBO PROJETADA DUPLA"=BH209,(2.57+1),IF(OR("BOCA DE LOBO DUPLA EXISTENTE COM BOCA DE LOBO SIMPLES PROJETADA"=BH209,"BOCA DE LOBO SIMPLES EXISTENTE COM BOCA DE LOBO SIMPLES PROJETADA"=BH209),(1.18+0.5),IF(OR(BH209="BOCA DE LOBO DUPLA EXISTENTE COM BOCA DE LOBO DUPLA PROJETADA",BH209="BOCA DE LOBO SIMPLES EXISTENTE COM BOCA DE LOBO DUPLA PROJETADA"),(2.38+0.5),IF("BOCA DE LOBO PROJETADA TRIPLA"=BH209,(3.76+0.5*2),IF("BOCA DE LOBO PROJETADA QUADRUPLA"=BH209,(4.92+0.5*2),"X"))))))</f>
        <v>3.57</v>
      </c>
      <c r="CO209" s="538">
        <f>IF(CA209&gt;0,BY209+0.5,BY209)</f>
        <v>1.4120000000000001</v>
      </c>
      <c r="CP209" s="538">
        <f>IF(CO209&gt;=1.5,CN209*1.5*2,CN209*CO209*2)</f>
        <v>10.08168</v>
      </c>
      <c r="CQ209" s="538">
        <f>IF(CO209&lt;=1.5,0,IF(CO209&gt;=3,CN209*1.5*2,CN209*(CO209-1.5)*2))</f>
        <v>0</v>
      </c>
      <c r="CR209" s="539">
        <f>IF(D209="AMPLIADA",0.55*(E209-0.5),0)</f>
        <v>0</v>
      </c>
      <c r="CS209" s="540">
        <f>IF(OR("BOCA DE LOBO EXISTENTE TRIPLA"=BH209,"BOCA DE LOBO EXISTENTE SIMPLES"=BH209,"BOCA DE LOBO EXISTENTE DUPLA"=BH209,"BOCA DE LOBO EXISTENTE QUADRUPLA"=BH209),0,IF("BOCA DE LOBO PROJETADA DUPLA"=BH209,(0),IF(OR("BOCA DE LOBO DUPLA EXISTENTE COM BOCA DE LOBO SIMPLES PROJETADA"=BH209,"BOCA DE LOBO SIMPLES EXISTENTE COM BOCA DE LOBO SIMPLES PROJETADA"=BH209),(0.8*0.15*0.17),IF(OR(BH209="BOCA DE LOBO DUPLA EXISTENTE COM BOCA DE LOBO DUPLA PROJETADA",BH209="BOCA DE LOBO SIMPLES EXISTENTE COM BOCA DE LOBO DUPLA PROJETADA"),(0.8*0.15*0.17),IF("BOCA DE LOBO PROJETADA TRIPLA"=BH209,(0),IF("BOCA DE LOBO PROJETADA QUADRUPLA"=BH209,(0),"X")))))*E209)</f>
        <v>0</v>
      </c>
      <c r="CT209" s="540">
        <f>IF(OR("BOCA DE LOBO EXISTENTE TRIPLA"=BH209,"BOCA DE LOBO EXISTENTE SIMPLES"=BH209,"BOCA DE LOBO EXISTENTE DUPLA"=BH209,"BOCA DE LOBO EXISTENTE QUADRUPLA"=BH209),0,IF("BOCA DE LOBO PROJETADA DUPLA"=BH209,(1.18*2.57*0.05),IF(OR("BOCA DE LOBO DUPLA EXISTENTE COM BOCA DE LOBO SIMPLES PROJETADA"=BH209,"BOCA DE LOBO SIMPLES EXISTENTE COM BOCA DE LOBO SIMPLES PROJETADA"=BH209),(1.19*1.18*0.05),IF(OR(BH209="BOCA DE LOBO DUPLA EXISTENTE COM BOCA DE LOBO DUPLA PROJETADA",BH209="BOCA DE LOBO SIMPLES EXISTENTE COM BOCA DE LOBO DUPLA PROJETADA"),(2.38*1.18*0.056),IF("BOCA DE LOBO PROJETADA TRIPLA"=BH209,(3.76*1.18*0.05),IF("BOCA DE LOBO PROJETADA QUADRUPLA"=BH209,(4.92*1.18*0.05),"X")))))+CI209/3)</f>
        <v>0.33012999999999998</v>
      </c>
      <c r="CU209" s="541">
        <f>IF(OR("BOCA DE LOBO EXISTENTE TRIPLA"=BH209,"BOCA DE LOBO EXISTENTE SIMPLES"=BH209,"BOCA DE LOBO EXISTENTE DUPLA"=BH209,"BOCA DE LOBO EXISTENTE QUADRUPLA"=BH209),0,IF("BOCA DE LOBO PROJETADA DUPLA"=BH209,(1*4+0.6*2),IF(OR("BOCA DE LOBO DUPLA EXISTENTE COM BOCA DE LOBO SIMPLES PROJETADA"=BH209,"BOCA DE LOBO SIMPLES EXISTENTE COM BOCA DE LOBO SIMPLES PROJETADA"=BH209),(1*2+0.6),IF(OR(BH209="BOCA DE LOBO DUPLA EXISTENTE COM BOCA DE LOBO DUPLA PROJETADA",BH209="BOCA DE LOBO SIMPLES EXISTENTE COM BOCA DE LOBO DUPLA PROJETADA"),(1*4+0.6),IF("BOCA DE LOBO PROJETADA TRIPLA"=BH209,(6*1+0.6*2),IF("BOCA DE LOBO PROJETADA QUADRUPLA"=BH209,(8*1+0.6*2),"X")))))*E209)</f>
        <v>7.3424000000000014</v>
      </c>
      <c r="CV209" s="538">
        <f>IF(OR("BOCA DE LOBO EXISTENTE TRIPLA"=BH209,"BOCA DE LOBO EXISTENTE SIMPLES"=BH209,"BOCA DE LOBO EXISTENTE DUPLA"=BH209,"BOCA DE LOBO EXISTENTE QUADRUPLA"=BH209),0,IF("BOCA DE LOBO PROJETADA DUPLA"=BH209,(12*E209*0.17*0.15+1*0.17*0.15*5+1.09*0.6*0.07*2+2.57*1.18*0.15),IF(OR("BOCA DE LOBO DUPLA EXISTENTE COM BOCA DE LOBO SIMPLES PROJETADA"=BH209,"BOCA DE LOBO SIMPLES EXISTENTE COM BOCA DE LOBO SIMPLES PROJETADA"=BH209),(8*E209*0.17*0.15+1*0.17*0.15*4+1.09*0.6*0.07*1+1.38*1.18*0.15),IF(OR(BH209="BOCA DE LOBO DUPLA EXISTENTE COM BOCA DE LOBO DUPLA PROJETADA",BH209="BOCA DE LOBO SIMPLES EXISTENTE COM BOCA DE LOBO DUPLA PROJETADA"),(7*E209*0.17*0.15+1*0.17*0.15*5+1.09*0.6*0.07*2+2.38*1.18*0.15),IF("BOCA DE LOBO PROJETADA TRIPLA"=BH209,(15*E209*0.17*0.15+1*0.17*0.15*7+1.09*0.6*0.07*3+3.76*1.18*0.15),IF("BOCA DE LOBO PROJETADA QUADRUPLA"=BH209,(19*E209*0.17*0.15+1*0.17*0.15*9+1.09*0.6*0.07*4+4.92*1.18*0.15),"X"))))))</f>
        <v>1.1060220000000001</v>
      </c>
      <c r="CW209" s="538">
        <f>IF(OR("BOCA DE LOBO EXISTENTE TRIPLA"=BH209,"BOCA DE LOBO EXISTENTE SIMPLES"=BH209,"BOCA DE LOBO EXISTENTE DUPLA"=BH209,"BOCA DE LOBO EXISTENTE QUADRUPLA"=BH209),0,IF("BOCA DE LOBO PROJETADA DUPLA"=BH209,(12*E209*2*(0.17+0.15)+1*(2*0.17+0.15)*5+2*(2.57+1.18)*0.15+(1.09+0.6)*2*0.07*2),IF(OR("BOCA DE LOBO DUPLA EXISTENTE COM BOCA DE LOBO SIMPLES PROJETADA"=BH209,"BOCA DE LOBO SIMPLES EXISTENTE COM BOCA DE LOBO SIMPLES PROJETADA"=BH209),(8*E209*2*(0.17+0.15)+1*(2*0.17+0.15)*4+2*(1.38+1.18)*0.15+(1.09+0.6)*2*0.07*1),IF(OR(BH209="BOCA DE LOBO DUPLA EXISTENTE COM BOCA DE LOBO DUPLA PROJETADA",BH209="BOCA DE LOBO SIMPLES EXISTENTE COM BOCA DE LOBO DUPLA PROJETADA"),(7*E209*2*(0.17+0.15)+1*(2*0.17+0.15)*5+2*(2.38+1.18)*0.15+(1.09+0.6)*2*0.07*2),IF("BOCA DE LOBO PROJETADA TRIPLA"=BH209,(15*E209*2*(0.17+0.15)+1*(2*0.17+0.15)*7+2*(3.76+1.18)*0.15+(1.09+0.6)*2*0.07*3),IF("BOCA DE LOBO PROJETADA QUADRUPLA"=BH209,(19*E209*2*(0.17+0.15)+1*(2*0.17+0.15)*7+2*(4.92+1.18)*0.15+(1.09+0.6)*2*0.07*4),"X"))))))</f>
        <v>14.892360000000002</v>
      </c>
      <c r="CX209" s="104">
        <f>IF(OR("BOCA DE LOBO EXISTENTE TRIPLA"=BH209,"BOCA DE LOBO EXISTENTE SIMPLES"=BH209,"BOCA DE LOBO EXISTENTE DUPLA"=BH209,"BOCA DE LOBO EXISTENTE QUADRUPLA"=BH209),0,IF("BOCA DE LOBO PROJETADA DUPLA"=BH209,(2.57+1),IF(OR("BOCA DE LOBO DUPLA EXISTENTE COM BOCA DE LOBO SIMPLES PROJETADA"=BH209,"BOCA DE LOBO SIMPLES EXISTENTE COM BOCA DE LOBO SIMPLES PROJETADA"=BH209),(1.18+0.5),IF(OR(BH209="BOCA DE LOBO DUPLA EXISTENTE COM BOCA DE LOBO DUPLA PROJETADA",BH209="BOCA DE LOBO SIMPLES EXISTENTE COM BOCA DE LOBO DUPLA PROJETADA"),(2.38+0.5),IF("BOCA DE LOBO PROJETADA TRIPLA"=BH209,(3.76+1),IF("BOCA DE LOBO PROJETADA QUADRUPLA"=BH209,(4.92+1),"X"))))))</f>
        <v>3.57</v>
      </c>
      <c r="CY209" s="542">
        <f>CX209*0.5</f>
        <v>1.7849999999999999</v>
      </c>
      <c r="CZ209" s="538">
        <f>IF(AND(C209="EXISTENTE",D209="PROJETADA"),PI()*0.51*0.51/4*0.12,0)</f>
        <v>0</v>
      </c>
    </row>
    <row r="210" spans="1:104" ht="14.5" x14ac:dyDescent="0.35">
      <c r="A210" s="325" t="str">
        <f>'BOCA DE LOBO'!A188</f>
        <v>RD-4</v>
      </c>
      <c r="B210" s="87"/>
      <c r="C210" s="87"/>
      <c r="D210" s="87"/>
      <c r="E210" s="88"/>
      <c r="F210" s="88"/>
      <c r="G210" s="88"/>
      <c r="H210" s="82"/>
      <c r="I210" s="82"/>
      <c r="J210" s="82"/>
      <c r="K210" s="82"/>
      <c r="L210" s="90"/>
      <c r="M210" s="90"/>
      <c r="N210" s="90"/>
      <c r="O210" s="90"/>
      <c r="P210" s="89"/>
      <c r="Q210" s="89"/>
      <c r="R210" s="89"/>
      <c r="S210" s="89"/>
      <c r="T210" s="89"/>
      <c r="U210" s="90"/>
      <c r="V210" s="91"/>
      <c r="W210" s="92"/>
      <c r="X210" s="92"/>
      <c r="Y210" s="92"/>
      <c r="Z210" s="92"/>
      <c r="AA210" s="92"/>
      <c r="AB210" s="93"/>
      <c r="AC210" s="94"/>
      <c r="AD210" s="94"/>
      <c r="AE210" s="94"/>
      <c r="AF210" s="94"/>
      <c r="AG210" s="94"/>
      <c r="AH210" s="94"/>
      <c r="AI210" s="81"/>
      <c r="AJ210" s="82"/>
      <c r="AK210" s="82"/>
      <c r="AL210" s="82"/>
      <c r="AM210" s="82"/>
      <c r="AN210" s="83"/>
      <c r="AO210" s="82"/>
      <c r="AP210" s="82"/>
      <c r="AQ210" s="82"/>
      <c r="AR210" s="82"/>
      <c r="AS210" s="82"/>
      <c r="AT210" s="82"/>
      <c r="AU210" s="82"/>
      <c r="AV210" s="82"/>
      <c r="AW210" s="82"/>
      <c r="AX210" s="82"/>
      <c r="AY210" s="82"/>
      <c r="AZ210" s="82"/>
      <c r="BA210" s="82"/>
      <c r="BB210" s="82"/>
      <c r="BC210" s="82"/>
      <c r="BD210" s="82"/>
      <c r="BE210" s="95"/>
      <c r="BF210" s="79"/>
      <c r="BG210" s="79"/>
      <c r="BH210" s="569"/>
      <c r="BI210" s="96"/>
      <c r="BJ210" s="96"/>
      <c r="BK210" s="96"/>
      <c r="BL210" s="96"/>
      <c r="BM210" s="96"/>
      <c r="BN210" s="570"/>
      <c r="BO210" s="571"/>
      <c r="BP210" s="572"/>
      <c r="BQ210" s="79"/>
      <c r="BR210" s="79"/>
      <c r="BS210" s="79"/>
      <c r="BV210" s="539"/>
      <c r="BW210" s="539"/>
      <c r="BX210" s="538"/>
      <c r="BY210" s="539"/>
      <c r="BZ210" s="539"/>
      <c r="CA210" s="539"/>
      <c r="CB210" s="539"/>
      <c r="CC210" s="539"/>
      <c r="CD210" s="539"/>
      <c r="CE210" s="539"/>
      <c r="CF210" s="539"/>
      <c r="CG210" s="539"/>
      <c r="CH210" s="539"/>
      <c r="CI210" s="539"/>
      <c r="CJ210" s="539"/>
      <c r="CK210" s="539"/>
      <c r="CL210" s="539"/>
      <c r="CM210" s="539"/>
      <c r="CN210" s="538"/>
      <c r="CO210" s="539"/>
      <c r="CP210" s="539"/>
      <c r="CQ210" s="539"/>
      <c r="CR210" s="539"/>
      <c r="CS210" s="540"/>
      <c r="CT210" s="540"/>
      <c r="CU210" s="541"/>
      <c r="CV210" s="541"/>
      <c r="CW210" s="538"/>
      <c r="CY210" s="538"/>
    </row>
    <row r="211" spans="1:104" s="112" customFormat="1" ht="25" x14ac:dyDescent="0.25">
      <c r="A211" s="100" t="str">
        <f>'BOCA DE LOBO'!C189</f>
        <v>BL9-&gt;PV1.1</v>
      </c>
      <c r="B211" s="100" t="str">
        <f>'BOCA DE LOBO'!A189</f>
        <v>PV1.1</v>
      </c>
      <c r="C211" s="100" t="str">
        <f>VLOOKUP(A211,'BOCA DE LOBO'!C:F,3,0)</f>
        <v>PROJETADO</v>
      </c>
      <c r="D211" s="100" t="str">
        <f>VLOOKUP(A211,'BOCA DE LOBO'!C:M,10,0)</f>
        <v>PROJETADA</v>
      </c>
      <c r="E211" s="100">
        <f>IF(F211-G211*4%&lt;2.5,F211-G211*4%,2.5)</f>
        <v>1.3616000000000001</v>
      </c>
      <c r="F211" s="100">
        <f>VLOOKUP(A211,'BOCA DE LOBO'!$C$178:$L$224,2,0)</f>
        <v>1.6</v>
      </c>
      <c r="G211" s="100">
        <f>VLOOKUP(A211,'BOCA DE LOBO'!$C$178:$L$224,4,0)</f>
        <v>5.96</v>
      </c>
      <c r="H211" s="101">
        <v>400</v>
      </c>
      <c r="I211" s="102">
        <f>IF(H211=400,((E211+F211)/2)+0.08+U211,IF(H211=500,((E211+F211)/2)+0.1+U211,IF(H211=600,((E211+F211)/2)+0.12+U211,IF(H211=800,((E211+F211)/2)+0.16+U211,IF(H211=1000,((E211+F211)/2)+0.2+U211,IF(H211=1200,((E211+F211)/2)+0.24+U211,IF(H211=1500,((E211+F211)/2)+0.3+U211,IF(H211&gt;1500,((E211+F211)/2)+0.4+U211))))))))</f>
        <v>1.6108000000000002</v>
      </c>
      <c r="J211" s="102">
        <f>IF(L211=0,0,IF(I211&gt;=1.25,G211*I211/20,0))</f>
        <v>0.48001840000000007</v>
      </c>
      <c r="K211" s="103">
        <v>0</v>
      </c>
      <c r="L211" s="104">
        <f>IF(D211&lt;&gt;"PROJETADA",0,IF(H211=400,1,0)+IF(H211=500,1.2,0)+IF(H211=600,1.4,0)+IF(H211=800,1.7,0)+IF(H211=1000,2,0)+IF(H211=1200,2.2,0)+IF(H211=1500,2.6,0)+IF(H211=1650,3,0)+IF(H211=1800,3.2,0)+IF(H211=2000,3.4,0)+IF(H211=2200,3.6,0)+IF(H211=2400,3.8,0)+IF(H211=2600,4,0)+IF(H211=3000,4.4,0))</f>
        <v>1</v>
      </c>
      <c r="M211" s="104">
        <f>2*K211*I211+L211</f>
        <v>1</v>
      </c>
      <c r="N211" s="104">
        <f>IF(OR(D211="EXISTENTE",D211="AMPLIADA"),400,0)</f>
        <v>0</v>
      </c>
      <c r="O211" s="104">
        <f>IF(P211="TERRENO NATURAL",0,M211*G211)</f>
        <v>5.96</v>
      </c>
      <c r="P211" s="105" t="str">
        <f>VLOOKUP(B211,'Planilha Hidráulica'!$AE$36:$AQ$53,13,0)</f>
        <v>ASFALTO</v>
      </c>
      <c r="Q211" s="468" t="s">
        <v>2074</v>
      </c>
      <c r="R211" s="105"/>
      <c r="S211" s="105">
        <f>VLOOKUP(Q211,Quantitativos!P:R,3,0)</f>
        <v>5</v>
      </c>
      <c r="T211" s="105">
        <f>VLOOKUP(Q211,Quantitativos!P:S,4,0)</f>
        <v>5</v>
      </c>
      <c r="U211" s="104">
        <f>IF(H211=400,0.05,0)+IF(H211=500,0.05,0)+IF(H211=600,0.1,0)+IF(H211=800,0.1,0)+IF(H211=1000,0.15,0)+IF(H211=1200,0.15,0)+IF(H211=1500,0.2,0)+IF(H211=1650,0.2,0)+IF(H211=1800,0.2,0)+IF(H211=2000,0.25,0)+IF(H211=2200,0.25,0)+IF(H211=2400,0.25,0)+IF(H211=2600,0.25,0)+IF(H211=3000,0.25,0)</f>
        <v>0.05</v>
      </c>
      <c r="V211" s="106">
        <f>IF(L211=0,0,IF("EXISTENTE"=C211,0,IFERROR((PI()*(N211/1000)*(N211/1000)/4)*G211,0)))</f>
        <v>0</v>
      </c>
      <c r="W211" s="106">
        <f>IF(O211=0,0,((((K211*I211)*I211)/2)*2+L211*I211)*G211-V211+AO211)</f>
        <v>9.6003680000000013</v>
      </c>
      <c r="X211" s="107">
        <f>W211-SUM(AC211:AJ211)</f>
        <v>0</v>
      </c>
      <c r="Y211" s="107">
        <f>IF(R211=1,IF(N211=0,I211+0.4,0.4),0)</f>
        <v>0</v>
      </c>
      <c r="Z211" s="107">
        <f>IF(Y211&gt;0.5,0,IF(S211&lt;I211,S211,I211))</f>
        <v>1.6108000000000002</v>
      </c>
      <c r="AA211" s="107">
        <f>I211-Z211</f>
        <v>0</v>
      </c>
      <c r="AB211" s="108">
        <f>IF(P211="ASFALTO",IF(D211="PROJETADA",O211,IF(D211="EXISTENTE",0,O211/2)),0)</f>
        <v>5.96</v>
      </c>
      <c r="AC211" s="109">
        <f>IF(Y211=0,0,IF(Y211=0.4,IF(L211&lt;=1.5,IF(Z211+0.4&gt;=1.5,0,L211*G211*0.4),0),IF(L211&lt;=1.5,IF(Y211&gt;=1.5,M211*G211*1.5,L211*G211*(Y211)),0)+IF(S211&lt;I211+0.4,0,IF(AND(Y211&lt;=1.5,L211&lt;=1.5),-V211,0))))</f>
        <v>0</v>
      </c>
      <c r="AD211" s="109">
        <f>IF(Y211=0,0,IF(Y211=0.4,IF(L211&lt;=1.5,IF(OR(Z211+0.4&gt;=3,Z211+0.4&lt;1.5),0,L211*G211*0.4),0),IF(IF(L211&lt;=1.5,IF(Y211&gt;=3,M211*G211*1.5,L211*G211*(Y211-1.5)),0)&lt;0,0,IF(L211&lt;=1.5,IF(Y211&gt;=3,M211*G211*1.5,L211*G211*(Y211-1.5)),0))+IF(S211&lt;I211+0.4,0,IF(AND(Y211&lt;=3,L211&lt;=1.5),-V211,0))))</f>
        <v>0</v>
      </c>
      <c r="AE211" s="109">
        <f>IF(Y211=0,0,IF(Y211=0.4,IF(L211&lt;=1.5,IF(OR(Z211+0.4&gt;=4.5,Z211+0.4&lt;3),0,L211*G211*0.4),0),IF(IF(L211&lt;=1.5,IF(Y211&gt;=4.5,M211*G211*1.5,L211*G211*(Y211-3)),0)&lt;0,0,IF(L211&lt;=1.5,IF(Y211&gt;=4.5,M211*G211*1.5,L211*G211*(Y211-3)),0))+IF(S211&lt;I211+0.4,0,IF(AND(Y211&lt;=4.5,L211&lt;=1.5),-V211,0))))</f>
        <v>0</v>
      </c>
      <c r="AF211" s="109">
        <f>IF(L211&lt;=1.5,IF(Z211&gt;=1.5,M211*G211*1.5,L211*G211*Z211),0)+IF(S211&lt;I211,0,IF(AND(Z211&lt;=1.5,L211&lt;=1.5),-V211,0))-V211</f>
        <v>8.94</v>
      </c>
      <c r="AG211" s="109">
        <f>IF(IF(L211&lt;=1.5,IF(Z211&gt;=3,M211*G211*1.5,L211*G211*(Z211-1.5)),0)&lt;0,0,IF(L211&lt;=1.5,IF(Z211&gt;=3,M211*G211*1.5,L211*G211*(Z211-1.5)),0))</f>
        <v>0.6603680000000014</v>
      </c>
      <c r="AH211" s="109">
        <f>IF(IF(IF(L211&lt;=1.5,IF(Z211&gt;=4.5,M211*G211*1.5,L211*G211*(Z211-3)),0)&lt;0,0,IF(L211&lt;=1.5,IF(Z211&gt;=4.5,M211*G211*1.5,L211*G211*(Z211-3)),0))+IF(S211&lt;I211,0,IF(AND(Z211&lt;=4.5,L211&lt;=1.5),-V211,0))&lt;0,0,IF(IF(L211&lt;=1.5,IF(Z211&gt;=4.5,M211*G211*1.5,L211*G211*(Z211-3)),0)&lt;0,0,IF(L211&lt;=1.5,IF(Z211&gt;=4.5,M211*G211*1.5,L211*G211*(Z211-3)),0))+IF(S211&lt;I211,0,IF(AND(Z211&lt;=4.5,L211&lt;=1.5),-V211,0)))</f>
        <v>0</v>
      </c>
      <c r="AI211" s="537" t="str">
        <f>IF(I211&gt;S211,"SIM","NÃO")</f>
        <v>NÃO</v>
      </c>
      <c r="AJ211" s="104">
        <f>W211-SUM(AC211:AH211)</f>
        <v>0</v>
      </c>
      <c r="AK211" s="104">
        <f>IF(I211-T211&lt;0,0,(I211-T211)*G211)/75</f>
        <v>0</v>
      </c>
      <c r="AL211" s="104">
        <f>IF(L211=0,0,G211*L211*I211-PI()*(H211/1000)*(H211/1000)/4*G211+AO211)</f>
        <v>8.8514123113841947</v>
      </c>
      <c r="AM211" s="102">
        <f>IF(L211&lt;1.5,L211*G211*IF(H211&lt;=500,0.05,IF(H211&lt;=800,0.1,IF(H211&lt;=1200,0.15,IF(H211&gt;=1500,0.2)))),0)</f>
        <v>0.29799999999999999</v>
      </c>
      <c r="AN211" s="106">
        <f>IF(L211&gt;=1.5,L211*G211*IF(H211&lt;=500,0.05,IF(H211&lt;=800,0.1,IF(H211&lt;=1200,0.15,IF(H211&gt;=1500,0.2)))),0)</f>
        <v>0</v>
      </c>
      <c r="AO211" s="104">
        <f>IF(R211=1,0.5*G211*L211,0)</f>
        <v>0</v>
      </c>
      <c r="AP211" s="104">
        <f>IF(AO211&lt;SUM(AF211:AH211),0,AO211)</f>
        <v>0</v>
      </c>
      <c r="AQ211" s="104">
        <f>H211/1000+0.3</f>
        <v>0.7</v>
      </c>
      <c r="AR211" s="104">
        <f>IF(D211&lt;&gt;"PROJETADA",0,AQ211*L211*G211-PI()*(H211/1000*H211/1000)/4*G211)</f>
        <v>3.4230443113841931</v>
      </c>
      <c r="AS211" s="104">
        <f>IF(AR211&lt;SUM(AF211:AH211),0,AR211)</f>
        <v>0</v>
      </c>
      <c r="AT211" s="104">
        <f>IF(P211="ASFALTO",0.15*G211*L211,0)</f>
        <v>0.89400000000000002</v>
      </c>
      <c r="AU211" s="104">
        <f>AT211</f>
        <v>0.89400000000000002</v>
      </c>
      <c r="AV211" s="104">
        <f>IF(P211="ASFALTO",0.03*G211*L211,0)</f>
        <v>0.17879999999999999</v>
      </c>
      <c r="AW211" s="104">
        <f>AL211-AO211-SUM(AM211:AN211)-AT211-AU211-AR211</f>
        <v>3.3423680000000013</v>
      </c>
      <c r="AX211" s="104">
        <f>SUM(AF211:AH211)-AO211-AT211-AR211</f>
        <v>5.2833236886158081</v>
      </c>
      <c r="AY211" s="104">
        <f>SMALL(AW211:AX211,1)</f>
        <v>3.3423680000000013</v>
      </c>
      <c r="AZ211" s="104">
        <f>AW211-AY211</f>
        <v>0</v>
      </c>
      <c r="BA211" s="104">
        <f>IF($AZ$246&gt;$BA$248,($BA$248/$AZ$246)*AZ211,AZ211)</f>
        <v>0</v>
      </c>
      <c r="BB211" s="104">
        <f>AZ211-BA211</f>
        <v>0</v>
      </c>
      <c r="BC211" s="104"/>
      <c r="BD211" s="104">
        <f>IF(AO211+AT211&gt;0,4%*(AO211+AT211),0)</f>
        <v>3.576E-2</v>
      </c>
      <c r="BE211" s="108">
        <f>IF(H211=400,I211,0)</f>
        <v>1.6108000000000002</v>
      </c>
      <c r="BF211" s="110">
        <f>IF(BE211&lt;=1.75,G211*IF(D211="PROJETADA",1,0),0)</f>
        <v>5.96</v>
      </c>
      <c r="BG211" s="110">
        <f>IF(AND(BE211&lt;=3,BE211&gt;1.75),IF(D211="PROJETADA",1,0)*G211,0)</f>
        <v>0</v>
      </c>
      <c r="BH211" s="105" t="str">
        <f>VLOOKUP(A211,'BOCA DE LOBO'!C:I,7,0)</f>
        <v>BOCA DE LOBO PROJETADA DUPLA</v>
      </c>
      <c r="BI211" s="104">
        <f>IF(BH211=$BI$198,1,0)</f>
        <v>0</v>
      </c>
      <c r="BJ211" s="104">
        <f>IF(BH211=$BJ$198,1,0)</f>
        <v>0</v>
      </c>
      <c r="BK211" s="104">
        <f>IF(BH211=$BK$198,1,0)</f>
        <v>0</v>
      </c>
      <c r="BL211" s="104">
        <f>IF(BH211=$BL$198,1,0)</f>
        <v>0</v>
      </c>
      <c r="BM211" s="104">
        <f>IF(BH211=$BM$198,1,0)</f>
        <v>0</v>
      </c>
      <c r="BN211" s="104">
        <f>IF(BH211=$BN$198,1,0)</f>
        <v>1</v>
      </c>
      <c r="BO211" s="104">
        <f>IF(BH211=$BO$198,1,0)</f>
        <v>0</v>
      </c>
      <c r="BP211" s="111"/>
      <c r="BQ211" s="108">
        <f>IF(L211&lt;=1.5,IF(I211+IF(R211=1,0.5,0)&lt;1.5,(I211+IF(R211=1,0.5,0))*G211*2,G211*2*1.5),0)</f>
        <v>17.88</v>
      </c>
      <c r="BR211" s="108">
        <f>IF(L211&lt;=1.5,IF(AND(I211+IF(R211=1,0.5,0)&lt;3,I211+IF(R211=1,0.5,0)&gt;1.5),(I211+IF(R211=1,0.5,0)-1.5)*G211*2,IF(I211+IF(R211=1,0.5,0)&gt;=3,(G211*2*1.5),0)),0)</f>
        <v>1.3207360000000028</v>
      </c>
      <c r="BS211" s="108">
        <f>IF(L211&lt;=1.5,IF(AND(I211+IF(R211=1,0.5,0)&lt;4.5,I211+IF(R211=1,0.5,0)&gt;3),(I211+IF(R211=1,0.5,0)-3)*G211*2,IF(I211+IF(R211=1,0.5,0)&gt;=4.5,(G211*2*1.5),0)),0)</f>
        <v>0</v>
      </c>
      <c r="BV211" s="538">
        <f>IF(OR("BOCA DE LOBO EXISTENTE TRIPLA"=BH211,"BOCA DE LOBO EXISTENTE SIMPLES"=BH211,"BOCA DE LOBO EXISTENTE DUPLA"=BH211),0,IF("BOCA DE LOBO PROJETADA DUPLA"=BH211,(2.57+1)*(1.18+1),IF(OR("BOCA DE LOBO DUPLA EXISTENTE COM BOCA DE LOBO SIMPLES PROJETADA"=BH211,"BOCA DE LOBO SIMPLES EXISTENTE COM BOCA DE LOBO SIMPLES PROJETADA"=BH211),(1.18+0.5)*(1.18+1),IF(OR(BH211="BOCA DE LOBO DUPLA EXISTENTE COM BOCA DE LOBO DUPLA PROJETADA",BH211="BOCA DE LOBO SIMPLES EXISTENTE COM BOCA DE LOBO DUPLA PROJETADA"),(2.38+0.5)*(1.18+1),IF("BOCA DE LOBO PROJETADA TRIPLA"=BH211,(3.76+1)*(1.18+1),IF("BOCA DE LOBO PROJETADA QUADRUPLA"=BH211,(4.92+1)*(1.18+1),"X"))))))*(E211+IF(CA211&gt;0,0.5,0))</f>
        <v>10.596788159999999</v>
      </c>
      <c r="BW211" s="538">
        <f>IF(OR("BOCA DE LOBO EXISTENTE TRIPLA"=BH211,"BOCA DE LOBO EXISTENTE SIMPLES"=BH211,"BOCA DE LOBO EXISTENTE DUPLA"=BH211,"BOCA DE LOBO EXISTENTE QUADRUPLA"=BH211),0,IF("BOCA DE LOBO PROJETADA DUPLA"=BH211,(2.57+1)*(1.18+1),IF(OR("BOCA DE LOBO DUPLA EXISTENTE COM BOCA DE LOBO SIMPLES PROJETADA"=BH211,"BOCA DE LOBO SIMPLES EXISTENTE COM BOCA DE LOBO SIMPLES PROJETADA"=BH211),(1.18+1)*(1.18+0.5),IF(OR(BH211="BOCA DE LOBO DUPLA EXISTENTE COM BOCA DE LOBO DUPLA PROJETADA",BH211="BOCA DE LOBO SIMPLES EXISTENTE COM BOCA DE LOBO DUPLA PROJETADA"),(2.38+0.5)*(1.18+1),IF("BOCA DE LOBO PROJETADA TRIPLA"=BH211,(3.76+0.5*2)*(1.18+1),IF("BOCA DE LOBO PROJETADA QUADRUPLA"=BH211,(4.92+0.5*2)*(1.18+1),"X"))))))</f>
        <v>7.7825999999999986</v>
      </c>
      <c r="BX211" s="538">
        <f>IF(OR("BOCA DE LOBO EXISTENTE TRIPLA"=BH211,"BOCA DE LOBO EXISTENTE SIMPLES"=BH211,"BOCA DE LOBO EXISTENTE DUPLA"=BH211,"BOCA DE LOBO EXISTENTE QUADRUPLA"=BH211),0,IF("BOCA DE LOBO PROJETADA DUPLA"=BH211,(2.57)*(1.18),IF(OR("BOCA DE LOBO DUPLA EXISTENTE COM BOCA DE LOBO SIMPLES PROJETADA"=BH211,"BOCA DE LOBO SIMPLES EXISTENTE COM BOCA DE LOBO SIMPLES PROJETADA"=BH211),(1.18)*(1.18),IF(OR(BH211="BOCA DE LOBO DUPLA EXISTENTE COM BOCA DE LOBO DUPLA PROJETADA",BH211="BOCA DE LOBO SIMPLES EXISTENTE COM BOCA DE LOBO DUPLA PROJETADA"),(2.38)*(1.18),IF("BOCA DE LOBO PROJETADA TRIPLA"=BH211,(3.76)*(1.18),IF("BOCA DE LOBO PROJETADA QUADRUPLA"=BH211,(4.92)*(1.18),"X"))))))</f>
        <v>3.0325999999999995</v>
      </c>
      <c r="BY211" s="538">
        <f>E211</f>
        <v>1.3616000000000001</v>
      </c>
      <c r="BZ211" s="538">
        <f>IF(Y211&gt;0.5,0,IF(S211&lt;E211,S211,E211))</f>
        <v>1.3616000000000001</v>
      </c>
      <c r="CA211" s="538">
        <f>IF(Y211&gt;0.4,BY211+0.4,Y211)</f>
        <v>0</v>
      </c>
      <c r="CB211" s="538">
        <f>IF(S211&gt;E211,0,E211-S211)</f>
        <v>0</v>
      </c>
      <c r="CC211" s="538">
        <f>IF(BZ211&gt;1.5,BW211*1.5,BW211*BZ211)</f>
        <v>10.596788159999999</v>
      </c>
      <c r="CD211" s="538">
        <f>IF(BZ211&gt;1.5,BW211*(BZ211-1.5),0)</f>
        <v>0</v>
      </c>
      <c r="CE211" s="538">
        <f>IF(CA211=0.4,IF(BZ211+CA211&gt;1.5,0,CA211*BW211),IF(CA211&gt;1.5,BW211*1.5,BW211*CA211))</f>
        <v>0</v>
      </c>
      <c r="CF211" s="538">
        <f>IF(CA211=0.4,IF(BZ211+CA211&lt;=1.5,0,CA211*BW211),IF(CA211&gt;1.5,BW211*(CA211-1.5),0))</f>
        <v>0</v>
      </c>
      <c r="CG211" s="538">
        <f>BV211-SUM(CC211:CF211)</f>
        <v>0</v>
      </c>
      <c r="CH211" s="538">
        <f>SUM(CC211:CG211)-BV211</f>
        <v>0</v>
      </c>
      <c r="CI211" s="104">
        <f>IF(OR("BOCA DE LOBO EXISTENTE TRIPLA"=BH211,"BOCA DE LOBO EXISTENTE SIMPLES"=BH211,"BOCA DE LOBO EXISTENTE DUPLA"=BH211),0,IF("BOCA DE LOBO PROJETADA DUPLA"=BH211,(2.57+1)*(0.5),IF(OR("BOCA DE LOBO DUPLA EXISTENTE COM BOCA DE LOBO SIMPLES PROJETADA"=BH211,"BOCA DE LOBO SIMPLES EXISTENTE COM BOCA DE LOBO SIMPLES PROJETADA"=BH211),(1.18+0.5)*(0.5),IF(OR(BH211="BOCA DE LOBO DUPLA EXISTENTE COM BOCA DE LOBO DUPLA PROJETADA",BH211="BOCA DE LOBO SIMPLES EXISTENTE COM BOCA DE LOBO DUPLA PROJETADA"),(2.38+0.5)*(0.5),IF("BOCA DE LOBO PROJETADA TRIPLA"=BH211,(3.76+1)*(0.5),IF("BOCA DE LOBO PROJETADA QUADRUPLA"=BH211,(4.92+1)*(0.5),"X")))))*0.3)</f>
        <v>0.53549999999999998</v>
      </c>
      <c r="CJ211" s="538">
        <f>(BW211-BX211)*(BY211+IF(CA211&gt;=0.4,0.4,0))-CI211</f>
        <v>5.9320999999999993</v>
      </c>
      <c r="CK211" s="538">
        <f>IF($CK$248&gt;$CJ$246,CJ211,CJ211*$CK$248/$CJ$246)</f>
        <v>5.9320999999999993</v>
      </c>
      <c r="CL211" s="538">
        <f>CJ211-CK211</f>
        <v>0</v>
      </c>
      <c r="CM211" s="538">
        <f>IF(CA211&gt;0,0.5*4%*BW211,0)</f>
        <v>0</v>
      </c>
      <c r="CN211" s="538">
        <f t="shared" si="1841"/>
        <v>3.57</v>
      </c>
      <c r="CO211" s="538">
        <f>IF(CA211&gt;0,BY211+0.5,BY211)</f>
        <v>1.3616000000000001</v>
      </c>
      <c r="CP211" s="538">
        <f>IF(CO211&gt;=1.5,CN211*1.5*2,CN211*CO211*2)</f>
        <v>9.7218239999999998</v>
      </c>
      <c r="CQ211" s="538">
        <f>IF(CO211&lt;=1.5,0,IF(CO211&gt;=3,CN211*1.5*2,CN211*(CO211-1.5)*2))</f>
        <v>0</v>
      </c>
      <c r="CR211" s="539">
        <f>IF(D211="AMPLIADA",0.55*(E211-0.5),0)</f>
        <v>0</v>
      </c>
      <c r="CS211" s="540">
        <f>IF(OR("BOCA DE LOBO EXISTENTE TRIPLA"=BH211,"BOCA DE LOBO EXISTENTE SIMPLES"=BH211,"BOCA DE LOBO EXISTENTE DUPLA"=BH211,"BOCA DE LOBO EXISTENTE QUADRUPLA"=BH211),0,IF("BOCA DE LOBO PROJETADA DUPLA"=BH211,(0),IF(OR("BOCA DE LOBO DUPLA EXISTENTE COM BOCA DE LOBO SIMPLES PROJETADA"=BH211,"BOCA DE LOBO SIMPLES EXISTENTE COM BOCA DE LOBO SIMPLES PROJETADA"=BH211),(0.8*0.15*0.17),IF(OR(BH211="BOCA DE LOBO DUPLA EXISTENTE COM BOCA DE LOBO DUPLA PROJETADA",BH211="BOCA DE LOBO SIMPLES EXISTENTE COM BOCA DE LOBO DUPLA PROJETADA"),(0.8*0.15*0.17),IF("BOCA DE LOBO PROJETADA TRIPLA"=BH211,(0),IF("BOCA DE LOBO PROJETADA QUADRUPLA"=BH211,(0),"X")))))*E211)</f>
        <v>0</v>
      </c>
      <c r="CT211" s="540">
        <f>IF(OR("BOCA DE LOBO EXISTENTE TRIPLA"=BH211,"BOCA DE LOBO EXISTENTE SIMPLES"=BH211,"BOCA DE LOBO EXISTENTE DUPLA"=BH211,"BOCA DE LOBO EXISTENTE QUADRUPLA"=BH211),0,IF("BOCA DE LOBO PROJETADA DUPLA"=BH211,(1.18*2.57*0.05),IF(OR("BOCA DE LOBO DUPLA EXISTENTE COM BOCA DE LOBO SIMPLES PROJETADA"=BH211,"BOCA DE LOBO SIMPLES EXISTENTE COM BOCA DE LOBO SIMPLES PROJETADA"=BH211),(1.19*1.18*0.05),IF(OR(BH211="BOCA DE LOBO DUPLA EXISTENTE COM BOCA DE LOBO DUPLA PROJETADA",BH211="BOCA DE LOBO SIMPLES EXISTENTE COM BOCA DE LOBO DUPLA PROJETADA"),(2.38*1.18*0.056),IF("BOCA DE LOBO PROJETADA TRIPLA"=BH211,(3.76*1.18*0.05),IF("BOCA DE LOBO PROJETADA QUADRUPLA"=BH211,(4.92*1.18*0.05),"X")))))+CI211/3)</f>
        <v>0.33012999999999998</v>
      </c>
      <c r="CU211" s="541">
        <f>IF(OR("BOCA DE LOBO EXISTENTE TRIPLA"=BH211,"BOCA DE LOBO EXISTENTE SIMPLES"=BH211,"BOCA DE LOBO EXISTENTE DUPLA"=BH211,"BOCA DE LOBO EXISTENTE QUADRUPLA"=BH211),0,IF("BOCA DE LOBO PROJETADA DUPLA"=BH211,(1*4+0.6*2),IF(OR("BOCA DE LOBO DUPLA EXISTENTE COM BOCA DE LOBO SIMPLES PROJETADA"=BH211,"BOCA DE LOBO SIMPLES EXISTENTE COM BOCA DE LOBO SIMPLES PROJETADA"=BH211),(1*2+0.6),IF(OR(BH211="BOCA DE LOBO DUPLA EXISTENTE COM BOCA DE LOBO DUPLA PROJETADA",BH211="BOCA DE LOBO SIMPLES EXISTENTE COM BOCA DE LOBO DUPLA PROJETADA"),(1*4+0.6),IF("BOCA DE LOBO PROJETADA TRIPLA"=BH211,(6*1+0.6*2),IF("BOCA DE LOBO PROJETADA QUADRUPLA"=BH211,(8*1+0.6*2),"X")))))*E211)</f>
        <v>7.0803200000000013</v>
      </c>
      <c r="CV211" s="538">
        <f>IF(OR("BOCA DE LOBO EXISTENTE TRIPLA"=BH211,"BOCA DE LOBO EXISTENTE SIMPLES"=BH211,"BOCA DE LOBO EXISTENTE DUPLA"=BH211,"BOCA DE LOBO EXISTENTE QUADRUPLA"=BH211),0,IF("BOCA DE LOBO PROJETADA DUPLA"=BH211,(12*E211*0.17*0.15+1*0.17*0.15*5+1.09*0.6*0.07*2+2.57*1.18*0.15),IF(OR("BOCA DE LOBO DUPLA EXISTENTE COM BOCA DE LOBO SIMPLES PROJETADA"=BH211,"BOCA DE LOBO SIMPLES EXISTENTE COM BOCA DE LOBO SIMPLES PROJETADA"=BH211),(8*E211*0.17*0.15+1*0.17*0.15*4+1.09*0.6*0.07*1+1.38*1.18*0.15),IF(OR(BH211="BOCA DE LOBO DUPLA EXISTENTE COM BOCA DE LOBO DUPLA PROJETADA",BH211="BOCA DE LOBO SIMPLES EXISTENTE COM BOCA DE LOBO DUPLA PROJETADA"),(7*E211*0.17*0.15+1*0.17*0.15*5+1.09*0.6*0.07*2+2.38*1.18*0.15),IF("BOCA DE LOBO PROJETADA TRIPLA"=BH211,(15*E211*0.17*0.15+1*0.17*0.15*7+1.09*0.6*0.07*3+3.76*1.18*0.15),IF("BOCA DE LOBO PROJETADA QUADRUPLA"=BH211,(19*E211*0.17*0.15+1*0.17*0.15*9+1.09*0.6*0.07*4+4.92*1.18*0.15),"X"))))))</f>
        <v>1.0905996</v>
      </c>
      <c r="CW211" s="538">
        <f>IF(OR("BOCA DE LOBO EXISTENTE TRIPLA"=BH211,"BOCA DE LOBO EXISTENTE SIMPLES"=BH211,"BOCA DE LOBO EXISTENTE DUPLA"=BH211,"BOCA DE LOBO EXISTENTE QUADRUPLA"=BH211),0,IF("BOCA DE LOBO PROJETADA DUPLA"=BH211,(12*E211*2*(0.17+0.15)+1*(2*0.17+0.15)*5+2*(2.57+1.18)*0.15+(1.09+0.6)*2*0.07*2),IF(OR("BOCA DE LOBO DUPLA EXISTENTE COM BOCA DE LOBO SIMPLES PROJETADA"=BH211,"BOCA DE LOBO SIMPLES EXISTENTE COM BOCA DE LOBO SIMPLES PROJETADA"=BH211),(8*E211*2*(0.17+0.15)+1*(2*0.17+0.15)*4+2*(1.38+1.18)*0.15+(1.09+0.6)*2*0.07*1),IF(OR(BH211="BOCA DE LOBO DUPLA EXISTENTE COM BOCA DE LOBO DUPLA PROJETADA",BH211="BOCA DE LOBO SIMPLES EXISTENTE COM BOCA DE LOBO DUPLA PROJETADA"),(7*E211*2*(0.17+0.15)+1*(2*0.17+0.15)*5+2*(2.38+1.18)*0.15+(1.09+0.6)*2*0.07*2),IF("BOCA DE LOBO PROJETADA TRIPLA"=BH211,(15*E211*2*(0.17+0.15)+1*(2*0.17+0.15)*7+2*(3.76+1.18)*0.15+(1.09+0.6)*2*0.07*3),IF("BOCA DE LOBO PROJETADA QUADRUPLA"=BH211,(19*E211*2*(0.17+0.15)+1*(2*0.17+0.15)*7+2*(4.92+1.18)*0.15+(1.09+0.6)*2*0.07*4),"X"))))))</f>
        <v>14.505288000000002</v>
      </c>
      <c r="CX211" s="104">
        <f>IF(OR("BOCA DE LOBO EXISTENTE TRIPLA"=BH211,"BOCA DE LOBO EXISTENTE SIMPLES"=BH211,"BOCA DE LOBO EXISTENTE DUPLA"=BH211,"BOCA DE LOBO EXISTENTE QUADRUPLA"=BH211),0,IF("BOCA DE LOBO PROJETADA DUPLA"=BH211,(2.57+1),IF(OR("BOCA DE LOBO DUPLA EXISTENTE COM BOCA DE LOBO SIMPLES PROJETADA"=BH211,"BOCA DE LOBO SIMPLES EXISTENTE COM BOCA DE LOBO SIMPLES PROJETADA"=BH211),(1.18+0.5),IF(OR(BH211="BOCA DE LOBO DUPLA EXISTENTE COM BOCA DE LOBO DUPLA PROJETADA",BH211="BOCA DE LOBO SIMPLES EXISTENTE COM BOCA DE LOBO DUPLA PROJETADA"),(2.38+0.5),IF("BOCA DE LOBO PROJETADA TRIPLA"=BH211,(3.76+1),IF("BOCA DE LOBO PROJETADA QUADRUPLA"=BH211,(4.92+1),"X"))))))</f>
        <v>3.57</v>
      </c>
      <c r="CY211" s="542">
        <f>CX211*0.5</f>
        <v>1.7849999999999999</v>
      </c>
      <c r="CZ211" s="538">
        <f>IF(AND(C211="EXISTENTE",D211="PROJETADA"),PI()*0.51*0.51/4*0.12,0)</f>
        <v>0</v>
      </c>
    </row>
    <row r="212" spans="1:104" ht="14.5" x14ac:dyDescent="0.35">
      <c r="A212" s="325" t="str">
        <f>'BOCA DE LOBO'!A190</f>
        <v>RD-6</v>
      </c>
      <c r="B212" s="87"/>
      <c r="C212" s="87"/>
      <c r="D212" s="87"/>
      <c r="E212" s="88"/>
      <c r="F212" s="88"/>
      <c r="G212" s="88"/>
      <c r="H212" s="82"/>
      <c r="I212" s="82"/>
      <c r="J212" s="82"/>
      <c r="K212" s="82"/>
      <c r="L212" s="90"/>
      <c r="M212" s="90"/>
      <c r="N212" s="90"/>
      <c r="O212" s="90"/>
      <c r="P212" s="89"/>
      <c r="Q212" s="89"/>
      <c r="R212" s="89"/>
      <c r="S212" s="89"/>
      <c r="T212" s="89"/>
      <c r="U212" s="90"/>
      <c r="V212" s="91"/>
      <c r="W212" s="92"/>
      <c r="X212" s="92"/>
      <c r="Y212" s="92"/>
      <c r="Z212" s="92"/>
      <c r="AA212" s="92"/>
      <c r="AB212" s="93"/>
      <c r="AC212" s="94"/>
      <c r="AD212" s="94"/>
      <c r="AE212" s="94"/>
      <c r="AF212" s="94"/>
      <c r="AG212" s="94"/>
      <c r="AH212" s="94"/>
      <c r="AI212" s="81"/>
      <c r="AJ212" s="82"/>
      <c r="AK212" s="82"/>
      <c r="AL212" s="82"/>
      <c r="AM212" s="82"/>
      <c r="AN212" s="83"/>
      <c r="AO212" s="82"/>
      <c r="AP212" s="82"/>
      <c r="AQ212" s="82"/>
      <c r="AR212" s="82"/>
      <c r="AS212" s="82"/>
      <c r="AT212" s="82"/>
      <c r="AU212" s="82"/>
      <c r="AV212" s="82"/>
      <c r="AW212" s="82"/>
      <c r="AX212" s="82"/>
      <c r="AY212" s="82"/>
      <c r="AZ212" s="82"/>
      <c r="BA212" s="82"/>
      <c r="BB212" s="82"/>
      <c r="BC212" s="82"/>
      <c r="BD212" s="82"/>
      <c r="BE212" s="95"/>
      <c r="BF212" s="79"/>
      <c r="BG212" s="79"/>
      <c r="BH212" s="569"/>
      <c r="BI212" s="96"/>
      <c r="BJ212" s="96"/>
      <c r="BK212" s="96"/>
      <c r="BL212" s="96"/>
      <c r="BM212" s="96"/>
      <c r="BN212" s="570"/>
      <c r="BO212" s="571"/>
      <c r="BP212" s="572"/>
      <c r="BQ212" s="79"/>
      <c r="BR212" s="79"/>
      <c r="BS212" s="79"/>
      <c r="BV212" s="539"/>
      <c r="BW212" s="539"/>
      <c r="BX212" s="539"/>
      <c r="BY212" s="539"/>
      <c r="BZ212" s="539"/>
      <c r="CA212" s="539"/>
      <c r="CB212" s="539"/>
      <c r="CC212" s="539"/>
      <c r="CD212" s="539"/>
      <c r="CE212" s="539"/>
      <c r="CF212" s="539"/>
      <c r="CG212" s="539"/>
      <c r="CH212" s="539"/>
      <c r="CI212" s="539"/>
      <c r="CJ212" s="539"/>
      <c r="CK212" s="539"/>
      <c r="CL212" s="539"/>
      <c r="CM212" s="539"/>
      <c r="CN212" s="539"/>
      <c r="CO212" s="539"/>
      <c r="CP212" s="539"/>
      <c r="CQ212" s="539"/>
      <c r="CR212" s="539"/>
      <c r="CS212" s="540"/>
      <c r="CT212" s="540"/>
      <c r="CU212" s="541"/>
      <c r="CV212" s="541"/>
      <c r="CW212" s="538"/>
      <c r="CY212" s="538"/>
    </row>
    <row r="213" spans="1:104" s="112" customFormat="1" ht="25" x14ac:dyDescent="0.25">
      <c r="A213" s="100" t="str">
        <f>'BOCA DE LOBO'!C191</f>
        <v>BL10-&gt;PV1.1</v>
      </c>
      <c r="B213" s="100" t="str">
        <f>'BOCA DE LOBO'!A191</f>
        <v>PV1.1</v>
      </c>
      <c r="C213" s="100" t="str">
        <f>VLOOKUP(A213,'BOCA DE LOBO'!C:F,3,0)</f>
        <v>PROJETADO</v>
      </c>
      <c r="D213" s="100" t="str">
        <f>VLOOKUP(A213,'BOCA DE LOBO'!C:M,10,0)</f>
        <v>PROJETADA</v>
      </c>
      <c r="E213" s="100">
        <f t="shared" ref="E213:E217" si="1842">IF(F213-G213*4%&lt;2.5,F213-G213*4%,2.5)</f>
        <v>2.5</v>
      </c>
      <c r="F213" s="100">
        <f>VLOOKUP(A213,'BOCA DE LOBO'!$C$178:$L$224,2,0)</f>
        <v>3.06</v>
      </c>
      <c r="G213" s="100">
        <f>VLOOKUP(A213,'BOCA DE LOBO'!$C$178:$L$224,4,0)</f>
        <v>8.19</v>
      </c>
      <c r="H213" s="101">
        <v>400</v>
      </c>
      <c r="I213" s="102">
        <f t="shared" ref="I213:I217" si="1843">IF(H213=400,((E213+F213)/2)+0.08+U213,IF(H213=500,((E213+F213)/2)+0.1+U213,IF(H213=600,((E213+F213)/2)+0.12+U213,IF(H213=800,((E213+F213)/2)+0.16+U213,IF(H213=1000,((E213+F213)/2)+0.2+U213,IF(H213=1200,((E213+F213)/2)+0.24+U213,IF(H213=1500,((E213+F213)/2)+0.3+U213,IF(H213&gt;1500,((E213+F213)/2)+0.4+U213))))))))</f>
        <v>2.91</v>
      </c>
      <c r="J213" s="102">
        <f t="shared" ref="J213:J217" si="1844">IF(L213=0,0,IF(I213&gt;=1.25,G213*I213/20,0))</f>
        <v>1.1916449999999998</v>
      </c>
      <c r="K213" s="103">
        <v>0</v>
      </c>
      <c r="L213" s="104">
        <f t="shared" ref="L213:L217" si="1845">IF(D213&lt;&gt;"PROJETADA",0,IF(H213=400,1,0)+IF(H213=500,1.2,0)+IF(H213=600,1.4,0)+IF(H213=800,1.7,0)+IF(H213=1000,2,0)+IF(H213=1200,2.2,0)+IF(H213=1500,2.6,0)+IF(H213=1650,3,0)+IF(H213=1800,3.2,0)+IF(H213=2000,3.4,0)+IF(H213=2200,3.6,0)+IF(H213=2400,3.8,0)+IF(H213=2600,4,0)+IF(H213=3000,4.4,0))</f>
        <v>1</v>
      </c>
      <c r="M213" s="104">
        <f t="shared" ref="M213:M217" si="1846">2*K213*I213+L213</f>
        <v>1</v>
      </c>
      <c r="N213" s="104">
        <f t="shared" ref="N213:N217" si="1847">IF(OR(D213="EXISTENTE",D213="AMPLIADA"),400,0)</f>
        <v>0</v>
      </c>
      <c r="O213" s="104">
        <f t="shared" ref="O213:O217" si="1848">IF(P213="TERRENO NATURAL",0,M213*G213)</f>
        <v>8.19</v>
      </c>
      <c r="P213" s="105" t="str">
        <f>VLOOKUP(B213,'Planilha Hidráulica'!$AE$36:$AQ$53,13,0)</f>
        <v>ASFALTO</v>
      </c>
      <c r="Q213" s="468" t="s">
        <v>2076</v>
      </c>
      <c r="R213" s="105"/>
      <c r="S213" s="105">
        <f>VLOOKUP(Q213,Quantitativos!P:R,3,0)</f>
        <v>3</v>
      </c>
      <c r="T213" s="105">
        <f>VLOOKUP(Q213,Quantitativos!P:S,4,0)</f>
        <v>5</v>
      </c>
      <c r="U213" s="104">
        <f t="shared" ref="U213:U217" si="1849">IF(H213=400,0.05,0)+IF(H213=500,0.05,0)+IF(H213=600,0.1,0)+IF(H213=800,0.1,0)+IF(H213=1000,0.15,0)+IF(H213=1200,0.15,0)+IF(H213=1500,0.2,0)+IF(H213=1650,0.2,0)+IF(H213=1800,0.2,0)+IF(H213=2000,0.25,0)+IF(H213=2200,0.25,0)+IF(H213=2400,0.25,0)+IF(H213=2600,0.25,0)+IF(H213=3000,0.25,0)</f>
        <v>0.05</v>
      </c>
      <c r="V213" s="106">
        <f t="shared" ref="V213:V217" si="1850">IF(L213=0,0,IF("EXISTENTE"=C213,0,IFERROR((PI()*(N213/1000)*(N213/1000)/4)*G213,0)))</f>
        <v>0</v>
      </c>
      <c r="W213" s="106">
        <f t="shared" ref="W213:W217" si="1851">IF(O213=0,0,((((K213*I213)*I213)/2)*2+L213*I213)*G213-V213+AO213)</f>
        <v>23.832899999999999</v>
      </c>
      <c r="X213" s="107">
        <f t="shared" ref="X213:X217" si="1852">W213-SUM(AC213:AJ213)</f>
        <v>0</v>
      </c>
      <c r="Y213" s="107">
        <f t="shared" ref="Y213:Y217" si="1853">IF(R213=1,IF(N213=0,I213+0.4,0.4),0)</f>
        <v>0</v>
      </c>
      <c r="Z213" s="107">
        <f t="shared" ref="Z213:Z217" si="1854">IF(Y213&gt;0.5,0,IF(S213&lt;I213,S213,I213))</f>
        <v>2.91</v>
      </c>
      <c r="AA213" s="107">
        <f t="shared" ref="AA213:AA217" si="1855">I213-Z213</f>
        <v>0</v>
      </c>
      <c r="AB213" s="108">
        <f t="shared" ref="AB213:AB217" si="1856">IF(P213="ASFALTO",IF(D213="PROJETADA",O213,IF(D213="EXISTENTE",0,O213/2)),0)</f>
        <v>8.19</v>
      </c>
      <c r="AC213" s="109">
        <f t="shared" ref="AC213:AC217" si="1857">IF(Y213=0,0,IF(Y213=0.4,IF(L213&lt;=1.5,IF(Z213+0.4&gt;=1.5,0,L213*G213*0.4),0),IF(L213&lt;=1.5,IF(Y213&gt;=1.5,M213*G213*1.5,L213*G213*(Y213)),0)+IF(S213&lt;I213+0.4,0,IF(AND(Y213&lt;=1.5,L213&lt;=1.5),-V213,0))))</f>
        <v>0</v>
      </c>
      <c r="AD213" s="109">
        <f t="shared" ref="AD213:AD217" si="1858">IF(Y213=0,0,IF(Y213=0.4,IF(L213&lt;=1.5,IF(OR(Z213+0.4&gt;=3,Z213+0.4&lt;1.5),0,L213*G213*0.4),0),IF(IF(L213&lt;=1.5,IF(Y213&gt;=3,M213*G213*1.5,L213*G213*(Y213-1.5)),0)&lt;0,0,IF(L213&lt;=1.5,IF(Y213&gt;=3,M213*G213*1.5,L213*G213*(Y213-1.5)),0))+IF(S213&lt;I213+0.4,0,IF(AND(Y213&lt;=3,L213&lt;=1.5),-V213,0))))</f>
        <v>0</v>
      </c>
      <c r="AE213" s="109">
        <f t="shared" ref="AE213:AE217" si="1859">IF(Y213=0,0,IF(Y213=0.4,IF(L213&lt;=1.5,IF(OR(Z213+0.4&gt;=4.5,Z213+0.4&lt;3),0,L213*G213*0.4),0),IF(IF(L213&lt;=1.5,IF(Y213&gt;=4.5,M213*G213*1.5,L213*G213*(Y213-3)),0)&lt;0,0,IF(L213&lt;=1.5,IF(Y213&gt;=4.5,M213*G213*1.5,L213*G213*(Y213-3)),0))+IF(S213&lt;I213+0.4,0,IF(AND(Y213&lt;=4.5,L213&lt;=1.5),-V213,0))))</f>
        <v>0</v>
      </c>
      <c r="AF213" s="109">
        <f t="shared" ref="AF213:AF217" si="1860">IF(L213&lt;=1.5,IF(Z213&gt;=1.5,M213*G213*1.5,L213*G213*Z213),0)+IF(S213&lt;I213,0,IF(AND(Z213&lt;=1.5,L213&lt;=1.5),-V213,0))-V213</f>
        <v>12.285</v>
      </c>
      <c r="AG213" s="109">
        <f t="shared" ref="AG213:AG217" si="1861">IF(IF(L213&lt;=1.5,IF(Z213&gt;=3,M213*G213*1.5,L213*G213*(Z213-1.5)),0)&lt;0,0,IF(L213&lt;=1.5,IF(Z213&gt;=3,M213*G213*1.5,L213*G213*(Z213-1.5)),0))</f>
        <v>11.5479</v>
      </c>
      <c r="AH213" s="109">
        <f t="shared" ref="AH213:AH217" si="1862">IF(IF(IF(L213&lt;=1.5,IF(Z213&gt;=4.5,M213*G213*1.5,L213*G213*(Z213-3)),0)&lt;0,0,IF(L213&lt;=1.5,IF(Z213&gt;=4.5,M213*G213*1.5,L213*G213*(Z213-3)),0))+IF(S213&lt;I213,0,IF(AND(Z213&lt;=4.5,L213&lt;=1.5),-V213,0))&lt;0,0,IF(IF(L213&lt;=1.5,IF(Z213&gt;=4.5,M213*G213*1.5,L213*G213*(Z213-3)),0)&lt;0,0,IF(L213&lt;=1.5,IF(Z213&gt;=4.5,M213*G213*1.5,L213*G213*(Z213-3)),0))+IF(S213&lt;I213,0,IF(AND(Z213&lt;=4.5,L213&lt;=1.5),-V213,0)))</f>
        <v>0</v>
      </c>
      <c r="AI213" s="537" t="str">
        <f t="shared" ref="AI213:AI217" si="1863">IF(I213&gt;S213,"SIM","NÃO")</f>
        <v>NÃO</v>
      </c>
      <c r="AJ213" s="104">
        <f t="shared" ref="AJ213:AJ217" si="1864">W213-SUM(AC213:AH213)</f>
        <v>0</v>
      </c>
      <c r="AK213" s="104">
        <f t="shared" ref="AK213:AK217" si="1865">IF(I213-T213&lt;0,0,(I213-T213)*G213)/75</f>
        <v>0</v>
      </c>
      <c r="AL213" s="104">
        <f t="shared" ref="AL213:AL217" si="1866">IF(L213=0,0,G213*L213*I213-PI()*(H213/1000)*(H213/1000)/4*G213+AO213)</f>
        <v>22.803714246683981</v>
      </c>
      <c r="AM213" s="102">
        <f t="shared" ref="AM213:AM217" si="1867">IF(L213&lt;1.5,L213*G213*IF(H213&lt;=500,0.05,IF(H213&lt;=800,0.1,IF(H213&lt;=1200,0.15,IF(H213&gt;=1500,0.2)))),0)</f>
        <v>0.40949999999999998</v>
      </c>
      <c r="AN213" s="106">
        <f t="shared" ref="AN213:AN217" si="1868">IF(L213&gt;=1.5,L213*G213*IF(H213&lt;=500,0.05,IF(H213&lt;=800,0.1,IF(H213&lt;=1200,0.15,IF(H213&gt;=1500,0.2)))),0)</f>
        <v>0</v>
      </c>
      <c r="AO213" s="104">
        <f t="shared" ref="AO213:AO217" si="1869">IF(R213=1,0.5*G213*L213,0)</f>
        <v>0</v>
      </c>
      <c r="AP213" s="104">
        <f t="shared" ref="AP213:AP217" si="1870">IF(AO213&lt;SUM(AF213:AH213),0,AO213)</f>
        <v>0</v>
      </c>
      <c r="AQ213" s="104">
        <f t="shared" ref="AQ213:AQ217" si="1871">H213/1000+0.3</f>
        <v>0.7</v>
      </c>
      <c r="AR213" s="104">
        <f t="shared" ref="AR213:AR217" si="1872">IF(D213&lt;&gt;"PROJETADA",0,AQ213*L213*G213-PI()*(H213/1000*H213/1000)/4*G213)</f>
        <v>4.703814246683983</v>
      </c>
      <c r="AS213" s="104">
        <f t="shared" ref="AS213:AS217" si="1873">IF(AR213&lt;SUM(AF213:AH213),0,AR213)</f>
        <v>0</v>
      </c>
      <c r="AT213" s="104">
        <f t="shared" ref="AT213:AT217" si="1874">IF(P213="ASFALTO",0.15*G213*L213,0)</f>
        <v>1.2284999999999999</v>
      </c>
      <c r="AU213" s="104">
        <f t="shared" ref="AU213:AU217" si="1875">AT213</f>
        <v>1.2284999999999999</v>
      </c>
      <c r="AV213" s="104">
        <f t="shared" ref="AV213:AV217" si="1876">IF(P213="ASFALTO",0.03*G213*L213,0)</f>
        <v>0.24569999999999997</v>
      </c>
      <c r="AW213" s="104">
        <f t="shared" ref="AW213:AW217" si="1877">AL213-AO213-SUM(AM213:AN213)-AT213-AU213-AR213</f>
        <v>15.233399999999996</v>
      </c>
      <c r="AX213" s="104">
        <f t="shared" ref="AX213:AX217" si="1878">SUM(AF213:AH213)-AO213-AT213-AR213</f>
        <v>17.900585753316019</v>
      </c>
      <c r="AY213" s="104">
        <f t="shared" ref="AY213:AY217" si="1879">SMALL(AW213:AX213,1)</f>
        <v>15.233399999999996</v>
      </c>
      <c r="AZ213" s="104">
        <f t="shared" ref="AZ213:AZ217" si="1880">AW213-AY213</f>
        <v>0</v>
      </c>
      <c r="BA213" s="104">
        <f t="shared" ref="BA213:BA217" si="1881">IF($AZ$246&gt;$BA$248,($BA$248/$AZ$246)*AZ213,AZ213)</f>
        <v>0</v>
      </c>
      <c r="BB213" s="104">
        <f t="shared" ref="BB213:BB217" si="1882">AZ213-BA213</f>
        <v>0</v>
      </c>
      <c r="BC213" s="104"/>
      <c r="BD213" s="104">
        <f t="shared" ref="BD213:BD217" si="1883">IF(AO213+AT213&gt;0,4%*(AO213+AT213),0)</f>
        <v>4.9139999999999996E-2</v>
      </c>
      <c r="BE213" s="108">
        <f t="shared" ref="BE213:BE217" si="1884">IF(H213=400,I213,0)</f>
        <v>2.91</v>
      </c>
      <c r="BF213" s="110">
        <f t="shared" ref="BF213:BF217" si="1885">IF(BE213&lt;=1.75,G213*IF(D213="PROJETADA",1,0),0)</f>
        <v>0</v>
      </c>
      <c r="BG213" s="110">
        <f t="shared" ref="BG213:BG217" si="1886">IF(AND(BE213&lt;=3,BE213&gt;1.75),IF(D213="PROJETADA",1,0)*G213,0)</f>
        <v>8.19</v>
      </c>
      <c r="BH213" s="105" t="str">
        <f>VLOOKUP(A213,'BOCA DE LOBO'!C:I,7,0)</f>
        <v>BOCA DE LOBO PROJETADA DUPLA</v>
      </c>
      <c r="BI213" s="104">
        <f t="shared" ref="BI213:BI217" si="1887">IF(BH213=$BI$198,1,0)</f>
        <v>0</v>
      </c>
      <c r="BJ213" s="104">
        <f t="shared" ref="BJ213:BJ217" si="1888">IF(BH213=$BJ$198,1,0)</f>
        <v>0</v>
      </c>
      <c r="BK213" s="104">
        <f t="shared" ref="BK213:BK217" si="1889">IF(BH213=$BK$198,1,0)</f>
        <v>0</v>
      </c>
      <c r="BL213" s="104">
        <f t="shared" ref="BL213:BL217" si="1890">IF(BH213=$BL$198,1,0)</f>
        <v>0</v>
      </c>
      <c r="BM213" s="104">
        <f t="shared" ref="BM213:BM217" si="1891">IF(BH213=$BM$198,1,0)</f>
        <v>0</v>
      </c>
      <c r="BN213" s="104">
        <f t="shared" ref="BN213:BN217" si="1892">IF(BH213=$BN$198,1,0)</f>
        <v>1</v>
      </c>
      <c r="BO213" s="104">
        <f t="shared" ref="BO213:BO217" si="1893">IF(BH213=$BO$198,1,0)</f>
        <v>0</v>
      </c>
      <c r="BP213" s="111"/>
      <c r="BQ213" s="108">
        <f t="shared" ref="BQ213:BQ217" si="1894">IF(L213&lt;=1.5,IF(I213+IF(R213=1,0.5,0)&lt;1.5,(I213+IF(R213=1,0.5,0))*G213*2,G213*2*1.5),0)</f>
        <v>24.57</v>
      </c>
      <c r="BR213" s="108">
        <f t="shared" ref="BR213:BR217" si="1895">IF(L213&lt;=1.5,IF(AND(I213+IF(R213=1,0.5,0)&lt;3,I213+IF(R213=1,0.5,0)&gt;1.5),(I213+IF(R213=1,0.5,0)-1.5)*G213*2,IF(I213+IF(R213=1,0.5,0)&gt;=3,(G213*2*1.5),0)),0)</f>
        <v>23.095800000000001</v>
      </c>
      <c r="BS213" s="108">
        <f t="shared" ref="BS213:BS217" si="1896">IF(L213&lt;=1.5,IF(AND(I213+IF(R213=1,0.5,0)&lt;4.5,I213+IF(R213=1,0.5,0)&gt;3),(I213+IF(R213=1,0.5,0)-3)*G213*2,IF(I213+IF(R213=1,0.5,0)&gt;=4.5,(G213*2*1.5),0)),0)</f>
        <v>0</v>
      </c>
      <c r="BV213" s="538">
        <f t="shared" ref="BV213:BV217" si="1897">IF(OR("BOCA DE LOBO EXISTENTE TRIPLA"=BH213,"BOCA DE LOBO EXISTENTE SIMPLES"=BH213,"BOCA DE LOBO EXISTENTE DUPLA"=BH213),0,IF("BOCA DE LOBO PROJETADA DUPLA"=BH213,(2.57+1)*(1.18+1),IF(OR("BOCA DE LOBO DUPLA EXISTENTE COM BOCA DE LOBO SIMPLES PROJETADA"=BH213,"BOCA DE LOBO SIMPLES EXISTENTE COM BOCA DE LOBO SIMPLES PROJETADA"=BH213),(1.18+0.5)*(1.18+1),IF(OR(BH213="BOCA DE LOBO DUPLA EXISTENTE COM BOCA DE LOBO DUPLA PROJETADA",BH213="BOCA DE LOBO SIMPLES EXISTENTE COM BOCA DE LOBO DUPLA PROJETADA"),(2.38+0.5)*(1.18+1),IF("BOCA DE LOBO PROJETADA TRIPLA"=BH213,(3.76+1)*(1.18+1),IF("BOCA DE LOBO PROJETADA QUADRUPLA"=BH213,(4.92+1)*(1.18+1),"X"))))))*(E213+IF(CA213&gt;0,0.5,0))</f>
        <v>19.456499999999998</v>
      </c>
      <c r="BW213" s="538">
        <f t="shared" ref="BW213:BW217" si="1898">IF(OR("BOCA DE LOBO EXISTENTE TRIPLA"=BH213,"BOCA DE LOBO EXISTENTE SIMPLES"=BH213,"BOCA DE LOBO EXISTENTE DUPLA"=BH213,"BOCA DE LOBO EXISTENTE QUADRUPLA"=BH213),0,IF("BOCA DE LOBO PROJETADA DUPLA"=BH213,(2.57+1)*(1.18+1),IF(OR("BOCA DE LOBO DUPLA EXISTENTE COM BOCA DE LOBO SIMPLES PROJETADA"=BH213,"BOCA DE LOBO SIMPLES EXISTENTE COM BOCA DE LOBO SIMPLES PROJETADA"=BH213),(1.18+1)*(1.18+0.5),IF(OR(BH213="BOCA DE LOBO DUPLA EXISTENTE COM BOCA DE LOBO DUPLA PROJETADA",BH213="BOCA DE LOBO SIMPLES EXISTENTE COM BOCA DE LOBO DUPLA PROJETADA"),(2.38+0.5)*(1.18+1),IF("BOCA DE LOBO PROJETADA TRIPLA"=BH213,(3.76+0.5*2)*(1.18+1),IF("BOCA DE LOBO PROJETADA QUADRUPLA"=BH213,(4.92+0.5*2)*(1.18+1),"X"))))))</f>
        <v>7.7825999999999986</v>
      </c>
      <c r="BX213" s="538">
        <f t="shared" ref="BX213:BX217" si="1899">IF(OR("BOCA DE LOBO EXISTENTE TRIPLA"=BH213,"BOCA DE LOBO EXISTENTE SIMPLES"=BH213,"BOCA DE LOBO EXISTENTE DUPLA"=BH213,"BOCA DE LOBO EXISTENTE QUADRUPLA"=BH213),0,IF("BOCA DE LOBO PROJETADA DUPLA"=BH213,(2.57)*(1.18),IF(OR("BOCA DE LOBO DUPLA EXISTENTE COM BOCA DE LOBO SIMPLES PROJETADA"=BH213,"BOCA DE LOBO SIMPLES EXISTENTE COM BOCA DE LOBO SIMPLES PROJETADA"=BH213),(1.18)*(1.18),IF(OR(BH213="BOCA DE LOBO DUPLA EXISTENTE COM BOCA DE LOBO DUPLA PROJETADA",BH213="BOCA DE LOBO SIMPLES EXISTENTE COM BOCA DE LOBO DUPLA PROJETADA"),(2.38)*(1.18),IF("BOCA DE LOBO PROJETADA TRIPLA"=BH213,(3.76)*(1.18),IF("BOCA DE LOBO PROJETADA QUADRUPLA"=BH213,(4.92)*(1.18),"X"))))))</f>
        <v>3.0325999999999995</v>
      </c>
      <c r="BY213" s="538">
        <f t="shared" ref="BY213:BY217" si="1900">E213</f>
        <v>2.5</v>
      </c>
      <c r="BZ213" s="538">
        <f t="shared" ref="BZ213:BZ217" si="1901">IF(Y213&gt;0.5,0,IF(S213&lt;E213,S213,E213))</f>
        <v>2.5</v>
      </c>
      <c r="CA213" s="538">
        <f t="shared" ref="CA213:CA217" si="1902">IF(Y213&gt;0.4,BY213+0.4,Y213)</f>
        <v>0</v>
      </c>
      <c r="CB213" s="538">
        <f t="shared" ref="CB213:CB217" si="1903">IF(S213&gt;E213,0,E213-S213)</f>
        <v>0</v>
      </c>
      <c r="CC213" s="538">
        <f t="shared" ref="CC213:CC217" si="1904">IF(BZ213&gt;1.5,BW213*1.5,BW213*BZ213)</f>
        <v>11.673899999999998</v>
      </c>
      <c r="CD213" s="538">
        <f t="shared" ref="CD213:CD217" si="1905">IF(BZ213&gt;1.5,BW213*(BZ213-1.5),0)</f>
        <v>7.7825999999999986</v>
      </c>
      <c r="CE213" s="538">
        <f t="shared" ref="CE213:CE217" si="1906">IF(CA213=0.4,IF(BZ213+CA213&gt;1.5,0,CA213*BW213),IF(CA213&gt;1.5,BW213*1.5,BW213*CA213))</f>
        <v>0</v>
      </c>
      <c r="CF213" s="538">
        <f t="shared" ref="CF213:CF217" si="1907">IF(CA213=0.4,IF(BZ213+CA213&lt;=1.5,0,CA213*BW213),IF(CA213&gt;1.5,BW213*(CA213-1.5),0))</f>
        <v>0</v>
      </c>
      <c r="CG213" s="538">
        <f t="shared" ref="CG213:CG217" si="1908">BV213-SUM(CC213:CF213)</f>
        <v>0</v>
      </c>
      <c r="CH213" s="538">
        <f t="shared" ref="CH213:CH217" si="1909">SUM(CC213:CG213)-BV213</f>
        <v>0</v>
      </c>
      <c r="CI213" s="104">
        <f t="shared" ref="CI213:CI217" si="1910">IF(OR("BOCA DE LOBO EXISTENTE TRIPLA"=BH213,"BOCA DE LOBO EXISTENTE SIMPLES"=BH213,"BOCA DE LOBO EXISTENTE DUPLA"=BH213),0,IF("BOCA DE LOBO PROJETADA DUPLA"=BH213,(2.57+1)*(0.5),IF(OR("BOCA DE LOBO DUPLA EXISTENTE COM BOCA DE LOBO SIMPLES PROJETADA"=BH213,"BOCA DE LOBO SIMPLES EXISTENTE COM BOCA DE LOBO SIMPLES PROJETADA"=BH213),(1.18+0.5)*(0.5),IF(OR(BH213="BOCA DE LOBO DUPLA EXISTENTE COM BOCA DE LOBO DUPLA PROJETADA",BH213="BOCA DE LOBO SIMPLES EXISTENTE COM BOCA DE LOBO DUPLA PROJETADA"),(2.38+0.5)*(0.5),IF("BOCA DE LOBO PROJETADA TRIPLA"=BH213,(3.76+1)*(0.5),IF("BOCA DE LOBO PROJETADA QUADRUPLA"=BH213,(4.92+1)*(0.5),"X")))))*0.3)</f>
        <v>0.53549999999999998</v>
      </c>
      <c r="CJ213" s="538">
        <f t="shared" ref="CJ213:CJ217" si="1911">(BW213-BX213)*(BY213+IF(CA213&gt;=0.4,0.4,0))-CI213</f>
        <v>11.339499999999997</v>
      </c>
      <c r="CK213" s="538">
        <f t="shared" ref="CK213:CK217" si="1912">IF($CK$248&gt;$CJ$246,CJ213,CJ213*$CK$248/$CJ$246)</f>
        <v>11.339499999999997</v>
      </c>
      <c r="CL213" s="538">
        <f t="shared" ref="CL213:CL217" si="1913">CJ213-CK213</f>
        <v>0</v>
      </c>
      <c r="CM213" s="538">
        <f t="shared" ref="CM213:CM217" si="1914">IF(CA213&gt;0,0.5*4%*BW213,0)</f>
        <v>0</v>
      </c>
      <c r="CN213" s="538">
        <f t="shared" si="1841"/>
        <v>3.57</v>
      </c>
      <c r="CO213" s="538">
        <f t="shared" ref="CO213:CO217" si="1915">IF(CA213&gt;0,BY213+0.5,BY213)</f>
        <v>2.5</v>
      </c>
      <c r="CP213" s="538">
        <f t="shared" ref="CP213:CP217" si="1916">IF(CO213&gt;=1.5,CN213*1.5*2,CN213*CO213*2)</f>
        <v>10.709999999999999</v>
      </c>
      <c r="CQ213" s="538">
        <f t="shared" ref="CQ213:CQ217" si="1917">IF(CO213&lt;=1.5,0,IF(CO213&gt;=3,CN213*1.5*2,CN213*(CO213-1.5)*2))</f>
        <v>7.14</v>
      </c>
      <c r="CR213" s="539">
        <f t="shared" ref="CR213:CR217" si="1918">IF(D213="AMPLIADA",0.55*(E213-0.5),0)</f>
        <v>0</v>
      </c>
      <c r="CS213" s="540">
        <f t="shared" ref="CS213:CS217" si="1919">IF(OR("BOCA DE LOBO EXISTENTE TRIPLA"=BH213,"BOCA DE LOBO EXISTENTE SIMPLES"=BH213,"BOCA DE LOBO EXISTENTE DUPLA"=BH213,"BOCA DE LOBO EXISTENTE QUADRUPLA"=BH213),0,IF("BOCA DE LOBO PROJETADA DUPLA"=BH213,(0),IF(OR("BOCA DE LOBO DUPLA EXISTENTE COM BOCA DE LOBO SIMPLES PROJETADA"=BH213,"BOCA DE LOBO SIMPLES EXISTENTE COM BOCA DE LOBO SIMPLES PROJETADA"=BH213),(0.8*0.15*0.17),IF(OR(BH213="BOCA DE LOBO DUPLA EXISTENTE COM BOCA DE LOBO DUPLA PROJETADA",BH213="BOCA DE LOBO SIMPLES EXISTENTE COM BOCA DE LOBO DUPLA PROJETADA"),(0.8*0.15*0.17),IF("BOCA DE LOBO PROJETADA TRIPLA"=BH213,(0),IF("BOCA DE LOBO PROJETADA QUADRUPLA"=BH213,(0),"X")))))*E213)</f>
        <v>0</v>
      </c>
      <c r="CT213" s="540">
        <f t="shared" ref="CT213:CT217" si="1920">IF(OR("BOCA DE LOBO EXISTENTE TRIPLA"=BH213,"BOCA DE LOBO EXISTENTE SIMPLES"=BH213,"BOCA DE LOBO EXISTENTE DUPLA"=BH213,"BOCA DE LOBO EXISTENTE QUADRUPLA"=BH213),0,IF("BOCA DE LOBO PROJETADA DUPLA"=BH213,(1.18*2.57*0.05),IF(OR("BOCA DE LOBO DUPLA EXISTENTE COM BOCA DE LOBO SIMPLES PROJETADA"=BH213,"BOCA DE LOBO SIMPLES EXISTENTE COM BOCA DE LOBO SIMPLES PROJETADA"=BH213),(1.19*1.18*0.05),IF(OR(BH213="BOCA DE LOBO DUPLA EXISTENTE COM BOCA DE LOBO DUPLA PROJETADA",BH213="BOCA DE LOBO SIMPLES EXISTENTE COM BOCA DE LOBO DUPLA PROJETADA"),(2.38*1.18*0.056),IF("BOCA DE LOBO PROJETADA TRIPLA"=BH213,(3.76*1.18*0.05),IF("BOCA DE LOBO PROJETADA QUADRUPLA"=BH213,(4.92*1.18*0.05),"X")))))+CI213/3)</f>
        <v>0.33012999999999998</v>
      </c>
      <c r="CU213" s="541">
        <f t="shared" ref="CU213:CU217" si="1921">IF(OR("BOCA DE LOBO EXISTENTE TRIPLA"=BH213,"BOCA DE LOBO EXISTENTE SIMPLES"=BH213,"BOCA DE LOBO EXISTENTE DUPLA"=BH213,"BOCA DE LOBO EXISTENTE QUADRUPLA"=BH213),0,IF("BOCA DE LOBO PROJETADA DUPLA"=BH213,(1*4+0.6*2),IF(OR("BOCA DE LOBO DUPLA EXISTENTE COM BOCA DE LOBO SIMPLES PROJETADA"=BH213,"BOCA DE LOBO SIMPLES EXISTENTE COM BOCA DE LOBO SIMPLES PROJETADA"=BH213),(1*2+0.6),IF(OR(BH213="BOCA DE LOBO DUPLA EXISTENTE COM BOCA DE LOBO DUPLA PROJETADA",BH213="BOCA DE LOBO SIMPLES EXISTENTE COM BOCA DE LOBO DUPLA PROJETADA"),(1*4+0.6),IF("BOCA DE LOBO PROJETADA TRIPLA"=BH213,(6*1+0.6*2),IF("BOCA DE LOBO PROJETADA QUADRUPLA"=BH213,(8*1+0.6*2),"X")))))*E213)</f>
        <v>13</v>
      </c>
      <c r="CV213" s="538">
        <f t="shared" ref="CV213:CV217" si="1922">IF(OR("BOCA DE LOBO EXISTENTE TRIPLA"=BH213,"BOCA DE LOBO EXISTENTE SIMPLES"=BH213,"BOCA DE LOBO EXISTENTE DUPLA"=BH213,"BOCA DE LOBO EXISTENTE QUADRUPLA"=BH213),0,IF("BOCA DE LOBO PROJETADA DUPLA"=BH213,(12*E213*0.17*0.15+1*0.17*0.15*5+1.09*0.6*0.07*2+2.57*1.18*0.15),IF(OR("BOCA DE LOBO DUPLA EXISTENTE COM BOCA DE LOBO SIMPLES PROJETADA"=BH213,"BOCA DE LOBO SIMPLES EXISTENTE COM BOCA DE LOBO SIMPLES PROJETADA"=BH213),(8*E213*0.17*0.15+1*0.17*0.15*4+1.09*0.6*0.07*1+1.38*1.18*0.15),IF(OR(BH213="BOCA DE LOBO DUPLA EXISTENTE COM BOCA DE LOBO DUPLA PROJETADA",BH213="BOCA DE LOBO SIMPLES EXISTENTE COM BOCA DE LOBO DUPLA PROJETADA"),(7*E213*0.17*0.15+1*0.17*0.15*5+1.09*0.6*0.07*2+2.38*1.18*0.15),IF("BOCA DE LOBO PROJETADA TRIPLA"=BH213,(15*E213*0.17*0.15+1*0.17*0.15*7+1.09*0.6*0.07*3+3.76*1.18*0.15),IF("BOCA DE LOBO PROJETADA QUADRUPLA"=BH213,(19*E213*0.17*0.15+1*0.17*0.15*9+1.09*0.6*0.07*4+4.92*1.18*0.15),"X"))))))</f>
        <v>1.43895</v>
      </c>
      <c r="CW213" s="538">
        <f t="shared" ref="CW213:CW217" si="1923">IF(OR("BOCA DE LOBO EXISTENTE TRIPLA"=BH213,"BOCA DE LOBO EXISTENTE SIMPLES"=BH213,"BOCA DE LOBO EXISTENTE DUPLA"=BH213,"BOCA DE LOBO EXISTENTE QUADRUPLA"=BH213),0,IF("BOCA DE LOBO PROJETADA DUPLA"=BH213,(12*E213*2*(0.17+0.15)+1*(2*0.17+0.15)*5+2*(2.57+1.18)*0.15+(1.09+0.6)*2*0.07*2),IF(OR("BOCA DE LOBO DUPLA EXISTENTE COM BOCA DE LOBO SIMPLES PROJETADA"=BH213,"BOCA DE LOBO SIMPLES EXISTENTE COM BOCA DE LOBO SIMPLES PROJETADA"=BH213),(8*E213*2*(0.17+0.15)+1*(2*0.17+0.15)*4+2*(1.38+1.18)*0.15+(1.09+0.6)*2*0.07*1),IF(OR(BH213="BOCA DE LOBO DUPLA EXISTENTE COM BOCA DE LOBO DUPLA PROJETADA",BH213="BOCA DE LOBO SIMPLES EXISTENTE COM BOCA DE LOBO DUPLA PROJETADA"),(7*E213*2*(0.17+0.15)+1*(2*0.17+0.15)*5+2*(2.38+1.18)*0.15+(1.09+0.6)*2*0.07*2),IF("BOCA DE LOBO PROJETADA TRIPLA"=BH213,(15*E213*2*(0.17+0.15)+1*(2*0.17+0.15)*7+2*(3.76+1.18)*0.15+(1.09+0.6)*2*0.07*3),IF("BOCA DE LOBO PROJETADA QUADRUPLA"=BH213,(19*E213*2*(0.17+0.15)+1*(2*0.17+0.15)*7+2*(4.92+1.18)*0.15+(1.09+0.6)*2*0.07*4),"X"))))))</f>
        <v>23.248199999999997</v>
      </c>
      <c r="CX213" s="104">
        <f t="shared" ref="CX213:CX217" si="1924">IF(OR("BOCA DE LOBO EXISTENTE TRIPLA"=BH213,"BOCA DE LOBO EXISTENTE SIMPLES"=BH213,"BOCA DE LOBO EXISTENTE DUPLA"=BH213,"BOCA DE LOBO EXISTENTE QUADRUPLA"=BH213),0,IF("BOCA DE LOBO PROJETADA DUPLA"=BH213,(2.57+1),IF(OR("BOCA DE LOBO DUPLA EXISTENTE COM BOCA DE LOBO SIMPLES PROJETADA"=BH213,"BOCA DE LOBO SIMPLES EXISTENTE COM BOCA DE LOBO SIMPLES PROJETADA"=BH213),(1.18+0.5),IF(OR(BH213="BOCA DE LOBO DUPLA EXISTENTE COM BOCA DE LOBO DUPLA PROJETADA",BH213="BOCA DE LOBO SIMPLES EXISTENTE COM BOCA DE LOBO DUPLA PROJETADA"),(2.38+0.5),IF("BOCA DE LOBO PROJETADA TRIPLA"=BH213,(3.76+1),IF("BOCA DE LOBO PROJETADA QUADRUPLA"=BH213,(4.92+1),"X"))))))</f>
        <v>3.57</v>
      </c>
      <c r="CY213" s="542">
        <f t="shared" ref="CY213:CY217" si="1925">CX213*0.5</f>
        <v>1.7849999999999999</v>
      </c>
      <c r="CZ213" s="538">
        <f t="shared" ref="CZ213:CZ217" si="1926">IF(AND(C213="EXISTENTE",D213="PROJETADA"),PI()*0.51*0.51/4*0.12,0)</f>
        <v>0</v>
      </c>
    </row>
    <row r="214" spans="1:104" s="112" customFormat="1" ht="25" x14ac:dyDescent="0.25">
      <c r="A214" s="100" t="str">
        <f>'BOCA DE LOBO'!C192</f>
        <v xml:space="preserve">BL11-&gt;PV1.1 </v>
      </c>
      <c r="B214" s="100" t="str">
        <f>'BOCA DE LOBO'!A192</f>
        <v xml:space="preserve">PV1.1 </v>
      </c>
      <c r="C214" s="100" t="str">
        <f>VLOOKUP(A214,'BOCA DE LOBO'!C:F,3,0)</f>
        <v>PROJETADO</v>
      </c>
      <c r="D214" s="100" t="str">
        <f>VLOOKUP(A214,'BOCA DE LOBO'!C:M,10,0)</f>
        <v>PROJETADA</v>
      </c>
      <c r="E214" s="100">
        <f t="shared" si="1842"/>
        <v>2.5</v>
      </c>
      <c r="F214" s="100">
        <f>VLOOKUP(A214,'BOCA DE LOBO'!$C$178:$L$224,2,0)</f>
        <v>3.06</v>
      </c>
      <c r="G214" s="100">
        <f>VLOOKUP(A214,'BOCA DE LOBO'!$C$178:$L$224,4,0)</f>
        <v>5.72</v>
      </c>
      <c r="H214" s="101">
        <v>400</v>
      </c>
      <c r="I214" s="102">
        <f t="shared" si="1843"/>
        <v>2.91</v>
      </c>
      <c r="J214" s="102">
        <f t="shared" si="1844"/>
        <v>0.83226</v>
      </c>
      <c r="K214" s="103">
        <v>0</v>
      </c>
      <c r="L214" s="104">
        <f t="shared" si="1845"/>
        <v>1</v>
      </c>
      <c r="M214" s="104">
        <f t="shared" si="1846"/>
        <v>1</v>
      </c>
      <c r="N214" s="104">
        <f t="shared" si="1847"/>
        <v>0</v>
      </c>
      <c r="O214" s="104">
        <f t="shared" si="1848"/>
        <v>5.72</v>
      </c>
      <c r="P214" s="105" t="s">
        <v>2179</v>
      </c>
      <c r="Q214" s="468" t="s">
        <v>2076</v>
      </c>
      <c r="R214" s="105"/>
      <c r="S214" s="105">
        <f>VLOOKUP(Q214,Quantitativos!P:R,3,0)</f>
        <v>3</v>
      </c>
      <c r="T214" s="105">
        <f>VLOOKUP(Q214,Quantitativos!P:S,4,0)</f>
        <v>5</v>
      </c>
      <c r="U214" s="104">
        <f t="shared" si="1849"/>
        <v>0.05</v>
      </c>
      <c r="V214" s="106">
        <f t="shared" si="1850"/>
        <v>0</v>
      </c>
      <c r="W214" s="106">
        <f t="shared" si="1851"/>
        <v>16.645199999999999</v>
      </c>
      <c r="X214" s="107">
        <f t="shared" si="1852"/>
        <v>0</v>
      </c>
      <c r="Y214" s="107">
        <f t="shared" si="1853"/>
        <v>0</v>
      </c>
      <c r="Z214" s="107">
        <f t="shared" si="1854"/>
        <v>2.91</v>
      </c>
      <c r="AA214" s="107">
        <f t="shared" si="1855"/>
        <v>0</v>
      </c>
      <c r="AB214" s="108">
        <f t="shared" si="1856"/>
        <v>0</v>
      </c>
      <c r="AC214" s="109">
        <f t="shared" si="1857"/>
        <v>0</v>
      </c>
      <c r="AD214" s="109">
        <f t="shared" si="1858"/>
        <v>0</v>
      </c>
      <c r="AE214" s="109">
        <f t="shared" si="1859"/>
        <v>0</v>
      </c>
      <c r="AF214" s="109">
        <f t="shared" si="1860"/>
        <v>8.58</v>
      </c>
      <c r="AG214" s="109">
        <f t="shared" si="1861"/>
        <v>8.0652000000000008</v>
      </c>
      <c r="AH214" s="109">
        <f t="shared" si="1862"/>
        <v>0</v>
      </c>
      <c r="AI214" s="537" t="str">
        <f t="shared" si="1863"/>
        <v>NÃO</v>
      </c>
      <c r="AJ214" s="104">
        <f t="shared" si="1864"/>
        <v>0</v>
      </c>
      <c r="AK214" s="104">
        <f t="shared" si="1865"/>
        <v>0</v>
      </c>
      <c r="AL214" s="104">
        <f t="shared" si="1866"/>
        <v>15.926403600858654</v>
      </c>
      <c r="AM214" s="102">
        <f t="shared" si="1867"/>
        <v>0.28599999999999998</v>
      </c>
      <c r="AN214" s="106">
        <f t="shared" si="1868"/>
        <v>0</v>
      </c>
      <c r="AO214" s="104">
        <f t="shared" si="1869"/>
        <v>0</v>
      </c>
      <c r="AP214" s="104">
        <f t="shared" si="1870"/>
        <v>0</v>
      </c>
      <c r="AQ214" s="104">
        <f t="shared" si="1871"/>
        <v>0.7</v>
      </c>
      <c r="AR214" s="104">
        <f t="shared" si="1872"/>
        <v>3.2852036008586549</v>
      </c>
      <c r="AS214" s="104">
        <f t="shared" si="1873"/>
        <v>0</v>
      </c>
      <c r="AT214" s="104">
        <f t="shared" si="1874"/>
        <v>0</v>
      </c>
      <c r="AU214" s="104">
        <f t="shared" si="1875"/>
        <v>0</v>
      </c>
      <c r="AV214" s="104">
        <f t="shared" si="1876"/>
        <v>0</v>
      </c>
      <c r="AW214" s="104">
        <f t="shared" si="1877"/>
        <v>12.3552</v>
      </c>
      <c r="AX214" s="104">
        <f t="shared" si="1878"/>
        <v>13.359996399141348</v>
      </c>
      <c r="AY214" s="104">
        <f t="shared" si="1879"/>
        <v>12.3552</v>
      </c>
      <c r="AZ214" s="104">
        <f t="shared" si="1880"/>
        <v>0</v>
      </c>
      <c r="BA214" s="104">
        <f t="shared" si="1881"/>
        <v>0</v>
      </c>
      <c r="BB214" s="104">
        <f t="shared" si="1882"/>
        <v>0</v>
      </c>
      <c r="BC214" s="104"/>
      <c r="BD214" s="104">
        <f t="shared" si="1883"/>
        <v>0</v>
      </c>
      <c r="BE214" s="108">
        <f t="shared" si="1884"/>
        <v>2.91</v>
      </c>
      <c r="BF214" s="110">
        <f t="shared" si="1885"/>
        <v>0</v>
      </c>
      <c r="BG214" s="110">
        <f t="shared" si="1886"/>
        <v>5.72</v>
      </c>
      <c r="BH214" s="105" t="str">
        <f>VLOOKUP(A214,'BOCA DE LOBO'!C:I,7,0)</f>
        <v>BOCA DE LOBO PROJETADA DUPLA</v>
      </c>
      <c r="BI214" s="104">
        <f t="shared" si="1887"/>
        <v>0</v>
      </c>
      <c r="BJ214" s="104">
        <f t="shared" si="1888"/>
        <v>0</v>
      </c>
      <c r="BK214" s="104">
        <f t="shared" si="1889"/>
        <v>0</v>
      </c>
      <c r="BL214" s="104">
        <f t="shared" si="1890"/>
        <v>0</v>
      </c>
      <c r="BM214" s="104">
        <f t="shared" si="1891"/>
        <v>0</v>
      </c>
      <c r="BN214" s="104">
        <f t="shared" si="1892"/>
        <v>1</v>
      </c>
      <c r="BO214" s="104">
        <f t="shared" si="1893"/>
        <v>0</v>
      </c>
      <c r="BP214" s="111"/>
      <c r="BQ214" s="108">
        <f t="shared" si="1894"/>
        <v>17.16</v>
      </c>
      <c r="BR214" s="108">
        <f t="shared" si="1895"/>
        <v>16.130400000000002</v>
      </c>
      <c r="BS214" s="108">
        <f t="shared" si="1896"/>
        <v>0</v>
      </c>
      <c r="BV214" s="538">
        <f t="shared" si="1897"/>
        <v>19.456499999999998</v>
      </c>
      <c r="BW214" s="538">
        <f t="shared" si="1898"/>
        <v>7.7825999999999986</v>
      </c>
      <c r="BX214" s="538">
        <f t="shared" si="1899"/>
        <v>3.0325999999999995</v>
      </c>
      <c r="BY214" s="538">
        <f t="shared" si="1900"/>
        <v>2.5</v>
      </c>
      <c r="BZ214" s="538">
        <f t="shared" si="1901"/>
        <v>2.5</v>
      </c>
      <c r="CA214" s="538">
        <f t="shared" si="1902"/>
        <v>0</v>
      </c>
      <c r="CB214" s="538">
        <f t="shared" si="1903"/>
        <v>0</v>
      </c>
      <c r="CC214" s="538">
        <f t="shared" si="1904"/>
        <v>11.673899999999998</v>
      </c>
      <c r="CD214" s="538">
        <f t="shared" si="1905"/>
        <v>7.7825999999999986</v>
      </c>
      <c r="CE214" s="538">
        <f t="shared" si="1906"/>
        <v>0</v>
      </c>
      <c r="CF214" s="538">
        <f t="shared" si="1907"/>
        <v>0</v>
      </c>
      <c r="CG214" s="538">
        <f t="shared" si="1908"/>
        <v>0</v>
      </c>
      <c r="CH214" s="538">
        <f t="shared" si="1909"/>
        <v>0</v>
      </c>
      <c r="CI214" s="104">
        <f t="shared" si="1910"/>
        <v>0.53549999999999998</v>
      </c>
      <c r="CJ214" s="538">
        <f t="shared" si="1911"/>
        <v>11.339499999999997</v>
      </c>
      <c r="CK214" s="538">
        <f t="shared" si="1912"/>
        <v>11.339499999999997</v>
      </c>
      <c r="CL214" s="538">
        <f t="shared" si="1913"/>
        <v>0</v>
      </c>
      <c r="CM214" s="538">
        <f t="shared" si="1914"/>
        <v>0</v>
      </c>
      <c r="CN214" s="538">
        <f t="shared" si="1841"/>
        <v>3.57</v>
      </c>
      <c r="CO214" s="538">
        <f t="shared" si="1915"/>
        <v>2.5</v>
      </c>
      <c r="CP214" s="538">
        <f t="shared" si="1916"/>
        <v>10.709999999999999</v>
      </c>
      <c r="CQ214" s="538">
        <f t="shared" si="1917"/>
        <v>7.14</v>
      </c>
      <c r="CR214" s="539">
        <f t="shared" si="1918"/>
        <v>0</v>
      </c>
      <c r="CS214" s="540">
        <f t="shared" si="1919"/>
        <v>0</v>
      </c>
      <c r="CT214" s="540">
        <f t="shared" si="1920"/>
        <v>0.33012999999999998</v>
      </c>
      <c r="CU214" s="541">
        <f t="shared" si="1921"/>
        <v>13</v>
      </c>
      <c r="CV214" s="538">
        <f t="shared" si="1922"/>
        <v>1.43895</v>
      </c>
      <c r="CW214" s="538">
        <f t="shared" si="1923"/>
        <v>23.248199999999997</v>
      </c>
      <c r="CX214" s="104">
        <f t="shared" si="1924"/>
        <v>3.57</v>
      </c>
      <c r="CY214" s="542">
        <f t="shared" si="1925"/>
        <v>1.7849999999999999</v>
      </c>
      <c r="CZ214" s="538">
        <f t="shared" si="1926"/>
        <v>0</v>
      </c>
    </row>
    <row r="215" spans="1:104" s="112" customFormat="1" ht="25" x14ac:dyDescent="0.25">
      <c r="A215" s="100" t="str">
        <f>'BOCA DE LOBO'!C193</f>
        <v>BL12-&gt;PV2.1</v>
      </c>
      <c r="B215" s="100" t="str">
        <f>'BOCA DE LOBO'!A193</f>
        <v>PV2.1</v>
      </c>
      <c r="C215" s="100" t="str">
        <f>VLOOKUP(A215,'BOCA DE LOBO'!C:F,3,0)</f>
        <v>PROJETADO</v>
      </c>
      <c r="D215" s="100" t="str">
        <f>VLOOKUP(A215,'BOCA DE LOBO'!C:M,10,0)</f>
        <v>PROJETADA</v>
      </c>
      <c r="E215" s="100">
        <f t="shared" si="1842"/>
        <v>2.1612</v>
      </c>
      <c r="F215" s="100">
        <f>VLOOKUP(A215,'BOCA DE LOBO'!$C$178:$L$224,2,0)</f>
        <v>2.4700000000000002</v>
      </c>
      <c r="G215" s="100">
        <f>VLOOKUP(A215,'BOCA DE LOBO'!$C$178:$L$224,4,0)</f>
        <v>7.72</v>
      </c>
      <c r="H215" s="101">
        <v>400</v>
      </c>
      <c r="I215" s="102">
        <f t="shared" si="1843"/>
        <v>2.4455999999999998</v>
      </c>
      <c r="J215" s="102">
        <f t="shared" si="1844"/>
        <v>0.94400159999999977</v>
      </c>
      <c r="K215" s="103">
        <v>0</v>
      </c>
      <c r="L215" s="104">
        <f t="shared" si="1845"/>
        <v>1</v>
      </c>
      <c r="M215" s="104">
        <f t="shared" si="1846"/>
        <v>1</v>
      </c>
      <c r="N215" s="104">
        <f t="shared" si="1847"/>
        <v>0</v>
      </c>
      <c r="O215" s="104">
        <f t="shared" si="1848"/>
        <v>7.72</v>
      </c>
      <c r="P215" s="105" t="str">
        <f>VLOOKUP(B215,'Planilha Hidráulica'!$AE$36:$AQ$53,13,0)</f>
        <v>ASFALTO</v>
      </c>
      <c r="Q215" s="468" t="s">
        <v>2076</v>
      </c>
      <c r="R215" s="105"/>
      <c r="S215" s="105">
        <f>VLOOKUP(Q215,Quantitativos!P:R,3,0)</f>
        <v>3</v>
      </c>
      <c r="T215" s="105">
        <f>VLOOKUP(Q215,Quantitativos!P:S,4,0)</f>
        <v>5</v>
      </c>
      <c r="U215" s="104">
        <f t="shared" si="1849"/>
        <v>0.05</v>
      </c>
      <c r="V215" s="106">
        <f t="shared" si="1850"/>
        <v>0</v>
      </c>
      <c r="W215" s="106">
        <f t="shared" si="1851"/>
        <v>18.880031999999996</v>
      </c>
      <c r="X215" s="107">
        <f t="shared" si="1852"/>
        <v>0</v>
      </c>
      <c r="Y215" s="107">
        <f t="shared" si="1853"/>
        <v>0</v>
      </c>
      <c r="Z215" s="107">
        <f t="shared" si="1854"/>
        <v>2.4455999999999998</v>
      </c>
      <c r="AA215" s="107">
        <f t="shared" si="1855"/>
        <v>0</v>
      </c>
      <c r="AB215" s="108">
        <f t="shared" si="1856"/>
        <v>7.72</v>
      </c>
      <c r="AC215" s="109">
        <f t="shared" si="1857"/>
        <v>0</v>
      </c>
      <c r="AD215" s="109">
        <f t="shared" si="1858"/>
        <v>0</v>
      </c>
      <c r="AE215" s="109">
        <f t="shared" si="1859"/>
        <v>0</v>
      </c>
      <c r="AF215" s="109">
        <f t="shared" si="1860"/>
        <v>11.58</v>
      </c>
      <c r="AG215" s="109">
        <f t="shared" si="1861"/>
        <v>7.3000319999999981</v>
      </c>
      <c r="AH215" s="109">
        <f t="shared" si="1862"/>
        <v>0</v>
      </c>
      <c r="AI215" s="537" t="str">
        <f t="shared" si="1863"/>
        <v>NÃO</v>
      </c>
      <c r="AJ215" s="104">
        <f t="shared" si="1864"/>
        <v>0</v>
      </c>
      <c r="AK215" s="104">
        <f t="shared" si="1865"/>
        <v>0</v>
      </c>
      <c r="AL215" s="104">
        <f t="shared" si="1866"/>
        <v>17.909908188571467</v>
      </c>
      <c r="AM215" s="102">
        <f t="shared" si="1867"/>
        <v>0.38600000000000001</v>
      </c>
      <c r="AN215" s="106">
        <f t="shared" si="1868"/>
        <v>0</v>
      </c>
      <c r="AO215" s="104">
        <f t="shared" si="1869"/>
        <v>0</v>
      </c>
      <c r="AP215" s="104">
        <f t="shared" si="1870"/>
        <v>0</v>
      </c>
      <c r="AQ215" s="104">
        <f t="shared" si="1871"/>
        <v>0.7</v>
      </c>
      <c r="AR215" s="104">
        <f t="shared" si="1872"/>
        <v>4.4338761885714719</v>
      </c>
      <c r="AS215" s="104">
        <f t="shared" si="1873"/>
        <v>0</v>
      </c>
      <c r="AT215" s="104">
        <f t="shared" si="1874"/>
        <v>1.1579999999999999</v>
      </c>
      <c r="AU215" s="104">
        <f t="shared" si="1875"/>
        <v>1.1579999999999999</v>
      </c>
      <c r="AV215" s="104">
        <f t="shared" si="1876"/>
        <v>0.23159999999999997</v>
      </c>
      <c r="AW215" s="104">
        <f t="shared" si="1877"/>
        <v>10.774031999999995</v>
      </c>
      <c r="AX215" s="104">
        <f t="shared" si="1878"/>
        <v>13.288155811428528</v>
      </c>
      <c r="AY215" s="104">
        <f t="shared" si="1879"/>
        <v>10.774031999999995</v>
      </c>
      <c r="AZ215" s="104">
        <f t="shared" si="1880"/>
        <v>0</v>
      </c>
      <c r="BA215" s="104">
        <f t="shared" si="1881"/>
        <v>0</v>
      </c>
      <c r="BB215" s="104">
        <f t="shared" si="1882"/>
        <v>0</v>
      </c>
      <c r="BC215" s="104"/>
      <c r="BD215" s="104">
        <f t="shared" si="1883"/>
        <v>4.632E-2</v>
      </c>
      <c r="BE215" s="108">
        <f t="shared" si="1884"/>
        <v>2.4455999999999998</v>
      </c>
      <c r="BF215" s="110">
        <f t="shared" si="1885"/>
        <v>0</v>
      </c>
      <c r="BG215" s="110">
        <f t="shared" si="1886"/>
        <v>7.72</v>
      </c>
      <c r="BH215" s="105" t="str">
        <f>VLOOKUP(A215,'BOCA DE LOBO'!C:I,7,0)</f>
        <v>BOCA DE LOBO PROJETADA DUPLA</v>
      </c>
      <c r="BI215" s="104">
        <f t="shared" si="1887"/>
        <v>0</v>
      </c>
      <c r="BJ215" s="104">
        <f t="shared" si="1888"/>
        <v>0</v>
      </c>
      <c r="BK215" s="104">
        <f t="shared" si="1889"/>
        <v>0</v>
      </c>
      <c r="BL215" s="104">
        <f t="shared" si="1890"/>
        <v>0</v>
      </c>
      <c r="BM215" s="104">
        <f t="shared" si="1891"/>
        <v>0</v>
      </c>
      <c r="BN215" s="104">
        <f t="shared" si="1892"/>
        <v>1</v>
      </c>
      <c r="BO215" s="104">
        <f t="shared" si="1893"/>
        <v>0</v>
      </c>
      <c r="BP215" s="111"/>
      <c r="BQ215" s="108">
        <f t="shared" si="1894"/>
        <v>23.16</v>
      </c>
      <c r="BR215" s="108">
        <f t="shared" si="1895"/>
        <v>14.600063999999996</v>
      </c>
      <c r="BS215" s="108">
        <f t="shared" si="1896"/>
        <v>0</v>
      </c>
      <c r="BV215" s="538">
        <f t="shared" si="1897"/>
        <v>16.819755119999996</v>
      </c>
      <c r="BW215" s="538">
        <f t="shared" si="1898"/>
        <v>7.7825999999999986</v>
      </c>
      <c r="BX215" s="538">
        <f t="shared" si="1899"/>
        <v>3.0325999999999995</v>
      </c>
      <c r="BY215" s="538">
        <f t="shared" si="1900"/>
        <v>2.1612</v>
      </c>
      <c r="BZ215" s="538">
        <f t="shared" si="1901"/>
        <v>2.1612</v>
      </c>
      <c r="CA215" s="538">
        <f t="shared" si="1902"/>
        <v>0</v>
      </c>
      <c r="CB215" s="538">
        <f t="shared" si="1903"/>
        <v>0</v>
      </c>
      <c r="CC215" s="538">
        <f t="shared" si="1904"/>
        <v>11.673899999999998</v>
      </c>
      <c r="CD215" s="538">
        <f t="shared" si="1905"/>
        <v>5.1458551199999993</v>
      </c>
      <c r="CE215" s="538">
        <f t="shared" si="1906"/>
        <v>0</v>
      </c>
      <c r="CF215" s="538">
        <f t="shared" si="1907"/>
        <v>0</v>
      </c>
      <c r="CG215" s="538">
        <f t="shared" si="1908"/>
        <v>0</v>
      </c>
      <c r="CH215" s="538">
        <f t="shared" si="1909"/>
        <v>0</v>
      </c>
      <c r="CI215" s="104">
        <f t="shared" si="1910"/>
        <v>0.53549999999999998</v>
      </c>
      <c r="CJ215" s="538">
        <f t="shared" si="1911"/>
        <v>9.7301999999999982</v>
      </c>
      <c r="CK215" s="538">
        <f t="shared" si="1912"/>
        <v>9.7301999999999982</v>
      </c>
      <c r="CL215" s="538">
        <f t="shared" si="1913"/>
        <v>0</v>
      </c>
      <c r="CM215" s="538">
        <f t="shared" si="1914"/>
        <v>0</v>
      </c>
      <c r="CN215" s="538">
        <f t="shared" si="1841"/>
        <v>3.57</v>
      </c>
      <c r="CO215" s="538">
        <f t="shared" si="1915"/>
        <v>2.1612</v>
      </c>
      <c r="CP215" s="538">
        <f t="shared" si="1916"/>
        <v>10.709999999999999</v>
      </c>
      <c r="CQ215" s="538">
        <f t="shared" si="1917"/>
        <v>4.7209680000000001</v>
      </c>
      <c r="CR215" s="539">
        <f t="shared" si="1918"/>
        <v>0</v>
      </c>
      <c r="CS215" s="540">
        <f t="shared" si="1919"/>
        <v>0</v>
      </c>
      <c r="CT215" s="540">
        <f t="shared" si="1920"/>
        <v>0.33012999999999998</v>
      </c>
      <c r="CU215" s="541">
        <f t="shared" si="1921"/>
        <v>11.238240000000001</v>
      </c>
      <c r="CV215" s="538">
        <f t="shared" si="1922"/>
        <v>1.3352771999999999</v>
      </c>
      <c r="CW215" s="538">
        <f t="shared" si="1923"/>
        <v>20.646215999999999</v>
      </c>
      <c r="CX215" s="104">
        <f t="shared" si="1924"/>
        <v>3.57</v>
      </c>
      <c r="CY215" s="542">
        <f t="shared" si="1925"/>
        <v>1.7849999999999999</v>
      </c>
      <c r="CZ215" s="538">
        <f t="shared" si="1926"/>
        <v>0</v>
      </c>
    </row>
    <row r="216" spans="1:104" s="112" customFormat="1" ht="25" x14ac:dyDescent="0.25">
      <c r="A216" s="100" t="str">
        <f>'BOCA DE LOBO'!C194</f>
        <v>BL13-&gt;PV3.1</v>
      </c>
      <c r="B216" s="100" t="str">
        <f>'BOCA DE LOBO'!A194</f>
        <v>PV3.1</v>
      </c>
      <c r="C216" s="100" t="str">
        <f>VLOOKUP(A216,'BOCA DE LOBO'!C:F,3,0)</f>
        <v>PROJETADO</v>
      </c>
      <c r="D216" s="100" t="str">
        <f>VLOOKUP(A216,'BOCA DE LOBO'!C:M,10,0)</f>
        <v>PROJETADA</v>
      </c>
      <c r="E216" s="100">
        <f t="shared" si="1842"/>
        <v>2.0087999999999999</v>
      </c>
      <c r="F216" s="100">
        <f>VLOOKUP(A216,'BOCA DE LOBO'!$C$178:$L$224,2,0)</f>
        <v>2.33</v>
      </c>
      <c r="G216" s="100">
        <f>VLOOKUP(A216,'BOCA DE LOBO'!$C$178:$L$224,4,0)</f>
        <v>8.0299999999999994</v>
      </c>
      <c r="H216" s="101">
        <v>400</v>
      </c>
      <c r="I216" s="102">
        <f t="shared" si="1843"/>
        <v>2.2993999999999999</v>
      </c>
      <c r="J216" s="102">
        <f t="shared" si="1844"/>
        <v>0.92320909999999989</v>
      </c>
      <c r="K216" s="103">
        <v>0</v>
      </c>
      <c r="L216" s="104">
        <f t="shared" si="1845"/>
        <v>1</v>
      </c>
      <c r="M216" s="104">
        <f t="shared" si="1846"/>
        <v>1</v>
      </c>
      <c r="N216" s="104">
        <f t="shared" si="1847"/>
        <v>0</v>
      </c>
      <c r="O216" s="104">
        <f t="shared" si="1848"/>
        <v>8.0299999999999994</v>
      </c>
      <c r="P216" s="105" t="str">
        <f>VLOOKUP(B216,'Planilha Hidráulica'!$AE$36:$AQ$53,13,0)</f>
        <v>ASFALTO</v>
      </c>
      <c r="Q216" s="468" t="s">
        <v>2076</v>
      </c>
      <c r="R216" s="105"/>
      <c r="S216" s="105">
        <f>VLOOKUP(Q216,Quantitativos!P:R,3,0)</f>
        <v>3</v>
      </c>
      <c r="T216" s="105">
        <f>VLOOKUP(Q216,Quantitativos!P:S,4,0)</f>
        <v>5</v>
      </c>
      <c r="U216" s="104">
        <f t="shared" si="1849"/>
        <v>0.05</v>
      </c>
      <c r="V216" s="106">
        <f t="shared" si="1850"/>
        <v>0</v>
      </c>
      <c r="W216" s="106">
        <f t="shared" si="1851"/>
        <v>18.464181999999997</v>
      </c>
      <c r="X216" s="107">
        <f t="shared" si="1852"/>
        <v>0</v>
      </c>
      <c r="Y216" s="107">
        <f t="shared" si="1853"/>
        <v>0</v>
      </c>
      <c r="Z216" s="107">
        <f t="shared" si="1854"/>
        <v>2.2993999999999999</v>
      </c>
      <c r="AA216" s="107">
        <f t="shared" si="1855"/>
        <v>0</v>
      </c>
      <c r="AB216" s="108">
        <f t="shared" si="1856"/>
        <v>8.0299999999999994</v>
      </c>
      <c r="AC216" s="109">
        <f t="shared" si="1857"/>
        <v>0</v>
      </c>
      <c r="AD216" s="109">
        <f t="shared" si="1858"/>
        <v>0</v>
      </c>
      <c r="AE216" s="109">
        <f t="shared" si="1859"/>
        <v>0</v>
      </c>
      <c r="AF216" s="109">
        <f t="shared" si="1860"/>
        <v>12.044999999999998</v>
      </c>
      <c r="AG216" s="109">
        <f t="shared" si="1861"/>
        <v>6.4191819999999984</v>
      </c>
      <c r="AH216" s="109">
        <f t="shared" si="1862"/>
        <v>0</v>
      </c>
      <c r="AI216" s="537" t="str">
        <f t="shared" si="1863"/>
        <v>NÃO</v>
      </c>
      <c r="AJ216" s="104">
        <f t="shared" si="1864"/>
        <v>0</v>
      </c>
      <c r="AK216" s="104">
        <f t="shared" si="1865"/>
        <v>0</v>
      </c>
      <c r="AL216" s="104">
        <f t="shared" si="1866"/>
        <v>17.455102439666955</v>
      </c>
      <c r="AM216" s="102">
        <f t="shared" si="1867"/>
        <v>0.40149999999999997</v>
      </c>
      <c r="AN216" s="106">
        <f t="shared" si="1868"/>
        <v>0</v>
      </c>
      <c r="AO216" s="104">
        <f t="shared" si="1869"/>
        <v>0</v>
      </c>
      <c r="AP216" s="104">
        <f t="shared" si="1870"/>
        <v>0</v>
      </c>
      <c r="AQ216" s="104">
        <f t="shared" si="1871"/>
        <v>0.7</v>
      </c>
      <c r="AR216" s="104">
        <f t="shared" si="1872"/>
        <v>4.6119204396669584</v>
      </c>
      <c r="AS216" s="104">
        <f t="shared" si="1873"/>
        <v>0</v>
      </c>
      <c r="AT216" s="104">
        <f t="shared" si="1874"/>
        <v>1.2044999999999999</v>
      </c>
      <c r="AU216" s="104">
        <f t="shared" si="1875"/>
        <v>1.2044999999999999</v>
      </c>
      <c r="AV216" s="104">
        <f t="shared" si="1876"/>
        <v>0.24089999999999998</v>
      </c>
      <c r="AW216" s="104">
        <f t="shared" si="1877"/>
        <v>10.032681999999999</v>
      </c>
      <c r="AX216" s="104">
        <f t="shared" si="1878"/>
        <v>12.64776156033304</v>
      </c>
      <c r="AY216" s="104">
        <f t="shared" si="1879"/>
        <v>10.032681999999999</v>
      </c>
      <c r="AZ216" s="104">
        <f t="shared" si="1880"/>
        <v>0</v>
      </c>
      <c r="BA216" s="104">
        <f t="shared" si="1881"/>
        <v>0</v>
      </c>
      <c r="BB216" s="104">
        <f t="shared" si="1882"/>
        <v>0</v>
      </c>
      <c r="BC216" s="104"/>
      <c r="BD216" s="104">
        <f t="shared" si="1883"/>
        <v>4.8180000000000001E-2</v>
      </c>
      <c r="BE216" s="108">
        <f t="shared" si="1884"/>
        <v>2.2993999999999999</v>
      </c>
      <c r="BF216" s="110">
        <f t="shared" si="1885"/>
        <v>0</v>
      </c>
      <c r="BG216" s="110">
        <f t="shared" si="1886"/>
        <v>8.0299999999999994</v>
      </c>
      <c r="BH216" s="105" t="str">
        <f>VLOOKUP(A216,'BOCA DE LOBO'!C:I,7,0)</f>
        <v>BOCA DE LOBO PROJETADA DUPLA</v>
      </c>
      <c r="BI216" s="104">
        <f t="shared" si="1887"/>
        <v>0</v>
      </c>
      <c r="BJ216" s="104">
        <f t="shared" si="1888"/>
        <v>0</v>
      </c>
      <c r="BK216" s="104">
        <f t="shared" si="1889"/>
        <v>0</v>
      </c>
      <c r="BL216" s="104">
        <f t="shared" si="1890"/>
        <v>0</v>
      </c>
      <c r="BM216" s="104">
        <f t="shared" si="1891"/>
        <v>0</v>
      </c>
      <c r="BN216" s="104">
        <f t="shared" si="1892"/>
        <v>1</v>
      </c>
      <c r="BO216" s="104">
        <f t="shared" si="1893"/>
        <v>0</v>
      </c>
      <c r="BP216" s="111"/>
      <c r="BQ216" s="108">
        <f t="shared" si="1894"/>
        <v>24.089999999999996</v>
      </c>
      <c r="BR216" s="108">
        <f t="shared" si="1895"/>
        <v>12.838363999999997</v>
      </c>
      <c r="BS216" s="108">
        <f t="shared" si="1896"/>
        <v>0</v>
      </c>
      <c r="BV216" s="538">
        <f t="shared" si="1897"/>
        <v>15.633686879999997</v>
      </c>
      <c r="BW216" s="538">
        <f t="shared" si="1898"/>
        <v>7.7825999999999986</v>
      </c>
      <c r="BX216" s="538">
        <f t="shared" si="1899"/>
        <v>3.0325999999999995</v>
      </c>
      <c r="BY216" s="538">
        <f t="shared" si="1900"/>
        <v>2.0087999999999999</v>
      </c>
      <c r="BZ216" s="538">
        <f t="shared" si="1901"/>
        <v>2.0087999999999999</v>
      </c>
      <c r="CA216" s="538">
        <f t="shared" si="1902"/>
        <v>0</v>
      </c>
      <c r="CB216" s="538">
        <f t="shared" si="1903"/>
        <v>0</v>
      </c>
      <c r="CC216" s="538">
        <f t="shared" si="1904"/>
        <v>11.673899999999998</v>
      </c>
      <c r="CD216" s="538">
        <f t="shared" si="1905"/>
        <v>3.9597868799999985</v>
      </c>
      <c r="CE216" s="538">
        <f t="shared" si="1906"/>
        <v>0</v>
      </c>
      <c r="CF216" s="538">
        <f t="shared" si="1907"/>
        <v>0</v>
      </c>
      <c r="CG216" s="538">
        <f t="shared" si="1908"/>
        <v>0</v>
      </c>
      <c r="CH216" s="538">
        <f t="shared" si="1909"/>
        <v>0</v>
      </c>
      <c r="CI216" s="104">
        <f t="shared" si="1910"/>
        <v>0.53549999999999998</v>
      </c>
      <c r="CJ216" s="538">
        <f t="shared" si="1911"/>
        <v>9.0062999999999978</v>
      </c>
      <c r="CK216" s="538">
        <f t="shared" si="1912"/>
        <v>9.0062999999999978</v>
      </c>
      <c r="CL216" s="538">
        <f t="shared" si="1913"/>
        <v>0</v>
      </c>
      <c r="CM216" s="538">
        <f t="shared" si="1914"/>
        <v>0</v>
      </c>
      <c r="CN216" s="538">
        <f t="shared" si="1841"/>
        <v>3.57</v>
      </c>
      <c r="CO216" s="538">
        <f t="shared" si="1915"/>
        <v>2.0087999999999999</v>
      </c>
      <c r="CP216" s="538">
        <f t="shared" si="1916"/>
        <v>10.709999999999999</v>
      </c>
      <c r="CQ216" s="538">
        <f t="shared" si="1917"/>
        <v>3.6328319999999992</v>
      </c>
      <c r="CR216" s="539">
        <f t="shared" si="1918"/>
        <v>0</v>
      </c>
      <c r="CS216" s="540">
        <f t="shared" si="1919"/>
        <v>0</v>
      </c>
      <c r="CT216" s="540">
        <f t="shared" si="1920"/>
        <v>0.33012999999999998</v>
      </c>
      <c r="CU216" s="541">
        <f t="shared" si="1921"/>
        <v>10.44576</v>
      </c>
      <c r="CV216" s="538">
        <f t="shared" si="1922"/>
        <v>1.2886427999999999</v>
      </c>
      <c r="CW216" s="538">
        <f t="shared" si="1923"/>
        <v>19.475783999999997</v>
      </c>
      <c r="CX216" s="104">
        <f t="shared" si="1924"/>
        <v>3.57</v>
      </c>
      <c r="CY216" s="542">
        <f t="shared" si="1925"/>
        <v>1.7849999999999999</v>
      </c>
      <c r="CZ216" s="538">
        <f t="shared" si="1926"/>
        <v>0</v>
      </c>
    </row>
    <row r="217" spans="1:104" s="112" customFormat="1" ht="25" x14ac:dyDescent="0.25">
      <c r="A217" s="100" t="str">
        <f>'BOCA DE LOBO'!C195</f>
        <v>BL14-&gt;PV3.1</v>
      </c>
      <c r="B217" s="100" t="str">
        <f>'BOCA DE LOBO'!A195</f>
        <v>PV3.1</v>
      </c>
      <c r="C217" s="100" t="str">
        <f>VLOOKUP(A217,'BOCA DE LOBO'!C:F,3,0)</f>
        <v>PROJETADO</v>
      </c>
      <c r="D217" s="100" t="str">
        <f>VLOOKUP(A217,'BOCA DE LOBO'!C:M,10,0)</f>
        <v>EXISTENTE</v>
      </c>
      <c r="E217" s="100">
        <f t="shared" si="1842"/>
        <v>2.33</v>
      </c>
      <c r="F217" s="100">
        <f>VLOOKUP(A217,'BOCA DE LOBO'!$C$178:$L$224,2,0)</f>
        <v>2.33</v>
      </c>
      <c r="G217" s="100">
        <f>VLOOKUP(A217,'BOCA DE LOBO'!$C$178:$L$224,4,0)</f>
        <v>0</v>
      </c>
      <c r="H217" s="101">
        <v>400</v>
      </c>
      <c r="I217" s="102">
        <f t="shared" si="1843"/>
        <v>2.46</v>
      </c>
      <c r="J217" s="102">
        <f t="shared" si="1844"/>
        <v>0</v>
      </c>
      <c r="K217" s="103">
        <v>0</v>
      </c>
      <c r="L217" s="104">
        <f t="shared" si="1845"/>
        <v>0</v>
      </c>
      <c r="M217" s="104">
        <f t="shared" si="1846"/>
        <v>0</v>
      </c>
      <c r="N217" s="104">
        <f t="shared" si="1847"/>
        <v>400</v>
      </c>
      <c r="O217" s="104">
        <f t="shared" si="1848"/>
        <v>0</v>
      </c>
      <c r="P217" s="105" t="str">
        <f>VLOOKUP(B217,'Planilha Hidráulica'!$AE$36:$AQ$53,13,0)</f>
        <v>ASFALTO</v>
      </c>
      <c r="Q217" s="468" t="s">
        <v>2076</v>
      </c>
      <c r="R217" s="105"/>
      <c r="S217" s="105">
        <f>VLOOKUP(Q217,Quantitativos!P:R,3,0)</f>
        <v>3</v>
      </c>
      <c r="T217" s="105">
        <f>VLOOKUP(Q217,Quantitativos!P:S,4,0)</f>
        <v>5</v>
      </c>
      <c r="U217" s="104">
        <f t="shared" si="1849"/>
        <v>0.05</v>
      </c>
      <c r="V217" s="106">
        <f t="shared" si="1850"/>
        <v>0</v>
      </c>
      <c r="W217" s="106">
        <f t="shared" si="1851"/>
        <v>0</v>
      </c>
      <c r="X217" s="107">
        <f t="shared" si="1852"/>
        <v>0</v>
      </c>
      <c r="Y217" s="107">
        <f t="shared" si="1853"/>
        <v>0</v>
      </c>
      <c r="Z217" s="107">
        <f t="shared" si="1854"/>
        <v>2.46</v>
      </c>
      <c r="AA217" s="107">
        <f t="shared" si="1855"/>
        <v>0</v>
      </c>
      <c r="AB217" s="108">
        <f t="shared" si="1856"/>
        <v>0</v>
      </c>
      <c r="AC217" s="109">
        <f t="shared" si="1857"/>
        <v>0</v>
      </c>
      <c r="AD217" s="109">
        <f t="shared" si="1858"/>
        <v>0</v>
      </c>
      <c r="AE217" s="109">
        <f t="shared" si="1859"/>
        <v>0</v>
      </c>
      <c r="AF217" s="109">
        <f t="shared" si="1860"/>
        <v>0</v>
      </c>
      <c r="AG217" s="109">
        <f t="shared" si="1861"/>
        <v>0</v>
      </c>
      <c r="AH217" s="109">
        <f t="shared" si="1862"/>
        <v>0</v>
      </c>
      <c r="AI217" s="537" t="str">
        <f t="shared" si="1863"/>
        <v>NÃO</v>
      </c>
      <c r="AJ217" s="104">
        <f t="shared" si="1864"/>
        <v>0</v>
      </c>
      <c r="AK217" s="104">
        <f t="shared" si="1865"/>
        <v>0</v>
      </c>
      <c r="AL217" s="104">
        <f t="shared" si="1866"/>
        <v>0</v>
      </c>
      <c r="AM217" s="102">
        <f t="shared" si="1867"/>
        <v>0</v>
      </c>
      <c r="AN217" s="106">
        <f t="shared" si="1868"/>
        <v>0</v>
      </c>
      <c r="AO217" s="104">
        <f t="shared" si="1869"/>
        <v>0</v>
      </c>
      <c r="AP217" s="104">
        <f t="shared" si="1870"/>
        <v>0</v>
      </c>
      <c r="AQ217" s="104">
        <f t="shared" si="1871"/>
        <v>0.7</v>
      </c>
      <c r="AR217" s="104">
        <f t="shared" si="1872"/>
        <v>0</v>
      </c>
      <c r="AS217" s="104">
        <f t="shared" si="1873"/>
        <v>0</v>
      </c>
      <c r="AT217" s="104">
        <f t="shared" si="1874"/>
        <v>0</v>
      </c>
      <c r="AU217" s="104">
        <f t="shared" si="1875"/>
        <v>0</v>
      </c>
      <c r="AV217" s="104">
        <f t="shared" si="1876"/>
        <v>0</v>
      </c>
      <c r="AW217" s="104">
        <f t="shared" si="1877"/>
        <v>0</v>
      </c>
      <c r="AX217" s="104">
        <f t="shared" si="1878"/>
        <v>0</v>
      </c>
      <c r="AY217" s="104">
        <f t="shared" si="1879"/>
        <v>0</v>
      </c>
      <c r="AZ217" s="104">
        <f t="shared" si="1880"/>
        <v>0</v>
      </c>
      <c r="BA217" s="104">
        <f t="shared" si="1881"/>
        <v>0</v>
      </c>
      <c r="BB217" s="104">
        <f t="shared" si="1882"/>
        <v>0</v>
      </c>
      <c r="BC217" s="104"/>
      <c r="BD217" s="104">
        <f t="shared" si="1883"/>
        <v>0</v>
      </c>
      <c r="BE217" s="108">
        <f t="shared" si="1884"/>
        <v>2.46</v>
      </c>
      <c r="BF217" s="110">
        <f t="shared" si="1885"/>
        <v>0</v>
      </c>
      <c r="BG217" s="110">
        <f t="shared" si="1886"/>
        <v>0</v>
      </c>
      <c r="BH217" s="105" t="str">
        <f>VLOOKUP(A217,'BOCA DE LOBO'!C:I,7,0)</f>
        <v>BOCA DE LOBO EXISTENTE TRIPLA</v>
      </c>
      <c r="BI217" s="104">
        <f t="shared" si="1887"/>
        <v>0</v>
      </c>
      <c r="BJ217" s="104">
        <f t="shared" si="1888"/>
        <v>0</v>
      </c>
      <c r="BK217" s="104">
        <f t="shared" si="1889"/>
        <v>0</v>
      </c>
      <c r="BL217" s="104">
        <f t="shared" si="1890"/>
        <v>0</v>
      </c>
      <c r="BM217" s="104">
        <f t="shared" si="1891"/>
        <v>0</v>
      </c>
      <c r="BN217" s="104">
        <f t="shared" si="1892"/>
        <v>0</v>
      </c>
      <c r="BO217" s="104">
        <f t="shared" si="1893"/>
        <v>0</v>
      </c>
      <c r="BP217" s="111"/>
      <c r="BQ217" s="108">
        <f t="shared" si="1894"/>
        <v>0</v>
      </c>
      <c r="BR217" s="108">
        <f t="shared" si="1895"/>
        <v>0</v>
      </c>
      <c r="BS217" s="108">
        <f t="shared" si="1896"/>
        <v>0</v>
      </c>
      <c r="BV217" s="538">
        <f t="shared" si="1897"/>
        <v>0</v>
      </c>
      <c r="BW217" s="538">
        <f t="shared" si="1898"/>
        <v>0</v>
      </c>
      <c r="BX217" s="538">
        <f t="shared" si="1899"/>
        <v>0</v>
      </c>
      <c r="BY217" s="538">
        <f t="shared" si="1900"/>
        <v>2.33</v>
      </c>
      <c r="BZ217" s="538">
        <f t="shared" si="1901"/>
        <v>2.33</v>
      </c>
      <c r="CA217" s="538">
        <f t="shared" si="1902"/>
        <v>0</v>
      </c>
      <c r="CB217" s="538">
        <f t="shared" si="1903"/>
        <v>0</v>
      </c>
      <c r="CC217" s="538">
        <f t="shared" si="1904"/>
        <v>0</v>
      </c>
      <c r="CD217" s="538">
        <f t="shared" si="1905"/>
        <v>0</v>
      </c>
      <c r="CE217" s="538">
        <f t="shared" si="1906"/>
        <v>0</v>
      </c>
      <c r="CF217" s="538">
        <f t="shared" si="1907"/>
        <v>0</v>
      </c>
      <c r="CG217" s="538">
        <f t="shared" si="1908"/>
        <v>0</v>
      </c>
      <c r="CH217" s="538">
        <f t="shared" si="1909"/>
        <v>0</v>
      </c>
      <c r="CI217" s="104">
        <f t="shared" si="1910"/>
        <v>0</v>
      </c>
      <c r="CJ217" s="538">
        <f t="shared" si="1911"/>
        <v>0</v>
      </c>
      <c r="CK217" s="538">
        <f t="shared" si="1912"/>
        <v>0</v>
      </c>
      <c r="CL217" s="538">
        <f t="shared" si="1913"/>
        <v>0</v>
      </c>
      <c r="CM217" s="538">
        <f t="shared" si="1914"/>
        <v>0</v>
      </c>
      <c r="CN217" s="538">
        <f t="shared" si="1841"/>
        <v>0</v>
      </c>
      <c r="CO217" s="538">
        <f t="shared" si="1915"/>
        <v>2.33</v>
      </c>
      <c r="CP217" s="538">
        <f t="shared" si="1916"/>
        <v>0</v>
      </c>
      <c r="CQ217" s="538">
        <f t="shared" si="1917"/>
        <v>0</v>
      </c>
      <c r="CR217" s="539">
        <f t="shared" si="1918"/>
        <v>0</v>
      </c>
      <c r="CS217" s="540">
        <f t="shared" si="1919"/>
        <v>0</v>
      </c>
      <c r="CT217" s="540">
        <f t="shared" si="1920"/>
        <v>0</v>
      </c>
      <c r="CU217" s="541">
        <f t="shared" si="1921"/>
        <v>0</v>
      </c>
      <c r="CV217" s="538">
        <f t="shared" si="1922"/>
        <v>0</v>
      </c>
      <c r="CW217" s="538">
        <f t="shared" si="1923"/>
        <v>0</v>
      </c>
      <c r="CX217" s="104">
        <f t="shared" si="1924"/>
        <v>0</v>
      </c>
      <c r="CY217" s="542">
        <f t="shared" si="1925"/>
        <v>0</v>
      </c>
      <c r="CZ217" s="538">
        <f t="shared" si="1926"/>
        <v>0</v>
      </c>
    </row>
    <row r="218" spans="1:104" ht="14.5" x14ac:dyDescent="0.35">
      <c r="A218" s="325" t="str">
        <f>'BOCA DE LOBO'!A196</f>
        <v>RD-7</v>
      </c>
      <c r="B218" s="87"/>
      <c r="C218" s="87"/>
      <c r="D218" s="87"/>
      <c r="E218" s="88"/>
      <c r="F218" s="88"/>
      <c r="G218" s="88"/>
      <c r="H218" s="82"/>
      <c r="I218" s="82"/>
      <c r="J218" s="82"/>
      <c r="K218" s="82"/>
      <c r="L218" s="90"/>
      <c r="M218" s="90"/>
      <c r="N218" s="90"/>
      <c r="O218" s="90"/>
      <c r="P218" s="89"/>
      <c r="Q218" s="89"/>
      <c r="R218" s="89"/>
      <c r="S218" s="89"/>
      <c r="T218" s="89"/>
      <c r="U218" s="90"/>
      <c r="V218" s="91"/>
      <c r="W218" s="92"/>
      <c r="X218" s="92"/>
      <c r="Y218" s="92"/>
      <c r="Z218" s="92"/>
      <c r="AA218" s="92"/>
      <c r="AB218" s="93"/>
      <c r="AC218" s="94"/>
      <c r="AD218" s="94"/>
      <c r="AE218" s="94"/>
      <c r="AF218" s="94"/>
      <c r="AG218" s="94"/>
      <c r="AH218" s="94"/>
      <c r="AI218" s="81"/>
      <c r="AJ218" s="82"/>
      <c r="AK218" s="82"/>
      <c r="AL218" s="82"/>
      <c r="AM218" s="82"/>
      <c r="AN218" s="83"/>
      <c r="AO218" s="82"/>
      <c r="AP218" s="82"/>
      <c r="AQ218" s="82"/>
      <c r="AR218" s="82"/>
      <c r="AS218" s="82"/>
      <c r="AT218" s="82"/>
      <c r="AU218" s="82"/>
      <c r="AV218" s="82"/>
      <c r="AW218" s="82"/>
      <c r="AX218" s="82"/>
      <c r="AY218" s="82"/>
      <c r="AZ218" s="82"/>
      <c r="BA218" s="82"/>
      <c r="BB218" s="82"/>
      <c r="BC218" s="82"/>
      <c r="BD218" s="82"/>
      <c r="BE218" s="95"/>
      <c r="BF218" s="79"/>
      <c r="BG218" s="79"/>
      <c r="BH218" s="569"/>
      <c r="BI218" s="96"/>
      <c r="BJ218" s="96"/>
      <c r="BK218" s="96"/>
      <c r="BL218" s="96"/>
      <c r="BM218" s="96"/>
      <c r="BN218" s="570"/>
      <c r="BO218" s="571"/>
      <c r="BP218" s="572"/>
      <c r="BQ218" s="79"/>
      <c r="BR218" s="79"/>
      <c r="BS218" s="79"/>
      <c r="BV218" s="539"/>
      <c r="BW218" s="539"/>
      <c r="BX218" s="539"/>
      <c r="BY218" s="539"/>
      <c r="BZ218" s="539"/>
      <c r="CA218" s="539"/>
      <c r="CB218" s="539"/>
      <c r="CC218" s="539"/>
      <c r="CD218" s="539"/>
      <c r="CE218" s="539"/>
      <c r="CF218" s="539"/>
      <c r="CG218" s="539"/>
      <c r="CH218" s="539"/>
      <c r="CI218" s="539"/>
      <c r="CJ218" s="539"/>
      <c r="CK218" s="539"/>
      <c r="CL218" s="539"/>
      <c r="CM218" s="539"/>
      <c r="CN218" s="539"/>
      <c r="CO218" s="539"/>
      <c r="CP218" s="539"/>
      <c r="CQ218" s="539"/>
      <c r="CR218" s="539"/>
      <c r="CS218" s="540"/>
      <c r="CT218" s="540"/>
      <c r="CU218" s="541"/>
      <c r="CV218" s="541"/>
      <c r="CW218" s="538"/>
      <c r="CY218" s="538"/>
    </row>
    <row r="219" spans="1:104" s="112" customFormat="1" ht="25" x14ac:dyDescent="0.25">
      <c r="A219" s="100" t="str">
        <f>'BOCA DE LOBO'!C197</f>
        <v>BL15-&gt;PV1.1</v>
      </c>
      <c r="B219" s="100" t="str">
        <f>'BOCA DE LOBO'!A197</f>
        <v>PV1.1</v>
      </c>
      <c r="C219" s="100" t="str">
        <f>VLOOKUP(A219,'BOCA DE LOBO'!C:F,3,0)</f>
        <v>PROJETADO</v>
      </c>
      <c r="D219" s="100" t="str">
        <f>VLOOKUP(A219,'BOCA DE LOBO'!C:M,10,0)</f>
        <v>PROJETADA</v>
      </c>
      <c r="E219" s="100">
        <f>IF(F219-G219*4%&lt;2.5,F219-G219*4%,2.5)</f>
        <v>1.3616000000000001</v>
      </c>
      <c r="F219" s="100">
        <f>VLOOKUP(A219,'BOCA DE LOBO'!$C$178:$L$224,2,0)</f>
        <v>1.6</v>
      </c>
      <c r="G219" s="100">
        <f>VLOOKUP(A219,'BOCA DE LOBO'!$C$178:$L$224,4,0)</f>
        <v>5.96</v>
      </c>
      <c r="H219" s="101">
        <v>400</v>
      </c>
      <c r="I219" s="102">
        <f>IF(H219=400,((E219+F219)/2)+0.08+U219,IF(H219=500,((E219+F219)/2)+0.1+U219,IF(H219=600,((E219+F219)/2)+0.12+U219,IF(H219=800,((E219+F219)/2)+0.16+U219,IF(H219=1000,((E219+F219)/2)+0.2+U219,IF(H219=1200,((E219+F219)/2)+0.24+U219,IF(H219=1500,((E219+F219)/2)+0.3+U219,IF(H219&gt;1500,((E219+F219)/2)+0.4+U219))))))))</f>
        <v>1.6108000000000002</v>
      </c>
      <c r="J219" s="102">
        <f>IF(L219=0,0,IF(I219&gt;=1.25,G219*I219/20,0))</f>
        <v>0.48001840000000007</v>
      </c>
      <c r="K219" s="103">
        <v>0</v>
      </c>
      <c r="L219" s="104">
        <f>IF(D219&lt;&gt;"PROJETADA",0,IF(H219=400,1,0)+IF(H219=500,1.2,0)+IF(H219=600,1.4,0)+IF(H219=800,1.7,0)+IF(H219=1000,2,0)+IF(H219=1200,2.2,0)+IF(H219=1500,2.6,0)+IF(H219=1650,3,0)+IF(H219=1800,3.2,0)+IF(H219=2000,3.4,0)+IF(H219=2200,3.6,0)+IF(H219=2400,3.8,0)+IF(H219=2600,4,0)+IF(H219=3000,4.4,0))</f>
        <v>1</v>
      </c>
      <c r="M219" s="104">
        <f>2*K219*I219+L219</f>
        <v>1</v>
      </c>
      <c r="N219" s="104">
        <f>IF(OR(D219="EXISTENTE",D219="AMPLIADA"),400,0)</f>
        <v>0</v>
      </c>
      <c r="O219" s="104">
        <f>IF(P219="TERRENO NATURAL",0,M219*G219)</f>
        <v>5.96</v>
      </c>
      <c r="P219" s="105" t="str">
        <f>VLOOKUP(B219,'Planilha Hidráulica'!$AE$36:$AQ$53,13,0)</f>
        <v>ASFALTO</v>
      </c>
      <c r="Q219" s="468" t="s">
        <v>2067</v>
      </c>
      <c r="R219" s="105"/>
      <c r="S219" s="105">
        <f>VLOOKUP(Q219,Quantitativos!P:R,3,0)</f>
        <v>3.7</v>
      </c>
      <c r="T219" s="105">
        <f>VLOOKUP(Q219,Quantitativos!P:S,4,0)</f>
        <v>5</v>
      </c>
      <c r="U219" s="104">
        <f>IF(H219=400,0.05,0)+IF(H219=500,0.05,0)+IF(H219=600,0.1,0)+IF(H219=800,0.1,0)+IF(H219=1000,0.15,0)+IF(H219=1200,0.15,0)+IF(H219=1500,0.2,0)+IF(H219=1650,0.2,0)+IF(H219=1800,0.2,0)+IF(H219=2000,0.25,0)+IF(H219=2200,0.25,0)+IF(H219=2400,0.25,0)+IF(H219=2600,0.25,0)+IF(H219=3000,0.25,0)</f>
        <v>0.05</v>
      </c>
      <c r="V219" s="106">
        <f>IF(L219=0,0,IF("EXISTENTE"=C219,0,IFERROR((PI()*(N219/1000)*(N219/1000)/4)*G219,0)))</f>
        <v>0</v>
      </c>
      <c r="W219" s="106">
        <f>IF(O219=0,0,((((K219*I219)*I219)/2)*2+L219*I219)*G219-V219+AO219)</f>
        <v>9.6003680000000013</v>
      </c>
      <c r="X219" s="107">
        <f>W219-SUM(AC219:AJ219)</f>
        <v>0</v>
      </c>
      <c r="Y219" s="107">
        <f>IF(R219=1,IF(N219=0,I219+0.4,0.4),0)</f>
        <v>0</v>
      </c>
      <c r="Z219" s="107">
        <f>IF(Y219&gt;0.5,0,IF(S219&lt;I219,S219,I219))</f>
        <v>1.6108000000000002</v>
      </c>
      <c r="AA219" s="107">
        <f>I219-Z219</f>
        <v>0</v>
      </c>
      <c r="AB219" s="108">
        <f>IF(P219="ASFALTO",IF(D219="PROJETADA",O219,IF(D219="EXISTENTE",0,O219/2)),0)</f>
        <v>5.96</v>
      </c>
      <c r="AC219" s="109">
        <f>IF(Y219=0,0,IF(Y219=0.4,IF(L219&lt;=1.5,IF(Z219+0.4&gt;=1.5,0,L219*G219*0.4),0),IF(L219&lt;=1.5,IF(Y219&gt;=1.5,M219*G219*1.5,L219*G219*(Y219)),0)+IF(S219&lt;I219+0.4,0,IF(AND(Y219&lt;=1.5,L219&lt;=1.5),-V219,0))))</f>
        <v>0</v>
      </c>
      <c r="AD219" s="109">
        <f>IF(Y219=0,0,IF(Y219=0.4,IF(L219&lt;=1.5,IF(OR(Z219+0.4&gt;=3,Z219+0.4&lt;1.5),0,L219*G219*0.4),0),IF(IF(L219&lt;=1.5,IF(Y219&gt;=3,M219*G219*1.5,L219*G219*(Y219-1.5)),0)&lt;0,0,IF(L219&lt;=1.5,IF(Y219&gt;=3,M219*G219*1.5,L219*G219*(Y219-1.5)),0))+IF(S219&lt;I219+0.4,0,IF(AND(Y219&lt;=3,L219&lt;=1.5),-V219,0))))</f>
        <v>0</v>
      </c>
      <c r="AE219" s="109">
        <f>IF(Y219=0,0,IF(Y219=0.4,IF(L219&lt;=1.5,IF(OR(Z219+0.4&gt;=4.5,Z219+0.4&lt;3),0,L219*G219*0.4),0),IF(IF(L219&lt;=1.5,IF(Y219&gt;=4.5,M219*G219*1.5,L219*G219*(Y219-3)),0)&lt;0,0,IF(L219&lt;=1.5,IF(Y219&gt;=4.5,M219*G219*1.5,L219*G219*(Y219-3)),0))+IF(S219&lt;I219+0.4,0,IF(AND(Y219&lt;=4.5,L219&lt;=1.5),-V219,0))))</f>
        <v>0</v>
      </c>
      <c r="AF219" s="109">
        <f>IF(L219&lt;=1.5,IF(Z219&gt;=1.5,M219*G219*1.5,L219*G219*Z219),0)+IF(S219&lt;I219,0,IF(AND(Z219&lt;=1.5,L219&lt;=1.5),-V219,0))-V219</f>
        <v>8.94</v>
      </c>
      <c r="AG219" s="109">
        <f>IF(IF(L219&lt;=1.5,IF(Z219&gt;=3,M219*G219*1.5,L219*G219*(Z219-1.5)),0)&lt;0,0,IF(L219&lt;=1.5,IF(Z219&gt;=3,M219*G219*1.5,L219*G219*(Z219-1.5)),0))</f>
        <v>0.6603680000000014</v>
      </c>
      <c r="AH219" s="109">
        <f>IF(IF(IF(L219&lt;=1.5,IF(Z219&gt;=4.5,M219*G219*1.5,L219*G219*(Z219-3)),0)&lt;0,0,IF(L219&lt;=1.5,IF(Z219&gt;=4.5,M219*G219*1.5,L219*G219*(Z219-3)),0))+IF(S219&lt;I219,0,IF(AND(Z219&lt;=4.5,L219&lt;=1.5),-V219,0))&lt;0,0,IF(IF(L219&lt;=1.5,IF(Z219&gt;=4.5,M219*G219*1.5,L219*G219*(Z219-3)),0)&lt;0,0,IF(L219&lt;=1.5,IF(Z219&gt;=4.5,M219*G219*1.5,L219*G219*(Z219-3)),0))+IF(S219&lt;I219,0,IF(AND(Z219&lt;=4.5,L219&lt;=1.5),-V219,0)))</f>
        <v>0</v>
      </c>
      <c r="AI219" s="537" t="str">
        <f>IF(I219&gt;S219,"SIM","NÃO")</f>
        <v>NÃO</v>
      </c>
      <c r="AJ219" s="104">
        <f>W219-SUM(AC219:AH219)</f>
        <v>0</v>
      </c>
      <c r="AK219" s="104">
        <f>IF(I219-T219&lt;0,0,(I219-T219)*G219)/75</f>
        <v>0</v>
      </c>
      <c r="AL219" s="104">
        <f>IF(L219=0,0,G219*L219*I219-PI()*(H219/1000)*(H219/1000)/4*G219+AO219)</f>
        <v>8.8514123113841947</v>
      </c>
      <c r="AM219" s="102">
        <f>IF(L219&lt;1.5,L219*G219*IF(H219&lt;=500,0.05,IF(H219&lt;=800,0.1,IF(H219&lt;=1200,0.15,IF(H219&gt;=1500,0.2)))),0)</f>
        <v>0.29799999999999999</v>
      </c>
      <c r="AN219" s="106">
        <f>IF(L219&gt;=1.5,L219*G219*IF(H219&lt;=500,0.05,IF(H219&lt;=800,0.1,IF(H219&lt;=1200,0.15,IF(H219&gt;=1500,0.2)))),0)</f>
        <v>0</v>
      </c>
      <c r="AO219" s="104">
        <f>IF(R219=1,0.5*G219*L219,0)</f>
        <v>0</v>
      </c>
      <c r="AP219" s="104">
        <f>IF(AO219&lt;SUM(AF219:AH219),0,AO219)</f>
        <v>0</v>
      </c>
      <c r="AQ219" s="104">
        <f>H219/1000+0.3</f>
        <v>0.7</v>
      </c>
      <c r="AR219" s="104">
        <f>IF(D219&lt;&gt;"PROJETADA",0,AQ219*L219*G219-PI()*(H219/1000*H219/1000)/4*G219)</f>
        <v>3.4230443113841931</v>
      </c>
      <c r="AS219" s="104">
        <f>IF(AR219&lt;SUM(AF219:AH219),0,AR219)</f>
        <v>0</v>
      </c>
      <c r="AT219" s="104">
        <f>IF(P219="ASFALTO",0.15*G219*L219,0)</f>
        <v>0.89400000000000002</v>
      </c>
      <c r="AU219" s="104">
        <f>AT219</f>
        <v>0.89400000000000002</v>
      </c>
      <c r="AV219" s="104">
        <f>IF(P219="ASFALTO",0.03*G219*L219,0)</f>
        <v>0.17879999999999999</v>
      </c>
      <c r="AW219" s="104">
        <f>AL219-AO219-SUM(AM219:AN219)-AT219-AU219-AR219</f>
        <v>3.3423680000000013</v>
      </c>
      <c r="AX219" s="104">
        <f>SUM(AF219:AH219)-AO219-AT219-AR219</f>
        <v>5.2833236886158081</v>
      </c>
      <c r="AY219" s="104">
        <f>SMALL(AW219:AX219,1)</f>
        <v>3.3423680000000013</v>
      </c>
      <c r="AZ219" s="104">
        <f>AW219-AY219</f>
        <v>0</v>
      </c>
      <c r="BA219" s="104">
        <f>IF($AZ$246&gt;$BA$248,($BA$248/$AZ$246)*AZ219,AZ219)</f>
        <v>0</v>
      </c>
      <c r="BB219" s="104">
        <f>AZ219-BA219</f>
        <v>0</v>
      </c>
      <c r="BC219" s="104"/>
      <c r="BD219" s="104">
        <f>IF(AO219+AT219&gt;0,4%*(AO219+AT219),0)</f>
        <v>3.576E-2</v>
      </c>
      <c r="BE219" s="108">
        <f>IF(H219=400,I219,0)</f>
        <v>1.6108000000000002</v>
      </c>
      <c r="BF219" s="110">
        <f>IF(BE219&lt;=1.75,G219*IF(D219="PROJETADA",1,0),0)</f>
        <v>5.96</v>
      </c>
      <c r="BG219" s="110">
        <f>IF(AND(BE219&lt;=3,BE219&gt;1.75),IF(D219="PROJETADA",1,0)*G219,0)</f>
        <v>0</v>
      </c>
      <c r="BH219" s="105" t="str">
        <f>VLOOKUP(A219,'BOCA DE LOBO'!C:I,7,0)</f>
        <v>BOCA DE LOBO PROJETADA DUPLA</v>
      </c>
      <c r="BI219" s="104">
        <f>IF(BH219=$BI$198,1,0)</f>
        <v>0</v>
      </c>
      <c r="BJ219" s="104">
        <f>IF(BH219=$BJ$198,1,0)</f>
        <v>0</v>
      </c>
      <c r="BK219" s="104">
        <f>IF(BH219=$BK$198,1,0)</f>
        <v>0</v>
      </c>
      <c r="BL219" s="104">
        <f>IF(BH219=$BL$198,1,0)</f>
        <v>0</v>
      </c>
      <c r="BM219" s="104">
        <f>IF(BH219=$BM$198,1,0)</f>
        <v>0</v>
      </c>
      <c r="BN219" s="104">
        <f>IF(BH219=$BN$198,1,0)</f>
        <v>1</v>
      </c>
      <c r="BO219" s="104">
        <f>IF(BH219=$BO$198,1,0)</f>
        <v>0</v>
      </c>
      <c r="BP219" s="111"/>
      <c r="BQ219" s="108">
        <f>IF(L219&lt;=1.5,IF(I219+IF(R219=1,0.5,0)&lt;1.5,(I219+IF(R219=1,0.5,0))*G219*2,G219*2*1.5),0)</f>
        <v>17.88</v>
      </c>
      <c r="BR219" s="108">
        <f>IF(L219&lt;=1.5,IF(AND(I219+IF(R219=1,0.5,0)&lt;3,I219+IF(R219=1,0.5,0)&gt;1.5),(I219+IF(R219=1,0.5,0)-1.5)*G219*2,IF(I219+IF(R219=1,0.5,0)&gt;=3,(G219*2*1.5),0)),0)</f>
        <v>1.3207360000000028</v>
      </c>
      <c r="BS219" s="108">
        <f>IF(L219&lt;=1.5,IF(AND(I219+IF(R219=1,0.5,0)&lt;4.5,I219+IF(R219=1,0.5,0)&gt;3),(I219+IF(R219=1,0.5,0)-3)*G219*2,IF(I219+IF(R219=1,0.5,0)&gt;=4.5,(G219*2*1.5),0)),0)</f>
        <v>0</v>
      </c>
      <c r="BV219" s="538">
        <f>IF(OR("BOCA DE LOBO EXISTENTE TRIPLA"=BH219,"BOCA DE LOBO EXISTENTE SIMPLES"=BH219,"BOCA DE LOBO EXISTENTE DUPLA"=BH219),0,IF("BOCA DE LOBO PROJETADA DUPLA"=BH219,(2.57+1)*(1.18+1),IF(OR("BOCA DE LOBO DUPLA EXISTENTE COM BOCA DE LOBO SIMPLES PROJETADA"=BH219,"BOCA DE LOBO SIMPLES EXISTENTE COM BOCA DE LOBO SIMPLES PROJETADA"=BH219),(1.18+0.5)*(1.18+1),IF(OR(BH219="BOCA DE LOBO DUPLA EXISTENTE COM BOCA DE LOBO DUPLA PROJETADA",BH219="BOCA DE LOBO SIMPLES EXISTENTE COM BOCA DE LOBO DUPLA PROJETADA"),(2.38+0.5)*(1.18+1),IF("BOCA DE LOBO PROJETADA TRIPLA"=BH219,(3.76+1)*(1.18+1),IF("BOCA DE LOBO PROJETADA QUADRUPLA"=BH219,(4.92+1)*(1.18+1),"X"))))))*(E219+IF(CA219&gt;0,0.5,0))</f>
        <v>10.596788159999999</v>
      </c>
      <c r="BW219" s="538">
        <f>IF(OR("BOCA DE LOBO EXISTENTE TRIPLA"=BH219,"BOCA DE LOBO EXISTENTE SIMPLES"=BH219,"BOCA DE LOBO EXISTENTE DUPLA"=BH219,"BOCA DE LOBO EXISTENTE QUADRUPLA"=BH219),0,IF("BOCA DE LOBO PROJETADA DUPLA"=BH219,(2.57+1)*(1.18+1),IF(OR("BOCA DE LOBO DUPLA EXISTENTE COM BOCA DE LOBO SIMPLES PROJETADA"=BH219,"BOCA DE LOBO SIMPLES EXISTENTE COM BOCA DE LOBO SIMPLES PROJETADA"=BH219),(1.18+1)*(1.18+0.5),IF(OR(BH219="BOCA DE LOBO DUPLA EXISTENTE COM BOCA DE LOBO DUPLA PROJETADA",BH219="BOCA DE LOBO SIMPLES EXISTENTE COM BOCA DE LOBO DUPLA PROJETADA"),(2.38+0.5)*(1.18+1),IF("BOCA DE LOBO PROJETADA TRIPLA"=BH219,(3.76+0.5*2)*(1.18+1),IF("BOCA DE LOBO PROJETADA QUADRUPLA"=BH219,(4.92+0.5*2)*(1.18+1),"X"))))))</f>
        <v>7.7825999999999986</v>
      </c>
      <c r="BX219" s="538">
        <f>IF(OR("BOCA DE LOBO EXISTENTE TRIPLA"=BH219,"BOCA DE LOBO EXISTENTE SIMPLES"=BH219,"BOCA DE LOBO EXISTENTE DUPLA"=BH219,"BOCA DE LOBO EXISTENTE QUADRUPLA"=BH219),0,IF("BOCA DE LOBO PROJETADA DUPLA"=BH219,(2.57)*(1.18),IF(OR("BOCA DE LOBO DUPLA EXISTENTE COM BOCA DE LOBO SIMPLES PROJETADA"=BH219,"BOCA DE LOBO SIMPLES EXISTENTE COM BOCA DE LOBO SIMPLES PROJETADA"=BH219),(1.18)*(1.18),IF(OR(BH219="BOCA DE LOBO DUPLA EXISTENTE COM BOCA DE LOBO DUPLA PROJETADA",BH219="BOCA DE LOBO SIMPLES EXISTENTE COM BOCA DE LOBO DUPLA PROJETADA"),(2.38)*(1.18),IF("BOCA DE LOBO PROJETADA TRIPLA"=BH219,(3.76)*(1.18),IF("BOCA DE LOBO PROJETADA QUADRUPLA"=BH219,(4.92)*(1.18),"X"))))))</f>
        <v>3.0325999999999995</v>
      </c>
      <c r="BY219" s="538">
        <f>E219</f>
        <v>1.3616000000000001</v>
      </c>
      <c r="BZ219" s="538">
        <f>IF(Y219&gt;0.5,0,IF(S219&lt;E219,S219,E219))</f>
        <v>1.3616000000000001</v>
      </c>
      <c r="CA219" s="538">
        <f>IF(Y219&gt;0.4,BY219+0.4,Y219)</f>
        <v>0</v>
      </c>
      <c r="CB219" s="538">
        <f>IF(S219&gt;E219,0,E219-S219)</f>
        <v>0</v>
      </c>
      <c r="CC219" s="538">
        <f>IF(BZ219&gt;1.5,BW219*1.5,BW219*BZ219)</f>
        <v>10.596788159999999</v>
      </c>
      <c r="CD219" s="538">
        <f>IF(BZ219&gt;1.5,BW219*(BZ219-1.5),0)</f>
        <v>0</v>
      </c>
      <c r="CE219" s="538">
        <f>IF(CA219=0.4,IF(BZ219+CA219&gt;1.5,0,CA219*BW219),IF(CA219&gt;1.5,BW219*1.5,BW219*CA219))</f>
        <v>0</v>
      </c>
      <c r="CF219" s="538">
        <f>IF(CA219=0.4,IF(BZ219+CA219&lt;=1.5,0,CA219*BW219),IF(CA219&gt;1.5,BW219*(CA219-1.5),0))</f>
        <v>0</v>
      </c>
      <c r="CG219" s="538">
        <f>BV219-SUM(CC219:CF219)</f>
        <v>0</v>
      </c>
      <c r="CH219" s="538">
        <f>SUM(CC219:CG219)-BV219</f>
        <v>0</v>
      </c>
      <c r="CI219" s="104">
        <f t="shared" ref="CI219:CI245" si="1927">IF(OR("BOCA DE LOBO EXISTENTE TRIPLA"=BH219,"BOCA DE LOBO EXISTENTE SIMPLES"=BH219,"BOCA DE LOBO EXISTENTE DUPLA"=BH219),0,IF("BOCA DE LOBO PROJETADA DUPLA"=BH219,(2.57+1)*(0.5),IF(OR("BOCA DE LOBO DUPLA EXISTENTE COM BOCA DE LOBO SIMPLES PROJETADA"=BH219,"BOCA DE LOBO SIMPLES EXISTENTE COM BOCA DE LOBO SIMPLES PROJETADA"=BH219),(1.18+0.5)*(0.5),IF(OR(BH219="BOCA DE LOBO DUPLA EXISTENTE COM BOCA DE LOBO DUPLA PROJETADA",BH219="BOCA DE LOBO SIMPLES EXISTENTE COM BOCA DE LOBO DUPLA PROJETADA"),(2.38+0.5)*(0.5),IF("BOCA DE LOBO PROJETADA TRIPLA"=BH219,(3.76+1)*(0.5),IF("BOCA DE LOBO PROJETADA QUADRUPLA"=BH219,(4.92+1)*(0.5),"X")))))*0.3)</f>
        <v>0.53549999999999998</v>
      </c>
      <c r="CJ219" s="538">
        <f>(BW219-BX219)*(BY219+IF(CA219&gt;=0.4,0.4,0))-CI219</f>
        <v>5.9320999999999993</v>
      </c>
      <c r="CK219" s="538">
        <f>IF($CK$248&gt;$CJ$246,CJ219,CJ219*$CK$248/$CJ$246)</f>
        <v>5.9320999999999993</v>
      </c>
      <c r="CL219" s="538">
        <f>CJ219-CK219</f>
        <v>0</v>
      </c>
      <c r="CM219" s="538">
        <f>IF(CA219&gt;0,0.5*4%*BW219,0)</f>
        <v>0</v>
      </c>
      <c r="CN219" s="538">
        <f t="shared" si="1841"/>
        <v>3.57</v>
      </c>
      <c r="CO219" s="538">
        <f>IF(CA219&gt;0,BY219+0.5,BY219)</f>
        <v>1.3616000000000001</v>
      </c>
      <c r="CP219" s="538">
        <f>IF(CO219&gt;=1.5,CN219*1.5*2,CN219*CO219*2)</f>
        <v>9.7218239999999998</v>
      </c>
      <c r="CQ219" s="538">
        <f>IF(CO219&lt;=1.5,0,IF(CO219&gt;=3,CN219*1.5*2,CN219*(CO219-1.5)*2))</f>
        <v>0</v>
      </c>
      <c r="CR219" s="539">
        <f>IF(D219="AMPLIADA",0.55*(E219-0.5),0)</f>
        <v>0</v>
      </c>
      <c r="CS219" s="540">
        <f>IF(OR("BOCA DE LOBO EXISTENTE TRIPLA"=BH219,"BOCA DE LOBO EXISTENTE SIMPLES"=BH219,"BOCA DE LOBO EXISTENTE DUPLA"=BH219,"BOCA DE LOBO EXISTENTE QUADRUPLA"=BH219),0,IF("BOCA DE LOBO PROJETADA DUPLA"=BH219,(0),IF(OR("BOCA DE LOBO DUPLA EXISTENTE COM BOCA DE LOBO SIMPLES PROJETADA"=BH219,"BOCA DE LOBO SIMPLES EXISTENTE COM BOCA DE LOBO SIMPLES PROJETADA"=BH219),(0.8*0.15*0.17),IF(OR(BH219="BOCA DE LOBO DUPLA EXISTENTE COM BOCA DE LOBO DUPLA PROJETADA",BH219="BOCA DE LOBO SIMPLES EXISTENTE COM BOCA DE LOBO DUPLA PROJETADA"),(0.8*0.15*0.17),IF("BOCA DE LOBO PROJETADA TRIPLA"=BH219,(0),IF("BOCA DE LOBO PROJETADA QUADRUPLA"=BH219,(0),"X")))))*E219)</f>
        <v>0</v>
      </c>
      <c r="CT219" s="540">
        <f>IF(OR("BOCA DE LOBO EXISTENTE TRIPLA"=BH219,"BOCA DE LOBO EXISTENTE SIMPLES"=BH219,"BOCA DE LOBO EXISTENTE DUPLA"=BH219,"BOCA DE LOBO EXISTENTE QUADRUPLA"=BH219),0,IF("BOCA DE LOBO PROJETADA DUPLA"=BH219,(1.18*2.57*0.05),IF(OR("BOCA DE LOBO DUPLA EXISTENTE COM BOCA DE LOBO SIMPLES PROJETADA"=BH219,"BOCA DE LOBO SIMPLES EXISTENTE COM BOCA DE LOBO SIMPLES PROJETADA"=BH219),(1.19*1.18*0.05),IF(OR(BH219="BOCA DE LOBO DUPLA EXISTENTE COM BOCA DE LOBO DUPLA PROJETADA",BH219="BOCA DE LOBO SIMPLES EXISTENTE COM BOCA DE LOBO DUPLA PROJETADA"),(2.38*1.18*0.056),IF("BOCA DE LOBO PROJETADA TRIPLA"=BH219,(3.76*1.18*0.05),IF("BOCA DE LOBO PROJETADA QUADRUPLA"=BH219,(4.92*1.18*0.05),"X")))))+CI219/3)</f>
        <v>0.33012999999999998</v>
      </c>
      <c r="CU219" s="541">
        <f>IF(OR("BOCA DE LOBO EXISTENTE TRIPLA"=BH219,"BOCA DE LOBO EXISTENTE SIMPLES"=BH219,"BOCA DE LOBO EXISTENTE DUPLA"=BH219,"BOCA DE LOBO EXISTENTE QUADRUPLA"=BH219),0,IF("BOCA DE LOBO PROJETADA DUPLA"=BH219,(1*4+0.6*2),IF(OR("BOCA DE LOBO DUPLA EXISTENTE COM BOCA DE LOBO SIMPLES PROJETADA"=BH219,"BOCA DE LOBO SIMPLES EXISTENTE COM BOCA DE LOBO SIMPLES PROJETADA"=BH219),(1*2+0.6),IF(OR(BH219="BOCA DE LOBO DUPLA EXISTENTE COM BOCA DE LOBO DUPLA PROJETADA",BH219="BOCA DE LOBO SIMPLES EXISTENTE COM BOCA DE LOBO DUPLA PROJETADA"),(1*4+0.6),IF("BOCA DE LOBO PROJETADA TRIPLA"=BH219,(6*1+0.6*2),IF("BOCA DE LOBO PROJETADA QUADRUPLA"=BH219,(8*1+0.6*2),"X")))))*E219)</f>
        <v>7.0803200000000013</v>
      </c>
      <c r="CV219" s="538">
        <f>IF(OR("BOCA DE LOBO EXISTENTE TRIPLA"=BH219,"BOCA DE LOBO EXISTENTE SIMPLES"=BH219,"BOCA DE LOBO EXISTENTE DUPLA"=BH219,"BOCA DE LOBO EXISTENTE QUADRUPLA"=BH219),0,IF("BOCA DE LOBO PROJETADA DUPLA"=BH219,(12*E219*0.17*0.15+1*0.17*0.15*5+1.09*0.6*0.07*2+2.57*1.18*0.15),IF(OR("BOCA DE LOBO DUPLA EXISTENTE COM BOCA DE LOBO SIMPLES PROJETADA"=BH219,"BOCA DE LOBO SIMPLES EXISTENTE COM BOCA DE LOBO SIMPLES PROJETADA"=BH219),(8*E219*0.17*0.15+1*0.17*0.15*4+1.09*0.6*0.07*1+1.38*1.18*0.15),IF(OR(BH219="BOCA DE LOBO DUPLA EXISTENTE COM BOCA DE LOBO DUPLA PROJETADA",BH219="BOCA DE LOBO SIMPLES EXISTENTE COM BOCA DE LOBO DUPLA PROJETADA"),(7*E219*0.17*0.15+1*0.17*0.15*5+1.09*0.6*0.07*2+2.38*1.18*0.15),IF("BOCA DE LOBO PROJETADA TRIPLA"=BH219,(15*E219*0.17*0.15+1*0.17*0.15*7+1.09*0.6*0.07*3+3.76*1.18*0.15),IF("BOCA DE LOBO PROJETADA QUADRUPLA"=BH219,(19*E219*0.17*0.15+1*0.17*0.15*9+1.09*0.6*0.07*4+4.92*1.18*0.15),"X"))))))</f>
        <v>1.0905996</v>
      </c>
      <c r="CW219" s="538">
        <f>IF(OR("BOCA DE LOBO EXISTENTE TRIPLA"=BH219,"BOCA DE LOBO EXISTENTE SIMPLES"=BH219,"BOCA DE LOBO EXISTENTE DUPLA"=BH219,"BOCA DE LOBO EXISTENTE QUADRUPLA"=BH219),0,IF("BOCA DE LOBO PROJETADA DUPLA"=BH219,(12*E219*2*(0.17+0.15)+1*(2*0.17+0.15)*5+2*(2.57+1.18)*0.15+(1.09+0.6)*2*0.07*2),IF(OR("BOCA DE LOBO DUPLA EXISTENTE COM BOCA DE LOBO SIMPLES PROJETADA"=BH219,"BOCA DE LOBO SIMPLES EXISTENTE COM BOCA DE LOBO SIMPLES PROJETADA"=BH219),(8*E219*2*(0.17+0.15)+1*(2*0.17+0.15)*4+2*(1.38+1.18)*0.15+(1.09+0.6)*2*0.07*1),IF(OR(BH219="BOCA DE LOBO DUPLA EXISTENTE COM BOCA DE LOBO DUPLA PROJETADA",BH219="BOCA DE LOBO SIMPLES EXISTENTE COM BOCA DE LOBO DUPLA PROJETADA"),(7*E219*2*(0.17+0.15)+1*(2*0.17+0.15)*5+2*(2.38+1.18)*0.15+(1.09+0.6)*2*0.07*2),IF("BOCA DE LOBO PROJETADA TRIPLA"=BH219,(15*E219*2*(0.17+0.15)+1*(2*0.17+0.15)*7+2*(3.76+1.18)*0.15+(1.09+0.6)*2*0.07*3),IF("BOCA DE LOBO PROJETADA QUADRUPLA"=BH219,(19*E219*2*(0.17+0.15)+1*(2*0.17+0.15)*7+2*(4.92+1.18)*0.15+(1.09+0.6)*2*0.07*4),"X"))))))</f>
        <v>14.505288000000002</v>
      </c>
      <c r="CX219" s="104">
        <f>IF(OR("BOCA DE LOBO EXISTENTE TRIPLA"=BH219,"BOCA DE LOBO EXISTENTE SIMPLES"=BH219,"BOCA DE LOBO EXISTENTE DUPLA"=BH219,"BOCA DE LOBO EXISTENTE QUADRUPLA"=BH219),0,IF("BOCA DE LOBO PROJETADA DUPLA"=BH219,(2.57+1),IF(OR("BOCA DE LOBO DUPLA EXISTENTE COM BOCA DE LOBO SIMPLES PROJETADA"=BH219,"BOCA DE LOBO SIMPLES EXISTENTE COM BOCA DE LOBO SIMPLES PROJETADA"=BH219),(1.18+0.5),IF(OR(BH219="BOCA DE LOBO DUPLA EXISTENTE COM BOCA DE LOBO DUPLA PROJETADA",BH219="BOCA DE LOBO SIMPLES EXISTENTE COM BOCA DE LOBO DUPLA PROJETADA"),(2.38+0.5),IF("BOCA DE LOBO PROJETADA TRIPLA"=BH219,(3.76+1),IF("BOCA DE LOBO PROJETADA QUADRUPLA"=BH219,(4.92+1),"X"))))))</f>
        <v>3.57</v>
      </c>
      <c r="CY219" s="542">
        <f>CX219*0.5</f>
        <v>1.7849999999999999</v>
      </c>
      <c r="CZ219" s="538">
        <f>IF(AND(C219="EXISTENTE",D219="PROJETADA"),PI()*0.51*0.51/4*0.12,0)</f>
        <v>0</v>
      </c>
    </row>
    <row r="220" spans="1:104" ht="14.5" x14ac:dyDescent="0.35">
      <c r="A220" s="325" t="str">
        <f>'BOCA DE LOBO'!A198</f>
        <v>EXISTENTE</v>
      </c>
      <c r="B220" s="87"/>
      <c r="C220" s="87"/>
      <c r="D220" s="87"/>
      <c r="E220" s="88"/>
      <c r="F220" s="88"/>
      <c r="G220" s="88"/>
      <c r="H220" s="82"/>
      <c r="I220" s="82"/>
      <c r="J220" s="82"/>
      <c r="K220" s="82"/>
      <c r="L220" s="90"/>
      <c r="M220" s="90"/>
      <c r="N220" s="90"/>
      <c r="O220" s="90"/>
      <c r="P220" s="89"/>
      <c r="Q220" s="89"/>
      <c r="R220" s="89"/>
      <c r="S220" s="89"/>
      <c r="T220" s="89"/>
      <c r="U220" s="90"/>
      <c r="V220" s="91"/>
      <c r="W220" s="92"/>
      <c r="X220" s="92"/>
      <c r="Y220" s="92"/>
      <c r="Z220" s="92"/>
      <c r="AA220" s="92"/>
      <c r="AB220" s="93"/>
      <c r="AC220" s="94"/>
      <c r="AD220" s="94"/>
      <c r="AE220" s="94"/>
      <c r="AF220" s="94"/>
      <c r="AG220" s="94"/>
      <c r="AH220" s="94"/>
      <c r="AI220" s="81"/>
      <c r="AJ220" s="82"/>
      <c r="AK220" s="82"/>
      <c r="AL220" s="82"/>
      <c r="AM220" s="82"/>
      <c r="AN220" s="83"/>
      <c r="AO220" s="82"/>
      <c r="AP220" s="82"/>
      <c r="AQ220" s="82"/>
      <c r="AR220" s="82"/>
      <c r="AS220" s="82"/>
      <c r="AT220" s="82"/>
      <c r="AU220" s="82"/>
      <c r="AV220" s="82"/>
      <c r="AW220" s="82"/>
      <c r="AX220" s="82"/>
      <c r="AY220" s="82"/>
      <c r="AZ220" s="82"/>
      <c r="BA220" s="82"/>
      <c r="BB220" s="82"/>
      <c r="BC220" s="82"/>
      <c r="BD220" s="82"/>
      <c r="BE220" s="95"/>
      <c r="BF220" s="79"/>
      <c r="BG220" s="79"/>
      <c r="BH220" s="569"/>
      <c r="BI220" s="96"/>
      <c r="BJ220" s="96"/>
      <c r="BK220" s="96"/>
      <c r="BL220" s="96"/>
      <c r="BM220" s="96"/>
      <c r="BN220" s="570"/>
      <c r="BO220" s="571"/>
      <c r="BP220" s="572"/>
      <c r="BQ220" s="79"/>
      <c r="BR220" s="79"/>
      <c r="BS220" s="79"/>
      <c r="BV220" s="539"/>
      <c r="BW220" s="539"/>
      <c r="BX220" s="539"/>
      <c r="BY220" s="539"/>
      <c r="BZ220" s="539"/>
      <c r="CA220" s="539"/>
      <c r="CB220" s="539"/>
      <c r="CC220" s="539"/>
      <c r="CD220" s="539"/>
      <c r="CE220" s="539"/>
      <c r="CF220" s="539"/>
      <c r="CG220" s="539"/>
      <c r="CH220" s="539"/>
      <c r="CI220" s="104"/>
      <c r="CJ220" s="539"/>
      <c r="CK220" s="539"/>
      <c r="CL220" s="539"/>
      <c r="CM220" s="539"/>
      <c r="CN220" s="539"/>
      <c r="CO220" s="539"/>
      <c r="CP220" s="539"/>
      <c r="CQ220" s="539"/>
      <c r="CR220" s="539"/>
      <c r="CS220" s="540"/>
      <c r="CT220" s="540"/>
      <c r="CU220" s="541"/>
      <c r="CV220" s="541"/>
      <c r="CW220" s="538"/>
      <c r="CY220" s="538"/>
    </row>
    <row r="221" spans="1:104" s="112" customFormat="1" ht="25" x14ac:dyDescent="0.25">
      <c r="A221" s="100" t="str">
        <f>'BOCA DE LOBO'!C199</f>
        <v>BL16-&gt;PV3-55</v>
      </c>
      <c r="B221" s="100" t="str">
        <f>'BOCA DE LOBO'!A199</f>
        <v>PV3-55</v>
      </c>
      <c r="C221" s="100" t="str">
        <f>VLOOKUP(A221,'BOCA DE LOBO'!C:F,3,0)</f>
        <v>EXISTENTE</v>
      </c>
      <c r="D221" s="100" t="str">
        <f>VLOOKUP(A221,'BOCA DE LOBO'!C:M,10,0)</f>
        <v>EXISTENTE</v>
      </c>
      <c r="E221" s="100">
        <f t="shared" ref="E221:E245" si="1928">IF(F221-G221*4%&lt;2.5,F221-G221*4%,2.5)</f>
        <v>2.1000000000000227</v>
      </c>
      <c r="F221" s="100">
        <f>VLOOKUP(A221,'BOCA DE LOBO'!$C$178:$L$224,2,0)</f>
        <v>2.1000000000000227</v>
      </c>
      <c r="G221" s="100">
        <f>VLOOKUP(A221,'BOCA DE LOBO'!$C$178:$L$224,4,0)</f>
        <v>0</v>
      </c>
      <c r="H221" s="101">
        <v>400</v>
      </c>
      <c r="I221" s="102">
        <f t="shared" ref="I221:I245" si="1929">IF(H221=400,((E221+F221)/2)+0.08+U221,IF(H221=500,((E221+F221)/2)+0.1+U221,IF(H221=600,((E221+F221)/2)+0.12+U221,IF(H221=800,((E221+F221)/2)+0.16+U221,IF(H221=1000,((E221+F221)/2)+0.2+U221,IF(H221=1200,((E221+F221)/2)+0.24+U221,IF(H221=1500,((E221+F221)/2)+0.3+U221,IF(H221&gt;1500,((E221+F221)/2)+0.4+U221))))))))</f>
        <v>2.2300000000000226</v>
      </c>
      <c r="J221" s="102">
        <f t="shared" ref="J221:J245" si="1930">IF(L221=0,0,IF(I221&gt;=1.25,G221*I221/20,0))</f>
        <v>0</v>
      </c>
      <c r="K221" s="103">
        <v>0</v>
      </c>
      <c r="L221" s="104">
        <f t="shared" ref="L221:L245" si="1931">IF(D221&lt;&gt;"PROJETADA",0,IF(H221=400,1,0)+IF(H221=500,1.2,0)+IF(H221=600,1.4,0)+IF(H221=800,1.7,0)+IF(H221=1000,2,0)+IF(H221=1200,2.2,0)+IF(H221=1500,2.6,0)+IF(H221=1650,3,0)+IF(H221=1800,3.2,0)+IF(H221=2000,3.4,0)+IF(H221=2200,3.6,0)+IF(H221=2400,3.8,0)+IF(H221=2600,4,0)+IF(H221=3000,4.4,0))</f>
        <v>0</v>
      </c>
      <c r="M221" s="104">
        <f t="shared" ref="M221:M245" si="1932">2*K221*I221+L221</f>
        <v>0</v>
      </c>
      <c r="N221" s="104">
        <f t="shared" ref="N221:N245" si="1933">IF(OR(D221="EXISTENTE",D221="AMPLIADA"),400,0)</f>
        <v>400</v>
      </c>
      <c r="O221" s="104">
        <f t="shared" ref="O221:O245" si="1934">IF(P221="TERRENO NATURAL",0,M221*G221)</f>
        <v>0</v>
      </c>
      <c r="P221" s="105" t="s">
        <v>2179</v>
      </c>
      <c r="Q221" s="468" t="s">
        <v>2066</v>
      </c>
      <c r="R221" s="105"/>
      <c r="S221" s="105">
        <f>VLOOKUP(Q221,Quantitativos!P:R,3,0)</f>
        <v>5</v>
      </c>
      <c r="T221" s="105">
        <f>VLOOKUP(Q221,Quantitativos!P:S,4,0)</f>
        <v>5</v>
      </c>
      <c r="U221" s="104">
        <f t="shared" ref="U221:U245" si="1935">IF(H221=400,0.05,0)+IF(H221=500,0.05,0)+IF(H221=600,0.1,0)+IF(H221=800,0.1,0)+IF(H221=1000,0.15,0)+IF(H221=1200,0.15,0)+IF(H221=1500,0.2,0)+IF(H221=1650,0.2,0)+IF(H221=1800,0.2,0)+IF(H221=2000,0.25,0)+IF(H221=2200,0.25,0)+IF(H221=2400,0.25,0)+IF(H221=2600,0.25,0)+IF(H221=3000,0.25,0)</f>
        <v>0.05</v>
      </c>
      <c r="V221" s="106">
        <f t="shared" ref="V221:V245" si="1936">IF(L221=0,0,IF("EXISTENTE"=C221,0,IFERROR((PI()*(N221/1000)*(N221/1000)/4)*G221,0)))</f>
        <v>0</v>
      </c>
      <c r="W221" s="106">
        <f t="shared" ref="W221:W245" si="1937">IF(O221=0,0,((((K221*I221)*I221)/2)*2+L221*I221)*G221-V221+AO221)</f>
        <v>0</v>
      </c>
      <c r="X221" s="107">
        <f t="shared" ref="X221:X245" si="1938">W221-SUM(AC221:AJ221)</f>
        <v>0</v>
      </c>
      <c r="Y221" s="107">
        <f t="shared" ref="Y221:Y245" si="1939">IF(R221=1,IF(N221=0,I221+0.4,0.4),0)</f>
        <v>0</v>
      </c>
      <c r="Z221" s="107">
        <f t="shared" ref="Z221:Z245" si="1940">IF(Y221&gt;0.5,0,IF(S221&lt;I221,S221,I221))</f>
        <v>2.2300000000000226</v>
      </c>
      <c r="AA221" s="107">
        <f t="shared" ref="AA221:AA245" si="1941">I221-Z221</f>
        <v>0</v>
      </c>
      <c r="AB221" s="108">
        <f t="shared" ref="AB221:AB245" si="1942">IF(P221="ASFALTO",IF(D221="PROJETADA",O221,IF(D221="EXISTENTE",0,O221/2)),0)</f>
        <v>0</v>
      </c>
      <c r="AC221" s="109">
        <f t="shared" ref="AC221:AC245" si="1943">IF(Y221=0,0,IF(Y221=0.4,IF(L221&lt;=1.5,IF(Z221+0.4&gt;=1.5,0,L221*G221*0.4),0),IF(L221&lt;=1.5,IF(Y221&gt;=1.5,M221*G221*1.5,L221*G221*(Y221)),0)+IF(S221&lt;I221+0.4,0,IF(AND(Y221&lt;=1.5,L221&lt;=1.5),-V221,0))))</f>
        <v>0</v>
      </c>
      <c r="AD221" s="109">
        <f t="shared" ref="AD221:AD245" si="1944">IF(Y221=0,0,IF(Y221=0.4,IF(L221&lt;=1.5,IF(OR(Z221+0.4&gt;=3,Z221+0.4&lt;1.5),0,L221*G221*0.4),0),IF(IF(L221&lt;=1.5,IF(Y221&gt;=3,M221*G221*1.5,L221*G221*(Y221-1.5)),0)&lt;0,0,IF(L221&lt;=1.5,IF(Y221&gt;=3,M221*G221*1.5,L221*G221*(Y221-1.5)),0))+IF(S221&lt;I221+0.4,0,IF(AND(Y221&lt;=3,L221&lt;=1.5),-V221,0))))</f>
        <v>0</v>
      </c>
      <c r="AE221" s="109">
        <f t="shared" ref="AE221:AE245" si="1945">IF(Y221=0,0,IF(Y221=0.4,IF(L221&lt;=1.5,IF(OR(Z221+0.4&gt;=4.5,Z221+0.4&lt;3),0,L221*G221*0.4),0),IF(IF(L221&lt;=1.5,IF(Y221&gt;=4.5,M221*G221*1.5,L221*G221*(Y221-3)),0)&lt;0,0,IF(L221&lt;=1.5,IF(Y221&gt;=4.5,M221*G221*1.5,L221*G221*(Y221-3)),0))+IF(S221&lt;I221+0.4,0,IF(AND(Y221&lt;=4.5,L221&lt;=1.5),-V221,0))))</f>
        <v>0</v>
      </c>
      <c r="AF221" s="109">
        <f t="shared" ref="AF221:AF245" si="1946">IF(L221&lt;=1.5,IF(Z221&gt;=1.5,M221*G221*1.5,L221*G221*Z221),0)+IF(S221&lt;I221,0,IF(AND(Z221&lt;=1.5,L221&lt;=1.5),-V221,0))-V221</f>
        <v>0</v>
      </c>
      <c r="AG221" s="109">
        <f t="shared" ref="AG221:AG245" si="1947">IF(IF(L221&lt;=1.5,IF(Z221&gt;=3,M221*G221*1.5,L221*G221*(Z221-1.5)),0)&lt;0,0,IF(L221&lt;=1.5,IF(Z221&gt;=3,M221*G221*1.5,L221*G221*(Z221-1.5)),0))</f>
        <v>0</v>
      </c>
      <c r="AH221" s="109">
        <f t="shared" ref="AH221:AH245" si="1948">IF(IF(IF(L221&lt;=1.5,IF(Z221&gt;=4.5,M221*G221*1.5,L221*G221*(Z221-3)),0)&lt;0,0,IF(L221&lt;=1.5,IF(Z221&gt;=4.5,M221*G221*1.5,L221*G221*(Z221-3)),0))+IF(S221&lt;I221,0,IF(AND(Z221&lt;=4.5,L221&lt;=1.5),-V221,0))&lt;0,0,IF(IF(L221&lt;=1.5,IF(Z221&gt;=4.5,M221*G221*1.5,L221*G221*(Z221-3)),0)&lt;0,0,IF(L221&lt;=1.5,IF(Z221&gt;=4.5,M221*G221*1.5,L221*G221*(Z221-3)),0))+IF(S221&lt;I221,0,IF(AND(Z221&lt;=4.5,L221&lt;=1.5),-V221,0)))</f>
        <v>0</v>
      </c>
      <c r="AI221" s="537" t="str">
        <f t="shared" ref="AI221:AI245" si="1949">IF(I221&gt;S221,"SIM","NÃO")</f>
        <v>NÃO</v>
      </c>
      <c r="AJ221" s="104">
        <f t="shared" ref="AJ221:AJ245" si="1950">W221-SUM(AC221:AH221)</f>
        <v>0</v>
      </c>
      <c r="AK221" s="104">
        <f t="shared" ref="AK221:AK245" si="1951">IF(I221-T221&lt;0,0,(I221-T221)*G221)/75</f>
        <v>0</v>
      </c>
      <c r="AL221" s="104">
        <f t="shared" ref="AL221:AL245" si="1952">IF(L221=0,0,G221*L221*I221-PI()*(H221/1000)*(H221/1000)/4*G221+AO221)</f>
        <v>0</v>
      </c>
      <c r="AM221" s="102">
        <f t="shared" ref="AM221:AM245" si="1953">IF(L221&lt;1.5,L221*G221*IF(H221&lt;=500,0.05,IF(H221&lt;=800,0.1,IF(H221&lt;=1200,0.15,IF(H221&gt;=1500,0.2)))),0)</f>
        <v>0</v>
      </c>
      <c r="AN221" s="106">
        <f t="shared" ref="AN221:AN245" si="1954">IF(L221&gt;=1.5,L221*G221*IF(H221&lt;=500,0.05,IF(H221&lt;=800,0.1,IF(H221&lt;=1200,0.15,IF(H221&gt;=1500,0.2)))),0)</f>
        <v>0</v>
      </c>
      <c r="AO221" s="104">
        <f t="shared" ref="AO221:AO245" si="1955">IF(R221=1,0.5*G221*L221,0)</f>
        <v>0</v>
      </c>
      <c r="AP221" s="104">
        <f t="shared" ref="AP221:AP245" si="1956">IF(AO221&lt;SUM(AF221:AH221),0,AO221)</f>
        <v>0</v>
      </c>
      <c r="AQ221" s="104">
        <f t="shared" ref="AQ221:AQ245" si="1957">H221/1000+0.3</f>
        <v>0.7</v>
      </c>
      <c r="AR221" s="104">
        <f t="shared" ref="AR221:AR245" si="1958">IF(D221&lt;&gt;"PROJETADA",0,AQ221*L221*G221-PI()*(H221/1000*H221/1000)/4*G221)</f>
        <v>0</v>
      </c>
      <c r="AS221" s="104">
        <f t="shared" ref="AS221:AS245" si="1959">IF(AR221&lt;SUM(AF221:AH221),0,AR221)</f>
        <v>0</v>
      </c>
      <c r="AT221" s="104">
        <f t="shared" ref="AT221:AT245" si="1960">IF(P221="ASFALTO",0.15*G221*L221,0)</f>
        <v>0</v>
      </c>
      <c r="AU221" s="104">
        <f t="shared" ref="AU221:AU245" si="1961">AT221</f>
        <v>0</v>
      </c>
      <c r="AV221" s="104">
        <f t="shared" ref="AV221:AV245" si="1962">IF(P221="ASFALTO",0.03*G221*L221,0)</f>
        <v>0</v>
      </c>
      <c r="AW221" s="104">
        <f t="shared" ref="AW221:AW245" si="1963">AL221-AO221-SUM(AM221:AN221)-AT221-AU221-AR221</f>
        <v>0</v>
      </c>
      <c r="AX221" s="104">
        <f t="shared" ref="AX221:AX245" si="1964">SUM(AF221:AH221)-AO221-AT221-AR221</f>
        <v>0</v>
      </c>
      <c r="AY221" s="104">
        <f t="shared" ref="AY221:AY245" si="1965">SMALL(AW221:AX221,1)</f>
        <v>0</v>
      </c>
      <c r="AZ221" s="104">
        <f t="shared" ref="AZ221:AZ245" si="1966">AW221-AY221</f>
        <v>0</v>
      </c>
      <c r="BA221" s="104">
        <f t="shared" ref="BA221:BA245" si="1967">IF($AZ$246&gt;$BA$248,($BA$248/$AZ$246)*AZ221,AZ221)</f>
        <v>0</v>
      </c>
      <c r="BB221" s="104">
        <f t="shared" ref="BB221:BB245" si="1968">AZ221-BA221</f>
        <v>0</v>
      </c>
      <c r="BC221" s="104"/>
      <c r="BD221" s="104">
        <f t="shared" ref="BD221:BD245" si="1969">IF(AO221+AT221&gt;0,4%*(AO221+AT221),0)</f>
        <v>0</v>
      </c>
      <c r="BE221" s="108">
        <f t="shared" ref="BE221:BE245" si="1970">IF(H221=400,I221,0)</f>
        <v>2.2300000000000226</v>
      </c>
      <c r="BF221" s="110">
        <f t="shared" ref="BF221:BF245" si="1971">IF(BE221&lt;=1.75,G221*IF(D221="PROJETADA",1,0),0)</f>
        <v>0</v>
      </c>
      <c r="BG221" s="110">
        <f t="shared" ref="BG221:BG245" si="1972">IF(AND(BE221&lt;=3,BE221&gt;1.75),IF(D221="PROJETADA",1,0)*G221,0)</f>
        <v>0</v>
      </c>
      <c r="BH221" s="105" t="str">
        <f>VLOOKUP(A221,'BOCA DE LOBO'!C:I,7,0)</f>
        <v>BOCA DE LOBO EXISTENTE DUPLA</v>
      </c>
      <c r="BI221" s="104">
        <f t="shared" ref="BI221:BI245" si="1973">IF(BH221=$BI$198,1,0)</f>
        <v>0</v>
      </c>
      <c r="BJ221" s="104">
        <f t="shared" ref="BJ221:BJ245" si="1974">IF(BH221=$BJ$198,1,0)</f>
        <v>0</v>
      </c>
      <c r="BK221" s="104">
        <f t="shared" ref="BK221:BK245" si="1975">IF(BH221=$BK$198,1,0)</f>
        <v>0</v>
      </c>
      <c r="BL221" s="104">
        <f t="shared" ref="BL221:BL245" si="1976">IF(BH221=$BL$198,1,0)</f>
        <v>0</v>
      </c>
      <c r="BM221" s="104">
        <f t="shared" ref="BM221:BM245" si="1977">IF(BH221=$BM$198,1,0)</f>
        <v>0</v>
      </c>
      <c r="BN221" s="104">
        <f t="shared" ref="BN221:BN245" si="1978">IF(BH221=$BN$198,1,0)</f>
        <v>0</v>
      </c>
      <c r="BO221" s="104">
        <f t="shared" ref="BO221:BO245" si="1979">IF(BH221=$BO$198,1,0)</f>
        <v>0</v>
      </c>
      <c r="BP221" s="111"/>
      <c r="BQ221" s="108">
        <f t="shared" ref="BQ221:BQ245" si="1980">IF(L221&lt;=1.5,IF(I221+IF(R221=1,0.5,0)&lt;1.5,(I221+IF(R221=1,0.5,0))*G221*2,G221*2*1.5),0)</f>
        <v>0</v>
      </c>
      <c r="BR221" s="108">
        <f t="shared" ref="BR221:BR245" si="1981">IF(L221&lt;=1.5,IF(AND(I221+IF(R221=1,0.5,0)&lt;3,I221+IF(R221=1,0.5,0)&gt;1.5),(I221+IF(R221=1,0.5,0)-1.5)*G221*2,IF(I221+IF(R221=1,0.5,0)&gt;=3,(G221*2*1.5),0)),0)</f>
        <v>0</v>
      </c>
      <c r="BS221" s="108">
        <f t="shared" ref="BS221:BS245" si="1982">IF(L221&lt;=1.5,IF(AND(I221+IF(R221=1,0.5,0)&lt;4.5,I221+IF(R221=1,0.5,0)&gt;3),(I221+IF(R221=1,0.5,0)-3)*G221*2,IF(I221+IF(R221=1,0.5,0)&gt;=4.5,(G221*2*1.5),0)),0)</f>
        <v>0</v>
      </c>
      <c r="BV221" s="538">
        <f t="shared" ref="BV221:BV245" si="1983">IF(OR("BOCA DE LOBO EXISTENTE TRIPLA"=BH221,"BOCA DE LOBO EXISTENTE SIMPLES"=BH221,"BOCA DE LOBO EXISTENTE DUPLA"=BH221),0,IF("BOCA DE LOBO PROJETADA DUPLA"=BH221,(2.57+1)*(1.18+1),IF(OR("BOCA DE LOBO DUPLA EXISTENTE COM BOCA DE LOBO SIMPLES PROJETADA"=BH221,"BOCA DE LOBO SIMPLES EXISTENTE COM BOCA DE LOBO SIMPLES PROJETADA"=BH221),(1.18+0.5)*(1.18+1),IF(OR(BH221="BOCA DE LOBO DUPLA EXISTENTE COM BOCA DE LOBO DUPLA PROJETADA",BH221="BOCA DE LOBO SIMPLES EXISTENTE COM BOCA DE LOBO DUPLA PROJETADA"),(2.38+0.5)*(1.18+1),IF("BOCA DE LOBO PROJETADA TRIPLA"=BH221,(3.76+1)*(1.18+1),IF("BOCA DE LOBO PROJETADA QUADRUPLA"=BH221,(4.92+1)*(1.18+1),"X"))))))*(E221+IF(CA221&gt;0,0.5,0))</f>
        <v>0</v>
      </c>
      <c r="BW221" s="538">
        <f t="shared" ref="BW221:BW234" si="1984">IF(OR("BOCA DE LOBO EXISTENTE TRIPLA"=BH221,"BOCA DE LOBO EXISTENTE SIMPLES"=BH221,"BOCA DE LOBO EXISTENTE DUPLA"=BH221,"BOCA DE LOBO EXISTENTE QUADRUPLA"=BH221),0,IF("BOCA DE LOBO PROJETADA DUPLA"=BH221,(2.57+1)*(1.18+1),IF(OR("BOCA DE LOBO DUPLA EXISTENTE COM BOCA DE LOBO SIMPLES PROJETADA"=BH221,"BOCA DE LOBO SIMPLES EXISTENTE COM BOCA DE LOBO SIMPLES PROJETADA"=BH221),(1.18+1)*(1.18+0.5),IF(OR(BH221="BOCA DE LOBO DUPLA EXISTENTE COM BOCA DE LOBO DUPLA PROJETADA",BH221="BOCA DE LOBO SIMPLES EXISTENTE COM BOCA DE LOBO DUPLA PROJETADA"),(2.38+0.5)*(1.18+1),IF("BOCA DE LOBO PROJETADA TRIPLA"=BH221,(3.76+0.5*2)*(1.18+1),IF("BOCA DE LOBO PROJETADA QUADRUPLA"=BH221,(4.92+0.5*2)*(1.18+1),"X"))))))</f>
        <v>0</v>
      </c>
      <c r="BX221" s="538">
        <f t="shared" ref="BX221:BX234" si="1985">IF(OR("BOCA DE LOBO EXISTENTE TRIPLA"=BH221,"BOCA DE LOBO EXISTENTE SIMPLES"=BH221,"BOCA DE LOBO EXISTENTE DUPLA"=BH221,"BOCA DE LOBO EXISTENTE QUADRUPLA"=BH221),0,IF("BOCA DE LOBO PROJETADA DUPLA"=BH221,(2.57)*(1.18),IF(OR("BOCA DE LOBO DUPLA EXISTENTE COM BOCA DE LOBO SIMPLES PROJETADA"=BH221,"BOCA DE LOBO SIMPLES EXISTENTE COM BOCA DE LOBO SIMPLES PROJETADA"=BH221),(1.18)*(1.18),IF(OR(BH221="BOCA DE LOBO DUPLA EXISTENTE COM BOCA DE LOBO DUPLA PROJETADA",BH221="BOCA DE LOBO SIMPLES EXISTENTE COM BOCA DE LOBO DUPLA PROJETADA"),(2.38)*(1.18),IF("BOCA DE LOBO PROJETADA TRIPLA"=BH221,(3.76)*(1.18),IF("BOCA DE LOBO PROJETADA QUADRUPLA"=BH221,(4.92)*(1.18),"X"))))))</f>
        <v>0</v>
      </c>
      <c r="BY221" s="538">
        <f t="shared" ref="BY221:BY245" si="1986">E221</f>
        <v>2.1000000000000227</v>
      </c>
      <c r="BZ221" s="538">
        <f t="shared" ref="BZ221:BZ245" si="1987">IF(Y221&gt;0.5,0,IF(S221&lt;E221,S221,E221))</f>
        <v>2.1000000000000227</v>
      </c>
      <c r="CA221" s="538">
        <f t="shared" ref="CA221:CA245" si="1988">IF(Y221&gt;0.4,BY221+0.4,Y221)</f>
        <v>0</v>
      </c>
      <c r="CB221" s="538">
        <f t="shared" ref="CB221:CB245" si="1989">IF(S221&gt;E221,0,E221-S221)</f>
        <v>0</v>
      </c>
      <c r="CC221" s="538">
        <f t="shared" ref="CC221:CC245" si="1990">IF(BZ221&gt;1.5,BW221*1.5,BW221*BZ221)</f>
        <v>0</v>
      </c>
      <c r="CD221" s="538">
        <f t="shared" ref="CD221:CD245" si="1991">IF(BZ221&gt;1.5,BW221*(BZ221-1.5),0)</f>
        <v>0</v>
      </c>
      <c r="CE221" s="538">
        <f t="shared" ref="CE221:CE245" si="1992">IF(CA221=0.4,IF(BZ221+CA221&gt;1.5,0,CA221*BW221),IF(CA221&gt;1.5,BW221*1.5,BW221*CA221))</f>
        <v>0</v>
      </c>
      <c r="CF221" s="538">
        <f t="shared" ref="CF221:CF245" si="1993">IF(CA221=0.4,IF(BZ221+CA221&lt;=1.5,0,CA221*BW221),IF(CA221&gt;1.5,BW221*(CA221-1.5),0))</f>
        <v>0</v>
      </c>
      <c r="CG221" s="538">
        <f t="shared" ref="CG221:CG245" si="1994">BV221-SUM(CC221:CF221)</f>
        <v>0</v>
      </c>
      <c r="CH221" s="538">
        <f t="shared" ref="CH221:CH245" si="1995">SUM(CC221:CG221)-BV221</f>
        <v>0</v>
      </c>
      <c r="CI221" s="104">
        <f t="shared" si="1927"/>
        <v>0</v>
      </c>
      <c r="CJ221" s="538">
        <f t="shared" ref="CJ221:CJ245" si="1996">(BW221-BX221)*(BY221+IF(CA221&gt;=0.4,0.4,0))-CI221</f>
        <v>0</v>
      </c>
      <c r="CK221" s="538">
        <f t="shared" ref="CK221:CK245" si="1997">IF($CK$248&gt;$CJ$246,CJ221,CJ221*$CK$248/$CJ$246)</f>
        <v>0</v>
      </c>
      <c r="CL221" s="538">
        <f t="shared" ref="CL221:CL245" si="1998">CJ221-CK221</f>
        <v>0</v>
      </c>
      <c r="CM221" s="538">
        <f t="shared" ref="CM221:CM245" si="1999">IF(CA221&gt;0,0.5*4%*BW221,0)</f>
        <v>0</v>
      </c>
      <c r="CN221" s="538">
        <f t="shared" si="1841"/>
        <v>0</v>
      </c>
      <c r="CO221" s="538">
        <f t="shared" ref="CO221:CO245" si="2000">IF(CA221&gt;0,BY221+0.5,BY221)</f>
        <v>2.1000000000000227</v>
      </c>
      <c r="CP221" s="538">
        <f t="shared" ref="CP221:CP245" si="2001">IF(CO221&gt;=1.5,CN221*1.5*2,CN221*CO221*2)</f>
        <v>0</v>
      </c>
      <c r="CQ221" s="538">
        <f t="shared" ref="CQ221:CQ245" si="2002">IF(CO221&lt;=1.5,0,IF(CO221&gt;=3,CN221*1.5*2,CN221*(CO221-1.5)*2))</f>
        <v>0</v>
      </c>
      <c r="CR221" s="539">
        <f t="shared" ref="CR221:CR245" si="2003">IF(D221="AMPLIADA",0.55*(E221-0.5),0)</f>
        <v>0</v>
      </c>
      <c r="CS221" s="540">
        <f t="shared" ref="CS221:CS234" si="2004">IF(OR("BOCA DE LOBO EXISTENTE TRIPLA"=BH221,"BOCA DE LOBO EXISTENTE SIMPLES"=BH221,"BOCA DE LOBO EXISTENTE DUPLA"=BH221,"BOCA DE LOBO EXISTENTE QUADRUPLA"=BH221),0,IF("BOCA DE LOBO PROJETADA DUPLA"=BH221,(0),IF(OR("BOCA DE LOBO DUPLA EXISTENTE COM BOCA DE LOBO SIMPLES PROJETADA"=BH221,"BOCA DE LOBO SIMPLES EXISTENTE COM BOCA DE LOBO SIMPLES PROJETADA"=BH221),(0.8*0.15*0.17),IF(OR(BH221="BOCA DE LOBO DUPLA EXISTENTE COM BOCA DE LOBO DUPLA PROJETADA",BH221="BOCA DE LOBO SIMPLES EXISTENTE COM BOCA DE LOBO DUPLA PROJETADA"),(0.8*0.15*0.17),IF("BOCA DE LOBO PROJETADA TRIPLA"=BH221,(0),IF("BOCA DE LOBO PROJETADA QUADRUPLA"=BH221,(0),"X")))))*E221)</f>
        <v>0</v>
      </c>
      <c r="CT221" s="540">
        <f t="shared" ref="CT221:CT234" si="2005">IF(OR("BOCA DE LOBO EXISTENTE TRIPLA"=BH221,"BOCA DE LOBO EXISTENTE SIMPLES"=BH221,"BOCA DE LOBO EXISTENTE DUPLA"=BH221,"BOCA DE LOBO EXISTENTE QUADRUPLA"=BH221),0,IF("BOCA DE LOBO PROJETADA DUPLA"=BH221,(1.18*2.57*0.05),IF(OR("BOCA DE LOBO DUPLA EXISTENTE COM BOCA DE LOBO SIMPLES PROJETADA"=BH221,"BOCA DE LOBO SIMPLES EXISTENTE COM BOCA DE LOBO SIMPLES PROJETADA"=BH221),(1.19*1.18*0.05),IF(OR(BH221="BOCA DE LOBO DUPLA EXISTENTE COM BOCA DE LOBO DUPLA PROJETADA",BH221="BOCA DE LOBO SIMPLES EXISTENTE COM BOCA DE LOBO DUPLA PROJETADA"),(2.38*1.18*0.056),IF("BOCA DE LOBO PROJETADA TRIPLA"=BH221,(3.76*1.18*0.05),IF("BOCA DE LOBO PROJETADA QUADRUPLA"=BH221,(4.92*1.18*0.05),"X")))))+CI221/3)</f>
        <v>0</v>
      </c>
      <c r="CU221" s="541">
        <f t="shared" ref="CU221:CU234" si="2006">IF(OR("BOCA DE LOBO EXISTENTE TRIPLA"=BH221,"BOCA DE LOBO EXISTENTE SIMPLES"=BH221,"BOCA DE LOBO EXISTENTE DUPLA"=BH221,"BOCA DE LOBO EXISTENTE QUADRUPLA"=BH221),0,IF("BOCA DE LOBO PROJETADA DUPLA"=BH221,(1*4+0.6*2),IF(OR("BOCA DE LOBO DUPLA EXISTENTE COM BOCA DE LOBO SIMPLES PROJETADA"=BH221,"BOCA DE LOBO SIMPLES EXISTENTE COM BOCA DE LOBO SIMPLES PROJETADA"=BH221),(1*2+0.6),IF(OR(BH221="BOCA DE LOBO DUPLA EXISTENTE COM BOCA DE LOBO DUPLA PROJETADA",BH221="BOCA DE LOBO SIMPLES EXISTENTE COM BOCA DE LOBO DUPLA PROJETADA"),(1*4+0.6),IF("BOCA DE LOBO PROJETADA TRIPLA"=BH221,(6*1+0.6*2),IF("BOCA DE LOBO PROJETADA QUADRUPLA"=BH221,(8*1+0.6*2),"X")))))*E221)</f>
        <v>0</v>
      </c>
      <c r="CV221" s="538">
        <f t="shared" ref="CV221:CV234" si="2007">IF(OR("BOCA DE LOBO EXISTENTE TRIPLA"=BH221,"BOCA DE LOBO EXISTENTE SIMPLES"=BH221,"BOCA DE LOBO EXISTENTE DUPLA"=BH221,"BOCA DE LOBO EXISTENTE QUADRUPLA"=BH221),0,IF("BOCA DE LOBO PROJETADA DUPLA"=BH221,(12*E221*0.17*0.15+1*0.17*0.15*5+1.09*0.6*0.07*2+2.57*1.18*0.15),IF(OR("BOCA DE LOBO DUPLA EXISTENTE COM BOCA DE LOBO SIMPLES PROJETADA"=BH221,"BOCA DE LOBO SIMPLES EXISTENTE COM BOCA DE LOBO SIMPLES PROJETADA"=BH221),(8*E221*0.17*0.15+1*0.17*0.15*4+1.09*0.6*0.07*1+1.38*1.18*0.15),IF(OR(BH221="BOCA DE LOBO DUPLA EXISTENTE COM BOCA DE LOBO DUPLA PROJETADA",BH221="BOCA DE LOBO SIMPLES EXISTENTE COM BOCA DE LOBO DUPLA PROJETADA"),(7*E221*0.17*0.15+1*0.17*0.15*5+1.09*0.6*0.07*2+2.38*1.18*0.15),IF("BOCA DE LOBO PROJETADA TRIPLA"=BH221,(15*E221*0.17*0.15+1*0.17*0.15*7+1.09*0.6*0.07*3+3.76*1.18*0.15),IF("BOCA DE LOBO PROJETADA QUADRUPLA"=BH221,(19*E221*0.17*0.15+1*0.17*0.15*9+1.09*0.6*0.07*4+4.92*1.18*0.15),"X"))))))</f>
        <v>0</v>
      </c>
      <c r="CW221" s="538">
        <f t="shared" ref="CW221:CW234" si="2008">IF(OR("BOCA DE LOBO EXISTENTE TRIPLA"=BH221,"BOCA DE LOBO EXISTENTE SIMPLES"=BH221,"BOCA DE LOBO EXISTENTE DUPLA"=BH221,"BOCA DE LOBO EXISTENTE QUADRUPLA"=BH221),0,IF("BOCA DE LOBO PROJETADA DUPLA"=BH221,(12*E221*2*(0.17+0.15)+1*(2*0.17+0.15)*5+2*(2.57+1.18)*0.15+(1.09+0.6)*2*0.07*2),IF(OR("BOCA DE LOBO DUPLA EXISTENTE COM BOCA DE LOBO SIMPLES PROJETADA"=BH221,"BOCA DE LOBO SIMPLES EXISTENTE COM BOCA DE LOBO SIMPLES PROJETADA"=BH221),(8*E221*2*(0.17+0.15)+1*(2*0.17+0.15)*4+2*(1.38+1.18)*0.15+(1.09+0.6)*2*0.07*1),IF(OR(BH221="BOCA DE LOBO DUPLA EXISTENTE COM BOCA DE LOBO DUPLA PROJETADA",BH221="BOCA DE LOBO SIMPLES EXISTENTE COM BOCA DE LOBO DUPLA PROJETADA"),(7*E221*2*(0.17+0.15)+1*(2*0.17+0.15)*5+2*(2.38+1.18)*0.15+(1.09+0.6)*2*0.07*2),IF("BOCA DE LOBO PROJETADA TRIPLA"=BH221,(15*E221*2*(0.17+0.15)+1*(2*0.17+0.15)*7+2*(3.76+1.18)*0.15+(1.09+0.6)*2*0.07*3),IF("BOCA DE LOBO PROJETADA QUADRUPLA"=BH221,(19*E221*2*(0.17+0.15)+1*(2*0.17+0.15)*7+2*(4.92+1.18)*0.15+(1.09+0.6)*2*0.07*4),"X"))))))</f>
        <v>0</v>
      </c>
      <c r="CX221" s="104">
        <f t="shared" ref="CX221:CX234" si="2009">IF(OR("BOCA DE LOBO EXISTENTE TRIPLA"=BH221,"BOCA DE LOBO EXISTENTE SIMPLES"=BH221,"BOCA DE LOBO EXISTENTE DUPLA"=BH221,"BOCA DE LOBO EXISTENTE QUADRUPLA"=BH221),0,IF("BOCA DE LOBO PROJETADA DUPLA"=BH221,(2.57+1),IF(OR("BOCA DE LOBO DUPLA EXISTENTE COM BOCA DE LOBO SIMPLES PROJETADA"=BH221,"BOCA DE LOBO SIMPLES EXISTENTE COM BOCA DE LOBO SIMPLES PROJETADA"=BH221),(1.18+0.5),IF(OR(BH221="BOCA DE LOBO DUPLA EXISTENTE COM BOCA DE LOBO DUPLA PROJETADA",BH221="BOCA DE LOBO SIMPLES EXISTENTE COM BOCA DE LOBO DUPLA PROJETADA"),(2.38+0.5),IF("BOCA DE LOBO PROJETADA TRIPLA"=BH221,(3.76+1),IF("BOCA DE LOBO PROJETADA QUADRUPLA"=BH221,(4.92+1),"X"))))))</f>
        <v>0</v>
      </c>
      <c r="CY221" s="542">
        <f t="shared" ref="CY221:CY245" si="2010">CX221*0.5</f>
        <v>0</v>
      </c>
      <c r="CZ221" s="538">
        <f t="shared" ref="CZ221:CZ245" si="2011">IF(AND(C221="EXISTENTE",D221="PROJETADA"),PI()*0.51*0.51/4*0.12,0)</f>
        <v>0</v>
      </c>
    </row>
    <row r="222" spans="1:104" s="112" customFormat="1" ht="25" x14ac:dyDescent="0.25">
      <c r="A222" s="100" t="str">
        <f>'BOCA DE LOBO'!C200</f>
        <v>BL17-&gt;PV3-55</v>
      </c>
      <c r="B222" s="100" t="str">
        <f>'BOCA DE LOBO'!A200</f>
        <v>PV3-55</v>
      </c>
      <c r="C222" s="100" t="str">
        <f>VLOOKUP(A222,'BOCA DE LOBO'!C:F,3,0)</f>
        <v>EXISTENTE</v>
      </c>
      <c r="D222" s="100" t="str">
        <f>VLOOKUP(A222,'BOCA DE LOBO'!C:M,10,0)</f>
        <v>PROJETADA</v>
      </c>
      <c r="E222" s="100">
        <f t="shared" si="1928"/>
        <v>1.7224000000000228</v>
      </c>
      <c r="F222" s="100">
        <f>VLOOKUP(A222,'BOCA DE LOBO'!$C$178:$L$224,2,0)</f>
        <v>2.1000000000000227</v>
      </c>
      <c r="G222" s="100">
        <f>VLOOKUP(A222,'BOCA DE LOBO'!$C$178:$L$224,4,0)</f>
        <v>9.44</v>
      </c>
      <c r="H222" s="101">
        <v>400</v>
      </c>
      <c r="I222" s="102">
        <f t="shared" si="1929"/>
        <v>2.0412000000000226</v>
      </c>
      <c r="J222" s="102">
        <f t="shared" si="1930"/>
        <v>0.96344640000001058</v>
      </c>
      <c r="K222" s="103">
        <v>0</v>
      </c>
      <c r="L222" s="104">
        <f t="shared" si="1931"/>
        <v>1</v>
      </c>
      <c r="M222" s="104">
        <f t="shared" si="1932"/>
        <v>1</v>
      </c>
      <c r="N222" s="104">
        <f t="shared" si="1933"/>
        <v>0</v>
      </c>
      <c r="O222" s="104">
        <f t="shared" si="1934"/>
        <v>9.44</v>
      </c>
      <c r="P222" s="105" t="s">
        <v>2179</v>
      </c>
      <c r="Q222" s="468" t="s">
        <v>2066</v>
      </c>
      <c r="R222" s="105"/>
      <c r="S222" s="105">
        <f>VLOOKUP(Q222,Quantitativos!P:R,3,0)</f>
        <v>5</v>
      </c>
      <c r="T222" s="105">
        <f>VLOOKUP(Q222,Quantitativos!P:S,4,0)</f>
        <v>5</v>
      </c>
      <c r="U222" s="104">
        <f t="shared" si="1935"/>
        <v>0.05</v>
      </c>
      <c r="V222" s="106">
        <f t="shared" si="1936"/>
        <v>0</v>
      </c>
      <c r="W222" s="106">
        <f t="shared" si="1937"/>
        <v>19.268928000000212</v>
      </c>
      <c r="X222" s="107">
        <f t="shared" si="1938"/>
        <v>0</v>
      </c>
      <c r="Y222" s="107">
        <f t="shared" si="1939"/>
        <v>0</v>
      </c>
      <c r="Z222" s="107">
        <f t="shared" si="1940"/>
        <v>2.0412000000000226</v>
      </c>
      <c r="AA222" s="107">
        <f t="shared" si="1941"/>
        <v>0</v>
      </c>
      <c r="AB222" s="108">
        <f t="shared" si="1942"/>
        <v>0</v>
      </c>
      <c r="AC222" s="109">
        <f t="shared" si="1943"/>
        <v>0</v>
      </c>
      <c r="AD222" s="109">
        <f t="shared" si="1944"/>
        <v>0</v>
      </c>
      <c r="AE222" s="109">
        <f t="shared" si="1945"/>
        <v>0</v>
      </c>
      <c r="AF222" s="109">
        <f t="shared" si="1946"/>
        <v>14.16</v>
      </c>
      <c r="AG222" s="109">
        <f t="shared" si="1947"/>
        <v>5.1089280000002129</v>
      </c>
      <c r="AH222" s="109">
        <f t="shared" si="1948"/>
        <v>0</v>
      </c>
      <c r="AI222" s="537" t="str">
        <f t="shared" si="1949"/>
        <v>NÃO</v>
      </c>
      <c r="AJ222" s="104">
        <f t="shared" si="1950"/>
        <v>0</v>
      </c>
      <c r="AK222" s="104">
        <f t="shared" si="1951"/>
        <v>0</v>
      </c>
      <c r="AL222" s="104">
        <f t="shared" si="1952"/>
        <v>18.082662614004708</v>
      </c>
      <c r="AM222" s="102">
        <f t="shared" si="1953"/>
        <v>0.47199999999999998</v>
      </c>
      <c r="AN222" s="106">
        <f t="shared" si="1954"/>
        <v>0</v>
      </c>
      <c r="AO222" s="104">
        <f t="shared" si="1955"/>
        <v>0</v>
      </c>
      <c r="AP222" s="104">
        <f t="shared" si="1956"/>
        <v>0</v>
      </c>
      <c r="AQ222" s="104">
        <f t="shared" si="1957"/>
        <v>0.7</v>
      </c>
      <c r="AR222" s="104">
        <f t="shared" si="1958"/>
        <v>5.4217346140044942</v>
      </c>
      <c r="AS222" s="104">
        <f t="shared" si="1959"/>
        <v>0</v>
      </c>
      <c r="AT222" s="104">
        <f t="shared" si="1960"/>
        <v>0</v>
      </c>
      <c r="AU222" s="104">
        <f t="shared" si="1961"/>
        <v>0</v>
      </c>
      <c r="AV222" s="104">
        <f t="shared" si="1962"/>
        <v>0</v>
      </c>
      <c r="AW222" s="104">
        <f t="shared" si="1963"/>
        <v>12.188928000000212</v>
      </c>
      <c r="AX222" s="104">
        <f t="shared" si="1964"/>
        <v>13.847193385995718</v>
      </c>
      <c r="AY222" s="104">
        <f t="shared" si="1965"/>
        <v>12.188928000000212</v>
      </c>
      <c r="AZ222" s="104">
        <f t="shared" si="1966"/>
        <v>0</v>
      </c>
      <c r="BA222" s="104">
        <f t="shared" si="1967"/>
        <v>0</v>
      </c>
      <c r="BB222" s="104">
        <f t="shared" si="1968"/>
        <v>0</v>
      </c>
      <c r="BC222" s="104"/>
      <c r="BD222" s="104">
        <f t="shared" si="1969"/>
        <v>0</v>
      </c>
      <c r="BE222" s="108">
        <f t="shared" si="1970"/>
        <v>2.0412000000000226</v>
      </c>
      <c r="BF222" s="110">
        <f t="shared" si="1971"/>
        <v>0</v>
      </c>
      <c r="BG222" s="110">
        <f t="shared" si="1972"/>
        <v>9.44</v>
      </c>
      <c r="BH222" s="105" t="str">
        <f>VLOOKUP(A222,'BOCA DE LOBO'!C:I,7,0)</f>
        <v>BOCA DE LOBO PROJETADA DUPLA</v>
      </c>
      <c r="BI222" s="104">
        <f t="shared" si="1973"/>
        <v>0</v>
      </c>
      <c r="BJ222" s="104">
        <f t="shared" si="1974"/>
        <v>0</v>
      </c>
      <c r="BK222" s="104">
        <f t="shared" si="1975"/>
        <v>0</v>
      </c>
      <c r="BL222" s="104">
        <f t="shared" si="1976"/>
        <v>0</v>
      </c>
      <c r="BM222" s="104">
        <f t="shared" si="1977"/>
        <v>0</v>
      </c>
      <c r="BN222" s="104">
        <f t="shared" si="1978"/>
        <v>1</v>
      </c>
      <c r="BO222" s="104">
        <f t="shared" si="1979"/>
        <v>0</v>
      </c>
      <c r="BP222" s="111"/>
      <c r="BQ222" s="108">
        <f t="shared" si="1980"/>
        <v>28.32</v>
      </c>
      <c r="BR222" s="108">
        <f t="shared" si="1981"/>
        <v>10.217856000000426</v>
      </c>
      <c r="BS222" s="108">
        <f t="shared" si="1982"/>
        <v>0</v>
      </c>
      <c r="BV222" s="538">
        <f t="shared" si="1983"/>
        <v>13.404750240000174</v>
      </c>
      <c r="BW222" s="538">
        <f t="shared" si="1984"/>
        <v>7.7825999999999986</v>
      </c>
      <c r="BX222" s="538">
        <f t="shared" si="1985"/>
        <v>3.0325999999999995</v>
      </c>
      <c r="BY222" s="538">
        <f t="shared" si="1986"/>
        <v>1.7224000000000228</v>
      </c>
      <c r="BZ222" s="538">
        <f t="shared" si="1987"/>
        <v>1.7224000000000228</v>
      </c>
      <c r="CA222" s="538">
        <f t="shared" si="1988"/>
        <v>0</v>
      </c>
      <c r="CB222" s="538">
        <f t="shared" si="1989"/>
        <v>0</v>
      </c>
      <c r="CC222" s="538">
        <f t="shared" si="1990"/>
        <v>11.673899999999998</v>
      </c>
      <c r="CD222" s="538">
        <f t="shared" si="1991"/>
        <v>1.7308502400001771</v>
      </c>
      <c r="CE222" s="538">
        <f t="shared" si="1992"/>
        <v>0</v>
      </c>
      <c r="CF222" s="538">
        <f t="shared" si="1993"/>
        <v>0</v>
      </c>
      <c r="CG222" s="538">
        <f t="shared" si="1994"/>
        <v>0</v>
      </c>
      <c r="CH222" s="538">
        <f t="shared" si="1995"/>
        <v>0</v>
      </c>
      <c r="CI222" s="104">
        <f t="shared" si="1927"/>
        <v>0.53549999999999998</v>
      </c>
      <c r="CJ222" s="538">
        <f t="shared" si="1996"/>
        <v>7.6459000000001067</v>
      </c>
      <c r="CK222" s="538">
        <f t="shared" si="1997"/>
        <v>7.6459000000001067</v>
      </c>
      <c r="CL222" s="538">
        <f t="shared" si="1998"/>
        <v>0</v>
      </c>
      <c r="CM222" s="538">
        <f t="shared" si="1999"/>
        <v>0</v>
      </c>
      <c r="CN222" s="538">
        <f t="shared" si="1841"/>
        <v>3.57</v>
      </c>
      <c r="CO222" s="538">
        <f t="shared" si="2000"/>
        <v>1.7224000000000228</v>
      </c>
      <c r="CP222" s="538">
        <f t="shared" si="2001"/>
        <v>10.709999999999999</v>
      </c>
      <c r="CQ222" s="538">
        <f t="shared" si="2002"/>
        <v>1.5879360000001628</v>
      </c>
      <c r="CR222" s="539">
        <f t="shared" si="2003"/>
        <v>0</v>
      </c>
      <c r="CS222" s="540">
        <f t="shared" si="2004"/>
        <v>0</v>
      </c>
      <c r="CT222" s="540">
        <f t="shared" si="2005"/>
        <v>0.33012999999999998</v>
      </c>
      <c r="CU222" s="541">
        <f t="shared" si="2006"/>
        <v>8.9564800000001181</v>
      </c>
      <c r="CV222" s="538">
        <f t="shared" si="2007"/>
        <v>1.2010044000000069</v>
      </c>
      <c r="CW222" s="538">
        <f t="shared" si="2008"/>
        <v>17.276232000000174</v>
      </c>
      <c r="CX222" s="104">
        <f t="shared" si="2009"/>
        <v>3.57</v>
      </c>
      <c r="CY222" s="542">
        <f t="shared" si="2010"/>
        <v>1.7849999999999999</v>
      </c>
      <c r="CZ222" s="538">
        <f t="shared" si="2011"/>
        <v>2.4513847475961154E-2</v>
      </c>
    </row>
    <row r="223" spans="1:104" s="112" customFormat="1" ht="25" x14ac:dyDescent="0.25">
      <c r="A223" s="100" t="str">
        <f>'BOCA DE LOBO'!C201</f>
        <v>BL18-&gt;PV4-55</v>
      </c>
      <c r="B223" s="100" t="str">
        <f>'BOCA DE LOBO'!A201</f>
        <v>PV4-55</v>
      </c>
      <c r="C223" s="100" t="str">
        <f>VLOOKUP(A223,'BOCA DE LOBO'!C:F,3,0)</f>
        <v>EXISTENTE</v>
      </c>
      <c r="D223" s="100" t="str">
        <f>VLOOKUP(A223,'BOCA DE LOBO'!C:M,10,0)</f>
        <v>EXISTENTE</v>
      </c>
      <c r="E223" s="100">
        <f t="shared" si="1928"/>
        <v>2.1599999999999682</v>
      </c>
      <c r="F223" s="100">
        <f>VLOOKUP(A223,'BOCA DE LOBO'!$C$178:$L$224,2,0)</f>
        <v>2.1599999999999682</v>
      </c>
      <c r="G223" s="100">
        <f>VLOOKUP(A223,'BOCA DE LOBO'!$C$178:$L$224,4,0)</f>
        <v>0</v>
      </c>
      <c r="H223" s="101">
        <v>400</v>
      </c>
      <c r="I223" s="102">
        <f t="shared" si="1929"/>
        <v>2.2899999999999681</v>
      </c>
      <c r="J223" s="102">
        <f t="shared" si="1930"/>
        <v>0</v>
      </c>
      <c r="K223" s="103">
        <v>0</v>
      </c>
      <c r="L223" s="104">
        <f t="shared" si="1931"/>
        <v>0</v>
      </c>
      <c r="M223" s="104">
        <f t="shared" si="1932"/>
        <v>0</v>
      </c>
      <c r="N223" s="104">
        <f t="shared" si="1933"/>
        <v>400</v>
      </c>
      <c r="O223" s="104">
        <f t="shared" si="1934"/>
        <v>0</v>
      </c>
      <c r="P223" s="105" t="s">
        <v>2179</v>
      </c>
      <c r="Q223" s="468" t="s">
        <v>2066</v>
      </c>
      <c r="R223" s="105"/>
      <c r="S223" s="105">
        <f>VLOOKUP(Q223,Quantitativos!P:R,3,0)</f>
        <v>5</v>
      </c>
      <c r="T223" s="105">
        <f>VLOOKUP(Q223,Quantitativos!P:S,4,0)</f>
        <v>5</v>
      </c>
      <c r="U223" s="104">
        <f t="shared" si="1935"/>
        <v>0.05</v>
      </c>
      <c r="V223" s="106">
        <f t="shared" si="1936"/>
        <v>0</v>
      </c>
      <c r="W223" s="106">
        <f t="shared" si="1937"/>
        <v>0</v>
      </c>
      <c r="X223" s="107">
        <f t="shared" si="1938"/>
        <v>0</v>
      </c>
      <c r="Y223" s="107">
        <f t="shared" si="1939"/>
        <v>0</v>
      </c>
      <c r="Z223" s="107">
        <f t="shared" si="1940"/>
        <v>2.2899999999999681</v>
      </c>
      <c r="AA223" s="107">
        <f t="shared" si="1941"/>
        <v>0</v>
      </c>
      <c r="AB223" s="108">
        <f t="shared" si="1942"/>
        <v>0</v>
      </c>
      <c r="AC223" s="109">
        <f t="shared" si="1943"/>
        <v>0</v>
      </c>
      <c r="AD223" s="109">
        <f t="shared" si="1944"/>
        <v>0</v>
      </c>
      <c r="AE223" s="109">
        <f t="shared" si="1945"/>
        <v>0</v>
      </c>
      <c r="AF223" s="109">
        <f t="shared" si="1946"/>
        <v>0</v>
      </c>
      <c r="AG223" s="109">
        <f t="shared" si="1947"/>
        <v>0</v>
      </c>
      <c r="AH223" s="109">
        <f t="shared" si="1948"/>
        <v>0</v>
      </c>
      <c r="AI223" s="537" t="str">
        <f t="shared" si="1949"/>
        <v>NÃO</v>
      </c>
      <c r="AJ223" s="104">
        <f t="shared" si="1950"/>
        <v>0</v>
      </c>
      <c r="AK223" s="104">
        <f t="shared" si="1951"/>
        <v>0</v>
      </c>
      <c r="AL223" s="104">
        <f t="shared" si="1952"/>
        <v>0</v>
      </c>
      <c r="AM223" s="102">
        <f t="shared" si="1953"/>
        <v>0</v>
      </c>
      <c r="AN223" s="106">
        <f t="shared" si="1954"/>
        <v>0</v>
      </c>
      <c r="AO223" s="104">
        <f t="shared" si="1955"/>
        <v>0</v>
      </c>
      <c r="AP223" s="104">
        <f t="shared" si="1956"/>
        <v>0</v>
      </c>
      <c r="AQ223" s="104">
        <f t="shared" si="1957"/>
        <v>0.7</v>
      </c>
      <c r="AR223" s="104">
        <f t="shared" si="1958"/>
        <v>0</v>
      </c>
      <c r="AS223" s="104">
        <f t="shared" si="1959"/>
        <v>0</v>
      </c>
      <c r="AT223" s="104">
        <f t="shared" si="1960"/>
        <v>0</v>
      </c>
      <c r="AU223" s="104">
        <f t="shared" si="1961"/>
        <v>0</v>
      </c>
      <c r="AV223" s="104">
        <f t="shared" si="1962"/>
        <v>0</v>
      </c>
      <c r="AW223" s="104">
        <f t="shared" si="1963"/>
        <v>0</v>
      </c>
      <c r="AX223" s="104">
        <f t="shared" si="1964"/>
        <v>0</v>
      </c>
      <c r="AY223" s="104">
        <f t="shared" si="1965"/>
        <v>0</v>
      </c>
      <c r="AZ223" s="104">
        <f t="shared" si="1966"/>
        <v>0</v>
      </c>
      <c r="BA223" s="104">
        <f t="shared" si="1967"/>
        <v>0</v>
      </c>
      <c r="BB223" s="104">
        <f t="shared" si="1968"/>
        <v>0</v>
      </c>
      <c r="BC223" s="104"/>
      <c r="BD223" s="104">
        <f t="shared" si="1969"/>
        <v>0</v>
      </c>
      <c r="BE223" s="108">
        <f t="shared" si="1970"/>
        <v>2.2899999999999681</v>
      </c>
      <c r="BF223" s="110">
        <f t="shared" si="1971"/>
        <v>0</v>
      </c>
      <c r="BG223" s="110">
        <f t="shared" si="1972"/>
        <v>0</v>
      </c>
      <c r="BH223" s="105" t="str">
        <f>VLOOKUP(A223,'BOCA DE LOBO'!C:I,7,0)</f>
        <v>BOCA DE LOBO EXISTENTE DUPLA</v>
      </c>
      <c r="BI223" s="104">
        <f t="shared" si="1973"/>
        <v>0</v>
      </c>
      <c r="BJ223" s="104">
        <f t="shared" si="1974"/>
        <v>0</v>
      </c>
      <c r="BK223" s="104">
        <f t="shared" si="1975"/>
        <v>0</v>
      </c>
      <c r="BL223" s="104">
        <f t="shared" si="1976"/>
        <v>0</v>
      </c>
      <c r="BM223" s="104">
        <f t="shared" si="1977"/>
        <v>0</v>
      </c>
      <c r="BN223" s="104">
        <f t="shared" si="1978"/>
        <v>0</v>
      </c>
      <c r="BO223" s="104">
        <f t="shared" si="1979"/>
        <v>0</v>
      </c>
      <c r="BP223" s="111"/>
      <c r="BQ223" s="108">
        <f t="shared" si="1980"/>
        <v>0</v>
      </c>
      <c r="BR223" s="108">
        <f t="shared" si="1981"/>
        <v>0</v>
      </c>
      <c r="BS223" s="108">
        <f t="shared" si="1982"/>
        <v>0</v>
      </c>
      <c r="BV223" s="538">
        <f t="shared" si="1983"/>
        <v>0</v>
      </c>
      <c r="BW223" s="538">
        <f t="shared" si="1984"/>
        <v>0</v>
      </c>
      <c r="BX223" s="538">
        <f t="shared" si="1985"/>
        <v>0</v>
      </c>
      <c r="BY223" s="538">
        <f t="shared" si="1986"/>
        <v>2.1599999999999682</v>
      </c>
      <c r="BZ223" s="538">
        <f t="shared" si="1987"/>
        <v>2.1599999999999682</v>
      </c>
      <c r="CA223" s="538">
        <f t="shared" si="1988"/>
        <v>0</v>
      </c>
      <c r="CB223" s="538">
        <f t="shared" si="1989"/>
        <v>0</v>
      </c>
      <c r="CC223" s="538">
        <f t="shared" si="1990"/>
        <v>0</v>
      </c>
      <c r="CD223" s="538">
        <f t="shared" si="1991"/>
        <v>0</v>
      </c>
      <c r="CE223" s="538">
        <f t="shared" si="1992"/>
        <v>0</v>
      </c>
      <c r="CF223" s="538">
        <f t="shared" si="1993"/>
        <v>0</v>
      </c>
      <c r="CG223" s="538">
        <f t="shared" si="1994"/>
        <v>0</v>
      </c>
      <c r="CH223" s="538">
        <f t="shared" si="1995"/>
        <v>0</v>
      </c>
      <c r="CI223" s="104">
        <f t="shared" si="1927"/>
        <v>0</v>
      </c>
      <c r="CJ223" s="538">
        <f t="shared" si="1996"/>
        <v>0</v>
      </c>
      <c r="CK223" s="538">
        <f t="shared" si="1997"/>
        <v>0</v>
      </c>
      <c r="CL223" s="538">
        <f t="shared" si="1998"/>
        <v>0</v>
      </c>
      <c r="CM223" s="538">
        <f t="shared" si="1999"/>
        <v>0</v>
      </c>
      <c r="CN223" s="538">
        <f t="shared" si="1841"/>
        <v>0</v>
      </c>
      <c r="CO223" s="538">
        <f t="shared" si="2000"/>
        <v>2.1599999999999682</v>
      </c>
      <c r="CP223" s="538">
        <f t="shared" si="2001"/>
        <v>0</v>
      </c>
      <c r="CQ223" s="538">
        <f t="shared" si="2002"/>
        <v>0</v>
      </c>
      <c r="CR223" s="539">
        <f t="shared" si="2003"/>
        <v>0</v>
      </c>
      <c r="CS223" s="540">
        <f t="shared" si="2004"/>
        <v>0</v>
      </c>
      <c r="CT223" s="540">
        <f t="shared" si="2005"/>
        <v>0</v>
      </c>
      <c r="CU223" s="541">
        <f t="shared" si="2006"/>
        <v>0</v>
      </c>
      <c r="CV223" s="538">
        <f t="shared" si="2007"/>
        <v>0</v>
      </c>
      <c r="CW223" s="538">
        <f t="shared" si="2008"/>
        <v>0</v>
      </c>
      <c r="CX223" s="104">
        <f t="shared" si="2009"/>
        <v>0</v>
      </c>
      <c r="CY223" s="542">
        <f t="shared" si="2010"/>
        <v>0</v>
      </c>
      <c r="CZ223" s="538">
        <f t="shared" si="2011"/>
        <v>0</v>
      </c>
    </row>
    <row r="224" spans="1:104" s="112" customFormat="1" ht="25" x14ac:dyDescent="0.25">
      <c r="A224" s="100" t="str">
        <f>'BOCA DE LOBO'!C202</f>
        <v>BL19-&gt;PV4-55</v>
      </c>
      <c r="B224" s="100" t="str">
        <f>'BOCA DE LOBO'!A202</f>
        <v>PV4-55</v>
      </c>
      <c r="C224" s="100" t="str">
        <f>VLOOKUP(A224,'BOCA DE LOBO'!C:F,3,0)</f>
        <v>EXISTENTE</v>
      </c>
      <c r="D224" s="100" t="str">
        <f>VLOOKUP(A224,'BOCA DE LOBO'!C:M,10,0)</f>
        <v>PROJETADA</v>
      </c>
      <c r="E224" s="100">
        <f t="shared" si="1928"/>
        <v>1.8051999999999682</v>
      </c>
      <c r="F224" s="100">
        <f>VLOOKUP(A224,'BOCA DE LOBO'!$C$178:$L$224,2,0)</f>
        <v>2.1599999999999682</v>
      </c>
      <c r="G224" s="100">
        <f>VLOOKUP(A224,'BOCA DE LOBO'!$C$178:$L$224,4,0)</f>
        <v>8.8699999999999992</v>
      </c>
      <c r="H224" s="101">
        <v>400</v>
      </c>
      <c r="I224" s="102">
        <f t="shared" si="1929"/>
        <v>2.1125999999999681</v>
      </c>
      <c r="J224" s="102">
        <f t="shared" si="1930"/>
        <v>0.93693809999998567</v>
      </c>
      <c r="K224" s="103">
        <v>0</v>
      </c>
      <c r="L224" s="104">
        <f t="shared" si="1931"/>
        <v>1</v>
      </c>
      <c r="M224" s="104">
        <f t="shared" si="1932"/>
        <v>1</v>
      </c>
      <c r="N224" s="104">
        <f t="shared" si="1933"/>
        <v>0</v>
      </c>
      <c r="O224" s="104">
        <f t="shared" si="1934"/>
        <v>8.8699999999999992</v>
      </c>
      <c r="P224" s="105" t="s">
        <v>2179</v>
      </c>
      <c r="Q224" s="468" t="s">
        <v>2066</v>
      </c>
      <c r="R224" s="105"/>
      <c r="S224" s="105">
        <f>VLOOKUP(Q224,Quantitativos!P:R,3,0)</f>
        <v>5</v>
      </c>
      <c r="T224" s="105">
        <f>VLOOKUP(Q224,Quantitativos!P:S,4,0)</f>
        <v>5</v>
      </c>
      <c r="U224" s="104">
        <f t="shared" si="1935"/>
        <v>0.05</v>
      </c>
      <c r="V224" s="106">
        <f t="shared" si="1936"/>
        <v>0</v>
      </c>
      <c r="W224" s="106">
        <f t="shared" si="1937"/>
        <v>18.738761999999713</v>
      </c>
      <c r="X224" s="107">
        <f t="shared" si="1938"/>
        <v>0</v>
      </c>
      <c r="Y224" s="107">
        <f t="shared" si="1939"/>
        <v>0</v>
      </c>
      <c r="Z224" s="107">
        <f t="shared" si="1940"/>
        <v>2.1125999999999681</v>
      </c>
      <c r="AA224" s="107">
        <f t="shared" si="1941"/>
        <v>0</v>
      </c>
      <c r="AB224" s="108">
        <f t="shared" si="1942"/>
        <v>0</v>
      </c>
      <c r="AC224" s="109">
        <f t="shared" si="1943"/>
        <v>0</v>
      </c>
      <c r="AD224" s="109">
        <f t="shared" si="1944"/>
        <v>0</v>
      </c>
      <c r="AE224" s="109">
        <f t="shared" si="1945"/>
        <v>0</v>
      </c>
      <c r="AF224" s="109">
        <f t="shared" si="1946"/>
        <v>13.305</v>
      </c>
      <c r="AG224" s="109">
        <f t="shared" si="1947"/>
        <v>5.4337619999997164</v>
      </c>
      <c r="AH224" s="109">
        <f t="shared" si="1948"/>
        <v>0</v>
      </c>
      <c r="AI224" s="537" t="str">
        <f t="shared" si="1949"/>
        <v>NÃO</v>
      </c>
      <c r="AJ224" s="104">
        <f t="shared" si="1950"/>
        <v>0</v>
      </c>
      <c r="AK224" s="104">
        <f t="shared" si="1951"/>
        <v>0</v>
      </c>
      <c r="AL224" s="104">
        <f t="shared" si="1952"/>
        <v>17.624124926506056</v>
      </c>
      <c r="AM224" s="102">
        <f t="shared" si="1953"/>
        <v>0.44350000000000001</v>
      </c>
      <c r="AN224" s="106">
        <f t="shared" si="1954"/>
        <v>0</v>
      </c>
      <c r="AO224" s="104">
        <f t="shared" si="1955"/>
        <v>0</v>
      </c>
      <c r="AP224" s="104">
        <f t="shared" si="1956"/>
        <v>0</v>
      </c>
      <c r="AQ224" s="104">
        <f t="shared" si="1957"/>
        <v>0.7</v>
      </c>
      <c r="AR224" s="104">
        <f t="shared" si="1958"/>
        <v>5.0943629265063404</v>
      </c>
      <c r="AS224" s="104">
        <f t="shared" si="1959"/>
        <v>0</v>
      </c>
      <c r="AT224" s="104">
        <f t="shared" si="1960"/>
        <v>0</v>
      </c>
      <c r="AU224" s="104">
        <f t="shared" si="1961"/>
        <v>0</v>
      </c>
      <c r="AV224" s="104">
        <f t="shared" si="1962"/>
        <v>0</v>
      </c>
      <c r="AW224" s="104">
        <f t="shared" si="1963"/>
        <v>12.086261999999715</v>
      </c>
      <c r="AX224" s="104">
        <f t="shared" si="1964"/>
        <v>13.644399073493377</v>
      </c>
      <c r="AY224" s="104">
        <f t="shared" si="1965"/>
        <v>12.086261999999715</v>
      </c>
      <c r="AZ224" s="104">
        <f t="shared" si="1966"/>
        <v>0</v>
      </c>
      <c r="BA224" s="104">
        <f t="shared" si="1967"/>
        <v>0</v>
      </c>
      <c r="BB224" s="104">
        <f t="shared" si="1968"/>
        <v>0</v>
      </c>
      <c r="BC224" s="104"/>
      <c r="BD224" s="104">
        <f t="shared" si="1969"/>
        <v>0</v>
      </c>
      <c r="BE224" s="108">
        <f t="shared" si="1970"/>
        <v>2.1125999999999681</v>
      </c>
      <c r="BF224" s="110">
        <f t="shared" si="1971"/>
        <v>0</v>
      </c>
      <c r="BG224" s="110">
        <f t="shared" si="1972"/>
        <v>8.8699999999999992</v>
      </c>
      <c r="BH224" s="105" t="str">
        <f>VLOOKUP(A224,'BOCA DE LOBO'!C:I,7,0)</f>
        <v>BOCA DE LOBO PROJETADA DUPLA</v>
      </c>
      <c r="BI224" s="104">
        <f t="shared" si="1973"/>
        <v>0</v>
      </c>
      <c r="BJ224" s="104">
        <f t="shared" si="1974"/>
        <v>0</v>
      </c>
      <c r="BK224" s="104">
        <f t="shared" si="1975"/>
        <v>0</v>
      </c>
      <c r="BL224" s="104">
        <f t="shared" si="1976"/>
        <v>0</v>
      </c>
      <c r="BM224" s="104">
        <f t="shared" si="1977"/>
        <v>0</v>
      </c>
      <c r="BN224" s="104">
        <f t="shared" si="1978"/>
        <v>1</v>
      </c>
      <c r="BO224" s="104">
        <f t="shared" si="1979"/>
        <v>0</v>
      </c>
      <c r="BP224" s="111"/>
      <c r="BQ224" s="108">
        <f t="shared" si="1980"/>
        <v>26.61</v>
      </c>
      <c r="BR224" s="108">
        <f t="shared" si="1981"/>
        <v>10.867523999999433</v>
      </c>
      <c r="BS224" s="108">
        <f t="shared" si="1982"/>
        <v>0</v>
      </c>
      <c r="BV224" s="538">
        <f t="shared" si="1983"/>
        <v>14.04914951999975</v>
      </c>
      <c r="BW224" s="538">
        <f t="shared" si="1984"/>
        <v>7.7825999999999986</v>
      </c>
      <c r="BX224" s="538">
        <f t="shared" si="1985"/>
        <v>3.0325999999999995</v>
      </c>
      <c r="BY224" s="538">
        <f t="shared" si="1986"/>
        <v>1.8051999999999682</v>
      </c>
      <c r="BZ224" s="538">
        <f t="shared" si="1987"/>
        <v>1.8051999999999682</v>
      </c>
      <c r="CA224" s="538">
        <f t="shared" si="1988"/>
        <v>0</v>
      </c>
      <c r="CB224" s="538">
        <f t="shared" si="1989"/>
        <v>0</v>
      </c>
      <c r="CC224" s="538">
        <f t="shared" si="1990"/>
        <v>11.673899999999998</v>
      </c>
      <c r="CD224" s="538">
        <f t="shared" si="1991"/>
        <v>2.3752495199997519</v>
      </c>
      <c r="CE224" s="538">
        <f t="shared" si="1992"/>
        <v>0</v>
      </c>
      <c r="CF224" s="538">
        <f t="shared" si="1993"/>
        <v>0</v>
      </c>
      <c r="CG224" s="538">
        <f t="shared" si="1994"/>
        <v>0</v>
      </c>
      <c r="CH224" s="538">
        <f t="shared" si="1995"/>
        <v>0</v>
      </c>
      <c r="CI224" s="104">
        <f t="shared" si="1927"/>
        <v>0.53549999999999998</v>
      </c>
      <c r="CJ224" s="538">
        <f t="shared" si="1996"/>
        <v>8.0391999999998465</v>
      </c>
      <c r="CK224" s="538">
        <f t="shared" si="1997"/>
        <v>8.0391999999998465</v>
      </c>
      <c r="CL224" s="538">
        <f t="shared" si="1998"/>
        <v>0</v>
      </c>
      <c r="CM224" s="538">
        <f t="shared" si="1999"/>
        <v>0</v>
      </c>
      <c r="CN224" s="538">
        <f t="shared" si="1841"/>
        <v>3.57</v>
      </c>
      <c r="CO224" s="538">
        <f t="shared" si="2000"/>
        <v>1.8051999999999682</v>
      </c>
      <c r="CP224" s="538">
        <f t="shared" si="2001"/>
        <v>10.709999999999999</v>
      </c>
      <c r="CQ224" s="538">
        <f t="shared" si="2002"/>
        <v>2.1791279999997726</v>
      </c>
      <c r="CR224" s="539">
        <f t="shared" si="2003"/>
        <v>0</v>
      </c>
      <c r="CS224" s="540">
        <f t="shared" si="2004"/>
        <v>0</v>
      </c>
      <c r="CT224" s="540">
        <f t="shared" si="2005"/>
        <v>0.33012999999999998</v>
      </c>
      <c r="CU224" s="541">
        <f t="shared" si="2006"/>
        <v>9.3870399999998355</v>
      </c>
      <c r="CV224" s="538">
        <f t="shared" si="2007"/>
        <v>1.2263411999999903</v>
      </c>
      <c r="CW224" s="538">
        <f t="shared" si="2008"/>
        <v>17.912135999999755</v>
      </c>
      <c r="CX224" s="104">
        <f t="shared" si="2009"/>
        <v>3.57</v>
      </c>
      <c r="CY224" s="542">
        <f t="shared" si="2010"/>
        <v>1.7849999999999999</v>
      </c>
      <c r="CZ224" s="538">
        <f t="shared" si="2011"/>
        <v>2.4513847475961154E-2</v>
      </c>
    </row>
    <row r="225" spans="1:104" s="112" customFormat="1" ht="25" x14ac:dyDescent="0.25">
      <c r="A225" s="100" t="str">
        <f>'BOCA DE LOBO'!C203</f>
        <v>BL20-&gt;PV1-56</v>
      </c>
      <c r="B225" s="100" t="str">
        <f>'BOCA DE LOBO'!A203</f>
        <v>PV1-56</v>
      </c>
      <c r="C225" s="100" t="str">
        <f>VLOOKUP(A225,'BOCA DE LOBO'!C:F,3,0)</f>
        <v>EXISTENTE</v>
      </c>
      <c r="D225" s="100" t="str">
        <f>VLOOKUP(A225,'BOCA DE LOBO'!C:M,10,0)</f>
        <v>PROJETADA</v>
      </c>
      <c r="E225" s="100">
        <f t="shared" si="1928"/>
        <v>1.8062</v>
      </c>
      <c r="F225" s="100">
        <f>VLOOKUP(A225,'BOCA DE LOBO'!$C$178:$L$224,2,0)</f>
        <v>2</v>
      </c>
      <c r="G225" s="100">
        <f>VLOOKUP(A225,'BOCA DE LOBO'!$C$178:$L$224,4,0)</f>
        <v>4.8449999999999998</v>
      </c>
      <c r="H225" s="101">
        <v>400</v>
      </c>
      <c r="I225" s="102">
        <f t="shared" si="1929"/>
        <v>2.0331000000000001</v>
      </c>
      <c r="J225" s="102">
        <f t="shared" si="1930"/>
        <v>0.49251847499999996</v>
      </c>
      <c r="K225" s="103">
        <v>0</v>
      </c>
      <c r="L225" s="104">
        <f t="shared" si="1931"/>
        <v>1</v>
      </c>
      <c r="M225" s="104">
        <f t="shared" si="1932"/>
        <v>1</v>
      </c>
      <c r="N225" s="104">
        <f t="shared" si="1933"/>
        <v>0</v>
      </c>
      <c r="O225" s="104">
        <f t="shared" si="1934"/>
        <v>4.8449999999999998</v>
      </c>
      <c r="P225" s="105" t="s">
        <v>2179</v>
      </c>
      <c r="Q225" s="468" t="s">
        <v>2065</v>
      </c>
      <c r="R225" s="105"/>
      <c r="S225" s="105">
        <f>VLOOKUP(Q225,Quantitativos!P:R,3,0)</f>
        <v>5</v>
      </c>
      <c r="T225" s="105">
        <f>VLOOKUP(Q225,Quantitativos!P:S,4,0)</f>
        <v>5</v>
      </c>
      <c r="U225" s="104">
        <f t="shared" si="1935"/>
        <v>0.05</v>
      </c>
      <c r="V225" s="106">
        <f t="shared" si="1936"/>
        <v>0</v>
      </c>
      <c r="W225" s="106">
        <f t="shared" si="1937"/>
        <v>9.8503694999999993</v>
      </c>
      <c r="X225" s="107">
        <f t="shared" si="1938"/>
        <v>0</v>
      </c>
      <c r="Y225" s="107">
        <f t="shared" si="1939"/>
        <v>0</v>
      </c>
      <c r="Z225" s="107">
        <f t="shared" si="1940"/>
        <v>2.0331000000000001</v>
      </c>
      <c r="AA225" s="107">
        <f t="shared" si="1941"/>
        <v>0</v>
      </c>
      <c r="AB225" s="108">
        <f t="shared" si="1942"/>
        <v>0</v>
      </c>
      <c r="AC225" s="109">
        <f t="shared" si="1943"/>
        <v>0</v>
      </c>
      <c r="AD225" s="109">
        <f t="shared" si="1944"/>
        <v>0</v>
      </c>
      <c r="AE225" s="109">
        <f t="shared" si="1945"/>
        <v>0</v>
      </c>
      <c r="AF225" s="109">
        <f t="shared" si="1946"/>
        <v>7.2675000000000001</v>
      </c>
      <c r="AG225" s="109">
        <f t="shared" si="1947"/>
        <v>2.5828695000000006</v>
      </c>
      <c r="AH225" s="109">
        <f t="shared" si="1948"/>
        <v>0</v>
      </c>
      <c r="AI225" s="537" t="str">
        <f t="shared" si="1949"/>
        <v>NÃO</v>
      </c>
      <c r="AJ225" s="104">
        <f t="shared" si="1950"/>
        <v>0</v>
      </c>
      <c r="AK225" s="104">
        <f t="shared" si="1951"/>
        <v>0</v>
      </c>
      <c r="AL225" s="104">
        <f t="shared" si="1952"/>
        <v>9.2415288437342973</v>
      </c>
      <c r="AM225" s="102">
        <f t="shared" si="1953"/>
        <v>0.24224999999999999</v>
      </c>
      <c r="AN225" s="106">
        <f t="shared" si="1954"/>
        <v>0</v>
      </c>
      <c r="AO225" s="104">
        <f t="shared" si="1955"/>
        <v>0</v>
      </c>
      <c r="AP225" s="104">
        <f t="shared" si="1956"/>
        <v>0</v>
      </c>
      <c r="AQ225" s="104">
        <f t="shared" si="1957"/>
        <v>0.7</v>
      </c>
      <c r="AR225" s="104">
        <f t="shared" si="1958"/>
        <v>2.7826593437342977</v>
      </c>
      <c r="AS225" s="104">
        <f t="shared" si="1959"/>
        <v>0</v>
      </c>
      <c r="AT225" s="104">
        <f t="shared" si="1960"/>
        <v>0</v>
      </c>
      <c r="AU225" s="104">
        <f t="shared" si="1961"/>
        <v>0</v>
      </c>
      <c r="AV225" s="104">
        <f t="shared" si="1962"/>
        <v>0</v>
      </c>
      <c r="AW225" s="104">
        <f t="shared" si="1963"/>
        <v>6.2166194999999993</v>
      </c>
      <c r="AX225" s="104">
        <f t="shared" si="1964"/>
        <v>7.0677101562657034</v>
      </c>
      <c r="AY225" s="104">
        <f t="shared" si="1965"/>
        <v>6.2166194999999993</v>
      </c>
      <c r="AZ225" s="104">
        <f t="shared" si="1966"/>
        <v>0</v>
      </c>
      <c r="BA225" s="104">
        <f t="shared" si="1967"/>
        <v>0</v>
      </c>
      <c r="BB225" s="104">
        <f t="shared" si="1968"/>
        <v>0</v>
      </c>
      <c r="BC225" s="104"/>
      <c r="BD225" s="104">
        <f t="shared" si="1969"/>
        <v>0</v>
      </c>
      <c r="BE225" s="108">
        <f t="shared" si="1970"/>
        <v>2.0331000000000001</v>
      </c>
      <c r="BF225" s="110">
        <f t="shared" si="1971"/>
        <v>0</v>
      </c>
      <c r="BG225" s="110">
        <f t="shared" si="1972"/>
        <v>4.8449999999999998</v>
      </c>
      <c r="BH225" s="105" t="str">
        <f>VLOOKUP(A225,'BOCA DE LOBO'!C:I,7,0)</f>
        <v>BOCA DE LOBO PROJETADA TRIPLA</v>
      </c>
      <c r="BI225" s="104">
        <f t="shared" si="1973"/>
        <v>0</v>
      </c>
      <c r="BJ225" s="104">
        <f t="shared" si="1974"/>
        <v>0</v>
      </c>
      <c r="BK225" s="104">
        <f t="shared" si="1975"/>
        <v>0</v>
      </c>
      <c r="BL225" s="104">
        <f t="shared" si="1976"/>
        <v>0</v>
      </c>
      <c r="BM225" s="104">
        <f t="shared" si="1977"/>
        <v>0</v>
      </c>
      <c r="BN225" s="104">
        <f t="shared" si="1978"/>
        <v>0</v>
      </c>
      <c r="BO225" s="104">
        <f t="shared" si="1979"/>
        <v>1</v>
      </c>
      <c r="BP225" s="111"/>
      <c r="BQ225" s="108">
        <f t="shared" si="1980"/>
        <v>14.535</v>
      </c>
      <c r="BR225" s="108">
        <f t="shared" si="1981"/>
        <v>5.1657390000000012</v>
      </c>
      <c r="BS225" s="108">
        <f t="shared" si="1982"/>
        <v>0</v>
      </c>
      <c r="BV225" s="538">
        <f t="shared" si="1983"/>
        <v>18.742576159999995</v>
      </c>
      <c r="BW225" s="538">
        <f t="shared" si="1984"/>
        <v>10.376799999999998</v>
      </c>
      <c r="BX225" s="538">
        <f t="shared" si="1985"/>
        <v>4.4367999999999999</v>
      </c>
      <c r="BY225" s="538">
        <f t="shared" si="1986"/>
        <v>1.8062</v>
      </c>
      <c r="BZ225" s="538">
        <f t="shared" si="1987"/>
        <v>1.8062</v>
      </c>
      <c r="CA225" s="538">
        <f t="shared" si="1988"/>
        <v>0</v>
      </c>
      <c r="CB225" s="538">
        <f t="shared" si="1989"/>
        <v>0</v>
      </c>
      <c r="CC225" s="538">
        <f t="shared" si="1990"/>
        <v>15.565199999999997</v>
      </c>
      <c r="CD225" s="538">
        <f t="shared" si="1991"/>
        <v>3.1773761599999997</v>
      </c>
      <c r="CE225" s="538">
        <f t="shared" si="1992"/>
        <v>0</v>
      </c>
      <c r="CF225" s="538">
        <f t="shared" si="1993"/>
        <v>0</v>
      </c>
      <c r="CG225" s="538">
        <f t="shared" si="1994"/>
        <v>0</v>
      </c>
      <c r="CH225" s="538">
        <f t="shared" si="1995"/>
        <v>0</v>
      </c>
      <c r="CI225" s="104">
        <f t="shared" si="1927"/>
        <v>0.71399999999999997</v>
      </c>
      <c r="CJ225" s="538">
        <f t="shared" si="1996"/>
        <v>10.014827999999996</v>
      </c>
      <c r="CK225" s="538">
        <f t="shared" si="1997"/>
        <v>10.014827999999996</v>
      </c>
      <c r="CL225" s="538">
        <f t="shared" si="1998"/>
        <v>0</v>
      </c>
      <c r="CM225" s="538">
        <f t="shared" si="1999"/>
        <v>0</v>
      </c>
      <c r="CN225" s="538">
        <f t="shared" si="1841"/>
        <v>4.76</v>
      </c>
      <c r="CO225" s="538">
        <f t="shared" si="2000"/>
        <v>1.8062</v>
      </c>
      <c r="CP225" s="538">
        <f t="shared" si="2001"/>
        <v>14.28</v>
      </c>
      <c r="CQ225" s="538">
        <f t="shared" si="2002"/>
        <v>2.9150240000000003</v>
      </c>
      <c r="CR225" s="539">
        <f t="shared" si="2003"/>
        <v>0</v>
      </c>
      <c r="CS225" s="540">
        <f t="shared" si="2004"/>
        <v>0</v>
      </c>
      <c r="CT225" s="540">
        <f t="shared" si="2005"/>
        <v>0.45984000000000003</v>
      </c>
      <c r="CU225" s="541">
        <f t="shared" si="2006"/>
        <v>13.00464</v>
      </c>
      <c r="CV225" s="538">
        <f t="shared" si="2007"/>
        <v>1.6722315000000001</v>
      </c>
      <c r="CW225" s="538">
        <f t="shared" si="2008"/>
        <v>22.961320000000001</v>
      </c>
      <c r="CX225" s="104">
        <f t="shared" si="2009"/>
        <v>4.76</v>
      </c>
      <c r="CY225" s="542">
        <f t="shared" si="2010"/>
        <v>2.38</v>
      </c>
      <c r="CZ225" s="538">
        <f t="shared" si="2011"/>
        <v>2.4513847475961154E-2</v>
      </c>
    </row>
    <row r="226" spans="1:104" s="112" customFormat="1" ht="25" x14ac:dyDescent="0.25">
      <c r="A226" s="100" t="str">
        <f>'BOCA DE LOBO'!C204</f>
        <v>BL21-&gt;PV4-57</v>
      </c>
      <c r="B226" s="100" t="str">
        <f>'BOCA DE LOBO'!A204</f>
        <v>PV4-57</v>
      </c>
      <c r="C226" s="100" t="str">
        <f>VLOOKUP(A226,'BOCA DE LOBO'!C:F,3,0)</f>
        <v>EXISTENTE</v>
      </c>
      <c r="D226" s="100" t="str">
        <f>VLOOKUP(A226,'BOCA DE LOBO'!C:M,10,0)</f>
        <v>PROJETADA</v>
      </c>
      <c r="E226" s="100">
        <f t="shared" si="1928"/>
        <v>2.2532000000000862</v>
      </c>
      <c r="F226" s="100">
        <f>VLOOKUP(A226,'BOCA DE LOBO'!$C$178:$L$224,2,0)</f>
        <v>2.5300000000000864</v>
      </c>
      <c r="G226" s="100">
        <f>VLOOKUP(A226,'BOCA DE LOBO'!$C$178:$L$224,4,0)</f>
        <v>6.92</v>
      </c>
      <c r="H226" s="101">
        <v>400</v>
      </c>
      <c r="I226" s="102">
        <f t="shared" si="1929"/>
        <v>2.5216000000000864</v>
      </c>
      <c r="J226" s="102">
        <f t="shared" si="1930"/>
        <v>0.87247360000002983</v>
      </c>
      <c r="K226" s="103">
        <v>0</v>
      </c>
      <c r="L226" s="104">
        <f t="shared" si="1931"/>
        <v>1</v>
      </c>
      <c r="M226" s="104">
        <f t="shared" si="1932"/>
        <v>1</v>
      </c>
      <c r="N226" s="104">
        <f t="shared" si="1933"/>
        <v>0</v>
      </c>
      <c r="O226" s="104">
        <f t="shared" si="1934"/>
        <v>6.92</v>
      </c>
      <c r="P226" s="105" t="s">
        <v>2179</v>
      </c>
      <c r="Q226" s="468" t="s">
        <v>2068</v>
      </c>
      <c r="R226" s="105"/>
      <c r="S226" s="105">
        <f>VLOOKUP(Q226,Quantitativos!P:R,3,0)</f>
        <v>2.2999999999999998</v>
      </c>
      <c r="T226" s="105">
        <f>VLOOKUP(Q226,Quantitativos!P:S,4,0)</f>
        <v>5</v>
      </c>
      <c r="U226" s="104">
        <f t="shared" si="1935"/>
        <v>0.05</v>
      </c>
      <c r="V226" s="106">
        <f t="shared" si="1936"/>
        <v>0</v>
      </c>
      <c r="W226" s="106">
        <f t="shared" si="1937"/>
        <v>17.449472000000597</v>
      </c>
      <c r="X226" s="107">
        <f t="shared" si="1938"/>
        <v>0</v>
      </c>
      <c r="Y226" s="107">
        <f t="shared" si="1939"/>
        <v>0</v>
      </c>
      <c r="Z226" s="107">
        <f t="shared" si="1940"/>
        <v>2.2999999999999998</v>
      </c>
      <c r="AA226" s="107">
        <f t="shared" si="1941"/>
        <v>0.22160000000008662</v>
      </c>
      <c r="AB226" s="108">
        <f t="shared" si="1942"/>
        <v>0</v>
      </c>
      <c r="AC226" s="109">
        <f t="shared" si="1943"/>
        <v>0</v>
      </c>
      <c r="AD226" s="109">
        <f t="shared" si="1944"/>
        <v>0</v>
      </c>
      <c r="AE226" s="109">
        <f t="shared" si="1945"/>
        <v>0</v>
      </c>
      <c r="AF226" s="109">
        <f t="shared" si="1946"/>
        <v>10.379999999999999</v>
      </c>
      <c r="AG226" s="109">
        <f t="shared" si="1947"/>
        <v>5.5359999999999987</v>
      </c>
      <c r="AH226" s="109">
        <f t="shared" si="1948"/>
        <v>0</v>
      </c>
      <c r="AI226" s="537" t="str">
        <f t="shared" si="1949"/>
        <v>SIM</v>
      </c>
      <c r="AJ226" s="104">
        <f t="shared" si="1950"/>
        <v>1.5334720000006001</v>
      </c>
      <c r="AK226" s="104">
        <f t="shared" si="1951"/>
        <v>0</v>
      </c>
      <c r="AL226" s="104">
        <f t="shared" si="1952"/>
        <v>16.579879153486942</v>
      </c>
      <c r="AM226" s="102">
        <f t="shared" si="1953"/>
        <v>0.34600000000000003</v>
      </c>
      <c r="AN226" s="106">
        <f t="shared" si="1954"/>
        <v>0</v>
      </c>
      <c r="AO226" s="104">
        <f t="shared" si="1955"/>
        <v>0</v>
      </c>
      <c r="AP226" s="104">
        <f t="shared" si="1956"/>
        <v>0</v>
      </c>
      <c r="AQ226" s="104">
        <f t="shared" si="1957"/>
        <v>0.7</v>
      </c>
      <c r="AR226" s="104">
        <f t="shared" si="1958"/>
        <v>3.9744071534863448</v>
      </c>
      <c r="AS226" s="104">
        <f t="shared" si="1959"/>
        <v>0</v>
      </c>
      <c r="AT226" s="104">
        <f t="shared" si="1960"/>
        <v>0</v>
      </c>
      <c r="AU226" s="104">
        <f t="shared" si="1961"/>
        <v>0</v>
      </c>
      <c r="AV226" s="104">
        <f t="shared" si="1962"/>
        <v>0</v>
      </c>
      <c r="AW226" s="104">
        <f t="shared" si="1963"/>
        <v>12.259472000000597</v>
      </c>
      <c r="AX226" s="104">
        <f t="shared" si="1964"/>
        <v>11.941592846513652</v>
      </c>
      <c r="AY226" s="104">
        <f t="shared" si="1965"/>
        <v>11.941592846513652</v>
      </c>
      <c r="AZ226" s="104">
        <f t="shared" si="1966"/>
        <v>0.3178791534869454</v>
      </c>
      <c r="BA226" s="104">
        <f t="shared" si="1967"/>
        <v>0.3178791534869454</v>
      </c>
      <c r="BB226" s="104">
        <f t="shared" si="1968"/>
        <v>0</v>
      </c>
      <c r="BC226" s="104"/>
      <c r="BD226" s="104">
        <f t="shared" si="1969"/>
        <v>0</v>
      </c>
      <c r="BE226" s="108">
        <f t="shared" si="1970"/>
        <v>2.5216000000000864</v>
      </c>
      <c r="BF226" s="110">
        <f t="shared" si="1971"/>
        <v>0</v>
      </c>
      <c r="BG226" s="110">
        <f t="shared" si="1972"/>
        <v>6.92</v>
      </c>
      <c r="BH226" s="105" t="str">
        <f>VLOOKUP(A226,'BOCA DE LOBO'!C:I,7,0)</f>
        <v>BOCA DE LOBO PROJETADA DUPLA</v>
      </c>
      <c r="BI226" s="104">
        <f t="shared" si="1973"/>
        <v>0</v>
      </c>
      <c r="BJ226" s="104">
        <f t="shared" si="1974"/>
        <v>0</v>
      </c>
      <c r="BK226" s="104">
        <f t="shared" si="1975"/>
        <v>0</v>
      </c>
      <c r="BL226" s="104">
        <f t="shared" si="1976"/>
        <v>0</v>
      </c>
      <c r="BM226" s="104">
        <f t="shared" si="1977"/>
        <v>0</v>
      </c>
      <c r="BN226" s="104">
        <f t="shared" si="1978"/>
        <v>1</v>
      </c>
      <c r="BO226" s="104">
        <f t="shared" si="1979"/>
        <v>0</v>
      </c>
      <c r="BP226" s="111"/>
      <c r="BQ226" s="108">
        <f t="shared" si="1980"/>
        <v>20.759999999999998</v>
      </c>
      <c r="BR226" s="108">
        <f t="shared" si="1981"/>
        <v>14.138944000001196</v>
      </c>
      <c r="BS226" s="108">
        <f t="shared" si="1982"/>
        <v>0</v>
      </c>
      <c r="BV226" s="538">
        <f t="shared" si="1983"/>
        <v>17.535754320000667</v>
      </c>
      <c r="BW226" s="538">
        <f t="shared" si="1984"/>
        <v>7.7825999999999986</v>
      </c>
      <c r="BX226" s="538">
        <f t="shared" si="1985"/>
        <v>3.0325999999999995</v>
      </c>
      <c r="BY226" s="538">
        <f t="shared" si="1986"/>
        <v>2.2532000000000862</v>
      </c>
      <c r="BZ226" s="538">
        <f t="shared" si="1987"/>
        <v>2.2532000000000862</v>
      </c>
      <c r="CA226" s="538">
        <f t="shared" si="1988"/>
        <v>0</v>
      </c>
      <c r="CB226" s="538">
        <f t="shared" si="1989"/>
        <v>0</v>
      </c>
      <c r="CC226" s="538">
        <f t="shared" si="1990"/>
        <v>11.673899999999998</v>
      </c>
      <c r="CD226" s="538">
        <f t="shared" si="1991"/>
        <v>5.8618543200006705</v>
      </c>
      <c r="CE226" s="538">
        <f t="shared" si="1992"/>
        <v>0</v>
      </c>
      <c r="CF226" s="538">
        <f t="shared" si="1993"/>
        <v>0</v>
      </c>
      <c r="CG226" s="538">
        <f t="shared" si="1994"/>
        <v>0</v>
      </c>
      <c r="CH226" s="538">
        <f t="shared" si="1995"/>
        <v>0</v>
      </c>
      <c r="CI226" s="104">
        <f t="shared" si="1927"/>
        <v>0.53549999999999998</v>
      </c>
      <c r="CJ226" s="538">
        <f t="shared" si="1996"/>
        <v>10.167200000000406</v>
      </c>
      <c r="CK226" s="538">
        <f t="shared" si="1997"/>
        <v>10.167200000000406</v>
      </c>
      <c r="CL226" s="538">
        <f t="shared" si="1998"/>
        <v>0</v>
      </c>
      <c r="CM226" s="538">
        <f t="shared" si="1999"/>
        <v>0</v>
      </c>
      <c r="CN226" s="538">
        <f t="shared" si="1841"/>
        <v>3.57</v>
      </c>
      <c r="CO226" s="538">
        <f t="shared" si="2000"/>
        <v>2.2532000000000862</v>
      </c>
      <c r="CP226" s="538">
        <f t="shared" si="2001"/>
        <v>10.709999999999999</v>
      </c>
      <c r="CQ226" s="538">
        <f t="shared" si="2002"/>
        <v>5.3778480000006157</v>
      </c>
      <c r="CR226" s="539">
        <f t="shared" si="2003"/>
        <v>0</v>
      </c>
      <c r="CS226" s="540">
        <f t="shared" si="2004"/>
        <v>0</v>
      </c>
      <c r="CT226" s="540">
        <f t="shared" si="2005"/>
        <v>0.33012999999999998</v>
      </c>
      <c r="CU226" s="541">
        <f t="shared" si="2006"/>
        <v>11.716640000000449</v>
      </c>
      <c r="CV226" s="538">
        <f t="shared" si="2007"/>
        <v>1.3634292000000263</v>
      </c>
      <c r="CW226" s="538">
        <f t="shared" si="2008"/>
        <v>21.352776000000659</v>
      </c>
      <c r="CX226" s="104">
        <f t="shared" si="2009"/>
        <v>3.57</v>
      </c>
      <c r="CY226" s="542">
        <f t="shared" si="2010"/>
        <v>1.7849999999999999</v>
      </c>
      <c r="CZ226" s="538">
        <f t="shared" si="2011"/>
        <v>2.4513847475961154E-2</v>
      </c>
    </row>
    <row r="227" spans="1:104" s="112" customFormat="1" ht="37.5" x14ac:dyDescent="0.25">
      <c r="A227" s="100" t="str">
        <f>'BOCA DE LOBO'!C205</f>
        <v>BL22-&gt;PV1-59</v>
      </c>
      <c r="B227" s="100" t="str">
        <f>'BOCA DE LOBO'!A205</f>
        <v>PV1-59</v>
      </c>
      <c r="C227" s="100" t="str">
        <f>VLOOKUP(A227,'BOCA DE LOBO'!C:F,3,0)</f>
        <v>EXISTENTE</v>
      </c>
      <c r="D227" s="100" t="str">
        <f>VLOOKUP(A227,'BOCA DE LOBO'!C:M,10,0)</f>
        <v>AMPLIADA</v>
      </c>
      <c r="E227" s="100">
        <f t="shared" si="1928"/>
        <v>1.6999999999999318</v>
      </c>
      <c r="F227" s="100">
        <f>VLOOKUP(A227,'BOCA DE LOBO'!$C$178:$L$224,2,0)</f>
        <v>1.6999999999999318</v>
      </c>
      <c r="G227" s="100">
        <f>VLOOKUP(A227,'BOCA DE LOBO'!$C$178:$L$224,4,0)</f>
        <v>0</v>
      </c>
      <c r="H227" s="101">
        <v>400</v>
      </c>
      <c r="I227" s="102">
        <f t="shared" si="1929"/>
        <v>1.8299999999999319</v>
      </c>
      <c r="J227" s="102">
        <f t="shared" si="1930"/>
        <v>0</v>
      </c>
      <c r="K227" s="103">
        <v>0</v>
      </c>
      <c r="L227" s="104">
        <f t="shared" si="1931"/>
        <v>0</v>
      </c>
      <c r="M227" s="104">
        <f t="shared" si="1932"/>
        <v>0</v>
      </c>
      <c r="N227" s="104">
        <f t="shared" si="1933"/>
        <v>400</v>
      </c>
      <c r="O227" s="104">
        <f t="shared" si="1934"/>
        <v>0</v>
      </c>
      <c r="P227" s="105" t="s">
        <v>2179</v>
      </c>
      <c r="Q227" s="144" t="s">
        <v>2175</v>
      </c>
      <c r="R227" s="105">
        <v>1</v>
      </c>
      <c r="S227" s="105">
        <v>19.77</v>
      </c>
      <c r="T227" s="105">
        <v>5</v>
      </c>
      <c r="U227" s="104">
        <f t="shared" si="1935"/>
        <v>0.05</v>
      </c>
      <c r="V227" s="106">
        <f t="shared" si="1936"/>
        <v>0</v>
      </c>
      <c r="W227" s="106">
        <f t="shared" si="1937"/>
        <v>0</v>
      </c>
      <c r="X227" s="107">
        <f t="shared" si="1938"/>
        <v>0</v>
      </c>
      <c r="Y227" s="107">
        <f t="shared" si="1939"/>
        <v>0.4</v>
      </c>
      <c r="Z227" s="107">
        <f t="shared" si="1940"/>
        <v>1.8299999999999319</v>
      </c>
      <c r="AA227" s="107">
        <f t="shared" si="1941"/>
        <v>0</v>
      </c>
      <c r="AB227" s="108">
        <f t="shared" si="1942"/>
        <v>0</v>
      </c>
      <c r="AC227" s="109">
        <f t="shared" si="1943"/>
        <v>0</v>
      </c>
      <c r="AD227" s="109">
        <f t="shared" si="1944"/>
        <v>0</v>
      </c>
      <c r="AE227" s="109">
        <f t="shared" si="1945"/>
        <v>0</v>
      </c>
      <c r="AF227" s="109">
        <f t="shared" si="1946"/>
        <v>0</v>
      </c>
      <c r="AG227" s="109">
        <f t="shared" si="1947"/>
        <v>0</v>
      </c>
      <c r="AH227" s="109">
        <f t="shared" si="1948"/>
        <v>0</v>
      </c>
      <c r="AI227" s="537" t="str">
        <f t="shared" si="1949"/>
        <v>NÃO</v>
      </c>
      <c r="AJ227" s="104">
        <f t="shared" si="1950"/>
        <v>0</v>
      </c>
      <c r="AK227" s="104">
        <f t="shared" si="1951"/>
        <v>0</v>
      </c>
      <c r="AL227" s="104">
        <f t="shared" si="1952"/>
        <v>0</v>
      </c>
      <c r="AM227" s="102">
        <f t="shared" si="1953"/>
        <v>0</v>
      </c>
      <c r="AN227" s="106">
        <f t="shared" si="1954"/>
        <v>0</v>
      </c>
      <c r="AO227" s="104">
        <f t="shared" si="1955"/>
        <v>0</v>
      </c>
      <c r="AP227" s="104">
        <f t="shared" si="1956"/>
        <v>0</v>
      </c>
      <c r="AQ227" s="104">
        <f t="shared" si="1957"/>
        <v>0.7</v>
      </c>
      <c r="AR227" s="104">
        <f t="shared" si="1958"/>
        <v>0</v>
      </c>
      <c r="AS227" s="104">
        <f t="shared" si="1959"/>
        <v>0</v>
      </c>
      <c r="AT227" s="104">
        <f t="shared" si="1960"/>
        <v>0</v>
      </c>
      <c r="AU227" s="104">
        <f t="shared" si="1961"/>
        <v>0</v>
      </c>
      <c r="AV227" s="104">
        <f t="shared" si="1962"/>
        <v>0</v>
      </c>
      <c r="AW227" s="104">
        <f t="shared" si="1963"/>
        <v>0</v>
      </c>
      <c r="AX227" s="104">
        <f t="shared" si="1964"/>
        <v>0</v>
      </c>
      <c r="AY227" s="104">
        <f t="shared" si="1965"/>
        <v>0</v>
      </c>
      <c r="AZ227" s="104">
        <f t="shared" si="1966"/>
        <v>0</v>
      </c>
      <c r="BA227" s="104">
        <f t="shared" si="1967"/>
        <v>0</v>
      </c>
      <c r="BB227" s="104">
        <f t="shared" si="1968"/>
        <v>0</v>
      </c>
      <c r="BC227" s="104"/>
      <c r="BD227" s="104">
        <f t="shared" si="1969"/>
        <v>0</v>
      </c>
      <c r="BE227" s="108">
        <f t="shared" si="1970"/>
        <v>1.8299999999999319</v>
      </c>
      <c r="BF227" s="110">
        <f t="shared" si="1971"/>
        <v>0</v>
      </c>
      <c r="BG227" s="110">
        <f t="shared" si="1972"/>
        <v>0</v>
      </c>
      <c r="BH227" s="105" t="str">
        <f>VLOOKUP(A227,'BOCA DE LOBO'!C:I,7,0)</f>
        <v>BOCA DE LOBO SIMPLES EXISTENTE COM BOCA DE LOBO SIMPLES PROJETADA</v>
      </c>
      <c r="BI227" s="104">
        <f t="shared" si="1973"/>
        <v>0</v>
      </c>
      <c r="BJ227" s="104">
        <f t="shared" si="1974"/>
        <v>1</v>
      </c>
      <c r="BK227" s="104">
        <f t="shared" si="1975"/>
        <v>0</v>
      </c>
      <c r="BL227" s="104">
        <f t="shared" si="1976"/>
        <v>0</v>
      </c>
      <c r="BM227" s="104">
        <f t="shared" si="1977"/>
        <v>0</v>
      </c>
      <c r="BN227" s="104">
        <f t="shared" si="1978"/>
        <v>0</v>
      </c>
      <c r="BO227" s="104">
        <f t="shared" si="1979"/>
        <v>0</v>
      </c>
      <c r="BP227" s="111"/>
      <c r="BQ227" s="108">
        <f t="shared" si="1980"/>
        <v>0</v>
      </c>
      <c r="BR227" s="108">
        <f t="shared" si="1981"/>
        <v>0</v>
      </c>
      <c r="BS227" s="108">
        <f t="shared" si="1982"/>
        <v>0</v>
      </c>
      <c r="BV227" s="538">
        <f t="shared" si="1983"/>
        <v>8.0572799999997482</v>
      </c>
      <c r="BW227" s="538">
        <f t="shared" si="1984"/>
        <v>3.6623999999999994</v>
      </c>
      <c r="BX227" s="538">
        <f t="shared" si="1985"/>
        <v>1.3923999999999999</v>
      </c>
      <c r="BY227" s="538">
        <f t="shared" si="1986"/>
        <v>1.6999999999999318</v>
      </c>
      <c r="BZ227" s="538">
        <f t="shared" si="1987"/>
        <v>1.6999999999999318</v>
      </c>
      <c r="CA227" s="538">
        <f t="shared" si="1988"/>
        <v>0.4</v>
      </c>
      <c r="CB227" s="538">
        <f t="shared" si="1989"/>
        <v>0</v>
      </c>
      <c r="CC227" s="538">
        <f t="shared" si="1990"/>
        <v>5.4935999999999989</v>
      </c>
      <c r="CD227" s="538">
        <f t="shared" si="1991"/>
        <v>0.73247999999975011</v>
      </c>
      <c r="CE227" s="538">
        <f t="shared" si="1992"/>
        <v>0</v>
      </c>
      <c r="CF227" s="538">
        <f t="shared" si="1993"/>
        <v>1.4649599999999998</v>
      </c>
      <c r="CG227" s="538">
        <f t="shared" si="1994"/>
        <v>0.36623999999999945</v>
      </c>
      <c r="CH227" s="538">
        <f t="shared" si="1995"/>
        <v>0</v>
      </c>
      <c r="CI227" s="104">
        <f t="shared" si="1927"/>
        <v>0.252</v>
      </c>
      <c r="CJ227" s="538">
        <f t="shared" si="1996"/>
        <v>4.5149999999998442</v>
      </c>
      <c r="CK227" s="538">
        <f t="shared" si="1997"/>
        <v>4.5149999999998442</v>
      </c>
      <c r="CL227" s="538">
        <f t="shared" si="1998"/>
        <v>0</v>
      </c>
      <c r="CM227" s="538">
        <f t="shared" si="1999"/>
        <v>7.3247999999999994E-2</v>
      </c>
      <c r="CN227" s="538">
        <f t="shared" si="1841"/>
        <v>1.68</v>
      </c>
      <c r="CO227" s="538">
        <f t="shared" si="2000"/>
        <v>2.1999999999999318</v>
      </c>
      <c r="CP227" s="538">
        <f t="shared" si="2001"/>
        <v>5.04</v>
      </c>
      <c r="CQ227" s="538">
        <f t="shared" si="2002"/>
        <v>2.3519999999997707</v>
      </c>
      <c r="CR227" s="539">
        <f t="shared" si="2003"/>
        <v>0.65999999999996251</v>
      </c>
      <c r="CS227" s="540">
        <f t="shared" si="2004"/>
        <v>3.4679999999998608E-2</v>
      </c>
      <c r="CT227" s="540">
        <f t="shared" si="2005"/>
        <v>0.15421000000000001</v>
      </c>
      <c r="CU227" s="541">
        <f t="shared" si="2006"/>
        <v>4.4199999999998232</v>
      </c>
      <c r="CV227" s="538">
        <f t="shared" si="2007"/>
        <v>0.73883999999998606</v>
      </c>
      <c r="CW227" s="538">
        <f t="shared" si="2008"/>
        <v>11.66859999999965</v>
      </c>
      <c r="CX227" s="104">
        <f t="shared" si="2009"/>
        <v>1.68</v>
      </c>
      <c r="CY227" s="542">
        <f t="shared" si="2010"/>
        <v>0.84</v>
      </c>
      <c r="CZ227" s="538">
        <f t="shared" si="2011"/>
        <v>0</v>
      </c>
    </row>
    <row r="228" spans="1:104" s="112" customFormat="1" ht="25" x14ac:dyDescent="0.25">
      <c r="A228" s="100" t="str">
        <f>'BOCA DE LOBO'!C206</f>
        <v>BL23-&gt;PV6-59</v>
      </c>
      <c r="B228" s="100" t="str">
        <f>'BOCA DE LOBO'!A206</f>
        <v>PV6-59</v>
      </c>
      <c r="C228" s="100" t="str">
        <f>VLOOKUP(A228,'BOCA DE LOBO'!C:F,3,0)</f>
        <v>EXISTENTE</v>
      </c>
      <c r="D228" s="100" t="str">
        <f>VLOOKUP(A228,'BOCA DE LOBO'!C:M,10,0)</f>
        <v>PROJETADA</v>
      </c>
      <c r="E228" s="100">
        <f t="shared" si="1928"/>
        <v>2.5</v>
      </c>
      <c r="F228" s="100">
        <f>VLOOKUP(A228,'BOCA DE LOBO'!$C$178:$L$224,2,0)</f>
        <v>3.25</v>
      </c>
      <c r="G228" s="100">
        <f>VLOOKUP(A228,'BOCA DE LOBO'!$C$178:$L$224,4,0)</f>
        <v>8.51</v>
      </c>
      <c r="H228" s="101">
        <v>400</v>
      </c>
      <c r="I228" s="102">
        <f t="shared" si="1929"/>
        <v>3.0049999999999999</v>
      </c>
      <c r="J228" s="102">
        <f t="shared" si="1930"/>
        <v>1.2786275</v>
      </c>
      <c r="K228" s="103">
        <v>0</v>
      </c>
      <c r="L228" s="104">
        <f t="shared" si="1931"/>
        <v>1</v>
      </c>
      <c r="M228" s="104">
        <f t="shared" si="1932"/>
        <v>1</v>
      </c>
      <c r="N228" s="104">
        <f t="shared" si="1933"/>
        <v>0</v>
      </c>
      <c r="O228" s="104">
        <f t="shared" si="1934"/>
        <v>8.51</v>
      </c>
      <c r="P228" s="105" t="s">
        <v>2179</v>
      </c>
      <c r="Q228" s="468" t="s">
        <v>2071</v>
      </c>
      <c r="R228" s="105"/>
      <c r="S228" s="105">
        <f>VLOOKUP(Q228,Quantitativos!P:R,3,0)</f>
        <v>5</v>
      </c>
      <c r="T228" s="105">
        <f>VLOOKUP(Q228,Quantitativos!P:S,4,0)</f>
        <v>5</v>
      </c>
      <c r="U228" s="104">
        <f t="shared" si="1935"/>
        <v>0.05</v>
      </c>
      <c r="V228" s="106">
        <f t="shared" si="1936"/>
        <v>0</v>
      </c>
      <c r="W228" s="106">
        <f t="shared" si="1937"/>
        <v>25.57255</v>
      </c>
      <c r="X228" s="107">
        <f t="shared" si="1938"/>
        <v>0</v>
      </c>
      <c r="Y228" s="107">
        <f t="shared" si="1939"/>
        <v>0</v>
      </c>
      <c r="Z228" s="107">
        <f t="shared" si="1940"/>
        <v>3.0049999999999999</v>
      </c>
      <c r="AA228" s="107">
        <f t="shared" si="1941"/>
        <v>0</v>
      </c>
      <c r="AB228" s="108">
        <f t="shared" si="1942"/>
        <v>0</v>
      </c>
      <c r="AC228" s="109">
        <f t="shared" si="1943"/>
        <v>0</v>
      </c>
      <c r="AD228" s="109">
        <f t="shared" si="1944"/>
        <v>0</v>
      </c>
      <c r="AE228" s="109">
        <f t="shared" si="1945"/>
        <v>0</v>
      </c>
      <c r="AF228" s="109">
        <f t="shared" si="1946"/>
        <v>12.765000000000001</v>
      </c>
      <c r="AG228" s="109">
        <f t="shared" si="1947"/>
        <v>12.765000000000001</v>
      </c>
      <c r="AH228" s="109">
        <f t="shared" si="1948"/>
        <v>4.2549999999999089E-2</v>
      </c>
      <c r="AI228" s="537" t="str">
        <f t="shared" si="1949"/>
        <v>NÃO</v>
      </c>
      <c r="AJ228" s="104">
        <f t="shared" si="1950"/>
        <v>0</v>
      </c>
      <c r="AK228" s="104">
        <f t="shared" si="1951"/>
        <v>0</v>
      </c>
      <c r="AL228" s="104">
        <f t="shared" si="1952"/>
        <v>24.503151860718035</v>
      </c>
      <c r="AM228" s="102">
        <f t="shared" si="1953"/>
        <v>0.42549999999999999</v>
      </c>
      <c r="AN228" s="106">
        <f t="shared" si="1954"/>
        <v>0</v>
      </c>
      <c r="AO228" s="104">
        <f t="shared" si="1955"/>
        <v>0</v>
      </c>
      <c r="AP228" s="104">
        <f t="shared" si="1956"/>
        <v>0</v>
      </c>
      <c r="AQ228" s="104">
        <f t="shared" si="1957"/>
        <v>0.7</v>
      </c>
      <c r="AR228" s="104">
        <f t="shared" si="1958"/>
        <v>4.8876018607180338</v>
      </c>
      <c r="AS228" s="104">
        <f t="shared" si="1959"/>
        <v>0</v>
      </c>
      <c r="AT228" s="104">
        <f t="shared" si="1960"/>
        <v>0</v>
      </c>
      <c r="AU228" s="104">
        <f t="shared" si="1961"/>
        <v>0</v>
      </c>
      <c r="AV228" s="104">
        <f t="shared" si="1962"/>
        <v>0</v>
      </c>
      <c r="AW228" s="104">
        <f t="shared" si="1963"/>
        <v>19.190049999999999</v>
      </c>
      <c r="AX228" s="104">
        <f t="shared" si="1964"/>
        <v>20.684948139281964</v>
      </c>
      <c r="AY228" s="104">
        <f t="shared" si="1965"/>
        <v>19.190049999999999</v>
      </c>
      <c r="AZ228" s="104">
        <f t="shared" si="1966"/>
        <v>0</v>
      </c>
      <c r="BA228" s="104">
        <f t="shared" si="1967"/>
        <v>0</v>
      </c>
      <c r="BB228" s="104">
        <f t="shared" si="1968"/>
        <v>0</v>
      </c>
      <c r="BC228" s="104"/>
      <c r="BD228" s="104">
        <f t="shared" si="1969"/>
        <v>0</v>
      </c>
      <c r="BE228" s="108">
        <f t="shared" si="1970"/>
        <v>3.0049999999999999</v>
      </c>
      <c r="BF228" s="110">
        <f t="shared" si="1971"/>
        <v>0</v>
      </c>
      <c r="BG228" s="110">
        <f t="shared" si="1972"/>
        <v>0</v>
      </c>
      <c r="BH228" s="105" t="str">
        <f>VLOOKUP(A228,'BOCA DE LOBO'!C:I,7,0)</f>
        <v>BOCA DE LOBO PROJETADA DUPLA</v>
      </c>
      <c r="BI228" s="104">
        <f t="shared" si="1973"/>
        <v>0</v>
      </c>
      <c r="BJ228" s="104">
        <f t="shared" si="1974"/>
        <v>0</v>
      </c>
      <c r="BK228" s="104">
        <f t="shared" si="1975"/>
        <v>0</v>
      </c>
      <c r="BL228" s="104">
        <f t="shared" si="1976"/>
        <v>0</v>
      </c>
      <c r="BM228" s="104">
        <f t="shared" si="1977"/>
        <v>0</v>
      </c>
      <c r="BN228" s="104">
        <f t="shared" si="1978"/>
        <v>1</v>
      </c>
      <c r="BO228" s="104">
        <f t="shared" si="1979"/>
        <v>0</v>
      </c>
      <c r="BP228" s="111"/>
      <c r="BQ228" s="108">
        <f t="shared" si="1980"/>
        <v>25.53</v>
      </c>
      <c r="BR228" s="108">
        <f t="shared" si="1981"/>
        <v>25.53</v>
      </c>
      <c r="BS228" s="108">
        <f t="shared" si="1982"/>
        <v>8.5099999999998177E-2</v>
      </c>
      <c r="BV228" s="538">
        <f t="shared" si="1983"/>
        <v>19.456499999999998</v>
      </c>
      <c r="BW228" s="538">
        <f t="shared" si="1984"/>
        <v>7.7825999999999986</v>
      </c>
      <c r="BX228" s="538">
        <f t="shared" si="1985"/>
        <v>3.0325999999999995</v>
      </c>
      <c r="BY228" s="538">
        <f t="shared" si="1986"/>
        <v>2.5</v>
      </c>
      <c r="BZ228" s="538">
        <f t="shared" si="1987"/>
        <v>2.5</v>
      </c>
      <c r="CA228" s="538">
        <f t="shared" si="1988"/>
        <v>0</v>
      </c>
      <c r="CB228" s="538">
        <f t="shared" si="1989"/>
        <v>0</v>
      </c>
      <c r="CC228" s="538">
        <f t="shared" si="1990"/>
        <v>11.673899999999998</v>
      </c>
      <c r="CD228" s="538">
        <f t="shared" si="1991"/>
        <v>7.7825999999999986</v>
      </c>
      <c r="CE228" s="538">
        <f t="shared" si="1992"/>
        <v>0</v>
      </c>
      <c r="CF228" s="538">
        <f t="shared" si="1993"/>
        <v>0</v>
      </c>
      <c r="CG228" s="538">
        <f t="shared" si="1994"/>
        <v>0</v>
      </c>
      <c r="CH228" s="538">
        <f t="shared" si="1995"/>
        <v>0</v>
      </c>
      <c r="CI228" s="104">
        <f t="shared" si="1927"/>
        <v>0.53549999999999998</v>
      </c>
      <c r="CJ228" s="538">
        <f t="shared" si="1996"/>
        <v>11.339499999999997</v>
      </c>
      <c r="CK228" s="538">
        <f t="shared" si="1997"/>
        <v>11.339499999999997</v>
      </c>
      <c r="CL228" s="538">
        <f t="shared" si="1998"/>
        <v>0</v>
      </c>
      <c r="CM228" s="538">
        <f t="shared" si="1999"/>
        <v>0</v>
      </c>
      <c r="CN228" s="538">
        <f t="shared" si="1841"/>
        <v>3.57</v>
      </c>
      <c r="CO228" s="538">
        <f t="shared" si="2000"/>
        <v>2.5</v>
      </c>
      <c r="CP228" s="538">
        <f t="shared" si="2001"/>
        <v>10.709999999999999</v>
      </c>
      <c r="CQ228" s="538">
        <f t="shared" si="2002"/>
        <v>7.14</v>
      </c>
      <c r="CR228" s="539">
        <f t="shared" si="2003"/>
        <v>0</v>
      </c>
      <c r="CS228" s="540">
        <f t="shared" si="2004"/>
        <v>0</v>
      </c>
      <c r="CT228" s="540">
        <f t="shared" si="2005"/>
        <v>0.33012999999999998</v>
      </c>
      <c r="CU228" s="541">
        <f t="shared" si="2006"/>
        <v>13</v>
      </c>
      <c r="CV228" s="538">
        <f t="shared" si="2007"/>
        <v>1.43895</v>
      </c>
      <c r="CW228" s="538">
        <f t="shared" si="2008"/>
        <v>23.248199999999997</v>
      </c>
      <c r="CX228" s="104">
        <f t="shared" si="2009"/>
        <v>3.57</v>
      </c>
      <c r="CY228" s="542">
        <f t="shared" si="2010"/>
        <v>1.7849999999999999</v>
      </c>
      <c r="CZ228" s="538">
        <f t="shared" si="2011"/>
        <v>2.4513847475961154E-2</v>
      </c>
    </row>
    <row r="229" spans="1:104" s="112" customFormat="1" ht="25" x14ac:dyDescent="0.25">
      <c r="A229" s="100" t="str">
        <f>'BOCA DE LOBO'!C207</f>
        <v>BL24-&gt;PV6-59</v>
      </c>
      <c r="B229" s="100" t="str">
        <f>'BOCA DE LOBO'!A207</f>
        <v>PV6-59</v>
      </c>
      <c r="C229" s="100" t="str">
        <f>VLOOKUP(A229,'BOCA DE LOBO'!C:F,3,0)</f>
        <v>EXISTENTE</v>
      </c>
      <c r="D229" s="100" t="str">
        <f>VLOOKUP(A229,'BOCA DE LOBO'!C:M,10,0)</f>
        <v>PROJETADA</v>
      </c>
      <c r="E229" s="100">
        <f t="shared" si="1928"/>
        <v>2.5</v>
      </c>
      <c r="F229" s="100">
        <f>VLOOKUP(A229,'BOCA DE LOBO'!$C$178:$L$224,2,0)</f>
        <v>3.25</v>
      </c>
      <c r="G229" s="100">
        <f>VLOOKUP(A229,'BOCA DE LOBO'!$C$178:$L$224,4,0)</f>
        <v>11.7</v>
      </c>
      <c r="H229" s="101">
        <v>400</v>
      </c>
      <c r="I229" s="102">
        <f t="shared" si="1929"/>
        <v>3.0049999999999999</v>
      </c>
      <c r="J229" s="102">
        <f t="shared" si="1930"/>
        <v>1.7579249999999997</v>
      </c>
      <c r="K229" s="103">
        <v>0</v>
      </c>
      <c r="L229" s="104">
        <f t="shared" si="1931"/>
        <v>1</v>
      </c>
      <c r="M229" s="104">
        <f t="shared" si="1932"/>
        <v>1</v>
      </c>
      <c r="N229" s="104">
        <f t="shared" si="1933"/>
        <v>0</v>
      </c>
      <c r="O229" s="104">
        <f t="shared" si="1934"/>
        <v>11.7</v>
      </c>
      <c r="P229" s="105" t="s">
        <v>2179</v>
      </c>
      <c r="Q229" s="468" t="s">
        <v>2071</v>
      </c>
      <c r="R229" s="105"/>
      <c r="S229" s="105">
        <f>VLOOKUP(Q229,Quantitativos!P:R,3,0)</f>
        <v>5</v>
      </c>
      <c r="T229" s="105">
        <f>VLOOKUP(Q229,Quantitativos!P:S,4,0)</f>
        <v>5</v>
      </c>
      <c r="U229" s="104">
        <f t="shared" si="1935"/>
        <v>0.05</v>
      </c>
      <c r="V229" s="106">
        <f t="shared" si="1936"/>
        <v>0</v>
      </c>
      <c r="W229" s="106">
        <f t="shared" si="1937"/>
        <v>35.158499999999997</v>
      </c>
      <c r="X229" s="107">
        <f t="shared" si="1938"/>
        <v>0</v>
      </c>
      <c r="Y229" s="107">
        <f t="shared" si="1939"/>
        <v>0</v>
      </c>
      <c r="Z229" s="107">
        <f t="shared" si="1940"/>
        <v>3.0049999999999999</v>
      </c>
      <c r="AA229" s="107">
        <f t="shared" si="1941"/>
        <v>0</v>
      </c>
      <c r="AB229" s="108">
        <f t="shared" si="1942"/>
        <v>0</v>
      </c>
      <c r="AC229" s="109">
        <f t="shared" si="1943"/>
        <v>0</v>
      </c>
      <c r="AD229" s="109">
        <f t="shared" si="1944"/>
        <v>0</v>
      </c>
      <c r="AE229" s="109">
        <f t="shared" si="1945"/>
        <v>0</v>
      </c>
      <c r="AF229" s="109">
        <f t="shared" si="1946"/>
        <v>17.549999999999997</v>
      </c>
      <c r="AG229" s="109">
        <f t="shared" si="1947"/>
        <v>17.549999999999997</v>
      </c>
      <c r="AH229" s="109">
        <f t="shared" si="1948"/>
        <v>5.8499999999998747E-2</v>
      </c>
      <c r="AI229" s="537" t="str">
        <f t="shared" si="1949"/>
        <v>NÃO</v>
      </c>
      <c r="AJ229" s="104">
        <f t="shared" si="1950"/>
        <v>0</v>
      </c>
      <c r="AK229" s="104">
        <f t="shared" si="1951"/>
        <v>0</v>
      </c>
      <c r="AL229" s="104">
        <f t="shared" si="1952"/>
        <v>33.688234638119972</v>
      </c>
      <c r="AM229" s="102">
        <f t="shared" si="1953"/>
        <v>0.58499999999999996</v>
      </c>
      <c r="AN229" s="106">
        <f t="shared" si="1954"/>
        <v>0</v>
      </c>
      <c r="AO229" s="104">
        <f t="shared" si="1955"/>
        <v>0</v>
      </c>
      <c r="AP229" s="104">
        <f t="shared" si="1956"/>
        <v>0</v>
      </c>
      <c r="AQ229" s="104">
        <f t="shared" si="1957"/>
        <v>0.7</v>
      </c>
      <c r="AR229" s="104">
        <f t="shared" si="1958"/>
        <v>6.7197346381199763</v>
      </c>
      <c r="AS229" s="104">
        <f t="shared" si="1959"/>
        <v>0</v>
      </c>
      <c r="AT229" s="104">
        <f t="shared" si="1960"/>
        <v>0</v>
      </c>
      <c r="AU229" s="104">
        <f t="shared" si="1961"/>
        <v>0</v>
      </c>
      <c r="AV229" s="104">
        <f t="shared" si="1962"/>
        <v>0</v>
      </c>
      <c r="AW229" s="104">
        <f t="shared" si="1963"/>
        <v>26.383499999999994</v>
      </c>
      <c r="AX229" s="104">
        <f t="shared" si="1964"/>
        <v>28.438765361880019</v>
      </c>
      <c r="AY229" s="104">
        <f t="shared" si="1965"/>
        <v>26.383499999999994</v>
      </c>
      <c r="AZ229" s="104">
        <f t="shared" si="1966"/>
        <v>0</v>
      </c>
      <c r="BA229" s="104">
        <f t="shared" si="1967"/>
        <v>0</v>
      </c>
      <c r="BB229" s="104">
        <f t="shared" si="1968"/>
        <v>0</v>
      </c>
      <c r="BC229" s="104"/>
      <c r="BD229" s="104">
        <f t="shared" si="1969"/>
        <v>0</v>
      </c>
      <c r="BE229" s="108">
        <f t="shared" si="1970"/>
        <v>3.0049999999999999</v>
      </c>
      <c r="BF229" s="110">
        <f t="shared" si="1971"/>
        <v>0</v>
      </c>
      <c r="BG229" s="110">
        <f t="shared" si="1972"/>
        <v>0</v>
      </c>
      <c r="BH229" s="105" t="str">
        <f>VLOOKUP(A229,'BOCA DE LOBO'!C:I,7,0)</f>
        <v>BOCA DE LOBO PROJETADA DUPLA</v>
      </c>
      <c r="BI229" s="104">
        <f t="shared" si="1973"/>
        <v>0</v>
      </c>
      <c r="BJ229" s="104">
        <f t="shared" si="1974"/>
        <v>0</v>
      </c>
      <c r="BK229" s="104">
        <f t="shared" si="1975"/>
        <v>0</v>
      </c>
      <c r="BL229" s="104">
        <f t="shared" si="1976"/>
        <v>0</v>
      </c>
      <c r="BM229" s="104">
        <f t="shared" si="1977"/>
        <v>0</v>
      </c>
      <c r="BN229" s="104">
        <f t="shared" si="1978"/>
        <v>1</v>
      </c>
      <c r="BO229" s="104">
        <f t="shared" si="1979"/>
        <v>0</v>
      </c>
      <c r="BP229" s="111"/>
      <c r="BQ229" s="108">
        <f t="shared" si="1980"/>
        <v>35.099999999999994</v>
      </c>
      <c r="BR229" s="108">
        <f t="shared" si="1981"/>
        <v>35.099999999999994</v>
      </c>
      <c r="BS229" s="108">
        <f t="shared" si="1982"/>
        <v>0.11699999999999749</v>
      </c>
      <c r="BV229" s="538">
        <f t="shared" si="1983"/>
        <v>19.456499999999998</v>
      </c>
      <c r="BW229" s="538">
        <f t="shared" si="1984"/>
        <v>7.7825999999999986</v>
      </c>
      <c r="BX229" s="538">
        <f t="shared" si="1985"/>
        <v>3.0325999999999995</v>
      </c>
      <c r="BY229" s="538">
        <f t="shared" si="1986"/>
        <v>2.5</v>
      </c>
      <c r="BZ229" s="538">
        <f t="shared" si="1987"/>
        <v>2.5</v>
      </c>
      <c r="CA229" s="538">
        <f t="shared" si="1988"/>
        <v>0</v>
      </c>
      <c r="CB229" s="538">
        <f t="shared" si="1989"/>
        <v>0</v>
      </c>
      <c r="CC229" s="538">
        <f t="shared" si="1990"/>
        <v>11.673899999999998</v>
      </c>
      <c r="CD229" s="538">
        <f t="shared" si="1991"/>
        <v>7.7825999999999986</v>
      </c>
      <c r="CE229" s="538">
        <f t="shared" si="1992"/>
        <v>0</v>
      </c>
      <c r="CF229" s="538">
        <f t="shared" si="1993"/>
        <v>0</v>
      </c>
      <c r="CG229" s="538">
        <f t="shared" si="1994"/>
        <v>0</v>
      </c>
      <c r="CH229" s="538">
        <f t="shared" si="1995"/>
        <v>0</v>
      </c>
      <c r="CI229" s="104">
        <f t="shared" si="1927"/>
        <v>0.53549999999999998</v>
      </c>
      <c r="CJ229" s="538">
        <f t="shared" si="1996"/>
        <v>11.339499999999997</v>
      </c>
      <c r="CK229" s="538">
        <f t="shared" si="1997"/>
        <v>11.339499999999997</v>
      </c>
      <c r="CL229" s="538">
        <f t="shared" si="1998"/>
        <v>0</v>
      </c>
      <c r="CM229" s="538">
        <f t="shared" si="1999"/>
        <v>0</v>
      </c>
      <c r="CN229" s="538">
        <f t="shared" si="1841"/>
        <v>3.57</v>
      </c>
      <c r="CO229" s="538">
        <f t="shared" si="2000"/>
        <v>2.5</v>
      </c>
      <c r="CP229" s="538">
        <f t="shared" si="2001"/>
        <v>10.709999999999999</v>
      </c>
      <c r="CQ229" s="538">
        <f t="shared" si="2002"/>
        <v>7.14</v>
      </c>
      <c r="CR229" s="539">
        <f t="shared" si="2003"/>
        <v>0</v>
      </c>
      <c r="CS229" s="540">
        <f t="shared" si="2004"/>
        <v>0</v>
      </c>
      <c r="CT229" s="540">
        <f t="shared" si="2005"/>
        <v>0.33012999999999998</v>
      </c>
      <c r="CU229" s="541">
        <f t="shared" si="2006"/>
        <v>13</v>
      </c>
      <c r="CV229" s="538">
        <f t="shared" si="2007"/>
        <v>1.43895</v>
      </c>
      <c r="CW229" s="538">
        <f t="shared" si="2008"/>
        <v>23.248199999999997</v>
      </c>
      <c r="CX229" s="104">
        <f t="shared" si="2009"/>
        <v>3.57</v>
      </c>
      <c r="CY229" s="542">
        <f t="shared" si="2010"/>
        <v>1.7849999999999999</v>
      </c>
      <c r="CZ229" s="538">
        <f t="shared" si="2011"/>
        <v>2.4513847475961154E-2</v>
      </c>
    </row>
    <row r="230" spans="1:104" s="112" customFormat="1" ht="25" x14ac:dyDescent="0.25">
      <c r="A230" s="100" t="str">
        <f>'BOCA DE LOBO'!C208</f>
        <v>BL25-&gt;PV7-59</v>
      </c>
      <c r="B230" s="100" t="str">
        <f>'BOCA DE LOBO'!A208</f>
        <v>PV7-59</v>
      </c>
      <c r="C230" s="100" t="str">
        <f>VLOOKUP(A230,'BOCA DE LOBO'!C:F,3,0)</f>
        <v>EXISTENTE</v>
      </c>
      <c r="D230" s="100" t="str">
        <f>VLOOKUP(A230,'BOCA DE LOBO'!C:M,10,0)</f>
        <v>EXISTENTE</v>
      </c>
      <c r="E230" s="100">
        <f t="shared" si="1928"/>
        <v>2.0368000000000226</v>
      </c>
      <c r="F230" s="100">
        <f>VLOOKUP(A230,'BOCA DE LOBO'!$C$178:$L$224,2,0)</f>
        <v>2.3500000000000227</v>
      </c>
      <c r="G230" s="100">
        <f>VLOOKUP(A230,'BOCA DE LOBO'!$C$178:$L$224,4,0)</f>
        <v>7.83</v>
      </c>
      <c r="H230" s="101">
        <v>400</v>
      </c>
      <c r="I230" s="102">
        <f t="shared" si="1929"/>
        <v>2.3234000000000226</v>
      </c>
      <c r="J230" s="102">
        <f t="shared" si="1930"/>
        <v>0</v>
      </c>
      <c r="K230" s="103">
        <v>0</v>
      </c>
      <c r="L230" s="104">
        <f t="shared" si="1931"/>
        <v>0</v>
      </c>
      <c r="M230" s="104">
        <f t="shared" si="1932"/>
        <v>0</v>
      </c>
      <c r="N230" s="104">
        <f t="shared" si="1933"/>
        <v>400</v>
      </c>
      <c r="O230" s="104">
        <f t="shared" si="1934"/>
        <v>0</v>
      </c>
      <c r="P230" s="105" t="s">
        <v>2179</v>
      </c>
      <c r="Q230" s="468" t="s">
        <v>2180</v>
      </c>
      <c r="R230" s="105"/>
      <c r="S230" s="105">
        <v>5</v>
      </c>
      <c r="T230" s="105">
        <v>5</v>
      </c>
      <c r="U230" s="104">
        <f t="shared" si="1935"/>
        <v>0.05</v>
      </c>
      <c r="V230" s="106">
        <f t="shared" si="1936"/>
        <v>0</v>
      </c>
      <c r="W230" s="106">
        <f t="shared" si="1937"/>
        <v>0</v>
      </c>
      <c r="X230" s="107">
        <f t="shared" si="1938"/>
        <v>0</v>
      </c>
      <c r="Y230" s="107">
        <f t="shared" si="1939"/>
        <v>0</v>
      </c>
      <c r="Z230" s="107">
        <f t="shared" si="1940"/>
        <v>2.3234000000000226</v>
      </c>
      <c r="AA230" s="107">
        <f t="shared" si="1941"/>
        <v>0</v>
      </c>
      <c r="AB230" s="108">
        <f t="shared" si="1942"/>
        <v>0</v>
      </c>
      <c r="AC230" s="109">
        <f t="shared" si="1943"/>
        <v>0</v>
      </c>
      <c r="AD230" s="109">
        <f t="shared" si="1944"/>
        <v>0</v>
      </c>
      <c r="AE230" s="109">
        <f t="shared" si="1945"/>
        <v>0</v>
      </c>
      <c r="AF230" s="109">
        <f t="shared" si="1946"/>
        <v>0</v>
      </c>
      <c r="AG230" s="109">
        <f t="shared" si="1947"/>
        <v>0</v>
      </c>
      <c r="AH230" s="109">
        <f t="shared" si="1948"/>
        <v>0</v>
      </c>
      <c r="AI230" s="537" t="str">
        <f t="shared" si="1949"/>
        <v>NÃO</v>
      </c>
      <c r="AJ230" s="104">
        <f t="shared" si="1950"/>
        <v>0</v>
      </c>
      <c r="AK230" s="104">
        <f t="shared" si="1951"/>
        <v>0</v>
      </c>
      <c r="AL230" s="104">
        <f t="shared" si="1952"/>
        <v>0</v>
      </c>
      <c r="AM230" s="102">
        <f t="shared" si="1953"/>
        <v>0</v>
      </c>
      <c r="AN230" s="106">
        <f t="shared" si="1954"/>
        <v>0</v>
      </c>
      <c r="AO230" s="104">
        <f t="shared" si="1955"/>
        <v>0</v>
      </c>
      <c r="AP230" s="104">
        <f t="shared" si="1956"/>
        <v>0</v>
      </c>
      <c r="AQ230" s="104">
        <f t="shared" si="1957"/>
        <v>0.7</v>
      </c>
      <c r="AR230" s="104">
        <f t="shared" si="1958"/>
        <v>0</v>
      </c>
      <c r="AS230" s="104">
        <f t="shared" si="1959"/>
        <v>0</v>
      </c>
      <c r="AT230" s="104">
        <f t="shared" si="1960"/>
        <v>0</v>
      </c>
      <c r="AU230" s="104">
        <f t="shared" si="1961"/>
        <v>0</v>
      </c>
      <c r="AV230" s="104">
        <f t="shared" si="1962"/>
        <v>0</v>
      </c>
      <c r="AW230" s="104">
        <f t="shared" si="1963"/>
        <v>0</v>
      </c>
      <c r="AX230" s="104">
        <f t="shared" si="1964"/>
        <v>0</v>
      </c>
      <c r="AY230" s="104">
        <f t="shared" si="1965"/>
        <v>0</v>
      </c>
      <c r="AZ230" s="104">
        <f t="shared" si="1966"/>
        <v>0</v>
      </c>
      <c r="BA230" s="104">
        <f t="shared" si="1967"/>
        <v>0</v>
      </c>
      <c r="BB230" s="104">
        <f t="shared" si="1968"/>
        <v>0</v>
      </c>
      <c r="BC230" s="104"/>
      <c r="BD230" s="104">
        <f t="shared" si="1969"/>
        <v>0</v>
      </c>
      <c r="BE230" s="108">
        <f t="shared" si="1970"/>
        <v>2.3234000000000226</v>
      </c>
      <c r="BF230" s="110">
        <f t="shared" si="1971"/>
        <v>0</v>
      </c>
      <c r="BG230" s="110">
        <f t="shared" si="1972"/>
        <v>0</v>
      </c>
      <c r="BH230" s="105" t="str">
        <f>VLOOKUP(A230,'BOCA DE LOBO'!C:I,7,0)</f>
        <v>BOCA DE LOBO EXISTENTE DUPLA</v>
      </c>
      <c r="BI230" s="104">
        <f t="shared" si="1973"/>
        <v>0</v>
      </c>
      <c r="BJ230" s="104">
        <f t="shared" si="1974"/>
        <v>0</v>
      </c>
      <c r="BK230" s="104">
        <f t="shared" si="1975"/>
        <v>0</v>
      </c>
      <c r="BL230" s="104">
        <f t="shared" si="1976"/>
        <v>0</v>
      </c>
      <c r="BM230" s="104">
        <f t="shared" si="1977"/>
        <v>0</v>
      </c>
      <c r="BN230" s="104">
        <f t="shared" si="1978"/>
        <v>0</v>
      </c>
      <c r="BO230" s="104">
        <f t="shared" si="1979"/>
        <v>0</v>
      </c>
      <c r="BP230" s="111"/>
      <c r="BQ230" s="108">
        <f t="shared" si="1980"/>
        <v>23.490000000000002</v>
      </c>
      <c r="BR230" s="108">
        <f t="shared" si="1981"/>
        <v>12.894444000000354</v>
      </c>
      <c r="BS230" s="108">
        <f t="shared" si="1982"/>
        <v>0</v>
      </c>
      <c r="BV230" s="538">
        <f t="shared" si="1983"/>
        <v>0</v>
      </c>
      <c r="BW230" s="538">
        <f t="shared" si="1984"/>
        <v>0</v>
      </c>
      <c r="BX230" s="538">
        <f t="shared" si="1985"/>
        <v>0</v>
      </c>
      <c r="BY230" s="538">
        <f t="shared" si="1986"/>
        <v>2.0368000000000226</v>
      </c>
      <c r="BZ230" s="538">
        <f t="shared" si="1987"/>
        <v>2.0368000000000226</v>
      </c>
      <c r="CA230" s="538">
        <f t="shared" si="1988"/>
        <v>0</v>
      </c>
      <c r="CB230" s="538">
        <f t="shared" si="1989"/>
        <v>0</v>
      </c>
      <c r="CC230" s="538">
        <f t="shared" si="1990"/>
        <v>0</v>
      </c>
      <c r="CD230" s="538">
        <f t="shared" si="1991"/>
        <v>0</v>
      </c>
      <c r="CE230" s="538">
        <f t="shared" si="1992"/>
        <v>0</v>
      </c>
      <c r="CF230" s="538">
        <f t="shared" si="1993"/>
        <v>0</v>
      </c>
      <c r="CG230" s="538">
        <f t="shared" si="1994"/>
        <v>0</v>
      </c>
      <c r="CH230" s="538">
        <f t="shared" si="1995"/>
        <v>0</v>
      </c>
      <c r="CI230" s="104">
        <f t="shared" si="1927"/>
        <v>0</v>
      </c>
      <c r="CJ230" s="538">
        <f t="shared" si="1996"/>
        <v>0</v>
      </c>
      <c r="CK230" s="538">
        <f t="shared" si="1997"/>
        <v>0</v>
      </c>
      <c r="CL230" s="538">
        <f t="shared" si="1998"/>
        <v>0</v>
      </c>
      <c r="CM230" s="538">
        <f t="shared" si="1999"/>
        <v>0</v>
      </c>
      <c r="CN230" s="538">
        <f t="shared" si="1841"/>
        <v>0</v>
      </c>
      <c r="CO230" s="538">
        <f t="shared" si="2000"/>
        <v>2.0368000000000226</v>
      </c>
      <c r="CP230" s="538">
        <f t="shared" si="2001"/>
        <v>0</v>
      </c>
      <c r="CQ230" s="538">
        <f t="shared" si="2002"/>
        <v>0</v>
      </c>
      <c r="CR230" s="539">
        <f t="shared" si="2003"/>
        <v>0</v>
      </c>
      <c r="CS230" s="540">
        <f t="shared" si="2004"/>
        <v>0</v>
      </c>
      <c r="CT230" s="540">
        <f t="shared" si="2005"/>
        <v>0</v>
      </c>
      <c r="CU230" s="541">
        <f t="shared" si="2006"/>
        <v>0</v>
      </c>
      <c r="CV230" s="538">
        <f t="shared" si="2007"/>
        <v>0</v>
      </c>
      <c r="CW230" s="538">
        <f t="shared" si="2008"/>
        <v>0</v>
      </c>
      <c r="CX230" s="104">
        <f t="shared" si="2009"/>
        <v>0</v>
      </c>
      <c r="CY230" s="542">
        <f t="shared" si="2010"/>
        <v>0</v>
      </c>
      <c r="CZ230" s="538">
        <f t="shared" si="2011"/>
        <v>0</v>
      </c>
    </row>
    <row r="231" spans="1:104" s="112" customFormat="1" ht="25" x14ac:dyDescent="0.25">
      <c r="A231" s="100" t="str">
        <f>'BOCA DE LOBO'!C209</f>
        <v>BL26-&gt;PV10-59</v>
      </c>
      <c r="B231" s="100" t="str">
        <f>'BOCA DE LOBO'!A209</f>
        <v>PV10-59</v>
      </c>
      <c r="C231" s="100" t="str">
        <f>VLOOKUP(A231,'BOCA DE LOBO'!C:F,3,0)</f>
        <v>EXISTENTE</v>
      </c>
      <c r="D231" s="100" t="str">
        <f>VLOOKUP(A231,'BOCA DE LOBO'!C:M,10,0)</f>
        <v>PROJETADA</v>
      </c>
      <c r="E231" s="100">
        <f t="shared" si="1928"/>
        <v>2.4135999999999997</v>
      </c>
      <c r="F231" s="100">
        <f>VLOOKUP(A231,'BOCA DE LOBO'!$C$178:$L$224,2,0)</f>
        <v>2.75</v>
      </c>
      <c r="G231" s="100">
        <f>VLOOKUP(A231,'BOCA DE LOBO'!$C$178:$L$224,4,0)</f>
        <v>8.41</v>
      </c>
      <c r="H231" s="101">
        <v>400</v>
      </c>
      <c r="I231" s="102">
        <f t="shared" si="1929"/>
        <v>2.7117999999999998</v>
      </c>
      <c r="J231" s="102">
        <f t="shared" si="1930"/>
        <v>1.1403118999999999</v>
      </c>
      <c r="K231" s="103">
        <v>0</v>
      </c>
      <c r="L231" s="104">
        <f t="shared" si="1931"/>
        <v>1</v>
      </c>
      <c r="M231" s="104">
        <f t="shared" si="1932"/>
        <v>1</v>
      </c>
      <c r="N231" s="104">
        <f t="shared" si="1933"/>
        <v>0</v>
      </c>
      <c r="O231" s="104">
        <f t="shared" si="1934"/>
        <v>8.41</v>
      </c>
      <c r="P231" s="105" t="s">
        <v>2179</v>
      </c>
      <c r="Q231" s="468" t="s">
        <v>2181</v>
      </c>
      <c r="R231" s="105"/>
      <c r="S231" s="105">
        <v>5</v>
      </c>
      <c r="T231" s="105">
        <v>5</v>
      </c>
      <c r="U231" s="104">
        <f t="shared" si="1935"/>
        <v>0.05</v>
      </c>
      <c r="V231" s="106">
        <f t="shared" si="1936"/>
        <v>0</v>
      </c>
      <c r="W231" s="106">
        <f t="shared" si="1937"/>
        <v>22.806237999999997</v>
      </c>
      <c r="X231" s="107">
        <f t="shared" si="1938"/>
        <v>0</v>
      </c>
      <c r="Y231" s="107">
        <f t="shared" si="1939"/>
        <v>0</v>
      </c>
      <c r="Z231" s="107">
        <f t="shared" si="1940"/>
        <v>2.7117999999999998</v>
      </c>
      <c r="AA231" s="107">
        <f t="shared" si="1941"/>
        <v>0</v>
      </c>
      <c r="AB231" s="108">
        <f t="shared" si="1942"/>
        <v>0</v>
      </c>
      <c r="AC231" s="109">
        <f t="shared" si="1943"/>
        <v>0</v>
      </c>
      <c r="AD231" s="109">
        <f t="shared" si="1944"/>
        <v>0</v>
      </c>
      <c r="AE231" s="109">
        <f t="shared" si="1945"/>
        <v>0</v>
      </c>
      <c r="AF231" s="109">
        <f t="shared" si="1946"/>
        <v>12.615</v>
      </c>
      <c r="AG231" s="109">
        <f t="shared" si="1947"/>
        <v>10.191237999999998</v>
      </c>
      <c r="AH231" s="109">
        <f t="shared" si="1948"/>
        <v>0</v>
      </c>
      <c r="AI231" s="537" t="str">
        <f t="shared" si="1949"/>
        <v>NÃO</v>
      </c>
      <c r="AJ231" s="104">
        <f t="shared" si="1950"/>
        <v>0</v>
      </c>
      <c r="AK231" s="104">
        <f t="shared" si="1951"/>
        <v>0</v>
      </c>
      <c r="AL231" s="104">
        <f t="shared" si="1952"/>
        <v>21.74940623133239</v>
      </c>
      <c r="AM231" s="102">
        <f t="shared" si="1953"/>
        <v>0.42050000000000004</v>
      </c>
      <c r="AN231" s="106">
        <f t="shared" si="1954"/>
        <v>0</v>
      </c>
      <c r="AO231" s="104">
        <f t="shared" si="1955"/>
        <v>0</v>
      </c>
      <c r="AP231" s="104">
        <f t="shared" si="1956"/>
        <v>0</v>
      </c>
      <c r="AQ231" s="104">
        <f t="shared" si="1957"/>
        <v>0.7</v>
      </c>
      <c r="AR231" s="104">
        <f t="shared" si="1958"/>
        <v>4.8301682313323928</v>
      </c>
      <c r="AS231" s="104">
        <f t="shared" si="1959"/>
        <v>0</v>
      </c>
      <c r="AT231" s="104">
        <f t="shared" si="1960"/>
        <v>0</v>
      </c>
      <c r="AU231" s="104">
        <f t="shared" si="1961"/>
        <v>0</v>
      </c>
      <c r="AV231" s="104">
        <f t="shared" si="1962"/>
        <v>0</v>
      </c>
      <c r="AW231" s="104">
        <f t="shared" si="1963"/>
        <v>16.498737999999996</v>
      </c>
      <c r="AX231" s="104">
        <f t="shared" si="1964"/>
        <v>17.976069768667607</v>
      </c>
      <c r="AY231" s="104">
        <f t="shared" si="1965"/>
        <v>16.498737999999996</v>
      </c>
      <c r="AZ231" s="104">
        <f t="shared" si="1966"/>
        <v>0</v>
      </c>
      <c r="BA231" s="104">
        <f t="shared" si="1967"/>
        <v>0</v>
      </c>
      <c r="BB231" s="104">
        <f t="shared" si="1968"/>
        <v>0</v>
      </c>
      <c r="BC231" s="104"/>
      <c r="BD231" s="104">
        <f t="shared" si="1969"/>
        <v>0</v>
      </c>
      <c r="BE231" s="108">
        <f t="shared" si="1970"/>
        <v>2.7117999999999998</v>
      </c>
      <c r="BF231" s="110">
        <f t="shared" si="1971"/>
        <v>0</v>
      </c>
      <c r="BG231" s="110">
        <f t="shared" si="1972"/>
        <v>8.41</v>
      </c>
      <c r="BH231" s="105" t="str">
        <f>VLOOKUP(A231,'BOCA DE LOBO'!C:I,7,0)</f>
        <v>BOCA DE LOBO PROJETADA DUPLA</v>
      </c>
      <c r="BI231" s="104">
        <f t="shared" si="1973"/>
        <v>0</v>
      </c>
      <c r="BJ231" s="104">
        <f t="shared" si="1974"/>
        <v>0</v>
      </c>
      <c r="BK231" s="104">
        <f t="shared" si="1975"/>
        <v>0</v>
      </c>
      <c r="BL231" s="104">
        <f t="shared" si="1976"/>
        <v>0</v>
      </c>
      <c r="BM231" s="104">
        <f t="shared" si="1977"/>
        <v>0</v>
      </c>
      <c r="BN231" s="104">
        <f t="shared" si="1978"/>
        <v>1</v>
      </c>
      <c r="BO231" s="104">
        <f t="shared" si="1979"/>
        <v>0</v>
      </c>
      <c r="BP231" s="111"/>
      <c r="BQ231" s="108">
        <f t="shared" si="1980"/>
        <v>25.23</v>
      </c>
      <c r="BR231" s="108">
        <f t="shared" si="1981"/>
        <v>20.382475999999997</v>
      </c>
      <c r="BS231" s="108">
        <f t="shared" si="1982"/>
        <v>0</v>
      </c>
      <c r="BV231" s="538">
        <f t="shared" si="1983"/>
        <v>18.784083359999993</v>
      </c>
      <c r="BW231" s="538">
        <f t="shared" si="1984"/>
        <v>7.7825999999999986</v>
      </c>
      <c r="BX231" s="538">
        <f t="shared" si="1985"/>
        <v>3.0325999999999995</v>
      </c>
      <c r="BY231" s="538">
        <f t="shared" si="1986"/>
        <v>2.4135999999999997</v>
      </c>
      <c r="BZ231" s="538">
        <f t="shared" si="1987"/>
        <v>2.4135999999999997</v>
      </c>
      <c r="CA231" s="538">
        <f t="shared" si="1988"/>
        <v>0</v>
      </c>
      <c r="CB231" s="538">
        <f t="shared" si="1989"/>
        <v>0</v>
      </c>
      <c r="CC231" s="538">
        <f t="shared" si="1990"/>
        <v>11.673899999999998</v>
      </c>
      <c r="CD231" s="538">
        <f t="shared" si="1991"/>
        <v>7.1101833599999971</v>
      </c>
      <c r="CE231" s="538">
        <f t="shared" si="1992"/>
        <v>0</v>
      </c>
      <c r="CF231" s="538">
        <f t="shared" si="1993"/>
        <v>0</v>
      </c>
      <c r="CG231" s="538">
        <f t="shared" si="1994"/>
        <v>0</v>
      </c>
      <c r="CH231" s="538">
        <f t="shared" si="1995"/>
        <v>0</v>
      </c>
      <c r="CI231" s="104">
        <f t="shared" si="1927"/>
        <v>0.53549999999999998</v>
      </c>
      <c r="CJ231" s="538">
        <f t="shared" si="1996"/>
        <v>10.929099999999996</v>
      </c>
      <c r="CK231" s="538">
        <f t="shared" si="1997"/>
        <v>10.929099999999996</v>
      </c>
      <c r="CL231" s="538">
        <f t="shared" si="1998"/>
        <v>0</v>
      </c>
      <c r="CM231" s="538">
        <f t="shared" si="1999"/>
        <v>0</v>
      </c>
      <c r="CN231" s="538">
        <f t="shared" si="1841"/>
        <v>3.57</v>
      </c>
      <c r="CO231" s="538">
        <f t="shared" si="2000"/>
        <v>2.4135999999999997</v>
      </c>
      <c r="CP231" s="538">
        <f t="shared" si="2001"/>
        <v>10.709999999999999</v>
      </c>
      <c r="CQ231" s="538">
        <f t="shared" si="2002"/>
        <v>6.5231039999999982</v>
      </c>
      <c r="CR231" s="539">
        <f t="shared" si="2003"/>
        <v>0</v>
      </c>
      <c r="CS231" s="540">
        <f t="shared" si="2004"/>
        <v>0</v>
      </c>
      <c r="CT231" s="540">
        <f t="shared" si="2005"/>
        <v>0.33012999999999998</v>
      </c>
      <c r="CU231" s="541">
        <f t="shared" si="2006"/>
        <v>12.550719999999998</v>
      </c>
      <c r="CV231" s="538">
        <f t="shared" si="2007"/>
        <v>1.4125116</v>
      </c>
      <c r="CW231" s="538">
        <f t="shared" si="2008"/>
        <v>22.584647999999998</v>
      </c>
      <c r="CX231" s="104">
        <f t="shared" si="2009"/>
        <v>3.57</v>
      </c>
      <c r="CY231" s="542">
        <f t="shared" si="2010"/>
        <v>1.7849999999999999</v>
      </c>
      <c r="CZ231" s="538">
        <f t="shared" si="2011"/>
        <v>2.4513847475961154E-2</v>
      </c>
    </row>
    <row r="232" spans="1:104" s="112" customFormat="1" ht="25" x14ac:dyDescent="0.25">
      <c r="A232" s="100" t="str">
        <f>'BOCA DE LOBO'!C210</f>
        <v>BL27-&gt;PV11-59</v>
      </c>
      <c r="B232" s="100" t="str">
        <f>'BOCA DE LOBO'!A210</f>
        <v>PV11-59</v>
      </c>
      <c r="C232" s="100" t="str">
        <f>VLOOKUP(A232,'BOCA DE LOBO'!C:F,3,0)</f>
        <v>EXISTENTE</v>
      </c>
      <c r="D232" s="100" t="str">
        <f>VLOOKUP(A232,'BOCA DE LOBO'!C:M,10,0)</f>
        <v>PROJETADA</v>
      </c>
      <c r="E232" s="100">
        <f t="shared" si="1928"/>
        <v>2.5</v>
      </c>
      <c r="F232" s="100">
        <f>VLOOKUP(A232,'BOCA DE LOBO'!$C$178:$L$224,2,0)</f>
        <v>2.9000000000000909</v>
      </c>
      <c r="G232" s="100">
        <f>VLOOKUP(A232,'BOCA DE LOBO'!$C$178:$L$224,4,0)</f>
        <v>6.29</v>
      </c>
      <c r="H232" s="101">
        <v>400</v>
      </c>
      <c r="I232" s="102">
        <f t="shared" si="1929"/>
        <v>2.8300000000000454</v>
      </c>
      <c r="J232" s="102">
        <f t="shared" si="1930"/>
        <v>0.89003500000001434</v>
      </c>
      <c r="K232" s="103">
        <v>0</v>
      </c>
      <c r="L232" s="104">
        <f t="shared" si="1931"/>
        <v>1</v>
      </c>
      <c r="M232" s="104">
        <f t="shared" si="1932"/>
        <v>1</v>
      </c>
      <c r="N232" s="104">
        <f t="shared" si="1933"/>
        <v>0</v>
      </c>
      <c r="O232" s="104">
        <f t="shared" si="1934"/>
        <v>6.29</v>
      </c>
      <c r="P232" s="105" t="s">
        <v>2179</v>
      </c>
      <c r="Q232" s="468" t="s">
        <v>2181</v>
      </c>
      <c r="R232" s="105"/>
      <c r="S232" s="105">
        <v>5</v>
      </c>
      <c r="T232" s="105">
        <v>5</v>
      </c>
      <c r="U232" s="104">
        <f t="shared" si="1935"/>
        <v>0.05</v>
      </c>
      <c r="V232" s="106">
        <f t="shared" si="1936"/>
        <v>0</v>
      </c>
      <c r="W232" s="106">
        <f t="shared" si="1937"/>
        <v>17.800700000000287</v>
      </c>
      <c r="X232" s="107">
        <f t="shared" si="1938"/>
        <v>0</v>
      </c>
      <c r="Y232" s="107">
        <f t="shared" si="1939"/>
        <v>0</v>
      </c>
      <c r="Z232" s="107">
        <f t="shared" si="1940"/>
        <v>2.8300000000000454</v>
      </c>
      <c r="AA232" s="107">
        <f t="shared" si="1941"/>
        <v>0</v>
      </c>
      <c r="AB232" s="108">
        <f t="shared" si="1942"/>
        <v>0</v>
      </c>
      <c r="AC232" s="109">
        <f t="shared" si="1943"/>
        <v>0</v>
      </c>
      <c r="AD232" s="109">
        <f t="shared" si="1944"/>
        <v>0</v>
      </c>
      <c r="AE232" s="109">
        <f t="shared" si="1945"/>
        <v>0</v>
      </c>
      <c r="AF232" s="109">
        <f t="shared" si="1946"/>
        <v>9.4350000000000005</v>
      </c>
      <c r="AG232" s="109">
        <f t="shared" si="1947"/>
        <v>8.3657000000002846</v>
      </c>
      <c r="AH232" s="109">
        <f t="shared" si="1948"/>
        <v>0</v>
      </c>
      <c r="AI232" s="537" t="str">
        <f t="shared" si="1949"/>
        <v>NÃO</v>
      </c>
      <c r="AJ232" s="104">
        <f t="shared" si="1950"/>
        <v>0</v>
      </c>
      <c r="AK232" s="104">
        <f t="shared" si="1951"/>
        <v>0</v>
      </c>
      <c r="AL232" s="104">
        <f t="shared" si="1952"/>
        <v>17.010275288357096</v>
      </c>
      <c r="AM232" s="102">
        <f t="shared" si="1953"/>
        <v>0.3145</v>
      </c>
      <c r="AN232" s="106">
        <f t="shared" si="1954"/>
        <v>0</v>
      </c>
      <c r="AO232" s="104">
        <f t="shared" si="1955"/>
        <v>0</v>
      </c>
      <c r="AP232" s="104">
        <f t="shared" si="1956"/>
        <v>0</v>
      </c>
      <c r="AQ232" s="104">
        <f t="shared" si="1957"/>
        <v>0.7</v>
      </c>
      <c r="AR232" s="104">
        <f t="shared" si="1958"/>
        <v>3.6125752883568074</v>
      </c>
      <c r="AS232" s="104">
        <f t="shared" si="1959"/>
        <v>0</v>
      </c>
      <c r="AT232" s="104">
        <f t="shared" si="1960"/>
        <v>0</v>
      </c>
      <c r="AU232" s="104">
        <f t="shared" si="1961"/>
        <v>0</v>
      </c>
      <c r="AV232" s="104">
        <f t="shared" si="1962"/>
        <v>0</v>
      </c>
      <c r="AW232" s="104">
        <f t="shared" si="1963"/>
        <v>13.083200000000289</v>
      </c>
      <c r="AX232" s="104">
        <f t="shared" si="1964"/>
        <v>14.188124711643475</v>
      </c>
      <c r="AY232" s="104">
        <f t="shared" si="1965"/>
        <v>13.083200000000289</v>
      </c>
      <c r="AZ232" s="104">
        <f t="shared" si="1966"/>
        <v>0</v>
      </c>
      <c r="BA232" s="104">
        <f t="shared" si="1967"/>
        <v>0</v>
      </c>
      <c r="BB232" s="104">
        <f t="shared" si="1968"/>
        <v>0</v>
      </c>
      <c r="BC232" s="104"/>
      <c r="BD232" s="104">
        <f t="shared" si="1969"/>
        <v>0</v>
      </c>
      <c r="BE232" s="108">
        <f t="shared" si="1970"/>
        <v>2.8300000000000454</v>
      </c>
      <c r="BF232" s="110">
        <f t="shared" si="1971"/>
        <v>0</v>
      </c>
      <c r="BG232" s="110">
        <f t="shared" si="1972"/>
        <v>6.29</v>
      </c>
      <c r="BH232" s="105" t="str">
        <f>VLOOKUP(A232,'BOCA DE LOBO'!C:I,7,0)</f>
        <v>BOCA DE LOBO PROJETADA DUPLA</v>
      </c>
      <c r="BI232" s="104">
        <f t="shared" si="1973"/>
        <v>0</v>
      </c>
      <c r="BJ232" s="104">
        <f t="shared" si="1974"/>
        <v>0</v>
      </c>
      <c r="BK232" s="104">
        <f t="shared" si="1975"/>
        <v>0</v>
      </c>
      <c r="BL232" s="104">
        <f t="shared" si="1976"/>
        <v>0</v>
      </c>
      <c r="BM232" s="104">
        <f t="shared" si="1977"/>
        <v>0</v>
      </c>
      <c r="BN232" s="104">
        <f t="shared" si="1978"/>
        <v>1</v>
      </c>
      <c r="BO232" s="104">
        <f t="shared" si="1979"/>
        <v>0</v>
      </c>
      <c r="BP232" s="111"/>
      <c r="BQ232" s="108">
        <f t="shared" si="1980"/>
        <v>18.87</v>
      </c>
      <c r="BR232" s="108">
        <f t="shared" si="1981"/>
        <v>16.731400000000569</v>
      </c>
      <c r="BS232" s="108">
        <f t="shared" si="1982"/>
        <v>0</v>
      </c>
      <c r="BV232" s="538">
        <f t="shared" si="1983"/>
        <v>19.456499999999998</v>
      </c>
      <c r="BW232" s="538">
        <f t="shared" si="1984"/>
        <v>7.7825999999999986</v>
      </c>
      <c r="BX232" s="538">
        <f t="shared" si="1985"/>
        <v>3.0325999999999995</v>
      </c>
      <c r="BY232" s="538">
        <f t="shared" si="1986"/>
        <v>2.5</v>
      </c>
      <c r="BZ232" s="538">
        <f t="shared" si="1987"/>
        <v>2.5</v>
      </c>
      <c r="CA232" s="538">
        <f t="shared" si="1988"/>
        <v>0</v>
      </c>
      <c r="CB232" s="538">
        <f t="shared" si="1989"/>
        <v>0</v>
      </c>
      <c r="CC232" s="538">
        <f t="shared" si="1990"/>
        <v>11.673899999999998</v>
      </c>
      <c r="CD232" s="538">
        <f t="shared" si="1991"/>
        <v>7.7825999999999986</v>
      </c>
      <c r="CE232" s="538">
        <f t="shared" si="1992"/>
        <v>0</v>
      </c>
      <c r="CF232" s="538">
        <f t="shared" si="1993"/>
        <v>0</v>
      </c>
      <c r="CG232" s="538">
        <f t="shared" si="1994"/>
        <v>0</v>
      </c>
      <c r="CH232" s="538">
        <f t="shared" si="1995"/>
        <v>0</v>
      </c>
      <c r="CI232" s="104">
        <f t="shared" si="1927"/>
        <v>0.53549999999999998</v>
      </c>
      <c r="CJ232" s="538">
        <f t="shared" si="1996"/>
        <v>11.339499999999997</v>
      </c>
      <c r="CK232" s="538">
        <f t="shared" si="1997"/>
        <v>11.339499999999997</v>
      </c>
      <c r="CL232" s="538">
        <f t="shared" si="1998"/>
        <v>0</v>
      </c>
      <c r="CM232" s="538">
        <f t="shared" si="1999"/>
        <v>0</v>
      </c>
      <c r="CN232" s="538">
        <f t="shared" si="1841"/>
        <v>3.57</v>
      </c>
      <c r="CO232" s="538">
        <f t="shared" si="2000"/>
        <v>2.5</v>
      </c>
      <c r="CP232" s="538">
        <f t="shared" si="2001"/>
        <v>10.709999999999999</v>
      </c>
      <c r="CQ232" s="538">
        <f t="shared" si="2002"/>
        <v>7.14</v>
      </c>
      <c r="CR232" s="539">
        <f t="shared" si="2003"/>
        <v>0</v>
      </c>
      <c r="CS232" s="540">
        <f t="shared" si="2004"/>
        <v>0</v>
      </c>
      <c r="CT232" s="540">
        <f t="shared" si="2005"/>
        <v>0.33012999999999998</v>
      </c>
      <c r="CU232" s="541">
        <f t="shared" si="2006"/>
        <v>13</v>
      </c>
      <c r="CV232" s="538">
        <f t="shared" si="2007"/>
        <v>1.43895</v>
      </c>
      <c r="CW232" s="538">
        <f t="shared" si="2008"/>
        <v>23.248199999999997</v>
      </c>
      <c r="CX232" s="104">
        <f t="shared" si="2009"/>
        <v>3.57</v>
      </c>
      <c r="CY232" s="542">
        <f t="shared" si="2010"/>
        <v>1.7849999999999999</v>
      </c>
      <c r="CZ232" s="538">
        <f t="shared" si="2011"/>
        <v>2.4513847475961154E-2</v>
      </c>
    </row>
    <row r="233" spans="1:104" s="112" customFormat="1" ht="25" x14ac:dyDescent="0.25">
      <c r="A233" s="100" t="str">
        <f>'BOCA DE LOBO'!C211</f>
        <v>BL28-&gt;PV12-59</v>
      </c>
      <c r="B233" s="100" t="str">
        <f>'BOCA DE LOBO'!A211</f>
        <v>PV12-59</v>
      </c>
      <c r="C233" s="100" t="str">
        <f>VLOOKUP(A233,'BOCA DE LOBO'!C:F,3,0)</f>
        <v>EXISTENTE</v>
      </c>
      <c r="D233" s="100" t="str">
        <f>VLOOKUP(A233,'BOCA DE LOBO'!C:M,10,0)</f>
        <v>PROJETADA</v>
      </c>
      <c r="E233" s="100">
        <f t="shared" si="1928"/>
        <v>2.5</v>
      </c>
      <c r="F233" s="100">
        <f>VLOOKUP(A233,'BOCA DE LOBO'!$C$178:$L$224,2,0)</f>
        <v>2.8500000000000227</v>
      </c>
      <c r="G233" s="100">
        <f>VLOOKUP(A233,'BOCA DE LOBO'!$C$178:$L$224,4,0)</f>
        <v>8.24</v>
      </c>
      <c r="H233" s="101">
        <v>400</v>
      </c>
      <c r="I233" s="102">
        <f t="shared" si="1929"/>
        <v>2.8050000000000113</v>
      </c>
      <c r="J233" s="102">
        <f t="shared" si="1930"/>
        <v>1.1556600000000048</v>
      </c>
      <c r="K233" s="103">
        <v>0</v>
      </c>
      <c r="L233" s="104">
        <f t="shared" si="1931"/>
        <v>1</v>
      </c>
      <c r="M233" s="104">
        <f t="shared" si="1932"/>
        <v>1</v>
      </c>
      <c r="N233" s="104">
        <f t="shared" si="1933"/>
        <v>0</v>
      </c>
      <c r="O233" s="104">
        <f t="shared" si="1934"/>
        <v>8.24</v>
      </c>
      <c r="P233" s="105" t="s">
        <v>2179</v>
      </c>
      <c r="Q233" s="468" t="s">
        <v>2181</v>
      </c>
      <c r="R233" s="105"/>
      <c r="S233" s="105">
        <v>5</v>
      </c>
      <c r="T233" s="105">
        <v>5</v>
      </c>
      <c r="U233" s="104">
        <f t="shared" si="1935"/>
        <v>0.05</v>
      </c>
      <c r="V233" s="106">
        <f t="shared" si="1936"/>
        <v>0</v>
      </c>
      <c r="W233" s="106">
        <f t="shared" si="1937"/>
        <v>23.113200000000095</v>
      </c>
      <c r="X233" s="107">
        <f t="shared" si="1938"/>
        <v>0</v>
      </c>
      <c r="Y233" s="107">
        <f t="shared" si="1939"/>
        <v>0</v>
      </c>
      <c r="Z233" s="107">
        <f t="shared" si="1940"/>
        <v>2.8050000000000113</v>
      </c>
      <c r="AA233" s="107">
        <f t="shared" si="1941"/>
        <v>0</v>
      </c>
      <c r="AB233" s="108">
        <f t="shared" si="1942"/>
        <v>0</v>
      </c>
      <c r="AC233" s="109">
        <f t="shared" si="1943"/>
        <v>0</v>
      </c>
      <c r="AD233" s="109">
        <f t="shared" si="1944"/>
        <v>0</v>
      </c>
      <c r="AE233" s="109">
        <f t="shared" si="1945"/>
        <v>0</v>
      </c>
      <c r="AF233" s="109">
        <f t="shared" si="1946"/>
        <v>12.36</v>
      </c>
      <c r="AG233" s="109">
        <f t="shared" si="1947"/>
        <v>10.753200000000094</v>
      </c>
      <c r="AH233" s="109">
        <f t="shared" si="1948"/>
        <v>0</v>
      </c>
      <c r="AI233" s="537" t="str">
        <f t="shared" si="1949"/>
        <v>NÃO</v>
      </c>
      <c r="AJ233" s="104">
        <f t="shared" si="1950"/>
        <v>0</v>
      </c>
      <c r="AK233" s="104">
        <f t="shared" si="1951"/>
        <v>0</v>
      </c>
      <c r="AL233" s="104">
        <f t="shared" si="1952"/>
        <v>22.077731061376898</v>
      </c>
      <c r="AM233" s="102">
        <f t="shared" si="1953"/>
        <v>0.41200000000000003</v>
      </c>
      <c r="AN233" s="106">
        <f t="shared" si="1954"/>
        <v>0</v>
      </c>
      <c r="AO233" s="104">
        <f t="shared" si="1955"/>
        <v>0</v>
      </c>
      <c r="AP233" s="104">
        <f t="shared" si="1956"/>
        <v>0</v>
      </c>
      <c r="AQ233" s="104">
        <f t="shared" si="1957"/>
        <v>0.7</v>
      </c>
      <c r="AR233" s="104">
        <f t="shared" si="1958"/>
        <v>4.7325310613768039</v>
      </c>
      <c r="AS233" s="104">
        <f t="shared" si="1959"/>
        <v>0</v>
      </c>
      <c r="AT233" s="104">
        <f t="shared" si="1960"/>
        <v>0</v>
      </c>
      <c r="AU233" s="104">
        <f t="shared" si="1961"/>
        <v>0</v>
      </c>
      <c r="AV233" s="104">
        <f t="shared" si="1962"/>
        <v>0</v>
      </c>
      <c r="AW233" s="104">
        <f t="shared" si="1963"/>
        <v>16.933200000000095</v>
      </c>
      <c r="AX233" s="104">
        <f t="shared" si="1964"/>
        <v>18.380668938623288</v>
      </c>
      <c r="AY233" s="104">
        <f t="shared" si="1965"/>
        <v>16.933200000000095</v>
      </c>
      <c r="AZ233" s="104">
        <f t="shared" si="1966"/>
        <v>0</v>
      </c>
      <c r="BA233" s="104">
        <f t="shared" si="1967"/>
        <v>0</v>
      </c>
      <c r="BB233" s="104">
        <f t="shared" si="1968"/>
        <v>0</v>
      </c>
      <c r="BC233" s="104"/>
      <c r="BD233" s="104">
        <f t="shared" si="1969"/>
        <v>0</v>
      </c>
      <c r="BE233" s="108">
        <f t="shared" si="1970"/>
        <v>2.8050000000000113</v>
      </c>
      <c r="BF233" s="110">
        <f t="shared" si="1971"/>
        <v>0</v>
      </c>
      <c r="BG233" s="110">
        <f t="shared" si="1972"/>
        <v>8.24</v>
      </c>
      <c r="BH233" s="105" t="str">
        <f>VLOOKUP(A233,'BOCA DE LOBO'!C:I,7,0)</f>
        <v>BOCA DE LOBO PROJETADA DUPLA</v>
      </c>
      <c r="BI233" s="104">
        <f t="shared" si="1973"/>
        <v>0</v>
      </c>
      <c r="BJ233" s="104">
        <f t="shared" si="1974"/>
        <v>0</v>
      </c>
      <c r="BK233" s="104">
        <f t="shared" si="1975"/>
        <v>0</v>
      </c>
      <c r="BL233" s="104">
        <f t="shared" si="1976"/>
        <v>0</v>
      </c>
      <c r="BM233" s="104">
        <f t="shared" si="1977"/>
        <v>0</v>
      </c>
      <c r="BN233" s="104">
        <f t="shared" si="1978"/>
        <v>1</v>
      </c>
      <c r="BO233" s="104">
        <f t="shared" si="1979"/>
        <v>0</v>
      </c>
      <c r="BP233" s="111"/>
      <c r="BQ233" s="108">
        <f t="shared" si="1980"/>
        <v>24.72</v>
      </c>
      <c r="BR233" s="108">
        <f t="shared" si="1981"/>
        <v>21.506400000000188</v>
      </c>
      <c r="BS233" s="108">
        <f t="shared" si="1982"/>
        <v>0</v>
      </c>
      <c r="BV233" s="538">
        <f t="shared" si="1983"/>
        <v>19.456499999999998</v>
      </c>
      <c r="BW233" s="538">
        <f t="shared" si="1984"/>
        <v>7.7825999999999986</v>
      </c>
      <c r="BX233" s="538">
        <f t="shared" si="1985"/>
        <v>3.0325999999999995</v>
      </c>
      <c r="BY233" s="538">
        <f t="shared" si="1986"/>
        <v>2.5</v>
      </c>
      <c r="BZ233" s="538">
        <f t="shared" si="1987"/>
        <v>2.5</v>
      </c>
      <c r="CA233" s="538">
        <f t="shared" si="1988"/>
        <v>0</v>
      </c>
      <c r="CB233" s="538">
        <f t="shared" si="1989"/>
        <v>0</v>
      </c>
      <c r="CC233" s="538">
        <f t="shared" si="1990"/>
        <v>11.673899999999998</v>
      </c>
      <c r="CD233" s="538">
        <f t="shared" si="1991"/>
        <v>7.7825999999999986</v>
      </c>
      <c r="CE233" s="538">
        <f t="shared" si="1992"/>
        <v>0</v>
      </c>
      <c r="CF233" s="538">
        <f t="shared" si="1993"/>
        <v>0</v>
      </c>
      <c r="CG233" s="538">
        <f t="shared" si="1994"/>
        <v>0</v>
      </c>
      <c r="CH233" s="538">
        <f t="shared" si="1995"/>
        <v>0</v>
      </c>
      <c r="CI233" s="104">
        <f t="shared" si="1927"/>
        <v>0.53549999999999998</v>
      </c>
      <c r="CJ233" s="538">
        <f t="shared" si="1996"/>
        <v>11.339499999999997</v>
      </c>
      <c r="CK233" s="538">
        <f t="shared" si="1997"/>
        <v>11.339499999999997</v>
      </c>
      <c r="CL233" s="538">
        <f t="shared" si="1998"/>
        <v>0</v>
      </c>
      <c r="CM233" s="538">
        <f t="shared" si="1999"/>
        <v>0</v>
      </c>
      <c r="CN233" s="538">
        <f t="shared" si="1841"/>
        <v>3.57</v>
      </c>
      <c r="CO233" s="538">
        <f t="shared" si="2000"/>
        <v>2.5</v>
      </c>
      <c r="CP233" s="538">
        <f t="shared" si="2001"/>
        <v>10.709999999999999</v>
      </c>
      <c r="CQ233" s="538">
        <f t="shared" si="2002"/>
        <v>7.14</v>
      </c>
      <c r="CR233" s="539">
        <f t="shared" si="2003"/>
        <v>0</v>
      </c>
      <c r="CS233" s="540">
        <f t="shared" si="2004"/>
        <v>0</v>
      </c>
      <c r="CT233" s="540">
        <f t="shared" si="2005"/>
        <v>0.33012999999999998</v>
      </c>
      <c r="CU233" s="541">
        <f t="shared" si="2006"/>
        <v>13</v>
      </c>
      <c r="CV233" s="538">
        <f t="shared" si="2007"/>
        <v>1.43895</v>
      </c>
      <c r="CW233" s="538">
        <f t="shared" si="2008"/>
        <v>23.248199999999997</v>
      </c>
      <c r="CX233" s="104">
        <f t="shared" si="2009"/>
        <v>3.57</v>
      </c>
      <c r="CY233" s="542">
        <f t="shared" si="2010"/>
        <v>1.7849999999999999</v>
      </c>
      <c r="CZ233" s="538">
        <f t="shared" si="2011"/>
        <v>2.4513847475961154E-2</v>
      </c>
    </row>
    <row r="234" spans="1:104" s="112" customFormat="1" ht="25" x14ac:dyDescent="0.25">
      <c r="A234" s="100" t="str">
        <f>'BOCA DE LOBO'!C212</f>
        <v>BL29-&gt;PV13-59</v>
      </c>
      <c r="B234" s="100" t="str">
        <f>'BOCA DE LOBO'!A212</f>
        <v>PV13-59</v>
      </c>
      <c r="C234" s="100" t="str">
        <f>VLOOKUP(A234,'BOCA DE LOBO'!C:F,3,0)</f>
        <v>EXISTENTE</v>
      </c>
      <c r="D234" s="100" t="str">
        <f>VLOOKUP(A234,'BOCA DE LOBO'!C:M,10,0)</f>
        <v>PROJETADA</v>
      </c>
      <c r="E234" s="100">
        <f t="shared" si="1928"/>
        <v>2.5</v>
      </c>
      <c r="F234" s="100">
        <f>VLOOKUP(A234,'BOCA DE LOBO'!$C$178:$L$224,2,0)</f>
        <v>2.8400000000000318</v>
      </c>
      <c r="G234" s="100">
        <f>VLOOKUP(A234,'BOCA DE LOBO'!$C$178:$L$224,4,0)</f>
        <v>4.84</v>
      </c>
      <c r="H234" s="101">
        <v>400</v>
      </c>
      <c r="I234" s="102">
        <f t="shared" si="1929"/>
        <v>2.8000000000000158</v>
      </c>
      <c r="J234" s="102">
        <f t="shared" si="1930"/>
        <v>0.67760000000000375</v>
      </c>
      <c r="K234" s="103">
        <v>0</v>
      </c>
      <c r="L234" s="104">
        <f t="shared" si="1931"/>
        <v>1</v>
      </c>
      <c r="M234" s="104">
        <f t="shared" si="1932"/>
        <v>1</v>
      </c>
      <c r="N234" s="104">
        <f t="shared" si="1933"/>
        <v>0</v>
      </c>
      <c r="O234" s="104">
        <f t="shared" si="1934"/>
        <v>4.84</v>
      </c>
      <c r="P234" s="105" t="s">
        <v>2179</v>
      </c>
      <c r="Q234" s="468" t="s">
        <v>2181</v>
      </c>
      <c r="R234" s="105"/>
      <c r="S234" s="105">
        <v>5</v>
      </c>
      <c r="T234" s="105">
        <v>5</v>
      </c>
      <c r="U234" s="104">
        <f t="shared" si="1935"/>
        <v>0.05</v>
      </c>
      <c r="V234" s="106">
        <f t="shared" si="1936"/>
        <v>0</v>
      </c>
      <c r="W234" s="106">
        <f t="shared" si="1937"/>
        <v>13.552000000000076</v>
      </c>
      <c r="X234" s="107">
        <f t="shared" si="1938"/>
        <v>0</v>
      </c>
      <c r="Y234" s="107">
        <f t="shared" si="1939"/>
        <v>0</v>
      </c>
      <c r="Z234" s="107">
        <f t="shared" si="1940"/>
        <v>2.8000000000000158</v>
      </c>
      <c r="AA234" s="107">
        <f t="shared" si="1941"/>
        <v>0</v>
      </c>
      <c r="AB234" s="108">
        <f t="shared" si="1942"/>
        <v>0</v>
      </c>
      <c r="AC234" s="109">
        <f t="shared" si="1943"/>
        <v>0</v>
      </c>
      <c r="AD234" s="109">
        <f t="shared" si="1944"/>
        <v>0</v>
      </c>
      <c r="AE234" s="109">
        <f t="shared" si="1945"/>
        <v>0</v>
      </c>
      <c r="AF234" s="109">
        <f t="shared" si="1946"/>
        <v>7.26</v>
      </c>
      <c r="AG234" s="109">
        <f t="shared" si="1947"/>
        <v>6.2920000000000762</v>
      </c>
      <c r="AH234" s="109">
        <f t="shared" si="1948"/>
        <v>0</v>
      </c>
      <c r="AI234" s="537" t="str">
        <f t="shared" si="1949"/>
        <v>NÃO</v>
      </c>
      <c r="AJ234" s="104">
        <f t="shared" si="1950"/>
        <v>0</v>
      </c>
      <c r="AK234" s="104">
        <f t="shared" si="1951"/>
        <v>0</v>
      </c>
      <c r="AL234" s="104">
        <f t="shared" si="1952"/>
        <v>12.943787662265091</v>
      </c>
      <c r="AM234" s="102">
        <f t="shared" si="1953"/>
        <v>0.24199999999999999</v>
      </c>
      <c r="AN234" s="106">
        <f t="shared" si="1954"/>
        <v>0</v>
      </c>
      <c r="AO234" s="104">
        <f t="shared" si="1955"/>
        <v>0</v>
      </c>
      <c r="AP234" s="104">
        <f t="shared" si="1956"/>
        <v>0</v>
      </c>
      <c r="AQ234" s="104">
        <f t="shared" si="1957"/>
        <v>0.7</v>
      </c>
      <c r="AR234" s="104">
        <f t="shared" si="1958"/>
        <v>2.7797876622650159</v>
      </c>
      <c r="AS234" s="104">
        <f t="shared" si="1959"/>
        <v>0</v>
      </c>
      <c r="AT234" s="104">
        <f t="shared" si="1960"/>
        <v>0</v>
      </c>
      <c r="AU234" s="104">
        <f t="shared" si="1961"/>
        <v>0</v>
      </c>
      <c r="AV234" s="104">
        <f t="shared" si="1962"/>
        <v>0</v>
      </c>
      <c r="AW234" s="104">
        <f t="shared" si="1963"/>
        <v>9.9220000000000752</v>
      </c>
      <c r="AX234" s="104">
        <f t="shared" si="1964"/>
        <v>10.772212337735059</v>
      </c>
      <c r="AY234" s="104">
        <f t="shared" si="1965"/>
        <v>9.9220000000000752</v>
      </c>
      <c r="AZ234" s="104">
        <f t="shared" si="1966"/>
        <v>0</v>
      </c>
      <c r="BA234" s="104">
        <f t="shared" si="1967"/>
        <v>0</v>
      </c>
      <c r="BB234" s="104">
        <f t="shared" si="1968"/>
        <v>0</v>
      </c>
      <c r="BC234" s="104"/>
      <c r="BD234" s="104">
        <f t="shared" si="1969"/>
        <v>0</v>
      </c>
      <c r="BE234" s="108">
        <f t="shared" si="1970"/>
        <v>2.8000000000000158</v>
      </c>
      <c r="BF234" s="110">
        <f t="shared" si="1971"/>
        <v>0</v>
      </c>
      <c r="BG234" s="110">
        <f t="shared" si="1972"/>
        <v>4.84</v>
      </c>
      <c r="BH234" s="105" t="str">
        <f>VLOOKUP(A234,'BOCA DE LOBO'!C:I,7,0)</f>
        <v>BOCA DE LOBO PROJETADA DUPLA</v>
      </c>
      <c r="BI234" s="104">
        <f t="shared" si="1973"/>
        <v>0</v>
      </c>
      <c r="BJ234" s="104">
        <f t="shared" si="1974"/>
        <v>0</v>
      </c>
      <c r="BK234" s="104">
        <f t="shared" si="1975"/>
        <v>0</v>
      </c>
      <c r="BL234" s="104">
        <f t="shared" si="1976"/>
        <v>0</v>
      </c>
      <c r="BM234" s="104">
        <f t="shared" si="1977"/>
        <v>0</v>
      </c>
      <c r="BN234" s="104">
        <f t="shared" si="1978"/>
        <v>1</v>
      </c>
      <c r="BO234" s="104">
        <f t="shared" si="1979"/>
        <v>0</v>
      </c>
      <c r="BP234" s="111"/>
      <c r="BQ234" s="108">
        <f t="shared" si="1980"/>
        <v>14.52</v>
      </c>
      <c r="BR234" s="108">
        <f t="shared" si="1981"/>
        <v>12.584000000000152</v>
      </c>
      <c r="BS234" s="108">
        <f t="shared" si="1982"/>
        <v>0</v>
      </c>
      <c r="BV234" s="538">
        <f t="shared" si="1983"/>
        <v>19.456499999999998</v>
      </c>
      <c r="BW234" s="538">
        <f t="shared" si="1984"/>
        <v>7.7825999999999986</v>
      </c>
      <c r="BX234" s="538">
        <f t="shared" si="1985"/>
        <v>3.0325999999999995</v>
      </c>
      <c r="BY234" s="538">
        <f t="shared" si="1986"/>
        <v>2.5</v>
      </c>
      <c r="BZ234" s="538">
        <f t="shared" si="1987"/>
        <v>2.5</v>
      </c>
      <c r="CA234" s="538">
        <f t="shared" si="1988"/>
        <v>0</v>
      </c>
      <c r="CB234" s="538">
        <f t="shared" si="1989"/>
        <v>0</v>
      </c>
      <c r="CC234" s="538">
        <f t="shared" si="1990"/>
        <v>11.673899999999998</v>
      </c>
      <c r="CD234" s="538">
        <f t="shared" si="1991"/>
        <v>7.7825999999999986</v>
      </c>
      <c r="CE234" s="538">
        <f t="shared" si="1992"/>
        <v>0</v>
      </c>
      <c r="CF234" s="538">
        <f t="shared" si="1993"/>
        <v>0</v>
      </c>
      <c r="CG234" s="538">
        <f t="shared" si="1994"/>
        <v>0</v>
      </c>
      <c r="CH234" s="538">
        <f t="shared" si="1995"/>
        <v>0</v>
      </c>
      <c r="CI234" s="104">
        <f t="shared" si="1927"/>
        <v>0.53549999999999998</v>
      </c>
      <c r="CJ234" s="538">
        <f t="shared" si="1996"/>
        <v>11.339499999999997</v>
      </c>
      <c r="CK234" s="538">
        <f t="shared" si="1997"/>
        <v>11.339499999999997</v>
      </c>
      <c r="CL234" s="538">
        <f t="shared" si="1998"/>
        <v>0</v>
      </c>
      <c r="CM234" s="538">
        <f t="shared" si="1999"/>
        <v>0</v>
      </c>
      <c r="CN234" s="538">
        <f t="shared" si="1841"/>
        <v>3.57</v>
      </c>
      <c r="CO234" s="538">
        <f t="shared" si="2000"/>
        <v>2.5</v>
      </c>
      <c r="CP234" s="538">
        <f t="shared" si="2001"/>
        <v>10.709999999999999</v>
      </c>
      <c r="CQ234" s="538">
        <f t="shared" si="2002"/>
        <v>7.14</v>
      </c>
      <c r="CR234" s="539">
        <f t="shared" si="2003"/>
        <v>0</v>
      </c>
      <c r="CS234" s="540">
        <f t="shared" si="2004"/>
        <v>0</v>
      </c>
      <c r="CT234" s="540">
        <f t="shared" si="2005"/>
        <v>0.33012999999999998</v>
      </c>
      <c r="CU234" s="541">
        <f t="shared" si="2006"/>
        <v>13</v>
      </c>
      <c r="CV234" s="538">
        <f t="shared" si="2007"/>
        <v>1.43895</v>
      </c>
      <c r="CW234" s="538">
        <f t="shared" si="2008"/>
        <v>23.248199999999997</v>
      </c>
      <c r="CX234" s="104">
        <f t="shared" si="2009"/>
        <v>3.57</v>
      </c>
      <c r="CY234" s="542">
        <f t="shared" si="2010"/>
        <v>1.7849999999999999</v>
      </c>
      <c r="CZ234" s="538">
        <f t="shared" si="2011"/>
        <v>2.4513847475961154E-2</v>
      </c>
    </row>
    <row r="235" spans="1:104" s="112" customFormat="1" ht="25" x14ac:dyDescent="0.25">
      <c r="A235" s="100" t="str">
        <f>'BOCA DE LOBO'!C213</f>
        <v>BL30-&gt;PV18-59</v>
      </c>
      <c r="B235" s="100" t="str">
        <f>'BOCA DE LOBO'!A213</f>
        <v>PV18-59</v>
      </c>
      <c r="C235" s="100" t="str">
        <f>VLOOKUP(A235,'BOCA DE LOBO'!C:F,3,0)</f>
        <v>EXISTENTE</v>
      </c>
      <c r="D235" s="100" t="str">
        <f>VLOOKUP(A235,'BOCA DE LOBO'!C:M,10,0)</f>
        <v>EXISTENTE</v>
      </c>
      <c r="E235" s="100">
        <f t="shared" si="1928"/>
        <v>2.5</v>
      </c>
      <c r="F235" s="100">
        <f>VLOOKUP(A235,'BOCA DE LOBO'!$C$178:$L$224,2,0)</f>
        <v>3.32000000000005</v>
      </c>
      <c r="G235" s="100">
        <f>VLOOKUP(A235,'BOCA DE LOBO'!$C$178:$L$224,4,0)</f>
        <v>0</v>
      </c>
      <c r="H235" s="101">
        <v>400</v>
      </c>
      <c r="I235" s="102">
        <f t="shared" si="1929"/>
        <v>3.0400000000000249</v>
      </c>
      <c r="J235" s="102">
        <f t="shared" si="1930"/>
        <v>0</v>
      </c>
      <c r="K235" s="103">
        <v>0</v>
      </c>
      <c r="L235" s="104">
        <f t="shared" si="1931"/>
        <v>0</v>
      </c>
      <c r="M235" s="104">
        <f t="shared" si="1932"/>
        <v>0</v>
      </c>
      <c r="N235" s="104">
        <f t="shared" si="1933"/>
        <v>400</v>
      </c>
      <c r="O235" s="104">
        <f t="shared" si="1934"/>
        <v>0</v>
      </c>
      <c r="P235" s="105" t="s">
        <v>2179</v>
      </c>
      <c r="Q235" s="468" t="s">
        <v>2078</v>
      </c>
      <c r="R235" s="105"/>
      <c r="S235" s="105">
        <f>VLOOKUP(Q235,Quantitativos!P:R,3,0)</f>
        <v>2.5</v>
      </c>
      <c r="T235" s="105">
        <f>VLOOKUP(Q235,Quantitativos!P:S,4,0)</f>
        <v>1.45</v>
      </c>
      <c r="U235" s="104">
        <f t="shared" si="1935"/>
        <v>0.05</v>
      </c>
      <c r="V235" s="106">
        <f t="shared" si="1936"/>
        <v>0</v>
      </c>
      <c r="W235" s="106">
        <f t="shared" si="1937"/>
        <v>0</v>
      </c>
      <c r="X235" s="107">
        <f t="shared" si="1938"/>
        <v>0</v>
      </c>
      <c r="Y235" s="107">
        <f t="shared" si="1939"/>
        <v>0</v>
      </c>
      <c r="Z235" s="107">
        <f t="shared" si="1940"/>
        <v>2.5</v>
      </c>
      <c r="AA235" s="107">
        <f t="shared" si="1941"/>
        <v>0.5400000000000249</v>
      </c>
      <c r="AB235" s="108">
        <f t="shared" si="1942"/>
        <v>0</v>
      </c>
      <c r="AC235" s="109">
        <f t="shared" si="1943"/>
        <v>0</v>
      </c>
      <c r="AD235" s="109">
        <f t="shared" si="1944"/>
        <v>0</v>
      </c>
      <c r="AE235" s="109">
        <f t="shared" si="1945"/>
        <v>0</v>
      </c>
      <c r="AF235" s="109">
        <f t="shared" si="1946"/>
        <v>0</v>
      </c>
      <c r="AG235" s="109">
        <f t="shared" si="1947"/>
        <v>0</v>
      </c>
      <c r="AH235" s="109">
        <f t="shared" si="1948"/>
        <v>0</v>
      </c>
      <c r="AI235" s="537" t="str">
        <f t="shared" si="1949"/>
        <v>SIM</v>
      </c>
      <c r="AJ235" s="104">
        <f t="shared" si="1950"/>
        <v>0</v>
      </c>
      <c r="AK235" s="104">
        <f t="shared" si="1951"/>
        <v>0</v>
      </c>
      <c r="AL235" s="104">
        <f t="shared" si="1952"/>
        <v>0</v>
      </c>
      <c r="AM235" s="102">
        <f t="shared" si="1953"/>
        <v>0</v>
      </c>
      <c r="AN235" s="106">
        <f t="shared" si="1954"/>
        <v>0</v>
      </c>
      <c r="AO235" s="104">
        <f t="shared" si="1955"/>
        <v>0</v>
      </c>
      <c r="AP235" s="104">
        <f t="shared" si="1956"/>
        <v>0</v>
      </c>
      <c r="AQ235" s="104">
        <f t="shared" si="1957"/>
        <v>0.7</v>
      </c>
      <c r="AR235" s="104">
        <f t="shared" si="1958"/>
        <v>0</v>
      </c>
      <c r="AS235" s="104">
        <f t="shared" si="1959"/>
        <v>0</v>
      </c>
      <c r="AT235" s="104">
        <f t="shared" si="1960"/>
        <v>0</v>
      </c>
      <c r="AU235" s="104">
        <f t="shared" si="1961"/>
        <v>0</v>
      </c>
      <c r="AV235" s="104">
        <f t="shared" si="1962"/>
        <v>0</v>
      </c>
      <c r="AW235" s="104">
        <f t="shared" si="1963"/>
        <v>0</v>
      </c>
      <c r="AX235" s="104">
        <f t="shared" si="1964"/>
        <v>0</v>
      </c>
      <c r="AY235" s="104">
        <f t="shared" si="1965"/>
        <v>0</v>
      </c>
      <c r="AZ235" s="104">
        <f t="shared" si="1966"/>
        <v>0</v>
      </c>
      <c r="BA235" s="104">
        <f t="shared" si="1967"/>
        <v>0</v>
      </c>
      <c r="BB235" s="104">
        <f t="shared" si="1968"/>
        <v>0</v>
      </c>
      <c r="BC235" s="104"/>
      <c r="BD235" s="104">
        <f t="shared" si="1969"/>
        <v>0</v>
      </c>
      <c r="BE235" s="108">
        <f t="shared" si="1970"/>
        <v>3.0400000000000249</v>
      </c>
      <c r="BF235" s="110">
        <f t="shared" si="1971"/>
        <v>0</v>
      </c>
      <c r="BG235" s="110">
        <f t="shared" si="1972"/>
        <v>0</v>
      </c>
      <c r="BH235" s="105" t="str">
        <f>VLOOKUP(A235,'BOCA DE LOBO'!C:I,7,0)</f>
        <v>BOCA DE LOBO EXISTENTE QUADRUPLA</v>
      </c>
      <c r="BI235" s="104">
        <f t="shared" si="1973"/>
        <v>0</v>
      </c>
      <c r="BJ235" s="104">
        <f t="shared" si="1974"/>
        <v>0</v>
      </c>
      <c r="BK235" s="104">
        <f t="shared" si="1975"/>
        <v>0</v>
      </c>
      <c r="BL235" s="104">
        <f t="shared" si="1976"/>
        <v>0</v>
      </c>
      <c r="BM235" s="104">
        <f t="shared" si="1977"/>
        <v>0</v>
      </c>
      <c r="BN235" s="104">
        <f t="shared" si="1978"/>
        <v>0</v>
      </c>
      <c r="BO235" s="104">
        <f t="shared" si="1979"/>
        <v>0</v>
      </c>
      <c r="BP235" s="111"/>
      <c r="BQ235" s="108">
        <f t="shared" si="1980"/>
        <v>0</v>
      </c>
      <c r="BR235" s="108">
        <f t="shared" si="1981"/>
        <v>0</v>
      </c>
      <c r="BS235" s="108">
        <f t="shared" si="1982"/>
        <v>0</v>
      </c>
      <c r="BV235" s="538">
        <f>IF(OR("BOCA DE LOBO EXISTENTE TRIPLA"=BH235,"BOCA DE LOBO EXISTENTE SIMPLES"=BH235,"BOCA DE LOBO EXISTENTE DUPLA"=BH235,"BOCA DE LOBO EXISTENTE QUADRUPLA"=BH235),0,IF("BOCA DE LOBO PROJETADA DUPLA"=BH235,(2.57+1)*(1.18+1),IF(OR("BOCA DE LOBO DUPLA EXISTENTE COM BOCA DE LOBO SIMPLES PROJETADA"=BH235,"BOCA DE LOBO SIMPLES EXISTENTE COM BOCA DE LOBO SIMPLES PROJETADA"=BH235),(1.18+0.5)*(1.18+1),IF(OR(BH235="BOCA DE LOBO DUPLA EXISTENTE COM BOCA DE LOBO DUPLA PROJETADA",BH235="BOCA DE LOBO SIMPLES EXISTENTE COM BOCA DE LOBO DUPLA PROJETADA"),(2.38+0.5)*(1.18+1),IF("BOCA DE LOBO PROJETADA TRIPLA"=BH235,(3.76+1)*(1.18+1),IF("BOCA DE LOBO PROJETADA QUADRUPLA"=BH235,(4.92+1)*(1.18+1),"X"))))))*(E235+IF(CA235&gt;0,0.5,0))</f>
        <v>0</v>
      </c>
      <c r="BW235" s="538">
        <f>IF(OR("BOCA DE LOBO EXISTENTE TRIPLA"=BH235,"BOCA DE LOBO EXISTENTE SIMPLES"=BH235,"BOCA DE LOBO EXISTENTE DUPLA"=BH235,"BOCA DE LOBO EXISTENTE QUADRUPLA"=BH235),0,IF("BOCA DE LOBO PROJETADA DUPLA"=BH235,(2.57+1)*(1.18+1),IF(OR("BOCA DE LOBO DUPLA EXISTENTE COM BOCA DE LOBO SIMPLES PROJETADA"=BH235,"BOCA DE LOBO SIMPLES EXISTENTE COM BOCA DE LOBO SIMPLES PROJETADA"=BH235),(1.18+1)*(1.18+0.5),IF(OR(BH235="BOCA DE LOBO DUPLA EXISTENTE COM BOCA DE LOBO DUPLA PROJETADA",BH235="BOCA DE LOBO SIMPLES EXISTENTE COM BOCA DE LOBO DUPLA PROJETADA"),(2.38+0.5)*(1.18+1),IF("BOCA DE LOBO PROJETADA TRIPLA"=BH235,(3.76+0.5*2)*(1.18+1),IF("BOCA DE LOBO PROJETADA QUADRUPLA"=BH235,(4.92+0.5*2)*(1.18+1),"X"))))))</f>
        <v>0</v>
      </c>
      <c r="BX235" s="538">
        <f>IF(OR("BOCA DE LOBO EXISTENTE TRIPLA"=BH235,"BOCA DE LOBO EXISTENTE SIMPLES"=BH235,"BOCA DE LOBO EXISTENTE DUPLA"=BH235,"BOCA DE LOBO EXISTENTE QUADRUPLA"=BH235),0,IF("BOCA DE LOBO PROJETADA DUPLA"=BH235,(2.57)*(1.18),IF(OR("BOCA DE LOBO DUPLA EXISTENTE COM BOCA DE LOBO SIMPLES PROJETADA"=BH235,"BOCA DE LOBO SIMPLES EXISTENTE COM BOCA DE LOBO SIMPLES PROJETADA"=BH235),(1.18)*(1.18),IF(OR(BH235="BOCA DE LOBO DUPLA EXISTENTE COM BOCA DE LOBO DUPLA PROJETADA",BH235="BOCA DE LOBO SIMPLES EXISTENTE COM BOCA DE LOBO DUPLA PROJETADA"),(2.38)*(1.18),IF("BOCA DE LOBO PROJETADA TRIPLA"=BH235,(3.76)*(1.18),IF("BOCA DE LOBO PROJETADA QUADRUPLA"=BH235,(4.92)*(1.18),"X"))))))</f>
        <v>0</v>
      </c>
      <c r="BY235" s="538">
        <f t="shared" si="1986"/>
        <v>2.5</v>
      </c>
      <c r="BZ235" s="538">
        <f t="shared" si="1987"/>
        <v>2.5</v>
      </c>
      <c r="CA235" s="538">
        <f t="shared" si="1988"/>
        <v>0</v>
      </c>
      <c r="CB235" s="538">
        <f t="shared" si="1989"/>
        <v>0</v>
      </c>
      <c r="CC235" s="538">
        <f t="shared" si="1990"/>
        <v>0</v>
      </c>
      <c r="CD235" s="538">
        <f t="shared" si="1991"/>
        <v>0</v>
      </c>
      <c r="CE235" s="538">
        <f t="shared" si="1992"/>
        <v>0</v>
      </c>
      <c r="CF235" s="538">
        <f t="shared" si="1993"/>
        <v>0</v>
      </c>
      <c r="CG235" s="538">
        <f t="shared" si="1994"/>
        <v>0</v>
      </c>
      <c r="CH235" s="538">
        <f t="shared" si="1995"/>
        <v>0</v>
      </c>
      <c r="CI235" s="104">
        <f>IF(OR("BOCA DE LOBO EXISTENTE TRIPLA"=BH235,"BOCA DE LOBO EXISTENTE SIMPLES"=BH235,"BOCA DE LOBO EXISTENTE DUPLA"=BH235,"BOCA DE LOBO EXISTENTE QUADRUPLA"=BH235),0,IF("BOCA DE LOBO PROJETADA DUPLA"=BH235,(2.57+1)*(0.5),IF(OR("BOCA DE LOBO DUPLA EXISTENTE COM BOCA DE LOBO SIMPLES PROJETADA"=BH235,"BOCA DE LOBO SIMPLES EXISTENTE COM BOCA DE LOBO SIMPLES PROJETADA"=BH235),(1.18+0.5)*(0.5),IF(OR(BH235="BOCA DE LOBO DUPLA EXISTENTE COM BOCA DE LOBO DUPLA PROJETADA",BH235="BOCA DE LOBO SIMPLES EXISTENTE COM BOCA DE LOBO DUPLA PROJETADA"),(2.38+0.5)*(0.5),IF("BOCA DE LOBO PROJETADA TRIPLA"=BH235,(3.76+1)*(0.5),IF("BOCA DE LOBO PROJETADA QUADRUPLA"=BH235,(4.92+1)*(0.5),"X")))))*0.3)</f>
        <v>0</v>
      </c>
      <c r="CJ235" s="538">
        <f t="shared" si="1996"/>
        <v>0</v>
      </c>
      <c r="CK235" s="538">
        <f t="shared" si="1997"/>
        <v>0</v>
      </c>
      <c r="CL235" s="538">
        <f t="shared" si="1998"/>
        <v>0</v>
      </c>
      <c r="CM235" s="538">
        <f t="shared" si="1999"/>
        <v>0</v>
      </c>
      <c r="CN235" s="538">
        <f>IF(OR("BOCA DE LOBO EXISTENTE TRIPLA"=BH235,"BOCA DE LOBO EXISTENTE SIMPLES"=BH235,"BOCA DE LOBO EXISTENTE DUPLA"=BH235,"BOCA DE LOBO EXISTENTE QUADRUPLA"=BH235),0,IF("BOCA DE LOBO PROJETADA DUPLA"=BH235,(2.57+1),IF(OR("BOCA DE LOBO DUPLA EXISTENTE COM BOCA DE LOBO SIMPLES PROJETADA"=BH235,"BOCA DE LOBO SIMPLES EXISTENTE COM BOCA DE LOBO SIMPLES PROJETADA"=BH235),(1.18+0.5),IF(OR(BH235="BOCA DE LOBO DUPLA EXISTENTE COM BOCA DE LOBO DUPLA PROJETADA",BH235="BOCA DE LOBO SIMPLES EXISTENTE COM BOCA DE LOBO DUPLA PROJETADA"),(2.38+0.5),IF("BOCA DE LOBO PROJETADA TRIPLA"=BH235,(3.76+0.5*2),IF("BOCA DE LOBO PROJETADA QUADRUPLA"=BH235,(4.92+0.5*2),"X"))))))</f>
        <v>0</v>
      </c>
      <c r="CO235" s="538">
        <f t="shared" si="2000"/>
        <v>2.5</v>
      </c>
      <c r="CP235" s="538">
        <f t="shared" si="2001"/>
        <v>0</v>
      </c>
      <c r="CQ235" s="538">
        <f t="shared" si="2002"/>
        <v>0</v>
      </c>
      <c r="CR235" s="539">
        <f t="shared" si="2003"/>
        <v>0</v>
      </c>
      <c r="CS235" s="540">
        <f>IF(OR("BOCA DE LOBO EXISTENTE TRIPLA"=BH235,"BOCA DE LOBO EXISTENTE SIMPLES"=BH235,"BOCA DE LOBO EXISTENTE DUPLA"=BH235,"BOCA DE LOBO EXISTENTE QUADRUPLA"=BH235),0,IF("BOCA DE LOBO PROJETADA DUPLA"=BH235,(0),IF(OR("BOCA DE LOBO DUPLA EXISTENTE COM BOCA DE LOBO SIMPLES PROJETADA"=BH235,"BOCA DE LOBO SIMPLES EXISTENTE COM BOCA DE LOBO SIMPLES PROJETADA"=BH235),(0.8*0.15*0.17),IF(OR(BH235="BOCA DE LOBO DUPLA EXISTENTE COM BOCA DE LOBO DUPLA PROJETADA",BH235="BOCA DE LOBO SIMPLES EXISTENTE COM BOCA DE LOBO DUPLA PROJETADA"),(0.8*0.15*0.17),IF("BOCA DE LOBO PROJETADA TRIPLA"=BH235,(0),IF("BOCA DE LOBO PROJETADA QUADRUPLA"=BH235,(0),"X")))))*E235)</f>
        <v>0</v>
      </c>
      <c r="CT235" s="540">
        <f>IF(OR("BOCA DE LOBO EXISTENTE TRIPLA"=BH235,"BOCA DE LOBO EXISTENTE SIMPLES"=BH235,"BOCA DE LOBO EXISTENTE DUPLA"=BH235,"BOCA DE LOBO EXISTENTE QUADRUPLA"=BH235),0,IF("BOCA DE LOBO PROJETADA DUPLA"=BH235,(1.18*2.57*0.05),IF(OR("BOCA DE LOBO DUPLA EXISTENTE COM BOCA DE LOBO SIMPLES PROJETADA"=BH235,"BOCA DE LOBO SIMPLES EXISTENTE COM BOCA DE LOBO SIMPLES PROJETADA"=BH235),(1.19*1.18*0.05),IF(OR(BH235="BOCA DE LOBO DUPLA EXISTENTE COM BOCA DE LOBO DUPLA PROJETADA",BH235="BOCA DE LOBO SIMPLES EXISTENTE COM BOCA DE LOBO DUPLA PROJETADA"),(2.38*1.18*0.056),IF("BOCA DE LOBO PROJETADA TRIPLA"=BH235,(3.76*1.18*0.05),IF("BOCA DE LOBO PROJETADA QUADRUPLA"=BH235,(4.92*1.18*0.05),"X")))))+CI235/3)</f>
        <v>0</v>
      </c>
      <c r="CU235" s="541">
        <f>IF(OR("BOCA DE LOBO EXISTENTE TRIPLA"=BH235,"BOCA DE LOBO EXISTENTE SIMPLES"=BH235,"BOCA DE LOBO EXISTENTE DUPLA"=BH235,"BOCA DE LOBO EXISTENTE QUADRUPLA"=BH235),0,IF("BOCA DE LOBO PROJETADA DUPLA"=BH235,(1*4+0.6*2),IF(OR("BOCA DE LOBO DUPLA EXISTENTE COM BOCA DE LOBO SIMPLES PROJETADA"=BH235,"BOCA DE LOBO SIMPLES EXISTENTE COM BOCA DE LOBO SIMPLES PROJETADA"=BH235),(1*2+0.6),IF(OR(BH235="BOCA DE LOBO DUPLA EXISTENTE COM BOCA DE LOBO DUPLA PROJETADA",BH235="BOCA DE LOBO SIMPLES EXISTENTE COM BOCA DE LOBO DUPLA PROJETADA"),(1*4+0.6),IF("BOCA DE LOBO PROJETADA TRIPLA"=BH235,(6*1+0.6*2),IF("BOCA DE LOBO PROJETADA QUADRUPLA"=BH235,(8*1+0.6*2),"X")))))*E235)</f>
        <v>0</v>
      </c>
      <c r="CV235" s="538">
        <f>IF(OR("BOCA DE LOBO EXISTENTE TRIPLA"=BH235,"BOCA DE LOBO EXISTENTE SIMPLES"=BH235,"BOCA DE LOBO EXISTENTE DUPLA"=BH235,"BOCA DE LOBO EXISTENTE QUADRUPLA"=BH235),0,IF("BOCA DE LOBO PROJETADA DUPLA"=BH235,(12*E235*0.17*0.15+1*0.17*0.15*5+1.09*0.6*0.07*2+2.57*1.18*0.15),IF(OR("BOCA DE LOBO DUPLA EXISTENTE COM BOCA DE LOBO SIMPLES PROJETADA"=BH235,"BOCA DE LOBO SIMPLES EXISTENTE COM BOCA DE LOBO SIMPLES PROJETADA"=BH235),(8*E235*0.17*0.15+1*0.17*0.15*4+1.09*0.6*0.07*1+1.38*1.18*0.15),IF(OR(BH235="BOCA DE LOBO DUPLA EXISTENTE COM BOCA DE LOBO DUPLA PROJETADA",BH235="BOCA DE LOBO SIMPLES EXISTENTE COM BOCA DE LOBO DUPLA PROJETADA"),(7*E235*0.17*0.15+1*0.17*0.15*5+1.09*0.6*0.07*2+2.38*1.18*0.15),IF("BOCA DE LOBO PROJETADA TRIPLA"=BH235,(15*E235*0.17*0.15+1*0.17*0.15*7+1.09*0.6*0.07*3+3.76*1.18*0.15),IF("BOCA DE LOBO PROJETADA QUADRUPLA"=BH235,(19*E235*0.17*0.15+1*0.17*0.15*9+1.09*0.6*0.07*4+4.92*1.18*0.15),"X"))))))</f>
        <v>0</v>
      </c>
      <c r="CW235" s="538">
        <f>IF(OR("BOCA DE LOBO EXISTENTE TRIPLA"=BH235,"BOCA DE LOBO EXISTENTE SIMPLES"=BH235,"BOCA DE LOBO EXISTENTE DUPLA"=BH235,"BOCA DE LOBO EXISTENTE QUADRUPLA"=BH235),0,IF("BOCA DE LOBO PROJETADA DUPLA"=BH235,(12*E235*2*(0.17+0.15)+1*(2*0.17+0.15)*5+2*(2.57+1.18)*0.15+(1.09+0.6)*2*0.07*2),IF(OR("BOCA DE LOBO DUPLA EXISTENTE COM BOCA DE LOBO SIMPLES PROJETADA"=BH235,"BOCA DE LOBO SIMPLES EXISTENTE COM BOCA DE LOBO SIMPLES PROJETADA"=BH235),(8*E235*2*(0.17+0.15)+1*(2*0.17+0.15)*4+2*(1.38+1.18)*0.15+(1.09+0.6)*2*0.07*1),IF(OR(BH235="BOCA DE LOBO DUPLA EXISTENTE COM BOCA DE LOBO DUPLA PROJETADA",BH235="BOCA DE LOBO SIMPLES EXISTENTE COM BOCA DE LOBO DUPLA PROJETADA"),(7*E235*2*(0.17+0.15)+1*(2*0.17+0.15)*5+2*(2.38+1.18)*0.15+(1.09+0.6)*2*0.07*2),IF("BOCA DE LOBO PROJETADA TRIPLA"=BH235,(15*E235*2*(0.17+0.15)+1*(2*0.17+0.15)*7+2*(3.76+1.18)*0.15+(1.09+0.6)*2*0.07*3),IF("BOCA DE LOBO PROJETADA QUADRUPLA"=BH235,(19*E235*2*(0.17+0.15)+1*(2*0.17+0.15)*7+2*(4.92+1.18)*0.15+(1.09+0.6)*2*0.07*4),"X"))))))</f>
        <v>0</v>
      </c>
      <c r="CX235" s="104">
        <f>IF(OR("BOCA DE LOBO EXISTENTE TRIPLA"=BH235,"BOCA DE LOBO EXISTENTE SIMPLES"=BH235,"BOCA DE LOBO EXISTENTE DUPLA"=BH235,"BOCA DE LOBO EXISTENTE QUADRUPLA"=BH235),0,IF("BOCA DE LOBO PROJETADA DUPLA"=BH235,(2.57+1),IF(OR("BOCA DE LOBO DUPLA EXISTENTE COM BOCA DE LOBO SIMPLES PROJETADA"=BH235,"BOCA DE LOBO SIMPLES EXISTENTE COM BOCA DE LOBO SIMPLES PROJETADA"=BH235),(1.18+0.5),IF(OR(BH235="BOCA DE LOBO DUPLA EXISTENTE COM BOCA DE LOBO DUPLA PROJETADA",BH235="BOCA DE LOBO SIMPLES EXISTENTE COM BOCA DE LOBO DUPLA PROJETADA"),(2.38+0.5),IF("BOCA DE LOBO PROJETADA TRIPLA"=BH235,(3.76+1),IF("BOCA DE LOBO PROJETADA QUADRUPLA"=BH235,(4.92+1),"X"))))))</f>
        <v>0</v>
      </c>
      <c r="CY235" s="542">
        <f t="shared" si="2010"/>
        <v>0</v>
      </c>
      <c r="CZ235" s="538">
        <f t="shared" si="2011"/>
        <v>0</v>
      </c>
    </row>
    <row r="236" spans="1:104" s="112" customFormat="1" ht="25" x14ac:dyDescent="0.25">
      <c r="A236" s="100" t="str">
        <f>'BOCA DE LOBO'!C214</f>
        <v>BL31-&gt;PV18-59</v>
      </c>
      <c r="B236" s="100" t="str">
        <f>'BOCA DE LOBO'!A214</f>
        <v>PV18-59</v>
      </c>
      <c r="C236" s="100" t="str">
        <f>VLOOKUP(A236,'BOCA DE LOBO'!C:F,3,0)</f>
        <v>EXISTENTE</v>
      </c>
      <c r="D236" s="100" t="str">
        <f>VLOOKUP(A236,'BOCA DE LOBO'!C:M,10,0)</f>
        <v>PROJETADA</v>
      </c>
      <c r="E236" s="100">
        <f t="shared" si="1928"/>
        <v>2.5</v>
      </c>
      <c r="F236" s="100">
        <f>VLOOKUP(A236,'BOCA DE LOBO'!$C$178:$L$224,2,0)</f>
        <v>3.32000000000005</v>
      </c>
      <c r="G236" s="100">
        <f>VLOOKUP(A236,'BOCA DE LOBO'!$C$178:$L$224,4,0)</f>
        <v>2.81</v>
      </c>
      <c r="H236" s="101">
        <v>400</v>
      </c>
      <c r="I236" s="102">
        <f t="shared" si="1929"/>
        <v>3.0400000000000249</v>
      </c>
      <c r="J236" s="102">
        <f t="shared" si="1930"/>
        <v>0.4271200000000035</v>
      </c>
      <c r="K236" s="103">
        <v>0</v>
      </c>
      <c r="L236" s="104">
        <f t="shared" si="1931"/>
        <v>1</v>
      </c>
      <c r="M236" s="104">
        <f t="shared" si="1932"/>
        <v>1</v>
      </c>
      <c r="N236" s="104">
        <f t="shared" si="1933"/>
        <v>0</v>
      </c>
      <c r="O236" s="104">
        <f t="shared" si="1934"/>
        <v>2.81</v>
      </c>
      <c r="P236" s="105" t="s">
        <v>2179</v>
      </c>
      <c r="Q236" s="468" t="s">
        <v>2078</v>
      </c>
      <c r="R236" s="105"/>
      <c r="S236" s="105">
        <f>VLOOKUP(Q236,Quantitativos!P:R,3,0)</f>
        <v>2.5</v>
      </c>
      <c r="T236" s="105">
        <f>VLOOKUP(Q236,Quantitativos!P:S,4,0)</f>
        <v>1.45</v>
      </c>
      <c r="U236" s="104">
        <f t="shared" si="1935"/>
        <v>0.05</v>
      </c>
      <c r="V236" s="106">
        <f t="shared" si="1936"/>
        <v>0</v>
      </c>
      <c r="W236" s="106">
        <f t="shared" si="1937"/>
        <v>8.5424000000000699</v>
      </c>
      <c r="X236" s="107">
        <f t="shared" si="1938"/>
        <v>0</v>
      </c>
      <c r="Y236" s="107">
        <f t="shared" si="1939"/>
        <v>0</v>
      </c>
      <c r="Z236" s="107">
        <f t="shared" si="1940"/>
        <v>2.5</v>
      </c>
      <c r="AA236" s="107">
        <f t="shared" si="1941"/>
        <v>0.5400000000000249</v>
      </c>
      <c r="AB236" s="108">
        <f t="shared" si="1942"/>
        <v>0</v>
      </c>
      <c r="AC236" s="109">
        <f t="shared" si="1943"/>
        <v>0</v>
      </c>
      <c r="AD236" s="109">
        <f t="shared" si="1944"/>
        <v>0</v>
      </c>
      <c r="AE236" s="109">
        <f t="shared" si="1945"/>
        <v>0</v>
      </c>
      <c r="AF236" s="109">
        <f t="shared" si="1946"/>
        <v>4.2149999999999999</v>
      </c>
      <c r="AG236" s="109">
        <f t="shared" si="1947"/>
        <v>2.81</v>
      </c>
      <c r="AH236" s="109">
        <f t="shared" si="1948"/>
        <v>0</v>
      </c>
      <c r="AI236" s="537" t="str">
        <f t="shared" si="1949"/>
        <v>SIM</v>
      </c>
      <c r="AJ236" s="104">
        <f t="shared" si="1950"/>
        <v>1.5174000000000696</v>
      </c>
      <c r="AK236" s="104">
        <f t="shared" si="1951"/>
        <v>5.9572000000000937E-2</v>
      </c>
      <c r="AL236" s="104">
        <f t="shared" si="1952"/>
        <v>8.1892849857365775</v>
      </c>
      <c r="AM236" s="102">
        <f t="shared" si="1953"/>
        <v>0.14050000000000001</v>
      </c>
      <c r="AN236" s="106">
        <f t="shared" si="1954"/>
        <v>0</v>
      </c>
      <c r="AO236" s="104">
        <f t="shared" si="1955"/>
        <v>0</v>
      </c>
      <c r="AP236" s="104">
        <f t="shared" si="1956"/>
        <v>0</v>
      </c>
      <c r="AQ236" s="104">
        <f t="shared" si="1957"/>
        <v>0.7</v>
      </c>
      <c r="AR236" s="104">
        <f t="shared" si="1958"/>
        <v>1.6138849857365072</v>
      </c>
      <c r="AS236" s="104">
        <f t="shared" si="1959"/>
        <v>0</v>
      </c>
      <c r="AT236" s="104">
        <f t="shared" si="1960"/>
        <v>0</v>
      </c>
      <c r="AU236" s="104">
        <f t="shared" si="1961"/>
        <v>0</v>
      </c>
      <c r="AV236" s="104">
        <f t="shared" si="1962"/>
        <v>0</v>
      </c>
      <c r="AW236" s="104">
        <f t="shared" si="1963"/>
        <v>6.4349000000000709</v>
      </c>
      <c r="AX236" s="104">
        <f t="shared" si="1964"/>
        <v>5.4111150142634932</v>
      </c>
      <c r="AY236" s="104">
        <f t="shared" si="1965"/>
        <v>5.4111150142634932</v>
      </c>
      <c r="AZ236" s="104">
        <f t="shared" si="1966"/>
        <v>1.0237849857365777</v>
      </c>
      <c r="BA236" s="104">
        <f t="shared" si="1967"/>
        <v>1.0237849857365777</v>
      </c>
      <c r="BB236" s="104">
        <f t="shared" si="1968"/>
        <v>0</v>
      </c>
      <c r="BC236" s="104"/>
      <c r="BD236" s="104">
        <f t="shared" si="1969"/>
        <v>0</v>
      </c>
      <c r="BE236" s="108">
        <f t="shared" si="1970"/>
        <v>3.0400000000000249</v>
      </c>
      <c r="BF236" s="110">
        <f t="shared" si="1971"/>
        <v>0</v>
      </c>
      <c r="BG236" s="110">
        <f t="shared" si="1972"/>
        <v>0</v>
      </c>
      <c r="BH236" s="105" t="str">
        <f>VLOOKUP(A236,'BOCA DE LOBO'!C:I,7,0)</f>
        <v>BOCA DE LOBO PROJETADA DUPLA</v>
      </c>
      <c r="BI236" s="104">
        <f t="shared" si="1973"/>
        <v>0</v>
      </c>
      <c r="BJ236" s="104">
        <f t="shared" si="1974"/>
        <v>0</v>
      </c>
      <c r="BK236" s="104">
        <f t="shared" si="1975"/>
        <v>0</v>
      </c>
      <c r="BL236" s="104">
        <f t="shared" si="1976"/>
        <v>0</v>
      </c>
      <c r="BM236" s="104">
        <f t="shared" si="1977"/>
        <v>0</v>
      </c>
      <c r="BN236" s="104">
        <f t="shared" si="1978"/>
        <v>1</v>
      </c>
      <c r="BO236" s="104">
        <f t="shared" si="1979"/>
        <v>0</v>
      </c>
      <c r="BP236" s="111"/>
      <c r="BQ236" s="108">
        <f t="shared" si="1980"/>
        <v>8.43</v>
      </c>
      <c r="BR236" s="108">
        <f t="shared" si="1981"/>
        <v>8.43</v>
      </c>
      <c r="BS236" s="108">
        <f t="shared" si="1982"/>
        <v>0.22480000000013997</v>
      </c>
      <c r="BV236" s="538">
        <f t="shared" si="1983"/>
        <v>19.456499999999998</v>
      </c>
      <c r="BW236" s="538">
        <f t="shared" ref="BW236:BW245" si="2012">IF(OR("BOCA DE LOBO EXISTENTE TRIPLA"=BH236,"BOCA DE LOBO EXISTENTE SIMPLES"=BH236,"BOCA DE LOBO EXISTENTE DUPLA"=BH236,"BOCA DE LOBO EXISTENTE QUADRUPLA"=BH236),0,IF("BOCA DE LOBO PROJETADA DUPLA"=BH236,(2.57+1)*(1.18+1),IF(OR("BOCA DE LOBO DUPLA EXISTENTE COM BOCA DE LOBO SIMPLES PROJETADA"=BH236,"BOCA DE LOBO SIMPLES EXISTENTE COM BOCA DE LOBO SIMPLES PROJETADA"=BH236),(1.18+1)*(1.18+0.5),IF(OR(BH236="BOCA DE LOBO DUPLA EXISTENTE COM BOCA DE LOBO DUPLA PROJETADA",BH236="BOCA DE LOBO SIMPLES EXISTENTE COM BOCA DE LOBO DUPLA PROJETADA"),(2.38+0.5)*(1.18+1),IF("BOCA DE LOBO PROJETADA TRIPLA"=BH236,(3.76+0.5*2)*(1.18+1),IF("BOCA DE LOBO PROJETADA QUADRUPLA"=BH236,(4.92+0.5*2)*(1.18+1),"X"))))))</f>
        <v>7.7825999999999986</v>
      </c>
      <c r="BX236" s="538">
        <f t="shared" ref="BX236:BX245" si="2013">IF(OR("BOCA DE LOBO EXISTENTE TRIPLA"=BH236,"BOCA DE LOBO EXISTENTE SIMPLES"=BH236,"BOCA DE LOBO EXISTENTE DUPLA"=BH236,"BOCA DE LOBO EXISTENTE QUADRUPLA"=BH236),0,IF("BOCA DE LOBO PROJETADA DUPLA"=BH236,(2.57)*(1.18),IF(OR("BOCA DE LOBO DUPLA EXISTENTE COM BOCA DE LOBO SIMPLES PROJETADA"=BH236,"BOCA DE LOBO SIMPLES EXISTENTE COM BOCA DE LOBO SIMPLES PROJETADA"=BH236),(1.18)*(1.18),IF(OR(BH236="BOCA DE LOBO DUPLA EXISTENTE COM BOCA DE LOBO DUPLA PROJETADA",BH236="BOCA DE LOBO SIMPLES EXISTENTE COM BOCA DE LOBO DUPLA PROJETADA"),(2.38)*(1.18),IF("BOCA DE LOBO PROJETADA TRIPLA"=BH236,(3.76)*(1.18),IF("BOCA DE LOBO PROJETADA QUADRUPLA"=BH236,(4.92)*(1.18),"X"))))))</f>
        <v>3.0325999999999995</v>
      </c>
      <c r="BY236" s="538">
        <f t="shared" si="1986"/>
        <v>2.5</v>
      </c>
      <c r="BZ236" s="538">
        <f t="shared" si="1987"/>
        <v>2.5</v>
      </c>
      <c r="CA236" s="538">
        <f t="shared" si="1988"/>
        <v>0</v>
      </c>
      <c r="CB236" s="538">
        <f t="shared" si="1989"/>
        <v>0</v>
      </c>
      <c r="CC236" s="538">
        <f t="shared" si="1990"/>
        <v>11.673899999999998</v>
      </c>
      <c r="CD236" s="538">
        <f t="shared" si="1991"/>
        <v>7.7825999999999986</v>
      </c>
      <c r="CE236" s="538">
        <f t="shared" si="1992"/>
        <v>0</v>
      </c>
      <c r="CF236" s="538">
        <f t="shared" si="1993"/>
        <v>0</v>
      </c>
      <c r="CG236" s="538">
        <f t="shared" si="1994"/>
        <v>0</v>
      </c>
      <c r="CH236" s="538">
        <f t="shared" si="1995"/>
        <v>0</v>
      </c>
      <c r="CI236" s="104">
        <f t="shared" si="1927"/>
        <v>0.53549999999999998</v>
      </c>
      <c r="CJ236" s="538">
        <f t="shared" si="1996"/>
        <v>11.339499999999997</v>
      </c>
      <c r="CK236" s="538">
        <f t="shared" si="1997"/>
        <v>11.339499999999997</v>
      </c>
      <c r="CL236" s="538">
        <f t="shared" si="1998"/>
        <v>0</v>
      </c>
      <c r="CM236" s="538">
        <f t="shared" si="1999"/>
        <v>0</v>
      </c>
      <c r="CN236" s="538">
        <f t="shared" si="1841"/>
        <v>3.57</v>
      </c>
      <c r="CO236" s="538">
        <f t="shared" si="2000"/>
        <v>2.5</v>
      </c>
      <c r="CP236" s="538">
        <f t="shared" si="2001"/>
        <v>10.709999999999999</v>
      </c>
      <c r="CQ236" s="538">
        <f t="shared" si="2002"/>
        <v>7.14</v>
      </c>
      <c r="CR236" s="539">
        <f t="shared" si="2003"/>
        <v>0</v>
      </c>
      <c r="CS236" s="540">
        <f t="shared" ref="CS236:CS245" si="2014">IF(OR("BOCA DE LOBO EXISTENTE TRIPLA"=BH236,"BOCA DE LOBO EXISTENTE SIMPLES"=BH236,"BOCA DE LOBO EXISTENTE DUPLA"=BH236,"BOCA DE LOBO EXISTENTE QUADRUPLA"=BH236),0,IF("BOCA DE LOBO PROJETADA DUPLA"=BH236,(0),IF(OR("BOCA DE LOBO DUPLA EXISTENTE COM BOCA DE LOBO SIMPLES PROJETADA"=BH236,"BOCA DE LOBO SIMPLES EXISTENTE COM BOCA DE LOBO SIMPLES PROJETADA"=BH236),(0.8*0.15*0.17),IF(OR(BH236="BOCA DE LOBO DUPLA EXISTENTE COM BOCA DE LOBO DUPLA PROJETADA",BH236="BOCA DE LOBO SIMPLES EXISTENTE COM BOCA DE LOBO DUPLA PROJETADA"),(0.8*0.15*0.17),IF("BOCA DE LOBO PROJETADA TRIPLA"=BH236,(0),IF("BOCA DE LOBO PROJETADA QUADRUPLA"=BH236,(0),"X")))))*E236)</f>
        <v>0</v>
      </c>
      <c r="CT236" s="540">
        <f t="shared" ref="CT236:CT245" si="2015">IF(OR("BOCA DE LOBO EXISTENTE TRIPLA"=BH236,"BOCA DE LOBO EXISTENTE SIMPLES"=BH236,"BOCA DE LOBO EXISTENTE DUPLA"=BH236,"BOCA DE LOBO EXISTENTE QUADRUPLA"=BH236),0,IF("BOCA DE LOBO PROJETADA DUPLA"=BH236,(1.18*2.57*0.05),IF(OR("BOCA DE LOBO DUPLA EXISTENTE COM BOCA DE LOBO SIMPLES PROJETADA"=BH236,"BOCA DE LOBO SIMPLES EXISTENTE COM BOCA DE LOBO SIMPLES PROJETADA"=BH236),(1.19*1.18*0.05),IF(OR(BH236="BOCA DE LOBO DUPLA EXISTENTE COM BOCA DE LOBO DUPLA PROJETADA",BH236="BOCA DE LOBO SIMPLES EXISTENTE COM BOCA DE LOBO DUPLA PROJETADA"),(2.38*1.18*0.056),IF("BOCA DE LOBO PROJETADA TRIPLA"=BH236,(3.76*1.18*0.05),IF("BOCA DE LOBO PROJETADA QUADRUPLA"=BH236,(4.92*1.18*0.05),"X")))))+CI236/3)</f>
        <v>0.33012999999999998</v>
      </c>
      <c r="CU236" s="541">
        <f t="shared" ref="CU236:CU245" si="2016">IF(OR("BOCA DE LOBO EXISTENTE TRIPLA"=BH236,"BOCA DE LOBO EXISTENTE SIMPLES"=BH236,"BOCA DE LOBO EXISTENTE DUPLA"=BH236,"BOCA DE LOBO EXISTENTE QUADRUPLA"=BH236),0,IF("BOCA DE LOBO PROJETADA DUPLA"=BH236,(1*4+0.6*2),IF(OR("BOCA DE LOBO DUPLA EXISTENTE COM BOCA DE LOBO SIMPLES PROJETADA"=BH236,"BOCA DE LOBO SIMPLES EXISTENTE COM BOCA DE LOBO SIMPLES PROJETADA"=BH236),(1*2+0.6),IF(OR(BH236="BOCA DE LOBO DUPLA EXISTENTE COM BOCA DE LOBO DUPLA PROJETADA",BH236="BOCA DE LOBO SIMPLES EXISTENTE COM BOCA DE LOBO DUPLA PROJETADA"),(1*4+0.6),IF("BOCA DE LOBO PROJETADA TRIPLA"=BH236,(6*1+0.6*2),IF("BOCA DE LOBO PROJETADA QUADRUPLA"=BH236,(8*1+0.6*2),"X")))))*E236)</f>
        <v>13</v>
      </c>
      <c r="CV236" s="538">
        <f t="shared" ref="CV236:CV245" si="2017">IF(OR("BOCA DE LOBO EXISTENTE TRIPLA"=BH236,"BOCA DE LOBO EXISTENTE SIMPLES"=BH236,"BOCA DE LOBO EXISTENTE DUPLA"=BH236,"BOCA DE LOBO EXISTENTE QUADRUPLA"=BH236),0,IF("BOCA DE LOBO PROJETADA DUPLA"=BH236,(12*E236*0.17*0.15+1*0.17*0.15*5+1.09*0.6*0.07*2+2.57*1.18*0.15),IF(OR("BOCA DE LOBO DUPLA EXISTENTE COM BOCA DE LOBO SIMPLES PROJETADA"=BH236,"BOCA DE LOBO SIMPLES EXISTENTE COM BOCA DE LOBO SIMPLES PROJETADA"=BH236),(8*E236*0.17*0.15+1*0.17*0.15*4+1.09*0.6*0.07*1+1.38*1.18*0.15),IF(OR(BH236="BOCA DE LOBO DUPLA EXISTENTE COM BOCA DE LOBO DUPLA PROJETADA",BH236="BOCA DE LOBO SIMPLES EXISTENTE COM BOCA DE LOBO DUPLA PROJETADA"),(7*E236*0.17*0.15+1*0.17*0.15*5+1.09*0.6*0.07*2+2.38*1.18*0.15),IF("BOCA DE LOBO PROJETADA TRIPLA"=BH236,(15*E236*0.17*0.15+1*0.17*0.15*7+1.09*0.6*0.07*3+3.76*1.18*0.15),IF("BOCA DE LOBO PROJETADA QUADRUPLA"=BH236,(19*E236*0.17*0.15+1*0.17*0.15*9+1.09*0.6*0.07*4+4.92*1.18*0.15),"X"))))))</f>
        <v>1.43895</v>
      </c>
      <c r="CW236" s="538">
        <f t="shared" ref="CW236:CW245" si="2018">IF(OR("BOCA DE LOBO EXISTENTE TRIPLA"=BH236,"BOCA DE LOBO EXISTENTE SIMPLES"=BH236,"BOCA DE LOBO EXISTENTE DUPLA"=BH236,"BOCA DE LOBO EXISTENTE QUADRUPLA"=BH236),0,IF("BOCA DE LOBO PROJETADA DUPLA"=BH236,(12*E236*2*(0.17+0.15)+1*(2*0.17+0.15)*5+2*(2.57+1.18)*0.15+(1.09+0.6)*2*0.07*2),IF(OR("BOCA DE LOBO DUPLA EXISTENTE COM BOCA DE LOBO SIMPLES PROJETADA"=BH236,"BOCA DE LOBO SIMPLES EXISTENTE COM BOCA DE LOBO SIMPLES PROJETADA"=BH236),(8*E236*2*(0.17+0.15)+1*(2*0.17+0.15)*4+2*(1.38+1.18)*0.15+(1.09+0.6)*2*0.07*1),IF(OR(BH236="BOCA DE LOBO DUPLA EXISTENTE COM BOCA DE LOBO DUPLA PROJETADA",BH236="BOCA DE LOBO SIMPLES EXISTENTE COM BOCA DE LOBO DUPLA PROJETADA"),(7*E236*2*(0.17+0.15)+1*(2*0.17+0.15)*5+2*(2.38+1.18)*0.15+(1.09+0.6)*2*0.07*2),IF("BOCA DE LOBO PROJETADA TRIPLA"=BH236,(15*E236*2*(0.17+0.15)+1*(2*0.17+0.15)*7+2*(3.76+1.18)*0.15+(1.09+0.6)*2*0.07*3),IF("BOCA DE LOBO PROJETADA QUADRUPLA"=BH236,(19*E236*2*(0.17+0.15)+1*(2*0.17+0.15)*7+2*(4.92+1.18)*0.15+(1.09+0.6)*2*0.07*4),"X"))))))</f>
        <v>23.248199999999997</v>
      </c>
      <c r="CX236" s="104">
        <f t="shared" ref="CX236:CX245" si="2019">IF(OR("BOCA DE LOBO EXISTENTE TRIPLA"=BH236,"BOCA DE LOBO EXISTENTE SIMPLES"=BH236,"BOCA DE LOBO EXISTENTE DUPLA"=BH236,"BOCA DE LOBO EXISTENTE QUADRUPLA"=BH236),0,IF("BOCA DE LOBO PROJETADA DUPLA"=BH236,(2.57+1),IF(OR("BOCA DE LOBO DUPLA EXISTENTE COM BOCA DE LOBO SIMPLES PROJETADA"=BH236,"BOCA DE LOBO SIMPLES EXISTENTE COM BOCA DE LOBO SIMPLES PROJETADA"=BH236),(1.18+0.5),IF(OR(BH236="BOCA DE LOBO DUPLA EXISTENTE COM BOCA DE LOBO DUPLA PROJETADA",BH236="BOCA DE LOBO SIMPLES EXISTENTE COM BOCA DE LOBO DUPLA PROJETADA"),(2.38+0.5),IF("BOCA DE LOBO PROJETADA TRIPLA"=BH236,(3.76+1),IF("BOCA DE LOBO PROJETADA QUADRUPLA"=BH236,(4.92+1),"X"))))))</f>
        <v>3.57</v>
      </c>
      <c r="CY236" s="542">
        <f t="shared" si="2010"/>
        <v>1.7849999999999999</v>
      </c>
      <c r="CZ236" s="538">
        <f t="shared" si="2011"/>
        <v>2.4513847475961154E-2</v>
      </c>
    </row>
    <row r="237" spans="1:104" s="112" customFormat="1" ht="25" x14ac:dyDescent="0.25">
      <c r="A237" s="100" t="str">
        <f>'BOCA DE LOBO'!C215</f>
        <v>BL32-&gt;PV1-60</v>
      </c>
      <c r="B237" s="100" t="str">
        <f>'BOCA DE LOBO'!A215</f>
        <v>PV1-60</v>
      </c>
      <c r="C237" s="100" t="str">
        <f>VLOOKUP(A237,'BOCA DE LOBO'!C:F,3,0)</f>
        <v>EXISTENTE</v>
      </c>
      <c r="D237" s="100" t="str">
        <f>VLOOKUP(A237,'BOCA DE LOBO'!C:M,10,0)</f>
        <v>PROJETADA</v>
      </c>
      <c r="E237" s="100">
        <f t="shared" si="1928"/>
        <v>1.1539999999999546</v>
      </c>
      <c r="F237" s="100">
        <f>VLOOKUP(A237,'BOCA DE LOBO'!$C$178:$L$224,2,0)</f>
        <v>1.5499999999999545</v>
      </c>
      <c r="G237" s="100">
        <f>VLOOKUP(A237,'BOCA DE LOBO'!$C$178:$L$224,4,0)</f>
        <v>9.9</v>
      </c>
      <c r="H237" s="101">
        <v>400</v>
      </c>
      <c r="I237" s="102">
        <f t="shared" si="1929"/>
        <v>1.4819999999999547</v>
      </c>
      <c r="J237" s="102">
        <f t="shared" si="1930"/>
        <v>0.73358999999997754</v>
      </c>
      <c r="K237" s="103">
        <v>0</v>
      </c>
      <c r="L237" s="104">
        <f t="shared" si="1931"/>
        <v>1</v>
      </c>
      <c r="M237" s="104">
        <f t="shared" si="1932"/>
        <v>1</v>
      </c>
      <c r="N237" s="104">
        <f t="shared" si="1933"/>
        <v>0</v>
      </c>
      <c r="O237" s="104">
        <f t="shared" si="1934"/>
        <v>9.9</v>
      </c>
      <c r="P237" s="105" t="s">
        <v>2179</v>
      </c>
      <c r="Q237" s="468" t="s">
        <v>2182</v>
      </c>
      <c r="R237" s="105"/>
      <c r="S237" s="105">
        <v>5</v>
      </c>
      <c r="T237" s="105">
        <v>5</v>
      </c>
      <c r="U237" s="104">
        <f t="shared" si="1935"/>
        <v>0.05</v>
      </c>
      <c r="V237" s="106">
        <f t="shared" si="1936"/>
        <v>0</v>
      </c>
      <c r="W237" s="106">
        <f t="shared" si="1937"/>
        <v>14.671799999999552</v>
      </c>
      <c r="X237" s="107">
        <f t="shared" si="1938"/>
        <v>0</v>
      </c>
      <c r="Y237" s="107">
        <f t="shared" si="1939"/>
        <v>0</v>
      </c>
      <c r="Z237" s="107">
        <f t="shared" si="1940"/>
        <v>1.4819999999999547</v>
      </c>
      <c r="AA237" s="107">
        <f t="shared" si="1941"/>
        <v>0</v>
      </c>
      <c r="AB237" s="108">
        <f t="shared" si="1942"/>
        <v>0</v>
      </c>
      <c r="AC237" s="109">
        <f t="shared" si="1943"/>
        <v>0</v>
      </c>
      <c r="AD237" s="109">
        <f t="shared" si="1944"/>
        <v>0</v>
      </c>
      <c r="AE237" s="109">
        <f t="shared" si="1945"/>
        <v>0</v>
      </c>
      <c r="AF237" s="109">
        <f t="shared" si="1946"/>
        <v>14.671799999999552</v>
      </c>
      <c r="AG237" s="109">
        <f t="shared" si="1947"/>
        <v>0</v>
      </c>
      <c r="AH237" s="109">
        <f t="shared" si="1948"/>
        <v>0</v>
      </c>
      <c r="AI237" s="537" t="str">
        <f t="shared" si="1949"/>
        <v>NÃO</v>
      </c>
      <c r="AJ237" s="104">
        <f t="shared" si="1950"/>
        <v>0</v>
      </c>
      <c r="AK237" s="104">
        <f t="shared" si="1951"/>
        <v>0</v>
      </c>
      <c r="AL237" s="104">
        <f t="shared" si="1952"/>
        <v>13.427729309177993</v>
      </c>
      <c r="AM237" s="102">
        <f t="shared" si="1953"/>
        <v>0.49500000000000005</v>
      </c>
      <c r="AN237" s="106">
        <f t="shared" si="1954"/>
        <v>0</v>
      </c>
      <c r="AO237" s="104">
        <f t="shared" si="1955"/>
        <v>0</v>
      </c>
      <c r="AP237" s="104">
        <f t="shared" si="1956"/>
        <v>0</v>
      </c>
      <c r="AQ237" s="104">
        <f t="shared" si="1957"/>
        <v>0.7</v>
      </c>
      <c r="AR237" s="104">
        <f t="shared" si="1958"/>
        <v>5.6859293091784417</v>
      </c>
      <c r="AS237" s="104">
        <f t="shared" si="1959"/>
        <v>0</v>
      </c>
      <c r="AT237" s="104">
        <f t="shared" si="1960"/>
        <v>0</v>
      </c>
      <c r="AU237" s="104">
        <f t="shared" si="1961"/>
        <v>0</v>
      </c>
      <c r="AV237" s="104">
        <f t="shared" si="1962"/>
        <v>0</v>
      </c>
      <c r="AW237" s="104">
        <f t="shared" si="1963"/>
        <v>7.2467999999995518</v>
      </c>
      <c r="AX237" s="104">
        <f t="shared" si="1964"/>
        <v>8.985870690821109</v>
      </c>
      <c r="AY237" s="104">
        <f t="shared" si="1965"/>
        <v>7.2467999999995518</v>
      </c>
      <c r="AZ237" s="104">
        <f t="shared" si="1966"/>
        <v>0</v>
      </c>
      <c r="BA237" s="104">
        <f t="shared" si="1967"/>
        <v>0</v>
      </c>
      <c r="BB237" s="104">
        <f t="shared" si="1968"/>
        <v>0</v>
      </c>
      <c r="BC237" s="104"/>
      <c r="BD237" s="104">
        <f t="shared" si="1969"/>
        <v>0</v>
      </c>
      <c r="BE237" s="108">
        <f t="shared" si="1970"/>
        <v>1.4819999999999547</v>
      </c>
      <c r="BF237" s="110">
        <f t="shared" si="1971"/>
        <v>9.9</v>
      </c>
      <c r="BG237" s="110">
        <f t="shared" si="1972"/>
        <v>0</v>
      </c>
      <c r="BH237" s="105" t="str">
        <f>VLOOKUP(A237,'BOCA DE LOBO'!C:I,7,0)</f>
        <v>BOCA DE LOBO PROJETADA DUPLA</v>
      </c>
      <c r="BI237" s="104">
        <f t="shared" si="1973"/>
        <v>0</v>
      </c>
      <c r="BJ237" s="104">
        <f t="shared" si="1974"/>
        <v>0</v>
      </c>
      <c r="BK237" s="104">
        <f t="shared" si="1975"/>
        <v>0</v>
      </c>
      <c r="BL237" s="104">
        <f t="shared" si="1976"/>
        <v>0</v>
      </c>
      <c r="BM237" s="104">
        <f t="shared" si="1977"/>
        <v>0</v>
      </c>
      <c r="BN237" s="104">
        <f t="shared" si="1978"/>
        <v>1</v>
      </c>
      <c r="BO237" s="104">
        <f t="shared" si="1979"/>
        <v>0</v>
      </c>
      <c r="BP237" s="111"/>
      <c r="BQ237" s="108">
        <f t="shared" si="1980"/>
        <v>29.343599999999103</v>
      </c>
      <c r="BR237" s="108">
        <f t="shared" si="1981"/>
        <v>0</v>
      </c>
      <c r="BS237" s="108">
        <f t="shared" si="1982"/>
        <v>0</v>
      </c>
      <c r="BV237" s="538">
        <f t="shared" si="1983"/>
        <v>8.9811203999996447</v>
      </c>
      <c r="BW237" s="538">
        <f t="shared" si="2012"/>
        <v>7.7825999999999986</v>
      </c>
      <c r="BX237" s="538">
        <f t="shared" si="2013"/>
        <v>3.0325999999999995</v>
      </c>
      <c r="BY237" s="538">
        <f t="shared" si="1986"/>
        <v>1.1539999999999546</v>
      </c>
      <c r="BZ237" s="538">
        <f t="shared" si="1987"/>
        <v>1.1539999999999546</v>
      </c>
      <c r="CA237" s="538">
        <f t="shared" si="1988"/>
        <v>0</v>
      </c>
      <c r="CB237" s="538">
        <f t="shared" si="1989"/>
        <v>0</v>
      </c>
      <c r="CC237" s="538">
        <f t="shared" si="1990"/>
        <v>8.9811203999996447</v>
      </c>
      <c r="CD237" s="538">
        <f t="shared" si="1991"/>
        <v>0</v>
      </c>
      <c r="CE237" s="538">
        <f t="shared" si="1992"/>
        <v>0</v>
      </c>
      <c r="CF237" s="538">
        <f t="shared" si="1993"/>
        <v>0</v>
      </c>
      <c r="CG237" s="538">
        <f t="shared" si="1994"/>
        <v>0</v>
      </c>
      <c r="CH237" s="538">
        <f t="shared" si="1995"/>
        <v>0</v>
      </c>
      <c r="CI237" s="104">
        <f t="shared" si="1927"/>
        <v>0.53549999999999998</v>
      </c>
      <c r="CJ237" s="538">
        <f t="shared" si="1996"/>
        <v>4.9459999999997839</v>
      </c>
      <c r="CK237" s="538">
        <f t="shared" si="1997"/>
        <v>4.9459999999997839</v>
      </c>
      <c r="CL237" s="538">
        <f t="shared" si="1998"/>
        <v>0</v>
      </c>
      <c r="CM237" s="538">
        <f t="shared" si="1999"/>
        <v>0</v>
      </c>
      <c r="CN237" s="538">
        <f t="shared" si="1841"/>
        <v>3.57</v>
      </c>
      <c r="CO237" s="538">
        <f t="shared" si="2000"/>
        <v>1.1539999999999546</v>
      </c>
      <c r="CP237" s="538">
        <f t="shared" si="2001"/>
        <v>8.2395599999996758</v>
      </c>
      <c r="CQ237" s="538">
        <f t="shared" si="2002"/>
        <v>0</v>
      </c>
      <c r="CR237" s="539">
        <f t="shared" si="2003"/>
        <v>0</v>
      </c>
      <c r="CS237" s="540">
        <f t="shared" si="2014"/>
        <v>0</v>
      </c>
      <c r="CT237" s="540">
        <f t="shared" si="2015"/>
        <v>0.33012999999999998</v>
      </c>
      <c r="CU237" s="541">
        <f t="shared" si="2016"/>
        <v>6.0007999999997645</v>
      </c>
      <c r="CV237" s="538">
        <f t="shared" si="2017"/>
        <v>1.0270739999999861</v>
      </c>
      <c r="CW237" s="538">
        <f t="shared" si="2018"/>
        <v>12.910919999999651</v>
      </c>
      <c r="CX237" s="104">
        <f t="shared" si="2019"/>
        <v>3.57</v>
      </c>
      <c r="CY237" s="542">
        <f t="shared" si="2010"/>
        <v>1.7849999999999999</v>
      </c>
      <c r="CZ237" s="538">
        <f t="shared" si="2011"/>
        <v>2.4513847475961154E-2</v>
      </c>
    </row>
    <row r="238" spans="1:104" s="112" customFormat="1" ht="25" x14ac:dyDescent="0.25">
      <c r="A238" s="100" t="str">
        <f>'BOCA DE LOBO'!C216</f>
        <v>BL33-&gt;PV2-61</v>
      </c>
      <c r="B238" s="100" t="str">
        <f>'BOCA DE LOBO'!A216</f>
        <v>PV2-61</v>
      </c>
      <c r="C238" s="100" t="str">
        <f>VLOOKUP(A238,'BOCA DE LOBO'!C:F,3,0)</f>
        <v>EXISTENTE</v>
      </c>
      <c r="D238" s="100" t="str">
        <f>VLOOKUP(A238,'BOCA DE LOBO'!C:M,10,0)</f>
        <v>PROJETADA</v>
      </c>
      <c r="E238" s="100">
        <f t="shared" si="1928"/>
        <v>1.4404000000000046</v>
      </c>
      <c r="F238" s="100">
        <f>VLOOKUP(A238,'BOCA DE LOBO'!$C$178:$L$224,2,0)</f>
        <v>1.8700000000000045</v>
      </c>
      <c r="G238" s="100">
        <f>VLOOKUP(A238,'BOCA DE LOBO'!$C$178:$L$224,4,0)</f>
        <v>10.74</v>
      </c>
      <c r="H238" s="101">
        <v>400</v>
      </c>
      <c r="I238" s="102">
        <f t="shared" si="1929"/>
        <v>1.7852000000000048</v>
      </c>
      <c r="J238" s="102">
        <f t="shared" si="1930"/>
        <v>0.95865240000000251</v>
      </c>
      <c r="K238" s="103">
        <v>0</v>
      </c>
      <c r="L238" s="104">
        <f t="shared" si="1931"/>
        <v>1</v>
      </c>
      <c r="M238" s="104">
        <f t="shared" si="1932"/>
        <v>1</v>
      </c>
      <c r="N238" s="104">
        <f t="shared" si="1933"/>
        <v>0</v>
      </c>
      <c r="O238" s="104">
        <f t="shared" si="1934"/>
        <v>10.74</v>
      </c>
      <c r="P238" s="105" t="s">
        <v>2179</v>
      </c>
      <c r="Q238" s="468" t="s">
        <v>2181</v>
      </c>
      <c r="R238" s="105"/>
      <c r="S238" s="105">
        <v>5</v>
      </c>
      <c r="T238" s="105">
        <v>5</v>
      </c>
      <c r="U238" s="104">
        <f t="shared" si="1935"/>
        <v>0.05</v>
      </c>
      <c r="V238" s="106">
        <f t="shared" si="1936"/>
        <v>0</v>
      </c>
      <c r="W238" s="106">
        <f t="shared" si="1937"/>
        <v>19.173048000000051</v>
      </c>
      <c r="X238" s="107">
        <f t="shared" si="1938"/>
        <v>0</v>
      </c>
      <c r="Y238" s="107">
        <f t="shared" si="1939"/>
        <v>0</v>
      </c>
      <c r="Z238" s="107">
        <f t="shared" si="1940"/>
        <v>1.7852000000000048</v>
      </c>
      <c r="AA238" s="107">
        <f t="shared" si="1941"/>
        <v>0</v>
      </c>
      <c r="AB238" s="108">
        <f t="shared" si="1942"/>
        <v>0</v>
      </c>
      <c r="AC238" s="109">
        <f t="shared" si="1943"/>
        <v>0</v>
      </c>
      <c r="AD238" s="109">
        <f t="shared" si="1944"/>
        <v>0</v>
      </c>
      <c r="AE238" s="109">
        <f t="shared" si="1945"/>
        <v>0</v>
      </c>
      <c r="AF238" s="109">
        <f t="shared" si="1946"/>
        <v>16.11</v>
      </c>
      <c r="AG238" s="109">
        <f t="shared" si="1947"/>
        <v>3.0630480000000513</v>
      </c>
      <c r="AH238" s="109">
        <f t="shared" si="1948"/>
        <v>0</v>
      </c>
      <c r="AI238" s="537" t="str">
        <f t="shared" si="1949"/>
        <v>NÃO</v>
      </c>
      <c r="AJ238" s="104">
        <f t="shared" si="1950"/>
        <v>0</v>
      </c>
      <c r="AK238" s="104">
        <f t="shared" si="1951"/>
        <v>0</v>
      </c>
      <c r="AL238" s="104">
        <f t="shared" si="1952"/>
        <v>17.823419796017877</v>
      </c>
      <c r="AM238" s="102">
        <f t="shared" si="1953"/>
        <v>0.53700000000000003</v>
      </c>
      <c r="AN238" s="106">
        <f t="shared" si="1954"/>
        <v>0</v>
      </c>
      <c r="AO238" s="104">
        <f t="shared" si="1955"/>
        <v>0</v>
      </c>
      <c r="AP238" s="104">
        <f t="shared" si="1956"/>
        <v>0</v>
      </c>
      <c r="AQ238" s="104">
        <f t="shared" si="1957"/>
        <v>0.7</v>
      </c>
      <c r="AR238" s="104">
        <f t="shared" si="1958"/>
        <v>6.1683717960178246</v>
      </c>
      <c r="AS238" s="104">
        <f t="shared" si="1959"/>
        <v>0</v>
      </c>
      <c r="AT238" s="104">
        <f t="shared" si="1960"/>
        <v>0</v>
      </c>
      <c r="AU238" s="104">
        <f t="shared" si="1961"/>
        <v>0</v>
      </c>
      <c r="AV238" s="104">
        <f t="shared" si="1962"/>
        <v>0</v>
      </c>
      <c r="AW238" s="104">
        <f t="shared" si="1963"/>
        <v>11.118048000000053</v>
      </c>
      <c r="AX238" s="104">
        <f t="shared" si="1964"/>
        <v>13.004676203982227</v>
      </c>
      <c r="AY238" s="104">
        <f t="shared" si="1965"/>
        <v>11.118048000000053</v>
      </c>
      <c r="AZ238" s="104">
        <f t="shared" si="1966"/>
        <v>0</v>
      </c>
      <c r="BA238" s="104">
        <f t="shared" si="1967"/>
        <v>0</v>
      </c>
      <c r="BB238" s="104">
        <f t="shared" si="1968"/>
        <v>0</v>
      </c>
      <c r="BC238" s="104"/>
      <c r="BD238" s="104">
        <f t="shared" si="1969"/>
        <v>0</v>
      </c>
      <c r="BE238" s="108">
        <f t="shared" si="1970"/>
        <v>1.7852000000000048</v>
      </c>
      <c r="BF238" s="110">
        <f t="shared" si="1971"/>
        <v>0</v>
      </c>
      <c r="BG238" s="110">
        <f t="shared" si="1972"/>
        <v>10.74</v>
      </c>
      <c r="BH238" s="105" t="str">
        <f>VLOOKUP(A238,'BOCA DE LOBO'!C:I,7,0)</f>
        <v>BOCA DE LOBO PROJETADA DUPLA</v>
      </c>
      <c r="BI238" s="104">
        <f t="shared" si="1973"/>
        <v>0</v>
      </c>
      <c r="BJ238" s="104">
        <f t="shared" si="1974"/>
        <v>0</v>
      </c>
      <c r="BK238" s="104">
        <f t="shared" si="1975"/>
        <v>0</v>
      </c>
      <c r="BL238" s="104">
        <f t="shared" si="1976"/>
        <v>0</v>
      </c>
      <c r="BM238" s="104">
        <f t="shared" si="1977"/>
        <v>0</v>
      </c>
      <c r="BN238" s="104">
        <f t="shared" si="1978"/>
        <v>1</v>
      </c>
      <c r="BO238" s="104">
        <f t="shared" si="1979"/>
        <v>0</v>
      </c>
      <c r="BP238" s="111"/>
      <c r="BQ238" s="108">
        <f t="shared" si="1980"/>
        <v>32.22</v>
      </c>
      <c r="BR238" s="108">
        <f t="shared" si="1981"/>
        <v>6.1260960000001026</v>
      </c>
      <c r="BS238" s="108">
        <f t="shared" si="1982"/>
        <v>0</v>
      </c>
      <c r="BV238" s="538">
        <f t="shared" si="1983"/>
        <v>11.210057040000034</v>
      </c>
      <c r="BW238" s="538">
        <f t="shared" si="2012"/>
        <v>7.7825999999999986</v>
      </c>
      <c r="BX238" s="538">
        <f t="shared" si="2013"/>
        <v>3.0325999999999995</v>
      </c>
      <c r="BY238" s="538">
        <f t="shared" si="1986"/>
        <v>1.4404000000000046</v>
      </c>
      <c r="BZ238" s="538">
        <f t="shared" si="1987"/>
        <v>1.4404000000000046</v>
      </c>
      <c r="CA238" s="538">
        <f t="shared" si="1988"/>
        <v>0</v>
      </c>
      <c r="CB238" s="538">
        <f t="shared" si="1989"/>
        <v>0</v>
      </c>
      <c r="CC238" s="538">
        <f t="shared" si="1990"/>
        <v>11.210057040000034</v>
      </c>
      <c r="CD238" s="538">
        <f t="shared" si="1991"/>
        <v>0</v>
      </c>
      <c r="CE238" s="538">
        <f t="shared" si="1992"/>
        <v>0</v>
      </c>
      <c r="CF238" s="538">
        <f t="shared" si="1993"/>
        <v>0</v>
      </c>
      <c r="CG238" s="538">
        <f t="shared" si="1994"/>
        <v>0</v>
      </c>
      <c r="CH238" s="538">
        <f t="shared" si="1995"/>
        <v>0</v>
      </c>
      <c r="CI238" s="104">
        <f t="shared" si="1927"/>
        <v>0.53549999999999998</v>
      </c>
      <c r="CJ238" s="538">
        <f t="shared" si="1996"/>
        <v>6.3064000000000204</v>
      </c>
      <c r="CK238" s="538">
        <f t="shared" si="1997"/>
        <v>6.3064000000000204</v>
      </c>
      <c r="CL238" s="538">
        <f t="shared" si="1998"/>
        <v>0</v>
      </c>
      <c r="CM238" s="538">
        <f t="shared" si="1999"/>
        <v>0</v>
      </c>
      <c r="CN238" s="538">
        <f t="shared" si="1841"/>
        <v>3.57</v>
      </c>
      <c r="CO238" s="538">
        <f t="shared" si="2000"/>
        <v>1.4404000000000046</v>
      </c>
      <c r="CP238" s="538">
        <f t="shared" si="2001"/>
        <v>10.284456000000032</v>
      </c>
      <c r="CQ238" s="538">
        <f t="shared" si="2002"/>
        <v>0</v>
      </c>
      <c r="CR238" s="539">
        <f t="shared" si="2003"/>
        <v>0</v>
      </c>
      <c r="CS238" s="540">
        <f t="shared" si="2014"/>
        <v>0</v>
      </c>
      <c r="CT238" s="540">
        <f t="shared" si="2015"/>
        <v>0.33012999999999998</v>
      </c>
      <c r="CU238" s="541">
        <f t="shared" si="2016"/>
        <v>7.4900800000000238</v>
      </c>
      <c r="CV238" s="538">
        <f t="shared" si="2017"/>
        <v>1.1147124000000013</v>
      </c>
      <c r="CW238" s="538">
        <f t="shared" si="2018"/>
        <v>15.110472000000035</v>
      </c>
      <c r="CX238" s="104">
        <f t="shared" si="2019"/>
        <v>3.57</v>
      </c>
      <c r="CY238" s="542">
        <f t="shared" si="2010"/>
        <v>1.7849999999999999</v>
      </c>
      <c r="CZ238" s="538">
        <f t="shared" si="2011"/>
        <v>2.4513847475961154E-2</v>
      </c>
    </row>
    <row r="239" spans="1:104" s="112" customFormat="1" ht="25" x14ac:dyDescent="0.25">
      <c r="A239" s="100" t="str">
        <f>'BOCA DE LOBO'!C217</f>
        <v>BL34-&gt;PV3-63</v>
      </c>
      <c r="B239" s="100" t="str">
        <f>'BOCA DE LOBO'!A217</f>
        <v>PV3-63</v>
      </c>
      <c r="C239" s="100" t="str">
        <f>VLOOKUP(A239,'BOCA DE LOBO'!C:F,3,0)</f>
        <v>EXISTENTE</v>
      </c>
      <c r="D239" s="100" t="str">
        <f>VLOOKUP(A239,'BOCA DE LOBO'!C:M,10,0)</f>
        <v>PROJETADA</v>
      </c>
      <c r="E239" s="100">
        <f t="shared" si="1928"/>
        <v>1.7063999999999773</v>
      </c>
      <c r="F239" s="100">
        <f>VLOOKUP(A239,'BOCA DE LOBO'!$C$178:$L$224,2,0)</f>
        <v>1.8999999999999773</v>
      </c>
      <c r="G239" s="100">
        <f>VLOOKUP(A239,'BOCA DE LOBO'!$C$178:$L$224,4,0)</f>
        <v>4.84</v>
      </c>
      <c r="H239" s="101">
        <v>400</v>
      </c>
      <c r="I239" s="102">
        <f t="shared" si="1929"/>
        <v>1.9331999999999774</v>
      </c>
      <c r="J239" s="102">
        <f t="shared" si="1930"/>
        <v>0.46783439999999449</v>
      </c>
      <c r="K239" s="103">
        <v>0</v>
      </c>
      <c r="L239" s="104">
        <f t="shared" si="1931"/>
        <v>1</v>
      </c>
      <c r="M239" s="104">
        <f t="shared" si="1932"/>
        <v>1</v>
      </c>
      <c r="N239" s="104">
        <f t="shared" si="1933"/>
        <v>0</v>
      </c>
      <c r="O239" s="104">
        <f t="shared" si="1934"/>
        <v>4.84</v>
      </c>
      <c r="P239" s="105" t="s">
        <v>2179</v>
      </c>
      <c r="Q239" s="468" t="s">
        <v>2183</v>
      </c>
      <c r="R239" s="105"/>
      <c r="S239" s="105">
        <v>5</v>
      </c>
      <c r="T239" s="105">
        <v>5</v>
      </c>
      <c r="U239" s="104">
        <f t="shared" si="1935"/>
        <v>0.05</v>
      </c>
      <c r="V239" s="106">
        <f t="shared" si="1936"/>
        <v>0</v>
      </c>
      <c r="W239" s="106">
        <f t="shared" si="1937"/>
        <v>9.35668799999989</v>
      </c>
      <c r="X239" s="107">
        <f t="shared" si="1938"/>
        <v>0</v>
      </c>
      <c r="Y239" s="107">
        <f t="shared" si="1939"/>
        <v>0</v>
      </c>
      <c r="Z239" s="107">
        <f t="shared" si="1940"/>
        <v>1.9331999999999774</v>
      </c>
      <c r="AA239" s="107">
        <f t="shared" si="1941"/>
        <v>0</v>
      </c>
      <c r="AB239" s="108">
        <f t="shared" si="1942"/>
        <v>0</v>
      </c>
      <c r="AC239" s="109">
        <f t="shared" si="1943"/>
        <v>0</v>
      </c>
      <c r="AD239" s="109">
        <f t="shared" si="1944"/>
        <v>0</v>
      </c>
      <c r="AE239" s="109">
        <f t="shared" si="1945"/>
        <v>0</v>
      </c>
      <c r="AF239" s="109">
        <f t="shared" si="1946"/>
        <v>7.26</v>
      </c>
      <c r="AG239" s="109">
        <f t="shared" si="1947"/>
        <v>2.0966879999998906</v>
      </c>
      <c r="AH239" s="109">
        <f t="shared" si="1948"/>
        <v>0</v>
      </c>
      <c r="AI239" s="537" t="str">
        <f t="shared" si="1949"/>
        <v>NÃO</v>
      </c>
      <c r="AJ239" s="104">
        <f t="shared" si="1950"/>
        <v>0</v>
      </c>
      <c r="AK239" s="104">
        <f t="shared" si="1951"/>
        <v>0</v>
      </c>
      <c r="AL239" s="104">
        <f t="shared" si="1952"/>
        <v>8.7484756622649051</v>
      </c>
      <c r="AM239" s="102">
        <f t="shared" si="1953"/>
        <v>0.24199999999999999</v>
      </c>
      <c r="AN239" s="106">
        <f t="shared" si="1954"/>
        <v>0</v>
      </c>
      <c r="AO239" s="104">
        <f t="shared" si="1955"/>
        <v>0</v>
      </c>
      <c r="AP239" s="104">
        <f t="shared" si="1956"/>
        <v>0</v>
      </c>
      <c r="AQ239" s="104">
        <f t="shared" si="1957"/>
        <v>0.7</v>
      </c>
      <c r="AR239" s="104">
        <f t="shared" si="1958"/>
        <v>2.7797876622650159</v>
      </c>
      <c r="AS239" s="104">
        <f t="shared" si="1959"/>
        <v>0</v>
      </c>
      <c r="AT239" s="104">
        <f t="shared" si="1960"/>
        <v>0</v>
      </c>
      <c r="AU239" s="104">
        <f t="shared" si="1961"/>
        <v>0</v>
      </c>
      <c r="AV239" s="104">
        <f t="shared" si="1962"/>
        <v>0</v>
      </c>
      <c r="AW239" s="104">
        <f t="shared" si="1963"/>
        <v>5.7266879999998883</v>
      </c>
      <c r="AX239" s="104">
        <f t="shared" si="1964"/>
        <v>6.576900337734874</v>
      </c>
      <c r="AY239" s="104">
        <f t="shared" si="1965"/>
        <v>5.7266879999998883</v>
      </c>
      <c r="AZ239" s="104">
        <f t="shared" si="1966"/>
        <v>0</v>
      </c>
      <c r="BA239" s="104">
        <f t="shared" si="1967"/>
        <v>0</v>
      </c>
      <c r="BB239" s="104">
        <f t="shared" si="1968"/>
        <v>0</v>
      </c>
      <c r="BC239" s="104"/>
      <c r="BD239" s="104">
        <f t="shared" si="1969"/>
        <v>0</v>
      </c>
      <c r="BE239" s="108">
        <f t="shared" si="1970"/>
        <v>1.9331999999999774</v>
      </c>
      <c r="BF239" s="110">
        <f t="shared" si="1971"/>
        <v>0</v>
      </c>
      <c r="BG239" s="110">
        <f t="shared" si="1972"/>
        <v>4.84</v>
      </c>
      <c r="BH239" s="105" t="str">
        <f>VLOOKUP(A239,'BOCA DE LOBO'!C:I,7,0)</f>
        <v>BOCA DE LOBO PROJETADA DUPLA</v>
      </c>
      <c r="BI239" s="104">
        <f t="shared" si="1973"/>
        <v>0</v>
      </c>
      <c r="BJ239" s="104">
        <f t="shared" si="1974"/>
        <v>0</v>
      </c>
      <c r="BK239" s="104">
        <f t="shared" si="1975"/>
        <v>0</v>
      </c>
      <c r="BL239" s="104">
        <f t="shared" si="1976"/>
        <v>0</v>
      </c>
      <c r="BM239" s="104">
        <f t="shared" si="1977"/>
        <v>0</v>
      </c>
      <c r="BN239" s="104">
        <f t="shared" si="1978"/>
        <v>1</v>
      </c>
      <c r="BO239" s="104">
        <f t="shared" si="1979"/>
        <v>0</v>
      </c>
      <c r="BP239" s="111"/>
      <c r="BQ239" s="108">
        <f t="shared" si="1980"/>
        <v>14.52</v>
      </c>
      <c r="BR239" s="108">
        <f t="shared" si="1981"/>
        <v>4.1933759999997813</v>
      </c>
      <c r="BS239" s="108">
        <f t="shared" si="1982"/>
        <v>0</v>
      </c>
      <c r="BV239" s="538">
        <f t="shared" si="1983"/>
        <v>13.280228639999821</v>
      </c>
      <c r="BW239" s="538">
        <f t="shared" si="2012"/>
        <v>7.7825999999999986</v>
      </c>
      <c r="BX239" s="538">
        <f t="shared" si="2013"/>
        <v>3.0325999999999995</v>
      </c>
      <c r="BY239" s="538">
        <f t="shared" si="1986"/>
        <v>1.7063999999999773</v>
      </c>
      <c r="BZ239" s="538">
        <f t="shared" si="1987"/>
        <v>1.7063999999999773</v>
      </c>
      <c r="CA239" s="538">
        <f t="shared" si="1988"/>
        <v>0</v>
      </c>
      <c r="CB239" s="538">
        <f t="shared" si="1989"/>
        <v>0</v>
      </c>
      <c r="CC239" s="538">
        <f t="shared" si="1990"/>
        <v>11.673899999999998</v>
      </c>
      <c r="CD239" s="538">
        <f t="shared" si="1991"/>
        <v>1.6063286399998229</v>
      </c>
      <c r="CE239" s="538">
        <f t="shared" si="1992"/>
        <v>0</v>
      </c>
      <c r="CF239" s="538">
        <f t="shared" si="1993"/>
        <v>0</v>
      </c>
      <c r="CG239" s="538">
        <f t="shared" si="1994"/>
        <v>0</v>
      </c>
      <c r="CH239" s="538">
        <f t="shared" si="1995"/>
        <v>0</v>
      </c>
      <c r="CI239" s="104">
        <f t="shared" si="1927"/>
        <v>0.53549999999999998</v>
      </c>
      <c r="CJ239" s="538">
        <f t="shared" si="1996"/>
        <v>7.5698999999998913</v>
      </c>
      <c r="CK239" s="538">
        <f t="shared" si="1997"/>
        <v>7.5698999999998913</v>
      </c>
      <c r="CL239" s="538">
        <f t="shared" si="1998"/>
        <v>0</v>
      </c>
      <c r="CM239" s="538">
        <f t="shared" si="1999"/>
        <v>0</v>
      </c>
      <c r="CN239" s="538">
        <f t="shared" si="1841"/>
        <v>3.57</v>
      </c>
      <c r="CO239" s="538">
        <f t="shared" si="2000"/>
        <v>1.7063999999999773</v>
      </c>
      <c r="CP239" s="538">
        <f t="shared" si="2001"/>
        <v>10.709999999999999</v>
      </c>
      <c r="CQ239" s="538">
        <f t="shared" si="2002"/>
        <v>1.4736959999998376</v>
      </c>
      <c r="CR239" s="539">
        <f t="shared" si="2003"/>
        <v>0</v>
      </c>
      <c r="CS239" s="540">
        <f t="shared" si="2014"/>
        <v>0</v>
      </c>
      <c r="CT239" s="540">
        <f t="shared" si="2015"/>
        <v>0.33012999999999998</v>
      </c>
      <c r="CU239" s="541">
        <f t="shared" si="2016"/>
        <v>8.8732799999998822</v>
      </c>
      <c r="CV239" s="538">
        <f t="shared" si="2017"/>
        <v>1.1961083999999929</v>
      </c>
      <c r="CW239" s="538">
        <f t="shared" si="2018"/>
        <v>17.153351999999824</v>
      </c>
      <c r="CX239" s="104">
        <f t="shared" si="2019"/>
        <v>3.57</v>
      </c>
      <c r="CY239" s="542">
        <f t="shared" si="2010"/>
        <v>1.7849999999999999</v>
      </c>
      <c r="CZ239" s="538">
        <f t="shared" si="2011"/>
        <v>2.4513847475961154E-2</v>
      </c>
    </row>
    <row r="240" spans="1:104" s="112" customFormat="1" ht="25" x14ac:dyDescent="0.25">
      <c r="A240" s="100" t="str">
        <f>'BOCA DE LOBO'!C218</f>
        <v>BL35-&gt;PV4-63</v>
      </c>
      <c r="B240" s="100" t="str">
        <f>'BOCA DE LOBO'!A218</f>
        <v>PV4-63</v>
      </c>
      <c r="C240" s="100" t="str">
        <f>VLOOKUP(A240,'BOCA DE LOBO'!C:F,3,0)</f>
        <v>EXISTENTE</v>
      </c>
      <c r="D240" s="100" t="str">
        <f>VLOOKUP(A240,'BOCA DE LOBO'!C:M,10,0)</f>
        <v>PROJETADA</v>
      </c>
      <c r="E240" s="100">
        <f t="shared" si="1928"/>
        <v>1.6711999999999865</v>
      </c>
      <c r="F240" s="100">
        <f>VLOOKUP(A240,'BOCA DE LOBO'!$C$178:$L$224,2,0)</f>
        <v>1.8899999999999864</v>
      </c>
      <c r="G240" s="100">
        <f>VLOOKUP(A240,'BOCA DE LOBO'!$C$178:$L$224,4,0)</f>
        <v>5.47</v>
      </c>
      <c r="H240" s="101">
        <v>400</v>
      </c>
      <c r="I240" s="102">
        <f t="shared" si="1929"/>
        <v>1.9105999999999865</v>
      </c>
      <c r="J240" s="102">
        <f t="shared" si="1930"/>
        <v>0.52254909999999621</v>
      </c>
      <c r="K240" s="103">
        <v>0</v>
      </c>
      <c r="L240" s="104">
        <f t="shared" si="1931"/>
        <v>1</v>
      </c>
      <c r="M240" s="104">
        <f t="shared" si="1932"/>
        <v>1</v>
      </c>
      <c r="N240" s="104">
        <f t="shared" si="1933"/>
        <v>0</v>
      </c>
      <c r="O240" s="104">
        <f t="shared" si="1934"/>
        <v>5.47</v>
      </c>
      <c r="P240" s="105" t="s">
        <v>2179</v>
      </c>
      <c r="Q240" s="468" t="s">
        <v>2076</v>
      </c>
      <c r="R240" s="105"/>
      <c r="S240" s="105">
        <f>VLOOKUP(Q240,Quantitativos!P:R,3,0)</f>
        <v>3</v>
      </c>
      <c r="T240" s="105">
        <f>VLOOKUP(Q240,Quantitativos!P:S,4,0)</f>
        <v>5</v>
      </c>
      <c r="U240" s="104">
        <f t="shared" si="1935"/>
        <v>0.05</v>
      </c>
      <c r="V240" s="106">
        <f t="shared" si="1936"/>
        <v>0</v>
      </c>
      <c r="W240" s="106">
        <f t="shared" si="1937"/>
        <v>10.450981999999925</v>
      </c>
      <c r="X240" s="107">
        <f t="shared" si="1938"/>
        <v>0</v>
      </c>
      <c r="Y240" s="107">
        <f t="shared" si="1939"/>
        <v>0</v>
      </c>
      <c r="Z240" s="107">
        <f t="shared" si="1940"/>
        <v>1.9105999999999865</v>
      </c>
      <c r="AA240" s="107">
        <f t="shared" si="1941"/>
        <v>0</v>
      </c>
      <c r="AB240" s="108">
        <f t="shared" si="1942"/>
        <v>0</v>
      </c>
      <c r="AC240" s="109">
        <f t="shared" si="1943"/>
        <v>0</v>
      </c>
      <c r="AD240" s="109">
        <f t="shared" si="1944"/>
        <v>0</v>
      </c>
      <c r="AE240" s="109">
        <f t="shared" si="1945"/>
        <v>0</v>
      </c>
      <c r="AF240" s="109">
        <f t="shared" si="1946"/>
        <v>8.2050000000000001</v>
      </c>
      <c r="AG240" s="109">
        <f t="shared" si="1947"/>
        <v>2.2459819999999264</v>
      </c>
      <c r="AH240" s="109">
        <f t="shared" si="1948"/>
        <v>0</v>
      </c>
      <c r="AI240" s="537" t="str">
        <f t="shared" si="1949"/>
        <v>NÃO</v>
      </c>
      <c r="AJ240" s="104">
        <f t="shared" si="1950"/>
        <v>0</v>
      </c>
      <c r="AK240" s="104">
        <f t="shared" si="1951"/>
        <v>0</v>
      </c>
      <c r="AL240" s="104">
        <f t="shared" si="1952"/>
        <v>9.7636015273944778</v>
      </c>
      <c r="AM240" s="102">
        <f t="shared" si="1953"/>
        <v>0.27350000000000002</v>
      </c>
      <c r="AN240" s="106">
        <f t="shared" si="1954"/>
        <v>0</v>
      </c>
      <c r="AO240" s="104">
        <f t="shared" si="1955"/>
        <v>0</v>
      </c>
      <c r="AP240" s="104">
        <f t="shared" si="1956"/>
        <v>0</v>
      </c>
      <c r="AQ240" s="104">
        <f t="shared" si="1957"/>
        <v>0.7</v>
      </c>
      <c r="AR240" s="104">
        <f t="shared" si="1958"/>
        <v>3.1416195273945529</v>
      </c>
      <c r="AS240" s="104">
        <f t="shared" si="1959"/>
        <v>0</v>
      </c>
      <c r="AT240" s="104">
        <f t="shared" si="1960"/>
        <v>0</v>
      </c>
      <c r="AU240" s="104">
        <f t="shared" si="1961"/>
        <v>0</v>
      </c>
      <c r="AV240" s="104">
        <f t="shared" si="1962"/>
        <v>0</v>
      </c>
      <c r="AW240" s="104">
        <f t="shared" si="1963"/>
        <v>6.3484819999999242</v>
      </c>
      <c r="AX240" s="104">
        <f t="shared" si="1964"/>
        <v>7.3093624726053736</v>
      </c>
      <c r="AY240" s="104">
        <f t="shared" si="1965"/>
        <v>6.3484819999999242</v>
      </c>
      <c r="AZ240" s="104">
        <f t="shared" si="1966"/>
        <v>0</v>
      </c>
      <c r="BA240" s="104">
        <f t="shared" si="1967"/>
        <v>0</v>
      </c>
      <c r="BB240" s="104">
        <f t="shared" si="1968"/>
        <v>0</v>
      </c>
      <c r="BC240" s="104"/>
      <c r="BD240" s="104">
        <f t="shared" si="1969"/>
        <v>0</v>
      </c>
      <c r="BE240" s="108">
        <f t="shared" si="1970"/>
        <v>1.9105999999999865</v>
      </c>
      <c r="BF240" s="110">
        <f t="shared" si="1971"/>
        <v>0</v>
      </c>
      <c r="BG240" s="110">
        <f t="shared" si="1972"/>
        <v>5.47</v>
      </c>
      <c r="BH240" s="105" t="str">
        <f>VLOOKUP(A240,'BOCA DE LOBO'!C:I,7,0)</f>
        <v>BOCA DE LOBO PROJETADA DUPLA</v>
      </c>
      <c r="BI240" s="104">
        <f t="shared" si="1973"/>
        <v>0</v>
      </c>
      <c r="BJ240" s="104">
        <f t="shared" si="1974"/>
        <v>0</v>
      </c>
      <c r="BK240" s="104">
        <f t="shared" si="1975"/>
        <v>0</v>
      </c>
      <c r="BL240" s="104">
        <f t="shared" si="1976"/>
        <v>0</v>
      </c>
      <c r="BM240" s="104">
        <f t="shared" si="1977"/>
        <v>0</v>
      </c>
      <c r="BN240" s="104">
        <f t="shared" si="1978"/>
        <v>1</v>
      </c>
      <c r="BO240" s="104">
        <f t="shared" si="1979"/>
        <v>0</v>
      </c>
      <c r="BP240" s="111"/>
      <c r="BQ240" s="108">
        <f t="shared" si="1980"/>
        <v>16.41</v>
      </c>
      <c r="BR240" s="108">
        <f t="shared" si="1981"/>
        <v>4.4919639999998529</v>
      </c>
      <c r="BS240" s="108">
        <f t="shared" si="1982"/>
        <v>0</v>
      </c>
      <c r="BV240" s="538">
        <f t="shared" si="1983"/>
        <v>13.006281119999892</v>
      </c>
      <c r="BW240" s="538">
        <f t="shared" si="2012"/>
        <v>7.7825999999999986</v>
      </c>
      <c r="BX240" s="538">
        <f t="shared" si="2013"/>
        <v>3.0325999999999995</v>
      </c>
      <c r="BY240" s="538">
        <f t="shared" si="1986"/>
        <v>1.6711999999999865</v>
      </c>
      <c r="BZ240" s="538">
        <f t="shared" si="1987"/>
        <v>1.6711999999999865</v>
      </c>
      <c r="CA240" s="538">
        <f t="shared" si="1988"/>
        <v>0</v>
      </c>
      <c r="CB240" s="538">
        <f t="shared" si="1989"/>
        <v>0</v>
      </c>
      <c r="CC240" s="538">
        <f t="shared" si="1990"/>
        <v>11.673899999999998</v>
      </c>
      <c r="CD240" s="538">
        <f t="shared" si="1991"/>
        <v>1.3323811199998945</v>
      </c>
      <c r="CE240" s="538">
        <f t="shared" si="1992"/>
        <v>0</v>
      </c>
      <c r="CF240" s="538">
        <f t="shared" si="1993"/>
        <v>0</v>
      </c>
      <c r="CG240" s="538">
        <f t="shared" si="1994"/>
        <v>0</v>
      </c>
      <c r="CH240" s="538">
        <f t="shared" si="1995"/>
        <v>0</v>
      </c>
      <c r="CI240" s="104">
        <f t="shared" si="1927"/>
        <v>0.53549999999999998</v>
      </c>
      <c r="CJ240" s="538">
        <f t="shared" si="1996"/>
        <v>7.4026999999999346</v>
      </c>
      <c r="CK240" s="538">
        <f t="shared" si="1997"/>
        <v>7.4026999999999346</v>
      </c>
      <c r="CL240" s="538">
        <f t="shared" si="1998"/>
        <v>0</v>
      </c>
      <c r="CM240" s="538">
        <f t="shared" si="1999"/>
        <v>0</v>
      </c>
      <c r="CN240" s="538">
        <f t="shared" si="1841"/>
        <v>3.57</v>
      </c>
      <c r="CO240" s="538">
        <f t="shared" si="2000"/>
        <v>1.6711999999999865</v>
      </c>
      <c r="CP240" s="538">
        <f t="shared" si="2001"/>
        <v>10.709999999999999</v>
      </c>
      <c r="CQ240" s="538">
        <f t="shared" si="2002"/>
        <v>1.2223679999999033</v>
      </c>
      <c r="CR240" s="539">
        <f t="shared" si="2003"/>
        <v>0</v>
      </c>
      <c r="CS240" s="540">
        <f t="shared" si="2014"/>
        <v>0</v>
      </c>
      <c r="CT240" s="540">
        <f t="shared" si="2015"/>
        <v>0.33012999999999998</v>
      </c>
      <c r="CU240" s="541">
        <f t="shared" si="2016"/>
        <v>8.69023999999993</v>
      </c>
      <c r="CV240" s="538">
        <f t="shared" si="2017"/>
        <v>1.1853371999999958</v>
      </c>
      <c r="CW240" s="538">
        <f t="shared" si="2018"/>
        <v>16.883015999999895</v>
      </c>
      <c r="CX240" s="104">
        <f t="shared" si="2019"/>
        <v>3.57</v>
      </c>
      <c r="CY240" s="542">
        <f t="shared" si="2010"/>
        <v>1.7849999999999999</v>
      </c>
      <c r="CZ240" s="538">
        <f t="shared" si="2011"/>
        <v>2.4513847475961154E-2</v>
      </c>
    </row>
    <row r="241" spans="1:104" s="112" customFormat="1" ht="25" x14ac:dyDescent="0.25">
      <c r="A241" s="100" t="str">
        <f>'BOCA DE LOBO'!C219</f>
        <v>BL36-&gt;PV5-63</v>
      </c>
      <c r="B241" s="100" t="str">
        <f>'BOCA DE LOBO'!A219</f>
        <v>PV5-63</v>
      </c>
      <c r="C241" s="100" t="str">
        <f>VLOOKUP(A241,'BOCA DE LOBO'!C:F,3,0)</f>
        <v>EXISTENTE</v>
      </c>
      <c r="D241" s="100" t="str">
        <f>VLOOKUP(A241,'BOCA DE LOBO'!C:M,10,0)</f>
        <v>PROJETADA</v>
      </c>
      <c r="E241" s="100">
        <f t="shared" si="1928"/>
        <v>1.81119999999995</v>
      </c>
      <c r="F241" s="100">
        <f>VLOOKUP(A241,'BOCA DE LOBO'!$C$178:$L$224,2,0)</f>
        <v>1.92999999999995</v>
      </c>
      <c r="G241" s="100">
        <f>VLOOKUP(A241,'BOCA DE LOBO'!$C$178:$L$224,4,0)</f>
        <v>2.97</v>
      </c>
      <c r="H241" s="101">
        <v>400</v>
      </c>
      <c r="I241" s="102">
        <f t="shared" si="1929"/>
        <v>2.0005999999999498</v>
      </c>
      <c r="J241" s="102">
        <f t="shared" si="1930"/>
        <v>0.29708909999999256</v>
      </c>
      <c r="K241" s="103">
        <v>0</v>
      </c>
      <c r="L241" s="104">
        <f t="shared" si="1931"/>
        <v>1</v>
      </c>
      <c r="M241" s="104">
        <f t="shared" si="1932"/>
        <v>1</v>
      </c>
      <c r="N241" s="104">
        <f t="shared" si="1933"/>
        <v>0</v>
      </c>
      <c r="O241" s="104">
        <f t="shared" si="1934"/>
        <v>2.97</v>
      </c>
      <c r="P241" s="105" t="s">
        <v>2179</v>
      </c>
      <c r="Q241" s="468" t="s">
        <v>2076</v>
      </c>
      <c r="R241" s="105"/>
      <c r="S241" s="105">
        <f>VLOOKUP(Q241,Quantitativos!P:R,3,0)</f>
        <v>3</v>
      </c>
      <c r="T241" s="105">
        <f>VLOOKUP(Q241,Quantitativos!P:S,4,0)</f>
        <v>5</v>
      </c>
      <c r="U241" s="104">
        <f t="shared" si="1935"/>
        <v>0.05</v>
      </c>
      <c r="V241" s="106">
        <f t="shared" si="1936"/>
        <v>0</v>
      </c>
      <c r="W241" s="106">
        <f t="shared" si="1937"/>
        <v>5.9417819999998516</v>
      </c>
      <c r="X241" s="107">
        <f t="shared" si="1938"/>
        <v>0</v>
      </c>
      <c r="Y241" s="107">
        <f t="shared" si="1939"/>
        <v>0</v>
      </c>
      <c r="Z241" s="107">
        <f t="shared" si="1940"/>
        <v>2.0005999999999498</v>
      </c>
      <c r="AA241" s="107">
        <f t="shared" si="1941"/>
        <v>0</v>
      </c>
      <c r="AB241" s="108">
        <f t="shared" si="1942"/>
        <v>0</v>
      </c>
      <c r="AC241" s="109">
        <f t="shared" si="1943"/>
        <v>0</v>
      </c>
      <c r="AD241" s="109">
        <f t="shared" si="1944"/>
        <v>0</v>
      </c>
      <c r="AE241" s="109">
        <f t="shared" si="1945"/>
        <v>0</v>
      </c>
      <c r="AF241" s="109">
        <f t="shared" si="1946"/>
        <v>4.4550000000000001</v>
      </c>
      <c r="AG241" s="109">
        <f t="shared" si="1947"/>
        <v>1.4867819999998508</v>
      </c>
      <c r="AH241" s="109">
        <f t="shared" si="1948"/>
        <v>0</v>
      </c>
      <c r="AI241" s="537" t="str">
        <f t="shared" si="1949"/>
        <v>NÃO</v>
      </c>
      <c r="AJ241" s="104">
        <f t="shared" si="1950"/>
        <v>0</v>
      </c>
      <c r="AK241" s="104">
        <f t="shared" si="1951"/>
        <v>0</v>
      </c>
      <c r="AL241" s="104">
        <f t="shared" si="1952"/>
        <v>5.5685607927533844</v>
      </c>
      <c r="AM241" s="102">
        <f t="shared" si="1953"/>
        <v>0.14850000000000002</v>
      </c>
      <c r="AN241" s="106">
        <f t="shared" si="1954"/>
        <v>0</v>
      </c>
      <c r="AO241" s="104">
        <f t="shared" si="1955"/>
        <v>0</v>
      </c>
      <c r="AP241" s="104">
        <f t="shared" si="1956"/>
        <v>0</v>
      </c>
      <c r="AQ241" s="104">
        <f t="shared" si="1957"/>
        <v>0.7</v>
      </c>
      <c r="AR241" s="104">
        <f t="shared" si="1958"/>
        <v>1.7057787927535326</v>
      </c>
      <c r="AS241" s="104">
        <f t="shared" si="1959"/>
        <v>0</v>
      </c>
      <c r="AT241" s="104">
        <f t="shared" si="1960"/>
        <v>0</v>
      </c>
      <c r="AU241" s="104">
        <f t="shared" si="1961"/>
        <v>0</v>
      </c>
      <c r="AV241" s="104">
        <f t="shared" si="1962"/>
        <v>0</v>
      </c>
      <c r="AW241" s="104">
        <f t="shared" si="1963"/>
        <v>3.7142819999998515</v>
      </c>
      <c r="AX241" s="104">
        <f t="shared" si="1964"/>
        <v>4.2360032072463181</v>
      </c>
      <c r="AY241" s="104">
        <f t="shared" si="1965"/>
        <v>3.7142819999998515</v>
      </c>
      <c r="AZ241" s="104">
        <f t="shared" si="1966"/>
        <v>0</v>
      </c>
      <c r="BA241" s="104">
        <f t="shared" si="1967"/>
        <v>0</v>
      </c>
      <c r="BB241" s="104">
        <f t="shared" si="1968"/>
        <v>0</v>
      </c>
      <c r="BC241" s="104"/>
      <c r="BD241" s="104">
        <f t="shared" si="1969"/>
        <v>0</v>
      </c>
      <c r="BE241" s="108">
        <f t="shared" si="1970"/>
        <v>2.0005999999999498</v>
      </c>
      <c r="BF241" s="110">
        <f t="shared" si="1971"/>
        <v>0</v>
      </c>
      <c r="BG241" s="110">
        <f t="shared" si="1972"/>
        <v>2.97</v>
      </c>
      <c r="BH241" s="105" t="str">
        <f>VLOOKUP(A241,'BOCA DE LOBO'!C:I,7,0)</f>
        <v>BOCA DE LOBO PROJETADA DUPLA</v>
      </c>
      <c r="BI241" s="104">
        <f t="shared" si="1973"/>
        <v>0</v>
      </c>
      <c r="BJ241" s="104">
        <f t="shared" si="1974"/>
        <v>0</v>
      </c>
      <c r="BK241" s="104">
        <f t="shared" si="1975"/>
        <v>0</v>
      </c>
      <c r="BL241" s="104">
        <f t="shared" si="1976"/>
        <v>0</v>
      </c>
      <c r="BM241" s="104">
        <f t="shared" si="1977"/>
        <v>0</v>
      </c>
      <c r="BN241" s="104">
        <f t="shared" si="1978"/>
        <v>1</v>
      </c>
      <c r="BO241" s="104">
        <f t="shared" si="1979"/>
        <v>0</v>
      </c>
      <c r="BP241" s="111"/>
      <c r="BQ241" s="108">
        <f t="shared" si="1980"/>
        <v>8.91</v>
      </c>
      <c r="BR241" s="108">
        <f t="shared" si="1981"/>
        <v>2.9735639999997017</v>
      </c>
      <c r="BS241" s="108">
        <f t="shared" si="1982"/>
        <v>0</v>
      </c>
      <c r="BV241" s="538">
        <f t="shared" si="1983"/>
        <v>14.095845119999607</v>
      </c>
      <c r="BW241" s="538">
        <f t="shared" si="2012"/>
        <v>7.7825999999999986</v>
      </c>
      <c r="BX241" s="538">
        <f t="shared" si="2013"/>
        <v>3.0325999999999995</v>
      </c>
      <c r="BY241" s="538">
        <f t="shared" si="1986"/>
        <v>1.81119999999995</v>
      </c>
      <c r="BZ241" s="538">
        <f t="shared" si="1987"/>
        <v>1.81119999999995</v>
      </c>
      <c r="CA241" s="538">
        <f t="shared" si="1988"/>
        <v>0</v>
      </c>
      <c r="CB241" s="538">
        <f t="shared" si="1989"/>
        <v>0</v>
      </c>
      <c r="CC241" s="538">
        <f t="shared" si="1990"/>
        <v>11.673899999999998</v>
      </c>
      <c r="CD241" s="538">
        <f t="shared" si="1991"/>
        <v>2.4219451199996103</v>
      </c>
      <c r="CE241" s="538">
        <f t="shared" si="1992"/>
        <v>0</v>
      </c>
      <c r="CF241" s="538">
        <f t="shared" si="1993"/>
        <v>0</v>
      </c>
      <c r="CG241" s="538">
        <f t="shared" si="1994"/>
        <v>0</v>
      </c>
      <c r="CH241" s="538">
        <f t="shared" si="1995"/>
        <v>0</v>
      </c>
      <c r="CI241" s="104">
        <f t="shared" si="1927"/>
        <v>0.53549999999999998</v>
      </c>
      <c r="CJ241" s="538">
        <f t="shared" si="1996"/>
        <v>8.0676999999997605</v>
      </c>
      <c r="CK241" s="538">
        <f t="shared" si="1997"/>
        <v>8.0676999999997605</v>
      </c>
      <c r="CL241" s="538">
        <f t="shared" si="1998"/>
        <v>0</v>
      </c>
      <c r="CM241" s="538">
        <f t="shared" si="1999"/>
        <v>0</v>
      </c>
      <c r="CN241" s="538">
        <f t="shared" si="1841"/>
        <v>3.57</v>
      </c>
      <c r="CO241" s="538">
        <f t="shared" si="2000"/>
        <v>1.81119999999995</v>
      </c>
      <c r="CP241" s="538">
        <f t="shared" si="2001"/>
        <v>10.709999999999999</v>
      </c>
      <c r="CQ241" s="538">
        <f t="shared" si="2002"/>
        <v>2.2219679999996425</v>
      </c>
      <c r="CR241" s="539">
        <f t="shared" si="2003"/>
        <v>0</v>
      </c>
      <c r="CS241" s="540">
        <f t="shared" si="2014"/>
        <v>0</v>
      </c>
      <c r="CT241" s="540">
        <f t="shared" si="2015"/>
        <v>0.33012999999999998</v>
      </c>
      <c r="CU241" s="541">
        <f t="shared" si="2016"/>
        <v>9.4182399999997397</v>
      </c>
      <c r="CV241" s="538">
        <f t="shared" si="2017"/>
        <v>1.2281771999999846</v>
      </c>
      <c r="CW241" s="538">
        <f t="shared" si="2018"/>
        <v>17.958215999999616</v>
      </c>
      <c r="CX241" s="104">
        <f t="shared" si="2019"/>
        <v>3.57</v>
      </c>
      <c r="CY241" s="542">
        <f t="shared" si="2010"/>
        <v>1.7849999999999999</v>
      </c>
      <c r="CZ241" s="538">
        <f t="shared" si="2011"/>
        <v>2.4513847475961154E-2</v>
      </c>
    </row>
    <row r="242" spans="1:104" s="112" customFormat="1" ht="25" x14ac:dyDescent="0.25">
      <c r="A242" s="100" t="str">
        <f>'BOCA DE LOBO'!C220</f>
        <v>BL37-&gt;PV1-.64</v>
      </c>
      <c r="B242" s="100" t="str">
        <f>'BOCA DE LOBO'!A220</f>
        <v>PV1-.64</v>
      </c>
      <c r="C242" s="100" t="str">
        <f>VLOOKUP(A242,'BOCA DE LOBO'!C:F,3,0)</f>
        <v>EXISTENTE</v>
      </c>
      <c r="D242" s="100" t="str">
        <f>VLOOKUP(A242,'BOCA DE LOBO'!C:M,10,0)</f>
        <v>PROJETADA</v>
      </c>
      <c r="E242" s="100">
        <f t="shared" si="1928"/>
        <v>1.5196000000000001</v>
      </c>
      <c r="F242" s="100">
        <f>VLOOKUP(A242,'BOCA DE LOBO'!$C$178:$L$224,2,0)</f>
        <v>1.75</v>
      </c>
      <c r="G242" s="100">
        <f>VLOOKUP(A242,'BOCA DE LOBO'!$C$178:$L$224,4,0)</f>
        <v>5.76</v>
      </c>
      <c r="H242" s="101">
        <v>400</v>
      </c>
      <c r="I242" s="102">
        <f t="shared" si="1929"/>
        <v>1.7648000000000001</v>
      </c>
      <c r="J242" s="102">
        <f t="shared" si="1930"/>
        <v>0.5082624</v>
      </c>
      <c r="K242" s="103">
        <v>0</v>
      </c>
      <c r="L242" s="104">
        <f t="shared" si="1931"/>
        <v>1</v>
      </c>
      <c r="M242" s="104">
        <f t="shared" si="1932"/>
        <v>1</v>
      </c>
      <c r="N242" s="104">
        <f t="shared" si="1933"/>
        <v>0</v>
      </c>
      <c r="O242" s="104">
        <f t="shared" si="1934"/>
        <v>5.76</v>
      </c>
      <c r="P242" s="105" t="s">
        <v>2179</v>
      </c>
      <c r="Q242" s="468" t="s">
        <v>2172</v>
      </c>
      <c r="R242" s="105"/>
      <c r="S242" s="105">
        <v>3.2</v>
      </c>
      <c r="T242" s="105">
        <v>1.4</v>
      </c>
      <c r="U242" s="104">
        <f t="shared" si="1935"/>
        <v>0.05</v>
      </c>
      <c r="V242" s="106">
        <f t="shared" si="1936"/>
        <v>0</v>
      </c>
      <c r="W242" s="106">
        <f t="shared" si="1937"/>
        <v>10.165248</v>
      </c>
      <c r="X242" s="107">
        <f t="shared" si="1938"/>
        <v>0</v>
      </c>
      <c r="Y242" s="107">
        <f t="shared" si="1939"/>
        <v>0</v>
      </c>
      <c r="Z242" s="107">
        <f t="shared" si="1940"/>
        <v>1.7648000000000001</v>
      </c>
      <c r="AA242" s="107">
        <f t="shared" si="1941"/>
        <v>0</v>
      </c>
      <c r="AB242" s="108">
        <f t="shared" si="1942"/>
        <v>0</v>
      </c>
      <c r="AC242" s="109">
        <f t="shared" si="1943"/>
        <v>0</v>
      </c>
      <c r="AD242" s="109">
        <f t="shared" si="1944"/>
        <v>0</v>
      </c>
      <c r="AE242" s="109">
        <f t="shared" si="1945"/>
        <v>0</v>
      </c>
      <c r="AF242" s="109">
        <f t="shared" si="1946"/>
        <v>8.64</v>
      </c>
      <c r="AG242" s="109">
        <f t="shared" si="1947"/>
        <v>1.5252480000000008</v>
      </c>
      <c r="AH242" s="109">
        <f t="shared" si="1948"/>
        <v>0</v>
      </c>
      <c r="AI242" s="537" t="str">
        <f t="shared" si="1949"/>
        <v>NÃO</v>
      </c>
      <c r="AJ242" s="104">
        <f t="shared" si="1950"/>
        <v>0</v>
      </c>
      <c r="AK242" s="104">
        <f t="shared" si="1951"/>
        <v>2.8016640000000016E-2</v>
      </c>
      <c r="AL242" s="104">
        <f t="shared" si="1952"/>
        <v>9.441425052612912</v>
      </c>
      <c r="AM242" s="102">
        <f t="shared" si="1953"/>
        <v>0.28799999999999998</v>
      </c>
      <c r="AN242" s="106">
        <f t="shared" si="1954"/>
        <v>0</v>
      </c>
      <c r="AO242" s="104">
        <f t="shared" si="1955"/>
        <v>0</v>
      </c>
      <c r="AP242" s="104">
        <f t="shared" si="1956"/>
        <v>0</v>
      </c>
      <c r="AQ242" s="104">
        <f t="shared" si="1957"/>
        <v>0.7</v>
      </c>
      <c r="AR242" s="104">
        <f t="shared" si="1958"/>
        <v>3.3081770526129115</v>
      </c>
      <c r="AS242" s="104">
        <f t="shared" si="1959"/>
        <v>0</v>
      </c>
      <c r="AT242" s="104">
        <f t="shared" si="1960"/>
        <v>0</v>
      </c>
      <c r="AU242" s="104">
        <f t="shared" si="1961"/>
        <v>0</v>
      </c>
      <c r="AV242" s="104">
        <f t="shared" si="1962"/>
        <v>0</v>
      </c>
      <c r="AW242" s="104">
        <f t="shared" si="1963"/>
        <v>5.8452479999999998</v>
      </c>
      <c r="AX242" s="104">
        <f t="shared" si="1964"/>
        <v>6.8570709473870899</v>
      </c>
      <c r="AY242" s="104">
        <f t="shared" si="1965"/>
        <v>5.8452479999999998</v>
      </c>
      <c r="AZ242" s="104">
        <f t="shared" si="1966"/>
        <v>0</v>
      </c>
      <c r="BA242" s="104">
        <f t="shared" si="1967"/>
        <v>0</v>
      </c>
      <c r="BB242" s="104">
        <f t="shared" si="1968"/>
        <v>0</v>
      </c>
      <c r="BC242" s="104"/>
      <c r="BD242" s="104">
        <f t="shared" si="1969"/>
        <v>0</v>
      </c>
      <c r="BE242" s="108">
        <f t="shared" si="1970"/>
        <v>1.7648000000000001</v>
      </c>
      <c r="BF242" s="110">
        <f t="shared" si="1971"/>
        <v>0</v>
      </c>
      <c r="BG242" s="110">
        <f t="shared" si="1972"/>
        <v>5.76</v>
      </c>
      <c r="BH242" s="105" t="str">
        <f>VLOOKUP(A242,'BOCA DE LOBO'!C:I,7,0)</f>
        <v>BOCA DE LOBO PROJETADA DUPLA</v>
      </c>
      <c r="BI242" s="104">
        <f t="shared" si="1973"/>
        <v>0</v>
      </c>
      <c r="BJ242" s="104">
        <f t="shared" si="1974"/>
        <v>0</v>
      </c>
      <c r="BK242" s="104">
        <f t="shared" si="1975"/>
        <v>0</v>
      </c>
      <c r="BL242" s="104">
        <f t="shared" si="1976"/>
        <v>0</v>
      </c>
      <c r="BM242" s="104">
        <f t="shared" si="1977"/>
        <v>0</v>
      </c>
      <c r="BN242" s="104">
        <f t="shared" si="1978"/>
        <v>1</v>
      </c>
      <c r="BO242" s="104">
        <f t="shared" si="1979"/>
        <v>0</v>
      </c>
      <c r="BP242" s="111"/>
      <c r="BQ242" s="108">
        <f t="shared" si="1980"/>
        <v>17.28</v>
      </c>
      <c r="BR242" s="108">
        <f t="shared" si="1981"/>
        <v>3.0504960000000017</v>
      </c>
      <c r="BS242" s="108">
        <f t="shared" si="1982"/>
        <v>0</v>
      </c>
      <c r="BV242" s="538">
        <f t="shared" si="1983"/>
        <v>11.826438959999999</v>
      </c>
      <c r="BW242" s="538">
        <f t="shared" si="2012"/>
        <v>7.7825999999999986</v>
      </c>
      <c r="BX242" s="538">
        <f t="shared" si="2013"/>
        <v>3.0325999999999995</v>
      </c>
      <c r="BY242" s="538">
        <f t="shared" si="1986"/>
        <v>1.5196000000000001</v>
      </c>
      <c r="BZ242" s="538">
        <f t="shared" si="1987"/>
        <v>1.5196000000000001</v>
      </c>
      <c r="CA242" s="538">
        <f t="shared" si="1988"/>
        <v>0</v>
      </c>
      <c r="CB242" s="538">
        <f t="shared" si="1989"/>
        <v>0</v>
      </c>
      <c r="CC242" s="538">
        <f t="shared" si="1990"/>
        <v>11.673899999999998</v>
      </c>
      <c r="CD242" s="538">
        <f t="shared" si="1991"/>
        <v>0.15253896000000045</v>
      </c>
      <c r="CE242" s="538">
        <f t="shared" si="1992"/>
        <v>0</v>
      </c>
      <c r="CF242" s="538">
        <f t="shared" si="1993"/>
        <v>0</v>
      </c>
      <c r="CG242" s="538">
        <f t="shared" si="1994"/>
        <v>0</v>
      </c>
      <c r="CH242" s="538">
        <f t="shared" si="1995"/>
        <v>0</v>
      </c>
      <c r="CI242" s="104">
        <f t="shared" si="1927"/>
        <v>0.53549999999999998</v>
      </c>
      <c r="CJ242" s="538">
        <f t="shared" si="1996"/>
        <v>6.682599999999999</v>
      </c>
      <c r="CK242" s="538">
        <f t="shared" si="1997"/>
        <v>6.682599999999999</v>
      </c>
      <c r="CL242" s="538">
        <f t="shared" si="1998"/>
        <v>0</v>
      </c>
      <c r="CM242" s="538">
        <f t="shared" si="1999"/>
        <v>0</v>
      </c>
      <c r="CN242" s="538">
        <f t="shared" si="1841"/>
        <v>3.57</v>
      </c>
      <c r="CO242" s="538">
        <f t="shared" si="2000"/>
        <v>1.5196000000000001</v>
      </c>
      <c r="CP242" s="538">
        <f t="shared" si="2001"/>
        <v>10.709999999999999</v>
      </c>
      <c r="CQ242" s="538">
        <f t="shared" si="2002"/>
        <v>0.13994400000000043</v>
      </c>
      <c r="CR242" s="539">
        <f t="shared" si="2003"/>
        <v>0</v>
      </c>
      <c r="CS242" s="540">
        <f t="shared" si="2014"/>
        <v>0</v>
      </c>
      <c r="CT242" s="540">
        <f t="shared" si="2015"/>
        <v>0.33012999999999998</v>
      </c>
      <c r="CU242" s="541">
        <f t="shared" si="2016"/>
        <v>7.9019200000000005</v>
      </c>
      <c r="CV242" s="538">
        <f t="shared" si="2017"/>
        <v>1.1389475999999998</v>
      </c>
      <c r="CW242" s="538">
        <f t="shared" si="2018"/>
        <v>15.718728</v>
      </c>
      <c r="CX242" s="104">
        <f t="shared" si="2019"/>
        <v>3.57</v>
      </c>
      <c r="CY242" s="542">
        <f t="shared" si="2010"/>
        <v>1.7849999999999999</v>
      </c>
      <c r="CZ242" s="538">
        <f t="shared" si="2011"/>
        <v>2.4513847475961154E-2</v>
      </c>
    </row>
    <row r="243" spans="1:104" s="112" customFormat="1" ht="25" x14ac:dyDescent="0.25">
      <c r="A243" s="100" t="str">
        <f>'BOCA DE LOBO'!C221</f>
        <v>BL38-&gt;PV1-65</v>
      </c>
      <c r="B243" s="100" t="str">
        <f>'BOCA DE LOBO'!A221</f>
        <v>PV1-65</v>
      </c>
      <c r="C243" s="100" t="str">
        <f>VLOOKUP(A243,'BOCA DE LOBO'!C:F,3,0)</f>
        <v>EXISTENTE</v>
      </c>
      <c r="D243" s="100" t="str">
        <f>VLOOKUP(A243,'BOCA DE LOBO'!C:M,10,0)</f>
        <v>PROJETADA</v>
      </c>
      <c r="E243" s="100">
        <f t="shared" si="1928"/>
        <v>1.3024</v>
      </c>
      <c r="F243" s="100">
        <f>VLOOKUP(A243,'BOCA DE LOBO'!$C$178:$L$224,2,0)</f>
        <v>1.5</v>
      </c>
      <c r="G243" s="100">
        <f>VLOOKUP(A243,'BOCA DE LOBO'!$C$178:$L$224,4,0)</f>
        <v>4.9400000000000004</v>
      </c>
      <c r="H243" s="101">
        <v>400</v>
      </c>
      <c r="I243" s="102">
        <f t="shared" si="1929"/>
        <v>1.5312000000000001</v>
      </c>
      <c r="J243" s="102">
        <f t="shared" si="1930"/>
        <v>0.37820640000000005</v>
      </c>
      <c r="K243" s="103">
        <v>0</v>
      </c>
      <c r="L243" s="104">
        <f t="shared" si="1931"/>
        <v>1</v>
      </c>
      <c r="M243" s="104">
        <f t="shared" si="1932"/>
        <v>1</v>
      </c>
      <c r="N243" s="104">
        <f t="shared" si="1933"/>
        <v>0</v>
      </c>
      <c r="O243" s="104">
        <f t="shared" si="1934"/>
        <v>4.9400000000000004</v>
      </c>
      <c r="P243" s="105" t="s">
        <v>2179</v>
      </c>
      <c r="Q243" s="468" t="s">
        <v>2172</v>
      </c>
      <c r="R243" s="105"/>
      <c r="S243" s="105">
        <v>3.2</v>
      </c>
      <c r="T243" s="105">
        <v>1.4</v>
      </c>
      <c r="U243" s="104">
        <f t="shared" si="1935"/>
        <v>0.05</v>
      </c>
      <c r="V243" s="106">
        <f t="shared" si="1936"/>
        <v>0</v>
      </c>
      <c r="W243" s="106">
        <f t="shared" si="1937"/>
        <v>7.5641280000000011</v>
      </c>
      <c r="X243" s="107">
        <f t="shared" si="1938"/>
        <v>0</v>
      </c>
      <c r="Y243" s="107">
        <f t="shared" si="1939"/>
        <v>0</v>
      </c>
      <c r="Z243" s="107">
        <f t="shared" si="1940"/>
        <v>1.5312000000000001</v>
      </c>
      <c r="AA243" s="107">
        <f t="shared" si="1941"/>
        <v>0</v>
      </c>
      <c r="AB243" s="108">
        <f t="shared" si="1942"/>
        <v>0</v>
      </c>
      <c r="AC243" s="109">
        <f t="shared" si="1943"/>
        <v>0</v>
      </c>
      <c r="AD243" s="109">
        <f t="shared" si="1944"/>
        <v>0</v>
      </c>
      <c r="AE243" s="109">
        <f t="shared" si="1945"/>
        <v>0</v>
      </c>
      <c r="AF243" s="109">
        <f t="shared" si="1946"/>
        <v>7.41</v>
      </c>
      <c r="AG243" s="109">
        <f t="shared" si="1947"/>
        <v>0.1541280000000006</v>
      </c>
      <c r="AH243" s="109">
        <f t="shared" si="1948"/>
        <v>0</v>
      </c>
      <c r="AI243" s="537" t="str">
        <f t="shared" si="1949"/>
        <v>NÃO</v>
      </c>
      <c r="AJ243" s="104">
        <f t="shared" si="1950"/>
        <v>0</v>
      </c>
      <c r="AK243" s="104">
        <f t="shared" si="1951"/>
        <v>8.6417066666666809E-3</v>
      </c>
      <c r="AL243" s="104">
        <f t="shared" si="1952"/>
        <v>6.9433492916506578</v>
      </c>
      <c r="AM243" s="102">
        <f t="shared" si="1953"/>
        <v>0.24700000000000003</v>
      </c>
      <c r="AN243" s="106">
        <f t="shared" si="1954"/>
        <v>0</v>
      </c>
      <c r="AO243" s="104">
        <f t="shared" si="1955"/>
        <v>0</v>
      </c>
      <c r="AP243" s="104">
        <f t="shared" si="1956"/>
        <v>0</v>
      </c>
      <c r="AQ243" s="104">
        <f t="shared" si="1957"/>
        <v>0.7</v>
      </c>
      <c r="AR243" s="104">
        <f t="shared" si="1958"/>
        <v>2.837221291650657</v>
      </c>
      <c r="AS243" s="104">
        <f t="shared" si="1959"/>
        <v>0</v>
      </c>
      <c r="AT243" s="104">
        <f t="shared" si="1960"/>
        <v>0</v>
      </c>
      <c r="AU243" s="104">
        <f t="shared" si="1961"/>
        <v>0</v>
      </c>
      <c r="AV243" s="104">
        <f t="shared" si="1962"/>
        <v>0</v>
      </c>
      <c r="AW243" s="104">
        <f t="shared" si="1963"/>
        <v>3.859128000000001</v>
      </c>
      <c r="AX243" s="104">
        <f t="shared" si="1964"/>
        <v>4.7269067083493441</v>
      </c>
      <c r="AY243" s="104">
        <f t="shared" si="1965"/>
        <v>3.859128000000001</v>
      </c>
      <c r="AZ243" s="104">
        <f t="shared" si="1966"/>
        <v>0</v>
      </c>
      <c r="BA243" s="104">
        <f t="shared" si="1967"/>
        <v>0</v>
      </c>
      <c r="BB243" s="104">
        <f t="shared" si="1968"/>
        <v>0</v>
      </c>
      <c r="BC243" s="104"/>
      <c r="BD243" s="104">
        <f t="shared" si="1969"/>
        <v>0</v>
      </c>
      <c r="BE243" s="108">
        <f t="shared" si="1970"/>
        <v>1.5312000000000001</v>
      </c>
      <c r="BF243" s="110">
        <f t="shared" si="1971"/>
        <v>4.9400000000000004</v>
      </c>
      <c r="BG243" s="110">
        <f t="shared" si="1972"/>
        <v>0</v>
      </c>
      <c r="BH243" s="105" t="str">
        <f>VLOOKUP(A243,'BOCA DE LOBO'!C:I,7,0)</f>
        <v>BOCA DE LOBO PROJETADA DUPLA</v>
      </c>
      <c r="BI243" s="104">
        <f t="shared" si="1973"/>
        <v>0</v>
      </c>
      <c r="BJ243" s="104">
        <f t="shared" si="1974"/>
        <v>0</v>
      </c>
      <c r="BK243" s="104">
        <f t="shared" si="1975"/>
        <v>0</v>
      </c>
      <c r="BL243" s="104">
        <f t="shared" si="1976"/>
        <v>0</v>
      </c>
      <c r="BM243" s="104">
        <f t="shared" si="1977"/>
        <v>0</v>
      </c>
      <c r="BN243" s="104">
        <f t="shared" si="1978"/>
        <v>1</v>
      </c>
      <c r="BO243" s="104">
        <f t="shared" si="1979"/>
        <v>0</v>
      </c>
      <c r="BP243" s="111"/>
      <c r="BQ243" s="108">
        <f t="shared" si="1980"/>
        <v>14.82</v>
      </c>
      <c r="BR243" s="108">
        <f t="shared" si="1981"/>
        <v>0.3082560000000012</v>
      </c>
      <c r="BS243" s="108">
        <f t="shared" si="1982"/>
        <v>0</v>
      </c>
      <c r="BV243" s="538">
        <f t="shared" si="1983"/>
        <v>10.136058239999999</v>
      </c>
      <c r="BW243" s="538">
        <f t="shared" si="2012"/>
        <v>7.7825999999999986</v>
      </c>
      <c r="BX243" s="538">
        <f t="shared" si="2013"/>
        <v>3.0325999999999995</v>
      </c>
      <c r="BY243" s="538">
        <f t="shared" si="1986"/>
        <v>1.3024</v>
      </c>
      <c r="BZ243" s="538">
        <f t="shared" si="1987"/>
        <v>1.3024</v>
      </c>
      <c r="CA243" s="538">
        <f t="shared" si="1988"/>
        <v>0</v>
      </c>
      <c r="CB243" s="538">
        <f t="shared" si="1989"/>
        <v>0</v>
      </c>
      <c r="CC243" s="538">
        <f t="shared" si="1990"/>
        <v>10.136058239999999</v>
      </c>
      <c r="CD243" s="538">
        <f t="shared" si="1991"/>
        <v>0</v>
      </c>
      <c r="CE243" s="538">
        <f t="shared" si="1992"/>
        <v>0</v>
      </c>
      <c r="CF243" s="538">
        <f t="shared" si="1993"/>
        <v>0</v>
      </c>
      <c r="CG243" s="538">
        <f t="shared" si="1994"/>
        <v>0</v>
      </c>
      <c r="CH243" s="538">
        <f t="shared" si="1995"/>
        <v>0</v>
      </c>
      <c r="CI243" s="104">
        <f t="shared" si="1927"/>
        <v>0.53549999999999998</v>
      </c>
      <c r="CJ243" s="538">
        <f t="shared" si="1996"/>
        <v>5.6508999999999991</v>
      </c>
      <c r="CK243" s="538">
        <f t="shared" si="1997"/>
        <v>5.6508999999999991</v>
      </c>
      <c r="CL243" s="538">
        <f t="shared" si="1998"/>
        <v>0</v>
      </c>
      <c r="CM243" s="538">
        <f t="shared" si="1999"/>
        <v>0</v>
      </c>
      <c r="CN243" s="538">
        <f t="shared" si="1841"/>
        <v>3.57</v>
      </c>
      <c r="CO243" s="538">
        <f t="shared" si="2000"/>
        <v>1.3024</v>
      </c>
      <c r="CP243" s="538">
        <f t="shared" si="2001"/>
        <v>9.299135999999999</v>
      </c>
      <c r="CQ243" s="538">
        <f t="shared" si="2002"/>
        <v>0</v>
      </c>
      <c r="CR243" s="539">
        <f t="shared" si="2003"/>
        <v>0</v>
      </c>
      <c r="CS243" s="540">
        <f t="shared" si="2014"/>
        <v>0</v>
      </c>
      <c r="CT243" s="540">
        <f t="shared" si="2015"/>
        <v>0.33012999999999998</v>
      </c>
      <c r="CU243" s="541">
        <f t="shared" si="2016"/>
        <v>6.7724799999999998</v>
      </c>
      <c r="CV243" s="538">
        <f t="shared" si="2017"/>
        <v>1.0724844</v>
      </c>
      <c r="CW243" s="538">
        <f t="shared" si="2018"/>
        <v>14.050632000000002</v>
      </c>
      <c r="CX243" s="104">
        <f t="shared" si="2019"/>
        <v>3.57</v>
      </c>
      <c r="CY243" s="542">
        <f t="shared" si="2010"/>
        <v>1.7849999999999999</v>
      </c>
      <c r="CZ243" s="538">
        <f t="shared" si="2011"/>
        <v>2.4513847475961154E-2</v>
      </c>
    </row>
    <row r="244" spans="1:104" s="112" customFormat="1" ht="25" x14ac:dyDescent="0.25">
      <c r="A244" s="100" t="str">
        <f>'BOCA DE LOBO'!C222</f>
        <v>BL39-&gt;PV2-65</v>
      </c>
      <c r="B244" s="100" t="str">
        <f>'BOCA DE LOBO'!A222</f>
        <v>PV2-65</v>
      </c>
      <c r="C244" s="100" t="str">
        <f>VLOOKUP(A244,'BOCA DE LOBO'!C:F,3,0)</f>
        <v>EXISTENTE</v>
      </c>
      <c r="D244" s="100" t="str">
        <f>VLOOKUP(A244,'BOCA DE LOBO'!C:M,10,0)</f>
        <v>PROJETADA</v>
      </c>
      <c r="E244" s="100">
        <f t="shared" si="1928"/>
        <v>1.8363999999999636</v>
      </c>
      <c r="F244" s="100">
        <f>VLOOKUP(A244,'BOCA DE LOBO'!$C$178:$L$224,2,0)</f>
        <v>2.0399999999999636</v>
      </c>
      <c r="G244" s="100">
        <f>VLOOKUP(A244,'BOCA DE LOBO'!$C$178:$L$224,4,0)</f>
        <v>5.09</v>
      </c>
      <c r="H244" s="101">
        <v>400</v>
      </c>
      <c r="I244" s="102">
        <f t="shared" si="1929"/>
        <v>2.0681999999999636</v>
      </c>
      <c r="J244" s="102">
        <f t="shared" si="1930"/>
        <v>0.52635689999999069</v>
      </c>
      <c r="K244" s="103">
        <v>0</v>
      </c>
      <c r="L244" s="104">
        <f t="shared" si="1931"/>
        <v>1</v>
      </c>
      <c r="M244" s="104">
        <f t="shared" si="1932"/>
        <v>1</v>
      </c>
      <c r="N244" s="104">
        <f t="shared" si="1933"/>
        <v>0</v>
      </c>
      <c r="O244" s="104">
        <f t="shared" si="1934"/>
        <v>5.09</v>
      </c>
      <c r="P244" s="105" t="s">
        <v>2179</v>
      </c>
      <c r="Q244" s="468" t="s">
        <v>2172</v>
      </c>
      <c r="R244" s="105"/>
      <c r="S244" s="105">
        <v>3.2</v>
      </c>
      <c r="T244" s="105">
        <v>1.4</v>
      </c>
      <c r="U244" s="104">
        <f t="shared" si="1935"/>
        <v>0.05</v>
      </c>
      <c r="V244" s="106">
        <f t="shared" si="1936"/>
        <v>0</v>
      </c>
      <c r="W244" s="106">
        <f t="shared" si="1937"/>
        <v>10.527137999999814</v>
      </c>
      <c r="X244" s="107">
        <f t="shared" si="1938"/>
        <v>0</v>
      </c>
      <c r="Y244" s="107">
        <f t="shared" si="1939"/>
        <v>0</v>
      </c>
      <c r="Z244" s="107">
        <f t="shared" si="1940"/>
        <v>2.0681999999999636</v>
      </c>
      <c r="AA244" s="107">
        <f t="shared" si="1941"/>
        <v>0</v>
      </c>
      <c r="AB244" s="108">
        <f t="shared" si="1942"/>
        <v>0</v>
      </c>
      <c r="AC244" s="109">
        <f t="shared" si="1943"/>
        <v>0</v>
      </c>
      <c r="AD244" s="109">
        <f t="shared" si="1944"/>
        <v>0</v>
      </c>
      <c r="AE244" s="109">
        <f t="shared" si="1945"/>
        <v>0</v>
      </c>
      <c r="AF244" s="109">
        <f t="shared" si="1946"/>
        <v>7.6349999999999998</v>
      </c>
      <c r="AG244" s="109">
        <f t="shared" si="1947"/>
        <v>2.8921379999998149</v>
      </c>
      <c r="AH244" s="109">
        <f t="shared" si="1948"/>
        <v>0</v>
      </c>
      <c r="AI244" s="537" t="str">
        <f t="shared" si="1949"/>
        <v>NÃO</v>
      </c>
      <c r="AJ244" s="104">
        <f t="shared" si="1950"/>
        <v>0</v>
      </c>
      <c r="AK244" s="104">
        <f t="shared" si="1951"/>
        <v>4.5348506666664207E-2</v>
      </c>
      <c r="AL244" s="104">
        <f t="shared" si="1952"/>
        <v>9.8875097357289317</v>
      </c>
      <c r="AM244" s="102">
        <f t="shared" si="1953"/>
        <v>0.2545</v>
      </c>
      <c r="AN244" s="106">
        <f t="shared" si="1954"/>
        <v>0</v>
      </c>
      <c r="AO244" s="104">
        <f t="shared" si="1955"/>
        <v>0</v>
      </c>
      <c r="AP244" s="104">
        <f t="shared" si="1956"/>
        <v>0</v>
      </c>
      <c r="AQ244" s="104">
        <f t="shared" si="1957"/>
        <v>0.7</v>
      </c>
      <c r="AR244" s="104">
        <f t="shared" si="1958"/>
        <v>2.923371735729118</v>
      </c>
      <c r="AS244" s="104">
        <f t="shared" si="1959"/>
        <v>0</v>
      </c>
      <c r="AT244" s="104">
        <f t="shared" si="1960"/>
        <v>0</v>
      </c>
      <c r="AU244" s="104">
        <f t="shared" si="1961"/>
        <v>0</v>
      </c>
      <c r="AV244" s="104">
        <f t="shared" si="1962"/>
        <v>0</v>
      </c>
      <c r="AW244" s="104">
        <f t="shared" si="1963"/>
        <v>6.7096379999998135</v>
      </c>
      <c r="AX244" s="104">
        <f t="shared" si="1964"/>
        <v>7.6037662642706962</v>
      </c>
      <c r="AY244" s="104">
        <f t="shared" si="1965"/>
        <v>6.7096379999998135</v>
      </c>
      <c r="AZ244" s="104">
        <f t="shared" si="1966"/>
        <v>0</v>
      </c>
      <c r="BA244" s="104">
        <f t="shared" si="1967"/>
        <v>0</v>
      </c>
      <c r="BB244" s="104">
        <f t="shared" si="1968"/>
        <v>0</v>
      </c>
      <c r="BC244" s="104"/>
      <c r="BD244" s="104">
        <f t="shared" si="1969"/>
        <v>0</v>
      </c>
      <c r="BE244" s="108">
        <f t="shared" si="1970"/>
        <v>2.0681999999999636</v>
      </c>
      <c r="BF244" s="110">
        <f t="shared" si="1971"/>
        <v>0</v>
      </c>
      <c r="BG244" s="110">
        <f t="shared" si="1972"/>
        <v>5.09</v>
      </c>
      <c r="BH244" s="105" t="str">
        <f>VLOOKUP(A244,'BOCA DE LOBO'!C:I,7,0)</f>
        <v>BOCA DE LOBO PROJETADA DUPLA</v>
      </c>
      <c r="BI244" s="104">
        <f t="shared" si="1973"/>
        <v>0</v>
      </c>
      <c r="BJ244" s="104">
        <f t="shared" si="1974"/>
        <v>0</v>
      </c>
      <c r="BK244" s="104">
        <f t="shared" si="1975"/>
        <v>0</v>
      </c>
      <c r="BL244" s="104">
        <f t="shared" si="1976"/>
        <v>0</v>
      </c>
      <c r="BM244" s="104">
        <f t="shared" si="1977"/>
        <v>0</v>
      </c>
      <c r="BN244" s="104">
        <f t="shared" si="1978"/>
        <v>1</v>
      </c>
      <c r="BO244" s="104">
        <f t="shared" si="1979"/>
        <v>0</v>
      </c>
      <c r="BP244" s="111"/>
      <c r="BQ244" s="108">
        <f t="shared" si="1980"/>
        <v>15.27</v>
      </c>
      <c r="BR244" s="108">
        <f t="shared" si="1981"/>
        <v>5.7842759999996298</v>
      </c>
      <c r="BS244" s="108">
        <f t="shared" si="1982"/>
        <v>0</v>
      </c>
      <c r="BV244" s="538">
        <f t="shared" si="1983"/>
        <v>14.291966639999714</v>
      </c>
      <c r="BW244" s="538">
        <f t="shared" si="2012"/>
        <v>7.7825999999999986</v>
      </c>
      <c r="BX244" s="538">
        <f t="shared" si="2013"/>
        <v>3.0325999999999995</v>
      </c>
      <c r="BY244" s="538">
        <f t="shared" si="1986"/>
        <v>1.8363999999999636</v>
      </c>
      <c r="BZ244" s="538">
        <f t="shared" si="1987"/>
        <v>1.8363999999999636</v>
      </c>
      <c r="CA244" s="538">
        <f t="shared" si="1988"/>
        <v>0</v>
      </c>
      <c r="CB244" s="538">
        <f t="shared" si="1989"/>
        <v>0</v>
      </c>
      <c r="CC244" s="538">
        <f t="shared" si="1990"/>
        <v>11.673899999999998</v>
      </c>
      <c r="CD244" s="538">
        <f t="shared" si="1991"/>
        <v>2.6180666399997166</v>
      </c>
      <c r="CE244" s="538">
        <f t="shared" si="1992"/>
        <v>0</v>
      </c>
      <c r="CF244" s="538">
        <f t="shared" si="1993"/>
        <v>0</v>
      </c>
      <c r="CG244" s="538">
        <f t="shared" si="1994"/>
        <v>0</v>
      </c>
      <c r="CH244" s="538">
        <f t="shared" si="1995"/>
        <v>0</v>
      </c>
      <c r="CI244" s="104">
        <f t="shared" si="1927"/>
        <v>0.53549999999999998</v>
      </c>
      <c r="CJ244" s="538">
        <f t="shared" si="1996"/>
        <v>8.1873999999998244</v>
      </c>
      <c r="CK244" s="538">
        <f t="shared" si="1997"/>
        <v>8.1873999999998244</v>
      </c>
      <c r="CL244" s="538">
        <f t="shared" si="1998"/>
        <v>0</v>
      </c>
      <c r="CM244" s="538">
        <f t="shared" si="1999"/>
        <v>0</v>
      </c>
      <c r="CN244" s="538">
        <f t="shared" si="1841"/>
        <v>3.57</v>
      </c>
      <c r="CO244" s="538">
        <f t="shared" si="2000"/>
        <v>1.8363999999999636</v>
      </c>
      <c r="CP244" s="538">
        <f t="shared" si="2001"/>
        <v>10.709999999999999</v>
      </c>
      <c r="CQ244" s="538">
        <f t="shared" si="2002"/>
        <v>2.40189599999974</v>
      </c>
      <c r="CR244" s="539">
        <f t="shared" si="2003"/>
        <v>0</v>
      </c>
      <c r="CS244" s="540">
        <f t="shared" si="2014"/>
        <v>0</v>
      </c>
      <c r="CT244" s="540">
        <f t="shared" si="2015"/>
        <v>0.33012999999999998</v>
      </c>
      <c r="CU244" s="541">
        <f t="shared" si="2016"/>
        <v>9.5492799999998113</v>
      </c>
      <c r="CV244" s="538">
        <f t="shared" si="2017"/>
        <v>1.2358883999999888</v>
      </c>
      <c r="CW244" s="538">
        <f t="shared" si="2018"/>
        <v>18.151751999999718</v>
      </c>
      <c r="CX244" s="104">
        <f t="shared" si="2019"/>
        <v>3.57</v>
      </c>
      <c r="CY244" s="542">
        <f t="shared" si="2010"/>
        <v>1.7849999999999999</v>
      </c>
      <c r="CZ244" s="538">
        <f t="shared" si="2011"/>
        <v>2.4513847475961154E-2</v>
      </c>
    </row>
    <row r="245" spans="1:104" s="112" customFormat="1" ht="25" x14ac:dyDescent="0.25">
      <c r="A245" s="100" t="str">
        <f>'BOCA DE LOBO'!C223</f>
        <v>BL40-&gt;PV1-66</v>
      </c>
      <c r="B245" s="100" t="str">
        <f>'BOCA DE LOBO'!A223</f>
        <v>PV1-66</v>
      </c>
      <c r="C245" s="100" t="str">
        <f>VLOOKUP(A245,'BOCA DE LOBO'!C:F,3,0)</f>
        <v>EXISTENTE</v>
      </c>
      <c r="D245" s="100" t="str">
        <f>VLOOKUP(A245,'BOCA DE LOBO'!C:M,10,0)</f>
        <v>PROJETADA</v>
      </c>
      <c r="E245" s="100">
        <f t="shared" si="1928"/>
        <v>1.7212000000000227</v>
      </c>
      <c r="F245" s="100">
        <f>VLOOKUP(A245,'BOCA DE LOBO'!$C$178:$L$224,2,0)</f>
        <v>1.8500000000000227</v>
      </c>
      <c r="G245" s="100">
        <f>VLOOKUP(A245,'BOCA DE LOBO'!$C$178:$L$224,4,0)</f>
        <v>3.22</v>
      </c>
      <c r="H245" s="101">
        <v>400</v>
      </c>
      <c r="I245" s="102">
        <f t="shared" si="1929"/>
        <v>1.9156000000000228</v>
      </c>
      <c r="J245" s="102">
        <f t="shared" si="1930"/>
        <v>0.30841160000000373</v>
      </c>
      <c r="K245" s="103">
        <v>0</v>
      </c>
      <c r="L245" s="104">
        <f t="shared" si="1931"/>
        <v>1</v>
      </c>
      <c r="M245" s="104">
        <f t="shared" si="1932"/>
        <v>1</v>
      </c>
      <c r="N245" s="104">
        <f t="shared" si="1933"/>
        <v>0</v>
      </c>
      <c r="O245" s="104">
        <f t="shared" si="1934"/>
        <v>3.22</v>
      </c>
      <c r="P245" s="105" t="s">
        <v>2179</v>
      </c>
      <c r="Q245" s="468" t="s">
        <v>2172</v>
      </c>
      <c r="R245" s="105"/>
      <c r="S245" s="105">
        <v>3.2</v>
      </c>
      <c r="T245" s="105">
        <v>1.4</v>
      </c>
      <c r="U245" s="104">
        <f t="shared" si="1935"/>
        <v>0.05</v>
      </c>
      <c r="V245" s="106">
        <f t="shared" si="1936"/>
        <v>0</v>
      </c>
      <c r="W245" s="106">
        <f t="shared" si="1937"/>
        <v>6.1682320000000743</v>
      </c>
      <c r="X245" s="107">
        <f t="shared" si="1938"/>
        <v>0</v>
      </c>
      <c r="Y245" s="107">
        <f t="shared" si="1939"/>
        <v>0</v>
      </c>
      <c r="Z245" s="107">
        <f t="shared" si="1940"/>
        <v>1.9156000000000228</v>
      </c>
      <c r="AA245" s="107">
        <f t="shared" si="1941"/>
        <v>0</v>
      </c>
      <c r="AB245" s="108">
        <f t="shared" si="1942"/>
        <v>0</v>
      </c>
      <c r="AC245" s="109">
        <f t="shared" si="1943"/>
        <v>0</v>
      </c>
      <c r="AD245" s="109">
        <f t="shared" si="1944"/>
        <v>0</v>
      </c>
      <c r="AE245" s="109">
        <f t="shared" si="1945"/>
        <v>0</v>
      </c>
      <c r="AF245" s="109">
        <f t="shared" si="1946"/>
        <v>4.83</v>
      </c>
      <c r="AG245" s="109">
        <f t="shared" si="1947"/>
        <v>1.3382320000000736</v>
      </c>
      <c r="AH245" s="109">
        <f t="shared" si="1948"/>
        <v>0</v>
      </c>
      <c r="AI245" s="537" t="str">
        <f t="shared" si="1949"/>
        <v>NÃO</v>
      </c>
      <c r="AJ245" s="104">
        <f t="shared" si="1950"/>
        <v>0</v>
      </c>
      <c r="AK245" s="104">
        <f t="shared" si="1951"/>
        <v>2.2136426666667652E-2</v>
      </c>
      <c r="AL245" s="104">
        <f t="shared" si="1952"/>
        <v>5.7635948662177086</v>
      </c>
      <c r="AM245" s="102">
        <f t="shared" si="1953"/>
        <v>0.16100000000000003</v>
      </c>
      <c r="AN245" s="106">
        <f t="shared" si="1954"/>
        <v>0</v>
      </c>
      <c r="AO245" s="104">
        <f t="shared" si="1955"/>
        <v>0</v>
      </c>
      <c r="AP245" s="104">
        <f t="shared" si="1956"/>
        <v>0</v>
      </c>
      <c r="AQ245" s="104">
        <f t="shared" si="1957"/>
        <v>0.7</v>
      </c>
      <c r="AR245" s="104">
        <f t="shared" si="1958"/>
        <v>1.8493628662176347</v>
      </c>
      <c r="AS245" s="104">
        <f t="shared" si="1959"/>
        <v>0</v>
      </c>
      <c r="AT245" s="104">
        <f t="shared" si="1960"/>
        <v>0</v>
      </c>
      <c r="AU245" s="104">
        <f t="shared" si="1961"/>
        <v>0</v>
      </c>
      <c r="AV245" s="104">
        <f t="shared" si="1962"/>
        <v>0</v>
      </c>
      <c r="AW245" s="104">
        <f t="shared" si="1963"/>
        <v>3.7532320000000743</v>
      </c>
      <c r="AX245" s="104">
        <f t="shared" si="1964"/>
        <v>4.3188691337824388</v>
      </c>
      <c r="AY245" s="104">
        <f t="shared" si="1965"/>
        <v>3.7532320000000743</v>
      </c>
      <c r="AZ245" s="104">
        <f t="shared" si="1966"/>
        <v>0</v>
      </c>
      <c r="BA245" s="104">
        <f t="shared" si="1967"/>
        <v>0</v>
      </c>
      <c r="BB245" s="104">
        <f t="shared" si="1968"/>
        <v>0</v>
      </c>
      <c r="BC245" s="104"/>
      <c r="BD245" s="104">
        <f t="shared" si="1969"/>
        <v>0</v>
      </c>
      <c r="BE245" s="108">
        <f t="shared" si="1970"/>
        <v>1.9156000000000228</v>
      </c>
      <c r="BF245" s="110">
        <f t="shared" si="1971"/>
        <v>0</v>
      </c>
      <c r="BG245" s="110">
        <f t="shared" si="1972"/>
        <v>3.22</v>
      </c>
      <c r="BH245" s="105" t="str">
        <f>VLOOKUP(A245,'BOCA DE LOBO'!C:I,7,0)</f>
        <v>BOCA DE LOBO PROJETADA DUPLA</v>
      </c>
      <c r="BI245" s="104">
        <f t="shared" si="1973"/>
        <v>0</v>
      </c>
      <c r="BJ245" s="104">
        <f t="shared" si="1974"/>
        <v>0</v>
      </c>
      <c r="BK245" s="104">
        <f t="shared" si="1975"/>
        <v>0</v>
      </c>
      <c r="BL245" s="104">
        <f t="shared" si="1976"/>
        <v>0</v>
      </c>
      <c r="BM245" s="104">
        <f t="shared" si="1977"/>
        <v>0</v>
      </c>
      <c r="BN245" s="104">
        <f t="shared" si="1978"/>
        <v>1</v>
      </c>
      <c r="BO245" s="104">
        <f t="shared" si="1979"/>
        <v>0</v>
      </c>
      <c r="BP245" s="111"/>
      <c r="BQ245" s="108">
        <f t="shared" si="1980"/>
        <v>9.66</v>
      </c>
      <c r="BR245" s="108">
        <f t="shared" si="1981"/>
        <v>2.6764640000001472</v>
      </c>
      <c r="BS245" s="108">
        <f t="shared" si="1982"/>
        <v>0</v>
      </c>
      <c r="BV245" s="538">
        <f t="shared" si="1983"/>
        <v>13.395411120000174</v>
      </c>
      <c r="BW245" s="538">
        <f t="shared" si="2012"/>
        <v>7.7825999999999986</v>
      </c>
      <c r="BX245" s="538">
        <f t="shared" si="2013"/>
        <v>3.0325999999999995</v>
      </c>
      <c r="BY245" s="538">
        <f t="shared" si="1986"/>
        <v>1.7212000000000227</v>
      </c>
      <c r="BZ245" s="538">
        <f t="shared" si="1987"/>
        <v>1.7212000000000227</v>
      </c>
      <c r="CA245" s="538">
        <f t="shared" si="1988"/>
        <v>0</v>
      </c>
      <c r="CB245" s="538">
        <f t="shared" si="1989"/>
        <v>0</v>
      </c>
      <c r="CC245" s="538">
        <f t="shared" si="1990"/>
        <v>11.673899999999998</v>
      </c>
      <c r="CD245" s="538">
        <f t="shared" si="1991"/>
        <v>1.7215111200001765</v>
      </c>
      <c r="CE245" s="538">
        <f t="shared" si="1992"/>
        <v>0</v>
      </c>
      <c r="CF245" s="538">
        <f t="shared" si="1993"/>
        <v>0</v>
      </c>
      <c r="CG245" s="538">
        <f t="shared" si="1994"/>
        <v>0</v>
      </c>
      <c r="CH245" s="538">
        <f t="shared" si="1995"/>
        <v>0</v>
      </c>
      <c r="CI245" s="104">
        <f t="shared" si="1927"/>
        <v>0.53549999999999998</v>
      </c>
      <c r="CJ245" s="538">
        <f t="shared" si="1996"/>
        <v>7.6402000000001058</v>
      </c>
      <c r="CK245" s="538">
        <f t="shared" si="1997"/>
        <v>7.6402000000001058</v>
      </c>
      <c r="CL245" s="538">
        <f t="shared" si="1998"/>
        <v>0</v>
      </c>
      <c r="CM245" s="538">
        <f t="shared" si="1999"/>
        <v>0</v>
      </c>
      <c r="CN245" s="538">
        <f t="shared" si="1841"/>
        <v>3.57</v>
      </c>
      <c r="CO245" s="538">
        <f t="shared" si="2000"/>
        <v>1.7212000000000227</v>
      </c>
      <c r="CP245" s="538">
        <f t="shared" si="2001"/>
        <v>10.709999999999999</v>
      </c>
      <c r="CQ245" s="538">
        <f t="shared" si="2002"/>
        <v>1.5793680000001622</v>
      </c>
      <c r="CR245" s="539">
        <f t="shared" si="2003"/>
        <v>0</v>
      </c>
      <c r="CS245" s="540">
        <f t="shared" si="2014"/>
        <v>0</v>
      </c>
      <c r="CT245" s="540">
        <f t="shared" si="2015"/>
        <v>0.33012999999999998</v>
      </c>
      <c r="CU245" s="541">
        <f t="shared" si="2016"/>
        <v>8.9502400000001181</v>
      </c>
      <c r="CV245" s="538">
        <f t="shared" si="2017"/>
        <v>1.200637200000007</v>
      </c>
      <c r="CW245" s="538">
        <f t="shared" si="2018"/>
        <v>17.267016000000172</v>
      </c>
      <c r="CX245" s="104">
        <f t="shared" si="2019"/>
        <v>3.57</v>
      </c>
      <c r="CY245" s="542">
        <f t="shared" si="2010"/>
        <v>1.7849999999999999</v>
      </c>
      <c r="CZ245" s="538">
        <f t="shared" si="2011"/>
        <v>2.4513847475961154E-2</v>
      </c>
    </row>
    <row r="246" spans="1:104" s="115" customFormat="1" ht="13" x14ac:dyDescent="0.3">
      <c r="G246" s="116">
        <f>SUM(G200:G245)</f>
        <v>221.30500000000004</v>
      </c>
      <c r="H246" s="85"/>
      <c r="J246" s="116">
        <f>SUM(J200:J245)</f>
        <v>21.204402975000008</v>
      </c>
      <c r="L246" s="116"/>
      <c r="O246" s="116">
        <f>SUM(O200:O245)</f>
        <v>187.845</v>
      </c>
      <c r="Q246" s="416"/>
      <c r="R246" s="416"/>
      <c r="S246" s="416"/>
      <c r="T246" s="416"/>
      <c r="X246" s="98" t="s">
        <v>2033</v>
      </c>
      <c r="AB246" s="116">
        <f t="shared" ref="AB246:AH246" si="2020">SUM(AB200:AB245)</f>
        <v>47.44</v>
      </c>
      <c r="AC246" s="330">
        <f t="shared" si="2020"/>
        <v>0</v>
      </c>
      <c r="AD246" s="330">
        <f t="shared" si="2020"/>
        <v>0</v>
      </c>
      <c r="AE246" s="330">
        <f t="shared" si="2020"/>
        <v>0</v>
      </c>
      <c r="AF246" s="330">
        <f t="shared" si="2020"/>
        <v>281.58929999999958</v>
      </c>
      <c r="AG246" s="330">
        <f t="shared" si="2020"/>
        <v>139.34683749999999</v>
      </c>
      <c r="AH246" s="330">
        <f t="shared" si="2020"/>
        <v>0.10104999999999784</v>
      </c>
      <c r="AI246" s="330"/>
      <c r="AJ246" s="330">
        <f t="shared" ref="AJ246:AP246" si="2021">SUM(AJ200:AJ245)</f>
        <v>3.0508720000006697</v>
      </c>
      <c r="AK246" s="330">
        <f t="shared" si="2021"/>
        <v>0.16371527999999949</v>
      </c>
      <c r="AL246" s="330">
        <f t="shared" si="2021"/>
        <v>400.48276061945728</v>
      </c>
      <c r="AM246" s="330">
        <f t="shared" si="2021"/>
        <v>9.3922499999999989</v>
      </c>
      <c r="AN246" s="330">
        <f t="shared" si="2021"/>
        <v>0</v>
      </c>
      <c r="AO246" s="330">
        <f t="shared" si="2021"/>
        <v>0</v>
      </c>
      <c r="AP246" s="330">
        <f t="shared" si="2021"/>
        <v>0</v>
      </c>
      <c r="AQ246" s="330"/>
      <c r="AR246" s="330">
        <f t="shared" ref="AR246:BB246" si="2022">SUM(AR200:AR245)</f>
        <v>107.88620111945701</v>
      </c>
      <c r="AS246" s="330">
        <f t="shared" si="2022"/>
        <v>0</v>
      </c>
      <c r="AT246" s="330">
        <f t="shared" si="2022"/>
        <v>7.1159999999999997</v>
      </c>
      <c r="AU246" s="330">
        <f t="shared" si="2022"/>
        <v>7.1159999999999997</v>
      </c>
      <c r="AV246" s="330">
        <f t="shared" si="2022"/>
        <v>1.4232</v>
      </c>
      <c r="AW246" s="330">
        <f t="shared" si="2022"/>
        <v>268.97230950000022</v>
      </c>
      <c r="AX246" s="330">
        <f t="shared" si="2022"/>
        <v>306.03498638054248</v>
      </c>
      <c r="AY246" s="330">
        <f t="shared" si="2022"/>
        <v>267.63064536077667</v>
      </c>
      <c r="AZ246" s="330">
        <f t="shared" si="2022"/>
        <v>1.3416641392235231</v>
      </c>
      <c r="BA246" s="330">
        <f t="shared" si="2022"/>
        <v>1.3416641392235231</v>
      </c>
      <c r="BB246" s="330">
        <f t="shared" si="2022"/>
        <v>0</v>
      </c>
      <c r="BC246" s="330">
        <f>SUM(AC246:AE246)+BA250+AJ246</f>
        <v>40.113548880543036</v>
      </c>
      <c r="BD246" s="330">
        <f>SUM(BD200:BD245)</f>
        <v>0.28464</v>
      </c>
      <c r="BE246" s="935">
        <v>400</v>
      </c>
      <c r="BF246" s="926"/>
      <c r="BG246" s="936"/>
      <c r="BH246" s="124">
        <f t="shared" ref="BH246:BO246" si="2023">SUM(BH200:BH245)</f>
        <v>0</v>
      </c>
      <c r="BI246" s="115">
        <f t="shared" si="2023"/>
        <v>0</v>
      </c>
      <c r="BJ246" s="115">
        <f t="shared" si="2023"/>
        <v>1</v>
      </c>
      <c r="BK246" s="115">
        <f t="shared" si="2023"/>
        <v>0</v>
      </c>
      <c r="BL246" s="115">
        <f t="shared" si="2023"/>
        <v>0</v>
      </c>
      <c r="BM246" s="115">
        <f t="shared" si="2023"/>
        <v>0</v>
      </c>
      <c r="BN246" s="115">
        <f t="shared" si="2023"/>
        <v>30</v>
      </c>
      <c r="BO246" s="115">
        <f t="shared" si="2023"/>
        <v>1</v>
      </c>
      <c r="BQ246" s="116">
        <f>SUM(BQ200:BQ245)</f>
        <v>663.55859999999905</v>
      </c>
      <c r="BR246" s="116">
        <f>SUM(BR200:BR245)</f>
        <v>307.66689900000159</v>
      </c>
      <c r="BS246" s="116">
        <f>SUM(BS200:BS245)</f>
        <v>0.42690000000013562</v>
      </c>
      <c r="CC246" s="124">
        <f>SUM(CC200:CC245)</f>
        <v>362.94219191999974</v>
      </c>
      <c r="CD246" s="124">
        <f>SUM(CD200:CD245)</f>
        <v>109.38587743999953</v>
      </c>
      <c r="CE246" s="124">
        <f>SUM(CE200:CE245)</f>
        <v>0</v>
      </c>
      <c r="CF246" s="124">
        <f>SUM(CF200:CF245)</f>
        <v>1.4649599999999998</v>
      </c>
      <c r="CG246" s="124">
        <f>SUM(CG200:CG245)</f>
        <v>0.36623999999999945</v>
      </c>
      <c r="CJ246" s="124">
        <f>SUM(CJ200:CJ245)</f>
        <v>271.50432799999942</v>
      </c>
      <c r="CK246" s="124">
        <f>SUM(CK200:CK245)</f>
        <v>271.50432799999942</v>
      </c>
      <c r="CL246" s="124">
        <f>SUM(CL200:CL245)</f>
        <v>0</v>
      </c>
      <c r="CM246" s="124">
        <f>SUM(CM200:CM245)</f>
        <v>7.3247999999999994E-2</v>
      </c>
      <c r="CN246" s="112"/>
      <c r="CO246" s="112"/>
      <c r="CP246" s="124">
        <f t="shared" ref="CP246:CY246" si="2024">SUM(CP200:CP245)</f>
        <v>332.97448799999955</v>
      </c>
      <c r="CQ246" s="124">
        <f t="shared" si="2024"/>
        <v>102.03401599999961</v>
      </c>
      <c r="CR246" s="124">
        <f t="shared" si="2024"/>
        <v>0.65999999999996251</v>
      </c>
      <c r="CS246" s="124">
        <f t="shared" si="2024"/>
        <v>3.4679999999998608E-2</v>
      </c>
      <c r="CT246" s="124">
        <f t="shared" si="2024"/>
        <v>10.517949999999999</v>
      </c>
      <c r="CU246" s="124">
        <f t="shared" si="2024"/>
        <v>316.33103999999946</v>
      </c>
      <c r="CV246" s="124">
        <f t="shared" si="2024"/>
        <v>40.219063499999955</v>
      </c>
      <c r="CW246" s="124">
        <f t="shared" si="2024"/>
        <v>597.53767999999911</v>
      </c>
      <c r="CX246" s="124">
        <f t="shared" si="2024"/>
        <v>113.53999999999991</v>
      </c>
      <c r="CY246" s="124">
        <f t="shared" si="2024"/>
        <v>56.769999999999953</v>
      </c>
    </row>
    <row r="247" spans="1:104" s="115" customFormat="1" ht="13" x14ac:dyDescent="0.3">
      <c r="H247" s="85"/>
      <c r="Q247" s="416"/>
      <c r="R247" s="416"/>
      <c r="S247" s="416"/>
      <c r="T247" s="416"/>
      <c r="AB247" s="117">
        <f>IF(P247="ASFALTO",M247*G246,0)</f>
        <v>0</v>
      </c>
      <c r="AC247" s="566"/>
      <c r="AD247" s="566"/>
      <c r="AE247" s="566"/>
      <c r="AF247" s="118"/>
      <c r="AG247" s="118"/>
      <c r="AH247" s="118"/>
      <c r="AI247" s="119"/>
      <c r="AZ247" s="115" t="s">
        <v>2034</v>
      </c>
      <c r="BA247" s="121">
        <f>SUM(AF246:AH246)</f>
        <v>421.03718749999956</v>
      </c>
      <c r="BB247" s="122" t="s">
        <v>2035</v>
      </c>
      <c r="BC247" s="123">
        <f>SUM(AJ246)</f>
        <v>3.0508720000006697</v>
      </c>
      <c r="BD247" s="118"/>
      <c r="BE247" s="81" t="s">
        <v>2036</v>
      </c>
      <c r="BF247" s="256" t="s">
        <v>2037</v>
      </c>
      <c r="BG247" s="256" t="s">
        <v>2038</v>
      </c>
      <c r="BH247" s="567"/>
      <c r="CY247" s="73"/>
    </row>
    <row r="248" spans="1:104" s="115" customFormat="1" ht="52" x14ac:dyDescent="0.3">
      <c r="H248" s="85"/>
      <c r="Q248" s="416"/>
      <c r="R248" s="416"/>
      <c r="S248" s="416"/>
      <c r="T248" s="416"/>
      <c r="AB248" s="117">
        <f>IF(P248="ASFALTO",M248*G248,0)</f>
        <v>0</v>
      </c>
      <c r="AC248" s="566"/>
      <c r="AD248" s="566"/>
      <c r="AE248" s="566"/>
      <c r="AF248" s="118"/>
      <c r="AG248" s="118"/>
      <c r="AH248" s="118"/>
      <c r="AZ248" s="124" t="s">
        <v>2042</v>
      </c>
      <c r="BA248" s="125">
        <f>BA247-AY246-AO246-AT246-AR246</f>
        <v>38.404341019765894</v>
      </c>
      <c r="BB248" s="126" t="s">
        <v>2043</v>
      </c>
      <c r="BC248" s="126">
        <f>BA250+SUM(AC246:AE246)</f>
        <v>37.062676880542369</v>
      </c>
      <c r="BD248" s="118"/>
      <c r="BE248" s="127"/>
      <c r="BF248" s="128">
        <f>SUM(BF200:BF245)</f>
        <v>38.339999999999996</v>
      </c>
      <c r="BG248" s="128">
        <f>SUM(BG200:BG245)</f>
        <v>126.485</v>
      </c>
      <c r="BH248" s="567"/>
      <c r="CJ248" s="124" t="s">
        <v>2168</v>
      </c>
      <c r="CK248" s="115">
        <f>SUM(CC246:CD246)</f>
        <v>472.32806935999929</v>
      </c>
      <c r="CL248" s="122" t="s">
        <v>2035</v>
      </c>
      <c r="CM248" s="115">
        <f>CG246</f>
        <v>0.36623999999999945</v>
      </c>
      <c r="CP248" s="112"/>
      <c r="CY248" s="73"/>
    </row>
    <row r="249" spans="1:104" s="115" customFormat="1" ht="13" x14ac:dyDescent="0.3">
      <c r="H249" s="85"/>
      <c r="Q249" s="416"/>
      <c r="R249" s="416"/>
      <c r="S249" s="416"/>
      <c r="T249" s="416"/>
      <c r="AB249" s="118"/>
      <c r="AC249" s="566"/>
      <c r="AD249" s="566"/>
      <c r="AE249" s="566"/>
      <c r="AF249" s="118"/>
      <c r="AG249" s="118"/>
      <c r="AH249" s="118"/>
      <c r="AZ249" s="124" t="s">
        <v>2178</v>
      </c>
      <c r="BA249" s="129">
        <f>BB246</f>
        <v>0</v>
      </c>
      <c r="BB249" s="126"/>
      <c r="BC249" s="118"/>
      <c r="BD249" s="118"/>
      <c r="BE249" s="127"/>
      <c r="BF249" s="130"/>
      <c r="BG249" s="131"/>
      <c r="BH249" s="567"/>
      <c r="CJ249" s="115" t="s">
        <v>2170</v>
      </c>
      <c r="CK249" s="115">
        <f>CL246</f>
        <v>0</v>
      </c>
      <c r="CL249" s="126" t="s">
        <v>2043</v>
      </c>
      <c r="CM249" s="115">
        <f>CK250+SUM(CE246:CF246)</f>
        <v>202.28870135999986</v>
      </c>
      <c r="CP249" s="112"/>
      <c r="CY249" s="73"/>
    </row>
    <row r="250" spans="1:104" ht="13" x14ac:dyDescent="0.3">
      <c r="AZ250" s="115" t="s">
        <v>2045</v>
      </c>
      <c r="BA250" s="120">
        <f>BA248-BA246</f>
        <v>37.062676880542369</v>
      </c>
      <c r="CJ250" s="115" t="s">
        <v>2045</v>
      </c>
      <c r="CK250" s="115">
        <f>CK248-CK246</f>
        <v>200.82374135999987</v>
      </c>
    </row>
    <row r="256" spans="1:104" ht="16" thickBot="1" x14ac:dyDescent="0.35">
      <c r="F256" s="74"/>
      <c r="G256" s="74"/>
      <c r="H256" s="74"/>
      <c r="I256" s="74"/>
      <c r="J256" s="74"/>
      <c r="K256" s="74"/>
      <c r="L256" s="74"/>
      <c r="M256" s="74"/>
      <c r="N256" s="74"/>
      <c r="O256" s="74"/>
      <c r="P256" s="74"/>
      <c r="Q256" s="74"/>
      <c r="R256" s="74"/>
      <c r="S256" s="74"/>
      <c r="T256" s="74"/>
      <c r="U256" s="74"/>
      <c r="V256" s="74"/>
      <c r="W256" s="74"/>
      <c r="X256" s="74"/>
      <c r="Y256" s="74"/>
      <c r="Z256" s="74"/>
      <c r="AA256" s="74"/>
      <c r="AB256" s="74"/>
      <c r="AC256" s="74"/>
      <c r="AD256" s="74"/>
      <c r="AE256" s="74"/>
      <c r="AF256" s="74"/>
      <c r="AG256" s="74"/>
      <c r="AH256" s="74"/>
      <c r="AI256" s="75"/>
      <c r="AJ256" s="73" t="s">
        <v>2116</v>
      </c>
      <c r="BV256" s="945" t="s">
        <v>1813</v>
      </c>
      <c r="BW256" s="945"/>
      <c r="BX256" s="945"/>
      <c r="BY256" s="945"/>
      <c r="BZ256" s="945"/>
      <c r="CA256" s="945"/>
      <c r="CB256" s="945"/>
      <c r="CC256" s="945"/>
      <c r="CD256" s="945"/>
      <c r="CE256" s="945"/>
      <c r="CF256" s="945"/>
      <c r="CG256" s="945"/>
      <c r="CH256" s="945"/>
      <c r="CI256" s="945"/>
      <c r="CJ256" s="945"/>
      <c r="CK256" s="945"/>
      <c r="CL256" s="945"/>
      <c r="CM256" s="945"/>
      <c r="CN256" s="945"/>
      <c r="CO256" s="945"/>
      <c r="CP256" s="945"/>
      <c r="CQ256" s="945"/>
    </row>
    <row r="257" spans="1:104" ht="39.5" thickBot="1" x14ac:dyDescent="0.35">
      <c r="A257" s="76" t="s">
        <v>1653</v>
      </c>
      <c r="B257" s="76"/>
      <c r="C257" s="76"/>
      <c r="D257" s="76"/>
      <c r="E257" s="76"/>
      <c r="F257" s="76"/>
      <c r="G257" s="76"/>
      <c r="H257" s="77"/>
      <c r="I257" s="76"/>
      <c r="J257" s="76"/>
      <c r="K257" s="575"/>
      <c r="L257" s="76"/>
      <c r="M257" s="76"/>
      <c r="N257" s="76"/>
      <c r="O257" s="76"/>
      <c r="P257" s="78"/>
      <c r="Q257" s="78"/>
      <c r="R257" s="78"/>
      <c r="S257" s="78"/>
      <c r="T257" s="78"/>
      <c r="U257" s="76"/>
      <c r="V257" s="76"/>
      <c r="W257" s="924" t="s">
        <v>1938</v>
      </c>
      <c r="X257" s="925"/>
      <c r="Y257" s="925"/>
      <c r="Z257" s="925"/>
      <c r="AA257" s="925"/>
      <c r="AB257" s="925"/>
      <c r="AC257" s="925"/>
      <c r="AD257" s="925"/>
      <c r="AE257" s="925"/>
      <c r="AF257" s="925"/>
      <c r="AG257" s="925"/>
      <c r="AH257" s="925"/>
      <c r="AI257" s="79"/>
      <c r="AJ257" s="79"/>
      <c r="AK257" s="79"/>
      <c r="AL257" s="79"/>
      <c r="AM257" s="76"/>
      <c r="AN257" s="76"/>
      <c r="AO257" s="79" t="s">
        <v>2118</v>
      </c>
      <c r="AP257" s="79"/>
      <c r="AQ257" s="76"/>
      <c r="AR257" s="76" t="s">
        <v>2184</v>
      </c>
      <c r="AS257" s="76"/>
      <c r="AT257" s="76"/>
      <c r="AU257" s="76"/>
      <c r="AV257" s="76"/>
      <c r="AW257" s="76"/>
      <c r="AX257" s="76"/>
      <c r="AY257" s="76"/>
      <c r="AZ257" s="76"/>
      <c r="BA257" s="76"/>
      <c r="BB257" s="76"/>
      <c r="BC257" s="76"/>
      <c r="BD257" s="76"/>
      <c r="BE257" s="926" t="s">
        <v>1942</v>
      </c>
      <c r="BF257" s="926"/>
      <c r="BG257" s="926"/>
      <c r="BH257" s="78"/>
      <c r="BI257" s="927" t="s">
        <v>451</v>
      </c>
      <c r="BJ257" s="925"/>
      <c r="BK257" s="925"/>
      <c r="BL257" s="925"/>
      <c r="BM257" s="925"/>
      <c r="BN257" s="925"/>
      <c r="BO257" s="925"/>
      <c r="BP257" s="76"/>
      <c r="BQ257" s="928" t="s">
        <v>1945</v>
      </c>
      <c r="BR257" s="929"/>
      <c r="BS257" s="929"/>
      <c r="BV257" s="127"/>
      <c r="BW257" s="127"/>
      <c r="BX257" s="127"/>
      <c r="BY257" s="127"/>
      <c r="BZ257" s="127"/>
      <c r="CA257" s="127"/>
      <c r="CB257" s="127"/>
      <c r="CC257" s="127"/>
      <c r="CD257" s="127"/>
      <c r="CE257" s="127"/>
      <c r="CF257" s="127"/>
      <c r="CG257" s="127"/>
      <c r="CH257" s="127"/>
      <c r="CI257" s="127"/>
      <c r="CJ257" s="127"/>
      <c r="CK257" s="127"/>
      <c r="CL257" s="127"/>
      <c r="CM257" s="127"/>
      <c r="CN257" s="127"/>
      <c r="CO257" s="127"/>
      <c r="CP257" s="931" t="s">
        <v>1945</v>
      </c>
      <c r="CQ257" s="931"/>
      <c r="CR257" s="946" t="s">
        <v>2171</v>
      </c>
      <c r="CS257" s="939" t="s">
        <v>2120</v>
      </c>
      <c r="CT257" s="939" t="s">
        <v>1921</v>
      </c>
      <c r="CU257" s="939" t="s">
        <v>2121</v>
      </c>
      <c r="CV257" s="939" t="s">
        <v>2122</v>
      </c>
      <c r="CW257" s="939" t="s">
        <v>2123</v>
      </c>
      <c r="CX257" s="141" t="s">
        <v>2124</v>
      </c>
      <c r="CY257" s="141" t="s">
        <v>2125</v>
      </c>
      <c r="CZ257" s="948" t="s">
        <v>2126</v>
      </c>
    </row>
    <row r="258" spans="1:104" s="86" customFormat="1" ht="65" x14ac:dyDescent="0.3">
      <c r="A258" s="82" t="s">
        <v>1392</v>
      </c>
      <c r="B258" s="82" t="s">
        <v>1390</v>
      </c>
      <c r="C258" s="82" t="s">
        <v>1394</v>
      </c>
      <c r="D258" s="82" t="s">
        <v>2127</v>
      </c>
      <c r="E258" s="82" t="s">
        <v>1947</v>
      </c>
      <c r="F258" s="82" t="s">
        <v>1948</v>
      </c>
      <c r="G258" s="82" t="s">
        <v>2128</v>
      </c>
      <c r="H258" s="136" t="s">
        <v>2129</v>
      </c>
      <c r="I258" s="82" t="s">
        <v>1951</v>
      </c>
      <c r="J258" s="136" t="s">
        <v>1952</v>
      </c>
      <c r="K258" s="82" t="s">
        <v>1953</v>
      </c>
      <c r="L258" s="137" t="s">
        <v>2130</v>
      </c>
      <c r="M258" s="138" t="s">
        <v>1955</v>
      </c>
      <c r="N258" s="137" t="s">
        <v>2131</v>
      </c>
      <c r="O258" s="137" t="s">
        <v>2132</v>
      </c>
      <c r="P258" s="137" t="s">
        <v>1958</v>
      </c>
      <c r="Q258" s="137" t="s">
        <v>1959</v>
      </c>
      <c r="R258" s="137" t="s">
        <v>1960</v>
      </c>
      <c r="S258" s="137" t="s">
        <v>1961</v>
      </c>
      <c r="T258" s="137" t="s">
        <v>1962</v>
      </c>
      <c r="U258" s="138" t="s">
        <v>1963</v>
      </c>
      <c r="V258" s="139" t="s">
        <v>2133</v>
      </c>
      <c r="W258" s="140" t="s">
        <v>1965</v>
      </c>
      <c r="X258" s="140" t="s">
        <v>1966</v>
      </c>
      <c r="Y258" s="140" t="s">
        <v>1967</v>
      </c>
      <c r="Z258" s="140" t="s">
        <v>1968</v>
      </c>
      <c r="AA258" s="140" t="s">
        <v>1969</v>
      </c>
      <c r="AB258" s="80" t="s">
        <v>1970</v>
      </c>
      <c r="AC258" s="141" t="s">
        <v>1972</v>
      </c>
      <c r="AD258" s="141" t="s">
        <v>1973</v>
      </c>
      <c r="AE258" s="141" t="s">
        <v>1974</v>
      </c>
      <c r="AF258" s="141" t="s">
        <v>1979</v>
      </c>
      <c r="AG258" s="141" t="s">
        <v>1980</v>
      </c>
      <c r="AH258" s="141" t="s">
        <v>2134</v>
      </c>
      <c r="AI258" s="141" t="s">
        <v>2135</v>
      </c>
      <c r="AJ258" s="82" t="s">
        <v>1987</v>
      </c>
      <c r="AK258" s="82" t="s">
        <v>1988</v>
      </c>
      <c r="AL258" s="82" t="s">
        <v>1989</v>
      </c>
      <c r="AM258" s="136" t="s">
        <v>1990</v>
      </c>
      <c r="AN258" s="136" t="s">
        <v>1991</v>
      </c>
      <c r="AO258" s="136" t="s">
        <v>1992</v>
      </c>
      <c r="AP258" s="141" t="s">
        <v>1993</v>
      </c>
      <c r="AQ258" s="141" t="s">
        <v>1994</v>
      </c>
      <c r="AR258" s="142" t="s">
        <v>1995</v>
      </c>
      <c r="AS258" s="531" t="s">
        <v>1996</v>
      </c>
      <c r="AT258" s="141" t="s">
        <v>1997</v>
      </c>
      <c r="AU258" s="141" t="s">
        <v>1998</v>
      </c>
      <c r="AV258" s="141" t="s">
        <v>1999</v>
      </c>
      <c r="AW258" s="82" t="s">
        <v>2000</v>
      </c>
      <c r="AX258" s="136" t="s">
        <v>2001</v>
      </c>
      <c r="AY258" s="136" t="s">
        <v>2002</v>
      </c>
      <c r="AZ258" s="136" t="s">
        <v>2004</v>
      </c>
      <c r="BA258" s="136" t="s">
        <v>2136</v>
      </c>
      <c r="BB258" s="136" t="s">
        <v>2006</v>
      </c>
      <c r="BC258" s="136" t="s">
        <v>2007</v>
      </c>
      <c r="BD258" s="136" t="s">
        <v>2008</v>
      </c>
      <c r="BE258" s="934">
        <v>400</v>
      </c>
      <c r="BF258" s="934"/>
      <c r="BG258" s="934"/>
      <c r="BH258" s="136" t="s">
        <v>1813</v>
      </c>
      <c r="BI258" s="532" t="s">
        <v>1405</v>
      </c>
      <c r="BJ258" s="532" t="s">
        <v>1410</v>
      </c>
      <c r="BK258" s="532" t="s">
        <v>1415</v>
      </c>
      <c r="BL258" s="532" t="s">
        <v>1418</v>
      </c>
      <c r="BM258" s="532" t="s">
        <v>1429</v>
      </c>
      <c r="BN258" s="532" t="s">
        <v>1431</v>
      </c>
      <c r="BO258" s="533" t="s">
        <v>1434</v>
      </c>
      <c r="BP258" s="143"/>
      <c r="BQ258" s="84" t="s">
        <v>2010</v>
      </c>
      <c r="BR258" s="84" t="s">
        <v>2137</v>
      </c>
      <c r="BS258" s="84" t="s">
        <v>2138</v>
      </c>
      <c r="BV258" s="534" t="s">
        <v>2139</v>
      </c>
      <c r="BW258" s="534" t="s">
        <v>2140</v>
      </c>
      <c r="BX258" s="535" t="s">
        <v>2141</v>
      </c>
      <c r="BY258" s="534" t="s">
        <v>2142</v>
      </c>
      <c r="BZ258" s="80" t="s">
        <v>2143</v>
      </c>
      <c r="CA258" s="80" t="s">
        <v>2144</v>
      </c>
      <c r="CB258" s="80" t="s">
        <v>2145</v>
      </c>
      <c r="CC258" s="533" t="s">
        <v>2146</v>
      </c>
      <c r="CD258" s="533" t="s">
        <v>2147</v>
      </c>
      <c r="CE258" s="533" t="s">
        <v>2148</v>
      </c>
      <c r="CF258" s="533" t="s">
        <v>2149</v>
      </c>
      <c r="CG258" s="533" t="s">
        <v>2150</v>
      </c>
      <c r="CH258" s="536" t="s">
        <v>1966</v>
      </c>
      <c r="CI258" s="141" t="s">
        <v>2151</v>
      </c>
      <c r="CJ258" s="533" t="s">
        <v>2152</v>
      </c>
      <c r="CK258" s="533" t="s">
        <v>2153</v>
      </c>
      <c r="CL258" s="533" t="s">
        <v>2154</v>
      </c>
      <c r="CM258" s="533" t="s">
        <v>2008</v>
      </c>
      <c r="CN258" s="533" t="s">
        <v>2155</v>
      </c>
      <c r="CO258" s="533" t="s">
        <v>2156</v>
      </c>
      <c r="CP258" s="533" t="s">
        <v>2157</v>
      </c>
      <c r="CQ258" s="533" t="s">
        <v>2158</v>
      </c>
      <c r="CR258" s="947"/>
      <c r="CS258" s="940"/>
      <c r="CT258" s="940"/>
      <c r="CU258" s="940"/>
      <c r="CV258" s="940"/>
      <c r="CW258" s="940"/>
      <c r="CZ258" s="948"/>
    </row>
    <row r="259" spans="1:104" ht="14.5" x14ac:dyDescent="0.35">
      <c r="A259" s="325" t="str">
        <f>'BOCA DE LOBO'!A228</f>
        <v>RD-1</v>
      </c>
      <c r="B259" s="87"/>
      <c r="C259" s="87"/>
      <c r="D259" s="87"/>
      <c r="E259" s="88"/>
      <c r="F259" s="88"/>
      <c r="G259" s="88"/>
      <c r="H259" s="82"/>
      <c r="I259" s="82"/>
      <c r="J259" s="82"/>
      <c r="K259" s="82"/>
      <c r="L259" s="89"/>
      <c r="M259" s="90"/>
      <c r="N259" s="90"/>
      <c r="O259" s="90"/>
      <c r="P259" s="89"/>
      <c r="Q259" s="89"/>
      <c r="R259" s="89"/>
      <c r="S259" s="89"/>
      <c r="T259" s="89"/>
      <c r="U259" s="90"/>
      <c r="V259" s="91"/>
      <c r="W259" s="92" t="s">
        <v>2020</v>
      </c>
      <c r="X259" s="92"/>
      <c r="Y259" s="92"/>
      <c r="Z259" s="92"/>
      <c r="AA259" s="92"/>
      <c r="AB259" s="93" t="s">
        <v>2021</v>
      </c>
      <c r="AC259" s="94"/>
      <c r="AD259" s="94"/>
      <c r="AE259" s="94"/>
      <c r="AF259" s="94"/>
      <c r="AG259" s="94"/>
      <c r="AH259" s="94"/>
      <c r="AI259" s="81"/>
      <c r="AJ259" s="82"/>
      <c r="AK259" s="82"/>
      <c r="AL259" s="82"/>
      <c r="AM259" s="82"/>
      <c r="AN259" s="83"/>
      <c r="AO259" s="82"/>
      <c r="AP259" s="82"/>
      <c r="AQ259" s="79"/>
      <c r="AR259" s="97"/>
      <c r="AS259" s="97"/>
      <c r="AT259" s="97"/>
      <c r="AU259" s="97"/>
      <c r="AV259" s="97"/>
      <c r="AW259" s="82"/>
      <c r="AX259" s="82"/>
      <c r="AY259" s="82"/>
      <c r="AZ259" s="82"/>
      <c r="BA259" s="82"/>
      <c r="BB259" s="82"/>
      <c r="BC259" s="82"/>
      <c r="BD259" s="82"/>
      <c r="BE259" s="95"/>
      <c r="BF259" s="79"/>
      <c r="BG259" s="79"/>
      <c r="BH259" s="569"/>
      <c r="BI259" s="96"/>
      <c r="BJ259" s="96"/>
      <c r="BK259" s="96"/>
      <c r="BL259" s="96"/>
      <c r="BM259" s="96"/>
      <c r="BN259" s="570"/>
      <c r="BO259" s="571"/>
      <c r="BP259" s="572"/>
      <c r="BQ259" s="79"/>
      <c r="BR259" s="79"/>
      <c r="BS259" s="79"/>
      <c r="BV259" s="539"/>
      <c r="BW259" s="539"/>
      <c r="BX259" s="539"/>
      <c r="BY259" s="539"/>
      <c r="BZ259" s="539"/>
      <c r="CA259" s="539"/>
      <c r="CB259" s="539"/>
      <c r="CC259" s="539"/>
      <c r="CD259" s="539"/>
      <c r="CE259" s="539"/>
      <c r="CF259" s="539"/>
      <c r="CG259" s="539"/>
      <c r="CH259" s="539"/>
      <c r="CI259" s="539"/>
      <c r="CJ259" s="539"/>
      <c r="CK259" s="539"/>
      <c r="CL259" s="539"/>
      <c r="CM259" s="539"/>
      <c r="CN259" s="539"/>
      <c r="CO259" s="539"/>
      <c r="CP259" s="539"/>
      <c r="CQ259" s="539"/>
      <c r="CR259" s="539"/>
      <c r="CS259" s="573"/>
      <c r="CT259" s="573"/>
      <c r="CU259" s="573"/>
      <c r="CV259" s="573"/>
      <c r="CW259" s="539"/>
    </row>
    <row r="260" spans="1:104" s="112" customFormat="1" ht="25" x14ac:dyDescent="0.25">
      <c r="A260" s="100" t="str">
        <f>'BOCA DE LOBO'!C229</f>
        <v>BL1-&gt;PV1.1</v>
      </c>
      <c r="B260" s="100" t="str">
        <f>'BOCA DE LOBO'!A229</f>
        <v>PV1.1</v>
      </c>
      <c r="C260" s="100" t="str">
        <f>VLOOKUP(A260,'BOCA DE LOBO'!$C$229:$M$324,3,0)</f>
        <v>PROJETADO</v>
      </c>
      <c r="D260" s="100" t="str">
        <f>VLOOKUP(A260,'BOCA DE LOBO'!$C$229:$M$324,10,0)</f>
        <v>EXISTENTE</v>
      </c>
      <c r="E260" s="100">
        <f t="shared" ref="E260:E310" si="2025">IF(F260-G260*4%&lt;2.5,F260-G260*4%,2.5)</f>
        <v>2.5</v>
      </c>
      <c r="F260" s="100">
        <f>VLOOKUP(A260,'BOCA DE LOBO'!$C$229:$D$324,2,0)</f>
        <v>3</v>
      </c>
      <c r="G260" s="100">
        <f>VLOOKUP(A260,'BOCA DE LOBO'!$C$229:$F$324,4,0)</f>
        <v>7.16</v>
      </c>
      <c r="H260" s="101">
        <v>400</v>
      </c>
      <c r="I260" s="102">
        <f t="shared" ref="I260:I310" si="2026">IF(H260=400,((E260+F260)/2)+0.08+U260,IF(H260=500,((E260+F260)/2)+0.1+U260,IF(H260=600,((E260+F260)/2)+0.12+U260,IF(H260=800,((E260+F260)/2)+0.16+U260,IF(H260=1000,((E260+F260)/2)+0.2+U260,IF(H260=1200,((E260+F260)/2)+0.24+U260,IF(H260=1500,((E260+F260)/2)+0.3+U260,IF(H260&gt;1500,((E260+F260)/2)+0.4+U260))))))))</f>
        <v>2.88</v>
      </c>
      <c r="J260" s="102">
        <f t="shared" ref="J260:J310" si="2027">IF(L260=0,0,IF(I260&gt;=1.25,G260*I260/20,0))</f>
        <v>0</v>
      </c>
      <c r="K260" s="103">
        <v>0</v>
      </c>
      <c r="L260" s="104">
        <f t="shared" ref="L260:L310" si="2028">IF(D260&lt;&gt;"PROJETADA",0,IF(H260=400,1,0)+IF(H260=500,1.2,0)+IF(H260=600,1.4,0)+IF(H260=800,1.7,0)+IF(H260=1000,2,0)+IF(H260=1200,2.2,0)+IF(H260=1500,2.6,0)+IF(H260=1650,3,0)+IF(H260=1800,3.2,0)+IF(H260=2000,3.4,0)+IF(H260=2200,3.6,0)+IF(H260=2400,3.8,0)+IF(H260=2600,4,0)+IF(H260=3000,4.4,0))</f>
        <v>0</v>
      </c>
      <c r="M260" s="104">
        <f t="shared" ref="M260:M310" si="2029">2*K260*I260+L260</f>
        <v>0</v>
      </c>
      <c r="N260" s="104">
        <v>400</v>
      </c>
      <c r="O260" s="104">
        <f t="shared" ref="O260:O310" si="2030">IF(P260="TERRENO NATURAL",0,M260*G260)</f>
        <v>0</v>
      </c>
      <c r="P260" s="105" t="s">
        <v>1999</v>
      </c>
      <c r="Q260" s="468" t="s">
        <v>2185</v>
      </c>
      <c r="R260" s="105"/>
      <c r="S260" s="105">
        <v>5</v>
      </c>
      <c r="T260" s="105">
        <v>5</v>
      </c>
      <c r="U260" s="104">
        <f t="shared" ref="U260:U310" si="2031">IF(H260=400,0.05,0)+IF(H260=500,0.05,0)+IF(H260=600,0.1,0)+IF(H260=800,0.1,0)+IF(H260=1000,0.15,0)+IF(H260=1200,0.15,0)+IF(H260=1500,0.2,0)+IF(H260=1650,0.2,0)+IF(H260=1800,0.2,0)+IF(H260=2000,0.25,0)+IF(H260=2200,0.25,0)+IF(H260=2400,0.25,0)+IF(H260=2600,0.25,0)+IF(H260=3000,0.25,0)</f>
        <v>0.05</v>
      </c>
      <c r="V260" s="106">
        <f t="shared" ref="V260:V310" si="2032">IF(L260=0,0,IF("EXISTENTE"=C260,0,IFERROR((PI()*(N260/1000)*(N260/1000)/4)*G260,0)))</f>
        <v>0</v>
      </c>
      <c r="W260" s="106">
        <f t="shared" ref="W260:W312" si="2033">IF(O260=0,0,((((K260*I260)*I260)/2)*2+L260*I260)*G260-V260+AO260)</f>
        <v>0</v>
      </c>
      <c r="X260" s="107">
        <f t="shared" ref="X260:X310" si="2034">W260-SUM(AC260:AJ260)</f>
        <v>0</v>
      </c>
      <c r="Y260" s="107">
        <f t="shared" ref="Y260:Y310" si="2035">IF(R260=1,IF(N260=0,I260+0.4,0.4),0)</f>
        <v>0</v>
      </c>
      <c r="Z260" s="107">
        <f t="shared" ref="Z260:Z310" si="2036">IF(Y260&gt;0.5,0,IF(S260&lt;I260,S260,I260))</f>
        <v>2.88</v>
      </c>
      <c r="AA260" s="107">
        <f t="shared" ref="AA260:AA310" si="2037">I260-Z260</f>
        <v>0</v>
      </c>
      <c r="AB260" s="108">
        <f t="shared" ref="AB260:AB310" si="2038">IF(P260="ASFALTO",IF(D260="PROJETADA",O260,IF(D260="EXISTENTE",0,O260/2)),0)</f>
        <v>0</v>
      </c>
      <c r="AC260" s="109">
        <f t="shared" ref="AC260:AC310" si="2039">IF(Y260=0,0,IF(Y260=0.4,IF(L260&lt;=1.5,IF(Z260+0.4&gt;=1.5,0,L260*G260*0.4),0),IF(L260&lt;=1.5,IF(Y260&gt;=1.5,M260*G260*1.5,L260*G260*(Y260)),0)+IF(S260&lt;I260+0.4,0,IF(AND(Y260&lt;=1.5,L260&lt;=1.5),-V260,0))))</f>
        <v>0</v>
      </c>
      <c r="AD260" s="109">
        <f t="shared" ref="AD260:AD310" si="2040">IF(Y260=0,0,IF(Y260=0.4,IF(L260&lt;=1.5,IF(OR(Z260+0.4&gt;=3,Z260+0.4&lt;1.5),0,L260*G260*0.4),0),IF(IF(L260&lt;=1.5,IF(Y260&gt;=3,M260*G260*1.5,L260*G260*(Y260-1.5)),0)&lt;0,0,IF(L260&lt;=1.5,IF(Y260&gt;=3,M260*G260*1.5,L260*G260*(Y260-1.5)),0))+IF(S260&lt;I260+0.4,0,IF(AND(Y260&lt;=3,L260&lt;=1.5),-V260,0))))</f>
        <v>0</v>
      </c>
      <c r="AE260" s="109">
        <f t="shared" ref="AE260:AE310" si="2041">IF(Y260=0,0,IF(Y260=0.4,IF(L260&lt;=1.5,IF(OR(Z260+0.4&gt;=4.5,Z260+0.4&lt;3),0,L260*G260*0.4),0),IF(IF(L260&lt;=1.5,IF(Y260&gt;=4.5,M260*G260*1.5,L260*G260*(Y260-3)),0)&lt;0,0,IF(L260&lt;=1.5,IF(Y260&gt;=4.5,M260*G260*1.5,L260*G260*(Y260-3)),0))+IF(S260&lt;I260+0.4,0,IF(AND(Y260&lt;=4.5,L260&lt;=1.5),-V260,0))))</f>
        <v>0</v>
      </c>
      <c r="AF260" s="109">
        <f t="shared" ref="AF260:AF323" si="2042">IF(L260&lt;=1.5,IF(Z260&gt;=1.5,M260*G260*1.5,L260*G260*Z260),0)+IF(S260&lt;I260,0,IF(AND(Z260&lt;=1.5,L260&lt;=1.5),-V260,0))</f>
        <v>0</v>
      </c>
      <c r="AG260" s="109">
        <f>IF(IF(L260&lt;=1.5,IF(Z260&gt;=3,M260*G260*1.5,L260*G260*(Z260-1.5)),0)&lt;0,0,IF(L260&lt;=1.5,IF(Z260&gt;=3,M260*G260*1.5,L260*G260*(Z260-1.5)),0))+IF(S260&lt;I260,0,IF(AND(Z260&lt;=3,L260&lt;=1.5),-V260,0))</f>
        <v>0</v>
      </c>
      <c r="AH260" s="109">
        <f>IF(IF(L260&lt;=1.5,IF(Z260&gt;=4.5,M260*G260*1.5,L260*G260*(Z260-3)),0)&lt;0,0,IF(L260&lt;=1.5,IF(Z260&gt;=4.5,M260*G260*1.5,L260*G260*(Z260-3)),0))+IF(S260&lt;I260,0,IF(AND(Z260&lt;=4.5,Z260&gt;3,L260&lt;=1.5),-V260,0))</f>
        <v>0</v>
      </c>
      <c r="AI260" s="537" t="str">
        <f t="shared" ref="AI260:AI310" si="2043">IF(I260&gt;S260,"SIM","NÃO")</f>
        <v>NÃO</v>
      </c>
      <c r="AJ260" s="104">
        <f t="shared" ref="AJ260:AJ310" si="2044">W260-SUM(AC260:AH260)</f>
        <v>0</v>
      </c>
      <c r="AK260" s="104">
        <f t="shared" ref="AK260:AK310" si="2045">IF(I260-T260&lt;0,0,(I260-T260)*G260)/75</f>
        <v>0</v>
      </c>
      <c r="AL260" s="104">
        <f t="shared" ref="AL260:AL310" si="2046">IF(L260=0,0,G260*L260*I260-PI()*(H260/1000)*(H260/1000)/4*G260+AO260)</f>
        <v>0</v>
      </c>
      <c r="AM260" s="102">
        <f t="shared" ref="AM260:AM310" si="2047">IF(L260&lt;1.5,L260*G260*IF(H260&lt;=500,0.05,IF(H260&lt;=800,0.1,IF(H260&lt;=1200,0.15,IF(H260&gt;=1500,0.2)))),0)</f>
        <v>0</v>
      </c>
      <c r="AN260" s="106">
        <f t="shared" ref="AN260:AN310" si="2048">IF(L260&gt;=1.5,L260*G260*IF(H260&lt;=500,0.05,IF(H260&lt;=800,0.1,IF(H260&lt;=1200,0.15,IF(H260&gt;=1500,0.2)))),0)</f>
        <v>0</v>
      </c>
      <c r="AO260" s="104">
        <f t="shared" ref="AO260:AO310" si="2049">IF(R260=1,0.4*G260*L260,0)</f>
        <v>0</v>
      </c>
      <c r="AP260" s="104">
        <f t="shared" ref="AP260:AP310" si="2050">IF(AO260&lt;SUM(AF260:AH260),0,AO260)</f>
        <v>0</v>
      </c>
      <c r="AQ260" s="104">
        <f t="shared" ref="AQ260:AQ310" si="2051">H260/1000+0.3</f>
        <v>0.7</v>
      </c>
      <c r="AR260" s="104">
        <f t="shared" ref="AR260:AR310" si="2052">IF(D260&lt;&gt;"PROJETADA",0,AQ260*L260*G260-PI()*(H260/1000*H260/1000)/4*G260)</f>
        <v>0</v>
      </c>
      <c r="AS260" s="104">
        <f t="shared" ref="AS260:AS310" si="2053">IF(AR260&lt;SUM(AF260:AH260),0,AR260)</f>
        <v>0</v>
      </c>
      <c r="AT260" s="104">
        <f t="shared" ref="AT260:AT310" si="2054">IF(P260="ASFALTO",0.15*G260*L260,0)</f>
        <v>0</v>
      </c>
      <c r="AU260" s="104">
        <f t="shared" ref="AU260:AU310" si="2055">AT260</f>
        <v>0</v>
      </c>
      <c r="AV260" s="104">
        <f t="shared" ref="AV260:AV310" si="2056">IF(P260="ASFALTO",0.03*G260*L260,0)</f>
        <v>0</v>
      </c>
      <c r="AW260" s="104">
        <f t="shared" ref="AW260:AW310" si="2057">AL260-AO260-SUM(AM260:AN260)-AT260-AU260-AR260</f>
        <v>0</v>
      </c>
      <c r="AX260" s="104">
        <f t="shared" ref="AX260:AX310" si="2058">SUM(AF260:AH260)-AO260-AT260-AR260</f>
        <v>0</v>
      </c>
      <c r="AY260" s="104">
        <f t="shared" ref="AY260:AY310" si="2059">SMALL(AW260:AX260,1)</f>
        <v>0</v>
      </c>
      <c r="AZ260" s="104">
        <f t="shared" ref="AZ260:AZ310" si="2060">AW260-AY260</f>
        <v>0</v>
      </c>
      <c r="BA260" s="104">
        <f t="shared" ref="BA260:BA291" si="2061">IF($AZ$356&gt;$BA$358,($BA$358/$AZ$356)*AZ260,AZ260)</f>
        <v>0</v>
      </c>
      <c r="BB260" s="104">
        <f t="shared" ref="BB260:BB310" si="2062">AZ260-BA260</f>
        <v>0</v>
      </c>
      <c r="BC260" s="104"/>
      <c r="BD260" s="104">
        <f t="shared" ref="BD260:BD310" si="2063">IF(AO260&gt;0,4%*(AO260+AT260),0)</f>
        <v>0</v>
      </c>
      <c r="BE260" s="108">
        <f t="shared" ref="BE260:BE310" si="2064">IF(H260=400,I260,0)</f>
        <v>2.88</v>
      </c>
      <c r="BF260" s="110">
        <f t="shared" ref="BF260:BF310" si="2065">IF(BE260&lt;=1.75,AND(BE260&gt;0)*G260,0)</f>
        <v>0</v>
      </c>
      <c r="BG260" s="110">
        <f t="shared" ref="BG260:BG310" si="2066">IF(BE260&lt;=3,AND(BE260&gt;1.75)*G260,0)</f>
        <v>7.16</v>
      </c>
      <c r="BH260" s="105" t="str">
        <f>VLOOKUP(A260,'BOCA DE LOBO'!$C$229:$I$324,7,0)</f>
        <v>BOCA DE LOBO EXISTENTE DUPLA</v>
      </c>
      <c r="BI260" s="104">
        <f t="shared" ref="BI260:BI310" si="2067">IF(BH260=$BI$258,1,0)</f>
        <v>0</v>
      </c>
      <c r="BJ260" s="104">
        <f t="shared" ref="BJ260:BJ310" si="2068">IF(BH260=$BJ$258,1,0)</f>
        <v>0</v>
      </c>
      <c r="BK260" s="104">
        <f t="shared" ref="BK260:BK310" si="2069">IF(BH260=$BK$258,1,0)</f>
        <v>0</v>
      </c>
      <c r="BL260" s="104">
        <f t="shared" ref="BL260:BL310" si="2070">IF(BH260=$BL$258,1,0)</f>
        <v>0</v>
      </c>
      <c r="BM260" s="104">
        <f t="shared" ref="BM260:BM310" si="2071">IF(BH260=$BM$258,1,0)</f>
        <v>0</v>
      </c>
      <c r="BN260" s="104">
        <f t="shared" ref="BN260:BN310" si="2072">IF(BH260=$BN$258,1,0)</f>
        <v>0</v>
      </c>
      <c r="BO260" s="543">
        <f t="shared" ref="BO260:BO310" si="2073">IF(BH260=$BO$258,1,0)</f>
        <v>0</v>
      </c>
      <c r="BP260" s="111"/>
      <c r="BQ260" s="108">
        <f t="shared" ref="BQ260:BQ310" si="2074">IF(L260&lt;=1.5,IF(I260+IF(R260=1,0.5,0)&lt;1.5,(I260+IF(R260=1,0.5,0))*G260*2,G260*2*1.5),0)</f>
        <v>21.48</v>
      </c>
      <c r="BR260" s="108">
        <f t="shared" ref="BR260:BR310" si="2075">IF(L260&lt;=1.5,IF(AND(I260+IF(R260=1,0.5,0)&lt;3,I260+IF(R260=1,0.5,0)&gt;1.5),(I260+IF(R260=1,0.5,0)-1.5)*G260*2,IF(I260+IF(R260=1,0.5,0)&gt;=3,(G260*2*1.5),0)),0)</f>
        <v>19.761599999999998</v>
      </c>
      <c r="BS260" s="108">
        <f t="shared" ref="BS260:BS310" si="2076">IF(L260&lt;=1.5,IF(AND(I260+IF(R260=1,0.5,0)&lt;4.5,I260+IF(R260=1,0.5,0)&gt;3),(I260+IF(R260=1,0.5,0)-3)*G260*2,IF(I260+IF(R260=1,0.5,0)&gt;=4.5,(G260*2*1.5),0)),0)</f>
        <v>0</v>
      </c>
      <c r="BV260" s="538">
        <f t="shared" ref="BV260:BV312" si="2077">IF(OR("BOCA DE LOBO EXISTENTE TRIPLA"=BH260,"BOCA DE LOBO EXISTENTE SIMPLES"=BH260,"BOCA DE LOBO EXISTENTE DUPLA"=BH260),0,IF("BOCA DE LOBO PROJETADA DUPLA"=BH260,(2.57+1)*(1.18+1),IF(OR("BOCA DE LOBO DUPLA EXISTENTE COM BOCA DE LOBO SIMPLES PROJETADA"=BH260,"BOCA DE LOBO SIMPLES EXISTENTE COM BOCA DE LOBO SIMPLES PROJETADA"=BH260),(1.18+0.5)*(1.18+1),IF(OR(BH260="BOCA DE LOBO DUPLA EXISTENTE COM BOCA DE LOBO DUPLA PROJETADA",BH260="BOCA DE LOBO SIMPLES EXISTENTE COM BOCA DE LOBO DUPLA PROJETADA"),(2.38+0.5)*(1.18+1),IF("BOCA DE LOBO PROJETADA TRIPLA"=BH260,(3.76+1)*(1.18+1),IF("BOCA DE LOBO PROJETADA QUADRUPLA"=BH260,(4.92+1)*(1.18+1),"X"))))))*(E260+IF(CA260&gt;0,0.5,0))</f>
        <v>0</v>
      </c>
      <c r="BW260" s="538">
        <f t="shared" ref="BW260:BW312" si="2078">IF(OR("BOCA DE LOBO EXISTENTE TRIPLA"=BH260,"BOCA DE LOBO EXISTENTE SIMPLES"=BH260,"BOCA DE LOBO EXISTENTE DUPLA"=BH260),0,IF("BOCA DE LOBO PROJETADA DUPLA"=BH260,(2.57+1)*(1.18+1),IF(OR("BOCA DE LOBO DUPLA EXISTENTE COM BOCA DE LOBO SIMPLES PROJETADA"=BH260,"BOCA DE LOBO SIMPLES EXISTENTE COM BOCA DE LOBO SIMPLES PROJETADA"=BH260),(1.18+1)*(1.18+0.5),IF(OR(BH260="BOCA DE LOBO DUPLA EXISTENTE COM BOCA DE LOBO DUPLA PROJETADA",BH260="BOCA DE LOBO SIMPLES EXISTENTE COM BOCA DE LOBO DUPLA PROJETADA"),(2.38+0.5)*(1.18+1),IF("BOCA DE LOBO PROJETADA TRIPLA"=BH260,(3.76+0.5*2)*(1.18+1),IF("BOCA DE LOBO PROJETADA QUADRUPLA"=BH260,(4.92+0.5*2)*(1.18+1),"X"))))))</f>
        <v>0</v>
      </c>
      <c r="BX260" s="538">
        <f t="shared" ref="BX260:BX312" si="2079">IF(OR("BOCA DE LOBO EXISTENTE TRIPLA"=BH260,"BOCA DE LOBO EXISTENTE SIMPLES"=BH260,"BOCA DE LOBO EXISTENTE DUPLA"=BH260),0,IF("BOCA DE LOBO PROJETADA DUPLA"=BH260,(2.57)*(1.18),IF(OR("BOCA DE LOBO DUPLA EXISTENTE COM BOCA DE LOBO SIMPLES PROJETADA"=BH260,"BOCA DE LOBO SIMPLES EXISTENTE COM BOCA DE LOBO SIMPLES PROJETADA"=BH260),(1.18)*(1.18),IF(OR(BH260="BOCA DE LOBO DUPLA EXISTENTE COM BOCA DE LOBO DUPLA PROJETADA",BH260="BOCA DE LOBO SIMPLES EXISTENTE COM BOCA DE LOBO DUPLA PROJETADA"),(2.38)*(1.18),IF("BOCA DE LOBO PROJETADA TRIPLA"=BH260,(3.76)*(1.18),IF("BOCA DE LOBO PROJETADA QUADRUPLA"=BH260,(4.92)*(1.18),"X"))))))</f>
        <v>0</v>
      </c>
      <c r="BY260" s="538">
        <f t="shared" ref="BY260:BY310" si="2080">E260</f>
        <v>2.5</v>
      </c>
      <c r="BZ260" s="538">
        <f t="shared" ref="BZ260:BZ310" si="2081">IF(Y260&gt;0.5,0,IF(S260&lt;E260,S260,E260))</f>
        <v>2.5</v>
      </c>
      <c r="CA260" s="538">
        <f t="shared" ref="CA260:CA310" si="2082">IF(Y260&gt;0.4,BY260+0.4,Y260)</f>
        <v>0</v>
      </c>
      <c r="CB260" s="538">
        <f t="shared" ref="CB260:CB310" si="2083">IF(S260&gt;E260,0,E260-S260)</f>
        <v>0</v>
      </c>
      <c r="CC260" s="538">
        <f t="shared" ref="CC260:CC310" si="2084">IF(BZ260&gt;1.5,BW260*1.5,BW260*BZ260)</f>
        <v>0</v>
      </c>
      <c r="CD260" s="538">
        <f t="shared" ref="CD260:CD310" si="2085">IF(BZ260&gt;1.5,BW260*(BZ260-1.5),0)</f>
        <v>0</v>
      </c>
      <c r="CE260" s="538">
        <f t="shared" ref="CE260:CE310" si="2086">IF(CA260=0.4,IF(BZ260+CA260&gt;1.5,0,CA260*BW260),IF(CA260&gt;1.5,BW260*1.5,BW260*CA260))</f>
        <v>0</v>
      </c>
      <c r="CF260" s="538">
        <f t="shared" ref="CF260:CF310" si="2087">IF(CA260=0.4,IF(BZ260+CA260&lt;=1.5,0,CA260*BW260),IF(CA260&gt;1.5,BW260*(CA260-1.5),0))</f>
        <v>0</v>
      </c>
      <c r="CG260" s="538">
        <f t="shared" ref="CG260:CG310" si="2088">BV260-SUM(CC260:CF260)</f>
        <v>0</v>
      </c>
      <c r="CH260" s="538">
        <f t="shared" ref="CH260:CH310" si="2089">SUM(CC260:CG260)-BV260</f>
        <v>0</v>
      </c>
      <c r="CI260" s="104">
        <f t="shared" ref="CI260:CI312" si="2090">IF(OR("BOCA DE LOBO EXISTENTE TRIPLA"=BH260,"BOCA DE LOBO EXISTENTE SIMPLES"=BH260,"BOCA DE LOBO EXISTENTE DUPLA"=BH260),0,IF("BOCA DE LOBO PROJETADA DUPLA"=BH260,(2.57+1)*(0.5),IF(OR("BOCA DE LOBO DUPLA EXISTENTE COM BOCA DE LOBO SIMPLES PROJETADA"=BH260,"BOCA DE LOBO SIMPLES EXISTENTE COM BOCA DE LOBO SIMPLES PROJETADA"=BH260),(1.18+0.5)*(0.5),IF(OR(BH260="BOCA DE LOBO DUPLA EXISTENTE COM BOCA DE LOBO DUPLA PROJETADA",BH260="BOCA DE LOBO SIMPLES EXISTENTE COM BOCA DE LOBO DUPLA PROJETADA"),(2.38+0.5)*(0.5),IF("BOCA DE LOBO PROJETADA TRIPLA"=BH260,(3.76+1)*(0.5),IF("BOCA DE LOBO PROJETADA QUADRUPLA"=BH260,(4.92+1)*(0.5),"X")))))*0.3)</f>
        <v>0</v>
      </c>
      <c r="CJ260" s="538">
        <f t="shared" ref="CJ260:CJ310" si="2091">(BW260-BX260)*(BY260+IF(CA260&gt;=0.4,0.4,0))-CI260</f>
        <v>0</v>
      </c>
      <c r="CK260" s="538">
        <f t="shared" ref="CK260:CK291" si="2092">IF($CK$358&gt;$CJ$356,CJ260,CJ260*$CK$358/$CJ$356)</f>
        <v>0</v>
      </c>
      <c r="CL260" s="538">
        <f t="shared" ref="CL260:CL310" si="2093">CJ260-CK260</f>
        <v>0</v>
      </c>
      <c r="CM260" s="538">
        <f t="shared" ref="CM260:CM310" si="2094">IF(CA260&gt;0,0.5*4%*BW260,0)</f>
        <v>0</v>
      </c>
      <c r="CN260" s="538">
        <f t="shared" ref="CN260:CN312" si="2095">IF(OR("BOCA DE LOBO EXISTENTE TRIPLA"=BH260,"BOCA DE LOBO EXISTENTE SIMPLES"=BH260,"BOCA DE LOBO EXISTENTE DUPLA"=BH260),0,IF("BOCA DE LOBO PROJETADA DUPLA"=BH260,(2.57+1),IF(OR("BOCA DE LOBO DUPLA EXISTENTE COM BOCA DE LOBO SIMPLES PROJETADA"=BH260,"BOCA DE LOBO SIMPLES EXISTENTE COM BOCA DE LOBO SIMPLES PROJETADA"=BH260),(1.18+0.5),IF(OR(BH260="BOCA DE LOBO DUPLA EXISTENTE COM BOCA DE LOBO DUPLA PROJETADA",BH260="BOCA DE LOBO SIMPLES EXISTENTE COM BOCA DE LOBO DUPLA PROJETADA"),(2.38+0.5),IF("BOCA DE LOBO PROJETADA TRIPLA"=BH260,(3.76+0.5*2),IF("BOCA DE LOBO PROJETADA QUADRUPLA"=BH260,(4.92+0.5*2),"X"))))))</f>
        <v>0</v>
      </c>
      <c r="CO260" s="538">
        <f t="shared" ref="CO260:CO310" si="2096">IF(CA260&gt;0,BY260+0.5,BY260)</f>
        <v>2.5</v>
      </c>
      <c r="CP260" s="538">
        <f t="shared" ref="CP260:CP310" si="2097">IF(CO260&gt;=1.5,CN260*1.5*2,CN260*CO260*2)</f>
        <v>0</v>
      </c>
      <c r="CQ260" s="538">
        <f t="shared" ref="CQ260:CQ310" si="2098">IF(CO260&lt;=1.5,0,IF(CO260&gt;=3,CN260*1.5*2,CN260*(CO260-1.5)*2))</f>
        <v>0</v>
      </c>
      <c r="CR260" s="539">
        <f t="shared" ref="CR260:CR312" si="2099">IF(D260="AMPLIADA",0.55*(E260-0.5),0)</f>
        <v>0</v>
      </c>
      <c r="CS260" s="540">
        <f t="shared" ref="CS260:CS312" si="2100">IF(OR("BOCA DE LOBO EXISTENTE TRIPLA"=BH260,"BOCA DE LOBO EXISTENTE SIMPLES"=BH260,"BOCA DE LOBO EXISTENTE DUPLA"=BH260,"BOCA DE LOBO EXISTENTE QUADRUPLA"=BH260),0,IF("BOCA DE LOBO PROJETADA DUPLA"=BH260,(0),IF(OR("BOCA DE LOBO DUPLA EXISTENTE COM BOCA DE LOBO SIMPLES PROJETADA"=BH260,"BOCA DE LOBO SIMPLES EXISTENTE COM BOCA DE LOBO SIMPLES PROJETADA"=BH260),(0.8*0.15*0.17),IF(OR(BH260="BOCA DE LOBO DUPLA EXISTENTE COM BOCA DE LOBO DUPLA PROJETADA",BH260="BOCA DE LOBO SIMPLES EXISTENTE COM BOCA DE LOBO DUPLA PROJETADA"),(0.8*0.15*0.17),IF("BOCA DE LOBO PROJETADA TRIPLA"=BH260,(0),IF("BOCA DE LOBO PROJETADA QUADRUPLA"=BH260,(0),"X")))))*E260)</f>
        <v>0</v>
      </c>
      <c r="CT260" s="540">
        <f t="shared" ref="CT260:CT312" si="2101">IF(OR("BOCA DE LOBO EXISTENTE TRIPLA"=BH260,"BOCA DE LOBO EXISTENTE SIMPLES"=BH260,"BOCA DE LOBO EXISTENTE DUPLA"=BH260,"BOCA DE LOBO EXISTENTE QUADRUPLA"=BH260),0,IF("BOCA DE LOBO PROJETADA DUPLA"=BH260,(1.18*2.57*0.05),IF(OR("BOCA DE LOBO DUPLA EXISTENTE COM BOCA DE LOBO SIMPLES PROJETADA"=BH260,"BOCA DE LOBO SIMPLES EXISTENTE COM BOCA DE LOBO SIMPLES PROJETADA"=BH260),(1.19*1.18*0.05),IF(OR(BH260="BOCA DE LOBO DUPLA EXISTENTE COM BOCA DE LOBO DUPLA PROJETADA",BH260="BOCA DE LOBO SIMPLES EXISTENTE COM BOCA DE LOBO DUPLA PROJETADA"),(2.38*1.18*0.056),IF("BOCA DE LOBO PROJETADA TRIPLA"=BH260,(3.76*1.18*0.05),IF("BOCA DE LOBO PROJETADA QUADRUPLA"=BH260,(4.92*1.18*0.05),"X")))))+CI260/3)</f>
        <v>0</v>
      </c>
      <c r="CU260" s="541">
        <f t="shared" ref="CU260:CU312" si="2102">IF(OR("BOCA DE LOBO EXISTENTE TRIPLA"=BH260,"BOCA DE LOBO EXISTENTE SIMPLES"=BH260,"BOCA DE LOBO EXISTENTE DUPLA"=BH260,"BOCA DE LOBO EXISTENTE QUADRUPLA"=BH260),0,IF("BOCA DE LOBO PROJETADA DUPLA"=BH260,(1*4+0.6*2),IF(OR("BOCA DE LOBO DUPLA EXISTENTE COM BOCA DE LOBO SIMPLES PROJETADA"=BH260,"BOCA DE LOBO SIMPLES EXISTENTE COM BOCA DE LOBO SIMPLES PROJETADA"=BH260),(1*2+0.6),IF(OR(BH260="BOCA DE LOBO DUPLA EXISTENTE COM BOCA DE LOBO DUPLA PROJETADA",BH260="BOCA DE LOBO SIMPLES EXISTENTE COM BOCA DE LOBO DUPLA PROJETADA"),(1*4+0.6),IF("BOCA DE LOBO PROJETADA TRIPLA"=BH260,(6*1+0.6*2),IF("BOCA DE LOBO PROJETADA QUADRUPLA"=BH260,(8*1+0.6*2),"X")))))*E260)</f>
        <v>0</v>
      </c>
      <c r="CV260" s="538">
        <f t="shared" ref="CV260:CV312" si="2103">IF(OR("BOCA DE LOBO EXISTENTE TRIPLA"=BH260,"BOCA DE LOBO EXISTENTE SIMPLES"=BH260,"BOCA DE LOBO EXISTENTE DUPLA"=BH260,"BOCA DE LOBO EXISTENTE QUADRUPLA"=BH260),0,IF("BOCA DE LOBO PROJETADA DUPLA"=BH260,(12*E260*0.17*0.15+1*0.17*0.15*5+1.09*0.6*0.07*2+2.57*1.18*0.15),IF(OR("BOCA DE LOBO DUPLA EXISTENTE COM BOCA DE LOBO SIMPLES PROJETADA"=BH260,"BOCA DE LOBO SIMPLES EXISTENTE COM BOCA DE LOBO SIMPLES PROJETADA"=BH260),(8*E260*0.17*0.15+1*0.17*0.15*4+1.09*0.6*0.07*1+1.38*1.18*0.15),IF(OR(BH260="BOCA DE LOBO DUPLA EXISTENTE COM BOCA DE LOBO DUPLA PROJETADA",BH260="BOCA DE LOBO SIMPLES EXISTENTE COM BOCA DE LOBO DUPLA PROJETADA"),(7*E260*0.17*0.15+1*0.17*0.15*5+1.09*0.6*0.07*2+2.38*1.18*0.15),IF("BOCA DE LOBO PROJETADA TRIPLA"=BH260,(15*E260*0.17*0.15+1*0.17*0.15*7+1.09*0.6*0.07*3+3.76*1.18*0.15),IF("BOCA DE LOBO PROJETADA QUADRUPLA"=BH260,(19*E260*0.17*0.15+1*0.17*0.15*9+1.09*0.6*0.07*4+4.92*1.18*0.15),"X"))))))</f>
        <v>0</v>
      </c>
      <c r="CW260" s="538">
        <f t="shared" ref="CW260:CW312" si="2104">IF(OR("BOCA DE LOBO EXISTENTE TRIPLA"=BH260,"BOCA DE LOBO EXISTENTE SIMPLES"=BH260,"BOCA DE LOBO EXISTENTE DUPLA"=BH260,"BOCA DE LOBO EXISTENTE QUADRUPLA"=BH260),0,IF("BOCA DE LOBO PROJETADA DUPLA"=BH260,(12*E260*2*(0.17+0.15)+1*(2*0.17+0.15)*5+2*(2.57+1.18)*0.15+(1.09+0.6)*2*0.07*2),IF(OR("BOCA DE LOBO DUPLA EXISTENTE COM BOCA DE LOBO SIMPLES PROJETADA"=BH260,"BOCA DE LOBO SIMPLES EXISTENTE COM BOCA DE LOBO SIMPLES PROJETADA"=BH260),(8*E260*2*(0.17+0.15)+1*(2*0.17+0.15)*4+2*(1.38+1.18)*0.15+(1.09+0.6)*2*0.07*1),IF(OR(BH260="BOCA DE LOBO DUPLA EXISTENTE COM BOCA DE LOBO DUPLA PROJETADA",BH260="BOCA DE LOBO SIMPLES EXISTENTE COM BOCA DE LOBO DUPLA PROJETADA"),(7*E260*2*(0.17+0.15)+1*(2*0.17+0.15)*5+2*(2.38+1.18)*0.15+(1.09+0.6)*2*0.07*2),IF("BOCA DE LOBO PROJETADA TRIPLA"=BH260,(15*E260*2*(0.17+0.15)+1*(2*0.17+0.15)*7+2*(3.76+1.18)*0.15+(1.09+0.6)*2*0.07*3),IF("BOCA DE LOBO PROJETADA QUADRUPLA"=BH260,(19*E260*2*(0.17+0.15)+1*(2*0.17+0.15)*7+2*(4.92+1.18)*0.15+(1.09+0.6)*2*0.07*4),"X"))))))</f>
        <v>0</v>
      </c>
      <c r="CX260" s="104">
        <f t="shared" ref="CX260:CX312" si="2105">IF(OR("BOCA DE LOBO EXISTENTE TRIPLA"=BH260,"BOCA DE LOBO EXISTENTE SIMPLES"=BH260,"BOCA DE LOBO EXISTENTE DUPLA"=BH260,"BOCA DE LOBO EXISTENTE QUADRUPLA"=BH260),0,IF("BOCA DE LOBO PROJETADA DUPLA"=BH260,(2.57+1),IF(OR("BOCA DE LOBO DUPLA EXISTENTE COM BOCA DE LOBO SIMPLES PROJETADA"=BH260,"BOCA DE LOBO SIMPLES EXISTENTE COM BOCA DE LOBO SIMPLES PROJETADA"=BH260),(1.18+0.5),IF(OR(BH260="BOCA DE LOBO DUPLA EXISTENTE COM BOCA DE LOBO DUPLA PROJETADA",BH260="BOCA DE LOBO SIMPLES EXISTENTE COM BOCA DE LOBO DUPLA PROJETADA"),(2.38+0.5),IF("BOCA DE LOBO PROJETADA TRIPLA"=BH260,(3.76+1),IF("BOCA DE LOBO PROJETADA QUADRUPLA"=BH260,(4.92+1),"X"))))))</f>
        <v>0</v>
      </c>
      <c r="CY260" s="542">
        <f t="shared" ref="CY260:CY312" si="2106">CX260*0.5</f>
        <v>0</v>
      </c>
      <c r="CZ260" s="538">
        <f t="shared" ref="CZ260:CZ312" si="2107">IF(AND(C260="EXISTENTE",D260="PROJETADA"),PI()*0.51*0.51/4*0.12,0)</f>
        <v>0</v>
      </c>
    </row>
    <row r="261" spans="1:104" s="112" customFormat="1" ht="37.5" x14ac:dyDescent="0.25">
      <c r="A261" s="100" t="str">
        <f>'BOCA DE LOBO'!C230</f>
        <v>BL2-&gt;PV1.1</v>
      </c>
      <c r="B261" s="100" t="str">
        <f>'BOCA DE LOBO'!A230</f>
        <v>PV1.1</v>
      </c>
      <c r="C261" s="100" t="str">
        <f>VLOOKUP(A261,'BOCA DE LOBO'!$C$229:$M$324,3,0)</f>
        <v>PROJETADO</v>
      </c>
      <c r="D261" s="100" t="str">
        <f>VLOOKUP(A261,'BOCA DE LOBO'!$C$229:$M$324,10,0)</f>
        <v>AMPLIADA</v>
      </c>
      <c r="E261" s="100">
        <f t="shared" si="2025"/>
        <v>2.5</v>
      </c>
      <c r="F261" s="100">
        <f>VLOOKUP(A261,'BOCA DE LOBO'!$C$229:$D$324,2,0)</f>
        <v>3</v>
      </c>
      <c r="G261" s="100">
        <f>VLOOKUP(A261,'BOCA DE LOBO'!$C$229:$F$324,4,0)</f>
        <v>8.57</v>
      </c>
      <c r="H261" s="101">
        <v>400</v>
      </c>
      <c r="I261" s="102">
        <f t="shared" si="2026"/>
        <v>2.88</v>
      </c>
      <c r="J261" s="102">
        <f t="shared" si="2027"/>
        <v>0</v>
      </c>
      <c r="K261" s="103">
        <v>0</v>
      </c>
      <c r="L261" s="104">
        <f t="shared" si="2028"/>
        <v>0</v>
      </c>
      <c r="M261" s="104">
        <f t="shared" si="2029"/>
        <v>0</v>
      </c>
      <c r="N261" s="104">
        <f t="shared" ref="N261:N310" si="2108">IF(OR(D261="EXISTENTE",D261="AMPLIADA"),400,0)</f>
        <v>400</v>
      </c>
      <c r="O261" s="104">
        <f t="shared" si="2030"/>
        <v>0</v>
      </c>
      <c r="P261" s="105" t="s">
        <v>1999</v>
      </c>
      <c r="Q261" s="468" t="s">
        <v>2185</v>
      </c>
      <c r="R261" s="105"/>
      <c r="S261" s="105">
        <v>5</v>
      </c>
      <c r="T261" s="105">
        <v>5</v>
      </c>
      <c r="U261" s="104">
        <f t="shared" si="2031"/>
        <v>0.05</v>
      </c>
      <c r="V261" s="106">
        <f t="shared" si="2032"/>
        <v>0</v>
      </c>
      <c r="W261" s="106">
        <f t="shared" si="2033"/>
        <v>0</v>
      </c>
      <c r="X261" s="107">
        <f t="shared" si="2034"/>
        <v>0</v>
      </c>
      <c r="Y261" s="107">
        <f t="shared" si="2035"/>
        <v>0</v>
      </c>
      <c r="Z261" s="107">
        <f t="shared" si="2036"/>
        <v>2.88</v>
      </c>
      <c r="AA261" s="107">
        <f t="shared" si="2037"/>
        <v>0</v>
      </c>
      <c r="AB261" s="108">
        <f t="shared" si="2038"/>
        <v>0</v>
      </c>
      <c r="AC261" s="109">
        <f t="shared" si="2039"/>
        <v>0</v>
      </c>
      <c r="AD261" s="109">
        <f t="shared" si="2040"/>
        <v>0</v>
      </c>
      <c r="AE261" s="109">
        <f t="shared" si="2041"/>
        <v>0</v>
      </c>
      <c r="AF261" s="109">
        <f t="shared" si="2042"/>
        <v>0</v>
      </c>
      <c r="AG261" s="109">
        <f>IF(IF(L261&lt;=1.5,IF(Z261&gt;=3,M261*G261*1.5,L261*G261*(Z261-1.5)),0)&lt;0,0,IF(L261&lt;=1.5,IF(Z261&gt;=3,M261*G261*1.5,L261*G261*(Z261-1.5)),0))+IF(S261&lt;I261,0,IF(AND(Z261&lt;=3,L261&lt;=1.5),-V261,0))</f>
        <v>0</v>
      </c>
      <c r="AH261" s="109">
        <f>IF(IF(L261&lt;=1.5,IF(Z261&gt;=4.5,M261*G261*1.5,L261*G261*(Z261-3)),0)&lt;0,0,IF(L261&lt;=1.5,IF(Z261&gt;=4.5,M261*G261*1.5,L261*G261*(Z261-3)),0))+IF(S261&lt;I261,0,IF(AND(Z261&lt;=4.5,Z261&gt;3,L261&lt;=1.5),-V261,0))</f>
        <v>0</v>
      </c>
      <c r="AI261" s="537" t="str">
        <f t="shared" si="2043"/>
        <v>NÃO</v>
      </c>
      <c r="AJ261" s="104">
        <f t="shared" si="2044"/>
        <v>0</v>
      </c>
      <c r="AK261" s="104">
        <f t="shared" si="2045"/>
        <v>0</v>
      </c>
      <c r="AL261" s="104">
        <f t="shared" si="2046"/>
        <v>0</v>
      </c>
      <c r="AM261" s="102">
        <f t="shared" si="2047"/>
        <v>0</v>
      </c>
      <c r="AN261" s="106">
        <f t="shared" si="2048"/>
        <v>0</v>
      </c>
      <c r="AO261" s="104">
        <f t="shared" si="2049"/>
        <v>0</v>
      </c>
      <c r="AP261" s="104">
        <f t="shared" si="2050"/>
        <v>0</v>
      </c>
      <c r="AQ261" s="104">
        <f t="shared" si="2051"/>
        <v>0.7</v>
      </c>
      <c r="AR261" s="104">
        <f t="shared" si="2052"/>
        <v>0</v>
      </c>
      <c r="AS261" s="104">
        <f t="shared" si="2053"/>
        <v>0</v>
      </c>
      <c r="AT261" s="104">
        <f t="shared" si="2054"/>
        <v>0</v>
      </c>
      <c r="AU261" s="104">
        <f t="shared" si="2055"/>
        <v>0</v>
      </c>
      <c r="AV261" s="104">
        <f t="shared" si="2056"/>
        <v>0</v>
      </c>
      <c r="AW261" s="104">
        <f t="shared" si="2057"/>
        <v>0</v>
      </c>
      <c r="AX261" s="104">
        <f t="shared" si="2058"/>
        <v>0</v>
      </c>
      <c r="AY261" s="104">
        <f t="shared" si="2059"/>
        <v>0</v>
      </c>
      <c r="AZ261" s="104">
        <f t="shared" si="2060"/>
        <v>0</v>
      </c>
      <c r="BA261" s="104">
        <f t="shared" si="2061"/>
        <v>0</v>
      </c>
      <c r="BB261" s="104">
        <f t="shared" si="2062"/>
        <v>0</v>
      </c>
      <c r="BC261" s="104"/>
      <c r="BD261" s="104">
        <f t="shared" si="2063"/>
        <v>0</v>
      </c>
      <c r="BE261" s="108">
        <f t="shared" si="2064"/>
        <v>2.88</v>
      </c>
      <c r="BF261" s="110">
        <f t="shared" si="2065"/>
        <v>0</v>
      </c>
      <c r="BG261" s="110">
        <f t="shared" si="2066"/>
        <v>8.57</v>
      </c>
      <c r="BH261" s="105" t="str">
        <f>VLOOKUP(A261,'BOCA DE LOBO'!$C$229:$I$324,7,0)</f>
        <v>BOCA DE LOBO SIMPLES EXISTENTE COM BOCA DE LOBO SIMPLES PROJETADA</v>
      </c>
      <c r="BI261" s="104">
        <f t="shared" si="2067"/>
        <v>0</v>
      </c>
      <c r="BJ261" s="104">
        <f t="shared" si="2068"/>
        <v>1</v>
      </c>
      <c r="BK261" s="104">
        <f t="shared" si="2069"/>
        <v>0</v>
      </c>
      <c r="BL261" s="104">
        <f t="shared" si="2070"/>
        <v>0</v>
      </c>
      <c r="BM261" s="104">
        <f t="shared" si="2071"/>
        <v>0</v>
      </c>
      <c r="BN261" s="104">
        <f t="shared" si="2072"/>
        <v>0</v>
      </c>
      <c r="BO261" s="543">
        <f t="shared" si="2073"/>
        <v>0</v>
      </c>
      <c r="BP261" s="111"/>
      <c r="BQ261" s="108">
        <f t="shared" si="2074"/>
        <v>25.71</v>
      </c>
      <c r="BR261" s="108">
        <f t="shared" si="2075"/>
        <v>23.653199999999998</v>
      </c>
      <c r="BS261" s="108">
        <f t="shared" si="2076"/>
        <v>0</v>
      </c>
      <c r="BV261" s="538">
        <f t="shared" si="2077"/>
        <v>9.1559999999999988</v>
      </c>
      <c r="BW261" s="538">
        <f t="shared" si="2078"/>
        <v>3.6623999999999994</v>
      </c>
      <c r="BX261" s="538">
        <f t="shared" si="2079"/>
        <v>1.3923999999999999</v>
      </c>
      <c r="BY261" s="538">
        <f t="shared" si="2080"/>
        <v>2.5</v>
      </c>
      <c r="BZ261" s="538">
        <f t="shared" si="2081"/>
        <v>2.5</v>
      </c>
      <c r="CA261" s="538">
        <f t="shared" si="2082"/>
        <v>0</v>
      </c>
      <c r="CB261" s="538">
        <f t="shared" si="2083"/>
        <v>0</v>
      </c>
      <c r="CC261" s="538">
        <f t="shared" si="2084"/>
        <v>5.4935999999999989</v>
      </c>
      <c r="CD261" s="538">
        <f t="shared" si="2085"/>
        <v>3.6623999999999994</v>
      </c>
      <c r="CE261" s="538">
        <f t="shared" si="2086"/>
        <v>0</v>
      </c>
      <c r="CF261" s="538">
        <f t="shared" si="2087"/>
        <v>0</v>
      </c>
      <c r="CG261" s="538">
        <f t="shared" si="2088"/>
        <v>0</v>
      </c>
      <c r="CH261" s="538">
        <f t="shared" si="2089"/>
        <v>0</v>
      </c>
      <c r="CI261" s="104">
        <f t="shared" si="2090"/>
        <v>0.252</v>
      </c>
      <c r="CJ261" s="538">
        <f t="shared" si="2091"/>
        <v>5.4229999999999992</v>
      </c>
      <c r="CK261" s="538">
        <f t="shared" si="2092"/>
        <v>5.4229999999999992</v>
      </c>
      <c r="CL261" s="538">
        <f t="shared" si="2093"/>
        <v>0</v>
      </c>
      <c r="CM261" s="538">
        <f t="shared" si="2094"/>
        <v>0</v>
      </c>
      <c r="CN261" s="538">
        <f t="shared" si="2095"/>
        <v>1.68</v>
      </c>
      <c r="CO261" s="538">
        <f t="shared" si="2096"/>
        <v>2.5</v>
      </c>
      <c r="CP261" s="538">
        <f t="shared" si="2097"/>
        <v>5.04</v>
      </c>
      <c r="CQ261" s="538">
        <f t="shared" si="2098"/>
        <v>3.36</v>
      </c>
      <c r="CR261" s="539">
        <f t="shared" si="2099"/>
        <v>1.1000000000000001</v>
      </c>
      <c r="CS261" s="540">
        <f t="shared" si="2100"/>
        <v>5.1000000000000004E-2</v>
      </c>
      <c r="CT261" s="540">
        <f t="shared" si="2101"/>
        <v>0.15421000000000001</v>
      </c>
      <c r="CU261" s="541">
        <f t="shared" si="2102"/>
        <v>6.5</v>
      </c>
      <c r="CV261" s="538">
        <f t="shared" si="2103"/>
        <v>0.90203999999999995</v>
      </c>
      <c r="CW261" s="538">
        <f t="shared" si="2104"/>
        <v>15.764600000000002</v>
      </c>
      <c r="CX261" s="104">
        <f t="shared" si="2105"/>
        <v>1.68</v>
      </c>
      <c r="CY261" s="542">
        <f t="shared" si="2106"/>
        <v>0.84</v>
      </c>
      <c r="CZ261" s="538">
        <f t="shared" si="2107"/>
        <v>0</v>
      </c>
    </row>
    <row r="262" spans="1:104" s="112" customFormat="1" ht="25" x14ac:dyDescent="0.25">
      <c r="A262" s="100" t="str">
        <f>'BOCA DE LOBO'!C231</f>
        <v>BL3-&gt;PV3.1</v>
      </c>
      <c r="B262" s="100" t="str">
        <f>'BOCA DE LOBO'!A231</f>
        <v>PV3.1</v>
      </c>
      <c r="C262" s="100" t="str">
        <f>VLOOKUP(A262,'BOCA DE LOBO'!$C$229:$M$324,3,0)</f>
        <v>PROJETADO</v>
      </c>
      <c r="D262" s="100" t="str">
        <f>VLOOKUP(A262,'BOCA DE LOBO'!$C$229:$M$324,10,0)</f>
        <v>EXISTENTE</v>
      </c>
      <c r="E262" s="100">
        <f t="shared" si="2025"/>
        <v>2.5</v>
      </c>
      <c r="F262" s="100">
        <f>VLOOKUP(A262,'BOCA DE LOBO'!$C$229:$D$324,2,0)</f>
        <v>3.35</v>
      </c>
      <c r="G262" s="100">
        <f>VLOOKUP(A262,'BOCA DE LOBO'!$C$229:$F$324,4,0)</f>
        <v>6.6</v>
      </c>
      <c r="H262" s="101">
        <v>400</v>
      </c>
      <c r="I262" s="102">
        <f t="shared" si="2026"/>
        <v>3.0549999999999997</v>
      </c>
      <c r="J262" s="102">
        <f t="shared" si="2027"/>
        <v>0</v>
      </c>
      <c r="K262" s="103">
        <v>0</v>
      </c>
      <c r="L262" s="104">
        <f t="shared" si="2028"/>
        <v>0</v>
      </c>
      <c r="M262" s="104">
        <f t="shared" si="2029"/>
        <v>0</v>
      </c>
      <c r="N262" s="104">
        <f t="shared" si="2108"/>
        <v>400</v>
      </c>
      <c r="O262" s="104">
        <f t="shared" si="2030"/>
        <v>0</v>
      </c>
      <c r="P262" s="105" t="s">
        <v>1999</v>
      </c>
      <c r="Q262" s="468" t="s">
        <v>2080</v>
      </c>
      <c r="R262" s="105"/>
      <c r="S262" s="105">
        <f>VLOOKUP(Q262,Quantitativos!P:R,3,0)</f>
        <v>5</v>
      </c>
      <c r="T262" s="105">
        <f>VLOOKUP(Q262,Quantitativos!P:S,4,0)</f>
        <v>5</v>
      </c>
      <c r="U262" s="104">
        <f t="shared" si="2031"/>
        <v>0.05</v>
      </c>
      <c r="V262" s="106">
        <f t="shared" si="2032"/>
        <v>0</v>
      </c>
      <c r="W262" s="106">
        <f t="shared" si="2033"/>
        <v>0</v>
      </c>
      <c r="X262" s="107">
        <f t="shared" si="2034"/>
        <v>0</v>
      </c>
      <c r="Y262" s="107">
        <f t="shared" si="2035"/>
        <v>0</v>
      </c>
      <c r="Z262" s="107">
        <f t="shared" si="2036"/>
        <v>3.0549999999999997</v>
      </c>
      <c r="AA262" s="107">
        <f t="shared" si="2037"/>
        <v>0</v>
      </c>
      <c r="AB262" s="108">
        <f t="shared" si="2038"/>
        <v>0</v>
      </c>
      <c r="AC262" s="109">
        <f t="shared" si="2039"/>
        <v>0</v>
      </c>
      <c r="AD262" s="109">
        <f t="shared" si="2040"/>
        <v>0</v>
      </c>
      <c r="AE262" s="109">
        <f t="shared" si="2041"/>
        <v>0</v>
      </c>
      <c r="AF262" s="109">
        <f t="shared" si="2042"/>
        <v>0</v>
      </c>
      <c r="AG262" s="109">
        <f>IF(IF(L262&lt;=1.5,IF(Z262&gt;=3,M262*G262*1.5,L262*G262*(Z262-1.5)),0)&lt;0,0,IF(L262&lt;=1.5,IF(Z262&gt;=3,M262*G262*1.5,L262*G262*(Z262-1.5)),0))+IF(S262&lt;I262,0,IF(AND(Z262&lt;=3,L262&lt;=1.5),-V262,0))</f>
        <v>0</v>
      </c>
      <c r="AH262" s="109">
        <f>IF(IF(L262&lt;=1.5,IF(Z262&gt;=4.5,M262*G262*1.5,L262*G262*(Z262-3)),0)&lt;0,0,IF(L262&lt;=1.5,IF(Z262&gt;=4.5,M262*G262*1.5,L262*G262*(Z262-3)),0))+IF(S262&lt;I262,0,IF(AND(Z262&lt;=4.5,Z262&gt;3,L262&lt;=1.5),-V262,0))</f>
        <v>0</v>
      </c>
      <c r="AI262" s="537" t="str">
        <f t="shared" si="2043"/>
        <v>NÃO</v>
      </c>
      <c r="AJ262" s="104">
        <f t="shared" si="2044"/>
        <v>0</v>
      </c>
      <c r="AK262" s="104">
        <f t="shared" si="2045"/>
        <v>0</v>
      </c>
      <c r="AL262" s="104">
        <f t="shared" si="2046"/>
        <v>0</v>
      </c>
      <c r="AM262" s="102">
        <f t="shared" si="2047"/>
        <v>0</v>
      </c>
      <c r="AN262" s="106">
        <f t="shared" si="2048"/>
        <v>0</v>
      </c>
      <c r="AO262" s="104">
        <f t="shared" si="2049"/>
        <v>0</v>
      </c>
      <c r="AP262" s="104">
        <f t="shared" si="2050"/>
        <v>0</v>
      </c>
      <c r="AQ262" s="104">
        <f t="shared" si="2051"/>
        <v>0.7</v>
      </c>
      <c r="AR262" s="104">
        <f t="shared" si="2052"/>
        <v>0</v>
      </c>
      <c r="AS262" s="104">
        <f t="shared" si="2053"/>
        <v>0</v>
      </c>
      <c r="AT262" s="104">
        <f t="shared" si="2054"/>
        <v>0</v>
      </c>
      <c r="AU262" s="104">
        <f t="shared" si="2055"/>
        <v>0</v>
      </c>
      <c r="AV262" s="104">
        <f t="shared" si="2056"/>
        <v>0</v>
      </c>
      <c r="AW262" s="104">
        <f t="shared" si="2057"/>
        <v>0</v>
      </c>
      <c r="AX262" s="104">
        <f t="shared" si="2058"/>
        <v>0</v>
      </c>
      <c r="AY262" s="104">
        <f t="shared" si="2059"/>
        <v>0</v>
      </c>
      <c r="AZ262" s="104">
        <f t="shared" si="2060"/>
        <v>0</v>
      </c>
      <c r="BA262" s="104">
        <f t="shared" si="2061"/>
        <v>0</v>
      </c>
      <c r="BB262" s="104">
        <f t="shared" si="2062"/>
        <v>0</v>
      </c>
      <c r="BC262" s="104"/>
      <c r="BD262" s="104">
        <f t="shared" si="2063"/>
        <v>0</v>
      </c>
      <c r="BE262" s="108">
        <f t="shared" si="2064"/>
        <v>3.0549999999999997</v>
      </c>
      <c r="BF262" s="110">
        <f t="shared" si="2065"/>
        <v>0</v>
      </c>
      <c r="BG262" s="110">
        <f t="shared" si="2066"/>
        <v>0</v>
      </c>
      <c r="BH262" s="105" t="str">
        <f>VLOOKUP(A262,'BOCA DE LOBO'!$C$229:$I$324,7,0)</f>
        <v>BOCA DE LOBO EXISTENTE TRIPLA</v>
      </c>
      <c r="BI262" s="104">
        <f t="shared" si="2067"/>
        <v>0</v>
      </c>
      <c r="BJ262" s="104">
        <f t="shared" si="2068"/>
        <v>0</v>
      </c>
      <c r="BK262" s="104">
        <f t="shared" si="2069"/>
        <v>0</v>
      </c>
      <c r="BL262" s="104">
        <f t="shared" si="2070"/>
        <v>0</v>
      </c>
      <c r="BM262" s="104">
        <f t="shared" si="2071"/>
        <v>0</v>
      </c>
      <c r="BN262" s="104">
        <f t="shared" si="2072"/>
        <v>0</v>
      </c>
      <c r="BO262" s="543">
        <f t="shared" si="2073"/>
        <v>0</v>
      </c>
      <c r="BP262" s="111"/>
      <c r="BQ262" s="108">
        <f t="shared" si="2074"/>
        <v>19.799999999999997</v>
      </c>
      <c r="BR262" s="108">
        <f t="shared" si="2075"/>
        <v>19.799999999999997</v>
      </c>
      <c r="BS262" s="108">
        <f t="shared" si="2076"/>
        <v>0.7259999999999962</v>
      </c>
      <c r="BV262" s="538">
        <f t="shared" si="2077"/>
        <v>0</v>
      </c>
      <c r="BW262" s="538">
        <f t="shared" si="2078"/>
        <v>0</v>
      </c>
      <c r="BX262" s="538">
        <f t="shared" si="2079"/>
        <v>0</v>
      </c>
      <c r="BY262" s="538">
        <f t="shared" si="2080"/>
        <v>2.5</v>
      </c>
      <c r="BZ262" s="538">
        <f t="shared" si="2081"/>
        <v>2.5</v>
      </c>
      <c r="CA262" s="538">
        <f t="shared" si="2082"/>
        <v>0</v>
      </c>
      <c r="CB262" s="538">
        <f t="shared" si="2083"/>
        <v>0</v>
      </c>
      <c r="CC262" s="538">
        <f t="shared" si="2084"/>
        <v>0</v>
      </c>
      <c r="CD262" s="538">
        <f t="shared" si="2085"/>
        <v>0</v>
      </c>
      <c r="CE262" s="538">
        <f t="shared" si="2086"/>
        <v>0</v>
      </c>
      <c r="CF262" s="538">
        <f t="shared" si="2087"/>
        <v>0</v>
      </c>
      <c r="CG262" s="538">
        <f t="shared" si="2088"/>
        <v>0</v>
      </c>
      <c r="CH262" s="538">
        <f t="shared" si="2089"/>
        <v>0</v>
      </c>
      <c r="CI262" s="104">
        <f t="shared" si="2090"/>
        <v>0</v>
      </c>
      <c r="CJ262" s="538">
        <f t="shared" si="2091"/>
        <v>0</v>
      </c>
      <c r="CK262" s="538">
        <f t="shared" si="2092"/>
        <v>0</v>
      </c>
      <c r="CL262" s="538">
        <f t="shared" si="2093"/>
        <v>0</v>
      </c>
      <c r="CM262" s="538">
        <f t="shared" si="2094"/>
        <v>0</v>
      </c>
      <c r="CN262" s="538">
        <f t="shared" si="2095"/>
        <v>0</v>
      </c>
      <c r="CO262" s="538">
        <f t="shared" si="2096"/>
        <v>2.5</v>
      </c>
      <c r="CP262" s="538">
        <f t="shared" si="2097"/>
        <v>0</v>
      </c>
      <c r="CQ262" s="538">
        <f t="shared" si="2098"/>
        <v>0</v>
      </c>
      <c r="CR262" s="539">
        <f t="shared" si="2099"/>
        <v>0</v>
      </c>
      <c r="CS262" s="540">
        <f t="shared" si="2100"/>
        <v>0</v>
      </c>
      <c r="CT262" s="540">
        <f t="shared" si="2101"/>
        <v>0</v>
      </c>
      <c r="CU262" s="541">
        <f t="shared" si="2102"/>
        <v>0</v>
      </c>
      <c r="CV262" s="538">
        <f t="shared" si="2103"/>
        <v>0</v>
      </c>
      <c r="CW262" s="538">
        <f t="shared" si="2104"/>
        <v>0</v>
      </c>
      <c r="CX262" s="104">
        <f t="shared" si="2105"/>
        <v>0</v>
      </c>
      <c r="CY262" s="542">
        <f t="shared" si="2106"/>
        <v>0</v>
      </c>
      <c r="CZ262" s="538">
        <f t="shared" si="2107"/>
        <v>0</v>
      </c>
    </row>
    <row r="263" spans="1:104" s="112" customFormat="1" ht="37.5" x14ac:dyDescent="0.25">
      <c r="A263" s="100" t="str">
        <f>'BOCA DE LOBO'!C232</f>
        <v>BL4-&gt;PV3.1</v>
      </c>
      <c r="B263" s="100" t="str">
        <f>'BOCA DE LOBO'!A232</f>
        <v>PV3.1</v>
      </c>
      <c r="C263" s="100" t="str">
        <f>VLOOKUP(A263,'BOCA DE LOBO'!$C$229:$M$324,3,0)</f>
        <v>PROJETADO</v>
      </c>
      <c r="D263" s="100" t="str">
        <f>VLOOKUP(A263,'BOCA DE LOBO'!$C$229:$M$324,10,0)</f>
        <v>AMPLIADA</v>
      </c>
      <c r="E263" s="100">
        <f t="shared" si="2025"/>
        <v>2.5</v>
      </c>
      <c r="F263" s="100">
        <f>VLOOKUP(A263,'BOCA DE LOBO'!$C$229:$D$324,2,0)</f>
        <v>3.35</v>
      </c>
      <c r="G263" s="100">
        <f>VLOOKUP(A263,'BOCA DE LOBO'!$C$229:$F$324,4,0)</f>
        <v>6.86</v>
      </c>
      <c r="H263" s="101">
        <v>400</v>
      </c>
      <c r="I263" s="102">
        <f t="shared" si="2026"/>
        <v>3.0549999999999997</v>
      </c>
      <c r="J263" s="102">
        <f t="shared" si="2027"/>
        <v>0</v>
      </c>
      <c r="K263" s="103">
        <v>0</v>
      </c>
      <c r="L263" s="104">
        <f t="shared" si="2028"/>
        <v>0</v>
      </c>
      <c r="M263" s="104">
        <f t="shared" si="2029"/>
        <v>0</v>
      </c>
      <c r="N263" s="104">
        <f t="shared" si="2108"/>
        <v>400</v>
      </c>
      <c r="O263" s="104">
        <f t="shared" si="2030"/>
        <v>0</v>
      </c>
      <c r="P263" s="105" t="s">
        <v>1999</v>
      </c>
      <c r="Q263" s="468" t="s">
        <v>2080</v>
      </c>
      <c r="R263" s="105"/>
      <c r="S263" s="105">
        <f>VLOOKUP(Q263,Quantitativos!P:R,3,0)</f>
        <v>5</v>
      </c>
      <c r="T263" s="105">
        <f>VLOOKUP(Q263,Quantitativos!P:S,4,0)</f>
        <v>5</v>
      </c>
      <c r="U263" s="104">
        <f t="shared" si="2031"/>
        <v>0.05</v>
      </c>
      <c r="V263" s="106">
        <f t="shared" si="2032"/>
        <v>0</v>
      </c>
      <c r="W263" s="106">
        <f t="shared" si="2033"/>
        <v>0</v>
      </c>
      <c r="X263" s="107">
        <f t="shared" si="2034"/>
        <v>0</v>
      </c>
      <c r="Y263" s="107">
        <f t="shared" si="2035"/>
        <v>0</v>
      </c>
      <c r="Z263" s="107">
        <f t="shared" si="2036"/>
        <v>3.0549999999999997</v>
      </c>
      <c r="AA263" s="107">
        <f t="shared" si="2037"/>
        <v>0</v>
      </c>
      <c r="AB263" s="108">
        <f t="shared" si="2038"/>
        <v>0</v>
      </c>
      <c r="AC263" s="109">
        <f t="shared" si="2039"/>
        <v>0</v>
      </c>
      <c r="AD263" s="109">
        <f t="shared" si="2040"/>
        <v>0</v>
      </c>
      <c r="AE263" s="109">
        <f t="shared" si="2041"/>
        <v>0</v>
      </c>
      <c r="AF263" s="109">
        <f t="shared" si="2042"/>
        <v>0</v>
      </c>
      <c r="AG263" s="109">
        <f>IF(IF(L263&lt;=1.5,IF(Z263&gt;=3,M263*G263*1.5,L263*G263*(Z263-1.5)),0)&lt;0,0,IF(L263&lt;=1.5,IF(Z263&gt;=3,M263*G263*1.5,L263*G263*(Z263-1.5)),0))+IF(S263&lt;I263,0,IF(AND(Z263&lt;=3,L263&lt;=1.5),-V263,0))</f>
        <v>0</v>
      </c>
      <c r="AH263" s="109">
        <f>IF(IF(L263&lt;=1.5,IF(Z263&gt;=4.5,M263*G263*1.5,L263*G263*(Z263-3)),0)&lt;0,0,IF(L263&lt;=1.5,IF(Z263&gt;=4.5,M263*G263*1.5,L263*G263*(Z263-3)),0))+IF(S263&lt;I263,0,IF(AND(Z263&lt;=4.5,Z263&gt;3,L263&lt;=1.5),-V263,0))</f>
        <v>0</v>
      </c>
      <c r="AI263" s="537" t="str">
        <f t="shared" si="2043"/>
        <v>NÃO</v>
      </c>
      <c r="AJ263" s="104">
        <f t="shared" si="2044"/>
        <v>0</v>
      </c>
      <c r="AK263" s="104">
        <f t="shared" si="2045"/>
        <v>0</v>
      </c>
      <c r="AL263" s="104">
        <f t="shared" si="2046"/>
        <v>0</v>
      </c>
      <c r="AM263" s="102">
        <f t="shared" si="2047"/>
        <v>0</v>
      </c>
      <c r="AN263" s="106">
        <f t="shared" si="2048"/>
        <v>0</v>
      </c>
      <c r="AO263" s="104">
        <f t="shared" si="2049"/>
        <v>0</v>
      </c>
      <c r="AP263" s="104">
        <f t="shared" si="2050"/>
        <v>0</v>
      </c>
      <c r="AQ263" s="104">
        <f t="shared" si="2051"/>
        <v>0.7</v>
      </c>
      <c r="AR263" s="104">
        <f t="shared" si="2052"/>
        <v>0</v>
      </c>
      <c r="AS263" s="104">
        <f t="shared" si="2053"/>
        <v>0</v>
      </c>
      <c r="AT263" s="104">
        <f t="shared" si="2054"/>
        <v>0</v>
      </c>
      <c r="AU263" s="104">
        <f t="shared" si="2055"/>
        <v>0</v>
      </c>
      <c r="AV263" s="104">
        <f t="shared" si="2056"/>
        <v>0</v>
      </c>
      <c r="AW263" s="104">
        <f t="shared" si="2057"/>
        <v>0</v>
      </c>
      <c r="AX263" s="104">
        <f t="shared" si="2058"/>
        <v>0</v>
      </c>
      <c r="AY263" s="104">
        <f t="shared" si="2059"/>
        <v>0</v>
      </c>
      <c r="AZ263" s="104">
        <f t="shared" si="2060"/>
        <v>0</v>
      </c>
      <c r="BA263" s="104">
        <f t="shared" si="2061"/>
        <v>0</v>
      </c>
      <c r="BB263" s="104">
        <f t="shared" si="2062"/>
        <v>0</v>
      </c>
      <c r="BC263" s="104"/>
      <c r="BD263" s="104">
        <f t="shared" si="2063"/>
        <v>0</v>
      </c>
      <c r="BE263" s="108">
        <f t="shared" si="2064"/>
        <v>3.0549999999999997</v>
      </c>
      <c r="BF263" s="110">
        <f t="shared" si="2065"/>
        <v>0</v>
      </c>
      <c r="BG263" s="110">
        <f t="shared" si="2066"/>
        <v>0</v>
      </c>
      <c r="BH263" s="105" t="str">
        <f>VLOOKUP(A263,'BOCA DE LOBO'!$C$229:$I$324,7,0)</f>
        <v>BOCA DE LOBO SIMPLES EXISTENTE COM BOCA DE LOBO SIMPLES PROJETADA</v>
      </c>
      <c r="BI263" s="104">
        <f t="shared" si="2067"/>
        <v>0</v>
      </c>
      <c r="BJ263" s="104">
        <f t="shared" si="2068"/>
        <v>1</v>
      </c>
      <c r="BK263" s="104">
        <f t="shared" si="2069"/>
        <v>0</v>
      </c>
      <c r="BL263" s="104">
        <f t="shared" si="2070"/>
        <v>0</v>
      </c>
      <c r="BM263" s="104">
        <f t="shared" si="2071"/>
        <v>0</v>
      </c>
      <c r="BN263" s="104">
        <f t="shared" si="2072"/>
        <v>0</v>
      </c>
      <c r="BO263" s="543">
        <f t="shared" si="2073"/>
        <v>0</v>
      </c>
      <c r="BP263" s="111"/>
      <c r="BQ263" s="108">
        <f t="shared" si="2074"/>
        <v>20.580000000000002</v>
      </c>
      <c r="BR263" s="108">
        <f t="shared" si="2075"/>
        <v>20.580000000000002</v>
      </c>
      <c r="BS263" s="108">
        <f t="shared" si="2076"/>
        <v>0.75459999999999616</v>
      </c>
      <c r="BV263" s="538">
        <f t="shared" si="2077"/>
        <v>9.1559999999999988</v>
      </c>
      <c r="BW263" s="538">
        <f t="shared" si="2078"/>
        <v>3.6623999999999994</v>
      </c>
      <c r="BX263" s="538">
        <f t="shared" si="2079"/>
        <v>1.3923999999999999</v>
      </c>
      <c r="BY263" s="538">
        <f t="shared" si="2080"/>
        <v>2.5</v>
      </c>
      <c r="BZ263" s="538">
        <f t="shared" si="2081"/>
        <v>2.5</v>
      </c>
      <c r="CA263" s="538">
        <f t="shared" si="2082"/>
        <v>0</v>
      </c>
      <c r="CB263" s="538">
        <f t="shared" si="2083"/>
        <v>0</v>
      </c>
      <c r="CC263" s="538">
        <f t="shared" si="2084"/>
        <v>5.4935999999999989</v>
      </c>
      <c r="CD263" s="538">
        <f t="shared" si="2085"/>
        <v>3.6623999999999994</v>
      </c>
      <c r="CE263" s="538">
        <f t="shared" si="2086"/>
        <v>0</v>
      </c>
      <c r="CF263" s="538">
        <f t="shared" si="2087"/>
        <v>0</v>
      </c>
      <c r="CG263" s="538">
        <f t="shared" si="2088"/>
        <v>0</v>
      </c>
      <c r="CH263" s="538">
        <f t="shared" si="2089"/>
        <v>0</v>
      </c>
      <c r="CI263" s="104">
        <f t="shared" si="2090"/>
        <v>0.252</v>
      </c>
      <c r="CJ263" s="538">
        <f t="shared" si="2091"/>
        <v>5.4229999999999992</v>
      </c>
      <c r="CK263" s="538">
        <f t="shared" si="2092"/>
        <v>5.4229999999999992</v>
      </c>
      <c r="CL263" s="538">
        <f t="shared" si="2093"/>
        <v>0</v>
      </c>
      <c r="CM263" s="538">
        <f t="shared" si="2094"/>
        <v>0</v>
      </c>
      <c r="CN263" s="538">
        <f t="shared" si="2095"/>
        <v>1.68</v>
      </c>
      <c r="CO263" s="538">
        <f t="shared" si="2096"/>
        <v>2.5</v>
      </c>
      <c r="CP263" s="538">
        <f t="shared" si="2097"/>
        <v>5.04</v>
      </c>
      <c r="CQ263" s="538">
        <f t="shared" si="2098"/>
        <v>3.36</v>
      </c>
      <c r="CR263" s="539">
        <f t="shared" si="2099"/>
        <v>1.1000000000000001</v>
      </c>
      <c r="CS263" s="540">
        <f t="shared" si="2100"/>
        <v>5.1000000000000004E-2</v>
      </c>
      <c r="CT263" s="540">
        <f t="shared" si="2101"/>
        <v>0.15421000000000001</v>
      </c>
      <c r="CU263" s="541">
        <f t="shared" si="2102"/>
        <v>6.5</v>
      </c>
      <c r="CV263" s="538">
        <f t="shared" si="2103"/>
        <v>0.90203999999999995</v>
      </c>
      <c r="CW263" s="538">
        <f t="shared" si="2104"/>
        <v>15.764600000000002</v>
      </c>
      <c r="CX263" s="104">
        <f t="shared" si="2105"/>
        <v>1.68</v>
      </c>
      <c r="CY263" s="542">
        <f t="shared" si="2106"/>
        <v>0.84</v>
      </c>
      <c r="CZ263" s="538">
        <f t="shared" si="2107"/>
        <v>0</v>
      </c>
    </row>
    <row r="264" spans="1:104" s="112" customFormat="1" ht="25" x14ac:dyDescent="0.25">
      <c r="A264" s="100" t="str">
        <f>'BOCA DE LOBO'!C233</f>
        <v>BL5-&gt;PV5.1</v>
      </c>
      <c r="B264" s="100" t="str">
        <f>'BOCA DE LOBO'!A233</f>
        <v>PV5.1</v>
      </c>
      <c r="C264" s="100" t="str">
        <f>VLOOKUP(A264,'BOCA DE LOBO'!$C$229:$M$324,3,0)</f>
        <v>PROJETADO</v>
      </c>
      <c r="D264" s="100" t="str">
        <f>VLOOKUP(A264,'BOCA DE LOBO'!$C$229:$M$324,10,0)</f>
        <v>PROJETADA</v>
      </c>
      <c r="E264" s="100">
        <f t="shared" si="2025"/>
        <v>2.5</v>
      </c>
      <c r="F264" s="100">
        <f>VLOOKUP(A264,'BOCA DE LOBO'!$C$229:$D$324,2,0)</f>
        <v>3.44</v>
      </c>
      <c r="G264" s="100">
        <f>VLOOKUP(A264,'BOCA DE LOBO'!$C$229:$F$324,4,0)</f>
        <v>6.56</v>
      </c>
      <c r="H264" s="101">
        <v>400</v>
      </c>
      <c r="I264" s="102">
        <f t="shared" si="2026"/>
        <v>3.0999999999999996</v>
      </c>
      <c r="J264" s="102">
        <f t="shared" si="2027"/>
        <v>1.0167999999999997</v>
      </c>
      <c r="K264" s="103">
        <v>0</v>
      </c>
      <c r="L264" s="104">
        <f t="shared" si="2028"/>
        <v>1</v>
      </c>
      <c r="M264" s="104">
        <f t="shared" si="2029"/>
        <v>1</v>
      </c>
      <c r="N264" s="104">
        <f t="shared" si="2108"/>
        <v>0</v>
      </c>
      <c r="O264" s="104">
        <f t="shared" si="2030"/>
        <v>6.56</v>
      </c>
      <c r="P264" s="105" t="s">
        <v>1999</v>
      </c>
      <c r="Q264" s="468" t="s">
        <v>2080</v>
      </c>
      <c r="R264" s="105"/>
      <c r="S264" s="105">
        <f>VLOOKUP(Q264,Quantitativos!P:R,3,0)</f>
        <v>5</v>
      </c>
      <c r="T264" s="105">
        <f>VLOOKUP(Q264,Quantitativos!P:S,4,0)</f>
        <v>5</v>
      </c>
      <c r="U264" s="104">
        <f t="shared" si="2031"/>
        <v>0.05</v>
      </c>
      <c r="V264" s="106">
        <f t="shared" si="2032"/>
        <v>0</v>
      </c>
      <c r="W264" s="106">
        <f t="shared" si="2033"/>
        <v>20.335999999999995</v>
      </c>
      <c r="X264" s="107">
        <f t="shared" si="2034"/>
        <v>0</v>
      </c>
      <c r="Y264" s="107">
        <f t="shared" si="2035"/>
        <v>0</v>
      </c>
      <c r="Z264" s="107">
        <f t="shared" si="2036"/>
        <v>3.0999999999999996</v>
      </c>
      <c r="AA264" s="107">
        <f t="shared" si="2037"/>
        <v>0</v>
      </c>
      <c r="AB264" s="108">
        <f t="shared" si="2038"/>
        <v>6.56</v>
      </c>
      <c r="AC264" s="109">
        <f t="shared" si="2039"/>
        <v>0</v>
      </c>
      <c r="AD264" s="109">
        <f t="shared" si="2040"/>
        <v>0</v>
      </c>
      <c r="AE264" s="109">
        <f t="shared" si="2041"/>
        <v>0</v>
      </c>
      <c r="AF264" s="109">
        <f t="shared" si="2042"/>
        <v>9.84</v>
      </c>
      <c r="AG264" s="109">
        <f>IF(IF(L264&lt;=1.5,IF(Z264&gt;=3,M264*G264*1.5,L264*G264*(Z264-1.5)),0)&lt;0,0,IF(L264&lt;=1.5,IF(Z264&gt;=3,M264*G264*1.5,L264*G264*(Z264-1.5)),0))-V264</f>
        <v>9.84</v>
      </c>
      <c r="AH264" s="109">
        <f>IF(IF(L264&lt;=1.5,IF(Z264&gt;=4.5,M264*G264*1.5,L264*G264*(Z264-3)),0)&lt;0,0,IF(L264&lt;=1.5,IF(Z264&gt;=4.5,M264*G264*1.5,L264*G264*(Z264-3)),0))</f>
        <v>0.65599999999999759</v>
      </c>
      <c r="AI264" s="537" t="str">
        <f t="shared" si="2043"/>
        <v>NÃO</v>
      </c>
      <c r="AJ264" s="104">
        <f t="shared" si="2044"/>
        <v>0</v>
      </c>
      <c r="AK264" s="104">
        <f t="shared" si="2045"/>
        <v>0</v>
      </c>
      <c r="AL264" s="104">
        <f t="shared" si="2046"/>
        <v>19.511646087698033</v>
      </c>
      <c r="AM264" s="102">
        <f t="shared" si="2047"/>
        <v>0.32800000000000001</v>
      </c>
      <c r="AN264" s="106">
        <f t="shared" si="2048"/>
        <v>0</v>
      </c>
      <c r="AO264" s="104">
        <f t="shared" si="2049"/>
        <v>0</v>
      </c>
      <c r="AP264" s="104">
        <f t="shared" si="2050"/>
        <v>0</v>
      </c>
      <c r="AQ264" s="104">
        <f t="shared" si="2051"/>
        <v>0.7</v>
      </c>
      <c r="AR264" s="104">
        <f t="shared" si="2052"/>
        <v>3.7676460876980378</v>
      </c>
      <c r="AS264" s="104">
        <f t="shared" si="2053"/>
        <v>0</v>
      </c>
      <c r="AT264" s="104">
        <f t="shared" si="2054"/>
        <v>0.98399999999999987</v>
      </c>
      <c r="AU264" s="104">
        <f t="shared" si="2055"/>
        <v>0.98399999999999987</v>
      </c>
      <c r="AV264" s="104">
        <f t="shared" si="2056"/>
        <v>0.19679999999999997</v>
      </c>
      <c r="AW264" s="104">
        <f t="shared" si="2057"/>
        <v>13.447999999999999</v>
      </c>
      <c r="AX264" s="104">
        <f t="shared" si="2058"/>
        <v>15.584353912301962</v>
      </c>
      <c r="AY264" s="104">
        <f t="shared" si="2059"/>
        <v>13.447999999999999</v>
      </c>
      <c r="AZ264" s="104">
        <f t="shared" si="2060"/>
        <v>0</v>
      </c>
      <c r="BA264" s="104">
        <f t="shared" si="2061"/>
        <v>0</v>
      </c>
      <c r="BB264" s="104">
        <f t="shared" si="2062"/>
        <v>0</v>
      </c>
      <c r="BC264" s="104"/>
      <c r="BD264" s="104">
        <f t="shared" si="2063"/>
        <v>0</v>
      </c>
      <c r="BE264" s="108">
        <f t="shared" si="2064"/>
        <v>3.0999999999999996</v>
      </c>
      <c r="BF264" s="110">
        <f t="shared" si="2065"/>
        <v>0</v>
      </c>
      <c r="BG264" s="110">
        <f t="shared" si="2066"/>
        <v>0</v>
      </c>
      <c r="BH264" s="105" t="str">
        <f>VLOOKUP(A264,'BOCA DE LOBO'!$C$229:$I$324,7,0)</f>
        <v>BOCA DE LOBO PROJETADA DUPLA</v>
      </c>
      <c r="BI264" s="104">
        <f t="shared" si="2067"/>
        <v>0</v>
      </c>
      <c r="BJ264" s="104">
        <f t="shared" si="2068"/>
        <v>0</v>
      </c>
      <c r="BK264" s="104">
        <f t="shared" si="2069"/>
        <v>0</v>
      </c>
      <c r="BL264" s="104">
        <f t="shared" si="2070"/>
        <v>0</v>
      </c>
      <c r="BM264" s="104">
        <f t="shared" si="2071"/>
        <v>0</v>
      </c>
      <c r="BN264" s="104">
        <f t="shared" si="2072"/>
        <v>1</v>
      </c>
      <c r="BO264" s="543">
        <f t="shared" si="2073"/>
        <v>0</v>
      </c>
      <c r="BP264" s="111"/>
      <c r="BQ264" s="108">
        <f t="shared" si="2074"/>
        <v>19.68</v>
      </c>
      <c r="BR264" s="108">
        <f t="shared" si="2075"/>
        <v>19.68</v>
      </c>
      <c r="BS264" s="108">
        <f t="shared" si="2076"/>
        <v>1.3119999999999952</v>
      </c>
      <c r="BV264" s="538">
        <f t="shared" si="2077"/>
        <v>19.456499999999998</v>
      </c>
      <c r="BW264" s="538">
        <f t="shared" si="2078"/>
        <v>7.7825999999999986</v>
      </c>
      <c r="BX264" s="538">
        <f t="shared" si="2079"/>
        <v>3.0325999999999995</v>
      </c>
      <c r="BY264" s="538">
        <f t="shared" si="2080"/>
        <v>2.5</v>
      </c>
      <c r="BZ264" s="538">
        <f t="shared" si="2081"/>
        <v>2.5</v>
      </c>
      <c r="CA264" s="538">
        <f t="shared" si="2082"/>
        <v>0</v>
      </c>
      <c r="CB264" s="538">
        <f t="shared" si="2083"/>
        <v>0</v>
      </c>
      <c r="CC264" s="538">
        <f t="shared" si="2084"/>
        <v>11.673899999999998</v>
      </c>
      <c r="CD264" s="538">
        <f t="shared" si="2085"/>
        <v>7.7825999999999986</v>
      </c>
      <c r="CE264" s="538">
        <f t="shared" si="2086"/>
        <v>0</v>
      </c>
      <c r="CF264" s="538">
        <f t="shared" si="2087"/>
        <v>0</v>
      </c>
      <c r="CG264" s="538">
        <f t="shared" si="2088"/>
        <v>0</v>
      </c>
      <c r="CH264" s="538">
        <f t="shared" si="2089"/>
        <v>0</v>
      </c>
      <c r="CI264" s="104">
        <f t="shared" si="2090"/>
        <v>0.53549999999999998</v>
      </c>
      <c r="CJ264" s="538">
        <f t="shared" si="2091"/>
        <v>11.339499999999997</v>
      </c>
      <c r="CK264" s="538">
        <f t="shared" si="2092"/>
        <v>11.339499999999997</v>
      </c>
      <c r="CL264" s="538">
        <f t="shared" si="2093"/>
        <v>0</v>
      </c>
      <c r="CM264" s="538">
        <f t="shared" si="2094"/>
        <v>0</v>
      </c>
      <c r="CN264" s="538">
        <f t="shared" si="2095"/>
        <v>3.57</v>
      </c>
      <c r="CO264" s="538">
        <f t="shared" si="2096"/>
        <v>2.5</v>
      </c>
      <c r="CP264" s="538">
        <f t="shared" si="2097"/>
        <v>10.709999999999999</v>
      </c>
      <c r="CQ264" s="538">
        <f t="shared" si="2098"/>
        <v>7.14</v>
      </c>
      <c r="CR264" s="539">
        <f t="shared" si="2099"/>
        <v>0</v>
      </c>
      <c r="CS264" s="540">
        <f t="shared" si="2100"/>
        <v>0</v>
      </c>
      <c r="CT264" s="540">
        <f t="shared" si="2101"/>
        <v>0.33012999999999998</v>
      </c>
      <c r="CU264" s="541">
        <f t="shared" si="2102"/>
        <v>13</v>
      </c>
      <c r="CV264" s="538">
        <f t="shared" si="2103"/>
        <v>1.43895</v>
      </c>
      <c r="CW264" s="538">
        <f t="shared" si="2104"/>
        <v>23.248199999999997</v>
      </c>
      <c r="CX264" s="104">
        <f t="shared" si="2105"/>
        <v>3.57</v>
      </c>
      <c r="CY264" s="542">
        <f t="shared" si="2106"/>
        <v>1.7849999999999999</v>
      </c>
      <c r="CZ264" s="538">
        <f t="shared" si="2107"/>
        <v>0</v>
      </c>
    </row>
    <row r="265" spans="1:104" s="112" customFormat="1" ht="25" x14ac:dyDescent="0.25">
      <c r="A265" s="100" t="str">
        <f>'BOCA DE LOBO'!C234</f>
        <v>BL6-&gt;PV5.1</v>
      </c>
      <c r="B265" s="100" t="str">
        <f>'BOCA DE LOBO'!A234</f>
        <v>PV5.1</v>
      </c>
      <c r="C265" s="100" t="str">
        <f>VLOOKUP(A265,'BOCA DE LOBO'!$C$229:$M$324,3,0)</f>
        <v>PROJETADO</v>
      </c>
      <c r="D265" s="100" t="str">
        <f>VLOOKUP(A265,'BOCA DE LOBO'!$C$229:$M$324,10,0)</f>
        <v>EXISTENTE</v>
      </c>
      <c r="E265" s="100">
        <f t="shared" si="2025"/>
        <v>2.5</v>
      </c>
      <c r="F265" s="100">
        <f>VLOOKUP(A265,'BOCA DE LOBO'!$C$229:$D$324,2,0)</f>
        <v>3.44</v>
      </c>
      <c r="G265" s="100">
        <f>VLOOKUP(A265,'BOCA DE LOBO'!$C$229:$F$324,4,0)</f>
        <v>6.86</v>
      </c>
      <c r="H265" s="101">
        <v>400</v>
      </c>
      <c r="I265" s="102">
        <f t="shared" si="2026"/>
        <v>3.0999999999999996</v>
      </c>
      <c r="J265" s="102">
        <f t="shared" si="2027"/>
        <v>0</v>
      </c>
      <c r="K265" s="103">
        <v>0</v>
      </c>
      <c r="L265" s="104">
        <f t="shared" si="2028"/>
        <v>0</v>
      </c>
      <c r="M265" s="104">
        <f t="shared" si="2029"/>
        <v>0</v>
      </c>
      <c r="N265" s="104">
        <f t="shared" si="2108"/>
        <v>400</v>
      </c>
      <c r="O265" s="104">
        <f t="shared" si="2030"/>
        <v>0</v>
      </c>
      <c r="P265" s="105" t="s">
        <v>1999</v>
      </c>
      <c r="Q265" s="468" t="s">
        <v>2080</v>
      </c>
      <c r="R265" s="105"/>
      <c r="S265" s="105">
        <f>VLOOKUP(Q265,Quantitativos!P:R,3,0)</f>
        <v>5</v>
      </c>
      <c r="T265" s="105">
        <f>VLOOKUP(Q265,Quantitativos!P:S,4,0)</f>
        <v>5</v>
      </c>
      <c r="U265" s="104">
        <f t="shared" si="2031"/>
        <v>0.05</v>
      </c>
      <c r="V265" s="106">
        <f t="shared" si="2032"/>
        <v>0</v>
      </c>
      <c r="W265" s="106">
        <f t="shared" si="2033"/>
        <v>0</v>
      </c>
      <c r="X265" s="107">
        <f t="shared" si="2034"/>
        <v>0</v>
      </c>
      <c r="Y265" s="107">
        <f t="shared" si="2035"/>
        <v>0</v>
      </c>
      <c r="Z265" s="107">
        <f t="shared" si="2036"/>
        <v>3.0999999999999996</v>
      </c>
      <c r="AA265" s="107">
        <f t="shared" si="2037"/>
        <v>0</v>
      </c>
      <c r="AB265" s="108">
        <f t="shared" si="2038"/>
        <v>0</v>
      </c>
      <c r="AC265" s="109">
        <f t="shared" si="2039"/>
        <v>0</v>
      </c>
      <c r="AD265" s="109">
        <f t="shared" si="2040"/>
        <v>0</v>
      </c>
      <c r="AE265" s="109">
        <f t="shared" si="2041"/>
        <v>0</v>
      </c>
      <c r="AF265" s="109">
        <f t="shared" si="2042"/>
        <v>0</v>
      </c>
      <c r="AG265" s="109">
        <f>IF(IF(L265&lt;=1.5,IF(Z265&gt;=3,M265*G265*1.5,L265*G265*(Z265-1.5)),0)&lt;0,0,IF(L265&lt;=1.5,IF(Z265&gt;=3,M265*G265*1.5,L265*G265*(Z265-1.5)),0))-V265</f>
        <v>0</v>
      </c>
      <c r="AH265" s="109">
        <f>IF(IF(L265&lt;=1.5,IF(Z265&gt;=4.5,M265*G265*1.5,L265*G265*(Z265-3)),0)&lt;0,0,IF(L265&lt;=1.5,IF(Z265&gt;=4.5,M265*G265*1.5,L265*G265*(Z265-3)),0))</f>
        <v>0</v>
      </c>
      <c r="AI265" s="537" t="str">
        <f t="shared" si="2043"/>
        <v>NÃO</v>
      </c>
      <c r="AJ265" s="104">
        <f t="shared" si="2044"/>
        <v>0</v>
      </c>
      <c r="AK265" s="104">
        <f t="shared" si="2045"/>
        <v>0</v>
      </c>
      <c r="AL265" s="104">
        <f t="shared" si="2046"/>
        <v>0</v>
      </c>
      <c r="AM265" s="102">
        <f t="shared" si="2047"/>
        <v>0</v>
      </c>
      <c r="AN265" s="106">
        <f t="shared" si="2048"/>
        <v>0</v>
      </c>
      <c r="AO265" s="104">
        <f t="shared" si="2049"/>
        <v>0</v>
      </c>
      <c r="AP265" s="104">
        <f t="shared" si="2050"/>
        <v>0</v>
      </c>
      <c r="AQ265" s="104">
        <f t="shared" si="2051"/>
        <v>0.7</v>
      </c>
      <c r="AR265" s="104">
        <f t="shared" si="2052"/>
        <v>0</v>
      </c>
      <c r="AS265" s="104">
        <f t="shared" si="2053"/>
        <v>0</v>
      </c>
      <c r="AT265" s="104">
        <f t="shared" si="2054"/>
        <v>0</v>
      </c>
      <c r="AU265" s="104">
        <f t="shared" si="2055"/>
        <v>0</v>
      </c>
      <c r="AV265" s="104">
        <f t="shared" si="2056"/>
        <v>0</v>
      </c>
      <c r="AW265" s="104">
        <f t="shared" si="2057"/>
        <v>0</v>
      </c>
      <c r="AX265" s="104">
        <f t="shared" si="2058"/>
        <v>0</v>
      </c>
      <c r="AY265" s="104">
        <f t="shared" si="2059"/>
        <v>0</v>
      </c>
      <c r="AZ265" s="104">
        <f t="shared" si="2060"/>
        <v>0</v>
      </c>
      <c r="BA265" s="104">
        <f t="shared" si="2061"/>
        <v>0</v>
      </c>
      <c r="BB265" s="104">
        <f t="shared" si="2062"/>
        <v>0</v>
      </c>
      <c r="BC265" s="104"/>
      <c r="BD265" s="104">
        <f t="shared" si="2063"/>
        <v>0</v>
      </c>
      <c r="BE265" s="108">
        <f t="shared" si="2064"/>
        <v>3.0999999999999996</v>
      </c>
      <c r="BF265" s="110">
        <f t="shared" si="2065"/>
        <v>0</v>
      </c>
      <c r="BG265" s="110">
        <f t="shared" si="2066"/>
        <v>0</v>
      </c>
      <c r="BH265" s="105" t="str">
        <f>VLOOKUP(A265,'BOCA DE LOBO'!$C$229:$I$324,7,0)</f>
        <v>BOCA DE LOBO EXISTENTE DUPLA</v>
      </c>
      <c r="BI265" s="104">
        <f t="shared" si="2067"/>
        <v>0</v>
      </c>
      <c r="BJ265" s="104">
        <f t="shared" si="2068"/>
        <v>0</v>
      </c>
      <c r="BK265" s="104">
        <f t="shared" si="2069"/>
        <v>0</v>
      </c>
      <c r="BL265" s="104">
        <f t="shared" si="2070"/>
        <v>0</v>
      </c>
      <c r="BM265" s="104">
        <f t="shared" si="2071"/>
        <v>0</v>
      </c>
      <c r="BN265" s="104">
        <f t="shared" si="2072"/>
        <v>0</v>
      </c>
      <c r="BO265" s="543">
        <f t="shared" si="2073"/>
        <v>0</v>
      </c>
      <c r="BP265" s="111"/>
      <c r="BQ265" s="108">
        <f t="shared" si="2074"/>
        <v>20.580000000000002</v>
      </c>
      <c r="BR265" s="108">
        <f t="shared" si="2075"/>
        <v>20.580000000000002</v>
      </c>
      <c r="BS265" s="108">
        <f t="shared" si="2076"/>
        <v>1.3719999999999952</v>
      </c>
      <c r="BV265" s="538">
        <f t="shared" si="2077"/>
        <v>0</v>
      </c>
      <c r="BW265" s="538">
        <f t="shared" si="2078"/>
        <v>0</v>
      </c>
      <c r="BX265" s="538">
        <f t="shared" si="2079"/>
        <v>0</v>
      </c>
      <c r="BY265" s="538">
        <f t="shared" si="2080"/>
        <v>2.5</v>
      </c>
      <c r="BZ265" s="538">
        <f t="shared" si="2081"/>
        <v>2.5</v>
      </c>
      <c r="CA265" s="538">
        <f t="shared" si="2082"/>
        <v>0</v>
      </c>
      <c r="CB265" s="538">
        <f t="shared" si="2083"/>
        <v>0</v>
      </c>
      <c r="CC265" s="538">
        <f t="shared" si="2084"/>
        <v>0</v>
      </c>
      <c r="CD265" s="538">
        <f t="shared" si="2085"/>
        <v>0</v>
      </c>
      <c r="CE265" s="538">
        <f t="shared" si="2086"/>
        <v>0</v>
      </c>
      <c r="CF265" s="538">
        <f t="shared" si="2087"/>
        <v>0</v>
      </c>
      <c r="CG265" s="538">
        <f t="shared" si="2088"/>
        <v>0</v>
      </c>
      <c r="CH265" s="538">
        <f t="shared" si="2089"/>
        <v>0</v>
      </c>
      <c r="CI265" s="104">
        <f t="shared" si="2090"/>
        <v>0</v>
      </c>
      <c r="CJ265" s="538">
        <f t="shared" si="2091"/>
        <v>0</v>
      </c>
      <c r="CK265" s="538">
        <f t="shared" si="2092"/>
        <v>0</v>
      </c>
      <c r="CL265" s="538">
        <f t="shared" si="2093"/>
        <v>0</v>
      </c>
      <c r="CM265" s="538">
        <f t="shared" si="2094"/>
        <v>0</v>
      </c>
      <c r="CN265" s="538">
        <f t="shared" si="2095"/>
        <v>0</v>
      </c>
      <c r="CO265" s="538">
        <f t="shared" si="2096"/>
        <v>2.5</v>
      </c>
      <c r="CP265" s="538">
        <f t="shared" si="2097"/>
        <v>0</v>
      </c>
      <c r="CQ265" s="538">
        <f t="shared" si="2098"/>
        <v>0</v>
      </c>
      <c r="CR265" s="539">
        <f t="shared" si="2099"/>
        <v>0</v>
      </c>
      <c r="CS265" s="540">
        <f t="shared" si="2100"/>
        <v>0</v>
      </c>
      <c r="CT265" s="540">
        <f t="shared" si="2101"/>
        <v>0</v>
      </c>
      <c r="CU265" s="541">
        <f t="shared" si="2102"/>
        <v>0</v>
      </c>
      <c r="CV265" s="538">
        <f t="shared" si="2103"/>
        <v>0</v>
      </c>
      <c r="CW265" s="538">
        <f t="shared" si="2104"/>
        <v>0</v>
      </c>
      <c r="CX265" s="104">
        <f t="shared" si="2105"/>
        <v>0</v>
      </c>
      <c r="CY265" s="542">
        <f t="shared" si="2106"/>
        <v>0</v>
      </c>
      <c r="CZ265" s="538">
        <f t="shared" si="2107"/>
        <v>0</v>
      </c>
    </row>
    <row r="266" spans="1:104" s="112" customFormat="1" ht="25" x14ac:dyDescent="0.25">
      <c r="A266" s="100" t="str">
        <f>'BOCA DE LOBO'!C235</f>
        <v>BL7-&gt;PV7.1</v>
      </c>
      <c r="B266" s="100" t="str">
        <f>'BOCA DE LOBO'!A235</f>
        <v>PV7.1</v>
      </c>
      <c r="C266" s="100" t="str">
        <f>VLOOKUP(A266,'BOCA DE LOBO'!$C$229:$M$324,3,0)</f>
        <v>PROJETADO</v>
      </c>
      <c r="D266" s="100" t="str">
        <f>VLOOKUP(A266,'BOCA DE LOBO'!$C$229:$M$324,10,0)</f>
        <v>PROJETADA</v>
      </c>
      <c r="E266" s="100">
        <f t="shared" si="2025"/>
        <v>2.5</v>
      </c>
      <c r="F266" s="100">
        <f>VLOOKUP(A266,'BOCA DE LOBO'!$C$229:$D$324,2,0)</f>
        <v>3.44</v>
      </c>
      <c r="G266" s="100">
        <f>VLOOKUP(A266,'BOCA DE LOBO'!$C$229:$F$324,4,0)</f>
        <v>6.3</v>
      </c>
      <c r="H266" s="101">
        <v>400</v>
      </c>
      <c r="I266" s="102">
        <f t="shared" si="2026"/>
        <v>3.0999999999999996</v>
      </c>
      <c r="J266" s="102">
        <f t="shared" si="2027"/>
        <v>0.97649999999999992</v>
      </c>
      <c r="K266" s="103">
        <v>0</v>
      </c>
      <c r="L266" s="104">
        <f t="shared" si="2028"/>
        <v>1</v>
      </c>
      <c r="M266" s="104">
        <f t="shared" si="2029"/>
        <v>1</v>
      </c>
      <c r="N266" s="104">
        <f t="shared" si="2108"/>
        <v>0</v>
      </c>
      <c r="O266" s="104">
        <f t="shared" si="2030"/>
        <v>6.3</v>
      </c>
      <c r="P266" s="105" t="s">
        <v>1999</v>
      </c>
      <c r="Q266" s="468" t="s">
        <v>2080</v>
      </c>
      <c r="R266" s="105"/>
      <c r="S266" s="105">
        <f>VLOOKUP(Q266,Quantitativos!P:R,3,0)</f>
        <v>5</v>
      </c>
      <c r="T266" s="105">
        <f>VLOOKUP(Q266,Quantitativos!P:S,4,0)</f>
        <v>5</v>
      </c>
      <c r="U266" s="104">
        <f t="shared" si="2031"/>
        <v>0.05</v>
      </c>
      <c r="V266" s="106">
        <f t="shared" si="2032"/>
        <v>0</v>
      </c>
      <c r="W266" s="106">
        <f t="shared" si="2033"/>
        <v>19.529999999999998</v>
      </c>
      <c r="X266" s="107">
        <f t="shared" si="2034"/>
        <v>0</v>
      </c>
      <c r="Y266" s="107">
        <f t="shared" si="2035"/>
        <v>0</v>
      </c>
      <c r="Z266" s="107">
        <f t="shared" si="2036"/>
        <v>3.0999999999999996</v>
      </c>
      <c r="AA266" s="107">
        <f t="shared" si="2037"/>
        <v>0</v>
      </c>
      <c r="AB266" s="108">
        <f t="shared" si="2038"/>
        <v>6.3</v>
      </c>
      <c r="AC266" s="109">
        <f t="shared" si="2039"/>
        <v>0</v>
      </c>
      <c r="AD266" s="109">
        <f t="shared" si="2040"/>
        <v>0</v>
      </c>
      <c r="AE266" s="109">
        <f t="shared" si="2041"/>
        <v>0</v>
      </c>
      <c r="AF266" s="109">
        <f t="shared" si="2042"/>
        <v>9.4499999999999993</v>
      </c>
      <c r="AG266" s="109">
        <f>IF(IF(L266&lt;=1.5,IF(Z266&gt;=3,M266*G266*1.5,L266*G266*(Z266-1.5)),0)&lt;0,0,IF(L266&lt;=1.5,IF(Z266&gt;=3,M266*G266*1.5,L266*G266*(Z266-1.5)),0))-V266</f>
        <v>9.4499999999999993</v>
      </c>
      <c r="AH266" s="109">
        <f>IF(IF(L266&lt;=1.5,IF(Z266&gt;=4.5,M266*G266*1.5,L266*G266*(Z266-3)),0)&lt;0,0,IF(L266&lt;=1.5,IF(Z266&gt;=4.5,M266*G266*1.5,L266*G266*(Z266-3)),0))</f>
        <v>0.62999999999999778</v>
      </c>
      <c r="AI266" s="537" t="str">
        <f t="shared" si="2043"/>
        <v>NÃO</v>
      </c>
      <c r="AJ266" s="104">
        <f t="shared" si="2044"/>
        <v>0</v>
      </c>
      <c r="AK266" s="104">
        <f t="shared" si="2045"/>
        <v>0</v>
      </c>
      <c r="AL266" s="104">
        <f t="shared" si="2046"/>
        <v>18.738318651295369</v>
      </c>
      <c r="AM266" s="102">
        <f t="shared" si="2047"/>
        <v>0.315</v>
      </c>
      <c r="AN266" s="106">
        <f t="shared" si="2048"/>
        <v>0</v>
      </c>
      <c r="AO266" s="104">
        <f t="shared" si="2049"/>
        <v>0</v>
      </c>
      <c r="AP266" s="104">
        <f t="shared" si="2050"/>
        <v>0</v>
      </c>
      <c r="AQ266" s="104">
        <f t="shared" si="2051"/>
        <v>0.7</v>
      </c>
      <c r="AR266" s="104">
        <f t="shared" si="2052"/>
        <v>3.6183186512953713</v>
      </c>
      <c r="AS266" s="104">
        <f t="shared" si="2053"/>
        <v>0</v>
      </c>
      <c r="AT266" s="104">
        <f t="shared" si="2054"/>
        <v>0.94499999999999995</v>
      </c>
      <c r="AU266" s="104">
        <f t="shared" si="2055"/>
        <v>0.94499999999999995</v>
      </c>
      <c r="AV266" s="104">
        <f t="shared" si="2056"/>
        <v>0.189</v>
      </c>
      <c r="AW266" s="104">
        <f t="shared" si="2057"/>
        <v>12.914999999999996</v>
      </c>
      <c r="AX266" s="104">
        <f t="shared" si="2058"/>
        <v>14.966681348704626</v>
      </c>
      <c r="AY266" s="104">
        <f t="shared" si="2059"/>
        <v>12.914999999999996</v>
      </c>
      <c r="AZ266" s="104">
        <f t="shared" si="2060"/>
        <v>0</v>
      </c>
      <c r="BA266" s="104">
        <f t="shared" si="2061"/>
        <v>0</v>
      </c>
      <c r="BB266" s="104">
        <f t="shared" si="2062"/>
        <v>0</v>
      </c>
      <c r="BC266" s="104"/>
      <c r="BD266" s="104">
        <f t="shared" si="2063"/>
        <v>0</v>
      </c>
      <c r="BE266" s="108">
        <f t="shared" si="2064"/>
        <v>3.0999999999999996</v>
      </c>
      <c r="BF266" s="110">
        <f t="shared" si="2065"/>
        <v>0</v>
      </c>
      <c r="BG266" s="110">
        <f t="shared" si="2066"/>
        <v>0</v>
      </c>
      <c r="BH266" s="105" t="str">
        <f>VLOOKUP(A266,'BOCA DE LOBO'!$C$229:$I$324,7,0)</f>
        <v>BOCA DE LOBO PROJETADA DUPLA</v>
      </c>
      <c r="BI266" s="104">
        <f t="shared" si="2067"/>
        <v>0</v>
      </c>
      <c r="BJ266" s="104">
        <f t="shared" si="2068"/>
        <v>0</v>
      </c>
      <c r="BK266" s="104">
        <f t="shared" si="2069"/>
        <v>0</v>
      </c>
      <c r="BL266" s="104">
        <f t="shared" si="2070"/>
        <v>0</v>
      </c>
      <c r="BM266" s="104">
        <f t="shared" si="2071"/>
        <v>0</v>
      </c>
      <c r="BN266" s="104">
        <f t="shared" si="2072"/>
        <v>1</v>
      </c>
      <c r="BO266" s="543">
        <f t="shared" si="2073"/>
        <v>0</v>
      </c>
      <c r="BP266" s="111"/>
      <c r="BQ266" s="108">
        <f t="shared" si="2074"/>
        <v>18.899999999999999</v>
      </c>
      <c r="BR266" s="108">
        <f t="shared" si="2075"/>
        <v>18.899999999999999</v>
      </c>
      <c r="BS266" s="108">
        <f t="shared" si="2076"/>
        <v>1.2599999999999956</v>
      </c>
      <c r="BV266" s="538">
        <f t="shared" si="2077"/>
        <v>19.456499999999998</v>
      </c>
      <c r="BW266" s="538">
        <f t="shared" si="2078"/>
        <v>7.7825999999999986</v>
      </c>
      <c r="BX266" s="538">
        <f t="shared" si="2079"/>
        <v>3.0325999999999995</v>
      </c>
      <c r="BY266" s="538">
        <f t="shared" si="2080"/>
        <v>2.5</v>
      </c>
      <c r="BZ266" s="538">
        <f t="shared" si="2081"/>
        <v>2.5</v>
      </c>
      <c r="CA266" s="538">
        <f t="shared" si="2082"/>
        <v>0</v>
      </c>
      <c r="CB266" s="538">
        <f t="shared" si="2083"/>
        <v>0</v>
      </c>
      <c r="CC266" s="538">
        <f t="shared" si="2084"/>
        <v>11.673899999999998</v>
      </c>
      <c r="CD266" s="538">
        <f t="shared" si="2085"/>
        <v>7.7825999999999986</v>
      </c>
      <c r="CE266" s="538">
        <f t="shared" si="2086"/>
        <v>0</v>
      </c>
      <c r="CF266" s="538">
        <f t="shared" si="2087"/>
        <v>0</v>
      </c>
      <c r="CG266" s="538">
        <f t="shared" si="2088"/>
        <v>0</v>
      </c>
      <c r="CH266" s="538">
        <f t="shared" si="2089"/>
        <v>0</v>
      </c>
      <c r="CI266" s="104">
        <f t="shared" si="2090"/>
        <v>0.53549999999999998</v>
      </c>
      <c r="CJ266" s="538">
        <f t="shared" si="2091"/>
        <v>11.339499999999997</v>
      </c>
      <c r="CK266" s="538">
        <f t="shared" si="2092"/>
        <v>11.339499999999997</v>
      </c>
      <c r="CL266" s="538">
        <f t="shared" si="2093"/>
        <v>0</v>
      </c>
      <c r="CM266" s="538">
        <f t="shared" si="2094"/>
        <v>0</v>
      </c>
      <c r="CN266" s="538">
        <f t="shared" si="2095"/>
        <v>3.57</v>
      </c>
      <c r="CO266" s="538">
        <f t="shared" si="2096"/>
        <v>2.5</v>
      </c>
      <c r="CP266" s="538">
        <f t="shared" si="2097"/>
        <v>10.709999999999999</v>
      </c>
      <c r="CQ266" s="538">
        <f t="shared" si="2098"/>
        <v>7.14</v>
      </c>
      <c r="CR266" s="539">
        <f t="shared" si="2099"/>
        <v>0</v>
      </c>
      <c r="CS266" s="540">
        <f t="shared" si="2100"/>
        <v>0</v>
      </c>
      <c r="CT266" s="540">
        <f t="shared" si="2101"/>
        <v>0.33012999999999998</v>
      </c>
      <c r="CU266" s="541">
        <f t="shared" si="2102"/>
        <v>13</v>
      </c>
      <c r="CV266" s="538">
        <f t="shared" si="2103"/>
        <v>1.43895</v>
      </c>
      <c r="CW266" s="538">
        <f t="shared" si="2104"/>
        <v>23.248199999999997</v>
      </c>
      <c r="CX266" s="104">
        <f t="shared" si="2105"/>
        <v>3.57</v>
      </c>
      <c r="CY266" s="542">
        <f t="shared" si="2106"/>
        <v>1.7849999999999999</v>
      </c>
      <c r="CZ266" s="538">
        <f t="shared" si="2107"/>
        <v>0</v>
      </c>
    </row>
    <row r="267" spans="1:104" s="112" customFormat="1" ht="25" x14ac:dyDescent="0.25">
      <c r="A267" s="100" t="str">
        <f>'BOCA DE LOBO'!C236</f>
        <v>BL8-&gt;PV7.1</v>
      </c>
      <c r="B267" s="100" t="str">
        <f>'BOCA DE LOBO'!A236</f>
        <v>PV7.1</v>
      </c>
      <c r="C267" s="100" t="str">
        <f>VLOOKUP(A267,'BOCA DE LOBO'!$C$229:$M$324,3,0)</f>
        <v>PROJETADO</v>
      </c>
      <c r="D267" s="100" t="str">
        <f>VLOOKUP(A267,'BOCA DE LOBO'!$C$229:$M$324,10,0)</f>
        <v>PROJETADA</v>
      </c>
      <c r="E267" s="100">
        <f t="shared" si="2025"/>
        <v>2.5</v>
      </c>
      <c r="F267" s="100">
        <f>VLOOKUP(A267,'BOCA DE LOBO'!$C$229:$D$324,2,0)</f>
        <v>3.44</v>
      </c>
      <c r="G267" s="100">
        <f>VLOOKUP(A267,'BOCA DE LOBO'!$C$229:$F$324,4,0)</f>
        <v>6.63</v>
      </c>
      <c r="H267" s="101">
        <v>400</v>
      </c>
      <c r="I267" s="102">
        <f t="shared" si="2026"/>
        <v>3.0999999999999996</v>
      </c>
      <c r="J267" s="102">
        <f t="shared" si="2027"/>
        <v>1.02765</v>
      </c>
      <c r="K267" s="103">
        <v>0</v>
      </c>
      <c r="L267" s="104">
        <f t="shared" si="2028"/>
        <v>1</v>
      </c>
      <c r="M267" s="104">
        <f t="shared" si="2029"/>
        <v>1</v>
      </c>
      <c r="N267" s="104">
        <f t="shared" si="2108"/>
        <v>0</v>
      </c>
      <c r="O267" s="104">
        <f t="shared" si="2030"/>
        <v>6.63</v>
      </c>
      <c r="P267" s="105" t="s">
        <v>1999</v>
      </c>
      <c r="Q267" s="468" t="s">
        <v>2080</v>
      </c>
      <c r="R267" s="105"/>
      <c r="S267" s="105">
        <f>VLOOKUP(Q267,Quantitativos!P:R,3,0)</f>
        <v>5</v>
      </c>
      <c r="T267" s="105">
        <f>VLOOKUP(Q267,Quantitativos!P:S,4,0)</f>
        <v>5</v>
      </c>
      <c r="U267" s="104">
        <f t="shared" si="2031"/>
        <v>0.05</v>
      </c>
      <c r="V267" s="106">
        <f t="shared" si="2032"/>
        <v>0</v>
      </c>
      <c r="W267" s="106">
        <f t="shared" si="2033"/>
        <v>20.552999999999997</v>
      </c>
      <c r="X267" s="107">
        <f t="shared" si="2034"/>
        <v>0</v>
      </c>
      <c r="Y267" s="107">
        <f t="shared" si="2035"/>
        <v>0</v>
      </c>
      <c r="Z267" s="107">
        <f t="shared" si="2036"/>
        <v>3.0999999999999996</v>
      </c>
      <c r="AA267" s="107">
        <f t="shared" si="2037"/>
        <v>0</v>
      </c>
      <c r="AB267" s="108">
        <f t="shared" si="2038"/>
        <v>6.63</v>
      </c>
      <c r="AC267" s="109">
        <f t="shared" si="2039"/>
        <v>0</v>
      </c>
      <c r="AD267" s="109">
        <f t="shared" si="2040"/>
        <v>0</v>
      </c>
      <c r="AE267" s="109">
        <f t="shared" si="2041"/>
        <v>0</v>
      </c>
      <c r="AF267" s="109">
        <f t="shared" si="2042"/>
        <v>9.9450000000000003</v>
      </c>
      <c r="AG267" s="109">
        <f>IF(IF(L267&lt;=1.5,IF(Z267&gt;=3,M267*G267*1.5,L267*G267*(Z267-1.5)),0)&lt;0,0,IF(L267&lt;=1.5,IF(Z267&gt;=3,M267*G267*1.5,L267*G267*(Z267-1.5)),0))-V267</f>
        <v>9.9450000000000003</v>
      </c>
      <c r="AH267" s="109">
        <f>IF(IF(L267&lt;=1.5,IF(Z267&gt;=4.5,M267*G267*1.5,L267*G267*(Z267-3)),0)&lt;0,0,IF(L267&lt;=1.5,IF(Z267&gt;=4.5,M267*G267*1.5,L267*G267*(Z267-3)),0))</f>
        <v>0.66299999999999759</v>
      </c>
      <c r="AI267" s="537" t="str">
        <f t="shared" si="2043"/>
        <v>NÃO</v>
      </c>
      <c r="AJ267" s="104">
        <f t="shared" si="2044"/>
        <v>0</v>
      </c>
      <c r="AK267" s="104">
        <f t="shared" si="2045"/>
        <v>0</v>
      </c>
      <c r="AL267" s="104">
        <f t="shared" si="2046"/>
        <v>19.719849628267983</v>
      </c>
      <c r="AM267" s="102">
        <f t="shared" si="2047"/>
        <v>0.33150000000000002</v>
      </c>
      <c r="AN267" s="106">
        <f t="shared" si="2048"/>
        <v>0</v>
      </c>
      <c r="AO267" s="104">
        <f t="shared" si="2049"/>
        <v>0</v>
      </c>
      <c r="AP267" s="104">
        <f t="shared" si="2050"/>
        <v>0</v>
      </c>
      <c r="AQ267" s="104">
        <f t="shared" si="2051"/>
        <v>0.7</v>
      </c>
      <c r="AR267" s="104">
        <f t="shared" si="2052"/>
        <v>3.807849628267987</v>
      </c>
      <c r="AS267" s="104">
        <f t="shared" si="2053"/>
        <v>0</v>
      </c>
      <c r="AT267" s="104">
        <f t="shared" si="2054"/>
        <v>0.99449999999999994</v>
      </c>
      <c r="AU267" s="104">
        <f t="shared" si="2055"/>
        <v>0.99449999999999994</v>
      </c>
      <c r="AV267" s="104">
        <f t="shared" si="2056"/>
        <v>0.19889999999999999</v>
      </c>
      <c r="AW267" s="104">
        <f t="shared" si="2057"/>
        <v>13.5915</v>
      </c>
      <c r="AX267" s="104">
        <f t="shared" si="2058"/>
        <v>15.750650371732011</v>
      </c>
      <c r="AY267" s="104">
        <f t="shared" si="2059"/>
        <v>13.5915</v>
      </c>
      <c r="AZ267" s="104">
        <f t="shared" si="2060"/>
        <v>0</v>
      </c>
      <c r="BA267" s="104">
        <f t="shared" si="2061"/>
        <v>0</v>
      </c>
      <c r="BB267" s="104">
        <f t="shared" si="2062"/>
        <v>0</v>
      </c>
      <c r="BC267" s="104"/>
      <c r="BD267" s="104">
        <f t="shared" si="2063"/>
        <v>0</v>
      </c>
      <c r="BE267" s="108">
        <f t="shared" si="2064"/>
        <v>3.0999999999999996</v>
      </c>
      <c r="BF267" s="110">
        <f t="shared" si="2065"/>
        <v>0</v>
      </c>
      <c r="BG267" s="110">
        <f t="shared" si="2066"/>
        <v>0</v>
      </c>
      <c r="BH267" s="105" t="str">
        <f>VLOOKUP(A267,'BOCA DE LOBO'!$C$229:$I$324,7,0)</f>
        <v>BOCA DE LOBO PROJETADA DUPLA</v>
      </c>
      <c r="BI267" s="104">
        <f t="shared" si="2067"/>
        <v>0</v>
      </c>
      <c r="BJ267" s="104">
        <f t="shared" si="2068"/>
        <v>0</v>
      </c>
      <c r="BK267" s="104">
        <f t="shared" si="2069"/>
        <v>0</v>
      </c>
      <c r="BL267" s="104">
        <f t="shared" si="2070"/>
        <v>0</v>
      </c>
      <c r="BM267" s="104">
        <f t="shared" si="2071"/>
        <v>0</v>
      </c>
      <c r="BN267" s="104">
        <f t="shared" si="2072"/>
        <v>1</v>
      </c>
      <c r="BO267" s="543">
        <f t="shared" si="2073"/>
        <v>0</v>
      </c>
      <c r="BP267" s="111"/>
      <c r="BQ267" s="108">
        <f t="shared" si="2074"/>
        <v>19.89</v>
      </c>
      <c r="BR267" s="108">
        <f t="shared" si="2075"/>
        <v>19.89</v>
      </c>
      <c r="BS267" s="108">
        <f t="shared" si="2076"/>
        <v>1.3259999999999952</v>
      </c>
      <c r="BV267" s="538">
        <f t="shared" si="2077"/>
        <v>19.456499999999998</v>
      </c>
      <c r="BW267" s="538">
        <f t="shared" si="2078"/>
        <v>7.7825999999999986</v>
      </c>
      <c r="BX267" s="538">
        <f t="shared" si="2079"/>
        <v>3.0325999999999995</v>
      </c>
      <c r="BY267" s="538">
        <f t="shared" si="2080"/>
        <v>2.5</v>
      </c>
      <c r="BZ267" s="538">
        <f t="shared" si="2081"/>
        <v>2.5</v>
      </c>
      <c r="CA267" s="538">
        <f t="shared" si="2082"/>
        <v>0</v>
      </c>
      <c r="CB267" s="538">
        <f t="shared" si="2083"/>
        <v>0</v>
      </c>
      <c r="CC267" s="538">
        <f t="shared" si="2084"/>
        <v>11.673899999999998</v>
      </c>
      <c r="CD267" s="538">
        <f t="shared" si="2085"/>
        <v>7.7825999999999986</v>
      </c>
      <c r="CE267" s="538">
        <f t="shared" si="2086"/>
        <v>0</v>
      </c>
      <c r="CF267" s="538">
        <f t="shared" si="2087"/>
        <v>0</v>
      </c>
      <c r="CG267" s="538">
        <f t="shared" si="2088"/>
        <v>0</v>
      </c>
      <c r="CH267" s="538">
        <f t="shared" si="2089"/>
        <v>0</v>
      </c>
      <c r="CI267" s="104">
        <f t="shared" si="2090"/>
        <v>0.53549999999999998</v>
      </c>
      <c r="CJ267" s="538">
        <f t="shared" si="2091"/>
        <v>11.339499999999997</v>
      </c>
      <c r="CK267" s="538">
        <f t="shared" si="2092"/>
        <v>11.339499999999997</v>
      </c>
      <c r="CL267" s="538">
        <f t="shared" si="2093"/>
        <v>0</v>
      </c>
      <c r="CM267" s="538">
        <f t="shared" si="2094"/>
        <v>0</v>
      </c>
      <c r="CN267" s="538">
        <f t="shared" si="2095"/>
        <v>3.57</v>
      </c>
      <c r="CO267" s="538">
        <f t="shared" si="2096"/>
        <v>2.5</v>
      </c>
      <c r="CP267" s="538">
        <f t="shared" si="2097"/>
        <v>10.709999999999999</v>
      </c>
      <c r="CQ267" s="538">
        <f t="shared" si="2098"/>
        <v>7.14</v>
      </c>
      <c r="CR267" s="539">
        <f t="shared" si="2099"/>
        <v>0</v>
      </c>
      <c r="CS267" s="540">
        <f t="shared" si="2100"/>
        <v>0</v>
      </c>
      <c r="CT267" s="540">
        <f t="shared" si="2101"/>
        <v>0.33012999999999998</v>
      </c>
      <c r="CU267" s="541">
        <f t="shared" si="2102"/>
        <v>13</v>
      </c>
      <c r="CV267" s="538">
        <f t="shared" si="2103"/>
        <v>1.43895</v>
      </c>
      <c r="CW267" s="538">
        <f t="shared" si="2104"/>
        <v>23.248199999999997</v>
      </c>
      <c r="CX267" s="104">
        <f t="shared" si="2105"/>
        <v>3.57</v>
      </c>
      <c r="CY267" s="542">
        <f t="shared" si="2106"/>
        <v>1.7849999999999999</v>
      </c>
      <c r="CZ267" s="538">
        <f t="shared" si="2107"/>
        <v>0</v>
      </c>
    </row>
    <row r="268" spans="1:104" s="112" customFormat="1" ht="25" x14ac:dyDescent="0.25">
      <c r="A268" s="100" t="str">
        <f>'BOCA DE LOBO'!C237</f>
        <v>BL9-&gt;PV9.1</v>
      </c>
      <c r="B268" s="100" t="str">
        <f>'BOCA DE LOBO'!A237</f>
        <v>PV9.1</v>
      </c>
      <c r="C268" s="100" t="str">
        <f>VLOOKUP(A268,'BOCA DE LOBO'!$C$229:$M$324,3,0)</f>
        <v>PROJETADO</v>
      </c>
      <c r="D268" s="100" t="str">
        <f>VLOOKUP(A268,'BOCA DE LOBO'!$C$229:$M$324,10,0)</f>
        <v>PROJETADA</v>
      </c>
      <c r="E268" s="100">
        <f t="shared" si="2025"/>
        <v>2.5</v>
      </c>
      <c r="F268" s="100">
        <f>VLOOKUP(A268,'BOCA DE LOBO'!$C$229:$D$324,2,0)</f>
        <v>3.47</v>
      </c>
      <c r="G268" s="100">
        <f>VLOOKUP(A268,'BOCA DE LOBO'!$C$229:$F$324,4,0)</f>
        <v>6.86</v>
      </c>
      <c r="H268" s="101">
        <v>400</v>
      </c>
      <c r="I268" s="102">
        <f t="shared" si="2026"/>
        <v>3.1150000000000002</v>
      </c>
      <c r="J268" s="102">
        <f t="shared" si="2027"/>
        <v>1.0684450000000001</v>
      </c>
      <c r="K268" s="103">
        <v>0</v>
      </c>
      <c r="L268" s="104">
        <f t="shared" si="2028"/>
        <v>1</v>
      </c>
      <c r="M268" s="104">
        <f t="shared" si="2029"/>
        <v>1</v>
      </c>
      <c r="N268" s="104">
        <f t="shared" si="2108"/>
        <v>0</v>
      </c>
      <c r="O268" s="104">
        <f t="shared" si="2030"/>
        <v>6.86</v>
      </c>
      <c r="P268" s="105" t="s">
        <v>1999</v>
      </c>
      <c r="Q268" s="468" t="s">
        <v>2081</v>
      </c>
      <c r="R268" s="105"/>
      <c r="S268" s="105">
        <f>VLOOKUP(Q268,Quantitativos!P:R,3,0)</f>
        <v>5</v>
      </c>
      <c r="T268" s="105">
        <f>VLOOKUP(Q268,Quantitativos!P:S,4,0)</f>
        <v>5</v>
      </c>
      <c r="U268" s="104">
        <f t="shared" si="2031"/>
        <v>0.05</v>
      </c>
      <c r="V268" s="106">
        <f t="shared" si="2032"/>
        <v>0</v>
      </c>
      <c r="W268" s="106">
        <f t="shared" si="2033"/>
        <v>21.368900000000004</v>
      </c>
      <c r="X268" s="107">
        <f t="shared" si="2034"/>
        <v>0</v>
      </c>
      <c r="Y268" s="107">
        <f t="shared" si="2035"/>
        <v>0</v>
      </c>
      <c r="Z268" s="107">
        <f t="shared" si="2036"/>
        <v>3.1150000000000002</v>
      </c>
      <c r="AA268" s="107">
        <f t="shared" si="2037"/>
        <v>0</v>
      </c>
      <c r="AB268" s="108">
        <f t="shared" si="2038"/>
        <v>6.86</v>
      </c>
      <c r="AC268" s="109">
        <f t="shared" si="2039"/>
        <v>0</v>
      </c>
      <c r="AD268" s="109">
        <f t="shared" si="2040"/>
        <v>0</v>
      </c>
      <c r="AE268" s="109">
        <f t="shared" si="2041"/>
        <v>0</v>
      </c>
      <c r="AF268" s="109">
        <f t="shared" si="2042"/>
        <v>10.290000000000001</v>
      </c>
      <c r="AG268" s="109">
        <f t="shared" ref="AG268:AG331" si="2109">IF(IF(L268&lt;=1.5,IF(Z268&gt;=3,M268*G268*1.5,L268*G268*(Z268-1.5)),0)&lt;0,0,IF(L268&lt;=1.5,IF(Z268&gt;=3,M268*G268*1.5,L268*G268*(Z268-1.5)),0))+IF(S268&lt;I268,0,IF(AND(Z268&lt;=3,L268&lt;=1.5),-V268,0))</f>
        <v>10.290000000000001</v>
      </c>
      <c r="AH268" s="109">
        <f t="shared" ref="AH268:AH331" si="2110">IF(IF(L268&lt;=1.5,IF(Z268&gt;=4.5,M268*G268*1.5,L268*G268*(Z268-3)),0)&lt;0,0,IF(L268&lt;=1.5,IF(Z268&gt;=4.5,M268*G268*1.5,L268*G268*(Z268-3)),0))+IF(S268&lt;I268,0,IF(AND(Z268&lt;=4.5,Z268&gt;3,L268&lt;=1.5),-V268,0))</f>
        <v>0.78890000000000149</v>
      </c>
      <c r="AI268" s="537" t="str">
        <f t="shared" si="2043"/>
        <v>NÃO</v>
      </c>
      <c r="AJ268" s="104">
        <f t="shared" si="2044"/>
        <v>0</v>
      </c>
      <c r="AK268" s="104">
        <f t="shared" si="2045"/>
        <v>0</v>
      </c>
      <c r="AL268" s="104">
        <f t="shared" si="2046"/>
        <v>20.506846975854963</v>
      </c>
      <c r="AM268" s="102">
        <f t="shared" si="2047"/>
        <v>0.34300000000000003</v>
      </c>
      <c r="AN268" s="106">
        <f t="shared" si="2048"/>
        <v>0</v>
      </c>
      <c r="AO268" s="104">
        <f t="shared" si="2049"/>
        <v>0</v>
      </c>
      <c r="AP268" s="104">
        <f t="shared" si="2050"/>
        <v>0</v>
      </c>
      <c r="AQ268" s="104">
        <f t="shared" si="2051"/>
        <v>0.7</v>
      </c>
      <c r="AR268" s="104">
        <f t="shared" si="2052"/>
        <v>3.9399469758549603</v>
      </c>
      <c r="AS268" s="104">
        <f t="shared" si="2053"/>
        <v>0</v>
      </c>
      <c r="AT268" s="104">
        <f t="shared" si="2054"/>
        <v>1.0289999999999999</v>
      </c>
      <c r="AU268" s="104">
        <f t="shared" si="2055"/>
        <v>1.0289999999999999</v>
      </c>
      <c r="AV268" s="104">
        <f t="shared" si="2056"/>
        <v>0.20580000000000001</v>
      </c>
      <c r="AW268" s="104">
        <f t="shared" si="2057"/>
        <v>14.165900000000002</v>
      </c>
      <c r="AX268" s="104">
        <f t="shared" si="2058"/>
        <v>16.399953024145042</v>
      </c>
      <c r="AY268" s="104">
        <f t="shared" si="2059"/>
        <v>14.165900000000002</v>
      </c>
      <c r="AZ268" s="104">
        <f t="shared" si="2060"/>
        <v>0</v>
      </c>
      <c r="BA268" s="104">
        <f t="shared" si="2061"/>
        <v>0</v>
      </c>
      <c r="BB268" s="104">
        <f t="shared" si="2062"/>
        <v>0</v>
      </c>
      <c r="BC268" s="104"/>
      <c r="BD268" s="104">
        <f t="shared" si="2063"/>
        <v>0</v>
      </c>
      <c r="BE268" s="108">
        <f t="shared" si="2064"/>
        <v>3.1150000000000002</v>
      </c>
      <c r="BF268" s="110">
        <f t="shared" si="2065"/>
        <v>0</v>
      </c>
      <c r="BG268" s="110">
        <f t="shared" si="2066"/>
        <v>0</v>
      </c>
      <c r="BH268" s="105" t="str">
        <f>VLOOKUP(A268,'BOCA DE LOBO'!$C$229:$I$324,7,0)</f>
        <v>BOCA DE LOBO PROJETADA DUPLA</v>
      </c>
      <c r="BI268" s="104">
        <f t="shared" si="2067"/>
        <v>0</v>
      </c>
      <c r="BJ268" s="104">
        <f t="shared" si="2068"/>
        <v>0</v>
      </c>
      <c r="BK268" s="104">
        <f t="shared" si="2069"/>
        <v>0</v>
      </c>
      <c r="BL268" s="104">
        <f t="shared" si="2070"/>
        <v>0</v>
      </c>
      <c r="BM268" s="104">
        <f t="shared" si="2071"/>
        <v>0</v>
      </c>
      <c r="BN268" s="104">
        <f t="shared" si="2072"/>
        <v>1</v>
      </c>
      <c r="BO268" s="543">
        <f t="shared" si="2073"/>
        <v>0</v>
      </c>
      <c r="BP268" s="111"/>
      <c r="BQ268" s="108">
        <f t="shared" si="2074"/>
        <v>20.580000000000002</v>
      </c>
      <c r="BR268" s="108">
        <f t="shared" si="2075"/>
        <v>20.580000000000002</v>
      </c>
      <c r="BS268" s="108">
        <f t="shared" si="2076"/>
        <v>1.577800000000003</v>
      </c>
      <c r="BV268" s="538">
        <f t="shared" si="2077"/>
        <v>19.456499999999998</v>
      </c>
      <c r="BW268" s="538">
        <f t="shared" si="2078"/>
        <v>7.7825999999999986</v>
      </c>
      <c r="BX268" s="538">
        <f t="shared" si="2079"/>
        <v>3.0325999999999995</v>
      </c>
      <c r="BY268" s="538">
        <f t="shared" si="2080"/>
        <v>2.5</v>
      </c>
      <c r="BZ268" s="538">
        <f t="shared" si="2081"/>
        <v>2.5</v>
      </c>
      <c r="CA268" s="538">
        <f t="shared" si="2082"/>
        <v>0</v>
      </c>
      <c r="CB268" s="538">
        <f t="shared" si="2083"/>
        <v>0</v>
      </c>
      <c r="CC268" s="538">
        <f t="shared" si="2084"/>
        <v>11.673899999999998</v>
      </c>
      <c r="CD268" s="538">
        <f t="shared" si="2085"/>
        <v>7.7825999999999986</v>
      </c>
      <c r="CE268" s="538">
        <f t="shared" si="2086"/>
        <v>0</v>
      </c>
      <c r="CF268" s="538">
        <f t="shared" si="2087"/>
        <v>0</v>
      </c>
      <c r="CG268" s="538">
        <f t="shared" si="2088"/>
        <v>0</v>
      </c>
      <c r="CH268" s="538">
        <f t="shared" si="2089"/>
        <v>0</v>
      </c>
      <c r="CI268" s="104">
        <f t="shared" si="2090"/>
        <v>0.53549999999999998</v>
      </c>
      <c r="CJ268" s="538">
        <f t="shared" si="2091"/>
        <v>11.339499999999997</v>
      </c>
      <c r="CK268" s="538">
        <f t="shared" si="2092"/>
        <v>11.339499999999997</v>
      </c>
      <c r="CL268" s="538">
        <f t="shared" si="2093"/>
        <v>0</v>
      </c>
      <c r="CM268" s="538">
        <f t="shared" si="2094"/>
        <v>0</v>
      </c>
      <c r="CN268" s="538">
        <f t="shared" si="2095"/>
        <v>3.57</v>
      </c>
      <c r="CO268" s="538">
        <f t="shared" si="2096"/>
        <v>2.5</v>
      </c>
      <c r="CP268" s="538">
        <f t="shared" si="2097"/>
        <v>10.709999999999999</v>
      </c>
      <c r="CQ268" s="538">
        <f t="shared" si="2098"/>
        <v>7.14</v>
      </c>
      <c r="CR268" s="539">
        <f t="shared" si="2099"/>
        <v>0</v>
      </c>
      <c r="CS268" s="540">
        <f t="shared" si="2100"/>
        <v>0</v>
      </c>
      <c r="CT268" s="540">
        <f t="shared" si="2101"/>
        <v>0.33012999999999998</v>
      </c>
      <c r="CU268" s="541">
        <f t="shared" si="2102"/>
        <v>13</v>
      </c>
      <c r="CV268" s="538">
        <f t="shared" si="2103"/>
        <v>1.43895</v>
      </c>
      <c r="CW268" s="538">
        <f t="shared" si="2104"/>
        <v>23.248199999999997</v>
      </c>
      <c r="CX268" s="104">
        <f t="shared" si="2105"/>
        <v>3.57</v>
      </c>
      <c r="CY268" s="542">
        <f t="shared" si="2106"/>
        <v>1.7849999999999999</v>
      </c>
      <c r="CZ268" s="538">
        <f t="shared" si="2107"/>
        <v>0</v>
      </c>
    </row>
    <row r="269" spans="1:104" s="112" customFormat="1" ht="25" x14ac:dyDescent="0.25">
      <c r="A269" s="100" t="str">
        <f>'BOCA DE LOBO'!C238</f>
        <v>BL10-&gt;PV9.1</v>
      </c>
      <c r="B269" s="100" t="str">
        <f>'BOCA DE LOBO'!A238</f>
        <v>PV9.1</v>
      </c>
      <c r="C269" s="100" t="str">
        <f>VLOOKUP(A269,'BOCA DE LOBO'!$C$229:$M$324,3,0)</f>
        <v>PROJETADO</v>
      </c>
      <c r="D269" s="100" t="str">
        <f>VLOOKUP(A269,'BOCA DE LOBO'!$C$229:$M$324,10,0)</f>
        <v>EXISTENTE</v>
      </c>
      <c r="E269" s="100">
        <f t="shared" si="2025"/>
        <v>2.5</v>
      </c>
      <c r="F269" s="100">
        <f>VLOOKUP(A269,'BOCA DE LOBO'!$C$229:$D$324,2,0)</f>
        <v>3.47</v>
      </c>
      <c r="G269" s="100">
        <f>VLOOKUP(A269,'BOCA DE LOBO'!$C$229:$F$324,4,0)</f>
        <v>7.78</v>
      </c>
      <c r="H269" s="101">
        <v>400</v>
      </c>
      <c r="I269" s="102">
        <f t="shared" si="2026"/>
        <v>3.1150000000000002</v>
      </c>
      <c r="J269" s="102">
        <f t="shared" si="2027"/>
        <v>0</v>
      </c>
      <c r="K269" s="103">
        <v>0</v>
      </c>
      <c r="L269" s="104">
        <f t="shared" si="2028"/>
        <v>0</v>
      </c>
      <c r="M269" s="104">
        <f t="shared" si="2029"/>
        <v>0</v>
      </c>
      <c r="N269" s="104">
        <f t="shared" si="2108"/>
        <v>400</v>
      </c>
      <c r="O269" s="104">
        <f t="shared" si="2030"/>
        <v>0</v>
      </c>
      <c r="P269" s="105" t="s">
        <v>1999</v>
      </c>
      <c r="Q269" s="468" t="s">
        <v>2081</v>
      </c>
      <c r="R269" s="105"/>
      <c r="S269" s="105">
        <f>VLOOKUP(Q269,Quantitativos!P:R,3,0)</f>
        <v>5</v>
      </c>
      <c r="T269" s="105">
        <f>VLOOKUP(Q269,Quantitativos!P:S,4,0)</f>
        <v>5</v>
      </c>
      <c r="U269" s="104">
        <f t="shared" si="2031"/>
        <v>0.05</v>
      </c>
      <c r="V269" s="106">
        <f t="shared" si="2032"/>
        <v>0</v>
      </c>
      <c r="W269" s="106">
        <f t="shared" si="2033"/>
        <v>0</v>
      </c>
      <c r="X269" s="107">
        <f t="shared" si="2034"/>
        <v>0</v>
      </c>
      <c r="Y269" s="107">
        <f t="shared" si="2035"/>
        <v>0</v>
      </c>
      <c r="Z269" s="107">
        <f t="shared" si="2036"/>
        <v>3.1150000000000002</v>
      </c>
      <c r="AA269" s="107">
        <f t="shared" si="2037"/>
        <v>0</v>
      </c>
      <c r="AB269" s="108">
        <f t="shared" si="2038"/>
        <v>0</v>
      </c>
      <c r="AC269" s="109">
        <f t="shared" si="2039"/>
        <v>0</v>
      </c>
      <c r="AD269" s="109">
        <f t="shared" si="2040"/>
        <v>0</v>
      </c>
      <c r="AE269" s="109">
        <f t="shared" si="2041"/>
        <v>0</v>
      </c>
      <c r="AF269" s="109">
        <f t="shared" si="2042"/>
        <v>0</v>
      </c>
      <c r="AG269" s="109">
        <f t="shared" si="2109"/>
        <v>0</v>
      </c>
      <c r="AH269" s="109">
        <f t="shared" si="2110"/>
        <v>0</v>
      </c>
      <c r="AI269" s="537" t="str">
        <f t="shared" si="2043"/>
        <v>NÃO</v>
      </c>
      <c r="AJ269" s="104">
        <f t="shared" si="2044"/>
        <v>0</v>
      </c>
      <c r="AK269" s="104">
        <f t="shared" si="2045"/>
        <v>0</v>
      </c>
      <c r="AL269" s="104">
        <f t="shared" si="2046"/>
        <v>0</v>
      </c>
      <c r="AM269" s="102">
        <f t="shared" si="2047"/>
        <v>0</v>
      </c>
      <c r="AN269" s="106">
        <f t="shared" si="2048"/>
        <v>0</v>
      </c>
      <c r="AO269" s="104">
        <f t="shared" si="2049"/>
        <v>0</v>
      </c>
      <c r="AP269" s="104">
        <f t="shared" si="2050"/>
        <v>0</v>
      </c>
      <c r="AQ269" s="104">
        <f t="shared" si="2051"/>
        <v>0.7</v>
      </c>
      <c r="AR269" s="104">
        <f t="shared" si="2052"/>
        <v>0</v>
      </c>
      <c r="AS269" s="104">
        <f t="shared" si="2053"/>
        <v>0</v>
      </c>
      <c r="AT269" s="104">
        <f t="shared" si="2054"/>
        <v>0</v>
      </c>
      <c r="AU269" s="104">
        <f t="shared" si="2055"/>
        <v>0</v>
      </c>
      <c r="AV269" s="104">
        <f t="shared" si="2056"/>
        <v>0</v>
      </c>
      <c r="AW269" s="104">
        <f t="shared" si="2057"/>
        <v>0</v>
      </c>
      <c r="AX269" s="104">
        <f t="shared" si="2058"/>
        <v>0</v>
      </c>
      <c r="AY269" s="104">
        <f t="shared" si="2059"/>
        <v>0</v>
      </c>
      <c r="AZ269" s="104">
        <f t="shared" si="2060"/>
        <v>0</v>
      </c>
      <c r="BA269" s="104">
        <f t="shared" si="2061"/>
        <v>0</v>
      </c>
      <c r="BB269" s="104">
        <f t="shared" si="2062"/>
        <v>0</v>
      </c>
      <c r="BC269" s="104"/>
      <c r="BD269" s="104">
        <f t="shared" si="2063"/>
        <v>0</v>
      </c>
      <c r="BE269" s="108">
        <f t="shared" si="2064"/>
        <v>3.1150000000000002</v>
      </c>
      <c r="BF269" s="110">
        <f t="shared" si="2065"/>
        <v>0</v>
      </c>
      <c r="BG269" s="110">
        <f t="shared" si="2066"/>
        <v>0</v>
      </c>
      <c r="BH269" s="105" t="str">
        <f>VLOOKUP(A269,'BOCA DE LOBO'!$C$229:$I$324,7,0)</f>
        <v>BOCA DE LOBO EXISTENTE DUPLA</v>
      </c>
      <c r="BI269" s="104">
        <f t="shared" si="2067"/>
        <v>0</v>
      </c>
      <c r="BJ269" s="104">
        <f t="shared" si="2068"/>
        <v>0</v>
      </c>
      <c r="BK269" s="104">
        <f t="shared" si="2069"/>
        <v>0</v>
      </c>
      <c r="BL269" s="104">
        <f t="shared" si="2070"/>
        <v>0</v>
      </c>
      <c r="BM269" s="104">
        <f t="shared" si="2071"/>
        <v>0</v>
      </c>
      <c r="BN269" s="104">
        <f t="shared" si="2072"/>
        <v>0</v>
      </c>
      <c r="BO269" s="543">
        <f t="shared" si="2073"/>
        <v>0</v>
      </c>
      <c r="BP269" s="111"/>
      <c r="BQ269" s="108">
        <f t="shared" si="2074"/>
        <v>23.34</v>
      </c>
      <c r="BR269" s="108">
        <f t="shared" si="2075"/>
        <v>23.34</v>
      </c>
      <c r="BS269" s="108">
        <f t="shared" si="2076"/>
        <v>1.7894000000000034</v>
      </c>
      <c r="BV269" s="538">
        <f t="shared" si="2077"/>
        <v>0</v>
      </c>
      <c r="BW269" s="538">
        <f t="shared" si="2078"/>
        <v>0</v>
      </c>
      <c r="BX269" s="538">
        <f t="shared" si="2079"/>
        <v>0</v>
      </c>
      <c r="BY269" s="538">
        <f t="shared" si="2080"/>
        <v>2.5</v>
      </c>
      <c r="BZ269" s="538">
        <f t="shared" si="2081"/>
        <v>2.5</v>
      </c>
      <c r="CA269" s="538">
        <f t="shared" si="2082"/>
        <v>0</v>
      </c>
      <c r="CB269" s="538">
        <f t="shared" si="2083"/>
        <v>0</v>
      </c>
      <c r="CC269" s="538">
        <f t="shared" si="2084"/>
        <v>0</v>
      </c>
      <c r="CD269" s="538">
        <f t="shared" si="2085"/>
        <v>0</v>
      </c>
      <c r="CE269" s="538">
        <f t="shared" si="2086"/>
        <v>0</v>
      </c>
      <c r="CF269" s="538">
        <f t="shared" si="2087"/>
        <v>0</v>
      </c>
      <c r="CG269" s="538">
        <f t="shared" si="2088"/>
        <v>0</v>
      </c>
      <c r="CH269" s="538">
        <f t="shared" si="2089"/>
        <v>0</v>
      </c>
      <c r="CI269" s="104">
        <f t="shared" si="2090"/>
        <v>0</v>
      </c>
      <c r="CJ269" s="538">
        <f t="shared" si="2091"/>
        <v>0</v>
      </c>
      <c r="CK269" s="538">
        <f t="shared" si="2092"/>
        <v>0</v>
      </c>
      <c r="CL269" s="538">
        <f t="shared" si="2093"/>
        <v>0</v>
      </c>
      <c r="CM269" s="538">
        <f t="shared" si="2094"/>
        <v>0</v>
      </c>
      <c r="CN269" s="538">
        <f t="shared" si="2095"/>
        <v>0</v>
      </c>
      <c r="CO269" s="538">
        <f t="shared" si="2096"/>
        <v>2.5</v>
      </c>
      <c r="CP269" s="538">
        <f t="shared" si="2097"/>
        <v>0</v>
      </c>
      <c r="CQ269" s="538">
        <f t="shared" si="2098"/>
        <v>0</v>
      </c>
      <c r="CR269" s="539">
        <f t="shared" si="2099"/>
        <v>0</v>
      </c>
      <c r="CS269" s="540">
        <f t="shared" si="2100"/>
        <v>0</v>
      </c>
      <c r="CT269" s="540">
        <f t="shared" si="2101"/>
        <v>0</v>
      </c>
      <c r="CU269" s="541">
        <f t="shared" si="2102"/>
        <v>0</v>
      </c>
      <c r="CV269" s="538">
        <f t="shared" si="2103"/>
        <v>0</v>
      </c>
      <c r="CW269" s="538">
        <f t="shared" si="2104"/>
        <v>0</v>
      </c>
      <c r="CX269" s="104">
        <f t="shared" si="2105"/>
        <v>0</v>
      </c>
      <c r="CY269" s="542">
        <f t="shared" si="2106"/>
        <v>0</v>
      </c>
      <c r="CZ269" s="538">
        <f t="shared" si="2107"/>
        <v>0</v>
      </c>
    </row>
    <row r="270" spans="1:104" s="112" customFormat="1" ht="25" x14ac:dyDescent="0.25">
      <c r="A270" s="100" t="str">
        <f>'BOCA DE LOBO'!C239</f>
        <v>BL11-&gt;PV11.1</v>
      </c>
      <c r="B270" s="100" t="str">
        <f>'BOCA DE LOBO'!A239</f>
        <v>PV11.1</v>
      </c>
      <c r="C270" s="100" t="str">
        <f>VLOOKUP(A270,'BOCA DE LOBO'!$C$229:$M$324,3,0)</f>
        <v>PROJETADO</v>
      </c>
      <c r="D270" s="100" t="str">
        <f>VLOOKUP(A270,'BOCA DE LOBO'!$C$229:$M$324,10,0)</f>
        <v>PROJETADA</v>
      </c>
      <c r="E270" s="100">
        <f t="shared" si="2025"/>
        <v>2.5</v>
      </c>
      <c r="F270" s="100">
        <f>VLOOKUP(A270,'BOCA DE LOBO'!$C$229:$D$324,2,0)</f>
        <v>3.67</v>
      </c>
      <c r="G270" s="100">
        <f>VLOOKUP(A270,'BOCA DE LOBO'!$C$229:$F$324,4,0)</f>
        <v>7.67</v>
      </c>
      <c r="H270" s="101">
        <v>400</v>
      </c>
      <c r="I270" s="102">
        <f t="shared" si="2026"/>
        <v>3.2149999999999999</v>
      </c>
      <c r="J270" s="102">
        <f t="shared" si="2027"/>
        <v>1.2329524999999999</v>
      </c>
      <c r="K270" s="103">
        <v>0</v>
      </c>
      <c r="L270" s="104">
        <f t="shared" si="2028"/>
        <v>1</v>
      </c>
      <c r="M270" s="104">
        <f t="shared" si="2029"/>
        <v>1</v>
      </c>
      <c r="N270" s="104">
        <f t="shared" si="2108"/>
        <v>0</v>
      </c>
      <c r="O270" s="104">
        <f t="shared" si="2030"/>
        <v>7.67</v>
      </c>
      <c r="P270" s="105" t="s">
        <v>1999</v>
      </c>
      <c r="Q270" s="468" t="s">
        <v>2081</v>
      </c>
      <c r="R270" s="105"/>
      <c r="S270" s="105">
        <f>VLOOKUP(Q270,Quantitativos!P:R,3,0)</f>
        <v>5</v>
      </c>
      <c r="T270" s="105">
        <f>VLOOKUP(Q270,Quantitativos!P:S,4,0)</f>
        <v>5</v>
      </c>
      <c r="U270" s="104">
        <f t="shared" si="2031"/>
        <v>0.05</v>
      </c>
      <c r="V270" s="106">
        <f t="shared" si="2032"/>
        <v>0</v>
      </c>
      <c r="W270" s="106">
        <f t="shared" si="2033"/>
        <v>24.659049999999997</v>
      </c>
      <c r="X270" s="107">
        <f t="shared" si="2034"/>
        <v>0</v>
      </c>
      <c r="Y270" s="107">
        <f t="shared" si="2035"/>
        <v>0</v>
      </c>
      <c r="Z270" s="107">
        <f t="shared" si="2036"/>
        <v>3.2149999999999999</v>
      </c>
      <c r="AA270" s="107">
        <f t="shared" si="2037"/>
        <v>0</v>
      </c>
      <c r="AB270" s="108">
        <f t="shared" si="2038"/>
        <v>7.67</v>
      </c>
      <c r="AC270" s="109">
        <f t="shared" si="2039"/>
        <v>0</v>
      </c>
      <c r="AD270" s="109">
        <f t="shared" si="2040"/>
        <v>0</v>
      </c>
      <c r="AE270" s="109">
        <f t="shared" si="2041"/>
        <v>0</v>
      </c>
      <c r="AF270" s="109">
        <f t="shared" si="2042"/>
        <v>11.504999999999999</v>
      </c>
      <c r="AG270" s="109">
        <f t="shared" si="2109"/>
        <v>11.504999999999999</v>
      </c>
      <c r="AH270" s="109">
        <f t="shared" si="2110"/>
        <v>1.6490499999999988</v>
      </c>
      <c r="AI270" s="537" t="str">
        <f t="shared" si="2043"/>
        <v>NÃO</v>
      </c>
      <c r="AJ270" s="104">
        <f t="shared" si="2044"/>
        <v>0</v>
      </c>
      <c r="AK270" s="104">
        <f t="shared" si="2045"/>
        <v>0</v>
      </c>
      <c r="AL270" s="104">
        <f t="shared" si="2046"/>
        <v>23.695209373878647</v>
      </c>
      <c r="AM270" s="102">
        <f t="shared" si="2047"/>
        <v>0.38350000000000001</v>
      </c>
      <c r="AN270" s="106">
        <f t="shared" si="2048"/>
        <v>0</v>
      </c>
      <c r="AO270" s="104">
        <f t="shared" si="2049"/>
        <v>0</v>
      </c>
      <c r="AP270" s="104">
        <f t="shared" si="2050"/>
        <v>0</v>
      </c>
      <c r="AQ270" s="104">
        <f t="shared" si="2051"/>
        <v>0.7</v>
      </c>
      <c r="AR270" s="104">
        <f t="shared" si="2052"/>
        <v>4.405159373878651</v>
      </c>
      <c r="AS270" s="104">
        <f t="shared" si="2053"/>
        <v>0</v>
      </c>
      <c r="AT270" s="104">
        <f t="shared" si="2054"/>
        <v>1.1504999999999999</v>
      </c>
      <c r="AU270" s="104">
        <f t="shared" si="2055"/>
        <v>1.1504999999999999</v>
      </c>
      <c r="AV270" s="104">
        <f t="shared" si="2056"/>
        <v>0.2301</v>
      </c>
      <c r="AW270" s="104">
        <f t="shared" si="2057"/>
        <v>16.605549999999994</v>
      </c>
      <c r="AX270" s="104">
        <f t="shared" si="2058"/>
        <v>19.103390626121346</v>
      </c>
      <c r="AY270" s="104">
        <f t="shared" si="2059"/>
        <v>16.605549999999994</v>
      </c>
      <c r="AZ270" s="104">
        <f t="shared" si="2060"/>
        <v>0</v>
      </c>
      <c r="BA270" s="104">
        <f t="shared" si="2061"/>
        <v>0</v>
      </c>
      <c r="BB270" s="104">
        <f t="shared" si="2062"/>
        <v>0</v>
      </c>
      <c r="BC270" s="104"/>
      <c r="BD270" s="104">
        <f t="shared" si="2063"/>
        <v>0</v>
      </c>
      <c r="BE270" s="108">
        <f t="shared" si="2064"/>
        <v>3.2149999999999999</v>
      </c>
      <c r="BF270" s="110">
        <f t="shared" si="2065"/>
        <v>0</v>
      </c>
      <c r="BG270" s="110">
        <f t="shared" si="2066"/>
        <v>0</v>
      </c>
      <c r="BH270" s="105" t="str">
        <f>VLOOKUP(A270,'BOCA DE LOBO'!$C$229:$I$324,7,0)</f>
        <v>BOCA DE LOBO PROJETADA DUPLA</v>
      </c>
      <c r="BI270" s="104">
        <f t="shared" si="2067"/>
        <v>0</v>
      </c>
      <c r="BJ270" s="104">
        <f t="shared" si="2068"/>
        <v>0</v>
      </c>
      <c r="BK270" s="104">
        <f t="shared" si="2069"/>
        <v>0</v>
      </c>
      <c r="BL270" s="104">
        <f t="shared" si="2070"/>
        <v>0</v>
      </c>
      <c r="BM270" s="104">
        <f t="shared" si="2071"/>
        <v>0</v>
      </c>
      <c r="BN270" s="104">
        <f t="shared" si="2072"/>
        <v>1</v>
      </c>
      <c r="BO270" s="543">
        <f t="shared" si="2073"/>
        <v>0</v>
      </c>
      <c r="BP270" s="111"/>
      <c r="BQ270" s="108">
        <f t="shared" si="2074"/>
        <v>23.009999999999998</v>
      </c>
      <c r="BR270" s="108">
        <f t="shared" si="2075"/>
        <v>23.009999999999998</v>
      </c>
      <c r="BS270" s="108">
        <f t="shared" si="2076"/>
        <v>3.2980999999999976</v>
      </c>
      <c r="BV270" s="538">
        <f t="shared" si="2077"/>
        <v>19.456499999999998</v>
      </c>
      <c r="BW270" s="538">
        <f t="shared" si="2078"/>
        <v>7.7825999999999986</v>
      </c>
      <c r="BX270" s="538">
        <f t="shared" si="2079"/>
        <v>3.0325999999999995</v>
      </c>
      <c r="BY270" s="538">
        <f t="shared" si="2080"/>
        <v>2.5</v>
      </c>
      <c r="BZ270" s="538">
        <f t="shared" si="2081"/>
        <v>2.5</v>
      </c>
      <c r="CA270" s="538">
        <f t="shared" si="2082"/>
        <v>0</v>
      </c>
      <c r="CB270" s="538">
        <f t="shared" si="2083"/>
        <v>0</v>
      </c>
      <c r="CC270" s="538">
        <f t="shared" si="2084"/>
        <v>11.673899999999998</v>
      </c>
      <c r="CD270" s="538">
        <f t="shared" si="2085"/>
        <v>7.7825999999999986</v>
      </c>
      <c r="CE270" s="538">
        <f t="shared" si="2086"/>
        <v>0</v>
      </c>
      <c r="CF270" s="538">
        <f t="shared" si="2087"/>
        <v>0</v>
      </c>
      <c r="CG270" s="538">
        <f t="shared" si="2088"/>
        <v>0</v>
      </c>
      <c r="CH270" s="538">
        <f t="shared" si="2089"/>
        <v>0</v>
      </c>
      <c r="CI270" s="104">
        <f t="shared" si="2090"/>
        <v>0.53549999999999998</v>
      </c>
      <c r="CJ270" s="538">
        <f t="shared" si="2091"/>
        <v>11.339499999999997</v>
      </c>
      <c r="CK270" s="538">
        <f t="shared" si="2092"/>
        <v>11.339499999999997</v>
      </c>
      <c r="CL270" s="538">
        <f t="shared" si="2093"/>
        <v>0</v>
      </c>
      <c r="CM270" s="538">
        <f t="shared" si="2094"/>
        <v>0</v>
      </c>
      <c r="CN270" s="538">
        <f t="shared" si="2095"/>
        <v>3.57</v>
      </c>
      <c r="CO270" s="538">
        <f t="shared" si="2096"/>
        <v>2.5</v>
      </c>
      <c r="CP270" s="538">
        <f t="shared" si="2097"/>
        <v>10.709999999999999</v>
      </c>
      <c r="CQ270" s="538">
        <f t="shared" si="2098"/>
        <v>7.14</v>
      </c>
      <c r="CR270" s="539">
        <f t="shared" si="2099"/>
        <v>0</v>
      </c>
      <c r="CS270" s="540">
        <f t="shared" si="2100"/>
        <v>0</v>
      </c>
      <c r="CT270" s="540">
        <f t="shared" si="2101"/>
        <v>0.33012999999999998</v>
      </c>
      <c r="CU270" s="541">
        <f t="shared" si="2102"/>
        <v>13</v>
      </c>
      <c r="CV270" s="538">
        <f t="shared" si="2103"/>
        <v>1.43895</v>
      </c>
      <c r="CW270" s="538">
        <f t="shared" si="2104"/>
        <v>23.248199999999997</v>
      </c>
      <c r="CX270" s="104">
        <f t="shared" si="2105"/>
        <v>3.57</v>
      </c>
      <c r="CY270" s="542">
        <f t="shared" si="2106"/>
        <v>1.7849999999999999</v>
      </c>
      <c r="CZ270" s="538">
        <f t="shared" si="2107"/>
        <v>0</v>
      </c>
    </row>
    <row r="271" spans="1:104" s="112" customFormat="1" ht="25" x14ac:dyDescent="0.25">
      <c r="A271" s="100" t="str">
        <f>'BOCA DE LOBO'!C240</f>
        <v>BL12-&gt;PV11.1</v>
      </c>
      <c r="B271" s="100" t="str">
        <f>'BOCA DE LOBO'!A240</f>
        <v>PV11.1</v>
      </c>
      <c r="C271" s="100" t="str">
        <f>VLOOKUP(A271,'BOCA DE LOBO'!$C$229:$M$324,3,0)</f>
        <v>PROJETADO</v>
      </c>
      <c r="D271" s="100" t="str">
        <f>VLOOKUP(A271,'BOCA DE LOBO'!$C$229:$M$324,10,0)</f>
        <v>PROJETADA</v>
      </c>
      <c r="E271" s="100">
        <f t="shared" si="2025"/>
        <v>2.5</v>
      </c>
      <c r="F271" s="100">
        <f>VLOOKUP(A271,'BOCA DE LOBO'!$C$229:$D$324,2,0)</f>
        <v>3.67</v>
      </c>
      <c r="G271" s="100">
        <f>VLOOKUP(A271,'BOCA DE LOBO'!$C$229:$F$324,4,0)</f>
        <v>6.22</v>
      </c>
      <c r="H271" s="101">
        <v>400</v>
      </c>
      <c r="I271" s="102">
        <f t="shared" si="2026"/>
        <v>3.2149999999999999</v>
      </c>
      <c r="J271" s="102">
        <f t="shared" si="2027"/>
        <v>0.999865</v>
      </c>
      <c r="K271" s="103">
        <v>0</v>
      </c>
      <c r="L271" s="104">
        <f t="shared" si="2028"/>
        <v>1</v>
      </c>
      <c r="M271" s="104">
        <f t="shared" si="2029"/>
        <v>1</v>
      </c>
      <c r="N271" s="104">
        <f t="shared" si="2108"/>
        <v>0</v>
      </c>
      <c r="O271" s="104">
        <f t="shared" si="2030"/>
        <v>6.22</v>
      </c>
      <c r="P271" s="105" t="s">
        <v>1999</v>
      </c>
      <c r="Q271" s="468" t="s">
        <v>2081</v>
      </c>
      <c r="R271" s="105"/>
      <c r="S271" s="105">
        <f>VLOOKUP(Q271,Quantitativos!P:R,3,0)</f>
        <v>5</v>
      </c>
      <c r="T271" s="105">
        <f>VLOOKUP(Q271,Quantitativos!P:S,4,0)</f>
        <v>5</v>
      </c>
      <c r="U271" s="104">
        <f t="shared" si="2031"/>
        <v>0.05</v>
      </c>
      <c r="V271" s="106">
        <f t="shared" si="2032"/>
        <v>0</v>
      </c>
      <c r="W271" s="106">
        <f t="shared" si="2033"/>
        <v>19.997299999999999</v>
      </c>
      <c r="X271" s="107">
        <f t="shared" si="2034"/>
        <v>0</v>
      </c>
      <c r="Y271" s="107">
        <f t="shared" si="2035"/>
        <v>0</v>
      </c>
      <c r="Z271" s="107">
        <f t="shared" si="2036"/>
        <v>3.2149999999999999</v>
      </c>
      <c r="AA271" s="107">
        <f t="shared" si="2037"/>
        <v>0</v>
      </c>
      <c r="AB271" s="108">
        <f t="shared" si="2038"/>
        <v>6.22</v>
      </c>
      <c r="AC271" s="109">
        <f t="shared" si="2039"/>
        <v>0</v>
      </c>
      <c r="AD271" s="109">
        <f t="shared" si="2040"/>
        <v>0</v>
      </c>
      <c r="AE271" s="109">
        <f t="shared" si="2041"/>
        <v>0</v>
      </c>
      <c r="AF271" s="109">
        <f t="shared" si="2042"/>
        <v>9.33</v>
      </c>
      <c r="AG271" s="109">
        <f t="shared" si="2109"/>
        <v>9.33</v>
      </c>
      <c r="AH271" s="109">
        <f t="shared" si="2110"/>
        <v>1.337299999999999</v>
      </c>
      <c r="AI271" s="537" t="str">
        <f t="shared" si="2043"/>
        <v>NÃO</v>
      </c>
      <c r="AJ271" s="104">
        <f t="shared" si="2044"/>
        <v>0</v>
      </c>
      <c r="AK271" s="104">
        <f t="shared" si="2045"/>
        <v>0</v>
      </c>
      <c r="AL271" s="104">
        <f t="shared" si="2046"/>
        <v>19.215671747786857</v>
      </c>
      <c r="AM271" s="102">
        <f t="shared" si="2047"/>
        <v>0.311</v>
      </c>
      <c r="AN271" s="106">
        <f t="shared" si="2048"/>
        <v>0</v>
      </c>
      <c r="AO271" s="104">
        <f t="shared" si="2049"/>
        <v>0</v>
      </c>
      <c r="AP271" s="104">
        <f t="shared" si="2050"/>
        <v>0</v>
      </c>
      <c r="AQ271" s="104">
        <f t="shared" si="2051"/>
        <v>0.7</v>
      </c>
      <c r="AR271" s="104">
        <f t="shared" si="2052"/>
        <v>3.5723717477868586</v>
      </c>
      <c r="AS271" s="104">
        <f t="shared" si="2053"/>
        <v>0</v>
      </c>
      <c r="AT271" s="104">
        <f t="shared" si="2054"/>
        <v>0.93299999999999994</v>
      </c>
      <c r="AU271" s="104">
        <f t="shared" si="2055"/>
        <v>0.93299999999999994</v>
      </c>
      <c r="AV271" s="104">
        <f t="shared" si="2056"/>
        <v>0.18659999999999999</v>
      </c>
      <c r="AW271" s="104">
        <f t="shared" si="2057"/>
        <v>13.466299999999999</v>
      </c>
      <c r="AX271" s="104">
        <f t="shared" si="2058"/>
        <v>15.491928252213141</v>
      </c>
      <c r="AY271" s="104">
        <f t="shared" si="2059"/>
        <v>13.466299999999999</v>
      </c>
      <c r="AZ271" s="104">
        <f t="shared" si="2060"/>
        <v>0</v>
      </c>
      <c r="BA271" s="104">
        <f t="shared" si="2061"/>
        <v>0</v>
      </c>
      <c r="BB271" s="104">
        <f t="shared" si="2062"/>
        <v>0</v>
      </c>
      <c r="BC271" s="104"/>
      <c r="BD271" s="104">
        <f t="shared" si="2063"/>
        <v>0</v>
      </c>
      <c r="BE271" s="108">
        <f t="shared" si="2064"/>
        <v>3.2149999999999999</v>
      </c>
      <c r="BF271" s="110">
        <f t="shared" si="2065"/>
        <v>0</v>
      </c>
      <c r="BG271" s="110">
        <f t="shared" si="2066"/>
        <v>0</v>
      </c>
      <c r="BH271" s="105" t="str">
        <f>VLOOKUP(A271,'BOCA DE LOBO'!$C$229:$I$324,7,0)</f>
        <v>BOCA DE LOBO PROJETADA DUPLA</v>
      </c>
      <c r="BI271" s="104">
        <f t="shared" si="2067"/>
        <v>0</v>
      </c>
      <c r="BJ271" s="104">
        <f t="shared" si="2068"/>
        <v>0</v>
      </c>
      <c r="BK271" s="104">
        <f t="shared" si="2069"/>
        <v>0</v>
      </c>
      <c r="BL271" s="104">
        <f t="shared" si="2070"/>
        <v>0</v>
      </c>
      <c r="BM271" s="104">
        <f t="shared" si="2071"/>
        <v>0</v>
      </c>
      <c r="BN271" s="104">
        <f t="shared" si="2072"/>
        <v>1</v>
      </c>
      <c r="BO271" s="543">
        <f t="shared" si="2073"/>
        <v>0</v>
      </c>
      <c r="BP271" s="111"/>
      <c r="BQ271" s="108">
        <f t="shared" si="2074"/>
        <v>18.66</v>
      </c>
      <c r="BR271" s="108">
        <f t="shared" si="2075"/>
        <v>18.66</v>
      </c>
      <c r="BS271" s="108">
        <f t="shared" si="2076"/>
        <v>2.6745999999999981</v>
      </c>
      <c r="BV271" s="538">
        <f t="shared" si="2077"/>
        <v>19.456499999999998</v>
      </c>
      <c r="BW271" s="538">
        <f t="shared" si="2078"/>
        <v>7.7825999999999986</v>
      </c>
      <c r="BX271" s="538">
        <f t="shared" si="2079"/>
        <v>3.0325999999999995</v>
      </c>
      <c r="BY271" s="538">
        <f t="shared" si="2080"/>
        <v>2.5</v>
      </c>
      <c r="BZ271" s="538">
        <f t="shared" si="2081"/>
        <v>2.5</v>
      </c>
      <c r="CA271" s="538">
        <f t="shared" si="2082"/>
        <v>0</v>
      </c>
      <c r="CB271" s="538">
        <f t="shared" si="2083"/>
        <v>0</v>
      </c>
      <c r="CC271" s="538">
        <f t="shared" si="2084"/>
        <v>11.673899999999998</v>
      </c>
      <c r="CD271" s="538">
        <f t="shared" si="2085"/>
        <v>7.7825999999999986</v>
      </c>
      <c r="CE271" s="538">
        <f t="shared" si="2086"/>
        <v>0</v>
      </c>
      <c r="CF271" s="538">
        <f t="shared" si="2087"/>
        <v>0</v>
      </c>
      <c r="CG271" s="538">
        <f t="shared" si="2088"/>
        <v>0</v>
      </c>
      <c r="CH271" s="538">
        <f t="shared" si="2089"/>
        <v>0</v>
      </c>
      <c r="CI271" s="104">
        <f t="shared" si="2090"/>
        <v>0.53549999999999998</v>
      </c>
      <c r="CJ271" s="538">
        <f t="shared" si="2091"/>
        <v>11.339499999999997</v>
      </c>
      <c r="CK271" s="538">
        <f t="shared" si="2092"/>
        <v>11.339499999999997</v>
      </c>
      <c r="CL271" s="538">
        <f t="shared" si="2093"/>
        <v>0</v>
      </c>
      <c r="CM271" s="538">
        <f t="shared" si="2094"/>
        <v>0</v>
      </c>
      <c r="CN271" s="538">
        <f t="shared" si="2095"/>
        <v>3.57</v>
      </c>
      <c r="CO271" s="538">
        <f t="shared" si="2096"/>
        <v>2.5</v>
      </c>
      <c r="CP271" s="538">
        <f t="shared" si="2097"/>
        <v>10.709999999999999</v>
      </c>
      <c r="CQ271" s="538">
        <f t="shared" si="2098"/>
        <v>7.14</v>
      </c>
      <c r="CR271" s="539">
        <f t="shared" si="2099"/>
        <v>0</v>
      </c>
      <c r="CS271" s="540">
        <f t="shared" si="2100"/>
        <v>0</v>
      </c>
      <c r="CT271" s="540">
        <f t="shared" si="2101"/>
        <v>0.33012999999999998</v>
      </c>
      <c r="CU271" s="541">
        <f t="shared" si="2102"/>
        <v>13</v>
      </c>
      <c r="CV271" s="538">
        <f t="shared" si="2103"/>
        <v>1.43895</v>
      </c>
      <c r="CW271" s="538">
        <f t="shared" si="2104"/>
        <v>23.248199999999997</v>
      </c>
      <c r="CX271" s="104">
        <f t="shared" si="2105"/>
        <v>3.57</v>
      </c>
      <c r="CY271" s="542">
        <f t="shared" si="2106"/>
        <v>1.7849999999999999</v>
      </c>
      <c r="CZ271" s="538">
        <f t="shared" si="2107"/>
        <v>0</v>
      </c>
    </row>
    <row r="272" spans="1:104" s="112" customFormat="1" ht="25" x14ac:dyDescent="0.25">
      <c r="A272" s="100" t="str">
        <f>'BOCA DE LOBO'!C241</f>
        <v>BL13-&gt;PV13.1</v>
      </c>
      <c r="B272" s="100" t="str">
        <f>'BOCA DE LOBO'!A241</f>
        <v>PV13.1</v>
      </c>
      <c r="C272" s="100" t="str">
        <f>VLOOKUP(A272,'BOCA DE LOBO'!$C$229:$M$324,3,0)</f>
        <v>PROJETADO</v>
      </c>
      <c r="D272" s="100" t="str">
        <f>VLOOKUP(A272,'BOCA DE LOBO'!$C$229:$M$324,10,0)</f>
        <v>EXISTENTE</v>
      </c>
      <c r="E272" s="100">
        <f t="shared" si="2025"/>
        <v>2.5</v>
      </c>
      <c r="F272" s="100">
        <f>VLOOKUP(A272,'BOCA DE LOBO'!$C$229:$D$324,2,0)</f>
        <v>3.67</v>
      </c>
      <c r="G272" s="100">
        <f>VLOOKUP(A272,'BOCA DE LOBO'!$C$229:$F$324,4,0)</f>
        <v>9.4</v>
      </c>
      <c r="H272" s="101">
        <v>400</v>
      </c>
      <c r="I272" s="102">
        <f t="shared" si="2026"/>
        <v>3.2149999999999999</v>
      </c>
      <c r="J272" s="102">
        <f t="shared" si="2027"/>
        <v>0</v>
      </c>
      <c r="K272" s="103">
        <v>0</v>
      </c>
      <c r="L272" s="104">
        <f t="shared" si="2028"/>
        <v>0</v>
      </c>
      <c r="M272" s="104">
        <f t="shared" si="2029"/>
        <v>0</v>
      </c>
      <c r="N272" s="104">
        <f t="shared" si="2108"/>
        <v>400</v>
      </c>
      <c r="O272" s="104">
        <f t="shared" si="2030"/>
        <v>0</v>
      </c>
      <c r="P272" s="105" t="s">
        <v>1999</v>
      </c>
      <c r="Q272" s="468" t="s">
        <v>2081</v>
      </c>
      <c r="R272" s="105"/>
      <c r="S272" s="105">
        <f>VLOOKUP(Q272,Quantitativos!P:R,3,0)</f>
        <v>5</v>
      </c>
      <c r="T272" s="105">
        <f>VLOOKUP(Q272,Quantitativos!P:S,4,0)</f>
        <v>5</v>
      </c>
      <c r="U272" s="104">
        <f t="shared" si="2031"/>
        <v>0.05</v>
      </c>
      <c r="V272" s="106">
        <f t="shared" si="2032"/>
        <v>0</v>
      </c>
      <c r="W272" s="106">
        <f t="shared" si="2033"/>
        <v>0</v>
      </c>
      <c r="X272" s="107">
        <f t="shared" si="2034"/>
        <v>0</v>
      </c>
      <c r="Y272" s="107">
        <f t="shared" si="2035"/>
        <v>0</v>
      </c>
      <c r="Z272" s="107">
        <f t="shared" si="2036"/>
        <v>3.2149999999999999</v>
      </c>
      <c r="AA272" s="107">
        <f t="shared" si="2037"/>
        <v>0</v>
      </c>
      <c r="AB272" s="108">
        <f t="shared" si="2038"/>
        <v>0</v>
      </c>
      <c r="AC272" s="109">
        <f t="shared" si="2039"/>
        <v>0</v>
      </c>
      <c r="AD272" s="109">
        <f t="shared" si="2040"/>
        <v>0</v>
      </c>
      <c r="AE272" s="109">
        <f t="shared" si="2041"/>
        <v>0</v>
      </c>
      <c r="AF272" s="109">
        <f t="shared" si="2042"/>
        <v>0</v>
      </c>
      <c r="AG272" s="109">
        <f t="shared" si="2109"/>
        <v>0</v>
      </c>
      <c r="AH272" s="109">
        <f t="shared" si="2110"/>
        <v>0</v>
      </c>
      <c r="AI272" s="537" t="str">
        <f t="shared" si="2043"/>
        <v>NÃO</v>
      </c>
      <c r="AJ272" s="104">
        <f t="shared" si="2044"/>
        <v>0</v>
      </c>
      <c r="AK272" s="104">
        <f t="shared" si="2045"/>
        <v>0</v>
      </c>
      <c r="AL272" s="104">
        <f t="shared" si="2046"/>
        <v>0</v>
      </c>
      <c r="AM272" s="102">
        <f t="shared" si="2047"/>
        <v>0</v>
      </c>
      <c r="AN272" s="106">
        <f t="shared" si="2048"/>
        <v>0</v>
      </c>
      <c r="AO272" s="104">
        <f t="shared" si="2049"/>
        <v>0</v>
      </c>
      <c r="AP272" s="104">
        <f t="shared" si="2050"/>
        <v>0</v>
      </c>
      <c r="AQ272" s="104">
        <f t="shared" si="2051"/>
        <v>0.7</v>
      </c>
      <c r="AR272" s="104">
        <f t="shared" si="2052"/>
        <v>0</v>
      </c>
      <c r="AS272" s="104">
        <f t="shared" si="2053"/>
        <v>0</v>
      </c>
      <c r="AT272" s="104">
        <f t="shared" si="2054"/>
        <v>0</v>
      </c>
      <c r="AU272" s="104">
        <f t="shared" si="2055"/>
        <v>0</v>
      </c>
      <c r="AV272" s="104">
        <f t="shared" si="2056"/>
        <v>0</v>
      </c>
      <c r="AW272" s="104">
        <f t="shared" si="2057"/>
        <v>0</v>
      </c>
      <c r="AX272" s="104">
        <f t="shared" si="2058"/>
        <v>0</v>
      </c>
      <c r="AY272" s="104">
        <f t="shared" si="2059"/>
        <v>0</v>
      </c>
      <c r="AZ272" s="104">
        <f t="shared" si="2060"/>
        <v>0</v>
      </c>
      <c r="BA272" s="104">
        <f t="shared" si="2061"/>
        <v>0</v>
      </c>
      <c r="BB272" s="104">
        <f t="shared" si="2062"/>
        <v>0</v>
      </c>
      <c r="BC272" s="104"/>
      <c r="BD272" s="104">
        <f t="shared" si="2063"/>
        <v>0</v>
      </c>
      <c r="BE272" s="108">
        <f t="shared" si="2064"/>
        <v>3.2149999999999999</v>
      </c>
      <c r="BF272" s="110">
        <f t="shared" si="2065"/>
        <v>0</v>
      </c>
      <c r="BG272" s="110">
        <f t="shared" si="2066"/>
        <v>0</v>
      </c>
      <c r="BH272" s="105" t="str">
        <f>VLOOKUP(A272,'BOCA DE LOBO'!$C$229:$I$324,7,0)</f>
        <v>BOCA DE LOBO EXISTENTE DUPLA</v>
      </c>
      <c r="BI272" s="104">
        <f t="shared" si="2067"/>
        <v>0</v>
      </c>
      <c r="BJ272" s="104">
        <f t="shared" si="2068"/>
        <v>0</v>
      </c>
      <c r="BK272" s="104">
        <f t="shared" si="2069"/>
        <v>0</v>
      </c>
      <c r="BL272" s="104">
        <f t="shared" si="2070"/>
        <v>0</v>
      </c>
      <c r="BM272" s="104">
        <f t="shared" si="2071"/>
        <v>0</v>
      </c>
      <c r="BN272" s="104">
        <f t="shared" si="2072"/>
        <v>0</v>
      </c>
      <c r="BO272" s="543">
        <f t="shared" si="2073"/>
        <v>0</v>
      </c>
      <c r="BP272" s="111"/>
      <c r="BQ272" s="108">
        <f t="shared" si="2074"/>
        <v>28.200000000000003</v>
      </c>
      <c r="BR272" s="108">
        <f t="shared" si="2075"/>
        <v>28.200000000000003</v>
      </c>
      <c r="BS272" s="108">
        <f t="shared" si="2076"/>
        <v>4.0419999999999972</v>
      </c>
      <c r="BV272" s="538">
        <f t="shared" si="2077"/>
        <v>0</v>
      </c>
      <c r="BW272" s="538">
        <f t="shared" si="2078"/>
        <v>0</v>
      </c>
      <c r="BX272" s="538">
        <f t="shared" si="2079"/>
        <v>0</v>
      </c>
      <c r="BY272" s="538">
        <f t="shared" si="2080"/>
        <v>2.5</v>
      </c>
      <c r="BZ272" s="538">
        <f t="shared" si="2081"/>
        <v>2.5</v>
      </c>
      <c r="CA272" s="538">
        <f t="shared" si="2082"/>
        <v>0</v>
      </c>
      <c r="CB272" s="538">
        <f t="shared" si="2083"/>
        <v>0</v>
      </c>
      <c r="CC272" s="538">
        <f t="shared" si="2084"/>
        <v>0</v>
      </c>
      <c r="CD272" s="538">
        <f t="shared" si="2085"/>
        <v>0</v>
      </c>
      <c r="CE272" s="538">
        <f t="shared" si="2086"/>
        <v>0</v>
      </c>
      <c r="CF272" s="538">
        <f t="shared" si="2087"/>
        <v>0</v>
      </c>
      <c r="CG272" s="538">
        <f t="shared" si="2088"/>
        <v>0</v>
      </c>
      <c r="CH272" s="538">
        <f t="shared" si="2089"/>
        <v>0</v>
      </c>
      <c r="CI272" s="104">
        <f t="shared" si="2090"/>
        <v>0</v>
      </c>
      <c r="CJ272" s="538">
        <f t="shared" si="2091"/>
        <v>0</v>
      </c>
      <c r="CK272" s="538">
        <f t="shared" si="2092"/>
        <v>0</v>
      </c>
      <c r="CL272" s="538">
        <f t="shared" si="2093"/>
        <v>0</v>
      </c>
      <c r="CM272" s="538">
        <f t="shared" si="2094"/>
        <v>0</v>
      </c>
      <c r="CN272" s="538">
        <f t="shared" si="2095"/>
        <v>0</v>
      </c>
      <c r="CO272" s="538">
        <f t="shared" si="2096"/>
        <v>2.5</v>
      </c>
      <c r="CP272" s="538">
        <f t="shared" si="2097"/>
        <v>0</v>
      </c>
      <c r="CQ272" s="538">
        <f t="shared" si="2098"/>
        <v>0</v>
      </c>
      <c r="CR272" s="539">
        <f t="shared" si="2099"/>
        <v>0</v>
      </c>
      <c r="CS272" s="540">
        <f t="shared" si="2100"/>
        <v>0</v>
      </c>
      <c r="CT272" s="540">
        <f t="shared" si="2101"/>
        <v>0</v>
      </c>
      <c r="CU272" s="541">
        <f t="shared" si="2102"/>
        <v>0</v>
      </c>
      <c r="CV272" s="538">
        <f t="shared" si="2103"/>
        <v>0</v>
      </c>
      <c r="CW272" s="538">
        <f t="shared" si="2104"/>
        <v>0</v>
      </c>
      <c r="CX272" s="104">
        <f t="shared" si="2105"/>
        <v>0</v>
      </c>
      <c r="CY272" s="542">
        <f t="shared" si="2106"/>
        <v>0</v>
      </c>
      <c r="CZ272" s="538">
        <f t="shared" si="2107"/>
        <v>0</v>
      </c>
    </row>
    <row r="273" spans="1:104" s="112" customFormat="1" ht="25" x14ac:dyDescent="0.25">
      <c r="A273" s="100" t="str">
        <f>'BOCA DE LOBO'!C242</f>
        <v>BL14-&gt;PV13.1</v>
      </c>
      <c r="B273" s="100" t="str">
        <f>'BOCA DE LOBO'!A242</f>
        <v>PV13.1</v>
      </c>
      <c r="C273" s="100" t="str">
        <f>VLOOKUP(A273,'BOCA DE LOBO'!$C$229:$M$324,3,0)</f>
        <v>PROJETADO</v>
      </c>
      <c r="D273" s="100" t="str">
        <f>VLOOKUP(A273,'BOCA DE LOBO'!$C$229:$M$324,10,0)</f>
        <v>EXISTENTE</v>
      </c>
      <c r="E273" s="100">
        <f t="shared" si="2025"/>
        <v>2.5</v>
      </c>
      <c r="F273" s="100">
        <f>VLOOKUP(A273,'BOCA DE LOBO'!$C$229:$D$324,2,0)</f>
        <v>3.67</v>
      </c>
      <c r="G273" s="100">
        <f>VLOOKUP(A273,'BOCA DE LOBO'!$C$229:$F$324,4,0)</f>
        <v>6.22</v>
      </c>
      <c r="H273" s="101">
        <v>400</v>
      </c>
      <c r="I273" s="102">
        <f t="shared" si="2026"/>
        <v>3.2149999999999999</v>
      </c>
      <c r="J273" s="102">
        <f t="shared" si="2027"/>
        <v>0</v>
      </c>
      <c r="K273" s="103">
        <v>0</v>
      </c>
      <c r="L273" s="104">
        <f t="shared" si="2028"/>
        <v>0</v>
      </c>
      <c r="M273" s="104">
        <f t="shared" si="2029"/>
        <v>0</v>
      </c>
      <c r="N273" s="104">
        <f t="shared" si="2108"/>
        <v>400</v>
      </c>
      <c r="O273" s="104">
        <f t="shared" si="2030"/>
        <v>0</v>
      </c>
      <c r="P273" s="105" t="s">
        <v>1999</v>
      </c>
      <c r="Q273" s="468" t="s">
        <v>2081</v>
      </c>
      <c r="R273" s="105"/>
      <c r="S273" s="105">
        <f>VLOOKUP(Q273,Quantitativos!P:R,3,0)</f>
        <v>5</v>
      </c>
      <c r="T273" s="105">
        <f>VLOOKUP(Q273,Quantitativos!P:S,4,0)</f>
        <v>5</v>
      </c>
      <c r="U273" s="104">
        <f t="shared" si="2031"/>
        <v>0.05</v>
      </c>
      <c r="V273" s="106">
        <f t="shared" si="2032"/>
        <v>0</v>
      </c>
      <c r="W273" s="106">
        <f t="shared" si="2033"/>
        <v>0</v>
      </c>
      <c r="X273" s="107">
        <f t="shared" si="2034"/>
        <v>0</v>
      </c>
      <c r="Y273" s="107">
        <f t="shared" si="2035"/>
        <v>0</v>
      </c>
      <c r="Z273" s="107">
        <f t="shared" si="2036"/>
        <v>3.2149999999999999</v>
      </c>
      <c r="AA273" s="107">
        <f t="shared" si="2037"/>
        <v>0</v>
      </c>
      <c r="AB273" s="108">
        <f t="shared" si="2038"/>
        <v>0</v>
      </c>
      <c r="AC273" s="109">
        <f t="shared" si="2039"/>
        <v>0</v>
      </c>
      <c r="AD273" s="109">
        <f t="shared" si="2040"/>
        <v>0</v>
      </c>
      <c r="AE273" s="109">
        <f t="shared" si="2041"/>
        <v>0</v>
      </c>
      <c r="AF273" s="109">
        <f t="shared" si="2042"/>
        <v>0</v>
      </c>
      <c r="AG273" s="109">
        <f t="shared" si="2109"/>
        <v>0</v>
      </c>
      <c r="AH273" s="109">
        <f t="shared" si="2110"/>
        <v>0</v>
      </c>
      <c r="AI273" s="537" t="str">
        <f t="shared" si="2043"/>
        <v>NÃO</v>
      </c>
      <c r="AJ273" s="104">
        <f t="shared" si="2044"/>
        <v>0</v>
      </c>
      <c r="AK273" s="104">
        <f t="shared" si="2045"/>
        <v>0</v>
      </c>
      <c r="AL273" s="104">
        <f t="shared" si="2046"/>
        <v>0</v>
      </c>
      <c r="AM273" s="102">
        <f t="shared" si="2047"/>
        <v>0</v>
      </c>
      <c r="AN273" s="106">
        <f t="shared" si="2048"/>
        <v>0</v>
      </c>
      <c r="AO273" s="104">
        <f t="shared" si="2049"/>
        <v>0</v>
      </c>
      <c r="AP273" s="104">
        <f t="shared" si="2050"/>
        <v>0</v>
      </c>
      <c r="AQ273" s="104">
        <f t="shared" si="2051"/>
        <v>0.7</v>
      </c>
      <c r="AR273" s="104">
        <f t="shared" si="2052"/>
        <v>0</v>
      </c>
      <c r="AS273" s="104">
        <f t="shared" si="2053"/>
        <v>0</v>
      </c>
      <c r="AT273" s="104">
        <f t="shared" si="2054"/>
        <v>0</v>
      </c>
      <c r="AU273" s="104">
        <f t="shared" si="2055"/>
        <v>0</v>
      </c>
      <c r="AV273" s="104">
        <f t="shared" si="2056"/>
        <v>0</v>
      </c>
      <c r="AW273" s="104">
        <f t="shared" si="2057"/>
        <v>0</v>
      </c>
      <c r="AX273" s="104">
        <f t="shared" si="2058"/>
        <v>0</v>
      </c>
      <c r="AY273" s="104">
        <f t="shared" si="2059"/>
        <v>0</v>
      </c>
      <c r="AZ273" s="104">
        <f t="shared" si="2060"/>
        <v>0</v>
      </c>
      <c r="BA273" s="104">
        <f t="shared" si="2061"/>
        <v>0</v>
      </c>
      <c r="BB273" s="104">
        <f t="shared" si="2062"/>
        <v>0</v>
      </c>
      <c r="BC273" s="104"/>
      <c r="BD273" s="104">
        <f t="shared" si="2063"/>
        <v>0</v>
      </c>
      <c r="BE273" s="108">
        <f t="shared" si="2064"/>
        <v>3.2149999999999999</v>
      </c>
      <c r="BF273" s="110">
        <f t="shared" si="2065"/>
        <v>0</v>
      </c>
      <c r="BG273" s="110">
        <f t="shared" si="2066"/>
        <v>0</v>
      </c>
      <c r="BH273" s="105" t="str">
        <f>VLOOKUP(A273,'BOCA DE LOBO'!$C$229:$I$324,7,0)</f>
        <v>BOCA DE LOBO EXISTENTE DUPLA</v>
      </c>
      <c r="BI273" s="104">
        <f t="shared" si="2067"/>
        <v>0</v>
      </c>
      <c r="BJ273" s="104">
        <f t="shared" si="2068"/>
        <v>0</v>
      </c>
      <c r="BK273" s="104">
        <f t="shared" si="2069"/>
        <v>0</v>
      </c>
      <c r="BL273" s="104">
        <f t="shared" si="2070"/>
        <v>0</v>
      </c>
      <c r="BM273" s="104">
        <f t="shared" si="2071"/>
        <v>0</v>
      </c>
      <c r="BN273" s="104">
        <f t="shared" si="2072"/>
        <v>0</v>
      </c>
      <c r="BO273" s="543">
        <f t="shared" si="2073"/>
        <v>0</v>
      </c>
      <c r="BP273" s="111"/>
      <c r="BQ273" s="108">
        <f t="shared" si="2074"/>
        <v>18.66</v>
      </c>
      <c r="BR273" s="108">
        <f t="shared" si="2075"/>
        <v>18.66</v>
      </c>
      <c r="BS273" s="108">
        <f t="shared" si="2076"/>
        <v>2.6745999999999981</v>
      </c>
      <c r="BV273" s="538">
        <f t="shared" si="2077"/>
        <v>0</v>
      </c>
      <c r="BW273" s="538">
        <f t="shared" si="2078"/>
        <v>0</v>
      </c>
      <c r="BX273" s="538">
        <f t="shared" si="2079"/>
        <v>0</v>
      </c>
      <c r="BY273" s="538">
        <f t="shared" si="2080"/>
        <v>2.5</v>
      </c>
      <c r="BZ273" s="538">
        <f t="shared" si="2081"/>
        <v>2.5</v>
      </c>
      <c r="CA273" s="538">
        <f t="shared" si="2082"/>
        <v>0</v>
      </c>
      <c r="CB273" s="538">
        <f t="shared" si="2083"/>
        <v>0</v>
      </c>
      <c r="CC273" s="538">
        <f t="shared" si="2084"/>
        <v>0</v>
      </c>
      <c r="CD273" s="538">
        <f t="shared" si="2085"/>
        <v>0</v>
      </c>
      <c r="CE273" s="538">
        <f t="shared" si="2086"/>
        <v>0</v>
      </c>
      <c r="CF273" s="538">
        <f t="shared" si="2087"/>
        <v>0</v>
      </c>
      <c r="CG273" s="538">
        <f t="shared" si="2088"/>
        <v>0</v>
      </c>
      <c r="CH273" s="538">
        <f t="shared" si="2089"/>
        <v>0</v>
      </c>
      <c r="CI273" s="104">
        <f t="shared" si="2090"/>
        <v>0</v>
      </c>
      <c r="CJ273" s="538">
        <f t="shared" si="2091"/>
        <v>0</v>
      </c>
      <c r="CK273" s="538">
        <f t="shared" si="2092"/>
        <v>0</v>
      </c>
      <c r="CL273" s="538">
        <f t="shared" si="2093"/>
        <v>0</v>
      </c>
      <c r="CM273" s="538">
        <f t="shared" si="2094"/>
        <v>0</v>
      </c>
      <c r="CN273" s="538">
        <f t="shared" si="2095"/>
        <v>0</v>
      </c>
      <c r="CO273" s="538">
        <f t="shared" si="2096"/>
        <v>2.5</v>
      </c>
      <c r="CP273" s="538">
        <f t="shared" si="2097"/>
        <v>0</v>
      </c>
      <c r="CQ273" s="538">
        <f t="shared" si="2098"/>
        <v>0</v>
      </c>
      <c r="CR273" s="539">
        <f t="shared" si="2099"/>
        <v>0</v>
      </c>
      <c r="CS273" s="540">
        <f t="shared" si="2100"/>
        <v>0</v>
      </c>
      <c r="CT273" s="540">
        <f t="shared" si="2101"/>
        <v>0</v>
      </c>
      <c r="CU273" s="541">
        <f t="shared" si="2102"/>
        <v>0</v>
      </c>
      <c r="CV273" s="538">
        <f t="shared" si="2103"/>
        <v>0</v>
      </c>
      <c r="CW273" s="538">
        <f t="shared" si="2104"/>
        <v>0</v>
      </c>
      <c r="CX273" s="104">
        <f t="shared" si="2105"/>
        <v>0</v>
      </c>
      <c r="CY273" s="542">
        <f t="shared" si="2106"/>
        <v>0</v>
      </c>
      <c r="CZ273" s="538">
        <f t="shared" si="2107"/>
        <v>0</v>
      </c>
    </row>
    <row r="274" spans="1:104" s="112" customFormat="1" ht="25" x14ac:dyDescent="0.25">
      <c r="A274" s="100" t="str">
        <f>'BOCA DE LOBO'!C243</f>
        <v>BL15-&gt;PV15.1</v>
      </c>
      <c r="B274" s="100" t="str">
        <f>'BOCA DE LOBO'!A243</f>
        <v>PV15.1</v>
      </c>
      <c r="C274" s="100" t="str">
        <f>VLOOKUP(A274,'BOCA DE LOBO'!$C$229:$M$324,3,0)</f>
        <v>PROJETADO</v>
      </c>
      <c r="D274" s="100" t="str">
        <f>VLOOKUP(A274,'BOCA DE LOBO'!$C$229:$M$324,10,0)</f>
        <v>EXISTENTE</v>
      </c>
      <c r="E274" s="100">
        <f t="shared" si="2025"/>
        <v>2.5</v>
      </c>
      <c r="F274" s="100">
        <f>VLOOKUP(A274,'BOCA DE LOBO'!$C$229:$D$324,2,0)</f>
        <v>3.97</v>
      </c>
      <c r="G274" s="100">
        <f>VLOOKUP(A274,'BOCA DE LOBO'!$C$229:$F$324,4,0)</f>
        <v>4.6399999999999997</v>
      </c>
      <c r="H274" s="101">
        <v>400</v>
      </c>
      <c r="I274" s="102">
        <f t="shared" si="2026"/>
        <v>3.3650000000000002</v>
      </c>
      <c r="J274" s="102">
        <f t="shared" si="2027"/>
        <v>0</v>
      </c>
      <c r="K274" s="103">
        <v>0</v>
      </c>
      <c r="L274" s="104">
        <f t="shared" si="2028"/>
        <v>0</v>
      </c>
      <c r="M274" s="104">
        <f t="shared" si="2029"/>
        <v>0</v>
      </c>
      <c r="N274" s="104">
        <f t="shared" si="2108"/>
        <v>400</v>
      </c>
      <c r="O274" s="104">
        <f t="shared" si="2030"/>
        <v>0</v>
      </c>
      <c r="P274" s="105" t="s">
        <v>1999</v>
      </c>
      <c r="Q274" s="468" t="s">
        <v>2082</v>
      </c>
      <c r="R274" s="105"/>
      <c r="S274" s="105">
        <f>VLOOKUP(Q274,Quantitativos!P:R,3,0)</f>
        <v>5</v>
      </c>
      <c r="T274" s="105">
        <f>VLOOKUP(Q274,Quantitativos!P:S,4,0)</f>
        <v>5</v>
      </c>
      <c r="U274" s="104">
        <f t="shared" si="2031"/>
        <v>0.05</v>
      </c>
      <c r="V274" s="106">
        <f t="shared" si="2032"/>
        <v>0</v>
      </c>
      <c r="W274" s="106">
        <f t="shared" si="2033"/>
        <v>0</v>
      </c>
      <c r="X274" s="107">
        <f t="shared" si="2034"/>
        <v>0</v>
      </c>
      <c r="Y274" s="107">
        <f t="shared" si="2035"/>
        <v>0</v>
      </c>
      <c r="Z274" s="107">
        <f t="shared" si="2036"/>
        <v>3.3650000000000002</v>
      </c>
      <c r="AA274" s="107">
        <f t="shared" si="2037"/>
        <v>0</v>
      </c>
      <c r="AB274" s="108">
        <f t="shared" si="2038"/>
        <v>0</v>
      </c>
      <c r="AC274" s="109">
        <f t="shared" si="2039"/>
        <v>0</v>
      </c>
      <c r="AD274" s="109">
        <f t="shared" si="2040"/>
        <v>0</v>
      </c>
      <c r="AE274" s="109">
        <f t="shared" si="2041"/>
        <v>0</v>
      </c>
      <c r="AF274" s="109">
        <f t="shared" si="2042"/>
        <v>0</v>
      </c>
      <c r="AG274" s="109">
        <f t="shared" si="2109"/>
        <v>0</v>
      </c>
      <c r="AH274" s="109">
        <f t="shared" si="2110"/>
        <v>0</v>
      </c>
      <c r="AI274" s="537" t="str">
        <f t="shared" si="2043"/>
        <v>NÃO</v>
      </c>
      <c r="AJ274" s="104">
        <f t="shared" si="2044"/>
        <v>0</v>
      </c>
      <c r="AK274" s="104">
        <f t="shared" si="2045"/>
        <v>0</v>
      </c>
      <c r="AL274" s="104">
        <f t="shared" si="2046"/>
        <v>0</v>
      </c>
      <c r="AM274" s="102">
        <f t="shared" si="2047"/>
        <v>0</v>
      </c>
      <c r="AN274" s="106">
        <f t="shared" si="2048"/>
        <v>0</v>
      </c>
      <c r="AO274" s="104">
        <f t="shared" si="2049"/>
        <v>0</v>
      </c>
      <c r="AP274" s="104">
        <f t="shared" si="2050"/>
        <v>0</v>
      </c>
      <c r="AQ274" s="104">
        <f t="shared" si="2051"/>
        <v>0.7</v>
      </c>
      <c r="AR274" s="104">
        <f t="shared" si="2052"/>
        <v>0</v>
      </c>
      <c r="AS274" s="104">
        <f t="shared" si="2053"/>
        <v>0</v>
      </c>
      <c r="AT274" s="104">
        <f t="shared" si="2054"/>
        <v>0</v>
      </c>
      <c r="AU274" s="104">
        <f t="shared" si="2055"/>
        <v>0</v>
      </c>
      <c r="AV274" s="104">
        <f t="shared" si="2056"/>
        <v>0</v>
      </c>
      <c r="AW274" s="104">
        <f t="shared" si="2057"/>
        <v>0</v>
      </c>
      <c r="AX274" s="104">
        <f t="shared" si="2058"/>
        <v>0</v>
      </c>
      <c r="AY274" s="104">
        <f t="shared" si="2059"/>
        <v>0</v>
      </c>
      <c r="AZ274" s="104">
        <f t="shared" si="2060"/>
        <v>0</v>
      </c>
      <c r="BA274" s="104">
        <f t="shared" si="2061"/>
        <v>0</v>
      </c>
      <c r="BB274" s="104">
        <f t="shared" si="2062"/>
        <v>0</v>
      </c>
      <c r="BC274" s="104"/>
      <c r="BD274" s="104">
        <f t="shared" si="2063"/>
        <v>0</v>
      </c>
      <c r="BE274" s="108">
        <f t="shared" si="2064"/>
        <v>3.3650000000000002</v>
      </c>
      <c r="BF274" s="110">
        <f t="shared" si="2065"/>
        <v>0</v>
      </c>
      <c r="BG274" s="110">
        <f t="shared" si="2066"/>
        <v>0</v>
      </c>
      <c r="BH274" s="105" t="str">
        <f>VLOOKUP(A274,'BOCA DE LOBO'!$C$229:$I$324,7,0)</f>
        <v>BOCA DE LOBO EXISTENTE DUPLA</v>
      </c>
      <c r="BI274" s="104">
        <f t="shared" si="2067"/>
        <v>0</v>
      </c>
      <c r="BJ274" s="104">
        <f t="shared" si="2068"/>
        <v>0</v>
      </c>
      <c r="BK274" s="104">
        <f t="shared" si="2069"/>
        <v>0</v>
      </c>
      <c r="BL274" s="104">
        <f t="shared" si="2070"/>
        <v>0</v>
      </c>
      <c r="BM274" s="104">
        <f t="shared" si="2071"/>
        <v>0</v>
      </c>
      <c r="BN274" s="104">
        <f t="shared" si="2072"/>
        <v>0</v>
      </c>
      <c r="BO274" s="543">
        <f t="shared" si="2073"/>
        <v>0</v>
      </c>
      <c r="BP274" s="111"/>
      <c r="BQ274" s="108">
        <f t="shared" si="2074"/>
        <v>13.919999999999998</v>
      </c>
      <c r="BR274" s="108">
        <f t="shared" si="2075"/>
        <v>13.919999999999998</v>
      </c>
      <c r="BS274" s="108">
        <f t="shared" si="2076"/>
        <v>3.3872000000000018</v>
      </c>
      <c r="BV274" s="538">
        <f t="shared" si="2077"/>
        <v>0</v>
      </c>
      <c r="BW274" s="538">
        <f t="shared" si="2078"/>
        <v>0</v>
      </c>
      <c r="BX274" s="538">
        <f t="shared" si="2079"/>
        <v>0</v>
      </c>
      <c r="BY274" s="538">
        <f t="shared" si="2080"/>
        <v>2.5</v>
      </c>
      <c r="BZ274" s="538">
        <f t="shared" si="2081"/>
        <v>2.5</v>
      </c>
      <c r="CA274" s="538">
        <f t="shared" si="2082"/>
        <v>0</v>
      </c>
      <c r="CB274" s="538">
        <f t="shared" si="2083"/>
        <v>0</v>
      </c>
      <c r="CC274" s="538">
        <f t="shared" si="2084"/>
        <v>0</v>
      </c>
      <c r="CD274" s="538">
        <f t="shared" si="2085"/>
        <v>0</v>
      </c>
      <c r="CE274" s="538">
        <f t="shared" si="2086"/>
        <v>0</v>
      </c>
      <c r="CF274" s="538">
        <f t="shared" si="2087"/>
        <v>0</v>
      </c>
      <c r="CG274" s="538">
        <f t="shared" si="2088"/>
        <v>0</v>
      </c>
      <c r="CH274" s="538">
        <f t="shared" si="2089"/>
        <v>0</v>
      </c>
      <c r="CI274" s="104">
        <f t="shared" si="2090"/>
        <v>0</v>
      </c>
      <c r="CJ274" s="538">
        <f t="shared" si="2091"/>
        <v>0</v>
      </c>
      <c r="CK274" s="538">
        <f t="shared" si="2092"/>
        <v>0</v>
      </c>
      <c r="CL274" s="538">
        <f t="shared" si="2093"/>
        <v>0</v>
      </c>
      <c r="CM274" s="538">
        <f t="shared" si="2094"/>
        <v>0</v>
      </c>
      <c r="CN274" s="538">
        <f t="shared" si="2095"/>
        <v>0</v>
      </c>
      <c r="CO274" s="538">
        <f t="shared" si="2096"/>
        <v>2.5</v>
      </c>
      <c r="CP274" s="538">
        <f t="shared" si="2097"/>
        <v>0</v>
      </c>
      <c r="CQ274" s="538">
        <f t="shared" si="2098"/>
        <v>0</v>
      </c>
      <c r="CR274" s="539">
        <f t="shared" si="2099"/>
        <v>0</v>
      </c>
      <c r="CS274" s="540">
        <f t="shared" si="2100"/>
        <v>0</v>
      </c>
      <c r="CT274" s="540">
        <f t="shared" si="2101"/>
        <v>0</v>
      </c>
      <c r="CU274" s="541">
        <f t="shared" si="2102"/>
        <v>0</v>
      </c>
      <c r="CV274" s="538">
        <f t="shared" si="2103"/>
        <v>0</v>
      </c>
      <c r="CW274" s="538">
        <f t="shared" si="2104"/>
        <v>0</v>
      </c>
      <c r="CX274" s="104">
        <f t="shared" si="2105"/>
        <v>0</v>
      </c>
      <c r="CY274" s="542">
        <f t="shared" si="2106"/>
        <v>0</v>
      </c>
      <c r="CZ274" s="538">
        <f t="shared" si="2107"/>
        <v>0</v>
      </c>
    </row>
    <row r="275" spans="1:104" s="112" customFormat="1" ht="25" x14ac:dyDescent="0.25">
      <c r="A275" s="100" t="str">
        <f>'BOCA DE LOBO'!C244</f>
        <v>BL16-&gt;PV15.1</v>
      </c>
      <c r="B275" s="100" t="str">
        <f>'BOCA DE LOBO'!A244</f>
        <v>PV15.1</v>
      </c>
      <c r="C275" s="100" t="str">
        <f>VLOOKUP(A275,'BOCA DE LOBO'!$C$229:$M$324,3,0)</f>
        <v>PROJETADO</v>
      </c>
      <c r="D275" s="100" t="str">
        <f>VLOOKUP(A275,'BOCA DE LOBO'!$C$229:$M$324,10,0)</f>
        <v>EXISTENTE</v>
      </c>
      <c r="E275" s="100">
        <f t="shared" si="2025"/>
        <v>2.5</v>
      </c>
      <c r="F275" s="100">
        <f>VLOOKUP(A275,'BOCA DE LOBO'!$C$229:$D$324,2,0)</f>
        <v>3.97</v>
      </c>
      <c r="G275" s="100">
        <f>VLOOKUP(A275,'BOCA DE LOBO'!$C$229:$F$324,4,0)</f>
        <v>6.71</v>
      </c>
      <c r="H275" s="101">
        <v>400</v>
      </c>
      <c r="I275" s="102">
        <f t="shared" si="2026"/>
        <v>3.3650000000000002</v>
      </c>
      <c r="J275" s="102">
        <f t="shared" si="2027"/>
        <v>0</v>
      </c>
      <c r="K275" s="103">
        <v>0</v>
      </c>
      <c r="L275" s="104">
        <f t="shared" si="2028"/>
        <v>0</v>
      </c>
      <c r="M275" s="104">
        <f t="shared" si="2029"/>
        <v>0</v>
      </c>
      <c r="N275" s="104">
        <f t="shared" si="2108"/>
        <v>400</v>
      </c>
      <c r="O275" s="104">
        <f t="shared" si="2030"/>
        <v>0</v>
      </c>
      <c r="P275" s="105" t="s">
        <v>1999</v>
      </c>
      <c r="Q275" s="468" t="s">
        <v>2082</v>
      </c>
      <c r="R275" s="105"/>
      <c r="S275" s="105">
        <f>VLOOKUP(Q275,Quantitativos!P:R,3,0)</f>
        <v>5</v>
      </c>
      <c r="T275" s="105">
        <f>VLOOKUP(Q275,Quantitativos!P:S,4,0)</f>
        <v>5</v>
      </c>
      <c r="U275" s="104">
        <f t="shared" si="2031"/>
        <v>0.05</v>
      </c>
      <c r="V275" s="106">
        <f t="shared" si="2032"/>
        <v>0</v>
      </c>
      <c r="W275" s="106">
        <f t="shared" si="2033"/>
        <v>0</v>
      </c>
      <c r="X275" s="107">
        <f t="shared" si="2034"/>
        <v>0</v>
      </c>
      <c r="Y275" s="107">
        <f t="shared" si="2035"/>
        <v>0</v>
      </c>
      <c r="Z275" s="107">
        <f t="shared" si="2036"/>
        <v>3.3650000000000002</v>
      </c>
      <c r="AA275" s="107">
        <f t="shared" si="2037"/>
        <v>0</v>
      </c>
      <c r="AB275" s="108">
        <f t="shared" si="2038"/>
        <v>0</v>
      </c>
      <c r="AC275" s="109">
        <f t="shared" si="2039"/>
        <v>0</v>
      </c>
      <c r="AD275" s="109">
        <f t="shared" si="2040"/>
        <v>0</v>
      </c>
      <c r="AE275" s="109">
        <f t="shared" si="2041"/>
        <v>0</v>
      </c>
      <c r="AF275" s="109">
        <f t="shared" si="2042"/>
        <v>0</v>
      </c>
      <c r="AG275" s="109">
        <f t="shared" si="2109"/>
        <v>0</v>
      </c>
      <c r="AH275" s="109">
        <f t="shared" si="2110"/>
        <v>0</v>
      </c>
      <c r="AI275" s="537" t="str">
        <f t="shared" si="2043"/>
        <v>NÃO</v>
      </c>
      <c r="AJ275" s="104">
        <f t="shared" si="2044"/>
        <v>0</v>
      </c>
      <c r="AK275" s="104">
        <f t="shared" si="2045"/>
        <v>0</v>
      </c>
      <c r="AL275" s="104">
        <f t="shared" si="2046"/>
        <v>0</v>
      </c>
      <c r="AM275" s="102">
        <f t="shared" si="2047"/>
        <v>0</v>
      </c>
      <c r="AN275" s="106">
        <f t="shared" si="2048"/>
        <v>0</v>
      </c>
      <c r="AO275" s="104">
        <f t="shared" si="2049"/>
        <v>0</v>
      </c>
      <c r="AP275" s="104">
        <f t="shared" si="2050"/>
        <v>0</v>
      </c>
      <c r="AQ275" s="104">
        <f t="shared" si="2051"/>
        <v>0.7</v>
      </c>
      <c r="AR275" s="104">
        <f t="shared" si="2052"/>
        <v>0</v>
      </c>
      <c r="AS275" s="104">
        <f t="shared" si="2053"/>
        <v>0</v>
      </c>
      <c r="AT275" s="104">
        <f t="shared" si="2054"/>
        <v>0</v>
      </c>
      <c r="AU275" s="104">
        <f t="shared" si="2055"/>
        <v>0</v>
      </c>
      <c r="AV275" s="104">
        <f t="shared" si="2056"/>
        <v>0</v>
      </c>
      <c r="AW275" s="104">
        <f t="shared" si="2057"/>
        <v>0</v>
      </c>
      <c r="AX275" s="104">
        <f t="shared" si="2058"/>
        <v>0</v>
      </c>
      <c r="AY275" s="104">
        <f t="shared" si="2059"/>
        <v>0</v>
      </c>
      <c r="AZ275" s="104">
        <f t="shared" si="2060"/>
        <v>0</v>
      </c>
      <c r="BA275" s="104">
        <f t="shared" si="2061"/>
        <v>0</v>
      </c>
      <c r="BB275" s="104">
        <f t="shared" si="2062"/>
        <v>0</v>
      </c>
      <c r="BC275" s="104"/>
      <c r="BD275" s="104">
        <f t="shared" si="2063"/>
        <v>0</v>
      </c>
      <c r="BE275" s="108">
        <f t="shared" si="2064"/>
        <v>3.3650000000000002</v>
      </c>
      <c r="BF275" s="110">
        <f t="shared" si="2065"/>
        <v>0</v>
      </c>
      <c r="BG275" s="110">
        <f t="shared" si="2066"/>
        <v>0</v>
      </c>
      <c r="BH275" s="105" t="str">
        <f>VLOOKUP(A275,'BOCA DE LOBO'!$C$229:$I$324,7,0)</f>
        <v>BOCA DE LOBO EXISTENTE DUPLA</v>
      </c>
      <c r="BI275" s="104">
        <f t="shared" si="2067"/>
        <v>0</v>
      </c>
      <c r="BJ275" s="104">
        <f t="shared" si="2068"/>
        <v>0</v>
      </c>
      <c r="BK275" s="104">
        <f t="shared" si="2069"/>
        <v>0</v>
      </c>
      <c r="BL275" s="104">
        <f t="shared" si="2070"/>
        <v>0</v>
      </c>
      <c r="BM275" s="104">
        <f t="shared" si="2071"/>
        <v>0</v>
      </c>
      <c r="BN275" s="104">
        <f t="shared" si="2072"/>
        <v>0</v>
      </c>
      <c r="BO275" s="543">
        <f t="shared" si="2073"/>
        <v>0</v>
      </c>
      <c r="BP275" s="111"/>
      <c r="BQ275" s="108">
        <f t="shared" si="2074"/>
        <v>20.13</v>
      </c>
      <c r="BR275" s="108">
        <f t="shared" si="2075"/>
        <v>20.13</v>
      </c>
      <c r="BS275" s="108">
        <f t="shared" si="2076"/>
        <v>4.8983000000000025</v>
      </c>
      <c r="BV275" s="538">
        <f t="shared" si="2077"/>
        <v>0</v>
      </c>
      <c r="BW275" s="538">
        <f t="shared" si="2078"/>
        <v>0</v>
      </c>
      <c r="BX275" s="538">
        <f t="shared" si="2079"/>
        <v>0</v>
      </c>
      <c r="BY275" s="538">
        <f t="shared" si="2080"/>
        <v>2.5</v>
      </c>
      <c r="BZ275" s="538">
        <f t="shared" si="2081"/>
        <v>2.5</v>
      </c>
      <c r="CA275" s="538">
        <f t="shared" si="2082"/>
        <v>0</v>
      </c>
      <c r="CB275" s="538">
        <f t="shared" si="2083"/>
        <v>0</v>
      </c>
      <c r="CC275" s="538">
        <f t="shared" si="2084"/>
        <v>0</v>
      </c>
      <c r="CD275" s="538">
        <f t="shared" si="2085"/>
        <v>0</v>
      </c>
      <c r="CE275" s="538">
        <f t="shared" si="2086"/>
        <v>0</v>
      </c>
      <c r="CF275" s="538">
        <f t="shared" si="2087"/>
        <v>0</v>
      </c>
      <c r="CG275" s="538">
        <f t="shared" si="2088"/>
        <v>0</v>
      </c>
      <c r="CH275" s="538">
        <f t="shared" si="2089"/>
        <v>0</v>
      </c>
      <c r="CI275" s="104">
        <f t="shared" si="2090"/>
        <v>0</v>
      </c>
      <c r="CJ275" s="538">
        <f t="shared" si="2091"/>
        <v>0</v>
      </c>
      <c r="CK275" s="538">
        <f t="shared" si="2092"/>
        <v>0</v>
      </c>
      <c r="CL275" s="538">
        <f t="shared" si="2093"/>
        <v>0</v>
      </c>
      <c r="CM275" s="538">
        <f t="shared" si="2094"/>
        <v>0</v>
      </c>
      <c r="CN275" s="538">
        <f t="shared" si="2095"/>
        <v>0</v>
      </c>
      <c r="CO275" s="538">
        <f t="shared" si="2096"/>
        <v>2.5</v>
      </c>
      <c r="CP275" s="538">
        <f t="shared" si="2097"/>
        <v>0</v>
      </c>
      <c r="CQ275" s="538">
        <f t="shared" si="2098"/>
        <v>0</v>
      </c>
      <c r="CR275" s="539">
        <f t="shared" si="2099"/>
        <v>0</v>
      </c>
      <c r="CS275" s="540">
        <f t="shared" si="2100"/>
        <v>0</v>
      </c>
      <c r="CT275" s="540">
        <f t="shared" si="2101"/>
        <v>0</v>
      </c>
      <c r="CU275" s="541">
        <f t="shared" si="2102"/>
        <v>0</v>
      </c>
      <c r="CV275" s="538">
        <f t="shared" si="2103"/>
        <v>0</v>
      </c>
      <c r="CW275" s="538">
        <f t="shared" si="2104"/>
        <v>0</v>
      </c>
      <c r="CX275" s="104">
        <f t="shared" si="2105"/>
        <v>0</v>
      </c>
      <c r="CY275" s="542">
        <f t="shared" si="2106"/>
        <v>0</v>
      </c>
      <c r="CZ275" s="538">
        <f t="shared" si="2107"/>
        <v>0</v>
      </c>
    </row>
    <row r="276" spans="1:104" s="112" customFormat="1" ht="25" x14ac:dyDescent="0.25">
      <c r="A276" s="100" t="str">
        <f>'BOCA DE LOBO'!C245</f>
        <v>BL17-&gt;PV17.1</v>
      </c>
      <c r="B276" s="100" t="str">
        <f>'BOCA DE LOBO'!A245</f>
        <v>PV17.1</v>
      </c>
      <c r="C276" s="100" t="str">
        <f>VLOOKUP(A276,'BOCA DE LOBO'!$C$229:$M$324,3,0)</f>
        <v>PROJETADO</v>
      </c>
      <c r="D276" s="100" t="str">
        <f>VLOOKUP(A276,'BOCA DE LOBO'!$C$229:$M$324,10,0)</f>
        <v>EXISTENTE</v>
      </c>
      <c r="E276" s="100">
        <f t="shared" si="2025"/>
        <v>2.5</v>
      </c>
      <c r="F276" s="100">
        <f>VLOOKUP(A276,'BOCA DE LOBO'!$C$229:$D$324,2,0)</f>
        <v>3.97</v>
      </c>
      <c r="G276" s="100">
        <f>VLOOKUP(A276,'BOCA DE LOBO'!$C$229:$F$324,4,0)</f>
        <v>7.62</v>
      </c>
      <c r="H276" s="101">
        <v>400</v>
      </c>
      <c r="I276" s="102">
        <f t="shared" si="2026"/>
        <v>3.3650000000000002</v>
      </c>
      <c r="J276" s="102">
        <f t="shared" si="2027"/>
        <v>0</v>
      </c>
      <c r="K276" s="103">
        <v>0</v>
      </c>
      <c r="L276" s="104">
        <f t="shared" si="2028"/>
        <v>0</v>
      </c>
      <c r="M276" s="104">
        <f t="shared" si="2029"/>
        <v>0</v>
      </c>
      <c r="N276" s="104">
        <f t="shared" si="2108"/>
        <v>400</v>
      </c>
      <c r="O276" s="104">
        <f t="shared" si="2030"/>
        <v>0</v>
      </c>
      <c r="P276" s="105" t="s">
        <v>1999</v>
      </c>
      <c r="Q276" s="468" t="s">
        <v>2082</v>
      </c>
      <c r="R276" s="105"/>
      <c r="S276" s="105">
        <f>VLOOKUP(Q276,Quantitativos!P:R,3,0)</f>
        <v>5</v>
      </c>
      <c r="T276" s="105">
        <f>VLOOKUP(Q276,Quantitativos!P:S,4,0)</f>
        <v>5</v>
      </c>
      <c r="U276" s="104">
        <f t="shared" si="2031"/>
        <v>0.05</v>
      </c>
      <c r="V276" s="106">
        <f t="shared" si="2032"/>
        <v>0</v>
      </c>
      <c r="W276" s="106">
        <f t="shared" si="2033"/>
        <v>0</v>
      </c>
      <c r="X276" s="107">
        <f t="shared" si="2034"/>
        <v>0</v>
      </c>
      <c r="Y276" s="107">
        <f t="shared" si="2035"/>
        <v>0</v>
      </c>
      <c r="Z276" s="107">
        <f t="shared" si="2036"/>
        <v>3.3650000000000002</v>
      </c>
      <c r="AA276" s="107">
        <f t="shared" si="2037"/>
        <v>0</v>
      </c>
      <c r="AB276" s="108">
        <f t="shared" si="2038"/>
        <v>0</v>
      </c>
      <c r="AC276" s="109">
        <f t="shared" si="2039"/>
        <v>0</v>
      </c>
      <c r="AD276" s="109">
        <f t="shared" si="2040"/>
        <v>0</v>
      </c>
      <c r="AE276" s="109">
        <f t="shared" si="2041"/>
        <v>0</v>
      </c>
      <c r="AF276" s="109">
        <f t="shared" si="2042"/>
        <v>0</v>
      </c>
      <c r="AG276" s="109">
        <f t="shared" si="2109"/>
        <v>0</v>
      </c>
      <c r="AH276" s="109">
        <f t="shared" si="2110"/>
        <v>0</v>
      </c>
      <c r="AI276" s="537" t="str">
        <f t="shared" si="2043"/>
        <v>NÃO</v>
      </c>
      <c r="AJ276" s="104">
        <f t="shared" si="2044"/>
        <v>0</v>
      </c>
      <c r="AK276" s="104">
        <f t="shared" si="2045"/>
        <v>0</v>
      </c>
      <c r="AL276" s="104">
        <f t="shared" si="2046"/>
        <v>0</v>
      </c>
      <c r="AM276" s="102">
        <f t="shared" si="2047"/>
        <v>0</v>
      </c>
      <c r="AN276" s="106">
        <f t="shared" si="2048"/>
        <v>0</v>
      </c>
      <c r="AO276" s="104">
        <f t="shared" si="2049"/>
        <v>0</v>
      </c>
      <c r="AP276" s="104">
        <f t="shared" si="2050"/>
        <v>0</v>
      </c>
      <c r="AQ276" s="104">
        <f t="shared" si="2051"/>
        <v>0.7</v>
      </c>
      <c r="AR276" s="104">
        <f t="shared" si="2052"/>
        <v>0</v>
      </c>
      <c r="AS276" s="104">
        <f t="shared" si="2053"/>
        <v>0</v>
      </c>
      <c r="AT276" s="104">
        <f t="shared" si="2054"/>
        <v>0</v>
      </c>
      <c r="AU276" s="104">
        <f t="shared" si="2055"/>
        <v>0</v>
      </c>
      <c r="AV276" s="104">
        <f t="shared" si="2056"/>
        <v>0</v>
      </c>
      <c r="AW276" s="104">
        <f t="shared" si="2057"/>
        <v>0</v>
      </c>
      <c r="AX276" s="104">
        <f t="shared" si="2058"/>
        <v>0</v>
      </c>
      <c r="AY276" s="104">
        <f t="shared" si="2059"/>
        <v>0</v>
      </c>
      <c r="AZ276" s="104">
        <f t="shared" si="2060"/>
        <v>0</v>
      </c>
      <c r="BA276" s="104">
        <f t="shared" si="2061"/>
        <v>0</v>
      </c>
      <c r="BB276" s="104">
        <f t="shared" si="2062"/>
        <v>0</v>
      </c>
      <c r="BC276" s="104"/>
      <c r="BD276" s="104">
        <f t="shared" si="2063"/>
        <v>0</v>
      </c>
      <c r="BE276" s="108">
        <f t="shared" si="2064"/>
        <v>3.3650000000000002</v>
      </c>
      <c r="BF276" s="110">
        <f t="shared" si="2065"/>
        <v>0</v>
      </c>
      <c r="BG276" s="110">
        <f t="shared" si="2066"/>
        <v>0</v>
      </c>
      <c r="BH276" s="105" t="str">
        <f>VLOOKUP(A276,'BOCA DE LOBO'!$C$229:$I$324,7,0)</f>
        <v>BOCA DE LOBO EXISTENTE DUPLA</v>
      </c>
      <c r="BI276" s="104">
        <f t="shared" si="2067"/>
        <v>0</v>
      </c>
      <c r="BJ276" s="104">
        <f t="shared" si="2068"/>
        <v>0</v>
      </c>
      <c r="BK276" s="104">
        <f t="shared" si="2069"/>
        <v>0</v>
      </c>
      <c r="BL276" s="104">
        <f t="shared" si="2070"/>
        <v>0</v>
      </c>
      <c r="BM276" s="104">
        <f t="shared" si="2071"/>
        <v>0</v>
      </c>
      <c r="BN276" s="104">
        <f t="shared" si="2072"/>
        <v>0</v>
      </c>
      <c r="BO276" s="543">
        <f t="shared" si="2073"/>
        <v>0</v>
      </c>
      <c r="BP276" s="111"/>
      <c r="BQ276" s="108">
        <f t="shared" si="2074"/>
        <v>22.86</v>
      </c>
      <c r="BR276" s="108">
        <f t="shared" si="2075"/>
        <v>22.86</v>
      </c>
      <c r="BS276" s="108">
        <f t="shared" si="2076"/>
        <v>5.5626000000000033</v>
      </c>
      <c r="BV276" s="538">
        <f t="shared" si="2077"/>
        <v>0</v>
      </c>
      <c r="BW276" s="538">
        <f t="shared" si="2078"/>
        <v>0</v>
      </c>
      <c r="BX276" s="538">
        <f t="shared" si="2079"/>
        <v>0</v>
      </c>
      <c r="BY276" s="538">
        <f t="shared" si="2080"/>
        <v>2.5</v>
      </c>
      <c r="BZ276" s="538">
        <f t="shared" si="2081"/>
        <v>2.5</v>
      </c>
      <c r="CA276" s="538">
        <f t="shared" si="2082"/>
        <v>0</v>
      </c>
      <c r="CB276" s="538">
        <f t="shared" si="2083"/>
        <v>0</v>
      </c>
      <c r="CC276" s="538">
        <f t="shared" si="2084"/>
        <v>0</v>
      </c>
      <c r="CD276" s="538">
        <f t="shared" si="2085"/>
        <v>0</v>
      </c>
      <c r="CE276" s="538">
        <f t="shared" si="2086"/>
        <v>0</v>
      </c>
      <c r="CF276" s="538">
        <f t="shared" si="2087"/>
        <v>0</v>
      </c>
      <c r="CG276" s="538">
        <f t="shared" si="2088"/>
        <v>0</v>
      </c>
      <c r="CH276" s="538">
        <f t="shared" si="2089"/>
        <v>0</v>
      </c>
      <c r="CI276" s="104">
        <f t="shared" si="2090"/>
        <v>0</v>
      </c>
      <c r="CJ276" s="538">
        <f t="shared" si="2091"/>
        <v>0</v>
      </c>
      <c r="CK276" s="538">
        <f t="shared" si="2092"/>
        <v>0</v>
      </c>
      <c r="CL276" s="538">
        <f t="shared" si="2093"/>
        <v>0</v>
      </c>
      <c r="CM276" s="538">
        <f t="shared" si="2094"/>
        <v>0</v>
      </c>
      <c r="CN276" s="538">
        <f t="shared" si="2095"/>
        <v>0</v>
      </c>
      <c r="CO276" s="538">
        <f t="shared" si="2096"/>
        <v>2.5</v>
      </c>
      <c r="CP276" s="538">
        <f t="shared" si="2097"/>
        <v>0</v>
      </c>
      <c r="CQ276" s="538">
        <f t="shared" si="2098"/>
        <v>0</v>
      </c>
      <c r="CR276" s="539">
        <f t="shared" si="2099"/>
        <v>0</v>
      </c>
      <c r="CS276" s="540">
        <f t="shared" si="2100"/>
        <v>0</v>
      </c>
      <c r="CT276" s="540">
        <f t="shared" si="2101"/>
        <v>0</v>
      </c>
      <c r="CU276" s="541">
        <f t="shared" si="2102"/>
        <v>0</v>
      </c>
      <c r="CV276" s="538">
        <f t="shared" si="2103"/>
        <v>0</v>
      </c>
      <c r="CW276" s="538">
        <f t="shared" si="2104"/>
        <v>0</v>
      </c>
      <c r="CX276" s="104">
        <f t="shared" si="2105"/>
        <v>0</v>
      </c>
      <c r="CY276" s="542">
        <f t="shared" si="2106"/>
        <v>0</v>
      </c>
      <c r="CZ276" s="538">
        <f t="shared" si="2107"/>
        <v>0</v>
      </c>
    </row>
    <row r="277" spans="1:104" s="112" customFormat="1" ht="25" x14ac:dyDescent="0.25">
      <c r="A277" s="100" t="str">
        <f>'BOCA DE LOBO'!C246</f>
        <v>BL18-&gt;PV18.1</v>
      </c>
      <c r="B277" s="100" t="str">
        <f>'BOCA DE LOBO'!A246</f>
        <v>PV18.1</v>
      </c>
      <c r="C277" s="100" t="str">
        <f>VLOOKUP(A277,'BOCA DE LOBO'!$C$229:$M$324,3,0)</f>
        <v>PROJETADO</v>
      </c>
      <c r="D277" s="100" t="str">
        <f>VLOOKUP(A277,'BOCA DE LOBO'!$C$229:$M$324,10,0)</f>
        <v>PROJETADA</v>
      </c>
      <c r="E277" s="100">
        <f t="shared" si="2025"/>
        <v>2.5</v>
      </c>
      <c r="F277" s="100">
        <f>VLOOKUP(A277,'BOCA DE LOBO'!$C$229:$D$324,2,0)</f>
        <v>3.97</v>
      </c>
      <c r="G277" s="100">
        <f>VLOOKUP(A277,'BOCA DE LOBO'!$C$229:$F$324,4,0)</f>
        <v>6.79</v>
      </c>
      <c r="H277" s="101">
        <v>400</v>
      </c>
      <c r="I277" s="102">
        <f t="shared" si="2026"/>
        <v>3.3650000000000002</v>
      </c>
      <c r="J277" s="102">
        <f t="shared" si="2027"/>
        <v>1.1424175000000001</v>
      </c>
      <c r="K277" s="103">
        <v>0</v>
      </c>
      <c r="L277" s="104">
        <f t="shared" si="2028"/>
        <v>1</v>
      </c>
      <c r="M277" s="104">
        <f t="shared" si="2029"/>
        <v>1</v>
      </c>
      <c r="N277" s="104">
        <f t="shared" si="2108"/>
        <v>0</v>
      </c>
      <c r="O277" s="104">
        <f t="shared" si="2030"/>
        <v>6.79</v>
      </c>
      <c r="P277" s="105" t="s">
        <v>1999</v>
      </c>
      <c r="Q277" s="468" t="s">
        <v>2082</v>
      </c>
      <c r="R277" s="105"/>
      <c r="S277" s="105">
        <f>VLOOKUP(Q277,Quantitativos!P:R,3,0)</f>
        <v>5</v>
      </c>
      <c r="T277" s="105">
        <f>VLOOKUP(Q277,Quantitativos!P:S,4,0)</f>
        <v>5</v>
      </c>
      <c r="U277" s="104">
        <f t="shared" si="2031"/>
        <v>0.05</v>
      </c>
      <c r="V277" s="106">
        <f t="shared" si="2032"/>
        <v>0</v>
      </c>
      <c r="W277" s="106">
        <f t="shared" si="2033"/>
        <v>22.84835</v>
      </c>
      <c r="X277" s="107">
        <f t="shared" si="2034"/>
        <v>0</v>
      </c>
      <c r="Y277" s="107">
        <f t="shared" si="2035"/>
        <v>0</v>
      </c>
      <c r="Z277" s="107">
        <f t="shared" si="2036"/>
        <v>3.3650000000000002</v>
      </c>
      <c r="AA277" s="107">
        <f t="shared" si="2037"/>
        <v>0</v>
      </c>
      <c r="AB277" s="108">
        <f t="shared" si="2038"/>
        <v>6.79</v>
      </c>
      <c r="AC277" s="109">
        <f t="shared" si="2039"/>
        <v>0</v>
      </c>
      <c r="AD277" s="109">
        <f t="shared" si="2040"/>
        <v>0</v>
      </c>
      <c r="AE277" s="109">
        <f t="shared" si="2041"/>
        <v>0</v>
      </c>
      <c r="AF277" s="109">
        <f t="shared" si="2042"/>
        <v>10.185</v>
      </c>
      <c r="AG277" s="109">
        <f t="shared" si="2109"/>
        <v>10.185</v>
      </c>
      <c r="AH277" s="109">
        <f t="shared" si="2110"/>
        <v>2.4783500000000016</v>
      </c>
      <c r="AI277" s="537" t="str">
        <f t="shared" si="2043"/>
        <v>NÃO</v>
      </c>
      <c r="AJ277" s="104">
        <f t="shared" si="2044"/>
        <v>0</v>
      </c>
      <c r="AK277" s="104">
        <f t="shared" si="2045"/>
        <v>0</v>
      </c>
      <c r="AL277" s="104">
        <f t="shared" si="2046"/>
        <v>21.99509343528501</v>
      </c>
      <c r="AM277" s="102">
        <f t="shared" si="2047"/>
        <v>0.33950000000000002</v>
      </c>
      <c r="AN277" s="106">
        <f t="shared" si="2048"/>
        <v>0</v>
      </c>
      <c r="AO277" s="104">
        <f t="shared" si="2049"/>
        <v>0</v>
      </c>
      <c r="AP277" s="104">
        <f t="shared" si="2050"/>
        <v>0</v>
      </c>
      <c r="AQ277" s="104">
        <f t="shared" si="2051"/>
        <v>0.7</v>
      </c>
      <c r="AR277" s="104">
        <f t="shared" si="2052"/>
        <v>3.8997434352850124</v>
      </c>
      <c r="AS277" s="104">
        <f t="shared" si="2053"/>
        <v>0</v>
      </c>
      <c r="AT277" s="104">
        <f t="shared" si="2054"/>
        <v>1.0185</v>
      </c>
      <c r="AU277" s="104">
        <f t="shared" si="2055"/>
        <v>1.0185</v>
      </c>
      <c r="AV277" s="104">
        <f t="shared" si="2056"/>
        <v>0.20369999999999999</v>
      </c>
      <c r="AW277" s="104">
        <f t="shared" si="2057"/>
        <v>15.718849999999998</v>
      </c>
      <c r="AX277" s="104">
        <f t="shared" si="2058"/>
        <v>17.93010656471499</v>
      </c>
      <c r="AY277" s="104">
        <f t="shared" si="2059"/>
        <v>15.718849999999998</v>
      </c>
      <c r="AZ277" s="104">
        <f t="shared" si="2060"/>
        <v>0</v>
      </c>
      <c r="BA277" s="104">
        <f t="shared" si="2061"/>
        <v>0</v>
      </c>
      <c r="BB277" s="104">
        <f t="shared" si="2062"/>
        <v>0</v>
      </c>
      <c r="BC277" s="104"/>
      <c r="BD277" s="104">
        <f t="shared" si="2063"/>
        <v>0</v>
      </c>
      <c r="BE277" s="108">
        <f t="shared" si="2064"/>
        <v>3.3650000000000002</v>
      </c>
      <c r="BF277" s="110">
        <f t="shared" si="2065"/>
        <v>0</v>
      </c>
      <c r="BG277" s="110">
        <f t="shared" si="2066"/>
        <v>0</v>
      </c>
      <c r="BH277" s="105" t="str">
        <f>VLOOKUP(A277,'BOCA DE LOBO'!$C$229:$I$324,7,0)</f>
        <v>BOCA DE LOBO PROJETADA DUPLA</v>
      </c>
      <c r="BI277" s="104">
        <f t="shared" si="2067"/>
        <v>0</v>
      </c>
      <c r="BJ277" s="104">
        <f t="shared" si="2068"/>
        <v>0</v>
      </c>
      <c r="BK277" s="104">
        <f t="shared" si="2069"/>
        <v>0</v>
      </c>
      <c r="BL277" s="104">
        <f t="shared" si="2070"/>
        <v>0</v>
      </c>
      <c r="BM277" s="104">
        <f t="shared" si="2071"/>
        <v>0</v>
      </c>
      <c r="BN277" s="104">
        <f t="shared" si="2072"/>
        <v>1</v>
      </c>
      <c r="BO277" s="543">
        <f t="shared" si="2073"/>
        <v>0</v>
      </c>
      <c r="BP277" s="111"/>
      <c r="BQ277" s="108">
        <f t="shared" si="2074"/>
        <v>20.37</v>
      </c>
      <c r="BR277" s="108">
        <f t="shared" si="2075"/>
        <v>20.37</v>
      </c>
      <c r="BS277" s="108">
        <f t="shared" si="2076"/>
        <v>4.9567000000000032</v>
      </c>
      <c r="BV277" s="538">
        <f t="shared" si="2077"/>
        <v>19.456499999999998</v>
      </c>
      <c r="BW277" s="538">
        <f t="shared" si="2078"/>
        <v>7.7825999999999986</v>
      </c>
      <c r="BX277" s="538">
        <f t="shared" si="2079"/>
        <v>3.0325999999999995</v>
      </c>
      <c r="BY277" s="538">
        <f t="shared" si="2080"/>
        <v>2.5</v>
      </c>
      <c r="BZ277" s="538">
        <f t="shared" si="2081"/>
        <v>2.5</v>
      </c>
      <c r="CA277" s="538">
        <f t="shared" si="2082"/>
        <v>0</v>
      </c>
      <c r="CB277" s="538">
        <f t="shared" si="2083"/>
        <v>0</v>
      </c>
      <c r="CC277" s="538">
        <f t="shared" si="2084"/>
        <v>11.673899999999998</v>
      </c>
      <c r="CD277" s="538">
        <f t="shared" si="2085"/>
        <v>7.7825999999999986</v>
      </c>
      <c r="CE277" s="538">
        <f t="shared" si="2086"/>
        <v>0</v>
      </c>
      <c r="CF277" s="538">
        <f t="shared" si="2087"/>
        <v>0</v>
      </c>
      <c r="CG277" s="538">
        <f t="shared" si="2088"/>
        <v>0</v>
      </c>
      <c r="CH277" s="538">
        <f t="shared" si="2089"/>
        <v>0</v>
      </c>
      <c r="CI277" s="104">
        <f t="shared" si="2090"/>
        <v>0.53549999999999998</v>
      </c>
      <c r="CJ277" s="538">
        <f t="shared" si="2091"/>
        <v>11.339499999999997</v>
      </c>
      <c r="CK277" s="538">
        <f t="shared" si="2092"/>
        <v>11.339499999999997</v>
      </c>
      <c r="CL277" s="538">
        <f t="shared" si="2093"/>
        <v>0</v>
      </c>
      <c r="CM277" s="538">
        <f t="shared" si="2094"/>
        <v>0</v>
      </c>
      <c r="CN277" s="538">
        <f t="shared" si="2095"/>
        <v>3.57</v>
      </c>
      <c r="CO277" s="538">
        <f t="shared" si="2096"/>
        <v>2.5</v>
      </c>
      <c r="CP277" s="538">
        <f t="shared" si="2097"/>
        <v>10.709999999999999</v>
      </c>
      <c r="CQ277" s="538">
        <f t="shared" si="2098"/>
        <v>7.14</v>
      </c>
      <c r="CR277" s="539">
        <f t="shared" si="2099"/>
        <v>0</v>
      </c>
      <c r="CS277" s="540">
        <f t="shared" si="2100"/>
        <v>0</v>
      </c>
      <c r="CT277" s="540">
        <f t="shared" si="2101"/>
        <v>0.33012999999999998</v>
      </c>
      <c r="CU277" s="541">
        <f t="shared" si="2102"/>
        <v>13</v>
      </c>
      <c r="CV277" s="538">
        <f t="shared" si="2103"/>
        <v>1.43895</v>
      </c>
      <c r="CW277" s="538">
        <f t="shared" si="2104"/>
        <v>23.248199999999997</v>
      </c>
      <c r="CX277" s="104">
        <f t="shared" si="2105"/>
        <v>3.57</v>
      </c>
      <c r="CY277" s="542">
        <f t="shared" si="2106"/>
        <v>1.7849999999999999</v>
      </c>
      <c r="CZ277" s="538">
        <f t="shared" si="2107"/>
        <v>0</v>
      </c>
    </row>
    <row r="278" spans="1:104" s="112" customFormat="1" ht="37.5" x14ac:dyDescent="0.25">
      <c r="A278" s="100" t="str">
        <f>'BOCA DE LOBO'!C247</f>
        <v>BL19-&gt;PV20.1</v>
      </c>
      <c r="B278" s="100" t="str">
        <f>'BOCA DE LOBO'!A247</f>
        <v>PV20.1</v>
      </c>
      <c r="C278" s="100" t="str">
        <f>VLOOKUP(A278,'BOCA DE LOBO'!$C$229:$M$324,3,0)</f>
        <v>PROJETADO</v>
      </c>
      <c r="D278" s="100" t="str">
        <f>VLOOKUP(A278,'BOCA DE LOBO'!$C$229:$M$324,10,0)</f>
        <v>AMPLIADA</v>
      </c>
      <c r="E278" s="100">
        <f t="shared" si="2025"/>
        <v>2.5</v>
      </c>
      <c r="F278" s="100">
        <f>VLOOKUP(A278,'BOCA DE LOBO'!$C$229:$D$324,2,0)</f>
        <v>3.97</v>
      </c>
      <c r="G278" s="100">
        <f>VLOOKUP(A278,'BOCA DE LOBO'!$C$229:$F$324,4,0)</f>
        <v>3.68</v>
      </c>
      <c r="H278" s="101">
        <v>400</v>
      </c>
      <c r="I278" s="102">
        <f t="shared" si="2026"/>
        <v>3.3650000000000002</v>
      </c>
      <c r="J278" s="102">
        <f t="shared" si="2027"/>
        <v>0</v>
      </c>
      <c r="K278" s="103">
        <v>0</v>
      </c>
      <c r="L278" s="104">
        <f t="shared" si="2028"/>
        <v>0</v>
      </c>
      <c r="M278" s="104">
        <f t="shared" si="2029"/>
        <v>0</v>
      </c>
      <c r="N278" s="104">
        <f t="shared" si="2108"/>
        <v>400</v>
      </c>
      <c r="O278" s="104">
        <f t="shared" si="2030"/>
        <v>0</v>
      </c>
      <c r="P278" s="105" t="s">
        <v>1999</v>
      </c>
      <c r="Q278" s="468" t="s">
        <v>2082</v>
      </c>
      <c r="R278" s="105"/>
      <c r="S278" s="105">
        <f>VLOOKUP(Q278,Quantitativos!P:R,3,0)</f>
        <v>5</v>
      </c>
      <c r="T278" s="105">
        <f>VLOOKUP(Q278,Quantitativos!P:S,4,0)</f>
        <v>5</v>
      </c>
      <c r="U278" s="104">
        <f t="shared" si="2031"/>
        <v>0.05</v>
      </c>
      <c r="V278" s="106">
        <f t="shared" si="2032"/>
        <v>0</v>
      </c>
      <c r="W278" s="106">
        <f t="shared" si="2033"/>
        <v>0</v>
      </c>
      <c r="X278" s="107">
        <f t="shared" si="2034"/>
        <v>0</v>
      </c>
      <c r="Y278" s="107">
        <f t="shared" si="2035"/>
        <v>0</v>
      </c>
      <c r="Z278" s="107">
        <f t="shared" si="2036"/>
        <v>3.3650000000000002</v>
      </c>
      <c r="AA278" s="107">
        <f t="shared" si="2037"/>
        <v>0</v>
      </c>
      <c r="AB278" s="108">
        <f t="shared" si="2038"/>
        <v>0</v>
      </c>
      <c r="AC278" s="109">
        <f t="shared" si="2039"/>
        <v>0</v>
      </c>
      <c r="AD278" s="109">
        <f t="shared" si="2040"/>
        <v>0</v>
      </c>
      <c r="AE278" s="109">
        <f t="shared" si="2041"/>
        <v>0</v>
      </c>
      <c r="AF278" s="109">
        <f t="shared" si="2042"/>
        <v>0</v>
      </c>
      <c r="AG278" s="109">
        <f t="shared" si="2109"/>
        <v>0</v>
      </c>
      <c r="AH278" s="109">
        <f t="shared" si="2110"/>
        <v>0</v>
      </c>
      <c r="AI278" s="537" t="str">
        <f t="shared" si="2043"/>
        <v>NÃO</v>
      </c>
      <c r="AJ278" s="104">
        <f t="shared" si="2044"/>
        <v>0</v>
      </c>
      <c r="AK278" s="104">
        <f t="shared" si="2045"/>
        <v>0</v>
      </c>
      <c r="AL278" s="104">
        <f t="shared" si="2046"/>
        <v>0</v>
      </c>
      <c r="AM278" s="102">
        <f t="shared" si="2047"/>
        <v>0</v>
      </c>
      <c r="AN278" s="106">
        <f t="shared" si="2048"/>
        <v>0</v>
      </c>
      <c r="AO278" s="104">
        <f t="shared" si="2049"/>
        <v>0</v>
      </c>
      <c r="AP278" s="104">
        <f t="shared" si="2050"/>
        <v>0</v>
      </c>
      <c r="AQ278" s="104">
        <f t="shared" si="2051"/>
        <v>0.7</v>
      </c>
      <c r="AR278" s="104">
        <f t="shared" si="2052"/>
        <v>0</v>
      </c>
      <c r="AS278" s="104">
        <f t="shared" si="2053"/>
        <v>0</v>
      </c>
      <c r="AT278" s="104">
        <f t="shared" si="2054"/>
        <v>0</v>
      </c>
      <c r="AU278" s="104">
        <f t="shared" si="2055"/>
        <v>0</v>
      </c>
      <c r="AV278" s="104">
        <f t="shared" si="2056"/>
        <v>0</v>
      </c>
      <c r="AW278" s="104">
        <f t="shared" si="2057"/>
        <v>0</v>
      </c>
      <c r="AX278" s="104">
        <f t="shared" si="2058"/>
        <v>0</v>
      </c>
      <c r="AY278" s="104">
        <f t="shared" si="2059"/>
        <v>0</v>
      </c>
      <c r="AZ278" s="104">
        <f t="shared" si="2060"/>
        <v>0</v>
      </c>
      <c r="BA278" s="104">
        <f t="shared" si="2061"/>
        <v>0</v>
      </c>
      <c r="BB278" s="104">
        <f t="shared" si="2062"/>
        <v>0</v>
      </c>
      <c r="BC278" s="104"/>
      <c r="BD278" s="104">
        <f t="shared" si="2063"/>
        <v>0</v>
      </c>
      <c r="BE278" s="108">
        <f t="shared" si="2064"/>
        <v>3.3650000000000002</v>
      </c>
      <c r="BF278" s="110">
        <f t="shared" si="2065"/>
        <v>0</v>
      </c>
      <c r="BG278" s="110">
        <f t="shared" si="2066"/>
        <v>0</v>
      </c>
      <c r="BH278" s="105" t="str">
        <f>VLOOKUP(A278,'BOCA DE LOBO'!$C$229:$I$324,7,0)</f>
        <v>BOCA DE LOBO SIMPLES EXISTENTE COM BOCA DE LOBO SIMPLES PROJETADA</v>
      </c>
      <c r="BI278" s="104">
        <f t="shared" si="2067"/>
        <v>0</v>
      </c>
      <c r="BJ278" s="104">
        <f t="shared" si="2068"/>
        <v>1</v>
      </c>
      <c r="BK278" s="104">
        <f t="shared" si="2069"/>
        <v>0</v>
      </c>
      <c r="BL278" s="104">
        <f t="shared" si="2070"/>
        <v>0</v>
      </c>
      <c r="BM278" s="104">
        <f t="shared" si="2071"/>
        <v>0</v>
      </c>
      <c r="BN278" s="104">
        <f t="shared" si="2072"/>
        <v>0</v>
      </c>
      <c r="BO278" s="543">
        <f t="shared" si="2073"/>
        <v>0</v>
      </c>
      <c r="BP278" s="111"/>
      <c r="BQ278" s="108">
        <f t="shared" si="2074"/>
        <v>11.040000000000001</v>
      </c>
      <c r="BR278" s="108">
        <f t="shared" si="2075"/>
        <v>11.040000000000001</v>
      </c>
      <c r="BS278" s="108">
        <f t="shared" si="2076"/>
        <v>2.6864000000000017</v>
      </c>
      <c r="BV278" s="538">
        <f t="shared" si="2077"/>
        <v>9.1559999999999988</v>
      </c>
      <c r="BW278" s="538">
        <f t="shared" si="2078"/>
        <v>3.6623999999999994</v>
      </c>
      <c r="BX278" s="538">
        <f t="shared" si="2079"/>
        <v>1.3923999999999999</v>
      </c>
      <c r="BY278" s="538">
        <f t="shared" si="2080"/>
        <v>2.5</v>
      </c>
      <c r="BZ278" s="538">
        <f t="shared" si="2081"/>
        <v>2.5</v>
      </c>
      <c r="CA278" s="538">
        <f t="shared" si="2082"/>
        <v>0</v>
      </c>
      <c r="CB278" s="538">
        <f t="shared" si="2083"/>
        <v>0</v>
      </c>
      <c r="CC278" s="538">
        <f t="shared" si="2084"/>
        <v>5.4935999999999989</v>
      </c>
      <c r="CD278" s="538">
        <f t="shared" si="2085"/>
        <v>3.6623999999999994</v>
      </c>
      <c r="CE278" s="538">
        <f t="shared" si="2086"/>
        <v>0</v>
      </c>
      <c r="CF278" s="538">
        <f t="shared" si="2087"/>
        <v>0</v>
      </c>
      <c r="CG278" s="538">
        <f t="shared" si="2088"/>
        <v>0</v>
      </c>
      <c r="CH278" s="538">
        <f t="shared" si="2089"/>
        <v>0</v>
      </c>
      <c r="CI278" s="104">
        <f t="shared" si="2090"/>
        <v>0.252</v>
      </c>
      <c r="CJ278" s="538">
        <f t="shared" si="2091"/>
        <v>5.4229999999999992</v>
      </c>
      <c r="CK278" s="538">
        <f t="shared" si="2092"/>
        <v>5.4229999999999992</v>
      </c>
      <c r="CL278" s="538">
        <f t="shared" si="2093"/>
        <v>0</v>
      </c>
      <c r="CM278" s="538">
        <f t="shared" si="2094"/>
        <v>0</v>
      </c>
      <c r="CN278" s="538">
        <f t="shared" si="2095"/>
        <v>1.68</v>
      </c>
      <c r="CO278" s="538">
        <f t="shared" si="2096"/>
        <v>2.5</v>
      </c>
      <c r="CP278" s="538">
        <f t="shared" si="2097"/>
        <v>5.04</v>
      </c>
      <c r="CQ278" s="538">
        <f t="shared" si="2098"/>
        <v>3.36</v>
      </c>
      <c r="CR278" s="539">
        <f t="shared" si="2099"/>
        <v>1.1000000000000001</v>
      </c>
      <c r="CS278" s="540">
        <f t="shared" si="2100"/>
        <v>5.1000000000000004E-2</v>
      </c>
      <c r="CT278" s="540">
        <f t="shared" si="2101"/>
        <v>0.15421000000000001</v>
      </c>
      <c r="CU278" s="541">
        <f t="shared" si="2102"/>
        <v>6.5</v>
      </c>
      <c r="CV278" s="538">
        <f t="shared" si="2103"/>
        <v>0.90203999999999995</v>
      </c>
      <c r="CW278" s="538">
        <f t="shared" si="2104"/>
        <v>15.764600000000002</v>
      </c>
      <c r="CX278" s="104">
        <f t="shared" si="2105"/>
        <v>1.68</v>
      </c>
      <c r="CY278" s="542">
        <f t="shared" si="2106"/>
        <v>0.84</v>
      </c>
      <c r="CZ278" s="538">
        <f t="shared" si="2107"/>
        <v>0</v>
      </c>
    </row>
    <row r="279" spans="1:104" s="112" customFormat="1" ht="37.5" x14ac:dyDescent="0.25">
      <c r="A279" s="100" t="str">
        <f>'BOCA DE LOBO'!C248</f>
        <v>BL20-&gt;PV21.1</v>
      </c>
      <c r="B279" s="100" t="str">
        <f>'BOCA DE LOBO'!A248</f>
        <v>PV21.1</v>
      </c>
      <c r="C279" s="100" t="str">
        <f>VLOOKUP(A279,'BOCA DE LOBO'!$C$229:$M$324,3,0)</f>
        <v>PROJETADO</v>
      </c>
      <c r="D279" s="100" t="str">
        <f>VLOOKUP(A279,'BOCA DE LOBO'!$C$229:$M$324,10,0)</f>
        <v>AMPLIADA</v>
      </c>
      <c r="E279" s="100">
        <f t="shared" si="2025"/>
        <v>2.5</v>
      </c>
      <c r="F279" s="100">
        <f>VLOOKUP(A279,'BOCA DE LOBO'!$C$229:$D$324,2,0)</f>
        <v>3.97</v>
      </c>
      <c r="G279" s="100">
        <f>VLOOKUP(A279,'BOCA DE LOBO'!$C$229:$F$324,4,0)</f>
        <v>3.68</v>
      </c>
      <c r="H279" s="101">
        <v>400</v>
      </c>
      <c r="I279" s="102">
        <f t="shared" si="2026"/>
        <v>3.3650000000000002</v>
      </c>
      <c r="J279" s="102">
        <f t="shared" si="2027"/>
        <v>0</v>
      </c>
      <c r="K279" s="103">
        <v>0</v>
      </c>
      <c r="L279" s="104">
        <f t="shared" si="2028"/>
        <v>0</v>
      </c>
      <c r="M279" s="104">
        <f t="shared" si="2029"/>
        <v>0</v>
      </c>
      <c r="N279" s="104">
        <f t="shared" si="2108"/>
        <v>400</v>
      </c>
      <c r="O279" s="104">
        <f t="shared" si="2030"/>
        <v>0</v>
      </c>
      <c r="P279" s="105" t="s">
        <v>1999</v>
      </c>
      <c r="Q279" s="468" t="s">
        <v>2084</v>
      </c>
      <c r="R279" s="105"/>
      <c r="S279" s="105">
        <f>VLOOKUP(Q279,Quantitativos!P:R,3,0)</f>
        <v>5</v>
      </c>
      <c r="T279" s="105">
        <f>VLOOKUP(Q279,Quantitativos!P:S,4,0)</f>
        <v>4.5999999999999996</v>
      </c>
      <c r="U279" s="104">
        <f t="shared" si="2031"/>
        <v>0.05</v>
      </c>
      <c r="V279" s="106">
        <f t="shared" si="2032"/>
        <v>0</v>
      </c>
      <c r="W279" s="106">
        <f t="shared" si="2033"/>
        <v>0</v>
      </c>
      <c r="X279" s="107">
        <f t="shared" si="2034"/>
        <v>0</v>
      </c>
      <c r="Y279" s="107">
        <f t="shared" si="2035"/>
        <v>0</v>
      </c>
      <c r="Z279" s="107">
        <f t="shared" si="2036"/>
        <v>3.3650000000000002</v>
      </c>
      <c r="AA279" s="107">
        <f t="shared" si="2037"/>
        <v>0</v>
      </c>
      <c r="AB279" s="108">
        <f t="shared" si="2038"/>
        <v>0</v>
      </c>
      <c r="AC279" s="109">
        <f t="shared" si="2039"/>
        <v>0</v>
      </c>
      <c r="AD279" s="109">
        <f t="shared" si="2040"/>
        <v>0</v>
      </c>
      <c r="AE279" s="109">
        <f t="shared" si="2041"/>
        <v>0</v>
      </c>
      <c r="AF279" s="109">
        <f t="shared" si="2042"/>
        <v>0</v>
      </c>
      <c r="AG279" s="109">
        <f t="shared" si="2109"/>
        <v>0</v>
      </c>
      <c r="AH279" s="109">
        <f t="shared" si="2110"/>
        <v>0</v>
      </c>
      <c r="AI279" s="537" t="str">
        <f t="shared" si="2043"/>
        <v>NÃO</v>
      </c>
      <c r="AJ279" s="104">
        <f t="shared" si="2044"/>
        <v>0</v>
      </c>
      <c r="AK279" s="104">
        <f t="shared" si="2045"/>
        <v>0</v>
      </c>
      <c r="AL279" s="104">
        <f t="shared" si="2046"/>
        <v>0</v>
      </c>
      <c r="AM279" s="102">
        <f t="shared" si="2047"/>
        <v>0</v>
      </c>
      <c r="AN279" s="106">
        <f t="shared" si="2048"/>
        <v>0</v>
      </c>
      <c r="AO279" s="104">
        <f t="shared" si="2049"/>
        <v>0</v>
      </c>
      <c r="AP279" s="104">
        <f t="shared" si="2050"/>
        <v>0</v>
      </c>
      <c r="AQ279" s="104">
        <f t="shared" si="2051"/>
        <v>0.7</v>
      </c>
      <c r="AR279" s="104">
        <f t="shared" si="2052"/>
        <v>0</v>
      </c>
      <c r="AS279" s="104">
        <f t="shared" si="2053"/>
        <v>0</v>
      </c>
      <c r="AT279" s="104">
        <f t="shared" si="2054"/>
        <v>0</v>
      </c>
      <c r="AU279" s="104">
        <f t="shared" si="2055"/>
        <v>0</v>
      </c>
      <c r="AV279" s="104">
        <f t="shared" si="2056"/>
        <v>0</v>
      </c>
      <c r="AW279" s="104">
        <f t="shared" si="2057"/>
        <v>0</v>
      </c>
      <c r="AX279" s="104">
        <f t="shared" si="2058"/>
        <v>0</v>
      </c>
      <c r="AY279" s="104">
        <f t="shared" si="2059"/>
        <v>0</v>
      </c>
      <c r="AZ279" s="104">
        <f t="shared" si="2060"/>
        <v>0</v>
      </c>
      <c r="BA279" s="104">
        <f t="shared" si="2061"/>
        <v>0</v>
      </c>
      <c r="BB279" s="104">
        <f t="shared" si="2062"/>
        <v>0</v>
      </c>
      <c r="BC279" s="104"/>
      <c r="BD279" s="104">
        <f t="shared" si="2063"/>
        <v>0</v>
      </c>
      <c r="BE279" s="108">
        <f t="shared" si="2064"/>
        <v>3.3650000000000002</v>
      </c>
      <c r="BF279" s="110">
        <f t="shared" si="2065"/>
        <v>0</v>
      </c>
      <c r="BG279" s="110">
        <f t="shared" si="2066"/>
        <v>0</v>
      </c>
      <c r="BH279" s="105" t="str">
        <f>VLOOKUP(A279,'BOCA DE LOBO'!$C$229:$I$324,7,0)</f>
        <v>BOCA DE LOBO SIMPLES EXISTENTE COM BOCA DE LOBO SIMPLES PROJETADA</v>
      </c>
      <c r="BI279" s="104">
        <f t="shared" si="2067"/>
        <v>0</v>
      </c>
      <c r="BJ279" s="104">
        <f t="shared" si="2068"/>
        <v>1</v>
      </c>
      <c r="BK279" s="104">
        <f t="shared" si="2069"/>
        <v>0</v>
      </c>
      <c r="BL279" s="104">
        <f t="shared" si="2070"/>
        <v>0</v>
      </c>
      <c r="BM279" s="104">
        <f t="shared" si="2071"/>
        <v>0</v>
      </c>
      <c r="BN279" s="104">
        <f t="shared" si="2072"/>
        <v>0</v>
      </c>
      <c r="BO279" s="543">
        <f t="shared" si="2073"/>
        <v>0</v>
      </c>
      <c r="BP279" s="111"/>
      <c r="BQ279" s="108">
        <f t="shared" si="2074"/>
        <v>11.040000000000001</v>
      </c>
      <c r="BR279" s="108">
        <f t="shared" si="2075"/>
        <v>11.040000000000001</v>
      </c>
      <c r="BS279" s="108">
        <f t="shared" si="2076"/>
        <v>2.6864000000000017</v>
      </c>
      <c r="BV279" s="538">
        <f t="shared" si="2077"/>
        <v>9.1559999999999988</v>
      </c>
      <c r="BW279" s="538">
        <f t="shared" si="2078"/>
        <v>3.6623999999999994</v>
      </c>
      <c r="BX279" s="538">
        <f t="shared" si="2079"/>
        <v>1.3923999999999999</v>
      </c>
      <c r="BY279" s="538">
        <f t="shared" si="2080"/>
        <v>2.5</v>
      </c>
      <c r="BZ279" s="538">
        <f t="shared" si="2081"/>
        <v>2.5</v>
      </c>
      <c r="CA279" s="538">
        <f t="shared" si="2082"/>
        <v>0</v>
      </c>
      <c r="CB279" s="538">
        <f t="shared" si="2083"/>
        <v>0</v>
      </c>
      <c r="CC279" s="538">
        <f t="shared" si="2084"/>
        <v>5.4935999999999989</v>
      </c>
      <c r="CD279" s="538">
        <f t="shared" si="2085"/>
        <v>3.6623999999999994</v>
      </c>
      <c r="CE279" s="538">
        <f t="shared" si="2086"/>
        <v>0</v>
      </c>
      <c r="CF279" s="538">
        <f t="shared" si="2087"/>
        <v>0</v>
      </c>
      <c r="CG279" s="538">
        <f t="shared" si="2088"/>
        <v>0</v>
      </c>
      <c r="CH279" s="538">
        <f t="shared" si="2089"/>
        <v>0</v>
      </c>
      <c r="CI279" s="104">
        <f t="shared" si="2090"/>
        <v>0.252</v>
      </c>
      <c r="CJ279" s="538">
        <f t="shared" si="2091"/>
        <v>5.4229999999999992</v>
      </c>
      <c r="CK279" s="538">
        <f t="shared" si="2092"/>
        <v>5.4229999999999992</v>
      </c>
      <c r="CL279" s="538">
        <f t="shared" si="2093"/>
        <v>0</v>
      </c>
      <c r="CM279" s="538">
        <f t="shared" si="2094"/>
        <v>0</v>
      </c>
      <c r="CN279" s="538">
        <f t="shared" si="2095"/>
        <v>1.68</v>
      </c>
      <c r="CO279" s="538">
        <f t="shared" si="2096"/>
        <v>2.5</v>
      </c>
      <c r="CP279" s="538">
        <f t="shared" si="2097"/>
        <v>5.04</v>
      </c>
      <c r="CQ279" s="538">
        <f t="shared" si="2098"/>
        <v>3.36</v>
      </c>
      <c r="CR279" s="539">
        <f t="shared" si="2099"/>
        <v>1.1000000000000001</v>
      </c>
      <c r="CS279" s="540">
        <f t="shared" si="2100"/>
        <v>5.1000000000000004E-2</v>
      </c>
      <c r="CT279" s="540">
        <f t="shared" si="2101"/>
        <v>0.15421000000000001</v>
      </c>
      <c r="CU279" s="541">
        <f t="shared" si="2102"/>
        <v>6.5</v>
      </c>
      <c r="CV279" s="538">
        <f t="shared" si="2103"/>
        <v>0.90203999999999995</v>
      </c>
      <c r="CW279" s="538">
        <f t="shared" si="2104"/>
        <v>15.764600000000002</v>
      </c>
      <c r="CX279" s="104">
        <f t="shared" si="2105"/>
        <v>1.68</v>
      </c>
      <c r="CY279" s="542">
        <f t="shared" si="2106"/>
        <v>0.84</v>
      </c>
      <c r="CZ279" s="538">
        <f t="shared" si="2107"/>
        <v>0</v>
      </c>
    </row>
    <row r="280" spans="1:104" s="112" customFormat="1" ht="37.5" x14ac:dyDescent="0.25">
      <c r="A280" s="100" t="str">
        <f>'BOCA DE LOBO'!C249</f>
        <v>BL21-&gt;PV23.1</v>
      </c>
      <c r="B280" s="100" t="str">
        <f>'BOCA DE LOBO'!A249</f>
        <v>PV23.1</v>
      </c>
      <c r="C280" s="100" t="str">
        <f>VLOOKUP(A280,'BOCA DE LOBO'!$C$229:$M$324,3,0)</f>
        <v>PROJETADO</v>
      </c>
      <c r="D280" s="100" t="str">
        <f>VLOOKUP(A280,'BOCA DE LOBO'!$C$229:$M$324,10,0)</f>
        <v>AMPLIADA</v>
      </c>
      <c r="E280" s="100">
        <f t="shared" si="2025"/>
        <v>2.5</v>
      </c>
      <c r="F280" s="100">
        <f>VLOOKUP(A280,'BOCA DE LOBO'!$C$229:$D$324,2,0)</f>
        <v>4.1399999999999997</v>
      </c>
      <c r="G280" s="100">
        <f>VLOOKUP(A280,'BOCA DE LOBO'!$C$229:$F$324,4,0)</f>
        <v>7.89</v>
      </c>
      <c r="H280" s="101">
        <v>400</v>
      </c>
      <c r="I280" s="102">
        <f t="shared" si="2026"/>
        <v>3.4499999999999997</v>
      </c>
      <c r="J280" s="102">
        <f t="shared" si="2027"/>
        <v>0</v>
      </c>
      <c r="K280" s="103">
        <v>0</v>
      </c>
      <c r="L280" s="104">
        <f t="shared" si="2028"/>
        <v>0</v>
      </c>
      <c r="M280" s="104">
        <f t="shared" si="2029"/>
        <v>0</v>
      </c>
      <c r="N280" s="104">
        <f t="shared" si="2108"/>
        <v>400</v>
      </c>
      <c r="O280" s="104">
        <f t="shared" si="2030"/>
        <v>0</v>
      </c>
      <c r="P280" s="105" t="s">
        <v>1999</v>
      </c>
      <c r="Q280" s="468" t="s">
        <v>2084</v>
      </c>
      <c r="R280" s="105"/>
      <c r="S280" s="105">
        <f>VLOOKUP(Q280,Quantitativos!P:R,3,0)</f>
        <v>5</v>
      </c>
      <c r="T280" s="105">
        <f>VLOOKUP(Q280,Quantitativos!P:S,4,0)</f>
        <v>4.5999999999999996</v>
      </c>
      <c r="U280" s="104">
        <f t="shared" si="2031"/>
        <v>0.05</v>
      </c>
      <c r="V280" s="106">
        <f t="shared" si="2032"/>
        <v>0</v>
      </c>
      <c r="W280" s="106">
        <f t="shared" si="2033"/>
        <v>0</v>
      </c>
      <c r="X280" s="107">
        <f t="shared" si="2034"/>
        <v>0</v>
      </c>
      <c r="Y280" s="107">
        <f t="shared" si="2035"/>
        <v>0</v>
      </c>
      <c r="Z280" s="107">
        <f t="shared" si="2036"/>
        <v>3.4499999999999997</v>
      </c>
      <c r="AA280" s="107">
        <f t="shared" si="2037"/>
        <v>0</v>
      </c>
      <c r="AB280" s="108">
        <f t="shared" si="2038"/>
        <v>0</v>
      </c>
      <c r="AC280" s="109">
        <f t="shared" si="2039"/>
        <v>0</v>
      </c>
      <c r="AD280" s="109">
        <f t="shared" si="2040"/>
        <v>0</v>
      </c>
      <c r="AE280" s="109">
        <f t="shared" si="2041"/>
        <v>0</v>
      </c>
      <c r="AF280" s="109">
        <f t="shared" si="2042"/>
        <v>0</v>
      </c>
      <c r="AG280" s="109">
        <f t="shared" si="2109"/>
        <v>0</v>
      </c>
      <c r="AH280" s="109">
        <f t="shared" si="2110"/>
        <v>0</v>
      </c>
      <c r="AI280" s="537" t="str">
        <f t="shared" si="2043"/>
        <v>NÃO</v>
      </c>
      <c r="AJ280" s="104">
        <f t="shared" si="2044"/>
        <v>0</v>
      </c>
      <c r="AK280" s="104">
        <f t="shared" si="2045"/>
        <v>0</v>
      </c>
      <c r="AL280" s="104">
        <f t="shared" si="2046"/>
        <v>0</v>
      </c>
      <c r="AM280" s="102">
        <f t="shared" si="2047"/>
        <v>0</v>
      </c>
      <c r="AN280" s="106">
        <f t="shared" si="2048"/>
        <v>0</v>
      </c>
      <c r="AO280" s="104">
        <f t="shared" si="2049"/>
        <v>0</v>
      </c>
      <c r="AP280" s="104">
        <f t="shared" si="2050"/>
        <v>0</v>
      </c>
      <c r="AQ280" s="104">
        <f t="shared" si="2051"/>
        <v>0.7</v>
      </c>
      <c r="AR280" s="104">
        <f t="shared" si="2052"/>
        <v>0</v>
      </c>
      <c r="AS280" s="104">
        <f t="shared" si="2053"/>
        <v>0</v>
      </c>
      <c r="AT280" s="104">
        <f t="shared" si="2054"/>
        <v>0</v>
      </c>
      <c r="AU280" s="104">
        <f t="shared" si="2055"/>
        <v>0</v>
      </c>
      <c r="AV280" s="104">
        <f t="shared" si="2056"/>
        <v>0</v>
      </c>
      <c r="AW280" s="104">
        <f t="shared" si="2057"/>
        <v>0</v>
      </c>
      <c r="AX280" s="104">
        <f t="shared" si="2058"/>
        <v>0</v>
      </c>
      <c r="AY280" s="104">
        <f t="shared" si="2059"/>
        <v>0</v>
      </c>
      <c r="AZ280" s="104">
        <f t="shared" si="2060"/>
        <v>0</v>
      </c>
      <c r="BA280" s="104">
        <f t="shared" si="2061"/>
        <v>0</v>
      </c>
      <c r="BB280" s="104">
        <f t="shared" si="2062"/>
        <v>0</v>
      </c>
      <c r="BC280" s="104"/>
      <c r="BD280" s="104">
        <f t="shared" si="2063"/>
        <v>0</v>
      </c>
      <c r="BE280" s="108">
        <f t="shared" si="2064"/>
        <v>3.4499999999999997</v>
      </c>
      <c r="BF280" s="110">
        <f t="shared" si="2065"/>
        <v>0</v>
      </c>
      <c r="BG280" s="110">
        <f t="shared" si="2066"/>
        <v>0</v>
      </c>
      <c r="BH280" s="105" t="str">
        <f>VLOOKUP(A280,'BOCA DE LOBO'!$C$229:$I$324,7,0)</f>
        <v>BOCA DE LOBO SIMPLES EXISTENTE COM BOCA DE LOBO SIMPLES PROJETADA</v>
      </c>
      <c r="BI280" s="104">
        <f t="shared" si="2067"/>
        <v>0</v>
      </c>
      <c r="BJ280" s="104">
        <f t="shared" si="2068"/>
        <v>1</v>
      </c>
      <c r="BK280" s="104">
        <f t="shared" si="2069"/>
        <v>0</v>
      </c>
      <c r="BL280" s="104">
        <f t="shared" si="2070"/>
        <v>0</v>
      </c>
      <c r="BM280" s="104">
        <f t="shared" si="2071"/>
        <v>0</v>
      </c>
      <c r="BN280" s="104">
        <f t="shared" si="2072"/>
        <v>0</v>
      </c>
      <c r="BO280" s="543">
        <f t="shared" si="2073"/>
        <v>0</v>
      </c>
      <c r="BP280" s="111"/>
      <c r="BQ280" s="108">
        <f t="shared" si="2074"/>
        <v>23.669999999999998</v>
      </c>
      <c r="BR280" s="108">
        <f t="shared" si="2075"/>
        <v>23.669999999999998</v>
      </c>
      <c r="BS280" s="108">
        <f t="shared" si="2076"/>
        <v>7.1009999999999955</v>
      </c>
      <c r="BV280" s="538">
        <f t="shared" si="2077"/>
        <v>9.1559999999999988</v>
      </c>
      <c r="BW280" s="538">
        <f t="shared" si="2078"/>
        <v>3.6623999999999994</v>
      </c>
      <c r="BX280" s="538">
        <f t="shared" si="2079"/>
        <v>1.3923999999999999</v>
      </c>
      <c r="BY280" s="538">
        <f t="shared" si="2080"/>
        <v>2.5</v>
      </c>
      <c r="BZ280" s="538">
        <f t="shared" si="2081"/>
        <v>2.5</v>
      </c>
      <c r="CA280" s="538">
        <f t="shared" si="2082"/>
        <v>0</v>
      </c>
      <c r="CB280" s="538">
        <f t="shared" si="2083"/>
        <v>0</v>
      </c>
      <c r="CC280" s="538">
        <f t="shared" si="2084"/>
        <v>5.4935999999999989</v>
      </c>
      <c r="CD280" s="538">
        <f t="shared" si="2085"/>
        <v>3.6623999999999994</v>
      </c>
      <c r="CE280" s="538">
        <f t="shared" si="2086"/>
        <v>0</v>
      </c>
      <c r="CF280" s="538">
        <f t="shared" si="2087"/>
        <v>0</v>
      </c>
      <c r="CG280" s="538">
        <f t="shared" si="2088"/>
        <v>0</v>
      </c>
      <c r="CH280" s="538">
        <f t="shared" si="2089"/>
        <v>0</v>
      </c>
      <c r="CI280" s="104">
        <f t="shared" si="2090"/>
        <v>0.252</v>
      </c>
      <c r="CJ280" s="538">
        <f t="shared" si="2091"/>
        <v>5.4229999999999992</v>
      </c>
      <c r="CK280" s="538">
        <f t="shared" si="2092"/>
        <v>5.4229999999999992</v>
      </c>
      <c r="CL280" s="538">
        <f t="shared" si="2093"/>
        <v>0</v>
      </c>
      <c r="CM280" s="538">
        <f t="shared" si="2094"/>
        <v>0</v>
      </c>
      <c r="CN280" s="538">
        <f t="shared" si="2095"/>
        <v>1.68</v>
      </c>
      <c r="CO280" s="538">
        <f t="shared" si="2096"/>
        <v>2.5</v>
      </c>
      <c r="CP280" s="538">
        <f t="shared" si="2097"/>
        <v>5.04</v>
      </c>
      <c r="CQ280" s="538">
        <f t="shared" si="2098"/>
        <v>3.36</v>
      </c>
      <c r="CR280" s="539">
        <f t="shared" si="2099"/>
        <v>1.1000000000000001</v>
      </c>
      <c r="CS280" s="540">
        <f t="shared" si="2100"/>
        <v>5.1000000000000004E-2</v>
      </c>
      <c r="CT280" s="540">
        <f t="shared" si="2101"/>
        <v>0.15421000000000001</v>
      </c>
      <c r="CU280" s="541">
        <f t="shared" si="2102"/>
        <v>6.5</v>
      </c>
      <c r="CV280" s="538">
        <f t="shared" si="2103"/>
        <v>0.90203999999999995</v>
      </c>
      <c r="CW280" s="538">
        <f t="shared" si="2104"/>
        <v>15.764600000000002</v>
      </c>
      <c r="CX280" s="104">
        <f t="shared" si="2105"/>
        <v>1.68</v>
      </c>
      <c r="CY280" s="542">
        <f t="shared" si="2106"/>
        <v>0.84</v>
      </c>
      <c r="CZ280" s="538">
        <f t="shared" si="2107"/>
        <v>0</v>
      </c>
    </row>
    <row r="281" spans="1:104" s="112" customFormat="1" ht="25" x14ac:dyDescent="0.25">
      <c r="A281" s="100" t="str">
        <f>'BOCA DE LOBO'!C250</f>
        <v>BL22-&gt;PV23.1</v>
      </c>
      <c r="B281" s="100" t="str">
        <f>'BOCA DE LOBO'!A250</f>
        <v>PV23.1</v>
      </c>
      <c r="C281" s="100" t="str">
        <f>VLOOKUP(A281,'BOCA DE LOBO'!$C$229:$M$324,3,0)</f>
        <v>PROJETADO</v>
      </c>
      <c r="D281" s="100" t="str">
        <f>VLOOKUP(A281,'BOCA DE LOBO'!$C$229:$M$324,10,0)</f>
        <v>PROJETADA</v>
      </c>
      <c r="E281" s="100">
        <f t="shared" si="2025"/>
        <v>2.5</v>
      </c>
      <c r="F281" s="100">
        <f>VLOOKUP(A281,'BOCA DE LOBO'!$C$229:$D$324,2,0)</f>
        <v>4.1399999999999997</v>
      </c>
      <c r="G281" s="100">
        <f>VLOOKUP(A281,'BOCA DE LOBO'!$C$229:$F$324,4,0)</f>
        <v>9.77</v>
      </c>
      <c r="H281" s="101">
        <v>400</v>
      </c>
      <c r="I281" s="102">
        <f t="shared" si="2026"/>
        <v>3.4499999999999997</v>
      </c>
      <c r="J281" s="102">
        <f t="shared" si="2027"/>
        <v>1.685325</v>
      </c>
      <c r="K281" s="103">
        <v>0</v>
      </c>
      <c r="L281" s="104">
        <f t="shared" si="2028"/>
        <v>1</v>
      </c>
      <c r="M281" s="104">
        <f t="shared" si="2029"/>
        <v>1</v>
      </c>
      <c r="N281" s="104">
        <f t="shared" si="2108"/>
        <v>0</v>
      </c>
      <c r="O281" s="104">
        <f t="shared" si="2030"/>
        <v>9.77</v>
      </c>
      <c r="P281" s="105" t="s">
        <v>1999</v>
      </c>
      <c r="Q281" s="468" t="s">
        <v>2084</v>
      </c>
      <c r="R281" s="105"/>
      <c r="S281" s="105">
        <f>VLOOKUP(Q281,Quantitativos!P:R,3,0)</f>
        <v>5</v>
      </c>
      <c r="T281" s="105">
        <f>VLOOKUP(Q281,Quantitativos!P:S,4,0)</f>
        <v>4.5999999999999996</v>
      </c>
      <c r="U281" s="104">
        <f t="shared" si="2031"/>
        <v>0.05</v>
      </c>
      <c r="V281" s="106">
        <f t="shared" si="2032"/>
        <v>0</v>
      </c>
      <c r="W281" s="106">
        <f t="shared" si="2033"/>
        <v>33.706499999999998</v>
      </c>
      <c r="X281" s="107">
        <f t="shared" si="2034"/>
        <v>0</v>
      </c>
      <c r="Y281" s="107">
        <f t="shared" si="2035"/>
        <v>0</v>
      </c>
      <c r="Z281" s="107">
        <f t="shared" si="2036"/>
        <v>3.4499999999999997</v>
      </c>
      <c r="AA281" s="107">
        <f t="shared" si="2037"/>
        <v>0</v>
      </c>
      <c r="AB281" s="108">
        <f t="shared" si="2038"/>
        <v>9.77</v>
      </c>
      <c r="AC281" s="109">
        <f t="shared" si="2039"/>
        <v>0</v>
      </c>
      <c r="AD281" s="109">
        <f t="shared" si="2040"/>
        <v>0</v>
      </c>
      <c r="AE281" s="109">
        <f t="shared" si="2041"/>
        <v>0</v>
      </c>
      <c r="AF281" s="109">
        <f t="shared" si="2042"/>
        <v>14.654999999999999</v>
      </c>
      <c r="AG281" s="109">
        <f t="shared" si="2109"/>
        <v>14.654999999999999</v>
      </c>
      <c r="AH281" s="109">
        <f t="shared" si="2110"/>
        <v>4.396499999999997</v>
      </c>
      <c r="AI281" s="537" t="str">
        <f t="shared" si="2043"/>
        <v>NÃO</v>
      </c>
      <c r="AJ281" s="104">
        <f t="shared" si="2044"/>
        <v>0</v>
      </c>
      <c r="AK281" s="104">
        <f t="shared" si="2045"/>
        <v>0</v>
      </c>
      <c r="AL281" s="104">
        <f t="shared" si="2046"/>
        <v>32.478765590977105</v>
      </c>
      <c r="AM281" s="102">
        <f t="shared" si="2047"/>
        <v>0.48849999999999999</v>
      </c>
      <c r="AN281" s="106">
        <f t="shared" si="2048"/>
        <v>0</v>
      </c>
      <c r="AO281" s="104">
        <f t="shared" si="2049"/>
        <v>0</v>
      </c>
      <c r="AP281" s="104">
        <f t="shared" si="2050"/>
        <v>0</v>
      </c>
      <c r="AQ281" s="104">
        <f t="shared" si="2051"/>
        <v>0.7</v>
      </c>
      <c r="AR281" s="104">
        <f t="shared" si="2052"/>
        <v>5.6112655909771085</v>
      </c>
      <c r="AS281" s="104">
        <f t="shared" si="2053"/>
        <v>0</v>
      </c>
      <c r="AT281" s="104">
        <f t="shared" si="2054"/>
        <v>1.4654999999999998</v>
      </c>
      <c r="AU281" s="104">
        <f t="shared" si="2055"/>
        <v>1.4654999999999998</v>
      </c>
      <c r="AV281" s="104">
        <f t="shared" si="2056"/>
        <v>0.29309999999999997</v>
      </c>
      <c r="AW281" s="104">
        <f t="shared" si="2057"/>
        <v>23.448</v>
      </c>
      <c r="AX281" s="104">
        <f t="shared" si="2058"/>
        <v>26.629734409022891</v>
      </c>
      <c r="AY281" s="104">
        <f t="shared" si="2059"/>
        <v>23.448</v>
      </c>
      <c r="AZ281" s="104">
        <f t="shared" si="2060"/>
        <v>0</v>
      </c>
      <c r="BA281" s="104">
        <f t="shared" si="2061"/>
        <v>0</v>
      </c>
      <c r="BB281" s="104">
        <f t="shared" si="2062"/>
        <v>0</v>
      </c>
      <c r="BC281" s="104"/>
      <c r="BD281" s="104">
        <f t="shared" si="2063"/>
        <v>0</v>
      </c>
      <c r="BE281" s="108">
        <f t="shared" si="2064"/>
        <v>3.4499999999999997</v>
      </c>
      <c r="BF281" s="110">
        <f t="shared" si="2065"/>
        <v>0</v>
      </c>
      <c r="BG281" s="110">
        <f t="shared" si="2066"/>
        <v>0</v>
      </c>
      <c r="BH281" s="105" t="str">
        <f>VLOOKUP(A281,'BOCA DE LOBO'!$C$229:$I$324,7,0)</f>
        <v>BOCA DE LOBO PROJETADA DUPLA</v>
      </c>
      <c r="BI281" s="104">
        <f t="shared" si="2067"/>
        <v>0</v>
      </c>
      <c r="BJ281" s="104">
        <f t="shared" si="2068"/>
        <v>0</v>
      </c>
      <c r="BK281" s="104">
        <f t="shared" si="2069"/>
        <v>0</v>
      </c>
      <c r="BL281" s="104">
        <f t="shared" si="2070"/>
        <v>0</v>
      </c>
      <c r="BM281" s="104">
        <f t="shared" si="2071"/>
        <v>0</v>
      </c>
      <c r="BN281" s="104">
        <f t="shared" si="2072"/>
        <v>1</v>
      </c>
      <c r="BO281" s="543">
        <f t="shared" si="2073"/>
        <v>0</v>
      </c>
      <c r="BP281" s="111"/>
      <c r="BQ281" s="108">
        <f t="shared" si="2074"/>
        <v>29.31</v>
      </c>
      <c r="BR281" s="108">
        <f t="shared" si="2075"/>
        <v>29.31</v>
      </c>
      <c r="BS281" s="108">
        <f t="shared" si="2076"/>
        <v>8.7929999999999939</v>
      </c>
      <c r="BV281" s="538">
        <f t="shared" si="2077"/>
        <v>19.456499999999998</v>
      </c>
      <c r="BW281" s="538">
        <f t="shared" si="2078"/>
        <v>7.7825999999999986</v>
      </c>
      <c r="BX281" s="538">
        <f t="shared" si="2079"/>
        <v>3.0325999999999995</v>
      </c>
      <c r="BY281" s="538">
        <f t="shared" si="2080"/>
        <v>2.5</v>
      </c>
      <c r="BZ281" s="538">
        <f t="shared" si="2081"/>
        <v>2.5</v>
      </c>
      <c r="CA281" s="538">
        <f t="shared" si="2082"/>
        <v>0</v>
      </c>
      <c r="CB281" s="538">
        <f t="shared" si="2083"/>
        <v>0</v>
      </c>
      <c r="CC281" s="538">
        <f t="shared" si="2084"/>
        <v>11.673899999999998</v>
      </c>
      <c r="CD281" s="538">
        <f t="shared" si="2085"/>
        <v>7.7825999999999986</v>
      </c>
      <c r="CE281" s="538">
        <f t="shared" si="2086"/>
        <v>0</v>
      </c>
      <c r="CF281" s="538">
        <f t="shared" si="2087"/>
        <v>0</v>
      </c>
      <c r="CG281" s="538">
        <f t="shared" si="2088"/>
        <v>0</v>
      </c>
      <c r="CH281" s="538">
        <f t="shared" si="2089"/>
        <v>0</v>
      </c>
      <c r="CI281" s="104">
        <f t="shared" si="2090"/>
        <v>0.53549999999999998</v>
      </c>
      <c r="CJ281" s="538">
        <f t="shared" si="2091"/>
        <v>11.339499999999997</v>
      </c>
      <c r="CK281" s="538">
        <f t="shared" si="2092"/>
        <v>11.339499999999997</v>
      </c>
      <c r="CL281" s="538">
        <f t="shared" si="2093"/>
        <v>0</v>
      </c>
      <c r="CM281" s="538">
        <f t="shared" si="2094"/>
        <v>0</v>
      </c>
      <c r="CN281" s="538">
        <f t="shared" si="2095"/>
        <v>3.57</v>
      </c>
      <c r="CO281" s="538">
        <f t="shared" si="2096"/>
        <v>2.5</v>
      </c>
      <c r="CP281" s="538">
        <f t="shared" si="2097"/>
        <v>10.709999999999999</v>
      </c>
      <c r="CQ281" s="538">
        <f t="shared" si="2098"/>
        <v>7.14</v>
      </c>
      <c r="CR281" s="539">
        <f t="shared" si="2099"/>
        <v>0</v>
      </c>
      <c r="CS281" s="540">
        <f t="shared" si="2100"/>
        <v>0</v>
      </c>
      <c r="CT281" s="540">
        <f t="shared" si="2101"/>
        <v>0.33012999999999998</v>
      </c>
      <c r="CU281" s="541">
        <f t="shared" si="2102"/>
        <v>13</v>
      </c>
      <c r="CV281" s="538">
        <f t="shared" si="2103"/>
        <v>1.43895</v>
      </c>
      <c r="CW281" s="538">
        <f t="shared" si="2104"/>
        <v>23.248199999999997</v>
      </c>
      <c r="CX281" s="104">
        <f t="shared" si="2105"/>
        <v>3.57</v>
      </c>
      <c r="CY281" s="542">
        <f t="shared" si="2106"/>
        <v>1.7849999999999999</v>
      </c>
      <c r="CZ281" s="538">
        <f t="shared" si="2107"/>
        <v>0</v>
      </c>
    </row>
    <row r="282" spans="1:104" s="112" customFormat="1" ht="37.5" x14ac:dyDescent="0.25">
      <c r="A282" s="100" t="str">
        <f>'BOCA DE LOBO'!C251</f>
        <v>BL23-&gt;PV24.1</v>
      </c>
      <c r="B282" s="100" t="str">
        <f>'BOCA DE LOBO'!A251</f>
        <v>PV24.1</v>
      </c>
      <c r="C282" s="100" t="str">
        <f>VLOOKUP(A282,'BOCA DE LOBO'!$C$229:$M$324,3,0)</f>
        <v>PROJETADO</v>
      </c>
      <c r="D282" s="100" t="str">
        <f>VLOOKUP(A282,'BOCA DE LOBO'!$C$229:$M$324,10,0)</f>
        <v>AMPLIADA</v>
      </c>
      <c r="E282" s="100">
        <f t="shared" si="2025"/>
        <v>2.5</v>
      </c>
      <c r="F282" s="100">
        <f>VLOOKUP(A282,'BOCA DE LOBO'!$C$229:$D$324,2,0)</f>
        <v>4.28</v>
      </c>
      <c r="G282" s="100">
        <f>VLOOKUP(A282,'BOCA DE LOBO'!$C$229:$F$324,4,0)</f>
        <v>3.9</v>
      </c>
      <c r="H282" s="101">
        <v>400</v>
      </c>
      <c r="I282" s="102">
        <f t="shared" si="2026"/>
        <v>3.52</v>
      </c>
      <c r="J282" s="102">
        <f t="shared" si="2027"/>
        <v>0</v>
      </c>
      <c r="K282" s="103">
        <v>0</v>
      </c>
      <c r="L282" s="104">
        <f t="shared" si="2028"/>
        <v>0</v>
      </c>
      <c r="M282" s="104">
        <f t="shared" si="2029"/>
        <v>0</v>
      </c>
      <c r="N282" s="104">
        <f t="shared" si="2108"/>
        <v>400</v>
      </c>
      <c r="O282" s="104">
        <f t="shared" si="2030"/>
        <v>0</v>
      </c>
      <c r="P282" s="105" t="s">
        <v>1999</v>
      </c>
      <c r="Q282" s="468" t="s">
        <v>2084</v>
      </c>
      <c r="R282" s="105">
        <v>1</v>
      </c>
      <c r="S282" s="105">
        <f>VLOOKUP(Q282,Quantitativos!P:R,3,0)</f>
        <v>5</v>
      </c>
      <c r="T282" s="105">
        <f>VLOOKUP(Q282,Quantitativos!P:S,4,0)</f>
        <v>4.5999999999999996</v>
      </c>
      <c r="U282" s="104">
        <f t="shared" si="2031"/>
        <v>0.05</v>
      </c>
      <c r="V282" s="106">
        <f t="shared" si="2032"/>
        <v>0</v>
      </c>
      <c r="W282" s="106">
        <f t="shared" si="2033"/>
        <v>0</v>
      </c>
      <c r="X282" s="107">
        <f t="shared" si="2034"/>
        <v>0</v>
      </c>
      <c r="Y282" s="107">
        <f t="shared" si="2035"/>
        <v>0.4</v>
      </c>
      <c r="Z282" s="107">
        <f t="shared" si="2036"/>
        <v>3.52</v>
      </c>
      <c r="AA282" s="107">
        <f t="shared" si="2037"/>
        <v>0</v>
      </c>
      <c r="AB282" s="108">
        <f t="shared" si="2038"/>
        <v>0</v>
      </c>
      <c r="AC282" s="109">
        <f t="shared" si="2039"/>
        <v>0</v>
      </c>
      <c r="AD282" s="109">
        <f t="shared" si="2040"/>
        <v>0</v>
      </c>
      <c r="AE282" s="109">
        <f t="shared" si="2041"/>
        <v>0</v>
      </c>
      <c r="AF282" s="109">
        <f t="shared" si="2042"/>
        <v>0</v>
      </c>
      <c r="AG282" s="109">
        <f t="shared" si="2109"/>
        <v>0</v>
      </c>
      <c r="AH282" s="109">
        <f t="shared" si="2110"/>
        <v>0</v>
      </c>
      <c r="AI282" s="537" t="str">
        <f t="shared" si="2043"/>
        <v>NÃO</v>
      </c>
      <c r="AJ282" s="104">
        <f t="shared" si="2044"/>
        <v>0</v>
      </c>
      <c r="AK282" s="104">
        <f t="shared" si="2045"/>
        <v>0</v>
      </c>
      <c r="AL282" s="104">
        <f t="shared" si="2046"/>
        <v>0</v>
      </c>
      <c r="AM282" s="102">
        <f t="shared" si="2047"/>
        <v>0</v>
      </c>
      <c r="AN282" s="106">
        <f t="shared" si="2048"/>
        <v>0</v>
      </c>
      <c r="AO282" s="104">
        <f t="shared" si="2049"/>
        <v>0</v>
      </c>
      <c r="AP282" s="104">
        <f t="shared" si="2050"/>
        <v>0</v>
      </c>
      <c r="AQ282" s="104">
        <f t="shared" si="2051"/>
        <v>0.7</v>
      </c>
      <c r="AR282" s="104">
        <f t="shared" si="2052"/>
        <v>0</v>
      </c>
      <c r="AS282" s="104">
        <f t="shared" si="2053"/>
        <v>0</v>
      </c>
      <c r="AT282" s="104">
        <f t="shared" si="2054"/>
        <v>0</v>
      </c>
      <c r="AU282" s="104">
        <f t="shared" si="2055"/>
        <v>0</v>
      </c>
      <c r="AV282" s="104">
        <f t="shared" si="2056"/>
        <v>0</v>
      </c>
      <c r="AW282" s="104">
        <f t="shared" si="2057"/>
        <v>0</v>
      </c>
      <c r="AX282" s="104">
        <f t="shared" si="2058"/>
        <v>0</v>
      </c>
      <c r="AY282" s="104">
        <f t="shared" si="2059"/>
        <v>0</v>
      </c>
      <c r="AZ282" s="104">
        <f t="shared" si="2060"/>
        <v>0</v>
      </c>
      <c r="BA282" s="104">
        <f t="shared" si="2061"/>
        <v>0</v>
      </c>
      <c r="BB282" s="104">
        <f t="shared" si="2062"/>
        <v>0</v>
      </c>
      <c r="BC282" s="104"/>
      <c r="BD282" s="104">
        <f t="shared" si="2063"/>
        <v>0</v>
      </c>
      <c r="BE282" s="108">
        <f t="shared" si="2064"/>
        <v>3.52</v>
      </c>
      <c r="BF282" s="110">
        <f t="shared" si="2065"/>
        <v>0</v>
      </c>
      <c r="BG282" s="110">
        <f t="shared" si="2066"/>
        <v>0</v>
      </c>
      <c r="BH282" s="105" t="str">
        <f>VLOOKUP(A282,'BOCA DE LOBO'!$C$229:$I$324,7,0)</f>
        <v>BOCA DE LOBO SIMPLES EXISTENTE COM BOCA DE LOBO SIMPLES PROJETADA</v>
      </c>
      <c r="BI282" s="104">
        <f t="shared" si="2067"/>
        <v>0</v>
      </c>
      <c r="BJ282" s="104">
        <f t="shared" si="2068"/>
        <v>1</v>
      </c>
      <c r="BK282" s="104">
        <f t="shared" si="2069"/>
        <v>0</v>
      </c>
      <c r="BL282" s="104">
        <f t="shared" si="2070"/>
        <v>0</v>
      </c>
      <c r="BM282" s="104">
        <f t="shared" si="2071"/>
        <v>0</v>
      </c>
      <c r="BN282" s="104">
        <f t="shared" si="2072"/>
        <v>0</v>
      </c>
      <c r="BO282" s="543">
        <f t="shared" si="2073"/>
        <v>0</v>
      </c>
      <c r="BP282" s="111"/>
      <c r="BQ282" s="108">
        <f t="shared" si="2074"/>
        <v>11.7</v>
      </c>
      <c r="BR282" s="108">
        <f t="shared" si="2075"/>
        <v>11.7</v>
      </c>
      <c r="BS282" s="108">
        <f t="shared" si="2076"/>
        <v>7.9559999999999969</v>
      </c>
      <c r="BV282" s="538">
        <f t="shared" si="2077"/>
        <v>10.987199999999998</v>
      </c>
      <c r="BW282" s="538">
        <f t="shared" si="2078"/>
        <v>3.6623999999999994</v>
      </c>
      <c r="BX282" s="538">
        <f t="shared" si="2079"/>
        <v>1.3923999999999999</v>
      </c>
      <c r="BY282" s="538">
        <f t="shared" si="2080"/>
        <v>2.5</v>
      </c>
      <c r="BZ282" s="538">
        <f t="shared" si="2081"/>
        <v>2.5</v>
      </c>
      <c r="CA282" s="538">
        <f t="shared" si="2082"/>
        <v>0.4</v>
      </c>
      <c r="CB282" s="538">
        <f t="shared" si="2083"/>
        <v>0</v>
      </c>
      <c r="CC282" s="538">
        <f t="shared" si="2084"/>
        <v>5.4935999999999989</v>
      </c>
      <c r="CD282" s="538">
        <f t="shared" si="2085"/>
        <v>3.6623999999999994</v>
      </c>
      <c r="CE282" s="538">
        <f t="shared" si="2086"/>
        <v>0</v>
      </c>
      <c r="CF282" s="538">
        <f t="shared" si="2087"/>
        <v>1.4649599999999998</v>
      </c>
      <c r="CG282" s="538">
        <f t="shared" si="2088"/>
        <v>0.36623999999999945</v>
      </c>
      <c r="CH282" s="538">
        <f t="shared" si="2089"/>
        <v>0</v>
      </c>
      <c r="CI282" s="104">
        <f t="shared" si="2090"/>
        <v>0.252</v>
      </c>
      <c r="CJ282" s="538">
        <f t="shared" si="2091"/>
        <v>6.3309999999999986</v>
      </c>
      <c r="CK282" s="538">
        <f t="shared" si="2092"/>
        <v>6.3309999999999986</v>
      </c>
      <c r="CL282" s="538">
        <f t="shared" si="2093"/>
        <v>0</v>
      </c>
      <c r="CM282" s="538">
        <f t="shared" si="2094"/>
        <v>7.3247999999999994E-2</v>
      </c>
      <c r="CN282" s="538">
        <f t="shared" si="2095"/>
        <v>1.68</v>
      </c>
      <c r="CO282" s="538">
        <f t="shared" si="2096"/>
        <v>3</v>
      </c>
      <c r="CP282" s="538">
        <f t="shared" si="2097"/>
        <v>5.04</v>
      </c>
      <c r="CQ282" s="538">
        <f t="shared" si="2098"/>
        <v>5.04</v>
      </c>
      <c r="CR282" s="539">
        <f t="shared" si="2099"/>
        <v>1.1000000000000001</v>
      </c>
      <c r="CS282" s="540">
        <f t="shared" si="2100"/>
        <v>5.1000000000000004E-2</v>
      </c>
      <c r="CT282" s="540">
        <f t="shared" si="2101"/>
        <v>0.15421000000000001</v>
      </c>
      <c r="CU282" s="541">
        <f t="shared" si="2102"/>
        <v>6.5</v>
      </c>
      <c r="CV282" s="538">
        <f t="shared" si="2103"/>
        <v>0.90203999999999995</v>
      </c>
      <c r="CW282" s="538">
        <f t="shared" si="2104"/>
        <v>15.764600000000002</v>
      </c>
      <c r="CX282" s="104">
        <f t="shared" si="2105"/>
        <v>1.68</v>
      </c>
      <c r="CY282" s="542">
        <f t="shared" si="2106"/>
        <v>0.84</v>
      </c>
      <c r="CZ282" s="538">
        <f t="shared" si="2107"/>
        <v>0</v>
      </c>
    </row>
    <row r="283" spans="1:104" s="112" customFormat="1" ht="25" x14ac:dyDescent="0.25">
      <c r="A283" s="100" t="str">
        <f>'BOCA DE LOBO'!C252</f>
        <v>BL24-&gt;PV24.1</v>
      </c>
      <c r="B283" s="100" t="str">
        <f>'BOCA DE LOBO'!A252</f>
        <v>PV24.1</v>
      </c>
      <c r="C283" s="100" t="str">
        <f>VLOOKUP(A283,'BOCA DE LOBO'!$C$229:$M$324,3,0)</f>
        <v>PROJETADO</v>
      </c>
      <c r="D283" s="100" t="str">
        <f>VLOOKUP(A283,'BOCA DE LOBO'!$C$229:$M$324,10,0)</f>
        <v>PROJETADA</v>
      </c>
      <c r="E283" s="100">
        <f t="shared" si="2025"/>
        <v>2.5</v>
      </c>
      <c r="F283" s="100">
        <f>VLOOKUP(A283,'BOCA DE LOBO'!$C$229:$D$324,2,0)</f>
        <v>4.28</v>
      </c>
      <c r="G283" s="100">
        <f>VLOOKUP(A283,'BOCA DE LOBO'!$C$229:$F$324,4,0)</f>
        <v>13.25</v>
      </c>
      <c r="H283" s="101">
        <v>400</v>
      </c>
      <c r="I283" s="102">
        <f t="shared" si="2026"/>
        <v>3.52</v>
      </c>
      <c r="J283" s="102">
        <f t="shared" si="2027"/>
        <v>2.3319999999999999</v>
      </c>
      <c r="K283" s="103">
        <v>0</v>
      </c>
      <c r="L283" s="104">
        <f t="shared" si="2028"/>
        <v>1</v>
      </c>
      <c r="M283" s="104">
        <f t="shared" si="2029"/>
        <v>1</v>
      </c>
      <c r="N283" s="104">
        <f t="shared" si="2108"/>
        <v>0</v>
      </c>
      <c r="O283" s="104">
        <f t="shared" si="2030"/>
        <v>13.25</v>
      </c>
      <c r="P283" s="105" t="s">
        <v>1999</v>
      </c>
      <c r="Q283" s="468" t="s">
        <v>2084</v>
      </c>
      <c r="R283" s="105">
        <v>1</v>
      </c>
      <c r="S283" s="105">
        <f>VLOOKUP(Q283,Quantitativos!P:R,3,0)</f>
        <v>5</v>
      </c>
      <c r="T283" s="105">
        <f>VLOOKUP(Q283,Quantitativos!P:S,4,0)</f>
        <v>4.5999999999999996</v>
      </c>
      <c r="U283" s="104">
        <f t="shared" si="2031"/>
        <v>0.05</v>
      </c>
      <c r="V283" s="106">
        <f t="shared" si="2032"/>
        <v>0</v>
      </c>
      <c r="W283" s="106">
        <f t="shared" si="2033"/>
        <v>51.94</v>
      </c>
      <c r="X283" s="107">
        <f t="shared" si="2034"/>
        <v>0</v>
      </c>
      <c r="Y283" s="107">
        <f t="shared" si="2035"/>
        <v>3.92</v>
      </c>
      <c r="Z283" s="107">
        <f t="shared" si="2036"/>
        <v>0</v>
      </c>
      <c r="AA283" s="107">
        <f t="shared" si="2037"/>
        <v>3.52</v>
      </c>
      <c r="AB283" s="108">
        <f t="shared" si="2038"/>
        <v>13.25</v>
      </c>
      <c r="AC283" s="109">
        <f t="shared" si="2039"/>
        <v>19.875</v>
      </c>
      <c r="AD283" s="109">
        <f t="shared" si="2040"/>
        <v>19.875</v>
      </c>
      <c r="AE283" s="109">
        <f t="shared" si="2041"/>
        <v>12.19</v>
      </c>
      <c r="AF283" s="109">
        <f t="shared" si="2042"/>
        <v>0</v>
      </c>
      <c r="AG283" s="109">
        <f t="shared" si="2109"/>
        <v>0</v>
      </c>
      <c r="AH283" s="109">
        <f t="shared" si="2110"/>
        <v>0</v>
      </c>
      <c r="AI283" s="537" t="str">
        <f t="shared" si="2043"/>
        <v>NÃO</v>
      </c>
      <c r="AJ283" s="104">
        <f t="shared" si="2044"/>
        <v>0</v>
      </c>
      <c r="AK283" s="104">
        <f t="shared" si="2045"/>
        <v>0</v>
      </c>
      <c r="AL283" s="104">
        <f t="shared" si="2046"/>
        <v>50.274955893597408</v>
      </c>
      <c r="AM283" s="102">
        <f t="shared" si="2047"/>
        <v>0.66250000000000009</v>
      </c>
      <c r="AN283" s="106">
        <f t="shared" si="2048"/>
        <v>0</v>
      </c>
      <c r="AO283" s="104">
        <f t="shared" si="2049"/>
        <v>5.3000000000000007</v>
      </c>
      <c r="AP283" s="104">
        <f t="shared" si="2050"/>
        <v>5.3000000000000007</v>
      </c>
      <c r="AQ283" s="104">
        <f t="shared" si="2051"/>
        <v>0.7</v>
      </c>
      <c r="AR283" s="104">
        <f t="shared" si="2052"/>
        <v>7.6099558935974079</v>
      </c>
      <c r="AS283" s="104">
        <f t="shared" si="2053"/>
        <v>7.6099558935974079</v>
      </c>
      <c r="AT283" s="104">
        <f t="shared" si="2054"/>
        <v>1.9874999999999998</v>
      </c>
      <c r="AU283" s="104">
        <f t="shared" si="2055"/>
        <v>1.9874999999999998</v>
      </c>
      <c r="AV283" s="104">
        <f t="shared" si="2056"/>
        <v>0.39749999999999996</v>
      </c>
      <c r="AW283" s="104">
        <f t="shared" si="2057"/>
        <v>32.727500000000006</v>
      </c>
      <c r="AX283" s="104">
        <f t="shared" si="2058"/>
        <v>-14.897455893597408</v>
      </c>
      <c r="AY283" s="104">
        <f t="shared" si="2059"/>
        <v>-14.897455893597408</v>
      </c>
      <c r="AZ283" s="104">
        <f t="shared" si="2060"/>
        <v>47.624955893597416</v>
      </c>
      <c r="BA283" s="104">
        <f t="shared" si="2061"/>
        <v>7.9561044729887564</v>
      </c>
      <c r="BB283" s="104">
        <f t="shared" si="2062"/>
        <v>39.668851420608661</v>
      </c>
      <c r="BC283" s="104"/>
      <c r="BD283" s="104">
        <f t="shared" si="2063"/>
        <v>0.29150000000000004</v>
      </c>
      <c r="BE283" s="108">
        <f t="shared" si="2064"/>
        <v>3.52</v>
      </c>
      <c r="BF283" s="110">
        <f t="shared" si="2065"/>
        <v>0</v>
      </c>
      <c r="BG283" s="110">
        <f t="shared" si="2066"/>
        <v>0</v>
      </c>
      <c r="BH283" s="105" t="str">
        <f>VLOOKUP(A283,'BOCA DE LOBO'!$C$229:$I$324,7,0)</f>
        <v>BOCA DE LOBO PROJETADA DUPLA</v>
      </c>
      <c r="BI283" s="104">
        <f t="shared" si="2067"/>
        <v>0</v>
      </c>
      <c r="BJ283" s="104">
        <f t="shared" si="2068"/>
        <v>0</v>
      </c>
      <c r="BK283" s="104">
        <f t="shared" si="2069"/>
        <v>0</v>
      </c>
      <c r="BL283" s="104">
        <f t="shared" si="2070"/>
        <v>0</v>
      </c>
      <c r="BM283" s="104">
        <f t="shared" si="2071"/>
        <v>0</v>
      </c>
      <c r="BN283" s="104">
        <f t="shared" si="2072"/>
        <v>1</v>
      </c>
      <c r="BO283" s="543">
        <f t="shared" si="2073"/>
        <v>0</v>
      </c>
      <c r="BP283" s="111"/>
      <c r="BQ283" s="108">
        <f t="shared" si="2074"/>
        <v>39.75</v>
      </c>
      <c r="BR283" s="108">
        <f t="shared" si="2075"/>
        <v>39.75</v>
      </c>
      <c r="BS283" s="108">
        <f t="shared" si="2076"/>
        <v>27.029999999999987</v>
      </c>
      <c r="BV283" s="538">
        <f t="shared" si="2077"/>
        <v>23.347799999999996</v>
      </c>
      <c r="BW283" s="538">
        <f t="shared" si="2078"/>
        <v>7.7825999999999986</v>
      </c>
      <c r="BX283" s="538">
        <f t="shared" si="2079"/>
        <v>3.0325999999999995</v>
      </c>
      <c r="BY283" s="538">
        <f t="shared" si="2080"/>
        <v>2.5</v>
      </c>
      <c r="BZ283" s="538">
        <f t="shared" si="2081"/>
        <v>0</v>
      </c>
      <c r="CA283" s="538">
        <f t="shared" si="2082"/>
        <v>2.9</v>
      </c>
      <c r="CB283" s="538">
        <f t="shared" si="2083"/>
        <v>0</v>
      </c>
      <c r="CC283" s="538">
        <f t="shared" si="2084"/>
        <v>0</v>
      </c>
      <c r="CD283" s="538">
        <f t="shared" si="2085"/>
        <v>0</v>
      </c>
      <c r="CE283" s="538">
        <f t="shared" si="2086"/>
        <v>11.673899999999998</v>
      </c>
      <c r="CF283" s="538">
        <f t="shared" si="2087"/>
        <v>10.895639999999997</v>
      </c>
      <c r="CG283" s="538">
        <f t="shared" si="2088"/>
        <v>0.77825999999999951</v>
      </c>
      <c r="CH283" s="538">
        <f t="shared" si="2089"/>
        <v>0</v>
      </c>
      <c r="CI283" s="104">
        <f t="shared" si="2090"/>
        <v>0.53549999999999998</v>
      </c>
      <c r="CJ283" s="538">
        <f t="shared" si="2091"/>
        <v>13.239499999999996</v>
      </c>
      <c r="CK283" s="538">
        <f t="shared" si="2092"/>
        <v>13.239499999999996</v>
      </c>
      <c r="CL283" s="538">
        <f t="shared" si="2093"/>
        <v>0</v>
      </c>
      <c r="CM283" s="538">
        <f t="shared" si="2094"/>
        <v>0.15565199999999998</v>
      </c>
      <c r="CN283" s="538">
        <f t="shared" si="2095"/>
        <v>3.57</v>
      </c>
      <c r="CO283" s="538">
        <f t="shared" si="2096"/>
        <v>3</v>
      </c>
      <c r="CP283" s="538">
        <f t="shared" si="2097"/>
        <v>10.709999999999999</v>
      </c>
      <c r="CQ283" s="538">
        <f t="shared" si="2098"/>
        <v>10.709999999999999</v>
      </c>
      <c r="CR283" s="539">
        <f t="shared" si="2099"/>
        <v>0</v>
      </c>
      <c r="CS283" s="540">
        <f t="shared" si="2100"/>
        <v>0</v>
      </c>
      <c r="CT283" s="540">
        <f t="shared" si="2101"/>
        <v>0.33012999999999998</v>
      </c>
      <c r="CU283" s="541">
        <f t="shared" si="2102"/>
        <v>13</v>
      </c>
      <c r="CV283" s="538">
        <f t="shared" si="2103"/>
        <v>1.43895</v>
      </c>
      <c r="CW283" s="538">
        <f t="shared" si="2104"/>
        <v>23.248199999999997</v>
      </c>
      <c r="CX283" s="104">
        <f t="shared" si="2105"/>
        <v>3.57</v>
      </c>
      <c r="CY283" s="542">
        <f t="shared" si="2106"/>
        <v>1.7849999999999999</v>
      </c>
      <c r="CZ283" s="538">
        <f t="shared" si="2107"/>
        <v>0</v>
      </c>
    </row>
    <row r="284" spans="1:104" s="112" customFormat="1" ht="25" x14ac:dyDescent="0.25">
      <c r="A284" s="100" t="str">
        <f>'BOCA DE LOBO'!C253</f>
        <v>BL25-&gt;PV25.1</v>
      </c>
      <c r="B284" s="100" t="str">
        <f>'BOCA DE LOBO'!A253</f>
        <v>PV25.1</v>
      </c>
      <c r="C284" s="100" t="str">
        <f>VLOOKUP(A284,'BOCA DE LOBO'!$C$229:$M$324,3,0)</f>
        <v>PROJETADO</v>
      </c>
      <c r="D284" s="100" t="str">
        <f>VLOOKUP(A284,'BOCA DE LOBO'!$C$229:$M$324,10,0)</f>
        <v>PROJETADA</v>
      </c>
      <c r="E284" s="100">
        <f t="shared" si="2025"/>
        <v>2.5</v>
      </c>
      <c r="F284" s="100">
        <f>VLOOKUP(A284,'BOCA DE LOBO'!$C$229:$D$324,2,0)</f>
        <v>4.28</v>
      </c>
      <c r="G284" s="100">
        <f>VLOOKUP(A284,'BOCA DE LOBO'!$C$229:$F$324,4,0)</f>
        <v>5.72</v>
      </c>
      <c r="H284" s="101">
        <v>400</v>
      </c>
      <c r="I284" s="102">
        <f t="shared" si="2026"/>
        <v>3.52</v>
      </c>
      <c r="J284" s="102">
        <f t="shared" si="2027"/>
        <v>1.0067200000000001</v>
      </c>
      <c r="K284" s="103">
        <v>0</v>
      </c>
      <c r="L284" s="104">
        <f t="shared" si="2028"/>
        <v>1</v>
      </c>
      <c r="M284" s="104">
        <f t="shared" si="2029"/>
        <v>1</v>
      </c>
      <c r="N284" s="104">
        <f t="shared" si="2108"/>
        <v>0</v>
      </c>
      <c r="O284" s="104">
        <f t="shared" si="2030"/>
        <v>5.72</v>
      </c>
      <c r="P284" s="105" t="s">
        <v>1999</v>
      </c>
      <c r="Q284" s="468" t="s">
        <v>2084</v>
      </c>
      <c r="R284" s="105">
        <v>1</v>
      </c>
      <c r="S284" s="105">
        <f>VLOOKUP(Q284,Quantitativos!P:R,3,0)</f>
        <v>5</v>
      </c>
      <c r="T284" s="105">
        <f>VLOOKUP(Q284,Quantitativos!P:S,4,0)</f>
        <v>4.5999999999999996</v>
      </c>
      <c r="U284" s="104">
        <f t="shared" si="2031"/>
        <v>0.05</v>
      </c>
      <c r="V284" s="106">
        <f t="shared" si="2032"/>
        <v>0</v>
      </c>
      <c r="W284" s="106">
        <f t="shared" si="2033"/>
        <v>22.4224</v>
      </c>
      <c r="X284" s="107">
        <f t="shared" si="2034"/>
        <v>0</v>
      </c>
      <c r="Y284" s="107">
        <f t="shared" si="2035"/>
        <v>3.92</v>
      </c>
      <c r="Z284" s="107">
        <f t="shared" si="2036"/>
        <v>0</v>
      </c>
      <c r="AA284" s="107">
        <f t="shared" si="2037"/>
        <v>3.52</v>
      </c>
      <c r="AB284" s="108">
        <f t="shared" si="2038"/>
        <v>5.72</v>
      </c>
      <c r="AC284" s="109">
        <f t="shared" si="2039"/>
        <v>8.58</v>
      </c>
      <c r="AD284" s="109">
        <f t="shared" si="2040"/>
        <v>8.58</v>
      </c>
      <c r="AE284" s="109">
        <f t="shared" si="2041"/>
        <v>5.2623999999999995</v>
      </c>
      <c r="AF284" s="109">
        <f t="shared" si="2042"/>
        <v>0</v>
      </c>
      <c r="AG284" s="109">
        <f t="shared" si="2109"/>
        <v>0</v>
      </c>
      <c r="AH284" s="109">
        <f t="shared" si="2110"/>
        <v>0</v>
      </c>
      <c r="AI284" s="537" t="str">
        <f t="shared" si="2043"/>
        <v>NÃO</v>
      </c>
      <c r="AJ284" s="104">
        <f t="shared" si="2044"/>
        <v>0</v>
      </c>
      <c r="AK284" s="104">
        <f t="shared" si="2045"/>
        <v>0</v>
      </c>
      <c r="AL284" s="104">
        <f t="shared" si="2046"/>
        <v>21.703603600858656</v>
      </c>
      <c r="AM284" s="102">
        <f t="shared" si="2047"/>
        <v>0.28599999999999998</v>
      </c>
      <c r="AN284" s="106">
        <f t="shared" si="2048"/>
        <v>0</v>
      </c>
      <c r="AO284" s="104">
        <f t="shared" si="2049"/>
        <v>2.2879999999999998</v>
      </c>
      <c r="AP284" s="104">
        <f t="shared" si="2050"/>
        <v>2.2879999999999998</v>
      </c>
      <c r="AQ284" s="104">
        <f t="shared" si="2051"/>
        <v>0.7</v>
      </c>
      <c r="AR284" s="104">
        <f t="shared" si="2052"/>
        <v>3.2852036008586549</v>
      </c>
      <c r="AS284" s="104">
        <f t="shared" si="2053"/>
        <v>3.2852036008586549</v>
      </c>
      <c r="AT284" s="104">
        <f t="shared" si="2054"/>
        <v>0.85799999999999998</v>
      </c>
      <c r="AU284" s="104">
        <f t="shared" si="2055"/>
        <v>0.85799999999999998</v>
      </c>
      <c r="AV284" s="104">
        <f t="shared" si="2056"/>
        <v>0.17159999999999997</v>
      </c>
      <c r="AW284" s="104">
        <f t="shared" si="2057"/>
        <v>14.128399999999999</v>
      </c>
      <c r="AX284" s="104">
        <f t="shared" si="2058"/>
        <v>-6.4312036008586553</v>
      </c>
      <c r="AY284" s="104">
        <f t="shared" si="2059"/>
        <v>-6.4312036008586553</v>
      </c>
      <c r="AZ284" s="104">
        <f t="shared" si="2060"/>
        <v>20.559603600858654</v>
      </c>
      <c r="BA284" s="104">
        <f t="shared" si="2061"/>
        <v>3.4346352894713719</v>
      </c>
      <c r="BB284" s="104">
        <f t="shared" si="2062"/>
        <v>17.124968311387281</v>
      </c>
      <c r="BC284" s="104"/>
      <c r="BD284" s="104">
        <f t="shared" si="2063"/>
        <v>0.12584000000000001</v>
      </c>
      <c r="BE284" s="108">
        <f t="shared" si="2064"/>
        <v>3.52</v>
      </c>
      <c r="BF284" s="110">
        <f t="shared" si="2065"/>
        <v>0</v>
      </c>
      <c r="BG284" s="110">
        <f t="shared" si="2066"/>
        <v>0</v>
      </c>
      <c r="BH284" s="105" t="str">
        <f>VLOOKUP(A284,'BOCA DE LOBO'!$C$229:$I$324,7,0)</f>
        <v>BOCA DE LOBO PROJETADA DUPLA</v>
      </c>
      <c r="BI284" s="104">
        <f t="shared" si="2067"/>
        <v>0</v>
      </c>
      <c r="BJ284" s="104">
        <f t="shared" si="2068"/>
        <v>0</v>
      </c>
      <c r="BK284" s="104">
        <f t="shared" si="2069"/>
        <v>0</v>
      </c>
      <c r="BL284" s="104">
        <f t="shared" si="2070"/>
        <v>0</v>
      </c>
      <c r="BM284" s="104">
        <f t="shared" si="2071"/>
        <v>0</v>
      </c>
      <c r="BN284" s="104">
        <f t="shared" si="2072"/>
        <v>1</v>
      </c>
      <c r="BO284" s="543">
        <f t="shared" si="2073"/>
        <v>0</v>
      </c>
      <c r="BP284" s="111"/>
      <c r="BQ284" s="108">
        <f t="shared" si="2074"/>
        <v>17.16</v>
      </c>
      <c r="BR284" s="108">
        <f t="shared" si="2075"/>
        <v>17.16</v>
      </c>
      <c r="BS284" s="108">
        <f t="shared" si="2076"/>
        <v>11.668799999999994</v>
      </c>
      <c r="BV284" s="538">
        <f t="shared" si="2077"/>
        <v>23.347799999999996</v>
      </c>
      <c r="BW284" s="538">
        <f t="shared" si="2078"/>
        <v>7.7825999999999986</v>
      </c>
      <c r="BX284" s="538">
        <f t="shared" si="2079"/>
        <v>3.0325999999999995</v>
      </c>
      <c r="BY284" s="538">
        <f t="shared" si="2080"/>
        <v>2.5</v>
      </c>
      <c r="BZ284" s="538">
        <f t="shared" si="2081"/>
        <v>0</v>
      </c>
      <c r="CA284" s="538">
        <f t="shared" si="2082"/>
        <v>2.9</v>
      </c>
      <c r="CB284" s="538">
        <f t="shared" si="2083"/>
        <v>0</v>
      </c>
      <c r="CC284" s="538">
        <f t="shared" si="2084"/>
        <v>0</v>
      </c>
      <c r="CD284" s="538">
        <f t="shared" si="2085"/>
        <v>0</v>
      </c>
      <c r="CE284" s="538">
        <f t="shared" si="2086"/>
        <v>11.673899999999998</v>
      </c>
      <c r="CF284" s="538">
        <f t="shared" si="2087"/>
        <v>10.895639999999997</v>
      </c>
      <c r="CG284" s="538">
        <f t="shared" si="2088"/>
        <v>0.77825999999999951</v>
      </c>
      <c r="CH284" s="538">
        <f t="shared" si="2089"/>
        <v>0</v>
      </c>
      <c r="CI284" s="104">
        <f t="shared" si="2090"/>
        <v>0.53549999999999998</v>
      </c>
      <c r="CJ284" s="538">
        <f t="shared" si="2091"/>
        <v>13.239499999999996</v>
      </c>
      <c r="CK284" s="538">
        <f t="shared" si="2092"/>
        <v>13.239499999999996</v>
      </c>
      <c r="CL284" s="538">
        <f t="shared" si="2093"/>
        <v>0</v>
      </c>
      <c r="CM284" s="538">
        <f t="shared" si="2094"/>
        <v>0.15565199999999998</v>
      </c>
      <c r="CN284" s="538">
        <f t="shared" si="2095"/>
        <v>3.57</v>
      </c>
      <c r="CO284" s="538">
        <f t="shared" si="2096"/>
        <v>3</v>
      </c>
      <c r="CP284" s="538">
        <f t="shared" si="2097"/>
        <v>10.709999999999999</v>
      </c>
      <c r="CQ284" s="538">
        <f t="shared" si="2098"/>
        <v>10.709999999999999</v>
      </c>
      <c r="CR284" s="539">
        <f t="shared" si="2099"/>
        <v>0</v>
      </c>
      <c r="CS284" s="540">
        <f t="shared" si="2100"/>
        <v>0</v>
      </c>
      <c r="CT284" s="540">
        <f t="shared" si="2101"/>
        <v>0.33012999999999998</v>
      </c>
      <c r="CU284" s="541">
        <f t="shared" si="2102"/>
        <v>13</v>
      </c>
      <c r="CV284" s="538">
        <f t="shared" si="2103"/>
        <v>1.43895</v>
      </c>
      <c r="CW284" s="538">
        <f t="shared" si="2104"/>
        <v>23.248199999999997</v>
      </c>
      <c r="CX284" s="104">
        <f t="shared" si="2105"/>
        <v>3.57</v>
      </c>
      <c r="CY284" s="542">
        <f t="shared" si="2106"/>
        <v>1.7849999999999999</v>
      </c>
      <c r="CZ284" s="538">
        <f t="shared" si="2107"/>
        <v>0</v>
      </c>
    </row>
    <row r="285" spans="1:104" s="112" customFormat="1" ht="25" x14ac:dyDescent="0.25">
      <c r="A285" s="100" t="str">
        <f>'BOCA DE LOBO'!C254</f>
        <v>BL26-&gt;PV26.1</v>
      </c>
      <c r="B285" s="100" t="str">
        <f>'BOCA DE LOBO'!A254</f>
        <v>PV26.1</v>
      </c>
      <c r="C285" s="100" t="str">
        <f>VLOOKUP(A285,'BOCA DE LOBO'!$C$229:$M$324,3,0)</f>
        <v>PROJETADO</v>
      </c>
      <c r="D285" s="100" t="str">
        <f>VLOOKUP(A285,'BOCA DE LOBO'!$C$229:$M$324,10,0)</f>
        <v>PROJETADA</v>
      </c>
      <c r="E285" s="100">
        <f t="shared" si="2025"/>
        <v>2.5</v>
      </c>
      <c r="F285" s="100">
        <f>VLOOKUP(A285,'BOCA DE LOBO'!$C$229:$D$324,2,0)</f>
        <v>4.3600000000000003</v>
      </c>
      <c r="G285" s="100">
        <f>VLOOKUP(A285,'BOCA DE LOBO'!$C$229:$F$324,4,0)</f>
        <v>5.3</v>
      </c>
      <c r="H285" s="101">
        <v>400</v>
      </c>
      <c r="I285" s="102">
        <f t="shared" si="2026"/>
        <v>3.56</v>
      </c>
      <c r="J285" s="102">
        <f t="shared" si="2027"/>
        <v>0.94339999999999991</v>
      </c>
      <c r="K285" s="103">
        <v>0</v>
      </c>
      <c r="L285" s="104">
        <f t="shared" si="2028"/>
        <v>1</v>
      </c>
      <c r="M285" s="104">
        <f t="shared" si="2029"/>
        <v>1</v>
      </c>
      <c r="N285" s="104">
        <f t="shared" si="2108"/>
        <v>0</v>
      </c>
      <c r="O285" s="104">
        <f t="shared" si="2030"/>
        <v>5.3</v>
      </c>
      <c r="P285" s="105" t="s">
        <v>1999</v>
      </c>
      <c r="Q285" s="468" t="s">
        <v>2088</v>
      </c>
      <c r="R285" s="105"/>
      <c r="S285" s="105">
        <f>VLOOKUP(Q285,Quantitativos!P:R,3,0)</f>
        <v>5</v>
      </c>
      <c r="T285" s="105">
        <f>VLOOKUP(Q285,Quantitativos!P:S,4,0)</f>
        <v>5</v>
      </c>
      <c r="U285" s="104">
        <f t="shared" si="2031"/>
        <v>0.05</v>
      </c>
      <c r="V285" s="106">
        <f t="shared" si="2032"/>
        <v>0</v>
      </c>
      <c r="W285" s="106">
        <f t="shared" si="2033"/>
        <v>18.867999999999999</v>
      </c>
      <c r="X285" s="107">
        <f t="shared" si="2034"/>
        <v>0</v>
      </c>
      <c r="Y285" s="107">
        <f t="shared" si="2035"/>
        <v>0</v>
      </c>
      <c r="Z285" s="107">
        <f t="shared" si="2036"/>
        <v>3.56</v>
      </c>
      <c r="AA285" s="107">
        <f t="shared" si="2037"/>
        <v>0</v>
      </c>
      <c r="AB285" s="108">
        <f t="shared" si="2038"/>
        <v>5.3</v>
      </c>
      <c r="AC285" s="109">
        <f t="shared" si="2039"/>
        <v>0</v>
      </c>
      <c r="AD285" s="109">
        <f t="shared" si="2040"/>
        <v>0</v>
      </c>
      <c r="AE285" s="109">
        <f t="shared" si="2041"/>
        <v>0</v>
      </c>
      <c r="AF285" s="109">
        <f t="shared" si="2042"/>
        <v>7.9499999999999993</v>
      </c>
      <c r="AG285" s="109">
        <f t="shared" si="2109"/>
        <v>7.9499999999999993</v>
      </c>
      <c r="AH285" s="109">
        <f t="shared" si="2110"/>
        <v>2.968</v>
      </c>
      <c r="AI285" s="537" t="str">
        <f t="shared" si="2043"/>
        <v>NÃO</v>
      </c>
      <c r="AJ285" s="104">
        <f t="shared" si="2044"/>
        <v>0</v>
      </c>
      <c r="AK285" s="104">
        <f t="shared" si="2045"/>
        <v>0</v>
      </c>
      <c r="AL285" s="104">
        <f t="shared" si="2046"/>
        <v>18.201982357438961</v>
      </c>
      <c r="AM285" s="102">
        <f t="shared" si="2047"/>
        <v>0.26500000000000001</v>
      </c>
      <c r="AN285" s="106">
        <f t="shared" si="2048"/>
        <v>0</v>
      </c>
      <c r="AO285" s="104">
        <f t="shared" si="2049"/>
        <v>0</v>
      </c>
      <c r="AP285" s="104">
        <f t="shared" si="2050"/>
        <v>0</v>
      </c>
      <c r="AQ285" s="104">
        <f t="shared" si="2051"/>
        <v>0.7</v>
      </c>
      <c r="AR285" s="104">
        <f t="shared" si="2052"/>
        <v>3.0439823574389635</v>
      </c>
      <c r="AS285" s="104">
        <f t="shared" si="2053"/>
        <v>0</v>
      </c>
      <c r="AT285" s="104">
        <f t="shared" si="2054"/>
        <v>0.79499999999999993</v>
      </c>
      <c r="AU285" s="104">
        <f t="shared" si="2055"/>
        <v>0.79499999999999993</v>
      </c>
      <c r="AV285" s="104">
        <f t="shared" si="2056"/>
        <v>0.159</v>
      </c>
      <c r="AW285" s="104">
        <f t="shared" si="2057"/>
        <v>13.302999999999997</v>
      </c>
      <c r="AX285" s="104">
        <f t="shared" si="2058"/>
        <v>15.029017642561037</v>
      </c>
      <c r="AY285" s="104">
        <f t="shared" si="2059"/>
        <v>13.302999999999997</v>
      </c>
      <c r="AZ285" s="104">
        <f t="shared" si="2060"/>
        <v>0</v>
      </c>
      <c r="BA285" s="104">
        <f t="shared" si="2061"/>
        <v>0</v>
      </c>
      <c r="BB285" s="104">
        <f t="shared" si="2062"/>
        <v>0</v>
      </c>
      <c r="BC285" s="104"/>
      <c r="BD285" s="104">
        <f t="shared" si="2063"/>
        <v>0</v>
      </c>
      <c r="BE285" s="108">
        <f t="shared" si="2064"/>
        <v>3.56</v>
      </c>
      <c r="BF285" s="110">
        <f t="shared" si="2065"/>
        <v>0</v>
      </c>
      <c r="BG285" s="110">
        <f t="shared" si="2066"/>
        <v>0</v>
      </c>
      <c r="BH285" s="105" t="str">
        <f>VLOOKUP(A285,'BOCA DE LOBO'!$C$229:$I$324,7,0)</f>
        <v>BOCA DE LOBO PROJETADA DUPLA</v>
      </c>
      <c r="BI285" s="104">
        <f t="shared" si="2067"/>
        <v>0</v>
      </c>
      <c r="BJ285" s="104">
        <f t="shared" si="2068"/>
        <v>0</v>
      </c>
      <c r="BK285" s="104">
        <f t="shared" si="2069"/>
        <v>0</v>
      </c>
      <c r="BL285" s="104">
        <f t="shared" si="2070"/>
        <v>0</v>
      </c>
      <c r="BM285" s="104">
        <f t="shared" si="2071"/>
        <v>0</v>
      </c>
      <c r="BN285" s="104">
        <f t="shared" si="2072"/>
        <v>1</v>
      </c>
      <c r="BO285" s="543">
        <f t="shared" si="2073"/>
        <v>0</v>
      </c>
      <c r="BP285" s="111"/>
      <c r="BQ285" s="108">
        <f t="shared" si="2074"/>
        <v>15.899999999999999</v>
      </c>
      <c r="BR285" s="108">
        <f t="shared" si="2075"/>
        <v>15.899999999999999</v>
      </c>
      <c r="BS285" s="108">
        <f t="shared" si="2076"/>
        <v>5.9359999999999999</v>
      </c>
      <c r="BV285" s="538">
        <f t="shared" si="2077"/>
        <v>19.456499999999998</v>
      </c>
      <c r="BW285" s="538">
        <f t="shared" si="2078"/>
        <v>7.7825999999999986</v>
      </c>
      <c r="BX285" s="538">
        <f t="shared" si="2079"/>
        <v>3.0325999999999995</v>
      </c>
      <c r="BY285" s="538">
        <f t="shared" si="2080"/>
        <v>2.5</v>
      </c>
      <c r="BZ285" s="538">
        <f t="shared" si="2081"/>
        <v>2.5</v>
      </c>
      <c r="CA285" s="538">
        <f t="shared" si="2082"/>
        <v>0</v>
      </c>
      <c r="CB285" s="538">
        <f t="shared" si="2083"/>
        <v>0</v>
      </c>
      <c r="CC285" s="538">
        <f t="shared" si="2084"/>
        <v>11.673899999999998</v>
      </c>
      <c r="CD285" s="538">
        <f t="shared" si="2085"/>
        <v>7.7825999999999986</v>
      </c>
      <c r="CE285" s="538">
        <f t="shared" si="2086"/>
        <v>0</v>
      </c>
      <c r="CF285" s="538">
        <f t="shared" si="2087"/>
        <v>0</v>
      </c>
      <c r="CG285" s="538">
        <f t="shared" si="2088"/>
        <v>0</v>
      </c>
      <c r="CH285" s="538">
        <f t="shared" si="2089"/>
        <v>0</v>
      </c>
      <c r="CI285" s="104">
        <f t="shared" si="2090"/>
        <v>0.53549999999999998</v>
      </c>
      <c r="CJ285" s="538">
        <f t="shared" si="2091"/>
        <v>11.339499999999997</v>
      </c>
      <c r="CK285" s="538">
        <f t="shared" si="2092"/>
        <v>11.339499999999997</v>
      </c>
      <c r="CL285" s="538">
        <f t="shared" si="2093"/>
        <v>0</v>
      </c>
      <c r="CM285" s="538">
        <f t="shared" si="2094"/>
        <v>0</v>
      </c>
      <c r="CN285" s="538">
        <f t="shared" si="2095"/>
        <v>3.57</v>
      </c>
      <c r="CO285" s="538">
        <f t="shared" si="2096"/>
        <v>2.5</v>
      </c>
      <c r="CP285" s="538">
        <f t="shared" si="2097"/>
        <v>10.709999999999999</v>
      </c>
      <c r="CQ285" s="538">
        <f t="shared" si="2098"/>
        <v>7.14</v>
      </c>
      <c r="CR285" s="539">
        <f t="shared" si="2099"/>
        <v>0</v>
      </c>
      <c r="CS285" s="540">
        <f t="shared" si="2100"/>
        <v>0</v>
      </c>
      <c r="CT285" s="540">
        <f t="shared" si="2101"/>
        <v>0.33012999999999998</v>
      </c>
      <c r="CU285" s="541">
        <f t="shared" si="2102"/>
        <v>13</v>
      </c>
      <c r="CV285" s="538">
        <f t="shared" si="2103"/>
        <v>1.43895</v>
      </c>
      <c r="CW285" s="538">
        <f t="shared" si="2104"/>
        <v>23.248199999999997</v>
      </c>
      <c r="CX285" s="104">
        <f t="shared" si="2105"/>
        <v>3.57</v>
      </c>
      <c r="CY285" s="542">
        <f t="shared" si="2106"/>
        <v>1.7849999999999999</v>
      </c>
      <c r="CZ285" s="538">
        <f t="shared" si="2107"/>
        <v>0</v>
      </c>
    </row>
    <row r="286" spans="1:104" s="112" customFormat="1" ht="25" x14ac:dyDescent="0.25">
      <c r="A286" s="100" t="str">
        <f>'BOCA DE LOBO'!C255</f>
        <v>BL27-&gt;PV1.2</v>
      </c>
      <c r="B286" s="100" t="str">
        <f>'BOCA DE LOBO'!A255</f>
        <v>PV1.2</v>
      </c>
      <c r="C286" s="100" t="str">
        <f>VLOOKUP(A286,'BOCA DE LOBO'!$C$229:$M$324,3,0)</f>
        <v>PROJETADO</v>
      </c>
      <c r="D286" s="100" t="str">
        <f>VLOOKUP(A286,'BOCA DE LOBO'!$C$229:$M$324,10,0)</f>
        <v>EXISTENTE</v>
      </c>
      <c r="E286" s="100">
        <f t="shared" si="2025"/>
        <v>2.5</v>
      </c>
      <c r="F286" s="100">
        <f>VLOOKUP(A286,'BOCA DE LOBO'!$C$229:$D$324,2,0)</f>
        <v>2.74</v>
      </c>
      <c r="G286" s="100">
        <f>VLOOKUP(A286,'BOCA DE LOBO'!$C$229:$F$324,4,0)</f>
        <v>4.5599999999999996</v>
      </c>
      <c r="H286" s="101">
        <v>400</v>
      </c>
      <c r="I286" s="102">
        <f t="shared" si="2026"/>
        <v>2.75</v>
      </c>
      <c r="J286" s="102">
        <f t="shared" si="2027"/>
        <v>0</v>
      </c>
      <c r="K286" s="103">
        <v>0</v>
      </c>
      <c r="L286" s="104">
        <f t="shared" si="2028"/>
        <v>0</v>
      </c>
      <c r="M286" s="104">
        <f t="shared" si="2029"/>
        <v>0</v>
      </c>
      <c r="N286" s="104">
        <f t="shared" si="2108"/>
        <v>400</v>
      </c>
      <c r="O286" s="104">
        <f t="shared" si="2030"/>
        <v>0</v>
      </c>
      <c r="P286" s="105" t="s">
        <v>1999</v>
      </c>
      <c r="Q286" s="468" t="s">
        <v>2086</v>
      </c>
      <c r="R286" s="105"/>
      <c r="S286" s="105">
        <f>VLOOKUP(Q286,Quantitativos!P:R,3,0)</f>
        <v>5</v>
      </c>
      <c r="T286" s="105">
        <f>VLOOKUP(Q286,Quantitativos!P:S,4,0)</f>
        <v>5</v>
      </c>
      <c r="U286" s="104">
        <f t="shared" si="2031"/>
        <v>0.05</v>
      </c>
      <c r="V286" s="106">
        <f t="shared" si="2032"/>
        <v>0</v>
      </c>
      <c r="W286" s="106">
        <f t="shared" si="2033"/>
        <v>0</v>
      </c>
      <c r="X286" s="107">
        <f t="shared" si="2034"/>
        <v>0</v>
      </c>
      <c r="Y286" s="107">
        <f t="shared" si="2035"/>
        <v>0</v>
      </c>
      <c r="Z286" s="107">
        <f t="shared" si="2036"/>
        <v>2.75</v>
      </c>
      <c r="AA286" s="107">
        <f t="shared" si="2037"/>
        <v>0</v>
      </c>
      <c r="AB286" s="108">
        <f t="shared" si="2038"/>
        <v>0</v>
      </c>
      <c r="AC286" s="109">
        <f t="shared" si="2039"/>
        <v>0</v>
      </c>
      <c r="AD286" s="109">
        <f t="shared" si="2040"/>
        <v>0</v>
      </c>
      <c r="AE286" s="109">
        <f t="shared" si="2041"/>
        <v>0</v>
      </c>
      <c r="AF286" s="109">
        <f t="shared" si="2042"/>
        <v>0</v>
      </c>
      <c r="AG286" s="109">
        <f t="shared" si="2109"/>
        <v>0</v>
      </c>
      <c r="AH286" s="109">
        <f t="shared" si="2110"/>
        <v>0</v>
      </c>
      <c r="AI286" s="537" t="str">
        <f t="shared" si="2043"/>
        <v>NÃO</v>
      </c>
      <c r="AJ286" s="104">
        <f t="shared" si="2044"/>
        <v>0</v>
      </c>
      <c r="AK286" s="104">
        <f t="shared" si="2045"/>
        <v>0</v>
      </c>
      <c r="AL286" s="104">
        <f t="shared" si="2046"/>
        <v>0</v>
      </c>
      <c r="AM286" s="102">
        <f t="shared" si="2047"/>
        <v>0</v>
      </c>
      <c r="AN286" s="106">
        <f t="shared" si="2048"/>
        <v>0</v>
      </c>
      <c r="AO286" s="104">
        <f t="shared" si="2049"/>
        <v>0</v>
      </c>
      <c r="AP286" s="104">
        <f t="shared" si="2050"/>
        <v>0</v>
      </c>
      <c r="AQ286" s="104">
        <f t="shared" si="2051"/>
        <v>0.7</v>
      </c>
      <c r="AR286" s="104">
        <f t="shared" si="2052"/>
        <v>0</v>
      </c>
      <c r="AS286" s="104">
        <f t="shared" si="2053"/>
        <v>0</v>
      </c>
      <c r="AT286" s="104">
        <f t="shared" si="2054"/>
        <v>0</v>
      </c>
      <c r="AU286" s="104">
        <f t="shared" si="2055"/>
        <v>0</v>
      </c>
      <c r="AV286" s="104">
        <f t="shared" si="2056"/>
        <v>0</v>
      </c>
      <c r="AW286" s="104">
        <f t="shared" si="2057"/>
        <v>0</v>
      </c>
      <c r="AX286" s="104">
        <f t="shared" si="2058"/>
        <v>0</v>
      </c>
      <c r="AY286" s="104">
        <f t="shared" si="2059"/>
        <v>0</v>
      </c>
      <c r="AZ286" s="104">
        <f t="shared" si="2060"/>
        <v>0</v>
      </c>
      <c r="BA286" s="104">
        <f t="shared" si="2061"/>
        <v>0</v>
      </c>
      <c r="BB286" s="104">
        <f t="shared" si="2062"/>
        <v>0</v>
      </c>
      <c r="BC286" s="104"/>
      <c r="BD286" s="104">
        <f t="shared" si="2063"/>
        <v>0</v>
      </c>
      <c r="BE286" s="108">
        <f t="shared" si="2064"/>
        <v>2.75</v>
      </c>
      <c r="BF286" s="110">
        <f t="shared" si="2065"/>
        <v>0</v>
      </c>
      <c r="BG286" s="110">
        <f t="shared" si="2066"/>
        <v>4.5599999999999996</v>
      </c>
      <c r="BH286" s="105" t="str">
        <f>VLOOKUP(A286,'BOCA DE LOBO'!$C$229:$I$324,7,0)</f>
        <v>BOCA DE LOBO EXISTENTE DUPLA</v>
      </c>
      <c r="BI286" s="104">
        <f t="shared" si="2067"/>
        <v>0</v>
      </c>
      <c r="BJ286" s="104">
        <f t="shared" si="2068"/>
        <v>0</v>
      </c>
      <c r="BK286" s="104">
        <f t="shared" si="2069"/>
        <v>0</v>
      </c>
      <c r="BL286" s="104">
        <f t="shared" si="2070"/>
        <v>0</v>
      </c>
      <c r="BM286" s="104">
        <f t="shared" si="2071"/>
        <v>0</v>
      </c>
      <c r="BN286" s="104">
        <f t="shared" si="2072"/>
        <v>0</v>
      </c>
      <c r="BO286" s="543">
        <f t="shared" si="2073"/>
        <v>0</v>
      </c>
      <c r="BP286" s="111"/>
      <c r="BQ286" s="108">
        <f t="shared" si="2074"/>
        <v>13.68</v>
      </c>
      <c r="BR286" s="108">
        <f t="shared" si="2075"/>
        <v>11.399999999999999</v>
      </c>
      <c r="BS286" s="108">
        <f t="shared" si="2076"/>
        <v>0</v>
      </c>
      <c r="BV286" s="538">
        <f t="shared" si="2077"/>
        <v>0</v>
      </c>
      <c r="BW286" s="538">
        <f t="shared" si="2078"/>
        <v>0</v>
      </c>
      <c r="BX286" s="538">
        <f t="shared" si="2079"/>
        <v>0</v>
      </c>
      <c r="BY286" s="538">
        <f t="shared" si="2080"/>
        <v>2.5</v>
      </c>
      <c r="BZ286" s="538">
        <f t="shared" si="2081"/>
        <v>2.5</v>
      </c>
      <c r="CA286" s="538">
        <f t="shared" si="2082"/>
        <v>0</v>
      </c>
      <c r="CB286" s="538">
        <f t="shared" si="2083"/>
        <v>0</v>
      </c>
      <c r="CC286" s="538">
        <f t="shared" si="2084"/>
        <v>0</v>
      </c>
      <c r="CD286" s="538">
        <f t="shared" si="2085"/>
        <v>0</v>
      </c>
      <c r="CE286" s="538">
        <f t="shared" si="2086"/>
        <v>0</v>
      </c>
      <c r="CF286" s="538">
        <f t="shared" si="2087"/>
        <v>0</v>
      </c>
      <c r="CG286" s="538">
        <f t="shared" si="2088"/>
        <v>0</v>
      </c>
      <c r="CH286" s="538">
        <f t="shared" si="2089"/>
        <v>0</v>
      </c>
      <c r="CI286" s="104">
        <f t="shared" si="2090"/>
        <v>0</v>
      </c>
      <c r="CJ286" s="538">
        <f t="shared" si="2091"/>
        <v>0</v>
      </c>
      <c r="CK286" s="538">
        <f t="shared" si="2092"/>
        <v>0</v>
      </c>
      <c r="CL286" s="538">
        <f t="shared" si="2093"/>
        <v>0</v>
      </c>
      <c r="CM286" s="538">
        <f t="shared" si="2094"/>
        <v>0</v>
      </c>
      <c r="CN286" s="538">
        <f t="shared" si="2095"/>
        <v>0</v>
      </c>
      <c r="CO286" s="538">
        <f t="shared" si="2096"/>
        <v>2.5</v>
      </c>
      <c r="CP286" s="538">
        <f t="shared" si="2097"/>
        <v>0</v>
      </c>
      <c r="CQ286" s="538">
        <f t="shared" si="2098"/>
        <v>0</v>
      </c>
      <c r="CR286" s="539">
        <f t="shared" si="2099"/>
        <v>0</v>
      </c>
      <c r="CS286" s="540">
        <f t="shared" si="2100"/>
        <v>0</v>
      </c>
      <c r="CT286" s="540">
        <f t="shared" si="2101"/>
        <v>0</v>
      </c>
      <c r="CU286" s="541">
        <f t="shared" si="2102"/>
        <v>0</v>
      </c>
      <c r="CV286" s="538">
        <f t="shared" si="2103"/>
        <v>0</v>
      </c>
      <c r="CW286" s="538">
        <f t="shared" si="2104"/>
        <v>0</v>
      </c>
      <c r="CX286" s="104">
        <f t="shared" si="2105"/>
        <v>0</v>
      </c>
      <c r="CY286" s="542">
        <f t="shared" si="2106"/>
        <v>0</v>
      </c>
      <c r="CZ286" s="538">
        <f t="shared" si="2107"/>
        <v>0</v>
      </c>
    </row>
    <row r="287" spans="1:104" s="112" customFormat="1" ht="25" x14ac:dyDescent="0.25">
      <c r="A287" s="100" t="str">
        <f>'BOCA DE LOBO'!C256</f>
        <v>BL28-&gt;PV1.2</v>
      </c>
      <c r="B287" s="100" t="str">
        <f>'BOCA DE LOBO'!A256</f>
        <v>PV1.2</v>
      </c>
      <c r="C287" s="100" t="str">
        <f>VLOOKUP(A287,'BOCA DE LOBO'!$C$229:$M$324,3,0)</f>
        <v>PROJETADO</v>
      </c>
      <c r="D287" s="100" t="str">
        <f>VLOOKUP(A287,'BOCA DE LOBO'!$C$229:$M$324,10,0)</f>
        <v>PROJETADA</v>
      </c>
      <c r="E287" s="100">
        <f t="shared" si="2025"/>
        <v>2.4864000000000002</v>
      </c>
      <c r="F287" s="100">
        <f>VLOOKUP(A287,'BOCA DE LOBO'!$C$229:$D$324,2,0)</f>
        <v>2.74</v>
      </c>
      <c r="G287" s="100">
        <f>VLOOKUP(A287,'BOCA DE LOBO'!$C$229:$F$324,4,0)</f>
        <v>6.34</v>
      </c>
      <c r="H287" s="101">
        <v>400</v>
      </c>
      <c r="I287" s="102">
        <f t="shared" si="2026"/>
        <v>2.7431999999999999</v>
      </c>
      <c r="J287" s="102">
        <f t="shared" si="2027"/>
        <v>0.86959439999999988</v>
      </c>
      <c r="K287" s="103">
        <v>0</v>
      </c>
      <c r="L287" s="104">
        <f t="shared" si="2028"/>
        <v>1</v>
      </c>
      <c r="M287" s="104">
        <f t="shared" si="2029"/>
        <v>1</v>
      </c>
      <c r="N287" s="104">
        <f t="shared" si="2108"/>
        <v>0</v>
      </c>
      <c r="O287" s="104">
        <f t="shared" si="2030"/>
        <v>6.34</v>
      </c>
      <c r="P287" s="105" t="s">
        <v>1999</v>
      </c>
      <c r="Q287" s="468" t="s">
        <v>2086</v>
      </c>
      <c r="R287" s="105"/>
      <c r="S287" s="105">
        <f>VLOOKUP(Q287,Quantitativos!P:R,3,0)</f>
        <v>5</v>
      </c>
      <c r="T287" s="105">
        <f>VLOOKUP(Q287,Quantitativos!P:S,4,0)</f>
        <v>5</v>
      </c>
      <c r="U287" s="104">
        <f t="shared" si="2031"/>
        <v>0.05</v>
      </c>
      <c r="V287" s="106">
        <f t="shared" si="2032"/>
        <v>0</v>
      </c>
      <c r="W287" s="106">
        <f t="shared" si="2033"/>
        <v>17.391887999999998</v>
      </c>
      <c r="X287" s="107">
        <f t="shared" si="2034"/>
        <v>0</v>
      </c>
      <c r="Y287" s="107">
        <f t="shared" si="2035"/>
        <v>0</v>
      </c>
      <c r="Z287" s="107">
        <f t="shared" si="2036"/>
        <v>2.7431999999999999</v>
      </c>
      <c r="AA287" s="107">
        <f t="shared" si="2037"/>
        <v>0</v>
      </c>
      <c r="AB287" s="108">
        <f t="shared" si="2038"/>
        <v>6.34</v>
      </c>
      <c r="AC287" s="109">
        <f t="shared" si="2039"/>
        <v>0</v>
      </c>
      <c r="AD287" s="109">
        <f t="shared" si="2040"/>
        <v>0</v>
      </c>
      <c r="AE287" s="109">
        <f t="shared" si="2041"/>
        <v>0</v>
      </c>
      <c r="AF287" s="109">
        <f t="shared" si="2042"/>
        <v>9.51</v>
      </c>
      <c r="AG287" s="109">
        <f t="shared" si="2109"/>
        <v>7.8818879999999991</v>
      </c>
      <c r="AH287" s="109">
        <f t="shared" si="2110"/>
        <v>0</v>
      </c>
      <c r="AI287" s="537" t="str">
        <f t="shared" si="2043"/>
        <v>NÃO</v>
      </c>
      <c r="AJ287" s="104">
        <f t="shared" si="2044"/>
        <v>0</v>
      </c>
      <c r="AK287" s="104">
        <f t="shared" si="2045"/>
        <v>0</v>
      </c>
      <c r="AL287" s="104">
        <f t="shared" si="2046"/>
        <v>16.595180103049625</v>
      </c>
      <c r="AM287" s="102">
        <f t="shared" si="2047"/>
        <v>0.317</v>
      </c>
      <c r="AN287" s="106">
        <f t="shared" si="2048"/>
        <v>0</v>
      </c>
      <c r="AO287" s="104">
        <f t="shared" si="2049"/>
        <v>0</v>
      </c>
      <c r="AP287" s="104">
        <f t="shared" si="2050"/>
        <v>0</v>
      </c>
      <c r="AQ287" s="104">
        <f t="shared" si="2051"/>
        <v>0.7</v>
      </c>
      <c r="AR287" s="104">
        <f t="shared" si="2052"/>
        <v>3.6412921030496284</v>
      </c>
      <c r="AS287" s="104">
        <f t="shared" si="2053"/>
        <v>0</v>
      </c>
      <c r="AT287" s="104">
        <f t="shared" si="2054"/>
        <v>0.95099999999999996</v>
      </c>
      <c r="AU287" s="104">
        <f t="shared" si="2055"/>
        <v>0.95099999999999996</v>
      </c>
      <c r="AV287" s="104">
        <f t="shared" si="2056"/>
        <v>0.19019999999999998</v>
      </c>
      <c r="AW287" s="104">
        <f t="shared" si="2057"/>
        <v>10.734887999999994</v>
      </c>
      <c r="AX287" s="104">
        <f t="shared" si="2058"/>
        <v>12.799595896950368</v>
      </c>
      <c r="AY287" s="104">
        <f t="shared" si="2059"/>
        <v>10.734887999999994</v>
      </c>
      <c r="AZ287" s="104">
        <f t="shared" si="2060"/>
        <v>0</v>
      </c>
      <c r="BA287" s="104">
        <f t="shared" si="2061"/>
        <v>0</v>
      </c>
      <c r="BB287" s="104">
        <f t="shared" si="2062"/>
        <v>0</v>
      </c>
      <c r="BC287" s="104"/>
      <c r="BD287" s="104">
        <f t="shared" si="2063"/>
        <v>0</v>
      </c>
      <c r="BE287" s="108">
        <f t="shared" si="2064"/>
        <v>2.7431999999999999</v>
      </c>
      <c r="BF287" s="110">
        <f t="shared" si="2065"/>
        <v>0</v>
      </c>
      <c r="BG287" s="110">
        <f t="shared" si="2066"/>
        <v>6.34</v>
      </c>
      <c r="BH287" s="105" t="str">
        <f>VLOOKUP(A287,'BOCA DE LOBO'!$C$229:$I$324,7,0)</f>
        <v>BOCA DE LOBO PROJETADA DUPLA</v>
      </c>
      <c r="BI287" s="104">
        <f t="shared" si="2067"/>
        <v>0</v>
      </c>
      <c r="BJ287" s="104">
        <f t="shared" si="2068"/>
        <v>0</v>
      </c>
      <c r="BK287" s="104">
        <f t="shared" si="2069"/>
        <v>0</v>
      </c>
      <c r="BL287" s="104">
        <f t="shared" si="2070"/>
        <v>0</v>
      </c>
      <c r="BM287" s="104">
        <f t="shared" si="2071"/>
        <v>0</v>
      </c>
      <c r="BN287" s="104">
        <f t="shared" si="2072"/>
        <v>1</v>
      </c>
      <c r="BO287" s="543">
        <f t="shared" si="2073"/>
        <v>0</v>
      </c>
      <c r="BP287" s="111"/>
      <c r="BQ287" s="108">
        <f t="shared" si="2074"/>
        <v>19.02</v>
      </c>
      <c r="BR287" s="108">
        <f t="shared" si="2075"/>
        <v>15.763775999999998</v>
      </c>
      <c r="BS287" s="108">
        <f t="shared" si="2076"/>
        <v>0</v>
      </c>
      <c r="BV287" s="538">
        <f t="shared" si="2077"/>
        <v>19.350656639999997</v>
      </c>
      <c r="BW287" s="538">
        <f t="shared" si="2078"/>
        <v>7.7825999999999986</v>
      </c>
      <c r="BX287" s="538">
        <f t="shared" si="2079"/>
        <v>3.0325999999999995</v>
      </c>
      <c r="BY287" s="538">
        <f t="shared" si="2080"/>
        <v>2.4864000000000002</v>
      </c>
      <c r="BZ287" s="538">
        <f t="shared" si="2081"/>
        <v>2.4864000000000002</v>
      </c>
      <c r="CA287" s="538">
        <f t="shared" si="2082"/>
        <v>0</v>
      </c>
      <c r="CB287" s="538">
        <f t="shared" si="2083"/>
        <v>0</v>
      </c>
      <c r="CC287" s="538">
        <f t="shared" si="2084"/>
        <v>11.673899999999998</v>
      </c>
      <c r="CD287" s="538">
        <f t="shared" si="2085"/>
        <v>7.6767566399999998</v>
      </c>
      <c r="CE287" s="538">
        <f t="shared" si="2086"/>
        <v>0</v>
      </c>
      <c r="CF287" s="538">
        <f t="shared" si="2087"/>
        <v>0</v>
      </c>
      <c r="CG287" s="538">
        <f t="shared" si="2088"/>
        <v>0</v>
      </c>
      <c r="CH287" s="538">
        <f t="shared" si="2089"/>
        <v>0</v>
      </c>
      <c r="CI287" s="104">
        <f t="shared" si="2090"/>
        <v>0.53549999999999998</v>
      </c>
      <c r="CJ287" s="538">
        <f t="shared" si="2091"/>
        <v>11.274899999999997</v>
      </c>
      <c r="CK287" s="538">
        <f t="shared" si="2092"/>
        <v>11.274899999999997</v>
      </c>
      <c r="CL287" s="538">
        <f t="shared" si="2093"/>
        <v>0</v>
      </c>
      <c r="CM287" s="538">
        <f t="shared" si="2094"/>
        <v>0</v>
      </c>
      <c r="CN287" s="538">
        <f t="shared" si="2095"/>
        <v>3.57</v>
      </c>
      <c r="CO287" s="538">
        <f t="shared" si="2096"/>
        <v>2.4864000000000002</v>
      </c>
      <c r="CP287" s="538">
        <f t="shared" si="2097"/>
        <v>10.709999999999999</v>
      </c>
      <c r="CQ287" s="538">
        <f t="shared" si="2098"/>
        <v>7.0428960000000007</v>
      </c>
      <c r="CR287" s="539">
        <f t="shared" si="2099"/>
        <v>0</v>
      </c>
      <c r="CS287" s="540">
        <f t="shared" si="2100"/>
        <v>0</v>
      </c>
      <c r="CT287" s="540">
        <f t="shared" si="2101"/>
        <v>0.33012999999999998</v>
      </c>
      <c r="CU287" s="541">
        <f t="shared" si="2102"/>
        <v>12.929280000000002</v>
      </c>
      <c r="CV287" s="538">
        <f t="shared" si="2103"/>
        <v>1.4347884</v>
      </c>
      <c r="CW287" s="538">
        <f t="shared" si="2104"/>
        <v>23.143751999999999</v>
      </c>
      <c r="CX287" s="104">
        <f t="shared" si="2105"/>
        <v>3.57</v>
      </c>
      <c r="CY287" s="542">
        <f t="shared" si="2106"/>
        <v>1.7849999999999999</v>
      </c>
      <c r="CZ287" s="538">
        <f t="shared" si="2107"/>
        <v>0</v>
      </c>
    </row>
    <row r="288" spans="1:104" s="112" customFormat="1" ht="37.5" x14ac:dyDescent="0.25">
      <c r="A288" s="100" t="str">
        <f>'BOCA DE LOBO'!C257</f>
        <v>BL29-&gt;PV2.2</v>
      </c>
      <c r="B288" s="100" t="str">
        <f>'BOCA DE LOBO'!A257</f>
        <v>PV2.2</v>
      </c>
      <c r="C288" s="100" t="str">
        <f>VLOOKUP(A288,'BOCA DE LOBO'!$C$229:$M$324,3,0)</f>
        <v>PROJETADO</v>
      </c>
      <c r="D288" s="100" t="str">
        <f>VLOOKUP(A288,'BOCA DE LOBO'!$C$229:$M$324,10,0)</f>
        <v>AMPLIADA</v>
      </c>
      <c r="E288" s="100">
        <f t="shared" si="2025"/>
        <v>2.1932</v>
      </c>
      <c r="F288" s="100">
        <f>VLOOKUP(A288,'BOCA DE LOBO'!$C$229:$D$324,2,0)</f>
        <v>2.2999999999999998</v>
      </c>
      <c r="G288" s="100">
        <f>VLOOKUP(A288,'BOCA DE LOBO'!$C$229:$F$324,4,0)</f>
        <v>2.67</v>
      </c>
      <c r="H288" s="101">
        <v>400</v>
      </c>
      <c r="I288" s="102">
        <f t="shared" si="2026"/>
        <v>2.3765999999999998</v>
      </c>
      <c r="J288" s="102">
        <f t="shared" si="2027"/>
        <v>0</v>
      </c>
      <c r="K288" s="103">
        <v>0</v>
      </c>
      <c r="L288" s="104">
        <f t="shared" si="2028"/>
        <v>0</v>
      </c>
      <c r="M288" s="104">
        <f t="shared" si="2029"/>
        <v>0</v>
      </c>
      <c r="N288" s="104">
        <f t="shared" si="2108"/>
        <v>400</v>
      </c>
      <c r="O288" s="104">
        <f t="shared" si="2030"/>
        <v>0</v>
      </c>
      <c r="P288" s="105" t="s">
        <v>1999</v>
      </c>
      <c r="Q288" s="468" t="s">
        <v>2086</v>
      </c>
      <c r="R288" s="105"/>
      <c r="S288" s="105">
        <f>VLOOKUP(Q288,Quantitativos!P:R,3,0)</f>
        <v>5</v>
      </c>
      <c r="T288" s="105">
        <f>VLOOKUP(Q288,Quantitativos!P:S,4,0)</f>
        <v>5</v>
      </c>
      <c r="U288" s="104">
        <f t="shared" si="2031"/>
        <v>0.05</v>
      </c>
      <c r="V288" s="106">
        <f t="shared" si="2032"/>
        <v>0</v>
      </c>
      <c r="W288" s="106">
        <f t="shared" si="2033"/>
        <v>0</v>
      </c>
      <c r="X288" s="107">
        <f t="shared" si="2034"/>
        <v>0</v>
      </c>
      <c r="Y288" s="107">
        <f t="shared" si="2035"/>
        <v>0</v>
      </c>
      <c r="Z288" s="107">
        <f t="shared" si="2036"/>
        <v>2.3765999999999998</v>
      </c>
      <c r="AA288" s="107">
        <f t="shared" si="2037"/>
        <v>0</v>
      </c>
      <c r="AB288" s="108">
        <f t="shared" si="2038"/>
        <v>0</v>
      </c>
      <c r="AC288" s="109">
        <f t="shared" si="2039"/>
        <v>0</v>
      </c>
      <c r="AD288" s="109">
        <f t="shared" si="2040"/>
        <v>0</v>
      </c>
      <c r="AE288" s="109">
        <f t="shared" si="2041"/>
        <v>0</v>
      </c>
      <c r="AF288" s="109">
        <f t="shared" si="2042"/>
        <v>0</v>
      </c>
      <c r="AG288" s="109">
        <f t="shared" si="2109"/>
        <v>0</v>
      </c>
      <c r="AH288" s="109">
        <f t="shared" si="2110"/>
        <v>0</v>
      </c>
      <c r="AI288" s="537" t="str">
        <f t="shared" si="2043"/>
        <v>NÃO</v>
      </c>
      <c r="AJ288" s="104">
        <f t="shared" si="2044"/>
        <v>0</v>
      </c>
      <c r="AK288" s="104">
        <f t="shared" si="2045"/>
        <v>0</v>
      </c>
      <c r="AL288" s="104">
        <f t="shared" si="2046"/>
        <v>0</v>
      </c>
      <c r="AM288" s="102">
        <f t="shared" si="2047"/>
        <v>0</v>
      </c>
      <c r="AN288" s="106">
        <f t="shared" si="2048"/>
        <v>0</v>
      </c>
      <c r="AO288" s="104">
        <f t="shared" si="2049"/>
        <v>0</v>
      </c>
      <c r="AP288" s="104">
        <f t="shared" si="2050"/>
        <v>0</v>
      </c>
      <c r="AQ288" s="104">
        <f t="shared" si="2051"/>
        <v>0.7</v>
      </c>
      <c r="AR288" s="104">
        <f t="shared" si="2052"/>
        <v>0</v>
      </c>
      <c r="AS288" s="104">
        <f t="shared" si="2053"/>
        <v>0</v>
      </c>
      <c r="AT288" s="104">
        <f t="shared" si="2054"/>
        <v>0</v>
      </c>
      <c r="AU288" s="104">
        <f t="shared" si="2055"/>
        <v>0</v>
      </c>
      <c r="AV288" s="104">
        <f t="shared" si="2056"/>
        <v>0</v>
      </c>
      <c r="AW288" s="104">
        <f t="shared" si="2057"/>
        <v>0</v>
      </c>
      <c r="AX288" s="104">
        <f t="shared" si="2058"/>
        <v>0</v>
      </c>
      <c r="AY288" s="104">
        <f t="shared" si="2059"/>
        <v>0</v>
      </c>
      <c r="AZ288" s="104">
        <f t="shared" si="2060"/>
        <v>0</v>
      </c>
      <c r="BA288" s="104">
        <f t="shared" si="2061"/>
        <v>0</v>
      </c>
      <c r="BB288" s="104">
        <f t="shared" si="2062"/>
        <v>0</v>
      </c>
      <c r="BC288" s="104"/>
      <c r="BD288" s="104">
        <f t="shared" si="2063"/>
        <v>0</v>
      </c>
      <c r="BE288" s="108">
        <f t="shared" si="2064"/>
        <v>2.3765999999999998</v>
      </c>
      <c r="BF288" s="110">
        <f t="shared" si="2065"/>
        <v>0</v>
      </c>
      <c r="BG288" s="110">
        <f t="shared" si="2066"/>
        <v>2.67</v>
      </c>
      <c r="BH288" s="105" t="str">
        <f>VLOOKUP(A288,'BOCA DE LOBO'!$C$229:$I$324,7,0)</f>
        <v>BOCA DE LOBO SIMPLES EXISTENTE COM BOCA DE LOBO SIMPLES PROJETADA</v>
      </c>
      <c r="BI288" s="104">
        <f t="shared" si="2067"/>
        <v>0</v>
      </c>
      <c r="BJ288" s="104">
        <f t="shared" si="2068"/>
        <v>1</v>
      </c>
      <c r="BK288" s="104">
        <f t="shared" si="2069"/>
        <v>0</v>
      </c>
      <c r="BL288" s="104">
        <f t="shared" si="2070"/>
        <v>0</v>
      </c>
      <c r="BM288" s="104">
        <f t="shared" si="2071"/>
        <v>0</v>
      </c>
      <c r="BN288" s="104">
        <f t="shared" si="2072"/>
        <v>0</v>
      </c>
      <c r="BO288" s="543">
        <f t="shared" si="2073"/>
        <v>0</v>
      </c>
      <c r="BP288" s="111"/>
      <c r="BQ288" s="108">
        <f t="shared" si="2074"/>
        <v>8.01</v>
      </c>
      <c r="BR288" s="108">
        <f t="shared" si="2075"/>
        <v>4.6810439999999991</v>
      </c>
      <c r="BS288" s="108">
        <f t="shared" si="2076"/>
        <v>0</v>
      </c>
      <c r="BV288" s="538">
        <f t="shared" si="2077"/>
        <v>8.0323756799999995</v>
      </c>
      <c r="BW288" s="538">
        <f t="shared" si="2078"/>
        <v>3.6623999999999994</v>
      </c>
      <c r="BX288" s="538">
        <f t="shared" si="2079"/>
        <v>1.3923999999999999</v>
      </c>
      <c r="BY288" s="538">
        <f t="shared" si="2080"/>
        <v>2.1932</v>
      </c>
      <c r="BZ288" s="538">
        <f t="shared" si="2081"/>
        <v>2.1932</v>
      </c>
      <c r="CA288" s="538">
        <f t="shared" si="2082"/>
        <v>0</v>
      </c>
      <c r="CB288" s="538">
        <f t="shared" si="2083"/>
        <v>0</v>
      </c>
      <c r="CC288" s="538">
        <f t="shared" si="2084"/>
        <v>5.4935999999999989</v>
      </c>
      <c r="CD288" s="538">
        <f t="shared" si="2085"/>
        <v>2.5387756799999996</v>
      </c>
      <c r="CE288" s="538">
        <f t="shared" si="2086"/>
        <v>0</v>
      </c>
      <c r="CF288" s="538">
        <f t="shared" si="2087"/>
        <v>0</v>
      </c>
      <c r="CG288" s="538">
        <f t="shared" si="2088"/>
        <v>0</v>
      </c>
      <c r="CH288" s="538">
        <f t="shared" si="2089"/>
        <v>0</v>
      </c>
      <c r="CI288" s="104">
        <f t="shared" si="2090"/>
        <v>0.252</v>
      </c>
      <c r="CJ288" s="538">
        <f t="shared" si="2091"/>
        <v>4.7265639999999998</v>
      </c>
      <c r="CK288" s="538">
        <f t="shared" si="2092"/>
        <v>4.7265639999999998</v>
      </c>
      <c r="CL288" s="538">
        <f t="shared" si="2093"/>
        <v>0</v>
      </c>
      <c r="CM288" s="538">
        <f t="shared" si="2094"/>
        <v>0</v>
      </c>
      <c r="CN288" s="538">
        <f t="shared" si="2095"/>
        <v>1.68</v>
      </c>
      <c r="CO288" s="538">
        <f t="shared" si="2096"/>
        <v>2.1932</v>
      </c>
      <c r="CP288" s="538">
        <f t="shared" si="2097"/>
        <v>5.04</v>
      </c>
      <c r="CQ288" s="538">
        <f t="shared" si="2098"/>
        <v>2.3291520000000001</v>
      </c>
      <c r="CR288" s="539">
        <f t="shared" si="2099"/>
        <v>0.93126000000000009</v>
      </c>
      <c r="CS288" s="540">
        <f t="shared" si="2100"/>
        <v>4.4741280000000001E-2</v>
      </c>
      <c r="CT288" s="540">
        <f t="shared" si="2101"/>
        <v>0.15421000000000001</v>
      </c>
      <c r="CU288" s="541">
        <f t="shared" si="2102"/>
        <v>5.7023200000000003</v>
      </c>
      <c r="CV288" s="538">
        <f t="shared" si="2103"/>
        <v>0.83945280000000011</v>
      </c>
      <c r="CW288" s="538">
        <f t="shared" si="2104"/>
        <v>14.193784000000001</v>
      </c>
      <c r="CX288" s="104">
        <f t="shared" si="2105"/>
        <v>1.68</v>
      </c>
      <c r="CY288" s="542">
        <f t="shared" si="2106"/>
        <v>0.84</v>
      </c>
      <c r="CZ288" s="538">
        <f t="shared" si="2107"/>
        <v>0</v>
      </c>
    </row>
    <row r="289" spans="1:104" s="112" customFormat="1" ht="25" x14ac:dyDescent="0.25">
      <c r="A289" s="100" t="str">
        <f>'BOCA DE LOBO'!C258</f>
        <v>BL30-&gt;PV2.2</v>
      </c>
      <c r="B289" s="100" t="str">
        <f>'BOCA DE LOBO'!A258</f>
        <v>PV2.2</v>
      </c>
      <c r="C289" s="100" t="str">
        <f>VLOOKUP(A289,'BOCA DE LOBO'!$C$229:$M$324,3,0)</f>
        <v>PROJETADO</v>
      </c>
      <c r="D289" s="100" t="str">
        <f>VLOOKUP(A289,'BOCA DE LOBO'!$C$229:$M$324,10,0)</f>
        <v>PROJETADA</v>
      </c>
      <c r="E289" s="100">
        <f t="shared" si="2025"/>
        <v>1.7827999999999999</v>
      </c>
      <c r="F289" s="100">
        <f>VLOOKUP(A289,'BOCA DE LOBO'!$C$229:$D$324,2,0)</f>
        <v>2.2999999999999998</v>
      </c>
      <c r="G289" s="100">
        <f>VLOOKUP(A289,'BOCA DE LOBO'!$C$229:$F$324,4,0)</f>
        <v>12.93</v>
      </c>
      <c r="H289" s="101">
        <v>400</v>
      </c>
      <c r="I289" s="102">
        <f t="shared" si="2026"/>
        <v>2.1713999999999998</v>
      </c>
      <c r="J289" s="102">
        <f t="shared" si="2027"/>
        <v>1.4038100999999998</v>
      </c>
      <c r="K289" s="103">
        <v>0</v>
      </c>
      <c r="L289" s="104">
        <f t="shared" si="2028"/>
        <v>1</v>
      </c>
      <c r="M289" s="104">
        <f t="shared" si="2029"/>
        <v>1</v>
      </c>
      <c r="N289" s="104">
        <f t="shared" si="2108"/>
        <v>0</v>
      </c>
      <c r="O289" s="104">
        <f t="shared" si="2030"/>
        <v>12.93</v>
      </c>
      <c r="P289" s="105" t="s">
        <v>1999</v>
      </c>
      <c r="Q289" s="468" t="s">
        <v>2086</v>
      </c>
      <c r="R289" s="105"/>
      <c r="S289" s="105">
        <f>VLOOKUP(Q289,Quantitativos!P:R,3,0)</f>
        <v>5</v>
      </c>
      <c r="T289" s="105">
        <f>VLOOKUP(Q289,Quantitativos!P:S,4,0)</f>
        <v>5</v>
      </c>
      <c r="U289" s="104">
        <f t="shared" si="2031"/>
        <v>0.05</v>
      </c>
      <c r="V289" s="106">
        <f t="shared" si="2032"/>
        <v>0</v>
      </c>
      <c r="W289" s="106">
        <f t="shared" si="2033"/>
        <v>28.076201999999995</v>
      </c>
      <c r="X289" s="107">
        <f t="shared" si="2034"/>
        <v>0</v>
      </c>
      <c r="Y289" s="107">
        <f t="shared" si="2035"/>
        <v>0</v>
      </c>
      <c r="Z289" s="107">
        <f t="shared" si="2036"/>
        <v>2.1713999999999998</v>
      </c>
      <c r="AA289" s="107">
        <f t="shared" si="2037"/>
        <v>0</v>
      </c>
      <c r="AB289" s="108">
        <f t="shared" si="2038"/>
        <v>12.93</v>
      </c>
      <c r="AC289" s="109">
        <f t="shared" si="2039"/>
        <v>0</v>
      </c>
      <c r="AD289" s="109">
        <f t="shared" si="2040"/>
        <v>0</v>
      </c>
      <c r="AE289" s="109">
        <f t="shared" si="2041"/>
        <v>0</v>
      </c>
      <c r="AF289" s="109">
        <f t="shared" si="2042"/>
        <v>19.395</v>
      </c>
      <c r="AG289" s="109">
        <f t="shared" si="2109"/>
        <v>8.6812019999999972</v>
      </c>
      <c r="AH289" s="109">
        <f t="shared" si="2110"/>
        <v>0</v>
      </c>
      <c r="AI289" s="537" t="str">
        <f t="shared" si="2043"/>
        <v>NÃO</v>
      </c>
      <c r="AJ289" s="104">
        <f t="shared" si="2044"/>
        <v>0</v>
      </c>
      <c r="AK289" s="104">
        <f t="shared" si="2045"/>
        <v>0</v>
      </c>
      <c r="AL289" s="104">
        <f t="shared" si="2046"/>
        <v>26.451370279563353</v>
      </c>
      <c r="AM289" s="102">
        <f t="shared" si="2047"/>
        <v>0.64650000000000007</v>
      </c>
      <c r="AN289" s="106">
        <f t="shared" si="2048"/>
        <v>0</v>
      </c>
      <c r="AO289" s="104">
        <f t="shared" si="2049"/>
        <v>0</v>
      </c>
      <c r="AP289" s="104">
        <f t="shared" si="2050"/>
        <v>0</v>
      </c>
      <c r="AQ289" s="104">
        <f t="shared" si="2051"/>
        <v>0.7</v>
      </c>
      <c r="AR289" s="104">
        <f t="shared" si="2052"/>
        <v>7.426168279563357</v>
      </c>
      <c r="AS289" s="104">
        <f t="shared" si="2053"/>
        <v>0</v>
      </c>
      <c r="AT289" s="104">
        <f t="shared" si="2054"/>
        <v>1.9394999999999998</v>
      </c>
      <c r="AU289" s="104">
        <f t="shared" si="2055"/>
        <v>1.9394999999999998</v>
      </c>
      <c r="AV289" s="104">
        <f t="shared" si="2056"/>
        <v>0.38789999999999997</v>
      </c>
      <c r="AW289" s="104">
        <f t="shared" si="2057"/>
        <v>14.499701999999999</v>
      </c>
      <c r="AX289" s="104">
        <f t="shared" si="2058"/>
        <v>18.71053372043664</v>
      </c>
      <c r="AY289" s="104">
        <f t="shared" si="2059"/>
        <v>14.499701999999999</v>
      </c>
      <c r="AZ289" s="104">
        <f t="shared" si="2060"/>
        <v>0</v>
      </c>
      <c r="BA289" s="104">
        <f t="shared" si="2061"/>
        <v>0</v>
      </c>
      <c r="BB289" s="104">
        <f t="shared" si="2062"/>
        <v>0</v>
      </c>
      <c r="BC289" s="104"/>
      <c r="BD289" s="104">
        <f t="shared" si="2063"/>
        <v>0</v>
      </c>
      <c r="BE289" s="108">
        <f t="shared" si="2064"/>
        <v>2.1713999999999998</v>
      </c>
      <c r="BF289" s="110">
        <f t="shared" si="2065"/>
        <v>0</v>
      </c>
      <c r="BG289" s="110">
        <f t="shared" si="2066"/>
        <v>12.93</v>
      </c>
      <c r="BH289" s="105" t="str">
        <f>VLOOKUP(A289,'BOCA DE LOBO'!$C$229:$I$324,7,0)</f>
        <v>BOCA DE LOBO PROJETADA DUPLA</v>
      </c>
      <c r="BI289" s="104">
        <f t="shared" si="2067"/>
        <v>0</v>
      </c>
      <c r="BJ289" s="104">
        <f t="shared" si="2068"/>
        <v>0</v>
      </c>
      <c r="BK289" s="104">
        <f t="shared" si="2069"/>
        <v>0</v>
      </c>
      <c r="BL289" s="104">
        <f t="shared" si="2070"/>
        <v>0</v>
      </c>
      <c r="BM289" s="104">
        <f t="shared" si="2071"/>
        <v>0</v>
      </c>
      <c r="BN289" s="104">
        <f t="shared" si="2072"/>
        <v>1</v>
      </c>
      <c r="BO289" s="543">
        <f t="shared" si="2073"/>
        <v>0</v>
      </c>
      <c r="BP289" s="111"/>
      <c r="BQ289" s="108">
        <f t="shared" si="2074"/>
        <v>38.79</v>
      </c>
      <c r="BR289" s="108">
        <f t="shared" si="2075"/>
        <v>17.362403999999994</v>
      </c>
      <c r="BS289" s="108">
        <f t="shared" si="2076"/>
        <v>0</v>
      </c>
      <c r="BV289" s="538">
        <f t="shared" si="2077"/>
        <v>13.874819279999997</v>
      </c>
      <c r="BW289" s="538">
        <f t="shared" si="2078"/>
        <v>7.7825999999999986</v>
      </c>
      <c r="BX289" s="538">
        <f t="shared" si="2079"/>
        <v>3.0325999999999995</v>
      </c>
      <c r="BY289" s="538">
        <f t="shared" si="2080"/>
        <v>1.7827999999999999</v>
      </c>
      <c r="BZ289" s="538">
        <f t="shared" si="2081"/>
        <v>1.7827999999999999</v>
      </c>
      <c r="CA289" s="538">
        <f t="shared" si="2082"/>
        <v>0</v>
      </c>
      <c r="CB289" s="538">
        <f t="shared" si="2083"/>
        <v>0</v>
      </c>
      <c r="CC289" s="538">
        <f t="shared" si="2084"/>
        <v>11.673899999999998</v>
      </c>
      <c r="CD289" s="538">
        <f t="shared" si="2085"/>
        <v>2.200919279999999</v>
      </c>
      <c r="CE289" s="538">
        <f t="shared" si="2086"/>
        <v>0</v>
      </c>
      <c r="CF289" s="538">
        <f t="shared" si="2087"/>
        <v>0</v>
      </c>
      <c r="CG289" s="538">
        <f t="shared" si="2088"/>
        <v>0</v>
      </c>
      <c r="CH289" s="538">
        <f t="shared" si="2089"/>
        <v>0</v>
      </c>
      <c r="CI289" s="104">
        <f t="shared" si="2090"/>
        <v>0.53549999999999998</v>
      </c>
      <c r="CJ289" s="538">
        <f t="shared" si="2091"/>
        <v>7.9327999999999976</v>
      </c>
      <c r="CK289" s="538">
        <f t="shared" si="2092"/>
        <v>7.9327999999999976</v>
      </c>
      <c r="CL289" s="538">
        <f t="shared" si="2093"/>
        <v>0</v>
      </c>
      <c r="CM289" s="538">
        <f t="shared" si="2094"/>
        <v>0</v>
      </c>
      <c r="CN289" s="538">
        <f t="shared" si="2095"/>
        <v>3.57</v>
      </c>
      <c r="CO289" s="538">
        <f t="shared" si="2096"/>
        <v>1.7827999999999999</v>
      </c>
      <c r="CP289" s="538">
        <f t="shared" si="2097"/>
        <v>10.709999999999999</v>
      </c>
      <c r="CQ289" s="538">
        <f t="shared" si="2098"/>
        <v>2.0191919999999994</v>
      </c>
      <c r="CR289" s="539">
        <f t="shared" si="2099"/>
        <v>0</v>
      </c>
      <c r="CS289" s="540">
        <f t="shared" si="2100"/>
        <v>0</v>
      </c>
      <c r="CT289" s="540">
        <f t="shared" si="2101"/>
        <v>0.33012999999999998</v>
      </c>
      <c r="CU289" s="541">
        <f t="shared" si="2102"/>
        <v>9.2705599999999997</v>
      </c>
      <c r="CV289" s="538">
        <f t="shared" si="2103"/>
        <v>1.2194867999999999</v>
      </c>
      <c r="CW289" s="538">
        <f t="shared" si="2104"/>
        <v>17.740103999999999</v>
      </c>
      <c r="CX289" s="104">
        <f t="shared" si="2105"/>
        <v>3.57</v>
      </c>
      <c r="CY289" s="542">
        <f t="shared" si="2106"/>
        <v>1.7849999999999999</v>
      </c>
      <c r="CZ289" s="538">
        <f t="shared" si="2107"/>
        <v>0</v>
      </c>
    </row>
    <row r="290" spans="1:104" s="112" customFormat="1" ht="37.5" x14ac:dyDescent="0.25">
      <c r="A290" s="100" t="str">
        <f>'BOCA DE LOBO'!C259</f>
        <v>BL31-&gt;PV3.2</v>
      </c>
      <c r="B290" s="100" t="str">
        <f>'BOCA DE LOBO'!A259</f>
        <v>PV3.2</v>
      </c>
      <c r="C290" s="100" t="str">
        <f>VLOOKUP(A290,'BOCA DE LOBO'!$C$229:$M$324,3,0)</f>
        <v>PROJETADO</v>
      </c>
      <c r="D290" s="100" t="str">
        <f>VLOOKUP(A290,'BOCA DE LOBO'!$C$229:$M$324,10,0)</f>
        <v>AMPLIADA</v>
      </c>
      <c r="E290" s="100">
        <f t="shared" si="2025"/>
        <v>2.2547999999999999</v>
      </c>
      <c r="F290" s="100">
        <f>VLOOKUP(A290,'BOCA DE LOBO'!$C$229:$D$324,2,0)</f>
        <v>2.5</v>
      </c>
      <c r="G290" s="100">
        <f>VLOOKUP(A290,'BOCA DE LOBO'!$C$229:$F$324,4,0)</f>
        <v>6.13</v>
      </c>
      <c r="H290" s="101">
        <v>400</v>
      </c>
      <c r="I290" s="102">
        <f t="shared" si="2026"/>
        <v>2.5073999999999996</v>
      </c>
      <c r="J290" s="102">
        <f t="shared" si="2027"/>
        <v>0</v>
      </c>
      <c r="K290" s="103">
        <v>0</v>
      </c>
      <c r="L290" s="104">
        <f t="shared" si="2028"/>
        <v>0</v>
      </c>
      <c r="M290" s="104">
        <f t="shared" si="2029"/>
        <v>0</v>
      </c>
      <c r="N290" s="104">
        <f t="shared" si="2108"/>
        <v>400</v>
      </c>
      <c r="O290" s="104">
        <f t="shared" si="2030"/>
        <v>0</v>
      </c>
      <c r="P290" s="105" t="s">
        <v>1999</v>
      </c>
      <c r="Q290" s="468" t="s">
        <v>2084</v>
      </c>
      <c r="R290" s="105"/>
      <c r="S290" s="105">
        <f>VLOOKUP(Q290,Quantitativos!P:R,3,0)</f>
        <v>5</v>
      </c>
      <c r="T290" s="105">
        <f>VLOOKUP(Q290,Quantitativos!P:S,4,0)</f>
        <v>4.5999999999999996</v>
      </c>
      <c r="U290" s="104">
        <f t="shared" si="2031"/>
        <v>0.05</v>
      </c>
      <c r="V290" s="106">
        <f t="shared" si="2032"/>
        <v>0</v>
      </c>
      <c r="W290" s="106">
        <f t="shared" si="2033"/>
        <v>0</v>
      </c>
      <c r="X290" s="107">
        <f t="shared" si="2034"/>
        <v>0</v>
      </c>
      <c r="Y290" s="107">
        <f t="shared" si="2035"/>
        <v>0</v>
      </c>
      <c r="Z290" s="107">
        <f t="shared" si="2036"/>
        <v>2.5073999999999996</v>
      </c>
      <c r="AA290" s="107">
        <f t="shared" si="2037"/>
        <v>0</v>
      </c>
      <c r="AB290" s="108">
        <f t="shared" si="2038"/>
        <v>0</v>
      </c>
      <c r="AC290" s="109">
        <f t="shared" si="2039"/>
        <v>0</v>
      </c>
      <c r="AD290" s="109">
        <f t="shared" si="2040"/>
        <v>0</v>
      </c>
      <c r="AE290" s="109">
        <f t="shared" si="2041"/>
        <v>0</v>
      </c>
      <c r="AF290" s="109">
        <f t="shared" si="2042"/>
        <v>0</v>
      </c>
      <c r="AG290" s="109">
        <f t="shared" si="2109"/>
        <v>0</v>
      </c>
      <c r="AH290" s="109">
        <f t="shared" si="2110"/>
        <v>0</v>
      </c>
      <c r="AI290" s="537" t="str">
        <f t="shared" si="2043"/>
        <v>NÃO</v>
      </c>
      <c r="AJ290" s="104">
        <f t="shared" si="2044"/>
        <v>0</v>
      </c>
      <c r="AK290" s="104">
        <f t="shared" si="2045"/>
        <v>0</v>
      </c>
      <c r="AL290" s="104">
        <f t="shared" si="2046"/>
        <v>0</v>
      </c>
      <c r="AM290" s="102">
        <f t="shared" si="2047"/>
        <v>0</v>
      </c>
      <c r="AN290" s="106">
        <f t="shared" si="2048"/>
        <v>0</v>
      </c>
      <c r="AO290" s="104">
        <f t="shared" si="2049"/>
        <v>0</v>
      </c>
      <c r="AP290" s="104">
        <f t="shared" si="2050"/>
        <v>0</v>
      </c>
      <c r="AQ290" s="104">
        <f t="shared" si="2051"/>
        <v>0.7</v>
      </c>
      <c r="AR290" s="104">
        <f t="shared" si="2052"/>
        <v>0</v>
      </c>
      <c r="AS290" s="104">
        <f t="shared" si="2053"/>
        <v>0</v>
      </c>
      <c r="AT290" s="104">
        <f t="shared" si="2054"/>
        <v>0</v>
      </c>
      <c r="AU290" s="104">
        <f t="shared" si="2055"/>
        <v>0</v>
      </c>
      <c r="AV290" s="104">
        <f t="shared" si="2056"/>
        <v>0</v>
      </c>
      <c r="AW290" s="104">
        <f t="shared" si="2057"/>
        <v>0</v>
      </c>
      <c r="AX290" s="104">
        <f t="shared" si="2058"/>
        <v>0</v>
      </c>
      <c r="AY290" s="104">
        <f t="shared" si="2059"/>
        <v>0</v>
      </c>
      <c r="AZ290" s="104">
        <f t="shared" si="2060"/>
        <v>0</v>
      </c>
      <c r="BA290" s="104">
        <f t="shared" si="2061"/>
        <v>0</v>
      </c>
      <c r="BB290" s="104">
        <f t="shared" si="2062"/>
        <v>0</v>
      </c>
      <c r="BC290" s="104"/>
      <c r="BD290" s="104">
        <f t="shared" si="2063"/>
        <v>0</v>
      </c>
      <c r="BE290" s="108">
        <f t="shared" si="2064"/>
        <v>2.5073999999999996</v>
      </c>
      <c r="BF290" s="110">
        <f t="shared" si="2065"/>
        <v>0</v>
      </c>
      <c r="BG290" s="110">
        <f t="shared" si="2066"/>
        <v>6.13</v>
      </c>
      <c r="BH290" s="105" t="str">
        <f>VLOOKUP(A290,'BOCA DE LOBO'!$C$229:$I$324,7,0)</f>
        <v>BOCA DE LOBO SIMPLES EXISTENTE COM BOCA DE LOBO SIMPLES PROJETADA</v>
      </c>
      <c r="BI290" s="104">
        <f t="shared" si="2067"/>
        <v>0</v>
      </c>
      <c r="BJ290" s="104">
        <f t="shared" si="2068"/>
        <v>1</v>
      </c>
      <c r="BK290" s="104">
        <f t="shared" si="2069"/>
        <v>0</v>
      </c>
      <c r="BL290" s="104">
        <f t="shared" si="2070"/>
        <v>0</v>
      </c>
      <c r="BM290" s="104">
        <f t="shared" si="2071"/>
        <v>0</v>
      </c>
      <c r="BN290" s="104">
        <f t="shared" si="2072"/>
        <v>0</v>
      </c>
      <c r="BO290" s="543">
        <f t="shared" si="2073"/>
        <v>0</v>
      </c>
      <c r="BP290" s="111"/>
      <c r="BQ290" s="108">
        <f t="shared" si="2074"/>
        <v>18.39</v>
      </c>
      <c r="BR290" s="108">
        <f t="shared" si="2075"/>
        <v>12.350723999999996</v>
      </c>
      <c r="BS290" s="108">
        <f t="shared" si="2076"/>
        <v>0</v>
      </c>
      <c r="BV290" s="538">
        <f t="shared" si="2077"/>
        <v>8.2579795199999992</v>
      </c>
      <c r="BW290" s="538">
        <f t="shared" si="2078"/>
        <v>3.6623999999999994</v>
      </c>
      <c r="BX290" s="538">
        <f t="shared" si="2079"/>
        <v>1.3923999999999999</v>
      </c>
      <c r="BY290" s="538">
        <f t="shared" si="2080"/>
        <v>2.2547999999999999</v>
      </c>
      <c r="BZ290" s="538">
        <f t="shared" si="2081"/>
        <v>2.2547999999999999</v>
      </c>
      <c r="CA290" s="538">
        <f t="shared" si="2082"/>
        <v>0</v>
      </c>
      <c r="CB290" s="538">
        <f t="shared" si="2083"/>
        <v>0</v>
      </c>
      <c r="CC290" s="538">
        <f t="shared" si="2084"/>
        <v>5.4935999999999989</v>
      </c>
      <c r="CD290" s="538">
        <f t="shared" si="2085"/>
        <v>2.7643795199999994</v>
      </c>
      <c r="CE290" s="538">
        <f t="shared" si="2086"/>
        <v>0</v>
      </c>
      <c r="CF290" s="538">
        <f t="shared" si="2087"/>
        <v>0</v>
      </c>
      <c r="CG290" s="538">
        <f t="shared" si="2088"/>
        <v>0</v>
      </c>
      <c r="CH290" s="538">
        <f t="shared" si="2089"/>
        <v>0</v>
      </c>
      <c r="CI290" s="104">
        <f t="shared" si="2090"/>
        <v>0.252</v>
      </c>
      <c r="CJ290" s="538">
        <f t="shared" si="2091"/>
        <v>4.8663959999999991</v>
      </c>
      <c r="CK290" s="538">
        <f t="shared" si="2092"/>
        <v>4.8663959999999991</v>
      </c>
      <c r="CL290" s="538">
        <f t="shared" si="2093"/>
        <v>0</v>
      </c>
      <c r="CM290" s="538">
        <f t="shared" si="2094"/>
        <v>0</v>
      </c>
      <c r="CN290" s="538">
        <f t="shared" si="2095"/>
        <v>1.68</v>
      </c>
      <c r="CO290" s="538">
        <f t="shared" si="2096"/>
        <v>2.2547999999999999</v>
      </c>
      <c r="CP290" s="538">
        <f t="shared" si="2097"/>
        <v>5.04</v>
      </c>
      <c r="CQ290" s="538">
        <f t="shared" si="2098"/>
        <v>2.5361279999999997</v>
      </c>
      <c r="CR290" s="539">
        <f t="shared" si="2099"/>
        <v>0.96514</v>
      </c>
      <c r="CS290" s="540">
        <f t="shared" si="2100"/>
        <v>4.5997920000000005E-2</v>
      </c>
      <c r="CT290" s="540">
        <f t="shared" si="2101"/>
        <v>0.15421000000000001</v>
      </c>
      <c r="CU290" s="541">
        <f t="shared" si="2102"/>
        <v>5.8624799999999997</v>
      </c>
      <c r="CV290" s="538">
        <f t="shared" si="2103"/>
        <v>0.85201919999999998</v>
      </c>
      <c r="CW290" s="538">
        <f t="shared" si="2104"/>
        <v>14.509176</v>
      </c>
      <c r="CX290" s="104">
        <f t="shared" si="2105"/>
        <v>1.68</v>
      </c>
      <c r="CY290" s="542">
        <f t="shared" si="2106"/>
        <v>0.84</v>
      </c>
      <c r="CZ290" s="538">
        <f t="shared" si="2107"/>
        <v>0</v>
      </c>
    </row>
    <row r="291" spans="1:104" s="112" customFormat="1" ht="25" x14ac:dyDescent="0.25">
      <c r="A291" s="100" t="str">
        <f>'BOCA DE LOBO'!C260</f>
        <v>BL32-&gt;PV3.2</v>
      </c>
      <c r="B291" s="100" t="str">
        <f>'BOCA DE LOBO'!A260</f>
        <v>PV3.2</v>
      </c>
      <c r="C291" s="100" t="str">
        <f>VLOOKUP(A291,'BOCA DE LOBO'!$C$229:$M$324,3,0)</f>
        <v>PROJETADO</v>
      </c>
      <c r="D291" s="100" t="str">
        <f>VLOOKUP(A291,'BOCA DE LOBO'!$C$229:$M$324,10,0)</f>
        <v>PROJETADA</v>
      </c>
      <c r="E291" s="100">
        <f t="shared" si="2025"/>
        <v>2.1648000000000001</v>
      </c>
      <c r="F291" s="100">
        <f>VLOOKUP(A291,'BOCA DE LOBO'!$C$229:$D$324,2,0)</f>
        <v>2.5</v>
      </c>
      <c r="G291" s="100">
        <f>VLOOKUP(A291,'BOCA DE LOBO'!$C$229:$F$324,4,0)</f>
        <v>8.3800000000000008</v>
      </c>
      <c r="H291" s="101">
        <v>400</v>
      </c>
      <c r="I291" s="102">
        <f t="shared" si="2026"/>
        <v>2.4623999999999997</v>
      </c>
      <c r="J291" s="102">
        <f t="shared" si="2027"/>
        <v>1.0317456</v>
      </c>
      <c r="K291" s="103">
        <v>0</v>
      </c>
      <c r="L291" s="104">
        <f t="shared" si="2028"/>
        <v>1</v>
      </c>
      <c r="M291" s="104">
        <f t="shared" si="2029"/>
        <v>1</v>
      </c>
      <c r="N291" s="104">
        <f t="shared" si="2108"/>
        <v>0</v>
      </c>
      <c r="O291" s="104">
        <f t="shared" si="2030"/>
        <v>8.3800000000000008</v>
      </c>
      <c r="P291" s="105" t="s">
        <v>1999</v>
      </c>
      <c r="Q291" s="468" t="s">
        <v>2084</v>
      </c>
      <c r="R291" s="105"/>
      <c r="S291" s="105">
        <f>VLOOKUP(Q291,Quantitativos!P:R,3,0)</f>
        <v>5</v>
      </c>
      <c r="T291" s="105">
        <f>VLOOKUP(Q291,Quantitativos!P:S,4,0)</f>
        <v>4.5999999999999996</v>
      </c>
      <c r="U291" s="104">
        <f t="shared" si="2031"/>
        <v>0.05</v>
      </c>
      <c r="V291" s="106">
        <f t="shared" si="2032"/>
        <v>0</v>
      </c>
      <c r="W291" s="106">
        <f t="shared" si="2033"/>
        <v>20.634912</v>
      </c>
      <c r="X291" s="107">
        <f t="shared" si="2034"/>
        <v>0</v>
      </c>
      <c r="Y291" s="107">
        <f t="shared" si="2035"/>
        <v>0</v>
      </c>
      <c r="Z291" s="107">
        <f t="shared" si="2036"/>
        <v>2.4623999999999997</v>
      </c>
      <c r="AA291" s="107">
        <f t="shared" si="2037"/>
        <v>0</v>
      </c>
      <c r="AB291" s="108">
        <f t="shared" si="2038"/>
        <v>8.3800000000000008</v>
      </c>
      <c r="AC291" s="109">
        <f t="shared" si="2039"/>
        <v>0</v>
      </c>
      <c r="AD291" s="109">
        <f t="shared" si="2040"/>
        <v>0</v>
      </c>
      <c r="AE291" s="109">
        <f t="shared" si="2041"/>
        <v>0</v>
      </c>
      <c r="AF291" s="109">
        <f t="shared" si="2042"/>
        <v>12.57</v>
      </c>
      <c r="AG291" s="109">
        <f t="shared" si="2109"/>
        <v>8.0649119999999979</v>
      </c>
      <c r="AH291" s="109">
        <f t="shared" si="2110"/>
        <v>0</v>
      </c>
      <c r="AI291" s="537" t="str">
        <f t="shared" si="2043"/>
        <v>NÃO</v>
      </c>
      <c r="AJ291" s="104">
        <f t="shared" si="2044"/>
        <v>0</v>
      </c>
      <c r="AK291" s="104">
        <f t="shared" si="2045"/>
        <v>0</v>
      </c>
      <c r="AL291" s="104">
        <f t="shared" si="2046"/>
        <v>19.5818501425167</v>
      </c>
      <c r="AM291" s="102">
        <f t="shared" si="2047"/>
        <v>0.41900000000000004</v>
      </c>
      <c r="AN291" s="106">
        <f t="shared" si="2048"/>
        <v>0</v>
      </c>
      <c r="AO291" s="104">
        <f t="shared" si="2049"/>
        <v>0</v>
      </c>
      <c r="AP291" s="104">
        <f t="shared" si="2050"/>
        <v>0</v>
      </c>
      <c r="AQ291" s="104">
        <f t="shared" si="2051"/>
        <v>0.7</v>
      </c>
      <c r="AR291" s="104">
        <f t="shared" si="2052"/>
        <v>4.8129381425167015</v>
      </c>
      <c r="AS291" s="104">
        <f t="shared" si="2053"/>
        <v>0</v>
      </c>
      <c r="AT291" s="104">
        <f t="shared" si="2054"/>
        <v>1.2570000000000001</v>
      </c>
      <c r="AU291" s="104">
        <f t="shared" si="2055"/>
        <v>1.2570000000000001</v>
      </c>
      <c r="AV291" s="104">
        <f t="shared" si="2056"/>
        <v>0.25140000000000001</v>
      </c>
      <c r="AW291" s="104">
        <f t="shared" si="2057"/>
        <v>11.835911999999995</v>
      </c>
      <c r="AX291" s="104">
        <f t="shared" si="2058"/>
        <v>14.564973857483297</v>
      </c>
      <c r="AY291" s="104">
        <f t="shared" si="2059"/>
        <v>11.835911999999995</v>
      </c>
      <c r="AZ291" s="104">
        <f t="shared" si="2060"/>
        <v>0</v>
      </c>
      <c r="BA291" s="104">
        <f t="shared" si="2061"/>
        <v>0</v>
      </c>
      <c r="BB291" s="104">
        <f t="shared" si="2062"/>
        <v>0</v>
      </c>
      <c r="BC291" s="104"/>
      <c r="BD291" s="104">
        <f t="shared" si="2063"/>
        <v>0</v>
      </c>
      <c r="BE291" s="108">
        <f t="shared" si="2064"/>
        <v>2.4623999999999997</v>
      </c>
      <c r="BF291" s="110">
        <f t="shared" si="2065"/>
        <v>0</v>
      </c>
      <c r="BG291" s="110">
        <f t="shared" si="2066"/>
        <v>8.3800000000000008</v>
      </c>
      <c r="BH291" s="105" t="str">
        <f>VLOOKUP(A291,'BOCA DE LOBO'!$C$229:$I$324,7,0)</f>
        <v>BOCA DE LOBO PROJETADA DUPLA</v>
      </c>
      <c r="BI291" s="104">
        <f t="shared" si="2067"/>
        <v>0</v>
      </c>
      <c r="BJ291" s="104">
        <f t="shared" si="2068"/>
        <v>0</v>
      </c>
      <c r="BK291" s="104">
        <f t="shared" si="2069"/>
        <v>0</v>
      </c>
      <c r="BL291" s="104">
        <f t="shared" si="2070"/>
        <v>0</v>
      </c>
      <c r="BM291" s="104">
        <f t="shared" si="2071"/>
        <v>0</v>
      </c>
      <c r="BN291" s="104">
        <f t="shared" si="2072"/>
        <v>1</v>
      </c>
      <c r="BO291" s="543">
        <f t="shared" si="2073"/>
        <v>0</v>
      </c>
      <c r="BP291" s="111"/>
      <c r="BQ291" s="108">
        <f t="shared" si="2074"/>
        <v>25.14</v>
      </c>
      <c r="BR291" s="108">
        <f t="shared" si="2075"/>
        <v>16.129823999999996</v>
      </c>
      <c r="BS291" s="108">
        <f t="shared" si="2076"/>
        <v>0</v>
      </c>
      <c r="BV291" s="538">
        <f t="shared" si="2077"/>
        <v>16.847772479999996</v>
      </c>
      <c r="BW291" s="538">
        <f t="shared" si="2078"/>
        <v>7.7825999999999986</v>
      </c>
      <c r="BX291" s="538">
        <f t="shared" si="2079"/>
        <v>3.0325999999999995</v>
      </c>
      <c r="BY291" s="538">
        <f t="shared" si="2080"/>
        <v>2.1648000000000001</v>
      </c>
      <c r="BZ291" s="538">
        <f t="shared" si="2081"/>
        <v>2.1648000000000001</v>
      </c>
      <c r="CA291" s="538">
        <f t="shared" si="2082"/>
        <v>0</v>
      </c>
      <c r="CB291" s="538">
        <f t="shared" si="2083"/>
        <v>0</v>
      </c>
      <c r="CC291" s="538">
        <f t="shared" si="2084"/>
        <v>11.673899999999998</v>
      </c>
      <c r="CD291" s="538">
        <f t="shared" si="2085"/>
        <v>5.1738724799999991</v>
      </c>
      <c r="CE291" s="538">
        <f t="shared" si="2086"/>
        <v>0</v>
      </c>
      <c r="CF291" s="538">
        <f t="shared" si="2087"/>
        <v>0</v>
      </c>
      <c r="CG291" s="538">
        <f t="shared" si="2088"/>
        <v>0</v>
      </c>
      <c r="CH291" s="538">
        <f t="shared" si="2089"/>
        <v>0</v>
      </c>
      <c r="CI291" s="104">
        <f t="shared" si="2090"/>
        <v>0.53549999999999998</v>
      </c>
      <c r="CJ291" s="538">
        <f t="shared" si="2091"/>
        <v>9.7472999999999974</v>
      </c>
      <c r="CK291" s="538">
        <f t="shared" si="2092"/>
        <v>9.7472999999999974</v>
      </c>
      <c r="CL291" s="538">
        <f t="shared" si="2093"/>
        <v>0</v>
      </c>
      <c r="CM291" s="538">
        <f t="shared" si="2094"/>
        <v>0</v>
      </c>
      <c r="CN291" s="538">
        <f t="shared" si="2095"/>
        <v>3.57</v>
      </c>
      <c r="CO291" s="538">
        <f t="shared" si="2096"/>
        <v>2.1648000000000001</v>
      </c>
      <c r="CP291" s="538">
        <f t="shared" si="2097"/>
        <v>10.709999999999999</v>
      </c>
      <c r="CQ291" s="538">
        <f t="shared" si="2098"/>
        <v>4.7466720000000002</v>
      </c>
      <c r="CR291" s="539">
        <f t="shared" si="2099"/>
        <v>0</v>
      </c>
      <c r="CS291" s="540">
        <f t="shared" si="2100"/>
        <v>0</v>
      </c>
      <c r="CT291" s="540">
        <f t="shared" si="2101"/>
        <v>0.33012999999999998</v>
      </c>
      <c r="CU291" s="541">
        <f t="shared" si="2102"/>
        <v>11.256960000000001</v>
      </c>
      <c r="CV291" s="538">
        <f t="shared" si="2103"/>
        <v>1.3363787999999999</v>
      </c>
      <c r="CW291" s="538">
        <f t="shared" si="2104"/>
        <v>20.673863999999998</v>
      </c>
      <c r="CX291" s="104">
        <f t="shared" si="2105"/>
        <v>3.57</v>
      </c>
      <c r="CY291" s="542">
        <f t="shared" si="2106"/>
        <v>1.7849999999999999</v>
      </c>
      <c r="CZ291" s="538">
        <f t="shared" si="2107"/>
        <v>0</v>
      </c>
    </row>
    <row r="292" spans="1:104" s="112" customFormat="1" ht="37.5" x14ac:dyDescent="0.25">
      <c r="A292" s="100" t="str">
        <f>'BOCA DE LOBO'!C261</f>
        <v>BL33-&gt;PV1.3</v>
      </c>
      <c r="B292" s="100" t="str">
        <f>'BOCA DE LOBO'!A261</f>
        <v>PV1.3</v>
      </c>
      <c r="C292" s="100" t="str">
        <f>VLOOKUP(A292,'BOCA DE LOBO'!$C$229:$M$324,3,0)</f>
        <v>PROJETADO</v>
      </c>
      <c r="D292" s="100" t="str">
        <f>VLOOKUP(A292,'BOCA DE LOBO'!$C$229:$M$324,10,0)</f>
        <v>AMPLIADA</v>
      </c>
      <c r="E292" s="100">
        <f t="shared" si="2025"/>
        <v>2.1039999999999996</v>
      </c>
      <c r="F292" s="100">
        <f>VLOOKUP(A292,'BOCA DE LOBO'!$C$229:$D$324,2,0)</f>
        <v>2.2599999999999998</v>
      </c>
      <c r="G292" s="100">
        <f>VLOOKUP(A292,'BOCA DE LOBO'!$C$229:$F$324,4,0)</f>
        <v>3.9</v>
      </c>
      <c r="H292" s="101">
        <v>400</v>
      </c>
      <c r="I292" s="102">
        <f t="shared" si="2026"/>
        <v>2.3119999999999994</v>
      </c>
      <c r="J292" s="102">
        <f t="shared" si="2027"/>
        <v>0</v>
      </c>
      <c r="K292" s="103">
        <v>0</v>
      </c>
      <c r="L292" s="104">
        <f t="shared" si="2028"/>
        <v>0</v>
      </c>
      <c r="M292" s="104">
        <f t="shared" si="2029"/>
        <v>0</v>
      </c>
      <c r="N292" s="104">
        <f t="shared" si="2108"/>
        <v>400</v>
      </c>
      <c r="O292" s="104">
        <f t="shared" si="2030"/>
        <v>0</v>
      </c>
      <c r="P292" s="105" t="s">
        <v>1999</v>
      </c>
      <c r="Q292" s="468" t="s">
        <v>2186</v>
      </c>
      <c r="R292" s="105"/>
      <c r="S292" s="105">
        <v>5</v>
      </c>
      <c r="T292" s="105">
        <v>5</v>
      </c>
      <c r="U292" s="104">
        <f t="shared" si="2031"/>
        <v>0.05</v>
      </c>
      <c r="V292" s="106">
        <f t="shared" si="2032"/>
        <v>0</v>
      </c>
      <c r="W292" s="106">
        <f t="shared" si="2033"/>
        <v>0</v>
      </c>
      <c r="X292" s="107">
        <f t="shared" si="2034"/>
        <v>0</v>
      </c>
      <c r="Y292" s="107">
        <f t="shared" si="2035"/>
        <v>0</v>
      </c>
      <c r="Z292" s="107">
        <f t="shared" si="2036"/>
        <v>2.3119999999999994</v>
      </c>
      <c r="AA292" s="107">
        <f t="shared" si="2037"/>
        <v>0</v>
      </c>
      <c r="AB292" s="108">
        <f t="shared" si="2038"/>
        <v>0</v>
      </c>
      <c r="AC292" s="109">
        <f t="shared" si="2039"/>
        <v>0</v>
      </c>
      <c r="AD292" s="109">
        <f t="shared" si="2040"/>
        <v>0</v>
      </c>
      <c r="AE292" s="109">
        <f t="shared" si="2041"/>
        <v>0</v>
      </c>
      <c r="AF292" s="109">
        <f t="shared" si="2042"/>
        <v>0</v>
      </c>
      <c r="AG292" s="109">
        <f t="shared" si="2109"/>
        <v>0</v>
      </c>
      <c r="AH292" s="109">
        <f t="shared" si="2110"/>
        <v>0</v>
      </c>
      <c r="AI292" s="537" t="str">
        <f t="shared" si="2043"/>
        <v>NÃO</v>
      </c>
      <c r="AJ292" s="104">
        <f t="shared" si="2044"/>
        <v>0</v>
      </c>
      <c r="AK292" s="104">
        <f t="shared" si="2045"/>
        <v>0</v>
      </c>
      <c r="AL292" s="104">
        <f t="shared" si="2046"/>
        <v>0</v>
      </c>
      <c r="AM292" s="102">
        <f t="shared" si="2047"/>
        <v>0</v>
      </c>
      <c r="AN292" s="106">
        <f t="shared" si="2048"/>
        <v>0</v>
      </c>
      <c r="AO292" s="104">
        <f t="shared" si="2049"/>
        <v>0</v>
      </c>
      <c r="AP292" s="104">
        <f t="shared" si="2050"/>
        <v>0</v>
      </c>
      <c r="AQ292" s="104">
        <f t="shared" si="2051"/>
        <v>0.7</v>
      </c>
      <c r="AR292" s="104">
        <f t="shared" si="2052"/>
        <v>0</v>
      </c>
      <c r="AS292" s="104">
        <f t="shared" si="2053"/>
        <v>0</v>
      </c>
      <c r="AT292" s="104">
        <f t="shared" si="2054"/>
        <v>0</v>
      </c>
      <c r="AU292" s="104">
        <f t="shared" si="2055"/>
        <v>0</v>
      </c>
      <c r="AV292" s="104">
        <f t="shared" si="2056"/>
        <v>0</v>
      </c>
      <c r="AW292" s="104">
        <f t="shared" si="2057"/>
        <v>0</v>
      </c>
      <c r="AX292" s="104">
        <f t="shared" si="2058"/>
        <v>0</v>
      </c>
      <c r="AY292" s="104">
        <f t="shared" si="2059"/>
        <v>0</v>
      </c>
      <c r="AZ292" s="104">
        <f t="shared" si="2060"/>
        <v>0</v>
      </c>
      <c r="BA292" s="104">
        <f t="shared" ref="BA292:BA312" si="2111">IF($AZ$356&gt;$BA$358,($BA$358/$AZ$356)*AZ292,AZ292)</f>
        <v>0</v>
      </c>
      <c r="BB292" s="104">
        <f t="shared" si="2062"/>
        <v>0</v>
      </c>
      <c r="BC292" s="104"/>
      <c r="BD292" s="104">
        <f t="shared" si="2063"/>
        <v>0</v>
      </c>
      <c r="BE292" s="108">
        <f t="shared" si="2064"/>
        <v>2.3119999999999994</v>
      </c>
      <c r="BF292" s="110">
        <f t="shared" si="2065"/>
        <v>0</v>
      </c>
      <c r="BG292" s="110">
        <f t="shared" si="2066"/>
        <v>3.9</v>
      </c>
      <c r="BH292" s="105" t="str">
        <f>VLOOKUP(A292,'BOCA DE LOBO'!$C$229:$I$324,7,0)</f>
        <v>BOCA DE LOBO SIMPLES EXISTENTE COM BOCA DE LOBO SIMPLES PROJETADA</v>
      </c>
      <c r="BI292" s="104">
        <f t="shared" si="2067"/>
        <v>0</v>
      </c>
      <c r="BJ292" s="104">
        <f t="shared" si="2068"/>
        <v>1</v>
      </c>
      <c r="BK292" s="104">
        <f t="shared" si="2069"/>
        <v>0</v>
      </c>
      <c r="BL292" s="104">
        <f t="shared" si="2070"/>
        <v>0</v>
      </c>
      <c r="BM292" s="104">
        <f t="shared" si="2071"/>
        <v>0</v>
      </c>
      <c r="BN292" s="104">
        <f t="shared" si="2072"/>
        <v>0</v>
      </c>
      <c r="BO292" s="543">
        <f t="shared" si="2073"/>
        <v>0</v>
      </c>
      <c r="BP292" s="111"/>
      <c r="BQ292" s="108">
        <f t="shared" si="2074"/>
        <v>11.7</v>
      </c>
      <c r="BR292" s="108">
        <f t="shared" si="2075"/>
        <v>6.3335999999999952</v>
      </c>
      <c r="BS292" s="108">
        <f t="shared" si="2076"/>
        <v>0</v>
      </c>
      <c r="BV292" s="538">
        <f t="shared" si="2077"/>
        <v>7.7056895999999977</v>
      </c>
      <c r="BW292" s="538">
        <f t="shared" si="2078"/>
        <v>3.6623999999999994</v>
      </c>
      <c r="BX292" s="538">
        <f t="shared" si="2079"/>
        <v>1.3923999999999999</v>
      </c>
      <c r="BY292" s="538">
        <f t="shared" si="2080"/>
        <v>2.1039999999999996</v>
      </c>
      <c r="BZ292" s="538">
        <f t="shared" si="2081"/>
        <v>2.1039999999999996</v>
      </c>
      <c r="CA292" s="538">
        <f t="shared" si="2082"/>
        <v>0</v>
      </c>
      <c r="CB292" s="538">
        <f t="shared" si="2083"/>
        <v>0</v>
      </c>
      <c r="CC292" s="538">
        <f t="shared" si="2084"/>
        <v>5.4935999999999989</v>
      </c>
      <c r="CD292" s="538">
        <f t="shared" si="2085"/>
        <v>2.2120895999999983</v>
      </c>
      <c r="CE292" s="538">
        <f t="shared" si="2086"/>
        <v>0</v>
      </c>
      <c r="CF292" s="538">
        <f t="shared" si="2087"/>
        <v>0</v>
      </c>
      <c r="CG292" s="538">
        <f t="shared" si="2088"/>
        <v>0</v>
      </c>
      <c r="CH292" s="538">
        <f t="shared" si="2089"/>
        <v>0</v>
      </c>
      <c r="CI292" s="104">
        <f t="shared" si="2090"/>
        <v>0.252</v>
      </c>
      <c r="CJ292" s="538">
        <f t="shared" si="2091"/>
        <v>4.5240799999999988</v>
      </c>
      <c r="CK292" s="538">
        <f t="shared" ref="CK292:CK312" si="2112">IF($CK$358&gt;$CJ$356,CJ292,CJ292*$CK$358/$CJ$356)</f>
        <v>4.5240799999999988</v>
      </c>
      <c r="CL292" s="538">
        <f t="shared" si="2093"/>
        <v>0</v>
      </c>
      <c r="CM292" s="538">
        <f t="shared" si="2094"/>
        <v>0</v>
      </c>
      <c r="CN292" s="538">
        <f t="shared" si="2095"/>
        <v>1.68</v>
      </c>
      <c r="CO292" s="538">
        <f t="shared" si="2096"/>
        <v>2.1039999999999996</v>
      </c>
      <c r="CP292" s="538">
        <f t="shared" si="2097"/>
        <v>5.04</v>
      </c>
      <c r="CQ292" s="538">
        <f t="shared" si="2098"/>
        <v>2.0294399999999988</v>
      </c>
      <c r="CR292" s="539">
        <f t="shared" si="2099"/>
        <v>0.88219999999999987</v>
      </c>
      <c r="CS292" s="540">
        <f t="shared" si="2100"/>
        <v>4.2921599999999997E-2</v>
      </c>
      <c r="CT292" s="540">
        <f t="shared" si="2101"/>
        <v>0.15421000000000001</v>
      </c>
      <c r="CU292" s="541">
        <f t="shared" si="2102"/>
        <v>5.4703999999999997</v>
      </c>
      <c r="CV292" s="538">
        <f t="shared" si="2103"/>
        <v>0.82125599999999999</v>
      </c>
      <c r="CW292" s="538">
        <f t="shared" si="2104"/>
        <v>13.737079999999999</v>
      </c>
      <c r="CX292" s="104">
        <f t="shared" si="2105"/>
        <v>1.68</v>
      </c>
      <c r="CY292" s="542">
        <f t="shared" si="2106"/>
        <v>0.84</v>
      </c>
      <c r="CZ292" s="538">
        <f t="shared" si="2107"/>
        <v>0</v>
      </c>
    </row>
    <row r="293" spans="1:104" s="112" customFormat="1" ht="25" x14ac:dyDescent="0.25">
      <c r="A293" s="100" t="str">
        <f>'BOCA DE LOBO'!C262</f>
        <v>BL34-&gt;PV1.3</v>
      </c>
      <c r="B293" s="100" t="str">
        <f>'BOCA DE LOBO'!A262</f>
        <v>PV1.3</v>
      </c>
      <c r="C293" s="100" t="str">
        <f>VLOOKUP(A293,'BOCA DE LOBO'!$C$229:$M$324,3,0)</f>
        <v>PROJETADO</v>
      </c>
      <c r="D293" s="100" t="str">
        <f>VLOOKUP(A293,'BOCA DE LOBO'!$C$229:$M$324,10,0)</f>
        <v>PROJETADA</v>
      </c>
      <c r="E293" s="100">
        <f t="shared" si="2025"/>
        <v>1.9379999999999997</v>
      </c>
      <c r="F293" s="100">
        <f>VLOOKUP(A293,'BOCA DE LOBO'!$C$229:$D$324,2,0)</f>
        <v>2.2599999999999998</v>
      </c>
      <c r="G293" s="100">
        <f>VLOOKUP(A293,'BOCA DE LOBO'!$C$229:$F$324,4,0)</f>
        <v>8.0500000000000007</v>
      </c>
      <c r="H293" s="101">
        <v>400</v>
      </c>
      <c r="I293" s="102">
        <f t="shared" si="2026"/>
        <v>2.2289999999999996</v>
      </c>
      <c r="J293" s="102">
        <f t="shared" si="2027"/>
        <v>0.89717249999999993</v>
      </c>
      <c r="K293" s="103">
        <v>0</v>
      </c>
      <c r="L293" s="104">
        <f t="shared" si="2028"/>
        <v>1</v>
      </c>
      <c r="M293" s="104">
        <f t="shared" si="2029"/>
        <v>1</v>
      </c>
      <c r="N293" s="104">
        <f t="shared" si="2108"/>
        <v>0</v>
      </c>
      <c r="O293" s="104">
        <f t="shared" si="2030"/>
        <v>8.0500000000000007</v>
      </c>
      <c r="P293" s="105" t="s">
        <v>1999</v>
      </c>
      <c r="Q293" s="468" t="s">
        <v>2186</v>
      </c>
      <c r="R293" s="105"/>
      <c r="S293" s="105">
        <v>5</v>
      </c>
      <c r="T293" s="105">
        <v>5</v>
      </c>
      <c r="U293" s="104">
        <f t="shared" si="2031"/>
        <v>0.05</v>
      </c>
      <c r="V293" s="106">
        <f t="shared" si="2032"/>
        <v>0</v>
      </c>
      <c r="W293" s="106">
        <f t="shared" si="2033"/>
        <v>17.943449999999999</v>
      </c>
      <c r="X293" s="107">
        <f t="shared" si="2034"/>
        <v>0</v>
      </c>
      <c r="Y293" s="107">
        <f t="shared" si="2035"/>
        <v>0</v>
      </c>
      <c r="Z293" s="107">
        <f t="shared" si="2036"/>
        <v>2.2289999999999996</v>
      </c>
      <c r="AA293" s="107">
        <f t="shared" si="2037"/>
        <v>0</v>
      </c>
      <c r="AB293" s="108">
        <f t="shared" si="2038"/>
        <v>8.0500000000000007</v>
      </c>
      <c r="AC293" s="109">
        <f t="shared" si="2039"/>
        <v>0</v>
      </c>
      <c r="AD293" s="109">
        <f t="shared" si="2040"/>
        <v>0</v>
      </c>
      <c r="AE293" s="109">
        <f t="shared" si="2041"/>
        <v>0</v>
      </c>
      <c r="AF293" s="109">
        <f t="shared" si="2042"/>
        <v>12.075000000000001</v>
      </c>
      <c r="AG293" s="109">
        <f t="shared" si="2109"/>
        <v>5.8684499999999975</v>
      </c>
      <c r="AH293" s="109">
        <f t="shared" si="2110"/>
        <v>0</v>
      </c>
      <c r="AI293" s="537" t="str">
        <f t="shared" si="2043"/>
        <v>NÃO</v>
      </c>
      <c r="AJ293" s="104">
        <f t="shared" si="2044"/>
        <v>0</v>
      </c>
      <c r="AK293" s="104">
        <f t="shared" si="2045"/>
        <v>0</v>
      </c>
      <c r="AL293" s="104">
        <f t="shared" si="2046"/>
        <v>16.931857165544084</v>
      </c>
      <c r="AM293" s="102">
        <f t="shared" si="2047"/>
        <v>0.40250000000000008</v>
      </c>
      <c r="AN293" s="106">
        <f t="shared" si="2048"/>
        <v>0</v>
      </c>
      <c r="AO293" s="104">
        <f t="shared" si="2049"/>
        <v>0</v>
      </c>
      <c r="AP293" s="104">
        <f t="shared" si="2050"/>
        <v>0</v>
      </c>
      <c r="AQ293" s="104">
        <f t="shared" si="2051"/>
        <v>0.7</v>
      </c>
      <c r="AR293" s="104">
        <f t="shared" si="2052"/>
        <v>4.6234071655440863</v>
      </c>
      <c r="AS293" s="104">
        <f t="shared" si="2053"/>
        <v>0</v>
      </c>
      <c r="AT293" s="104">
        <f t="shared" si="2054"/>
        <v>1.2075</v>
      </c>
      <c r="AU293" s="104">
        <f t="shared" si="2055"/>
        <v>1.2075</v>
      </c>
      <c r="AV293" s="104">
        <f t="shared" si="2056"/>
        <v>0.24150000000000002</v>
      </c>
      <c r="AW293" s="104">
        <f t="shared" si="2057"/>
        <v>9.490949999999998</v>
      </c>
      <c r="AX293" s="104">
        <f t="shared" si="2058"/>
        <v>12.112542834455912</v>
      </c>
      <c r="AY293" s="104">
        <f t="shared" si="2059"/>
        <v>9.490949999999998</v>
      </c>
      <c r="AZ293" s="104">
        <f t="shared" si="2060"/>
        <v>0</v>
      </c>
      <c r="BA293" s="104">
        <f t="shared" si="2111"/>
        <v>0</v>
      </c>
      <c r="BB293" s="104">
        <f t="shared" si="2062"/>
        <v>0</v>
      </c>
      <c r="BC293" s="104"/>
      <c r="BD293" s="104">
        <f t="shared" si="2063"/>
        <v>0</v>
      </c>
      <c r="BE293" s="108">
        <f t="shared" si="2064"/>
        <v>2.2289999999999996</v>
      </c>
      <c r="BF293" s="110">
        <f t="shared" si="2065"/>
        <v>0</v>
      </c>
      <c r="BG293" s="110">
        <f t="shared" si="2066"/>
        <v>8.0500000000000007</v>
      </c>
      <c r="BH293" s="105" t="str">
        <f>VLOOKUP(A293,'BOCA DE LOBO'!$C$229:$I$324,7,0)</f>
        <v>BOCA DE LOBO PROJETADA TRIPLA</v>
      </c>
      <c r="BI293" s="104">
        <f t="shared" si="2067"/>
        <v>0</v>
      </c>
      <c r="BJ293" s="104">
        <f t="shared" si="2068"/>
        <v>0</v>
      </c>
      <c r="BK293" s="104">
        <f t="shared" si="2069"/>
        <v>0</v>
      </c>
      <c r="BL293" s="104">
        <f t="shared" si="2070"/>
        <v>0</v>
      </c>
      <c r="BM293" s="104">
        <f t="shared" si="2071"/>
        <v>0</v>
      </c>
      <c r="BN293" s="104">
        <f t="shared" si="2072"/>
        <v>0</v>
      </c>
      <c r="BO293" s="543">
        <f t="shared" si="2073"/>
        <v>1</v>
      </c>
      <c r="BP293" s="111"/>
      <c r="BQ293" s="108">
        <f t="shared" si="2074"/>
        <v>24.150000000000002</v>
      </c>
      <c r="BR293" s="108">
        <f t="shared" si="2075"/>
        <v>11.736899999999995</v>
      </c>
      <c r="BS293" s="108">
        <f t="shared" si="2076"/>
        <v>0</v>
      </c>
      <c r="BV293" s="538">
        <f t="shared" si="2077"/>
        <v>20.110238399999993</v>
      </c>
      <c r="BW293" s="538">
        <f t="shared" si="2078"/>
        <v>10.376799999999998</v>
      </c>
      <c r="BX293" s="538">
        <f t="shared" si="2079"/>
        <v>4.4367999999999999</v>
      </c>
      <c r="BY293" s="538">
        <f t="shared" si="2080"/>
        <v>1.9379999999999997</v>
      </c>
      <c r="BZ293" s="538">
        <f t="shared" si="2081"/>
        <v>1.9379999999999997</v>
      </c>
      <c r="CA293" s="538">
        <f t="shared" si="2082"/>
        <v>0</v>
      </c>
      <c r="CB293" s="538">
        <f t="shared" si="2083"/>
        <v>0</v>
      </c>
      <c r="CC293" s="538">
        <f t="shared" si="2084"/>
        <v>15.565199999999997</v>
      </c>
      <c r="CD293" s="538">
        <f t="shared" si="2085"/>
        <v>4.5450383999999957</v>
      </c>
      <c r="CE293" s="538">
        <f t="shared" si="2086"/>
        <v>0</v>
      </c>
      <c r="CF293" s="538">
        <f t="shared" si="2087"/>
        <v>0</v>
      </c>
      <c r="CG293" s="538">
        <f t="shared" si="2088"/>
        <v>0</v>
      </c>
      <c r="CH293" s="538">
        <f t="shared" si="2089"/>
        <v>0</v>
      </c>
      <c r="CI293" s="104">
        <f t="shared" si="2090"/>
        <v>0.71399999999999997</v>
      </c>
      <c r="CJ293" s="538">
        <f t="shared" si="2091"/>
        <v>10.797719999999993</v>
      </c>
      <c r="CK293" s="538">
        <f t="shared" si="2112"/>
        <v>10.797719999999993</v>
      </c>
      <c r="CL293" s="538">
        <f t="shared" si="2093"/>
        <v>0</v>
      </c>
      <c r="CM293" s="538">
        <f t="shared" si="2094"/>
        <v>0</v>
      </c>
      <c r="CN293" s="538">
        <f t="shared" si="2095"/>
        <v>4.76</v>
      </c>
      <c r="CO293" s="538">
        <f t="shared" si="2096"/>
        <v>1.9379999999999997</v>
      </c>
      <c r="CP293" s="538">
        <f t="shared" si="2097"/>
        <v>14.28</v>
      </c>
      <c r="CQ293" s="538">
        <f t="shared" si="2098"/>
        <v>4.1697599999999975</v>
      </c>
      <c r="CR293" s="539">
        <f t="shared" si="2099"/>
        <v>0</v>
      </c>
      <c r="CS293" s="540">
        <f t="shared" si="2100"/>
        <v>0</v>
      </c>
      <c r="CT293" s="540">
        <f t="shared" si="2101"/>
        <v>0.45984000000000003</v>
      </c>
      <c r="CU293" s="541">
        <f t="shared" si="2102"/>
        <v>13.953599999999998</v>
      </c>
      <c r="CV293" s="538">
        <f t="shared" si="2103"/>
        <v>1.722645</v>
      </c>
      <c r="CW293" s="538">
        <f t="shared" si="2104"/>
        <v>24.226599999999998</v>
      </c>
      <c r="CX293" s="104">
        <f t="shared" si="2105"/>
        <v>4.76</v>
      </c>
      <c r="CY293" s="542">
        <f t="shared" si="2106"/>
        <v>2.38</v>
      </c>
      <c r="CZ293" s="538">
        <f t="shared" si="2107"/>
        <v>0</v>
      </c>
    </row>
    <row r="294" spans="1:104" s="112" customFormat="1" ht="25" x14ac:dyDescent="0.25">
      <c r="A294" s="100" t="str">
        <f>'BOCA DE LOBO'!C263</f>
        <v>BL35-&gt;PV2.3</v>
      </c>
      <c r="B294" s="100" t="str">
        <f>'BOCA DE LOBO'!A263</f>
        <v>PV2.3</v>
      </c>
      <c r="C294" s="100" t="str">
        <f>VLOOKUP(A294,'BOCA DE LOBO'!$C$229:$M$324,3,0)</f>
        <v>PROJETADO</v>
      </c>
      <c r="D294" s="100" t="str">
        <f>VLOOKUP(A294,'BOCA DE LOBO'!$C$229:$M$324,10,0)</f>
        <v>EXISTENTE</v>
      </c>
      <c r="E294" s="100">
        <f t="shared" si="2025"/>
        <v>1.9203999999999999</v>
      </c>
      <c r="F294" s="100">
        <f>VLOOKUP(A294,'BOCA DE LOBO'!$C$229:$D$324,2,0)</f>
        <v>2.09</v>
      </c>
      <c r="G294" s="100">
        <f>VLOOKUP(A294,'BOCA DE LOBO'!$C$229:$F$324,4,0)</f>
        <v>4.24</v>
      </c>
      <c r="H294" s="101">
        <v>400</v>
      </c>
      <c r="I294" s="102">
        <f t="shared" si="2026"/>
        <v>2.1351999999999998</v>
      </c>
      <c r="J294" s="102">
        <f t="shared" si="2027"/>
        <v>0</v>
      </c>
      <c r="K294" s="103">
        <v>0</v>
      </c>
      <c r="L294" s="104">
        <f t="shared" si="2028"/>
        <v>0</v>
      </c>
      <c r="M294" s="104">
        <f t="shared" si="2029"/>
        <v>0</v>
      </c>
      <c r="N294" s="104">
        <f t="shared" si="2108"/>
        <v>400</v>
      </c>
      <c r="O294" s="104">
        <f t="shared" si="2030"/>
        <v>0</v>
      </c>
      <c r="P294" s="105" t="s">
        <v>1999</v>
      </c>
      <c r="Q294" s="468" t="s">
        <v>2092</v>
      </c>
      <c r="R294" s="105">
        <v>1</v>
      </c>
      <c r="S294" s="105">
        <f>VLOOKUP(Q294,Quantitativos!P:R,3,0)</f>
        <v>24.9</v>
      </c>
      <c r="T294" s="105">
        <f>VLOOKUP(Q294,Quantitativos!P:S,4,0)</f>
        <v>5</v>
      </c>
      <c r="U294" s="104">
        <f t="shared" si="2031"/>
        <v>0.05</v>
      </c>
      <c r="V294" s="106">
        <f t="shared" si="2032"/>
        <v>0</v>
      </c>
      <c r="W294" s="106">
        <f t="shared" si="2033"/>
        <v>0</v>
      </c>
      <c r="X294" s="107">
        <f t="shared" si="2034"/>
        <v>0</v>
      </c>
      <c r="Y294" s="107">
        <f t="shared" si="2035"/>
        <v>0.4</v>
      </c>
      <c r="Z294" s="107">
        <f t="shared" si="2036"/>
        <v>2.1351999999999998</v>
      </c>
      <c r="AA294" s="107">
        <f t="shared" si="2037"/>
        <v>0</v>
      </c>
      <c r="AB294" s="108">
        <f t="shared" si="2038"/>
        <v>0</v>
      </c>
      <c r="AC294" s="109">
        <f t="shared" si="2039"/>
        <v>0</v>
      </c>
      <c r="AD294" s="109">
        <f t="shared" si="2040"/>
        <v>0</v>
      </c>
      <c r="AE294" s="109">
        <f t="shared" si="2041"/>
        <v>0</v>
      </c>
      <c r="AF294" s="109">
        <f t="shared" si="2042"/>
        <v>0</v>
      </c>
      <c r="AG294" s="109">
        <f t="shared" si="2109"/>
        <v>0</v>
      </c>
      <c r="AH294" s="109">
        <f t="shared" si="2110"/>
        <v>0</v>
      </c>
      <c r="AI294" s="537" t="str">
        <f t="shared" si="2043"/>
        <v>NÃO</v>
      </c>
      <c r="AJ294" s="104">
        <f t="shared" si="2044"/>
        <v>0</v>
      </c>
      <c r="AK294" s="104">
        <f t="shared" si="2045"/>
        <v>0</v>
      </c>
      <c r="AL294" s="104">
        <f t="shared" si="2046"/>
        <v>0</v>
      </c>
      <c r="AM294" s="102">
        <f t="shared" si="2047"/>
        <v>0</v>
      </c>
      <c r="AN294" s="106">
        <f t="shared" si="2048"/>
        <v>0</v>
      </c>
      <c r="AO294" s="104">
        <f t="shared" si="2049"/>
        <v>0</v>
      </c>
      <c r="AP294" s="104">
        <f t="shared" si="2050"/>
        <v>0</v>
      </c>
      <c r="AQ294" s="104">
        <f t="shared" si="2051"/>
        <v>0.7</v>
      </c>
      <c r="AR294" s="104">
        <f t="shared" si="2052"/>
        <v>0</v>
      </c>
      <c r="AS294" s="104">
        <f t="shared" si="2053"/>
        <v>0</v>
      </c>
      <c r="AT294" s="104">
        <f t="shared" si="2054"/>
        <v>0</v>
      </c>
      <c r="AU294" s="104">
        <f t="shared" si="2055"/>
        <v>0</v>
      </c>
      <c r="AV294" s="104">
        <f t="shared" si="2056"/>
        <v>0</v>
      </c>
      <c r="AW294" s="104">
        <f t="shared" si="2057"/>
        <v>0</v>
      </c>
      <c r="AX294" s="104">
        <f t="shared" si="2058"/>
        <v>0</v>
      </c>
      <c r="AY294" s="104">
        <f t="shared" si="2059"/>
        <v>0</v>
      </c>
      <c r="AZ294" s="104">
        <f t="shared" si="2060"/>
        <v>0</v>
      </c>
      <c r="BA294" s="104">
        <f t="shared" si="2111"/>
        <v>0</v>
      </c>
      <c r="BB294" s="104">
        <f t="shared" si="2062"/>
        <v>0</v>
      </c>
      <c r="BC294" s="104"/>
      <c r="BD294" s="104">
        <f t="shared" si="2063"/>
        <v>0</v>
      </c>
      <c r="BE294" s="108">
        <f t="shared" si="2064"/>
        <v>2.1351999999999998</v>
      </c>
      <c r="BF294" s="110">
        <f t="shared" si="2065"/>
        <v>0</v>
      </c>
      <c r="BG294" s="110">
        <f t="shared" si="2066"/>
        <v>4.24</v>
      </c>
      <c r="BH294" s="105" t="str">
        <f>VLOOKUP(A294,'BOCA DE LOBO'!$C$229:$I$324,7,0)</f>
        <v>BOCA DE LOBO EXISTENTE DUPLA</v>
      </c>
      <c r="BI294" s="104">
        <f t="shared" si="2067"/>
        <v>0</v>
      </c>
      <c r="BJ294" s="104">
        <f t="shared" si="2068"/>
        <v>0</v>
      </c>
      <c r="BK294" s="104">
        <f t="shared" si="2069"/>
        <v>0</v>
      </c>
      <c r="BL294" s="104">
        <f t="shared" si="2070"/>
        <v>0</v>
      </c>
      <c r="BM294" s="104">
        <f t="shared" si="2071"/>
        <v>0</v>
      </c>
      <c r="BN294" s="104">
        <f t="shared" si="2072"/>
        <v>0</v>
      </c>
      <c r="BO294" s="543">
        <f t="shared" si="2073"/>
        <v>0</v>
      </c>
      <c r="BP294" s="111"/>
      <c r="BQ294" s="108">
        <f t="shared" si="2074"/>
        <v>12.72</v>
      </c>
      <c r="BR294" s="108">
        <f t="shared" si="2075"/>
        <v>9.6264959999999977</v>
      </c>
      <c r="BS294" s="108">
        <f t="shared" si="2076"/>
        <v>0</v>
      </c>
      <c r="BV294" s="538">
        <f t="shared" si="2077"/>
        <v>0</v>
      </c>
      <c r="BW294" s="538">
        <f t="shared" si="2078"/>
        <v>0</v>
      </c>
      <c r="BX294" s="538">
        <f t="shared" si="2079"/>
        <v>0</v>
      </c>
      <c r="BY294" s="538">
        <f t="shared" si="2080"/>
        <v>1.9203999999999999</v>
      </c>
      <c r="BZ294" s="538">
        <f t="shared" si="2081"/>
        <v>1.9203999999999999</v>
      </c>
      <c r="CA294" s="538">
        <f t="shared" si="2082"/>
        <v>0.4</v>
      </c>
      <c r="CB294" s="538">
        <f t="shared" si="2083"/>
        <v>0</v>
      </c>
      <c r="CC294" s="538">
        <f t="shared" si="2084"/>
        <v>0</v>
      </c>
      <c r="CD294" s="538">
        <f t="shared" si="2085"/>
        <v>0</v>
      </c>
      <c r="CE294" s="538">
        <f t="shared" si="2086"/>
        <v>0</v>
      </c>
      <c r="CF294" s="538">
        <f t="shared" si="2087"/>
        <v>0</v>
      </c>
      <c r="CG294" s="538">
        <f t="shared" si="2088"/>
        <v>0</v>
      </c>
      <c r="CH294" s="538">
        <f t="shared" si="2089"/>
        <v>0</v>
      </c>
      <c r="CI294" s="104">
        <f t="shared" si="2090"/>
        <v>0</v>
      </c>
      <c r="CJ294" s="538">
        <f t="shared" si="2091"/>
        <v>0</v>
      </c>
      <c r="CK294" s="538">
        <f t="shared" si="2112"/>
        <v>0</v>
      </c>
      <c r="CL294" s="538">
        <f t="shared" si="2093"/>
        <v>0</v>
      </c>
      <c r="CM294" s="538">
        <f t="shared" si="2094"/>
        <v>0</v>
      </c>
      <c r="CN294" s="538">
        <f t="shared" si="2095"/>
        <v>0</v>
      </c>
      <c r="CO294" s="538">
        <f t="shared" si="2096"/>
        <v>2.4203999999999999</v>
      </c>
      <c r="CP294" s="538">
        <f t="shared" si="2097"/>
        <v>0</v>
      </c>
      <c r="CQ294" s="538">
        <f t="shared" si="2098"/>
        <v>0</v>
      </c>
      <c r="CR294" s="539">
        <f t="shared" si="2099"/>
        <v>0</v>
      </c>
      <c r="CS294" s="540">
        <f t="shared" si="2100"/>
        <v>0</v>
      </c>
      <c r="CT294" s="540">
        <f t="shared" si="2101"/>
        <v>0</v>
      </c>
      <c r="CU294" s="541">
        <f t="shared" si="2102"/>
        <v>0</v>
      </c>
      <c r="CV294" s="538">
        <f t="shared" si="2103"/>
        <v>0</v>
      </c>
      <c r="CW294" s="538">
        <f t="shared" si="2104"/>
        <v>0</v>
      </c>
      <c r="CX294" s="104">
        <f t="shared" si="2105"/>
        <v>0</v>
      </c>
      <c r="CY294" s="542">
        <f t="shared" si="2106"/>
        <v>0</v>
      </c>
      <c r="CZ294" s="538">
        <f t="shared" si="2107"/>
        <v>0</v>
      </c>
    </row>
    <row r="295" spans="1:104" s="112" customFormat="1" ht="25" x14ac:dyDescent="0.25">
      <c r="A295" s="100" t="str">
        <f>'BOCA DE LOBO'!C264</f>
        <v>BL36-&gt;PV3.3</v>
      </c>
      <c r="B295" s="100" t="str">
        <f>'BOCA DE LOBO'!A264</f>
        <v>PV3.3</v>
      </c>
      <c r="C295" s="100" t="str">
        <f>VLOOKUP(A295,'BOCA DE LOBO'!$C$229:$M$324,3,0)</f>
        <v>PROJETADO</v>
      </c>
      <c r="D295" s="100" t="str">
        <f>VLOOKUP(A295,'BOCA DE LOBO'!$C$229:$M$324,10,0)</f>
        <v>EXISTENTE</v>
      </c>
      <c r="E295" s="100">
        <f t="shared" si="2025"/>
        <v>2.1388000000000003</v>
      </c>
      <c r="F295" s="100">
        <f>VLOOKUP(A295,'BOCA DE LOBO'!$C$229:$D$324,2,0)</f>
        <v>2.37</v>
      </c>
      <c r="G295" s="100">
        <f>VLOOKUP(A295,'BOCA DE LOBO'!$C$229:$F$324,4,0)</f>
        <v>5.78</v>
      </c>
      <c r="H295" s="101">
        <v>400</v>
      </c>
      <c r="I295" s="102">
        <f t="shared" si="2026"/>
        <v>2.3844000000000003</v>
      </c>
      <c r="J295" s="102">
        <f t="shared" si="2027"/>
        <v>0</v>
      </c>
      <c r="K295" s="103">
        <v>0</v>
      </c>
      <c r="L295" s="104">
        <f t="shared" si="2028"/>
        <v>0</v>
      </c>
      <c r="M295" s="104">
        <f t="shared" si="2029"/>
        <v>0</v>
      </c>
      <c r="N295" s="104">
        <f t="shared" si="2108"/>
        <v>400</v>
      </c>
      <c r="O295" s="104">
        <f t="shared" si="2030"/>
        <v>0</v>
      </c>
      <c r="P295" s="105" t="s">
        <v>1999</v>
      </c>
      <c r="Q295" s="468" t="s">
        <v>2092</v>
      </c>
      <c r="R295" s="105">
        <v>1</v>
      </c>
      <c r="S295" s="105">
        <f>VLOOKUP(Q295,Quantitativos!P:R,3,0)</f>
        <v>24.9</v>
      </c>
      <c r="T295" s="105">
        <f>VLOOKUP(Q295,Quantitativos!P:S,4,0)</f>
        <v>5</v>
      </c>
      <c r="U295" s="104">
        <f t="shared" si="2031"/>
        <v>0.05</v>
      </c>
      <c r="V295" s="106">
        <f t="shared" si="2032"/>
        <v>0</v>
      </c>
      <c r="W295" s="106">
        <f t="shared" si="2033"/>
        <v>0</v>
      </c>
      <c r="X295" s="107">
        <f t="shared" si="2034"/>
        <v>0</v>
      </c>
      <c r="Y295" s="107">
        <f t="shared" si="2035"/>
        <v>0.4</v>
      </c>
      <c r="Z295" s="107">
        <f t="shared" si="2036"/>
        <v>2.3844000000000003</v>
      </c>
      <c r="AA295" s="107">
        <f t="shared" si="2037"/>
        <v>0</v>
      </c>
      <c r="AB295" s="108">
        <f t="shared" si="2038"/>
        <v>0</v>
      </c>
      <c r="AC295" s="109">
        <f t="shared" si="2039"/>
        <v>0</v>
      </c>
      <c r="AD295" s="109">
        <f t="shared" si="2040"/>
        <v>0</v>
      </c>
      <c r="AE295" s="109">
        <f t="shared" si="2041"/>
        <v>0</v>
      </c>
      <c r="AF295" s="109">
        <f t="shared" si="2042"/>
        <v>0</v>
      </c>
      <c r="AG295" s="109">
        <f t="shared" si="2109"/>
        <v>0</v>
      </c>
      <c r="AH295" s="109">
        <f t="shared" si="2110"/>
        <v>0</v>
      </c>
      <c r="AI295" s="537" t="str">
        <f t="shared" si="2043"/>
        <v>NÃO</v>
      </c>
      <c r="AJ295" s="104">
        <f t="shared" si="2044"/>
        <v>0</v>
      </c>
      <c r="AK295" s="104">
        <f t="shared" si="2045"/>
        <v>0</v>
      </c>
      <c r="AL295" s="104">
        <f t="shared" si="2046"/>
        <v>0</v>
      </c>
      <c r="AM295" s="102">
        <f t="shared" si="2047"/>
        <v>0</v>
      </c>
      <c r="AN295" s="106">
        <f t="shared" si="2048"/>
        <v>0</v>
      </c>
      <c r="AO295" s="104">
        <f t="shared" si="2049"/>
        <v>0</v>
      </c>
      <c r="AP295" s="104">
        <f t="shared" si="2050"/>
        <v>0</v>
      </c>
      <c r="AQ295" s="104">
        <f t="shared" si="2051"/>
        <v>0.7</v>
      </c>
      <c r="AR295" s="104">
        <f t="shared" si="2052"/>
        <v>0</v>
      </c>
      <c r="AS295" s="104">
        <f t="shared" si="2053"/>
        <v>0</v>
      </c>
      <c r="AT295" s="104">
        <f t="shared" si="2054"/>
        <v>0</v>
      </c>
      <c r="AU295" s="104">
        <f t="shared" si="2055"/>
        <v>0</v>
      </c>
      <c r="AV295" s="104">
        <f t="shared" si="2056"/>
        <v>0</v>
      </c>
      <c r="AW295" s="104">
        <f t="shared" si="2057"/>
        <v>0</v>
      </c>
      <c r="AX295" s="104">
        <f t="shared" si="2058"/>
        <v>0</v>
      </c>
      <c r="AY295" s="104">
        <f t="shared" si="2059"/>
        <v>0</v>
      </c>
      <c r="AZ295" s="104">
        <f t="shared" si="2060"/>
        <v>0</v>
      </c>
      <c r="BA295" s="104">
        <f t="shared" si="2111"/>
        <v>0</v>
      </c>
      <c r="BB295" s="104">
        <f t="shared" si="2062"/>
        <v>0</v>
      </c>
      <c r="BC295" s="104"/>
      <c r="BD295" s="104">
        <f t="shared" si="2063"/>
        <v>0</v>
      </c>
      <c r="BE295" s="108">
        <f t="shared" si="2064"/>
        <v>2.3844000000000003</v>
      </c>
      <c r="BF295" s="110">
        <f t="shared" si="2065"/>
        <v>0</v>
      </c>
      <c r="BG295" s="110">
        <f t="shared" si="2066"/>
        <v>5.78</v>
      </c>
      <c r="BH295" s="105" t="str">
        <f>VLOOKUP(A295,'BOCA DE LOBO'!$C$229:$I$324,7,0)</f>
        <v>BOCA DE LOBO EXISTENTE DUPLA</v>
      </c>
      <c r="BI295" s="104">
        <f t="shared" si="2067"/>
        <v>0</v>
      </c>
      <c r="BJ295" s="104">
        <f t="shared" si="2068"/>
        <v>0</v>
      </c>
      <c r="BK295" s="104">
        <f t="shared" si="2069"/>
        <v>0</v>
      </c>
      <c r="BL295" s="104">
        <f t="shared" si="2070"/>
        <v>0</v>
      </c>
      <c r="BM295" s="104">
        <f t="shared" si="2071"/>
        <v>0</v>
      </c>
      <c r="BN295" s="104">
        <f t="shared" si="2072"/>
        <v>0</v>
      </c>
      <c r="BO295" s="543">
        <f t="shared" si="2073"/>
        <v>0</v>
      </c>
      <c r="BP295" s="111"/>
      <c r="BQ295" s="108">
        <f t="shared" si="2074"/>
        <v>17.34</v>
      </c>
      <c r="BR295" s="108">
        <f t="shared" si="2075"/>
        <v>16.003664000000004</v>
      </c>
      <c r="BS295" s="108">
        <f t="shared" si="2076"/>
        <v>0</v>
      </c>
      <c r="BV295" s="538">
        <f t="shared" si="2077"/>
        <v>0</v>
      </c>
      <c r="BW295" s="538">
        <f t="shared" si="2078"/>
        <v>0</v>
      </c>
      <c r="BX295" s="538">
        <f t="shared" si="2079"/>
        <v>0</v>
      </c>
      <c r="BY295" s="538">
        <f t="shared" si="2080"/>
        <v>2.1388000000000003</v>
      </c>
      <c r="BZ295" s="538">
        <f t="shared" si="2081"/>
        <v>2.1388000000000003</v>
      </c>
      <c r="CA295" s="538">
        <f t="shared" si="2082"/>
        <v>0.4</v>
      </c>
      <c r="CB295" s="538">
        <f t="shared" si="2083"/>
        <v>0</v>
      </c>
      <c r="CC295" s="538">
        <f t="shared" si="2084"/>
        <v>0</v>
      </c>
      <c r="CD295" s="538">
        <f t="shared" si="2085"/>
        <v>0</v>
      </c>
      <c r="CE295" s="538">
        <f t="shared" si="2086"/>
        <v>0</v>
      </c>
      <c r="CF295" s="538">
        <f t="shared" si="2087"/>
        <v>0</v>
      </c>
      <c r="CG295" s="538">
        <f t="shared" si="2088"/>
        <v>0</v>
      </c>
      <c r="CH295" s="538">
        <f t="shared" si="2089"/>
        <v>0</v>
      </c>
      <c r="CI295" s="104">
        <f t="shared" si="2090"/>
        <v>0</v>
      </c>
      <c r="CJ295" s="538">
        <f t="shared" si="2091"/>
        <v>0</v>
      </c>
      <c r="CK295" s="538">
        <f t="shared" si="2112"/>
        <v>0</v>
      </c>
      <c r="CL295" s="538">
        <f t="shared" si="2093"/>
        <v>0</v>
      </c>
      <c r="CM295" s="538">
        <f t="shared" si="2094"/>
        <v>0</v>
      </c>
      <c r="CN295" s="538">
        <f t="shared" si="2095"/>
        <v>0</v>
      </c>
      <c r="CO295" s="538">
        <f t="shared" si="2096"/>
        <v>2.6388000000000003</v>
      </c>
      <c r="CP295" s="538">
        <f t="shared" si="2097"/>
        <v>0</v>
      </c>
      <c r="CQ295" s="538">
        <f t="shared" si="2098"/>
        <v>0</v>
      </c>
      <c r="CR295" s="539">
        <f t="shared" si="2099"/>
        <v>0</v>
      </c>
      <c r="CS295" s="540">
        <f t="shared" si="2100"/>
        <v>0</v>
      </c>
      <c r="CT295" s="540">
        <f t="shared" si="2101"/>
        <v>0</v>
      </c>
      <c r="CU295" s="541">
        <f t="shared" si="2102"/>
        <v>0</v>
      </c>
      <c r="CV295" s="538">
        <f t="shared" si="2103"/>
        <v>0</v>
      </c>
      <c r="CW295" s="538">
        <f t="shared" si="2104"/>
        <v>0</v>
      </c>
      <c r="CX295" s="104">
        <f t="shared" si="2105"/>
        <v>0</v>
      </c>
      <c r="CY295" s="542">
        <f t="shared" si="2106"/>
        <v>0</v>
      </c>
      <c r="CZ295" s="538">
        <f t="shared" si="2107"/>
        <v>0</v>
      </c>
    </row>
    <row r="296" spans="1:104" s="112" customFormat="1" ht="25" x14ac:dyDescent="0.25">
      <c r="A296" s="100" t="str">
        <f>'BOCA DE LOBO'!C265</f>
        <v>BL37-&gt;PV3.3</v>
      </c>
      <c r="B296" s="100" t="str">
        <f>'BOCA DE LOBO'!A265</f>
        <v>PV3.3</v>
      </c>
      <c r="C296" s="100" t="str">
        <f>VLOOKUP(A296,'BOCA DE LOBO'!$C$229:$M$324,3,0)</f>
        <v>PROJETADO</v>
      </c>
      <c r="D296" s="100" t="str">
        <f>VLOOKUP(A296,'BOCA DE LOBO'!$C$229:$M$324,10,0)</f>
        <v>PROJETADA</v>
      </c>
      <c r="E296" s="100">
        <f t="shared" si="2025"/>
        <v>2.0167999999999999</v>
      </c>
      <c r="F296" s="100">
        <f>VLOOKUP(A296,'BOCA DE LOBO'!$C$229:$D$324,2,0)</f>
        <v>2.37</v>
      </c>
      <c r="G296" s="100">
        <f>VLOOKUP(A296,'BOCA DE LOBO'!$C$229:$F$324,4,0)</f>
        <v>8.83</v>
      </c>
      <c r="H296" s="101">
        <v>400</v>
      </c>
      <c r="I296" s="102">
        <f t="shared" si="2026"/>
        <v>2.3233999999999999</v>
      </c>
      <c r="J296" s="102">
        <f t="shared" si="2027"/>
        <v>1.0257811000000001</v>
      </c>
      <c r="K296" s="103">
        <v>0</v>
      </c>
      <c r="L296" s="104">
        <f t="shared" si="2028"/>
        <v>1</v>
      </c>
      <c r="M296" s="104">
        <f t="shared" si="2029"/>
        <v>1</v>
      </c>
      <c r="N296" s="104">
        <f t="shared" si="2108"/>
        <v>0</v>
      </c>
      <c r="O296" s="104">
        <f t="shared" si="2030"/>
        <v>8.83</v>
      </c>
      <c r="P296" s="105" t="s">
        <v>1999</v>
      </c>
      <c r="Q296" s="468" t="s">
        <v>2092</v>
      </c>
      <c r="R296" s="105">
        <v>1</v>
      </c>
      <c r="S296" s="105">
        <f>VLOOKUP(Q296,Quantitativos!P:R,3,0)</f>
        <v>24.9</v>
      </c>
      <c r="T296" s="105">
        <f>VLOOKUP(Q296,Quantitativos!P:S,4,0)</f>
        <v>5</v>
      </c>
      <c r="U296" s="104">
        <f t="shared" si="2031"/>
        <v>0.05</v>
      </c>
      <c r="V296" s="106">
        <f t="shared" si="2032"/>
        <v>0</v>
      </c>
      <c r="W296" s="106">
        <f t="shared" si="2033"/>
        <v>24.047622</v>
      </c>
      <c r="X296" s="107">
        <f t="shared" si="2034"/>
        <v>0</v>
      </c>
      <c r="Y296" s="107">
        <f t="shared" si="2035"/>
        <v>2.7233999999999998</v>
      </c>
      <c r="Z296" s="107">
        <f t="shared" si="2036"/>
        <v>0</v>
      </c>
      <c r="AA296" s="107">
        <f t="shared" si="2037"/>
        <v>2.3233999999999999</v>
      </c>
      <c r="AB296" s="108">
        <f t="shared" si="2038"/>
        <v>8.83</v>
      </c>
      <c r="AC296" s="109">
        <f t="shared" si="2039"/>
        <v>13.245000000000001</v>
      </c>
      <c r="AD296" s="109">
        <f t="shared" si="2040"/>
        <v>10.802621999999998</v>
      </c>
      <c r="AE296" s="109">
        <f t="shared" si="2041"/>
        <v>0</v>
      </c>
      <c r="AF296" s="109">
        <f t="shared" si="2042"/>
        <v>0</v>
      </c>
      <c r="AG296" s="109">
        <f t="shared" si="2109"/>
        <v>0</v>
      </c>
      <c r="AH296" s="109">
        <f t="shared" si="2110"/>
        <v>0</v>
      </c>
      <c r="AI296" s="537" t="str">
        <f t="shared" si="2043"/>
        <v>NÃO</v>
      </c>
      <c r="AJ296" s="104">
        <f t="shared" si="2044"/>
        <v>0</v>
      </c>
      <c r="AK296" s="104">
        <f t="shared" si="2045"/>
        <v>0</v>
      </c>
      <c r="AL296" s="104">
        <f t="shared" si="2046"/>
        <v>22.938011474752084</v>
      </c>
      <c r="AM296" s="102">
        <f t="shared" si="2047"/>
        <v>0.4415</v>
      </c>
      <c r="AN296" s="106">
        <f t="shared" si="2048"/>
        <v>0</v>
      </c>
      <c r="AO296" s="104">
        <f t="shared" si="2049"/>
        <v>3.532</v>
      </c>
      <c r="AP296" s="104">
        <f t="shared" si="2050"/>
        <v>3.532</v>
      </c>
      <c r="AQ296" s="104">
        <f t="shared" si="2051"/>
        <v>0.7</v>
      </c>
      <c r="AR296" s="104">
        <f t="shared" si="2052"/>
        <v>5.0713894747520847</v>
      </c>
      <c r="AS296" s="104">
        <f t="shared" si="2053"/>
        <v>5.0713894747520847</v>
      </c>
      <c r="AT296" s="104">
        <f t="shared" si="2054"/>
        <v>1.3245</v>
      </c>
      <c r="AU296" s="104">
        <f t="shared" si="2055"/>
        <v>1.3245</v>
      </c>
      <c r="AV296" s="104">
        <f t="shared" si="2056"/>
        <v>0.26489999999999997</v>
      </c>
      <c r="AW296" s="104">
        <f t="shared" si="2057"/>
        <v>11.244121999999997</v>
      </c>
      <c r="AX296" s="104">
        <f t="shared" si="2058"/>
        <v>-9.9278894747520852</v>
      </c>
      <c r="AY296" s="104">
        <f t="shared" si="2059"/>
        <v>-9.9278894747520852</v>
      </c>
      <c r="AZ296" s="104">
        <f t="shared" si="2060"/>
        <v>21.172011474752082</v>
      </c>
      <c r="BA296" s="104">
        <f t="shared" si="2111"/>
        <v>3.53694259733876</v>
      </c>
      <c r="BB296" s="104">
        <f t="shared" si="2062"/>
        <v>17.635068877413321</v>
      </c>
      <c r="BC296" s="104"/>
      <c r="BD296" s="104">
        <f t="shared" si="2063"/>
        <v>0.19426000000000002</v>
      </c>
      <c r="BE296" s="108">
        <f t="shared" si="2064"/>
        <v>2.3233999999999999</v>
      </c>
      <c r="BF296" s="110">
        <f t="shared" si="2065"/>
        <v>0</v>
      </c>
      <c r="BG296" s="110">
        <f t="shared" si="2066"/>
        <v>8.83</v>
      </c>
      <c r="BH296" s="105" t="str">
        <f>VLOOKUP(A296,'BOCA DE LOBO'!$C$229:$I$324,7,0)</f>
        <v>BOCA DE LOBO PROJETADA TRIPLA</v>
      </c>
      <c r="BI296" s="104">
        <f t="shared" si="2067"/>
        <v>0</v>
      </c>
      <c r="BJ296" s="104">
        <f t="shared" si="2068"/>
        <v>0</v>
      </c>
      <c r="BK296" s="104">
        <f t="shared" si="2069"/>
        <v>0</v>
      </c>
      <c r="BL296" s="104">
        <f t="shared" si="2070"/>
        <v>0</v>
      </c>
      <c r="BM296" s="104">
        <f t="shared" si="2071"/>
        <v>0</v>
      </c>
      <c r="BN296" s="104">
        <f t="shared" si="2072"/>
        <v>0</v>
      </c>
      <c r="BO296" s="543">
        <f t="shared" si="2073"/>
        <v>1</v>
      </c>
      <c r="BP296" s="111"/>
      <c r="BQ296" s="108">
        <f t="shared" si="2074"/>
        <v>26.490000000000002</v>
      </c>
      <c r="BR296" s="108">
        <f t="shared" si="2075"/>
        <v>23.371243999999997</v>
      </c>
      <c r="BS296" s="108">
        <f t="shared" si="2076"/>
        <v>0</v>
      </c>
      <c r="BV296" s="538">
        <f t="shared" si="2077"/>
        <v>26.116330239999993</v>
      </c>
      <c r="BW296" s="538">
        <f t="shared" si="2078"/>
        <v>10.376799999999998</v>
      </c>
      <c r="BX296" s="538">
        <f t="shared" si="2079"/>
        <v>4.4367999999999999</v>
      </c>
      <c r="BY296" s="538">
        <f t="shared" si="2080"/>
        <v>2.0167999999999999</v>
      </c>
      <c r="BZ296" s="538">
        <f t="shared" si="2081"/>
        <v>0</v>
      </c>
      <c r="CA296" s="538">
        <f t="shared" si="2082"/>
        <v>2.4167999999999998</v>
      </c>
      <c r="CB296" s="538">
        <f t="shared" si="2083"/>
        <v>0</v>
      </c>
      <c r="CC296" s="538">
        <f t="shared" si="2084"/>
        <v>0</v>
      </c>
      <c r="CD296" s="538">
        <f t="shared" si="2085"/>
        <v>0</v>
      </c>
      <c r="CE296" s="538">
        <f t="shared" si="2086"/>
        <v>15.565199999999997</v>
      </c>
      <c r="CF296" s="538">
        <f t="shared" si="2087"/>
        <v>9.5134502399999956</v>
      </c>
      <c r="CG296" s="538">
        <f t="shared" si="2088"/>
        <v>1.0376799999999982</v>
      </c>
      <c r="CH296" s="538">
        <f t="shared" si="2089"/>
        <v>0</v>
      </c>
      <c r="CI296" s="104">
        <f t="shared" si="2090"/>
        <v>0.71399999999999997</v>
      </c>
      <c r="CJ296" s="538">
        <f t="shared" si="2091"/>
        <v>13.641791999999993</v>
      </c>
      <c r="CK296" s="538">
        <f t="shared" si="2112"/>
        <v>13.641791999999993</v>
      </c>
      <c r="CL296" s="538">
        <f t="shared" si="2093"/>
        <v>0</v>
      </c>
      <c r="CM296" s="538">
        <f t="shared" si="2094"/>
        <v>0.20753599999999994</v>
      </c>
      <c r="CN296" s="538">
        <f t="shared" si="2095"/>
        <v>4.76</v>
      </c>
      <c r="CO296" s="538">
        <f t="shared" si="2096"/>
        <v>2.5167999999999999</v>
      </c>
      <c r="CP296" s="538">
        <f t="shared" si="2097"/>
        <v>14.28</v>
      </c>
      <c r="CQ296" s="538">
        <f t="shared" si="2098"/>
        <v>9.6799359999999997</v>
      </c>
      <c r="CR296" s="539">
        <f t="shared" si="2099"/>
        <v>0</v>
      </c>
      <c r="CS296" s="540">
        <f t="shared" si="2100"/>
        <v>0</v>
      </c>
      <c r="CT296" s="540">
        <f t="shared" si="2101"/>
        <v>0.45984000000000003</v>
      </c>
      <c r="CU296" s="541">
        <f t="shared" si="2102"/>
        <v>14.520960000000001</v>
      </c>
      <c r="CV296" s="538">
        <f t="shared" si="2103"/>
        <v>1.752786</v>
      </c>
      <c r="CW296" s="538">
        <f t="shared" si="2104"/>
        <v>24.983080000000001</v>
      </c>
      <c r="CX296" s="104">
        <f t="shared" si="2105"/>
        <v>4.76</v>
      </c>
      <c r="CY296" s="542">
        <f t="shared" si="2106"/>
        <v>2.38</v>
      </c>
      <c r="CZ296" s="538">
        <f t="shared" si="2107"/>
        <v>0</v>
      </c>
    </row>
    <row r="297" spans="1:104" s="112" customFormat="1" ht="25" x14ac:dyDescent="0.25">
      <c r="A297" s="100" t="str">
        <f>'BOCA DE LOBO'!C266</f>
        <v>BL38-&gt;PV5.3</v>
      </c>
      <c r="B297" s="100" t="str">
        <f>'BOCA DE LOBO'!A266</f>
        <v>PV5.3</v>
      </c>
      <c r="C297" s="100" t="str">
        <f>VLOOKUP(A297,'BOCA DE LOBO'!$C$229:$M$324,3,0)</f>
        <v>PROJETADO</v>
      </c>
      <c r="D297" s="100" t="str">
        <f>VLOOKUP(A297,'BOCA DE LOBO'!$C$229:$M$324,10,0)</f>
        <v>EXISTENTE</v>
      </c>
      <c r="E297" s="100">
        <f t="shared" si="2025"/>
        <v>1.9776</v>
      </c>
      <c r="F297" s="100">
        <f>VLOOKUP(A297,'BOCA DE LOBO'!$C$229:$D$324,2,0)</f>
        <v>2.17</v>
      </c>
      <c r="G297" s="100">
        <f>VLOOKUP(A297,'BOCA DE LOBO'!$C$229:$F$324,4,0)</f>
        <v>4.8099999999999996</v>
      </c>
      <c r="H297" s="101">
        <v>400</v>
      </c>
      <c r="I297" s="102">
        <f t="shared" si="2026"/>
        <v>2.2037999999999998</v>
      </c>
      <c r="J297" s="102">
        <f t="shared" si="2027"/>
        <v>0</v>
      </c>
      <c r="K297" s="103">
        <v>0</v>
      </c>
      <c r="L297" s="104">
        <f t="shared" si="2028"/>
        <v>0</v>
      </c>
      <c r="M297" s="104">
        <f t="shared" si="2029"/>
        <v>0</v>
      </c>
      <c r="N297" s="104">
        <f t="shared" si="2108"/>
        <v>400</v>
      </c>
      <c r="O297" s="104">
        <f t="shared" si="2030"/>
        <v>0</v>
      </c>
      <c r="P297" s="105" t="s">
        <v>1999</v>
      </c>
      <c r="Q297" s="468" t="s">
        <v>2092</v>
      </c>
      <c r="R297" s="105">
        <v>1</v>
      </c>
      <c r="S297" s="105">
        <f>VLOOKUP(Q297,Quantitativos!P:R,3,0)</f>
        <v>24.9</v>
      </c>
      <c r="T297" s="105">
        <f>VLOOKUP(Q297,Quantitativos!P:S,4,0)</f>
        <v>5</v>
      </c>
      <c r="U297" s="104">
        <f t="shared" si="2031"/>
        <v>0.05</v>
      </c>
      <c r="V297" s="106">
        <f t="shared" si="2032"/>
        <v>0</v>
      </c>
      <c r="W297" s="106">
        <f t="shared" si="2033"/>
        <v>0</v>
      </c>
      <c r="X297" s="107">
        <f t="shared" si="2034"/>
        <v>0</v>
      </c>
      <c r="Y297" s="107">
        <f t="shared" si="2035"/>
        <v>0.4</v>
      </c>
      <c r="Z297" s="107">
        <f t="shared" si="2036"/>
        <v>2.2037999999999998</v>
      </c>
      <c r="AA297" s="107">
        <f t="shared" si="2037"/>
        <v>0</v>
      </c>
      <c r="AB297" s="108">
        <f t="shared" si="2038"/>
        <v>0</v>
      </c>
      <c r="AC297" s="109">
        <f t="shared" si="2039"/>
        <v>0</v>
      </c>
      <c r="AD297" s="109">
        <f t="shared" si="2040"/>
        <v>0</v>
      </c>
      <c r="AE297" s="109">
        <f t="shared" si="2041"/>
        <v>0</v>
      </c>
      <c r="AF297" s="109">
        <f t="shared" si="2042"/>
        <v>0</v>
      </c>
      <c r="AG297" s="109">
        <f t="shared" si="2109"/>
        <v>0</v>
      </c>
      <c r="AH297" s="109">
        <f t="shared" si="2110"/>
        <v>0</v>
      </c>
      <c r="AI297" s="537" t="str">
        <f t="shared" si="2043"/>
        <v>NÃO</v>
      </c>
      <c r="AJ297" s="104">
        <f t="shared" si="2044"/>
        <v>0</v>
      </c>
      <c r="AK297" s="104">
        <f t="shared" si="2045"/>
        <v>0</v>
      </c>
      <c r="AL297" s="104">
        <f t="shared" si="2046"/>
        <v>0</v>
      </c>
      <c r="AM297" s="102">
        <f t="shared" si="2047"/>
        <v>0</v>
      </c>
      <c r="AN297" s="106">
        <f t="shared" si="2048"/>
        <v>0</v>
      </c>
      <c r="AO297" s="104">
        <f t="shared" si="2049"/>
        <v>0</v>
      </c>
      <c r="AP297" s="104">
        <f t="shared" si="2050"/>
        <v>0</v>
      </c>
      <c r="AQ297" s="104">
        <f t="shared" si="2051"/>
        <v>0.7</v>
      </c>
      <c r="AR297" s="104">
        <f t="shared" si="2052"/>
        <v>0</v>
      </c>
      <c r="AS297" s="104">
        <f t="shared" si="2053"/>
        <v>0</v>
      </c>
      <c r="AT297" s="104">
        <f t="shared" si="2054"/>
        <v>0</v>
      </c>
      <c r="AU297" s="104">
        <f t="shared" si="2055"/>
        <v>0</v>
      </c>
      <c r="AV297" s="104">
        <f t="shared" si="2056"/>
        <v>0</v>
      </c>
      <c r="AW297" s="104">
        <f t="shared" si="2057"/>
        <v>0</v>
      </c>
      <c r="AX297" s="104">
        <f t="shared" si="2058"/>
        <v>0</v>
      </c>
      <c r="AY297" s="104">
        <f t="shared" si="2059"/>
        <v>0</v>
      </c>
      <c r="AZ297" s="104">
        <f t="shared" si="2060"/>
        <v>0</v>
      </c>
      <c r="BA297" s="104">
        <f t="shared" si="2111"/>
        <v>0</v>
      </c>
      <c r="BB297" s="104">
        <f t="shared" si="2062"/>
        <v>0</v>
      </c>
      <c r="BC297" s="104"/>
      <c r="BD297" s="104">
        <f t="shared" si="2063"/>
        <v>0</v>
      </c>
      <c r="BE297" s="108">
        <f t="shared" si="2064"/>
        <v>2.2037999999999998</v>
      </c>
      <c r="BF297" s="110">
        <f t="shared" si="2065"/>
        <v>0</v>
      </c>
      <c r="BG297" s="110">
        <f t="shared" si="2066"/>
        <v>4.8099999999999996</v>
      </c>
      <c r="BH297" s="105" t="str">
        <f>VLOOKUP(A297,'BOCA DE LOBO'!$C$229:$I$324,7,0)</f>
        <v>BOCA DE LOBO EXISTENTE DUPLA</v>
      </c>
      <c r="BI297" s="104">
        <f t="shared" si="2067"/>
        <v>0</v>
      </c>
      <c r="BJ297" s="104">
        <f t="shared" si="2068"/>
        <v>0</v>
      </c>
      <c r="BK297" s="104">
        <f t="shared" si="2069"/>
        <v>0</v>
      </c>
      <c r="BL297" s="104">
        <f t="shared" si="2070"/>
        <v>0</v>
      </c>
      <c r="BM297" s="104">
        <f t="shared" si="2071"/>
        <v>0</v>
      </c>
      <c r="BN297" s="104">
        <f t="shared" si="2072"/>
        <v>0</v>
      </c>
      <c r="BO297" s="543">
        <f t="shared" si="2073"/>
        <v>0</v>
      </c>
      <c r="BP297" s="111"/>
      <c r="BQ297" s="108">
        <f t="shared" si="2074"/>
        <v>14.43</v>
      </c>
      <c r="BR297" s="108">
        <f t="shared" si="2075"/>
        <v>11.580555999999996</v>
      </c>
      <c r="BS297" s="108">
        <f t="shared" si="2076"/>
        <v>0</v>
      </c>
      <c r="BV297" s="538">
        <f t="shared" si="2077"/>
        <v>0</v>
      </c>
      <c r="BW297" s="538">
        <f t="shared" si="2078"/>
        <v>0</v>
      </c>
      <c r="BX297" s="538">
        <f t="shared" si="2079"/>
        <v>0</v>
      </c>
      <c r="BY297" s="538">
        <f t="shared" si="2080"/>
        <v>1.9776</v>
      </c>
      <c r="BZ297" s="538">
        <f t="shared" si="2081"/>
        <v>1.9776</v>
      </c>
      <c r="CA297" s="538">
        <f t="shared" si="2082"/>
        <v>0.4</v>
      </c>
      <c r="CB297" s="538">
        <f t="shared" si="2083"/>
        <v>0</v>
      </c>
      <c r="CC297" s="538">
        <f t="shared" si="2084"/>
        <v>0</v>
      </c>
      <c r="CD297" s="538">
        <f t="shared" si="2085"/>
        <v>0</v>
      </c>
      <c r="CE297" s="538">
        <f t="shared" si="2086"/>
        <v>0</v>
      </c>
      <c r="CF297" s="538">
        <f t="shared" si="2087"/>
        <v>0</v>
      </c>
      <c r="CG297" s="538">
        <f t="shared" si="2088"/>
        <v>0</v>
      </c>
      <c r="CH297" s="538">
        <f t="shared" si="2089"/>
        <v>0</v>
      </c>
      <c r="CI297" s="104">
        <f t="shared" si="2090"/>
        <v>0</v>
      </c>
      <c r="CJ297" s="538">
        <f t="shared" si="2091"/>
        <v>0</v>
      </c>
      <c r="CK297" s="538">
        <f t="shared" si="2112"/>
        <v>0</v>
      </c>
      <c r="CL297" s="538">
        <f t="shared" si="2093"/>
        <v>0</v>
      </c>
      <c r="CM297" s="538">
        <f t="shared" si="2094"/>
        <v>0</v>
      </c>
      <c r="CN297" s="538">
        <f t="shared" si="2095"/>
        <v>0</v>
      </c>
      <c r="CO297" s="538">
        <f t="shared" si="2096"/>
        <v>2.4775999999999998</v>
      </c>
      <c r="CP297" s="538">
        <f t="shared" si="2097"/>
        <v>0</v>
      </c>
      <c r="CQ297" s="538">
        <f t="shared" si="2098"/>
        <v>0</v>
      </c>
      <c r="CR297" s="539">
        <f t="shared" si="2099"/>
        <v>0</v>
      </c>
      <c r="CS297" s="540">
        <f t="shared" si="2100"/>
        <v>0</v>
      </c>
      <c r="CT297" s="540">
        <f t="shared" si="2101"/>
        <v>0</v>
      </c>
      <c r="CU297" s="541">
        <f t="shared" si="2102"/>
        <v>0</v>
      </c>
      <c r="CV297" s="538">
        <f t="shared" si="2103"/>
        <v>0</v>
      </c>
      <c r="CW297" s="538">
        <f t="shared" si="2104"/>
        <v>0</v>
      </c>
      <c r="CX297" s="104">
        <f t="shared" si="2105"/>
        <v>0</v>
      </c>
      <c r="CY297" s="542">
        <f t="shared" si="2106"/>
        <v>0</v>
      </c>
      <c r="CZ297" s="538">
        <f t="shared" si="2107"/>
        <v>0</v>
      </c>
    </row>
    <row r="298" spans="1:104" s="112" customFormat="1" ht="25" x14ac:dyDescent="0.25">
      <c r="A298" s="100" t="str">
        <f>'BOCA DE LOBO'!C267</f>
        <v>BL39-&gt;PV5.3</v>
      </c>
      <c r="B298" s="100" t="str">
        <f>'BOCA DE LOBO'!A267</f>
        <v>PV5.3</v>
      </c>
      <c r="C298" s="100" t="str">
        <f>VLOOKUP(A298,'BOCA DE LOBO'!$C$229:$M$324,3,0)</f>
        <v>PROJETADO</v>
      </c>
      <c r="D298" s="100" t="str">
        <f>VLOOKUP(A298,'BOCA DE LOBO'!$C$229:$M$324,10,0)</f>
        <v>PROJETADA</v>
      </c>
      <c r="E298" s="100">
        <f t="shared" si="2025"/>
        <v>1.3963999999999999</v>
      </c>
      <c r="F298" s="100">
        <f>VLOOKUP(A298,'BOCA DE LOBO'!$C$229:$D$324,2,0)</f>
        <v>2.17</v>
      </c>
      <c r="G298" s="100">
        <f>VLOOKUP(A298,'BOCA DE LOBO'!$C$229:$F$324,4,0)</f>
        <v>19.34</v>
      </c>
      <c r="H298" s="101">
        <v>400</v>
      </c>
      <c r="I298" s="102">
        <f t="shared" si="2026"/>
        <v>1.9132</v>
      </c>
      <c r="J298" s="102">
        <f t="shared" si="2027"/>
        <v>1.8500644000000002</v>
      </c>
      <c r="K298" s="103">
        <v>0</v>
      </c>
      <c r="L298" s="104">
        <f t="shared" si="2028"/>
        <v>1</v>
      </c>
      <c r="M298" s="104">
        <f t="shared" si="2029"/>
        <v>1</v>
      </c>
      <c r="N298" s="104">
        <f t="shared" si="2108"/>
        <v>0</v>
      </c>
      <c r="O298" s="104">
        <f t="shared" si="2030"/>
        <v>19.34</v>
      </c>
      <c r="P298" s="105" t="s">
        <v>1999</v>
      </c>
      <c r="Q298" s="468" t="s">
        <v>2092</v>
      </c>
      <c r="R298" s="105">
        <v>1</v>
      </c>
      <c r="S298" s="105">
        <f>VLOOKUP(Q298,Quantitativos!P:R,3,0)</f>
        <v>24.9</v>
      </c>
      <c r="T298" s="105">
        <f>VLOOKUP(Q298,Quantitativos!P:S,4,0)</f>
        <v>5</v>
      </c>
      <c r="U298" s="104">
        <f t="shared" si="2031"/>
        <v>0.05</v>
      </c>
      <c r="V298" s="106">
        <f t="shared" si="2032"/>
        <v>0</v>
      </c>
      <c r="W298" s="106">
        <f t="shared" si="2033"/>
        <v>44.737288000000007</v>
      </c>
      <c r="X298" s="107">
        <f t="shared" si="2034"/>
        <v>0</v>
      </c>
      <c r="Y298" s="107">
        <f t="shared" si="2035"/>
        <v>2.3132000000000001</v>
      </c>
      <c r="Z298" s="107">
        <f t="shared" si="2036"/>
        <v>0</v>
      </c>
      <c r="AA298" s="107">
        <f t="shared" si="2037"/>
        <v>1.9132</v>
      </c>
      <c r="AB298" s="108">
        <f t="shared" si="2038"/>
        <v>19.34</v>
      </c>
      <c r="AC298" s="109">
        <f t="shared" si="2039"/>
        <v>29.009999999999998</v>
      </c>
      <c r="AD298" s="109">
        <f t="shared" si="2040"/>
        <v>15.727288000000003</v>
      </c>
      <c r="AE298" s="109">
        <f t="shared" si="2041"/>
        <v>0</v>
      </c>
      <c r="AF298" s="109">
        <f t="shared" si="2042"/>
        <v>0</v>
      </c>
      <c r="AG298" s="109">
        <f t="shared" si="2109"/>
        <v>0</v>
      </c>
      <c r="AH298" s="109">
        <f t="shared" si="2110"/>
        <v>0</v>
      </c>
      <c r="AI298" s="537" t="str">
        <f t="shared" si="2043"/>
        <v>NÃO</v>
      </c>
      <c r="AJ298" s="104">
        <f t="shared" si="2044"/>
        <v>0</v>
      </c>
      <c r="AK298" s="104">
        <f t="shared" si="2045"/>
        <v>0</v>
      </c>
      <c r="AL298" s="104">
        <f t="shared" si="2046"/>
        <v>42.306951923182936</v>
      </c>
      <c r="AM298" s="102">
        <f t="shared" si="2047"/>
        <v>0.96700000000000008</v>
      </c>
      <c r="AN298" s="106">
        <f t="shared" si="2048"/>
        <v>0</v>
      </c>
      <c r="AO298" s="104">
        <f t="shared" si="2049"/>
        <v>7.7360000000000007</v>
      </c>
      <c r="AP298" s="104">
        <f t="shared" si="2050"/>
        <v>7.7360000000000007</v>
      </c>
      <c r="AQ298" s="104">
        <f t="shared" si="2051"/>
        <v>0.7</v>
      </c>
      <c r="AR298" s="104">
        <f t="shared" si="2052"/>
        <v>11.107663923182933</v>
      </c>
      <c r="AS298" s="104">
        <f t="shared" si="2053"/>
        <v>11.107663923182933</v>
      </c>
      <c r="AT298" s="104">
        <f t="shared" si="2054"/>
        <v>2.9009999999999998</v>
      </c>
      <c r="AU298" s="104">
        <f t="shared" si="2055"/>
        <v>2.9009999999999998</v>
      </c>
      <c r="AV298" s="104">
        <f t="shared" si="2056"/>
        <v>0.58019999999999994</v>
      </c>
      <c r="AW298" s="104">
        <f t="shared" si="2057"/>
        <v>16.694288</v>
      </c>
      <c r="AX298" s="104">
        <f t="shared" si="2058"/>
        <v>-21.744663923182934</v>
      </c>
      <c r="AY298" s="104">
        <f t="shared" si="2059"/>
        <v>-21.744663923182934</v>
      </c>
      <c r="AZ298" s="104">
        <f t="shared" si="2060"/>
        <v>38.438951923182934</v>
      </c>
      <c r="BA298" s="104">
        <f t="shared" si="2111"/>
        <v>6.4215139225808668</v>
      </c>
      <c r="BB298" s="104">
        <f t="shared" si="2062"/>
        <v>32.01743800060207</v>
      </c>
      <c r="BC298" s="104"/>
      <c r="BD298" s="104">
        <f t="shared" si="2063"/>
        <v>0.42548000000000002</v>
      </c>
      <c r="BE298" s="108">
        <f t="shared" si="2064"/>
        <v>1.9132</v>
      </c>
      <c r="BF298" s="110">
        <f t="shared" si="2065"/>
        <v>0</v>
      </c>
      <c r="BG298" s="110">
        <f t="shared" si="2066"/>
        <v>19.34</v>
      </c>
      <c r="BH298" s="105" t="str">
        <f>VLOOKUP(A298,'BOCA DE LOBO'!$C$229:$I$324,7,0)</f>
        <v>BOCA DE LOBO PROJETADA TRIPLA</v>
      </c>
      <c r="BI298" s="104">
        <f t="shared" si="2067"/>
        <v>0</v>
      </c>
      <c r="BJ298" s="104">
        <f t="shared" si="2068"/>
        <v>0</v>
      </c>
      <c r="BK298" s="104">
        <f t="shared" si="2069"/>
        <v>0</v>
      </c>
      <c r="BL298" s="104">
        <f t="shared" si="2070"/>
        <v>0</v>
      </c>
      <c r="BM298" s="104">
        <f t="shared" si="2071"/>
        <v>0</v>
      </c>
      <c r="BN298" s="104">
        <f t="shared" si="2072"/>
        <v>0</v>
      </c>
      <c r="BO298" s="543">
        <f t="shared" si="2073"/>
        <v>1</v>
      </c>
      <c r="BP298" s="111"/>
      <c r="BQ298" s="108">
        <f t="shared" si="2074"/>
        <v>58.019999999999996</v>
      </c>
      <c r="BR298" s="108">
        <f t="shared" si="2075"/>
        <v>35.322575999999991</v>
      </c>
      <c r="BS298" s="108">
        <f t="shared" si="2076"/>
        <v>0</v>
      </c>
      <c r="BV298" s="538">
        <f t="shared" si="2077"/>
        <v>19.678563519999994</v>
      </c>
      <c r="BW298" s="538">
        <f t="shared" si="2078"/>
        <v>10.376799999999998</v>
      </c>
      <c r="BX298" s="538">
        <f t="shared" si="2079"/>
        <v>4.4367999999999999</v>
      </c>
      <c r="BY298" s="538">
        <f t="shared" si="2080"/>
        <v>1.3963999999999999</v>
      </c>
      <c r="BZ298" s="538">
        <f t="shared" si="2081"/>
        <v>0</v>
      </c>
      <c r="CA298" s="538">
        <f t="shared" si="2082"/>
        <v>1.7963999999999998</v>
      </c>
      <c r="CB298" s="538">
        <f t="shared" si="2083"/>
        <v>0</v>
      </c>
      <c r="CC298" s="538">
        <f t="shared" si="2084"/>
        <v>0</v>
      </c>
      <c r="CD298" s="538">
        <f t="shared" si="2085"/>
        <v>0</v>
      </c>
      <c r="CE298" s="538">
        <f t="shared" si="2086"/>
        <v>15.565199999999997</v>
      </c>
      <c r="CF298" s="538">
        <f t="shared" si="2087"/>
        <v>3.075683519999997</v>
      </c>
      <c r="CG298" s="538">
        <f t="shared" si="2088"/>
        <v>1.0376799999999982</v>
      </c>
      <c r="CH298" s="538">
        <f t="shared" si="2089"/>
        <v>0</v>
      </c>
      <c r="CI298" s="104">
        <f t="shared" si="2090"/>
        <v>0.71399999999999997</v>
      </c>
      <c r="CJ298" s="538">
        <f t="shared" si="2091"/>
        <v>9.956615999999995</v>
      </c>
      <c r="CK298" s="538">
        <f t="shared" si="2112"/>
        <v>9.956615999999995</v>
      </c>
      <c r="CL298" s="538">
        <f t="shared" si="2093"/>
        <v>0</v>
      </c>
      <c r="CM298" s="538">
        <f t="shared" si="2094"/>
        <v>0.20753599999999994</v>
      </c>
      <c r="CN298" s="538">
        <f t="shared" si="2095"/>
        <v>4.76</v>
      </c>
      <c r="CO298" s="538">
        <f t="shared" si="2096"/>
        <v>1.8963999999999999</v>
      </c>
      <c r="CP298" s="538">
        <f t="shared" si="2097"/>
        <v>14.28</v>
      </c>
      <c r="CQ298" s="538">
        <f t="shared" si="2098"/>
        <v>3.7737279999999984</v>
      </c>
      <c r="CR298" s="539">
        <f t="shared" si="2099"/>
        <v>0</v>
      </c>
      <c r="CS298" s="540">
        <f t="shared" si="2100"/>
        <v>0</v>
      </c>
      <c r="CT298" s="540">
        <f t="shared" si="2101"/>
        <v>0.45984000000000003</v>
      </c>
      <c r="CU298" s="541">
        <f t="shared" si="2102"/>
        <v>10.054079999999999</v>
      </c>
      <c r="CV298" s="538">
        <f t="shared" si="2103"/>
        <v>1.5154830000000001</v>
      </c>
      <c r="CW298" s="538">
        <f t="shared" si="2104"/>
        <v>19.027239999999999</v>
      </c>
      <c r="CX298" s="104">
        <f t="shared" si="2105"/>
        <v>4.76</v>
      </c>
      <c r="CY298" s="542">
        <f t="shared" si="2106"/>
        <v>2.38</v>
      </c>
      <c r="CZ298" s="538">
        <f t="shared" si="2107"/>
        <v>0</v>
      </c>
    </row>
    <row r="299" spans="1:104" s="112" customFormat="1" ht="25" x14ac:dyDescent="0.25">
      <c r="A299" s="100" t="str">
        <f>'BOCA DE LOBO'!C268</f>
        <v>BL40-&gt;PV7.3</v>
      </c>
      <c r="B299" s="100" t="str">
        <f>'BOCA DE LOBO'!A268</f>
        <v>PV7.3</v>
      </c>
      <c r="C299" s="100" t="str">
        <f>VLOOKUP(A299,'BOCA DE LOBO'!$C$229:$M$324,3,0)</f>
        <v>PROJETADO</v>
      </c>
      <c r="D299" s="100" t="str">
        <f>VLOOKUP(A299,'BOCA DE LOBO'!$C$229:$M$324,10,0)</f>
        <v>EXISTENTE</v>
      </c>
      <c r="E299" s="100">
        <f t="shared" si="2025"/>
        <v>1.9855999999999998</v>
      </c>
      <c r="F299" s="100">
        <f>VLOOKUP(A299,'BOCA DE LOBO'!$C$229:$D$324,2,0)</f>
        <v>2.13</v>
      </c>
      <c r="G299" s="100">
        <f>VLOOKUP(A299,'BOCA DE LOBO'!$C$229:$F$324,4,0)</f>
        <v>3.61</v>
      </c>
      <c r="H299" s="101">
        <v>400</v>
      </c>
      <c r="I299" s="102">
        <f t="shared" si="2026"/>
        <v>2.1877999999999997</v>
      </c>
      <c r="J299" s="102">
        <f t="shared" si="2027"/>
        <v>0</v>
      </c>
      <c r="K299" s="103">
        <v>0</v>
      </c>
      <c r="L299" s="104">
        <f t="shared" si="2028"/>
        <v>0</v>
      </c>
      <c r="M299" s="104">
        <f t="shared" si="2029"/>
        <v>0</v>
      </c>
      <c r="N299" s="104">
        <f t="shared" si="2108"/>
        <v>400</v>
      </c>
      <c r="O299" s="104">
        <f t="shared" si="2030"/>
        <v>0</v>
      </c>
      <c r="P299" s="105" t="s">
        <v>1999</v>
      </c>
      <c r="Q299" s="468" t="s">
        <v>2092</v>
      </c>
      <c r="R299" s="105">
        <v>1</v>
      </c>
      <c r="S299" s="105">
        <f>VLOOKUP(Q299,Quantitativos!P:R,3,0)</f>
        <v>24.9</v>
      </c>
      <c r="T299" s="105">
        <f>VLOOKUP(Q299,Quantitativos!P:S,4,0)</f>
        <v>5</v>
      </c>
      <c r="U299" s="104">
        <f t="shared" si="2031"/>
        <v>0.05</v>
      </c>
      <c r="V299" s="106">
        <f t="shared" si="2032"/>
        <v>0</v>
      </c>
      <c r="W299" s="106">
        <f t="shared" si="2033"/>
        <v>0</v>
      </c>
      <c r="X299" s="107">
        <f t="shared" si="2034"/>
        <v>0</v>
      </c>
      <c r="Y299" s="107">
        <f t="shared" si="2035"/>
        <v>0.4</v>
      </c>
      <c r="Z299" s="107">
        <f t="shared" si="2036"/>
        <v>2.1877999999999997</v>
      </c>
      <c r="AA299" s="107">
        <f t="shared" si="2037"/>
        <v>0</v>
      </c>
      <c r="AB299" s="108">
        <f t="shared" si="2038"/>
        <v>0</v>
      </c>
      <c r="AC299" s="109">
        <f t="shared" si="2039"/>
        <v>0</v>
      </c>
      <c r="AD299" s="109">
        <f t="shared" si="2040"/>
        <v>0</v>
      </c>
      <c r="AE299" s="109">
        <f t="shared" si="2041"/>
        <v>0</v>
      </c>
      <c r="AF299" s="109">
        <f t="shared" si="2042"/>
        <v>0</v>
      </c>
      <c r="AG299" s="109">
        <f t="shared" si="2109"/>
        <v>0</v>
      </c>
      <c r="AH299" s="109">
        <f t="shared" si="2110"/>
        <v>0</v>
      </c>
      <c r="AI299" s="537" t="str">
        <f t="shared" si="2043"/>
        <v>NÃO</v>
      </c>
      <c r="AJ299" s="104">
        <f t="shared" si="2044"/>
        <v>0</v>
      </c>
      <c r="AK299" s="104">
        <f t="shared" si="2045"/>
        <v>0</v>
      </c>
      <c r="AL299" s="104">
        <f t="shared" si="2046"/>
        <v>0</v>
      </c>
      <c r="AM299" s="102">
        <f t="shared" si="2047"/>
        <v>0</v>
      </c>
      <c r="AN299" s="106">
        <f t="shared" si="2048"/>
        <v>0</v>
      </c>
      <c r="AO299" s="104">
        <f t="shared" si="2049"/>
        <v>0</v>
      </c>
      <c r="AP299" s="104">
        <f t="shared" si="2050"/>
        <v>0</v>
      </c>
      <c r="AQ299" s="104">
        <f t="shared" si="2051"/>
        <v>0.7</v>
      </c>
      <c r="AR299" s="104">
        <f t="shared" si="2052"/>
        <v>0</v>
      </c>
      <c r="AS299" s="104">
        <f t="shared" si="2053"/>
        <v>0</v>
      </c>
      <c r="AT299" s="104">
        <f t="shared" si="2054"/>
        <v>0</v>
      </c>
      <c r="AU299" s="104">
        <f t="shared" si="2055"/>
        <v>0</v>
      </c>
      <c r="AV299" s="104">
        <f t="shared" si="2056"/>
        <v>0</v>
      </c>
      <c r="AW299" s="104">
        <f t="shared" si="2057"/>
        <v>0</v>
      </c>
      <c r="AX299" s="104">
        <f t="shared" si="2058"/>
        <v>0</v>
      </c>
      <c r="AY299" s="104">
        <f t="shared" si="2059"/>
        <v>0</v>
      </c>
      <c r="AZ299" s="104">
        <f t="shared" si="2060"/>
        <v>0</v>
      </c>
      <c r="BA299" s="104">
        <f t="shared" si="2111"/>
        <v>0</v>
      </c>
      <c r="BB299" s="104">
        <f t="shared" si="2062"/>
        <v>0</v>
      </c>
      <c r="BC299" s="104"/>
      <c r="BD299" s="104">
        <f t="shared" si="2063"/>
        <v>0</v>
      </c>
      <c r="BE299" s="108">
        <f t="shared" si="2064"/>
        <v>2.1877999999999997</v>
      </c>
      <c r="BF299" s="110">
        <f t="shared" si="2065"/>
        <v>0</v>
      </c>
      <c r="BG299" s="110">
        <f t="shared" si="2066"/>
        <v>3.61</v>
      </c>
      <c r="BH299" s="105" t="str">
        <f>VLOOKUP(A299,'BOCA DE LOBO'!$C$229:$I$324,7,0)</f>
        <v>BOCA DE LOBO EXISTENTE DUPLA</v>
      </c>
      <c r="BI299" s="104">
        <f t="shared" si="2067"/>
        <v>0</v>
      </c>
      <c r="BJ299" s="104">
        <f t="shared" si="2068"/>
        <v>0</v>
      </c>
      <c r="BK299" s="104">
        <f t="shared" si="2069"/>
        <v>0</v>
      </c>
      <c r="BL299" s="104">
        <f t="shared" si="2070"/>
        <v>0</v>
      </c>
      <c r="BM299" s="104">
        <f t="shared" si="2071"/>
        <v>0</v>
      </c>
      <c r="BN299" s="104">
        <f t="shared" si="2072"/>
        <v>0</v>
      </c>
      <c r="BO299" s="543">
        <f t="shared" si="2073"/>
        <v>0</v>
      </c>
      <c r="BP299" s="111"/>
      <c r="BQ299" s="108">
        <f t="shared" si="2074"/>
        <v>10.83</v>
      </c>
      <c r="BR299" s="108">
        <f t="shared" si="2075"/>
        <v>8.5759159999999977</v>
      </c>
      <c r="BS299" s="108">
        <f t="shared" si="2076"/>
        <v>0</v>
      </c>
      <c r="BV299" s="538">
        <f t="shared" si="2077"/>
        <v>0</v>
      </c>
      <c r="BW299" s="538">
        <f t="shared" si="2078"/>
        <v>0</v>
      </c>
      <c r="BX299" s="538">
        <f t="shared" si="2079"/>
        <v>0</v>
      </c>
      <c r="BY299" s="538">
        <f t="shared" si="2080"/>
        <v>1.9855999999999998</v>
      </c>
      <c r="BZ299" s="538">
        <f t="shared" si="2081"/>
        <v>1.9855999999999998</v>
      </c>
      <c r="CA299" s="538">
        <f t="shared" si="2082"/>
        <v>0.4</v>
      </c>
      <c r="CB299" s="538">
        <f t="shared" si="2083"/>
        <v>0</v>
      </c>
      <c r="CC299" s="538">
        <f t="shared" si="2084"/>
        <v>0</v>
      </c>
      <c r="CD299" s="538">
        <f t="shared" si="2085"/>
        <v>0</v>
      </c>
      <c r="CE299" s="538">
        <f t="shared" si="2086"/>
        <v>0</v>
      </c>
      <c r="CF299" s="538">
        <f t="shared" si="2087"/>
        <v>0</v>
      </c>
      <c r="CG299" s="538">
        <f t="shared" si="2088"/>
        <v>0</v>
      </c>
      <c r="CH299" s="538">
        <f t="shared" si="2089"/>
        <v>0</v>
      </c>
      <c r="CI299" s="104">
        <f t="shared" si="2090"/>
        <v>0</v>
      </c>
      <c r="CJ299" s="538">
        <f t="shared" si="2091"/>
        <v>0</v>
      </c>
      <c r="CK299" s="538">
        <f t="shared" si="2112"/>
        <v>0</v>
      </c>
      <c r="CL299" s="538">
        <f t="shared" si="2093"/>
        <v>0</v>
      </c>
      <c r="CM299" s="538">
        <f t="shared" si="2094"/>
        <v>0</v>
      </c>
      <c r="CN299" s="538">
        <f t="shared" si="2095"/>
        <v>0</v>
      </c>
      <c r="CO299" s="538">
        <f t="shared" si="2096"/>
        <v>2.4855999999999998</v>
      </c>
      <c r="CP299" s="538">
        <f t="shared" si="2097"/>
        <v>0</v>
      </c>
      <c r="CQ299" s="538">
        <f t="shared" si="2098"/>
        <v>0</v>
      </c>
      <c r="CR299" s="539">
        <f t="shared" si="2099"/>
        <v>0</v>
      </c>
      <c r="CS299" s="540">
        <f t="shared" si="2100"/>
        <v>0</v>
      </c>
      <c r="CT299" s="540">
        <f t="shared" si="2101"/>
        <v>0</v>
      </c>
      <c r="CU299" s="541">
        <f t="shared" si="2102"/>
        <v>0</v>
      </c>
      <c r="CV299" s="538">
        <f t="shared" si="2103"/>
        <v>0</v>
      </c>
      <c r="CW299" s="538">
        <f t="shared" si="2104"/>
        <v>0</v>
      </c>
      <c r="CX299" s="104">
        <f t="shared" si="2105"/>
        <v>0</v>
      </c>
      <c r="CY299" s="542">
        <f t="shared" si="2106"/>
        <v>0</v>
      </c>
      <c r="CZ299" s="538">
        <f t="shared" si="2107"/>
        <v>0</v>
      </c>
    </row>
    <row r="300" spans="1:104" s="112" customFormat="1" ht="25" x14ac:dyDescent="0.25">
      <c r="A300" s="100" t="str">
        <f>'BOCA DE LOBO'!C269</f>
        <v>BL41-&gt;PV7.3</v>
      </c>
      <c r="B300" s="100" t="str">
        <f>'BOCA DE LOBO'!A269</f>
        <v>PV7.3</v>
      </c>
      <c r="C300" s="100" t="str">
        <f>VLOOKUP(A300,'BOCA DE LOBO'!$C$229:$M$324,3,0)</f>
        <v>PROJETADO</v>
      </c>
      <c r="D300" s="100" t="str">
        <f>VLOOKUP(A300,'BOCA DE LOBO'!$C$229:$M$324,10,0)</f>
        <v>PROJETADA</v>
      </c>
      <c r="E300" s="100">
        <f t="shared" si="2025"/>
        <v>1.8339999999999999</v>
      </c>
      <c r="F300" s="100">
        <f>VLOOKUP(A300,'BOCA DE LOBO'!$C$229:$D$324,2,0)</f>
        <v>2.13</v>
      </c>
      <c r="G300" s="100">
        <f>VLOOKUP(A300,'BOCA DE LOBO'!$C$229:$F$324,4,0)</f>
        <v>7.4</v>
      </c>
      <c r="H300" s="101">
        <v>400</v>
      </c>
      <c r="I300" s="102">
        <f t="shared" si="2026"/>
        <v>2.1119999999999997</v>
      </c>
      <c r="J300" s="102">
        <f t="shared" si="2027"/>
        <v>0.78143999999999991</v>
      </c>
      <c r="K300" s="103">
        <v>0</v>
      </c>
      <c r="L300" s="104">
        <f t="shared" si="2028"/>
        <v>1</v>
      </c>
      <c r="M300" s="104">
        <f t="shared" si="2029"/>
        <v>1</v>
      </c>
      <c r="N300" s="104">
        <f t="shared" si="2108"/>
        <v>0</v>
      </c>
      <c r="O300" s="104">
        <f t="shared" si="2030"/>
        <v>7.4</v>
      </c>
      <c r="P300" s="105" t="s">
        <v>1999</v>
      </c>
      <c r="Q300" s="468" t="s">
        <v>2092</v>
      </c>
      <c r="R300" s="105">
        <v>1</v>
      </c>
      <c r="S300" s="105">
        <f>VLOOKUP(Q300,Quantitativos!P:R,3,0)</f>
        <v>24.9</v>
      </c>
      <c r="T300" s="105">
        <f>VLOOKUP(Q300,Quantitativos!P:S,4,0)</f>
        <v>5</v>
      </c>
      <c r="U300" s="104">
        <f t="shared" si="2031"/>
        <v>0.05</v>
      </c>
      <c r="V300" s="106">
        <f t="shared" si="2032"/>
        <v>0</v>
      </c>
      <c r="W300" s="106">
        <f t="shared" si="2033"/>
        <v>18.588799999999999</v>
      </c>
      <c r="X300" s="107">
        <f t="shared" si="2034"/>
        <v>0</v>
      </c>
      <c r="Y300" s="107">
        <f t="shared" si="2035"/>
        <v>2.5119999999999996</v>
      </c>
      <c r="Z300" s="107">
        <f t="shared" si="2036"/>
        <v>0</v>
      </c>
      <c r="AA300" s="107">
        <f t="shared" si="2037"/>
        <v>2.1119999999999997</v>
      </c>
      <c r="AB300" s="108">
        <f t="shared" si="2038"/>
        <v>7.4</v>
      </c>
      <c r="AC300" s="109">
        <f t="shared" si="2039"/>
        <v>11.100000000000001</v>
      </c>
      <c r="AD300" s="109">
        <f t="shared" si="2040"/>
        <v>7.4887999999999968</v>
      </c>
      <c r="AE300" s="109">
        <f t="shared" si="2041"/>
        <v>0</v>
      </c>
      <c r="AF300" s="109">
        <f t="shared" si="2042"/>
        <v>0</v>
      </c>
      <c r="AG300" s="109">
        <f t="shared" si="2109"/>
        <v>0</v>
      </c>
      <c r="AH300" s="109">
        <f t="shared" si="2110"/>
        <v>0</v>
      </c>
      <c r="AI300" s="537" t="str">
        <f t="shared" si="2043"/>
        <v>NÃO</v>
      </c>
      <c r="AJ300" s="104">
        <f t="shared" si="2044"/>
        <v>0</v>
      </c>
      <c r="AK300" s="104">
        <f t="shared" si="2045"/>
        <v>0</v>
      </c>
      <c r="AL300" s="104">
        <f t="shared" si="2046"/>
        <v>17.658888574537418</v>
      </c>
      <c r="AM300" s="102">
        <f t="shared" si="2047"/>
        <v>0.37000000000000005</v>
      </c>
      <c r="AN300" s="106">
        <f t="shared" si="2048"/>
        <v>0</v>
      </c>
      <c r="AO300" s="104">
        <f t="shared" si="2049"/>
        <v>2.9600000000000004</v>
      </c>
      <c r="AP300" s="104">
        <f t="shared" si="2050"/>
        <v>2.9600000000000004</v>
      </c>
      <c r="AQ300" s="104">
        <f t="shared" si="2051"/>
        <v>0.7</v>
      </c>
      <c r="AR300" s="104">
        <f t="shared" si="2052"/>
        <v>4.2500885745374211</v>
      </c>
      <c r="AS300" s="104">
        <f t="shared" si="2053"/>
        <v>4.2500885745374211</v>
      </c>
      <c r="AT300" s="104">
        <f t="shared" si="2054"/>
        <v>1.1100000000000001</v>
      </c>
      <c r="AU300" s="104">
        <f t="shared" si="2055"/>
        <v>1.1100000000000001</v>
      </c>
      <c r="AV300" s="104">
        <f t="shared" si="2056"/>
        <v>0.222</v>
      </c>
      <c r="AW300" s="104">
        <f t="shared" si="2057"/>
        <v>7.8587999999999978</v>
      </c>
      <c r="AX300" s="104">
        <f t="shared" si="2058"/>
        <v>-8.3200885745374222</v>
      </c>
      <c r="AY300" s="104">
        <f t="shared" si="2059"/>
        <v>-8.3200885745374222</v>
      </c>
      <c r="AZ300" s="104">
        <f t="shared" si="2060"/>
        <v>16.178888574537421</v>
      </c>
      <c r="BA300" s="104">
        <f t="shared" si="2111"/>
        <v>2.7028041357864816</v>
      </c>
      <c r="BB300" s="104">
        <f t="shared" si="2062"/>
        <v>13.47608443875094</v>
      </c>
      <c r="BC300" s="104"/>
      <c r="BD300" s="104">
        <f t="shared" si="2063"/>
        <v>0.16280000000000003</v>
      </c>
      <c r="BE300" s="108">
        <f t="shared" si="2064"/>
        <v>2.1119999999999997</v>
      </c>
      <c r="BF300" s="110">
        <f t="shared" si="2065"/>
        <v>0</v>
      </c>
      <c r="BG300" s="110">
        <f t="shared" si="2066"/>
        <v>7.4</v>
      </c>
      <c r="BH300" s="105" t="str">
        <f>VLOOKUP(A300,'BOCA DE LOBO'!$C$229:$I$324,7,0)</f>
        <v>BOCA DE LOBO PROJETADA DUPLA</v>
      </c>
      <c r="BI300" s="104">
        <f t="shared" si="2067"/>
        <v>0</v>
      </c>
      <c r="BJ300" s="104">
        <f t="shared" si="2068"/>
        <v>0</v>
      </c>
      <c r="BK300" s="104">
        <f t="shared" si="2069"/>
        <v>0</v>
      </c>
      <c r="BL300" s="104">
        <f t="shared" si="2070"/>
        <v>0</v>
      </c>
      <c r="BM300" s="104">
        <f t="shared" si="2071"/>
        <v>0</v>
      </c>
      <c r="BN300" s="104">
        <f t="shared" si="2072"/>
        <v>1</v>
      </c>
      <c r="BO300" s="543">
        <f t="shared" si="2073"/>
        <v>0</v>
      </c>
      <c r="BP300" s="111"/>
      <c r="BQ300" s="108">
        <f t="shared" si="2074"/>
        <v>22.200000000000003</v>
      </c>
      <c r="BR300" s="108">
        <f t="shared" si="2075"/>
        <v>16.457599999999996</v>
      </c>
      <c r="BS300" s="108">
        <f t="shared" si="2076"/>
        <v>0</v>
      </c>
      <c r="BV300" s="538">
        <f t="shared" si="2077"/>
        <v>18.164588399999992</v>
      </c>
      <c r="BW300" s="538">
        <f t="shared" si="2078"/>
        <v>7.7825999999999986</v>
      </c>
      <c r="BX300" s="538">
        <f t="shared" si="2079"/>
        <v>3.0325999999999995</v>
      </c>
      <c r="BY300" s="538">
        <f t="shared" si="2080"/>
        <v>1.8339999999999999</v>
      </c>
      <c r="BZ300" s="538">
        <f t="shared" si="2081"/>
        <v>0</v>
      </c>
      <c r="CA300" s="538">
        <f t="shared" si="2082"/>
        <v>2.234</v>
      </c>
      <c r="CB300" s="538">
        <f t="shared" si="2083"/>
        <v>0</v>
      </c>
      <c r="CC300" s="538">
        <f t="shared" si="2084"/>
        <v>0</v>
      </c>
      <c r="CD300" s="538">
        <f t="shared" si="2085"/>
        <v>0</v>
      </c>
      <c r="CE300" s="538">
        <f t="shared" si="2086"/>
        <v>11.673899999999998</v>
      </c>
      <c r="CF300" s="538">
        <f t="shared" si="2087"/>
        <v>5.7124283999999985</v>
      </c>
      <c r="CG300" s="538">
        <f t="shared" si="2088"/>
        <v>0.77825999999999596</v>
      </c>
      <c r="CH300" s="538">
        <f t="shared" si="2089"/>
        <v>0</v>
      </c>
      <c r="CI300" s="104">
        <f t="shared" si="2090"/>
        <v>0.53549999999999998</v>
      </c>
      <c r="CJ300" s="538">
        <f t="shared" si="2091"/>
        <v>10.075999999999997</v>
      </c>
      <c r="CK300" s="538">
        <f t="shared" si="2112"/>
        <v>10.075999999999997</v>
      </c>
      <c r="CL300" s="538">
        <f t="shared" si="2093"/>
        <v>0</v>
      </c>
      <c r="CM300" s="538">
        <f t="shared" si="2094"/>
        <v>0.15565199999999998</v>
      </c>
      <c r="CN300" s="538">
        <f t="shared" si="2095"/>
        <v>3.57</v>
      </c>
      <c r="CO300" s="538">
        <f t="shared" si="2096"/>
        <v>2.3339999999999996</v>
      </c>
      <c r="CP300" s="538">
        <f t="shared" si="2097"/>
        <v>10.709999999999999</v>
      </c>
      <c r="CQ300" s="538">
        <f t="shared" si="2098"/>
        <v>5.9547599999999967</v>
      </c>
      <c r="CR300" s="539">
        <f t="shared" si="2099"/>
        <v>0</v>
      </c>
      <c r="CS300" s="540">
        <f t="shared" si="2100"/>
        <v>0</v>
      </c>
      <c r="CT300" s="540">
        <f t="shared" si="2101"/>
        <v>0.33012999999999998</v>
      </c>
      <c r="CU300" s="541">
        <f t="shared" si="2102"/>
        <v>9.5367999999999995</v>
      </c>
      <c r="CV300" s="538">
        <f t="shared" si="2103"/>
        <v>1.2351539999999999</v>
      </c>
      <c r="CW300" s="538">
        <f t="shared" si="2104"/>
        <v>18.133319999999998</v>
      </c>
      <c r="CX300" s="104">
        <f t="shared" si="2105"/>
        <v>3.57</v>
      </c>
      <c r="CY300" s="542">
        <f t="shared" si="2106"/>
        <v>1.7849999999999999</v>
      </c>
      <c r="CZ300" s="538">
        <f t="shared" si="2107"/>
        <v>0</v>
      </c>
    </row>
    <row r="301" spans="1:104" s="112" customFormat="1" ht="25" x14ac:dyDescent="0.25">
      <c r="A301" s="100" t="str">
        <f>'BOCA DE LOBO'!C270</f>
        <v>BL42-&gt;PV8.3</v>
      </c>
      <c r="B301" s="100" t="str">
        <f>'BOCA DE LOBO'!A270</f>
        <v>PV8.3</v>
      </c>
      <c r="C301" s="100" t="str">
        <f>VLOOKUP(A301,'BOCA DE LOBO'!$C$229:$M$324,3,0)</f>
        <v>PROJETADO</v>
      </c>
      <c r="D301" s="100" t="str">
        <f>VLOOKUP(A301,'BOCA DE LOBO'!$C$229:$M$324,10,0)</f>
        <v>PROJETADA</v>
      </c>
      <c r="E301" s="100">
        <f t="shared" si="2025"/>
        <v>1.9279999999999997</v>
      </c>
      <c r="F301" s="100">
        <f>VLOOKUP(A301,'BOCA DE LOBO'!$C$229:$D$324,2,0)</f>
        <v>2.2599999999999998</v>
      </c>
      <c r="G301" s="100">
        <f>VLOOKUP(A301,'BOCA DE LOBO'!$C$229:$F$324,4,0)</f>
        <v>8.3000000000000007</v>
      </c>
      <c r="H301" s="101">
        <v>400</v>
      </c>
      <c r="I301" s="102">
        <f t="shared" si="2026"/>
        <v>2.2239999999999998</v>
      </c>
      <c r="J301" s="102">
        <f t="shared" si="2027"/>
        <v>0.92296</v>
      </c>
      <c r="K301" s="103">
        <v>0</v>
      </c>
      <c r="L301" s="104">
        <f t="shared" si="2028"/>
        <v>1</v>
      </c>
      <c r="M301" s="104">
        <f t="shared" si="2029"/>
        <v>1</v>
      </c>
      <c r="N301" s="104">
        <f t="shared" si="2108"/>
        <v>0</v>
      </c>
      <c r="O301" s="104">
        <f t="shared" si="2030"/>
        <v>8.3000000000000007</v>
      </c>
      <c r="P301" s="105" t="s">
        <v>1999</v>
      </c>
      <c r="Q301" s="468" t="s">
        <v>2093</v>
      </c>
      <c r="R301" s="105">
        <v>1</v>
      </c>
      <c r="S301" s="105">
        <f>VLOOKUP(Q301,Quantitativos!P:R,3,0)</f>
        <v>5</v>
      </c>
      <c r="T301" s="105">
        <f>VLOOKUP(Q301,Quantitativos!P:S,4,0)</f>
        <v>5</v>
      </c>
      <c r="U301" s="104">
        <f t="shared" si="2031"/>
        <v>0.05</v>
      </c>
      <c r="V301" s="106">
        <f t="shared" si="2032"/>
        <v>0</v>
      </c>
      <c r="W301" s="106">
        <f t="shared" si="2033"/>
        <v>21.779199999999999</v>
      </c>
      <c r="X301" s="107">
        <f t="shared" si="2034"/>
        <v>0</v>
      </c>
      <c r="Y301" s="107">
        <f t="shared" si="2035"/>
        <v>2.6239999999999997</v>
      </c>
      <c r="Z301" s="107">
        <f t="shared" si="2036"/>
        <v>0</v>
      </c>
      <c r="AA301" s="107">
        <f t="shared" si="2037"/>
        <v>2.2239999999999998</v>
      </c>
      <c r="AB301" s="108">
        <f t="shared" si="2038"/>
        <v>8.3000000000000007</v>
      </c>
      <c r="AC301" s="109">
        <f t="shared" si="2039"/>
        <v>12.450000000000001</v>
      </c>
      <c r="AD301" s="109">
        <f t="shared" si="2040"/>
        <v>9.3291999999999984</v>
      </c>
      <c r="AE301" s="109">
        <f t="shared" si="2041"/>
        <v>0</v>
      </c>
      <c r="AF301" s="109">
        <f t="shared" si="2042"/>
        <v>0</v>
      </c>
      <c r="AG301" s="109">
        <f t="shared" si="2109"/>
        <v>0</v>
      </c>
      <c r="AH301" s="109">
        <f t="shared" si="2110"/>
        <v>0</v>
      </c>
      <c r="AI301" s="537" t="str">
        <f t="shared" si="2043"/>
        <v>NÃO</v>
      </c>
      <c r="AJ301" s="104">
        <f t="shared" si="2044"/>
        <v>0</v>
      </c>
      <c r="AK301" s="104">
        <f t="shared" si="2045"/>
        <v>0</v>
      </c>
      <c r="AL301" s="104">
        <f t="shared" si="2046"/>
        <v>20.736191239008189</v>
      </c>
      <c r="AM301" s="102">
        <f t="shared" si="2047"/>
        <v>0.41500000000000004</v>
      </c>
      <c r="AN301" s="106">
        <f t="shared" si="2048"/>
        <v>0</v>
      </c>
      <c r="AO301" s="104">
        <f t="shared" si="2049"/>
        <v>3.3200000000000003</v>
      </c>
      <c r="AP301" s="104">
        <f t="shared" si="2050"/>
        <v>3.3200000000000003</v>
      </c>
      <c r="AQ301" s="104">
        <f t="shared" si="2051"/>
        <v>0.7</v>
      </c>
      <c r="AR301" s="104">
        <f t="shared" si="2052"/>
        <v>4.7669912390081892</v>
      </c>
      <c r="AS301" s="104">
        <f t="shared" si="2053"/>
        <v>4.7669912390081892</v>
      </c>
      <c r="AT301" s="104">
        <f t="shared" si="2054"/>
        <v>1.2450000000000001</v>
      </c>
      <c r="AU301" s="104">
        <f t="shared" si="2055"/>
        <v>1.2450000000000001</v>
      </c>
      <c r="AV301" s="104">
        <f t="shared" si="2056"/>
        <v>0.249</v>
      </c>
      <c r="AW301" s="104">
        <f t="shared" si="2057"/>
        <v>9.7441999999999993</v>
      </c>
      <c r="AX301" s="104">
        <f t="shared" si="2058"/>
        <v>-9.3319912390081896</v>
      </c>
      <c r="AY301" s="104">
        <f t="shared" si="2059"/>
        <v>-9.3319912390081896</v>
      </c>
      <c r="AZ301" s="104">
        <f t="shared" si="2060"/>
        <v>19.076191239008189</v>
      </c>
      <c r="BA301" s="104">
        <f t="shared" si="2111"/>
        <v>3.1868201785498318</v>
      </c>
      <c r="BB301" s="104">
        <f t="shared" si="2062"/>
        <v>15.889371060458357</v>
      </c>
      <c r="BC301" s="104"/>
      <c r="BD301" s="104">
        <f t="shared" si="2063"/>
        <v>0.18260000000000001</v>
      </c>
      <c r="BE301" s="108">
        <f t="shared" si="2064"/>
        <v>2.2239999999999998</v>
      </c>
      <c r="BF301" s="110">
        <f t="shared" si="2065"/>
        <v>0</v>
      </c>
      <c r="BG301" s="110">
        <f t="shared" si="2066"/>
        <v>8.3000000000000007</v>
      </c>
      <c r="BH301" s="105" t="str">
        <f>VLOOKUP(A301,'BOCA DE LOBO'!$C$229:$I$324,7,0)</f>
        <v>BOCA DE LOBO PROJETADA DUPLA</v>
      </c>
      <c r="BI301" s="104">
        <f t="shared" si="2067"/>
        <v>0</v>
      </c>
      <c r="BJ301" s="104">
        <f t="shared" si="2068"/>
        <v>0</v>
      </c>
      <c r="BK301" s="104">
        <f t="shared" si="2069"/>
        <v>0</v>
      </c>
      <c r="BL301" s="104">
        <f t="shared" si="2070"/>
        <v>0</v>
      </c>
      <c r="BM301" s="104">
        <f t="shared" si="2071"/>
        <v>0</v>
      </c>
      <c r="BN301" s="104">
        <f t="shared" si="2072"/>
        <v>1</v>
      </c>
      <c r="BO301" s="543">
        <f t="shared" si="2073"/>
        <v>0</v>
      </c>
      <c r="BP301" s="111"/>
      <c r="BQ301" s="108">
        <f t="shared" si="2074"/>
        <v>24.900000000000002</v>
      </c>
      <c r="BR301" s="108">
        <f t="shared" si="2075"/>
        <v>20.318399999999997</v>
      </c>
      <c r="BS301" s="108">
        <f t="shared" si="2076"/>
        <v>0</v>
      </c>
      <c r="BV301" s="538">
        <f t="shared" si="2077"/>
        <v>18.896152799999996</v>
      </c>
      <c r="BW301" s="538">
        <f t="shared" si="2078"/>
        <v>7.7825999999999986</v>
      </c>
      <c r="BX301" s="538">
        <f t="shared" si="2079"/>
        <v>3.0325999999999995</v>
      </c>
      <c r="BY301" s="538">
        <f t="shared" si="2080"/>
        <v>1.9279999999999997</v>
      </c>
      <c r="BZ301" s="538">
        <f t="shared" si="2081"/>
        <v>0</v>
      </c>
      <c r="CA301" s="538">
        <f t="shared" si="2082"/>
        <v>2.3279999999999998</v>
      </c>
      <c r="CB301" s="538">
        <f t="shared" si="2083"/>
        <v>0</v>
      </c>
      <c r="CC301" s="538">
        <f t="shared" si="2084"/>
        <v>0</v>
      </c>
      <c r="CD301" s="538">
        <f t="shared" si="2085"/>
        <v>0</v>
      </c>
      <c r="CE301" s="538">
        <f t="shared" si="2086"/>
        <v>11.673899999999998</v>
      </c>
      <c r="CF301" s="538">
        <f t="shared" si="2087"/>
        <v>6.4439927999999975</v>
      </c>
      <c r="CG301" s="538">
        <f t="shared" si="2088"/>
        <v>0.77825999999999951</v>
      </c>
      <c r="CH301" s="538">
        <f t="shared" si="2089"/>
        <v>0</v>
      </c>
      <c r="CI301" s="104">
        <f t="shared" si="2090"/>
        <v>0.53549999999999998</v>
      </c>
      <c r="CJ301" s="538">
        <f t="shared" si="2091"/>
        <v>10.522499999999997</v>
      </c>
      <c r="CK301" s="538">
        <f t="shared" si="2112"/>
        <v>10.522499999999997</v>
      </c>
      <c r="CL301" s="538">
        <f t="shared" si="2093"/>
        <v>0</v>
      </c>
      <c r="CM301" s="538">
        <f t="shared" si="2094"/>
        <v>0.15565199999999998</v>
      </c>
      <c r="CN301" s="538">
        <f t="shared" si="2095"/>
        <v>3.57</v>
      </c>
      <c r="CO301" s="538">
        <f t="shared" si="2096"/>
        <v>2.4279999999999999</v>
      </c>
      <c r="CP301" s="538">
        <f t="shared" si="2097"/>
        <v>10.709999999999999</v>
      </c>
      <c r="CQ301" s="538">
        <f t="shared" si="2098"/>
        <v>6.6259199999999989</v>
      </c>
      <c r="CR301" s="539">
        <f t="shared" si="2099"/>
        <v>0</v>
      </c>
      <c r="CS301" s="540">
        <f t="shared" si="2100"/>
        <v>0</v>
      </c>
      <c r="CT301" s="540">
        <f t="shared" si="2101"/>
        <v>0.33012999999999998</v>
      </c>
      <c r="CU301" s="541">
        <f t="shared" si="2102"/>
        <v>10.025599999999999</v>
      </c>
      <c r="CV301" s="538">
        <f t="shared" si="2103"/>
        <v>1.2639179999999999</v>
      </c>
      <c r="CW301" s="538">
        <f t="shared" si="2104"/>
        <v>18.855239999999995</v>
      </c>
      <c r="CX301" s="104">
        <f t="shared" si="2105"/>
        <v>3.57</v>
      </c>
      <c r="CY301" s="542">
        <f t="shared" si="2106"/>
        <v>1.7849999999999999</v>
      </c>
      <c r="CZ301" s="538">
        <f t="shared" si="2107"/>
        <v>0</v>
      </c>
    </row>
    <row r="302" spans="1:104" s="112" customFormat="1" ht="37.5" x14ac:dyDescent="0.25">
      <c r="A302" s="100" t="str">
        <f>'BOCA DE LOBO'!C271</f>
        <v>BL43-&gt;PV8.3</v>
      </c>
      <c r="B302" s="100" t="str">
        <f>'BOCA DE LOBO'!A271</f>
        <v>PV8.3</v>
      </c>
      <c r="C302" s="100" t="str">
        <f>VLOOKUP(A302,'BOCA DE LOBO'!$C$229:$M$324,3,0)</f>
        <v>PROJETADO</v>
      </c>
      <c r="D302" s="100" t="str">
        <f>VLOOKUP(A302,'BOCA DE LOBO'!$C$229:$M$324,10,0)</f>
        <v>AMPLIADA</v>
      </c>
      <c r="E302" s="100">
        <f t="shared" si="2025"/>
        <v>2.1551999999999998</v>
      </c>
      <c r="F302" s="100">
        <f>VLOOKUP(A302,'BOCA DE LOBO'!$C$229:$D$324,2,0)</f>
        <v>2.2599999999999998</v>
      </c>
      <c r="G302" s="100">
        <f>VLOOKUP(A302,'BOCA DE LOBO'!$C$229:$F$324,4,0)</f>
        <v>2.62</v>
      </c>
      <c r="H302" s="101">
        <v>400</v>
      </c>
      <c r="I302" s="102">
        <f t="shared" si="2026"/>
        <v>2.3375999999999997</v>
      </c>
      <c r="J302" s="102">
        <f t="shared" si="2027"/>
        <v>0</v>
      </c>
      <c r="K302" s="103">
        <v>0</v>
      </c>
      <c r="L302" s="104">
        <f t="shared" si="2028"/>
        <v>0</v>
      </c>
      <c r="M302" s="104">
        <f t="shared" si="2029"/>
        <v>0</v>
      </c>
      <c r="N302" s="104">
        <f t="shared" si="2108"/>
        <v>400</v>
      </c>
      <c r="O302" s="104">
        <f t="shared" si="2030"/>
        <v>0</v>
      </c>
      <c r="P302" s="105" t="s">
        <v>1999</v>
      </c>
      <c r="Q302" s="468" t="s">
        <v>2093</v>
      </c>
      <c r="R302" s="105">
        <v>1</v>
      </c>
      <c r="S302" s="105">
        <f>VLOOKUP(Q302,Quantitativos!P:R,3,0)</f>
        <v>5</v>
      </c>
      <c r="T302" s="105">
        <f>VLOOKUP(Q302,Quantitativos!P:S,4,0)</f>
        <v>5</v>
      </c>
      <c r="U302" s="104">
        <f t="shared" si="2031"/>
        <v>0.05</v>
      </c>
      <c r="V302" s="106">
        <f t="shared" si="2032"/>
        <v>0</v>
      </c>
      <c r="W302" s="106">
        <f t="shared" si="2033"/>
        <v>0</v>
      </c>
      <c r="X302" s="107">
        <f t="shared" si="2034"/>
        <v>0</v>
      </c>
      <c r="Y302" s="107">
        <f t="shared" si="2035"/>
        <v>0.4</v>
      </c>
      <c r="Z302" s="107">
        <f t="shared" si="2036"/>
        <v>2.3375999999999997</v>
      </c>
      <c r="AA302" s="107">
        <f t="shared" si="2037"/>
        <v>0</v>
      </c>
      <c r="AB302" s="108">
        <f t="shared" si="2038"/>
        <v>0</v>
      </c>
      <c r="AC302" s="109">
        <f t="shared" si="2039"/>
        <v>0</v>
      </c>
      <c r="AD302" s="109">
        <f t="shared" si="2040"/>
        <v>0</v>
      </c>
      <c r="AE302" s="109">
        <f t="shared" si="2041"/>
        <v>0</v>
      </c>
      <c r="AF302" s="109">
        <f t="shared" si="2042"/>
        <v>0</v>
      </c>
      <c r="AG302" s="109">
        <f t="shared" si="2109"/>
        <v>0</v>
      </c>
      <c r="AH302" s="109">
        <f t="shared" si="2110"/>
        <v>0</v>
      </c>
      <c r="AI302" s="537" t="str">
        <f t="shared" si="2043"/>
        <v>NÃO</v>
      </c>
      <c r="AJ302" s="104">
        <f t="shared" si="2044"/>
        <v>0</v>
      </c>
      <c r="AK302" s="104">
        <f t="shared" si="2045"/>
        <v>0</v>
      </c>
      <c r="AL302" s="104">
        <f t="shared" si="2046"/>
        <v>0</v>
      </c>
      <c r="AM302" s="102">
        <f t="shared" si="2047"/>
        <v>0</v>
      </c>
      <c r="AN302" s="106">
        <f t="shared" si="2048"/>
        <v>0</v>
      </c>
      <c r="AO302" s="104">
        <f t="shared" si="2049"/>
        <v>0</v>
      </c>
      <c r="AP302" s="104">
        <f t="shared" si="2050"/>
        <v>0</v>
      </c>
      <c r="AQ302" s="104">
        <f t="shared" si="2051"/>
        <v>0.7</v>
      </c>
      <c r="AR302" s="104">
        <f t="shared" si="2052"/>
        <v>0</v>
      </c>
      <c r="AS302" s="104">
        <f t="shared" si="2053"/>
        <v>0</v>
      </c>
      <c r="AT302" s="104">
        <f t="shared" si="2054"/>
        <v>0</v>
      </c>
      <c r="AU302" s="104">
        <f t="shared" si="2055"/>
        <v>0</v>
      </c>
      <c r="AV302" s="104">
        <f t="shared" si="2056"/>
        <v>0</v>
      </c>
      <c r="AW302" s="104">
        <f t="shared" si="2057"/>
        <v>0</v>
      </c>
      <c r="AX302" s="104">
        <f t="shared" si="2058"/>
        <v>0</v>
      </c>
      <c r="AY302" s="104">
        <f t="shared" si="2059"/>
        <v>0</v>
      </c>
      <c r="AZ302" s="104">
        <f t="shared" si="2060"/>
        <v>0</v>
      </c>
      <c r="BA302" s="104">
        <f t="shared" si="2111"/>
        <v>0</v>
      </c>
      <c r="BB302" s="104">
        <f t="shared" si="2062"/>
        <v>0</v>
      </c>
      <c r="BC302" s="104"/>
      <c r="BD302" s="104">
        <f t="shared" si="2063"/>
        <v>0</v>
      </c>
      <c r="BE302" s="108">
        <f t="shared" si="2064"/>
        <v>2.3375999999999997</v>
      </c>
      <c r="BF302" s="110">
        <f t="shared" si="2065"/>
        <v>0</v>
      </c>
      <c r="BG302" s="110">
        <f t="shared" si="2066"/>
        <v>2.62</v>
      </c>
      <c r="BH302" s="105" t="str">
        <f>VLOOKUP(A302,'BOCA DE LOBO'!$C$229:$I$324,7,0)</f>
        <v>BOCA DE LOBO SIMPLES EXISTENTE COM BOCA DE LOBO SIMPLES PROJETADA</v>
      </c>
      <c r="BI302" s="104">
        <f t="shared" si="2067"/>
        <v>0</v>
      </c>
      <c r="BJ302" s="104">
        <f t="shared" si="2068"/>
        <v>1</v>
      </c>
      <c r="BK302" s="104">
        <f t="shared" si="2069"/>
        <v>0</v>
      </c>
      <c r="BL302" s="104">
        <f t="shared" si="2070"/>
        <v>0</v>
      </c>
      <c r="BM302" s="104">
        <f t="shared" si="2071"/>
        <v>0</v>
      </c>
      <c r="BN302" s="104">
        <f t="shared" si="2072"/>
        <v>0</v>
      </c>
      <c r="BO302" s="543">
        <f t="shared" si="2073"/>
        <v>0</v>
      </c>
      <c r="BP302" s="111"/>
      <c r="BQ302" s="108">
        <f t="shared" si="2074"/>
        <v>7.86</v>
      </c>
      <c r="BR302" s="108">
        <f t="shared" si="2075"/>
        <v>7.0090239999999984</v>
      </c>
      <c r="BS302" s="108">
        <f t="shared" si="2076"/>
        <v>0</v>
      </c>
      <c r="BV302" s="538">
        <f t="shared" si="2077"/>
        <v>9.7244044799999969</v>
      </c>
      <c r="BW302" s="538">
        <f t="shared" si="2078"/>
        <v>3.6623999999999994</v>
      </c>
      <c r="BX302" s="538">
        <f t="shared" si="2079"/>
        <v>1.3923999999999999</v>
      </c>
      <c r="BY302" s="538">
        <f t="shared" si="2080"/>
        <v>2.1551999999999998</v>
      </c>
      <c r="BZ302" s="538">
        <f t="shared" si="2081"/>
        <v>2.1551999999999998</v>
      </c>
      <c r="CA302" s="538">
        <f t="shared" si="2082"/>
        <v>0.4</v>
      </c>
      <c r="CB302" s="538">
        <f t="shared" si="2083"/>
        <v>0</v>
      </c>
      <c r="CC302" s="538">
        <f t="shared" si="2084"/>
        <v>5.4935999999999989</v>
      </c>
      <c r="CD302" s="538">
        <f t="shared" si="2085"/>
        <v>2.3996044799999989</v>
      </c>
      <c r="CE302" s="538">
        <f t="shared" si="2086"/>
        <v>0</v>
      </c>
      <c r="CF302" s="538">
        <f t="shared" si="2087"/>
        <v>1.4649599999999998</v>
      </c>
      <c r="CG302" s="538">
        <f t="shared" si="2088"/>
        <v>0.36623999999999945</v>
      </c>
      <c r="CH302" s="538">
        <f t="shared" si="2089"/>
        <v>0</v>
      </c>
      <c r="CI302" s="104">
        <f t="shared" si="2090"/>
        <v>0.252</v>
      </c>
      <c r="CJ302" s="538">
        <f t="shared" si="2091"/>
        <v>5.5483039999999981</v>
      </c>
      <c r="CK302" s="538">
        <f t="shared" si="2112"/>
        <v>5.5483039999999981</v>
      </c>
      <c r="CL302" s="538">
        <f t="shared" si="2093"/>
        <v>0</v>
      </c>
      <c r="CM302" s="538">
        <f t="shared" si="2094"/>
        <v>7.3247999999999994E-2</v>
      </c>
      <c r="CN302" s="538">
        <f t="shared" si="2095"/>
        <v>1.68</v>
      </c>
      <c r="CO302" s="538">
        <f t="shared" si="2096"/>
        <v>2.6551999999999998</v>
      </c>
      <c r="CP302" s="538">
        <f t="shared" si="2097"/>
        <v>5.04</v>
      </c>
      <c r="CQ302" s="538">
        <f t="shared" si="2098"/>
        <v>3.8814719999999991</v>
      </c>
      <c r="CR302" s="539">
        <f t="shared" si="2099"/>
        <v>0.91035999999999995</v>
      </c>
      <c r="CS302" s="540">
        <f t="shared" si="2100"/>
        <v>4.3966079999999998E-2</v>
      </c>
      <c r="CT302" s="540">
        <f t="shared" si="2101"/>
        <v>0.15421000000000001</v>
      </c>
      <c r="CU302" s="541">
        <f t="shared" si="2102"/>
        <v>5.6035199999999996</v>
      </c>
      <c r="CV302" s="538">
        <f t="shared" si="2103"/>
        <v>0.83170079999999991</v>
      </c>
      <c r="CW302" s="538">
        <f t="shared" si="2104"/>
        <v>13.999223999999998</v>
      </c>
      <c r="CX302" s="104">
        <f t="shared" si="2105"/>
        <v>1.68</v>
      </c>
      <c r="CY302" s="542">
        <f t="shared" si="2106"/>
        <v>0.84</v>
      </c>
      <c r="CZ302" s="538">
        <f t="shared" si="2107"/>
        <v>0</v>
      </c>
    </row>
    <row r="303" spans="1:104" s="112" customFormat="1" ht="25" x14ac:dyDescent="0.25">
      <c r="A303" s="100" t="str">
        <f>'BOCA DE LOBO'!C272</f>
        <v>BL44-&gt;PV9.3</v>
      </c>
      <c r="B303" s="100" t="str">
        <f>'BOCA DE LOBO'!A272</f>
        <v>PV9.3</v>
      </c>
      <c r="C303" s="100" t="str">
        <f>VLOOKUP(A303,'BOCA DE LOBO'!$C$229:$M$324,3,0)</f>
        <v>PROJETADO</v>
      </c>
      <c r="D303" s="100" t="str">
        <f>VLOOKUP(A303,'BOCA DE LOBO'!$C$229:$M$324,10,0)</f>
        <v>PROJETADA</v>
      </c>
      <c r="E303" s="100">
        <f t="shared" si="2025"/>
        <v>1.8488000000000002</v>
      </c>
      <c r="F303" s="100">
        <f>VLOOKUP(A303,'BOCA DE LOBO'!$C$229:$D$324,2,0)</f>
        <v>2.1800000000000002</v>
      </c>
      <c r="G303" s="100">
        <f>VLOOKUP(A303,'BOCA DE LOBO'!$C$229:$F$324,4,0)</f>
        <v>8.2799999999999994</v>
      </c>
      <c r="H303" s="101">
        <v>400</v>
      </c>
      <c r="I303" s="102">
        <f t="shared" si="2026"/>
        <v>2.1444000000000001</v>
      </c>
      <c r="J303" s="102">
        <f t="shared" si="2027"/>
        <v>0.88778159999999995</v>
      </c>
      <c r="K303" s="103">
        <v>0</v>
      </c>
      <c r="L303" s="104">
        <f t="shared" si="2028"/>
        <v>1</v>
      </c>
      <c r="M303" s="104">
        <f t="shared" si="2029"/>
        <v>1</v>
      </c>
      <c r="N303" s="104">
        <f t="shared" si="2108"/>
        <v>0</v>
      </c>
      <c r="O303" s="104">
        <f t="shared" si="2030"/>
        <v>8.2799999999999994</v>
      </c>
      <c r="P303" s="105" t="s">
        <v>1999</v>
      </c>
      <c r="Q303" s="468" t="s">
        <v>2093</v>
      </c>
      <c r="R303" s="105"/>
      <c r="S303" s="105">
        <f>VLOOKUP(Q303,Quantitativos!P:R,3,0)</f>
        <v>5</v>
      </c>
      <c r="T303" s="105">
        <f>VLOOKUP(Q303,Quantitativos!P:S,4,0)</f>
        <v>5</v>
      </c>
      <c r="U303" s="104">
        <f t="shared" si="2031"/>
        <v>0.05</v>
      </c>
      <c r="V303" s="106">
        <f t="shared" si="2032"/>
        <v>0</v>
      </c>
      <c r="W303" s="106">
        <f t="shared" si="2033"/>
        <v>17.755631999999999</v>
      </c>
      <c r="X303" s="107">
        <f t="shared" si="2034"/>
        <v>0</v>
      </c>
      <c r="Y303" s="107">
        <f t="shared" si="2035"/>
        <v>0</v>
      </c>
      <c r="Z303" s="107">
        <f t="shared" si="2036"/>
        <v>2.1444000000000001</v>
      </c>
      <c r="AA303" s="107">
        <f t="shared" si="2037"/>
        <v>0</v>
      </c>
      <c r="AB303" s="108">
        <f t="shared" si="2038"/>
        <v>8.2799999999999994</v>
      </c>
      <c r="AC303" s="109">
        <f t="shared" si="2039"/>
        <v>0</v>
      </c>
      <c r="AD303" s="109">
        <f t="shared" si="2040"/>
        <v>0</v>
      </c>
      <c r="AE303" s="109">
        <f t="shared" si="2041"/>
        <v>0</v>
      </c>
      <c r="AF303" s="109">
        <f t="shared" si="2042"/>
        <v>12.419999999999998</v>
      </c>
      <c r="AG303" s="109">
        <f t="shared" si="2109"/>
        <v>5.3356320000000004</v>
      </c>
      <c r="AH303" s="109">
        <f t="shared" si="2110"/>
        <v>0</v>
      </c>
      <c r="AI303" s="537" t="str">
        <f t="shared" si="2043"/>
        <v>NÃO</v>
      </c>
      <c r="AJ303" s="104">
        <f t="shared" si="2044"/>
        <v>0</v>
      </c>
      <c r="AK303" s="104">
        <f t="shared" si="2045"/>
        <v>0</v>
      </c>
      <c r="AL303" s="104">
        <f t="shared" si="2046"/>
        <v>16.715136513131061</v>
      </c>
      <c r="AM303" s="102">
        <f t="shared" si="2047"/>
        <v>0.41399999999999998</v>
      </c>
      <c r="AN303" s="106">
        <f t="shared" si="2048"/>
        <v>0</v>
      </c>
      <c r="AO303" s="104">
        <f t="shared" si="2049"/>
        <v>0</v>
      </c>
      <c r="AP303" s="104">
        <f t="shared" si="2050"/>
        <v>0</v>
      </c>
      <c r="AQ303" s="104">
        <f t="shared" si="2051"/>
        <v>0.7</v>
      </c>
      <c r="AR303" s="104">
        <f t="shared" si="2052"/>
        <v>4.7555045131310596</v>
      </c>
      <c r="AS303" s="104">
        <f t="shared" si="2053"/>
        <v>0</v>
      </c>
      <c r="AT303" s="104">
        <f t="shared" si="2054"/>
        <v>1.2419999999999998</v>
      </c>
      <c r="AU303" s="104">
        <f t="shared" si="2055"/>
        <v>1.2419999999999998</v>
      </c>
      <c r="AV303" s="104">
        <f t="shared" si="2056"/>
        <v>0.24839999999999998</v>
      </c>
      <c r="AW303" s="104">
        <f t="shared" si="2057"/>
        <v>9.0616320000000012</v>
      </c>
      <c r="AX303" s="104">
        <f t="shared" si="2058"/>
        <v>11.758127486868938</v>
      </c>
      <c r="AY303" s="104">
        <f t="shared" si="2059"/>
        <v>9.0616320000000012</v>
      </c>
      <c r="AZ303" s="104">
        <f t="shared" si="2060"/>
        <v>0</v>
      </c>
      <c r="BA303" s="104">
        <f t="shared" si="2111"/>
        <v>0</v>
      </c>
      <c r="BB303" s="104">
        <f t="shared" si="2062"/>
        <v>0</v>
      </c>
      <c r="BC303" s="104"/>
      <c r="BD303" s="104">
        <f t="shared" si="2063"/>
        <v>0</v>
      </c>
      <c r="BE303" s="108">
        <f t="shared" si="2064"/>
        <v>2.1444000000000001</v>
      </c>
      <c r="BF303" s="110">
        <f t="shared" si="2065"/>
        <v>0</v>
      </c>
      <c r="BG303" s="110">
        <f t="shared" si="2066"/>
        <v>8.2799999999999994</v>
      </c>
      <c r="BH303" s="105" t="str">
        <f>VLOOKUP(A303,'BOCA DE LOBO'!$C$229:$I$324,7,0)</f>
        <v>BOCA DE LOBO PROJETADA DUPLA</v>
      </c>
      <c r="BI303" s="104">
        <f t="shared" si="2067"/>
        <v>0</v>
      </c>
      <c r="BJ303" s="104">
        <f t="shared" si="2068"/>
        <v>0</v>
      </c>
      <c r="BK303" s="104">
        <f t="shared" si="2069"/>
        <v>0</v>
      </c>
      <c r="BL303" s="104">
        <f t="shared" si="2070"/>
        <v>0</v>
      </c>
      <c r="BM303" s="104">
        <f t="shared" si="2071"/>
        <v>0</v>
      </c>
      <c r="BN303" s="104">
        <f t="shared" si="2072"/>
        <v>1</v>
      </c>
      <c r="BO303" s="543">
        <f t="shared" si="2073"/>
        <v>0</v>
      </c>
      <c r="BP303" s="111"/>
      <c r="BQ303" s="108">
        <f t="shared" si="2074"/>
        <v>24.839999999999996</v>
      </c>
      <c r="BR303" s="108">
        <f t="shared" si="2075"/>
        <v>10.671264000000001</v>
      </c>
      <c r="BS303" s="108">
        <f t="shared" si="2076"/>
        <v>0</v>
      </c>
      <c r="BV303" s="538">
        <f t="shared" si="2077"/>
        <v>14.38847088</v>
      </c>
      <c r="BW303" s="538">
        <f t="shared" si="2078"/>
        <v>7.7825999999999986</v>
      </c>
      <c r="BX303" s="538">
        <f t="shared" si="2079"/>
        <v>3.0325999999999995</v>
      </c>
      <c r="BY303" s="538">
        <f t="shared" si="2080"/>
        <v>1.8488000000000002</v>
      </c>
      <c r="BZ303" s="538">
        <f t="shared" si="2081"/>
        <v>1.8488000000000002</v>
      </c>
      <c r="CA303" s="538">
        <f t="shared" si="2082"/>
        <v>0</v>
      </c>
      <c r="CB303" s="538">
        <f t="shared" si="2083"/>
        <v>0</v>
      </c>
      <c r="CC303" s="538">
        <f t="shared" si="2084"/>
        <v>11.673899999999998</v>
      </c>
      <c r="CD303" s="538">
        <f t="shared" si="2085"/>
        <v>2.7145708800000015</v>
      </c>
      <c r="CE303" s="538">
        <f t="shared" si="2086"/>
        <v>0</v>
      </c>
      <c r="CF303" s="538">
        <f t="shared" si="2087"/>
        <v>0</v>
      </c>
      <c r="CG303" s="538">
        <f t="shared" si="2088"/>
        <v>0</v>
      </c>
      <c r="CH303" s="538">
        <f t="shared" si="2089"/>
        <v>0</v>
      </c>
      <c r="CI303" s="104">
        <f t="shared" si="2090"/>
        <v>0.53549999999999998</v>
      </c>
      <c r="CJ303" s="538">
        <f t="shared" si="2091"/>
        <v>8.246299999999998</v>
      </c>
      <c r="CK303" s="538">
        <f t="shared" si="2112"/>
        <v>8.246299999999998</v>
      </c>
      <c r="CL303" s="538">
        <f t="shared" si="2093"/>
        <v>0</v>
      </c>
      <c r="CM303" s="538">
        <f t="shared" si="2094"/>
        <v>0</v>
      </c>
      <c r="CN303" s="538">
        <f t="shared" si="2095"/>
        <v>3.57</v>
      </c>
      <c r="CO303" s="538">
        <f t="shared" si="2096"/>
        <v>1.8488000000000002</v>
      </c>
      <c r="CP303" s="538">
        <f t="shared" si="2097"/>
        <v>10.709999999999999</v>
      </c>
      <c r="CQ303" s="538">
        <f t="shared" si="2098"/>
        <v>2.4904320000000015</v>
      </c>
      <c r="CR303" s="539">
        <f t="shared" si="2099"/>
        <v>0</v>
      </c>
      <c r="CS303" s="540">
        <f t="shared" si="2100"/>
        <v>0</v>
      </c>
      <c r="CT303" s="540">
        <f t="shared" si="2101"/>
        <v>0.33012999999999998</v>
      </c>
      <c r="CU303" s="541">
        <f t="shared" si="2102"/>
        <v>9.613760000000001</v>
      </c>
      <c r="CV303" s="538">
        <f t="shared" si="2103"/>
        <v>1.2396828</v>
      </c>
      <c r="CW303" s="538">
        <f t="shared" si="2104"/>
        <v>18.246984000000001</v>
      </c>
      <c r="CX303" s="104">
        <f t="shared" si="2105"/>
        <v>3.57</v>
      </c>
      <c r="CY303" s="542">
        <f t="shared" si="2106"/>
        <v>1.7849999999999999</v>
      </c>
      <c r="CZ303" s="538">
        <f t="shared" si="2107"/>
        <v>0</v>
      </c>
    </row>
    <row r="304" spans="1:104" s="112" customFormat="1" ht="37.5" x14ac:dyDescent="0.25">
      <c r="A304" s="100" t="str">
        <f>'BOCA DE LOBO'!C273</f>
        <v>BL45-&gt;PV9.3</v>
      </c>
      <c r="B304" s="100" t="str">
        <f>'BOCA DE LOBO'!A273</f>
        <v>PV9.3</v>
      </c>
      <c r="C304" s="100" t="str">
        <f>VLOOKUP(A304,'BOCA DE LOBO'!$C$229:$M$324,3,0)</f>
        <v>PROJETADO</v>
      </c>
      <c r="D304" s="100" t="str">
        <f>VLOOKUP(A304,'BOCA DE LOBO'!$C$229:$M$324,10,0)</f>
        <v>AMPLIADA</v>
      </c>
      <c r="E304" s="100">
        <f t="shared" si="2025"/>
        <v>2.0824000000000003</v>
      </c>
      <c r="F304" s="100">
        <f>VLOOKUP(A304,'BOCA DE LOBO'!$C$229:$D$324,2,0)</f>
        <v>2.1800000000000002</v>
      </c>
      <c r="G304" s="100">
        <f>VLOOKUP(A304,'BOCA DE LOBO'!$C$229:$F$324,4,0)</f>
        <v>2.44</v>
      </c>
      <c r="H304" s="101">
        <v>400</v>
      </c>
      <c r="I304" s="102">
        <f t="shared" si="2026"/>
        <v>2.2612000000000001</v>
      </c>
      <c r="J304" s="102">
        <f t="shared" si="2027"/>
        <v>0</v>
      </c>
      <c r="K304" s="103">
        <v>0</v>
      </c>
      <c r="L304" s="104">
        <f t="shared" si="2028"/>
        <v>0</v>
      </c>
      <c r="M304" s="104">
        <f t="shared" si="2029"/>
        <v>0</v>
      </c>
      <c r="N304" s="104">
        <f t="shared" si="2108"/>
        <v>400</v>
      </c>
      <c r="O304" s="104">
        <f t="shared" si="2030"/>
        <v>0</v>
      </c>
      <c r="P304" s="105" t="s">
        <v>1999</v>
      </c>
      <c r="Q304" s="468" t="s">
        <v>2093</v>
      </c>
      <c r="R304" s="105"/>
      <c r="S304" s="105">
        <f>VLOOKUP(Q304,Quantitativos!P:R,3,0)</f>
        <v>5</v>
      </c>
      <c r="T304" s="105">
        <f>VLOOKUP(Q304,Quantitativos!P:S,4,0)</f>
        <v>5</v>
      </c>
      <c r="U304" s="104">
        <f t="shared" si="2031"/>
        <v>0.05</v>
      </c>
      <c r="V304" s="106">
        <f t="shared" si="2032"/>
        <v>0</v>
      </c>
      <c r="W304" s="106">
        <f t="shared" si="2033"/>
        <v>0</v>
      </c>
      <c r="X304" s="107">
        <f t="shared" si="2034"/>
        <v>0</v>
      </c>
      <c r="Y304" s="107">
        <f t="shared" si="2035"/>
        <v>0</v>
      </c>
      <c r="Z304" s="107">
        <f t="shared" si="2036"/>
        <v>2.2612000000000001</v>
      </c>
      <c r="AA304" s="107">
        <f t="shared" si="2037"/>
        <v>0</v>
      </c>
      <c r="AB304" s="108">
        <f t="shared" si="2038"/>
        <v>0</v>
      </c>
      <c r="AC304" s="109">
        <f t="shared" si="2039"/>
        <v>0</v>
      </c>
      <c r="AD304" s="109">
        <f t="shared" si="2040"/>
        <v>0</v>
      </c>
      <c r="AE304" s="109">
        <f t="shared" si="2041"/>
        <v>0</v>
      </c>
      <c r="AF304" s="109">
        <f t="shared" si="2042"/>
        <v>0</v>
      </c>
      <c r="AG304" s="109">
        <f t="shared" si="2109"/>
        <v>0</v>
      </c>
      <c r="AH304" s="109">
        <f t="shared" si="2110"/>
        <v>0</v>
      </c>
      <c r="AI304" s="537" t="str">
        <f t="shared" si="2043"/>
        <v>NÃO</v>
      </c>
      <c r="AJ304" s="104">
        <f t="shared" si="2044"/>
        <v>0</v>
      </c>
      <c r="AK304" s="104">
        <f t="shared" si="2045"/>
        <v>0</v>
      </c>
      <c r="AL304" s="104">
        <f t="shared" si="2046"/>
        <v>0</v>
      </c>
      <c r="AM304" s="102">
        <f t="shared" si="2047"/>
        <v>0</v>
      </c>
      <c r="AN304" s="106">
        <f t="shared" si="2048"/>
        <v>0</v>
      </c>
      <c r="AO304" s="104">
        <f t="shared" si="2049"/>
        <v>0</v>
      </c>
      <c r="AP304" s="104">
        <f t="shared" si="2050"/>
        <v>0</v>
      </c>
      <c r="AQ304" s="104">
        <f t="shared" si="2051"/>
        <v>0.7</v>
      </c>
      <c r="AR304" s="104">
        <f t="shared" si="2052"/>
        <v>0</v>
      </c>
      <c r="AS304" s="104">
        <f t="shared" si="2053"/>
        <v>0</v>
      </c>
      <c r="AT304" s="104">
        <f t="shared" si="2054"/>
        <v>0</v>
      </c>
      <c r="AU304" s="104">
        <f t="shared" si="2055"/>
        <v>0</v>
      </c>
      <c r="AV304" s="104">
        <f t="shared" si="2056"/>
        <v>0</v>
      </c>
      <c r="AW304" s="104">
        <f t="shared" si="2057"/>
        <v>0</v>
      </c>
      <c r="AX304" s="104">
        <f t="shared" si="2058"/>
        <v>0</v>
      </c>
      <c r="AY304" s="104">
        <f t="shared" si="2059"/>
        <v>0</v>
      </c>
      <c r="AZ304" s="104">
        <f t="shared" si="2060"/>
        <v>0</v>
      </c>
      <c r="BA304" s="104">
        <f t="shared" si="2111"/>
        <v>0</v>
      </c>
      <c r="BB304" s="104">
        <f t="shared" si="2062"/>
        <v>0</v>
      </c>
      <c r="BC304" s="104"/>
      <c r="BD304" s="104">
        <f t="shared" si="2063"/>
        <v>0</v>
      </c>
      <c r="BE304" s="108">
        <f t="shared" si="2064"/>
        <v>2.2612000000000001</v>
      </c>
      <c r="BF304" s="110">
        <f t="shared" si="2065"/>
        <v>0</v>
      </c>
      <c r="BG304" s="110">
        <f t="shared" si="2066"/>
        <v>2.44</v>
      </c>
      <c r="BH304" s="105" t="str">
        <f>VLOOKUP(A304,'BOCA DE LOBO'!$C$229:$I$324,7,0)</f>
        <v>BOCA DE LOBO SIMPLES EXISTENTE COM BOCA DE LOBO SIMPLES PROJETADA</v>
      </c>
      <c r="BI304" s="104">
        <f t="shared" si="2067"/>
        <v>0</v>
      </c>
      <c r="BJ304" s="104">
        <f t="shared" si="2068"/>
        <v>1</v>
      </c>
      <c r="BK304" s="104">
        <f t="shared" si="2069"/>
        <v>0</v>
      </c>
      <c r="BL304" s="104">
        <f t="shared" si="2070"/>
        <v>0</v>
      </c>
      <c r="BM304" s="104">
        <f t="shared" si="2071"/>
        <v>0</v>
      </c>
      <c r="BN304" s="104">
        <f t="shared" si="2072"/>
        <v>0</v>
      </c>
      <c r="BO304" s="543">
        <f t="shared" si="2073"/>
        <v>0</v>
      </c>
      <c r="BP304" s="111"/>
      <c r="BQ304" s="108">
        <f t="shared" si="2074"/>
        <v>7.32</v>
      </c>
      <c r="BR304" s="108">
        <f t="shared" si="2075"/>
        <v>3.7146560000000002</v>
      </c>
      <c r="BS304" s="108">
        <f t="shared" si="2076"/>
        <v>0</v>
      </c>
      <c r="BV304" s="538">
        <f t="shared" si="2077"/>
        <v>7.6265817599999997</v>
      </c>
      <c r="BW304" s="538">
        <f t="shared" si="2078"/>
        <v>3.6623999999999994</v>
      </c>
      <c r="BX304" s="538">
        <f t="shared" si="2079"/>
        <v>1.3923999999999999</v>
      </c>
      <c r="BY304" s="538">
        <f t="shared" si="2080"/>
        <v>2.0824000000000003</v>
      </c>
      <c r="BZ304" s="538">
        <f t="shared" si="2081"/>
        <v>2.0824000000000003</v>
      </c>
      <c r="CA304" s="538">
        <f t="shared" si="2082"/>
        <v>0</v>
      </c>
      <c r="CB304" s="538">
        <f t="shared" si="2083"/>
        <v>0</v>
      </c>
      <c r="CC304" s="538">
        <f t="shared" si="2084"/>
        <v>5.4935999999999989</v>
      </c>
      <c r="CD304" s="538">
        <f t="shared" si="2085"/>
        <v>2.1329817600000007</v>
      </c>
      <c r="CE304" s="538">
        <f t="shared" si="2086"/>
        <v>0</v>
      </c>
      <c r="CF304" s="538">
        <f t="shared" si="2087"/>
        <v>0</v>
      </c>
      <c r="CG304" s="538">
        <f t="shared" si="2088"/>
        <v>0</v>
      </c>
      <c r="CH304" s="538">
        <f t="shared" si="2089"/>
        <v>0</v>
      </c>
      <c r="CI304" s="104">
        <f t="shared" si="2090"/>
        <v>0.252</v>
      </c>
      <c r="CJ304" s="538">
        <f t="shared" si="2091"/>
        <v>4.4750480000000001</v>
      </c>
      <c r="CK304" s="538">
        <f t="shared" si="2112"/>
        <v>4.4750480000000001</v>
      </c>
      <c r="CL304" s="538">
        <f t="shared" si="2093"/>
        <v>0</v>
      </c>
      <c r="CM304" s="538">
        <f t="shared" si="2094"/>
        <v>0</v>
      </c>
      <c r="CN304" s="538">
        <f t="shared" si="2095"/>
        <v>1.68</v>
      </c>
      <c r="CO304" s="538">
        <f t="shared" si="2096"/>
        <v>2.0824000000000003</v>
      </c>
      <c r="CP304" s="538">
        <f t="shared" si="2097"/>
        <v>5.04</v>
      </c>
      <c r="CQ304" s="538">
        <f t="shared" si="2098"/>
        <v>1.9568640000000008</v>
      </c>
      <c r="CR304" s="539">
        <f t="shared" si="2099"/>
        <v>0.8703200000000002</v>
      </c>
      <c r="CS304" s="540">
        <f t="shared" si="2100"/>
        <v>4.2480960000000005E-2</v>
      </c>
      <c r="CT304" s="540">
        <f t="shared" si="2101"/>
        <v>0.15421000000000001</v>
      </c>
      <c r="CU304" s="541">
        <f t="shared" si="2102"/>
        <v>5.4142400000000013</v>
      </c>
      <c r="CV304" s="538">
        <f t="shared" si="2103"/>
        <v>0.81684960000000006</v>
      </c>
      <c r="CW304" s="538">
        <f t="shared" si="2104"/>
        <v>13.626488000000002</v>
      </c>
      <c r="CX304" s="104">
        <f t="shared" si="2105"/>
        <v>1.68</v>
      </c>
      <c r="CY304" s="542">
        <f t="shared" si="2106"/>
        <v>0.84</v>
      </c>
      <c r="CZ304" s="538">
        <f t="shared" si="2107"/>
        <v>0</v>
      </c>
    </row>
    <row r="305" spans="1:104" s="112" customFormat="1" ht="25" x14ac:dyDescent="0.25">
      <c r="A305" s="100" t="str">
        <f>'BOCA DE LOBO'!C274</f>
        <v>BL46-&gt;PV10.3</v>
      </c>
      <c r="B305" s="100" t="str">
        <f>'BOCA DE LOBO'!A274</f>
        <v>PV10.3</v>
      </c>
      <c r="C305" s="100" t="str">
        <f>VLOOKUP(A305,'BOCA DE LOBO'!$C$229:$M$324,3,0)</f>
        <v>PROJETADO</v>
      </c>
      <c r="D305" s="100" t="str">
        <f>VLOOKUP(A305,'BOCA DE LOBO'!$C$229:$M$324,10,0)</f>
        <v>EXISTENTE</v>
      </c>
      <c r="E305" s="100">
        <f t="shared" si="2025"/>
        <v>2.2744</v>
      </c>
      <c r="F305" s="100">
        <f>VLOOKUP(A305,'BOCA DE LOBO'!$C$229:$D$324,2,0)</f>
        <v>2.41</v>
      </c>
      <c r="G305" s="100">
        <f>VLOOKUP(A305,'BOCA DE LOBO'!$C$229:$F$324,4,0)</f>
        <v>3.39</v>
      </c>
      <c r="H305" s="101">
        <v>400</v>
      </c>
      <c r="I305" s="102">
        <f t="shared" si="2026"/>
        <v>2.4722</v>
      </c>
      <c r="J305" s="102">
        <f t="shared" si="2027"/>
        <v>0</v>
      </c>
      <c r="K305" s="103">
        <v>0</v>
      </c>
      <c r="L305" s="104">
        <f t="shared" si="2028"/>
        <v>0</v>
      </c>
      <c r="M305" s="104">
        <f t="shared" si="2029"/>
        <v>0</v>
      </c>
      <c r="N305" s="104">
        <f t="shared" si="2108"/>
        <v>400</v>
      </c>
      <c r="O305" s="104">
        <f t="shared" si="2030"/>
        <v>0</v>
      </c>
      <c r="P305" s="105" t="s">
        <v>1999</v>
      </c>
      <c r="Q305" s="468" t="s">
        <v>2093</v>
      </c>
      <c r="R305" s="105"/>
      <c r="S305" s="105">
        <f>VLOOKUP(Q305,Quantitativos!P:R,3,0)</f>
        <v>5</v>
      </c>
      <c r="T305" s="105">
        <f>VLOOKUP(Q305,Quantitativos!P:S,4,0)</f>
        <v>5</v>
      </c>
      <c r="U305" s="104">
        <f t="shared" si="2031"/>
        <v>0.05</v>
      </c>
      <c r="V305" s="106">
        <f t="shared" si="2032"/>
        <v>0</v>
      </c>
      <c r="W305" s="106">
        <f t="shared" si="2033"/>
        <v>0</v>
      </c>
      <c r="X305" s="107">
        <f t="shared" si="2034"/>
        <v>0</v>
      </c>
      <c r="Y305" s="107">
        <f t="shared" si="2035"/>
        <v>0</v>
      </c>
      <c r="Z305" s="107">
        <f t="shared" si="2036"/>
        <v>2.4722</v>
      </c>
      <c r="AA305" s="107">
        <f t="shared" si="2037"/>
        <v>0</v>
      </c>
      <c r="AB305" s="108">
        <f t="shared" si="2038"/>
        <v>0</v>
      </c>
      <c r="AC305" s="109">
        <f t="shared" si="2039"/>
        <v>0</v>
      </c>
      <c r="AD305" s="109">
        <f t="shared" si="2040"/>
        <v>0</v>
      </c>
      <c r="AE305" s="109">
        <f t="shared" si="2041"/>
        <v>0</v>
      </c>
      <c r="AF305" s="109">
        <f t="shared" si="2042"/>
        <v>0</v>
      </c>
      <c r="AG305" s="109">
        <f t="shared" si="2109"/>
        <v>0</v>
      </c>
      <c r="AH305" s="109">
        <f t="shared" si="2110"/>
        <v>0</v>
      </c>
      <c r="AI305" s="537" t="str">
        <f t="shared" si="2043"/>
        <v>NÃO</v>
      </c>
      <c r="AJ305" s="104">
        <f t="shared" si="2044"/>
        <v>0</v>
      </c>
      <c r="AK305" s="104">
        <f t="shared" si="2045"/>
        <v>0</v>
      </c>
      <c r="AL305" s="104">
        <f t="shared" si="2046"/>
        <v>0</v>
      </c>
      <c r="AM305" s="102">
        <f t="shared" si="2047"/>
        <v>0</v>
      </c>
      <c r="AN305" s="106">
        <f t="shared" si="2048"/>
        <v>0</v>
      </c>
      <c r="AO305" s="104">
        <f t="shared" si="2049"/>
        <v>0</v>
      </c>
      <c r="AP305" s="104">
        <f t="shared" si="2050"/>
        <v>0</v>
      </c>
      <c r="AQ305" s="104">
        <f t="shared" si="2051"/>
        <v>0.7</v>
      </c>
      <c r="AR305" s="104">
        <f t="shared" si="2052"/>
        <v>0</v>
      </c>
      <c r="AS305" s="104">
        <f t="shared" si="2053"/>
        <v>0</v>
      </c>
      <c r="AT305" s="104">
        <f t="shared" si="2054"/>
        <v>0</v>
      </c>
      <c r="AU305" s="104">
        <f t="shared" si="2055"/>
        <v>0</v>
      </c>
      <c r="AV305" s="104">
        <f t="shared" si="2056"/>
        <v>0</v>
      </c>
      <c r="AW305" s="104">
        <f t="shared" si="2057"/>
        <v>0</v>
      </c>
      <c r="AX305" s="104">
        <f t="shared" si="2058"/>
        <v>0</v>
      </c>
      <c r="AY305" s="104">
        <f t="shared" si="2059"/>
        <v>0</v>
      </c>
      <c r="AZ305" s="104">
        <f t="shared" si="2060"/>
        <v>0</v>
      </c>
      <c r="BA305" s="104">
        <f t="shared" si="2111"/>
        <v>0</v>
      </c>
      <c r="BB305" s="104">
        <f t="shared" si="2062"/>
        <v>0</v>
      </c>
      <c r="BC305" s="104"/>
      <c r="BD305" s="104">
        <f t="shared" si="2063"/>
        <v>0</v>
      </c>
      <c r="BE305" s="108">
        <f t="shared" si="2064"/>
        <v>2.4722</v>
      </c>
      <c r="BF305" s="110">
        <f t="shared" si="2065"/>
        <v>0</v>
      </c>
      <c r="BG305" s="110">
        <f t="shared" si="2066"/>
        <v>3.39</v>
      </c>
      <c r="BH305" s="105" t="str">
        <f>VLOOKUP(A305,'BOCA DE LOBO'!$C$229:$I$324,7,0)</f>
        <v>BOCA DE LOBO EXISTENTE DUPLA</v>
      </c>
      <c r="BI305" s="104">
        <f t="shared" si="2067"/>
        <v>0</v>
      </c>
      <c r="BJ305" s="104">
        <f t="shared" si="2068"/>
        <v>0</v>
      </c>
      <c r="BK305" s="104">
        <f t="shared" si="2069"/>
        <v>0</v>
      </c>
      <c r="BL305" s="104">
        <f t="shared" si="2070"/>
        <v>0</v>
      </c>
      <c r="BM305" s="104">
        <f t="shared" si="2071"/>
        <v>0</v>
      </c>
      <c r="BN305" s="104">
        <f t="shared" si="2072"/>
        <v>0</v>
      </c>
      <c r="BO305" s="543">
        <f t="shared" si="2073"/>
        <v>0</v>
      </c>
      <c r="BP305" s="111"/>
      <c r="BQ305" s="108">
        <f t="shared" si="2074"/>
        <v>10.17</v>
      </c>
      <c r="BR305" s="108">
        <f t="shared" si="2075"/>
        <v>6.5915159999999995</v>
      </c>
      <c r="BS305" s="108">
        <f t="shared" si="2076"/>
        <v>0</v>
      </c>
      <c r="BV305" s="538">
        <f t="shared" si="2077"/>
        <v>0</v>
      </c>
      <c r="BW305" s="538">
        <f t="shared" si="2078"/>
        <v>0</v>
      </c>
      <c r="BX305" s="538">
        <f t="shared" si="2079"/>
        <v>0</v>
      </c>
      <c r="BY305" s="538">
        <f t="shared" si="2080"/>
        <v>2.2744</v>
      </c>
      <c r="BZ305" s="538">
        <f t="shared" si="2081"/>
        <v>2.2744</v>
      </c>
      <c r="CA305" s="538">
        <f t="shared" si="2082"/>
        <v>0</v>
      </c>
      <c r="CB305" s="538">
        <f t="shared" si="2083"/>
        <v>0</v>
      </c>
      <c r="CC305" s="538">
        <f t="shared" si="2084"/>
        <v>0</v>
      </c>
      <c r="CD305" s="538">
        <f t="shared" si="2085"/>
        <v>0</v>
      </c>
      <c r="CE305" s="538">
        <f t="shared" si="2086"/>
        <v>0</v>
      </c>
      <c r="CF305" s="538">
        <f t="shared" si="2087"/>
        <v>0</v>
      </c>
      <c r="CG305" s="538">
        <f t="shared" si="2088"/>
        <v>0</v>
      </c>
      <c r="CH305" s="538">
        <f t="shared" si="2089"/>
        <v>0</v>
      </c>
      <c r="CI305" s="104">
        <f t="shared" si="2090"/>
        <v>0</v>
      </c>
      <c r="CJ305" s="538">
        <f t="shared" si="2091"/>
        <v>0</v>
      </c>
      <c r="CK305" s="538">
        <f t="shared" si="2112"/>
        <v>0</v>
      </c>
      <c r="CL305" s="538">
        <f t="shared" si="2093"/>
        <v>0</v>
      </c>
      <c r="CM305" s="538">
        <f t="shared" si="2094"/>
        <v>0</v>
      </c>
      <c r="CN305" s="538">
        <f t="shared" si="2095"/>
        <v>0</v>
      </c>
      <c r="CO305" s="538">
        <f t="shared" si="2096"/>
        <v>2.2744</v>
      </c>
      <c r="CP305" s="538">
        <f t="shared" si="2097"/>
        <v>0</v>
      </c>
      <c r="CQ305" s="538">
        <f t="shared" si="2098"/>
        <v>0</v>
      </c>
      <c r="CR305" s="539">
        <f t="shared" si="2099"/>
        <v>0</v>
      </c>
      <c r="CS305" s="540">
        <f t="shared" si="2100"/>
        <v>0</v>
      </c>
      <c r="CT305" s="540">
        <f t="shared" si="2101"/>
        <v>0</v>
      </c>
      <c r="CU305" s="541">
        <f t="shared" si="2102"/>
        <v>0</v>
      </c>
      <c r="CV305" s="538">
        <f t="shared" si="2103"/>
        <v>0</v>
      </c>
      <c r="CW305" s="538">
        <f t="shared" si="2104"/>
        <v>0</v>
      </c>
      <c r="CX305" s="104">
        <f t="shared" si="2105"/>
        <v>0</v>
      </c>
      <c r="CY305" s="542">
        <f t="shared" si="2106"/>
        <v>0</v>
      </c>
      <c r="CZ305" s="538">
        <f t="shared" si="2107"/>
        <v>0</v>
      </c>
    </row>
    <row r="306" spans="1:104" s="112" customFormat="1" ht="25" x14ac:dyDescent="0.25">
      <c r="A306" s="100" t="str">
        <f>'BOCA DE LOBO'!C275</f>
        <v>BL47-&gt;PV10.3</v>
      </c>
      <c r="B306" s="100" t="str">
        <f>'BOCA DE LOBO'!A275</f>
        <v>PV10.3</v>
      </c>
      <c r="C306" s="100" t="str">
        <f>VLOOKUP(A306,'BOCA DE LOBO'!$C$229:$M$324,3,0)</f>
        <v>PROJETADO</v>
      </c>
      <c r="D306" s="100" t="str">
        <f>VLOOKUP(A306,'BOCA DE LOBO'!$C$229:$M$324,10,0)</f>
        <v>PROJETADA</v>
      </c>
      <c r="E306" s="100">
        <f t="shared" si="2025"/>
        <v>2.1764000000000001</v>
      </c>
      <c r="F306" s="100">
        <f>VLOOKUP(A306,'BOCA DE LOBO'!$C$229:$D$324,2,0)</f>
        <v>2.41</v>
      </c>
      <c r="G306" s="100">
        <f>VLOOKUP(A306,'BOCA DE LOBO'!$C$229:$F$324,4,0)</f>
        <v>5.84</v>
      </c>
      <c r="H306" s="101">
        <v>400</v>
      </c>
      <c r="I306" s="102">
        <f t="shared" si="2026"/>
        <v>2.4232</v>
      </c>
      <c r="J306" s="102">
        <f t="shared" si="2027"/>
        <v>0.70757440000000005</v>
      </c>
      <c r="K306" s="103">
        <v>0</v>
      </c>
      <c r="L306" s="104">
        <f t="shared" si="2028"/>
        <v>1</v>
      </c>
      <c r="M306" s="104">
        <f t="shared" si="2029"/>
        <v>1</v>
      </c>
      <c r="N306" s="104">
        <f t="shared" si="2108"/>
        <v>0</v>
      </c>
      <c r="O306" s="104">
        <f t="shared" si="2030"/>
        <v>5.84</v>
      </c>
      <c r="P306" s="105" t="s">
        <v>1999</v>
      </c>
      <c r="Q306" s="468" t="s">
        <v>2093</v>
      </c>
      <c r="R306" s="105"/>
      <c r="S306" s="105">
        <f>VLOOKUP(Q306,Quantitativos!P:R,3,0)</f>
        <v>5</v>
      </c>
      <c r="T306" s="105">
        <f>VLOOKUP(Q306,Quantitativos!P:S,4,0)</f>
        <v>5</v>
      </c>
      <c r="U306" s="104">
        <f t="shared" si="2031"/>
        <v>0.05</v>
      </c>
      <c r="V306" s="106">
        <f t="shared" si="2032"/>
        <v>0</v>
      </c>
      <c r="W306" s="106">
        <f t="shared" si="2033"/>
        <v>14.151488000000001</v>
      </c>
      <c r="X306" s="107">
        <f t="shared" si="2034"/>
        <v>0</v>
      </c>
      <c r="Y306" s="107">
        <f t="shared" si="2035"/>
        <v>0</v>
      </c>
      <c r="Z306" s="107">
        <f t="shared" si="2036"/>
        <v>2.4232</v>
      </c>
      <c r="AA306" s="107">
        <f t="shared" si="2037"/>
        <v>0</v>
      </c>
      <c r="AB306" s="108">
        <f t="shared" si="2038"/>
        <v>5.84</v>
      </c>
      <c r="AC306" s="109">
        <f t="shared" si="2039"/>
        <v>0</v>
      </c>
      <c r="AD306" s="109">
        <f t="shared" si="2040"/>
        <v>0</v>
      </c>
      <c r="AE306" s="109">
        <f t="shared" si="2041"/>
        <v>0</v>
      </c>
      <c r="AF306" s="109">
        <f t="shared" si="2042"/>
        <v>8.76</v>
      </c>
      <c r="AG306" s="109">
        <f t="shared" si="2109"/>
        <v>5.3914879999999998</v>
      </c>
      <c r="AH306" s="109">
        <f t="shared" si="2110"/>
        <v>0</v>
      </c>
      <c r="AI306" s="537" t="str">
        <f t="shared" si="2043"/>
        <v>NÃO</v>
      </c>
      <c r="AJ306" s="104">
        <f t="shared" si="2044"/>
        <v>0</v>
      </c>
      <c r="AK306" s="104">
        <f t="shared" si="2045"/>
        <v>0</v>
      </c>
      <c r="AL306" s="104">
        <f t="shared" si="2046"/>
        <v>13.417611956121425</v>
      </c>
      <c r="AM306" s="102">
        <f t="shared" si="2047"/>
        <v>0.29199999999999998</v>
      </c>
      <c r="AN306" s="106">
        <f t="shared" si="2048"/>
        <v>0</v>
      </c>
      <c r="AO306" s="104">
        <f t="shared" si="2049"/>
        <v>0</v>
      </c>
      <c r="AP306" s="104">
        <f t="shared" si="2050"/>
        <v>0</v>
      </c>
      <c r="AQ306" s="104">
        <f t="shared" si="2051"/>
        <v>0.7</v>
      </c>
      <c r="AR306" s="104">
        <f t="shared" si="2052"/>
        <v>3.3541239561214242</v>
      </c>
      <c r="AS306" s="104">
        <f t="shared" si="2053"/>
        <v>0</v>
      </c>
      <c r="AT306" s="104">
        <f t="shared" si="2054"/>
        <v>0.876</v>
      </c>
      <c r="AU306" s="104">
        <f t="shared" si="2055"/>
        <v>0.876</v>
      </c>
      <c r="AV306" s="104">
        <f t="shared" si="2056"/>
        <v>0.17519999999999999</v>
      </c>
      <c r="AW306" s="104">
        <f t="shared" si="2057"/>
        <v>8.0194880000000026</v>
      </c>
      <c r="AX306" s="104">
        <f t="shared" si="2058"/>
        <v>9.921364043878576</v>
      </c>
      <c r="AY306" s="104">
        <f t="shared" si="2059"/>
        <v>8.0194880000000026</v>
      </c>
      <c r="AZ306" s="104">
        <f t="shared" si="2060"/>
        <v>0</v>
      </c>
      <c r="BA306" s="104">
        <f t="shared" si="2111"/>
        <v>0</v>
      </c>
      <c r="BB306" s="104">
        <f t="shared" si="2062"/>
        <v>0</v>
      </c>
      <c r="BC306" s="104"/>
      <c r="BD306" s="104">
        <f t="shared" si="2063"/>
        <v>0</v>
      </c>
      <c r="BE306" s="108">
        <f t="shared" si="2064"/>
        <v>2.4232</v>
      </c>
      <c r="BF306" s="110">
        <f t="shared" si="2065"/>
        <v>0</v>
      </c>
      <c r="BG306" s="110">
        <f t="shared" si="2066"/>
        <v>5.84</v>
      </c>
      <c r="BH306" s="105" t="str">
        <f>VLOOKUP(A306,'BOCA DE LOBO'!$C$229:$I$324,7,0)</f>
        <v>BOCA DE LOBO PROJETADA DUPLA</v>
      </c>
      <c r="BI306" s="104">
        <f t="shared" si="2067"/>
        <v>0</v>
      </c>
      <c r="BJ306" s="104">
        <f t="shared" si="2068"/>
        <v>0</v>
      </c>
      <c r="BK306" s="104">
        <f t="shared" si="2069"/>
        <v>0</v>
      </c>
      <c r="BL306" s="104">
        <f t="shared" si="2070"/>
        <v>0</v>
      </c>
      <c r="BM306" s="104">
        <f t="shared" si="2071"/>
        <v>0</v>
      </c>
      <c r="BN306" s="104">
        <f t="shared" si="2072"/>
        <v>1</v>
      </c>
      <c r="BO306" s="543">
        <f t="shared" si="2073"/>
        <v>0</v>
      </c>
      <c r="BP306" s="111"/>
      <c r="BQ306" s="108">
        <f t="shared" si="2074"/>
        <v>17.52</v>
      </c>
      <c r="BR306" s="108">
        <f t="shared" si="2075"/>
        <v>10.782976</v>
      </c>
      <c r="BS306" s="108">
        <f t="shared" si="2076"/>
        <v>0</v>
      </c>
      <c r="BV306" s="538">
        <f t="shared" si="2077"/>
        <v>16.938050639999997</v>
      </c>
      <c r="BW306" s="538">
        <f t="shared" si="2078"/>
        <v>7.7825999999999986</v>
      </c>
      <c r="BX306" s="538">
        <f t="shared" si="2079"/>
        <v>3.0325999999999995</v>
      </c>
      <c r="BY306" s="538">
        <f t="shared" si="2080"/>
        <v>2.1764000000000001</v>
      </c>
      <c r="BZ306" s="538">
        <f t="shared" si="2081"/>
        <v>2.1764000000000001</v>
      </c>
      <c r="CA306" s="538">
        <f t="shared" si="2082"/>
        <v>0</v>
      </c>
      <c r="CB306" s="538">
        <f t="shared" si="2083"/>
        <v>0</v>
      </c>
      <c r="CC306" s="538">
        <f t="shared" si="2084"/>
        <v>11.673899999999998</v>
      </c>
      <c r="CD306" s="538">
        <f t="shared" si="2085"/>
        <v>5.2641506399999995</v>
      </c>
      <c r="CE306" s="538">
        <f t="shared" si="2086"/>
        <v>0</v>
      </c>
      <c r="CF306" s="538">
        <f t="shared" si="2087"/>
        <v>0</v>
      </c>
      <c r="CG306" s="538">
        <f t="shared" si="2088"/>
        <v>0</v>
      </c>
      <c r="CH306" s="538">
        <f t="shared" si="2089"/>
        <v>0</v>
      </c>
      <c r="CI306" s="104">
        <f t="shared" si="2090"/>
        <v>0.53549999999999998</v>
      </c>
      <c r="CJ306" s="538">
        <f t="shared" si="2091"/>
        <v>9.8023999999999987</v>
      </c>
      <c r="CK306" s="538">
        <f t="shared" si="2112"/>
        <v>9.8023999999999987</v>
      </c>
      <c r="CL306" s="538">
        <f t="shared" si="2093"/>
        <v>0</v>
      </c>
      <c r="CM306" s="538">
        <f t="shared" si="2094"/>
        <v>0</v>
      </c>
      <c r="CN306" s="538">
        <f t="shared" si="2095"/>
        <v>3.57</v>
      </c>
      <c r="CO306" s="538">
        <f t="shared" si="2096"/>
        <v>2.1764000000000001</v>
      </c>
      <c r="CP306" s="538">
        <f t="shared" si="2097"/>
        <v>10.709999999999999</v>
      </c>
      <c r="CQ306" s="538">
        <f t="shared" si="2098"/>
        <v>4.8294960000000007</v>
      </c>
      <c r="CR306" s="539">
        <f t="shared" si="2099"/>
        <v>0</v>
      </c>
      <c r="CS306" s="540">
        <f t="shared" si="2100"/>
        <v>0</v>
      </c>
      <c r="CT306" s="540">
        <f t="shared" si="2101"/>
        <v>0.33012999999999998</v>
      </c>
      <c r="CU306" s="541">
        <f t="shared" si="2102"/>
        <v>11.31728</v>
      </c>
      <c r="CV306" s="538">
        <f t="shared" si="2103"/>
        <v>1.3399284</v>
      </c>
      <c r="CW306" s="538">
        <f t="shared" si="2104"/>
        <v>20.762951999999999</v>
      </c>
      <c r="CX306" s="104">
        <f t="shared" si="2105"/>
        <v>3.57</v>
      </c>
      <c r="CY306" s="542">
        <f t="shared" si="2106"/>
        <v>1.7849999999999999</v>
      </c>
      <c r="CZ306" s="538">
        <f t="shared" si="2107"/>
        <v>0</v>
      </c>
    </row>
    <row r="307" spans="1:104" s="112" customFormat="1" ht="25" x14ac:dyDescent="0.25">
      <c r="A307" s="100" t="str">
        <f>'BOCA DE LOBO'!C276</f>
        <v>BL48-&gt;PV11.3</v>
      </c>
      <c r="B307" s="100" t="str">
        <f>'BOCA DE LOBO'!A276</f>
        <v>PV11.3</v>
      </c>
      <c r="C307" s="100" t="str">
        <f>VLOOKUP(A307,'BOCA DE LOBO'!$C$229:$M$324,3,0)</f>
        <v>PROJETADO</v>
      </c>
      <c r="D307" s="100" t="str">
        <f>VLOOKUP(A307,'BOCA DE LOBO'!$C$229:$M$324,10,0)</f>
        <v>EXISTENTE</v>
      </c>
      <c r="E307" s="100">
        <f t="shared" si="2025"/>
        <v>2.2748000000000004</v>
      </c>
      <c r="F307" s="100">
        <f>VLOOKUP(A307,'BOCA DE LOBO'!$C$229:$D$324,2,0)</f>
        <v>2.4500000000000002</v>
      </c>
      <c r="G307" s="100">
        <f>VLOOKUP(A307,'BOCA DE LOBO'!$C$229:$F$324,4,0)</f>
        <v>4.38</v>
      </c>
      <c r="H307" s="101">
        <v>400</v>
      </c>
      <c r="I307" s="102">
        <f t="shared" si="2026"/>
        <v>2.4923999999999999</v>
      </c>
      <c r="J307" s="102">
        <f t="shared" si="2027"/>
        <v>0</v>
      </c>
      <c r="K307" s="103">
        <v>0</v>
      </c>
      <c r="L307" s="104">
        <f t="shared" si="2028"/>
        <v>0</v>
      </c>
      <c r="M307" s="104">
        <f t="shared" si="2029"/>
        <v>0</v>
      </c>
      <c r="N307" s="104">
        <f t="shared" si="2108"/>
        <v>400</v>
      </c>
      <c r="O307" s="104">
        <f t="shared" si="2030"/>
        <v>0</v>
      </c>
      <c r="P307" s="105" t="s">
        <v>1999</v>
      </c>
      <c r="Q307" s="468" t="s">
        <v>2094</v>
      </c>
      <c r="R307" s="105">
        <v>1</v>
      </c>
      <c r="S307" s="105">
        <f>VLOOKUP(Q307,Quantitativos!P:R,3,0)</f>
        <v>12</v>
      </c>
      <c r="T307" s="105">
        <f>VLOOKUP(Q307,Quantitativos!P:S,4,0)</f>
        <v>3.5</v>
      </c>
      <c r="U307" s="104">
        <f t="shared" si="2031"/>
        <v>0.05</v>
      </c>
      <c r="V307" s="106">
        <f t="shared" si="2032"/>
        <v>0</v>
      </c>
      <c r="W307" s="106">
        <f t="shared" si="2033"/>
        <v>0</v>
      </c>
      <c r="X307" s="107">
        <f t="shared" si="2034"/>
        <v>0</v>
      </c>
      <c r="Y307" s="107">
        <f t="shared" si="2035"/>
        <v>0.4</v>
      </c>
      <c r="Z307" s="107">
        <f t="shared" si="2036"/>
        <v>2.4923999999999999</v>
      </c>
      <c r="AA307" s="107">
        <f t="shared" si="2037"/>
        <v>0</v>
      </c>
      <c r="AB307" s="108">
        <f t="shared" si="2038"/>
        <v>0</v>
      </c>
      <c r="AC307" s="109">
        <f t="shared" si="2039"/>
        <v>0</v>
      </c>
      <c r="AD307" s="109">
        <f t="shared" si="2040"/>
        <v>0</v>
      </c>
      <c r="AE307" s="109">
        <f t="shared" si="2041"/>
        <v>0</v>
      </c>
      <c r="AF307" s="109">
        <f t="shared" si="2042"/>
        <v>0</v>
      </c>
      <c r="AG307" s="109">
        <f t="shared" si="2109"/>
        <v>0</v>
      </c>
      <c r="AH307" s="109">
        <f t="shared" si="2110"/>
        <v>0</v>
      </c>
      <c r="AI307" s="537" t="str">
        <f t="shared" si="2043"/>
        <v>NÃO</v>
      </c>
      <c r="AJ307" s="104">
        <f t="shared" si="2044"/>
        <v>0</v>
      </c>
      <c r="AK307" s="104">
        <f t="shared" si="2045"/>
        <v>0</v>
      </c>
      <c r="AL307" s="104">
        <f t="shared" si="2046"/>
        <v>0</v>
      </c>
      <c r="AM307" s="102">
        <f t="shared" si="2047"/>
        <v>0</v>
      </c>
      <c r="AN307" s="106">
        <f t="shared" si="2048"/>
        <v>0</v>
      </c>
      <c r="AO307" s="104">
        <f t="shared" si="2049"/>
        <v>0</v>
      </c>
      <c r="AP307" s="104">
        <f t="shared" si="2050"/>
        <v>0</v>
      </c>
      <c r="AQ307" s="104">
        <f t="shared" si="2051"/>
        <v>0.7</v>
      </c>
      <c r="AR307" s="104">
        <f t="shared" si="2052"/>
        <v>0</v>
      </c>
      <c r="AS307" s="104">
        <f t="shared" si="2053"/>
        <v>0</v>
      </c>
      <c r="AT307" s="104">
        <f t="shared" si="2054"/>
        <v>0</v>
      </c>
      <c r="AU307" s="104">
        <f t="shared" si="2055"/>
        <v>0</v>
      </c>
      <c r="AV307" s="104">
        <f t="shared" si="2056"/>
        <v>0</v>
      </c>
      <c r="AW307" s="104">
        <f t="shared" si="2057"/>
        <v>0</v>
      </c>
      <c r="AX307" s="104">
        <f t="shared" si="2058"/>
        <v>0</v>
      </c>
      <c r="AY307" s="104">
        <f t="shared" si="2059"/>
        <v>0</v>
      </c>
      <c r="AZ307" s="104">
        <f t="shared" si="2060"/>
        <v>0</v>
      </c>
      <c r="BA307" s="104">
        <f t="shared" si="2111"/>
        <v>0</v>
      </c>
      <c r="BB307" s="104">
        <f t="shared" si="2062"/>
        <v>0</v>
      </c>
      <c r="BC307" s="104"/>
      <c r="BD307" s="104">
        <f t="shared" si="2063"/>
        <v>0</v>
      </c>
      <c r="BE307" s="108">
        <f t="shared" si="2064"/>
        <v>2.4923999999999999</v>
      </c>
      <c r="BF307" s="110">
        <f t="shared" si="2065"/>
        <v>0</v>
      </c>
      <c r="BG307" s="110">
        <f t="shared" si="2066"/>
        <v>4.38</v>
      </c>
      <c r="BH307" s="105" t="str">
        <f>VLOOKUP(A307,'BOCA DE LOBO'!$C$229:$I$324,7,0)</f>
        <v>BOCA DE LOBO EXISTENTE DUPLA</v>
      </c>
      <c r="BI307" s="104">
        <f t="shared" si="2067"/>
        <v>0</v>
      </c>
      <c r="BJ307" s="104">
        <f t="shared" si="2068"/>
        <v>0</v>
      </c>
      <c r="BK307" s="104">
        <f t="shared" si="2069"/>
        <v>0</v>
      </c>
      <c r="BL307" s="104">
        <f t="shared" si="2070"/>
        <v>0</v>
      </c>
      <c r="BM307" s="104">
        <f t="shared" si="2071"/>
        <v>0</v>
      </c>
      <c r="BN307" s="104">
        <f t="shared" si="2072"/>
        <v>0</v>
      </c>
      <c r="BO307" s="543">
        <f t="shared" si="2073"/>
        <v>0</v>
      </c>
      <c r="BP307" s="111"/>
      <c r="BQ307" s="108">
        <f t="shared" si="2074"/>
        <v>13.14</v>
      </c>
      <c r="BR307" s="108">
        <f t="shared" si="2075"/>
        <v>13.073423999999999</v>
      </c>
      <c r="BS307" s="108">
        <f t="shared" si="2076"/>
        <v>0</v>
      </c>
      <c r="BV307" s="538">
        <f t="shared" si="2077"/>
        <v>0</v>
      </c>
      <c r="BW307" s="538">
        <f t="shared" si="2078"/>
        <v>0</v>
      </c>
      <c r="BX307" s="538">
        <f t="shared" si="2079"/>
        <v>0</v>
      </c>
      <c r="BY307" s="538">
        <f t="shared" si="2080"/>
        <v>2.2748000000000004</v>
      </c>
      <c r="BZ307" s="538">
        <f t="shared" si="2081"/>
        <v>2.2748000000000004</v>
      </c>
      <c r="CA307" s="538">
        <f t="shared" si="2082"/>
        <v>0.4</v>
      </c>
      <c r="CB307" s="538">
        <f t="shared" si="2083"/>
        <v>0</v>
      </c>
      <c r="CC307" s="538">
        <f t="shared" si="2084"/>
        <v>0</v>
      </c>
      <c r="CD307" s="538">
        <f t="shared" si="2085"/>
        <v>0</v>
      </c>
      <c r="CE307" s="538">
        <f t="shared" si="2086"/>
        <v>0</v>
      </c>
      <c r="CF307" s="538">
        <f t="shared" si="2087"/>
        <v>0</v>
      </c>
      <c r="CG307" s="538">
        <f t="shared" si="2088"/>
        <v>0</v>
      </c>
      <c r="CH307" s="538">
        <f t="shared" si="2089"/>
        <v>0</v>
      </c>
      <c r="CI307" s="104">
        <f t="shared" si="2090"/>
        <v>0</v>
      </c>
      <c r="CJ307" s="538">
        <f t="shared" si="2091"/>
        <v>0</v>
      </c>
      <c r="CK307" s="538">
        <f t="shared" si="2112"/>
        <v>0</v>
      </c>
      <c r="CL307" s="538">
        <f t="shared" si="2093"/>
        <v>0</v>
      </c>
      <c r="CM307" s="538">
        <f t="shared" si="2094"/>
        <v>0</v>
      </c>
      <c r="CN307" s="538">
        <f t="shared" si="2095"/>
        <v>0</v>
      </c>
      <c r="CO307" s="538">
        <f t="shared" si="2096"/>
        <v>2.7748000000000004</v>
      </c>
      <c r="CP307" s="538">
        <f t="shared" si="2097"/>
        <v>0</v>
      </c>
      <c r="CQ307" s="538">
        <f t="shared" si="2098"/>
        <v>0</v>
      </c>
      <c r="CR307" s="539">
        <f t="shared" si="2099"/>
        <v>0</v>
      </c>
      <c r="CS307" s="540">
        <f t="shared" si="2100"/>
        <v>0</v>
      </c>
      <c r="CT307" s="540">
        <f t="shared" si="2101"/>
        <v>0</v>
      </c>
      <c r="CU307" s="541">
        <f t="shared" si="2102"/>
        <v>0</v>
      </c>
      <c r="CV307" s="538">
        <f t="shared" si="2103"/>
        <v>0</v>
      </c>
      <c r="CW307" s="538">
        <f t="shared" si="2104"/>
        <v>0</v>
      </c>
      <c r="CX307" s="104">
        <f t="shared" si="2105"/>
        <v>0</v>
      </c>
      <c r="CY307" s="542">
        <f t="shared" si="2106"/>
        <v>0</v>
      </c>
      <c r="CZ307" s="538">
        <f t="shared" si="2107"/>
        <v>0</v>
      </c>
    </row>
    <row r="308" spans="1:104" s="112" customFormat="1" ht="25" x14ac:dyDescent="0.25">
      <c r="A308" s="100" t="str">
        <f>'BOCA DE LOBO'!C277</f>
        <v>BL49-&gt;PV11.3</v>
      </c>
      <c r="B308" s="100" t="str">
        <f>'BOCA DE LOBO'!A277</f>
        <v>PV11.3</v>
      </c>
      <c r="C308" s="100" t="str">
        <f>VLOOKUP(A308,'BOCA DE LOBO'!$C$229:$M$324,3,0)</f>
        <v>PROJETADO</v>
      </c>
      <c r="D308" s="100" t="str">
        <f>VLOOKUP(A308,'BOCA DE LOBO'!$C$229:$M$324,10,0)</f>
        <v>PROJETADA</v>
      </c>
      <c r="E308" s="100">
        <f t="shared" si="2025"/>
        <v>2.1608000000000001</v>
      </c>
      <c r="F308" s="100">
        <f>VLOOKUP(A308,'BOCA DE LOBO'!$C$229:$D$324,2,0)</f>
        <v>2.4500000000000002</v>
      </c>
      <c r="G308" s="100">
        <f>VLOOKUP(A308,'BOCA DE LOBO'!$C$229:$F$324,4,0)</f>
        <v>7.23</v>
      </c>
      <c r="H308" s="101">
        <v>400</v>
      </c>
      <c r="I308" s="102">
        <f t="shared" si="2026"/>
        <v>2.4354</v>
      </c>
      <c r="J308" s="102">
        <f t="shared" si="2027"/>
        <v>0.88039710000000004</v>
      </c>
      <c r="K308" s="103">
        <v>0</v>
      </c>
      <c r="L308" s="104">
        <f t="shared" si="2028"/>
        <v>1</v>
      </c>
      <c r="M308" s="104">
        <f t="shared" si="2029"/>
        <v>1</v>
      </c>
      <c r="N308" s="104">
        <f t="shared" si="2108"/>
        <v>0</v>
      </c>
      <c r="O308" s="104">
        <f t="shared" si="2030"/>
        <v>7.23</v>
      </c>
      <c r="P308" s="105" t="s">
        <v>1999</v>
      </c>
      <c r="Q308" s="468" t="s">
        <v>2094</v>
      </c>
      <c r="R308" s="105">
        <v>1</v>
      </c>
      <c r="S308" s="105">
        <f>VLOOKUP(Q308,Quantitativos!P:R,3,0)</f>
        <v>12</v>
      </c>
      <c r="T308" s="105">
        <f>VLOOKUP(Q308,Quantitativos!P:S,4,0)</f>
        <v>3.5</v>
      </c>
      <c r="U308" s="104">
        <f t="shared" si="2031"/>
        <v>0.05</v>
      </c>
      <c r="V308" s="106">
        <f t="shared" si="2032"/>
        <v>0</v>
      </c>
      <c r="W308" s="106">
        <f t="shared" si="2033"/>
        <v>20.499942000000001</v>
      </c>
      <c r="X308" s="107">
        <f t="shared" si="2034"/>
        <v>0</v>
      </c>
      <c r="Y308" s="107">
        <f t="shared" si="2035"/>
        <v>2.8353999999999999</v>
      </c>
      <c r="Z308" s="107">
        <f t="shared" si="2036"/>
        <v>0</v>
      </c>
      <c r="AA308" s="107">
        <f t="shared" si="2037"/>
        <v>2.4354</v>
      </c>
      <c r="AB308" s="108">
        <f t="shared" si="2038"/>
        <v>7.23</v>
      </c>
      <c r="AC308" s="109">
        <f t="shared" si="2039"/>
        <v>10.845000000000001</v>
      </c>
      <c r="AD308" s="109">
        <f t="shared" si="2040"/>
        <v>9.6549420000000001</v>
      </c>
      <c r="AE308" s="109">
        <f t="shared" si="2041"/>
        <v>0</v>
      </c>
      <c r="AF308" s="109">
        <f t="shared" si="2042"/>
        <v>0</v>
      </c>
      <c r="AG308" s="109">
        <f t="shared" si="2109"/>
        <v>0</v>
      </c>
      <c r="AH308" s="109">
        <f t="shared" si="2110"/>
        <v>0</v>
      </c>
      <c r="AI308" s="537" t="str">
        <f t="shared" si="2043"/>
        <v>NÃO</v>
      </c>
      <c r="AJ308" s="104">
        <f t="shared" si="2044"/>
        <v>0</v>
      </c>
      <c r="AK308" s="104">
        <f t="shared" si="2045"/>
        <v>0</v>
      </c>
      <c r="AL308" s="104">
        <f t="shared" si="2046"/>
        <v>19.591393404581833</v>
      </c>
      <c r="AM308" s="102">
        <f t="shared" si="2047"/>
        <v>0.36150000000000004</v>
      </c>
      <c r="AN308" s="106">
        <f t="shared" si="2048"/>
        <v>0</v>
      </c>
      <c r="AO308" s="104">
        <f t="shared" si="2049"/>
        <v>2.8920000000000003</v>
      </c>
      <c r="AP308" s="104">
        <f t="shared" si="2050"/>
        <v>2.8920000000000003</v>
      </c>
      <c r="AQ308" s="104">
        <f t="shared" si="2051"/>
        <v>0.7</v>
      </c>
      <c r="AR308" s="104">
        <f t="shared" si="2052"/>
        <v>4.1524514045818313</v>
      </c>
      <c r="AS308" s="104">
        <f t="shared" si="2053"/>
        <v>4.1524514045818313</v>
      </c>
      <c r="AT308" s="104">
        <f t="shared" si="2054"/>
        <v>1.0845</v>
      </c>
      <c r="AU308" s="104">
        <f t="shared" si="2055"/>
        <v>1.0845</v>
      </c>
      <c r="AV308" s="104">
        <f t="shared" si="2056"/>
        <v>0.21690000000000001</v>
      </c>
      <c r="AW308" s="104">
        <f t="shared" si="2057"/>
        <v>10.016442000000001</v>
      </c>
      <c r="AX308" s="104">
        <f t="shared" si="2058"/>
        <v>-8.1289514045818319</v>
      </c>
      <c r="AY308" s="104">
        <f t="shared" si="2059"/>
        <v>-8.1289514045818319</v>
      </c>
      <c r="AZ308" s="104">
        <f t="shared" si="2060"/>
        <v>18.145393404581831</v>
      </c>
      <c r="BA308" s="104">
        <f t="shared" si="2111"/>
        <v>3.0313234505219246</v>
      </c>
      <c r="BB308" s="104">
        <f t="shared" si="2062"/>
        <v>15.114069954059907</v>
      </c>
      <c r="BC308" s="104"/>
      <c r="BD308" s="104">
        <f t="shared" si="2063"/>
        <v>0.15906000000000003</v>
      </c>
      <c r="BE308" s="108">
        <f t="shared" si="2064"/>
        <v>2.4354</v>
      </c>
      <c r="BF308" s="110">
        <f t="shared" si="2065"/>
        <v>0</v>
      </c>
      <c r="BG308" s="110">
        <f t="shared" si="2066"/>
        <v>7.23</v>
      </c>
      <c r="BH308" s="105" t="str">
        <f>VLOOKUP(A308,'BOCA DE LOBO'!$C$229:$I$324,7,0)</f>
        <v>BOCA DE LOBO PROJETADA DUPLA</v>
      </c>
      <c r="BI308" s="104">
        <f t="shared" si="2067"/>
        <v>0</v>
      </c>
      <c r="BJ308" s="104">
        <f t="shared" si="2068"/>
        <v>0</v>
      </c>
      <c r="BK308" s="104">
        <f t="shared" si="2069"/>
        <v>0</v>
      </c>
      <c r="BL308" s="104">
        <f t="shared" si="2070"/>
        <v>0</v>
      </c>
      <c r="BM308" s="104">
        <f t="shared" si="2071"/>
        <v>0</v>
      </c>
      <c r="BN308" s="104">
        <f t="shared" si="2072"/>
        <v>1</v>
      </c>
      <c r="BO308" s="543">
        <f t="shared" si="2073"/>
        <v>0</v>
      </c>
      <c r="BP308" s="111"/>
      <c r="BQ308" s="108">
        <f t="shared" si="2074"/>
        <v>21.69</v>
      </c>
      <c r="BR308" s="108">
        <f t="shared" si="2075"/>
        <v>20.755884000000002</v>
      </c>
      <c r="BS308" s="108">
        <f t="shared" si="2076"/>
        <v>0</v>
      </c>
      <c r="BV308" s="538">
        <f t="shared" si="2077"/>
        <v>20.707942079999995</v>
      </c>
      <c r="BW308" s="538">
        <f t="shared" si="2078"/>
        <v>7.7825999999999986</v>
      </c>
      <c r="BX308" s="538">
        <f t="shared" si="2079"/>
        <v>3.0325999999999995</v>
      </c>
      <c r="BY308" s="538">
        <f t="shared" si="2080"/>
        <v>2.1608000000000001</v>
      </c>
      <c r="BZ308" s="538">
        <f t="shared" si="2081"/>
        <v>0</v>
      </c>
      <c r="CA308" s="538">
        <f t="shared" si="2082"/>
        <v>2.5608</v>
      </c>
      <c r="CB308" s="538">
        <f t="shared" si="2083"/>
        <v>0</v>
      </c>
      <c r="CC308" s="538">
        <f t="shared" si="2084"/>
        <v>0</v>
      </c>
      <c r="CD308" s="538">
        <f t="shared" si="2085"/>
        <v>0</v>
      </c>
      <c r="CE308" s="538">
        <f t="shared" si="2086"/>
        <v>11.673899999999998</v>
      </c>
      <c r="CF308" s="538">
        <f t="shared" si="2087"/>
        <v>8.2557820799999977</v>
      </c>
      <c r="CG308" s="538">
        <f t="shared" si="2088"/>
        <v>0.77825999999999951</v>
      </c>
      <c r="CH308" s="538">
        <f t="shared" si="2089"/>
        <v>0</v>
      </c>
      <c r="CI308" s="104">
        <f t="shared" si="2090"/>
        <v>0.53549999999999998</v>
      </c>
      <c r="CJ308" s="538">
        <f t="shared" si="2091"/>
        <v>11.628299999999998</v>
      </c>
      <c r="CK308" s="538">
        <f t="shared" si="2112"/>
        <v>11.628299999999998</v>
      </c>
      <c r="CL308" s="538">
        <f t="shared" si="2093"/>
        <v>0</v>
      </c>
      <c r="CM308" s="538">
        <f t="shared" si="2094"/>
        <v>0.15565199999999998</v>
      </c>
      <c r="CN308" s="538">
        <f t="shared" si="2095"/>
        <v>3.57</v>
      </c>
      <c r="CO308" s="538">
        <f t="shared" si="2096"/>
        <v>2.6608000000000001</v>
      </c>
      <c r="CP308" s="538">
        <f t="shared" si="2097"/>
        <v>10.709999999999999</v>
      </c>
      <c r="CQ308" s="538">
        <f t="shared" si="2098"/>
        <v>8.2881119999999999</v>
      </c>
      <c r="CR308" s="539">
        <f t="shared" si="2099"/>
        <v>0</v>
      </c>
      <c r="CS308" s="540">
        <f t="shared" si="2100"/>
        <v>0</v>
      </c>
      <c r="CT308" s="540">
        <f t="shared" si="2101"/>
        <v>0.33012999999999998</v>
      </c>
      <c r="CU308" s="541">
        <f t="shared" si="2102"/>
        <v>11.23616</v>
      </c>
      <c r="CV308" s="538">
        <f t="shared" si="2103"/>
        <v>1.3351548</v>
      </c>
      <c r="CW308" s="538">
        <f t="shared" si="2104"/>
        <v>20.643143999999999</v>
      </c>
      <c r="CX308" s="104">
        <f t="shared" si="2105"/>
        <v>3.57</v>
      </c>
      <c r="CY308" s="542">
        <f t="shared" si="2106"/>
        <v>1.7849999999999999</v>
      </c>
      <c r="CZ308" s="538">
        <f t="shared" si="2107"/>
        <v>0</v>
      </c>
    </row>
    <row r="309" spans="1:104" s="112" customFormat="1" ht="25" x14ac:dyDescent="0.25">
      <c r="A309" s="100" t="str">
        <f>'BOCA DE LOBO'!C278</f>
        <v>BL50-&gt;PV12.3</v>
      </c>
      <c r="B309" s="100" t="str">
        <f>'BOCA DE LOBO'!A278</f>
        <v>PV12.3</v>
      </c>
      <c r="C309" s="100" t="str">
        <f>VLOOKUP(A309,'BOCA DE LOBO'!$C$229:$M$324,3,0)</f>
        <v>PROJETADO</v>
      </c>
      <c r="D309" s="100" t="str">
        <f>VLOOKUP(A309,'BOCA DE LOBO'!$C$229:$M$324,10,0)</f>
        <v>PROJETADA</v>
      </c>
      <c r="E309" s="100">
        <f t="shared" si="2025"/>
        <v>2.5</v>
      </c>
      <c r="F309" s="100">
        <f>VLOOKUP(A309,'BOCA DE LOBO'!$C$229:$D$324,2,0)</f>
        <v>3.09</v>
      </c>
      <c r="G309" s="100">
        <f>VLOOKUP(A309,'BOCA DE LOBO'!$C$229:$F$324,4,0)</f>
        <v>6.96</v>
      </c>
      <c r="H309" s="101">
        <v>400</v>
      </c>
      <c r="I309" s="102">
        <f t="shared" si="2026"/>
        <v>2.9249999999999998</v>
      </c>
      <c r="J309" s="102">
        <f t="shared" si="2027"/>
        <v>1.0178999999999998</v>
      </c>
      <c r="K309" s="103">
        <v>0</v>
      </c>
      <c r="L309" s="104">
        <f t="shared" si="2028"/>
        <v>1</v>
      </c>
      <c r="M309" s="104">
        <f t="shared" si="2029"/>
        <v>1</v>
      </c>
      <c r="N309" s="104">
        <f t="shared" si="2108"/>
        <v>0</v>
      </c>
      <c r="O309" s="104">
        <f t="shared" si="2030"/>
        <v>6.96</v>
      </c>
      <c r="P309" s="105" t="s">
        <v>1999</v>
      </c>
      <c r="Q309" s="468" t="s">
        <v>2094</v>
      </c>
      <c r="R309" s="105">
        <v>1</v>
      </c>
      <c r="S309" s="105">
        <f>VLOOKUP(Q309,Quantitativos!P:R,3,0)</f>
        <v>12</v>
      </c>
      <c r="T309" s="105">
        <f>VLOOKUP(Q309,Quantitativos!P:S,4,0)</f>
        <v>3.5</v>
      </c>
      <c r="U309" s="104">
        <f t="shared" si="2031"/>
        <v>0.05</v>
      </c>
      <c r="V309" s="106">
        <f t="shared" si="2032"/>
        <v>0</v>
      </c>
      <c r="W309" s="106">
        <f t="shared" si="2033"/>
        <v>23.141999999999996</v>
      </c>
      <c r="X309" s="107">
        <f t="shared" si="2034"/>
        <v>0</v>
      </c>
      <c r="Y309" s="107">
        <f t="shared" si="2035"/>
        <v>3.3249999999999997</v>
      </c>
      <c r="Z309" s="107">
        <f t="shared" si="2036"/>
        <v>0</v>
      </c>
      <c r="AA309" s="107">
        <f t="shared" si="2037"/>
        <v>2.9249999999999998</v>
      </c>
      <c r="AB309" s="108">
        <f t="shared" si="2038"/>
        <v>6.96</v>
      </c>
      <c r="AC309" s="109">
        <f t="shared" si="2039"/>
        <v>10.44</v>
      </c>
      <c r="AD309" s="109">
        <f t="shared" si="2040"/>
        <v>10.44</v>
      </c>
      <c r="AE309" s="109">
        <f t="shared" si="2041"/>
        <v>2.2619999999999982</v>
      </c>
      <c r="AF309" s="109">
        <f t="shared" si="2042"/>
        <v>0</v>
      </c>
      <c r="AG309" s="109">
        <f t="shared" si="2109"/>
        <v>0</v>
      </c>
      <c r="AH309" s="109">
        <f t="shared" si="2110"/>
        <v>0</v>
      </c>
      <c r="AI309" s="537" t="str">
        <f t="shared" si="2043"/>
        <v>NÃO</v>
      </c>
      <c r="AJ309" s="104">
        <f t="shared" si="2044"/>
        <v>0</v>
      </c>
      <c r="AK309" s="104">
        <f t="shared" si="2045"/>
        <v>0</v>
      </c>
      <c r="AL309" s="104">
        <f t="shared" si="2046"/>
        <v>22.267380605240596</v>
      </c>
      <c r="AM309" s="102">
        <f t="shared" si="2047"/>
        <v>0.34800000000000003</v>
      </c>
      <c r="AN309" s="106">
        <f t="shared" si="2048"/>
        <v>0</v>
      </c>
      <c r="AO309" s="104">
        <f t="shared" si="2049"/>
        <v>2.7840000000000003</v>
      </c>
      <c r="AP309" s="104">
        <f t="shared" si="2050"/>
        <v>2.7840000000000003</v>
      </c>
      <c r="AQ309" s="104">
        <f t="shared" si="2051"/>
        <v>0.7</v>
      </c>
      <c r="AR309" s="104">
        <f t="shared" si="2052"/>
        <v>3.9973806052406013</v>
      </c>
      <c r="AS309" s="104">
        <f t="shared" si="2053"/>
        <v>3.9973806052406013</v>
      </c>
      <c r="AT309" s="104">
        <f t="shared" si="2054"/>
        <v>1.044</v>
      </c>
      <c r="AU309" s="104">
        <f t="shared" si="2055"/>
        <v>1.044</v>
      </c>
      <c r="AV309" s="104">
        <f t="shared" si="2056"/>
        <v>0.20879999999999999</v>
      </c>
      <c r="AW309" s="104">
        <f t="shared" si="2057"/>
        <v>13.049999999999997</v>
      </c>
      <c r="AX309" s="104">
        <f t="shared" si="2058"/>
        <v>-7.8253806052406016</v>
      </c>
      <c r="AY309" s="104">
        <f t="shared" si="2059"/>
        <v>-7.8253806052406016</v>
      </c>
      <c r="AZ309" s="104">
        <f t="shared" si="2060"/>
        <v>20.875380605240601</v>
      </c>
      <c r="BA309" s="104">
        <f t="shared" si="2111"/>
        <v>3.487388195797275</v>
      </c>
      <c r="BB309" s="104">
        <f t="shared" si="2062"/>
        <v>17.387992409443324</v>
      </c>
      <c r="BC309" s="104"/>
      <c r="BD309" s="104">
        <f t="shared" si="2063"/>
        <v>0.15312000000000001</v>
      </c>
      <c r="BE309" s="108">
        <f t="shared" si="2064"/>
        <v>2.9249999999999998</v>
      </c>
      <c r="BF309" s="110">
        <f t="shared" si="2065"/>
        <v>0</v>
      </c>
      <c r="BG309" s="110">
        <f t="shared" si="2066"/>
        <v>6.96</v>
      </c>
      <c r="BH309" s="105" t="str">
        <f>VLOOKUP(A309,'BOCA DE LOBO'!$C$229:$I$324,7,0)</f>
        <v>BOCA DE LOBO PROJETADA DUPLA</v>
      </c>
      <c r="BI309" s="104">
        <f t="shared" si="2067"/>
        <v>0</v>
      </c>
      <c r="BJ309" s="104">
        <f t="shared" si="2068"/>
        <v>0</v>
      </c>
      <c r="BK309" s="104">
        <f t="shared" si="2069"/>
        <v>0</v>
      </c>
      <c r="BL309" s="104">
        <f t="shared" si="2070"/>
        <v>0</v>
      </c>
      <c r="BM309" s="104">
        <f t="shared" si="2071"/>
        <v>0</v>
      </c>
      <c r="BN309" s="104">
        <f t="shared" si="2072"/>
        <v>1</v>
      </c>
      <c r="BO309" s="543">
        <f t="shared" si="2073"/>
        <v>0</v>
      </c>
      <c r="BP309" s="111"/>
      <c r="BQ309" s="108">
        <f t="shared" si="2074"/>
        <v>20.88</v>
      </c>
      <c r="BR309" s="108">
        <f t="shared" si="2075"/>
        <v>20.88</v>
      </c>
      <c r="BS309" s="108">
        <f t="shared" si="2076"/>
        <v>5.9159999999999977</v>
      </c>
      <c r="BV309" s="538">
        <f t="shared" si="2077"/>
        <v>23.347799999999996</v>
      </c>
      <c r="BW309" s="538">
        <f t="shared" si="2078"/>
        <v>7.7825999999999986</v>
      </c>
      <c r="BX309" s="538">
        <f t="shared" si="2079"/>
        <v>3.0325999999999995</v>
      </c>
      <c r="BY309" s="538">
        <f t="shared" si="2080"/>
        <v>2.5</v>
      </c>
      <c r="BZ309" s="538">
        <f t="shared" si="2081"/>
        <v>0</v>
      </c>
      <c r="CA309" s="538">
        <f t="shared" si="2082"/>
        <v>2.9</v>
      </c>
      <c r="CB309" s="538">
        <f t="shared" si="2083"/>
        <v>0</v>
      </c>
      <c r="CC309" s="538">
        <f t="shared" si="2084"/>
        <v>0</v>
      </c>
      <c r="CD309" s="538">
        <f t="shared" si="2085"/>
        <v>0</v>
      </c>
      <c r="CE309" s="538">
        <f t="shared" si="2086"/>
        <v>11.673899999999998</v>
      </c>
      <c r="CF309" s="538">
        <f t="shared" si="2087"/>
        <v>10.895639999999997</v>
      </c>
      <c r="CG309" s="538">
        <f t="shared" si="2088"/>
        <v>0.77825999999999951</v>
      </c>
      <c r="CH309" s="538">
        <f t="shared" si="2089"/>
        <v>0</v>
      </c>
      <c r="CI309" s="104">
        <f t="shared" si="2090"/>
        <v>0.53549999999999998</v>
      </c>
      <c r="CJ309" s="538">
        <f t="shared" si="2091"/>
        <v>13.239499999999996</v>
      </c>
      <c r="CK309" s="538">
        <f t="shared" si="2112"/>
        <v>13.239499999999996</v>
      </c>
      <c r="CL309" s="538">
        <f t="shared" si="2093"/>
        <v>0</v>
      </c>
      <c r="CM309" s="538">
        <f t="shared" si="2094"/>
        <v>0.15565199999999998</v>
      </c>
      <c r="CN309" s="538">
        <f t="shared" si="2095"/>
        <v>3.57</v>
      </c>
      <c r="CO309" s="538">
        <f t="shared" si="2096"/>
        <v>3</v>
      </c>
      <c r="CP309" s="538">
        <f t="shared" si="2097"/>
        <v>10.709999999999999</v>
      </c>
      <c r="CQ309" s="538">
        <f t="shared" si="2098"/>
        <v>10.709999999999999</v>
      </c>
      <c r="CR309" s="539">
        <f t="shared" si="2099"/>
        <v>0</v>
      </c>
      <c r="CS309" s="540">
        <f t="shared" si="2100"/>
        <v>0</v>
      </c>
      <c r="CT309" s="540">
        <f t="shared" si="2101"/>
        <v>0.33012999999999998</v>
      </c>
      <c r="CU309" s="541">
        <f t="shared" si="2102"/>
        <v>13</v>
      </c>
      <c r="CV309" s="538">
        <f t="shared" si="2103"/>
        <v>1.43895</v>
      </c>
      <c r="CW309" s="538">
        <f t="shared" si="2104"/>
        <v>23.248199999999997</v>
      </c>
      <c r="CX309" s="104">
        <f t="shared" si="2105"/>
        <v>3.57</v>
      </c>
      <c r="CY309" s="542">
        <f t="shared" si="2106"/>
        <v>1.7849999999999999</v>
      </c>
      <c r="CZ309" s="538">
        <f t="shared" si="2107"/>
        <v>0</v>
      </c>
    </row>
    <row r="310" spans="1:104" s="112" customFormat="1" ht="25" x14ac:dyDescent="0.25">
      <c r="A310" s="100" t="str">
        <f>'BOCA DE LOBO'!C279</f>
        <v>BL51-&gt;PV12.3</v>
      </c>
      <c r="B310" s="100" t="str">
        <f>'BOCA DE LOBO'!A279</f>
        <v>PV12.3</v>
      </c>
      <c r="C310" s="100" t="str">
        <f>VLOOKUP(A310,'BOCA DE LOBO'!$C$229:$M$324,3,0)</f>
        <v>PROJETADO</v>
      </c>
      <c r="D310" s="100" t="str">
        <f>VLOOKUP(A310,'BOCA DE LOBO'!$C$229:$M$324,10,0)</f>
        <v>EXISTENTE</v>
      </c>
      <c r="E310" s="100">
        <f t="shared" si="2025"/>
        <v>2.5</v>
      </c>
      <c r="F310" s="100">
        <f>VLOOKUP(A310,'BOCA DE LOBO'!$C$229:$D$324,2,0)</f>
        <v>3.09</v>
      </c>
      <c r="G310" s="100">
        <f>VLOOKUP(A310,'BOCA DE LOBO'!$C$229:$F$324,4,0)</f>
        <v>3.36</v>
      </c>
      <c r="H310" s="101">
        <v>400</v>
      </c>
      <c r="I310" s="102">
        <f t="shared" si="2026"/>
        <v>2.9249999999999998</v>
      </c>
      <c r="J310" s="102">
        <f t="shared" si="2027"/>
        <v>0</v>
      </c>
      <c r="K310" s="103">
        <v>0</v>
      </c>
      <c r="L310" s="104">
        <f t="shared" si="2028"/>
        <v>0</v>
      </c>
      <c r="M310" s="104">
        <f t="shared" si="2029"/>
        <v>0</v>
      </c>
      <c r="N310" s="104">
        <f t="shared" si="2108"/>
        <v>400</v>
      </c>
      <c r="O310" s="104">
        <f t="shared" si="2030"/>
        <v>0</v>
      </c>
      <c r="P310" s="105" t="s">
        <v>1999</v>
      </c>
      <c r="Q310" s="468" t="s">
        <v>2094</v>
      </c>
      <c r="R310" s="105">
        <v>1</v>
      </c>
      <c r="S310" s="105">
        <f>VLOOKUP(Q310,Quantitativos!P:R,3,0)</f>
        <v>12</v>
      </c>
      <c r="T310" s="105">
        <f>VLOOKUP(Q310,Quantitativos!P:S,4,0)</f>
        <v>3.5</v>
      </c>
      <c r="U310" s="104">
        <f t="shared" si="2031"/>
        <v>0.05</v>
      </c>
      <c r="V310" s="106">
        <f t="shared" si="2032"/>
        <v>0</v>
      </c>
      <c r="W310" s="106">
        <f t="shared" si="2033"/>
        <v>0</v>
      </c>
      <c r="X310" s="107">
        <f t="shared" si="2034"/>
        <v>0</v>
      </c>
      <c r="Y310" s="107">
        <f t="shared" si="2035"/>
        <v>0.4</v>
      </c>
      <c r="Z310" s="107">
        <f t="shared" si="2036"/>
        <v>2.9249999999999998</v>
      </c>
      <c r="AA310" s="107">
        <f t="shared" si="2037"/>
        <v>0</v>
      </c>
      <c r="AB310" s="108">
        <f t="shared" si="2038"/>
        <v>0</v>
      </c>
      <c r="AC310" s="109">
        <f t="shared" si="2039"/>
        <v>0</v>
      </c>
      <c r="AD310" s="109">
        <f t="shared" si="2040"/>
        <v>0</v>
      </c>
      <c r="AE310" s="109">
        <f t="shared" si="2041"/>
        <v>0</v>
      </c>
      <c r="AF310" s="109">
        <f t="shared" si="2042"/>
        <v>0</v>
      </c>
      <c r="AG310" s="109">
        <f t="shared" si="2109"/>
        <v>0</v>
      </c>
      <c r="AH310" s="109">
        <f t="shared" si="2110"/>
        <v>0</v>
      </c>
      <c r="AI310" s="537" t="str">
        <f t="shared" si="2043"/>
        <v>NÃO</v>
      </c>
      <c r="AJ310" s="104">
        <f t="shared" si="2044"/>
        <v>0</v>
      </c>
      <c r="AK310" s="104">
        <f t="shared" si="2045"/>
        <v>0</v>
      </c>
      <c r="AL310" s="104">
        <f t="shared" si="2046"/>
        <v>0</v>
      </c>
      <c r="AM310" s="102">
        <f t="shared" si="2047"/>
        <v>0</v>
      </c>
      <c r="AN310" s="106">
        <f t="shared" si="2048"/>
        <v>0</v>
      </c>
      <c r="AO310" s="104">
        <f t="shared" si="2049"/>
        <v>0</v>
      </c>
      <c r="AP310" s="104">
        <f t="shared" si="2050"/>
        <v>0</v>
      </c>
      <c r="AQ310" s="104">
        <f t="shared" si="2051"/>
        <v>0.7</v>
      </c>
      <c r="AR310" s="104">
        <f t="shared" si="2052"/>
        <v>0</v>
      </c>
      <c r="AS310" s="104">
        <f t="shared" si="2053"/>
        <v>0</v>
      </c>
      <c r="AT310" s="104">
        <f t="shared" si="2054"/>
        <v>0</v>
      </c>
      <c r="AU310" s="104">
        <f t="shared" si="2055"/>
        <v>0</v>
      </c>
      <c r="AV310" s="104">
        <f t="shared" si="2056"/>
        <v>0</v>
      </c>
      <c r="AW310" s="104">
        <f t="shared" si="2057"/>
        <v>0</v>
      </c>
      <c r="AX310" s="104">
        <f t="shared" si="2058"/>
        <v>0</v>
      </c>
      <c r="AY310" s="104">
        <f t="shared" si="2059"/>
        <v>0</v>
      </c>
      <c r="AZ310" s="104">
        <f t="shared" si="2060"/>
        <v>0</v>
      </c>
      <c r="BA310" s="104">
        <f t="shared" si="2111"/>
        <v>0</v>
      </c>
      <c r="BB310" s="104">
        <f t="shared" si="2062"/>
        <v>0</v>
      </c>
      <c r="BC310" s="104"/>
      <c r="BD310" s="104">
        <f t="shared" si="2063"/>
        <v>0</v>
      </c>
      <c r="BE310" s="108">
        <f t="shared" si="2064"/>
        <v>2.9249999999999998</v>
      </c>
      <c r="BF310" s="110">
        <f t="shared" si="2065"/>
        <v>0</v>
      </c>
      <c r="BG310" s="110">
        <f t="shared" si="2066"/>
        <v>3.36</v>
      </c>
      <c r="BH310" s="105" t="str">
        <f>VLOOKUP(A310,'BOCA DE LOBO'!$C$229:$I$324,7,0)</f>
        <v>BOCA DE LOBO EXISTENTE DUPLA</v>
      </c>
      <c r="BI310" s="104">
        <f t="shared" si="2067"/>
        <v>0</v>
      </c>
      <c r="BJ310" s="104">
        <f t="shared" si="2068"/>
        <v>0</v>
      </c>
      <c r="BK310" s="104">
        <f t="shared" si="2069"/>
        <v>0</v>
      </c>
      <c r="BL310" s="104">
        <f t="shared" si="2070"/>
        <v>0</v>
      </c>
      <c r="BM310" s="104">
        <f t="shared" si="2071"/>
        <v>0</v>
      </c>
      <c r="BN310" s="104">
        <f t="shared" si="2072"/>
        <v>0</v>
      </c>
      <c r="BO310" s="543">
        <f t="shared" si="2073"/>
        <v>0</v>
      </c>
      <c r="BP310" s="111"/>
      <c r="BQ310" s="108">
        <f t="shared" si="2074"/>
        <v>10.08</v>
      </c>
      <c r="BR310" s="108">
        <f t="shared" si="2075"/>
        <v>10.08</v>
      </c>
      <c r="BS310" s="108">
        <f t="shared" si="2076"/>
        <v>2.8559999999999985</v>
      </c>
      <c r="BV310" s="538">
        <f t="shared" si="2077"/>
        <v>0</v>
      </c>
      <c r="BW310" s="538">
        <f t="shared" si="2078"/>
        <v>0</v>
      </c>
      <c r="BX310" s="538">
        <f t="shared" si="2079"/>
        <v>0</v>
      </c>
      <c r="BY310" s="538">
        <f t="shared" si="2080"/>
        <v>2.5</v>
      </c>
      <c r="BZ310" s="538">
        <f t="shared" si="2081"/>
        <v>2.5</v>
      </c>
      <c r="CA310" s="538">
        <f t="shared" si="2082"/>
        <v>0.4</v>
      </c>
      <c r="CB310" s="538">
        <f t="shared" si="2083"/>
        <v>0</v>
      </c>
      <c r="CC310" s="538">
        <f t="shared" si="2084"/>
        <v>0</v>
      </c>
      <c r="CD310" s="538">
        <f t="shared" si="2085"/>
        <v>0</v>
      </c>
      <c r="CE310" s="538">
        <f t="shared" si="2086"/>
        <v>0</v>
      </c>
      <c r="CF310" s="538">
        <f t="shared" si="2087"/>
        <v>0</v>
      </c>
      <c r="CG310" s="538">
        <f t="shared" si="2088"/>
        <v>0</v>
      </c>
      <c r="CH310" s="538">
        <f t="shared" si="2089"/>
        <v>0</v>
      </c>
      <c r="CI310" s="104">
        <f t="shared" si="2090"/>
        <v>0</v>
      </c>
      <c r="CJ310" s="538">
        <f t="shared" si="2091"/>
        <v>0</v>
      </c>
      <c r="CK310" s="538">
        <f t="shared" si="2112"/>
        <v>0</v>
      </c>
      <c r="CL310" s="538">
        <f t="shared" si="2093"/>
        <v>0</v>
      </c>
      <c r="CM310" s="538">
        <f t="shared" si="2094"/>
        <v>0</v>
      </c>
      <c r="CN310" s="538">
        <f t="shared" si="2095"/>
        <v>0</v>
      </c>
      <c r="CO310" s="538">
        <f t="shared" si="2096"/>
        <v>3</v>
      </c>
      <c r="CP310" s="538">
        <f t="shared" si="2097"/>
        <v>0</v>
      </c>
      <c r="CQ310" s="538">
        <f t="shared" si="2098"/>
        <v>0</v>
      </c>
      <c r="CR310" s="539">
        <f t="shared" si="2099"/>
        <v>0</v>
      </c>
      <c r="CS310" s="540">
        <f t="shared" si="2100"/>
        <v>0</v>
      </c>
      <c r="CT310" s="540">
        <f t="shared" si="2101"/>
        <v>0</v>
      </c>
      <c r="CU310" s="541">
        <f t="shared" si="2102"/>
        <v>0</v>
      </c>
      <c r="CV310" s="538">
        <f t="shared" si="2103"/>
        <v>0</v>
      </c>
      <c r="CW310" s="538">
        <f t="shared" si="2104"/>
        <v>0</v>
      </c>
      <c r="CX310" s="104">
        <f t="shared" si="2105"/>
        <v>0</v>
      </c>
      <c r="CY310" s="542">
        <f t="shared" si="2106"/>
        <v>0</v>
      </c>
      <c r="CZ310" s="538">
        <f t="shared" si="2107"/>
        <v>0</v>
      </c>
    </row>
    <row r="311" spans="1:104" s="112" customFormat="1" ht="25" x14ac:dyDescent="0.25">
      <c r="A311" s="100" t="str">
        <f>'BOCA DE LOBO'!C280</f>
        <v>BL52-&gt;PV13.3</v>
      </c>
      <c r="B311" s="100" t="str">
        <f>'BOCA DE LOBO'!A280</f>
        <v>PV13.3</v>
      </c>
      <c r="C311" s="100" t="str">
        <f>VLOOKUP(A311,'BOCA DE LOBO'!$C$229:$M$324,3,0)</f>
        <v>PROJETADO</v>
      </c>
      <c r="D311" s="100" t="str">
        <f>VLOOKUP(A311,'BOCA DE LOBO'!$C$229:$M$324,10,0)</f>
        <v>PROJETADA</v>
      </c>
      <c r="E311" s="100">
        <f t="shared" ref="E311" si="2113">IF(F311-G311*4%&lt;2.5,F311-G311*4%,2.5)</f>
        <v>2.4224000000000001</v>
      </c>
      <c r="F311" s="100">
        <f>VLOOKUP(A311,'BOCA DE LOBO'!$C$229:$D$324,2,0)</f>
        <v>2.79</v>
      </c>
      <c r="G311" s="100">
        <f>VLOOKUP(A311,'BOCA DE LOBO'!$C$229:$F$324,4,0)</f>
        <v>9.19</v>
      </c>
      <c r="H311" s="101">
        <v>400</v>
      </c>
      <c r="I311" s="102">
        <f t="shared" ref="I311" si="2114">IF(H311=400,((E311+F311)/2)+0.08+U311,IF(H311=500,((E311+F311)/2)+0.1+U311,IF(H311=600,((E311+F311)/2)+0.12+U311,IF(H311=800,((E311+F311)/2)+0.16+U311,IF(H311=1000,((E311+F311)/2)+0.2+U311,IF(H311=1200,((E311+F311)/2)+0.24+U311,IF(H311=1500,((E311+F311)/2)+0.3+U311,IF(H311&gt;1500,((E311+F311)/2)+0.4+U311))))))))</f>
        <v>2.7362000000000002</v>
      </c>
      <c r="J311" s="102">
        <f t="shared" ref="J311" si="2115">IF(L311=0,0,IF(I311&gt;=1.25,G311*I311/20,0))</f>
        <v>1.2572839</v>
      </c>
      <c r="K311" s="103">
        <v>0</v>
      </c>
      <c r="L311" s="104">
        <f t="shared" ref="L311" si="2116">IF(D311&lt;&gt;"PROJETADA",0,IF(H311=400,1,0)+IF(H311=500,1.2,0)+IF(H311=600,1.4,0)+IF(H311=800,1.7,0)+IF(H311=1000,2,0)+IF(H311=1200,2.2,0)+IF(H311=1500,2.6,0)+IF(H311=1650,3,0)+IF(H311=1800,3.2,0)+IF(H311=2000,3.4,0)+IF(H311=2200,3.6,0)+IF(H311=2400,3.8,0)+IF(H311=2600,4,0)+IF(H311=3000,4.4,0))</f>
        <v>1</v>
      </c>
      <c r="M311" s="104">
        <f t="shared" ref="M311" si="2117">2*K311*I311+L311</f>
        <v>1</v>
      </c>
      <c r="N311" s="104">
        <f t="shared" ref="N311" si="2118">IF(OR(D311="EXISTENTE",D311="AMPLIADA"),400,0)</f>
        <v>0</v>
      </c>
      <c r="O311" s="104">
        <f t="shared" ref="O311" si="2119">IF(P311="TERRENO NATURAL",0,M311*G311)</f>
        <v>9.19</v>
      </c>
      <c r="P311" s="105" t="s">
        <v>1999</v>
      </c>
      <c r="Q311" s="468" t="s">
        <v>2094</v>
      </c>
      <c r="R311" s="105">
        <v>1</v>
      </c>
      <c r="S311" s="105">
        <f>VLOOKUP(Q311,Quantitativos!P:R,3,0)</f>
        <v>12</v>
      </c>
      <c r="T311" s="105">
        <f>VLOOKUP(Q311,Quantitativos!P:S,4,0)</f>
        <v>3.5</v>
      </c>
      <c r="U311" s="104">
        <f t="shared" ref="U311" si="2120">IF(H311=400,0.05,0)+IF(H311=500,0.05,0)+IF(H311=600,0.1,0)+IF(H311=800,0.1,0)+IF(H311=1000,0.15,0)+IF(H311=1200,0.15,0)+IF(H311=1500,0.2,0)+IF(H311=1650,0.2,0)+IF(H311=1800,0.2,0)+IF(H311=2000,0.25,0)+IF(H311=2200,0.25,0)+IF(H311=2400,0.25,0)+IF(H311=2600,0.25,0)+IF(H311=3000,0.25,0)</f>
        <v>0.05</v>
      </c>
      <c r="V311" s="106">
        <f t="shared" ref="V311" si="2121">IF(L311=0,0,IF("EXISTENTE"=C311,0,IFERROR((PI()*(N311/1000)*(N311/1000)/4)*G311,0)))</f>
        <v>0</v>
      </c>
      <c r="W311" s="106">
        <f t="shared" si="2033"/>
        <v>28.821677999999999</v>
      </c>
      <c r="X311" s="107">
        <f t="shared" ref="X311" si="2122">W311-SUM(AC311:AJ311)</f>
        <v>0</v>
      </c>
      <c r="Y311" s="107">
        <f t="shared" ref="Y311" si="2123">IF(R311=1,IF(N311=0,I311+0.4,0.4),0)</f>
        <v>3.1362000000000001</v>
      </c>
      <c r="Z311" s="107">
        <f t="shared" ref="Z311" si="2124">IF(Y311&gt;0.5,0,IF(S311&lt;I311,S311,I311))</f>
        <v>0</v>
      </c>
      <c r="AA311" s="107">
        <f t="shared" ref="AA311" si="2125">I311-Z311</f>
        <v>2.7362000000000002</v>
      </c>
      <c r="AB311" s="108">
        <f t="shared" ref="AB311" si="2126">IF(P311="ASFALTO",IF(D311="PROJETADA",O311,IF(D311="EXISTENTE",0,O311/2)),0)</f>
        <v>9.19</v>
      </c>
      <c r="AC311" s="109">
        <f t="shared" ref="AC311" si="2127">IF(Y311=0,0,IF(Y311=0.4,IF(L311&lt;=1.5,IF(Z311+0.4&gt;=1.5,0,L311*G311*0.4),0),IF(L311&lt;=1.5,IF(Y311&gt;=1.5,M311*G311*1.5,L311*G311*(Y311)),0)+IF(S311&lt;I311+0.4,0,IF(AND(Y311&lt;=1.5,L311&lt;=1.5),-V311,0))))</f>
        <v>13.785</v>
      </c>
      <c r="AD311" s="109">
        <f t="shared" ref="AD311" si="2128">IF(Y311=0,0,IF(Y311=0.4,IF(L311&lt;=1.5,IF(OR(Z311+0.4&gt;=3,Z311+0.4&lt;1.5),0,L311*G311*0.4),0),IF(IF(L311&lt;=1.5,IF(Y311&gt;=3,M311*G311*1.5,L311*G311*(Y311-1.5)),0)&lt;0,0,IF(L311&lt;=1.5,IF(Y311&gt;=3,M311*G311*1.5,L311*G311*(Y311-1.5)),0))+IF(S311&lt;I311+0.4,0,IF(AND(Y311&lt;=3,L311&lt;=1.5),-V311,0))))</f>
        <v>13.785</v>
      </c>
      <c r="AE311" s="109">
        <f t="shared" ref="AE311" si="2129">IF(Y311=0,0,IF(Y311=0.4,IF(L311&lt;=1.5,IF(OR(Z311+0.4&gt;=4.5,Z311+0.4&lt;3),0,L311*G311*0.4),0),IF(IF(L311&lt;=1.5,IF(Y311&gt;=4.5,M311*G311*1.5,L311*G311*(Y311-3)),0)&lt;0,0,IF(L311&lt;=1.5,IF(Y311&gt;=4.5,M311*G311*1.5,L311*G311*(Y311-3)),0))+IF(S311&lt;I311+0.4,0,IF(AND(Y311&lt;=4.5,L311&lt;=1.5),-V311,0))))</f>
        <v>1.2516780000000007</v>
      </c>
      <c r="AF311" s="109">
        <f t="shared" ref="AF311" si="2130">IF(L311&lt;=1.5,IF(Z311&gt;=1.5,M311*G311*1.5,L311*G311*Z311),0)+IF(S311&lt;I311,0,IF(AND(Z311&lt;=1.5,L311&lt;=1.5),-V311,0))</f>
        <v>0</v>
      </c>
      <c r="AG311" s="109">
        <f t="shared" ref="AG311" si="2131">IF(IF(L311&lt;=1.5,IF(Z311&gt;=3,M311*G311*1.5,L311*G311*(Z311-1.5)),0)&lt;0,0,IF(L311&lt;=1.5,IF(Z311&gt;=3,M311*G311*1.5,L311*G311*(Z311-1.5)),0))+IF(S311&lt;I311,0,IF(AND(Z311&lt;=3,L311&lt;=1.5),-V311,0))</f>
        <v>0</v>
      </c>
      <c r="AH311" s="109">
        <f t="shared" ref="AH311" si="2132">IF(IF(L311&lt;=1.5,IF(Z311&gt;=4.5,M311*G311*1.5,L311*G311*(Z311-3)),0)&lt;0,0,IF(L311&lt;=1.5,IF(Z311&gt;=4.5,M311*G311*1.5,L311*G311*(Z311-3)),0))+IF(S311&lt;I311,0,IF(AND(Z311&lt;=4.5,Z311&gt;3,L311&lt;=1.5),-V311,0))</f>
        <v>0</v>
      </c>
      <c r="AI311" s="537" t="str">
        <f t="shared" ref="AI311" si="2133">IF(I311&gt;S311,"SIM","NÃO")</f>
        <v>NÃO</v>
      </c>
      <c r="AJ311" s="104">
        <f t="shared" ref="AJ311" si="2134">W311-SUM(AC311:AH311)</f>
        <v>0</v>
      </c>
      <c r="AK311" s="104">
        <f t="shared" ref="AK311" si="2135">IF(I311-T311&lt;0,0,(I311-T311)*G311)/75</f>
        <v>0</v>
      </c>
      <c r="AL311" s="104">
        <f t="shared" ref="AL311" si="2136">IF(L311=0,0,G311*L311*I311-PI()*(H311/1000)*(H311/1000)/4*G311+AO311)</f>
        <v>27.666828540540394</v>
      </c>
      <c r="AM311" s="102">
        <f t="shared" ref="AM311" si="2137">IF(L311&lt;1.5,L311*G311*IF(H311&lt;=500,0.05,IF(H311&lt;=800,0.1,IF(H311&lt;=1200,0.15,IF(H311&gt;=1500,0.2)))),0)</f>
        <v>0.45950000000000002</v>
      </c>
      <c r="AN311" s="106">
        <f t="shared" ref="AN311" si="2138">IF(L311&gt;=1.5,L311*G311*IF(H311&lt;=500,0.05,IF(H311&lt;=800,0.1,IF(H311&lt;=1200,0.15,IF(H311&gt;=1500,0.2)))),0)</f>
        <v>0</v>
      </c>
      <c r="AO311" s="104">
        <f t="shared" ref="AO311" si="2139">IF(R311=1,0.4*G311*L311,0)</f>
        <v>3.6760000000000002</v>
      </c>
      <c r="AP311" s="104">
        <f t="shared" ref="AP311" si="2140">IF(AO311&lt;SUM(AF311:AH311),0,AO311)</f>
        <v>3.6760000000000002</v>
      </c>
      <c r="AQ311" s="104">
        <f t="shared" ref="AQ311" si="2141">H311/1000+0.3</f>
        <v>0.7</v>
      </c>
      <c r="AR311" s="104">
        <f t="shared" ref="AR311" si="2142">IF(D311&lt;&gt;"PROJETADA",0,AQ311*L311*G311-PI()*(H311/1000*H311/1000)/4*G311)</f>
        <v>5.2781505405403912</v>
      </c>
      <c r="AS311" s="104">
        <f t="shared" ref="AS311" si="2143">IF(AR311&lt;SUM(AF311:AH311),0,AR311)</f>
        <v>5.2781505405403912</v>
      </c>
      <c r="AT311" s="104">
        <f t="shared" ref="AT311" si="2144">IF(P311="ASFALTO",0.15*G311*L311,0)</f>
        <v>1.3784999999999998</v>
      </c>
      <c r="AU311" s="104">
        <f t="shared" ref="AU311" si="2145">AT311</f>
        <v>1.3784999999999998</v>
      </c>
      <c r="AV311" s="104">
        <f t="shared" ref="AV311" si="2146">IF(P311="ASFALTO",0.03*G311*L311,0)</f>
        <v>0.2757</v>
      </c>
      <c r="AW311" s="104">
        <f t="shared" ref="AW311" si="2147">AL311-AO311-SUM(AM311:AN311)-AT311-AU311-AR311</f>
        <v>15.496178000000004</v>
      </c>
      <c r="AX311" s="104">
        <f t="shared" ref="AX311" si="2148">SUM(AF311:AH311)-AO311-AT311-AR311</f>
        <v>-10.332650540540392</v>
      </c>
      <c r="AY311" s="104">
        <f t="shared" ref="AY311" si="2149">SMALL(AW311:AX311,1)</f>
        <v>-10.332650540540392</v>
      </c>
      <c r="AZ311" s="104">
        <f t="shared" ref="AZ311" si="2150">AW311-AY311</f>
        <v>25.828828540540396</v>
      </c>
      <c r="BA311" s="104">
        <f t="shared" si="2111"/>
        <v>4.3148986582280404</v>
      </c>
      <c r="BB311" s="104">
        <f t="shared" ref="BB311" si="2151">AZ311-BA311</f>
        <v>21.513929882312354</v>
      </c>
      <c r="BC311" s="104"/>
      <c r="BD311" s="104">
        <f t="shared" ref="BD311" si="2152">IF(AO311&gt;0,4%*(AO311+AT311),0)</f>
        <v>0.20218</v>
      </c>
      <c r="BE311" s="108">
        <f t="shared" ref="BE311" si="2153">IF(H311=400,I311,0)</f>
        <v>2.7362000000000002</v>
      </c>
      <c r="BF311" s="110">
        <f t="shared" ref="BF311" si="2154">IF(BE311&lt;=1.75,AND(BE311&gt;0)*G311,0)</f>
        <v>0</v>
      </c>
      <c r="BG311" s="110">
        <f t="shared" ref="BG311" si="2155">IF(BE311&lt;=3,AND(BE311&gt;1.75)*G311,0)</f>
        <v>9.19</v>
      </c>
      <c r="BH311" s="105" t="str">
        <f>VLOOKUP(A311,'BOCA DE LOBO'!$C$229:$I$324,7,0)</f>
        <v>BOCA DE LOBO PROJETADA DUPLA</v>
      </c>
      <c r="BI311" s="104">
        <f t="shared" ref="BI311" si="2156">IF(BH311=$BI$258,1,0)</f>
        <v>0</v>
      </c>
      <c r="BJ311" s="104">
        <f t="shared" ref="BJ311" si="2157">IF(BH311=$BJ$258,1,0)</f>
        <v>0</v>
      </c>
      <c r="BK311" s="104">
        <f t="shared" ref="BK311" si="2158">IF(BH311=$BK$258,1,0)</f>
        <v>0</v>
      </c>
      <c r="BL311" s="104">
        <f t="shared" ref="BL311" si="2159">IF(BH311=$BL$258,1,0)</f>
        <v>0</v>
      </c>
      <c r="BM311" s="104">
        <f t="shared" ref="BM311" si="2160">IF(BH311=$BM$258,1,0)</f>
        <v>0</v>
      </c>
      <c r="BN311" s="104">
        <f t="shared" ref="BN311" si="2161">IF(BH311=$BN$258,1,0)</f>
        <v>1</v>
      </c>
      <c r="BO311" s="543">
        <f t="shared" ref="BO311" si="2162">IF(BH311=$BO$258,1,0)</f>
        <v>0</v>
      </c>
      <c r="BP311" s="111"/>
      <c r="BQ311" s="108">
        <f t="shared" ref="BQ311" si="2163">IF(L311&lt;=1.5,IF(I311+IF(R311=1,0.5,0)&lt;1.5,(I311+IF(R311=1,0.5,0))*G311*2,G311*2*1.5),0)</f>
        <v>27.57</v>
      </c>
      <c r="BR311" s="108">
        <f t="shared" ref="BR311" si="2164">IF(L311&lt;=1.5,IF(AND(I311+IF(R311=1,0.5,0)&lt;3,I311+IF(R311=1,0.5,0)&gt;1.5),(I311+IF(R311=1,0.5,0)-1.5)*G311*2,IF(I311+IF(R311=1,0.5,0)&gt;=3,(G311*2*1.5),0)),0)</f>
        <v>27.57</v>
      </c>
      <c r="BS311" s="108">
        <f t="shared" ref="BS311" si="2165">IF(L311&lt;=1.5,IF(AND(I311+IF(R311=1,0.5,0)&lt;4.5,I311+IF(R311=1,0.5,0)&gt;3),(I311+IF(R311=1,0.5,0)-3)*G311*2,IF(I311+IF(R311=1,0.5,0)&gt;=4.5,(G311*2*1.5),0)),0)</f>
        <v>4.3413560000000029</v>
      </c>
      <c r="BV311" s="538">
        <f t="shared" si="2077"/>
        <v>22.743870239999996</v>
      </c>
      <c r="BW311" s="538">
        <f t="shared" si="2078"/>
        <v>7.7825999999999986</v>
      </c>
      <c r="BX311" s="538">
        <f t="shared" si="2079"/>
        <v>3.0325999999999995</v>
      </c>
      <c r="BY311" s="538">
        <f t="shared" ref="BY311" si="2166">E311</f>
        <v>2.4224000000000001</v>
      </c>
      <c r="BZ311" s="538">
        <f t="shared" ref="BZ311" si="2167">IF(Y311&gt;0.5,0,IF(S311&lt;E311,S311,E311))</f>
        <v>0</v>
      </c>
      <c r="CA311" s="538">
        <f t="shared" ref="CA311" si="2168">IF(Y311&gt;0.4,BY311+0.4,Y311)</f>
        <v>2.8224</v>
      </c>
      <c r="CB311" s="538">
        <f t="shared" ref="CB311" si="2169">IF(S311&gt;E311,0,E311-S311)</f>
        <v>0</v>
      </c>
      <c r="CC311" s="538">
        <f t="shared" ref="CC311" si="2170">IF(BZ311&gt;1.5,BW311*1.5,BW311*BZ311)</f>
        <v>0</v>
      </c>
      <c r="CD311" s="538">
        <f t="shared" ref="CD311" si="2171">IF(BZ311&gt;1.5,BW311*(BZ311-1.5),0)</f>
        <v>0</v>
      </c>
      <c r="CE311" s="538">
        <f t="shared" ref="CE311" si="2172">IF(CA311=0.4,IF(BZ311+CA311&gt;1.5,0,CA311*BW311),IF(CA311&gt;1.5,BW311*1.5,BW311*CA311))</f>
        <v>11.673899999999998</v>
      </c>
      <c r="CF311" s="538">
        <f t="shared" ref="CF311" si="2173">IF(CA311=0.4,IF(BZ311+CA311&lt;=1.5,0,CA311*BW311),IF(CA311&gt;1.5,BW311*(CA311-1.5),0))</f>
        <v>10.291710239999999</v>
      </c>
      <c r="CG311" s="538">
        <f t="shared" ref="CG311" si="2174">BV311-SUM(CC311:CF311)</f>
        <v>0.77825999999999951</v>
      </c>
      <c r="CH311" s="538">
        <f t="shared" ref="CH311" si="2175">SUM(CC311:CG311)-BV311</f>
        <v>0</v>
      </c>
      <c r="CI311" s="104">
        <f t="shared" si="2090"/>
        <v>0.53549999999999998</v>
      </c>
      <c r="CJ311" s="538">
        <f t="shared" ref="CJ311" si="2176">(BW311-BX311)*(BY311+IF(CA311&gt;=0.4,0.4,0))-CI311</f>
        <v>12.870899999999997</v>
      </c>
      <c r="CK311" s="538">
        <f t="shared" si="2112"/>
        <v>12.870899999999997</v>
      </c>
      <c r="CL311" s="538">
        <f t="shared" ref="CL311" si="2177">CJ311-CK311</f>
        <v>0</v>
      </c>
      <c r="CM311" s="538">
        <f t="shared" ref="CM311" si="2178">IF(CA311&gt;0,0.5*4%*BW311,0)</f>
        <v>0.15565199999999998</v>
      </c>
      <c r="CN311" s="538">
        <f t="shared" si="2095"/>
        <v>3.57</v>
      </c>
      <c r="CO311" s="538">
        <f t="shared" ref="CO311" si="2179">IF(CA311&gt;0,BY311+0.5,BY311)</f>
        <v>2.9224000000000001</v>
      </c>
      <c r="CP311" s="538">
        <f t="shared" ref="CP311" si="2180">IF(CO311&gt;=1.5,CN311*1.5*2,CN311*CO311*2)</f>
        <v>10.709999999999999</v>
      </c>
      <c r="CQ311" s="538">
        <f t="shared" ref="CQ311" si="2181">IF(CO311&lt;=1.5,0,IF(CO311&gt;=3,CN311*1.5*2,CN311*(CO311-1.5)*2))</f>
        <v>10.155936000000001</v>
      </c>
      <c r="CR311" s="539">
        <f t="shared" si="2099"/>
        <v>0</v>
      </c>
      <c r="CS311" s="540">
        <f t="shared" si="2100"/>
        <v>0</v>
      </c>
      <c r="CT311" s="540">
        <f t="shared" si="2101"/>
        <v>0.33012999999999998</v>
      </c>
      <c r="CU311" s="541">
        <f t="shared" si="2102"/>
        <v>12.596480000000001</v>
      </c>
      <c r="CV311" s="538">
        <f t="shared" si="2103"/>
        <v>1.4152044000000001</v>
      </c>
      <c r="CW311" s="538">
        <f t="shared" si="2104"/>
        <v>22.652232000000001</v>
      </c>
      <c r="CX311" s="104">
        <f t="shared" si="2105"/>
        <v>3.57</v>
      </c>
      <c r="CY311" s="542">
        <f t="shared" si="2106"/>
        <v>1.7849999999999999</v>
      </c>
      <c r="CZ311" s="538">
        <f t="shared" si="2107"/>
        <v>0</v>
      </c>
    </row>
    <row r="312" spans="1:104" s="112" customFormat="1" ht="25" x14ac:dyDescent="0.25">
      <c r="A312" s="100" t="str">
        <f>'BOCA DE LOBO'!C281</f>
        <v>BL53-&gt;PV13.3</v>
      </c>
      <c r="B312" s="100" t="str">
        <f>'BOCA DE LOBO'!A281</f>
        <v>PV13.3</v>
      </c>
      <c r="C312" s="100" t="str">
        <f>VLOOKUP(A312,'BOCA DE LOBO'!$C$229:$M$324,3,0)</f>
        <v>PROJETADO</v>
      </c>
      <c r="D312" s="100" t="str">
        <f>VLOOKUP(A312,'BOCA DE LOBO'!$C$229:$M$324,10,0)</f>
        <v>PROJETADA</v>
      </c>
      <c r="E312" s="100">
        <f t="shared" ref="E312:E334" si="2182">IF(F312-G312*4%&lt;2.5,F312-G312*4%,2.5)</f>
        <v>2.5</v>
      </c>
      <c r="F312" s="100">
        <f>VLOOKUP(A312,'BOCA DE LOBO'!$C$229:$D$324,2,0)</f>
        <v>2.79</v>
      </c>
      <c r="G312" s="100">
        <f>VLOOKUP(A312,'BOCA DE LOBO'!$C$229:$F$324,4,0)</f>
        <v>6.09</v>
      </c>
      <c r="H312" s="101">
        <v>400</v>
      </c>
      <c r="I312" s="102">
        <f t="shared" ref="I312:I334" si="2183">IF(H312=400,((E312+F312)/2)+0.08+U312,IF(H312=500,((E312+F312)/2)+0.1+U312,IF(H312=600,((E312+F312)/2)+0.12+U312,IF(H312=800,((E312+F312)/2)+0.16+U312,IF(H312=1000,((E312+F312)/2)+0.2+U312,IF(H312=1200,((E312+F312)/2)+0.24+U312,IF(H312=1500,((E312+F312)/2)+0.3+U312,IF(H312&gt;1500,((E312+F312)/2)+0.4+U312))))))))</f>
        <v>2.7749999999999999</v>
      </c>
      <c r="J312" s="102">
        <f t="shared" ref="J312:J334" si="2184">IF(L312=0,0,IF(I312&gt;=1.25,G312*I312/20,0))</f>
        <v>0.84498749999999989</v>
      </c>
      <c r="K312" s="103">
        <v>0</v>
      </c>
      <c r="L312" s="104">
        <f t="shared" ref="L312:L334" si="2185">IF(D312&lt;&gt;"PROJETADA",0,IF(H312=400,1,0)+IF(H312=500,1.2,0)+IF(H312=600,1.4,0)+IF(H312=800,1.7,0)+IF(H312=1000,2,0)+IF(H312=1200,2.2,0)+IF(H312=1500,2.6,0)+IF(H312=1650,3,0)+IF(H312=1800,3.2,0)+IF(H312=2000,3.4,0)+IF(H312=2200,3.6,0)+IF(H312=2400,3.8,0)+IF(H312=2600,4,0)+IF(H312=3000,4.4,0))</f>
        <v>1</v>
      </c>
      <c r="M312" s="104">
        <f t="shared" ref="M312:M334" si="2186">2*K312*I312+L312</f>
        <v>1</v>
      </c>
      <c r="N312" s="104">
        <f t="shared" ref="N312:N334" si="2187">IF(OR(D312="EXISTENTE",D312="AMPLIADA"),400,0)</f>
        <v>0</v>
      </c>
      <c r="O312" s="104">
        <f t="shared" ref="O312:O334" si="2188">IF(P312="TERRENO NATURAL",0,M312*G312)</f>
        <v>6.09</v>
      </c>
      <c r="P312" s="105" t="s">
        <v>1999</v>
      </c>
      <c r="Q312" s="468" t="s">
        <v>2094</v>
      </c>
      <c r="R312" s="105">
        <v>1</v>
      </c>
      <c r="S312" s="105">
        <f>VLOOKUP(Q312,Quantitativos!P:R,3,0)</f>
        <v>12</v>
      </c>
      <c r="T312" s="105">
        <f>VLOOKUP(Q312,Quantitativos!P:S,4,0)</f>
        <v>3.5</v>
      </c>
      <c r="U312" s="104">
        <f t="shared" ref="U312:U334" si="2189">IF(H312=400,0.05,0)+IF(H312=500,0.05,0)+IF(H312=600,0.1,0)+IF(H312=800,0.1,0)+IF(H312=1000,0.15,0)+IF(H312=1200,0.15,0)+IF(H312=1500,0.2,0)+IF(H312=1650,0.2,0)+IF(H312=1800,0.2,0)+IF(H312=2000,0.25,0)+IF(H312=2200,0.25,0)+IF(H312=2400,0.25,0)+IF(H312=2600,0.25,0)+IF(H312=3000,0.25,0)</f>
        <v>0.05</v>
      </c>
      <c r="V312" s="106">
        <f t="shared" ref="V312:V334" si="2190">IF(L312=0,0,IF("EXISTENTE"=C312,0,IFERROR((PI()*(N312/1000)*(N312/1000)/4)*G312,0)))</f>
        <v>0</v>
      </c>
      <c r="W312" s="106">
        <f t="shared" si="2033"/>
        <v>19.335749999999997</v>
      </c>
      <c r="X312" s="107">
        <f t="shared" ref="X312:X334" si="2191">W312-SUM(AC312:AJ312)</f>
        <v>0</v>
      </c>
      <c r="Y312" s="107">
        <f t="shared" ref="Y312:Y334" si="2192">IF(R312=1,IF(N312=0,I312+0.4,0.4),0)</f>
        <v>3.1749999999999998</v>
      </c>
      <c r="Z312" s="107">
        <f t="shared" ref="Z312:Z334" si="2193">IF(Y312&gt;0.5,0,IF(S312&lt;I312,S312,I312))</f>
        <v>0</v>
      </c>
      <c r="AA312" s="107">
        <f t="shared" ref="AA312:AA334" si="2194">I312-Z312</f>
        <v>2.7749999999999999</v>
      </c>
      <c r="AB312" s="108">
        <f t="shared" ref="AB312:AB334" si="2195">IF(P312="ASFALTO",IF(D312="PROJETADA",O312,IF(D312="EXISTENTE",0,O312/2)),0)</f>
        <v>6.09</v>
      </c>
      <c r="AC312" s="109">
        <f t="shared" ref="AC312:AC334" si="2196">IF(Y312=0,0,IF(Y312=0.4,IF(L312&lt;=1.5,IF(Z312+0.4&gt;=1.5,0,L312*G312*0.4),0),IF(L312&lt;=1.5,IF(Y312&gt;=1.5,M312*G312*1.5,L312*G312*(Y312)),0)+IF(S312&lt;I312+0.4,0,IF(AND(Y312&lt;=1.5,L312&lt;=1.5),-V312,0))))</f>
        <v>9.1349999999999998</v>
      </c>
      <c r="AD312" s="109">
        <f t="shared" ref="AD312:AD334" si="2197">IF(Y312=0,0,IF(Y312=0.4,IF(L312&lt;=1.5,IF(OR(Z312+0.4&gt;=3,Z312+0.4&lt;1.5),0,L312*G312*0.4),0),IF(IF(L312&lt;=1.5,IF(Y312&gt;=3,M312*G312*1.5,L312*G312*(Y312-1.5)),0)&lt;0,0,IF(L312&lt;=1.5,IF(Y312&gt;=3,M312*G312*1.5,L312*G312*(Y312-1.5)),0))+IF(S312&lt;I312+0.4,0,IF(AND(Y312&lt;=3,L312&lt;=1.5),-V312,0))))</f>
        <v>9.1349999999999998</v>
      </c>
      <c r="AE312" s="109">
        <f t="shared" ref="AE312:AE334" si="2198">IF(Y312=0,0,IF(Y312=0.4,IF(L312&lt;=1.5,IF(OR(Z312+0.4&gt;=4.5,Z312+0.4&lt;3),0,L312*G312*0.4),0),IF(IF(L312&lt;=1.5,IF(Y312&gt;=4.5,M312*G312*1.5,L312*G312*(Y312-3)),0)&lt;0,0,IF(L312&lt;=1.5,IF(Y312&gt;=4.5,M312*G312*1.5,L312*G312*(Y312-3)),0))+IF(S312&lt;I312+0.4,0,IF(AND(Y312&lt;=4.5,L312&lt;=1.5),-V312,0))))</f>
        <v>1.0657499999999989</v>
      </c>
      <c r="AF312" s="109">
        <f t="shared" si="2042"/>
        <v>0</v>
      </c>
      <c r="AG312" s="109">
        <f t="shared" si="2109"/>
        <v>0</v>
      </c>
      <c r="AH312" s="109">
        <f t="shared" si="2110"/>
        <v>0</v>
      </c>
      <c r="AI312" s="537" t="str">
        <f t="shared" ref="AI312:AI334" si="2199">IF(I312&gt;S312,"SIM","NÃO")</f>
        <v>NÃO</v>
      </c>
      <c r="AJ312" s="104">
        <f t="shared" ref="AJ312:AJ334" si="2200">W312-SUM(AC312:AH312)</f>
        <v>0</v>
      </c>
      <c r="AK312" s="104">
        <f t="shared" ref="AK312:AK334" si="2201">IF(I312-T312&lt;0,0,(I312-T312)*G312)/75</f>
        <v>0</v>
      </c>
      <c r="AL312" s="104">
        <f t="shared" ref="AL312:AL334" si="2202">IF(L312=0,0,G312*L312*I312-PI()*(H312/1000)*(H312/1000)/4*G312+AO312)</f>
        <v>18.570458029585524</v>
      </c>
      <c r="AM312" s="102">
        <f t="shared" ref="AM312:AM334" si="2203">IF(L312&lt;1.5,L312*G312*IF(H312&lt;=500,0.05,IF(H312&lt;=800,0.1,IF(H312&lt;=1200,0.15,IF(H312&gt;=1500,0.2)))),0)</f>
        <v>0.30449999999999999</v>
      </c>
      <c r="AN312" s="106">
        <f t="shared" ref="AN312:AN334" si="2204">IF(L312&gt;=1.5,L312*G312*IF(H312&lt;=500,0.05,IF(H312&lt;=800,0.1,IF(H312&lt;=1200,0.15,IF(H312&gt;=1500,0.2)))),0)</f>
        <v>0</v>
      </c>
      <c r="AO312" s="104">
        <f t="shared" ref="AO312:AO334" si="2205">IF(R312=1,0.4*G312*L312,0)</f>
        <v>2.4359999999999999</v>
      </c>
      <c r="AP312" s="104">
        <f t="shared" ref="AP312:AP334" si="2206">IF(AO312&lt;SUM(AF312:AH312),0,AO312)</f>
        <v>2.4359999999999999</v>
      </c>
      <c r="AQ312" s="104">
        <f t="shared" ref="AQ312:AQ334" si="2207">H312/1000+0.3</f>
        <v>0.7</v>
      </c>
      <c r="AR312" s="104">
        <f t="shared" ref="AR312:AR334" si="2208">IF(D312&lt;&gt;"PROJETADA",0,AQ312*L312*G312-PI()*(H312/1000*H312/1000)/4*G312)</f>
        <v>3.4977080295855263</v>
      </c>
      <c r="AS312" s="104">
        <f t="shared" ref="AS312:AS334" si="2209">IF(AR312&lt;SUM(AF312:AH312),0,AR312)</f>
        <v>3.4977080295855263</v>
      </c>
      <c r="AT312" s="104">
        <f t="shared" ref="AT312:AT334" si="2210">IF(P312="ASFALTO",0.15*G312*L312,0)</f>
        <v>0.91349999999999998</v>
      </c>
      <c r="AU312" s="104">
        <f t="shared" ref="AU312:AU334" si="2211">AT312</f>
        <v>0.91349999999999998</v>
      </c>
      <c r="AV312" s="104">
        <f t="shared" ref="AV312:AV334" si="2212">IF(P312="ASFALTO",0.03*G312*L312,0)</f>
        <v>0.1827</v>
      </c>
      <c r="AW312" s="104">
        <f t="shared" ref="AW312:AW334" si="2213">AL312-AO312-SUM(AM312:AN312)-AT312-AU312-AR312</f>
        <v>10.505249999999998</v>
      </c>
      <c r="AX312" s="104">
        <f t="shared" ref="AX312:AX334" si="2214">SUM(AF312:AH312)-AO312-AT312-AR312</f>
        <v>-6.8472080295855262</v>
      </c>
      <c r="AY312" s="104">
        <f t="shared" ref="AY312:AY334" si="2215">SMALL(AW312:AX312,1)</f>
        <v>-6.8472080295855262</v>
      </c>
      <c r="AZ312" s="104">
        <f t="shared" ref="AZ312:AZ334" si="2216">AW312-AY312</f>
        <v>17.352458029585524</v>
      </c>
      <c r="BA312" s="104">
        <f t="shared" si="2111"/>
        <v>2.8988576756896323</v>
      </c>
      <c r="BB312" s="104">
        <f t="shared" ref="BB312:BB334" si="2217">AZ312-BA312</f>
        <v>14.453600353895892</v>
      </c>
      <c r="BC312" s="104"/>
      <c r="BD312" s="104">
        <f t="shared" ref="BD312:BD334" si="2218">IF(AO312+AT312&gt;0,4%*(AO312+AT312),0)</f>
        <v>0.13397999999999999</v>
      </c>
      <c r="BE312" s="108">
        <f t="shared" ref="BE312:BE334" si="2219">IF(AND(C312="EXISTENTE",D312&lt;&gt;"PROJETADA"),0,IF(H312=400,I312,0))</f>
        <v>2.7749999999999999</v>
      </c>
      <c r="BF312" s="110">
        <f t="shared" ref="BF312:BF334" si="2220">IF(BE312&lt;=1.75,AND(BE312&gt;0)*G312,0)</f>
        <v>0</v>
      </c>
      <c r="BG312" s="110">
        <f t="shared" ref="BG312:BG334" si="2221">IF(BE312&lt;=3,AND(BE312&gt;1.75)*G312,0)</f>
        <v>6.09</v>
      </c>
      <c r="BH312" s="105" t="str">
        <f>VLOOKUP(A312,'BOCA DE LOBO'!$C$229:$I$324,7,0)</f>
        <v>BOCA DE LOBO PROJETADA DUPLA</v>
      </c>
      <c r="BI312" s="104">
        <f t="shared" ref="BI312:BI334" si="2222">IF(BH312=$BI$258,1,0)</f>
        <v>0</v>
      </c>
      <c r="BJ312" s="104">
        <f t="shared" ref="BJ312:BJ334" si="2223">IF(BH312=$BJ$258,1,0)</f>
        <v>0</v>
      </c>
      <c r="BK312" s="104">
        <f t="shared" ref="BK312:BK334" si="2224">IF(BH312=$BK$258,1,0)</f>
        <v>0</v>
      </c>
      <c r="BL312" s="104">
        <f t="shared" ref="BL312:BL334" si="2225">IF(BH312=$BL$258,1,0)</f>
        <v>0</v>
      </c>
      <c r="BM312" s="104">
        <f t="shared" ref="BM312:BM334" si="2226">IF(BH312=$BM$258,1,0)</f>
        <v>0</v>
      </c>
      <c r="BN312" s="104">
        <f t="shared" ref="BN312:BN334" si="2227">IF(BH312=$BN$258,1,0)</f>
        <v>1</v>
      </c>
      <c r="BO312" s="543">
        <f t="shared" ref="BO312:BO334" si="2228">IF(BH312=$BO$258,1,0)</f>
        <v>0</v>
      </c>
      <c r="BP312" s="111"/>
      <c r="BQ312" s="108">
        <f t="shared" ref="BQ312:BQ334" si="2229">IF(L312&lt;=1.5,IF(I312+IF(R312=1,0.5,0)&lt;1.5,(I312+IF(R312=1,0.5,0))*G312*2,G312*2*1.5),0)</f>
        <v>18.27</v>
      </c>
      <c r="BR312" s="108">
        <f t="shared" ref="BR312:BR334" si="2230">IF(L312&lt;=1.5,IF(AND(I312+IF(R312=1,0.5,0)&lt;3,I312+IF(R312=1,0.5,0)&gt;1.5),(I312+IF(R312=1,0.5,0)-1.5)*G312*2,IF(I312+IF(R312=1,0.5,0)&gt;=3,(G312*2*1.5),0)),0)</f>
        <v>18.27</v>
      </c>
      <c r="BS312" s="108">
        <f t="shared" ref="BS312:BS334" si="2231">IF(L312&lt;=1.5,IF(AND(I312+IF(R312=1,0.5,0)&lt;4.5,I312+IF(R312=1,0.5,0)&gt;3),(I312+IF(R312=1,0.5,0)-3)*G312*2,IF(I312+IF(R312=1,0.5,0)&gt;=4.5,(G312*2*1.5),0)),0)</f>
        <v>3.349499999999999</v>
      </c>
      <c r="BV312" s="538">
        <f t="shared" si="2077"/>
        <v>23.347799999999996</v>
      </c>
      <c r="BW312" s="538">
        <f t="shared" si="2078"/>
        <v>7.7825999999999986</v>
      </c>
      <c r="BX312" s="538">
        <f t="shared" si="2079"/>
        <v>3.0325999999999995</v>
      </c>
      <c r="BY312" s="538">
        <f t="shared" ref="BY312:BY334" si="2232">E312</f>
        <v>2.5</v>
      </c>
      <c r="BZ312" s="538">
        <f t="shared" ref="BZ312:BZ334" si="2233">IF(Y312&gt;0.5,0,IF(S312&lt;E312,S312,E312))</f>
        <v>0</v>
      </c>
      <c r="CA312" s="538">
        <f t="shared" ref="CA312:CA334" si="2234">IF(Y312&gt;0.4,BY312+0.4,Y312)</f>
        <v>2.9</v>
      </c>
      <c r="CB312" s="538">
        <f t="shared" ref="CB312:CB334" si="2235">IF(S312&gt;E312,0,E312-S312)</f>
        <v>0</v>
      </c>
      <c r="CC312" s="538">
        <f t="shared" ref="CC312:CC334" si="2236">IF(BZ312&gt;1.5,BW312*1.5,BW312*BZ312)</f>
        <v>0</v>
      </c>
      <c r="CD312" s="538">
        <f t="shared" ref="CD312:CD334" si="2237">IF(BZ312&gt;1.5,BW312*(BZ312-1.5),0)</f>
        <v>0</v>
      </c>
      <c r="CE312" s="538">
        <f t="shared" ref="CE312:CE334" si="2238">IF(CA312=0.4,IF(BZ312+CA312&gt;1.5,0,CA312*BW312),IF(CA312&gt;1.5,BW312*1.5,BW312*CA312))</f>
        <v>11.673899999999998</v>
      </c>
      <c r="CF312" s="538">
        <f t="shared" ref="CF312:CF334" si="2239">IF(CA312=0.4,IF(BZ312+CA312&lt;=1.5,0,CA312*BW312),IF(CA312&gt;1.5,BW312*(CA312-1.5),0))</f>
        <v>10.895639999999997</v>
      </c>
      <c r="CG312" s="538">
        <f t="shared" ref="CG312:CG334" si="2240">BV312-SUM(CC312:CF312)</f>
        <v>0.77825999999999951</v>
      </c>
      <c r="CH312" s="538">
        <f t="shared" ref="CH312:CH334" si="2241">SUM(CC312:CG312)-BV312</f>
        <v>0</v>
      </c>
      <c r="CI312" s="104">
        <f t="shared" si="2090"/>
        <v>0.53549999999999998</v>
      </c>
      <c r="CJ312" s="538">
        <f t="shared" ref="CJ312:CJ334" si="2242">(BW312-BX312)*(BY312+IF(CA312&gt;=0.4,0.4,0))-CI312</f>
        <v>13.239499999999996</v>
      </c>
      <c r="CK312" s="538">
        <f t="shared" si="2112"/>
        <v>13.239499999999996</v>
      </c>
      <c r="CL312" s="538">
        <f t="shared" ref="CL312:CL334" si="2243">CJ312-CK312</f>
        <v>0</v>
      </c>
      <c r="CM312" s="538">
        <f t="shared" ref="CM312:CM334" si="2244">IF(CA312&gt;0,0.5*4%*BW312,0)</f>
        <v>0.15565199999999998</v>
      </c>
      <c r="CN312" s="538">
        <f t="shared" si="2095"/>
        <v>3.57</v>
      </c>
      <c r="CO312" s="538">
        <f t="shared" ref="CO312:CO334" si="2245">IF(CA312&gt;0,BY312+0.5,BY312)</f>
        <v>3</v>
      </c>
      <c r="CP312" s="538">
        <f t="shared" ref="CP312:CP334" si="2246">IF(CO312&gt;=1.5,CN312*1.5*2,CN312*CO312*2)</f>
        <v>10.709999999999999</v>
      </c>
      <c r="CQ312" s="538">
        <f t="shared" ref="CQ312:CQ334" si="2247">IF(CO312&lt;=1.5,0,IF(CO312&gt;=3,CN312*1.5*2,CN312*(CO312-1.5)*2))</f>
        <v>10.709999999999999</v>
      </c>
      <c r="CR312" s="539">
        <f t="shared" si="2099"/>
        <v>0</v>
      </c>
      <c r="CS312" s="540">
        <f t="shared" si="2100"/>
        <v>0</v>
      </c>
      <c r="CT312" s="540">
        <f t="shared" si="2101"/>
        <v>0.33012999999999998</v>
      </c>
      <c r="CU312" s="541">
        <f t="shared" si="2102"/>
        <v>13</v>
      </c>
      <c r="CV312" s="538">
        <f t="shared" si="2103"/>
        <v>1.43895</v>
      </c>
      <c r="CW312" s="538">
        <f t="shared" si="2104"/>
        <v>23.248199999999997</v>
      </c>
      <c r="CX312" s="104">
        <f t="shared" si="2105"/>
        <v>3.57</v>
      </c>
      <c r="CY312" s="542">
        <f t="shared" si="2106"/>
        <v>1.7849999999999999</v>
      </c>
      <c r="CZ312" s="538">
        <f t="shared" si="2107"/>
        <v>0</v>
      </c>
    </row>
    <row r="313" spans="1:104" s="260" customFormat="1" ht="13" x14ac:dyDescent="0.3">
      <c r="A313" s="114" t="str">
        <f>'BOCA DE LOBO'!A282</f>
        <v>EXISTENTE</v>
      </c>
      <c r="B313" s="114"/>
      <c r="C313" s="114"/>
      <c r="D313" s="114"/>
      <c r="E313" s="114"/>
      <c r="F313" s="114"/>
      <c r="G313" s="114"/>
      <c r="H313" s="87"/>
      <c r="I313" s="576"/>
      <c r="J313" s="576"/>
      <c r="K313" s="577"/>
      <c r="L313" s="578"/>
      <c r="M313" s="578"/>
      <c r="N313" s="578"/>
      <c r="O313" s="578"/>
      <c r="P313" s="579"/>
      <c r="Q313" s="137"/>
      <c r="R313" s="579"/>
      <c r="S313" s="105"/>
      <c r="T313" s="105"/>
      <c r="U313" s="578"/>
      <c r="V313" s="580"/>
      <c r="W313" s="580"/>
      <c r="X313" s="581"/>
      <c r="Y313" s="581"/>
      <c r="Z313" s="581"/>
      <c r="AA313" s="581"/>
      <c r="AB313" s="582"/>
      <c r="AC313" s="583"/>
      <c r="AD313" s="583"/>
      <c r="AE313" s="583"/>
      <c r="AF313" s="583"/>
      <c r="AG313" s="583"/>
      <c r="AH313" s="583"/>
      <c r="AI313" s="584"/>
      <c r="AJ313" s="578"/>
      <c r="AK313" s="578"/>
      <c r="AL313" s="578"/>
      <c r="AM313" s="576"/>
      <c r="AN313" s="580"/>
      <c r="AO313" s="578"/>
      <c r="AP313" s="578"/>
      <c r="AQ313" s="578"/>
      <c r="AR313" s="578"/>
      <c r="AS313" s="578"/>
      <c r="AT313" s="578"/>
      <c r="AU313" s="578"/>
      <c r="AV313" s="578"/>
      <c r="AW313" s="578"/>
      <c r="AX313" s="578"/>
      <c r="AY313" s="578"/>
      <c r="AZ313" s="578"/>
      <c r="BA313" s="578"/>
      <c r="BB313" s="578"/>
      <c r="BC313" s="578"/>
      <c r="BD313" s="578"/>
      <c r="BE313" s="582"/>
      <c r="BF313" s="585"/>
      <c r="BG313" s="585"/>
      <c r="BH313" s="579"/>
      <c r="BI313" s="578"/>
      <c r="BJ313" s="578"/>
      <c r="BK313" s="578"/>
      <c r="BL313" s="578"/>
      <c r="BM313" s="578"/>
      <c r="BN313" s="578"/>
      <c r="BO313" s="586"/>
      <c r="BP313" s="587"/>
      <c r="BQ313" s="582"/>
      <c r="BR313" s="582"/>
      <c r="BS313" s="582"/>
      <c r="BV313" s="588"/>
      <c r="BW313" s="588"/>
      <c r="BX313" s="588"/>
      <c r="BY313" s="588"/>
      <c r="BZ313" s="588"/>
      <c r="CA313" s="588"/>
      <c r="CB313" s="588"/>
      <c r="CC313" s="588"/>
      <c r="CD313" s="588"/>
      <c r="CE313" s="588"/>
      <c r="CF313" s="588"/>
      <c r="CG313" s="588"/>
      <c r="CH313" s="588"/>
      <c r="CI313" s="578"/>
      <c r="CJ313" s="588"/>
      <c r="CK313" s="588"/>
      <c r="CL313" s="588"/>
      <c r="CM313" s="588"/>
      <c r="CN313" s="588"/>
      <c r="CO313" s="588"/>
      <c r="CP313" s="588"/>
      <c r="CQ313" s="588"/>
      <c r="CR313" s="127"/>
      <c r="CS313" s="589"/>
      <c r="CT313" s="589"/>
      <c r="CU313" s="590"/>
      <c r="CV313" s="590"/>
      <c r="CW313" s="588"/>
      <c r="CX313" s="578"/>
      <c r="CY313" s="542"/>
      <c r="CZ313" s="588"/>
    </row>
    <row r="314" spans="1:104" s="112" customFormat="1" ht="37.5" x14ac:dyDescent="0.25">
      <c r="A314" s="100" t="str">
        <f>'BOCA DE LOBO'!C283</f>
        <v>BL54-&gt;PV1-67</v>
      </c>
      <c r="B314" s="100" t="str">
        <f>'BOCA DE LOBO'!A283</f>
        <v>PV1-67</v>
      </c>
      <c r="C314" s="100" t="str">
        <f>VLOOKUP(A314,'BOCA DE LOBO'!$C$229:$M$324,3,0)</f>
        <v>EXISTENTE</v>
      </c>
      <c r="D314" s="100" t="str">
        <f>VLOOKUP(A314,'BOCA DE LOBO'!$C$229:$M$324,10,0)</f>
        <v>AMPLIADA</v>
      </c>
      <c r="E314" s="100">
        <f t="shared" si="2182"/>
        <v>1.452</v>
      </c>
      <c r="F314" s="100">
        <f>VLOOKUP(A314,'BOCA DE LOBO'!$C$229:$D$324,2,0)</f>
        <v>1.75</v>
      </c>
      <c r="G314" s="100">
        <f>VLOOKUP(A314,'BOCA DE LOBO'!$C$229:$F$324,4,0)</f>
        <v>7.45</v>
      </c>
      <c r="H314" s="101">
        <v>400</v>
      </c>
      <c r="I314" s="102">
        <f t="shared" si="2183"/>
        <v>1.7310000000000001</v>
      </c>
      <c r="J314" s="102">
        <f t="shared" si="2184"/>
        <v>0</v>
      </c>
      <c r="K314" s="103">
        <v>0</v>
      </c>
      <c r="L314" s="104">
        <f t="shared" si="2185"/>
        <v>0</v>
      </c>
      <c r="M314" s="104">
        <f t="shared" si="2186"/>
        <v>0</v>
      </c>
      <c r="N314" s="104">
        <f t="shared" si="2187"/>
        <v>400</v>
      </c>
      <c r="O314" s="104">
        <f t="shared" si="2188"/>
        <v>0</v>
      </c>
      <c r="P314" s="105" t="s">
        <v>1999</v>
      </c>
      <c r="Q314" s="468" t="s">
        <v>2187</v>
      </c>
      <c r="R314" s="105">
        <v>1</v>
      </c>
      <c r="S314" s="105">
        <v>5</v>
      </c>
      <c r="T314" s="105">
        <v>5</v>
      </c>
      <c r="U314" s="104">
        <f t="shared" si="2189"/>
        <v>0.05</v>
      </c>
      <c r="V314" s="106">
        <f t="shared" si="2190"/>
        <v>0</v>
      </c>
      <c r="W314" s="106">
        <f t="shared" ref="W314:W355" si="2248">IF(O314=0,0,((((K314*I314)*I314)/2)*2+L314*I314)*G314-V314+AO314)</f>
        <v>0</v>
      </c>
      <c r="X314" s="107">
        <f t="shared" si="2191"/>
        <v>0</v>
      </c>
      <c r="Y314" s="107">
        <f t="shared" si="2192"/>
        <v>0.4</v>
      </c>
      <c r="Z314" s="107">
        <f t="shared" si="2193"/>
        <v>1.7310000000000001</v>
      </c>
      <c r="AA314" s="107">
        <f t="shared" si="2194"/>
        <v>0</v>
      </c>
      <c r="AB314" s="108">
        <f t="shared" si="2195"/>
        <v>0</v>
      </c>
      <c r="AC314" s="109">
        <f t="shared" si="2196"/>
        <v>0</v>
      </c>
      <c r="AD314" s="109">
        <f t="shared" si="2197"/>
        <v>0</v>
      </c>
      <c r="AE314" s="109">
        <f t="shared" si="2198"/>
        <v>0</v>
      </c>
      <c r="AF314" s="109">
        <f t="shared" si="2042"/>
        <v>0</v>
      </c>
      <c r="AG314" s="109">
        <f t="shared" si="2109"/>
        <v>0</v>
      </c>
      <c r="AH314" s="109">
        <f t="shared" si="2110"/>
        <v>0</v>
      </c>
      <c r="AI314" s="537" t="str">
        <f t="shared" si="2199"/>
        <v>NÃO</v>
      </c>
      <c r="AJ314" s="104">
        <f t="shared" si="2200"/>
        <v>0</v>
      </c>
      <c r="AK314" s="104">
        <f t="shared" si="2201"/>
        <v>0</v>
      </c>
      <c r="AL314" s="104">
        <f t="shared" si="2202"/>
        <v>0</v>
      </c>
      <c r="AM314" s="102">
        <f t="shared" si="2203"/>
        <v>0</v>
      </c>
      <c r="AN314" s="106">
        <f t="shared" si="2204"/>
        <v>0</v>
      </c>
      <c r="AO314" s="104">
        <f t="shared" si="2205"/>
        <v>0</v>
      </c>
      <c r="AP314" s="104">
        <f t="shared" si="2206"/>
        <v>0</v>
      </c>
      <c r="AQ314" s="104">
        <f t="shared" si="2207"/>
        <v>0.7</v>
      </c>
      <c r="AR314" s="104">
        <f t="shared" si="2208"/>
        <v>0</v>
      </c>
      <c r="AS314" s="104">
        <f t="shared" si="2209"/>
        <v>0</v>
      </c>
      <c r="AT314" s="104">
        <f t="shared" si="2210"/>
        <v>0</v>
      </c>
      <c r="AU314" s="104">
        <f t="shared" si="2211"/>
        <v>0</v>
      </c>
      <c r="AV314" s="104">
        <f t="shared" si="2212"/>
        <v>0</v>
      </c>
      <c r="AW314" s="104">
        <f t="shared" si="2213"/>
        <v>0</v>
      </c>
      <c r="AX314" s="104">
        <f t="shared" si="2214"/>
        <v>0</v>
      </c>
      <c r="AY314" s="104">
        <f t="shared" si="2215"/>
        <v>0</v>
      </c>
      <c r="AZ314" s="104">
        <f t="shared" si="2216"/>
        <v>0</v>
      </c>
      <c r="BA314" s="104">
        <f t="shared" ref="BA314:BA334" si="2249">IF($AZ$356&gt;$BA$358,($BA$358/$AZ$356)*AZ314,AZ314)</f>
        <v>0</v>
      </c>
      <c r="BB314" s="104">
        <f t="shared" si="2217"/>
        <v>0</v>
      </c>
      <c r="BC314" s="104"/>
      <c r="BD314" s="104">
        <f t="shared" si="2218"/>
        <v>0</v>
      </c>
      <c r="BE314" s="108">
        <f t="shared" si="2219"/>
        <v>0</v>
      </c>
      <c r="BF314" s="110">
        <f t="shared" si="2220"/>
        <v>0</v>
      </c>
      <c r="BG314" s="110">
        <f t="shared" si="2221"/>
        <v>0</v>
      </c>
      <c r="BH314" s="105" t="str">
        <f>VLOOKUP(A314,'BOCA DE LOBO'!$C$229:$I$324,7,0)</f>
        <v>BOCA DE LOBO SIMPLES EXISTENTE COM BOCA DE LOBO SIMPLES PROJETADA</v>
      </c>
      <c r="BI314" s="104">
        <f t="shared" si="2222"/>
        <v>0</v>
      </c>
      <c r="BJ314" s="104">
        <f t="shared" si="2223"/>
        <v>1</v>
      </c>
      <c r="BK314" s="104">
        <f t="shared" si="2224"/>
        <v>0</v>
      </c>
      <c r="BL314" s="104">
        <f t="shared" si="2225"/>
        <v>0</v>
      </c>
      <c r="BM314" s="104">
        <f t="shared" si="2226"/>
        <v>0</v>
      </c>
      <c r="BN314" s="104">
        <f t="shared" si="2227"/>
        <v>0</v>
      </c>
      <c r="BO314" s="543">
        <f t="shared" si="2228"/>
        <v>0</v>
      </c>
      <c r="BP314" s="111"/>
      <c r="BQ314" s="108">
        <f t="shared" si="2229"/>
        <v>22.35</v>
      </c>
      <c r="BR314" s="108">
        <f t="shared" si="2230"/>
        <v>10.891899999999998</v>
      </c>
      <c r="BS314" s="108">
        <f t="shared" si="2231"/>
        <v>0</v>
      </c>
      <c r="BV314" s="538">
        <f t="shared" ref="BV314:BV355" si="2250">IF(OR("BOCA DE LOBO EXISTENTE TRIPLA"=BH314,"BOCA DE LOBO EXISTENTE SIMPLES"=BH314,"BOCA DE LOBO EXISTENTE DUPLA"=BH314),0,IF("BOCA DE LOBO PROJETADA DUPLA"=BH314,(2.57+1)*(1.18+1),IF(OR("BOCA DE LOBO DUPLA EXISTENTE COM BOCA DE LOBO SIMPLES PROJETADA"=BH314,"BOCA DE LOBO SIMPLES EXISTENTE COM BOCA DE LOBO SIMPLES PROJETADA"=BH314),(1.18+0.5)*(1.18+1),IF(OR(BH314="BOCA DE LOBO DUPLA EXISTENTE COM BOCA DE LOBO DUPLA PROJETADA",BH314="BOCA DE LOBO SIMPLES EXISTENTE COM BOCA DE LOBO DUPLA PROJETADA"),(2.38+0.5)*(1.18+1),IF("BOCA DE LOBO PROJETADA TRIPLA"=BH314,(3.76+1)*(1.18+1),IF("BOCA DE LOBO PROJETADA QUADRUPLA"=BH314,(4.92+1)*(1.18+1),"X"))))))*(E314+IF(CA314&gt;0,0.5,0))</f>
        <v>7.1490047999999984</v>
      </c>
      <c r="BW314" s="538">
        <f t="shared" ref="BW314:BW355" si="2251">IF(OR("BOCA DE LOBO EXISTENTE TRIPLA"=BH314,"BOCA DE LOBO EXISTENTE SIMPLES"=BH314,"BOCA DE LOBO EXISTENTE DUPLA"=BH314),0,IF("BOCA DE LOBO PROJETADA DUPLA"=BH314,(2.57+1)*(1.18+1),IF(OR("BOCA DE LOBO DUPLA EXISTENTE COM BOCA DE LOBO SIMPLES PROJETADA"=BH314,"BOCA DE LOBO SIMPLES EXISTENTE COM BOCA DE LOBO SIMPLES PROJETADA"=BH314),(1.18+1)*(1.18+0.5),IF(OR(BH314="BOCA DE LOBO DUPLA EXISTENTE COM BOCA DE LOBO DUPLA PROJETADA",BH314="BOCA DE LOBO SIMPLES EXISTENTE COM BOCA DE LOBO DUPLA PROJETADA"),(2.38+0.5)*(1.18+1),IF("BOCA DE LOBO PROJETADA TRIPLA"=BH314,(3.76+0.5*2)*(1.18+1),IF("BOCA DE LOBO PROJETADA QUADRUPLA"=BH314,(4.92+0.5*2)*(1.18+1),"X"))))))</f>
        <v>3.6623999999999994</v>
      </c>
      <c r="BX314" s="538">
        <f t="shared" ref="BX314:BX355" si="2252">IF(OR("BOCA DE LOBO EXISTENTE TRIPLA"=BH314,"BOCA DE LOBO EXISTENTE SIMPLES"=BH314,"BOCA DE LOBO EXISTENTE DUPLA"=BH314),0,IF("BOCA DE LOBO PROJETADA DUPLA"=BH314,(2.57)*(1.18),IF(OR("BOCA DE LOBO DUPLA EXISTENTE COM BOCA DE LOBO SIMPLES PROJETADA"=BH314,"BOCA DE LOBO SIMPLES EXISTENTE COM BOCA DE LOBO SIMPLES PROJETADA"=BH314),(1.18)*(1.18),IF(OR(BH314="BOCA DE LOBO DUPLA EXISTENTE COM BOCA DE LOBO DUPLA PROJETADA",BH314="BOCA DE LOBO SIMPLES EXISTENTE COM BOCA DE LOBO DUPLA PROJETADA"),(2.38)*(1.18),IF("BOCA DE LOBO PROJETADA TRIPLA"=BH314,(3.76)*(1.18),IF("BOCA DE LOBO PROJETADA QUADRUPLA"=BH314,(4.92)*(1.18),"X"))))))</f>
        <v>1.3923999999999999</v>
      </c>
      <c r="BY314" s="538">
        <f t="shared" si="2232"/>
        <v>1.452</v>
      </c>
      <c r="BZ314" s="538">
        <f t="shared" si="2233"/>
        <v>1.452</v>
      </c>
      <c r="CA314" s="538">
        <f t="shared" si="2234"/>
        <v>0.4</v>
      </c>
      <c r="CB314" s="538">
        <f t="shared" si="2235"/>
        <v>0</v>
      </c>
      <c r="CC314" s="538">
        <f t="shared" si="2236"/>
        <v>5.3178047999999993</v>
      </c>
      <c r="CD314" s="538">
        <f t="shared" si="2237"/>
        <v>0</v>
      </c>
      <c r="CE314" s="538">
        <f t="shared" si="2238"/>
        <v>0</v>
      </c>
      <c r="CF314" s="538">
        <f t="shared" si="2239"/>
        <v>1.4649599999999998</v>
      </c>
      <c r="CG314" s="538">
        <f t="shared" si="2240"/>
        <v>0.36623999999999945</v>
      </c>
      <c r="CH314" s="538">
        <f t="shared" si="2241"/>
        <v>0</v>
      </c>
      <c r="CI314" s="104">
        <f t="shared" ref="CI314:CI355" si="2253">IF(OR("BOCA DE LOBO EXISTENTE TRIPLA"=BH314,"BOCA DE LOBO EXISTENTE SIMPLES"=BH314,"BOCA DE LOBO EXISTENTE DUPLA"=BH314),0,IF("BOCA DE LOBO PROJETADA DUPLA"=BH314,(2.57+1)*(0.5),IF(OR("BOCA DE LOBO DUPLA EXISTENTE COM BOCA DE LOBO SIMPLES PROJETADA"=BH314,"BOCA DE LOBO SIMPLES EXISTENTE COM BOCA DE LOBO SIMPLES PROJETADA"=BH314),(1.18+0.5)*(0.5),IF(OR(BH314="BOCA DE LOBO DUPLA EXISTENTE COM BOCA DE LOBO DUPLA PROJETADA",BH314="BOCA DE LOBO SIMPLES EXISTENTE COM BOCA DE LOBO DUPLA PROJETADA"),(2.38+0.5)*(0.5),IF("BOCA DE LOBO PROJETADA TRIPLA"=BH314,(3.76+1)*(0.5),IF("BOCA DE LOBO PROJETADA QUADRUPLA"=BH314,(4.92+1)*(0.5),"X")))))*0.3)</f>
        <v>0.252</v>
      </c>
      <c r="CJ314" s="538">
        <f t="shared" si="2242"/>
        <v>3.9520399999999993</v>
      </c>
      <c r="CK314" s="538">
        <f t="shared" ref="CK314:CK334" si="2254">IF($CK$358&gt;$CJ$356,CJ314,CJ314*$CK$358/$CJ$356)</f>
        <v>3.9520399999999993</v>
      </c>
      <c r="CL314" s="538">
        <f t="shared" si="2243"/>
        <v>0</v>
      </c>
      <c r="CM314" s="538">
        <f t="shared" si="2244"/>
        <v>7.3247999999999994E-2</v>
      </c>
      <c r="CN314" s="538">
        <f t="shared" ref="CN314:CN355" si="2255">IF(OR("BOCA DE LOBO EXISTENTE TRIPLA"=BH314,"BOCA DE LOBO EXISTENTE SIMPLES"=BH314,"BOCA DE LOBO EXISTENTE DUPLA"=BH314),0,IF("BOCA DE LOBO PROJETADA DUPLA"=BH314,(2.57+1),IF(OR("BOCA DE LOBO DUPLA EXISTENTE COM BOCA DE LOBO SIMPLES PROJETADA"=BH314,"BOCA DE LOBO SIMPLES EXISTENTE COM BOCA DE LOBO SIMPLES PROJETADA"=BH314),(1.18+0.5),IF(OR(BH314="BOCA DE LOBO DUPLA EXISTENTE COM BOCA DE LOBO DUPLA PROJETADA",BH314="BOCA DE LOBO SIMPLES EXISTENTE COM BOCA DE LOBO DUPLA PROJETADA"),(2.38+0.5),IF("BOCA DE LOBO PROJETADA TRIPLA"=BH314,(3.76+0.5*2),IF("BOCA DE LOBO PROJETADA QUADRUPLA"=BH314,(4.92+0.5*2),"X"))))))</f>
        <v>1.68</v>
      </c>
      <c r="CO314" s="538">
        <f t="shared" si="2245"/>
        <v>1.952</v>
      </c>
      <c r="CP314" s="538">
        <f t="shared" si="2246"/>
        <v>5.04</v>
      </c>
      <c r="CQ314" s="538">
        <f t="shared" si="2247"/>
        <v>1.5187199999999998</v>
      </c>
      <c r="CR314" s="539">
        <f t="shared" ref="CR314:CR355" si="2256">IF(D314="AMPLIADA",0.55*(E314-0.5),0)</f>
        <v>0.52360000000000007</v>
      </c>
      <c r="CS314" s="540">
        <f t="shared" ref="CS314:CS355" si="2257">IF(OR("BOCA DE LOBO EXISTENTE TRIPLA"=BH314,"BOCA DE LOBO EXISTENTE SIMPLES"=BH314,"BOCA DE LOBO EXISTENTE DUPLA"=BH314,"BOCA DE LOBO EXISTENTE QUADRUPLA"=BH314),0,IF("BOCA DE LOBO PROJETADA DUPLA"=BH314,(0),IF(OR("BOCA DE LOBO DUPLA EXISTENTE COM BOCA DE LOBO SIMPLES PROJETADA"=BH314,"BOCA DE LOBO SIMPLES EXISTENTE COM BOCA DE LOBO SIMPLES PROJETADA"=BH314),(0.8*0.15*0.17),IF(OR(BH314="BOCA DE LOBO DUPLA EXISTENTE COM BOCA DE LOBO DUPLA PROJETADA",BH314="BOCA DE LOBO SIMPLES EXISTENTE COM BOCA DE LOBO DUPLA PROJETADA"),(0.8*0.15*0.17),IF("BOCA DE LOBO PROJETADA TRIPLA"=BH314,(0),IF("BOCA DE LOBO PROJETADA QUADRUPLA"=BH314,(0),"X")))))*E314)</f>
        <v>2.9620800000000003E-2</v>
      </c>
      <c r="CT314" s="540">
        <f t="shared" ref="CT314:CT355" si="2258">IF(OR("BOCA DE LOBO EXISTENTE TRIPLA"=BH314,"BOCA DE LOBO EXISTENTE SIMPLES"=BH314,"BOCA DE LOBO EXISTENTE DUPLA"=BH314,"BOCA DE LOBO EXISTENTE QUADRUPLA"=BH314),0,IF("BOCA DE LOBO PROJETADA DUPLA"=BH314,(1.18*2.57*0.05),IF(OR("BOCA DE LOBO DUPLA EXISTENTE COM BOCA DE LOBO SIMPLES PROJETADA"=BH314,"BOCA DE LOBO SIMPLES EXISTENTE COM BOCA DE LOBO SIMPLES PROJETADA"=BH314),(1.19*1.18*0.05),IF(OR(BH314="BOCA DE LOBO DUPLA EXISTENTE COM BOCA DE LOBO DUPLA PROJETADA",BH314="BOCA DE LOBO SIMPLES EXISTENTE COM BOCA DE LOBO DUPLA PROJETADA"),(2.38*1.18*0.056),IF("BOCA DE LOBO PROJETADA TRIPLA"=BH314,(3.76*1.18*0.05),IF("BOCA DE LOBO PROJETADA QUADRUPLA"=BH314,(4.92*1.18*0.05),"X")))))+CI314/3)</f>
        <v>0.15421000000000001</v>
      </c>
      <c r="CU314" s="541">
        <f t="shared" ref="CU314:CU355" si="2259">IF(OR("BOCA DE LOBO EXISTENTE TRIPLA"=BH314,"BOCA DE LOBO EXISTENTE SIMPLES"=BH314,"BOCA DE LOBO EXISTENTE DUPLA"=BH314,"BOCA DE LOBO EXISTENTE QUADRUPLA"=BH314),0,IF("BOCA DE LOBO PROJETADA DUPLA"=BH314,(1*4+0.6*2),IF(OR("BOCA DE LOBO DUPLA EXISTENTE COM BOCA DE LOBO SIMPLES PROJETADA"=BH314,"BOCA DE LOBO SIMPLES EXISTENTE COM BOCA DE LOBO SIMPLES PROJETADA"=BH314),(1*2+0.6),IF(OR(BH314="BOCA DE LOBO DUPLA EXISTENTE COM BOCA DE LOBO DUPLA PROJETADA",BH314="BOCA DE LOBO SIMPLES EXISTENTE COM BOCA DE LOBO DUPLA PROJETADA"),(1*4+0.6),IF("BOCA DE LOBO PROJETADA TRIPLA"=BH314,(6*1+0.6*2),IF("BOCA DE LOBO PROJETADA QUADRUPLA"=BH314,(8*1+0.6*2),"X")))))*E314)</f>
        <v>3.7751999999999999</v>
      </c>
      <c r="CV314" s="538">
        <f t="shared" ref="CV314:CV355" si="2260">IF(OR("BOCA DE LOBO EXISTENTE TRIPLA"=BH314,"BOCA DE LOBO EXISTENTE SIMPLES"=BH314,"BOCA DE LOBO EXISTENTE DUPLA"=BH314,"BOCA DE LOBO EXISTENTE QUADRUPLA"=BH314),0,IF("BOCA DE LOBO PROJETADA DUPLA"=BH314,(12*E314*0.17*0.15+1*0.17*0.15*5+1.09*0.6*0.07*2+2.57*1.18*0.15),IF(OR("BOCA DE LOBO DUPLA EXISTENTE COM BOCA DE LOBO SIMPLES PROJETADA"=BH314,"BOCA DE LOBO SIMPLES EXISTENTE COM BOCA DE LOBO SIMPLES PROJETADA"=BH314),(8*E314*0.17*0.15+1*0.17*0.15*4+1.09*0.6*0.07*1+1.38*1.18*0.15),IF(OR(BH314="BOCA DE LOBO DUPLA EXISTENTE COM BOCA DE LOBO DUPLA PROJETADA",BH314="BOCA DE LOBO SIMPLES EXISTENTE COM BOCA DE LOBO DUPLA PROJETADA"),(7*E314*0.17*0.15+1*0.17*0.15*5+1.09*0.6*0.07*2+2.38*1.18*0.15),IF("BOCA DE LOBO PROJETADA TRIPLA"=BH314,(15*E314*0.17*0.15+1*0.17*0.15*7+1.09*0.6*0.07*3+3.76*1.18*0.15),IF("BOCA DE LOBO PROJETADA QUADRUPLA"=BH314,(19*E314*0.17*0.15+1*0.17*0.15*9+1.09*0.6*0.07*4+4.92*1.18*0.15),"X"))))))</f>
        <v>0.68824799999999997</v>
      </c>
      <c r="CW314" s="538">
        <f t="shared" ref="CW314:CW355" si="2261">IF(OR("BOCA DE LOBO EXISTENTE TRIPLA"=BH314,"BOCA DE LOBO EXISTENTE SIMPLES"=BH314,"BOCA DE LOBO EXISTENTE DUPLA"=BH314,"BOCA DE LOBO EXISTENTE QUADRUPLA"=BH314),0,IF("BOCA DE LOBO PROJETADA DUPLA"=BH314,(12*E314*2*(0.17+0.15)+1*(2*0.17+0.15)*5+2*(2.57+1.18)*0.15+(1.09+0.6)*2*0.07*2),IF(OR("BOCA DE LOBO DUPLA EXISTENTE COM BOCA DE LOBO SIMPLES PROJETADA"=BH314,"BOCA DE LOBO SIMPLES EXISTENTE COM BOCA DE LOBO SIMPLES PROJETADA"=BH314),(8*E314*2*(0.17+0.15)+1*(2*0.17+0.15)*4+2*(1.38+1.18)*0.15+(1.09+0.6)*2*0.07*1),IF(OR(BH314="BOCA DE LOBO DUPLA EXISTENTE COM BOCA DE LOBO DUPLA PROJETADA",BH314="BOCA DE LOBO SIMPLES EXISTENTE COM BOCA DE LOBO DUPLA PROJETADA"),(7*E314*2*(0.17+0.15)+1*(2*0.17+0.15)*5+2*(2.38+1.18)*0.15+(1.09+0.6)*2*0.07*2),IF("BOCA DE LOBO PROJETADA TRIPLA"=BH314,(15*E314*2*(0.17+0.15)+1*(2*0.17+0.15)*7+2*(3.76+1.18)*0.15+(1.09+0.6)*2*0.07*3),IF("BOCA DE LOBO PROJETADA QUADRUPLA"=BH314,(19*E314*2*(0.17+0.15)+1*(2*0.17+0.15)*7+2*(4.92+1.18)*0.15+(1.09+0.6)*2*0.07*4),"X"))))))</f>
        <v>10.39884</v>
      </c>
      <c r="CX314" s="104">
        <f t="shared" ref="CX314:CX355" si="2262">IF(OR("BOCA DE LOBO EXISTENTE TRIPLA"=BH314,"BOCA DE LOBO EXISTENTE SIMPLES"=BH314,"BOCA DE LOBO EXISTENTE DUPLA"=BH314,"BOCA DE LOBO EXISTENTE QUADRUPLA"=BH314),0,IF("BOCA DE LOBO PROJETADA DUPLA"=BH314,(2.57+1),IF(OR("BOCA DE LOBO DUPLA EXISTENTE COM BOCA DE LOBO SIMPLES PROJETADA"=BH314,"BOCA DE LOBO SIMPLES EXISTENTE COM BOCA DE LOBO SIMPLES PROJETADA"=BH314),(1.18+0.5),IF(OR(BH314="BOCA DE LOBO DUPLA EXISTENTE COM BOCA DE LOBO DUPLA PROJETADA",BH314="BOCA DE LOBO SIMPLES EXISTENTE COM BOCA DE LOBO DUPLA PROJETADA"),(2.38+0.5),IF("BOCA DE LOBO PROJETADA TRIPLA"=BH314,(3.76+1),IF("BOCA DE LOBO PROJETADA QUADRUPLA"=BH314,(4.92+1),"X"))))))</f>
        <v>1.68</v>
      </c>
      <c r="CY314" s="542">
        <f t="shared" ref="CY314:CY355" si="2263">CX314*0.5</f>
        <v>0.84</v>
      </c>
      <c r="CZ314" s="538">
        <f t="shared" ref="CZ314:CZ355" si="2264">IF(AND(C314="EXISTENTE",D314="PROJETADA"),PI()*0.51*0.51/4*0.12,0)</f>
        <v>0</v>
      </c>
    </row>
    <row r="315" spans="1:104" s="112" customFormat="1" ht="37.5" x14ac:dyDescent="0.25">
      <c r="A315" s="100" t="str">
        <f>'BOCA DE LOBO'!C284</f>
        <v>BL55-&gt;PV2-67</v>
      </c>
      <c r="B315" s="100" t="str">
        <f>'BOCA DE LOBO'!A284</f>
        <v>PV2-67</v>
      </c>
      <c r="C315" s="100" t="str">
        <f>VLOOKUP(A315,'BOCA DE LOBO'!$C$229:$M$324,3,0)</f>
        <v>EXISTENTE</v>
      </c>
      <c r="D315" s="100" t="str">
        <f>VLOOKUP(A315,'BOCA DE LOBO'!$C$229:$M$324,10,0)</f>
        <v>AMPLIADA</v>
      </c>
      <c r="E315" s="100">
        <f t="shared" si="2182"/>
        <v>1.5848000000000455</v>
      </c>
      <c r="F315" s="100">
        <f>VLOOKUP(A315,'BOCA DE LOBO'!$C$229:$D$324,2,0)</f>
        <v>1.7000000000000455</v>
      </c>
      <c r="G315" s="100">
        <f>VLOOKUP(A315,'BOCA DE LOBO'!$C$229:$F$324,4,0)</f>
        <v>2.88</v>
      </c>
      <c r="H315" s="101">
        <v>400</v>
      </c>
      <c r="I315" s="102">
        <f t="shared" si="2183"/>
        <v>1.7724000000000457</v>
      </c>
      <c r="J315" s="102">
        <f t="shared" si="2184"/>
        <v>0</v>
      </c>
      <c r="K315" s="103">
        <v>0</v>
      </c>
      <c r="L315" s="104">
        <f t="shared" si="2185"/>
        <v>0</v>
      </c>
      <c r="M315" s="104">
        <f t="shared" si="2186"/>
        <v>0</v>
      </c>
      <c r="N315" s="104">
        <f t="shared" si="2187"/>
        <v>400</v>
      </c>
      <c r="O315" s="104">
        <f t="shared" si="2188"/>
        <v>0</v>
      </c>
      <c r="P315" s="105" t="s">
        <v>1999</v>
      </c>
      <c r="Q315" s="468" t="s">
        <v>2185</v>
      </c>
      <c r="R315" s="105"/>
      <c r="S315" s="105">
        <v>5</v>
      </c>
      <c r="T315" s="105">
        <v>5</v>
      </c>
      <c r="U315" s="104">
        <f t="shared" si="2189"/>
        <v>0.05</v>
      </c>
      <c r="V315" s="106">
        <f t="shared" si="2190"/>
        <v>0</v>
      </c>
      <c r="W315" s="106">
        <f t="shared" si="2248"/>
        <v>0</v>
      </c>
      <c r="X315" s="107">
        <f t="shared" si="2191"/>
        <v>0</v>
      </c>
      <c r="Y315" s="107">
        <f t="shared" si="2192"/>
        <v>0</v>
      </c>
      <c r="Z315" s="107">
        <f t="shared" si="2193"/>
        <v>1.7724000000000457</v>
      </c>
      <c r="AA315" s="107">
        <f t="shared" si="2194"/>
        <v>0</v>
      </c>
      <c r="AB315" s="108">
        <f t="shared" si="2195"/>
        <v>0</v>
      </c>
      <c r="AC315" s="109">
        <f t="shared" si="2196"/>
        <v>0</v>
      </c>
      <c r="AD315" s="109">
        <f t="shared" si="2197"/>
        <v>0</v>
      </c>
      <c r="AE315" s="109">
        <f t="shared" si="2198"/>
        <v>0</v>
      </c>
      <c r="AF315" s="109">
        <f t="shared" si="2042"/>
        <v>0</v>
      </c>
      <c r="AG315" s="109">
        <f t="shared" si="2109"/>
        <v>0</v>
      </c>
      <c r="AH315" s="109">
        <f t="shared" si="2110"/>
        <v>0</v>
      </c>
      <c r="AI315" s="537" t="str">
        <f t="shared" si="2199"/>
        <v>NÃO</v>
      </c>
      <c r="AJ315" s="104">
        <f t="shared" si="2200"/>
        <v>0</v>
      </c>
      <c r="AK315" s="104">
        <f t="shared" si="2201"/>
        <v>0</v>
      </c>
      <c r="AL315" s="104">
        <f t="shared" si="2202"/>
        <v>0</v>
      </c>
      <c r="AM315" s="102">
        <f t="shared" si="2203"/>
        <v>0</v>
      </c>
      <c r="AN315" s="106">
        <f t="shared" si="2204"/>
        <v>0</v>
      </c>
      <c r="AO315" s="104">
        <f t="shared" si="2205"/>
        <v>0</v>
      </c>
      <c r="AP315" s="104">
        <f t="shared" si="2206"/>
        <v>0</v>
      </c>
      <c r="AQ315" s="104">
        <f t="shared" si="2207"/>
        <v>0.7</v>
      </c>
      <c r="AR315" s="104">
        <f t="shared" si="2208"/>
        <v>0</v>
      </c>
      <c r="AS315" s="104">
        <f t="shared" si="2209"/>
        <v>0</v>
      </c>
      <c r="AT315" s="104">
        <f t="shared" si="2210"/>
        <v>0</v>
      </c>
      <c r="AU315" s="104">
        <f t="shared" si="2211"/>
        <v>0</v>
      </c>
      <c r="AV315" s="104">
        <f t="shared" si="2212"/>
        <v>0</v>
      </c>
      <c r="AW315" s="104">
        <f t="shared" si="2213"/>
        <v>0</v>
      </c>
      <c r="AX315" s="104">
        <f t="shared" si="2214"/>
        <v>0</v>
      </c>
      <c r="AY315" s="104">
        <f t="shared" si="2215"/>
        <v>0</v>
      </c>
      <c r="AZ315" s="104">
        <f t="shared" si="2216"/>
        <v>0</v>
      </c>
      <c r="BA315" s="104">
        <f t="shared" si="2249"/>
        <v>0</v>
      </c>
      <c r="BB315" s="104">
        <f t="shared" si="2217"/>
        <v>0</v>
      </c>
      <c r="BC315" s="104"/>
      <c r="BD315" s="104">
        <f t="shared" si="2218"/>
        <v>0</v>
      </c>
      <c r="BE315" s="108">
        <f t="shared" si="2219"/>
        <v>0</v>
      </c>
      <c r="BF315" s="110">
        <f t="shared" si="2220"/>
        <v>0</v>
      </c>
      <c r="BG315" s="110">
        <f t="shared" si="2221"/>
        <v>0</v>
      </c>
      <c r="BH315" s="105" t="str">
        <f>VLOOKUP(A315,'BOCA DE LOBO'!$C$229:$I$324,7,0)</f>
        <v>BOCA DE LOBO SIMPLES EXISTENTE COM BOCA DE LOBO SIMPLES PROJETADA</v>
      </c>
      <c r="BI315" s="104">
        <f t="shared" si="2222"/>
        <v>0</v>
      </c>
      <c r="BJ315" s="104">
        <f t="shared" si="2223"/>
        <v>1</v>
      </c>
      <c r="BK315" s="104">
        <f t="shared" si="2224"/>
        <v>0</v>
      </c>
      <c r="BL315" s="104">
        <f t="shared" si="2225"/>
        <v>0</v>
      </c>
      <c r="BM315" s="104">
        <f t="shared" si="2226"/>
        <v>0</v>
      </c>
      <c r="BN315" s="104">
        <f t="shared" si="2227"/>
        <v>0</v>
      </c>
      <c r="BO315" s="543">
        <f t="shared" si="2228"/>
        <v>0</v>
      </c>
      <c r="BP315" s="111"/>
      <c r="BQ315" s="108">
        <f t="shared" si="2229"/>
        <v>8.64</v>
      </c>
      <c r="BR315" s="108">
        <f t="shared" si="2230"/>
        <v>1.5690240000002633</v>
      </c>
      <c r="BS315" s="108">
        <f t="shared" si="2231"/>
        <v>0</v>
      </c>
      <c r="BV315" s="538">
        <f t="shared" si="2250"/>
        <v>5.8041715200001658</v>
      </c>
      <c r="BW315" s="538">
        <f t="shared" si="2251"/>
        <v>3.6623999999999994</v>
      </c>
      <c r="BX315" s="538">
        <f t="shared" si="2252"/>
        <v>1.3923999999999999</v>
      </c>
      <c r="BY315" s="538">
        <f t="shared" si="2232"/>
        <v>1.5848000000000455</v>
      </c>
      <c r="BZ315" s="538">
        <f t="shared" si="2233"/>
        <v>1.5848000000000455</v>
      </c>
      <c r="CA315" s="538">
        <f t="shared" si="2234"/>
        <v>0</v>
      </c>
      <c r="CB315" s="538">
        <f t="shared" si="2235"/>
        <v>0</v>
      </c>
      <c r="CC315" s="538">
        <f t="shared" si="2236"/>
        <v>5.4935999999999989</v>
      </c>
      <c r="CD315" s="538">
        <f t="shared" si="2237"/>
        <v>0.31057152000016663</v>
      </c>
      <c r="CE315" s="538">
        <f t="shared" si="2238"/>
        <v>0</v>
      </c>
      <c r="CF315" s="538">
        <f t="shared" si="2239"/>
        <v>0</v>
      </c>
      <c r="CG315" s="538">
        <f t="shared" si="2240"/>
        <v>0</v>
      </c>
      <c r="CH315" s="538">
        <f t="shared" si="2241"/>
        <v>0</v>
      </c>
      <c r="CI315" s="104">
        <f t="shared" si="2253"/>
        <v>0.252</v>
      </c>
      <c r="CJ315" s="538">
        <f t="shared" si="2242"/>
        <v>3.3454960000001028</v>
      </c>
      <c r="CK315" s="538">
        <f t="shared" si="2254"/>
        <v>3.3454960000001028</v>
      </c>
      <c r="CL315" s="538">
        <f t="shared" si="2243"/>
        <v>0</v>
      </c>
      <c r="CM315" s="538">
        <f t="shared" si="2244"/>
        <v>0</v>
      </c>
      <c r="CN315" s="538">
        <f t="shared" si="2255"/>
        <v>1.68</v>
      </c>
      <c r="CO315" s="538">
        <f t="shared" si="2245"/>
        <v>1.5848000000000455</v>
      </c>
      <c r="CP315" s="538">
        <f t="shared" si="2246"/>
        <v>5.04</v>
      </c>
      <c r="CQ315" s="538">
        <f t="shared" si="2247"/>
        <v>0.28492800000015289</v>
      </c>
      <c r="CR315" s="539">
        <f t="shared" si="2256"/>
        <v>0.59664000000002504</v>
      </c>
      <c r="CS315" s="540">
        <f t="shared" si="2257"/>
        <v>3.2329920000000928E-2</v>
      </c>
      <c r="CT315" s="540">
        <f t="shared" si="2258"/>
        <v>0.15421000000000001</v>
      </c>
      <c r="CU315" s="541">
        <f t="shared" si="2259"/>
        <v>4.1204800000001187</v>
      </c>
      <c r="CV315" s="538">
        <f t="shared" si="2260"/>
        <v>0.71533920000000928</v>
      </c>
      <c r="CW315" s="538">
        <f t="shared" si="2261"/>
        <v>11.078776000000232</v>
      </c>
      <c r="CX315" s="104">
        <f t="shared" si="2262"/>
        <v>1.68</v>
      </c>
      <c r="CY315" s="542">
        <f t="shared" si="2263"/>
        <v>0.84</v>
      </c>
      <c r="CZ315" s="538">
        <f t="shared" si="2264"/>
        <v>0</v>
      </c>
    </row>
    <row r="316" spans="1:104" s="112" customFormat="1" ht="25" x14ac:dyDescent="0.25">
      <c r="A316" s="100" t="str">
        <f>'BOCA DE LOBO'!C285</f>
        <v>BL56-&gt;PV1-68</v>
      </c>
      <c r="B316" s="100" t="str">
        <f>'BOCA DE LOBO'!A285</f>
        <v>PV1-68</v>
      </c>
      <c r="C316" s="100" t="str">
        <f>VLOOKUP(A316,'BOCA DE LOBO'!$C$229:$M$324,3,0)</f>
        <v>EXISTENTE</v>
      </c>
      <c r="D316" s="100" t="str">
        <f>VLOOKUP(A316,'BOCA DE LOBO'!$C$229:$M$324,10,0)</f>
        <v>EXISTENTE</v>
      </c>
      <c r="E316" s="100">
        <f t="shared" si="2182"/>
        <v>1.4481999999999826</v>
      </c>
      <c r="F316" s="100">
        <f>VLOOKUP(A316,'BOCA DE LOBO'!$C$229:$D$324,2,0)</f>
        <v>1.6689999999999827</v>
      </c>
      <c r="G316" s="100">
        <f>VLOOKUP(A316,'BOCA DE LOBO'!$C$229:$F$324,4,0)</f>
        <v>5.52</v>
      </c>
      <c r="H316" s="101">
        <v>400</v>
      </c>
      <c r="I316" s="102">
        <f t="shared" si="2183"/>
        <v>1.6885999999999828</v>
      </c>
      <c r="J316" s="102">
        <f t="shared" si="2184"/>
        <v>0</v>
      </c>
      <c r="K316" s="103">
        <v>0</v>
      </c>
      <c r="L316" s="104">
        <f t="shared" si="2185"/>
        <v>0</v>
      </c>
      <c r="M316" s="104">
        <f t="shared" si="2186"/>
        <v>0</v>
      </c>
      <c r="N316" s="104">
        <f t="shared" si="2187"/>
        <v>400</v>
      </c>
      <c r="O316" s="104">
        <f t="shared" si="2188"/>
        <v>0</v>
      </c>
      <c r="P316" s="105" t="s">
        <v>1999</v>
      </c>
      <c r="Q316" s="468" t="s">
        <v>2187</v>
      </c>
      <c r="R316" s="105"/>
      <c r="S316" s="105">
        <v>5</v>
      </c>
      <c r="T316" s="105">
        <v>5</v>
      </c>
      <c r="U316" s="104">
        <f t="shared" si="2189"/>
        <v>0.05</v>
      </c>
      <c r="V316" s="106">
        <f t="shared" si="2190"/>
        <v>0</v>
      </c>
      <c r="W316" s="106">
        <f t="shared" si="2248"/>
        <v>0</v>
      </c>
      <c r="X316" s="107">
        <f t="shared" si="2191"/>
        <v>0</v>
      </c>
      <c r="Y316" s="107">
        <f t="shared" si="2192"/>
        <v>0</v>
      </c>
      <c r="Z316" s="107">
        <f t="shared" si="2193"/>
        <v>1.6885999999999828</v>
      </c>
      <c r="AA316" s="107">
        <f t="shared" si="2194"/>
        <v>0</v>
      </c>
      <c r="AB316" s="108">
        <f t="shared" si="2195"/>
        <v>0</v>
      </c>
      <c r="AC316" s="109">
        <f t="shared" si="2196"/>
        <v>0</v>
      </c>
      <c r="AD316" s="109">
        <f t="shared" si="2197"/>
        <v>0</v>
      </c>
      <c r="AE316" s="109">
        <f t="shared" si="2198"/>
        <v>0</v>
      </c>
      <c r="AF316" s="109">
        <f t="shared" si="2042"/>
        <v>0</v>
      </c>
      <c r="AG316" s="109">
        <f t="shared" si="2109"/>
        <v>0</v>
      </c>
      <c r="AH316" s="109">
        <f t="shared" si="2110"/>
        <v>0</v>
      </c>
      <c r="AI316" s="537" t="str">
        <f t="shared" si="2199"/>
        <v>NÃO</v>
      </c>
      <c r="AJ316" s="104">
        <f t="shared" si="2200"/>
        <v>0</v>
      </c>
      <c r="AK316" s="104">
        <f t="shared" si="2201"/>
        <v>0</v>
      </c>
      <c r="AL316" s="104">
        <f t="shared" si="2202"/>
        <v>0</v>
      </c>
      <c r="AM316" s="102">
        <f t="shared" si="2203"/>
        <v>0</v>
      </c>
      <c r="AN316" s="106">
        <f t="shared" si="2204"/>
        <v>0</v>
      </c>
      <c r="AO316" s="104">
        <f t="shared" si="2205"/>
        <v>0</v>
      </c>
      <c r="AP316" s="104">
        <f t="shared" si="2206"/>
        <v>0</v>
      </c>
      <c r="AQ316" s="104">
        <f t="shared" si="2207"/>
        <v>0.7</v>
      </c>
      <c r="AR316" s="104">
        <f t="shared" si="2208"/>
        <v>0</v>
      </c>
      <c r="AS316" s="104">
        <f t="shared" si="2209"/>
        <v>0</v>
      </c>
      <c r="AT316" s="104">
        <f t="shared" si="2210"/>
        <v>0</v>
      </c>
      <c r="AU316" s="104">
        <f t="shared" si="2211"/>
        <v>0</v>
      </c>
      <c r="AV316" s="104">
        <f t="shared" si="2212"/>
        <v>0</v>
      </c>
      <c r="AW316" s="104">
        <f t="shared" si="2213"/>
        <v>0</v>
      </c>
      <c r="AX316" s="104">
        <f t="shared" si="2214"/>
        <v>0</v>
      </c>
      <c r="AY316" s="104">
        <f t="shared" si="2215"/>
        <v>0</v>
      </c>
      <c r="AZ316" s="104">
        <f t="shared" si="2216"/>
        <v>0</v>
      </c>
      <c r="BA316" s="104">
        <f t="shared" si="2249"/>
        <v>0</v>
      </c>
      <c r="BB316" s="104">
        <f t="shared" si="2217"/>
        <v>0</v>
      </c>
      <c r="BC316" s="104"/>
      <c r="BD316" s="104">
        <f t="shared" si="2218"/>
        <v>0</v>
      </c>
      <c r="BE316" s="108">
        <f t="shared" si="2219"/>
        <v>0</v>
      </c>
      <c r="BF316" s="110">
        <f t="shared" si="2220"/>
        <v>0</v>
      </c>
      <c r="BG316" s="110">
        <f t="shared" si="2221"/>
        <v>0</v>
      </c>
      <c r="BH316" s="105" t="str">
        <f>VLOOKUP(A316,'BOCA DE LOBO'!$C$229:$I$324,7,0)</f>
        <v>BOCA DE LOBO EXISTENTE SIMPLES</v>
      </c>
      <c r="BI316" s="104">
        <f t="shared" si="2222"/>
        <v>0</v>
      </c>
      <c r="BJ316" s="104">
        <f t="shared" si="2223"/>
        <v>0</v>
      </c>
      <c r="BK316" s="104">
        <f t="shared" si="2224"/>
        <v>0</v>
      </c>
      <c r="BL316" s="104">
        <f t="shared" si="2225"/>
        <v>0</v>
      </c>
      <c r="BM316" s="104">
        <f t="shared" si="2226"/>
        <v>0</v>
      </c>
      <c r="BN316" s="104">
        <f t="shared" si="2227"/>
        <v>0</v>
      </c>
      <c r="BO316" s="543">
        <f t="shared" si="2228"/>
        <v>0</v>
      </c>
      <c r="BP316" s="111"/>
      <c r="BQ316" s="108">
        <f t="shared" si="2229"/>
        <v>16.559999999999999</v>
      </c>
      <c r="BR316" s="108">
        <f t="shared" si="2230"/>
        <v>2.0821439999998099</v>
      </c>
      <c r="BS316" s="108">
        <f t="shared" si="2231"/>
        <v>0</v>
      </c>
      <c r="BV316" s="538">
        <f t="shared" si="2250"/>
        <v>0</v>
      </c>
      <c r="BW316" s="538">
        <f t="shared" si="2251"/>
        <v>0</v>
      </c>
      <c r="BX316" s="538">
        <f t="shared" si="2252"/>
        <v>0</v>
      </c>
      <c r="BY316" s="538">
        <f t="shared" si="2232"/>
        <v>1.4481999999999826</v>
      </c>
      <c r="BZ316" s="538">
        <f t="shared" si="2233"/>
        <v>1.4481999999999826</v>
      </c>
      <c r="CA316" s="538">
        <f t="shared" si="2234"/>
        <v>0</v>
      </c>
      <c r="CB316" s="538">
        <f t="shared" si="2235"/>
        <v>0</v>
      </c>
      <c r="CC316" s="538">
        <f t="shared" si="2236"/>
        <v>0</v>
      </c>
      <c r="CD316" s="538">
        <f t="shared" si="2237"/>
        <v>0</v>
      </c>
      <c r="CE316" s="538">
        <f t="shared" si="2238"/>
        <v>0</v>
      </c>
      <c r="CF316" s="538">
        <f t="shared" si="2239"/>
        <v>0</v>
      </c>
      <c r="CG316" s="538">
        <f t="shared" si="2240"/>
        <v>0</v>
      </c>
      <c r="CH316" s="538">
        <f t="shared" si="2241"/>
        <v>0</v>
      </c>
      <c r="CI316" s="104">
        <f t="shared" si="2253"/>
        <v>0</v>
      </c>
      <c r="CJ316" s="538">
        <f t="shared" si="2242"/>
        <v>0</v>
      </c>
      <c r="CK316" s="538">
        <f t="shared" si="2254"/>
        <v>0</v>
      </c>
      <c r="CL316" s="538">
        <f t="shared" si="2243"/>
        <v>0</v>
      </c>
      <c r="CM316" s="538">
        <f t="shared" si="2244"/>
        <v>0</v>
      </c>
      <c r="CN316" s="538">
        <f t="shared" si="2255"/>
        <v>0</v>
      </c>
      <c r="CO316" s="538">
        <f t="shared" si="2245"/>
        <v>1.4481999999999826</v>
      </c>
      <c r="CP316" s="538">
        <f t="shared" si="2246"/>
        <v>0</v>
      </c>
      <c r="CQ316" s="538">
        <f t="shared" si="2247"/>
        <v>0</v>
      </c>
      <c r="CR316" s="539">
        <f t="shared" si="2256"/>
        <v>0</v>
      </c>
      <c r="CS316" s="540">
        <f t="shared" si="2257"/>
        <v>0</v>
      </c>
      <c r="CT316" s="540">
        <f t="shared" si="2258"/>
        <v>0</v>
      </c>
      <c r="CU316" s="541">
        <f t="shared" si="2259"/>
        <v>0</v>
      </c>
      <c r="CV316" s="538">
        <f t="shared" si="2260"/>
        <v>0</v>
      </c>
      <c r="CW316" s="538">
        <f t="shared" si="2261"/>
        <v>0</v>
      </c>
      <c r="CX316" s="104">
        <f t="shared" si="2262"/>
        <v>0</v>
      </c>
      <c r="CY316" s="542">
        <f t="shared" si="2263"/>
        <v>0</v>
      </c>
      <c r="CZ316" s="538">
        <f t="shared" si="2264"/>
        <v>0</v>
      </c>
    </row>
    <row r="317" spans="1:104" s="112" customFormat="1" ht="25" x14ac:dyDescent="0.25">
      <c r="A317" s="100" t="str">
        <f>'BOCA DE LOBO'!C286</f>
        <v>BL57-&gt;PV1-69</v>
      </c>
      <c r="B317" s="100" t="str">
        <f>'BOCA DE LOBO'!A286</f>
        <v>PV1-69</v>
      </c>
      <c r="C317" s="100" t="str">
        <f>VLOOKUP(A317,'BOCA DE LOBO'!$C$229:$M$324,3,0)</f>
        <v>EXISTENTE</v>
      </c>
      <c r="D317" s="100" t="str">
        <f>VLOOKUP(A317,'BOCA DE LOBO'!$C$229:$M$324,10,0)</f>
        <v>EXISTENTE</v>
      </c>
      <c r="E317" s="100">
        <f t="shared" si="2182"/>
        <v>1.5206000000000055</v>
      </c>
      <c r="F317" s="100">
        <f>VLOOKUP(A317,'BOCA DE LOBO'!$C$229:$D$324,2,0)</f>
        <v>1.7690000000000055</v>
      </c>
      <c r="G317" s="100">
        <f>VLOOKUP(A317,'BOCA DE LOBO'!$C$229:$F$324,4,0)</f>
        <v>6.21</v>
      </c>
      <c r="H317" s="101">
        <v>400</v>
      </c>
      <c r="I317" s="102">
        <f t="shared" si="2183"/>
        <v>1.7748000000000055</v>
      </c>
      <c r="J317" s="102">
        <f t="shared" si="2184"/>
        <v>0</v>
      </c>
      <c r="K317" s="103">
        <v>0</v>
      </c>
      <c r="L317" s="104">
        <f t="shared" si="2185"/>
        <v>0</v>
      </c>
      <c r="M317" s="104">
        <f t="shared" si="2186"/>
        <v>0</v>
      </c>
      <c r="N317" s="104">
        <f t="shared" si="2187"/>
        <v>400</v>
      </c>
      <c r="O317" s="104">
        <f t="shared" si="2188"/>
        <v>0</v>
      </c>
      <c r="P317" s="105" t="s">
        <v>1999</v>
      </c>
      <c r="Q317" s="468" t="s">
        <v>2187</v>
      </c>
      <c r="R317" s="105"/>
      <c r="S317" s="105">
        <v>5</v>
      </c>
      <c r="T317" s="105">
        <v>5</v>
      </c>
      <c r="U317" s="104">
        <f t="shared" si="2189"/>
        <v>0.05</v>
      </c>
      <c r="V317" s="106">
        <f t="shared" si="2190"/>
        <v>0</v>
      </c>
      <c r="W317" s="106">
        <f t="shared" si="2248"/>
        <v>0</v>
      </c>
      <c r="X317" s="107">
        <f t="shared" si="2191"/>
        <v>0</v>
      </c>
      <c r="Y317" s="107">
        <f t="shared" si="2192"/>
        <v>0</v>
      </c>
      <c r="Z317" s="107">
        <f t="shared" si="2193"/>
        <v>1.7748000000000055</v>
      </c>
      <c r="AA317" s="107">
        <f t="shared" si="2194"/>
        <v>0</v>
      </c>
      <c r="AB317" s="108">
        <f t="shared" si="2195"/>
        <v>0</v>
      </c>
      <c r="AC317" s="109">
        <f t="shared" si="2196"/>
        <v>0</v>
      </c>
      <c r="AD317" s="109">
        <f t="shared" si="2197"/>
        <v>0</v>
      </c>
      <c r="AE317" s="109">
        <f t="shared" si="2198"/>
        <v>0</v>
      </c>
      <c r="AF317" s="109">
        <f t="shared" si="2042"/>
        <v>0</v>
      </c>
      <c r="AG317" s="109">
        <f t="shared" si="2109"/>
        <v>0</v>
      </c>
      <c r="AH317" s="109">
        <f t="shared" si="2110"/>
        <v>0</v>
      </c>
      <c r="AI317" s="537" t="str">
        <f t="shared" si="2199"/>
        <v>NÃO</v>
      </c>
      <c r="AJ317" s="104">
        <f t="shared" si="2200"/>
        <v>0</v>
      </c>
      <c r="AK317" s="104">
        <f t="shared" si="2201"/>
        <v>0</v>
      </c>
      <c r="AL317" s="104">
        <f t="shared" si="2202"/>
        <v>0</v>
      </c>
      <c r="AM317" s="102">
        <f t="shared" si="2203"/>
        <v>0</v>
      </c>
      <c r="AN317" s="106">
        <f t="shared" si="2204"/>
        <v>0</v>
      </c>
      <c r="AO317" s="104">
        <f t="shared" si="2205"/>
        <v>0</v>
      </c>
      <c r="AP317" s="104">
        <f t="shared" si="2206"/>
        <v>0</v>
      </c>
      <c r="AQ317" s="104">
        <f t="shared" si="2207"/>
        <v>0.7</v>
      </c>
      <c r="AR317" s="104">
        <f t="shared" si="2208"/>
        <v>0</v>
      </c>
      <c r="AS317" s="104">
        <f t="shared" si="2209"/>
        <v>0</v>
      </c>
      <c r="AT317" s="104">
        <f t="shared" si="2210"/>
        <v>0</v>
      </c>
      <c r="AU317" s="104">
        <f t="shared" si="2211"/>
        <v>0</v>
      </c>
      <c r="AV317" s="104">
        <f t="shared" si="2212"/>
        <v>0</v>
      </c>
      <c r="AW317" s="104">
        <f t="shared" si="2213"/>
        <v>0</v>
      </c>
      <c r="AX317" s="104">
        <f t="shared" si="2214"/>
        <v>0</v>
      </c>
      <c r="AY317" s="104">
        <f t="shared" si="2215"/>
        <v>0</v>
      </c>
      <c r="AZ317" s="104">
        <f t="shared" si="2216"/>
        <v>0</v>
      </c>
      <c r="BA317" s="104">
        <f t="shared" si="2249"/>
        <v>0</v>
      </c>
      <c r="BB317" s="104">
        <f t="shared" si="2217"/>
        <v>0</v>
      </c>
      <c r="BC317" s="104"/>
      <c r="BD317" s="104">
        <f t="shared" si="2218"/>
        <v>0</v>
      </c>
      <c r="BE317" s="108">
        <f t="shared" si="2219"/>
        <v>0</v>
      </c>
      <c r="BF317" s="110">
        <f t="shared" si="2220"/>
        <v>0</v>
      </c>
      <c r="BG317" s="110">
        <f t="shared" si="2221"/>
        <v>0</v>
      </c>
      <c r="BH317" s="105" t="str">
        <f>VLOOKUP(A317,'BOCA DE LOBO'!$C$229:$I$324,7,0)</f>
        <v>BOCA DE LOBO EXISTENTE SIMPLES</v>
      </c>
      <c r="BI317" s="104">
        <f t="shared" si="2222"/>
        <v>0</v>
      </c>
      <c r="BJ317" s="104">
        <f t="shared" si="2223"/>
        <v>0</v>
      </c>
      <c r="BK317" s="104">
        <f t="shared" si="2224"/>
        <v>0</v>
      </c>
      <c r="BL317" s="104">
        <f t="shared" si="2225"/>
        <v>0</v>
      </c>
      <c r="BM317" s="104">
        <f t="shared" si="2226"/>
        <v>0</v>
      </c>
      <c r="BN317" s="104">
        <f t="shared" si="2227"/>
        <v>0</v>
      </c>
      <c r="BO317" s="543">
        <f t="shared" si="2228"/>
        <v>0</v>
      </c>
      <c r="BP317" s="111"/>
      <c r="BQ317" s="108">
        <f t="shared" si="2229"/>
        <v>18.63</v>
      </c>
      <c r="BR317" s="108">
        <f t="shared" si="2230"/>
        <v>3.4130160000000682</v>
      </c>
      <c r="BS317" s="108">
        <f t="shared" si="2231"/>
        <v>0</v>
      </c>
      <c r="BV317" s="538">
        <f t="shared" si="2250"/>
        <v>0</v>
      </c>
      <c r="BW317" s="538">
        <f t="shared" si="2251"/>
        <v>0</v>
      </c>
      <c r="BX317" s="538">
        <f t="shared" si="2252"/>
        <v>0</v>
      </c>
      <c r="BY317" s="538">
        <f t="shared" si="2232"/>
        <v>1.5206000000000055</v>
      </c>
      <c r="BZ317" s="538">
        <f t="shared" si="2233"/>
        <v>1.5206000000000055</v>
      </c>
      <c r="CA317" s="538">
        <f t="shared" si="2234"/>
        <v>0</v>
      </c>
      <c r="CB317" s="538">
        <f t="shared" si="2235"/>
        <v>0</v>
      </c>
      <c r="CC317" s="538">
        <f t="shared" si="2236"/>
        <v>0</v>
      </c>
      <c r="CD317" s="538">
        <f t="shared" si="2237"/>
        <v>0</v>
      </c>
      <c r="CE317" s="538">
        <f t="shared" si="2238"/>
        <v>0</v>
      </c>
      <c r="CF317" s="538">
        <f t="shared" si="2239"/>
        <v>0</v>
      </c>
      <c r="CG317" s="538">
        <f t="shared" si="2240"/>
        <v>0</v>
      </c>
      <c r="CH317" s="538">
        <f t="shared" si="2241"/>
        <v>0</v>
      </c>
      <c r="CI317" s="104">
        <f t="shared" si="2253"/>
        <v>0</v>
      </c>
      <c r="CJ317" s="538">
        <f t="shared" si="2242"/>
        <v>0</v>
      </c>
      <c r="CK317" s="538">
        <f t="shared" si="2254"/>
        <v>0</v>
      </c>
      <c r="CL317" s="538">
        <f t="shared" si="2243"/>
        <v>0</v>
      </c>
      <c r="CM317" s="538">
        <f t="shared" si="2244"/>
        <v>0</v>
      </c>
      <c r="CN317" s="538">
        <f t="shared" si="2255"/>
        <v>0</v>
      </c>
      <c r="CO317" s="538">
        <f t="shared" si="2245"/>
        <v>1.5206000000000055</v>
      </c>
      <c r="CP317" s="538">
        <f t="shared" si="2246"/>
        <v>0</v>
      </c>
      <c r="CQ317" s="538">
        <f t="shared" si="2247"/>
        <v>0</v>
      </c>
      <c r="CR317" s="539">
        <f t="shared" si="2256"/>
        <v>0</v>
      </c>
      <c r="CS317" s="540">
        <f t="shared" si="2257"/>
        <v>0</v>
      </c>
      <c r="CT317" s="540">
        <f t="shared" si="2258"/>
        <v>0</v>
      </c>
      <c r="CU317" s="541">
        <f t="shared" si="2259"/>
        <v>0</v>
      </c>
      <c r="CV317" s="538">
        <f t="shared" si="2260"/>
        <v>0</v>
      </c>
      <c r="CW317" s="538">
        <f t="shared" si="2261"/>
        <v>0</v>
      </c>
      <c r="CX317" s="104">
        <f t="shared" si="2262"/>
        <v>0</v>
      </c>
      <c r="CY317" s="542">
        <f t="shared" si="2263"/>
        <v>0</v>
      </c>
      <c r="CZ317" s="538">
        <f t="shared" si="2264"/>
        <v>0</v>
      </c>
    </row>
    <row r="318" spans="1:104" s="112" customFormat="1" ht="25" x14ac:dyDescent="0.25">
      <c r="A318" s="100" t="str">
        <f>'BOCA DE LOBO'!C287</f>
        <v>BL58-&gt;PV1-70</v>
      </c>
      <c r="B318" s="100" t="str">
        <f>'BOCA DE LOBO'!A287</f>
        <v>PV1-70</v>
      </c>
      <c r="C318" s="100" t="str">
        <f>VLOOKUP(A318,'BOCA DE LOBO'!$C$229:$M$324,3,0)</f>
        <v>EXISTENTE</v>
      </c>
      <c r="D318" s="100" t="str">
        <f>VLOOKUP(A318,'BOCA DE LOBO'!$C$229:$M$324,10,0)</f>
        <v>EXISTENTE</v>
      </c>
      <c r="E318" s="100">
        <f t="shared" si="2182"/>
        <v>1.4035999999999782</v>
      </c>
      <c r="F318" s="100">
        <f>VLOOKUP(A318,'BOCA DE LOBO'!$C$229:$D$324,2,0)</f>
        <v>1.6739999999999782</v>
      </c>
      <c r="G318" s="100">
        <f>VLOOKUP(A318,'BOCA DE LOBO'!$C$229:$F$324,4,0)</f>
        <v>6.76</v>
      </c>
      <c r="H318" s="101">
        <v>400</v>
      </c>
      <c r="I318" s="102">
        <f t="shared" si="2183"/>
        <v>1.6687999999999783</v>
      </c>
      <c r="J318" s="102">
        <f t="shared" si="2184"/>
        <v>0</v>
      </c>
      <c r="K318" s="103">
        <v>0</v>
      </c>
      <c r="L318" s="104">
        <f t="shared" si="2185"/>
        <v>0</v>
      </c>
      <c r="M318" s="104">
        <f t="shared" si="2186"/>
        <v>0</v>
      </c>
      <c r="N318" s="104">
        <f t="shared" si="2187"/>
        <v>400</v>
      </c>
      <c r="O318" s="104">
        <f t="shared" si="2188"/>
        <v>0</v>
      </c>
      <c r="P318" s="105" t="s">
        <v>1999</v>
      </c>
      <c r="Q318" s="468" t="s">
        <v>2080</v>
      </c>
      <c r="R318" s="105"/>
      <c r="S318" s="105">
        <f>VLOOKUP(Q318,Quantitativos!P:R,3,0)</f>
        <v>5</v>
      </c>
      <c r="T318" s="105">
        <f>VLOOKUP(Q318,Quantitativos!P:S,4,0)</f>
        <v>5</v>
      </c>
      <c r="U318" s="104">
        <f t="shared" si="2189"/>
        <v>0.05</v>
      </c>
      <c r="V318" s="106">
        <f t="shared" si="2190"/>
        <v>0</v>
      </c>
      <c r="W318" s="106">
        <f t="shared" si="2248"/>
        <v>0</v>
      </c>
      <c r="X318" s="107">
        <f t="shared" si="2191"/>
        <v>0</v>
      </c>
      <c r="Y318" s="107">
        <f t="shared" si="2192"/>
        <v>0</v>
      </c>
      <c r="Z318" s="107">
        <f t="shared" si="2193"/>
        <v>1.6687999999999783</v>
      </c>
      <c r="AA318" s="107">
        <f t="shared" si="2194"/>
        <v>0</v>
      </c>
      <c r="AB318" s="108">
        <f t="shared" si="2195"/>
        <v>0</v>
      </c>
      <c r="AC318" s="109">
        <f t="shared" si="2196"/>
        <v>0</v>
      </c>
      <c r="AD318" s="109">
        <f t="shared" si="2197"/>
        <v>0</v>
      </c>
      <c r="AE318" s="109">
        <f t="shared" si="2198"/>
        <v>0</v>
      </c>
      <c r="AF318" s="109">
        <f t="shared" si="2042"/>
        <v>0</v>
      </c>
      <c r="AG318" s="109">
        <f t="shared" si="2109"/>
        <v>0</v>
      </c>
      <c r="AH318" s="109">
        <f t="shared" si="2110"/>
        <v>0</v>
      </c>
      <c r="AI318" s="537" t="str">
        <f t="shared" si="2199"/>
        <v>NÃO</v>
      </c>
      <c r="AJ318" s="104">
        <f t="shared" si="2200"/>
        <v>0</v>
      </c>
      <c r="AK318" s="104">
        <f t="shared" si="2201"/>
        <v>0</v>
      </c>
      <c r="AL318" s="104">
        <f t="shared" si="2202"/>
        <v>0</v>
      </c>
      <c r="AM318" s="102">
        <f t="shared" si="2203"/>
        <v>0</v>
      </c>
      <c r="AN318" s="106">
        <f t="shared" si="2204"/>
        <v>0</v>
      </c>
      <c r="AO318" s="104">
        <f t="shared" si="2205"/>
        <v>0</v>
      </c>
      <c r="AP318" s="104">
        <f t="shared" si="2206"/>
        <v>0</v>
      </c>
      <c r="AQ318" s="104">
        <f t="shared" si="2207"/>
        <v>0.7</v>
      </c>
      <c r="AR318" s="104">
        <f t="shared" si="2208"/>
        <v>0</v>
      </c>
      <c r="AS318" s="104">
        <f t="shared" si="2209"/>
        <v>0</v>
      </c>
      <c r="AT318" s="104">
        <f t="shared" si="2210"/>
        <v>0</v>
      </c>
      <c r="AU318" s="104">
        <f t="shared" si="2211"/>
        <v>0</v>
      </c>
      <c r="AV318" s="104">
        <f t="shared" si="2212"/>
        <v>0</v>
      </c>
      <c r="AW318" s="104">
        <f t="shared" si="2213"/>
        <v>0</v>
      </c>
      <c r="AX318" s="104">
        <f t="shared" si="2214"/>
        <v>0</v>
      </c>
      <c r="AY318" s="104">
        <f t="shared" si="2215"/>
        <v>0</v>
      </c>
      <c r="AZ318" s="104">
        <f t="shared" si="2216"/>
        <v>0</v>
      </c>
      <c r="BA318" s="104">
        <f t="shared" si="2249"/>
        <v>0</v>
      </c>
      <c r="BB318" s="104">
        <f t="shared" si="2217"/>
        <v>0</v>
      </c>
      <c r="BC318" s="104"/>
      <c r="BD318" s="104">
        <f t="shared" si="2218"/>
        <v>0</v>
      </c>
      <c r="BE318" s="108">
        <f t="shared" si="2219"/>
        <v>0</v>
      </c>
      <c r="BF318" s="110">
        <f t="shared" si="2220"/>
        <v>0</v>
      </c>
      <c r="BG318" s="110">
        <f t="shared" si="2221"/>
        <v>0</v>
      </c>
      <c r="BH318" s="105" t="str">
        <f>VLOOKUP(A318,'BOCA DE LOBO'!$C$229:$I$324,7,0)</f>
        <v>BOCA DE LOBO EXISTENTE SIMPLES</v>
      </c>
      <c r="BI318" s="104">
        <f t="shared" si="2222"/>
        <v>0</v>
      </c>
      <c r="BJ318" s="104">
        <f t="shared" si="2223"/>
        <v>0</v>
      </c>
      <c r="BK318" s="104">
        <f t="shared" si="2224"/>
        <v>0</v>
      </c>
      <c r="BL318" s="104">
        <f t="shared" si="2225"/>
        <v>0</v>
      </c>
      <c r="BM318" s="104">
        <f t="shared" si="2226"/>
        <v>0</v>
      </c>
      <c r="BN318" s="104">
        <f t="shared" si="2227"/>
        <v>0</v>
      </c>
      <c r="BO318" s="543">
        <f t="shared" si="2228"/>
        <v>0</v>
      </c>
      <c r="BP318" s="111"/>
      <c r="BQ318" s="108">
        <f t="shared" si="2229"/>
        <v>20.28</v>
      </c>
      <c r="BR318" s="108">
        <f t="shared" si="2230"/>
        <v>2.2821759999997067</v>
      </c>
      <c r="BS318" s="108">
        <f t="shared" si="2231"/>
        <v>0</v>
      </c>
      <c r="BV318" s="538">
        <f t="shared" si="2250"/>
        <v>0</v>
      </c>
      <c r="BW318" s="538">
        <f t="shared" si="2251"/>
        <v>0</v>
      </c>
      <c r="BX318" s="538">
        <f t="shared" si="2252"/>
        <v>0</v>
      </c>
      <c r="BY318" s="538">
        <f t="shared" si="2232"/>
        <v>1.4035999999999782</v>
      </c>
      <c r="BZ318" s="538">
        <f t="shared" si="2233"/>
        <v>1.4035999999999782</v>
      </c>
      <c r="CA318" s="538">
        <f t="shared" si="2234"/>
        <v>0</v>
      </c>
      <c r="CB318" s="538">
        <f t="shared" si="2235"/>
        <v>0</v>
      </c>
      <c r="CC318" s="538">
        <f t="shared" si="2236"/>
        <v>0</v>
      </c>
      <c r="CD318" s="538">
        <f t="shared" si="2237"/>
        <v>0</v>
      </c>
      <c r="CE318" s="538">
        <f t="shared" si="2238"/>
        <v>0</v>
      </c>
      <c r="CF318" s="538">
        <f t="shared" si="2239"/>
        <v>0</v>
      </c>
      <c r="CG318" s="538">
        <f t="shared" si="2240"/>
        <v>0</v>
      </c>
      <c r="CH318" s="538">
        <f t="shared" si="2241"/>
        <v>0</v>
      </c>
      <c r="CI318" s="104">
        <f t="shared" si="2253"/>
        <v>0</v>
      </c>
      <c r="CJ318" s="538">
        <f t="shared" si="2242"/>
        <v>0</v>
      </c>
      <c r="CK318" s="538">
        <f t="shared" si="2254"/>
        <v>0</v>
      </c>
      <c r="CL318" s="538">
        <f t="shared" si="2243"/>
        <v>0</v>
      </c>
      <c r="CM318" s="538">
        <f t="shared" si="2244"/>
        <v>0</v>
      </c>
      <c r="CN318" s="538">
        <f t="shared" si="2255"/>
        <v>0</v>
      </c>
      <c r="CO318" s="538">
        <f t="shared" si="2245"/>
        <v>1.4035999999999782</v>
      </c>
      <c r="CP318" s="538">
        <f t="shared" si="2246"/>
        <v>0</v>
      </c>
      <c r="CQ318" s="538">
        <f t="shared" si="2247"/>
        <v>0</v>
      </c>
      <c r="CR318" s="539">
        <f t="shared" si="2256"/>
        <v>0</v>
      </c>
      <c r="CS318" s="540">
        <f t="shared" si="2257"/>
        <v>0</v>
      </c>
      <c r="CT318" s="540">
        <f t="shared" si="2258"/>
        <v>0</v>
      </c>
      <c r="CU318" s="541">
        <f t="shared" si="2259"/>
        <v>0</v>
      </c>
      <c r="CV318" s="538">
        <f t="shared" si="2260"/>
        <v>0</v>
      </c>
      <c r="CW318" s="538">
        <f t="shared" si="2261"/>
        <v>0</v>
      </c>
      <c r="CX318" s="104">
        <f t="shared" si="2262"/>
        <v>0</v>
      </c>
      <c r="CY318" s="542">
        <f t="shared" si="2263"/>
        <v>0</v>
      </c>
      <c r="CZ318" s="538">
        <f t="shared" si="2264"/>
        <v>0</v>
      </c>
    </row>
    <row r="319" spans="1:104" s="112" customFormat="1" ht="25" x14ac:dyDescent="0.25">
      <c r="A319" s="100" t="str">
        <f>'BOCA DE LOBO'!C288</f>
        <v>BL59-&gt;PV1-71</v>
      </c>
      <c r="B319" s="100" t="str">
        <f>'BOCA DE LOBO'!A288</f>
        <v>PV1-71</v>
      </c>
      <c r="C319" s="100" t="str">
        <f>VLOOKUP(A319,'BOCA DE LOBO'!$C$229:$M$324,3,0)</f>
        <v>EXISTENTE</v>
      </c>
      <c r="D319" s="100" t="str">
        <f>VLOOKUP(A319,'BOCA DE LOBO'!$C$229:$M$324,10,0)</f>
        <v>EXISTENTE</v>
      </c>
      <c r="E319" s="100">
        <f t="shared" si="2182"/>
        <v>1.4177999999999409</v>
      </c>
      <c r="F319" s="100">
        <f>VLOOKUP(A319,'BOCA DE LOBO'!$C$229:$D$324,2,0)</f>
        <v>1.5649999999999409</v>
      </c>
      <c r="G319" s="100">
        <f>VLOOKUP(A319,'BOCA DE LOBO'!$C$229:$F$324,4,0)</f>
        <v>3.68</v>
      </c>
      <c r="H319" s="101">
        <v>400</v>
      </c>
      <c r="I319" s="102">
        <f t="shared" si="2183"/>
        <v>1.6213999999999411</v>
      </c>
      <c r="J319" s="102">
        <f t="shared" si="2184"/>
        <v>0</v>
      </c>
      <c r="K319" s="103">
        <v>0</v>
      </c>
      <c r="L319" s="104">
        <f t="shared" si="2185"/>
        <v>0</v>
      </c>
      <c r="M319" s="104">
        <f t="shared" si="2186"/>
        <v>0</v>
      </c>
      <c r="N319" s="104">
        <f t="shared" si="2187"/>
        <v>400</v>
      </c>
      <c r="O319" s="104">
        <f t="shared" si="2188"/>
        <v>0</v>
      </c>
      <c r="P319" s="105" t="s">
        <v>1999</v>
      </c>
      <c r="Q319" s="468" t="s">
        <v>2188</v>
      </c>
      <c r="R319" s="105"/>
      <c r="S319" s="105">
        <v>5</v>
      </c>
      <c r="T319" s="105">
        <v>5</v>
      </c>
      <c r="U319" s="104">
        <f t="shared" si="2189"/>
        <v>0.05</v>
      </c>
      <c r="V319" s="106">
        <f t="shared" si="2190"/>
        <v>0</v>
      </c>
      <c r="W319" s="106">
        <f t="shared" si="2248"/>
        <v>0</v>
      </c>
      <c r="X319" s="107">
        <f t="shared" si="2191"/>
        <v>0</v>
      </c>
      <c r="Y319" s="107">
        <f t="shared" si="2192"/>
        <v>0</v>
      </c>
      <c r="Z319" s="107">
        <f t="shared" si="2193"/>
        <v>1.6213999999999411</v>
      </c>
      <c r="AA319" s="107">
        <f t="shared" si="2194"/>
        <v>0</v>
      </c>
      <c r="AB319" s="108">
        <f t="shared" si="2195"/>
        <v>0</v>
      </c>
      <c r="AC319" s="109">
        <f t="shared" si="2196"/>
        <v>0</v>
      </c>
      <c r="AD319" s="109">
        <f t="shared" si="2197"/>
        <v>0</v>
      </c>
      <c r="AE319" s="109">
        <f t="shared" si="2198"/>
        <v>0</v>
      </c>
      <c r="AF319" s="109">
        <f t="shared" si="2042"/>
        <v>0</v>
      </c>
      <c r="AG319" s="109">
        <f t="shared" si="2109"/>
        <v>0</v>
      </c>
      <c r="AH319" s="109">
        <f t="shared" si="2110"/>
        <v>0</v>
      </c>
      <c r="AI319" s="537" t="str">
        <f t="shared" si="2199"/>
        <v>NÃO</v>
      </c>
      <c r="AJ319" s="104">
        <f t="shared" si="2200"/>
        <v>0</v>
      </c>
      <c r="AK319" s="104">
        <f t="shared" si="2201"/>
        <v>0</v>
      </c>
      <c r="AL319" s="104">
        <f t="shared" si="2202"/>
        <v>0</v>
      </c>
      <c r="AM319" s="102">
        <f t="shared" si="2203"/>
        <v>0</v>
      </c>
      <c r="AN319" s="106">
        <f t="shared" si="2204"/>
        <v>0</v>
      </c>
      <c r="AO319" s="104">
        <f t="shared" si="2205"/>
        <v>0</v>
      </c>
      <c r="AP319" s="104">
        <f t="shared" si="2206"/>
        <v>0</v>
      </c>
      <c r="AQ319" s="104">
        <f t="shared" si="2207"/>
        <v>0.7</v>
      </c>
      <c r="AR319" s="104">
        <f t="shared" si="2208"/>
        <v>0</v>
      </c>
      <c r="AS319" s="104">
        <f t="shared" si="2209"/>
        <v>0</v>
      </c>
      <c r="AT319" s="104">
        <f t="shared" si="2210"/>
        <v>0</v>
      </c>
      <c r="AU319" s="104">
        <f t="shared" si="2211"/>
        <v>0</v>
      </c>
      <c r="AV319" s="104">
        <f t="shared" si="2212"/>
        <v>0</v>
      </c>
      <c r="AW319" s="104">
        <f t="shared" si="2213"/>
        <v>0</v>
      </c>
      <c r="AX319" s="104">
        <f t="shared" si="2214"/>
        <v>0</v>
      </c>
      <c r="AY319" s="104">
        <f t="shared" si="2215"/>
        <v>0</v>
      </c>
      <c r="AZ319" s="104">
        <f t="shared" si="2216"/>
        <v>0</v>
      </c>
      <c r="BA319" s="104">
        <f t="shared" si="2249"/>
        <v>0</v>
      </c>
      <c r="BB319" s="104">
        <f t="shared" si="2217"/>
        <v>0</v>
      </c>
      <c r="BC319" s="104"/>
      <c r="BD319" s="104">
        <f t="shared" si="2218"/>
        <v>0</v>
      </c>
      <c r="BE319" s="108">
        <f t="shared" si="2219"/>
        <v>0</v>
      </c>
      <c r="BF319" s="110">
        <f t="shared" si="2220"/>
        <v>0</v>
      </c>
      <c r="BG319" s="110">
        <f t="shared" si="2221"/>
        <v>0</v>
      </c>
      <c r="BH319" s="105" t="str">
        <f>VLOOKUP(A319,'BOCA DE LOBO'!$C$229:$I$324,7,0)</f>
        <v>BOCA DE LOBO EXISTENTE DUPLA</v>
      </c>
      <c r="BI319" s="104">
        <f t="shared" si="2222"/>
        <v>0</v>
      </c>
      <c r="BJ319" s="104">
        <f t="shared" si="2223"/>
        <v>0</v>
      </c>
      <c r="BK319" s="104">
        <f t="shared" si="2224"/>
        <v>0</v>
      </c>
      <c r="BL319" s="104">
        <f t="shared" si="2225"/>
        <v>0</v>
      </c>
      <c r="BM319" s="104">
        <f t="shared" si="2226"/>
        <v>0</v>
      </c>
      <c r="BN319" s="104">
        <f t="shared" si="2227"/>
        <v>0</v>
      </c>
      <c r="BO319" s="543">
        <f t="shared" si="2228"/>
        <v>0</v>
      </c>
      <c r="BP319" s="111"/>
      <c r="BQ319" s="108">
        <f t="shared" si="2229"/>
        <v>11.040000000000001</v>
      </c>
      <c r="BR319" s="108">
        <f t="shared" si="2230"/>
        <v>0.89350399999956664</v>
      </c>
      <c r="BS319" s="108">
        <f t="shared" si="2231"/>
        <v>0</v>
      </c>
      <c r="BV319" s="538">
        <f t="shared" si="2250"/>
        <v>0</v>
      </c>
      <c r="BW319" s="538">
        <f t="shared" si="2251"/>
        <v>0</v>
      </c>
      <c r="BX319" s="538">
        <f t="shared" si="2252"/>
        <v>0</v>
      </c>
      <c r="BY319" s="538">
        <f t="shared" si="2232"/>
        <v>1.4177999999999409</v>
      </c>
      <c r="BZ319" s="538">
        <f t="shared" si="2233"/>
        <v>1.4177999999999409</v>
      </c>
      <c r="CA319" s="538">
        <f t="shared" si="2234"/>
        <v>0</v>
      </c>
      <c r="CB319" s="538">
        <f t="shared" si="2235"/>
        <v>0</v>
      </c>
      <c r="CC319" s="538">
        <f t="shared" si="2236"/>
        <v>0</v>
      </c>
      <c r="CD319" s="538">
        <f t="shared" si="2237"/>
        <v>0</v>
      </c>
      <c r="CE319" s="538">
        <f t="shared" si="2238"/>
        <v>0</v>
      </c>
      <c r="CF319" s="538">
        <f t="shared" si="2239"/>
        <v>0</v>
      </c>
      <c r="CG319" s="538">
        <f t="shared" si="2240"/>
        <v>0</v>
      </c>
      <c r="CH319" s="538">
        <f t="shared" si="2241"/>
        <v>0</v>
      </c>
      <c r="CI319" s="104">
        <f t="shared" si="2253"/>
        <v>0</v>
      </c>
      <c r="CJ319" s="538">
        <f t="shared" si="2242"/>
        <v>0</v>
      </c>
      <c r="CK319" s="538">
        <f t="shared" si="2254"/>
        <v>0</v>
      </c>
      <c r="CL319" s="538">
        <f t="shared" si="2243"/>
        <v>0</v>
      </c>
      <c r="CM319" s="538">
        <f t="shared" si="2244"/>
        <v>0</v>
      </c>
      <c r="CN319" s="538">
        <f t="shared" si="2255"/>
        <v>0</v>
      </c>
      <c r="CO319" s="538">
        <f t="shared" si="2245"/>
        <v>1.4177999999999409</v>
      </c>
      <c r="CP319" s="538">
        <f t="shared" si="2246"/>
        <v>0</v>
      </c>
      <c r="CQ319" s="538">
        <f t="shared" si="2247"/>
        <v>0</v>
      </c>
      <c r="CR319" s="539">
        <f t="shared" si="2256"/>
        <v>0</v>
      </c>
      <c r="CS319" s="540">
        <f t="shared" si="2257"/>
        <v>0</v>
      </c>
      <c r="CT319" s="540">
        <f t="shared" si="2258"/>
        <v>0</v>
      </c>
      <c r="CU319" s="541">
        <f t="shared" si="2259"/>
        <v>0</v>
      </c>
      <c r="CV319" s="538">
        <f t="shared" si="2260"/>
        <v>0</v>
      </c>
      <c r="CW319" s="538">
        <f t="shared" si="2261"/>
        <v>0</v>
      </c>
      <c r="CX319" s="104">
        <f t="shared" si="2262"/>
        <v>0</v>
      </c>
      <c r="CY319" s="542">
        <f t="shared" si="2263"/>
        <v>0</v>
      </c>
      <c r="CZ319" s="538">
        <f t="shared" si="2264"/>
        <v>0</v>
      </c>
    </row>
    <row r="320" spans="1:104" s="112" customFormat="1" ht="25" x14ac:dyDescent="0.25">
      <c r="A320" s="100" t="str">
        <f>'BOCA DE LOBO'!C289</f>
        <v>BL60-&gt;PV1-72</v>
      </c>
      <c r="B320" s="100" t="str">
        <f>'BOCA DE LOBO'!A289</f>
        <v>PV1-72</v>
      </c>
      <c r="C320" s="100" t="str">
        <f>VLOOKUP(A320,'BOCA DE LOBO'!$C$229:$M$324,3,0)</f>
        <v>EXISTENTE</v>
      </c>
      <c r="D320" s="100" t="str">
        <f>VLOOKUP(A320,'BOCA DE LOBO'!$C$229:$M$324,10,0)</f>
        <v>EXISTENTE</v>
      </c>
      <c r="E320" s="100">
        <f t="shared" si="2182"/>
        <v>1.4336000000000164</v>
      </c>
      <c r="F320" s="100">
        <f>VLOOKUP(A320,'BOCA DE LOBO'!$C$229:$D$324,2,0)</f>
        <v>1.6820000000000164</v>
      </c>
      <c r="G320" s="100">
        <f>VLOOKUP(A320,'BOCA DE LOBO'!$C$229:$F$324,4,0)</f>
        <v>6.21</v>
      </c>
      <c r="H320" s="101">
        <v>400</v>
      </c>
      <c r="I320" s="102">
        <f t="shared" si="2183"/>
        <v>1.6878000000000164</v>
      </c>
      <c r="J320" s="102">
        <f t="shared" si="2184"/>
        <v>0</v>
      </c>
      <c r="K320" s="103">
        <v>0</v>
      </c>
      <c r="L320" s="104">
        <f t="shared" si="2185"/>
        <v>0</v>
      </c>
      <c r="M320" s="104">
        <f t="shared" si="2186"/>
        <v>0</v>
      </c>
      <c r="N320" s="104">
        <f t="shared" si="2187"/>
        <v>400</v>
      </c>
      <c r="O320" s="104">
        <f t="shared" si="2188"/>
        <v>0</v>
      </c>
      <c r="P320" s="105" t="s">
        <v>1999</v>
      </c>
      <c r="Q320" s="468" t="s">
        <v>2188</v>
      </c>
      <c r="R320" s="105"/>
      <c r="S320" s="105">
        <v>5</v>
      </c>
      <c r="T320" s="105">
        <v>5</v>
      </c>
      <c r="U320" s="104">
        <f t="shared" si="2189"/>
        <v>0.05</v>
      </c>
      <c r="V320" s="106">
        <f t="shared" si="2190"/>
        <v>0</v>
      </c>
      <c r="W320" s="106">
        <f t="shared" si="2248"/>
        <v>0</v>
      </c>
      <c r="X320" s="107">
        <f t="shared" si="2191"/>
        <v>0</v>
      </c>
      <c r="Y320" s="107">
        <f t="shared" si="2192"/>
        <v>0</v>
      </c>
      <c r="Z320" s="107">
        <f t="shared" si="2193"/>
        <v>1.6878000000000164</v>
      </c>
      <c r="AA320" s="107">
        <f t="shared" si="2194"/>
        <v>0</v>
      </c>
      <c r="AB320" s="108">
        <f t="shared" si="2195"/>
        <v>0</v>
      </c>
      <c r="AC320" s="109">
        <f t="shared" si="2196"/>
        <v>0</v>
      </c>
      <c r="AD320" s="109">
        <f t="shared" si="2197"/>
        <v>0</v>
      </c>
      <c r="AE320" s="109">
        <f t="shared" si="2198"/>
        <v>0</v>
      </c>
      <c r="AF320" s="109">
        <f t="shared" si="2042"/>
        <v>0</v>
      </c>
      <c r="AG320" s="109">
        <f t="shared" si="2109"/>
        <v>0</v>
      </c>
      <c r="AH320" s="109">
        <f t="shared" si="2110"/>
        <v>0</v>
      </c>
      <c r="AI320" s="537" t="str">
        <f t="shared" si="2199"/>
        <v>NÃO</v>
      </c>
      <c r="AJ320" s="104">
        <f t="shared" si="2200"/>
        <v>0</v>
      </c>
      <c r="AK320" s="104">
        <f t="shared" si="2201"/>
        <v>0</v>
      </c>
      <c r="AL320" s="104">
        <f t="shared" si="2202"/>
        <v>0</v>
      </c>
      <c r="AM320" s="102">
        <f t="shared" si="2203"/>
        <v>0</v>
      </c>
      <c r="AN320" s="106">
        <f t="shared" si="2204"/>
        <v>0</v>
      </c>
      <c r="AO320" s="104">
        <f t="shared" si="2205"/>
        <v>0</v>
      </c>
      <c r="AP320" s="104">
        <f t="shared" si="2206"/>
        <v>0</v>
      </c>
      <c r="AQ320" s="104">
        <f t="shared" si="2207"/>
        <v>0.7</v>
      </c>
      <c r="AR320" s="104">
        <f t="shared" si="2208"/>
        <v>0</v>
      </c>
      <c r="AS320" s="104">
        <f t="shared" si="2209"/>
        <v>0</v>
      </c>
      <c r="AT320" s="104">
        <f t="shared" si="2210"/>
        <v>0</v>
      </c>
      <c r="AU320" s="104">
        <f t="shared" si="2211"/>
        <v>0</v>
      </c>
      <c r="AV320" s="104">
        <f t="shared" si="2212"/>
        <v>0</v>
      </c>
      <c r="AW320" s="104">
        <f t="shared" si="2213"/>
        <v>0</v>
      </c>
      <c r="AX320" s="104">
        <f t="shared" si="2214"/>
        <v>0</v>
      </c>
      <c r="AY320" s="104">
        <f t="shared" si="2215"/>
        <v>0</v>
      </c>
      <c r="AZ320" s="104">
        <f t="shared" si="2216"/>
        <v>0</v>
      </c>
      <c r="BA320" s="104">
        <f t="shared" si="2249"/>
        <v>0</v>
      </c>
      <c r="BB320" s="104">
        <f t="shared" si="2217"/>
        <v>0</v>
      </c>
      <c r="BC320" s="104"/>
      <c r="BD320" s="104">
        <f t="shared" si="2218"/>
        <v>0</v>
      </c>
      <c r="BE320" s="108">
        <f t="shared" si="2219"/>
        <v>0</v>
      </c>
      <c r="BF320" s="110">
        <f t="shared" si="2220"/>
        <v>0</v>
      </c>
      <c r="BG320" s="110">
        <f t="shared" si="2221"/>
        <v>0</v>
      </c>
      <c r="BH320" s="105" t="str">
        <f>VLOOKUP(A320,'BOCA DE LOBO'!$C$229:$I$324,7,0)</f>
        <v>BOCA DE LOBO EXISTENTE SIMPLES</v>
      </c>
      <c r="BI320" s="104">
        <f t="shared" si="2222"/>
        <v>0</v>
      </c>
      <c r="BJ320" s="104">
        <f t="shared" si="2223"/>
        <v>0</v>
      </c>
      <c r="BK320" s="104">
        <f t="shared" si="2224"/>
        <v>0</v>
      </c>
      <c r="BL320" s="104">
        <f t="shared" si="2225"/>
        <v>0</v>
      </c>
      <c r="BM320" s="104">
        <f t="shared" si="2226"/>
        <v>0</v>
      </c>
      <c r="BN320" s="104">
        <f t="shared" si="2227"/>
        <v>0</v>
      </c>
      <c r="BO320" s="543">
        <f t="shared" si="2228"/>
        <v>0</v>
      </c>
      <c r="BP320" s="111"/>
      <c r="BQ320" s="108">
        <f t="shared" si="2229"/>
        <v>18.63</v>
      </c>
      <c r="BR320" s="108">
        <f t="shared" si="2230"/>
        <v>2.3324760000002036</v>
      </c>
      <c r="BS320" s="108">
        <f t="shared" si="2231"/>
        <v>0</v>
      </c>
      <c r="BV320" s="538">
        <f t="shared" si="2250"/>
        <v>0</v>
      </c>
      <c r="BW320" s="538">
        <f t="shared" si="2251"/>
        <v>0</v>
      </c>
      <c r="BX320" s="538">
        <f t="shared" si="2252"/>
        <v>0</v>
      </c>
      <c r="BY320" s="538">
        <f t="shared" si="2232"/>
        <v>1.4336000000000164</v>
      </c>
      <c r="BZ320" s="538">
        <f t="shared" si="2233"/>
        <v>1.4336000000000164</v>
      </c>
      <c r="CA320" s="538">
        <f t="shared" si="2234"/>
        <v>0</v>
      </c>
      <c r="CB320" s="538">
        <f t="shared" si="2235"/>
        <v>0</v>
      </c>
      <c r="CC320" s="538">
        <f t="shared" si="2236"/>
        <v>0</v>
      </c>
      <c r="CD320" s="538">
        <f t="shared" si="2237"/>
        <v>0</v>
      </c>
      <c r="CE320" s="538">
        <f t="shared" si="2238"/>
        <v>0</v>
      </c>
      <c r="CF320" s="538">
        <f t="shared" si="2239"/>
        <v>0</v>
      </c>
      <c r="CG320" s="538">
        <f t="shared" si="2240"/>
        <v>0</v>
      </c>
      <c r="CH320" s="538">
        <f t="shared" si="2241"/>
        <v>0</v>
      </c>
      <c r="CI320" s="104">
        <f t="shared" si="2253"/>
        <v>0</v>
      </c>
      <c r="CJ320" s="538">
        <f t="shared" si="2242"/>
        <v>0</v>
      </c>
      <c r="CK320" s="538">
        <f t="shared" si="2254"/>
        <v>0</v>
      </c>
      <c r="CL320" s="538">
        <f t="shared" si="2243"/>
        <v>0</v>
      </c>
      <c r="CM320" s="538">
        <f t="shared" si="2244"/>
        <v>0</v>
      </c>
      <c r="CN320" s="538">
        <f t="shared" si="2255"/>
        <v>0</v>
      </c>
      <c r="CO320" s="538">
        <f t="shared" si="2245"/>
        <v>1.4336000000000164</v>
      </c>
      <c r="CP320" s="538">
        <f t="shared" si="2246"/>
        <v>0</v>
      </c>
      <c r="CQ320" s="538">
        <f t="shared" si="2247"/>
        <v>0</v>
      </c>
      <c r="CR320" s="539">
        <f t="shared" si="2256"/>
        <v>0</v>
      </c>
      <c r="CS320" s="540">
        <f t="shared" si="2257"/>
        <v>0</v>
      </c>
      <c r="CT320" s="540">
        <f t="shared" si="2258"/>
        <v>0</v>
      </c>
      <c r="CU320" s="541">
        <f t="shared" si="2259"/>
        <v>0</v>
      </c>
      <c r="CV320" s="538">
        <f t="shared" si="2260"/>
        <v>0</v>
      </c>
      <c r="CW320" s="538">
        <f t="shared" si="2261"/>
        <v>0</v>
      </c>
      <c r="CX320" s="104">
        <f t="shared" si="2262"/>
        <v>0</v>
      </c>
      <c r="CY320" s="542">
        <f t="shared" si="2263"/>
        <v>0</v>
      </c>
      <c r="CZ320" s="538">
        <f t="shared" si="2264"/>
        <v>0</v>
      </c>
    </row>
    <row r="321" spans="1:104" s="112" customFormat="1" ht="37.5" x14ac:dyDescent="0.25">
      <c r="A321" s="100" t="str">
        <f>'BOCA DE LOBO'!C290</f>
        <v>BL61-&gt;PV2-72</v>
      </c>
      <c r="B321" s="100" t="str">
        <f>'BOCA DE LOBO'!A290</f>
        <v>PV2-72</v>
      </c>
      <c r="C321" s="100" t="str">
        <f>VLOOKUP(A321,'BOCA DE LOBO'!$C$229:$M$324,3,0)</f>
        <v>EXISTENTE</v>
      </c>
      <c r="D321" s="100" t="str">
        <f>VLOOKUP(A321,'BOCA DE LOBO'!$C$229:$M$324,10,0)</f>
        <v>AMPLIADA</v>
      </c>
      <c r="E321" s="100">
        <f t="shared" si="2182"/>
        <v>1.8740000000000119</v>
      </c>
      <c r="F321" s="100">
        <f>VLOOKUP(A321,'BOCA DE LOBO'!$C$229:$D$324,2,0)</f>
        <v>2.0620000000000118</v>
      </c>
      <c r="G321" s="100">
        <f>VLOOKUP(A321,'BOCA DE LOBO'!$C$229:$F$324,4,0)</f>
        <v>4.7</v>
      </c>
      <c r="H321" s="101">
        <v>400</v>
      </c>
      <c r="I321" s="102">
        <f t="shared" si="2183"/>
        <v>2.0980000000000119</v>
      </c>
      <c r="J321" s="102">
        <f t="shared" si="2184"/>
        <v>0</v>
      </c>
      <c r="K321" s="103">
        <v>0</v>
      </c>
      <c r="L321" s="104">
        <f t="shared" si="2185"/>
        <v>0</v>
      </c>
      <c r="M321" s="104">
        <f t="shared" si="2186"/>
        <v>0</v>
      </c>
      <c r="N321" s="104">
        <f t="shared" si="2187"/>
        <v>400</v>
      </c>
      <c r="O321" s="104">
        <f t="shared" si="2188"/>
        <v>0</v>
      </c>
      <c r="P321" s="105" t="s">
        <v>1999</v>
      </c>
      <c r="Q321" s="468" t="s">
        <v>2188</v>
      </c>
      <c r="R321" s="105"/>
      <c r="S321" s="105">
        <v>5</v>
      </c>
      <c r="T321" s="105">
        <v>5</v>
      </c>
      <c r="U321" s="104">
        <f t="shared" si="2189"/>
        <v>0.05</v>
      </c>
      <c r="V321" s="106">
        <f t="shared" si="2190"/>
        <v>0</v>
      </c>
      <c r="W321" s="106">
        <f t="shared" si="2248"/>
        <v>0</v>
      </c>
      <c r="X321" s="107">
        <f t="shared" si="2191"/>
        <v>0</v>
      </c>
      <c r="Y321" s="107">
        <f t="shared" si="2192"/>
        <v>0</v>
      </c>
      <c r="Z321" s="107">
        <f t="shared" si="2193"/>
        <v>2.0980000000000119</v>
      </c>
      <c r="AA321" s="107">
        <f t="shared" si="2194"/>
        <v>0</v>
      </c>
      <c r="AB321" s="108">
        <f t="shared" si="2195"/>
        <v>0</v>
      </c>
      <c r="AC321" s="109">
        <f t="shared" si="2196"/>
        <v>0</v>
      </c>
      <c r="AD321" s="109">
        <f t="shared" si="2197"/>
        <v>0</v>
      </c>
      <c r="AE321" s="109">
        <f t="shared" si="2198"/>
        <v>0</v>
      </c>
      <c r="AF321" s="109">
        <f t="shared" si="2042"/>
        <v>0</v>
      </c>
      <c r="AG321" s="109">
        <f t="shared" si="2109"/>
        <v>0</v>
      </c>
      <c r="AH321" s="109">
        <f t="shared" si="2110"/>
        <v>0</v>
      </c>
      <c r="AI321" s="537" t="str">
        <f t="shared" si="2199"/>
        <v>NÃO</v>
      </c>
      <c r="AJ321" s="104">
        <f t="shared" si="2200"/>
        <v>0</v>
      </c>
      <c r="AK321" s="104">
        <f t="shared" si="2201"/>
        <v>0</v>
      </c>
      <c r="AL321" s="104">
        <f t="shared" si="2202"/>
        <v>0</v>
      </c>
      <c r="AM321" s="102">
        <f t="shared" si="2203"/>
        <v>0</v>
      </c>
      <c r="AN321" s="106">
        <f t="shared" si="2204"/>
        <v>0</v>
      </c>
      <c r="AO321" s="104">
        <f t="shared" si="2205"/>
        <v>0</v>
      </c>
      <c r="AP321" s="104">
        <f t="shared" si="2206"/>
        <v>0</v>
      </c>
      <c r="AQ321" s="104">
        <f t="shared" si="2207"/>
        <v>0.7</v>
      </c>
      <c r="AR321" s="104">
        <f t="shared" si="2208"/>
        <v>0</v>
      </c>
      <c r="AS321" s="104">
        <f t="shared" si="2209"/>
        <v>0</v>
      </c>
      <c r="AT321" s="104">
        <f t="shared" si="2210"/>
        <v>0</v>
      </c>
      <c r="AU321" s="104">
        <f t="shared" si="2211"/>
        <v>0</v>
      </c>
      <c r="AV321" s="104">
        <f t="shared" si="2212"/>
        <v>0</v>
      </c>
      <c r="AW321" s="104">
        <f t="shared" si="2213"/>
        <v>0</v>
      </c>
      <c r="AX321" s="104">
        <f t="shared" si="2214"/>
        <v>0</v>
      </c>
      <c r="AY321" s="104">
        <f t="shared" si="2215"/>
        <v>0</v>
      </c>
      <c r="AZ321" s="104">
        <f t="shared" si="2216"/>
        <v>0</v>
      </c>
      <c r="BA321" s="104">
        <f t="shared" si="2249"/>
        <v>0</v>
      </c>
      <c r="BB321" s="104">
        <f t="shared" si="2217"/>
        <v>0</v>
      </c>
      <c r="BC321" s="104"/>
      <c r="BD321" s="104">
        <f t="shared" si="2218"/>
        <v>0</v>
      </c>
      <c r="BE321" s="108">
        <f t="shared" si="2219"/>
        <v>0</v>
      </c>
      <c r="BF321" s="110">
        <f t="shared" si="2220"/>
        <v>0</v>
      </c>
      <c r="BG321" s="110">
        <f t="shared" si="2221"/>
        <v>0</v>
      </c>
      <c r="BH321" s="105" t="str">
        <f>VLOOKUP(A321,'BOCA DE LOBO'!$C$229:$I$324,7,0)</f>
        <v>BOCA DE LOBO SIMPLES EXISTENTE COM BOCA DE LOBO SIMPLES PROJETADA</v>
      </c>
      <c r="BI321" s="104">
        <f t="shared" si="2222"/>
        <v>0</v>
      </c>
      <c r="BJ321" s="104">
        <f t="shared" si="2223"/>
        <v>1</v>
      </c>
      <c r="BK321" s="104">
        <f t="shared" si="2224"/>
        <v>0</v>
      </c>
      <c r="BL321" s="104">
        <f t="shared" si="2225"/>
        <v>0</v>
      </c>
      <c r="BM321" s="104">
        <f t="shared" si="2226"/>
        <v>0</v>
      </c>
      <c r="BN321" s="104">
        <f t="shared" si="2227"/>
        <v>0</v>
      </c>
      <c r="BO321" s="543">
        <f t="shared" si="2228"/>
        <v>0</v>
      </c>
      <c r="BP321" s="111"/>
      <c r="BQ321" s="108">
        <f t="shared" si="2229"/>
        <v>14.100000000000001</v>
      </c>
      <c r="BR321" s="108">
        <f t="shared" si="2230"/>
        <v>5.6212000000001119</v>
      </c>
      <c r="BS321" s="108">
        <f t="shared" si="2231"/>
        <v>0</v>
      </c>
      <c r="BV321" s="538">
        <f t="shared" si="2250"/>
        <v>6.8633376000000421</v>
      </c>
      <c r="BW321" s="538">
        <f t="shared" si="2251"/>
        <v>3.6623999999999994</v>
      </c>
      <c r="BX321" s="538">
        <f t="shared" si="2252"/>
        <v>1.3923999999999999</v>
      </c>
      <c r="BY321" s="538">
        <f t="shared" si="2232"/>
        <v>1.8740000000000119</v>
      </c>
      <c r="BZ321" s="538">
        <f t="shared" si="2233"/>
        <v>1.8740000000000119</v>
      </c>
      <c r="CA321" s="538">
        <f t="shared" si="2234"/>
        <v>0</v>
      </c>
      <c r="CB321" s="538">
        <f t="shared" si="2235"/>
        <v>0</v>
      </c>
      <c r="CC321" s="538">
        <f t="shared" si="2236"/>
        <v>5.4935999999999989</v>
      </c>
      <c r="CD321" s="538">
        <f t="shared" si="2237"/>
        <v>1.3697376000000432</v>
      </c>
      <c r="CE321" s="538">
        <f t="shared" si="2238"/>
        <v>0</v>
      </c>
      <c r="CF321" s="538">
        <f t="shared" si="2239"/>
        <v>0</v>
      </c>
      <c r="CG321" s="538">
        <f t="shared" si="2240"/>
        <v>0</v>
      </c>
      <c r="CH321" s="538">
        <f t="shared" si="2241"/>
        <v>0</v>
      </c>
      <c r="CI321" s="104">
        <f t="shared" si="2253"/>
        <v>0.252</v>
      </c>
      <c r="CJ321" s="538">
        <f t="shared" si="2242"/>
        <v>4.0019800000000263</v>
      </c>
      <c r="CK321" s="538">
        <f t="shared" si="2254"/>
        <v>4.0019800000000263</v>
      </c>
      <c r="CL321" s="538">
        <f t="shared" si="2243"/>
        <v>0</v>
      </c>
      <c r="CM321" s="538">
        <f t="shared" si="2244"/>
        <v>0</v>
      </c>
      <c r="CN321" s="538">
        <f t="shared" si="2255"/>
        <v>1.68</v>
      </c>
      <c r="CO321" s="538">
        <f t="shared" si="2245"/>
        <v>1.8740000000000119</v>
      </c>
      <c r="CP321" s="538">
        <f t="shared" si="2246"/>
        <v>5.04</v>
      </c>
      <c r="CQ321" s="538">
        <f t="shared" si="2247"/>
        <v>1.2566400000000399</v>
      </c>
      <c r="CR321" s="539">
        <f t="shared" si="2256"/>
        <v>0.75570000000000659</v>
      </c>
      <c r="CS321" s="540">
        <f t="shared" si="2257"/>
        <v>3.8229600000000245E-2</v>
      </c>
      <c r="CT321" s="540">
        <f t="shared" si="2258"/>
        <v>0.15421000000000001</v>
      </c>
      <c r="CU321" s="541">
        <f t="shared" si="2259"/>
        <v>4.8724000000000309</v>
      </c>
      <c r="CV321" s="538">
        <f t="shared" si="2260"/>
        <v>0.77433600000000236</v>
      </c>
      <c r="CW321" s="538">
        <f t="shared" si="2261"/>
        <v>12.559480000000061</v>
      </c>
      <c r="CX321" s="104">
        <f t="shared" si="2262"/>
        <v>1.68</v>
      </c>
      <c r="CY321" s="542">
        <f t="shared" si="2263"/>
        <v>0.84</v>
      </c>
      <c r="CZ321" s="538">
        <f t="shared" si="2264"/>
        <v>0</v>
      </c>
    </row>
    <row r="322" spans="1:104" s="112" customFormat="1" ht="25" x14ac:dyDescent="0.25">
      <c r="A322" s="100" t="str">
        <f>'BOCA DE LOBO'!C291</f>
        <v>BL62-&gt;PV1-73</v>
      </c>
      <c r="B322" s="100" t="str">
        <f>'BOCA DE LOBO'!A291</f>
        <v>PV1-73</v>
      </c>
      <c r="C322" s="100" t="str">
        <f>VLOOKUP(A322,'BOCA DE LOBO'!$C$229:$M$324,3,0)</f>
        <v>EXISTENTE</v>
      </c>
      <c r="D322" s="100" t="str">
        <f>VLOOKUP(A322,'BOCA DE LOBO'!$C$229:$M$324,10,0)</f>
        <v>EXISTENTE</v>
      </c>
      <c r="E322" s="100">
        <f t="shared" si="2182"/>
        <v>1.3751999999999873</v>
      </c>
      <c r="F322" s="100">
        <f>VLOOKUP(A322,'BOCA DE LOBO'!$C$229:$D$324,2,0)</f>
        <v>1.6639999999999873</v>
      </c>
      <c r="G322" s="100">
        <f>VLOOKUP(A322,'BOCA DE LOBO'!$C$229:$F$324,4,0)</f>
        <v>7.22</v>
      </c>
      <c r="H322" s="101">
        <v>400</v>
      </c>
      <c r="I322" s="102">
        <f t="shared" si="2183"/>
        <v>1.6495999999999873</v>
      </c>
      <c r="J322" s="102">
        <f t="shared" si="2184"/>
        <v>0</v>
      </c>
      <c r="K322" s="103">
        <v>0</v>
      </c>
      <c r="L322" s="104">
        <f t="shared" si="2185"/>
        <v>0</v>
      </c>
      <c r="M322" s="104">
        <f t="shared" si="2186"/>
        <v>0</v>
      </c>
      <c r="N322" s="104">
        <f t="shared" si="2187"/>
        <v>400</v>
      </c>
      <c r="O322" s="104">
        <f t="shared" si="2188"/>
        <v>0</v>
      </c>
      <c r="P322" s="105" t="s">
        <v>1999</v>
      </c>
      <c r="Q322" s="468" t="s">
        <v>2188</v>
      </c>
      <c r="R322" s="105"/>
      <c r="S322" s="105">
        <v>5</v>
      </c>
      <c r="T322" s="105">
        <v>5</v>
      </c>
      <c r="U322" s="104">
        <f t="shared" si="2189"/>
        <v>0.05</v>
      </c>
      <c r="V322" s="106">
        <f t="shared" si="2190"/>
        <v>0</v>
      </c>
      <c r="W322" s="106">
        <f t="shared" si="2248"/>
        <v>0</v>
      </c>
      <c r="X322" s="107">
        <f t="shared" si="2191"/>
        <v>0</v>
      </c>
      <c r="Y322" s="107">
        <f t="shared" si="2192"/>
        <v>0</v>
      </c>
      <c r="Z322" s="107">
        <f t="shared" si="2193"/>
        <v>1.6495999999999873</v>
      </c>
      <c r="AA322" s="107">
        <f t="shared" si="2194"/>
        <v>0</v>
      </c>
      <c r="AB322" s="108">
        <f t="shared" si="2195"/>
        <v>0</v>
      </c>
      <c r="AC322" s="109">
        <f t="shared" si="2196"/>
        <v>0</v>
      </c>
      <c r="AD322" s="109">
        <f t="shared" si="2197"/>
        <v>0</v>
      </c>
      <c r="AE322" s="109">
        <f t="shared" si="2198"/>
        <v>0</v>
      </c>
      <c r="AF322" s="109">
        <f t="shared" si="2042"/>
        <v>0</v>
      </c>
      <c r="AG322" s="109">
        <f t="shared" si="2109"/>
        <v>0</v>
      </c>
      <c r="AH322" s="109">
        <f t="shared" si="2110"/>
        <v>0</v>
      </c>
      <c r="AI322" s="537" t="str">
        <f t="shared" si="2199"/>
        <v>NÃO</v>
      </c>
      <c r="AJ322" s="104">
        <f t="shared" si="2200"/>
        <v>0</v>
      </c>
      <c r="AK322" s="104">
        <f t="shared" si="2201"/>
        <v>0</v>
      </c>
      <c r="AL322" s="104">
        <f t="shared" si="2202"/>
        <v>0</v>
      </c>
      <c r="AM322" s="102">
        <f t="shared" si="2203"/>
        <v>0</v>
      </c>
      <c r="AN322" s="106">
        <f t="shared" si="2204"/>
        <v>0</v>
      </c>
      <c r="AO322" s="104">
        <f t="shared" si="2205"/>
        <v>0</v>
      </c>
      <c r="AP322" s="104">
        <f t="shared" si="2206"/>
        <v>0</v>
      </c>
      <c r="AQ322" s="104">
        <f t="shared" si="2207"/>
        <v>0.7</v>
      </c>
      <c r="AR322" s="104">
        <f t="shared" si="2208"/>
        <v>0</v>
      </c>
      <c r="AS322" s="104">
        <f t="shared" si="2209"/>
        <v>0</v>
      </c>
      <c r="AT322" s="104">
        <f t="shared" si="2210"/>
        <v>0</v>
      </c>
      <c r="AU322" s="104">
        <f t="shared" si="2211"/>
        <v>0</v>
      </c>
      <c r="AV322" s="104">
        <f t="shared" si="2212"/>
        <v>0</v>
      </c>
      <c r="AW322" s="104">
        <f t="shared" si="2213"/>
        <v>0</v>
      </c>
      <c r="AX322" s="104">
        <f t="shared" si="2214"/>
        <v>0</v>
      </c>
      <c r="AY322" s="104">
        <f t="shared" si="2215"/>
        <v>0</v>
      </c>
      <c r="AZ322" s="104">
        <f t="shared" si="2216"/>
        <v>0</v>
      </c>
      <c r="BA322" s="104">
        <f t="shared" si="2249"/>
        <v>0</v>
      </c>
      <c r="BB322" s="104">
        <f t="shared" si="2217"/>
        <v>0</v>
      </c>
      <c r="BC322" s="104"/>
      <c r="BD322" s="104">
        <f t="shared" si="2218"/>
        <v>0</v>
      </c>
      <c r="BE322" s="108">
        <f t="shared" si="2219"/>
        <v>0</v>
      </c>
      <c r="BF322" s="110">
        <f t="shared" si="2220"/>
        <v>0</v>
      </c>
      <c r="BG322" s="110">
        <f t="shared" si="2221"/>
        <v>0</v>
      </c>
      <c r="BH322" s="105" t="str">
        <f>VLOOKUP(A322,'BOCA DE LOBO'!$C$229:$I$324,7,0)</f>
        <v>BOCA DE LOBO EXISTENTE SIMPLES</v>
      </c>
      <c r="BI322" s="104">
        <f t="shared" si="2222"/>
        <v>0</v>
      </c>
      <c r="BJ322" s="104">
        <f t="shared" si="2223"/>
        <v>0</v>
      </c>
      <c r="BK322" s="104">
        <f t="shared" si="2224"/>
        <v>0</v>
      </c>
      <c r="BL322" s="104">
        <f t="shared" si="2225"/>
        <v>0</v>
      </c>
      <c r="BM322" s="104">
        <f t="shared" si="2226"/>
        <v>0</v>
      </c>
      <c r="BN322" s="104">
        <f t="shared" si="2227"/>
        <v>0</v>
      </c>
      <c r="BO322" s="543">
        <f t="shared" si="2228"/>
        <v>0</v>
      </c>
      <c r="BP322" s="111"/>
      <c r="BQ322" s="108">
        <f t="shared" si="2229"/>
        <v>21.66</v>
      </c>
      <c r="BR322" s="108">
        <f t="shared" si="2230"/>
        <v>2.1602239999998165</v>
      </c>
      <c r="BS322" s="108">
        <f t="shared" si="2231"/>
        <v>0</v>
      </c>
      <c r="BV322" s="538">
        <f t="shared" si="2250"/>
        <v>0</v>
      </c>
      <c r="BW322" s="538">
        <f t="shared" si="2251"/>
        <v>0</v>
      </c>
      <c r="BX322" s="538">
        <f t="shared" si="2252"/>
        <v>0</v>
      </c>
      <c r="BY322" s="538">
        <f t="shared" si="2232"/>
        <v>1.3751999999999873</v>
      </c>
      <c r="BZ322" s="538">
        <f t="shared" si="2233"/>
        <v>1.3751999999999873</v>
      </c>
      <c r="CA322" s="538">
        <f t="shared" si="2234"/>
        <v>0</v>
      </c>
      <c r="CB322" s="538">
        <f t="shared" si="2235"/>
        <v>0</v>
      </c>
      <c r="CC322" s="538">
        <f t="shared" si="2236"/>
        <v>0</v>
      </c>
      <c r="CD322" s="538">
        <f t="shared" si="2237"/>
        <v>0</v>
      </c>
      <c r="CE322" s="538">
        <f t="shared" si="2238"/>
        <v>0</v>
      </c>
      <c r="CF322" s="538">
        <f t="shared" si="2239"/>
        <v>0</v>
      </c>
      <c r="CG322" s="538">
        <f t="shared" si="2240"/>
        <v>0</v>
      </c>
      <c r="CH322" s="538">
        <f t="shared" si="2241"/>
        <v>0</v>
      </c>
      <c r="CI322" s="104">
        <f t="shared" si="2253"/>
        <v>0</v>
      </c>
      <c r="CJ322" s="538">
        <f t="shared" si="2242"/>
        <v>0</v>
      </c>
      <c r="CK322" s="538">
        <f t="shared" si="2254"/>
        <v>0</v>
      </c>
      <c r="CL322" s="538">
        <f t="shared" si="2243"/>
        <v>0</v>
      </c>
      <c r="CM322" s="538">
        <f t="shared" si="2244"/>
        <v>0</v>
      </c>
      <c r="CN322" s="538">
        <f t="shared" si="2255"/>
        <v>0</v>
      </c>
      <c r="CO322" s="538">
        <f t="shared" si="2245"/>
        <v>1.3751999999999873</v>
      </c>
      <c r="CP322" s="538">
        <f t="shared" si="2246"/>
        <v>0</v>
      </c>
      <c r="CQ322" s="538">
        <f t="shared" si="2247"/>
        <v>0</v>
      </c>
      <c r="CR322" s="539">
        <f t="shared" si="2256"/>
        <v>0</v>
      </c>
      <c r="CS322" s="540">
        <f t="shared" si="2257"/>
        <v>0</v>
      </c>
      <c r="CT322" s="540">
        <f t="shared" si="2258"/>
        <v>0</v>
      </c>
      <c r="CU322" s="541">
        <f t="shared" si="2259"/>
        <v>0</v>
      </c>
      <c r="CV322" s="538">
        <f t="shared" si="2260"/>
        <v>0</v>
      </c>
      <c r="CW322" s="538">
        <f t="shared" si="2261"/>
        <v>0</v>
      </c>
      <c r="CX322" s="104">
        <f t="shared" si="2262"/>
        <v>0</v>
      </c>
      <c r="CY322" s="542">
        <f t="shared" si="2263"/>
        <v>0</v>
      </c>
      <c r="CZ322" s="538">
        <f t="shared" si="2264"/>
        <v>0</v>
      </c>
    </row>
    <row r="323" spans="1:104" s="112" customFormat="1" ht="37.5" x14ac:dyDescent="0.25">
      <c r="A323" s="100" t="str">
        <f>'BOCA DE LOBO'!C292</f>
        <v>BL63-&gt;PV2-73</v>
      </c>
      <c r="B323" s="100" t="str">
        <f>'BOCA DE LOBO'!A292</f>
        <v>PV2-73</v>
      </c>
      <c r="C323" s="100" t="str">
        <f>VLOOKUP(A323,'BOCA DE LOBO'!$C$229:$M$324,3,0)</f>
        <v>EXISTENTE</v>
      </c>
      <c r="D323" s="100" t="str">
        <f>VLOOKUP(A323,'BOCA DE LOBO'!$C$229:$M$324,10,0)</f>
        <v>AMPLIADA</v>
      </c>
      <c r="E323" s="100">
        <f t="shared" si="2182"/>
        <v>2.1470000000000162</v>
      </c>
      <c r="F323" s="100">
        <f>VLOOKUP(A323,'BOCA DE LOBO'!$C$229:$D$324,2,0)</f>
        <v>2.3070000000000164</v>
      </c>
      <c r="G323" s="100">
        <f>VLOOKUP(A323,'BOCA DE LOBO'!$C$229:$F$324,4,0)</f>
        <v>4</v>
      </c>
      <c r="H323" s="101">
        <v>400</v>
      </c>
      <c r="I323" s="102">
        <f t="shared" si="2183"/>
        <v>2.3570000000000162</v>
      </c>
      <c r="J323" s="102">
        <f t="shared" si="2184"/>
        <v>0</v>
      </c>
      <c r="K323" s="103">
        <v>0</v>
      </c>
      <c r="L323" s="104">
        <f t="shared" si="2185"/>
        <v>0</v>
      </c>
      <c r="M323" s="104">
        <f t="shared" si="2186"/>
        <v>0</v>
      </c>
      <c r="N323" s="104">
        <f t="shared" si="2187"/>
        <v>400</v>
      </c>
      <c r="O323" s="104">
        <f t="shared" si="2188"/>
        <v>0</v>
      </c>
      <c r="P323" s="105" t="s">
        <v>1999</v>
      </c>
      <c r="Q323" s="468" t="s">
        <v>2081</v>
      </c>
      <c r="R323" s="105"/>
      <c r="S323" s="105">
        <f>VLOOKUP(Q323,Quantitativos!P:R,3,0)</f>
        <v>5</v>
      </c>
      <c r="T323" s="105">
        <f>VLOOKUP(Q323,Quantitativos!P:S,4,0)</f>
        <v>5</v>
      </c>
      <c r="U323" s="104">
        <f t="shared" si="2189"/>
        <v>0.05</v>
      </c>
      <c r="V323" s="106">
        <f t="shared" si="2190"/>
        <v>0</v>
      </c>
      <c r="W323" s="106">
        <f t="shared" si="2248"/>
        <v>0</v>
      </c>
      <c r="X323" s="107">
        <f t="shared" si="2191"/>
        <v>0</v>
      </c>
      <c r="Y323" s="107">
        <f t="shared" si="2192"/>
        <v>0</v>
      </c>
      <c r="Z323" s="107">
        <f t="shared" si="2193"/>
        <v>2.3570000000000162</v>
      </c>
      <c r="AA323" s="107">
        <f t="shared" si="2194"/>
        <v>0</v>
      </c>
      <c r="AB323" s="108">
        <f t="shared" si="2195"/>
        <v>0</v>
      </c>
      <c r="AC323" s="109">
        <f t="shared" si="2196"/>
        <v>0</v>
      </c>
      <c r="AD323" s="109">
        <f t="shared" si="2197"/>
        <v>0</v>
      </c>
      <c r="AE323" s="109">
        <f t="shared" si="2198"/>
        <v>0</v>
      </c>
      <c r="AF323" s="109">
        <f t="shared" si="2042"/>
        <v>0</v>
      </c>
      <c r="AG323" s="109">
        <f t="shared" si="2109"/>
        <v>0</v>
      </c>
      <c r="AH323" s="109">
        <f t="shared" si="2110"/>
        <v>0</v>
      </c>
      <c r="AI323" s="537" t="str">
        <f t="shared" si="2199"/>
        <v>NÃO</v>
      </c>
      <c r="AJ323" s="104">
        <f t="shared" si="2200"/>
        <v>0</v>
      </c>
      <c r="AK323" s="104">
        <f t="shared" si="2201"/>
        <v>0</v>
      </c>
      <c r="AL323" s="104">
        <f t="shared" si="2202"/>
        <v>0</v>
      </c>
      <c r="AM323" s="102">
        <f t="shared" si="2203"/>
        <v>0</v>
      </c>
      <c r="AN323" s="106">
        <f t="shared" si="2204"/>
        <v>0</v>
      </c>
      <c r="AO323" s="104">
        <f t="shared" si="2205"/>
        <v>0</v>
      </c>
      <c r="AP323" s="104">
        <f t="shared" si="2206"/>
        <v>0</v>
      </c>
      <c r="AQ323" s="104">
        <f t="shared" si="2207"/>
        <v>0.7</v>
      </c>
      <c r="AR323" s="104">
        <f t="shared" si="2208"/>
        <v>0</v>
      </c>
      <c r="AS323" s="104">
        <f t="shared" si="2209"/>
        <v>0</v>
      </c>
      <c r="AT323" s="104">
        <f t="shared" si="2210"/>
        <v>0</v>
      </c>
      <c r="AU323" s="104">
        <f t="shared" si="2211"/>
        <v>0</v>
      </c>
      <c r="AV323" s="104">
        <f t="shared" si="2212"/>
        <v>0</v>
      </c>
      <c r="AW323" s="104">
        <f t="shared" si="2213"/>
        <v>0</v>
      </c>
      <c r="AX323" s="104">
        <f t="shared" si="2214"/>
        <v>0</v>
      </c>
      <c r="AY323" s="104">
        <f t="shared" si="2215"/>
        <v>0</v>
      </c>
      <c r="AZ323" s="104">
        <f t="shared" si="2216"/>
        <v>0</v>
      </c>
      <c r="BA323" s="104">
        <f t="shared" si="2249"/>
        <v>0</v>
      </c>
      <c r="BB323" s="104">
        <f t="shared" si="2217"/>
        <v>0</v>
      </c>
      <c r="BC323" s="104"/>
      <c r="BD323" s="104">
        <f t="shared" si="2218"/>
        <v>0</v>
      </c>
      <c r="BE323" s="108">
        <f t="shared" si="2219"/>
        <v>0</v>
      </c>
      <c r="BF323" s="110">
        <f t="shared" si="2220"/>
        <v>0</v>
      </c>
      <c r="BG323" s="110">
        <f t="shared" si="2221"/>
        <v>0</v>
      </c>
      <c r="BH323" s="105" t="str">
        <f>VLOOKUP(A323,'BOCA DE LOBO'!$C$229:$I$324,7,0)</f>
        <v>BOCA DE LOBO SIMPLES EXISTENTE COM BOCA DE LOBO SIMPLES PROJETADA</v>
      </c>
      <c r="BI323" s="104">
        <f t="shared" si="2222"/>
        <v>0</v>
      </c>
      <c r="BJ323" s="104">
        <f t="shared" si="2223"/>
        <v>1</v>
      </c>
      <c r="BK323" s="104">
        <f t="shared" si="2224"/>
        <v>0</v>
      </c>
      <c r="BL323" s="104">
        <f t="shared" si="2225"/>
        <v>0</v>
      </c>
      <c r="BM323" s="104">
        <f t="shared" si="2226"/>
        <v>0</v>
      </c>
      <c r="BN323" s="104">
        <f t="shared" si="2227"/>
        <v>0</v>
      </c>
      <c r="BO323" s="543">
        <f t="shared" si="2228"/>
        <v>0</v>
      </c>
      <c r="BP323" s="111"/>
      <c r="BQ323" s="108">
        <f t="shared" si="2229"/>
        <v>12</v>
      </c>
      <c r="BR323" s="108">
        <f t="shared" si="2230"/>
        <v>6.8560000000001295</v>
      </c>
      <c r="BS323" s="108">
        <f t="shared" si="2231"/>
        <v>0</v>
      </c>
      <c r="BV323" s="538">
        <f t="shared" si="2250"/>
        <v>7.8631728000000578</v>
      </c>
      <c r="BW323" s="538">
        <f t="shared" si="2251"/>
        <v>3.6623999999999994</v>
      </c>
      <c r="BX323" s="538">
        <f t="shared" si="2252"/>
        <v>1.3923999999999999</v>
      </c>
      <c r="BY323" s="538">
        <f t="shared" si="2232"/>
        <v>2.1470000000000162</v>
      </c>
      <c r="BZ323" s="538">
        <f t="shared" si="2233"/>
        <v>2.1470000000000162</v>
      </c>
      <c r="CA323" s="538">
        <f t="shared" si="2234"/>
        <v>0</v>
      </c>
      <c r="CB323" s="538">
        <f t="shared" si="2235"/>
        <v>0</v>
      </c>
      <c r="CC323" s="538">
        <f t="shared" si="2236"/>
        <v>5.4935999999999989</v>
      </c>
      <c r="CD323" s="538">
        <f t="shared" si="2237"/>
        <v>2.3695728000000589</v>
      </c>
      <c r="CE323" s="538">
        <f t="shared" si="2238"/>
        <v>0</v>
      </c>
      <c r="CF323" s="538">
        <f t="shared" si="2239"/>
        <v>0</v>
      </c>
      <c r="CG323" s="538">
        <f t="shared" si="2240"/>
        <v>0</v>
      </c>
      <c r="CH323" s="538">
        <f t="shared" si="2241"/>
        <v>0</v>
      </c>
      <c r="CI323" s="104">
        <f t="shared" si="2253"/>
        <v>0.252</v>
      </c>
      <c r="CJ323" s="538">
        <f t="shared" si="2242"/>
        <v>4.6216900000000365</v>
      </c>
      <c r="CK323" s="538">
        <f t="shared" si="2254"/>
        <v>4.6216900000000365</v>
      </c>
      <c r="CL323" s="538">
        <f t="shared" si="2243"/>
        <v>0</v>
      </c>
      <c r="CM323" s="538">
        <f t="shared" si="2244"/>
        <v>0</v>
      </c>
      <c r="CN323" s="538">
        <f t="shared" si="2255"/>
        <v>1.68</v>
      </c>
      <c r="CO323" s="538">
        <f t="shared" si="2245"/>
        <v>2.1470000000000162</v>
      </c>
      <c r="CP323" s="538">
        <f t="shared" si="2246"/>
        <v>5.04</v>
      </c>
      <c r="CQ323" s="538">
        <f t="shared" si="2247"/>
        <v>2.1739200000000545</v>
      </c>
      <c r="CR323" s="539">
        <f t="shared" si="2256"/>
        <v>0.90585000000000904</v>
      </c>
      <c r="CS323" s="540">
        <f t="shared" si="2257"/>
        <v>4.3798800000000332E-2</v>
      </c>
      <c r="CT323" s="540">
        <f t="shared" si="2258"/>
        <v>0.15421000000000001</v>
      </c>
      <c r="CU323" s="541">
        <f t="shared" si="2259"/>
        <v>5.582200000000042</v>
      </c>
      <c r="CV323" s="538">
        <f t="shared" si="2260"/>
        <v>0.83002800000000332</v>
      </c>
      <c r="CW323" s="538">
        <f t="shared" si="2261"/>
        <v>13.957240000000084</v>
      </c>
      <c r="CX323" s="104">
        <f t="shared" si="2262"/>
        <v>1.68</v>
      </c>
      <c r="CY323" s="542">
        <f t="shared" si="2263"/>
        <v>0.84</v>
      </c>
      <c r="CZ323" s="538">
        <f t="shared" si="2264"/>
        <v>0</v>
      </c>
    </row>
    <row r="324" spans="1:104" s="112" customFormat="1" ht="25" x14ac:dyDescent="0.25">
      <c r="A324" s="100" t="str">
        <f>'BOCA DE LOBO'!C293</f>
        <v>BL64-&gt;PV1-74</v>
      </c>
      <c r="B324" s="100" t="str">
        <f>'BOCA DE LOBO'!A293</f>
        <v>PV1-74</v>
      </c>
      <c r="C324" s="100" t="str">
        <f>VLOOKUP(A324,'BOCA DE LOBO'!$C$229:$M$324,3,0)</f>
        <v>EXISTENTE</v>
      </c>
      <c r="D324" s="100" t="str">
        <f>VLOOKUP(A324,'BOCA DE LOBO'!$C$229:$M$324,10,0)</f>
        <v>EXISTENTE</v>
      </c>
      <c r="E324" s="100">
        <f t="shared" si="2182"/>
        <v>1.4685999999999846</v>
      </c>
      <c r="F324" s="100">
        <f>VLOOKUP(A324,'BOCA DE LOBO'!$C$229:$D$324,2,0)</f>
        <v>1.7169999999999845</v>
      </c>
      <c r="G324" s="100">
        <f>VLOOKUP(A324,'BOCA DE LOBO'!$C$229:$F$324,4,0)</f>
        <v>6.21</v>
      </c>
      <c r="H324" s="101">
        <v>400</v>
      </c>
      <c r="I324" s="102">
        <f t="shared" si="2183"/>
        <v>1.7227999999999846</v>
      </c>
      <c r="J324" s="102">
        <f t="shared" si="2184"/>
        <v>0</v>
      </c>
      <c r="K324" s="103">
        <v>0</v>
      </c>
      <c r="L324" s="104">
        <f t="shared" si="2185"/>
        <v>0</v>
      </c>
      <c r="M324" s="104">
        <f t="shared" si="2186"/>
        <v>0</v>
      </c>
      <c r="N324" s="104">
        <f t="shared" si="2187"/>
        <v>400</v>
      </c>
      <c r="O324" s="104">
        <f t="shared" si="2188"/>
        <v>0</v>
      </c>
      <c r="P324" s="105" t="s">
        <v>1999</v>
      </c>
      <c r="Q324" s="468" t="s">
        <v>2182</v>
      </c>
      <c r="R324" s="105"/>
      <c r="S324" s="105">
        <v>5</v>
      </c>
      <c r="T324" s="105">
        <v>5</v>
      </c>
      <c r="U324" s="104">
        <f t="shared" si="2189"/>
        <v>0.05</v>
      </c>
      <c r="V324" s="106">
        <f t="shared" si="2190"/>
        <v>0</v>
      </c>
      <c r="W324" s="106">
        <f t="shared" si="2248"/>
        <v>0</v>
      </c>
      <c r="X324" s="107">
        <f t="shared" si="2191"/>
        <v>0</v>
      </c>
      <c r="Y324" s="107">
        <f t="shared" si="2192"/>
        <v>0</v>
      </c>
      <c r="Z324" s="107">
        <f t="shared" si="2193"/>
        <v>1.7227999999999846</v>
      </c>
      <c r="AA324" s="107">
        <f t="shared" si="2194"/>
        <v>0</v>
      </c>
      <c r="AB324" s="108">
        <f t="shared" si="2195"/>
        <v>0</v>
      </c>
      <c r="AC324" s="109">
        <f t="shared" si="2196"/>
        <v>0</v>
      </c>
      <c r="AD324" s="109">
        <f t="shared" si="2197"/>
        <v>0</v>
      </c>
      <c r="AE324" s="109">
        <f t="shared" si="2198"/>
        <v>0</v>
      </c>
      <c r="AF324" s="109">
        <f t="shared" ref="AF324:AF334" si="2265">IF(L324&lt;=1.5,IF(Z324&gt;=1.5,M324*G324*1.5,L324*G324*Z324),0)+IF(S324&lt;I324,0,IF(AND(Z324&lt;=1.5,L324&lt;=1.5),-V324,0))</f>
        <v>0</v>
      </c>
      <c r="AG324" s="109">
        <f t="shared" si="2109"/>
        <v>0</v>
      </c>
      <c r="AH324" s="109">
        <f t="shared" si="2110"/>
        <v>0</v>
      </c>
      <c r="AI324" s="537" t="str">
        <f t="shared" si="2199"/>
        <v>NÃO</v>
      </c>
      <c r="AJ324" s="104">
        <f t="shared" si="2200"/>
        <v>0</v>
      </c>
      <c r="AK324" s="104">
        <f t="shared" si="2201"/>
        <v>0</v>
      </c>
      <c r="AL324" s="104">
        <f t="shared" si="2202"/>
        <v>0</v>
      </c>
      <c r="AM324" s="102">
        <f t="shared" si="2203"/>
        <v>0</v>
      </c>
      <c r="AN324" s="106">
        <f t="shared" si="2204"/>
        <v>0</v>
      </c>
      <c r="AO324" s="104">
        <f t="shared" si="2205"/>
        <v>0</v>
      </c>
      <c r="AP324" s="104">
        <f t="shared" si="2206"/>
        <v>0</v>
      </c>
      <c r="AQ324" s="104">
        <f t="shared" si="2207"/>
        <v>0.7</v>
      </c>
      <c r="AR324" s="104">
        <f t="shared" si="2208"/>
        <v>0</v>
      </c>
      <c r="AS324" s="104">
        <f t="shared" si="2209"/>
        <v>0</v>
      </c>
      <c r="AT324" s="104">
        <f t="shared" si="2210"/>
        <v>0</v>
      </c>
      <c r="AU324" s="104">
        <f t="shared" si="2211"/>
        <v>0</v>
      </c>
      <c r="AV324" s="104">
        <f t="shared" si="2212"/>
        <v>0</v>
      </c>
      <c r="AW324" s="104">
        <f t="shared" si="2213"/>
        <v>0</v>
      </c>
      <c r="AX324" s="104">
        <f t="shared" si="2214"/>
        <v>0</v>
      </c>
      <c r="AY324" s="104">
        <f t="shared" si="2215"/>
        <v>0</v>
      </c>
      <c r="AZ324" s="104">
        <f t="shared" si="2216"/>
        <v>0</v>
      </c>
      <c r="BA324" s="104">
        <f t="shared" si="2249"/>
        <v>0</v>
      </c>
      <c r="BB324" s="104">
        <f t="shared" si="2217"/>
        <v>0</v>
      </c>
      <c r="BC324" s="104"/>
      <c r="BD324" s="104">
        <f t="shared" si="2218"/>
        <v>0</v>
      </c>
      <c r="BE324" s="108">
        <f t="shared" si="2219"/>
        <v>0</v>
      </c>
      <c r="BF324" s="110">
        <f t="shared" si="2220"/>
        <v>0</v>
      </c>
      <c r="BG324" s="110">
        <f t="shared" si="2221"/>
        <v>0</v>
      </c>
      <c r="BH324" s="105" t="str">
        <f>VLOOKUP(A324,'BOCA DE LOBO'!$C$229:$I$324,7,0)</f>
        <v>BOCA DE LOBO EXISTENTE DUPLA</v>
      </c>
      <c r="BI324" s="104">
        <f t="shared" si="2222"/>
        <v>0</v>
      </c>
      <c r="BJ324" s="104">
        <f t="shared" si="2223"/>
        <v>0</v>
      </c>
      <c r="BK324" s="104">
        <f t="shared" si="2224"/>
        <v>0</v>
      </c>
      <c r="BL324" s="104">
        <f t="shared" si="2225"/>
        <v>0</v>
      </c>
      <c r="BM324" s="104">
        <f t="shared" si="2226"/>
        <v>0</v>
      </c>
      <c r="BN324" s="104">
        <f t="shared" si="2227"/>
        <v>0</v>
      </c>
      <c r="BO324" s="543">
        <f t="shared" si="2228"/>
        <v>0</v>
      </c>
      <c r="BP324" s="111"/>
      <c r="BQ324" s="108">
        <f t="shared" si="2229"/>
        <v>18.63</v>
      </c>
      <c r="BR324" s="108">
        <f t="shared" si="2230"/>
        <v>2.7671759999998082</v>
      </c>
      <c r="BS324" s="108">
        <f t="shared" si="2231"/>
        <v>0</v>
      </c>
      <c r="BV324" s="538">
        <f t="shared" si="2250"/>
        <v>0</v>
      </c>
      <c r="BW324" s="538">
        <f t="shared" si="2251"/>
        <v>0</v>
      </c>
      <c r="BX324" s="538">
        <f t="shared" si="2252"/>
        <v>0</v>
      </c>
      <c r="BY324" s="538">
        <f t="shared" si="2232"/>
        <v>1.4685999999999846</v>
      </c>
      <c r="BZ324" s="538">
        <f t="shared" si="2233"/>
        <v>1.4685999999999846</v>
      </c>
      <c r="CA324" s="538">
        <f t="shared" si="2234"/>
        <v>0</v>
      </c>
      <c r="CB324" s="538">
        <f t="shared" si="2235"/>
        <v>0</v>
      </c>
      <c r="CC324" s="538">
        <f t="shared" si="2236"/>
        <v>0</v>
      </c>
      <c r="CD324" s="538">
        <f t="shared" si="2237"/>
        <v>0</v>
      </c>
      <c r="CE324" s="538">
        <f t="shared" si="2238"/>
        <v>0</v>
      </c>
      <c r="CF324" s="538">
        <f t="shared" si="2239"/>
        <v>0</v>
      </c>
      <c r="CG324" s="538">
        <f t="shared" si="2240"/>
        <v>0</v>
      </c>
      <c r="CH324" s="538">
        <f t="shared" si="2241"/>
        <v>0</v>
      </c>
      <c r="CI324" s="104">
        <f t="shared" si="2253"/>
        <v>0</v>
      </c>
      <c r="CJ324" s="538">
        <f t="shared" si="2242"/>
        <v>0</v>
      </c>
      <c r="CK324" s="538">
        <f t="shared" si="2254"/>
        <v>0</v>
      </c>
      <c r="CL324" s="538">
        <f t="shared" si="2243"/>
        <v>0</v>
      </c>
      <c r="CM324" s="538">
        <f t="shared" si="2244"/>
        <v>0</v>
      </c>
      <c r="CN324" s="538">
        <f t="shared" si="2255"/>
        <v>0</v>
      </c>
      <c r="CO324" s="538">
        <f t="shared" si="2245"/>
        <v>1.4685999999999846</v>
      </c>
      <c r="CP324" s="538">
        <f t="shared" si="2246"/>
        <v>0</v>
      </c>
      <c r="CQ324" s="538">
        <f t="shared" si="2247"/>
        <v>0</v>
      </c>
      <c r="CR324" s="539">
        <f t="shared" si="2256"/>
        <v>0</v>
      </c>
      <c r="CS324" s="540">
        <f t="shared" si="2257"/>
        <v>0</v>
      </c>
      <c r="CT324" s="540">
        <f t="shared" si="2258"/>
        <v>0</v>
      </c>
      <c r="CU324" s="541">
        <f t="shared" si="2259"/>
        <v>0</v>
      </c>
      <c r="CV324" s="538">
        <f t="shared" si="2260"/>
        <v>0</v>
      </c>
      <c r="CW324" s="538">
        <f t="shared" si="2261"/>
        <v>0</v>
      </c>
      <c r="CX324" s="104">
        <f t="shared" si="2262"/>
        <v>0</v>
      </c>
      <c r="CY324" s="542">
        <f t="shared" si="2263"/>
        <v>0</v>
      </c>
      <c r="CZ324" s="538">
        <f t="shared" si="2264"/>
        <v>0</v>
      </c>
    </row>
    <row r="325" spans="1:104" s="112" customFormat="1" ht="25" x14ac:dyDescent="0.25">
      <c r="A325" s="100" t="str">
        <f>'BOCA DE LOBO'!C294</f>
        <v>BL65-&gt;PV2-74</v>
      </c>
      <c r="B325" s="100" t="str">
        <f>'BOCA DE LOBO'!A294</f>
        <v>PV2-74</v>
      </c>
      <c r="C325" s="100" t="str">
        <f>VLOOKUP(A325,'BOCA DE LOBO'!$C$229:$M$324,3,0)</f>
        <v>EXISTENTE</v>
      </c>
      <c r="D325" s="100" t="str">
        <f>VLOOKUP(A325,'BOCA DE LOBO'!$C$229:$M$324,10,0)</f>
        <v>EXISTENTE</v>
      </c>
      <c r="E325" s="100">
        <f t="shared" si="2182"/>
        <v>2.0317999999999556</v>
      </c>
      <c r="F325" s="100">
        <f>VLOOKUP(A325,'BOCA DE LOBO'!$C$229:$D$324,2,0)</f>
        <v>2.1989999999999554</v>
      </c>
      <c r="G325" s="100">
        <f>VLOOKUP(A325,'BOCA DE LOBO'!$C$229:$F$324,4,0)</f>
        <v>4.18</v>
      </c>
      <c r="H325" s="101">
        <v>400</v>
      </c>
      <c r="I325" s="102">
        <f t="shared" si="2183"/>
        <v>2.2453999999999557</v>
      </c>
      <c r="J325" s="102">
        <f t="shared" si="2184"/>
        <v>0</v>
      </c>
      <c r="K325" s="103">
        <v>0</v>
      </c>
      <c r="L325" s="104">
        <f t="shared" si="2185"/>
        <v>0</v>
      </c>
      <c r="M325" s="104">
        <f t="shared" si="2186"/>
        <v>0</v>
      </c>
      <c r="N325" s="104">
        <f t="shared" si="2187"/>
        <v>400</v>
      </c>
      <c r="O325" s="104">
        <f t="shared" si="2188"/>
        <v>0</v>
      </c>
      <c r="P325" s="105" t="s">
        <v>1999</v>
      </c>
      <c r="Q325" s="468" t="s">
        <v>2081</v>
      </c>
      <c r="R325" s="105"/>
      <c r="S325" s="105">
        <f>VLOOKUP(Q325,Quantitativos!P:R,3,0)</f>
        <v>5</v>
      </c>
      <c r="T325" s="105">
        <f>VLOOKUP(Q325,Quantitativos!P:S,4,0)</f>
        <v>5</v>
      </c>
      <c r="U325" s="104">
        <f t="shared" si="2189"/>
        <v>0.05</v>
      </c>
      <c r="V325" s="106">
        <f t="shared" si="2190"/>
        <v>0</v>
      </c>
      <c r="W325" s="106">
        <f t="shared" si="2248"/>
        <v>0</v>
      </c>
      <c r="X325" s="107">
        <f t="shared" si="2191"/>
        <v>0</v>
      </c>
      <c r="Y325" s="107">
        <f t="shared" si="2192"/>
        <v>0</v>
      </c>
      <c r="Z325" s="107">
        <f t="shared" si="2193"/>
        <v>2.2453999999999557</v>
      </c>
      <c r="AA325" s="107">
        <f t="shared" si="2194"/>
        <v>0</v>
      </c>
      <c r="AB325" s="108">
        <f t="shared" si="2195"/>
        <v>0</v>
      </c>
      <c r="AC325" s="109">
        <f t="shared" si="2196"/>
        <v>0</v>
      </c>
      <c r="AD325" s="109">
        <f t="shared" si="2197"/>
        <v>0</v>
      </c>
      <c r="AE325" s="109">
        <f t="shared" si="2198"/>
        <v>0</v>
      </c>
      <c r="AF325" s="109">
        <f t="shared" si="2265"/>
        <v>0</v>
      </c>
      <c r="AG325" s="109">
        <f t="shared" si="2109"/>
        <v>0</v>
      </c>
      <c r="AH325" s="109">
        <f t="shared" si="2110"/>
        <v>0</v>
      </c>
      <c r="AI325" s="537" t="str">
        <f t="shared" si="2199"/>
        <v>NÃO</v>
      </c>
      <c r="AJ325" s="104">
        <f t="shared" si="2200"/>
        <v>0</v>
      </c>
      <c r="AK325" s="104">
        <f t="shared" si="2201"/>
        <v>0</v>
      </c>
      <c r="AL325" s="104">
        <f t="shared" si="2202"/>
        <v>0</v>
      </c>
      <c r="AM325" s="102">
        <f t="shared" si="2203"/>
        <v>0</v>
      </c>
      <c r="AN325" s="106">
        <f t="shared" si="2204"/>
        <v>0</v>
      </c>
      <c r="AO325" s="104">
        <f t="shared" si="2205"/>
        <v>0</v>
      </c>
      <c r="AP325" s="104">
        <f t="shared" si="2206"/>
        <v>0</v>
      </c>
      <c r="AQ325" s="104">
        <f t="shared" si="2207"/>
        <v>0.7</v>
      </c>
      <c r="AR325" s="104">
        <f t="shared" si="2208"/>
        <v>0</v>
      </c>
      <c r="AS325" s="104">
        <f t="shared" si="2209"/>
        <v>0</v>
      </c>
      <c r="AT325" s="104">
        <f t="shared" si="2210"/>
        <v>0</v>
      </c>
      <c r="AU325" s="104">
        <f t="shared" si="2211"/>
        <v>0</v>
      </c>
      <c r="AV325" s="104">
        <f t="shared" si="2212"/>
        <v>0</v>
      </c>
      <c r="AW325" s="104">
        <f t="shared" si="2213"/>
        <v>0</v>
      </c>
      <c r="AX325" s="104">
        <f t="shared" si="2214"/>
        <v>0</v>
      </c>
      <c r="AY325" s="104">
        <f t="shared" si="2215"/>
        <v>0</v>
      </c>
      <c r="AZ325" s="104">
        <f t="shared" si="2216"/>
        <v>0</v>
      </c>
      <c r="BA325" s="104">
        <f t="shared" si="2249"/>
        <v>0</v>
      </c>
      <c r="BB325" s="104">
        <f t="shared" si="2217"/>
        <v>0</v>
      </c>
      <c r="BC325" s="104"/>
      <c r="BD325" s="104">
        <f t="shared" si="2218"/>
        <v>0</v>
      </c>
      <c r="BE325" s="108">
        <f t="shared" si="2219"/>
        <v>0</v>
      </c>
      <c r="BF325" s="110">
        <f t="shared" si="2220"/>
        <v>0</v>
      </c>
      <c r="BG325" s="110">
        <f t="shared" si="2221"/>
        <v>0</v>
      </c>
      <c r="BH325" s="105" t="str">
        <f>VLOOKUP(A325,'BOCA DE LOBO'!$C$229:$I$324,7,0)</f>
        <v>BOCA DE LOBO EXISTENTE DUPLA</v>
      </c>
      <c r="BI325" s="104">
        <f t="shared" si="2222"/>
        <v>0</v>
      </c>
      <c r="BJ325" s="104">
        <f t="shared" si="2223"/>
        <v>0</v>
      </c>
      <c r="BK325" s="104">
        <f t="shared" si="2224"/>
        <v>0</v>
      </c>
      <c r="BL325" s="104">
        <f t="shared" si="2225"/>
        <v>0</v>
      </c>
      <c r="BM325" s="104">
        <f t="shared" si="2226"/>
        <v>0</v>
      </c>
      <c r="BN325" s="104">
        <f t="shared" si="2227"/>
        <v>0</v>
      </c>
      <c r="BO325" s="543">
        <f t="shared" si="2228"/>
        <v>0</v>
      </c>
      <c r="BP325" s="111"/>
      <c r="BQ325" s="108">
        <f t="shared" si="2229"/>
        <v>12.54</v>
      </c>
      <c r="BR325" s="108">
        <f t="shared" si="2230"/>
        <v>6.2315439999996292</v>
      </c>
      <c r="BS325" s="108">
        <f t="shared" si="2231"/>
        <v>0</v>
      </c>
      <c r="BV325" s="538">
        <f t="shared" si="2250"/>
        <v>0</v>
      </c>
      <c r="BW325" s="538">
        <f t="shared" si="2251"/>
        <v>0</v>
      </c>
      <c r="BX325" s="538">
        <f t="shared" si="2252"/>
        <v>0</v>
      </c>
      <c r="BY325" s="538">
        <f t="shared" si="2232"/>
        <v>2.0317999999999556</v>
      </c>
      <c r="BZ325" s="538">
        <f t="shared" si="2233"/>
        <v>2.0317999999999556</v>
      </c>
      <c r="CA325" s="538">
        <f t="shared" si="2234"/>
        <v>0</v>
      </c>
      <c r="CB325" s="538">
        <f t="shared" si="2235"/>
        <v>0</v>
      </c>
      <c r="CC325" s="538">
        <f t="shared" si="2236"/>
        <v>0</v>
      </c>
      <c r="CD325" s="538">
        <f t="shared" si="2237"/>
        <v>0</v>
      </c>
      <c r="CE325" s="538">
        <f t="shared" si="2238"/>
        <v>0</v>
      </c>
      <c r="CF325" s="538">
        <f t="shared" si="2239"/>
        <v>0</v>
      </c>
      <c r="CG325" s="538">
        <f t="shared" si="2240"/>
        <v>0</v>
      </c>
      <c r="CH325" s="538">
        <f t="shared" si="2241"/>
        <v>0</v>
      </c>
      <c r="CI325" s="104">
        <f t="shared" si="2253"/>
        <v>0</v>
      </c>
      <c r="CJ325" s="538">
        <f t="shared" si="2242"/>
        <v>0</v>
      </c>
      <c r="CK325" s="538">
        <f t="shared" si="2254"/>
        <v>0</v>
      </c>
      <c r="CL325" s="538">
        <f t="shared" si="2243"/>
        <v>0</v>
      </c>
      <c r="CM325" s="538">
        <f t="shared" si="2244"/>
        <v>0</v>
      </c>
      <c r="CN325" s="538">
        <f t="shared" si="2255"/>
        <v>0</v>
      </c>
      <c r="CO325" s="538">
        <f t="shared" si="2245"/>
        <v>2.0317999999999556</v>
      </c>
      <c r="CP325" s="538">
        <f t="shared" si="2246"/>
        <v>0</v>
      </c>
      <c r="CQ325" s="538">
        <f t="shared" si="2247"/>
        <v>0</v>
      </c>
      <c r="CR325" s="539">
        <f t="shared" si="2256"/>
        <v>0</v>
      </c>
      <c r="CS325" s="540">
        <f t="shared" si="2257"/>
        <v>0</v>
      </c>
      <c r="CT325" s="540">
        <f t="shared" si="2258"/>
        <v>0</v>
      </c>
      <c r="CU325" s="541">
        <f t="shared" si="2259"/>
        <v>0</v>
      </c>
      <c r="CV325" s="538">
        <f t="shared" si="2260"/>
        <v>0</v>
      </c>
      <c r="CW325" s="538">
        <f t="shared" si="2261"/>
        <v>0</v>
      </c>
      <c r="CX325" s="104">
        <f t="shared" si="2262"/>
        <v>0</v>
      </c>
      <c r="CY325" s="542">
        <f t="shared" si="2263"/>
        <v>0</v>
      </c>
      <c r="CZ325" s="538">
        <f t="shared" si="2264"/>
        <v>0</v>
      </c>
    </row>
    <row r="326" spans="1:104" s="112" customFormat="1" ht="25" x14ac:dyDescent="0.25">
      <c r="A326" s="100" t="str">
        <f>'BOCA DE LOBO'!C295</f>
        <v>BL66-&gt;PV1-75</v>
      </c>
      <c r="B326" s="100" t="str">
        <f>'BOCA DE LOBO'!A295</f>
        <v>PV1-75</v>
      </c>
      <c r="C326" s="100" t="str">
        <f>VLOOKUP(A326,'BOCA DE LOBO'!$C$229:$M$324,3,0)</f>
        <v>EXISTENTE</v>
      </c>
      <c r="D326" s="100" t="str">
        <f>VLOOKUP(A326,'BOCA DE LOBO'!$C$229:$M$324,10,0)</f>
        <v>EXISTENTE</v>
      </c>
      <c r="E326" s="100">
        <f t="shared" si="2182"/>
        <v>1.5805999999999509</v>
      </c>
      <c r="F326" s="100">
        <f>VLOOKUP(A326,'BOCA DE LOBO'!$C$229:$D$324,2,0)</f>
        <v>1.8289999999999509</v>
      </c>
      <c r="G326" s="100">
        <f>VLOOKUP(A326,'BOCA DE LOBO'!$C$229:$F$324,4,0)</f>
        <v>6.21</v>
      </c>
      <c r="H326" s="101">
        <v>400</v>
      </c>
      <c r="I326" s="102">
        <f t="shared" si="2183"/>
        <v>1.8347999999999509</v>
      </c>
      <c r="J326" s="102">
        <f t="shared" si="2184"/>
        <v>0</v>
      </c>
      <c r="K326" s="103">
        <v>0</v>
      </c>
      <c r="L326" s="104">
        <f t="shared" si="2185"/>
        <v>0</v>
      </c>
      <c r="M326" s="104">
        <f t="shared" si="2186"/>
        <v>0</v>
      </c>
      <c r="N326" s="104">
        <f t="shared" si="2187"/>
        <v>400</v>
      </c>
      <c r="O326" s="104">
        <f t="shared" si="2188"/>
        <v>0</v>
      </c>
      <c r="P326" s="105" t="s">
        <v>1999</v>
      </c>
      <c r="Q326" s="468" t="s">
        <v>2182</v>
      </c>
      <c r="R326" s="105"/>
      <c r="S326" s="105">
        <v>5</v>
      </c>
      <c r="T326" s="105">
        <v>5</v>
      </c>
      <c r="U326" s="104">
        <f t="shared" si="2189"/>
        <v>0.05</v>
      </c>
      <c r="V326" s="106">
        <f t="shared" si="2190"/>
        <v>0</v>
      </c>
      <c r="W326" s="106">
        <f t="shared" si="2248"/>
        <v>0</v>
      </c>
      <c r="X326" s="107">
        <f t="shared" si="2191"/>
        <v>0</v>
      </c>
      <c r="Y326" s="107">
        <f t="shared" si="2192"/>
        <v>0</v>
      </c>
      <c r="Z326" s="107">
        <f t="shared" si="2193"/>
        <v>1.8347999999999509</v>
      </c>
      <c r="AA326" s="107">
        <f t="shared" si="2194"/>
        <v>0</v>
      </c>
      <c r="AB326" s="108">
        <f t="shared" si="2195"/>
        <v>0</v>
      </c>
      <c r="AC326" s="109">
        <f t="shared" si="2196"/>
        <v>0</v>
      </c>
      <c r="AD326" s="109">
        <f t="shared" si="2197"/>
        <v>0</v>
      </c>
      <c r="AE326" s="109">
        <f t="shared" si="2198"/>
        <v>0</v>
      </c>
      <c r="AF326" s="109">
        <f t="shared" si="2265"/>
        <v>0</v>
      </c>
      <c r="AG326" s="109">
        <f t="shared" si="2109"/>
        <v>0</v>
      </c>
      <c r="AH326" s="109">
        <f t="shared" si="2110"/>
        <v>0</v>
      </c>
      <c r="AI326" s="537" t="str">
        <f t="shared" si="2199"/>
        <v>NÃO</v>
      </c>
      <c r="AJ326" s="104">
        <f t="shared" si="2200"/>
        <v>0</v>
      </c>
      <c r="AK326" s="104">
        <f t="shared" si="2201"/>
        <v>0</v>
      </c>
      <c r="AL326" s="104">
        <f t="shared" si="2202"/>
        <v>0</v>
      </c>
      <c r="AM326" s="102">
        <f t="shared" si="2203"/>
        <v>0</v>
      </c>
      <c r="AN326" s="106">
        <f t="shared" si="2204"/>
        <v>0</v>
      </c>
      <c r="AO326" s="104">
        <f t="shared" si="2205"/>
        <v>0</v>
      </c>
      <c r="AP326" s="104">
        <f t="shared" si="2206"/>
        <v>0</v>
      </c>
      <c r="AQ326" s="104">
        <f t="shared" si="2207"/>
        <v>0.7</v>
      </c>
      <c r="AR326" s="104">
        <f t="shared" si="2208"/>
        <v>0</v>
      </c>
      <c r="AS326" s="104">
        <f t="shared" si="2209"/>
        <v>0</v>
      </c>
      <c r="AT326" s="104">
        <f t="shared" si="2210"/>
        <v>0</v>
      </c>
      <c r="AU326" s="104">
        <f t="shared" si="2211"/>
        <v>0</v>
      </c>
      <c r="AV326" s="104">
        <f t="shared" si="2212"/>
        <v>0</v>
      </c>
      <c r="AW326" s="104">
        <f t="shared" si="2213"/>
        <v>0</v>
      </c>
      <c r="AX326" s="104">
        <f t="shared" si="2214"/>
        <v>0</v>
      </c>
      <c r="AY326" s="104">
        <f t="shared" si="2215"/>
        <v>0</v>
      </c>
      <c r="AZ326" s="104">
        <f t="shared" si="2216"/>
        <v>0</v>
      </c>
      <c r="BA326" s="104">
        <f t="shared" si="2249"/>
        <v>0</v>
      </c>
      <c r="BB326" s="104">
        <f t="shared" si="2217"/>
        <v>0</v>
      </c>
      <c r="BC326" s="104"/>
      <c r="BD326" s="104">
        <f t="shared" si="2218"/>
        <v>0</v>
      </c>
      <c r="BE326" s="108">
        <f t="shared" si="2219"/>
        <v>0</v>
      </c>
      <c r="BF326" s="110">
        <f t="shared" si="2220"/>
        <v>0</v>
      </c>
      <c r="BG326" s="110">
        <f t="shared" si="2221"/>
        <v>0</v>
      </c>
      <c r="BH326" s="105" t="str">
        <f>VLOOKUP(A326,'BOCA DE LOBO'!$C$229:$I$324,7,0)</f>
        <v>BOCA DE LOBO EXISTENTE DUPLA</v>
      </c>
      <c r="BI326" s="104">
        <f t="shared" si="2222"/>
        <v>0</v>
      </c>
      <c r="BJ326" s="104">
        <f t="shared" si="2223"/>
        <v>0</v>
      </c>
      <c r="BK326" s="104">
        <f t="shared" si="2224"/>
        <v>0</v>
      </c>
      <c r="BL326" s="104">
        <f t="shared" si="2225"/>
        <v>0</v>
      </c>
      <c r="BM326" s="104">
        <f t="shared" si="2226"/>
        <v>0</v>
      </c>
      <c r="BN326" s="104">
        <f t="shared" si="2227"/>
        <v>0</v>
      </c>
      <c r="BO326" s="543">
        <f t="shared" si="2228"/>
        <v>0</v>
      </c>
      <c r="BP326" s="111"/>
      <c r="BQ326" s="108">
        <f t="shared" si="2229"/>
        <v>18.63</v>
      </c>
      <c r="BR326" s="108">
        <f t="shared" si="2230"/>
        <v>4.1582159999993902</v>
      </c>
      <c r="BS326" s="108">
        <f t="shared" si="2231"/>
        <v>0</v>
      </c>
      <c r="BV326" s="538">
        <f t="shared" si="2250"/>
        <v>0</v>
      </c>
      <c r="BW326" s="538">
        <f t="shared" si="2251"/>
        <v>0</v>
      </c>
      <c r="BX326" s="538">
        <f t="shared" si="2252"/>
        <v>0</v>
      </c>
      <c r="BY326" s="538">
        <f t="shared" si="2232"/>
        <v>1.5805999999999509</v>
      </c>
      <c r="BZ326" s="538">
        <f t="shared" si="2233"/>
        <v>1.5805999999999509</v>
      </c>
      <c r="CA326" s="538">
        <f t="shared" si="2234"/>
        <v>0</v>
      </c>
      <c r="CB326" s="538">
        <f t="shared" si="2235"/>
        <v>0</v>
      </c>
      <c r="CC326" s="538">
        <f t="shared" si="2236"/>
        <v>0</v>
      </c>
      <c r="CD326" s="538">
        <f t="shared" si="2237"/>
        <v>0</v>
      </c>
      <c r="CE326" s="538">
        <f t="shared" si="2238"/>
        <v>0</v>
      </c>
      <c r="CF326" s="538">
        <f t="shared" si="2239"/>
        <v>0</v>
      </c>
      <c r="CG326" s="538">
        <f t="shared" si="2240"/>
        <v>0</v>
      </c>
      <c r="CH326" s="538">
        <f t="shared" si="2241"/>
        <v>0</v>
      </c>
      <c r="CI326" s="104">
        <f t="shared" si="2253"/>
        <v>0</v>
      </c>
      <c r="CJ326" s="538">
        <f t="shared" si="2242"/>
        <v>0</v>
      </c>
      <c r="CK326" s="538">
        <f t="shared" si="2254"/>
        <v>0</v>
      </c>
      <c r="CL326" s="538">
        <f t="shared" si="2243"/>
        <v>0</v>
      </c>
      <c r="CM326" s="538">
        <f t="shared" si="2244"/>
        <v>0</v>
      </c>
      <c r="CN326" s="538">
        <f t="shared" si="2255"/>
        <v>0</v>
      </c>
      <c r="CO326" s="538">
        <f t="shared" si="2245"/>
        <v>1.5805999999999509</v>
      </c>
      <c r="CP326" s="538">
        <f t="shared" si="2246"/>
        <v>0</v>
      </c>
      <c r="CQ326" s="538">
        <f t="shared" si="2247"/>
        <v>0</v>
      </c>
      <c r="CR326" s="539">
        <f t="shared" si="2256"/>
        <v>0</v>
      </c>
      <c r="CS326" s="540">
        <f t="shared" si="2257"/>
        <v>0</v>
      </c>
      <c r="CT326" s="540">
        <f t="shared" si="2258"/>
        <v>0</v>
      </c>
      <c r="CU326" s="541">
        <f t="shared" si="2259"/>
        <v>0</v>
      </c>
      <c r="CV326" s="538">
        <f t="shared" si="2260"/>
        <v>0</v>
      </c>
      <c r="CW326" s="538">
        <f t="shared" si="2261"/>
        <v>0</v>
      </c>
      <c r="CX326" s="104">
        <f t="shared" si="2262"/>
        <v>0</v>
      </c>
      <c r="CY326" s="542">
        <f t="shared" si="2263"/>
        <v>0</v>
      </c>
      <c r="CZ326" s="538">
        <f t="shared" si="2264"/>
        <v>0</v>
      </c>
    </row>
    <row r="327" spans="1:104" s="112" customFormat="1" ht="25" x14ac:dyDescent="0.25">
      <c r="A327" s="100" t="str">
        <f>'BOCA DE LOBO'!C296</f>
        <v>BL67-&gt;PV2-75</v>
      </c>
      <c r="B327" s="100" t="str">
        <f>'BOCA DE LOBO'!A296</f>
        <v>PV2-75</v>
      </c>
      <c r="C327" s="100" t="str">
        <f>VLOOKUP(A327,'BOCA DE LOBO'!$C$229:$M$324,3,0)</f>
        <v>EXISTENTE</v>
      </c>
      <c r="D327" s="100" t="str">
        <f>VLOOKUP(A327,'BOCA DE LOBO'!$C$229:$M$324,10,0)</f>
        <v>EXISTENTE</v>
      </c>
      <c r="E327" s="100">
        <f t="shared" si="2182"/>
        <v>2.1169999999999773</v>
      </c>
      <c r="F327" s="100">
        <f>VLOOKUP(A327,'BOCA DE LOBO'!$C$229:$D$324,2,0)</f>
        <v>2.2749999999999773</v>
      </c>
      <c r="G327" s="100">
        <f>VLOOKUP(A327,'BOCA DE LOBO'!$C$229:$F$324,4,0)</f>
        <v>3.95</v>
      </c>
      <c r="H327" s="101">
        <v>400</v>
      </c>
      <c r="I327" s="102">
        <f t="shared" si="2183"/>
        <v>2.3259999999999774</v>
      </c>
      <c r="J327" s="102">
        <f t="shared" si="2184"/>
        <v>0</v>
      </c>
      <c r="K327" s="103">
        <v>0</v>
      </c>
      <c r="L327" s="104">
        <f t="shared" si="2185"/>
        <v>0</v>
      </c>
      <c r="M327" s="104">
        <f t="shared" si="2186"/>
        <v>0</v>
      </c>
      <c r="N327" s="104">
        <f t="shared" si="2187"/>
        <v>400</v>
      </c>
      <c r="O327" s="104">
        <f t="shared" si="2188"/>
        <v>0</v>
      </c>
      <c r="P327" s="105" t="s">
        <v>1999</v>
      </c>
      <c r="Q327" s="468" t="s">
        <v>2182</v>
      </c>
      <c r="R327" s="105"/>
      <c r="S327" s="105">
        <v>5</v>
      </c>
      <c r="T327" s="105">
        <v>5</v>
      </c>
      <c r="U327" s="104">
        <f t="shared" si="2189"/>
        <v>0.05</v>
      </c>
      <c r="V327" s="106">
        <f t="shared" si="2190"/>
        <v>0</v>
      </c>
      <c r="W327" s="106">
        <f t="shared" si="2248"/>
        <v>0</v>
      </c>
      <c r="X327" s="107">
        <f t="shared" si="2191"/>
        <v>0</v>
      </c>
      <c r="Y327" s="107">
        <f t="shared" si="2192"/>
        <v>0</v>
      </c>
      <c r="Z327" s="107">
        <f t="shared" si="2193"/>
        <v>2.3259999999999774</v>
      </c>
      <c r="AA327" s="107">
        <f t="shared" si="2194"/>
        <v>0</v>
      </c>
      <c r="AB327" s="108">
        <f t="shared" si="2195"/>
        <v>0</v>
      </c>
      <c r="AC327" s="109">
        <f t="shared" si="2196"/>
        <v>0</v>
      </c>
      <c r="AD327" s="109">
        <f t="shared" si="2197"/>
        <v>0</v>
      </c>
      <c r="AE327" s="109">
        <f t="shared" si="2198"/>
        <v>0</v>
      </c>
      <c r="AF327" s="109">
        <f t="shared" si="2265"/>
        <v>0</v>
      </c>
      <c r="AG327" s="109">
        <f t="shared" si="2109"/>
        <v>0</v>
      </c>
      <c r="AH327" s="109">
        <f t="shared" si="2110"/>
        <v>0</v>
      </c>
      <c r="AI327" s="537" t="str">
        <f t="shared" si="2199"/>
        <v>NÃO</v>
      </c>
      <c r="AJ327" s="104">
        <f t="shared" si="2200"/>
        <v>0</v>
      </c>
      <c r="AK327" s="104">
        <f t="shared" si="2201"/>
        <v>0</v>
      </c>
      <c r="AL327" s="104">
        <f t="shared" si="2202"/>
        <v>0</v>
      </c>
      <c r="AM327" s="102">
        <f t="shared" si="2203"/>
        <v>0</v>
      </c>
      <c r="AN327" s="106">
        <f t="shared" si="2204"/>
        <v>0</v>
      </c>
      <c r="AO327" s="104">
        <f t="shared" si="2205"/>
        <v>0</v>
      </c>
      <c r="AP327" s="104">
        <f t="shared" si="2206"/>
        <v>0</v>
      </c>
      <c r="AQ327" s="104">
        <f t="shared" si="2207"/>
        <v>0.7</v>
      </c>
      <c r="AR327" s="104">
        <f t="shared" si="2208"/>
        <v>0</v>
      </c>
      <c r="AS327" s="104">
        <f t="shared" si="2209"/>
        <v>0</v>
      </c>
      <c r="AT327" s="104">
        <f t="shared" si="2210"/>
        <v>0</v>
      </c>
      <c r="AU327" s="104">
        <f t="shared" si="2211"/>
        <v>0</v>
      </c>
      <c r="AV327" s="104">
        <f t="shared" si="2212"/>
        <v>0</v>
      </c>
      <c r="AW327" s="104">
        <f t="shared" si="2213"/>
        <v>0</v>
      </c>
      <c r="AX327" s="104">
        <f t="shared" si="2214"/>
        <v>0</v>
      </c>
      <c r="AY327" s="104">
        <f t="shared" si="2215"/>
        <v>0</v>
      </c>
      <c r="AZ327" s="104">
        <f t="shared" si="2216"/>
        <v>0</v>
      </c>
      <c r="BA327" s="104">
        <f t="shared" si="2249"/>
        <v>0</v>
      </c>
      <c r="BB327" s="104">
        <f t="shared" si="2217"/>
        <v>0</v>
      </c>
      <c r="BC327" s="104"/>
      <c r="BD327" s="104">
        <f t="shared" si="2218"/>
        <v>0</v>
      </c>
      <c r="BE327" s="108">
        <f t="shared" si="2219"/>
        <v>0</v>
      </c>
      <c r="BF327" s="110">
        <f t="shared" si="2220"/>
        <v>0</v>
      </c>
      <c r="BG327" s="110">
        <f t="shared" si="2221"/>
        <v>0</v>
      </c>
      <c r="BH327" s="105" t="str">
        <f>VLOOKUP(A327,'BOCA DE LOBO'!$C$229:$I$324,7,0)</f>
        <v>BOCA DE LOBO EXISTENTE DUPLA</v>
      </c>
      <c r="BI327" s="104">
        <f t="shared" si="2222"/>
        <v>0</v>
      </c>
      <c r="BJ327" s="104">
        <f t="shared" si="2223"/>
        <v>0</v>
      </c>
      <c r="BK327" s="104">
        <f t="shared" si="2224"/>
        <v>0</v>
      </c>
      <c r="BL327" s="104">
        <f t="shared" si="2225"/>
        <v>0</v>
      </c>
      <c r="BM327" s="104">
        <f t="shared" si="2226"/>
        <v>0</v>
      </c>
      <c r="BN327" s="104">
        <f t="shared" si="2227"/>
        <v>0</v>
      </c>
      <c r="BO327" s="543">
        <f t="shared" si="2228"/>
        <v>0</v>
      </c>
      <c r="BP327" s="111"/>
      <c r="BQ327" s="108">
        <f t="shared" si="2229"/>
        <v>11.850000000000001</v>
      </c>
      <c r="BR327" s="108">
        <f t="shared" si="2230"/>
        <v>6.5253999999998218</v>
      </c>
      <c r="BS327" s="108">
        <f t="shared" si="2231"/>
        <v>0</v>
      </c>
      <c r="BV327" s="538">
        <f t="shared" si="2250"/>
        <v>0</v>
      </c>
      <c r="BW327" s="538">
        <f t="shared" si="2251"/>
        <v>0</v>
      </c>
      <c r="BX327" s="538">
        <f t="shared" si="2252"/>
        <v>0</v>
      </c>
      <c r="BY327" s="538">
        <f t="shared" si="2232"/>
        <v>2.1169999999999773</v>
      </c>
      <c r="BZ327" s="538">
        <f t="shared" si="2233"/>
        <v>2.1169999999999773</v>
      </c>
      <c r="CA327" s="538">
        <f t="shared" si="2234"/>
        <v>0</v>
      </c>
      <c r="CB327" s="538">
        <f t="shared" si="2235"/>
        <v>0</v>
      </c>
      <c r="CC327" s="538">
        <f t="shared" si="2236"/>
        <v>0</v>
      </c>
      <c r="CD327" s="538">
        <f t="shared" si="2237"/>
        <v>0</v>
      </c>
      <c r="CE327" s="538">
        <f t="shared" si="2238"/>
        <v>0</v>
      </c>
      <c r="CF327" s="538">
        <f t="shared" si="2239"/>
        <v>0</v>
      </c>
      <c r="CG327" s="538">
        <f t="shared" si="2240"/>
        <v>0</v>
      </c>
      <c r="CH327" s="538">
        <f t="shared" si="2241"/>
        <v>0</v>
      </c>
      <c r="CI327" s="104">
        <f t="shared" si="2253"/>
        <v>0</v>
      </c>
      <c r="CJ327" s="538">
        <f t="shared" si="2242"/>
        <v>0</v>
      </c>
      <c r="CK327" s="538">
        <f t="shared" si="2254"/>
        <v>0</v>
      </c>
      <c r="CL327" s="538">
        <f t="shared" si="2243"/>
        <v>0</v>
      </c>
      <c r="CM327" s="538">
        <f t="shared" si="2244"/>
        <v>0</v>
      </c>
      <c r="CN327" s="538">
        <f t="shared" si="2255"/>
        <v>0</v>
      </c>
      <c r="CO327" s="538">
        <f t="shared" si="2245"/>
        <v>2.1169999999999773</v>
      </c>
      <c r="CP327" s="538">
        <f t="shared" si="2246"/>
        <v>0</v>
      </c>
      <c r="CQ327" s="538">
        <f t="shared" si="2247"/>
        <v>0</v>
      </c>
      <c r="CR327" s="539">
        <f t="shared" si="2256"/>
        <v>0</v>
      </c>
      <c r="CS327" s="540">
        <f t="shared" si="2257"/>
        <v>0</v>
      </c>
      <c r="CT327" s="540">
        <f t="shared" si="2258"/>
        <v>0</v>
      </c>
      <c r="CU327" s="541">
        <f t="shared" si="2259"/>
        <v>0</v>
      </c>
      <c r="CV327" s="538">
        <f t="shared" si="2260"/>
        <v>0</v>
      </c>
      <c r="CW327" s="538">
        <f t="shared" si="2261"/>
        <v>0</v>
      </c>
      <c r="CX327" s="104">
        <f t="shared" si="2262"/>
        <v>0</v>
      </c>
      <c r="CY327" s="542">
        <f t="shared" si="2263"/>
        <v>0</v>
      </c>
      <c r="CZ327" s="538">
        <f t="shared" si="2264"/>
        <v>0</v>
      </c>
    </row>
    <row r="328" spans="1:104" s="112" customFormat="1" ht="37.5" x14ac:dyDescent="0.25">
      <c r="A328" s="100" t="str">
        <f>'BOCA DE LOBO'!C297</f>
        <v>BL68-&gt;PV2-76</v>
      </c>
      <c r="B328" s="100" t="str">
        <f>'BOCA DE LOBO'!A297</f>
        <v>PV2-76</v>
      </c>
      <c r="C328" s="100" t="str">
        <f>VLOOKUP(A328,'BOCA DE LOBO'!$C$229:$M$324,3,0)</f>
        <v>EXISTENTE</v>
      </c>
      <c r="D328" s="100" t="str">
        <f>VLOOKUP(A328,'BOCA DE LOBO'!$C$229:$M$324,10,0)</f>
        <v>AMPLIADA</v>
      </c>
      <c r="E328" s="100">
        <f t="shared" si="2182"/>
        <v>2.1796000000000411</v>
      </c>
      <c r="F328" s="100">
        <f>VLOOKUP(A328,'BOCA DE LOBO'!$C$229:$D$324,2,0)</f>
        <v>2.3300000000000409</v>
      </c>
      <c r="G328" s="100">
        <f>VLOOKUP(A328,'BOCA DE LOBO'!$C$229:$F$324,4,0)</f>
        <v>3.76</v>
      </c>
      <c r="H328" s="101">
        <v>400</v>
      </c>
      <c r="I328" s="102">
        <f t="shared" si="2183"/>
        <v>2.3848000000000411</v>
      </c>
      <c r="J328" s="102">
        <f t="shared" si="2184"/>
        <v>0</v>
      </c>
      <c r="K328" s="103">
        <v>0</v>
      </c>
      <c r="L328" s="104">
        <f t="shared" si="2185"/>
        <v>0</v>
      </c>
      <c r="M328" s="104">
        <f t="shared" si="2186"/>
        <v>0</v>
      </c>
      <c r="N328" s="104">
        <f t="shared" si="2187"/>
        <v>400</v>
      </c>
      <c r="O328" s="104">
        <f t="shared" si="2188"/>
        <v>0</v>
      </c>
      <c r="P328" s="105" t="s">
        <v>1999</v>
      </c>
      <c r="Q328" s="468" t="s">
        <v>2189</v>
      </c>
      <c r="R328" s="105">
        <v>1</v>
      </c>
      <c r="S328" s="105">
        <v>17.77</v>
      </c>
      <c r="T328" s="105">
        <v>5</v>
      </c>
      <c r="U328" s="104">
        <f t="shared" si="2189"/>
        <v>0.05</v>
      </c>
      <c r="V328" s="106">
        <f t="shared" si="2190"/>
        <v>0</v>
      </c>
      <c r="W328" s="106">
        <f t="shared" si="2248"/>
        <v>0</v>
      </c>
      <c r="X328" s="107">
        <f t="shared" si="2191"/>
        <v>0</v>
      </c>
      <c r="Y328" s="107">
        <f t="shared" si="2192"/>
        <v>0.4</v>
      </c>
      <c r="Z328" s="107">
        <f t="shared" si="2193"/>
        <v>2.3848000000000411</v>
      </c>
      <c r="AA328" s="107">
        <f t="shared" si="2194"/>
        <v>0</v>
      </c>
      <c r="AB328" s="108">
        <f t="shared" si="2195"/>
        <v>0</v>
      </c>
      <c r="AC328" s="109">
        <f t="shared" si="2196"/>
        <v>0</v>
      </c>
      <c r="AD328" s="109">
        <f t="shared" si="2197"/>
        <v>0</v>
      </c>
      <c r="AE328" s="109">
        <f t="shared" si="2198"/>
        <v>0</v>
      </c>
      <c r="AF328" s="109">
        <f t="shared" si="2265"/>
        <v>0</v>
      </c>
      <c r="AG328" s="109">
        <f t="shared" si="2109"/>
        <v>0</v>
      </c>
      <c r="AH328" s="109">
        <f t="shared" si="2110"/>
        <v>0</v>
      </c>
      <c r="AI328" s="537" t="str">
        <f t="shared" si="2199"/>
        <v>NÃO</v>
      </c>
      <c r="AJ328" s="104">
        <f t="shared" si="2200"/>
        <v>0</v>
      </c>
      <c r="AK328" s="104">
        <f t="shared" si="2201"/>
        <v>0</v>
      </c>
      <c r="AL328" s="104">
        <f t="shared" si="2202"/>
        <v>0</v>
      </c>
      <c r="AM328" s="102">
        <f t="shared" si="2203"/>
        <v>0</v>
      </c>
      <c r="AN328" s="106">
        <f t="shared" si="2204"/>
        <v>0</v>
      </c>
      <c r="AO328" s="104">
        <f t="shared" si="2205"/>
        <v>0</v>
      </c>
      <c r="AP328" s="104">
        <f t="shared" si="2206"/>
        <v>0</v>
      </c>
      <c r="AQ328" s="104">
        <f t="shared" si="2207"/>
        <v>0.7</v>
      </c>
      <c r="AR328" s="104">
        <f t="shared" si="2208"/>
        <v>0</v>
      </c>
      <c r="AS328" s="104">
        <f t="shared" si="2209"/>
        <v>0</v>
      </c>
      <c r="AT328" s="104">
        <f t="shared" si="2210"/>
        <v>0</v>
      </c>
      <c r="AU328" s="104">
        <f t="shared" si="2211"/>
        <v>0</v>
      </c>
      <c r="AV328" s="104">
        <f t="shared" si="2212"/>
        <v>0</v>
      </c>
      <c r="AW328" s="104">
        <f t="shared" si="2213"/>
        <v>0</v>
      </c>
      <c r="AX328" s="104">
        <f t="shared" si="2214"/>
        <v>0</v>
      </c>
      <c r="AY328" s="104">
        <f t="shared" si="2215"/>
        <v>0</v>
      </c>
      <c r="AZ328" s="104">
        <f t="shared" si="2216"/>
        <v>0</v>
      </c>
      <c r="BA328" s="104">
        <f t="shared" si="2249"/>
        <v>0</v>
      </c>
      <c r="BB328" s="104">
        <f t="shared" si="2217"/>
        <v>0</v>
      </c>
      <c r="BC328" s="104"/>
      <c r="BD328" s="104">
        <f t="shared" si="2218"/>
        <v>0</v>
      </c>
      <c r="BE328" s="108">
        <f t="shared" si="2219"/>
        <v>0</v>
      </c>
      <c r="BF328" s="110">
        <f t="shared" si="2220"/>
        <v>0</v>
      </c>
      <c r="BG328" s="110">
        <f t="shared" si="2221"/>
        <v>0</v>
      </c>
      <c r="BH328" s="105" t="str">
        <f>VLOOKUP(A328,'BOCA DE LOBO'!$C$229:$I$324,7,0)</f>
        <v>BOCA DE LOBO SIMPLES EXISTENTE COM BOCA DE LOBO SIMPLES PROJETADA</v>
      </c>
      <c r="BI328" s="104">
        <f t="shared" si="2222"/>
        <v>0</v>
      </c>
      <c r="BJ328" s="104">
        <f t="shared" si="2223"/>
        <v>1</v>
      </c>
      <c r="BK328" s="104">
        <f t="shared" si="2224"/>
        <v>0</v>
      </c>
      <c r="BL328" s="104">
        <f t="shared" si="2225"/>
        <v>0</v>
      </c>
      <c r="BM328" s="104">
        <f t="shared" si="2226"/>
        <v>0</v>
      </c>
      <c r="BN328" s="104">
        <f t="shared" si="2227"/>
        <v>0</v>
      </c>
      <c r="BO328" s="543">
        <f t="shared" si="2228"/>
        <v>0</v>
      </c>
      <c r="BP328" s="111"/>
      <c r="BQ328" s="108">
        <f t="shared" si="2229"/>
        <v>11.28</v>
      </c>
      <c r="BR328" s="108">
        <f t="shared" si="2230"/>
        <v>10.413696000000309</v>
      </c>
      <c r="BS328" s="108">
        <f t="shared" si="2231"/>
        <v>0</v>
      </c>
      <c r="BV328" s="538">
        <f t="shared" si="2250"/>
        <v>9.8137670400001493</v>
      </c>
      <c r="BW328" s="538">
        <f t="shared" si="2251"/>
        <v>3.6623999999999994</v>
      </c>
      <c r="BX328" s="538">
        <f t="shared" si="2252"/>
        <v>1.3923999999999999</v>
      </c>
      <c r="BY328" s="538">
        <f t="shared" si="2232"/>
        <v>2.1796000000000411</v>
      </c>
      <c r="BZ328" s="538">
        <f t="shared" si="2233"/>
        <v>2.1796000000000411</v>
      </c>
      <c r="CA328" s="538">
        <f t="shared" si="2234"/>
        <v>0.4</v>
      </c>
      <c r="CB328" s="538">
        <f t="shared" si="2235"/>
        <v>0</v>
      </c>
      <c r="CC328" s="538">
        <f t="shared" si="2236"/>
        <v>5.4935999999999989</v>
      </c>
      <c r="CD328" s="538">
        <f t="shared" si="2237"/>
        <v>2.48896704000015</v>
      </c>
      <c r="CE328" s="538">
        <f t="shared" si="2238"/>
        <v>0</v>
      </c>
      <c r="CF328" s="538">
        <f t="shared" si="2239"/>
        <v>1.4649599999999998</v>
      </c>
      <c r="CG328" s="538">
        <f t="shared" si="2240"/>
        <v>0.36624000000000123</v>
      </c>
      <c r="CH328" s="538">
        <f t="shared" si="2241"/>
        <v>0</v>
      </c>
      <c r="CI328" s="104">
        <f t="shared" si="2253"/>
        <v>0.252</v>
      </c>
      <c r="CJ328" s="538">
        <f t="shared" si="2242"/>
        <v>5.603692000000092</v>
      </c>
      <c r="CK328" s="538">
        <f t="shared" si="2254"/>
        <v>5.603692000000092</v>
      </c>
      <c r="CL328" s="538">
        <f t="shared" si="2243"/>
        <v>0</v>
      </c>
      <c r="CM328" s="538">
        <f t="shared" si="2244"/>
        <v>7.3247999999999994E-2</v>
      </c>
      <c r="CN328" s="538">
        <f t="shared" si="2255"/>
        <v>1.68</v>
      </c>
      <c r="CO328" s="538">
        <f t="shared" si="2245"/>
        <v>2.6796000000000411</v>
      </c>
      <c r="CP328" s="538">
        <f t="shared" si="2246"/>
        <v>5.04</v>
      </c>
      <c r="CQ328" s="538">
        <f t="shared" si="2247"/>
        <v>3.963456000000138</v>
      </c>
      <c r="CR328" s="539">
        <f t="shared" si="2256"/>
        <v>0.92378000000002269</v>
      </c>
      <c r="CS328" s="540">
        <f t="shared" si="2257"/>
        <v>4.4463840000000844E-2</v>
      </c>
      <c r="CT328" s="540">
        <f t="shared" si="2258"/>
        <v>0.15421000000000001</v>
      </c>
      <c r="CU328" s="541">
        <f t="shared" si="2259"/>
        <v>5.666960000000107</v>
      </c>
      <c r="CV328" s="538">
        <f t="shared" si="2260"/>
        <v>0.83667840000000848</v>
      </c>
      <c r="CW328" s="538">
        <f t="shared" si="2261"/>
        <v>14.124152000000212</v>
      </c>
      <c r="CX328" s="104">
        <f t="shared" si="2262"/>
        <v>1.68</v>
      </c>
      <c r="CY328" s="542">
        <f t="shared" si="2263"/>
        <v>0.84</v>
      </c>
      <c r="CZ328" s="538">
        <f t="shared" si="2264"/>
        <v>0</v>
      </c>
    </row>
    <row r="329" spans="1:104" s="112" customFormat="1" ht="37.5" x14ac:dyDescent="0.25">
      <c r="A329" s="100" t="str">
        <f>'BOCA DE LOBO'!C298</f>
        <v>BL69-&gt;PV3-76</v>
      </c>
      <c r="B329" s="100" t="str">
        <f>'BOCA DE LOBO'!A298</f>
        <v>PV3-76</v>
      </c>
      <c r="C329" s="100" t="str">
        <f>VLOOKUP(A329,'BOCA DE LOBO'!$C$229:$M$324,3,0)</f>
        <v>EXISTENTE</v>
      </c>
      <c r="D329" s="100" t="str">
        <f>VLOOKUP(A329,'BOCA DE LOBO'!$C$229:$M$324,10,0)</f>
        <v>AMPLIADA</v>
      </c>
      <c r="E329" s="100">
        <f t="shared" si="2182"/>
        <v>2.5</v>
      </c>
      <c r="F329" s="100">
        <f>VLOOKUP(A329,'BOCA DE LOBO'!$C$229:$D$324,2,0)</f>
        <v>3.1699999999999591</v>
      </c>
      <c r="G329" s="100">
        <f>VLOOKUP(A329,'BOCA DE LOBO'!$C$229:$F$324,4,0)</f>
        <v>12.54</v>
      </c>
      <c r="H329" s="101">
        <v>400</v>
      </c>
      <c r="I329" s="102">
        <f t="shared" si="2183"/>
        <v>2.9649999999999794</v>
      </c>
      <c r="J329" s="102">
        <f t="shared" si="2184"/>
        <v>0</v>
      </c>
      <c r="K329" s="103">
        <v>0</v>
      </c>
      <c r="L329" s="104">
        <f t="shared" si="2185"/>
        <v>0</v>
      </c>
      <c r="M329" s="104">
        <f t="shared" si="2186"/>
        <v>0</v>
      </c>
      <c r="N329" s="104">
        <f t="shared" si="2187"/>
        <v>400</v>
      </c>
      <c r="O329" s="104">
        <f t="shared" si="2188"/>
        <v>0</v>
      </c>
      <c r="P329" s="105" t="s">
        <v>1999</v>
      </c>
      <c r="Q329" s="468" t="s">
        <v>2189</v>
      </c>
      <c r="R329" s="105">
        <v>1</v>
      </c>
      <c r="S329" s="105">
        <v>17.77</v>
      </c>
      <c r="T329" s="105">
        <v>5</v>
      </c>
      <c r="U329" s="104">
        <f t="shared" si="2189"/>
        <v>0.05</v>
      </c>
      <c r="V329" s="106">
        <f t="shared" si="2190"/>
        <v>0</v>
      </c>
      <c r="W329" s="106">
        <f t="shared" si="2248"/>
        <v>0</v>
      </c>
      <c r="X329" s="107">
        <f t="shared" si="2191"/>
        <v>0</v>
      </c>
      <c r="Y329" s="107">
        <f t="shared" si="2192"/>
        <v>0.4</v>
      </c>
      <c r="Z329" s="107">
        <f t="shared" si="2193"/>
        <v>2.9649999999999794</v>
      </c>
      <c r="AA329" s="107">
        <f t="shared" si="2194"/>
        <v>0</v>
      </c>
      <c r="AB329" s="108">
        <f t="shared" si="2195"/>
        <v>0</v>
      </c>
      <c r="AC329" s="109">
        <f t="shared" si="2196"/>
        <v>0</v>
      </c>
      <c r="AD329" s="109">
        <f t="shared" si="2197"/>
        <v>0</v>
      </c>
      <c r="AE329" s="109">
        <f t="shared" si="2198"/>
        <v>0</v>
      </c>
      <c r="AF329" s="109">
        <f t="shared" si="2265"/>
        <v>0</v>
      </c>
      <c r="AG329" s="109">
        <f t="shared" si="2109"/>
        <v>0</v>
      </c>
      <c r="AH329" s="109">
        <f t="shared" si="2110"/>
        <v>0</v>
      </c>
      <c r="AI329" s="537" t="str">
        <f t="shared" si="2199"/>
        <v>NÃO</v>
      </c>
      <c r="AJ329" s="104">
        <f t="shared" si="2200"/>
        <v>0</v>
      </c>
      <c r="AK329" s="104">
        <f t="shared" si="2201"/>
        <v>0</v>
      </c>
      <c r="AL329" s="104">
        <f t="shared" si="2202"/>
        <v>0</v>
      </c>
      <c r="AM329" s="102">
        <f t="shared" si="2203"/>
        <v>0</v>
      </c>
      <c r="AN329" s="106">
        <f t="shared" si="2204"/>
        <v>0</v>
      </c>
      <c r="AO329" s="104">
        <f t="shared" si="2205"/>
        <v>0</v>
      </c>
      <c r="AP329" s="104">
        <f t="shared" si="2206"/>
        <v>0</v>
      </c>
      <c r="AQ329" s="104">
        <f t="shared" si="2207"/>
        <v>0.7</v>
      </c>
      <c r="AR329" s="104">
        <f t="shared" si="2208"/>
        <v>0</v>
      </c>
      <c r="AS329" s="104">
        <f t="shared" si="2209"/>
        <v>0</v>
      </c>
      <c r="AT329" s="104">
        <f t="shared" si="2210"/>
        <v>0</v>
      </c>
      <c r="AU329" s="104">
        <f t="shared" si="2211"/>
        <v>0</v>
      </c>
      <c r="AV329" s="104">
        <f t="shared" si="2212"/>
        <v>0</v>
      </c>
      <c r="AW329" s="104">
        <f t="shared" si="2213"/>
        <v>0</v>
      </c>
      <c r="AX329" s="104">
        <f t="shared" si="2214"/>
        <v>0</v>
      </c>
      <c r="AY329" s="104">
        <f t="shared" si="2215"/>
        <v>0</v>
      </c>
      <c r="AZ329" s="104">
        <f t="shared" si="2216"/>
        <v>0</v>
      </c>
      <c r="BA329" s="104">
        <f t="shared" si="2249"/>
        <v>0</v>
      </c>
      <c r="BB329" s="104">
        <f t="shared" si="2217"/>
        <v>0</v>
      </c>
      <c r="BC329" s="104"/>
      <c r="BD329" s="104">
        <f t="shared" si="2218"/>
        <v>0</v>
      </c>
      <c r="BE329" s="108">
        <f t="shared" si="2219"/>
        <v>0</v>
      </c>
      <c r="BF329" s="110">
        <f t="shared" si="2220"/>
        <v>0</v>
      </c>
      <c r="BG329" s="110">
        <f t="shared" si="2221"/>
        <v>0</v>
      </c>
      <c r="BH329" s="105" t="str">
        <f>VLOOKUP(A329,'BOCA DE LOBO'!$C$229:$I$324,7,0)</f>
        <v>BOCA DE LOBO SIMPLES EXISTENTE COM BOCA DE LOBO SIMPLES PROJETADA</v>
      </c>
      <c r="BI329" s="104">
        <f t="shared" si="2222"/>
        <v>0</v>
      </c>
      <c r="BJ329" s="104">
        <f t="shared" si="2223"/>
        <v>1</v>
      </c>
      <c r="BK329" s="104">
        <f t="shared" si="2224"/>
        <v>0</v>
      </c>
      <c r="BL329" s="104">
        <f t="shared" si="2225"/>
        <v>0</v>
      </c>
      <c r="BM329" s="104">
        <f t="shared" si="2226"/>
        <v>0</v>
      </c>
      <c r="BN329" s="104">
        <f t="shared" si="2227"/>
        <v>0</v>
      </c>
      <c r="BO329" s="543">
        <f t="shared" si="2228"/>
        <v>0</v>
      </c>
      <c r="BP329" s="111"/>
      <c r="BQ329" s="108">
        <f t="shared" si="2229"/>
        <v>37.619999999999997</v>
      </c>
      <c r="BR329" s="108">
        <f t="shared" si="2230"/>
        <v>37.619999999999997</v>
      </c>
      <c r="BS329" s="108">
        <f t="shared" si="2231"/>
        <v>11.662199999999483</v>
      </c>
      <c r="BV329" s="538">
        <f t="shared" si="2250"/>
        <v>10.987199999999998</v>
      </c>
      <c r="BW329" s="538">
        <f t="shared" si="2251"/>
        <v>3.6623999999999994</v>
      </c>
      <c r="BX329" s="538">
        <f t="shared" si="2252"/>
        <v>1.3923999999999999</v>
      </c>
      <c r="BY329" s="538">
        <f t="shared" si="2232"/>
        <v>2.5</v>
      </c>
      <c r="BZ329" s="538">
        <f t="shared" si="2233"/>
        <v>2.5</v>
      </c>
      <c r="CA329" s="538">
        <f t="shared" si="2234"/>
        <v>0.4</v>
      </c>
      <c r="CB329" s="538">
        <f t="shared" si="2235"/>
        <v>0</v>
      </c>
      <c r="CC329" s="538">
        <f t="shared" si="2236"/>
        <v>5.4935999999999989</v>
      </c>
      <c r="CD329" s="538">
        <f t="shared" si="2237"/>
        <v>3.6623999999999994</v>
      </c>
      <c r="CE329" s="538">
        <f t="shared" si="2238"/>
        <v>0</v>
      </c>
      <c r="CF329" s="538">
        <f t="shared" si="2239"/>
        <v>1.4649599999999998</v>
      </c>
      <c r="CG329" s="538">
        <f t="shared" si="2240"/>
        <v>0.36623999999999945</v>
      </c>
      <c r="CH329" s="538">
        <f t="shared" si="2241"/>
        <v>0</v>
      </c>
      <c r="CI329" s="104">
        <f t="shared" si="2253"/>
        <v>0.252</v>
      </c>
      <c r="CJ329" s="538">
        <f t="shared" si="2242"/>
        <v>6.3309999999999986</v>
      </c>
      <c r="CK329" s="538">
        <f t="shared" si="2254"/>
        <v>6.3309999999999986</v>
      </c>
      <c r="CL329" s="538">
        <f t="shared" si="2243"/>
        <v>0</v>
      </c>
      <c r="CM329" s="538">
        <f t="shared" si="2244"/>
        <v>7.3247999999999994E-2</v>
      </c>
      <c r="CN329" s="538">
        <f t="shared" si="2255"/>
        <v>1.68</v>
      </c>
      <c r="CO329" s="538">
        <f t="shared" si="2245"/>
        <v>3</v>
      </c>
      <c r="CP329" s="538">
        <f t="shared" si="2246"/>
        <v>5.04</v>
      </c>
      <c r="CQ329" s="538">
        <f t="shared" si="2247"/>
        <v>5.04</v>
      </c>
      <c r="CR329" s="539">
        <f t="shared" si="2256"/>
        <v>1.1000000000000001</v>
      </c>
      <c r="CS329" s="540">
        <f t="shared" si="2257"/>
        <v>5.1000000000000004E-2</v>
      </c>
      <c r="CT329" s="540">
        <f t="shared" si="2258"/>
        <v>0.15421000000000001</v>
      </c>
      <c r="CU329" s="541">
        <f t="shared" si="2259"/>
        <v>6.5</v>
      </c>
      <c r="CV329" s="538">
        <f t="shared" si="2260"/>
        <v>0.90203999999999995</v>
      </c>
      <c r="CW329" s="538">
        <f t="shared" si="2261"/>
        <v>15.764600000000002</v>
      </c>
      <c r="CX329" s="104">
        <f t="shared" si="2262"/>
        <v>1.68</v>
      </c>
      <c r="CY329" s="542">
        <f t="shared" si="2263"/>
        <v>0.84</v>
      </c>
      <c r="CZ329" s="538">
        <f t="shared" si="2264"/>
        <v>0</v>
      </c>
    </row>
    <row r="330" spans="1:104" s="112" customFormat="1" ht="25" x14ac:dyDescent="0.25">
      <c r="A330" s="100" t="str">
        <f>'BOCA DE LOBO'!C299</f>
        <v>BL70-&gt;PV4-76</v>
      </c>
      <c r="B330" s="100" t="str">
        <f>'BOCA DE LOBO'!A299</f>
        <v>PV4-76</v>
      </c>
      <c r="C330" s="100" t="str">
        <f>VLOOKUP(A330,'BOCA DE LOBO'!$C$229:$M$324,3,0)</f>
        <v>EXISTENTE</v>
      </c>
      <c r="D330" s="100" t="str">
        <f>VLOOKUP(A330,'BOCA DE LOBO'!$C$229:$M$324,10,0)</f>
        <v>PROJETADA</v>
      </c>
      <c r="E330" s="100">
        <f t="shared" si="2182"/>
        <v>2.5</v>
      </c>
      <c r="F330" s="100">
        <f>VLOOKUP(A330,'BOCA DE LOBO'!$C$229:$D$324,2,0)</f>
        <v>3.0500000000000682</v>
      </c>
      <c r="G330" s="100">
        <f>VLOOKUP(A330,'BOCA DE LOBO'!$C$229:$F$324,4,0)</f>
        <v>5.16</v>
      </c>
      <c r="H330" s="101">
        <v>400</v>
      </c>
      <c r="I330" s="102">
        <f t="shared" si="2183"/>
        <v>2.905000000000034</v>
      </c>
      <c r="J330" s="102">
        <f t="shared" si="2184"/>
        <v>0.74949000000000887</v>
      </c>
      <c r="K330" s="103">
        <v>0</v>
      </c>
      <c r="L330" s="104">
        <f t="shared" si="2185"/>
        <v>1</v>
      </c>
      <c r="M330" s="104">
        <f t="shared" si="2186"/>
        <v>1</v>
      </c>
      <c r="N330" s="104">
        <f t="shared" si="2187"/>
        <v>0</v>
      </c>
      <c r="O330" s="104">
        <f t="shared" si="2188"/>
        <v>5.16</v>
      </c>
      <c r="P330" s="105" t="s">
        <v>1999</v>
      </c>
      <c r="Q330" s="468" t="s">
        <v>2189</v>
      </c>
      <c r="R330" s="105">
        <v>1</v>
      </c>
      <c r="S330" s="105">
        <v>17.77</v>
      </c>
      <c r="T330" s="105">
        <v>5</v>
      </c>
      <c r="U330" s="104">
        <f t="shared" si="2189"/>
        <v>0.05</v>
      </c>
      <c r="V330" s="106">
        <f t="shared" si="2190"/>
        <v>0</v>
      </c>
      <c r="W330" s="106">
        <f t="shared" si="2248"/>
        <v>17.053800000000177</v>
      </c>
      <c r="X330" s="107">
        <f t="shared" si="2191"/>
        <v>0</v>
      </c>
      <c r="Y330" s="107">
        <f t="shared" si="2192"/>
        <v>3.3050000000000339</v>
      </c>
      <c r="Z330" s="107">
        <f t="shared" si="2193"/>
        <v>0</v>
      </c>
      <c r="AA330" s="107">
        <f t="shared" si="2194"/>
        <v>2.905000000000034</v>
      </c>
      <c r="AB330" s="108">
        <f t="shared" si="2195"/>
        <v>5.16</v>
      </c>
      <c r="AC330" s="109">
        <f t="shared" si="2196"/>
        <v>7.74</v>
      </c>
      <c r="AD330" s="109">
        <f t="shared" si="2197"/>
        <v>7.74</v>
      </c>
      <c r="AE330" s="109">
        <f t="shared" si="2198"/>
        <v>1.5738000000001751</v>
      </c>
      <c r="AF330" s="109">
        <f t="shared" si="2265"/>
        <v>0</v>
      </c>
      <c r="AG330" s="109">
        <f t="shared" si="2109"/>
        <v>0</v>
      </c>
      <c r="AH330" s="109">
        <f t="shared" si="2110"/>
        <v>0</v>
      </c>
      <c r="AI330" s="537" t="str">
        <f t="shared" si="2199"/>
        <v>NÃO</v>
      </c>
      <c r="AJ330" s="104">
        <f t="shared" si="2200"/>
        <v>0</v>
      </c>
      <c r="AK330" s="104">
        <f t="shared" si="2201"/>
        <v>0</v>
      </c>
      <c r="AL330" s="104">
        <f t="shared" si="2202"/>
        <v>16.405375276299242</v>
      </c>
      <c r="AM330" s="102">
        <f t="shared" si="2203"/>
        <v>0.25800000000000001</v>
      </c>
      <c r="AN330" s="106">
        <f t="shared" si="2204"/>
        <v>0</v>
      </c>
      <c r="AO330" s="104">
        <f t="shared" si="2205"/>
        <v>2.0640000000000001</v>
      </c>
      <c r="AP330" s="104">
        <f t="shared" si="2206"/>
        <v>2.0640000000000001</v>
      </c>
      <c r="AQ330" s="104">
        <f t="shared" si="2207"/>
        <v>0.7</v>
      </c>
      <c r="AR330" s="104">
        <f t="shared" si="2208"/>
        <v>2.9635752762990664</v>
      </c>
      <c r="AS330" s="104">
        <f t="shared" si="2209"/>
        <v>2.9635752762990664</v>
      </c>
      <c r="AT330" s="104">
        <f t="shared" si="2210"/>
        <v>0.77400000000000002</v>
      </c>
      <c r="AU330" s="104">
        <f t="shared" si="2211"/>
        <v>0.77400000000000002</v>
      </c>
      <c r="AV330" s="104">
        <f t="shared" si="2212"/>
        <v>0.15479999999999999</v>
      </c>
      <c r="AW330" s="104">
        <f t="shared" si="2213"/>
        <v>9.5718000000001755</v>
      </c>
      <c r="AX330" s="104">
        <f t="shared" si="2214"/>
        <v>-5.8015752762990669</v>
      </c>
      <c r="AY330" s="104">
        <f t="shared" si="2215"/>
        <v>-5.8015752762990669</v>
      </c>
      <c r="AZ330" s="104">
        <f t="shared" si="2216"/>
        <v>15.373375276299242</v>
      </c>
      <c r="BA330" s="104">
        <f t="shared" si="2249"/>
        <v>2.5682371249637739</v>
      </c>
      <c r="BB330" s="104">
        <f t="shared" si="2217"/>
        <v>12.805138151335468</v>
      </c>
      <c r="BC330" s="104"/>
      <c r="BD330" s="104">
        <f t="shared" si="2218"/>
        <v>0.11352000000000001</v>
      </c>
      <c r="BE330" s="108">
        <f t="shared" si="2219"/>
        <v>2.905000000000034</v>
      </c>
      <c r="BF330" s="110">
        <f t="shared" si="2220"/>
        <v>0</v>
      </c>
      <c r="BG330" s="110">
        <f t="shared" si="2221"/>
        <v>5.16</v>
      </c>
      <c r="BH330" s="105" t="str">
        <f>VLOOKUP(A330,'BOCA DE LOBO'!$C$229:$I$324,7,0)</f>
        <v>BOCA DE LOBO PROJETADA DUPLA</v>
      </c>
      <c r="BI330" s="104">
        <f t="shared" si="2222"/>
        <v>0</v>
      </c>
      <c r="BJ330" s="104">
        <f t="shared" si="2223"/>
        <v>0</v>
      </c>
      <c r="BK330" s="104">
        <f t="shared" si="2224"/>
        <v>0</v>
      </c>
      <c r="BL330" s="104">
        <f t="shared" si="2225"/>
        <v>0</v>
      </c>
      <c r="BM330" s="104">
        <f t="shared" si="2226"/>
        <v>0</v>
      </c>
      <c r="BN330" s="104">
        <f t="shared" si="2227"/>
        <v>1</v>
      </c>
      <c r="BO330" s="543">
        <f t="shared" si="2228"/>
        <v>0</v>
      </c>
      <c r="BP330" s="111"/>
      <c r="BQ330" s="108">
        <f t="shared" si="2229"/>
        <v>15.48</v>
      </c>
      <c r="BR330" s="108">
        <f t="shared" si="2230"/>
        <v>15.48</v>
      </c>
      <c r="BS330" s="108">
        <f t="shared" si="2231"/>
        <v>4.1796000000003506</v>
      </c>
      <c r="BV330" s="538">
        <f t="shared" si="2250"/>
        <v>23.347799999999996</v>
      </c>
      <c r="BW330" s="538">
        <f t="shared" si="2251"/>
        <v>7.7825999999999986</v>
      </c>
      <c r="BX330" s="538">
        <f t="shared" si="2252"/>
        <v>3.0325999999999995</v>
      </c>
      <c r="BY330" s="538">
        <f t="shared" si="2232"/>
        <v>2.5</v>
      </c>
      <c r="BZ330" s="538">
        <f t="shared" si="2233"/>
        <v>0</v>
      </c>
      <c r="CA330" s="538">
        <f t="shared" si="2234"/>
        <v>2.9</v>
      </c>
      <c r="CB330" s="538">
        <f t="shared" si="2235"/>
        <v>0</v>
      </c>
      <c r="CC330" s="538">
        <f t="shared" si="2236"/>
        <v>0</v>
      </c>
      <c r="CD330" s="538">
        <f t="shared" si="2237"/>
        <v>0</v>
      </c>
      <c r="CE330" s="538">
        <f t="shared" si="2238"/>
        <v>11.673899999999998</v>
      </c>
      <c r="CF330" s="538">
        <f t="shared" si="2239"/>
        <v>10.895639999999997</v>
      </c>
      <c r="CG330" s="538">
        <f t="shared" si="2240"/>
        <v>0.77825999999999951</v>
      </c>
      <c r="CH330" s="538">
        <f t="shared" si="2241"/>
        <v>0</v>
      </c>
      <c r="CI330" s="104">
        <f t="shared" si="2253"/>
        <v>0.53549999999999998</v>
      </c>
      <c r="CJ330" s="538">
        <f t="shared" si="2242"/>
        <v>13.239499999999996</v>
      </c>
      <c r="CK330" s="538">
        <f t="shared" si="2254"/>
        <v>13.239499999999996</v>
      </c>
      <c r="CL330" s="538">
        <f t="shared" si="2243"/>
        <v>0</v>
      </c>
      <c r="CM330" s="538">
        <f t="shared" si="2244"/>
        <v>0.15565199999999998</v>
      </c>
      <c r="CN330" s="538">
        <f t="shared" si="2255"/>
        <v>3.57</v>
      </c>
      <c r="CO330" s="538">
        <f t="shared" si="2245"/>
        <v>3</v>
      </c>
      <c r="CP330" s="538">
        <f t="shared" si="2246"/>
        <v>10.709999999999999</v>
      </c>
      <c r="CQ330" s="538">
        <f t="shared" si="2247"/>
        <v>10.709999999999999</v>
      </c>
      <c r="CR330" s="539">
        <f t="shared" si="2256"/>
        <v>0</v>
      </c>
      <c r="CS330" s="540">
        <f t="shared" si="2257"/>
        <v>0</v>
      </c>
      <c r="CT330" s="540">
        <f t="shared" si="2258"/>
        <v>0.33012999999999998</v>
      </c>
      <c r="CU330" s="541">
        <f t="shared" si="2259"/>
        <v>13</v>
      </c>
      <c r="CV330" s="538">
        <f t="shared" si="2260"/>
        <v>1.43895</v>
      </c>
      <c r="CW330" s="538">
        <f t="shared" si="2261"/>
        <v>23.248199999999997</v>
      </c>
      <c r="CX330" s="104">
        <f t="shared" si="2262"/>
        <v>3.57</v>
      </c>
      <c r="CY330" s="542">
        <f t="shared" si="2263"/>
        <v>1.7849999999999999</v>
      </c>
      <c r="CZ330" s="538">
        <f t="shared" si="2264"/>
        <v>2.4513847475961154E-2</v>
      </c>
    </row>
    <row r="331" spans="1:104" s="112" customFormat="1" ht="25" x14ac:dyDescent="0.25">
      <c r="A331" s="100" t="str">
        <f>'BOCA DE LOBO'!C300</f>
        <v>BL71-&gt;PV4-76</v>
      </c>
      <c r="B331" s="100" t="str">
        <f>'BOCA DE LOBO'!A300</f>
        <v>PV4-76</v>
      </c>
      <c r="C331" s="100" t="str">
        <f>VLOOKUP(A331,'BOCA DE LOBO'!$C$229:$M$324,3,0)</f>
        <v>EXISTENTE</v>
      </c>
      <c r="D331" s="100" t="str">
        <f>VLOOKUP(A331,'BOCA DE LOBO'!$C$229:$M$324,10,0)</f>
        <v>PROJETADA</v>
      </c>
      <c r="E331" s="100">
        <f t="shared" si="2182"/>
        <v>2.5</v>
      </c>
      <c r="F331" s="100">
        <f>VLOOKUP(A331,'BOCA DE LOBO'!$C$229:$D$324,2,0)</f>
        <v>3.0500000000000682</v>
      </c>
      <c r="G331" s="100">
        <f>VLOOKUP(A331,'BOCA DE LOBO'!$C$229:$F$324,4,0)</f>
        <v>3.96</v>
      </c>
      <c r="H331" s="101">
        <v>400</v>
      </c>
      <c r="I331" s="102">
        <f t="shared" si="2183"/>
        <v>2.905000000000034</v>
      </c>
      <c r="J331" s="102">
        <f t="shared" si="2184"/>
        <v>0.57519000000000675</v>
      </c>
      <c r="K331" s="103">
        <v>0</v>
      </c>
      <c r="L331" s="104">
        <f t="shared" si="2185"/>
        <v>1</v>
      </c>
      <c r="M331" s="104">
        <f t="shared" si="2186"/>
        <v>1</v>
      </c>
      <c r="N331" s="104">
        <f t="shared" si="2187"/>
        <v>0</v>
      </c>
      <c r="O331" s="104">
        <f t="shared" si="2188"/>
        <v>3.96</v>
      </c>
      <c r="P331" s="105" t="s">
        <v>1999</v>
      </c>
      <c r="Q331" s="468" t="s">
        <v>2189</v>
      </c>
      <c r="R331" s="105">
        <v>1</v>
      </c>
      <c r="S331" s="105">
        <v>17.77</v>
      </c>
      <c r="T331" s="105">
        <v>5</v>
      </c>
      <c r="U331" s="104">
        <f t="shared" si="2189"/>
        <v>0.05</v>
      </c>
      <c r="V331" s="106">
        <f t="shared" si="2190"/>
        <v>0</v>
      </c>
      <c r="W331" s="106">
        <f t="shared" si="2248"/>
        <v>13.087800000000135</v>
      </c>
      <c r="X331" s="107">
        <f t="shared" si="2191"/>
        <v>0</v>
      </c>
      <c r="Y331" s="107">
        <f t="shared" si="2192"/>
        <v>3.3050000000000339</v>
      </c>
      <c r="Z331" s="107">
        <f t="shared" si="2193"/>
        <v>0</v>
      </c>
      <c r="AA331" s="107">
        <f t="shared" si="2194"/>
        <v>2.905000000000034</v>
      </c>
      <c r="AB331" s="108">
        <f t="shared" si="2195"/>
        <v>3.96</v>
      </c>
      <c r="AC331" s="109">
        <f t="shared" si="2196"/>
        <v>5.9399999999999995</v>
      </c>
      <c r="AD331" s="109">
        <f t="shared" si="2197"/>
        <v>5.9399999999999995</v>
      </c>
      <c r="AE331" s="109">
        <f t="shared" si="2198"/>
        <v>1.2078000000001343</v>
      </c>
      <c r="AF331" s="109">
        <f t="shared" si="2265"/>
        <v>0</v>
      </c>
      <c r="AG331" s="109">
        <f t="shared" si="2109"/>
        <v>0</v>
      </c>
      <c r="AH331" s="109">
        <f t="shared" si="2110"/>
        <v>0</v>
      </c>
      <c r="AI331" s="537" t="str">
        <f t="shared" si="2199"/>
        <v>NÃO</v>
      </c>
      <c r="AJ331" s="104">
        <f t="shared" si="2200"/>
        <v>0</v>
      </c>
      <c r="AK331" s="104">
        <f t="shared" si="2201"/>
        <v>0</v>
      </c>
      <c r="AL331" s="104">
        <f t="shared" si="2202"/>
        <v>12.590171723671512</v>
      </c>
      <c r="AM331" s="102">
        <f t="shared" si="2203"/>
        <v>0.19800000000000001</v>
      </c>
      <c r="AN331" s="106">
        <f t="shared" si="2204"/>
        <v>0</v>
      </c>
      <c r="AO331" s="104">
        <f t="shared" si="2205"/>
        <v>1.5840000000000001</v>
      </c>
      <c r="AP331" s="104">
        <f t="shared" si="2206"/>
        <v>1.5840000000000001</v>
      </c>
      <c r="AQ331" s="104">
        <f t="shared" si="2207"/>
        <v>0.7</v>
      </c>
      <c r="AR331" s="104">
        <f t="shared" si="2208"/>
        <v>2.2743717236713765</v>
      </c>
      <c r="AS331" s="104">
        <f t="shared" si="2209"/>
        <v>2.2743717236713765</v>
      </c>
      <c r="AT331" s="104">
        <f t="shared" si="2210"/>
        <v>0.59399999999999997</v>
      </c>
      <c r="AU331" s="104">
        <f t="shared" si="2211"/>
        <v>0.59399999999999997</v>
      </c>
      <c r="AV331" s="104">
        <f t="shared" si="2212"/>
        <v>0.11879999999999999</v>
      </c>
      <c r="AW331" s="104">
        <f t="shared" si="2213"/>
        <v>7.3458000000001364</v>
      </c>
      <c r="AX331" s="104">
        <f t="shared" si="2214"/>
        <v>-4.4523717236713765</v>
      </c>
      <c r="AY331" s="104">
        <f t="shared" si="2215"/>
        <v>-4.4523717236713765</v>
      </c>
      <c r="AZ331" s="104">
        <f t="shared" si="2216"/>
        <v>11.798171723671512</v>
      </c>
      <c r="BA331" s="104">
        <f t="shared" si="2249"/>
        <v>1.97097267729778</v>
      </c>
      <c r="BB331" s="104">
        <f t="shared" si="2217"/>
        <v>9.8271990463737318</v>
      </c>
      <c r="BC331" s="104"/>
      <c r="BD331" s="104">
        <f t="shared" si="2218"/>
        <v>8.7120000000000003E-2</v>
      </c>
      <c r="BE331" s="108">
        <f t="shared" si="2219"/>
        <v>2.905000000000034</v>
      </c>
      <c r="BF331" s="110">
        <f t="shared" si="2220"/>
        <v>0</v>
      </c>
      <c r="BG331" s="110">
        <f t="shared" si="2221"/>
        <v>3.96</v>
      </c>
      <c r="BH331" s="105" t="str">
        <f>VLOOKUP(A331,'BOCA DE LOBO'!$C$229:$I$324,7,0)</f>
        <v>BOCA DE LOBO PROJETADA DUPLA</v>
      </c>
      <c r="BI331" s="104">
        <f t="shared" si="2222"/>
        <v>0</v>
      </c>
      <c r="BJ331" s="104">
        <f t="shared" si="2223"/>
        <v>0</v>
      </c>
      <c r="BK331" s="104">
        <f t="shared" si="2224"/>
        <v>0</v>
      </c>
      <c r="BL331" s="104">
        <f t="shared" si="2225"/>
        <v>0</v>
      </c>
      <c r="BM331" s="104">
        <f t="shared" si="2226"/>
        <v>0</v>
      </c>
      <c r="BN331" s="104">
        <f t="shared" si="2227"/>
        <v>1</v>
      </c>
      <c r="BO331" s="543">
        <f t="shared" si="2228"/>
        <v>0</v>
      </c>
      <c r="BP331" s="111"/>
      <c r="BQ331" s="108">
        <f t="shared" si="2229"/>
        <v>11.879999999999999</v>
      </c>
      <c r="BR331" s="108">
        <f t="shared" si="2230"/>
        <v>11.879999999999999</v>
      </c>
      <c r="BS331" s="108">
        <f t="shared" si="2231"/>
        <v>3.2076000000002693</v>
      </c>
      <c r="BV331" s="538">
        <f t="shared" si="2250"/>
        <v>23.347799999999996</v>
      </c>
      <c r="BW331" s="538">
        <f t="shared" si="2251"/>
        <v>7.7825999999999986</v>
      </c>
      <c r="BX331" s="538">
        <f t="shared" si="2252"/>
        <v>3.0325999999999995</v>
      </c>
      <c r="BY331" s="538">
        <f t="shared" si="2232"/>
        <v>2.5</v>
      </c>
      <c r="BZ331" s="538">
        <f t="shared" si="2233"/>
        <v>0</v>
      </c>
      <c r="CA331" s="538">
        <f t="shared" si="2234"/>
        <v>2.9</v>
      </c>
      <c r="CB331" s="538">
        <f t="shared" si="2235"/>
        <v>0</v>
      </c>
      <c r="CC331" s="538">
        <f t="shared" si="2236"/>
        <v>0</v>
      </c>
      <c r="CD331" s="538">
        <f t="shared" si="2237"/>
        <v>0</v>
      </c>
      <c r="CE331" s="538">
        <f t="shared" si="2238"/>
        <v>11.673899999999998</v>
      </c>
      <c r="CF331" s="538">
        <f t="shared" si="2239"/>
        <v>10.895639999999997</v>
      </c>
      <c r="CG331" s="538">
        <f t="shared" si="2240"/>
        <v>0.77825999999999951</v>
      </c>
      <c r="CH331" s="538">
        <f t="shared" si="2241"/>
        <v>0</v>
      </c>
      <c r="CI331" s="104">
        <f t="shared" si="2253"/>
        <v>0.53549999999999998</v>
      </c>
      <c r="CJ331" s="538">
        <f t="shared" si="2242"/>
        <v>13.239499999999996</v>
      </c>
      <c r="CK331" s="538">
        <f t="shared" si="2254"/>
        <v>13.239499999999996</v>
      </c>
      <c r="CL331" s="538">
        <f t="shared" si="2243"/>
        <v>0</v>
      </c>
      <c r="CM331" s="538">
        <f t="shared" si="2244"/>
        <v>0.15565199999999998</v>
      </c>
      <c r="CN331" s="538">
        <f t="shared" si="2255"/>
        <v>3.57</v>
      </c>
      <c r="CO331" s="538">
        <f t="shared" si="2245"/>
        <v>3</v>
      </c>
      <c r="CP331" s="538">
        <f t="shared" si="2246"/>
        <v>10.709999999999999</v>
      </c>
      <c r="CQ331" s="538">
        <f t="shared" si="2247"/>
        <v>10.709999999999999</v>
      </c>
      <c r="CR331" s="539">
        <f t="shared" si="2256"/>
        <v>0</v>
      </c>
      <c r="CS331" s="540">
        <f t="shared" si="2257"/>
        <v>0</v>
      </c>
      <c r="CT331" s="540">
        <f t="shared" si="2258"/>
        <v>0.33012999999999998</v>
      </c>
      <c r="CU331" s="541">
        <f t="shared" si="2259"/>
        <v>13</v>
      </c>
      <c r="CV331" s="538">
        <f t="shared" si="2260"/>
        <v>1.43895</v>
      </c>
      <c r="CW331" s="538">
        <f t="shared" si="2261"/>
        <v>23.248199999999997</v>
      </c>
      <c r="CX331" s="104">
        <f t="shared" si="2262"/>
        <v>3.57</v>
      </c>
      <c r="CY331" s="542">
        <f t="shared" si="2263"/>
        <v>1.7849999999999999</v>
      </c>
      <c r="CZ331" s="538">
        <f t="shared" si="2264"/>
        <v>2.4513847475961154E-2</v>
      </c>
    </row>
    <row r="332" spans="1:104" s="112" customFormat="1" ht="25" x14ac:dyDescent="0.25">
      <c r="A332" s="100" t="str">
        <f>'BOCA DE LOBO'!C301</f>
        <v>BL72-&gt;PV5-76</v>
      </c>
      <c r="B332" s="100" t="str">
        <f>'BOCA DE LOBO'!A301</f>
        <v>PV5-76</v>
      </c>
      <c r="C332" s="100" t="str">
        <f>VLOOKUP(A332,'BOCA DE LOBO'!$C$229:$M$324,3,0)</f>
        <v>EXISTENTE</v>
      </c>
      <c r="D332" s="100" t="str">
        <f>VLOOKUP(A332,'BOCA DE LOBO'!$C$229:$M$324,10,0)</f>
        <v>EXISTENTE</v>
      </c>
      <c r="E332" s="100">
        <f t="shared" si="2182"/>
        <v>2.5</v>
      </c>
      <c r="F332" s="100">
        <f>VLOOKUP(A332,'BOCA DE LOBO'!$C$229:$D$324,2,0)</f>
        <v>2.9700000000000273</v>
      </c>
      <c r="G332" s="100">
        <f>VLOOKUP(A332,'BOCA DE LOBO'!$C$229:$F$324,4,0)</f>
        <v>8.14</v>
      </c>
      <c r="H332" s="101">
        <v>400</v>
      </c>
      <c r="I332" s="102">
        <f t="shared" si="2183"/>
        <v>2.8650000000000135</v>
      </c>
      <c r="J332" s="102">
        <f t="shared" si="2184"/>
        <v>0</v>
      </c>
      <c r="K332" s="103">
        <v>0</v>
      </c>
      <c r="L332" s="104">
        <f t="shared" si="2185"/>
        <v>0</v>
      </c>
      <c r="M332" s="104">
        <f t="shared" si="2186"/>
        <v>0</v>
      </c>
      <c r="N332" s="104">
        <f t="shared" si="2187"/>
        <v>400</v>
      </c>
      <c r="O332" s="104">
        <f t="shared" si="2188"/>
        <v>0</v>
      </c>
      <c r="P332" s="105" t="s">
        <v>1999</v>
      </c>
      <c r="Q332" s="468" t="s">
        <v>2190</v>
      </c>
      <c r="R332" s="105">
        <v>1</v>
      </c>
      <c r="S332" s="105">
        <v>5</v>
      </c>
      <c r="T332" s="105">
        <v>5</v>
      </c>
      <c r="U332" s="104">
        <f t="shared" si="2189"/>
        <v>0.05</v>
      </c>
      <c r="V332" s="106">
        <f t="shared" si="2190"/>
        <v>0</v>
      </c>
      <c r="W332" s="106">
        <f t="shared" si="2248"/>
        <v>0</v>
      </c>
      <c r="X332" s="107">
        <f t="shared" si="2191"/>
        <v>0</v>
      </c>
      <c r="Y332" s="107">
        <f t="shared" si="2192"/>
        <v>0.4</v>
      </c>
      <c r="Z332" s="107">
        <f t="shared" si="2193"/>
        <v>2.8650000000000135</v>
      </c>
      <c r="AA332" s="107">
        <f t="shared" si="2194"/>
        <v>0</v>
      </c>
      <c r="AB332" s="108">
        <f t="shared" si="2195"/>
        <v>0</v>
      </c>
      <c r="AC332" s="109">
        <f t="shared" si="2196"/>
        <v>0</v>
      </c>
      <c r="AD332" s="109">
        <f t="shared" si="2197"/>
        <v>0</v>
      </c>
      <c r="AE332" s="109">
        <f t="shared" si="2198"/>
        <v>0</v>
      </c>
      <c r="AF332" s="109">
        <f t="shared" si="2265"/>
        <v>0</v>
      </c>
      <c r="AG332" s="109">
        <f t="shared" ref="AG332:AG334" si="2266">IF(IF(L332&lt;=1.5,IF(Z332&gt;=3,M332*G332*1.5,L332*G332*(Z332-1.5)),0)&lt;0,0,IF(L332&lt;=1.5,IF(Z332&gt;=3,M332*G332*1.5,L332*G332*(Z332-1.5)),0))+IF(S332&lt;I332,0,IF(AND(Z332&lt;=3,L332&lt;=1.5),-V332,0))</f>
        <v>0</v>
      </c>
      <c r="AH332" s="109">
        <f t="shared" ref="AH332:AH334" si="2267">IF(IF(L332&lt;=1.5,IF(Z332&gt;=4.5,M332*G332*1.5,L332*G332*(Z332-3)),0)&lt;0,0,IF(L332&lt;=1.5,IF(Z332&gt;=4.5,M332*G332*1.5,L332*G332*(Z332-3)),0))+IF(S332&lt;I332,0,IF(AND(Z332&lt;=4.5,Z332&gt;3,L332&lt;=1.5),-V332,0))</f>
        <v>0</v>
      </c>
      <c r="AI332" s="537" t="str">
        <f t="shared" si="2199"/>
        <v>NÃO</v>
      </c>
      <c r="AJ332" s="104">
        <f t="shared" si="2200"/>
        <v>0</v>
      </c>
      <c r="AK332" s="104">
        <f t="shared" si="2201"/>
        <v>0</v>
      </c>
      <c r="AL332" s="104">
        <f t="shared" si="2202"/>
        <v>0</v>
      </c>
      <c r="AM332" s="102">
        <f t="shared" si="2203"/>
        <v>0</v>
      </c>
      <c r="AN332" s="106">
        <f t="shared" si="2204"/>
        <v>0</v>
      </c>
      <c r="AO332" s="104">
        <f t="shared" si="2205"/>
        <v>0</v>
      </c>
      <c r="AP332" s="104">
        <f t="shared" si="2206"/>
        <v>0</v>
      </c>
      <c r="AQ332" s="104">
        <f t="shared" si="2207"/>
        <v>0.7</v>
      </c>
      <c r="AR332" s="104">
        <f t="shared" si="2208"/>
        <v>0</v>
      </c>
      <c r="AS332" s="104">
        <f t="shared" si="2209"/>
        <v>0</v>
      </c>
      <c r="AT332" s="104">
        <f t="shared" si="2210"/>
        <v>0</v>
      </c>
      <c r="AU332" s="104">
        <f t="shared" si="2211"/>
        <v>0</v>
      </c>
      <c r="AV332" s="104">
        <f t="shared" si="2212"/>
        <v>0</v>
      </c>
      <c r="AW332" s="104">
        <f t="shared" si="2213"/>
        <v>0</v>
      </c>
      <c r="AX332" s="104">
        <f t="shared" si="2214"/>
        <v>0</v>
      </c>
      <c r="AY332" s="104">
        <f t="shared" si="2215"/>
        <v>0</v>
      </c>
      <c r="AZ332" s="104">
        <f t="shared" si="2216"/>
        <v>0</v>
      </c>
      <c r="BA332" s="104">
        <f t="shared" si="2249"/>
        <v>0</v>
      </c>
      <c r="BB332" s="104">
        <f t="shared" si="2217"/>
        <v>0</v>
      </c>
      <c r="BC332" s="104"/>
      <c r="BD332" s="104">
        <f t="shared" si="2218"/>
        <v>0</v>
      </c>
      <c r="BE332" s="108">
        <f t="shared" si="2219"/>
        <v>0</v>
      </c>
      <c r="BF332" s="110">
        <f t="shared" si="2220"/>
        <v>0</v>
      </c>
      <c r="BG332" s="110">
        <f t="shared" si="2221"/>
        <v>0</v>
      </c>
      <c r="BH332" s="105" t="str">
        <f>VLOOKUP(A332,'BOCA DE LOBO'!$C$229:$I$324,7,0)</f>
        <v>BOCA DE LOBO EXISTENTE DUPLA</v>
      </c>
      <c r="BI332" s="104">
        <f t="shared" si="2222"/>
        <v>0</v>
      </c>
      <c r="BJ332" s="104">
        <f t="shared" si="2223"/>
        <v>0</v>
      </c>
      <c r="BK332" s="104">
        <f t="shared" si="2224"/>
        <v>0</v>
      </c>
      <c r="BL332" s="104">
        <f t="shared" si="2225"/>
        <v>0</v>
      </c>
      <c r="BM332" s="104">
        <f t="shared" si="2226"/>
        <v>0</v>
      </c>
      <c r="BN332" s="104">
        <f t="shared" si="2227"/>
        <v>0</v>
      </c>
      <c r="BO332" s="543">
        <f t="shared" si="2228"/>
        <v>0</v>
      </c>
      <c r="BP332" s="111"/>
      <c r="BQ332" s="108">
        <f t="shared" si="2229"/>
        <v>24.42</v>
      </c>
      <c r="BR332" s="108">
        <f t="shared" si="2230"/>
        <v>24.42</v>
      </c>
      <c r="BS332" s="108">
        <f t="shared" si="2231"/>
        <v>5.9422000000002209</v>
      </c>
      <c r="BV332" s="538">
        <f t="shared" si="2250"/>
        <v>0</v>
      </c>
      <c r="BW332" s="538">
        <f t="shared" si="2251"/>
        <v>0</v>
      </c>
      <c r="BX332" s="538">
        <f t="shared" si="2252"/>
        <v>0</v>
      </c>
      <c r="BY332" s="538">
        <f t="shared" si="2232"/>
        <v>2.5</v>
      </c>
      <c r="BZ332" s="538">
        <f t="shared" si="2233"/>
        <v>2.5</v>
      </c>
      <c r="CA332" s="538">
        <f t="shared" si="2234"/>
        <v>0.4</v>
      </c>
      <c r="CB332" s="538">
        <f t="shared" si="2235"/>
        <v>0</v>
      </c>
      <c r="CC332" s="538">
        <f t="shared" si="2236"/>
        <v>0</v>
      </c>
      <c r="CD332" s="538">
        <f t="shared" si="2237"/>
        <v>0</v>
      </c>
      <c r="CE332" s="538">
        <f t="shared" si="2238"/>
        <v>0</v>
      </c>
      <c r="CF332" s="538">
        <f t="shared" si="2239"/>
        <v>0</v>
      </c>
      <c r="CG332" s="538">
        <f t="shared" si="2240"/>
        <v>0</v>
      </c>
      <c r="CH332" s="538">
        <f t="shared" si="2241"/>
        <v>0</v>
      </c>
      <c r="CI332" s="104">
        <f t="shared" si="2253"/>
        <v>0</v>
      </c>
      <c r="CJ332" s="538">
        <f t="shared" si="2242"/>
        <v>0</v>
      </c>
      <c r="CK332" s="538">
        <f t="shared" si="2254"/>
        <v>0</v>
      </c>
      <c r="CL332" s="538">
        <f t="shared" si="2243"/>
        <v>0</v>
      </c>
      <c r="CM332" s="538">
        <f t="shared" si="2244"/>
        <v>0</v>
      </c>
      <c r="CN332" s="538">
        <f t="shared" si="2255"/>
        <v>0</v>
      </c>
      <c r="CO332" s="538">
        <f t="shared" si="2245"/>
        <v>3</v>
      </c>
      <c r="CP332" s="538">
        <f t="shared" si="2246"/>
        <v>0</v>
      </c>
      <c r="CQ332" s="538">
        <f t="shared" si="2247"/>
        <v>0</v>
      </c>
      <c r="CR332" s="539">
        <f t="shared" si="2256"/>
        <v>0</v>
      </c>
      <c r="CS332" s="540">
        <f t="shared" si="2257"/>
        <v>0</v>
      </c>
      <c r="CT332" s="540">
        <f t="shared" si="2258"/>
        <v>0</v>
      </c>
      <c r="CU332" s="541">
        <f t="shared" si="2259"/>
        <v>0</v>
      </c>
      <c r="CV332" s="538">
        <f t="shared" si="2260"/>
        <v>0</v>
      </c>
      <c r="CW332" s="538">
        <f t="shared" si="2261"/>
        <v>0</v>
      </c>
      <c r="CX332" s="104">
        <f t="shared" si="2262"/>
        <v>0</v>
      </c>
      <c r="CY332" s="542">
        <f t="shared" si="2263"/>
        <v>0</v>
      </c>
      <c r="CZ332" s="538">
        <f t="shared" si="2264"/>
        <v>0</v>
      </c>
    </row>
    <row r="333" spans="1:104" s="112" customFormat="1" ht="25" x14ac:dyDescent="0.25">
      <c r="A333" s="100" t="str">
        <f>'BOCA DE LOBO'!C302</f>
        <v>BL73-&gt;PV5-76</v>
      </c>
      <c r="B333" s="100" t="str">
        <f>'BOCA DE LOBO'!A302</f>
        <v>PV5-76</v>
      </c>
      <c r="C333" s="100" t="str">
        <f>VLOOKUP(A333,'BOCA DE LOBO'!$C$229:$M$324,3,0)</f>
        <v>EXISTENTE</v>
      </c>
      <c r="D333" s="100" t="str">
        <f>VLOOKUP(A333,'BOCA DE LOBO'!$C$229:$M$324,10,0)</f>
        <v>PROJETADA</v>
      </c>
      <c r="E333" s="100">
        <f t="shared" si="2182"/>
        <v>2.5</v>
      </c>
      <c r="F333" s="100">
        <f>VLOOKUP(A333,'BOCA DE LOBO'!$C$229:$D$324,2,0)</f>
        <v>2.9700000000000273</v>
      </c>
      <c r="G333" s="100">
        <f>VLOOKUP(A333,'BOCA DE LOBO'!$C$229:$F$324,4,0)</f>
        <v>4.3600000000000003</v>
      </c>
      <c r="H333" s="101">
        <v>400</v>
      </c>
      <c r="I333" s="102">
        <f t="shared" si="2183"/>
        <v>2.8650000000000135</v>
      </c>
      <c r="J333" s="102">
        <f t="shared" si="2184"/>
        <v>0.62457000000000296</v>
      </c>
      <c r="K333" s="103">
        <v>0</v>
      </c>
      <c r="L333" s="104">
        <f t="shared" si="2185"/>
        <v>1</v>
      </c>
      <c r="M333" s="104">
        <f t="shared" si="2186"/>
        <v>1</v>
      </c>
      <c r="N333" s="104">
        <f t="shared" si="2187"/>
        <v>0</v>
      </c>
      <c r="O333" s="104">
        <f t="shared" si="2188"/>
        <v>4.3600000000000003</v>
      </c>
      <c r="P333" s="105" t="s">
        <v>1999</v>
      </c>
      <c r="Q333" s="468" t="s">
        <v>2190</v>
      </c>
      <c r="R333" s="105">
        <v>1</v>
      </c>
      <c r="S333" s="105">
        <v>5</v>
      </c>
      <c r="T333" s="105">
        <v>5</v>
      </c>
      <c r="U333" s="104">
        <f t="shared" si="2189"/>
        <v>0.05</v>
      </c>
      <c r="V333" s="106">
        <f t="shared" si="2190"/>
        <v>0</v>
      </c>
      <c r="W333" s="106">
        <f t="shared" si="2248"/>
        <v>14.235400000000059</v>
      </c>
      <c r="X333" s="107">
        <f t="shared" si="2191"/>
        <v>0</v>
      </c>
      <c r="Y333" s="107">
        <f t="shared" si="2192"/>
        <v>3.2650000000000134</v>
      </c>
      <c r="Z333" s="107">
        <f t="shared" si="2193"/>
        <v>0</v>
      </c>
      <c r="AA333" s="107">
        <f t="shared" si="2194"/>
        <v>2.8650000000000135</v>
      </c>
      <c r="AB333" s="108">
        <f t="shared" si="2195"/>
        <v>4.3600000000000003</v>
      </c>
      <c r="AC333" s="109">
        <f t="shared" si="2196"/>
        <v>6.5400000000000009</v>
      </c>
      <c r="AD333" s="109">
        <f t="shared" si="2197"/>
        <v>6.5400000000000009</v>
      </c>
      <c r="AE333" s="109">
        <f t="shared" si="2198"/>
        <v>1.1554000000000588</v>
      </c>
      <c r="AF333" s="109">
        <f t="shared" si="2265"/>
        <v>0</v>
      </c>
      <c r="AG333" s="109">
        <f t="shared" si="2266"/>
        <v>0</v>
      </c>
      <c r="AH333" s="109">
        <f t="shared" si="2267"/>
        <v>0</v>
      </c>
      <c r="AI333" s="537" t="str">
        <f t="shared" si="2199"/>
        <v>NÃO</v>
      </c>
      <c r="AJ333" s="104">
        <f t="shared" si="2200"/>
        <v>0</v>
      </c>
      <c r="AK333" s="104">
        <f t="shared" si="2201"/>
        <v>0</v>
      </c>
      <c r="AL333" s="104">
        <f t="shared" si="2202"/>
        <v>13.687506241213999</v>
      </c>
      <c r="AM333" s="102">
        <f t="shared" si="2203"/>
        <v>0.21800000000000003</v>
      </c>
      <c r="AN333" s="106">
        <f t="shared" si="2204"/>
        <v>0</v>
      </c>
      <c r="AO333" s="104">
        <f t="shared" si="2205"/>
        <v>1.7440000000000002</v>
      </c>
      <c r="AP333" s="104">
        <f t="shared" si="2206"/>
        <v>1.7440000000000002</v>
      </c>
      <c r="AQ333" s="104">
        <f t="shared" si="2207"/>
        <v>0.7</v>
      </c>
      <c r="AR333" s="104">
        <f t="shared" si="2208"/>
        <v>2.5041062412139401</v>
      </c>
      <c r="AS333" s="104">
        <f t="shared" si="2209"/>
        <v>2.5041062412139401</v>
      </c>
      <c r="AT333" s="104">
        <f t="shared" si="2210"/>
        <v>0.65400000000000003</v>
      </c>
      <c r="AU333" s="104">
        <f t="shared" si="2211"/>
        <v>0.65400000000000003</v>
      </c>
      <c r="AV333" s="104">
        <f t="shared" si="2212"/>
        <v>0.1308</v>
      </c>
      <c r="AW333" s="104">
        <f t="shared" si="2213"/>
        <v>7.9134000000000597</v>
      </c>
      <c r="AX333" s="104">
        <f t="shared" si="2214"/>
        <v>-4.9021062412139402</v>
      </c>
      <c r="AY333" s="104">
        <f t="shared" si="2215"/>
        <v>-4.9021062412139402</v>
      </c>
      <c r="AZ333" s="104">
        <f t="shared" si="2216"/>
        <v>12.815506241213999</v>
      </c>
      <c r="BA333" s="104">
        <f t="shared" si="2249"/>
        <v>2.140926004364982</v>
      </c>
      <c r="BB333" s="104">
        <f t="shared" si="2217"/>
        <v>10.674580236849017</v>
      </c>
      <c r="BC333" s="104"/>
      <c r="BD333" s="104">
        <f t="shared" si="2218"/>
        <v>9.5920000000000005E-2</v>
      </c>
      <c r="BE333" s="108">
        <f t="shared" si="2219"/>
        <v>2.8650000000000135</v>
      </c>
      <c r="BF333" s="110">
        <f t="shared" si="2220"/>
        <v>0</v>
      </c>
      <c r="BG333" s="110">
        <f t="shared" si="2221"/>
        <v>4.3600000000000003</v>
      </c>
      <c r="BH333" s="105" t="str">
        <f>VLOOKUP(A333,'BOCA DE LOBO'!$C$229:$I$324,7,0)</f>
        <v>BOCA DE LOBO PROJETADA DUPLA</v>
      </c>
      <c r="BI333" s="104">
        <f t="shared" si="2222"/>
        <v>0</v>
      </c>
      <c r="BJ333" s="104">
        <f t="shared" si="2223"/>
        <v>0</v>
      </c>
      <c r="BK333" s="104">
        <f t="shared" si="2224"/>
        <v>0</v>
      </c>
      <c r="BL333" s="104">
        <f t="shared" si="2225"/>
        <v>0</v>
      </c>
      <c r="BM333" s="104">
        <f t="shared" si="2226"/>
        <v>0</v>
      </c>
      <c r="BN333" s="104">
        <f t="shared" si="2227"/>
        <v>1</v>
      </c>
      <c r="BO333" s="543">
        <f t="shared" si="2228"/>
        <v>0</v>
      </c>
      <c r="BP333" s="111"/>
      <c r="BQ333" s="108">
        <f t="shared" si="2229"/>
        <v>13.080000000000002</v>
      </c>
      <c r="BR333" s="108">
        <f t="shared" si="2230"/>
        <v>13.080000000000002</v>
      </c>
      <c r="BS333" s="108">
        <f t="shared" si="2231"/>
        <v>3.1828000000001184</v>
      </c>
      <c r="BV333" s="538">
        <f t="shared" si="2250"/>
        <v>23.347799999999996</v>
      </c>
      <c r="BW333" s="538">
        <f t="shared" si="2251"/>
        <v>7.7825999999999986</v>
      </c>
      <c r="BX333" s="538">
        <f t="shared" si="2252"/>
        <v>3.0325999999999995</v>
      </c>
      <c r="BY333" s="538">
        <f t="shared" si="2232"/>
        <v>2.5</v>
      </c>
      <c r="BZ333" s="538">
        <f t="shared" si="2233"/>
        <v>0</v>
      </c>
      <c r="CA333" s="538">
        <f t="shared" si="2234"/>
        <v>2.9</v>
      </c>
      <c r="CB333" s="538">
        <f t="shared" si="2235"/>
        <v>0</v>
      </c>
      <c r="CC333" s="538">
        <f t="shared" si="2236"/>
        <v>0</v>
      </c>
      <c r="CD333" s="538">
        <f t="shared" si="2237"/>
        <v>0</v>
      </c>
      <c r="CE333" s="538">
        <f t="shared" si="2238"/>
        <v>11.673899999999998</v>
      </c>
      <c r="CF333" s="538">
        <f t="shared" si="2239"/>
        <v>10.895639999999997</v>
      </c>
      <c r="CG333" s="538">
        <f t="shared" si="2240"/>
        <v>0.77825999999999951</v>
      </c>
      <c r="CH333" s="538">
        <f t="shared" si="2241"/>
        <v>0</v>
      </c>
      <c r="CI333" s="104">
        <f t="shared" si="2253"/>
        <v>0.53549999999999998</v>
      </c>
      <c r="CJ333" s="538">
        <f t="shared" si="2242"/>
        <v>13.239499999999996</v>
      </c>
      <c r="CK333" s="538">
        <f t="shared" si="2254"/>
        <v>13.239499999999996</v>
      </c>
      <c r="CL333" s="538">
        <f t="shared" si="2243"/>
        <v>0</v>
      </c>
      <c r="CM333" s="538">
        <f t="shared" si="2244"/>
        <v>0.15565199999999998</v>
      </c>
      <c r="CN333" s="538">
        <f t="shared" si="2255"/>
        <v>3.57</v>
      </c>
      <c r="CO333" s="538">
        <f t="shared" si="2245"/>
        <v>3</v>
      </c>
      <c r="CP333" s="538">
        <f t="shared" si="2246"/>
        <v>10.709999999999999</v>
      </c>
      <c r="CQ333" s="538">
        <f t="shared" si="2247"/>
        <v>10.709999999999999</v>
      </c>
      <c r="CR333" s="539">
        <f t="shared" si="2256"/>
        <v>0</v>
      </c>
      <c r="CS333" s="540">
        <f t="shared" si="2257"/>
        <v>0</v>
      </c>
      <c r="CT333" s="540">
        <f t="shared" si="2258"/>
        <v>0.33012999999999998</v>
      </c>
      <c r="CU333" s="541">
        <f t="shared" si="2259"/>
        <v>13</v>
      </c>
      <c r="CV333" s="538">
        <f t="shared" si="2260"/>
        <v>1.43895</v>
      </c>
      <c r="CW333" s="538">
        <f t="shared" si="2261"/>
        <v>23.248199999999997</v>
      </c>
      <c r="CX333" s="104">
        <f t="shared" si="2262"/>
        <v>3.57</v>
      </c>
      <c r="CY333" s="542">
        <f t="shared" si="2263"/>
        <v>1.7849999999999999</v>
      </c>
      <c r="CZ333" s="538">
        <f t="shared" si="2264"/>
        <v>2.4513847475961154E-2</v>
      </c>
    </row>
    <row r="334" spans="1:104" s="112" customFormat="1" ht="25" x14ac:dyDescent="0.25">
      <c r="A334" s="100" t="str">
        <f>'BOCA DE LOBO'!C303</f>
        <v>BL74-&gt;PV6-76</v>
      </c>
      <c r="B334" s="100" t="str">
        <f>'BOCA DE LOBO'!A303</f>
        <v>PV6-76</v>
      </c>
      <c r="C334" s="100" t="str">
        <f>VLOOKUP(A334,'BOCA DE LOBO'!$C$229:$M$324,3,0)</f>
        <v>EXISTENTE</v>
      </c>
      <c r="D334" s="100" t="str">
        <f>VLOOKUP(A334,'BOCA DE LOBO'!$C$229:$M$324,10,0)</f>
        <v>EXISTENTE</v>
      </c>
      <c r="E334" s="100">
        <f t="shared" si="2182"/>
        <v>2.5</v>
      </c>
      <c r="F334" s="100">
        <f>VLOOKUP(A334,'BOCA DE LOBO'!$C$229:$D$324,2,0)</f>
        <v>3.25</v>
      </c>
      <c r="G334" s="100">
        <f>VLOOKUP(A334,'BOCA DE LOBO'!$C$229:$F$324,4,0)</f>
        <v>6.29</v>
      </c>
      <c r="H334" s="101">
        <v>400</v>
      </c>
      <c r="I334" s="102">
        <f t="shared" si="2183"/>
        <v>3.0049999999999999</v>
      </c>
      <c r="J334" s="102">
        <f t="shared" si="2184"/>
        <v>0</v>
      </c>
      <c r="K334" s="103">
        <v>0</v>
      </c>
      <c r="L334" s="104">
        <f t="shared" si="2185"/>
        <v>0</v>
      </c>
      <c r="M334" s="104">
        <f t="shared" si="2186"/>
        <v>0</v>
      </c>
      <c r="N334" s="104">
        <f t="shared" si="2187"/>
        <v>400</v>
      </c>
      <c r="O334" s="104">
        <f t="shared" si="2188"/>
        <v>0</v>
      </c>
      <c r="P334" s="105" t="s">
        <v>1999</v>
      </c>
      <c r="Q334" s="468" t="s">
        <v>2190</v>
      </c>
      <c r="R334" s="105"/>
      <c r="S334" s="105">
        <v>5</v>
      </c>
      <c r="T334" s="105">
        <v>5</v>
      </c>
      <c r="U334" s="104">
        <f t="shared" si="2189"/>
        <v>0.05</v>
      </c>
      <c r="V334" s="106">
        <f t="shared" si="2190"/>
        <v>0</v>
      </c>
      <c r="W334" s="106">
        <f t="shared" si="2248"/>
        <v>0</v>
      </c>
      <c r="X334" s="107">
        <f t="shared" si="2191"/>
        <v>0</v>
      </c>
      <c r="Y334" s="107">
        <f t="shared" si="2192"/>
        <v>0</v>
      </c>
      <c r="Z334" s="107">
        <f t="shared" si="2193"/>
        <v>3.0049999999999999</v>
      </c>
      <c r="AA334" s="107">
        <f t="shared" si="2194"/>
        <v>0</v>
      </c>
      <c r="AB334" s="108">
        <f t="shared" si="2195"/>
        <v>0</v>
      </c>
      <c r="AC334" s="109">
        <f t="shared" si="2196"/>
        <v>0</v>
      </c>
      <c r="AD334" s="109">
        <f t="shared" si="2197"/>
        <v>0</v>
      </c>
      <c r="AE334" s="109">
        <f t="shared" si="2198"/>
        <v>0</v>
      </c>
      <c r="AF334" s="109">
        <f t="shared" si="2265"/>
        <v>0</v>
      </c>
      <c r="AG334" s="109">
        <f t="shared" si="2266"/>
        <v>0</v>
      </c>
      <c r="AH334" s="109">
        <f t="shared" si="2267"/>
        <v>0</v>
      </c>
      <c r="AI334" s="537" t="str">
        <f t="shared" si="2199"/>
        <v>NÃO</v>
      </c>
      <c r="AJ334" s="104">
        <f t="shared" si="2200"/>
        <v>0</v>
      </c>
      <c r="AK334" s="104">
        <f t="shared" si="2201"/>
        <v>0</v>
      </c>
      <c r="AL334" s="104">
        <f t="shared" si="2202"/>
        <v>0</v>
      </c>
      <c r="AM334" s="102">
        <f t="shared" si="2203"/>
        <v>0</v>
      </c>
      <c r="AN334" s="106">
        <f t="shared" si="2204"/>
        <v>0</v>
      </c>
      <c r="AO334" s="104">
        <f t="shared" si="2205"/>
        <v>0</v>
      </c>
      <c r="AP334" s="104">
        <f t="shared" si="2206"/>
        <v>0</v>
      </c>
      <c r="AQ334" s="104">
        <f t="shared" si="2207"/>
        <v>0.7</v>
      </c>
      <c r="AR334" s="104">
        <f t="shared" si="2208"/>
        <v>0</v>
      </c>
      <c r="AS334" s="104">
        <f t="shared" si="2209"/>
        <v>0</v>
      </c>
      <c r="AT334" s="104">
        <f t="shared" si="2210"/>
        <v>0</v>
      </c>
      <c r="AU334" s="104">
        <f t="shared" si="2211"/>
        <v>0</v>
      </c>
      <c r="AV334" s="104">
        <f t="shared" si="2212"/>
        <v>0</v>
      </c>
      <c r="AW334" s="104">
        <f t="shared" si="2213"/>
        <v>0</v>
      </c>
      <c r="AX334" s="104">
        <f t="shared" si="2214"/>
        <v>0</v>
      </c>
      <c r="AY334" s="104">
        <f t="shared" si="2215"/>
        <v>0</v>
      </c>
      <c r="AZ334" s="104">
        <f t="shared" si="2216"/>
        <v>0</v>
      </c>
      <c r="BA334" s="104">
        <f t="shared" si="2249"/>
        <v>0</v>
      </c>
      <c r="BB334" s="104">
        <f t="shared" si="2217"/>
        <v>0</v>
      </c>
      <c r="BC334" s="104"/>
      <c r="BD334" s="104">
        <f t="shared" si="2218"/>
        <v>0</v>
      </c>
      <c r="BE334" s="108">
        <f t="shared" si="2219"/>
        <v>0</v>
      </c>
      <c r="BF334" s="110">
        <f t="shared" si="2220"/>
        <v>0</v>
      </c>
      <c r="BG334" s="110">
        <f t="shared" si="2221"/>
        <v>0</v>
      </c>
      <c r="BH334" s="105" t="str">
        <f>VLOOKUP(A334,'BOCA DE LOBO'!$C$229:$I$324,7,0)</f>
        <v>BOCA DE LOBO EXISTENTE SIMPLES</v>
      </c>
      <c r="BI334" s="104">
        <f t="shared" si="2222"/>
        <v>0</v>
      </c>
      <c r="BJ334" s="104">
        <f t="shared" si="2223"/>
        <v>0</v>
      </c>
      <c r="BK334" s="104">
        <f t="shared" si="2224"/>
        <v>0</v>
      </c>
      <c r="BL334" s="104">
        <f t="shared" si="2225"/>
        <v>0</v>
      </c>
      <c r="BM334" s="104">
        <f t="shared" si="2226"/>
        <v>0</v>
      </c>
      <c r="BN334" s="104">
        <f t="shared" si="2227"/>
        <v>0</v>
      </c>
      <c r="BO334" s="543">
        <f t="shared" si="2228"/>
        <v>0</v>
      </c>
      <c r="BP334" s="111"/>
      <c r="BQ334" s="108">
        <f t="shared" si="2229"/>
        <v>18.87</v>
      </c>
      <c r="BR334" s="108">
        <f t="shared" si="2230"/>
        <v>18.87</v>
      </c>
      <c r="BS334" s="108">
        <f t="shared" si="2231"/>
        <v>6.2899999999998665E-2</v>
      </c>
      <c r="BV334" s="538">
        <f t="shared" si="2250"/>
        <v>0</v>
      </c>
      <c r="BW334" s="538">
        <f t="shared" si="2251"/>
        <v>0</v>
      </c>
      <c r="BX334" s="538">
        <f t="shared" si="2252"/>
        <v>0</v>
      </c>
      <c r="BY334" s="538">
        <f t="shared" si="2232"/>
        <v>2.5</v>
      </c>
      <c r="BZ334" s="538">
        <f t="shared" si="2233"/>
        <v>2.5</v>
      </c>
      <c r="CA334" s="538">
        <f t="shared" si="2234"/>
        <v>0</v>
      </c>
      <c r="CB334" s="538">
        <f t="shared" si="2235"/>
        <v>0</v>
      </c>
      <c r="CC334" s="538">
        <f t="shared" si="2236"/>
        <v>0</v>
      </c>
      <c r="CD334" s="538">
        <f t="shared" si="2237"/>
        <v>0</v>
      </c>
      <c r="CE334" s="538">
        <f t="shared" si="2238"/>
        <v>0</v>
      </c>
      <c r="CF334" s="538">
        <f t="shared" si="2239"/>
        <v>0</v>
      </c>
      <c r="CG334" s="538">
        <f t="shared" si="2240"/>
        <v>0</v>
      </c>
      <c r="CH334" s="538">
        <f t="shared" si="2241"/>
        <v>0</v>
      </c>
      <c r="CI334" s="104">
        <f t="shared" si="2253"/>
        <v>0</v>
      </c>
      <c r="CJ334" s="538">
        <f t="shared" si="2242"/>
        <v>0</v>
      </c>
      <c r="CK334" s="538">
        <f t="shared" si="2254"/>
        <v>0</v>
      </c>
      <c r="CL334" s="538">
        <f t="shared" si="2243"/>
        <v>0</v>
      </c>
      <c r="CM334" s="538">
        <f t="shared" si="2244"/>
        <v>0</v>
      </c>
      <c r="CN334" s="538">
        <f t="shared" si="2255"/>
        <v>0</v>
      </c>
      <c r="CO334" s="538">
        <f t="shared" si="2245"/>
        <v>2.5</v>
      </c>
      <c r="CP334" s="538">
        <f t="shared" si="2246"/>
        <v>0</v>
      </c>
      <c r="CQ334" s="538">
        <f t="shared" si="2247"/>
        <v>0</v>
      </c>
      <c r="CR334" s="539">
        <f t="shared" si="2256"/>
        <v>0</v>
      </c>
      <c r="CS334" s="540">
        <f t="shared" si="2257"/>
        <v>0</v>
      </c>
      <c r="CT334" s="540">
        <f t="shared" si="2258"/>
        <v>0</v>
      </c>
      <c r="CU334" s="541">
        <f t="shared" si="2259"/>
        <v>0</v>
      </c>
      <c r="CV334" s="538">
        <f t="shared" si="2260"/>
        <v>0</v>
      </c>
      <c r="CW334" s="538">
        <f t="shared" si="2261"/>
        <v>0</v>
      </c>
      <c r="CX334" s="104">
        <f t="shared" si="2262"/>
        <v>0</v>
      </c>
      <c r="CY334" s="542">
        <f t="shared" si="2263"/>
        <v>0</v>
      </c>
      <c r="CZ334" s="538">
        <f t="shared" si="2264"/>
        <v>0</v>
      </c>
    </row>
    <row r="335" spans="1:104" s="112" customFormat="1" ht="37.5" x14ac:dyDescent="0.25">
      <c r="A335" s="100" t="str">
        <f>'BOCA DE LOBO'!C304</f>
        <v>BL75-&gt;PV6-76</v>
      </c>
      <c r="B335" s="100" t="str">
        <f>'BOCA DE LOBO'!A304</f>
        <v>PV6-76</v>
      </c>
      <c r="C335" s="100" t="str">
        <f>VLOOKUP(A335,'BOCA DE LOBO'!$C$229:$M$324,3,0)</f>
        <v>EXISTENTE</v>
      </c>
      <c r="D335" s="100" t="str">
        <f>VLOOKUP(A335,'BOCA DE LOBO'!$C$229:$M$324,10,0)</f>
        <v>AMPLIADA</v>
      </c>
      <c r="E335" s="100">
        <f t="shared" ref="E335:E355" si="2268">IF(F335-G335*4%&lt;2.5,F335-G335*4%,2.5)</f>
        <v>2.5</v>
      </c>
      <c r="F335" s="100">
        <f>VLOOKUP(A335,'BOCA DE LOBO'!$C$229:$D$324,2,0)</f>
        <v>3.25</v>
      </c>
      <c r="G335" s="100">
        <f>VLOOKUP(A335,'BOCA DE LOBO'!$C$229:$F$324,4,0)</f>
        <v>3.22</v>
      </c>
      <c r="H335" s="101">
        <v>400</v>
      </c>
      <c r="I335" s="102">
        <f t="shared" ref="I335:I355" si="2269">IF(H335=400,((E335+F335)/2)+0.08+U335,IF(H335=500,((E335+F335)/2)+0.1+U335,IF(H335=600,((E335+F335)/2)+0.12+U335,IF(H335=800,((E335+F335)/2)+0.16+U335,IF(H335=1000,((E335+F335)/2)+0.2+U335,IF(H335=1200,((E335+F335)/2)+0.24+U335,IF(H335=1500,((E335+F335)/2)+0.3+U335,IF(H335&gt;1500,((E335+F335)/2)+0.4+U335))))))))</f>
        <v>3.0049999999999999</v>
      </c>
      <c r="J335" s="102">
        <f t="shared" ref="J335:J355" si="2270">IF(L335=0,0,IF(I335&gt;=1.25,G335*I335/20,0))</f>
        <v>0</v>
      </c>
      <c r="K335" s="103">
        <v>0</v>
      </c>
      <c r="L335" s="104">
        <f t="shared" ref="L335:L355" si="2271">IF(D335&lt;&gt;"PROJETADA",0,IF(H335=400,1,0)+IF(H335=500,1.2,0)+IF(H335=600,1.4,0)+IF(H335=800,1.7,0)+IF(H335=1000,2,0)+IF(H335=1200,2.2,0)+IF(H335=1500,2.6,0)+IF(H335=1650,3,0)+IF(H335=1800,3.2,0)+IF(H335=2000,3.4,0)+IF(H335=2200,3.6,0)+IF(H335=2400,3.8,0)+IF(H335=2600,4,0)+IF(H335=3000,4.4,0))</f>
        <v>0</v>
      </c>
      <c r="M335" s="104">
        <f t="shared" ref="M335:M355" si="2272">2*K335*I335+L335</f>
        <v>0</v>
      </c>
      <c r="N335" s="104">
        <f t="shared" ref="N335:N355" si="2273">IF(OR(D335="EXISTENTE",D335="AMPLIADA"),400,0)</f>
        <v>400</v>
      </c>
      <c r="O335" s="104">
        <f t="shared" ref="O335:O355" si="2274">IF(P335="TERRENO NATURAL",0,M335*G335)</f>
        <v>0</v>
      </c>
      <c r="P335" s="105" t="s">
        <v>1999</v>
      </c>
      <c r="Q335" s="468" t="s">
        <v>2190</v>
      </c>
      <c r="R335" s="105"/>
      <c r="S335" s="105">
        <v>5</v>
      </c>
      <c r="T335" s="105">
        <v>5</v>
      </c>
      <c r="U335" s="104">
        <f t="shared" ref="U335:U355" si="2275">IF(H335=400,0.05,0)+IF(H335=500,0.05,0)+IF(H335=600,0.1,0)+IF(H335=800,0.1,0)+IF(H335=1000,0.15,0)+IF(H335=1200,0.15,0)+IF(H335=1500,0.2,0)+IF(H335=1650,0.2,0)+IF(H335=1800,0.2,0)+IF(H335=2000,0.25,0)+IF(H335=2200,0.25,0)+IF(H335=2400,0.25,0)+IF(H335=2600,0.25,0)+IF(H335=3000,0.25,0)</f>
        <v>0.05</v>
      </c>
      <c r="V335" s="106">
        <f t="shared" ref="V335:V355" si="2276">IF(L335=0,0,IF("EXISTENTE"=C335,0,IFERROR((PI()*(N335/1000)*(N335/1000)/4)*G335,0)))</f>
        <v>0</v>
      </c>
      <c r="W335" s="106">
        <f t="shared" si="2248"/>
        <v>0</v>
      </c>
      <c r="X335" s="107">
        <f t="shared" ref="X335:X355" si="2277">W335-SUM(AC335:AJ335)</f>
        <v>0</v>
      </c>
      <c r="Y335" s="107">
        <f t="shared" ref="Y335:Y355" si="2278">IF(R335=1,IF(N335=0,I335+0.4,0.4),0)</f>
        <v>0</v>
      </c>
      <c r="Z335" s="107">
        <f t="shared" ref="Z335:Z355" si="2279">IF(Y335&gt;0.5,0,IF(S335&lt;I335,S335,I335))</f>
        <v>3.0049999999999999</v>
      </c>
      <c r="AA335" s="107">
        <f t="shared" ref="AA335:AA355" si="2280">I335-Z335</f>
        <v>0</v>
      </c>
      <c r="AB335" s="108">
        <f t="shared" ref="AB335:AB355" si="2281">IF(P335="ASFALTO",IF(D335="PROJETADA",O335,IF(D335="EXISTENTE",0,O335/2)),0)</f>
        <v>0</v>
      </c>
      <c r="AC335" s="109">
        <f t="shared" ref="AC335:AC355" si="2282">IF(Y335=0,0,IF(Y335=0.4,IF(L335&lt;=1.5,IF(Z335+0.4&gt;=1.5,0,L335*G335*0.4),0),IF(L335&lt;=1.5,IF(Y335&gt;=1.5,M335*G335*1.5,L335*G335*(Y335)),0)+IF(S335&lt;I335+0.4,0,IF(AND(Y335&lt;=1.5,L335&lt;=1.5),-V335,0))))</f>
        <v>0</v>
      </c>
      <c r="AD335" s="109">
        <f t="shared" ref="AD335:AD355" si="2283">IF(Y335=0,0,IF(Y335=0.4,IF(L335&lt;=1.5,IF(OR(Z335+0.4&gt;=3,Z335+0.4&lt;1.5),0,L335*G335*0.4),0),IF(IF(L335&lt;=1.5,IF(Y335&gt;=3,M335*G335*1.5,L335*G335*(Y335-1.5)),0)&lt;0,0,IF(L335&lt;=1.5,IF(Y335&gt;=3,M335*G335*1.5,L335*G335*(Y335-1.5)),0))+IF(S335&lt;I335+0.4,0,IF(AND(Y335&lt;=3,L335&lt;=1.5),-V335,0))))</f>
        <v>0</v>
      </c>
      <c r="AE335" s="109">
        <f t="shared" ref="AE335:AE355" si="2284">IF(Y335=0,0,IF(Y335=0.4,IF(L335&lt;=1.5,IF(OR(Z335+0.4&gt;=4.5,Z335+0.4&lt;3),0,L335*G335*0.4),0),IF(IF(L335&lt;=1.5,IF(Y335&gt;=4.5,M335*G335*1.5,L335*G335*(Y335-3)),0)&lt;0,0,IF(L335&lt;=1.5,IF(Y335&gt;=4.5,M335*G335*1.5,L335*G335*(Y335-3)),0))+IF(S335&lt;I335+0.4,0,IF(AND(Y335&lt;=4.5,L335&lt;=1.5),-V335,0))))</f>
        <v>0</v>
      </c>
      <c r="AF335" s="109">
        <f t="shared" ref="AF335:AF355" si="2285">IF(L335&lt;=1.5,IF(Z335&gt;=1.5,M335*G335*1.5,L335*G335*Z335),0)+IF(S335&lt;I335,0,IF(AND(Z335&lt;=1.5,L335&lt;=1.5),-V335,0))</f>
        <v>0</v>
      </c>
      <c r="AG335" s="109">
        <f t="shared" ref="AG335:AG355" si="2286">IF(IF(L335&lt;=1.5,IF(Z335&gt;=3,M335*G335*1.5,L335*G335*(Z335-1.5)),0)&lt;0,0,IF(L335&lt;=1.5,IF(Z335&gt;=3,M335*G335*1.5,L335*G335*(Z335-1.5)),0))+IF(S335&lt;I335,0,IF(AND(Z335&lt;=3,L335&lt;=1.5),-V335,0))</f>
        <v>0</v>
      </c>
      <c r="AH335" s="109">
        <f t="shared" ref="AH335:AH355" si="2287">IF(IF(L335&lt;=1.5,IF(Z335&gt;=4.5,M335*G335*1.5,L335*G335*(Z335-3)),0)&lt;0,0,IF(L335&lt;=1.5,IF(Z335&gt;=4.5,M335*G335*1.5,L335*G335*(Z335-3)),0))+IF(S335&lt;I335,0,IF(AND(Z335&lt;=4.5,Z335&gt;3,L335&lt;=1.5),-V335,0))</f>
        <v>0</v>
      </c>
      <c r="AI335" s="537" t="str">
        <f t="shared" ref="AI335:AI355" si="2288">IF(I335&gt;S335,"SIM","NÃO")</f>
        <v>NÃO</v>
      </c>
      <c r="AJ335" s="104">
        <f t="shared" ref="AJ335:AJ355" si="2289">W335-SUM(AC335:AH335)</f>
        <v>0</v>
      </c>
      <c r="AK335" s="104">
        <f t="shared" ref="AK335:AK355" si="2290">IF(I335-T335&lt;0,0,(I335-T335)*G335)/75</f>
        <v>0</v>
      </c>
      <c r="AL335" s="104">
        <f t="shared" ref="AL335:AL355" si="2291">IF(L335=0,0,G335*L335*I335-PI()*(H335/1000)*(H335/1000)/4*G335+AO335)</f>
        <v>0</v>
      </c>
      <c r="AM335" s="102">
        <f t="shared" ref="AM335:AM355" si="2292">IF(L335&lt;1.5,L335*G335*IF(H335&lt;=500,0.05,IF(H335&lt;=800,0.1,IF(H335&lt;=1200,0.15,IF(H335&gt;=1500,0.2)))),0)</f>
        <v>0</v>
      </c>
      <c r="AN335" s="106">
        <f t="shared" ref="AN335:AN355" si="2293">IF(L335&gt;=1.5,L335*G335*IF(H335&lt;=500,0.05,IF(H335&lt;=800,0.1,IF(H335&lt;=1200,0.15,IF(H335&gt;=1500,0.2)))),0)</f>
        <v>0</v>
      </c>
      <c r="AO335" s="104">
        <f t="shared" ref="AO335:AO355" si="2294">IF(R335=1,0.4*G335*L335,0)</f>
        <v>0</v>
      </c>
      <c r="AP335" s="104">
        <f t="shared" ref="AP335:AP355" si="2295">IF(AO335&lt;SUM(AF335:AH335),0,AO335)</f>
        <v>0</v>
      </c>
      <c r="AQ335" s="104">
        <f t="shared" ref="AQ335:AQ355" si="2296">H335/1000+0.3</f>
        <v>0.7</v>
      </c>
      <c r="AR335" s="104">
        <f t="shared" ref="AR335:AR355" si="2297">IF(D335&lt;&gt;"PROJETADA",0,AQ335*L335*G335-PI()*(H335/1000*H335/1000)/4*G335)</f>
        <v>0</v>
      </c>
      <c r="AS335" s="104">
        <f t="shared" ref="AS335:AS355" si="2298">IF(AR335&lt;SUM(AF335:AH335),0,AR335)</f>
        <v>0</v>
      </c>
      <c r="AT335" s="104">
        <f t="shared" ref="AT335:AT355" si="2299">IF(P335="ASFALTO",0.15*G335*L335,0)</f>
        <v>0</v>
      </c>
      <c r="AU335" s="104">
        <f t="shared" ref="AU335:AU355" si="2300">AT335</f>
        <v>0</v>
      </c>
      <c r="AV335" s="104">
        <f t="shared" ref="AV335:AV355" si="2301">IF(P335="ASFALTO",0.03*G335*L335,0)</f>
        <v>0</v>
      </c>
      <c r="AW335" s="104">
        <f t="shared" ref="AW335:AW355" si="2302">AL335-AO335-SUM(AM335:AN335)-AT335-AU335-AR335</f>
        <v>0</v>
      </c>
      <c r="AX335" s="104">
        <f t="shared" ref="AX335:AX355" si="2303">SUM(AF335:AH335)-AO335-AT335-AR335</f>
        <v>0</v>
      </c>
      <c r="AY335" s="104">
        <f t="shared" ref="AY335:AY355" si="2304">SMALL(AW335:AX335,1)</f>
        <v>0</v>
      </c>
      <c r="AZ335" s="104">
        <f t="shared" ref="AZ335:AZ355" si="2305">AW335-AY335</f>
        <v>0</v>
      </c>
      <c r="BA335" s="104">
        <f t="shared" ref="BA335:BA355" si="2306">IF($AZ$356&gt;$BA$358,($BA$358/$AZ$356)*AZ335,AZ335)</f>
        <v>0</v>
      </c>
      <c r="BB335" s="104">
        <f t="shared" ref="BB335:BB355" si="2307">AZ335-BA335</f>
        <v>0</v>
      </c>
      <c r="BC335" s="104"/>
      <c r="BD335" s="104">
        <f t="shared" ref="BD335:BD355" si="2308">IF(AO335+AT335&gt;0,4%*(AO335+AT335),0)</f>
        <v>0</v>
      </c>
      <c r="BE335" s="108">
        <f t="shared" ref="BE335:BE355" si="2309">IF(AND(C335="EXISTENTE",D335&lt;&gt;"PROJETADA"),0,IF(H335=400,I335,0))</f>
        <v>0</v>
      </c>
      <c r="BF335" s="110">
        <f t="shared" ref="BF335:BF355" si="2310">IF(BE335&lt;=1.75,AND(BE335&gt;0)*G335,0)</f>
        <v>0</v>
      </c>
      <c r="BG335" s="110">
        <f t="shared" ref="BG335:BG355" si="2311">IF(BE335&lt;=3,AND(BE335&gt;1.75)*G335,0)</f>
        <v>0</v>
      </c>
      <c r="BH335" s="105" t="str">
        <f>VLOOKUP(A335,'BOCA DE LOBO'!$C$229:$I$324,7,0)</f>
        <v>BOCA DE LOBO DUPLA EXISTENTE COM BOCA DE LOBO SIMPLES PROJETADA</v>
      </c>
      <c r="BI335" s="104">
        <f t="shared" ref="BI335:BI355" si="2312">IF(BH335=$BI$258,1,0)</f>
        <v>0</v>
      </c>
      <c r="BJ335" s="104">
        <f t="shared" ref="BJ335:BJ355" si="2313">IF(BH335=$BJ$258,1,0)</f>
        <v>0</v>
      </c>
      <c r="BK335" s="104">
        <f t="shared" ref="BK335:BK355" si="2314">IF(BH335=$BK$258,1,0)</f>
        <v>1</v>
      </c>
      <c r="BL335" s="104">
        <f t="shared" ref="BL335:BL355" si="2315">IF(BH335=$BL$258,1,0)</f>
        <v>0</v>
      </c>
      <c r="BM335" s="104">
        <f t="shared" ref="BM335:BM355" si="2316">IF(BH335=$BM$258,1,0)</f>
        <v>0</v>
      </c>
      <c r="BN335" s="104">
        <f t="shared" ref="BN335:BN355" si="2317">IF(BH335=$BN$258,1,0)</f>
        <v>0</v>
      </c>
      <c r="BO335" s="543">
        <f t="shared" ref="BO335:BO355" si="2318">IF(BH335=$BO$258,1,0)</f>
        <v>0</v>
      </c>
      <c r="BP335" s="111"/>
      <c r="BQ335" s="108">
        <f t="shared" ref="BQ335:BQ355" si="2319">IF(L335&lt;=1.5,IF(I335+IF(R335=1,0.5,0)&lt;1.5,(I335+IF(R335=1,0.5,0))*G335*2,G335*2*1.5),0)</f>
        <v>9.66</v>
      </c>
      <c r="BR335" s="108">
        <f t="shared" ref="BR335:BR355" si="2320">IF(L335&lt;=1.5,IF(AND(I335+IF(R335=1,0.5,0)&lt;3,I335+IF(R335=1,0.5,0)&gt;1.5),(I335+IF(R335=1,0.5,0)-1.5)*G335*2,IF(I335+IF(R335=1,0.5,0)&gt;=3,(G335*2*1.5),0)),0)</f>
        <v>9.66</v>
      </c>
      <c r="BS335" s="108">
        <f t="shared" ref="BS335:BS355" si="2321">IF(L335&lt;=1.5,IF(AND(I335+IF(R335=1,0.5,0)&lt;4.5,I335+IF(R335=1,0.5,0)&gt;3),(I335+IF(R335=1,0.5,0)-3)*G335*2,IF(I335+IF(R335=1,0.5,0)&gt;=4.5,(G335*2*1.5),0)),0)</f>
        <v>3.2199999999999313E-2</v>
      </c>
      <c r="BV335" s="538">
        <f t="shared" si="2250"/>
        <v>9.1559999999999988</v>
      </c>
      <c r="BW335" s="538">
        <f t="shared" si="2251"/>
        <v>3.6623999999999994</v>
      </c>
      <c r="BX335" s="538">
        <f t="shared" si="2252"/>
        <v>1.3923999999999999</v>
      </c>
      <c r="BY335" s="538">
        <f t="shared" ref="BY335:BY355" si="2322">E335</f>
        <v>2.5</v>
      </c>
      <c r="BZ335" s="538">
        <f t="shared" ref="BZ335:BZ355" si="2323">IF(Y335&gt;0.5,0,IF(S335&lt;E335,S335,E335))</f>
        <v>2.5</v>
      </c>
      <c r="CA335" s="538">
        <f t="shared" ref="CA335:CA355" si="2324">IF(Y335&gt;0.4,BY335+0.4,Y335)</f>
        <v>0</v>
      </c>
      <c r="CB335" s="538">
        <f t="shared" ref="CB335:CB355" si="2325">IF(S335&gt;E335,0,E335-S335)</f>
        <v>0</v>
      </c>
      <c r="CC335" s="538">
        <f t="shared" ref="CC335:CC355" si="2326">IF(BZ335&gt;1.5,BW335*1.5,BW335*BZ335)</f>
        <v>5.4935999999999989</v>
      </c>
      <c r="CD335" s="538">
        <f t="shared" ref="CD335:CD355" si="2327">IF(BZ335&gt;1.5,BW335*(BZ335-1.5),0)</f>
        <v>3.6623999999999994</v>
      </c>
      <c r="CE335" s="538">
        <f t="shared" ref="CE335:CE355" si="2328">IF(CA335=0.4,IF(BZ335+CA335&gt;1.5,0,CA335*BW335),IF(CA335&gt;1.5,BW335*1.5,BW335*CA335))</f>
        <v>0</v>
      </c>
      <c r="CF335" s="538">
        <f t="shared" ref="CF335:CF355" si="2329">IF(CA335=0.4,IF(BZ335+CA335&lt;=1.5,0,CA335*BW335),IF(CA335&gt;1.5,BW335*(CA335-1.5),0))</f>
        <v>0</v>
      </c>
      <c r="CG335" s="538">
        <f t="shared" ref="CG335:CG355" si="2330">BV335-SUM(CC335:CF335)</f>
        <v>0</v>
      </c>
      <c r="CH335" s="538">
        <f t="shared" ref="CH335:CH355" si="2331">SUM(CC335:CG335)-BV335</f>
        <v>0</v>
      </c>
      <c r="CI335" s="104">
        <f t="shared" si="2253"/>
        <v>0.252</v>
      </c>
      <c r="CJ335" s="538">
        <f t="shared" ref="CJ335:CJ355" si="2332">(BW335-BX335)*(BY335+IF(CA335&gt;=0.4,0.4,0))-CI335</f>
        <v>5.4229999999999992</v>
      </c>
      <c r="CK335" s="538">
        <f t="shared" ref="CK335:CK355" si="2333">IF($CK$358&gt;$CJ$356,CJ335,CJ335*$CK$358/$CJ$356)</f>
        <v>5.4229999999999992</v>
      </c>
      <c r="CL335" s="538">
        <f t="shared" ref="CL335:CL355" si="2334">CJ335-CK335</f>
        <v>0</v>
      </c>
      <c r="CM335" s="538">
        <f t="shared" ref="CM335:CM355" si="2335">IF(CA335&gt;0,0.5*4%*BW335,0)</f>
        <v>0</v>
      </c>
      <c r="CN335" s="538">
        <f t="shared" si="2255"/>
        <v>1.68</v>
      </c>
      <c r="CO335" s="538">
        <f t="shared" ref="CO335:CO355" si="2336">IF(CA335&gt;0,BY335+0.5,BY335)</f>
        <v>2.5</v>
      </c>
      <c r="CP335" s="538">
        <f t="shared" ref="CP335:CP355" si="2337">IF(CO335&gt;=1.5,CN335*1.5*2,CN335*CO335*2)</f>
        <v>5.04</v>
      </c>
      <c r="CQ335" s="538">
        <f t="shared" ref="CQ335:CQ355" si="2338">IF(CO335&lt;=1.5,0,IF(CO335&gt;=3,CN335*1.5*2,CN335*(CO335-1.5)*2))</f>
        <v>3.36</v>
      </c>
      <c r="CR335" s="539">
        <f t="shared" si="2256"/>
        <v>1.1000000000000001</v>
      </c>
      <c r="CS335" s="540">
        <f t="shared" si="2257"/>
        <v>5.1000000000000004E-2</v>
      </c>
      <c r="CT335" s="540">
        <f t="shared" si="2258"/>
        <v>0.15421000000000001</v>
      </c>
      <c r="CU335" s="541">
        <f t="shared" si="2259"/>
        <v>6.5</v>
      </c>
      <c r="CV335" s="538">
        <f t="shared" si="2260"/>
        <v>0.90203999999999995</v>
      </c>
      <c r="CW335" s="538">
        <f t="shared" si="2261"/>
        <v>15.764600000000002</v>
      </c>
      <c r="CX335" s="104">
        <f t="shared" si="2262"/>
        <v>1.68</v>
      </c>
      <c r="CY335" s="542">
        <f t="shared" si="2263"/>
        <v>0.84</v>
      </c>
      <c r="CZ335" s="538">
        <f t="shared" si="2264"/>
        <v>0</v>
      </c>
    </row>
    <row r="336" spans="1:104" s="112" customFormat="1" ht="37.5" x14ac:dyDescent="0.25">
      <c r="A336" s="100" t="str">
        <f>'BOCA DE LOBO'!C305</f>
        <v>BL76-&gt;PV7-76</v>
      </c>
      <c r="B336" s="100" t="str">
        <f>'BOCA DE LOBO'!A305</f>
        <v>PV7-76</v>
      </c>
      <c r="C336" s="100" t="str">
        <f>VLOOKUP(A336,'BOCA DE LOBO'!$C$229:$M$324,3,0)</f>
        <v>EXISTENTE</v>
      </c>
      <c r="D336" s="100" t="str">
        <f>VLOOKUP(A336,'BOCA DE LOBO'!$C$229:$M$324,10,0)</f>
        <v>AMPLIADA</v>
      </c>
      <c r="E336" s="100">
        <f t="shared" si="2268"/>
        <v>2.5</v>
      </c>
      <c r="F336" s="100">
        <f>VLOOKUP(A336,'BOCA DE LOBO'!$C$229:$D$324,2,0)</f>
        <v>2.7999999999999545</v>
      </c>
      <c r="G336" s="100">
        <f>VLOOKUP(A336,'BOCA DE LOBO'!$C$229:$F$324,4,0)</f>
        <v>4.7300000000000004</v>
      </c>
      <c r="H336" s="101">
        <v>400</v>
      </c>
      <c r="I336" s="102">
        <f t="shared" si="2269"/>
        <v>2.7799999999999772</v>
      </c>
      <c r="J336" s="102">
        <f t="shared" si="2270"/>
        <v>0</v>
      </c>
      <c r="K336" s="103">
        <v>0</v>
      </c>
      <c r="L336" s="104">
        <f t="shared" si="2271"/>
        <v>0</v>
      </c>
      <c r="M336" s="104">
        <f t="shared" si="2272"/>
        <v>0</v>
      </c>
      <c r="N336" s="104">
        <f t="shared" si="2273"/>
        <v>400</v>
      </c>
      <c r="O336" s="104">
        <f t="shared" si="2274"/>
        <v>0</v>
      </c>
      <c r="P336" s="105" t="s">
        <v>1999</v>
      </c>
      <c r="Q336" s="468" t="s">
        <v>2191</v>
      </c>
      <c r="R336" s="105"/>
      <c r="S336" s="105">
        <v>5</v>
      </c>
      <c r="T336" s="105">
        <v>5</v>
      </c>
      <c r="U336" s="104">
        <f t="shared" si="2275"/>
        <v>0.05</v>
      </c>
      <c r="V336" s="106">
        <f t="shared" si="2276"/>
        <v>0</v>
      </c>
      <c r="W336" s="106">
        <f t="shared" si="2248"/>
        <v>0</v>
      </c>
      <c r="X336" s="107">
        <f t="shared" si="2277"/>
        <v>0</v>
      </c>
      <c r="Y336" s="107">
        <f t="shared" si="2278"/>
        <v>0</v>
      </c>
      <c r="Z336" s="107">
        <f t="shared" si="2279"/>
        <v>2.7799999999999772</v>
      </c>
      <c r="AA336" s="107">
        <f t="shared" si="2280"/>
        <v>0</v>
      </c>
      <c r="AB336" s="108">
        <f t="shared" si="2281"/>
        <v>0</v>
      </c>
      <c r="AC336" s="109">
        <f t="shared" si="2282"/>
        <v>0</v>
      </c>
      <c r="AD336" s="109">
        <f t="shared" si="2283"/>
        <v>0</v>
      </c>
      <c r="AE336" s="109">
        <f t="shared" si="2284"/>
        <v>0</v>
      </c>
      <c r="AF336" s="109">
        <f t="shared" si="2285"/>
        <v>0</v>
      </c>
      <c r="AG336" s="109">
        <f t="shared" si="2286"/>
        <v>0</v>
      </c>
      <c r="AH336" s="109">
        <f t="shared" si="2287"/>
        <v>0</v>
      </c>
      <c r="AI336" s="537" t="str">
        <f t="shared" si="2288"/>
        <v>NÃO</v>
      </c>
      <c r="AJ336" s="104">
        <f t="shared" si="2289"/>
        <v>0</v>
      </c>
      <c r="AK336" s="104">
        <f t="shared" si="2290"/>
        <v>0</v>
      </c>
      <c r="AL336" s="104">
        <f t="shared" si="2291"/>
        <v>0</v>
      </c>
      <c r="AM336" s="102">
        <f t="shared" si="2292"/>
        <v>0</v>
      </c>
      <c r="AN336" s="106">
        <f t="shared" si="2293"/>
        <v>0</v>
      </c>
      <c r="AO336" s="104">
        <f t="shared" si="2294"/>
        <v>0</v>
      </c>
      <c r="AP336" s="104">
        <f t="shared" si="2295"/>
        <v>0</v>
      </c>
      <c r="AQ336" s="104">
        <f t="shared" si="2296"/>
        <v>0.7</v>
      </c>
      <c r="AR336" s="104">
        <f t="shared" si="2297"/>
        <v>0</v>
      </c>
      <c r="AS336" s="104">
        <f t="shared" si="2298"/>
        <v>0</v>
      </c>
      <c r="AT336" s="104">
        <f t="shared" si="2299"/>
        <v>0</v>
      </c>
      <c r="AU336" s="104">
        <f t="shared" si="2300"/>
        <v>0</v>
      </c>
      <c r="AV336" s="104">
        <f t="shared" si="2301"/>
        <v>0</v>
      </c>
      <c r="AW336" s="104">
        <f t="shared" si="2302"/>
        <v>0</v>
      </c>
      <c r="AX336" s="104">
        <f t="shared" si="2303"/>
        <v>0</v>
      </c>
      <c r="AY336" s="104">
        <f t="shared" si="2304"/>
        <v>0</v>
      </c>
      <c r="AZ336" s="104">
        <f t="shared" si="2305"/>
        <v>0</v>
      </c>
      <c r="BA336" s="104">
        <f t="shared" si="2306"/>
        <v>0</v>
      </c>
      <c r="BB336" s="104">
        <f t="shared" si="2307"/>
        <v>0</v>
      </c>
      <c r="BC336" s="104"/>
      <c r="BD336" s="104">
        <f t="shared" si="2308"/>
        <v>0</v>
      </c>
      <c r="BE336" s="108">
        <f t="shared" si="2309"/>
        <v>0</v>
      </c>
      <c r="BF336" s="110">
        <f t="shared" si="2310"/>
        <v>0</v>
      </c>
      <c r="BG336" s="110">
        <f t="shared" si="2311"/>
        <v>0</v>
      </c>
      <c r="BH336" s="105" t="str">
        <f>VLOOKUP(A336,'BOCA DE LOBO'!$C$229:$I$324,7,0)</f>
        <v>BOCA DE LOBO DUPLA EXISTENTE COM BOCA DE LOBO SIMPLES PROJETADA</v>
      </c>
      <c r="BI336" s="104">
        <f t="shared" si="2312"/>
        <v>0</v>
      </c>
      <c r="BJ336" s="104">
        <f t="shared" si="2313"/>
        <v>0</v>
      </c>
      <c r="BK336" s="104">
        <f t="shared" si="2314"/>
        <v>1</v>
      </c>
      <c r="BL336" s="104">
        <f t="shared" si="2315"/>
        <v>0</v>
      </c>
      <c r="BM336" s="104">
        <f t="shared" si="2316"/>
        <v>0</v>
      </c>
      <c r="BN336" s="104">
        <f t="shared" si="2317"/>
        <v>0</v>
      </c>
      <c r="BO336" s="543">
        <f t="shared" si="2318"/>
        <v>0</v>
      </c>
      <c r="BP336" s="111"/>
      <c r="BQ336" s="108">
        <f t="shared" si="2319"/>
        <v>14.190000000000001</v>
      </c>
      <c r="BR336" s="108">
        <f t="shared" si="2320"/>
        <v>12.108799999999786</v>
      </c>
      <c r="BS336" s="108">
        <f t="shared" si="2321"/>
        <v>0</v>
      </c>
      <c r="BV336" s="538">
        <f t="shared" si="2250"/>
        <v>9.1559999999999988</v>
      </c>
      <c r="BW336" s="538">
        <f t="shared" si="2251"/>
        <v>3.6623999999999994</v>
      </c>
      <c r="BX336" s="538">
        <f t="shared" si="2252"/>
        <v>1.3923999999999999</v>
      </c>
      <c r="BY336" s="538">
        <f t="shared" si="2322"/>
        <v>2.5</v>
      </c>
      <c r="BZ336" s="538">
        <f t="shared" si="2323"/>
        <v>2.5</v>
      </c>
      <c r="CA336" s="538">
        <f t="shared" si="2324"/>
        <v>0</v>
      </c>
      <c r="CB336" s="538">
        <f t="shared" si="2325"/>
        <v>0</v>
      </c>
      <c r="CC336" s="538">
        <f t="shared" si="2326"/>
        <v>5.4935999999999989</v>
      </c>
      <c r="CD336" s="538">
        <f t="shared" si="2327"/>
        <v>3.6623999999999994</v>
      </c>
      <c r="CE336" s="538">
        <f t="shared" si="2328"/>
        <v>0</v>
      </c>
      <c r="CF336" s="538">
        <f t="shared" si="2329"/>
        <v>0</v>
      </c>
      <c r="CG336" s="538">
        <f t="shared" si="2330"/>
        <v>0</v>
      </c>
      <c r="CH336" s="538">
        <f t="shared" si="2331"/>
        <v>0</v>
      </c>
      <c r="CI336" s="104">
        <f t="shared" si="2253"/>
        <v>0.252</v>
      </c>
      <c r="CJ336" s="538">
        <f t="shared" si="2332"/>
        <v>5.4229999999999992</v>
      </c>
      <c r="CK336" s="538">
        <f t="shared" si="2333"/>
        <v>5.4229999999999992</v>
      </c>
      <c r="CL336" s="538">
        <f t="shared" si="2334"/>
        <v>0</v>
      </c>
      <c r="CM336" s="538">
        <f t="shared" si="2335"/>
        <v>0</v>
      </c>
      <c r="CN336" s="538">
        <f t="shared" si="2255"/>
        <v>1.68</v>
      </c>
      <c r="CO336" s="538">
        <f t="shared" si="2336"/>
        <v>2.5</v>
      </c>
      <c r="CP336" s="538">
        <f t="shared" si="2337"/>
        <v>5.04</v>
      </c>
      <c r="CQ336" s="538">
        <f t="shared" si="2338"/>
        <v>3.36</v>
      </c>
      <c r="CR336" s="539">
        <f t="shared" si="2256"/>
        <v>1.1000000000000001</v>
      </c>
      <c r="CS336" s="540">
        <f t="shared" si="2257"/>
        <v>5.1000000000000004E-2</v>
      </c>
      <c r="CT336" s="540">
        <f t="shared" si="2258"/>
        <v>0.15421000000000001</v>
      </c>
      <c r="CU336" s="541">
        <f t="shared" si="2259"/>
        <v>6.5</v>
      </c>
      <c r="CV336" s="538">
        <f t="shared" si="2260"/>
        <v>0.90203999999999995</v>
      </c>
      <c r="CW336" s="538">
        <f t="shared" si="2261"/>
        <v>15.764600000000002</v>
      </c>
      <c r="CX336" s="104">
        <f t="shared" si="2262"/>
        <v>1.68</v>
      </c>
      <c r="CY336" s="542">
        <f t="shared" si="2263"/>
        <v>0.84</v>
      </c>
      <c r="CZ336" s="538">
        <f t="shared" si="2264"/>
        <v>0</v>
      </c>
    </row>
    <row r="337" spans="1:104" s="112" customFormat="1" ht="25" x14ac:dyDescent="0.25">
      <c r="A337" s="100" t="str">
        <f>'BOCA DE LOBO'!C306</f>
        <v>BL77-&gt;PV8-76</v>
      </c>
      <c r="B337" s="100" t="str">
        <f>'BOCA DE LOBO'!A306</f>
        <v>PV8-76</v>
      </c>
      <c r="C337" s="100" t="str">
        <f>VLOOKUP(A337,'BOCA DE LOBO'!$C$229:$M$324,3,0)</f>
        <v>EXISTENTE</v>
      </c>
      <c r="D337" s="100" t="str">
        <f>VLOOKUP(A337,'BOCA DE LOBO'!$C$229:$M$324,10,0)</f>
        <v>PROJETADA</v>
      </c>
      <c r="E337" s="100">
        <f t="shared" si="2268"/>
        <v>2.1872000000000229</v>
      </c>
      <c r="F337" s="100">
        <f>VLOOKUP(A337,'BOCA DE LOBO'!$C$229:$D$324,2,0)</f>
        <v>2.6000000000000227</v>
      </c>
      <c r="G337" s="100">
        <f>VLOOKUP(A337,'BOCA DE LOBO'!$C$229:$F$324,4,0)</f>
        <v>10.32</v>
      </c>
      <c r="H337" s="101">
        <v>400</v>
      </c>
      <c r="I337" s="102">
        <f t="shared" si="2269"/>
        <v>2.5236000000000227</v>
      </c>
      <c r="J337" s="102">
        <f t="shared" si="2270"/>
        <v>1.3021776000000118</v>
      </c>
      <c r="K337" s="103">
        <v>0</v>
      </c>
      <c r="L337" s="104">
        <f t="shared" si="2271"/>
        <v>1</v>
      </c>
      <c r="M337" s="104">
        <f t="shared" si="2272"/>
        <v>1</v>
      </c>
      <c r="N337" s="104">
        <f t="shared" si="2273"/>
        <v>0</v>
      </c>
      <c r="O337" s="104">
        <f t="shared" si="2274"/>
        <v>10.32</v>
      </c>
      <c r="P337" s="105" t="s">
        <v>1999</v>
      </c>
      <c r="Q337" s="468" t="s">
        <v>2191</v>
      </c>
      <c r="R337" s="105"/>
      <c r="S337" s="105">
        <v>5</v>
      </c>
      <c r="T337" s="105">
        <v>5</v>
      </c>
      <c r="U337" s="104">
        <f t="shared" si="2275"/>
        <v>0.05</v>
      </c>
      <c r="V337" s="106">
        <f t="shared" si="2276"/>
        <v>0</v>
      </c>
      <c r="W337" s="106">
        <f t="shared" si="2248"/>
        <v>26.043552000000236</v>
      </c>
      <c r="X337" s="107">
        <f t="shared" si="2277"/>
        <v>0</v>
      </c>
      <c r="Y337" s="107">
        <f t="shared" si="2278"/>
        <v>0</v>
      </c>
      <c r="Z337" s="107">
        <f t="shared" si="2279"/>
        <v>2.5236000000000227</v>
      </c>
      <c r="AA337" s="107">
        <f t="shared" si="2280"/>
        <v>0</v>
      </c>
      <c r="AB337" s="108">
        <f t="shared" si="2281"/>
        <v>10.32</v>
      </c>
      <c r="AC337" s="109">
        <f t="shared" si="2282"/>
        <v>0</v>
      </c>
      <c r="AD337" s="109">
        <f t="shared" si="2283"/>
        <v>0</v>
      </c>
      <c r="AE337" s="109">
        <f t="shared" si="2284"/>
        <v>0</v>
      </c>
      <c r="AF337" s="109">
        <f t="shared" si="2285"/>
        <v>15.48</v>
      </c>
      <c r="AG337" s="109">
        <f t="shared" si="2286"/>
        <v>10.563552000000234</v>
      </c>
      <c r="AH337" s="109">
        <f t="shared" si="2287"/>
        <v>0</v>
      </c>
      <c r="AI337" s="537" t="str">
        <f t="shared" si="2288"/>
        <v>NÃO</v>
      </c>
      <c r="AJ337" s="104">
        <f t="shared" si="2289"/>
        <v>0</v>
      </c>
      <c r="AK337" s="104">
        <f t="shared" si="2290"/>
        <v>0</v>
      </c>
      <c r="AL337" s="104">
        <f t="shared" si="2291"/>
        <v>24.746702552598368</v>
      </c>
      <c r="AM337" s="102">
        <f t="shared" si="2292"/>
        <v>0.51600000000000001</v>
      </c>
      <c r="AN337" s="106">
        <f t="shared" si="2293"/>
        <v>0</v>
      </c>
      <c r="AO337" s="104">
        <f t="shared" si="2294"/>
        <v>0</v>
      </c>
      <c r="AP337" s="104">
        <f t="shared" si="2295"/>
        <v>0</v>
      </c>
      <c r="AQ337" s="104">
        <f t="shared" si="2296"/>
        <v>0.7</v>
      </c>
      <c r="AR337" s="104">
        <f t="shared" si="2297"/>
        <v>5.9271505525981327</v>
      </c>
      <c r="AS337" s="104">
        <f t="shared" si="2298"/>
        <v>0</v>
      </c>
      <c r="AT337" s="104">
        <f t="shared" si="2299"/>
        <v>1.548</v>
      </c>
      <c r="AU337" s="104">
        <f t="shared" si="2300"/>
        <v>1.548</v>
      </c>
      <c r="AV337" s="104">
        <f t="shared" si="2301"/>
        <v>0.30959999999999999</v>
      </c>
      <c r="AW337" s="104">
        <f t="shared" si="2302"/>
        <v>15.207552000000231</v>
      </c>
      <c r="AX337" s="104">
        <f t="shared" si="2303"/>
        <v>18.568401447402099</v>
      </c>
      <c r="AY337" s="104">
        <f t="shared" si="2304"/>
        <v>15.207552000000231</v>
      </c>
      <c r="AZ337" s="104">
        <f t="shared" si="2305"/>
        <v>0</v>
      </c>
      <c r="BA337" s="104">
        <f t="shared" si="2306"/>
        <v>0</v>
      </c>
      <c r="BB337" s="104">
        <f t="shared" si="2307"/>
        <v>0</v>
      </c>
      <c r="BC337" s="104"/>
      <c r="BD337" s="104">
        <f t="shared" si="2308"/>
        <v>6.1920000000000003E-2</v>
      </c>
      <c r="BE337" s="108">
        <f t="shared" si="2309"/>
        <v>2.5236000000000227</v>
      </c>
      <c r="BF337" s="110">
        <f t="shared" si="2310"/>
        <v>0</v>
      </c>
      <c r="BG337" s="110">
        <f t="shared" si="2311"/>
        <v>10.32</v>
      </c>
      <c r="BH337" s="105" t="str">
        <f>VLOOKUP(A337,'BOCA DE LOBO'!$C$229:$I$324,7,0)</f>
        <v>BOCA DE LOBO PROJETADA DUPLA</v>
      </c>
      <c r="BI337" s="104">
        <f t="shared" si="2312"/>
        <v>0</v>
      </c>
      <c r="BJ337" s="104">
        <f t="shared" si="2313"/>
        <v>0</v>
      </c>
      <c r="BK337" s="104">
        <f t="shared" si="2314"/>
        <v>0</v>
      </c>
      <c r="BL337" s="104">
        <f t="shared" si="2315"/>
        <v>0</v>
      </c>
      <c r="BM337" s="104">
        <f t="shared" si="2316"/>
        <v>0</v>
      </c>
      <c r="BN337" s="104">
        <f t="shared" si="2317"/>
        <v>1</v>
      </c>
      <c r="BO337" s="543">
        <f t="shared" si="2318"/>
        <v>0</v>
      </c>
      <c r="BP337" s="111"/>
      <c r="BQ337" s="108">
        <f t="shared" si="2319"/>
        <v>30.96</v>
      </c>
      <c r="BR337" s="108">
        <f t="shared" si="2320"/>
        <v>21.127104000000468</v>
      </c>
      <c r="BS337" s="108">
        <f t="shared" si="2321"/>
        <v>0</v>
      </c>
      <c r="BV337" s="538">
        <f t="shared" si="2250"/>
        <v>17.022102720000174</v>
      </c>
      <c r="BW337" s="538">
        <f t="shared" si="2251"/>
        <v>7.7825999999999986</v>
      </c>
      <c r="BX337" s="538">
        <f t="shared" si="2252"/>
        <v>3.0325999999999995</v>
      </c>
      <c r="BY337" s="538">
        <f t="shared" si="2322"/>
        <v>2.1872000000000229</v>
      </c>
      <c r="BZ337" s="538">
        <f t="shared" si="2323"/>
        <v>2.1872000000000229</v>
      </c>
      <c r="CA337" s="538">
        <f t="shared" si="2324"/>
        <v>0</v>
      </c>
      <c r="CB337" s="538">
        <f t="shared" si="2325"/>
        <v>0</v>
      </c>
      <c r="CC337" s="538">
        <f t="shared" si="2326"/>
        <v>11.673899999999998</v>
      </c>
      <c r="CD337" s="538">
        <f t="shared" si="2327"/>
        <v>5.3482027200001774</v>
      </c>
      <c r="CE337" s="538">
        <f t="shared" si="2328"/>
        <v>0</v>
      </c>
      <c r="CF337" s="538">
        <f t="shared" si="2329"/>
        <v>0</v>
      </c>
      <c r="CG337" s="538">
        <f t="shared" si="2330"/>
        <v>0</v>
      </c>
      <c r="CH337" s="538">
        <f t="shared" si="2331"/>
        <v>0</v>
      </c>
      <c r="CI337" s="104">
        <f t="shared" si="2253"/>
        <v>0.53549999999999998</v>
      </c>
      <c r="CJ337" s="538">
        <f t="shared" si="2332"/>
        <v>9.8537000000001065</v>
      </c>
      <c r="CK337" s="538">
        <f t="shared" si="2333"/>
        <v>9.8537000000001065</v>
      </c>
      <c r="CL337" s="538">
        <f t="shared" si="2334"/>
        <v>0</v>
      </c>
      <c r="CM337" s="538">
        <f t="shared" si="2335"/>
        <v>0</v>
      </c>
      <c r="CN337" s="538">
        <f t="shared" si="2255"/>
        <v>3.57</v>
      </c>
      <c r="CO337" s="538">
        <f t="shared" si="2336"/>
        <v>2.1872000000000229</v>
      </c>
      <c r="CP337" s="538">
        <f t="shared" si="2337"/>
        <v>10.709999999999999</v>
      </c>
      <c r="CQ337" s="538">
        <f t="shared" si="2338"/>
        <v>4.9066080000001637</v>
      </c>
      <c r="CR337" s="539">
        <f t="shared" si="2256"/>
        <v>0</v>
      </c>
      <c r="CS337" s="540">
        <f t="shared" si="2257"/>
        <v>0</v>
      </c>
      <c r="CT337" s="540">
        <f t="shared" si="2258"/>
        <v>0.33012999999999998</v>
      </c>
      <c r="CU337" s="541">
        <f t="shared" si="2259"/>
        <v>11.373440000000119</v>
      </c>
      <c r="CV337" s="538">
        <f t="shared" si="2260"/>
        <v>1.3432332000000069</v>
      </c>
      <c r="CW337" s="538">
        <f t="shared" si="2261"/>
        <v>20.845896000000174</v>
      </c>
      <c r="CX337" s="104">
        <f t="shared" si="2262"/>
        <v>3.57</v>
      </c>
      <c r="CY337" s="542">
        <f t="shared" si="2263"/>
        <v>1.7849999999999999</v>
      </c>
      <c r="CZ337" s="538">
        <f t="shared" si="2264"/>
        <v>2.4513847475961154E-2</v>
      </c>
    </row>
    <row r="338" spans="1:104" s="112" customFormat="1" ht="25" x14ac:dyDescent="0.25">
      <c r="A338" s="100" t="str">
        <f>'BOCA DE LOBO'!C307</f>
        <v>BL78-&gt;PV8-76</v>
      </c>
      <c r="B338" s="100" t="str">
        <f>'BOCA DE LOBO'!A307</f>
        <v>PV8-76</v>
      </c>
      <c r="C338" s="100" t="str">
        <f>VLOOKUP(A338,'BOCA DE LOBO'!$C$229:$M$324,3,0)</f>
        <v>EXISTENTE</v>
      </c>
      <c r="D338" s="100" t="str">
        <f>VLOOKUP(A338,'BOCA DE LOBO'!$C$229:$M$324,10,0)</f>
        <v>PROJETADA</v>
      </c>
      <c r="E338" s="100">
        <f t="shared" si="2268"/>
        <v>2.4572000000000229</v>
      </c>
      <c r="F338" s="100">
        <f>VLOOKUP(A338,'BOCA DE LOBO'!$C$229:$D$324,2,0)</f>
        <v>2.6000000000000227</v>
      </c>
      <c r="G338" s="100">
        <f>VLOOKUP(A338,'BOCA DE LOBO'!$C$229:$F$324,4,0)</f>
        <v>3.57</v>
      </c>
      <c r="H338" s="101">
        <v>400</v>
      </c>
      <c r="I338" s="102">
        <f t="shared" si="2269"/>
        <v>2.6586000000000229</v>
      </c>
      <c r="J338" s="102">
        <f t="shared" si="2270"/>
        <v>0.47456010000000404</v>
      </c>
      <c r="K338" s="103">
        <v>0</v>
      </c>
      <c r="L338" s="104">
        <f t="shared" si="2271"/>
        <v>1</v>
      </c>
      <c r="M338" s="104">
        <f t="shared" si="2272"/>
        <v>1</v>
      </c>
      <c r="N338" s="104">
        <f t="shared" si="2273"/>
        <v>0</v>
      </c>
      <c r="O338" s="104">
        <f t="shared" si="2274"/>
        <v>3.57</v>
      </c>
      <c r="P338" s="105" t="s">
        <v>1999</v>
      </c>
      <c r="Q338" s="468" t="s">
        <v>2191</v>
      </c>
      <c r="R338" s="105"/>
      <c r="S338" s="105">
        <v>5</v>
      </c>
      <c r="T338" s="105">
        <v>5</v>
      </c>
      <c r="U338" s="104">
        <f t="shared" si="2275"/>
        <v>0.05</v>
      </c>
      <c r="V338" s="106">
        <f t="shared" si="2276"/>
        <v>0</v>
      </c>
      <c r="W338" s="106">
        <f t="shared" si="2248"/>
        <v>9.4912020000000812</v>
      </c>
      <c r="X338" s="107">
        <f t="shared" si="2277"/>
        <v>0</v>
      </c>
      <c r="Y338" s="107">
        <f t="shared" si="2278"/>
        <v>0</v>
      </c>
      <c r="Z338" s="107">
        <f t="shared" si="2279"/>
        <v>2.6586000000000229</v>
      </c>
      <c r="AA338" s="107">
        <f t="shared" si="2280"/>
        <v>0</v>
      </c>
      <c r="AB338" s="108">
        <f t="shared" si="2281"/>
        <v>3.57</v>
      </c>
      <c r="AC338" s="109">
        <f t="shared" si="2282"/>
        <v>0</v>
      </c>
      <c r="AD338" s="109">
        <f t="shared" si="2283"/>
        <v>0</v>
      </c>
      <c r="AE338" s="109">
        <f t="shared" si="2284"/>
        <v>0</v>
      </c>
      <c r="AF338" s="109">
        <f t="shared" si="2285"/>
        <v>5.3549999999999995</v>
      </c>
      <c r="AG338" s="109">
        <f t="shared" si="2286"/>
        <v>4.1362020000000816</v>
      </c>
      <c r="AH338" s="109">
        <f t="shared" si="2287"/>
        <v>0</v>
      </c>
      <c r="AI338" s="537" t="str">
        <f t="shared" si="2288"/>
        <v>NÃO</v>
      </c>
      <c r="AJ338" s="104">
        <f t="shared" si="2289"/>
        <v>0</v>
      </c>
      <c r="AK338" s="104">
        <f t="shared" si="2290"/>
        <v>0</v>
      </c>
      <c r="AL338" s="104">
        <f t="shared" si="2291"/>
        <v>9.0425825690674593</v>
      </c>
      <c r="AM338" s="102">
        <f t="shared" si="2292"/>
        <v>0.17849999999999999</v>
      </c>
      <c r="AN338" s="106">
        <f t="shared" si="2293"/>
        <v>0</v>
      </c>
      <c r="AO338" s="104">
        <f t="shared" si="2294"/>
        <v>0</v>
      </c>
      <c r="AP338" s="104">
        <f t="shared" si="2295"/>
        <v>0</v>
      </c>
      <c r="AQ338" s="104">
        <f t="shared" si="2296"/>
        <v>0.7</v>
      </c>
      <c r="AR338" s="104">
        <f t="shared" si="2297"/>
        <v>2.0503805690673773</v>
      </c>
      <c r="AS338" s="104">
        <f t="shared" si="2298"/>
        <v>0</v>
      </c>
      <c r="AT338" s="104">
        <f t="shared" si="2299"/>
        <v>0.53549999999999998</v>
      </c>
      <c r="AU338" s="104">
        <f t="shared" si="2300"/>
        <v>0.53549999999999998</v>
      </c>
      <c r="AV338" s="104">
        <f t="shared" si="2301"/>
        <v>0.10709999999999999</v>
      </c>
      <c r="AW338" s="104">
        <f t="shared" si="2302"/>
        <v>5.7427020000000812</v>
      </c>
      <c r="AX338" s="104">
        <f t="shared" si="2303"/>
        <v>6.9053214309327036</v>
      </c>
      <c r="AY338" s="104">
        <f t="shared" si="2304"/>
        <v>5.7427020000000812</v>
      </c>
      <c r="AZ338" s="104">
        <f t="shared" si="2305"/>
        <v>0</v>
      </c>
      <c r="BA338" s="104">
        <f t="shared" si="2306"/>
        <v>0</v>
      </c>
      <c r="BB338" s="104">
        <f t="shared" si="2307"/>
        <v>0</v>
      </c>
      <c r="BC338" s="104"/>
      <c r="BD338" s="104">
        <f t="shared" si="2308"/>
        <v>2.1419999999999998E-2</v>
      </c>
      <c r="BE338" s="108">
        <f t="shared" si="2309"/>
        <v>2.6586000000000229</v>
      </c>
      <c r="BF338" s="110">
        <f t="shared" si="2310"/>
        <v>0</v>
      </c>
      <c r="BG338" s="110">
        <f t="shared" si="2311"/>
        <v>3.57</v>
      </c>
      <c r="BH338" s="105" t="str">
        <f>VLOOKUP(A338,'BOCA DE LOBO'!$C$229:$I$324,7,0)</f>
        <v>BOCA DE LOBO PROJETADA DUPLA</v>
      </c>
      <c r="BI338" s="104">
        <f t="shared" si="2312"/>
        <v>0</v>
      </c>
      <c r="BJ338" s="104">
        <f t="shared" si="2313"/>
        <v>0</v>
      </c>
      <c r="BK338" s="104">
        <f t="shared" si="2314"/>
        <v>0</v>
      </c>
      <c r="BL338" s="104">
        <f t="shared" si="2315"/>
        <v>0</v>
      </c>
      <c r="BM338" s="104">
        <f t="shared" si="2316"/>
        <v>0</v>
      </c>
      <c r="BN338" s="104">
        <f t="shared" si="2317"/>
        <v>1</v>
      </c>
      <c r="BO338" s="543">
        <f t="shared" si="2318"/>
        <v>0</v>
      </c>
      <c r="BP338" s="111"/>
      <c r="BQ338" s="108">
        <f t="shared" si="2319"/>
        <v>10.709999999999999</v>
      </c>
      <c r="BR338" s="108">
        <f t="shared" si="2320"/>
        <v>8.2724040000001633</v>
      </c>
      <c r="BS338" s="108">
        <f t="shared" si="2321"/>
        <v>0</v>
      </c>
      <c r="BV338" s="538">
        <f t="shared" si="2250"/>
        <v>19.123404720000174</v>
      </c>
      <c r="BW338" s="538">
        <f t="shared" si="2251"/>
        <v>7.7825999999999986</v>
      </c>
      <c r="BX338" s="538">
        <f t="shared" si="2252"/>
        <v>3.0325999999999995</v>
      </c>
      <c r="BY338" s="538">
        <f t="shared" si="2322"/>
        <v>2.4572000000000229</v>
      </c>
      <c r="BZ338" s="538">
        <f t="shared" si="2323"/>
        <v>2.4572000000000229</v>
      </c>
      <c r="CA338" s="538">
        <f t="shared" si="2324"/>
        <v>0</v>
      </c>
      <c r="CB338" s="538">
        <f t="shared" si="2325"/>
        <v>0</v>
      </c>
      <c r="CC338" s="538">
        <f t="shared" si="2326"/>
        <v>11.673899999999998</v>
      </c>
      <c r="CD338" s="538">
        <f t="shared" si="2327"/>
        <v>7.4495047200001769</v>
      </c>
      <c r="CE338" s="538">
        <f t="shared" si="2328"/>
        <v>0</v>
      </c>
      <c r="CF338" s="538">
        <f t="shared" si="2329"/>
        <v>0</v>
      </c>
      <c r="CG338" s="538">
        <f t="shared" si="2330"/>
        <v>0</v>
      </c>
      <c r="CH338" s="538">
        <f t="shared" si="2331"/>
        <v>0</v>
      </c>
      <c r="CI338" s="104">
        <f t="shared" si="2253"/>
        <v>0.53549999999999998</v>
      </c>
      <c r="CJ338" s="538">
        <f t="shared" si="2332"/>
        <v>11.136200000000105</v>
      </c>
      <c r="CK338" s="538">
        <f t="shared" si="2333"/>
        <v>11.136200000000105</v>
      </c>
      <c r="CL338" s="538">
        <f t="shared" si="2334"/>
        <v>0</v>
      </c>
      <c r="CM338" s="538">
        <f t="shared" si="2335"/>
        <v>0</v>
      </c>
      <c r="CN338" s="538">
        <f t="shared" si="2255"/>
        <v>3.57</v>
      </c>
      <c r="CO338" s="538">
        <f t="shared" si="2336"/>
        <v>2.4572000000000229</v>
      </c>
      <c r="CP338" s="538">
        <f t="shared" si="2337"/>
        <v>10.709999999999999</v>
      </c>
      <c r="CQ338" s="538">
        <f t="shared" si="2338"/>
        <v>6.8344080000001632</v>
      </c>
      <c r="CR338" s="539">
        <f t="shared" si="2256"/>
        <v>0</v>
      </c>
      <c r="CS338" s="540">
        <f t="shared" si="2257"/>
        <v>0</v>
      </c>
      <c r="CT338" s="540">
        <f t="shared" si="2258"/>
        <v>0.33012999999999998</v>
      </c>
      <c r="CU338" s="541">
        <f t="shared" si="2259"/>
        <v>12.777440000000119</v>
      </c>
      <c r="CV338" s="538">
        <f t="shared" si="2260"/>
        <v>1.4258532000000068</v>
      </c>
      <c r="CW338" s="538">
        <f t="shared" si="2261"/>
        <v>22.919496000000173</v>
      </c>
      <c r="CX338" s="104">
        <f t="shared" si="2262"/>
        <v>3.57</v>
      </c>
      <c r="CY338" s="542">
        <f t="shared" si="2263"/>
        <v>1.7849999999999999</v>
      </c>
      <c r="CZ338" s="538">
        <f t="shared" si="2264"/>
        <v>2.4513847475961154E-2</v>
      </c>
    </row>
    <row r="339" spans="1:104" s="112" customFormat="1" ht="25" x14ac:dyDescent="0.25">
      <c r="A339" s="100" t="str">
        <f>'BOCA DE LOBO'!C308</f>
        <v>BL79-&gt;PV9-76</v>
      </c>
      <c r="B339" s="100" t="str">
        <f>'BOCA DE LOBO'!A308</f>
        <v>PV9-76</v>
      </c>
      <c r="C339" s="100" t="str">
        <f>VLOOKUP(A339,'BOCA DE LOBO'!$C$229:$M$324,3,0)</f>
        <v>EXISTENTE</v>
      </c>
      <c r="D339" s="100" t="str">
        <f>VLOOKUP(A339,'BOCA DE LOBO'!$C$229:$M$324,10,0)</f>
        <v>EXISTENTE</v>
      </c>
      <c r="E339" s="100">
        <f t="shared" si="2268"/>
        <v>1.9192000000000455</v>
      </c>
      <c r="F339" s="100">
        <f>VLOOKUP(A339,'BOCA DE LOBO'!$C$229:$D$324,2,0)</f>
        <v>2.2000000000000455</v>
      </c>
      <c r="G339" s="100">
        <f>VLOOKUP(A339,'BOCA DE LOBO'!$C$229:$F$324,4,0)</f>
        <v>7.02</v>
      </c>
      <c r="H339" s="101">
        <v>400</v>
      </c>
      <c r="I339" s="102">
        <f t="shared" si="2269"/>
        <v>2.1896000000000453</v>
      </c>
      <c r="J339" s="102">
        <f t="shared" si="2270"/>
        <v>0</v>
      </c>
      <c r="K339" s="103">
        <v>0</v>
      </c>
      <c r="L339" s="104">
        <f t="shared" si="2271"/>
        <v>0</v>
      </c>
      <c r="M339" s="104">
        <f t="shared" si="2272"/>
        <v>0</v>
      </c>
      <c r="N339" s="104">
        <f t="shared" si="2273"/>
        <v>400</v>
      </c>
      <c r="O339" s="104">
        <f t="shared" si="2274"/>
        <v>0</v>
      </c>
      <c r="P339" s="105" t="s">
        <v>1999</v>
      </c>
      <c r="Q339" s="468" t="s">
        <v>2192</v>
      </c>
      <c r="R339" s="105"/>
      <c r="S339" s="105">
        <v>5</v>
      </c>
      <c r="T339" s="105">
        <v>5</v>
      </c>
      <c r="U339" s="104">
        <f t="shared" si="2275"/>
        <v>0.05</v>
      </c>
      <c r="V339" s="106">
        <f t="shared" si="2276"/>
        <v>0</v>
      </c>
      <c r="W339" s="106">
        <f t="shared" si="2248"/>
        <v>0</v>
      </c>
      <c r="X339" s="107">
        <f t="shared" si="2277"/>
        <v>0</v>
      </c>
      <c r="Y339" s="107">
        <f t="shared" si="2278"/>
        <v>0</v>
      </c>
      <c r="Z339" s="107">
        <f t="shared" si="2279"/>
        <v>2.1896000000000453</v>
      </c>
      <c r="AA339" s="107">
        <f t="shared" si="2280"/>
        <v>0</v>
      </c>
      <c r="AB339" s="108">
        <f t="shared" si="2281"/>
        <v>0</v>
      </c>
      <c r="AC339" s="109">
        <f t="shared" si="2282"/>
        <v>0</v>
      </c>
      <c r="AD339" s="109">
        <f t="shared" si="2283"/>
        <v>0</v>
      </c>
      <c r="AE339" s="109">
        <f t="shared" si="2284"/>
        <v>0</v>
      </c>
      <c r="AF339" s="109">
        <f t="shared" si="2285"/>
        <v>0</v>
      </c>
      <c r="AG339" s="109">
        <f t="shared" si="2286"/>
        <v>0</v>
      </c>
      <c r="AH339" s="109">
        <f t="shared" si="2287"/>
        <v>0</v>
      </c>
      <c r="AI339" s="537" t="str">
        <f t="shared" si="2288"/>
        <v>NÃO</v>
      </c>
      <c r="AJ339" s="104">
        <f t="shared" si="2289"/>
        <v>0</v>
      </c>
      <c r="AK339" s="104">
        <f t="shared" si="2290"/>
        <v>0</v>
      </c>
      <c r="AL339" s="104">
        <f t="shared" si="2291"/>
        <v>0</v>
      </c>
      <c r="AM339" s="102">
        <f t="shared" si="2292"/>
        <v>0</v>
      </c>
      <c r="AN339" s="106">
        <f t="shared" si="2293"/>
        <v>0</v>
      </c>
      <c r="AO339" s="104">
        <f t="shared" si="2294"/>
        <v>0</v>
      </c>
      <c r="AP339" s="104">
        <f t="shared" si="2295"/>
        <v>0</v>
      </c>
      <c r="AQ339" s="104">
        <f t="shared" si="2296"/>
        <v>0.7</v>
      </c>
      <c r="AR339" s="104">
        <f t="shared" si="2297"/>
        <v>0</v>
      </c>
      <c r="AS339" s="104">
        <f t="shared" si="2298"/>
        <v>0</v>
      </c>
      <c r="AT339" s="104">
        <f t="shared" si="2299"/>
        <v>0</v>
      </c>
      <c r="AU339" s="104">
        <f t="shared" si="2300"/>
        <v>0</v>
      </c>
      <c r="AV339" s="104">
        <f t="shared" si="2301"/>
        <v>0</v>
      </c>
      <c r="AW339" s="104">
        <f t="shared" si="2302"/>
        <v>0</v>
      </c>
      <c r="AX339" s="104">
        <f t="shared" si="2303"/>
        <v>0</v>
      </c>
      <c r="AY339" s="104">
        <f t="shared" si="2304"/>
        <v>0</v>
      </c>
      <c r="AZ339" s="104">
        <f t="shared" si="2305"/>
        <v>0</v>
      </c>
      <c r="BA339" s="104">
        <f t="shared" si="2306"/>
        <v>0</v>
      </c>
      <c r="BB339" s="104">
        <f t="shared" si="2307"/>
        <v>0</v>
      </c>
      <c r="BC339" s="104"/>
      <c r="BD339" s="104">
        <f t="shared" si="2308"/>
        <v>0</v>
      </c>
      <c r="BE339" s="108">
        <f t="shared" si="2309"/>
        <v>0</v>
      </c>
      <c r="BF339" s="110">
        <f t="shared" si="2310"/>
        <v>0</v>
      </c>
      <c r="BG339" s="110">
        <f t="shared" si="2311"/>
        <v>0</v>
      </c>
      <c r="BH339" s="105" t="str">
        <f>VLOOKUP(A339,'BOCA DE LOBO'!$C$229:$I$324,7,0)</f>
        <v>BOCA DE LOBO EXISTENTE DUPLA</v>
      </c>
      <c r="BI339" s="104">
        <f t="shared" si="2312"/>
        <v>0</v>
      </c>
      <c r="BJ339" s="104">
        <f t="shared" si="2313"/>
        <v>0</v>
      </c>
      <c r="BK339" s="104">
        <f t="shared" si="2314"/>
        <v>0</v>
      </c>
      <c r="BL339" s="104">
        <f t="shared" si="2315"/>
        <v>0</v>
      </c>
      <c r="BM339" s="104">
        <f t="shared" si="2316"/>
        <v>0</v>
      </c>
      <c r="BN339" s="104">
        <f t="shared" si="2317"/>
        <v>0</v>
      </c>
      <c r="BO339" s="543">
        <f t="shared" si="2318"/>
        <v>0</v>
      </c>
      <c r="BP339" s="111"/>
      <c r="BQ339" s="108">
        <f t="shared" si="2319"/>
        <v>21.06</v>
      </c>
      <c r="BR339" s="108">
        <f t="shared" si="2320"/>
        <v>9.6819840000006359</v>
      </c>
      <c r="BS339" s="108">
        <f t="shared" si="2321"/>
        <v>0</v>
      </c>
      <c r="BV339" s="538">
        <f t="shared" si="2250"/>
        <v>0</v>
      </c>
      <c r="BW339" s="538">
        <f t="shared" si="2251"/>
        <v>0</v>
      </c>
      <c r="BX339" s="538">
        <f t="shared" si="2252"/>
        <v>0</v>
      </c>
      <c r="BY339" s="538">
        <f t="shared" si="2322"/>
        <v>1.9192000000000455</v>
      </c>
      <c r="BZ339" s="538">
        <f t="shared" si="2323"/>
        <v>1.9192000000000455</v>
      </c>
      <c r="CA339" s="538">
        <f t="shared" si="2324"/>
        <v>0</v>
      </c>
      <c r="CB339" s="538">
        <f t="shared" si="2325"/>
        <v>0</v>
      </c>
      <c r="CC339" s="538">
        <f t="shared" si="2326"/>
        <v>0</v>
      </c>
      <c r="CD339" s="538">
        <f t="shared" si="2327"/>
        <v>0</v>
      </c>
      <c r="CE339" s="538">
        <f t="shared" si="2328"/>
        <v>0</v>
      </c>
      <c r="CF339" s="538">
        <f t="shared" si="2329"/>
        <v>0</v>
      </c>
      <c r="CG339" s="538">
        <f t="shared" si="2330"/>
        <v>0</v>
      </c>
      <c r="CH339" s="538">
        <f t="shared" si="2331"/>
        <v>0</v>
      </c>
      <c r="CI339" s="104">
        <f t="shared" si="2253"/>
        <v>0</v>
      </c>
      <c r="CJ339" s="538">
        <f t="shared" si="2332"/>
        <v>0</v>
      </c>
      <c r="CK339" s="538">
        <f t="shared" si="2333"/>
        <v>0</v>
      </c>
      <c r="CL339" s="538">
        <f t="shared" si="2334"/>
        <v>0</v>
      </c>
      <c r="CM339" s="538">
        <f t="shared" si="2335"/>
        <v>0</v>
      </c>
      <c r="CN339" s="538">
        <f t="shared" si="2255"/>
        <v>0</v>
      </c>
      <c r="CO339" s="538">
        <f t="shared" si="2336"/>
        <v>1.9192000000000455</v>
      </c>
      <c r="CP339" s="538">
        <f t="shared" si="2337"/>
        <v>0</v>
      </c>
      <c r="CQ339" s="538">
        <f t="shared" si="2338"/>
        <v>0</v>
      </c>
      <c r="CR339" s="539">
        <f t="shared" si="2256"/>
        <v>0</v>
      </c>
      <c r="CS339" s="540">
        <f t="shared" si="2257"/>
        <v>0</v>
      </c>
      <c r="CT339" s="540">
        <f t="shared" si="2258"/>
        <v>0</v>
      </c>
      <c r="CU339" s="541">
        <f t="shared" si="2259"/>
        <v>0</v>
      </c>
      <c r="CV339" s="538">
        <f t="shared" si="2260"/>
        <v>0</v>
      </c>
      <c r="CW339" s="538">
        <f t="shared" si="2261"/>
        <v>0</v>
      </c>
      <c r="CX339" s="104">
        <f t="shared" si="2262"/>
        <v>0</v>
      </c>
      <c r="CY339" s="542">
        <f t="shared" si="2263"/>
        <v>0</v>
      </c>
      <c r="CZ339" s="538">
        <f t="shared" si="2264"/>
        <v>0</v>
      </c>
    </row>
    <row r="340" spans="1:104" s="112" customFormat="1" ht="25" x14ac:dyDescent="0.25">
      <c r="A340" s="100" t="str">
        <f>'BOCA DE LOBO'!C309</f>
        <v>BL80-&gt;PV9-76</v>
      </c>
      <c r="B340" s="100" t="str">
        <f>'BOCA DE LOBO'!A309</f>
        <v>PV9-76</v>
      </c>
      <c r="C340" s="100" t="str">
        <f>VLOOKUP(A340,'BOCA DE LOBO'!$C$229:$M$324,3,0)</f>
        <v>EXISTENTE</v>
      </c>
      <c r="D340" s="100" t="str">
        <f>VLOOKUP(A340,'BOCA DE LOBO'!$C$229:$M$324,10,0)</f>
        <v>PROJETADA</v>
      </c>
      <c r="E340" s="100">
        <f t="shared" si="2268"/>
        <v>1.9068000000000453</v>
      </c>
      <c r="F340" s="100">
        <f>VLOOKUP(A340,'BOCA DE LOBO'!$C$229:$D$324,2,0)</f>
        <v>2.2000000000000455</v>
      </c>
      <c r="G340" s="100">
        <f>VLOOKUP(A340,'BOCA DE LOBO'!$C$229:$F$324,4,0)</f>
        <v>7.33</v>
      </c>
      <c r="H340" s="101">
        <v>400</v>
      </c>
      <c r="I340" s="102">
        <f t="shared" si="2269"/>
        <v>2.1834000000000451</v>
      </c>
      <c r="J340" s="102">
        <f t="shared" si="2270"/>
        <v>0.80021610000001664</v>
      </c>
      <c r="K340" s="103">
        <v>0</v>
      </c>
      <c r="L340" s="104">
        <f t="shared" si="2271"/>
        <v>1</v>
      </c>
      <c r="M340" s="104">
        <f t="shared" si="2272"/>
        <v>1</v>
      </c>
      <c r="N340" s="104">
        <f t="shared" si="2273"/>
        <v>0</v>
      </c>
      <c r="O340" s="104">
        <f t="shared" si="2274"/>
        <v>7.33</v>
      </c>
      <c r="P340" s="105" t="s">
        <v>1999</v>
      </c>
      <c r="Q340" s="468" t="s">
        <v>2192</v>
      </c>
      <c r="R340" s="105"/>
      <c r="S340" s="105">
        <v>5</v>
      </c>
      <c r="T340" s="105">
        <v>5</v>
      </c>
      <c r="U340" s="104">
        <f t="shared" si="2275"/>
        <v>0.05</v>
      </c>
      <c r="V340" s="106">
        <f t="shared" si="2276"/>
        <v>0</v>
      </c>
      <c r="W340" s="106">
        <f t="shared" si="2248"/>
        <v>16.004322000000332</v>
      </c>
      <c r="X340" s="107">
        <f t="shared" si="2277"/>
        <v>0</v>
      </c>
      <c r="Y340" s="107">
        <f t="shared" si="2278"/>
        <v>0</v>
      </c>
      <c r="Z340" s="107">
        <f t="shared" si="2279"/>
        <v>2.1834000000000451</v>
      </c>
      <c r="AA340" s="107">
        <f t="shared" si="2280"/>
        <v>0</v>
      </c>
      <c r="AB340" s="108">
        <f t="shared" si="2281"/>
        <v>7.33</v>
      </c>
      <c r="AC340" s="109">
        <f t="shared" si="2282"/>
        <v>0</v>
      </c>
      <c r="AD340" s="109">
        <f t="shared" si="2283"/>
        <v>0</v>
      </c>
      <c r="AE340" s="109">
        <f t="shared" si="2284"/>
        <v>0</v>
      </c>
      <c r="AF340" s="109">
        <f t="shared" si="2285"/>
        <v>10.995000000000001</v>
      </c>
      <c r="AG340" s="109">
        <f t="shared" si="2286"/>
        <v>5.0093220000003305</v>
      </c>
      <c r="AH340" s="109">
        <f t="shared" si="2287"/>
        <v>0</v>
      </c>
      <c r="AI340" s="537" t="str">
        <f t="shared" si="2288"/>
        <v>NÃO</v>
      </c>
      <c r="AJ340" s="104">
        <f t="shared" si="2289"/>
        <v>0</v>
      </c>
      <c r="AK340" s="104">
        <f t="shared" si="2290"/>
        <v>0</v>
      </c>
      <c r="AL340" s="104">
        <f t="shared" si="2291"/>
        <v>15.083207033967804</v>
      </c>
      <c r="AM340" s="102">
        <f t="shared" si="2292"/>
        <v>0.36650000000000005</v>
      </c>
      <c r="AN340" s="106">
        <f t="shared" si="2293"/>
        <v>0</v>
      </c>
      <c r="AO340" s="104">
        <f t="shared" si="2294"/>
        <v>0</v>
      </c>
      <c r="AP340" s="104">
        <f t="shared" si="2295"/>
        <v>0</v>
      </c>
      <c r="AQ340" s="104">
        <f t="shared" si="2296"/>
        <v>0.7</v>
      </c>
      <c r="AR340" s="104">
        <f t="shared" si="2297"/>
        <v>4.2098850339674723</v>
      </c>
      <c r="AS340" s="104">
        <f t="shared" si="2298"/>
        <v>0</v>
      </c>
      <c r="AT340" s="104">
        <f t="shared" si="2299"/>
        <v>1.0994999999999999</v>
      </c>
      <c r="AU340" s="104">
        <f t="shared" si="2300"/>
        <v>1.0994999999999999</v>
      </c>
      <c r="AV340" s="104">
        <f t="shared" si="2301"/>
        <v>0.21989999999999998</v>
      </c>
      <c r="AW340" s="104">
        <f t="shared" si="2302"/>
        <v>8.3078220000003338</v>
      </c>
      <c r="AX340" s="104">
        <f t="shared" si="2303"/>
        <v>10.694936966032861</v>
      </c>
      <c r="AY340" s="104">
        <f t="shared" si="2304"/>
        <v>8.3078220000003338</v>
      </c>
      <c r="AZ340" s="104">
        <f t="shared" si="2305"/>
        <v>0</v>
      </c>
      <c r="BA340" s="104">
        <f t="shared" si="2306"/>
        <v>0</v>
      </c>
      <c r="BB340" s="104">
        <f t="shared" si="2307"/>
        <v>0</v>
      </c>
      <c r="BC340" s="104"/>
      <c r="BD340" s="104">
        <f t="shared" si="2308"/>
        <v>4.3979999999999998E-2</v>
      </c>
      <c r="BE340" s="108">
        <f t="shared" si="2309"/>
        <v>2.1834000000000451</v>
      </c>
      <c r="BF340" s="110">
        <f t="shared" si="2310"/>
        <v>0</v>
      </c>
      <c r="BG340" s="110">
        <f t="shared" si="2311"/>
        <v>7.33</v>
      </c>
      <c r="BH340" s="105" t="str">
        <f>VLOOKUP(A340,'BOCA DE LOBO'!$C$229:$I$324,7,0)</f>
        <v>BOCA DE LOBO PROJETADA DUPLA</v>
      </c>
      <c r="BI340" s="104">
        <f t="shared" si="2312"/>
        <v>0</v>
      </c>
      <c r="BJ340" s="104">
        <f t="shared" si="2313"/>
        <v>0</v>
      </c>
      <c r="BK340" s="104">
        <f t="shared" si="2314"/>
        <v>0</v>
      </c>
      <c r="BL340" s="104">
        <f t="shared" si="2315"/>
        <v>0</v>
      </c>
      <c r="BM340" s="104">
        <f t="shared" si="2316"/>
        <v>0</v>
      </c>
      <c r="BN340" s="104">
        <f t="shared" si="2317"/>
        <v>1</v>
      </c>
      <c r="BO340" s="543">
        <f t="shared" si="2318"/>
        <v>0</v>
      </c>
      <c r="BP340" s="111"/>
      <c r="BQ340" s="108">
        <f t="shared" si="2319"/>
        <v>21.990000000000002</v>
      </c>
      <c r="BR340" s="108">
        <f t="shared" si="2320"/>
        <v>10.018644000000661</v>
      </c>
      <c r="BS340" s="108">
        <f t="shared" si="2321"/>
        <v>0</v>
      </c>
      <c r="BV340" s="538">
        <f t="shared" si="2250"/>
        <v>14.83986168000035</v>
      </c>
      <c r="BW340" s="538">
        <f t="shared" si="2251"/>
        <v>7.7825999999999986</v>
      </c>
      <c r="BX340" s="538">
        <f t="shared" si="2252"/>
        <v>3.0325999999999995</v>
      </c>
      <c r="BY340" s="538">
        <f t="shared" si="2322"/>
        <v>1.9068000000000453</v>
      </c>
      <c r="BZ340" s="538">
        <f t="shared" si="2323"/>
        <v>1.9068000000000453</v>
      </c>
      <c r="CA340" s="538">
        <f t="shared" si="2324"/>
        <v>0</v>
      </c>
      <c r="CB340" s="538">
        <f t="shared" si="2325"/>
        <v>0</v>
      </c>
      <c r="CC340" s="538">
        <f t="shared" si="2326"/>
        <v>11.673899999999998</v>
      </c>
      <c r="CD340" s="538">
        <f t="shared" si="2327"/>
        <v>3.1659616800003523</v>
      </c>
      <c r="CE340" s="538">
        <f t="shared" si="2328"/>
        <v>0</v>
      </c>
      <c r="CF340" s="538">
        <f t="shared" si="2329"/>
        <v>0</v>
      </c>
      <c r="CG340" s="538">
        <f t="shared" si="2330"/>
        <v>0</v>
      </c>
      <c r="CH340" s="538">
        <f t="shared" si="2331"/>
        <v>0</v>
      </c>
      <c r="CI340" s="104">
        <f t="shared" si="2253"/>
        <v>0.53549999999999998</v>
      </c>
      <c r="CJ340" s="538">
        <f t="shared" si="2332"/>
        <v>8.5218000000002121</v>
      </c>
      <c r="CK340" s="538">
        <f t="shared" si="2333"/>
        <v>8.5218000000002121</v>
      </c>
      <c r="CL340" s="538">
        <f t="shared" si="2334"/>
        <v>0</v>
      </c>
      <c r="CM340" s="538">
        <f t="shared" si="2335"/>
        <v>0</v>
      </c>
      <c r="CN340" s="538">
        <f t="shared" si="2255"/>
        <v>3.57</v>
      </c>
      <c r="CO340" s="538">
        <f t="shared" si="2336"/>
        <v>1.9068000000000453</v>
      </c>
      <c r="CP340" s="538">
        <f t="shared" si="2337"/>
        <v>10.709999999999999</v>
      </c>
      <c r="CQ340" s="538">
        <f t="shared" si="2338"/>
        <v>2.9045520000003235</v>
      </c>
      <c r="CR340" s="539">
        <f t="shared" si="2256"/>
        <v>0</v>
      </c>
      <c r="CS340" s="540">
        <f t="shared" si="2257"/>
        <v>0</v>
      </c>
      <c r="CT340" s="540">
        <f t="shared" si="2258"/>
        <v>0.33012999999999998</v>
      </c>
      <c r="CU340" s="541">
        <f t="shared" si="2259"/>
        <v>9.915360000000236</v>
      </c>
      <c r="CV340" s="538">
        <f t="shared" si="2260"/>
        <v>1.2574308000000138</v>
      </c>
      <c r="CW340" s="538">
        <f t="shared" si="2261"/>
        <v>18.692424000000347</v>
      </c>
      <c r="CX340" s="104">
        <f t="shared" si="2262"/>
        <v>3.57</v>
      </c>
      <c r="CY340" s="542">
        <f t="shared" si="2263"/>
        <v>1.7849999999999999</v>
      </c>
      <c r="CZ340" s="538">
        <f t="shared" si="2264"/>
        <v>2.4513847475961154E-2</v>
      </c>
    </row>
    <row r="341" spans="1:104" s="112" customFormat="1" ht="25" x14ac:dyDescent="0.25">
      <c r="A341" s="100" t="str">
        <f>'BOCA DE LOBO'!C310</f>
        <v>BL81-&gt;PV1-77</v>
      </c>
      <c r="B341" s="100" t="str">
        <f>'BOCA DE LOBO'!A310</f>
        <v>PV1-77</v>
      </c>
      <c r="C341" s="100" t="str">
        <f>VLOOKUP(A341,'BOCA DE LOBO'!$C$229:$M$324,3,0)</f>
        <v>EXISTENTE</v>
      </c>
      <c r="D341" s="100" t="str">
        <f>VLOOKUP(A341,'BOCA DE LOBO'!$C$229:$M$324,10,0)</f>
        <v>EXISTENTE</v>
      </c>
      <c r="E341" s="100">
        <f t="shared" si="2268"/>
        <v>1.3683999999999754</v>
      </c>
      <c r="F341" s="100">
        <f>VLOOKUP(A341,'BOCA DE LOBO'!$C$229:$D$324,2,0)</f>
        <v>1.6019999999999754</v>
      </c>
      <c r="G341" s="100">
        <f>VLOOKUP(A341,'BOCA DE LOBO'!$C$229:$F$324,4,0)</f>
        <v>5.84</v>
      </c>
      <c r="H341" s="101">
        <v>400</v>
      </c>
      <c r="I341" s="102">
        <f t="shared" si="2269"/>
        <v>1.6151999999999755</v>
      </c>
      <c r="J341" s="102">
        <f t="shared" si="2270"/>
        <v>0</v>
      </c>
      <c r="K341" s="103">
        <v>0</v>
      </c>
      <c r="L341" s="104">
        <f t="shared" si="2271"/>
        <v>0</v>
      </c>
      <c r="M341" s="104">
        <f t="shared" si="2272"/>
        <v>0</v>
      </c>
      <c r="N341" s="104">
        <f t="shared" si="2273"/>
        <v>400</v>
      </c>
      <c r="O341" s="104">
        <f t="shared" si="2274"/>
        <v>0</v>
      </c>
      <c r="P341" s="105" t="s">
        <v>1999</v>
      </c>
      <c r="Q341" s="468" t="s">
        <v>2193</v>
      </c>
      <c r="R341" s="105"/>
      <c r="S341" s="105">
        <v>5</v>
      </c>
      <c r="T341" s="105">
        <v>5</v>
      </c>
      <c r="U341" s="104">
        <f t="shared" si="2275"/>
        <v>0.05</v>
      </c>
      <c r="V341" s="106">
        <f t="shared" si="2276"/>
        <v>0</v>
      </c>
      <c r="W341" s="106">
        <f t="shared" si="2248"/>
        <v>0</v>
      </c>
      <c r="X341" s="107">
        <f t="shared" si="2277"/>
        <v>0</v>
      </c>
      <c r="Y341" s="107">
        <f t="shared" si="2278"/>
        <v>0</v>
      </c>
      <c r="Z341" s="107">
        <f t="shared" si="2279"/>
        <v>1.6151999999999755</v>
      </c>
      <c r="AA341" s="107">
        <f t="shared" si="2280"/>
        <v>0</v>
      </c>
      <c r="AB341" s="108">
        <f t="shared" si="2281"/>
        <v>0</v>
      </c>
      <c r="AC341" s="109">
        <f t="shared" si="2282"/>
        <v>0</v>
      </c>
      <c r="AD341" s="109">
        <f t="shared" si="2283"/>
        <v>0</v>
      </c>
      <c r="AE341" s="109">
        <f t="shared" si="2284"/>
        <v>0</v>
      </c>
      <c r="AF341" s="109">
        <f t="shared" si="2285"/>
        <v>0</v>
      </c>
      <c r="AG341" s="109">
        <f t="shared" si="2286"/>
        <v>0</v>
      </c>
      <c r="AH341" s="109">
        <f t="shared" si="2287"/>
        <v>0</v>
      </c>
      <c r="AI341" s="537" t="str">
        <f t="shared" si="2288"/>
        <v>NÃO</v>
      </c>
      <c r="AJ341" s="104">
        <f t="shared" si="2289"/>
        <v>0</v>
      </c>
      <c r="AK341" s="104">
        <f t="shared" si="2290"/>
        <v>0</v>
      </c>
      <c r="AL341" s="104">
        <f t="shared" si="2291"/>
        <v>0</v>
      </c>
      <c r="AM341" s="102">
        <f t="shared" si="2292"/>
        <v>0</v>
      </c>
      <c r="AN341" s="106">
        <f t="shared" si="2293"/>
        <v>0</v>
      </c>
      <c r="AO341" s="104">
        <f t="shared" si="2294"/>
        <v>0</v>
      </c>
      <c r="AP341" s="104">
        <f t="shared" si="2295"/>
        <v>0</v>
      </c>
      <c r="AQ341" s="104">
        <f t="shared" si="2296"/>
        <v>0.7</v>
      </c>
      <c r="AR341" s="104">
        <f t="shared" si="2297"/>
        <v>0</v>
      </c>
      <c r="AS341" s="104">
        <f t="shared" si="2298"/>
        <v>0</v>
      </c>
      <c r="AT341" s="104">
        <f t="shared" si="2299"/>
        <v>0</v>
      </c>
      <c r="AU341" s="104">
        <f t="shared" si="2300"/>
        <v>0</v>
      </c>
      <c r="AV341" s="104">
        <f t="shared" si="2301"/>
        <v>0</v>
      </c>
      <c r="AW341" s="104">
        <f t="shared" si="2302"/>
        <v>0</v>
      </c>
      <c r="AX341" s="104">
        <f t="shared" si="2303"/>
        <v>0</v>
      </c>
      <c r="AY341" s="104">
        <f t="shared" si="2304"/>
        <v>0</v>
      </c>
      <c r="AZ341" s="104">
        <f t="shared" si="2305"/>
        <v>0</v>
      </c>
      <c r="BA341" s="104">
        <f t="shared" si="2306"/>
        <v>0</v>
      </c>
      <c r="BB341" s="104">
        <f t="shared" si="2307"/>
        <v>0</v>
      </c>
      <c r="BC341" s="104"/>
      <c r="BD341" s="104">
        <f t="shared" si="2308"/>
        <v>0</v>
      </c>
      <c r="BE341" s="108">
        <f t="shared" si="2309"/>
        <v>0</v>
      </c>
      <c r="BF341" s="110">
        <f t="shared" si="2310"/>
        <v>0</v>
      </c>
      <c r="BG341" s="110">
        <f t="shared" si="2311"/>
        <v>0</v>
      </c>
      <c r="BH341" s="105" t="str">
        <f>VLOOKUP(A341,'BOCA DE LOBO'!$C$229:$I$324,7,0)</f>
        <v>BOCA DE LOBO EXISTENTE SIMPLES</v>
      </c>
      <c r="BI341" s="104">
        <f t="shared" si="2312"/>
        <v>0</v>
      </c>
      <c r="BJ341" s="104">
        <f t="shared" si="2313"/>
        <v>0</v>
      </c>
      <c r="BK341" s="104">
        <f t="shared" si="2314"/>
        <v>0</v>
      </c>
      <c r="BL341" s="104">
        <f t="shared" si="2315"/>
        <v>0</v>
      </c>
      <c r="BM341" s="104">
        <f t="shared" si="2316"/>
        <v>0</v>
      </c>
      <c r="BN341" s="104">
        <f t="shared" si="2317"/>
        <v>0</v>
      </c>
      <c r="BO341" s="543">
        <f t="shared" si="2318"/>
        <v>0</v>
      </c>
      <c r="BP341" s="111"/>
      <c r="BQ341" s="108">
        <f t="shared" si="2319"/>
        <v>17.52</v>
      </c>
      <c r="BR341" s="108">
        <f t="shared" si="2320"/>
        <v>1.3455359999997143</v>
      </c>
      <c r="BS341" s="108">
        <f t="shared" si="2321"/>
        <v>0</v>
      </c>
      <c r="BV341" s="538">
        <f t="shared" si="2250"/>
        <v>0</v>
      </c>
      <c r="BW341" s="538">
        <f t="shared" si="2251"/>
        <v>0</v>
      </c>
      <c r="BX341" s="538">
        <f t="shared" si="2252"/>
        <v>0</v>
      </c>
      <c r="BY341" s="538">
        <f t="shared" si="2322"/>
        <v>1.3683999999999754</v>
      </c>
      <c r="BZ341" s="538">
        <f t="shared" si="2323"/>
        <v>1.3683999999999754</v>
      </c>
      <c r="CA341" s="538">
        <f t="shared" si="2324"/>
        <v>0</v>
      </c>
      <c r="CB341" s="538">
        <f t="shared" si="2325"/>
        <v>0</v>
      </c>
      <c r="CC341" s="538">
        <f t="shared" si="2326"/>
        <v>0</v>
      </c>
      <c r="CD341" s="538">
        <f t="shared" si="2327"/>
        <v>0</v>
      </c>
      <c r="CE341" s="538">
        <f t="shared" si="2328"/>
        <v>0</v>
      </c>
      <c r="CF341" s="538">
        <f t="shared" si="2329"/>
        <v>0</v>
      </c>
      <c r="CG341" s="538">
        <f t="shared" si="2330"/>
        <v>0</v>
      </c>
      <c r="CH341" s="538">
        <f t="shared" si="2331"/>
        <v>0</v>
      </c>
      <c r="CI341" s="104">
        <f t="shared" si="2253"/>
        <v>0</v>
      </c>
      <c r="CJ341" s="538">
        <f t="shared" si="2332"/>
        <v>0</v>
      </c>
      <c r="CK341" s="538">
        <f t="shared" si="2333"/>
        <v>0</v>
      </c>
      <c r="CL341" s="538">
        <f t="shared" si="2334"/>
        <v>0</v>
      </c>
      <c r="CM341" s="538">
        <f t="shared" si="2335"/>
        <v>0</v>
      </c>
      <c r="CN341" s="538">
        <f t="shared" si="2255"/>
        <v>0</v>
      </c>
      <c r="CO341" s="538">
        <f t="shared" si="2336"/>
        <v>1.3683999999999754</v>
      </c>
      <c r="CP341" s="538">
        <f t="shared" si="2337"/>
        <v>0</v>
      </c>
      <c r="CQ341" s="538">
        <f t="shared" si="2338"/>
        <v>0</v>
      </c>
      <c r="CR341" s="539">
        <f t="shared" si="2256"/>
        <v>0</v>
      </c>
      <c r="CS341" s="540">
        <f t="shared" si="2257"/>
        <v>0</v>
      </c>
      <c r="CT341" s="540">
        <f t="shared" si="2258"/>
        <v>0</v>
      </c>
      <c r="CU341" s="541">
        <f t="shared" si="2259"/>
        <v>0</v>
      </c>
      <c r="CV341" s="538">
        <f t="shared" si="2260"/>
        <v>0</v>
      </c>
      <c r="CW341" s="538">
        <f t="shared" si="2261"/>
        <v>0</v>
      </c>
      <c r="CX341" s="104">
        <f t="shared" si="2262"/>
        <v>0</v>
      </c>
      <c r="CY341" s="542">
        <f t="shared" si="2263"/>
        <v>0</v>
      </c>
      <c r="CZ341" s="538">
        <f t="shared" si="2264"/>
        <v>0</v>
      </c>
    </row>
    <row r="342" spans="1:104" s="112" customFormat="1" ht="25" x14ac:dyDescent="0.25">
      <c r="A342" s="100" t="str">
        <f>'BOCA DE LOBO'!C311</f>
        <v>BL82-&gt;PV2-77</v>
      </c>
      <c r="B342" s="100" t="str">
        <f>'BOCA DE LOBO'!A311</f>
        <v>PV2-77</v>
      </c>
      <c r="C342" s="100" t="str">
        <f>VLOOKUP(A342,'BOCA DE LOBO'!$C$229:$M$324,3,0)</f>
        <v>EXISTENTE</v>
      </c>
      <c r="D342" s="100" t="str">
        <f>VLOOKUP(A342,'BOCA DE LOBO'!$C$229:$M$324,10,0)</f>
        <v>EXISTENTE</v>
      </c>
      <c r="E342" s="100">
        <f t="shared" si="2268"/>
        <v>2.2691999999999317</v>
      </c>
      <c r="F342" s="100">
        <f>VLOOKUP(A342,'BOCA DE LOBO'!$C$229:$D$324,2,0)</f>
        <v>2.4499999999999318</v>
      </c>
      <c r="G342" s="100">
        <f>VLOOKUP(A342,'BOCA DE LOBO'!$C$229:$F$324,4,0)</f>
        <v>4.5199999999999996</v>
      </c>
      <c r="H342" s="101">
        <v>400</v>
      </c>
      <c r="I342" s="102">
        <f t="shared" si="2269"/>
        <v>2.4895999999999319</v>
      </c>
      <c r="J342" s="102">
        <f t="shared" si="2270"/>
        <v>0</v>
      </c>
      <c r="K342" s="103">
        <v>0</v>
      </c>
      <c r="L342" s="104">
        <f t="shared" si="2271"/>
        <v>0</v>
      </c>
      <c r="M342" s="104">
        <f t="shared" si="2272"/>
        <v>0</v>
      </c>
      <c r="N342" s="104">
        <f t="shared" si="2273"/>
        <v>400</v>
      </c>
      <c r="O342" s="104">
        <f t="shared" si="2274"/>
        <v>0</v>
      </c>
      <c r="P342" s="105" t="s">
        <v>1999</v>
      </c>
      <c r="Q342" s="468" t="s">
        <v>2193</v>
      </c>
      <c r="R342" s="105">
        <v>1</v>
      </c>
      <c r="S342" s="105">
        <v>5</v>
      </c>
      <c r="T342" s="105">
        <v>5</v>
      </c>
      <c r="U342" s="104">
        <f t="shared" si="2275"/>
        <v>0.05</v>
      </c>
      <c r="V342" s="106">
        <f t="shared" si="2276"/>
        <v>0</v>
      </c>
      <c r="W342" s="106">
        <f t="shared" si="2248"/>
        <v>0</v>
      </c>
      <c r="X342" s="107">
        <f t="shared" si="2277"/>
        <v>0</v>
      </c>
      <c r="Y342" s="107">
        <f t="shared" si="2278"/>
        <v>0.4</v>
      </c>
      <c r="Z342" s="107">
        <f t="shared" si="2279"/>
        <v>2.4895999999999319</v>
      </c>
      <c r="AA342" s="107">
        <f t="shared" si="2280"/>
        <v>0</v>
      </c>
      <c r="AB342" s="108">
        <f t="shared" si="2281"/>
        <v>0</v>
      </c>
      <c r="AC342" s="109">
        <f t="shared" si="2282"/>
        <v>0</v>
      </c>
      <c r="AD342" s="109">
        <f t="shared" si="2283"/>
        <v>0</v>
      </c>
      <c r="AE342" s="109">
        <f t="shared" si="2284"/>
        <v>0</v>
      </c>
      <c r="AF342" s="109">
        <f t="shared" si="2285"/>
        <v>0</v>
      </c>
      <c r="AG342" s="109">
        <f t="shared" si="2286"/>
        <v>0</v>
      </c>
      <c r="AH342" s="109">
        <f t="shared" si="2287"/>
        <v>0</v>
      </c>
      <c r="AI342" s="537" t="str">
        <f t="shared" si="2288"/>
        <v>NÃO</v>
      </c>
      <c r="AJ342" s="104">
        <f t="shared" si="2289"/>
        <v>0</v>
      </c>
      <c r="AK342" s="104">
        <f t="shared" si="2290"/>
        <v>0</v>
      </c>
      <c r="AL342" s="104">
        <f t="shared" si="2291"/>
        <v>0</v>
      </c>
      <c r="AM342" s="102">
        <f t="shared" si="2292"/>
        <v>0</v>
      </c>
      <c r="AN342" s="106">
        <f t="shared" si="2293"/>
        <v>0</v>
      </c>
      <c r="AO342" s="104">
        <f t="shared" si="2294"/>
        <v>0</v>
      </c>
      <c r="AP342" s="104">
        <f t="shared" si="2295"/>
        <v>0</v>
      </c>
      <c r="AQ342" s="104">
        <f t="shared" si="2296"/>
        <v>0.7</v>
      </c>
      <c r="AR342" s="104">
        <f t="shared" si="2297"/>
        <v>0</v>
      </c>
      <c r="AS342" s="104">
        <f t="shared" si="2298"/>
        <v>0</v>
      </c>
      <c r="AT342" s="104">
        <f t="shared" si="2299"/>
        <v>0</v>
      </c>
      <c r="AU342" s="104">
        <f t="shared" si="2300"/>
        <v>0</v>
      </c>
      <c r="AV342" s="104">
        <f t="shared" si="2301"/>
        <v>0</v>
      </c>
      <c r="AW342" s="104">
        <f t="shared" si="2302"/>
        <v>0</v>
      </c>
      <c r="AX342" s="104">
        <f t="shared" si="2303"/>
        <v>0</v>
      </c>
      <c r="AY342" s="104">
        <f t="shared" si="2304"/>
        <v>0</v>
      </c>
      <c r="AZ342" s="104">
        <f t="shared" si="2305"/>
        <v>0</v>
      </c>
      <c r="BA342" s="104">
        <f t="shared" si="2306"/>
        <v>0</v>
      </c>
      <c r="BB342" s="104">
        <f t="shared" si="2307"/>
        <v>0</v>
      </c>
      <c r="BC342" s="104"/>
      <c r="BD342" s="104">
        <f t="shared" si="2308"/>
        <v>0</v>
      </c>
      <c r="BE342" s="108">
        <f t="shared" si="2309"/>
        <v>0</v>
      </c>
      <c r="BF342" s="110">
        <f t="shared" si="2310"/>
        <v>0</v>
      </c>
      <c r="BG342" s="110">
        <f t="shared" si="2311"/>
        <v>0</v>
      </c>
      <c r="BH342" s="105" t="str">
        <f>VLOOKUP(A342,'BOCA DE LOBO'!$C$229:$I$324,7,0)</f>
        <v>BOCA DE LOBO EXISTENTE SIMPLES</v>
      </c>
      <c r="BI342" s="104">
        <f t="shared" si="2312"/>
        <v>0</v>
      </c>
      <c r="BJ342" s="104">
        <f t="shared" si="2313"/>
        <v>0</v>
      </c>
      <c r="BK342" s="104">
        <f t="shared" si="2314"/>
        <v>0</v>
      </c>
      <c r="BL342" s="104">
        <f t="shared" si="2315"/>
        <v>0</v>
      </c>
      <c r="BM342" s="104">
        <f t="shared" si="2316"/>
        <v>0</v>
      </c>
      <c r="BN342" s="104">
        <f t="shared" si="2317"/>
        <v>0</v>
      </c>
      <c r="BO342" s="543">
        <f t="shared" si="2318"/>
        <v>0</v>
      </c>
      <c r="BP342" s="111"/>
      <c r="BQ342" s="108">
        <f t="shared" si="2319"/>
        <v>13.559999999999999</v>
      </c>
      <c r="BR342" s="108">
        <f t="shared" si="2320"/>
        <v>13.465983999999382</v>
      </c>
      <c r="BS342" s="108">
        <f t="shared" si="2321"/>
        <v>0</v>
      </c>
      <c r="BV342" s="538">
        <f t="shared" si="2250"/>
        <v>0</v>
      </c>
      <c r="BW342" s="538">
        <f t="shared" si="2251"/>
        <v>0</v>
      </c>
      <c r="BX342" s="538">
        <f t="shared" si="2252"/>
        <v>0</v>
      </c>
      <c r="BY342" s="538">
        <f t="shared" si="2322"/>
        <v>2.2691999999999317</v>
      </c>
      <c r="BZ342" s="538">
        <f t="shared" si="2323"/>
        <v>2.2691999999999317</v>
      </c>
      <c r="CA342" s="538">
        <f t="shared" si="2324"/>
        <v>0.4</v>
      </c>
      <c r="CB342" s="538">
        <f t="shared" si="2325"/>
        <v>0</v>
      </c>
      <c r="CC342" s="538">
        <f t="shared" si="2326"/>
        <v>0</v>
      </c>
      <c r="CD342" s="538">
        <f t="shared" si="2327"/>
        <v>0</v>
      </c>
      <c r="CE342" s="538">
        <f t="shared" si="2328"/>
        <v>0</v>
      </c>
      <c r="CF342" s="538">
        <f t="shared" si="2329"/>
        <v>0</v>
      </c>
      <c r="CG342" s="538">
        <f t="shared" si="2330"/>
        <v>0</v>
      </c>
      <c r="CH342" s="538">
        <f t="shared" si="2331"/>
        <v>0</v>
      </c>
      <c r="CI342" s="104">
        <f t="shared" si="2253"/>
        <v>0</v>
      </c>
      <c r="CJ342" s="538">
        <f t="shared" si="2332"/>
        <v>0</v>
      </c>
      <c r="CK342" s="538">
        <f t="shared" si="2333"/>
        <v>0</v>
      </c>
      <c r="CL342" s="538">
        <f t="shared" si="2334"/>
        <v>0</v>
      </c>
      <c r="CM342" s="538">
        <f t="shared" si="2335"/>
        <v>0</v>
      </c>
      <c r="CN342" s="538">
        <f t="shared" si="2255"/>
        <v>0</v>
      </c>
      <c r="CO342" s="538">
        <f t="shared" si="2336"/>
        <v>2.7691999999999317</v>
      </c>
      <c r="CP342" s="538">
        <f t="shared" si="2337"/>
        <v>0</v>
      </c>
      <c r="CQ342" s="538">
        <f t="shared" si="2338"/>
        <v>0</v>
      </c>
      <c r="CR342" s="539">
        <f t="shared" si="2256"/>
        <v>0</v>
      </c>
      <c r="CS342" s="540">
        <f t="shared" si="2257"/>
        <v>0</v>
      </c>
      <c r="CT342" s="540">
        <f t="shared" si="2258"/>
        <v>0</v>
      </c>
      <c r="CU342" s="541">
        <f t="shared" si="2259"/>
        <v>0</v>
      </c>
      <c r="CV342" s="538">
        <f t="shared" si="2260"/>
        <v>0</v>
      </c>
      <c r="CW342" s="538">
        <f t="shared" si="2261"/>
        <v>0</v>
      </c>
      <c r="CX342" s="104">
        <f t="shared" si="2262"/>
        <v>0</v>
      </c>
      <c r="CY342" s="542">
        <f t="shared" si="2263"/>
        <v>0</v>
      </c>
      <c r="CZ342" s="538">
        <f t="shared" si="2264"/>
        <v>0</v>
      </c>
    </row>
    <row r="343" spans="1:104" s="112" customFormat="1" ht="37.5" x14ac:dyDescent="0.25">
      <c r="A343" s="100" t="str">
        <f>'BOCA DE LOBO'!C312</f>
        <v>BL83-&gt;PV1-78</v>
      </c>
      <c r="B343" s="100" t="str">
        <f>'BOCA DE LOBO'!A312</f>
        <v>PV1-78</v>
      </c>
      <c r="C343" s="100" t="str">
        <f>VLOOKUP(A343,'BOCA DE LOBO'!$C$229:$M$324,3,0)</f>
        <v>EXISTENTE</v>
      </c>
      <c r="D343" s="100" t="str">
        <f>VLOOKUP(A343,'BOCA DE LOBO'!$C$229:$M$324,10,0)</f>
        <v>AMPLIADA</v>
      </c>
      <c r="E343" s="100">
        <f t="shared" si="2268"/>
        <v>1.8027999999999318</v>
      </c>
      <c r="F343" s="100">
        <f>VLOOKUP(A343,'BOCA DE LOBO'!$C$229:$D$324,2,0)</f>
        <v>1.9499999999999318</v>
      </c>
      <c r="G343" s="100">
        <f>VLOOKUP(A343,'BOCA DE LOBO'!$C$229:$F$324,4,0)</f>
        <v>3.68</v>
      </c>
      <c r="H343" s="101">
        <v>400</v>
      </c>
      <c r="I343" s="102">
        <f t="shared" si="2269"/>
        <v>2.0063999999999318</v>
      </c>
      <c r="J343" s="102">
        <f t="shared" si="2270"/>
        <v>0</v>
      </c>
      <c r="K343" s="103">
        <v>0</v>
      </c>
      <c r="L343" s="104">
        <f t="shared" si="2271"/>
        <v>0</v>
      </c>
      <c r="M343" s="104">
        <f t="shared" si="2272"/>
        <v>0</v>
      </c>
      <c r="N343" s="104">
        <f t="shared" si="2273"/>
        <v>400</v>
      </c>
      <c r="O343" s="104">
        <f t="shared" si="2274"/>
        <v>0</v>
      </c>
      <c r="P343" s="105" t="s">
        <v>1999</v>
      </c>
      <c r="Q343" s="468" t="s">
        <v>2194</v>
      </c>
      <c r="R343" s="105"/>
      <c r="S343" s="105">
        <v>5</v>
      </c>
      <c r="T343" s="105">
        <v>5</v>
      </c>
      <c r="U343" s="104">
        <f t="shared" si="2275"/>
        <v>0.05</v>
      </c>
      <c r="V343" s="106">
        <f t="shared" si="2276"/>
        <v>0</v>
      </c>
      <c r="W343" s="106">
        <f t="shared" si="2248"/>
        <v>0</v>
      </c>
      <c r="X343" s="107">
        <f t="shared" si="2277"/>
        <v>0</v>
      </c>
      <c r="Y343" s="107">
        <f t="shared" si="2278"/>
        <v>0</v>
      </c>
      <c r="Z343" s="107">
        <f t="shared" si="2279"/>
        <v>2.0063999999999318</v>
      </c>
      <c r="AA343" s="107">
        <f t="shared" si="2280"/>
        <v>0</v>
      </c>
      <c r="AB343" s="108">
        <f t="shared" si="2281"/>
        <v>0</v>
      </c>
      <c r="AC343" s="109">
        <f t="shared" si="2282"/>
        <v>0</v>
      </c>
      <c r="AD343" s="109">
        <f t="shared" si="2283"/>
        <v>0</v>
      </c>
      <c r="AE343" s="109">
        <f t="shared" si="2284"/>
        <v>0</v>
      </c>
      <c r="AF343" s="109">
        <f t="shared" si="2285"/>
        <v>0</v>
      </c>
      <c r="AG343" s="109">
        <f t="shared" si="2286"/>
        <v>0</v>
      </c>
      <c r="AH343" s="109">
        <f t="shared" si="2287"/>
        <v>0</v>
      </c>
      <c r="AI343" s="537" t="str">
        <f t="shared" si="2288"/>
        <v>NÃO</v>
      </c>
      <c r="AJ343" s="104">
        <f t="shared" si="2289"/>
        <v>0</v>
      </c>
      <c r="AK343" s="104">
        <f t="shared" si="2290"/>
        <v>0</v>
      </c>
      <c r="AL343" s="104">
        <f t="shared" si="2291"/>
        <v>0</v>
      </c>
      <c r="AM343" s="102">
        <f t="shared" si="2292"/>
        <v>0</v>
      </c>
      <c r="AN343" s="106">
        <f t="shared" si="2293"/>
        <v>0</v>
      </c>
      <c r="AO343" s="104">
        <f t="shared" si="2294"/>
        <v>0</v>
      </c>
      <c r="AP343" s="104">
        <f t="shared" si="2295"/>
        <v>0</v>
      </c>
      <c r="AQ343" s="104">
        <f t="shared" si="2296"/>
        <v>0.7</v>
      </c>
      <c r="AR343" s="104">
        <f t="shared" si="2297"/>
        <v>0</v>
      </c>
      <c r="AS343" s="104">
        <f t="shared" si="2298"/>
        <v>0</v>
      </c>
      <c r="AT343" s="104">
        <f t="shared" si="2299"/>
        <v>0</v>
      </c>
      <c r="AU343" s="104">
        <f t="shared" si="2300"/>
        <v>0</v>
      </c>
      <c r="AV343" s="104">
        <f t="shared" si="2301"/>
        <v>0</v>
      </c>
      <c r="AW343" s="104">
        <f t="shared" si="2302"/>
        <v>0</v>
      </c>
      <c r="AX343" s="104">
        <f t="shared" si="2303"/>
        <v>0</v>
      </c>
      <c r="AY343" s="104">
        <f t="shared" si="2304"/>
        <v>0</v>
      </c>
      <c r="AZ343" s="104">
        <f t="shared" si="2305"/>
        <v>0</v>
      </c>
      <c r="BA343" s="104">
        <f t="shared" si="2306"/>
        <v>0</v>
      </c>
      <c r="BB343" s="104">
        <f t="shared" si="2307"/>
        <v>0</v>
      </c>
      <c r="BC343" s="104"/>
      <c r="BD343" s="104">
        <f t="shared" si="2308"/>
        <v>0</v>
      </c>
      <c r="BE343" s="108">
        <f t="shared" si="2309"/>
        <v>0</v>
      </c>
      <c r="BF343" s="110">
        <f t="shared" si="2310"/>
        <v>0</v>
      </c>
      <c r="BG343" s="110">
        <f t="shared" si="2311"/>
        <v>0</v>
      </c>
      <c r="BH343" s="105" t="str">
        <f>VLOOKUP(A343,'BOCA DE LOBO'!$C$229:$I$324,7,0)</f>
        <v>BOCA DE LOBO SIMPLES EXISTENTE COM BOCA DE LOBO SIMPLES PROJETADA</v>
      </c>
      <c r="BI343" s="104">
        <f t="shared" si="2312"/>
        <v>0</v>
      </c>
      <c r="BJ343" s="104">
        <f t="shared" si="2313"/>
        <v>1</v>
      </c>
      <c r="BK343" s="104">
        <f t="shared" si="2314"/>
        <v>0</v>
      </c>
      <c r="BL343" s="104">
        <f t="shared" si="2315"/>
        <v>0</v>
      </c>
      <c r="BM343" s="104">
        <f t="shared" si="2316"/>
        <v>0</v>
      </c>
      <c r="BN343" s="104">
        <f t="shared" si="2317"/>
        <v>0</v>
      </c>
      <c r="BO343" s="543">
        <f t="shared" si="2318"/>
        <v>0</v>
      </c>
      <c r="BP343" s="111"/>
      <c r="BQ343" s="108">
        <f t="shared" si="2319"/>
        <v>11.040000000000001</v>
      </c>
      <c r="BR343" s="108">
        <f t="shared" si="2320"/>
        <v>3.7271039999994984</v>
      </c>
      <c r="BS343" s="108">
        <f t="shared" si="2321"/>
        <v>0</v>
      </c>
      <c r="BV343" s="538">
        <f t="shared" si="2250"/>
        <v>6.6025747199997493</v>
      </c>
      <c r="BW343" s="538">
        <f t="shared" si="2251"/>
        <v>3.6623999999999994</v>
      </c>
      <c r="BX343" s="538">
        <f t="shared" si="2252"/>
        <v>1.3923999999999999</v>
      </c>
      <c r="BY343" s="538">
        <f t="shared" si="2322"/>
        <v>1.8027999999999318</v>
      </c>
      <c r="BZ343" s="538">
        <f t="shared" si="2323"/>
        <v>1.8027999999999318</v>
      </c>
      <c r="CA343" s="538">
        <f t="shared" si="2324"/>
        <v>0</v>
      </c>
      <c r="CB343" s="538">
        <f t="shared" si="2325"/>
        <v>0</v>
      </c>
      <c r="CC343" s="538">
        <f t="shared" si="2326"/>
        <v>5.4935999999999989</v>
      </c>
      <c r="CD343" s="538">
        <f t="shared" si="2327"/>
        <v>1.1089747199997499</v>
      </c>
      <c r="CE343" s="538">
        <f t="shared" si="2328"/>
        <v>0</v>
      </c>
      <c r="CF343" s="538">
        <f t="shared" si="2329"/>
        <v>0</v>
      </c>
      <c r="CG343" s="538">
        <f t="shared" si="2330"/>
        <v>0</v>
      </c>
      <c r="CH343" s="538">
        <f t="shared" si="2331"/>
        <v>0</v>
      </c>
      <c r="CI343" s="104">
        <f t="shared" si="2253"/>
        <v>0.252</v>
      </c>
      <c r="CJ343" s="538">
        <f t="shared" si="2332"/>
        <v>3.8403559999998444</v>
      </c>
      <c r="CK343" s="538">
        <f t="shared" si="2333"/>
        <v>3.8403559999998444</v>
      </c>
      <c r="CL343" s="538">
        <f t="shared" si="2334"/>
        <v>0</v>
      </c>
      <c r="CM343" s="538">
        <f t="shared" si="2335"/>
        <v>0</v>
      </c>
      <c r="CN343" s="538">
        <f t="shared" si="2255"/>
        <v>1.68</v>
      </c>
      <c r="CO343" s="538">
        <f t="shared" si="2336"/>
        <v>1.8027999999999318</v>
      </c>
      <c r="CP343" s="538">
        <f t="shared" si="2337"/>
        <v>5.04</v>
      </c>
      <c r="CQ343" s="538">
        <f t="shared" si="2338"/>
        <v>1.0174079999997707</v>
      </c>
      <c r="CR343" s="539">
        <f t="shared" si="2256"/>
        <v>0.71653999999996254</v>
      </c>
      <c r="CS343" s="540">
        <f t="shared" si="2257"/>
        <v>3.6777119999998609E-2</v>
      </c>
      <c r="CT343" s="540">
        <f t="shared" si="2258"/>
        <v>0.15421000000000001</v>
      </c>
      <c r="CU343" s="541">
        <f t="shared" si="2259"/>
        <v>4.6872799999998227</v>
      </c>
      <c r="CV343" s="538">
        <f t="shared" si="2260"/>
        <v>0.75981119999998614</v>
      </c>
      <c r="CW343" s="538">
        <f t="shared" si="2261"/>
        <v>12.19493599999965</v>
      </c>
      <c r="CX343" s="104">
        <f t="shared" si="2262"/>
        <v>1.68</v>
      </c>
      <c r="CY343" s="542">
        <f t="shared" si="2263"/>
        <v>0.84</v>
      </c>
      <c r="CZ343" s="538">
        <f t="shared" si="2264"/>
        <v>0</v>
      </c>
    </row>
    <row r="344" spans="1:104" s="112" customFormat="1" ht="25" x14ac:dyDescent="0.25">
      <c r="A344" s="100" t="str">
        <f>'BOCA DE LOBO'!C313</f>
        <v>BL84-&gt;PV2-78</v>
      </c>
      <c r="B344" s="100" t="str">
        <f>'BOCA DE LOBO'!A313</f>
        <v>PV2-78</v>
      </c>
      <c r="C344" s="100" t="str">
        <f>VLOOKUP(A344,'BOCA DE LOBO'!$C$229:$M$324,3,0)</f>
        <v>EXISTENTE</v>
      </c>
      <c r="D344" s="100" t="str">
        <f>VLOOKUP(A344,'BOCA DE LOBO'!$C$229:$M$324,10,0)</f>
        <v>EXISTENTE</v>
      </c>
      <c r="E344" s="100">
        <f t="shared" si="2268"/>
        <v>2.301600000000068</v>
      </c>
      <c r="F344" s="100">
        <f>VLOOKUP(A344,'BOCA DE LOBO'!$C$229:$D$324,2,0)</f>
        <v>2.5500000000000682</v>
      </c>
      <c r="G344" s="100">
        <f>VLOOKUP(A344,'BOCA DE LOBO'!$C$229:$F$324,4,0)</f>
        <v>6.21</v>
      </c>
      <c r="H344" s="101">
        <v>400</v>
      </c>
      <c r="I344" s="102">
        <f t="shared" si="2269"/>
        <v>2.555800000000068</v>
      </c>
      <c r="J344" s="102">
        <f t="shared" si="2270"/>
        <v>0</v>
      </c>
      <c r="K344" s="103">
        <v>0</v>
      </c>
      <c r="L344" s="104">
        <f t="shared" si="2271"/>
        <v>0</v>
      </c>
      <c r="M344" s="104">
        <f t="shared" si="2272"/>
        <v>0</v>
      </c>
      <c r="N344" s="104">
        <f t="shared" si="2273"/>
        <v>400</v>
      </c>
      <c r="O344" s="104">
        <f t="shared" si="2274"/>
        <v>0</v>
      </c>
      <c r="P344" s="105" t="s">
        <v>1999</v>
      </c>
      <c r="Q344" s="468" t="s">
        <v>2190</v>
      </c>
      <c r="R344" s="105"/>
      <c r="S344" s="105">
        <v>5</v>
      </c>
      <c r="T344" s="105">
        <v>5</v>
      </c>
      <c r="U344" s="104">
        <f t="shared" si="2275"/>
        <v>0.05</v>
      </c>
      <c r="V344" s="106">
        <f t="shared" si="2276"/>
        <v>0</v>
      </c>
      <c r="W344" s="106">
        <f t="shared" si="2248"/>
        <v>0</v>
      </c>
      <c r="X344" s="107">
        <f t="shared" si="2277"/>
        <v>0</v>
      </c>
      <c r="Y344" s="107">
        <f t="shared" si="2278"/>
        <v>0</v>
      </c>
      <c r="Z344" s="107">
        <f t="shared" si="2279"/>
        <v>2.555800000000068</v>
      </c>
      <c r="AA344" s="107">
        <f t="shared" si="2280"/>
        <v>0</v>
      </c>
      <c r="AB344" s="108">
        <f t="shared" si="2281"/>
        <v>0</v>
      </c>
      <c r="AC344" s="109">
        <f t="shared" si="2282"/>
        <v>0</v>
      </c>
      <c r="AD344" s="109">
        <f t="shared" si="2283"/>
        <v>0</v>
      </c>
      <c r="AE344" s="109">
        <f t="shared" si="2284"/>
        <v>0</v>
      </c>
      <c r="AF344" s="109">
        <f t="shared" si="2285"/>
        <v>0</v>
      </c>
      <c r="AG344" s="109">
        <f t="shared" si="2286"/>
        <v>0</v>
      </c>
      <c r="AH344" s="109">
        <f t="shared" si="2287"/>
        <v>0</v>
      </c>
      <c r="AI344" s="537" t="str">
        <f t="shared" si="2288"/>
        <v>NÃO</v>
      </c>
      <c r="AJ344" s="104">
        <f t="shared" si="2289"/>
        <v>0</v>
      </c>
      <c r="AK344" s="104">
        <f t="shared" si="2290"/>
        <v>0</v>
      </c>
      <c r="AL344" s="104">
        <f t="shared" si="2291"/>
        <v>0</v>
      </c>
      <c r="AM344" s="102">
        <f t="shared" si="2292"/>
        <v>0</v>
      </c>
      <c r="AN344" s="106">
        <f t="shared" si="2293"/>
        <v>0</v>
      </c>
      <c r="AO344" s="104">
        <f t="shared" si="2294"/>
        <v>0</v>
      </c>
      <c r="AP344" s="104">
        <f t="shared" si="2295"/>
        <v>0</v>
      </c>
      <c r="AQ344" s="104">
        <f t="shared" si="2296"/>
        <v>0.7</v>
      </c>
      <c r="AR344" s="104">
        <f t="shared" si="2297"/>
        <v>0</v>
      </c>
      <c r="AS344" s="104">
        <f t="shared" si="2298"/>
        <v>0</v>
      </c>
      <c r="AT344" s="104">
        <f t="shared" si="2299"/>
        <v>0</v>
      </c>
      <c r="AU344" s="104">
        <f t="shared" si="2300"/>
        <v>0</v>
      </c>
      <c r="AV344" s="104">
        <f t="shared" si="2301"/>
        <v>0</v>
      </c>
      <c r="AW344" s="104">
        <f t="shared" si="2302"/>
        <v>0</v>
      </c>
      <c r="AX344" s="104">
        <f t="shared" si="2303"/>
        <v>0</v>
      </c>
      <c r="AY344" s="104">
        <f t="shared" si="2304"/>
        <v>0</v>
      </c>
      <c r="AZ344" s="104">
        <f t="shared" si="2305"/>
        <v>0</v>
      </c>
      <c r="BA344" s="104">
        <f t="shared" si="2306"/>
        <v>0</v>
      </c>
      <c r="BB344" s="104">
        <f t="shared" si="2307"/>
        <v>0</v>
      </c>
      <c r="BC344" s="104"/>
      <c r="BD344" s="104">
        <f t="shared" si="2308"/>
        <v>0</v>
      </c>
      <c r="BE344" s="108">
        <f t="shared" si="2309"/>
        <v>0</v>
      </c>
      <c r="BF344" s="110">
        <f t="shared" si="2310"/>
        <v>0</v>
      </c>
      <c r="BG344" s="110">
        <f t="shared" si="2311"/>
        <v>0</v>
      </c>
      <c r="BH344" s="105" t="str">
        <f>VLOOKUP(A344,'BOCA DE LOBO'!$C$229:$I$324,7,0)</f>
        <v>BOCA DE LOBO EXISTENTE DUPLA</v>
      </c>
      <c r="BI344" s="104">
        <f t="shared" si="2312"/>
        <v>0</v>
      </c>
      <c r="BJ344" s="104">
        <f t="shared" si="2313"/>
        <v>0</v>
      </c>
      <c r="BK344" s="104">
        <f t="shared" si="2314"/>
        <v>0</v>
      </c>
      <c r="BL344" s="104">
        <f t="shared" si="2315"/>
        <v>0</v>
      </c>
      <c r="BM344" s="104">
        <f t="shared" si="2316"/>
        <v>0</v>
      </c>
      <c r="BN344" s="104">
        <f t="shared" si="2317"/>
        <v>0</v>
      </c>
      <c r="BO344" s="543">
        <f t="shared" si="2318"/>
        <v>0</v>
      </c>
      <c r="BP344" s="111"/>
      <c r="BQ344" s="108">
        <f t="shared" si="2319"/>
        <v>18.63</v>
      </c>
      <c r="BR344" s="108">
        <f t="shared" si="2320"/>
        <v>13.113036000000845</v>
      </c>
      <c r="BS344" s="108">
        <f t="shared" si="2321"/>
        <v>0</v>
      </c>
      <c r="BV344" s="538">
        <f t="shared" si="2250"/>
        <v>0</v>
      </c>
      <c r="BW344" s="538">
        <f t="shared" si="2251"/>
        <v>0</v>
      </c>
      <c r="BX344" s="538">
        <f t="shared" si="2252"/>
        <v>0</v>
      </c>
      <c r="BY344" s="538">
        <f t="shared" si="2322"/>
        <v>2.301600000000068</v>
      </c>
      <c r="BZ344" s="538">
        <f t="shared" si="2323"/>
        <v>2.301600000000068</v>
      </c>
      <c r="CA344" s="538">
        <f t="shared" si="2324"/>
        <v>0</v>
      </c>
      <c r="CB344" s="538">
        <f t="shared" si="2325"/>
        <v>0</v>
      </c>
      <c r="CC344" s="538">
        <f t="shared" si="2326"/>
        <v>0</v>
      </c>
      <c r="CD344" s="538">
        <f t="shared" si="2327"/>
        <v>0</v>
      </c>
      <c r="CE344" s="538">
        <f t="shared" si="2328"/>
        <v>0</v>
      </c>
      <c r="CF344" s="538">
        <f t="shared" si="2329"/>
        <v>0</v>
      </c>
      <c r="CG344" s="538">
        <f t="shared" si="2330"/>
        <v>0</v>
      </c>
      <c r="CH344" s="538">
        <f t="shared" si="2331"/>
        <v>0</v>
      </c>
      <c r="CI344" s="104">
        <f t="shared" si="2253"/>
        <v>0</v>
      </c>
      <c r="CJ344" s="538">
        <f t="shared" si="2332"/>
        <v>0</v>
      </c>
      <c r="CK344" s="538">
        <f t="shared" si="2333"/>
        <v>0</v>
      </c>
      <c r="CL344" s="538">
        <f t="shared" si="2334"/>
        <v>0</v>
      </c>
      <c r="CM344" s="538">
        <f t="shared" si="2335"/>
        <v>0</v>
      </c>
      <c r="CN344" s="538">
        <f t="shared" si="2255"/>
        <v>0</v>
      </c>
      <c r="CO344" s="538">
        <f t="shared" si="2336"/>
        <v>2.301600000000068</v>
      </c>
      <c r="CP344" s="538">
        <f t="shared" si="2337"/>
        <v>0</v>
      </c>
      <c r="CQ344" s="538">
        <f t="shared" si="2338"/>
        <v>0</v>
      </c>
      <c r="CR344" s="539">
        <f t="shared" si="2256"/>
        <v>0</v>
      </c>
      <c r="CS344" s="540">
        <f t="shared" si="2257"/>
        <v>0</v>
      </c>
      <c r="CT344" s="540">
        <f t="shared" si="2258"/>
        <v>0</v>
      </c>
      <c r="CU344" s="541">
        <f t="shared" si="2259"/>
        <v>0</v>
      </c>
      <c r="CV344" s="538">
        <f t="shared" si="2260"/>
        <v>0</v>
      </c>
      <c r="CW344" s="538">
        <f t="shared" si="2261"/>
        <v>0</v>
      </c>
      <c r="CX344" s="104">
        <f t="shared" si="2262"/>
        <v>0</v>
      </c>
      <c r="CY344" s="542">
        <f t="shared" si="2263"/>
        <v>0</v>
      </c>
      <c r="CZ344" s="538">
        <f t="shared" si="2264"/>
        <v>0</v>
      </c>
    </row>
    <row r="345" spans="1:104" s="112" customFormat="1" ht="25" x14ac:dyDescent="0.25">
      <c r="A345" s="100" t="str">
        <f>'BOCA DE LOBO'!C314</f>
        <v>BL85-&gt;PV1-79</v>
      </c>
      <c r="B345" s="100" t="str">
        <f>'BOCA DE LOBO'!A314</f>
        <v>PV1-79</v>
      </c>
      <c r="C345" s="100" t="str">
        <f>VLOOKUP(A345,'BOCA DE LOBO'!$C$229:$M$324,3,0)</f>
        <v>EXISTENTE</v>
      </c>
      <c r="D345" s="100" t="str">
        <f>VLOOKUP(A345,'BOCA DE LOBO'!$C$229:$M$324,10,0)</f>
        <v>PROJETADA</v>
      </c>
      <c r="E345" s="100">
        <f t="shared" si="2268"/>
        <v>1.4832000000000001</v>
      </c>
      <c r="F345" s="100">
        <f>VLOOKUP(A345,'BOCA DE LOBO'!$C$229:$D$324,2,0)</f>
        <v>1.75</v>
      </c>
      <c r="G345" s="100">
        <f>VLOOKUP(A345,'BOCA DE LOBO'!$C$229:$F$324,4,0)</f>
        <v>6.67</v>
      </c>
      <c r="H345" s="101">
        <v>400</v>
      </c>
      <c r="I345" s="102">
        <f t="shared" si="2269"/>
        <v>1.7466000000000002</v>
      </c>
      <c r="J345" s="102">
        <f t="shared" si="2270"/>
        <v>0.58249110000000004</v>
      </c>
      <c r="K345" s="103">
        <v>0</v>
      </c>
      <c r="L345" s="104">
        <f t="shared" si="2271"/>
        <v>1</v>
      </c>
      <c r="M345" s="104">
        <f t="shared" si="2272"/>
        <v>1</v>
      </c>
      <c r="N345" s="104">
        <f t="shared" si="2273"/>
        <v>0</v>
      </c>
      <c r="O345" s="104">
        <f t="shared" si="2274"/>
        <v>6.67</v>
      </c>
      <c r="P345" s="105" t="s">
        <v>1999</v>
      </c>
      <c r="Q345" s="468" t="s">
        <v>2194</v>
      </c>
      <c r="R345" s="105"/>
      <c r="S345" s="105">
        <v>5</v>
      </c>
      <c r="T345" s="105">
        <v>5</v>
      </c>
      <c r="U345" s="104">
        <f t="shared" si="2275"/>
        <v>0.05</v>
      </c>
      <c r="V345" s="106">
        <f t="shared" si="2276"/>
        <v>0</v>
      </c>
      <c r="W345" s="106">
        <f t="shared" si="2248"/>
        <v>11.649822</v>
      </c>
      <c r="X345" s="107">
        <f t="shared" si="2277"/>
        <v>0</v>
      </c>
      <c r="Y345" s="107">
        <f t="shared" si="2278"/>
        <v>0</v>
      </c>
      <c r="Z345" s="107">
        <f t="shared" si="2279"/>
        <v>1.7466000000000002</v>
      </c>
      <c r="AA345" s="107">
        <f t="shared" si="2280"/>
        <v>0</v>
      </c>
      <c r="AB345" s="108">
        <f t="shared" si="2281"/>
        <v>6.67</v>
      </c>
      <c r="AC345" s="109">
        <f t="shared" si="2282"/>
        <v>0</v>
      </c>
      <c r="AD345" s="109">
        <f t="shared" si="2283"/>
        <v>0</v>
      </c>
      <c r="AE345" s="109">
        <f t="shared" si="2284"/>
        <v>0</v>
      </c>
      <c r="AF345" s="109">
        <f t="shared" si="2285"/>
        <v>10.004999999999999</v>
      </c>
      <c r="AG345" s="109">
        <f t="shared" si="2286"/>
        <v>1.6448220000000009</v>
      </c>
      <c r="AH345" s="109">
        <f t="shared" si="2287"/>
        <v>0</v>
      </c>
      <c r="AI345" s="537" t="str">
        <f t="shared" si="2288"/>
        <v>NÃO</v>
      </c>
      <c r="AJ345" s="104">
        <f t="shared" si="2289"/>
        <v>0</v>
      </c>
      <c r="AK345" s="104">
        <f t="shared" si="2290"/>
        <v>0</v>
      </c>
      <c r="AL345" s="104">
        <f t="shared" si="2291"/>
        <v>10.811645080022243</v>
      </c>
      <c r="AM345" s="102">
        <f t="shared" si="2292"/>
        <v>0.33350000000000002</v>
      </c>
      <c r="AN345" s="106">
        <f t="shared" si="2293"/>
        <v>0</v>
      </c>
      <c r="AO345" s="104">
        <f t="shared" si="2294"/>
        <v>0</v>
      </c>
      <c r="AP345" s="104">
        <f t="shared" si="2295"/>
        <v>0</v>
      </c>
      <c r="AQ345" s="104">
        <f t="shared" si="2296"/>
        <v>0.7</v>
      </c>
      <c r="AR345" s="104">
        <f t="shared" si="2297"/>
        <v>3.8308230800222427</v>
      </c>
      <c r="AS345" s="104">
        <f t="shared" si="2298"/>
        <v>0</v>
      </c>
      <c r="AT345" s="104">
        <f t="shared" si="2299"/>
        <v>1.0004999999999999</v>
      </c>
      <c r="AU345" s="104">
        <f t="shared" si="2300"/>
        <v>1.0004999999999999</v>
      </c>
      <c r="AV345" s="104">
        <f t="shared" si="2301"/>
        <v>0.2001</v>
      </c>
      <c r="AW345" s="104">
        <f t="shared" si="2302"/>
        <v>4.6463219999999987</v>
      </c>
      <c r="AX345" s="104">
        <f t="shared" si="2303"/>
        <v>6.818498919977757</v>
      </c>
      <c r="AY345" s="104">
        <f t="shared" si="2304"/>
        <v>4.6463219999999987</v>
      </c>
      <c r="AZ345" s="104">
        <f t="shared" si="2305"/>
        <v>0</v>
      </c>
      <c r="BA345" s="104">
        <f t="shared" si="2306"/>
        <v>0</v>
      </c>
      <c r="BB345" s="104">
        <f t="shared" si="2307"/>
        <v>0</v>
      </c>
      <c r="BC345" s="104"/>
      <c r="BD345" s="104">
        <f t="shared" si="2308"/>
        <v>4.002E-2</v>
      </c>
      <c r="BE345" s="108">
        <f t="shared" si="2309"/>
        <v>1.7466000000000002</v>
      </c>
      <c r="BF345" s="110">
        <f t="shared" si="2310"/>
        <v>6.67</v>
      </c>
      <c r="BG345" s="110">
        <f t="shared" si="2311"/>
        <v>0</v>
      </c>
      <c r="BH345" s="105" t="str">
        <f>VLOOKUP(A345,'BOCA DE LOBO'!$C$229:$I$324,7,0)</f>
        <v>BOCA DE LOBO PROJETADA DUPLA</v>
      </c>
      <c r="BI345" s="104">
        <f t="shared" si="2312"/>
        <v>0</v>
      </c>
      <c r="BJ345" s="104">
        <f t="shared" si="2313"/>
        <v>0</v>
      </c>
      <c r="BK345" s="104">
        <f t="shared" si="2314"/>
        <v>0</v>
      </c>
      <c r="BL345" s="104">
        <f t="shared" si="2315"/>
        <v>0</v>
      </c>
      <c r="BM345" s="104">
        <f t="shared" si="2316"/>
        <v>0</v>
      </c>
      <c r="BN345" s="104">
        <f t="shared" si="2317"/>
        <v>1</v>
      </c>
      <c r="BO345" s="543">
        <f t="shared" si="2318"/>
        <v>0</v>
      </c>
      <c r="BP345" s="111"/>
      <c r="BQ345" s="108">
        <f t="shared" si="2319"/>
        <v>20.009999999999998</v>
      </c>
      <c r="BR345" s="108">
        <f t="shared" si="2320"/>
        <v>3.2896440000000018</v>
      </c>
      <c r="BS345" s="108">
        <f t="shared" si="2321"/>
        <v>0</v>
      </c>
      <c r="BV345" s="538">
        <f t="shared" si="2250"/>
        <v>11.543152319999999</v>
      </c>
      <c r="BW345" s="538">
        <f t="shared" si="2251"/>
        <v>7.7825999999999986</v>
      </c>
      <c r="BX345" s="538">
        <f t="shared" si="2252"/>
        <v>3.0325999999999995</v>
      </c>
      <c r="BY345" s="538">
        <f t="shared" si="2322"/>
        <v>1.4832000000000001</v>
      </c>
      <c r="BZ345" s="538">
        <f t="shared" si="2323"/>
        <v>1.4832000000000001</v>
      </c>
      <c r="CA345" s="538">
        <f t="shared" si="2324"/>
        <v>0</v>
      </c>
      <c r="CB345" s="538">
        <f t="shared" si="2325"/>
        <v>0</v>
      </c>
      <c r="CC345" s="538">
        <f t="shared" si="2326"/>
        <v>11.543152319999999</v>
      </c>
      <c r="CD345" s="538">
        <f t="shared" si="2327"/>
        <v>0</v>
      </c>
      <c r="CE345" s="538">
        <f t="shared" si="2328"/>
        <v>0</v>
      </c>
      <c r="CF345" s="538">
        <f t="shared" si="2329"/>
        <v>0</v>
      </c>
      <c r="CG345" s="538">
        <f t="shared" si="2330"/>
        <v>0</v>
      </c>
      <c r="CH345" s="538">
        <f t="shared" si="2331"/>
        <v>0</v>
      </c>
      <c r="CI345" s="104">
        <f t="shared" si="2253"/>
        <v>0.53549999999999998</v>
      </c>
      <c r="CJ345" s="538">
        <f t="shared" si="2332"/>
        <v>6.5096999999999996</v>
      </c>
      <c r="CK345" s="538">
        <f t="shared" si="2333"/>
        <v>6.5096999999999996</v>
      </c>
      <c r="CL345" s="538">
        <f t="shared" si="2334"/>
        <v>0</v>
      </c>
      <c r="CM345" s="538">
        <f t="shared" si="2335"/>
        <v>0</v>
      </c>
      <c r="CN345" s="538">
        <f t="shared" si="2255"/>
        <v>3.57</v>
      </c>
      <c r="CO345" s="538">
        <f t="shared" si="2336"/>
        <v>1.4832000000000001</v>
      </c>
      <c r="CP345" s="538">
        <f t="shared" si="2337"/>
        <v>10.590047999999999</v>
      </c>
      <c r="CQ345" s="538">
        <f t="shared" si="2338"/>
        <v>0</v>
      </c>
      <c r="CR345" s="539">
        <f t="shared" si="2256"/>
        <v>0</v>
      </c>
      <c r="CS345" s="540">
        <f t="shared" si="2257"/>
        <v>0</v>
      </c>
      <c r="CT345" s="540">
        <f t="shared" si="2258"/>
        <v>0.33012999999999998</v>
      </c>
      <c r="CU345" s="541">
        <f t="shared" si="2259"/>
        <v>7.7126400000000004</v>
      </c>
      <c r="CV345" s="538">
        <f t="shared" si="2260"/>
        <v>1.1278092</v>
      </c>
      <c r="CW345" s="538">
        <f t="shared" si="2261"/>
        <v>15.439176000000002</v>
      </c>
      <c r="CX345" s="104">
        <f t="shared" si="2262"/>
        <v>3.57</v>
      </c>
      <c r="CY345" s="542">
        <f t="shared" si="2263"/>
        <v>1.7849999999999999</v>
      </c>
      <c r="CZ345" s="538">
        <f t="shared" si="2264"/>
        <v>2.4513847475961154E-2</v>
      </c>
    </row>
    <row r="346" spans="1:104" s="112" customFormat="1" ht="25" x14ac:dyDescent="0.25">
      <c r="A346" s="100" t="str">
        <f>'BOCA DE LOBO'!C315</f>
        <v>BL86-&gt;PV2-79</v>
      </c>
      <c r="B346" s="100" t="str">
        <f>'BOCA DE LOBO'!A315</f>
        <v>PV2-79</v>
      </c>
      <c r="C346" s="100" t="str">
        <f>VLOOKUP(A346,'BOCA DE LOBO'!$C$229:$M$324,3,0)</f>
        <v>EXISTENTE</v>
      </c>
      <c r="D346" s="100" t="str">
        <f>VLOOKUP(A346,'BOCA DE LOBO'!$C$229:$M$324,10,0)</f>
        <v>PROJETADA</v>
      </c>
      <c r="E346" s="100">
        <f t="shared" si="2268"/>
        <v>2.3515999999999591</v>
      </c>
      <c r="F346" s="100">
        <f>VLOOKUP(A346,'BOCA DE LOBO'!$C$229:$D$324,2,0)</f>
        <v>2.6699999999999591</v>
      </c>
      <c r="G346" s="100">
        <f>VLOOKUP(A346,'BOCA DE LOBO'!$C$229:$F$324,4,0)</f>
        <v>7.96</v>
      </c>
      <c r="H346" s="101">
        <v>400</v>
      </c>
      <c r="I346" s="102">
        <f t="shared" si="2269"/>
        <v>2.6407999999999587</v>
      </c>
      <c r="J346" s="102">
        <f t="shared" si="2270"/>
        <v>1.0510383999999835</v>
      </c>
      <c r="K346" s="103">
        <v>0</v>
      </c>
      <c r="L346" s="104">
        <f t="shared" si="2271"/>
        <v>1</v>
      </c>
      <c r="M346" s="104">
        <f t="shared" si="2272"/>
        <v>1</v>
      </c>
      <c r="N346" s="104">
        <f t="shared" si="2273"/>
        <v>0</v>
      </c>
      <c r="O346" s="104">
        <f t="shared" si="2274"/>
        <v>7.96</v>
      </c>
      <c r="P346" s="105" t="s">
        <v>1999</v>
      </c>
      <c r="Q346" s="468" t="s">
        <v>2194</v>
      </c>
      <c r="R346" s="105"/>
      <c r="S346" s="105">
        <v>5</v>
      </c>
      <c r="T346" s="105">
        <v>5</v>
      </c>
      <c r="U346" s="104">
        <f t="shared" si="2275"/>
        <v>0.05</v>
      </c>
      <c r="V346" s="106">
        <f t="shared" si="2276"/>
        <v>0</v>
      </c>
      <c r="W346" s="106">
        <f t="shared" si="2248"/>
        <v>21.02076799999967</v>
      </c>
      <c r="X346" s="107">
        <f t="shared" si="2277"/>
        <v>0</v>
      </c>
      <c r="Y346" s="107">
        <f t="shared" si="2278"/>
        <v>0</v>
      </c>
      <c r="Z346" s="107">
        <f t="shared" si="2279"/>
        <v>2.6407999999999587</v>
      </c>
      <c r="AA346" s="107">
        <f t="shared" si="2280"/>
        <v>0</v>
      </c>
      <c r="AB346" s="108">
        <f t="shared" si="2281"/>
        <v>7.96</v>
      </c>
      <c r="AC346" s="109">
        <f t="shared" si="2282"/>
        <v>0</v>
      </c>
      <c r="AD346" s="109">
        <f t="shared" si="2283"/>
        <v>0</v>
      </c>
      <c r="AE346" s="109">
        <f t="shared" si="2284"/>
        <v>0</v>
      </c>
      <c r="AF346" s="109">
        <f t="shared" si="2285"/>
        <v>11.94</v>
      </c>
      <c r="AG346" s="109">
        <f t="shared" si="2286"/>
        <v>9.0807679999996722</v>
      </c>
      <c r="AH346" s="109">
        <f t="shared" si="2287"/>
        <v>0</v>
      </c>
      <c r="AI346" s="537" t="str">
        <f t="shared" si="2288"/>
        <v>NÃO</v>
      </c>
      <c r="AJ346" s="104">
        <f t="shared" si="2289"/>
        <v>0</v>
      </c>
      <c r="AK346" s="104">
        <f t="shared" si="2290"/>
        <v>0</v>
      </c>
      <c r="AL346" s="104">
        <f t="shared" si="2291"/>
        <v>20.020484899096679</v>
      </c>
      <c r="AM346" s="102">
        <f t="shared" si="2292"/>
        <v>0.39800000000000002</v>
      </c>
      <c r="AN346" s="106">
        <f t="shared" si="2293"/>
        <v>0</v>
      </c>
      <c r="AO346" s="104">
        <f t="shared" si="2294"/>
        <v>0</v>
      </c>
      <c r="AP346" s="104">
        <f t="shared" si="2295"/>
        <v>0</v>
      </c>
      <c r="AQ346" s="104">
        <f t="shared" si="2296"/>
        <v>0.7</v>
      </c>
      <c r="AR346" s="104">
        <f t="shared" si="2297"/>
        <v>4.5717168990970096</v>
      </c>
      <c r="AS346" s="104">
        <f t="shared" si="2298"/>
        <v>0</v>
      </c>
      <c r="AT346" s="104">
        <f t="shared" si="2299"/>
        <v>1.194</v>
      </c>
      <c r="AU346" s="104">
        <f t="shared" si="2300"/>
        <v>1.194</v>
      </c>
      <c r="AV346" s="104">
        <f t="shared" si="2301"/>
        <v>0.23879999999999998</v>
      </c>
      <c r="AW346" s="104">
        <f t="shared" si="2302"/>
        <v>12.662767999999673</v>
      </c>
      <c r="AX346" s="104">
        <f t="shared" si="2303"/>
        <v>15.255051100902662</v>
      </c>
      <c r="AY346" s="104">
        <f t="shared" si="2304"/>
        <v>12.662767999999673</v>
      </c>
      <c r="AZ346" s="104">
        <f t="shared" si="2305"/>
        <v>0</v>
      </c>
      <c r="BA346" s="104">
        <f t="shared" si="2306"/>
        <v>0</v>
      </c>
      <c r="BB346" s="104">
        <f t="shared" si="2307"/>
        <v>0</v>
      </c>
      <c r="BC346" s="104"/>
      <c r="BD346" s="104">
        <f t="shared" si="2308"/>
        <v>4.7759999999999997E-2</v>
      </c>
      <c r="BE346" s="108">
        <f t="shared" si="2309"/>
        <v>2.6407999999999587</v>
      </c>
      <c r="BF346" s="110">
        <f t="shared" si="2310"/>
        <v>0</v>
      </c>
      <c r="BG346" s="110">
        <f t="shared" si="2311"/>
        <v>7.96</v>
      </c>
      <c r="BH346" s="105" t="str">
        <f>VLOOKUP(A346,'BOCA DE LOBO'!$C$229:$I$324,7,0)</f>
        <v>BOCA DE LOBO PROJETADA DUPLA</v>
      </c>
      <c r="BI346" s="104">
        <f t="shared" si="2312"/>
        <v>0</v>
      </c>
      <c r="BJ346" s="104">
        <f t="shared" si="2313"/>
        <v>0</v>
      </c>
      <c r="BK346" s="104">
        <f t="shared" si="2314"/>
        <v>0</v>
      </c>
      <c r="BL346" s="104">
        <f t="shared" si="2315"/>
        <v>0</v>
      </c>
      <c r="BM346" s="104">
        <f t="shared" si="2316"/>
        <v>0</v>
      </c>
      <c r="BN346" s="104">
        <f t="shared" si="2317"/>
        <v>1</v>
      </c>
      <c r="BO346" s="543">
        <f t="shared" si="2318"/>
        <v>0</v>
      </c>
      <c r="BP346" s="111"/>
      <c r="BQ346" s="108">
        <f t="shared" si="2319"/>
        <v>23.88</v>
      </c>
      <c r="BR346" s="108">
        <f t="shared" si="2320"/>
        <v>18.161535999999344</v>
      </c>
      <c r="BS346" s="108">
        <f t="shared" si="2321"/>
        <v>0</v>
      </c>
      <c r="BV346" s="538">
        <f t="shared" si="2250"/>
        <v>18.30156215999968</v>
      </c>
      <c r="BW346" s="538">
        <f t="shared" si="2251"/>
        <v>7.7825999999999986</v>
      </c>
      <c r="BX346" s="538">
        <f t="shared" si="2252"/>
        <v>3.0325999999999995</v>
      </c>
      <c r="BY346" s="538">
        <f t="shared" si="2322"/>
        <v>2.3515999999999591</v>
      </c>
      <c r="BZ346" s="538">
        <f t="shared" si="2323"/>
        <v>2.3515999999999591</v>
      </c>
      <c r="CA346" s="538">
        <f t="shared" si="2324"/>
        <v>0</v>
      </c>
      <c r="CB346" s="538">
        <f t="shared" si="2325"/>
        <v>0</v>
      </c>
      <c r="CC346" s="538">
        <f t="shared" si="2326"/>
        <v>11.673899999999998</v>
      </c>
      <c r="CD346" s="538">
        <f t="shared" si="2327"/>
        <v>6.6276621599996801</v>
      </c>
      <c r="CE346" s="538">
        <f t="shared" si="2328"/>
        <v>0</v>
      </c>
      <c r="CF346" s="538">
        <f t="shared" si="2329"/>
        <v>0</v>
      </c>
      <c r="CG346" s="538">
        <f t="shared" si="2330"/>
        <v>0</v>
      </c>
      <c r="CH346" s="538">
        <f t="shared" si="2331"/>
        <v>0</v>
      </c>
      <c r="CI346" s="104">
        <f t="shared" si="2253"/>
        <v>0.53549999999999998</v>
      </c>
      <c r="CJ346" s="538">
        <f t="shared" si="2332"/>
        <v>10.634599999999804</v>
      </c>
      <c r="CK346" s="538">
        <f t="shared" si="2333"/>
        <v>10.634599999999804</v>
      </c>
      <c r="CL346" s="538">
        <f t="shared" si="2334"/>
        <v>0</v>
      </c>
      <c r="CM346" s="538">
        <f t="shared" si="2335"/>
        <v>0</v>
      </c>
      <c r="CN346" s="538">
        <f t="shared" si="2255"/>
        <v>3.57</v>
      </c>
      <c r="CO346" s="538">
        <f t="shared" si="2336"/>
        <v>2.3515999999999591</v>
      </c>
      <c r="CP346" s="538">
        <f t="shared" si="2337"/>
        <v>10.709999999999999</v>
      </c>
      <c r="CQ346" s="538">
        <f t="shared" si="2338"/>
        <v>6.0804239999997076</v>
      </c>
      <c r="CR346" s="539">
        <f t="shared" si="2256"/>
        <v>0</v>
      </c>
      <c r="CS346" s="540">
        <f t="shared" si="2257"/>
        <v>0</v>
      </c>
      <c r="CT346" s="540">
        <f t="shared" si="2258"/>
        <v>0.33012999999999998</v>
      </c>
      <c r="CU346" s="541">
        <f t="shared" si="2259"/>
        <v>12.228319999999787</v>
      </c>
      <c r="CV346" s="538">
        <f t="shared" si="2260"/>
        <v>1.3935395999999873</v>
      </c>
      <c r="CW346" s="538">
        <f t="shared" si="2261"/>
        <v>22.108487999999685</v>
      </c>
      <c r="CX346" s="104">
        <f t="shared" si="2262"/>
        <v>3.57</v>
      </c>
      <c r="CY346" s="542">
        <f t="shared" si="2263"/>
        <v>1.7849999999999999</v>
      </c>
      <c r="CZ346" s="538">
        <f t="shared" si="2264"/>
        <v>2.4513847475961154E-2</v>
      </c>
    </row>
    <row r="347" spans="1:104" s="112" customFormat="1" ht="37.5" x14ac:dyDescent="0.25">
      <c r="A347" s="100" t="str">
        <f>'BOCA DE LOBO'!C316</f>
        <v>BL87-&gt;PV1-80</v>
      </c>
      <c r="B347" s="100" t="str">
        <f>'BOCA DE LOBO'!A316</f>
        <v>PV1-80</v>
      </c>
      <c r="C347" s="100" t="str">
        <f>VLOOKUP(A347,'BOCA DE LOBO'!$C$229:$M$324,3,0)</f>
        <v>EXISTENTE</v>
      </c>
      <c r="D347" s="100" t="str">
        <f>VLOOKUP(A347,'BOCA DE LOBO'!$C$229:$M$324,10,0)</f>
        <v>AMPLIADA</v>
      </c>
      <c r="E347" s="100">
        <f t="shared" si="2268"/>
        <v>1.3027999999999318</v>
      </c>
      <c r="F347" s="100">
        <f>VLOOKUP(A347,'BOCA DE LOBO'!$C$229:$D$324,2,0)</f>
        <v>1.4499999999999318</v>
      </c>
      <c r="G347" s="100">
        <f>VLOOKUP(A347,'BOCA DE LOBO'!$C$229:$F$324,4,0)</f>
        <v>3.68</v>
      </c>
      <c r="H347" s="101">
        <v>400</v>
      </c>
      <c r="I347" s="102">
        <f t="shared" si="2269"/>
        <v>1.506399999999932</v>
      </c>
      <c r="J347" s="102">
        <f t="shared" si="2270"/>
        <v>0</v>
      </c>
      <c r="K347" s="103">
        <v>0</v>
      </c>
      <c r="L347" s="104">
        <f t="shared" si="2271"/>
        <v>0</v>
      </c>
      <c r="M347" s="104">
        <f t="shared" si="2272"/>
        <v>0</v>
      </c>
      <c r="N347" s="104">
        <f t="shared" si="2273"/>
        <v>400</v>
      </c>
      <c r="O347" s="104">
        <f t="shared" si="2274"/>
        <v>0</v>
      </c>
      <c r="P347" s="105" t="s">
        <v>1999</v>
      </c>
      <c r="Q347" s="468" t="s">
        <v>2195</v>
      </c>
      <c r="R347" s="105"/>
      <c r="S347" s="105">
        <v>5</v>
      </c>
      <c r="T347" s="105">
        <v>5</v>
      </c>
      <c r="U347" s="104">
        <f t="shared" si="2275"/>
        <v>0.05</v>
      </c>
      <c r="V347" s="106">
        <f t="shared" si="2276"/>
        <v>0</v>
      </c>
      <c r="W347" s="106">
        <f t="shared" si="2248"/>
        <v>0</v>
      </c>
      <c r="X347" s="107">
        <f t="shared" si="2277"/>
        <v>0</v>
      </c>
      <c r="Y347" s="107">
        <f t="shared" si="2278"/>
        <v>0</v>
      </c>
      <c r="Z347" s="107">
        <f t="shared" si="2279"/>
        <v>1.506399999999932</v>
      </c>
      <c r="AA347" s="107">
        <f t="shared" si="2280"/>
        <v>0</v>
      </c>
      <c r="AB347" s="108">
        <f t="shared" si="2281"/>
        <v>0</v>
      </c>
      <c r="AC347" s="109">
        <f t="shared" si="2282"/>
        <v>0</v>
      </c>
      <c r="AD347" s="109">
        <f t="shared" si="2283"/>
        <v>0</v>
      </c>
      <c r="AE347" s="109">
        <f t="shared" si="2284"/>
        <v>0</v>
      </c>
      <c r="AF347" s="109">
        <f t="shared" si="2285"/>
        <v>0</v>
      </c>
      <c r="AG347" s="109">
        <f t="shared" si="2286"/>
        <v>0</v>
      </c>
      <c r="AH347" s="109">
        <f t="shared" si="2287"/>
        <v>0</v>
      </c>
      <c r="AI347" s="537" t="str">
        <f t="shared" si="2288"/>
        <v>NÃO</v>
      </c>
      <c r="AJ347" s="104">
        <f t="shared" si="2289"/>
        <v>0</v>
      </c>
      <c r="AK347" s="104">
        <f t="shared" si="2290"/>
        <v>0</v>
      </c>
      <c r="AL347" s="104">
        <f t="shared" si="2291"/>
        <v>0</v>
      </c>
      <c r="AM347" s="102">
        <f t="shared" si="2292"/>
        <v>0</v>
      </c>
      <c r="AN347" s="106">
        <f t="shared" si="2293"/>
        <v>0</v>
      </c>
      <c r="AO347" s="104">
        <f t="shared" si="2294"/>
        <v>0</v>
      </c>
      <c r="AP347" s="104">
        <f t="shared" si="2295"/>
        <v>0</v>
      </c>
      <c r="AQ347" s="104">
        <f t="shared" si="2296"/>
        <v>0.7</v>
      </c>
      <c r="AR347" s="104">
        <f t="shared" si="2297"/>
        <v>0</v>
      </c>
      <c r="AS347" s="104">
        <f t="shared" si="2298"/>
        <v>0</v>
      </c>
      <c r="AT347" s="104">
        <f t="shared" si="2299"/>
        <v>0</v>
      </c>
      <c r="AU347" s="104">
        <f t="shared" si="2300"/>
        <v>0</v>
      </c>
      <c r="AV347" s="104">
        <f t="shared" si="2301"/>
        <v>0</v>
      </c>
      <c r="AW347" s="104">
        <f t="shared" si="2302"/>
        <v>0</v>
      </c>
      <c r="AX347" s="104">
        <f t="shared" si="2303"/>
        <v>0</v>
      </c>
      <c r="AY347" s="104">
        <f t="shared" si="2304"/>
        <v>0</v>
      </c>
      <c r="AZ347" s="104">
        <f t="shared" si="2305"/>
        <v>0</v>
      </c>
      <c r="BA347" s="104">
        <f t="shared" si="2306"/>
        <v>0</v>
      </c>
      <c r="BB347" s="104">
        <f t="shared" si="2307"/>
        <v>0</v>
      </c>
      <c r="BC347" s="104"/>
      <c r="BD347" s="104">
        <f t="shared" si="2308"/>
        <v>0</v>
      </c>
      <c r="BE347" s="108">
        <f t="shared" si="2309"/>
        <v>0</v>
      </c>
      <c r="BF347" s="110">
        <f t="shared" si="2310"/>
        <v>0</v>
      </c>
      <c r="BG347" s="110">
        <f t="shared" si="2311"/>
        <v>0</v>
      </c>
      <c r="BH347" s="105" t="str">
        <f>VLOOKUP(A347,'BOCA DE LOBO'!$C$229:$I$324,7,0)</f>
        <v>BOCA DE LOBO SIMPLES EXISTENTE COM BOCA DE LOBO SIMPLES PROJETADA</v>
      </c>
      <c r="BI347" s="104">
        <f t="shared" si="2312"/>
        <v>0</v>
      </c>
      <c r="BJ347" s="104">
        <f t="shared" si="2313"/>
        <v>1</v>
      </c>
      <c r="BK347" s="104">
        <f t="shared" si="2314"/>
        <v>0</v>
      </c>
      <c r="BL347" s="104">
        <f t="shared" si="2315"/>
        <v>0</v>
      </c>
      <c r="BM347" s="104">
        <f t="shared" si="2316"/>
        <v>0</v>
      </c>
      <c r="BN347" s="104">
        <f t="shared" si="2317"/>
        <v>0</v>
      </c>
      <c r="BO347" s="543">
        <f t="shared" si="2318"/>
        <v>0</v>
      </c>
      <c r="BP347" s="111"/>
      <c r="BQ347" s="108">
        <f t="shared" si="2319"/>
        <v>11.040000000000001</v>
      </c>
      <c r="BR347" s="108">
        <f t="shared" si="2320"/>
        <v>4.7103999999499636E-2</v>
      </c>
      <c r="BS347" s="108">
        <f t="shared" si="2321"/>
        <v>0</v>
      </c>
      <c r="BV347" s="538">
        <f t="shared" si="2250"/>
        <v>4.7713747199997494</v>
      </c>
      <c r="BW347" s="538">
        <f t="shared" si="2251"/>
        <v>3.6623999999999994</v>
      </c>
      <c r="BX347" s="538">
        <f t="shared" si="2252"/>
        <v>1.3923999999999999</v>
      </c>
      <c r="BY347" s="538">
        <f t="shared" si="2322"/>
        <v>1.3027999999999318</v>
      </c>
      <c r="BZ347" s="538">
        <f t="shared" si="2323"/>
        <v>1.3027999999999318</v>
      </c>
      <c r="CA347" s="538">
        <f t="shared" si="2324"/>
        <v>0</v>
      </c>
      <c r="CB347" s="538">
        <f t="shared" si="2325"/>
        <v>0</v>
      </c>
      <c r="CC347" s="538">
        <f t="shared" si="2326"/>
        <v>4.7713747199997494</v>
      </c>
      <c r="CD347" s="538">
        <f t="shared" si="2327"/>
        <v>0</v>
      </c>
      <c r="CE347" s="538">
        <f t="shared" si="2328"/>
        <v>0</v>
      </c>
      <c r="CF347" s="538">
        <f t="shared" si="2329"/>
        <v>0</v>
      </c>
      <c r="CG347" s="538">
        <f t="shared" si="2330"/>
        <v>0</v>
      </c>
      <c r="CH347" s="538">
        <f t="shared" si="2331"/>
        <v>0</v>
      </c>
      <c r="CI347" s="104">
        <f t="shared" si="2253"/>
        <v>0.252</v>
      </c>
      <c r="CJ347" s="538">
        <f t="shared" si="2332"/>
        <v>2.7053559999998447</v>
      </c>
      <c r="CK347" s="538">
        <f t="shared" si="2333"/>
        <v>2.7053559999998447</v>
      </c>
      <c r="CL347" s="538">
        <f t="shared" si="2334"/>
        <v>0</v>
      </c>
      <c r="CM347" s="538">
        <f t="shared" si="2335"/>
        <v>0</v>
      </c>
      <c r="CN347" s="538">
        <f t="shared" si="2255"/>
        <v>1.68</v>
      </c>
      <c r="CO347" s="538">
        <f t="shared" si="2336"/>
        <v>1.3027999999999318</v>
      </c>
      <c r="CP347" s="538">
        <f t="shared" si="2337"/>
        <v>4.3774079999997708</v>
      </c>
      <c r="CQ347" s="538">
        <f t="shared" si="2338"/>
        <v>0</v>
      </c>
      <c r="CR347" s="539">
        <f t="shared" si="2256"/>
        <v>0.44153999999996252</v>
      </c>
      <c r="CS347" s="540">
        <f t="shared" si="2257"/>
        <v>2.6577119999998611E-2</v>
      </c>
      <c r="CT347" s="540">
        <f t="shared" si="2258"/>
        <v>0.15421000000000001</v>
      </c>
      <c r="CU347" s="541">
        <f t="shared" si="2259"/>
        <v>3.3872799999998229</v>
      </c>
      <c r="CV347" s="538">
        <f t="shared" si="2260"/>
        <v>0.65781119999998605</v>
      </c>
      <c r="CW347" s="538">
        <f t="shared" si="2261"/>
        <v>9.6349359999996516</v>
      </c>
      <c r="CX347" s="104">
        <f t="shared" si="2262"/>
        <v>1.68</v>
      </c>
      <c r="CY347" s="542">
        <f t="shared" si="2263"/>
        <v>0.84</v>
      </c>
      <c r="CZ347" s="538">
        <f t="shared" si="2264"/>
        <v>0</v>
      </c>
    </row>
    <row r="348" spans="1:104" s="112" customFormat="1" ht="25" x14ac:dyDescent="0.25">
      <c r="A348" s="100" t="str">
        <f>'BOCA DE LOBO'!C317</f>
        <v>BL88-&gt;PV2-80</v>
      </c>
      <c r="B348" s="100" t="str">
        <f>'BOCA DE LOBO'!A317</f>
        <v>PV2-80</v>
      </c>
      <c r="C348" s="100" t="str">
        <f>VLOOKUP(A348,'BOCA DE LOBO'!$C$229:$M$324,3,0)</f>
        <v>EXISTENTE</v>
      </c>
      <c r="D348" s="100" t="str">
        <f>VLOOKUP(A348,'BOCA DE LOBO'!$C$229:$M$324,10,0)</f>
        <v>EXISTENTE</v>
      </c>
      <c r="E348" s="100">
        <f t="shared" si="2268"/>
        <v>2.0987999999999811</v>
      </c>
      <c r="F348" s="100">
        <f>VLOOKUP(A348,'BOCA DE LOBO'!$C$229:$D$324,2,0)</f>
        <v>2.2459999999999809</v>
      </c>
      <c r="G348" s="100">
        <f>VLOOKUP(A348,'BOCA DE LOBO'!$C$229:$F$324,4,0)</f>
        <v>3.68</v>
      </c>
      <c r="H348" s="101">
        <v>400</v>
      </c>
      <c r="I348" s="102">
        <f t="shared" si="2269"/>
        <v>2.3023999999999809</v>
      </c>
      <c r="J348" s="102">
        <f t="shared" si="2270"/>
        <v>0</v>
      </c>
      <c r="K348" s="103">
        <v>0</v>
      </c>
      <c r="L348" s="104">
        <f t="shared" si="2271"/>
        <v>0</v>
      </c>
      <c r="M348" s="104">
        <f t="shared" si="2272"/>
        <v>0</v>
      </c>
      <c r="N348" s="104">
        <f t="shared" si="2273"/>
        <v>400</v>
      </c>
      <c r="O348" s="104">
        <f t="shared" si="2274"/>
        <v>0</v>
      </c>
      <c r="P348" s="105" t="s">
        <v>1999</v>
      </c>
      <c r="Q348" s="468" t="s">
        <v>2191</v>
      </c>
      <c r="R348" s="105"/>
      <c r="S348" s="105">
        <v>5</v>
      </c>
      <c r="T348" s="105">
        <v>5</v>
      </c>
      <c r="U348" s="104">
        <f t="shared" si="2275"/>
        <v>0.05</v>
      </c>
      <c r="V348" s="106">
        <f t="shared" si="2276"/>
        <v>0</v>
      </c>
      <c r="W348" s="106">
        <f t="shared" si="2248"/>
        <v>0</v>
      </c>
      <c r="X348" s="107">
        <f t="shared" si="2277"/>
        <v>0</v>
      </c>
      <c r="Y348" s="107">
        <f t="shared" si="2278"/>
        <v>0</v>
      </c>
      <c r="Z348" s="107">
        <f t="shared" si="2279"/>
        <v>2.3023999999999809</v>
      </c>
      <c r="AA348" s="107">
        <f t="shared" si="2280"/>
        <v>0</v>
      </c>
      <c r="AB348" s="108">
        <f t="shared" si="2281"/>
        <v>0</v>
      </c>
      <c r="AC348" s="109">
        <f t="shared" si="2282"/>
        <v>0</v>
      </c>
      <c r="AD348" s="109">
        <f t="shared" si="2283"/>
        <v>0</v>
      </c>
      <c r="AE348" s="109">
        <f t="shared" si="2284"/>
        <v>0</v>
      </c>
      <c r="AF348" s="109">
        <f t="shared" si="2285"/>
        <v>0</v>
      </c>
      <c r="AG348" s="109">
        <f t="shared" si="2286"/>
        <v>0</v>
      </c>
      <c r="AH348" s="109">
        <f t="shared" si="2287"/>
        <v>0</v>
      </c>
      <c r="AI348" s="537" t="str">
        <f t="shared" si="2288"/>
        <v>NÃO</v>
      </c>
      <c r="AJ348" s="104">
        <f t="shared" si="2289"/>
        <v>0</v>
      </c>
      <c r="AK348" s="104">
        <f t="shared" si="2290"/>
        <v>0</v>
      </c>
      <c r="AL348" s="104">
        <f t="shared" si="2291"/>
        <v>0</v>
      </c>
      <c r="AM348" s="102">
        <f t="shared" si="2292"/>
        <v>0</v>
      </c>
      <c r="AN348" s="106">
        <f t="shared" si="2293"/>
        <v>0</v>
      </c>
      <c r="AO348" s="104">
        <f t="shared" si="2294"/>
        <v>0</v>
      </c>
      <c r="AP348" s="104">
        <f t="shared" si="2295"/>
        <v>0</v>
      </c>
      <c r="AQ348" s="104">
        <f t="shared" si="2296"/>
        <v>0.7</v>
      </c>
      <c r="AR348" s="104">
        <f t="shared" si="2297"/>
        <v>0</v>
      </c>
      <c r="AS348" s="104">
        <f t="shared" si="2298"/>
        <v>0</v>
      </c>
      <c r="AT348" s="104">
        <f t="shared" si="2299"/>
        <v>0</v>
      </c>
      <c r="AU348" s="104">
        <f t="shared" si="2300"/>
        <v>0</v>
      </c>
      <c r="AV348" s="104">
        <f t="shared" si="2301"/>
        <v>0</v>
      </c>
      <c r="AW348" s="104">
        <f t="shared" si="2302"/>
        <v>0</v>
      </c>
      <c r="AX348" s="104">
        <f t="shared" si="2303"/>
        <v>0</v>
      </c>
      <c r="AY348" s="104">
        <f t="shared" si="2304"/>
        <v>0</v>
      </c>
      <c r="AZ348" s="104">
        <f t="shared" si="2305"/>
        <v>0</v>
      </c>
      <c r="BA348" s="104">
        <f t="shared" si="2306"/>
        <v>0</v>
      </c>
      <c r="BB348" s="104">
        <f t="shared" si="2307"/>
        <v>0</v>
      </c>
      <c r="BC348" s="104"/>
      <c r="BD348" s="104">
        <f t="shared" si="2308"/>
        <v>0</v>
      </c>
      <c r="BE348" s="108">
        <f t="shared" si="2309"/>
        <v>0</v>
      </c>
      <c r="BF348" s="110">
        <f t="shared" si="2310"/>
        <v>0</v>
      </c>
      <c r="BG348" s="110">
        <f t="shared" si="2311"/>
        <v>0</v>
      </c>
      <c r="BH348" s="105" t="str">
        <f>VLOOKUP(A348,'BOCA DE LOBO'!$C$229:$I$324,7,0)</f>
        <v>BOCA DE LOBO EXISTENTE SIMPLES</v>
      </c>
      <c r="BI348" s="104">
        <f t="shared" si="2312"/>
        <v>0</v>
      </c>
      <c r="BJ348" s="104">
        <f t="shared" si="2313"/>
        <v>0</v>
      </c>
      <c r="BK348" s="104">
        <f t="shared" si="2314"/>
        <v>0</v>
      </c>
      <c r="BL348" s="104">
        <f t="shared" si="2315"/>
        <v>0</v>
      </c>
      <c r="BM348" s="104">
        <f t="shared" si="2316"/>
        <v>0</v>
      </c>
      <c r="BN348" s="104">
        <f t="shared" si="2317"/>
        <v>0</v>
      </c>
      <c r="BO348" s="543">
        <f t="shared" si="2318"/>
        <v>0</v>
      </c>
      <c r="BP348" s="111"/>
      <c r="BQ348" s="108">
        <f t="shared" si="2319"/>
        <v>11.040000000000001</v>
      </c>
      <c r="BR348" s="108">
        <f t="shared" si="2320"/>
        <v>5.9056639999998595</v>
      </c>
      <c r="BS348" s="108">
        <f t="shared" si="2321"/>
        <v>0</v>
      </c>
      <c r="BV348" s="538">
        <f t="shared" si="2250"/>
        <v>0</v>
      </c>
      <c r="BW348" s="538">
        <f t="shared" si="2251"/>
        <v>0</v>
      </c>
      <c r="BX348" s="538">
        <f t="shared" si="2252"/>
        <v>0</v>
      </c>
      <c r="BY348" s="538">
        <f t="shared" si="2322"/>
        <v>2.0987999999999811</v>
      </c>
      <c r="BZ348" s="538">
        <f t="shared" si="2323"/>
        <v>2.0987999999999811</v>
      </c>
      <c r="CA348" s="538">
        <f t="shared" si="2324"/>
        <v>0</v>
      </c>
      <c r="CB348" s="538">
        <f t="shared" si="2325"/>
        <v>0</v>
      </c>
      <c r="CC348" s="538">
        <f t="shared" si="2326"/>
        <v>0</v>
      </c>
      <c r="CD348" s="538">
        <f t="shared" si="2327"/>
        <v>0</v>
      </c>
      <c r="CE348" s="538">
        <f t="shared" si="2328"/>
        <v>0</v>
      </c>
      <c r="CF348" s="538">
        <f t="shared" si="2329"/>
        <v>0</v>
      </c>
      <c r="CG348" s="538">
        <f t="shared" si="2330"/>
        <v>0</v>
      </c>
      <c r="CH348" s="538">
        <f t="shared" si="2331"/>
        <v>0</v>
      </c>
      <c r="CI348" s="104">
        <f t="shared" si="2253"/>
        <v>0</v>
      </c>
      <c r="CJ348" s="538">
        <f t="shared" si="2332"/>
        <v>0</v>
      </c>
      <c r="CK348" s="538">
        <f t="shared" si="2333"/>
        <v>0</v>
      </c>
      <c r="CL348" s="538">
        <f t="shared" si="2334"/>
        <v>0</v>
      </c>
      <c r="CM348" s="538">
        <f t="shared" si="2335"/>
        <v>0</v>
      </c>
      <c r="CN348" s="538">
        <f t="shared" si="2255"/>
        <v>0</v>
      </c>
      <c r="CO348" s="538">
        <f t="shared" si="2336"/>
        <v>2.0987999999999811</v>
      </c>
      <c r="CP348" s="538">
        <f t="shared" si="2337"/>
        <v>0</v>
      </c>
      <c r="CQ348" s="538">
        <f t="shared" si="2338"/>
        <v>0</v>
      </c>
      <c r="CR348" s="539">
        <f t="shared" si="2256"/>
        <v>0</v>
      </c>
      <c r="CS348" s="540">
        <f t="shared" si="2257"/>
        <v>0</v>
      </c>
      <c r="CT348" s="540">
        <f t="shared" si="2258"/>
        <v>0</v>
      </c>
      <c r="CU348" s="541">
        <f t="shared" si="2259"/>
        <v>0</v>
      </c>
      <c r="CV348" s="538">
        <f t="shared" si="2260"/>
        <v>0</v>
      </c>
      <c r="CW348" s="538">
        <f t="shared" si="2261"/>
        <v>0</v>
      </c>
      <c r="CX348" s="104">
        <f t="shared" si="2262"/>
        <v>0</v>
      </c>
      <c r="CY348" s="542">
        <f t="shared" si="2263"/>
        <v>0</v>
      </c>
      <c r="CZ348" s="538">
        <f t="shared" si="2264"/>
        <v>0</v>
      </c>
    </row>
    <row r="349" spans="1:104" s="112" customFormat="1" ht="37.5" x14ac:dyDescent="0.25">
      <c r="A349" s="100" t="str">
        <f>'BOCA DE LOBO'!C318</f>
        <v>BL89-&gt;PV1-81</v>
      </c>
      <c r="B349" s="100" t="str">
        <f>'BOCA DE LOBO'!A318</f>
        <v>PV1-81</v>
      </c>
      <c r="C349" s="100" t="str">
        <f>VLOOKUP(A349,'BOCA DE LOBO'!$C$229:$M$324,3,0)</f>
        <v>EXISTENTE</v>
      </c>
      <c r="D349" s="100" t="str">
        <f>VLOOKUP(A349,'BOCA DE LOBO'!$C$229:$M$324,10,0)</f>
        <v>AMPLIADA</v>
      </c>
      <c r="E349" s="100">
        <f t="shared" si="2268"/>
        <v>1.3372000000000228</v>
      </c>
      <c r="F349" s="100">
        <f>VLOOKUP(A349,'BOCA DE LOBO'!$C$229:$D$324,2,0)</f>
        <v>1.6000000000000227</v>
      </c>
      <c r="G349" s="100">
        <f>VLOOKUP(A349,'BOCA DE LOBO'!$C$229:$F$324,4,0)</f>
        <v>6.57</v>
      </c>
      <c r="H349" s="101">
        <v>400</v>
      </c>
      <c r="I349" s="102">
        <f t="shared" si="2269"/>
        <v>1.5986000000000229</v>
      </c>
      <c r="J349" s="102">
        <f t="shared" si="2270"/>
        <v>0</v>
      </c>
      <c r="K349" s="103">
        <v>0</v>
      </c>
      <c r="L349" s="104">
        <f t="shared" si="2271"/>
        <v>0</v>
      </c>
      <c r="M349" s="104">
        <f t="shared" si="2272"/>
        <v>0</v>
      </c>
      <c r="N349" s="104">
        <f t="shared" si="2273"/>
        <v>400</v>
      </c>
      <c r="O349" s="104">
        <f t="shared" si="2274"/>
        <v>0</v>
      </c>
      <c r="P349" s="105" t="s">
        <v>1999</v>
      </c>
      <c r="Q349" s="468" t="s">
        <v>2195</v>
      </c>
      <c r="R349" s="105"/>
      <c r="S349" s="105">
        <v>5</v>
      </c>
      <c r="T349" s="105">
        <v>5</v>
      </c>
      <c r="U349" s="104">
        <f t="shared" si="2275"/>
        <v>0.05</v>
      </c>
      <c r="V349" s="106">
        <f t="shared" si="2276"/>
        <v>0</v>
      </c>
      <c r="W349" s="106">
        <f t="shared" si="2248"/>
        <v>0</v>
      </c>
      <c r="X349" s="107">
        <f t="shared" si="2277"/>
        <v>0</v>
      </c>
      <c r="Y349" s="107">
        <f t="shared" si="2278"/>
        <v>0</v>
      </c>
      <c r="Z349" s="107">
        <f t="shared" si="2279"/>
        <v>1.5986000000000229</v>
      </c>
      <c r="AA349" s="107">
        <f t="shared" si="2280"/>
        <v>0</v>
      </c>
      <c r="AB349" s="108">
        <f t="shared" si="2281"/>
        <v>0</v>
      </c>
      <c r="AC349" s="109">
        <f t="shared" si="2282"/>
        <v>0</v>
      </c>
      <c r="AD349" s="109">
        <f t="shared" si="2283"/>
        <v>0</v>
      </c>
      <c r="AE349" s="109">
        <f t="shared" si="2284"/>
        <v>0</v>
      </c>
      <c r="AF349" s="109">
        <f t="shared" si="2285"/>
        <v>0</v>
      </c>
      <c r="AG349" s="109">
        <f t="shared" si="2286"/>
        <v>0</v>
      </c>
      <c r="AH349" s="109">
        <f t="shared" si="2287"/>
        <v>0</v>
      </c>
      <c r="AI349" s="537" t="str">
        <f t="shared" si="2288"/>
        <v>NÃO</v>
      </c>
      <c r="AJ349" s="104">
        <f t="shared" si="2289"/>
        <v>0</v>
      </c>
      <c r="AK349" s="104">
        <f t="shared" si="2290"/>
        <v>0</v>
      </c>
      <c r="AL349" s="104">
        <f t="shared" si="2291"/>
        <v>0</v>
      </c>
      <c r="AM349" s="102">
        <f t="shared" si="2292"/>
        <v>0</v>
      </c>
      <c r="AN349" s="106">
        <f t="shared" si="2293"/>
        <v>0</v>
      </c>
      <c r="AO349" s="104">
        <f t="shared" si="2294"/>
        <v>0</v>
      </c>
      <c r="AP349" s="104">
        <f t="shared" si="2295"/>
        <v>0</v>
      </c>
      <c r="AQ349" s="104">
        <f t="shared" si="2296"/>
        <v>0.7</v>
      </c>
      <c r="AR349" s="104">
        <f t="shared" si="2297"/>
        <v>0</v>
      </c>
      <c r="AS349" s="104">
        <f t="shared" si="2298"/>
        <v>0</v>
      </c>
      <c r="AT349" s="104">
        <f t="shared" si="2299"/>
        <v>0</v>
      </c>
      <c r="AU349" s="104">
        <f t="shared" si="2300"/>
        <v>0</v>
      </c>
      <c r="AV349" s="104">
        <f t="shared" si="2301"/>
        <v>0</v>
      </c>
      <c r="AW349" s="104">
        <f t="shared" si="2302"/>
        <v>0</v>
      </c>
      <c r="AX349" s="104">
        <f t="shared" si="2303"/>
        <v>0</v>
      </c>
      <c r="AY349" s="104">
        <f t="shared" si="2304"/>
        <v>0</v>
      </c>
      <c r="AZ349" s="104">
        <f t="shared" si="2305"/>
        <v>0</v>
      </c>
      <c r="BA349" s="104">
        <f t="shared" si="2306"/>
        <v>0</v>
      </c>
      <c r="BB349" s="104">
        <f t="shared" si="2307"/>
        <v>0</v>
      </c>
      <c r="BC349" s="104"/>
      <c r="BD349" s="104">
        <f t="shared" si="2308"/>
        <v>0</v>
      </c>
      <c r="BE349" s="108">
        <f t="shared" si="2309"/>
        <v>0</v>
      </c>
      <c r="BF349" s="110">
        <f t="shared" si="2310"/>
        <v>0</v>
      </c>
      <c r="BG349" s="110">
        <f t="shared" si="2311"/>
        <v>0</v>
      </c>
      <c r="BH349" s="105" t="str">
        <f>VLOOKUP(A349,'BOCA DE LOBO'!$C$229:$I$324,7,0)</f>
        <v>BOCA DE LOBO SIMPLES EXISTENTE COM BOCA DE LOBO SIMPLES PROJETADA</v>
      </c>
      <c r="BI349" s="104">
        <f t="shared" si="2312"/>
        <v>0</v>
      </c>
      <c r="BJ349" s="104">
        <f t="shared" si="2313"/>
        <v>1</v>
      </c>
      <c r="BK349" s="104">
        <f t="shared" si="2314"/>
        <v>0</v>
      </c>
      <c r="BL349" s="104">
        <f t="shared" si="2315"/>
        <v>0</v>
      </c>
      <c r="BM349" s="104">
        <f t="shared" si="2316"/>
        <v>0</v>
      </c>
      <c r="BN349" s="104">
        <f t="shared" si="2317"/>
        <v>0</v>
      </c>
      <c r="BO349" s="543">
        <f t="shared" si="2318"/>
        <v>0</v>
      </c>
      <c r="BP349" s="111"/>
      <c r="BQ349" s="108">
        <f t="shared" si="2319"/>
        <v>19.71</v>
      </c>
      <c r="BR349" s="108">
        <f t="shared" si="2320"/>
        <v>1.2956040000003008</v>
      </c>
      <c r="BS349" s="108">
        <f t="shared" si="2321"/>
        <v>0</v>
      </c>
      <c r="BV349" s="538">
        <f t="shared" si="2250"/>
        <v>4.8973612800000828</v>
      </c>
      <c r="BW349" s="538">
        <f t="shared" si="2251"/>
        <v>3.6623999999999994</v>
      </c>
      <c r="BX349" s="538">
        <f t="shared" si="2252"/>
        <v>1.3923999999999999</v>
      </c>
      <c r="BY349" s="538">
        <f t="shared" si="2322"/>
        <v>1.3372000000000228</v>
      </c>
      <c r="BZ349" s="538">
        <f t="shared" si="2323"/>
        <v>1.3372000000000228</v>
      </c>
      <c r="CA349" s="538">
        <f t="shared" si="2324"/>
        <v>0</v>
      </c>
      <c r="CB349" s="538">
        <f t="shared" si="2325"/>
        <v>0</v>
      </c>
      <c r="CC349" s="538">
        <f t="shared" si="2326"/>
        <v>4.8973612800000828</v>
      </c>
      <c r="CD349" s="538">
        <f t="shared" si="2327"/>
        <v>0</v>
      </c>
      <c r="CE349" s="538">
        <f t="shared" si="2328"/>
        <v>0</v>
      </c>
      <c r="CF349" s="538">
        <f t="shared" si="2329"/>
        <v>0</v>
      </c>
      <c r="CG349" s="538">
        <f t="shared" si="2330"/>
        <v>0</v>
      </c>
      <c r="CH349" s="538">
        <f t="shared" si="2331"/>
        <v>0</v>
      </c>
      <c r="CI349" s="104">
        <f t="shared" si="2253"/>
        <v>0.252</v>
      </c>
      <c r="CJ349" s="538">
        <f t="shared" si="2332"/>
        <v>2.7834440000000509</v>
      </c>
      <c r="CK349" s="538">
        <f t="shared" si="2333"/>
        <v>2.7834440000000509</v>
      </c>
      <c r="CL349" s="538">
        <f t="shared" si="2334"/>
        <v>0</v>
      </c>
      <c r="CM349" s="538">
        <f t="shared" si="2335"/>
        <v>0</v>
      </c>
      <c r="CN349" s="538">
        <f t="shared" si="2255"/>
        <v>1.68</v>
      </c>
      <c r="CO349" s="538">
        <f t="shared" si="2336"/>
        <v>1.3372000000000228</v>
      </c>
      <c r="CP349" s="538">
        <f t="shared" si="2337"/>
        <v>4.4929920000000765</v>
      </c>
      <c r="CQ349" s="538">
        <f t="shared" si="2338"/>
        <v>0</v>
      </c>
      <c r="CR349" s="539">
        <f t="shared" si="2256"/>
        <v>0.46046000000001258</v>
      </c>
      <c r="CS349" s="540">
        <f t="shared" si="2257"/>
        <v>2.7278880000000467E-2</v>
      </c>
      <c r="CT349" s="540">
        <f t="shared" si="2258"/>
        <v>0.15421000000000001</v>
      </c>
      <c r="CU349" s="541">
        <f t="shared" si="2259"/>
        <v>3.4767200000000593</v>
      </c>
      <c r="CV349" s="538">
        <f t="shared" si="2260"/>
        <v>0.66482880000000466</v>
      </c>
      <c r="CW349" s="538">
        <f t="shared" si="2261"/>
        <v>9.8110640000001172</v>
      </c>
      <c r="CX349" s="104">
        <f t="shared" si="2262"/>
        <v>1.68</v>
      </c>
      <c r="CY349" s="542">
        <f t="shared" si="2263"/>
        <v>0.84</v>
      </c>
      <c r="CZ349" s="538">
        <f t="shared" si="2264"/>
        <v>0</v>
      </c>
    </row>
    <row r="350" spans="1:104" s="112" customFormat="1" ht="25" x14ac:dyDescent="0.25">
      <c r="A350" s="100" t="str">
        <f>'BOCA DE LOBO'!C319</f>
        <v>BL90-&gt;PV1-82</v>
      </c>
      <c r="B350" s="100" t="str">
        <f>'BOCA DE LOBO'!A319</f>
        <v>PV1-82</v>
      </c>
      <c r="C350" s="100" t="str">
        <f>VLOOKUP(A350,'BOCA DE LOBO'!$C$229:$M$324,3,0)</f>
        <v>EXISTENTE</v>
      </c>
      <c r="D350" s="100" t="str">
        <f>VLOOKUP(A350,'BOCA DE LOBO'!$C$229:$M$324,10,0)</f>
        <v>PROJETADA</v>
      </c>
      <c r="E350" s="100">
        <f t="shared" si="2268"/>
        <v>1.6788000000000682</v>
      </c>
      <c r="F350" s="100">
        <f>VLOOKUP(A350,'BOCA DE LOBO'!$C$229:$D$324,2,0)</f>
        <v>2.0500000000000682</v>
      </c>
      <c r="G350" s="100">
        <f>VLOOKUP(A350,'BOCA DE LOBO'!$C$229:$F$324,4,0)</f>
        <v>9.2799999999999994</v>
      </c>
      <c r="H350" s="101">
        <v>400</v>
      </c>
      <c r="I350" s="102">
        <f t="shared" si="2269"/>
        <v>1.9944000000000683</v>
      </c>
      <c r="J350" s="102">
        <f t="shared" si="2270"/>
        <v>0.92540160000003158</v>
      </c>
      <c r="K350" s="103">
        <v>0</v>
      </c>
      <c r="L350" s="104">
        <f t="shared" si="2271"/>
        <v>1</v>
      </c>
      <c r="M350" s="104">
        <f t="shared" si="2272"/>
        <v>1</v>
      </c>
      <c r="N350" s="104">
        <f t="shared" si="2273"/>
        <v>0</v>
      </c>
      <c r="O350" s="104">
        <f t="shared" si="2274"/>
        <v>9.2799999999999994</v>
      </c>
      <c r="P350" s="105" t="s">
        <v>1999</v>
      </c>
      <c r="Q350" s="468" t="s">
        <v>2195</v>
      </c>
      <c r="R350" s="105"/>
      <c r="S350" s="105">
        <v>5</v>
      </c>
      <c r="T350" s="105">
        <v>5</v>
      </c>
      <c r="U350" s="104">
        <f t="shared" si="2275"/>
        <v>0.05</v>
      </c>
      <c r="V350" s="106">
        <f t="shared" si="2276"/>
        <v>0</v>
      </c>
      <c r="W350" s="106">
        <f t="shared" si="2248"/>
        <v>18.508032000000632</v>
      </c>
      <c r="X350" s="107">
        <f t="shared" si="2277"/>
        <v>0</v>
      </c>
      <c r="Y350" s="107">
        <f t="shared" si="2278"/>
        <v>0</v>
      </c>
      <c r="Z350" s="107">
        <f t="shared" si="2279"/>
        <v>1.9944000000000683</v>
      </c>
      <c r="AA350" s="107">
        <f t="shared" si="2280"/>
        <v>0</v>
      </c>
      <c r="AB350" s="108">
        <f t="shared" si="2281"/>
        <v>9.2799999999999994</v>
      </c>
      <c r="AC350" s="109">
        <f t="shared" si="2282"/>
        <v>0</v>
      </c>
      <c r="AD350" s="109">
        <f t="shared" si="2283"/>
        <v>0</v>
      </c>
      <c r="AE350" s="109">
        <f t="shared" si="2284"/>
        <v>0</v>
      </c>
      <c r="AF350" s="109">
        <f t="shared" si="2285"/>
        <v>13.919999999999998</v>
      </c>
      <c r="AG350" s="109">
        <f t="shared" si="2286"/>
        <v>4.5880320000006343</v>
      </c>
      <c r="AH350" s="109">
        <f t="shared" si="2287"/>
        <v>0</v>
      </c>
      <c r="AI350" s="537" t="str">
        <f t="shared" si="2288"/>
        <v>NÃO</v>
      </c>
      <c r="AJ350" s="104">
        <f t="shared" si="2289"/>
        <v>0</v>
      </c>
      <c r="AK350" s="104">
        <f t="shared" si="2290"/>
        <v>0</v>
      </c>
      <c r="AL350" s="104">
        <f t="shared" si="2291"/>
        <v>17.3418728069881</v>
      </c>
      <c r="AM350" s="102">
        <f t="shared" si="2292"/>
        <v>0.46399999999999997</v>
      </c>
      <c r="AN350" s="106">
        <f t="shared" si="2293"/>
        <v>0</v>
      </c>
      <c r="AO350" s="104">
        <f t="shared" si="2294"/>
        <v>0</v>
      </c>
      <c r="AP350" s="104">
        <f t="shared" si="2295"/>
        <v>0</v>
      </c>
      <c r="AQ350" s="104">
        <f t="shared" si="2296"/>
        <v>0.7</v>
      </c>
      <c r="AR350" s="104">
        <f t="shared" si="2297"/>
        <v>5.3298408069874679</v>
      </c>
      <c r="AS350" s="104">
        <f t="shared" si="2298"/>
        <v>0</v>
      </c>
      <c r="AT350" s="104">
        <f t="shared" si="2299"/>
        <v>1.3919999999999999</v>
      </c>
      <c r="AU350" s="104">
        <f t="shared" si="2300"/>
        <v>1.3919999999999999</v>
      </c>
      <c r="AV350" s="104">
        <f t="shared" si="2301"/>
        <v>0.27839999999999998</v>
      </c>
      <c r="AW350" s="104">
        <f t="shared" si="2302"/>
        <v>8.7640320000006344</v>
      </c>
      <c r="AX350" s="104">
        <f t="shared" si="2303"/>
        <v>11.786191193013165</v>
      </c>
      <c r="AY350" s="104">
        <f t="shared" si="2304"/>
        <v>8.7640320000006344</v>
      </c>
      <c r="AZ350" s="104">
        <f t="shared" si="2305"/>
        <v>0</v>
      </c>
      <c r="BA350" s="104">
        <f t="shared" si="2306"/>
        <v>0</v>
      </c>
      <c r="BB350" s="104">
        <f t="shared" si="2307"/>
        <v>0</v>
      </c>
      <c r="BC350" s="104"/>
      <c r="BD350" s="104">
        <f t="shared" si="2308"/>
        <v>5.568E-2</v>
      </c>
      <c r="BE350" s="108">
        <f t="shared" si="2309"/>
        <v>1.9944000000000683</v>
      </c>
      <c r="BF350" s="110">
        <f t="shared" si="2310"/>
        <v>0</v>
      </c>
      <c r="BG350" s="110">
        <f t="shared" si="2311"/>
        <v>9.2799999999999994</v>
      </c>
      <c r="BH350" s="105" t="str">
        <f>VLOOKUP(A350,'BOCA DE LOBO'!$C$229:$I$324,7,0)</f>
        <v>BOCA DE LOBO PROJETADA DUPLA</v>
      </c>
      <c r="BI350" s="104">
        <f t="shared" si="2312"/>
        <v>0</v>
      </c>
      <c r="BJ350" s="104">
        <f t="shared" si="2313"/>
        <v>0</v>
      </c>
      <c r="BK350" s="104">
        <f t="shared" si="2314"/>
        <v>0</v>
      </c>
      <c r="BL350" s="104">
        <f t="shared" si="2315"/>
        <v>0</v>
      </c>
      <c r="BM350" s="104">
        <f t="shared" si="2316"/>
        <v>0</v>
      </c>
      <c r="BN350" s="104">
        <f t="shared" si="2317"/>
        <v>1</v>
      </c>
      <c r="BO350" s="543">
        <f t="shared" si="2318"/>
        <v>0</v>
      </c>
      <c r="BP350" s="111"/>
      <c r="BQ350" s="108">
        <f t="shared" si="2319"/>
        <v>27.839999999999996</v>
      </c>
      <c r="BR350" s="108">
        <f t="shared" si="2320"/>
        <v>9.1760640000012685</v>
      </c>
      <c r="BS350" s="108">
        <f t="shared" si="2321"/>
        <v>0</v>
      </c>
      <c r="BV350" s="538">
        <f t="shared" si="2250"/>
        <v>13.065428880000528</v>
      </c>
      <c r="BW350" s="538">
        <f t="shared" si="2251"/>
        <v>7.7825999999999986</v>
      </c>
      <c r="BX350" s="538">
        <f t="shared" si="2252"/>
        <v>3.0325999999999995</v>
      </c>
      <c r="BY350" s="538">
        <f t="shared" si="2322"/>
        <v>1.6788000000000682</v>
      </c>
      <c r="BZ350" s="538">
        <f t="shared" si="2323"/>
        <v>1.6788000000000682</v>
      </c>
      <c r="CA350" s="538">
        <f t="shared" si="2324"/>
        <v>0</v>
      </c>
      <c r="CB350" s="538">
        <f t="shared" si="2325"/>
        <v>0</v>
      </c>
      <c r="CC350" s="538">
        <f t="shared" si="2326"/>
        <v>11.673899999999998</v>
      </c>
      <c r="CD350" s="538">
        <f t="shared" si="2327"/>
        <v>1.3915288800005308</v>
      </c>
      <c r="CE350" s="538">
        <f t="shared" si="2328"/>
        <v>0</v>
      </c>
      <c r="CF350" s="538">
        <f t="shared" si="2329"/>
        <v>0</v>
      </c>
      <c r="CG350" s="538">
        <f t="shared" si="2330"/>
        <v>0</v>
      </c>
      <c r="CH350" s="538">
        <f t="shared" si="2331"/>
        <v>0</v>
      </c>
      <c r="CI350" s="104">
        <f t="shared" si="2253"/>
        <v>0.53549999999999998</v>
      </c>
      <c r="CJ350" s="538">
        <f t="shared" si="2332"/>
        <v>7.4388000000003229</v>
      </c>
      <c r="CK350" s="538">
        <f t="shared" si="2333"/>
        <v>7.4388000000003229</v>
      </c>
      <c r="CL350" s="538">
        <f t="shared" si="2334"/>
        <v>0</v>
      </c>
      <c r="CM350" s="538">
        <f t="shared" si="2335"/>
        <v>0</v>
      </c>
      <c r="CN350" s="538">
        <f t="shared" si="2255"/>
        <v>3.57</v>
      </c>
      <c r="CO350" s="538">
        <f t="shared" si="2336"/>
        <v>1.6788000000000682</v>
      </c>
      <c r="CP350" s="538">
        <f t="shared" si="2337"/>
        <v>10.709999999999999</v>
      </c>
      <c r="CQ350" s="538">
        <f t="shared" si="2338"/>
        <v>1.2766320000004872</v>
      </c>
      <c r="CR350" s="539">
        <f t="shared" si="2256"/>
        <v>0</v>
      </c>
      <c r="CS350" s="540">
        <f t="shared" si="2257"/>
        <v>0</v>
      </c>
      <c r="CT350" s="540">
        <f t="shared" si="2258"/>
        <v>0.33012999999999998</v>
      </c>
      <c r="CU350" s="541">
        <f t="shared" si="2259"/>
        <v>8.7297600000003559</v>
      </c>
      <c r="CV350" s="538">
        <f t="shared" si="2260"/>
        <v>1.1876628000000207</v>
      </c>
      <c r="CW350" s="538">
        <f t="shared" si="2261"/>
        <v>16.941384000000522</v>
      </c>
      <c r="CX350" s="104">
        <f t="shared" si="2262"/>
        <v>3.57</v>
      </c>
      <c r="CY350" s="542">
        <f t="shared" si="2263"/>
        <v>1.7849999999999999</v>
      </c>
      <c r="CZ350" s="538">
        <f t="shared" si="2264"/>
        <v>2.4513847475961154E-2</v>
      </c>
    </row>
    <row r="351" spans="1:104" s="112" customFormat="1" ht="25" x14ac:dyDescent="0.25">
      <c r="A351" s="100" t="str">
        <f>'BOCA DE LOBO'!C320</f>
        <v>BL91-&gt;PV1-83</v>
      </c>
      <c r="B351" s="100" t="str">
        <f>'BOCA DE LOBO'!A320</f>
        <v>PV1-83</v>
      </c>
      <c r="C351" s="100" t="str">
        <f>VLOOKUP(A351,'BOCA DE LOBO'!$C$229:$M$324,3,0)</f>
        <v>EXISTENTE</v>
      </c>
      <c r="D351" s="100" t="str">
        <f>VLOOKUP(A351,'BOCA DE LOBO'!$C$229:$M$324,10,0)</f>
        <v>EXISTENTE</v>
      </c>
      <c r="E351" s="100">
        <f t="shared" si="2268"/>
        <v>1.4816000000000455</v>
      </c>
      <c r="F351" s="100">
        <f>VLOOKUP(A351,'BOCA DE LOBO'!$C$229:$D$324,2,0)</f>
        <v>1.7000000000000455</v>
      </c>
      <c r="G351" s="100">
        <f>VLOOKUP(A351,'BOCA DE LOBO'!$C$229:$F$324,4,0)</f>
        <v>5.46</v>
      </c>
      <c r="H351" s="101">
        <v>400</v>
      </c>
      <c r="I351" s="102">
        <f t="shared" si="2269"/>
        <v>1.7208000000000456</v>
      </c>
      <c r="J351" s="102">
        <f t="shared" si="2270"/>
        <v>0</v>
      </c>
      <c r="K351" s="103">
        <v>0</v>
      </c>
      <c r="L351" s="104">
        <f t="shared" si="2271"/>
        <v>0</v>
      </c>
      <c r="M351" s="104">
        <f t="shared" si="2272"/>
        <v>0</v>
      </c>
      <c r="N351" s="104">
        <f t="shared" si="2273"/>
        <v>400</v>
      </c>
      <c r="O351" s="104">
        <f t="shared" si="2274"/>
        <v>0</v>
      </c>
      <c r="P351" s="105" t="s">
        <v>1999</v>
      </c>
      <c r="Q351" s="468" t="s">
        <v>2086</v>
      </c>
      <c r="R351" s="105"/>
      <c r="S351" s="105">
        <f>VLOOKUP(Q351,Quantitativos!P:R,3,0)</f>
        <v>5</v>
      </c>
      <c r="T351" s="105">
        <f>VLOOKUP(Q351,Quantitativos!P:S,4,0)</f>
        <v>5</v>
      </c>
      <c r="U351" s="104">
        <f t="shared" si="2275"/>
        <v>0.05</v>
      </c>
      <c r="V351" s="106">
        <f t="shared" si="2276"/>
        <v>0</v>
      </c>
      <c r="W351" s="106">
        <f t="shared" si="2248"/>
        <v>0</v>
      </c>
      <c r="X351" s="107">
        <f t="shared" si="2277"/>
        <v>0</v>
      </c>
      <c r="Y351" s="107">
        <f t="shared" si="2278"/>
        <v>0</v>
      </c>
      <c r="Z351" s="107">
        <f t="shared" si="2279"/>
        <v>1.7208000000000456</v>
      </c>
      <c r="AA351" s="107">
        <f t="shared" si="2280"/>
        <v>0</v>
      </c>
      <c r="AB351" s="108">
        <f t="shared" si="2281"/>
        <v>0</v>
      </c>
      <c r="AC351" s="109">
        <f t="shared" si="2282"/>
        <v>0</v>
      </c>
      <c r="AD351" s="109">
        <f t="shared" si="2283"/>
        <v>0</v>
      </c>
      <c r="AE351" s="109">
        <f t="shared" si="2284"/>
        <v>0</v>
      </c>
      <c r="AF351" s="109">
        <f t="shared" si="2285"/>
        <v>0</v>
      </c>
      <c r="AG351" s="109">
        <f t="shared" si="2286"/>
        <v>0</v>
      </c>
      <c r="AH351" s="109">
        <f t="shared" si="2287"/>
        <v>0</v>
      </c>
      <c r="AI351" s="537" t="str">
        <f t="shared" si="2288"/>
        <v>NÃO</v>
      </c>
      <c r="AJ351" s="104">
        <f t="shared" si="2289"/>
        <v>0</v>
      </c>
      <c r="AK351" s="104">
        <f t="shared" si="2290"/>
        <v>0</v>
      </c>
      <c r="AL351" s="104">
        <f t="shared" si="2291"/>
        <v>0</v>
      </c>
      <c r="AM351" s="102">
        <f t="shared" si="2292"/>
        <v>0</v>
      </c>
      <c r="AN351" s="106">
        <f t="shared" si="2293"/>
        <v>0</v>
      </c>
      <c r="AO351" s="104">
        <f t="shared" si="2294"/>
        <v>0</v>
      </c>
      <c r="AP351" s="104">
        <f t="shared" si="2295"/>
        <v>0</v>
      </c>
      <c r="AQ351" s="104">
        <f t="shared" si="2296"/>
        <v>0.7</v>
      </c>
      <c r="AR351" s="104">
        <f t="shared" si="2297"/>
        <v>0</v>
      </c>
      <c r="AS351" s="104">
        <f t="shared" si="2298"/>
        <v>0</v>
      </c>
      <c r="AT351" s="104">
        <f t="shared" si="2299"/>
        <v>0</v>
      </c>
      <c r="AU351" s="104">
        <f t="shared" si="2300"/>
        <v>0</v>
      </c>
      <c r="AV351" s="104">
        <f t="shared" si="2301"/>
        <v>0</v>
      </c>
      <c r="AW351" s="104">
        <f t="shared" si="2302"/>
        <v>0</v>
      </c>
      <c r="AX351" s="104">
        <f t="shared" si="2303"/>
        <v>0</v>
      </c>
      <c r="AY351" s="104">
        <f t="shared" si="2304"/>
        <v>0</v>
      </c>
      <c r="AZ351" s="104">
        <f t="shared" si="2305"/>
        <v>0</v>
      </c>
      <c r="BA351" s="104">
        <f t="shared" si="2306"/>
        <v>0</v>
      </c>
      <c r="BB351" s="104">
        <f t="shared" si="2307"/>
        <v>0</v>
      </c>
      <c r="BC351" s="104"/>
      <c r="BD351" s="104">
        <f t="shared" si="2308"/>
        <v>0</v>
      </c>
      <c r="BE351" s="108">
        <f t="shared" si="2309"/>
        <v>0</v>
      </c>
      <c r="BF351" s="110">
        <f t="shared" si="2310"/>
        <v>0</v>
      </c>
      <c r="BG351" s="110">
        <f t="shared" si="2311"/>
        <v>0</v>
      </c>
      <c r="BH351" s="105" t="str">
        <f>VLOOKUP(A351,'BOCA DE LOBO'!$C$229:$I$324,7,0)</f>
        <v>BOCA DE LOBO EXISTENTE DUPLA</v>
      </c>
      <c r="BI351" s="104">
        <f t="shared" si="2312"/>
        <v>0</v>
      </c>
      <c r="BJ351" s="104">
        <f t="shared" si="2313"/>
        <v>0</v>
      </c>
      <c r="BK351" s="104">
        <f t="shared" si="2314"/>
        <v>0</v>
      </c>
      <c r="BL351" s="104">
        <f t="shared" si="2315"/>
        <v>0</v>
      </c>
      <c r="BM351" s="104">
        <f t="shared" si="2316"/>
        <v>0</v>
      </c>
      <c r="BN351" s="104">
        <f t="shared" si="2317"/>
        <v>0</v>
      </c>
      <c r="BO351" s="543">
        <f t="shared" si="2318"/>
        <v>0</v>
      </c>
      <c r="BP351" s="111"/>
      <c r="BQ351" s="108">
        <f t="shared" si="2319"/>
        <v>16.38</v>
      </c>
      <c r="BR351" s="108">
        <f t="shared" si="2320"/>
        <v>2.4111360000004982</v>
      </c>
      <c r="BS351" s="108">
        <f t="shared" si="2321"/>
        <v>0</v>
      </c>
      <c r="BV351" s="538">
        <f t="shared" si="2250"/>
        <v>0</v>
      </c>
      <c r="BW351" s="538">
        <f t="shared" si="2251"/>
        <v>0</v>
      </c>
      <c r="BX351" s="538">
        <f t="shared" si="2252"/>
        <v>0</v>
      </c>
      <c r="BY351" s="538">
        <f t="shared" si="2322"/>
        <v>1.4816000000000455</v>
      </c>
      <c r="BZ351" s="538">
        <f t="shared" si="2323"/>
        <v>1.4816000000000455</v>
      </c>
      <c r="CA351" s="538">
        <f t="shared" si="2324"/>
        <v>0</v>
      </c>
      <c r="CB351" s="538">
        <f t="shared" si="2325"/>
        <v>0</v>
      </c>
      <c r="CC351" s="538">
        <f t="shared" si="2326"/>
        <v>0</v>
      </c>
      <c r="CD351" s="538">
        <f t="shared" si="2327"/>
        <v>0</v>
      </c>
      <c r="CE351" s="538">
        <f t="shared" si="2328"/>
        <v>0</v>
      </c>
      <c r="CF351" s="538">
        <f t="shared" si="2329"/>
        <v>0</v>
      </c>
      <c r="CG351" s="538">
        <f t="shared" si="2330"/>
        <v>0</v>
      </c>
      <c r="CH351" s="538">
        <f t="shared" si="2331"/>
        <v>0</v>
      </c>
      <c r="CI351" s="104">
        <f t="shared" si="2253"/>
        <v>0</v>
      </c>
      <c r="CJ351" s="538">
        <f t="shared" si="2332"/>
        <v>0</v>
      </c>
      <c r="CK351" s="538">
        <f t="shared" si="2333"/>
        <v>0</v>
      </c>
      <c r="CL351" s="538">
        <f t="shared" si="2334"/>
        <v>0</v>
      </c>
      <c r="CM351" s="538">
        <f t="shared" si="2335"/>
        <v>0</v>
      </c>
      <c r="CN351" s="538">
        <f t="shared" si="2255"/>
        <v>0</v>
      </c>
      <c r="CO351" s="538">
        <f t="shared" si="2336"/>
        <v>1.4816000000000455</v>
      </c>
      <c r="CP351" s="538">
        <f t="shared" si="2337"/>
        <v>0</v>
      </c>
      <c r="CQ351" s="538">
        <f t="shared" si="2338"/>
        <v>0</v>
      </c>
      <c r="CR351" s="539">
        <f t="shared" si="2256"/>
        <v>0</v>
      </c>
      <c r="CS351" s="540">
        <f t="shared" si="2257"/>
        <v>0</v>
      </c>
      <c r="CT351" s="540">
        <f t="shared" si="2258"/>
        <v>0</v>
      </c>
      <c r="CU351" s="541">
        <f t="shared" si="2259"/>
        <v>0</v>
      </c>
      <c r="CV351" s="538">
        <f t="shared" si="2260"/>
        <v>0</v>
      </c>
      <c r="CW351" s="538">
        <f t="shared" si="2261"/>
        <v>0</v>
      </c>
      <c r="CX351" s="104">
        <f t="shared" si="2262"/>
        <v>0</v>
      </c>
      <c r="CY351" s="542">
        <f t="shared" si="2263"/>
        <v>0</v>
      </c>
      <c r="CZ351" s="538">
        <f t="shared" si="2264"/>
        <v>0</v>
      </c>
    </row>
    <row r="352" spans="1:104" s="112" customFormat="1" ht="25" x14ac:dyDescent="0.25">
      <c r="A352" s="100" t="str">
        <f>'BOCA DE LOBO'!C321</f>
        <v>BL92-&gt;PV1-84</v>
      </c>
      <c r="B352" s="100" t="str">
        <f>'BOCA DE LOBO'!A321</f>
        <v>PV1-84</v>
      </c>
      <c r="C352" s="100" t="str">
        <f>VLOOKUP(A352,'BOCA DE LOBO'!$C$229:$M$324,3,0)</f>
        <v>EXISTENTE</v>
      </c>
      <c r="D352" s="100" t="str">
        <f>VLOOKUP(A352,'BOCA DE LOBO'!$C$229:$M$324,10,0)</f>
        <v>EXISTENTE</v>
      </c>
      <c r="E352" s="100">
        <f t="shared" si="2268"/>
        <v>1.0712000000000454</v>
      </c>
      <c r="F352" s="100">
        <f>VLOOKUP(A352,'BOCA DE LOBO'!$C$229:$D$324,2,0)</f>
        <v>1.2000000000000455</v>
      </c>
      <c r="G352" s="100">
        <f>VLOOKUP(A352,'BOCA DE LOBO'!$C$229:$F$324,4,0)</f>
        <v>3.22</v>
      </c>
      <c r="H352" s="101">
        <v>400</v>
      </c>
      <c r="I352" s="102">
        <f t="shared" si="2269"/>
        <v>1.2656000000000456</v>
      </c>
      <c r="J352" s="102">
        <f t="shared" si="2270"/>
        <v>0</v>
      </c>
      <c r="K352" s="103">
        <v>0</v>
      </c>
      <c r="L352" s="104">
        <f t="shared" si="2271"/>
        <v>0</v>
      </c>
      <c r="M352" s="104">
        <f t="shared" si="2272"/>
        <v>0</v>
      </c>
      <c r="N352" s="104">
        <f t="shared" si="2273"/>
        <v>400</v>
      </c>
      <c r="O352" s="104">
        <f t="shared" si="2274"/>
        <v>0</v>
      </c>
      <c r="P352" s="105" t="s">
        <v>1999</v>
      </c>
      <c r="Q352" s="468" t="s">
        <v>2086</v>
      </c>
      <c r="R352" s="105"/>
      <c r="S352" s="105">
        <f>VLOOKUP(Q352,Quantitativos!P:R,3,0)</f>
        <v>5</v>
      </c>
      <c r="T352" s="105">
        <f>VLOOKUP(Q352,Quantitativos!P:S,4,0)</f>
        <v>5</v>
      </c>
      <c r="U352" s="104">
        <f t="shared" si="2275"/>
        <v>0.05</v>
      </c>
      <c r="V352" s="106">
        <f t="shared" si="2276"/>
        <v>0</v>
      </c>
      <c r="W352" s="106">
        <f t="shared" si="2248"/>
        <v>0</v>
      </c>
      <c r="X352" s="107">
        <f t="shared" si="2277"/>
        <v>0</v>
      </c>
      <c r="Y352" s="107">
        <f t="shared" si="2278"/>
        <v>0</v>
      </c>
      <c r="Z352" s="107">
        <f t="shared" si="2279"/>
        <v>1.2656000000000456</v>
      </c>
      <c r="AA352" s="107">
        <f t="shared" si="2280"/>
        <v>0</v>
      </c>
      <c r="AB352" s="108">
        <f t="shared" si="2281"/>
        <v>0</v>
      </c>
      <c r="AC352" s="109">
        <f t="shared" si="2282"/>
        <v>0</v>
      </c>
      <c r="AD352" s="109">
        <f t="shared" si="2283"/>
        <v>0</v>
      </c>
      <c r="AE352" s="109">
        <f t="shared" si="2284"/>
        <v>0</v>
      </c>
      <c r="AF352" s="109">
        <f t="shared" si="2285"/>
        <v>0</v>
      </c>
      <c r="AG352" s="109">
        <f t="shared" si="2286"/>
        <v>0</v>
      </c>
      <c r="AH352" s="109">
        <f t="shared" si="2287"/>
        <v>0</v>
      </c>
      <c r="AI352" s="537" t="str">
        <f t="shared" si="2288"/>
        <v>NÃO</v>
      </c>
      <c r="AJ352" s="104">
        <f t="shared" si="2289"/>
        <v>0</v>
      </c>
      <c r="AK352" s="104">
        <f t="shared" si="2290"/>
        <v>0</v>
      </c>
      <c r="AL352" s="104">
        <f t="shared" si="2291"/>
        <v>0</v>
      </c>
      <c r="AM352" s="102">
        <f t="shared" si="2292"/>
        <v>0</v>
      </c>
      <c r="AN352" s="106">
        <f t="shared" si="2293"/>
        <v>0</v>
      </c>
      <c r="AO352" s="104">
        <f t="shared" si="2294"/>
        <v>0</v>
      </c>
      <c r="AP352" s="104">
        <f t="shared" si="2295"/>
        <v>0</v>
      </c>
      <c r="AQ352" s="104">
        <f t="shared" si="2296"/>
        <v>0.7</v>
      </c>
      <c r="AR352" s="104">
        <f t="shared" si="2297"/>
        <v>0</v>
      </c>
      <c r="AS352" s="104">
        <f t="shared" si="2298"/>
        <v>0</v>
      </c>
      <c r="AT352" s="104">
        <f t="shared" si="2299"/>
        <v>0</v>
      </c>
      <c r="AU352" s="104">
        <f t="shared" si="2300"/>
        <v>0</v>
      </c>
      <c r="AV352" s="104">
        <f t="shared" si="2301"/>
        <v>0</v>
      </c>
      <c r="AW352" s="104">
        <f t="shared" si="2302"/>
        <v>0</v>
      </c>
      <c r="AX352" s="104">
        <f t="shared" si="2303"/>
        <v>0</v>
      </c>
      <c r="AY352" s="104">
        <f t="shared" si="2304"/>
        <v>0</v>
      </c>
      <c r="AZ352" s="104">
        <f t="shared" si="2305"/>
        <v>0</v>
      </c>
      <c r="BA352" s="104">
        <f t="shared" si="2306"/>
        <v>0</v>
      </c>
      <c r="BB352" s="104">
        <f t="shared" si="2307"/>
        <v>0</v>
      </c>
      <c r="BC352" s="104"/>
      <c r="BD352" s="104">
        <f t="shared" si="2308"/>
        <v>0</v>
      </c>
      <c r="BE352" s="108">
        <f t="shared" si="2309"/>
        <v>0</v>
      </c>
      <c r="BF352" s="110">
        <f t="shared" si="2310"/>
        <v>0</v>
      </c>
      <c r="BG352" s="110">
        <f t="shared" si="2311"/>
        <v>0</v>
      </c>
      <c r="BH352" s="105" t="str">
        <f>VLOOKUP(A352,'BOCA DE LOBO'!$C$229:$I$324,7,0)</f>
        <v>BOCA DE LOBO EXISTENTE DUPLA</v>
      </c>
      <c r="BI352" s="104">
        <f t="shared" si="2312"/>
        <v>0</v>
      </c>
      <c r="BJ352" s="104">
        <f t="shared" si="2313"/>
        <v>0</v>
      </c>
      <c r="BK352" s="104">
        <f t="shared" si="2314"/>
        <v>0</v>
      </c>
      <c r="BL352" s="104">
        <f t="shared" si="2315"/>
        <v>0</v>
      </c>
      <c r="BM352" s="104">
        <f t="shared" si="2316"/>
        <v>0</v>
      </c>
      <c r="BN352" s="104">
        <f t="shared" si="2317"/>
        <v>0</v>
      </c>
      <c r="BO352" s="543">
        <f t="shared" si="2318"/>
        <v>0</v>
      </c>
      <c r="BP352" s="111"/>
      <c r="BQ352" s="108">
        <f t="shared" si="2319"/>
        <v>8.1504640000002944</v>
      </c>
      <c r="BR352" s="108">
        <f t="shared" si="2320"/>
        <v>0</v>
      </c>
      <c r="BS352" s="108">
        <f t="shared" si="2321"/>
        <v>0</v>
      </c>
      <c r="BV352" s="538">
        <f t="shared" si="2250"/>
        <v>0</v>
      </c>
      <c r="BW352" s="538">
        <f t="shared" si="2251"/>
        <v>0</v>
      </c>
      <c r="BX352" s="538">
        <f t="shared" si="2252"/>
        <v>0</v>
      </c>
      <c r="BY352" s="538">
        <f t="shared" si="2322"/>
        <v>1.0712000000000454</v>
      </c>
      <c r="BZ352" s="538">
        <f t="shared" si="2323"/>
        <v>1.0712000000000454</v>
      </c>
      <c r="CA352" s="538">
        <f t="shared" si="2324"/>
        <v>0</v>
      </c>
      <c r="CB352" s="538">
        <f t="shared" si="2325"/>
        <v>0</v>
      </c>
      <c r="CC352" s="538">
        <f t="shared" si="2326"/>
        <v>0</v>
      </c>
      <c r="CD352" s="538">
        <f t="shared" si="2327"/>
        <v>0</v>
      </c>
      <c r="CE352" s="538">
        <f t="shared" si="2328"/>
        <v>0</v>
      </c>
      <c r="CF352" s="538">
        <f t="shared" si="2329"/>
        <v>0</v>
      </c>
      <c r="CG352" s="538">
        <f t="shared" si="2330"/>
        <v>0</v>
      </c>
      <c r="CH352" s="538">
        <f t="shared" si="2331"/>
        <v>0</v>
      </c>
      <c r="CI352" s="104">
        <f t="shared" si="2253"/>
        <v>0</v>
      </c>
      <c r="CJ352" s="538">
        <f t="shared" si="2332"/>
        <v>0</v>
      </c>
      <c r="CK352" s="538">
        <f t="shared" si="2333"/>
        <v>0</v>
      </c>
      <c r="CL352" s="538">
        <f t="shared" si="2334"/>
        <v>0</v>
      </c>
      <c r="CM352" s="538">
        <f t="shared" si="2335"/>
        <v>0</v>
      </c>
      <c r="CN352" s="538">
        <f t="shared" si="2255"/>
        <v>0</v>
      </c>
      <c r="CO352" s="538">
        <f t="shared" si="2336"/>
        <v>1.0712000000000454</v>
      </c>
      <c r="CP352" s="538">
        <f t="shared" si="2337"/>
        <v>0</v>
      </c>
      <c r="CQ352" s="538">
        <f t="shared" si="2338"/>
        <v>0</v>
      </c>
      <c r="CR352" s="539">
        <f t="shared" si="2256"/>
        <v>0</v>
      </c>
      <c r="CS352" s="540">
        <f t="shared" si="2257"/>
        <v>0</v>
      </c>
      <c r="CT352" s="540">
        <f t="shared" si="2258"/>
        <v>0</v>
      </c>
      <c r="CU352" s="541">
        <f t="shared" si="2259"/>
        <v>0</v>
      </c>
      <c r="CV352" s="538">
        <f t="shared" si="2260"/>
        <v>0</v>
      </c>
      <c r="CW352" s="538">
        <f t="shared" si="2261"/>
        <v>0</v>
      </c>
      <c r="CX352" s="104">
        <f t="shared" si="2262"/>
        <v>0</v>
      </c>
      <c r="CY352" s="542">
        <f t="shared" si="2263"/>
        <v>0</v>
      </c>
      <c r="CZ352" s="538">
        <f t="shared" si="2264"/>
        <v>0</v>
      </c>
    </row>
    <row r="353" spans="1:104" s="112" customFormat="1" ht="37.5" x14ac:dyDescent="0.25">
      <c r="A353" s="100" t="str">
        <f>'BOCA DE LOBO'!C322</f>
        <v>BL93-&gt;PV1-85</v>
      </c>
      <c r="B353" s="100" t="str">
        <f>'BOCA DE LOBO'!A322</f>
        <v>PV1-85</v>
      </c>
      <c r="C353" s="100" t="str">
        <f>VLOOKUP(A353,'BOCA DE LOBO'!$C$229:$M$324,3,0)</f>
        <v>EXISTENTE</v>
      </c>
      <c r="D353" s="100" t="str">
        <f>VLOOKUP(A353,'BOCA DE LOBO'!$C$229:$M$324,10,0)</f>
        <v>AMPLIADA</v>
      </c>
      <c r="E353" s="100">
        <f t="shared" si="2268"/>
        <v>1.4492</v>
      </c>
      <c r="F353" s="100">
        <f>VLOOKUP(A353,'BOCA DE LOBO'!$C$229:$D$324,2,0)</f>
        <v>1.75</v>
      </c>
      <c r="G353" s="100">
        <f>VLOOKUP(A353,'BOCA DE LOBO'!$C$229:$F$324,4,0)</f>
        <v>7.52</v>
      </c>
      <c r="H353" s="101">
        <v>400</v>
      </c>
      <c r="I353" s="102">
        <f t="shared" si="2269"/>
        <v>1.7296000000000002</v>
      </c>
      <c r="J353" s="102">
        <f t="shared" si="2270"/>
        <v>0</v>
      </c>
      <c r="K353" s="103">
        <v>0</v>
      </c>
      <c r="L353" s="104">
        <f t="shared" si="2271"/>
        <v>0</v>
      </c>
      <c r="M353" s="104">
        <f t="shared" si="2272"/>
        <v>0</v>
      </c>
      <c r="N353" s="104">
        <f t="shared" si="2273"/>
        <v>400</v>
      </c>
      <c r="O353" s="104">
        <f t="shared" si="2274"/>
        <v>0</v>
      </c>
      <c r="P353" s="105" t="s">
        <v>1999</v>
      </c>
      <c r="Q353" s="468" t="s">
        <v>2186</v>
      </c>
      <c r="R353" s="105">
        <v>1</v>
      </c>
      <c r="S353" s="105">
        <v>5</v>
      </c>
      <c r="T353" s="105">
        <v>5</v>
      </c>
      <c r="U353" s="104">
        <f t="shared" si="2275"/>
        <v>0.05</v>
      </c>
      <c r="V353" s="106">
        <f t="shared" si="2276"/>
        <v>0</v>
      </c>
      <c r="W353" s="106">
        <f t="shared" si="2248"/>
        <v>0</v>
      </c>
      <c r="X353" s="107">
        <f t="shared" si="2277"/>
        <v>0</v>
      </c>
      <c r="Y353" s="107">
        <f t="shared" si="2278"/>
        <v>0.4</v>
      </c>
      <c r="Z353" s="107">
        <f t="shared" si="2279"/>
        <v>1.7296000000000002</v>
      </c>
      <c r="AA353" s="107">
        <f t="shared" si="2280"/>
        <v>0</v>
      </c>
      <c r="AB353" s="108">
        <f t="shared" si="2281"/>
        <v>0</v>
      </c>
      <c r="AC353" s="109">
        <f t="shared" si="2282"/>
        <v>0</v>
      </c>
      <c r="AD353" s="109">
        <f t="shared" si="2283"/>
        <v>0</v>
      </c>
      <c r="AE353" s="109">
        <f t="shared" si="2284"/>
        <v>0</v>
      </c>
      <c r="AF353" s="109">
        <f t="shared" si="2285"/>
        <v>0</v>
      </c>
      <c r="AG353" s="109">
        <f t="shared" si="2286"/>
        <v>0</v>
      </c>
      <c r="AH353" s="109">
        <f t="shared" si="2287"/>
        <v>0</v>
      </c>
      <c r="AI353" s="537" t="str">
        <f t="shared" si="2288"/>
        <v>NÃO</v>
      </c>
      <c r="AJ353" s="104">
        <f t="shared" si="2289"/>
        <v>0</v>
      </c>
      <c r="AK353" s="104">
        <f t="shared" si="2290"/>
        <v>0</v>
      </c>
      <c r="AL353" s="104">
        <f t="shared" si="2291"/>
        <v>0</v>
      </c>
      <c r="AM353" s="102">
        <f t="shared" si="2292"/>
        <v>0</v>
      </c>
      <c r="AN353" s="106">
        <f t="shared" si="2293"/>
        <v>0</v>
      </c>
      <c r="AO353" s="104">
        <f t="shared" si="2294"/>
        <v>0</v>
      </c>
      <c r="AP353" s="104">
        <f t="shared" si="2295"/>
        <v>0</v>
      </c>
      <c r="AQ353" s="104">
        <f t="shared" si="2296"/>
        <v>0.7</v>
      </c>
      <c r="AR353" s="104">
        <f t="shared" si="2297"/>
        <v>0</v>
      </c>
      <c r="AS353" s="104">
        <f t="shared" si="2298"/>
        <v>0</v>
      </c>
      <c r="AT353" s="104">
        <f t="shared" si="2299"/>
        <v>0</v>
      </c>
      <c r="AU353" s="104">
        <f t="shared" si="2300"/>
        <v>0</v>
      </c>
      <c r="AV353" s="104">
        <f t="shared" si="2301"/>
        <v>0</v>
      </c>
      <c r="AW353" s="104">
        <f t="shared" si="2302"/>
        <v>0</v>
      </c>
      <c r="AX353" s="104">
        <f t="shared" si="2303"/>
        <v>0</v>
      </c>
      <c r="AY353" s="104">
        <f t="shared" si="2304"/>
        <v>0</v>
      </c>
      <c r="AZ353" s="104">
        <f t="shared" si="2305"/>
        <v>0</v>
      </c>
      <c r="BA353" s="104">
        <f t="shared" si="2306"/>
        <v>0</v>
      </c>
      <c r="BB353" s="104">
        <f t="shared" si="2307"/>
        <v>0</v>
      </c>
      <c r="BC353" s="104"/>
      <c r="BD353" s="104">
        <f t="shared" si="2308"/>
        <v>0</v>
      </c>
      <c r="BE353" s="108">
        <f t="shared" si="2309"/>
        <v>0</v>
      </c>
      <c r="BF353" s="110">
        <f t="shared" si="2310"/>
        <v>0</v>
      </c>
      <c r="BG353" s="110">
        <f t="shared" si="2311"/>
        <v>0</v>
      </c>
      <c r="BH353" s="105" t="str">
        <f>VLOOKUP(A353,'BOCA DE LOBO'!$C$229:$I$324,7,0)</f>
        <v>BOCA DE LOBO SIMPLES EXISTENTE COM BOCA DE LOBO SIMPLES PROJETADA</v>
      </c>
      <c r="BI353" s="104">
        <f t="shared" si="2312"/>
        <v>0</v>
      </c>
      <c r="BJ353" s="104">
        <f t="shared" si="2313"/>
        <v>1</v>
      </c>
      <c r="BK353" s="104">
        <f t="shared" si="2314"/>
        <v>0</v>
      </c>
      <c r="BL353" s="104">
        <f t="shared" si="2315"/>
        <v>0</v>
      </c>
      <c r="BM353" s="104">
        <f t="shared" si="2316"/>
        <v>0</v>
      </c>
      <c r="BN353" s="104">
        <f t="shared" si="2317"/>
        <v>0</v>
      </c>
      <c r="BO353" s="543">
        <f t="shared" si="2318"/>
        <v>0</v>
      </c>
      <c r="BP353" s="111"/>
      <c r="BQ353" s="108">
        <f t="shared" si="2319"/>
        <v>22.56</v>
      </c>
      <c r="BR353" s="108">
        <f t="shared" si="2320"/>
        <v>10.973184000000007</v>
      </c>
      <c r="BS353" s="108">
        <f t="shared" si="2321"/>
        <v>0</v>
      </c>
      <c r="BV353" s="538">
        <f t="shared" si="2250"/>
        <v>7.1387500799999994</v>
      </c>
      <c r="BW353" s="538">
        <f t="shared" si="2251"/>
        <v>3.6623999999999994</v>
      </c>
      <c r="BX353" s="538">
        <f t="shared" si="2252"/>
        <v>1.3923999999999999</v>
      </c>
      <c r="BY353" s="538">
        <f t="shared" si="2322"/>
        <v>1.4492</v>
      </c>
      <c r="BZ353" s="538">
        <f t="shared" si="2323"/>
        <v>1.4492</v>
      </c>
      <c r="CA353" s="538">
        <f t="shared" si="2324"/>
        <v>0.4</v>
      </c>
      <c r="CB353" s="538">
        <f t="shared" si="2325"/>
        <v>0</v>
      </c>
      <c r="CC353" s="538">
        <f t="shared" si="2326"/>
        <v>5.3075500799999995</v>
      </c>
      <c r="CD353" s="538">
        <f t="shared" si="2327"/>
        <v>0</v>
      </c>
      <c r="CE353" s="538">
        <f t="shared" si="2328"/>
        <v>0</v>
      </c>
      <c r="CF353" s="538">
        <f t="shared" si="2329"/>
        <v>1.4649599999999998</v>
      </c>
      <c r="CG353" s="538">
        <f t="shared" si="2330"/>
        <v>0.36624000000000034</v>
      </c>
      <c r="CH353" s="538">
        <f t="shared" si="2331"/>
        <v>0</v>
      </c>
      <c r="CI353" s="104">
        <f t="shared" si="2253"/>
        <v>0.252</v>
      </c>
      <c r="CJ353" s="538">
        <f t="shared" si="2332"/>
        <v>3.945684</v>
      </c>
      <c r="CK353" s="538">
        <f t="shared" si="2333"/>
        <v>3.945684</v>
      </c>
      <c r="CL353" s="538">
        <f t="shared" si="2334"/>
        <v>0</v>
      </c>
      <c r="CM353" s="538">
        <f t="shared" si="2335"/>
        <v>7.3247999999999994E-2</v>
      </c>
      <c r="CN353" s="538">
        <f t="shared" si="2255"/>
        <v>1.68</v>
      </c>
      <c r="CO353" s="538">
        <f t="shared" si="2336"/>
        <v>1.9492</v>
      </c>
      <c r="CP353" s="538">
        <f t="shared" si="2337"/>
        <v>5.04</v>
      </c>
      <c r="CQ353" s="538">
        <f t="shared" si="2338"/>
        <v>1.509312</v>
      </c>
      <c r="CR353" s="539">
        <f t="shared" si="2256"/>
        <v>0.52206000000000008</v>
      </c>
      <c r="CS353" s="540">
        <f t="shared" si="2257"/>
        <v>2.9563680000000002E-2</v>
      </c>
      <c r="CT353" s="540">
        <f t="shared" si="2258"/>
        <v>0.15421000000000001</v>
      </c>
      <c r="CU353" s="541">
        <f t="shared" si="2259"/>
        <v>3.7679200000000002</v>
      </c>
      <c r="CV353" s="538">
        <f t="shared" si="2260"/>
        <v>0.68767679999999998</v>
      </c>
      <c r="CW353" s="538">
        <f t="shared" si="2261"/>
        <v>10.384504</v>
      </c>
      <c r="CX353" s="104">
        <f t="shared" si="2262"/>
        <v>1.68</v>
      </c>
      <c r="CY353" s="542">
        <f t="shared" si="2263"/>
        <v>0.84</v>
      </c>
      <c r="CZ353" s="538">
        <f t="shared" si="2264"/>
        <v>0</v>
      </c>
    </row>
    <row r="354" spans="1:104" s="112" customFormat="1" ht="37.5" x14ac:dyDescent="0.25">
      <c r="A354" s="100" t="str">
        <f>'BOCA DE LOBO'!C323</f>
        <v>BL94-&gt;PV2-85</v>
      </c>
      <c r="B354" s="100" t="str">
        <f>'BOCA DE LOBO'!A323</f>
        <v>PV2-85</v>
      </c>
      <c r="C354" s="100" t="str">
        <f>VLOOKUP(A354,'BOCA DE LOBO'!$C$229:$M$324,3,0)</f>
        <v>EXISTENTE</v>
      </c>
      <c r="D354" s="100" t="str">
        <f>VLOOKUP(A354,'BOCA DE LOBO'!$C$229:$M$324,10,0)</f>
        <v>AMPLIADA</v>
      </c>
      <c r="E354" s="100">
        <f t="shared" si="2268"/>
        <v>1.9679999999999955</v>
      </c>
      <c r="F354" s="100">
        <f>VLOOKUP(A354,'BOCA DE LOBO'!$C$229:$D$324,2,0)</f>
        <v>2.1299999999999955</v>
      </c>
      <c r="G354" s="100">
        <f>VLOOKUP(A354,'BOCA DE LOBO'!$C$229:$F$324,4,0)</f>
        <v>4.05</v>
      </c>
      <c r="H354" s="101">
        <v>400</v>
      </c>
      <c r="I354" s="102">
        <f t="shared" si="2269"/>
        <v>2.1789999999999954</v>
      </c>
      <c r="J354" s="102">
        <f t="shared" si="2270"/>
        <v>0</v>
      </c>
      <c r="K354" s="103">
        <v>0</v>
      </c>
      <c r="L354" s="104">
        <f t="shared" si="2271"/>
        <v>0</v>
      </c>
      <c r="M354" s="104">
        <f t="shared" si="2272"/>
        <v>0</v>
      </c>
      <c r="N354" s="104">
        <f t="shared" si="2273"/>
        <v>400</v>
      </c>
      <c r="O354" s="104">
        <f t="shared" si="2274"/>
        <v>0</v>
      </c>
      <c r="P354" s="105" t="s">
        <v>1999</v>
      </c>
      <c r="Q354" s="468" t="s">
        <v>2186</v>
      </c>
      <c r="R354" s="105"/>
      <c r="S354" s="105">
        <v>5</v>
      </c>
      <c r="T354" s="105">
        <v>5</v>
      </c>
      <c r="U354" s="104">
        <f t="shared" si="2275"/>
        <v>0.05</v>
      </c>
      <c r="V354" s="106">
        <f t="shared" si="2276"/>
        <v>0</v>
      </c>
      <c r="W354" s="106">
        <f t="shared" si="2248"/>
        <v>0</v>
      </c>
      <c r="X354" s="107">
        <f t="shared" si="2277"/>
        <v>0</v>
      </c>
      <c r="Y354" s="107">
        <f t="shared" si="2278"/>
        <v>0</v>
      </c>
      <c r="Z354" s="107">
        <f t="shared" si="2279"/>
        <v>2.1789999999999954</v>
      </c>
      <c r="AA354" s="107">
        <f t="shared" si="2280"/>
        <v>0</v>
      </c>
      <c r="AB354" s="108">
        <f t="shared" si="2281"/>
        <v>0</v>
      </c>
      <c r="AC354" s="109">
        <f t="shared" si="2282"/>
        <v>0</v>
      </c>
      <c r="AD354" s="109">
        <f t="shared" si="2283"/>
        <v>0</v>
      </c>
      <c r="AE354" s="109">
        <f t="shared" si="2284"/>
        <v>0</v>
      </c>
      <c r="AF354" s="109">
        <f t="shared" si="2285"/>
        <v>0</v>
      </c>
      <c r="AG354" s="109">
        <f t="shared" si="2286"/>
        <v>0</v>
      </c>
      <c r="AH354" s="109">
        <f t="shared" si="2287"/>
        <v>0</v>
      </c>
      <c r="AI354" s="537" t="str">
        <f t="shared" si="2288"/>
        <v>NÃO</v>
      </c>
      <c r="AJ354" s="104">
        <f t="shared" si="2289"/>
        <v>0</v>
      </c>
      <c r="AK354" s="104">
        <f t="shared" si="2290"/>
        <v>0</v>
      </c>
      <c r="AL354" s="104">
        <f t="shared" si="2291"/>
        <v>0</v>
      </c>
      <c r="AM354" s="102">
        <f t="shared" si="2292"/>
        <v>0</v>
      </c>
      <c r="AN354" s="106">
        <f t="shared" si="2293"/>
        <v>0</v>
      </c>
      <c r="AO354" s="104">
        <f t="shared" si="2294"/>
        <v>0</v>
      </c>
      <c r="AP354" s="104">
        <f t="shared" si="2295"/>
        <v>0</v>
      </c>
      <c r="AQ354" s="104">
        <f t="shared" si="2296"/>
        <v>0.7</v>
      </c>
      <c r="AR354" s="104">
        <f t="shared" si="2297"/>
        <v>0</v>
      </c>
      <c r="AS354" s="104">
        <f t="shared" si="2298"/>
        <v>0</v>
      </c>
      <c r="AT354" s="104">
        <f t="shared" si="2299"/>
        <v>0</v>
      </c>
      <c r="AU354" s="104">
        <f t="shared" si="2300"/>
        <v>0</v>
      </c>
      <c r="AV354" s="104">
        <f t="shared" si="2301"/>
        <v>0</v>
      </c>
      <c r="AW354" s="104">
        <f t="shared" si="2302"/>
        <v>0</v>
      </c>
      <c r="AX354" s="104">
        <f t="shared" si="2303"/>
        <v>0</v>
      </c>
      <c r="AY354" s="104">
        <f t="shared" si="2304"/>
        <v>0</v>
      </c>
      <c r="AZ354" s="104">
        <f t="shared" si="2305"/>
        <v>0</v>
      </c>
      <c r="BA354" s="104">
        <f t="shared" si="2306"/>
        <v>0</v>
      </c>
      <c r="BB354" s="104">
        <f t="shared" si="2307"/>
        <v>0</v>
      </c>
      <c r="BC354" s="104"/>
      <c r="BD354" s="104">
        <f t="shared" si="2308"/>
        <v>0</v>
      </c>
      <c r="BE354" s="108">
        <f t="shared" si="2309"/>
        <v>0</v>
      </c>
      <c r="BF354" s="110">
        <f t="shared" si="2310"/>
        <v>0</v>
      </c>
      <c r="BG354" s="110">
        <f t="shared" si="2311"/>
        <v>0</v>
      </c>
      <c r="BH354" s="105" t="str">
        <f>VLOOKUP(A354,'BOCA DE LOBO'!$C$229:$I$324,7,0)</f>
        <v>BOCA DE LOBO SIMPLES EXISTENTE COM BOCA DE LOBO SIMPLES PROJETADA</v>
      </c>
      <c r="BI354" s="104">
        <f t="shared" si="2312"/>
        <v>0</v>
      </c>
      <c r="BJ354" s="104">
        <f t="shared" si="2313"/>
        <v>1</v>
      </c>
      <c r="BK354" s="104">
        <f t="shared" si="2314"/>
        <v>0</v>
      </c>
      <c r="BL354" s="104">
        <f t="shared" si="2315"/>
        <v>0</v>
      </c>
      <c r="BM354" s="104">
        <f t="shared" si="2316"/>
        <v>0</v>
      </c>
      <c r="BN354" s="104">
        <f t="shared" si="2317"/>
        <v>0</v>
      </c>
      <c r="BO354" s="543">
        <f t="shared" si="2318"/>
        <v>0</v>
      </c>
      <c r="BP354" s="111"/>
      <c r="BQ354" s="108">
        <f t="shared" si="2319"/>
        <v>12.149999999999999</v>
      </c>
      <c r="BR354" s="108">
        <f t="shared" si="2320"/>
        <v>5.499899999999962</v>
      </c>
      <c r="BS354" s="108">
        <f t="shared" si="2321"/>
        <v>0</v>
      </c>
      <c r="BV354" s="538">
        <f t="shared" si="2250"/>
        <v>7.2076031999999826</v>
      </c>
      <c r="BW354" s="538">
        <f t="shared" si="2251"/>
        <v>3.6623999999999994</v>
      </c>
      <c r="BX354" s="538">
        <f t="shared" si="2252"/>
        <v>1.3923999999999999</v>
      </c>
      <c r="BY354" s="538">
        <f t="shared" si="2322"/>
        <v>1.9679999999999955</v>
      </c>
      <c r="BZ354" s="538">
        <f t="shared" si="2323"/>
        <v>1.9679999999999955</v>
      </c>
      <c r="CA354" s="538">
        <f t="shared" si="2324"/>
        <v>0</v>
      </c>
      <c r="CB354" s="538">
        <f t="shared" si="2325"/>
        <v>0</v>
      </c>
      <c r="CC354" s="538">
        <f t="shared" si="2326"/>
        <v>5.4935999999999989</v>
      </c>
      <c r="CD354" s="538">
        <f t="shared" si="2327"/>
        <v>1.7140031999999834</v>
      </c>
      <c r="CE354" s="538">
        <f t="shared" si="2328"/>
        <v>0</v>
      </c>
      <c r="CF354" s="538">
        <f t="shared" si="2329"/>
        <v>0</v>
      </c>
      <c r="CG354" s="538">
        <f t="shared" si="2330"/>
        <v>0</v>
      </c>
      <c r="CH354" s="538">
        <f t="shared" si="2331"/>
        <v>0</v>
      </c>
      <c r="CI354" s="104">
        <f t="shared" si="2253"/>
        <v>0.252</v>
      </c>
      <c r="CJ354" s="538">
        <f t="shared" si="2332"/>
        <v>4.2153599999999889</v>
      </c>
      <c r="CK354" s="538">
        <f t="shared" si="2333"/>
        <v>4.2153599999999889</v>
      </c>
      <c r="CL354" s="538">
        <f t="shared" si="2334"/>
        <v>0</v>
      </c>
      <c r="CM354" s="538">
        <f t="shared" si="2335"/>
        <v>0</v>
      </c>
      <c r="CN354" s="538">
        <f t="shared" si="2255"/>
        <v>1.68</v>
      </c>
      <c r="CO354" s="538">
        <f t="shared" si="2336"/>
        <v>1.9679999999999955</v>
      </c>
      <c r="CP354" s="538">
        <f t="shared" si="2337"/>
        <v>5.04</v>
      </c>
      <c r="CQ354" s="538">
        <f t="shared" si="2338"/>
        <v>1.572479999999985</v>
      </c>
      <c r="CR354" s="539">
        <f t="shared" si="2256"/>
        <v>0.80739999999999756</v>
      </c>
      <c r="CS354" s="540">
        <f t="shared" si="2257"/>
        <v>4.0147199999999911E-2</v>
      </c>
      <c r="CT354" s="540">
        <f t="shared" si="2258"/>
        <v>0.15421000000000001</v>
      </c>
      <c r="CU354" s="541">
        <f t="shared" si="2259"/>
        <v>5.1167999999999889</v>
      </c>
      <c r="CV354" s="538">
        <f t="shared" si="2260"/>
        <v>0.79351199999999911</v>
      </c>
      <c r="CW354" s="538">
        <f t="shared" si="2261"/>
        <v>13.040759999999977</v>
      </c>
      <c r="CX354" s="104">
        <f t="shared" si="2262"/>
        <v>1.68</v>
      </c>
      <c r="CY354" s="542">
        <f t="shared" si="2263"/>
        <v>0.84</v>
      </c>
      <c r="CZ354" s="538">
        <f t="shared" si="2264"/>
        <v>0</v>
      </c>
    </row>
    <row r="355" spans="1:104" s="112" customFormat="1" ht="25" x14ac:dyDescent="0.25">
      <c r="A355" s="100" t="str">
        <f>'BOCA DE LOBO'!C324</f>
        <v>BL95-&gt;PV1-86</v>
      </c>
      <c r="B355" s="100" t="str">
        <f>'BOCA DE LOBO'!A324</f>
        <v>PV1-86</v>
      </c>
      <c r="C355" s="100" t="str">
        <f>VLOOKUP(A355,'BOCA DE LOBO'!$C$229:$M$324,3,0)</f>
        <v>EXISTENTE</v>
      </c>
      <c r="D355" s="100" t="str">
        <f>VLOOKUP(A355,'BOCA DE LOBO'!$C$229:$M$324,10,0)</f>
        <v>PROJETADA</v>
      </c>
      <c r="E355" s="100">
        <f t="shared" si="2268"/>
        <v>1.0535999999999091</v>
      </c>
      <c r="F355" s="100">
        <f>VLOOKUP(A355,'BOCA DE LOBO'!$C$229:$D$324,2,0)</f>
        <v>1.5999999999999091</v>
      </c>
      <c r="G355" s="100">
        <f>VLOOKUP(A355,'BOCA DE LOBO'!$C$229:$F$324,4,0)</f>
        <v>13.66</v>
      </c>
      <c r="H355" s="101">
        <v>400</v>
      </c>
      <c r="I355" s="102">
        <f t="shared" si="2269"/>
        <v>1.4567999999999091</v>
      </c>
      <c r="J355" s="102">
        <f t="shared" si="2270"/>
        <v>0.99499439999993788</v>
      </c>
      <c r="K355" s="103">
        <v>0</v>
      </c>
      <c r="L355" s="104">
        <f t="shared" si="2271"/>
        <v>1</v>
      </c>
      <c r="M355" s="104">
        <f t="shared" si="2272"/>
        <v>1</v>
      </c>
      <c r="N355" s="104">
        <f t="shared" si="2273"/>
        <v>0</v>
      </c>
      <c r="O355" s="104">
        <f t="shared" si="2274"/>
        <v>13.66</v>
      </c>
      <c r="P355" s="105" t="s">
        <v>1999</v>
      </c>
      <c r="Q355" s="468" t="s">
        <v>2088</v>
      </c>
      <c r="R355" s="105">
        <v>1</v>
      </c>
      <c r="S355" s="105">
        <f>VLOOKUP(Q355,Quantitativos!P:R,3,0)</f>
        <v>5</v>
      </c>
      <c r="T355" s="105">
        <f>VLOOKUP(Q355,Quantitativos!P:S,4,0)</f>
        <v>5</v>
      </c>
      <c r="U355" s="104">
        <f t="shared" si="2275"/>
        <v>0.05</v>
      </c>
      <c r="V355" s="106">
        <f t="shared" si="2276"/>
        <v>0</v>
      </c>
      <c r="W355" s="106">
        <f t="shared" si="2248"/>
        <v>25.363887999998759</v>
      </c>
      <c r="X355" s="107">
        <f t="shared" si="2277"/>
        <v>0</v>
      </c>
      <c r="Y355" s="107">
        <f t="shared" si="2278"/>
        <v>1.8567999999999092</v>
      </c>
      <c r="Z355" s="107">
        <f t="shared" si="2279"/>
        <v>0</v>
      </c>
      <c r="AA355" s="107">
        <f t="shared" si="2280"/>
        <v>1.4567999999999091</v>
      </c>
      <c r="AB355" s="108">
        <f t="shared" si="2281"/>
        <v>13.66</v>
      </c>
      <c r="AC355" s="109">
        <f t="shared" si="2282"/>
        <v>20.490000000000002</v>
      </c>
      <c r="AD355" s="109">
        <f t="shared" si="2283"/>
        <v>4.8738879999987592</v>
      </c>
      <c r="AE355" s="109">
        <f t="shared" si="2284"/>
        <v>0</v>
      </c>
      <c r="AF355" s="109">
        <f t="shared" si="2285"/>
        <v>0</v>
      </c>
      <c r="AG355" s="109">
        <f t="shared" si="2286"/>
        <v>0</v>
      </c>
      <c r="AH355" s="109">
        <f t="shared" si="2287"/>
        <v>0</v>
      </c>
      <c r="AI355" s="537" t="str">
        <f t="shared" si="2288"/>
        <v>NÃO</v>
      </c>
      <c r="AJ355" s="104">
        <f t="shared" si="2289"/>
        <v>0</v>
      </c>
      <c r="AK355" s="104">
        <f t="shared" si="2290"/>
        <v>0</v>
      </c>
      <c r="AL355" s="104">
        <f t="shared" si="2291"/>
        <v>23.647321774077291</v>
      </c>
      <c r="AM355" s="102">
        <f t="shared" si="2292"/>
        <v>0.68300000000000005</v>
      </c>
      <c r="AN355" s="106">
        <f t="shared" si="2293"/>
        <v>0</v>
      </c>
      <c r="AO355" s="104">
        <f t="shared" si="2294"/>
        <v>5.4640000000000004</v>
      </c>
      <c r="AP355" s="104">
        <f t="shared" si="2295"/>
        <v>5.4640000000000004</v>
      </c>
      <c r="AQ355" s="104">
        <f t="shared" si="2296"/>
        <v>0.7</v>
      </c>
      <c r="AR355" s="104">
        <f t="shared" si="2297"/>
        <v>7.8454337740785363</v>
      </c>
      <c r="AS355" s="104">
        <f t="shared" si="2298"/>
        <v>7.8454337740785363</v>
      </c>
      <c r="AT355" s="104">
        <f t="shared" si="2299"/>
        <v>2.0489999999999999</v>
      </c>
      <c r="AU355" s="104">
        <f t="shared" si="2300"/>
        <v>2.0489999999999999</v>
      </c>
      <c r="AV355" s="104">
        <f t="shared" si="2301"/>
        <v>0.4098</v>
      </c>
      <c r="AW355" s="104">
        <f t="shared" si="2302"/>
        <v>5.5568879999987573</v>
      </c>
      <c r="AX355" s="104">
        <f t="shared" si="2303"/>
        <v>-15.358433774078536</v>
      </c>
      <c r="AY355" s="104">
        <f t="shared" si="2304"/>
        <v>-15.358433774078536</v>
      </c>
      <c r="AZ355" s="104">
        <f t="shared" si="2305"/>
        <v>20.915321774077292</v>
      </c>
      <c r="BA355" s="104">
        <f t="shared" si="2306"/>
        <v>3.4940606662715354</v>
      </c>
      <c r="BB355" s="104">
        <f t="shared" si="2307"/>
        <v>17.421261107805755</v>
      </c>
      <c r="BC355" s="104"/>
      <c r="BD355" s="104">
        <f t="shared" si="2308"/>
        <v>0.30052000000000001</v>
      </c>
      <c r="BE355" s="108">
        <f t="shared" si="2309"/>
        <v>1.4567999999999091</v>
      </c>
      <c r="BF355" s="110">
        <f t="shared" si="2310"/>
        <v>13.66</v>
      </c>
      <c r="BG355" s="110">
        <f t="shared" si="2311"/>
        <v>0</v>
      </c>
      <c r="BH355" s="105" t="str">
        <f>VLOOKUP(A355,'BOCA DE LOBO'!$C$229:$I$324,7,0)</f>
        <v>BOCA DE LOBO PROJETADA TRIPLA</v>
      </c>
      <c r="BI355" s="104">
        <f t="shared" si="2312"/>
        <v>0</v>
      </c>
      <c r="BJ355" s="104">
        <f t="shared" si="2313"/>
        <v>0</v>
      </c>
      <c r="BK355" s="104">
        <f t="shared" si="2314"/>
        <v>0</v>
      </c>
      <c r="BL355" s="104">
        <f t="shared" si="2315"/>
        <v>0</v>
      </c>
      <c r="BM355" s="104">
        <f t="shared" si="2316"/>
        <v>0</v>
      </c>
      <c r="BN355" s="104">
        <f t="shared" si="2317"/>
        <v>0</v>
      </c>
      <c r="BO355" s="543">
        <f t="shared" si="2318"/>
        <v>1</v>
      </c>
      <c r="BP355" s="111"/>
      <c r="BQ355" s="108">
        <f t="shared" si="2319"/>
        <v>40.980000000000004</v>
      </c>
      <c r="BR355" s="108">
        <f t="shared" si="2320"/>
        <v>12.479775999997516</v>
      </c>
      <c r="BS355" s="108">
        <f t="shared" si="2321"/>
        <v>0</v>
      </c>
      <c r="BV355" s="538">
        <f t="shared" si="2250"/>
        <v>16.121396479999053</v>
      </c>
      <c r="BW355" s="538">
        <f t="shared" si="2251"/>
        <v>10.376799999999998</v>
      </c>
      <c r="BX355" s="538">
        <f t="shared" si="2252"/>
        <v>4.4367999999999999</v>
      </c>
      <c r="BY355" s="538">
        <f t="shared" si="2322"/>
        <v>1.0535999999999091</v>
      </c>
      <c r="BZ355" s="538">
        <f t="shared" si="2323"/>
        <v>0</v>
      </c>
      <c r="CA355" s="538">
        <f t="shared" si="2324"/>
        <v>1.4535999999999092</v>
      </c>
      <c r="CB355" s="538">
        <f t="shared" si="2325"/>
        <v>0</v>
      </c>
      <c r="CC355" s="538">
        <f t="shared" si="2326"/>
        <v>0</v>
      </c>
      <c r="CD355" s="538">
        <f t="shared" si="2327"/>
        <v>0</v>
      </c>
      <c r="CE355" s="538">
        <f t="shared" si="2328"/>
        <v>15.083716479999055</v>
      </c>
      <c r="CF355" s="538">
        <f t="shared" si="2329"/>
        <v>0</v>
      </c>
      <c r="CG355" s="538">
        <f t="shared" si="2330"/>
        <v>1.0376799999999982</v>
      </c>
      <c r="CH355" s="538">
        <f t="shared" si="2331"/>
        <v>0</v>
      </c>
      <c r="CI355" s="104">
        <f t="shared" si="2253"/>
        <v>0.71399999999999997</v>
      </c>
      <c r="CJ355" s="538">
        <f t="shared" si="2332"/>
        <v>7.9203839999994567</v>
      </c>
      <c r="CK355" s="538">
        <f t="shared" si="2333"/>
        <v>7.9203839999994567</v>
      </c>
      <c r="CL355" s="538">
        <f t="shared" si="2334"/>
        <v>0</v>
      </c>
      <c r="CM355" s="538">
        <f t="shared" si="2335"/>
        <v>0.20753599999999994</v>
      </c>
      <c r="CN355" s="538">
        <f t="shared" si="2255"/>
        <v>4.76</v>
      </c>
      <c r="CO355" s="538">
        <f t="shared" si="2336"/>
        <v>1.5535999999999091</v>
      </c>
      <c r="CP355" s="538">
        <f t="shared" si="2337"/>
        <v>14.28</v>
      </c>
      <c r="CQ355" s="538">
        <f t="shared" si="2338"/>
        <v>0.5102719999991342</v>
      </c>
      <c r="CR355" s="539">
        <f t="shared" si="2256"/>
        <v>0</v>
      </c>
      <c r="CS355" s="540">
        <f t="shared" si="2257"/>
        <v>0</v>
      </c>
      <c r="CT355" s="540">
        <f t="shared" si="2258"/>
        <v>0.45984000000000003</v>
      </c>
      <c r="CU355" s="541">
        <f t="shared" si="2259"/>
        <v>7.5859199999993452</v>
      </c>
      <c r="CV355" s="538">
        <f t="shared" si="2260"/>
        <v>1.3843619999999652</v>
      </c>
      <c r="CW355" s="538">
        <f t="shared" si="2261"/>
        <v>15.736359999999125</v>
      </c>
      <c r="CX355" s="104">
        <f t="shared" si="2262"/>
        <v>4.76</v>
      </c>
      <c r="CY355" s="542">
        <f t="shared" si="2263"/>
        <v>2.38</v>
      </c>
      <c r="CZ355" s="538">
        <f t="shared" si="2264"/>
        <v>2.4513847475961154E-2</v>
      </c>
    </row>
    <row r="356" spans="1:104" s="115" customFormat="1" ht="13" x14ac:dyDescent="0.3">
      <c r="G356" s="260">
        <f>SUM(G260:G355)</f>
        <v>601.26999999999975</v>
      </c>
      <c r="H356" s="85"/>
      <c r="J356" s="260">
        <f>SUM(J260:J355)</f>
        <v>35.890696899999995</v>
      </c>
      <c r="O356" s="260">
        <f>SUM(O260:O355)</f>
        <v>276.50000000000006</v>
      </c>
      <c r="Q356" s="416"/>
      <c r="R356" s="416"/>
      <c r="S356" s="416"/>
      <c r="T356" s="416"/>
      <c r="X356" s="98" t="s">
        <v>2033</v>
      </c>
      <c r="AB356" s="116">
        <f t="shared" ref="AB356:AH356" si="2339">SUM(AB260:AB355)</f>
        <v>276.50000000000006</v>
      </c>
      <c r="AC356" s="330">
        <f t="shared" si="2339"/>
        <v>179.17500000000001</v>
      </c>
      <c r="AD356" s="330">
        <f t="shared" si="2339"/>
        <v>139.91173999999876</v>
      </c>
      <c r="AE356" s="330">
        <f t="shared" si="2339"/>
        <v>25.968828000000364</v>
      </c>
      <c r="AF356" s="330">
        <f t="shared" si="2339"/>
        <v>235.57499999999993</v>
      </c>
      <c r="AG356" s="330">
        <f t="shared" si="2339"/>
        <v>169.39627000000095</v>
      </c>
      <c r="AH356" s="330">
        <f t="shared" si="2339"/>
        <v>15.567099999999989</v>
      </c>
      <c r="AI356" s="330"/>
      <c r="AJ356" s="330">
        <f t="shared" ref="AJ356:AP356" si="2340">SUM(AJ260:AJ355)</f>
        <v>0</v>
      </c>
      <c r="AK356" s="330">
        <f t="shared" si="2340"/>
        <v>0</v>
      </c>
      <c r="AL356" s="330">
        <f t="shared" si="2340"/>
        <v>730.84792325129695</v>
      </c>
      <c r="AM356" s="330">
        <f t="shared" si="2340"/>
        <v>13.825000000000001</v>
      </c>
      <c r="AN356" s="330">
        <f t="shared" si="2340"/>
        <v>0</v>
      </c>
      <c r="AO356" s="330">
        <f t="shared" si="2340"/>
        <v>47.78</v>
      </c>
      <c r="AP356" s="330">
        <f t="shared" si="2340"/>
        <v>47.78</v>
      </c>
      <c r="AQ356" s="120"/>
      <c r="AR356" s="120">
        <f t="shared" ref="AR356:BB356" si="2341">SUM(AR260:AR355)</f>
        <v>158.80398525129689</v>
      </c>
      <c r="AS356" s="120">
        <f t="shared" si="2341"/>
        <v>68.60447030114797</v>
      </c>
      <c r="AT356" s="120">
        <f t="shared" si="2341"/>
        <v>41.475000000000016</v>
      </c>
      <c r="AU356" s="120">
        <f t="shared" si="2341"/>
        <v>41.475000000000016</v>
      </c>
      <c r="AV356" s="120">
        <f t="shared" si="2341"/>
        <v>8.2949999999999982</v>
      </c>
      <c r="AW356" s="330">
        <f t="shared" si="2341"/>
        <v>427.48893799999991</v>
      </c>
      <c r="AX356" s="330">
        <f t="shared" si="2341"/>
        <v>172.47938474870415</v>
      </c>
      <c r="AY356" s="330">
        <f t="shared" si="2341"/>
        <v>121.33389969885296</v>
      </c>
      <c r="AZ356" s="330">
        <f t="shared" si="2341"/>
        <v>306.15503830114704</v>
      </c>
      <c r="BA356" s="330">
        <f t="shared" si="2341"/>
        <v>51.145485049851011</v>
      </c>
      <c r="BB356" s="330">
        <f t="shared" si="2341"/>
        <v>255.00955325129601</v>
      </c>
      <c r="BC356" s="330">
        <f>SUM(AC356:AE356)+BA360+AJ356</f>
        <v>345.05556799999914</v>
      </c>
      <c r="BD356" s="330">
        <f>SUM(BD260:BD355)</f>
        <v>2.8986800000000006</v>
      </c>
      <c r="BE356" s="935">
        <v>400</v>
      </c>
      <c r="BF356" s="926"/>
      <c r="BG356" s="936"/>
      <c r="BH356" s="124">
        <f t="shared" ref="BH356:BO356" si="2342">SUM(BH260:BH355)</f>
        <v>0</v>
      </c>
      <c r="BI356" s="115">
        <f t="shared" si="2342"/>
        <v>0</v>
      </c>
      <c r="BJ356" s="115">
        <f t="shared" si="2342"/>
        <v>22</v>
      </c>
      <c r="BK356" s="115">
        <f t="shared" si="2342"/>
        <v>2</v>
      </c>
      <c r="BL356" s="115">
        <f t="shared" si="2342"/>
        <v>0</v>
      </c>
      <c r="BM356" s="115">
        <f t="shared" si="2342"/>
        <v>0</v>
      </c>
      <c r="BN356" s="115">
        <f t="shared" si="2342"/>
        <v>31</v>
      </c>
      <c r="BO356" s="115">
        <f t="shared" si="2342"/>
        <v>4</v>
      </c>
      <c r="BQ356" s="116">
        <f>SUM(BQ260:BQ355)</f>
        <v>1802.3004640000008</v>
      </c>
      <c r="BR356" s="116">
        <f>SUM(BR260:BR355)</f>
        <v>1279.8661719999986</v>
      </c>
      <c r="BS356" s="116">
        <f>SUM(BS260:BS355)</f>
        <v>160.20185600000036</v>
      </c>
      <c r="CC356" s="124">
        <f>SUM(CC260:CC355)</f>
        <v>379.0785431999999</v>
      </c>
      <c r="CD356" s="124">
        <f>SUM(CD260:CD355)</f>
        <v>175.97282640000103</v>
      </c>
      <c r="CE356" s="124">
        <f>SUM(CE260:CE355)</f>
        <v>174.62701647999907</v>
      </c>
      <c r="CF356" s="124">
        <f>SUM(CF260:CF355)</f>
        <v>128.35228727999998</v>
      </c>
      <c r="CG356" s="124">
        <f>SUM(CG260:CG355)</f>
        <v>13.871339999999986</v>
      </c>
      <c r="CJ356" s="124">
        <f>SUM(CJ260:CJ355)</f>
        <v>497.02320200000003</v>
      </c>
      <c r="CK356" s="124">
        <f>SUM(CK260:CK355)</f>
        <v>497.02320200000003</v>
      </c>
      <c r="CL356" s="124">
        <f>SUM(CL260:CL355)</f>
        <v>0</v>
      </c>
      <c r="CM356" s="124">
        <f>SUM(CM260:CM355)</f>
        <v>2.7742679999999993</v>
      </c>
      <c r="CN356" s="112"/>
      <c r="CO356" s="112"/>
      <c r="CP356" s="124">
        <f t="shared" ref="CP356:CZ356" si="2343">SUM(CP260:CP355)</f>
        <v>508.76044799999983</v>
      </c>
      <c r="CQ356" s="124">
        <f t="shared" si="2343"/>
        <v>291.14965600000016</v>
      </c>
      <c r="CR356" s="124">
        <f t="shared" si="2343"/>
        <v>21.112850000000002</v>
      </c>
      <c r="CS356" s="124">
        <f t="shared" si="2343"/>
        <v>1.0278947999999999</v>
      </c>
      <c r="CT356" s="124">
        <f t="shared" si="2343"/>
        <v>15.774430000000017</v>
      </c>
      <c r="CU356" s="124">
        <f t="shared" si="2343"/>
        <v>545.64059999999995</v>
      </c>
      <c r="CV356" s="124">
        <f t="shared" si="2343"/>
        <v>68.641609199999991</v>
      </c>
      <c r="CW356" s="124">
        <f t="shared" si="2343"/>
        <v>1082.8747759999999</v>
      </c>
      <c r="CX356" s="124">
        <f t="shared" si="2343"/>
        <v>170.03</v>
      </c>
      <c r="CY356" s="124">
        <f t="shared" si="2343"/>
        <v>85.015000000000001</v>
      </c>
      <c r="CZ356" s="124">
        <f t="shared" si="2343"/>
        <v>0.24513847475961159</v>
      </c>
    </row>
    <row r="357" spans="1:104" s="115" customFormat="1" ht="13" x14ac:dyDescent="0.3">
      <c r="H357" s="85"/>
      <c r="Q357" s="416"/>
      <c r="R357" s="416"/>
      <c r="S357" s="416"/>
      <c r="T357" s="416"/>
      <c r="AB357" s="117">
        <f>IF(P357="ASFALTO",M357*G356,0)</f>
        <v>0</v>
      </c>
      <c r="AC357" s="566"/>
      <c r="AD357" s="566"/>
      <c r="AE357" s="566"/>
      <c r="AF357" s="118"/>
      <c r="AG357" s="118"/>
      <c r="AH357" s="118"/>
      <c r="AI357" s="119"/>
      <c r="AR357" s="125"/>
      <c r="AS357" s="125"/>
      <c r="AT357" s="126"/>
      <c r="AU357" s="126"/>
      <c r="AV357" s="126"/>
      <c r="AZ357" s="115" t="s">
        <v>2034</v>
      </c>
      <c r="BA357" s="121">
        <f>SUM(AF356:AH356)</f>
        <v>420.5383700000009</v>
      </c>
      <c r="BB357" s="122" t="s">
        <v>2035</v>
      </c>
      <c r="BC357" s="123">
        <f>SUM(AJ356)</f>
        <v>0</v>
      </c>
      <c r="BD357" s="118"/>
      <c r="BE357" s="81" t="s">
        <v>2036</v>
      </c>
      <c r="BF357" s="256" t="s">
        <v>2037</v>
      </c>
      <c r="BG357" s="256" t="s">
        <v>2038</v>
      </c>
      <c r="BH357" s="567"/>
    </row>
    <row r="358" spans="1:104" s="115" customFormat="1" ht="52" x14ac:dyDescent="0.3">
      <c r="H358" s="85"/>
      <c r="Q358" s="416"/>
      <c r="R358" s="416"/>
      <c r="S358" s="416"/>
      <c r="T358" s="416"/>
      <c r="AB358" s="117">
        <f>IF(P358="ASFALTO",M358*G358,0)</f>
        <v>0</v>
      </c>
      <c r="AC358" s="566"/>
      <c r="AD358" s="566"/>
      <c r="AE358" s="566"/>
      <c r="AF358" s="118"/>
      <c r="AG358" s="118"/>
      <c r="AH358" s="118"/>
      <c r="AS358" s="125"/>
      <c r="AT358" s="126"/>
      <c r="AU358" s="126"/>
      <c r="AV358" s="126"/>
      <c r="AZ358" s="124" t="s">
        <v>2042</v>
      </c>
      <c r="BA358" s="125">
        <f>BA357-AY356-AO356-AT356-AR356</f>
        <v>51.145485049851004</v>
      </c>
      <c r="BB358" s="126" t="s">
        <v>2043</v>
      </c>
      <c r="BC358" s="126">
        <f>BA360+SUM(AC356:AE356)</f>
        <v>345.05556799999914</v>
      </c>
      <c r="BD358" s="118"/>
      <c r="BE358" s="127"/>
      <c r="BF358" s="128">
        <f>SUM(BF260:BF355)</f>
        <v>20.329999999999998</v>
      </c>
      <c r="BG358" s="128">
        <f>SUM(BG260:BG355)</f>
        <v>242.72000000000003</v>
      </c>
      <c r="BH358" s="567"/>
      <c r="CJ358" s="124" t="s">
        <v>2168</v>
      </c>
      <c r="CK358" s="115">
        <f>SUM(CC356:CD356)</f>
        <v>555.05136960000095</v>
      </c>
      <c r="CL358" s="122" t="s">
        <v>2035</v>
      </c>
      <c r="CM358" s="115">
        <f>CG356</f>
        <v>13.871339999999986</v>
      </c>
      <c r="CP358" s="112"/>
    </row>
    <row r="359" spans="1:104" s="115" customFormat="1" ht="13" x14ac:dyDescent="0.3">
      <c r="H359" s="85"/>
      <c r="Q359" s="416"/>
      <c r="R359" s="416"/>
      <c r="S359" s="416"/>
      <c r="T359" s="416"/>
      <c r="AB359" s="118"/>
      <c r="AC359" s="566"/>
      <c r="AD359" s="566"/>
      <c r="AE359" s="566"/>
      <c r="AF359" s="118"/>
      <c r="AG359" s="118"/>
      <c r="AH359" s="118"/>
      <c r="AS359" s="126"/>
      <c r="AT359" s="126"/>
      <c r="AU359" s="126"/>
      <c r="AV359" s="126"/>
      <c r="AZ359" s="124" t="s">
        <v>2178</v>
      </c>
      <c r="BA359" s="129">
        <f>BB356</f>
        <v>255.00955325129601</v>
      </c>
      <c r="BB359" s="126"/>
      <c r="BC359" s="118"/>
      <c r="BD359" s="118"/>
      <c r="BE359" s="127"/>
      <c r="BF359" s="130"/>
      <c r="BG359" s="131"/>
      <c r="BH359" s="567"/>
      <c r="CJ359" s="115" t="s">
        <v>2170</v>
      </c>
      <c r="CK359" s="115">
        <f>CL356</f>
        <v>0</v>
      </c>
      <c r="CL359" s="126" t="s">
        <v>2043</v>
      </c>
      <c r="CM359" s="115">
        <f>CK360+SUM(CE356:CF356)</f>
        <v>361.00747136000001</v>
      </c>
      <c r="CP359" s="112"/>
    </row>
    <row r="360" spans="1:104" s="115" customFormat="1" ht="13" x14ac:dyDescent="0.3">
      <c r="H360" s="85"/>
      <c r="P360" s="124"/>
      <c r="Q360" s="124"/>
      <c r="R360" s="124"/>
      <c r="S360" s="124"/>
      <c r="T360" s="124"/>
      <c r="AC360" s="568"/>
      <c r="AD360" s="568"/>
      <c r="AE360" s="566"/>
      <c r="AZ360" s="115" t="s">
        <v>2045</v>
      </c>
      <c r="BA360" s="120">
        <f>BA358-BA356</f>
        <v>0</v>
      </c>
      <c r="BE360" s="127"/>
      <c r="BF360" s="937">
        <f>SUM(BF358:BG358)</f>
        <v>263.05</v>
      </c>
      <c r="BG360" s="938"/>
      <c r="BH360" s="567"/>
      <c r="BJ360" s="115">
        <f>92-15</f>
        <v>77</v>
      </c>
      <c r="CJ360" s="115" t="s">
        <v>2045</v>
      </c>
      <c r="CK360" s="115">
        <f>CK358-CK356</f>
        <v>58.028167600000927</v>
      </c>
    </row>
  </sheetData>
  <autoFilter ref="A4:DD360" xr:uid="{20F84A4F-D088-4692-B4B2-444C4AC82671}">
    <filterColumn colId="56" showButton="0"/>
    <filterColumn colId="57" showButton="0"/>
  </autoFilter>
  <mergeCells count="64">
    <mergeCell ref="CZ257:CZ258"/>
    <mergeCell ref="BE258:BG258"/>
    <mergeCell ref="BE356:BG356"/>
    <mergeCell ref="BF360:BG360"/>
    <mergeCell ref="CR257:CR258"/>
    <mergeCell ref="CS257:CS258"/>
    <mergeCell ref="CT257:CT258"/>
    <mergeCell ref="CU257:CU258"/>
    <mergeCell ref="CV257:CV258"/>
    <mergeCell ref="CW257:CW258"/>
    <mergeCell ref="CX197:CX198"/>
    <mergeCell ref="CY197:CY198"/>
    <mergeCell ref="BE198:BG198"/>
    <mergeCell ref="BE246:BG246"/>
    <mergeCell ref="BV256:CQ256"/>
    <mergeCell ref="CR197:CR198"/>
    <mergeCell ref="CS197:CS198"/>
    <mergeCell ref="CT197:CT198"/>
    <mergeCell ref="CU197:CU198"/>
    <mergeCell ref="CV197:CV198"/>
    <mergeCell ref="CW197:CW198"/>
    <mergeCell ref="W257:AH257"/>
    <mergeCell ref="BE257:BG257"/>
    <mergeCell ref="BI257:BO257"/>
    <mergeCell ref="BQ257:BS257"/>
    <mergeCell ref="CP257:CQ257"/>
    <mergeCell ref="CX106:CX107"/>
    <mergeCell ref="CY106:CY107"/>
    <mergeCell ref="BE107:BG107"/>
    <mergeCell ref="BE183:BG183"/>
    <mergeCell ref="BV196:CQ196"/>
    <mergeCell ref="CR106:CR107"/>
    <mergeCell ref="CS106:CS107"/>
    <mergeCell ref="CT106:CT107"/>
    <mergeCell ref="CU106:CU107"/>
    <mergeCell ref="CV106:CV107"/>
    <mergeCell ref="CW106:CW107"/>
    <mergeCell ref="W197:AH197"/>
    <mergeCell ref="BE197:BG197"/>
    <mergeCell ref="BI197:BO197"/>
    <mergeCell ref="BQ197:BS197"/>
    <mergeCell ref="CP197:CQ197"/>
    <mergeCell ref="CY3:CY4"/>
    <mergeCell ref="CZ3:CZ4"/>
    <mergeCell ref="BE4:BG4"/>
    <mergeCell ref="BE96:BG96"/>
    <mergeCell ref="BF100:BG100"/>
    <mergeCell ref="CS3:CS4"/>
    <mergeCell ref="CT3:CT4"/>
    <mergeCell ref="CU3:CU4"/>
    <mergeCell ref="CV3:CV4"/>
    <mergeCell ref="CW3:CW4"/>
    <mergeCell ref="CX3:CX4"/>
    <mergeCell ref="CR3:CR4"/>
    <mergeCell ref="W106:AH106"/>
    <mergeCell ref="BE106:BG106"/>
    <mergeCell ref="BI106:BO106"/>
    <mergeCell ref="BQ106:BS106"/>
    <mergeCell ref="CP106:CQ106"/>
    <mergeCell ref="W3:AH3"/>
    <mergeCell ref="BE3:BG3"/>
    <mergeCell ref="BI3:BO3"/>
    <mergeCell ref="BQ3:BS3"/>
    <mergeCell ref="CP3:CQ3"/>
  </mergeCells>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8B707-9875-4BEC-8952-7C1996009B6E}">
  <sheetPr>
    <pageSetUpPr fitToPage="1"/>
  </sheetPr>
  <dimension ref="A1:BB202"/>
  <sheetViews>
    <sheetView topLeftCell="B98" workbookViewId="0">
      <selection activeCell="B117" sqref="B117"/>
    </sheetView>
  </sheetViews>
  <sheetFormatPr defaultColWidth="10" defaultRowHeight="12.5" x14ac:dyDescent="0.25"/>
  <cols>
    <col min="1" max="1" width="10" style="269" hidden="1" customWidth="1"/>
    <col min="2" max="2" width="16.75" style="269" customWidth="1"/>
    <col min="3" max="8" width="9.33203125" style="269" customWidth="1"/>
    <col min="9" max="12" width="12" style="269" customWidth="1"/>
    <col min="13" max="21" width="9.33203125" style="269" customWidth="1"/>
    <col min="22" max="22" width="10" style="269" customWidth="1"/>
    <col min="23" max="23" width="16.75" style="269" customWidth="1"/>
    <col min="24" max="26" width="18.58203125" style="270" customWidth="1"/>
    <col min="27" max="27" width="15.83203125" style="270" customWidth="1"/>
    <col min="28" max="30" width="21.5" style="270" customWidth="1"/>
    <col min="31" max="31" width="10" style="271"/>
    <col min="32" max="36" width="10" style="271" customWidth="1"/>
    <col min="37" max="40" width="12" style="271" customWidth="1"/>
    <col min="41" max="41" width="10" style="269"/>
    <col min="42" max="48" width="13.33203125" style="271" customWidth="1"/>
    <col min="49" max="49" width="27.75" style="271" customWidth="1"/>
    <col min="50" max="50" width="40.25" style="271" customWidth="1"/>
    <col min="51" max="52" width="27.75" style="271" customWidth="1"/>
    <col min="53" max="54" width="13.33203125" style="271" customWidth="1"/>
    <col min="55" max="16384" width="10" style="269"/>
  </cols>
  <sheetData>
    <row r="1" spans="2:50" ht="13" x14ac:dyDescent="0.3">
      <c r="B1" s="950" t="s">
        <v>2196</v>
      </c>
      <c r="C1" s="950"/>
      <c r="D1" s="950"/>
      <c r="E1" s="950"/>
      <c r="F1" s="950"/>
      <c r="G1" s="950"/>
      <c r="H1" s="950"/>
      <c r="I1" s="950"/>
      <c r="J1" s="950"/>
      <c r="K1" s="950"/>
      <c r="L1" s="950"/>
      <c r="M1" s="950"/>
      <c r="N1" s="950"/>
      <c r="O1" s="950"/>
      <c r="P1" s="950"/>
      <c r="Q1" s="950"/>
      <c r="R1" s="950"/>
      <c r="S1" s="950"/>
      <c r="T1" s="950"/>
      <c r="U1" s="950"/>
    </row>
    <row r="2" spans="2:50" ht="12.75" customHeight="1" x14ac:dyDescent="0.3">
      <c r="B2" s="272" t="s">
        <v>2197</v>
      </c>
      <c r="C2" s="951" t="s">
        <v>2198</v>
      </c>
      <c r="D2" s="951"/>
      <c r="E2" s="951"/>
      <c r="F2" s="951"/>
      <c r="G2" s="951"/>
      <c r="H2" s="951"/>
      <c r="I2" s="951"/>
      <c r="J2" s="951"/>
      <c r="K2" s="951"/>
    </row>
    <row r="3" spans="2:50" ht="12.75" customHeight="1" x14ac:dyDescent="0.3">
      <c r="B3" s="272"/>
      <c r="C3" s="951"/>
      <c r="D3" s="951"/>
      <c r="E3" s="951"/>
      <c r="F3" s="951"/>
      <c r="G3" s="951"/>
      <c r="H3" s="951"/>
      <c r="I3" s="951"/>
      <c r="J3" s="951"/>
      <c r="K3" s="951"/>
      <c r="L3" s="272"/>
      <c r="M3" s="272"/>
      <c r="N3" s="272"/>
    </row>
    <row r="4" spans="2:50" ht="12.75" customHeight="1" x14ac:dyDescent="0.3">
      <c r="B4" s="272"/>
      <c r="C4" s="273" t="s">
        <v>2199</v>
      </c>
      <c r="D4" s="268"/>
      <c r="E4" s="272"/>
      <c r="F4" s="272"/>
      <c r="G4" s="272"/>
      <c r="H4" s="272"/>
      <c r="I4" s="274"/>
      <c r="J4" s="268"/>
      <c r="K4" s="272"/>
      <c r="L4" s="275"/>
      <c r="M4" s="268"/>
      <c r="N4" s="272"/>
      <c r="O4" s="272"/>
      <c r="P4" s="272"/>
      <c r="Q4" s="272"/>
      <c r="R4" s="272"/>
      <c r="S4" s="272"/>
      <c r="T4" s="272"/>
      <c r="U4" s="272"/>
      <c r="AX4" s="271">
        <f>6*7</f>
        <v>42</v>
      </c>
    </row>
    <row r="5" spans="2:50" ht="38.25" customHeight="1" x14ac:dyDescent="0.3">
      <c r="B5" s="272" t="s">
        <v>2200</v>
      </c>
      <c r="C5" s="273"/>
      <c r="D5" s="268"/>
      <c r="E5" s="272"/>
      <c r="F5" s="272"/>
      <c r="G5" s="272"/>
      <c r="H5" s="272"/>
      <c r="I5" s="272"/>
      <c r="J5" s="272"/>
      <c r="K5" s="272"/>
      <c r="L5" s="272"/>
      <c r="M5" s="272"/>
      <c r="N5" s="272"/>
      <c r="O5" s="272"/>
      <c r="P5" s="272"/>
      <c r="Q5" s="272"/>
      <c r="R5" s="952" t="s">
        <v>2201</v>
      </c>
      <c r="S5" s="952"/>
      <c r="T5" s="272"/>
      <c r="U5" s="276"/>
    </row>
    <row r="6" spans="2:50" ht="13" x14ac:dyDescent="0.3">
      <c r="B6" s="277">
        <v>1</v>
      </c>
      <c r="C6" s="277">
        <f t="shared" ref="C6:AO6" si="0">B6+1</f>
        <v>2</v>
      </c>
      <c r="D6" s="277">
        <f t="shared" si="0"/>
        <v>3</v>
      </c>
      <c r="E6" s="277">
        <f t="shared" si="0"/>
        <v>4</v>
      </c>
      <c r="F6" s="277">
        <f t="shared" si="0"/>
        <v>5</v>
      </c>
      <c r="G6" s="277">
        <f t="shared" si="0"/>
        <v>6</v>
      </c>
      <c r="H6" s="277">
        <f t="shared" si="0"/>
        <v>7</v>
      </c>
      <c r="I6" s="277">
        <f t="shared" si="0"/>
        <v>8</v>
      </c>
      <c r="J6" s="277">
        <f t="shared" si="0"/>
        <v>9</v>
      </c>
      <c r="K6" s="277">
        <f t="shared" si="0"/>
        <v>10</v>
      </c>
      <c r="L6" s="277">
        <f t="shared" si="0"/>
        <v>11</v>
      </c>
      <c r="M6" s="277">
        <f t="shared" si="0"/>
        <v>12</v>
      </c>
      <c r="N6" s="277">
        <f t="shared" si="0"/>
        <v>13</v>
      </c>
      <c r="O6" s="277">
        <f t="shared" si="0"/>
        <v>14</v>
      </c>
      <c r="P6" s="277">
        <f t="shared" si="0"/>
        <v>15</v>
      </c>
      <c r="Q6" s="277">
        <f t="shared" si="0"/>
        <v>16</v>
      </c>
      <c r="R6" s="277">
        <f t="shared" si="0"/>
        <v>17</v>
      </c>
      <c r="S6" s="277">
        <f t="shared" si="0"/>
        <v>18</v>
      </c>
      <c r="T6" s="277">
        <f t="shared" si="0"/>
        <v>19</v>
      </c>
      <c r="U6" s="277">
        <f t="shared" si="0"/>
        <v>20</v>
      </c>
      <c r="V6" s="277">
        <f t="shared" si="0"/>
        <v>21</v>
      </c>
      <c r="W6" s="277">
        <f t="shared" si="0"/>
        <v>22</v>
      </c>
      <c r="X6" s="277">
        <f t="shared" si="0"/>
        <v>23</v>
      </c>
      <c r="Y6" s="277">
        <f t="shared" si="0"/>
        <v>24</v>
      </c>
      <c r="Z6" s="277">
        <f t="shared" si="0"/>
        <v>25</v>
      </c>
      <c r="AA6" s="277">
        <f t="shared" si="0"/>
        <v>26</v>
      </c>
      <c r="AB6" s="277">
        <f t="shared" si="0"/>
        <v>27</v>
      </c>
      <c r="AC6" s="299">
        <f t="shared" si="0"/>
        <v>28</v>
      </c>
      <c r="AD6" s="299">
        <f t="shared" si="0"/>
        <v>29</v>
      </c>
      <c r="AE6" s="299">
        <f t="shared" si="0"/>
        <v>30</v>
      </c>
      <c r="AF6" s="277">
        <f t="shared" ref="AF6" si="1">AE6+1</f>
        <v>31</v>
      </c>
      <c r="AG6" s="277">
        <f t="shared" ref="AG6" si="2">AF6+1</f>
        <v>32</v>
      </c>
      <c r="AH6" s="277">
        <f t="shared" ref="AH6" si="3">AG6+1</f>
        <v>33</v>
      </c>
      <c r="AI6" s="277">
        <f t="shared" ref="AI6" si="4">AH6+1</f>
        <v>34</v>
      </c>
      <c r="AJ6" s="277">
        <f t="shared" ref="AJ6" si="5">AI6+1</f>
        <v>35</v>
      </c>
      <c r="AK6" s="277">
        <f t="shared" ref="AK6" si="6">AJ6+1</f>
        <v>36</v>
      </c>
      <c r="AL6" s="277">
        <f t="shared" ref="AL6" si="7">AK6+1</f>
        <v>37</v>
      </c>
      <c r="AM6" s="277">
        <f t="shared" ref="AM6" si="8">AL6+1</f>
        <v>38</v>
      </c>
      <c r="AN6" s="277">
        <f t="shared" ref="AN6" si="9">AM6+1</f>
        <v>39</v>
      </c>
      <c r="AO6" s="277">
        <f t="shared" si="0"/>
        <v>40</v>
      </c>
    </row>
    <row r="7" spans="2:50" x14ac:dyDescent="0.25">
      <c r="B7" s="278" t="s">
        <v>2202</v>
      </c>
      <c r="C7" s="953" t="s">
        <v>2203</v>
      </c>
      <c r="D7" s="953"/>
      <c r="E7" s="953" t="s">
        <v>2204</v>
      </c>
      <c r="F7" s="953"/>
      <c r="G7" s="278" t="s">
        <v>2205</v>
      </c>
      <c r="H7" s="278" t="s">
        <v>2205</v>
      </c>
      <c r="I7" s="278" t="s">
        <v>2206</v>
      </c>
      <c r="J7" s="278" t="s">
        <v>2207</v>
      </c>
      <c r="K7" s="278" t="s">
        <v>2208</v>
      </c>
      <c r="L7" s="278" t="s">
        <v>2209</v>
      </c>
      <c r="M7" s="953" t="s">
        <v>2210</v>
      </c>
      <c r="N7" s="953"/>
      <c r="O7" s="278" t="s">
        <v>2211</v>
      </c>
      <c r="P7" s="278" t="s">
        <v>2212</v>
      </c>
      <c r="Q7" s="278" t="s">
        <v>2213</v>
      </c>
      <c r="R7" s="953" t="s">
        <v>2214</v>
      </c>
      <c r="S7" s="953"/>
      <c r="T7" s="953" t="s">
        <v>2215</v>
      </c>
      <c r="U7" s="953"/>
      <c r="V7" s="278" t="s">
        <v>2216</v>
      </c>
      <c r="W7" s="278" t="s">
        <v>2217</v>
      </c>
      <c r="X7" s="278" t="s">
        <v>2218</v>
      </c>
      <c r="Y7" s="278" t="s">
        <v>2219</v>
      </c>
      <c r="Z7" s="278" t="s">
        <v>2220</v>
      </c>
      <c r="AA7" s="278" t="s">
        <v>2221</v>
      </c>
      <c r="AB7" s="278" t="s">
        <v>2222</v>
      </c>
      <c r="AC7" s="300" t="s">
        <v>1396</v>
      </c>
      <c r="AD7" s="300" t="s">
        <v>2223</v>
      </c>
      <c r="AE7" s="278" t="s">
        <v>1390</v>
      </c>
      <c r="AF7" s="278" t="s">
        <v>2224</v>
      </c>
      <c r="AG7" s="278" t="s">
        <v>2225</v>
      </c>
      <c r="AH7" s="278" t="s">
        <v>2226</v>
      </c>
      <c r="AI7" s="278" t="s">
        <v>2227</v>
      </c>
      <c r="AJ7" s="278" t="s">
        <v>2228</v>
      </c>
      <c r="AK7" s="278" t="s">
        <v>2229</v>
      </c>
      <c r="AL7" s="278" t="s">
        <v>2230</v>
      </c>
      <c r="AM7" s="278" t="s">
        <v>2231</v>
      </c>
      <c r="AN7" s="278" t="s">
        <v>2232</v>
      </c>
      <c r="AO7" s="278" t="s">
        <v>2233</v>
      </c>
    </row>
    <row r="8" spans="2:50" x14ac:dyDescent="0.25">
      <c r="B8" s="279" t="s">
        <v>1390</v>
      </c>
      <c r="C8" s="279" t="s">
        <v>2234</v>
      </c>
      <c r="D8" s="279" t="s">
        <v>2235</v>
      </c>
      <c r="E8" s="279" t="s">
        <v>2236</v>
      </c>
      <c r="F8" s="279" t="s">
        <v>23</v>
      </c>
      <c r="G8" s="279" t="s">
        <v>2237</v>
      </c>
      <c r="H8" s="279" t="s">
        <v>2238</v>
      </c>
      <c r="I8" s="279" t="s">
        <v>2239</v>
      </c>
      <c r="J8" s="279" t="s">
        <v>2240</v>
      </c>
      <c r="K8" s="279" t="s">
        <v>2241</v>
      </c>
      <c r="L8" s="279" t="s">
        <v>2242</v>
      </c>
      <c r="M8" s="279" t="s">
        <v>2243</v>
      </c>
      <c r="N8" s="279" t="s">
        <v>2244</v>
      </c>
      <c r="O8" s="279" t="s">
        <v>2245</v>
      </c>
      <c r="P8" s="279" t="s">
        <v>2246</v>
      </c>
      <c r="Q8" s="279" t="s">
        <v>6</v>
      </c>
      <c r="R8" s="279" t="s">
        <v>2234</v>
      </c>
      <c r="S8" s="279" t="s">
        <v>2235</v>
      </c>
      <c r="T8" s="279" t="s">
        <v>2234</v>
      </c>
      <c r="U8" s="279" t="s">
        <v>2235</v>
      </c>
      <c r="V8" s="279" t="s">
        <v>2247</v>
      </c>
      <c r="W8" s="279"/>
      <c r="X8" s="279" t="s">
        <v>2248</v>
      </c>
      <c r="Y8" s="279" t="s">
        <v>2249</v>
      </c>
      <c r="Z8" s="279" t="s">
        <v>2249</v>
      </c>
      <c r="AA8" s="279"/>
      <c r="AB8" s="279" t="s">
        <v>2247</v>
      </c>
      <c r="AC8" s="301" t="s">
        <v>2250</v>
      </c>
      <c r="AD8" s="301" t="s">
        <v>2250</v>
      </c>
      <c r="AE8" s="279" t="s">
        <v>2250</v>
      </c>
      <c r="AF8" s="279" t="s">
        <v>2250</v>
      </c>
      <c r="AG8" s="279" t="s">
        <v>2250</v>
      </c>
      <c r="AH8" s="279" t="s">
        <v>2250</v>
      </c>
      <c r="AI8" s="279" t="s">
        <v>2250</v>
      </c>
      <c r="AJ8" s="279" t="s">
        <v>2250</v>
      </c>
      <c r="AK8" s="279" t="s">
        <v>2250</v>
      </c>
      <c r="AL8" s="279" t="s">
        <v>2250</v>
      </c>
      <c r="AM8" s="279" t="s">
        <v>2250</v>
      </c>
      <c r="AN8" s="279" t="s">
        <v>2250</v>
      </c>
      <c r="AO8" s="278" t="s">
        <v>2247</v>
      </c>
    </row>
    <row r="9" spans="2:50" x14ac:dyDescent="0.25">
      <c r="B9" s="279" t="s">
        <v>1414</v>
      </c>
      <c r="C9" s="279"/>
      <c r="D9" s="279"/>
      <c r="E9" s="279"/>
      <c r="F9" s="279"/>
      <c r="G9" s="279"/>
      <c r="H9" s="279"/>
      <c r="I9" s="279"/>
      <c r="J9" s="279"/>
      <c r="K9" s="279"/>
      <c r="L9" s="279"/>
      <c r="M9" s="279"/>
      <c r="N9" s="279"/>
      <c r="O9" s="279"/>
      <c r="P9" s="279"/>
      <c r="Q9" s="279"/>
      <c r="R9" s="279"/>
      <c r="S9" s="279"/>
      <c r="T9" s="279"/>
      <c r="U9" s="279"/>
      <c r="V9" s="279"/>
      <c r="W9" s="279"/>
      <c r="X9" s="279"/>
      <c r="Y9" s="279"/>
      <c r="Z9" s="279"/>
      <c r="AA9" s="279"/>
      <c r="AB9" s="279"/>
      <c r="AC9" s="279"/>
      <c r="AD9" s="279"/>
      <c r="AE9" s="279"/>
      <c r="AF9" s="279"/>
      <c r="AG9" s="279"/>
      <c r="AH9" s="279"/>
      <c r="AI9" s="279"/>
      <c r="AJ9" s="279"/>
      <c r="AK9" s="279"/>
      <c r="AL9" s="279"/>
      <c r="AM9" s="279"/>
      <c r="AN9" s="279"/>
      <c r="AO9" s="280"/>
    </row>
    <row r="10" spans="2:50" s="285" customFormat="1" x14ac:dyDescent="0.25">
      <c r="B10" s="281" t="s">
        <v>2251</v>
      </c>
      <c r="C10" s="282">
        <v>968.29881961535909</v>
      </c>
      <c r="D10" s="282">
        <v>966.94050026836578</v>
      </c>
      <c r="E10" s="282">
        <v>8.0212050581981771</v>
      </c>
      <c r="F10" s="282">
        <v>8.0212050581981771</v>
      </c>
      <c r="G10" s="282">
        <v>0.63</v>
      </c>
      <c r="H10" s="282">
        <v>1.4999999999999999E-2</v>
      </c>
      <c r="I10" s="283">
        <v>15</v>
      </c>
      <c r="J10" s="283">
        <v>118.37034307281986</v>
      </c>
      <c r="K10" s="283">
        <v>36.499999999688121</v>
      </c>
      <c r="L10" s="283">
        <v>1661.5773905436231</v>
      </c>
      <c r="M10" s="281">
        <v>800</v>
      </c>
      <c r="N10" s="281"/>
      <c r="O10" s="283">
        <v>2.7679999999999998</v>
      </c>
      <c r="P10" s="283">
        <v>4.2740487644957064</v>
      </c>
      <c r="Q10" s="283">
        <v>72.229500000000229</v>
      </c>
      <c r="R10" s="283">
        <v>3.0478196153591171</v>
      </c>
      <c r="S10" s="283">
        <v>2.7000000000000455</v>
      </c>
      <c r="T10" s="282">
        <v>965.25099999999998</v>
      </c>
      <c r="U10" s="282">
        <v>964.24050026836574</v>
      </c>
      <c r="V10" s="283">
        <v>0</v>
      </c>
      <c r="W10" s="283" t="s">
        <v>1999</v>
      </c>
      <c r="X10" s="283">
        <v>500</v>
      </c>
      <c r="Y10" s="283">
        <f t="shared" ref="Y10:Y30" si="10">IFERROR(IF(X10&lt;=600,(PI()*0.72*0.72/4-PI()*0.6*0.6/4)*(C10-AB10)+(1.3*1.3-1.1*1.1)*1.6,IF(X10=800,(PI()*0.72*0.72/4-PI()*0.6*0.6/4)*(C10-AB10)+(1.5*1.5-1.1*1.1)*1.6,IF(X10=1000,(PI()*0.72*0.72/4-PI()*0.6*0.6/4)*(C10-AB10)+(1.94*1.94-1.5*1.5)*2.25,IF(X10=1200,(PI()*0.72*0.72/4-PI()*0.6*0.6/4)*(C10-AB10)+(-1.8*1.8+2.14*2.14)*2.25,IF(X10=1500,(PI()*0.72*0.72/4-PI()*0.6*0.6/4)*(C10-AB10)+(-2.2*2.2+2.44*2.44)*2.65,0))))),0)</f>
        <v>1.1471703054379312</v>
      </c>
      <c r="Z10" s="283">
        <f t="shared" ref="Z10:Z30" si="11">K10*IF(X10&lt;=600,PI()*(0.06*2+X10/1000)*(0.06*2+X10/1000)/4-PI()*(X10/1000)*(X10/1000)/4,IF(X10=800,PI()*(0.08*2+X10/1000)*(0.08*2+X10/1000)/4-PI()*(X10/1000)*(X10/1000)/4,IF(X10&lt;=1000,PI()*(0.1*2+X10/1000)*(0.1*2+X10/1000)/4-PI()*(X10/1000)*(X10/1000)/4,IF(X10&lt;=1200,PI()*(0.12*2+X10/1000)*(0.12*2+X10/1000)/4-PI()*(X10/1000)*(X10/1000)/4,IF(X10&lt;=1500,PI()*(0.15*2+X10/1000)*(0.15*2+X10/1000)/4-PI()*(X10/1000)*(X10/1000)/4,0)))))</f>
        <v>3.852849230329602</v>
      </c>
      <c r="AA10" s="283" t="s">
        <v>2252</v>
      </c>
      <c r="AB10" s="282">
        <v>965.25099999999998</v>
      </c>
      <c r="AC10" s="282"/>
      <c r="AD10" s="305"/>
      <c r="AE10" s="284" t="str">
        <f t="shared" ref="AE10:AE30" si="12">IF(OR(RIGHT(LEFT(B10,7),1)="&gt;",RIGHT(LEFT(B10,7),1)="-"),IF(OR(RIGHT(LEFT(B10,6),1)="&gt;",RIGHT(LEFT(B10,6),1)="-"),LEFT(B10,5),LEFT(B10,6)),LEFT(B10,7))</f>
        <v>PV1.1</v>
      </c>
      <c r="AF10" s="285">
        <f t="shared" ref="AF10:AF30" si="13">COUNTIF(M10,600)</f>
        <v>0</v>
      </c>
      <c r="AG10" s="285">
        <f t="shared" ref="AG10:AG30" si="14">COUNTIF(M10,800)</f>
        <v>1</v>
      </c>
      <c r="AH10" s="285">
        <f t="shared" ref="AH10:AH30" si="15">COUNTIF(M10,1000)</f>
        <v>0</v>
      </c>
      <c r="AI10" s="285">
        <f t="shared" ref="AI10:AI30" si="16">COUNTIF(M10,1200)</f>
        <v>0</v>
      </c>
      <c r="AJ10" s="285">
        <f t="shared" ref="AJ10:AJ30" si="17">COUNTIF(M10,1500)</f>
        <v>0</v>
      </c>
      <c r="AK10" s="285">
        <f t="shared" ref="AK10:AK30" si="18">COUNTIF(M10,1650)</f>
        <v>0</v>
      </c>
      <c r="AL10" s="285">
        <f t="shared" ref="AL10:AL30" si="19">AK10*IF((R10+S10)/2-1.65&lt;=2,1,0)</f>
        <v>0</v>
      </c>
      <c r="AM10" s="285">
        <f t="shared" ref="AM10:AM30" si="20">AK10*IF((R10+S10)/2-1.65&lt;=3,1,0)-AL10</f>
        <v>0</v>
      </c>
      <c r="AN10" s="285">
        <f t="shared" ref="AN10:AN30" si="21">AK10*IF((R10+S10)/2-1.65&lt;=4,1,0)-AL10-AM10</f>
        <v>0</v>
      </c>
      <c r="AO10" s="269">
        <f t="shared" ref="AO10:AO30" si="22">IFERROR(IF(X10&lt;=600,(1.1*1.1-0.85*0.85)*1.4,IF(X10=800,(1.5*1.5-1.1*1.1)*1.4,0)),0)</f>
        <v>0.68250000000000033</v>
      </c>
      <c r="AQ10" s="286" t="str">
        <f t="shared" ref="AQ10:AQ30" si="23">W10</f>
        <v>ASFALTO</v>
      </c>
    </row>
    <row r="11" spans="2:50" x14ac:dyDescent="0.25">
      <c r="B11" s="281" t="s">
        <v>2253</v>
      </c>
      <c r="C11" s="282">
        <v>966.94050026836578</v>
      </c>
      <c r="D11" s="282">
        <v>965.42208388319057</v>
      </c>
      <c r="E11" s="282">
        <v>0.13111050057506127</v>
      </c>
      <c r="F11" s="282">
        <v>8.1523105005750605</v>
      </c>
      <c r="G11" s="282">
        <v>0.63</v>
      </c>
      <c r="H11" s="282">
        <v>1.4999999999999999E-2</v>
      </c>
      <c r="I11" s="283">
        <v>15.142331865368856</v>
      </c>
      <c r="J11" s="283">
        <v>117.8448373295134</v>
      </c>
      <c r="K11" s="283">
        <v>36.499999999704258</v>
      </c>
      <c r="L11" s="283">
        <v>1681.2395265443631</v>
      </c>
      <c r="M11" s="281">
        <v>800</v>
      </c>
      <c r="N11" s="281"/>
      <c r="O11" s="283">
        <v>2.79</v>
      </c>
      <c r="P11" s="283">
        <v>4.2957908032299716</v>
      </c>
      <c r="Q11" s="283">
        <v>72.685800999999955</v>
      </c>
      <c r="R11" s="287">
        <v>2.7</v>
      </c>
      <c r="S11" s="283">
        <v>2.92</v>
      </c>
      <c r="T11" s="282">
        <v>964.24050026836574</v>
      </c>
      <c r="U11" s="282">
        <v>963.22208388319052</v>
      </c>
      <c r="V11" s="283">
        <v>0.72208388319052119</v>
      </c>
      <c r="W11" s="283" t="s">
        <v>1999</v>
      </c>
      <c r="X11" s="283">
        <v>500</v>
      </c>
      <c r="Y11" s="283">
        <f t="shared" si="10"/>
        <v>0</v>
      </c>
      <c r="Z11" s="283">
        <f t="shared" si="11"/>
        <v>3.8528492303313051</v>
      </c>
      <c r="AA11" s="283" t="s">
        <v>2254</v>
      </c>
      <c r="AB11" s="282" t="s">
        <v>2254</v>
      </c>
      <c r="AC11" s="282"/>
      <c r="AD11" s="305"/>
      <c r="AE11" s="284" t="str">
        <f t="shared" si="12"/>
        <v>PV2.1</v>
      </c>
      <c r="AF11" s="285">
        <f t="shared" si="13"/>
        <v>0</v>
      </c>
      <c r="AG11" s="285">
        <f t="shared" si="14"/>
        <v>1</v>
      </c>
      <c r="AH11" s="285">
        <f t="shared" si="15"/>
        <v>0</v>
      </c>
      <c r="AI11" s="285">
        <f t="shared" si="16"/>
        <v>0</v>
      </c>
      <c r="AJ11" s="285">
        <f t="shared" si="17"/>
        <v>0</v>
      </c>
      <c r="AK11" s="285">
        <f t="shared" si="18"/>
        <v>0</v>
      </c>
      <c r="AL11" s="285">
        <f t="shared" si="19"/>
        <v>0</v>
      </c>
      <c r="AM11" s="285">
        <f t="shared" si="20"/>
        <v>0</v>
      </c>
      <c r="AN11" s="285">
        <f t="shared" si="21"/>
        <v>0</v>
      </c>
      <c r="AO11" s="269">
        <f t="shared" si="22"/>
        <v>0.68250000000000033</v>
      </c>
      <c r="AQ11" s="286" t="str">
        <f t="shared" si="23"/>
        <v>ASFALTO</v>
      </c>
    </row>
    <row r="12" spans="2:50" x14ac:dyDescent="0.25">
      <c r="B12" s="281" t="s">
        <v>2255</v>
      </c>
      <c r="C12" s="282">
        <v>965.42208388319057</v>
      </c>
      <c r="D12" s="282">
        <v>963.97325843349461</v>
      </c>
      <c r="E12" s="282">
        <v>4.4471834773316123</v>
      </c>
      <c r="F12" s="282">
        <v>12.599483477331614</v>
      </c>
      <c r="G12" s="282">
        <v>0.63000000000000012</v>
      </c>
      <c r="H12" s="282">
        <v>1.4999999999999999E-2</v>
      </c>
      <c r="I12" s="283">
        <v>15.283943354659955</v>
      </c>
      <c r="J12" s="283">
        <v>117.32711966460712</v>
      </c>
      <c r="K12" s="283">
        <v>36.499999999964693</v>
      </c>
      <c r="L12" s="283">
        <v>2279.1457466612228</v>
      </c>
      <c r="M12" s="281">
        <v>1000</v>
      </c>
      <c r="N12" s="281"/>
      <c r="O12" s="283">
        <v>1.9910000000000001</v>
      </c>
      <c r="P12" s="283">
        <v>4.1254889354060955</v>
      </c>
      <c r="Q12" s="283">
        <v>66.267300000000219</v>
      </c>
      <c r="R12" s="283">
        <v>2.9220838831905667</v>
      </c>
      <c r="S12" s="283">
        <v>2.2000000000000455</v>
      </c>
      <c r="T12" s="282">
        <v>962.5</v>
      </c>
      <c r="U12" s="282">
        <v>961.77325843349456</v>
      </c>
      <c r="V12" s="283">
        <v>0</v>
      </c>
      <c r="W12" s="283" t="s">
        <v>1999</v>
      </c>
      <c r="X12" s="283">
        <v>600</v>
      </c>
      <c r="Y12" s="283">
        <f t="shared" si="10"/>
        <v>1.0667118085281451</v>
      </c>
      <c r="Z12" s="283">
        <f t="shared" si="11"/>
        <v>4.5408580214942953</v>
      </c>
      <c r="AA12" s="283" t="s">
        <v>2256</v>
      </c>
      <c r="AB12" s="282">
        <v>963.02099999999996</v>
      </c>
      <c r="AC12" s="282"/>
      <c r="AD12" s="305"/>
      <c r="AE12" s="284" t="str">
        <f t="shared" si="12"/>
        <v>PV3.1</v>
      </c>
      <c r="AF12" s="285">
        <f t="shared" si="13"/>
        <v>0</v>
      </c>
      <c r="AG12" s="285">
        <f t="shared" si="14"/>
        <v>0</v>
      </c>
      <c r="AH12" s="285">
        <f t="shared" si="15"/>
        <v>1</v>
      </c>
      <c r="AI12" s="285">
        <f t="shared" si="16"/>
        <v>0</v>
      </c>
      <c r="AJ12" s="285">
        <f t="shared" si="17"/>
        <v>0</v>
      </c>
      <c r="AK12" s="285">
        <f t="shared" si="18"/>
        <v>0</v>
      </c>
      <c r="AL12" s="285">
        <f t="shared" si="19"/>
        <v>0</v>
      </c>
      <c r="AM12" s="285">
        <f t="shared" si="20"/>
        <v>0</v>
      </c>
      <c r="AN12" s="285">
        <f t="shared" si="21"/>
        <v>0</v>
      </c>
      <c r="AO12" s="269">
        <f t="shared" si="22"/>
        <v>0.68250000000000033</v>
      </c>
      <c r="AQ12" s="286" t="str">
        <f t="shared" si="23"/>
        <v>ASFALTO</v>
      </c>
    </row>
    <row r="13" spans="2:50" x14ac:dyDescent="0.25">
      <c r="B13" s="281" t="s">
        <v>2257</v>
      </c>
      <c r="C13" s="282">
        <v>963.97325843349461</v>
      </c>
      <c r="D13" s="282">
        <v>962.38429380865796</v>
      </c>
      <c r="E13" s="282">
        <v>0</v>
      </c>
      <c r="F13" s="282">
        <v>12.599500000000001</v>
      </c>
      <c r="G13" s="282">
        <v>0.63</v>
      </c>
      <c r="H13" s="282">
        <v>1.4999999999999999E-2</v>
      </c>
      <c r="I13" s="283">
        <v>15.431400624054584</v>
      </c>
      <c r="J13" s="283">
        <v>116.79338356121416</v>
      </c>
      <c r="K13" s="283">
        <v>35.673396854917044</v>
      </c>
      <c r="L13" s="283">
        <v>2268.7774718150968</v>
      </c>
      <c r="M13" s="281">
        <v>1000</v>
      </c>
      <c r="N13" s="281"/>
      <c r="O13" s="283">
        <v>4.5620000000000003</v>
      </c>
      <c r="P13" s="283">
        <v>5.6821174742100515</v>
      </c>
      <c r="Q13" s="283">
        <v>50.658500000000195</v>
      </c>
      <c r="R13" s="283">
        <v>2.2000000000000455</v>
      </c>
      <c r="S13" s="283">
        <v>3.28</v>
      </c>
      <c r="T13" s="282">
        <v>961.77325843349456</v>
      </c>
      <c r="U13" s="282">
        <v>960.14598723393294</v>
      </c>
      <c r="V13" s="283">
        <v>1.0459872339329195</v>
      </c>
      <c r="W13" s="283" t="s">
        <v>1999</v>
      </c>
      <c r="X13" s="283">
        <v>600</v>
      </c>
      <c r="Y13" s="283">
        <f t="shared" si="10"/>
        <v>0</v>
      </c>
      <c r="Z13" s="283">
        <f t="shared" si="11"/>
        <v>4.4380227469248252</v>
      </c>
      <c r="AA13" s="283" t="s">
        <v>2254</v>
      </c>
      <c r="AB13" s="282" t="s">
        <v>2254</v>
      </c>
      <c r="AC13" s="282"/>
      <c r="AD13" s="305"/>
      <c r="AE13" s="284" t="str">
        <f t="shared" si="12"/>
        <v>PV4.1</v>
      </c>
      <c r="AF13" s="285">
        <f t="shared" si="13"/>
        <v>0</v>
      </c>
      <c r="AG13" s="285">
        <f t="shared" si="14"/>
        <v>0</v>
      </c>
      <c r="AH13" s="285">
        <f t="shared" si="15"/>
        <v>1</v>
      </c>
      <c r="AI13" s="285">
        <f t="shared" si="16"/>
        <v>0</v>
      </c>
      <c r="AJ13" s="285">
        <f t="shared" si="17"/>
        <v>0</v>
      </c>
      <c r="AK13" s="285">
        <f t="shared" si="18"/>
        <v>0</v>
      </c>
      <c r="AL13" s="285">
        <f t="shared" si="19"/>
        <v>0</v>
      </c>
      <c r="AM13" s="285">
        <f t="shared" si="20"/>
        <v>0</v>
      </c>
      <c r="AN13" s="285">
        <f t="shared" si="21"/>
        <v>0</v>
      </c>
      <c r="AO13" s="269">
        <f t="shared" si="22"/>
        <v>0.68250000000000033</v>
      </c>
      <c r="AQ13" s="286" t="str">
        <f t="shared" si="23"/>
        <v>ASFALTO</v>
      </c>
    </row>
    <row r="14" spans="2:50" x14ac:dyDescent="0.25">
      <c r="B14" s="281" t="s">
        <v>2258</v>
      </c>
      <c r="C14" s="282">
        <v>962.38429380865796</v>
      </c>
      <c r="D14" s="282">
        <v>960.85036348899507</v>
      </c>
      <c r="E14" s="282">
        <v>2.8957834913128764</v>
      </c>
      <c r="F14" s="282">
        <v>15.495283491312875</v>
      </c>
      <c r="G14" s="282">
        <v>0.62999999999999989</v>
      </c>
      <c r="H14" s="282">
        <v>1.4999999999999999E-2</v>
      </c>
      <c r="I14" s="283">
        <v>15.536037076388981</v>
      </c>
      <c r="J14" s="283">
        <v>116.41790822472362</v>
      </c>
      <c r="K14" s="283">
        <v>37.327522619177941</v>
      </c>
      <c r="L14" s="283">
        <v>2752.6269860037632</v>
      </c>
      <c r="M14" s="281">
        <v>1000</v>
      </c>
      <c r="N14" s="281"/>
      <c r="O14" s="283">
        <v>1.7999999999999998</v>
      </c>
      <c r="P14" s="283">
        <v>4.0464544091900736</v>
      </c>
      <c r="Q14" s="283">
        <v>80.842000000000013</v>
      </c>
      <c r="R14" s="283">
        <v>3.2842938086579352</v>
      </c>
      <c r="S14" s="283">
        <v>2.4222588961403062</v>
      </c>
      <c r="T14" s="282">
        <v>959.1</v>
      </c>
      <c r="U14" s="282">
        <v>958.42810459285477</v>
      </c>
      <c r="V14" s="283">
        <v>0</v>
      </c>
      <c r="W14" s="283" t="s">
        <v>1999</v>
      </c>
      <c r="X14" s="283">
        <v>800</v>
      </c>
      <c r="Y14" s="283">
        <f t="shared" si="10"/>
        <v>2.0626368012132406</v>
      </c>
      <c r="Z14" s="283">
        <f t="shared" si="11"/>
        <v>8.2556581069329855</v>
      </c>
      <c r="AA14" s="283" t="s">
        <v>2259</v>
      </c>
      <c r="AB14" s="282">
        <v>959.18</v>
      </c>
      <c r="AC14" s="282"/>
      <c r="AD14" s="305"/>
      <c r="AE14" s="284" t="str">
        <f t="shared" si="12"/>
        <v>PV5.1</v>
      </c>
      <c r="AF14" s="285">
        <f t="shared" si="13"/>
        <v>0</v>
      </c>
      <c r="AG14" s="285">
        <f t="shared" si="14"/>
        <v>0</v>
      </c>
      <c r="AH14" s="285">
        <f t="shared" si="15"/>
        <v>1</v>
      </c>
      <c r="AI14" s="285">
        <f t="shared" si="16"/>
        <v>0</v>
      </c>
      <c r="AJ14" s="285">
        <f t="shared" si="17"/>
        <v>0</v>
      </c>
      <c r="AK14" s="285">
        <f t="shared" si="18"/>
        <v>0</v>
      </c>
      <c r="AL14" s="285">
        <f t="shared" si="19"/>
        <v>0</v>
      </c>
      <c r="AM14" s="285">
        <f t="shared" si="20"/>
        <v>0</v>
      </c>
      <c r="AN14" s="285">
        <f t="shared" si="21"/>
        <v>0</v>
      </c>
      <c r="AO14" s="269">
        <f t="shared" si="22"/>
        <v>1.4559999999999997</v>
      </c>
      <c r="AQ14" s="286" t="str">
        <f t="shared" si="23"/>
        <v>ASFALTO</v>
      </c>
    </row>
    <row r="15" spans="2:50" x14ac:dyDescent="0.25">
      <c r="B15" s="281" t="s">
        <v>2260</v>
      </c>
      <c r="C15" s="282">
        <v>960.85036348899507</v>
      </c>
      <c r="D15" s="282">
        <v>959.46628681920527</v>
      </c>
      <c r="E15" s="282">
        <v>0</v>
      </c>
      <c r="F15" s="282">
        <v>15.4953</v>
      </c>
      <c r="G15" s="282">
        <v>0.63</v>
      </c>
      <c r="H15" s="282">
        <v>1.4999999999999999E-2</v>
      </c>
      <c r="I15" s="283">
        <v>15.689782878040266</v>
      </c>
      <c r="J15" s="283">
        <v>115.87105912387163</v>
      </c>
      <c r="K15" s="283">
        <v>35.502624062987273</v>
      </c>
      <c r="L15" s="283">
        <v>2739.6969428025882</v>
      </c>
      <c r="M15" s="281">
        <v>1000</v>
      </c>
      <c r="N15" s="281"/>
      <c r="O15" s="283">
        <v>3.2719999999999998</v>
      </c>
      <c r="P15" s="283">
        <v>5.2219150617486285</v>
      </c>
      <c r="Q15" s="283">
        <v>63.356018000000262</v>
      </c>
      <c r="R15" s="283">
        <v>2.4222588961403062</v>
      </c>
      <c r="S15" s="283">
        <v>3.02</v>
      </c>
      <c r="T15" s="282">
        <v>958.42810459285477</v>
      </c>
      <c r="U15" s="282">
        <v>957.26628681920522</v>
      </c>
      <c r="V15" s="283">
        <v>0.81628681920517465</v>
      </c>
      <c r="W15" s="283" t="s">
        <v>1999</v>
      </c>
      <c r="X15" s="283">
        <v>800</v>
      </c>
      <c r="Y15" s="283">
        <f t="shared" si="10"/>
        <v>0</v>
      </c>
      <c r="Z15" s="283">
        <f t="shared" si="11"/>
        <v>7.8520487189366497</v>
      </c>
      <c r="AA15" s="283" t="s">
        <v>2254</v>
      </c>
      <c r="AB15" s="282" t="s">
        <v>2254</v>
      </c>
      <c r="AC15" s="282"/>
      <c r="AD15" s="305"/>
      <c r="AE15" s="284" t="str">
        <f t="shared" si="12"/>
        <v>PV6.1</v>
      </c>
      <c r="AF15" s="285">
        <f t="shared" si="13"/>
        <v>0</v>
      </c>
      <c r="AG15" s="285">
        <f t="shared" si="14"/>
        <v>0</v>
      </c>
      <c r="AH15" s="285">
        <f t="shared" si="15"/>
        <v>1</v>
      </c>
      <c r="AI15" s="285">
        <f t="shared" si="16"/>
        <v>0</v>
      </c>
      <c r="AJ15" s="285">
        <f t="shared" si="17"/>
        <v>0</v>
      </c>
      <c r="AK15" s="285">
        <f t="shared" si="18"/>
        <v>0</v>
      </c>
      <c r="AL15" s="285">
        <f t="shared" si="19"/>
        <v>0</v>
      </c>
      <c r="AM15" s="285">
        <f t="shared" si="20"/>
        <v>0</v>
      </c>
      <c r="AN15" s="285">
        <f t="shared" si="21"/>
        <v>0</v>
      </c>
      <c r="AO15" s="269">
        <f t="shared" si="22"/>
        <v>1.4559999999999997</v>
      </c>
      <c r="AQ15" s="286" t="str">
        <f t="shared" si="23"/>
        <v>ASFALTO</v>
      </c>
    </row>
    <row r="16" spans="2:50" x14ac:dyDescent="0.25">
      <c r="B16" s="281" t="s">
        <v>2261</v>
      </c>
      <c r="C16" s="282">
        <v>959.46628681920527</v>
      </c>
      <c r="D16" s="282">
        <v>958.03530724302686</v>
      </c>
      <c r="E16" s="282">
        <v>2.4967611774316074</v>
      </c>
      <c r="F16" s="282">
        <v>17.992061177431605</v>
      </c>
      <c r="G16" s="282">
        <v>0.63</v>
      </c>
      <c r="H16" s="282">
        <v>1.4999999999999999E-2</v>
      </c>
      <c r="I16" s="283">
        <v>15.803095789884459</v>
      </c>
      <c r="J16" s="283">
        <v>115.47166919425528</v>
      </c>
      <c r="K16" s="283">
        <v>36.499299354793699</v>
      </c>
      <c r="L16" s="283">
        <v>3146.5884478357498</v>
      </c>
      <c r="M16" s="281">
        <v>1000</v>
      </c>
      <c r="N16" s="281"/>
      <c r="O16" s="283">
        <v>2.2999999999999998</v>
      </c>
      <c r="P16" s="283">
        <v>4.5739862460782952</v>
      </c>
      <c r="Q16" s="283">
        <v>81.826904000000184</v>
      </c>
      <c r="R16" s="283">
        <v>3.0162868192052201</v>
      </c>
      <c r="S16" s="283">
        <v>2.65</v>
      </c>
      <c r="T16" s="282">
        <v>956.45</v>
      </c>
      <c r="U16" s="282">
        <v>955.61051611483981</v>
      </c>
      <c r="V16" s="283">
        <v>0.22520887181292437</v>
      </c>
      <c r="W16" s="283" t="s">
        <v>1999</v>
      </c>
      <c r="X16" s="283">
        <v>800</v>
      </c>
      <c r="Y16" s="283">
        <f t="shared" si="10"/>
        <v>2.0367592613068188</v>
      </c>
      <c r="Z16" s="283">
        <f t="shared" si="11"/>
        <v>8.0724815222792987</v>
      </c>
      <c r="AA16" s="283" t="s">
        <v>2262</v>
      </c>
      <c r="AB16" s="282">
        <v>956.47</v>
      </c>
      <c r="AC16" s="282"/>
      <c r="AD16" s="305"/>
      <c r="AE16" s="284" t="str">
        <f t="shared" si="12"/>
        <v>PV7.1</v>
      </c>
      <c r="AF16" s="285">
        <f t="shared" si="13"/>
        <v>0</v>
      </c>
      <c r="AG16" s="285">
        <f t="shared" si="14"/>
        <v>0</v>
      </c>
      <c r="AH16" s="285">
        <f t="shared" si="15"/>
        <v>1</v>
      </c>
      <c r="AI16" s="285">
        <f t="shared" si="16"/>
        <v>0</v>
      </c>
      <c r="AJ16" s="285">
        <f t="shared" si="17"/>
        <v>0</v>
      </c>
      <c r="AK16" s="285">
        <f t="shared" si="18"/>
        <v>0</v>
      </c>
      <c r="AL16" s="285">
        <f t="shared" si="19"/>
        <v>0</v>
      </c>
      <c r="AM16" s="285">
        <f t="shared" si="20"/>
        <v>0</v>
      </c>
      <c r="AN16" s="285">
        <f t="shared" si="21"/>
        <v>0</v>
      </c>
      <c r="AO16" s="269">
        <f t="shared" si="22"/>
        <v>1.4559999999999997</v>
      </c>
      <c r="AQ16" s="286" t="str">
        <f t="shared" si="23"/>
        <v>ASFALTO</v>
      </c>
    </row>
    <row r="17" spans="2:43" x14ac:dyDescent="0.25">
      <c r="B17" s="281" t="s">
        <v>2263</v>
      </c>
      <c r="C17" s="282">
        <v>958.03530724302686</v>
      </c>
      <c r="D17" s="282">
        <v>956.74649406231117</v>
      </c>
      <c r="E17" s="282">
        <v>0</v>
      </c>
      <c r="F17" s="282">
        <v>17.992100000000001</v>
      </c>
      <c r="G17" s="282">
        <v>0.63</v>
      </c>
      <c r="H17" s="282">
        <v>1.4999999999999999E-2</v>
      </c>
      <c r="I17" s="283">
        <v>15.936091742033375</v>
      </c>
      <c r="J17" s="283">
        <v>115.00679484400243</v>
      </c>
      <c r="K17" s="283">
        <v>34.998887036138747</v>
      </c>
      <c r="L17" s="283">
        <v>3133.9203422061219</v>
      </c>
      <c r="M17" s="281">
        <v>1200</v>
      </c>
      <c r="N17" s="281"/>
      <c r="O17" s="283">
        <v>3.254</v>
      </c>
      <c r="P17" s="283">
        <v>5.4269143081232238</v>
      </c>
      <c r="Q17" s="283">
        <v>50.832715000000164</v>
      </c>
      <c r="R17" s="283">
        <v>2.6499999999999773</v>
      </c>
      <c r="S17" s="283">
        <v>3.15</v>
      </c>
      <c r="T17" s="282">
        <v>955.38530724302689</v>
      </c>
      <c r="U17" s="282">
        <v>954.24649406231117</v>
      </c>
      <c r="V17" s="283">
        <v>0.64649406231114881</v>
      </c>
      <c r="W17" s="283" t="s">
        <v>1999</v>
      </c>
      <c r="X17" s="283">
        <v>800</v>
      </c>
      <c r="Y17" s="283">
        <f t="shared" si="10"/>
        <v>0</v>
      </c>
      <c r="Z17" s="283">
        <f t="shared" si="11"/>
        <v>7.7406381463172993</v>
      </c>
      <c r="AA17" s="283" t="s">
        <v>2254</v>
      </c>
      <c r="AB17" s="282" t="s">
        <v>2254</v>
      </c>
      <c r="AC17" s="282"/>
      <c r="AD17" s="305"/>
      <c r="AE17" s="284" t="str">
        <f t="shared" si="12"/>
        <v>PV8.1</v>
      </c>
      <c r="AF17" s="285">
        <f t="shared" si="13"/>
        <v>0</v>
      </c>
      <c r="AG17" s="285">
        <f t="shared" si="14"/>
        <v>0</v>
      </c>
      <c r="AH17" s="285">
        <f t="shared" si="15"/>
        <v>0</v>
      </c>
      <c r="AI17" s="285">
        <f t="shared" si="16"/>
        <v>1</v>
      </c>
      <c r="AJ17" s="285">
        <f t="shared" si="17"/>
        <v>0</v>
      </c>
      <c r="AK17" s="285">
        <f t="shared" si="18"/>
        <v>0</v>
      </c>
      <c r="AL17" s="285">
        <f t="shared" si="19"/>
        <v>0</v>
      </c>
      <c r="AM17" s="285">
        <f t="shared" si="20"/>
        <v>0</v>
      </c>
      <c r="AN17" s="285">
        <f t="shared" si="21"/>
        <v>0</v>
      </c>
      <c r="AO17" s="269">
        <f t="shared" si="22"/>
        <v>1.4559999999999997</v>
      </c>
      <c r="AQ17" s="286" t="str">
        <f t="shared" si="23"/>
        <v>ASFALTO</v>
      </c>
    </row>
    <row r="18" spans="2:43" x14ac:dyDescent="0.25">
      <c r="B18" s="281" t="s">
        <v>2264</v>
      </c>
      <c r="C18" s="282">
        <v>956.74649406231117</v>
      </c>
      <c r="D18" s="282">
        <v>955.92473718640531</v>
      </c>
      <c r="E18" s="282">
        <v>2.1604651674298703</v>
      </c>
      <c r="F18" s="282">
        <v>20.15256516742987</v>
      </c>
      <c r="G18" s="282">
        <v>0.63</v>
      </c>
      <c r="H18" s="282">
        <v>1.4999999999999999E-2</v>
      </c>
      <c r="I18" s="283">
        <v>16.043577276319869</v>
      </c>
      <c r="J18" s="283">
        <v>114.63412274687634</v>
      </c>
      <c r="K18" s="283">
        <v>37.041618437486591</v>
      </c>
      <c r="L18" s="283">
        <v>3479.0811979911618</v>
      </c>
      <c r="M18" s="281">
        <v>1500</v>
      </c>
      <c r="N18" s="281"/>
      <c r="O18" s="283">
        <v>1.2829999999999999</v>
      </c>
      <c r="P18" s="283">
        <v>3.929502616774875</v>
      </c>
      <c r="Q18" s="283">
        <v>50.080056000000106</v>
      </c>
      <c r="R18" s="283">
        <v>3.1464940623111488</v>
      </c>
      <c r="S18" s="283">
        <v>2.7999999999999545</v>
      </c>
      <c r="T18" s="282">
        <v>953.6</v>
      </c>
      <c r="U18" s="282">
        <v>953.12473718640535</v>
      </c>
      <c r="V18" s="283">
        <v>0</v>
      </c>
      <c r="W18" s="283" t="s">
        <v>1999</v>
      </c>
      <c r="X18" s="283">
        <v>1000</v>
      </c>
      <c r="Y18" s="283">
        <f t="shared" si="10"/>
        <v>3.7920698214132544</v>
      </c>
      <c r="Z18" s="283">
        <f t="shared" si="11"/>
        <v>12.800664399631254</v>
      </c>
      <c r="AA18" s="283" t="s">
        <v>2265</v>
      </c>
      <c r="AB18" s="282">
        <f>953.64</f>
        <v>953.64</v>
      </c>
      <c r="AC18" s="282"/>
      <c r="AD18" s="305"/>
      <c r="AE18" s="284" t="str">
        <f t="shared" si="12"/>
        <v>PV9.1</v>
      </c>
      <c r="AF18" s="285">
        <f t="shared" si="13"/>
        <v>0</v>
      </c>
      <c r="AG18" s="285">
        <f t="shared" si="14"/>
        <v>0</v>
      </c>
      <c r="AH18" s="285">
        <f t="shared" si="15"/>
        <v>0</v>
      </c>
      <c r="AI18" s="285">
        <f t="shared" si="16"/>
        <v>0</v>
      </c>
      <c r="AJ18" s="285">
        <f t="shared" si="17"/>
        <v>1</v>
      </c>
      <c r="AK18" s="285">
        <f t="shared" si="18"/>
        <v>0</v>
      </c>
      <c r="AL18" s="285">
        <f t="shared" si="19"/>
        <v>0</v>
      </c>
      <c r="AM18" s="285">
        <f t="shared" si="20"/>
        <v>0</v>
      </c>
      <c r="AN18" s="285">
        <f t="shared" si="21"/>
        <v>0</v>
      </c>
      <c r="AO18" s="269">
        <f t="shared" si="22"/>
        <v>0</v>
      </c>
      <c r="AQ18" s="286" t="str">
        <f t="shared" si="23"/>
        <v>ASFALTO</v>
      </c>
    </row>
    <row r="19" spans="2:43" x14ac:dyDescent="0.25">
      <c r="B19" s="281" t="s">
        <v>2266</v>
      </c>
      <c r="C19" s="282">
        <v>955.92473718640531</v>
      </c>
      <c r="D19" s="282">
        <v>955.35125580051965</v>
      </c>
      <c r="E19" s="282">
        <v>0</v>
      </c>
      <c r="F19" s="282">
        <v>20.1526</v>
      </c>
      <c r="G19" s="282">
        <v>0.63</v>
      </c>
      <c r="H19" s="282">
        <v>1.4999999999999999E-2</v>
      </c>
      <c r="I19" s="283">
        <v>16.200686296849838</v>
      </c>
      <c r="J19" s="283">
        <v>114.09420788725006</v>
      </c>
      <c r="K19" s="283">
        <v>36.958381562600451</v>
      </c>
      <c r="L19" s="283">
        <v>3462.694786194415</v>
      </c>
      <c r="M19" s="281">
        <v>1500</v>
      </c>
      <c r="N19" s="281"/>
      <c r="O19" s="283">
        <v>1.552</v>
      </c>
      <c r="P19" s="283">
        <v>4.213951507646593</v>
      </c>
      <c r="Q19" s="283">
        <v>47.249651999999998</v>
      </c>
      <c r="R19" s="283">
        <v>2.7999999999999545</v>
      </c>
      <c r="S19" s="283">
        <v>3</v>
      </c>
      <c r="T19" s="282">
        <v>953.12473718640535</v>
      </c>
      <c r="U19" s="282">
        <v>952.5512558005197</v>
      </c>
      <c r="V19" s="283">
        <v>0.20125580051967518</v>
      </c>
      <c r="W19" s="283" t="s">
        <v>1999</v>
      </c>
      <c r="X19" s="283">
        <v>1000</v>
      </c>
      <c r="Y19" s="283">
        <f t="shared" si="10"/>
        <v>0</v>
      </c>
      <c r="Z19" s="283">
        <f t="shared" si="11"/>
        <v>12.771899800619746</v>
      </c>
      <c r="AA19" s="283" t="s">
        <v>2254</v>
      </c>
      <c r="AB19" s="283" t="s">
        <v>2254</v>
      </c>
      <c r="AC19" s="283"/>
      <c r="AD19" s="305"/>
      <c r="AE19" s="284" t="str">
        <f t="shared" si="12"/>
        <v>PV10.1</v>
      </c>
      <c r="AF19" s="285">
        <f t="shared" si="13"/>
        <v>0</v>
      </c>
      <c r="AG19" s="285">
        <f t="shared" si="14"/>
        <v>0</v>
      </c>
      <c r="AH19" s="285">
        <f t="shared" si="15"/>
        <v>0</v>
      </c>
      <c r="AI19" s="285">
        <f t="shared" si="16"/>
        <v>0</v>
      </c>
      <c r="AJ19" s="285">
        <f t="shared" si="17"/>
        <v>1</v>
      </c>
      <c r="AK19" s="285">
        <f t="shared" si="18"/>
        <v>0</v>
      </c>
      <c r="AL19" s="285">
        <f t="shared" si="19"/>
        <v>0</v>
      </c>
      <c r="AM19" s="285">
        <f t="shared" si="20"/>
        <v>0</v>
      </c>
      <c r="AN19" s="285">
        <f t="shared" si="21"/>
        <v>0</v>
      </c>
      <c r="AO19" s="269">
        <f t="shared" si="22"/>
        <v>0</v>
      </c>
      <c r="AQ19" s="286" t="str">
        <f t="shared" si="23"/>
        <v>ASFALTO</v>
      </c>
    </row>
    <row r="20" spans="2:43" x14ac:dyDescent="0.25">
      <c r="B20" s="281" t="s">
        <v>2267</v>
      </c>
      <c r="C20" s="282">
        <v>955.35125580051965</v>
      </c>
      <c r="D20" s="282">
        <v>955.07679729677011</v>
      </c>
      <c r="E20" s="282">
        <v>1.2223356199861879</v>
      </c>
      <c r="F20" s="282">
        <v>21.374935619986189</v>
      </c>
      <c r="G20" s="282">
        <v>0.63</v>
      </c>
      <c r="H20" s="282">
        <v>1.4999999999999999E-2</v>
      </c>
      <c r="I20" s="283">
        <v>16.346860979905777</v>
      </c>
      <c r="J20" s="283">
        <v>113.59692786216023</v>
      </c>
      <c r="K20" s="283">
        <v>45.000000000207713</v>
      </c>
      <c r="L20" s="283">
        <v>3645.9638485856149</v>
      </c>
      <c r="M20" s="281">
        <v>1500</v>
      </c>
      <c r="N20" s="281"/>
      <c r="O20" s="283">
        <v>0.4</v>
      </c>
      <c r="P20" s="283">
        <v>2.493184667479234</v>
      </c>
      <c r="Q20" s="283">
        <v>77.120100000000065</v>
      </c>
      <c r="R20" s="283">
        <v>3.0012558005196297</v>
      </c>
      <c r="S20" s="283">
        <v>2.9067972967709466</v>
      </c>
      <c r="T20" s="282">
        <v>952.35</v>
      </c>
      <c r="U20" s="282">
        <v>952.16999999999916</v>
      </c>
      <c r="V20" s="283">
        <v>8.0000000002655725E-3</v>
      </c>
      <c r="W20" s="283" t="s">
        <v>1999</v>
      </c>
      <c r="X20" s="283">
        <v>1200</v>
      </c>
      <c r="Y20" s="283">
        <f t="shared" si="10"/>
        <v>3.3837452256360052</v>
      </c>
      <c r="Z20" s="283">
        <f t="shared" si="11"/>
        <v>22.393272434891411</v>
      </c>
      <c r="AA20" s="283" t="s">
        <v>2268</v>
      </c>
      <c r="AB20" s="282">
        <v>952.38</v>
      </c>
      <c r="AC20" s="282"/>
      <c r="AD20" s="305"/>
      <c r="AE20" s="284" t="str">
        <f t="shared" si="12"/>
        <v>PV11.1</v>
      </c>
      <c r="AF20" s="285">
        <f t="shared" si="13"/>
        <v>0</v>
      </c>
      <c r="AG20" s="285">
        <f t="shared" si="14"/>
        <v>0</v>
      </c>
      <c r="AH20" s="285">
        <f t="shared" si="15"/>
        <v>0</v>
      </c>
      <c r="AI20" s="285">
        <f t="shared" si="16"/>
        <v>0</v>
      </c>
      <c r="AJ20" s="285">
        <f t="shared" si="17"/>
        <v>1</v>
      </c>
      <c r="AK20" s="285">
        <f t="shared" si="18"/>
        <v>0</v>
      </c>
      <c r="AL20" s="285">
        <f t="shared" si="19"/>
        <v>0</v>
      </c>
      <c r="AM20" s="285">
        <f t="shared" si="20"/>
        <v>0</v>
      </c>
      <c r="AN20" s="285">
        <f t="shared" si="21"/>
        <v>0</v>
      </c>
      <c r="AO20" s="269">
        <f t="shared" si="22"/>
        <v>0</v>
      </c>
      <c r="AQ20" s="286" t="str">
        <f t="shared" si="23"/>
        <v>ASFALTO</v>
      </c>
    </row>
    <row r="21" spans="2:43" x14ac:dyDescent="0.25">
      <c r="B21" s="281" t="s">
        <v>2269</v>
      </c>
      <c r="C21" s="282">
        <v>955.07679729677011</v>
      </c>
      <c r="D21" s="282">
        <v>955.12485142244429</v>
      </c>
      <c r="E21" s="282">
        <v>0.28201495158086376</v>
      </c>
      <c r="F21" s="282">
        <v>21.656914951580866</v>
      </c>
      <c r="G21" s="282">
        <v>0.63</v>
      </c>
      <c r="H21" s="282">
        <v>1.4999999999999999E-2</v>
      </c>
      <c r="I21" s="283">
        <v>16.64768105544465</v>
      </c>
      <c r="J21" s="283">
        <v>112.58857842160255</v>
      </c>
      <c r="K21" s="283">
        <v>44.999999999760568</v>
      </c>
      <c r="L21" s="283">
        <v>3658.8788750680287</v>
      </c>
      <c r="M21" s="281">
        <v>1500</v>
      </c>
      <c r="N21" s="281"/>
      <c r="O21" s="283">
        <v>0.40899999999999997</v>
      </c>
      <c r="P21" s="283">
        <v>2.5193556040775369</v>
      </c>
      <c r="Q21" s="283">
        <v>76.589800000000281</v>
      </c>
      <c r="R21" s="283">
        <v>2.9147972967712121</v>
      </c>
      <c r="S21" s="283">
        <v>3.1470541256726392</v>
      </c>
      <c r="T21" s="282">
        <v>952.1619999999989</v>
      </c>
      <c r="U21" s="282">
        <v>951.97779729677166</v>
      </c>
      <c r="V21" s="283">
        <v>0</v>
      </c>
      <c r="W21" s="283" t="s">
        <v>1999</v>
      </c>
      <c r="X21" s="283">
        <v>1200</v>
      </c>
      <c r="Y21" s="283">
        <f t="shared" si="10"/>
        <v>3.4254889597399676</v>
      </c>
      <c r="Z21" s="283">
        <f t="shared" si="11"/>
        <v>22.393272434668898</v>
      </c>
      <c r="AA21" s="283" t="s">
        <v>2270</v>
      </c>
      <c r="AB21" s="282">
        <v>951.77</v>
      </c>
      <c r="AC21" s="282"/>
      <c r="AD21" s="305"/>
      <c r="AE21" s="284" t="str">
        <f t="shared" si="12"/>
        <v>PV12.1</v>
      </c>
      <c r="AF21" s="285">
        <f t="shared" si="13"/>
        <v>0</v>
      </c>
      <c r="AG21" s="285">
        <f t="shared" si="14"/>
        <v>0</v>
      </c>
      <c r="AH21" s="285">
        <f t="shared" si="15"/>
        <v>0</v>
      </c>
      <c r="AI21" s="285">
        <f t="shared" si="16"/>
        <v>0</v>
      </c>
      <c r="AJ21" s="285">
        <f t="shared" si="17"/>
        <v>1</v>
      </c>
      <c r="AK21" s="285">
        <f t="shared" si="18"/>
        <v>0</v>
      </c>
      <c r="AL21" s="285">
        <f t="shared" si="19"/>
        <v>0</v>
      </c>
      <c r="AM21" s="285">
        <f t="shared" si="20"/>
        <v>0</v>
      </c>
      <c r="AN21" s="285">
        <f t="shared" si="21"/>
        <v>0</v>
      </c>
      <c r="AO21" s="269">
        <f t="shared" si="22"/>
        <v>0</v>
      </c>
      <c r="AQ21" s="286" t="str">
        <f t="shared" si="23"/>
        <v>ASFALTO</v>
      </c>
    </row>
    <row r="22" spans="2:43" x14ac:dyDescent="0.25">
      <c r="B22" s="281" t="s">
        <v>2271</v>
      </c>
      <c r="C22" s="282">
        <v>955.12485142244429</v>
      </c>
      <c r="D22" s="282">
        <v>955.42237969822554</v>
      </c>
      <c r="E22" s="282">
        <v>0.32745127883798875</v>
      </c>
      <c r="F22" s="282">
        <v>21.984351278837991</v>
      </c>
      <c r="G22" s="282">
        <v>0.63</v>
      </c>
      <c r="H22" s="282">
        <v>1.4999999999999999E-2</v>
      </c>
      <c r="I22" s="283">
        <v>16.945376227488701</v>
      </c>
      <c r="J22" s="283">
        <v>111.61011787537298</v>
      </c>
      <c r="K22" s="283">
        <v>35.000000000026269</v>
      </c>
      <c r="L22" s="283">
        <v>3679.1609445910822</v>
      </c>
      <c r="M22" s="281">
        <v>1500</v>
      </c>
      <c r="N22" s="281"/>
      <c r="O22" s="283">
        <v>0.58699999999999997</v>
      </c>
      <c r="P22" s="283">
        <v>2.9399066954708646</v>
      </c>
      <c r="Q22" s="283">
        <v>66.664158000000015</v>
      </c>
      <c r="R22" s="283">
        <v>3.1470541256726392</v>
      </c>
      <c r="S22" s="283">
        <v>4.3</v>
      </c>
      <c r="T22" s="282">
        <v>951.97779729677166</v>
      </c>
      <c r="U22" s="282">
        <v>951.77237969822556</v>
      </c>
      <c r="V22" s="283">
        <v>0.64999999999997726</v>
      </c>
      <c r="W22" s="283" t="s">
        <v>1999</v>
      </c>
      <c r="X22" s="283">
        <v>800</v>
      </c>
      <c r="Y22" s="283">
        <f t="shared" si="10"/>
        <v>0</v>
      </c>
      <c r="Z22" s="283">
        <f t="shared" si="11"/>
        <v>7.7408842984510615</v>
      </c>
      <c r="AA22" s="283" t="s">
        <v>2254</v>
      </c>
      <c r="AB22" s="282" t="s">
        <v>2254</v>
      </c>
      <c r="AC22" s="282"/>
      <c r="AD22" s="305"/>
      <c r="AE22" s="284" t="str">
        <f t="shared" si="12"/>
        <v>PV13.1</v>
      </c>
      <c r="AF22" s="285">
        <f t="shared" si="13"/>
        <v>0</v>
      </c>
      <c r="AG22" s="285">
        <f t="shared" si="14"/>
        <v>0</v>
      </c>
      <c r="AH22" s="285">
        <f t="shared" si="15"/>
        <v>0</v>
      </c>
      <c r="AI22" s="285">
        <f t="shared" si="16"/>
        <v>0</v>
      </c>
      <c r="AJ22" s="285">
        <f t="shared" si="17"/>
        <v>1</v>
      </c>
      <c r="AK22" s="285">
        <f t="shared" si="18"/>
        <v>0</v>
      </c>
      <c r="AL22" s="285">
        <f t="shared" si="19"/>
        <v>0</v>
      </c>
      <c r="AM22" s="285">
        <f t="shared" si="20"/>
        <v>0</v>
      </c>
      <c r="AN22" s="285">
        <f t="shared" si="21"/>
        <v>0</v>
      </c>
      <c r="AO22" s="269">
        <f t="shared" si="22"/>
        <v>1.4559999999999997</v>
      </c>
      <c r="AQ22" s="286" t="str">
        <f t="shared" si="23"/>
        <v>ASFALTO</v>
      </c>
    </row>
    <row r="23" spans="2:43" x14ac:dyDescent="0.25">
      <c r="B23" s="281" t="s">
        <v>2272</v>
      </c>
      <c r="C23" s="282">
        <v>955.42237969822554</v>
      </c>
      <c r="D23" s="282">
        <v>954.45720720190752</v>
      </c>
      <c r="E23" s="282">
        <v>27.808076054280033</v>
      </c>
      <c r="F23" s="282">
        <v>49.79247605428003</v>
      </c>
      <c r="G23" s="282">
        <v>0.63</v>
      </c>
      <c r="H23" s="282">
        <v>1.4999999999999999E-2</v>
      </c>
      <c r="I23" s="283">
        <v>20</v>
      </c>
      <c r="J23" s="283">
        <v>102.56198188143185</v>
      </c>
      <c r="K23" s="283">
        <v>40.754029504077828</v>
      </c>
      <c r="L23" s="283">
        <v>7350.708682516728</v>
      </c>
      <c r="M23" s="281">
        <v>1500</v>
      </c>
      <c r="N23" s="281"/>
      <c r="O23" s="283">
        <v>2.3679999999999999</v>
      </c>
      <c r="P23" s="283">
        <v>5.8989558701571383</v>
      </c>
      <c r="Q23" s="283">
        <v>66.412128000000024</v>
      </c>
      <c r="R23" s="283">
        <v>4.2999999999999545</v>
      </c>
      <c r="S23" s="283">
        <v>4.2999999999999545</v>
      </c>
      <c r="T23" s="282">
        <v>951.12237969822559</v>
      </c>
      <c r="U23" s="282">
        <v>950.15720720190757</v>
      </c>
      <c r="V23" s="283">
        <v>0</v>
      </c>
      <c r="W23" s="283" t="s">
        <v>1999</v>
      </c>
      <c r="X23" s="283">
        <v>1200</v>
      </c>
      <c r="Y23" s="283">
        <f t="shared" si="10"/>
        <v>3.5070480448468722</v>
      </c>
      <c r="Z23" s="283">
        <f t="shared" si="11"/>
        <v>20.280357455560107</v>
      </c>
      <c r="AA23" s="283" t="s">
        <v>2273</v>
      </c>
      <c r="AB23" s="282">
        <v>951.46</v>
      </c>
      <c r="AC23" s="282"/>
      <c r="AD23" s="305"/>
      <c r="AE23" s="284" t="str">
        <f t="shared" si="12"/>
        <v>PV14.1</v>
      </c>
      <c r="AF23" s="285">
        <f t="shared" si="13"/>
        <v>0</v>
      </c>
      <c r="AG23" s="285">
        <f t="shared" si="14"/>
        <v>0</v>
      </c>
      <c r="AH23" s="285">
        <f t="shared" si="15"/>
        <v>0</v>
      </c>
      <c r="AI23" s="285">
        <f t="shared" si="16"/>
        <v>0</v>
      </c>
      <c r="AJ23" s="285">
        <f t="shared" si="17"/>
        <v>1</v>
      </c>
      <c r="AK23" s="285">
        <f t="shared" si="18"/>
        <v>0</v>
      </c>
      <c r="AL23" s="285">
        <f t="shared" si="19"/>
        <v>0</v>
      </c>
      <c r="AM23" s="285">
        <f t="shared" si="20"/>
        <v>0</v>
      </c>
      <c r="AN23" s="285">
        <f t="shared" si="21"/>
        <v>0</v>
      </c>
      <c r="AO23" s="269">
        <f t="shared" si="22"/>
        <v>0</v>
      </c>
      <c r="AQ23" s="286" t="str">
        <f t="shared" si="23"/>
        <v>ASFALTO</v>
      </c>
    </row>
    <row r="24" spans="2:43" x14ac:dyDescent="0.25">
      <c r="B24" s="281" t="s">
        <v>2274</v>
      </c>
      <c r="C24" s="282">
        <v>954.45720720190752</v>
      </c>
      <c r="D24" s="282">
        <v>953.51441377434628</v>
      </c>
      <c r="E24" s="282">
        <v>0</v>
      </c>
      <c r="F24" s="282">
        <v>49.792500000000004</v>
      </c>
      <c r="G24" s="282">
        <v>0.63</v>
      </c>
      <c r="H24" s="282">
        <v>1.4999999999999999E-2</v>
      </c>
      <c r="I24" s="283">
        <v>20.115144754430901</v>
      </c>
      <c r="J24" s="283">
        <v>102.25254989949772</v>
      </c>
      <c r="K24" s="283">
        <v>40.651832613638675</v>
      </c>
      <c r="L24" s="283">
        <v>7328.531240273267</v>
      </c>
      <c r="M24" s="281">
        <v>1500</v>
      </c>
      <c r="N24" s="281"/>
      <c r="O24" s="283">
        <v>1.5810000000000002</v>
      </c>
      <c r="P24" s="283">
        <v>4.961009560854257</v>
      </c>
      <c r="Q24" s="283">
        <v>77.910771000000125</v>
      </c>
      <c r="R24" s="283">
        <v>4.2999999999999545</v>
      </c>
      <c r="S24" s="283">
        <v>4.0999999999999996</v>
      </c>
      <c r="T24" s="282">
        <v>950.15720720190757</v>
      </c>
      <c r="U24" s="282">
        <v>949.51441377434628</v>
      </c>
      <c r="V24" s="283">
        <v>0.10000000000002274</v>
      </c>
      <c r="W24" s="283" t="s">
        <v>1999</v>
      </c>
      <c r="X24" s="283">
        <v>1200</v>
      </c>
      <c r="Y24" s="283">
        <f t="shared" si="10"/>
        <v>0</v>
      </c>
      <c r="Z24" s="283">
        <f t="shared" si="11"/>
        <v>20.229501393124725</v>
      </c>
      <c r="AA24" s="283" t="s">
        <v>2254</v>
      </c>
      <c r="AB24" s="282" t="s">
        <v>2254</v>
      </c>
      <c r="AC24" s="282"/>
      <c r="AD24" s="305"/>
      <c r="AE24" s="284" t="str">
        <f t="shared" si="12"/>
        <v>PV15.1</v>
      </c>
      <c r="AF24" s="285">
        <f t="shared" si="13"/>
        <v>0</v>
      </c>
      <c r="AG24" s="285">
        <f t="shared" si="14"/>
        <v>0</v>
      </c>
      <c r="AH24" s="285">
        <f t="shared" si="15"/>
        <v>0</v>
      </c>
      <c r="AI24" s="285">
        <f t="shared" si="16"/>
        <v>0</v>
      </c>
      <c r="AJ24" s="285">
        <f t="shared" si="17"/>
        <v>1</v>
      </c>
      <c r="AK24" s="285">
        <f t="shared" si="18"/>
        <v>0</v>
      </c>
      <c r="AL24" s="285">
        <f t="shared" si="19"/>
        <v>0</v>
      </c>
      <c r="AM24" s="285">
        <f t="shared" si="20"/>
        <v>0</v>
      </c>
      <c r="AN24" s="285">
        <f t="shared" si="21"/>
        <v>0</v>
      </c>
      <c r="AO24" s="269">
        <f t="shared" si="22"/>
        <v>0</v>
      </c>
      <c r="AQ24" s="286" t="str">
        <f t="shared" si="23"/>
        <v>ASFALTO</v>
      </c>
    </row>
    <row r="25" spans="2:43" x14ac:dyDescent="0.25">
      <c r="B25" s="281" t="s">
        <v>2275</v>
      </c>
      <c r="C25" s="282">
        <v>953.51441377434628</v>
      </c>
      <c r="D25" s="282">
        <v>952.60672182923781</v>
      </c>
      <c r="E25" s="282">
        <v>2.167110767739056</v>
      </c>
      <c r="F25" s="282">
        <v>51.959610767739058</v>
      </c>
      <c r="G25" s="282">
        <v>0.63</v>
      </c>
      <c r="H25" s="282">
        <v>1.4999999999999999E-2</v>
      </c>
      <c r="I25" s="283">
        <v>20.251715856592611</v>
      </c>
      <c r="J25" s="283">
        <v>101.88822192004955</v>
      </c>
      <c r="K25" s="283">
        <v>35.661836258782998</v>
      </c>
      <c r="L25" s="283">
        <v>6241.0891439408815</v>
      </c>
      <c r="M25" s="281">
        <v>1500</v>
      </c>
      <c r="N25" s="281"/>
      <c r="O25" s="283">
        <v>2.5449999999999999</v>
      </c>
      <c r="P25" s="283">
        <v>5.8643472849432303</v>
      </c>
      <c r="Q25" s="283">
        <v>58.064871000000096</v>
      </c>
      <c r="R25" s="283">
        <v>4.1000000000000227</v>
      </c>
      <c r="S25" s="283">
        <v>4.1000000000000227</v>
      </c>
      <c r="T25" s="282">
        <v>949.41441377434626</v>
      </c>
      <c r="U25" s="282">
        <v>948.50672182923779</v>
      </c>
      <c r="V25" s="283">
        <v>0</v>
      </c>
      <c r="W25" s="283" t="s">
        <v>1999</v>
      </c>
      <c r="X25" s="283">
        <v>1200</v>
      </c>
      <c r="Y25" s="283">
        <f t="shared" si="10"/>
        <v>3.4500738465175571</v>
      </c>
      <c r="Z25" s="283">
        <f t="shared" si="11"/>
        <v>17.746338108171784</v>
      </c>
      <c r="AA25" s="283" t="s">
        <v>2276</v>
      </c>
      <c r="AB25" s="282">
        <v>950.01</v>
      </c>
      <c r="AC25" s="282"/>
      <c r="AD25" s="305"/>
      <c r="AE25" s="284" t="str">
        <f t="shared" si="12"/>
        <v>PV16.1</v>
      </c>
      <c r="AF25" s="285">
        <f t="shared" si="13"/>
        <v>0</v>
      </c>
      <c r="AG25" s="285">
        <f t="shared" si="14"/>
        <v>0</v>
      </c>
      <c r="AH25" s="285">
        <f t="shared" si="15"/>
        <v>0</v>
      </c>
      <c r="AI25" s="285">
        <f t="shared" si="16"/>
        <v>0</v>
      </c>
      <c r="AJ25" s="285">
        <f t="shared" si="17"/>
        <v>1</v>
      </c>
      <c r="AK25" s="285">
        <f t="shared" si="18"/>
        <v>0</v>
      </c>
      <c r="AL25" s="285">
        <f t="shared" si="19"/>
        <v>0</v>
      </c>
      <c r="AM25" s="285">
        <f t="shared" si="20"/>
        <v>0</v>
      </c>
      <c r="AN25" s="285">
        <f t="shared" si="21"/>
        <v>0</v>
      </c>
      <c r="AO25" s="269">
        <f t="shared" si="22"/>
        <v>0</v>
      </c>
      <c r="AQ25" s="286" t="str">
        <f t="shared" si="23"/>
        <v>ASFALTO</v>
      </c>
    </row>
    <row r="26" spans="2:43" x14ac:dyDescent="0.25">
      <c r="B26" s="281" t="s">
        <v>2277</v>
      </c>
      <c r="C26" s="282">
        <v>952.60672182923781</v>
      </c>
      <c r="D26" s="282">
        <v>951.1212234752428</v>
      </c>
      <c r="E26" s="282">
        <v>0.92663785033201063</v>
      </c>
      <c r="F26" s="282">
        <v>52.886237850332016</v>
      </c>
      <c r="G26" s="282">
        <v>0.63</v>
      </c>
      <c r="H26" s="282">
        <v>1.4999999999999999E-2</v>
      </c>
      <c r="I26" s="283">
        <v>20.353067960887735</v>
      </c>
      <c r="J26" s="283">
        <v>101.61970953269963</v>
      </c>
      <c r="K26" s="283">
        <v>40.804705525221785</v>
      </c>
      <c r="L26" s="283">
        <v>6324.4616434607597</v>
      </c>
      <c r="M26" s="281">
        <v>1500</v>
      </c>
      <c r="N26" s="281"/>
      <c r="O26" s="283">
        <v>1.1900000000000002</v>
      </c>
      <c r="P26" s="283">
        <v>4.3023140182377402</v>
      </c>
      <c r="Q26" s="283">
        <v>77.525647999999975</v>
      </c>
      <c r="R26" s="283">
        <v>4.1000000000000227</v>
      </c>
      <c r="S26" s="283">
        <v>3.82</v>
      </c>
      <c r="T26" s="282">
        <v>948.50672182923779</v>
      </c>
      <c r="U26" s="282">
        <v>948.02122347524278</v>
      </c>
      <c r="V26" s="283">
        <v>0.72122347524282304</v>
      </c>
      <c r="W26" s="283" t="s">
        <v>1999</v>
      </c>
      <c r="X26" s="283">
        <v>1500</v>
      </c>
      <c r="Y26" s="283">
        <f t="shared" si="10"/>
        <v>3.3549551469005277</v>
      </c>
      <c r="Z26" s="283">
        <f t="shared" si="11"/>
        <v>31.727461369708081</v>
      </c>
      <c r="AA26" s="283" t="s">
        <v>2278</v>
      </c>
      <c r="AB26" s="282">
        <v>949.36</v>
      </c>
      <c r="AC26" s="282"/>
      <c r="AD26" s="305"/>
      <c r="AE26" s="284" t="str">
        <f t="shared" si="12"/>
        <v>PV17.1</v>
      </c>
      <c r="AF26" s="285">
        <f t="shared" si="13"/>
        <v>0</v>
      </c>
      <c r="AG26" s="285">
        <f t="shared" si="14"/>
        <v>0</v>
      </c>
      <c r="AH26" s="285">
        <f t="shared" si="15"/>
        <v>0</v>
      </c>
      <c r="AI26" s="285">
        <f t="shared" si="16"/>
        <v>0</v>
      </c>
      <c r="AJ26" s="285">
        <f t="shared" si="17"/>
        <v>1</v>
      </c>
      <c r="AK26" s="285">
        <f t="shared" si="18"/>
        <v>0</v>
      </c>
      <c r="AL26" s="285">
        <f t="shared" si="19"/>
        <v>0</v>
      </c>
      <c r="AM26" s="285">
        <f t="shared" si="20"/>
        <v>0</v>
      </c>
      <c r="AN26" s="285">
        <f t="shared" si="21"/>
        <v>0</v>
      </c>
      <c r="AO26" s="269">
        <f t="shared" si="22"/>
        <v>0</v>
      </c>
      <c r="AQ26" s="286" t="str">
        <f t="shared" si="23"/>
        <v>ASFALTO</v>
      </c>
    </row>
    <row r="27" spans="2:43" x14ac:dyDescent="0.25">
      <c r="B27" s="281" t="s">
        <v>2279</v>
      </c>
      <c r="C27" s="282">
        <v>951.1212234752428</v>
      </c>
      <c r="D27" s="282">
        <v>950.22136910207098</v>
      </c>
      <c r="E27" s="282">
        <v>1.4086200696335007</v>
      </c>
      <c r="F27" s="282">
        <v>54.294820069633509</v>
      </c>
      <c r="G27" s="282">
        <v>0.63</v>
      </c>
      <c r="H27" s="282">
        <v>1.4999999999999999E-2</v>
      </c>
      <c r="I27" s="283">
        <v>20.511140668397569</v>
      </c>
      <c r="J27" s="283">
        <v>101.2040572218373</v>
      </c>
      <c r="K27" s="283">
        <v>24.626668960060467</v>
      </c>
      <c r="L27" s="283">
        <v>6449.3807031759043</v>
      </c>
      <c r="M27" s="281">
        <v>1500</v>
      </c>
      <c r="N27" s="281"/>
      <c r="O27" s="283">
        <v>1.2130000000000001</v>
      </c>
      <c r="P27" s="283">
        <v>4.3468745869797587</v>
      </c>
      <c r="Q27" s="283">
        <v>78.257606000000038</v>
      </c>
      <c r="R27" s="283">
        <v>3.8212234752428458</v>
      </c>
      <c r="S27" s="283">
        <v>4.22</v>
      </c>
      <c r="T27" s="282">
        <v>947.3</v>
      </c>
      <c r="U27" s="282">
        <v>947.00122240559028</v>
      </c>
      <c r="V27" s="283">
        <v>1.0012224055902834</v>
      </c>
      <c r="W27" s="283" t="s">
        <v>1999</v>
      </c>
      <c r="X27" s="283">
        <v>1200</v>
      </c>
      <c r="Y27" s="283">
        <f t="shared" si="10"/>
        <v>3.4882431421720717</v>
      </c>
      <c r="Z27" s="283">
        <f t="shared" si="11"/>
        <v>12.2549268263105</v>
      </c>
      <c r="AA27" s="283" t="s">
        <v>2280</v>
      </c>
      <c r="AB27" s="282">
        <v>947.31</v>
      </c>
      <c r="AC27" s="282"/>
      <c r="AD27" s="305"/>
      <c r="AE27" s="284" t="str">
        <f t="shared" si="12"/>
        <v>PV18.1</v>
      </c>
      <c r="AF27" s="285">
        <f t="shared" si="13"/>
        <v>0</v>
      </c>
      <c r="AG27" s="285">
        <f t="shared" si="14"/>
        <v>0</v>
      </c>
      <c r="AH27" s="285">
        <f t="shared" si="15"/>
        <v>0</v>
      </c>
      <c r="AI27" s="285">
        <f t="shared" si="16"/>
        <v>0</v>
      </c>
      <c r="AJ27" s="285">
        <f t="shared" si="17"/>
        <v>1</v>
      </c>
      <c r="AK27" s="285">
        <f t="shared" si="18"/>
        <v>0</v>
      </c>
      <c r="AL27" s="285">
        <f t="shared" si="19"/>
        <v>0</v>
      </c>
      <c r="AM27" s="285">
        <f t="shared" si="20"/>
        <v>0</v>
      </c>
      <c r="AN27" s="285">
        <f t="shared" si="21"/>
        <v>0</v>
      </c>
      <c r="AO27" s="269">
        <f t="shared" si="22"/>
        <v>0</v>
      </c>
      <c r="AQ27" s="286" t="str">
        <f t="shared" si="23"/>
        <v>ASFALTO</v>
      </c>
    </row>
    <row r="28" spans="2:43" x14ac:dyDescent="0.25">
      <c r="B28" s="281" t="s">
        <v>2281</v>
      </c>
      <c r="C28" s="282">
        <v>950.22136910207098</v>
      </c>
      <c r="D28" s="282">
        <v>948.48017133313613</v>
      </c>
      <c r="E28" s="282">
        <v>0.13827414936745414</v>
      </c>
      <c r="F28" s="282">
        <v>54.433074149367464</v>
      </c>
      <c r="G28" s="282">
        <v>0.63</v>
      </c>
      <c r="H28" s="282">
        <v>1.4999999999999999E-2</v>
      </c>
      <c r="I28" s="283">
        <v>20.605563563389083</v>
      </c>
      <c r="J28" s="283">
        <v>100.95757281690268</v>
      </c>
      <c r="K28" s="283">
        <v>37.000000000288857</v>
      </c>
      <c r="L28" s="283">
        <v>6448.4178302147893</v>
      </c>
      <c r="M28" s="281">
        <v>1500</v>
      </c>
      <c r="N28" s="281"/>
      <c r="O28" s="283">
        <v>1.4080000000000001</v>
      </c>
      <c r="P28" s="283">
        <v>4.6466358788958475</v>
      </c>
      <c r="Q28" s="283">
        <v>73.279063999999721</v>
      </c>
      <c r="R28" s="283">
        <v>4.2213691020709803</v>
      </c>
      <c r="S28" s="283">
        <v>3.0010000000038417</v>
      </c>
      <c r="T28" s="282">
        <v>946</v>
      </c>
      <c r="U28" s="282">
        <v>945.47917133313229</v>
      </c>
      <c r="V28" s="283">
        <v>0</v>
      </c>
      <c r="W28" s="288" t="s">
        <v>2282</v>
      </c>
      <c r="X28" s="283">
        <v>0</v>
      </c>
      <c r="Y28" s="283">
        <f t="shared" si="10"/>
        <v>0</v>
      </c>
      <c r="Z28" s="283">
        <f t="shared" si="11"/>
        <v>0.41846014146142729</v>
      </c>
      <c r="AA28" s="283" t="s">
        <v>2254</v>
      </c>
      <c r="AB28" s="283" t="s">
        <v>2254</v>
      </c>
      <c r="AC28" s="283"/>
      <c r="AD28" s="305"/>
      <c r="AE28" s="284" t="str">
        <f t="shared" si="12"/>
        <v>PV19.1</v>
      </c>
      <c r="AF28" s="285">
        <f t="shared" si="13"/>
        <v>0</v>
      </c>
      <c r="AG28" s="285">
        <f t="shared" si="14"/>
        <v>0</v>
      </c>
      <c r="AH28" s="285">
        <f t="shared" si="15"/>
        <v>0</v>
      </c>
      <c r="AI28" s="285">
        <f t="shared" si="16"/>
        <v>0</v>
      </c>
      <c r="AJ28" s="285">
        <f t="shared" si="17"/>
        <v>1</v>
      </c>
      <c r="AK28" s="285">
        <f t="shared" si="18"/>
        <v>0</v>
      </c>
      <c r="AL28" s="285">
        <f t="shared" si="19"/>
        <v>0</v>
      </c>
      <c r="AM28" s="285">
        <f t="shared" si="20"/>
        <v>0</v>
      </c>
      <c r="AN28" s="285">
        <f t="shared" si="21"/>
        <v>0</v>
      </c>
      <c r="AO28" s="269">
        <f t="shared" si="22"/>
        <v>0.68250000000000033</v>
      </c>
      <c r="AQ28" s="286" t="str">
        <f t="shared" si="23"/>
        <v>TERRENO NATURAL</v>
      </c>
    </row>
    <row r="29" spans="2:43" x14ac:dyDescent="0.25">
      <c r="B29" s="281" t="s">
        <v>2283</v>
      </c>
      <c r="C29" s="282">
        <v>948.48017133313613</v>
      </c>
      <c r="D29" s="282">
        <v>947.31237456978954</v>
      </c>
      <c r="E29" s="282">
        <v>0</v>
      </c>
      <c r="F29" s="282">
        <v>54.433100000000003</v>
      </c>
      <c r="G29" s="282">
        <v>0.63</v>
      </c>
      <c r="H29" s="282">
        <v>1.4999999999999999E-2</v>
      </c>
      <c r="I29" s="283">
        <v>20.738276063947232</v>
      </c>
      <c r="J29" s="283">
        <v>100.61338679182873</v>
      </c>
      <c r="K29" s="283">
        <v>34.90555726013924</v>
      </c>
      <c r="L29" s="283">
        <v>6426.433485198615</v>
      </c>
      <c r="M29" s="281">
        <v>1500</v>
      </c>
      <c r="N29" s="281"/>
      <c r="O29" s="283">
        <v>1.968</v>
      </c>
      <c r="P29" s="283">
        <v>5.3342024935284691</v>
      </c>
      <c r="Q29" s="283">
        <v>64.47999999999999</v>
      </c>
      <c r="R29" s="283">
        <v>3.0010000000038417</v>
      </c>
      <c r="S29" s="283">
        <v>2.5199999999999818</v>
      </c>
      <c r="T29" s="282">
        <v>945.47917133313229</v>
      </c>
      <c r="U29" s="282">
        <v>944.79237456978956</v>
      </c>
      <c r="V29" s="283">
        <v>0</v>
      </c>
      <c r="W29" s="288" t="s">
        <v>2282</v>
      </c>
      <c r="X29" s="283">
        <v>0</v>
      </c>
      <c r="Y29" s="283">
        <f t="shared" si="10"/>
        <v>0</v>
      </c>
      <c r="Z29" s="283">
        <f t="shared" si="11"/>
        <v>0.39477255212848067</v>
      </c>
      <c r="AA29" s="283" t="s">
        <v>2254</v>
      </c>
      <c r="AB29" s="283" t="s">
        <v>2254</v>
      </c>
      <c r="AC29" s="283"/>
      <c r="AD29" s="305"/>
      <c r="AE29" s="284" t="str">
        <f t="shared" si="12"/>
        <v>PV20.1</v>
      </c>
      <c r="AF29" s="285">
        <f t="shared" si="13"/>
        <v>0</v>
      </c>
      <c r="AG29" s="285">
        <f t="shared" si="14"/>
        <v>0</v>
      </c>
      <c r="AH29" s="285">
        <f t="shared" si="15"/>
        <v>0</v>
      </c>
      <c r="AI29" s="285">
        <f t="shared" si="16"/>
        <v>0</v>
      </c>
      <c r="AJ29" s="285">
        <f t="shared" si="17"/>
        <v>1</v>
      </c>
      <c r="AK29" s="285">
        <f t="shared" si="18"/>
        <v>0</v>
      </c>
      <c r="AL29" s="285">
        <f t="shared" si="19"/>
        <v>0</v>
      </c>
      <c r="AM29" s="285">
        <f t="shared" si="20"/>
        <v>0</v>
      </c>
      <c r="AN29" s="285">
        <f t="shared" si="21"/>
        <v>0</v>
      </c>
      <c r="AO29" s="269">
        <f t="shared" si="22"/>
        <v>0.68250000000000033</v>
      </c>
      <c r="AQ29" s="286" t="str">
        <f t="shared" si="23"/>
        <v>TERRENO NATURAL</v>
      </c>
    </row>
    <row r="30" spans="2:43" x14ac:dyDescent="0.25">
      <c r="B30" s="281" t="s">
        <v>2284</v>
      </c>
      <c r="C30" s="282">
        <v>947.31237456978954</v>
      </c>
      <c r="D30" s="282">
        <v>946.2872691011471</v>
      </c>
      <c r="E30" s="282">
        <v>0</v>
      </c>
      <c r="F30" s="282">
        <v>54.433100000000003</v>
      </c>
      <c r="G30" s="282">
        <v>0.63</v>
      </c>
      <c r="H30" s="282">
        <v>1.4999999999999999E-2</v>
      </c>
      <c r="I30" s="283">
        <v>20.847338156804557</v>
      </c>
      <c r="J30" s="283">
        <v>100.33248675211516</v>
      </c>
      <c r="K30" s="283">
        <v>34.90555726013924</v>
      </c>
      <c r="L30" s="283">
        <v>6408.4916836275788</v>
      </c>
      <c r="M30" s="281">
        <v>1500</v>
      </c>
      <c r="N30" s="281"/>
      <c r="O30" s="283">
        <v>2.218</v>
      </c>
      <c r="P30" s="283">
        <v>5.5903913194046018</v>
      </c>
      <c r="Q30" s="283">
        <v>61.788699999999885</v>
      </c>
      <c r="R30" s="283">
        <v>2.5199999999999818</v>
      </c>
      <c r="S30" s="283">
        <v>2.97</v>
      </c>
      <c r="T30" s="282">
        <v>944.79237456978956</v>
      </c>
      <c r="U30" s="282">
        <v>944.01800000000003</v>
      </c>
      <c r="V30" s="283">
        <v>2.2635462756738889E-2</v>
      </c>
      <c r="W30" s="288" t="s">
        <v>2282</v>
      </c>
      <c r="X30" s="283">
        <v>0</v>
      </c>
      <c r="Y30" s="283">
        <f t="shared" si="10"/>
        <v>0</v>
      </c>
      <c r="Z30" s="283">
        <f t="shared" si="11"/>
        <v>0.39477255212848067</v>
      </c>
      <c r="AA30" s="283" t="s">
        <v>2254</v>
      </c>
      <c r="AB30" s="282" t="s">
        <v>2254</v>
      </c>
      <c r="AC30" s="282"/>
      <c r="AD30" s="305"/>
      <c r="AE30" s="284" t="str">
        <f t="shared" si="12"/>
        <v>PV21.1</v>
      </c>
      <c r="AF30" s="285">
        <f t="shared" si="13"/>
        <v>0</v>
      </c>
      <c r="AG30" s="285">
        <f t="shared" si="14"/>
        <v>0</v>
      </c>
      <c r="AH30" s="285">
        <f t="shared" si="15"/>
        <v>0</v>
      </c>
      <c r="AI30" s="285">
        <f t="shared" si="16"/>
        <v>0</v>
      </c>
      <c r="AJ30" s="285">
        <f t="shared" si="17"/>
        <v>1</v>
      </c>
      <c r="AK30" s="285">
        <f t="shared" si="18"/>
        <v>0</v>
      </c>
      <c r="AL30" s="285">
        <f t="shared" si="19"/>
        <v>0</v>
      </c>
      <c r="AM30" s="285">
        <f t="shared" si="20"/>
        <v>0</v>
      </c>
      <c r="AN30" s="285">
        <f t="shared" si="21"/>
        <v>0</v>
      </c>
      <c r="AO30" s="269">
        <f t="shared" si="22"/>
        <v>0.68250000000000033</v>
      </c>
      <c r="AQ30" s="286" t="str">
        <f t="shared" si="23"/>
        <v>TERRENO NATURAL</v>
      </c>
    </row>
    <row r="31" spans="2:43" x14ac:dyDescent="0.25">
      <c r="B31" s="279" t="s">
        <v>1404</v>
      </c>
      <c r="C31" s="279"/>
      <c r="D31" s="279"/>
      <c r="E31" s="279"/>
      <c r="F31" s="279"/>
      <c r="G31" s="279"/>
      <c r="H31" s="279"/>
      <c r="I31" s="279"/>
      <c r="J31" s="279"/>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row>
    <row r="32" spans="2:43" s="285" customFormat="1" x14ac:dyDescent="0.25">
      <c r="B32" s="281" t="s">
        <v>2251</v>
      </c>
      <c r="C32" s="282">
        <v>970.75296025290913</v>
      </c>
      <c r="D32" s="282">
        <v>970.68881213274699</v>
      </c>
      <c r="E32" s="282">
        <v>0.2974253102139755</v>
      </c>
      <c r="F32" s="282">
        <v>0.2974253102139755</v>
      </c>
      <c r="G32" s="282">
        <v>0.63</v>
      </c>
      <c r="H32" s="282">
        <v>1.4999999999999999E-2</v>
      </c>
      <c r="I32" s="283">
        <v>15</v>
      </c>
      <c r="J32" s="283">
        <v>132.25366184445775</v>
      </c>
      <c r="K32" s="283">
        <v>40.000000000242373</v>
      </c>
      <c r="L32" s="283">
        <v>68.837276201788612</v>
      </c>
      <c r="M32" s="281">
        <v>600</v>
      </c>
      <c r="N32" s="281"/>
      <c r="O32" s="283">
        <v>0.5</v>
      </c>
      <c r="P32" s="283">
        <v>1.0131210663993784</v>
      </c>
      <c r="Q32" s="283">
        <v>28.965699999999984</v>
      </c>
      <c r="R32" s="283">
        <v>1.55499999999995</v>
      </c>
      <c r="S32" s="283">
        <v>1.73</v>
      </c>
      <c r="T32" s="282">
        <v>969.19796025290918</v>
      </c>
      <c r="U32" s="282">
        <v>968.997960252908</v>
      </c>
      <c r="V32" s="283">
        <v>3.9071526465590978E-2</v>
      </c>
      <c r="W32" s="283" t="s">
        <v>1999</v>
      </c>
      <c r="X32" s="283">
        <v>400</v>
      </c>
      <c r="Y32" s="283">
        <f>IFERROR(IF(X32&lt;=600,(PI()*0.72*0.72/4-PI()*0.6*0.6/4)*(C32-AB32)+(1.3*1.3-1.1*1.1)*1.6,IF(X32=800,(PI()*0.72*0.72/4-PI()*0.6*0.6/4)*(C32-AB32)+(1.5*1.5-1.1*1.1)*1.6,IF(X32=1000,(PI()*0.72*0.72/4-PI()*0.6*0.6/4)*(C32-AB32)+(1.94*1.94-1.5*1.5)*2.25,IF(X32=1200,(PI()*0.72*0.72/4-PI()*0.6*0.6/4)*(C32-AB32)+(-1.8*1.8+2.14*2.14)*2.25,IF(X32=1500,(PI()*0.72*0.72/4-PI()*0.6*0.6/4)*(C32-AB32)+(-2.2*2.2+2.44*2.44)*2.65,0))))),0)</f>
        <v>0.98483657659111956</v>
      </c>
      <c r="Z32" s="283">
        <f>K32*IF(X32&lt;=600,PI()*(0.06*2+X32/1000)*(0.06*2+X32/1000)/4-PI()*(X32/1000)*(X32/1000)/4,IF(X32=800,PI()*(0.08*2+X32/1000)*(0.08*2+X32/1000)/4-PI()*(X32/1000)*(X32/1000)/4,IF(X32&lt;=1000,PI()*(0.1*2+X32/1000)*(0.1*2+X32/1000)/4-PI()*(X32/1000)*(X32/1000)/4,IF(X32&lt;=1200,PI()*(0.12*2+X32/1000)*(0.12*2+X32/1000)/4-PI()*(X32/1000)*(X32/1000)/4,IF(X32&lt;=1500,PI()*(0.15*2+X32/1000)*(0.15*2+X32/1000)/4-PI()*(X32/1000)*(X32/1000)/4,0)))))</f>
        <v>3.4683182895841473</v>
      </c>
      <c r="AA32" s="283" t="s">
        <v>1559</v>
      </c>
      <c r="AB32" s="282">
        <v>969.01</v>
      </c>
      <c r="AC32" s="282"/>
      <c r="AD32" s="305"/>
      <c r="AE32" s="284" t="str">
        <f>IF(OR(RIGHT(LEFT(B32,7),1)="&gt;",RIGHT(LEFT(B32,7),1)="-"),IF(OR(RIGHT(LEFT(B32,6),1)="&gt;",RIGHT(LEFT(B32,6),1)="-"),LEFT(B32,5),LEFT(B32,6)),LEFT(B32,7))</f>
        <v>PV1.1</v>
      </c>
      <c r="AF32" s="285">
        <f>COUNTIF(M32,600)</f>
        <v>1</v>
      </c>
      <c r="AG32" s="285">
        <f>COUNTIF(M32,800)</f>
        <v>0</v>
      </c>
      <c r="AH32" s="285">
        <f>COUNTIF(M32,1000)</f>
        <v>0</v>
      </c>
      <c r="AI32" s="285">
        <f>COUNTIF(M32,1200)</f>
        <v>0</v>
      </c>
      <c r="AJ32" s="285">
        <f>COUNTIF(M32,1500)</f>
        <v>0</v>
      </c>
      <c r="AK32" s="285">
        <f>COUNTIF(M32,1650)</f>
        <v>0</v>
      </c>
      <c r="AL32" s="285">
        <f>AK32*IF((R32+S32)/2-1.65&lt;=2,1,0)</f>
        <v>0</v>
      </c>
      <c r="AM32" s="285">
        <f>AK32*IF((R32+S32)/2-1.65&lt;=3,1,0)-AL32</f>
        <v>0</v>
      </c>
      <c r="AN32" s="285">
        <f>AK32*IF((R32+S32)/2-1.65&lt;=4,1,0)-AL32-AM32</f>
        <v>0</v>
      </c>
      <c r="AO32" s="269">
        <f>IFERROR(IF(X32&lt;=600,(1.1*1.1-0.85*0.85)*1.4,IF(X32=800,(1.5*1.5-1.1*1.1)*1.4,0)),0)</f>
        <v>0.68250000000000033</v>
      </c>
      <c r="AQ32" s="286" t="str">
        <f>W32</f>
        <v>ASFALTO</v>
      </c>
    </row>
    <row r="33" spans="2:43" x14ac:dyDescent="0.25">
      <c r="B33" s="281" t="s">
        <v>2253</v>
      </c>
      <c r="C33" s="282">
        <v>970.68881213274699</v>
      </c>
      <c r="D33" s="282">
        <v>970.68501007426983</v>
      </c>
      <c r="E33" s="282">
        <v>0</v>
      </c>
      <c r="F33" s="282">
        <v>0.2974</v>
      </c>
      <c r="G33" s="282">
        <v>0.63</v>
      </c>
      <c r="H33" s="282">
        <v>1.4999999999999999E-2</v>
      </c>
      <c r="I33" s="283">
        <v>15.658032577528006</v>
      </c>
      <c r="J33" s="283">
        <v>129.58689600461338</v>
      </c>
      <c r="K33" s="283">
        <v>40.000000000146471</v>
      </c>
      <c r="L33" s="283">
        <v>67.449239801717056</v>
      </c>
      <c r="M33" s="281">
        <v>600</v>
      </c>
      <c r="N33" s="281"/>
      <c r="O33" s="283">
        <v>0.5</v>
      </c>
      <c r="P33" s="283">
        <v>1.0072630683767188</v>
      </c>
      <c r="Q33" s="283">
        <v>28.664299999999987</v>
      </c>
      <c r="R33" s="283">
        <v>1.73</v>
      </c>
      <c r="S33" s="283">
        <v>1.8861979415236192</v>
      </c>
      <c r="T33" s="282">
        <v>968.99881213274693</v>
      </c>
      <c r="U33" s="282">
        <v>968.79881213274621</v>
      </c>
      <c r="V33" s="283">
        <v>7.6052910701491783E-3</v>
      </c>
      <c r="W33" s="283" t="s">
        <v>1999</v>
      </c>
      <c r="X33" s="283">
        <v>400</v>
      </c>
      <c r="Y33" s="283">
        <f>IFERROR(IF(X33&lt;=600,(PI()*0.72*0.72/4-PI()*0.6*0.6/4)*(C33-AB33)+(1.3*1.3-1.1*1.1)*1.6,IF(X33=800,(PI()*0.72*0.72/4-PI()*0.6*0.6/4)*(C33-AB33)+(1.5*1.5-1.1*1.1)*1.6,IF(X33=1000,(PI()*0.72*0.72/4-PI()*0.6*0.6/4)*(C33-AB33)+(1.94*1.94-1.5*1.5)*2.25,IF(X33=1200,(PI()*0.72*0.72/4-PI()*0.6*0.6/4)*(C33-AB33)+(-1.8*1.8+2.14*2.14)*2.25,IF(X33=1500,(PI()*0.72*0.72/4-PI()*0.6*0.6/4)*(C33-AB33)+(-2.2*2.2+2.44*2.44)*2.65,0))))),0)</f>
        <v>0</v>
      </c>
      <c r="Z33" s="283">
        <f>K33*IF(X33&lt;=600,PI()*(0.06*2+X33/1000)*(0.06*2+X33/1000)/4-PI()*(X33/1000)*(X33/1000)/4,IF(X33=800,PI()*(0.08*2+X33/1000)*(0.08*2+X33/1000)/4-PI()*(X33/1000)*(X33/1000)/4,IF(X33&lt;=1000,PI()*(0.1*2+X33/1000)*(0.1*2+X33/1000)/4-PI()*(X33/1000)*(X33/1000)/4,IF(X33&lt;=1200,PI()*(0.12*2+X33/1000)*(0.12*2+X33/1000)/4-PI()*(X33/1000)*(X33/1000)/4,IF(X33&lt;=1500,PI()*(0.15*2+X33/1000)*(0.15*2+X33/1000)/4-PI()*(X33/1000)*(X33/1000)/4,0)))))</f>
        <v>3.4683182895758318</v>
      </c>
      <c r="AA33" s="283" t="s">
        <v>2254</v>
      </c>
      <c r="AB33" s="282" t="s">
        <v>2254</v>
      </c>
      <c r="AC33" s="282"/>
      <c r="AD33" s="305"/>
      <c r="AE33" s="284" t="str">
        <f>IF(OR(RIGHT(LEFT(B33,7),1)="&gt;",RIGHT(LEFT(B33,7),1)="-"),IF(OR(RIGHT(LEFT(B33,6),1)="&gt;",RIGHT(LEFT(B33,6),1)="-"),LEFT(B33,5),LEFT(B33,6)),LEFT(B33,7))</f>
        <v>PV2.1</v>
      </c>
      <c r="AF33" s="285">
        <f>COUNTIF(M33,600)</f>
        <v>1</v>
      </c>
      <c r="AG33" s="285">
        <f>COUNTIF(M33,800)</f>
        <v>0</v>
      </c>
      <c r="AH33" s="285">
        <f>COUNTIF(M33,1000)</f>
        <v>0</v>
      </c>
      <c r="AI33" s="285">
        <f>COUNTIF(M33,1200)</f>
        <v>0</v>
      </c>
      <c r="AJ33" s="285">
        <f>COUNTIF(M33,1500)</f>
        <v>0</v>
      </c>
      <c r="AK33" s="285">
        <f>COUNTIF(M33,1650)</f>
        <v>0</v>
      </c>
      <c r="AL33" s="285">
        <f>AK33*IF((R33+S33)/2-1.65&lt;=2,1,0)</f>
        <v>0</v>
      </c>
      <c r="AM33" s="285">
        <f>AK33*IF((R33+S33)/2-1.65&lt;=3,1,0)-AL33</f>
        <v>0</v>
      </c>
      <c r="AN33" s="285">
        <f>AK33*IF((R33+S33)/2-1.65&lt;=4,1,0)-AL33-AM33</f>
        <v>0</v>
      </c>
      <c r="AO33" s="269">
        <f>IFERROR(IF(X33&lt;=600,(1.1*1.1-0.85*0.85)*1.4,IF(X33=800,(1.5*1.5-1.1*1.1)*1.4,0)),0)</f>
        <v>0.68250000000000033</v>
      </c>
      <c r="AQ33" s="286" t="str">
        <f>W33</f>
        <v>ASFALTO</v>
      </c>
    </row>
    <row r="34" spans="2:43" x14ac:dyDescent="0.25">
      <c r="B34" s="281" t="s">
        <v>2255</v>
      </c>
      <c r="C34" s="282">
        <v>970.68501007426983</v>
      </c>
      <c r="D34" s="282">
        <v>970.76195268790639</v>
      </c>
      <c r="E34" s="282">
        <v>0.280921214780121</v>
      </c>
      <c r="F34" s="282">
        <v>0.57832121478012111</v>
      </c>
      <c r="G34" s="282">
        <v>0.63</v>
      </c>
      <c r="H34" s="282">
        <v>1.4999999999999999E-2</v>
      </c>
      <c r="I34" s="283">
        <v>16.319892113134223</v>
      </c>
      <c r="J34" s="283">
        <v>127.02248814763966</v>
      </c>
      <c r="K34" s="283">
        <v>40.000000000098517</v>
      </c>
      <c r="L34" s="283">
        <v>128.56027557850959</v>
      </c>
      <c r="M34" s="281">
        <v>600</v>
      </c>
      <c r="N34" s="281"/>
      <c r="O34" s="283">
        <v>0.4</v>
      </c>
      <c r="P34" s="283">
        <v>1.1104573906020938</v>
      </c>
      <c r="Q34" s="283">
        <v>42.864600000000216</v>
      </c>
      <c r="R34" s="283">
        <v>1.89</v>
      </c>
      <c r="S34" s="283">
        <v>2.15</v>
      </c>
      <c r="T34" s="282">
        <v>968.81418838521768</v>
      </c>
      <c r="U34" s="282">
        <v>968.65418838521725</v>
      </c>
      <c r="V34" s="283">
        <v>4.0441002845341245E-2</v>
      </c>
      <c r="W34" s="283" t="s">
        <v>1999</v>
      </c>
      <c r="X34" s="283">
        <v>400</v>
      </c>
      <c r="Y34" s="283">
        <f>IFERROR(IF(X34&lt;=600,(PI()*0.72*0.72/4-PI()*0.6*0.6/4)*(C34-AB34)+(1.3*1.3-1.1*1.1)*1.6,IF(X34=800,(PI()*0.72*0.72/4-PI()*0.6*0.6/4)*(C34-AB34)+(1.5*1.5-1.1*1.1)*1.6,IF(X34=1000,(PI()*0.72*0.72/4-PI()*0.6*0.6/4)*(C34-AB34)+(1.94*1.94-1.5*1.5)*2.25,IF(X34=1200,(PI()*0.72*0.72/4-PI()*0.6*0.6/4)*(C34-AB34)+(-1.8*1.8+2.14*2.14)*2.25,IF(X34=1500,(PI()*0.72*0.72/4-PI()*0.6*0.6/4)*(C34-AB34)+(-2.2*2.2+2.44*2.44)*2.65,0))))),0)</f>
        <v>1.0759087492887134</v>
      </c>
      <c r="Z34" s="283">
        <f>K34*IF(X34&lt;=600,PI()*(0.06*2+X34/1000)*(0.06*2+X34/1000)/4-PI()*(X34/1000)*(X34/1000)/4,IF(X34=800,PI()*(0.08*2+X34/1000)*(0.08*2+X34/1000)/4-PI()*(X34/1000)*(X34/1000)/4,IF(X34&lt;=1000,PI()*(0.1*2+X34/1000)*(0.1*2+X34/1000)/4-PI()*(X34/1000)*(X34/1000)/4,IF(X34&lt;=1200,PI()*(0.12*2+X34/1000)*(0.12*2+X34/1000)/4-PI()*(X34/1000)*(X34/1000)/4,IF(X34&lt;=1500,PI()*(0.15*2+X34/1000)*(0.15*2+X34/1000)/4-PI()*(X34/1000)*(X34/1000)/4,0)))))</f>
        <v>3.4683182895716738</v>
      </c>
      <c r="AA34" s="283" t="s">
        <v>2285</v>
      </c>
      <c r="AB34" s="282">
        <v>968.21</v>
      </c>
      <c r="AC34" s="282"/>
      <c r="AD34" s="305"/>
      <c r="AE34" s="284" t="str">
        <f>IF(OR(RIGHT(LEFT(B34,7),1)="&gt;",RIGHT(LEFT(B34,7),1)="-"),IF(OR(RIGHT(LEFT(B34,6),1)="&gt;",RIGHT(LEFT(B34,6),1)="-"),LEFT(B34,5),LEFT(B34,6)),LEFT(B34,7))</f>
        <v>PV3.1</v>
      </c>
      <c r="AF34" s="285">
        <f>COUNTIF(M34,600)</f>
        <v>1</v>
      </c>
      <c r="AG34" s="285">
        <f>COUNTIF(M34,800)</f>
        <v>0</v>
      </c>
      <c r="AH34" s="285">
        <f>COUNTIF(M34,1000)</f>
        <v>0</v>
      </c>
      <c r="AI34" s="285">
        <f>COUNTIF(M34,1200)</f>
        <v>0</v>
      </c>
      <c r="AJ34" s="285">
        <f>COUNTIF(M34,1500)</f>
        <v>0</v>
      </c>
      <c r="AK34" s="285">
        <f>COUNTIF(M34,1650)</f>
        <v>0</v>
      </c>
      <c r="AL34" s="285">
        <f>AK34*IF((R34+S34)/2-1.65&lt;=2,1,0)</f>
        <v>0</v>
      </c>
      <c r="AM34" s="285">
        <f>AK34*IF((R34+S34)/2-1.65&lt;=3,1,0)-AL34</f>
        <v>0</v>
      </c>
      <c r="AN34" s="285">
        <f>AK34*IF((R34+S34)/2-1.65&lt;=4,1,0)-AL34-AM34</f>
        <v>0</v>
      </c>
      <c r="AO34" s="269">
        <f>IFERROR(IF(X34&lt;=600,(1.1*1.1-0.85*0.85)*1.4,IF(X34=800,(1.5*1.5-1.1*1.1)*1.4,0)),0)</f>
        <v>0.68250000000000033</v>
      </c>
      <c r="AQ34" s="286" t="str">
        <f>W34</f>
        <v>ASFALTO</v>
      </c>
    </row>
    <row r="35" spans="2:43" x14ac:dyDescent="0.25">
      <c r="B35" s="281" t="s">
        <v>2257</v>
      </c>
      <c r="C35" s="282">
        <v>970.76195268790639</v>
      </c>
      <c r="D35" s="282">
        <v>970.91909482719404</v>
      </c>
      <c r="E35" s="282">
        <v>0</v>
      </c>
      <c r="F35" s="282">
        <v>0.57830000000000004</v>
      </c>
      <c r="G35" s="282">
        <v>0.63</v>
      </c>
      <c r="H35" s="282">
        <v>1.4999999999999999E-2</v>
      </c>
      <c r="I35" s="283">
        <v>16.920245330025182</v>
      </c>
      <c r="J35" s="283">
        <v>124.79201916327457</v>
      </c>
      <c r="K35" s="283">
        <v>35.999999999767439</v>
      </c>
      <c r="L35" s="283">
        <v>126.30280360263393</v>
      </c>
      <c r="M35" s="281">
        <v>600</v>
      </c>
      <c r="N35" s="281"/>
      <c r="O35" s="283">
        <v>0.621</v>
      </c>
      <c r="P35" s="283">
        <v>1.2978607033231679</v>
      </c>
      <c r="Q35" s="283">
        <v>37.634999999999977</v>
      </c>
      <c r="R35" s="283">
        <v>2.15</v>
      </c>
      <c r="S35" s="283">
        <v>2.52</v>
      </c>
      <c r="T35" s="282">
        <v>968.65195765516091</v>
      </c>
      <c r="U35" s="282">
        <v>968.42839827558328</v>
      </c>
      <c r="V35" s="283">
        <v>2.8147244453407438E-2</v>
      </c>
      <c r="W35" s="283" t="s">
        <v>1999</v>
      </c>
      <c r="X35" s="283">
        <v>400</v>
      </c>
      <c r="Y35" s="283">
        <f>IFERROR(IF(X35&lt;=600,(PI()*0.72*0.72/4-PI()*0.6*0.6/4)*(C35-AB35)+(1.3*1.3-1.1*1.1)*1.6,IF(X35=800,(PI()*0.72*0.72/4-PI()*0.6*0.6/4)*(C35-AB35)+(1.5*1.5-1.1*1.1)*1.6,IF(X35=1000,(PI()*0.72*0.72/4-PI()*0.6*0.6/4)*(C35-AB35)+(1.94*1.94-1.5*1.5)*2.25,IF(X35=1200,(PI()*0.72*0.72/4-PI()*0.6*0.6/4)*(C35-AB35)+(-1.8*1.8+2.14*2.14)*2.25,IF(X35=1500,(PI()*0.72*0.72/4-PI()*0.6*0.6/4)*(C35-AB35)+(-2.2*2.2+2.44*2.44)*2.65,0))))),0)</f>
        <v>0</v>
      </c>
      <c r="Z35" s="283">
        <f>K35*IF(X35&lt;=600,PI()*(0.06*2+X35/1000)*(0.06*2+X35/1000)/4-PI()*(X35/1000)*(X35/1000)/4,IF(X35=800,PI()*(0.08*2+X35/1000)*(0.08*2+X35/1000)/4-PI()*(X35/1000)*(X35/1000)/4,IF(X35&lt;=1000,PI()*(0.1*2+X35/1000)*(0.1*2+X35/1000)/4-PI()*(X35/1000)*(X35/1000)/4,IF(X35&lt;=1200,PI()*(0.12*2+X35/1000)*(0.12*2+X35/1000)/4-PI()*(X35/1000)*(X35/1000)/4,IF(X35&lt;=1500,PI()*(0.15*2+X35/1000)*(0.15*2+X35/1000)/4-PI()*(X35/1000)*(X35/1000)/4,0)))))</f>
        <v>3.1214864605866537</v>
      </c>
      <c r="AA35" s="283" t="s">
        <v>2254</v>
      </c>
      <c r="AB35" s="282" t="s">
        <v>2254</v>
      </c>
      <c r="AC35" s="282"/>
      <c r="AD35" s="305"/>
      <c r="AE35" s="284" t="str">
        <f>IF(OR(RIGHT(LEFT(B35,7),1)="&gt;",RIGHT(LEFT(B35,7),1)="-"),IF(OR(RIGHT(LEFT(B35,6),1)="&gt;",RIGHT(LEFT(B35,6),1)="-"),LEFT(B35,5),LEFT(B35,6)),LEFT(B35,7))</f>
        <v>PV4.1</v>
      </c>
      <c r="AF35" s="285">
        <f>COUNTIF(M35,600)</f>
        <v>1</v>
      </c>
      <c r="AG35" s="285">
        <f>COUNTIF(M35,800)</f>
        <v>0</v>
      </c>
      <c r="AH35" s="285">
        <f>COUNTIF(M35,1000)</f>
        <v>0</v>
      </c>
      <c r="AI35" s="285">
        <f>COUNTIF(M35,1200)</f>
        <v>0</v>
      </c>
      <c r="AJ35" s="285">
        <f>COUNTIF(M35,1500)</f>
        <v>0</v>
      </c>
      <c r="AK35" s="285">
        <f>COUNTIF(M35,1650)</f>
        <v>0</v>
      </c>
      <c r="AL35" s="285">
        <f>AK35*IF((R35+S35)/2-1.65&lt;=2,1,0)</f>
        <v>0</v>
      </c>
      <c r="AM35" s="285">
        <f>AK35*IF((R35+S35)/2-1.65&lt;=3,1,0)-AL35</f>
        <v>0</v>
      </c>
      <c r="AN35" s="285">
        <f>AK35*IF((R35+S35)/2-1.65&lt;=4,1,0)-AL35-AM35</f>
        <v>0</v>
      </c>
      <c r="AO35" s="269">
        <f>IFERROR(IF(X35&lt;=600,(1.1*1.1-0.85*0.85)*1.4,IF(X35=800,(1.5*1.5-1.1*1.1)*1.4,0)),0)</f>
        <v>0.68250000000000033</v>
      </c>
      <c r="AQ35" s="286" t="str">
        <f>W35</f>
        <v>ASFALTO</v>
      </c>
    </row>
    <row r="36" spans="2:43" x14ac:dyDescent="0.25">
      <c r="B36" s="281" t="s">
        <v>2258</v>
      </c>
      <c r="C36" s="282">
        <v>970.91909482719404</v>
      </c>
      <c r="D36" s="282">
        <v>970.77195630002461</v>
      </c>
      <c r="E36" s="282">
        <v>0.18846229661869907</v>
      </c>
      <c r="F36" s="282">
        <v>0.7667622966186991</v>
      </c>
      <c r="G36" s="282">
        <v>0.63</v>
      </c>
      <c r="H36" s="282">
        <v>1.4999999999999999E-2</v>
      </c>
      <c r="I36" s="283">
        <v>17.382544557099266</v>
      </c>
      <c r="J36" s="283">
        <v>123.1329123761335</v>
      </c>
      <c r="K36" s="283">
        <v>6.4523830951108252</v>
      </c>
      <c r="L36" s="283">
        <v>165.23395602156546</v>
      </c>
      <c r="M36" s="281">
        <v>600</v>
      </c>
      <c r="N36" s="281"/>
      <c r="O36" s="283">
        <v>4.2789999999999999</v>
      </c>
      <c r="P36" s="283">
        <v>2.8007286485536693</v>
      </c>
      <c r="Q36" s="283">
        <v>26.183999999999951</v>
      </c>
      <c r="R36" s="283">
        <v>2.52</v>
      </c>
      <c r="S36" s="283">
        <v>2.66</v>
      </c>
      <c r="T36" s="282">
        <v>968.42909482719404</v>
      </c>
      <c r="U36" s="282">
        <v>968.15300000000002</v>
      </c>
      <c r="V36" s="283">
        <v>4.0752957404833978E-2</v>
      </c>
      <c r="W36" s="283" t="s">
        <v>1999</v>
      </c>
      <c r="X36" s="283">
        <v>400</v>
      </c>
      <c r="Y36" s="283">
        <f>IFERROR(IF(X36&lt;=600,(PI()*0.72*0.72/4-PI()*0.6*0.6/4)*(C36-AB36)+(1.3*1.3-1.1*1.1)*1.6,IF(X36=800,(PI()*0.72*0.72/4-PI()*0.6*0.6/4)*(C36-AB36)+(1.5*1.5-1.1*1.1)*1.6,IF(X36=1000,(PI()*0.72*0.72/4-PI()*0.6*0.6/4)*(C36-AB36)+(1.94*1.94-1.5*1.5)*2.25,IF(X36=1200,(PI()*0.72*0.72/4-PI()*0.6*0.6/4)*(C36-AB36)+(-1.8*1.8+2.14*2.14)*2.25,IF(X36=1500,(PI()*0.72*0.72/4-PI()*0.6*0.6/4)*(C36-AB36)+(-2.2*2.2+2.44*2.44)*2.65,0))))),0)</f>
        <v>1.1121217502545209</v>
      </c>
      <c r="Z36" s="283">
        <f>K36*IF(X36&lt;=600,PI()*(0.06*2+X36/1000)*(0.06*2+X36/1000)/4-PI()*(X36/1000)*(X36/1000)/4,IF(X36=800,PI()*(0.08*2+X36/1000)*(0.08*2+X36/1000)/4-PI()*(X36/1000)*(X36/1000)/4,IF(X36&lt;=1000,PI()*(0.1*2+X36/1000)*(0.1*2+X36/1000)/4-PI()*(X36/1000)*(X36/1000)/4,IF(X36&lt;=1200,PI()*(0.12*2+X36/1000)*(0.12*2+X36/1000)/4-PI()*(X36/1000)*(X36/1000)/4,IF(X36&lt;=1500,PI()*(0.15*2+X36/1000)*(0.15*2+X36/1000)/4-PI()*(X36/1000)*(X36/1000)/4,0)))))</f>
        <v>0.559472957501021</v>
      </c>
      <c r="AA36" s="283" t="s">
        <v>2286</v>
      </c>
      <c r="AB36" s="282">
        <v>968.15300000000002</v>
      </c>
      <c r="AC36" s="282"/>
      <c r="AD36" s="305"/>
      <c r="AE36" s="284" t="str">
        <f>IF(OR(RIGHT(LEFT(B36,7),1)="&gt;",RIGHT(LEFT(B36,7),1)="-"),IF(OR(RIGHT(LEFT(B36,6),1)="&gt;",RIGHT(LEFT(B36,6),1)="-"),LEFT(B36,5),LEFT(B36,6)),LEFT(B36,7))</f>
        <v>PV5.1</v>
      </c>
      <c r="AF36" s="285">
        <f>COUNTIF(M36,600)</f>
        <v>1</v>
      </c>
      <c r="AG36" s="285">
        <f>COUNTIF(M36,800)</f>
        <v>0</v>
      </c>
      <c r="AH36" s="285">
        <f>COUNTIF(M36,1000)</f>
        <v>0</v>
      </c>
      <c r="AI36" s="285">
        <f>COUNTIF(M36,1200)</f>
        <v>0</v>
      </c>
      <c r="AJ36" s="285">
        <f>COUNTIF(M36,1500)</f>
        <v>0</v>
      </c>
      <c r="AK36" s="285">
        <f>COUNTIF(M36,1650)</f>
        <v>0</v>
      </c>
      <c r="AL36" s="285">
        <f>AK36*IF((R36+S36)/2-1.65&lt;=2,1,0)</f>
        <v>0</v>
      </c>
      <c r="AM36" s="285">
        <f>AK36*IF((R36+S36)/2-1.65&lt;=3,1,0)-AL36</f>
        <v>0</v>
      </c>
      <c r="AN36" s="285">
        <f>AK36*IF((R36+S36)/2-1.65&lt;=4,1,0)-AL36-AM36</f>
        <v>0</v>
      </c>
      <c r="AO36" s="269">
        <f>IFERROR(IF(X36&lt;=600,(1.1*1.1-0.85*0.85)*1.4,IF(X36=800,(1.5*1.5-1.1*1.1)*1.4,0)),0)</f>
        <v>0.68250000000000033</v>
      </c>
      <c r="AQ36" s="286" t="str">
        <f>W36</f>
        <v>ASFALTO</v>
      </c>
    </row>
    <row r="37" spans="2:43" x14ac:dyDescent="0.25">
      <c r="Y37" s="289">
        <f>SUM(Y10:Y36)</f>
        <v>33.88776943984675</v>
      </c>
      <c r="Z37" s="289">
        <f>SUM(Z10:Z36)</f>
        <v>244.23790377722153</v>
      </c>
      <c r="AC37" s="314">
        <v>73</v>
      </c>
      <c r="AD37" s="314"/>
      <c r="AE37" s="269"/>
      <c r="AF37" s="290">
        <f t="shared" ref="AF37:AO37" si="24">SUM(AF10:AF36)</f>
        <v>5</v>
      </c>
      <c r="AG37" s="290">
        <f t="shared" si="24"/>
        <v>2</v>
      </c>
      <c r="AH37" s="290">
        <f t="shared" si="24"/>
        <v>5</v>
      </c>
      <c r="AI37" s="290">
        <f t="shared" si="24"/>
        <v>1</v>
      </c>
      <c r="AJ37" s="290">
        <f t="shared" si="24"/>
        <v>13</v>
      </c>
      <c r="AK37" s="290">
        <f t="shared" si="24"/>
        <v>0</v>
      </c>
      <c r="AL37" s="290">
        <f t="shared" si="24"/>
        <v>0</v>
      </c>
      <c r="AM37" s="290">
        <f t="shared" si="24"/>
        <v>0</v>
      </c>
      <c r="AN37" s="290">
        <f t="shared" si="24"/>
        <v>0</v>
      </c>
      <c r="AO37" s="290">
        <f t="shared" si="24"/>
        <v>15.470000000000008</v>
      </c>
    </row>
    <row r="41" spans="2:43" ht="13" x14ac:dyDescent="0.3">
      <c r="B41" s="291" t="s">
        <v>2197</v>
      </c>
      <c r="C41" s="954" t="s">
        <v>2287</v>
      </c>
      <c r="D41" s="954"/>
      <c r="E41" s="954"/>
      <c r="F41" s="954"/>
      <c r="G41" s="954"/>
      <c r="H41" s="954"/>
      <c r="I41" s="954"/>
      <c r="J41" s="954"/>
      <c r="K41" s="954"/>
      <c r="L41" s="292"/>
      <c r="M41" s="292"/>
      <c r="N41" s="292"/>
      <c r="O41" s="292"/>
      <c r="P41" s="292"/>
      <c r="Q41" s="292"/>
      <c r="R41" s="292"/>
      <c r="S41" s="292"/>
      <c r="T41" s="292"/>
      <c r="U41" s="292"/>
      <c r="V41" s="292"/>
      <c r="W41" s="292"/>
      <c r="X41" s="293"/>
      <c r="Y41" s="293"/>
      <c r="Z41" s="293"/>
      <c r="AA41" s="293"/>
      <c r="AB41" s="293"/>
      <c r="AC41" s="293"/>
      <c r="AD41" s="293"/>
      <c r="AE41" s="294"/>
      <c r="AF41" s="294"/>
      <c r="AG41" s="294"/>
      <c r="AH41" s="294"/>
      <c r="AI41" s="294"/>
      <c r="AJ41" s="294"/>
      <c r="AK41" s="294"/>
      <c r="AL41" s="294"/>
      <c r="AM41" s="294"/>
      <c r="AN41" s="294"/>
      <c r="AO41" s="294"/>
      <c r="AP41" s="292"/>
      <c r="AQ41" s="292"/>
    </row>
    <row r="42" spans="2:43" ht="13" x14ac:dyDescent="0.3">
      <c r="B42" s="291"/>
      <c r="C42" s="954"/>
      <c r="D42" s="954"/>
      <c r="E42" s="954"/>
      <c r="F42" s="954"/>
      <c r="G42" s="954"/>
      <c r="H42" s="954"/>
      <c r="I42" s="954"/>
      <c r="J42" s="954"/>
      <c r="K42" s="954"/>
      <c r="L42" s="291"/>
      <c r="M42" s="291"/>
      <c r="N42" s="291"/>
      <c r="O42" s="292"/>
      <c r="P42" s="292"/>
      <c r="Q42" s="292"/>
      <c r="R42" s="292"/>
      <c r="S42" s="292"/>
      <c r="T42" s="292"/>
      <c r="U42" s="292"/>
      <c r="V42" s="292"/>
      <c r="W42" s="292"/>
      <c r="X42" s="293"/>
      <c r="Y42" s="293"/>
      <c r="Z42" s="293"/>
      <c r="AA42" s="293"/>
      <c r="AB42" s="293"/>
      <c r="AC42" s="293"/>
      <c r="AD42" s="293"/>
      <c r="AE42" s="294"/>
      <c r="AF42" s="294"/>
      <c r="AG42" s="294"/>
      <c r="AH42" s="294"/>
      <c r="AI42" s="294"/>
      <c r="AJ42" s="294"/>
      <c r="AK42" s="294"/>
      <c r="AL42" s="294"/>
      <c r="AM42" s="294"/>
      <c r="AN42" s="294"/>
      <c r="AO42" s="294"/>
      <c r="AP42" s="292"/>
      <c r="AQ42" s="292"/>
    </row>
    <row r="43" spans="2:43" ht="13" x14ac:dyDescent="0.3">
      <c r="B43" s="291"/>
      <c r="C43" s="295" t="s">
        <v>2199</v>
      </c>
      <c r="D43" s="296"/>
      <c r="E43" s="291"/>
      <c r="F43" s="291"/>
      <c r="G43" s="291"/>
      <c r="H43" s="291"/>
      <c r="I43" s="297" t="s">
        <v>2288</v>
      </c>
      <c r="J43" s="296">
        <v>5</v>
      </c>
      <c r="K43" s="291" t="s">
        <v>2289</v>
      </c>
      <c r="L43" s="298" t="s">
        <v>2290</v>
      </c>
      <c r="M43" s="296">
        <v>15</v>
      </c>
      <c r="N43" s="291" t="s">
        <v>2291</v>
      </c>
      <c r="O43" s="291"/>
      <c r="P43" s="291">
        <f>2.5+0.8</f>
        <v>3.3</v>
      </c>
      <c r="Q43" s="291">
        <v>1.5</v>
      </c>
      <c r="R43" s="291"/>
      <c r="S43" s="291"/>
      <c r="T43" s="291"/>
      <c r="U43" s="291"/>
      <c r="V43" s="292"/>
      <c r="W43" s="292"/>
      <c r="X43" s="293"/>
      <c r="Y43" s="293"/>
      <c r="Z43" s="293"/>
      <c r="AA43" s="293"/>
      <c r="AB43" s="293"/>
      <c r="AC43" s="293"/>
      <c r="AD43" s="293"/>
      <c r="AE43" s="294"/>
      <c r="AF43" s="294"/>
      <c r="AG43" s="294"/>
      <c r="AH43" s="294"/>
      <c r="AI43" s="294"/>
      <c r="AJ43" s="294"/>
      <c r="AK43" s="294"/>
      <c r="AL43" s="294"/>
      <c r="AM43" s="294"/>
      <c r="AN43" s="294"/>
      <c r="AO43" s="294"/>
      <c r="AP43" s="292"/>
      <c r="AQ43" s="292"/>
    </row>
    <row r="44" spans="2:43" ht="13" x14ac:dyDescent="0.3">
      <c r="B44" s="291" t="s">
        <v>2292</v>
      </c>
      <c r="C44" s="295"/>
      <c r="D44" s="296"/>
      <c r="E44" s="291"/>
      <c r="F44" s="291"/>
      <c r="G44" s="291"/>
      <c r="H44" s="291"/>
      <c r="I44" s="291"/>
      <c r="J44" s="291"/>
      <c r="K44" s="291"/>
      <c r="L44" s="291"/>
      <c r="M44" s="291"/>
      <c r="N44" s="291"/>
      <c r="O44" s="291"/>
      <c r="P44" s="291"/>
      <c r="Q44" s="291"/>
      <c r="R44" s="291"/>
      <c r="S44" s="291"/>
      <c r="T44" s="291"/>
      <c r="U44" s="291"/>
      <c r="V44" s="292"/>
      <c r="W44" s="292"/>
      <c r="X44" s="293"/>
      <c r="Y44" s="293"/>
      <c r="Z44" s="293"/>
      <c r="AA44" s="293"/>
      <c r="AB44" s="293"/>
      <c r="AC44" s="293"/>
      <c r="AD44" s="293"/>
      <c r="AE44" s="294"/>
      <c r="AF44" s="294"/>
      <c r="AG44" s="294"/>
      <c r="AH44" s="294"/>
      <c r="AI44" s="294"/>
      <c r="AJ44" s="294"/>
      <c r="AK44" s="294"/>
      <c r="AL44" s="294"/>
      <c r="AM44" s="294"/>
      <c r="AN44" s="294"/>
      <c r="AO44" s="294"/>
      <c r="AP44" s="292"/>
      <c r="AQ44" s="292"/>
    </row>
    <row r="45" spans="2:43" ht="13" x14ac:dyDescent="0.3">
      <c r="B45" s="299">
        <v>1</v>
      </c>
      <c r="C45" s="299">
        <f t="shared" ref="C45:AO45" si="25">B45+1</f>
        <v>2</v>
      </c>
      <c r="D45" s="299">
        <f t="shared" si="25"/>
        <v>3</v>
      </c>
      <c r="E45" s="299">
        <f t="shared" si="25"/>
        <v>4</v>
      </c>
      <c r="F45" s="299">
        <f t="shared" si="25"/>
        <v>5</v>
      </c>
      <c r="G45" s="299">
        <f t="shared" si="25"/>
        <v>6</v>
      </c>
      <c r="H45" s="299">
        <f t="shared" si="25"/>
        <v>7</v>
      </c>
      <c r="I45" s="299">
        <f t="shared" si="25"/>
        <v>8</v>
      </c>
      <c r="J45" s="299">
        <f t="shared" si="25"/>
        <v>9</v>
      </c>
      <c r="K45" s="299">
        <f t="shared" si="25"/>
        <v>10</v>
      </c>
      <c r="L45" s="299">
        <f t="shared" si="25"/>
        <v>11</v>
      </c>
      <c r="M45" s="299">
        <f t="shared" si="25"/>
        <v>12</v>
      </c>
      <c r="N45" s="299">
        <f t="shared" si="25"/>
        <v>13</v>
      </c>
      <c r="O45" s="299">
        <f t="shared" si="25"/>
        <v>14</v>
      </c>
      <c r="P45" s="299">
        <f t="shared" si="25"/>
        <v>15</v>
      </c>
      <c r="Q45" s="299">
        <f t="shared" si="25"/>
        <v>16</v>
      </c>
      <c r="R45" s="299">
        <f t="shared" si="25"/>
        <v>17</v>
      </c>
      <c r="S45" s="299">
        <f t="shared" si="25"/>
        <v>18</v>
      </c>
      <c r="T45" s="299">
        <f t="shared" si="25"/>
        <v>19</v>
      </c>
      <c r="U45" s="299">
        <f t="shared" si="25"/>
        <v>20</v>
      </c>
      <c r="V45" s="299">
        <f t="shared" si="25"/>
        <v>21</v>
      </c>
      <c r="W45" s="299">
        <f t="shared" si="25"/>
        <v>22</v>
      </c>
      <c r="X45" s="299">
        <f t="shared" si="25"/>
        <v>23</v>
      </c>
      <c r="Y45" s="299">
        <f t="shared" si="25"/>
        <v>24</v>
      </c>
      <c r="Z45" s="299">
        <f t="shared" si="25"/>
        <v>25</v>
      </c>
      <c r="AA45" s="299">
        <f t="shared" si="25"/>
        <v>26</v>
      </c>
      <c r="AB45" s="299">
        <f t="shared" si="25"/>
        <v>27</v>
      </c>
      <c r="AC45" s="299">
        <f t="shared" ref="AC45" si="26">AB45+1</f>
        <v>28</v>
      </c>
      <c r="AD45" s="299">
        <f t="shared" ref="AD45" si="27">AC45+1</f>
        <v>29</v>
      </c>
      <c r="AE45" s="299">
        <f t="shared" ref="AE45" si="28">AD45+1</f>
        <v>30</v>
      </c>
      <c r="AF45" s="299">
        <f t="shared" si="25"/>
        <v>31</v>
      </c>
      <c r="AG45" s="299">
        <f t="shared" si="25"/>
        <v>32</v>
      </c>
      <c r="AH45" s="299">
        <f t="shared" si="25"/>
        <v>33</v>
      </c>
      <c r="AI45" s="299">
        <f t="shared" si="25"/>
        <v>34</v>
      </c>
      <c r="AJ45" s="299">
        <f t="shared" si="25"/>
        <v>35</v>
      </c>
      <c r="AK45" s="299">
        <f t="shared" si="25"/>
        <v>36</v>
      </c>
      <c r="AL45" s="299">
        <f t="shared" si="25"/>
        <v>37</v>
      </c>
      <c r="AM45" s="299">
        <f t="shared" si="25"/>
        <v>38</v>
      </c>
      <c r="AN45" s="299">
        <f t="shared" si="25"/>
        <v>39</v>
      </c>
      <c r="AO45" s="299">
        <f t="shared" si="25"/>
        <v>40</v>
      </c>
      <c r="AP45" s="292"/>
      <c r="AQ45" s="292"/>
    </row>
    <row r="46" spans="2:43" x14ac:dyDescent="0.25">
      <c r="B46" s="300" t="s">
        <v>2202</v>
      </c>
      <c r="C46" s="949" t="s">
        <v>2203</v>
      </c>
      <c r="D46" s="949"/>
      <c r="E46" s="949" t="s">
        <v>2204</v>
      </c>
      <c r="F46" s="949"/>
      <c r="G46" s="300" t="s">
        <v>2205</v>
      </c>
      <c r="H46" s="300" t="s">
        <v>2205</v>
      </c>
      <c r="I46" s="300" t="s">
        <v>2206</v>
      </c>
      <c r="J46" s="300" t="s">
        <v>2207</v>
      </c>
      <c r="K46" s="300" t="s">
        <v>2208</v>
      </c>
      <c r="L46" s="300" t="s">
        <v>2209</v>
      </c>
      <c r="M46" s="949" t="s">
        <v>2210</v>
      </c>
      <c r="N46" s="949"/>
      <c r="O46" s="300" t="s">
        <v>2211</v>
      </c>
      <c r="P46" s="300" t="s">
        <v>2212</v>
      </c>
      <c r="Q46" s="300" t="s">
        <v>2213</v>
      </c>
      <c r="R46" s="949" t="s">
        <v>2214</v>
      </c>
      <c r="S46" s="949"/>
      <c r="T46" s="949" t="s">
        <v>2215</v>
      </c>
      <c r="U46" s="949"/>
      <c r="V46" s="300" t="s">
        <v>2216</v>
      </c>
      <c r="W46" s="300" t="s">
        <v>2217</v>
      </c>
      <c r="X46" s="300" t="s">
        <v>2218</v>
      </c>
      <c r="Y46" s="300" t="s">
        <v>2219</v>
      </c>
      <c r="Z46" s="300" t="s">
        <v>2220</v>
      </c>
      <c r="AA46" s="300" t="s">
        <v>2221</v>
      </c>
      <c r="AB46" s="300" t="s">
        <v>2222</v>
      </c>
      <c r="AC46" s="300" t="s">
        <v>1396</v>
      </c>
      <c r="AD46" s="300" t="s">
        <v>2223</v>
      </c>
      <c r="AE46" s="278" t="s">
        <v>1390</v>
      </c>
      <c r="AF46" s="300" t="s">
        <v>2224</v>
      </c>
      <c r="AG46" s="300" t="s">
        <v>2225</v>
      </c>
      <c r="AH46" s="300" t="s">
        <v>2226</v>
      </c>
      <c r="AI46" s="300" t="s">
        <v>2227</v>
      </c>
      <c r="AJ46" s="300" t="s">
        <v>2228</v>
      </c>
      <c r="AK46" s="300" t="s">
        <v>2229</v>
      </c>
      <c r="AL46" s="300" t="s">
        <v>2230</v>
      </c>
      <c r="AM46" s="300" t="s">
        <v>2231</v>
      </c>
      <c r="AN46" s="300" t="s">
        <v>2232</v>
      </c>
      <c r="AO46" s="300" t="s">
        <v>2233</v>
      </c>
      <c r="AP46" s="292"/>
      <c r="AQ46" s="292"/>
    </row>
    <row r="47" spans="2:43" x14ac:dyDescent="0.25">
      <c r="B47" s="301" t="s">
        <v>1390</v>
      </c>
      <c r="C47" s="301" t="s">
        <v>2234</v>
      </c>
      <c r="D47" s="301" t="s">
        <v>2235</v>
      </c>
      <c r="E47" s="301" t="s">
        <v>2236</v>
      </c>
      <c r="F47" s="301" t="s">
        <v>23</v>
      </c>
      <c r="G47" s="301" t="s">
        <v>2237</v>
      </c>
      <c r="H47" s="301" t="s">
        <v>2238</v>
      </c>
      <c r="I47" s="301" t="s">
        <v>2239</v>
      </c>
      <c r="J47" s="301" t="s">
        <v>2240</v>
      </c>
      <c r="K47" s="301" t="s">
        <v>2241</v>
      </c>
      <c r="L47" s="301" t="s">
        <v>2242</v>
      </c>
      <c r="M47" s="301" t="s">
        <v>2243</v>
      </c>
      <c r="N47" s="301" t="s">
        <v>2244</v>
      </c>
      <c r="O47" s="301" t="s">
        <v>2245</v>
      </c>
      <c r="P47" s="301" t="s">
        <v>2246</v>
      </c>
      <c r="Q47" s="301" t="s">
        <v>6</v>
      </c>
      <c r="R47" s="301" t="s">
        <v>2234</v>
      </c>
      <c r="S47" s="301" t="s">
        <v>2235</v>
      </c>
      <c r="T47" s="301" t="s">
        <v>2234</v>
      </c>
      <c r="U47" s="301" t="s">
        <v>2235</v>
      </c>
      <c r="V47" s="301" t="s">
        <v>2247</v>
      </c>
      <c r="W47" s="301"/>
      <c r="X47" s="301" t="s">
        <v>2248</v>
      </c>
      <c r="Y47" s="301" t="s">
        <v>2249</v>
      </c>
      <c r="Z47" s="301" t="s">
        <v>2249</v>
      </c>
      <c r="AA47" s="301"/>
      <c r="AB47" s="301" t="s">
        <v>2247</v>
      </c>
      <c r="AC47" s="301" t="s">
        <v>2250</v>
      </c>
      <c r="AD47" s="301" t="s">
        <v>2250</v>
      </c>
      <c r="AE47" s="279" t="s">
        <v>2250</v>
      </c>
      <c r="AF47" s="301" t="s">
        <v>2250</v>
      </c>
      <c r="AG47" s="301" t="s">
        <v>2250</v>
      </c>
      <c r="AH47" s="301" t="s">
        <v>2250</v>
      </c>
      <c r="AI47" s="301" t="s">
        <v>2250</v>
      </c>
      <c r="AJ47" s="301" t="s">
        <v>2250</v>
      </c>
      <c r="AK47" s="301" t="s">
        <v>2250</v>
      </c>
      <c r="AL47" s="301" t="s">
        <v>2250</v>
      </c>
      <c r="AM47" s="301" t="s">
        <v>2250</v>
      </c>
      <c r="AN47" s="301" t="s">
        <v>2250</v>
      </c>
      <c r="AO47" s="300" t="s">
        <v>2247</v>
      </c>
      <c r="AP47" s="292"/>
      <c r="AQ47" s="292"/>
    </row>
    <row r="48" spans="2:43" ht="13" x14ac:dyDescent="0.3">
      <c r="B48" s="302" t="s">
        <v>1404</v>
      </c>
      <c r="C48" s="301"/>
      <c r="D48" s="301"/>
      <c r="E48" s="301"/>
      <c r="F48" s="301"/>
      <c r="G48" s="301"/>
      <c r="H48" s="301"/>
      <c r="I48" s="301"/>
      <c r="J48" s="301"/>
      <c r="K48" s="301"/>
      <c r="L48" s="301"/>
      <c r="M48" s="301"/>
      <c r="N48" s="301"/>
      <c r="O48" s="301"/>
      <c r="P48" s="301"/>
      <c r="Q48" s="301"/>
      <c r="R48" s="301"/>
      <c r="S48" s="301"/>
      <c r="T48" s="301"/>
      <c r="U48" s="301"/>
      <c r="V48" s="301"/>
      <c r="W48" s="301"/>
      <c r="X48" s="301"/>
      <c r="Y48" s="301"/>
      <c r="Z48" s="301"/>
      <c r="AA48" s="301"/>
      <c r="AB48" s="301"/>
      <c r="AC48" s="301"/>
      <c r="AD48" s="301"/>
      <c r="AE48" s="301"/>
      <c r="AF48" s="301"/>
      <c r="AG48" s="301"/>
      <c r="AH48" s="301"/>
      <c r="AI48" s="301"/>
      <c r="AJ48" s="301"/>
      <c r="AK48" s="301"/>
      <c r="AL48" s="301"/>
      <c r="AM48" s="301"/>
      <c r="AN48" s="301"/>
      <c r="AO48" s="303"/>
      <c r="AP48" s="292"/>
      <c r="AQ48" s="292"/>
    </row>
    <row r="49" spans="2:43" s="271" customFormat="1" x14ac:dyDescent="0.25">
      <c r="B49" s="304" t="s">
        <v>2251</v>
      </c>
      <c r="C49" s="305">
        <v>971.33399999999995</v>
      </c>
      <c r="D49" s="305">
        <v>971.00400000000002</v>
      </c>
      <c r="E49" s="305">
        <v>0.71399999999999997</v>
      </c>
      <c r="F49" s="305">
        <v>0.71399999999999997</v>
      </c>
      <c r="G49" s="305">
        <v>0.7</v>
      </c>
      <c r="H49" s="305">
        <v>1.4999999999999999E-2</v>
      </c>
      <c r="I49" s="306">
        <v>15</v>
      </c>
      <c r="J49" s="306">
        <v>342.5</v>
      </c>
      <c r="K49" s="306">
        <v>38.29</v>
      </c>
      <c r="L49" s="306">
        <v>171.08</v>
      </c>
      <c r="M49" s="304">
        <v>600</v>
      </c>
      <c r="N49" s="307"/>
      <c r="O49" s="306">
        <v>0.56999999999999995</v>
      </c>
      <c r="P49" s="306">
        <v>1.37</v>
      </c>
      <c r="Q49" s="306">
        <v>45.52</v>
      </c>
      <c r="R49" s="306">
        <v>1.6</v>
      </c>
      <c r="S49" s="306">
        <v>1.49</v>
      </c>
      <c r="T49" s="305">
        <v>969.73400000000004</v>
      </c>
      <c r="U49" s="305">
        <v>969.51499999999999</v>
      </c>
      <c r="V49" s="306">
        <v>0</v>
      </c>
      <c r="W49" s="306" t="s">
        <v>1999</v>
      </c>
      <c r="X49" s="306">
        <v>400</v>
      </c>
      <c r="Y49" s="306">
        <f>IFERROR(IF(X49&lt;=600,(PI()*0.72*0.72/4-PI()*0.6*0.6/4)*(C49-AB49)+(1.3*1.3-1.1*1.1)*1.6,IF(X49=800,(PI()*0.72*0.72/4-PI()*0.6*0.6/4)*(C49-AB49)+(1.5*1.5-1.1*1.1)*1.6,IF(X49=1000,(PI()*0.72*0.72/4-PI()*0.6*0.6/4)*(C49-AB49)+(1.94*1.94-1.5*1.5)*2.25,IF(X49=1200,(PI()*0.72*0.72/4-PI()*0.6*0.6/4)*(C49-AB49)+(-1.8*1.8+2.14*2.14)*2.25,IF(X49=1500,(PI()*0.72*0.72/4-PI()*0.6*0.6/4)*(C49-AB49)+(-2.2*2.2+2.44*2.44)*2.65,0))))),0)</f>
        <v>0.97501336295270569</v>
      </c>
      <c r="Z49" s="306">
        <f t="shared" ref="Z49:Z78" si="29">K49*IF(X49&lt;=600,PI()*(0.06*2+X49/1000)*(0.06*2+X49/1000)/4-PI()*(X49/1000)*(X49/1000)/4,IF(X49=800,PI()*(0.08*2+X49/1000)*(0.08*2+X49/1000)/4-PI()*(X49/1000)*(X49/1000)/4,IF(X49&lt;=1000,PI()*(0.1*2+X49/1000)*(0.1*2+X49/1000)/4-PI()*(X49/1000)*(X49/1000)/4,IF(X49&lt;=1200,PI()*(0.12*2+X49/1000)*(0.12*2+X49/1000)/4-PI()*(X49/1000)*(X49/1000)/4,IF(X49&lt;=1500,PI()*(0.15*2+X49/1000)*(0.15*2+X49/1000)/4-PI()*(X49/1000)*(X49/1000)/4,0)))))</f>
        <v>3.3200476826843075</v>
      </c>
      <c r="AA49" s="306" t="s">
        <v>2293</v>
      </c>
      <c r="AB49" s="305">
        <v>969.67</v>
      </c>
      <c r="AC49" s="305"/>
      <c r="AD49" s="305"/>
      <c r="AE49" s="308" t="str">
        <f t="shared" ref="AE49:AE83" si="30">IF(OR(RIGHT(LEFT(B49,7),1)="&gt;",RIGHT(LEFT(B49,7),1)="-"),IF(OR(RIGHT(LEFT(B49,6),1)="&gt;",RIGHT(LEFT(B49,6),1)="-"),LEFT(B49,5),LEFT(B49,6)),LEFT(B49,7))</f>
        <v>PV1.1</v>
      </c>
      <c r="AF49" s="309">
        <f t="shared" ref="AF49:AF83" si="31">COUNTIF(M49,600)</f>
        <v>1</v>
      </c>
      <c r="AG49" s="309">
        <f t="shared" ref="AG49:AG83" si="32">COUNTIF(M49,800)</f>
        <v>0</v>
      </c>
      <c r="AH49" s="309">
        <f t="shared" ref="AH49:AH83" si="33">COUNTIF(M49,1000)</f>
        <v>0</v>
      </c>
      <c r="AI49" s="309">
        <f t="shared" ref="AI49:AI83" si="34">COUNTIF(M49,1200)</f>
        <v>0</v>
      </c>
      <c r="AJ49" s="309">
        <f t="shared" ref="AJ49:AJ83" si="35">COUNTIF(M49,1500)</f>
        <v>0</v>
      </c>
      <c r="AK49" s="309">
        <f t="shared" ref="AK49:AK83" si="36">COUNTIF(M49,1650)</f>
        <v>0</v>
      </c>
      <c r="AL49" s="309">
        <f t="shared" ref="AL49:AL83" si="37">AK49*IF((R49+S49)/2-1.65&lt;=2,1,0)</f>
        <v>0</v>
      </c>
      <c r="AM49" s="309">
        <f t="shared" ref="AM49:AM83" si="38">AK49*IF((R49+S49)/2-1.65&lt;=3,1,0)-AL49</f>
        <v>0</v>
      </c>
      <c r="AN49" s="309">
        <f t="shared" ref="AN49:AN83" si="39">AK49*IF((R49+S49)/2-1.65&lt;=4,1,0)-AL49-AM49</f>
        <v>0</v>
      </c>
      <c r="AO49" s="292">
        <f>IFERROR(IF(X49&lt;=600,(1.1*1.1-0.85*0.85)*1.4,IF(X49=800,(1.5*1.5-1.1*1.1)*1.4,0)),0)</f>
        <v>0.68250000000000033</v>
      </c>
      <c r="AP49" s="292"/>
      <c r="AQ49" s="310" t="str">
        <f t="shared" ref="AQ49:AQ83" si="40">W49</f>
        <v>ASFALTO</v>
      </c>
    </row>
    <row r="50" spans="2:43" s="271" customFormat="1" x14ac:dyDescent="0.25">
      <c r="B50" s="304" t="s">
        <v>2253</v>
      </c>
      <c r="C50" s="305">
        <v>971.00400000000002</v>
      </c>
      <c r="D50" s="305">
        <v>970.87699999999995</v>
      </c>
      <c r="E50" s="305">
        <v>0</v>
      </c>
      <c r="F50" s="305">
        <v>0.71399999999999997</v>
      </c>
      <c r="G50" s="305">
        <v>0.7</v>
      </c>
      <c r="H50" s="305">
        <v>1.4999999999999999E-2</v>
      </c>
      <c r="I50" s="306">
        <v>15.467000000000001</v>
      </c>
      <c r="J50" s="306">
        <v>337.15</v>
      </c>
      <c r="K50" s="306">
        <v>41.71</v>
      </c>
      <c r="L50" s="306">
        <v>168.4</v>
      </c>
      <c r="M50" s="304">
        <v>600</v>
      </c>
      <c r="N50" s="307"/>
      <c r="O50" s="306">
        <v>0.56999999999999995</v>
      </c>
      <c r="P50" s="306">
        <v>1.36</v>
      </c>
      <c r="Q50" s="306">
        <v>45.12</v>
      </c>
      <c r="R50" s="306">
        <v>1.49</v>
      </c>
      <c r="S50" s="306">
        <v>1.6</v>
      </c>
      <c r="T50" s="305">
        <v>969.51499999999999</v>
      </c>
      <c r="U50" s="305">
        <v>969.27700000000004</v>
      </c>
      <c r="V50" s="306">
        <v>0</v>
      </c>
      <c r="W50" s="306" t="s">
        <v>1999</v>
      </c>
      <c r="X50" s="306">
        <v>400</v>
      </c>
      <c r="Y50" s="306"/>
      <c r="Z50" s="306">
        <f t="shared" si="29"/>
        <v>3.6165888964419555</v>
      </c>
      <c r="AA50" s="306"/>
      <c r="AB50" s="305"/>
      <c r="AC50" s="305"/>
      <c r="AD50" s="305"/>
      <c r="AE50" s="308" t="str">
        <f t="shared" si="30"/>
        <v>PV2.1</v>
      </c>
      <c r="AF50" s="309">
        <f t="shared" si="31"/>
        <v>1</v>
      </c>
      <c r="AG50" s="309">
        <f t="shared" si="32"/>
        <v>0</v>
      </c>
      <c r="AH50" s="309">
        <f t="shared" si="33"/>
        <v>0</v>
      </c>
      <c r="AI50" s="309">
        <f t="shared" si="34"/>
        <v>0</v>
      </c>
      <c r="AJ50" s="309">
        <f t="shared" si="35"/>
        <v>0</v>
      </c>
      <c r="AK50" s="309">
        <f t="shared" si="36"/>
        <v>0</v>
      </c>
      <c r="AL50" s="309">
        <f t="shared" si="37"/>
        <v>0</v>
      </c>
      <c r="AM50" s="309">
        <f t="shared" si="38"/>
        <v>0</v>
      </c>
      <c r="AN50" s="309">
        <f t="shared" si="39"/>
        <v>0</v>
      </c>
      <c r="AO50" s="292"/>
      <c r="AP50" s="292"/>
      <c r="AQ50" s="310" t="str">
        <f t="shared" si="40"/>
        <v>ASFALTO</v>
      </c>
    </row>
    <row r="51" spans="2:43" s="271" customFormat="1" x14ac:dyDescent="0.25">
      <c r="B51" s="304" t="s">
        <v>2255</v>
      </c>
      <c r="C51" s="305">
        <v>970.87699999999995</v>
      </c>
      <c r="D51" s="305">
        <v>970.67200000000003</v>
      </c>
      <c r="E51" s="305">
        <v>0.438</v>
      </c>
      <c r="F51" s="305">
        <v>1.151</v>
      </c>
      <c r="G51" s="305">
        <v>0.7</v>
      </c>
      <c r="H51" s="305">
        <v>1.4999999999999999E-2</v>
      </c>
      <c r="I51" s="306">
        <v>15.978</v>
      </c>
      <c r="J51" s="306">
        <v>331.5</v>
      </c>
      <c r="K51" s="306">
        <v>40</v>
      </c>
      <c r="L51" s="306">
        <v>267.18</v>
      </c>
      <c r="M51" s="304">
        <v>600</v>
      </c>
      <c r="N51" s="307"/>
      <c r="O51" s="306">
        <v>0.51</v>
      </c>
      <c r="P51" s="306">
        <v>1.46</v>
      </c>
      <c r="Q51" s="306">
        <v>61.71</v>
      </c>
      <c r="R51" s="306">
        <v>1.6</v>
      </c>
      <c r="S51" s="306">
        <v>1.6</v>
      </c>
      <c r="T51" s="305">
        <v>969.27700000000004</v>
      </c>
      <c r="U51" s="305">
        <v>969.072</v>
      </c>
      <c r="V51" s="306">
        <v>0.22</v>
      </c>
      <c r="W51" s="306" t="s">
        <v>1999</v>
      </c>
      <c r="X51" s="306">
        <v>400</v>
      </c>
      <c r="Y51" s="306">
        <f>IFERROR(IF(X51&lt;=600,(PI()*0.72*0.72/4-PI()*0.6*0.6/4)*(C51-AB51)+(1.3*1.3-1.1*1.1)*1.6,IF(X51=800,(PI()*0.72*0.72/4-PI()*0.6*0.6/4)*(C51-AB51)+(1.5*1.5-1.1*1.1)*1.6,IF(X51=1000,(PI()*0.72*0.72/4-PI()*0.6*0.6/4)*(C51-AB51)+(1.94*1.94-1.5*1.5)*2.25,IF(X51=1200,(PI()*0.72*0.72/4-PI()*0.6*0.6/4)*(C51-AB51)+(-1.8*1.8+2.14*2.14)*2.25,IF(X51=1500,(PI()*0.72*0.72/4-PI()*0.6*0.6/4)*(C51-AB51)+(-2.2*2.2+2.44*2.44)*2.65,0))))),0)</f>
        <v>1.0301256945560988</v>
      </c>
      <c r="Z51" s="306">
        <f t="shared" si="29"/>
        <v>3.4683182895631317</v>
      </c>
      <c r="AA51" s="306" t="s">
        <v>2294</v>
      </c>
      <c r="AB51" s="305">
        <v>968.77</v>
      </c>
      <c r="AC51" s="305"/>
      <c r="AD51" s="305"/>
      <c r="AE51" s="308" t="str">
        <f t="shared" si="30"/>
        <v>PV3.1</v>
      </c>
      <c r="AF51" s="309">
        <f t="shared" si="31"/>
        <v>1</v>
      </c>
      <c r="AG51" s="309">
        <f t="shared" si="32"/>
        <v>0</v>
      </c>
      <c r="AH51" s="309">
        <f t="shared" si="33"/>
        <v>0</v>
      </c>
      <c r="AI51" s="309">
        <f t="shared" si="34"/>
        <v>0</v>
      </c>
      <c r="AJ51" s="309">
        <f t="shared" si="35"/>
        <v>0</v>
      </c>
      <c r="AK51" s="309">
        <f t="shared" si="36"/>
        <v>0</v>
      </c>
      <c r="AL51" s="309">
        <f t="shared" si="37"/>
        <v>0</v>
      </c>
      <c r="AM51" s="309">
        <f t="shared" si="38"/>
        <v>0</v>
      </c>
      <c r="AN51" s="309">
        <f t="shared" si="39"/>
        <v>0</v>
      </c>
      <c r="AO51" s="292">
        <f>IFERROR(IF(X51&lt;=600,(1.1*1.1-0.85*0.85)*1.4,IF(X51=800,(1.5*1.5-1.1*1.1)*1.4,0)),0)</f>
        <v>0.68250000000000033</v>
      </c>
      <c r="AP51" s="292"/>
      <c r="AQ51" s="310" t="str">
        <f t="shared" si="40"/>
        <v>ASFALTO</v>
      </c>
    </row>
    <row r="52" spans="2:43" s="271" customFormat="1" x14ac:dyDescent="0.25">
      <c r="B52" s="304" t="s">
        <v>2257</v>
      </c>
      <c r="C52" s="305">
        <v>970.67200000000003</v>
      </c>
      <c r="D52" s="305">
        <v>970.70600000000002</v>
      </c>
      <c r="E52" s="305">
        <v>0.14299999999999999</v>
      </c>
      <c r="F52" s="305">
        <v>1.294</v>
      </c>
      <c r="G52" s="305">
        <v>0.7</v>
      </c>
      <c r="H52" s="305">
        <v>1.4999999999999999E-2</v>
      </c>
      <c r="I52" s="306">
        <v>16.434999999999999</v>
      </c>
      <c r="J52" s="306">
        <v>326.61</v>
      </c>
      <c r="K52" s="306">
        <v>40</v>
      </c>
      <c r="L52" s="306">
        <v>295.86</v>
      </c>
      <c r="M52" s="304">
        <v>800</v>
      </c>
      <c r="N52" s="307"/>
      <c r="O52" s="306">
        <v>0.5</v>
      </c>
      <c r="P52" s="306">
        <v>1.49</v>
      </c>
      <c r="Q52" s="306">
        <v>41.8</v>
      </c>
      <c r="R52" s="306">
        <v>1.82</v>
      </c>
      <c r="S52" s="306">
        <v>2.0499999999999998</v>
      </c>
      <c r="T52" s="305">
        <v>968.85199999999998</v>
      </c>
      <c r="U52" s="305">
        <v>968.65200000000004</v>
      </c>
      <c r="V52" s="306">
        <v>0</v>
      </c>
      <c r="W52" s="306" t="s">
        <v>1999</v>
      </c>
      <c r="X52" s="306">
        <v>400</v>
      </c>
      <c r="Y52" s="306">
        <f>IFERROR(IF(X52&lt;=600,(PI()*0.72*0.72/4-PI()*0.6*0.6/4)*(C52-AB52)+(1.3*1.3-1.1*1.1)*1.6,IF(X52=800,(PI()*0.72*0.72/4-PI()*0.6*0.6/4)*(C52-AB52)+(1.5*1.5-1.1*1.1)*1.6,IF(X52=1000,(PI()*0.72*0.72/4-PI()*0.6*0.6/4)*(C52-AB52)+(1.94*1.94-1.5*1.5)*2.25,IF(X52=1200,(PI()*0.72*0.72/4-PI()*0.6*0.6/4)*(C52-AB52)+(-1.8*1.8+2.14*2.14)*2.25,IF(X52=1500,(PI()*0.72*0.72/4-PI()*0.6*0.6/4)*(C52-AB52)+(-2.2*2.2+2.44*2.44)*2.65,0))))),0)</f>
        <v>0</v>
      </c>
      <c r="Z52" s="306">
        <f t="shared" si="29"/>
        <v>3.4683182895631317</v>
      </c>
      <c r="AA52" s="306" t="s">
        <v>2254</v>
      </c>
      <c r="AB52" s="305" t="s">
        <v>2254</v>
      </c>
      <c r="AC52" s="305"/>
      <c r="AD52" s="305"/>
      <c r="AE52" s="308" t="str">
        <f t="shared" si="30"/>
        <v>PV4.1</v>
      </c>
      <c r="AF52" s="309">
        <f t="shared" si="31"/>
        <v>0</v>
      </c>
      <c r="AG52" s="309">
        <f t="shared" si="32"/>
        <v>1</v>
      </c>
      <c r="AH52" s="309">
        <f t="shared" si="33"/>
        <v>0</v>
      </c>
      <c r="AI52" s="309">
        <f t="shared" si="34"/>
        <v>0</v>
      </c>
      <c r="AJ52" s="309">
        <f t="shared" si="35"/>
        <v>0</v>
      </c>
      <c r="AK52" s="309">
        <f t="shared" si="36"/>
        <v>0</v>
      </c>
      <c r="AL52" s="309">
        <f t="shared" si="37"/>
        <v>0</v>
      </c>
      <c r="AM52" s="309">
        <f t="shared" si="38"/>
        <v>0</v>
      </c>
      <c r="AN52" s="309">
        <f t="shared" si="39"/>
        <v>0</v>
      </c>
      <c r="AO52" s="292">
        <f>IFERROR(IF(X52&lt;=600,(1.1*1.1-0.85*0.85)*1.4,IF(X52=800,(1.5*1.5-1.1*1.1)*1.4,0)),0)</f>
        <v>0.68250000000000033</v>
      </c>
      <c r="AP52" s="292"/>
      <c r="AQ52" s="310" t="str">
        <f t="shared" si="40"/>
        <v>ASFALTO</v>
      </c>
    </row>
    <row r="53" spans="2:43" s="271" customFormat="1" x14ac:dyDescent="0.25">
      <c r="B53" s="304" t="s">
        <v>2258</v>
      </c>
      <c r="C53" s="305">
        <v>970.70600000000002</v>
      </c>
      <c r="D53" s="305">
        <v>969.09900000000005</v>
      </c>
      <c r="E53" s="305">
        <v>0.437</v>
      </c>
      <c r="F53" s="305">
        <v>1.7310000000000001</v>
      </c>
      <c r="G53" s="305">
        <v>0.7</v>
      </c>
      <c r="H53" s="305">
        <v>1.4999999999999999E-2</v>
      </c>
      <c r="I53" s="306">
        <v>16.884</v>
      </c>
      <c r="J53" s="306">
        <v>321.95999999999998</v>
      </c>
      <c r="K53" s="306">
        <v>37.5</v>
      </c>
      <c r="L53" s="306">
        <v>390.13</v>
      </c>
      <c r="M53" s="304">
        <v>800</v>
      </c>
      <c r="N53" s="307"/>
      <c r="O53" s="306">
        <v>4.4400000000000004</v>
      </c>
      <c r="P53" s="306">
        <v>3.53</v>
      </c>
      <c r="Q53" s="306">
        <v>27.19</v>
      </c>
      <c r="R53" s="306">
        <v>2.0499999999999998</v>
      </c>
      <c r="S53" s="306">
        <v>2.11</v>
      </c>
      <c r="T53" s="305">
        <v>968.65200000000004</v>
      </c>
      <c r="U53" s="305">
        <v>966.98900000000003</v>
      </c>
      <c r="V53" s="306">
        <v>0</v>
      </c>
      <c r="W53" s="306" t="s">
        <v>1999</v>
      </c>
      <c r="X53" s="306">
        <v>600</v>
      </c>
      <c r="Y53" s="306">
        <f>IFERROR(IF(X53&lt;=600,(PI()*0.72*0.72/4-PI()*0.6*0.6/4)*(C53-AB53)+(1.3*1.3-1.1*1.1)*1.6,IF(X53=800,(PI()*0.72*0.72/4-PI()*0.6*0.6/4)*(C53-AB53)+(1.5*1.5-1.1*1.1)*1.6,IF(X53=1000,(PI()*0.72*0.72/4-PI()*0.6*0.6/4)*(C53-AB53)+(1.94*1.94-1.5*1.5)*2.25,IF(X53=1200,(PI()*0.72*0.72/4-PI()*0.6*0.6/4)*(C53-AB53)+(-1.8*1.8+2.14*2.14)*2.25,IF(X53=1500,(PI()*0.72*0.72/4-PI()*0.6*0.6/4)*(C53-AB53)+(-2.2*2.2+2.44*2.44)*2.65,0))))),0)</f>
        <v>1.2138749355904539</v>
      </c>
      <c r="Z53" s="306">
        <f t="shared" si="29"/>
        <v>4.665265090580843</v>
      </c>
      <c r="AA53" s="306" t="s">
        <v>2295</v>
      </c>
      <c r="AB53" s="305">
        <v>967.12199999999996</v>
      </c>
      <c r="AC53" s="305"/>
      <c r="AD53" s="305"/>
      <c r="AE53" s="308" t="str">
        <f t="shared" si="30"/>
        <v>PV5.1</v>
      </c>
      <c r="AF53" s="309">
        <f t="shared" si="31"/>
        <v>0</v>
      </c>
      <c r="AG53" s="309">
        <f t="shared" si="32"/>
        <v>1</v>
      </c>
      <c r="AH53" s="309">
        <f t="shared" si="33"/>
        <v>0</v>
      </c>
      <c r="AI53" s="309">
        <f t="shared" si="34"/>
        <v>0</v>
      </c>
      <c r="AJ53" s="309">
        <f t="shared" si="35"/>
        <v>0</v>
      </c>
      <c r="AK53" s="309">
        <f t="shared" si="36"/>
        <v>0</v>
      </c>
      <c r="AL53" s="309">
        <f t="shared" si="37"/>
        <v>0</v>
      </c>
      <c r="AM53" s="309">
        <f t="shared" si="38"/>
        <v>0</v>
      </c>
      <c r="AN53" s="309">
        <f t="shared" si="39"/>
        <v>0</v>
      </c>
      <c r="AO53" s="292">
        <f>IFERROR(IF(X53&lt;=600,(1.1*1.1-0.85*0.85)*1.4,IF(X53=800,(1.5*1.5-1.1*1.1)*1.4,0)),0)</f>
        <v>0.68250000000000033</v>
      </c>
      <c r="AP53" s="292"/>
      <c r="AQ53" s="310" t="str">
        <f t="shared" si="40"/>
        <v>ASFALTO</v>
      </c>
    </row>
    <row r="54" spans="2:43" s="271" customFormat="1" x14ac:dyDescent="0.25">
      <c r="B54" s="304" t="s">
        <v>2260</v>
      </c>
      <c r="C54" s="305">
        <v>969.09900000000005</v>
      </c>
      <c r="D54" s="305">
        <v>967.66600000000005</v>
      </c>
      <c r="E54" s="305">
        <v>0</v>
      </c>
      <c r="F54" s="305">
        <v>1.7310000000000001</v>
      </c>
      <c r="G54" s="305">
        <v>0.7</v>
      </c>
      <c r="H54" s="305">
        <v>1.4999999999999999E-2</v>
      </c>
      <c r="I54" s="306">
        <v>17.061</v>
      </c>
      <c r="J54" s="306">
        <v>320.16000000000003</v>
      </c>
      <c r="K54" s="306">
        <v>33.39</v>
      </c>
      <c r="L54" s="306">
        <v>387.96</v>
      </c>
      <c r="M54" s="304">
        <v>800</v>
      </c>
      <c r="N54" s="307"/>
      <c r="O54" s="306">
        <v>4.4400000000000004</v>
      </c>
      <c r="P54" s="306">
        <v>3.52</v>
      </c>
      <c r="Q54" s="306">
        <v>27.11</v>
      </c>
      <c r="R54" s="306">
        <v>2.11</v>
      </c>
      <c r="S54" s="306">
        <v>2.16</v>
      </c>
      <c r="T54" s="305">
        <v>966.98900000000003</v>
      </c>
      <c r="U54" s="305">
        <v>965.50800000000004</v>
      </c>
      <c r="V54" s="306">
        <v>1.5</v>
      </c>
      <c r="W54" s="306" t="s">
        <v>1999</v>
      </c>
      <c r="X54" s="306">
        <v>600</v>
      </c>
      <c r="Y54" s="306"/>
      <c r="Z54" s="306">
        <f t="shared" si="29"/>
        <v>4.153952036653183</v>
      </c>
      <c r="AA54" s="306"/>
      <c r="AB54" s="305"/>
      <c r="AC54" s="305"/>
      <c r="AD54" s="305"/>
      <c r="AE54" s="308" t="str">
        <f t="shared" si="30"/>
        <v>PV6.1</v>
      </c>
      <c r="AF54" s="309">
        <f t="shared" si="31"/>
        <v>0</v>
      </c>
      <c r="AG54" s="309">
        <f t="shared" si="32"/>
        <v>1</v>
      </c>
      <c r="AH54" s="309">
        <f t="shared" si="33"/>
        <v>0</v>
      </c>
      <c r="AI54" s="309">
        <f t="shared" si="34"/>
        <v>0</v>
      </c>
      <c r="AJ54" s="309">
        <f t="shared" si="35"/>
        <v>0</v>
      </c>
      <c r="AK54" s="309">
        <f t="shared" si="36"/>
        <v>0</v>
      </c>
      <c r="AL54" s="309">
        <f t="shared" si="37"/>
        <v>0</v>
      </c>
      <c r="AM54" s="309">
        <f t="shared" si="38"/>
        <v>0</v>
      </c>
      <c r="AN54" s="309">
        <f t="shared" si="39"/>
        <v>0</v>
      </c>
      <c r="AO54" s="292"/>
      <c r="AP54" s="292"/>
      <c r="AQ54" s="310" t="str">
        <f t="shared" si="40"/>
        <v>ASFALTO</v>
      </c>
    </row>
    <row r="55" spans="2:43" s="271" customFormat="1" x14ac:dyDescent="0.25">
      <c r="B55" s="304" t="s">
        <v>2261</v>
      </c>
      <c r="C55" s="305">
        <v>967.66600000000005</v>
      </c>
      <c r="D55" s="305">
        <v>966.34699999999998</v>
      </c>
      <c r="E55" s="305">
        <v>2.9420000000000002</v>
      </c>
      <c r="F55" s="305">
        <v>4.673</v>
      </c>
      <c r="G55" s="305">
        <v>0.7</v>
      </c>
      <c r="H55" s="305">
        <v>1.4999999999999999E-2</v>
      </c>
      <c r="I55" s="306">
        <v>17.219000000000001</v>
      </c>
      <c r="J55" s="306">
        <v>318.58</v>
      </c>
      <c r="K55" s="306">
        <v>41.11</v>
      </c>
      <c r="L55" s="306">
        <v>1042.1600000000001</v>
      </c>
      <c r="M55" s="304">
        <v>1000</v>
      </c>
      <c r="N55" s="307"/>
      <c r="O55" s="306">
        <v>3.1</v>
      </c>
      <c r="P55" s="306">
        <v>4.01</v>
      </c>
      <c r="Q55" s="306">
        <v>36.54</v>
      </c>
      <c r="R55" s="306">
        <v>3.66</v>
      </c>
      <c r="S55" s="306">
        <v>3.61</v>
      </c>
      <c r="T55" s="305">
        <v>964.00800000000004</v>
      </c>
      <c r="U55" s="305">
        <v>962.73500000000001</v>
      </c>
      <c r="V55" s="306">
        <v>0</v>
      </c>
      <c r="W55" s="306" t="s">
        <v>1999</v>
      </c>
      <c r="X55" s="306">
        <v>600</v>
      </c>
      <c r="Y55" s="306">
        <f>IFERROR(IF(X55&lt;=600,(PI()*0.72*0.72/4-PI()*0.6*0.6/4)*(C55-AB55)+(1.3*1.3-1.1*1.1)*1.6,IF(X55=800,(PI()*0.72*0.72/4-PI()*0.6*0.6/4)*(C55-AB55)+(1.5*1.5-1.1*1.1)*1.6,IF(X55=1000,(PI()*0.72*0.72/4-PI()*0.6*0.6/4)*(C55-AB55)+(1.94*1.94-1.5*1.5)*2.25,IF(X55=1200,(PI()*0.72*0.72/4-PI()*0.6*0.6/4)*(C55-AB55)+(-1.8*1.8+2.14*2.14)*2.25,IF(X55=1500,(PI()*0.72*0.72/4-PI()*0.6*0.6/4)*(C55-AB55)+(-2.2*2.2+2.44*2.44)*2.65,0))))),0)</f>
        <v>1.2498285785551955</v>
      </c>
      <c r="Z55" s="306">
        <f t="shared" si="29"/>
        <v>5.1143746099674257</v>
      </c>
      <c r="AA55" s="306" t="s">
        <v>2296</v>
      </c>
      <c r="AB55" s="305">
        <v>963.79300000000001</v>
      </c>
      <c r="AC55" s="305"/>
      <c r="AD55" s="305"/>
      <c r="AE55" s="308" t="str">
        <f t="shared" si="30"/>
        <v>PV7.1</v>
      </c>
      <c r="AF55" s="309">
        <f t="shared" si="31"/>
        <v>0</v>
      </c>
      <c r="AG55" s="309">
        <f t="shared" si="32"/>
        <v>0</v>
      </c>
      <c r="AH55" s="309">
        <f t="shared" si="33"/>
        <v>1</v>
      </c>
      <c r="AI55" s="309">
        <f t="shared" si="34"/>
        <v>0</v>
      </c>
      <c r="AJ55" s="309">
        <f t="shared" si="35"/>
        <v>0</v>
      </c>
      <c r="AK55" s="309">
        <f t="shared" si="36"/>
        <v>0</v>
      </c>
      <c r="AL55" s="309">
        <f t="shared" si="37"/>
        <v>0</v>
      </c>
      <c r="AM55" s="309">
        <f t="shared" si="38"/>
        <v>0</v>
      </c>
      <c r="AN55" s="309">
        <f t="shared" si="39"/>
        <v>0</v>
      </c>
      <c r="AO55" s="292">
        <f>IFERROR(IF(X55&lt;=600,(1.1*1.1-0.85*0.85)*1.4,IF(X55=800,(1.5*1.5-1.1*1.1)*1.4,0)),0)</f>
        <v>0.68250000000000033</v>
      </c>
      <c r="AP55" s="292"/>
      <c r="AQ55" s="310" t="str">
        <f t="shared" si="40"/>
        <v>ASFALTO</v>
      </c>
    </row>
    <row r="56" spans="2:43" s="271" customFormat="1" x14ac:dyDescent="0.25">
      <c r="B56" s="304" t="s">
        <v>2263</v>
      </c>
      <c r="C56" s="305">
        <v>966.34699999999998</v>
      </c>
      <c r="D56" s="305">
        <v>965.12</v>
      </c>
      <c r="E56" s="305">
        <v>0</v>
      </c>
      <c r="F56" s="305">
        <v>4.673</v>
      </c>
      <c r="G56" s="305">
        <v>0.7</v>
      </c>
      <c r="H56" s="305">
        <v>1.4999999999999999E-2</v>
      </c>
      <c r="I56" s="306">
        <v>17.39</v>
      </c>
      <c r="J56" s="306">
        <v>316.88</v>
      </c>
      <c r="K56" s="306">
        <v>36</v>
      </c>
      <c r="L56" s="306">
        <v>1036.6199999999999</v>
      </c>
      <c r="M56" s="304">
        <v>1000</v>
      </c>
      <c r="N56" s="307"/>
      <c r="O56" s="306">
        <v>3.1</v>
      </c>
      <c r="P56" s="306">
        <v>4.01</v>
      </c>
      <c r="Q56" s="306">
        <v>36.43</v>
      </c>
      <c r="R56" s="306">
        <v>3.61</v>
      </c>
      <c r="S56" s="306">
        <v>3.5</v>
      </c>
      <c r="T56" s="305">
        <v>962.73500000000001</v>
      </c>
      <c r="U56" s="305">
        <v>961.62</v>
      </c>
      <c r="V56" s="306">
        <v>0</v>
      </c>
      <c r="W56" s="306" t="s">
        <v>1999</v>
      </c>
      <c r="X56" s="306">
        <v>600</v>
      </c>
      <c r="Y56" s="306"/>
      <c r="Z56" s="306">
        <f t="shared" si="29"/>
        <v>4.478654486957609</v>
      </c>
      <c r="AA56" s="306"/>
      <c r="AB56" s="305"/>
      <c r="AC56" s="305"/>
      <c r="AD56" s="305"/>
      <c r="AE56" s="308" t="str">
        <f t="shared" si="30"/>
        <v>PV8.1</v>
      </c>
      <c r="AF56" s="309">
        <f t="shared" si="31"/>
        <v>0</v>
      </c>
      <c r="AG56" s="309">
        <f t="shared" si="32"/>
        <v>0</v>
      </c>
      <c r="AH56" s="309">
        <f t="shared" si="33"/>
        <v>1</v>
      </c>
      <c r="AI56" s="309">
        <f t="shared" si="34"/>
        <v>0</v>
      </c>
      <c r="AJ56" s="309">
        <f t="shared" si="35"/>
        <v>0</v>
      </c>
      <c r="AK56" s="309">
        <f t="shared" si="36"/>
        <v>0</v>
      </c>
      <c r="AL56" s="309">
        <f t="shared" si="37"/>
        <v>0</v>
      </c>
      <c r="AM56" s="309">
        <f t="shared" si="38"/>
        <v>0</v>
      </c>
      <c r="AN56" s="309">
        <f t="shared" si="39"/>
        <v>0</v>
      </c>
      <c r="AO56" s="292"/>
      <c r="AP56" s="292"/>
      <c r="AQ56" s="310" t="str">
        <f t="shared" si="40"/>
        <v>ASFALTO</v>
      </c>
    </row>
    <row r="57" spans="2:43" s="271" customFormat="1" x14ac:dyDescent="0.25">
      <c r="B57" s="304" t="s">
        <v>2264</v>
      </c>
      <c r="C57" s="305">
        <v>965.12</v>
      </c>
      <c r="D57" s="305">
        <v>964.16099999999994</v>
      </c>
      <c r="E57" s="305">
        <v>2.9119999999999999</v>
      </c>
      <c r="F57" s="305">
        <v>7.5860000000000003</v>
      </c>
      <c r="G57" s="305">
        <v>0.7</v>
      </c>
      <c r="H57" s="305">
        <v>1.4999999999999999E-2</v>
      </c>
      <c r="I57" s="306">
        <v>17.54</v>
      </c>
      <c r="J57" s="306">
        <v>315.41000000000003</v>
      </c>
      <c r="K57" s="306">
        <v>37.979999999999997</v>
      </c>
      <c r="L57" s="306">
        <v>1674.81</v>
      </c>
      <c r="M57" s="304">
        <v>1000</v>
      </c>
      <c r="N57" s="307"/>
      <c r="O57" s="306">
        <v>0.92</v>
      </c>
      <c r="P57" s="306">
        <v>2.84</v>
      </c>
      <c r="Q57" s="306">
        <v>70.23</v>
      </c>
      <c r="R57" s="306">
        <v>3.5</v>
      </c>
      <c r="S57" s="306">
        <v>2.89</v>
      </c>
      <c r="T57" s="305">
        <v>961.62</v>
      </c>
      <c r="U57" s="305">
        <v>961.27099999999996</v>
      </c>
      <c r="V57" s="306">
        <v>0</v>
      </c>
      <c r="W57" s="306" t="s">
        <v>1999</v>
      </c>
      <c r="X57" s="306">
        <v>800</v>
      </c>
      <c r="Y57" s="306">
        <f>IFERROR(IF(X57&lt;=600,(PI()*0.72*0.72/4-PI()*0.6*0.6/4)*(C57-AB57)+(1.3*1.3-1.1*1.1)*1.6,IF(X57=800,(PI()*0.72*0.72/4-PI()*0.6*0.6/4)*(C57-AB57)+(1.5*1.5-1.1*1.1)*1.6,IF(X57=1000,(PI()*0.72*0.72/4-PI()*0.6*0.6/4)*(C57-AB57)+(1.94*1.94-1.5*1.5)*2.25,IF(X57=1200,(PI()*0.72*0.72/4-PI()*0.6*0.6/4)*(C57-AB57)+(-1.8*1.8+2.14*2.14)*2.25,IF(X57=1500,(PI()*0.72*0.72/4-PI()*0.6*0.6/4)*(C57-AB57)+(-2.2*2.2+2.44*2.44)*2.65,0))))),0)</f>
        <v>2.0530209050198951</v>
      </c>
      <c r="Z57" s="306">
        <f t="shared" si="29"/>
        <v>8.3999653044271607</v>
      </c>
      <c r="AA57" s="306" t="s">
        <v>2297</v>
      </c>
      <c r="AB57" s="305">
        <v>961.99300000000005</v>
      </c>
      <c r="AC57" s="305"/>
      <c r="AD57" s="305"/>
      <c r="AE57" s="308" t="str">
        <f t="shared" si="30"/>
        <v>PV9.1</v>
      </c>
      <c r="AF57" s="309">
        <f t="shared" si="31"/>
        <v>0</v>
      </c>
      <c r="AG57" s="309">
        <f t="shared" si="32"/>
        <v>0</v>
      </c>
      <c r="AH57" s="309">
        <f t="shared" si="33"/>
        <v>1</v>
      </c>
      <c r="AI57" s="309">
        <f t="shared" si="34"/>
        <v>0</v>
      </c>
      <c r="AJ57" s="309">
        <f t="shared" si="35"/>
        <v>0</v>
      </c>
      <c r="AK57" s="309">
        <f t="shared" si="36"/>
        <v>0</v>
      </c>
      <c r="AL57" s="309">
        <f t="shared" si="37"/>
        <v>0</v>
      </c>
      <c r="AM57" s="309">
        <f t="shared" si="38"/>
        <v>0</v>
      </c>
      <c r="AN57" s="309">
        <f t="shared" si="39"/>
        <v>0</v>
      </c>
      <c r="AO57" s="292">
        <f>IFERROR(IF(X57&lt;=600,(1.1*1.1-0.85*0.85)*1.4,IF(X57=800,(1.5*1.5-1.1*1.1)*1.4,0)),0)</f>
        <v>1.4559999999999997</v>
      </c>
      <c r="AP57" s="292"/>
      <c r="AQ57" s="310" t="str">
        <f t="shared" si="40"/>
        <v>ASFALTO</v>
      </c>
    </row>
    <row r="58" spans="2:43" s="271" customFormat="1" x14ac:dyDescent="0.25">
      <c r="B58" s="304" t="s">
        <v>2266</v>
      </c>
      <c r="C58" s="305">
        <v>964.16099999999994</v>
      </c>
      <c r="D58" s="305">
        <v>963.44</v>
      </c>
      <c r="E58" s="305">
        <v>0</v>
      </c>
      <c r="F58" s="305">
        <v>7.5860000000000003</v>
      </c>
      <c r="G58" s="305">
        <v>0.7</v>
      </c>
      <c r="H58" s="305">
        <v>1.4999999999999999E-2</v>
      </c>
      <c r="I58" s="306">
        <v>17.762</v>
      </c>
      <c r="J58" s="306">
        <v>313.25</v>
      </c>
      <c r="K58" s="306">
        <v>36.020000000000003</v>
      </c>
      <c r="L58" s="306">
        <v>1663.34</v>
      </c>
      <c r="M58" s="304">
        <v>1000</v>
      </c>
      <c r="N58" s="307"/>
      <c r="O58" s="306">
        <v>0.92</v>
      </c>
      <c r="P58" s="306">
        <v>2.84</v>
      </c>
      <c r="Q58" s="306">
        <v>69.86</v>
      </c>
      <c r="R58" s="306">
        <v>2.89</v>
      </c>
      <c r="S58" s="306">
        <v>2.5</v>
      </c>
      <c r="T58" s="305">
        <v>961.27099999999996</v>
      </c>
      <c r="U58" s="305">
        <v>960.94</v>
      </c>
      <c r="V58" s="306">
        <v>1</v>
      </c>
      <c r="W58" s="306" t="s">
        <v>1999</v>
      </c>
      <c r="X58" s="306">
        <v>800</v>
      </c>
      <c r="Y58" s="306"/>
      <c r="Z58" s="306">
        <f t="shared" si="29"/>
        <v>7.9664757837142277</v>
      </c>
      <c r="AA58" s="306"/>
      <c r="AB58" s="305"/>
      <c r="AC58" s="305"/>
      <c r="AD58" s="305"/>
      <c r="AE58" s="308" t="str">
        <f t="shared" si="30"/>
        <v>PV10.1</v>
      </c>
      <c r="AF58" s="309">
        <f t="shared" si="31"/>
        <v>0</v>
      </c>
      <c r="AG58" s="309">
        <f t="shared" si="32"/>
        <v>0</v>
      </c>
      <c r="AH58" s="309">
        <f t="shared" si="33"/>
        <v>1</v>
      </c>
      <c r="AI58" s="309">
        <f t="shared" si="34"/>
        <v>0</v>
      </c>
      <c r="AJ58" s="309">
        <f t="shared" si="35"/>
        <v>0</v>
      </c>
      <c r="AK58" s="309">
        <f t="shared" si="36"/>
        <v>0</v>
      </c>
      <c r="AL58" s="309">
        <f t="shared" si="37"/>
        <v>0</v>
      </c>
      <c r="AM58" s="309">
        <f t="shared" si="38"/>
        <v>0</v>
      </c>
      <c r="AN58" s="309">
        <f t="shared" si="39"/>
        <v>0</v>
      </c>
      <c r="AO58" s="292"/>
      <c r="AP58" s="292"/>
      <c r="AQ58" s="310" t="str">
        <f t="shared" si="40"/>
        <v>ASFALTO</v>
      </c>
    </row>
    <row r="59" spans="2:43" s="271" customFormat="1" x14ac:dyDescent="0.25">
      <c r="B59" s="304" t="s">
        <v>2267</v>
      </c>
      <c r="C59" s="305">
        <v>963.44</v>
      </c>
      <c r="D59" s="305">
        <v>963</v>
      </c>
      <c r="E59" s="305">
        <v>1.2569999999999999</v>
      </c>
      <c r="F59" s="305">
        <v>8.8420000000000005</v>
      </c>
      <c r="G59" s="305">
        <v>0.7</v>
      </c>
      <c r="H59" s="305">
        <v>1.4999999999999999E-2</v>
      </c>
      <c r="I59" s="306">
        <v>17.974</v>
      </c>
      <c r="J59" s="306">
        <v>311.23</v>
      </c>
      <c r="K59" s="306">
        <v>38</v>
      </c>
      <c r="L59" s="306">
        <v>1926.35</v>
      </c>
      <c r="M59" s="304">
        <v>1000</v>
      </c>
      <c r="N59" s="307"/>
      <c r="O59" s="306">
        <v>1.27</v>
      </c>
      <c r="P59" s="306">
        <v>3.33</v>
      </c>
      <c r="Q59" s="306">
        <v>69.13</v>
      </c>
      <c r="R59" s="306">
        <v>3.5</v>
      </c>
      <c r="S59" s="306">
        <v>3.54</v>
      </c>
      <c r="T59" s="305">
        <v>959.94</v>
      </c>
      <c r="U59" s="305">
        <v>959.45899999999995</v>
      </c>
      <c r="V59" s="306">
        <v>0</v>
      </c>
      <c r="W59" s="306" t="s">
        <v>1999</v>
      </c>
      <c r="X59" s="306">
        <v>800</v>
      </c>
      <c r="Y59" s="306">
        <f>IFERROR(IF(X59&lt;=600,(PI()*0.72*0.72/4-PI()*0.6*0.6/4)*(C59-AB59)+(1.3*1.3-1.1*1.1)*1.6,IF(X59=800,(PI()*0.72*0.72/4-PI()*0.6*0.6/4)*(C59-AB59)+(1.5*1.5-1.1*1.1)*1.6,IF(X59=1000,(PI()*0.72*0.72/4-PI()*0.6*0.6/4)*(C59-AB59)+(1.94*1.94-1.5*1.5)*2.25,IF(X59=1200,(PI()*0.72*0.72/4-PI()*0.6*0.6/4)*(C59-AB59)+(-1.8*1.8+2.14*2.14)*2.25,IF(X59=1500,(PI()*0.72*0.72/4-PI()*0.6*0.6/4)*(C59-AB59)+(-2.2*2.2+2.44*2.44)*2.65,0))))),0)</f>
        <v>1.9913149987551624</v>
      </c>
      <c r="Z59" s="306">
        <f t="shared" si="29"/>
        <v>8.4043886668834151</v>
      </c>
      <c r="AA59" s="306" t="s">
        <v>2298</v>
      </c>
      <c r="AB59" s="305">
        <v>960.80899999999997</v>
      </c>
      <c r="AC59" s="305"/>
      <c r="AD59" s="305"/>
      <c r="AE59" s="308" t="str">
        <f t="shared" si="30"/>
        <v>PV11.1</v>
      </c>
      <c r="AF59" s="309">
        <f t="shared" si="31"/>
        <v>0</v>
      </c>
      <c r="AG59" s="309">
        <f t="shared" si="32"/>
        <v>0</v>
      </c>
      <c r="AH59" s="309">
        <f t="shared" si="33"/>
        <v>1</v>
      </c>
      <c r="AI59" s="309">
        <f t="shared" si="34"/>
        <v>0</v>
      </c>
      <c r="AJ59" s="309">
        <f t="shared" si="35"/>
        <v>0</v>
      </c>
      <c r="AK59" s="309">
        <f t="shared" si="36"/>
        <v>0</v>
      </c>
      <c r="AL59" s="309">
        <f t="shared" si="37"/>
        <v>0</v>
      </c>
      <c r="AM59" s="309">
        <f t="shared" si="38"/>
        <v>0</v>
      </c>
      <c r="AN59" s="309">
        <f t="shared" si="39"/>
        <v>0</v>
      </c>
      <c r="AO59" s="292">
        <f>IFERROR(IF(X59&lt;=600,(1.1*1.1-0.85*0.85)*1.4,IF(X59=800,(1.5*1.5-1.1*1.1)*1.4,0)),0)</f>
        <v>1.4559999999999997</v>
      </c>
      <c r="AP59" s="292"/>
      <c r="AQ59" s="310" t="str">
        <f t="shared" si="40"/>
        <v>ASFALTO</v>
      </c>
    </row>
    <row r="60" spans="2:43" s="271" customFormat="1" x14ac:dyDescent="0.25">
      <c r="B60" s="304" t="s">
        <v>2269</v>
      </c>
      <c r="C60" s="305">
        <v>963</v>
      </c>
      <c r="D60" s="305">
        <v>962.54100000000005</v>
      </c>
      <c r="E60" s="305">
        <v>0</v>
      </c>
      <c r="F60" s="305">
        <v>8.8420000000000005</v>
      </c>
      <c r="G60" s="305">
        <v>0.7</v>
      </c>
      <c r="H60" s="305">
        <v>1.4999999999999999E-2</v>
      </c>
      <c r="I60" s="306">
        <v>18.164000000000001</v>
      </c>
      <c r="J60" s="306">
        <v>309.43</v>
      </c>
      <c r="K60" s="306">
        <v>33</v>
      </c>
      <c r="L60" s="306">
        <v>1915.23</v>
      </c>
      <c r="M60" s="304">
        <v>1000</v>
      </c>
      <c r="N60" s="307"/>
      <c r="O60" s="306">
        <v>1.27</v>
      </c>
      <c r="P60" s="306">
        <v>3.32</v>
      </c>
      <c r="Q60" s="306">
        <v>68.83</v>
      </c>
      <c r="R60" s="306">
        <v>3.54</v>
      </c>
      <c r="S60" s="306">
        <v>3.5</v>
      </c>
      <c r="T60" s="305">
        <v>959.45899999999995</v>
      </c>
      <c r="U60" s="305">
        <v>959.04100000000005</v>
      </c>
      <c r="V60" s="306">
        <v>0</v>
      </c>
      <c r="W60" s="306" t="s">
        <v>1999</v>
      </c>
      <c r="X60" s="306">
        <v>800</v>
      </c>
      <c r="Y60" s="306"/>
      <c r="Z60" s="306">
        <f t="shared" si="29"/>
        <v>7.2985480528198083</v>
      </c>
      <c r="AA60" s="306"/>
      <c r="AB60" s="305"/>
      <c r="AC60" s="305"/>
      <c r="AD60" s="305"/>
      <c r="AE60" s="308" t="str">
        <f t="shared" si="30"/>
        <v>PV12.1</v>
      </c>
      <c r="AF60" s="309">
        <f t="shared" si="31"/>
        <v>0</v>
      </c>
      <c r="AG60" s="309">
        <f t="shared" si="32"/>
        <v>0</v>
      </c>
      <c r="AH60" s="309">
        <f t="shared" si="33"/>
        <v>1</v>
      </c>
      <c r="AI60" s="309">
        <f t="shared" si="34"/>
        <v>0</v>
      </c>
      <c r="AJ60" s="309">
        <f t="shared" si="35"/>
        <v>0</v>
      </c>
      <c r="AK60" s="309">
        <f t="shared" si="36"/>
        <v>0</v>
      </c>
      <c r="AL60" s="309">
        <f t="shared" si="37"/>
        <v>0</v>
      </c>
      <c r="AM60" s="309">
        <f t="shared" si="38"/>
        <v>0</v>
      </c>
      <c r="AN60" s="309">
        <f t="shared" si="39"/>
        <v>0</v>
      </c>
      <c r="AO60" s="292"/>
      <c r="AP60" s="292"/>
      <c r="AQ60" s="310" t="str">
        <f t="shared" si="40"/>
        <v>ASFALTO</v>
      </c>
    </row>
    <row r="61" spans="2:43" s="271" customFormat="1" x14ac:dyDescent="0.25">
      <c r="B61" s="304" t="s">
        <v>2271</v>
      </c>
      <c r="C61" s="305">
        <v>962.54100000000005</v>
      </c>
      <c r="D61" s="305">
        <v>961.46199999999999</v>
      </c>
      <c r="E61" s="305">
        <v>0.61699999999999999</v>
      </c>
      <c r="F61" s="305">
        <v>9.4589999999999996</v>
      </c>
      <c r="G61" s="305">
        <v>0.7</v>
      </c>
      <c r="H61" s="305">
        <v>1.4999999999999999E-2</v>
      </c>
      <c r="I61" s="306">
        <v>18.329999999999998</v>
      </c>
      <c r="J61" s="306">
        <v>307.89</v>
      </c>
      <c r="K61" s="306">
        <v>51</v>
      </c>
      <c r="L61" s="306">
        <v>2038.57</v>
      </c>
      <c r="M61" s="304">
        <v>1000</v>
      </c>
      <c r="N61" s="307"/>
      <c r="O61" s="306">
        <v>1.33</v>
      </c>
      <c r="P61" s="306">
        <v>3.43</v>
      </c>
      <c r="Q61" s="306">
        <v>70.87</v>
      </c>
      <c r="R61" s="306">
        <v>3.5</v>
      </c>
      <c r="S61" s="306">
        <v>3.1</v>
      </c>
      <c r="T61" s="305">
        <v>959.04100000000005</v>
      </c>
      <c r="U61" s="305">
        <v>958.36199999999997</v>
      </c>
      <c r="V61" s="306">
        <v>0</v>
      </c>
      <c r="W61" s="306" t="s">
        <v>1999</v>
      </c>
      <c r="X61" s="306">
        <v>800</v>
      </c>
      <c r="Y61" s="306">
        <f>IFERROR(IF(X61&lt;=600,(PI()*0.72*0.72/4-PI()*0.6*0.6/4)*(C61-AB61)+(1.3*1.3-1.1*1.1)*1.6,IF(X61=800,(PI()*0.72*0.72/4-PI()*0.6*0.6/4)*(C61-AB61)+(1.5*1.5-1.1*1.1)*1.6,IF(X61=1000,(PI()*0.72*0.72/4-PI()*0.6*0.6/4)*(C61-AB61)+(1.94*1.94-1.5*1.5)*2.25,IF(X61=1200,(PI()*0.72*0.72/4-PI()*0.6*0.6/4)*(C61-AB61)+(-1.8*1.8+2.14*2.14)*2.25,IF(X61=1500,(PI()*0.72*0.72/4-PI()*0.6*0.6/4)*(C61-AB61)+(-2.2*2.2+2.44*2.44)*2.65,0))))),0)</f>
        <v>2.0476714010493757</v>
      </c>
      <c r="Z61" s="306">
        <f t="shared" si="29"/>
        <v>11.279574263448795</v>
      </c>
      <c r="AA61" s="306" t="s">
        <v>2299</v>
      </c>
      <c r="AB61" s="305">
        <v>959.45699999999999</v>
      </c>
      <c r="AC61" s="305"/>
      <c r="AD61" s="305"/>
      <c r="AE61" s="308" t="str">
        <f t="shared" si="30"/>
        <v>PV13.1</v>
      </c>
      <c r="AF61" s="309">
        <f t="shared" si="31"/>
        <v>0</v>
      </c>
      <c r="AG61" s="309">
        <f t="shared" si="32"/>
        <v>0</v>
      </c>
      <c r="AH61" s="309">
        <f t="shared" si="33"/>
        <v>1</v>
      </c>
      <c r="AI61" s="309">
        <f t="shared" si="34"/>
        <v>0</v>
      </c>
      <c r="AJ61" s="309">
        <f t="shared" si="35"/>
        <v>0</v>
      </c>
      <c r="AK61" s="309">
        <f t="shared" si="36"/>
        <v>0</v>
      </c>
      <c r="AL61" s="309">
        <f t="shared" si="37"/>
        <v>0</v>
      </c>
      <c r="AM61" s="309">
        <f t="shared" si="38"/>
        <v>0</v>
      </c>
      <c r="AN61" s="309">
        <f t="shared" si="39"/>
        <v>0</v>
      </c>
      <c r="AO61" s="292">
        <f>IFERROR(IF(X61&lt;=600,(1.1*1.1-0.85*0.85)*1.4,IF(X61=800,(1.5*1.5-1.1*1.1)*1.4,0)),0)</f>
        <v>1.4559999999999997</v>
      </c>
      <c r="AP61" s="292"/>
      <c r="AQ61" s="310" t="str">
        <f t="shared" si="40"/>
        <v>ASFALTO</v>
      </c>
    </row>
    <row r="62" spans="2:43" s="271" customFormat="1" x14ac:dyDescent="0.25">
      <c r="B62" s="304" t="s">
        <v>2272</v>
      </c>
      <c r="C62" s="305">
        <v>961.46199999999999</v>
      </c>
      <c r="D62" s="305">
        <v>960.68600000000004</v>
      </c>
      <c r="E62" s="305">
        <v>1.603</v>
      </c>
      <c r="F62" s="305">
        <v>11.061999999999999</v>
      </c>
      <c r="G62" s="305">
        <v>0.7</v>
      </c>
      <c r="H62" s="305">
        <v>1.4999999999999999E-2</v>
      </c>
      <c r="I62" s="306">
        <v>18.577999999999999</v>
      </c>
      <c r="J62" s="306">
        <v>305.61</v>
      </c>
      <c r="K62" s="306">
        <v>28</v>
      </c>
      <c r="L62" s="306">
        <v>2366.33</v>
      </c>
      <c r="M62" s="304">
        <v>1000</v>
      </c>
      <c r="N62" s="307"/>
      <c r="O62" s="306">
        <v>1.7</v>
      </c>
      <c r="P62" s="306">
        <v>3.89</v>
      </c>
      <c r="Q62" s="306">
        <v>72.33</v>
      </c>
      <c r="R62" s="306">
        <v>3.1</v>
      </c>
      <c r="S62" s="306">
        <v>2.8</v>
      </c>
      <c r="T62" s="305">
        <v>958.36199999999997</v>
      </c>
      <c r="U62" s="305">
        <v>957.88599999999997</v>
      </c>
      <c r="V62" s="306">
        <v>0</v>
      </c>
      <c r="W62" s="306" t="s">
        <v>1999</v>
      </c>
      <c r="X62" s="306">
        <v>800</v>
      </c>
      <c r="Y62" s="306">
        <f>IFERROR(IF(X62&lt;=600,(PI()*0.72*0.72/4-PI()*0.6*0.6/4)*(C62-AB62)+(1.3*1.3-1.1*1.1)*1.6,IF(X62=800,(PI()*0.72*0.72/4-PI()*0.6*0.6/4)*(C62-AB62)+(1.5*1.5-1.1*1.1)*1.6,IF(X62=1000,(PI()*0.72*0.72/4-PI()*0.6*0.6/4)*(C62-AB62)+(1.94*1.94-1.5*1.5)*2.25,IF(X62=1200,(PI()*0.72*0.72/4-PI()*0.6*0.6/4)*(C62-AB62)+(-1.8*1.8+2.14*2.14)*2.25,IF(X62=1500,(PI()*0.72*0.72/4-PI()*0.6*0.6/4)*(C62-AB62)+(-2.2*2.2+2.44*2.44)*2.65,0))))),0)</f>
        <v>2.0261489780981483</v>
      </c>
      <c r="Z62" s="306">
        <f t="shared" si="29"/>
        <v>6.1927074387562016</v>
      </c>
      <c r="AA62" s="306" t="s">
        <v>2300</v>
      </c>
      <c r="AB62" s="305">
        <v>958.55100000000004</v>
      </c>
      <c r="AC62" s="305"/>
      <c r="AD62" s="305"/>
      <c r="AE62" s="308" t="str">
        <f t="shared" si="30"/>
        <v>PV14.1</v>
      </c>
      <c r="AF62" s="309">
        <f t="shared" si="31"/>
        <v>0</v>
      </c>
      <c r="AG62" s="309">
        <f t="shared" si="32"/>
        <v>0</v>
      </c>
      <c r="AH62" s="309">
        <f t="shared" si="33"/>
        <v>1</v>
      </c>
      <c r="AI62" s="309">
        <f t="shared" si="34"/>
        <v>0</v>
      </c>
      <c r="AJ62" s="309">
        <f t="shared" si="35"/>
        <v>0</v>
      </c>
      <c r="AK62" s="309">
        <f t="shared" si="36"/>
        <v>0</v>
      </c>
      <c r="AL62" s="309">
        <f t="shared" si="37"/>
        <v>0</v>
      </c>
      <c r="AM62" s="309">
        <f t="shared" si="38"/>
        <v>0</v>
      </c>
      <c r="AN62" s="309">
        <f t="shared" si="39"/>
        <v>0</v>
      </c>
      <c r="AO62" s="292">
        <f>IFERROR(IF(X62&lt;=600,(1.1*1.1-0.85*0.85)*1.4,IF(X62=800,(1.5*1.5-1.1*1.1)*1.4,0)),0)</f>
        <v>1.4559999999999997</v>
      </c>
      <c r="AP62" s="292"/>
      <c r="AQ62" s="310" t="str">
        <f t="shared" si="40"/>
        <v>ASFALTO</v>
      </c>
    </row>
    <row r="63" spans="2:43" s="271" customFormat="1" x14ac:dyDescent="0.25">
      <c r="B63" s="304" t="s">
        <v>2274</v>
      </c>
      <c r="C63" s="305">
        <v>960.68600000000004</v>
      </c>
      <c r="D63" s="305">
        <v>959.97</v>
      </c>
      <c r="E63" s="305">
        <v>0.18</v>
      </c>
      <c r="F63" s="305">
        <v>11.242000000000001</v>
      </c>
      <c r="G63" s="305">
        <v>0.7</v>
      </c>
      <c r="H63" s="305">
        <v>1.4999999999999999E-2</v>
      </c>
      <c r="I63" s="306">
        <v>18.698</v>
      </c>
      <c r="J63" s="306">
        <v>304.51</v>
      </c>
      <c r="K63" s="306">
        <v>25</v>
      </c>
      <c r="L63" s="306">
        <v>2396.3000000000002</v>
      </c>
      <c r="M63" s="304">
        <v>1000</v>
      </c>
      <c r="N63" s="307"/>
      <c r="O63" s="306">
        <v>1.66</v>
      </c>
      <c r="P63" s="306">
        <v>3.86</v>
      </c>
      <c r="Q63" s="306">
        <v>73.790000000000006</v>
      </c>
      <c r="R63" s="306">
        <v>2.8</v>
      </c>
      <c r="S63" s="306">
        <v>2.5</v>
      </c>
      <c r="T63" s="305">
        <v>957.88599999999997</v>
      </c>
      <c r="U63" s="305">
        <v>957.47</v>
      </c>
      <c r="V63" s="306">
        <v>0</v>
      </c>
      <c r="W63" s="306" t="s">
        <v>1999</v>
      </c>
      <c r="X63" s="306">
        <v>800</v>
      </c>
      <c r="Y63" s="306">
        <f>IFERROR(IF(X63&lt;=600,(PI()*0.72*0.72/4-PI()*0.6*0.6/4)*(C63-AB63)+(1.3*1.3-1.1*1.1)*1.6,IF(X63=800,(PI()*0.72*0.72/4-PI()*0.6*0.6/4)*(C63-AB63)+(1.5*1.5-1.1*1.1)*1.6,IF(X63=1000,(PI()*0.72*0.72/4-PI()*0.6*0.6/4)*(C63-AB63)+(1.94*1.94-1.5*1.5)*2.25,IF(X63=1200,(PI()*0.72*0.72/4-PI()*0.6*0.6/4)*(C63-AB63)+(-1.8*1.8+2.14*2.14)*2.25,IF(X63=1500,(PI()*0.72*0.72/4-PI()*0.6*0.6/4)*(C63-AB63)+(-2.2*2.2+2.44*2.44)*2.65,0))))),0)</f>
        <v>2.0241584649928384</v>
      </c>
      <c r="Z63" s="306">
        <f t="shared" si="29"/>
        <v>5.5292030703180366</v>
      </c>
      <c r="AA63" s="306" t="s">
        <v>2301</v>
      </c>
      <c r="AB63" s="305">
        <v>957.79100000000005</v>
      </c>
      <c r="AC63" s="305"/>
      <c r="AD63" s="305"/>
      <c r="AE63" s="308" t="str">
        <f t="shared" si="30"/>
        <v>PV15.1</v>
      </c>
      <c r="AF63" s="309">
        <f t="shared" si="31"/>
        <v>0</v>
      </c>
      <c r="AG63" s="309">
        <f t="shared" si="32"/>
        <v>0</v>
      </c>
      <c r="AH63" s="309">
        <f t="shared" si="33"/>
        <v>1</v>
      </c>
      <c r="AI63" s="309">
        <f t="shared" si="34"/>
        <v>0</v>
      </c>
      <c r="AJ63" s="309">
        <f t="shared" si="35"/>
        <v>0</v>
      </c>
      <c r="AK63" s="309">
        <f t="shared" si="36"/>
        <v>0</v>
      </c>
      <c r="AL63" s="309">
        <f t="shared" si="37"/>
        <v>0</v>
      </c>
      <c r="AM63" s="309">
        <f t="shared" si="38"/>
        <v>0</v>
      </c>
      <c r="AN63" s="309">
        <f t="shared" si="39"/>
        <v>0</v>
      </c>
      <c r="AO63" s="292">
        <f>IFERROR(IF(X63&lt;=600,(1.1*1.1-0.85*0.85)*1.4,IF(X63=800,(1.5*1.5-1.1*1.1)*1.4,0)),0)</f>
        <v>1.4559999999999997</v>
      </c>
      <c r="AP63" s="292"/>
      <c r="AQ63" s="310" t="str">
        <f t="shared" si="40"/>
        <v>ASFALTO</v>
      </c>
    </row>
    <row r="64" spans="2:43" s="271" customFormat="1" x14ac:dyDescent="0.25">
      <c r="B64" s="304" t="s">
        <v>2275</v>
      </c>
      <c r="C64" s="305">
        <v>959.97</v>
      </c>
      <c r="D64" s="305">
        <v>958.31399999999996</v>
      </c>
      <c r="E64" s="305">
        <v>0.26600000000000001</v>
      </c>
      <c r="F64" s="305">
        <v>11.507999999999999</v>
      </c>
      <c r="G64" s="305">
        <v>0.7</v>
      </c>
      <c r="H64" s="305">
        <v>1.4999999999999999E-2</v>
      </c>
      <c r="I64" s="306">
        <v>18.806000000000001</v>
      </c>
      <c r="J64" s="306">
        <v>303.54000000000002</v>
      </c>
      <c r="K64" s="306">
        <v>49.33</v>
      </c>
      <c r="L64" s="306">
        <v>2445.12</v>
      </c>
      <c r="M64" s="304">
        <v>1000</v>
      </c>
      <c r="N64" s="307"/>
      <c r="O64" s="306">
        <v>2.5499999999999998</v>
      </c>
      <c r="P64" s="306">
        <v>4.62</v>
      </c>
      <c r="Q64" s="306">
        <v>63.85</v>
      </c>
      <c r="R64" s="306">
        <v>2.5</v>
      </c>
      <c r="S64" s="306">
        <v>2.1</v>
      </c>
      <c r="T64" s="305">
        <v>957.47</v>
      </c>
      <c r="U64" s="305">
        <v>956.21400000000006</v>
      </c>
      <c r="V64" s="306">
        <v>0</v>
      </c>
      <c r="W64" s="306" t="s">
        <v>1999</v>
      </c>
      <c r="X64" s="306">
        <v>800</v>
      </c>
      <c r="Y64" s="306">
        <f>IFERROR(IF(X64&lt;=600,(PI()*0.72*0.72/4-PI()*0.6*0.6/4)*(C64-AB64)+(1.3*1.3-1.1*1.1)*1.6,IF(X64=800,(PI()*0.72*0.72/4-PI()*0.6*0.6/4)*(C64-AB64)+(1.5*1.5-1.1*1.1)*1.6,IF(X64=1000,(PI()*0.72*0.72/4-PI()*0.6*0.6/4)*(C64-AB64)+(1.94*1.94-1.5*1.5)*2.25,IF(X64=1200,(PI()*0.72*0.72/4-PI()*0.6*0.6/4)*(C64-AB64)+(-1.8*1.8+2.14*2.14)*2.25,IF(X64=1500,(PI()*0.72*0.72/4-PI()*0.6*0.6/4)*(C64-AB64)+(-2.2*2.2+2.44*2.44)*2.65,0))))),0)</f>
        <v>2.0546381969179675</v>
      </c>
      <c r="Z64" s="306">
        <f t="shared" si="29"/>
        <v>10.91022349835155</v>
      </c>
      <c r="AA64" s="306" t="s">
        <v>2302</v>
      </c>
      <c r="AB64" s="305">
        <v>956.83</v>
      </c>
      <c r="AC64" s="305"/>
      <c r="AD64" s="305"/>
      <c r="AE64" s="308" t="str">
        <f t="shared" si="30"/>
        <v>PV16.1</v>
      </c>
      <c r="AF64" s="309">
        <f t="shared" si="31"/>
        <v>0</v>
      </c>
      <c r="AG64" s="309">
        <f t="shared" si="32"/>
        <v>0</v>
      </c>
      <c r="AH64" s="309">
        <f t="shared" si="33"/>
        <v>1</v>
      </c>
      <c r="AI64" s="309">
        <f t="shared" si="34"/>
        <v>0</v>
      </c>
      <c r="AJ64" s="309">
        <f t="shared" si="35"/>
        <v>0</v>
      </c>
      <c r="AK64" s="309">
        <f t="shared" si="36"/>
        <v>0</v>
      </c>
      <c r="AL64" s="309">
        <f t="shared" si="37"/>
        <v>0</v>
      </c>
      <c r="AM64" s="309">
        <f t="shared" si="38"/>
        <v>0</v>
      </c>
      <c r="AN64" s="309">
        <f t="shared" si="39"/>
        <v>0</v>
      </c>
      <c r="AO64" s="292">
        <f>IFERROR(IF(X64&lt;=600,(1.1*1.1-0.85*0.85)*1.4,IF(X64=800,(1.5*1.5-1.1*1.1)*1.4,0)),0)</f>
        <v>1.4559999999999997</v>
      </c>
      <c r="AP64" s="292"/>
      <c r="AQ64" s="310" t="str">
        <f t="shared" si="40"/>
        <v>ASFALTO</v>
      </c>
    </row>
    <row r="65" spans="2:43" s="271" customFormat="1" x14ac:dyDescent="0.25">
      <c r="B65" s="304" t="s">
        <v>2277</v>
      </c>
      <c r="C65" s="305">
        <v>958.31399999999996</v>
      </c>
      <c r="D65" s="305">
        <v>957.05399999999997</v>
      </c>
      <c r="E65" s="305">
        <v>0.20699999999999999</v>
      </c>
      <c r="F65" s="305">
        <v>11.715</v>
      </c>
      <c r="G65" s="305">
        <v>0.7</v>
      </c>
      <c r="H65" s="305">
        <v>1.4999999999999999E-2</v>
      </c>
      <c r="I65" s="306">
        <v>18.984000000000002</v>
      </c>
      <c r="J65" s="306">
        <v>301.94</v>
      </c>
      <c r="K65" s="306">
        <v>35</v>
      </c>
      <c r="L65" s="306">
        <v>2476.13</v>
      </c>
      <c r="M65" s="304">
        <v>1000</v>
      </c>
      <c r="N65" s="307"/>
      <c r="O65" s="306">
        <v>4.33</v>
      </c>
      <c r="P65" s="306">
        <v>5.69</v>
      </c>
      <c r="Q65" s="306">
        <v>54.26</v>
      </c>
      <c r="R65" s="306">
        <v>2.1</v>
      </c>
      <c r="S65" s="306">
        <v>2.35</v>
      </c>
      <c r="T65" s="305">
        <v>956.21400000000006</v>
      </c>
      <c r="U65" s="305">
        <v>954.7</v>
      </c>
      <c r="V65" s="306">
        <v>0</v>
      </c>
      <c r="W65" s="306" t="s">
        <v>1999</v>
      </c>
      <c r="X65" s="306">
        <v>800</v>
      </c>
      <c r="Y65" s="306">
        <f>IFERROR(IF(X65&lt;=600,(PI()*0.72*0.72/4-PI()*0.6*0.6/4)*(C65-AB65)+(1.3*1.3-1.1*1.1)*1.6,IF(X65=800,(PI()*0.72*0.72/4-PI()*0.6*0.6/4)*(C65-AB65)+(1.5*1.5-1.1*1.1)*1.6,IF(X65=1000,(PI()*0.72*0.72/4-PI()*0.6*0.6/4)*(C65-AB65)+(1.94*1.94-1.5*1.5)*2.25,IF(X65=1200,(PI()*0.72*0.72/4-PI()*0.6*0.6/4)*(C65-AB65)+(-1.8*1.8+2.14*2.14)*2.25,IF(X65=1500,(PI()*0.72*0.72/4-PI()*0.6*0.6/4)*(C65-AB65)+(-2.2*2.2+2.44*2.44)*2.65,0))))),0)</f>
        <v>2.0645907624445305</v>
      </c>
      <c r="Z65" s="306">
        <f t="shared" si="29"/>
        <v>7.7408842984452511</v>
      </c>
      <c r="AA65" s="306" t="s">
        <v>2303</v>
      </c>
      <c r="AB65" s="305">
        <v>955.09400000000005</v>
      </c>
      <c r="AC65" s="305"/>
      <c r="AD65" s="305"/>
      <c r="AE65" s="308" t="str">
        <f t="shared" si="30"/>
        <v>PV17.1</v>
      </c>
      <c r="AF65" s="309">
        <f t="shared" si="31"/>
        <v>0</v>
      </c>
      <c r="AG65" s="309">
        <f t="shared" si="32"/>
        <v>0</v>
      </c>
      <c r="AH65" s="309">
        <f t="shared" si="33"/>
        <v>1</v>
      </c>
      <c r="AI65" s="309">
        <f t="shared" si="34"/>
        <v>0</v>
      </c>
      <c r="AJ65" s="309">
        <f t="shared" si="35"/>
        <v>0</v>
      </c>
      <c r="AK65" s="309">
        <f t="shared" si="36"/>
        <v>0</v>
      </c>
      <c r="AL65" s="309">
        <f t="shared" si="37"/>
        <v>0</v>
      </c>
      <c r="AM65" s="309">
        <f t="shared" si="38"/>
        <v>0</v>
      </c>
      <c r="AN65" s="309">
        <f t="shared" si="39"/>
        <v>0</v>
      </c>
      <c r="AO65" s="292">
        <f>IFERROR(IF(X65&lt;=600,(1.1*1.1-0.85*0.85)*1.4,IF(X65=800,(1.5*1.5-1.1*1.1)*1.4,0)),0)</f>
        <v>1.4559999999999997</v>
      </c>
      <c r="AP65" s="292"/>
      <c r="AQ65" s="310" t="str">
        <f t="shared" si="40"/>
        <v>ASFALTO</v>
      </c>
    </row>
    <row r="66" spans="2:43" s="271" customFormat="1" x14ac:dyDescent="0.25">
      <c r="B66" s="304" t="s">
        <v>2279</v>
      </c>
      <c r="C66" s="305">
        <v>957.05399999999997</v>
      </c>
      <c r="D66" s="305">
        <v>954.85400000000004</v>
      </c>
      <c r="E66" s="305">
        <v>0</v>
      </c>
      <c r="F66" s="305">
        <v>11.715</v>
      </c>
      <c r="G66" s="305">
        <v>0.7</v>
      </c>
      <c r="H66" s="305">
        <v>1.4999999999999999E-2</v>
      </c>
      <c r="I66" s="306">
        <v>19.085999999999999</v>
      </c>
      <c r="J66" s="306">
        <v>301.02999999999997</v>
      </c>
      <c r="K66" s="306">
        <v>45</v>
      </c>
      <c r="L66" s="306">
        <v>2468.67</v>
      </c>
      <c r="M66" s="304">
        <v>1000</v>
      </c>
      <c r="N66" s="307"/>
      <c r="O66" s="306">
        <v>4.33</v>
      </c>
      <c r="P66" s="306">
        <v>5.68</v>
      </c>
      <c r="Q66" s="306">
        <v>54.16</v>
      </c>
      <c r="R66" s="306">
        <v>2.35</v>
      </c>
      <c r="S66" s="306">
        <v>2.1</v>
      </c>
      <c r="T66" s="305">
        <v>954.7</v>
      </c>
      <c r="U66" s="305">
        <v>952.75400000000002</v>
      </c>
      <c r="V66" s="306">
        <v>0.4</v>
      </c>
      <c r="W66" s="306" t="s">
        <v>1999</v>
      </c>
      <c r="X66" s="306">
        <v>800</v>
      </c>
      <c r="Y66" s="306"/>
      <c r="Z66" s="306">
        <f t="shared" si="29"/>
        <v>9.9525655265724655</v>
      </c>
      <c r="AA66" s="306"/>
      <c r="AB66" s="305"/>
      <c r="AC66" s="305"/>
      <c r="AD66" s="305"/>
      <c r="AE66" s="308" t="str">
        <f t="shared" si="30"/>
        <v>PV18.1</v>
      </c>
      <c r="AF66" s="309">
        <f t="shared" si="31"/>
        <v>0</v>
      </c>
      <c r="AG66" s="309">
        <f t="shared" si="32"/>
        <v>0</v>
      </c>
      <c r="AH66" s="309">
        <f t="shared" si="33"/>
        <v>1</v>
      </c>
      <c r="AI66" s="309">
        <f t="shared" si="34"/>
        <v>0</v>
      </c>
      <c r="AJ66" s="309">
        <f t="shared" si="35"/>
        <v>0</v>
      </c>
      <c r="AK66" s="309">
        <f t="shared" si="36"/>
        <v>0</v>
      </c>
      <c r="AL66" s="309">
        <f t="shared" si="37"/>
        <v>0</v>
      </c>
      <c r="AM66" s="309">
        <f t="shared" si="38"/>
        <v>0</v>
      </c>
      <c r="AN66" s="309">
        <f t="shared" si="39"/>
        <v>0</v>
      </c>
      <c r="AO66" s="292"/>
      <c r="AP66" s="292"/>
      <c r="AQ66" s="310" t="str">
        <f t="shared" si="40"/>
        <v>ASFALTO</v>
      </c>
    </row>
    <row r="67" spans="2:43" s="271" customFormat="1" x14ac:dyDescent="0.25">
      <c r="B67" s="304" t="s">
        <v>2281</v>
      </c>
      <c r="C67" s="305">
        <v>954.85400000000004</v>
      </c>
      <c r="D67" s="305">
        <v>952.10699999999997</v>
      </c>
      <c r="E67" s="305">
        <v>0.27</v>
      </c>
      <c r="F67" s="305">
        <v>11.984999999999999</v>
      </c>
      <c r="G67" s="305">
        <v>0.7</v>
      </c>
      <c r="H67" s="305">
        <v>1.4999999999999999E-2</v>
      </c>
      <c r="I67" s="306">
        <v>19.218</v>
      </c>
      <c r="J67" s="306">
        <v>299.87</v>
      </c>
      <c r="K67" s="306">
        <v>50</v>
      </c>
      <c r="L67" s="306">
        <v>2515.71</v>
      </c>
      <c r="M67" s="304">
        <v>1200</v>
      </c>
      <c r="N67" s="307"/>
      <c r="O67" s="306">
        <v>4.49</v>
      </c>
      <c r="P67" s="306">
        <v>5.78</v>
      </c>
      <c r="Q67" s="306">
        <v>40.92</v>
      </c>
      <c r="R67" s="306">
        <v>2.5</v>
      </c>
      <c r="S67" s="306">
        <v>2</v>
      </c>
      <c r="T67" s="305">
        <v>952.35400000000004</v>
      </c>
      <c r="U67" s="305">
        <v>950.10699999999997</v>
      </c>
      <c r="V67" s="306">
        <v>0.5</v>
      </c>
      <c r="W67" s="306" t="s">
        <v>1999</v>
      </c>
      <c r="X67" s="306">
        <v>800</v>
      </c>
      <c r="Y67" s="306">
        <f t="shared" ref="Y67:Y77" si="41">IFERROR(IF(X67&lt;=600,(PI()*0.72*0.72/4-PI()*0.6*0.6/4)*(C67-AB67)+(1.3*1.3-1.1*1.1)*1.6,IF(X67=800,(PI()*0.72*0.72/4-PI()*0.6*0.6/4)*(C67-AB67)+(1.5*1.5-1.1*1.1)*1.6,IF(X67=1000,(PI()*0.72*0.72/4-PI()*0.6*0.6/4)*(C67-AB67)+(1.94*1.94-1.5*1.5)*2.25,IF(X67=1200,(PI()*0.72*0.72/4-PI()*0.6*0.6/4)*(C67-AB67)+(-1.8*1.8+2.14*2.14)*2.25,IF(X67=1500,(PI()*0.72*0.72/4-PI()*0.6*0.6/4)*(C67-AB67)+(-2.2*2.2+2.44*2.44)*2.65,0))))),0)</f>
        <v>1.9262501016251918</v>
      </c>
      <c r="Z67" s="306">
        <f t="shared" si="29"/>
        <v>11.058406140636073</v>
      </c>
      <c r="AA67" s="306" t="s">
        <v>2304</v>
      </c>
      <c r="AB67" s="305">
        <v>952.74599999999998</v>
      </c>
      <c r="AC67" s="305"/>
      <c r="AD67" s="305"/>
      <c r="AE67" s="308" t="str">
        <f t="shared" si="30"/>
        <v>PV19.1</v>
      </c>
      <c r="AF67" s="309">
        <f t="shared" si="31"/>
        <v>0</v>
      </c>
      <c r="AG67" s="309">
        <f t="shared" si="32"/>
        <v>0</v>
      </c>
      <c r="AH67" s="309">
        <f t="shared" si="33"/>
        <v>0</v>
      </c>
      <c r="AI67" s="309">
        <f t="shared" si="34"/>
        <v>1</v>
      </c>
      <c r="AJ67" s="309">
        <f t="shared" si="35"/>
        <v>0</v>
      </c>
      <c r="AK67" s="309">
        <f t="shared" si="36"/>
        <v>0</v>
      </c>
      <c r="AL67" s="309">
        <f t="shared" si="37"/>
        <v>0</v>
      </c>
      <c r="AM67" s="309">
        <f t="shared" si="38"/>
        <v>0</v>
      </c>
      <c r="AN67" s="309">
        <f t="shared" si="39"/>
        <v>0</v>
      </c>
      <c r="AO67" s="292">
        <f t="shared" ref="AO67:AO80" si="42">IFERROR(IF(X67&lt;=600,(1.1*1.1-0.85*0.85)*1.4,IF(X67=800,(1.5*1.5-1.1*1.1)*1.4,0)),0)</f>
        <v>1.4559999999999997</v>
      </c>
      <c r="AP67" s="292"/>
      <c r="AQ67" s="310" t="str">
        <f t="shared" si="40"/>
        <v>ASFALTO</v>
      </c>
    </row>
    <row r="68" spans="2:43" s="271" customFormat="1" x14ac:dyDescent="0.25">
      <c r="B68" s="304" t="s">
        <v>2283</v>
      </c>
      <c r="C68" s="305">
        <v>952.10699999999997</v>
      </c>
      <c r="D68" s="305">
        <v>950.78300000000002</v>
      </c>
      <c r="E68" s="305">
        <v>0.39900000000000002</v>
      </c>
      <c r="F68" s="305">
        <v>12.384</v>
      </c>
      <c r="G68" s="305">
        <v>0.7</v>
      </c>
      <c r="H68" s="305">
        <v>1.4999999999999999E-2</v>
      </c>
      <c r="I68" s="306">
        <v>19.363</v>
      </c>
      <c r="J68" s="306">
        <v>298.61</v>
      </c>
      <c r="K68" s="306">
        <v>50</v>
      </c>
      <c r="L68" s="306">
        <v>2588.62</v>
      </c>
      <c r="M68" s="304">
        <v>1200</v>
      </c>
      <c r="N68" s="307"/>
      <c r="O68" s="306">
        <v>1.65</v>
      </c>
      <c r="P68" s="306">
        <v>4</v>
      </c>
      <c r="Q68" s="306">
        <v>55.63</v>
      </c>
      <c r="R68" s="306">
        <v>2.5</v>
      </c>
      <c r="S68" s="306">
        <v>2</v>
      </c>
      <c r="T68" s="305">
        <v>949.60699999999997</v>
      </c>
      <c r="U68" s="305">
        <v>948.78300000000002</v>
      </c>
      <c r="V68" s="306">
        <v>0.4</v>
      </c>
      <c r="W68" s="306" t="s">
        <v>1999</v>
      </c>
      <c r="X68" s="306">
        <v>800</v>
      </c>
      <c r="Y68" s="306">
        <f t="shared" si="41"/>
        <v>1.9180392350657516</v>
      </c>
      <c r="Z68" s="306">
        <f t="shared" si="29"/>
        <v>11.058406140636073</v>
      </c>
      <c r="AA68" s="306" t="s">
        <v>2305</v>
      </c>
      <c r="AB68" s="305">
        <v>950.06500000000005</v>
      </c>
      <c r="AC68" s="305"/>
      <c r="AD68" s="305"/>
      <c r="AE68" s="308" t="str">
        <f t="shared" si="30"/>
        <v>PV20.1</v>
      </c>
      <c r="AF68" s="309">
        <f t="shared" si="31"/>
        <v>0</v>
      </c>
      <c r="AG68" s="309">
        <f t="shared" si="32"/>
        <v>0</v>
      </c>
      <c r="AH68" s="309">
        <f t="shared" si="33"/>
        <v>0</v>
      </c>
      <c r="AI68" s="309">
        <f t="shared" si="34"/>
        <v>1</v>
      </c>
      <c r="AJ68" s="309">
        <f t="shared" si="35"/>
        <v>0</v>
      </c>
      <c r="AK68" s="309">
        <f t="shared" si="36"/>
        <v>0</v>
      </c>
      <c r="AL68" s="309">
        <f t="shared" si="37"/>
        <v>0</v>
      </c>
      <c r="AM68" s="309">
        <f t="shared" si="38"/>
        <v>0</v>
      </c>
      <c r="AN68" s="309">
        <f t="shared" si="39"/>
        <v>0</v>
      </c>
      <c r="AO68" s="292">
        <f t="shared" si="42"/>
        <v>1.4559999999999997</v>
      </c>
      <c r="AP68" s="292"/>
      <c r="AQ68" s="310" t="str">
        <f t="shared" si="40"/>
        <v>ASFALTO</v>
      </c>
    </row>
    <row r="69" spans="2:43" s="271" customFormat="1" x14ac:dyDescent="0.25">
      <c r="B69" s="304" t="s">
        <v>2284</v>
      </c>
      <c r="C69" s="305">
        <v>950.78300000000002</v>
      </c>
      <c r="D69" s="305">
        <v>949.98599999999999</v>
      </c>
      <c r="E69" s="305">
        <v>0.20899999999999999</v>
      </c>
      <c r="F69" s="305">
        <v>12.593</v>
      </c>
      <c r="G69" s="305">
        <v>0.7</v>
      </c>
      <c r="H69" s="305">
        <v>1.4999999999999999E-2</v>
      </c>
      <c r="I69" s="306">
        <v>19.571000000000002</v>
      </c>
      <c r="J69" s="306">
        <v>296.81</v>
      </c>
      <c r="K69" s="306">
        <v>50</v>
      </c>
      <c r="L69" s="306">
        <v>2616.39</v>
      </c>
      <c r="M69" s="304">
        <v>1200</v>
      </c>
      <c r="N69" s="307"/>
      <c r="O69" s="306">
        <v>0.79</v>
      </c>
      <c r="P69" s="306">
        <v>3</v>
      </c>
      <c r="Q69" s="306">
        <v>72.099999999999994</v>
      </c>
      <c r="R69" s="306">
        <v>2.4</v>
      </c>
      <c r="S69" s="306">
        <v>2</v>
      </c>
      <c r="T69" s="305">
        <v>948.38300000000004</v>
      </c>
      <c r="U69" s="305">
        <v>947.98599999999999</v>
      </c>
      <c r="V69" s="306">
        <v>0.5</v>
      </c>
      <c r="W69" s="306" t="s">
        <v>1999</v>
      </c>
      <c r="X69" s="306">
        <v>800</v>
      </c>
      <c r="Y69" s="306">
        <f t="shared" si="41"/>
        <v>2.0191821822295566</v>
      </c>
      <c r="Z69" s="306">
        <f t="shared" si="29"/>
        <v>11.058406140636073</v>
      </c>
      <c r="AA69" s="306" t="s">
        <v>2306</v>
      </c>
      <c r="AB69" s="305">
        <v>947.928</v>
      </c>
      <c r="AC69" s="305"/>
      <c r="AD69" s="305"/>
      <c r="AE69" s="308" t="str">
        <f t="shared" si="30"/>
        <v>PV21.1</v>
      </c>
      <c r="AF69" s="309">
        <f t="shared" si="31"/>
        <v>0</v>
      </c>
      <c r="AG69" s="309">
        <f t="shared" si="32"/>
        <v>0</v>
      </c>
      <c r="AH69" s="309">
        <f t="shared" si="33"/>
        <v>0</v>
      </c>
      <c r="AI69" s="309">
        <f t="shared" si="34"/>
        <v>1</v>
      </c>
      <c r="AJ69" s="309">
        <f t="shared" si="35"/>
        <v>0</v>
      </c>
      <c r="AK69" s="309">
        <f t="shared" si="36"/>
        <v>0</v>
      </c>
      <c r="AL69" s="309">
        <f t="shared" si="37"/>
        <v>0</v>
      </c>
      <c r="AM69" s="309">
        <f t="shared" si="38"/>
        <v>0</v>
      </c>
      <c r="AN69" s="309">
        <f t="shared" si="39"/>
        <v>0</v>
      </c>
      <c r="AO69" s="292">
        <f t="shared" si="42"/>
        <v>1.4559999999999997</v>
      </c>
      <c r="AP69" s="292"/>
      <c r="AQ69" s="310" t="str">
        <f t="shared" si="40"/>
        <v>ASFALTO</v>
      </c>
    </row>
    <row r="70" spans="2:43" s="271" customFormat="1" x14ac:dyDescent="0.25">
      <c r="B70" s="304" t="s">
        <v>2307</v>
      </c>
      <c r="C70" s="305">
        <v>949.98599999999999</v>
      </c>
      <c r="D70" s="305">
        <v>948.23</v>
      </c>
      <c r="E70" s="305">
        <v>0.224</v>
      </c>
      <c r="F70" s="305">
        <v>12.817</v>
      </c>
      <c r="G70" s="305">
        <v>0.7</v>
      </c>
      <c r="H70" s="305">
        <v>1.4999999999999999E-2</v>
      </c>
      <c r="I70" s="306">
        <v>19.849</v>
      </c>
      <c r="J70" s="306">
        <v>294.45</v>
      </c>
      <c r="K70" s="306">
        <v>32.04</v>
      </c>
      <c r="L70" s="306">
        <v>2641.78</v>
      </c>
      <c r="M70" s="304">
        <v>1200</v>
      </c>
      <c r="N70" s="307"/>
      <c r="O70" s="306">
        <v>3.92</v>
      </c>
      <c r="P70" s="306">
        <v>5.57</v>
      </c>
      <c r="Q70" s="306">
        <v>43.67</v>
      </c>
      <c r="R70" s="306">
        <v>2.5</v>
      </c>
      <c r="S70" s="306">
        <v>2</v>
      </c>
      <c r="T70" s="305">
        <v>947.48599999999999</v>
      </c>
      <c r="U70" s="305">
        <v>946.23</v>
      </c>
      <c r="V70" s="306">
        <v>0.82</v>
      </c>
      <c r="W70" s="306" t="s">
        <v>1999</v>
      </c>
      <c r="X70" s="306">
        <v>800</v>
      </c>
      <c r="Y70" s="306">
        <f t="shared" si="41"/>
        <v>2.2123863605141443</v>
      </c>
      <c r="Z70" s="306">
        <f t="shared" si="29"/>
        <v>7.0862266549195958</v>
      </c>
      <c r="AA70" s="306" t="s">
        <v>2308</v>
      </c>
      <c r="AB70" s="305">
        <v>945.57799999999997</v>
      </c>
      <c r="AC70" s="305"/>
      <c r="AD70" s="305"/>
      <c r="AE70" s="308" t="str">
        <f t="shared" si="30"/>
        <v>PV22.1</v>
      </c>
      <c r="AF70" s="309">
        <f t="shared" si="31"/>
        <v>0</v>
      </c>
      <c r="AG70" s="309">
        <f t="shared" si="32"/>
        <v>0</v>
      </c>
      <c r="AH70" s="309">
        <f t="shared" si="33"/>
        <v>0</v>
      </c>
      <c r="AI70" s="309">
        <f t="shared" si="34"/>
        <v>1</v>
      </c>
      <c r="AJ70" s="309">
        <f t="shared" si="35"/>
        <v>0</v>
      </c>
      <c r="AK70" s="309">
        <f t="shared" si="36"/>
        <v>0</v>
      </c>
      <c r="AL70" s="309">
        <f t="shared" si="37"/>
        <v>0</v>
      </c>
      <c r="AM70" s="309">
        <f t="shared" si="38"/>
        <v>0</v>
      </c>
      <c r="AN70" s="309">
        <f t="shared" si="39"/>
        <v>0</v>
      </c>
      <c r="AO70" s="292">
        <f t="shared" si="42"/>
        <v>1.4559999999999997</v>
      </c>
      <c r="AP70" s="292"/>
      <c r="AQ70" s="310" t="str">
        <f t="shared" si="40"/>
        <v>ASFALTO</v>
      </c>
    </row>
    <row r="71" spans="2:43" s="271" customFormat="1" x14ac:dyDescent="0.25">
      <c r="B71" s="304" t="s">
        <v>2309</v>
      </c>
      <c r="C71" s="305">
        <v>948.23</v>
      </c>
      <c r="D71" s="305">
        <v>946.18499999999995</v>
      </c>
      <c r="E71" s="305">
        <v>0.124</v>
      </c>
      <c r="F71" s="305">
        <v>12.941000000000001</v>
      </c>
      <c r="G71" s="305">
        <v>0.7</v>
      </c>
      <c r="H71" s="305">
        <v>1.4999999999999999E-2</v>
      </c>
      <c r="I71" s="306">
        <v>19.945</v>
      </c>
      <c r="J71" s="306">
        <v>293.64</v>
      </c>
      <c r="K71" s="306">
        <v>55.79</v>
      </c>
      <c r="L71" s="306">
        <v>2660.05</v>
      </c>
      <c r="M71" s="304">
        <v>1500</v>
      </c>
      <c r="N71" s="307"/>
      <c r="O71" s="306">
        <v>3.67</v>
      </c>
      <c r="P71" s="306">
        <v>5.37</v>
      </c>
      <c r="Q71" s="306">
        <v>32.380000000000003</v>
      </c>
      <c r="R71" s="306">
        <v>2.82</v>
      </c>
      <c r="S71" s="306">
        <v>2.82</v>
      </c>
      <c r="T71" s="305">
        <v>945.41</v>
      </c>
      <c r="U71" s="305">
        <v>943.36500000000001</v>
      </c>
      <c r="V71" s="306">
        <v>0</v>
      </c>
      <c r="W71" s="306" t="s">
        <v>1999</v>
      </c>
      <c r="X71" s="306">
        <v>1000</v>
      </c>
      <c r="Y71" s="306">
        <f t="shared" si="41"/>
        <v>3.9123099923716178</v>
      </c>
      <c r="Z71" s="306">
        <f t="shared" si="29"/>
        <v>19.279639955815203</v>
      </c>
      <c r="AA71" s="306" t="s">
        <v>2310</v>
      </c>
      <c r="AB71" s="305">
        <v>944.15700000000004</v>
      </c>
      <c r="AC71" s="305"/>
      <c r="AD71" s="305"/>
      <c r="AE71" s="308" t="str">
        <f t="shared" si="30"/>
        <v>PV23.1</v>
      </c>
      <c r="AF71" s="309">
        <f t="shared" si="31"/>
        <v>0</v>
      </c>
      <c r="AG71" s="309">
        <f t="shared" si="32"/>
        <v>0</v>
      </c>
      <c r="AH71" s="309">
        <f t="shared" si="33"/>
        <v>0</v>
      </c>
      <c r="AI71" s="309">
        <f t="shared" si="34"/>
        <v>0</v>
      </c>
      <c r="AJ71" s="309">
        <f t="shared" si="35"/>
        <v>1</v>
      </c>
      <c r="AK71" s="309">
        <f t="shared" si="36"/>
        <v>0</v>
      </c>
      <c r="AL71" s="309">
        <f t="shared" si="37"/>
        <v>0</v>
      </c>
      <c r="AM71" s="309">
        <f t="shared" si="38"/>
        <v>0</v>
      </c>
      <c r="AN71" s="309">
        <f t="shared" si="39"/>
        <v>0</v>
      </c>
      <c r="AO71" s="292">
        <f t="shared" si="42"/>
        <v>0</v>
      </c>
      <c r="AP71" s="292"/>
      <c r="AQ71" s="310" t="str">
        <f t="shared" si="40"/>
        <v>ASFALTO</v>
      </c>
    </row>
    <row r="72" spans="2:43" s="271" customFormat="1" x14ac:dyDescent="0.25">
      <c r="B72" s="304" t="s">
        <v>2311</v>
      </c>
      <c r="C72" s="305">
        <v>946.18499999999995</v>
      </c>
      <c r="D72" s="305">
        <v>945.404</v>
      </c>
      <c r="E72" s="305">
        <v>0.26200000000000001</v>
      </c>
      <c r="F72" s="305">
        <v>13.202999999999999</v>
      </c>
      <c r="G72" s="305">
        <v>0.7</v>
      </c>
      <c r="H72" s="305">
        <v>1.4999999999999999E-2</v>
      </c>
      <c r="I72" s="306">
        <v>20.117999999999999</v>
      </c>
      <c r="J72" s="306">
        <v>292.2</v>
      </c>
      <c r="K72" s="306">
        <v>44.18</v>
      </c>
      <c r="L72" s="306">
        <v>2700.47</v>
      </c>
      <c r="M72" s="304">
        <v>1500</v>
      </c>
      <c r="N72" s="307"/>
      <c r="O72" s="306">
        <v>1.77</v>
      </c>
      <c r="P72" s="306">
        <v>4.1399999999999997</v>
      </c>
      <c r="Q72" s="306">
        <v>39.64</v>
      </c>
      <c r="R72" s="306">
        <v>2.82</v>
      </c>
      <c r="S72" s="306">
        <v>2.82</v>
      </c>
      <c r="T72" s="305">
        <v>943.36500000000001</v>
      </c>
      <c r="U72" s="305">
        <v>942.58399999999995</v>
      </c>
      <c r="V72" s="306">
        <v>0</v>
      </c>
      <c r="W72" s="306" t="s">
        <v>1999</v>
      </c>
      <c r="X72" s="306">
        <v>1000</v>
      </c>
      <c r="Y72" s="306">
        <f t="shared" si="41"/>
        <v>3.7484658823904176</v>
      </c>
      <c r="Z72" s="306">
        <f t="shared" si="29"/>
        <v>15.267511977915678</v>
      </c>
      <c r="AA72" s="306" t="s">
        <v>2312</v>
      </c>
      <c r="AB72" s="305">
        <v>943.42899999999997</v>
      </c>
      <c r="AC72" s="305"/>
      <c r="AD72" s="305"/>
      <c r="AE72" s="308" t="str">
        <f t="shared" si="30"/>
        <v>PV24.1</v>
      </c>
      <c r="AF72" s="309">
        <f t="shared" si="31"/>
        <v>0</v>
      </c>
      <c r="AG72" s="309">
        <f t="shared" si="32"/>
        <v>0</v>
      </c>
      <c r="AH72" s="309">
        <f t="shared" si="33"/>
        <v>0</v>
      </c>
      <c r="AI72" s="309">
        <f t="shared" si="34"/>
        <v>0</v>
      </c>
      <c r="AJ72" s="309">
        <f t="shared" si="35"/>
        <v>1</v>
      </c>
      <c r="AK72" s="309">
        <f t="shared" si="36"/>
        <v>0</v>
      </c>
      <c r="AL72" s="309">
        <f t="shared" si="37"/>
        <v>0</v>
      </c>
      <c r="AM72" s="309">
        <f t="shared" si="38"/>
        <v>0</v>
      </c>
      <c r="AN72" s="309">
        <f t="shared" si="39"/>
        <v>0</v>
      </c>
      <c r="AO72" s="292">
        <f t="shared" si="42"/>
        <v>0</v>
      </c>
      <c r="AP72" s="292"/>
      <c r="AQ72" s="310" t="str">
        <f t="shared" si="40"/>
        <v>ASFALTO</v>
      </c>
    </row>
    <row r="73" spans="2:43" s="271" customFormat="1" x14ac:dyDescent="0.25">
      <c r="B73" s="304" t="s">
        <v>2313</v>
      </c>
      <c r="C73" s="305">
        <v>945.404</v>
      </c>
      <c r="D73" s="305">
        <v>944.26</v>
      </c>
      <c r="E73" s="305">
        <v>0.217</v>
      </c>
      <c r="F73" s="305">
        <v>13.419</v>
      </c>
      <c r="G73" s="305">
        <v>0.7</v>
      </c>
      <c r="H73" s="305">
        <v>1.4999999999999999E-2</v>
      </c>
      <c r="I73" s="306">
        <v>20.295999999999999</v>
      </c>
      <c r="J73" s="306">
        <v>290.73</v>
      </c>
      <c r="K73" s="306">
        <v>52.5</v>
      </c>
      <c r="L73" s="306">
        <v>2731</v>
      </c>
      <c r="M73" s="304">
        <v>1500</v>
      </c>
      <c r="N73" s="307"/>
      <c r="O73" s="306">
        <v>2.1800000000000002</v>
      </c>
      <c r="P73" s="306">
        <v>4.4800000000000004</v>
      </c>
      <c r="Q73" s="306">
        <v>37.700000000000003</v>
      </c>
      <c r="R73" s="306">
        <v>2.82</v>
      </c>
      <c r="S73" s="306">
        <v>2.82</v>
      </c>
      <c r="T73" s="305">
        <v>942.58399999999995</v>
      </c>
      <c r="U73" s="305">
        <v>941.44</v>
      </c>
      <c r="V73" s="306">
        <v>0.83</v>
      </c>
      <c r="W73" s="306" t="s">
        <v>1999</v>
      </c>
      <c r="X73" s="306">
        <v>1000</v>
      </c>
      <c r="Y73" s="306">
        <f t="shared" si="41"/>
        <v>3.7279387159918667</v>
      </c>
      <c r="Z73" s="306">
        <f t="shared" si="29"/>
        <v>18.142697574481058</v>
      </c>
      <c r="AA73" s="306" t="s">
        <v>2314</v>
      </c>
      <c r="AB73" s="305">
        <v>942.81299999999999</v>
      </c>
      <c r="AC73" s="305"/>
      <c r="AD73" s="305"/>
      <c r="AE73" s="308" t="str">
        <f t="shared" si="30"/>
        <v>PV25.1</v>
      </c>
      <c r="AF73" s="309">
        <f t="shared" si="31"/>
        <v>0</v>
      </c>
      <c r="AG73" s="309">
        <f t="shared" si="32"/>
        <v>0</v>
      </c>
      <c r="AH73" s="309">
        <f t="shared" si="33"/>
        <v>0</v>
      </c>
      <c r="AI73" s="309">
        <f t="shared" si="34"/>
        <v>0</v>
      </c>
      <c r="AJ73" s="309">
        <f t="shared" si="35"/>
        <v>1</v>
      </c>
      <c r="AK73" s="309">
        <f t="shared" si="36"/>
        <v>0</v>
      </c>
      <c r="AL73" s="309">
        <f t="shared" si="37"/>
        <v>0</v>
      </c>
      <c r="AM73" s="309">
        <f t="shared" si="38"/>
        <v>0</v>
      </c>
      <c r="AN73" s="309">
        <f t="shared" si="39"/>
        <v>0</v>
      </c>
      <c r="AO73" s="292">
        <f t="shared" si="42"/>
        <v>0</v>
      </c>
      <c r="AP73" s="292"/>
      <c r="AQ73" s="310" t="str">
        <f t="shared" si="40"/>
        <v>ASFALTO</v>
      </c>
    </row>
    <row r="74" spans="2:43" s="271" customFormat="1" x14ac:dyDescent="0.25">
      <c r="B74" s="304" t="s">
        <v>2315</v>
      </c>
      <c r="C74" s="305">
        <v>948.995</v>
      </c>
      <c r="D74" s="305">
        <v>947.64400000000001</v>
      </c>
      <c r="E74" s="305">
        <v>7.0579999999999998</v>
      </c>
      <c r="F74" s="305">
        <v>7.0579999999999998</v>
      </c>
      <c r="G74" s="305">
        <v>0.7</v>
      </c>
      <c r="H74" s="305">
        <v>1.4999999999999999E-2</v>
      </c>
      <c r="I74" s="306">
        <v>20.72</v>
      </c>
      <c r="J74" s="306">
        <v>287.29000000000002</v>
      </c>
      <c r="K74" s="306">
        <v>40</v>
      </c>
      <c r="L74" s="306">
        <v>1419.33</v>
      </c>
      <c r="M74" s="304">
        <v>1000</v>
      </c>
      <c r="N74" s="307"/>
      <c r="O74" s="306">
        <v>3.38</v>
      </c>
      <c r="P74" s="306">
        <v>4.5</v>
      </c>
      <c r="Q74" s="306">
        <v>42.22</v>
      </c>
      <c r="R74" s="306">
        <v>3.55</v>
      </c>
      <c r="S74" s="306">
        <v>3.55</v>
      </c>
      <c r="T74" s="305">
        <v>945.44500000000005</v>
      </c>
      <c r="U74" s="305">
        <v>944.09400000000005</v>
      </c>
      <c r="V74" s="306">
        <v>0</v>
      </c>
      <c r="W74" s="306" t="s">
        <v>1999</v>
      </c>
      <c r="X74" s="306">
        <v>800</v>
      </c>
      <c r="Y74" s="306">
        <f t="shared" si="41"/>
        <v>1.9824820968503261</v>
      </c>
      <c r="Z74" s="306">
        <f t="shared" si="29"/>
        <v>8.8467249125088578</v>
      </c>
      <c r="AA74" s="306" t="s">
        <v>2316</v>
      </c>
      <c r="AB74" s="305">
        <v>946.43499999999995</v>
      </c>
      <c r="AC74" s="305"/>
      <c r="AD74" s="305"/>
      <c r="AE74" s="308" t="str">
        <f t="shared" si="30"/>
        <v>PV1.2</v>
      </c>
      <c r="AF74" s="309">
        <f t="shared" si="31"/>
        <v>0</v>
      </c>
      <c r="AG74" s="309">
        <f t="shared" si="32"/>
        <v>0</v>
      </c>
      <c r="AH74" s="309">
        <f t="shared" si="33"/>
        <v>1</v>
      </c>
      <c r="AI74" s="309">
        <f t="shared" si="34"/>
        <v>0</v>
      </c>
      <c r="AJ74" s="309">
        <f t="shared" si="35"/>
        <v>0</v>
      </c>
      <c r="AK74" s="309">
        <f t="shared" si="36"/>
        <v>0</v>
      </c>
      <c r="AL74" s="309">
        <f t="shared" si="37"/>
        <v>0</v>
      </c>
      <c r="AM74" s="309">
        <f t="shared" si="38"/>
        <v>0</v>
      </c>
      <c r="AN74" s="309">
        <f t="shared" si="39"/>
        <v>0</v>
      </c>
      <c r="AO74" s="292">
        <f t="shared" si="42"/>
        <v>1.4559999999999997</v>
      </c>
      <c r="AP74" s="292"/>
      <c r="AQ74" s="310" t="str">
        <f t="shared" si="40"/>
        <v>ASFALTO</v>
      </c>
    </row>
    <row r="75" spans="2:43" s="271" customFormat="1" x14ac:dyDescent="0.25">
      <c r="B75" s="304" t="s">
        <v>2317</v>
      </c>
      <c r="C75" s="305">
        <v>947.64400000000001</v>
      </c>
      <c r="D75" s="305">
        <v>946.52099999999996</v>
      </c>
      <c r="E75" s="305">
        <v>0.52900000000000003</v>
      </c>
      <c r="F75" s="305">
        <v>7.5869999999999997</v>
      </c>
      <c r="G75" s="305">
        <v>0.7</v>
      </c>
      <c r="H75" s="305">
        <v>1.4999999999999999E-2</v>
      </c>
      <c r="I75" s="306">
        <v>20.867999999999999</v>
      </c>
      <c r="J75" s="306">
        <v>286.11</v>
      </c>
      <c r="K75" s="306">
        <v>45</v>
      </c>
      <c r="L75" s="306">
        <v>1519.5</v>
      </c>
      <c r="M75" s="304">
        <v>1000</v>
      </c>
      <c r="N75" s="307"/>
      <c r="O75" s="306">
        <v>2.5</v>
      </c>
      <c r="P75" s="306">
        <v>4.0999999999999996</v>
      </c>
      <c r="Q75" s="306">
        <v>47.8</v>
      </c>
      <c r="R75" s="306">
        <v>3.55</v>
      </c>
      <c r="S75" s="306">
        <v>3.55</v>
      </c>
      <c r="T75" s="305">
        <v>944.09400000000005</v>
      </c>
      <c r="U75" s="305">
        <v>942.971</v>
      </c>
      <c r="V75" s="306">
        <v>0</v>
      </c>
      <c r="W75" s="306" t="s">
        <v>1999</v>
      </c>
      <c r="X75" s="306">
        <v>800</v>
      </c>
      <c r="Y75" s="306">
        <f t="shared" si="41"/>
        <v>2.0837494510831962</v>
      </c>
      <c r="Z75" s="306">
        <f t="shared" si="29"/>
        <v>9.9525655265724655</v>
      </c>
      <c r="AA75" s="306" t="s">
        <v>2318</v>
      </c>
      <c r="AB75" s="305">
        <v>944.27</v>
      </c>
      <c r="AC75" s="305"/>
      <c r="AD75" s="305"/>
      <c r="AE75" s="308" t="str">
        <f t="shared" si="30"/>
        <v>PV2.2</v>
      </c>
      <c r="AF75" s="309">
        <f t="shared" si="31"/>
        <v>0</v>
      </c>
      <c r="AG75" s="309">
        <f t="shared" si="32"/>
        <v>0</v>
      </c>
      <c r="AH75" s="309">
        <f t="shared" si="33"/>
        <v>1</v>
      </c>
      <c r="AI75" s="309">
        <f t="shared" si="34"/>
        <v>0</v>
      </c>
      <c r="AJ75" s="309">
        <f t="shared" si="35"/>
        <v>0</v>
      </c>
      <c r="AK75" s="309">
        <f t="shared" si="36"/>
        <v>0</v>
      </c>
      <c r="AL75" s="309">
        <f t="shared" si="37"/>
        <v>0</v>
      </c>
      <c r="AM75" s="309">
        <f t="shared" si="38"/>
        <v>0</v>
      </c>
      <c r="AN75" s="309">
        <f t="shared" si="39"/>
        <v>0</v>
      </c>
      <c r="AO75" s="292">
        <f t="shared" si="42"/>
        <v>1.4559999999999997</v>
      </c>
      <c r="AP75" s="292"/>
      <c r="AQ75" s="310" t="str">
        <f t="shared" si="40"/>
        <v>ASFALTO</v>
      </c>
    </row>
    <row r="76" spans="2:43" s="271" customFormat="1" x14ac:dyDescent="0.25">
      <c r="B76" s="304" t="s">
        <v>2319</v>
      </c>
      <c r="C76" s="305">
        <v>946.52099999999996</v>
      </c>
      <c r="D76" s="305">
        <v>945.15599999999995</v>
      </c>
      <c r="E76" s="305">
        <v>0</v>
      </c>
      <c r="F76" s="305">
        <v>7.5869999999999997</v>
      </c>
      <c r="G76" s="305">
        <v>0.7</v>
      </c>
      <c r="H76" s="305">
        <v>1.4999999999999999E-2</v>
      </c>
      <c r="I76" s="306">
        <v>21.050999999999998</v>
      </c>
      <c r="J76" s="306">
        <v>284.66000000000003</v>
      </c>
      <c r="K76" s="306">
        <v>45</v>
      </c>
      <c r="L76" s="306">
        <v>1511.83</v>
      </c>
      <c r="M76" s="304">
        <v>1000</v>
      </c>
      <c r="N76" s="307"/>
      <c r="O76" s="306">
        <v>1.81</v>
      </c>
      <c r="P76" s="306">
        <v>3.63</v>
      </c>
      <c r="Q76" s="306">
        <v>52.39</v>
      </c>
      <c r="R76" s="306">
        <v>3.55</v>
      </c>
      <c r="S76" s="306">
        <v>3</v>
      </c>
      <c r="T76" s="305">
        <v>942.971</v>
      </c>
      <c r="U76" s="305">
        <v>942.15599999999995</v>
      </c>
      <c r="V76" s="306">
        <v>0</v>
      </c>
      <c r="W76" s="306" t="s">
        <v>1999</v>
      </c>
      <c r="X76" s="306">
        <v>800</v>
      </c>
      <c r="Y76" s="306">
        <f t="shared" si="41"/>
        <v>2.056628710023277</v>
      </c>
      <c r="Z76" s="306">
        <f t="shared" si="29"/>
        <v>9.9525655265724655</v>
      </c>
      <c r="AA76" s="306" t="s">
        <v>2320</v>
      </c>
      <c r="AB76" s="305">
        <v>943.36500000000001</v>
      </c>
      <c r="AC76" s="305"/>
      <c r="AD76" s="305"/>
      <c r="AE76" s="308" t="str">
        <f t="shared" si="30"/>
        <v>PV3.2</v>
      </c>
      <c r="AF76" s="309">
        <f t="shared" si="31"/>
        <v>0</v>
      </c>
      <c r="AG76" s="309">
        <f t="shared" si="32"/>
        <v>0</v>
      </c>
      <c r="AH76" s="309">
        <f t="shared" si="33"/>
        <v>1</v>
      </c>
      <c r="AI76" s="309">
        <f t="shared" si="34"/>
        <v>0</v>
      </c>
      <c r="AJ76" s="309">
        <f t="shared" si="35"/>
        <v>0</v>
      </c>
      <c r="AK76" s="309">
        <f t="shared" si="36"/>
        <v>0</v>
      </c>
      <c r="AL76" s="309">
        <f t="shared" si="37"/>
        <v>0</v>
      </c>
      <c r="AM76" s="309">
        <f t="shared" si="38"/>
        <v>0</v>
      </c>
      <c r="AN76" s="309">
        <f t="shared" si="39"/>
        <v>0</v>
      </c>
      <c r="AO76" s="292">
        <f t="shared" si="42"/>
        <v>1.4559999999999997</v>
      </c>
      <c r="AP76" s="292"/>
      <c r="AQ76" s="310" t="str">
        <f t="shared" si="40"/>
        <v>ASFALTO</v>
      </c>
    </row>
    <row r="77" spans="2:43" s="271" customFormat="1" x14ac:dyDescent="0.25">
      <c r="B77" s="304" t="s">
        <v>2321</v>
      </c>
      <c r="C77" s="305">
        <v>945.15599999999995</v>
      </c>
      <c r="D77" s="305">
        <v>943.53800000000001</v>
      </c>
      <c r="E77" s="305">
        <v>0.14000000000000001</v>
      </c>
      <c r="F77" s="305">
        <v>7.7270000000000003</v>
      </c>
      <c r="G77" s="305">
        <v>0.7</v>
      </c>
      <c r="H77" s="305">
        <v>1.4999999999999999E-2</v>
      </c>
      <c r="I77" s="306">
        <v>21.257999999999999</v>
      </c>
      <c r="J77" s="306">
        <v>283.05</v>
      </c>
      <c r="K77" s="306">
        <v>52.02</v>
      </c>
      <c r="L77" s="306">
        <v>1531.05</v>
      </c>
      <c r="M77" s="304">
        <v>1000</v>
      </c>
      <c r="N77" s="307"/>
      <c r="O77" s="306">
        <v>1.19</v>
      </c>
      <c r="P77" s="306">
        <v>3.1</v>
      </c>
      <c r="Q77" s="306">
        <v>60.23</v>
      </c>
      <c r="R77" s="306">
        <v>3</v>
      </c>
      <c r="S77" s="306">
        <v>2</v>
      </c>
      <c r="T77" s="305">
        <v>942.15599999999995</v>
      </c>
      <c r="U77" s="305">
        <v>941.53800000000001</v>
      </c>
      <c r="V77" s="306">
        <v>0</v>
      </c>
      <c r="W77" s="306" t="s">
        <v>1999</v>
      </c>
      <c r="X77" s="306">
        <v>800</v>
      </c>
      <c r="Y77" s="306">
        <f t="shared" si="41"/>
        <v>2.044810038460469</v>
      </c>
      <c r="Z77" s="306">
        <f t="shared" si="29"/>
        <v>11.505165748717772</v>
      </c>
      <c r="AA77" s="306" t="s">
        <v>2322</v>
      </c>
      <c r="AB77" s="305">
        <v>942.09500000000003</v>
      </c>
      <c r="AC77" s="305"/>
      <c r="AD77" s="305"/>
      <c r="AE77" s="308" t="str">
        <f t="shared" si="30"/>
        <v>PV4.2</v>
      </c>
      <c r="AF77" s="309">
        <f t="shared" si="31"/>
        <v>0</v>
      </c>
      <c r="AG77" s="309">
        <f t="shared" si="32"/>
        <v>0</v>
      </c>
      <c r="AH77" s="309">
        <f t="shared" si="33"/>
        <v>1</v>
      </c>
      <c r="AI77" s="309">
        <f t="shared" si="34"/>
        <v>0</v>
      </c>
      <c r="AJ77" s="309">
        <f t="shared" si="35"/>
        <v>0</v>
      </c>
      <c r="AK77" s="309">
        <f t="shared" si="36"/>
        <v>0</v>
      </c>
      <c r="AL77" s="309">
        <f t="shared" si="37"/>
        <v>0</v>
      </c>
      <c r="AM77" s="309">
        <f t="shared" si="38"/>
        <v>0</v>
      </c>
      <c r="AN77" s="309">
        <f t="shared" si="39"/>
        <v>0</v>
      </c>
      <c r="AO77" s="292">
        <f t="shared" si="42"/>
        <v>1.4559999999999997</v>
      </c>
      <c r="AP77" s="292"/>
      <c r="AQ77" s="310" t="str">
        <f t="shared" si="40"/>
        <v>ASFALTO</v>
      </c>
    </row>
    <row r="78" spans="2:43" s="271" customFormat="1" x14ac:dyDescent="0.25">
      <c r="B78" s="304" t="s">
        <v>2323</v>
      </c>
      <c r="C78" s="305">
        <v>943.53800000000001</v>
      </c>
      <c r="D78" s="305">
        <v>943.91800000000001</v>
      </c>
      <c r="E78" s="305">
        <v>0.95</v>
      </c>
      <c r="F78" s="305">
        <v>8.6769999999999996</v>
      </c>
      <c r="G78" s="305">
        <v>0.7</v>
      </c>
      <c r="H78" s="305">
        <v>1.4999999999999999E-2</v>
      </c>
      <c r="I78" s="306">
        <v>21.538</v>
      </c>
      <c r="J78" s="306">
        <v>280.89999999999998</v>
      </c>
      <c r="K78" s="306">
        <v>30.49</v>
      </c>
      <c r="L78" s="306">
        <v>1706.11</v>
      </c>
      <c r="M78" s="304">
        <v>1000</v>
      </c>
      <c r="N78" s="307"/>
      <c r="O78" s="306">
        <v>0.72</v>
      </c>
      <c r="P78" s="306">
        <v>2.56</v>
      </c>
      <c r="Q78" s="306">
        <v>79.19</v>
      </c>
      <c r="R78" s="306">
        <v>2</v>
      </c>
      <c r="S78" s="306">
        <v>2.6</v>
      </c>
      <c r="T78" s="305">
        <v>941.53800000000001</v>
      </c>
      <c r="U78" s="305">
        <v>941.31799999999998</v>
      </c>
      <c r="V78" s="306">
        <v>0.2</v>
      </c>
      <c r="W78" s="306" t="s">
        <v>1999</v>
      </c>
      <c r="X78" s="306">
        <v>1000</v>
      </c>
      <c r="Y78" s="306"/>
      <c r="Z78" s="306">
        <f t="shared" si="29"/>
        <v>10.536587600874809</v>
      </c>
      <c r="AA78" s="306" t="s">
        <v>2324</v>
      </c>
      <c r="AB78" s="305">
        <v>941.43399999999997</v>
      </c>
      <c r="AC78" s="305"/>
      <c r="AD78" s="305"/>
      <c r="AE78" s="308" t="str">
        <f t="shared" si="30"/>
        <v>PV5.2</v>
      </c>
      <c r="AF78" s="309">
        <f t="shared" si="31"/>
        <v>0</v>
      </c>
      <c r="AG78" s="309">
        <f t="shared" si="32"/>
        <v>0</v>
      </c>
      <c r="AH78" s="309">
        <f t="shared" si="33"/>
        <v>1</v>
      </c>
      <c r="AI78" s="309">
        <f t="shared" si="34"/>
        <v>0</v>
      </c>
      <c r="AJ78" s="309">
        <f t="shared" si="35"/>
        <v>0</v>
      </c>
      <c r="AK78" s="309">
        <f t="shared" si="36"/>
        <v>0</v>
      </c>
      <c r="AL78" s="309">
        <f t="shared" si="37"/>
        <v>0</v>
      </c>
      <c r="AM78" s="309">
        <f t="shared" si="38"/>
        <v>0</v>
      </c>
      <c r="AN78" s="309">
        <f t="shared" si="39"/>
        <v>0</v>
      </c>
      <c r="AO78" s="292">
        <f t="shared" si="42"/>
        <v>0</v>
      </c>
      <c r="AP78" s="292"/>
      <c r="AQ78" s="310" t="str">
        <f t="shared" si="40"/>
        <v>ASFALTO</v>
      </c>
    </row>
    <row r="79" spans="2:43" s="271" customFormat="1" x14ac:dyDescent="0.25">
      <c r="B79" s="304" t="s">
        <v>2325</v>
      </c>
      <c r="C79" s="305">
        <v>945.73400000000004</v>
      </c>
      <c r="D79" s="305">
        <v>943.91800000000001</v>
      </c>
      <c r="E79" s="305">
        <v>0.46800000000000003</v>
      </c>
      <c r="F79" s="305">
        <v>0.46800000000000003</v>
      </c>
      <c r="G79" s="305">
        <v>0.7</v>
      </c>
      <c r="H79" s="305">
        <v>1.4999999999999999E-2</v>
      </c>
      <c r="I79" s="306">
        <v>15</v>
      </c>
      <c r="J79" s="306">
        <v>342.5</v>
      </c>
      <c r="K79" s="306">
        <v>59.99</v>
      </c>
      <c r="L79" s="306">
        <v>112.23</v>
      </c>
      <c r="M79" s="304">
        <v>600</v>
      </c>
      <c r="N79" s="307"/>
      <c r="O79" s="306">
        <v>3.03</v>
      </c>
      <c r="P79" s="306">
        <v>2.21</v>
      </c>
      <c r="Q79" s="306">
        <v>23.51</v>
      </c>
      <c r="R79" s="306">
        <v>1.6</v>
      </c>
      <c r="S79" s="306">
        <v>1.6</v>
      </c>
      <c r="T79" s="305">
        <v>944.13400000000001</v>
      </c>
      <c r="U79" s="305">
        <v>942.31799999999998</v>
      </c>
      <c r="V79" s="306">
        <v>1.2</v>
      </c>
      <c r="W79" s="306" t="s">
        <v>1999</v>
      </c>
      <c r="X79" s="311" t="s">
        <v>2254</v>
      </c>
      <c r="Y79" s="306"/>
      <c r="Z79" s="306"/>
      <c r="AA79" s="311" t="s">
        <v>2254</v>
      </c>
      <c r="AB79" s="318" t="s">
        <v>2254</v>
      </c>
      <c r="AC79" s="318"/>
      <c r="AD79" s="318"/>
      <c r="AE79" s="308" t="str">
        <f t="shared" si="30"/>
        <v>PV1.3</v>
      </c>
      <c r="AF79" s="309">
        <f t="shared" si="31"/>
        <v>1</v>
      </c>
      <c r="AG79" s="309">
        <f t="shared" si="32"/>
        <v>0</v>
      </c>
      <c r="AH79" s="309">
        <f t="shared" si="33"/>
        <v>0</v>
      </c>
      <c r="AI79" s="309">
        <f t="shared" si="34"/>
        <v>0</v>
      </c>
      <c r="AJ79" s="309">
        <f t="shared" si="35"/>
        <v>0</v>
      </c>
      <c r="AK79" s="309">
        <f t="shared" si="36"/>
        <v>0</v>
      </c>
      <c r="AL79" s="309">
        <f t="shared" si="37"/>
        <v>0</v>
      </c>
      <c r="AM79" s="309">
        <f t="shared" si="38"/>
        <v>0</v>
      </c>
      <c r="AN79" s="309">
        <f t="shared" si="39"/>
        <v>0</v>
      </c>
      <c r="AO79" s="292">
        <f t="shared" si="42"/>
        <v>0</v>
      </c>
      <c r="AP79" s="292"/>
      <c r="AQ79" s="310" t="str">
        <f t="shared" si="40"/>
        <v>ASFALTO</v>
      </c>
    </row>
    <row r="80" spans="2:43" s="271" customFormat="1" x14ac:dyDescent="0.25">
      <c r="B80" s="304" t="s">
        <v>2326</v>
      </c>
      <c r="C80" s="305">
        <v>943.91800000000001</v>
      </c>
      <c r="D80" s="305">
        <v>944.26</v>
      </c>
      <c r="E80" s="305">
        <v>0.51200000000000001</v>
      </c>
      <c r="F80" s="305">
        <v>9.657</v>
      </c>
      <c r="G80" s="305">
        <v>0.7</v>
      </c>
      <c r="H80" s="305">
        <v>1.4999999999999999E-2</v>
      </c>
      <c r="I80" s="306">
        <v>21.736000000000001</v>
      </c>
      <c r="J80" s="306">
        <v>279.39</v>
      </c>
      <c r="K80" s="306">
        <v>51</v>
      </c>
      <c r="L80" s="306">
        <v>1888.59</v>
      </c>
      <c r="M80" s="304">
        <v>1200</v>
      </c>
      <c r="N80" s="307"/>
      <c r="O80" s="306">
        <v>0.41</v>
      </c>
      <c r="P80" s="306">
        <v>2.15</v>
      </c>
      <c r="Q80" s="306">
        <v>72.47</v>
      </c>
      <c r="R80" s="306">
        <v>2.8</v>
      </c>
      <c r="S80" s="306">
        <v>3.35</v>
      </c>
      <c r="T80" s="305">
        <v>941.11800000000005</v>
      </c>
      <c r="U80" s="305">
        <v>940.91</v>
      </c>
      <c r="V80" s="306">
        <v>0.3</v>
      </c>
      <c r="W80" s="306" t="s">
        <v>1999</v>
      </c>
      <c r="X80" s="306">
        <v>1000</v>
      </c>
      <c r="Y80" s="306">
        <f>IFERROR(IF(X80&lt;=600,(PI()*0.72*0.72/4-PI()*0.6*0.6/4)*(C80-AB80)+(1.3*1.3-1.1*1.1)*1.6,IF(X80=800,(PI()*0.72*0.72/4-PI()*0.6*0.6/4)*(C80-AB80)+(1.5*1.5-1.1*1.1)*1.6,IF(X80=1000,(PI()*0.72*0.72/4-PI()*0.6*0.6/4)*(C80-AB80)+(1.94*1.94-1.5*1.5)*2.25,IF(X80=1200,(PI()*0.72*0.72/4-PI()*0.6*0.6/4)*(C80-AB80)+(-1.8*1.8+2.14*2.14)*2.25,IF(X80=1500,(PI()*0.72*0.72/4-PI()*0.6*0.6/4)*(C80-AB80)+(-2.2*2.2+2.44*2.44)*2.65,0))))),0)</f>
        <v>3.7281875301300249</v>
      </c>
      <c r="Z80" s="306">
        <f>K80*IF(X80&lt;=600,PI()*(0.06*2+X80/1000)*(0.06*2+X80/1000)/4-PI()*(X80/1000)*(X80/1000)/4,IF(X80=800,PI()*(0.08*2+X80/1000)*(0.08*2+X80/1000)/4-PI()*(X80/1000)*(X80/1000)/4,IF(X80&lt;=1000,PI()*(0.1*2+X80/1000)*(0.1*2+X80/1000)/4-PI()*(X80/1000)*(X80/1000)/4,IF(X80&lt;=1200,PI()*(0.12*2+X80/1000)*(0.12*2+X80/1000)/4-PI()*(X80/1000)*(X80/1000)/4,IF(X80&lt;=1500,PI()*(0.15*2+X80/1000)*(0.15*2+X80/1000)/4-PI()*(X80/1000)*(X80/1000)/4,0)))))</f>
        <v>17.624334786638741</v>
      </c>
      <c r="AA80" s="306" t="s">
        <v>2327</v>
      </c>
      <c r="AB80" s="305">
        <v>941.32500000000005</v>
      </c>
      <c r="AC80" s="305"/>
      <c r="AD80" s="305"/>
      <c r="AE80" s="308" t="str">
        <f t="shared" si="30"/>
        <v>PV6.2</v>
      </c>
      <c r="AF80" s="309">
        <f t="shared" si="31"/>
        <v>0</v>
      </c>
      <c r="AG80" s="309">
        <f t="shared" si="32"/>
        <v>0</v>
      </c>
      <c r="AH80" s="309">
        <f t="shared" si="33"/>
        <v>0</v>
      </c>
      <c r="AI80" s="309">
        <f t="shared" si="34"/>
        <v>1</v>
      </c>
      <c r="AJ80" s="309">
        <f t="shared" si="35"/>
        <v>0</v>
      </c>
      <c r="AK80" s="309">
        <f t="shared" si="36"/>
        <v>0</v>
      </c>
      <c r="AL80" s="309">
        <f t="shared" si="37"/>
        <v>0</v>
      </c>
      <c r="AM80" s="309">
        <f t="shared" si="38"/>
        <v>0</v>
      </c>
      <c r="AN80" s="309">
        <f t="shared" si="39"/>
        <v>0</v>
      </c>
      <c r="AO80" s="292">
        <f t="shared" si="42"/>
        <v>0</v>
      </c>
      <c r="AP80" s="292"/>
      <c r="AQ80" s="310" t="str">
        <f t="shared" si="40"/>
        <v>ASFALTO</v>
      </c>
    </row>
    <row r="81" spans="2:43" s="271" customFormat="1" x14ac:dyDescent="0.25">
      <c r="B81" s="304" t="s">
        <v>2328</v>
      </c>
      <c r="C81" s="305">
        <v>944.26</v>
      </c>
      <c r="D81" s="305">
        <v>944.25900000000001</v>
      </c>
      <c r="E81" s="305">
        <v>0.23300000000000001</v>
      </c>
      <c r="F81" s="305">
        <v>23.309000000000001</v>
      </c>
      <c r="G81" s="305">
        <v>0.7</v>
      </c>
      <c r="H81" s="305">
        <v>1.4999999999999999E-2</v>
      </c>
      <c r="I81" s="306">
        <v>22.131</v>
      </c>
      <c r="J81" s="306">
        <v>276.44</v>
      </c>
      <c r="K81" s="306">
        <v>36</v>
      </c>
      <c r="L81" s="306">
        <v>4510.6099999999997</v>
      </c>
      <c r="M81" s="304">
        <v>1500</v>
      </c>
      <c r="N81" s="307"/>
      <c r="O81" s="306">
        <v>0.56000000000000005</v>
      </c>
      <c r="P81" s="306">
        <v>2.95</v>
      </c>
      <c r="Q81" s="306">
        <v>80.62</v>
      </c>
      <c r="R81" s="306">
        <v>3.65</v>
      </c>
      <c r="S81" s="306">
        <v>3.85</v>
      </c>
      <c r="T81" s="305">
        <v>940.61</v>
      </c>
      <c r="U81" s="305">
        <v>940.40899999999999</v>
      </c>
      <c r="V81" s="306">
        <v>0</v>
      </c>
      <c r="W81" s="306" t="s">
        <v>2282</v>
      </c>
      <c r="X81" s="306"/>
      <c r="Y81" s="306"/>
      <c r="Z81" s="306">
        <f>K81*IF(X81&lt;=600,PI()*(0.06*2+X81/1000)*(0.06*2+X81/1000)/4-PI()*(X81/1000)*(X81/1000)/4,IF(X81=800,PI()*(0.08*2+X81/1000)*(0.08*2+X81/1000)/4-PI()*(X81/1000)*(X81/1000)/4,IF(X81&lt;=1000,PI()*(0.1*2+X81/1000)*(0.1*2+X81/1000)/4-PI()*(X81/1000)*(X81/1000)/4,IF(X81&lt;=1200,PI()*(0.12*2+X81/1000)*(0.12*2+X81/1000)/4-PI()*(X81/1000)*(X81/1000)/4,IF(X81&lt;=1500,PI()*(0.15*2+X81/1000)*(0.15*2+X81/1000)/4-PI()*(X81/1000)*(X81/1000)/4,0)))))</f>
        <v>0.40715040790523715</v>
      </c>
      <c r="AA81" s="306"/>
      <c r="AB81" s="305"/>
      <c r="AC81" s="305"/>
      <c r="AD81" s="305"/>
      <c r="AE81" s="308" t="str">
        <f t="shared" si="30"/>
        <v>PV26.1</v>
      </c>
      <c r="AF81" s="309">
        <f t="shared" si="31"/>
        <v>0</v>
      </c>
      <c r="AG81" s="309">
        <f t="shared" si="32"/>
        <v>0</v>
      </c>
      <c r="AH81" s="309">
        <f t="shared" si="33"/>
        <v>0</v>
      </c>
      <c r="AI81" s="309">
        <f t="shared" si="34"/>
        <v>0</v>
      </c>
      <c r="AJ81" s="309">
        <f t="shared" si="35"/>
        <v>1</v>
      </c>
      <c r="AK81" s="309">
        <f t="shared" si="36"/>
        <v>0</v>
      </c>
      <c r="AL81" s="309">
        <f t="shared" si="37"/>
        <v>0</v>
      </c>
      <c r="AM81" s="309">
        <f t="shared" si="38"/>
        <v>0</v>
      </c>
      <c r="AN81" s="309">
        <f t="shared" si="39"/>
        <v>0</v>
      </c>
      <c r="AO81" s="292"/>
      <c r="AP81" s="292"/>
      <c r="AQ81" s="310" t="str">
        <f t="shared" si="40"/>
        <v>TERRENO NATURAL</v>
      </c>
    </row>
    <row r="82" spans="2:43" s="271" customFormat="1" x14ac:dyDescent="0.25">
      <c r="B82" s="304" t="s">
        <v>2329</v>
      </c>
      <c r="C82" s="305">
        <v>944.25900000000001</v>
      </c>
      <c r="D82" s="305">
        <v>943.06200000000001</v>
      </c>
      <c r="E82" s="305">
        <v>0</v>
      </c>
      <c r="F82" s="305">
        <v>23.31</v>
      </c>
      <c r="G82" s="305">
        <v>0.7</v>
      </c>
      <c r="H82" s="305">
        <v>1.4999999999999999E-2</v>
      </c>
      <c r="I82" s="306">
        <v>22.334</v>
      </c>
      <c r="J82" s="306">
        <v>274.95</v>
      </c>
      <c r="K82" s="306">
        <v>60</v>
      </c>
      <c r="L82" s="306">
        <v>4486.3100000000004</v>
      </c>
      <c r="M82" s="304">
        <v>1500</v>
      </c>
      <c r="N82" s="307"/>
      <c r="O82" s="306">
        <v>0.57999999999999996</v>
      </c>
      <c r="P82" s="306">
        <v>3</v>
      </c>
      <c r="Q82" s="306">
        <v>78.84</v>
      </c>
      <c r="R82" s="306">
        <v>3.85</v>
      </c>
      <c r="S82" s="306">
        <v>3</v>
      </c>
      <c r="T82" s="305">
        <v>940.40899999999999</v>
      </c>
      <c r="U82" s="305">
        <v>940.06200000000001</v>
      </c>
      <c r="V82" s="306">
        <v>0</v>
      </c>
      <c r="W82" s="306" t="s">
        <v>2282</v>
      </c>
      <c r="X82" s="306"/>
      <c r="Y82" s="306"/>
      <c r="Z82" s="306">
        <f>K82*IF(X82&lt;=600,PI()*(0.06*2+X82/1000)*(0.06*2+X82/1000)/4-PI()*(X82/1000)*(X82/1000)/4,IF(X82=800,PI()*(0.08*2+X82/1000)*(0.08*2+X82/1000)/4-PI()*(X82/1000)*(X82/1000)/4,IF(X82&lt;=1000,PI()*(0.1*2+X82/1000)*(0.1*2+X82/1000)/4-PI()*(X82/1000)*(X82/1000)/4,IF(X82&lt;=1200,PI()*(0.12*2+X82/1000)*(0.12*2+X82/1000)/4-PI()*(X82/1000)*(X82/1000)/4,IF(X82&lt;=1500,PI()*(0.15*2+X82/1000)*(0.15*2+X82/1000)/4-PI()*(X82/1000)*(X82/1000)/4,0)))))</f>
        <v>0.6785840131753953</v>
      </c>
      <c r="AA82" s="306"/>
      <c r="AB82" s="305"/>
      <c r="AC82" s="305"/>
      <c r="AD82" s="305"/>
      <c r="AE82" s="308" t="str">
        <f t="shared" si="30"/>
        <v>PV27.1</v>
      </c>
      <c r="AF82" s="309">
        <f t="shared" si="31"/>
        <v>0</v>
      </c>
      <c r="AG82" s="309">
        <f t="shared" si="32"/>
        <v>0</v>
      </c>
      <c r="AH82" s="309">
        <f t="shared" si="33"/>
        <v>0</v>
      </c>
      <c r="AI82" s="309">
        <f t="shared" si="34"/>
        <v>0</v>
      </c>
      <c r="AJ82" s="309">
        <f t="shared" si="35"/>
        <v>1</v>
      </c>
      <c r="AK82" s="309">
        <f t="shared" si="36"/>
        <v>0</v>
      </c>
      <c r="AL82" s="309">
        <f t="shared" si="37"/>
        <v>0</v>
      </c>
      <c r="AM82" s="309">
        <f t="shared" si="38"/>
        <v>0</v>
      </c>
      <c r="AN82" s="309">
        <f t="shared" si="39"/>
        <v>0</v>
      </c>
      <c r="AO82" s="292"/>
      <c r="AP82" s="292"/>
      <c r="AQ82" s="310" t="str">
        <f t="shared" si="40"/>
        <v>TERRENO NATURAL</v>
      </c>
    </row>
    <row r="83" spans="2:43" s="271" customFormat="1" x14ac:dyDescent="0.25">
      <c r="B83" s="304" t="s">
        <v>2330</v>
      </c>
      <c r="C83" s="305">
        <v>943.06200000000001</v>
      </c>
      <c r="D83" s="305">
        <v>942.08500000000004</v>
      </c>
      <c r="E83" s="305">
        <v>0</v>
      </c>
      <c r="F83" s="305">
        <v>23.31</v>
      </c>
      <c r="G83" s="305">
        <v>0.7</v>
      </c>
      <c r="H83" s="305">
        <v>1.4999999999999999E-2</v>
      </c>
      <c r="I83" s="306">
        <v>22.667999999999999</v>
      </c>
      <c r="J83" s="306">
        <v>272.55</v>
      </c>
      <c r="K83" s="306">
        <v>62.41</v>
      </c>
      <c r="L83" s="306">
        <v>4447.05</v>
      </c>
      <c r="M83" s="304">
        <v>1500</v>
      </c>
      <c r="N83" s="307"/>
      <c r="O83" s="306">
        <v>0.54</v>
      </c>
      <c r="P83" s="306">
        <v>2.9</v>
      </c>
      <c r="Q83" s="306">
        <v>80.88</v>
      </c>
      <c r="R83" s="306">
        <v>3</v>
      </c>
      <c r="S83" s="306">
        <v>2.36</v>
      </c>
      <c r="T83" s="305">
        <v>940.06200000000001</v>
      </c>
      <c r="U83" s="305">
        <v>939.72500000000002</v>
      </c>
      <c r="V83" s="306">
        <v>0</v>
      </c>
      <c r="W83" s="306" t="s">
        <v>2282</v>
      </c>
      <c r="X83" s="306"/>
      <c r="Y83" s="306"/>
      <c r="Z83" s="306">
        <f>K83*IF(X83&lt;=600,PI()*(0.06*2+X83/1000)*(0.06*2+X83/1000)/4-PI()*(X83/1000)*(X83/1000)/4,IF(X83=800,PI()*(0.08*2+X83/1000)*(0.08*2+X83/1000)/4-PI()*(X83/1000)*(X83/1000)/4,IF(X83&lt;=1000,PI()*(0.1*2+X83/1000)*(0.1*2+X83/1000)/4-PI()*(X83/1000)*(X83/1000)/4,IF(X83&lt;=1200,PI()*(0.12*2+X83/1000)*(0.12*2+X83/1000)/4-PI()*(X83/1000)*(X83/1000)/4,IF(X83&lt;=1500,PI()*(0.15*2+X83/1000)*(0.15*2+X83/1000)/4-PI()*(X83/1000)*(X83/1000)/4,0)))))</f>
        <v>0.70584047103794023</v>
      </c>
      <c r="AA83" s="306"/>
      <c r="AB83" s="305"/>
      <c r="AC83" s="305"/>
      <c r="AD83" s="305"/>
      <c r="AE83" s="308" t="str">
        <f t="shared" si="30"/>
        <v>PV28.1</v>
      </c>
      <c r="AF83" s="309">
        <f t="shared" si="31"/>
        <v>0</v>
      </c>
      <c r="AG83" s="309">
        <f t="shared" si="32"/>
        <v>0</v>
      </c>
      <c r="AH83" s="309">
        <f t="shared" si="33"/>
        <v>0</v>
      </c>
      <c r="AI83" s="309">
        <f t="shared" si="34"/>
        <v>0</v>
      </c>
      <c r="AJ83" s="309">
        <f t="shared" si="35"/>
        <v>1</v>
      </c>
      <c r="AK83" s="309">
        <f t="shared" si="36"/>
        <v>0</v>
      </c>
      <c r="AL83" s="309">
        <f t="shared" si="37"/>
        <v>0</v>
      </c>
      <c r="AM83" s="309">
        <f t="shared" si="38"/>
        <v>0</v>
      </c>
      <c r="AN83" s="309">
        <f t="shared" si="39"/>
        <v>0</v>
      </c>
      <c r="AO83" s="292"/>
      <c r="AP83" s="292"/>
      <c r="AQ83" s="310" t="str">
        <f t="shared" si="40"/>
        <v>TERRENO NATURAL</v>
      </c>
    </row>
    <row r="84" spans="2:43" ht="13" x14ac:dyDescent="0.3">
      <c r="B84" s="302" t="s">
        <v>1414</v>
      </c>
      <c r="C84" s="301"/>
      <c r="D84" s="301"/>
      <c r="E84" s="301"/>
      <c r="F84" s="301"/>
      <c r="G84" s="301"/>
      <c r="H84" s="301"/>
      <c r="I84" s="301"/>
      <c r="J84" s="301"/>
      <c r="K84" s="301"/>
      <c r="L84" s="301"/>
      <c r="M84" s="301"/>
      <c r="N84" s="301"/>
      <c r="O84" s="301"/>
      <c r="P84" s="301"/>
      <c r="Q84" s="301"/>
      <c r="R84" s="301"/>
      <c r="S84" s="301"/>
      <c r="T84" s="301"/>
      <c r="U84" s="301"/>
      <c r="V84" s="301"/>
      <c r="W84" s="312"/>
      <c r="X84" s="301"/>
      <c r="Y84" s="301"/>
      <c r="Z84" s="301"/>
      <c r="AA84" s="301"/>
      <c r="AB84" s="301"/>
      <c r="AC84" s="301"/>
      <c r="AD84" s="301"/>
      <c r="AE84" s="301"/>
      <c r="AF84" s="301"/>
      <c r="AG84" s="301"/>
      <c r="AH84" s="301"/>
      <c r="AI84" s="301"/>
      <c r="AJ84" s="301"/>
      <c r="AK84" s="301"/>
      <c r="AL84" s="301"/>
      <c r="AM84" s="301"/>
      <c r="AN84" s="301"/>
      <c r="AO84" s="303"/>
      <c r="AP84" s="292"/>
      <c r="AQ84" s="309"/>
    </row>
    <row r="85" spans="2:43" s="271" customFormat="1" x14ac:dyDescent="0.25">
      <c r="B85" s="304" t="s">
        <v>2251</v>
      </c>
      <c r="C85" s="305">
        <v>966.85599999999999</v>
      </c>
      <c r="D85" s="305">
        <v>965.89400000000001</v>
      </c>
      <c r="E85" s="305">
        <v>1.1739999999999999</v>
      </c>
      <c r="F85" s="305">
        <v>1.1739999999999999</v>
      </c>
      <c r="G85" s="305">
        <v>0.7</v>
      </c>
      <c r="H85" s="305">
        <v>1.4999999999999999E-2</v>
      </c>
      <c r="I85" s="306">
        <v>17.88</v>
      </c>
      <c r="J85" s="306">
        <v>108.66</v>
      </c>
      <c r="K85" s="306">
        <v>40</v>
      </c>
      <c r="L85" s="306">
        <v>247.99</v>
      </c>
      <c r="M85" s="304">
        <v>600</v>
      </c>
      <c r="N85" s="304"/>
      <c r="O85" s="306">
        <v>1.6</v>
      </c>
      <c r="P85" s="306">
        <v>2.2000000000000002</v>
      </c>
      <c r="Q85" s="306">
        <v>42.02</v>
      </c>
      <c r="R85" s="306">
        <v>3.5</v>
      </c>
      <c r="S85" s="306">
        <v>3.18</v>
      </c>
      <c r="T85" s="305">
        <v>963.35599999999999</v>
      </c>
      <c r="U85" s="305">
        <v>962.71699999999998</v>
      </c>
      <c r="V85" s="306">
        <v>0</v>
      </c>
      <c r="W85" s="306" t="s">
        <v>1999</v>
      </c>
      <c r="X85" s="306">
        <v>400</v>
      </c>
      <c r="Y85" s="306">
        <f>IFERROR(IF(X85&lt;=600,(PI()*0.72*0.72/4-PI()*0.6*0.6/4)*(C85-AB85)+(1.3*1.3-1.1*1.1)*1.6,IF(X85=800,(PI()*0.72*0.72/4-PI()*0.6*0.6/4)*(C85-AB85)+(1.5*1.5-1.1*1.1)*1.6,IF(X85=1000,(PI()*0.72*0.72/4-PI()*0.6*0.6/4)*(C85-AB85)+(1.94*1.94-1.5*1.5)*2.25,IF(X85=1200,(PI()*0.72*0.72/4-PI()*0.6*0.6/4)*(C85-AB85)+(-1.8*1.8+2.14*2.14)*2.25,IF(X85=1500,(PI()*0.72*0.72/4-PI()*0.6*0.6/4)*(C85-AB85)+(-2.2*2.2+2.44*2.44)*2.65,0))))),0)</f>
        <v>1.2223346162880384</v>
      </c>
      <c r="Z85" s="306">
        <f t="shared" ref="Z85:Z94" si="43">K85*IF(X85&lt;=600,PI()*(0.06*2+X85/1000)*(0.06*2+X85/1000)/4-PI()*(X85/1000)*(X85/1000)/4,IF(X85=800,PI()*(0.08*2+X85/1000)*(0.08*2+X85/1000)/4-PI()*(X85/1000)*(X85/1000)/4,IF(X85&lt;=1000,PI()*(0.1*2+X85/1000)*(0.1*2+X85/1000)/4-PI()*(X85/1000)*(X85/1000)/4,IF(X85&lt;=1200,PI()*(0.12*2+X85/1000)*(0.12*2+X85/1000)/4-PI()*(X85/1000)*(X85/1000)/4,IF(X85&lt;=1500,PI()*(0.15*2+X85/1000)*(0.15*2+X85/1000)/4-PI()*(X85/1000)*(X85/1000)/4,0)))))</f>
        <v>3.4683182895631317</v>
      </c>
      <c r="AA85" s="306" t="s">
        <v>2331</v>
      </c>
      <c r="AB85" s="305">
        <v>963.20399999999995</v>
      </c>
      <c r="AC85" s="305"/>
      <c r="AD85" s="305"/>
      <c r="AE85" s="308" t="str">
        <f t="shared" ref="AE85:AE94" si="44">IF(OR(RIGHT(LEFT(B85,7),1)="&gt;",RIGHT(LEFT(B85,7),1)="-"),IF(OR(RIGHT(LEFT(B85,6),1)="&gt;",RIGHT(LEFT(B85,6),1)="-"),LEFT(B85,5),LEFT(B85,6)),LEFT(B85,7))</f>
        <v>PV1.1</v>
      </c>
      <c r="AF85" s="309">
        <f t="shared" ref="AF85:AF94" si="45">COUNTIF(M85,600)</f>
        <v>1</v>
      </c>
      <c r="AG85" s="309">
        <f t="shared" ref="AG85:AG94" si="46">COUNTIF(M85,800)</f>
        <v>0</v>
      </c>
      <c r="AH85" s="309">
        <f t="shared" ref="AH85:AH94" si="47">COUNTIF(M85,1000)</f>
        <v>0</v>
      </c>
      <c r="AI85" s="309">
        <f t="shared" ref="AI85:AI94" si="48">COUNTIF(M85,1200)</f>
        <v>0</v>
      </c>
      <c r="AJ85" s="309">
        <f t="shared" ref="AJ85:AJ94" si="49">COUNTIF(M85,1500)</f>
        <v>0</v>
      </c>
      <c r="AK85" s="309">
        <f t="shared" ref="AK85:AK94" si="50">COUNTIF(M85,1650)</f>
        <v>0</v>
      </c>
      <c r="AL85" s="309">
        <f t="shared" ref="AL85:AL94" si="51">AK85*IF((R85+S85)/2-1.65&lt;=2,1,0)</f>
        <v>0</v>
      </c>
      <c r="AM85" s="309">
        <f t="shared" ref="AM85:AM94" si="52">AK85*IF((R85+S85)/2-1.65&lt;=3,1,0)-AL85</f>
        <v>0</v>
      </c>
      <c r="AN85" s="309">
        <f t="shared" ref="AN85:AN94" si="53">AK85*IF((R85+S85)/2-1.65&lt;=4,1,0)-AL85-AM85</f>
        <v>0</v>
      </c>
      <c r="AO85" s="292">
        <f>IFERROR(IF(X85&lt;=600,(1.1*1.1-0.85*0.85)*1.4,IF(X85=800,(1.5*1.5-1.1*1.1)*1.4,0)),0)</f>
        <v>0.68250000000000033</v>
      </c>
      <c r="AP85" s="292"/>
      <c r="AQ85" s="310" t="str">
        <f t="shared" ref="AQ85:AQ94" si="54">W85</f>
        <v>ASFALTO</v>
      </c>
    </row>
    <row r="86" spans="2:43" s="271" customFormat="1" x14ac:dyDescent="0.25">
      <c r="B86" s="304" t="s">
        <v>2253</v>
      </c>
      <c r="C86" s="305">
        <v>965.89400000000001</v>
      </c>
      <c r="D86" s="305">
        <v>965.09299999999996</v>
      </c>
      <c r="E86" s="305">
        <v>0</v>
      </c>
      <c r="F86" s="305">
        <v>1.1739999999999999</v>
      </c>
      <c r="G86" s="305">
        <v>0.7</v>
      </c>
      <c r="H86" s="305">
        <v>1.4999999999999999E-2</v>
      </c>
      <c r="I86" s="306">
        <v>18.183</v>
      </c>
      <c r="J86" s="306">
        <v>107.74</v>
      </c>
      <c r="K86" s="306">
        <v>39</v>
      </c>
      <c r="L86" s="306">
        <v>245.89</v>
      </c>
      <c r="M86" s="304">
        <v>600</v>
      </c>
      <c r="N86" s="304"/>
      <c r="O86" s="306">
        <v>1.6</v>
      </c>
      <c r="P86" s="306">
        <v>2.19</v>
      </c>
      <c r="Q86" s="306">
        <v>41.82</v>
      </c>
      <c r="R86" s="306">
        <v>3.18</v>
      </c>
      <c r="S86" s="306">
        <v>3</v>
      </c>
      <c r="T86" s="305">
        <v>962.71699999999998</v>
      </c>
      <c r="U86" s="305">
        <v>962.09299999999996</v>
      </c>
      <c r="V86" s="306">
        <v>0</v>
      </c>
      <c r="W86" s="306" t="s">
        <v>1999</v>
      </c>
      <c r="X86" s="306">
        <v>400</v>
      </c>
      <c r="Y86" s="306"/>
      <c r="Z86" s="306">
        <f t="shared" si="43"/>
        <v>3.3816103323240534</v>
      </c>
      <c r="AA86" s="306"/>
      <c r="AB86" s="305"/>
      <c r="AC86" s="305"/>
      <c r="AD86" s="305"/>
      <c r="AE86" s="308" t="str">
        <f t="shared" si="44"/>
        <v>PV2.1</v>
      </c>
      <c r="AF86" s="309">
        <f t="shared" si="45"/>
        <v>1</v>
      </c>
      <c r="AG86" s="309">
        <f t="shared" si="46"/>
        <v>0</v>
      </c>
      <c r="AH86" s="309">
        <f t="shared" si="47"/>
        <v>0</v>
      </c>
      <c r="AI86" s="309">
        <f t="shared" si="48"/>
        <v>0</v>
      </c>
      <c r="AJ86" s="309">
        <f t="shared" si="49"/>
        <v>0</v>
      </c>
      <c r="AK86" s="309">
        <f t="shared" si="50"/>
        <v>0</v>
      </c>
      <c r="AL86" s="309">
        <f t="shared" si="51"/>
        <v>0</v>
      </c>
      <c r="AM86" s="309">
        <f t="shared" si="52"/>
        <v>0</v>
      </c>
      <c r="AN86" s="309">
        <f t="shared" si="53"/>
        <v>0</v>
      </c>
      <c r="AO86" s="292"/>
      <c r="AP86" s="292"/>
      <c r="AQ86" s="310" t="str">
        <f t="shared" si="54"/>
        <v>ASFALTO</v>
      </c>
    </row>
    <row r="87" spans="2:43" s="271" customFormat="1" x14ac:dyDescent="0.25">
      <c r="B87" s="304" t="s">
        <v>2255</v>
      </c>
      <c r="C87" s="305">
        <v>965.09299999999996</v>
      </c>
      <c r="D87" s="305">
        <v>964.53499999999997</v>
      </c>
      <c r="E87" s="305">
        <v>0.6</v>
      </c>
      <c r="F87" s="305">
        <v>1.774</v>
      </c>
      <c r="G87" s="305">
        <v>0.7</v>
      </c>
      <c r="H87" s="305">
        <v>1.4999999999999999E-2</v>
      </c>
      <c r="I87" s="306">
        <v>18.478999999999999</v>
      </c>
      <c r="J87" s="306">
        <v>106.85</v>
      </c>
      <c r="K87" s="306">
        <v>38.049999999999997</v>
      </c>
      <c r="L87" s="306">
        <v>368.55</v>
      </c>
      <c r="M87" s="304">
        <v>600</v>
      </c>
      <c r="N87" s="304"/>
      <c r="O87" s="306">
        <v>1.55</v>
      </c>
      <c r="P87" s="306">
        <v>2.4</v>
      </c>
      <c r="Q87" s="306">
        <v>53.3</v>
      </c>
      <c r="R87" s="306">
        <v>3</v>
      </c>
      <c r="S87" s="306">
        <v>3.03</v>
      </c>
      <c r="T87" s="305">
        <v>962.09299999999996</v>
      </c>
      <c r="U87" s="305">
        <v>961.50400000000002</v>
      </c>
      <c r="V87" s="306">
        <v>0</v>
      </c>
      <c r="W87" s="306" t="s">
        <v>1999</v>
      </c>
      <c r="X87" s="306">
        <v>500</v>
      </c>
      <c r="Y87" s="306">
        <f>IFERROR(IF(X87&lt;=600,(PI()*0.72*0.72/4-PI()*0.6*0.6/4)*(C87-AB87)+(1.3*1.3-1.1*1.1)*1.6,IF(X87=800,(PI()*0.72*0.72/4-PI()*0.6*0.6/4)*(C87-AB87)+(1.5*1.5-1.1*1.1)*1.6,IF(X87=1000,(PI()*0.72*0.72/4-PI()*0.6*0.6/4)*(C87-AB87)+(1.94*1.94-1.5*1.5)*2.25,IF(X87=1200,(PI()*0.72*0.72/4-PI()*0.6*0.6/4)*(C87-AB87)+(-1.8*1.8+2.14*2.14)*2.25,IF(X87=1500,(PI()*0.72*0.72/4-PI()*0.6*0.6/4)*(C87-AB87)+(-2.2*2.2+2.44*2.44)*2.65,0))))),0)</f>
        <v>1.0711800273532153</v>
      </c>
      <c r="Z87" s="306">
        <f t="shared" si="43"/>
        <v>4.0164633757614787</v>
      </c>
      <c r="AA87" s="306" t="s">
        <v>2332</v>
      </c>
      <c r="AB87" s="305">
        <v>962.65599999999995</v>
      </c>
      <c r="AC87" s="305"/>
      <c r="AD87" s="305"/>
      <c r="AE87" s="308" t="str">
        <f t="shared" si="44"/>
        <v>PV3.1</v>
      </c>
      <c r="AF87" s="309">
        <f t="shared" si="45"/>
        <v>1</v>
      </c>
      <c r="AG87" s="309">
        <f t="shared" si="46"/>
        <v>0</v>
      </c>
      <c r="AH87" s="309">
        <f t="shared" si="47"/>
        <v>0</v>
      </c>
      <c r="AI87" s="309">
        <f t="shared" si="48"/>
        <v>0</v>
      </c>
      <c r="AJ87" s="309">
        <f t="shared" si="49"/>
        <v>0</v>
      </c>
      <c r="AK87" s="309">
        <f t="shared" si="50"/>
        <v>0</v>
      </c>
      <c r="AL87" s="309">
        <f t="shared" si="51"/>
        <v>0</v>
      </c>
      <c r="AM87" s="309">
        <f t="shared" si="52"/>
        <v>0</v>
      </c>
      <c r="AN87" s="309">
        <f t="shared" si="53"/>
        <v>0</v>
      </c>
      <c r="AO87" s="292">
        <f>IFERROR(IF(X87&lt;=600,(1.1*1.1-0.85*0.85)*1.4,IF(X87=800,(1.5*1.5-1.1*1.1)*1.4,0)),0)</f>
        <v>0.68250000000000033</v>
      </c>
      <c r="AP87" s="292"/>
      <c r="AQ87" s="310" t="str">
        <f t="shared" si="54"/>
        <v>ASFALTO</v>
      </c>
    </row>
    <row r="88" spans="2:43" s="271" customFormat="1" x14ac:dyDescent="0.25">
      <c r="B88" s="304" t="s">
        <v>2257</v>
      </c>
      <c r="C88" s="305">
        <v>964.53499999999997</v>
      </c>
      <c r="D88" s="305">
        <v>963.88499999999999</v>
      </c>
      <c r="E88" s="305">
        <v>0</v>
      </c>
      <c r="F88" s="305">
        <v>1.774</v>
      </c>
      <c r="G88" s="305">
        <v>0.7</v>
      </c>
      <c r="H88" s="305">
        <v>1.4999999999999999E-2</v>
      </c>
      <c r="I88" s="306">
        <v>18.742999999999999</v>
      </c>
      <c r="J88" s="306">
        <v>106.08</v>
      </c>
      <c r="K88" s="306">
        <v>39.950000000000003</v>
      </c>
      <c r="L88" s="306">
        <v>365.88</v>
      </c>
      <c r="M88" s="304">
        <v>600</v>
      </c>
      <c r="N88" s="304"/>
      <c r="O88" s="306">
        <v>1.55</v>
      </c>
      <c r="P88" s="306">
        <v>2.4</v>
      </c>
      <c r="Q88" s="306">
        <v>53.07</v>
      </c>
      <c r="R88" s="306">
        <v>3.03</v>
      </c>
      <c r="S88" s="306">
        <v>3</v>
      </c>
      <c r="T88" s="305">
        <v>961.50400000000002</v>
      </c>
      <c r="U88" s="305">
        <v>960.88499999999999</v>
      </c>
      <c r="V88" s="306">
        <v>0</v>
      </c>
      <c r="W88" s="306" t="s">
        <v>1999</v>
      </c>
      <c r="X88" s="306">
        <v>500</v>
      </c>
      <c r="Y88" s="306"/>
      <c r="Z88" s="306">
        <f t="shared" si="43"/>
        <v>4.2170226507666522</v>
      </c>
      <c r="AA88" s="306"/>
      <c r="AB88" s="305"/>
      <c r="AC88" s="305"/>
      <c r="AD88" s="305"/>
      <c r="AE88" s="308" t="str">
        <f t="shared" si="44"/>
        <v>PV4.1</v>
      </c>
      <c r="AF88" s="309">
        <f t="shared" si="45"/>
        <v>1</v>
      </c>
      <c r="AG88" s="309">
        <f t="shared" si="46"/>
        <v>0</v>
      </c>
      <c r="AH88" s="309">
        <f t="shared" si="47"/>
        <v>0</v>
      </c>
      <c r="AI88" s="309">
        <f t="shared" si="48"/>
        <v>0</v>
      </c>
      <c r="AJ88" s="309">
        <f t="shared" si="49"/>
        <v>0</v>
      </c>
      <c r="AK88" s="309">
        <f t="shared" si="50"/>
        <v>0</v>
      </c>
      <c r="AL88" s="309">
        <f t="shared" si="51"/>
        <v>0</v>
      </c>
      <c r="AM88" s="309">
        <f t="shared" si="52"/>
        <v>0</v>
      </c>
      <c r="AN88" s="309">
        <f t="shared" si="53"/>
        <v>0</v>
      </c>
      <c r="AO88" s="292"/>
      <c r="AP88" s="292"/>
      <c r="AQ88" s="310" t="str">
        <f t="shared" si="54"/>
        <v>ASFALTO</v>
      </c>
    </row>
    <row r="89" spans="2:43" s="271" customFormat="1" x14ac:dyDescent="0.25">
      <c r="B89" s="304" t="s">
        <v>2258</v>
      </c>
      <c r="C89" s="305">
        <v>963.88499999999999</v>
      </c>
      <c r="D89" s="305">
        <v>963.20100000000002</v>
      </c>
      <c r="E89" s="305">
        <v>0.44</v>
      </c>
      <c r="F89" s="305">
        <v>2.2130000000000001</v>
      </c>
      <c r="G89" s="305">
        <v>0.7</v>
      </c>
      <c r="H89" s="305">
        <v>1.4999999999999999E-2</v>
      </c>
      <c r="I89" s="306">
        <v>19.02</v>
      </c>
      <c r="J89" s="306">
        <v>105.28</v>
      </c>
      <c r="K89" s="306">
        <v>38</v>
      </c>
      <c r="L89" s="306">
        <v>453.12</v>
      </c>
      <c r="M89" s="304">
        <v>600</v>
      </c>
      <c r="N89" s="304"/>
      <c r="O89" s="306">
        <v>1.96</v>
      </c>
      <c r="P89" s="306">
        <v>2.76</v>
      </c>
      <c r="Q89" s="306">
        <v>56.31</v>
      </c>
      <c r="R89" s="306">
        <v>3</v>
      </c>
      <c r="S89" s="306">
        <v>3.06</v>
      </c>
      <c r="T89" s="305">
        <v>960.88499999999999</v>
      </c>
      <c r="U89" s="305">
        <v>960.14</v>
      </c>
      <c r="V89" s="306">
        <v>0</v>
      </c>
      <c r="W89" s="306" t="s">
        <v>1999</v>
      </c>
      <c r="X89" s="306">
        <v>500</v>
      </c>
      <c r="Y89" s="306">
        <f>IFERROR(IF(X89&lt;=600,(PI()*0.72*0.72/4-PI()*0.6*0.6/4)*(C89-AB89)+(1.3*1.3-1.1*1.1)*1.6,IF(X89=800,(PI()*0.72*0.72/4-PI()*0.6*0.6/4)*(C89-AB89)+(1.5*1.5-1.1*1.1)*1.6,IF(X89=1000,(PI()*0.72*0.72/4-PI()*0.6*0.6/4)*(C89-AB89)+(1.94*1.94-1.5*1.5)*2.25,IF(X89=1200,(PI()*0.72*0.72/4-PI()*0.6*0.6/4)*(C89-AB89)+(-1.8*1.8+2.14*2.14)*2.25,IF(X89=1500,(PI()*0.72*0.72/4-PI()*0.6*0.6/4)*(C89-AB89)+(-2.2*2.2+2.44*2.44)*2.65,0))))),0)</f>
        <v>1.0509016750928224</v>
      </c>
      <c r="Z89" s="306">
        <f t="shared" si="43"/>
        <v>4.0111855001034487</v>
      </c>
      <c r="AA89" s="306" t="s">
        <v>2333</v>
      </c>
      <c r="AB89" s="305">
        <v>961.61099999999999</v>
      </c>
      <c r="AC89" s="305"/>
      <c r="AD89" s="305"/>
      <c r="AE89" s="308" t="str">
        <f t="shared" si="44"/>
        <v>PV5.1</v>
      </c>
      <c r="AF89" s="309">
        <f t="shared" si="45"/>
        <v>1</v>
      </c>
      <c r="AG89" s="309">
        <f t="shared" si="46"/>
        <v>0</v>
      </c>
      <c r="AH89" s="309">
        <f t="shared" si="47"/>
        <v>0</v>
      </c>
      <c r="AI89" s="309">
        <f t="shared" si="48"/>
        <v>0</v>
      </c>
      <c r="AJ89" s="309">
        <f t="shared" si="49"/>
        <v>0</v>
      </c>
      <c r="AK89" s="309">
        <f t="shared" si="50"/>
        <v>0</v>
      </c>
      <c r="AL89" s="309">
        <f t="shared" si="51"/>
        <v>0</v>
      </c>
      <c r="AM89" s="309">
        <f t="shared" si="52"/>
        <v>0</v>
      </c>
      <c r="AN89" s="309">
        <f t="shared" si="53"/>
        <v>0</v>
      </c>
      <c r="AO89" s="292">
        <f>IFERROR(IF(X89&lt;=600,(1.1*1.1-0.85*0.85)*1.4,IF(X89=800,(1.5*1.5-1.1*1.1)*1.4,0)),0)</f>
        <v>0.68250000000000033</v>
      </c>
      <c r="AP89" s="292"/>
      <c r="AQ89" s="310" t="str">
        <f t="shared" si="54"/>
        <v>ASFALTO</v>
      </c>
    </row>
    <row r="90" spans="2:43" s="271" customFormat="1" x14ac:dyDescent="0.25">
      <c r="B90" s="304" t="s">
        <v>2260</v>
      </c>
      <c r="C90" s="305">
        <v>963.20100000000002</v>
      </c>
      <c r="D90" s="305">
        <v>962.45500000000004</v>
      </c>
      <c r="E90" s="305">
        <v>0</v>
      </c>
      <c r="F90" s="305">
        <v>2.2130000000000001</v>
      </c>
      <c r="G90" s="305">
        <v>0.7</v>
      </c>
      <c r="H90" s="305">
        <v>1.4999999999999999E-2</v>
      </c>
      <c r="I90" s="306">
        <v>19.25</v>
      </c>
      <c r="J90" s="306">
        <v>104.63</v>
      </c>
      <c r="K90" s="306">
        <v>35</v>
      </c>
      <c r="L90" s="306">
        <v>450.32</v>
      </c>
      <c r="M90" s="304">
        <v>600</v>
      </c>
      <c r="N90" s="304"/>
      <c r="O90" s="306">
        <v>1.96</v>
      </c>
      <c r="P90" s="306">
        <v>2.76</v>
      </c>
      <c r="Q90" s="306">
        <v>56.1</v>
      </c>
      <c r="R90" s="306">
        <v>3.06</v>
      </c>
      <c r="S90" s="306">
        <v>3</v>
      </c>
      <c r="T90" s="305">
        <v>960.14</v>
      </c>
      <c r="U90" s="305">
        <v>959.45500000000004</v>
      </c>
      <c r="V90" s="306">
        <v>0</v>
      </c>
      <c r="W90" s="306" t="s">
        <v>1999</v>
      </c>
      <c r="X90" s="306">
        <v>500</v>
      </c>
      <c r="Y90" s="306"/>
      <c r="Z90" s="306">
        <f t="shared" si="43"/>
        <v>3.6945129606215974</v>
      </c>
      <c r="AA90" s="306"/>
      <c r="AB90" s="305"/>
      <c r="AC90" s="305"/>
      <c r="AD90" s="305"/>
      <c r="AE90" s="308" t="str">
        <f t="shared" si="44"/>
        <v>PV6.1</v>
      </c>
      <c r="AF90" s="309">
        <f t="shared" si="45"/>
        <v>1</v>
      </c>
      <c r="AG90" s="309">
        <f t="shared" si="46"/>
        <v>0</v>
      </c>
      <c r="AH90" s="309">
        <f t="shared" si="47"/>
        <v>0</v>
      </c>
      <c r="AI90" s="309">
        <f t="shared" si="48"/>
        <v>0</v>
      </c>
      <c r="AJ90" s="309">
        <f t="shared" si="49"/>
        <v>0</v>
      </c>
      <c r="AK90" s="309">
        <f t="shared" si="50"/>
        <v>0</v>
      </c>
      <c r="AL90" s="309">
        <f t="shared" si="51"/>
        <v>0</v>
      </c>
      <c r="AM90" s="309">
        <f t="shared" si="52"/>
        <v>0</v>
      </c>
      <c r="AN90" s="309">
        <f t="shared" si="53"/>
        <v>0</v>
      </c>
      <c r="AO90" s="292"/>
      <c r="AP90" s="292"/>
      <c r="AQ90" s="310" t="str">
        <f t="shared" si="54"/>
        <v>ASFALTO</v>
      </c>
    </row>
    <row r="91" spans="2:43" s="271" customFormat="1" x14ac:dyDescent="0.25">
      <c r="B91" s="304" t="s">
        <v>2261</v>
      </c>
      <c r="C91" s="305">
        <v>962.45500000000004</v>
      </c>
      <c r="D91" s="305">
        <v>961.25099999999998</v>
      </c>
      <c r="E91" s="305">
        <v>0.33800000000000002</v>
      </c>
      <c r="F91" s="305">
        <v>2.5510000000000002</v>
      </c>
      <c r="G91" s="305">
        <v>0.7</v>
      </c>
      <c r="H91" s="305">
        <v>1.4999999999999999E-2</v>
      </c>
      <c r="I91" s="306">
        <v>19.460999999999999</v>
      </c>
      <c r="J91" s="306">
        <v>104.04</v>
      </c>
      <c r="K91" s="306">
        <v>30</v>
      </c>
      <c r="L91" s="306">
        <v>516.05999999999995</v>
      </c>
      <c r="M91" s="304">
        <v>600</v>
      </c>
      <c r="N91" s="304"/>
      <c r="O91" s="306">
        <v>6.91</v>
      </c>
      <c r="P91" s="306">
        <v>4.57</v>
      </c>
      <c r="Q91" s="306">
        <v>42.05</v>
      </c>
      <c r="R91" s="306">
        <v>3</v>
      </c>
      <c r="S91" s="306">
        <v>3.87</v>
      </c>
      <c r="T91" s="305">
        <v>959.45500000000004</v>
      </c>
      <c r="U91" s="305">
        <v>957.38300000000004</v>
      </c>
      <c r="V91" s="306">
        <v>0</v>
      </c>
      <c r="W91" s="306" t="s">
        <v>1999</v>
      </c>
      <c r="X91" s="306">
        <v>500</v>
      </c>
      <c r="Y91" s="306">
        <f>IFERROR(IF(X91&lt;=600,(PI()*0.72*0.72/4-PI()*0.6*0.6/4)*(C91-AB91)+(1.3*1.3-1.1*1.1)*1.6,IF(X91=800,(PI()*0.72*0.72/4-PI()*0.6*0.6/4)*(C91-AB91)+(1.5*1.5-1.1*1.1)*1.6,IF(X91=1000,(PI()*0.72*0.72/4-PI()*0.6*0.6/4)*(C91-AB91)+(1.94*1.94-1.5*1.5)*2.25,IF(X91=1200,(PI()*0.72*0.72/4-PI()*0.6*0.6/4)*(C91-AB91)+(-1.8*1.8+2.14*2.14)*2.25,IF(X91=1500,(PI()*0.72*0.72/4-PI()*0.6*0.6/4)*(C91-AB91)+(-2.2*2.2+2.44*2.44)*2.65,0))))),0)</f>
        <v>1.0385853752536973</v>
      </c>
      <c r="Z91" s="306">
        <f t="shared" si="43"/>
        <v>3.1667253948185121</v>
      </c>
      <c r="AA91" s="306" t="s">
        <v>2334</v>
      </c>
      <c r="AB91" s="305">
        <v>960.28</v>
      </c>
      <c r="AC91" s="305"/>
      <c r="AD91" s="305"/>
      <c r="AE91" s="308" t="str">
        <f t="shared" si="44"/>
        <v>PV7.1</v>
      </c>
      <c r="AF91" s="309">
        <f t="shared" si="45"/>
        <v>1</v>
      </c>
      <c r="AG91" s="309">
        <f t="shared" si="46"/>
        <v>0</v>
      </c>
      <c r="AH91" s="309">
        <f t="shared" si="47"/>
        <v>0</v>
      </c>
      <c r="AI91" s="309">
        <f t="shared" si="48"/>
        <v>0</v>
      </c>
      <c r="AJ91" s="309">
        <f t="shared" si="49"/>
        <v>0</v>
      </c>
      <c r="AK91" s="309">
        <f t="shared" si="50"/>
        <v>0</v>
      </c>
      <c r="AL91" s="309">
        <f t="shared" si="51"/>
        <v>0</v>
      </c>
      <c r="AM91" s="309">
        <f t="shared" si="52"/>
        <v>0</v>
      </c>
      <c r="AN91" s="309">
        <f t="shared" si="53"/>
        <v>0</v>
      </c>
      <c r="AO91" s="292">
        <f>IFERROR(IF(X91&lt;=600,(1.1*1.1-0.85*0.85)*1.4,IF(X91=800,(1.5*1.5-1.1*1.1)*1.4,0)),0)</f>
        <v>0.68250000000000033</v>
      </c>
      <c r="AP91" s="292"/>
      <c r="AQ91" s="310" t="str">
        <f t="shared" si="54"/>
        <v>ASFALTO</v>
      </c>
    </row>
    <row r="92" spans="2:43" s="271" customFormat="1" x14ac:dyDescent="0.25">
      <c r="B92" s="304" t="s">
        <v>2263</v>
      </c>
      <c r="C92" s="305">
        <v>961.25099999999998</v>
      </c>
      <c r="D92" s="305">
        <v>958.31100000000004</v>
      </c>
      <c r="E92" s="305">
        <v>0</v>
      </c>
      <c r="F92" s="305">
        <v>2.5510000000000002</v>
      </c>
      <c r="G92" s="305">
        <v>0.7</v>
      </c>
      <c r="H92" s="305">
        <v>1.4999999999999999E-2</v>
      </c>
      <c r="I92" s="306">
        <v>19.571000000000002</v>
      </c>
      <c r="J92" s="306">
        <v>103.73</v>
      </c>
      <c r="K92" s="306">
        <v>30</v>
      </c>
      <c r="L92" s="306">
        <v>514.55999999999995</v>
      </c>
      <c r="M92" s="304">
        <v>600</v>
      </c>
      <c r="N92" s="304"/>
      <c r="O92" s="306">
        <v>6.91</v>
      </c>
      <c r="P92" s="306">
        <v>4.57</v>
      </c>
      <c r="Q92" s="306">
        <v>41.98</v>
      </c>
      <c r="R92" s="306">
        <v>3.87</v>
      </c>
      <c r="S92" s="306">
        <v>3</v>
      </c>
      <c r="T92" s="305">
        <v>957.38300000000004</v>
      </c>
      <c r="U92" s="305">
        <v>955.31100000000004</v>
      </c>
      <c r="V92" s="306">
        <v>0</v>
      </c>
      <c r="W92" s="306" t="s">
        <v>1999</v>
      </c>
      <c r="X92" s="306">
        <v>500</v>
      </c>
      <c r="Y92" s="306"/>
      <c r="Z92" s="306">
        <f t="shared" si="43"/>
        <v>3.1667253948185121</v>
      </c>
      <c r="AA92" s="306"/>
      <c r="AB92" s="305"/>
      <c r="AC92" s="305"/>
      <c r="AD92" s="305"/>
      <c r="AE92" s="308" t="str">
        <f t="shared" si="44"/>
        <v>PV8.1</v>
      </c>
      <c r="AF92" s="309">
        <f t="shared" si="45"/>
        <v>1</v>
      </c>
      <c r="AG92" s="309">
        <f t="shared" si="46"/>
        <v>0</v>
      </c>
      <c r="AH92" s="309">
        <f t="shared" si="47"/>
        <v>0</v>
      </c>
      <c r="AI92" s="309">
        <f t="shared" si="48"/>
        <v>0</v>
      </c>
      <c r="AJ92" s="309">
        <f t="shared" si="49"/>
        <v>0</v>
      </c>
      <c r="AK92" s="309">
        <f t="shared" si="50"/>
        <v>0</v>
      </c>
      <c r="AL92" s="309">
        <f t="shared" si="51"/>
        <v>0</v>
      </c>
      <c r="AM92" s="309">
        <f t="shared" si="52"/>
        <v>0</v>
      </c>
      <c r="AN92" s="309">
        <f t="shared" si="53"/>
        <v>0</v>
      </c>
      <c r="AO92" s="292"/>
      <c r="AP92" s="292"/>
      <c r="AQ92" s="310" t="str">
        <f t="shared" si="54"/>
        <v>ASFALTO</v>
      </c>
    </row>
    <row r="93" spans="2:43" s="271" customFormat="1" x14ac:dyDescent="0.25">
      <c r="B93" s="304" t="s">
        <v>2264</v>
      </c>
      <c r="C93" s="305">
        <v>958.31100000000004</v>
      </c>
      <c r="D93" s="305">
        <v>955.82399999999996</v>
      </c>
      <c r="E93" s="305">
        <v>1.0049999999999999</v>
      </c>
      <c r="F93" s="305">
        <v>3.556</v>
      </c>
      <c r="G93" s="305">
        <v>0.7</v>
      </c>
      <c r="H93" s="305">
        <v>1.4999999999999999E-2</v>
      </c>
      <c r="I93" s="306">
        <v>19.68</v>
      </c>
      <c r="J93" s="306">
        <v>103.43</v>
      </c>
      <c r="K93" s="306">
        <v>50</v>
      </c>
      <c r="L93" s="306">
        <v>715.19</v>
      </c>
      <c r="M93" s="304">
        <v>600</v>
      </c>
      <c r="N93" s="304"/>
      <c r="O93" s="306">
        <v>4.97</v>
      </c>
      <c r="P93" s="306">
        <v>4.3899999999999997</v>
      </c>
      <c r="Q93" s="306">
        <v>55.98</v>
      </c>
      <c r="R93" s="306">
        <v>3</v>
      </c>
      <c r="S93" s="306">
        <v>3</v>
      </c>
      <c r="T93" s="305">
        <v>955.31100000000004</v>
      </c>
      <c r="U93" s="305">
        <v>952.82399999999996</v>
      </c>
      <c r="V93" s="306">
        <v>0.22</v>
      </c>
      <c r="W93" s="306" t="s">
        <v>1999</v>
      </c>
      <c r="X93" s="306">
        <v>500</v>
      </c>
      <c r="Y93" s="306">
        <f>IFERROR(IF(X93&lt;=600,(PI()*0.72*0.72/4-PI()*0.6*0.6/4)*(C93-AB93)+(1.3*1.3-1.1*1.1)*1.6,IF(X93=800,(PI()*0.72*0.72/4-PI()*0.6*0.6/4)*(C93-AB93)+(1.5*1.5-1.1*1.1)*1.6,IF(X93=1000,(PI()*0.72*0.72/4-PI()*0.6*0.6/4)*(C93-AB93)+(1.94*1.94-1.5*1.5)*2.25,IF(X93=1200,(PI()*0.72*0.72/4-PI()*0.6*0.6/4)*(C93-AB93)+(-1.8*1.8+2.14*2.14)*2.25,IF(X93=1500,(PI()*0.72*0.72/4-PI()*0.6*0.6/4)*(C93-AB93)+(-2.2*2.2+2.44*2.44)*2.65,0))))),0)</f>
        <v>0.9444092239584978</v>
      </c>
      <c r="Z93" s="306">
        <f t="shared" si="43"/>
        <v>5.2778756580308537</v>
      </c>
      <c r="AA93" s="306" t="s">
        <v>2335</v>
      </c>
      <c r="AB93" s="305">
        <v>956.89300000000003</v>
      </c>
      <c r="AC93" s="305"/>
      <c r="AD93" s="305"/>
      <c r="AE93" s="308" t="str">
        <f t="shared" si="44"/>
        <v>PV9.1</v>
      </c>
      <c r="AF93" s="309">
        <f t="shared" si="45"/>
        <v>1</v>
      </c>
      <c r="AG93" s="309">
        <f t="shared" si="46"/>
        <v>0</v>
      </c>
      <c r="AH93" s="309">
        <f t="shared" si="47"/>
        <v>0</v>
      </c>
      <c r="AI93" s="309">
        <f t="shared" si="48"/>
        <v>0</v>
      </c>
      <c r="AJ93" s="309">
        <f t="shared" si="49"/>
        <v>0</v>
      </c>
      <c r="AK93" s="309">
        <f t="shared" si="50"/>
        <v>0</v>
      </c>
      <c r="AL93" s="309">
        <f t="shared" si="51"/>
        <v>0</v>
      </c>
      <c r="AM93" s="309">
        <f t="shared" si="52"/>
        <v>0</v>
      </c>
      <c r="AN93" s="309">
        <f t="shared" si="53"/>
        <v>0</v>
      </c>
      <c r="AO93" s="292">
        <f>IFERROR(IF(X93&lt;=600,(1.1*1.1-0.85*0.85)*1.4,IF(X93=800,(1.5*1.5-1.1*1.1)*1.4,0)),0)</f>
        <v>0.68250000000000033</v>
      </c>
      <c r="AP93" s="292"/>
      <c r="AQ93" s="310" t="str">
        <f t="shared" si="54"/>
        <v>ASFALTO</v>
      </c>
    </row>
    <row r="94" spans="2:43" s="271" customFormat="1" x14ac:dyDescent="0.25">
      <c r="B94" s="304" t="s">
        <v>2266</v>
      </c>
      <c r="C94" s="305">
        <v>955.82399999999996</v>
      </c>
      <c r="D94" s="305">
        <v>955.25199999999995</v>
      </c>
      <c r="E94" s="305">
        <v>0.86</v>
      </c>
      <c r="F94" s="305">
        <v>4.4160000000000004</v>
      </c>
      <c r="G94" s="305">
        <v>0.7</v>
      </c>
      <c r="H94" s="305">
        <v>1.4999999999999999E-2</v>
      </c>
      <c r="I94" s="306">
        <v>19.87</v>
      </c>
      <c r="J94" s="306">
        <v>102.91</v>
      </c>
      <c r="K94" s="306">
        <v>50</v>
      </c>
      <c r="L94" s="306">
        <v>883.68</v>
      </c>
      <c r="M94" s="304">
        <v>800</v>
      </c>
      <c r="N94" s="304"/>
      <c r="O94" s="306">
        <v>0.9</v>
      </c>
      <c r="P94" s="306">
        <v>2.41</v>
      </c>
      <c r="Q94" s="306">
        <v>68.34</v>
      </c>
      <c r="R94" s="306">
        <v>3.22</v>
      </c>
      <c r="S94" s="306">
        <v>3.1</v>
      </c>
      <c r="T94" s="305">
        <v>952.60400000000004</v>
      </c>
      <c r="U94" s="305">
        <v>952.15200000000004</v>
      </c>
      <c r="V94" s="306">
        <v>0</v>
      </c>
      <c r="W94" s="306" t="s">
        <v>1999</v>
      </c>
      <c r="X94" s="306">
        <v>600</v>
      </c>
      <c r="Y94" s="306">
        <f>IFERROR(IF(X94&lt;=600,(PI()*0.72*0.72/4-PI()*0.6*0.6/4)*(C94-AB94)+(1.3*1.3-1.1*1.1)*1.6,IF(X94=800,(PI()*0.72*0.72/4-PI()*0.6*0.6/4)*(C94-AB94)+(1.5*1.5-1.1*1.1)*1.6,IF(X94=1000,(PI()*0.72*0.72/4-PI()*0.6*0.6/4)*(C94-AB94)+(1.94*1.94-1.5*1.5)*2.25,IF(X94=1200,(PI()*0.72*0.72/4-PI()*0.6*0.6/4)*(C94-AB94)+(-1.8*1.8+2.14*2.14)*2.25,IF(X94=1500,(PI()*0.72*0.72/4-PI()*0.6*0.6/4)*(C94-AB94)+(-2.2*2.2+2.44*2.44)*2.65,0))))),0)</f>
        <v>1.1321394912034586</v>
      </c>
      <c r="Z94" s="306">
        <f t="shared" si="43"/>
        <v>6.2203534541077907</v>
      </c>
      <c r="AA94" s="306" t="s">
        <v>2336</v>
      </c>
      <c r="AB94" s="305">
        <v>952.89700000000005</v>
      </c>
      <c r="AC94" s="305"/>
      <c r="AD94" s="305"/>
      <c r="AE94" s="308" t="str">
        <f t="shared" si="44"/>
        <v>PV10.1</v>
      </c>
      <c r="AF94" s="309">
        <f t="shared" si="45"/>
        <v>0</v>
      </c>
      <c r="AG94" s="309">
        <f t="shared" si="46"/>
        <v>1</v>
      </c>
      <c r="AH94" s="309">
        <f t="shared" si="47"/>
        <v>0</v>
      </c>
      <c r="AI94" s="309">
        <f t="shared" si="48"/>
        <v>0</v>
      </c>
      <c r="AJ94" s="309">
        <f t="shared" si="49"/>
        <v>0</v>
      </c>
      <c r="AK94" s="309">
        <f t="shared" si="50"/>
        <v>0</v>
      </c>
      <c r="AL94" s="309">
        <f t="shared" si="51"/>
        <v>0</v>
      </c>
      <c r="AM94" s="309">
        <f t="shared" si="52"/>
        <v>0</v>
      </c>
      <c r="AN94" s="309">
        <f t="shared" si="53"/>
        <v>0</v>
      </c>
      <c r="AO94" s="292">
        <f>IFERROR(IF(X94&lt;=600,(1.1*1.1-0.85*0.85)*1.4,IF(X94=800,(1.5*1.5-1.1*1.1)*1.4,0)),0)</f>
        <v>0.68250000000000033</v>
      </c>
      <c r="AP94" s="292"/>
      <c r="AQ94" s="310" t="str">
        <f t="shared" si="54"/>
        <v>ASFALTO</v>
      </c>
    </row>
    <row r="95" spans="2:43" x14ac:dyDescent="0.25">
      <c r="B95" s="292"/>
      <c r="C95" s="292"/>
      <c r="D95" s="292"/>
      <c r="E95" s="292"/>
      <c r="F95" s="292"/>
      <c r="G95" s="292"/>
      <c r="H95" s="292"/>
      <c r="I95" s="292"/>
      <c r="J95" s="292"/>
      <c r="K95" s="292"/>
      <c r="L95" s="292"/>
      <c r="M95" s="292"/>
      <c r="N95" s="292"/>
      <c r="O95" s="292"/>
      <c r="P95" s="292"/>
      <c r="Q95" s="292"/>
      <c r="R95" s="292"/>
      <c r="S95" s="292"/>
      <c r="T95" s="292"/>
      <c r="U95" s="292"/>
      <c r="V95" s="292"/>
      <c r="W95" s="292"/>
      <c r="X95" s="293"/>
      <c r="Y95" s="313">
        <f>SUM(Y49:Y94)</f>
        <v>56.550366984817941</v>
      </c>
      <c r="Z95" s="313">
        <f>SUM(Z49:Z94)</f>
        <v>319.74166187610786</v>
      </c>
      <c r="AA95" s="293"/>
      <c r="AB95" s="293"/>
      <c r="AC95" s="314">
        <v>64</v>
      </c>
      <c r="AD95" s="293"/>
      <c r="AE95" s="292"/>
      <c r="AF95" s="314">
        <f t="shared" ref="AF95:AO95" si="55">SUM(AF49:AF94)</f>
        <v>13</v>
      </c>
      <c r="AG95" s="314">
        <f t="shared" si="55"/>
        <v>4</v>
      </c>
      <c r="AH95" s="314">
        <f t="shared" si="55"/>
        <v>17</v>
      </c>
      <c r="AI95" s="314">
        <f t="shared" si="55"/>
        <v>5</v>
      </c>
      <c r="AJ95" s="314">
        <f t="shared" si="55"/>
        <v>6</v>
      </c>
      <c r="AK95" s="314">
        <f t="shared" si="55"/>
        <v>0</v>
      </c>
      <c r="AL95" s="314">
        <f t="shared" si="55"/>
        <v>0</v>
      </c>
      <c r="AM95" s="314">
        <f t="shared" si="55"/>
        <v>0</v>
      </c>
      <c r="AN95" s="314">
        <f t="shared" si="55"/>
        <v>0</v>
      </c>
      <c r="AO95" s="314">
        <f t="shared" si="55"/>
        <v>29.3475</v>
      </c>
      <c r="AP95" s="292"/>
      <c r="AQ95" s="314">
        <f>SUM(AQ49:AQ94)</f>
        <v>0</v>
      </c>
    </row>
    <row r="101" spans="2:43" x14ac:dyDescent="0.25">
      <c r="B101" s="269" t="s">
        <v>1622</v>
      </c>
    </row>
    <row r="102" spans="2:43" ht="13" x14ac:dyDescent="0.3">
      <c r="B102" s="291" t="s">
        <v>2197</v>
      </c>
      <c r="C102" s="954" t="s">
        <v>2337</v>
      </c>
      <c r="D102" s="954"/>
      <c r="E102" s="954"/>
      <c r="F102" s="954"/>
      <c r="G102" s="954"/>
      <c r="H102" s="954"/>
      <c r="I102" s="954"/>
      <c r="J102" s="954"/>
      <c r="K102" s="954"/>
      <c r="L102" s="292"/>
      <c r="M102" s="292"/>
      <c r="N102" s="292"/>
      <c r="O102" s="292"/>
      <c r="P102" s="292"/>
      <c r="Q102" s="292"/>
      <c r="R102" s="292"/>
      <c r="S102" s="292"/>
      <c r="T102" s="292"/>
      <c r="U102" s="292"/>
      <c r="V102" s="292"/>
      <c r="W102" s="292"/>
      <c r="X102" s="293"/>
      <c r="Y102" s="293"/>
      <c r="Z102" s="293"/>
      <c r="AA102" s="293"/>
      <c r="AB102" s="293"/>
      <c r="AC102" s="293"/>
      <c r="AD102" s="293"/>
      <c r="AE102" s="294"/>
      <c r="AF102" s="294"/>
      <c r="AG102" s="294"/>
      <c r="AH102" s="294"/>
      <c r="AI102" s="294"/>
      <c r="AJ102" s="294"/>
      <c r="AK102" s="294"/>
      <c r="AL102" s="294"/>
      <c r="AM102" s="294"/>
      <c r="AN102" s="294"/>
      <c r="AO102" s="292"/>
      <c r="AP102" s="292"/>
      <c r="AQ102" s="292"/>
    </row>
    <row r="103" spans="2:43" ht="13" x14ac:dyDescent="0.3">
      <c r="B103" s="291"/>
      <c r="C103" s="954"/>
      <c r="D103" s="954"/>
      <c r="E103" s="954"/>
      <c r="F103" s="954"/>
      <c r="G103" s="954"/>
      <c r="H103" s="954"/>
      <c r="I103" s="954"/>
      <c r="J103" s="954"/>
      <c r="K103" s="954"/>
      <c r="L103" s="291"/>
      <c r="M103" s="291"/>
      <c r="N103" s="291"/>
      <c r="O103" s="292"/>
      <c r="P103" s="292"/>
      <c r="Q103" s="292"/>
      <c r="R103" s="292"/>
      <c r="S103" s="292"/>
      <c r="T103" s="292"/>
      <c r="U103" s="292"/>
      <c r="V103" s="292"/>
      <c r="W103" s="292"/>
      <c r="X103" s="293"/>
      <c r="Y103" s="293"/>
      <c r="Z103" s="293"/>
      <c r="AA103" s="293"/>
      <c r="AB103" s="293"/>
      <c r="AC103" s="293"/>
      <c r="AD103" s="293"/>
      <c r="AE103" s="294"/>
      <c r="AF103" s="294"/>
      <c r="AG103" s="294"/>
      <c r="AH103" s="294"/>
      <c r="AI103" s="294"/>
      <c r="AJ103" s="294"/>
      <c r="AK103" s="294"/>
      <c r="AL103" s="294"/>
      <c r="AM103" s="294"/>
      <c r="AN103" s="294"/>
      <c r="AO103" s="292"/>
      <c r="AP103" s="292"/>
      <c r="AQ103" s="292"/>
    </row>
    <row r="104" spans="2:43" ht="13" x14ac:dyDescent="0.3">
      <c r="B104" s="291"/>
      <c r="C104" s="295" t="s">
        <v>2199</v>
      </c>
      <c r="D104" s="296"/>
      <c r="E104" s="291"/>
      <c r="F104" s="291"/>
      <c r="G104" s="291"/>
      <c r="H104" s="291"/>
      <c r="I104" s="297" t="s">
        <v>2288</v>
      </c>
      <c r="J104" s="296">
        <v>5</v>
      </c>
      <c r="K104" s="291" t="s">
        <v>2289</v>
      </c>
      <c r="L104" s="298" t="s">
        <v>2290</v>
      </c>
      <c r="M104" s="296">
        <v>15</v>
      </c>
      <c r="N104" s="291" t="s">
        <v>2291</v>
      </c>
      <c r="O104" s="291"/>
      <c r="P104" s="291"/>
      <c r="Q104" s="291"/>
      <c r="R104" s="291"/>
      <c r="S104" s="291"/>
      <c r="T104" s="291"/>
      <c r="U104" s="291"/>
      <c r="V104" s="292"/>
      <c r="W104" s="292"/>
      <c r="X104" s="293"/>
      <c r="Y104" s="293"/>
      <c r="Z104" s="293"/>
      <c r="AA104" s="293"/>
      <c r="AB104" s="293"/>
      <c r="AC104" s="293"/>
      <c r="AD104" s="293"/>
      <c r="AE104" s="294"/>
      <c r="AF104" s="294"/>
      <c r="AG104" s="294"/>
      <c r="AH104" s="294"/>
      <c r="AI104" s="294"/>
      <c r="AJ104" s="294"/>
      <c r="AK104" s="294"/>
      <c r="AL104" s="294"/>
      <c r="AM104" s="294"/>
      <c r="AN104" s="294"/>
      <c r="AO104" s="292"/>
      <c r="AP104" s="292"/>
      <c r="AQ104" s="292"/>
    </row>
    <row r="105" spans="2:43" ht="13" x14ac:dyDescent="0.3">
      <c r="B105" s="291"/>
      <c r="C105" s="295"/>
      <c r="D105" s="296"/>
      <c r="E105" s="291"/>
      <c r="F105" s="291"/>
      <c r="G105" s="291"/>
      <c r="H105" s="291"/>
      <c r="I105" s="291"/>
      <c r="J105" s="291"/>
      <c r="K105" s="291"/>
      <c r="L105" s="291"/>
      <c r="M105" s="291"/>
      <c r="N105" s="291"/>
      <c r="O105" s="291"/>
      <c r="P105" s="291"/>
      <c r="Q105" s="291"/>
      <c r="R105" s="291"/>
      <c r="S105" s="291"/>
      <c r="T105" s="291"/>
      <c r="U105" s="291"/>
      <c r="V105" s="292"/>
      <c r="W105" s="292"/>
      <c r="X105" s="293"/>
      <c r="Y105" s="293"/>
      <c r="Z105" s="293"/>
      <c r="AA105" s="293"/>
      <c r="AB105" s="293"/>
      <c r="AC105" s="293"/>
      <c r="AD105" s="293"/>
      <c r="AE105" s="294"/>
      <c r="AF105" s="294"/>
      <c r="AG105" s="294"/>
      <c r="AH105" s="294"/>
      <c r="AI105" s="294"/>
      <c r="AJ105" s="294"/>
      <c r="AK105" s="294"/>
      <c r="AL105" s="294"/>
      <c r="AM105" s="294"/>
      <c r="AN105" s="294"/>
      <c r="AO105" s="292"/>
      <c r="AP105" s="292"/>
      <c r="AQ105" s="292"/>
    </row>
    <row r="106" spans="2:43" ht="13" x14ac:dyDescent="0.3">
      <c r="B106" s="299">
        <v>1</v>
      </c>
      <c r="C106" s="299">
        <f t="shared" ref="C106:AN106" si="56">B106+1</f>
        <v>2</v>
      </c>
      <c r="D106" s="299">
        <f t="shared" si="56"/>
        <v>3</v>
      </c>
      <c r="E106" s="299">
        <f t="shared" si="56"/>
        <v>4</v>
      </c>
      <c r="F106" s="299">
        <f t="shared" si="56"/>
        <v>5</v>
      </c>
      <c r="G106" s="299">
        <f t="shared" si="56"/>
        <v>6</v>
      </c>
      <c r="H106" s="299">
        <f t="shared" si="56"/>
        <v>7</v>
      </c>
      <c r="I106" s="299">
        <f t="shared" si="56"/>
        <v>8</v>
      </c>
      <c r="J106" s="299">
        <f t="shared" si="56"/>
        <v>9</v>
      </c>
      <c r="K106" s="299">
        <f t="shared" si="56"/>
        <v>10</v>
      </c>
      <c r="L106" s="299">
        <f t="shared" si="56"/>
        <v>11</v>
      </c>
      <c r="M106" s="299">
        <f t="shared" si="56"/>
        <v>12</v>
      </c>
      <c r="N106" s="299">
        <f t="shared" si="56"/>
        <v>13</v>
      </c>
      <c r="O106" s="299">
        <f t="shared" si="56"/>
        <v>14</v>
      </c>
      <c r="P106" s="299">
        <f t="shared" si="56"/>
        <v>15</v>
      </c>
      <c r="Q106" s="299">
        <f t="shared" si="56"/>
        <v>16</v>
      </c>
      <c r="R106" s="299">
        <f t="shared" si="56"/>
        <v>17</v>
      </c>
      <c r="S106" s="299">
        <f t="shared" si="56"/>
        <v>18</v>
      </c>
      <c r="T106" s="299">
        <f t="shared" si="56"/>
        <v>19</v>
      </c>
      <c r="U106" s="299">
        <f t="shared" si="56"/>
        <v>20</v>
      </c>
      <c r="V106" s="299">
        <f t="shared" si="56"/>
        <v>21</v>
      </c>
      <c r="W106" s="299">
        <f t="shared" si="56"/>
        <v>22</v>
      </c>
      <c r="X106" s="299">
        <f t="shared" si="56"/>
        <v>23</v>
      </c>
      <c r="Y106" s="299">
        <f t="shared" si="56"/>
        <v>24</v>
      </c>
      <c r="Z106" s="299">
        <f t="shared" si="56"/>
        <v>25</v>
      </c>
      <c r="AA106" s="299">
        <f t="shared" si="56"/>
        <v>26</v>
      </c>
      <c r="AB106" s="299">
        <f t="shared" si="56"/>
        <v>27</v>
      </c>
      <c r="AC106" s="299">
        <f t="shared" ref="AC106" si="57">AB106+1</f>
        <v>28</v>
      </c>
      <c r="AD106" s="299">
        <f t="shared" ref="AD106" si="58">AC106+1</f>
        <v>29</v>
      </c>
      <c r="AE106" s="299">
        <f t="shared" ref="AE106" si="59">AD106+1</f>
        <v>30</v>
      </c>
      <c r="AF106" s="299">
        <f t="shared" si="56"/>
        <v>31</v>
      </c>
      <c r="AG106" s="299">
        <f t="shared" si="56"/>
        <v>32</v>
      </c>
      <c r="AH106" s="299">
        <f t="shared" si="56"/>
        <v>33</v>
      </c>
      <c r="AI106" s="299">
        <f t="shared" si="56"/>
        <v>34</v>
      </c>
      <c r="AJ106" s="299">
        <f t="shared" si="56"/>
        <v>35</v>
      </c>
      <c r="AK106" s="299">
        <f t="shared" si="56"/>
        <v>36</v>
      </c>
      <c r="AL106" s="299">
        <f t="shared" si="56"/>
        <v>37</v>
      </c>
      <c r="AM106" s="299">
        <f t="shared" si="56"/>
        <v>38</v>
      </c>
      <c r="AN106" s="299">
        <f t="shared" si="56"/>
        <v>39</v>
      </c>
      <c r="AO106" s="292"/>
      <c r="AP106" s="292"/>
      <c r="AQ106" s="292"/>
    </row>
    <row r="107" spans="2:43" x14ac:dyDescent="0.25">
      <c r="B107" s="300" t="s">
        <v>2202</v>
      </c>
      <c r="C107" s="949" t="s">
        <v>2203</v>
      </c>
      <c r="D107" s="949"/>
      <c r="E107" s="949" t="s">
        <v>2204</v>
      </c>
      <c r="F107" s="949"/>
      <c r="G107" s="300" t="s">
        <v>2205</v>
      </c>
      <c r="H107" s="300" t="s">
        <v>2205</v>
      </c>
      <c r="I107" s="300" t="s">
        <v>2206</v>
      </c>
      <c r="J107" s="300" t="s">
        <v>2207</v>
      </c>
      <c r="K107" s="300" t="s">
        <v>2208</v>
      </c>
      <c r="L107" s="300" t="s">
        <v>2209</v>
      </c>
      <c r="M107" s="949" t="s">
        <v>2210</v>
      </c>
      <c r="N107" s="949"/>
      <c r="O107" s="300" t="s">
        <v>2211</v>
      </c>
      <c r="P107" s="300" t="s">
        <v>2212</v>
      </c>
      <c r="Q107" s="300" t="s">
        <v>2213</v>
      </c>
      <c r="R107" s="949" t="s">
        <v>2214</v>
      </c>
      <c r="S107" s="949"/>
      <c r="T107" s="949" t="s">
        <v>2215</v>
      </c>
      <c r="U107" s="949"/>
      <c r="V107" s="300" t="s">
        <v>2216</v>
      </c>
      <c r="W107" s="300" t="s">
        <v>2217</v>
      </c>
      <c r="X107" s="300" t="s">
        <v>2218</v>
      </c>
      <c r="Y107" s="300" t="s">
        <v>2219</v>
      </c>
      <c r="Z107" s="300" t="s">
        <v>2220</v>
      </c>
      <c r="AA107" s="300" t="s">
        <v>2221</v>
      </c>
      <c r="AB107" s="300" t="s">
        <v>2222</v>
      </c>
      <c r="AC107" s="300" t="s">
        <v>1396</v>
      </c>
      <c r="AD107" s="300" t="s">
        <v>2223</v>
      </c>
      <c r="AE107" s="278" t="s">
        <v>1390</v>
      </c>
      <c r="AF107" s="300" t="s">
        <v>2224</v>
      </c>
      <c r="AG107" s="300" t="s">
        <v>2225</v>
      </c>
      <c r="AH107" s="300" t="s">
        <v>2226</v>
      </c>
      <c r="AI107" s="300" t="s">
        <v>2227</v>
      </c>
      <c r="AJ107" s="300" t="s">
        <v>2228</v>
      </c>
      <c r="AK107" s="300" t="s">
        <v>2229</v>
      </c>
      <c r="AL107" s="300" t="s">
        <v>2230</v>
      </c>
      <c r="AM107" s="300" t="s">
        <v>2231</v>
      </c>
      <c r="AN107" s="300" t="s">
        <v>2232</v>
      </c>
      <c r="AO107" s="292"/>
      <c r="AP107" s="292"/>
      <c r="AQ107" s="292"/>
    </row>
    <row r="108" spans="2:43" x14ac:dyDescent="0.25">
      <c r="B108" s="301" t="s">
        <v>1390</v>
      </c>
      <c r="C108" s="301" t="s">
        <v>2234</v>
      </c>
      <c r="D108" s="301" t="s">
        <v>2235</v>
      </c>
      <c r="E108" s="301" t="s">
        <v>2236</v>
      </c>
      <c r="F108" s="301" t="s">
        <v>23</v>
      </c>
      <c r="G108" s="301" t="s">
        <v>2237</v>
      </c>
      <c r="H108" s="301" t="s">
        <v>2238</v>
      </c>
      <c r="I108" s="301" t="s">
        <v>2239</v>
      </c>
      <c r="J108" s="301" t="s">
        <v>2240</v>
      </c>
      <c r="K108" s="301" t="s">
        <v>2241</v>
      </c>
      <c r="L108" s="301" t="s">
        <v>2242</v>
      </c>
      <c r="M108" s="301" t="s">
        <v>2243</v>
      </c>
      <c r="N108" s="301" t="s">
        <v>2244</v>
      </c>
      <c r="O108" s="301" t="s">
        <v>2245</v>
      </c>
      <c r="P108" s="301" t="s">
        <v>2246</v>
      </c>
      <c r="Q108" s="301" t="s">
        <v>6</v>
      </c>
      <c r="R108" s="301" t="s">
        <v>2234</v>
      </c>
      <c r="S108" s="301" t="s">
        <v>2235</v>
      </c>
      <c r="T108" s="301" t="s">
        <v>2234</v>
      </c>
      <c r="U108" s="301" t="s">
        <v>2235</v>
      </c>
      <c r="V108" s="301" t="s">
        <v>2247</v>
      </c>
      <c r="W108" s="301"/>
      <c r="X108" s="301" t="s">
        <v>2248</v>
      </c>
      <c r="Y108" s="301" t="s">
        <v>2249</v>
      </c>
      <c r="Z108" s="301" t="s">
        <v>2249</v>
      </c>
      <c r="AA108" s="301"/>
      <c r="AB108" s="301" t="s">
        <v>2247</v>
      </c>
      <c r="AC108" s="301" t="s">
        <v>2250</v>
      </c>
      <c r="AD108" s="301" t="s">
        <v>2250</v>
      </c>
      <c r="AE108" s="279" t="s">
        <v>2250</v>
      </c>
      <c r="AF108" s="301" t="s">
        <v>2250</v>
      </c>
      <c r="AG108" s="301" t="s">
        <v>2250</v>
      </c>
      <c r="AH108" s="301" t="s">
        <v>2250</v>
      </c>
      <c r="AI108" s="301" t="s">
        <v>2250</v>
      </c>
      <c r="AJ108" s="301" t="s">
        <v>2250</v>
      </c>
      <c r="AK108" s="301" t="s">
        <v>2250</v>
      </c>
      <c r="AL108" s="301" t="s">
        <v>2250</v>
      </c>
      <c r="AM108" s="301" t="s">
        <v>2250</v>
      </c>
      <c r="AN108" s="301" t="s">
        <v>2250</v>
      </c>
      <c r="AO108" s="292"/>
      <c r="AP108" s="292"/>
      <c r="AQ108" s="292"/>
    </row>
    <row r="109" spans="2:43" ht="13" x14ac:dyDescent="0.3">
      <c r="B109" s="302" t="s">
        <v>1404</v>
      </c>
      <c r="C109" s="301"/>
      <c r="D109" s="301"/>
      <c r="E109" s="301"/>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292"/>
      <c r="AP109" s="292"/>
      <c r="AQ109" s="292"/>
    </row>
    <row r="110" spans="2:43" x14ac:dyDescent="0.25">
      <c r="B110" s="304" t="s">
        <v>2338</v>
      </c>
      <c r="C110" s="305">
        <v>969.51277211356467</v>
      </c>
      <c r="D110" s="305">
        <v>967.59331103506906</v>
      </c>
      <c r="E110" s="305">
        <v>0.53816190721752066</v>
      </c>
      <c r="F110" s="305">
        <v>0.53816190721752066</v>
      </c>
      <c r="G110" s="305">
        <v>0.7</v>
      </c>
      <c r="H110" s="305">
        <v>1.4999999999999999E-2</v>
      </c>
      <c r="I110" s="306">
        <v>15</v>
      </c>
      <c r="J110" s="306">
        <v>118.37034307281986</v>
      </c>
      <c r="K110" s="306">
        <v>59.999999999568793</v>
      </c>
      <c r="L110" s="306">
        <v>123.86579641734077</v>
      </c>
      <c r="M110" s="304">
        <v>600</v>
      </c>
      <c r="N110" s="307"/>
      <c r="O110" s="306">
        <v>3.1989999999999998</v>
      </c>
      <c r="P110" s="306">
        <v>2.3239442665966559</v>
      </c>
      <c r="Q110" s="306">
        <v>24.363199999999978</v>
      </c>
      <c r="R110" s="306">
        <v>1.6</v>
      </c>
      <c r="S110" s="306">
        <v>2</v>
      </c>
      <c r="T110" s="305">
        <v>967.91277211356464</v>
      </c>
      <c r="U110" s="305">
        <v>965.99331103506904</v>
      </c>
      <c r="V110" s="306">
        <v>0</v>
      </c>
      <c r="W110" s="306" t="s">
        <v>1999</v>
      </c>
      <c r="X110" s="306">
        <v>500</v>
      </c>
      <c r="Y110" s="306">
        <f>IFERROR(IF(X110&lt;=600,(PI()*0.72*0.72/4-PI()*0.6*0.6/4)*(C110-AB110)+(1.3*1.3-1.1*1.1)*1.6,IF(X110=800,(PI()*0.72*0.72/4-PI()*0.6*0.6/4)*(C110-AB110)+(1.5*1.5-1.1*1.1)*1.6,IF(X110=1000,(PI()*0.72*0.72/4-PI()*0.6*0.6/4)*(C110-AB110)+(1.94*1.94-1.5*1.5)*2.25,IF(X110=1200,(PI()*0.72*0.72/4-PI()*0.6*0.6/4)*(C110-AB110)+(-1.8*1.8+2.14*2.14)*2.25,IF(X110=1500,(PI()*0.72*0.72/4-PI()*0.6*0.6/4)*(C110-AB110)+(-2.2*2.2+2.44*2.44)*2.65,0))))),0)</f>
        <v>1.2648534832306262</v>
      </c>
      <c r="Z110" s="306">
        <f>K110*IF(X110&lt;=600,PI()*(0.06*2+X110/1000)*(0.06*2+X110/1000)/4-PI()*(X110/1000)*(X110/1000)/4,IF(X110=800,PI()*(0.08*2+X110/1000)*(0.08*2+X110/1000)/4-PI()*(X110/1000)*(X110/1000)/4,IF(X110&lt;=1000,PI()*(0.1*2+X110/1000)*(0.1*2+X110/1000)/4-PI()*(X110/1000)*(X110/1000)/4,IF(X110&lt;=1200,PI()*(0.12*2+X110/1000)*(0.12*2+X110/1000)/4-PI()*(X110/1000)*(X110/1000)/4,IF(X110&lt;=1500,PI()*(0.15*2+X110/1000)*(0.15*2+X110/1000)/4-PI()*(X110/1000)*(X110/1000)/4,0)))))</f>
        <v>6.3334507895915069</v>
      </c>
      <c r="AA110" s="306" t="s">
        <v>1634</v>
      </c>
      <c r="AB110" s="305">
        <v>965.51900000000001</v>
      </c>
      <c r="AC110" s="305"/>
      <c r="AD110" s="305"/>
      <c r="AE110" s="308" t="str">
        <f>IF(OR(RIGHT(LEFT(B110,7),1)="&gt;",RIGHT(LEFT(B110,7),1)="-"),IF(OR(RIGHT(LEFT(B110,6),1)="&gt;",RIGHT(LEFT(B110,6),1)="-"),LEFT(B110,5),LEFT(B110,6)),LEFT(B110,7))</f>
        <v>PV1.1</v>
      </c>
      <c r="AF110" s="309">
        <f>COUNTIF(M110,600)</f>
        <v>1</v>
      </c>
      <c r="AG110" s="309">
        <f>COUNTIF(M110,800)</f>
        <v>0</v>
      </c>
      <c r="AH110" s="309">
        <f>COUNTIF(M110,1000)</f>
        <v>0</v>
      </c>
      <c r="AI110" s="309">
        <f>COUNTIF(M110,1200)</f>
        <v>0</v>
      </c>
      <c r="AJ110" s="309">
        <f>COUNTIF(M110,1500)</f>
        <v>0</v>
      </c>
      <c r="AK110" s="309">
        <f>COUNTIF(M110,1650)</f>
        <v>0</v>
      </c>
      <c r="AL110" s="309">
        <f>AK110*IF((R110+S110)/2-1.65&lt;=2,1,0)</f>
        <v>0</v>
      </c>
      <c r="AM110" s="309">
        <f>AK110*IF((R110+S110)/2-1.65&lt;=3,1,0)-AL110</f>
        <v>0</v>
      </c>
      <c r="AN110" s="309">
        <f>AK110*IF((R110+S110)/2-1.65&lt;=4,1,0)-AL110-AM110</f>
        <v>0</v>
      </c>
      <c r="AO110" s="292"/>
      <c r="AP110" s="292"/>
      <c r="AQ110" s="310" t="str">
        <f>W110</f>
        <v>ASFALTO</v>
      </c>
    </row>
    <row r="111" spans="2:43" ht="13" x14ac:dyDescent="0.3">
      <c r="B111" s="302" t="s">
        <v>1414</v>
      </c>
      <c r="C111" s="301"/>
      <c r="D111" s="301"/>
      <c r="E111" s="301"/>
      <c r="F111" s="301"/>
      <c r="G111" s="301"/>
      <c r="H111" s="301"/>
      <c r="I111" s="301"/>
      <c r="J111" s="301"/>
      <c r="K111" s="301"/>
      <c r="L111" s="301"/>
      <c r="M111" s="301"/>
      <c r="N111" s="301"/>
      <c r="O111" s="301"/>
      <c r="P111" s="301"/>
      <c r="Q111" s="301"/>
      <c r="R111" s="301"/>
      <c r="S111" s="301"/>
      <c r="T111" s="301"/>
      <c r="U111" s="301"/>
      <c r="V111" s="301"/>
      <c r="W111" s="312"/>
      <c r="X111" s="312"/>
      <c r="Y111" s="312"/>
      <c r="Z111" s="312"/>
      <c r="AA111" s="312"/>
      <c r="AB111" s="312"/>
      <c r="AC111" s="312"/>
      <c r="AD111" s="312"/>
      <c r="AE111" s="301"/>
      <c r="AF111" s="301"/>
      <c r="AG111" s="301"/>
      <c r="AH111" s="301"/>
      <c r="AI111" s="301"/>
      <c r="AJ111" s="301"/>
      <c r="AK111" s="301"/>
      <c r="AL111" s="301"/>
      <c r="AM111" s="301"/>
      <c r="AN111" s="301"/>
      <c r="AO111" s="292"/>
      <c r="AP111" s="292"/>
      <c r="AQ111" s="292"/>
    </row>
    <row r="112" spans="2:43" s="271" customFormat="1" x14ac:dyDescent="0.25">
      <c r="B112" s="304" t="s">
        <v>2251</v>
      </c>
      <c r="C112" s="305">
        <v>969.87199999999996</v>
      </c>
      <c r="D112" s="305">
        <v>968.78399999999999</v>
      </c>
      <c r="E112" s="305">
        <v>0.82899999999999996</v>
      </c>
      <c r="F112" s="305">
        <v>0.82899999999999996</v>
      </c>
      <c r="G112" s="305">
        <v>0.7</v>
      </c>
      <c r="H112" s="305">
        <v>1.4999999999999999E-2</v>
      </c>
      <c r="I112" s="306">
        <v>15</v>
      </c>
      <c r="J112" s="306">
        <v>117.89</v>
      </c>
      <c r="K112" s="306">
        <v>34.01</v>
      </c>
      <c r="L112" s="306">
        <v>190.09</v>
      </c>
      <c r="M112" s="304">
        <v>600</v>
      </c>
      <c r="N112" s="304"/>
      <c r="O112" s="306">
        <v>3.21</v>
      </c>
      <c r="P112" s="306">
        <v>2.63</v>
      </c>
      <c r="Q112" s="306">
        <v>30.28</v>
      </c>
      <c r="R112" s="306">
        <v>1.6</v>
      </c>
      <c r="S112" s="306">
        <v>1.6</v>
      </c>
      <c r="T112" s="305">
        <v>968.27200000000005</v>
      </c>
      <c r="U112" s="305">
        <v>967.18100000000004</v>
      </c>
      <c r="V112" s="306">
        <v>0</v>
      </c>
      <c r="W112" s="306" t="s">
        <v>1999</v>
      </c>
      <c r="X112" s="306">
        <v>400</v>
      </c>
      <c r="Y112" s="306">
        <f>IFERROR(IF(X112&lt;=600,(PI()*0.72*0.72/4-PI()*0.6*0.6/4)*(C112-AB112)+(1.3*1.3-1.1*1.1)*1.6,IF(X112=800,(PI()*0.72*0.72/4-PI()*0.6*0.6/4)*(C112-AB112)+(1.5*1.5-1.1*1.1)*1.6,IF(X112=1000,(PI()*0.72*0.72/4-PI()*0.6*0.6/4)*(C112-AB112)+(1.94*1.94-1.5*1.5)*2.25,IF(X112=1200,(PI()*0.72*0.72/4-PI()*0.6*0.6/4)*(C112-AB112)+(-1.8*1.8+2.14*2.14)*2.25,IF(X112=1500,(PI()*0.72*0.72/4-PI()*0.6*0.6/4)*(C112-AB112)+(-2.2*2.2+2.44*2.44)*2.65,0))))),0)</f>
        <v>0.99342560917686784</v>
      </c>
      <c r="Z112" s="306">
        <f t="shared" ref="Z112:Z117" si="60">K112*IF(X112&lt;=600,PI()*(0.06*2+X112/1000)*(0.06*2+X112/1000)/4-PI()*(X112/1000)*(X112/1000)/4,IF(X112=800,PI()*(0.08*2+X112/1000)*(0.08*2+X112/1000)/4-PI()*(X112/1000)*(X112/1000)/4,IF(X112&lt;=1000,PI()*(0.1*2+X112/1000)*(0.1*2+X112/1000)/4-PI()*(X112/1000)*(X112/1000)/4,IF(X112&lt;=1200,PI()*(0.12*2+X112/1000)*(0.12*2+X112/1000)/4-PI()*(X112/1000)*(X112/1000)/4,IF(X112&lt;=1500,PI()*(0.15*2+X112/1000)*(0.15*2+X112/1000)/4-PI()*(X112/1000)*(X112/1000)/4,0)))))</f>
        <v>2.9489376257010522</v>
      </c>
      <c r="AA112" s="306" t="s">
        <v>2339</v>
      </c>
      <c r="AB112" s="305">
        <v>968.06</v>
      </c>
      <c r="AC112" s="305"/>
      <c r="AD112" s="305"/>
      <c r="AE112" s="308" t="str">
        <f t="shared" ref="AE112:AE117" si="61">IF(OR(RIGHT(LEFT(B112,7),1)="&gt;",RIGHT(LEFT(B112,7),1)="-"),IF(OR(RIGHT(LEFT(B112,6),1)="&gt;",RIGHT(LEFT(B112,6),1)="-"),LEFT(B112,5),LEFT(B112,6)),LEFT(B112,7))</f>
        <v>PV1.1</v>
      </c>
      <c r="AF112" s="309">
        <f t="shared" ref="AF112:AF117" si="62">COUNTIF(M112,600)</f>
        <v>1</v>
      </c>
      <c r="AG112" s="309">
        <f t="shared" ref="AG112:AG117" si="63">COUNTIF(M112,800)</f>
        <v>0</v>
      </c>
      <c r="AH112" s="309">
        <f t="shared" ref="AH112:AH117" si="64">COUNTIF(M112,1000)</f>
        <v>0</v>
      </c>
      <c r="AI112" s="309">
        <f t="shared" ref="AI112:AI117" si="65">COUNTIF(M112,1200)</f>
        <v>0</v>
      </c>
      <c r="AJ112" s="309">
        <f t="shared" ref="AJ112:AJ117" si="66">COUNTIF(M112,1500)</f>
        <v>0</v>
      </c>
      <c r="AK112" s="309">
        <f t="shared" ref="AK112:AK117" si="67">COUNTIF(M112,1650)</f>
        <v>0</v>
      </c>
      <c r="AL112" s="309">
        <f t="shared" ref="AL112:AL117" si="68">AK112*IF((R112+S112)/2-1.65&lt;=2,1,0)</f>
        <v>0</v>
      </c>
      <c r="AM112" s="309">
        <f t="shared" ref="AM112:AM117" si="69">AK112*IF((R112+S112)/2-1.65&lt;=3,1,0)-AL112</f>
        <v>0</v>
      </c>
      <c r="AN112" s="309">
        <f t="shared" ref="AN112:AN117" si="70">AK112*IF((R112+S112)/2-1.65&lt;=4,1,0)-AL112-AM112</f>
        <v>0</v>
      </c>
      <c r="AO112" s="292"/>
      <c r="AP112" s="292"/>
      <c r="AQ112" s="310" t="str">
        <f t="shared" ref="AQ112:AQ117" si="71">W112</f>
        <v>ASFALTO</v>
      </c>
    </row>
    <row r="113" spans="2:43" s="271" customFormat="1" x14ac:dyDescent="0.25">
      <c r="B113" s="304" t="s">
        <v>2253</v>
      </c>
      <c r="C113" s="305">
        <v>968.78399999999999</v>
      </c>
      <c r="D113" s="305">
        <v>967.69</v>
      </c>
      <c r="E113" s="305">
        <v>0</v>
      </c>
      <c r="F113" s="305">
        <v>0.82899999999999996</v>
      </c>
      <c r="G113" s="305">
        <v>0.7</v>
      </c>
      <c r="H113" s="305">
        <v>1.4999999999999999E-2</v>
      </c>
      <c r="I113" s="306">
        <v>15.215999999999999</v>
      </c>
      <c r="J113" s="306">
        <v>117.19</v>
      </c>
      <c r="K113" s="306">
        <v>34.01</v>
      </c>
      <c r="L113" s="306">
        <v>188.94</v>
      </c>
      <c r="M113" s="304">
        <v>600</v>
      </c>
      <c r="N113" s="304"/>
      <c r="O113" s="306">
        <v>3.21</v>
      </c>
      <c r="P113" s="306">
        <v>2.63</v>
      </c>
      <c r="Q113" s="306">
        <v>30.19</v>
      </c>
      <c r="R113" s="306">
        <v>1.6</v>
      </c>
      <c r="S113" s="306">
        <v>1.6</v>
      </c>
      <c r="T113" s="305">
        <v>967.18100000000004</v>
      </c>
      <c r="U113" s="305">
        <v>966.09</v>
      </c>
      <c r="V113" s="306">
        <v>0</v>
      </c>
      <c r="W113" s="306" t="s">
        <v>1999</v>
      </c>
      <c r="X113" s="306">
        <v>400</v>
      </c>
      <c r="Y113" s="306"/>
      <c r="Z113" s="306">
        <f t="shared" si="60"/>
        <v>2.9489376257010522</v>
      </c>
      <c r="AA113" s="306"/>
      <c r="AB113" s="305"/>
      <c r="AC113" s="305"/>
      <c r="AD113" s="305"/>
      <c r="AE113" s="308" t="str">
        <f t="shared" si="61"/>
        <v>PV2.1</v>
      </c>
      <c r="AF113" s="309">
        <f t="shared" si="62"/>
        <v>1</v>
      </c>
      <c r="AG113" s="309">
        <f t="shared" si="63"/>
        <v>0</v>
      </c>
      <c r="AH113" s="309">
        <f t="shared" si="64"/>
        <v>0</v>
      </c>
      <c r="AI113" s="309">
        <f t="shared" si="65"/>
        <v>0</v>
      </c>
      <c r="AJ113" s="309">
        <f t="shared" si="66"/>
        <v>0</v>
      </c>
      <c r="AK113" s="309">
        <f t="shared" si="67"/>
        <v>0</v>
      </c>
      <c r="AL113" s="309">
        <f t="shared" si="68"/>
        <v>0</v>
      </c>
      <c r="AM113" s="309">
        <f t="shared" si="69"/>
        <v>0</v>
      </c>
      <c r="AN113" s="309">
        <f t="shared" si="70"/>
        <v>0</v>
      </c>
      <c r="AO113" s="292"/>
      <c r="AP113" s="292"/>
      <c r="AQ113" s="310" t="str">
        <f t="shared" si="71"/>
        <v>ASFALTO</v>
      </c>
    </row>
    <row r="114" spans="2:43" s="271" customFormat="1" x14ac:dyDescent="0.25">
      <c r="B114" s="304" t="s">
        <v>2255</v>
      </c>
      <c r="C114" s="305">
        <v>967.69</v>
      </c>
      <c r="D114" s="305">
        <v>966.755</v>
      </c>
      <c r="E114" s="305">
        <v>0.54400000000000004</v>
      </c>
      <c r="F114" s="305">
        <v>1.373</v>
      </c>
      <c r="G114" s="305">
        <v>0.7</v>
      </c>
      <c r="H114" s="305">
        <v>1.4999999999999999E-2</v>
      </c>
      <c r="I114" s="306">
        <v>15.430999999999999</v>
      </c>
      <c r="J114" s="306">
        <v>116.48</v>
      </c>
      <c r="K114" s="306">
        <v>32.94</v>
      </c>
      <c r="L114" s="306">
        <v>311.08</v>
      </c>
      <c r="M114" s="304">
        <v>600</v>
      </c>
      <c r="N114" s="304"/>
      <c r="O114" s="306">
        <v>2.75</v>
      </c>
      <c r="P114" s="306">
        <v>2.85</v>
      </c>
      <c r="Q114" s="306">
        <v>41.01</v>
      </c>
      <c r="R114" s="306">
        <v>1.6</v>
      </c>
      <c r="S114" s="306">
        <v>1.57</v>
      </c>
      <c r="T114" s="305">
        <v>966.09</v>
      </c>
      <c r="U114" s="305">
        <v>965.18499999999995</v>
      </c>
      <c r="V114" s="306">
        <v>0</v>
      </c>
      <c r="W114" s="306" t="s">
        <v>1999</v>
      </c>
      <c r="X114" s="306">
        <v>500</v>
      </c>
      <c r="Y114" s="306">
        <f>IFERROR(IF(X114&lt;=600,(PI()*0.72*0.72/4-PI()*0.6*0.6/4)*(C114-AB114)+(1.3*1.3-1.1*1.1)*1.6,IF(X114=800,(PI()*0.72*0.72/4-PI()*0.6*0.6/4)*(C114-AB114)+(1.5*1.5-1.1*1.1)*1.6,IF(X114=1000,(PI()*0.72*0.72/4-PI()*0.6*0.6/4)*(C114-AB114)+(1.94*1.94-1.5*1.5)*2.25,IF(X114=1200,(PI()*0.72*0.72/4-PI()*0.6*0.6/4)*(C114-AB114)+(-1.8*1.8+2.14*2.14)*2.25,IF(X114=1500,(PI()*0.72*0.72/4-PI()*0.6*0.6/4)*(C114-AB114)+(-2.2*2.2+2.44*2.44)*2.65,0))))),0)</f>
        <v>1.0918316008208597</v>
      </c>
      <c r="Z114" s="306">
        <f t="shared" si="60"/>
        <v>3.4770644835107261</v>
      </c>
      <c r="AA114" s="306" t="s">
        <v>2340</v>
      </c>
      <c r="AB114" s="305">
        <v>965.08699999999999</v>
      </c>
      <c r="AC114" s="305"/>
      <c r="AD114" s="305"/>
      <c r="AE114" s="308" t="str">
        <f t="shared" si="61"/>
        <v>PV3.1</v>
      </c>
      <c r="AF114" s="309">
        <f t="shared" si="62"/>
        <v>1</v>
      </c>
      <c r="AG114" s="309">
        <f t="shared" si="63"/>
        <v>0</v>
      </c>
      <c r="AH114" s="309">
        <f t="shared" si="64"/>
        <v>0</v>
      </c>
      <c r="AI114" s="309">
        <f t="shared" si="65"/>
        <v>0</v>
      </c>
      <c r="AJ114" s="309">
        <f t="shared" si="66"/>
        <v>0</v>
      </c>
      <c r="AK114" s="309">
        <f t="shared" si="67"/>
        <v>0</v>
      </c>
      <c r="AL114" s="309">
        <f t="shared" si="68"/>
        <v>0</v>
      </c>
      <c r="AM114" s="309">
        <f t="shared" si="69"/>
        <v>0</v>
      </c>
      <c r="AN114" s="309">
        <f t="shared" si="70"/>
        <v>0</v>
      </c>
      <c r="AO114" s="292"/>
      <c r="AP114" s="292"/>
      <c r="AQ114" s="310" t="str">
        <f t="shared" si="71"/>
        <v>ASFALTO</v>
      </c>
    </row>
    <row r="115" spans="2:43" s="271" customFormat="1" x14ac:dyDescent="0.25">
      <c r="B115" s="304" t="s">
        <v>2257</v>
      </c>
      <c r="C115" s="305">
        <v>966.755</v>
      </c>
      <c r="D115" s="305">
        <v>965.88</v>
      </c>
      <c r="E115" s="305">
        <v>0</v>
      </c>
      <c r="F115" s="305">
        <v>1.373</v>
      </c>
      <c r="G115" s="305">
        <v>0.7</v>
      </c>
      <c r="H115" s="305">
        <v>1.4999999999999999E-2</v>
      </c>
      <c r="I115" s="306">
        <v>15.624000000000001</v>
      </c>
      <c r="J115" s="306">
        <v>115.86</v>
      </c>
      <c r="K115" s="306">
        <v>32.94</v>
      </c>
      <c r="L115" s="306">
        <v>309.43</v>
      </c>
      <c r="M115" s="304">
        <v>600</v>
      </c>
      <c r="N115" s="304"/>
      <c r="O115" s="306">
        <v>2.75</v>
      </c>
      <c r="P115" s="306">
        <v>2.85</v>
      </c>
      <c r="Q115" s="306">
        <v>40.89</v>
      </c>
      <c r="R115" s="306">
        <v>1.57</v>
      </c>
      <c r="S115" s="306">
        <v>1.6</v>
      </c>
      <c r="T115" s="305">
        <v>965.18499999999995</v>
      </c>
      <c r="U115" s="305">
        <v>964.28</v>
      </c>
      <c r="V115" s="306">
        <v>0</v>
      </c>
      <c r="W115" s="306" t="s">
        <v>1999</v>
      </c>
      <c r="X115" s="306">
        <v>500</v>
      </c>
      <c r="Y115" s="306"/>
      <c r="Z115" s="306">
        <f t="shared" si="60"/>
        <v>3.4770644835107261</v>
      </c>
      <c r="AA115" s="306"/>
      <c r="AB115" s="305"/>
      <c r="AC115" s="305"/>
      <c r="AD115" s="305"/>
      <c r="AE115" s="308" t="str">
        <f t="shared" si="61"/>
        <v>PV4.1</v>
      </c>
      <c r="AF115" s="309">
        <f t="shared" si="62"/>
        <v>1</v>
      </c>
      <c r="AG115" s="309">
        <f t="shared" si="63"/>
        <v>0</v>
      </c>
      <c r="AH115" s="309">
        <f t="shared" si="64"/>
        <v>0</v>
      </c>
      <c r="AI115" s="309">
        <f t="shared" si="65"/>
        <v>0</v>
      </c>
      <c r="AJ115" s="309">
        <f t="shared" si="66"/>
        <v>0</v>
      </c>
      <c r="AK115" s="309">
        <f t="shared" si="67"/>
        <v>0</v>
      </c>
      <c r="AL115" s="309">
        <f t="shared" si="68"/>
        <v>0</v>
      </c>
      <c r="AM115" s="309">
        <f t="shared" si="69"/>
        <v>0</v>
      </c>
      <c r="AN115" s="309">
        <f t="shared" si="70"/>
        <v>0</v>
      </c>
      <c r="AO115" s="292"/>
      <c r="AP115" s="292"/>
      <c r="AQ115" s="310" t="str">
        <f t="shared" si="71"/>
        <v>ASFALTO</v>
      </c>
    </row>
    <row r="116" spans="2:43" s="271" customFormat="1" x14ac:dyDescent="0.25">
      <c r="B116" s="304" t="s">
        <v>2258</v>
      </c>
      <c r="C116" s="305">
        <v>965.88</v>
      </c>
      <c r="D116" s="305">
        <v>965.01400000000001</v>
      </c>
      <c r="E116" s="305">
        <v>0.503</v>
      </c>
      <c r="F116" s="305">
        <v>1.8759999999999999</v>
      </c>
      <c r="G116" s="305">
        <v>0.7</v>
      </c>
      <c r="H116" s="305">
        <v>1.4999999999999999E-2</v>
      </c>
      <c r="I116" s="306">
        <v>15.817</v>
      </c>
      <c r="J116" s="306">
        <v>115.25</v>
      </c>
      <c r="K116" s="306">
        <v>35.049999999999997</v>
      </c>
      <c r="L116" s="306">
        <v>420.47</v>
      </c>
      <c r="M116" s="304">
        <v>600</v>
      </c>
      <c r="N116" s="304"/>
      <c r="O116" s="306">
        <v>4.62</v>
      </c>
      <c r="P116" s="306">
        <v>3.74</v>
      </c>
      <c r="Q116" s="306">
        <v>41.96</v>
      </c>
      <c r="R116" s="306">
        <v>1.6</v>
      </c>
      <c r="S116" s="306">
        <v>2.35</v>
      </c>
      <c r="T116" s="305">
        <v>964.28</v>
      </c>
      <c r="U116" s="305">
        <v>962.66</v>
      </c>
      <c r="V116" s="306">
        <v>0</v>
      </c>
      <c r="W116" s="306" t="s">
        <v>1999</v>
      </c>
      <c r="X116" s="306">
        <v>500</v>
      </c>
      <c r="Y116" s="306">
        <f>IFERROR(IF(X116&lt;=600,(PI()*0.72*0.72/4-PI()*0.6*0.6/4)*(C116-AB116)+(1.3*1.3-1.1*1.1)*1.6,IF(X116=800,(PI()*0.72*0.72/4-PI()*0.6*0.6/4)*(C116-AB116)+(1.5*1.5-1.1*1.1)*1.6,IF(X116=1000,(PI()*0.72*0.72/4-PI()*0.6*0.6/4)*(C116-AB116)+(1.94*1.94-1.5*1.5)*2.25,IF(X116=1200,(PI()*0.72*0.72/4-PI()*0.6*0.6/4)*(C116-AB116)+(-1.8*1.8+2.14*2.14)*2.25,IF(X116=1500,(PI()*0.72*0.72/4-PI()*0.6*0.6/4)*(C116-AB116)+(-2.2*2.2+2.44*2.44)*2.65,0))))),0)</f>
        <v>1.0230344916184138</v>
      </c>
      <c r="Z116" s="306">
        <f t="shared" si="60"/>
        <v>3.6997908362796279</v>
      </c>
      <c r="AA116" s="306" t="s">
        <v>2341</v>
      </c>
      <c r="AB116" s="305">
        <v>963.83</v>
      </c>
      <c r="AC116" s="305"/>
      <c r="AD116" s="305"/>
      <c r="AE116" s="308" t="str">
        <f t="shared" si="61"/>
        <v>PV5.1</v>
      </c>
      <c r="AF116" s="309">
        <f t="shared" si="62"/>
        <v>1</v>
      </c>
      <c r="AG116" s="309">
        <f t="shared" si="63"/>
        <v>0</v>
      </c>
      <c r="AH116" s="309">
        <f t="shared" si="64"/>
        <v>0</v>
      </c>
      <c r="AI116" s="309">
        <f t="shared" si="65"/>
        <v>0</v>
      </c>
      <c r="AJ116" s="309">
        <f t="shared" si="66"/>
        <v>0</v>
      </c>
      <c r="AK116" s="309">
        <f t="shared" si="67"/>
        <v>0</v>
      </c>
      <c r="AL116" s="309">
        <f t="shared" si="68"/>
        <v>0</v>
      </c>
      <c r="AM116" s="309">
        <f t="shared" si="69"/>
        <v>0</v>
      </c>
      <c r="AN116" s="309">
        <f t="shared" si="70"/>
        <v>0</v>
      </c>
      <c r="AO116" s="292"/>
      <c r="AP116" s="292"/>
      <c r="AQ116" s="310" t="str">
        <f t="shared" si="71"/>
        <v>ASFALTO</v>
      </c>
    </row>
    <row r="117" spans="2:43" s="271" customFormat="1" x14ac:dyDescent="0.25">
      <c r="B117" s="304" t="s">
        <v>2260</v>
      </c>
      <c r="C117" s="305">
        <v>965.01400000000001</v>
      </c>
      <c r="D117" s="305">
        <v>964.04</v>
      </c>
      <c r="E117" s="305">
        <v>0</v>
      </c>
      <c r="F117" s="305">
        <v>1.8759999999999999</v>
      </c>
      <c r="G117" s="305">
        <v>0.7</v>
      </c>
      <c r="H117" s="305">
        <v>1.4999999999999999E-2</v>
      </c>
      <c r="I117" s="306">
        <v>15.973000000000001</v>
      </c>
      <c r="J117" s="306">
        <v>114.76</v>
      </c>
      <c r="K117" s="306">
        <v>35.049999999999997</v>
      </c>
      <c r="L117" s="306">
        <v>418.67</v>
      </c>
      <c r="M117" s="304">
        <v>600</v>
      </c>
      <c r="N117" s="304"/>
      <c r="O117" s="306">
        <v>4.62</v>
      </c>
      <c r="P117" s="306">
        <v>3.73</v>
      </c>
      <c r="Q117" s="306">
        <v>41.86</v>
      </c>
      <c r="R117" s="306">
        <v>2.35</v>
      </c>
      <c r="S117" s="306">
        <v>3</v>
      </c>
      <c r="T117" s="305">
        <v>962.66</v>
      </c>
      <c r="U117" s="305">
        <v>961.04</v>
      </c>
      <c r="V117" s="306">
        <v>0</v>
      </c>
      <c r="W117" s="306" t="s">
        <v>1999</v>
      </c>
      <c r="X117" s="306">
        <v>500</v>
      </c>
      <c r="Y117" s="306"/>
      <c r="Z117" s="306">
        <f t="shared" si="60"/>
        <v>3.6997908362796279</v>
      </c>
      <c r="AA117" s="306"/>
      <c r="AB117" s="305"/>
      <c r="AC117" s="305"/>
      <c r="AD117" s="305"/>
      <c r="AE117" s="308" t="str">
        <f t="shared" si="61"/>
        <v>PV6.1</v>
      </c>
      <c r="AF117" s="309">
        <f t="shared" si="62"/>
        <v>1</v>
      </c>
      <c r="AG117" s="309">
        <f t="shared" si="63"/>
        <v>0</v>
      </c>
      <c r="AH117" s="309">
        <f t="shared" si="64"/>
        <v>0</v>
      </c>
      <c r="AI117" s="309">
        <f t="shared" si="65"/>
        <v>0</v>
      </c>
      <c r="AJ117" s="309">
        <f t="shared" si="66"/>
        <v>0</v>
      </c>
      <c r="AK117" s="309">
        <f t="shared" si="67"/>
        <v>0</v>
      </c>
      <c r="AL117" s="309">
        <f t="shared" si="68"/>
        <v>0</v>
      </c>
      <c r="AM117" s="309">
        <f t="shared" si="69"/>
        <v>0</v>
      </c>
      <c r="AN117" s="309">
        <f t="shared" si="70"/>
        <v>0</v>
      </c>
      <c r="AO117" s="292"/>
      <c r="AP117" s="292"/>
      <c r="AQ117" s="310" t="str">
        <f t="shared" si="71"/>
        <v>ASFALTO</v>
      </c>
    </row>
    <row r="118" spans="2:43" ht="13" x14ac:dyDescent="0.3">
      <c r="B118" s="302" t="s">
        <v>1627</v>
      </c>
      <c r="C118" s="301"/>
      <c r="D118" s="301"/>
      <c r="E118" s="301"/>
      <c r="F118" s="301"/>
      <c r="G118" s="301"/>
      <c r="H118" s="301"/>
      <c r="I118" s="301"/>
      <c r="J118" s="301"/>
      <c r="K118" s="301"/>
      <c r="L118" s="301"/>
      <c r="M118" s="301"/>
      <c r="N118" s="301"/>
      <c r="O118" s="301"/>
      <c r="P118" s="301"/>
      <c r="Q118" s="301"/>
      <c r="R118" s="301"/>
      <c r="S118" s="301"/>
      <c r="T118" s="301"/>
      <c r="U118" s="301"/>
      <c r="V118" s="301"/>
      <c r="W118" s="312"/>
      <c r="X118" s="312"/>
      <c r="Y118" s="312"/>
      <c r="Z118" s="312"/>
      <c r="AA118" s="312"/>
      <c r="AB118" s="312"/>
      <c r="AC118" s="312"/>
      <c r="AD118" s="312"/>
      <c r="AE118" s="301"/>
      <c r="AF118" s="301"/>
      <c r="AG118" s="301"/>
      <c r="AH118" s="301"/>
      <c r="AI118" s="301"/>
      <c r="AJ118" s="301"/>
      <c r="AK118" s="301"/>
      <c r="AL118" s="301"/>
      <c r="AM118" s="301"/>
      <c r="AN118" s="301"/>
      <c r="AO118" s="292"/>
      <c r="AP118" s="292"/>
      <c r="AQ118" s="292"/>
    </row>
    <row r="119" spans="2:43" x14ac:dyDescent="0.25">
      <c r="B119" s="304" t="s">
        <v>2342</v>
      </c>
      <c r="C119" s="305">
        <v>969.67700000000002</v>
      </c>
      <c r="D119" s="305">
        <v>967.79200000000003</v>
      </c>
      <c r="E119" s="305">
        <v>0.37</v>
      </c>
      <c r="F119" s="305">
        <v>0.37</v>
      </c>
      <c r="G119" s="305">
        <v>0.7</v>
      </c>
      <c r="H119" s="305">
        <v>1.4999999999999999E-2</v>
      </c>
      <c r="I119" s="306">
        <v>15.78</v>
      </c>
      <c r="J119" s="306">
        <v>129.11000000000001</v>
      </c>
      <c r="K119" s="306">
        <v>60</v>
      </c>
      <c r="L119" s="306">
        <v>92.92</v>
      </c>
      <c r="M119" s="304">
        <v>600</v>
      </c>
      <c r="N119" s="304"/>
      <c r="O119" s="306">
        <v>3.14</v>
      </c>
      <c r="P119" s="306">
        <v>2.12</v>
      </c>
      <c r="Q119" s="306">
        <v>21.2</v>
      </c>
      <c r="R119" s="306">
        <v>1.6</v>
      </c>
      <c r="S119" s="306">
        <v>1.75</v>
      </c>
      <c r="T119" s="305">
        <v>968.077</v>
      </c>
      <c r="U119" s="305">
        <v>966.19200000000001</v>
      </c>
      <c r="V119" s="306">
        <v>0</v>
      </c>
      <c r="W119" s="306" t="s">
        <v>1999</v>
      </c>
      <c r="X119" s="306">
        <v>400</v>
      </c>
      <c r="Y119" s="306">
        <f>IFERROR(IF(X119&lt;=600,(PI()*0.72*0.72/4-PI()*0.6*0.6/4)*(C119-AB119)+(1.3*1.3-1.1*1.1)*1.6,IF(X119=800,(PI()*0.72*0.72/4-PI()*0.6*0.6/4)*(C119-AB119)+(1.5*1.5-1.1*1.1)*1.6,IF(X119=1000,(PI()*0.72*0.72/4-PI()*0.6*0.6/4)*(C119-AB119)+(1.94*1.94-1.5*1.5)*2.25,IF(X119=1200,(PI()*0.72*0.72/4-PI()*0.6*0.6/4)*(C119-AB119)+(-1.8*1.8+2.14*2.14)*2.25,IF(X119=1500,(PI()*0.72*0.72/4-PI()*0.6*0.6/4)*(C119-AB119)+(-2.2*2.2+2.44*2.44)*2.65,0))))),0)</f>
        <v>1.2393783847522868</v>
      </c>
      <c r="Z119" s="306">
        <f>K119*IF(X119&lt;=600,PI()*(0.06*2+X119/1000)*(0.06*2+X119/1000)/4-PI()*(X119/1000)*(X119/1000)/4,IF(X119=800,PI()*(0.08*2+X119/1000)*(0.08*2+X119/1000)/4-PI()*(X119/1000)*(X119/1000)/4,IF(X119&lt;=1000,PI()*(0.1*2+X119/1000)*(0.1*2+X119/1000)/4-PI()*(X119/1000)*(X119/1000)/4,IF(X119&lt;=1200,PI()*(0.12*2+X119/1000)*(0.12*2+X119/1000)/4-PI()*(X119/1000)*(X119/1000)/4,IF(X119&lt;=1500,PI()*(0.15*2+X119/1000)*(0.15*2+X119/1000)/4-PI()*(X119/1000)*(X119/1000)/4,0)))))</f>
        <v>5.2024774343446971</v>
      </c>
      <c r="AA119" s="306" t="s">
        <v>2343</v>
      </c>
      <c r="AB119" s="305">
        <v>965.88800000000003</v>
      </c>
      <c r="AC119" s="305"/>
      <c r="AD119" s="305"/>
      <c r="AE119" s="308" t="str">
        <f>IF(OR(RIGHT(LEFT(B119,7),1)="&gt;",RIGHT(LEFT(B119,7),1)="-"),IF(OR(RIGHT(LEFT(B119,6),1)="&gt;",RIGHT(LEFT(B119,6),1)="-"),LEFT(B119,5),LEFT(B119,6)),LEFT(B119,7))</f>
        <v>PV1.1</v>
      </c>
      <c r="AF119" s="309">
        <f>COUNTIF(M119,600)</f>
        <v>1</v>
      </c>
      <c r="AG119" s="309">
        <f>COUNTIF(M119,800)</f>
        <v>0</v>
      </c>
      <c r="AH119" s="309">
        <f>COUNTIF(M119,1000)</f>
        <v>0</v>
      </c>
      <c r="AI119" s="309">
        <f>COUNTIF(M119,1200)</f>
        <v>0</v>
      </c>
      <c r="AJ119" s="309">
        <f>COUNTIF(M119,1500)</f>
        <v>0</v>
      </c>
      <c r="AK119" s="309">
        <f>COUNTIF(M119,1650)</f>
        <v>0</v>
      </c>
      <c r="AL119" s="309">
        <f>AK119*IF((R119+S119)/2-1.65&lt;=2,1,0)</f>
        <v>0</v>
      </c>
      <c r="AM119" s="309">
        <f>AK119*IF((R119+S119)/2-1.65&lt;=3,1,0)-AL119</f>
        <v>0</v>
      </c>
      <c r="AN119" s="309">
        <f>AK119*IF((R119+S119)/2-1.65&lt;=4,1,0)-AL119-AM119</f>
        <v>0</v>
      </c>
      <c r="AO119" s="292"/>
      <c r="AP119" s="292"/>
      <c r="AQ119" s="310" t="str">
        <f>W119</f>
        <v>ASFALTO</v>
      </c>
    </row>
    <row r="120" spans="2:43" ht="13" x14ac:dyDescent="0.3">
      <c r="B120" s="302" t="s">
        <v>1628</v>
      </c>
      <c r="C120" s="301"/>
      <c r="D120" s="301"/>
      <c r="E120" s="301"/>
      <c r="F120" s="301"/>
      <c r="G120" s="301"/>
      <c r="H120" s="301"/>
      <c r="I120" s="301"/>
      <c r="J120" s="301"/>
      <c r="K120" s="301"/>
      <c r="L120" s="301"/>
      <c r="M120" s="301"/>
      <c r="N120" s="301"/>
      <c r="O120" s="301"/>
      <c r="P120" s="301"/>
      <c r="Q120" s="301"/>
      <c r="R120" s="301"/>
      <c r="S120" s="301"/>
      <c r="T120" s="301"/>
      <c r="U120" s="301"/>
      <c r="V120" s="301"/>
      <c r="W120" s="312"/>
      <c r="X120" s="312"/>
      <c r="Y120" s="312"/>
      <c r="Z120" s="312"/>
      <c r="AA120" s="312"/>
      <c r="AB120" s="312"/>
      <c r="AC120" s="312"/>
      <c r="AD120" s="312"/>
      <c r="AE120" s="301"/>
      <c r="AF120" s="301"/>
      <c r="AG120" s="301"/>
      <c r="AH120" s="301"/>
      <c r="AI120" s="301"/>
      <c r="AJ120" s="301"/>
      <c r="AK120" s="301"/>
      <c r="AL120" s="301"/>
      <c r="AM120" s="301"/>
      <c r="AN120" s="301"/>
      <c r="AO120" s="292"/>
      <c r="AP120" s="292"/>
      <c r="AQ120" s="292"/>
    </row>
    <row r="121" spans="2:43" x14ac:dyDescent="0.25">
      <c r="B121" s="304" t="s">
        <v>2344</v>
      </c>
      <c r="C121" s="305">
        <v>962.31571308974435</v>
      </c>
      <c r="D121" s="305">
        <v>960.81557785027178</v>
      </c>
      <c r="E121" s="305">
        <v>0.56133486228827001</v>
      </c>
      <c r="F121" s="305">
        <v>0.56133486228827001</v>
      </c>
      <c r="G121" s="305">
        <v>0.7</v>
      </c>
      <c r="H121" s="305">
        <v>1.4999999999999999E-2</v>
      </c>
      <c r="I121" s="306">
        <v>15</v>
      </c>
      <c r="J121" s="306">
        <v>132.25366184445775</v>
      </c>
      <c r="K121" s="306">
        <v>59.999999999568793</v>
      </c>
      <c r="L121" s="306">
        <v>144.35281594723523</v>
      </c>
      <c r="M121" s="304">
        <v>600</v>
      </c>
      <c r="N121" s="304"/>
      <c r="O121" s="306">
        <v>2.5</v>
      </c>
      <c r="P121" s="306">
        <v>2.2243284437415718</v>
      </c>
      <c r="Q121" s="306">
        <v>28.027799999999875</v>
      </c>
      <c r="R121" s="306">
        <v>1.6000000000000227</v>
      </c>
      <c r="S121" s="306">
        <v>2</v>
      </c>
      <c r="T121" s="305">
        <v>960.71571308974433</v>
      </c>
      <c r="U121" s="305">
        <v>959.21557785027176</v>
      </c>
      <c r="V121" s="306">
        <v>0</v>
      </c>
      <c r="W121" s="306" t="s">
        <v>1999</v>
      </c>
      <c r="X121" s="306" t="s">
        <v>2254</v>
      </c>
      <c r="Y121" s="306">
        <f>IFERROR(IF(X121&lt;=600,(PI()*0.72*0.72/4-PI()*0.6*0.6/4)*(C121-AB121)+(1.3*1.3-1.1*1.1)*1.6,IF(X121=800,(PI()*0.72*0.72/4-PI()*0.6*0.6/4)*(C121-AB121)+(1.5*1.5-1.1*1.1)*1.6,IF(X121=1000,(PI()*0.72*0.72/4-PI()*0.6*0.6/4)*(C121-AB121)+(1.94*1.94-1.5*1.5)*2.25,IF(X121=1200,(PI()*0.72*0.72/4-PI()*0.6*0.6/4)*(C121-AB121)+(-1.8*1.8+2.14*2.14)*2.25,IF(X121=1500,(PI()*0.72*0.72/4-PI()*0.6*0.6/4)*(C121-AB121)+(-2.2*2.2+2.44*2.44)*2.65,0))))),0)</f>
        <v>0</v>
      </c>
      <c r="Z121" s="306">
        <f>K121*IF(X121&lt;=600,PI()*(0.06*2+X121/1000)*(0.06*2+X121/1000)/4-PI()*(X121/1000)*(X121/1000)/4,IF(X121=800,PI()*(0.08*2+X121/1000)*(0.08*2+X121/1000)/4-PI()*(X121/1000)*(X121/1000)/4,IF(X121&lt;=1000,PI()*(0.1*2+X121/1000)*(0.1*2+X121/1000)/4-PI()*(X121/1000)*(X121/1000)/4,IF(X121&lt;=1200,PI()*(0.12*2+X121/1000)*(0.12*2+X121/1000)/4-PI()*(X121/1000)*(X121/1000)/4,IF(X121&lt;=1500,PI()*(0.15*2+X121/1000)*(0.15*2+X121/1000)/4-PI()*(X121/1000)*(X121/1000)/4,0)))))</f>
        <v>0</v>
      </c>
      <c r="AA121" s="306" t="s">
        <v>2254</v>
      </c>
      <c r="AB121" s="305" t="s">
        <v>2254</v>
      </c>
      <c r="AC121" s="305"/>
      <c r="AD121" s="305"/>
      <c r="AE121" s="308" t="str">
        <f>IF(OR(RIGHT(LEFT(B121,7),1)="&gt;",RIGHT(LEFT(B121,7),1)="-"),IF(OR(RIGHT(LEFT(B121,6),1)="&gt;",RIGHT(LEFT(B121,6),1)="-"),LEFT(B121,5),LEFT(B121,6)),LEFT(B121,7))</f>
        <v>PV1.1</v>
      </c>
      <c r="AF121" s="309">
        <f>COUNTIF(M121,600)</f>
        <v>1</v>
      </c>
      <c r="AG121" s="309">
        <f>COUNTIF(M121,800)</f>
        <v>0</v>
      </c>
      <c r="AH121" s="309">
        <f>COUNTIF(M121,1000)</f>
        <v>0</v>
      </c>
      <c r="AI121" s="309">
        <f>COUNTIF(M121,1200)</f>
        <v>0</v>
      </c>
      <c r="AJ121" s="309">
        <f>COUNTIF(M121,1500)</f>
        <v>0</v>
      </c>
      <c r="AK121" s="309">
        <f>COUNTIF(M121,1650)</f>
        <v>0</v>
      </c>
      <c r="AL121" s="309">
        <f>AK121*IF((R121+S121)/2-1.65&lt;=2,1,0)</f>
        <v>0</v>
      </c>
      <c r="AM121" s="309">
        <f>AK121*IF((R121+S121)/2-1.65&lt;=3,1,0)-AL121</f>
        <v>0</v>
      </c>
      <c r="AN121" s="309">
        <f>AK121*IF((R121+S121)/2-1.65&lt;=4,1,0)-AL121-AM121</f>
        <v>0</v>
      </c>
      <c r="AO121" s="292"/>
      <c r="AP121" s="292"/>
      <c r="AQ121" s="310" t="str">
        <f>W121</f>
        <v>ASFALTO</v>
      </c>
    </row>
    <row r="122" spans="2:43" ht="13" x14ac:dyDescent="0.3">
      <c r="B122" s="302" t="s">
        <v>2345</v>
      </c>
      <c r="C122" s="301"/>
      <c r="D122" s="301"/>
      <c r="E122" s="301"/>
      <c r="F122" s="301"/>
      <c r="G122" s="301"/>
      <c r="H122" s="301"/>
      <c r="I122" s="301"/>
      <c r="J122" s="301"/>
      <c r="K122" s="301"/>
      <c r="L122" s="301"/>
      <c r="M122" s="301"/>
      <c r="N122" s="301"/>
      <c r="O122" s="301"/>
      <c r="P122" s="301"/>
      <c r="Q122" s="301"/>
      <c r="R122" s="301"/>
      <c r="S122" s="301"/>
      <c r="T122" s="301"/>
      <c r="U122" s="301"/>
      <c r="V122" s="301"/>
      <c r="W122" s="312"/>
      <c r="X122" s="312"/>
      <c r="Y122" s="312"/>
      <c r="Z122" s="312"/>
      <c r="AA122" s="312"/>
      <c r="AB122" s="312"/>
      <c r="AC122" s="312"/>
      <c r="AD122" s="312"/>
      <c r="AE122" s="301"/>
      <c r="AF122" s="301"/>
      <c r="AG122" s="301"/>
      <c r="AH122" s="301"/>
      <c r="AI122" s="301"/>
      <c r="AJ122" s="301"/>
      <c r="AK122" s="301"/>
      <c r="AL122" s="301"/>
      <c r="AM122" s="301"/>
      <c r="AN122" s="301"/>
      <c r="AO122" s="292"/>
      <c r="AP122" s="292"/>
      <c r="AQ122" s="292"/>
    </row>
    <row r="123" spans="2:43" x14ac:dyDescent="0.25">
      <c r="B123" s="304" t="s">
        <v>2346</v>
      </c>
      <c r="C123" s="305">
        <v>950.20549351897387</v>
      </c>
      <c r="D123" s="305">
        <v>948.03819936215177</v>
      </c>
      <c r="E123" s="305">
        <v>0.28303993138220801</v>
      </c>
      <c r="F123" s="305">
        <v>0.28303993138220801</v>
      </c>
      <c r="G123" s="305">
        <v>0.7</v>
      </c>
      <c r="H123" s="305">
        <v>1.4999999999999999E-2</v>
      </c>
      <c r="I123" s="306">
        <v>15</v>
      </c>
      <c r="J123" s="306">
        <v>132.25366184445775</v>
      </c>
      <c r="K123" s="306">
        <v>60.000000000182851</v>
      </c>
      <c r="L123" s="306">
        <v>72.786519892918733</v>
      </c>
      <c r="M123" s="304">
        <v>600</v>
      </c>
      <c r="N123" s="304"/>
      <c r="O123" s="306">
        <v>3.6120000000000001</v>
      </c>
      <c r="P123" s="306">
        <v>2.0765667793088411</v>
      </c>
      <c r="Q123" s="306">
        <v>18.159700000000072</v>
      </c>
      <c r="R123" s="306">
        <v>1.6000000000000227</v>
      </c>
      <c r="S123" s="306">
        <v>1.6000000000000227</v>
      </c>
      <c r="T123" s="305">
        <v>948.60549351897384</v>
      </c>
      <c r="U123" s="305">
        <v>946.43819936215175</v>
      </c>
      <c r="V123" s="306">
        <v>0</v>
      </c>
      <c r="W123" s="306" t="s">
        <v>1999</v>
      </c>
      <c r="X123" s="306" t="s">
        <v>2254</v>
      </c>
      <c r="Y123" s="306">
        <f>IFERROR(IF(X123&lt;=600,(PI()*0.72*0.72/4-PI()*0.6*0.6/4)*(C123-AB123)+(1.3*1.3-1.1*1.1)*1.6,IF(X123=800,(PI()*0.72*0.72/4-PI()*0.6*0.6/4)*(C123-AB123)+(1.5*1.5-1.1*1.1)*1.6,IF(X123=1000,(PI()*0.72*0.72/4-PI()*0.6*0.6/4)*(C123-AB123)+(1.94*1.94-1.5*1.5)*2.25,IF(X123=1200,(PI()*0.72*0.72/4-PI()*0.6*0.6/4)*(C123-AB123)+(-1.8*1.8+2.14*2.14)*2.25,IF(X123=1500,(PI()*0.72*0.72/4-PI()*0.6*0.6/4)*(C123-AB123)+(-2.2*2.2+2.44*2.44)*2.65,0))))),0)</f>
        <v>0</v>
      </c>
      <c r="Z123" s="306">
        <f>K123*IF(X123&lt;=600,PI()*(0.06*2+X123/1000)*(0.06*2+X123/1000)/4-PI()*(X123/1000)*(X123/1000)/4,IF(X123=800,PI()*(0.08*2+X123/1000)*(0.08*2+X123/1000)/4-PI()*(X123/1000)*(X123/1000)/4,IF(X123&lt;=1000,PI()*(0.1*2+X123/1000)*(0.1*2+X123/1000)/4-PI()*(X123/1000)*(X123/1000)/4,IF(X123&lt;=1200,PI()*(0.12*2+X123/1000)*(0.12*2+X123/1000)/4-PI()*(X123/1000)*(X123/1000)/4,IF(X123&lt;=1500,PI()*(0.15*2+X123/1000)*(0.15*2+X123/1000)/4-PI()*(X123/1000)*(X123/1000)/4,0)))))</f>
        <v>0</v>
      </c>
      <c r="AA123" s="306" t="s">
        <v>2254</v>
      </c>
      <c r="AB123" s="305" t="s">
        <v>2254</v>
      </c>
      <c r="AC123" s="305"/>
      <c r="AD123" s="305"/>
      <c r="AE123" s="308" t="str">
        <f>IF(OR(RIGHT(LEFT(B123,7),1)="&gt;",RIGHT(LEFT(B123,7),1)="-"),IF(OR(RIGHT(LEFT(B123,6),1)="&gt;",RIGHT(LEFT(B123,6),1)="-"),LEFT(B123,5),LEFT(B123,6)),LEFT(B123,7))</f>
        <v>PV1.1</v>
      </c>
      <c r="AF123" s="309">
        <f>COUNTIF(M123,600)</f>
        <v>1</v>
      </c>
      <c r="AG123" s="309">
        <f>COUNTIF(M123,800)</f>
        <v>0</v>
      </c>
      <c r="AH123" s="309">
        <f>COUNTIF(M123,1000)</f>
        <v>0</v>
      </c>
      <c r="AI123" s="309">
        <f>COUNTIF(M123,1200)</f>
        <v>0</v>
      </c>
      <c r="AJ123" s="309">
        <f>COUNTIF(M123,1500)</f>
        <v>0</v>
      </c>
      <c r="AK123" s="309">
        <f>COUNTIF(M123,1650)</f>
        <v>0</v>
      </c>
      <c r="AL123" s="309">
        <f>AK123*IF((R123+S123)/2-1.65&lt;=2,1,0)</f>
        <v>0</v>
      </c>
      <c r="AM123" s="309">
        <f>AK123*IF((R123+S123)/2-1.65&lt;=3,1,0)-AL123</f>
        <v>0</v>
      </c>
      <c r="AN123" s="309">
        <f>AK123*IF((R123+S123)/2-1.65&lt;=4,1,0)-AL123-AM123</f>
        <v>0</v>
      </c>
      <c r="AO123" s="292"/>
      <c r="AP123" s="292"/>
      <c r="AQ123" s="310" t="str">
        <f>W123</f>
        <v>ASFALTO</v>
      </c>
    </row>
    <row r="124" spans="2:43" ht="13" x14ac:dyDescent="0.3">
      <c r="B124" s="302" t="s">
        <v>1629</v>
      </c>
      <c r="C124" s="301"/>
      <c r="D124" s="301"/>
      <c r="E124" s="301"/>
      <c r="F124" s="301"/>
      <c r="G124" s="301"/>
      <c r="H124" s="301"/>
      <c r="I124" s="301"/>
      <c r="J124" s="301"/>
      <c r="K124" s="301"/>
      <c r="L124" s="301"/>
      <c r="M124" s="301"/>
      <c r="N124" s="301"/>
      <c r="O124" s="301"/>
      <c r="P124" s="301"/>
      <c r="Q124" s="301"/>
      <c r="R124" s="301"/>
      <c r="S124" s="301"/>
      <c r="T124" s="301"/>
      <c r="U124" s="301"/>
      <c r="V124" s="301"/>
      <c r="W124" s="312"/>
      <c r="X124" s="312"/>
      <c r="Y124" s="312"/>
      <c r="Z124" s="312"/>
      <c r="AA124" s="312"/>
      <c r="AB124" s="312"/>
      <c r="AC124" s="312"/>
      <c r="AD124" s="312"/>
      <c r="AE124" s="301"/>
      <c r="AF124" s="301"/>
      <c r="AG124" s="301"/>
      <c r="AH124" s="301"/>
      <c r="AI124" s="301"/>
      <c r="AJ124" s="301"/>
      <c r="AK124" s="301"/>
      <c r="AL124" s="301"/>
      <c r="AM124" s="301"/>
      <c r="AN124" s="301"/>
      <c r="AO124" s="292"/>
      <c r="AP124" s="292"/>
      <c r="AQ124" s="292"/>
    </row>
    <row r="125" spans="2:43" x14ac:dyDescent="0.25">
      <c r="B125" s="304" t="s">
        <v>2251</v>
      </c>
      <c r="C125" s="305">
        <v>948.19515090663083</v>
      </c>
      <c r="D125" s="305">
        <v>946.31514604112215</v>
      </c>
      <c r="E125" s="305">
        <v>16.610300453293014</v>
      </c>
      <c r="F125" s="305">
        <v>16.610300453293014</v>
      </c>
      <c r="G125" s="305">
        <v>0.7</v>
      </c>
      <c r="H125" s="305">
        <v>1.4999999999999999E-2</v>
      </c>
      <c r="I125" s="306">
        <v>15</v>
      </c>
      <c r="J125" s="306">
        <v>118.37034307281986</v>
      </c>
      <c r="K125" s="306">
        <v>35.107015353864483</v>
      </c>
      <c r="L125" s="306">
        <v>3823.1024284423238</v>
      </c>
      <c r="M125" s="304">
        <v>1200</v>
      </c>
      <c r="N125" s="304"/>
      <c r="O125" s="306">
        <v>2.5069999999999997</v>
      </c>
      <c r="P125" s="306">
        <v>5.1405296920370365</v>
      </c>
      <c r="Q125" s="306">
        <v>62.508900000000331</v>
      </c>
      <c r="R125" s="306">
        <v>3</v>
      </c>
      <c r="S125" s="306">
        <v>2.2999999999999998</v>
      </c>
      <c r="T125" s="305">
        <v>945.19515090663083</v>
      </c>
      <c r="U125" s="305">
        <v>944.31514604112215</v>
      </c>
      <c r="V125" s="306">
        <v>1.9772644042973297E-2</v>
      </c>
      <c r="W125" s="306" t="s">
        <v>1999</v>
      </c>
      <c r="X125" s="306">
        <v>1000</v>
      </c>
      <c r="Y125" s="306">
        <f>IFERROR(IF(X125&lt;=600,(PI()*0.72*0.72/4-PI()*0.6*0.6/4)*(C125-AB125)+(1.3*1.3-1.1*1.1)*1.6,IF(X125=800,(PI()*0.72*0.72/4-PI()*0.6*0.6/4)*(C125-AB125)+(1.5*1.5-1.1*1.1)*1.6,IF(X125=1000,(PI()*0.72*0.72/4-PI()*0.6*0.6/4)*(C125-AB125)+(1.94*1.94-1.5*1.5)*2.25,IF(X125=1200,(PI()*0.72*0.72/4-PI()*0.6*0.6/4)*(C125-AB125)+(-1.8*1.8+2.14*2.14)*2.25,IF(X125=1500,(PI()*0.72*0.72/4-PI()*0.6*0.6/4)*(C125-AB125)+(-2.2*2.2+2.44*2.44)*2.65,0))))),0)</f>
        <v>3.8101905625068189</v>
      </c>
      <c r="Z125" s="306">
        <f>K125*IF(X125&lt;=600,PI()*(0.06*2+X125/1000)*(0.06*2+X125/1000)/4-PI()*(X125/1000)*(X125/1000)/4,IF(X125=800,PI()*(0.08*2+X125/1000)*(0.08*2+X125/1000)/4-PI()*(X125/1000)*(X125/1000)/4,IF(X125&lt;=1000,PI()*(0.1*2+X125/1000)*(0.1*2+X125/1000)/4-PI()*(X125/1000)*(X125/1000)/4,IF(X125&lt;=1200,PI()*(0.12*2+X125/1000)*(0.12*2+X125/1000)/4-PI()*(X125/1000)*(X125/1000)/4,IF(X125&lt;=1500,PI()*(0.15*2+X125/1000)*(0.15*2+X125/1000)/4-PI()*(X125/1000)*(X125/1000)/4,0)))))</f>
        <v>12.132113567768123</v>
      </c>
      <c r="AA125" s="306" t="s">
        <v>2347</v>
      </c>
      <c r="AB125" s="305">
        <v>944.94299999999998</v>
      </c>
      <c r="AC125" s="305"/>
      <c r="AD125" s="305"/>
      <c r="AE125" s="308" t="str">
        <f>IF(OR(RIGHT(LEFT(B125,7),1)="&gt;",RIGHT(LEFT(B125,7),1)="-"),IF(OR(RIGHT(LEFT(B125,6),1)="&gt;",RIGHT(LEFT(B125,6),1)="-"),LEFT(B125,5),LEFT(B125,6)),LEFT(B125,7))</f>
        <v>PV1.1</v>
      </c>
      <c r="AF125" s="309">
        <f>COUNTIF(M125,600)</f>
        <v>0</v>
      </c>
      <c r="AG125" s="309">
        <f>COUNTIF(M125,800)</f>
        <v>0</v>
      </c>
      <c r="AH125" s="309">
        <f>COUNTIF(M125,1000)</f>
        <v>0</v>
      </c>
      <c r="AI125" s="309">
        <f>COUNTIF(M125,1200)</f>
        <v>1</v>
      </c>
      <c r="AJ125" s="309">
        <f>COUNTIF(M125,1500)</f>
        <v>0</v>
      </c>
      <c r="AK125" s="309">
        <f>COUNTIF(M125,1650)</f>
        <v>0</v>
      </c>
      <c r="AL125" s="309">
        <f>AK125*IF((R125+S125)/2-1.65&lt;=2,1,0)</f>
        <v>0</v>
      </c>
      <c r="AM125" s="309">
        <f>AK125*IF((R125+S125)/2-1.65&lt;=3,1,0)-AL125</f>
        <v>0</v>
      </c>
      <c r="AN125" s="309">
        <f>AK125*IF((R125+S125)/2-1.65&lt;=4,1,0)-AL125-AM125</f>
        <v>0</v>
      </c>
      <c r="AO125" s="292"/>
      <c r="AP125" s="292"/>
      <c r="AQ125" s="310" t="str">
        <f>W125</f>
        <v>ASFALTO</v>
      </c>
    </row>
    <row r="126" spans="2:43" x14ac:dyDescent="0.25">
      <c r="B126" s="304" t="s">
        <v>2253</v>
      </c>
      <c r="C126" s="305">
        <v>946.31514604112215</v>
      </c>
      <c r="D126" s="305">
        <v>944.93624114391173</v>
      </c>
      <c r="E126" s="305">
        <v>0.84179245164534933</v>
      </c>
      <c r="F126" s="305">
        <v>17.452092451645349</v>
      </c>
      <c r="G126" s="305">
        <v>0.7</v>
      </c>
      <c r="H126" s="305">
        <v>1.4999999999999999E-2</v>
      </c>
      <c r="I126" s="306">
        <v>15.113824247230939</v>
      </c>
      <c r="J126" s="306">
        <v>117.94967437853387</v>
      </c>
      <c r="K126" s="306">
        <v>53.981453829334242</v>
      </c>
      <c r="L126" s="306">
        <v>4002.5779798693916</v>
      </c>
      <c r="M126" s="304">
        <v>1500</v>
      </c>
      <c r="N126" s="304"/>
      <c r="O126" s="306">
        <v>2.5539999999999998</v>
      </c>
      <c r="P126" s="306">
        <v>5.2618243362213812</v>
      </c>
      <c r="Q126" s="306">
        <v>44.527249999999981</v>
      </c>
      <c r="R126" s="306">
        <v>2.2999999999999545</v>
      </c>
      <c r="S126" s="306">
        <v>2.327</v>
      </c>
      <c r="T126" s="305">
        <v>944.01514604112219</v>
      </c>
      <c r="U126" s="305">
        <v>942.63624114391177</v>
      </c>
      <c r="V126" s="306">
        <v>2.7284336090133365E-2</v>
      </c>
      <c r="W126" s="306" t="s">
        <v>1999</v>
      </c>
      <c r="X126" s="306">
        <v>1200</v>
      </c>
      <c r="Y126" s="306">
        <f>IFERROR(IF(X126&lt;=600,(PI()*0.72*0.72/4-PI()*0.6*0.6/4)*(C126-AB126)+(1.3*1.3-1.1*1.1)*1.6,IF(X126=800,(PI()*0.72*0.72/4-PI()*0.6*0.6/4)*(C126-AB126)+(1.5*1.5-1.1*1.1)*1.6,IF(X126=1000,(PI()*0.72*0.72/4-PI()*0.6*0.6/4)*(C126-AB126)+(1.94*1.94-1.5*1.5)*2.25,IF(X126=1200,(PI()*0.72*0.72/4-PI()*0.6*0.6/4)*(C126-AB126)+(-1.8*1.8+2.14*2.14)*2.25,IF(X126=1500,(PI()*0.72*0.72/4-PI()*0.6*0.6/4)*(C126-AB126)+(-2.2*2.2+2.44*2.44)*2.65,0))))),0)</f>
        <v>3.4582514051712678</v>
      </c>
      <c r="Z126" s="306">
        <f>K126*IF(X126&lt;=600,PI()*(0.06*2+X126/1000)*(0.06*2+X126/1000)/4-PI()*(X126/1000)*(X126/1000)/4,IF(X126=800,PI()*(0.08*2+X126/1000)*(0.08*2+X126/1000)/4-PI()*(X126/1000)*(X126/1000)/4,IF(X126&lt;=1000,PI()*(0.1*2+X126/1000)*(0.1*2+X126/1000)/4-PI()*(X126/1000)*(X126/1000)/4,IF(X126&lt;=1200,PI()*(0.12*2+X126/1000)*(0.12*2+X126/1000)/4-PI()*(X126/1000)*(X126/1000)/4,IF(X126&lt;=1500,PI()*(0.15*2+X126/1000)*(0.15*2+X126/1000)/4-PI()*(X126/1000)*(X126/1000)/4,0)))))</f>
        <v>26.862697822804758</v>
      </c>
      <c r="AA126" s="306" t="s">
        <v>2348</v>
      </c>
      <c r="AB126" s="305">
        <v>942.745</v>
      </c>
      <c r="AC126" s="305"/>
      <c r="AD126" s="305"/>
      <c r="AE126" s="308" t="str">
        <f>IF(OR(RIGHT(LEFT(B126,7),1)="&gt;",RIGHT(LEFT(B126,7),1)="-"),IF(OR(RIGHT(LEFT(B126,6),1)="&gt;",RIGHT(LEFT(B126,6),1)="-"),LEFT(B126,5),LEFT(B126,6)),LEFT(B126,7))</f>
        <v>PV2.1</v>
      </c>
      <c r="AF126" s="309">
        <f>COUNTIF(M126,600)</f>
        <v>0</v>
      </c>
      <c r="AG126" s="309">
        <f>COUNTIF(M126,800)</f>
        <v>0</v>
      </c>
      <c r="AH126" s="309">
        <f>COUNTIF(M126,1000)</f>
        <v>0</v>
      </c>
      <c r="AI126" s="309">
        <f>COUNTIF(M126,1200)</f>
        <v>0</v>
      </c>
      <c r="AJ126" s="309">
        <f>COUNTIF(M126,1500)</f>
        <v>1</v>
      </c>
      <c r="AK126" s="309">
        <f>COUNTIF(M126,1650)</f>
        <v>0</v>
      </c>
      <c r="AL126" s="309">
        <f>AK126*IF((R126+S126)/2-1.65&lt;=2,1,0)</f>
        <v>0</v>
      </c>
      <c r="AM126" s="309">
        <f>AK126*IF((R126+S126)/2-1.65&lt;=3,1,0)-AL126</f>
        <v>0</v>
      </c>
      <c r="AN126" s="309">
        <f>AK126*IF((R126+S126)/2-1.65&lt;=4,1,0)-AL126-AM126</f>
        <v>0</v>
      </c>
      <c r="AO126" s="292"/>
      <c r="AP126" s="292"/>
      <c r="AQ126" s="310" t="str">
        <f>W126</f>
        <v>ASFALTO</v>
      </c>
    </row>
    <row r="127" spans="2:43" x14ac:dyDescent="0.25">
      <c r="B127" s="304" t="s">
        <v>2349</v>
      </c>
      <c r="C127" s="305">
        <v>944.93624114391173</v>
      </c>
      <c r="D127" s="305">
        <v>944.66949944729754</v>
      </c>
      <c r="E127" s="305">
        <v>1.6824186021282408</v>
      </c>
      <c r="F127" s="305">
        <v>19.134518602128239</v>
      </c>
      <c r="G127" s="305">
        <v>0.7</v>
      </c>
      <c r="H127" s="305">
        <v>1.4999999999999999E-2</v>
      </c>
      <c r="I127" s="306">
        <v>18.670000000000002</v>
      </c>
      <c r="J127" s="306">
        <v>106.29366571362407</v>
      </c>
      <c r="K127" s="306">
        <v>45.791761848618904</v>
      </c>
      <c r="L127" s="306">
        <v>3954.7615522442816</v>
      </c>
      <c r="M127" s="304">
        <v>1500</v>
      </c>
      <c r="N127" s="304"/>
      <c r="O127" s="306">
        <v>0.58299999999999996</v>
      </c>
      <c r="P127" s="306">
        <v>2.9688006729109984</v>
      </c>
      <c r="Q127" s="306">
        <v>70.527003000000292</v>
      </c>
      <c r="R127" s="306">
        <v>2.327</v>
      </c>
      <c r="S127" s="306">
        <v>2.87</v>
      </c>
      <c r="T127" s="305">
        <v>942.63624114391177</v>
      </c>
      <c r="U127" s="305">
        <v>942.36949944729758</v>
      </c>
      <c r="V127" s="306">
        <v>4.8912334442320571E-2</v>
      </c>
      <c r="W127" s="306" t="s">
        <v>1999</v>
      </c>
      <c r="X127" s="306">
        <v>1200</v>
      </c>
      <c r="Y127" s="306">
        <f>IFERROR(IF(X127&lt;=600,(PI()*0.72*0.72/4-PI()*0.6*0.6/4)*(C127-AB127)+(1.3*1.3-1.1*1.1)*1.6,IF(X127=800,(PI()*0.72*0.72/4-PI()*0.6*0.6/4)*(C127-AB127)+(1.5*1.5-1.1*1.1)*1.6,IF(X127=1000,(PI()*0.72*0.72/4-PI()*0.6*0.6/4)*(C127-AB127)+(1.94*1.94-1.5*1.5)*2.25,IF(X127=1200,(PI()*0.72*0.72/4-PI()*0.6*0.6/4)*(C127-AB127)+(-1.8*1.8+2.14*2.14)*2.25,IF(X127=1500,(PI()*0.72*0.72/4-PI()*0.6*0.6/4)*(C127-AB127)+(-2.2*2.2+2.44*2.44)*2.65,0))))),0)</f>
        <v>3.3538857056706477</v>
      </c>
      <c r="Z127" s="306">
        <f>K127*IF(X127&lt;=600,PI()*(0.06*2+X127/1000)*(0.06*2+X127/1000)/4-PI()*(X127/1000)*(X127/1000)/4,IF(X127=800,PI()*(0.08*2+X127/1000)*(0.08*2+X127/1000)/4-PI()*(X127/1000)*(X127/1000)/4,IF(X127&lt;=1000,PI()*(0.1*2+X127/1000)*(0.1*2+X127/1000)/4-PI()*(X127/1000)*(X127/1000)/4,IF(X127&lt;=1200,PI()*(0.12*2+X127/1000)*(0.12*2+X127/1000)/4-PI()*(X127/1000)*(X127/1000)/4,IF(X127&lt;=1500,PI()*(0.15*2+X127/1000)*(0.15*2+X127/1000)/4-PI()*(X127/1000)*(X127/1000)/4,0)))))</f>
        <v>22.787275518779037</v>
      </c>
      <c r="AA127" s="306" t="s">
        <v>2350</v>
      </c>
      <c r="AB127" s="305">
        <v>942.20500000000004</v>
      </c>
      <c r="AC127" s="305"/>
      <c r="AD127" s="305"/>
      <c r="AE127" s="308" t="str">
        <f>IF(OR(RIGHT(LEFT(B127,7),1)="&gt;",RIGHT(LEFT(B127,7),1)="-"),IF(OR(RIGHT(LEFT(B127,6),1)="&gt;",RIGHT(LEFT(B127,6),1)="-"),LEFT(B127,5),LEFT(B127,6)),LEFT(B127,7))</f>
        <v>PV3.1</v>
      </c>
      <c r="AF127" s="309">
        <f>COUNTIF(M127,600)</f>
        <v>0</v>
      </c>
      <c r="AG127" s="309">
        <f>COUNTIF(M127,800)</f>
        <v>0</v>
      </c>
      <c r="AH127" s="309">
        <f>COUNTIF(M127,1000)</f>
        <v>0</v>
      </c>
      <c r="AI127" s="309">
        <f>COUNTIF(M127,1200)</f>
        <v>0</v>
      </c>
      <c r="AJ127" s="309">
        <f>COUNTIF(M127,1500)</f>
        <v>1</v>
      </c>
      <c r="AK127" s="309">
        <f>COUNTIF(M127,1650)</f>
        <v>0</v>
      </c>
      <c r="AL127" s="309">
        <f>AK127*IF((R127+S127)/2-1.65&lt;=2,1,0)</f>
        <v>0</v>
      </c>
      <c r="AM127" s="309">
        <f>AK127*IF((R127+S127)/2-1.65&lt;=3,1,0)-AL127</f>
        <v>0</v>
      </c>
      <c r="AN127" s="309">
        <f>AK127*IF((R127+S127)/2-1.65&lt;=4,1,0)-AL127-AM127</f>
        <v>0</v>
      </c>
      <c r="AO127" s="292"/>
      <c r="AP127" s="292"/>
      <c r="AQ127" s="310" t="str">
        <f>W127</f>
        <v>ASFALTO</v>
      </c>
    </row>
    <row r="128" spans="2:43" x14ac:dyDescent="0.25">
      <c r="B128" s="301" t="s">
        <v>1631</v>
      </c>
      <c r="C128" s="301"/>
      <c r="D128" s="301"/>
      <c r="E128" s="301"/>
      <c r="F128" s="301"/>
      <c r="G128" s="301"/>
      <c r="H128" s="301"/>
      <c r="I128" s="301"/>
      <c r="J128" s="301"/>
      <c r="K128" s="301"/>
      <c r="L128" s="301"/>
      <c r="M128" s="301"/>
      <c r="N128" s="301"/>
      <c r="O128" s="301"/>
      <c r="P128" s="301"/>
      <c r="Q128" s="301"/>
      <c r="R128" s="301"/>
      <c r="S128" s="301"/>
      <c r="T128" s="301"/>
      <c r="U128" s="301"/>
      <c r="V128" s="315"/>
      <c r="W128" s="312"/>
      <c r="X128" s="312"/>
      <c r="Y128" s="312"/>
      <c r="Z128" s="312"/>
      <c r="AA128" s="312"/>
      <c r="AB128" s="312"/>
      <c r="AC128" s="312"/>
      <c r="AD128" s="312"/>
      <c r="AE128" s="301"/>
      <c r="AF128" s="301"/>
      <c r="AG128" s="301"/>
      <c r="AH128" s="301"/>
      <c r="AI128" s="301"/>
      <c r="AJ128" s="301"/>
      <c r="AK128" s="301"/>
      <c r="AL128" s="301"/>
      <c r="AM128" s="301"/>
      <c r="AN128" s="301"/>
      <c r="AO128" s="292"/>
      <c r="AP128" s="292"/>
      <c r="AQ128" s="292"/>
    </row>
    <row r="129" spans="2:43" x14ac:dyDescent="0.25">
      <c r="B129" s="304" t="s">
        <v>2351</v>
      </c>
      <c r="C129" s="305">
        <v>962.423</v>
      </c>
      <c r="D129" s="305">
        <v>960.57899999999995</v>
      </c>
      <c r="E129" s="305">
        <v>0.55000000000000004</v>
      </c>
      <c r="F129" s="305">
        <v>0.55000000000000004</v>
      </c>
      <c r="G129" s="306">
        <v>0.7</v>
      </c>
      <c r="H129" s="305">
        <v>1.4999999999999999E-2</v>
      </c>
      <c r="I129" s="306">
        <v>15</v>
      </c>
      <c r="J129" s="306">
        <v>118.37</v>
      </c>
      <c r="K129" s="311">
        <v>60</v>
      </c>
      <c r="L129" s="306">
        <v>126.53</v>
      </c>
      <c r="M129" s="316">
        <v>600</v>
      </c>
      <c r="N129" s="304"/>
      <c r="O129" s="306">
        <v>3.07</v>
      </c>
      <c r="P129" s="306">
        <v>2.2999999999999998</v>
      </c>
      <c r="Q129" s="306">
        <v>24.88</v>
      </c>
      <c r="R129" s="306">
        <v>1.6</v>
      </c>
      <c r="S129" s="306">
        <v>2.25</v>
      </c>
      <c r="T129" s="305">
        <v>960.82299999999998</v>
      </c>
      <c r="U129" s="305">
        <v>958.97900000000004</v>
      </c>
      <c r="V129" s="317">
        <v>0</v>
      </c>
      <c r="W129" s="306" t="s">
        <v>1999</v>
      </c>
      <c r="X129" s="306" t="s">
        <v>2254</v>
      </c>
      <c r="Y129" s="306">
        <f>IFERROR(IF(X129&lt;=600,(PI()*0.72*0.72/4-PI()*0.6*0.6/4)*(C129-AB129)+(1.3*1.3-1.1*1.1)*1.6,IF(X129=800,(PI()*0.72*0.72/4-PI()*0.6*0.6/4)*(C129-AB129)+(1.5*1.5-1.1*1.1)*1.6,IF(X129=1000,(PI()*0.72*0.72/4-PI()*0.6*0.6/4)*(C129-AB129)+(1.94*1.94-1.5*1.5)*2.25,IF(X129=1200,(PI()*0.72*0.72/4-PI()*0.6*0.6/4)*(C129-AB129)+(-1.8*1.8+2.14*2.14)*2.25,IF(X129=1500,(PI()*0.72*0.72/4-PI()*0.6*0.6/4)*(C129-AB129)+(-2.2*2.2+2.44*2.44)*2.65,0))))),0)</f>
        <v>0</v>
      </c>
      <c r="Z129" s="306">
        <f>K129*IF(X129&lt;=600,PI()*(0.06*2+X129/1000)*(0.06*2+X129/1000)/4-PI()*(X129/1000)*(X129/1000)/4,IF(X129=800,PI()*(0.08*2+X129/1000)*(0.08*2+X129/1000)/4-PI()*(X129/1000)*(X129/1000)/4,IF(X129&lt;=1000,PI()*(0.1*2+X129/1000)*(0.1*2+X129/1000)/4-PI()*(X129/1000)*(X129/1000)/4,IF(X129&lt;=1200,PI()*(0.12*2+X129/1000)*(0.12*2+X129/1000)/4-PI()*(X129/1000)*(X129/1000)/4,IF(X129&lt;=1500,PI()*(0.15*2+X129/1000)*(0.15*2+X129/1000)/4-PI()*(X129/1000)*(X129/1000)/4,0)))))</f>
        <v>0</v>
      </c>
      <c r="AA129" s="306" t="s">
        <v>2254</v>
      </c>
      <c r="AB129" s="305" t="s">
        <v>2254</v>
      </c>
      <c r="AC129" s="305"/>
      <c r="AD129" s="305"/>
      <c r="AE129" s="308" t="str">
        <f>IF(OR(RIGHT(LEFT(B129,7),1)="&gt;",RIGHT(LEFT(B129,7),1)="-"),IF(OR(RIGHT(LEFT(B129,6),1)="&gt;",RIGHT(LEFT(B129,6),1)="-"),LEFT(B129,5),LEFT(B129,6)),LEFT(B129,7))</f>
        <v>PV1.1</v>
      </c>
      <c r="AF129" s="309">
        <f>COUNTIF(M129,600)</f>
        <v>1</v>
      </c>
      <c r="AG129" s="309">
        <f>COUNTIF(M129,800)</f>
        <v>0</v>
      </c>
      <c r="AH129" s="309">
        <f>COUNTIF(M129,1000)</f>
        <v>0</v>
      </c>
      <c r="AI129" s="309">
        <f>COUNTIF(M129,1200)</f>
        <v>0</v>
      </c>
      <c r="AJ129" s="309">
        <f>COUNTIF(M129,1500)</f>
        <v>0</v>
      </c>
      <c r="AK129" s="309">
        <f>COUNTIF(M129,1650)</f>
        <v>0</v>
      </c>
      <c r="AL129" s="309">
        <f>AK129*IF((R129+S129)/2-1.65&lt;=2,1,0)</f>
        <v>0</v>
      </c>
      <c r="AM129" s="309">
        <f>AK129*IF((R129+S129)/2-1.65&lt;=3,1,0)-AL129</f>
        <v>0</v>
      </c>
      <c r="AN129" s="309">
        <f>AK129*IF((R129+S129)/2-1.65&lt;=4,1,0)-AL129-AM129</f>
        <v>0</v>
      </c>
      <c r="AO129" s="292"/>
      <c r="AP129" s="292"/>
      <c r="AQ129" s="310" t="str">
        <f>W129</f>
        <v>ASFALTO</v>
      </c>
    </row>
    <row r="130" spans="2:43" x14ac:dyDescent="0.25">
      <c r="B130" s="292"/>
      <c r="C130" s="292"/>
      <c r="D130" s="292"/>
      <c r="E130" s="292"/>
      <c r="F130" s="292"/>
      <c r="G130" s="292"/>
      <c r="H130" s="292"/>
      <c r="I130" s="292"/>
      <c r="J130" s="292"/>
      <c r="K130" s="292"/>
      <c r="L130" s="292"/>
      <c r="M130" s="292"/>
      <c r="N130" s="292"/>
      <c r="O130" s="292"/>
      <c r="P130" s="292"/>
      <c r="Q130" s="292"/>
      <c r="R130" s="292"/>
      <c r="S130" s="292"/>
      <c r="T130" s="292"/>
      <c r="U130" s="292"/>
      <c r="V130" s="292"/>
      <c r="W130" s="292"/>
      <c r="X130" s="293"/>
      <c r="Y130" s="313">
        <f>SUM(Y110:Y129)</f>
        <v>16.234851242947787</v>
      </c>
      <c r="Z130" s="313">
        <f>SUM(Z110:Z129)</f>
        <v>93.569601024270938</v>
      </c>
      <c r="AA130" s="293"/>
      <c r="AB130" s="293"/>
      <c r="AC130" s="314">
        <v>81</v>
      </c>
      <c r="AD130" s="293"/>
      <c r="AE130" s="292"/>
      <c r="AF130" s="314">
        <f t="shared" ref="AF130:AN130" si="72">SUM(AF110:AF129)</f>
        <v>11</v>
      </c>
      <c r="AG130" s="314">
        <f t="shared" si="72"/>
        <v>0</v>
      </c>
      <c r="AH130" s="314">
        <f t="shared" si="72"/>
        <v>0</v>
      </c>
      <c r="AI130" s="314">
        <f t="shared" si="72"/>
        <v>1</v>
      </c>
      <c r="AJ130" s="314">
        <f t="shared" si="72"/>
        <v>2</v>
      </c>
      <c r="AK130" s="314">
        <f t="shared" si="72"/>
        <v>0</v>
      </c>
      <c r="AL130" s="314">
        <f t="shared" si="72"/>
        <v>0</v>
      </c>
      <c r="AM130" s="314">
        <f t="shared" si="72"/>
        <v>0</v>
      </c>
      <c r="AN130" s="314">
        <f t="shared" si="72"/>
        <v>0</v>
      </c>
      <c r="AO130" s="292"/>
      <c r="AP130" s="292"/>
      <c r="AQ130" s="292"/>
    </row>
    <row r="131" spans="2:43" x14ac:dyDescent="0.25">
      <c r="B131" s="292"/>
      <c r="C131" s="292"/>
      <c r="D131" s="292"/>
      <c r="E131" s="292"/>
      <c r="F131" s="292"/>
      <c r="G131" s="292"/>
      <c r="H131" s="292"/>
      <c r="I131" s="292"/>
      <c r="J131" s="292"/>
      <c r="K131" s="292"/>
      <c r="L131" s="292"/>
      <c r="M131" s="292"/>
      <c r="N131" s="292"/>
      <c r="O131" s="292"/>
      <c r="P131" s="292"/>
      <c r="Q131" s="292"/>
      <c r="R131" s="292"/>
      <c r="S131" s="292"/>
      <c r="T131" s="292"/>
      <c r="U131" s="292"/>
      <c r="V131" s="292"/>
      <c r="W131" s="292"/>
      <c r="X131" s="293"/>
      <c r="Y131" s="293"/>
      <c r="Z131" s="293"/>
      <c r="AA131" s="293"/>
      <c r="AB131" s="293"/>
      <c r="AC131" s="293"/>
      <c r="AD131" s="293"/>
      <c r="AE131" s="294"/>
      <c r="AF131" s="294"/>
      <c r="AG131" s="294"/>
      <c r="AH131" s="294"/>
      <c r="AI131" s="294"/>
      <c r="AJ131" s="294"/>
      <c r="AK131" s="294"/>
      <c r="AL131" s="294"/>
      <c r="AM131" s="294"/>
      <c r="AN131" s="294"/>
      <c r="AO131" s="292"/>
      <c r="AP131" s="292"/>
      <c r="AQ131" s="292"/>
    </row>
    <row r="132" spans="2:43" x14ac:dyDescent="0.25">
      <c r="B132" s="292"/>
      <c r="C132" s="292"/>
      <c r="D132" s="292"/>
      <c r="E132" s="292"/>
      <c r="F132" s="292"/>
      <c r="G132" s="292"/>
      <c r="H132" s="292"/>
      <c r="I132" s="292"/>
      <c r="J132" s="292"/>
      <c r="K132" s="292"/>
      <c r="L132" s="292"/>
      <c r="M132" s="292"/>
      <c r="N132" s="292"/>
      <c r="O132" s="292"/>
      <c r="P132" s="292"/>
      <c r="Q132" s="292"/>
      <c r="R132" s="292"/>
      <c r="S132" s="292"/>
      <c r="T132" s="292"/>
      <c r="U132" s="292"/>
      <c r="V132" s="292"/>
      <c r="W132" s="292"/>
      <c r="X132" s="293"/>
      <c r="Y132" s="293"/>
      <c r="Z132" s="293"/>
      <c r="AA132" s="293"/>
      <c r="AB132" s="293"/>
      <c r="AC132" s="293"/>
      <c r="AD132" s="293"/>
      <c r="AE132" s="294"/>
      <c r="AF132" s="294"/>
      <c r="AG132" s="294"/>
      <c r="AH132" s="294"/>
      <c r="AI132" s="294"/>
      <c r="AJ132" s="294"/>
      <c r="AK132" s="294"/>
      <c r="AL132" s="294"/>
      <c r="AM132" s="294"/>
      <c r="AN132" s="294"/>
      <c r="AO132" s="292"/>
      <c r="AP132" s="292"/>
      <c r="AQ132" s="292"/>
    </row>
    <row r="133" spans="2:43" x14ac:dyDescent="0.25">
      <c r="B133" s="292"/>
      <c r="C133" s="292"/>
      <c r="D133" s="292"/>
      <c r="E133" s="292"/>
      <c r="F133" s="292"/>
      <c r="G133" s="292"/>
      <c r="H133" s="292"/>
      <c r="I133" s="292"/>
      <c r="J133" s="292"/>
      <c r="K133" s="292"/>
      <c r="L133" s="292"/>
      <c r="M133" s="292"/>
      <c r="N133" s="292"/>
      <c r="O133" s="292"/>
      <c r="P133" s="292"/>
      <c r="Q133" s="292"/>
      <c r="R133" s="292"/>
      <c r="S133" s="292"/>
      <c r="T133" s="292"/>
      <c r="U133" s="292"/>
      <c r="V133" s="292"/>
      <c r="W133" s="292"/>
      <c r="X133" s="293"/>
      <c r="Y133" s="293"/>
      <c r="Z133" s="293"/>
      <c r="AA133" s="293"/>
      <c r="AB133" s="293"/>
      <c r="AC133" s="293"/>
      <c r="AD133" s="293"/>
      <c r="AE133" s="294"/>
      <c r="AF133" s="294"/>
      <c r="AG133" s="294"/>
      <c r="AH133" s="294"/>
      <c r="AI133" s="294"/>
      <c r="AJ133" s="294"/>
      <c r="AK133" s="294"/>
      <c r="AL133" s="294"/>
      <c r="AM133" s="294"/>
      <c r="AN133" s="294"/>
      <c r="AO133" s="292"/>
      <c r="AP133" s="292"/>
      <c r="AQ133" s="292"/>
    </row>
    <row r="134" spans="2:43" x14ac:dyDescent="0.25">
      <c r="B134" s="292"/>
      <c r="C134" s="292"/>
      <c r="D134" s="292"/>
      <c r="E134" s="292"/>
      <c r="F134" s="292"/>
      <c r="G134" s="292"/>
      <c r="H134" s="292"/>
      <c r="I134" s="292"/>
      <c r="J134" s="292"/>
      <c r="K134" s="292"/>
      <c r="L134" s="292"/>
      <c r="M134" s="292"/>
      <c r="N134" s="292"/>
      <c r="O134" s="292"/>
      <c r="P134" s="292"/>
      <c r="Q134" s="292"/>
      <c r="R134" s="292"/>
      <c r="S134" s="292"/>
      <c r="T134" s="292"/>
      <c r="U134" s="292"/>
      <c r="V134" s="292"/>
      <c r="W134" s="292"/>
      <c r="X134" s="293"/>
      <c r="Y134" s="293"/>
      <c r="Z134" s="293"/>
      <c r="AA134" s="293"/>
      <c r="AB134" s="293"/>
      <c r="AC134" s="293"/>
      <c r="AD134" s="293"/>
      <c r="AE134" s="294"/>
      <c r="AF134" s="294"/>
      <c r="AG134" s="294"/>
      <c r="AH134" s="294"/>
      <c r="AI134" s="294"/>
      <c r="AJ134" s="294"/>
      <c r="AK134" s="294"/>
      <c r="AL134" s="294"/>
      <c r="AM134" s="294"/>
      <c r="AN134" s="294"/>
      <c r="AO134" s="292"/>
      <c r="AP134" s="292"/>
      <c r="AQ134" s="292"/>
    </row>
    <row r="135" spans="2:43" x14ac:dyDescent="0.25">
      <c r="B135" s="292"/>
      <c r="C135" s="292"/>
      <c r="D135" s="292"/>
      <c r="E135" s="292"/>
      <c r="F135" s="292"/>
      <c r="G135" s="292"/>
      <c r="H135" s="292"/>
      <c r="I135" s="292"/>
      <c r="J135" s="292"/>
      <c r="K135" s="292"/>
      <c r="L135" s="292"/>
      <c r="M135" s="292"/>
      <c r="N135" s="292"/>
      <c r="O135" s="292"/>
      <c r="P135" s="292"/>
      <c r="Q135" s="292"/>
      <c r="R135" s="292"/>
      <c r="S135" s="292"/>
      <c r="T135" s="292"/>
      <c r="U135" s="292"/>
      <c r="V135" s="292"/>
      <c r="W135" s="292"/>
      <c r="X135" s="293"/>
      <c r="Y135" s="293"/>
      <c r="Z135" s="293"/>
      <c r="AA135" s="293"/>
      <c r="AB135" s="293"/>
      <c r="AC135" s="293"/>
      <c r="AD135" s="293"/>
      <c r="AE135" s="294"/>
      <c r="AF135" s="294"/>
      <c r="AG135" s="294"/>
      <c r="AH135" s="294"/>
      <c r="AI135" s="294"/>
      <c r="AJ135" s="294"/>
      <c r="AK135" s="294"/>
      <c r="AL135" s="294"/>
      <c r="AM135" s="294"/>
      <c r="AN135" s="294"/>
      <c r="AO135" s="292"/>
      <c r="AP135" s="292"/>
      <c r="AQ135" s="292"/>
    </row>
    <row r="139" spans="2:43" x14ac:dyDescent="0.25">
      <c r="B139" s="269" t="s">
        <v>1653</v>
      </c>
    </row>
    <row r="140" spans="2:43" ht="13" x14ac:dyDescent="0.3">
      <c r="B140" s="291" t="s">
        <v>2197</v>
      </c>
      <c r="C140" s="954" t="s">
        <v>2352</v>
      </c>
      <c r="D140" s="954"/>
      <c r="E140" s="954"/>
      <c r="F140" s="954"/>
      <c r="G140" s="954"/>
      <c r="H140" s="954"/>
      <c r="I140" s="954"/>
      <c r="J140" s="954"/>
      <c r="K140" s="954"/>
      <c r="L140" s="292"/>
      <c r="M140" s="292"/>
      <c r="N140" s="292"/>
      <c r="O140" s="292"/>
      <c r="P140" s="292"/>
      <c r="Q140" s="292"/>
      <c r="R140" s="292"/>
      <c r="S140" s="292"/>
      <c r="T140" s="292"/>
      <c r="U140" s="292"/>
      <c r="V140" s="292"/>
      <c r="W140" s="292"/>
      <c r="X140" s="293"/>
      <c r="Y140" s="293"/>
      <c r="Z140" s="293"/>
      <c r="AA140" s="293"/>
      <c r="AB140" s="293"/>
      <c r="AC140" s="293"/>
      <c r="AD140" s="293"/>
      <c r="AE140" s="294"/>
      <c r="AF140" s="294"/>
      <c r="AG140" s="294"/>
      <c r="AH140" s="294"/>
      <c r="AI140" s="294"/>
      <c r="AJ140" s="294"/>
      <c r="AK140" s="294"/>
      <c r="AL140" s="294"/>
      <c r="AM140" s="294"/>
      <c r="AN140" s="294"/>
      <c r="AO140" s="292"/>
      <c r="AP140" s="292"/>
      <c r="AQ140" s="292"/>
    </row>
    <row r="141" spans="2:43" ht="13" x14ac:dyDescent="0.3">
      <c r="B141" s="291"/>
      <c r="C141" s="954"/>
      <c r="D141" s="954"/>
      <c r="E141" s="954"/>
      <c r="F141" s="954"/>
      <c r="G141" s="954"/>
      <c r="H141" s="954"/>
      <c r="I141" s="954"/>
      <c r="J141" s="954"/>
      <c r="K141" s="954"/>
      <c r="L141" s="291"/>
      <c r="M141" s="291"/>
      <c r="N141" s="291"/>
      <c r="O141" s="292"/>
      <c r="P141" s="292"/>
      <c r="Q141" s="292"/>
      <c r="R141" s="292"/>
      <c r="S141" s="292"/>
      <c r="T141" s="292"/>
      <c r="U141" s="292"/>
      <c r="V141" s="292"/>
      <c r="W141" s="292"/>
      <c r="X141" s="293"/>
      <c r="Y141" s="293"/>
      <c r="Z141" s="293"/>
      <c r="AA141" s="293"/>
      <c r="AB141" s="293"/>
      <c r="AC141" s="293"/>
      <c r="AD141" s="293"/>
      <c r="AE141" s="294"/>
      <c r="AF141" s="294"/>
      <c r="AG141" s="294"/>
      <c r="AH141" s="294"/>
      <c r="AI141" s="294"/>
      <c r="AJ141" s="294"/>
      <c r="AK141" s="294"/>
      <c r="AL141" s="294"/>
      <c r="AM141" s="294"/>
      <c r="AN141" s="294"/>
      <c r="AO141" s="292"/>
      <c r="AP141" s="292"/>
      <c r="AQ141" s="292"/>
    </row>
    <row r="142" spans="2:43" ht="13" x14ac:dyDescent="0.3">
      <c r="B142" s="291"/>
      <c r="C142" s="295" t="s">
        <v>2199</v>
      </c>
      <c r="D142" s="296"/>
      <c r="E142" s="291"/>
      <c r="F142" s="291"/>
      <c r="G142" s="291"/>
      <c r="H142" s="291"/>
      <c r="I142" s="297" t="s">
        <v>2288</v>
      </c>
      <c r="J142" s="296">
        <v>5</v>
      </c>
      <c r="K142" s="291" t="s">
        <v>2289</v>
      </c>
      <c r="L142" s="298" t="s">
        <v>2290</v>
      </c>
      <c r="M142" s="296">
        <v>15</v>
      </c>
      <c r="N142" s="291" t="s">
        <v>2291</v>
      </c>
      <c r="O142" s="291"/>
      <c r="P142" s="291"/>
      <c r="Q142" s="291"/>
      <c r="R142" s="291"/>
      <c r="S142" s="291"/>
      <c r="T142" s="291"/>
      <c r="U142" s="291"/>
      <c r="V142" s="292"/>
      <c r="W142" s="292"/>
      <c r="X142" s="293"/>
      <c r="Y142" s="293"/>
      <c r="Z142" s="293"/>
      <c r="AA142" s="293"/>
      <c r="AB142" s="293"/>
      <c r="AC142" s="293"/>
      <c r="AD142" s="293"/>
      <c r="AE142" s="294"/>
      <c r="AF142" s="294"/>
      <c r="AG142" s="294"/>
      <c r="AH142" s="294"/>
      <c r="AI142" s="294"/>
      <c r="AJ142" s="294"/>
      <c r="AK142" s="294"/>
      <c r="AL142" s="294"/>
      <c r="AM142" s="294"/>
      <c r="AN142" s="294"/>
      <c r="AO142" s="292"/>
      <c r="AP142" s="292"/>
      <c r="AQ142" s="292"/>
    </row>
    <row r="143" spans="2:43" ht="13" x14ac:dyDescent="0.3">
      <c r="B143" s="291"/>
      <c r="C143" s="295"/>
      <c r="D143" s="296"/>
      <c r="E143" s="291"/>
      <c r="F143" s="291"/>
      <c r="G143" s="291"/>
      <c r="H143" s="291"/>
      <c r="I143" s="291"/>
      <c r="J143" s="291"/>
      <c r="K143" s="291"/>
      <c r="L143" s="291"/>
      <c r="M143" s="291"/>
      <c r="N143" s="291"/>
      <c r="O143" s="291"/>
      <c r="P143" s="291"/>
      <c r="Q143" s="291"/>
      <c r="R143" s="291"/>
      <c r="S143" s="291"/>
      <c r="T143" s="291"/>
      <c r="U143" s="291"/>
      <c r="V143" s="292"/>
      <c r="W143" s="292"/>
      <c r="X143" s="293"/>
      <c r="Y143" s="293"/>
      <c r="Z143" s="293"/>
      <c r="AA143" s="293"/>
      <c r="AB143" s="293"/>
      <c r="AC143" s="293"/>
      <c r="AD143" s="293"/>
      <c r="AE143" s="294"/>
      <c r="AF143" s="294"/>
      <c r="AG143" s="294"/>
      <c r="AH143" s="294"/>
      <c r="AI143" s="294"/>
      <c r="AJ143" s="294"/>
      <c r="AK143" s="294"/>
      <c r="AL143" s="294"/>
      <c r="AM143" s="294"/>
      <c r="AN143" s="294"/>
      <c r="AO143" s="292"/>
      <c r="AP143" s="292"/>
      <c r="AQ143" s="292"/>
    </row>
    <row r="144" spans="2:43" ht="13" x14ac:dyDescent="0.3">
      <c r="B144" s="299">
        <v>1</v>
      </c>
      <c r="C144" s="299">
        <f t="shared" ref="C144:AN144" si="73">B144+1</f>
        <v>2</v>
      </c>
      <c r="D144" s="299">
        <f t="shared" si="73"/>
        <v>3</v>
      </c>
      <c r="E144" s="299">
        <f t="shared" si="73"/>
        <v>4</v>
      </c>
      <c r="F144" s="299">
        <f t="shared" si="73"/>
        <v>5</v>
      </c>
      <c r="G144" s="299">
        <f t="shared" si="73"/>
        <v>6</v>
      </c>
      <c r="H144" s="299">
        <f t="shared" si="73"/>
        <v>7</v>
      </c>
      <c r="I144" s="299">
        <f t="shared" si="73"/>
        <v>8</v>
      </c>
      <c r="J144" s="299">
        <f t="shared" si="73"/>
        <v>9</v>
      </c>
      <c r="K144" s="299">
        <f t="shared" si="73"/>
        <v>10</v>
      </c>
      <c r="L144" s="299">
        <f t="shared" si="73"/>
        <v>11</v>
      </c>
      <c r="M144" s="299">
        <f t="shared" si="73"/>
        <v>12</v>
      </c>
      <c r="N144" s="299">
        <f t="shared" si="73"/>
        <v>13</v>
      </c>
      <c r="O144" s="299">
        <f t="shared" si="73"/>
        <v>14</v>
      </c>
      <c r="P144" s="299">
        <f t="shared" si="73"/>
        <v>15</v>
      </c>
      <c r="Q144" s="299">
        <f t="shared" si="73"/>
        <v>16</v>
      </c>
      <c r="R144" s="299">
        <f t="shared" si="73"/>
        <v>17</v>
      </c>
      <c r="S144" s="299">
        <f t="shared" si="73"/>
        <v>18</v>
      </c>
      <c r="T144" s="299">
        <f t="shared" si="73"/>
        <v>19</v>
      </c>
      <c r="U144" s="299">
        <f t="shared" si="73"/>
        <v>20</v>
      </c>
      <c r="V144" s="299">
        <f t="shared" si="73"/>
        <v>21</v>
      </c>
      <c r="W144" s="299">
        <f t="shared" si="73"/>
        <v>22</v>
      </c>
      <c r="X144" s="299">
        <f t="shared" si="73"/>
        <v>23</v>
      </c>
      <c r="Y144" s="299">
        <f t="shared" si="73"/>
        <v>24</v>
      </c>
      <c r="Z144" s="299">
        <f t="shared" si="73"/>
        <v>25</v>
      </c>
      <c r="AA144" s="299">
        <f t="shared" si="73"/>
        <v>26</v>
      </c>
      <c r="AB144" s="299">
        <f t="shared" si="73"/>
        <v>27</v>
      </c>
      <c r="AC144" s="299">
        <f t="shared" ref="AC144" si="74">AB144+1</f>
        <v>28</v>
      </c>
      <c r="AD144" s="299">
        <f t="shared" ref="AD144" si="75">AC144+1</f>
        <v>29</v>
      </c>
      <c r="AE144" s="299">
        <f t="shared" ref="AE144" si="76">AD144+1</f>
        <v>30</v>
      </c>
      <c r="AF144" s="299">
        <f t="shared" si="73"/>
        <v>31</v>
      </c>
      <c r="AG144" s="299">
        <f t="shared" si="73"/>
        <v>32</v>
      </c>
      <c r="AH144" s="299">
        <f t="shared" si="73"/>
        <v>33</v>
      </c>
      <c r="AI144" s="299">
        <f t="shared" si="73"/>
        <v>34</v>
      </c>
      <c r="AJ144" s="299">
        <f t="shared" si="73"/>
        <v>35</v>
      </c>
      <c r="AK144" s="299">
        <f t="shared" si="73"/>
        <v>36</v>
      </c>
      <c r="AL144" s="299">
        <f t="shared" si="73"/>
        <v>37</v>
      </c>
      <c r="AM144" s="299">
        <f t="shared" si="73"/>
        <v>38</v>
      </c>
      <c r="AN144" s="299">
        <f t="shared" si="73"/>
        <v>39</v>
      </c>
      <c r="AO144" s="292"/>
      <c r="AP144" s="292"/>
      <c r="AQ144" s="292"/>
    </row>
    <row r="145" spans="2:43" x14ac:dyDescent="0.25">
      <c r="B145" s="300" t="s">
        <v>2202</v>
      </c>
      <c r="C145" s="949" t="s">
        <v>2203</v>
      </c>
      <c r="D145" s="949"/>
      <c r="E145" s="949" t="s">
        <v>2204</v>
      </c>
      <c r="F145" s="949"/>
      <c r="G145" s="300" t="s">
        <v>2205</v>
      </c>
      <c r="H145" s="300" t="s">
        <v>2205</v>
      </c>
      <c r="I145" s="300" t="s">
        <v>2206</v>
      </c>
      <c r="J145" s="300" t="s">
        <v>2207</v>
      </c>
      <c r="K145" s="300" t="s">
        <v>2208</v>
      </c>
      <c r="L145" s="300" t="s">
        <v>2209</v>
      </c>
      <c r="M145" s="949" t="s">
        <v>2210</v>
      </c>
      <c r="N145" s="949"/>
      <c r="O145" s="300" t="s">
        <v>2211</v>
      </c>
      <c r="P145" s="300" t="s">
        <v>2212</v>
      </c>
      <c r="Q145" s="300" t="s">
        <v>2213</v>
      </c>
      <c r="R145" s="949" t="s">
        <v>2214</v>
      </c>
      <c r="S145" s="949"/>
      <c r="T145" s="949" t="s">
        <v>2215</v>
      </c>
      <c r="U145" s="949"/>
      <c r="V145" s="300" t="s">
        <v>2216</v>
      </c>
      <c r="W145" s="300" t="s">
        <v>2217</v>
      </c>
      <c r="X145" s="300" t="s">
        <v>2218</v>
      </c>
      <c r="Y145" s="300" t="s">
        <v>2219</v>
      </c>
      <c r="Z145" s="300" t="s">
        <v>2220</v>
      </c>
      <c r="AA145" s="300" t="s">
        <v>2221</v>
      </c>
      <c r="AB145" s="300" t="s">
        <v>2222</v>
      </c>
      <c r="AC145" s="300" t="s">
        <v>1396</v>
      </c>
      <c r="AD145" s="300" t="s">
        <v>2223</v>
      </c>
      <c r="AE145" s="278" t="s">
        <v>1390</v>
      </c>
      <c r="AF145" s="300" t="s">
        <v>2224</v>
      </c>
      <c r="AG145" s="300" t="s">
        <v>2225</v>
      </c>
      <c r="AH145" s="300" t="s">
        <v>2226</v>
      </c>
      <c r="AI145" s="300" t="s">
        <v>2227</v>
      </c>
      <c r="AJ145" s="300" t="s">
        <v>2228</v>
      </c>
      <c r="AK145" s="300" t="s">
        <v>2229</v>
      </c>
      <c r="AL145" s="300" t="s">
        <v>2230</v>
      </c>
      <c r="AM145" s="300" t="s">
        <v>2231</v>
      </c>
      <c r="AN145" s="300" t="s">
        <v>2232</v>
      </c>
      <c r="AO145" s="292"/>
      <c r="AP145" s="292"/>
      <c r="AQ145" s="292"/>
    </row>
    <row r="146" spans="2:43" x14ac:dyDescent="0.25">
      <c r="B146" s="301" t="s">
        <v>1390</v>
      </c>
      <c r="C146" s="301" t="s">
        <v>2234</v>
      </c>
      <c r="D146" s="301" t="s">
        <v>2235</v>
      </c>
      <c r="E146" s="301" t="s">
        <v>2236</v>
      </c>
      <c r="F146" s="301" t="s">
        <v>23</v>
      </c>
      <c r="G146" s="301" t="s">
        <v>2237</v>
      </c>
      <c r="H146" s="301" t="s">
        <v>2238</v>
      </c>
      <c r="I146" s="301" t="s">
        <v>2239</v>
      </c>
      <c r="J146" s="301" t="s">
        <v>2240</v>
      </c>
      <c r="K146" s="301" t="s">
        <v>2241</v>
      </c>
      <c r="L146" s="301" t="s">
        <v>2242</v>
      </c>
      <c r="M146" s="301" t="s">
        <v>2243</v>
      </c>
      <c r="N146" s="301" t="s">
        <v>2244</v>
      </c>
      <c r="O146" s="301" t="s">
        <v>2245</v>
      </c>
      <c r="P146" s="301" t="s">
        <v>2246</v>
      </c>
      <c r="Q146" s="301" t="s">
        <v>6</v>
      </c>
      <c r="R146" s="301" t="s">
        <v>2234</v>
      </c>
      <c r="S146" s="301" t="s">
        <v>2235</v>
      </c>
      <c r="T146" s="301" t="s">
        <v>2234</v>
      </c>
      <c r="U146" s="301" t="s">
        <v>2235</v>
      </c>
      <c r="V146" s="301" t="s">
        <v>2247</v>
      </c>
      <c r="W146" s="301"/>
      <c r="X146" s="301" t="s">
        <v>2248</v>
      </c>
      <c r="Y146" s="301" t="s">
        <v>2249</v>
      </c>
      <c r="Z146" s="301" t="s">
        <v>2249</v>
      </c>
      <c r="AA146" s="301"/>
      <c r="AB146" s="301" t="s">
        <v>2247</v>
      </c>
      <c r="AC146" s="301" t="s">
        <v>2250</v>
      </c>
      <c r="AD146" s="301" t="s">
        <v>2250</v>
      </c>
      <c r="AE146" s="279" t="s">
        <v>2250</v>
      </c>
      <c r="AF146" s="301" t="s">
        <v>2250</v>
      </c>
      <c r="AG146" s="301" t="s">
        <v>2250</v>
      </c>
      <c r="AH146" s="301" t="s">
        <v>2250</v>
      </c>
      <c r="AI146" s="301" t="s">
        <v>2250</v>
      </c>
      <c r="AJ146" s="301" t="s">
        <v>2250</v>
      </c>
      <c r="AK146" s="301" t="s">
        <v>2250</v>
      </c>
      <c r="AL146" s="301" t="s">
        <v>2250</v>
      </c>
      <c r="AM146" s="301" t="s">
        <v>2250</v>
      </c>
      <c r="AN146" s="301" t="s">
        <v>2250</v>
      </c>
      <c r="AO146" s="292"/>
      <c r="AP146" s="292"/>
      <c r="AQ146" s="292"/>
    </row>
    <row r="147" spans="2:43" ht="13" x14ac:dyDescent="0.3">
      <c r="B147" s="302" t="s">
        <v>1404</v>
      </c>
      <c r="C147" s="301"/>
      <c r="D147" s="301"/>
      <c r="E147" s="301"/>
      <c r="F147" s="301"/>
      <c r="G147" s="301"/>
      <c r="H147" s="301"/>
      <c r="I147" s="301"/>
      <c r="J147" s="301"/>
      <c r="K147" s="301"/>
      <c r="L147" s="301"/>
      <c r="M147" s="301"/>
      <c r="N147" s="301"/>
      <c r="O147" s="301"/>
      <c r="P147" s="301"/>
      <c r="Q147" s="301"/>
      <c r="R147" s="301"/>
      <c r="S147" s="301"/>
      <c r="T147" s="301"/>
      <c r="U147" s="301"/>
      <c r="V147" s="301"/>
      <c r="W147" s="301"/>
      <c r="X147" s="301"/>
      <c r="Y147" s="301"/>
      <c r="Z147" s="301"/>
      <c r="AA147" s="301"/>
      <c r="AB147" s="301"/>
      <c r="AC147" s="301"/>
      <c r="AD147" s="301"/>
      <c r="AE147" s="301"/>
      <c r="AF147" s="301"/>
      <c r="AG147" s="301"/>
      <c r="AH147" s="301"/>
      <c r="AI147" s="301"/>
      <c r="AJ147" s="301"/>
      <c r="AK147" s="301"/>
      <c r="AL147" s="301"/>
      <c r="AM147" s="301"/>
      <c r="AN147" s="301"/>
      <c r="AO147" s="292"/>
      <c r="AP147" s="292"/>
      <c r="AQ147" s="292"/>
    </row>
    <row r="148" spans="2:43" s="271" customFormat="1" x14ac:dyDescent="0.25">
      <c r="B148" s="304" t="s">
        <v>2251</v>
      </c>
      <c r="C148" s="305">
        <v>969.702</v>
      </c>
      <c r="D148" s="305">
        <v>968.43799999999999</v>
      </c>
      <c r="E148" s="305">
        <v>1.571</v>
      </c>
      <c r="F148" s="305">
        <v>1.571</v>
      </c>
      <c r="G148" s="305">
        <v>0.7</v>
      </c>
      <c r="H148" s="305">
        <v>1.4999999999999999E-2</v>
      </c>
      <c r="I148" s="306">
        <v>16.329999999999998</v>
      </c>
      <c r="J148" s="306">
        <v>315.70999999999998</v>
      </c>
      <c r="K148" s="306">
        <v>33.83</v>
      </c>
      <c r="L148" s="306">
        <v>347.21</v>
      </c>
      <c r="M148" s="304">
        <v>600</v>
      </c>
      <c r="N148" s="304"/>
      <c r="O148" s="306">
        <v>3.64</v>
      </c>
      <c r="P148" s="306">
        <v>3.25</v>
      </c>
      <c r="Q148" s="306">
        <v>40.340000000000003</v>
      </c>
      <c r="R148" s="306">
        <v>3</v>
      </c>
      <c r="S148" s="306">
        <v>2.97</v>
      </c>
      <c r="T148" s="305">
        <v>966.702</v>
      </c>
      <c r="U148" s="305">
        <v>965.47199999999998</v>
      </c>
      <c r="V148" s="306">
        <v>0</v>
      </c>
      <c r="W148" s="306" t="s">
        <v>1999</v>
      </c>
      <c r="X148" s="306">
        <v>400</v>
      </c>
      <c r="Y148" s="306">
        <f>IFERROR(IF(X148&lt;=600,(PI()*0.72*0.72/4-PI()*0.6*0.6/4)*(C148-AB148)+(1.3*1.3-1.1*1.1)*1.6,IF(X148=800,(PI()*0.72*0.72/4-PI()*0.6*0.6/4)*(C148-AB148)+(1.5*1.5-1.1*1.1)*1.6,IF(X148=1000,(PI()*0.72*0.72/4-PI()*0.6*0.6/4)*(C148-AB148)+(1.94*1.94-1.5*1.5)*2.25,IF(X148=1200,(PI()*0.72*0.72/4-PI()*0.6*0.6/4)*(C148-AB148)+(-1.8*1.8+2.14*2.14)*2.25,IF(X148=1500,(PI()*0.72*0.72/4-PI()*0.6*0.6/4)*(C148-AB148)+(-2.2*2.2+2.44*2.44)*2.65,0))))),0)</f>
        <v>1.1041479006599848</v>
      </c>
      <c r="Z148" s="306">
        <f t="shared" ref="Z148:Z194" si="77">K148*IF(X148&lt;=600,PI()*(0.06*2+X148/1000)*(0.06*2+X148/1000)/4-PI()*(X148/1000)*(X148/1000)/4,IF(X148=800,PI()*(0.08*2+X148/1000)*(0.08*2+X148/1000)/4-PI()*(X148/1000)*(X148/1000)/4,IF(X148&lt;=1000,PI()*(0.1*2+X148/1000)*(0.1*2+X148/1000)/4-PI()*(X148/1000)*(X148/1000)/4,IF(X148&lt;=1200,PI()*(0.12*2+X148/1000)*(0.12*2+X148/1000)/4-PI()*(X148/1000)*(X148/1000)/4,IF(X148&lt;=1500,PI()*(0.15*2+X148/1000)*(0.15*2+X148/1000)/4-PI()*(X148/1000)*(X148/1000)/4,0)))))</f>
        <v>2.9333301933980183</v>
      </c>
      <c r="AA148" s="306" t="s">
        <v>2353</v>
      </c>
      <c r="AB148" s="305">
        <v>967</v>
      </c>
      <c r="AC148" s="305"/>
      <c r="AD148" s="305"/>
      <c r="AE148" s="308" t="str">
        <f t="shared" ref="AE148:AE194" si="78">IF(OR(RIGHT(LEFT(B148,7),1)="&gt;",RIGHT(LEFT(B148,7),1)="-"),IF(OR(RIGHT(LEFT(B148,6),1)="&gt;",RIGHT(LEFT(B148,6),1)="-"),LEFT(B148,5),LEFT(B148,6)),LEFT(B148,7))</f>
        <v>PV1.1</v>
      </c>
      <c r="AF148" s="309">
        <f t="shared" ref="AF148:AF194" si="79">COUNTIF(M148,600)</f>
        <v>1</v>
      </c>
      <c r="AG148" s="309">
        <f t="shared" ref="AG148:AG194" si="80">COUNTIF(M148,800)</f>
        <v>0</v>
      </c>
      <c r="AH148" s="309">
        <f t="shared" ref="AH148:AH194" si="81">COUNTIF(M148,1000)</f>
        <v>0</v>
      </c>
      <c r="AI148" s="309">
        <f t="shared" ref="AI148:AI194" si="82">COUNTIF(M148,1200)</f>
        <v>0</v>
      </c>
      <c r="AJ148" s="309">
        <f t="shared" ref="AJ148:AJ194" si="83">COUNTIF(M148,1500)</f>
        <v>0</v>
      </c>
      <c r="AK148" s="309">
        <f t="shared" ref="AK148:AK194" si="84">COUNTIF(M148,1650)</f>
        <v>0</v>
      </c>
      <c r="AL148" s="309">
        <f t="shared" ref="AL148:AL194" si="85">AK148*IF((R148+S148)/2-1.65&lt;=2,1,0)</f>
        <v>0</v>
      </c>
      <c r="AM148" s="309">
        <f t="shared" ref="AM148:AM194" si="86">AK148*IF((R148+S148)/2-1.65&lt;=3,1,0)-AL148</f>
        <v>0</v>
      </c>
      <c r="AN148" s="309">
        <f t="shared" ref="AN148:AN194" si="87">AK148*IF((R148+S148)/2-1.65&lt;=4,1,0)-AL148-AM148</f>
        <v>0</v>
      </c>
      <c r="AO148" s="292"/>
      <c r="AP148" s="292"/>
      <c r="AQ148" s="310" t="str">
        <f t="shared" ref="AQ148:AQ194" si="88">W148</f>
        <v>ASFALTO</v>
      </c>
    </row>
    <row r="149" spans="2:43" s="271" customFormat="1" x14ac:dyDescent="0.25">
      <c r="B149" s="304" t="s">
        <v>2253</v>
      </c>
      <c r="C149" s="305">
        <v>968.43799999999999</v>
      </c>
      <c r="D149" s="305">
        <v>967.24199999999996</v>
      </c>
      <c r="E149" s="305">
        <v>0</v>
      </c>
      <c r="F149" s="305">
        <v>1.571</v>
      </c>
      <c r="G149" s="305">
        <v>0.7</v>
      </c>
      <c r="H149" s="305">
        <v>1.4999999999999999E-2</v>
      </c>
      <c r="I149" s="306">
        <v>16.5</v>
      </c>
      <c r="J149" s="306">
        <v>314.08</v>
      </c>
      <c r="K149" s="306">
        <v>33.83</v>
      </c>
      <c r="L149" s="306">
        <v>345.42</v>
      </c>
      <c r="M149" s="304">
        <v>600</v>
      </c>
      <c r="N149" s="304"/>
      <c r="O149" s="306">
        <v>3.64</v>
      </c>
      <c r="P149" s="306">
        <v>3.25</v>
      </c>
      <c r="Q149" s="306">
        <v>40.22</v>
      </c>
      <c r="R149" s="306">
        <v>2.97</v>
      </c>
      <c r="S149" s="306">
        <v>3</v>
      </c>
      <c r="T149" s="305">
        <v>965.47199999999998</v>
      </c>
      <c r="U149" s="305">
        <v>964.24199999999996</v>
      </c>
      <c r="V149" s="306">
        <v>0.35</v>
      </c>
      <c r="W149" s="306" t="s">
        <v>1999</v>
      </c>
      <c r="X149" s="306">
        <v>400</v>
      </c>
      <c r="Y149" s="306"/>
      <c r="Z149" s="306">
        <f t="shared" si="77"/>
        <v>2.9333301933980183</v>
      </c>
      <c r="AA149" s="306"/>
      <c r="AB149" s="305"/>
      <c r="AC149" s="305"/>
      <c r="AD149" s="305"/>
      <c r="AE149" s="308" t="str">
        <f t="shared" si="78"/>
        <v>PV2.1</v>
      </c>
      <c r="AF149" s="309">
        <f t="shared" si="79"/>
        <v>1</v>
      </c>
      <c r="AG149" s="309">
        <f t="shared" si="80"/>
        <v>0</v>
      </c>
      <c r="AH149" s="309">
        <f t="shared" si="81"/>
        <v>0</v>
      </c>
      <c r="AI149" s="309">
        <f t="shared" si="82"/>
        <v>0</v>
      </c>
      <c r="AJ149" s="309">
        <f t="shared" si="83"/>
        <v>0</v>
      </c>
      <c r="AK149" s="309">
        <f t="shared" si="84"/>
        <v>0</v>
      </c>
      <c r="AL149" s="309">
        <f t="shared" si="85"/>
        <v>0</v>
      </c>
      <c r="AM149" s="309">
        <f t="shared" si="86"/>
        <v>0</v>
      </c>
      <c r="AN149" s="309">
        <f t="shared" si="87"/>
        <v>0</v>
      </c>
      <c r="AO149" s="292"/>
      <c r="AP149" s="292"/>
      <c r="AQ149" s="310" t="str">
        <f t="shared" si="88"/>
        <v>ASFALTO</v>
      </c>
    </row>
    <row r="150" spans="2:43" s="271" customFormat="1" x14ac:dyDescent="0.25">
      <c r="B150" s="304" t="s">
        <v>2255</v>
      </c>
      <c r="C150" s="305">
        <v>967.24199999999996</v>
      </c>
      <c r="D150" s="305">
        <v>966.20799999999997</v>
      </c>
      <c r="E150" s="305">
        <v>1.51</v>
      </c>
      <c r="F150" s="305">
        <v>3.081</v>
      </c>
      <c r="G150" s="305">
        <v>0.7</v>
      </c>
      <c r="H150" s="305">
        <v>1.4999999999999999E-2</v>
      </c>
      <c r="I150" s="306">
        <v>16.68</v>
      </c>
      <c r="J150" s="306">
        <v>312.48</v>
      </c>
      <c r="K150" s="306">
        <v>33.44</v>
      </c>
      <c r="L150" s="306">
        <v>673.86</v>
      </c>
      <c r="M150" s="304">
        <v>800</v>
      </c>
      <c r="N150" s="304"/>
      <c r="O150" s="306">
        <v>2.66</v>
      </c>
      <c r="P150" s="306">
        <v>3.41</v>
      </c>
      <c r="Q150" s="306">
        <v>41.53</v>
      </c>
      <c r="R150" s="306">
        <v>3.35</v>
      </c>
      <c r="S150" s="306">
        <v>3.2</v>
      </c>
      <c r="T150" s="305">
        <v>963.89400000000001</v>
      </c>
      <c r="U150" s="305">
        <v>963.00599999999997</v>
      </c>
      <c r="V150" s="306">
        <v>0</v>
      </c>
      <c r="W150" s="306" t="s">
        <v>1999</v>
      </c>
      <c r="X150" s="306">
        <v>600</v>
      </c>
      <c r="Y150" s="306">
        <f>IFERROR(IF(X150&lt;=600,(PI()*0.72*0.72/4-PI()*0.6*0.6/4)*(C150-AB150)+(1.3*1.3-1.1*1.1)*1.6,IF(X150=800,(PI()*0.72*0.72/4-PI()*0.6*0.6/4)*(C150-AB150)+(1.5*1.5-1.1*1.1)*1.6,IF(X150=1000,(PI()*0.72*0.72/4-PI()*0.6*0.6/4)*(C150-AB150)+(1.94*1.94-1.5*1.5)*2.25,IF(X150=1200,(PI()*0.72*0.72/4-PI()*0.6*0.6/4)*(C150-AB150)+(-1.8*1.8+2.14*2.14)*2.25,IF(X150=1500,(PI()*0.72*0.72/4-PI()*0.6*0.6/4)*(C150-AB150)+(-2.2*2.2+2.44*2.44)*2.65,0))))),0)</f>
        <v>1.209893909379806</v>
      </c>
      <c r="Z150" s="306">
        <f t="shared" si="77"/>
        <v>4.1601723901072907</v>
      </c>
      <c r="AA150" s="306" t="s">
        <v>2354</v>
      </c>
      <c r="AB150" s="305">
        <v>963.69</v>
      </c>
      <c r="AC150" s="305"/>
      <c r="AD150" s="305"/>
      <c r="AE150" s="308" t="str">
        <f t="shared" si="78"/>
        <v>PV3.1</v>
      </c>
      <c r="AF150" s="309">
        <f t="shared" si="79"/>
        <v>0</v>
      </c>
      <c r="AG150" s="309">
        <f t="shared" si="80"/>
        <v>1</v>
      </c>
      <c r="AH150" s="309">
        <f t="shared" si="81"/>
        <v>0</v>
      </c>
      <c r="AI150" s="309">
        <f t="shared" si="82"/>
        <v>0</v>
      </c>
      <c r="AJ150" s="309">
        <f t="shared" si="83"/>
        <v>0</v>
      </c>
      <c r="AK150" s="309">
        <f t="shared" si="84"/>
        <v>0</v>
      </c>
      <c r="AL150" s="309">
        <f t="shared" si="85"/>
        <v>0</v>
      </c>
      <c r="AM150" s="309">
        <f t="shared" si="86"/>
        <v>0</v>
      </c>
      <c r="AN150" s="309">
        <f t="shared" si="87"/>
        <v>0</v>
      </c>
      <c r="AO150" s="292"/>
      <c r="AP150" s="292"/>
      <c r="AQ150" s="310" t="str">
        <f t="shared" si="88"/>
        <v>ASFALTO</v>
      </c>
    </row>
    <row r="151" spans="2:43" s="271" customFormat="1" x14ac:dyDescent="0.25">
      <c r="B151" s="304" t="s">
        <v>2257</v>
      </c>
      <c r="C151" s="305">
        <v>966.20799999999997</v>
      </c>
      <c r="D151" s="305">
        <v>965.21</v>
      </c>
      <c r="E151" s="305">
        <v>0</v>
      </c>
      <c r="F151" s="305">
        <v>3.081</v>
      </c>
      <c r="G151" s="305">
        <v>0.7</v>
      </c>
      <c r="H151" s="305">
        <v>1.4999999999999999E-2</v>
      </c>
      <c r="I151" s="306">
        <v>16.84</v>
      </c>
      <c r="J151" s="306">
        <v>310.98</v>
      </c>
      <c r="K151" s="306">
        <v>33.44</v>
      </c>
      <c r="L151" s="306">
        <v>670.63</v>
      </c>
      <c r="M151" s="304">
        <v>800</v>
      </c>
      <c r="N151" s="304"/>
      <c r="O151" s="306">
        <v>3.04</v>
      </c>
      <c r="P151" s="306">
        <v>3.58</v>
      </c>
      <c r="Q151" s="306">
        <v>39.92</v>
      </c>
      <c r="R151" s="306">
        <v>3.2</v>
      </c>
      <c r="S151" s="306">
        <v>3.22</v>
      </c>
      <c r="T151" s="305">
        <v>963.00599999999997</v>
      </c>
      <c r="U151" s="305">
        <v>961.99</v>
      </c>
      <c r="V151" s="306">
        <v>0.22</v>
      </c>
      <c r="W151" s="306" t="s">
        <v>1999</v>
      </c>
      <c r="X151" s="306">
        <v>600</v>
      </c>
      <c r="Y151" s="306"/>
      <c r="Z151" s="306">
        <f t="shared" si="77"/>
        <v>4.1601723901072907</v>
      </c>
      <c r="AA151" s="306"/>
      <c r="AB151" s="305"/>
      <c r="AC151" s="305"/>
      <c r="AD151" s="305"/>
      <c r="AE151" s="308" t="str">
        <f t="shared" si="78"/>
        <v>PV4.1</v>
      </c>
      <c r="AF151" s="309">
        <f t="shared" si="79"/>
        <v>0</v>
      </c>
      <c r="AG151" s="309">
        <f t="shared" si="80"/>
        <v>1</v>
      </c>
      <c r="AH151" s="309">
        <f t="shared" si="81"/>
        <v>0</v>
      </c>
      <c r="AI151" s="309">
        <f t="shared" si="82"/>
        <v>0</v>
      </c>
      <c r="AJ151" s="309">
        <f t="shared" si="83"/>
        <v>0</v>
      </c>
      <c r="AK151" s="309">
        <f t="shared" si="84"/>
        <v>0</v>
      </c>
      <c r="AL151" s="309">
        <f t="shared" si="85"/>
        <v>0</v>
      </c>
      <c r="AM151" s="309">
        <f t="shared" si="86"/>
        <v>0</v>
      </c>
      <c r="AN151" s="309">
        <f t="shared" si="87"/>
        <v>0</v>
      </c>
      <c r="AO151" s="292"/>
      <c r="AP151" s="292"/>
      <c r="AQ151" s="310" t="str">
        <f t="shared" si="88"/>
        <v>ASFALTO</v>
      </c>
    </row>
    <row r="152" spans="2:43" s="271" customFormat="1" x14ac:dyDescent="0.25">
      <c r="B152" s="304" t="s">
        <v>2258</v>
      </c>
      <c r="C152" s="305">
        <v>965.21</v>
      </c>
      <c r="D152" s="305">
        <v>964.404</v>
      </c>
      <c r="E152" s="305">
        <v>1.6839999999999999</v>
      </c>
      <c r="F152" s="305">
        <v>4.7649999999999997</v>
      </c>
      <c r="G152" s="305">
        <v>0.7</v>
      </c>
      <c r="H152" s="305">
        <v>1.4999999999999999E-2</v>
      </c>
      <c r="I152" s="306">
        <v>17</v>
      </c>
      <c r="J152" s="306">
        <v>309.57</v>
      </c>
      <c r="K152" s="306">
        <v>33.64</v>
      </c>
      <c r="L152" s="306">
        <v>1032.5899999999999</v>
      </c>
      <c r="M152" s="304">
        <v>1000</v>
      </c>
      <c r="N152" s="304"/>
      <c r="O152" s="306">
        <v>2.48</v>
      </c>
      <c r="P152" s="306">
        <v>3.69</v>
      </c>
      <c r="Q152" s="306">
        <v>38.590000000000003</v>
      </c>
      <c r="R152" s="306">
        <v>3.44</v>
      </c>
      <c r="S152" s="306">
        <v>3.46</v>
      </c>
      <c r="T152" s="305">
        <v>961.77499999999998</v>
      </c>
      <c r="U152" s="305">
        <v>960.94</v>
      </c>
      <c r="V152" s="306">
        <v>0</v>
      </c>
      <c r="W152" s="306" t="s">
        <v>1999</v>
      </c>
      <c r="X152" s="306">
        <v>800</v>
      </c>
      <c r="Y152" s="306">
        <f>IFERROR(IF(X152&lt;=600,(PI()*0.72*0.72/4-PI()*0.6*0.6/4)*(C152-AB152)+(1.3*1.3-1.1*1.1)*1.6,IF(X152=800,(PI()*0.72*0.72/4-PI()*0.6*0.6/4)*(C152-AB152)+(1.5*1.5-1.1*1.1)*1.6,IF(X152=1000,(PI()*0.72*0.72/4-PI()*0.6*0.6/4)*(C152-AB152)+(1.94*1.94-1.5*1.5)*2.25,IF(X152=1200,(PI()*0.72*0.72/4-PI()*0.6*0.6/4)*(C152-AB152)+(-1.8*1.8+2.14*2.14)*2.25,IF(X152=1500,(PI()*0.72*0.72/4-PI()*0.6*0.6/4)*(C152-AB152)+(-2.2*2.2+2.44*2.44)*2.65,0))))),0)</f>
        <v>2.1193298728407002</v>
      </c>
      <c r="Z152" s="306">
        <f t="shared" si="77"/>
        <v>7.4400956514199503</v>
      </c>
      <c r="AA152" s="306" t="s">
        <v>2355</v>
      </c>
      <c r="AB152" s="305">
        <v>961.55</v>
      </c>
      <c r="AC152" s="305"/>
      <c r="AD152" s="305"/>
      <c r="AE152" s="308" t="str">
        <f t="shared" si="78"/>
        <v>PV5.1</v>
      </c>
      <c r="AF152" s="309">
        <f t="shared" si="79"/>
        <v>0</v>
      </c>
      <c r="AG152" s="309">
        <f t="shared" si="80"/>
        <v>0</v>
      </c>
      <c r="AH152" s="309">
        <f t="shared" si="81"/>
        <v>1</v>
      </c>
      <c r="AI152" s="309">
        <f t="shared" si="82"/>
        <v>0</v>
      </c>
      <c r="AJ152" s="309">
        <f t="shared" si="83"/>
        <v>0</v>
      </c>
      <c r="AK152" s="309">
        <f t="shared" si="84"/>
        <v>0</v>
      </c>
      <c r="AL152" s="309">
        <f t="shared" si="85"/>
        <v>0</v>
      </c>
      <c r="AM152" s="309">
        <f t="shared" si="86"/>
        <v>0</v>
      </c>
      <c r="AN152" s="309">
        <f t="shared" si="87"/>
        <v>0</v>
      </c>
      <c r="AO152" s="292"/>
      <c r="AP152" s="292"/>
      <c r="AQ152" s="310" t="str">
        <f t="shared" si="88"/>
        <v>ASFALTO</v>
      </c>
    </row>
    <row r="153" spans="2:43" s="271" customFormat="1" x14ac:dyDescent="0.25">
      <c r="B153" s="304" t="s">
        <v>2260</v>
      </c>
      <c r="C153" s="305">
        <v>964.404</v>
      </c>
      <c r="D153" s="305">
        <v>963.54100000000005</v>
      </c>
      <c r="E153" s="305">
        <v>0</v>
      </c>
      <c r="F153" s="305">
        <v>4.7649999999999997</v>
      </c>
      <c r="G153" s="305">
        <v>0.7</v>
      </c>
      <c r="H153" s="305">
        <v>1.4999999999999999E-2</v>
      </c>
      <c r="I153" s="306">
        <v>17.149999999999999</v>
      </c>
      <c r="J153" s="306">
        <v>308.20999999999998</v>
      </c>
      <c r="K153" s="306">
        <v>33.64</v>
      </c>
      <c r="L153" s="306">
        <v>1028.05</v>
      </c>
      <c r="M153" s="304">
        <v>1000</v>
      </c>
      <c r="N153" s="304"/>
      <c r="O153" s="306">
        <v>2.48</v>
      </c>
      <c r="P153" s="306">
        <v>3.69</v>
      </c>
      <c r="Q153" s="306">
        <v>38.5</v>
      </c>
      <c r="R153" s="306">
        <v>3.46</v>
      </c>
      <c r="S153" s="306">
        <v>3.44</v>
      </c>
      <c r="T153" s="305">
        <v>960.94</v>
      </c>
      <c r="U153" s="305">
        <v>960.10599999999999</v>
      </c>
      <c r="V153" s="306">
        <v>0</v>
      </c>
      <c r="W153" s="306" t="s">
        <v>1999</v>
      </c>
      <c r="X153" s="306">
        <v>800</v>
      </c>
      <c r="Y153" s="306"/>
      <c r="Z153" s="306">
        <f t="shared" si="77"/>
        <v>7.4400956514199503</v>
      </c>
      <c r="AA153" s="306"/>
      <c r="AB153" s="305"/>
      <c r="AC153" s="305"/>
      <c r="AD153" s="305"/>
      <c r="AE153" s="308" t="str">
        <f t="shared" si="78"/>
        <v>PV6.1</v>
      </c>
      <c r="AF153" s="309">
        <f t="shared" si="79"/>
        <v>0</v>
      </c>
      <c r="AG153" s="309">
        <f t="shared" si="80"/>
        <v>0</v>
      </c>
      <c r="AH153" s="309">
        <f t="shared" si="81"/>
        <v>1</v>
      </c>
      <c r="AI153" s="309">
        <f t="shared" si="82"/>
        <v>0</v>
      </c>
      <c r="AJ153" s="309">
        <f t="shared" si="83"/>
        <v>0</v>
      </c>
      <c r="AK153" s="309">
        <f t="shared" si="84"/>
        <v>0</v>
      </c>
      <c r="AL153" s="309">
        <f t="shared" si="85"/>
        <v>0</v>
      </c>
      <c r="AM153" s="309">
        <f t="shared" si="86"/>
        <v>0</v>
      </c>
      <c r="AN153" s="309">
        <f t="shared" si="87"/>
        <v>0</v>
      </c>
      <c r="AO153" s="292"/>
      <c r="AP153" s="292"/>
      <c r="AQ153" s="310" t="str">
        <f t="shared" si="88"/>
        <v>ASFALTO</v>
      </c>
    </row>
    <row r="154" spans="2:43" s="271" customFormat="1" x14ac:dyDescent="0.25">
      <c r="B154" s="304" t="s">
        <v>2261</v>
      </c>
      <c r="C154" s="305">
        <v>963.54100000000005</v>
      </c>
      <c r="D154" s="305">
        <v>962.69299999999998</v>
      </c>
      <c r="E154" s="305">
        <v>1.7430000000000001</v>
      </c>
      <c r="F154" s="305">
        <v>6.508</v>
      </c>
      <c r="G154" s="305">
        <v>0.7</v>
      </c>
      <c r="H154" s="305">
        <v>1.4999999999999999E-2</v>
      </c>
      <c r="I154" s="306">
        <v>17.3</v>
      </c>
      <c r="J154" s="306">
        <v>306.86</v>
      </c>
      <c r="K154" s="306">
        <v>33.299999999999997</v>
      </c>
      <c r="L154" s="306">
        <v>1397.87</v>
      </c>
      <c r="M154" s="304">
        <v>1000</v>
      </c>
      <c r="N154" s="304"/>
      <c r="O154" s="306">
        <v>2.66</v>
      </c>
      <c r="P154" s="306">
        <v>4.1100000000000003</v>
      </c>
      <c r="Q154" s="306">
        <v>44.77</v>
      </c>
      <c r="R154" s="306">
        <v>3.44</v>
      </c>
      <c r="S154" s="306">
        <v>3.47</v>
      </c>
      <c r="T154" s="305">
        <v>960.10599999999999</v>
      </c>
      <c r="U154" s="305">
        <v>959.221</v>
      </c>
      <c r="V154" s="306">
        <v>0</v>
      </c>
      <c r="W154" s="306" t="s">
        <v>1999</v>
      </c>
      <c r="X154" s="306">
        <v>800</v>
      </c>
      <c r="Y154" s="306">
        <f>IFERROR(IF(X154&lt;=600,(PI()*0.72*0.72/4-PI()*0.6*0.6/4)*(C154-AB154)+(1.3*1.3-1.1*1.1)*1.6,IF(X154=800,(PI()*0.72*0.72/4-PI()*0.6*0.6/4)*(C154-AB154)+(1.5*1.5-1.1*1.1)*1.6,IF(X154=1000,(PI()*0.72*0.72/4-PI()*0.6*0.6/4)*(C154-AB154)+(1.94*1.94-1.5*1.5)*2.25,IF(X154=1200,(PI()*0.72*0.72/4-PI()*0.6*0.6/4)*(C154-AB154)+(-1.8*1.8+2.14*2.14)*2.25,IF(X154=1500,(PI()*0.72*0.72/4-PI()*0.6*0.6/4)*(C154-AB154)+(-2.2*2.2+2.44*2.44)*2.65,0))))),0)</f>
        <v>2.0199286246440602</v>
      </c>
      <c r="Z154" s="306">
        <f t="shared" si="77"/>
        <v>7.3648984896636245</v>
      </c>
      <c r="AA154" s="306" t="s">
        <v>2356</v>
      </c>
      <c r="AB154" s="305">
        <v>960.68</v>
      </c>
      <c r="AC154" s="305"/>
      <c r="AD154" s="305"/>
      <c r="AE154" s="308" t="str">
        <f t="shared" si="78"/>
        <v>PV7.1</v>
      </c>
      <c r="AF154" s="309">
        <f t="shared" si="79"/>
        <v>0</v>
      </c>
      <c r="AG154" s="309">
        <f t="shared" si="80"/>
        <v>0</v>
      </c>
      <c r="AH154" s="309">
        <f t="shared" si="81"/>
        <v>1</v>
      </c>
      <c r="AI154" s="309">
        <f t="shared" si="82"/>
        <v>0</v>
      </c>
      <c r="AJ154" s="309">
        <f t="shared" si="83"/>
        <v>0</v>
      </c>
      <c r="AK154" s="309">
        <f t="shared" si="84"/>
        <v>0</v>
      </c>
      <c r="AL154" s="309">
        <f t="shared" si="85"/>
        <v>0</v>
      </c>
      <c r="AM154" s="309">
        <f t="shared" si="86"/>
        <v>0</v>
      </c>
      <c r="AN154" s="309">
        <f t="shared" si="87"/>
        <v>0</v>
      </c>
      <c r="AO154" s="292"/>
      <c r="AP154" s="292"/>
      <c r="AQ154" s="310" t="str">
        <f t="shared" si="88"/>
        <v>ASFALTO</v>
      </c>
    </row>
    <row r="155" spans="2:43" s="271" customFormat="1" x14ac:dyDescent="0.25">
      <c r="B155" s="304" t="s">
        <v>2263</v>
      </c>
      <c r="C155" s="305">
        <v>962.69299999999998</v>
      </c>
      <c r="D155" s="305">
        <v>961.77099999999996</v>
      </c>
      <c r="E155" s="305">
        <v>0</v>
      </c>
      <c r="F155" s="305">
        <v>6.508</v>
      </c>
      <c r="G155" s="305">
        <v>0.7</v>
      </c>
      <c r="H155" s="305">
        <v>1.4999999999999999E-2</v>
      </c>
      <c r="I155" s="306">
        <v>17.43</v>
      </c>
      <c r="J155" s="306">
        <v>305.67</v>
      </c>
      <c r="K155" s="306">
        <v>33.299999999999997</v>
      </c>
      <c r="L155" s="306">
        <v>1392.45</v>
      </c>
      <c r="M155" s="304">
        <v>1000</v>
      </c>
      <c r="N155" s="304"/>
      <c r="O155" s="306">
        <v>2.66</v>
      </c>
      <c r="P155" s="306">
        <v>4.0999999999999996</v>
      </c>
      <c r="Q155" s="306">
        <v>44.67</v>
      </c>
      <c r="R155" s="306">
        <v>3.47</v>
      </c>
      <c r="S155" s="306">
        <v>3.44</v>
      </c>
      <c r="T155" s="305">
        <v>959.221</v>
      </c>
      <c r="U155" s="305">
        <v>958.33600000000001</v>
      </c>
      <c r="V155" s="306">
        <v>0.23</v>
      </c>
      <c r="W155" s="306" t="s">
        <v>1999</v>
      </c>
      <c r="X155" s="306">
        <v>800</v>
      </c>
      <c r="Y155" s="306"/>
      <c r="Z155" s="306">
        <f t="shared" si="77"/>
        <v>7.3648984896636245</v>
      </c>
      <c r="AA155" s="306"/>
      <c r="AB155" s="305"/>
      <c r="AC155" s="305"/>
      <c r="AD155" s="305"/>
      <c r="AE155" s="308" t="str">
        <f t="shared" si="78"/>
        <v>PV8.1</v>
      </c>
      <c r="AF155" s="309">
        <f t="shared" si="79"/>
        <v>0</v>
      </c>
      <c r="AG155" s="309">
        <f t="shared" si="80"/>
        <v>0</v>
      </c>
      <c r="AH155" s="309">
        <f t="shared" si="81"/>
        <v>1</v>
      </c>
      <c r="AI155" s="309">
        <f t="shared" si="82"/>
        <v>0</v>
      </c>
      <c r="AJ155" s="309">
        <f t="shared" si="83"/>
        <v>0</v>
      </c>
      <c r="AK155" s="309">
        <f t="shared" si="84"/>
        <v>0</v>
      </c>
      <c r="AL155" s="309">
        <f t="shared" si="85"/>
        <v>0</v>
      </c>
      <c r="AM155" s="309">
        <f t="shared" si="86"/>
        <v>0</v>
      </c>
      <c r="AN155" s="309">
        <f t="shared" si="87"/>
        <v>0</v>
      </c>
      <c r="AO155" s="292"/>
      <c r="AP155" s="292"/>
      <c r="AQ155" s="310" t="str">
        <f t="shared" si="88"/>
        <v>ASFALTO</v>
      </c>
    </row>
    <row r="156" spans="2:43" s="271" customFormat="1" x14ac:dyDescent="0.25">
      <c r="B156" s="304" t="s">
        <v>2264</v>
      </c>
      <c r="C156" s="305">
        <v>961.77099999999996</v>
      </c>
      <c r="D156" s="305">
        <v>960.81700000000001</v>
      </c>
      <c r="E156" s="305">
        <v>1.91</v>
      </c>
      <c r="F156" s="305">
        <v>8.4169999999999998</v>
      </c>
      <c r="G156" s="305">
        <v>0.7</v>
      </c>
      <c r="H156" s="305">
        <v>1.4999999999999999E-2</v>
      </c>
      <c r="I156" s="306">
        <v>17.57</v>
      </c>
      <c r="J156" s="306">
        <v>304.49</v>
      </c>
      <c r="K156" s="306">
        <v>33.42</v>
      </c>
      <c r="L156" s="306">
        <v>1794.11</v>
      </c>
      <c r="M156" s="304">
        <v>1200</v>
      </c>
      <c r="N156" s="304"/>
      <c r="O156" s="306">
        <v>2.91</v>
      </c>
      <c r="P156" s="306">
        <v>4.5</v>
      </c>
      <c r="Q156" s="306">
        <v>38.32</v>
      </c>
      <c r="R156" s="306">
        <v>3.67</v>
      </c>
      <c r="S156" s="306">
        <v>3.68</v>
      </c>
      <c r="T156" s="305">
        <v>958.10599999999999</v>
      </c>
      <c r="U156" s="305">
        <v>957.13400000000001</v>
      </c>
      <c r="V156" s="306">
        <v>0</v>
      </c>
      <c r="W156" s="306" t="s">
        <v>1999</v>
      </c>
      <c r="X156" s="306">
        <v>800</v>
      </c>
      <c r="Y156" s="306">
        <f>IFERROR(IF(X156&lt;=600,(PI()*0.72*0.72/4-PI()*0.6*0.6/4)*(C156-AB156)+(1.3*1.3-1.1*1.1)*1.6,IF(X156=800,(PI()*0.72*0.72/4-PI()*0.6*0.6/4)*(C156-AB156)+(1.5*1.5-1.1*1.1)*1.6,IF(X156=1000,(PI()*0.72*0.72/4-PI()*0.6*0.6/4)*(C156-AB156)+(1.94*1.94-1.5*1.5)*2.25,IF(X156=1200,(PI()*0.72*0.72/4-PI()*0.6*0.6/4)*(C156-AB156)+(-1.8*1.8+2.14*2.14)*2.25,IF(X156=1500,(PI()*0.72*0.72/4-PI()*0.6*0.6/4)*(C156-AB156)+(-2.2*2.2+2.44*2.44)*2.65,0))))),0)</f>
        <v>2.0323693315522648</v>
      </c>
      <c r="Z156" s="306">
        <f t="shared" si="77"/>
        <v>7.3914386644011518</v>
      </c>
      <c r="AA156" s="306" t="s">
        <v>2357</v>
      </c>
      <c r="AB156" s="305">
        <v>958.81</v>
      </c>
      <c r="AC156" s="305"/>
      <c r="AD156" s="305"/>
      <c r="AE156" s="308" t="str">
        <f t="shared" si="78"/>
        <v>PV9.1</v>
      </c>
      <c r="AF156" s="309">
        <f t="shared" si="79"/>
        <v>0</v>
      </c>
      <c r="AG156" s="309">
        <f t="shared" si="80"/>
        <v>0</v>
      </c>
      <c r="AH156" s="309">
        <f t="shared" si="81"/>
        <v>0</v>
      </c>
      <c r="AI156" s="309">
        <f t="shared" si="82"/>
        <v>1</v>
      </c>
      <c r="AJ156" s="309">
        <f t="shared" si="83"/>
        <v>0</v>
      </c>
      <c r="AK156" s="309">
        <f t="shared" si="84"/>
        <v>0</v>
      </c>
      <c r="AL156" s="309">
        <f t="shared" si="85"/>
        <v>0</v>
      </c>
      <c r="AM156" s="309">
        <f t="shared" si="86"/>
        <v>0</v>
      </c>
      <c r="AN156" s="309">
        <f t="shared" si="87"/>
        <v>0</v>
      </c>
      <c r="AO156" s="292"/>
      <c r="AP156" s="292"/>
      <c r="AQ156" s="310" t="str">
        <f t="shared" si="88"/>
        <v>ASFALTO</v>
      </c>
    </row>
    <row r="157" spans="2:43" s="271" customFormat="1" x14ac:dyDescent="0.25">
      <c r="B157" s="304" t="s">
        <v>2266</v>
      </c>
      <c r="C157" s="305">
        <v>960.81700000000001</v>
      </c>
      <c r="D157" s="305">
        <v>959.82799999999997</v>
      </c>
      <c r="E157" s="305">
        <v>0</v>
      </c>
      <c r="F157" s="305">
        <v>8.4169999999999998</v>
      </c>
      <c r="G157" s="305">
        <v>0.7</v>
      </c>
      <c r="H157" s="305">
        <v>1.4999999999999999E-2</v>
      </c>
      <c r="I157" s="306">
        <v>17.690000000000001</v>
      </c>
      <c r="J157" s="306">
        <v>303.42</v>
      </c>
      <c r="K157" s="306">
        <v>33.42</v>
      </c>
      <c r="L157" s="306">
        <v>1787.8</v>
      </c>
      <c r="M157" s="304">
        <v>1200</v>
      </c>
      <c r="N157" s="304"/>
      <c r="O157" s="306">
        <v>2.91</v>
      </c>
      <c r="P157" s="306">
        <v>4.49</v>
      </c>
      <c r="Q157" s="306">
        <v>38.24</v>
      </c>
      <c r="R157" s="306">
        <v>3.68</v>
      </c>
      <c r="S157" s="306">
        <v>3.67</v>
      </c>
      <c r="T157" s="305">
        <v>957.13400000000001</v>
      </c>
      <c r="U157" s="305">
        <v>956.16300000000001</v>
      </c>
      <c r="V157" s="306">
        <v>0</v>
      </c>
      <c r="W157" s="306" t="s">
        <v>1999</v>
      </c>
      <c r="X157" s="306">
        <v>800</v>
      </c>
      <c r="Y157" s="306"/>
      <c r="Z157" s="306">
        <f t="shared" si="77"/>
        <v>7.3914386644011518</v>
      </c>
      <c r="AA157" s="306"/>
      <c r="AB157" s="305"/>
      <c r="AC157" s="305"/>
      <c r="AD157" s="305"/>
      <c r="AE157" s="308" t="str">
        <f t="shared" si="78"/>
        <v>PV10.1</v>
      </c>
      <c r="AF157" s="309">
        <f t="shared" si="79"/>
        <v>0</v>
      </c>
      <c r="AG157" s="309">
        <f t="shared" si="80"/>
        <v>0</v>
      </c>
      <c r="AH157" s="309">
        <f t="shared" si="81"/>
        <v>0</v>
      </c>
      <c r="AI157" s="309">
        <f t="shared" si="82"/>
        <v>1</v>
      </c>
      <c r="AJ157" s="309">
        <f t="shared" si="83"/>
        <v>0</v>
      </c>
      <c r="AK157" s="309">
        <f t="shared" si="84"/>
        <v>0</v>
      </c>
      <c r="AL157" s="309">
        <f t="shared" si="85"/>
        <v>0</v>
      </c>
      <c r="AM157" s="309">
        <f t="shared" si="86"/>
        <v>0</v>
      </c>
      <c r="AN157" s="309">
        <f t="shared" si="87"/>
        <v>0</v>
      </c>
      <c r="AO157" s="292"/>
      <c r="AP157" s="292"/>
      <c r="AQ157" s="310" t="str">
        <f t="shared" si="88"/>
        <v>ASFALTO</v>
      </c>
    </row>
    <row r="158" spans="2:43" s="271" customFormat="1" x14ac:dyDescent="0.25">
      <c r="B158" s="304" t="s">
        <v>2267</v>
      </c>
      <c r="C158" s="305">
        <v>959.82799999999997</v>
      </c>
      <c r="D158" s="305">
        <v>958.75699999999995</v>
      </c>
      <c r="E158" s="305">
        <v>1.905</v>
      </c>
      <c r="F158" s="305">
        <v>10.323</v>
      </c>
      <c r="G158" s="305">
        <v>0.7</v>
      </c>
      <c r="H158" s="305">
        <v>1.4999999999999999E-2</v>
      </c>
      <c r="I158" s="306">
        <v>17.82</v>
      </c>
      <c r="J158" s="306">
        <v>302.35000000000002</v>
      </c>
      <c r="K158" s="306">
        <v>34.19</v>
      </c>
      <c r="L158" s="306">
        <v>2184.8200000000002</v>
      </c>
      <c r="M158" s="304">
        <v>1200</v>
      </c>
      <c r="N158" s="304"/>
      <c r="O158" s="306">
        <v>3.29</v>
      </c>
      <c r="P158" s="306">
        <v>4.96</v>
      </c>
      <c r="Q158" s="306">
        <v>41.26</v>
      </c>
      <c r="R158" s="306">
        <v>3.67</v>
      </c>
      <c r="S158" s="306">
        <v>3.72</v>
      </c>
      <c r="T158" s="305">
        <v>956.16300000000001</v>
      </c>
      <c r="U158" s="305">
        <v>955.03899999999999</v>
      </c>
      <c r="V158" s="306">
        <v>0</v>
      </c>
      <c r="W158" s="306" t="s">
        <v>1999</v>
      </c>
      <c r="X158" s="306">
        <v>1000</v>
      </c>
      <c r="Y158" s="306">
        <f>IFERROR(IF(X158&lt;=600,(PI()*0.72*0.72/4-PI()*0.6*0.6/4)*(C158-AB158)+(1.3*1.3-1.1*1.1)*1.6,IF(X158=800,(PI()*0.72*0.72/4-PI()*0.6*0.6/4)*(C158-AB158)+(1.5*1.5-1.1*1.1)*1.6,IF(X158=1000,(PI()*0.72*0.72/4-PI()*0.6*0.6/4)*(C158-AB158)+(1.94*1.94-1.5*1.5)*2.25,IF(X158=1200,(PI()*0.72*0.72/4-PI()*0.6*0.6/4)*(C158-AB158)+(-1.8*1.8+2.14*2.14)*2.25,IF(X158=1500,(PI()*0.72*0.72/4-PI()*0.6*0.6/4)*(C158-AB158)+(-2.2*2.2+2.44*2.44)*2.65,0))))),0)</f>
        <v>3.8482403517943093</v>
      </c>
      <c r="Z158" s="306">
        <f t="shared" si="77"/>
        <v>11.815215810885853</v>
      </c>
      <c r="AA158" s="306" t="s">
        <v>2358</v>
      </c>
      <c r="AB158" s="305">
        <v>956.27</v>
      </c>
      <c r="AC158" s="305"/>
      <c r="AD158" s="305"/>
      <c r="AE158" s="308" t="str">
        <f t="shared" si="78"/>
        <v>PV11.1</v>
      </c>
      <c r="AF158" s="309">
        <f t="shared" si="79"/>
        <v>0</v>
      </c>
      <c r="AG158" s="309">
        <f t="shared" si="80"/>
        <v>0</v>
      </c>
      <c r="AH158" s="309">
        <f t="shared" si="81"/>
        <v>0</v>
      </c>
      <c r="AI158" s="309">
        <f t="shared" si="82"/>
        <v>1</v>
      </c>
      <c r="AJ158" s="309">
        <f t="shared" si="83"/>
        <v>0</v>
      </c>
      <c r="AK158" s="309">
        <f t="shared" si="84"/>
        <v>0</v>
      </c>
      <c r="AL158" s="309">
        <f t="shared" si="85"/>
        <v>0</v>
      </c>
      <c r="AM158" s="309">
        <f t="shared" si="86"/>
        <v>0</v>
      </c>
      <c r="AN158" s="309">
        <f t="shared" si="87"/>
        <v>0</v>
      </c>
      <c r="AO158" s="292"/>
      <c r="AP158" s="292"/>
      <c r="AQ158" s="310" t="str">
        <f t="shared" si="88"/>
        <v>ASFALTO</v>
      </c>
    </row>
    <row r="159" spans="2:43" s="271" customFormat="1" x14ac:dyDescent="0.25">
      <c r="B159" s="304" t="s">
        <v>2269</v>
      </c>
      <c r="C159" s="305">
        <v>958.75699999999995</v>
      </c>
      <c r="D159" s="305">
        <v>957.58</v>
      </c>
      <c r="E159" s="305">
        <v>0</v>
      </c>
      <c r="F159" s="305">
        <v>10.323</v>
      </c>
      <c r="G159" s="305">
        <v>0.7</v>
      </c>
      <c r="H159" s="305">
        <v>1.4999999999999999E-2</v>
      </c>
      <c r="I159" s="306">
        <v>17.93</v>
      </c>
      <c r="J159" s="306">
        <v>301.38</v>
      </c>
      <c r="K159" s="306">
        <v>34.19</v>
      </c>
      <c r="L159" s="306">
        <v>2177.75</v>
      </c>
      <c r="M159" s="304">
        <v>1200</v>
      </c>
      <c r="N159" s="304"/>
      <c r="O159" s="306">
        <v>3.29</v>
      </c>
      <c r="P159" s="306">
        <v>4.96</v>
      </c>
      <c r="Q159" s="306">
        <v>41.19</v>
      </c>
      <c r="R159" s="306">
        <v>3.72</v>
      </c>
      <c r="S159" s="306">
        <v>3.67</v>
      </c>
      <c r="T159" s="305">
        <v>955.03899999999999</v>
      </c>
      <c r="U159" s="305">
        <v>953.91499999999996</v>
      </c>
      <c r="V159" s="306">
        <v>0</v>
      </c>
      <c r="W159" s="306" t="s">
        <v>1999</v>
      </c>
      <c r="X159" s="306">
        <v>1000</v>
      </c>
      <c r="Y159" s="306"/>
      <c r="Z159" s="306">
        <f t="shared" si="77"/>
        <v>11.815215810885853</v>
      </c>
      <c r="AA159" s="306"/>
      <c r="AB159" s="305"/>
      <c r="AC159" s="305"/>
      <c r="AD159" s="305"/>
      <c r="AE159" s="308" t="str">
        <f t="shared" si="78"/>
        <v>PV12.1</v>
      </c>
      <c r="AF159" s="309">
        <f t="shared" si="79"/>
        <v>0</v>
      </c>
      <c r="AG159" s="309">
        <f t="shared" si="80"/>
        <v>0</v>
      </c>
      <c r="AH159" s="309">
        <f t="shared" si="81"/>
        <v>0</v>
      </c>
      <c r="AI159" s="309">
        <f t="shared" si="82"/>
        <v>1</v>
      </c>
      <c r="AJ159" s="309">
        <f t="shared" si="83"/>
        <v>0</v>
      </c>
      <c r="AK159" s="309">
        <f t="shared" si="84"/>
        <v>0</v>
      </c>
      <c r="AL159" s="309">
        <f t="shared" si="85"/>
        <v>0</v>
      </c>
      <c r="AM159" s="309">
        <f t="shared" si="86"/>
        <v>0</v>
      </c>
      <c r="AN159" s="309">
        <f t="shared" si="87"/>
        <v>0</v>
      </c>
      <c r="AO159" s="292"/>
      <c r="AP159" s="292"/>
      <c r="AQ159" s="310" t="str">
        <f t="shared" si="88"/>
        <v>ASFALTO</v>
      </c>
    </row>
    <row r="160" spans="2:43" s="271" customFormat="1" x14ac:dyDescent="0.25">
      <c r="B160" s="304" t="s">
        <v>2271</v>
      </c>
      <c r="C160" s="305">
        <v>957.58</v>
      </c>
      <c r="D160" s="305">
        <v>956.45399999999995</v>
      </c>
      <c r="E160" s="305">
        <v>1.7569999999999999</v>
      </c>
      <c r="F160" s="305">
        <v>12.08</v>
      </c>
      <c r="G160" s="305">
        <v>0.7</v>
      </c>
      <c r="H160" s="305">
        <v>1.4999999999999999E-2</v>
      </c>
      <c r="I160" s="306">
        <v>18.05</v>
      </c>
      <c r="J160" s="306">
        <v>300.39999999999998</v>
      </c>
      <c r="K160" s="306">
        <v>32.6</v>
      </c>
      <c r="L160" s="306">
        <v>2540.21</v>
      </c>
      <c r="M160" s="304">
        <v>1200</v>
      </c>
      <c r="N160" s="304"/>
      <c r="O160" s="306">
        <v>3.58</v>
      </c>
      <c r="P160" s="306">
        <v>5.33</v>
      </c>
      <c r="Q160" s="306">
        <v>43.81</v>
      </c>
      <c r="R160" s="306">
        <v>3.67</v>
      </c>
      <c r="S160" s="306">
        <v>3.71</v>
      </c>
      <c r="T160" s="305">
        <v>953.91499999999996</v>
      </c>
      <c r="U160" s="305">
        <v>952.74800000000005</v>
      </c>
      <c r="V160" s="306">
        <v>0</v>
      </c>
      <c r="W160" s="306" t="s">
        <v>1999</v>
      </c>
      <c r="X160" s="306">
        <v>1000</v>
      </c>
      <c r="Y160" s="306">
        <f>IFERROR(IF(X160&lt;=600,(PI()*0.72*0.72/4-PI()*0.6*0.6/4)*(C160-AB160)+(1.3*1.3-1.1*1.1)*1.6,IF(X160=800,(PI()*0.72*0.72/4-PI()*0.6*0.6/4)*(C160-AB160)+(1.5*1.5-1.1*1.1)*1.6,IF(X160=1000,(PI()*0.72*0.72/4-PI()*0.6*0.6/4)*(C160-AB160)+(1.94*1.94-1.5*1.5)*2.25,IF(X160=1200,(PI()*0.72*0.72/4-PI()*0.6*0.6/4)*(C160-AB160)+(-1.8*1.8+2.14*2.14)*2.25,IF(X160=1500,(PI()*0.72*0.72/4-PI()*0.6*0.6/4)*(C160-AB160)+(-2.2*2.2+2.44*2.44)*2.65,0))))),0)</f>
        <v>3.7775771365556468</v>
      </c>
      <c r="Z160" s="306">
        <f t="shared" si="77"/>
        <v>11.265751255773001</v>
      </c>
      <c r="AA160" s="306" t="s">
        <v>2359</v>
      </c>
      <c r="AB160" s="305">
        <v>954.59</v>
      </c>
      <c r="AC160" s="305"/>
      <c r="AD160" s="305"/>
      <c r="AE160" s="308" t="str">
        <f t="shared" si="78"/>
        <v>PV13.1</v>
      </c>
      <c r="AF160" s="309">
        <f t="shared" si="79"/>
        <v>0</v>
      </c>
      <c r="AG160" s="309">
        <f t="shared" si="80"/>
        <v>0</v>
      </c>
      <c r="AH160" s="309">
        <f t="shared" si="81"/>
        <v>0</v>
      </c>
      <c r="AI160" s="309">
        <f t="shared" si="82"/>
        <v>1</v>
      </c>
      <c r="AJ160" s="309">
        <f t="shared" si="83"/>
        <v>0</v>
      </c>
      <c r="AK160" s="309">
        <f t="shared" si="84"/>
        <v>0</v>
      </c>
      <c r="AL160" s="309">
        <f t="shared" si="85"/>
        <v>0</v>
      </c>
      <c r="AM160" s="309">
        <f t="shared" si="86"/>
        <v>0</v>
      </c>
      <c r="AN160" s="309">
        <f t="shared" si="87"/>
        <v>0</v>
      </c>
      <c r="AO160" s="292"/>
      <c r="AP160" s="292"/>
      <c r="AQ160" s="310" t="str">
        <f t="shared" si="88"/>
        <v>ASFALTO</v>
      </c>
    </row>
    <row r="161" spans="2:43" s="271" customFormat="1" x14ac:dyDescent="0.25">
      <c r="B161" s="304" t="s">
        <v>2272</v>
      </c>
      <c r="C161" s="305">
        <v>956.45399999999995</v>
      </c>
      <c r="D161" s="305">
        <v>955.245</v>
      </c>
      <c r="E161" s="305">
        <v>0</v>
      </c>
      <c r="F161" s="305">
        <v>12.08</v>
      </c>
      <c r="G161" s="305">
        <v>0.7</v>
      </c>
      <c r="H161" s="305">
        <v>1.4999999999999999E-2</v>
      </c>
      <c r="I161" s="306">
        <v>18.149999999999999</v>
      </c>
      <c r="J161" s="306">
        <v>299.55</v>
      </c>
      <c r="K161" s="306">
        <v>32.6</v>
      </c>
      <c r="L161" s="306">
        <v>2532.9699999999998</v>
      </c>
      <c r="M161" s="304">
        <v>1200</v>
      </c>
      <c r="N161" s="304"/>
      <c r="O161" s="306">
        <v>3.58</v>
      </c>
      <c r="P161" s="306">
        <v>5.33</v>
      </c>
      <c r="Q161" s="306">
        <v>43.74</v>
      </c>
      <c r="R161" s="306">
        <v>3.71</v>
      </c>
      <c r="S161" s="306">
        <v>3.67</v>
      </c>
      <c r="T161" s="305">
        <v>952.74800000000005</v>
      </c>
      <c r="U161" s="305">
        <v>951.58</v>
      </c>
      <c r="V161" s="306">
        <v>0.3</v>
      </c>
      <c r="W161" s="306" t="s">
        <v>1999</v>
      </c>
      <c r="X161" s="306">
        <v>1000</v>
      </c>
      <c r="Y161" s="306"/>
      <c r="Z161" s="306">
        <f t="shared" si="77"/>
        <v>11.265751255773001</v>
      </c>
      <c r="AA161" s="306"/>
      <c r="AB161" s="305"/>
      <c r="AC161" s="305"/>
      <c r="AD161" s="305"/>
      <c r="AE161" s="308" t="str">
        <f t="shared" si="78"/>
        <v>PV14.1</v>
      </c>
      <c r="AF161" s="309">
        <f t="shared" si="79"/>
        <v>0</v>
      </c>
      <c r="AG161" s="309">
        <f t="shared" si="80"/>
        <v>0</v>
      </c>
      <c r="AH161" s="309">
        <f t="shared" si="81"/>
        <v>0</v>
      </c>
      <c r="AI161" s="309">
        <f t="shared" si="82"/>
        <v>1</v>
      </c>
      <c r="AJ161" s="309">
        <f t="shared" si="83"/>
        <v>0</v>
      </c>
      <c r="AK161" s="309">
        <f t="shared" si="84"/>
        <v>0</v>
      </c>
      <c r="AL161" s="309">
        <f t="shared" si="85"/>
        <v>0</v>
      </c>
      <c r="AM161" s="309">
        <f t="shared" si="86"/>
        <v>0</v>
      </c>
      <c r="AN161" s="309">
        <f t="shared" si="87"/>
        <v>0</v>
      </c>
      <c r="AO161" s="292"/>
      <c r="AP161" s="292"/>
      <c r="AQ161" s="310" t="str">
        <f t="shared" si="88"/>
        <v>ASFALTO</v>
      </c>
    </row>
    <row r="162" spans="2:43" s="271" customFormat="1" x14ac:dyDescent="0.25">
      <c r="B162" s="304" t="s">
        <v>2274</v>
      </c>
      <c r="C162" s="305">
        <v>955.245</v>
      </c>
      <c r="D162" s="305">
        <v>954.38800000000003</v>
      </c>
      <c r="E162" s="305">
        <v>1.7789999999999999</v>
      </c>
      <c r="F162" s="305">
        <v>13.859</v>
      </c>
      <c r="G162" s="305">
        <v>0.7</v>
      </c>
      <c r="H162" s="305">
        <v>1.4999999999999999E-2</v>
      </c>
      <c r="I162" s="306">
        <v>18.25</v>
      </c>
      <c r="J162" s="306">
        <v>298.7</v>
      </c>
      <c r="K162" s="306">
        <v>32.590000000000003</v>
      </c>
      <c r="L162" s="306">
        <v>2897.7</v>
      </c>
      <c r="M162" s="304">
        <v>1500</v>
      </c>
      <c r="N162" s="304"/>
      <c r="O162" s="306">
        <v>2.2999999999999998</v>
      </c>
      <c r="P162" s="306">
        <v>4.6399999999999997</v>
      </c>
      <c r="Q162" s="306">
        <v>38.36</v>
      </c>
      <c r="R162" s="306">
        <v>3.97</v>
      </c>
      <c r="S162" s="306">
        <v>3.86</v>
      </c>
      <c r="T162" s="305">
        <v>951.28</v>
      </c>
      <c r="U162" s="305">
        <v>950.53099999999995</v>
      </c>
      <c r="V162" s="306">
        <v>0</v>
      </c>
      <c r="W162" s="306" t="s">
        <v>1999</v>
      </c>
      <c r="X162" s="306">
        <v>1000</v>
      </c>
      <c r="Y162" s="306">
        <f>IFERROR(IF(X162&lt;=600,(PI()*0.72*0.72/4-PI()*0.6*0.6/4)*(C162-AB162)+(1.3*1.3-1.1*1.1)*1.6,IF(X162=800,(PI()*0.72*0.72/4-PI()*0.6*0.6/4)*(C162-AB162)+(1.5*1.5-1.1*1.1)*1.6,IF(X162=1000,(PI()*0.72*0.72/4-PI()*0.6*0.6/4)*(C162-AB162)+(1.94*1.94-1.5*1.5)*2.25,IF(X162=1200,(PI()*0.72*0.72/4-PI()*0.6*0.6/4)*(C162-AB162)+(-1.8*1.8+2.14*2.14)*2.25,IF(X162=1500,(PI()*0.72*0.72/4-PI()*0.6*0.6/4)*(C162-AB162)+(-2.2*2.2+2.44*2.44)*2.65,0))))),0)</f>
        <v>3.7881517374276346</v>
      </c>
      <c r="Z162" s="306">
        <f t="shared" si="77"/>
        <v>11.262295503854052</v>
      </c>
      <c r="AA162" s="306" t="s">
        <v>2360</v>
      </c>
      <c r="AB162" s="305">
        <v>952.17</v>
      </c>
      <c r="AC162" s="305"/>
      <c r="AD162" s="305"/>
      <c r="AE162" s="308" t="str">
        <f t="shared" si="78"/>
        <v>PV15.1</v>
      </c>
      <c r="AF162" s="309">
        <f t="shared" si="79"/>
        <v>0</v>
      </c>
      <c r="AG162" s="309">
        <f t="shared" si="80"/>
        <v>0</v>
      </c>
      <c r="AH162" s="309">
        <f t="shared" si="81"/>
        <v>0</v>
      </c>
      <c r="AI162" s="309">
        <f t="shared" si="82"/>
        <v>0</v>
      </c>
      <c r="AJ162" s="309">
        <f t="shared" si="83"/>
        <v>1</v>
      </c>
      <c r="AK162" s="309">
        <f t="shared" si="84"/>
        <v>0</v>
      </c>
      <c r="AL162" s="309">
        <f t="shared" si="85"/>
        <v>0</v>
      </c>
      <c r="AM162" s="309">
        <f t="shared" si="86"/>
        <v>0</v>
      </c>
      <c r="AN162" s="309">
        <f t="shared" si="87"/>
        <v>0</v>
      </c>
      <c r="AO162" s="292"/>
      <c r="AP162" s="292"/>
      <c r="AQ162" s="310" t="str">
        <f t="shared" si="88"/>
        <v>ASFALTO</v>
      </c>
    </row>
    <row r="163" spans="2:43" s="271" customFormat="1" x14ac:dyDescent="0.25">
      <c r="B163" s="304" t="s">
        <v>2275</v>
      </c>
      <c r="C163" s="305">
        <v>954.38800000000003</v>
      </c>
      <c r="D163" s="305">
        <v>953.74599999999998</v>
      </c>
      <c r="E163" s="305">
        <v>0</v>
      </c>
      <c r="F163" s="305">
        <v>13.859</v>
      </c>
      <c r="G163" s="305">
        <v>0.7</v>
      </c>
      <c r="H163" s="305">
        <v>1.4999999999999999E-2</v>
      </c>
      <c r="I163" s="306">
        <v>18.37</v>
      </c>
      <c r="J163" s="306">
        <v>297.73</v>
      </c>
      <c r="K163" s="306">
        <v>32.590000000000003</v>
      </c>
      <c r="L163" s="306">
        <v>2888.29</v>
      </c>
      <c r="M163" s="304">
        <v>1500</v>
      </c>
      <c r="N163" s="304"/>
      <c r="O163" s="306">
        <v>2.2999999999999998</v>
      </c>
      <c r="P163" s="306">
        <v>4.6399999999999997</v>
      </c>
      <c r="Q163" s="306">
        <v>38.29</v>
      </c>
      <c r="R163" s="306">
        <v>3.86</v>
      </c>
      <c r="S163" s="306">
        <v>3.97</v>
      </c>
      <c r="T163" s="305">
        <v>950.53099999999995</v>
      </c>
      <c r="U163" s="305">
        <v>949.78099999999995</v>
      </c>
      <c r="V163" s="306">
        <v>0</v>
      </c>
      <c r="W163" s="306" t="s">
        <v>1999</v>
      </c>
      <c r="X163" s="306">
        <v>1000</v>
      </c>
      <c r="Y163" s="306"/>
      <c r="Z163" s="306">
        <f t="shared" si="77"/>
        <v>11.262295503854052</v>
      </c>
      <c r="AA163" s="306"/>
      <c r="AB163" s="305"/>
      <c r="AC163" s="305"/>
      <c r="AD163" s="305"/>
      <c r="AE163" s="308" t="str">
        <f t="shared" si="78"/>
        <v>PV16.1</v>
      </c>
      <c r="AF163" s="309">
        <f t="shared" si="79"/>
        <v>0</v>
      </c>
      <c r="AG163" s="309">
        <f t="shared" si="80"/>
        <v>0</v>
      </c>
      <c r="AH163" s="309">
        <f t="shared" si="81"/>
        <v>0</v>
      </c>
      <c r="AI163" s="309">
        <f t="shared" si="82"/>
        <v>0</v>
      </c>
      <c r="AJ163" s="309">
        <f t="shared" si="83"/>
        <v>1</v>
      </c>
      <c r="AK163" s="309">
        <f t="shared" si="84"/>
        <v>0</v>
      </c>
      <c r="AL163" s="309">
        <f t="shared" si="85"/>
        <v>0</v>
      </c>
      <c r="AM163" s="309">
        <f t="shared" si="86"/>
        <v>0</v>
      </c>
      <c r="AN163" s="309">
        <f t="shared" si="87"/>
        <v>0</v>
      </c>
      <c r="AO163" s="292"/>
      <c r="AP163" s="292"/>
      <c r="AQ163" s="310" t="str">
        <f t="shared" si="88"/>
        <v>ASFALTO</v>
      </c>
    </row>
    <row r="164" spans="2:43" s="271" customFormat="1" x14ac:dyDescent="0.25">
      <c r="B164" s="304" t="s">
        <v>2277</v>
      </c>
      <c r="C164" s="305">
        <v>953.74599999999998</v>
      </c>
      <c r="D164" s="305">
        <v>953</v>
      </c>
      <c r="E164" s="305">
        <v>0.16200000000000001</v>
      </c>
      <c r="F164" s="305">
        <v>14.02</v>
      </c>
      <c r="G164" s="305">
        <v>0.7</v>
      </c>
      <c r="H164" s="305">
        <v>1.4999999999999999E-2</v>
      </c>
      <c r="I164" s="306">
        <v>18.489999999999998</v>
      </c>
      <c r="J164" s="306">
        <v>296.76</v>
      </c>
      <c r="K164" s="306">
        <v>37.36</v>
      </c>
      <c r="L164" s="306">
        <v>2912.49</v>
      </c>
      <c r="M164" s="304">
        <v>1500</v>
      </c>
      <c r="N164" s="304"/>
      <c r="O164" s="306">
        <v>2</v>
      </c>
      <c r="P164" s="306">
        <v>4.42</v>
      </c>
      <c r="Q164" s="306">
        <v>39.950000000000003</v>
      </c>
      <c r="R164" s="306">
        <v>3.97</v>
      </c>
      <c r="S164" s="306">
        <v>3.97</v>
      </c>
      <c r="T164" s="305">
        <v>949.78099999999995</v>
      </c>
      <c r="U164" s="305">
        <v>949.03499999999997</v>
      </c>
      <c r="V164" s="306">
        <v>0</v>
      </c>
      <c r="W164" s="306" t="s">
        <v>1999</v>
      </c>
      <c r="X164" s="306">
        <v>1000</v>
      </c>
      <c r="Y164" s="306">
        <f>IFERROR(IF(X164&lt;=600,(PI()*0.72*0.72/4-PI()*0.6*0.6/4)*(C164-AB164)+(1.3*1.3-1.1*1.1)*1.6,IF(X164=800,(PI()*0.72*0.72/4-PI()*0.6*0.6/4)*(C164-AB164)+(1.5*1.5-1.1*1.1)*1.6,IF(X164=1000,(PI()*0.72*0.72/4-PI()*0.6*0.6/4)*(C164-AB164)+(1.94*1.94-1.5*1.5)*2.25,IF(X164=1200,(PI()*0.72*0.72/4-PI()*0.6*0.6/4)*(C164-AB164)+(-1.8*1.8+2.14*2.14)*2.25,IF(X164=1500,(PI()*0.72*0.72/4-PI()*0.6*0.6/4)*(C164-AB164)+(-2.2*2.2+2.44*2.44)*2.65,0))))),0)</f>
        <v>3.7422455289363157</v>
      </c>
      <c r="Z164" s="306">
        <f t="shared" si="77"/>
        <v>12.910689169192615</v>
      </c>
      <c r="AA164" s="306" t="s">
        <v>2361</v>
      </c>
      <c r="AB164" s="305">
        <v>951.04</v>
      </c>
      <c r="AC164" s="305"/>
      <c r="AD164" s="305"/>
      <c r="AE164" s="308" t="str">
        <f t="shared" si="78"/>
        <v>PV17.1</v>
      </c>
      <c r="AF164" s="309">
        <f t="shared" si="79"/>
        <v>0</v>
      </c>
      <c r="AG164" s="309">
        <f t="shared" si="80"/>
        <v>0</v>
      </c>
      <c r="AH164" s="309">
        <f t="shared" si="81"/>
        <v>0</v>
      </c>
      <c r="AI164" s="309">
        <f t="shared" si="82"/>
        <v>0</v>
      </c>
      <c r="AJ164" s="309">
        <f t="shared" si="83"/>
        <v>1</v>
      </c>
      <c r="AK164" s="309">
        <f t="shared" si="84"/>
        <v>0</v>
      </c>
      <c r="AL164" s="309">
        <f t="shared" si="85"/>
        <v>0</v>
      </c>
      <c r="AM164" s="309">
        <f t="shared" si="86"/>
        <v>0</v>
      </c>
      <c r="AN164" s="309">
        <f t="shared" si="87"/>
        <v>0</v>
      </c>
      <c r="AO164" s="292"/>
      <c r="AP164" s="292"/>
      <c r="AQ164" s="310" t="str">
        <f t="shared" si="88"/>
        <v>ASFALTO</v>
      </c>
    </row>
    <row r="165" spans="2:43" s="271" customFormat="1" x14ac:dyDescent="0.25">
      <c r="B165" s="304" t="s">
        <v>2279</v>
      </c>
      <c r="C165" s="305">
        <v>953</v>
      </c>
      <c r="D165" s="305">
        <v>952.721</v>
      </c>
      <c r="E165" s="305">
        <v>0.109</v>
      </c>
      <c r="F165" s="305">
        <v>14.129</v>
      </c>
      <c r="G165" s="305">
        <v>0.7</v>
      </c>
      <c r="H165" s="305">
        <v>1.4999999999999999E-2</v>
      </c>
      <c r="I165" s="306">
        <v>18.63</v>
      </c>
      <c r="J165" s="306">
        <v>295.61</v>
      </c>
      <c r="K165" s="306">
        <v>31.16</v>
      </c>
      <c r="L165" s="306">
        <v>2923.79</v>
      </c>
      <c r="M165" s="304">
        <v>1500</v>
      </c>
      <c r="N165" s="304"/>
      <c r="O165" s="306">
        <v>1.4</v>
      </c>
      <c r="P165" s="306">
        <v>3.88</v>
      </c>
      <c r="Q165" s="306">
        <v>44.17</v>
      </c>
      <c r="R165" s="306">
        <v>3.97</v>
      </c>
      <c r="S165" s="306">
        <v>4.12</v>
      </c>
      <c r="T165" s="305">
        <v>949.03499999999997</v>
      </c>
      <c r="U165" s="305">
        <v>948.59799999999996</v>
      </c>
      <c r="V165" s="306">
        <v>0</v>
      </c>
      <c r="W165" s="306" t="s">
        <v>1999</v>
      </c>
      <c r="X165" s="306">
        <v>1000</v>
      </c>
      <c r="Y165" s="306">
        <f>IFERROR(IF(X165&lt;=600,(PI()*0.72*0.72/4-PI()*0.6*0.6/4)*(C165-AB165)+(1.3*1.3-1.1*1.1)*1.6,IF(X165=800,(PI()*0.72*0.72/4-PI()*0.6*0.6/4)*(C165-AB165)+(1.5*1.5-1.1*1.1)*1.6,IF(X165=1000,(PI()*0.72*0.72/4-PI()*0.6*0.6/4)*(C165-AB165)+(1.94*1.94-1.5*1.5)*2.25,IF(X165=1200,(PI()*0.72*0.72/4-PI()*0.6*0.6/4)*(C165-AB165)+(-1.8*1.8+2.14*2.14)*2.25,IF(X165=1500,(PI()*0.72*0.72/4-PI()*0.6*0.6/4)*(C165-AB165)+(-2.2*2.2+2.44*2.44)*2.65,0))))),0)</f>
        <v>3.7439872279034669</v>
      </c>
      <c r="Z165" s="306">
        <f t="shared" si="77"/>
        <v>10.768122979444376</v>
      </c>
      <c r="AA165" s="306" t="s">
        <v>2362</v>
      </c>
      <c r="AB165" s="305">
        <v>950.28</v>
      </c>
      <c r="AC165" s="305"/>
      <c r="AD165" s="305"/>
      <c r="AE165" s="308" t="str">
        <f t="shared" si="78"/>
        <v>PV18.1</v>
      </c>
      <c r="AF165" s="309">
        <f t="shared" si="79"/>
        <v>0</v>
      </c>
      <c r="AG165" s="309">
        <f t="shared" si="80"/>
        <v>0</v>
      </c>
      <c r="AH165" s="309">
        <f t="shared" si="81"/>
        <v>0</v>
      </c>
      <c r="AI165" s="309">
        <f t="shared" si="82"/>
        <v>0</v>
      </c>
      <c r="AJ165" s="309">
        <f t="shared" si="83"/>
        <v>1</v>
      </c>
      <c r="AK165" s="309">
        <f t="shared" si="84"/>
        <v>0</v>
      </c>
      <c r="AL165" s="309">
        <f t="shared" si="85"/>
        <v>0</v>
      </c>
      <c r="AM165" s="309">
        <f t="shared" si="86"/>
        <v>0</v>
      </c>
      <c r="AN165" s="309">
        <f t="shared" si="87"/>
        <v>0</v>
      </c>
      <c r="AO165" s="292"/>
      <c r="AP165" s="292"/>
      <c r="AQ165" s="310" t="str">
        <f t="shared" si="88"/>
        <v>ASFALTO</v>
      </c>
    </row>
    <row r="166" spans="2:43" s="271" customFormat="1" x14ac:dyDescent="0.25">
      <c r="B166" s="304" t="s">
        <v>2281</v>
      </c>
      <c r="C166" s="305">
        <v>952.721</v>
      </c>
      <c r="D166" s="305">
        <v>952.12599999999998</v>
      </c>
      <c r="E166" s="305">
        <v>0</v>
      </c>
      <c r="F166" s="305">
        <v>14.13</v>
      </c>
      <c r="G166" s="305">
        <v>0.7</v>
      </c>
      <c r="H166" s="305">
        <v>1.4999999999999999E-2</v>
      </c>
      <c r="I166" s="306">
        <v>18.760000000000002</v>
      </c>
      <c r="J166" s="306">
        <v>294.52999999999997</v>
      </c>
      <c r="K166" s="306">
        <v>31.16</v>
      </c>
      <c r="L166" s="306">
        <v>2913.08</v>
      </c>
      <c r="M166" s="304">
        <v>1500</v>
      </c>
      <c r="N166" s="304"/>
      <c r="O166" s="306">
        <v>1.4</v>
      </c>
      <c r="P166" s="306">
        <v>3.88</v>
      </c>
      <c r="Q166" s="306">
        <v>44.08</v>
      </c>
      <c r="R166" s="306">
        <v>4.12</v>
      </c>
      <c r="S166" s="306">
        <v>3.97</v>
      </c>
      <c r="T166" s="305">
        <v>948.59799999999996</v>
      </c>
      <c r="U166" s="305">
        <v>948.16099999999994</v>
      </c>
      <c r="V166" s="306">
        <v>0</v>
      </c>
      <c r="W166" s="306" t="s">
        <v>1999</v>
      </c>
      <c r="X166" s="306">
        <v>1000</v>
      </c>
      <c r="Y166" s="306"/>
      <c r="Z166" s="306">
        <f t="shared" si="77"/>
        <v>10.768122979444376</v>
      </c>
      <c r="AA166" s="306"/>
      <c r="AB166" s="305"/>
      <c r="AC166" s="305"/>
      <c r="AD166" s="305"/>
      <c r="AE166" s="308" t="str">
        <f t="shared" si="78"/>
        <v>PV19.1</v>
      </c>
      <c r="AF166" s="309">
        <f t="shared" si="79"/>
        <v>0</v>
      </c>
      <c r="AG166" s="309">
        <f t="shared" si="80"/>
        <v>0</v>
      </c>
      <c r="AH166" s="309">
        <f t="shared" si="81"/>
        <v>0</v>
      </c>
      <c r="AI166" s="309">
        <f t="shared" si="82"/>
        <v>0</v>
      </c>
      <c r="AJ166" s="309">
        <f t="shared" si="83"/>
        <v>1</v>
      </c>
      <c r="AK166" s="309">
        <f t="shared" si="84"/>
        <v>0</v>
      </c>
      <c r="AL166" s="309">
        <f t="shared" si="85"/>
        <v>0</v>
      </c>
      <c r="AM166" s="309">
        <f t="shared" si="86"/>
        <v>0</v>
      </c>
      <c r="AN166" s="309">
        <f t="shared" si="87"/>
        <v>0</v>
      </c>
      <c r="AO166" s="292"/>
      <c r="AP166" s="292"/>
      <c r="AQ166" s="310" t="str">
        <f t="shared" si="88"/>
        <v>ASFALTO</v>
      </c>
    </row>
    <row r="167" spans="2:43" s="271" customFormat="1" x14ac:dyDescent="0.25">
      <c r="B167" s="304" t="s">
        <v>2283</v>
      </c>
      <c r="C167" s="305">
        <v>952.12599999999998</v>
      </c>
      <c r="D167" s="305">
        <v>951.73500000000001</v>
      </c>
      <c r="E167" s="305">
        <v>0.26</v>
      </c>
      <c r="F167" s="305">
        <v>14.388999999999999</v>
      </c>
      <c r="G167" s="305">
        <v>0.7</v>
      </c>
      <c r="H167" s="305">
        <v>1.4999999999999999E-2</v>
      </c>
      <c r="I167" s="306">
        <v>18.89</v>
      </c>
      <c r="J167" s="306">
        <v>293.45</v>
      </c>
      <c r="K167" s="306">
        <v>34.08</v>
      </c>
      <c r="L167" s="306">
        <v>2955.79</v>
      </c>
      <c r="M167" s="304">
        <v>1500</v>
      </c>
      <c r="N167" s="304"/>
      <c r="O167" s="306">
        <v>1.1499999999999999</v>
      </c>
      <c r="P167" s="306">
        <v>3.61</v>
      </c>
      <c r="Q167" s="306">
        <v>47.07</v>
      </c>
      <c r="R167" s="306">
        <v>3.97</v>
      </c>
      <c r="S167" s="306">
        <v>3.97</v>
      </c>
      <c r="T167" s="305">
        <v>948.16099999999994</v>
      </c>
      <c r="U167" s="305">
        <v>947.77</v>
      </c>
      <c r="V167" s="306">
        <v>0</v>
      </c>
      <c r="W167" s="306" t="s">
        <v>1999</v>
      </c>
      <c r="X167" s="306">
        <v>1000</v>
      </c>
      <c r="Y167" s="306">
        <f>IFERROR(IF(X167&lt;=600,(PI()*0.72*0.72/4-PI()*0.6*0.6/4)*(C167-AB167)+(1.3*1.3-1.1*1.1)*1.6,IF(X167=800,(PI()*0.72*0.72/4-PI()*0.6*0.6/4)*(C167-AB167)+(1.5*1.5-1.1*1.1)*1.6,IF(X167=1000,(PI()*0.72*0.72/4-PI()*0.6*0.6/4)*(C167-AB167)+(1.94*1.94-1.5*1.5)*2.25,IF(X167=1200,(PI()*0.72*0.72/4-PI()*0.6*0.6/4)*(C167-AB167)+(-1.8*1.8+2.14*2.14)*2.25,IF(X167=1500,(PI()*0.72*0.72/4-PI()*0.6*0.6/4)*(C167-AB167)+(-2.2*2.2+2.44*2.44)*2.65,0))))),0)</f>
        <v>3.7621506599894565</v>
      </c>
      <c r="Z167" s="306">
        <f t="shared" si="77"/>
        <v>11.777202539777416</v>
      </c>
      <c r="AA167" s="306" t="s">
        <v>2363</v>
      </c>
      <c r="AB167" s="305">
        <v>949.26</v>
      </c>
      <c r="AC167" s="305"/>
      <c r="AD167" s="305"/>
      <c r="AE167" s="308" t="str">
        <f t="shared" si="78"/>
        <v>PV20.1</v>
      </c>
      <c r="AF167" s="309">
        <f t="shared" si="79"/>
        <v>0</v>
      </c>
      <c r="AG167" s="309">
        <f t="shared" si="80"/>
        <v>0</v>
      </c>
      <c r="AH167" s="309">
        <f t="shared" si="81"/>
        <v>0</v>
      </c>
      <c r="AI167" s="309">
        <f t="shared" si="82"/>
        <v>0</v>
      </c>
      <c r="AJ167" s="309">
        <f t="shared" si="83"/>
        <v>1</v>
      </c>
      <c r="AK167" s="309">
        <f t="shared" si="84"/>
        <v>0</v>
      </c>
      <c r="AL167" s="309">
        <f t="shared" si="85"/>
        <v>0</v>
      </c>
      <c r="AM167" s="309">
        <f t="shared" si="86"/>
        <v>0</v>
      </c>
      <c r="AN167" s="309">
        <f t="shared" si="87"/>
        <v>0</v>
      </c>
      <c r="AO167" s="292"/>
      <c r="AP167" s="292"/>
      <c r="AQ167" s="310" t="str">
        <f t="shared" si="88"/>
        <v>ASFALTO</v>
      </c>
    </row>
    <row r="168" spans="2:43" s="271" customFormat="1" x14ac:dyDescent="0.25">
      <c r="B168" s="304" t="s">
        <v>2284</v>
      </c>
      <c r="C168" s="305">
        <v>951.73500000000001</v>
      </c>
      <c r="D168" s="305">
        <v>951.44100000000003</v>
      </c>
      <c r="E168" s="305">
        <v>0.126</v>
      </c>
      <c r="F168" s="305">
        <v>14.515000000000001</v>
      </c>
      <c r="G168" s="305">
        <v>0.7</v>
      </c>
      <c r="H168" s="305">
        <v>1.4999999999999999E-2</v>
      </c>
      <c r="I168" s="306">
        <v>19.05</v>
      </c>
      <c r="J168" s="306">
        <v>292.2</v>
      </c>
      <c r="K168" s="306">
        <v>36.22</v>
      </c>
      <c r="L168" s="306">
        <v>2968.9</v>
      </c>
      <c r="M168" s="304">
        <v>1500</v>
      </c>
      <c r="N168" s="304"/>
      <c r="O168" s="306">
        <v>0.63</v>
      </c>
      <c r="P168" s="306">
        <v>2.89</v>
      </c>
      <c r="Q168" s="306">
        <v>56.36</v>
      </c>
      <c r="R168" s="306">
        <v>3.97</v>
      </c>
      <c r="S168" s="306">
        <v>3.9</v>
      </c>
      <c r="T168" s="305">
        <v>947.77</v>
      </c>
      <c r="U168" s="305">
        <v>947.54100000000005</v>
      </c>
      <c r="V168" s="306">
        <v>0</v>
      </c>
      <c r="W168" s="306" t="s">
        <v>1999</v>
      </c>
      <c r="X168" s="306">
        <v>1000</v>
      </c>
      <c r="Y168" s="306">
        <f>IFERROR(IF(X168&lt;=600,(PI()*0.72*0.72/4-PI()*0.6*0.6/4)*(C168-AB168)+(1.3*1.3-1.1*1.1)*1.6,IF(X168=800,(PI()*0.72*0.72/4-PI()*0.6*0.6/4)*(C168-AB168)+(1.5*1.5-1.1*1.1)*1.6,IF(X168=1000,(PI()*0.72*0.72/4-PI()*0.6*0.6/4)*(C168-AB168)+(1.94*1.94-1.5*1.5)*2.25,IF(X168=1200,(PI()*0.72*0.72/4-PI()*0.6*0.6/4)*(C168-AB168)+(-1.8*1.8+2.14*2.14)*2.25,IF(X168=1500,(PI()*0.72*0.72/4-PI()*0.6*0.6/4)*(C168-AB168)+(-2.2*2.2+2.44*2.44)*2.65,0))))),0)</f>
        <v>3.7670025356836589</v>
      </c>
      <c r="Z168" s="306">
        <f t="shared" si="77"/>
        <v>12.516733450432454</v>
      </c>
      <c r="AA168" s="306" t="s">
        <v>2364</v>
      </c>
      <c r="AB168" s="305">
        <v>948.83</v>
      </c>
      <c r="AC168" s="305"/>
      <c r="AD168" s="305"/>
      <c r="AE168" s="308" t="str">
        <f t="shared" si="78"/>
        <v>PV21.1</v>
      </c>
      <c r="AF168" s="309">
        <f t="shared" si="79"/>
        <v>0</v>
      </c>
      <c r="AG168" s="309">
        <f t="shared" si="80"/>
        <v>0</v>
      </c>
      <c r="AH168" s="309">
        <f t="shared" si="81"/>
        <v>0</v>
      </c>
      <c r="AI168" s="309">
        <f t="shared" si="82"/>
        <v>0</v>
      </c>
      <c r="AJ168" s="309">
        <f t="shared" si="83"/>
        <v>1</v>
      </c>
      <c r="AK168" s="309">
        <f t="shared" si="84"/>
        <v>0</v>
      </c>
      <c r="AL168" s="309">
        <f t="shared" si="85"/>
        <v>0</v>
      </c>
      <c r="AM168" s="309">
        <f t="shared" si="86"/>
        <v>0</v>
      </c>
      <c r="AN168" s="309">
        <f t="shared" si="87"/>
        <v>0</v>
      </c>
      <c r="AO168" s="292"/>
      <c r="AP168" s="292"/>
      <c r="AQ168" s="310" t="str">
        <f t="shared" si="88"/>
        <v>ASFALTO</v>
      </c>
    </row>
    <row r="169" spans="2:43" s="271" customFormat="1" x14ac:dyDescent="0.25">
      <c r="B169" s="304" t="s">
        <v>2307</v>
      </c>
      <c r="C169" s="305">
        <v>951.44100000000003</v>
      </c>
      <c r="D169" s="305">
        <v>951.27599999999995</v>
      </c>
      <c r="E169" s="305">
        <v>0</v>
      </c>
      <c r="F169" s="305">
        <v>14.515000000000001</v>
      </c>
      <c r="G169" s="305">
        <v>0.7</v>
      </c>
      <c r="H169" s="305">
        <v>1.4999999999999999E-2</v>
      </c>
      <c r="I169" s="306">
        <v>19.260000000000002</v>
      </c>
      <c r="J169" s="306">
        <v>290.56</v>
      </c>
      <c r="K169" s="306">
        <v>36.22</v>
      </c>
      <c r="L169" s="306">
        <v>2952.2</v>
      </c>
      <c r="M169" s="304">
        <v>1500</v>
      </c>
      <c r="N169" s="304"/>
      <c r="O169" s="306">
        <v>0.63</v>
      </c>
      <c r="P169" s="306">
        <v>2.89</v>
      </c>
      <c r="Q169" s="306">
        <v>56.16</v>
      </c>
      <c r="R169" s="306">
        <v>3.9</v>
      </c>
      <c r="S169" s="306">
        <v>3.97</v>
      </c>
      <c r="T169" s="305">
        <v>947.54100000000005</v>
      </c>
      <c r="U169" s="305">
        <v>947.31100000000004</v>
      </c>
      <c r="V169" s="306">
        <v>0.18</v>
      </c>
      <c r="W169" s="306" t="s">
        <v>1999</v>
      </c>
      <c r="X169" s="306">
        <v>1000</v>
      </c>
      <c r="Y169" s="306"/>
      <c r="Z169" s="306">
        <f t="shared" si="77"/>
        <v>12.516733450432454</v>
      </c>
      <c r="AA169" s="306"/>
      <c r="AB169" s="305"/>
      <c r="AC169" s="305"/>
      <c r="AD169" s="305"/>
      <c r="AE169" s="308" t="str">
        <f t="shared" si="78"/>
        <v>PV22.1</v>
      </c>
      <c r="AF169" s="309">
        <f t="shared" si="79"/>
        <v>0</v>
      </c>
      <c r="AG169" s="309">
        <f t="shared" si="80"/>
        <v>0</v>
      </c>
      <c r="AH169" s="309">
        <f t="shared" si="81"/>
        <v>0</v>
      </c>
      <c r="AI169" s="309">
        <f t="shared" si="82"/>
        <v>0</v>
      </c>
      <c r="AJ169" s="309">
        <f t="shared" si="83"/>
        <v>1</v>
      </c>
      <c r="AK169" s="309">
        <f t="shared" si="84"/>
        <v>0</v>
      </c>
      <c r="AL169" s="309">
        <f t="shared" si="85"/>
        <v>0</v>
      </c>
      <c r="AM169" s="309">
        <f t="shared" si="86"/>
        <v>0</v>
      </c>
      <c r="AN169" s="309">
        <f t="shared" si="87"/>
        <v>0</v>
      </c>
      <c r="AO169" s="292"/>
      <c r="AP169" s="292"/>
      <c r="AQ169" s="310" t="str">
        <f t="shared" si="88"/>
        <v>ASFALTO</v>
      </c>
    </row>
    <row r="170" spans="2:43" s="271" customFormat="1" x14ac:dyDescent="0.25">
      <c r="B170" s="304" t="s">
        <v>2315</v>
      </c>
      <c r="C170" s="305">
        <v>954.34900000000005</v>
      </c>
      <c r="D170" s="305">
        <v>952.77200000000005</v>
      </c>
      <c r="E170" s="305">
        <v>7.1520000000000001</v>
      </c>
      <c r="F170" s="305">
        <v>7.1520000000000001</v>
      </c>
      <c r="G170" s="305">
        <v>0.7</v>
      </c>
      <c r="H170" s="305">
        <v>1.4999999999999999E-2</v>
      </c>
      <c r="I170" s="306">
        <v>18.64</v>
      </c>
      <c r="J170" s="306">
        <v>295.5</v>
      </c>
      <c r="K170" s="306">
        <v>36.81</v>
      </c>
      <c r="L170" s="306">
        <v>1479.36</v>
      </c>
      <c r="M170" s="304">
        <v>1000</v>
      </c>
      <c r="N170" s="304"/>
      <c r="O170" s="306">
        <v>3.09</v>
      </c>
      <c r="P170" s="306">
        <v>4.41</v>
      </c>
      <c r="Q170" s="306">
        <v>44.29</v>
      </c>
      <c r="R170" s="306">
        <v>2.74</v>
      </c>
      <c r="S170" s="306">
        <v>2.2999999999999998</v>
      </c>
      <c r="T170" s="305">
        <v>951.61</v>
      </c>
      <c r="U170" s="305">
        <v>950.47199999999998</v>
      </c>
      <c r="V170" s="306">
        <v>0</v>
      </c>
      <c r="W170" s="306" t="s">
        <v>1999</v>
      </c>
      <c r="X170" s="306">
        <v>800</v>
      </c>
      <c r="Y170" s="306">
        <f t="shared" ref="Y170:Y176" si="89">IFERROR(IF(X170&lt;=600,(PI()*0.72*0.72/4-PI()*0.6*0.6/4)*(C170-AB170)+(1.3*1.3-1.1*1.1)*1.6,IF(X170=800,(PI()*0.72*0.72/4-PI()*0.6*0.6/4)*(C170-AB170)+(1.5*1.5-1.1*1.1)*1.6,IF(X170=1000,(PI()*0.72*0.72/4-PI()*0.6*0.6/4)*(C170-AB170)+(1.94*1.94-1.5*1.5)*2.25,IF(X170=1200,(PI()*0.72*0.72/4-PI()*0.6*0.6/4)*(C170-AB170)+(-1.8*1.8+2.14*2.14)*2.25,IF(X170=1500,(PI()*0.72*0.72/4-PI()*0.6*0.6/4)*(C170-AB170)+(-2.2*2.2+2.44*2.44)*2.65,0))))),0)</f>
        <v>2.0047509622160287</v>
      </c>
      <c r="Z170" s="306">
        <f t="shared" si="77"/>
        <v>8.1411986007362778</v>
      </c>
      <c r="AA170" s="306" t="s">
        <v>2365</v>
      </c>
      <c r="AB170" s="305">
        <v>951.61</v>
      </c>
      <c r="AC170" s="305"/>
      <c r="AD170" s="305"/>
      <c r="AE170" s="308" t="str">
        <f t="shared" si="78"/>
        <v>PV1.2</v>
      </c>
      <c r="AF170" s="309">
        <f t="shared" si="79"/>
        <v>0</v>
      </c>
      <c r="AG170" s="309">
        <f t="shared" si="80"/>
        <v>0</v>
      </c>
      <c r="AH170" s="309">
        <f t="shared" si="81"/>
        <v>1</v>
      </c>
      <c r="AI170" s="309">
        <f t="shared" si="82"/>
        <v>0</v>
      </c>
      <c r="AJ170" s="309">
        <f t="shared" si="83"/>
        <v>0</v>
      </c>
      <c r="AK170" s="309">
        <f t="shared" si="84"/>
        <v>0</v>
      </c>
      <c r="AL170" s="309">
        <f t="shared" si="85"/>
        <v>0</v>
      </c>
      <c r="AM170" s="309">
        <f t="shared" si="86"/>
        <v>0</v>
      </c>
      <c r="AN170" s="309">
        <f t="shared" si="87"/>
        <v>0</v>
      </c>
      <c r="AO170" s="292"/>
      <c r="AP170" s="292"/>
      <c r="AQ170" s="310" t="str">
        <f t="shared" si="88"/>
        <v>ASFALTO</v>
      </c>
    </row>
    <row r="171" spans="2:43" s="271" customFormat="1" x14ac:dyDescent="0.25">
      <c r="B171" s="304" t="s">
        <v>2317</v>
      </c>
      <c r="C171" s="305">
        <v>952.77200000000005</v>
      </c>
      <c r="D171" s="305">
        <v>951.74599999999998</v>
      </c>
      <c r="E171" s="305">
        <v>0.78900000000000003</v>
      </c>
      <c r="F171" s="305">
        <v>7.9409999999999998</v>
      </c>
      <c r="G171" s="305">
        <v>0.7</v>
      </c>
      <c r="H171" s="305">
        <v>1.4999999999999999E-2</v>
      </c>
      <c r="I171" s="306">
        <v>18.78</v>
      </c>
      <c r="J171" s="306">
        <v>294.38</v>
      </c>
      <c r="K171" s="306">
        <v>47.67</v>
      </c>
      <c r="L171" s="306">
        <v>1636.28</v>
      </c>
      <c r="M171" s="304">
        <v>1000</v>
      </c>
      <c r="N171" s="304"/>
      <c r="O171" s="306">
        <v>2.57</v>
      </c>
      <c r="P171" s="306">
        <v>4.22</v>
      </c>
      <c r="Q171" s="306">
        <v>49.47</v>
      </c>
      <c r="R171" s="306">
        <v>2.2999999999999998</v>
      </c>
      <c r="S171" s="306">
        <v>2.5</v>
      </c>
      <c r="T171" s="305">
        <v>950.47199999999998</v>
      </c>
      <c r="U171" s="305">
        <v>949.24599999999998</v>
      </c>
      <c r="V171" s="306">
        <v>0</v>
      </c>
      <c r="W171" s="306" t="s">
        <v>1999</v>
      </c>
      <c r="X171" s="306">
        <v>800</v>
      </c>
      <c r="Y171" s="306">
        <f t="shared" si="89"/>
        <v>1.972778345461921</v>
      </c>
      <c r="Z171" s="306">
        <f t="shared" si="77"/>
        <v>10.543084414482433</v>
      </c>
      <c r="AA171" s="306" t="s">
        <v>2366</v>
      </c>
      <c r="AB171" s="305">
        <v>950.29</v>
      </c>
      <c r="AC171" s="305"/>
      <c r="AD171" s="305"/>
      <c r="AE171" s="308" t="str">
        <f t="shared" si="78"/>
        <v>PV2.2</v>
      </c>
      <c r="AF171" s="309">
        <f t="shared" si="79"/>
        <v>0</v>
      </c>
      <c r="AG171" s="309">
        <f t="shared" si="80"/>
        <v>0</v>
      </c>
      <c r="AH171" s="309">
        <f t="shared" si="81"/>
        <v>1</v>
      </c>
      <c r="AI171" s="309">
        <f t="shared" si="82"/>
        <v>0</v>
      </c>
      <c r="AJ171" s="309">
        <f t="shared" si="83"/>
        <v>0</v>
      </c>
      <c r="AK171" s="309">
        <f t="shared" si="84"/>
        <v>0</v>
      </c>
      <c r="AL171" s="309">
        <f t="shared" si="85"/>
        <v>0</v>
      </c>
      <c r="AM171" s="309">
        <f t="shared" si="86"/>
        <v>0</v>
      </c>
      <c r="AN171" s="309">
        <f t="shared" si="87"/>
        <v>0</v>
      </c>
      <c r="AO171" s="292"/>
      <c r="AP171" s="292"/>
      <c r="AQ171" s="310" t="str">
        <f t="shared" si="88"/>
        <v>ASFALTO</v>
      </c>
    </row>
    <row r="172" spans="2:43" s="271" customFormat="1" x14ac:dyDescent="0.25">
      <c r="B172" s="304" t="s">
        <v>2367</v>
      </c>
      <c r="C172" s="305">
        <v>951.74599999999998</v>
      </c>
      <c r="D172" s="305">
        <v>951.27599999999995</v>
      </c>
      <c r="E172" s="305">
        <v>0.45100000000000001</v>
      </c>
      <c r="F172" s="305">
        <v>8.3919999999999995</v>
      </c>
      <c r="G172" s="305">
        <v>0.7</v>
      </c>
      <c r="H172" s="305">
        <v>1.4999999999999999E-2</v>
      </c>
      <c r="I172" s="306">
        <v>18.97</v>
      </c>
      <c r="J172" s="306">
        <v>292.87</v>
      </c>
      <c r="K172" s="306">
        <v>46.84</v>
      </c>
      <c r="L172" s="306">
        <v>1720.42</v>
      </c>
      <c r="M172" s="304">
        <v>1000</v>
      </c>
      <c r="N172" s="304"/>
      <c r="O172" s="306">
        <v>1.64</v>
      </c>
      <c r="P172" s="306">
        <v>3.61</v>
      </c>
      <c r="Q172" s="306">
        <v>58.49</v>
      </c>
      <c r="R172" s="306">
        <v>2.5</v>
      </c>
      <c r="S172" s="306">
        <v>2.8</v>
      </c>
      <c r="T172" s="305">
        <v>949.24599999999998</v>
      </c>
      <c r="U172" s="305">
        <v>948.476</v>
      </c>
      <c r="V172" s="306">
        <v>1.35</v>
      </c>
      <c r="W172" s="306" t="s">
        <v>1999</v>
      </c>
      <c r="X172" s="306">
        <v>800</v>
      </c>
      <c r="Y172" s="306">
        <f t="shared" si="89"/>
        <v>1.9931811047913788</v>
      </c>
      <c r="Z172" s="306">
        <f t="shared" si="77"/>
        <v>10.359514872547875</v>
      </c>
      <c r="AA172" s="306" t="s">
        <v>2368</v>
      </c>
      <c r="AB172" s="305">
        <v>949.1</v>
      </c>
      <c r="AC172" s="305"/>
      <c r="AD172" s="305"/>
      <c r="AE172" s="308" t="str">
        <f t="shared" si="78"/>
        <v>PV3.2</v>
      </c>
      <c r="AF172" s="309">
        <f t="shared" si="79"/>
        <v>0</v>
      </c>
      <c r="AG172" s="309">
        <f t="shared" si="80"/>
        <v>0</v>
      </c>
      <c r="AH172" s="309">
        <f t="shared" si="81"/>
        <v>1</v>
      </c>
      <c r="AI172" s="309">
        <f t="shared" si="82"/>
        <v>0</v>
      </c>
      <c r="AJ172" s="309">
        <f t="shared" si="83"/>
        <v>0</v>
      </c>
      <c r="AK172" s="309">
        <f t="shared" si="84"/>
        <v>0</v>
      </c>
      <c r="AL172" s="309">
        <f t="shared" si="85"/>
        <v>0</v>
      </c>
      <c r="AM172" s="309">
        <f t="shared" si="86"/>
        <v>0</v>
      </c>
      <c r="AN172" s="309">
        <f t="shared" si="87"/>
        <v>0</v>
      </c>
      <c r="AO172" s="292"/>
      <c r="AP172" s="292"/>
      <c r="AQ172" s="310" t="str">
        <f t="shared" si="88"/>
        <v>ASFALTO</v>
      </c>
    </row>
    <row r="173" spans="2:43" s="271" customFormat="1" x14ac:dyDescent="0.25">
      <c r="B173" s="304" t="s">
        <v>2309</v>
      </c>
      <c r="C173" s="305">
        <v>951.27599999999995</v>
      </c>
      <c r="D173" s="305">
        <v>950.85699999999997</v>
      </c>
      <c r="E173" s="305">
        <v>0.52800000000000002</v>
      </c>
      <c r="F173" s="305">
        <v>23.434999999999999</v>
      </c>
      <c r="G173" s="305">
        <v>0.7</v>
      </c>
      <c r="H173" s="305">
        <v>1.2999999999999999E-2</v>
      </c>
      <c r="I173" s="306">
        <v>19.47</v>
      </c>
      <c r="J173" s="306">
        <v>288.93</v>
      </c>
      <c r="K173" s="306">
        <v>46.98</v>
      </c>
      <c r="L173" s="306">
        <v>4739.72</v>
      </c>
      <c r="M173" s="304">
        <v>1650</v>
      </c>
      <c r="N173" s="304">
        <v>1650</v>
      </c>
      <c r="O173" s="306">
        <v>0.93</v>
      </c>
      <c r="P173" s="306">
        <v>4.05</v>
      </c>
      <c r="Q173" s="306">
        <v>44.41</v>
      </c>
      <c r="R173" s="306">
        <v>4.1399999999999997</v>
      </c>
      <c r="S173" s="306">
        <v>4.16</v>
      </c>
      <c r="T173" s="305">
        <v>947.13099999999997</v>
      </c>
      <c r="U173" s="305">
        <v>946.697</v>
      </c>
      <c r="V173" s="306">
        <v>0.12</v>
      </c>
      <c r="W173" s="306" t="s">
        <v>1999</v>
      </c>
      <c r="X173" s="306">
        <v>1200</v>
      </c>
      <c r="Y173" s="306">
        <f t="shared" si="89"/>
        <v>3.4875933049266759</v>
      </c>
      <c r="Z173" s="306">
        <f t="shared" si="77"/>
        <v>23.378576421918719</v>
      </c>
      <c r="AA173" s="306" t="s">
        <v>2369</v>
      </c>
      <c r="AB173" s="305">
        <v>947.47</v>
      </c>
      <c r="AC173" s="305"/>
      <c r="AD173" s="305"/>
      <c r="AE173" s="308" t="str">
        <f t="shared" si="78"/>
        <v>PV23.1</v>
      </c>
      <c r="AF173" s="309">
        <f t="shared" si="79"/>
        <v>0</v>
      </c>
      <c r="AG173" s="309">
        <f t="shared" si="80"/>
        <v>0</v>
      </c>
      <c r="AH173" s="309">
        <f t="shared" si="81"/>
        <v>0</v>
      </c>
      <c r="AI173" s="309">
        <f t="shared" si="82"/>
        <v>0</v>
      </c>
      <c r="AJ173" s="309">
        <f t="shared" si="83"/>
        <v>0</v>
      </c>
      <c r="AK173" s="309">
        <f t="shared" si="84"/>
        <v>1</v>
      </c>
      <c r="AL173" s="309">
        <f t="shared" si="85"/>
        <v>0</v>
      </c>
      <c r="AM173" s="309">
        <f t="shared" si="86"/>
        <v>1</v>
      </c>
      <c r="AN173" s="309">
        <f t="shared" si="87"/>
        <v>0</v>
      </c>
      <c r="AO173" s="292"/>
      <c r="AP173" s="292"/>
      <c r="AQ173" s="310" t="str">
        <f t="shared" si="88"/>
        <v>ASFALTO</v>
      </c>
    </row>
    <row r="174" spans="2:43" s="271" customFormat="1" x14ac:dyDescent="0.25">
      <c r="B174" s="304" t="s">
        <v>2311</v>
      </c>
      <c r="C174" s="305">
        <v>950.85699999999997</v>
      </c>
      <c r="D174" s="305">
        <v>950.58900000000006</v>
      </c>
      <c r="E174" s="305">
        <v>0.64900000000000002</v>
      </c>
      <c r="F174" s="305">
        <v>24.082999999999998</v>
      </c>
      <c r="G174" s="305">
        <v>0.7</v>
      </c>
      <c r="H174" s="305">
        <v>1.2999999999999999E-2</v>
      </c>
      <c r="I174" s="306">
        <v>19.66</v>
      </c>
      <c r="J174" s="306">
        <v>287.45</v>
      </c>
      <c r="K174" s="306">
        <v>43.73</v>
      </c>
      <c r="L174" s="306">
        <v>4845.8599999999997</v>
      </c>
      <c r="M174" s="304">
        <v>1650</v>
      </c>
      <c r="N174" s="304">
        <v>1650</v>
      </c>
      <c r="O174" s="306">
        <v>0.62</v>
      </c>
      <c r="P174" s="306">
        <v>3.51</v>
      </c>
      <c r="Q174" s="306">
        <v>52.15</v>
      </c>
      <c r="R174" s="306">
        <v>4.28</v>
      </c>
      <c r="S174" s="306">
        <v>4.28</v>
      </c>
      <c r="T174" s="305">
        <v>946.58199999999999</v>
      </c>
      <c r="U174" s="305">
        <v>946.30899999999997</v>
      </c>
      <c r="V174" s="306">
        <v>0</v>
      </c>
      <c r="W174" s="306" t="s">
        <v>1999</v>
      </c>
      <c r="X174" s="306">
        <v>1500</v>
      </c>
      <c r="Y174" s="306">
        <f t="shared" si="89"/>
        <v>3.3836033791986502</v>
      </c>
      <c r="Z174" s="306">
        <f t="shared" si="77"/>
        <v>34.002007068516718</v>
      </c>
      <c r="AA174" s="306" t="s">
        <v>2370</v>
      </c>
      <c r="AB174" s="305">
        <v>947.38</v>
      </c>
      <c r="AC174" s="305"/>
      <c r="AD174" s="305"/>
      <c r="AE174" s="308" t="str">
        <f t="shared" si="78"/>
        <v>PV24.1</v>
      </c>
      <c r="AF174" s="309">
        <f t="shared" si="79"/>
        <v>0</v>
      </c>
      <c r="AG174" s="309">
        <f t="shared" si="80"/>
        <v>0</v>
      </c>
      <c r="AH174" s="309">
        <f t="shared" si="81"/>
        <v>0</v>
      </c>
      <c r="AI174" s="309">
        <f t="shared" si="82"/>
        <v>0</v>
      </c>
      <c r="AJ174" s="309">
        <f t="shared" si="83"/>
        <v>0</v>
      </c>
      <c r="AK174" s="309">
        <f t="shared" si="84"/>
        <v>1</v>
      </c>
      <c r="AL174" s="309">
        <f t="shared" si="85"/>
        <v>0</v>
      </c>
      <c r="AM174" s="309">
        <f t="shared" si="86"/>
        <v>1</v>
      </c>
      <c r="AN174" s="309">
        <f t="shared" si="87"/>
        <v>0</v>
      </c>
      <c r="AO174" s="292"/>
      <c r="AP174" s="292"/>
      <c r="AQ174" s="310" t="str">
        <f t="shared" si="88"/>
        <v>ASFALTO</v>
      </c>
    </row>
    <row r="175" spans="2:43" s="271" customFormat="1" x14ac:dyDescent="0.25">
      <c r="B175" s="304" t="s">
        <v>2313</v>
      </c>
      <c r="C175" s="305">
        <v>950.58900000000006</v>
      </c>
      <c r="D175" s="305">
        <v>950.29100000000005</v>
      </c>
      <c r="E175" s="305">
        <v>0.121</v>
      </c>
      <c r="F175" s="305">
        <v>24.204000000000001</v>
      </c>
      <c r="G175" s="305">
        <v>0.7</v>
      </c>
      <c r="H175" s="305">
        <v>1.2999999999999999E-2</v>
      </c>
      <c r="I175" s="306">
        <v>19.87</v>
      </c>
      <c r="J175" s="306">
        <v>285.87</v>
      </c>
      <c r="K175" s="306">
        <v>55.32</v>
      </c>
      <c r="L175" s="306">
        <v>4843.43</v>
      </c>
      <c r="M175" s="304">
        <v>1650</v>
      </c>
      <c r="N175" s="304">
        <v>1650</v>
      </c>
      <c r="O175" s="306">
        <v>0.69</v>
      </c>
      <c r="P175" s="306">
        <v>3.65</v>
      </c>
      <c r="Q175" s="306">
        <v>50.26</v>
      </c>
      <c r="R175" s="306">
        <v>4.28</v>
      </c>
      <c r="S175" s="306">
        <v>4.3600000000000003</v>
      </c>
      <c r="T175" s="305">
        <v>946.30899999999997</v>
      </c>
      <c r="U175" s="305">
        <v>945.928</v>
      </c>
      <c r="V175" s="306">
        <v>0</v>
      </c>
      <c r="W175" s="306" t="s">
        <v>1999</v>
      </c>
      <c r="X175" s="306">
        <v>1500</v>
      </c>
      <c r="Y175" s="306">
        <f t="shared" si="89"/>
        <v>3.5144796158730944</v>
      </c>
      <c r="Z175" s="306">
        <f t="shared" si="77"/>
        <v>43.013744135155385</v>
      </c>
      <c r="AA175" s="306" t="s">
        <v>2371</v>
      </c>
      <c r="AB175" s="305">
        <v>946.06</v>
      </c>
      <c r="AC175" s="305"/>
      <c r="AD175" s="305"/>
      <c r="AE175" s="308" t="str">
        <f t="shared" si="78"/>
        <v>PV25.1</v>
      </c>
      <c r="AF175" s="309">
        <f t="shared" si="79"/>
        <v>0</v>
      </c>
      <c r="AG175" s="309">
        <f t="shared" si="80"/>
        <v>0</v>
      </c>
      <c r="AH175" s="309">
        <f t="shared" si="81"/>
        <v>0</v>
      </c>
      <c r="AI175" s="309">
        <f t="shared" si="82"/>
        <v>0</v>
      </c>
      <c r="AJ175" s="309">
        <f t="shared" si="83"/>
        <v>0</v>
      </c>
      <c r="AK175" s="309">
        <f t="shared" si="84"/>
        <v>1</v>
      </c>
      <c r="AL175" s="309">
        <f t="shared" si="85"/>
        <v>0</v>
      </c>
      <c r="AM175" s="309">
        <f t="shared" si="86"/>
        <v>1</v>
      </c>
      <c r="AN175" s="309">
        <f t="shared" si="87"/>
        <v>0</v>
      </c>
      <c r="AO175" s="292"/>
      <c r="AP175" s="292"/>
      <c r="AQ175" s="310" t="str">
        <f t="shared" si="88"/>
        <v>ASFALTO</v>
      </c>
    </row>
    <row r="176" spans="2:43" s="271" customFormat="1" x14ac:dyDescent="0.25">
      <c r="B176" s="304" t="s">
        <v>2372</v>
      </c>
      <c r="C176" s="305">
        <v>965.73800000000006</v>
      </c>
      <c r="D176" s="305">
        <v>964.42600000000004</v>
      </c>
      <c r="E176" s="305">
        <v>1.5329999999999999</v>
      </c>
      <c r="F176" s="305">
        <v>1.5329999999999999</v>
      </c>
      <c r="G176" s="305">
        <v>0.7</v>
      </c>
      <c r="H176" s="305">
        <v>1.4999999999999999E-2</v>
      </c>
      <c r="I176" s="306">
        <v>16.98</v>
      </c>
      <c r="J176" s="306">
        <v>309.72000000000003</v>
      </c>
      <c r="K176" s="306">
        <v>35.630000000000003</v>
      </c>
      <c r="L176" s="306">
        <v>332.26</v>
      </c>
      <c r="M176" s="304">
        <v>600</v>
      </c>
      <c r="N176" s="304"/>
      <c r="O176" s="306">
        <v>3.21</v>
      </c>
      <c r="P176" s="306">
        <v>3.07</v>
      </c>
      <c r="Q176" s="306">
        <v>40.74</v>
      </c>
      <c r="R176" s="306">
        <v>2.2599999999999998</v>
      </c>
      <c r="S176" s="306">
        <v>2.09</v>
      </c>
      <c r="T176" s="305">
        <v>963.47900000000004</v>
      </c>
      <c r="U176" s="305">
        <v>962.33500000000004</v>
      </c>
      <c r="V176" s="306">
        <v>0</v>
      </c>
      <c r="W176" s="306" t="s">
        <v>1999</v>
      </c>
      <c r="X176" s="306">
        <v>400</v>
      </c>
      <c r="Y176" s="306">
        <f t="shared" si="89"/>
        <v>1.0713044344223086</v>
      </c>
      <c r="Z176" s="306">
        <f t="shared" si="77"/>
        <v>3.0894045164283597</v>
      </c>
      <c r="AA176" s="306" t="s">
        <v>2373</v>
      </c>
      <c r="AB176" s="305">
        <v>963.3</v>
      </c>
      <c r="AC176" s="305"/>
      <c r="AD176" s="305"/>
      <c r="AE176" s="308" t="str">
        <f t="shared" si="78"/>
        <v>PV1.3</v>
      </c>
      <c r="AF176" s="309">
        <f t="shared" si="79"/>
        <v>1</v>
      </c>
      <c r="AG176" s="309">
        <f t="shared" si="80"/>
        <v>0</v>
      </c>
      <c r="AH176" s="309">
        <f t="shared" si="81"/>
        <v>0</v>
      </c>
      <c r="AI176" s="309">
        <f t="shared" si="82"/>
        <v>0</v>
      </c>
      <c r="AJ176" s="309">
        <f t="shared" si="83"/>
        <v>0</v>
      </c>
      <c r="AK176" s="309">
        <f t="shared" si="84"/>
        <v>0</v>
      </c>
      <c r="AL176" s="309">
        <f t="shared" si="85"/>
        <v>0</v>
      </c>
      <c r="AM176" s="309">
        <f t="shared" si="86"/>
        <v>0</v>
      </c>
      <c r="AN176" s="309">
        <f t="shared" si="87"/>
        <v>0</v>
      </c>
      <c r="AO176" s="292"/>
      <c r="AP176" s="292"/>
      <c r="AQ176" s="310" t="str">
        <f t="shared" si="88"/>
        <v>ASFALTO</v>
      </c>
    </row>
    <row r="177" spans="2:43" s="271" customFormat="1" x14ac:dyDescent="0.25">
      <c r="B177" s="304" t="s">
        <v>2374</v>
      </c>
      <c r="C177" s="305">
        <v>964.42600000000004</v>
      </c>
      <c r="D177" s="305">
        <v>963.33699999999999</v>
      </c>
      <c r="E177" s="305">
        <v>0</v>
      </c>
      <c r="F177" s="305">
        <v>1.5329999999999999</v>
      </c>
      <c r="G177" s="305">
        <v>0.7</v>
      </c>
      <c r="H177" s="305">
        <v>1.4999999999999999E-2</v>
      </c>
      <c r="I177" s="306">
        <v>17.170000000000002</v>
      </c>
      <c r="J177" s="306">
        <v>307.98</v>
      </c>
      <c r="K177" s="306">
        <v>35.630000000000003</v>
      </c>
      <c r="L177" s="306">
        <v>330.4</v>
      </c>
      <c r="M177" s="304">
        <v>600</v>
      </c>
      <c r="N177" s="304"/>
      <c r="O177" s="306">
        <v>3.21</v>
      </c>
      <c r="P177" s="306">
        <v>3.07</v>
      </c>
      <c r="Q177" s="306">
        <v>40.61</v>
      </c>
      <c r="R177" s="306">
        <v>2.09</v>
      </c>
      <c r="S177" s="306">
        <v>2.15</v>
      </c>
      <c r="T177" s="305">
        <v>962.33500000000004</v>
      </c>
      <c r="U177" s="305">
        <v>961.19</v>
      </c>
      <c r="V177" s="306">
        <v>0.22</v>
      </c>
      <c r="W177" s="306" t="s">
        <v>1999</v>
      </c>
      <c r="X177" s="306">
        <v>400</v>
      </c>
      <c r="Y177" s="306"/>
      <c r="Z177" s="306">
        <f t="shared" si="77"/>
        <v>3.0894045164283597</v>
      </c>
      <c r="AA177" s="306"/>
      <c r="AB177" s="305"/>
      <c r="AC177" s="305"/>
      <c r="AD177" s="305"/>
      <c r="AE177" s="308" t="str">
        <f t="shared" si="78"/>
        <v>PV2.3</v>
      </c>
      <c r="AF177" s="309">
        <f t="shared" si="79"/>
        <v>1</v>
      </c>
      <c r="AG177" s="309">
        <f t="shared" si="80"/>
        <v>0</v>
      </c>
      <c r="AH177" s="309">
        <f t="shared" si="81"/>
        <v>0</v>
      </c>
      <c r="AI177" s="309">
        <f t="shared" si="82"/>
        <v>0</v>
      </c>
      <c r="AJ177" s="309">
        <f t="shared" si="83"/>
        <v>0</v>
      </c>
      <c r="AK177" s="309">
        <f t="shared" si="84"/>
        <v>0</v>
      </c>
      <c r="AL177" s="309">
        <f t="shared" si="85"/>
        <v>0</v>
      </c>
      <c r="AM177" s="309">
        <f t="shared" si="86"/>
        <v>0</v>
      </c>
      <c r="AN177" s="309">
        <f t="shared" si="87"/>
        <v>0</v>
      </c>
      <c r="AO177" s="292"/>
      <c r="AP177" s="292"/>
      <c r="AQ177" s="310" t="str">
        <f t="shared" si="88"/>
        <v>ASFALTO</v>
      </c>
    </row>
    <row r="178" spans="2:43" s="271" customFormat="1" x14ac:dyDescent="0.25">
      <c r="B178" s="304" t="s">
        <v>2375</v>
      </c>
      <c r="C178" s="305">
        <v>963.33699999999999</v>
      </c>
      <c r="D178" s="305">
        <v>962.27599999999995</v>
      </c>
      <c r="E178" s="305">
        <v>1.446</v>
      </c>
      <c r="F178" s="305">
        <v>2.9780000000000002</v>
      </c>
      <c r="G178" s="305">
        <v>0.7</v>
      </c>
      <c r="H178" s="305">
        <v>1.4999999999999999E-2</v>
      </c>
      <c r="I178" s="306">
        <v>17.37</v>
      </c>
      <c r="J178" s="306">
        <v>306.27</v>
      </c>
      <c r="K178" s="306">
        <v>36.700000000000003</v>
      </c>
      <c r="L178" s="306">
        <v>638.48</v>
      </c>
      <c r="M178" s="304">
        <v>800</v>
      </c>
      <c r="N178" s="304"/>
      <c r="O178" s="306">
        <v>2.46</v>
      </c>
      <c r="P178" s="306">
        <v>3.27</v>
      </c>
      <c r="Q178" s="306">
        <v>41.19</v>
      </c>
      <c r="R178" s="306">
        <v>2.37</v>
      </c>
      <c r="S178" s="306">
        <v>2.21</v>
      </c>
      <c r="T178" s="305">
        <v>960.97</v>
      </c>
      <c r="U178" s="305">
        <v>960.06899999999996</v>
      </c>
      <c r="V178" s="306">
        <v>0</v>
      </c>
      <c r="W178" s="306" t="s">
        <v>1999</v>
      </c>
      <c r="X178" s="306">
        <v>500</v>
      </c>
      <c r="Y178" s="306">
        <f>IFERROR(IF(X178&lt;=600,(PI()*0.72*0.72/4-PI()*0.6*0.6/4)*(C178-AB178)+(1.3*1.3-1.1*1.1)*1.6,IF(X178=800,(PI()*0.72*0.72/4-PI()*0.6*0.6/4)*(C178-AB178)+(1.5*1.5-1.1*1.1)*1.6,IF(X178=1000,(PI()*0.72*0.72/4-PI()*0.6*0.6/4)*(C178-AB178)+(1.94*1.94-1.5*1.5)*2.25,IF(X178=1200,(PI()*0.72*0.72/4-PI()*0.6*0.6/4)*(C178-AB178)+(-1.8*1.8+2.14*2.14)*2.25,IF(X178=1500,(PI()*0.72*0.72/4-PI()*0.6*0.6/4)*(C178-AB178)+(-2.2*2.2+2.44*2.44)*2.65,0))))),0)</f>
        <v>1.0823766635706131</v>
      </c>
      <c r="Z178" s="306">
        <f t="shared" si="77"/>
        <v>3.8739607329946466</v>
      </c>
      <c r="AA178" s="306" t="s">
        <v>2376</v>
      </c>
      <c r="AB178" s="305">
        <v>960.81</v>
      </c>
      <c r="AC178" s="305"/>
      <c r="AD178" s="305"/>
      <c r="AE178" s="308" t="str">
        <f t="shared" si="78"/>
        <v>PV3.3</v>
      </c>
      <c r="AF178" s="309">
        <f t="shared" si="79"/>
        <v>0</v>
      </c>
      <c r="AG178" s="309">
        <f t="shared" si="80"/>
        <v>1</v>
      </c>
      <c r="AH178" s="309">
        <f t="shared" si="81"/>
        <v>0</v>
      </c>
      <c r="AI178" s="309">
        <f t="shared" si="82"/>
        <v>0</v>
      </c>
      <c r="AJ178" s="309">
        <f t="shared" si="83"/>
        <v>0</v>
      </c>
      <c r="AK178" s="309">
        <f t="shared" si="84"/>
        <v>0</v>
      </c>
      <c r="AL178" s="309">
        <f t="shared" si="85"/>
        <v>0</v>
      </c>
      <c r="AM178" s="309">
        <f t="shared" si="86"/>
        <v>0</v>
      </c>
      <c r="AN178" s="309">
        <f t="shared" si="87"/>
        <v>0</v>
      </c>
      <c r="AO178" s="292"/>
      <c r="AP178" s="292"/>
      <c r="AQ178" s="310" t="str">
        <f t="shared" si="88"/>
        <v>ASFALTO</v>
      </c>
    </row>
    <row r="179" spans="2:43" s="271" customFormat="1" x14ac:dyDescent="0.25">
      <c r="B179" s="304" t="s">
        <v>2377</v>
      </c>
      <c r="C179" s="305">
        <v>962.27599999999995</v>
      </c>
      <c r="D179" s="305">
        <v>961.12599999999998</v>
      </c>
      <c r="E179" s="305">
        <v>0</v>
      </c>
      <c r="F179" s="305">
        <v>2.9780000000000002</v>
      </c>
      <c r="G179" s="305">
        <v>0.7</v>
      </c>
      <c r="H179" s="305">
        <v>1.4999999999999999E-2</v>
      </c>
      <c r="I179" s="306">
        <v>17.55</v>
      </c>
      <c r="J179" s="306">
        <v>304.63</v>
      </c>
      <c r="K179" s="306">
        <v>36.700000000000003</v>
      </c>
      <c r="L179" s="306">
        <v>635.07000000000005</v>
      </c>
      <c r="M179" s="304">
        <v>800</v>
      </c>
      <c r="N179" s="304"/>
      <c r="O179" s="306">
        <v>2.46</v>
      </c>
      <c r="P179" s="306">
        <v>3.27</v>
      </c>
      <c r="Q179" s="306">
        <v>41.07</v>
      </c>
      <c r="R179" s="306">
        <v>2.21</v>
      </c>
      <c r="S179" s="306">
        <v>1.96</v>
      </c>
      <c r="T179" s="305">
        <v>960.06899999999996</v>
      </c>
      <c r="U179" s="305">
        <v>959.16800000000001</v>
      </c>
      <c r="V179" s="306">
        <v>0.22</v>
      </c>
      <c r="W179" s="306" t="s">
        <v>1999</v>
      </c>
      <c r="X179" s="306">
        <v>500</v>
      </c>
      <c r="Y179" s="306"/>
      <c r="Z179" s="306">
        <f t="shared" si="77"/>
        <v>3.8739607329946466</v>
      </c>
      <c r="AA179" s="306"/>
      <c r="AB179" s="305"/>
      <c r="AC179" s="305"/>
      <c r="AD179" s="305"/>
      <c r="AE179" s="308" t="str">
        <f t="shared" si="78"/>
        <v>PV4.3</v>
      </c>
      <c r="AF179" s="309">
        <f t="shared" si="79"/>
        <v>0</v>
      </c>
      <c r="AG179" s="309">
        <f t="shared" si="80"/>
        <v>1</v>
      </c>
      <c r="AH179" s="309">
        <f t="shared" si="81"/>
        <v>0</v>
      </c>
      <c r="AI179" s="309">
        <f t="shared" si="82"/>
        <v>0</v>
      </c>
      <c r="AJ179" s="309">
        <f t="shared" si="83"/>
        <v>0</v>
      </c>
      <c r="AK179" s="309">
        <f t="shared" si="84"/>
        <v>0</v>
      </c>
      <c r="AL179" s="309">
        <f t="shared" si="85"/>
        <v>0</v>
      </c>
      <c r="AM179" s="309">
        <f t="shared" si="86"/>
        <v>0</v>
      </c>
      <c r="AN179" s="309">
        <f t="shared" si="87"/>
        <v>0</v>
      </c>
      <c r="AO179" s="292"/>
      <c r="AP179" s="292"/>
      <c r="AQ179" s="310" t="str">
        <f t="shared" si="88"/>
        <v>ASFALTO</v>
      </c>
    </row>
    <row r="180" spans="2:43" s="271" customFormat="1" x14ac:dyDescent="0.25">
      <c r="B180" s="304" t="s">
        <v>2378</v>
      </c>
      <c r="C180" s="305">
        <v>961.12599999999998</v>
      </c>
      <c r="D180" s="305">
        <v>960.28499999999997</v>
      </c>
      <c r="E180" s="305">
        <v>1.4430000000000001</v>
      </c>
      <c r="F180" s="305">
        <v>4.4210000000000003</v>
      </c>
      <c r="G180" s="305">
        <v>0.7</v>
      </c>
      <c r="H180" s="305">
        <v>1.4999999999999999E-2</v>
      </c>
      <c r="I180" s="306">
        <v>17.739999999999998</v>
      </c>
      <c r="J180" s="306">
        <v>303.01</v>
      </c>
      <c r="K180" s="306">
        <v>31.57</v>
      </c>
      <c r="L180" s="306">
        <v>937.82</v>
      </c>
      <c r="M180" s="304">
        <v>1000</v>
      </c>
      <c r="N180" s="304"/>
      <c r="O180" s="306">
        <v>2.74</v>
      </c>
      <c r="P180" s="306">
        <v>3.73</v>
      </c>
      <c r="Q180" s="306">
        <v>35.67</v>
      </c>
      <c r="R180" s="306">
        <v>2.17</v>
      </c>
      <c r="S180" s="306">
        <v>2.2000000000000002</v>
      </c>
      <c r="T180" s="305">
        <v>958.95299999999997</v>
      </c>
      <c r="U180" s="305">
        <v>958.08699999999999</v>
      </c>
      <c r="V180" s="306">
        <v>0</v>
      </c>
      <c r="W180" s="306" t="s">
        <v>1999</v>
      </c>
      <c r="X180" s="306">
        <v>600</v>
      </c>
      <c r="Y180" s="306">
        <f>IFERROR(IF(X180&lt;=600,(PI()*0.72*0.72/4-PI()*0.6*0.6/4)*(C180-AB180)+(1.3*1.3-1.1*1.1)*1.6,IF(X180=800,(PI()*0.72*0.72/4-PI()*0.6*0.6/4)*(C180-AB180)+(1.5*1.5-1.1*1.1)*1.6,IF(X180=1000,(PI()*0.72*0.72/4-PI()*0.6*0.6/4)*(C180-AB180)+(1.94*1.94-1.5*1.5)*2.25,IF(X180=1200,(PI()*0.72*0.72/4-PI()*0.6*0.6/4)*(C180-AB180)+(-1.8*1.8+2.14*2.14)*2.25,IF(X180=1500,(PI()*0.72*0.72/4-PI()*0.6*0.6/4)*(C180-AB180)+(-2.2*2.2+2.44*2.44)*2.65,0))))),0)</f>
        <v>1.2116356083469715</v>
      </c>
      <c r="Z180" s="306">
        <f t="shared" si="77"/>
        <v>3.9275311709236593</v>
      </c>
      <c r="AA180" s="306" t="s">
        <v>2379</v>
      </c>
      <c r="AB180" s="305">
        <v>957.56</v>
      </c>
      <c r="AC180" s="305"/>
      <c r="AD180" s="305"/>
      <c r="AE180" s="308" t="str">
        <f t="shared" si="78"/>
        <v>PV5.3</v>
      </c>
      <c r="AF180" s="309">
        <f t="shared" si="79"/>
        <v>0</v>
      </c>
      <c r="AG180" s="309">
        <f t="shared" si="80"/>
        <v>0</v>
      </c>
      <c r="AH180" s="309">
        <f t="shared" si="81"/>
        <v>1</v>
      </c>
      <c r="AI180" s="309">
        <f t="shared" si="82"/>
        <v>0</v>
      </c>
      <c r="AJ180" s="309">
        <f t="shared" si="83"/>
        <v>0</v>
      </c>
      <c r="AK180" s="309">
        <f t="shared" si="84"/>
        <v>0</v>
      </c>
      <c r="AL180" s="309">
        <f t="shared" si="85"/>
        <v>0</v>
      </c>
      <c r="AM180" s="309">
        <f t="shared" si="86"/>
        <v>0</v>
      </c>
      <c r="AN180" s="309">
        <f t="shared" si="87"/>
        <v>0</v>
      </c>
      <c r="AO180" s="292"/>
      <c r="AP180" s="292"/>
      <c r="AQ180" s="310" t="str">
        <f t="shared" si="88"/>
        <v>ASFALTO</v>
      </c>
    </row>
    <row r="181" spans="2:43" s="271" customFormat="1" x14ac:dyDescent="0.25">
      <c r="B181" s="304" t="s">
        <v>2380</v>
      </c>
      <c r="C181" s="305">
        <v>960.28499999999997</v>
      </c>
      <c r="D181" s="305">
        <v>959.346</v>
      </c>
      <c r="E181" s="305">
        <v>0</v>
      </c>
      <c r="F181" s="305">
        <v>4.4210000000000003</v>
      </c>
      <c r="G181" s="305">
        <v>0.7</v>
      </c>
      <c r="H181" s="305">
        <v>1.4999999999999999E-2</v>
      </c>
      <c r="I181" s="306">
        <v>17.88</v>
      </c>
      <c r="J181" s="306">
        <v>301.8</v>
      </c>
      <c r="K181" s="306">
        <v>31.57</v>
      </c>
      <c r="L181" s="306">
        <v>934.08</v>
      </c>
      <c r="M181" s="304">
        <v>1000</v>
      </c>
      <c r="N181" s="304"/>
      <c r="O181" s="306">
        <v>2.74</v>
      </c>
      <c r="P181" s="306">
        <v>3.73</v>
      </c>
      <c r="Q181" s="306">
        <v>35.6</v>
      </c>
      <c r="R181" s="306">
        <v>2.2000000000000002</v>
      </c>
      <c r="S181" s="306">
        <v>2.13</v>
      </c>
      <c r="T181" s="305">
        <v>958.08699999999999</v>
      </c>
      <c r="U181" s="305">
        <v>957.221</v>
      </c>
      <c r="V181" s="306">
        <v>0</v>
      </c>
      <c r="W181" s="306" t="s">
        <v>1999</v>
      </c>
      <c r="X181" s="306">
        <v>600</v>
      </c>
      <c r="Y181" s="306"/>
      <c r="Z181" s="306">
        <f t="shared" si="77"/>
        <v>3.9275311709236593</v>
      </c>
      <c r="AA181" s="306"/>
      <c r="AB181" s="305"/>
      <c r="AC181" s="305"/>
      <c r="AD181" s="305"/>
      <c r="AE181" s="308" t="str">
        <f t="shared" si="78"/>
        <v>PV6.3</v>
      </c>
      <c r="AF181" s="309">
        <f t="shared" si="79"/>
        <v>0</v>
      </c>
      <c r="AG181" s="309">
        <f t="shared" si="80"/>
        <v>0</v>
      </c>
      <c r="AH181" s="309">
        <f t="shared" si="81"/>
        <v>1</v>
      </c>
      <c r="AI181" s="309">
        <f t="shared" si="82"/>
        <v>0</v>
      </c>
      <c r="AJ181" s="309">
        <f t="shared" si="83"/>
        <v>0</v>
      </c>
      <c r="AK181" s="309">
        <f t="shared" si="84"/>
        <v>0</v>
      </c>
      <c r="AL181" s="309">
        <f t="shared" si="85"/>
        <v>0</v>
      </c>
      <c r="AM181" s="309">
        <f t="shared" si="86"/>
        <v>0</v>
      </c>
      <c r="AN181" s="309">
        <f t="shared" si="87"/>
        <v>0</v>
      </c>
      <c r="AO181" s="292"/>
      <c r="AP181" s="292"/>
      <c r="AQ181" s="310" t="str">
        <f t="shared" si="88"/>
        <v>ASFALTO</v>
      </c>
    </row>
    <row r="182" spans="2:43" s="271" customFormat="1" x14ac:dyDescent="0.25">
      <c r="B182" s="304" t="s">
        <v>2381</v>
      </c>
      <c r="C182" s="305">
        <v>959.346</v>
      </c>
      <c r="D182" s="305">
        <v>957.69600000000003</v>
      </c>
      <c r="E182" s="305">
        <v>1.2649999999999999</v>
      </c>
      <c r="F182" s="305">
        <v>5.6870000000000003</v>
      </c>
      <c r="G182" s="305">
        <v>0.7</v>
      </c>
      <c r="H182" s="305">
        <v>1.4999999999999999E-2</v>
      </c>
      <c r="I182" s="306">
        <v>18.02</v>
      </c>
      <c r="J182" s="306">
        <v>300.61</v>
      </c>
      <c r="K182" s="306">
        <v>49.62</v>
      </c>
      <c r="L182" s="306">
        <v>1196.6199999999999</v>
      </c>
      <c r="M182" s="304">
        <v>1000</v>
      </c>
      <c r="N182" s="304"/>
      <c r="O182" s="306">
        <v>3.6</v>
      </c>
      <c r="P182" s="306">
        <v>4.4000000000000004</v>
      </c>
      <c r="Q182" s="306">
        <v>37.79</v>
      </c>
      <c r="R182" s="306">
        <v>2.13</v>
      </c>
      <c r="S182" s="306">
        <v>2.2599999999999998</v>
      </c>
      <c r="T182" s="305">
        <v>957.221</v>
      </c>
      <c r="U182" s="305">
        <v>955.43399999999997</v>
      </c>
      <c r="V182" s="306">
        <v>0</v>
      </c>
      <c r="W182" s="306" t="s">
        <v>1999</v>
      </c>
      <c r="X182" s="306">
        <v>600</v>
      </c>
      <c r="Y182" s="306">
        <f t="shared" ref="Y182:Y191" si="90">IFERROR(IF(X182&lt;=600,(PI()*0.72*0.72/4-PI()*0.6*0.6/4)*(C182-AB182)+(1.3*1.3-1.1*1.1)*1.6,IF(X182=800,(PI()*0.72*0.72/4-PI()*0.6*0.6/4)*(C182-AB182)+(1.5*1.5-1.1*1.1)*1.6,IF(X182=1000,(PI()*0.72*0.72/4-PI()*0.6*0.6/4)*(C182-AB182)+(1.94*1.94-1.5*1.5)*2.25,IF(X182=1200,(PI()*0.72*0.72/4-PI()*0.6*0.6/4)*(C182-AB182)+(-1.8*1.8+2.14*2.14)*2.25,IF(X182=1500,(PI()*0.72*0.72/4-PI()*0.6*0.6/4)*(C182-AB182)+(-2.2*2.2+2.44*2.44)*2.65,0))))),0)</f>
        <v>1.2377610928542147</v>
      </c>
      <c r="Z182" s="306">
        <f t="shared" si="77"/>
        <v>6.1730787678565715</v>
      </c>
      <c r="AA182" s="306" t="s">
        <v>2382</v>
      </c>
      <c r="AB182" s="305">
        <v>955.57</v>
      </c>
      <c r="AC182" s="305"/>
      <c r="AD182" s="305"/>
      <c r="AE182" s="308" t="str">
        <f t="shared" si="78"/>
        <v>PV7.3</v>
      </c>
      <c r="AF182" s="309">
        <f t="shared" si="79"/>
        <v>0</v>
      </c>
      <c r="AG182" s="309">
        <f t="shared" si="80"/>
        <v>0</v>
      </c>
      <c r="AH182" s="309">
        <f t="shared" si="81"/>
        <v>1</v>
      </c>
      <c r="AI182" s="309">
        <f t="shared" si="82"/>
        <v>0</v>
      </c>
      <c r="AJ182" s="309">
        <f t="shared" si="83"/>
        <v>0</v>
      </c>
      <c r="AK182" s="309">
        <f t="shared" si="84"/>
        <v>0</v>
      </c>
      <c r="AL182" s="309">
        <f t="shared" si="85"/>
        <v>0</v>
      </c>
      <c r="AM182" s="309">
        <f t="shared" si="86"/>
        <v>0</v>
      </c>
      <c r="AN182" s="309">
        <f t="shared" si="87"/>
        <v>0</v>
      </c>
      <c r="AO182" s="292"/>
      <c r="AP182" s="292"/>
      <c r="AQ182" s="310" t="str">
        <f t="shared" si="88"/>
        <v>ASFALTO</v>
      </c>
    </row>
    <row r="183" spans="2:43" s="271" customFormat="1" x14ac:dyDescent="0.25">
      <c r="B183" s="304" t="s">
        <v>2383</v>
      </c>
      <c r="C183" s="305">
        <v>957.69600000000003</v>
      </c>
      <c r="D183" s="305">
        <v>956.024</v>
      </c>
      <c r="E183" s="305">
        <v>0.90400000000000003</v>
      </c>
      <c r="F183" s="305">
        <v>6.5910000000000002</v>
      </c>
      <c r="G183" s="305">
        <v>0.7</v>
      </c>
      <c r="H183" s="305">
        <v>1.4999999999999999E-2</v>
      </c>
      <c r="I183" s="306">
        <v>18.21</v>
      </c>
      <c r="J183" s="306">
        <v>299.02999999999997</v>
      </c>
      <c r="K183" s="306">
        <v>47.4</v>
      </c>
      <c r="L183" s="306">
        <v>1379.56</v>
      </c>
      <c r="M183" s="304">
        <v>1000</v>
      </c>
      <c r="N183" s="304"/>
      <c r="O183" s="306">
        <v>3.37</v>
      </c>
      <c r="P183" s="306">
        <v>4.46</v>
      </c>
      <c r="Q183" s="306">
        <v>41.6</v>
      </c>
      <c r="R183" s="306">
        <v>2.2599999999999998</v>
      </c>
      <c r="S183" s="306">
        <v>2.1800000000000002</v>
      </c>
      <c r="T183" s="305">
        <v>955.43399999999997</v>
      </c>
      <c r="U183" s="305">
        <v>953.83900000000006</v>
      </c>
      <c r="V183" s="306">
        <v>0</v>
      </c>
      <c r="W183" s="306" t="s">
        <v>1999</v>
      </c>
      <c r="X183" s="306">
        <v>800</v>
      </c>
      <c r="Y183" s="306">
        <f t="shared" si="90"/>
        <v>2.2395071015740493</v>
      </c>
      <c r="Z183" s="306">
        <f t="shared" si="77"/>
        <v>10.483369021322996</v>
      </c>
      <c r="AA183" s="306" t="s">
        <v>2384</v>
      </c>
      <c r="AB183" s="305">
        <v>953.07</v>
      </c>
      <c r="AC183" s="305"/>
      <c r="AD183" s="305"/>
      <c r="AE183" s="308" t="str">
        <f t="shared" si="78"/>
        <v>PV8.3</v>
      </c>
      <c r="AF183" s="309">
        <f t="shared" si="79"/>
        <v>0</v>
      </c>
      <c r="AG183" s="309">
        <f t="shared" si="80"/>
        <v>0</v>
      </c>
      <c r="AH183" s="309">
        <f t="shared" si="81"/>
        <v>1</v>
      </c>
      <c r="AI183" s="309">
        <f t="shared" si="82"/>
        <v>0</v>
      </c>
      <c r="AJ183" s="309">
        <f t="shared" si="83"/>
        <v>0</v>
      </c>
      <c r="AK183" s="309">
        <f t="shared" si="84"/>
        <v>0</v>
      </c>
      <c r="AL183" s="309">
        <f t="shared" si="85"/>
        <v>0</v>
      </c>
      <c r="AM183" s="309">
        <f t="shared" si="86"/>
        <v>0</v>
      </c>
      <c r="AN183" s="309">
        <f t="shared" si="87"/>
        <v>0</v>
      </c>
      <c r="AO183" s="292"/>
      <c r="AP183" s="292"/>
      <c r="AQ183" s="310" t="str">
        <f t="shared" si="88"/>
        <v>ASFALTO</v>
      </c>
    </row>
    <row r="184" spans="2:43" s="271" customFormat="1" x14ac:dyDescent="0.25">
      <c r="B184" s="304" t="s">
        <v>2385</v>
      </c>
      <c r="C184" s="305">
        <v>956.024</v>
      </c>
      <c r="D184" s="305">
        <v>954.02499999999998</v>
      </c>
      <c r="E184" s="305">
        <v>0.79900000000000004</v>
      </c>
      <c r="F184" s="305">
        <v>7.39</v>
      </c>
      <c r="G184" s="305">
        <v>0.7</v>
      </c>
      <c r="H184" s="305">
        <v>1.4999999999999999E-2</v>
      </c>
      <c r="I184" s="306">
        <v>18.39</v>
      </c>
      <c r="J184" s="306">
        <v>297.56</v>
      </c>
      <c r="K184" s="306">
        <v>51.09</v>
      </c>
      <c r="L184" s="306">
        <v>1539.28</v>
      </c>
      <c r="M184" s="304">
        <v>1000</v>
      </c>
      <c r="N184" s="304"/>
      <c r="O184" s="306">
        <v>3.9</v>
      </c>
      <c r="P184" s="306">
        <v>4.8499999999999996</v>
      </c>
      <c r="Q184" s="306">
        <v>42.45</v>
      </c>
      <c r="R184" s="306">
        <v>2.1800000000000002</v>
      </c>
      <c r="S184" s="306">
        <v>2.1800000000000002</v>
      </c>
      <c r="T184" s="305">
        <v>953.83900000000006</v>
      </c>
      <c r="U184" s="305">
        <v>951.84799999999996</v>
      </c>
      <c r="V184" s="306">
        <v>0.23</v>
      </c>
      <c r="W184" s="306" t="s">
        <v>1999</v>
      </c>
      <c r="X184" s="306">
        <v>800</v>
      </c>
      <c r="Y184" s="306">
        <f t="shared" si="90"/>
        <v>2.1086308648996193</v>
      </c>
      <c r="Z184" s="306">
        <f t="shared" si="77"/>
        <v>11.29947939450194</v>
      </c>
      <c r="AA184" s="306" t="s">
        <v>2386</v>
      </c>
      <c r="AB184" s="305">
        <v>952.45</v>
      </c>
      <c r="AC184" s="305"/>
      <c r="AD184" s="305"/>
      <c r="AE184" s="308" t="str">
        <f t="shared" si="78"/>
        <v>PV9.3</v>
      </c>
      <c r="AF184" s="309">
        <f t="shared" si="79"/>
        <v>0</v>
      </c>
      <c r="AG184" s="309">
        <f t="shared" si="80"/>
        <v>0</v>
      </c>
      <c r="AH184" s="309">
        <f t="shared" si="81"/>
        <v>1</v>
      </c>
      <c r="AI184" s="309">
        <f t="shared" si="82"/>
        <v>0</v>
      </c>
      <c r="AJ184" s="309">
        <f t="shared" si="83"/>
        <v>0</v>
      </c>
      <c r="AK184" s="309">
        <f t="shared" si="84"/>
        <v>0</v>
      </c>
      <c r="AL184" s="309">
        <f t="shared" si="85"/>
        <v>0</v>
      </c>
      <c r="AM184" s="309">
        <f t="shared" si="86"/>
        <v>0</v>
      </c>
      <c r="AN184" s="309">
        <f t="shared" si="87"/>
        <v>0</v>
      </c>
      <c r="AO184" s="292"/>
      <c r="AP184" s="292"/>
      <c r="AQ184" s="310" t="str">
        <f t="shared" si="88"/>
        <v>ASFALTO</v>
      </c>
    </row>
    <row r="185" spans="2:43" s="271" customFormat="1" x14ac:dyDescent="0.25">
      <c r="B185" s="304" t="s">
        <v>2387</v>
      </c>
      <c r="C185" s="305">
        <v>954.02499999999998</v>
      </c>
      <c r="D185" s="305">
        <v>952.55</v>
      </c>
      <c r="E185" s="305">
        <v>0.70299999999999996</v>
      </c>
      <c r="F185" s="305">
        <v>8.093</v>
      </c>
      <c r="G185" s="305">
        <v>0.7</v>
      </c>
      <c r="H185" s="305">
        <v>1.4999999999999999E-2</v>
      </c>
      <c r="I185" s="306">
        <v>18.559999999999999</v>
      </c>
      <c r="J185" s="306">
        <v>296.12</v>
      </c>
      <c r="K185" s="306">
        <v>47.6</v>
      </c>
      <c r="L185" s="306">
        <v>1677.6</v>
      </c>
      <c r="M185" s="304">
        <v>1200</v>
      </c>
      <c r="N185" s="304"/>
      <c r="O185" s="306">
        <v>3.19</v>
      </c>
      <c r="P185" s="306">
        <v>4.57</v>
      </c>
      <c r="Q185" s="306">
        <v>36.049999999999997</v>
      </c>
      <c r="R185" s="306">
        <v>2.41</v>
      </c>
      <c r="S185" s="306">
        <v>2.4500000000000002</v>
      </c>
      <c r="T185" s="305">
        <v>951.61800000000005</v>
      </c>
      <c r="U185" s="305">
        <v>950.09900000000005</v>
      </c>
      <c r="V185" s="306">
        <v>0</v>
      </c>
      <c r="W185" s="306" t="s">
        <v>1999</v>
      </c>
      <c r="X185" s="306">
        <v>800</v>
      </c>
      <c r="Y185" s="306">
        <f t="shared" si="90"/>
        <v>2.0266466063744795</v>
      </c>
      <c r="Z185" s="306">
        <f t="shared" si="77"/>
        <v>10.527602645885542</v>
      </c>
      <c r="AA185" s="306" t="s">
        <v>2388</v>
      </c>
      <c r="AB185" s="305">
        <v>951.11</v>
      </c>
      <c r="AC185" s="305"/>
      <c r="AD185" s="305"/>
      <c r="AE185" s="308" t="str">
        <f t="shared" si="78"/>
        <v>PV10.3</v>
      </c>
      <c r="AF185" s="309">
        <f t="shared" si="79"/>
        <v>0</v>
      </c>
      <c r="AG185" s="309">
        <f t="shared" si="80"/>
        <v>0</v>
      </c>
      <c r="AH185" s="309">
        <f t="shared" si="81"/>
        <v>0</v>
      </c>
      <c r="AI185" s="309">
        <f t="shared" si="82"/>
        <v>1</v>
      </c>
      <c r="AJ185" s="309">
        <f t="shared" si="83"/>
        <v>0</v>
      </c>
      <c r="AK185" s="309">
        <f t="shared" si="84"/>
        <v>0</v>
      </c>
      <c r="AL185" s="309">
        <f t="shared" si="85"/>
        <v>0</v>
      </c>
      <c r="AM185" s="309">
        <f t="shared" si="86"/>
        <v>0</v>
      </c>
      <c r="AN185" s="309">
        <f t="shared" si="87"/>
        <v>0</v>
      </c>
      <c r="AO185" s="292"/>
      <c r="AP185" s="292"/>
      <c r="AQ185" s="310" t="str">
        <f t="shared" si="88"/>
        <v>ASFALTO</v>
      </c>
    </row>
    <row r="186" spans="2:43" s="271" customFormat="1" x14ac:dyDescent="0.25">
      <c r="B186" s="304" t="s">
        <v>2389</v>
      </c>
      <c r="C186" s="305">
        <v>952.55</v>
      </c>
      <c r="D186" s="305">
        <v>951.428</v>
      </c>
      <c r="E186" s="305">
        <v>0.75700000000000001</v>
      </c>
      <c r="F186" s="305">
        <v>8.85</v>
      </c>
      <c r="G186" s="305">
        <v>0.7</v>
      </c>
      <c r="H186" s="305">
        <v>1.4999999999999999E-2</v>
      </c>
      <c r="I186" s="306">
        <v>18.739999999999998</v>
      </c>
      <c r="J186" s="306">
        <v>294.70999999999998</v>
      </c>
      <c r="K186" s="306">
        <v>48.55</v>
      </c>
      <c r="L186" s="306">
        <v>1825.73</v>
      </c>
      <c r="M186" s="304">
        <v>1200</v>
      </c>
      <c r="N186" s="304"/>
      <c r="O186" s="306">
        <v>3.01</v>
      </c>
      <c r="P186" s="306">
        <v>4.58</v>
      </c>
      <c r="Q186" s="306">
        <v>38.32</v>
      </c>
      <c r="R186" s="306">
        <v>2.4500000000000002</v>
      </c>
      <c r="S186" s="306">
        <v>2.79</v>
      </c>
      <c r="T186" s="305">
        <v>950.09900000000005</v>
      </c>
      <c r="U186" s="305">
        <v>948.63900000000001</v>
      </c>
      <c r="V186" s="306">
        <v>0.3</v>
      </c>
      <c r="W186" s="306" t="s">
        <v>1999</v>
      </c>
      <c r="X186" s="306">
        <v>800</v>
      </c>
      <c r="Y186" s="306">
        <f t="shared" si="90"/>
        <v>2.0471737727730304</v>
      </c>
      <c r="Z186" s="306">
        <f t="shared" si="77"/>
        <v>10.737712362557627</v>
      </c>
      <c r="AA186" s="306" t="s">
        <v>2390</v>
      </c>
      <c r="AB186" s="305">
        <v>949.47</v>
      </c>
      <c r="AC186" s="305"/>
      <c r="AD186" s="305"/>
      <c r="AE186" s="308" t="str">
        <f t="shared" si="78"/>
        <v>PV11.3</v>
      </c>
      <c r="AF186" s="309">
        <f t="shared" si="79"/>
        <v>0</v>
      </c>
      <c r="AG186" s="309">
        <f t="shared" si="80"/>
        <v>0</v>
      </c>
      <c r="AH186" s="309">
        <f t="shared" si="81"/>
        <v>0</v>
      </c>
      <c r="AI186" s="309">
        <f t="shared" si="82"/>
        <v>1</v>
      </c>
      <c r="AJ186" s="309">
        <f t="shared" si="83"/>
        <v>0</v>
      </c>
      <c r="AK186" s="309">
        <f t="shared" si="84"/>
        <v>0</v>
      </c>
      <c r="AL186" s="309">
        <f t="shared" si="85"/>
        <v>0</v>
      </c>
      <c r="AM186" s="309">
        <f t="shared" si="86"/>
        <v>0</v>
      </c>
      <c r="AN186" s="309">
        <f t="shared" si="87"/>
        <v>0</v>
      </c>
      <c r="AO186" s="292"/>
      <c r="AP186" s="292"/>
      <c r="AQ186" s="310" t="str">
        <f t="shared" si="88"/>
        <v>ASFALTO</v>
      </c>
    </row>
    <row r="187" spans="2:43" s="271" customFormat="1" x14ac:dyDescent="0.25">
      <c r="B187" s="304" t="s">
        <v>2391</v>
      </c>
      <c r="C187" s="305">
        <v>951.428</v>
      </c>
      <c r="D187" s="305">
        <v>950.87400000000002</v>
      </c>
      <c r="E187" s="305">
        <v>0.72</v>
      </c>
      <c r="F187" s="305">
        <v>9.57</v>
      </c>
      <c r="G187" s="305">
        <v>0.7</v>
      </c>
      <c r="H187" s="305">
        <v>1.4999999999999999E-2</v>
      </c>
      <c r="I187" s="306">
        <v>18.91</v>
      </c>
      <c r="J187" s="306">
        <v>293.29000000000002</v>
      </c>
      <c r="K187" s="306">
        <v>49.91</v>
      </c>
      <c r="L187" s="306">
        <v>1964.77</v>
      </c>
      <c r="M187" s="304">
        <v>1500</v>
      </c>
      <c r="N187" s="304"/>
      <c r="O187" s="306">
        <v>0.5</v>
      </c>
      <c r="P187" s="306">
        <v>2.39</v>
      </c>
      <c r="Q187" s="306">
        <v>47.21</v>
      </c>
      <c r="R187" s="306">
        <v>3.09</v>
      </c>
      <c r="S187" s="306">
        <v>2.79</v>
      </c>
      <c r="T187" s="305">
        <v>948.33900000000006</v>
      </c>
      <c r="U187" s="305">
        <v>948.08799999999997</v>
      </c>
      <c r="V187" s="306">
        <v>0</v>
      </c>
      <c r="W187" s="306" t="s">
        <v>1999</v>
      </c>
      <c r="X187" s="306">
        <v>800</v>
      </c>
      <c r="Y187" s="306">
        <f t="shared" si="90"/>
        <v>2.0444368172532315</v>
      </c>
      <c r="Z187" s="306">
        <f t="shared" si="77"/>
        <v>11.038501009582928</v>
      </c>
      <c r="AA187" s="306" t="s">
        <v>2392</v>
      </c>
      <c r="AB187" s="305">
        <v>948.37</v>
      </c>
      <c r="AC187" s="305"/>
      <c r="AD187" s="305"/>
      <c r="AE187" s="308" t="str">
        <f t="shared" si="78"/>
        <v>PV12.3</v>
      </c>
      <c r="AF187" s="309">
        <f t="shared" si="79"/>
        <v>0</v>
      </c>
      <c r="AG187" s="309">
        <f t="shared" si="80"/>
        <v>0</v>
      </c>
      <c r="AH187" s="309">
        <f t="shared" si="81"/>
        <v>0</v>
      </c>
      <c r="AI187" s="309">
        <f t="shared" si="82"/>
        <v>0</v>
      </c>
      <c r="AJ187" s="309">
        <f t="shared" si="83"/>
        <v>1</v>
      </c>
      <c r="AK187" s="309">
        <f t="shared" si="84"/>
        <v>0</v>
      </c>
      <c r="AL187" s="309">
        <f t="shared" si="85"/>
        <v>0</v>
      </c>
      <c r="AM187" s="309">
        <f t="shared" si="86"/>
        <v>0</v>
      </c>
      <c r="AN187" s="309">
        <f t="shared" si="87"/>
        <v>0</v>
      </c>
      <c r="AO187" s="292"/>
      <c r="AP187" s="292"/>
      <c r="AQ187" s="310" t="str">
        <f t="shared" si="88"/>
        <v>ASFALTO</v>
      </c>
    </row>
    <row r="188" spans="2:43" s="271" customFormat="1" x14ac:dyDescent="0.25">
      <c r="B188" s="304" t="s">
        <v>2393</v>
      </c>
      <c r="C188" s="305">
        <v>950.87400000000002</v>
      </c>
      <c r="D188" s="305">
        <v>950.29100000000005</v>
      </c>
      <c r="E188" s="305">
        <v>0.39400000000000002</v>
      </c>
      <c r="F188" s="305">
        <v>9.9640000000000004</v>
      </c>
      <c r="G188" s="305">
        <v>0.7</v>
      </c>
      <c r="H188" s="305">
        <v>1.4999999999999999E-2</v>
      </c>
      <c r="I188" s="306">
        <v>19.260000000000002</v>
      </c>
      <c r="J188" s="306">
        <v>290.54000000000002</v>
      </c>
      <c r="K188" s="306">
        <v>53.91</v>
      </c>
      <c r="L188" s="306">
        <v>2026.56</v>
      </c>
      <c r="M188" s="304">
        <v>1500</v>
      </c>
      <c r="N188" s="304"/>
      <c r="O188" s="306">
        <v>1.29</v>
      </c>
      <c r="P188" s="306">
        <v>3.42</v>
      </c>
      <c r="Q188" s="306">
        <v>36.93</v>
      </c>
      <c r="R188" s="306">
        <v>2.79</v>
      </c>
      <c r="S188" s="306">
        <v>2.9</v>
      </c>
      <c r="T188" s="305">
        <v>948.08799999999997</v>
      </c>
      <c r="U188" s="305">
        <v>947.39099999999996</v>
      </c>
      <c r="V188" s="306">
        <v>1.46</v>
      </c>
      <c r="W188" s="306" t="s">
        <v>1999</v>
      </c>
      <c r="X188" s="306">
        <v>1000</v>
      </c>
      <c r="Y188" s="306">
        <f t="shared" si="90"/>
        <v>3.8688919252619538</v>
      </c>
      <c r="Z188" s="306">
        <f t="shared" si="77"/>
        <v>18.629958595052834</v>
      </c>
      <c r="AA188" s="306" t="s">
        <v>2394</v>
      </c>
      <c r="AB188" s="305">
        <v>947.15</v>
      </c>
      <c r="AC188" s="305"/>
      <c r="AD188" s="305"/>
      <c r="AE188" s="308" t="str">
        <f t="shared" si="78"/>
        <v>PV13.3</v>
      </c>
      <c r="AF188" s="309">
        <f t="shared" si="79"/>
        <v>0</v>
      </c>
      <c r="AG188" s="309">
        <f t="shared" si="80"/>
        <v>0</v>
      </c>
      <c r="AH188" s="309">
        <f t="shared" si="81"/>
        <v>0</v>
      </c>
      <c r="AI188" s="309">
        <f t="shared" si="82"/>
        <v>0</v>
      </c>
      <c r="AJ188" s="309">
        <f t="shared" si="83"/>
        <v>1</v>
      </c>
      <c r="AK188" s="309">
        <f t="shared" si="84"/>
        <v>0</v>
      </c>
      <c r="AL188" s="309">
        <f t="shared" si="85"/>
        <v>0</v>
      </c>
      <c r="AM188" s="309">
        <f t="shared" si="86"/>
        <v>0</v>
      </c>
      <c r="AN188" s="309">
        <f t="shared" si="87"/>
        <v>0</v>
      </c>
      <c r="AO188" s="292"/>
      <c r="AP188" s="292"/>
      <c r="AQ188" s="310" t="str">
        <f t="shared" si="88"/>
        <v>ASFALTO</v>
      </c>
    </row>
    <row r="189" spans="2:43" s="271" customFormat="1" x14ac:dyDescent="0.25">
      <c r="B189" s="304" t="s">
        <v>2328</v>
      </c>
      <c r="C189" s="305">
        <v>950.29100000000005</v>
      </c>
      <c r="D189" s="305">
        <v>949.16099999999994</v>
      </c>
      <c r="E189" s="305">
        <v>1.04</v>
      </c>
      <c r="F189" s="305">
        <v>35.209000000000003</v>
      </c>
      <c r="G189" s="305">
        <v>0.7</v>
      </c>
      <c r="H189" s="305">
        <v>1.2999999999999999E-2</v>
      </c>
      <c r="I189" s="306">
        <v>20.12</v>
      </c>
      <c r="J189" s="306">
        <v>283.98</v>
      </c>
      <c r="K189" s="306">
        <v>60</v>
      </c>
      <c r="L189" s="306">
        <v>6998.96</v>
      </c>
      <c r="M189" s="304">
        <v>1650</v>
      </c>
      <c r="N189" s="304">
        <v>1650</v>
      </c>
      <c r="O189" s="306">
        <v>0.8</v>
      </c>
      <c r="P189" s="306">
        <v>4.2</v>
      </c>
      <c r="Q189" s="306">
        <v>62.71</v>
      </c>
      <c r="R189" s="306">
        <v>4.3600000000000003</v>
      </c>
      <c r="S189" s="306">
        <v>3.71</v>
      </c>
      <c r="T189" s="305">
        <v>945.928</v>
      </c>
      <c r="U189" s="305">
        <v>945.45100000000002</v>
      </c>
      <c r="V189" s="306">
        <v>0</v>
      </c>
      <c r="W189" s="306" t="s">
        <v>1999</v>
      </c>
      <c r="X189" s="306">
        <v>1650</v>
      </c>
      <c r="Y189" s="306">
        <f t="shared" si="90"/>
        <v>0</v>
      </c>
      <c r="Z189" s="306">
        <f t="shared" si="77"/>
        <v>0</v>
      </c>
      <c r="AA189" s="306" t="s">
        <v>2395</v>
      </c>
      <c r="AB189" s="305">
        <v>944.81</v>
      </c>
      <c r="AC189" s="305"/>
      <c r="AD189" s="305"/>
      <c r="AE189" s="308" t="str">
        <f t="shared" si="78"/>
        <v>PV26.1</v>
      </c>
      <c r="AF189" s="309">
        <f t="shared" si="79"/>
        <v>0</v>
      </c>
      <c r="AG189" s="309">
        <f t="shared" si="80"/>
        <v>0</v>
      </c>
      <c r="AH189" s="309">
        <f t="shared" si="81"/>
        <v>0</v>
      </c>
      <c r="AI189" s="309">
        <f t="shared" si="82"/>
        <v>0</v>
      </c>
      <c r="AJ189" s="309">
        <f t="shared" si="83"/>
        <v>0</v>
      </c>
      <c r="AK189" s="309">
        <f t="shared" si="84"/>
        <v>1</v>
      </c>
      <c r="AL189" s="309">
        <f t="shared" si="85"/>
        <v>0</v>
      </c>
      <c r="AM189" s="309">
        <f t="shared" si="86"/>
        <v>1</v>
      </c>
      <c r="AN189" s="309">
        <f t="shared" si="87"/>
        <v>0</v>
      </c>
      <c r="AO189" s="292"/>
      <c r="AP189" s="292"/>
      <c r="AQ189" s="310" t="str">
        <f t="shared" si="88"/>
        <v>ASFALTO</v>
      </c>
    </row>
    <row r="190" spans="2:43" s="271" customFormat="1" x14ac:dyDescent="0.25">
      <c r="B190" s="304" t="s">
        <v>2329</v>
      </c>
      <c r="C190" s="305">
        <v>949.16099999999994</v>
      </c>
      <c r="D190" s="305">
        <v>948.29899999999998</v>
      </c>
      <c r="E190" s="305">
        <v>0</v>
      </c>
      <c r="F190" s="305">
        <v>35.209000000000003</v>
      </c>
      <c r="G190" s="305">
        <v>0.7</v>
      </c>
      <c r="H190" s="305">
        <v>1.2999999999999999E-2</v>
      </c>
      <c r="I190" s="306">
        <v>20.36</v>
      </c>
      <c r="J190" s="306">
        <v>282.22000000000003</v>
      </c>
      <c r="K190" s="306">
        <v>52.38</v>
      </c>
      <c r="L190" s="306">
        <v>6955.6</v>
      </c>
      <c r="M190" s="304">
        <v>1650</v>
      </c>
      <c r="N190" s="304">
        <v>1650</v>
      </c>
      <c r="O190" s="306">
        <v>0.96</v>
      </c>
      <c r="P190" s="306">
        <v>4.51</v>
      </c>
      <c r="Q190" s="306">
        <v>58.07</v>
      </c>
      <c r="R190" s="306">
        <v>3.71</v>
      </c>
      <c r="S190" s="306">
        <v>3.35</v>
      </c>
      <c r="T190" s="305">
        <v>945.45100000000002</v>
      </c>
      <c r="U190" s="305">
        <v>944.94600000000003</v>
      </c>
      <c r="V190" s="306">
        <v>0</v>
      </c>
      <c r="W190" s="306" t="s">
        <v>2282</v>
      </c>
      <c r="X190" s="306">
        <v>1650</v>
      </c>
      <c r="Y190" s="306">
        <f t="shared" si="90"/>
        <v>0</v>
      </c>
      <c r="Z190" s="306">
        <f t="shared" si="77"/>
        <v>0</v>
      </c>
      <c r="AA190" s="306" t="s">
        <v>2396</v>
      </c>
      <c r="AB190" s="305">
        <v>944.84299999999996</v>
      </c>
      <c r="AC190" s="305"/>
      <c r="AD190" s="305"/>
      <c r="AE190" s="308" t="str">
        <f t="shared" si="78"/>
        <v>PV27.1</v>
      </c>
      <c r="AF190" s="309">
        <f t="shared" si="79"/>
        <v>0</v>
      </c>
      <c r="AG190" s="309">
        <f t="shared" si="80"/>
        <v>0</v>
      </c>
      <c r="AH190" s="309">
        <f t="shared" si="81"/>
        <v>0</v>
      </c>
      <c r="AI190" s="309">
        <f t="shared" si="82"/>
        <v>0</v>
      </c>
      <c r="AJ190" s="309">
        <f t="shared" si="83"/>
        <v>0</v>
      </c>
      <c r="AK190" s="309">
        <f t="shared" si="84"/>
        <v>1</v>
      </c>
      <c r="AL190" s="309">
        <f t="shared" si="85"/>
        <v>1</v>
      </c>
      <c r="AM190" s="309">
        <f t="shared" si="86"/>
        <v>0</v>
      </c>
      <c r="AN190" s="309">
        <f t="shared" si="87"/>
        <v>0</v>
      </c>
      <c r="AO190" s="292"/>
      <c r="AP190" s="292"/>
      <c r="AQ190" s="310" t="str">
        <f t="shared" si="88"/>
        <v>TERRENO NATURAL</v>
      </c>
    </row>
    <row r="191" spans="2:43" s="271" customFormat="1" x14ac:dyDescent="0.25">
      <c r="B191" s="304" t="s">
        <v>2397</v>
      </c>
      <c r="C191" s="305">
        <v>948.29899999999998</v>
      </c>
      <c r="D191" s="305">
        <v>946.94100000000003</v>
      </c>
      <c r="E191" s="305">
        <v>0</v>
      </c>
      <c r="F191" s="305">
        <v>35.209000000000003</v>
      </c>
      <c r="G191" s="305">
        <v>0.7</v>
      </c>
      <c r="H191" s="305">
        <v>1.2999999999999999E-2</v>
      </c>
      <c r="I191" s="306">
        <v>20.55</v>
      </c>
      <c r="J191" s="306">
        <v>280.81</v>
      </c>
      <c r="K191" s="306">
        <v>52.38</v>
      </c>
      <c r="L191" s="306">
        <v>6920.84</v>
      </c>
      <c r="M191" s="304">
        <v>1650</v>
      </c>
      <c r="N191" s="304">
        <v>1650</v>
      </c>
      <c r="O191" s="306">
        <v>0.96</v>
      </c>
      <c r="P191" s="306">
        <v>4.51</v>
      </c>
      <c r="Q191" s="306">
        <v>57.85</v>
      </c>
      <c r="R191" s="306">
        <v>3.35</v>
      </c>
      <c r="S191" s="306">
        <v>2.5</v>
      </c>
      <c r="T191" s="305">
        <v>944.94600000000003</v>
      </c>
      <c r="U191" s="305">
        <v>944.44100000000003</v>
      </c>
      <c r="V191" s="306">
        <v>0.19</v>
      </c>
      <c r="W191" s="306" t="s">
        <v>2282</v>
      </c>
      <c r="X191" s="306">
        <v>1200</v>
      </c>
      <c r="Y191" s="306">
        <f t="shared" si="90"/>
        <v>3.4938136583807919</v>
      </c>
      <c r="Z191" s="306">
        <f t="shared" si="77"/>
        <v>26.065769114093289</v>
      </c>
      <c r="AA191" s="306" t="s">
        <v>2398</v>
      </c>
      <c r="AB191" s="305">
        <v>944.44299999999998</v>
      </c>
      <c r="AC191" s="305"/>
      <c r="AD191" s="305"/>
      <c r="AE191" s="308" t="str">
        <f t="shared" si="78"/>
        <v>PV28.1</v>
      </c>
      <c r="AF191" s="309">
        <f t="shared" si="79"/>
        <v>0</v>
      </c>
      <c r="AG191" s="309">
        <f t="shared" si="80"/>
        <v>0</v>
      </c>
      <c r="AH191" s="309">
        <f t="shared" si="81"/>
        <v>0</v>
      </c>
      <c r="AI191" s="309">
        <f t="shared" si="82"/>
        <v>0</v>
      </c>
      <c r="AJ191" s="309">
        <f t="shared" si="83"/>
        <v>0</v>
      </c>
      <c r="AK191" s="309">
        <f t="shared" si="84"/>
        <v>1</v>
      </c>
      <c r="AL191" s="309">
        <f t="shared" si="85"/>
        <v>1</v>
      </c>
      <c r="AM191" s="309">
        <f t="shared" si="86"/>
        <v>0</v>
      </c>
      <c r="AN191" s="309">
        <f t="shared" si="87"/>
        <v>0</v>
      </c>
      <c r="AO191" s="292"/>
      <c r="AP191" s="292"/>
      <c r="AQ191" s="310" t="str">
        <f t="shared" si="88"/>
        <v>TERRENO NATURAL</v>
      </c>
    </row>
    <row r="192" spans="2:43" s="271" customFormat="1" x14ac:dyDescent="0.25">
      <c r="B192" s="304" t="s">
        <v>2399</v>
      </c>
      <c r="C192" s="305">
        <v>946.94100000000003</v>
      </c>
      <c r="D192" s="305">
        <v>945.88</v>
      </c>
      <c r="E192" s="305">
        <v>0</v>
      </c>
      <c r="F192" s="305">
        <v>35.209000000000003</v>
      </c>
      <c r="G192" s="305">
        <v>0.7</v>
      </c>
      <c r="H192" s="305">
        <v>1.2999999999999999E-2</v>
      </c>
      <c r="I192" s="306">
        <v>20.75</v>
      </c>
      <c r="J192" s="306">
        <v>279.41000000000003</v>
      </c>
      <c r="K192" s="306">
        <v>32.72</v>
      </c>
      <c r="L192" s="306">
        <v>6886.42</v>
      </c>
      <c r="M192" s="304">
        <v>1650</v>
      </c>
      <c r="N192" s="304">
        <v>1650</v>
      </c>
      <c r="O192" s="306">
        <v>1.91</v>
      </c>
      <c r="P192" s="306">
        <v>5.84</v>
      </c>
      <c r="Q192" s="306">
        <v>44.74</v>
      </c>
      <c r="R192" s="306">
        <v>2.69</v>
      </c>
      <c r="S192" s="306">
        <v>2.25</v>
      </c>
      <c r="T192" s="305">
        <v>944.25099999999998</v>
      </c>
      <c r="U192" s="305">
        <v>943.62599999999998</v>
      </c>
      <c r="V192" s="306">
        <v>0</v>
      </c>
      <c r="W192" s="306" t="s">
        <v>2282</v>
      </c>
      <c r="X192" s="306">
        <v>1200</v>
      </c>
      <c r="Y192" s="306"/>
      <c r="Z192" s="306">
        <f t="shared" si="77"/>
        <v>16.282397201472552</v>
      </c>
      <c r="AA192" s="306"/>
      <c r="AB192" s="305"/>
      <c r="AC192" s="305"/>
      <c r="AD192" s="305"/>
      <c r="AE192" s="308" t="str">
        <f t="shared" si="78"/>
        <v>PV29.1</v>
      </c>
      <c r="AF192" s="309">
        <f t="shared" si="79"/>
        <v>0</v>
      </c>
      <c r="AG192" s="309">
        <f t="shared" si="80"/>
        <v>0</v>
      </c>
      <c r="AH192" s="309">
        <f t="shared" si="81"/>
        <v>0</v>
      </c>
      <c r="AI192" s="309">
        <f t="shared" si="82"/>
        <v>0</v>
      </c>
      <c r="AJ192" s="309">
        <f t="shared" si="83"/>
        <v>0</v>
      </c>
      <c r="AK192" s="309">
        <f t="shared" si="84"/>
        <v>1</v>
      </c>
      <c r="AL192" s="309">
        <f t="shared" si="85"/>
        <v>1</v>
      </c>
      <c r="AM192" s="309">
        <f t="shared" si="86"/>
        <v>0</v>
      </c>
      <c r="AN192" s="309">
        <f t="shared" si="87"/>
        <v>0</v>
      </c>
      <c r="AO192" s="292"/>
      <c r="AP192" s="292"/>
      <c r="AQ192" s="310" t="str">
        <f t="shared" si="88"/>
        <v>TERRENO NATURAL</v>
      </c>
    </row>
    <row r="193" spans="2:43" s="271" customFormat="1" x14ac:dyDescent="0.25">
      <c r="B193" s="304" t="s">
        <v>2400</v>
      </c>
      <c r="C193" s="305">
        <v>945.88</v>
      </c>
      <c r="D193" s="305">
        <v>945</v>
      </c>
      <c r="E193" s="305">
        <v>0</v>
      </c>
      <c r="F193" s="305">
        <v>35.209000000000003</v>
      </c>
      <c r="G193" s="305">
        <v>0.7</v>
      </c>
      <c r="H193" s="305">
        <v>1.2999999999999999E-2</v>
      </c>
      <c r="I193" s="306">
        <v>20.84</v>
      </c>
      <c r="J193" s="306">
        <v>278.75</v>
      </c>
      <c r="K193" s="306">
        <v>32.72</v>
      </c>
      <c r="L193" s="306">
        <v>6869.97</v>
      </c>
      <c r="M193" s="304">
        <v>1650</v>
      </c>
      <c r="N193" s="304">
        <v>1650</v>
      </c>
      <c r="O193" s="306">
        <v>1.91</v>
      </c>
      <c r="P193" s="306">
        <v>5.84</v>
      </c>
      <c r="Q193" s="306">
        <v>44.67</v>
      </c>
      <c r="R193" s="306">
        <v>2.25</v>
      </c>
      <c r="S193" s="306">
        <v>2</v>
      </c>
      <c r="T193" s="305">
        <v>943.62599999999998</v>
      </c>
      <c r="U193" s="305">
        <v>943</v>
      </c>
      <c r="V193" s="306">
        <v>0.06</v>
      </c>
      <c r="W193" s="306" t="s">
        <v>2282</v>
      </c>
      <c r="X193" s="306">
        <v>1200</v>
      </c>
      <c r="Y193" s="306"/>
      <c r="Z193" s="306">
        <f t="shared" si="77"/>
        <v>16.282397201472552</v>
      </c>
      <c r="AA193" s="306"/>
      <c r="AB193" s="305"/>
      <c r="AC193" s="305"/>
      <c r="AD193" s="305"/>
      <c r="AE193" s="308" t="str">
        <f t="shared" si="78"/>
        <v>PV30.1</v>
      </c>
      <c r="AF193" s="309">
        <f t="shared" si="79"/>
        <v>0</v>
      </c>
      <c r="AG193" s="309">
        <f t="shared" si="80"/>
        <v>0</v>
      </c>
      <c r="AH193" s="309">
        <f t="shared" si="81"/>
        <v>0</v>
      </c>
      <c r="AI193" s="309">
        <f t="shared" si="82"/>
        <v>0</v>
      </c>
      <c r="AJ193" s="309">
        <f t="shared" si="83"/>
        <v>0</v>
      </c>
      <c r="AK193" s="309">
        <f t="shared" si="84"/>
        <v>1</v>
      </c>
      <c r="AL193" s="309">
        <f t="shared" si="85"/>
        <v>1</v>
      </c>
      <c r="AM193" s="309">
        <f t="shared" si="86"/>
        <v>0</v>
      </c>
      <c r="AN193" s="309">
        <f t="shared" si="87"/>
        <v>0</v>
      </c>
      <c r="AO193" s="292"/>
      <c r="AP193" s="292"/>
      <c r="AQ193" s="310" t="str">
        <f t="shared" si="88"/>
        <v>TERRENO NATURAL</v>
      </c>
    </row>
    <row r="194" spans="2:43" s="271" customFormat="1" x14ac:dyDescent="0.25">
      <c r="B194" s="304" t="s">
        <v>2401</v>
      </c>
      <c r="C194" s="305">
        <v>945</v>
      </c>
      <c r="D194" s="305">
        <v>945.10199999999998</v>
      </c>
      <c r="E194" s="305">
        <v>0</v>
      </c>
      <c r="F194" s="305">
        <v>35.209000000000003</v>
      </c>
      <c r="G194" s="305">
        <v>0.7</v>
      </c>
      <c r="H194" s="305">
        <v>1.2999999999999999E-2</v>
      </c>
      <c r="I194" s="306">
        <v>20.93</v>
      </c>
      <c r="J194" s="306">
        <v>278.08</v>
      </c>
      <c r="K194" s="306">
        <v>31.86</v>
      </c>
      <c r="L194" s="306">
        <v>6853.59</v>
      </c>
      <c r="M194" s="304">
        <v>1650</v>
      </c>
      <c r="N194" s="304">
        <v>1650</v>
      </c>
      <c r="O194" s="306">
        <v>0.31</v>
      </c>
      <c r="P194" s="306">
        <v>2.9</v>
      </c>
      <c r="Q194" s="306">
        <v>74.790000000000006</v>
      </c>
      <c r="R194" s="306">
        <v>2.06</v>
      </c>
      <c r="S194" s="306">
        <v>2.2599999999999998</v>
      </c>
      <c r="T194" s="305">
        <v>942.94</v>
      </c>
      <c r="U194" s="305">
        <v>942.84199999999998</v>
      </c>
      <c r="V194" s="306">
        <v>0</v>
      </c>
      <c r="W194" s="306" t="s">
        <v>2282</v>
      </c>
      <c r="X194" s="306" t="s">
        <v>2254</v>
      </c>
      <c r="Y194" s="306">
        <f>IFERROR(IF(X194&lt;=600,(PI()*0.72*0.72/4-PI()*0.6*0.6/4)*(C194-AB194)+(1.3*1.3-1.1*1.1)*1.6,IF(X194=800,(PI()*0.72*0.72/4-PI()*0.6*0.6/4)*(C194-AB194)+(1.5*1.5-1.1*1.1)*1.6,IF(X194=1000,(PI()*0.72*0.72/4-PI()*0.6*0.6/4)*(C194-AB194)+(1.94*1.94-1.5*1.5)*2.25,IF(X194=1200,(PI()*0.72*0.72/4-PI()*0.6*0.6/4)*(C194-AB194)+(-1.8*1.8+2.14*2.14)*2.25,IF(X194=1500,(PI()*0.72*0.72/4-PI()*0.6*0.6/4)*(C194-AB194)+(-2.2*2.2+2.44*2.44)*2.65,0))))),0)</f>
        <v>0</v>
      </c>
      <c r="Z194" s="306">
        <f t="shared" si="77"/>
        <v>0</v>
      </c>
      <c r="AA194" s="306" t="s">
        <v>2254</v>
      </c>
      <c r="AB194" s="305" t="s">
        <v>2254</v>
      </c>
      <c r="AC194" s="305"/>
      <c r="AD194" s="305"/>
      <c r="AE194" s="308" t="str">
        <f t="shared" si="78"/>
        <v>PV31.1</v>
      </c>
      <c r="AF194" s="309">
        <f t="shared" si="79"/>
        <v>0</v>
      </c>
      <c r="AG194" s="309">
        <f t="shared" si="80"/>
        <v>0</v>
      </c>
      <c r="AH194" s="309">
        <f t="shared" si="81"/>
        <v>0</v>
      </c>
      <c r="AI194" s="309">
        <f t="shared" si="82"/>
        <v>0</v>
      </c>
      <c r="AJ194" s="309">
        <f t="shared" si="83"/>
        <v>0</v>
      </c>
      <c r="AK194" s="309">
        <f t="shared" si="84"/>
        <v>1</v>
      </c>
      <c r="AL194" s="309">
        <f t="shared" si="85"/>
        <v>1</v>
      </c>
      <c r="AM194" s="309">
        <f t="shared" si="86"/>
        <v>0</v>
      </c>
      <c r="AN194" s="309">
        <f t="shared" si="87"/>
        <v>0</v>
      </c>
      <c r="AO194" s="292"/>
      <c r="AP194" s="292"/>
      <c r="AQ194" s="310" t="str">
        <f t="shared" si="88"/>
        <v>TERRENO NATURAL</v>
      </c>
    </row>
    <row r="195" spans="2:43" s="271" customFormat="1" ht="13" x14ac:dyDescent="0.3">
      <c r="B195" s="320" t="s">
        <v>1414</v>
      </c>
      <c r="C195" s="321"/>
      <c r="D195" s="321"/>
      <c r="E195" s="321"/>
      <c r="F195" s="321"/>
      <c r="G195" s="321"/>
      <c r="H195" s="321"/>
      <c r="I195" s="321"/>
      <c r="J195" s="321"/>
      <c r="K195" s="321"/>
      <c r="L195" s="321"/>
      <c r="M195" s="321"/>
      <c r="N195" s="321"/>
      <c r="O195" s="321"/>
      <c r="P195" s="321"/>
      <c r="Q195" s="321"/>
      <c r="R195" s="321"/>
      <c r="S195" s="321"/>
      <c r="T195" s="321"/>
      <c r="U195" s="321"/>
      <c r="V195" s="321"/>
      <c r="W195" s="322"/>
      <c r="X195" s="323"/>
      <c r="Y195" s="323"/>
      <c r="Z195" s="323"/>
      <c r="AA195" s="323"/>
      <c r="AB195" s="323"/>
      <c r="AC195" s="323"/>
      <c r="AD195" s="323"/>
      <c r="AE195" s="321"/>
      <c r="AF195" s="321"/>
      <c r="AG195" s="321"/>
      <c r="AH195" s="321"/>
      <c r="AI195" s="321"/>
      <c r="AJ195" s="321"/>
      <c r="AK195" s="321"/>
      <c r="AL195" s="321"/>
      <c r="AM195" s="321"/>
      <c r="AN195" s="321"/>
      <c r="AO195" s="292"/>
      <c r="AP195" s="292"/>
      <c r="AQ195" s="292"/>
    </row>
    <row r="196" spans="2:43" s="271" customFormat="1" x14ac:dyDescent="0.25">
      <c r="B196" s="304" t="s">
        <v>2251</v>
      </c>
      <c r="C196" s="305">
        <v>942.8</v>
      </c>
      <c r="D196" s="305">
        <v>942.85500000000002</v>
      </c>
      <c r="E196" s="305">
        <v>3.536</v>
      </c>
      <c r="F196" s="305">
        <v>3.536</v>
      </c>
      <c r="G196" s="305">
        <v>0.7</v>
      </c>
      <c r="H196" s="305">
        <v>1.4999999999999999E-2</v>
      </c>
      <c r="I196" s="306">
        <v>15</v>
      </c>
      <c r="J196" s="306">
        <v>118.37</v>
      </c>
      <c r="K196" s="306">
        <v>6.81</v>
      </c>
      <c r="L196" s="306">
        <v>813.86</v>
      </c>
      <c r="M196" s="304">
        <v>1200</v>
      </c>
      <c r="N196" s="304"/>
      <c r="O196" s="306">
        <v>2.94</v>
      </c>
      <c r="P196" s="306">
        <v>3.61</v>
      </c>
      <c r="Q196" s="306">
        <v>25.33</v>
      </c>
      <c r="R196" s="306">
        <v>1.8</v>
      </c>
      <c r="S196" s="306">
        <v>1.9</v>
      </c>
      <c r="T196" s="305">
        <v>941</v>
      </c>
      <c r="U196" s="305">
        <v>940.8</v>
      </c>
      <c r="V196" s="306">
        <v>0</v>
      </c>
      <c r="W196" s="306" t="s">
        <v>2282</v>
      </c>
      <c r="X196" s="306" t="s">
        <v>2254</v>
      </c>
      <c r="Y196" s="306">
        <f>IFERROR(IF(X196&lt;=600,(PI()*0.72*0.72/4-PI()*0.6*0.6/4)*(C196-AB196)+(1.3*1.3-1.1*1.1)*1.6,IF(X196=800,(PI()*0.72*0.72/4-PI()*0.6*0.6/4)*(C196-AB196)+(1.5*1.5-1.1*1.1)*1.6,IF(X196=1000,(PI()*0.72*0.72/4-PI()*0.6*0.6/4)*(C196-AB196)+(1.94*1.94-1.5*1.5)*2.25,IF(X196=1200,(PI()*0.72*0.72/4-PI()*0.6*0.6/4)*(C196-AB196)+(-1.8*1.8+2.14*2.14)*2.25,IF(X196=1500,(PI()*0.72*0.72/4-PI()*0.6*0.6/4)*(C196-AB196)+(-2.2*2.2+2.44*2.44)*2.65,0))))),0)</f>
        <v>0</v>
      </c>
      <c r="Z196" s="306">
        <f>K196*IF(X196&lt;=600,PI()*(0.06*2+X196/1000)*(0.06*2+X196/1000)/4-PI()*(X196/1000)*(X196/1000)/4,IF(X196=800,PI()*(0.08*2+X196/1000)*(0.08*2+X196/1000)/4-PI()*(X196/1000)*(X196/1000)/4,IF(X196&lt;=1000,PI()*(0.1*2+X196/1000)*(0.1*2+X196/1000)/4-PI()*(X196/1000)*(X196/1000)/4,IF(X196&lt;=1200,PI()*(0.12*2+X196/1000)*(0.12*2+X196/1000)/4-PI()*(X196/1000)*(X196/1000)/4,IF(X196&lt;=1500,PI()*(0.15*2+X196/1000)*(0.15*2+X196/1000)/4-PI()*(X196/1000)*(X196/1000)/4,0)))))</f>
        <v>0</v>
      </c>
      <c r="AA196" s="306" t="s">
        <v>2254</v>
      </c>
      <c r="AB196" s="305" t="s">
        <v>2254</v>
      </c>
      <c r="AC196" s="305"/>
      <c r="AD196" s="305"/>
      <c r="AE196" s="308" t="str">
        <f>IF(OR(RIGHT(LEFT(B196,7),1)="&gt;",RIGHT(LEFT(B196,7),1)="-"),IF(OR(RIGHT(LEFT(B196,6),1)="&gt;",RIGHT(LEFT(B196,6),1)="-"),LEFT(B196,5),LEFT(B196,6)),LEFT(B196,7))</f>
        <v>PV1.1</v>
      </c>
      <c r="AF196" s="309">
        <f>COUNTIF(M196,600)</f>
        <v>0</v>
      </c>
      <c r="AG196" s="309">
        <f>COUNTIF(M196,800)</f>
        <v>0</v>
      </c>
      <c r="AH196" s="309">
        <f>COUNTIF(M196,1000)</f>
        <v>0</v>
      </c>
      <c r="AI196" s="309">
        <f>COUNTIF(M196,1200)</f>
        <v>1</v>
      </c>
      <c r="AJ196" s="309">
        <f>COUNTIF(M196,1500)</f>
        <v>0</v>
      </c>
      <c r="AK196" s="309">
        <f>COUNTIF(M196,1650)</f>
        <v>0</v>
      </c>
      <c r="AL196" s="309">
        <f>AK196*IF((R196+S196)/2-1.65&lt;=2,1,0)</f>
        <v>0</v>
      </c>
      <c r="AM196" s="309">
        <f>AK196*IF((R196+S196)/2-1.65&lt;=3,1,0)-AL196</f>
        <v>0</v>
      </c>
      <c r="AN196" s="309">
        <f>AK196*IF((R196+S196)/2-1.65&lt;=4,1,0)-AL196-AM196</f>
        <v>0</v>
      </c>
      <c r="AO196" s="292"/>
      <c r="AP196" s="292"/>
      <c r="AQ196" s="310" t="str">
        <f>W196</f>
        <v>TERRENO NATURAL</v>
      </c>
    </row>
    <row r="197" spans="2:43" s="271" customFormat="1" ht="13" x14ac:dyDescent="0.3">
      <c r="B197" s="320" t="s">
        <v>1627</v>
      </c>
      <c r="C197" s="321"/>
      <c r="D197" s="321"/>
      <c r="E197" s="321"/>
      <c r="F197" s="321"/>
      <c r="G197" s="321"/>
      <c r="H197" s="321"/>
      <c r="I197" s="321"/>
      <c r="J197" s="321"/>
      <c r="K197" s="321"/>
      <c r="L197" s="321"/>
      <c r="M197" s="321"/>
      <c r="N197" s="321"/>
      <c r="O197" s="321"/>
      <c r="P197" s="321"/>
      <c r="Q197" s="321"/>
      <c r="R197" s="321"/>
      <c r="S197" s="321"/>
      <c r="T197" s="321"/>
      <c r="U197" s="321"/>
      <c r="V197" s="321"/>
      <c r="W197" s="322"/>
      <c r="X197" s="323"/>
      <c r="Y197" s="323"/>
      <c r="Z197" s="323"/>
      <c r="AA197" s="323"/>
      <c r="AB197" s="323"/>
      <c r="AC197" s="323"/>
      <c r="AD197" s="323"/>
      <c r="AE197" s="321"/>
      <c r="AF197" s="321"/>
      <c r="AG197" s="321"/>
      <c r="AH197" s="321"/>
      <c r="AI197" s="321"/>
      <c r="AJ197" s="321"/>
      <c r="AK197" s="321"/>
      <c r="AL197" s="321"/>
      <c r="AM197" s="321"/>
      <c r="AN197" s="321"/>
      <c r="AO197" s="292"/>
      <c r="AP197" s="292"/>
      <c r="AQ197" s="292"/>
    </row>
    <row r="198" spans="2:43" s="271" customFormat="1" x14ac:dyDescent="0.25">
      <c r="B198" s="304" t="s">
        <v>2251</v>
      </c>
      <c r="C198" s="305">
        <v>942.67100000000005</v>
      </c>
      <c r="D198" s="305">
        <v>942.72900000000004</v>
      </c>
      <c r="E198" s="305">
        <v>3.536</v>
      </c>
      <c r="F198" s="305">
        <v>3.536</v>
      </c>
      <c r="G198" s="305">
        <v>0.7</v>
      </c>
      <c r="H198" s="305">
        <v>1.4999999999999999E-2</v>
      </c>
      <c r="I198" s="306">
        <v>15</v>
      </c>
      <c r="J198" s="306">
        <v>142.32</v>
      </c>
      <c r="K198" s="306">
        <v>5.93</v>
      </c>
      <c r="L198" s="306">
        <v>978.56</v>
      </c>
      <c r="M198" s="304">
        <v>1200</v>
      </c>
      <c r="N198" s="304"/>
      <c r="O198" s="306">
        <v>3.38</v>
      </c>
      <c r="P198" s="306">
        <v>4</v>
      </c>
      <c r="Q198" s="306">
        <v>26.84</v>
      </c>
      <c r="R198" s="306">
        <v>1.73</v>
      </c>
      <c r="S198" s="306">
        <v>1.93</v>
      </c>
      <c r="T198" s="305">
        <v>941</v>
      </c>
      <c r="U198" s="305">
        <v>940.8</v>
      </c>
      <c r="V198" s="306">
        <v>0</v>
      </c>
      <c r="W198" s="306" t="s">
        <v>2282</v>
      </c>
      <c r="X198" s="306" t="s">
        <v>2254</v>
      </c>
      <c r="Y198" s="306">
        <f>IFERROR(IF(X198&lt;=600,(PI()*0.72*0.72/4-PI()*0.6*0.6/4)*(C198-AB198)+(1.3*1.3-1.1*1.1)*1.6,IF(X198=800,(PI()*0.72*0.72/4-PI()*0.6*0.6/4)*(C198-AB198)+(1.5*1.5-1.1*1.1)*1.6,IF(X198=1000,(PI()*0.72*0.72/4-PI()*0.6*0.6/4)*(C198-AB198)+(1.94*1.94-1.5*1.5)*2.25,IF(X198=1200,(PI()*0.72*0.72/4-PI()*0.6*0.6/4)*(C198-AB198)+(-1.8*1.8+2.14*2.14)*2.25,IF(X198=1500,(PI()*0.72*0.72/4-PI()*0.6*0.6/4)*(C198-AB198)+(-2.2*2.2+2.44*2.44)*2.65,0))))),0)</f>
        <v>0</v>
      </c>
      <c r="Z198" s="306">
        <f>K198*IF(X198&lt;=600,PI()*(0.06*2+X198/1000)*(0.06*2+X198/1000)/4-PI()*(X198/1000)*(X198/1000)/4,IF(X198=800,PI()*(0.08*2+X198/1000)*(0.08*2+X198/1000)/4-PI()*(X198/1000)*(X198/1000)/4,IF(X198&lt;=1000,PI()*(0.1*2+X198/1000)*(0.1*2+X198/1000)/4-PI()*(X198/1000)*(X198/1000)/4,IF(X198&lt;=1200,PI()*(0.12*2+X198/1000)*(0.12*2+X198/1000)/4-PI()*(X198/1000)*(X198/1000)/4,IF(X198&lt;=1500,PI()*(0.15*2+X198/1000)*(0.15*2+X198/1000)/4-PI()*(X198/1000)*(X198/1000)/4,0)))))</f>
        <v>0</v>
      </c>
      <c r="AA198" s="306" t="s">
        <v>2254</v>
      </c>
      <c r="AB198" s="305" t="s">
        <v>2254</v>
      </c>
      <c r="AC198" s="305"/>
      <c r="AD198" s="305"/>
      <c r="AE198" s="308" t="str">
        <f>IF(OR(RIGHT(LEFT(B198,7),1)="&gt;",RIGHT(LEFT(B198,7),1)="-"),IF(OR(RIGHT(LEFT(B198,6),1)="&gt;",RIGHT(LEFT(B198,6),1)="-"),LEFT(B198,5),LEFT(B198,6)),LEFT(B198,7))</f>
        <v>PV1.1</v>
      </c>
      <c r="AF198" s="309">
        <f>COUNTIF(M198,600)</f>
        <v>0</v>
      </c>
      <c r="AG198" s="309">
        <f>COUNTIF(M198,800)</f>
        <v>0</v>
      </c>
      <c r="AH198" s="309">
        <f>COUNTIF(M198,1000)</f>
        <v>0</v>
      </c>
      <c r="AI198" s="309">
        <f>COUNTIF(M198,1200)</f>
        <v>1</v>
      </c>
      <c r="AJ198" s="309">
        <f>COUNTIF(M198,1500)</f>
        <v>0</v>
      </c>
      <c r="AK198" s="309">
        <f>COUNTIF(M198,1650)</f>
        <v>0</v>
      </c>
      <c r="AL198" s="309">
        <f>AK198*IF((R198+S198)/2-1.65&lt;=2,1,0)</f>
        <v>0</v>
      </c>
      <c r="AM198" s="309">
        <f>AK198*IF((R198+S198)/2-1.65&lt;=3,1,0)-AL198</f>
        <v>0</v>
      </c>
      <c r="AN198" s="309">
        <f>AK198*IF((R198+S198)/2-1.65&lt;=4,1,0)-AL198-AM198</f>
        <v>0</v>
      </c>
      <c r="AO198" s="292"/>
      <c r="AP198" s="292"/>
      <c r="AQ198" s="310" t="str">
        <f>W198</f>
        <v>TERRENO NATURAL</v>
      </c>
    </row>
    <row r="199" spans="2:43" x14ac:dyDescent="0.25">
      <c r="B199" s="292"/>
      <c r="C199" s="292"/>
      <c r="D199" s="292"/>
      <c r="E199" s="292"/>
      <c r="F199" s="292"/>
      <c r="G199" s="292"/>
      <c r="H199" s="292"/>
      <c r="I199" s="292"/>
      <c r="J199" s="292"/>
      <c r="K199" s="292"/>
      <c r="L199" s="292"/>
      <c r="M199" s="292"/>
      <c r="N199" s="292"/>
      <c r="O199" s="292"/>
      <c r="P199" s="292"/>
      <c r="Q199" s="292"/>
      <c r="R199" s="292"/>
      <c r="S199" s="292"/>
      <c r="T199" s="292"/>
      <c r="U199" s="292"/>
      <c r="V199" s="292"/>
      <c r="W199" s="292"/>
      <c r="X199" s="293"/>
      <c r="Y199" s="313">
        <f>SUM(Y148:Y198)</f>
        <v>73.703590075546302</v>
      </c>
      <c r="Z199" s="313">
        <f>SUM(Z148:Z198)</f>
        <v>487.26418415557913</v>
      </c>
      <c r="AA199" s="293"/>
      <c r="AB199" s="293"/>
      <c r="AC199" s="314">
        <v>135</v>
      </c>
      <c r="AD199" s="293"/>
      <c r="AE199" s="292"/>
      <c r="AF199" s="314">
        <f t="shared" ref="AF199:AN199" si="91">SUM(AF148:AF198)</f>
        <v>4</v>
      </c>
      <c r="AG199" s="314">
        <f t="shared" si="91"/>
        <v>4</v>
      </c>
      <c r="AH199" s="314">
        <f t="shared" si="91"/>
        <v>12</v>
      </c>
      <c r="AI199" s="314">
        <f t="shared" si="91"/>
        <v>10</v>
      </c>
      <c r="AJ199" s="314">
        <f t="shared" si="91"/>
        <v>10</v>
      </c>
      <c r="AK199" s="314">
        <f t="shared" si="91"/>
        <v>9</v>
      </c>
      <c r="AL199" s="314">
        <f t="shared" si="91"/>
        <v>5</v>
      </c>
      <c r="AM199" s="314">
        <f t="shared" si="91"/>
        <v>4</v>
      </c>
      <c r="AN199" s="314">
        <f t="shared" si="91"/>
        <v>0</v>
      </c>
      <c r="AO199" s="292"/>
      <c r="AP199" s="292"/>
      <c r="AQ199" s="292"/>
    </row>
    <row r="200" spans="2:43" x14ac:dyDescent="0.25">
      <c r="B200" s="292"/>
      <c r="C200" s="292"/>
      <c r="D200" s="292"/>
      <c r="E200" s="292"/>
      <c r="F200" s="292"/>
      <c r="G200" s="292"/>
      <c r="H200" s="292"/>
      <c r="I200" s="292"/>
      <c r="J200" s="292"/>
      <c r="K200" s="292"/>
      <c r="L200" s="292"/>
      <c r="M200" s="292"/>
      <c r="N200" s="292"/>
      <c r="O200" s="292"/>
      <c r="P200" s="292"/>
      <c r="Q200" s="292"/>
      <c r="R200" s="292"/>
      <c r="S200" s="292"/>
      <c r="T200" s="292"/>
      <c r="U200" s="292"/>
      <c r="V200" s="292"/>
      <c r="W200" s="292"/>
      <c r="X200" s="293"/>
      <c r="Y200" s="293"/>
      <c r="Z200" s="293"/>
      <c r="AA200" s="293"/>
      <c r="AB200" s="293"/>
      <c r="AC200" s="293"/>
      <c r="AD200" s="293"/>
      <c r="AE200" s="294"/>
      <c r="AF200" s="294"/>
      <c r="AG200" s="294"/>
      <c r="AH200" s="294"/>
      <c r="AI200" s="294"/>
      <c r="AJ200" s="294"/>
      <c r="AK200" s="294"/>
      <c r="AL200" s="294"/>
      <c r="AM200" s="294"/>
      <c r="AN200" s="294"/>
      <c r="AO200" s="292"/>
      <c r="AP200" s="292"/>
      <c r="AQ200" s="292"/>
    </row>
    <row r="201" spans="2:43" x14ac:dyDescent="0.25">
      <c r="B201" s="292"/>
      <c r="C201" s="292"/>
      <c r="D201" s="292"/>
      <c r="E201" s="292"/>
      <c r="F201" s="292"/>
      <c r="G201" s="292"/>
      <c r="H201" s="292"/>
      <c r="I201" s="292"/>
      <c r="J201" s="292"/>
      <c r="K201" s="292"/>
      <c r="L201" s="292"/>
      <c r="M201" s="292"/>
      <c r="N201" s="292"/>
      <c r="O201" s="292"/>
      <c r="P201" s="292"/>
      <c r="Q201" s="292"/>
      <c r="R201" s="292"/>
      <c r="S201" s="292"/>
      <c r="T201" s="292"/>
      <c r="U201" s="292"/>
      <c r="V201" s="292"/>
      <c r="W201" s="292"/>
      <c r="X201" s="293"/>
      <c r="Y201" s="293"/>
      <c r="Z201" s="293"/>
      <c r="AA201" s="293"/>
      <c r="AB201" s="293"/>
      <c r="AC201" s="293"/>
      <c r="AD201" s="293"/>
      <c r="AE201" s="294"/>
      <c r="AF201" s="294"/>
      <c r="AG201" s="294"/>
      <c r="AH201" s="294"/>
      <c r="AI201" s="294"/>
      <c r="AJ201" s="294"/>
      <c r="AK201" s="294"/>
      <c r="AL201" s="294"/>
      <c r="AM201" s="294"/>
      <c r="AN201" s="294"/>
      <c r="AO201" s="292"/>
      <c r="AP201" s="292"/>
      <c r="AQ201" s="292"/>
    </row>
    <row r="202" spans="2:43" x14ac:dyDescent="0.25">
      <c r="B202" s="292"/>
      <c r="C202" s="292"/>
      <c r="D202" s="292"/>
      <c r="E202" s="292"/>
      <c r="F202" s="292"/>
      <c r="G202" s="292"/>
      <c r="H202" s="292"/>
      <c r="I202" s="292"/>
      <c r="J202" s="292"/>
      <c r="K202" s="292"/>
      <c r="L202" s="292"/>
      <c r="M202" s="292"/>
      <c r="N202" s="292"/>
      <c r="O202" s="292"/>
      <c r="P202" s="292"/>
      <c r="Q202" s="292"/>
      <c r="R202" s="292"/>
      <c r="S202" s="292"/>
      <c r="T202" s="292"/>
      <c r="U202" s="292"/>
      <c r="V202" s="292"/>
      <c r="W202" s="292"/>
      <c r="X202" s="293"/>
      <c r="Y202" s="293"/>
      <c r="Z202" s="293"/>
      <c r="AA202" s="293"/>
      <c r="AB202" s="293"/>
      <c r="AC202" s="293"/>
      <c r="AD202" s="293"/>
      <c r="AE202" s="294"/>
      <c r="AF202" s="294"/>
      <c r="AG202" s="294"/>
      <c r="AH202" s="294"/>
      <c r="AI202" s="294"/>
      <c r="AJ202" s="294"/>
      <c r="AK202" s="294"/>
      <c r="AL202" s="294"/>
      <c r="AM202" s="294"/>
      <c r="AN202" s="294"/>
      <c r="AO202" s="292"/>
      <c r="AP202" s="292"/>
      <c r="AQ202" s="292"/>
    </row>
  </sheetData>
  <autoFilter ref="A7:AB30" xr:uid="{63C02FB7-D530-4D87-A28B-AD35976CF53A}">
    <filterColumn colId="2" showButton="0"/>
    <filterColumn colId="4" showButton="0"/>
    <filterColumn colId="12" showButton="0"/>
    <filterColumn colId="17" showButton="0"/>
    <filterColumn colId="19" showButton="0"/>
  </autoFilter>
  <mergeCells count="26">
    <mergeCell ref="T145:U145"/>
    <mergeCell ref="C102:K103"/>
    <mergeCell ref="C107:D107"/>
    <mergeCell ref="E107:F107"/>
    <mergeCell ref="M107:N107"/>
    <mergeCell ref="R107:S107"/>
    <mergeCell ref="T107:U107"/>
    <mergeCell ref="C140:K141"/>
    <mergeCell ref="C145:D145"/>
    <mergeCell ref="E145:F145"/>
    <mergeCell ref="M145:N145"/>
    <mergeCell ref="R145:S145"/>
    <mergeCell ref="T46:U46"/>
    <mergeCell ref="B1:U1"/>
    <mergeCell ref="C2:K3"/>
    <mergeCell ref="R5:S5"/>
    <mergeCell ref="C7:D7"/>
    <mergeCell ref="E7:F7"/>
    <mergeCell ref="M7:N7"/>
    <mergeCell ref="R7:S7"/>
    <mergeCell ref="T7:U7"/>
    <mergeCell ref="C41:K42"/>
    <mergeCell ref="C46:D46"/>
    <mergeCell ref="E46:F46"/>
    <mergeCell ref="M46:N46"/>
    <mergeCell ref="R46:S46"/>
  </mergeCells>
  <printOptions horizontalCentered="1"/>
  <pageMargins left="0.39370078740157499" right="0.118110236220472" top="0.98425196850393704" bottom="0.98425196850393704" header="0.511811023622047" footer="0.511811023622047"/>
  <pageSetup paperSize="8" scale="83" fitToHeight="0" orientation="landscape" verticalDpi="300" r:id="rId1"/>
  <headerFooter alignWithMargins="0">
    <oddFooter>&amp;CPágina &amp;P de &amp;N&amp;R&amp;G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86D76-FB5E-4A57-8A5F-F6C6EB5B339F}">
  <dimension ref="A1:P325"/>
  <sheetViews>
    <sheetView topLeftCell="G227" zoomScale="85" zoomScaleNormal="85" workbookViewId="0">
      <selection activeCell="P234" sqref="P234"/>
    </sheetView>
  </sheetViews>
  <sheetFormatPr defaultColWidth="9" defaultRowHeight="14.5" x14ac:dyDescent="0.35"/>
  <cols>
    <col min="1" max="1" width="12.58203125" style="363" bestFit="1" customWidth="1"/>
    <col min="2" max="2" width="18.83203125" style="363" customWidth="1"/>
    <col min="3" max="3" width="11.08203125" style="363" customWidth="1"/>
    <col min="4" max="5" width="13.75" style="363" customWidth="1"/>
    <col min="6" max="6" width="26.83203125" style="363" customWidth="1"/>
    <col min="7" max="7" width="21" style="363" customWidth="1"/>
    <col min="8" max="8" width="22" style="363" customWidth="1"/>
    <col min="9" max="9" width="30.5" style="363" customWidth="1"/>
    <col min="10" max="12" width="17.5" style="363" customWidth="1"/>
    <col min="13" max="13" width="9" style="363" customWidth="1"/>
    <col min="14" max="14" width="31.5" style="381" customWidth="1"/>
    <col min="15" max="15" width="9" style="363" customWidth="1"/>
    <col min="16" max="16" width="39.33203125" style="363" customWidth="1"/>
    <col min="17" max="16384" width="9" style="149"/>
  </cols>
  <sheetData>
    <row r="1" spans="1:16" x14ac:dyDescent="0.35">
      <c r="A1" s="955" t="s">
        <v>1937</v>
      </c>
      <c r="B1" s="955"/>
      <c r="C1" s="955"/>
      <c r="D1" s="955"/>
      <c r="E1" s="955"/>
      <c r="F1" s="955"/>
      <c r="G1" s="955"/>
      <c r="H1" s="955"/>
      <c r="I1" s="955"/>
      <c r="J1" s="955"/>
      <c r="K1" s="955"/>
      <c r="L1" s="955"/>
    </row>
    <row r="2" spans="1:16" ht="43.5" x14ac:dyDescent="0.35">
      <c r="A2" s="360" t="s">
        <v>1390</v>
      </c>
      <c r="B2" s="360" t="s">
        <v>1391</v>
      </c>
      <c r="C2" s="360" t="s">
        <v>1392</v>
      </c>
      <c r="D2" s="360" t="s">
        <v>1393</v>
      </c>
      <c r="E2" s="360" t="s">
        <v>1394</v>
      </c>
      <c r="F2" s="145" t="s">
        <v>1395</v>
      </c>
      <c r="G2" s="145" t="s">
        <v>1396</v>
      </c>
      <c r="H2" s="360" t="s">
        <v>1397</v>
      </c>
      <c r="I2" s="360" t="s">
        <v>1398</v>
      </c>
      <c r="J2" s="145" t="s">
        <v>1399</v>
      </c>
      <c r="K2" s="145" t="s">
        <v>1400</v>
      </c>
      <c r="L2" s="145" t="s">
        <v>1401</v>
      </c>
      <c r="M2" s="361"/>
      <c r="N2" s="145" t="s">
        <v>1402</v>
      </c>
      <c r="O2" s="362" t="s">
        <v>5</v>
      </c>
      <c r="P2" s="145" t="s">
        <v>1403</v>
      </c>
    </row>
    <row r="3" spans="1:16" ht="43.5" x14ac:dyDescent="0.35">
      <c r="A3" s="360" t="s">
        <v>1404</v>
      </c>
      <c r="B3" s="360"/>
      <c r="C3" s="360"/>
      <c r="D3" s="360"/>
      <c r="E3" s="360"/>
      <c r="F3" s="364"/>
      <c r="G3" s="145"/>
      <c r="H3" s="360"/>
      <c r="I3" s="360"/>
      <c r="J3" s="145"/>
      <c r="K3" s="145"/>
      <c r="L3" s="145"/>
      <c r="N3" s="365" t="s">
        <v>1405</v>
      </c>
      <c r="O3" s="366">
        <f t="shared" ref="O3:O15" si="0">COUNTIF($I$4:$I$93,N3)</f>
        <v>3</v>
      </c>
      <c r="P3" s="324">
        <f>IF(AND(E3="PROJETADO",G3&lt;&gt;""),F3/2*(PI()*0.519*0.519/4-PI()*0.4*0.4/4),0)</f>
        <v>0</v>
      </c>
    </row>
    <row r="4" spans="1:16" s="164" customFormat="1" ht="43.5" x14ac:dyDescent="0.35">
      <c r="A4" s="367" t="s">
        <v>1406</v>
      </c>
      <c r="B4" s="367" t="s">
        <v>1407</v>
      </c>
      <c r="C4" s="367" t="str">
        <f>CONCATENATE(B4,"-&gt;",A4)</f>
        <v>BL1-&gt;PV1.1</v>
      </c>
      <c r="D4" s="367">
        <v>1.55</v>
      </c>
      <c r="E4" s="367" t="s">
        <v>1408</v>
      </c>
      <c r="F4" s="368">
        <v>13.69</v>
      </c>
      <c r="G4" s="367"/>
      <c r="H4" s="367" t="s">
        <v>1409</v>
      </c>
      <c r="I4" s="369" t="str">
        <f>IF(G4="","BOCA DE LOBO PROJETADA "&amp;H4,IF(H4="","BOCA DE LOBO EXISTENTE "&amp;G4,"BOCA DE LOBO "&amp;G4&amp;" EXISTENTE COM BOCA DE LOBO "&amp;H4&amp;" PROJETADA"))</f>
        <v>BOCA DE LOBO PROJETADA TRIPLA</v>
      </c>
      <c r="J4" s="369">
        <f>IF(E4="EXISTENTE",1,0)</f>
        <v>0</v>
      </c>
      <c r="K4" s="369"/>
      <c r="L4" s="369" t="str">
        <f>IF(G4&lt;&gt;"",IF(H4&lt;&gt;"","AMPLIADA","EXISTENTE"),"PROJETADA")</f>
        <v>PROJETADA</v>
      </c>
      <c r="M4" s="370"/>
      <c r="N4" s="371" t="s">
        <v>1410</v>
      </c>
      <c r="O4" s="366">
        <f t="shared" si="0"/>
        <v>1</v>
      </c>
      <c r="P4" s="327">
        <f t="shared" ref="P4:P15" si="1">IF(AND(E4="PROJETADO",G4&lt;&gt;""),F4/2*(PI()*0.519*0.519/4-PI()*0.4*0.4/4),0)</f>
        <v>0</v>
      </c>
    </row>
    <row r="5" spans="1:16" s="164" customFormat="1" ht="43.5" x14ac:dyDescent="0.35">
      <c r="A5" s="367" t="s">
        <v>1411</v>
      </c>
      <c r="B5" s="367" t="s">
        <v>1412</v>
      </c>
      <c r="C5" s="367" t="str">
        <f>CONCATENATE(B5,"-&gt;",A5)</f>
        <v>BL2-&gt;PV3.1</v>
      </c>
      <c r="D5" s="367">
        <v>1.89</v>
      </c>
      <c r="E5" s="367" t="s">
        <v>1408</v>
      </c>
      <c r="F5" s="368">
        <v>5.41</v>
      </c>
      <c r="G5" s="367"/>
      <c r="H5" s="367" t="s">
        <v>1409</v>
      </c>
      <c r="I5" s="369" t="str">
        <f>IF(G5="","BOCA DE LOBO PROJETADA "&amp;H5,IF(H5="","BOCA DE LOBO EXISTENTE "&amp;G5,"BOCA DE LOBO "&amp;G5&amp;" EXISTENTE COM BOCA DE LOBO "&amp;H5&amp;" PROJETADA"))</f>
        <v>BOCA DE LOBO PROJETADA TRIPLA</v>
      </c>
      <c r="J5" s="369">
        <f>IF(E5="EXISTENTE",1,0)</f>
        <v>0</v>
      </c>
      <c r="K5" s="369"/>
      <c r="L5" s="369" t="str">
        <f>IF(G5&lt;&gt;"",IF(H5&lt;&gt;"","AMPLIADA","EXISTENTE"),"PROJETADA")</f>
        <v>PROJETADA</v>
      </c>
      <c r="M5" s="370"/>
      <c r="N5" s="371" t="s">
        <v>1413</v>
      </c>
      <c r="O5" s="366">
        <f t="shared" si="0"/>
        <v>0</v>
      </c>
      <c r="P5" s="327">
        <f t="shared" si="1"/>
        <v>0</v>
      </c>
    </row>
    <row r="6" spans="1:16" s="255" customFormat="1" ht="29" x14ac:dyDescent="0.35">
      <c r="A6" s="372" t="s">
        <v>1414</v>
      </c>
      <c r="B6" s="374"/>
      <c r="C6" s="374"/>
      <c r="D6" s="374"/>
      <c r="E6" s="374"/>
      <c r="F6" s="375"/>
      <c r="G6" s="374"/>
      <c r="H6" s="374"/>
      <c r="I6" s="376"/>
      <c r="J6" s="376"/>
      <c r="K6" s="376"/>
      <c r="L6" s="376"/>
      <c r="M6" s="252"/>
      <c r="N6" s="371" t="s">
        <v>1415</v>
      </c>
      <c r="O6" s="373">
        <f t="shared" si="0"/>
        <v>10</v>
      </c>
      <c r="P6" s="326">
        <f t="shared" si="1"/>
        <v>0</v>
      </c>
    </row>
    <row r="7" spans="1:16" s="164" customFormat="1" ht="29" x14ac:dyDescent="0.35">
      <c r="A7" s="367" t="s">
        <v>1406</v>
      </c>
      <c r="B7" s="367" t="s">
        <v>1417</v>
      </c>
      <c r="C7" s="367" t="str">
        <f t="shared" ref="C7:C15" si="2">CONCATENATE(B7,"-&gt;",A7)</f>
        <v>BL3-&gt;PV1.1</v>
      </c>
      <c r="D7" s="367">
        <v>3.05</v>
      </c>
      <c r="E7" s="367" t="s">
        <v>1408</v>
      </c>
      <c r="F7" s="368">
        <v>5.95</v>
      </c>
      <c r="G7" s="367"/>
      <c r="H7" s="367" t="s">
        <v>1409</v>
      </c>
      <c r="I7" s="369" t="str">
        <f t="shared" ref="I7:I15" si="3">IF(G7="","BOCA DE LOBO PROJETADA "&amp;H7,IF(H7="","BOCA DE LOBO EXISTENTE "&amp;G7,"BOCA DE LOBO "&amp;G7&amp;" EXISTENTE COM BOCA DE LOBO "&amp;H7&amp;" PROJETADA"))</f>
        <v>BOCA DE LOBO PROJETADA TRIPLA</v>
      </c>
      <c r="J7" s="369">
        <f>IF(E7="EXISTENTE",1,0)</f>
        <v>0</v>
      </c>
      <c r="K7" s="369"/>
      <c r="L7" s="369" t="str">
        <f t="shared" ref="L7:L15" si="4">IF(G7&lt;&gt;"",IF(H7&lt;&gt;"","AMPLIADA","EXISTENTE"),"PROJETADA")</f>
        <v>PROJETADA</v>
      </c>
      <c r="M7" s="370"/>
      <c r="N7" s="371" t="s">
        <v>1418</v>
      </c>
      <c r="O7" s="366">
        <f t="shared" si="0"/>
        <v>2</v>
      </c>
      <c r="P7" s="327">
        <f t="shared" si="1"/>
        <v>0</v>
      </c>
    </row>
    <row r="8" spans="1:16" s="164" customFormat="1" ht="29" x14ac:dyDescent="0.35">
      <c r="A8" s="367" t="s">
        <v>1421</v>
      </c>
      <c r="B8" s="367" t="s">
        <v>1419</v>
      </c>
      <c r="C8" s="367" t="str">
        <f t="shared" si="2"/>
        <v>BL4-&gt;PV2.1</v>
      </c>
      <c r="D8" s="367">
        <v>2.7</v>
      </c>
      <c r="E8" s="367" t="s">
        <v>1408</v>
      </c>
      <c r="F8" s="368">
        <v>4.7300000000000004</v>
      </c>
      <c r="G8" s="367"/>
      <c r="H8" s="367" t="s">
        <v>1422</v>
      </c>
      <c r="I8" s="369" t="str">
        <f t="shared" si="3"/>
        <v>BOCA DE LOBO PROJETADA DUPLA</v>
      </c>
      <c r="J8" s="369">
        <f>IF(E8="EXISTENTE",1,0)</f>
        <v>0</v>
      </c>
      <c r="K8" s="369"/>
      <c r="L8" s="369" t="str">
        <f t="shared" si="4"/>
        <v>PROJETADA</v>
      </c>
      <c r="M8" s="370"/>
      <c r="N8" s="371" t="s">
        <v>1416</v>
      </c>
      <c r="O8" s="366">
        <f t="shared" si="0"/>
        <v>0</v>
      </c>
      <c r="P8" s="327">
        <f t="shared" si="1"/>
        <v>0</v>
      </c>
    </row>
    <row r="9" spans="1:16" s="164" customFormat="1" ht="43.5" x14ac:dyDescent="0.35">
      <c r="A9" s="367" t="s">
        <v>1411</v>
      </c>
      <c r="B9" s="367" t="s">
        <v>1423</v>
      </c>
      <c r="C9" s="367" t="str">
        <f t="shared" si="2"/>
        <v>BL5-&gt;PV3.1</v>
      </c>
      <c r="D9" s="367">
        <v>2.92</v>
      </c>
      <c r="E9" s="367" t="s">
        <v>1408</v>
      </c>
      <c r="F9" s="368">
        <v>6.06</v>
      </c>
      <c r="G9" s="367" t="s">
        <v>1422</v>
      </c>
      <c r="H9" s="367" t="s">
        <v>1425</v>
      </c>
      <c r="I9" s="369" t="str">
        <f t="shared" si="3"/>
        <v>BOCA DE LOBO DUPLA EXISTENTE COM BOCA DE LOBO SIMPLES PROJETADA</v>
      </c>
      <c r="J9" s="369">
        <f>IF(G9="EXISTENTE",1,0)</f>
        <v>0</v>
      </c>
      <c r="K9" s="369"/>
      <c r="L9" s="369" t="str">
        <f t="shared" si="4"/>
        <v>AMPLIADA</v>
      </c>
      <c r="M9" s="370"/>
      <c r="N9" s="371" t="s">
        <v>1420</v>
      </c>
      <c r="O9" s="366">
        <f t="shared" si="0"/>
        <v>0</v>
      </c>
      <c r="P9" s="327">
        <f t="shared" si="1"/>
        <v>0.26025254349834426</v>
      </c>
    </row>
    <row r="10" spans="1:16" s="164" customFormat="1" ht="43.5" x14ac:dyDescent="0.35">
      <c r="A10" s="367" t="s">
        <v>1411</v>
      </c>
      <c r="B10" s="367" t="s">
        <v>1426</v>
      </c>
      <c r="C10" s="367" t="str">
        <f t="shared" si="2"/>
        <v>BL6-&gt;PV3.1</v>
      </c>
      <c r="D10" s="367">
        <v>2.92</v>
      </c>
      <c r="E10" s="367" t="s">
        <v>1408</v>
      </c>
      <c r="F10" s="368">
        <v>8.2799999999999994</v>
      </c>
      <c r="G10" s="367" t="s">
        <v>1422</v>
      </c>
      <c r="H10" s="367" t="s">
        <v>1422</v>
      </c>
      <c r="I10" s="369" t="str">
        <f t="shared" si="3"/>
        <v>BOCA DE LOBO DUPLA EXISTENTE COM BOCA DE LOBO DUPLA PROJETADA</v>
      </c>
      <c r="J10" s="369">
        <f t="shared" ref="J10:J15" si="5">IF(E10="EXISTENTE",1,0)</f>
        <v>0</v>
      </c>
      <c r="K10" s="369"/>
      <c r="L10" s="369" t="str">
        <f t="shared" si="4"/>
        <v>AMPLIADA</v>
      </c>
      <c r="M10" s="370"/>
      <c r="N10" s="371" t="s">
        <v>1424</v>
      </c>
      <c r="O10" s="366">
        <f t="shared" si="0"/>
        <v>0</v>
      </c>
      <c r="P10" s="327">
        <f t="shared" si="1"/>
        <v>0.35559258418585654</v>
      </c>
    </row>
    <row r="11" spans="1:16" s="164" customFormat="1" ht="43.5" x14ac:dyDescent="0.35">
      <c r="A11" s="367" t="s">
        <v>1411</v>
      </c>
      <c r="B11" s="367" t="s">
        <v>1428</v>
      </c>
      <c r="C11" s="367" t="str">
        <f t="shared" si="2"/>
        <v>BL7-&gt;PV3.1</v>
      </c>
      <c r="D11" s="367">
        <v>2.92</v>
      </c>
      <c r="E11" s="367" t="s">
        <v>1408</v>
      </c>
      <c r="F11" s="368">
        <v>9.3000000000000007</v>
      </c>
      <c r="G11" s="367" t="s">
        <v>1422</v>
      </c>
      <c r="H11" s="367" t="s">
        <v>1425</v>
      </c>
      <c r="I11" s="369" t="str">
        <f t="shared" si="3"/>
        <v>BOCA DE LOBO DUPLA EXISTENTE COM BOCA DE LOBO SIMPLES PROJETADA</v>
      </c>
      <c r="J11" s="369">
        <f t="shared" si="5"/>
        <v>0</v>
      </c>
      <c r="K11" s="369"/>
      <c r="L11" s="369" t="str">
        <f t="shared" si="4"/>
        <v>AMPLIADA</v>
      </c>
      <c r="M11" s="370"/>
      <c r="N11" s="371" t="s">
        <v>1427</v>
      </c>
      <c r="O11" s="366">
        <f t="shared" si="0"/>
        <v>0</v>
      </c>
      <c r="P11" s="327">
        <f t="shared" si="1"/>
        <v>0.3993974677449838</v>
      </c>
    </row>
    <row r="12" spans="1:16" s="164" customFormat="1" x14ac:dyDescent="0.35">
      <c r="A12" s="367" t="s">
        <v>1432</v>
      </c>
      <c r="B12" s="367" t="s">
        <v>1430</v>
      </c>
      <c r="C12" s="367" t="str">
        <f t="shared" si="2"/>
        <v>BL8-&gt;PV4.1</v>
      </c>
      <c r="D12" s="367">
        <v>2.2000000000000002</v>
      </c>
      <c r="E12" s="367" t="s">
        <v>1408</v>
      </c>
      <c r="F12" s="368">
        <v>5.27</v>
      </c>
      <c r="G12" s="367"/>
      <c r="H12" s="367" t="s">
        <v>1422</v>
      </c>
      <c r="I12" s="369" t="str">
        <f t="shared" si="3"/>
        <v>BOCA DE LOBO PROJETADA DUPLA</v>
      </c>
      <c r="J12" s="369">
        <f t="shared" si="5"/>
        <v>0</v>
      </c>
      <c r="K12" s="369"/>
      <c r="L12" s="369" t="str">
        <f t="shared" si="4"/>
        <v>PROJETADA</v>
      </c>
      <c r="M12" s="370"/>
      <c r="N12" s="371" t="s">
        <v>1429</v>
      </c>
      <c r="O12" s="366">
        <f t="shared" si="0"/>
        <v>0</v>
      </c>
      <c r="P12" s="327">
        <f t="shared" si="1"/>
        <v>0</v>
      </c>
    </row>
    <row r="13" spans="1:16" s="164" customFormat="1" ht="43.5" x14ac:dyDescent="0.35">
      <c r="A13" s="367" t="s">
        <v>1435</v>
      </c>
      <c r="B13" s="367" t="s">
        <v>1433</v>
      </c>
      <c r="C13" s="367" t="str">
        <f t="shared" si="2"/>
        <v>BL9-&gt;PV5.1</v>
      </c>
      <c r="D13" s="367">
        <v>3.28</v>
      </c>
      <c r="E13" s="367" t="s">
        <v>1408</v>
      </c>
      <c r="F13" s="368">
        <v>7.8</v>
      </c>
      <c r="G13" s="367" t="s">
        <v>1422</v>
      </c>
      <c r="H13" s="367" t="s">
        <v>1422</v>
      </c>
      <c r="I13" s="369" t="str">
        <f t="shared" si="3"/>
        <v>BOCA DE LOBO DUPLA EXISTENTE COM BOCA DE LOBO DUPLA PROJETADA</v>
      </c>
      <c r="J13" s="369">
        <f t="shared" si="5"/>
        <v>0</v>
      </c>
      <c r="K13" s="369"/>
      <c r="L13" s="369" t="str">
        <f t="shared" si="4"/>
        <v>AMPLIADA</v>
      </c>
      <c r="M13" s="370"/>
      <c r="N13" s="371" t="s">
        <v>1431</v>
      </c>
      <c r="O13" s="366">
        <f t="shared" si="0"/>
        <v>30</v>
      </c>
      <c r="P13" s="327">
        <f t="shared" si="1"/>
        <v>0.33497852133450251</v>
      </c>
    </row>
    <row r="14" spans="1:16" s="164" customFormat="1" x14ac:dyDescent="0.35">
      <c r="A14" s="367" t="s">
        <v>1435</v>
      </c>
      <c r="B14" s="367" t="s">
        <v>1436</v>
      </c>
      <c r="C14" s="367" t="str">
        <f t="shared" si="2"/>
        <v>BL10-&gt;PV5.1</v>
      </c>
      <c r="D14" s="367">
        <v>3.28</v>
      </c>
      <c r="E14" s="367" t="s">
        <v>1408</v>
      </c>
      <c r="F14" s="368">
        <v>10.49</v>
      </c>
      <c r="G14" s="367"/>
      <c r="H14" s="367" t="s">
        <v>1409</v>
      </c>
      <c r="I14" s="369" t="str">
        <f t="shared" si="3"/>
        <v>BOCA DE LOBO PROJETADA TRIPLA</v>
      </c>
      <c r="J14" s="369">
        <f t="shared" si="5"/>
        <v>0</v>
      </c>
      <c r="K14" s="369"/>
      <c r="L14" s="369" t="str">
        <f t="shared" si="4"/>
        <v>PROJETADA</v>
      </c>
      <c r="M14" s="370"/>
      <c r="N14" s="371" t="s">
        <v>1434</v>
      </c>
      <c r="O14" s="366">
        <f t="shared" si="0"/>
        <v>10</v>
      </c>
      <c r="P14" s="327">
        <f t="shared" si="1"/>
        <v>0</v>
      </c>
    </row>
    <row r="15" spans="1:16" s="164" customFormat="1" ht="43.5" x14ac:dyDescent="0.35">
      <c r="A15" s="367" t="s">
        <v>1435</v>
      </c>
      <c r="B15" s="367" t="s">
        <v>1437</v>
      </c>
      <c r="C15" s="367" t="str">
        <f t="shared" si="2"/>
        <v>BL11-&gt;PV5.1</v>
      </c>
      <c r="D15" s="367">
        <v>3.28</v>
      </c>
      <c r="E15" s="367" t="s">
        <v>1408</v>
      </c>
      <c r="F15" s="368">
        <v>5.98</v>
      </c>
      <c r="G15" s="367" t="s">
        <v>1425</v>
      </c>
      <c r="H15" s="367" t="s">
        <v>1422</v>
      </c>
      <c r="I15" s="369" t="str">
        <f t="shared" si="3"/>
        <v>BOCA DE LOBO SIMPLES EXISTENTE COM BOCA DE LOBO DUPLA PROJETADA</v>
      </c>
      <c r="J15" s="369">
        <f t="shared" si="5"/>
        <v>0</v>
      </c>
      <c r="K15" s="369"/>
      <c r="L15" s="369" t="str">
        <f t="shared" si="4"/>
        <v>AMPLIADA</v>
      </c>
      <c r="M15" s="370"/>
      <c r="N15" s="371" t="s">
        <v>1438</v>
      </c>
      <c r="O15" s="366">
        <f t="shared" si="0"/>
        <v>1</v>
      </c>
      <c r="P15" s="327">
        <f t="shared" si="1"/>
        <v>0.25681686635645196</v>
      </c>
    </row>
    <row r="16" spans="1:16" s="164" customFormat="1" x14ac:dyDescent="0.35">
      <c r="A16" s="367" t="s">
        <v>1440</v>
      </c>
      <c r="B16" s="367" t="s">
        <v>1439</v>
      </c>
      <c r="C16" s="367" t="str">
        <f t="shared" ref="C16:C86" si="6">CONCATENATE(B16,"-&gt;",A16)</f>
        <v>BL12-&gt;PV6.1</v>
      </c>
      <c r="D16" s="367">
        <v>2.42</v>
      </c>
      <c r="E16" s="367" t="s">
        <v>1408</v>
      </c>
      <c r="F16" s="368">
        <v>5.21</v>
      </c>
      <c r="G16" s="367"/>
      <c r="H16" s="367" t="s">
        <v>1422</v>
      </c>
      <c r="I16" s="369" t="str">
        <f t="shared" ref="I16:I87" si="7">IF(G16="","BOCA DE LOBO PROJETADA "&amp;H16,IF(H16="","BOCA DE LOBO EXISTENTE "&amp;G16,"BOCA DE LOBO "&amp;G16&amp;" EXISTENTE COM BOCA DE LOBO "&amp;H16&amp;" PROJETADA"))</f>
        <v>BOCA DE LOBO PROJETADA DUPLA</v>
      </c>
      <c r="J16" s="369">
        <f>IF(E16="EXISTENTE",1,0)</f>
        <v>0</v>
      </c>
      <c r="K16" s="369"/>
      <c r="L16" s="369" t="str">
        <f t="shared" ref="L16:L87" si="8">IF(G16&lt;&gt;"",IF(H16&lt;&gt;"","AMPLIADA","EXISTENTE"),"PROJETADA")</f>
        <v>PROJETADA</v>
      </c>
      <c r="M16" s="370"/>
      <c r="N16" s="377" t="s">
        <v>5</v>
      </c>
      <c r="O16" s="378">
        <f>SUM(O3:O15)</f>
        <v>57</v>
      </c>
      <c r="P16" s="327">
        <f t="shared" ref="P16:P85" si="9">IF(AND(E16="PROJETADO",G16&lt;&gt;""),F16/2*(PI()*0.519*0.519/4-PI()*0.4*0.4/4),0)</f>
        <v>0</v>
      </c>
    </row>
    <row r="17" spans="1:16" s="164" customFormat="1" ht="43.5" x14ac:dyDescent="0.35">
      <c r="A17" s="367" t="s">
        <v>1442</v>
      </c>
      <c r="B17" s="367" t="s">
        <v>1441</v>
      </c>
      <c r="C17" s="367" t="str">
        <f t="shared" si="6"/>
        <v>BL13-&gt;PV7.1</v>
      </c>
      <c r="D17" s="367">
        <v>3.02</v>
      </c>
      <c r="E17" s="367" t="s">
        <v>1408</v>
      </c>
      <c r="F17" s="368">
        <v>8.66</v>
      </c>
      <c r="G17" s="367" t="s">
        <v>1425</v>
      </c>
      <c r="H17" s="367" t="s">
        <v>1422</v>
      </c>
      <c r="I17" s="369" t="str">
        <f t="shared" si="7"/>
        <v>BOCA DE LOBO SIMPLES EXISTENTE COM BOCA DE LOBO DUPLA PROJETADA</v>
      </c>
      <c r="J17" s="369">
        <f>IF(E17="EXISTENTE",1,0)</f>
        <v>0</v>
      </c>
      <c r="K17" s="369"/>
      <c r="L17" s="369" t="str">
        <f t="shared" si="8"/>
        <v>AMPLIADA</v>
      </c>
      <c r="M17" s="370"/>
      <c r="N17" s="377" t="s">
        <v>1443</v>
      </c>
      <c r="O17" s="378">
        <f>SUM(O3:O12)</f>
        <v>16</v>
      </c>
      <c r="P17" s="327">
        <f t="shared" si="9"/>
        <v>0.37191205060984511</v>
      </c>
    </row>
    <row r="18" spans="1:16" s="164" customFormat="1" ht="43.5" x14ac:dyDescent="0.35">
      <c r="A18" s="367" t="s">
        <v>1442</v>
      </c>
      <c r="B18" s="367" t="s">
        <v>1444</v>
      </c>
      <c r="C18" s="367" t="str">
        <f t="shared" si="6"/>
        <v>BL14-&gt;PV7.1</v>
      </c>
      <c r="D18" s="367">
        <v>3.02</v>
      </c>
      <c r="E18" s="367" t="s">
        <v>1408</v>
      </c>
      <c r="F18" s="368">
        <v>6.65</v>
      </c>
      <c r="G18" s="367" t="s">
        <v>1422</v>
      </c>
      <c r="H18" s="367" t="s">
        <v>1425</v>
      </c>
      <c r="I18" s="369" t="str">
        <f t="shared" si="7"/>
        <v>BOCA DE LOBO DUPLA EXISTENTE COM BOCA DE LOBO SIMPLES PROJETADA</v>
      </c>
      <c r="J18" s="369">
        <f>IF(E18="EXISTENTE",1,0)</f>
        <v>0</v>
      </c>
      <c r="K18" s="369"/>
      <c r="L18" s="369" t="str">
        <f t="shared" si="8"/>
        <v>AMPLIADA</v>
      </c>
      <c r="M18" s="370"/>
      <c r="N18" s="379"/>
      <c r="O18" s="370"/>
      <c r="P18" s="327">
        <f t="shared" si="9"/>
        <v>0.28559066241980025</v>
      </c>
    </row>
    <row r="19" spans="1:16" s="164" customFormat="1" ht="43.5" x14ac:dyDescent="0.35">
      <c r="A19" s="367" t="s">
        <v>1442</v>
      </c>
      <c r="B19" s="367" t="s">
        <v>1445</v>
      </c>
      <c r="C19" s="367" t="str">
        <f t="shared" si="6"/>
        <v>BL15-&gt;PV7.1</v>
      </c>
      <c r="D19" s="367">
        <v>3.02</v>
      </c>
      <c r="E19" s="367" t="s">
        <v>1408</v>
      </c>
      <c r="F19" s="368">
        <v>5.27</v>
      </c>
      <c r="G19" s="367" t="s">
        <v>1422</v>
      </c>
      <c r="H19" s="367" t="s">
        <v>1425</v>
      </c>
      <c r="I19" s="369" t="str">
        <f t="shared" si="7"/>
        <v>BOCA DE LOBO DUPLA EXISTENTE COM BOCA DE LOBO SIMPLES PROJETADA</v>
      </c>
      <c r="J19" s="369">
        <f>IF(E19="EXISTENTE",1,0)</f>
        <v>0</v>
      </c>
      <c r="K19" s="369"/>
      <c r="L19" s="369" t="str">
        <f t="shared" si="8"/>
        <v>AMPLIADA</v>
      </c>
      <c r="M19" s="370"/>
      <c r="N19" s="379"/>
      <c r="O19" s="370"/>
      <c r="P19" s="327">
        <f t="shared" si="9"/>
        <v>0.22632523172215746</v>
      </c>
    </row>
    <row r="20" spans="1:16" s="164" customFormat="1" ht="40" customHeight="1" x14ac:dyDescent="0.35">
      <c r="A20" s="367" t="s">
        <v>1447</v>
      </c>
      <c r="B20" s="367" t="s">
        <v>1446</v>
      </c>
      <c r="C20" s="367" t="str">
        <f t="shared" si="6"/>
        <v>BL16-&gt;PV8.1</v>
      </c>
      <c r="D20" s="367">
        <v>2.65</v>
      </c>
      <c r="E20" s="367" t="s">
        <v>1408</v>
      </c>
      <c r="F20" s="368">
        <v>5.32</v>
      </c>
      <c r="G20" s="367"/>
      <c r="H20" s="367" t="s">
        <v>1422</v>
      </c>
      <c r="I20" s="369" t="str">
        <f t="shared" si="7"/>
        <v>BOCA DE LOBO PROJETADA DUPLA</v>
      </c>
      <c r="J20" s="369">
        <f>IF(E20="EXISTENTE",1,0)</f>
        <v>0</v>
      </c>
      <c r="K20" s="369"/>
      <c r="L20" s="369" t="str">
        <f t="shared" si="8"/>
        <v>PROJETADA</v>
      </c>
      <c r="M20" s="370"/>
      <c r="N20" s="379"/>
      <c r="O20" s="370"/>
      <c r="P20" s="327">
        <f t="shared" si="9"/>
        <v>0</v>
      </c>
    </row>
    <row r="21" spans="1:16" s="164" customFormat="1" ht="40" customHeight="1" x14ac:dyDescent="0.35">
      <c r="A21" s="367" t="s">
        <v>1449</v>
      </c>
      <c r="B21" s="367" t="s">
        <v>1448</v>
      </c>
      <c r="C21" s="367" t="str">
        <f t="shared" si="6"/>
        <v>BL17-&gt;PV9.1</v>
      </c>
      <c r="D21" s="367">
        <v>3.15</v>
      </c>
      <c r="E21" s="367" t="s">
        <v>1408</v>
      </c>
      <c r="F21" s="368">
        <v>5.95</v>
      </c>
      <c r="G21" s="367" t="s">
        <v>1422</v>
      </c>
      <c r="H21" s="367"/>
      <c r="I21" s="369" t="str">
        <f t="shared" si="7"/>
        <v>BOCA DE LOBO EXISTENTE DUPLA</v>
      </c>
      <c r="J21" s="369">
        <v>1</v>
      </c>
      <c r="K21" s="369"/>
      <c r="L21" s="369" t="str">
        <f t="shared" si="8"/>
        <v>EXISTENTE</v>
      </c>
      <c r="M21" s="370"/>
      <c r="N21" s="379"/>
      <c r="O21" s="370"/>
      <c r="P21" s="327">
        <f t="shared" si="9"/>
        <v>0.25552848742824236</v>
      </c>
    </row>
    <row r="22" spans="1:16" s="164" customFormat="1" ht="40" customHeight="1" x14ac:dyDescent="0.35">
      <c r="A22" s="367" t="s">
        <v>1449</v>
      </c>
      <c r="B22" s="367" t="s">
        <v>1450</v>
      </c>
      <c r="C22" s="367" t="str">
        <f t="shared" si="6"/>
        <v>BL18-&gt;PV9.1</v>
      </c>
      <c r="D22" s="367">
        <v>3.15</v>
      </c>
      <c r="E22" s="367" t="s">
        <v>1408</v>
      </c>
      <c r="F22" s="368">
        <v>7.86</v>
      </c>
      <c r="G22" s="367" t="s">
        <v>1422</v>
      </c>
      <c r="H22" s="367" t="s">
        <v>1425</v>
      </c>
      <c r="I22" s="369" t="str">
        <f t="shared" si="7"/>
        <v>BOCA DE LOBO DUPLA EXISTENTE COM BOCA DE LOBO SIMPLES PROJETADA</v>
      </c>
      <c r="J22" s="369">
        <v>1</v>
      </c>
      <c r="K22" s="369"/>
      <c r="L22" s="369" t="str">
        <f t="shared" si="8"/>
        <v>AMPLIADA</v>
      </c>
      <c r="M22" s="370"/>
      <c r="N22" s="379"/>
      <c r="O22" s="370"/>
      <c r="P22" s="327">
        <f t="shared" si="9"/>
        <v>0.33755527919092182</v>
      </c>
    </row>
    <row r="23" spans="1:16" s="164" customFormat="1" ht="40" customHeight="1" x14ac:dyDescent="0.35">
      <c r="A23" s="367" t="s">
        <v>1449</v>
      </c>
      <c r="B23" s="367" t="s">
        <v>1451</v>
      </c>
      <c r="C23" s="367" t="str">
        <f t="shared" si="6"/>
        <v>BL19-&gt;PV9.1</v>
      </c>
      <c r="D23" s="367">
        <v>3.15</v>
      </c>
      <c r="E23" s="367" t="s">
        <v>1408</v>
      </c>
      <c r="F23" s="368">
        <v>6.64</v>
      </c>
      <c r="G23" s="367" t="s">
        <v>1422</v>
      </c>
      <c r="H23" s="367" t="s">
        <v>1425</v>
      </c>
      <c r="I23" s="369" t="str">
        <f t="shared" si="7"/>
        <v>BOCA DE LOBO DUPLA EXISTENTE COM BOCA DE LOBO SIMPLES PROJETADA</v>
      </c>
      <c r="J23" s="369">
        <v>1</v>
      </c>
      <c r="K23" s="369"/>
      <c r="L23" s="369" t="str">
        <f t="shared" si="8"/>
        <v>AMPLIADA</v>
      </c>
      <c r="M23" s="370"/>
      <c r="N23" s="379"/>
      <c r="O23" s="370"/>
      <c r="P23" s="327">
        <f t="shared" si="9"/>
        <v>0.28516120277706369</v>
      </c>
    </row>
    <row r="24" spans="1:16" s="164" customFormat="1" ht="43.5" x14ac:dyDescent="0.35">
      <c r="A24" s="367" t="s">
        <v>1453</v>
      </c>
      <c r="B24" s="367" t="s">
        <v>1452</v>
      </c>
      <c r="C24" s="367" t="str">
        <f t="shared" si="6"/>
        <v>BL20-&gt;PV10.1</v>
      </c>
      <c r="D24" s="367">
        <v>2.8</v>
      </c>
      <c r="E24" s="367" t="s">
        <v>1408</v>
      </c>
      <c r="F24" s="368">
        <v>4.66</v>
      </c>
      <c r="G24" s="367" t="s">
        <v>1422</v>
      </c>
      <c r="H24" s="367" t="s">
        <v>1425</v>
      </c>
      <c r="I24" s="369" t="str">
        <f t="shared" si="7"/>
        <v>BOCA DE LOBO DUPLA EXISTENTE COM BOCA DE LOBO SIMPLES PROJETADA</v>
      </c>
      <c r="J24" s="369">
        <f>IF(E24="EXISTENTE",1,0)</f>
        <v>0</v>
      </c>
      <c r="K24" s="369"/>
      <c r="L24" s="369" t="str">
        <f t="shared" si="8"/>
        <v>AMPLIADA</v>
      </c>
      <c r="M24" s="370"/>
      <c r="N24" s="379"/>
      <c r="O24" s="370"/>
      <c r="P24" s="327">
        <f t="shared" si="9"/>
        <v>0.20012819351522845</v>
      </c>
    </row>
    <row r="25" spans="1:16" s="164" customFormat="1" ht="43.5" x14ac:dyDescent="0.35">
      <c r="A25" s="367" t="s">
        <v>1455</v>
      </c>
      <c r="B25" s="367" t="s">
        <v>1454</v>
      </c>
      <c r="C25" s="367" t="str">
        <f t="shared" si="6"/>
        <v>BL21-&gt;PV11.1</v>
      </c>
      <c r="D25" s="367">
        <v>3</v>
      </c>
      <c r="E25" s="367" t="s">
        <v>1408</v>
      </c>
      <c r="F25" s="368">
        <v>6.63</v>
      </c>
      <c r="G25" s="367" t="s">
        <v>1422</v>
      </c>
      <c r="H25" s="367" t="s">
        <v>1425</v>
      </c>
      <c r="I25" s="369" t="str">
        <f t="shared" si="7"/>
        <v>BOCA DE LOBO DUPLA EXISTENTE COM BOCA DE LOBO SIMPLES PROJETADA</v>
      </c>
      <c r="J25" s="369">
        <v>1</v>
      </c>
      <c r="K25" s="369"/>
      <c r="L25" s="369" t="str">
        <f t="shared" si="8"/>
        <v>AMPLIADA</v>
      </c>
      <c r="M25" s="370"/>
      <c r="N25" s="379"/>
      <c r="O25" s="370"/>
      <c r="P25" s="327">
        <f t="shared" si="9"/>
        <v>0.28473174313432714</v>
      </c>
    </row>
    <row r="26" spans="1:16" s="164" customFormat="1" ht="43.5" x14ac:dyDescent="0.35">
      <c r="A26" s="367" t="s">
        <v>1455</v>
      </c>
      <c r="B26" s="367" t="s">
        <v>1456</v>
      </c>
      <c r="C26" s="367" t="str">
        <f t="shared" si="6"/>
        <v>BL22-&gt;PV11.1</v>
      </c>
      <c r="D26" s="367">
        <v>3</v>
      </c>
      <c r="E26" s="367" t="s">
        <v>1408</v>
      </c>
      <c r="F26" s="368">
        <v>8.7100000000000009</v>
      </c>
      <c r="G26" s="367" t="s">
        <v>1425</v>
      </c>
      <c r="H26" s="367" t="s">
        <v>1422</v>
      </c>
      <c r="I26" s="369" t="str">
        <f t="shared" si="7"/>
        <v>BOCA DE LOBO SIMPLES EXISTENTE COM BOCA DE LOBO DUPLA PROJETADA</v>
      </c>
      <c r="J26" s="369">
        <v>1</v>
      </c>
      <c r="K26" s="369"/>
      <c r="L26" s="369" t="str">
        <f t="shared" si="8"/>
        <v>AMPLIADA</v>
      </c>
      <c r="M26" s="370"/>
      <c r="N26" s="379"/>
      <c r="O26" s="370"/>
      <c r="P26" s="327">
        <f t="shared" si="9"/>
        <v>0.37405934882352787</v>
      </c>
    </row>
    <row r="27" spans="1:16" s="164" customFormat="1" x14ac:dyDescent="0.35">
      <c r="A27" s="367" t="s">
        <v>1458</v>
      </c>
      <c r="B27" s="367" t="s">
        <v>1457</v>
      </c>
      <c r="C27" s="367" t="str">
        <f t="shared" si="6"/>
        <v>BL23-&gt;PV12.1</v>
      </c>
      <c r="D27" s="367">
        <v>2.91</v>
      </c>
      <c r="E27" s="367" t="s">
        <v>1408</v>
      </c>
      <c r="F27" s="368">
        <v>4.79</v>
      </c>
      <c r="G27" s="367"/>
      <c r="H27" s="367" t="s">
        <v>1422</v>
      </c>
      <c r="I27" s="369" t="str">
        <f t="shared" si="7"/>
        <v>BOCA DE LOBO PROJETADA DUPLA</v>
      </c>
      <c r="J27" s="369">
        <f t="shared" ref="J27:J87" si="10">IF(E27="EXISTENTE",1,0)</f>
        <v>0</v>
      </c>
      <c r="K27" s="369"/>
      <c r="L27" s="369" t="str">
        <f t="shared" si="8"/>
        <v>PROJETADA</v>
      </c>
      <c r="M27" s="370"/>
      <c r="N27" s="379"/>
      <c r="O27" s="370"/>
      <c r="P27" s="327">
        <f t="shared" si="9"/>
        <v>0</v>
      </c>
    </row>
    <row r="28" spans="1:16" s="164" customFormat="1" x14ac:dyDescent="0.35">
      <c r="A28" s="367" t="s">
        <v>1460</v>
      </c>
      <c r="B28" s="367" t="s">
        <v>1459</v>
      </c>
      <c r="C28" s="367" t="str">
        <f t="shared" si="6"/>
        <v>BL24-&gt;PV13.1</v>
      </c>
      <c r="D28" s="367">
        <v>3.15</v>
      </c>
      <c r="E28" s="367" t="s">
        <v>1408</v>
      </c>
      <c r="F28" s="368">
        <v>5.0999999999999996</v>
      </c>
      <c r="G28" s="367"/>
      <c r="H28" s="367" t="s">
        <v>1422</v>
      </c>
      <c r="I28" s="369" t="str">
        <f t="shared" si="7"/>
        <v>BOCA DE LOBO PROJETADA DUPLA</v>
      </c>
      <c r="J28" s="369">
        <f t="shared" si="10"/>
        <v>0</v>
      </c>
      <c r="K28" s="369"/>
      <c r="L28" s="369" t="str">
        <f t="shared" si="8"/>
        <v>PROJETADA</v>
      </c>
      <c r="M28" s="370"/>
      <c r="N28" s="379"/>
      <c r="O28" s="370"/>
      <c r="P28" s="327">
        <f t="shared" si="9"/>
        <v>0</v>
      </c>
    </row>
    <row r="29" spans="1:16" s="164" customFormat="1" ht="43.5" x14ac:dyDescent="0.35">
      <c r="A29" s="367" t="s">
        <v>1462</v>
      </c>
      <c r="B29" s="367" t="s">
        <v>1461</v>
      </c>
      <c r="C29" s="367" t="str">
        <f t="shared" si="6"/>
        <v>BL25-&gt;PV14.1</v>
      </c>
      <c r="D29" s="367">
        <v>4.3</v>
      </c>
      <c r="E29" s="367" t="s">
        <v>1408</v>
      </c>
      <c r="F29" s="368">
        <v>5.8</v>
      </c>
      <c r="G29" s="367" t="s">
        <v>1422</v>
      </c>
      <c r="H29" s="367" t="s">
        <v>1425</v>
      </c>
      <c r="I29" s="369" t="str">
        <f t="shared" si="7"/>
        <v>BOCA DE LOBO DUPLA EXISTENTE COM BOCA DE LOBO SIMPLES PROJETADA</v>
      </c>
      <c r="J29" s="369">
        <f t="shared" si="10"/>
        <v>0</v>
      </c>
      <c r="K29" s="369"/>
      <c r="L29" s="369" t="str">
        <f t="shared" si="8"/>
        <v>AMPLIADA</v>
      </c>
      <c r="M29" s="370"/>
      <c r="N29" s="379"/>
      <c r="O29" s="370"/>
      <c r="P29" s="327">
        <f t="shared" si="9"/>
        <v>0.24908659278719419</v>
      </c>
    </row>
    <row r="30" spans="1:16" s="164" customFormat="1" x14ac:dyDescent="0.35">
      <c r="A30" s="367" t="s">
        <v>1462</v>
      </c>
      <c r="B30" s="367" t="s">
        <v>1463</v>
      </c>
      <c r="C30" s="367" t="str">
        <f t="shared" si="6"/>
        <v>BL26-&gt;PV14.1</v>
      </c>
      <c r="D30" s="367">
        <v>4.3</v>
      </c>
      <c r="E30" s="367" t="s">
        <v>1408</v>
      </c>
      <c r="F30" s="368">
        <v>7.91</v>
      </c>
      <c r="G30" s="367"/>
      <c r="H30" s="367" t="s">
        <v>1409</v>
      </c>
      <c r="I30" s="369" t="str">
        <f t="shared" si="7"/>
        <v>BOCA DE LOBO PROJETADA TRIPLA</v>
      </c>
      <c r="J30" s="369">
        <f t="shared" si="10"/>
        <v>0</v>
      </c>
      <c r="K30" s="369"/>
      <c r="L30" s="369" t="str">
        <f t="shared" si="8"/>
        <v>PROJETADA</v>
      </c>
      <c r="M30" s="370"/>
      <c r="N30" s="379"/>
      <c r="O30" s="370"/>
      <c r="P30" s="327">
        <f t="shared" si="9"/>
        <v>0</v>
      </c>
    </row>
    <row r="31" spans="1:16" s="164" customFormat="1" x14ac:dyDescent="0.35">
      <c r="A31" s="367" t="s">
        <v>1465</v>
      </c>
      <c r="B31" s="367" t="s">
        <v>1464</v>
      </c>
      <c r="C31" s="367" t="str">
        <f t="shared" si="6"/>
        <v>BL27-&gt;PV15.1</v>
      </c>
      <c r="D31" s="367">
        <v>4.3</v>
      </c>
      <c r="E31" s="367" t="s">
        <v>1408</v>
      </c>
      <c r="F31" s="368">
        <v>3.98</v>
      </c>
      <c r="G31" s="367"/>
      <c r="H31" s="367" t="s">
        <v>1422</v>
      </c>
      <c r="I31" s="369" t="str">
        <f t="shared" si="7"/>
        <v>BOCA DE LOBO PROJETADA DUPLA</v>
      </c>
      <c r="J31" s="369">
        <f t="shared" si="10"/>
        <v>0</v>
      </c>
      <c r="K31" s="369"/>
      <c r="L31" s="369" t="str">
        <f t="shared" si="8"/>
        <v>PROJETADA</v>
      </c>
      <c r="M31" s="370"/>
      <c r="N31" s="379"/>
      <c r="O31" s="370"/>
      <c r="P31" s="327">
        <f t="shared" si="9"/>
        <v>0</v>
      </c>
    </row>
    <row r="32" spans="1:16" s="164" customFormat="1" ht="43.5" x14ac:dyDescent="0.35">
      <c r="A32" s="367" t="s">
        <v>1467</v>
      </c>
      <c r="B32" s="367" t="s">
        <v>1466</v>
      </c>
      <c r="C32" s="367" t="str">
        <f t="shared" si="6"/>
        <v>BL28-&gt;PV16.1</v>
      </c>
      <c r="D32" s="367">
        <v>4.0999999999999996</v>
      </c>
      <c r="E32" s="367" t="s">
        <v>1408</v>
      </c>
      <c r="F32" s="368">
        <v>22.88</v>
      </c>
      <c r="G32" s="367" t="s">
        <v>1425</v>
      </c>
      <c r="H32" s="367" t="s">
        <v>1425</v>
      </c>
      <c r="I32" s="369" t="str">
        <f>IF(G32="","BOCA DE LOBO PROJETADA "&amp;H32,IF(H32="","BOCA DE LOBO EXISTENTE "&amp;G32,"BOCA DE LOBO "&amp;G32&amp;" EXISTENTE COM BOCA DE LOBO "&amp;H32&amp;" PROJETADA"))</f>
        <v>BOCA DE LOBO SIMPLES EXISTENTE COM BOCA DE LOBO SIMPLES PROJETADA</v>
      </c>
      <c r="J32" s="369">
        <f>IF(E32="EXISTENTE",1,0)</f>
        <v>0</v>
      </c>
      <c r="K32" s="369"/>
      <c r="L32" s="369" t="str">
        <f>IF(G32&lt;&gt;"",IF(H32&lt;&gt;"","AMPLIADA","EXISTENTE"),"PROJETADA")</f>
        <v>AMPLIADA</v>
      </c>
      <c r="M32" s="370"/>
      <c r="N32" s="379"/>
      <c r="O32" s="370"/>
      <c r="P32" s="324">
        <f>IF(AND(E32="PROJETADO",G32&lt;&gt;""),F32/2*(PI()*0.519*0.519/4-PI()*0.4*0.4/4),0)</f>
        <v>0.98260366258120746</v>
      </c>
    </row>
    <row r="33" spans="1:16" s="164" customFormat="1" x14ac:dyDescent="0.35">
      <c r="A33" s="367" t="s">
        <v>1467</v>
      </c>
      <c r="B33" s="367" t="s">
        <v>1469</v>
      </c>
      <c r="C33" s="367" t="str">
        <f t="shared" si="6"/>
        <v>BL29-&gt;PV16.1</v>
      </c>
      <c r="D33" s="367">
        <v>4.0999999999999996</v>
      </c>
      <c r="E33" s="367" t="s">
        <v>1408</v>
      </c>
      <c r="F33" s="368">
        <v>8.9499999999999993</v>
      </c>
      <c r="G33" s="367"/>
      <c r="H33" s="367" t="s">
        <v>1422</v>
      </c>
      <c r="I33" s="369" t="str">
        <f t="shared" si="7"/>
        <v>BOCA DE LOBO PROJETADA DUPLA</v>
      </c>
      <c r="J33" s="369">
        <f t="shared" si="10"/>
        <v>0</v>
      </c>
      <c r="K33" s="369"/>
      <c r="L33" s="369" t="str">
        <f t="shared" si="8"/>
        <v>PROJETADA</v>
      </c>
      <c r="M33" s="370"/>
      <c r="N33" s="379"/>
      <c r="O33" s="370"/>
      <c r="P33" s="324">
        <f t="shared" si="9"/>
        <v>0</v>
      </c>
    </row>
    <row r="34" spans="1:16" s="164" customFormat="1" x14ac:dyDescent="0.35">
      <c r="A34" s="367" t="s">
        <v>1467</v>
      </c>
      <c r="B34" s="367" t="s">
        <v>1468</v>
      </c>
      <c r="C34" s="367" t="str">
        <f t="shared" si="6"/>
        <v>BL30-&gt;PV16.1</v>
      </c>
      <c r="D34" s="367">
        <v>4.0999999999999996</v>
      </c>
      <c r="E34" s="367" t="s">
        <v>1408</v>
      </c>
      <c r="F34" s="368">
        <v>7.23</v>
      </c>
      <c r="G34" s="367"/>
      <c r="H34" s="367" t="s">
        <v>1422</v>
      </c>
      <c r="I34" s="369" t="str">
        <f t="shared" si="7"/>
        <v>BOCA DE LOBO PROJETADA DUPLA</v>
      </c>
      <c r="J34" s="369">
        <f t="shared" si="10"/>
        <v>0</v>
      </c>
      <c r="K34" s="369"/>
      <c r="L34" s="369" t="str">
        <f t="shared" si="8"/>
        <v>PROJETADA</v>
      </c>
      <c r="M34" s="370"/>
      <c r="N34" s="379"/>
      <c r="O34" s="370"/>
      <c r="P34" s="324">
        <f t="shared" si="9"/>
        <v>0</v>
      </c>
    </row>
    <row r="35" spans="1:16" s="164" customFormat="1" x14ac:dyDescent="0.35">
      <c r="A35" s="367" t="s">
        <v>1471</v>
      </c>
      <c r="B35" s="367" t="s">
        <v>1470</v>
      </c>
      <c r="C35" s="367" t="str">
        <f t="shared" si="6"/>
        <v>BL31-&gt;PV17.1</v>
      </c>
      <c r="D35" s="367">
        <v>4.0999999999999996</v>
      </c>
      <c r="E35" s="367" t="s">
        <v>1408</v>
      </c>
      <c r="F35" s="368">
        <v>6.24</v>
      </c>
      <c r="G35" s="367"/>
      <c r="H35" s="367" t="s">
        <v>1409</v>
      </c>
      <c r="I35" s="369" t="str">
        <f t="shared" si="7"/>
        <v>BOCA DE LOBO PROJETADA TRIPLA</v>
      </c>
      <c r="J35" s="369">
        <f t="shared" si="10"/>
        <v>0</v>
      </c>
      <c r="K35" s="369"/>
      <c r="L35" s="369" t="str">
        <f t="shared" si="8"/>
        <v>PROJETADA</v>
      </c>
      <c r="M35" s="370"/>
      <c r="N35" s="379"/>
      <c r="O35" s="370"/>
      <c r="P35" s="324">
        <f t="shared" si="9"/>
        <v>0</v>
      </c>
    </row>
    <row r="36" spans="1:16" s="164" customFormat="1" x14ac:dyDescent="0.35">
      <c r="A36" s="367" t="s">
        <v>1471</v>
      </c>
      <c r="B36" s="367" t="s">
        <v>1472</v>
      </c>
      <c r="C36" s="367" t="str">
        <f t="shared" si="6"/>
        <v>BL32-&gt;PV17.1</v>
      </c>
      <c r="D36" s="367">
        <v>4.0999999999999996</v>
      </c>
      <c r="E36" s="367" t="s">
        <v>1408</v>
      </c>
      <c r="F36" s="368">
        <v>3.84</v>
      </c>
      <c r="G36" s="367"/>
      <c r="H36" s="367" t="s">
        <v>1422</v>
      </c>
      <c r="I36" s="369" t="str">
        <f t="shared" si="7"/>
        <v>BOCA DE LOBO PROJETADA DUPLA</v>
      </c>
      <c r="J36" s="369">
        <f t="shared" si="10"/>
        <v>0</v>
      </c>
      <c r="K36" s="369"/>
      <c r="L36" s="369" t="str">
        <f t="shared" si="8"/>
        <v>PROJETADA</v>
      </c>
      <c r="M36" s="370"/>
      <c r="N36" s="379"/>
      <c r="O36" s="370"/>
      <c r="P36" s="324">
        <f t="shared" si="9"/>
        <v>0</v>
      </c>
    </row>
    <row r="37" spans="1:16" s="164" customFormat="1" ht="43.5" x14ac:dyDescent="0.35">
      <c r="A37" s="367" t="s">
        <v>1474</v>
      </c>
      <c r="B37" s="367" t="s">
        <v>1473</v>
      </c>
      <c r="C37" s="367" t="str">
        <f t="shared" si="6"/>
        <v>BL33-&gt;PV18.1</v>
      </c>
      <c r="D37" s="367">
        <v>3.82</v>
      </c>
      <c r="E37" s="367" t="s">
        <v>1408</v>
      </c>
      <c r="F37" s="368">
        <v>5.38</v>
      </c>
      <c r="G37" s="367" t="s">
        <v>1422</v>
      </c>
      <c r="H37" s="367" t="s">
        <v>1425</v>
      </c>
      <c r="I37" s="369" t="str">
        <f t="shared" si="7"/>
        <v>BOCA DE LOBO DUPLA EXISTENTE COM BOCA DE LOBO SIMPLES PROJETADA</v>
      </c>
      <c r="J37" s="369">
        <f t="shared" si="10"/>
        <v>0</v>
      </c>
      <c r="K37" s="369"/>
      <c r="L37" s="369" t="str">
        <f t="shared" si="8"/>
        <v>AMPLIADA</v>
      </c>
      <c r="M37" s="370"/>
      <c r="N37" s="379"/>
      <c r="O37" s="379"/>
      <c r="P37" s="324">
        <f t="shared" si="9"/>
        <v>0.23104928779225944</v>
      </c>
    </row>
    <row r="38" spans="1:16" s="164" customFormat="1" x14ac:dyDescent="0.35">
      <c r="A38" s="367" t="s">
        <v>1474</v>
      </c>
      <c r="B38" s="367" t="s">
        <v>1475</v>
      </c>
      <c r="C38" s="367" t="str">
        <f t="shared" si="6"/>
        <v>BL34-&gt;PV18.1</v>
      </c>
      <c r="D38" s="367">
        <v>3.82</v>
      </c>
      <c r="E38" s="367" t="s">
        <v>1408</v>
      </c>
      <c r="F38" s="368">
        <v>11.11</v>
      </c>
      <c r="G38" s="367"/>
      <c r="H38" s="367" t="s">
        <v>1422</v>
      </c>
      <c r="I38" s="369" t="str">
        <f t="shared" si="7"/>
        <v>BOCA DE LOBO PROJETADA DUPLA</v>
      </c>
      <c r="J38" s="369">
        <f t="shared" si="10"/>
        <v>0</v>
      </c>
      <c r="K38" s="369"/>
      <c r="L38" s="369" t="str">
        <f t="shared" si="8"/>
        <v>PROJETADA</v>
      </c>
      <c r="M38" s="370"/>
      <c r="N38" s="379"/>
      <c r="O38" s="379"/>
      <c r="P38" s="324">
        <f t="shared" si="9"/>
        <v>0</v>
      </c>
    </row>
    <row r="39" spans="1:16" s="164" customFormat="1" x14ac:dyDescent="0.35">
      <c r="A39" s="367" t="s">
        <v>1477</v>
      </c>
      <c r="B39" s="367" t="s">
        <v>1476</v>
      </c>
      <c r="C39" s="367" t="str">
        <f t="shared" si="6"/>
        <v>BL35-&gt;PV19.1</v>
      </c>
      <c r="D39" s="367">
        <v>4.22</v>
      </c>
      <c r="E39" s="367" t="s">
        <v>1408</v>
      </c>
      <c r="F39" s="368">
        <v>10.08</v>
      </c>
      <c r="G39" s="367"/>
      <c r="H39" s="367" t="s">
        <v>1422</v>
      </c>
      <c r="I39" s="369" t="str">
        <f t="shared" si="7"/>
        <v>BOCA DE LOBO PROJETADA DUPLA</v>
      </c>
      <c r="J39" s="369">
        <f t="shared" si="10"/>
        <v>0</v>
      </c>
      <c r="K39" s="369"/>
      <c r="L39" s="369" t="str">
        <f t="shared" si="8"/>
        <v>PROJETADA</v>
      </c>
      <c r="M39" s="370"/>
      <c r="N39" s="379"/>
      <c r="O39" s="379"/>
      <c r="P39" s="324">
        <f t="shared" si="9"/>
        <v>0</v>
      </c>
    </row>
    <row r="40" spans="1:16" s="164" customFormat="1" x14ac:dyDescent="0.35">
      <c r="A40" s="372" t="s">
        <v>1479</v>
      </c>
      <c r="B40" s="367"/>
      <c r="C40" s="367"/>
      <c r="D40" s="367"/>
      <c r="E40" s="367"/>
      <c r="F40" s="368"/>
      <c r="G40" s="367"/>
      <c r="H40" s="367"/>
      <c r="I40" s="369"/>
      <c r="J40" s="369"/>
      <c r="K40" s="369"/>
      <c r="L40" s="369"/>
      <c r="M40" s="370"/>
      <c r="N40" s="379"/>
      <c r="O40" s="379"/>
      <c r="P40" s="324">
        <f t="shared" ref="P40:P78" si="11">IF(AND(E40="PROJETADO",G40&lt;&gt;""),F40/2*(PI()*0.519*0.519/4-PI()*0.4*0.4/4),0)</f>
        <v>0</v>
      </c>
    </row>
    <row r="41" spans="1:16" s="164" customFormat="1" x14ac:dyDescent="0.35">
      <c r="A41" s="367" t="s">
        <v>1480</v>
      </c>
      <c r="B41" s="367" t="s">
        <v>1478</v>
      </c>
      <c r="C41" s="367" t="str">
        <f t="shared" ref="C41:C78" si="12">CONCATENATE(B41,"-&gt;",A41)</f>
        <v>BL36-&gt;PV1-19</v>
      </c>
      <c r="D41" s="374">
        <v>1.6</v>
      </c>
      <c r="E41" s="367" t="s">
        <v>1479</v>
      </c>
      <c r="F41" s="368">
        <v>4.7699999999999996</v>
      </c>
      <c r="G41" s="367"/>
      <c r="H41" s="367" t="s">
        <v>1409</v>
      </c>
      <c r="I41" s="369" t="str">
        <f t="shared" ref="I41:I78" si="13">IF(G41="","BOCA DE LOBO PROJETADA "&amp;H41,IF(H41="","BOCA DE LOBO EXISTENTE "&amp;G41,"BOCA DE LOBO "&amp;G41&amp;" EXISTENTE COM BOCA DE LOBO "&amp;H41&amp;" PROJETADA"))</f>
        <v>BOCA DE LOBO PROJETADA TRIPLA</v>
      </c>
      <c r="J41" s="369">
        <f t="shared" ref="J41:J78" si="14">IF(E41="EXISTENTE",1,0)</f>
        <v>1</v>
      </c>
      <c r="K41" s="369">
        <v>500</v>
      </c>
      <c r="L41" s="369" t="str">
        <f t="shared" ref="L41:L78" si="15">IF(G41&lt;&gt;"",IF(H41&lt;&gt;"","AMPLIADA","EXISTENTE"),"PROJETADA")</f>
        <v>PROJETADA</v>
      </c>
      <c r="M41" s="370"/>
      <c r="N41" s="379"/>
      <c r="O41" s="379"/>
      <c r="P41" s="324">
        <f t="shared" si="11"/>
        <v>0</v>
      </c>
    </row>
    <row r="42" spans="1:16" s="164" customFormat="1" x14ac:dyDescent="0.35">
      <c r="A42" s="367" t="s">
        <v>1480</v>
      </c>
      <c r="B42" s="367" t="s">
        <v>1482</v>
      </c>
      <c r="C42" s="367" t="str">
        <f t="shared" si="12"/>
        <v>BL37-&gt;PV1-19</v>
      </c>
      <c r="D42" s="374">
        <v>1.6</v>
      </c>
      <c r="E42" s="367" t="s">
        <v>1479</v>
      </c>
      <c r="F42" s="368">
        <v>9.27</v>
      </c>
      <c r="G42" s="367"/>
      <c r="H42" s="367" t="s">
        <v>1409</v>
      </c>
      <c r="I42" s="369" t="str">
        <f t="shared" si="13"/>
        <v>BOCA DE LOBO PROJETADA TRIPLA</v>
      </c>
      <c r="J42" s="369">
        <f t="shared" si="14"/>
        <v>1</v>
      </c>
      <c r="K42" s="369">
        <v>500</v>
      </c>
      <c r="L42" s="369" t="str">
        <f t="shared" si="15"/>
        <v>PROJETADA</v>
      </c>
      <c r="M42" s="370"/>
      <c r="N42" s="379"/>
      <c r="O42" s="379"/>
      <c r="P42" s="324">
        <f t="shared" si="11"/>
        <v>0</v>
      </c>
    </row>
    <row r="43" spans="1:16" s="164" customFormat="1" x14ac:dyDescent="0.35">
      <c r="A43" s="367" t="s">
        <v>1484</v>
      </c>
      <c r="B43" s="367" t="s">
        <v>1485</v>
      </c>
      <c r="C43" s="367" t="str">
        <f t="shared" si="12"/>
        <v>BL38-&gt;PV2-19</v>
      </c>
      <c r="D43" s="367">
        <f>957.693-955.273</f>
        <v>2.4199999999999591</v>
      </c>
      <c r="E43" s="367" t="s">
        <v>1479</v>
      </c>
      <c r="F43" s="368">
        <v>5.03</v>
      </c>
      <c r="G43" s="367" t="s">
        <v>1425</v>
      </c>
      <c r="H43" s="367"/>
      <c r="I43" s="369" t="str">
        <f t="shared" si="13"/>
        <v>BOCA DE LOBO EXISTENTE SIMPLES</v>
      </c>
      <c r="J43" s="369">
        <f t="shared" si="14"/>
        <v>1</v>
      </c>
      <c r="K43" s="369">
        <v>600</v>
      </c>
      <c r="L43" s="369" t="str">
        <f t="shared" si="15"/>
        <v>EXISTENTE</v>
      </c>
      <c r="M43" s="370"/>
      <c r="N43" s="380"/>
      <c r="O43" s="370"/>
      <c r="P43" s="324">
        <f t="shared" si="11"/>
        <v>0</v>
      </c>
    </row>
    <row r="44" spans="1:16" s="164" customFormat="1" x14ac:dyDescent="0.35">
      <c r="A44" s="367" t="s">
        <v>1484</v>
      </c>
      <c r="B44" s="367" t="s">
        <v>1487</v>
      </c>
      <c r="C44" s="367" t="str">
        <f t="shared" si="12"/>
        <v>BL39-&gt;PV2-19</v>
      </c>
      <c r="D44" s="367">
        <f>957.693-955.273</f>
        <v>2.4199999999999591</v>
      </c>
      <c r="E44" s="367" t="s">
        <v>1479</v>
      </c>
      <c r="F44" s="368">
        <v>5.0599999999999996</v>
      </c>
      <c r="G44" s="367" t="s">
        <v>1422</v>
      </c>
      <c r="H44" s="367"/>
      <c r="I44" s="369" t="str">
        <f t="shared" si="13"/>
        <v>BOCA DE LOBO EXISTENTE DUPLA</v>
      </c>
      <c r="J44" s="369">
        <f t="shared" si="14"/>
        <v>1</v>
      </c>
      <c r="K44" s="369">
        <v>600</v>
      </c>
      <c r="L44" s="369" t="str">
        <f t="shared" si="15"/>
        <v>EXISTENTE</v>
      </c>
      <c r="M44" s="370"/>
      <c r="N44" s="380"/>
      <c r="O44" s="370"/>
      <c r="P44" s="324">
        <f t="shared" si="11"/>
        <v>0</v>
      </c>
    </row>
    <row r="45" spans="1:16" s="164" customFormat="1" x14ac:dyDescent="0.35">
      <c r="A45" s="367" t="s">
        <v>1489</v>
      </c>
      <c r="B45" s="367" t="s">
        <v>1490</v>
      </c>
      <c r="C45" s="367" t="str">
        <f t="shared" si="12"/>
        <v>BL40-&gt;PV3-19</v>
      </c>
      <c r="D45" s="367">
        <f>956.232-953.962</f>
        <v>2.2699999999999818</v>
      </c>
      <c r="E45" s="367" t="s">
        <v>1479</v>
      </c>
      <c r="F45" s="368">
        <v>10.08</v>
      </c>
      <c r="G45" s="367" t="s">
        <v>1409</v>
      </c>
      <c r="H45" s="367"/>
      <c r="I45" s="369" t="str">
        <f t="shared" si="13"/>
        <v>BOCA DE LOBO EXISTENTE TRIPLA</v>
      </c>
      <c r="J45" s="369">
        <f t="shared" si="14"/>
        <v>1</v>
      </c>
      <c r="K45" s="369">
        <v>800</v>
      </c>
      <c r="L45" s="369" t="str">
        <f t="shared" si="15"/>
        <v>EXISTENTE</v>
      </c>
      <c r="M45" s="370"/>
      <c r="N45" s="380"/>
      <c r="O45" s="370"/>
      <c r="P45" s="324">
        <f t="shared" si="11"/>
        <v>0</v>
      </c>
    </row>
    <row r="46" spans="1:16" s="164" customFormat="1" x14ac:dyDescent="0.35">
      <c r="A46" s="367" t="s">
        <v>1492</v>
      </c>
      <c r="B46" s="367" t="s">
        <v>1493</v>
      </c>
      <c r="C46" s="367" t="str">
        <f t="shared" si="12"/>
        <v>BL41-&gt;PV4-19</v>
      </c>
      <c r="D46" s="367">
        <f>955.578-953.308</f>
        <v>2.2699999999999818</v>
      </c>
      <c r="E46" s="367" t="s">
        <v>1479</v>
      </c>
      <c r="F46" s="368">
        <v>6.98</v>
      </c>
      <c r="G46" s="367" t="s">
        <v>1425</v>
      </c>
      <c r="H46" s="367"/>
      <c r="I46" s="369" t="str">
        <f t="shared" si="13"/>
        <v>BOCA DE LOBO EXISTENTE SIMPLES</v>
      </c>
      <c r="J46" s="369">
        <f t="shared" si="14"/>
        <v>1</v>
      </c>
      <c r="K46" s="369">
        <v>800</v>
      </c>
      <c r="L46" s="369" t="str">
        <f t="shared" si="15"/>
        <v>EXISTENTE</v>
      </c>
      <c r="M46" s="370"/>
      <c r="N46" s="380"/>
      <c r="O46" s="370"/>
      <c r="P46" s="324">
        <f t="shared" si="11"/>
        <v>0</v>
      </c>
    </row>
    <row r="47" spans="1:16" s="164" customFormat="1" x14ac:dyDescent="0.35">
      <c r="A47" s="367" t="s">
        <v>1495</v>
      </c>
      <c r="B47" s="367" t="s">
        <v>1496</v>
      </c>
      <c r="C47" s="367" t="str">
        <f t="shared" si="12"/>
        <v>BL42-&gt;PV5-19</v>
      </c>
      <c r="D47" s="367">
        <f>954.818-952.068</f>
        <v>2.75</v>
      </c>
      <c r="E47" s="367" t="s">
        <v>1479</v>
      </c>
      <c r="F47" s="368">
        <v>6.7</v>
      </c>
      <c r="G47" s="367" t="s">
        <v>1422</v>
      </c>
      <c r="H47" s="367"/>
      <c r="I47" s="369" t="str">
        <f t="shared" si="13"/>
        <v>BOCA DE LOBO EXISTENTE DUPLA</v>
      </c>
      <c r="J47" s="369">
        <f t="shared" si="14"/>
        <v>1</v>
      </c>
      <c r="K47" s="369">
        <v>600</v>
      </c>
      <c r="L47" s="369" t="str">
        <f t="shared" si="15"/>
        <v>EXISTENTE</v>
      </c>
      <c r="M47" s="370"/>
      <c r="N47" s="380"/>
      <c r="O47" s="370"/>
      <c r="P47" s="324">
        <f t="shared" si="11"/>
        <v>0</v>
      </c>
    </row>
    <row r="48" spans="1:16" s="164" customFormat="1" x14ac:dyDescent="0.35">
      <c r="A48" s="367" t="s">
        <v>1498</v>
      </c>
      <c r="B48" s="367" t="s">
        <v>1499</v>
      </c>
      <c r="C48" s="367" t="str">
        <f t="shared" si="12"/>
        <v>BL43-&gt;PV6-19</v>
      </c>
      <c r="D48" s="367">
        <f>952.999-950.299</f>
        <v>2.7000000000000455</v>
      </c>
      <c r="E48" s="367" t="s">
        <v>1479</v>
      </c>
      <c r="F48" s="368">
        <v>6.6</v>
      </c>
      <c r="G48" s="367" t="s">
        <v>1422</v>
      </c>
      <c r="H48" s="367"/>
      <c r="I48" s="369" t="str">
        <f t="shared" si="13"/>
        <v>BOCA DE LOBO EXISTENTE DUPLA</v>
      </c>
      <c r="J48" s="369">
        <f t="shared" si="14"/>
        <v>1</v>
      </c>
      <c r="K48" s="369">
        <v>600</v>
      </c>
      <c r="L48" s="369" t="str">
        <f t="shared" si="15"/>
        <v>EXISTENTE</v>
      </c>
      <c r="M48" s="370"/>
      <c r="N48" s="380"/>
      <c r="O48" s="370"/>
      <c r="P48" s="324">
        <f t="shared" si="11"/>
        <v>0</v>
      </c>
    </row>
    <row r="49" spans="1:16" s="164" customFormat="1" x14ac:dyDescent="0.35">
      <c r="A49" s="367" t="s">
        <v>1501</v>
      </c>
      <c r="B49" s="367" t="s">
        <v>1502</v>
      </c>
      <c r="C49" s="367" t="str">
        <f t="shared" si="12"/>
        <v>BL44-&gt;PV7-19</v>
      </c>
      <c r="D49" s="367">
        <f>950.621-947.951</f>
        <v>2.6699999999999591</v>
      </c>
      <c r="E49" s="367" t="s">
        <v>1479</v>
      </c>
      <c r="F49" s="368">
        <v>2.89</v>
      </c>
      <c r="G49" s="367" t="s">
        <v>1425</v>
      </c>
      <c r="H49" s="367"/>
      <c r="I49" s="369" t="str">
        <f t="shared" si="13"/>
        <v>BOCA DE LOBO EXISTENTE SIMPLES</v>
      </c>
      <c r="J49" s="369">
        <f t="shared" si="14"/>
        <v>1</v>
      </c>
      <c r="K49" s="369">
        <v>600</v>
      </c>
      <c r="L49" s="369" t="str">
        <f t="shared" si="15"/>
        <v>EXISTENTE</v>
      </c>
      <c r="M49" s="370"/>
      <c r="N49" s="380"/>
      <c r="O49" s="370"/>
      <c r="P49" s="324">
        <f t="shared" si="11"/>
        <v>0</v>
      </c>
    </row>
    <row r="50" spans="1:16" s="164" customFormat="1" x14ac:dyDescent="0.35">
      <c r="A50" s="367" t="s">
        <v>1504</v>
      </c>
      <c r="B50" s="367" t="s">
        <v>1505</v>
      </c>
      <c r="C50" s="367" t="str">
        <f t="shared" si="12"/>
        <v>BL45-&gt;PV1-20</v>
      </c>
      <c r="D50" s="367">
        <f>954.9-953.15</f>
        <v>1.75</v>
      </c>
      <c r="E50" s="367" t="s">
        <v>1479</v>
      </c>
      <c r="F50" s="368">
        <v>7.6</v>
      </c>
      <c r="G50" s="367" t="s">
        <v>1425</v>
      </c>
      <c r="H50" s="367"/>
      <c r="I50" s="369" t="str">
        <f t="shared" si="13"/>
        <v>BOCA DE LOBO EXISTENTE SIMPLES</v>
      </c>
      <c r="J50" s="369">
        <f t="shared" si="14"/>
        <v>1</v>
      </c>
      <c r="K50" s="369">
        <v>400</v>
      </c>
      <c r="L50" s="369" t="str">
        <f t="shared" si="15"/>
        <v>EXISTENTE</v>
      </c>
      <c r="M50" s="370"/>
      <c r="N50" s="380"/>
      <c r="O50" s="370"/>
      <c r="P50" s="324">
        <f t="shared" si="11"/>
        <v>0</v>
      </c>
    </row>
    <row r="51" spans="1:16" s="164" customFormat="1" x14ac:dyDescent="0.35">
      <c r="A51" s="367" t="s">
        <v>1507</v>
      </c>
      <c r="B51" s="367" t="s">
        <v>1508</v>
      </c>
      <c r="C51" s="367" t="str">
        <f t="shared" si="12"/>
        <v>BL46-&gt;PV1-21</v>
      </c>
      <c r="D51" s="367">
        <f>970.941-968.711</f>
        <v>2.2300000000000182</v>
      </c>
      <c r="E51" s="367" t="s">
        <v>1479</v>
      </c>
      <c r="F51" s="368">
        <v>9.5500000000000007</v>
      </c>
      <c r="G51" s="367"/>
      <c r="H51" s="367" t="s">
        <v>1422</v>
      </c>
      <c r="I51" s="369" t="str">
        <f t="shared" si="13"/>
        <v>BOCA DE LOBO PROJETADA DUPLA</v>
      </c>
      <c r="J51" s="369">
        <f t="shared" si="14"/>
        <v>1</v>
      </c>
      <c r="K51" s="369">
        <v>400</v>
      </c>
      <c r="L51" s="369" t="str">
        <f t="shared" si="15"/>
        <v>PROJETADA</v>
      </c>
      <c r="M51" s="370"/>
      <c r="N51" s="380"/>
      <c r="O51" s="370"/>
      <c r="P51" s="324">
        <f t="shared" si="11"/>
        <v>0</v>
      </c>
    </row>
    <row r="52" spans="1:16" s="164" customFormat="1" x14ac:dyDescent="0.35">
      <c r="A52" s="367" t="s">
        <v>1509</v>
      </c>
      <c r="B52" s="367" t="s">
        <v>1510</v>
      </c>
      <c r="C52" s="367" t="str">
        <f t="shared" si="12"/>
        <v>BL47-&gt;PV2-21</v>
      </c>
      <c r="D52" s="367">
        <f>970.87-968.72</f>
        <v>2.1499999999999773</v>
      </c>
      <c r="E52" s="367" t="s">
        <v>1479</v>
      </c>
      <c r="F52" s="368">
        <v>9.39</v>
      </c>
      <c r="G52" s="367"/>
      <c r="H52" s="367" t="s">
        <v>1422</v>
      </c>
      <c r="I52" s="369" t="str">
        <f t="shared" si="13"/>
        <v>BOCA DE LOBO PROJETADA DUPLA</v>
      </c>
      <c r="J52" s="369">
        <f t="shared" si="14"/>
        <v>1</v>
      </c>
      <c r="K52" s="369">
        <v>400</v>
      </c>
      <c r="L52" s="369" t="str">
        <f t="shared" si="15"/>
        <v>PROJETADA</v>
      </c>
      <c r="M52" s="370"/>
      <c r="N52" s="380"/>
      <c r="O52" s="370"/>
      <c r="P52" s="324">
        <f t="shared" si="11"/>
        <v>0</v>
      </c>
    </row>
    <row r="53" spans="1:16" s="164" customFormat="1" x14ac:dyDescent="0.35">
      <c r="A53" s="367" t="s">
        <v>1511</v>
      </c>
      <c r="B53" s="367" t="s">
        <v>1512</v>
      </c>
      <c r="C53" s="367" t="str">
        <f t="shared" si="12"/>
        <v>BL48-&gt;PV3-21</v>
      </c>
      <c r="D53" s="367">
        <f>970.91-968.41</f>
        <v>2.5</v>
      </c>
      <c r="E53" s="367" t="s">
        <v>1479</v>
      </c>
      <c r="F53" s="368">
        <v>7.55</v>
      </c>
      <c r="G53" s="367"/>
      <c r="H53" s="367" t="s">
        <v>1422</v>
      </c>
      <c r="I53" s="369" t="str">
        <f t="shared" si="13"/>
        <v>BOCA DE LOBO PROJETADA DUPLA</v>
      </c>
      <c r="J53" s="369">
        <f t="shared" si="14"/>
        <v>1</v>
      </c>
      <c r="K53" s="369">
        <v>600</v>
      </c>
      <c r="L53" s="369" t="str">
        <f t="shared" si="15"/>
        <v>PROJETADA</v>
      </c>
      <c r="M53" s="370"/>
      <c r="N53" s="380"/>
      <c r="O53" s="370"/>
      <c r="P53" s="324">
        <f t="shared" si="11"/>
        <v>0</v>
      </c>
    </row>
    <row r="54" spans="1:16" s="164" customFormat="1" x14ac:dyDescent="0.35">
      <c r="A54" s="367" t="s">
        <v>1514</v>
      </c>
      <c r="B54" s="367" t="s">
        <v>1515</v>
      </c>
      <c r="C54" s="367" t="str">
        <f t="shared" si="12"/>
        <v>BL49-&gt;PV4-21</v>
      </c>
      <c r="D54" s="367">
        <f>968.392-966.71</f>
        <v>1.6820000000000164</v>
      </c>
      <c r="E54" s="367" t="s">
        <v>1479</v>
      </c>
      <c r="F54" s="368">
        <v>7.52</v>
      </c>
      <c r="G54" s="367"/>
      <c r="H54" s="367" t="s">
        <v>1422</v>
      </c>
      <c r="I54" s="369" t="str">
        <f t="shared" si="13"/>
        <v>BOCA DE LOBO PROJETADA DUPLA</v>
      </c>
      <c r="J54" s="369">
        <f t="shared" si="14"/>
        <v>1</v>
      </c>
      <c r="K54" s="369">
        <v>400</v>
      </c>
      <c r="L54" s="369" t="str">
        <f t="shared" si="15"/>
        <v>PROJETADA</v>
      </c>
      <c r="M54" s="370"/>
      <c r="N54" s="380"/>
      <c r="O54" s="370"/>
      <c r="P54" s="324">
        <f t="shared" si="11"/>
        <v>0</v>
      </c>
    </row>
    <row r="55" spans="1:16" s="164" customFormat="1" x14ac:dyDescent="0.35">
      <c r="A55" s="367" t="s">
        <v>1517</v>
      </c>
      <c r="B55" s="367" t="s">
        <v>1518</v>
      </c>
      <c r="C55" s="367" t="str">
        <f t="shared" si="12"/>
        <v>BL50-&gt;PV5-21</v>
      </c>
      <c r="D55" s="367">
        <f>966.67-963.737</f>
        <v>2.9329999999999927</v>
      </c>
      <c r="E55" s="367" t="s">
        <v>1479</v>
      </c>
      <c r="F55" s="368">
        <v>2.5299999999999998</v>
      </c>
      <c r="G55" s="367"/>
      <c r="H55" s="367" t="s">
        <v>1422</v>
      </c>
      <c r="I55" s="369" t="str">
        <f t="shared" si="13"/>
        <v>BOCA DE LOBO PROJETADA DUPLA</v>
      </c>
      <c r="J55" s="369">
        <f t="shared" si="14"/>
        <v>1</v>
      </c>
      <c r="K55" s="369">
        <v>500</v>
      </c>
      <c r="L55" s="369" t="str">
        <f t="shared" si="15"/>
        <v>PROJETADA</v>
      </c>
      <c r="M55" s="370"/>
      <c r="N55" s="380"/>
      <c r="O55" s="370"/>
      <c r="P55" s="324">
        <f t="shared" si="11"/>
        <v>0</v>
      </c>
    </row>
    <row r="56" spans="1:16" s="164" customFormat="1" x14ac:dyDescent="0.35">
      <c r="A56" s="367" t="s">
        <v>1520</v>
      </c>
      <c r="B56" s="367" t="s">
        <v>1521</v>
      </c>
      <c r="C56" s="367" t="str">
        <f t="shared" si="12"/>
        <v>BL51-&gt;PV7-21</v>
      </c>
      <c r="D56" s="367">
        <f>964.636-961.206</f>
        <v>3.42999999999995</v>
      </c>
      <c r="E56" s="367" t="s">
        <v>1479</v>
      </c>
      <c r="F56" s="368">
        <v>4.67</v>
      </c>
      <c r="G56" s="367" t="s">
        <v>1425</v>
      </c>
      <c r="H56" s="367"/>
      <c r="I56" s="369" t="str">
        <f t="shared" si="13"/>
        <v>BOCA DE LOBO EXISTENTE SIMPLES</v>
      </c>
      <c r="J56" s="369">
        <f t="shared" si="14"/>
        <v>1</v>
      </c>
      <c r="K56" s="369">
        <v>600</v>
      </c>
      <c r="L56" s="369" t="str">
        <f t="shared" si="15"/>
        <v>EXISTENTE</v>
      </c>
      <c r="M56" s="370"/>
      <c r="N56" s="380"/>
      <c r="O56" s="370"/>
      <c r="P56" s="324">
        <f t="shared" si="11"/>
        <v>0</v>
      </c>
    </row>
    <row r="57" spans="1:16" s="164" customFormat="1" x14ac:dyDescent="0.35">
      <c r="A57" s="367" t="s">
        <v>1523</v>
      </c>
      <c r="B57" s="367" t="s">
        <v>1513</v>
      </c>
      <c r="C57" s="367" t="str">
        <f t="shared" si="12"/>
        <v>BL52-&gt;PV8-21</v>
      </c>
      <c r="D57" s="367">
        <f>962.88-958.867</f>
        <v>4.0130000000000337</v>
      </c>
      <c r="E57" s="367" t="s">
        <v>1479</v>
      </c>
      <c r="F57" s="368">
        <v>6</v>
      </c>
      <c r="G57" s="367" t="s">
        <v>1425</v>
      </c>
      <c r="H57" s="367"/>
      <c r="I57" s="369" t="str">
        <f t="shared" si="13"/>
        <v>BOCA DE LOBO EXISTENTE SIMPLES</v>
      </c>
      <c r="J57" s="369">
        <f t="shared" si="14"/>
        <v>1</v>
      </c>
      <c r="K57" s="369">
        <v>800</v>
      </c>
      <c r="L57" s="369" t="str">
        <f t="shared" si="15"/>
        <v>EXISTENTE</v>
      </c>
      <c r="M57" s="370"/>
      <c r="N57" s="380"/>
      <c r="O57" s="370"/>
      <c r="P57" s="324">
        <f t="shared" si="11"/>
        <v>0</v>
      </c>
    </row>
    <row r="58" spans="1:16" s="164" customFormat="1" x14ac:dyDescent="0.35">
      <c r="A58" s="367" t="s">
        <v>1525</v>
      </c>
      <c r="B58" s="367" t="s">
        <v>1526</v>
      </c>
      <c r="C58" s="367" t="str">
        <f t="shared" si="12"/>
        <v>BL53-&gt;PV9-21</v>
      </c>
      <c r="D58" s="367">
        <f>960.112-955.912</f>
        <v>4.1999999999999318</v>
      </c>
      <c r="E58" s="367" t="s">
        <v>1479</v>
      </c>
      <c r="F58" s="368">
        <v>10.52</v>
      </c>
      <c r="G58" s="367" t="s">
        <v>1425</v>
      </c>
      <c r="H58" s="367"/>
      <c r="I58" s="369" t="str">
        <f t="shared" si="13"/>
        <v>BOCA DE LOBO EXISTENTE SIMPLES</v>
      </c>
      <c r="J58" s="369">
        <f t="shared" si="14"/>
        <v>1</v>
      </c>
      <c r="K58" s="369">
        <v>800</v>
      </c>
      <c r="L58" s="369" t="str">
        <f t="shared" si="15"/>
        <v>EXISTENTE</v>
      </c>
      <c r="M58" s="370"/>
      <c r="N58" s="380"/>
      <c r="O58" s="370"/>
      <c r="P58" s="324">
        <f t="shared" si="11"/>
        <v>0</v>
      </c>
    </row>
    <row r="59" spans="1:16" s="164" customFormat="1" x14ac:dyDescent="0.35">
      <c r="A59" s="367" t="s">
        <v>1525</v>
      </c>
      <c r="B59" s="367" t="s">
        <v>1516</v>
      </c>
      <c r="C59" s="367" t="str">
        <f t="shared" si="12"/>
        <v>BL54-&gt;PV9-21</v>
      </c>
      <c r="D59" s="367">
        <f>960.112-955.912</f>
        <v>4.1999999999999318</v>
      </c>
      <c r="E59" s="367" t="s">
        <v>1479</v>
      </c>
      <c r="F59" s="368">
        <v>7.93</v>
      </c>
      <c r="G59" s="367" t="s">
        <v>1409</v>
      </c>
      <c r="H59" s="367"/>
      <c r="I59" s="369" t="str">
        <f t="shared" si="13"/>
        <v>BOCA DE LOBO EXISTENTE TRIPLA</v>
      </c>
      <c r="J59" s="369">
        <f t="shared" si="14"/>
        <v>1</v>
      </c>
      <c r="K59" s="369">
        <v>800</v>
      </c>
      <c r="L59" s="369" t="str">
        <f t="shared" si="15"/>
        <v>EXISTENTE</v>
      </c>
      <c r="M59" s="370"/>
      <c r="N59" s="380"/>
      <c r="O59" s="370"/>
      <c r="P59" s="324">
        <f t="shared" si="11"/>
        <v>0</v>
      </c>
    </row>
    <row r="60" spans="1:16" s="164" customFormat="1" x14ac:dyDescent="0.35">
      <c r="A60" s="367" t="s">
        <v>1529</v>
      </c>
      <c r="B60" s="367" t="s">
        <v>1530</v>
      </c>
      <c r="C60" s="367" t="str">
        <f t="shared" si="12"/>
        <v>BL55-&gt;PV10-21</v>
      </c>
      <c r="D60" s="367">
        <f>958.224-954.224</f>
        <v>4</v>
      </c>
      <c r="E60" s="367" t="s">
        <v>1479</v>
      </c>
      <c r="F60" s="368">
        <v>4.63</v>
      </c>
      <c r="G60" s="367" t="s">
        <v>1409</v>
      </c>
      <c r="H60" s="367"/>
      <c r="I60" s="369" t="str">
        <f t="shared" si="13"/>
        <v>BOCA DE LOBO EXISTENTE TRIPLA</v>
      </c>
      <c r="J60" s="369">
        <f t="shared" si="14"/>
        <v>1</v>
      </c>
      <c r="K60" s="369">
        <v>800</v>
      </c>
      <c r="L60" s="369" t="str">
        <f t="shared" si="15"/>
        <v>EXISTENTE</v>
      </c>
      <c r="M60" s="370"/>
      <c r="N60" s="380"/>
      <c r="O60" s="370"/>
      <c r="P60" s="324">
        <f t="shared" si="11"/>
        <v>0</v>
      </c>
    </row>
    <row r="61" spans="1:16" s="164" customFormat="1" x14ac:dyDescent="0.35">
      <c r="A61" s="367" t="s">
        <v>1532</v>
      </c>
      <c r="B61" s="367" t="s">
        <v>1533</v>
      </c>
      <c r="C61" s="367" t="str">
        <f t="shared" si="12"/>
        <v>BL56-&gt;PV11-21</v>
      </c>
      <c r="D61" s="367">
        <f>956.944-953.094</f>
        <v>3.8499999999999091</v>
      </c>
      <c r="E61" s="367" t="s">
        <v>1479</v>
      </c>
      <c r="F61" s="368">
        <v>5.74</v>
      </c>
      <c r="G61" s="367" t="s">
        <v>1425</v>
      </c>
      <c r="H61" s="367"/>
      <c r="I61" s="369" t="str">
        <f t="shared" si="13"/>
        <v>BOCA DE LOBO EXISTENTE SIMPLES</v>
      </c>
      <c r="J61" s="369">
        <f t="shared" si="14"/>
        <v>1</v>
      </c>
      <c r="K61" s="369">
        <v>1000</v>
      </c>
      <c r="L61" s="369" t="str">
        <f t="shared" si="15"/>
        <v>EXISTENTE</v>
      </c>
      <c r="M61" s="370"/>
      <c r="N61" s="380"/>
      <c r="O61" s="370"/>
      <c r="P61" s="324">
        <f t="shared" si="11"/>
        <v>0</v>
      </c>
    </row>
    <row r="62" spans="1:16" s="164" customFormat="1" x14ac:dyDescent="0.35">
      <c r="A62" s="367" t="s">
        <v>1532</v>
      </c>
      <c r="B62" s="367" t="s">
        <v>1535</v>
      </c>
      <c r="C62" s="367" t="str">
        <f t="shared" si="12"/>
        <v>BL57-&gt;PV11-21</v>
      </c>
      <c r="D62" s="367">
        <f>956.944-953.094</f>
        <v>3.8499999999999091</v>
      </c>
      <c r="E62" s="367" t="s">
        <v>1479</v>
      </c>
      <c r="F62" s="368">
        <v>6.67</v>
      </c>
      <c r="G62" s="367" t="s">
        <v>1422</v>
      </c>
      <c r="H62" s="367"/>
      <c r="I62" s="369" t="str">
        <f t="shared" si="13"/>
        <v>BOCA DE LOBO EXISTENTE DUPLA</v>
      </c>
      <c r="J62" s="369">
        <f t="shared" si="14"/>
        <v>1</v>
      </c>
      <c r="K62" s="369">
        <v>1000</v>
      </c>
      <c r="L62" s="369" t="str">
        <f t="shared" si="15"/>
        <v>EXISTENTE</v>
      </c>
      <c r="M62" s="370"/>
      <c r="N62" s="380"/>
      <c r="O62" s="370"/>
      <c r="P62" s="324">
        <f t="shared" si="11"/>
        <v>0</v>
      </c>
    </row>
    <row r="63" spans="1:16" s="164" customFormat="1" x14ac:dyDescent="0.35">
      <c r="A63" s="367" t="s">
        <v>1537</v>
      </c>
      <c r="B63" s="367" t="s">
        <v>1538</v>
      </c>
      <c r="C63" s="367" t="str">
        <f t="shared" si="12"/>
        <v>BL58-&gt;PV1-22</v>
      </c>
      <c r="D63" s="367">
        <f>966.19-964.51</f>
        <v>1.6800000000000637</v>
      </c>
      <c r="E63" s="367" t="s">
        <v>1479</v>
      </c>
      <c r="F63" s="368">
        <v>3.92</v>
      </c>
      <c r="G63" s="367"/>
      <c r="H63" s="367" t="s">
        <v>1409</v>
      </c>
      <c r="I63" s="369" t="str">
        <f t="shared" si="13"/>
        <v>BOCA DE LOBO PROJETADA TRIPLA</v>
      </c>
      <c r="J63" s="369">
        <f t="shared" si="14"/>
        <v>1</v>
      </c>
      <c r="K63" s="369">
        <v>500</v>
      </c>
      <c r="L63" s="369" t="str">
        <f t="shared" si="15"/>
        <v>PROJETADA</v>
      </c>
      <c r="M63" s="370"/>
      <c r="N63" s="380"/>
      <c r="O63" s="370"/>
      <c r="P63" s="324">
        <f t="shared" si="11"/>
        <v>0</v>
      </c>
    </row>
    <row r="64" spans="1:16" s="164" customFormat="1" x14ac:dyDescent="0.35">
      <c r="A64" s="367" t="s">
        <v>1539</v>
      </c>
      <c r="B64" s="367" t="s">
        <v>1519</v>
      </c>
      <c r="C64" s="367" t="str">
        <f t="shared" si="12"/>
        <v>BL59-&gt;PV1-23</v>
      </c>
      <c r="D64" s="367">
        <f>968.57-967.07</f>
        <v>1.5</v>
      </c>
      <c r="E64" s="367" t="s">
        <v>1479</v>
      </c>
      <c r="F64" s="368">
        <v>3.55</v>
      </c>
      <c r="G64" s="367"/>
      <c r="H64" s="367" t="s">
        <v>1409</v>
      </c>
      <c r="I64" s="369" t="str">
        <f t="shared" si="13"/>
        <v>BOCA DE LOBO PROJETADA TRIPLA</v>
      </c>
      <c r="J64" s="369">
        <f t="shared" si="14"/>
        <v>1</v>
      </c>
      <c r="K64" s="369">
        <v>400</v>
      </c>
      <c r="L64" s="369" t="str">
        <f t="shared" si="15"/>
        <v>PROJETADA</v>
      </c>
      <c r="M64" s="370"/>
      <c r="N64" s="380"/>
      <c r="O64" s="370"/>
      <c r="P64" s="324">
        <f t="shared" si="11"/>
        <v>0</v>
      </c>
    </row>
    <row r="65" spans="1:16" s="164" customFormat="1" x14ac:dyDescent="0.35">
      <c r="A65" s="367" t="s">
        <v>1540</v>
      </c>
      <c r="B65" s="367" t="s">
        <v>1541</v>
      </c>
      <c r="C65" s="367" t="str">
        <f t="shared" si="12"/>
        <v>BL60-&gt;PV2-23</v>
      </c>
      <c r="D65" s="367">
        <f>966.71-965.005</f>
        <v>1.7050000000000409</v>
      </c>
      <c r="E65" s="367" t="s">
        <v>1479</v>
      </c>
      <c r="F65" s="368">
        <v>4.3</v>
      </c>
      <c r="G65" s="367"/>
      <c r="H65" s="367" t="s">
        <v>1422</v>
      </c>
      <c r="I65" s="369" t="str">
        <f t="shared" si="13"/>
        <v>BOCA DE LOBO PROJETADA DUPLA</v>
      </c>
      <c r="J65" s="369">
        <f t="shared" si="14"/>
        <v>1</v>
      </c>
      <c r="K65" s="369">
        <v>400</v>
      </c>
      <c r="L65" s="369" t="str">
        <f t="shared" si="15"/>
        <v>PROJETADA</v>
      </c>
      <c r="M65" s="370"/>
      <c r="N65" s="380"/>
      <c r="O65" s="370"/>
      <c r="P65" s="324">
        <f t="shared" si="11"/>
        <v>0</v>
      </c>
    </row>
    <row r="66" spans="1:16" s="164" customFormat="1" x14ac:dyDescent="0.35">
      <c r="A66" s="367" t="s">
        <v>1542</v>
      </c>
      <c r="B66" s="367" t="s">
        <v>1543</v>
      </c>
      <c r="C66" s="367" t="str">
        <f t="shared" si="12"/>
        <v>BL61-&gt;PV3-23</v>
      </c>
      <c r="D66" s="367">
        <f>965.569-963.719</f>
        <v>1.8499999999999091</v>
      </c>
      <c r="E66" s="367" t="s">
        <v>1479</v>
      </c>
      <c r="F66" s="368">
        <v>5.5</v>
      </c>
      <c r="G66" s="367"/>
      <c r="H66" s="367" t="s">
        <v>1422</v>
      </c>
      <c r="I66" s="369" t="str">
        <f t="shared" si="13"/>
        <v>BOCA DE LOBO PROJETADA DUPLA</v>
      </c>
      <c r="J66" s="369">
        <f t="shared" si="14"/>
        <v>1</v>
      </c>
      <c r="K66" s="369">
        <v>400</v>
      </c>
      <c r="L66" s="369" t="str">
        <f t="shared" si="15"/>
        <v>PROJETADA</v>
      </c>
      <c r="M66" s="370"/>
      <c r="N66" s="380"/>
      <c r="O66" s="370"/>
      <c r="P66" s="324">
        <f t="shared" si="11"/>
        <v>0</v>
      </c>
    </row>
    <row r="67" spans="1:16" s="164" customFormat="1" x14ac:dyDescent="0.35">
      <c r="A67" s="367" t="s">
        <v>1544</v>
      </c>
      <c r="B67" s="367" t="s">
        <v>1545</v>
      </c>
      <c r="C67" s="367" t="str">
        <f t="shared" si="12"/>
        <v>BL62-&gt;PV4-23</v>
      </c>
      <c r="D67" s="367">
        <f>963.56-959.969</f>
        <v>3.5909999999998945</v>
      </c>
      <c r="E67" s="367" t="s">
        <v>1479</v>
      </c>
      <c r="F67" s="368">
        <v>5.54</v>
      </c>
      <c r="G67" s="367"/>
      <c r="H67" s="367" t="s">
        <v>1422</v>
      </c>
      <c r="I67" s="369" t="str">
        <f t="shared" si="13"/>
        <v>BOCA DE LOBO PROJETADA DUPLA</v>
      </c>
      <c r="J67" s="369">
        <f t="shared" si="14"/>
        <v>1</v>
      </c>
      <c r="K67" s="369">
        <v>1000</v>
      </c>
      <c r="L67" s="369" t="str">
        <f t="shared" si="15"/>
        <v>PROJETADA</v>
      </c>
      <c r="M67" s="370"/>
      <c r="N67" s="380"/>
      <c r="O67" s="370"/>
      <c r="P67" s="324">
        <f t="shared" si="11"/>
        <v>0</v>
      </c>
    </row>
    <row r="68" spans="1:16" s="164" customFormat="1" x14ac:dyDescent="0.35">
      <c r="A68" s="367" t="s">
        <v>1546</v>
      </c>
      <c r="B68" s="367" t="s">
        <v>1527</v>
      </c>
      <c r="C68" s="367" t="str">
        <f t="shared" si="12"/>
        <v>BL65-&gt;PV5-23</v>
      </c>
      <c r="D68" s="367">
        <f>963.67-959.614</f>
        <v>4.0559999999999263</v>
      </c>
      <c r="E68" s="367" t="s">
        <v>1479</v>
      </c>
      <c r="F68" s="368">
        <v>5.52</v>
      </c>
      <c r="G68" s="367" t="s">
        <v>1425</v>
      </c>
      <c r="H68" s="367"/>
      <c r="I68" s="369" t="str">
        <f t="shared" si="13"/>
        <v>BOCA DE LOBO EXISTENTE SIMPLES</v>
      </c>
      <c r="J68" s="369">
        <f t="shared" si="14"/>
        <v>1</v>
      </c>
      <c r="K68" s="369">
        <v>1000</v>
      </c>
      <c r="L68" s="369" t="str">
        <f t="shared" si="15"/>
        <v>EXISTENTE</v>
      </c>
      <c r="M68" s="370"/>
      <c r="N68" s="380"/>
      <c r="O68" s="370"/>
      <c r="P68" s="324">
        <f t="shared" si="11"/>
        <v>0</v>
      </c>
    </row>
    <row r="69" spans="1:16" s="164" customFormat="1" x14ac:dyDescent="0.35">
      <c r="A69" s="367" t="s">
        <v>1547</v>
      </c>
      <c r="B69" s="367" t="s">
        <v>1528</v>
      </c>
      <c r="C69" s="367" t="str">
        <f t="shared" si="12"/>
        <v>BL66-&gt;PV6-23</v>
      </c>
      <c r="D69" s="367">
        <f>963.68-959.58</f>
        <v>4.0999999999999091</v>
      </c>
      <c r="E69" s="367" t="s">
        <v>1479</v>
      </c>
      <c r="F69" s="368">
        <v>5.53</v>
      </c>
      <c r="G69" s="367" t="s">
        <v>1425</v>
      </c>
      <c r="H69" s="367"/>
      <c r="I69" s="369" t="str">
        <f t="shared" si="13"/>
        <v>BOCA DE LOBO EXISTENTE SIMPLES</v>
      </c>
      <c r="J69" s="369">
        <f t="shared" si="14"/>
        <v>1</v>
      </c>
      <c r="K69" s="369">
        <v>1000</v>
      </c>
      <c r="L69" s="369" t="str">
        <f t="shared" si="15"/>
        <v>EXISTENTE</v>
      </c>
      <c r="M69" s="370"/>
      <c r="N69" s="380"/>
      <c r="O69" s="370"/>
      <c r="P69" s="324">
        <f t="shared" si="11"/>
        <v>0</v>
      </c>
    </row>
    <row r="70" spans="1:16" s="164" customFormat="1" ht="29" x14ac:dyDescent="0.35">
      <c r="A70" s="367" t="s">
        <v>1548</v>
      </c>
      <c r="B70" s="367" t="s">
        <v>1531</v>
      </c>
      <c r="C70" s="367" t="str">
        <f t="shared" si="12"/>
        <v>BL67-&gt;PV1-24</v>
      </c>
      <c r="D70" s="367">
        <f>962.99-961.99</f>
        <v>1</v>
      </c>
      <c r="E70" s="367" t="s">
        <v>1479</v>
      </c>
      <c r="F70" s="368">
        <v>5.08</v>
      </c>
      <c r="G70" s="367"/>
      <c r="H70" s="367" t="s">
        <v>1549</v>
      </c>
      <c r="I70" s="369" t="str">
        <f t="shared" si="13"/>
        <v>BOCA DE LOBO PROJETADA QUADRUPLA</v>
      </c>
      <c r="J70" s="369">
        <f t="shared" si="14"/>
        <v>1</v>
      </c>
      <c r="K70" s="369">
        <v>500</v>
      </c>
      <c r="L70" s="369" t="str">
        <f t="shared" si="15"/>
        <v>PROJETADA</v>
      </c>
      <c r="M70" s="370"/>
      <c r="N70" s="380"/>
      <c r="O70" s="370"/>
      <c r="P70" s="324">
        <f t="shared" si="11"/>
        <v>0</v>
      </c>
    </row>
    <row r="71" spans="1:16" s="164" customFormat="1" x14ac:dyDescent="0.35">
      <c r="A71" s="367" t="s">
        <v>1550</v>
      </c>
      <c r="B71" s="367" t="s">
        <v>1522</v>
      </c>
      <c r="C71" s="367" t="str">
        <f>CONCATENATE(B71,"-&gt;",A71)</f>
        <v>BL63-&gt;PV2-24</v>
      </c>
      <c r="D71" s="367">
        <f>963.43-960.69</f>
        <v>2.7399999999998954</v>
      </c>
      <c r="E71" s="367" t="s">
        <v>1479</v>
      </c>
      <c r="F71" s="368">
        <v>5.34</v>
      </c>
      <c r="G71" s="367"/>
      <c r="H71" s="367" t="s">
        <v>1422</v>
      </c>
      <c r="I71" s="369" t="str">
        <f>IF(G71="","BOCA DE LOBO PROJETADA "&amp;H71,IF(H71="","BOCA DE LOBO EXISTENTE "&amp;G71,"BOCA DE LOBO "&amp;G71&amp;" EXISTENTE COM BOCA DE LOBO "&amp;H71&amp;" PROJETADA"))</f>
        <v>BOCA DE LOBO PROJETADA DUPLA</v>
      </c>
      <c r="J71" s="369">
        <f>IF(E71="EXISTENTE",1,0)</f>
        <v>1</v>
      </c>
      <c r="K71" s="369">
        <v>600</v>
      </c>
      <c r="L71" s="369" t="str">
        <f>IF(G71&lt;&gt;"",IF(H71&lt;&gt;"","AMPLIADA","EXISTENTE"),"PROJETADA")</f>
        <v>PROJETADA</v>
      </c>
      <c r="M71" s="370"/>
      <c r="N71" s="380"/>
      <c r="O71" s="370"/>
      <c r="P71" s="324">
        <f>IF(AND(E71="PROJETADO",G71&lt;&gt;""),F71/2*(PI()*0.519*0.519/4-PI()*0.4*0.4/4),0)</f>
        <v>0</v>
      </c>
    </row>
    <row r="72" spans="1:16" s="164" customFormat="1" x14ac:dyDescent="0.35">
      <c r="A72" s="367" t="s">
        <v>1550</v>
      </c>
      <c r="B72" s="367" t="s">
        <v>1524</v>
      </c>
      <c r="C72" s="367" t="str">
        <f>CONCATENATE(B72,"-&gt;",A72)</f>
        <v>BL64-&gt;PV2-24</v>
      </c>
      <c r="D72" s="367">
        <f>963.43-960.69</f>
        <v>2.7399999999998954</v>
      </c>
      <c r="E72" s="367" t="s">
        <v>1479</v>
      </c>
      <c r="F72" s="368">
        <v>2.95</v>
      </c>
      <c r="G72" s="367"/>
      <c r="H72" s="367" t="s">
        <v>1422</v>
      </c>
      <c r="I72" s="369" t="str">
        <f>IF(G72="","BOCA DE LOBO PROJETADA "&amp;H72,IF(H72="","BOCA DE LOBO EXISTENTE "&amp;G72,"BOCA DE LOBO "&amp;G72&amp;" EXISTENTE COM BOCA DE LOBO "&amp;H72&amp;" PROJETADA"))</f>
        <v>BOCA DE LOBO PROJETADA DUPLA</v>
      </c>
      <c r="J72" s="369">
        <f>IF(E72="EXISTENTE",1,0)</f>
        <v>1</v>
      </c>
      <c r="K72" s="369">
        <v>600</v>
      </c>
      <c r="L72" s="369" t="str">
        <f>IF(G72&lt;&gt;"",IF(H72&lt;&gt;"","AMPLIADA","EXISTENTE"),"PROJETADA")</f>
        <v>PROJETADA</v>
      </c>
      <c r="M72" s="370"/>
      <c r="N72" s="380"/>
      <c r="O72" s="370"/>
      <c r="P72" s="324">
        <f>IF(AND(E72="PROJETADO",G72&lt;&gt;""),F72/2*(PI()*0.519*0.519/4-PI()*0.4*0.4/4),0)</f>
        <v>0</v>
      </c>
    </row>
    <row r="73" spans="1:16" s="164" customFormat="1" x14ac:dyDescent="0.35">
      <c r="A73" s="367" t="s">
        <v>1552</v>
      </c>
      <c r="B73" s="367" t="s">
        <v>1534</v>
      </c>
      <c r="C73" s="367" t="str">
        <f t="shared" si="12"/>
        <v>BL68-&gt;PV1-25</v>
      </c>
      <c r="D73" s="367">
        <f>966.21-964.46</f>
        <v>1.75</v>
      </c>
      <c r="E73" s="367" t="s">
        <v>1479</v>
      </c>
      <c r="F73" s="368">
        <v>7.13</v>
      </c>
      <c r="G73" s="367" t="s">
        <v>1425</v>
      </c>
      <c r="H73" s="367"/>
      <c r="I73" s="369" t="str">
        <f t="shared" si="13"/>
        <v>BOCA DE LOBO EXISTENTE SIMPLES</v>
      </c>
      <c r="J73" s="369">
        <f t="shared" si="14"/>
        <v>1</v>
      </c>
      <c r="K73" s="369">
        <v>400</v>
      </c>
      <c r="L73" s="369" t="str">
        <f t="shared" si="15"/>
        <v>EXISTENTE</v>
      </c>
      <c r="M73" s="370"/>
      <c r="N73" s="380"/>
      <c r="O73" s="370"/>
      <c r="P73" s="324">
        <f t="shared" si="11"/>
        <v>0</v>
      </c>
    </row>
    <row r="74" spans="1:16" s="164" customFormat="1" x14ac:dyDescent="0.35">
      <c r="A74" s="367" t="s">
        <v>1553</v>
      </c>
      <c r="B74" s="367" t="s">
        <v>1536</v>
      </c>
      <c r="C74" s="367" t="str">
        <f t="shared" si="12"/>
        <v>BL69-&gt;PV1-26</v>
      </c>
      <c r="D74" s="367">
        <f>955.421-953.641</f>
        <v>1.7800000000000864</v>
      </c>
      <c r="E74" s="367" t="s">
        <v>1479</v>
      </c>
      <c r="F74" s="368">
        <v>7.35</v>
      </c>
      <c r="G74" s="367" t="s">
        <v>1409</v>
      </c>
      <c r="H74" s="367"/>
      <c r="I74" s="369" t="str">
        <f t="shared" si="13"/>
        <v>BOCA DE LOBO EXISTENTE TRIPLA</v>
      </c>
      <c r="J74" s="369">
        <f t="shared" si="14"/>
        <v>1</v>
      </c>
      <c r="K74" s="369">
        <v>400</v>
      </c>
      <c r="L74" s="369" t="str">
        <f t="shared" si="15"/>
        <v>EXISTENTE</v>
      </c>
      <c r="M74" s="370"/>
      <c r="N74" s="380"/>
      <c r="O74" s="370"/>
      <c r="P74" s="324">
        <f t="shared" si="11"/>
        <v>0</v>
      </c>
    </row>
    <row r="75" spans="1:16" s="164" customFormat="1" x14ac:dyDescent="0.35">
      <c r="A75" s="367" t="s">
        <v>1554</v>
      </c>
      <c r="B75" s="367" t="s">
        <v>1481</v>
      </c>
      <c r="C75" s="367" t="str">
        <f t="shared" si="12"/>
        <v>BL70-&gt;PV1-27</v>
      </c>
      <c r="D75" s="367">
        <f>953.37-951.37</f>
        <v>2</v>
      </c>
      <c r="E75" s="367" t="s">
        <v>1479</v>
      </c>
      <c r="F75" s="368">
        <v>3.37</v>
      </c>
      <c r="G75" s="367" t="s">
        <v>1409</v>
      </c>
      <c r="H75" s="367"/>
      <c r="I75" s="369" t="str">
        <f t="shared" si="13"/>
        <v>BOCA DE LOBO EXISTENTE TRIPLA</v>
      </c>
      <c r="J75" s="369">
        <f t="shared" si="14"/>
        <v>1</v>
      </c>
      <c r="K75" s="369">
        <v>600</v>
      </c>
      <c r="L75" s="369" t="str">
        <f t="shared" si="15"/>
        <v>EXISTENTE</v>
      </c>
      <c r="M75" s="370"/>
      <c r="N75" s="380"/>
      <c r="O75" s="370"/>
      <c r="P75" s="324">
        <f t="shared" si="11"/>
        <v>0</v>
      </c>
    </row>
    <row r="76" spans="1:16" s="164" customFormat="1" x14ac:dyDescent="0.35">
      <c r="A76" s="367" t="s">
        <v>1556</v>
      </c>
      <c r="B76" s="367" t="s">
        <v>1483</v>
      </c>
      <c r="C76" s="367" t="str">
        <f t="shared" si="12"/>
        <v>BL71-&gt;PV2-27</v>
      </c>
      <c r="D76" s="367">
        <f>953.173-951.123</f>
        <v>2.0499999999999545</v>
      </c>
      <c r="E76" s="367" t="s">
        <v>1479</v>
      </c>
      <c r="F76" s="368">
        <v>3.32</v>
      </c>
      <c r="G76" s="367" t="s">
        <v>1422</v>
      </c>
      <c r="H76" s="367"/>
      <c r="I76" s="369" t="str">
        <f t="shared" si="13"/>
        <v>BOCA DE LOBO EXISTENTE DUPLA</v>
      </c>
      <c r="J76" s="369">
        <f t="shared" si="14"/>
        <v>1</v>
      </c>
      <c r="K76" s="369">
        <v>500</v>
      </c>
      <c r="L76" s="369" t="str">
        <f t="shared" si="15"/>
        <v>EXISTENTE</v>
      </c>
      <c r="M76" s="370"/>
      <c r="N76" s="380"/>
      <c r="O76" s="370"/>
      <c r="P76" s="324">
        <f t="shared" si="11"/>
        <v>0</v>
      </c>
    </row>
    <row r="77" spans="1:16" s="164" customFormat="1" x14ac:dyDescent="0.35">
      <c r="A77" s="367" t="s">
        <v>1558</v>
      </c>
      <c r="B77" s="367" t="s">
        <v>1486</v>
      </c>
      <c r="C77" s="367" t="str">
        <f t="shared" si="12"/>
        <v>BL72-&gt;PV1-28</v>
      </c>
      <c r="D77" s="367">
        <f>950.876-949.806</f>
        <v>1.0699999999999363</v>
      </c>
      <c r="E77" s="367" t="s">
        <v>1479</v>
      </c>
      <c r="F77" s="368">
        <v>9.16</v>
      </c>
      <c r="G77" s="367" t="s">
        <v>1422</v>
      </c>
      <c r="H77" s="367"/>
      <c r="I77" s="369" t="str">
        <f t="shared" si="13"/>
        <v>BOCA DE LOBO EXISTENTE DUPLA</v>
      </c>
      <c r="J77" s="369">
        <f t="shared" si="14"/>
        <v>1</v>
      </c>
      <c r="K77" s="369">
        <v>500</v>
      </c>
      <c r="L77" s="369" t="str">
        <f t="shared" si="15"/>
        <v>EXISTENTE</v>
      </c>
      <c r="M77" s="370"/>
      <c r="N77" s="380"/>
      <c r="O77" s="370"/>
      <c r="P77" s="324">
        <f t="shared" si="11"/>
        <v>0</v>
      </c>
    </row>
    <row r="78" spans="1:16" s="164" customFormat="1" x14ac:dyDescent="0.35">
      <c r="A78" s="367" t="s">
        <v>1559</v>
      </c>
      <c r="B78" s="367" t="s">
        <v>1488</v>
      </c>
      <c r="C78" s="367" t="str">
        <f t="shared" si="12"/>
        <v>BL73-&gt;PV1-29</v>
      </c>
      <c r="D78" s="367">
        <v>2.66</v>
      </c>
      <c r="E78" s="367" t="s">
        <v>1479</v>
      </c>
      <c r="F78" s="368">
        <v>13.47</v>
      </c>
      <c r="G78" s="367" t="s">
        <v>1409</v>
      </c>
      <c r="H78" s="367"/>
      <c r="I78" s="369" t="str">
        <f t="shared" si="13"/>
        <v>BOCA DE LOBO EXISTENTE TRIPLA</v>
      </c>
      <c r="J78" s="369">
        <f t="shared" si="14"/>
        <v>1</v>
      </c>
      <c r="K78" s="369">
        <v>600</v>
      </c>
      <c r="L78" s="369" t="str">
        <f t="shared" si="15"/>
        <v>EXISTENTE</v>
      </c>
      <c r="M78" s="370"/>
      <c r="N78" s="380"/>
      <c r="O78" s="370"/>
      <c r="P78" s="324">
        <f t="shared" si="11"/>
        <v>0</v>
      </c>
    </row>
    <row r="79" spans="1:16" s="164" customFormat="1" x14ac:dyDescent="0.35">
      <c r="A79" s="367" t="s">
        <v>1555</v>
      </c>
      <c r="B79" s="367" t="s">
        <v>1491</v>
      </c>
      <c r="C79" s="367" t="str">
        <f t="shared" si="6"/>
        <v>BL74-&gt;PV1-30</v>
      </c>
      <c r="D79" s="367">
        <f>971.03-969.28</f>
        <v>1.75</v>
      </c>
      <c r="E79" s="367" t="s">
        <v>1479</v>
      </c>
      <c r="F79" s="368">
        <v>9.44</v>
      </c>
      <c r="G79" s="367"/>
      <c r="H79" s="367" t="s">
        <v>1422</v>
      </c>
      <c r="I79" s="369" t="str">
        <f t="shared" si="7"/>
        <v>BOCA DE LOBO PROJETADA DUPLA</v>
      </c>
      <c r="J79" s="369">
        <f t="shared" si="10"/>
        <v>1</v>
      </c>
      <c r="K79" s="369">
        <v>600</v>
      </c>
      <c r="L79" s="369" t="str">
        <f t="shared" si="8"/>
        <v>PROJETADA</v>
      </c>
      <c r="M79" s="370"/>
      <c r="N79" s="380"/>
      <c r="O79" s="370"/>
      <c r="P79" s="324">
        <f t="shared" si="9"/>
        <v>0</v>
      </c>
    </row>
    <row r="80" spans="1:16" s="164" customFormat="1" x14ac:dyDescent="0.35">
      <c r="A80" s="367" t="s">
        <v>1557</v>
      </c>
      <c r="B80" s="367" t="s">
        <v>1506</v>
      </c>
      <c r="C80" s="367" t="str">
        <f t="shared" si="6"/>
        <v>BL75-&gt;PV1-31</v>
      </c>
      <c r="D80" s="367">
        <f>966.015-964.365</f>
        <v>1.6499999999999773</v>
      </c>
      <c r="E80" s="367" t="s">
        <v>1479</v>
      </c>
      <c r="F80" s="368">
        <v>4.93</v>
      </c>
      <c r="G80" s="367"/>
      <c r="H80" s="367" t="s">
        <v>1422</v>
      </c>
      <c r="I80" s="369" t="str">
        <f t="shared" si="7"/>
        <v>BOCA DE LOBO PROJETADA DUPLA</v>
      </c>
      <c r="J80" s="369">
        <f t="shared" si="10"/>
        <v>1</v>
      </c>
      <c r="K80" s="369">
        <v>500</v>
      </c>
      <c r="L80" s="369" t="str">
        <f t="shared" si="8"/>
        <v>PROJETADA</v>
      </c>
      <c r="M80" s="370"/>
      <c r="N80" s="380"/>
      <c r="O80" s="370"/>
      <c r="P80" s="324">
        <f t="shared" si="9"/>
        <v>0</v>
      </c>
    </row>
    <row r="81" spans="1:16" s="164" customFormat="1" x14ac:dyDescent="0.35">
      <c r="A81" s="367" t="s">
        <v>1557</v>
      </c>
      <c r="B81" s="367" t="s">
        <v>1494</v>
      </c>
      <c r="C81" s="367" t="str">
        <f t="shared" si="6"/>
        <v>BL76-&gt;PV1-31</v>
      </c>
      <c r="D81" s="367">
        <f>966.015-964.365</f>
        <v>1.6499999999999773</v>
      </c>
      <c r="E81" s="367" t="s">
        <v>1479</v>
      </c>
      <c r="F81" s="368">
        <v>8.56</v>
      </c>
      <c r="G81" s="367"/>
      <c r="H81" s="367" t="s">
        <v>1422</v>
      </c>
      <c r="I81" s="369" t="str">
        <f t="shared" si="7"/>
        <v>BOCA DE LOBO PROJETADA DUPLA</v>
      </c>
      <c r="J81" s="369">
        <f t="shared" si="10"/>
        <v>1</v>
      </c>
      <c r="K81" s="369">
        <v>500</v>
      </c>
      <c r="L81" s="369" t="str">
        <f t="shared" si="8"/>
        <v>PROJETADA</v>
      </c>
      <c r="M81" s="370"/>
      <c r="N81" s="380"/>
      <c r="O81" s="370"/>
      <c r="P81" s="324">
        <f t="shared" si="9"/>
        <v>0</v>
      </c>
    </row>
    <row r="82" spans="1:16" s="164" customFormat="1" x14ac:dyDescent="0.35">
      <c r="A82" s="367" t="s">
        <v>1560</v>
      </c>
      <c r="B82" s="367" t="s">
        <v>1561</v>
      </c>
      <c r="C82" s="367" t="str">
        <f t="shared" si="6"/>
        <v>BL77-&gt;PV2-31</v>
      </c>
      <c r="D82" s="367">
        <f>965.761-963.471</f>
        <v>2.2899999999999636</v>
      </c>
      <c r="E82" s="367" t="s">
        <v>1479</v>
      </c>
      <c r="F82" s="368">
        <v>8.19</v>
      </c>
      <c r="G82" s="367"/>
      <c r="H82" s="367" t="s">
        <v>1422</v>
      </c>
      <c r="I82" s="369" t="str">
        <f t="shared" si="7"/>
        <v>BOCA DE LOBO PROJETADA DUPLA</v>
      </c>
      <c r="J82" s="369">
        <f t="shared" si="10"/>
        <v>1</v>
      </c>
      <c r="K82" s="369">
        <v>600</v>
      </c>
      <c r="L82" s="369" t="str">
        <f t="shared" si="8"/>
        <v>PROJETADA</v>
      </c>
      <c r="M82" s="370"/>
      <c r="N82" s="380"/>
      <c r="O82" s="370"/>
      <c r="P82" s="324">
        <f t="shared" si="9"/>
        <v>0</v>
      </c>
    </row>
    <row r="83" spans="1:16" s="164" customFormat="1" x14ac:dyDescent="0.35">
      <c r="A83" s="367" t="s">
        <v>1560</v>
      </c>
      <c r="B83" s="367" t="s">
        <v>1562</v>
      </c>
      <c r="C83" s="367" t="str">
        <f t="shared" si="6"/>
        <v>BL78-&gt;PV2-31</v>
      </c>
      <c r="D83" s="367">
        <f>965.761-963.471</f>
        <v>2.2899999999999636</v>
      </c>
      <c r="E83" s="367" t="s">
        <v>1479</v>
      </c>
      <c r="F83" s="368">
        <v>5.23</v>
      </c>
      <c r="G83" s="367"/>
      <c r="H83" s="367" t="s">
        <v>1422</v>
      </c>
      <c r="I83" s="369" t="str">
        <f t="shared" si="7"/>
        <v>BOCA DE LOBO PROJETADA DUPLA</v>
      </c>
      <c r="J83" s="369">
        <f t="shared" si="10"/>
        <v>1</v>
      </c>
      <c r="K83" s="369">
        <v>600</v>
      </c>
      <c r="L83" s="369" t="str">
        <f t="shared" si="8"/>
        <v>PROJETADA</v>
      </c>
      <c r="M83" s="370"/>
      <c r="N83" s="380"/>
      <c r="O83" s="370"/>
      <c r="P83" s="324">
        <f t="shared" si="9"/>
        <v>0</v>
      </c>
    </row>
    <row r="84" spans="1:16" s="164" customFormat="1" x14ac:dyDescent="0.35">
      <c r="A84" s="367" t="s">
        <v>1563</v>
      </c>
      <c r="B84" s="367" t="s">
        <v>1564</v>
      </c>
      <c r="C84" s="367" t="str">
        <f t="shared" si="6"/>
        <v>BL79-&gt;PV1-32</v>
      </c>
      <c r="D84" s="367">
        <f>962.771-960.971</f>
        <v>1.7999999999999545</v>
      </c>
      <c r="E84" s="367" t="s">
        <v>1479</v>
      </c>
      <c r="F84" s="368">
        <v>5.89</v>
      </c>
      <c r="G84" s="367"/>
      <c r="H84" s="367" t="s">
        <v>1422</v>
      </c>
      <c r="I84" s="369" t="str">
        <f t="shared" si="7"/>
        <v>BOCA DE LOBO PROJETADA DUPLA</v>
      </c>
      <c r="J84" s="369">
        <f t="shared" si="10"/>
        <v>1</v>
      </c>
      <c r="K84" s="369">
        <v>400</v>
      </c>
      <c r="L84" s="369" t="str">
        <f t="shared" si="8"/>
        <v>PROJETADA</v>
      </c>
      <c r="M84" s="370"/>
      <c r="N84" s="380"/>
      <c r="O84" s="370"/>
      <c r="P84" s="324">
        <f t="shared" si="9"/>
        <v>0</v>
      </c>
    </row>
    <row r="85" spans="1:16" s="164" customFormat="1" x14ac:dyDescent="0.35">
      <c r="A85" s="367" t="s">
        <v>1565</v>
      </c>
      <c r="B85" s="367" t="s">
        <v>1497</v>
      </c>
      <c r="C85" s="367" t="str">
        <f t="shared" si="6"/>
        <v>BL80-&gt;PV2-32</v>
      </c>
      <c r="D85" s="367">
        <f>962.473-960.373</f>
        <v>2.0999999999999091</v>
      </c>
      <c r="E85" s="367" t="s">
        <v>1479</v>
      </c>
      <c r="F85" s="368">
        <v>4.9400000000000004</v>
      </c>
      <c r="G85" s="367"/>
      <c r="H85" s="367" t="s">
        <v>1422</v>
      </c>
      <c r="I85" s="369" t="str">
        <f t="shared" si="7"/>
        <v>BOCA DE LOBO PROJETADA DUPLA</v>
      </c>
      <c r="J85" s="369">
        <f t="shared" si="10"/>
        <v>1</v>
      </c>
      <c r="K85" s="369">
        <v>500</v>
      </c>
      <c r="L85" s="369" t="str">
        <f t="shared" si="8"/>
        <v>PROJETADA</v>
      </c>
      <c r="M85" s="370"/>
      <c r="N85" s="380"/>
      <c r="O85" s="370"/>
      <c r="P85" s="324">
        <f t="shared" si="9"/>
        <v>0</v>
      </c>
    </row>
    <row r="86" spans="1:16" s="164" customFormat="1" x14ac:dyDescent="0.35">
      <c r="A86" s="367" t="s">
        <v>1566</v>
      </c>
      <c r="B86" s="367" t="s">
        <v>1500</v>
      </c>
      <c r="C86" s="367" t="str">
        <f t="shared" si="6"/>
        <v>BL81-&gt;PV1-33</v>
      </c>
      <c r="D86" s="367">
        <f>959.583-957.723</f>
        <v>1.8600000000000136</v>
      </c>
      <c r="E86" s="367" t="s">
        <v>1479</v>
      </c>
      <c r="F86" s="368">
        <v>5.12</v>
      </c>
      <c r="G86" s="367" t="s">
        <v>1409</v>
      </c>
      <c r="H86" s="367"/>
      <c r="I86" s="369" t="str">
        <f t="shared" si="7"/>
        <v>BOCA DE LOBO EXISTENTE TRIPLA</v>
      </c>
      <c r="J86" s="369">
        <f t="shared" si="10"/>
        <v>1</v>
      </c>
      <c r="K86" s="369">
        <v>400</v>
      </c>
      <c r="L86" s="369" t="str">
        <f t="shared" si="8"/>
        <v>EXISTENTE</v>
      </c>
      <c r="M86" s="370"/>
      <c r="N86" s="380"/>
      <c r="O86" s="370"/>
      <c r="P86" s="324">
        <f t="shared" ref="P86:P87" si="16">IF(AND(E86="PROJETADO",G86&lt;&gt;""),F86/2*(PI()*0.519*0.519/4-PI()*0.4*0.4/4),0)</f>
        <v>0</v>
      </c>
    </row>
    <row r="87" spans="1:16" s="164" customFormat="1" x14ac:dyDescent="0.35">
      <c r="A87" s="367" t="s">
        <v>1567</v>
      </c>
      <c r="B87" s="367" t="s">
        <v>1503</v>
      </c>
      <c r="C87" s="367" t="str">
        <f t="shared" ref="C87" si="17">CONCATENATE(B87,"-&gt;",A87)</f>
        <v>BL82-&gt;PV1-34</v>
      </c>
      <c r="D87" s="367">
        <f>956.542-954.842</f>
        <v>1.7000000000000455</v>
      </c>
      <c r="E87" s="367" t="s">
        <v>1479</v>
      </c>
      <c r="F87" s="368">
        <v>6.61</v>
      </c>
      <c r="G87" s="367"/>
      <c r="H87" s="367" t="s">
        <v>1422</v>
      </c>
      <c r="I87" s="369" t="str">
        <f t="shared" si="7"/>
        <v>BOCA DE LOBO PROJETADA DUPLA</v>
      </c>
      <c r="J87" s="369">
        <f t="shared" si="10"/>
        <v>1</v>
      </c>
      <c r="K87" s="369">
        <v>400</v>
      </c>
      <c r="L87" s="369" t="str">
        <f t="shared" si="8"/>
        <v>PROJETADA</v>
      </c>
      <c r="M87" s="370"/>
      <c r="N87" s="380"/>
      <c r="O87" s="370"/>
      <c r="P87" s="324">
        <f t="shared" si="16"/>
        <v>0</v>
      </c>
    </row>
    <row r="88" spans="1:16" s="164" customFormat="1" x14ac:dyDescent="0.35">
      <c r="A88" s="367" t="s">
        <v>1568</v>
      </c>
      <c r="B88" s="367" t="s">
        <v>1569</v>
      </c>
      <c r="C88" s="367" t="str">
        <f>CONCATENATE(B88,"-&gt;",A88)</f>
        <v>BL83-&gt;PV1-35</v>
      </c>
      <c r="D88" s="367">
        <f>962.41-960.81</f>
        <v>1.6000000000000227</v>
      </c>
      <c r="E88" s="367" t="s">
        <v>1479</v>
      </c>
      <c r="F88" s="368">
        <v>5.98</v>
      </c>
      <c r="G88" s="367" t="s">
        <v>1409</v>
      </c>
      <c r="H88" s="367"/>
      <c r="I88" s="369" t="str">
        <f>IF(G88="","BOCA DE LOBO PROJETADA "&amp;H88,IF(H88="","BOCA DE LOBO EXISTENTE "&amp;G88,"BOCA DE LOBO "&amp;G88&amp;" EXISTENTE COM BOCA DE LOBO "&amp;H88&amp;" PROJETADA"))</f>
        <v>BOCA DE LOBO EXISTENTE TRIPLA</v>
      </c>
      <c r="J88" s="369">
        <f>IF(E88="EXISTENTE",1,0)</f>
        <v>1</v>
      </c>
      <c r="K88" s="369">
        <v>600</v>
      </c>
      <c r="L88" s="369" t="str">
        <f>IF(G88&lt;&gt;"",IF(H88&lt;&gt;"","AMPLIADA","EXISTENTE"),"PROJETADA")</f>
        <v>EXISTENTE</v>
      </c>
      <c r="M88" s="370"/>
      <c r="N88" s="380"/>
      <c r="O88" s="370"/>
      <c r="P88" s="324">
        <f>IF(AND(E88="PROJETADO",G88&lt;&gt;""),F88/2*(PI()*0.519*0.519/4-PI()*0.4*0.4/4),0)</f>
        <v>0</v>
      </c>
    </row>
    <row r="89" spans="1:16" s="164" customFormat="1" x14ac:dyDescent="0.35">
      <c r="A89" s="367" t="s">
        <v>1571</v>
      </c>
      <c r="B89" s="367" t="s">
        <v>1572</v>
      </c>
      <c r="C89" s="367" t="str">
        <f>CONCATENATE(B89,"-&gt;",A89)</f>
        <v>BL84-&gt;PV2-35</v>
      </c>
      <c r="D89" s="367">
        <f>962.268-960.068</f>
        <v>2.2000000000000455</v>
      </c>
      <c r="E89" s="367" t="s">
        <v>1479</v>
      </c>
      <c r="F89" s="368">
        <v>5.1100000000000003</v>
      </c>
      <c r="G89" s="367" t="s">
        <v>1422</v>
      </c>
      <c r="H89" s="367"/>
      <c r="I89" s="369" t="str">
        <f>IF(G89="","BOCA DE LOBO PROJETADA "&amp;H89,IF(H89="","BOCA DE LOBO EXISTENTE "&amp;G89,"BOCA DE LOBO "&amp;G89&amp;" EXISTENTE COM BOCA DE LOBO "&amp;H89&amp;" PROJETADA"))</f>
        <v>BOCA DE LOBO EXISTENTE DUPLA</v>
      </c>
      <c r="J89" s="369">
        <f>IF(E89="EXISTENTE",1,0)</f>
        <v>1</v>
      </c>
      <c r="K89" s="369">
        <v>600</v>
      </c>
      <c r="L89" s="369" t="str">
        <f>IF(G89&lt;&gt;"",IF(H89&lt;&gt;"","AMPLIADA","EXISTENTE"),"PROJETADA")</f>
        <v>EXISTENTE</v>
      </c>
      <c r="M89" s="370"/>
      <c r="N89" s="380"/>
      <c r="O89" s="370"/>
      <c r="P89" s="324">
        <f>IF(AND(E89="PROJETADO",G89&lt;&gt;""),F89/2*(PI()*0.519*0.519/4-PI()*0.4*0.4/4),0)</f>
        <v>0</v>
      </c>
    </row>
    <row r="90" spans="1:16" s="164" customFormat="1" x14ac:dyDescent="0.35">
      <c r="A90" s="367" t="s">
        <v>1573</v>
      </c>
      <c r="B90" s="367" t="s">
        <v>1574</v>
      </c>
      <c r="C90" s="367" t="str">
        <f>CONCATENATE(B90,"-&gt;",A90)</f>
        <v>BL85-&gt;PV1-36</v>
      </c>
      <c r="D90" s="367">
        <f>960.075-958.225</f>
        <v>1.8500000000000227</v>
      </c>
      <c r="E90" s="367" t="s">
        <v>1479</v>
      </c>
      <c r="F90" s="368">
        <v>6.44</v>
      </c>
      <c r="G90" s="367" t="s">
        <v>1422</v>
      </c>
      <c r="H90" s="367"/>
      <c r="I90" s="369" t="str">
        <f>IF(G90="","BOCA DE LOBO PROJETADA "&amp;H90,IF(H90="","BOCA DE LOBO EXISTENTE "&amp;G90,"BOCA DE LOBO "&amp;G90&amp;" EXISTENTE COM BOCA DE LOBO "&amp;H90&amp;" PROJETADA"))</f>
        <v>BOCA DE LOBO EXISTENTE DUPLA</v>
      </c>
      <c r="J90" s="369">
        <f>IF(E90="EXISTENTE",1,0)</f>
        <v>1</v>
      </c>
      <c r="K90" s="369">
        <v>600</v>
      </c>
      <c r="L90" s="369" t="str">
        <f>IF(G90&lt;&gt;"",IF(H90&lt;&gt;"","AMPLIADA","EXISTENTE"),"PROJETADA")</f>
        <v>EXISTENTE</v>
      </c>
      <c r="M90" s="370"/>
      <c r="N90" s="380"/>
      <c r="O90" s="370"/>
      <c r="P90" s="324">
        <f>IF(AND(E90="PROJETADO",G90&lt;&gt;""),F90/2*(PI()*0.519*0.519/4-PI()*0.4*0.4/4),0)</f>
        <v>0</v>
      </c>
    </row>
    <row r="91" spans="1:16" s="164" customFormat="1" x14ac:dyDescent="0.35">
      <c r="A91" s="367" t="s">
        <v>1575</v>
      </c>
      <c r="B91" s="367" t="s">
        <v>1576</v>
      </c>
      <c r="C91" s="367" t="str">
        <f>CONCATENATE(B91,"-&gt;",A91)</f>
        <v>BL86-&gt;PV2-36</v>
      </c>
      <c r="D91" s="367">
        <f>959.639-957.639</f>
        <v>2</v>
      </c>
      <c r="E91" s="367" t="s">
        <v>1479</v>
      </c>
      <c r="F91" s="368">
        <v>6.19</v>
      </c>
      <c r="G91" s="367" t="s">
        <v>1422</v>
      </c>
      <c r="H91" s="367"/>
      <c r="I91" s="369" t="str">
        <f>IF(G91="","BOCA DE LOBO PROJETADA "&amp;H91,IF(H91="","BOCA DE LOBO EXISTENTE "&amp;G91,"BOCA DE LOBO "&amp;G91&amp;" EXISTENTE COM BOCA DE LOBO "&amp;H91&amp;" PROJETADA"))</f>
        <v>BOCA DE LOBO EXISTENTE DUPLA</v>
      </c>
      <c r="J91" s="369">
        <f>IF(E91="EXISTENTE",1,0)</f>
        <v>1</v>
      </c>
      <c r="K91" s="369">
        <v>600</v>
      </c>
      <c r="L91" s="369" t="str">
        <f>IF(G91&lt;&gt;"",IF(H91&lt;&gt;"","AMPLIADA","EXISTENTE"),"PROJETADA")</f>
        <v>EXISTENTE</v>
      </c>
      <c r="M91" s="370"/>
      <c r="N91" s="380"/>
      <c r="O91" s="370"/>
      <c r="P91" s="324">
        <f>IF(AND(E91="PROJETADO",G91&lt;&gt;""),F91/2*(PI()*0.519*0.519/4-PI()*0.4*0.4/4),0)</f>
        <v>0</v>
      </c>
    </row>
    <row r="92" spans="1:16" s="164" customFormat="1" x14ac:dyDescent="0.35">
      <c r="A92" s="367" t="s">
        <v>1577</v>
      </c>
      <c r="B92" s="367" t="s">
        <v>1578</v>
      </c>
      <c r="C92" s="367" t="str">
        <f>CONCATENATE(B92,"-&gt;",A92)</f>
        <v>BL87-&gt;PV1-37</v>
      </c>
      <c r="D92" s="367">
        <f>957.217-955.437</f>
        <v>1.7799999999999727</v>
      </c>
      <c r="E92" s="367" t="s">
        <v>1479</v>
      </c>
      <c r="F92" s="368">
        <v>9.56</v>
      </c>
      <c r="G92" s="367" t="s">
        <v>1422</v>
      </c>
      <c r="H92" s="367"/>
      <c r="I92" s="369" t="str">
        <f>IF(G92="","BOCA DE LOBO PROJETADA "&amp;H92,IF(H92="","BOCA DE LOBO EXISTENTE "&amp;G92,"BOCA DE LOBO "&amp;G92&amp;" EXISTENTE COM BOCA DE LOBO "&amp;H92&amp;" PROJETADA"))</f>
        <v>BOCA DE LOBO EXISTENTE DUPLA</v>
      </c>
      <c r="J92" s="369">
        <f>IF(E92="EXISTENTE",1,0)</f>
        <v>1</v>
      </c>
      <c r="K92" s="369">
        <v>600</v>
      </c>
      <c r="L92" s="369" t="str">
        <f>IF(G92&lt;&gt;"",IF(H92&lt;&gt;"","AMPLIADA","EXISTENTE"),"PROJETADA")</f>
        <v>EXISTENTE</v>
      </c>
      <c r="M92" s="370"/>
      <c r="N92" s="380"/>
      <c r="O92" s="370"/>
      <c r="P92" s="324">
        <f>IF(AND(E92="PROJETADO",G92&lt;&gt;""),F92/2*(PI()*0.519*0.519/4-PI()*0.4*0.4/4),0)</f>
        <v>0</v>
      </c>
    </row>
    <row r="93" spans="1:16" s="164" customFormat="1" x14ac:dyDescent="0.35">
      <c r="A93" s="367" t="s">
        <v>1570</v>
      </c>
      <c r="B93" s="367" t="s">
        <v>1579</v>
      </c>
      <c r="C93" s="367" t="str">
        <f t="shared" ref="C93" si="18">CONCATENATE(B93,"-&gt;",A93)</f>
        <v>BL88-&gt;PV1-168</v>
      </c>
      <c r="D93" s="367">
        <f>950.892-949.552</f>
        <v>1.3400000000000318</v>
      </c>
      <c r="E93" s="367" t="s">
        <v>1479</v>
      </c>
      <c r="F93" s="368">
        <v>3.54</v>
      </c>
      <c r="G93" s="367" t="s">
        <v>1422</v>
      </c>
      <c r="H93" s="367"/>
      <c r="I93" s="369" t="str">
        <f t="shared" ref="I93" si="19">IF(G93="","BOCA DE LOBO PROJETADA "&amp;H93,IF(H93="","BOCA DE LOBO EXISTENTE "&amp;G93,"BOCA DE LOBO "&amp;G93&amp;" EXISTENTE COM BOCA DE LOBO "&amp;H93&amp;" PROJETADA"))</f>
        <v>BOCA DE LOBO EXISTENTE DUPLA</v>
      </c>
      <c r="J93" s="369">
        <f t="shared" ref="J93" si="20">IF(E93="EXISTENTE",1,0)</f>
        <v>1</v>
      </c>
      <c r="K93" s="369">
        <v>600</v>
      </c>
      <c r="L93" s="369" t="str">
        <f t="shared" ref="L93" si="21">IF(G93&lt;&gt;"",IF(H93&lt;&gt;"","AMPLIADA","EXISTENTE"),"PROJETADA")</f>
        <v>EXISTENTE</v>
      </c>
      <c r="M93" s="370"/>
      <c r="N93" s="380"/>
      <c r="O93" s="370"/>
      <c r="P93" s="324">
        <f t="shared" ref="P93" si="22">IF(AND(E93="PROJETADO",G93&lt;&gt;""),F93/2*(PI()*0.519*0.519/4-PI()*0.4*0.4/4),0)</f>
        <v>0</v>
      </c>
    </row>
    <row r="94" spans="1:16" x14ac:dyDescent="0.35">
      <c r="A94" s="360"/>
      <c r="B94" s="360"/>
      <c r="C94" s="360"/>
      <c r="D94" s="360"/>
      <c r="E94" s="360" t="s">
        <v>5</v>
      </c>
      <c r="F94" s="360">
        <f>SUM(F4:F93)</f>
        <v>592.25000000000011</v>
      </c>
      <c r="G94" s="360"/>
      <c r="H94" s="360"/>
      <c r="I94" s="360"/>
      <c r="J94" s="360"/>
      <c r="K94" s="360">
        <f>COUNTA(K4:K93)</f>
        <v>53</v>
      </c>
      <c r="L94" s="360"/>
      <c r="P94" s="382">
        <f>SUM(P3:P93)</f>
        <v>5.6907697259019159</v>
      </c>
    </row>
    <row r="95" spans="1:16" x14ac:dyDescent="0.35">
      <c r="A95" s="592"/>
      <c r="B95" s="592"/>
      <c r="C95" s="592"/>
      <c r="D95" s="592"/>
      <c r="E95" s="592"/>
      <c r="F95" s="592"/>
      <c r="G95" s="592"/>
      <c r="H95" s="592"/>
      <c r="I95" s="592"/>
      <c r="J95" s="592"/>
      <c r="K95" s="592"/>
      <c r="L95" s="592"/>
    </row>
    <row r="96" spans="1:16" x14ac:dyDescent="0.35">
      <c r="A96" s="955" t="s">
        <v>2107</v>
      </c>
      <c r="B96" s="955"/>
      <c r="C96" s="955"/>
      <c r="D96" s="955"/>
      <c r="E96" s="955"/>
      <c r="F96" s="955"/>
      <c r="G96" s="955"/>
      <c r="H96" s="955"/>
      <c r="I96" s="955"/>
      <c r="J96" s="955"/>
      <c r="K96" s="955"/>
      <c r="L96" s="955"/>
    </row>
    <row r="97" spans="1:16" s="5" customFormat="1" ht="43.5" x14ac:dyDescent="0.3">
      <c r="A97" s="383" t="s">
        <v>1390</v>
      </c>
      <c r="B97" s="383" t="s">
        <v>1391</v>
      </c>
      <c r="C97" s="383" t="s">
        <v>1392</v>
      </c>
      <c r="D97" s="383" t="s">
        <v>1393</v>
      </c>
      <c r="E97" s="383" t="s">
        <v>1394</v>
      </c>
      <c r="F97" s="150" t="s">
        <v>1395</v>
      </c>
      <c r="G97" s="150" t="s">
        <v>1396</v>
      </c>
      <c r="H97" s="383" t="s">
        <v>1397</v>
      </c>
      <c r="I97" s="383" t="s">
        <v>1398</v>
      </c>
      <c r="J97" s="150" t="s">
        <v>1399</v>
      </c>
      <c r="K97" s="150" t="s">
        <v>1580</v>
      </c>
      <c r="L97" s="150" t="s">
        <v>1401</v>
      </c>
      <c r="M97" s="384"/>
      <c r="N97" s="150" t="s">
        <v>1402</v>
      </c>
      <c r="O97" s="383" t="s">
        <v>5</v>
      </c>
      <c r="P97" s="383" t="s">
        <v>1403</v>
      </c>
    </row>
    <row r="98" spans="1:16" customFormat="1" ht="43.5" x14ac:dyDescent="0.35">
      <c r="A98" s="146" t="s">
        <v>1404</v>
      </c>
      <c r="B98" s="146"/>
      <c r="C98" s="383"/>
      <c r="D98" s="146"/>
      <c r="E98" s="146"/>
      <c r="F98" s="385"/>
      <c r="G98" s="385"/>
      <c r="H98" s="146"/>
      <c r="I98" s="146"/>
      <c r="J98" s="385"/>
      <c r="K98" s="385"/>
      <c r="L98" s="385"/>
      <c r="N98" s="365" t="s">
        <v>1405</v>
      </c>
      <c r="O98" s="148">
        <f t="shared" ref="O98:O110" si="23">COUNTIF($I$99:$I$172,N98)</f>
        <v>14</v>
      </c>
      <c r="P98" s="148">
        <f t="shared" ref="P98:P139" si="24">IF(AND(E98="PROJETADO",G98&lt;&gt;""),F98/2*(PI()*0.519*0.519/4-PI()*0.4*0.4/4),0)</f>
        <v>0</v>
      </c>
    </row>
    <row r="99" spans="1:16" customFormat="1" ht="43.5" x14ac:dyDescent="0.3">
      <c r="A99" s="148" t="s">
        <v>1406</v>
      </c>
      <c r="B99" s="148" t="s">
        <v>1407</v>
      </c>
      <c r="C99" s="386" t="str">
        <f t="shared" ref="C99:C128" si="25">CONCATENATE(B99,"-&gt;",A99)</f>
        <v>BL1-&gt;PV1.1</v>
      </c>
      <c r="D99" s="148">
        <v>1.6</v>
      </c>
      <c r="E99" s="148" t="s">
        <v>1408</v>
      </c>
      <c r="F99" s="148">
        <v>4.1500000000000004</v>
      </c>
      <c r="G99" s="148" t="s">
        <v>1425</v>
      </c>
      <c r="H99" s="148" t="s">
        <v>1422</v>
      </c>
      <c r="I99" s="387" t="str">
        <f t="shared" ref="I99:I128" si="26">IF(G99="","BOCA DE LOBO PROJETADA "&amp;H99,IF(H99="","BOCA DE LOBO EXISTENTE "&amp;G99,"BOCA DE LOBO "&amp;G99&amp;" EXISTENTE COM BOCA DE LOBO "&amp;H99&amp;" PROJETADA"))</f>
        <v>BOCA DE LOBO SIMPLES EXISTENTE COM BOCA DE LOBO DUPLA PROJETADA</v>
      </c>
      <c r="J99" s="147">
        <f t="shared" ref="J99:J128" si="27">IF(E99="EXISTENTE",1,0)</f>
        <v>0</v>
      </c>
      <c r="K99" s="147"/>
      <c r="L99" s="387" t="str">
        <f t="shared" ref="L99:L128" si="28">IF(G99&lt;&gt;"",IF(H99&lt;&gt;"","AMPLIADA","EXISTENTE"),"PROJETADA")</f>
        <v>AMPLIADA</v>
      </c>
      <c r="N99" s="371" t="s">
        <v>1410</v>
      </c>
      <c r="O99" s="148">
        <f t="shared" si="23"/>
        <v>0</v>
      </c>
      <c r="P99" s="148">
        <f t="shared" si="24"/>
        <v>0.17822575173566482</v>
      </c>
    </row>
    <row r="100" spans="1:16" customFormat="1" ht="43.5" x14ac:dyDescent="0.3">
      <c r="A100" s="148" t="s">
        <v>1411</v>
      </c>
      <c r="B100" s="148" t="s">
        <v>1412</v>
      </c>
      <c r="C100" s="386" t="str">
        <f t="shared" si="25"/>
        <v>BL2-&gt;PV3.1</v>
      </c>
      <c r="D100" s="148">
        <v>1.6</v>
      </c>
      <c r="E100" s="148" t="s">
        <v>1408</v>
      </c>
      <c r="F100" s="148">
        <v>6.76</v>
      </c>
      <c r="G100" s="148"/>
      <c r="H100" s="148" t="s">
        <v>1422</v>
      </c>
      <c r="I100" s="387" t="str">
        <f t="shared" si="26"/>
        <v>BOCA DE LOBO PROJETADA DUPLA</v>
      </c>
      <c r="J100" s="147">
        <f t="shared" si="27"/>
        <v>0</v>
      </c>
      <c r="K100" s="147"/>
      <c r="L100" s="387" t="str">
        <f t="shared" si="28"/>
        <v>PROJETADA</v>
      </c>
      <c r="N100" s="371" t="s">
        <v>1413</v>
      </c>
      <c r="O100" s="148">
        <f t="shared" si="23"/>
        <v>0</v>
      </c>
      <c r="P100" s="148">
        <f t="shared" si="24"/>
        <v>0</v>
      </c>
    </row>
    <row r="101" spans="1:16" customFormat="1" ht="29" x14ac:dyDescent="0.3">
      <c r="A101" s="148" t="s">
        <v>1432</v>
      </c>
      <c r="B101" s="148" t="s">
        <v>1417</v>
      </c>
      <c r="C101" s="386" t="str">
        <f t="shared" si="25"/>
        <v>BL3-&gt;PV4.1</v>
      </c>
      <c r="D101" s="148">
        <v>1.82</v>
      </c>
      <c r="E101" s="148" t="s">
        <v>1408</v>
      </c>
      <c r="F101" s="148">
        <v>8.65</v>
      </c>
      <c r="G101" s="148"/>
      <c r="H101" s="148" t="s">
        <v>1409</v>
      </c>
      <c r="I101" s="387" t="str">
        <f t="shared" si="26"/>
        <v>BOCA DE LOBO PROJETADA TRIPLA</v>
      </c>
      <c r="J101" s="147">
        <f t="shared" si="27"/>
        <v>0</v>
      </c>
      <c r="K101" s="147"/>
      <c r="L101" s="387" t="str">
        <f t="shared" si="28"/>
        <v>PROJETADA</v>
      </c>
      <c r="N101" s="371" t="s">
        <v>1415</v>
      </c>
      <c r="O101" s="148">
        <f t="shared" si="23"/>
        <v>22</v>
      </c>
      <c r="P101" s="148">
        <f t="shared" si="24"/>
        <v>0</v>
      </c>
    </row>
    <row r="102" spans="1:16" customFormat="1" ht="29" x14ac:dyDescent="0.3">
      <c r="A102" s="148" t="s">
        <v>1435</v>
      </c>
      <c r="B102" s="148" t="s">
        <v>1419</v>
      </c>
      <c r="C102" s="386" t="str">
        <f t="shared" si="25"/>
        <v>BL4-&gt;PV5.1</v>
      </c>
      <c r="D102" s="148">
        <v>2.0539999999999998</v>
      </c>
      <c r="E102" s="148" t="s">
        <v>1408</v>
      </c>
      <c r="F102" s="148">
        <v>8.49</v>
      </c>
      <c r="G102" s="148"/>
      <c r="H102" s="148" t="s">
        <v>1409</v>
      </c>
      <c r="I102" s="387" t="str">
        <f t="shared" si="26"/>
        <v>BOCA DE LOBO PROJETADA TRIPLA</v>
      </c>
      <c r="J102" s="147">
        <f t="shared" si="27"/>
        <v>0</v>
      </c>
      <c r="K102" s="147"/>
      <c r="L102" s="387" t="str">
        <f t="shared" si="28"/>
        <v>PROJETADA</v>
      </c>
      <c r="N102" s="371" t="s">
        <v>1418</v>
      </c>
      <c r="O102" s="148">
        <f t="shared" si="23"/>
        <v>0</v>
      </c>
      <c r="P102" s="148">
        <f t="shared" si="24"/>
        <v>0</v>
      </c>
    </row>
    <row r="103" spans="1:16" customFormat="1" ht="42" x14ac:dyDescent="0.3">
      <c r="A103" s="148" t="s">
        <v>1442</v>
      </c>
      <c r="B103" s="148" t="s">
        <v>1423</v>
      </c>
      <c r="C103" s="386" t="str">
        <f t="shared" si="25"/>
        <v>BL5-&gt;PV7.1</v>
      </c>
      <c r="D103" s="148">
        <v>3.657</v>
      </c>
      <c r="E103" s="148" t="s">
        <v>1408</v>
      </c>
      <c r="F103" s="148">
        <v>4.67</v>
      </c>
      <c r="G103" s="148" t="s">
        <v>1425</v>
      </c>
      <c r="H103" s="148" t="s">
        <v>1422</v>
      </c>
      <c r="I103" s="387" t="str">
        <f t="shared" si="26"/>
        <v>BOCA DE LOBO SIMPLES EXISTENTE COM BOCA DE LOBO DUPLA PROJETADA</v>
      </c>
      <c r="J103" s="147">
        <f t="shared" si="27"/>
        <v>0</v>
      </c>
      <c r="K103" s="147"/>
      <c r="L103" s="387" t="str">
        <f t="shared" si="28"/>
        <v>AMPLIADA</v>
      </c>
      <c r="N103" s="371" t="s">
        <v>1416</v>
      </c>
      <c r="O103" s="148">
        <f t="shared" si="23"/>
        <v>0</v>
      </c>
      <c r="P103" s="148">
        <f t="shared" si="24"/>
        <v>0.20055765315796498</v>
      </c>
    </row>
    <row r="104" spans="1:16" customFormat="1" ht="42" x14ac:dyDescent="0.3">
      <c r="A104" s="148" t="s">
        <v>1442</v>
      </c>
      <c r="B104" s="148" t="s">
        <v>1426</v>
      </c>
      <c r="C104" s="386" t="str">
        <f t="shared" si="25"/>
        <v>BL6-&gt;PV7.1</v>
      </c>
      <c r="D104" s="148">
        <v>3.657</v>
      </c>
      <c r="E104" s="148" t="s">
        <v>1408</v>
      </c>
      <c r="F104" s="148">
        <v>9.32</v>
      </c>
      <c r="G104" s="148" t="s">
        <v>1422</v>
      </c>
      <c r="H104" s="148" t="s">
        <v>1425</v>
      </c>
      <c r="I104" s="387" t="str">
        <f>IF(G104="","BOCA DE LOBO PROJETADA "&amp;H104,IF(H104="","BOCA DE LOBO EXISTENTE "&amp;G104,"BOCA DE LOBO "&amp;G104&amp;" EXISTENTE COM BOCA DE LOBO "&amp;H104&amp;" PROJETADA"))</f>
        <v>BOCA DE LOBO DUPLA EXISTENTE COM BOCA DE LOBO SIMPLES PROJETADA</v>
      </c>
      <c r="J104" s="147">
        <f>IF(E104="EXISTENTE",1,0)</f>
        <v>0</v>
      </c>
      <c r="K104" s="147"/>
      <c r="L104" s="387" t="str">
        <f>IF(G104&lt;&gt;"",IF(H104&lt;&gt;"","AMPLIADA","EXISTENTE"),"PROJETADA")</f>
        <v>AMPLIADA</v>
      </c>
      <c r="N104" s="371" t="s">
        <v>1420</v>
      </c>
      <c r="O104" s="148">
        <f t="shared" si="23"/>
        <v>0</v>
      </c>
      <c r="P104" s="148">
        <f>IF(AND(E104="PROJETADO",G104&lt;&gt;""),F104/2*(PI()*0.519*0.519/4-PI()*0.4*0.4/4),0)</f>
        <v>0.40025638703045691</v>
      </c>
    </row>
    <row r="105" spans="1:16" customFormat="1" ht="42" x14ac:dyDescent="0.3">
      <c r="A105" s="148" t="s">
        <v>1449</v>
      </c>
      <c r="B105" s="148" t="s">
        <v>1428</v>
      </c>
      <c r="C105" s="386" t="str">
        <f t="shared" si="25"/>
        <v>BL7-&gt;PV9.1</v>
      </c>
      <c r="D105" s="148">
        <v>3.5</v>
      </c>
      <c r="E105" s="148" t="s">
        <v>1408</v>
      </c>
      <c r="F105" s="148">
        <v>8.99</v>
      </c>
      <c r="G105" s="148" t="s">
        <v>1425</v>
      </c>
      <c r="H105" s="148" t="s">
        <v>1422</v>
      </c>
      <c r="I105" s="387" t="str">
        <f t="shared" si="26"/>
        <v>BOCA DE LOBO SIMPLES EXISTENTE COM BOCA DE LOBO DUPLA PROJETADA</v>
      </c>
      <c r="J105" s="147">
        <f t="shared" si="27"/>
        <v>0</v>
      </c>
      <c r="K105" s="147"/>
      <c r="L105" s="387" t="str">
        <f t="shared" si="28"/>
        <v>AMPLIADA</v>
      </c>
      <c r="N105" s="371" t="s">
        <v>1424</v>
      </c>
      <c r="O105" s="148">
        <f t="shared" si="23"/>
        <v>0</v>
      </c>
      <c r="P105" s="148">
        <f t="shared" si="24"/>
        <v>0.38608421882015104</v>
      </c>
    </row>
    <row r="106" spans="1:16" customFormat="1" ht="29" x14ac:dyDescent="0.3">
      <c r="A106" s="148" t="s">
        <v>1449</v>
      </c>
      <c r="B106" s="148" t="s">
        <v>1430</v>
      </c>
      <c r="C106" s="386" t="str">
        <f t="shared" si="25"/>
        <v>BL8-&gt;PV9.1</v>
      </c>
      <c r="D106" s="148">
        <v>3.5</v>
      </c>
      <c r="E106" s="148" t="s">
        <v>1408</v>
      </c>
      <c r="F106" s="148">
        <v>6.96</v>
      </c>
      <c r="G106" s="148"/>
      <c r="H106" s="148" t="s">
        <v>1409</v>
      </c>
      <c r="I106" s="387" t="str">
        <f t="shared" ref="I106:I107" si="29">IF(G106="","BOCA DE LOBO PROJETADA "&amp;H106,IF(H106="","BOCA DE LOBO EXISTENTE "&amp;G106,"BOCA DE LOBO "&amp;G106&amp;" EXISTENTE COM BOCA DE LOBO "&amp;H106&amp;" PROJETADA"))</f>
        <v>BOCA DE LOBO PROJETADA TRIPLA</v>
      </c>
      <c r="J106" s="147">
        <f t="shared" ref="J106:J107" si="30">IF(E106="EXISTENTE",1,0)</f>
        <v>0</v>
      </c>
      <c r="K106" s="147"/>
      <c r="L106" s="387" t="str">
        <f t="shared" ref="L106:L107" si="31">IF(G106&lt;&gt;"",IF(H106&lt;&gt;"","AMPLIADA","EXISTENTE"),"PROJETADA")</f>
        <v>PROJETADA</v>
      </c>
      <c r="N106" s="371" t="s">
        <v>1427</v>
      </c>
      <c r="O106" s="148">
        <f t="shared" si="23"/>
        <v>0</v>
      </c>
      <c r="P106" s="148">
        <f t="shared" ref="P106:P107" si="32">IF(AND(E106="PROJETADO",G106&lt;&gt;""),F106/2*(PI()*0.519*0.519/4-PI()*0.4*0.4/4),0)</f>
        <v>0</v>
      </c>
    </row>
    <row r="107" spans="1:16" customFormat="1" ht="28" x14ac:dyDescent="0.3">
      <c r="A107" s="148" t="s">
        <v>1453</v>
      </c>
      <c r="B107" s="148" t="s">
        <v>1433</v>
      </c>
      <c r="C107" s="386" t="str">
        <f t="shared" ref="C107" si="33">CONCATENATE(B107,"-&gt;",A107)</f>
        <v>BL9-&gt;PV10.1</v>
      </c>
      <c r="D107" s="148">
        <v>2.89</v>
      </c>
      <c r="E107" s="148" t="s">
        <v>1408</v>
      </c>
      <c r="F107" s="148">
        <v>5.46</v>
      </c>
      <c r="G107" s="148"/>
      <c r="H107" s="148" t="s">
        <v>1409</v>
      </c>
      <c r="I107" s="387" t="str">
        <f t="shared" si="29"/>
        <v>BOCA DE LOBO PROJETADA TRIPLA</v>
      </c>
      <c r="J107" s="147">
        <f t="shared" si="30"/>
        <v>0</v>
      </c>
      <c r="K107" s="147"/>
      <c r="L107" s="387" t="str">
        <f t="shared" si="31"/>
        <v>PROJETADA</v>
      </c>
      <c r="N107" s="371" t="s">
        <v>1429</v>
      </c>
      <c r="O107" s="148">
        <f t="shared" si="23"/>
        <v>0</v>
      </c>
      <c r="P107" s="148">
        <f t="shared" si="32"/>
        <v>0</v>
      </c>
    </row>
    <row r="108" spans="1:16" customFormat="1" ht="42" x14ac:dyDescent="0.3">
      <c r="A108" s="148" t="s">
        <v>1455</v>
      </c>
      <c r="B108" s="148" t="s">
        <v>1436</v>
      </c>
      <c r="C108" s="386" t="str">
        <f t="shared" si="25"/>
        <v>BL10-&gt;PV11.1</v>
      </c>
      <c r="D108" s="148">
        <v>3.5</v>
      </c>
      <c r="E108" s="148" t="s">
        <v>1408</v>
      </c>
      <c r="F108" s="148">
        <v>4.9800000000000004</v>
      </c>
      <c r="G108" s="148" t="s">
        <v>1425</v>
      </c>
      <c r="H108" s="148" t="s">
        <v>1422</v>
      </c>
      <c r="I108" s="387" t="str">
        <f t="shared" si="26"/>
        <v>BOCA DE LOBO SIMPLES EXISTENTE COM BOCA DE LOBO DUPLA PROJETADA</v>
      </c>
      <c r="J108" s="147">
        <f t="shared" si="27"/>
        <v>0</v>
      </c>
      <c r="K108" s="147"/>
      <c r="L108" s="387" t="str">
        <f t="shared" si="28"/>
        <v>AMPLIADA</v>
      </c>
      <c r="N108" s="371" t="s">
        <v>1431</v>
      </c>
      <c r="O108" s="148">
        <f t="shared" si="23"/>
        <v>1</v>
      </c>
      <c r="P108" s="148">
        <f t="shared" si="24"/>
        <v>0.2138709020827978</v>
      </c>
    </row>
    <row r="109" spans="1:16" customFormat="1" ht="28" x14ac:dyDescent="0.3">
      <c r="A109" s="148" t="s">
        <v>1458</v>
      </c>
      <c r="B109" s="148" t="s">
        <v>1437</v>
      </c>
      <c r="C109" s="386" t="str">
        <f t="shared" ref="C109" si="34">CONCATENATE(B109,"-&gt;",A109)</f>
        <v>BL11-&gt;PV12.1</v>
      </c>
      <c r="D109" s="148">
        <v>3.54</v>
      </c>
      <c r="E109" s="148" t="s">
        <v>1408</v>
      </c>
      <c r="F109" s="148">
        <v>4.74</v>
      </c>
      <c r="G109" s="148"/>
      <c r="H109" s="148" t="s">
        <v>1409</v>
      </c>
      <c r="I109" s="387" t="str">
        <f t="shared" ref="I109" si="35">IF(G109="","BOCA DE LOBO PROJETADA "&amp;H109,IF(H109="","BOCA DE LOBO EXISTENTE "&amp;G109,"BOCA DE LOBO "&amp;G109&amp;" EXISTENTE COM BOCA DE LOBO "&amp;H109&amp;" PROJETADA"))</f>
        <v>BOCA DE LOBO PROJETADA TRIPLA</v>
      </c>
      <c r="J109" s="147">
        <f t="shared" ref="J109" si="36">IF(E109="EXISTENTE",1,0)</f>
        <v>0</v>
      </c>
      <c r="K109" s="147"/>
      <c r="L109" s="387" t="str">
        <f t="shared" ref="L109" si="37">IF(G109&lt;&gt;"",IF(H109&lt;&gt;"","AMPLIADA","EXISTENTE"),"PROJETADA")</f>
        <v>PROJETADA</v>
      </c>
      <c r="N109" s="371" t="s">
        <v>1434</v>
      </c>
      <c r="O109" s="148">
        <f t="shared" si="23"/>
        <v>24</v>
      </c>
      <c r="P109" s="148">
        <f t="shared" ref="P109" si="38">IF(AND(E109="PROJETADO",G109&lt;&gt;""),F109/2*(PI()*0.519*0.519/4-PI()*0.4*0.4/4),0)</f>
        <v>0</v>
      </c>
    </row>
    <row r="110" spans="1:16" customFormat="1" ht="42" x14ac:dyDescent="0.3">
      <c r="A110" s="148" t="s">
        <v>1460</v>
      </c>
      <c r="B110" s="148" t="s">
        <v>1439</v>
      </c>
      <c r="C110" s="386" t="str">
        <f t="shared" si="25"/>
        <v>BL12-&gt;PV13.1</v>
      </c>
      <c r="D110" s="148">
        <v>3.91</v>
      </c>
      <c r="E110" s="148" t="s">
        <v>1408</v>
      </c>
      <c r="F110" s="148">
        <v>3.8</v>
      </c>
      <c r="G110" s="148" t="s">
        <v>1422</v>
      </c>
      <c r="H110" s="148" t="s">
        <v>1425</v>
      </c>
      <c r="I110" s="387" t="str">
        <f t="shared" si="26"/>
        <v>BOCA DE LOBO DUPLA EXISTENTE COM BOCA DE LOBO SIMPLES PROJETADA</v>
      </c>
      <c r="J110" s="147">
        <f t="shared" si="27"/>
        <v>0</v>
      </c>
      <c r="K110" s="147"/>
      <c r="L110" s="387" t="str">
        <f t="shared" si="28"/>
        <v>AMPLIADA</v>
      </c>
      <c r="N110" s="371" t="s">
        <v>1438</v>
      </c>
      <c r="O110" s="148">
        <f t="shared" si="23"/>
        <v>0</v>
      </c>
      <c r="P110" s="148">
        <f t="shared" si="24"/>
        <v>0.16319466423988585</v>
      </c>
    </row>
    <row r="111" spans="1:16" customFormat="1" ht="42" x14ac:dyDescent="0.3">
      <c r="A111" s="148" t="s">
        <v>1462</v>
      </c>
      <c r="B111" s="148" t="s">
        <v>1441</v>
      </c>
      <c r="C111" s="386" t="str">
        <f t="shared" si="25"/>
        <v>BL13-&gt;PV14.1</v>
      </c>
      <c r="D111" s="148">
        <v>3.1</v>
      </c>
      <c r="E111" s="148" t="s">
        <v>1408</v>
      </c>
      <c r="F111" s="148">
        <v>4.01</v>
      </c>
      <c r="G111" s="148" t="s">
        <v>1425</v>
      </c>
      <c r="H111" s="148" t="s">
        <v>1422</v>
      </c>
      <c r="I111" s="387" t="str">
        <f t="shared" si="26"/>
        <v>BOCA DE LOBO SIMPLES EXISTENTE COM BOCA DE LOBO DUPLA PROJETADA</v>
      </c>
      <c r="J111" s="147">
        <f t="shared" si="27"/>
        <v>0</v>
      </c>
      <c r="K111" s="147"/>
      <c r="L111" s="387" t="str">
        <f t="shared" si="28"/>
        <v>AMPLIADA</v>
      </c>
      <c r="N111" s="377" t="s">
        <v>5</v>
      </c>
      <c r="O111" s="378">
        <f>SUM(O98:O110)</f>
        <v>61</v>
      </c>
      <c r="P111" s="148">
        <f t="shared" si="24"/>
        <v>0.17221331673735321</v>
      </c>
    </row>
    <row r="112" spans="1:16" customFormat="1" ht="42" x14ac:dyDescent="0.3">
      <c r="A112" s="148" t="s">
        <v>1465</v>
      </c>
      <c r="B112" s="148" t="s">
        <v>1444</v>
      </c>
      <c r="C112" s="386" t="str">
        <f t="shared" si="25"/>
        <v>BL14-&gt;PV15.1</v>
      </c>
      <c r="D112" s="148">
        <v>2.8</v>
      </c>
      <c r="E112" s="148" t="s">
        <v>1408</v>
      </c>
      <c r="F112" s="148">
        <v>8.0299999999999994</v>
      </c>
      <c r="G112" s="148" t="s">
        <v>1425</v>
      </c>
      <c r="H112" s="148" t="s">
        <v>1422</v>
      </c>
      <c r="I112" s="387" t="str">
        <f t="shared" si="26"/>
        <v>BOCA DE LOBO SIMPLES EXISTENTE COM BOCA DE LOBO DUPLA PROJETADA</v>
      </c>
      <c r="J112" s="147">
        <f t="shared" si="27"/>
        <v>0</v>
      </c>
      <c r="K112" s="147"/>
      <c r="L112" s="387" t="str">
        <f t="shared" si="28"/>
        <v>AMPLIADA</v>
      </c>
      <c r="N112" s="377" t="s">
        <v>1443</v>
      </c>
      <c r="O112" s="378">
        <f>SUM(O98:O106)</f>
        <v>36</v>
      </c>
      <c r="P112" s="148">
        <f t="shared" si="24"/>
        <v>0.34485609311744297</v>
      </c>
    </row>
    <row r="113" spans="1:16" customFormat="1" ht="42" x14ac:dyDescent="0.3">
      <c r="A113" s="148" t="s">
        <v>1467</v>
      </c>
      <c r="B113" s="148" t="s">
        <v>1445</v>
      </c>
      <c r="C113" s="386" t="str">
        <f t="shared" si="25"/>
        <v>BL15-&gt;PV16.1</v>
      </c>
      <c r="D113" s="148">
        <v>2.5</v>
      </c>
      <c r="E113" s="148" t="s">
        <v>1408</v>
      </c>
      <c r="F113" s="148">
        <v>4.59</v>
      </c>
      <c r="G113" s="148" t="s">
        <v>1425</v>
      </c>
      <c r="H113" s="148" t="s">
        <v>1422</v>
      </c>
      <c r="I113" s="387" t="str">
        <f t="shared" si="26"/>
        <v>BOCA DE LOBO SIMPLES EXISTENTE COM BOCA DE LOBO DUPLA PROJETADA</v>
      </c>
      <c r="J113" s="147">
        <f t="shared" si="27"/>
        <v>0</v>
      </c>
      <c r="K113" s="147"/>
      <c r="L113" s="387" t="str">
        <f t="shared" si="28"/>
        <v>AMPLIADA</v>
      </c>
      <c r="N113" s="381"/>
      <c r="O113" s="363"/>
      <c r="P113" s="148">
        <f t="shared" si="24"/>
        <v>0.19712197601607265</v>
      </c>
    </row>
    <row r="114" spans="1:16" customFormat="1" ht="42" x14ac:dyDescent="0.3">
      <c r="A114" s="148" t="s">
        <v>1471</v>
      </c>
      <c r="B114" s="148" t="s">
        <v>1446</v>
      </c>
      <c r="C114" s="386" t="str">
        <f t="shared" si="25"/>
        <v>BL16-&gt;PV17.1</v>
      </c>
      <c r="D114" s="148">
        <v>2.1</v>
      </c>
      <c r="E114" s="148" t="s">
        <v>1408</v>
      </c>
      <c r="F114" s="148">
        <v>4.1900000000000004</v>
      </c>
      <c r="G114" s="148" t="s">
        <v>1425</v>
      </c>
      <c r="H114" s="148" t="s">
        <v>1422</v>
      </c>
      <c r="I114" s="387" t="str">
        <f t="shared" si="26"/>
        <v>BOCA DE LOBO SIMPLES EXISTENTE COM BOCA DE LOBO DUPLA PROJETADA</v>
      </c>
      <c r="J114" s="147">
        <f t="shared" si="27"/>
        <v>0</v>
      </c>
      <c r="K114" s="147"/>
      <c r="L114" s="387" t="str">
        <f t="shared" si="28"/>
        <v>AMPLIADA</v>
      </c>
      <c r="N114" s="381"/>
      <c r="O114" s="363"/>
      <c r="P114" s="148">
        <f t="shared" si="24"/>
        <v>0.179943590306611</v>
      </c>
    </row>
    <row r="115" spans="1:16" customFormat="1" ht="42" x14ac:dyDescent="0.3">
      <c r="A115" s="148" t="s">
        <v>1477</v>
      </c>
      <c r="B115" s="148" t="s">
        <v>1448</v>
      </c>
      <c r="C115" s="386" t="str">
        <f t="shared" si="25"/>
        <v>BL17-&gt;PV19.1</v>
      </c>
      <c r="D115" s="148">
        <v>2.5</v>
      </c>
      <c r="E115" s="148" t="s">
        <v>1408</v>
      </c>
      <c r="F115" s="148">
        <v>6.15</v>
      </c>
      <c r="G115" s="148" t="s">
        <v>1422</v>
      </c>
      <c r="H115" s="148" t="s">
        <v>1425</v>
      </c>
      <c r="I115" s="387" t="str">
        <f t="shared" ref="I115" si="39">IF(G115="","BOCA DE LOBO PROJETADA "&amp;H115,IF(H115="","BOCA DE LOBO EXISTENTE "&amp;G115,"BOCA DE LOBO "&amp;G115&amp;" EXISTENTE COM BOCA DE LOBO "&amp;H115&amp;" PROJETADA"))</f>
        <v>BOCA DE LOBO DUPLA EXISTENTE COM BOCA DE LOBO SIMPLES PROJETADA</v>
      </c>
      <c r="J115" s="147">
        <f t="shared" ref="J115" si="40">IF(E115="EXISTENTE",1,0)</f>
        <v>0</v>
      </c>
      <c r="K115" s="147"/>
      <c r="L115" s="387" t="str">
        <f t="shared" ref="L115" si="41">IF(G115&lt;&gt;"",IF(H115&lt;&gt;"","AMPLIADA","EXISTENTE"),"PROJETADA")</f>
        <v>AMPLIADA</v>
      </c>
      <c r="N115" s="388"/>
      <c r="P115" s="148">
        <f t="shared" ref="P115" si="42">IF(AND(E115="PROJETADO",G115&lt;&gt;""),F115/2*(PI()*0.519*0.519/4-PI()*0.4*0.4/4),0)</f>
        <v>0.26411768028297317</v>
      </c>
    </row>
    <row r="116" spans="1:16" customFormat="1" ht="28" x14ac:dyDescent="0.3">
      <c r="A116" s="148" t="s">
        <v>1581</v>
      </c>
      <c r="B116" s="148" t="s">
        <v>1450</v>
      </c>
      <c r="C116" s="386" t="str">
        <f t="shared" si="25"/>
        <v>BL18-&gt;PV20.1</v>
      </c>
      <c r="D116" s="148">
        <v>2.5</v>
      </c>
      <c r="E116" s="148" t="s">
        <v>1408</v>
      </c>
      <c r="F116" s="148">
        <v>7.36</v>
      </c>
      <c r="G116" s="148"/>
      <c r="H116" s="148" t="s">
        <v>1409</v>
      </c>
      <c r="I116" s="387" t="str">
        <f t="shared" si="26"/>
        <v>BOCA DE LOBO PROJETADA TRIPLA</v>
      </c>
      <c r="J116" s="147">
        <f t="shared" si="27"/>
        <v>0</v>
      </c>
      <c r="K116" s="147"/>
      <c r="L116" s="387" t="str">
        <f t="shared" si="28"/>
        <v>PROJETADA</v>
      </c>
      <c r="N116" s="388"/>
      <c r="P116" s="148">
        <f t="shared" si="24"/>
        <v>0</v>
      </c>
    </row>
    <row r="117" spans="1:16" customFormat="1" ht="28" x14ac:dyDescent="0.3">
      <c r="A117" s="148" t="s">
        <v>1582</v>
      </c>
      <c r="B117" s="148" t="s">
        <v>1451</v>
      </c>
      <c r="C117" s="386" t="str">
        <f t="shared" si="25"/>
        <v>BL19-&gt;PV21.1</v>
      </c>
      <c r="D117" s="148">
        <v>2.4</v>
      </c>
      <c r="E117" s="148" t="s">
        <v>1408</v>
      </c>
      <c r="F117" s="148">
        <v>5.54</v>
      </c>
      <c r="G117" s="148"/>
      <c r="H117" s="148" t="s">
        <v>1409</v>
      </c>
      <c r="I117" s="387" t="str">
        <f t="shared" si="26"/>
        <v>BOCA DE LOBO PROJETADA TRIPLA</v>
      </c>
      <c r="J117" s="147">
        <f t="shared" si="27"/>
        <v>0</v>
      </c>
      <c r="K117" s="147"/>
      <c r="L117" s="387" t="str">
        <f t="shared" si="28"/>
        <v>PROJETADA</v>
      </c>
      <c r="N117" s="388"/>
      <c r="P117" s="148">
        <f t="shared" si="24"/>
        <v>0</v>
      </c>
    </row>
    <row r="118" spans="1:16" customFormat="1" ht="28" x14ac:dyDescent="0.3">
      <c r="A118" s="148" t="s">
        <v>1583</v>
      </c>
      <c r="B118" s="148" t="s">
        <v>1452</v>
      </c>
      <c r="C118" s="386" t="str">
        <f t="shared" si="25"/>
        <v>BL20-&gt;PV22.1</v>
      </c>
      <c r="D118" s="148">
        <v>2.5</v>
      </c>
      <c r="E118" s="148" t="s">
        <v>1408</v>
      </c>
      <c r="F118" s="148">
        <v>4.71</v>
      </c>
      <c r="G118" s="148"/>
      <c r="H118" s="148" t="s">
        <v>1409</v>
      </c>
      <c r="I118" s="387" t="str">
        <f t="shared" si="26"/>
        <v>BOCA DE LOBO PROJETADA TRIPLA</v>
      </c>
      <c r="J118" s="147">
        <f t="shared" si="27"/>
        <v>0</v>
      </c>
      <c r="K118" s="147"/>
      <c r="L118" s="387" t="str">
        <f t="shared" si="28"/>
        <v>PROJETADA</v>
      </c>
      <c r="N118" s="388"/>
      <c r="P118" s="148">
        <f t="shared" si="24"/>
        <v>0</v>
      </c>
    </row>
    <row r="119" spans="1:16" customFormat="1" ht="28" x14ac:dyDescent="0.3">
      <c r="A119" s="148" t="s">
        <v>1584</v>
      </c>
      <c r="B119" s="148" t="s">
        <v>1454</v>
      </c>
      <c r="C119" s="386" t="str">
        <f t="shared" si="25"/>
        <v>BL21-&gt;PV23.1</v>
      </c>
      <c r="D119" s="148">
        <v>2.82</v>
      </c>
      <c r="E119" s="148" t="s">
        <v>1408</v>
      </c>
      <c r="F119" s="148">
        <v>3.79</v>
      </c>
      <c r="G119" s="148"/>
      <c r="H119" s="148" t="s">
        <v>1409</v>
      </c>
      <c r="I119" s="387" t="str">
        <f t="shared" si="26"/>
        <v>BOCA DE LOBO PROJETADA TRIPLA</v>
      </c>
      <c r="J119" s="147">
        <f t="shared" si="27"/>
        <v>0</v>
      </c>
      <c r="K119" s="147"/>
      <c r="L119" s="387" t="str">
        <f t="shared" si="28"/>
        <v>PROJETADA</v>
      </c>
      <c r="N119" s="388"/>
      <c r="P119" s="148">
        <f t="shared" si="24"/>
        <v>0</v>
      </c>
    </row>
    <row r="120" spans="1:16" customFormat="1" ht="28" x14ac:dyDescent="0.3">
      <c r="A120" s="148" t="s">
        <v>1585</v>
      </c>
      <c r="B120" s="148" t="s">
        <v>1456</v>
      </c>
      <c r="C120" s="386" t="str">
        <f t="shared" si="25"/>
        <v>BL22-&gt;PV24.1</v>
      </c>
      <c r="D120" s="148">
        <v>2.82</v>
      </c>
      <c r="E120" s="148" t="s">
        <v>1408</v>
      </c>
      <c r="F120" s="148">
        <v>5.2</v>
      </c>
      <c r="G120" s="148"/>
      <c r="H120" s="148" t="s">
        <v>1409</v>
      </c>
      <c r="I120" s="387" t="str">
        <f>IF(G120="","BOCA DE LOBO PROJETADA "&amp;H120,IF(H120="","BOCA DE LOBO EXISTENTE "&amp;G120,"BOCA DE LOBO "&amp;G120&amp;" EXISTENTE COM BOCA DE LOBO "&amp;H120&amp;" PROJETADA"))</f>
        <v>BOCA DE LOBO PROJETADA TRIPLA</v>
      </c>
      <c r="J120" s="147">
        <f>IF(E120="EXISTENTE",1,0)</f>
        <v>0</v>
      </c>
      <c r="K120" s="147"/>
      <c r="L120" s="387" t="str">
        <f>IF(G120&lt;&gt;"",IF(H120&lt;&gt;"","AMPLIADA","EXISTENTE"),"PROJETADA")</f>
        <v>PROJETADA</v>
      </c>
      <c r="N120" s="388"/>
      <c r="P120" s="148">
        <f>IF(AND(E120="PROJETADO",G120&lt;&gt;""),F120/2*(PI()*0.519*0.519/4-PI()*0.4*0.4/4),0)</f>
        <v>0</v>
      </c>
    </row>
    <row r="121" spans="1:16" customFormat="1" ht="28" x14ac:dyDescent="0.3">
      <c r="A121" s="148" t="s">
        <v>1586</v>
      </c>
      <c r="B121" s="148" t="s">
        <v>1457</v>
      </c>
      <c r="C121" s="386" t="str">
        <f t="shared" si="25"/>
        <v>BL23-&gt;PV25.1</v>
      </c>
      <c r="D121" s="148">
        <v>2.82</v>
      </c>
      <c r="E121" s="148" t="s">
        <v>1408</v>
      </c>
      <c r="F121" s="148">
        <v>5.89</v>
      </c>
      <c r="G121" s="148"/>
      <c r="H121" s="148" t="s">
        <v>1409</v>
      </c>
      <c r="I121" s="387" t="str">
        <f>IF(G121="","BOCA DE LOBO PROJETADA "&amp;H121,IF(H121="","BOCA DE LOBO EXISTENTE "&amp;G121,"BOCA DE LOBO "&amp;G121&amp;" EXISTENTE COM BOCA DE LOBO "&amp;H121&amp;" PROJETADA"))</f>
        <v>BOCA DE LOBO PROJETADA TRIPLA</v>
      </c>
      <c r="J121" s="147">
        <f>IF(E121="EXISTENTE",1,0)</f>
        <v>0</v>
      </c>
      <c r="K121" s="147"/>
      <c r="L121" s="387" t="str">
        <f>IF(G121&lt;&gt;"",IF(H121&lt;&gt;"","AMPLIADA","EXISTENTE"),"PROJETADA")</f>
        <v>PROJETADA</v>
      </c>
      <c r="N121" s="388"/>
      <c r="P121" s="148">
        <f>IF(AND(E121="PROJETADO",G121&lt;&gt;""),F121/2*(PI()*0.519*0.519/4-PI()*0.4*0.4/4),0)</f>
        <v>0</v>
      </c>
    </row>
    <row r="122" spans="1:16" customFormat="1" ht="28" x14ac:dyDescent="0.3">
      <c r="A122" s="148" t="s">
        <v>1587</v>
      </c>
      <c r="B122" s="148" t="s">
        <v>1459</v>
      </c>
      <c r="C122" s="386" t="str">
        <f t="shared" si="25"/>
        <v>BL24-&gt;PV26.1</v>
      </c>
      <c r="D122" s="148">
        <v>3.65</v>
      </c>
      <c r="E122" s="148" t="s">
        <v>1408</v>
      </c>
      <c r="F122" s="148">
        <v>9.0399999999999991</v>
      </c>
      <c r="G122" s="148"/>
      <c r="H122" s="148" t="s">
        <v>1409</v>
      </c>
      <c r="I122" s="387" t="str">
        <f>IF(G122="","BOCA DE LOBO PROJETADA "&amp;H122,IF(H122="","BOCA DE LOBO EXISTENTE "&amp;G122,"BOCA DE LOBO "&amp;G122&amp;" EXISTENTE COM BOCA DE LOBO "&amp;H122&amp;" PROJETADA"))</f>
        <v>BOCA DE LOBO PROJETADA TRIPLA</v>
      </c>
      <c r="J122" s="147">
        <f>IF(E122="EXISTENTE",1,0)</f>
        <v>0</v>
      </c>
      <c r="K122" s="147"/>
      <c r="L122" s="387" t="str">
        <f>IF(G122&lt;&gt;"",IF(H122&lt;&gt;"","AMPLIADA","EXISTENTE"),"PROJETADA")</f>
        <v>PROJETADA</v>
      </c>
      <c r="N122" s="388"/>
      <c r="P122" s="148">
        <f>IF(AND(E122="PROJETADO",G122&lt;&gt;""),F122/2*(PI()*0.519*0.519/4-PI()*0.4*0.4/4),0)</f>
        <v>0</v>
      </c>
    </row>
    <row r="123" spans="1:16" customFormat="1" ht="28" x14ac:dyDescent="0.3">
      <c r="A123" s="148" t="s">
        <v>1588</v>
      </c>
      <c r="B123" s="148" t="s">
        <v>1461</v>
      </c>
      <c r="C123" s="386" t="str">
        <f t="shared" ref="C123" si="43">CONCATENATE(B123,"-&gt;",A123)</f>
        <v>BL25-&gt;PV1.2</v>
      </c>
      <c r="D123" s="148">
        <v>3.55</v>
      </c>
      <c r="E123" s="148" t="s">
        <v>1408</v>
      </c>
      <c r="F123" s="148">
        <v>4.0999999999999996</v>
      </c>
      <c r="G123" s="148"/>
      <c r="H123" s="148" t="s">
        <v>1409</v>
      </c>
      <c r="I123" s="387" t="str">
        <f t="shared" ref="I123" si="44">IF(G123="","BOCA DE LOBO PROJETADA "&amp;H123,IF(H123="","BOCA DE LOBO EXISTENTE "&amp;G123,"BOCA DE LOBO "&amp;G123&amp;" EXISTENTE COM BOCA DE LOBO "&amp;H123&amp;" PROJETADA"))</f>
        <v>BOCA DE LOBO PROJETADA TRIPLA</v>
      </c>
      <c r="J123" s="147">
        <f t="shared" ref="J123" si="45">IF(E123="EXISTENTE",1,0)</f>
        <v>0</v>
      </c>
      <c r="K123" s="147"/>
      <c r="L123" s="387" t="str">
        <f t="shared" ref="L123" si="46">IF(G123&lt;&gt;"",IF(H123&lt;&gt;"","AMPLIADA","EXISTENTE"),"PROJETADA")</f>
        <v>PROJETADA</v>
      </c>
      <c r="N123" s="388"/>
      <c r="P123" s="148">
        <f t="shared" ref="P123" si="47">IF(AND(E123="PROJETADO",G123&lt;&gt;""),F123/2*(PI()*0.519*0.519/4-PI()*0.4*0.4/4),0)</f>
        <v>0</v>
      </c>
    </row>
    <row r="124" spans="1:16" customFormat="1" ht="28" x14ac:dyDescent="0.3">
      <c r="A124" s="148" t="s">
        <v>1590</v>
      </c>
      <c r="B124" s="148" t="s">
        <v>1463</v>
      </c>
      <c r="C124" s="386" t="str">
        <f t="shared" si="25"/>
        <v>BL26-&gt;PV2.2</v>
      </c>
      <c r="D124" s="148">
        <v>3.55</v>
      </c>
      <c r="E124" s="148" t="s">
        <v>1408</v>
      </c>
      <c r="F124" s="148">
        <v>7.13</v>
      </c>
      <c r="G124" s="148" t="s">
        <v>1422</v>
      </c>
      <c r="H124" s="148"/>
      <c r="I124" s="387" t="str">
        <f t="shared" si="26"/>
        <v>BOCA DE LOBO EXISTENTE DUPLA</v>
      </c>
      <c r="J124" s="147">
        <f t="shared" si="27"/>
        <v>0</v>
      </c>
      <c r="K124" s="147"/>
      <c r="L124" s="387" t="str">
        <f t="shared" si="28"/>
        <v>EXISTENTE</v>
      </c>
      <c r="N124" s="388"/>
      <c r="P124" s="148">
        <f t="shared" si="24"/>
        <v>0.30620472527115422</v>
      </c>
    </row>
    <row r="125" spans="1:16" customFormat="1" ht="28" x14ac:dyDescent="0.3">
      <c r="A125" s="148" t="s">
        <v>1591</v>
      </c>
      <c r="B125" s="148" t="s">
        <v>1464</v>
      </c>
      <c r="C125" s="386" t="str">
        <f t="shared" si="25"/>
        <v>BL27-&gt;PV3.2</v>
      </c>
      <c r="D125" s="148">
        <v>3.55</v>
      </c>
      <c r="E125" s="148" t="s">
        <v>1408</v>
      </c>
      <c r="F125" s="148">
        <v>4.03</v>
      </c>
      <c r="G125" s="148"/>
      <c r="H125" s="148" t="s">
        <v>1409</v>
      </c>
      <c r="I125" s="387" t="str">
        <f t="shared" si="26"/>
        <v>BOCA DE LOBO PROJETADA TRIPLA</v>
      </c>
      <c r="J125" s="147">
        <f t="shared" si="27"/>
        <v>0</v>
      </c>
      <c r="K125" s="147"/>
      <c r="L125" s="387" t="str">
        <f t="shared" si="28"/>
        <v>PROJETADA</v>
      </c>
      <c r="N125" s="388"/>
      <c r="P125" s="148">
        <f t="shared" si="24"/>
        <v>0</v>
      </c>
    </row>
    <row r="126" spans="1:16" customFormat="1" ht="28" x14ac:dyDescent="0.3">
      <c r="A126" s="148" t="s">
        <v>1592</v>
      </c>
      <c r="B126" s="148" t="s">
        <v>1466</v>
      </c>
      <c r="C126" s="386" t="str">
        <f t="shared" si="25"/>
        <v>BL28-&gt;PV4.2</v>
      </c>
      <c r="D126" s="148">
        <v>3</v>
      </c>
      <c r="E126" s="148" t="s">
        <v>1408</v>
      </c>
      <c r="F126" s="148">
        <v>4.59</v>
      </c>
      <c r="G126" s="148"/>
      <c r="H126" s="148" t="s">
        <v>1409</v>
      </c>
      <c r="I126" s="387" t="str">
        <f t="shared" si="26"/>
        <v>BOCA DE LOBO PROJETADA TRIPLA</v>
      </c>
      <c r="J126" s="147">
        <f t="shared" si="27"/>
        <v>0</v>
      </c>
      <c r="K126" s="147"/>
      <c r="L126" s="387" t="str">
        <f t="shared" si="28"/>
        <v>PROJETADA</v>
      </c>
      <c r="N126" s="388"/>
      <c r="P126" s="148">
        <f t="shared" si="24"/>
        <v>0</v>
      </c>
    </row>
    <row r="127" spans="1:16" customFormat="1" ht="28" x14ac:dyDescent="0.3">
      <c r="A127" s="148" t="s">
        <v>1593</v>
      </c>
      <c r="B127" s="148" t="s">
        <v>1469</v>
      </c>
      <c r="C127" s="386" t="str">
        <f t="shared" si="25"/>
        <v>BL29-&gt;PV5.2</v>
      </c>
      <c r="D127" s="148">
        <v>2</v>
      </c>
      <c r="E127" s="148" t="s">
        <v>1408</v>
      </c>
      <c r="F127" s="148">
        <v>2.2200000000000002</v>
      </c>
      <c r="G127" s="148"/>
      <c r="H127" s="148" t="s">
        <v>1409</v>
      </c>
      <c r="I127" s="387" t="str">
        <f t="shared" si="26"/>
        <v>BOCA DE LOBO PROJETADA TRIPLA</v>
      </c>
      <c r="J127" s="147">
        <f t="shared" si="27"/>
        <v>0</v>
      </c>
      <c r="K127" s="147"/>
      <c r="L127" s="387" t="str">
        <f t="shared" si="28"/>
        <v>PROJETADA</v>
      </c>
      <c r="N127" s="388"/>
      <c r="P127" s="148">
        <f t="shared" si="24"/>
        <v>0</v>
      </c>
    </row>
    <row r="128" spans="1:16" customFormat="1" ht="42" x14ac:dyDescent="0.3">
      <c r="A128" s="148" t="s">
        <v>1593</v>
      </c>
      <c r="B128" s="148" t="s">
        <v>1468</v>
      </c>
      <c r="C128" s="386" t="str">
        <f t="shared" si="25"/>
        <v>BL30-&gt;PV5.2</v>
      </c>
      <c r="D128" s="148">
        <v>2</v>
      </c>
      <c r="E128" s="148" t="s">
        <v>1408</v>
      </c>
      <c r="F128" s="148">
        <v>6.45</v>
      </c>
      <c r="G128" s="148" t="s">
        <v>1422</v>
      </c>
      <c r="H128" s="148" t="s">
        <v>1425</v>
      </c>
      <c r="I128" s="387" t="str">
        <f t="shared" si="26"/>
        <v>BOCA DE LOBO DUPLA EXISTENTE COM BOCA DE LOBO SIMPLES PROJETADA</v>
      </c>
      <c r="J128" s="147">
        <f t="shared" si="27"/>
        <v>0</v>
      </c>
      <c r="K128" s="147"/>
      <c r="L128" s="387" t="str">
        <f t="shared" si="28"/>
        <v>AMPLIADA</v>
      </c>
      <c r="N128" s="388"/>
      <c r="P128" s="148">
        <f t="shared" si="24"/>
        <v>0.27700146956506944</v>
      </c>
    </row>
    <row r="129" spans="1:16" customFormat="1" ht="28" x14ac:dyDescent="0.3">
      <c r="A129" s="148" t="s">
        <v>1594</v>
      </c>
      <c r="B129" s="148" t="s">
        <v>1470</v>
      </c>
      <c r="C129" s="386" t="str">
        <f>CONCATENATE(B129,"-&gt;",A129)</f>
        <v>BL31-&gt;PV6.2</v>
      </c>
      <c r="D129" s="148">
        <v>2.8</v>
      </c>
      <c r="E129" s="148" t="s">
        <v>1408</v>
      </c>
      <c r="F129" s="148">
        <v>4.5999999999999996</v>
      </c>
      <c r="G129" s="148" t="s">
        <v>1422</v>
      </c>
      <c r="H129" s="148"/>
      <c r="I129" s="387" t="str">
        <f>IF(G129="","BOCA DE LOBO PROJETADA "&amp;H129,IF(H129="","BOCA DE LOBO EXISTENTE "&amp;G129,"BOCA DE LOBO "&amp;G129&amp;" EXISTENTE COM BOCA DE LOBO "&amp;H129&amp;" PROJETADA"))</f>
        <v>BOCA DE LOBO EXISTENTE DUPLA</v>
      </c>
      <c r="J129" s="147">
        <f>IF(E129="EXISTENTE",1,0)</f>
        <v>0</v>
      </c>
      <c r="K129" s="147"/>
      <c r="L129" s="387" t="str">
        <f>IF(G129&lt;&gt;"",IF(H129&lt;&gt;"","AMPLIADA","EXISTENTE"),"PROJETADA")</f>
        <v>EXISTENTE</v>
      </c>
      <c r="N129" s="388"/>
      <c r="P129" s="148">
        <f>IF(AND(E129="PROJETADO",G129&lt;&gt;""),F129/2*(PI()*0.519*0.519/4-PI()*0.4*0.4/4),0)</f>
        <v>0.19755143565880917</v>
      </c>
    </row>
    <row r="130" spans="1:16" customFormat="1" ht="28" x14ac:dyDescent="0.3">
      <c r="A130" s="148" t="s">
        <v>1594</v>
      </c>
      <c r="B130" s="148" t="s">
        <v>1472</v>
      </c>
      <c r="C130" s="386" t="str">
        <f>CONCATENATE(B130,"-&gt;",A130)</f>
        <v>BL32-&gt;PV6.2</v>
      </c>
      <c r="D130" s="148">
        <v>2.8</v>
      </c>
      <c r="E130" s="148" t="s">
        <v>1408</v>
      </c>
      <c r="F130" s="148">
        <v>8.98</v>
      </c>
      <c r="G130" s="148"/>
      <c r="H130" s="148" t="s">
        <v>1409</v>
      </c>
      <c r="I130" s="387" t="str">
        <f>IF(G130="","BOCA DE LOBO PROJETADA "&amp;H130,IF(H130="","BOCA DE LOBO EXISTENTE "&amp;G130,"BOCA DE LOBO "&amp;G130&amp;" EXISTENTE COM BOCA DE LOBO "&amp;H130&amp;" PROJETADA"))</f>
        <v>BOCA DE LOBO PROJETADA TRIPLA</v>
      </c>
      <c r="J130" s="147">
        <f>IF(E130="EXISTENTE",1,0)</f>
        <v>0</v>
      </c>
      <c r="K130" s="147"/>
      <c r="L130" s="387" t="str">
        <f>IF(G130&lt;&gt;"",IF(H130&lt;&gt;"","AMPLIADA","EXISTENTE"),"PROJETADA")</f>
        <v>PROJETADA</v>
      </c>
      <c r="N130" s="388"/>
      <c r="P130" s="148">
        <f>IF(AND(E130="PROJETADO",G130&lt;&gt;""),F130/2*(PI()*0.519*0.519/4-PI()*0.4*0.4/4),0)</f>
        <v>0</v>
      </c>
    </row>
    <row r="131" spans="1:16" customFormat="1" ht="28" x14ac:dyDescent="0.3">
      <c r="A131" s="148" t="s">
        <v>1589</v>
      </c>
      <c r="B131" s="148" t="s">
        <v>1473</v>
      </c>
      <c r="C131" s="386" t="str">
        <f>CONCATENATE(B131,"-&gt;",A131)</f>
        <v>BL33-&gt;PV1.3</v>
      </c>
      <c r="D131" s="148">
        <v>1.6</v>
      </c>
      <c r="E131" s="148" t="s">
        <v>1408</v>
      </c>
      <c r="F131" s="148">
        <v>3.64</v>
      </c>
      <c r="G131" s="148"/>
      <c r="H131" s="148" t="s">
        <v>1409</v>
      </c>
      <c r="I131" s="387" t="str">
        <f>IF(G131="","BOCA DE LOBO PROJETADA "&amp;H131,IF(H131="","BOCA DE LOBO EXISTENTE "&amp;G131,"BOCA DE LOBO "&amp;G131&amp;" EXISTENTE COM BOCA DE LOBO "&amp;H131&amp;" PROJETADA"))</f>
        <v>BOCA DE LOBO PROJETADA TRIPLA</v>
      </c>
      <c r="J131" s="147">
        <f>IF(E131="EXISTENTE",1,0)</f>
        <v>0</v>
      </c>
      <c r="K131" s="147"/>
      <c r="L131" s="387" t="str">
        <f>IF(G131&lt;&gt;"",IF(H131&lt;&gt;"","AMPLIADA","EXISTENTE"),"PROJETADA")</f>
        <v>PROJETADA</v>
      </c>
      <c r="N131" s="388"/>
      <c r="P131" s="148">
        <f>IF(AND(E131="PROJETADO",G131&lt;&gt;""),F131/2*(PI()*0.519*0.519/4-PI()*0.4*0.4/4),0)</f>
        <v>0</v>
      </c>
    </row>
    <row r="132" spans="1:16" customFormat="1" x14ac:dyDescent="0.35">
      <c r="A132" s="325" t="s">
        <v>1414</v>
      </c>
      <c r="B132" s="148"/>
      <c r="C132" s="386"/>
      <c r="D132" s="148"/>
      <c r="E132" s="148"/>
      <c r="F132" s="148"/>
      <c r="G132" s="148"/>
      <c r="H132" s="148"/>
      <c r="I132" s="387"/>
      <c r="J132" s="147"/>
      <c r="K132" s="147"/>
      <c r="L132" s="387"/>
      <c r="N132" s="388"/>
      <c r="P132" s="148">
        <f t="shared" si="24"/>
        <v>0</v>
      </c>
    </row>
    <row r="133" spans="1:16" customFormat="1" ht="42" x14ac:dyDescent="0.3">
      <c r="A133" s="148" t="s">
        <v>1406</v>
      </c>
      <c r="B133" s="148" t="s">
        <v>1475</v>
      </c>
      <c r="C133" s="386" t="str">
        <f t="shared" ref="C133:C142" si="48">CONCATENATE(B133,"-&gt;",A133)</f>
        <v>BL34-&gt;PV1.1</v>
      </c>
      <c r="D133" s="148">
        <v>3.5</v>
      </c>
      <c r="E133" s="148" t="s">
        <v>1408</v>
      </c>
      <c r="F133" s="148">
        <v>10.92</v>
      </c>
      <c r="G133" s="148" t="s">
        <v>1425</v>
      </c>
      <c r="H133" s="148" t="s">
        <v>1422</v>
      </c>
      <c r="I133" s="387" t="str">
        <f t="shared" ref="I133:I139" si="49">IF(G133="","BOCA DE LOBO PROJETADA "&amp;H133,IF(H133="","BOCA DE LOBO EXISTENTE "&amp;G133,"BOCA DE LOBO "&amp;G133&amp;" EXISTENTE COM BOCA DE LOBO "&amp;H133&amp;" PROJETADA"))</f>
        <v>BOCA DE LOBO SIMPLES EXISTENTE COM BOCA DE LOBO DUPLA PROJETADA</v>
      </c>
      <c r="J133" s="147">
        <f t="shared" ref="J133:J139" si="50">IF(E133="EXISTENTE",1,0)</f>
        <v>0</v>
      </c>
      <c r="K133" s="147"/>
      <c r="L133" s="387" t="str">
        <f t="shared" ref="L133:L139" si="51">IF(G133&lt;&gt;"",IF(H133&lt;&gt;"","AMPLIADA","EXISTENTE"),"PROJETADA")</f>
        <v>AMPLIADA</v>
      </c>
      <c r="N133" s="388"/>
      <c r="P133" s="148">
        <f t="shared" si="24"/>
        <v>0.46896992986830355</v>
      </c>
    </row>
    <row r="134" spans="1:16" customFormat="1" ht="42" x14ac:dyDescent="0.3">
      <c r="A134" s="148" t="s">
        <v>1421</v>
      </c>
      <c r="B134" s="148" t="s">
        <v>1476</v>
      </c>
      <c r="C134" s="386" t="str">
        <f t="shared" ref="C134" si="52">CONCATENATE(B134,"-&gt;",A134)</f>
        <v>BL35-&gt;PV2.1</v>
      </c>
      <c r="D134" s="148">
        <v>3.177</v>
      </c>
      <c r="E134" s="148" t="s">
        <v>1408</v>
      </c>
      <c r="F134" s="148">
        <v>4.01</v>
      </c>
      <c r="G134" s="148" t="s">
        <v>1422</v>
      </c>
      <c r="H134" s="148" t="s">
        <v>1425</v>
      </c>
      <c r="I134" s="387" t="str">
        <f t="shared" si="49"/>
        <v>BOCA DE LOBO DUPLA EXISTENTE COM BOCA DE LOBO SIMPLES PROJETADA</v>
      </c>
      <c r="J134" s="147">
        <f t="shared" si="50"/>
        <v>0</v>
      </c>
      <c r="K134" s="147"/>
      <c r="L134" s="387" t="str">
        <f t="shared" si="51"/>
        <v>AMPLIADA</v>
      </c>
      <c r="N134" s="388"/>
      <c r="P134" s="148">
        <f t="shared" si="24"/>
        <v>0.17221331673735321</v>
      </c>
    </row>
    <row r="135" spans="1:16" customFormat="1" ht="42" x14ac:dyDescent="0.3">
      <c r="A135" s="148" t="s">
        <v>1411</v>
      </c>
      <c r="B135" s="148" t="s">
        <v>1478</v>
      </c>
      <c r="C135" s="386" t="str">
        <f t="shared" si="48"/>
        <v>BL36-&gt;PV3.1</v>
      </c>
      <c r="D135" s="148">
        <v>3</v>
      </c>
      <c r="E135" s="148" t="s">
        <v>1408</v>
      </c>
      <c r="F135" s="148">
        <v>3.94</v>
      </c>
      <c r="G135" s="148" t="s">
        <v>1422</v>
      </c>
      <c r="H135" s="148" t="s">
        <v>1425</v>
      </c>
      <c r="I135" s="387" t="str">
        <f t="shared" ref="I135" si="53">IF(G135="","BOCA DE LOBO PROJETADA "&amp;H135,IF(H135="","BOCA DE LOBO EXISTENTE "&amp;G135,"BOCA DE LOBO "&amp;G135&amp;" EXISTENTE COM BOCA DE LOBO "&amp;H135&amp;" PROJETADA"))</f>
        <v>BOCA DE LOBO DUPLA EXISTENTE COM BOCA DE LOBO SIMPLES PROJETADA</v>
      </c>
      <c r="J135" s="147">
        <f t="shared" ref="J135" si="54">IF(E135="EXISTENTE",1,0)</f>
        <v>0</v>
      </c>
      <c r="K135" s="147"/>
      <c r="L135" s="387" t="str">
        <f t="shared" ref="L135" si="55">IF(G135&lt;&gt;"",IF(H135&lt;&gt;"","AMPLIADA","EXISTENTE"),"PROJETADA")</f>
        <v>AMPLIADA</v>
      </c>
      <c r="N135" s="388"/>
      <c r="P135" s="148">
        <f t="shared" ref="P135" si="56">IF(AND(E135="PROJETADO",G135&lt;&gt;""),F135/2*(PI()*0.519*0.519/4-PI()*0.4*0.4/4),0)</f>
        <v>0.16920709923819743</v>
      </c>
    </row>
    <row r="136" spans="1:16" customFormat="1" ht="42" x14ac:dyDescent="0.3">
      <c r="A136" s="148" t="s">
        <v>1411</v>
      </c>
      <c r="B136" s="148" t="s">
        <v>1482</v>
      </c>
      <c r="C136" s="386" t="str">
        <f t="shared" si="48"/>
        <v>BL37-&gt;PV3.1</v>
      </c>
      <c r="D136" s="148">
        <v>3</v>
      </c>
      <c r="E136" s="148" t="s">
        <v>1408</v>
      </c>
      <c r="F136" s="148">
        <v>9.44</v>
      </c>
      <c r="G136" s="148" t="s">
        <v>1422</v>
      </c>
      <c r="H136" s="148" t="s">
        <v>1425</v>
      </c>
      <c r="I136" s="387" t="str">
        <f t="shared" si="49"/>
        <v>BOCA DE LOBO DUPLA EXISTENTE COM BOCA DE LOBO SIMPLES PROJETADA</v>
      </c>
      <c r="J136" s="147">
        <f t="shared" si="50"/>
        <v>0</v>
      </c>
      <c r="K136" s="147"/>
      <c r="L136" s="387" t="str">
        <f t="shared" si="51"/>
        <v>AMPLIADA</v>
      </c>
      <c r="N136" s="388"/>
      <c r="P136" s="148">
        <f t="shared" si="24"/>
        <v>0.40540990274329536</v>
      </c>
    </row>
    <row r="137" spans="1:16" customFormat="1" ht="28" x14ac:dyDescent="0.3">
      <c r="A137" s="148" t="s">
        <v>1432</v>
      </c>
      <c r="B137" s="148" t="s">
        <v>1485</v>
      </c>
      <c r="C137" s="386" t="str">
        <f t="shared" ref="C137" si="57">CONCATENATE(B137,"-&gt;",A137)</f>
        <v>BL38-&gt;PV4.1</v>
      </c>
      <c r="D137" s="148">
        <v>3.03</v>
      </c>
      <c r="E137" s="148" t="s">
        <v>1408</v>
      </c>
      <c r="F137" s="148">
        <v>4.34</v>
      </c>
      <c r="G137" s="148"/>
      <c r="H137" s="148" t="s">
        <v>1409</v>
      </c>
      <c r="I137" s="387" t="str">
        <f t="shared" ref="I137" si="58">IF(G137="","BOCA DE LOBO PROJETADA "&amp;H137,IF(H137="","BOCA DE LOBO EXISTENTE "&amp;G137,"BOCA DE LOBO "&amp;G137&amp;" EXISTENTE COM BOCA DE LOBO "&amp;H137&amp;" PROJETADA"))</f>
        <v>BOCA DE LOBO PROJETADA TRIPLA</v>
      </c>
      <c r="J137" s="147">
        <f t="shared" ref="J137" si="59">IF(E137="EXISTENTE",1,0)</f>
        <v>0</v>
      </c>
      <c r="K137" s="147"/>
      <c r="L137" s="387" t="str">
        <f t="shared" ref="L137" si="60">IF(G137&lt;&gt;"",IF(H137&lt;&gt;"","AMPLIADA","EXISTENTE"),"PROJETADA")</f>
        <v>PROJETADA</v>
      </c>
      <c r="N137" s="388"/>
      <c r="P137" s="148">
        <f t="shared" ref="P137" si="61">IF(AND(E137="PROJETADO",G137&lt;&gt;""),F137/2*(PI()*0.519*0.519/4-PI()*0.4*0.4/4),0)</f>
        <v>0</v>
      </c>
    </row>
    <row r="138" spans="1:16" customFormat="1" ht="42" x14ac:dyDescent="0.3">
      <c r="A138" s="148" t="s">
        <v>1435</v>
      </c>
      <c r="B138" s="148" t="s">
        <v>1487</v>
      </c>
      <c r="C138" s="386" t="str">
        <f t="shared" si="48"/>
        <v>BL39-&gt;PV5.1</v>
      </c>
      <c r="D138" s="148">
        <v>3</v>
      </c>
      <c r="E138" s="148" t="s">
        <v>1408</v>
      </c>
      <c r="F138" s="148">
        <v>8.3699999999999992</v>
      </c>
      <c r="G138" s="148" t="s">
        <v>1422</v>
      </c>
      <c r="H138" s="148" t="s">
        <v>1425</v>
      </c>
      <c r="I138" s="387" t="str">
        <f t="shared" si="49"/>
        <v>BOCA DE LOBO DUPLA EXISTENTE COM BOCA DE LOBO SIMPLES PROJETADA</v>
      </c>
      <c r="J138" s="147">
        <f t="shared" si="50"/>
        <v>0</v>
      </c>
      <c r="K138" s="147"/>
      <c r="L138" s="387" t="str">
        <f t="shared" si="51"/>
        <v>AMPLIADA</v>
      </c>
      <c r="N138" s="388"/>
      <c r="P138" s="148">
        <f t="shared" si="24"/>
        <v>0.35945772097048539</v>
      </c>
    </row>
    <row r="139" spans="1:16" customFormat="1" ht="42" x14ac:dyDescent="0.3">
      <c r="A139" s="148" t="s">
        <v>1442</v>
      </c>
      <c r="B139" s="148" t="s">
        <v>1490</v>
      </c>
      <c r="C139" s="386" t="str">
        <f t="shared" si="48"/>
        <v>BL40-&gt;PV7.1</v>
      </c>
      <c r="D139" s="148">
        <v>3.87</v>
      </c>
      <c r="E139" s="148" t="s">
        <v>1408</v>
      </c>
      <c r="F139" s="148">
        <v>3.9</v>
      </c>
      <c r="G139" s="148" t="s">
        <v>1422</v>
      </c>
      <c r="H139" s="148" t="s">
        <v>1425</v>
      </c>
      <c r="I139" s="387" t="str">
        <f t="shared" si="49"/>
        <v>BOCA DE LOBO DUPLA EXISTENTE COM BOCA DE LOBO SIMPLES PROJETADA</v>
      </c>
      <c r="J139" s="147">
        <f t="shared" si="50"/>
        <v>0</v>
      </c>
      <c r="K139" s="147"/>
      <c r="L139" s="387" t="str">
        <f t="shared" si="51"/>
        <v>AMPLIADA</v>
      </c>
      <c r="N139" s="388"/>
      <c r="P139" s="148">
        <f t="shared" si="24"/>
        <v>0.16748926066725126</v>
      </c>
    </row>
    <row r="140" spans="1:16" customFormat="1" ht="42" x14ac:dyDescent="0.3">
      <c r="A140" s="148" t="s">
        <v>1449</v>
      </c>
      <c r="B140" s="148" t="s">
        <v>1493</v>
      </c>
      <c r="C140" s="386" t="str">
        <f t="shared" si="48"/>
        <v>BL41-&gt;PV9.1</v>
      </c>
      <c r="D140" s="148">
        <v>3</v>
      </c>
      <c r="E140" s="148" t="s">
        <v>1408</v>
      </c>
      <c r="F140" s="148">
        <v>6.9</v>
      </c>
      <c r="G140" s="148" t="s">
        <v>1422</v>
      </c>
      <c r="H140" s="148" t="s">
        <v>1425</v>
      </c>
      <c r="I140" s="387" t="str">
        <f t="shared" ref="I140" si="62">IF(G140="","BOCA DE LOBO PROJETADA "&amp;H140,IF(H140="","BOCA DE LOBO EXISTENTE "&amp;G140,"BOCA DE LOBO "&amp;G140&amp;" EXISTENTE COM BOCA DE LOBO "&amp;H140&amp;" PROJETADA"))</f>
        <v>BOCA DE LOBO DUPLA EXISTENTE COM BOCA DE LOBO SIMPLES PROJETADA</v>
      </c>
      <c r="J140" s="147">
        <f t="shared" ref="J140" si="63">IF(E140="EXISTENTE",1,0)</f>
        <v>0</v>
      </c>
      <c r="K140" s="147"/>
      <c r="L140" s="387" t="str">
        <f t="shared" ref="L140" si="64">IF(G140&lt;&gt;"",IF(H140&lt;&gt;"","AMPLIADA","EXISTENTE"),"PROJETADA")</f>
        <v>AMPLIADA</v>
      </c>
      <c r="N140" s="388"/>
      <c r="P140" s="148">
        <f t="shared" ref="P140" si="65">IF(AND(E140="PROJETADO",G140&lt;&gt;""),F140/2*(PI()*0.519*0.519/4-PI()*0.4*0.4/4),0)</f>
        <v>0.29632715348821381</v>
      </c>
    </row>
    <row r="141" spans="1:16" customFormat="1" ht="42" x14ac:dyDescent="0.3">
      <c r="A141" s="148" t="s">
        <v>1453</v>
      </c>
      <c r="B141" s="148" t="s">
        <v>1496</v>
      </c>
      <c r="C141" s="386" t="str">
        <f t="shared" si="48"/>
        <v>BL42-&gt;PV10.1</v>
      </c>
      <c r="D141" s="148">
        <v>3.22</v>
      </c>
      <c r="E141" s="148" t="s">
        <v>1408</v>
      </c>
      <c r="F141" s="148">
        <v>3.28</v>
      </c>
      <c r="G141" s="148" t="s">
        <v>1422</v>
      </c>
      <c r="H141" s="148" t="s">
        <v>1425</v>
      </c>
      <c r="I141" s="387" t="str">
        <f t="shared" ref="I141" si="66">IF(G141="","BOCA DE LOBO PROJETADA "&amp;H141,IF(H141="","BOCA DE LOBO EXISTENTE "&amp;G141,"BOCA DE LOBO "&amp;G141&amp;" EXISTENTE COM BOCA DE LOBO "&amp;H141&amp;" PROJETADA"))</f>
        <v>BOCA DE LOBO DUPLA EXISTENTE COM BOCA DE LOBO SIMPLES PROJETADA</v>
      </c>
      <c r="J141" s="147">
        <f t="shared" ref="J141" si="67">IF(E141="EXISTENTE",1,0)</f>
        <v>0</v>
      </c>
      <c r="K141" s="147"/>
      <c r="L141" s="387" t="str">
        <f t="shared" ref="L141" si="68">IF(G141&lt;&gt;"",IF(H141&lt;&gt;"","AMPLIADA","EXISTENTE"),"PROJETADA")</f>
        <v>AMPLIADA</v>
      </c>
      <c r="N141" s="388"/>
      <c r="P141" s="148">
        <f t="shared" ref="P141" si="69">IF(AND(E141="PROJETADO",G141&lt;&gt;""),F141/2*(PI()*0.519*0.519/4-PI()*0.4*0.4/4),0)</f>
        <v>0.14086276281758567</v>
      </c>
    </row>
    <row r="142" spans="1:16" customFormat="1" ht="42" x14ac:dyDescent="0.3">
      <c r="A142" s="148" t="s">
        <v>1455</v>
      </c>
      <c r="B142" s="148" t="s">
        <v>1499</v>
      </c>
      <c r="C142" s="386" t="str">
        <f t="shared" si="48"/>
        <v>BL43-&gt;PV11.1</v>
      </c>
      <c r="D142" s="148">
        <v>3.1</v>
      </c>
      <c r="E142" s="148" t="s">
        <v>1408</v>
      </c>
      <c r="F142" s="148">
        <v>8.19</v>
      </c>
      <c r="G142" s="148" t="s">
        <v>1422</v>
      </c>
      <c r="H142" s="148" t="s">
        <v>1425</v>
      </c>
      <c r="I142" s="387" t="str">
        <f t="shared" ref="I142" si="70">IF(G142="","BOCA DE LOBO PROJETADA "&amp;H142,IF(H142="","BOCA DE LOBO EXISTENTE "&amp;G142,"BOCA DE LOBO "&amp;G142&amp;" EXISTENTE COM BOCA DE LOBO "&amp;H142&amp;" PROJETADA"))</f>
        <v>BOCA DE LOBO DUPLA EXISTENTE COM BOCA DE LOBO SIMPLES PROJETADA</v>
      </c>
      <c r="J142" s="147">
        <f t="shared" ref="J142" si="71">IF(E142="EXISTENTE",1,0)</f>
        <v>0</v>
      </c>
      <c r="K142" s="147"/>
      <c r="L142" s="387" t="str">
        <f t="shared" ref="L142" si="72">IF(G142&lt;&gt;"",IF(H142&lt;&gt;"","AMPLIADA","EXISTENTE"),"PROJETADA")</f>
        <v>AMPLIADA</v>
      </c>
      <c r="N142" s="388"/>
      <c r="P142" s="148">
        <f t="shared" ref="P142" si="73">IF(AND(E142="PROJETADO",G142&lt;&gt;""),F142/2*(PI()*0.519*0.519/4-PI()*0.4*0.4/4),0)</f>
        <v>0.35172744740122763</v>
      </c>
    </row>
    <row r="143" spans="1:16" customFormat="1" x14ac:dyDescent="0.35">
      <c r="A143" s="325" t="s">
        <v>1479</v>
      </c>
      <c r="B143" s="148"/>
      <c r="C143" s="386"/>
      <c r="D143" s="148"/>
      <c r="E143" s="148"/>
      <c r="F143" s="148"/>
      <c r="G143" s="148"/>
      <c r="H143" s="148"/>
      <c r="I143" s="387"/>
      <c r="J143" s="147"/>
      <c r="K143" s="147"/>
      <c r="L143" s="387"/>
      <c r="N143" s="388"/>
      <c r="P143" s="148">
        <f t="shared" ref="P143:P172" si="74">IF(AND(E143="PROJETADO",G143&lt;&gt;""),F143/2*(PI()*0.519*0.519/4-PI()*0.4*0.4/4),0)</f>
        <v>0</v>
      </c>
    </row>
    <row r="144" spans="1:16" customFormat="1" ht="42" x14ac:dyDescent="0.3">
      <c r="A144" s="148" t="s">
        <v>1595</v>
      </c>
      <c r="B144" s="148" t="s">
        <v>1502</v>
      </c>
      <c r="C144" s="386" t="str">
        <f t="shared" ref="C144:C172" si="75">CONCATENATE(B144,"-&gt;",A144)</f>
        <v>BL44-&gt;PV1-39</v>
      </c>
      <c r="D144" s="148">
        <f>967.331-965.871</f>
        <v>1.4600000000000364</v>
      </c>
      <c r="E144" s="148" t="s">
        <v>1479</v>
      </c>
      <c r="F144" s="148">
        <v>7.08</v>
      </c>
      <c r="G144" s="148" t="s">
        <v>1422</v>
      </c>
      <c r="H144" s="148" t="s">
        <v>1425</v>
      </c>
      <c r="I144" s="387" t="str">
        <f t="shared" ref="I144:I172" si="76">IF(G144="","BOCA DE LOBO PROJETADA "&amp;H144,IF(H144="","BOCA DE LOBO EXISTENTE "&amp;G144,"BOCA DE LOBO "&amp;G144&amp;" EXISTENTE COM BOCA DE LOBO "&amp;H144&amp;" PROJETADA"))</f>
        <v>BOCA DE LOBO DUPLA EXISTENTE COM BOCA DE LOBO SIMPLES PROJETADA</v>
      </c>
      <c r="J144" s="147">
        <f t="shared" ref="J144:J172" si="77">IF(E144="EXISTENTE",1,0)</f>
        <v>1</v>
      </c>
      <c r="K144" s="147"/>
      <c r="L144" s="387" t="str">
        <f t="shared" ref="L144:L172" si="78">IF(G144&lt;&gt;"",IF(H144&lt;&gt;"","AMPLIADA","EXISTENTE"),"PROJETADA")</f>
        <v>AMPLIADA</v>
      </c>
      <c r="N144" s="388"/>
      <c r="P144" s="148">
        <f t="shared" si="74"/>
        <v>0</v>
      </c>
    </row>
    <row r="145" spans="1:16" customFormat="1" ht="42" x14ac:dyDescent="0.3">
      <c r="A145" s="148" t="s">
        <v>1596</v>
      </c>
      <c r="B145" s="148" t="s">
        <v>1505</v>
      </c>
      <c r="C145" s="386" t="str">
        <f t="shared" si="75"/>
        <v>BL45-&gt;PV1-40</v>
      </c>
      <c r="D145" s="148">
        <f>965.395-963.615</f>
        <v>1.7799999999999727</v>
      </c>
      <c r="E145" s="148" t="s">
        <v>1479</v>
      </c>
      <c r="F145" s="148">
        <v>5.28</v>
      </c>
      <c r="G145" s="148" t="s">
        <v>1425</v>
      </c>
      <c r="H145" s="148" t="s">
        <v>1422</v>
      </c>
      <c r="I145" s="387" t="str">
        <f t="shared" si="76"/>
        <v>BOCA DE LOBO SIMPLES EXISTENTE COM BOCA DE LOBO DUPLA PROJETADA</v>
      </c>
      <c r="J145" s="147">
        <f t="shared" si="77"/>
        <v>1</v>
      </c>
      <c r="K145" s="147"/>
      <c r="L145" s="387" t="str">
        <f t="shared" si="78"/>
        <v>AMPLIADA</v>
      </c>
      <c r="N145" s="388"/>
      <c r="P145" s="148">
        <f t="shared" si="74"/>
        <v>0</v>
      </c>
    </row>
    <row r="146" spans="1:16" customFormat="1" ht="42" x14ac:dyDescent="0.3">
      <c r="A146" s="148" t="s">
        <v>1597</v>
      </c>
      <c r="B146" s="148" t="s">
        <v>1508</v>
      </c>
      <c r="C146" s="386" t="str">
        <f t="shared" si="75"/>
        <v>BL46-&gt;PV2-40</v>
      </c>
      <c r="D146" s="148">
        <f>965.19-962.99</f>
        <v>2.2000000000000455</v>
      </c>
      <c r="E146" s="148" t="s">
        <v>1479</v>
      </c>
      <c r="F146" s="148">
        <v>4.84</v>
      </c>
      <c r="G146" s="148" t="s">
        <v>1422</v>
      </c>
      <c r="H146" s="148" t="s">
        <v>1425</v>
      </c>
      <c r="I146" s="387" t="str">
        <f t="shared" si="76"/>
        <v>BOCA DE LOBO DUPLA EXISTENTE COM BOCA DE LOBO SIMPLES PROJETADA</v>
      </c>
      <c r="J146" s="147">
        <f t="shared" si="77"/>
        <v>1</v>
      </c>
      <c r="K146" s="147"/>
      <c r="L146" s="387" t="str">
        <f t="shared" si="78"/>
        <v>AMPLIADA</v>
      </c>
      <c r="N146" s="388"/>
      <c r="P146" s="148">
        <f t="shared" si="74"/>
        <v>0</v>
      </c>
    </row>
    <row r="147" spans="1:16" customFormat="1" ht="42" x14ac:dyDescent="0.3">
      <c r="A147" s="148" t="s">
        <v>1598</v>
      </c>
      <c r="B147" s="148" t="s">
        <v>1510</v>
      </c>
      <c r="C147" s="386" t="str">
        <f t="shared" si="75"/>
        <v>BL47-&gt;PV1-41</v>
      </c>
      <c r="D147" s="148">
        <f>951.494-950.044</f>
        <v>1.4500000000000455</v>
      </c>
      <c r="E147" s="148" t="s">
        <v>1479</v>
      </c>
      <c r="F147" s="148">
        <v>6.2469999999999999</v>
      </c>
      <c r="G147" s="148" t="s">
        <v>1425</v>
      </c>
      <c r="H147" s="148" t="s">
        <v>1422</v>
      </c>
      <c r="I147" s="387" t="str">
        <f t="shared" si="76"/>
        <v>BOCA DE LOBO SIMPLES EXISTENTE COM BOCA DE LOBO DUPLA PROJETADA</v>
      </c>
      <c r="J147" s="147">
        <f t="shared" si="77"/>
        <v>1</v>
      </c>
      <c r="K147" s="147"/>
      <c r="L147" s="387" t="str">
        <f t="shared" si="78"/>
        <v>AMPLIADA</v>
      </c>
      <c r="N147" s="388"/>
      <c r="P147" s="148">
        <f t="shared" si="74"/>
        <v>0</v>
      </c>
    </row>
    <row r="148" spans="1:16" customFormat="1" ht="28" x14ac:dyDescent="0.3">
      <c r="A148" s="148" t="s">
        <v>1599</v>
      </c>
      <c r="B148" s="148" t="s">
        <v>1512</v>
      </c>
      <c r="C148" s="386" t="str">
        <f t="shared" si="75"/>
        <v>BL48-&gt;PV1-42</v>
      </c>
      <c r="D148" s="148">
        <f>968.293-966.493</f>
        <v>1.7999999999999545</v>
      </c>
      <c r="E148" s="148" t="s">
        <v>1479</v>
      </c>
      <c r="F148" s="148">
        <v>6.56</v>
      </c>
      <c r="G148" s="148" t="s">
        <v>1409</v>
      </c>
      <c r="H148" s="148"/>
      <c r="I148" s="387" t="str">
        <f t="shared" si="76"/>
        <v>BOCA DE LOBO EXISTENTE TRIPLA</v>
      </c>
      <c r="J148" s="147">
        <f t="shared" si="77"/>
        <v>1</v>
      </c>
      <c r="K148" s="147"/>
      <c r="L148" s="387" t="str">
        <f t="shared" si="78"/>
        <v>EXISTENTE</v>
      </c>
      <c r="N148" s="388"/>
      <c r="P148" s="148">
        <f t="shared" si="74"/>
        <v>0</v>
      </c>
    </row>
    <row r="149" spans="1:16" customFormat="1" ht="28" x14ac:dyDescent="0.3">
      <c r="A149" s="148" t="s">
        <v>1600</v>
      </c>
      <c r="B149" s="148" t="s">
        <v>1515</v>
      </c>
      <c r="C149" s="386" t="str">
        <f t="shared" si="75"/>
        <v>BL49-&gt;PV2-42</v>
      </c>
      <c r="D149" s="148">
        <f>967.853-965.603</f>
        <v>2.25</v>
      </c>
      <c r="E149" s="148" t="s">
        <v>1479</v>
      </c>
      <c r="F149" s="148">
        <v>5.37</v>
      </c>
      <c r="G149" s="148" t="s">
        <v>1422</v>
      </c>
      <c r="H149" s="148"/>
      <c r="I149" s="387" t="str">
        <f t="shared" si="76"/>
        <v>BOCA DE LOBO EXISTENTE DUPLA</v>
      </c>
      <c r="J149" s="147">
        <f t="shared" si="77"/>
        <v>1</v>
      </c>
      <c r="K149" s="147"/>
      <c r="L149" s="387" t="str">
        <f t="shared" si="78"/>
        <v>EXISTENTE</v>
      </c>
      <c r="N149" s="388"/>
      <c r="P149" s="148">
        <f t="shared" si="74"/>
        <v>0</v>
      </c>
    </row>
    <row r="150" spans="1:16" customFormat="1" ht="28" x14ac:dyDescent="0.3">
      <c r="A150" s="148" t="s">
        <v>1601</v>
      </c>
      <c r="B150" s="148" t="s">
        <v>1518</v>
      </c>
      <c r="C150" s="386" t="str">
        <f t="shared" si="75"/>
        <v>BL50-&gt;PV1-43</v>
      </c>
      <c r="D150" s="148">
        <f>966.217-964.267</f>
        <v>1.9499999999999318</v>
      </c>
      <c r="E150" s="148" t="s">
        <v>1479</v>
      </c>
      <c r="F150" s="148">
        <v>5.01</v>
      </c>
      <c r="G150" s="148" t="s">
        <v>1422</v>
      </c>
      <c r="H150" s="148"/>
      <c r="I150" s="387" t="str">
        <f t="shared" si="76"/>
        <v>BOCA DE LOBO EXISTENTE DUPLA</v>
      </c>
      <c r="J150" s="147">
        <f t="shared" si="77"/>
        <v>1</v>
      </c>
      <c r="K150" s="147"/>
      <c r="L150" s="387" t="str">
        <f t="shared" si="78"/>
        <v>EXISTENTE</v>
      </c>
      <c r="N150" s="388"/>
      <c r="P150" s="148">
        <f t="shared" si="74"/>
        <v>0</v>
      </c>
    </row>
    <row r="151" spans="1:16" customFormat="1" ht="28" x14ac:dyDescent="0.3">
      <c r="A151" s="148" t="s">
        <v>1602</v>
      </c>
      <c r="B151" s="148" t="s">
        <v>1521</v>
      </c>
      <c r="C151" s="386" t="str">
        <f t="shared" si="75"/>
        <v>BL51-&gt;PV2-43</v>
      </c>
      <c r="D151" s="148">
        <f>965.53-963.525</f>
        <v>2.0049999999999955</v>
      </c>
      <c r="E151" s="148" t="s">
        <v>1479</v>
      </c>
      <c r="F151" s="148">
        <v>3.56</v>
      </c>
      <c r="G151" s="148" t="s">
        <v>1422</v>
      </c>
      <c r="H151" s="148"/>
      <c r="I151" s="387" t="str">
        <f t="shared" si="76"/>
        <v>BOCA DE LOBO EXISTENTE DUPLA</v>
      </c>
      <c r="J151" s="147">
        <f t="shared" si="77"/>
        <v>1</v>
      </c>
      <c r="K151" s="147"/>
      <c r="L151" s="387" t="str">
        <f t="shared" si="78"/>
        <v>EXISTENTE</v>
      </c>
      <c r="N151" s="388"/>
      <c r="P151" s="148">
        <f t="shared" si="74"/>
        <v>0</v>
      </c>
    </row>
    <row r="152" spans="1:16" customFormat="1" ht="42" x14ac:dyDescent="0.3">
      <c r="A152" s="148" t="s">
        <v>1603</v>
      </c>
      <c r="B152" s="148" t="s">
        <v>1513</v>
      </c>
      <c r="C152" s="386" t="str">
        <f t="shared" si="75"/>
        <v>BL52-&gt;PV1-44</v>
      </c>
      <c r="D152" s="148">
        <f>965.2-963.45</f>
        <v>1.75</v>
      </c>
      <c r="E152" s="148" t="s">
        <v>1479</v>
      </c>
      <c r="F152" s="148">
        <v>2.65</v>
      </c>
      <c r="G152" s="148" t="s">
        <v>1422</v>
      </c>
      <c r="H152" s="148" t="s">
        <v>1425</v>
      </c>
      <c r="I152" s="387" t="str">
        <f t="shared" si="76"/>
        <v>BOCA DE LOBO DUPLA EXISTENTE COM BOCA DE LOBO SIMPLES PROJETADA</v>
      </c>
      <c r="J152" s="147">
        <f t="shared" si="77"/>
        <v>1</v>
      </c>
      <c r="K152" s="147"/>
      <c r="L152" s="387" t="str">
        <f t="shared" si="78"/>
        <v>AMPLIADA</v>
      </c>
      <c r="N152" s="388"/>
      <c r="P152" s="148">
        <f t="shared" si="74"/>
        <v>0</v>
      </c>
    </row>
    <row r="153" spans="1:16" customFormat="1" ht="42" x14ac:dyDescent="0.3">
      <c r="A153" s="148" t="s">
        <v>1604</v>
      </c>
      <c r="B153" s="148" t="s">
        <v>1526</v>
      </c>
      <c r="C153" s="386" t="str">
        <f t="shared" si="75"/>
        <v>BL53-&gt;PV2-44</v>
      </c>
      <c r="D153" s="148">
        <f>964.231-962.031</f>
        <v>2.2000000000000455</v>
      </c>
      <c r="E153" s="148" t="s">
        <v>1479</v>
      </c>
      <c r="F153" s="148">
        <v>2.76</v>
      </c>
      <c r="G153" s="148" t="s">
        <v>1422</v>
      </c>
      <c r="H153" s="148" t="s">
        <v>1425</v>
      </c>
      <c r="I153" s="387" t="str">
        <f t="shared" si="76"/>
        <v>BOCA DE LOBO DUPLA EXISTENTE COM BOCA DE LOBO SIMPLES PROJETADA</v>
      </c>
      <c r="J153" s="147">
        <f t="shared" si="77"/>
        <v>1</v>
      </c>
      <c r="K153" s="147"/>
      <c r="L153" s="387" t="str">
        <f t="shared" si="78"/>
        <v>AMPLIADA</v>
      </c>
      <c r="N153" s="388"/>
      <c r="P153" s="148">
        <f t="shared" si="74"/>
        <v>0</v>
      </c>
    </row>
    <row r="154" spans="1:16" customFormat="1" ht="42" x14ac:dyDescent="0.3">
      <c r="A154" s="148" t="s">
        <v>1605</v>
      </c>
      <c r="B154" s="148" t="s">
        <v>1516</v>
      </c>
      <c r="C154" s="386" t="str">
        <f t="shared" si="75"/>
        <v>BL54-&gt;PV1-45</v>
      </c>
      <c r="D154" s="148">
        <f>962.581-961.081</f>
        <v>1.5</v>
      </c>
      <c r="E154" s="148" t="s">
        <v>1479</v>
      </c>
      <c r="F154" s="148">
        <v>6.42</v>
      </c>
      <c r="G154" s="148" t="s">
        <v>1425</v>
      </c>
      <c r="H154" s="148" t="s">
        <v>1422</v>
      </c>
      <c r="I154" s="387" t="str">
        <f t="shared" si="76"/>
        <v>BOCA DE LOBO SIMPLES EXISTENTE COM BOCA DE LOBO DUPLA PROJETADA</v>
      </c>
      <c r="J154" s="147">
        <f t="shared" si="77"/>
        <v>1</v>
      </c>
      <c r="K154" s="147"/>
      <c r="L154" s="387" t="str">
        <f t="shared" si="78"/>
        <v>AMPLIADA</v>
      </c>
      <c r="N154" s="388"/>
      <c r="P154" s="148">
        <f t="shared" si="74"/>
        <v>0</v>
      </c>
    </row>
    <row r="155" spans="1:16" customFormat="1" ht="42" x14ac:dyDescent="0.3">
      <c r="A155" s="148" t="s">
        <v>1606</v>
      </c>
      <c r="B155" s="148" t="s">
        <v>1530</v>
      </c>
      <c r="C155" s="386" t="str">
        <f t="shared" si="75"/>
        <v>BL55-&gt;PV2-45</v>
      </c>
      <c r="D155" s="148">
        <f>962.963-961.063</f>
        <v>1.8999999999999773</v>
      </c>
      <c r="E155" s="148" t="s">
        <v>1479</v>
      </c>
      <c r="F155" s="148">
        <v>9.01</v>
      </c>
      <c r="G155" s="148" t="s">
        <v>1425</v>
      </c>
      <c r="H155" s="148" t="s">
        <v>1422</v>
      </c>
      <c r="I155" s="387" t="str">
        <f t="shared" si="76"/>
        <v>BOCA DE LOBO SIMPLES EXISTENTE COM BOCA DE LOBO DUPLA PROJETADA</v>
      </c>
      <c r="J155" s="147">
        <f t="shared" si="77"/>
        <v>1</v>
      </c>
      <c r="K155" s="147"/>
      <c r="L155" s="387" t="str">
        <f t="shared" si="78"/>
        <v>AMPLIADA</v>
      </c>
      <c r="N155" s="388"/>
      <c r="P155" s="148">
        <f t="shared" si="74"/>
        <v>0</v>
      </c>
    </row>
    <row r="156" spans="1:16" customFormat="1" ht="42" x14ac:dyDescent="0.3">
      <c r="A156" s="148" t="s">
        <v>1607</v>
      </c>
      <c r="B156" s="148" t="s">
        <v>1533</v>
      </c>
      <c r="C156" s="386" t="str">
        <f t="shared" si="75"/>
        <v>BL56-&gt;PV3-45</v>
      </c>
      <c r="D156" s="148">
        <f>963.02-959.94</f>
        <v>3.0799999999999272</v>
      </c>
      <c r="E156" s="148" t="s">
        <v>1479</v>
      </c>
      <c r="F156" s="148">
        <v>4.24</v>
      </c>
      <c r="G156" s="148" t="s">
        <v>1422</v>
      </c>
      <c r="H156" s="148" t="s">
        <v>1425</v>
      </c>
      <c r="I156" s="387" t="str">
        <f t="shared" si="76"/>
        <v>BOCA DE LOBO DUPLA EXISTENTE COM BOCA DE LOBO SIMPLES PROJETADA</v>
      </c>
      <c r="J156" s="147">
        <f t="shared" si="77"/>
        <v>1</v>
      </c>
      <c r="K156" s="147"/>
      <c r="L156" s="387" t="str">
        <f t="shared" si="78"/>
        <v>AMPLIADA</v>
      </c>
      <c r="N156" s="388"/>
      <c r="P156" s="148">
        <f t="shared" si="74"/>
        <v>0</v>
      </c>
    </row>
    <row r="157" spans="1:16" customFormat="1" ht="28" x14ac:dyDescent="0.3">
      <c r="A157" s="148" t="s">
        <v>1608</v>
      </c>
      <c r="B157" s="148" t="s">
        <v>1535</v>
      </c>
      <c r="C157" s="386" t="str">
        <f t="shared" si="75"/>
        <v>BL57-&gt;PV4-45</v>
      </c>
      <c r="D157" s="148">
        <f>962.732-960.08</f>
        <v>2.65199999999993</v>
      </c>
      <c r="E157" s="148" t="s">
        <v>1479</v>
      </c>
      <c r="F157" s="148">
        <v>5.48</v>
      </c>
      <c r="G157" s="148"/>
      <c r="H157" s="148" t="s">
        <v>1409</v>
      </c>
      <c r="I157" s="387" t="str">
        <f t="shared" si="76"/>
        <v>BOCA DE LOBO PROJETADA TRIPLA</v>
      </c>
      <c r="J157" s="147">
        <f t="shared" si="77"/>
        <v>1</v>
      </c>
      <c r="K157" s="147"/>
      <c r="L157" s="387" t="str">
        <f t="shared" si="78"/>
        <v>PROJETADA</v>
      </c>
      <c r="N157" s="388"/>
      <c r="P157" s="148">
        <f t="shared" si="74"/>
        <v>0</v>
      </c>
    </row>
    <row r="158" spans="1:16" customFormat="1" ht="28" x14ac:dyDescent="0.3">
      <c r="A158" s="148" t="s">
        <v>1609</v>
      </c>
      <c r="B158" s="148" t="s">
        <v>1538</v>
      </c>
      <c r="C158" s="386" t="str">
        <f t="shared" ref="C158" si="79">CONCATENATE(B158,"-&gt;",A158)</f>
        <v>BL58-&gt;PV5-45</v>
      </c>
      <c r="D158" s="148">
        <f>962.64-959.379</f>
        <v>3.2609999999999673</v>
      </c>
      <c r="E158" s="148" t="s">
        <v>1479</v>
      </c>
      <c r="F158" s="148">
        <v>5.6</v>
      </c>
      <c r="G158" s="148"/>
      <c r="H158" s="148" t="s">
        <v>1409</v>
      </c>
      <c r="I158" s="387" t="str">
        <f t="shared" ref="I158" si="80">IF(G158="","BOCA DE LOBO PROJETADA "&amp;H158,IF(H158="","BOCA DE LOBO EXISTENTE "&amp;G158,"BOCA DE LOBO "&amp;G158&amp;" EXISTENTE COM BOCA DE LOBO "&amp;H158&amp;" PROJETADA"))</f>
        <v>BOCA DE LOBO PROJETADA TRIPLA</v>
      </c>
      <c r="J158" s="147">
        <f t="shared" ref="J158" si="81">IF(E158="EXISTENTE",1,0)</f>
        <v>1</v>
      </c>
      <c r="K158" s="147"/>
      <c r="L158" s="387" t="str">
        <f t="shared" ref="L158" si="82">IF(G158&lt;&gt;"",IF(H158&lt;&gt;"","AMPLIADA","EXISTENTE"),"PROJETADA")</f>
        <v>PROJETADA</v>
      </c>
      <c r="N158" s="388"/>
      <c r="P158" s="148">
        <f t="shared" ref="P158" si="83">IF(AND(E158="PROJETADO",G158&lt;&gt;""),F158/2*(PI()*0.519*0.519/4-PI()*0.4*0.4/4),0)</f>
        <v>0</v>
      </c>
    </row>
    <row r="159" spans="1:16" customFormat="1" ht="42" x14ac:dyDescent="0.3">
      <c r="A159" s="148" t="s">
        <v>1610</v>
      </c>
      <c r="B159" s="148" t="s">
        <v>1519</v>
      </c>
      <c r="C159" s="386" t="str">
        <f t="shared" si="75"/>
        <v>BL59-&gt;PV1-46</v>
      </c>
      <c r="D159" s="148">
        <f>963.513-961.763</f>
        <v>1.75</v>
      </c>
      <c r="E159" s="148" t="s">
        <v>1479</v>
      </c>
      <c r="F159" s="148">
        <v>5.3</v>
      </c>
      <c r="G159" s="148" t="s">
        <v>1422</v>
      </c>
      <c r="H159" s="148" t="s">
        <v>1425</v>
      </c>
      <c r="I159" s="387" t="str">
        <f t="shared" si="76"/>
        <v>BOCA DE LOBO DUPLA EXISTENTE COM BOCA DE LOBO SIMPLES PROJETADA</v>
      </c>
      <c r="J159" s="147">
        <f t="shared" si="77"/>
        <v>1</v>
      </c>
      <c r="K159" s="147"/>
      <c r="L159" s="387" t="str">
        <f t="shared" si="78"/>
        <v>AMPLIADA</v>
      </c>
      <c r="N159" s="388"/>
      <c r="P159" s="148">
        <f t="shared" si="74"/>
        <v>0</v>
      </c>
    </row>
    <row r="160" spans="1:16" customFormat="1" ht="42" x14ac:dyDescent="0.3">
      <c r="A160" s="148" t="s">
        <v>1611</v>
      </c>
      <c r="B160" s="148" t="s">
        <v>1541</v>
      </c>
      <c r="C160" s="386" t="str">
        <f t="shared" si="75"/>
        <v>BL60-&gt;PV1-47</v>
      </c>
      <c r="D160" s="148">
        <f>963.927-962.227</f>
        <v>1.7000000000000455</v>
      </c>
      <c r="E160" s="148" t="s">
        <v>1479</v>
      </c>
      <c r="F160" s="148">
        <v>6.96</v>
      </c>
      <c r="G160" s="148" t="s">
        <v>1422</v>
      </c>
      <c r="H160" s="148" t="s">
        <v>1425</v>
      </c>
      <c r="I160" s="387" t="str">
        <f t="shared" si="76"/>
        <v>BOCA DE LOBO DUPLA EXISTENTE COM BOCA DE LOBO SIMPLES PROJETADA</v>
      </c>
      <c r="J160" s="147">
        <f t="shared" si="77"/>
        <v>1</v>
      </c>
      <c r="K160" s="147"/>
      <c r="L160" s="387" t="str">
        <f t="shared" si="78"/>
        <v>AMPLIADA</v>
      </c>
      <c r="N160" s="388"/>
      <c r="P160" s="148">
        <f t="shared" si="74"/>
        <v>0</v>
      </c>
    </row>
    <row r="161" spans="1:16" customFormat="1" ht="28" x14ac:dyDescent="0.3">
      <c r="A161" s="148" t="s">
        <v>1612</v>
      </c>
      <c r="B161" s="148" t="s">
        <v>1543</v>
      </c>
      <c r="C161" s="386" t="str">
        <f t="shared" si="75"/>
        <v>BL61-&gt;PV1-48</v>
      </c>
      <c r="D161" s="148">
        <f>972.708-971.208</f>
        <v>1.5</v>
      </c>
      <c r="E161" s="148" t="s">
        <v>1479</v>
      </c>
      <c r="F161" s="148">
        <v>7.93</v>
      </c>
      <c r="G161" s="148"/>
      <c r="H161" s="148" t="s">
        <v>1409</v>
      </c>
      <c r="I161" s="387" t="str">
        <f t="shared" si="76"/>
        <v>BOCA DE LOBO PROJETADA TRIPLA</v>
      </c>
      <c r="J161" s="147">
        <f t="shared" si="77"/>
        <v>1</v>
      </c>
      <c r="K161" s="147"/>
      <c r="L161" s="387" t="str">
        <f t="shared" si="78"/>
        <v>PROJETADA</v>
      </c>
      <c r="N161" s="388"/>
      <c r="P161" s="148">
        <f t="shared" si="74"/>
        <v>0</v>
      </c>
    </row>
    <row r="162" spans="1:16" customFormat="1" ht="28" x14ac:dyDescent="0.3">
      <c r="A162" s="148" t="s">
        <v>1612</v>
      </c>
      <c r="B162" s="148" t="s">
        <v>1545</v>
      </c>
      <c r="C162" s="386" t="str">
        <f t="shared" ref="C162" si="84">CONCATENATE(B162,"-&gt;",A162)</f>
        <v>BL62-&gt;PV1-48</v>
      </c>
      <c r="D162" s="148">
        <f>972.708-971.208</f>
        <v>1.5</v>
      </c>
      <c r="E162" s="148" t="s">
        <v>1479</v>
      </c>
      <c r="F162" s="148">
        <v>9.26</v>
      </c>
      <c r="G162" s="148" t="s">
        <v>1425</v>
      </c>
      <c r="H162" s="148"/>
      <c r="I162" s="387" t="str">
        <f t="shared" ref="I162" si="85">IF(G162="","BOCA DE LOBO PROJETADA "&amp;H162,IF(H162="","BOCA DE LOBO EXISTENTE "&amp;G162,"BOCA DE LOBO "&amp;G162&amp;" EXISTENTE COM BOCA DE LOBO "&amp;H162&amp;" PROJETADA"))</f>
        <v>BOCA DE LOBO EXISTENTE SIMPLES</v>
      </c>
      <c r="J162" s="147">
        <f t="shared" ref="J162" si="86">IF(E162="EXISTENTE",1,0)</f>
        <v>1</v>
      </c>
      <c r="K162" s="147"/>
      <c r="L162" s="387" t="str">
        <f t="shared" ref="L162" si="87">IF(G162&lt;&gt;"",IF(H162&lt;&gt;"","AMPLIADA","EXISTENTE"),"PROJETADA")</f>
        <v>EXISTENTE</v>
      </c>
      <c r="N162" s="388"/>
      <c r="P162" s="148">
        <f t="shared" ref="P162" si="88">IF(AND(E162="PROJETADO",G162&lt;&gt;""),F162/2*(PI()*0.519*0.519/4-PI()*0.4*0.4/4),0)</f>
        <v>0</v>
      </c>
    </row>
    <row r="163" spans="1:16" customFormat="1" ht="28" x14ac:dyDescent="0.3">
      <c r="A163" s="148" t="s">
        <v>1613</v>
      </c>
      <c r="B163" s="148" t="s">
        <v>1522</v>
      </c>
      <c r="C163" s="386" t="str">
        <f t="shared" si="75"/>
        <v>BL63-&gt;PV2-48</v>
      </c>
      <c r="D163" s="148">
        <f>972.186-970.186</f>
        <v>2</v>
      </c>
      <c r="E163" s="148" t="s">
        <v>1479</v>
      </c>
      <c r="F163" s="148">
        <v>3.98</v>
      </c>
      <c r="G163" s="148" t="s">
        <v>1425</v>
      </c>
      <c r="H163" s="148"/>
      <c r="I163" s="387" t="str">
        <f t="shared" si="76"/>
        <v>BOCA DE LOBO EXISTENTE SIMPLES</v>
      </c>
      <c r="J163" s="147">
        <f t="shared" si="77"/>
        <v>1</v>
      </c>
      <c r="K163" s="147"/>
      <c r="L163" s="387" t="str">
        <f t="shared" si="78"/>
        <v>EXISTENTE</v>
      </c>
      <c r="N163" s="388"/>
      <c r="P163" s="148">
        <f t="shared" si="74"/>
        <v>0</v>
      </c>
    </row>
    <row r="164" spans="1:16" customFormat="1" ht="28" x14ac:dyDescent="0.3">
      <c r="A164" s="148" t="s">
        <v>1614</v>
      </c>
      <c r="B164" s="148" t="s">
        <v>1524</v>
      </c>
      <c r="C164" s="386" t="str">
        <f t="shared" si="75"/>
        <v>BL64-&gt;PV3-48</v>
      </c>
      <c r="D164" s="148">
        <f>971.842-969.642</f>
        <v>2.1999999999999318</v>
      </c>
      <c r="E164" s="148" t="s">
        <v>1479</v>
      </c>
      <c r="F164" s="148">
        <v>4.97</v>
      </c>
      <c r="G164" s="148" t="s">
        <v>1425</v>
      </c>
      <c r="H164" s="148"/>
      <c r="I164" s="387" t="str">
        <f t="shared" si="76"/>
        <v>BOCA DE LOBO EXISTENTE SIMPLES</v>
      </c>
      <c r="J164" s="147">
        <f t="shared" si="77"/>
        <v>1</v>
      </c>
      <c r="K164" s="147"/>
      <c r="L164" s="387" t="str">
        <f t="shared" si="78"/>
        <v>EXISTENTE</v>
      </c>
      <c r="N164" s="388"/>
      <c r="P164" s="148">
        <f t="shared" si="74"/>
        <v>0</v>
      </c>
    </row>
    <row r="165" spans="1:16" customFormat="1" ht="42" x14ac:dyDescent="0.3">
      <c r="A165" s="148" t="s">
        <v>1615</v>
      </c>
      <c r="B165" s="148" t="s">
        <v>1527</v>
      </c>
      <c r="C165" s="386" t="str">
        <f t="shared" si="75"/>
        <v>BL65-&gt;PV4-48</v>
      </c>
      <c r="D165" s="148">
        <f>969.068-966.818</f>
        <v>2.25</v>
      </c>
      <c r="E165" s="148" t="s">
        <v>1479</v>
      </c>
      <c r="F165" s="148">
        <f>969.068-966.818</f>
        <v>2.25</v>
      </c>
      <c r="G165" s="148" t="s">
        <v>1425</v>
      </c>
      <c r="H165" s="148" t="s">
        <v>1422</v>
      </c>
      <c r="I165" s="387" t="str">
        <f t="shared" si="76"/>
        <v>BOCA DE LOBO SIMPLES EXISTENTE COM BOCA DE LOBO DUPLA PROJETADA</v>
      </c>
      <c r="J165" s="147">
        <f t="shared" si="77"/>
        <v>1</v>
      </c>
      <c r="K165" s="147"/>
      <c r="L165" s="387" t="str">
        <f t="shared" si="78"/>
        <v>AMPLIADA</v>
      </c>
      <c r="N165" s="388"/>
      <c r="P165" s="148">
        <f t="shared" si="74"/>
        <v>0</v>
      </c>
    </row>
    <row r="166" spans="1:16" customFormat="1" ht="28" x14ac:dyDescent="0.3">
      <c r="A166" s="148" t="s">
        <v>1616</v>
      </c>
      <c r="B166" s="148" t="s">
        <v>1528</v>
      </c>
      <c r="C166" s="386" t="str">
        <f>CONCATENATE(B166,"-&gt;",A166)</f>
        <v>BL66-&gt;PV12-48</v>
      </c>
      <c r="D166" s="148">
        <f>954.061-950.841</f>
        <v>3.2200000000000273</v>
      </c>
      <c r="E166" s="148" t="s">
        <v>1479</v>
      </c>
      <c r="F166" s="148">
        <v>6.06</v>
      </c>
      <c r="G166" s="148"/>
      <c r="H166" s="148" t="s">
        <v>1409</v>
      </c>
      <c r="I166" s="387" t="str">
        <f>IF(G166="","BOCA DE LOBO PROJETADA "&amp;H166,IF(H166="","BOCA DE LOBO EXISTENTE "&amp;G166,"BOCA DE LOBO "&amp;G166&amp;" EXISTENTE COM BOCA DE LOBO "&amp;H166&amp;" PROJETADA"))</f>
        <v>BOCA DE LOBO PROJETADA TRIPLA</v>
      </c>
      <c r="J166" s="147">
        <f>IF(E166="EXISTENTE",1,0)</f>
        <v>1</v>
      </c>
      <c r="K166" s="147"/>
      <c r="L166" s="387" t="str">
        <f>IF(G166&lt;&gt;"",IF(H166&lt;&gt;"","AMPLIADA","EXISTENTE"),"PROJETADA")</f>
        <v>PROJETADA</v>
      </c>
      <c r="N166" s="388"/>
      <c r="P166" s="148">
        <f>IF(AND(E166="PROJETADO",G166&lt;&gt;""),F166/2*(PI()*0.519*0.519/4-PI()*0.4*0.4/4),0)</f>
        <v>0</v>
      </c>
    </row>
    <row r="167" spans="1:16" customFormat="1" ht="42" x14ac:dyDescent="0.3">
      <c r="A167" s="148" t="s">
        <v>1617</v>
      </c>
      <c r="B167" s="148" t="s">
        <v>1531</v>
      </c>
      <c r="C167" s="386" t="str">
        <f>CONCATENATE(B167,"-&gt;",A167)</f>
        <v>BL67-&gt;PV13-48</v>
      </c>
      <c r="D167" s="148">
        <f>951.4-948.743</f>
        <v>2.6569999999999254</v>
      </c>
      <c r="E167" s="148" t="s">
        <v>1479</v>
      </c>
      <c r="F167" s="148">
        <v>8.1300000000000008</v>
      </c>
      <c r="G167" s="148" t="s">
        <v>1422</v>
      </c>
      <c r="H167" s="148" t="s">
        <v>1425</v>
      </c>
      <c r="I167" s="387" t="str">
        <f>IF(G167="","BOCA DE LOBO PROJETADA "&amp;H167,IF(H167="","BOCA DE LOBO EXISTENTE "&amp;G167,"BOCA DE LOBO "&amp;G167&amp;" EXISTENTE COM BOCA DE LOBO "&amp;H167&amp;" PROJETADA"))</f>
        <v>BOCA DE LOBO DUPLA EXISTENTE COM BOCA DE LOBO SIMPLES PROJETADA</v>
      </c>
      <c r="J167" s="147">
        <f>IF(E167="EXISTENTE",1,0)</f>
        <v>1</v>
      </c>
      <c r="K167" s="147"/>
      <c r="L167" s="387" t="str">
        <f>IF(G167&lt;&gt;"",IF(H167&lt;&gt;"","AMPLIADA","EXISTENTE"),"PROJETADA")</f>
        <v>AMPLIADA</v>
      </c>
      <c r="N167" s="388"/>
      <c r="P167" s="148">
        <f>IF(AND(E167="PROJETADO",G167&lt;&gt;""),F167/2*(PI()*0.519*0.519/4-PI()*0.4*0.4/4),0)</f>
        <v>0</v>
      </c>
    </row>
    <row r="168" spans="1:16" customFormat="1" ht="28" x14ac:dyDescent="0.3">
      <c r="A168" s="148" t="s">
        <v>1617</v>
      </c>
      <c r="B168" s="148" t="s">
        <v>1534</v>
      </c>
      <c r="C168" s="386" t="str">
        <f>CONCATENATE(B168,"-&gt;",A168)</f>
        <v>BL68-&gt;PV13-48</v>
      </c>
      <c r="D168" s="148">
        <f>951.4-948.743</f>
        <v>2.6569999999999254</v>
      </c>
      <c r="E168" s="148" t="s">
        <v>1479</v>
      </c>
      <c r="F168" s="148">
        <v>6.02</v>
      </c>
      <c r="G168" s="148" t="s">
        <v>1422</v>
      </c>
      <c r="H168" s="148"/>
      <c r="I168" s="387" t="str">
        <f>IF(G168="","BOCA DE LOBO PROJETADA "&amp;H168,IF(H168="","BOCA DE LOBO EXISTENTE "&amp;G168,"BOCA DE LOBO "&amp;G168&amp;" EXISTENTE COM BOCA DE LOBO "&amp;H168&amp;" PROJETADA"))</f>
        <v>BOCA DE LOBO EXISTENTE DUPLA</v>
      </c>
      <c r="J168" s="147">
        <f>IF(E168="EXISTENTE",1,0)</f>
        <v>1</v>
      </c>
      <c r="K168" s="147"/>
      <c r="L168" s="387" t="str">
        <f>IF(G168&lt;&gt;"",IF(H168&lt;&gt;"","AMPLIADA","EXISTENTE"),"PROJETADA")</f>
        <v>EXISTENTE</v>
      </c>
      <c r="N168" s="388"/>
      <c r="P168" s="148">
        <f>IF(AND(E168="PROJETADO",G168&lt;&gt;""),F168/2*(PI()*0.519*0.519/4-PI()*0.4*0.4/4),0)</f>
        <v>0</v>
      </c>
    </row>
    <row r="169" spans="1:16" customFormat="1" ht="42" x14ac:dyDescent="0.3">
      <c r="A169" s="148" t="s">
        <v>1618</v>
      </c>
      <c r="B169" s="148" t="s">
        <v>1536</v>
      </c>
      <c r="C169" s="386" t="str">
        <f t="shared" si="75"/>
        <v>BL69-&gt;PV1-50</v>
      </c>
      <c r="D169" s="148">
        <f>956.47-954.72</f>
        <v>1.75</v>
      </c>
      <c r="E169" s="148" t="s">
        <v>1479</v>
      </c>
      <c r="F169" s="148">
        <v>5.52</v>
      </c>
      <c r="G169" s="148" t="s">
        <v>1422</v>
      </c>
      <c r="H169" s="148" t="s">
        <v>1425</v>
      </c>
      <c r="I169" s="387" t="str">
        <f t="shared" si="76"/>
        <v>BOCA DE LOBO DUPLA EXISTENTE COM BOCA DE LOBO SIMPLES PROJETADA</v>
      </c>
      <c r="J169" s="147">
        <f t="shared" si="77"/>
        <v>1</v>
      </c>
      <c r="K169" s="147"/>
      <c r="L169" s="387" t="str">
        <f t="shared" si="78"/>
        <v>AMPLIADA</v>
      </c>
      <c r="N169" s="388"/>
      <c r="P169" s="148">
        <f t="shared" si="74"/>
        <v>0</v>
      </c>
    </row>
    <row r="170" spans="1:16" customFormat="1" ht="42" x14ac:dyDescent="0.3">
      <c r="A170" s="148" t="s">
        <v>1619</v>
      </c>
      <c r="B170" s="148" t="s">
        <v>1481</v>
      </c>
      <c r="C170" s="386" t="str">
        <f t="shared" si="75"/>
        <v>BL70-&gt;PV1-51</v>
      </c>
      <c r="D170" s="148">
        <f>955.819-953.999</f>
        <v>1.8199999999999363</v>
      </c>
      <c r="E170" s="148" t="s">
        <v>1479</v>
      </c>
      <c r="F170" s="148">
        <v>5.13</v>
      </c>
      <c r="G170" s="148" t="s">
        <v>1422</v>
      </c>
      <c r="H170" s="148" t="s">
        <v>1425</v>
      </c>
      <c r="I170" s="387" t="str">
        <f t="shared" si="76"/>
        <v>BOCA DE LOBO DUPLA EXISTENTE COM BOCA DE LOBO SIMPLES PROJETADA</v>
      </c>
      <c r="J170" s="147">
        <f t="shared" si="77"/>
        <v>1</v>
      </c>
      <c r="K170" s="147"/>
      <c r="L170" s="387" t="str">
        <f t="shared" si="78"/>
        <v>AMPLIADA</v>
      </c>
      <c r="N170" s="388"/>
      <c r="P170" s="148">
        <f t="shared" si="74"/>
        <v>0</v>
      </c>
    </row>
    <row r="171" spans="1:16" customFormat="1" ht="28" x14ac:dyDescent="0.3">
      <c r="A171" s="148" t="s">
        <v>1620</v>
      </c>
      <c r="B171" s="148" t="s">
        <v>1483</v>
      </c>
      <c r="C171" s="386" t="str">
        <f t="shared" ref="C171" si="89">CONCATENATE(B171,"-&gt;",A171)</f>
        <v>BL71-&gt;PV1-52</v>
      </c>
      <c r="D171" s="148">
        <f>952.697-951.067</f>
        <v>1.6299999999999955</v>
      </c>
      <c r="E171" s="148" t="s">
        <v>1479</v>
      </c>
      <c r="F171" s="148">
        <v>5.52</v>
      </c>
      <c r="G171" s="148" t="s">
        <v>1422</v>
      </c>
      <c r="H171" s="148"/>
      <c r="I171" s="387" t="str">
        <f t="shared" ref="I171" si="90">IF(G171="","BOCA DE LOBO PROJETADA "&amp;H171,IF(H171="","BOCA DE LOBO EXISTENTE "&amp;G171,"BOCA DE LOBO "&amp;G171&amp;" EXISTENTE COM BOCA DE LOBO "&amp;H171&amp;" PROJETADA"))</f>
        <v>BOCA DE LOBO EXISTENTE DUPLA</v>
      </c>
      <c r="J171" s="147">
        <f t="shared" ref="J171" si="91">IF(E171="EXISTENTE",1,0)</f>
        <v>1</v>
      </c>
      <c r="K171" s="147"/>
      <c r="L171" s="387" t="str">
        <f t="shared" ref="L171" si="92">IF(G171&lt;&gt;"",IF(H171&lt;&gt;"","AMPLIADA","EXISTENTE"),"PROJETADA")</f>
        <v>EXISTENTE</v>
      </c>
      <c r="N171" s="388"/>
      <c r="P171" s="148">
        <f t="shared" ref="P171" si="93">IF(AND(E171="PROJETADO",G171&lt;&gt;""),F171/2*(PI()*0.519*0.519/4-PI()*0.4*0.4/4),0)</f>
        <v>0</v>
      </c>
    </row>
    <row r="172" spans="1:16" customFormat="1" ht="28" x14ac:dyDescent="0.3">
      <c r="A172" s="148" t="s">
        <v>1621</v>
      </c>
      <c r="B172" s="148" t="s">
        <v>1486</v>
      </c>
      <c r="C172" s="386" t="str">
        <f t="shared" si="75"/>
        <v>BL72-&gt;PV1-53</v>
      </c>
      <c r="D172" s="148">
        <f>949.57-947.82</f>
        <v>1.75</v>
      </c>
      <c r="E172" s="148" t="s">
        <v>1479</v>
      </c>
      <c r="F172" s="148">
        <v>6.38</v>
      </c>
      <c r="G172" s="148"/>
      <c r="H172" s="148" t="s">
        <v>1409</v>
      </c>
      <c r="I172" s="387" t="str">
        <f t="shared" si="76"/>
        <v>BOCA DE LOBO PROJETADA TRIPLA</v>
      </c>
      <c r="J172" s="147">
        <f t="shared" si="77"/>
        <v>1</v>
      </c>
      <c r="K172" s="147"/>
      <c r="L172" s="387" t="str">
        <f t="shared" si="78"/>
        <v>PROJETADA</v>
      </c>
      <c r="N172" s="388"/>
      <c r="P172" s="148">
        <f t="shared" si="74"/>
        <v>0</v>
      </c>
    </row>
    <row r="173" spans="1:16" x14ac:dyDescent="0.35">
      <c r="A173" s="592"/>
      <c r="B173" s="592"/>
      <c r="C173" s="592"/>
      <c r="D173" s="592"/>
      <c r="E173" s="592"/>
      <c r="F173" s="592"/>
      <c r="G173" s="592"/>
      <c r="H173" s="592"/>
      <c r="I173" s="592"/>
      <c r="J173" s="592"/>
      <c r="K173" s="592"/>
      <c r="L173" s="592"/>
    </row>
    <row r="174" spans="1:16" x14ac:dyDescent="0.35">
      <c r="A174" s="592"/>
      <c r="B174" s="592"/>
      <c r="C174" s="592"/>
      <c r="D174" s="592"/>
      <c r="E174" s="592"/>
      <c r="F174" s="592"/>
      <c r="G174" s="592"/>
      <c r="H174" s="592"/>
      <c r="I174" s="592"/>
      <c r="J174" s="592"/>
      <c r="K174" s="592"/>
      <c r="L174" s="592"/>
    </row>
    <row r="175" spans="1:16" x14ac:dyDescent="0.35">
      <c r="A175" s="955" t="s">
        <v>1622</v>
      </c>
      <c r="B175" s="955"/>
      <c r="C175" s="955"/>
      <c r="D175" s="955"/>
      <c r="E175" s="955"/>
      <c r="F175" s="955"/>
      <c r="G175" s="955"/>
      <c r="H175" s="955"/>
      <c r="I175" s="955"/>
      <c r="J175" s="955"/>
      <c r="K175" s="955"/>
      <c r="L175" s="955"/>
    </row>
    <row r="176" spans="1:16" customFormat="1" ht="43.5" x14ac:dyDescent="0.35">
      <c r="A176" s="383" t="s">
        <v>1390</v>
      </c>
      <c r="B176" s="383" t="s">
        <v>1391</v>
      </c>
      <c r="C176" s="383" t="s">
        <v>1392</v>
      </c>
      <c r="D176" s="150" t="s">
        <v>1623</v>
      </c>
      <c r="E176" s="383" t="s">
        <v>1394</v>
      </c>
      <c r="F176" s="150" t="s">
        <v>1395</v>
      </c>
      <c r="G176" s="150" t="s">
        <v>1624</v>
      </c>
      <c r="H176" s="150" t="s">
        <v>1625</v>
      </c>
      <c r="I176" s="383" t="s">
        <v>1398</v>
      </c>
      <c r="J176" s="150" t="s">
        <v>1399</v>
      </c>
      <c r="K176" s="150" t="s">
        <v>1580</v>
      </c>
      <c r="L176" s="150" t="s">
        <v>1401</v>
      </c>
      <c r="M176" s="389"/>
      <c r="N176" s="390" t="s">
        <v>1402</v>
      </c>
      <c r="O176" s="325" t="s">
        <v>5</v>
      </c>
      <c r="P176" s="146" t="s">
        <v>1403</v>
      </c>
    </row>
    <row r="177" spans="1:16" s="395" customFormat="1" ht="42" x14ac:dyDescent="0.35">
      <c r="A177" s="391" t="s">
        <v>1404</v>
      </c>
      <c r="B177" s="391"/>
      <c r="C177" s="391"/>
      <c r="D177" s="391"/>
      <c r="E177" s="391"/>
      <c r="F177" s="392"/>
      <c r="G177" s="392"/>
      <c r="H177" s="391"/>
      <c r="I177" s="391"/>
      <c r="J177" s="392"/>
      <c r="K177" s="392"/>
      <c r="L177" s="392"/>
      <c r="M177" s="393"/>
      <c r="N177" s="394" t="s">
        <v>1405</v>
      </c>
      <c r="O177" s="148">
        <f>COUNTIF($I$178:$I$223,N177)</f>
        <v>0</v>
      </c>
      <c r="P177" s="148">
        <f t="shared" ref="P177:P223" si="94">IF(AND(E177="PROJETADO",G177&lt;&gt;""),F177/2*(PI()*0.519*0.519/4-PI()*0.4*0.4/4),0)</f>
        <v>0</v>
      </c>
    </row>
    <row r="178" spans="1:16" s="395" customFormat="1" ht="42" x14ac:dyDescent="0.3">
      <c r="A178" s="386" t="s">
        <v>1626</v>
      </c>
      <c r="B178" s="386" t="s">
        <v>1407</v>
      </c>
      <c r="C178" s="386" t="str">
        <f>CONCATENATE(B178,"-&gt;",A178)</f>
        <v>BL1-&gt;PV 1.1</v>
      </c>
      <c r="D178" s="386">
        <v>1.6</v>
      </c>
      <c r="E178" s="386" t="s">
        <v>1408</v>
      </c>
      <c r="F178" s="386">
        <v>5.07</v>
      </c>
      <c r="G178" s="386"/>
      <c r="H178" s="386" t="s">
        <v>1422</v>
      </c>
      <c r="I178" s="387" t="str">
        <f t="shared" ref="I178" si="95">IF(G178="","BOCA DE LOBO PROJETADA "&amp;H178,IF(H178="","BOCA DE LOBO EXISTENTE "&amp;G178,"BOCA DE LOBO "&amp;G178&amp;" EXISTENTE COM BOCA DE LOBO "&amp;H178&amp;" PROJETADA"))</f>
        <v>BOCA DE LOBO PROJETADA DUPLA</v>
      </c>
      <c r="J178" s="396">
        <f>IF(E178="EXISTENTE",1,0)</f>
        <v>0</v>
      </c>
      <c r="K178" s="396"/>
      <c r="L178" s="396" t="str">
        <f>IF(G178&lt;&gt;"",IF(H178&lt;&gt;"","AMPLIADA","EXISTENTE"),"PROJETADA")</f>
        <v>PROJETADA</v>
      </c>
      <c r="N178" s="394" t="s">
        <v>1410</v>
      </c>
      <c r="O178" s="148">
        <f t="shared" ref="O178:O189" si="96">COUNTIF($I$178:$I$223,N178)</f>
        <v>1</v>
      </c>
      <c r="P178" s="148">
        <f t="shared" si="94"/>
        <v>0</v>
      </c>
    </row>
    <row r="179" spans="1:16" customFormat="1" ht="42" x14ac:dyDescent="0.3">
      <c r="A179" s="391" t="s">
        <v>1414</v>
      </c>
      <c r="B179" s="386"/>
      <c r="C179" s="386"/>
      <c r="D179" s="386"/>
      <c r="E179" s="386"/>
      <c r="F179" s="386"/>
      <c r="G179" s="386"/>
      <c r="H179" s="386"/>
      <c r="I179" s="396"/>
      <c r="J179" s="396"/>
      <c r="K179" s="396"/>
      <c r="L179" s="396"/>
      <c r="N179" s="394" t="s">
        <v>1413</v>
      </c>
      <c r="O179" s="148">
        <f t="shared" si="96"/>
        <v>0</v>
      </c>
      <c r="P179" s="148">
        <f t="shared" si="94"/>
        <v>0</v>
      </c>
    </row>
    <row r="180" spans="1:16" customFormat="1" ht="42" x14ac:dyDescent="0.3">
      <c r="A180" s="386" t="s">
        <v>1406</v>
      </c>
      <c r="B180" s="386" t="s">
        <v>1412</v>
      </c>
      <c r="C180" s="386" t="str">
        <f t="shared" ref="C180:C185" si="97">CONCATENATE(B180,"-&gt;",A180)</f>
        <v>BL2-&gt;PV1.1</v>
      </c>
      <c r="D180" s="386">
        <v>1.6</v>
      </c>
      <c r="E180" s="386" t="s">
        <v>1408</v>
      </c>
      <c r="F180" s="386">
        <v>7.29</v>
      </c>
      <c r="G180" s="386" t="s">
        <v>1422</v>
      </c>
      <c r="H180" s="386"/>
      <c r="I180" s="387" t="str">
        <f t="shared" ref="I180:I185" si="98">IF(G180="","BOCA DE LOBO PROJETADA "&amp;H180,IF(H180="","BOCA DE LOBO EXISTENTE "&amp;G180,"BOCA DE LOBO "&amp;G180&amp;" EXISTENTE COM BOCA DE LOBO "&amp;H180&amp;" PROJETADA"))</f>
        <v>BOCA DE LOBO EXISTENTE DUPLA</v>
      </c>
      <c r="J180" s="396">
        <f t="shared" ref="J180:J185" si="99">IF(E180="EXISTENTE",1,0)</f>
        <v>0</v>
      </c>
      <c r="K180" s="396"/>
      <c r="L180" s="396" t="str">
        <f t="shared" ref="L180:L185" si="100">IF(G180&lt;&gt;"",IF(H180&lt;&gt;"","AMPLIADA","EXISTENTE"),"PROJETADA")</f>
        <v>EXISTENTE</v>
      </c>
      <c r="N180" s="394" t="s">
        <v>1415</v>
      </c>
      <c r="O180" s="148">
        <f t="shared" si="96"/>
        <v>0</v>
      </c>
      <c r="P180" s="148">
        <f t="shared" si="94"/>
        <v>0.31307607955493894</v>
      </c>
    </row>
    <row r="181" spans="1:16" s="395" customFormat="1" ht="42" x14ac:dyDescent="0.3">
      <c r="A181" s="386" t="s">
        <v>1421</v>
      </c>
      <c r="B181" s="386" t="s">
        <v>1417</v>
      </c>
      <c r="C181" s="386" t="str">
        <f t="shared" si="97"/>
        <v>BL3-&gt;PV2.1</v>
      </c>
      <c r="D181" s="386">
        <v>1.6</v>
      </c>
      <c r="E181" s="386" t="s">
        <v>1408</v>
      </c>
      <c r="F181" s="386">
        <v>0.89</v>
      </c>
      <c r="G181" s="386"/>
      <c r="H181" s="386" t="s">
        <v>1422</v>
      </c>
      <c r="I181" s="387" t="str">
        <f t="shared" si="98"/>
        <v>BOCA DE LOBO PROJETADA DUPLA</v>
      </c>
      <c r="J181" s="396">
        <f t="shared" si="99"/>
        <v>0</v>
      </c>
      <c r="K181" s="396"/>
      <c r="L181" s="396" t="str">
        <f t="shared" si="100"/>
        <v>PROJETADA</v>
      </c>
      <c r="N181" s="394" t="s">
        <v>1418</v>
      </c>
      <c r="O181" s="148">
        <f t="shared" si="96"/>
        <v>0</v>
      </c>
      <c r="P181" s="148">
        <f t="shared" si="94"/>
        <v>0</v>
      </c>
    </row>
    <row r="182" spans="1:16" s="395" customFormat="1" ht="42" x14ac:dyDescent="0.3">
      <c r="A182" s="386" t="s">
        <v>1411</v>
      </c>
      <c r="B182" s="386" t="s">
        <v>1419</v>
      </c>
      <c r="C182" s="386" t="str">
        <f t="shared" si="97"/>
        <v>BL4-&gt;PV3.1</v>
      </c>
      <c r="D182" s="386">
        <v>1.6</v>
      </c>
      <c r="E182" s="386" t="s">
        <v>1408</v>
      </c>
      <c r="F182" s="386">
        <v>9.73</v>
      </c>
      <c r="G182" s="386" t="s">
        <v>1422</v>
      </c>
      <c r="H182" s="386"/>
      <c r="I182" s="387" t="str">
        <f t="shared" si="98"/>
        <v>BOCA DE LOBO EXISTENTE DUPLA</v>
      </c>
      <c r="J182" s="396">
        <f t="shared" si="99"/>
        <v>0</v>
      </c>
      <c r="K182" s="396"/>
      <c r="L182" s="396" t="str">
        <f t="shared" si="100"/>
        <v>EXISTENTE</v>
      </c>
      <c r="N182" s="394" t="s">
        <v>1416</v>
      </c>
      <c r="O182" s="148">
        <f t="shared" si="96"/>
        <v>0</v>
      </c>
      <c r="P182" s="148">
        <f t="shared" si="94"/>
        <v>0.41786423238265513</v>
      </c>
    </row>
    <row r="183" spans="1:16" s="395" customFormat="1" ht="42" x14ac:dyDescent="0.3">
      <c r="A183" s="386" t="s">
        <v>1432</v>
      </c>
      <c r="B183" s="386" t="s">
        <v>1423</v>
      </c>
      <c r="C183" s="386" t="str">
        <f t="shared" si="97"/>
        <v>BL5-&gt;PV4.1</v>
      </c>
      <c r="D183" s="386">
        <v>1.57</v>
      </c>
      <c r="E183" s="386" t="s">
        <v>1408</v>
      </c>
      <c r="F183" s="386">
        <v>0.92</v>
      </c>
      <c r="G183" s="386"/>
      <c r="H183" s="386" t="s">
        <v>1422</v>
      </c>
      <c r="I183" s="387" t="str">
        <f t="shared" si="98"/>
        <v>BOCA DE LOBO PROJETADA DUPLA</v>
      </c>
      <c r="J183" s="396">
        <f t="shared" si="99"/>
        <v>0</v>
      </c>
      <c r="K183" s="396"/>
      <c r="L183" s="396" t="str">
        <f t="shared" si="100"/>
        <v>PROJETADA</v>
      </c>
      <c r="N183" s="394" t="s">
        <v>1420</v>
      </c>
      <c r="O183" s="148">
        <f t="shared" si="96"/>
        <v>0</v>
      </c>
      <c r="P183" s="148">
        <f t="shared" si="94"/>
        <v>0</v>
      </c>
    </row>
    <row r="184" spans="1:16" s="395" customFormat="1" ht="42" x14ac:dyDescent="0.3">
      <c r="A184" s="386" t="s">
        <v>1435</v>
      </c>
      <c r="B184" s="386" t="s">
        <v>1426</v>
      </c>
      <c r="C184" s="386" t="str">
        <f t="shared" si="97"/>
        <v>BL6-&gt;PV5.1</v>
      </c>
      <c r="D184" s="386">
        <v>1.6</v>
      </c>
      <c r="E184" s="386" t="s">
        <v>1408</v>
      </c>
      <c r="F184" s="386">
        <v>8.61</v>
      </c>
      <c r="G184" s="386" t="s">
        <v>1422</v>
      </c>
      <c r="H184" s="386"/>
      <c r="I184" s="387" t="str">
        <f t="shared" si="98"/>
        <v>BOCA DE LOBO EXISTENTE DUPLA</v>
      </c>
      <c r="J184" s="396">
        <f t="shared" si="99"/>
        <v>0</v>
      </c>
      <c r="K184" s="396"/>
      <c r="L184" s="396" t="str">
        <f t="shared" si="100"/>
        <v>EXISTENTE</v>
      </c>
      <c r="N184" s="394" t="s">
        <v>1424</v>
      </c>
      <c r="O184" s="148">
        <f t="shared" si="96"/>
        <v>0</v>
      </c>
      <c r="P184" s="148">
        <f t="shared" si="94"/>
        <v>0.36976475239616241</v>
      </c>
    </row>
    <row r="185" spans="1:16" s="395" customFormat="1" ht="17.25" customHeight="1" x14ac:dyDescent="0.3">
      <c r="A185" s="386" t="s">
        <v>1440</v>
      </c>
      <c r="B185" s="386" t="s">
        <v>1428</v>
      </c>
      <c r="C185" s="386" t="str">
        <f t="shared" si="97"/>
        <v>BL7-&gt;PV6.1</v>
      </c>
      <c r="D185" s="386">
        <v>2.36</v>
      </c>
      <c r="E185" s="386" t="s">
        <v>1408</v>
      </c>
      <c r="F185" s="386">
        <v>0.88</v>
      </c>
      <c r="G185" s="386"/>
      <c r="H185" s="386" t="s">
        <v>1422</v>
      </c>
      <c r="I185" s="387" t="str">
        <f t="shared" si="98"/>
        <v>BOCA DE LOBO PROJETADA DUPLA</v>
      </c>
      <c r="J185" s="396">
        <f t="shared" si="99"/>
        <v>0</v>
      </c>
      <c r="K185" s="396"/>
      <c r="L185" s="396" t="str">
        <f t="shared" si="100"/>
        <v>PROJETADA</v>
      </c>
      <c r="N185" s="394" t="s">
        <v>1427</v>
      </c>
      <c r="O185" s="148">
        <f t="shared" si="96"/>
        <v>0</v>
      </c>
      <c r="P185" s="148">
        <f t="shared" si="94"/>
        <v>0</v>
      </c>
    </row>
    <row r="186" spans="1:16" s="395" customFormat="1" ht="28" x14ac:dyDescent="0.3">
      <c r="A186" s="391" t="s">
        <v>1627</v>
      </c>
      <c r="B186" s="386"/>
      <c r="C186" s="386"/>
      <c r="D186" s="386"/>
      <c r="E186" s="386"/>
      <c r="F186" s="148"/>
      <c r="G186" s="386"/>
      <c r="H186" s="386"/>
      <c r="I186" s="396"/>
      <c r="J186" s="396"/>
      <c r="K186" s="396"/>
      <c r="L186" s="396"/>
      <c r="N186" s="394" t="s">
        <v>1429</v>
      </c>
      <c r="O186" s="148">
        <f t="shared" si="96"/>
        <v>0</v>
      </c>
      <c r="P186" s="148">
        <f t="shared" si="94"/>
        <v>0</v>
      </c>
    </row>
    <row r="187" spans="1:16" s="395" customFormat="1" ht="28" x14ac:dyDescent="0.3">
      <c r="A187" s="386" t="s">
        <v>1406</v>
      </c>
      <c r="B187" s="386" t="s">
        <v>1430</v>
      </c>
      <c r="C187" s="386" t="str">
        <f>CONCATENATE(B187,"-&gt;",A187)</f>
        <v>BL8-&gt;PV1.1</v>
      </c>
      <c r="D187" s="386">
        <v>1.6</v>
      </c>
      <c r="E187" s="386" t="s">
        <v>1408</v>
      </c>
      <c r="F187" s="386">
        <v>4.7</v>
      </c>
      <c r="G187" s="386"/>
      <c r="H187" s="386" t="s">
        <v>1422</v>
      </c>
      <c r="I187" s="387" t="str">
        <f t="shared" ref="I187" si="101">IF(G187="","BOCA DE LOBO PROJETADA "&amp;H187,IF(H187="","BOCA DE LOBO EXISTENTE "&amp;G187,"BOCA DE LOBO "&amp;G187&amp;" EXISTENTE COM BOCA DE LOBO "&amp;H187&amp;" PROJETADA"))</f>
        <v>BOCA DE LOBO PROJETADA DUPLA</v>
      </c>
      <c r="J187" s="396">
        <f>IF(E187="EXISTENTE",1,0)</f>
        <v>0</v>
      </c>
      <c r="K187" s="396"/>
      <c r="L187" s="396" t="str">
        <f>IF(G187&lt;&gt;"",IF(H187&lt;&gt;"","AMPLIADA","EXISTENTE"),"PROJETADA")</f>
        <v>PROJETADA</v>
      </c>
      <c r="N187" s="394" t="s">
        <v>1431</v>
      </c>
      <c r="O187" s="148">
        <f t="shared" si="96"/>
        <v>30</v>
      </c>
      <c r="P187" s="148">
        <f t="shared" si="94"/>
        <v>0</v>
      </c>
    </row>
    <row r="188" spans="1:16" s="395" customFormat="1" ht="28" x14ac:dyDescent="0.3">
      <c r="A188" s="391" t="s">
        <v>1628</v>
      </c>
      <c r="B188" s="386"/>
      <c r="C188" s="386"/>
      <c r="D188" s="386"/>
      <c r="E188" s="386"/>
      <c r="F188" s="386"/>
      <c r="G188" s="386"/>
      <c r="H188" s="386"/>
      <c r="I188" s="396"/>
      <c r="J188" s="396"/>
      <c r="K188" s="396"/>
      <c r="L188" s="396"/>
      <c r="N188" s="394" t="s">
        <v>1434</v>
      </c>
      <c r="O188" s="148">
        <f t="shared" si="96"/>
        <v>1</v>
      </c>
      <c r="P188" s="148">
        <f t="shared" si="94"/>
        <v>0</v>
      </c>
    </row>
    <row r="189" spans="1:16" s="395" customFormat="1" ht="28" x14ac:dyDescent="0.3">
      <c r="A189" s="386" t="s">
        <v>1406</v>
      </c>
      <c r="B189" s="386" t="s">
        <v>1433</v>
      </c>
      <c r="C189" s="386" t="str">
        <f>CONCATENATE(B189,"-&gt;",A189)</f>
        <v>BL9-&gt;PV1.1</v>
      </c>
      <c r="D189" s="386">
        <v>1.6</v>
      </c>
      <c r="E189" s="386" t="s">
        <v>1408</v>
      </c>
      <c r="F189" s="386">
        <v>5.96</v>
      </c>
      <c r="G189" s="386"/>
      <c r="H189" s="386" t="s">
        <v>1422</v>
      </c>
      <c r="I189" s="387" t="str">
        <f t="shared" ref="I189" si="102">IF(G189="","BOCA DE LOBO PROJETADA "&amp;H189,IF(H189="","BOCA DE LOBO EXISTENTE "&amp;G189,"BOCA DE LOBO "&amp;G189&amp;" EXISTENTE COM BOCA DE LOBO "&amp;H189&amp;" PROJETADA"))</f>
        <v>BOCA DE LOBO PROJETADA DUPLA</v>
      </c>
      <c r="J189" s="396">
        <f>IF(E189="EXISTENTE",1,0)</f>
        <v>0</v>
      </c>
      <c r="K189" s="396"/>
      <c r="L189" s="396" t="str">
        <f>IF(G189&lt;&gt;"",IF(H189&lt;&gt;"","AMPLIADA","EXISTENTE"),"PROJETADA")</f>
        <v>PROJETADA</v>
      </c>
      <c r="N189" s="394" t="s">
        <v>1438</v>
      </c>
      <c r="O189" s="148">
        <f t="shared" si="96"/>
        <v>0</v>
      </c>
      <c r="P189" s="148">
        <f t="shared" si="94"/>
        <v>0</v>
      </c>
    </row>
    <row r="190" spans="1:16" s="395" customFormat="1" x14ac:dyDescent="0.35">
      <c r="A190" s="391" t="s">
        <v>1629</v>
      </c>
      <c r="B190" s="386"/>
      <c r="C190" s="386"/>
      <c r="D190" s="386"/>
      <c r="E190" s="386"/>
      <c r="F190" s="386"/>
      <c r="G190" s="386"/>
      <c r="H190" s="386"/>
      <c r="I190" s="396"/>
      <c r="J190" s="396"/>
      <c r="K190" s="396"/>
      <c r="L190" s="396"/>
      <c r="N190" s="377" t="s">
        <v>5</v>
      </c>
      <c r="O190" s="397">
        <f>SUM(O177:O189)</f>
        <v>32</v>
      </c>
      <c r="P190" s="148">
        <f t="shared" si="94"/>
        <v>0</v>
      </c>
    </row>
    <row r="191" spans="1:16" s="395" customFormat="1" ht="29" x14ac:dyDescent="0.35">
      <c r="A191" s="386" t="s">
        <v>1406</v>
      </c>
      <c r="B191" s="386" t="s">
        <v>1436</v>
      </c>
      <c r="C191" s="386" t="str">
        <f>CONCATENATE(B191,"-&gt;",A191)</f>
        <v>BL10-&gt;PV1.1</v>
      </c>
      <c r="D191" s="386">
        <v>3.06</v>
      </c>
      <c r="E191" s="386" t="s">
        <v>1408</v>
      </c>
      <c r="F191" s="386">
        <v>8.19</v>
      </c>
      <c r="G191" s="386"/>
      <c r="H191" s="386" t="s">
        <v>1422</v>
      </c>
      <c r="I191" s="387" t="str">
        <f t="shared" ref="I191:I195" si="103">IF(G191="","BOCA DE LOBO PROJETADA "&amp;H191,IF(H191="","BOCA DE LOBO EXISTENTE "&amp;G191,"BOCA DE LOBO "&amp;G191&amp;" EXISTENTE COM BOCA DE LOBO "&amp;H191&amp;" PROJETADA"))</f>
        <v>BOCA DE LOBO PROJETADA DUPLA</v>
      </c>
      <c r="J191" s="396"/>
      <c r="K191" s="396"/>
      <c r="L191" s="396" t="str">
        <f>IF(G191&lt;&gt;"",IF(H191&lt;&gt;"","AMPLIADA","EXISTENTE"),"PROJETADA")</f>
        <v>PROJETADA</v>
      </c>
      <c r="N191" s="377" t="s">
        <v>1443</v>
      </c>
      <c r="O191" s="397">
        <f>SUM(O177:O185)</f>
        <v>1</v>
      </c>
      <c r="P191" s="148">
        <f t="shared" si="94"/>
        <v>0</v>
      </c>
    </row>
    <row r="192" spans="1:16" s="395" customFormat="1" ht="28" x14ac:dyDescent="0.3">
      <c r="A192" s="386" t="s">
        <v>1630</v>
      </c>
      <c r="B192" s="386" t="s">
        <v>1437</v>
      </c>
      <c r="C192" s="386" t="str">
        <f>CONCATENATE(B192,"-&gt;",A192)</f>
        <v xml:space="preserve">BL11-&gt;PV1.1 </v>
      </c>
      <c r="D192" s="386">
        <v>3.06</v>
      </c>
      <c r="E192" s="386" t="s">
        <v>1408</v>
      </c>
      <c r="F192" s="386">
        <v>5.72</v>
      </c>
      <c r="G192" s="386"/>
      <c r="H192" s="386" t="s">
        <v>1422</v>
      </c>
      <c r="I192" s="387" t="str">
        <f t="shared" si="103"/>
        <v>BOCA DE LOBO PROJETADA DUPLA</v>
      </c>
      <c r="J192" s="396"/>
      <c r="K192" s="396"/>
      <c r="L192" s="396" t="str">
        <f>IF(G192&lt;&gt;"",IF(H192&lt;&gt;"","AMPLIADA","EXISTENTE"),"PROJETADA")</f>
        <v>PROJETADA</v>
      </c>
      <c r="P192" s="148">
        <f t="shared" si="94"/>
        <v>0</v>
      </c>
    </row>
    <row r="193" spans="1:16" s="395" customFormat="1" ht="28" x14ac:dyDescent="0.3">
      <c r="A193" s="386" t="s">
        <v>1421</v>
      </c>
      <c r="B193" s="386" t="s">
        <v>1439</v>
      </c>
      <c r="C193" s="386" t="str">
        <f>CONCATENATE(B193,"-&gt;",A193)</f>
        <v>BL12-&gt;PV2.1</v>
      </c>
      <c r="D193" s="386">
        <v>2.4700000000000002</v>
      </c>
      <c r="E193" s="386" t="s">
        <v>1408</v>
      </c>
      <c r="F193" s="386">
        <v>7.72</v>
      </c>
      <c r="G193" s="386"/>
      <c r="H193" s="386" t="s">
        <v>1422</v>
      </c>
      <c r="I193" s="387" t="str">
        <f t="shared" si="103"/>
        <v>BOCA DE LOBO PROJETADA DUPLA</v>
      </c>
      <c r="J193" s="396">
        <f>IF(E193="EXISTENTE",1,0)</f>
        <v>0</v>
      </c>
      <c r="K193" s="396"/>
      <c r="L193" s="396" t="str">
        <f>IF(G193&lt;&gt;"",IF(H193&lt;&gt;"","AMPLIADA","EXISTENTE"),"PROJETADA")</f>
        <v>PROJETADA</v>
      </c>
      <c r="P193" s="148">
        <f t="shared" si="94"/>
        <v>0</v>
      </c>
    </row>
    <row r="194" spans="1:16" s="395" customFormat="1" ht="28" x14ac:dyDescent="0.3">
      <c r="A194" s="386" t="s">
        <v>1411</v>
      </c>
      <c r="B194" s="386" t="s">
        <v>1441</v>
      </c>
      <c r="C194" s="386" t="str">
        <f>CONCATENATE(B194,"-&gt;",A194)</f>
        <v>BL13-&gt;PV3.1</v>
      </c>
      <c r="D194" s="386">
        <v>2.33</v>
      </c>
      <c r="E194" s="386" t="s">
        <v>1408</v>
      </c>
      <c r="F194" s="386">
        <v>8.0299999999999994</v>
      </c>
      <c r="G194" s="386"/>
      <c r="H194" s="386" t="s">
        <v>1422</v>
      </c>
      <c r="I194" s="387" t="str">
        <f t="shared" si="103"/>
        <v>BOCA DE LOBO PROJETADA DUPLA</v>
      </c>
      <c r="J194" s="396">
        <f>IF(E194="EXISTENTE",1,0)</f>
        <v>0</v>
      </c>
      <c r="K194" s="396"/>
      <c r="L194" s="396" t="str">
        <f>IF(G194&lt;&gt;"",IF(H194&lt;&gt;"","AMPLIADA","EXISTENTE"),"PROJETADA")</f>
        <v>PROJETADA</v>
      </c>
      <c r="N194"/>
      <c r="O194"/>
      <c r="P194" s="148">
        <f t="shared" si="94"/>
        <v>0</v>
      </c>
    </row>
    <row r="195" spans="1:16" s="395" customFormat="1" ht="28" x14ac:dyDescent="0.3">
      <c r="A195" s="386" t="s">
        <v>1411</v>
      </c>
      <c r="B195" s="386" t="s">
        <v>1444</v>
      </c>
      <c r="C195" s="386" t="str">
        <f>CONCATENATE(B195,"-&gt;",A195)</f>
        <v>BL14-&gt;PV3.1</v>
      </c>
      <c r="D195" s="386">
        <v>2.33</v>
      </c>
      <c r="E195" s="386" t="s">
        <v>1408</v>
      </c>
      <c r="F195" s="386"/>
      <c r="G195" s="386" t="s">
        <v>1409</v>
      </c>
      <c r="H195" s="386"/>
      <c r="I195" s="387" t="str">
        <f t="shared" si="103"/>
        <v>BOCA DE LOBO EXISTENTE TRIPLA</v>
      </c>
      <c r="J195" s="396">
        <f>IF(E195="EXISTENTE",1,0)</f>
        <v>0</v>
      </c>
      <c r="K195" s="396"/>
      <c r="L195" s="396" t="str">
        <f>IF(G195&lt;&gt;"",IF(H195&lt;&gt;"","AMPLIADA","EXISTENTE"),"PROJETADA")</f>
        <v>EXISTENTE</v>
      </c>
      <c r="N195"/>
      <c r="O195"/>
      <c r="P195" s="148">
        <f t="shared" si="94"/>
        <v>0</v>
      </c>
    </row>
    <row r="196" spans="1:16" s="395" customFormat="1" x14ac:dyDescent="0.3">
      <c r="A196" s="391" t="s">
        <v>1631</v>
      </c>
      <c r="B196" s="386"/>
      <c r="C196" s="386"/>
      <c r="D196" s="386"/>
      <c r="E196" s="386"/>
      <c r="F196" s="386"/>
      <c r="G196" s="386"/>
      <c r="H196" s="386"/>
      <c r="I196" s="396"/>
      <c r="J196" s="396"/>
      <c r="K196" s="396"/>
      <c r="L196" s="396"/>
      <c r="N196"/>
      <c r="O196"/>
      <c r="P196" s="148">
        <f t="shared" si="94"/>
        <v>0</v>
      </c>
    </row>
    <row r="197" spans="1:16" s="395" customFormat="1" ht="28" x14ac:dyDescent="0.3">
      <c r="A197" s="386" t="s">
        <v>1406</v>
      </c>
      <c r="B197" s="386" t="s">
        <v>1445</v>
      </c>
      <c r="C197" s="386" t="str">
        <f>CONCATENATE(B197,"-&gt;",A197)</f>
        <v>BL15-&gt;PV1.1</v>
      </c>
      <c r="D197" s="386">
        <v>1.6</v>
      </c>
      <c r="E197" s="386" t="s">
        <v>1408</v>
      </c>
      <c r="F197" s="386">
        <v>5.96</v>
      </c>
      <c r="G197" s="386"/>
      <c r="H197" s="386" t="s">
        <v>1422</v>
      </c>
      <c r="I197" s="387" t="str">
        <f t="shared" ref="I197" si="104">IF(G197="","BOCA DE LOBO PROJETADA "&amp;H197,IF(H197="","BOCA DE LOBO EXISTENTE "&amp;G197,"BOCA DE LOBO "&amp;G197&amp;" EXISTENTE COM BOCA DE LOBO "&amp;H197&amp;" PROJETADA"))</f>
        <v>BOCA DE LOBO PROJETADA DUPLA</v>
      </c>
      <c r="J197" s="396">
        <f>IF(E197="EXISTENTE",1,0)</f>
        <v>0</v>
      </c>
      <c r="K197" s="396"/>
      <c r="L197" s="396" t="str">
        <f>IF(G197&lt;&gt;"",IF(H197&lt;&gt;"","AMPLIADA","EXISTENTE"),"PROJETADA")</f>
        <v>PROJETADA</v>
      </c>
      <c r="N197"/>
      <c r="O197"/>
      <c r="P197" s="148">
        <f t="shared" si="94"/>
        <v>0</v>
      </c>
    </row>
    <row r="198" spans="1:16" customFormat="1" x14ac:dyDescent="0.3">
      <c r="A198" s="391" t="s">
        <v>1479</v>
      </c>
      <c r="B198" s="398"/>
      <c r="C198" s="398"/>
      <c r="D198" s="398"/>
      <c r="E198" s="398"/>
      <c r="F198" s="398"/>
      <c r="G198" s="398"/>
      <c r="H198" s="398"/>
      <c r="I198" s="399"/>
      <c r="J198" s="399"/>
      <c r="K198" s="399"/>
      <c r="L198" s="399"/>
      <c r="N198" s="400"/>
      <c r="P198" s="148">
        <f t="shared" si="94"/>
        <v>0</v>
      </c>
    </row>
    <row r="199" spans="1:16" customFormat="1" ht="28" x14ac:dyDescent="0.3">
      <c r="A199" s="386" t="s">
        <v>1632</v>
      </c>
      <c r="B199" s="386" t="s">
        <v>1446</v>
      </c>
      <c r="C199" s="386" t="str">
        <f>CONCATENATE(B199,"-&gt;",A199)</f>
        <v>BL16-&gt;PV3-55</v>
      </c>
      <c r="D199" s="386">
        <f>964.75-962.65</f>
        <v>2.1000000000000227</v>
      </c>
      <c r="E199" s="386" t="s">
        <v>1479</v>
      </c>
      <c r="F199" s="386"/>
      <c r="G199" s="386" t="s">
        <v>1422</v>
      </c>
      <c r="H199" s="398"/>
      <c r="I199" s="387" t="str">
        <f t="shared" ref="I199:I223" si="105">IF(G199="","BOCA DE LOBO PROJETADA "&amp;H199,IF(H199="","BOCA DE LOBO EXISTENTE "&amp;G199,"BOCA DE LOBO "&amp;G199&amp;" EXISTENTE COM BOCA DE LOBO "&amp;H199&amp;" PROJETADA"))</f>
        <v>BOCA DE LOBO EXISTENTE DUPLA</v>
      </c>
      <c r="J199" s="396">
        <f>IF(E199="EXISTENTE",1,0)</f>
        <v>1</v>
      </c>
      <c r="K199" s="396">
        <v>500</v>
      </c>
      <c r="L199" s="396" t="str">
        <f>IF(G199&lt;&gt;"",IF(H199&lt;&gt;"","AMPLIADA","EXISTENTE"),"PROJETADA")</f>
        <v>EXISTENTE</v>
      </c>
      <c r="P199" s="148">
        <f t="shared" si="94"/>
        <v>0</v>
      </c>
    </row>
    <row r="200" spans="1:16" s="395" customFormat="1" ht="28" x14ac:dyDescent="0.3">
      <c r="A200" s="386" t="s">
        <v>1632</v>
      </c>
      <c r="B200" s="386" t="s">
        <v>1448</v>
      </c>
      <c r="C200" s="386" t="str">
        <f>CONCATENATE(B200,"-&gt;",A200)</f>
        <v>BL17-&gt;PV3-55</v>
      </c>
      <c r="D200" s="386">
        <f>964.75-962.65</f>
        <v>2.1000000000000227</v>
      </c>
      <c r="E200" s="386" t="s">
        <v>1479</v>
      </c>
      <c r="F200" s="386">
        <v>9.44</v>
      </c>
      <c r="G200" s="386"/>
      <c r="H200" s="386" t="s">
        <v>1422</v>
      </c>
      <c r="I200" s="387" t="str">
        <f t="shared" si="105"/>
        <v>BOCA DE LOBO PROJETADA DUPLA</v>
      </c>
      <c r="J200" s="396">
        <f>IF(E200="EXISTENTE",1,0)</f>
        <v>1</v>
      </c>
      <c r="K200" s="396">
        <v>500</v>
      </c>
      <c r="L200" s="396" t="str">
        <f>IF(G200&lt;&gt;"",IF(H200&lt;&gt;"","AMPLIADA","EXISTENTE"),"PROJETADA")</f>
        <v>PROJETADA</v>
      </c>
      <c r="N200"/>
      <c r="O200"/>
      <c r="P200" s="148">
        <f t="shared" si="94"/>
        <v>0</v>
      </c>
    </row>
    <row r="201" spans="1:16" s="395" customFormat="1" ht="28" x14ac:dyDescent="0.3">
      <c r="A201" s="386" t="s">
        <v>1633</v>
      </c>
      <c r="B201" s="386" t="s">
        <v>1450</v>
      </c>
      <c r="C201" s="386" t="str">
        <f>CONCATENATE(B201,"-&gt;",A201)</f>
        <v>BL18-&gt;PV4-55</v>
      </c>
      <c r="D201" s="386">
        <f>964.548-962.388</f>
        <v>2.1599999999999682</v>
      </c>
      <c r="E201" s="386" t="s">
        <v>1479</v>
      </c>
      <c r="F201" s="386"/>
      <c r="G201" s="386" t="s">
        <v>1422</v>
      </c>
      <c r="H201" s="386"/>
      <c r="I201" s="387" t="str">
        <f t="shared" si="105"/>
        <v>BOCA DE LOBO EXISTENTE DUPLA</v>
      </c>
      <c r="J201" s="396">
        <f>IF(E201="EXISTENTE",1,0)</f>
        <v>1</v>
      </c>
      <c r="K201" s="396">
        <v>500</v>
      </c>
      <c r="L201" s="396" t="str">
        <f>IF(G201&lt;&gt;"",IF(H201&lt;&gt;"","AMPLIADA","EXISTENTE"),"PROJETADA")</f>
        <v>EXISTENTE</v>
      </c>
      <c r="N201"/>
      <c r="O201"/>
      <c r="P201" s="148">
        <f t="shared" si="94"/>
        <v>0</v>
      </c>
    </row>
    <row r="202" spans="1:16" s="395" customFormat="1" ht="28" x14ac:dyDescent="0.3">
      <c r="A202" s="386" t="s">
        <v>1633</v>
      </c>
      <c r="B202" s="386" t="s">
        <v>1451</v>
      </c>
      <c r="C202" s="386" t="str">
        <f>CONCATENATE(B202,"-&gt;",A202)</f>
        <v>BL19-&gt;PV4-55</v>
      </c>
      <c r="D202" s="386">
        <f>964.548-962.388</f>
        <v>2.1599999999999682</v>
      </c>
      <c r="E202" s="386" t="s">
        <v>1479</v>
      </c>
      <c r="F202" s="386">
        <v>8.8699999999999992</v>
      </c>
      <c r="G202" s="386"/>
      <c r="H202" s="386" t="s">
        <v>1422</v>
      </c>
      <c r="I202" s="387" t="str">
        <f t="shared" si="105"/>
        <v>BOCA DE LOBO PROJETADA DUPLA</v>
      </c>
      <c r="J202" s="396">
        <f>IF(E202="EXISTENTE",1,0)</f>
        <v>1</v>
      </c>
      <c r="K202" s="396">
        <v>500</v>
      </c>
      <c r="L202" s="396" t="str">
        <f>IF(G202&lt;&gt;"",IF(H202&lt;&gt;"","AMPLIADA","EXISTENTE"),"PROJETADA")</f>
        <v>PROJETADA</v>
      </c>
      <c r="N202"/>
      <c r="O202"/>
      <c r="P202" s="148">
        <f t="shared" si="94"/>
        <v>0</v>
      </c>
    </row>
    <row r="203" spans="1:16" s="395" customFormat="1" ht="28" x14ac:dyDescent="0.3">
      <c r="A203" s="386" t="s">
        <v>1634</v>
      </c>
      <c r="B203" s="386" t="s">
        <v>1452</v>
      </c>
      <c r="C203" s="386" t="str">
        <f t="shared" ref="C203:C214" si="106">CONCATENATE(B203,"-&gt;",A203)</f>
        <v>BL20-&gt;PV1-56</v>
      </c>
      <c r="D203" s="386">
        <v>2</v>
      </c>
      <c r="E203" s="386" t="s">
        <v>1479</v>
      </c>
      <c r="F203" s="386">
        <v>4.8449999999999998</v>
      </c>
      <c r="G203" s="386"/>
      <c r="H203" s="386" t="s">
        <v>1409</v>
      </c>
      <c r="I203" s="387" t="str">
        <f t="shared" si="105"/>
        <v>BOCA DE LOBO PROJETADA TRIPLA</v>
      </c>
      <c r="J203" s="396">
        <f t="shared" ref="J203:J214" si="107">IF(E203="EXISTENTE",1,0)</f>
        <v>1</v>
      </c>
      <c r="K203" s="396">
        <v>500</v>
      </c>
      <c r="L203" s="396" t="str">
        <f t="shared" ref="L203:L214" si="108">IF(G203&lt;&gt;"",IF(H203&lt;&gt;"","AMPLIADA","EXISTENTE"),"PROJETADA")</f>
        <v>PROJETADA</v>
      </c>
      <c r="N203"/>
      <c r="O203"/>
      <c r="P203" s="148">
        <f t="shared" si="94"/>
        <v>0</v>
      </c>
    </row>
    <row r="204" spans="1:16" s="395" customFormat="1" ht="28" x14ac:dyDescent="0.3">
      <c r="A204" s="386" t="s">
        <v>1635</v>
      </c>
      <c r="B204" s="386" t="s">
        <v>1454</v>
      </c>
      <c r="C204" s="386" t="str">
        <f>CONCATENATE(B204,"-&gt;",A204)</f>
        <v>BL21-&gt;PV4-57</v>
      </c>
      <c r="D204" s="386">
        <f>953.484-950.954</f>
        <v>2.5300000000000864</v>
      </c>
      <c r="E204" s="386" t="s">
        <v>1479</v>
      </c>
      <c r="F204" s="386">
        <v>6.92</v>
      </c>
      <c r="G204" s="386"/>
      <c r="H204" s="386" t="s">
        <v>1422</v>
      </c>
      <c r="I204" s="387" t="str">
        <f t="shared" si="105"/>
        <v>BOCA DE LOBO PROJETADA DUPLA</v>
      </c>
      <c r="J204" s="396">
        <f>IF(E204="EXISTENTE",1,0)</f>
        <v>1</v>
      </c>
      <c r="K204" s="396">
        <v>500</v>
      </c>
      <c r="L204" s="396" t="str">
        <f>IF(G204&lt;&gt;"",IF(H204&lt;&gt;"","AMPLIADA","EXISTENTE"),"PROJETADA")</f>
        <v>PROJETADA</v>
      </c>
      <c r="N204"/>
      <c r="O204"/>
      <c r="P204" s="148">
        <f t="shared" si="94"/>
        <v>0</v>
      </c>
    </row>
    <row r="205" spans="1:16" s="395" customFormat="1" ht="42" x14ac:dyDescent="0.3">
      <c r="A205" s="386" t="s">
        <v>1636</v>
      </c>
      <c r="B205" s="386" t="s">
        <v>1456</v>
      </c>
      <c r="C205" s="386" t="str">
        <f t="shared" si="106"/>
        <v>BL22-&gt;PV1-59</v>
      </c>
      <c r="D205" s="386">
        <f>972.89-971.19</f>
        <v>1.6999999999999318</v>
      </c>
      <c r="E205" s="386" t="s">
        <v>1479</v>
      </c>
      <c r="F205" s="386"/>
      <c r="G205" s="386" t="s">
        <v>1425</v>
      </c>
      <c r="H205" s="386" t="s">
        <v>1425</v>
      </c>
      <c r="I205" s="387" t="str">
        <f t="shared" si="105"/>
        <v>BOCA DE LOBO SIMPLES EXISTENTE COM BOCA DE LOBO SIMPLES PROJETADA</v>
      </c>
      <c r="J205" s="396">
        <f t="shared" si="107"/>
        <v>1</v>
      </c>
      <c r="K205" s="396">
        <v>400</v>
      </c>
      <c r="L205" s="396" t="str">
        <f t="shared" si="108"/>
        <v>AMPLIADA</v>
      </c>
      <c r="N205"/>
      <c r="O205"/>
      <c r="P205" s="148">
        <f t="shared" si="94"/>
        <v>0</v>
      </c>
    </row>
    <row r="206" spans="1:16" s="395" customFormat="1" ht="28" x14ac:dyDescent="0.3">
      <c r="A206" s="386" t="s">
        <v>1637</v>
      </c>
      <c r="B206" s="386" t="s">
        <v>1457</v>
      </c>
      <c r="C206" s="386" t="str">
        <f>CONCATENATE(B206,"-&gt;",A206)</f>
        <v>BL23-&gt;PV6-59</v>
      </c>
      <c r="D206" s="386">
        <v>3.25</v>
      </c>
      <c r="E206" s="386" t="s">
        <v>1479</v>
      </c>
      <c r="F206" s="386">
        <v>8.51</v>
      </c>
      <c r="G206" s="386"/>
      <c r="H206" s="386" t="s">
        <v>1422</v>
      </c>
      <c r="I206" s="387" t="str">
        <f t="shared" si="105"/>
        <v>BOCA DE LOBO PROJETADA DUPLA</v>
      </c>
      <c r="J206" s="396">
        <f>IF(E206="EXISTENTE",1,0)</f>
        <v>1</v>
      </c>
      <c r="K206" s="396">
        <v>800</v>
      </c>
      <c r="L206" s="396" t="str">
        <f>IF(G206&lt;&gt;"",IF(H206&lt;&gt;"","AMPLIADA","EXISTENTE"),"PROJETADA")</f>
        <v>PROJETADA</v>
      </c>
      <c r="N206"/>
      <c r="O206"/>
      <c r="P206" s="148">
        <f t="shared" si="94"/>
        <v>0</v>
      </c>
    </row>
    <row r="207" spans="1:16" s="395" customFormat="1" ht="28" x14ac:dyDescent="0.3">
      <c r="A207" s="386" t="s">
        <v>1637</v>
      </c>
      <c r="B207" s="386" t="s">
        <v>1459</v>
      </c>
      <c r="C207" s="386" t="str">
        <f>CONCATENATE(B207,"-&gt;",A207)</f>
        <v>BL24-&gt;PV6-59</v>
      </c>
      <c r="D207" s="386">
        <v>3.25</v>
      </c>
      <c r="E207" s="386" t="s">
        <v>1479</v>
      </c>
      <c r="F207" s="386">
        <v>11.7</v>
      </c>
      <c r="G207" s="386"/>
      <c r="H207" s="386" t="s">
        <v>1422</v>
      </c>
      <c r="I207" s="387" t="str">
        <f t="shared" si="105"/>
        <v>BOCA DE LOBO PROJETADA DUPLA</v>
      </c>
      <c r="J207" s="396">
        <f>IF(E207="EXISTENTE",1,0)</f>
        <v>1</v>
      </c>
      <c r="K207" s="396">
        <v>800</v>
      </c>
      <c r="L207" s="396" t="str">
        <f>IF(G207&lt;&gt;"",IF(H207&lt;&gt;"","AMPLIADA","EXISTENTE"),"PROJETADA")</f>
        <v>PROJETADA</v>
      </c>
      <c r="N207"/>
      <c r="O207"/>
      <c r="P207" s="148">
        <f t="shared" si="94"/>
        <v>0</v>
      </c>
    </row>
    <row r="208" spans="1:16" s="395" customFormat="1" ht="28" x14ac:dyDescent="0.3">
      <c r="A208" s="386" t="s">
        <v>1638</v>
      </c>
      <c r="B208" s="386" t="s">
        <v>1461</v>
      </c>
      <c r="C208" s="386" t="str">
        <f>CONCATENATE(B208,"-&gt;",A208)</f>
        <v>BL25-&gt;PV7-59</v>
      </c>
      <c r="D208" s="386">
        <f>962.36-960.01</f>
        <v>2.3500000000000227</v>
      </c>
      <c r="E208" s="386" t="s">
        <v>1479</v>
      </c>
      <c r="F208" s="386">
        <v>7.83</v>
      </c>
      <c r="G208" s="386" t="s">
        <v>1422</v>
      </c>
      <c r="H208" s="386"/>
      <c r="I208" s="387" t="str">
        <f t="shared" si="105"/>
        <v>BOCA DE LOBO EXISTENTE DUPLA</v>
      </c>
      <c r="J208" s="396">
        <f>IF(E208="EXISTENTE",1,0)</f>
        <v>1</v>
      </c>
      <c r="K208" s="396">
        <v>400</v>
      </c>
      <c r="L208" s="396" t="str">
        <f>IF(G208&lt;&gt;"",IF(H208&lt;&gt;"","AMPLIADA","EXISTENTE"),"PROJETADA")</f>
        <v>EXISTENTE</v>
      </c>
      <c r="N208"/>
      <c r="O208"/>
      <c r="P208" s="148">
        <f t="shared" si="94"/>
        <v>0</v>
      </c>
    </row>
    <row r="209" spans="1:16" s="395" customFormat="1" ht="28" x14ac:dyDescent="0.3">
      <c r="A209" s="386" t="s">
        <v>1639</v>
      </c>
      <c r="B209" s="386" t="s">
        <v>1463</v>
      </c>
      <c r="C209" s="386" t="str">
        <f>CONCATENATE(B209,"-&gt;",A209)</f>
        <v>BL26-&gt;PV10-59</v>
      </c>
      <c r="D209" s="386">
        <f>955.798-953.048</f>
        <v>2.75</v>
      </c>
      <c r="E209" s="386" t="s">
        <v>1479</v>
      </c>
      <c r="F209" s="386">
        <v>8.41</v>
      </c>
      <c r="G209" s="386"/>
      <c r="H209" s="386" t="s">
        <v>1422</v>
      </c>
      <c r="I209" s="387" t="str">
        <f t="shared" si="105"/>
        <v>BOCA DE LOBO PROJETADA DUPLA</v>
      </c>
      <c r="J209" s="396">
        <f>IF(E209="EXISTENTE",1,0)</f>
        <v>1</v>
      </c>
      <c r="K209" s="396">
        <v>800</v>
      </c>
      <c r="L209" s="396" t="str">
        <f>IF(G209&lt;&gt;"",IF(H209&lt;&gt;"","AMPLIADA","EXISTENTE"),"PROJETADA")</f>
        <v>PROJETADA</v>
      </c>
      <c r="N209"/>
      <c r="O209"/>
      <c r="P209" s="148">
        <f t="shared" si="94"/>
        <v>0</v>
      </c>
    </row>
    <row r="210" spans="1:16" s="395" customFormat="1" ht="28" x14ac:dyDescent="0.3">
      <c r="A210" s="386" t="s">
        <v>1640</v>
      </c>
      <c r="B210" s="386" t="s">
        <v>1464</v>
      </c>
      <c r="C210" s="386" t="str">
        <f t="shared" si="106"/>
        <v>BL27-&gt;PV11-59</v>
      </c>
      <c r="D210" s="386">
        <f>953.21-950.31</f>
        <v>2.9000000000000909</v>
      </c>
      <c r="E210" s="386" t="s">
        <v>1479</v>
      </c>
      <c r="F210" s="386">
        <v>6.29</v>
      </c>
      <c r="G210" s="386"/>
      <c r="H210" s="386" t="s">
        <v>1422</v>
      </c>
      <c r="I210" s="387" t="str">
        <f t="shared" si="105"/>
        <v>BOCA DE LOBO PROJETADA DUPLA</v>
      </c>
      <c r="J210" s="396">
        <f t="shared" si="107"/>
        <v>1</v>
      </c>
      <c r="K210" s="396">
        <v>1000</v>
      </c>
      <c r="L210" s="396" t="str">
        <f t="shared" si="108"/>
        <v>PROJETADA</v>
      </c>
      <c r="N210"/>
      <c r="O210"/>
      <c r="P210" s="148">
        <f t="shared" si="94"/>
        <v>0</v>
      </c>
    </row>
    <row r="211" spans="1:16" s="395" customFormat="1" ht="28" x14ac:dyDescent="0.3">
      <c r="A211" s="386" t="s">
        <v>1641</v>
      </c>
      <c r="B211" s="386" t="s">
        <v>1466</v>
      </c>
      <c r="C211" s="386" t="str">
        <f t="shared" si="106"/>
        <v>BL28-&gt;PV12-59</v>
      </c>
      <c r="D211" s="386">
        <f>952.66-949.81</f>
        <v>2.8500000000000227</v>
      </c>
      <c r="E211" s="386" t="s">
        <v>1479</v>
      </c>
      <c r="F211" s="386">
        <v>8.24</v>
      </c>
      <c r="G211" s="386"/>
      <c r="H211" s="386" t="s">
        <v>1422</v>
      </c>
      <c r="I211" s="387" t="str">
        <f t="shared" si="105"/>
        <v>BOCA DE LOBO PROJETADA DUPLA</v>
      </c>
      <c r="J211" s="396">
        <f t="shared" si="107"/>
        <v>1</v>
      </c>
      <c r="K211" s="396">
        <v>1000</v>
      </c>
      <c r="L211" s="396" t="str">
        <f t="shared" si="108"/>
        <v>PROJETADA</v>
      </c>
      <c r="N211"/>
      <c r="O211"/>
      <c r="P211" s="148">
        <f t="shared" si="94"/>
        <v>0</v>
      </c>
    </row>
    <row r="212" spans="1:16" s="395" customFormat="1" ht="28" x14ac:dyDescent="0.3">
      <c r="A212" s="386" t="s">
        <v>1642</v>
      </c>
      <c r="B212" s="386" t="s">
        <v>1469</v>
      </c>
      <c r="C212" s="386" t="str">
        <f>CONCATENATE(B212,"-&gt;",A212)</f>
        <v>BL29-&gt;PV13-59</v>
      </c>
      <c r="D212" s="386">
        <f>950.327-947.487</f>
        <v>2.8400000000000318</v>
      </c>
      <c r="E212" s="386" t="s">
        <v>1479</v>
      </c>
      <c r="F212" s="386">
        <v>4.84</v>
      </c>
      <c r="G212" s="386"/>
      <c r="H212" s="386" t="s">
        <v>1422</v>
      </c>
      <c r="I212" s="387" t="str">
        <f t="shared" si="105"/>
        <v>BOCA DE LOBO PROJETADA DUPLA</v>
      </c>
      <c r="J212" s="396">
        <f>IF(E212="EXISTENTE",1,0)</f>
        <v>1</v>
      </c>
      <c r="K212" s="396">
        <v>1000</v>
      </c>
      <c r="L212" s="396" t="str">
        <f>IF(G212&lt;&gt;"",IF(H212&lt;&gt;"","AMPLIADA","EXISTENTE"),"PROJETADA")</f>
        <v>PROJETADA</v>
      </c>
      <c r="N212"/>
      <c r="O212"/>
      <c r="P212" s="148">
        <f t="shared" si="94"/>
        <v>0</v>
      </c>
    </row>
    <row r="213" spans="1:16" s="395" customFormat="1" ht="28" x14ac:dyDescent="0.3">
      <c r="A213" s="386" t="s">
        <v>1643</v>
      </c>
      <c r="B213" s="386" t="s">
        <v>1468</v>
      </c>
      <c r="C213" s="386" t="str">
        <f t="shared" si="106"/>
        <v>BL30-&gt;PV18-59</v>
      </c>
      <c r="D213" s="386">
        <f>944.44-941.12</f>
        <v>3.32000000000005</v>
      </c>
      <c r="E213" s="386" t="s">
        <v>1479</v>
      </c>
      <c r="F213" s="386"/>
      <c r="G213" s="386" t="s">
        <v>1549</v>
      </c>
      <c r="H213" s="386"/>
      <c r="I213" s="387" t="str">
        <f t="shared" si="105"/>
        <v>BOCA DE LOBO EXISTENTE QUADRUPLA</v>
      </c>
      <c r="J213" s="396">
        <f t="shared" si="107"/>
        <v>1</v>
      </c>
      <c r="K213" s="396">
        <v>1500</v>
      </c>
      <c r="L213" s="396" t="str">
        <f t="shared" si="108"/>
        <v>EXISTENTE</v>
      </c>
      <c r="N213"/>
      <c r="O213"/>
      <c r="P213" s="148">
        <f t="shared" si="94"/>
        <v>0</v>
      </c>
    </row>
    <row r="214" spans="1:16" s="395" customFormat="1" ht="28" x14ac:dyDescent="0.3">
      <c r="A214" s="386" t="s">
        <v>1643</v>
      </c>
      <c r="B214" s="386" t="s">
        <v>1470</v>
      </c>
      <c r="C214" s="386" t="str">
        <f t="shared" si="106"/>
        <v>BL31-&gt;PV18-59</v>
      </c>
      <c r="D214" s="386">
        <f>944.44-941.12</f>
        <v>3.32000000000005</v>
      </c>
      <c r="E214" s="386" t="s">
        <v>1479</v>
      </c>
      <c r="F214" s="386">
        <v>2.81</v>
      </c>
      <c r="G214" s="386"/>
      <c r="H214" s="386" t="s">
        <v>1422</v>
      </c>
      <c r="I214" s="387" t="str">
        <f t="shared" si="105"/>
        <v>BOCA DE LOBO PROJETADA DUPLA</v>
      </c>
      <c r="J214" s="396">
        <f t="shared" si="107"/>
        <v>1</v>
      </c>
      <c r="K214" s="396">
        <v>1500</v>
      </c>
      <c r="L214" s="396" t="str">
        <f t="shared" si="108"/>
        <v>PROJETADA</v>
      </c>
      <c r="N214"/>
      <c r="O214"/>
      <c r="P214" s="148">
        <f t="shared" si="94"/>
        <v>0</v>
      </c>
    </row>
    <row r="215" spans="1:16" s="395" customFormat="1" ht="28" x14ac:dyDescent="0.3">
      <c r="A215" s="386" t="s">
        <v>1644</v>
      </c>
      <c r="B215" s="386" t="s">
        <v>1472</v>
      </c>
      <c r="C215" s="386" t="str">
        <f t="shared" ref="C215:C223" si="109">CONCATENATE(B215,"-&gt;",A215)</f>
        <v>BL32-&gt;PV1-60</v>
      </c>
      <c r="D215" s="386">
        <f>953.222-951.672</f>
        <v>1.5499999999999545</v>
      </c>
      <c r="E215" s="386" t="s">
        <v>1479</v>
      </c>
      <c r="F215" s="386">
        <v>9.9</v>
      </c>
      <c r="G215" s="386"/>
      <c r="H215" s="386" t="s">
        <v>1422</v>
      </c>
      <c r="I215" s="387" t="str">
        <f t="shared" si="105"/>
        <v>BOCA DE LOBO PROJETADA DUPLA</v>
      </c>
      <c r="J215" s="396">
        <f t="shared" ref="J215:J223" si="110">IF(E215="EXISTENTE",1,0)</f>
        <v>1</v>
      </c>
      <c r="K215" s="396">
        <v>400</v>
      </c>
      <c r="L215" s="396" t="str">
        <f t="shared" ref="L215:L223" si="111">IF(G215&lt;&gt;"",IF(H215&lt;&gt;"","AMPLIADA","EXISTENTE"),"PROJETADA")</f>
        <v>PROJETADA</v>
      </c>
      <c r="N215"/>
      <c r="O215"/>
      <c r="P215" s="148">
        <f t="shared" si="94"/>
        <v>0</v>
      </c>
    </row>
    <row r="216" spans="1:16" customFormat="1" ht="28" x14ac:dyDescent="0.3">
      <c r="A216" s="386" t="s">
        <v>1645</v>
      </c>
      <c r="B216" s="386" t="s">
        <v>1473</v>
      </c>
      <c r="C216" s="386" t="str">
        <f t="shared" si="109"/>
        <v>BL33-&gt;PV2-61</v>
      </c>
      <c r="D216" s="386">
        <f>950.84-948.97</f>
        <v>1.8700000000000045</v>
      </c>
      <c r="E216" s="386" t="s">
        <v>1479</v>
      </c>
      <c r="F216" s="386">
        <v>10.74</v>
      </c>
      <c r="G216" s="386"/>
      <c r="H216" s="386" t="s">
        <v>1422</v>
      </c>
      <c r="I216" s="387" t="str">
        <f t="shared" si="105"/>
        <v>BOCA DE LOBO PROJETADA DUPLA</v>
      </c>
      <c r="J216" s="396">
        <f t="shared" si="110"/>
        <v>1</v>
      </c>
      <c r="K216" s="396">
        <v>400</v>
      </c>
      <c r="L216" s="396" t="str">
        <f t="shared" si="111"/>
        <v>PROJETADA</v>
      </c>
      <c r="P216" s="148">
        <f t="shared" si="94"/>
        <v>0</v>
      </c>
    </row>
    <row r="217" spans="1:16" customFormat="1" ht="28" x14ac:dyDescent="0.3">
      <c r="A217" s="386" t="s">
        <v>1646</v>
      </c>
      <c r="B217" s="386" t="s">
        <v>1475</v>
      </c>
      <c r="C217" s="386" t="str">
        <f t="shared" si="109"/>
        <v>BL34-&gt;PV3-63</v>
      </c>
      <c r="D217" s="386">
        <f>950.5-948.6</f>
        <v>1.8999999999999773</v>
      </c>
      <c r="E217" s="386" t="s">
        <v>1479</v>
      </c>
      <c r="F217" s="148">
        <v>4.84</v>
      </c>
      <c r="G217" s="148"/>
      <c r="H217" s="386" t="s">
        <v>1422</v>
      </c>
      <c r="I217" s="387" t="str">
        <f t="shared" si="105"/>
        <v>BOCA DE LOBO PROJETADA DUPLA</v>
      </c>
      <c r="J217" s="396">
        <f t="shared" si="110"/>
        <v>1</v>
      </c>
      <c r="K217" s="396">
        <v>400</v>
      </c>
      <c r="L217" s="396" t="str">
        <f t="shared" si="111"/>
        <v>PROJETADA</v>
      </c>
      <c r="P217" s="148">
        <f t="shared" si="94"/>
        <v>0</v>
      </c>
    </row>
    <row r="218" spans="1:16" customFormat="1" ht="28" x14ac:dyDescent="0.3">
      <c r="A218" s="386" t="s">
        <v>1647</v>
      </c>
      <c r="B218" s="386" t="s">
        <v>1476</v>
      </c>
      <c r="C218" s="386" t="str">
        <f t="shared" si="109"/>
        <v>BL35-&gt;PV4-63</v>
      </c>
      <c r="D218" s="386">
        <f>948.01-946.12</f>
        <v>1.8899999999999864</v>
      </c>
      <c r="E218" s="386" t="s">
        <v>1479</v>
      </c>
      <c r="F218" s="148">
        <v>5.47</v>
      </c>
      <c r="G218" s="148"/>
      <c r="H218" s="386" t="s">
        <v>1422</v>
      </c>
      <c r="I218" s="387" t="str">
        <f t="shared" si="105"/>
        <v>BOCA DE LOBO PROJETADA DUPLA</v>
      </c>
      <c r="J218" s="396">
        <f t="shared" si="110"/>
        <v>1</v>
      </c>
      <c r="K218" s="396">
        <v>400</v>
      </c>
      <c r="L218" s="396" t="str">
        <f t="shared" si="111"/>
        <v>PROJETADA</v>
      </c>
      <c r="N218" s="388"/>
      <c r="P218" s="148">
        <f t="shared" si="94"/>
        <v>0</v>
      </c>
    </row>
    <row r="219" spans="1:16" customFormat="1" ht="28" x14ac:dyDescent="0.3">
      <c r="A219" s="401" t="s">
        <v>1648</v>
      </c>
      <c r="B219" s="386" t="s">
        <v>1478</v>
      </c>
      <c r="C219" s="386" t="str">
        <f t="shared" si="109"/>
        <v>BL36-&gt;PV5-63</v>
      </c>
      <c r="D219" s="148">
        <f>946.31-944.38</f>
        <v>1.92999999999995</v>
      </c>
      <c r="E219" s="386" t="s">
        <v>1479</v>
      </c>
      <c r="F219" s="148">
        <v>2.97</v>
      </c>
      <c r="G219" s="148"/>
      <c r="H219" s="386" t="s">
        <v>1422</v>
      </c>
      <c r="I219" s="387" t="str">
        <f t="shared" si="105"/>
        <v>BOCA DE LOBO PROJETADA DUPLA</v>
      </c>
      <c r="J219" s="396">
        <f t="shared" si="110"/>
        <v>1</v>
      </c>
      <c r="K219" s="396">
        <v>400</v>
      </c>
      <c r="L219" s="396" t="str">
        <f t="shared" si="111"/>
        <v>PROJETADA</v>
      </c>
      <c r="N219" s="388"/>
      <c r="P219" s="148">
        <f t="shared" si="94"/>
        <v>0</v>
      </c>
    </row>
    <row r="220" spans="1:16" s="395" customFormat="1" ht="28" x14ac:dyDescent="0.3">
      <c r="A220" s="386" t="s">
        <v>1649</v>
      </c>
      <c r="B220" s="386" t="s">
        <v>1482</v>
      </c>
      <c r="C220" s="386" t="str">
        <f t="shared" si="109"/>
        <v>BL37-&gt;PV1-.64</v>
      </c>
      <c r="D220" s="386">
        <f>946.6-944.85</f>
        <v>1.75</v>
      </c>
      <c r="E220" s="386" t="s">
        <v>1479</v>
      </c>
      <c r="F220" s="386">
        <v>5.76</v>
      </c>
      <c r="G220" s="386"/>
      <c r="H220" s="386" t="s">
        <v>1422</v>
      </c>
      <c r="I220" s="387" t="str">
        <f t="shared" si="105"/>
        <v>BOCA DE LOBO PROJETADA DUPLA</v>
      </c>
      <c r="J220" s="396">
        <f t="shared" si="110"/>
        <v>1</v>
      </c>
      <c r="K220" s="396">
        <v>400</v>
      </c>
      <c r="L220" s="396" t="str">
        <f t="shared" si="111"/>
        <v>PROJETADA</v>
      </c>
      <c r="N220" s="402"/>
      <c r="P220" s="148">
        <f t="shared" si="94"/>
        <v>0</v>
      </c>
    </row>
    <row r="221" spans="1:16" customFormat="1" ht="28" x14ac:dyDescent="0.3">
      <c r="A221" s="401" t="s">
        <v>1650</v>
      </c>
      <c r="B221" s="386" t="s">
        <v>1485</v>
      </c>
      <c r="C221" s="386" t="str">
        <f t="shared" si="109"/>
        <v>BL38-&gt;PV1-65</v>
      </c>
      <c r="D221" s="148">
        <f>944.15-942.65</f>
        <v>1.5</v>
      </c>
      <c r="E221" s="386" t="s">
        <v>1479</v>
      </c>
      <c r="F221" s="148">
        <v>4.9400000000000004</v>
      </c>
      <c r="G221" s="148"/>
      <c r="H221" s="386" t="s">
        <v>1422</v>
      </c>
      <c r="I221" s="387" t="str">
        <f t="shared" si="105"/>
        <v>BOCA DE LOBO PROJETADA DUPLA</v>
      </c>
      <c r="J221" s="396">
        <f t="shared" si="110"/>
        <v>1</v>
      </c>
      <c r="K221" s="396">
        <v>500</v>
      </c>
      <c r="L221" s="396" t="str">
        <f t="shared" si="111"/>
        <v>PROJETADA</v>
      </c>
      <c r="N221" s="388"/>
      <c r="P221" s="148">
        <f t="shared" si="94"/>
        <v>0</v>
      </c>
    </row>
    <row r="222" spans="1:16" customFormat="1" ht="28" x14ac:dyDescent="0.3">
      <c r="A222" s="401" t="s">
        <v>1651</v>
      </c>
      <c r="B222" s="386" t="s">
        <v>1487</v>
      </c>
      <c r="C222" s="386" t="str">
        <f t="shared" si="109"/>
        <v>BL39-&gt;PV2-65</v>
      </c>
      <c r="D222" s="148">
        <f>944.29-942.25</f>
        <v>2.0399999999999636</v>
      </c>
      <c r="E222" s="386" t="s">
        <v>1479</v>
      </c>
      <c r="F222" s="148">
        <v>5.09</v>
      </c>
      <c r="G222" s="148"/>
      <c r="H222" s="386" t="s">
        <v>1422</v>
      </c>
      <c r="I222" s="387" t="str">
        <f t="shared" si="105"/>
        <v>BOCA DE LOBO PROJETADA DUPLA</v>
      </c>
      <c r="J222" s="396">
        <f t="shared" si="110"/>
        <v>1</v>
      </c>
      <c r="K222" s="396">
        <v>500</v>
      </c>
      <c r="L222" s="396" t="str">
        <f t="shared" si="111"/>
        <v>PROJETADA</v>
      </c>
      <c r="N222" s="388"/>
      <c r="P222" s="148">
        <f t="shared" si="94"/>
        <v>0</v>
      </c>
    </row>
    <row r="223" spans="1:16" customFormat="1" ht="28" x14ac:dyDescent="0.3">
      <c r="A223" s="401" t="s">
        <v>1652</v>
      </c>
      <c r="B223" s="386" t="s">
        <v>1490</v>
      </c>
      <c r="C223" s="386" t="str">
        <f t="shared" si="109"/>
        <v>BL40-&gt;PV1-66</v>
      </c>
      <c r="D223" s="148">
        <f>943.7-941.85</f>
        <v>1.8500000000000227</v>
      </c>
      <c r="E223" s="386" t="s">
        <v>1479</v>
      </c>
      <c r="F223" s="148">
        <v>3.22</v>
      </c>
      <c r="G223" s="148"/>
      <c r="H223" s="386" t="s">
        <v>1422</v>
      </c>
      <c r="I223" s="387" t="str">
        <f t="shared" si="105"/>
        <v>BOCA DE LOBO PROJETADA DUPLA</v>
      </c>
      <c r="J223" s="396">
        <f t="shared" si="110"/>
        <v>1</v>
      </c>
      <c r="K223" s="396">
        <v>500</v>
      </c>
      <c r="L223" s="396" t="str">
        <f t="shared" si="111"/>
        <v>PROJETADA</v>
      </c>
      <c r="N223" s="388"/>
      <c r="P223" s="148">
        <f t="shared" si="94"/>
        <v>0</v>
      </c>
    </row>
    <row r="224" spans="1:16" s="358" customFormat="1" ht="14" x14ac:dyDescent="0.3">
      <c r="A224" s="593"/>
      <c r="B224" s="593"/>
      <c r="C224" s="594"/>
      <c r="D224" s="593"/>
      <c r="E224" s="593" t="s">
        <v>5</v>
      </c>
      <c r="F224" s="593">
        <f>SUM(F178:F223)</f>
        <v>221.30500000000004</v>
      </c>
      <c r="G224" s="593"/>
      <c r="H224" s="593"/>
      <c r="I224" s="595"/>
      <c r="J224" s="593"/>
      <c r="K224" s="595"/>
      <c r="L224" s="593"/>
      <c r="N224" s="591"/>
    </row>
    <row r="225" spans="1:16" x14ac:dyDescent="0.35">
      <c r="A225" s="592"/>
      <c r="B225" s="592"/>
      <c r="C225" s="592"/>
      <c r="D225" s="592"/>
      <c r="E225" s="592"/>
      <c r="F225" s="592"/>
      <c r="G225" s="592"/>
      <c r="H225" s="592"/>
      <c r="I225" s="592"/>
      <c r="J225" s="592"/>
      <c r="K225" s="592"/>
      <c r="L225" s="592"/>
    </row>
    <row r="226" spans="1:16" x14ac:dyDescent="0.35">
      <c r="A226" s="955" t="s">
        <v>1653</v>
      </c>
      <c r="B226" s="955"/>
      <c r="C226" s="955"/>
      <c r="D226" s="955"/>
      <c r="E226" s="955"/>
      <c r="F226" s="955"/>
      <c r="G226" s="955"/>
      <c r="H226" s="955"/>
      <c r="I226" s="955"/>
      <c r="J226" s="955"/>
      <c r="K226" s="955"/>
      <c r="L226" s="955"/>
    </row>
    <row r="227" spans="1:16" customFormat="1" ht="43.5" x14ac:dyDescent="0.35">
      <c r="A227" s="383" t="s">
        <v>1390</v>
      </c>
      <c r="B227" s="383" t="s">
        <v>1391</v>
      </c>
      <c r="C227" s="383" t="s">
        <v>1392</v>
      </c>
      <c r="D227" s="150" t="s">
        <v>1623</v>
      </c>
      <c r="E227" s="383" t="s">
        <v>1394</v>
      </c>
      <c r="F227" s="150" t="s">
        <v>1395</v>
      </c>
      <c r="G227" s="150" t="s">
        <v>1624</v>
      </c>
      <c r="H227" s="150" t="s">
        <v>1625</v>
      </c>
      <c r="I227" s="383" t="s">
        <v>1398</v>
      </c>
      <c r="J227" s="150" t="s">
        <v>1399</v>
      </c>
      <c r="K227" s="150" t="s">
        <v>1580</v>
      </c>
      <c r="L227" s="150" t="s">
        <v>1401</v>
      </c>
      <c r="M227" s="389"/>
      <c r="N227" s="385" t="s">
        <v>1402</v>
      </c>
      <c r="O227" s="146" t="s">
        <v>5</v>
      </c>
      <c r="P227" s="146" t="s">
        <v>1403</v>
      </c>
    </row>
    <row r="228" spans="1:16" customFormat="1" ht="42" x14ac:dyDescent="0.35">
      <c r="A228" s="383" t="s">
        <v>1404</v>
      </c>
      <c r="B228" s="383"/>
      <c r="C228" s="383"/>
      <c r="D228" s="383"/>
      <c r="E228" s="383"/>
      <c r="F228" s="150"/>
      <c r="G228" s="150"/>
      <c r="H228" s="383"/>
      <c r="I228" s="383"/>
      <c r="J228" s="150"/>
      <c r="K228" s="150"/>
      <c r="L228" s="150"/>
      <c r="M228" s="389"/>
      <c r="N228" s="394" t="s">
        <v>1405</v>
      </c>
      <c r="O228" s="148">
        <f>COUNTIF($I$229:$I$324,N228)</f>
        <v>0</v>
      </c>
      <c r="P228" s="148">
        <f t="shared" ref="P228:P301" si="112">IF(AND(E228="PROJETADO",G228&lt;&gt;""),F228/2*(PI()*0.519*0.519/4-PI()*0.4*0.4/4),0)</f>
        <v>0</v>
      </c>
    </row>
    <row r="229" spans="1:16" customFormat="1" ht="42" x14ac:dyDescent="0.3">
      <c r="A229" s="386" t="s">
        <v>1406</v>
      </c>
      <c r="B229" s="386" t="s">
        <v>1407</v>
      </c>
      <c r="C229" s="386" t="str">
        <f t="shared" ref="C229:C275" si="113">CONCATENATE(B229,"-&gt;",A229)</f>
        <v>BL1-&gt;PV1.1</v>
      </c>
      <c r="D229" s="386">
        <v>3</v>
      </c>
      <c r="E229" s="386" t="s">
        <v>1408</v>
      </c>
      <c r="F229" s="386">
        <v>7.16</v>
      </c>
      <c r="G229" s="386" t="s">
        <v>1422</v>
      </c>
      <c r="H229" s="386"/>
      <c r="I229" s="387" t="str">
        <f t="shared" ref="I229:I281" si="114">IF(G229="","BOCA DE LOBO PROJETADA "&amp;H229,IF(H229="","BOCA DE LOBO EXISTENTE "&amp;G229,"BOCA DE LOBO "&amp;G229&amp;" EXISTENTE COM BOCA DE LOBO "&amp;H229&amp;" PROJETADA"))</f>
        <v>BOCA DE LOBO EXISTENTE DUPLA</v>
      </c>
      <c r="J229" s="396">
        <f t="shared" ref="J229:J275" si="115">IF(E229="EXISTENTE",1,0)</f>
        <v>0</v>
      </c>
      <c r="K229" s="396"/>
      <c r="L229" s="396" t="str">
        <f t="shared" ref="L229:L302" si="116">IF(G229&lt;&gt;"",IF(H229&lt;&gt;"","AMPLIADA","EXISTENTE"),"PROJETADA")</f>
        <v>EXISTENTE</v>
      </c>
      <c r="N229" s="394" t="s">
        <v>1410</v>
      </c>
      <c r="O229" s="148">
        <f t="shared" ref="O229:O240" si="117">COUNTIF($I$229:$I$325,N229)</f>
        <v>22</v>
      </c>
      <c r="P229" s="148">
        <f t="shared" si="112"/>
        <v>0.30749310419936388</v>
      </c>
    </row>
    <row r="230" spans="1:16" customFormat="1" ht="42" x14ac:dyDescent="0.3">
      <c r="A230" s="386" t="s">
        <v>1406</v>
      </c>
      <c r="B230" s="386" t="s">
        <v>1412</v>
      </c>
      <c r="C230" s="386" t="str">
        <f t="shared" si="113"/>
        <v>BL2-&gt;PV1.1</v>
      </c>
      <c r="D230" s="386">
        <v>3</v>
      </c>
      <c r="E230" s="386" t="s">
        <v>1408</v>
      </c>
      <c r="F230" s="386">
        <v>8.57</v>
      </c>
      <c r="G230" s="386" t="s">
        <v>1425</v>
      </c>
      <c r="H230" s="386" t="s">
        <v>1425</v>
      </c>
      <c r="I230" s="387" t="str">
        <f t="shared" si="114"/>
        <v>BOCA DE LOBO SIMPLES EXISTENTE COM BOCA DE LOBO SIMPLES PROJETADA</v>
      </c>
      <c r="J230" s="396">
        <f t="shared" si="115"/>
        <v>0</v>
      </c>
      <c r="K230" s="396"/>
      <c r="L230" s="396" t="str">
        <f t="shared" si="116"/>
        <v>AMPLIADA</v>
      </c>
      <c r="N230" s="394" t="s">
        <v>1413</v>
      </c>
      <c r="O230" s="148">
        <f t="shared" si="117"/>
        <v>0</v>
      </c>
      <c r="P230" s="148">
        <f t="shared" si="112"/>
        <v>0.36804691382521626</v>
      </c>
    </row>
    <row r="231" spans="1:16" customFormat="1" ht="42" x14ac:dyDescent="0.3">
      <c r="A231" s="386" t="s">
        <v>1411</v>
      </c>
      <c r="B231" s="386" t="s">
        <v>1417</v>
      </c>
      <c r="C231" s="386" t="str">
        <f t="shared" si="113"/>
        <v>BL3-&gt;PV3.1</v>
      </c>
      <c r="D231" s="386">
        <v>3.35</v>
      </c>
      <c r="E231" s="386" t="s">
        <v>1408</v>
      </c>
      <c r="F231" s="386">
        <v>6.6</v>
      </c>
      <c r="G231" s="386" t="s">
        <v>1409</v>
      </c>
      <c r="H231" s="386"/>
      <c r="I231" s="387" t="str">
        <f t="shared" si="114"/>
        <v>BOCA DE LOBO EXISTENTE TRIPLA</v>
      </c>
      <c r="J231" s="396">
        <f t="shared" si="115"/>
        <v>0</v>
      </c>
      <c r="K231" s="396"/>
      <c r="L231" s="396" t="str">
        <f t="shared" si="116"/>
        <v>EXISTENTE</v>
      </c>
      <c r="N231" s="394" t="s">
        <v>1415</v>
      </c>
      <c r="O231" s="148">
        <f t="shared" si="117"/>
        <v>2</v>
      </c>
      <c r="P231" s="148">
        <f t="shared" si="112"/>
        <v>0.28344336420611754</v>
      </c>
    </row>
    <row r="232" spans="1:16" customFormat="1" ht="42" x14ac:dyDescent="0.3">
      <c r="A232" s="386" t="s">
        <v>1411</v>
      </c>
      <c r="B232" s="386" t="s">
        <v>1419</v>
      </c>
      <c r="C232" s="386" t="str">
        <f t="shared" si="113"/>
        <v>BL4-&gt;PV3.1</v>
      </c>
      <c r="D232" s="386">
        <v>3.35</v>
      </c>
      <c r="E232" s="386" t="s">
        <v>1408</v>
      </c>
      <c r="F232" s="386">
        <v>6.86</v>
      </c>
      <c r="G232" s="386" t="s">
        <v>1425</v>
      </c>
      <c r="H232" s="386" t="s">
        <v>1425</v>
      </c>
      <c r="I232" s="387" t="str">
        <f t="shared" si="114"/>
        <v>BOCA DE LOBO SIMPLES EXISTENTE COM BOCA DE LOBO SIMPLES PROJETADA</v>
      </c>
      <c r="J232" s="396">
        <f t="shared" si="115"/>
        <v>0</v>
      </c>
      <c r="K232" s="396"/>
      <c r="L232" s="396" t="str">
        <f t="shared" si="116"/>
        <v>AMPLIADA</v>
      </c>
      <c r="N232" s="394" t="s">
        <v>1418</v>
      </c>
      <c r="O232" s="148">
        <f t="shared" si="117"/>
        <v>0</v>
      </c>
      <c r="P232" s="148">
        <f t="shared" si="112"/>
        <v>0.29460931491726761</v>
      </c>
    </row>
    <row r="233" spans="1:16" customFormat="1" ht="42" x14ac:dyDescent="0.3">
      <c r="A233" s="386" t="s">
        <v>1435</v>
      </c>
      <c r="B233" s="386" t="s">
        <v>1423</v>
      </c>
      <c r="C233" s="386" t="str">
        <f t="shared" si="113"/>
        <v>BL5-&gt;PV5.1</v>
      </c>
      <c r="D233" s="386">
        <v>3.44</v>
      </c>
      <c r="E233" s="386" t="s">
        <v>1408</v>
      </c>
      <c r="F233" s="386">
        <v>6.56</v>
      </c>
      <c r="G233" s="386"/>
      <c r="H233" s="386" t="s">
        <v>1422</v>
      </c>
      <c r="I233" s="387" t="str">
        <f t="shared" si="114"/>
        <v>BOCA DE LOBO PROJETADA DUPLA</v>
      </c>
      <c r="J233" s="396">
        <f t="shared" si="115"/>
        <v>0</v>
      </c>
      <c r="K233" s="396"/>
      <c r="L233" s="396" t="str">
        <f t="shared" si="116"/>
        <v>PROJETADA</v>
      </c>
      <c r="N233" s="394" t="s">
        <v>1416</v>
      </c>
      <c r="O233" s="148">
        <f t="shared" si="117"/>
        <v>0</v>
      </c>
      <c r="P233" s="148">
        <f t="shared" si="112"/>
        <v>0</v>
      </c>
    </row>
    <row r="234" spans="1:16" customFormat="1" ht="42" x14ac:dyDescent="0.3">
      <c r="A234" s="386" t="s">
        <v>1435</v>
      </c>
      <c r="B234" s="386" t="s">
        <v>1426</v>
      </c>
      <c r="C234" s="386" t="str">
        <f t="shared" si="113"/>
        <v>BL6-&gt;PV5.1</v>
      </c>
      <c r="D234" s="386">
        <v>3.44</v>
      </c>
      <c r="E234" s="386" t="s">
        <v>1408</v>
      </c>
      <c r="F234" s="386">
        <v>6.86</v>
      </c>
      <c r="G234" s="386" t="s">
        <v>1422</v>
      </c>
      <c r="H234" s="386"/>
      <c r="I234" s="387" t="str">
        <f t="shared" si="114"/>
        <v>BOCA DE LOBO EXISTENTE DUPLA</v>
      </c>
      <c r="J234" s="396">
        <f t="shared" si="115"/>
        <v>0</v>
      </c>
      <c r="K234" s="396"/>
      <c r="L234" s="396" t="str">
        <f t="shared" si="116"/>
        <v>EXISTENTE</v>
      </c>
      <c r="N234" s="394" t="s">
        <v>1420</v>
      </c>
      <c r="O234" s="148">
        <f t="shared" si="117"/>
        <v>0</v>
      </c>
      <c r="P234" s="148">
        <f t="shared" si="112"/>
        <v>0.29460931491726761</v>
      </c>
    </row>
    <row r="235" spans="1:16" customFormat="1" ht="42" x14ac:dyDescent="0.3">
      <c r="A235" s="386" t="s">
        <v>1442</v>
      </c>
      <c r="B235" s="386" t="s">
        <v>1428</v>
      </c>
      <c r="C235" s="386" t="str">
        <f t="shared" si="113"/>
        <v>BL7-&gt;PV7.1</v>
      </c>
      <c r="D235" s="386">
        <v>3.44</v>
      </c>
      <c r="E235" s="386" t="s">
        <v>1408</v>
      </c>
      <c r="F235" s="386">
        <v>6.3</v>
      </c>
      <c r="G235" s="386"/>
      <c r="H235" s="386" t="s">
        <v>1422</v>
      </c>
      <c r="I235" s="387" t="str">
        <f t="shared" si="114"/>
        <v>BOCA DE LOBO PROJETADA DUPLA</v>
      </c>
      <c r="J235" s="396">
        <f t="shared" si="115"/>
        <v>0</v>
      </c>
      <c r="K235" s="396"/>
      <c r="L235" s="396" t="str">
        <f t="shared" si="116"/>
        <v>PROJETADA</v>
      </c>
      <c r="N235" s="394" t="s">
        <v>1424</v>
      </c>
      <c r="O235" s="148">
        <f t="shared" si="117"/>
        <v>0</v>
      </c>
      <c r="P235" s="148">
        <f t="shared" si="112"/>
        <v>0</v>
      </c>
    </row>
    <row r="236" spans="1:16" customFormat="1" ht="42" x14ac:dyDescent="0.3">
      <c r="A236" s="386" t="s">
        <v>1442</v>
      </c>
      <c r="B236" s="386" t="s">
        <v>1430</v>
      </c>
      <c r="C236" s="386" t="str">
        <f t="shared" si="113"/>
        <v>BL8-&gt;PV7.1</v>
      </c>
      <c r="D236" s="386">
        <v>3.44</v>
      </c>
      <c r="E236" s="386" t="s">
        <v>1408</v>
      </c>
      <c r="F236" s="386">
        <v>6.63</v>
      </c>
      <c r="G236" s="386"/>
      <c r="H236" s="386" t="s">
        <v>1422</v>
      </c>
      <c r="I236" s="387" t="str">
        <f t="shared" si="114"/>
        <v>BOCA DE LOBO PROJETADA DUPLA</v>
      </c>
      <c r="J236" s="396">
        <f t="shared" si="115"/>
        <v>0</v>
      </c>
      <c r="K236" s="396"/>
      <c r="L236" s="396" t="str">
        <f t="shared" si="116"/>
        <v>PROJETADA</v>
      </c>
      <c r="N236" s="394" t="s">
        <v>1427</v>
      </c>
      <c r="O236" s="148">
        <f t="shared" si="117"/>
        <v>0</v>
      </c>
      <c r="P236" s="148">
        <f t="shared" si="112"/>
        <v>0</v>
      </c>
    </row>
    <row r="237" spans="1:16" customFormat="1" ht="28" x14ac:dyDescent="0.3">
      <c r="A237" s="386" t="s">
        <v>1449</v>
      </c>
      <c r="B237" s="386" t="s">
        <v>1433</v>
      </c>
      <c r="C237" s="386" t="str">
        <f t="shared" si="113"/>
        <v>BL9-&gt;PV9.1</v>
      </c>
      <c r="D237" s="386">
        <v>3.47</v>
      </c>
      <c r="E237" s="386" t="s">
        <v>1408</v>
      </c>
      <c r="F237" s="386">
        <v>6.86</v>
      </c>
      <c r="G237" s="386"/>
      <c r="H237" s="386" t="s">
        <v>1422</v>
      </c>
      <c r="I237" s="387" t="str">
        <f t="shared" si="114"/>
        <v>BOCA DE LOBO PROJETADA DUPLA</v>
      </c>
      <c r="J237" s="396">
        <f t="shared" si="115"/>
        <v>0</v>
      </c>
      <c r="K237" s="396"/>
      <c r="L237" s="396" t="str">
        <f t="shared" si="116"/>
        <v>PROJETADA</v>
      </c>
      <c r="N237" s="394" t="s">
        <v>1429</v>
      </c>
      <c r="O237" s="148">
        <f t="shared" si="117"/>
        <v>0</v>
      </c>
      <c r="P237" s="148">
        <f t="shared" si="112"/>
        <v>0</v>
      </c>
    </row>
    <row r="238" spans="1:16" customFormat="1" ht="28" x14ac:dyDescent="0.3">
      <c r="A238" s="386" t="s">
        <v>1449</v>
      </c>
      <c r="B238" s="386" t="s">
        <v>1436</v>
      </c>
      <c r="C238" s="386" t="str">
        <f>CONCATENATE(B238,"-&gt;",A238)</f>
        <v>BL10-&gt;PV9.1</v>
      </c>
      <c r="D238" s="386">
        <v>3.47</v>
      </c>
      <c r="E238" s="386" t="s">
        <v>1408</v>
      </c>
      <c r="F238" s="386">
        <v>7.78</v>
      </c>
      <c r="G238" s="386" t="s">
        <v>1422</v>
      </c>
      <c r="H238" s="386"/>
      <c r="I238" s="387" t="str">
        <f t="shared" si="114"/>
        <v>BOCA DE LOBO EXISTENTE DUPLA</v>
      </c>
      <c r="J238" s="396">
        <f>IF(E238="EXISTENTE",1,0)</f>
        <v>0</v>
      </c>
      <c r="K238" s="396"/>
      <c r="L238" s="396" t="str">
        <f>IF(G238&lt;&gt;"",IF(H238&lt;&gt;"","AMPLIADA","EXISTENTE"),"PROJETADA")</f>
        <v>EXISTENTE</v>
      </c>
      <c r="N238" s="394" t="s">
        <v>1431</v>
      </c>
      <c r="O238" s="148">
        <f t="shared" si="117"/>
        <v>31</v>
      </c>
      <c r="P238" s="148">
        <f>IF(AND(E238="PROJETADO",G238&lt;&gt;""),F238/2*(PI()*0.519*0.519/4-PI()*0.4*0.4/4),0)</f>
        <v>0.33411960204902946</v>
      </c>
    </row>
    <row r="239" spans="1:16" customFormat="1" ht="28" x14ac:dyDescent="0.3">
      <c r="A239" s="386" t="s">
        <v>1455</v>
      </c>
      <c r="B239" s="386" t="s">
        <v>1437</v>
      </c>
      <c r="C239" s="386" t="str">
        <f t="shared" si="113"/>
        <v>BL11-&gt;PV11.1</v>
      </c>
      <c r="D239" s="386">
        <v>3.67</v>
      </c>
      <c r="E239" s="386" t="s">
        <v>1408</v>
      </c>
      <c r="F239" s="386">
        <v>7.67</v>
      </c>
      <c r="G239" s="386"/>
      <c r="H239" s="386" t="s">
        <v>1422</v>
      </c>
      <c r="I239" s="387" t="str">
        <f t="shared" si="114"/>
        <v>BOCA DE LOBO PROJETADA DUPLA</v>
      </c>
      <c r="J239" s="396">
        <f t="shared" si="115"/>
        <v>0</v>
      </c>
      <c r="K239" s="396"/>
      <c r="L239" s="396" t="str">
        <f t="shared" si="116"/>
        <v>PROJETADA</v>
      </c>
      <c r="N239" s="394" t="s">
        <v>1434</v>
      </c>
      <c r="O239" s="148">
        <f t="shared" si="117"/>
        <v>4</v>
      </c>
      <c r="P239" s="148">
        <f t="shared" si="112"/>
        <v>0</v>
      </c>
    </row>
    <row r="240" spans="1:16" customFormat="1" ht="28" x14ac:dyDescent="0.3">
      <c r="A240" s="386" t="s">
        <v>1455</v>
      </c>
      <c r="B240" s="386" t="s">
        <v>1439</v>
      </c>
      <c r="C240" s="386" t="str">
        <f>CONCATENATE(B240,"-&gt;",A240)</f>
        <v>BL12-&gt;PV11.1</v>
      </c>
      <c r="D240" s="386">
        <v>3.67</v>
      </c>
      <c r="E240" s="386" t="s">
        <v>1408</v>
      </c>
      <c r="F240" s="386">
        <v>6.22</v>
      </c>
      <c r="G240" s="386"/>
      <c r="H240" s="386" t="s">
        <v>1422</v>
      </c>
      <c r="I240" s="387" t="str">
        <f t="shared" si="114"/>
        <v>BOCA DE LOBO PROJETADA DUPLA</v>
      </c>
      <c r="J240" s="396">
        <f>IF(E240="EXISTENTE",1,0)</f>
        <v>0</v>
      </c>
      <c r="K240" s="396"/>
      <c r="L240" s="396" t="str">
        <f>IF(G240&lt;&gt;"",IF(H240&lt;&gt;"","AMPLIADA","EXISTENTE"),"PROJETADA")</f>
        <v>PROJETADA</v>
      </c>
      <c r="N240" s="394" t="s">
        <v>1438</v>
      </c>
      <c r="O240" s="148">
        <f t="shared" si="117"/>
        <v>0</v>
      </c>
      <c r="P240" s="148">
        <f>IF(AND(E240="PROJETADO",G240&lt;&gt;""),F240/2*(PI()*0.519*0.519/4-PI()*0.4*0.4/4),0)</f>
        <v>0</v>
      </c>
    </row>
    <row r="241" spans="1:16" customFormat="1" ht="28.5" x14ac:dyDescent="0.35">
      <c r="A241" s="386" t="s">
        <v>1460</v>
      </c>
      <c r="B241" s="386" t="s">
        <v>1441</v>
      </c>
      <c r="C241" s="386" t="str">
        <f t="shared" si="113"/>
        <v>BL13-&gt;PV13.1</v>
      </c>
      <c r="D241" s="386">
        <v>3.67</v>
      </c>
      <c r="E241" s="386" t="s">
        <v>1408</v>
      </c>
      <c r="F241" s="386">
        <v>9.4</v>
      </c>
      <c r="G241" s="386" t="s">
        <v>1422</v>
      </c>
      <c r="H241" s="386"/>
      <c r="I241" s="387" t="str">
        <f t="shared" si="114"/>
        <v>BOCA DE LOBO EXISTENTE DUPLA</v>
      </c>
      <c r="J241" s="396">
        <f t="shared" si="115"/>
        <v>0</v>
      </c>
      <c r="K241" s="396"/>
      <c r="L241" s="396" t="str">
        <f t="shared" si="116"/>
        <v>EXISTENTE</v>
      </c>
      <c r="N241" s="377" t="s">
        <v>5</v>
      </c>
      <c r="O241" s="397">
        <f>SUM(O228:O240)</f>
        <v>59</v>
      </c>
      <c r="P241" s="148">
        <f t="shared" si="112"/>
        <v>0.40369206417234921</v>
      </c>
    </row>
    <row r="242" spans="1:16" customFormat="1" ht="29" x14ac:dyDescent="0.35">
      <c r="A242" s="386" t="s">
        <v>1460</v>
      </c>
      <c r="B242" s="386" t="s">
        <v>1444</v>
      </c>
      <c r="C242" s="386" t="str">
        <f t="shared" si="113"/>
        <v>BL14-&gt;PV13.1</v>
      </c>
      <c r="D242" s="386">
        <v>3.67</v>
      </c>
      <c r="E242" s="386" t="s">
        <v>1408</v>
      </c>
      <c r="F242" s="386">
        <v>6.22</v>
      </c>
      <c r="G242" s="386" t="s">
        <v>1422</v>
      </c>
      <c r="H242" s="386"/>
      <c r="I242" s="387" t="str">
        <f t="shared" si="114"/>
        <v>BOCA DE LOBO EXISTENTE DUPLA</v>
      </c>
      <c r="J242" s="396">
        <f t="shared" si="115"/>
        <v>0</v>
      </c>
      <c r="K242" s="396"/>
      <c r="L242" s="396" t="str">
        <f t="shared" si="116"/>
        <v>EXISTENTE</v>
      </c>
      <c r="N242" s="377" t="s">
        <v>1443</v>
      </c>
      <c r="O242" s="397">
        <f>SUM(O228:O236)</f>
        <v>24</v>
      </c>
      <c r="P242" s="148">
        <f t="shared" si="112"/>
        <v>0.26712389778212892</v>
      </c>
    </row>
    <row r="243" spans="1:16" customFormat="1" ht="28" x14ac:dyDescent="0.3">
      <c r="A243" s="386" t="s">
        <v>1465</v>
      </c>
      <c r="B243" s="386" t="s">
        <v>1445</v>
      </c>
      <c r="C243" s="386" t="str">
        <f t="shared" si="113"/>
        <v>BL15-&gt;PV15.1</v>
      </c>
      <c r="D243" s="386">
        <v>3.97</v>
      </c>
      <c r="E243" s="386" t="s">
        <v>1408</v>
      </c>
      <c r="F243" s="386">
        <v>4.6399999999999997</v>
      </c>
      <c r="G243" s="386" t="s">
        <v>1422</v>
      </c>
      <c r="H243" s="386"/>
      <c r="I243" s="387" t="str">
        <f t="shared" si="114"/>
        <v>BOCA DE LOBO EXISTENTE DUPLA</v>
      </c>
      <c r="J243" s="396">
        <f t="shared" si="115"/>
        <v>0</v>
      </c>
      <c r="K243" s="396"/>
      <c r="L243" s="396" t="str">
        <f t="shared" si="116"/>
        <v>EXISTENTE</v>
      </c>
      <c r="N243" s="388"/>
      <c r="P243" s="148">
        <f t="shared" si="112"/>
        <v>0.19926927422975535</v>
      </c>
    </row>
    <row r="244" spans="1:16" customFormat="1" ht="28" x14ac:dyDescent="0.3">
      <c r="A244" s="386" t="s">
        <v>1465</v>
      </c>
      <c r="B244" s="386" t="s">
        <v>1446</v>
      </c>
      <c r="C244" s="386" t="str">
        <f>CONCATENATE(B244,"-&gt;",A244)</f>
        <v>BL16-&gt;PV15.1</v>
      </c>
      <c r="D244" s="386">
        <v>3.97</v>
      </c>
      <c r="E244" s="386" t="s">
        <v>1408</v>
      </c>
      <c r="F244" s="386">
        <v>6.71</v>
      </c>
      <c r="G244" s="386" t="s">
        <v>1422</v>
      </c>
      <c r="H244" s="386"/>
      <c r="I244" s="387" t="str">
        <f t="shared" si="114"/>
        <v>BOCA DE LOBO EXISTENTE DUPLA</v>
      </c>
      <c r="J244" s="396">
        <f>IF(E244="EXISTENTE",1,0)</f>
        <v>0</v>
      </c>
      <c r="K244" s="396"/>
      <c r="L244" s="396" t="str">
        <f>IF(G244&lt;&gt;"",IF(H244&lt;&gt;"","AMPLIADA","EXISTENTE"),"PROJETADA")</f>
        <v>EXISTENTE</v>
      </c>
      <c r="N244" s="388"/>
      <c r="P244" s="148">
        <f>IF(AND(E244="PROJETADO",G244&lt;&gt;""),F244/2*(PI()*0.519*0.519/4-PI()*0.4*0.4/4),0)</f>
        <v>0.2881674202762195</v>
      </c>
    </row>
    <row r="245" spans="1:16" customFormat="1" ht="28" x14ac:dyDescent="0.3">
      <c r="A245" s="386" t="s">
        <v>1471</v>
      </c>
      <c r="B245" s="386" t="s">
        <v>1448</v>
      </c>
      <c r="C245" s="386" t="str">
        <f t="shared" ref="C245:C254" si="118">CONCATENATE(B245,"-&gt;",A245)</f>
        <v>BL17-&gt;PV17.1</v>
      </c>
      <c r="D245" s="386">
        <v>3.97</v>
      </c>
      <c r="E245" s="386" t="s">
        <v>1408</v>
      </c>
      <c r="F245" s="386">
        <v>7.62</v>
      </c>
      <c r="G245" s="386" t="s">
        <v>1422</v>
      </c>
      <c r="H245" s="386"/>
      <c r="I245" s="387" t="str">
        <f t="shared" si="114"/>
        <v>BOCA DE LOBO EXISTENTE DUPLA</v>
      </c>
      <c r="J245" s="396">
        <f t="shared" ref="J245:J254" si="119">IF(E245="EXISTENTE",1,0)</f>
        <v>0</v>
      </c>
      <c r="K245" s="396"/>
      <c r="L245" s="396" t="str">
        <f t="shared" ref="L245:L254" si="120">IF(G245&lt;&gt;"",IF(H245&lt;&gt;"","AMPLIADA","EXISTENTE"),"PROJETADA")</f>
        <v>EXISTENTE</v>
      </c>
      <c r="N245" s="388"/>
      <c r="P245" s="148">
        <f t="shared" ref="P245:P254" si="121">IF(AND(E245="PROJETADO",G245&lt;&gt;""),F245/2*(PI()*0.519*0.519/4-PI()*0.4*0.4/4),0)</f>
        <v>0.3272482477652448</v>
      </c>
    </row>
    <row r="246" spans="1:16" customFormat="1" ht="28" x14ac:dyDescent="0.3">
      <c r="A246" s="386" t="s">
        <v>1474</v>
      </c>
      <c r="B246" s="386" t="s">
        <v>1450</v>
      </c>
      <c r="C246" s="386" t="str">
        <f t="shared" si="118"/>
        <v>BL18-&gt;PV18.1</v>
      </c>
      <c r="D246" s="386">
        <v>3.97</v>
      </c>
      <c r="E246" s="386" t="s">
        <v>1408</v>
      </c>
      <c r="F246" s="386">
        <v>6.79</v>
      </c>
      <c r="G246" s="386"/>
      <c r="H246" s="386" t="s">
        <v>1422</v>
      </c>
      <c r="I246" s="387" t="str">
        <f t="shared" si="114"/>
        <v>BOCA DE LOBO PROJETADA DUPLA</v>
      </c>
      <c r="J246" s="396">
        <f t="shared" si="119"/>
        <v>0</v>
      </c>
      <c r="K246" s="396"/>
      <c r="L246" s="396" t="str">
        <f t="shared" si="120"/>
        <v>PROJETADA</v>
      </c>
      <c r="N246" s="388"/>
      <c r="P246" s="148">
        <f t="shared" si="121"/>
        <v>0</v>
      </c>
    </row>
    <row r="247" spans="1:16" customFormat="1" ht="42" x14ac:dyDescent="0.3">
      <c r="A247" s="386" t="s">
        <v>1581</v>
      </c>
      <c r="B247" s="386" t="s">
        <v>1451</v>
      </c>
      <c r="C247" s="386" t="str">
        <f t="shared" si="118"/>
        <v>BL19-&gt;PV20.1</v>
      </c>
      <c r="D247" s="386">
        <v>3.97</v>
      </c>
      <c r="E247" s="386" t="s">
        <v>1408</v>
      </c>
      <c r="F247" s="386">
        <v>3.68</v>
      </c>
      <c r="G247" s="386" t="s">
        <v>1425</v>
      </c>
      <c r="H247" s="386" t="s">
        <v>1425</v>
      </c>
      <c r="I247" s="387" t="str">
        <f t="shared" si="114"/>
        <v>BOCA DE LOBO SIMPLES EXISTENTE COM BOCA DE LOBO SIMPLES PROJETADA</v>
      </c>
      <c r="J247" s="396">
        <f t="shared" si="119"/>
        <v>0</v>
      </c>
      <c r="K247" s="396"/>
      <c r="L247" s="396" t="str">
        <f t="shared" si="120"/>
        <v>AMPLIADA</v>
      </c>
      <c r="N247" s="388"/>
      <c r="P247" s="148">
        <f t="shared" si="121"/>
        <v>0.15804114852704737</v>
      </c>
    </row>
    <row r="248" spans="1:16" customFormat="1" ht="42" x14ac:dyDescent="0.3">
      <c r="A248" s="386" t="s">
        <v>1582</v>
      </c>
      <c r="B248" s="386" t="s">
        <v>1452</v>
      </c>
      <c r="C248" s="386" t="str">
        <f t="shared" si="118"/>
        <v>BL20-&gt;PV21.1</v>
      </c>
      <c r="D248" s="386">
        <v>3.97</v>
      </c>
      <c r="E248" s="386" t="s">
        <v>1408</v>
      </c>
      <c r="F248" s="386">
        <v>3.68</v>
      </c>
      <c r="G248" s="386" t="s">
        <v>1425</v>
      </c>
      <c r="H248" s="386" t="s">
        <v>1425</v>
      </c>
      <c r="I248" s="387" t="str">
        <f t="shared" si="114"/>
        <v>BOCA DE LOBO SIMPLES EXISTENTE COM BOCA DE LOBO SIMPLES PROJETADA</v>
      </c>
      <c r="J248" s="396">
        <f t="shared" si="119"/>
        <v>0</v>
      </c>
      <c r="K248" s="396"/>
      <c r="L248" s="396" t="str">
        <f t="shared" si="120"/>
        <v>AMPLIADA</v>
      </c>
      <c r="N248" s="388"/>
      <c r="P248" s="148">
        <f t="shared" si="121"/>
        <v>0.15804114852704737</v>
      </c>
    </row>
    <row r="249" spans="1:16" customFormat="1" ht="42" x14ac:dyDescent="0.3">
      <c r="A249" s="386" t="s">
        <v>1584</v>
      </c>
      <c r="B249" s="386" t="s">
        <v>1454</v>
      </c>
      <c r="C249" s="386" t="str">
        <f t="shared" si="118"/>
        <v>BL21-&gt;PV23.1</v>
      </c>
      <c r="D249" s="386">
        <v>4.1399999999999997</v>
      </c>
      <c r="E249" s="386" t="s">
        <v>1408</v>
      </c>
      <c r="F249" s="386">
        <v>7.89</v>
      </c>
      <c r="G249" s="386" t="s">
        <v>1425</v>
      </c>
      <c r="H249" s="386" t="s">
        <v>1425</v>
      </c>
      <c r="I249" s="387" t="str">
        <f t="shared" si="114"/>
        <v>BOCA DE LOBO SIMPLES EXISTENTE COM BOCA DE LOBO SIMPLES PROJETADA</v>
      </c>
      <c r="J249" s="396">
        <f t="shared" si="119"/>
        <v>0</v>
      </c>
      <c r="K249" s="396"/>
      <c r="L249" s="396" t="str">
        <f t="shared" si="120"/>
        <v>AMPLIADA</v>
      </c>
      <c r="N249" s="388"/>
      <c r="P249" s="148">
        <f t="shared" si="121"/>
        <v>0.33884365811913142</v>
      </c>
    </row>
    <row r="250" spans="1:16" customFormat="1" ht="28" x14ac:dyDescent="0.3">
      <c r="A250" s="386" t="s">
        <v>1584</v>
      </c>
      <c r="B250" s="386" t="s">
        <v>1456</v>
      </c>
      <c r="C250" s="386" t="str">
        <f t="shared" si="118"/>
        <v>BL22-&gt;PV23.1</v>
      </c>
      <c r="D250" s="386">
        <v>4.1399999999999997</v>
      </c>
      <c r="E250" s="386" t="s">
        <v>1408</v>
      </c>
      <c r="F250" s="386">
        <v>9.77</v>
      </c>
      <c r="G250" s="386"/>
      <c r="H250" s="386" t="s">
        <v>1422</v>
      </c>
      <c r="I250" s="387" t="str">
        <f t="shared" si="114"/>
        <v>BOCA DE LOBO PROJETADA DUPLA</v>
      </c>
      <c r="J250" s="396">
        <f t="shared" si="119"/>
        <v>0</v>
      </c>
      <c r="K250" s="396"/>
      <c r="L250" s="396" t="str">
        <f t="shared" si="120"/>
        <v>PROJETADA</v>
      </c>
      <c r="N250" s="388"/>
      <c r="P250" s="148">
        <f t="shared" si="121"/>
        <v>0</v>
      </c>
    </row>
    <row r="251" spans="1:16" customFormat="1" ht="42" x14ac:dyDescent="0.3">
      <c r="A251" s="386" t="s">
        <v>1585</v>
      </c>
      <c r="B251" s="386" t="s">
        <v>1457</v>
      </c>
      <c r="C251" s="386" t="str">
        <f t="shared" si="118"/>
        <v>BL23-&gt;PV24.1</v>
      </c>
      <c r="D251" s="386">
        <v>4.28</v>
      </c>
      <c r="E251" s="386" t="s">
        <v>1408</v>
      </c>
      <c r="F251" s="386">
        <v>3.9</v>
      </c>
      <c r="G251" s="386" t="s">
        <v>1425</v>
      </c>
      <c r="H251" s="386" t="s">
        <v>1425</v>
      </c>
      <c r="I251" s="387" t="str">
        <f t="shared" si="114"/>
        <v>BOCA DE LOBO SIMPLES EXISTENTE COM BOCA DE LOBO SIMPLES PROJETADA</v>
      </c>
      <c r="J251" s="396">
        <f t="shared" si="119"/>
        <v>0</v>
      </c>
      <c r="K251" s="396"/>
      <c r="L251" s="396" t="str">
        <f t="shared" si="120"/>
        <v>AMPLIADA</v>
      </c>
      <c r="N251" s="388"/>
      <c r="P251" s="148">
        <f t="shared" si="121"/>
        <v>0.16748926066725126</v>
      </c>
    </row>
    <row r="252" spans="1:16" customFormat="1" ht="28" x14ac:dyDescent="0.3">
      <c r="A252" s="386" t="s">
        <v>1585</v>
      </c>
      <c r="B252" s="386" t="s">
        <v>1459</v>
      </c>
      <c r="C252" s="386" t="str">
        <f t="shared" si="118"/>
        <v>BL24-&gt;PV24.1</v>
      </c>
      <c r="D252" s="386">
        <v>4.28</v>
      </c>
      <c r="E252" s="386" t="s">
        <v>1408</v>
      </c>
      <c r="F252" s="386">
        <v>13.25</v>
      </c>
      <c r="G252" s="386"/>
      <c r="H252" s="386" t="s">
        <v>1422</v>
      </c>
      <c r="I252" s="387" t="str">
        <f t="shared" si="114"/>
        <v>BOCA DE LOBO PROJETADA DUPLA</v>
      </c>
      <c r="J252" s="396">
        <f t="shared" si="119"/>
        <v>0</v>
      </c>
      <c r="K252" s="396"/>
      <c r="L252" s="396" t="str">
        <f t="shared" si="120"/>
        <v>PROJETADA</v>
      </c>
      <c r="N252" s="388"/>
      <c r="P252" s="148">
        <f t="shared" si="121"/>
        <v>0</v>
      </c>
    </row>
    <row r="253" spans="1:16" customFormat="1" ht="28" x14ac:dyDescent="0.3">
      <c r="A253" s="386" t="s">
        <v>1586</v>
      </c>
      <c r="B253" s="386" t="s">
        <v>1461</v>
      </c>
      <c r="C253" s="386" t="str">
        <f t="shared" si="118"/>
        <v>BL25-&gt;PV25.1</v>
      </c>
      <c r="D253" s="386">
        <v>4.28</v>
      </c>
      <c r="E253" s="386" t="s">
        <v>1408</v>
      </c>
      <c r="F253" s="386">
        <v>5.72</v>
      </c>
      <c r="G253" s="386"/>
      <c r="H253" s="386" t="s">
        <v>1422</v>
      </c>
      <c r="I253" s="387" t="str">
        <f t="shared" si="114"/>
        <v>BOCA DE LOBO PROJETADA DUPLA</v>
      </c>
      <c r="J253" s="396">
        <f t="shared" si="119"/>
        <v>0</v>
      </c>
      <c r="K253" s="396"/>
      <c r="L253" s="396" t="str">
        <f t="shared" si="120"/>
        <v>PROJETADA</v>
      </c>
      <c r="N253" s="388"/>
      <c r="P253" s="148">
        <f t="shared" si="121"/>
        <v>0</v>
      </c>
    </row>
    <row r="254" spans="1:16" customFormat="1" ht="28" x14ac:dyDescent="0.3">
      <c r="A254" s="386" t="s">
        <v>1587</v>
      </c>
      <c r="B254" s="386" t="s">
        <v>1463</v>
      </c>
      <c r="C254" s="386" t="str">
        <f t="shared" si="118"/>
        <v>BL26-&gt;PV26.1</v>
      </c>
      <c r="D254" s="386">
        <v>4.3600000000000003</v>
      </c>
      <c r="E254" s="386" t="s">
        <v>1408</v>
      </c>
      <c r="F254" s="386">
        <v>5.3</v>
      </c>
      <c r="G254" s="386"/>
      <c r="H254" s="386" t="s">
        <v>1422</v>
      </c>
      <c r="I254" s="387" t="str">
        <f t="shared" si="114"/>
        <v>BOCA DE LOBO PROJETADA DUPLA</v>
      </c>
      <c r="J254" s="396">
        <f t="shared" si="119"/>
        <v>0</v>
      </c>
      <c r="K254" s="396"/>
      <c r="L254" s="396" t="str">
        <f t="shared" si="120"/>
        <v>PROJETADA</v>
      </c>
      <c r="N254" s="388"/>
      <c r="P254" s="148">
        <f t="shared" si="121"/>
        <v>0</v>
      </c>
    </row>
    <row r="255" spans="1:16" customFormat="1" ht="28" x14ac:dyDescent="0.3">
      <c r="A255" s="386" t="s">
        <v>1588</v>
      </c>
      <c r="B255" s="386" t="s">
        <v>1464</v>
      </c>
      <c r="C255" s="386" t="str">
        <f t="shared" si="113"/>
        <v>BL27-&gt;PV1.2</v>
      </c>
      <c r="D255" s="386">
        <v>2.74</v>
      </c>
      <c r="E255" s="386" t="s">
        <v>1408</v>
      </c>
      <c r="F255" s="386">
        <v>4.5599999999999996</v>
      </c>
      <c r="G255" s="386" t="s">
        <v>1422</v>
      </c>
      <c r="H255" s="386"/>
      <c r="I255" s="387" t="str">
        <f t="shared" si="114"/>
        <v>BOCA DE LOBO EXISTENTE DUPLA</v>
      </c>
      <c r="J255" s="396">
        <f t="shared" si="115"/>
        <v>0</v>
      </c>
      <c r="K255" s="396"/>
      <c r="L255" s="396" t="str">
        <f t="shared" si="116"/>
        <v>EXISTENTE</v>
      </c>
      <c r="N255" s="388"/>
      <c r="P255" s="148">
        <f t="shared" si="112"/>
        <v>0.19583359708786302</v>
      </c>
    </row>
    <row r="256" spans="1:16" customFormat="1" ht="28" x14ac:dyDescent="0.3">
      <c r="A256" s="386" t="s">
        <v>1588</v>
      </c>
      <c r="B256" s="386" t="s">
        <v>1466</v>
      </c>
      <c r="C256" s="386" t="str">
        <f t="shared" si="113"/>
        <v>BL28-&gt;PV1.2</v>
      </c>
      <c r="D256" s="386">
        <v>2.74</v>
      </c>
      <c r="E256" s="386" t="s">
        <v>1408</v>
      </c>
      <c r="F256" s="386">
        <v>6.34</v>
      </c>
      <c r="G256" s="386"/>
      <c r="H256" s="386" t="s">
        <v>1422</v>
      </c>
      <c r="I256" s="387" t="str">
        <f t="shared" si="114"/>
        <v>BOCA DE LOBO PROJETADA DUPLA</v>
      </c>
      <c r="J256" s="396">
        <f t="shared" si="115"/>
        <v>0</v>
      </c>
      <c r="K256" s="396"/>
      <c r="L256" s="396" t="str">
        <f t="shared" si="116"/>
        <v>PROJETADA</v>
      </c>
      <c r="N256" s="388"/>
      <c r="P256" s="148">
        <f t="shared" si="112"/>
        <v>0</v>
      </c>
    </row>
    <row r="257" spans="1:16" customFormat="1" ht="42" x14ac:dyDescent="0.3">
      <c r="A257" s="386" t="s">
        <v>1590</v>
      </c>
      <c r="B257" s="386" t="s">
        <v>1469</v>
      </c>
      <c r="C257" s="386" t="str">
        <f t="shared" si="113"/>
        <v>BL29-&gt;PV2.2</v>
      </c>
      <c r="D257" s="386">
        <v>2.2999999999999998</v>
      </c>
      <c r="E257" s="386" t="s">
        <v>1408</v>
      </c>
      <c r="F257" s="386">
        <v>2.67</v>
      </c>
      <c r="G257" s="386" t="s">
        <v>1425</v>
      </c>
      <c r="H257" s="386" t="s">
        <v>1425</v>
      </c>
      <c r="I257" s="387" t="str">
        <f t="shared" si="114"/>
        <v>BOCA DE LOBO SIMPLES EXISTENTE COM BOCA DE LOBO SIMPLES PROJETADA</v>
      </c>
      <c r="J257" s="396">
        <f t="shared" si="115"/>
        <v>0</v>
      </c>
      <c r="K257" s="396"/>
      <c r="L257" s="396" t="str">
        <f t="shared" si="116"/>
        <v>AMPLIADA</v>
      </c>
      <c r="N257" s="388"/>
      <c r="P257" s="148">
        <f t="shared" si="112"/>
        <v>0.11466572461065663</v>
      </c>
    </row>
    <row r="258" spans="1:16" customFormat="1" ht="28" x14ac:dyDescent="0.3">
      <c r="A258" s="386" t="s">
        <v>1590</v>
      </c>
      <c r="B258" s="386" t="s">
        <v>1468</v>
      </c>
      <c r="C258" s="386" t="str">
        <f t="shared" si="113"/>
        <v>BL30-&gt;PV2.2</v>
      </c>
      <c r="D258" s="386">
        <v>2.2999999999999998</v>
      </c>
      <c r="E258" s="386" t="s">
        <v>1408</v>
      </c>
      <c r="F258" s="386">
        <v>12.93</v>
      </c>
      <c r="G258" s="386"/>
      <c r="H258" s="386" t="s">
        <v>1422</v>
      </c>
      <c r="I258" s="387" t="str">
        <f t="shared" si="114"/>
        <v>BOCA DE LOBO PROJETADA DUPLA</v>
      </c>
      <c r="J258" s="396">
        <f t="shared" si="115"/>
        <v>0</v>
      </c>
      <c r="K258" s="396"/>
      <c r="L258" s="396" t="str">
        <f t="shared" si="116"/>
        <v>PROJETADA</v>
      </c>
      <c r="N258" s="388"/>
      <c r="P258" s="148">
        <f t="shared" si="112"/>
        <v>0</v>
      </c>
    </row>
    <row r="259" spans="1:16" customFormat="1" ht="42" x14ac:dyDescent="0.3">
      <c r="A259" s="386" t="s">
        <v>1591</v>
      </c>
      <c r="B259" s="386" t="s">
        <v>1470</v>
      </c>
      <c r="C259" s="386" t="str">
        <f t="shared" si="113"/>
        <v>BL31-&gt;PV3.2</v>
      </c>
      <c r="D259" s="386">
        <v>2.5</v>
      </c>
      <c r="E259" s="386" t="s">
        <v>1408</v>
      </c>
      <c r="F259" s="386">
        <v>6.13</v>
      </c>
      <c r="G259" s="386" t="s">
        <v>1425</v>
      </c>
      <c r="H259" s="386" t="s">
        <v>1425</v>
      </c>
      <c r="I259" s="387" t="str">
        <f t="shared" si="114"/>
        <v>BOCA DE LOBO SIMPLES EXISTENTE COM BOCA DE LOBO SIMPLES PROJETADA</v>
      </c>
      <c r="J259" s="396">
        <f t="shared" si="115"/>
        <v>0</v>
      </c>
      <c r="K259" s="396"/>
      <c r="L259" s="396" t="str">
        <f t="shared" si="116"/>
        <v>AMPLIADA</v>
      </c>
      <c r="N259" s="388"/>
      <c r="P259" s="148">
        <f t="shared" si="112"/>
        <v>0.26325876099750006</v>
      </c>
    </row>
    <row r="260" spans="1:16" customFormat="1" ht="28" x14ac:dyDescent="0.3">
      <c r="A260" s="386" t="s">
        <v>1591</v>
      </c>
      <c r="B260" s="386" t="s">
        <v>1472</v>
      </c>
      <c r="C260" s="386" t="str">
        <f t="shared" si="113"/>
        <v>BL32-&gt;PV3.2</v>
      </c>
      <c r="D260" s="386">
        <v>2.5</v>
      </c>
      <c r="E260" s="386" t="s">
        <v>1408</v>
      </c>
      <c r="F260" s="386">
        <v>8.3800000000000008</v>
      </c>
      <c r="G260" s="386"/>
      <c r="H260" s="386" t="s">
        <v>1422</v>
      </c>
      <c r="I260" s="387" t="str">
        <f t="shared" si="114"/>
        <v>BOCA DE LOBO PROJETADA DUPLA</v>
      </c>
      <c r="J260" s="396">
        <f t="shared" si="115"/>
        <v>0</v>
      </c>
      <c r="K260" s="396"/>
      <c r="L260" s="396" t="str">
        <f t="shared" si="116"/>
        <v>PROJETADA</v>
      </c>
      <c r="N260" s="388"/>
      <c r="P260" s="148">
        <f t="shared" si="112"/>
        <v>0</v>
      </c>
    </row>
    <row r="261" spans="1:16" customFormat="1" ht="42" x14ac:dyDescent="0.3">
      <c r="A261" s="386" t="s">
        <v>1589</v>
      </c>
      <c r="B261" s="386" t="s">
        <v>1473</v>
      </c>
      <c r="C261" s="386" t="str">
        <f t="shared" si="113"/>
        <v>BL33-&gt;PV1.3</v>
      </c>
      <c r="D261" s="386">
        <v>2.2599999999999998</v>
      </c>
      <c r="E261" s="386" t="s">
        <v>1408</v>
      </c>
      <c r="F261" s="386">
        <v>3.9</v>
      </c>
      <c r="G261" s="386" t="s">
        <v>1425</v>
      </c>
      <c r="H261" s="386" t="s">
        <v>1425</v>
      </c>
      <c r="I261" s="387" t="str">
        <f t="shared" si="114"/>
        <v>BOCA DE LOBO SIMPLES EXISTENTE COM BOCA DE LOBO SIMPLES PROJETADA</v>
      </c>
      <c r="J261" s="396">
        <f t="shared" si="115"/>
        <v>0</v>
      </c>
      <c r="K261" s="396"/>
      <c r="L261" s="396" t="str">
        <f t="shared" si="116"/>
        <v>AMPLIADA</v>
      </c>
      <c r="N261" s="388"/>
      <c r="P261" s="148">
        <f t="shared" si="112"/>
        <v>0.16748926066725126</v>
      </c>
    </row>
    <row r="262" spans="1:16" customFormat="1" ht="28" x14ac:dyDescent="0.3">
      <c r="A262" s="386" t="s">
        <v>1589</v>
      </c>
      <c r="B262" s="386" t="s">
        <v>1475</v>
      </c>
      <c r="C262" s="386" t="str">
        <f t="shared" si="113"/>
        <v>BL34-&gt;PV1.3</v>
      </c>
      <c r="D262" s="386">
        <v>2.2599999999999998</v>
      </c>
      <c r="E262" s="386" t="s">
        <v>1408</v>
      </c>
      <c r="F262" s="386">
        <v>8.0500000000000007</v>
      </c>
      <c r="G262" s="386"/>
      <c r="H262" s="386" t="s">
        <v>1409</v>
      </c>
      <c r="I262" s="387" t="str">
        <f t="shared" si="114"/>
        <v>BOCA DE LOBO PROJETADA TRIPLA</v>
      </c>
      <c r="J262" s="396">
        <f t="shared" si="115"/>
        <v>0</v>
      </c>
      <c r="K262" s="396"/>
      <c r="L262" s="396" t="str">
        <f t="shared" si="116"/>
        <v>PROJETADA</v>
      </c>
      <c r="N262" s="388"/>
      <c r="P262" s="148">
        <f t="shared" si="112"/>
        <v>0</v>
      </c>
    </row>
    <row r="263" spans="1:16" customFormat="1" ht="28" x14ac:dyDescent="0.3">
      <c r="A263" s="386" t="s">
        <v>1654</v>
      </c>
      <c r="B263" s="386" t="s">
        <v>1476</v>
      </c>
      <c r="C263" s="386" t="str">
        <f t="shared" si="113"/>
        <v>BL35-&gt;PV2.3</v>
      </c>
      <c r="D263" s="386">
        <v>2.09</v>
      </c>
      <c r="E263" s="386" t="s">
        <v>1408</v>
      </c>
      <c r="F263" s="386">
        <v>4.24</v>
      </c>
      <c r="G263" s="386" t="s">
        <v>1422</v>
      </c>
      <c r="H263" s="386"/>
      <c r="I263" s="387" t="str">
        <f t="shared" si="114"/>
        <v>BOCA DE LOBO EXISTENTE DUPLA</v>
      </c>
      <c r="J263" s="396">
        <f t="shared" si="115"/>
        <v>0</v>
      </c>
      <c r="K263" s="396"/>
      <c r="L263" s="396" t="str">
        <f t="shared" si="116"/>
        <v>EXISTENTE</v>
      </c>
      <c r="N263" s="388"/>
      <c r="P263" s="148">
        <f t="shared" si="112"/>
        <v>0.1820908885202937</v>
      </c>
    </row>
    <row r="264" spans="1:16" customFormat="1" ht="28" x14ac:dyDescent="0.3">
      <c r="A264" s="386" t="s">
        <v>1655</v>
      </c>
      <c r="B264" s="386" t="s">
        <v>1478</v>
      </c>
      <c r="C264" s="386" t="str">
        <f t="shared" si="113"/>
        <v>BL36-&gt;PV3.3</v>
      </c>
      <c r="D264" s="386">
        <v>2.37</v>
      </c>
      <c r="E264" s="386" t="s">
        <v>1408</v>
      </c>
      <c r="F264" s="386">
        <v>5.78</v>
      </c>
      <c r="G264" s="386" t="s">
        <v>1422</v>
      </c>
      <c r="H264" s="386"/>
      <c r="I264" s="387" t="str">
        <f t="shared" si="114"/>
        <v>BOCA DE LOBO EXISTENTE DUPLA</v>
      </c>
      <c r="J264" s="396">
        <f t="shared" si="115"/>
        <v>0</v>
      </c>
      <c r="K264" s="396"/>
      <c r="L264" s="396" t="str">
        <f t="shared" si="116"/>
        <v>EXISTENTE</v>
      </c>
      <c r="N264" s="388"/>
      <c r="P264" s="148">
        <f t="shared" si="112"/>
        <v>0.24822767350172112</v>
      </c>
    </row>
    <row r="265" spans="1:16" customFormat="1" ht="28" x14ac:dyDescent="0.3">
      <c r="A265" s="386" t="s">
        <v>1655</v>
      </c>
      <c r="B265" s="386" t="s">
        <v>1482</v>
      </c>
      <c r="C265" s="386" t="str">
        <f t="shared" si="113"/>
        <v>BL37-&gt;PV3.3</v>
      </c>
      <c r="D265" s="386">
        <v>2.37</v>
      </c>
      <c r="E265" s="386" t="s">
        <v>1408</v>
      </c>
      <c r="F265" s="386">
        <v>8.83</v>
      </c>
      <c r="G265" s="386"/>
      <c r="H265" s="386" t="s">
        <v>1409</v>
      </c>
      <c r="I265" s="387" t="str">
        <f t="shared" si="114"/>
        <v>BOCA DE LOBO PROJETADA TRIPLA</v>
      </c>
      <c r="J265" s="396">
        <f t="shared" si="115"/>
        <v>0</v>
      </c>
      <c r="K265" s="396"/>
      <c r="L265" s="396" t="str">
        <f t="shared" si="116"/>
        <v>PROJETADA</v>
      </c>
      <c r="N265" s="388"/>
      <c r="P265" s="148">
        <f t="shared" si="112"/>
        <v>0</v>
      </c>
    </row>
    <row r="266" spans="1:16" customFormat="1" ht="28" x14ac:dyDescent="0.3">
      <c r="A266" s="386" t="s">
        <v>1656</v>
      </c>
      <c r="B266" s="386" t="s">
        <v>1485</v>
      </c>
      <c r="C266" s="386" t="str">
        <f t="shared" si="113"/>
        <v>BL38-&gt;PV5.3</v>
      </c>
      <c r="D266" s="386">
        <v>2.17</v>
      </c>
      <c r="E266" s="386" t="s">
        <v>1408</v>
      </c>
      <c r="F266" s="386">
        <v>4.8099999999999996</v>
      </c>
      <c r="G266" s="386" t="s">
        <v>1422</v>
      </c>
      <c r="H266" s="386"/>
      <c r="I266" s="387" t="str">
        <f t="shared" si="114"/>
        <v>BOCA DE LOBO EXISTENTE DUPLA</v>
      </c>
      <c r="J266" s="396">
        <f t="shared" si="115"/>
        <v>0</v>
      </c>
      <c r="K266" s="396"/>
      <c r="L266" s="396" t="str">
        <f t="shared" si="116"/>
        <v>EXISTENTE</v>
      </c>
      <c r="N266" s="388"/>
      <c r="P266" s="148">
        <f t="shared" si="112"/>
        <v>0.20657008815627656</v>
      </c>
    </row>
    <row r="267" spans="1:16" customFormat="1" ht="28" x14ac:dyDescent="0.3">
      <c r="A267" s="386" t="s">
        <v>1656</v>
      </c>
      <c r="B267" s="386" t="s">
        <v>1487</v>
      </c>
      <c r="C267" s="386" t="str">
        <f t="shared" si="113"/>
        <v>BL39-&gt;PV5.3</v>
      </c>
      <c r="D267" s="386">
        <v>2.17</v>
      </c>
      <c r="E267" s="386" t="s">
        <v>1408</v>
      </c>
      <c r="F267" s="386">
        <v>19.34</v>
      </c>
      <c r="G267" s="386"/>
      <c r="H267" s="386" t="s">
        <v>1409</v>
      </c>
      <c r="I267" s="387" t="str">
        <f t="shared" si="114"/>
        <v>BOCA DE LOBO PROJETADA TRIPLA</v>
      </c>
      <c r="J267" s="396">
        <f t="shared" si="115"/>
        <v>0</v>
      </c>
      <c r="K267" s="396"/>
      <c r="L267" s="396" t="str">
        <f t="shared" si="116"/>
        <v>PROJETADA</v>
      </c>
      <c r="N267" s="388"/>
      <c r="P267" s="148">
        <f t="shared" si="112"/>
        <v>0</v>
      </c>
    </row>
    <row r="268" spans="1:16" customFormat="1" ht="28" x14ac:dyDescent="0.3">
      <c r="A268" s="386" t="s">
        <v>1657</v>
      </c>
      <c r="B268" s="386" t="s">
        <v>1490</v>
      </c>
      <c r="C268" s="386" t="str">
        <f t="shared" si="113"/>
        <v>BL40-&gt;PV7.3</v>
      </c>
      <c r="D268" s="386">
        <v>2.13</v>
      </c>
      <c r="E268" s="386" t="s">
        <v>1408</v>
      </c>
      <c r="F268" s="386">
        <v>3.61</v>
      </c>
      <c r="G268" s="386" t="s">
        <v>1422</v>
      </c>
      <c r="H268" s="386"/>
      <c r="I268" s="387" t="str">
        <f t="shared" si="114"/>
        <v>BOCA DE LOBO EXISTENTE DUPLA</v>
      </c>
      <c r="J268" s="396">
        <f t="shared" si="115"/>
        <v>0</v>
      </c>
      <c r="K268" s="396"/>
      <c r="L268" s="396" t="str">
        <f t="shared" si="116"/>
        <v>EXISTENTE</v>
      </c>
      <c r="N268" s="388"/>
      <c r="P268" s="148">
        <f t="shared" si="112"/>
        <v>0.15503493102789156</v>
      </c>
    </row>
    <row r="269" spans="1:16" customFormat="1" ht="28" x14ac:dyDescent="0.3">
      <c r="A269" s="386" t="s">
        <v>1657</v>
      </c>
      <c r="B269" s="386" t="s">
        <v>1493</v>
      </c>
      <c r="C269" s="386" t="str">
        <f t="shared" si="113"/>
        <v>BL41-&gt;PV7.3</v>
      </c>
      <c r="D269" s="386">
        <v>2.13</v>
      </c>
      <c r="E269" s="386" t="s">
        <v>1408</v>
      </c>
      <c r="F269" s="386">
        <v>7.4</v>
      </c>
      <c r="G269" s="386"/>
      <c r="H269" s="386" t="s">
        <v>1422</v>
      </c>
      <c r="I269" s="387" t="str">
        <f t="shared" si="114"/>
        <v>BOCA DE LOBO PROJETADA DUPLA</v>
      </c>
      <c r="J269" s="396">
        <f t="shared" si="115"/>
        <v>0</v>
      </c>
      <c r="K269" s="396"/>
      <c r="L269" s="396" t="str">
        <f t="shared" si="116"/>
        <v>PROJETADA</v>
      </c>
      <c r="N269" s="388"/>
      <c r="P269" s="148">
        <f t="shared" si="112"/>
        <v>0</v>
      </c>
    </row>
    <row r="270" spans="1:16" customFormat="1" ht="28" x14ac:dyDescent="0.3">
      <c r="A270" s="386" t="s">
        <v>1658</v>
      </c>
      <c r="B270" s="386" t="s">
        <v>1496</v>
      </c>
      <c r="C270" s="386" t="str">
        <f t="shared" si="113"/>
        <v>BL42-&gt;PV8.3</v>
      </c>
      <c r="D270" s="386">
        <v>2.2599999999999998</v>
      </c>
      <c r="E270" s="386" t="s">
        <v>1408</v>
      </c>
      <c r="F270" s="386">
        <v>8.3000000000000007</v>
      </c>
      <c r="G270" s="386"/>
      <c r="H270" s="386" t="s">
        <v>1422</v>
      </c>
      <c r="I270" s="387" t="str">
        <f t="shared" si="114"/>
        <v>BOCA DE LOBO PROJETADA DUPLA</v>
      </c>
      <c r="J270" s="396">
        <f t="shared" si="115"/>
        <v>0</v>
      </c>
      <c r="K270" s="396"/>
      <c r="L270" s="396" t="str">
        <f t="shared" si="116"/>
        <v>PROJETADA</v>
      </c>
      <c r="N270" s="388"/>
      <c r="P270" s="148">
        <f t="shared" si="112"/>
        <v>0</v>
      </c>
    </row>
    <row r="271" spans="1:16" customFormat="1" ht="42" x14ac:dyDescent="0.3">
      <c r="A271" s="386" t="s">
        <v>1658</v>
      </c>
      <c r="B271" s="386" t="s">
        <v>1499</v>
      </c>
      <c r="C271" s="386" t="str">
        <f t="shared" si="113"/>
        <v>BL43-&gt;PV8.3</v>
      </c>
      <c r="D271" s="386">
        <v>2.2599999999999998</v>
      </c>
      <c r="E271" s="403" t="s">
        <v>1408</v>
      </c>
      <c r="F271" s="386">
        <v>2.62</v>
      </c>
      <c r="G271" s="386" t="s">
        <v>1425</v>
      </c>
      <c r="H271" s="386" t="s">
        <v>1425</v>
      </c>
      <c r="I271" s="387" t="str">
        <f t="shared" si="114"/>
        <v>BOCA DE LOBO SIMPLES EXISTENTE COM BOCA DE LOBO SIMPLES PROJETADA</v>
      </c>
      <c r="J271" s="396">
        <f t="shared" si="115"/>
        <v>0</v>
      </c>
      <c r="K271" s="396"/>
      <c r="L271" s="396" t="str">
        <f t="shared" si="116"/>
        <v>AMPLIADA</v>
      </c>
      <c r="N271" s="388"/>
      <c r="P271" s="148">
        <f t="shared" si="112"/>
        <v>0.11251842639697393</v>
      </c>
    </row>
    <row r="272" spans="1:16" customFormat="1" ht="28" x14ac:dyDescent="0.3">
      <c r="A272" s="386" t="s">
        <v>1659</v>
      </c>
      <c r="B272" s="386" t="s">
        <v>1502</v>
      </c>
      <c r="C272" s="386" t="str">
        <f t="shared" si="113"/>
        <v>BL44-&gt;PV9.3</v>
      </c>
      <c r="D272" s="386">
        <v>2.1800000000000002</v>
      </c>
      <c r="E272" s="386" t="s">
        <v>1408</v>
      </c>
      <c r="F272" s="386">
        <v>8.2799999999999994</v>
      </c>
      <c r="G272" s="386"/>
      <c r="H272" s="386" t="s">
        <v>1422</v>
      </c>
      <c r="I272" s="387" t="str">
        <f t="shared" si="114"/>
        <v>BOCA DE LOBO PROJETADA DUPLA</v>
      </c>
      <c r="J272" s="396">
        <f t="shared" si="115"/>
        <v>0</v>
      </c>
      <c r="K272" s="396"/>
      <c r="L272" s="396" t="str">
        <f t="shared" si="116"/>
        <v>PROJETADA</v>
      </c>
      <c r="N272" s="388"/>
      <c r="P272" s="148">
        <f t="shared" si="112"/>
        <v>0</v>
      </c>
    </row>
    <row r="273" spans="1:16" customFormat="1" ht="42" x14ac:dyDescent="0.3">
      <c r="A273" s="386" t="s">
        <v>1659</v>
      </c>
      <c r="B273" s="386" t="s">
        <v>1505</v>
      </c>
      <c r="C273" s="386" t="str">
        <f t="shared" si="113"/>
        <v>BL45-&gt;PV9.3</v>
      </c>
      <c r="D273" s="386">
        <v>2.1800000000000002</v>
      </c>
      <c r="E273" s="386" t="s">
        <v>1408</v>
      </c>
      <c r="F273" s="386">
        <v>2.44</v>
      </c>
      <c r="G273" s="386" t="s">
        <v>1425</v>
      </c>
      <c r="H273" s="386" t="s">
        <v>1425</v>
      </c>
      <c r="I273" s="387" t="str">
        <f t="shared" si="114"/>
        <v>BOCA DE LOBO SIMPLES EXISTENTE COM BOCA DE LOBO SIMPLES PROJETADA</v>
      </c>
      <c r="J273" s="396">
        <f t="shared" si="115"/>
        <v>0</v>
      </c>
      <c r="K273" s="396"/>
      <c r="L273" s="396" t="str">
        <f t="shared" si="116"/>
        <v>AMPLIADA</v>
      </c>
      <c r="N273" s="388"/>
      <c r="P273" s="148">
        <f t="shared" si="112"/>
        <v>0.10478815282771618</v>
      </c>
    </row>
    <row r="274" spans="1:16" customFormat="1" ht="28" x14ac:dyDescent="0.3">
      <c r="A274" s="386" t="s">
        <v>1660</v>
      </c>
      <c r="B274" s="386" t="s">
        <v>1508</v>
      </c>
      <c r="C274" s="386" t="str">
        <f t="shared" si="113"/>
        <v>BL46-&gt;PV10.3</v>
      </c>
      <c r="D274" s="386">
        <v>2.41</v>
      </c>
      <c r="E274" s="386" t="s">
        <v>1408</v>
      </c>
      <c r="F274" s="386">
        <v>3.39</v>
      </c>
      <c r="G274" s="386" t="s">
        <v>1422</v>
      </c>
      <c r="H274" s="386"/>
      <c r="I274" s="387" t="str">
        <f t="shared" si="114"/>
        <v>BOCA DE LOBO EXISTENTE DUPLA</v>
      </c>
      <c r="J274" s="396">
        <f t="shared" si="115"/>
        <v>0</v>
      </c>
      <c r="K274" s="396"/>
      <c r="L274" s="396" t="str">
        <f t="shared" si="116"/>
        <v>EXISTENTE</v>
      </c>
      <c r="N274" s="388"/>
      <c r="P274" s="148">
        <f t="shared" si="112"/>
        <v>0.14558681888768765</v>
      </c>
    </row>
    <row r="275" spans="1:16" customFormat="1" ht="28" x14ac:dyDescent="0.3">
      <c r="A275" s="386" t="s">
        <v>1660</v>
      </c>
      <c r="B275" s="386" t="s">
        <v>1510</v>
      </c>
      <c r="C275" s="386" t="str">
        <f t="shared" si="113"/>
        <v>BL47-&gt;PV10.3</v>
      </c>
      <c r="D275" s="386">
        <v>2.41</v>
      </c>
      <c r="E275" s="386" t="s">
        <v>1408</v>
      </c>
      <c r="F275" s="386">
        <v>5.84</v>
      </c>
      <c r="G275" s="386"/>
      <c r="H275" s="386" t="s">
        <v>1422</v>
      </c>
      <c r="I275" s="387" t="str">
        <f t="shared" si="114"/>
        <v>BOCA DE LOBO PROJETADA DUPLA</v>
      </c>
      <c r="J275" s="396">
        <f t="shared" si="115"/>
        <v>0</v>
      </c>
      <c r="K275" s="396"/>
      <c r="L275" s="396" t="str">
        <f t="shared" si="116"/>
        <v>PROJETADA</v>
      </c>
      <c r="N275" s="388"/>
      <c r="P275" s="148">
        <f t="shared" si="112"/>
        <v>0</v>
      </c>
    </row>
    <row r="276" spans="1:16" customFormat="1" ht="28" x14ac:dyDescent="0.3">
      <c r="A276" s="386" t="s">
        <v>1661</v>
      </c>
      <c r="B276" s="386" t="s">
        <v>1512</v>
      </c>
      <c r="C276" s="386" t="str">
        <f t="shared" ref="C276:C281" si="122">CONCATENATE(B276,"-&gt;",A276)</f>
        <v>BL48-&gt;PV11.3</v>
      </c>
      <c r="D276" s="386">
        <v>2.4500000000000002</v>
      </c>
      <c r="E276" s="386" t="s">
        <v>1408</v>
      </c>
      <c r="F276" s="386">
        <v>4.38</v>
      </c>
      <c r="G276" s="386" t="s">
        <v>1422</v>
      </c>
      <c r="H276" s="386"/>
      <c r="I276" s="387" t="str">
        <f t="shared" si="114"/>
        <v>BOCA DE LOBO EXISTENTE DUPLA</v>
      </c>
      <c r="J276" s="396">
        <f t="shared" ref="J276:J281" si="123">IF(E276="EXISTENTE",1,0)</f>
        <v>0</v>
      </c>
      <c r="K276" s="396"/>
      <c r="L276" s="396" t="str">
        <f t="shared" ref="L276:L281" si="124">IF(G276&lt;&gt;"",IF(H276&lt;&gt;"","AMPLIADA","EXISTENTE"),"PROJETADA")</f>
        <v>EXISTENTE</v>
      </c>
      <c r="N276" s="388"/>
      <c r="P276" s="148">
        <f t="shared" ref="P276:P281" si="125">IF(AND(E276="PROJETADO",G276&lt;&gt;""),F276/2*(PI()*0.519*0.519/4-PI()*0.4*0.4/4),0)</f>
        <v>0.18810332351860526</v>
      </c>
    </row>
    <row r="277" spans="1:16" customFormat="1" ht="28" x14ac:dyDescent="0.3">
      <c r="A277" s="386" t="s">
        <v>1661</v>
      </c>
      <c r="B277" s="386" t="s">
        <v>1515</v>
      </c>
      <c r="C277" s="386" t="str">
        <f t="shared" si="122"/>
        <v>BL49-&gt;PV11.3</v>
      </c>
      <c r="D277" s="386">
        <v>2.4500000000000002</v>
      </c>
      <c r="E277" s="403" t="s">
        <v>1408</v>
      </c>
      <c r="F277" s="386">
        <v>7.23</v>
      </c>
      <c r="G277" s="386"/>
      <c r="H277" s="386" t="s">
        <v>1422</v>
      </c>
      <c r="I277" s="387" t="str">
        <f t="shared" si="114"/>
        <v>BOCA DE LOBO PROJETADA DUPLA</v>
      </c>
      <c r="J277" s="396">
        <f t="shared" si="123"/>
        <v>0</v>
      </c>
      <c r="K277" s="396"/>
      <c r="L277" s="396" t="str">
        <f t="shared" si="124"/>
        <v>PROJETADA</v>
      </c>
      <c r="N277" s="388"/>
      <c r="P277" s="148">
        <f t="shared" si="125"/>
        <v>0</v>
      </c>
    </row>
    <row r="278" spans="1:16" customFormat="1" ht="28" x14ac:dyDescent="0.3">
      <c r="A278" s="386" t="s">
        <v>1662</v>
      </c>
      <c r="B278" s="386" t="s">
        <v>1518</v>
      </c>
      <c r="C278" s="386" t="str">
        <f t="shared" si="122"/>
        <v>BL50-&gt;PV12.3</v>
      </c>
      <c r="D278" s="386">
        <v>3.09</v>
      </c>
      <c r="E278" s="386" t="s">
        <v>1408</v>
      </c>
      <c r="F278" s="386">
        <v>6.96</v>
      </c>
      <c r="G278" s="386"/>
      <c r="H278" s="386" t="s">
        <v>1422</v>
      </c>
      <c r="I278" s="387" t="str">
        <f t="shared" si="114"/>
        <v>BOCA DE LOBO PROJETADA DUPLA</v>
      </c>
      <c r="J278" s="396">
        <f t="shared" si="123"/>
        <v>0</v>
      </c>
      <c r="K278" s="396"/>
      <c r="L278" s="396" t="str">
        <f t="shared" si="124"/>
        <v>PROJETADA</v>
      </c>
      <c r="N278" s="388"/>
      <c r="P278" s="148">
        <f t="shared" si="125"/>
        <v>0</v>
      </c>
    </row>
    <row r="279" spans="1:16" customFormat="1" ht="28" x14ac:dyDescent="0.3">
      <c r="A279" s="386" t="s">
        <v>1662</v>
      </c>
      <c r="B279" s="386" t="s">
        <v>1521</v>
      </c>
      <c r="C279" s="386" t="str">
        <f t="shared" si="122"/>
        <v>BL51-&gt;PV12.3</v>
      </c>
      <c r="D279" s="386">
        <v>3.09</v>
      </c>
      <c r="E279" s="386" t="s">
        <v>1408</v>
      </c>
      <c r="F279" s="386">
        <v>3.36</v>
      </c>
      <c r="G279" s="386" t="s">
        <v>1422</v>
      </c>
      <c r="H279" s="386"/>
      <c r="I279" s="387" t="str">
        <f t="shared" si="114"/>
        <v>BOCA DE LOBO EXISTENTE DUPLA</v>
      </c>
      <c r="J279" s="396">
        <f t="shared" si="123"/>
        <v>0</v>
      </c>
      <c r="K279" s="396"/>
      <c r="L279" s="396" t="str">
        <f t="shared" si="124"/>
        <v>EXISTENTE</v>
      </c>
      <c r="N279" s="388"/>
      <c r="P279" s="148">
        <f t="shared" si="125"/>
        <v>0.14429843995947803</v>
      </c>
    </row>
    <row r="280" spans="1:16" customFormat="1" ht="28" x14ac:dyDescent="0.3">
      <c r="A280" s="386" t="s">
        <v>1663</v>
      </c>
      <c r="B280" s="386" t="s">
        <v>1513</v>
      </c>
      <c r="C280" s="386" t="str">
        <f t="shared" si="122"/>
        <v>BL52-&gt;PV13.3</v>
      </c>
      <c r="D280" s="386">
        <v>2.79</v>
      </c>
      <c r="E280" s="386" t="s">
        <v>1408</v>
      </c>
      <c r="F280" s="386">
        <v>9.19</v>
      </c>
      <c r="G280" s="386"/>
      <c r="H280" s="386" t="s">
        <v>1422</v>
      </c>
      <c r="I280" s="387" t="str">
        <f t="shared" si="114"/>
        <v>BOCA DE LOBO PROJETADA DUPLA</v>
      </c>
      <c r="J280" s="396">
        <f t="shared" si="123"/>
        <v>0</v>
      </c>
      <c r="K280" s="396"/>
      <c r="L280" s="396" t="str">
        <f t="shared" si="124"/>
        <v>PROJETADA</v>
      </c>
      <c r="N280" s="388"/>
      <c r="P280" s="148">
        <f t="shared" si="125"/>
        <v>0</v>
      </c>
    </row>
    <row r="281" spans="1:16" customFormat="1" ht="28" x14ac:dyDescent="0.3">
      <c r="A281" s="386" t="s">
        <v>1663</v>
      </c>
      <c r="B281" s="386" t="s">
        <v>1526</v>
      </c>
      <c r="C281" s="386" t="str">
        <f t="shared" si="122"/>
        <v>BL53-&gt;PV13.3</v>
      </c>
      <c r="D281" s="386">
        <v>2.79</v>
      </c>
      <c r="E281" s="386" t="s">
        <v>1408</v>
      </c>
      <c r="F281" s="386">
        <v>6.09</v>
      </c>
      <c r="G281" s="386"/>
      <c r="H281" s="386" t="s">
        <v>1422</v>
      </c>
      <c r="I281" s="387" t="str">
        <f t="shared" si="114"/>
        <v>BOCA DE LOBO PROJETADA DUPLA</v>
      </c>
      <c r="J281" s="396">
        <f t="shared" si="123"/>
        <v>0</v>
      </c>
      <c r="K281" s="396"/>
      <c r="L281" s="396" t="str">
        <f t="shared" si="124"/>
        <v>PROJETADA</v>
      </c>
      <c r="N281" s="388"/>
      <c r="P281" s="148">
        <f t="shared" si="125"/>
        <v>0</v>
      </c>
    </row>
    <row r="282" spans="1:16" customFormat="1" x14ac:dyDescent="0.3">
      <c r="A282" s="391" t="s">
        <v>1479</v>
      </c>
      <c r="B282" s="386"/>
      <c r="C282" s="386"/>
      <c r="D282" s="386"/>
      <c r="E282" s="386"/>
      <c r="F282" s="386"/>
      <c r="G282" s="386"/>
      <c r="H282" s="386"/>
      <c r="I282" s="396"/>
      <c r="J282" s="396"/>
      <c r="K282" s="396"/>
      <c r="L282" s="396"/>
      <c r="N282" s="388"/>
      <c r="P282" s="148">
        <f t="shared" si="112"/>
        <v>0</v>
      </c>
    </row>
    <row r="283" spans="1:16" customFormat="1" ht="42" x14ac:dyDescent="0.3">
      <c r="A283" s="386" t="s">
        <v>1664</v>
      </c>
      <c r="B283" s="386" t="s">
        <v>1516</v>
      </c>
      <c r="C283" s="386" t="str">
        <f t="shared" ref="C283:C323" si="126">CONCATENATE(B283,"-&gt;",A283)</f>
        <v>BL54-&gt;PV1-67</v>
      </c>
      <c r="D283" s="386">
        <f>972.06-970.31</f>
        <v>1.75</v>
      </c>
      <c r="E283" s="386" t="s">
        <v>1479</v>
      </c>
      <c r="F283" s="386">
        <v>7.45</v>
      </c>
      <c r="G283" s="386" t="s">
        <v>1425</v>
      </c>
      <c r="H283" s="386" t="s">
        <v>1425</v>
      </c>
      <c r="I283" s="387" t="str">
        <f t="shared" ref="I283:I324" si="127">IF(G283="","BOCA DE LOBO PROJETADA "&amp;H283,IF(H283="","BOCA DE LOBO EXISTENTE "&amp;G283,"BOCA DE LOBO "&amp;G283&amp;" EXISTENTE COM BOCA DE LOBO "&amp;H283&amp;" PROJETADA"))</f>
        <v>BOCA DE LOBO SIMPLES EXISTENTE COM BOCA DE LOBO SIMPLES PROJETADA</v>
      </c>
      <c r="J283" s="396">
        <f t="shared" ref="J283:J323" si="128">IF(E283="EXISTENTE",1,0)</f>
        <v>1</v>
      </c>
      <c r="K283" s="396">
        <v>400</v>
      </c>
      <c r="L283" s="396" t="str">
        <f t="shared" si="116"/>
        <v>AMPLIADA</v>
      </c>
      <c r="N283" s="388"/>
      <c r="P283" s="148">
        <f t="shared" si="112"/>
        <v>0</v>
      </c>
    </row>
    <row r="284" spans="1:16" customFormat="1" ht="42" x14ac:dyDescent="0.3">
      <c r="A284" s="386" t="s">
        <v>1665</v>
      </c>
      <c r="B284" s="386" t="s">
        <v>1530</v>
      </c>
      <c r="C284" s="386" t="str">
        <f t="shared" si="126"/>
        <v>BL55-&gt;PV2-67</v>
      </c>
      <c r="D284" s="386">
        <f>971.23-969.53</f>
        <v>1.7000000000000455</v>
      </c>
      <c r="E284" s="386" t="s">
        <v>1479</v>
      </c>
      <c r="F284" s="386">
        <v>2.88</v>
      </c>
      <c r="G284" s="386" t="s">
        <v>1425</v>
      </c>
      <c r="H284" s="386" t="s">
        <v>1425</v>
      </c>
      <c r="I284" s="387" t="str">
        <f t="shared" si="127"/>
        <v>BOCA DE LOBO SIMPLES EXISTENTE COM BOCA DE LOBO SIMPLES PROJETADA</v>
      </c>
      <c r="J284" s="396">
        <f t="shared" si="128"/>
        <v>1</v>
      </c>
      <c r="K284" s="396">
        <v>400</v>
      </c>
      <c r="L284" s="396" t="str">
        <f t="shared" si="116"/>
        <v>AMPLIADA</v>
      </c>
      <c r="N284" s="388"/>
      <c r="P284" s="148">
        <f t="shared" si="112"/>
        <v>0</v>
      </c>
    </row>
    <row r="285" spans="1:16" customFormat="1" ht="28" x14ac:dyDescent="0.3">
      <c r="A285" s="386" t="s">
        <v>1666</v>
      </c>
      <c r="B285" s="386" t="s">
        <v>1533</v>
      </c>
      <c r="C285" s="386" t="str">
        <f>CONCATENATE(B285,"-&gt;",A285)</f>
        <v>BL56-&gt;PV1-68</v>
      </c>
      <c r="D285" s="386">
        <f>969.579-967.91</f>
        <v>1.6689999999999827</v>
      </c>
      <c r="E285" s="386" t="s">
        <v>1479</v>
      </c>
      <c r="F285" s="386">
        <v>5.52</v>
      </c>
      <c r="G285" s="386" t="s">
        <v>1425</v>
      </c>
      <c r="H285" s="386"/>
      <c r="I285" s="387" t="str">
        <f t="shared" si="127"/>
        <v>BOCA DE LOBO EXISTENTE SIMPLES</v>
      </c>
      <c r="J285" s="396">
        <f>IF(E285="EXISTENTE",1,0)</f>
        <v>1</v>
      </c>
      <c r="K285" s="396">
        <v>400</v>
      </c>
      <c r="L285" s="396" t="str">
        <f>IF(G285&lt;&gt;"",IF(H285&lt;&gt;"","AMPLIADA","EXISTENTE"),"PROJETADA")</f>
        <v>EXISTENTE</v>
      </c>
      <c r="N285" s="388"/>
      <c r="P285" s="148">
        <f>IF(AND(E285="PROJETADO",G285&lt;&gt;""),F285/2*(PI()*0.519*0.519/4-PI()*0.4*0.4/4),0)</f>
        <v>0</v>
      </c>
    </row>
    <row r="286" spans="1:16" customFormat="1" ht="28" x14ac:dyDescent="0.3">
      <c r="A286" s="386" t="s">
        <v>1667</v>
      </c>
      <c r="B286" s="386" t="s">
        <v>1535</v>
      </c>
      <c r="C286" s="386" t="str">
        <f>CONCATENATE(B286,"-&gt;",A286)</f>
        <v>BL57-&gt;PV1-69</v>
      </c>
      <c r="D286" s="386">
        <f>967.339-965.57</f>
        <v>1.7690000000000055</v>
      </c>
      <c r="E286" s="386" t="s">
        <v>1479</v>
      </c>
      <c r="F286" s="386">
        <v>6.21</v>
      </c>
      <c r="G286" s="386" t="s">
        <v>1425</v>
      </c>
      <c r="H286" s="386"/>
      <c r="I286" s="387" t="str">
        <f t="shared" si="127"/>
        <v>BOCA DE LOBO EXISTENTE SIMPLES</v>
      </c>
      <c r="J286" s="386">
        <f>IF(E286="EXISTENTE",1,0)</f>
        <v>1</v>
      </c>
      <c r="K286" s="386" t="s">
        <v>1668</v>
      </c>
      <c r="L286" s="396" t="str">
        <f>IF(G286&lt;&gt;"",IF(H286&lt;&gt;"","AMPLIADA","EXISTENTE"),"PROJETADA")</f>
        <v>EXISTENTE</v>
      </c>
      <c r="N286" s="388"/>
      <c r="P286" s="148">
        <f>IF(AND(E286="PROJETADO",G286&lt;&gt;""),F286/2*(PI()*0.519*0.519/4-PI()*0.4*0.4/4),0)</f>
        <v>0</v>
      </c>
    </row>
    <row r="287" spans="1:16" customFormat="1" ht="28" x14ac:dyDescent="0.3">
      <c r="A287" s="386" t="s">
        <v>1670</v>
      </c>
      <c r="B287" s="386" t="s">
        <v>1538</v>
      </c>
      <c r="C287" s="386" t="str">
        <f>CONCATENATE(B287,"-&gt;",A287)</f>
        <v>BL58-&gt;PV1-70</v>
      </c>
      <c r="D287" s="386">
        <f>965.184-963.51</f>
        <v>1.6739999999999782</v>
      </c>
      <c r="E287" s="386" t="s">
        <v>1479</v>
      </c>
      <c r="F287" s="386">
        <v>6.76</v>
      </c>
      <c r="G287" s="386" t="s">
        <v>1425</v>
      </c>
      <c r="H287" s="386"/>
      <c r="I287" s="387" t="str">
        <f t="shared" si="127"/>
        <v>BOCA DE LOBO EXISTENTE SIMPLES</v>
      </c>
      <c r="J287" s="386">
        <f>IF(E287="EXISTENTE",1,0)</f>
        <v>1</v>
      </c>
      <c r="K287" s="386" t="s">
        <v>1668</v>
      </c>
      <c r="L287" s="396" t="str">
        <f>IF(G287&lt;&gt;"",IF(H287&lt;&gt;"","AMPLIADA","EXISTENTE"),"PROJETADA")</f>
        <v>EXISTENTE</v>
      </c>
      <c r="N287" s="388"/>
      <c r="P287" s="148">
        <f>IF(AND(E287="PROJETADO",G287&lt;&gt;""),F287/2*(PI()*0.519*0.519/4-PI()*0.4*0.4/4),0)</f>
        <v>0</v>
      </c>
    </row>
    <row r="288" spans="1:16" customFormat="1" ht="28" x14ac:dyDescent="0.3">
      <c r="A288" s="386" t="s">
        <v>1671</v>
      </c>
      <c r="B288" s="386" t="s">
        <v>1519</v>
      </c>
      <c r="C288" s="386" t="str">
        <f>CONCATENATE(B288,"-&gt;",A288)</f>
        <v>BL59-&gt;PV1-71</v>
      </c>
      <c r="D288" s="386">
        <f>963.535-961.97</f>
        <v>1.5649999999999409</v>
      </c>
      <c r="E288" s="386" t="s">
        <v>1479</v>
      </c>
      <c r="F288" s="386">
        <v>3.68</v>
      </c>
      <c r="G288" s="386" t="s">
        <v>1422</v>
      </c>
      <c r="H288" s="386"/>
      <c r="I288" s="387" t="str">
        <f t="shared" si="127"/>
        <v>BOCA DE LOBO EXISTENTE DUPLA</v>
      </c>
      <c r="J288" s="386">
        <f>IF(E288="EXISTENTE",1,0)</f>
        <v>1</v>
      </c>
      <c r="K288" s="386" t="s">
        <v>1668</v>
      </c>
      <c r="L288" s="396" t="str">
        <f>IF(G288&lt;&gt;"",IF(H288&lt;&gt;"","AMPLIADA","EXISTENTE"),"PROJETADA")</f>
        <v>EXISTENTE</v>
      </c>
      <c r="N288" s="388"/>
      <c r="P288" s="148">
        <f>IF(AND(E288="PROJETADO",G288&lt;&gt;""),F288/2*(PI()*0.519*0.519/4-PI()*0.4*0.4/4),0)</f>
        <v>0</v>
      </c>
    </row>
    <row r="289" spans="1:16" customFormat="1" ht="28" x14ac:dyDescent="0.3">
      <c r="A289" s="386" t="s">
        <v>1672</v>
      </c>
      <c r="B289" s="386" t="s">
        <v>1541</v>
      </c>
      <c r="C289" s="386" t="str">
        <f>CONCATENATE(B289,"-&gt;",A289)</f>
        <v>BL60-&gt;PV1-72</v>
      </c>
      <c r="D289" s="386">
        <f>962.052-960.37</f>
        <v>1.6820000000000164</v>
      </c>
      <c r="E289" s="386" t="s">
        <v>1479</v>
      </c>
      <c r="F289" s="386">
        <v>6.21</v>
      </c>
      <c r="G289" s="386" t="s">
        <v>1425</v>
      </c>
      <c r="H289" s="386"/>
      <c r="I289" s="387" t="str">
        <f t="shared" si="127"/>
        <v>BOCA DE LOBO EXISTENTE SIMPLES</v>
      </c>
      <c r="J289" s="386">
        <f>IF(E289="EXISTENTE",1,0)</f>
        <v>1</v>
      </c>
      <c r="K289" s="386" t="s">
        <v>1668</v>
      </c>
      <c r="L289" s="396" t="str">
        <f>IF(G289&lt;&gt;"",IF(H289&lt;&gt;"","AMPLIADA","EXISTENTE"),"PROJETADA")</f>
        <v>EXISTENTE</v>
      </c>
      <c r="N289" s="388"/>
      <c r="P289" s="148">
        <f>IF(AND(E289="PROJETADO",G289&lt;&gt;""),F289/2*(PI()*0.519*0.519/4-PI()*0.4*0.4/4),0)</f>
        <v>0</v>
      </c>
    </row>
    <row r="290" spans="1:16" customFormat="1" ht="42" x14ac:dyDescent="0.3">
      <c r="A290" s="386" t="s">
        <v>1669</v>
      </c>
      <c r="B290" s="386" t="s">
        <v>1543</v>
      </c>
      <c r="C290" s="386" t="str">
        <f t="shared" si="126"/>
        <v>BL61-&gt;PV2-72</v>
      </c>
      <c r="D290" s="386">
        <f>961.822-959.76</f>
        <v>2.0620000000000118</v>
      </c>
      <c r="E290" s="386" t="s">
        <v>1479</v>
      </c>
      <c r="F290" s="386">
        <v>4.7</v>
      </c>
      <c r="G290" s="386" t="s">
        <v>1425</v>
      </c>
      <c r="H290" s="386" t="s">
        <v>1425</v>
      </c>
      <c r="I290" s="387" t="str">
        <f t="shared" si="127"/>
        <v>BOCA DE LOBO SIMPLES EXISTENTE COM BOCA DE LOBO SIMPLES PROJETADA</v>
      </c>
      <c r="J290" s="386">
        <f t="shared" si="128"/>
        <v>1</v>
      </c>
      <c r="K290" s="386" t="s">
        <v>1668</v>
      </c>
      <c r="L290" s="396" t="str">
        <f t="shared" si="116"/>
        <v>AMPLIADA</v>
      </c>
      <c r="N290" s="388"/>
      <c r="P290" s="148">
        <f t="shared" si="112"/>
        <v>0</v>
      </c>
    </row>
    <row r="291" spans="1:16" customFormat="1" ht="28" x14ac:dyDescent="0.3">
      <c r="A291" s="386" t="s">
        <v>1673</v>
      </c>
      <c r="B291" s="386" t="s">
        <v>1545</v>
      </c>
      <c r="C291" s="386" t="str">
        <f>CONCATENATE(B291,"-&gt;",A291)</f>
        <v>BL62-&gt;PV1-73</v>
      </c>
      <c r="D291" s="386">
        <f>960.264-958.6</f>
        <v>1.6639999999999873</v>
      </c>
      <c r="E291" s="386" t="s">
        <v>1479</v>
      </c>
      <c r="F291" s="386">
        <v>7.22</v>
      </c>
      <c r="G291" s="386" t="s">
        <v>1425</v>
      </c>
      <c r="H291" s="386"/>
      <c r="I291" s="387" t="str">
        <f t="shared" si="127"/>
        <v>BOCA DE LOBO EXISTENTE SIMPLES</v>
      </c>
      <c r="J291" s="386">
        <f>IF(E291="EXISTENTE",1,0)</f>
        <v>1</v>
      </c>
      <c r="K291" s="386" t="s">
        <v>1668</v>
      </c>
      <c r="L291" s="396" t="str">
        <f>IF(G291&lt;&gt;"",IF(H291&lt;&gt;"","AMPLIADA","EXISTENTE"),"PROJETADA")</f>
        <v>EXISTENTE</v>
      </c>
      <c r="N291" s="388"/>
      <c r="P291" s="148">
        <f>IF(AND(E291="PROJETADO",G291&lt;&gt;""),F291/2*(PI()*0.519*0.519/4-PI()*0.4*0.4/4),0)</f>
        <v>0</v>
      </c>
    </row>
    <row r="292" spans="1:16" customFormat="1" ht="42" x14ac:dyDescent="0.3">
      <c r="A292" s="386" t="s">
        <v>1674</v>
      </c>
      <c r="B292" s="386" t="s">
        <v>1522</v>
      </c>
      <c r="C292" s="386" t="str">
        <f t="shared" si="126"/>
        <v>BL63-&gt;PV2-73</v>
      </c>
      <c r="D292" s="386">
        <f>960.047-957.74</f>
        <v>2.3070000000000164</v>
      </c>
      <c r="E292" s="386" t="s">
        <v>1479</v>
      </c>
      <c r="F292" s="386">
        <v>4</v>
      </c>
      <c r="G292" s="386" t="s">
        <v>1425</v>
      </c>
      <c r="H292" s="386" t="s">
        <v>1425</v>
      </c>
      <c r="I292" s="387" t="str">
        <f t="shared" si="127"/>
        <v>BOCA DE LOBO SIMPLES EXISTENTE COM BOCA DE LOBO SIMPLES PROJETADA</v>
      </c>
      <c r="J292" s="386">
        <f t="shared" si="128"/>
        <v>1</v>
      </c>
      <c r="K292" s="386" t="s">
        <v>1668</v>
      </c>
      <c r="L292" s="396" t="str">
        <f t="shared" si="116"/>
        <v>AMPLIADA</v>
      </c>
      <c r="N292" s="388"/>
      <c r="P292" s="148">
        <f t="shared" si="112"/>
        <v>0</v>
      </c>
    </row>
    <row r="293" spans="1:16" customFormat="1" ht="28" x14ac:dyDescent="0.3">
      <c r="A293" s="386" t="s">
        <v>1675</v>
      </c>
      <c r="B293" s="386" t="s">
        <v>1524</v>
      </c>
      <c r="C293" s="386" t="str">
        <f>CONCATENATE(B293,"-&gt;",A293)</f>
        <v>BL64-&gt;PV1-74</v>
      </c>
      <c r="D293" s="386">
        <f>957.907-956.19</f>
        <v>1.7169999999999845</v>
      </c>
      <c r="E293" s="386" t="s">
        <v>1479</v>
      </c>
      <c r="F293" s="386">
        <v>6.21</v>
      </c>
      <c r="G293" s="386" t="s">
        <v>1422</v>
      </c>
      <c r="H293" s="386"/>
      <c r="I293" s="387" t="str">
        <f t="shared" si="127"/>
        <v>BOCA DE LOBO EXISTENTE DUPLA</v>
      </c>
      <c r="J293" s="386">
        <f>IF(E293="EXISTENTE",1,0)</f>
        <v>1</v>
      </c>
      <c r="K293" s="386" t="s">
        <v>1668</v>
      </c>
      <c r="L293" s="396" t="str">
        <f>IF(G293&lt;&gt;"",IF(H293&lt;&gt;"","AMPLIADA","EXISTENTE"),"PROJETADA")</f>
        <v>EXISTENTE</v>
      </c>
      <c r="N293" s="388"/>
      <c r="P293" s="148">
        <f>IF(AND(E293="PROJETADO",G293&lt;&gt;""),F293/2*(PI()*0.519*0.519/4-PI()*0.4*0.4/4),0)</f>
        <v>0</v>
      </c>
    </row>
    <row r="294" spans="1:16" customFormat="1" ht="28" x14ac:dyDescent="0.3">
      <c r="A294" s="386" t="s">
        <v>1676</v>
      </c>
      <c r="B294" s="386" t="s">
        <v>1527</v>
      </c>
      <c r="C294" s="386" t="str">
        <f t="shared" si="126"/>
        <v>BL65-&gt;PV2-74</v>
      </c>
      <c r="D294" s="386">
        <f>957.779-955.58</f>
        <v>2.1989999999999554</v>
      </c>
      <c r="E294" s="386" t="s">
        <v>1479</v>
      </c>
      <c r="F294" s="386">
        <v>4.18</v>
      </c>
      <c r="G294" s="386" t="s">
        <v>1422</v>
      </c>
      <c r="H294" s="386"/>
      <c r="I294" s="387" t="str">
        <f t="shared" si="127"/>
        <v>BOCA DE LOBO EXISTENTE DUPLA</v>
      </c>
      <c r="J294" s="386">
        <f t="shared" si="128"/>
        <v>1</v>
      </c>
      <c r="K294" s="386" t="s">
        <v>1668</v>
      </c>
      <c r="L294" s="396" t="str">
        <f t="shared" si="116"/>
        <v>EXISTENTE</v>
      </c>
      <c r="N294" s="388"/>
      <c r="P294" s="148">
        <f t="shared" si="112"/>
        <v>0</v>
      </c>
    </row>
    <row r="295" spans="1:16" customFormat="1" ht="28" x14ac:dyDescent="0.3">
      <c r="A295" s="386" t="s">
        <v>1677</v>
      </c>
      <c r="B295" s="386" t="s">
        <v>1528</v>
      </c>
      <c r="C295" s="386" t="str">
        <f>CONCATENATE(B295,"-&gt;",A295)</f>
        <v>BL66-&gt;PV1-75</v>
      </c>
      <c r="D295" s="386">
        <f>955.689-953.86</f>
        <v>1.8289999999999509</v>
      </c>
      <c r="E295" s="386" t="s">
        <v>1479</v>
      </c>
      <c r="F295" s="386">
        <v>6.21</v>
      </c>
      <c r="G295" s="386" t="s">
        <v>1422</v>
      </c>
      <c r="H295" s="386"/>
      <c r="I295" s="387" t="str">
        <f t="shared" si="127"/>
        <v>BOCA DE LOBO EXISTENTE DUPLA</v>
      </c>
      <c r="J295" s="386">
        <f>IF(E295="EXISTENTE",1,0)</f>
        <v>1</v>
      </c>
      <c r="K295" s="386" t="s">
        <v>1668</v>
      </c>
      <c r="L295" s="396" t="str">
        <f>IF(G295&lt;&gt;"",IF(H295&lt;&gt;"","AMPLIADA","EXISTENTE"),"PROJETADA")</f>
        <v>EXISTENTE</v>
      </c>
      <c r="N295" s="388"/>
      <c r="P295" s="148">
        <f>IF(AND(E295="PROJETADO",G295&lt;&gt;""),F295/2*(PI()*0.519*0.519/4-PI()*0.4*0.4/4),0)</f>
        <v>0</v>
      </c>
    </row>
    <row r="296" spans="1:16" customFormat="1" ht="28" x14ac:dyDescent="0.3">
      <c r="A296" s="386" t="s">
        <v>1678</v>
      </c>
      <c r="B296" s="386" t="s">
        <v>1531</v>
      </c>
      <c r="C296" s="386" t="str">
        <f t="shared" si="126"/>
        <v>BL67-&gt;PV2-75</v>
      </c>
      <c r="D296" s="386">
        <f>955.555-953.28</f>
        <v>2.2749999999999773</v>
      </c>
      <c r="E296" s="386" t="s">
        <v>1479</v>
      </c>
      <c r="F296" s="386">
        <v>3.95</v>
      </c>
      <c r="G296" s="386" t="s">
        <v>1422</v>
      </c>
      <c r="H296" s="386"/>
      <c r="I296" s="387" t="str">
        <f t="shared" si="127"/>
        <v>BOCA DE LOBO EXISTENTE DUPLA</v>
      </c>
      <c r="J296" s="386">
        <f t="shared" si="128"/>
        <v>1</v>
      </c>
      <c r="K296" s="386" t="s">
        <v>1668</v>
      </c>
      <c r="L296" s="396" t="str">
        <f t="shared" si="116"/>
        <v>EXISTENTE</v>
      </c>
      <c r="N296" s="388"/>
      <c r="P296" s="148">
        <f t="shared" si="112"/>
        <v>0</v>
      </c>
    </row>
    <row r="297" spans="1:16" customFormat="1" ht="42" x14ac:dyDescent="0.3">
      <c r="A297" s="386" t="s">
        <v>1679</v>
      </c>
      <c r="B297" s="386" t="s">
        <v>1534</v>
      </c>
      <c r="C297" s="386" t="str">
        <f t="shared" si="126"/>
        <v>BL68-&gt;PV2-76</v>
      </c>
      <c r="D297" s="386">
        <f>970.86-968.53</f>
        <v>2.3300000000000409</v>
      </c>
      <c r="E297" s="386" t="s">
        <v>1479</v>
      </c>
      <c r="F297" s="386">
        <v>3.76</v>
      </c>
      <c r="G297" s="386" t="s">
        <v>1425</v>
      </c>
      <c r="H297" s="386" t="s">
        <v>1425</v>
      </c>
      <c r="I297" s="387" t="str">
        <f t="shared" si="127"/>
        <v>BOCA DE LOBO SIMPLES EXISTENTE COM BOCA DE LOBO SIMPLES PROJETADA</v>
      </c>
      <c r="J297" s="386">
        <f t="shared" si="128"/>
        <v>1</v>
      </c>
      <c r="K297" s="386">
        <v>400</v>
      </c>
      <c r="L297" s="396" t="str">
        <f t="shared" si="116"/>
        <v>AMPLIADA</v>
      </c>
      <c r="N297" s="388"/>
      <c r="P297" s="148">
        <f t="shared" si="112"/>
        <v>0</v>
      </c>
    </row>
    <row r="298" spans="1:16" customFormat="1" ht="42" x14ac:dyDescent="0.3">
      <c r="A298" s="386" t="s">
        <v>1680</v>
      </c>
      <c r="B298" s="386" t="s">
        <v>1536</v>
      </c>
      <c r="C298" s="386" t="str">
        <f t="shared" si="126"/>
        <v>BL69-&gt;PV3-76</v>
      </c>
      <c r="D298" s="386">
        <f>970.39-967.22</f>
        <v>3.1699999999999591</v>
      </c>
      <c r="E298" s="386" t="s">
        <v>1479</v>
      </c>
      <c r="F298" s="386">
        <v>12.54</v>
      </c>
      <c r="G298" s="386" t="s">
        <v>1425</v>
      </c>
      <c r="H298" s="386" t="s">
        <v>1425</v>
      </c>
      <c r="I298" s="387" t="str">
        <f t="shared" si="127"/>
        <v>BOCA DE LOBO SIMPLES EXISTENTE COM BOCA DE LOBO SIMPLES PROJETADA</v>
      </c>
      <c r="J298" s="396">
        <f t="shared" si="128"/>
        <v>1</v>
      </c>
      <c r="K298" s="396" t="s">
        <v>1668</v>
      </c>
      <c r="L298" s="396" t="str">
        <f t="shared" si="116"/>
        <v>AMPLIADA</v>
      </c>
      <c r="N298" s="388"/>
      <c r="P298" s="148">
        <f t="shared" si="112"/>
        <v>0</v>
      </c>
    </row>
    <row r="299" spans="1:16" customFormat="1" ht="28" x14ac:dyDescent="0.3">
      <c r="A299" s="386" t="s">
        <v>1681</v>
      </c>
      <c r="B299" s="386" t="s">
        <v>1481</v>
      </c>
      <c r="C299" s="386" t="str">
        <f t="shared" si="126"/>
        <v>BL70-&gt;PV4-76</v>
      </c>
      <c r="D299" s="386">
        <f>968.45-965.4</f>
        <v>3.0500000000000682</v>
      </c>
      <c r="E299" s="386" t="s">
        <v>1479</v>
      </c>
      <c r="F299" s="386">
        <v>5.16</v>
      </c>
      <c r="G299" s="386"/>
      <c r="H299" s="386" t="s">
        <v>1422</v>
      </c>
      <c r="I299" s="387" t="str">
        <f t="shared" si="127"/>
        <v>BOCA DE LOBO PROJETADA DUPLA</v>
      </c>
      <c r="J299" s="396">
        <f t="shared" si="128"/>
        <v>1</v>
      </c>
      <c r="K299" s="396">
        <v>500</v>
      </c>
      <c r="L299" s="396" t="str">
        <f t="shared" si="116"/>
        <v>PROJETADA</v>
      </c>
      <c r="N299" s="388"/>
      <c r="P299" s="148">
        <f t="shared" si="112"/>
        <v>0</v>
      </c>
    </row>
    <row r="300" spans="1:16" customFormat="1" ht="28" x14ac:dyDescent="0.3">
      <c r="A300" s="386" t="s">
        <v>1681</v>
      </c>
      <c r="B300" s="386" t="s">
        <v>1483</v>
      </c>
      <c r="C300" s="386" t="str">
        <f t="shared" si="126"/>
        <v>BL71-&gt;PV4-76</v>
      </c>
      <c r="D300" s="386">
        <f>968.45-965.4</f>
        <v>3.0500000000000682</v>
      </c>
      <c r="E300" s="386" t="s">
        <v>1479</v>
      </c>
      <c r="F300" s="386">
        <v>3.96</v>
      </c>
      <c r="G300" s="386"/>
      <c r="H300" s="386" t="s">
        <v>1422</v>
      </c>
      <c r="I300" s="387" t="str">
        <f t="shared" si="127"/>
        <v>BOCA DE LOBO PROJETADA DUPLA</v>
      </c>
      <c r="J300" s="396">
        <f t="shared" si="128"/>
        <v>1</v>
      </c>
      <c r="K300" s="396">
        <v>500</v>
      </c>
      <c r="L300" s="396" t="str">
        <f t="shared" si="116"/>
        <v>PROJETADA</v>
      </c>
      <c r="N300" s="388"/>
      <c r="P300" s="148">
        <f t="shared" si="112"/>
        <v>0</v>
      </c>
    </row>
    <row r="301" spans="1:16" customFormat="1" ht="28" x14ac:dyDescent="0.3">
      <c r="A301" s="386" t="s">
        <v>1682</v>
      </c>
      <c r="B301" s="386" t="s">
        <v>1486</v>
      </c>
      <c r="C301" s="386" t="str">
        <f t="shared" si="126"/>
        <v>BL72-&gt;PV5-76</v>
      </c>
      <c r="D301" s="386">
        <f>965.49-962.52</f>
        <v>2.9700000000000273</v>
      </c>
      <c r="E301" s="386" t="s">
        <v>1479</v>
      </c>
      <c r="F301" s="386">
        <v>8.14</v>
      </c>
      <c r="G301" s="386" t="s">
        <v>1422</v>
      </c>
      <c r="H301" s="386"/>
      <c r="I301" s="387" t="str">
        <f t="shared" si="127"/>
        <v>BOCA DE LOBO EXISTENTE DUPLA</v>
      </c>
      <c r="J301" s="396">
        <f t="shared" si="128"/>
        <v>1</v>
      </c>
      <c r="K301" s="396">
        <v>500</v>
      </c>
      <c r="L301" s="396" t="str">
        <f t="shared" si="116"/>
        <v>EXISTENTE</v>
      </c>
      <c r="N301" s="388"/>
      <c r="P301" s="148">
        <f t="shared" si="112"/>
        <v>0</v>
      </c>
    </row>
    <row r="302" spans="1:16" customFormat="1" ht="28" x14ac:dyDescent="0.3">
      <c r="A302" s="386" t="s">
        <v>1682</v>
      </c>
      <c r="B302" s="386" t="s">
        <v>1488</v>
      </c>
      <c r="C302" s="386" t="str">
        <f t="shared" si="126"/>
        <v>BL73-&gt;PV5-76</v>
      </c>
      <c r="D302" s="386">
        <f>965.49-962.52</f>
        <v>2.9700000000000273</v>
      </c>
      <c r="E302" s="386" t="s">
        <v>1479</v>
      </c>
      <c r="F302" s="386">
        <v>4.3600000000000003</v>
      </c>
      <c r="G302" s="386"/>
      <c r="H302" s="386" t="s">
        <v>1422</v>
      </c>
      <c r="I302" s="387" t="str">
        <f t="shared" si="127"/>
        <v>BOCA DE LOBO PROJETADA DUPLA</v>
      </c>
      <c r="J302" s="396">
        <f t="shared" si="128"/>
        <v>1</v>
      </c>
      <c r="K302" s="396">
        <v>500</v>
      </c>
      <c r="L302" s="396" t="str">
        <f t="shared" si="116"/>
        <v>PROJETADA</v>
      </c>
      <c r="N302" s="388"/>
      <c r="P302" s="148">
        <f t="shared" ref="P302:P323" si="129">IF(AND(E302="PROJETADO",G302&lt;&gt;""),F302/2*(PI()*0.519*0.519/4-PI()*0.4*0.4/4),0)</f>
        <v>0</v>
      </c>
    </row>
    <row r="303" spans="1:16" customFormat="1" ht="28" x14ac:dyDescent="0.3">
      <c r="A303" s="386" t="s">
        <v>1683</v>
      </c>
      <c r="B303" s="386" t="s">
        <v>1491</v>
      </c>
      <c r="C303" s="386" t="str">
        <f t="shared" si="126"/>
        <v>BL74-&gt;PV6-76</v>
      </c>
      <c r="D303" s="386">
        <f>963.61-960.36</f>
        <v>3.25</v>
      </c>
      <c r="E303" s="386" t="s">
        <v>1479</v>
      </c>
      <c r="F303" s="386">
        <v>6.29</v>
      </c>
      <c r="G303" s="386" t="s">
        <v>1425</v>
      </c>
      <c r="H303" s="386"/>
      <c r="I303" s="387" t="str">
        <f t="shared" si="127"/>
        <v>BOCA DE LOBO EXISTENTE SIMPLES</v>
      </c>
      <c r="J303" s="396">
        <f t="shared" si="128"/>
        <v>1</v>
      </c>
      <c r="K303" s="396" t="s">
        <v>1684</v>
      </c>
      <c r="L303" s="396" t="str">
        <f t="shared" ref="L303:L323" si="130">IF(G303&lt;&gt;"",IF(H303&lt;&gt;"","AMPLIADA","EXISTENTE"),"PROJETADA")</f>
        <v>EXISTENTE</v>
      </c>
      <c r="N303" s="388"/>
      <c r="P303" s="148">
        <f t="shared" si="129"/>
        <v>0</v>
      </c>
    </row>
    <row r="304" spans="1:16" customFormat="1" ht="42" x14ac:dyDescent="0.3">
      <c r="A304" s="386" t="s">
        <v>1683</v>
      </c>
      <c r="B304" s="386" t="s">
        <v>1506</v>
      </c>
      <c r="C304" s="386" t="str">
        <f t="shared" si="126"/>
        <v>BL75-&gt;PV6-76</v>
      </c>
      <c r="D304" s="386">
        <f>963.61-960.36</f>
        <v>3.25</v>
      </c>
      <c r="E304" s="386" t="s">
        <v>1479</v>
      </c>
      <c r="F304" s="386">
        <v>3.22</v>
      </c>
      <c r="G304" s="386" t="s">
        <v>1422</v>
      </c>
      <c r="H304" s="386" t="s">
        <v>1425</v>
      </c>
      <c r="I304" s="387" t="str">
        <f t="shared" si="127"/>
        <v>BOCA DE LOBO DUPLA EXISTENTE COM BOCA DE LOBO SIMPLES PROJETADA</v>
      </c>
      <c r="J304" s="396">
        <f t="shared" si="128"/>
        <v>1</v>
      </c>
      <c r="K304" s="396" t="s">
        <v>1684</v>
      </c>
      <c r="L304" s="396" t="str">
        <f t="shared" si="130"/>
        <v>AMPLIADA</v>
      </c>
      <c r="N304" s="388"/>
      <c r="P304" s="148">
        <f t="shared" si="129"/>
        <v>0</v>
      </c>
    </row>
    <row r="305" spans="1:16" customFormat="1" ht="42" x14ac:dyDescent="0.3">
      <c r="A305" s="386" t="s">
        <v>1685</v>
      </c>
      <c r="B305" s="386" t="s">
        <v>1494</v>
      </c>
      <c r="C305" s="386" t="str">
        <f t="shared" si="126"/>
        <v>BL76-&gt;PV7-76</v>
      </c>
      <c r="D305" s="386">
        <f>961.88-959.08</f>
        <v>2.7999999999999545</v>
      </c>
      <c r="E305" s="386" t="s">
        <v>1479</v>
      </c>
      <c r="F305" s="386">
        <v>4.7300000000000004</v>
      </c>
      <c r="G305" s="386" t="s">
        <v>1422</v>
      </c>
      <c r="H305" s="386" t="s">
        <v>1425</v>
      </c>
      <c r="I305" s="387" t="str">
        <f t="shared" si="127"/>
        <v>BOCA DE LOBO DUPLA EXISTENTE COM BOCA DE LOBO SIMPLES PROJETADA</v>
      </c>
      <c r="J305" s="396">
        <f t="shared" si="128"/>
        <v>1</v>
      </c>
      <c r="K305" s="396">
        <v>800</v>
      </c>
      <c r="L305" s="396" t="str">
        <f t="shared" si="130"/>
        <v>AMPLIADA</v>
      </c>
      <c r="N305" s="388"/>
      <c r="P305" s="148">
        <f t="shared" si="129"/>
        <v>0</v>
      </c>
    </row>
    <row r="306" spans="1:16" customFormat="1" ht="28" x14ac:dyDescent="0.3">
      <c r="A306" s="386" t="s">
        <v>1686</v>
      </c>
      <c r="B306" s="386" t="s">
        <v>1561</v>
      </c>
      <c r="C306" s="386" t="str">
        <f t="shared" si="126"/>
        <v>BL77-&gt;PV8-76</v>
      </c>
      <c r="D306" s="386">
        <f>959.61-957.01</f>
        <v>2.6000000000000227</v>
      </c>
      <c r="E306" s="386" t="s">
        <v>1479</v>
      </c>
      <c r="F306" s="386">
        <v>10.32</v>
      </c>
      <c r="G306" s="386"/>
      <c r="H306" s="386" t="s">
        <v>1422</v>
      </c>
      <c r="I306" s="387" t="str">
        <f t="shared" si="127"/>
        <v>BOCA DE LOBO PROJETADA DUPLA</v>
      </c>
      <c r="J306" s="396">
        <f t="shared" si="128"/>
        <v>1</v>
      </c>
      <c r="K306" s="396">
        <v>800</v>
      </c>
      <c r="L306" s="396" t="str">
        <f t="shared" si="130"/>
        <v>PROJETADA</v>
      </c>
      <c r="N306" s="388"/>
      <c r="P306" s="148">
        <f t="shared" si="129"/>
        <v>0</v>
      </c>
    </row>
    <row r="307" spans="1:16" customFormat="1" ht="28" x14ac:dyDescent="0.3">
      <c r="A307" s="386" t="s">
        <v>1686</v>
      </c>
      <c r="B307" s="386" t="s">
        <v>1562</v>
      </c>
      <c r="C307" s="386" t="str">
        <f t="shared" si="126"/>
        <v>BL78-&gt;PV8-76</v>
      </c>
      <c r="D307" s="386">
        <f>959.61-957.01</f>
        <v>2.6000000000000227</v>
      </c>
      <c r="E307" s="386" t="s">
        <v>1479</v>
      </c>
      <c r="F307" s="386">
        <v>3.57</v>
      </c>
      <c r="G307" s="386"/>
      <c r="H307" s="386" t="s">
        <v>1422</v>
      </c>
      <c r="I307" s="387" t="str">
        <f t="shared" si="127"/>
        <v>BOCA DE LOBO PROJETADA DUPLA</v>
      </c>
      <c r="J307" s="396">
        <f t="shared" si="128"/>
        <v>1</v>
      </c>
      <c r="K307" s="396">
        <v>800</v>
      </c>
      <c r="L307" s="396" t="str">
        <f t="shared" si="130"/>
        <v>PROJETADA</v>
      </c>
      <c r="N307" s="388"/>
      <c r="P307" s="148">
        <f t="shared" si="129"/>
        <v>0</v>
      </c>
    </row>
    <row r="308" spans="1:16" customFormat="1" ht="28" x14ac:dyDescent="0.3">
      <c r="A308" s="386" t="s">
        <v>1687</v>
      </c>
      <c r="B308" s="386" t="s">
        <v>1564</v>
      </c>
      <c r="C308" s="386" t="str">
        <f t="shared" si="126"/>
        <v>BL79-&gt;PV9-76</v>
      </c>
      <c r="D308" s="386">
        <f>957.26-955.06</f>
        <v>2.2000000000000455</v>
      </c>
      <c r="E308" s="386" t="s">
        <v>1479</v>
      </c>
      <c r="F308" s="386">
        <v>7.02</v>
      </c>
      <c r="G308" s="386" t="s">
        <v>1422</v>
      </c>
      <c r="H308" s="386"/>
      <c r="I308" s="387" t="str">
        <f t="shared" si="127"/>
        <v>BOCA DE LOBO EXISTENTE DUPLA</v>
      </c>
      <c r="J308" s="396">
        <f t="shared" si="128"/>
        <v>1</v>
      </c>
      <c r="K308" s="396">
        <v>800</v>
      </c>
      <c r="L308" s="396" t="str">
        <f t="shared" si="130"/>
        <v>EXISTENTE</v>
      </c>
      <c r="N308" s="388"/>
      <c r="P308" s="148">
        <f t="shared" si="129"/>
        <v>0</v>
      </c>
    </row>
    <row r="309" spans="1:16" customFormat="1" ht="28" x14ac:dyDescent="0.3">
      <c r="A309" s="386" t="s">
        <v>1687</v>
      </c>
      <c r="B309" s="386" t="s">
        <v>1497</v>
      </c>
      <c r="C309" s="386" t="str">
        <f t="shared" si="126"/>
        <v>BL80-&gt;PV9-76</v>
      </c>
      <c r="D309" s="386">
        <f>957.26-955.06</f>
        <v>2.2000000000000455</v>
      </c>
      <c r="E309" s="386" t="s">
        <v>1479</v>
      </c>
      <c r="F309" s="386">
        <v>7.33</v>
      </c>
      <c r="G309" s="386"/>
      <c r="H309" s="386" t="s">
        <v>1422</v>
      </c>
      <c r="I309" s="387" t="str">
        <f t="shared" si="127"/>
        <v>BOCA DE LOBO PROJETADA DUPLA</v>
      </c>
      <c r="J309" s="396">
        <f t="shared" si="128"/>
        <v>1</v>
      </c>
      <c r="K309" s="396">
        <v>800</v>
      </c>
      <c r="L309" s="396" t="str">
        <f t="shared" si="130"/>
        <v>PROJETADA</v>
      </c>
      <c r="N309" s="388"/>
      <c r="P309" s="148">
        <f t="shared" si="129"/>
        <v>0</v>
      </c>
    </row>
    <row r="310" spans="1:16" customFormat="1" ht="28" x14ac:dyDescent="0.3">
      <c r="A310" s="386" t="s">
        <v>1688</v>
      </c>
      <c r="B310" s="386" t="s">
        <v>1500</v>
      </c>
      <c r="C310" s="386" t="str">
        <f>CONCATENATE(B310,"-&gt;",A310)</f>
        <v>BL81-&gt;PV1-77</v>
      </c>
      <c r="D310" s="386">
        <f>967.732-966.13</f>
        <v>1.6019999999999754</v>
      </c>
      <c r="E310" s="386" t="s">
        <v>1479</v>
      </c>
      <c r="F310" s="386">
        <v>5.84</v>
      </c>
      <c r="G310" s="386" t="s">
        <v>1425</v>
      </c>
      <c r="H310" s="386"/>
      <c r="I310" s="387" t="str">
        <f t="shared" si="127"/>
        <v>BOCA DE LOBO EXISTENTE SIMPLES</v>
      </c>
      <c r="J310" s="396">
        <f>IF(E310="EXISTENTE",1,0)</f>
        <v>1</v>
      </c>
      <c r="K310" s="396">
        <v>400</v>
      </c>
      <c r="L310" s="396" t="str">
        <f>IF(G310&lt;&gt;"",IF(H310&lt;&gt;"","AMPLIADA","EXISTENTE"),"PROJETADA")</f>
        <v>EXISTENTE</v>
      </c>
      <c r="N310" s="388"/>
      <c r="P310" s="148">
        <f>IF(AND(E310="PROJETADO",G310&lt;&gt;""),F310/2*(PI()*0.519*0.519/4-PI()*0.4*0.4/4),0)</f>
        <v>0</v>
      </c>
    </row>
    <row r="311" spans="1:16" customFormat="1" ht="28" x14ac:dyDescent="0.3">
      <c r="A311" s="386" t="s">
        <v>1690</v>
      </c>
      <c r="B311" s="386" t="s">
        <v>1503</v>
      </c>
      <c r="C311" s="386" t="str">
        <f>CONCATENATE(B311,"-&gt;",A311)</f>
        <v>BL82-&gt;PV2-77</v>
      </c>
      <c r="D311" s="386">
        <f>968.15-965.7</f>
        <v>2.4499999999999318</v>
      </c>
      <c r="E311" s="386" t="s">
        <v>1479</v>
      </c>
      <c r="F311" s="386">
        <v>4.5199999999999996</v>
      </c>
      <c r="G311" s="386" t="s">
        <v>1425</v>
      </c>
      <c r="H311" s="386"/>
      <c r="I311" s="387" t="str">
        <f t="shared" si="127"/>
        <v>BOCA DE LOBO EXISTENTE SIMPLES</v>
      </c>
      <c r="J311" s="396">
        <f>IF(E311="EXISTENTE",1,0)</f>
        <v>1</v>
      </c>
      <c r="K311" s="396">
        <v>400</v>
      </c>
      <c r="L311" s="396" t="str">
        <f>IF(G311&lt;&gt;"",IF(H311&lt;&gt;"","AMPLIADA","EXISTENTE"),"PROJETADA")</f>
        <v>EXISTENTE</v>
      </c>
      <c r="N311" s="388"/>
      <c r="P311" s="148">
        <f>IF(AND(E311="PROJETADO",G311&lt;&gt;""),F311/2*(PI()*0.519*0.519/4-PI()*0.4*0.4/4),0)</f>
        <v>0</v>
      </c>
    </row>
    <row r="312" spans="1:16" customFormat="1" ht="42" x14ac:dyDescent="0.3">
      <c r="A312" s="386" t="s">
        <v>1689</v>
      </c>
      <c r="B312" s="386" t="s">
        <v>1569</v>
      </c>
      <c r="C312" s="386" t="str">
        <f t="shared" si="126"/>
        <v>BL83-&gt;PV1-78</v>
      </c>
      <c r="D312" s="386">
        <f>965.52-963.57</f>
        <v>1.9499999999999318</v>
      </c>
      <c r="E312" s="386" t="s">
        <v>1479</v>
      </c>
      <c r="F312" s="386">
        <v>3.68</v>
      </c>
      <c r="G312" s="386" t="s">
        <v>1425</v>
      </c>
      <c r="H312" s="386" t="s">
        <v>1425</v>
      </c>
      <c r="I312" s="387" t="str">
        <f t="shared" si="127"/>
        <v>BOCA DE LOBO SIMPLES EXISTENTE COM BOCA DE LOBO SIMPLES PROJETADA</v>
      </c>
      <c r="J312" s="396">
        <f t="shared" si="128"/>
        <v>1</v>
      </c>
      <c r="K312" s="396">
        <v>400</v>
      </c>
      <c r="L312" s="396" t="str">
        <f t="shared" si="130"/>
        <v>AMPLIADA</v>
      </c>
      <c r="N312" s="388"/>
      <c r="P312" s="148">
        <f t="shared" si="129"/>
        <v>0</v>
      </c>
    </row>
    <row r="313" spans="1:16" customFormat="1" ht="28" x14ac:dyDescent="0.3">
      <c r="A313" s="386" t="s">
        <v>1692</v>
      </c>
      <c r="B313" s="386" t="s">
        <v>1572</v>
      </c>
      <c r="C313" s="386" t="str">
        <f>CONCATENATE(B313,"-&gt;",A313)</f>
        <v>BL84-&gt;PV2-78</v>
      </c>
      <c r="D313" s="386">
        <f>965.71-963.16</f>
        <v>2.5500000000000682</v>
      </c>
      <c r="E313" s="386" t="s">
        <v>1479</v>
      </c>
      <c r="F313" s="386">
        <v>6.21</v>
      </c>
      <c r="G313" s="386" t="s">
        <v>1422</v>
      </c>
      <c r="H313" s="386"/>
      <c r="I313" s="387" t="str">
        <f t="shared" si="127"/>
        <v>BOCA DE LOBO EXISTENTE DUPLA</v>
      </c>
      <c r="J313" s="396">
        <f>IF(E313="EXISTENTE",1,0)</f>
        <v>1</v>
      </c>
      <c r="K313" s="396">
        <v>400</v>
      </c>
      <c r="L313" s="396" t="str">
        <f>IF(G313&lt;&gt;"",IF(H313&lt;&gt;"","AMPLIADA","EXISTENTE"),"PROJETADA")</f>
        <v>EXISTENTE</v>
      </c>
      <c r="N313" s="388"/>
      <c r="P313" s="148">
        <f>IF(AND(E313="PROJETADO",G313&lt;&gt;""),F313/2*(PI()*0.519*0.519/4-PI()*0.4*0.4/4),0)</f>
        <v>0</v>
      </c>
    </row>
    <row r="314" spans="1:16" customFormat="1" ht="28" x14ac:dyDescent="0.3">
      <c r="A314" s="386" t="s">
        <v>1691</v>
      </c>
      <c r="B314" s="386" t="s">
        <v>1574</v>
      </c>
      <c r="C314" s="386" t="str">
        <f t="shared" si="126"/>
        <v>BL85-&gt;PV1-79</v>
      </c>
      <c r="D314" s="386">
        <f>964.05-962.3</f>
        <v>1.75</v>
      </c>
      <c r="E314" s="386" t="s">
        <v>1479</v>
      </c>
      <c r="F314" s="386">
        <v>6.67</v>
      </c>
      <c r="G314" s="386"/>
      <c r="H314" s="386" t="s">
        <v>1422</v>
      </c>
      <c r="I314" s="387" t="str">
        <f t="shared" si="127"/>
        <v>BOCA DE LOBO PROJETADA DUPLA</v>
      </c>
      <c r="J314" s="396">
        <f t="shared" si="128"/>
        <v>1</v>
      </c>
      <c r="K314" s="396">
        <v>400</v>
      </c>
      <c r="L314" s="396" t="str">
        <f t="shared" si="130"/>
        <v>PROJETADA</v>
      </c>
      <c r="N314" s="388"/>
      <c r="P314" s="148">
        <f t="shared" si="129"/>
        <v>0</v>
      </c>
    </row>
    <row r="315" spans="1:16" customFormat="1" ht="28" x14ac:dyDescent="0.3">
      <c r="A315" s="386" t="s">
        <v>1693</v>
      </c>
      <c r="B315" s="386" t="s">
        <v>1576</v>
      </c>
      <c r="C315" s="386" t="str">
        <f>CONCATENATE(B315,"-&gt;",A315)</f>
        <v>BL86-&gt;PV2-79</v>
      </c>
      <c r="D315" s="386">
        <f>964.27-961.6</f>
        <v>2.6699999999999591</v>
      </c>
      <c r="E315" s="386" t="s">
        <v>1479</v>
      </c>
      <c r="F315" s="386">
        <v>7.96</v>
      </c>
      <c r="G315" s="386"/>
      <c r="H315" s="386" t="s">
        <v>1422</v>
      </c>
      <c r="I315" s="387" t="str">
        <f t="shared" si="127"/>
        <v>BOCA DE LOBO PROJETADA DUPLA</v>
      </c>
      <c r="J315" s="396">
        <f>IF(E315="EXISTENTE",1,0)</f>
        <v>1</v>
      </c>
      <c r="K315" s="396">
        <v>400</v>
      </c>
      <c r="L315" s="396" t="str">
        <f>IF(G315&lt;&gt;"",IF(H315&lt;&gt;"","AMPLIADA","EXISTENTE"),"PROJETADA")</f>
        <v>PROJETADA</v>
      </c>
      <c r="N315" s="388"/>
      <c r="P315" s="148">
        <f>IF(AND(E315="PROJETADO",G315&lt;&gt;""),F315/2*(PI()*0.519*0.519/4-PI()*0.4*0.4/4),0)</f>
        <v>0</v>
      </c>
    </row>
    <row r="316" spans="1:16" customFormat="1" ht="42" x14ac:dyDescent="0.3">
      <c r="A316" s="386" t="s">
        <v>1694</v>
      </c>
      <c r="B316" s="386" t="s">
        <v>1578</v>
      </c>
      <c r="C316" s="386" t="str">
        <f t="shared" si="126"/>
        <v>BL87-&gt;PV1-80</v>
      </c>
      <c r="D316" s="386">
        <f>962.03-960.58</f>
        <v>1.4499999999999318</v>
      </c>
      <c r="E316" s="386" t="s">
        <v>1479</v>
      </c>
      <c r="F316" s="386">
        <v>3.68</v>
      </c>
      <c r="G316" s="386" t="s">
        <v>1425</v>
      </c>
      <c r="H316" s="386" t="s">
        <v>1425</v>
      </c>
      <c r="I316" s="387" t="str">
        <f t="shared" si="127"/>
        <v>BOCA DE LOBO SIMPLES EXISTENTE COM BOCA DE LOBO SIMPLES PROJETADA</v>
      </c>
      <c r="J316" s="396">
        <f t="shared" si="128"/>
        <v>1</v>
      </c>
      <c r="K316" s="396">
        <v>400</v>
      </c>
      <c r="L316" s="396" t="str">
        <f t="shared" si="130"/>
        <v>AMPLIADA</v>
      </c>
      <c r="N316" s="388"/>
      <c r="P316" s="148">
        <f t="shared" si="129"/>
        <v>0</v>
      </c>
    </row>
    <row r="317" spans="1:16" customFormat="1" ht="28" x14ac:dyDescent="0.3">
      <c r="A317" s="386" t="s">
        <v>1695</v>
      </c>
      <c r="B317" s="386" t="s">
        <v>1579</v>
      </c>
      <c r="C317" s="386" t="str">
        <f t="shared" ref="C317" si="131">CONCATENATE(B317,"-&gt;",A317)</f>
        <v>BL88-&gt;PV2-80</v>
      </c>
      <c r="D317" s="386">
        <f>962.206-959.96</f>
        <v>2.2459999999999809</v>
      </c>
      <c r="E317" s="386" t="s">
        <v>1479</v>
      </c>
      <c r="F317" s="386">
        <v>3.68</v>
      </c>
      <c r="G317" s="386" t="s">
        <v>1425</v>
      </c>
      <c r="H317" s="386"/>
      <c r="I317" s="387" t="str">
        <f t="shared" si="127"/>
        <v>BOCA DE LOBO EXISTENTE SIMPLES</v>
      </c>
      <c r="J317" s="396">
        <f t="shared" ref="J317" si="132">IF(E317="EXISTENTE",1,0)</f>
        <v>1</v>
      </c>
      <c r="K317" s="396">
        <v>400</v>
      </c>
      <c r="L317" s="396" t="str">
        <f t="shared" ref="L317" si="133">IF(G317&lt;&gt;"",IF(H317&lt;&gt;"","AMPLIADA","EXISTENTE"),"PROJETADA")</f>
        <v>EXISTENTE</v>
      </c>
      <c r="N317" s="388"/>
      <c r="P317" s="148">
        <f t="shared" ref="P317" si="134">IF(AND(E317="PROJETADO",G317&lt;&gt;""),F317/2*(PI()*0.519*0.519/4-PI()*0.4*0.4/4),0)</f>
        <v>0</v>
      </c>
    </row>
    <row r="318" spans="1:16" customFormat="1" ht="42" x14ac:dyDescent="0.3">
      <c r="A318" s="386" t="s">
        <v>1696</v>
      </c>
      <c r="B318" s="386" t="s">
        <v>1697</v>
      </c>
      <c r="C318" s="386" t="str">
        <f t="shared" si="126"/>
        <v>BL89-&gt;PV1-81</v>
      </c>
      <c r="D318" s="386">
        <f>959.94-958.34</f>
        <v>1.6000000000000227</v>
      </c>
      <c r="E318" s="386" t="s">
        <v>1479</v>
      </c>
      <c r="F318" s="386">
        <v>6.57</v>
      </c>
      <c r="G318" s="386" t="s">
        <v>1425</v>
      </c>
      <c r="H318" s="386" t="s">
        <v>1425</v>
      </c>
      <c r="I318" s="387" t="str">
        <f t="shared" si="127"/>
        <v>BOCA DE LOBO SIMPLES EXISTENTE COM BOCA DE LOBO SIMPLES PROJETADA</v>
      </c>
      <c r="J318" s="396">
        <f t="shared" si="128"/>
        <v>1</v>
      </c>
      <c r="K318" s="396">
        <v>400</v>
      </c>
      <c r="L318" s="396" t="str">
        <f t="shared" si="130"/>
        <v>AMPLIADA</v>
      </c>
      <c r="N318" s="388"/>
      <c r="P318" s="148">
        <f t="shared" si="129"/>
        <v>0</v>
      </c>
    </row>
    <row r="319" spans="1:16" customFormat="1" ht="28" x14ac:dyDescent="0.3">
      <c r="A319" s="386" t="s">
        <v>1698</v>
      </c>
      <c r="B319" s="386" t="s">
        <v>1699</v>
      </c>
      <c r="C319" s="386" t="str">
        <f t="shared" ref="C319" si="135">CONCATENATE(B319,"-&gt;",A319)</f>
        <v>BL90-&gt;PV1-82</v>
      </c>
      <c r="D319" s="386">
        <f>957.69-955.64</f>
        <v>2.0500000000000682</v>
      </c>
      <c r="E319" s="386" t="s">
        <v>1479</v>
      </c>
      <c r="F319" s="386">
        <v>9.2799999999999994</v>
      </c>
      <c r="G319" s="386"/>
      <c r="H319" s="386" t="s">
        <v>1422</v>
      </c>
      <c r="I319" s="387" t="str">
        <f t="shared" si="127"/>
        <v>BOCA DE LOBO PROJETADA DUPLA</v>
      </c>
      <c r="J319" s="396">
        <f t="shared" ref="J319" si="136">IF(E319="EXISTENTE",1,0)</f>
        <v>1</v>
      </c>
      <c r="K319" s="396">
        <v>400</v>
      </c>
      <c r="L319" s="396" t="str">
        <f t="shared" ref="L319" si="137">IF(G319&lt;&gt;"",IF(H319&lt;&gt;"","AMPLIADA","EXISTENTE"),"PROJETADA")</f>
        <v>PROJETADA</v>
      </c>
      <c r="N319" s="388"/>
      <c r="P319" s="148">
        <f t="shared" ref="P319" si="138">IF(AND(E319="PROJETADO",G319&lt;&gt;""),F319/2*(PI()*0.519*0.519/4-PI()*0.4*0.4/4),0)</f>
        <v>0</v>
      </c>
    </row>
    <row r="320" spans="1:16" customFormat="1" ht="28" x14ac:dyDescent="0.3">
      <c r="A320" s="386" t="s">
        <v>1700</v>
      </c>
      <c r="B320" s="386" t="s">
        <v>1701</v>
      </c>
      <c r="C320" s="386" t="str">
        <f t="shared" si="126"/>
        <v>BL91-&gt;PV1-83</v>
      </c>
      <c r="D320" s="386">
        <f>954.25-952.55</f>
        <v>1.7000000000000455</v>
      </c>
      <c r="E320" s="386" t="s">
        <v>1479</v>
      </c>
      <c r="F320" s="386">
        <v>5.46</v>
      </c>
      <c r="G320" s="386" t="s">
        <v>1422</v>
      </c>
      <c r="H320" s="386"/>
      <c r="I320" s="387" t="str">
        <f t="shared" si="127"/>
        <v>BOCA DE LOBO EXISTENTE DUPLA</v>
      </c>
      <c r="J320" s="396">
        <f t="shared" si="128"/>
        <v>1</v>
      </c>
      <c r="K320" s="396">
        <v>400</v>
      </c>
      <c r="L320" s="396" t="str">
        <f t="shared" si="130"/>
        <v>EXISTENTE</v>
      </c>
      <c r="N320" s="388"/>
      <c r="P320" s="148">
        <f t="shared" si="129"/>
        <v>0</v>
      </c>
    </row>
    <row r="321" spans="1:16" customFormat="1" ht="28" x14ac:dyDescent="0.3">
      <c r="A321" s="386" t="s">
        <v>1702</v>
      </c>
      <c r="B321" s="386" t="s">
        <v>1703</v>
      </c>
      <c r="C321" s="386" t="str">
        <f t="shared" si="126"/>
        <v>BL92-&gt;PV1-84</v>
      </c>
      <c r="D321" s="386">
        <f>952.61-951.41</f>
        <v>1.2000000000000455</v>
      </c>
      <c r="E321" s="386" t="s">
        <v>1479</v>
      </c>
      <c r="F321" s="386">
        <v>3.22</v>
      </c>
      <c r="G321" s="386" t="s">
        <v>1422</v>
      </c>
      <c r="H321" s="386"/>
      <c r="I321" s="387" t="str">
        <f t="shared" si="127"/>
        <v>BOCA DE LOBO EXISTENTE DUPLA</v>
      </c>
      <c r="J321" s="396">
        <f t="shared" si="128"/>
        <v>1</v>
      </c>
      <c r="K321" s="396">
        <v>400</v>
      </c>
      <c r="L321" s="396" t="str">
        <f t="shared" si="130"/>
        <v>EXISTENTE</v>
      </c>
      <c r="N321" s="388"/>
      <c r="P321" s="148">
        <f t="shared" si="129"/>
        <v>0</v>
      </c>
    </row>
    <row r="322" spans="1:16" customFormat="1" ht="42" x14ac:dyDescent="0.3">
      <c r="A322" s="386" t="s">
        <v>1704</v>
      </c>
      <c r="B322" s="386" t="s">
        <v>1705</v>
      </c>
      <c r="C322" s="386" t="str">
        <f t="shared" si="126"/>
        <v>BL93-&gt;PV1-85</v>
      </c>
      <c r="D322" s="386">
        <f>969.57-967.82</f>
        <v>1.75</v>
      </c>
      <c r="E322" s="386" t="s">
        <v>1479</v>
      </c>
      <c r="F322" s="386">
        <v>7.52</v>
      </c>
      <c r="G322" s="386" t="s">
        <v>1425</v>
      </c>
      <c r="H322" s="386" t="s">
        <v>1425</v>
      </c>
      <c r="I322" s="387" t="str">
        <f t="shared" si="127"/>
        <v>BOCA DE LOBO SIMPLES EXISTENTE COM BOCA DE LOBO SIMPLES PROJETADA</v>
      </c>
      <c r="J322" s="396">
        <f t="shared" si="128"/>
        <v>1</v>
      </c>
      <c r="K322" s="396">
        <v>400</v>
      </c>
      <c r="L322" s="396" t="str">
        <f t="shared" si="130"/>
        <v>AMPLIADA</v>
      </c>
      <c r="N322" s="388"/>
      <c r="P322" s="148">
        <f t="shared" si="129"/>
        <v>0</v>
      </c>
    </row>
    <row r="323" spans="1:16" customFormat="1" ht="42" x14ac:dyDescent="0.3">
      <c r="A323" s="386" t="s">
        <v>1706</v>
      </c>
      <c r="B323" s="386" t="s">
        <v>1707</v>
      </c>
      <c r="C323" s="386" t="str">
        <f t="shared" si="126"/>
        <v>BL94-&gt;PV2-85</v>
      </c>
      <c r="D323" s="386">
        <f>969.08-966.95</f>
        <v>2.1299999999999955</v>
      </c>
      <c r="E323" s="386" t="s">
        <v>1479</v>
      </c>
      <c r="F323" s="386">
        <v>4.05</v>
      </c>
      <c r="G323" s="386" t="s">
        <v>1425</v>
      </c>
      <c r="H323" s="386" t="s">
        <v>1425</v>
      </c>
      <c r="I323" s="387" t="str">
        <f t="shared" si="127"/>
        <v>BOCA DE LOBO SIMPLES EXISTENTE COM BOCA DE LOBO SIMPLES PROJETADA</v>
      </c>
      <c r="J323" s="396">
        <f t="shared" si="128"/>
        <v>1</v>
      </c>
      <c r="K323" s="396">
        <v>400</v>
      </c>
      <c r="L323" s="396" t="str">
        <f t="shared" si="130"/>
        <v>AMPLIADA</v>
      </c>
      <c r="N323" s="388"/>
      <c r="P323" s="148">
        <f t="shared" si="129"/>
        <v>0</v>
      </c>
    </row>
    <row r="324" spans="1:16" customFormat="1" ht="28" x14ac:dyDescent="0.3">
      <c r="A324" s="386" t="s">
        <v>1708</v>
      </c>
      <c r="B324" s="386" t="s">
        <v>1709</v>
      </c>
      <c r="C324" s="386" t="str">
        <f t="shared" ref="C324" si="139">CONCATENATE(B324,"-&gt;",A324)</f>
        <v>BL95-&gt;PV1-86</v>
      </c>
      <c r="D324" s="386">
        <f>948.92-947.32</f>
        <v>1.5999999999999091</v>
      </c>
      <c r="E324" s="386" t="s">
        <v>1479</v>
      </c>
      <c r="F324" s="386">
        <v>13.66</v>
      </c>
      <c r="G324" s="386"/>
      <c r="H324" s="386" t="s">
        <v>1409</v>
      </c>
      <c r="I324" s="387" t="str">
        <f t="shared" si="127"/>
        <v>BOCA DE LOBO PROJETADA TRIPLA</v>
      </c>
      <c r="J324" s="396">
        <f t="shared" ref="J324" si="140">IF(E324="EXISTENTE",1,0)</f>
        <v>1</v>
      </c>
      <c r="K324" s="396">
        <v>400</v>
      </c>
      <c r="L324" s="396" t="str">
        <f t="shared" ref="L324" si="141">IF(G324&lt;&gt;"",IF(H324&lt;&gt;"","AMPLIADA","EXISTENTE"),"PROJETADA")</f>
        <v>PROJETADA</v>
      </c>
      <c r="N324" s="388"/>
      <c r="P324" s="148">
        <f t="shared" ref="P324" si="142">IF(AND(E324="PROJETADO",G324&lt;&gt;""),F324/2*(PI()*0.519*0.519/4-PI()*0.4*0.4/4),0)</f>
        <v>0</v>
      </c>
    </row>
    <row r="325" spans="1:16" s="358" customFormat="1" ht="14" x14ac:dyDescent="0.3">
      <c r="A325" s="593"/>
      <c r="B325" s="593"/>
      <c r="C325" s="594"/>
      <c r="D325" s="593"/>
      <c r="E325" s="593" t="s">
        <v>5</v>
      </c>
      <c r="F325" s="593">
        <f>SUM(F229:F324)</f>
        <v>601.26999999999975</v>
      </c>
      <c r="G325" s="593"/>
      <c r="H325" s="593"/>
      <c r="I325" s="595"/>
      <c r="J325" s="593"/>
      <c r="K325" s="593"/>
      <c r="L325" s="593"/>
      <c r="N325" s="591"/>
    </row>
  </sheetData>
  <autoFilter ref="A2:P94" xr:uid="{A0C86D76-FB5E-4A57-8A5F-F6C6EB5B339F}"/>
  <mergeCells count="4">
    <mergeCell ref="A1:L1"/>
    <mergeCell ref="A96:L96"/>
    <mergeCell ref="A175:L175"/>
    <mergeCell ref="A226:L226"/>
  </mergeCells>
  <phoneticPr fontId="38"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B5469-E00F-4F7C-843C-3B28632BE6AA}">
  <dimension ref="A1:T30"/>
  <sheetViews>
    <sheetView view="pageBreakPreview" zoomScale="90" zoomScaleNormal="100" zoomScaleSheetLayoutView="90" workbookViewId="0">
      <selection sqref="A1:XFD1048576"/>
    </sheetView>
  </sheetViews>
  <sheetFormatPr defaultRowHeight="14" x14ac:dyDescent="0.3"/>
  <cols>
    <col min="1" max="1" width="20" style="5" bestFit="1" customWidth="1"/>
    <col min="2" max="2" width="60" style="5" bestFit="1" customWidth="1"/>
    <col min="3" max="3" width="40.58203125" style="5" customWidth="1"/>
    <col min="4" max="19" width="12.33203125" style="5" customWidth="1"/>
    <col min="20" max="20" width="12" style="860" bestFit="1" customWidth="1"/>
    <col min="21" max="33" width="12" style="5" bestFit="1" customWidth="1"/>
    <col min="34" max="16384" width="8.6640625" style="5"/>
  </cols>
  <sheetData>
    <row r="1" spans="1:19" s="860" customFormat="1" ht="30.5" customHeight="1" x14ac:dyDescent="0.3">
      <c r="A1" s="861"/>
      <c r="B1" s="861" t="s">
        <v>0</v>
      </c>
      <c r="C1" s="861" t="s">
        <v>1</v>
      </c>
      <c r="D1" s="961" t="s">
        <v>10</v>
      </c>
      <c r="E1" s="961"/>
      <c r="F1" s="957" t="s">
        <v>11</v>
      </c>
      <c r="G1" s="957"/>
    </row>
    <row r="2" spans="1:19" s="860" customFormat="1" ht="135" customHeight="1" x14ac:dyDescent="0.3">
      <c r="A2" s="862"/>
      <c r="B2" s="862" t="s">
        <v>17042</v>
      </c>
      <c r="C2" s="862" t="s">
        <v>4452</v>
      </c>
      <c r="D2" s="962" t="s">
        <v>12</v>
      </c>
      <c r="E2" s="962"/>
      <c r="F2" s="958" t="s">
        <v>16941</v>
      </c>
      <c r="G2" s="958"/>
    </row>
    <row r="3" spans="1:19" ht="15" customHeight="1" x14ac:dyDescent="0.3">
      <c r="A3" s="841" t="s">
        <v>2402</v>
      </c>
      <c r="B3" s="842"/>
      <c r="C3" s="842"/>
      <c r="D3" s="842"/>
      <c r="E3" s="842"/>
      <c r="F3" s="842"/>
      <c r="G3" s="842"/>
      <c r="H3" s="842"/>
      <c r="I3" s="842"/>
      <c r="J3" s="842"/>
      <c r="K3" s="842"/>
      <c r="L3" s="842"/>
      <c r="M3" s="842"/>
      <c r="N3" s="842"/>
      <c r="O3" s="842"/>
      <c r="P3" s="842"/>
      <c r="Q3" s="842"/>
      <c r="R3" s="842"/>
      <c r="S3" s="842"/>
    </row>
    <row r="4" spans="1:19" x14ac:dyDescent="0.3">
      <c r="A4" s="22" t="s">
        <v>14</v>
      </c>
      <c r="B4" s="843" t="s">
        <v>17</v>
      </c>
      <c r="C4" s="844" t="s">
        <v>2403</v>
      </c>
      <c r="D4" s="858" t="s">
        <v>2404</v>
      </c>
      <c r="E4" s="858" t="s">
        <v>2405</v>
      </c>
      <c r="F4" s="858" t="s">
        <v>2406</v>
      </c>
      <c r="G4" s="858" t="s">
        <v>2407</v>
      </c>
      <c r="H4" s="858" t="s">
        <v>2408</v>
      </c>
      <c r="I4" s="858" t="s">
        <v>2409</v>
      </c>
      <c r="J4" s="858" t="s">
        <v>2410</v>
      </c>
      <c r="K4" s="858" t="s">
        <v>2411</v>
      </c>
      <c r="L4" s="859" t="s">
        <v>2412</v>
      </c>
      <c r="M4" s="858" t="s">
        <v>17035</v>
      </c>
      <c r="N4" s="858" t="s">
        <v>17036</v>
      </c>
      <c r="O4" s="858" t="s">
        <v>17037</v>
      </c>
      <c r="P4" s="858" t="s">
        <v>17038</v>
      </c>
      <c r="Q4" s="858" t="s">
        <v>17039</v>
      </c>
      <c r="R4" s="858" t="s">
        <v>17040</v>
      </c>
      <c r="S4" s="859" t="s">
        <v>17041</v>
      </c>
    </row>
    <row r="5" spans="1:19" ht="24" customHeight="1" x14ac:dyDescent="0.3">
      <c r="A5" s="845"/>
      <c r="B5" s="846"/>
      <c r="C5" s="20">
        <v>1</v>
      </c>
      <c r="D5" s="839">
        <v>0.25</v>
      </c>
      <c r="E5" s="839">
        <v>0.25</v>
      </c>
      <c r="F5" s="839">
        <v>0.25</v>
      </c>
      <c r="G5" s="839">
        <v>0.25</v>
      </c>
      <c r="H5" s="69"/>
      <c r="I5" s="69"/>
      <c r="J5" s="69"/>
      <c r="K5" s="69"/>
      <c r="L5" s="69"/>
      <c r="M5" s="69"/>
      <c r="N5" s="69"/>
      <c r="O5" s="69"/>
      <c r="P5" s="69"/>
      <c r="Q5" s="69"/>
      <c r="R5" s="69"/>
      <c r="S5" s="69"/>
    </row>
    <row r="6" spans="1:19" ht="24" customHeight="1" x14ac:dyDescent="0.3">
      <c r="A6" s="18" t="s">
        <v>2254</v>
      </c>
      <c r="B6" s="847" t="s">
        <v>17033</v>
      </c>
      <c r="C6" s="21">
        <v>47434.53</v>
      </c>
      <c r="D6" s="837">
        <v>11858.6325</v>
      </c>
      <c r="E6" s="837">
        <v>11858.6325</v>
      </c>
      <c r="F6" s="837">
        <v>11858.6325</v>
      </c>
      <c r="G6" s="837">
        <v>11858.6325</v>
      </c>
      <c r="H6" s="837"/>
      <c r="I6" s="837"/>
      <c r="J6" s="837"/>
      <c r="K6" s="837"/>
      <c r="L6" s="837"/>
      <c r="M6" s="837"/>
      <c r="N6" s="837"/>
      <c r="O6" s="837"/>
      <c r="P6" s="837"/>
      <c r="Q6" s="837"/>
      <c r="R6" s="837"/>
      <c r="S6" s="837"/>
    </row>
    <row r="7" spans="1:19" ht="24" customHeight="1" x14ac:dyDescent="0.3">
      <c r="A7" s="845"/>
      <c r="B7" s="846"/>
      <c r="C7" s="20">
        <v>0.99999999999999978</v>
      </c>
      <c r="D7" s="838"/>
      <c r="E7" s="838"/>
      <c r="F7" s="838"/>
      <c r="G7" s="838"/>
      <c r="H7" s="840">
        <v>0.08</v>
      </c>
      <c r="I7" s="840">
        <v>0.08</v>
      </c>
      <c r="J7" s="840">
        <v>0.08</v>
      </c>
      <c r="K7" s="840">
        <v>0.08</v>
      </c>
      <c r="L7" s="840">
        <v>0.09</v>
      </c>
      <c r="M7" s="840">
        <v>0.09</v>
      </c>
      <c r="N7" s="840">
        <v>0.09</v>
      </c>
      <c r="O7" s="840">
        <v>0.09</v>
      </c>
      <c r="P7" s="840">
        <v>0.08</v>
      </c>
      <c r="Q7" s="840">
        <v>0.08</v>
      </c>
      <c r="R7" s="840">
        <v>0.08</v>
      </c>
      <c r="S7" s="840">
        <v>0.08</v>
      </c>
    </row>
    <row r="8" spans="1:19" ht="24" customHeight="1" x14ac:dyDescent="0.3">
      <c r="A8" s="18">
        <v>1</v>
      </c>
      <c r="B8" s="847" t="s">
        <v>25</v>
      </c>
      <c r="C8" s="21">
        <v>1905414.5399999998</v>
      </c>
      <c r="D8" s="837"/>
      <c r="E8" s="837"/>
      <c r="F8" s="837"/>
      <c r="G8" s="837"/>
      <c r="H8" s="837">
        <v>152433.16319999998</v>
      </c>
      <c r="I8" s="837">
        <v>152433.16319999998</v>
      </c>
      <c r="J8" s="837">
        <v>152433.16319999998</v>
      </c>
      <c r="K8" s="837">
        <v>152433.16319999998</v>
      </c>
      <c r="L8" s="837">
        <v>171487.30859999999</v>
      </c>
      <c r="M8" s="837">
        <v>171487.30859999999</v>
      </c>
      <c r="N8" s="837">
        <v>171487.30859999999</v>
      </c>
      <c r="O8" s="837">
        <v>171487.30859999999</v>
      </c>
      <c r="P8" s="837">
        <v>152433.16319999998</v>
      </c>
      <c r="Q8" s="837">
        <v>152433.16319999998</v>
      </c>
      <c r="R8" s="837">
        <v>152433.16319999998</v>
      </c>
      <c r="S8" s="837">
        <v>152433.16319999998</v>
      </c>
    </row>
    <row r="9" spans="1:19" ht="24" customHeight="1" x14ac:dyDescent="0.3">
      <c r="A9" s="848"/>
      <c r="C9" s="20">
        <v>1</v>
      </c>
      <c r="D9" s="838"/>
      <c r="E9" s="838"/>
      <c r="F9" s="838"/>
      <c r="G9" s="838"/>
      <c r="H9" s="840">
        <v>0.5</v>
      </c>
      <c r="I9" s="838"/>
      <c r="J9" s="838"/>
      <c r="K9" s="838"/>
      <c r="L9" s="838"/>
      <c r="M9" s="838"/>
      <c r="N9" s="838"/>
      <c r="O9" s="838"/>
      <c r="P9" s="838"/>
      <c r="Q9" s="838"/>
      <c r="R9" s="838"/>
      <c r="S9" s="840">
        <v>0.5</v>
      </c>
    </row>
    <row r="10" spans="1:19" ht="24" customHeight="1" x14ac:dyDescent="0.3">
      <c r="A10" s="17">
        <v>2</v>
      </c>
      <c r="B10" s="849" t="s">
        <v>135</v>
      </c>
      <c r="C10" s="21">
        <v>36999.160000000003</v>
      </c>
      <c r="D10" s="837"/>
      <c r="E10" s="837"/>
      <c r="F10" s="837"/>
      <c r="G10" s="837"/>
      <c r="H10" s="837">
        <v>18499.580000000002</v>
      </c>
      <c r="I10" s="837"/>
      <c r="J10" s="837"/>
      <c r="K10" s="837"/>
      <c r="L10" s="837"/>
      <c r="M10" s="837"/>
      <c r="N10" s="837"/>
      <c r="O10" s="837"/>
      <c r="P10" s="837"/>
      <c r="Q10" s="837"/>
      <c r="R10" s="837"/>
      <c r="S10" s="837">
        <v>18499.580000000002</v>
      </c>
    </row>
    <row r="11" spans="1:19" ht="24" customHeight="1" x14ac:dyDescent="0.3">
      <c r="A11" s="845"/>
      <c r="B11" s="846"/>
      <c r="C11" s="20">
        <v>1</v>
      </c>
      <c r="D11" s="838"/>
      <c r="E11" s="838"/>
      <c r="F11" s="838"/>
      <c r="G11" s="838"/>
      <c r="H11" s="840">
        <v>0.9</v>
      </c>
      <c r="I11" s="838"/>
      <c r="J11" s="838"/>
      <c r="K11" s="838"/>
      <c r="L11" s="838"/>
      <c r="M11" s="838"/>
      <c r="N11" s="838"/>
      <c r="O11" s="838"/>
      <c r="P11" s="838"/>
      <c r="Q11" s="838"/>
      <c r="R11" s="838"/>
      <c r="S11" s="840">
        <v>0.1</v>
      </c>
    </row>
    <row r="12" spans="1:19" ht="24" customHeight="1" x14ac:dyDescent="0.3">
      <c r="A12" s="18">
        <v>3</v>
      </c>
      <c r="B12" s="847" t="s">
        <v>141</v>
      </c>
      <c r="C12" s="21">
        <v>268402.71999999997</v>
      </c>
      <c r="D12" s="837"/>
      <c r="E12" s="837"/>
      <c r="F12" s="837"/>
      <c r="G12" s="837"/>
      <c r="H12" s="837">
        <v>241562.44799999997</v>
      </c>
      <c r="I12" s="837"/>
      <c r="J12" s="837"/>
      <c r="K12" s="837"/>
      <c r="L12" s="837"/>
      <c r="M12" s="837"/>
      <c r="N12" s="837"/>
      <c r="O12" s="837"/>
      <c r="P12" s="837"/>
      <c r="Q12" s="837"/>
      <c r="R12" s="837"/>
      <c r="S12" s="837">
        <v>26840.271999999997</v>
      </c>
    </row>
    <row r="13" spans="1:19" ht="24" customHeight="1" x14ac:dyDescent="0.3">
      <c r="A13" s="848"/>
      <c r="C13" s="20">
        <v>1</v>
      </c>
      <c r="D13" s="838"/>
      <c r="E13" s="838"/>
      <c r="F13" s="838"/>
      <c r="G13" s="838"/>
      <c r="H13" s="838"/>
      <c r="I13" s="840">
        <v>0.2</v>
      </c>
      <c r="J13" s="840">
        <v>0.2</v>
      </c>
      <c r="K13" s="840">
        <v>0.2</v>
      </c>
      <c r="L13" s="840">
        <v>0.2</v>
      </c>
      <c r="M13" s="840">
        <v>0.2</v>
      </c>
      <c r="N13" s="838"/>
      <c r="O13" s="838"/>
      <c r="P13" s="838"/>
      <c r="Q13" s="838"/>
      <c r="R13" s="838"/>
      <c r="S13" s="838"/>
    </row>
    <row r="14" spans="1:19" ht="24" customHeight="1" x14ac:dyDescent="0.3">
      <c r="A14" s="17">
        <v>4</v>
      </c>
      <c r="B14" s="849" t="s">
        <v>182</v>
      </c>
      <c r="C14" s="21">
        <v>4665326.6499999994</v>
      </c>
      <c r="D14" s="837"/>
      <c r="E14" s="837"/>
      <c r="F14" s="837"/>
      <c r="G14" s="837"/>
      <c r="H14" s="837"/>
      <c r="I14" s="837">
        <v>933065.33</v>
      </c>
      <c r="J14" s="837">
        <v>933065.33</v>
      </c>
      <c r="K14" s="837">
        <v>933065.33</v>
      </c>
      <c r="L14" s="837">
        <v>933065.33</v>
      </c>
      <c r="M14" s="837">
        <v>933065.33</v>
      </c>
      <c r="N14" s="837"/>
      <c r="O14" s="837"/>
      <c r="P14" s="837"/>
      <c r="Q14" s="837"/>
      <c r="R14" s="837"/>
      <c r="S14" s="837"/>
    </row>
    <row r="15" spans="1:19" ht="24" customHeight="1" x14ac:dyDescent="0.3">
      <c r="A15" s="845"/>
      <c r="B15" s="846"/>
      <c r="C15" s="20">
        <v>1</v>
      </c>
      <c r="D15" s="838"/>
      <c r="E15" s="838"/>
      <c r="F15" s="838"/>
      <c r="G15" s="838"/>
      <c r="H15" s="838"/>
      <c r="I15" s="838"/>
      <c r="J15" s="838"/>
      <c r="K15" s="838"/>
      <c r="L15" s="840">
        <v>0.2</v>
      </c>
      <c r="M15" s="840">
        <v>0.2</v>
      </c>
      <c r="N15" s="840">
        <v>0.2</v>
      </c>
      <c r="O15" s="840">
        <v>0.2</v>
      </c>
      <c r="P15" s="840">
        <v>0.2</v>
      </c>
      <c r="Q15" s="838"/>
      <c r="R15" s="838"/>
      <c r="S15" s="838"/>
    </row>
    <row r="16" spans="1:19" ht="24" customHeight="1" x14ac:dyDescent="0.3">
      <c r="A16" s="18">
        <v>5</v>
      </c>
      <c r="B16" s="847" t="s">
        <v>645</v>
      </c>
      <c r="C16" s="21">
        <v>4893242.7100000009</v>
      </c>
      <c r="D16" s="837"/>
      <c r="E16" s="837"/>
      <c r="F16" s="837"/>
      <c r="G16" s="837"/>
      <c r="H16" s="837"/>
      <c r="I16" s="837"/>
      <c r="J16" s="837"/>
      <c r="K16" s="837"/>
      <c r="L16" s="837">
        <v>978648.54200000025</v>
      </c>
      <c r="M16" s="837">
        <v>978648.54200000025</v>
      </c>
      <c r="N16" s="837">
        <v>978648.54200000025</v>
      </c>
      <c r="O16" s="837">
        <v>978648.54200000025</v>
      </c>
      <c r="P16" s="837">
        <v>978648.54200000025</v>
      </c>
      <c r="Q16" s="837"/>
      <c r="R16" s="837"/>
      <c r="S16" s="837"/>
    </row>
    <row r="17" spans="1:19" ht="24" customHeight="1" x14ac:dyDescent="0.3">
      <c r="A17" s="848"/>
      <c r="C17" s="20">
        <v>1</v>
      </c>
      <c r="D17" s="838"/>
      <c r="E17" s="838"/>
      <c r="F17" s="838"/>
      <c r="G17" s="838"/>
      <c r="H17" s="838"/>
      <c r="I17" s="838"/>
      <c r="J17" s="838"/>
      <c r="K17" s="838"/>
      <c r="L17" s="838"/>
      <c r="M17" s="840">
        <v>0.2</v>
      </c>
      <c r="N17" s="840">
        <v>0.2</v>
      </c>
      <c r="O17" s="840">
        <v>0.2</v>
      </c>
      <c r="P17" s="840">
        <v>0.2</v>
      </c>
      <c r="Q17" s="840">
        <v>0.2</v>
      </c>
      <c r="R17" s="838"/>
      <c r="S17" s="838"/>
    </row>
    <row r="18" spans="1:19" ht="24" customHeight="1" x14ac:dyDescent="0.3">
      <c r="A18" s="17">
        <v>6</v>
      </c>
      <c r="B18" s="849" t="s">
        <v>873</v>
      </c>
      <c r="C18" s="21">
        <v>2204000.6299999994</v>
      </c>
      <c r="D18" s="837"/>
      <c r="E18" s="837"/>
      <c r="F18" s="837"/>
      <c r="G18" s="837"/>
      <c r="H18" s="837"/>
      <c r="I18" s="837"/>
      <c r="J18" s="837"/>
      <c r="K18" s="837"/>
      <c r="L18" s="837"/>
      <c r="M18" s="837">
        <v>440800.12599999993</v>
      </c>
      <c r="N18" s="837">
        <v>440800.12599999993</v>
      </c>
      <c r="O18" s="837">
        <v>440800.12599999993</v>
      </c>
      <c r="P18" s="837">
        <v>440800.12599999993</v>
      </c>
      <c r="Q18" s="837">
        <v>440800.12599999993</v>
      </c>
      <c r="R18" s="837"/>
      <c r="S18" s="837"/>
    </row>
    <row r="19" spans="1:19" ht="24" customHeight="1" x14ac:dyDescent="0.3">
      <c r="A19" s="845"/>
      <c r="B19" s="846"/>
      <c r="C19" s="20">
        <v>1</v>
      </c>
      <c r="D19" s="838"/>
      <c r="E19" s="838"/>
      <c r="F19" s="838"/>
      <c r="G19" s="838"/>
      <c r="H19" s="838"/>
      <c r="I19" s="838"/>
      <c r="J19" s="838"/>
      <c r="K19" s="838"/>
      <c r="L19" s="838"/>
      <c r="M19" s="838"/>
      <c r="N19" s="840">
        <v>0.2</v>
      </c>
      <c r="O19" s="840">
        <v>0.2</v>
      </c>
      <c r="P19" s="840">
        <v>0.2</v>
      </c>
      <c r="Q19" s="840">
        <v>0.2</v>
      </c>
      <c r="R19" s="840">
        <v>0.1</v>
      </c>
      <c r="S19" s="840">
        <v>0.1</v>
      </c>
    </row>
    <row r="20" spans="1:19" ht="24" customHeight="1" x14ac:dyDescent="0.3">
      <c r="A20" s="16">
        <v>7</v>
      </c>
      <c r="B20" s="850" t="s">
        <v>1068</v>
      </c>
      <c r="C20" s="19">
        <v>8416180.5200000014</v>
      </c>
      <c r="D20" s="837"/>
      <c r="E20" s="837"/>
      <c r="F20" s="837"/>
      <c r="G20" s="837"/>
      <c r="H20" s="837"/>
      <c r="I20" s="837"/>
      <c r="J20" s="837"/>
      <c r="K20" s="837"/>
      <c r="L20" s="837"/>
      <c r="M20" s="837"/>
      <c r="N20" s="837">
        <v>1683236.1040000003</v>
      </c>
      <c r="O20" s="837">
        <v>1683236.1040000003</v>
      </c>
      <c r="P20" s="837">
        <v>1683236.1040000003</v>
      </c>
      <c r="Q20" s="837">
        <v>1683236.1040000003</v>
      </c>
      <c r="R20" s="837">
        <v>841618.05200000014</v>
      </c>
      <c r="S20" s="837">
        <v>841618.05200000014</v>
      </c>
    </row>
    <row r="21" spans="1:19" ht="24" customHeight="1" x14ac:dyDescent="0.3">
      <c r="A21" s="845"/>
      <c r="B21" s="846"/>
      <c r="C21" s="20">
        <v>1</v>
      </c>
      <c r="D21" s="838"/>
      <c r="E21" s="838"/>
      <c r="F21" s="838"/>
      <c r="G21" s="838"/>
      <c r="H21" s="838"/>
      <c r="I21" s="838"/>
      <c r="J21" s="838"/>
      <c r="K21" s="838"/>
      <c r="L21" s="838"/>
      <c r="M21" s="838"/>
      <c r="N21" s="840">
        <v>0.25</v>
      </c>
      <c r="O21" s="840">
        <v>0.25</v>
      </c>
      <c r="P21" s="840">
        <v>0.25</v>
      </c>
      <c r="Q21" s="840">
        <v>0.2</v>
      </c>
      <c r="R21" s="840">
        <v>0.05</v>
      </c>
      <c r="S21" s="838"/>
    </row>
    <row r="22" spans="1:19" ht="28" customHeight="1" x14ac:dyDescent="0.3">
      <c r="A22" s="16">
        <v>8</v>
      </c>
      <c r="B22" s="850" t="s">
        <v>1327</v>
      </c>
      <c r="C22" s="19">
        <v>5896577.919999999</v>
      </c>
      <c r="D22" s="837"/>
      <c r="E22" s="837"/>
      <c r="F22" s="837"/>
      <c r="G22" s="837"/>
      <c r="H22" s="837"/>
      <c r="I22" s="837"/>
      <c r="J22" s="837"/>
      <c r="K22" s="837"/>
      <c r="L22" s="837"/>
      <c r="M22" s="837"/>
      <c r="N22" s="837">
        <v>1474144.4799999997</v>
      </c>
      <c r="O22" s="837">
        <v>1474144.4799999997</v>
      </c>
      <c r="P22" s="837">
        <v>1474144.4799999997</v>
      </c>
      <c r="Q22" s="837">
        <v>1179315.5839999998</v>
      </c>
      <c r="R22" s="837">
        <v>294828.89599999995</v>
      </c>
      <c r="S22" s="837"/>
    </row>
    <row r="23" spans="1:19" x14ac:dyDescent="0.3">
      <c r="A23" s="67"/>
      <c r="B23" s="851"/>
      <c r="C23" s="68"/>
      <c r="D23" s="852"/>
      <c r="E23" s="852"/>
      <c r="F23" s="852"/>
      <c r="G23" s="852"/>
      <c r="H23" s="852"/>
      <c r="I23" s="852"/>
      <c r="J23" s="15"/>
      <c r="K23" s="15"/>
      <c r="L23" s="15"/>
      <c r="M23" s="15"/>
      <c r="N23" s="15"/>
      <c r="O23" s="15"/>
      <c r="P23" s="15"/>
      <c r="Q23" s="15"/>
      <c r="R23" s="15"/>
      <c r="S23" s="853"/>
    </row>
    <row r="24" spans="1:19" ht="14.5" thickTop="1" x14ac:dyDescent="0.3">
      <c r="A24" s="959" t="s">
        <v>2413</v>
      </c>
      <c r="B24" s="960"/>
      <c r="C24" s="14"/>
      <c r="D24" s="854">
        <v>4.1923820170213123E-4</v>
      </c>
      <c r="E24" s="854">
        <v>4.1923820170213123E-4</v>
      </c>
      <c r="F24" s="854">
        <v>4.1923820170213123E-4</v>
      </c>
      <c r="G24" s="854">
        <v>4.1923820170213123E-4</v>
      </c>
      <c r="H24" s="854">
        <v>1.458294134416129E-2</v>
      </c>
      <c r="I24" s="854">
        <v>3.837562520295161E-2</v>
      </c>
      <c r="J24" s="854">
        <v>3.837562520295161E-2</v>
      </c>
      <c r="K24" s="854">
        <v>3.837562520295161E-2</v>
      </c>
      <c r="L24" s="854">
        <v>7.3647405528293478E-2</v>
      </c>
      <c r="M24" s="854">
        <v>8.9231011153504722E-2</v>
      </c>
      <c r="N24" s="854">
        <v>0.16786722212518121</v>
      </c>
      <c r="O24" s="854">
        <v>0.16786722212518121</v>
      </c>
      <c r="P24" s="854">
        <v>0.16719360097599162</v>
      </c>
      <c r="Q24" s="854">
        <v>0.12217235666174567</v>
      </c>
      <c r="R24" s="854">
        <v>4.5565774976931872E-2</v>
      </c>
      <c r="S24" s="854">
        <v>3.6745589500154177E-2</v>
      </c>
    </row>
    <row r="25" spans="1:19" x14ac:dyDescent="0.3">
      <c r="A25" s="959" t="s">
        <v>2414</v>
      </c>
      <c r="B25" s="959"/>
      <c r="C25" s="66"/>
      <c r="D25" s="855">
        <v>11858.6325</v>
      </c>
      <c r="E25" s="855">
        <v>11858.6325</v>
      </c>
      <c r="F25" s="855">
        <v>11858.6325</v>
      </c>
      <c r="G25" s="855">
        <v>11858.6325</v>
      </c>
      <c r="H25" s="855">
        <v>412495.19119999994</v>
      </c>
      <c r="I25" s="855">
        <v>1085498.4931999999</v>
      </c>
      <c r="J25" s="855">
        <v>1085498.4931999999</v>
      </c>
      <c r="K25" s="855">
        <v>1085498.4931999999</v>
      </c>
      <c r="L25" s="855">
        <v>2083201.1806000001</v>
      </c>
      <c r="M25" s="855">
        <v>2524001.3065999998</v>
      </c>
      <c r="N25" s="855">
        <v>4748316.5606000004</v>
      </c>
      <c r="O25" s="855">
        <v>4748316.5606000004</v>
      </c>
      <c r="P25" s="855">
        <v>4729262.4151999997</v>
      </c>
      <c r="Q25" s="855">
        <v>3455784.9772000001</v>
      </c>
      <c r="R25" s="855">
        <v>1288880.1112000002</v>
      </c>
      <c r="S25" s="855">
        <v>1039391.0672000002</v>
      </c>
    </row>
    <row r="26" spans="1:19" x14ac:dyDescent="0.3">
      <c r="A26" s="959" t="s">
        <v>2415</v>
      </c>
      <c r="B26" s="959"/>
      <c r="C26" s="66"/>
      <c r="D26" s="856">
        <v>4.1923820170213123E-4</v>
      </c>
      <c r="E26" s="856">
        <v>8.3847640340426247E-4</v>
      </c>
      <c r="F26" s="856">
        <v>1.2577146051063936E-3</v>
      </c>
      <c r="G26" s="856">
        <v>1.6769528068085249E-3</v>
      </c>
      <c r="H26" s="856">
        <v>1.6259894150969813E-2</v>
      </c>
      <c r="I26" s="856">
        <v>5.4635519353921427E-2</v>
      </c>
      <c r="J26" s="856">
        <v>9.3011144556873038E-2</v>
      </c>
      <c r="K26" s="856">
        <v>0.13138676975982466</v>
      </c>
      <c r="L26" s="856">
        <v>0.20503417528811813</v>
      </c>
      <c r="M26" s="856">
        <v>0.29426518644162286</v>
      </c>
      <c r="N26" s="856">
        <v>0.46213240856680404</v>
      </c>
      <c r="O26" s="856">
        <v>0.62999963069198528</v>
      </c>
      <c r="P26" s="856">
        <v>0.79719323166797684</v>
      </c>
      <c r="Q26" s="856">
        <v>0.91936558832972248</v>
      </c>
      <c r="R26" s="856">
        <v>0.9649313633066543</v>
      </c>
      <c r="S26" s="856">
        <v>1.0016769528068086</v>
      </c>
    </row>
    <row r="27" spans="1:19" x14ac:dyDescent="0.3">
      <c r="A27" s="959" t="s">
        <v>2416</v>
      </c>
      <c r="B27" s="959"/>
      <c r="C27" s="66"/>
      <c r="D27" s="857">
        <v>11858.6325</v>
      </c>
      <c r="E27" s="857">
        <v>23717.264999999999</v>
      </c>
      <c r="F27" s="857">
        <v>35575.897499999999</v>
      </c>
      <c r="G27" s="857">
        <v>47434.53</v>
      </c>
      <c r="H27" s="857">
        <v>459929.72119999991</v>
      </c>
      <c r="I27" s="857">
        <v>1545428.2143999999</v>
      </c>
      <c r="J27" s="857">
        <v>2630926.7075999998</v>
      </c>
      <c r="K27" s="857">
        <v>3716425.2007999998</v>
      </c>
      <c r="L27" s="857">
        <v>5799626.3814000003</v>
      </c>
      <c r="M27" s="857">
        <v>8323627.6880000001</v>
      </c>
      <c r="N27" s="857">
        <v>13071944.248600001</v>
      </c>
      <c r="O27" s="857">
        <v>17820260.8092</v>
      </c>
      <c r="P27" s="857">
        <v>22549523.224399999</v>
      </c>
      <c r="Q27" s="857">
        <v>26005308.2016</v>
      </c>
      <c r="R27" s="857">
        <v>27294188.312800001</v>
      </c>
      <c r="S27" s="857">
        <v>28333579.380000003</v>
      </c>
    </row>
    <row r="28" spans="1:19" x14ac:dyDescent="0.3">
      <c r="A28" s="863"/>
      <c r="B28" s="863"/>
      <c r="C28" s="863"/>
      <c r="D28" s="863"/>
      <c r="E28" s="863"/>
      <c r="F28" s="863"/>
      <c r="G28" s="863"/>
      <c r="H28" s="860"/>
      <c r="I28" s="860"/>
      <c r="J28" s="860"/>
      <c r="K28" s="860"/>
      <c r="L28" s="860"/>
      <c r="M28" s="860"/>
      <c r="N28" s="860"/>
      <c r="O28" s="860"/>
      <c r="P28" s="860"/>
      <c r="Q28" s="860"/>
      <c r="R28" s="860"/>
      <c r="S28" s="860"/>
    </row>
    <row r="29" spans="1:19" ht="70" customHeight="1" x14ac:dyDescent="0.3">
      <c r="A29" s="956"/>
      <c r="B29" s="956"/>
      <c r="C29" s="956"/>
      <c r="D29" s="956"/>
      <c r="E29" s="956"/>
      <c r="F29" s="956"/>
      <c r="G29" s="956"/>
      <c r="H29" s="956"/>
      <c r="I29" s="956"/>
      <c r="J29" s="860"/>
      <c r="K29" s="860"/>
      <c r="L29" s="860"/>
      <c r="M29" s="860"/>
      <c r="N29" s="860"/>
      <c r="O29" s="860"/>
      <c r="P29" s="860"/>
      <c r="Q29" s="860"/>
      <c r="R29" s="860"/>
      <c r="S29" s="860"/>
    </row>
    <row r="30" spans="1:19" x14ac:dyDescent="0.3">
      <c r="A30" s="860"/>
      <c r="B30" s="860"/>
      <c r="C30" s="860"/>
      <c r="D30" s="860"/>
      <c r="E30" s="860"/>
      <c r="F30" s="860"/>
      <c r="G30" s="860"/>
      <c r="H30" s="860"/>
      <c r="I30" s="860"/>
      <c r="J30" s="860"/>
      <c r="K30" s="860"/>
      <c r="L30" s="860"/>
      <c r="M30" s="860"/>
      <c r="N30" s="860"/>
      <c r="O30" s="860"/>
      <c r="P30" s="860"/>
      <c r="Q30" s="860"/>
      <c r="R30" s="860"/>
      <c r="S30" s="860"/>
    </row>
  </sheetData>
  <mergeCells count="9">
    <mergeCell ref="A29:I29"/>
    <mergeCell ref="F1:G1"/>
    <mergeCell ref="F2:G2"/>
    <mergeCell ref="A27:B27"/>
    <mergeCell ref="A24:B24"/>
    <mergeCell ref="A25:B25"/>
    <mergeCell ref="A26:B26"/>
    <mergeCell ref="D1:E1"/>
    <mergeCell ref="D2:E2"/>
  </mergeCells>
  <printOptions horizontalCentered="1" verticalCentered="1"/>
  <pageMargins left="0.51181102362204722" right="0.51181102362204722" top="0.98425196850393704" bottom="0.98425196850393704" header="0.51181102362204722" footer="0.51181102362204722"/>
  <pageSetup paperSize="8" scale="55" firstPageNumber="349" orientation="landscape" useFirstPageNumber="1" r:id="rId1"/>
  <headerFooter>
    <oddHeader>&amp;L &amp;CSECRETARIA DE ESTADO DE OBRAS E INFRAESTRUTURA DO DISTRITO FEDERAL - SODF
CNPJ: 00.394.742/0001-49 &amp;R</oddHeader>
    <oddFooter>&amp;L &amp;CSetor de Áreas Públicas Bloco A-15 - Zona Industrial (Guará) - Brasília / DF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BA1DD-74A3-4835-98F0-837DAA18ED7B}">
  <dimension ref="A1:N52"/>
  <sheetViews>
    <sheetView view="pageBreakPreview" zoomScaleNormal="100" zoomScaleSheetLayoutView="100" workbookViewId="0">
      <selection activeCell="I41" sqref="I41"/>
    </sheetView>
  </sheetViews>
  <sheetFormatPr defaultColWidth="9" defaultRowHeight="14.5" x14ac:dyDescent="0.35"/>
  <cols>
    <col min="1" max="1" width="33.33203125" style="264" customWidth="1"/>
    <col min="2" max="2" width="11.5" style="263" customWidth="1"/>
    <col min="3" max="3" width="10.5" style="263" bestFit="1" customWidth="1"/>
    <col min="4" max="4" width="9.75" style="263" bestFit="1" customWidth="1"/>
    <col min="5" max="5" width="17.75" style="263" bestFit="1" customWidth="1"/>
    <col min="6" max="6" width="11.25" style="263" bestFit="1" customWidth="1"/>
    <col min="7" max="7" width="17.83203125" style="263" bestFit="1" customWidth="1"/>
    <col min="8" max="8" width="14.83203125" style="149" customWidth="1"/>
    <col min="9" max="9" width="21.58203125" style="149" customWidth="1"/>
    <col min="10" max="10" width="8.33203125" style="149" bestFit="1" customWidth="1"/>
    <col min="11" max="16384" width="9" style="149"/>
  </cols>
  <sheetData>
    <row r="1" spans="1:14" s="237" customFormat="1" x14ac:dyDescent="0.35">
      <c r="A1" s="596"/>
    </row>
    <row r="2" spans="1:14" s="237" customFormat="1" ht="70" customHeight="1" x14ac:dyDescent="0.35">
      <c r="A2" s="963" t="s">
        <v>1710</v>
      </c>
      <c r="B2" s="963"/>
      <c r="C2" s="963"/>
      <c r="D2" s="963"/>
      <c r="E2" s="963"/>
      <c r="F2" s="963"/>
      <c r="G2" s="963"/>
      <c r="H2" s="963"/>
      <c r="I2" s="963"/>
      <c r="J2" s="598"/>
      <c r="K2" s="598"/>
      <c r="L2" s="598"/>
      <c r="M2" s="598"/>
      <c r="N2" s="598"/>
    </row>
    <row r="3" spans="1:14" s="237" customFormat="1" ht="45" customHeight="1" x14ac:dyDescent="0.35">
      <c r="A3" s="964" t="s">
        <v>1713</v>
      </c>
      <c r="B3" s="964"/>
      <c r="C3" s="964"/>
      <c r="D3" s="964"/>
      <c r="E3" s="964"/>
      <c r="F3" s="964"/>
      <c r="G3" s="964"/>
      <c r="H3" s="964"/>
      <c r="I3" s="964"/>
      <c r="J3" s="598"/>
      <c r="K3" s="598"/>
      <c r="L3" s="598"/>
      <c r="M3" s="598"/>
      <c r="N3" s="598"/>
    </row>
    <row r="4" spans="1:14" s="237" customFormat="1" x14ac:dyDescent="0.35">
      <c r="A4" s="235" t="s">
        <v>4393</v>
      </c>
      <c r="I4" s="599">
        <v>45352</v>
      </c>
    </row>
    <row r="5" spans="1:14" s="237" customFormat="1" ht="15" thickBot="1" x14ac:dyDescent="0.4">
      <c r="A5" s="596"/>
    </row>
    <row r="6" spans="1:14" s="237" customFormat="1" ht="30" customHeight="1" thickBot="1" x14ac:dyDescent="0.4">
      <c r="A6" s="965" t="s">
        <v>4394</v>
      </c>
      <c r="B6" s="966"/>
      <c r="C6" s="966"/>
      <c r="D6" s="966"/>
      <c r="E6" s="966"/>
      <c r="F6" s="966"/>
      <c r="G6" s="966"/>
      <c r="H6" s="966"/>
      <c r="I6" s="967"/>
    </row>
    <row r="7" spans="1:14" s="237" customFormat="1" ht="15" thickBot="1" x14ac:dyDescent="0.4">
      <c r="A7" s="597"/>
    </row>
    <row r="8" spans="1:14" ht="15" thickBot="1" x14ac:dyDescent="0.4">
      <c r="A8" s="970" t="s">
        <v>1937</v>
      </c>
      <c r="B8" s="971"/>
      <c r="C8" s="971"/>
      <c r="D8" s="971"/>
      <c r="E8" s="971"/>
      <c r="F8" s="971"/>
      <c r="G8" s="971"/>
      <c r="H8" s="971"/>
      <c r="I8" s="972"/>
    </row>
    <row r="9" spans="1:14" ht="15" thickBot="1" x14ac:dyDescent="0.4">
      <c r="A9" s="968" t="s">
        <v>2096</v>
      </c>
      <c r="B9" s="976" t="s">
        <v>4395</v>
      </c>
      <c r="C9" s="977"/>
      <c r="D9" s="977"/>
      <c r="E9" s="977"/>
      <c r="F9" s="977"/>
      <c r="G9" s="978"/>
      <c r="H9" s="979" t="s">
        <v>2007</v>
      </c>
      <c r="I9" s="980"/>
    </row>
    <row r="10" spans="1:14" ht="44" thickBot="1" x14ac:dyDescent="0.4">
      <c r="A10" s="969"/>
      <c r="B10" s="628" t="s">
        <v>2097</v>
      </c>
      <c r="C10" s="629" t="s">
        <v>1913</v>
      </c>
      <c r="D10" s="629" t="s">
        <v>1987</v>
      </c>
      <c r="E10" s="629" t="s">
        <v>2098</v>
      </c>
      <c r="F10" s="629" t="s">
        <v>2099</v>
      </c>
      <c r="G10" s="630" t="s">
        <v>2100</v>
      </c>
      <c r="H10" s="631" t="s">
        <v>1818</v>
      </c>
      <c r="I10" s="632" t="s">
        <v>1817</v>
      </c>
    </row>
    <row r="11" spans="1:14" x14ac:dyDescent="0.35">
      <c r="A11" s="614" t="s">
        <v>2101</v>
      </c>
      <c r="B11" s="621">
        <f>SUM(Quantitativos!AJ33:AQ33)</f>
        <v>5378.2659405357317</v>
      </c>
      <c r="C11" s="620">
        <f>SUM(Quantitativos!AC33:AI33)</f>
        <v>1337.7907597046917</v>
      </c>
      <c r="D11" s="620">
        <f>Quantitativos!AR33</f>
        <v>406.58992602701767</v>
      </c>
      <c r="E11" s="620">
        <f>Quantitativos!BJ34-Quantitativos!BJ37</f>
        <v>5378.2659405357317</v>
      </c>
      <c r="F11" s="620">
        <f>Quantitativos!BJ36</f>
        <v>531.67634618827321</v>
      </c>
      <c r="G11" s="622">
        <f t="shared" ref="G11:G16" si="0">B11-E11</f>
        <v>0</v>
      </c>
      <c r="H11" s="621">
        <f>D11</f>
        <v>406.58992602701767</v>
      </c>
      <c r="I11" s="622">
        <f>G11+C11</f>
        <v>1337.7907597046917</v>
      </c>
    </row>
    <row r="12" spans="1:14" x14ac:dyDescent="0.35">
      <c r="A12" s="614" t="s">
        <v>2102</v>
      </c>
      <c r="B12" s="621">
        <f>SUM(QUANTBL!AF96:AH96)</f>
        <v>378.1777389999981</v>
      </c>
      <c r="C12" s="620">
        <f>SUM(QUANTBL!AC96:AE96)</f>
        <v>216.16522799999996</v>
      </c>
      <c r="D12" s="620">
        <f>QUANTBL!AJ96</f>
        <v>10.4678</v>
      </c>
      <c r="E12" s="620">
        <f>QUANTBL!BA97-QUANTBL!BA100</f>
        <v>378.1777389999981</v>
      </c>
      <c r="F12" s="620">
        <f>QUANTBL!BA99</f>
        <v>151.26559689068225</v>
      </c>
      <c r="G12" s="622">
        <f t="shared" si="0"/>
        <v>0</v>
      </c>
      <c r="H12" s="621">
        <f>D12</f>
        <v>10.4678</v>
      </c>
      <c r="I12" s="622">
        <f>G12+C12</f>
        <v>216.16522799999996</v>
      </c>
    </row>
    <row r="13" spans="1:14" x14ac:dyDescent="0.35">
      <c r="A13" s="614" t="s">
        <v>1813</v>
      </c>
      <c r="B13" s="621">
        <f>SUM(QUANTBL!CC96:CD96)</f>
        <v>638.80551771999876</v>
      </c>
      <c r="C13" s="620">
        <f>SUM(QUANTBL!CE96:CF96)</f>
        <v>182.23376023999998</v>
      </c>
      <c r="D13" s="620">
        <f>QUANTBL!CG96</f>
        <v>7.2179799999999954</v>
      </c>
      <c r="E13" s="620">
        <f>QUANTBL!CK98-QUANTBL!CK100</f>
        <v>465.3229539999989</v>
      </c>
      <c r="F13" s="620">
        <f>QUANTBL!CK99</f>
        <v>0</v>
      </c>
      <c r="G13" s="622">
        <f t="shared" si="0"/>
        <v>173.48256371999986</v>
      </c>
      <c r="H13" s="621">
        <f t="shared" ref="H13" si="1">D13</f>
        <v>7.2179799999999954</v>
      </c>
      <c r="I13" s="622">
        <f t="shared" ref="I13" si="2">G13+C13</f>
        <v>355.71632395999984</v>
      </c>
    </row>
    <row r="14" spans="1:14" x14ac:dyDescent="0.35">
      <c r="A14" s="614" t="s">
        <v>2103</v>
      </c>
      <c r="B14" s="621">
        <f>'MEM. CÁLC'!O1307</f>
        <v>1531.29</v>
      </c>
      <c r="C14" s="620">
        <v>0</v>
      </c>
      <c r="D14" s="620">
        <v>0</v>
      </c>
      <c r="E14" s="620">
        <f>'MEM. CÁLC'!O1336</f>
        <v>5.5</v>
      </c>
      <c r="F14" s="620">
        <v>0</v>
      </c>
      <c r="G14" s="622">
        <f t="shared" si="0"/>
        <v>1525.79</v>
      </c>
      <c r="H14" s="621">
        <f>D14</f>
        <v>0</v>
      </c>
      <c r="I14" s="622">
        <f>G14+C14-F11*1.5-F12*1.5</f>
        <v>501.37708538156681</v>
      </c>
    </row>
    <row r="15" spans="1:14" x14ac:dyDescent="0.35">
      <c r="A15" s="614" t="s">
        <v>2104</v>
      </c>
      <c r="B15" s="621">
        <f>'MEM. CÁLC'!O1308</f>
        <v>613.08000000000004</v>
      </c>
      <c r="C15" s="620">
        <v>0</v>
      </c>
      <c r="D15" s="620">
        <v>0</v>
      </c>
      <c r="E15" s="620">
        <f>'MEM. CÁLC'!O1337</f>
        <v>3.62</v>
      </c>
      <c r="F15" s="620">
        <v>0</v>
      </c>
      <c r="G15" s="622">
        <f t="shared" si="0"/>
        <v>609.46</v>
      </c>
      <c r="H15" s="621">
        <f t="shared" ref="H15:H16" si="3">D15</f>
        <v>0</v>
      </c>
      <c r="I15" s="622">
        <f t="shared" ref="I15:I16" si="4">G15+C15</f>
        <v>609.46</v>
      </c>
    </row>
    <row r="16" spans="1:14" x14ac:dyDescent="0.35">
      <c r="A16" s="614" t="s">
        <v>2105</v>
      </c>
      <c r="B16" s="621">
        <f>'MEM. CÁLC'!O1309</f>
        <v>882.26</v>
      </c>
      <c r="C16" s="620">
        <v>0</v>
      </c>
      <c r="D16" s="620">
        <v>0</v>
      </c>
      <c r="E16" s="620">
        <f>'MEM. CÁLC'!O1338</f>
        <v>17.09</v>
      </c>
      <c r="F16" s="620">
        <v>0</v>
      </c>
      <c r="G16" s="622">
        <f t="shared" si="0"/>
        <v>865.17</v>
      </c>
      <c r="H16" s="621">
        <f t="shared" si="3"/>
        <v>0</v>
      </c>
      <c r="I16" s="622">
        <f t="shared" si="4"/>
        <v>865.17</v>
      </c>
    </row>
    <row r="17" spans="1:11" s="262" customFormat="1" x14ac:dyDescent="0.35">
      <c r="A17" s="600" t="s">
        <v>5</v>
      </c>
      <c r="B17" s="602">
        <f>SUM(B11:B16)</f>
        <v>9421.8791972557283</v>
      </c>
      <c r="C17" s="261">
        <f t="shared" ref="C17:I17" si="5">SUM(C11:C16)</f>
        <v>1736.1897479446918</v>
      </c>
      <c r="D17" s="261">
        <f t="shared" si="5"/>
        <v>424.27570602701769</v>
      </c>
      <c r="E17" s="261">
        <f t="shared" si="5"/>
        <v>6247.976633535729</v>
      </c>
      <c r="F17" s="261">
        <f t="shared" si="5"/>
        <v>682.94194307895543</v>
      </c>
      <c r="G17" s="261">
        <f t="shared" si="5"/>
        <v>3173.9025637200002</v>
      </c>
      <c r="H17" s="602">
        <f t="shared" si="5"/>
        <v>424.27570602701769</v>
      </c>
      <c r="I17" s="625">
        <f t="shared" si="5"/>
        <v>3885.6793970462586</v>
      </c>
    </row>
    <row r="18" spans="1:11" s="262" customFormat="1" ht="15" thickBot="1" x14ac:dyDescent="0.4">
      <c r="A18" s="601" t="s">
        <v>2106</v>
      </c>
      <c r="B18" s="603"/>
      <c r="C18" s="604"/>
      <c r="D18" s="604"/>
      <c r="E18" s="604"/>
      <c r="F18" s="604"/>
      <c r="G18" s="605">
        <f>G17-F17*1.15</f>
        <v>2388.5193291792016</v>
      </c>
      <c r="H18" s="606"/>
      <c r="I18" s="607"/>
    </row>
    <row r="19" spans="1:11" x14ac:dyDescent="0.35">
      <c r="A19" s="981" t="s">
        <v>4396</v>
      </c>
      <c r="B19" s="982"/>
      <c r="C19" s="982"/>
      <c r="D19" s="982"/>
      <c r="E19" s="982"/>
      <c r="F19" s="982"/>
      <c r="G19" s="982"/>
      <c r="H19" s="982"/>
      <c r="I19" s="983"/>
    </row>
    <row r="20" spans="1:11" ht="15" thickBot="1" x14ac:dyDescent="0.4"/>
    <row r="21" spans="1:11" ht="15" thickBot="1" x14ac:dyDescent="0.4">
      <c r="A21" s="970" t="s">
        <v>2107</v>
      </c>
      <c r="B21" s="971"/>
      <c r="C21" s="971"/>
      <c r="D21" s="971"/>
      <c r="E21" s="971"/>
      <c r="F21" s="971"/>
      <c r="G21" s="971"/>
      <c r="H21" s="971"/>
      <c r="I21" s="972"/>
    </row>
    <row r="22" spans="1:11" customFormat="1" ht="15" thickBot="1" x14ac:dyDescent="0.4">
      <c r="A22" s="968" t="s">
        <v>2096</v>
      </c>
      <c r="B22" s="976" t="s">
        <v>4395</v>
      </c>
      <c r="C22" s="977"/>
      <c r="D22" s="977"/>
      <c r="E22" s="977"/>
      <c r="F22" s="977"/>
      <c r="G22" s="978"/>
      <c r="H22" s="979" t="s">
        <v>2007</v>
      </c>
      <c r="I22" s="980"/>
    </row>
    <row r="23" spans="1:11" customFormat="1" ht="44" thickBot="1" x14ac:dyDescent="0.35">
      <c r="A23" s="969"/>
      <c r="B23" s="628" t="s">
        <v>2097</v>
      </c>
      <c r="C23" s="629" t="s">
        <v>1913</v>
      </c>
      <c r="D23" s="629" t="s">
        <v>1987</v>
      </c>
      <c r="E23" s="629" t="s">
        <v>2098</v>
      </c>
      <c r="F23" s="629" t="s">
        <v>2099</v>
      </c>
      <c r="G23" s="630" t="s">
        <v>2100</v>
      </c>
      <c r="H23" s="631" t="s">
        <v>1818</v>
      </c>
      <c r="I23" s="632" t="s">
        <v>1817</v>
      </c>
    </row>
    <row r="24" spans="1:11" customFormat="1" x14ac:dyDescent="0.3">
      <c r="A24" s="614" t="s">
        <v>2108</v>
      </c>
      <c r="B24" s="620">
        <f>SUM(Quantitativos!AJ89:AQ89)</f>
        <v>9090.6754204283552</v>
      </c>
      <c r="C24" s="620">
        <f>SUM(Quantitativos!AC89:AI89)</f>
        <v>1814.7142799999999</v>
      </c>
      <c r="D24" s="620">
        <f>Quantitativos!AR89</f>
        <v>222.18</v>
      </c>
      <c r="E24" s="620">
        <f>Quantitativos!BJ90-Quantitativos!BJ93</f>
        <v>9090.6754204283552</v>
      </c>
      <c r="F24" s="620">
        <f>Quantitativos!BJ92</f>
        <v>139.57588979936406</v>
      </c>
      <c r="G24" s="620">
        <f>B24-E24</f>
        <v>0</v>
      </c>
      <c r="H24" s="620">
        <f>D24</f>
        <v>222.18</v>
      </c>
      <c r="I24" s="620">
        <f>G24+C24</f>
        <v>1814.7142799999999</v>
      </c>
    </row>
    <row r="25" spans="1:11" customFormat="1" x14ac:dyDescent="0.3">
      <c r="A25" s="614" t="s">
        <v>2102</v>
      </c>
      <c r="B25" s="620">
        <f>SUM(QUANTBL!AF183:AH183)</f>
        <v>298.9916539999997</v>
      </c>
      <c r="C25" s="620">
        <f>SUM(QUANTBL!AC183:AE183)</f>
        <v>80.794001999999992</v>
      </c>
      <c r="D25" s="620">
        <f>QUANTBL!AJ183</f>
        <v>6.599891999999997</v>
      </c>
      <c r="E25" s="620">
        <f>QUANTBL!BA184-QUANTBL!BA187</f>
        <v>298.9916539999997</v>
      </c>
      <c r="F25" s="620">
        <f>QUANTBL!BA186</f>
        <v>38.515028344908217</v>
      </c>
      <c r="G25" s="620">
        <f>B25-E25</f>
        <v>0</v>
      </c>
      <c r="H25" s="620">
        <f>D25</f>
        <v>6.599891999999997</v>
      </c>
      <c r="I25" s="620">
        <f>G25+C25</f>
        <v>80.794001999999992</v>
      </c>
    </row>
    <row r="26" spans="1:11" customFormat="1" x14ac:dyDescent="0.3">
      <c r="A26" s="614" t="s">
        <v>1813</v>
      </c>
      <c r="B26" s="620">
        <f>SUM(QUANTBL!CC183:CD183)</f>
        <v>821.59074732799945</v>
      </c>
      <c r="C26" s="620">
        <f>SUM(QUANTBL!CE183:CF183)</f>
        <v>110.85327903999999</v>
      </c>
      <c r="D26" s="620">
        <f>QUANTBL!CG183</f>
        <v>1.4649600000000014</v>
      </c>
      <c r="E26" s="620">
        <f>QUANTBL!CK185-QUANTBL!CK187</f>
        <v>507.96368639999946</v>
      </c>
      <c r="F26" s="620">
        <f>QUANTBL!CK186</f>
        <v>0</v>
      </c>
      <c r="G26" s="620">
        <f>B26-E26</f>
        <v>313.62706092799999</v>
      </c>
      <c r="H26" s="620">
        <f>D26</f>
        <v>1.4649600000000014</v>
      </c>
      <c r="I26" s="620">
        <f>G26+C26-F27*1.15</f>
        <v>219.67578410208685</v>
      </c>
    </row>
    <row r="27" spans="1:11" s="265" customFormat="1" x14ac:dyDescent="0.35">
      <c r="A27" s="600" t="s">
        <v>5</v>
      </c>
      <c r="B27" s="602">
        <f t="shared" ref="B27:I27" si="6">SUM(B24:B26)</f>
        <v>10211.257821756353</v>
      </c>
      <c r="C27" s="261">
        <f t="shared" si="6"/>
        <v>2006.36156104</v>
      </c>
      <c r="D27" s="261">
        <f t="shared" si="6"/>
        <v>230.24485200000001</v>
      </c>
      <c r="E27" s="261">
        <f t="shared" si="6"/>
        <v>9897.6307608283532</v>
      </c>
      <c r="F27" s="261">
        <f t="shared" si="6"/>
        <v>178.09091814427228</v>
      </c>
      <c r="G27" s="261">
        <f t="shared" si="6"/>
        <v>313.62706092799999</v>
      </c>
      <c r="H27" s="602">
        <f t="shared" si="6"/>
        <v>230.24485200000001</v>
      </c>
      <c r="I27" s="625">
        <f t="shared" si="6"/>
        <v>2115.1840661020869</v>
      </c>
      <c r="K27" s="626"/>
    </row>
    <row r="28" spans="1:11" customFormat="1" ht="15" thickBot="1" x14ac:dyDescent="0.35">
      <c r="A28" s="613" t="s">
        <v>2106</v>
      </c>
      <c r="B28" s="610"/>
      <c r="C28" s="611"/>
      <c r="D28" s="611"/>
      <c r="E28" s="611"/>
      <c r="F28" s="611"/>
      <c r="G28" s="605">
        <f>G27-F27*1.5</f>
        <v>46.490683711591601</v>
      </c>
      <c r="H28" s="608"/>
      <c r="I28" s="609"/>
    </row>
    <row r="29" spans="1:11" ht="15" thickBot="1" x14ac:dyDescent="0.4">
      <c r="A29" s="266"/>
      <c r="B29" s="267"/>
    </row>
    <row r="30" spans="1:11" ht="15" thickBot="1" x14ac:dyDescent="0.4">
      <c r="A30" s="970" t="s">
        <v>1622</v>
      </c>
      <c r="B30" s="971"/>
      <c r="C30" s="971"/>
      <c r="D30" s="971"/>
      <c r="E30" s="971"/>
      <c r="F30" s="971"/>
      <c r="G30" s="971"/>
      <c r="H30" s="971"/>
      <c r="I30" s="972"/>
    </row>
    <row r="31" spans="1:11" customFormat="1" ht="15" thickBot="1" x14ac:dyDescent="0.4">
      <c r="A31" s="968" t="s">
        <v>2096</v>
      </c>
      <c r="B31" s="976" t="s">
        <v>4395</v>
      </c>
      <c r="C31" s="977"/>
      <c r="D31" s="977"/>
      <c r="E31" s="977"/>
      <c r="F31" s="977"/>
      <c r="G31" s="977"/>
      <c r="H31" s="979" t="s">
        <v>2007</v>
      </c>
      <c r="I31" s="980"/>
    </row>
    <row r="32" spans="1:11" customFormat="1" ht="44" thickBot="1" x14ac:dyDescent="0.35">
      <c r="A32" s="969"/>
      <c r="B32" s="628" t="s">
        <v>2097</v>
      </c>
      <c r="C32" s="629" t="s">
        <v>1913</v>
      </c>
      <c r="D32" s="629" t="s">
        <v>1987</v>
      </c>
      <c r="E32" s="629" t="s">
        <v>2098</v>
      </c>
      <c r="F32" s="629" t="s">
        <v>2099</v>
      </c>
      <c r="G32" s="633" t="s">
        <v>2100</v>
      </c>
      <c r="H32" s="631" t="s">
        <v>1818</v>
      </c>
      <c r="I32" s="632" t="s">
        <v>1817</v>
      </c>
    </row>
    <row r="33" spans="1:9" customFormat="1" x14ac:dyDescent="0.3">
      <c r="A33" s="617" t="s">
        <v>2109</v>
      </c>
      <c r="B33" s="620">
        <f>SUM(Quantitativos!AJ120:AQ120)</f>
        <v>2202.1998842382309</v>
      </c>
      <c r="C33" s="620">
        <f>SUM(Quantitativos!AC120:AI120)</f>
        <v>38.091200000000001</v>
      </c>
      <c r="D33" s="620">
        <f>Quantitativos!AR120</f>
        <v>22.56</v>
      </c>
      <c r="E33" s="620">
        <f>Quantitativos!BJ121-Quantitativos!BJ124</f>
        <v>1808.9438603174697</v>
      </c>
      <c r="F33" s="620">
        <f>Quantitativos!BJ123</f>
        <v>0</v>
      </c>
      <c r="G33" s="623">
        <f>B33-E33</f>
        <v>393.25602392076121</v>
      </c>
      <c r="H33" s="621">
        <f>D33</f>
        <v>22.56</v>
      </c>
      <c r="I33" s="622">
        <f>G33+C33</f>
        <v>431.34722392076122</v>
      </c>
    </row>
    <row r="34" spans="1:9" customFormat="1" x14ac:dyDescent="0.3">
      <c r="A34" s="614" t="s">
        <v>2102</v>
      </c>
      <c r="B34" s="620">
        <f>SUM(QUANTBL!AF246:AH246)</f>
        <v>421.03718749999956</v>
      </c>
      <c r="C34" s="620">
        <f>SUM(QUANTBL!AC246:AE246)</f>
        <v>0</v>
      </c>
      <c r="D34" s="620">
        <f>QUANTBL!AJ246</f>
        <v>3.0508720000006697</v>
      </c>
      <c r="E34" s="620">
        <f>QUANTBL!BA247-QUANTBL!BA250</f>
        <v>383.97451061945719</v>
      </c>
      <c r="F34" s="620">
        <f>QUANTBL!BA249</f>
        <v>0</v>
      </c>
      <c r="G34" s="623">
        <f>B34-E34</f>
        <v>37.062676880542369</v>
      </c>
      <c r="H34" s="621">
        <f>D34</f>
        <v>3.0508720000006697</v>
      </c>
      <c r="I34" s="622">
        <f>G34+C34</f>
        <v>37.062676880542369</v>
      </c>
    </row>
    <row r="35" spans="1:9" customFormat="1" x14ac:dyDescent="0.3">
      <c r="A35" s="614" t="s">
        <v>1813</v>
      </c>
      <c r="B35" s="620">
        <f>SUM(QUANTBL!CC246:CD246)</f>
        <v>472.32806935999929</v>
      </c>
      <c r="C35" s="620">
        <f>SUM(QUANTBL!CE246:CF246)</f>
        <v>1.4649599999999998</v>
      </c>
      <c r="D35" s="620">
        <f>QUANTBL!CG246</f>
        <v>0.36623999999999945</v>
      </c>
      <c r="E35" s="620">
        <f>QUANTBL!CK248-QUANTBL!CK250</f>
        <v>271.50432799999942</v>
      </c>
      <c r="F35" s="620">
        <f>QUANTBL!CK249</f>
        <v>0</v>
      </c>
      <c r="G35" s="623">
        <f>B35-E35</f>
        <v>200.82374135999987</v>
      </c>
      <c r="H35" s="621">
        <f>D35</f>
        <v>0.36623999999999945</v>
      </c>
      <c r="I35" s="622">
        <f>G35+C35</f>
        <v>202.28870135999986</v>
      </c>
    </row>
    <row r="36" spans="1:9" customFormat="1" x14ac:dyDescent="0.3">
      <c r="A36" s="600" t="s">
        <v>5</v>
      </c>
      <c r="B36" s="602">
        <f t="shared" ref="B36:I36" si="7">SUM(B33:B35)</f>
        <v>3095.56514109823</v>
      </c>
      <c r="C36" s="261">
        <f t="shared" si="7"/>
        <v>39.556159999999998</v>
      </c>
      <c r="D36" s="261">
        <f t="shared" si="7"/>
        <v>25.977112000000666</v>
      </c>
      <c r="E36" s="261">
        <f t="shared" si="7"/>
        <v>2464.4226989369263</v>
      </c>
      <c r="F36" s="261">
        <f t="shared" si="7"/>
        <v>0</v>
      </c>
      <c r="G36" s="261">
        <f t="shared" si="7"/>
        <v>631.14244216130351</v>
      </c>
      <c r="H36" s="602">
        <f t="shared" si="7"/>
        <v>25.977112000000666</v>
      </c>
      <c r="I36" s="625">
        <f t="shared" si="7"/>
        <v>670.69860216130348</v>
      </c>
    </row>
    <row r="37" spans="1:9" customFormat="1" ht="15" thickBot="1" x14ac:dyDescent="0.35">
      <c r="A37" s="613" t="s">
        <v>2106</v>
      </c>
      <c r="B37" s="615"/>
      <c r="C37" s="616"/>
      <c r="D37" s="616"/>
      <c r="E37" s="616"/>
      <c r="F37" s="616"/>
      <c r="G37" s="624">
        <f>G36-F36*1.5</f>
        <v>631.14244216130351</v>
      </c>
      <c r="H37" s="608"/>
      <c r="I37" s="609"/>
    </row>
    <row r="38" spans="1:9" ht="15" thickBot="1" x14ac:dyDescent="0.4"/>
    <row r="39" spans="1:9" ht="15" thickBot="1" x14ac:dyDescent="0.4">
      <c r="A39" s="970" t="s">
        <v>1653</v>
      </c>
      <c r="B39" s="971"/>
      <c r="C39" s="971"/>
      <c r="D39" s="971"/>
      <c r="E39" s="971"/>
      <c r="F39" s="971"/>
      <c r="G39" s="971"/>
      <c r="H39" s="971"/>
      <c r="I39" s="972"/>
    </row>
    <row r="40" spans="1:9" customFormat="1" ht="15" thickBot="1" x14ac:dyDescent="0.4">
      <c r="A40" s="968" t="s">
        <v>2096</v>
      </c>
      <c r="B40" s="976" t="s">
        <v>4395</v>
      </c>
      <c r="C40" s="977"/>
      <c r="D40" s="977"/>
      <c r="E40" s="977"/>
      <c r="F40" s="977"/>
      <c r="G40" s="978"/>
      <c r="H40" s="979" t="s">
        <v>2007</v>
      </c>
      <c r="I40" s="980"/>
    </row>
    <row r="41" spans="1:9" customFormat="1" ht="44" thickBot="1" x14ac:dyDescent="0.35">
      <c r="A41" s="969"/>
      <c r="B41" s="628" t="s">
        <v>2097</v>
      </c>
      <c r="C41" s="629" t="s">
        <v>1913</v>
      </c>
      <c r="D41" s="629" t="s">
        <v>1987</v>
      </c>
      <c r="E41" s="629" t="s">
        <v>2098</v>
      </c>
      <c r="F41" s="629" t="s">
        <v>2099</v>
      </c>
      <c r="G41" s="630" t="s">
        <v>2100</v>
      </c>
      <c r="H41" s="631" t="s">
        <v>1818</v>
      </c>
      <c r="I41" s="632" t="s">
        <v>1817</v>
      </c>
    </row>
    <row r="42" spans="1:9" customFormat="1" x14ac:dyDescent="0.3">
      <c r="A42" s="627" t="s">
        <v>2110</v>
      </c>
      <c r="B42" s="621">
        <f>SUM(Quantitativos!AJ192:AQ192)</f>
        <v>14030.58422527171</v>
      </c>
      <c r="C42" s="620">
        <f>SUM(Quantitativos!AC192:AI192)</f>
        <v>483.81540000000001</v>
      </c>
      <c r="D42" s="620">
        <f>Quantitativos!AR192</f>
        <v>690.01</v>
      </c>
      <c r="E42" s="620">
        <f>Quantitativos!BJ193-Quantitativos!BJ196</f>
        <v>12896.503759439494</v>
      </c>
      <c r="F42" s="620">
        <f>Quantitativos!BJ195</f>
        <v>0</v>
      </c>
      <c r="G42" s="622">
        <f t="shared" ref="G42:G49" si="8">B42-E42</f>
        <v>1134.0804658322159</v>
      </c>
      <c r="H42" s="621">
        <f t="shared" ref="H42:H49" si="9">D42</f>
        <v>690.01</v>
      </c>
      <c r="I42" s="622">
        <f>G42+C42-1.15*F50</f>
        <v>1324.6348795932254</v>
      </c>
    </row>
    <row r="43" spans="1:9" customFormat="1" x14ac:dyDescent="0.3">
      <c r="A43" s="614" t="s">
        <v>2102</v>
      </c>
      <c r="B43" s="621">
        <f>SUM(QUANTBL!AF356:AH356)</f>
        <v>420.5383700000009</v>
      </c>
      <c r="C43" s="620">
        <f>SUM(QUANTBL!AC356:AE356)</f>
        <v>345.05556799999914</v>
      </c>
      <c r="D43" s="620">
        <f>QUANTBL!AJ356</f>
        <v>0</v>
      </c>
      <c r="E43" s="620">
        <f>QUANTBL!BA357-QUANTBL!BA360</f>
        <v>420.5383700000009</v>
      </c>
      <c r="F43" s="620">
        <f>QUANTBL!BA359</f>
        <v>255.00955325129601</v>
      </c>
      <c r="G43" s="622">
        <f t="shared" si="8"/>
        <v>0</v>
      </c>
      <c r="H43" s="621">
        <f t="shared" si="9"/>
        <v>0</v>
      </c>
      <c r="I43" s="622">
        <f t="shared" ref="I43:I49" si="10">G43+C43</f>
        <v>345.05556799999914</v>
      </c>
    </row>
    <row r="44" spans="1:9" customFormat="1" x14ac:dyDescent="0.3">
      <c r="A44" s="614" t="s">
        <v>1813</v>
      </c>
      <c r="B44" s="621">
        <f>SUM(QUANTBL!CC356:CD356)</f>
        <v>555.05136960000095</v>
      </c>
      <c r="C44" s="620">
        <f>SUM(QUANTBL!CE356:CF356)</f>
        <v>302.97930375999908</v>
      </c>
      <c r="D44" s="620">
        <f>QUANTBL!CG356</f>
        <v>13.871339999999986</v>
      </c>
      <c r="E44" s="620">
        <f>QUANTBL!CK358-QUANTBL!CK360</f>
        <v>497.02320200000003</v>
      </c>
      <c r="F44" s="620">
        <f>QUANTBL!CK359</f>
        <v>0</v>
      </c>
      <c r="G44" s="622">
        <f t="shared" si="8"/>
        <v>58.028167600000927</v>
      </c>
      <c r="H44" s="621">
        <f t="shared" si="9"/>
        <v>13.871339999999986</v>
      </c>
      <c r="I44" s="622">
        <f t="shared" si="10"/>
        <v>361.00747136000001</v>
      </c>
    </row>
    <row r="45" spans="1:9" customFormat="1" x14ac:dyDescent="0.3">
      <c r="A45" s="614" t="s">
        <v>2111</v>
      </c>
      <c r="B45" s="621">
        <f>'MEM. CÁLC'!O5285</f>
        <v>2373.94</v>
      </c>
      <c r="C45" s="620">
        <v>0</v>
      </c>
      <c r="D45" s="620">
        <v>0</v>
      </c>
      <c r="E45" s="620">
        <f>'MEM. CÁLC'!O5314</f>
        <v>69.19</v>
      </c>
      <c r="F45" s="620">
        <v>0</v>
      </c>
      <c r="G45" s="622">
        <f t="shared" si="8"/>
        <v>2304.75</v>
      </c>
      <c r="H45" s="621">
        <f t="shared" si="9"/>
        <v>0</v>
      </c>
      <c r="I45" s="622">
        <f t="shared" si="10"/>
        <v>2304.75</v>
      </c>
    </row>
    <row r="46" spans="1:9" customFormat="1" x14ac:dyDescent="0.3">
      <c r="A46" s="614" t="s">
        <v>2112</v>
      </c>
      <c r="B46" s="621">
        <f>'MEM. CÁLC'!O5286</f>
        <v>399.26</v>
      </c>
      <c r="C46" s="620">
        <v>0</v>
      </c>
      <c r="D46" s="620">
        <v>0</v>
      </c>
      <c r="E46" s="620">
        <f>'MEM. CÁLC'!O5315</f>
        <v>6.25</v>
      </c>
      <c r="F46" s="620">
        <v>0</v>
      </c>
      <c r="G46" s="622">
        <f t="shared" si="8"/>
        <v>393.01</v>
      </c>
      <c r="H46" s="621">
        <f t="shared" si="9"/>
        <v>0</v>
      </c>
      <c r="I46" s="622">
        <f t="shared" si="10"/>
        <v>393.01</v>
      </c>
    </row>
    <row r="47" spans="1:9" customFormat="1" x14ac:dyDescent="0.3">
      <c r="A47" s="614" t="s">
        <v>2113</v>
      </c>
      <c r="B47" s="621">
        <f>'MEM. CÁLC'!O5287</f>
        <v>350.86</v>
      </c>
      <c r="C47" s="620">
        <v>0</v>
      </c>
      <c r="D47" s="620">
        <v>0</v>
      </c>
      <c r="E47" s="620">
        <f>'MEM. CÁLC'!O5316</f>
        <v>7.28</v>
      </c>
      <c r="F47" s="620">
        <v>0</v>
      </c>
      <c r="G47" s="622">
        <f t="shared" si="8"/>
        <v>343.58000000000004</v>
      </c>
      <c r="H47" s="621">
        <f t="shared" si="9"/>
        <v>0</v>
      </c>
      <c r="I47" s="622">
        <f t="shared" si="10"/>
        <v>343.58000000000004</v>
      </c>
    </row>
    <row r="48" spans="1:9" customFormat="1" x14ac:dyDescent="0.3">
      <c r="A48" s="614" t="s">
        <v>2114</v>
      </c>
      <c r="B48" s="621">
        <f>'MEM. CÁLC'!O5288</f>
        <v>318.13</v>
      </c>
      <c r="C48" s="620">
        <v>0</v>
      </c>
      <c r="D48" s="620">
        <v>0</v>
      </c>
      <c r="E48" s="620">
        <f>'MEM. CÁLC'!O5317</f>
        <v>8.2799999999999994</v>
      </c>
      <c r="F48" s="620">
        <v>0</v>
      </c>
      <c r="G48" s="622">
        <f t="shared" si="8"/>
        <v>309.85000000000002</v>
      </c>
      <c r="H48" s="621">
        <f t="shared" si="9"/>
        <v>0</v>
      </c>
      <c r="I48" s="622">
        <f t="shared" si="10"/>
        <v>309.85000000000002</v>
      </c>
    </row>
    <row r="49" spans="1:9" customFormat="1" x14ac:dyDescent="0.3">
      <c r="A49" s="614" t="s">
        <v>2115</v>
      </c>
      <c r="B49" s="621">
        <f>'MEM. CÁLC'!O5289</f>
        <v>231.82</v>
      </c>
      <c r="C49" s="620">
        <v>0</v>
      </c>
      <c r="D49" s="620">
        <v>0</v>
      </c>
      <c r="E49" s="620">
        <f>'MEM. CÁLC'!O5318</f>
        <v>1.51</v>
      </c>
      <c r="F49" s="620">
        <v>0</v>
      </c>
      <c r="G49" s="622">
        <f t="shared" si="8"/>
        <v>230.31</v>
      </c>
      <c r="H49" s="621">
        <f t="shared" si="9"/>
        <v>0</v>
      </c>
      <c r="I49" s="622">
        <f t="shared" si="10"/>
        <v>230.31</v>
      </c>
    </row>
    <row r="50" spans="1:9" s="265" customFormat="1" x14ac:dyDescent="0.35">
      <c r="A50" s="600" t="s">
        <v>5</v>
      </c>
      <c r="B50" s="602">
        <f t="shared" ref="B50:I50" si="11">SUM(B42:B49)</f>
        <v>18680.18396487171</v>
      </c>
      <c r="C50" s="261">
        <f t="shared" si="11"/>
        <v>1131.8502717599981</v>
      </c>
      <c r="D50" s="261">
        <f t="shared" si="11"/>
        <v>703.88134000000002</v>
      </c>
      <c r="E50" s="261">
        <f t="shared" si="11"/>
        <v>13906.575331439497</v>
      </c>
      <c r="F50" s="261">
        <f t="shared" si="11"/>
        <v>255.00955325129601</v>
      </c>
      <c r="G50" s="261">
        <f t="shared" si="11"/>
        <v>4773.6086334322172</v>
      </c>
      <c r="H50" s="602">
        <f t="shared" si="11"/>
        <v>703.88134000000002</v>
      </c>
      <c r="I50" s="625">
        <f t="shared" si="11"/>
        <v>5612.1979189532258</v>
      </c>
    </row>
    <row r="51" spans="1:9" s="265" customFormat="1" ht="15" thickBot="1" x14ac:dyDescent="0.4">
      <c r="A51" s="613" t="s">
        <v>2106</v>
      </c>
      <c r="B51" s="615"/>
      <c r="C51" s="616"/>
      <c r="D51" s="616"/>
      <c r="E51" s="616"/>
      <c r="F51" s="616"/>
      <c r="G51" s="612">
        <f>G50-F50*1.15</f>
        <v>4480.3476471932272</v>
      </c>
      <c r="H51" s="618"/>
      <c r="I51" s="619"/>
    </row>
    <row r="52" spans="1:9" ht="15" thickBot="1" x14ac:dyDescent="0.4">
      <c r="A52" s="973" t="s">
        <v>4400</v>
      </c>
      <c r="B52" s="974"/>
      <c r="C52" s="974"/>
      <c r="D52" s="974"/>
      <c r="E52" s="974"/>
      <c r="F52" s="974"/>
      <c r="G52" s="974"/>
      <c r="H52" s="974"/>
      <c r="I52" s="975"/>
    </row>
  </sheetData>
  <mergeCells count="21">
    <mergeCell ref="A52:I52"/>
    <mergeCell ref="A40:A41"/>
    <mergeCell ref="B40:G40"/>
    <mergeCell ref="H40:I40"/>
    <mergeCell ref="B9:G9"/>
    <mergeCell ref="H9:I9"/>
    <mergeCell ref="B22:G22"/>
    <mergeCell ref="A31:A32"/>
    <mergeCell ref="B31:G31"/>
    <mergeCell ref="H31:I31"/>
    <mergeCell ref="A21:I21"/>
    <mergeCell ref="A30:I30"/>
    <mergeCell ref="A39:I39"/>
    <mergeCell ref="A19:I19"/>
    <mergeCell ref="H22:I22"/>
    <mergeCell ref="A22:A23"/>
    <mergeCell ref="A2:I2"/>
    <mergeCell ref="A3:I3"/>
    <mergeCell ref="A6:I6"/>
    <mergeCell ref="A9:A10"/>
    <mergeCell ref="A8:I8"/>
  </mergeCells>
  <pageMargins left="0.511811024" right="0.511811024" top="0.78740157499999996" bottom="0.78740157499999996" header="0.31496062000000002" footer="0.31496062000000002"/>
  <pageSetup paperSize="9" scale="5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66506-85D4-45B5-BCFC-D257F7B05F67}">
  <dimension ref="A1:DR196"/>
  <sheetViews>
    <sheetView workbookViewId="0">
      <selection activeCell="L185" sqref="L185"/>
    </sheetView>
  </sheetViews>
  <sheetFormatPr defaultColWidth="7" defaultRowHeight="12.5" x14ac:dyDescent="0.25"/>
  <cols>
    <col min="1" max="1" width="39.83203125" style="439" customWidth="1"/>
    <col min="2" max="2" width="12.58203125" style="446" bestFit="1" customWidth="1"/>
    <col min="3" max="3" width="13.5" style="73" customWidth="1"/>
    <col min="4" max="4" width="15.75" style="73" customWidth="1"/>
    <col min="5" max="5" width="14" style="73" customWidth="1"/>
    <col min="6" max="6" width="10" style="73" customWidth="1"/>
    <col min="7" max="7" width="8.58203125" style="134" customWidth="1"/>
    <col min="8" max="9" width="13.33203125" style="73" customWidth="1"/>
    <col min="10" max="10" width="8.25" style="73" customWidth="1"/>
    <col min="11" max="11" width="12" style="73" customWidth="1"/>
    <col min="12" max="12" width="9.5" style="73" customWidth="1"/>
    <col min="13" max="13" width="10.08203125" style="73" customWidth="1"/>
    <col min="14" max="14" width="12.08203125" style="73" customWidth="1"/>
    <col min="15" max="15" width="12.08203125" style="135" customWidth="1"/>
    <col min="16" max="16" width="18.25" style="135" customWidth="1"/>
    <col min="17" max="17" width="14.58203125" style="135" customWidth="1"/>
    <col min="18" max="18" width="18.25" style="135" customWidth="1"/>
    <col min="19" max="19" width="12.08203125" style="135" customWidth="1"/>
    <col min="20" max="20" width="8.83203125" style="73" customWidth="1"/>
    <col min="21" max="21" width="10.25" style="73" customWidth="1"/>
    <col min="22" max="26" width="12.25" style="73" customWidth="1"/>
    <col min="27" max="27" width="29.58203125" style="73" customWidth="1"/>
    <col min="28" max="28" width="26.58203125" style="73" customWidth="1"/>
    <col min="29" max="29" width="23.33203125" style="73" customWidth="1"/>
    <col min="30" max="31" width="24.25" style="73" customWidth="1"/>
    <col min="32" max="32" width="13.33203125" style="73" customWidth="1"/>
    <col min="33" max="33" width="12.83203125" style="73" customWidth="1"/>
    <col min="34" max="35" width="13.83203125" style="73" customWidth="1"/>
    <col min="36" max="37" width="29.58203125" style="73" customWidth="1"/>
    <col min="38" max="38" width="13.33203125" style="73" customWidth="1"/>
    <col min="39" max="39" width="12.83203125" style="73" customWidth="1"/>
    <col min="40" max="43" width="13.83203125" style="73" customWidth="1"/>
    <col min="44" max="44" width="10.58203125" style="73" customWidth="1"/>
    <col min="45" max="45" width="13.08203125" style="73" customWidth="1"/>
    <col min="46" max="46" width="16.33203125" style="73" customWidth="1"/>
    <col min="47" max="47" width="12.25" style="73" bestFit="1" customWidth="1"/>
    <col min="48" max="48" width="12.08203125" style="73" customWidth="1"/>
    <col min="49" max="56" width="16.33203125" style="73" customWidth="1"/>
    <col min="57" max="57" width="16.58203125" style="73" bestFit="1" customWidth="1"/>
    <col min="58" max="58" width="16.58203125" style="73" customWidth="1"/>
    <col min="59" max="60" width="16.5" style="73" customWidth="1"/>
    <col min="61" max="61" width="22.75" style="73" customWidth="1"/>
    <col min="62" max="63" width="20.25" style="73" customWidth="1"/>
    <col min="64" max="65" width="16.5" style="73" customWidth="1"/>
    <col min="66" max="66" width="10.33203125" style="73" customWidth="1"/>
    <col min="67" max="67" width="8.08203125" style="73" customWidth="1"/>
    <col min="68" max="68" width="8.25" style="73" bestFit="1" customWidth="1"/>
    <col min="69" max="69" width="8.08203125" style="73" bestFit="1" customWidth="1"/>
    <col min="70" max="70" width="8.25" style="73" bestFit="1" customWidth="1"/>
    <col min="71" max="71" width="7.08203125" style="73" customWidth="1"/>
    <col min="72" max="72" width="9.83203125" style="73" bestFit="1" customWidth="1"/>
    <col min="73" max="73" width="10.25" style="73" bestFit="1" customWidth="1"/>
    <col min="74" max="74" width="8.08203125" style="73" bestFit="1" customWidth="1"/>
    <col min="75" max="75" width="7.08203125" style="73" customWidth="1"/>
    <col min="76" max="76" width="8.08203125" style="73" bestFit="1" customWidth="1"/>
    <col min="77" max="77" width="8.83203125" style="73" bestFit="1" customWidth="1"/>
    <col min="78" max="79" width="7.08203125" style="73" customWidth="1"/>
    <col min="80" max="80" width="8.5" style="73" bestFit="1" customWidth="1"/>
    <col min="81" max="81" width="9.25" style="73" bestFit="1" customWidth="1"/>
    <col min="82" max="82" width="7.75" style="73" bestFit="1" customWidth="1"/>
    <col min="83" max="83" width="7.08203125" style="73" customWidth="1"/>
    <col min="84" max="84" width="8.08203125" style="73" bestFit="1" customWidth="1"/>
    <col min="85" max="85" width="7.25" style="73" bestFit="1" customWidth="1"/>
    <col min="86" max="86" width="7.75" style="73" bestFit="1" customWidth="1"/>
    <col min="87" max="87" width="7.08203125" style="73" customWidth="1"/>
    <col min="88" max="88" width="8.08203125" style="73" bestFit="1" customWidth="1"/>
    <col min="89" max="89" width="7.75" style="73" bestFit="1" customWidth="1"/>
    <col min="90" max="90" width="9.25" style="73" bestFit="1" customWidth="1"/>
    <col min="91" max="91" width="7.08203125" style="73" customWidth="1"/>
    <col min="92" max="92" width="8.83203125" style="73" bestFit="1" customWidth="1"/>
    <col min="93" max="93" width="8.33203125" style="73" bestFit="1" customWidth="1"/>
    <col min="94" max="94" width="8.58203125" style="73" bestFit="1" customWidth="1"/>
    <col min="95" max="95" width="8.33203125" style="73" bestFit="1" customWidth="1"/>
    <col min="96" max="96" width="8.83203125" style="73" bestFit="1" customWidth="1"/>
    <col min="97" max="98" width="8.33203125" style="73" bestFit="1" customWidth="1"/>
    <col min="99" max="99" width="17.5" style="73" customWidth="1"/>
    <col min="100" max="100" width="19" style="73" bestFit="1" customWidth="1"/>
    <col min="101" max="104" width="18.83203125" style="73" customWidth="1"/>
    <col min="105" max="105" width="10.08203125" style="73" bestFit="1" customWidth="1"/>
    <col min="106" max="107" width="8.83203125" style="73" bestFit="1" customWidth="1"/>
    <col min="108" max="109" width="8.75" style="73" customWidth="1"/>
    <col min="110" max="110" width="8.83203125" style="73" bestFit="1" customWidth="1"/>
    <col min="111" max="111" width="12.08203125" style="73" bestFit="1" customWidth="1"/>
    <col min="112" max="112" width="16.25" style="73" bestFit="1" customWidth="1"/>
    <col min="113" max="113" width="16.58203125" style="73" bestFit="1" customWidth="1"/>
    <col min="114" max="120" width="16.5" style="73" customWidth="1"/>
    <col min="121" max="121" width="20.08203125" style="440" bestFit="1" customWidth="1"/>
    <col min="122" max="16384" width="7" style="73"/>
  </cols>
  <sheetData>
    <row r="1" spans="1:121" ht="15.5" x14ac:dyDescent="0.25">
      <c r="B1" s="73"/>
      <c r="E1" s="74"/>
      <c r="F1" s="74"/>
      <c r="G1" s="74"/>
      <c r="H1" s="74"/>
      <c r="I1" s="74"/>
      <c r="J1" s="74"/>
      <c r="K1" s="74"/>
      <c r="L1" s="74"/>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75"/>
      <c r="AP1" s="75"/>
      <c r="AQ1" s="75"/>
    </row>
    <row r="2" spans="1:121" ht="16" thickBot="1" x14ac:dyDescent="0.3">
      <c r="B2" s="73"/>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5"/>
      <c r="AP2" s="75"/>
      <c r="AQ2" s="75"/>
    </row>
    <row r="3" spans="1:121" ht="13.5" customHeight="1" thickBot="1" x14ac:dyDescent="0.35">
      <c r="A3" s="439" t="s">
        <v>1937</v>
      </c>
      <c r="B3" s="76"/>
      <c r="C3" s="76"/>
      <c r="D3" s="76"/>
      <c r="E3" s="76"/>
      <c r="F3" s="76"/>
      <c r="G3" s="77"/>
      <c r="H3" s="76"/>
      <c r="I3" s="76"/>
      <c r="J3" s="76"/>
      <c r="K3" s="76"/>
      <c r="L3" s="76"/>
      <c r="M3" s="76"/>
      <c r="N3" s="76"/>
      <c r="O3" s="78"/>
      <c r="P3" s="78"/>
      <c r="Q3" s="78"/>
      <c r="R3" s="78"/>
      <c r="S3" s="78"/>
      <c r="T3" s="76"/>
      <c r="U3" s="76"/>
      <c r="V3" s="924" t="s">
        <v>1938</v>
      </c>
      <c r="W3" s="925"/>
      <c r="X3" s="925"/>
      <c r="Y3" s="925"/>
      <c r="Z3" s="925"/>
      <c r="AA3" s="925"/>
      <c r="AB3" s="925"/>
      <c r="AC3" s="925"/>
      <c r="AD3" s="925"/>
      <c r="AE3" s="925"/>
      <c r="AF3" s="925"/>
      <c r="AG3" s="925"/>
      <c r="AH3" s="925"/>
      <c r="AI3" s="925"/>
      <c r="AJ3" s="925"/>
      <c r="AK3" s="925"/>
      <c r="AL3" s="924"/>
      <c r="AM3" s="924"/>
      <c r="AN3" s="924"/>
      <c r="AO3" s="79"/>
      <c r="AP3" s="79"/>
      <c r="AQ3" s="79"/>
      <c r="AR3" s="79"/>
      <c r="AS3" s="79"/>
      <c r="AT3" s="79"/>
      <c r="AU3" s="76" t="s">
        <v>1939</v>
      </c>
      <c r="AV3" s="76" t="s">
        <v>1939</v>
      </c>
      <c r="AW3" s="79"/>
      <c r="AX3" s="79"/>
      <c r="AY3" s="79"/>
      <c r="AZ3" s="79"/>
      <c r="BA3" s="79"/>
      <c r="BB3" s="79"/>
      <c r="BC3" s="79"/>
      <c r="BD3" s="79"/>
      <c r="BE3" s="76"/>
      <c r="BF3" s="76" t="s">
        <v>1940</v>
      </c>
      <c r="BG3" s="76" t="s">
        <v>1941</v>
      </c>
      <c r="BH3" s="76"/>
      <c r="BI3" s="76"/>
      <c r="BJ3" s="76"/>
      <c r="BK3" s="76"/>
      <c r="BL3" s="76"/>
      <c r="BM3" s="76"/>
      <c r="BN3" s="76"/>
      <c r="BO3" s="928" t="s">
        <v>1942</v>
      </c>
      <c r="BP3" s="929"/>
      <c r="BQ3" s="929"/>
      <c r="BR3" s="929"/>
      <c r="BS3" s="929"/>
      <c r="BT3" s="929"/>
      <c r="BU3" s="929"/>
      <c r="BV3" s="929"/>
      <c r="BW3" s="929"/>
      <c r="BX3" s="929"/>
      <c r="BY3" s="929"/>
      <c r="BZ3" s="929"/>
      <c r="CA3" s="929"/>
      <c r="CB3" s="929"/>
      <c r="CC3" s="929"/>
      <c r="CD3" s="929"/>
      <c r="CE3" s="929"/>
      <c r="CF3" s="929"/>
      <c r="CG3" s="929"/>
      <c r="CH3" s="929"/>
      <c r="CI3" s="929"/>
      <c r="CJ3" s="929"/>
      <c r="CK3" s="929"/>
      <c r="CL3" s="929"/>
      <c r="CM3" s="929"/>
      <c r="CN3" s="929"/>
      <c r="CO3" s="929"/>
      <c r="CP3" s="929"/>
      <c r="CQ3" s="929"/>
      <c r="CR3" s="929"/>
      <c r="CS3" s="929"/>
      <c r="CT3" s="985"/>
      <c r="CU3" s="76"/>
      <c r="CV3" s="986" t="s">
        <v>1943</v>
      </c>
      <c r="CW3" s="924"/>
      <c r="CX3" s="924"/>
      <c r="CY3" s="924"/>
      <c r="CZ3" s="924"/>
      <c r="DA3" s="76"/>
      <c r="DB3" s="925" t="s">
        <v>1944</v>
      </c>
      <c r="DC3" s="925"/>
      <c r="DD3" s="925"/>
      <c r="DE3" s="925"/>
      <c r="DF3" s="925"/>
      <c r="DG3" s="928" t="s">
        <v>1945</v>
      </c>
      <c r="DH3" s="929"/>
      <c r="DI3" s="929"/>
      <c r="DJ3" s="929"/>
      <c r="DK3" s="929"/>
      <c r="DL3" s="929"/>
      <c r="DM3" s="929"/>
      <c r="DN3" s="929"/>
      <c r="DO3" s="929"/>
      <c r="DP3" s="929"/>
    </row>
    <row r="4" spans="1:121" s="86" customFormat="1" ht="52" x14ac:dyDescent="0.3">
      <c r="A4" s="404" t="s">
        <v>1946</v>
      </c>
      <c r="B4" s="405" t="s">
        <v>1739</v>
      </c>
      <c r="C4" s="82" t="s">
        <v>1392</v>
      </c>
      <c r="D4" s="82" t="s">
        <v>1947</v>
      </c>
      <c r="E4" s="82" t="s">
        <v>1948</v>
      </c>
      <c r="F4" s="82" t="s">
        <v>1949</v>
      </c>
      <c r="G4" s="82" t="s">
        <v>1950</v>
      </c>
      <c r="H4" s="82" t="s">
        <v>1951</v>
      </c>
      <c r="I4" s="136" t="s">
        <v>1952</v>
      </c>
      <c r="J4" s="82" t="s">
        <v>1953</v>
      </c>
      <c r="K4" s="137" t="s">
        <v>1954</v>
      </c>
      <c r="L4" s="138" t="s">
        <v>1955</v>
      </c>
      <c r="M4" s="137" t="s">
        <v>1956</v>
      </c>
      <c r="N4" s="138" t="s">
        <v>1957</v>
      </c>
      <c r="O4" s="137" t="s">
        <v>1958</v>
      </c>
      <c r="P4" s="137" t="s">
        <v>1959</v>
      </c>
      <c r="Q4" s="137" t="s">
        <v>1960</v>
      </c>
      <c r="R4" s="137" t="s">
        <v>1961</v>
      </c>
      <c r="S4" s="137" t="s">
        <v>1962</v>
      </c>
      <c r="T4" s="138" t="s">
        <v>1963</v>
      </c>
      <c r="U4" s="139" t="s">
        <v>1964</v>
      </c>
      <c r="V4" s="140" t="s">
        <v>1965</v>
      </c>
      <c r="W4" s="140" t="s">
        <v>1966</v>
      </c>
      <c r="X4" s="140" t="s">
        <v>1967</v>
      </c>
      <c r="Y4" s="140" t="s">
        <v>1968</v>
      </c>
      <c r="Z4" s="140" t="s">
        <v>1969</v>
      </c>
      <c r="AA4" s="80" t="s">
        <v>1970</v>
      </c>
      <c r="AB4" s="80" t="s">
        <v>1971</v>
      </c>
      <c r="AC4" s="141" t="s">
        <v>1972</v>
      </c>
      <c r="AD4" s="141" t="s">
        <v>1973</v>
      </c>
      <c r="AE4" s="141" t="s">
        <v>1974</v>
      </c>
      <c r="AF4" s="141" t="s">
        <v>1975</v>
      </c>
      <c r="AG4" s="141" t="s">
        <v>1976</v>
      </c>
      <c r="AH4" s="136" t="s">
        <v>1977</v>
      </c>
      <c r="AI4" s="141" t="s">
        <v>1978</v>
      </c>
      <c r="AJ4" s="141" t="s">
        <v>1979</v>
      </c>
      <c r="AK4" s="141" t="s">
        <v>1980</v>
      </c>
      <c r="AL4" s="141" t="s">
        <v>1981</v>
      </c>
      <c r="AM4" s="141" t="s">
        <v>1982</v>
      </c>
      <c r="AN4" s="136" t="s">
        <v>1983</v>
      </c>
      <c r="AO4" s="141" t="s">
        <v>1984</v>
      </c>
      <c r="AP4" s="141" t="s">
        <v>1985</v>
      </c>
      <c r="AQ4" s="141" t="s">
        <v>1986</v>
      </c>
      <c r="AR4" s="82" t="s">
        <v>1987</v>
      </c>
      <c r="AS4" s="82" t="s">
        <v>1988</v>
      </c>
      <c r="AT4" s="82" t="s">
        <v>1989</v>
      </c>
      <c r="AU4" s="136" t="s">
        <v>1990</v>
      </c>
      <c r="AV4" s="136" t="s">
        <v>1991</v>
      </c>
      <c r="AW4" s="136" t="s">
        <v>1992</v>
      </c>
      <c r="AX4" s="141" t="s">
        <v>1993</v>
      </c>
      <c r="AY4" s="406" t="s">
        <v>1994</v>
      </c>
      <c r="AZ4" s="142" t="s">
        <v>1995</v>
      </c>
      <c r="BA4" s="407" t="s">
        <v>1996</v>
      </c>
      <c r="BB4" s="141" t="s">
        <v>1997</v>
      </c>
      <c r="BC4" s="141" t="s">
        <v>1998</v>
      </c>
      <c r="BD4" s="141" t="s">
        <v>1999</v>
      </c>
      <c r="BE4" s="82" t="s">
        <v>2000</v>
      </c>
      <c r="BF4" s="136" t="s">
        <v>2001</v>
      </c>
      <c r="BG4" s="136" t="s">
        <v>2002</v>
      </c>
      <c r="BH4" s="136" t="s">
        <v>2003</v>
      </c>
      <c r="BI4" s="136" t="s">
        <v>2004</v>
      </c>
      <c r="BJ4" s="136" t="s">
        <v>2005</v>
      </c>
      <c r="BK4" s="136" t="s">
        <v>2006</v>
      </c>
      <c r="BL4" s="136" t="s">
        <v>2007</v>
      </c>
      <c r="BM4" s="136" t="s">
        <v>2008</v>
      </c>
      <c r="BN4" s="934">
        <v>400</v>
      </c>
      <c r="BO4" s="934"/>
      <c r="BP4" s="934"/>
      <c r="BQ4" s="998">
        <v>500</v>
      </c>
      <c r="BR4" s="999"/>
      <c r="BS4" s="1000"/>
      <c r="BT4" s="1001">
        <v>600</v>
      </c>
      <c r="BU4" s="1002"/>
      <c r="BV4" s="1002"/>
      <c r="BW4" s="1003"/>
      <c r="BX4" s="1001">
        <v>800</v>
      </c>
      <c r="BY4" s="1002"/>
      <c r="BZ4" s="1002"/>
      <c r="CA4" s="1003"/>
      <c r="CB4" s="1001">
        <v>1000</v>
      </c>
      <c r="CC4" s="1002"/>
      <c r="CD4" s="1002"/>
      <c r="CE4" s="1003"/>
      <c r="CF4" s="1001">
        <v>1200</v>
      </c>
      <c r="CG4" s="1002"/>
      <c r="CH4" s="1002"/>
      <c r="CI4" s="1004"/>
      <c r="CJ4" s="987">
        <v>1500</v>
      </c>
      <c r="CK4" s="988"/>
      <c r="CL4" s="988"/>
      <c r="CM4" s="989"/>
      <c r="CN4" s="409">
        <v>1650</v>
      </c>
      <c r="CO4" s="337">
        <v>1800</v>
      </c>
      <c r="CP4" s="337">
        <v>2000</v>
      </c>
      <c r="CQ4" s="337">
        <v>2200</v>
      </c>
      <c r="CR4" s="337">
        <v>2400</v>
      </c>
      <c r="CS4" s="337">
        <v>2600</v>
      </c>
      <c r="CT4" s="410">
        <v>3000</v>
      </c>
      <c r="CU4" s="82" t="s">
        <v>521</v>
      </c>
      <c r="CV4" s="83">
        <v>600</v>
      </c>
      <c r="CW4" s="83">
        <v>800</v>
      </c>
      <c r="CX4" s="83">
        <v>1000</v>
      </c>
      <c r="CY4" s="83">
        <v>1200</v>
      </c>
      <c r="CZ4" s="83">
        <v>1500</v>
      </c>
      <c r="DA4" s="411" t="s">
        <v>2009</v>
      </c>
      <c r="DB4" s="81">
        <v>600</v>
      </c>
      <c r="DC4" s="81">
        <v>800</v>
      </c>
      <c r="DD4" s="81">
        <v>1000</v>
      </c>
      <c r="DE4" s="81">
        <v>12000</v>
      </c>
      <c r="DF4" s="81">
        <v>1500</v>
      </c>
      <c r="DG4" s="84" t="s">
        <v>2010</v>
      </c>
      <c r="DH4" s="84" t="s">
        <v>2011</v>
      </c>
      <c r="DI4" s="84" t="s">
        <v>2012</v>
      </c>
      <c r="DJ4" s="84" t="s">
        <v>2013</v>
      </c>
      <c r="DK4" s="84" t="s">
        <v>2014</v>
      </c>
      <c r="DL4" s="84" t="s">
        <v>2015</v>
      </c>
      <c r="DM4" s="84" t="s">
        <v>2016</v>
      </c>
      <c r="DN4" s="84" t="s">
        <v>2017</v>
      </c>
      <c r="DO4" s="84" t="s">
        <v>2018</v>
      </c>
      <c r="DP4" s="84" t="s">
        <v>2019</v>
      </c>
      <c r="DQ4" s="85"/>
    </row>
    <row r="5" spans="1:121" ht="13" x14ac:dyDescent="0.3">
      <c r="A5" s="441"/>
      <c r="B5" s="442"/>
      <c r="C5" s="87" t="str">
        <f>'Planilha Hidráulica'!B9</f>
        <v>RD-2</v>
      </c>
      <c r="D5" s="88"/>
      <c r="E5" s="88"/>
      <c r="F5" s="88"/>
      <c r="G5" s="82"/>
      <c r="H5" s="82"/>
      <c r="I5" s="82"/>
      <c r="J5" s="82"/>
      <c r="K5" s="89"/>
      <c r="L5" s="90"/>
      <c r="M5" s="90"/>
      <c r="N5" s="90"/>
      <c r="O5" s="89"/>
      <c r="P5" s="89"/>
      <c r="Q5" s="89"/>
      <c r="R5" s="89"/>
      <c r="S5" s="89"/>
      <c r="T5" s="90"/>
      <c r="U5" s="91"/>
      <c r="V5" s="92" t="s">
        <v>2020</v>
      </c>
      <c r="W5" s="92"/>
      <c r="X5" s="92"/>
      <c r="Y5" s="92"/>
      <c r="Z5" s="92"/>
      <c r="AA5" s="93" t="s">
        <v>2021</v>
      </c>
      <c r="AB5" s="94"/>
      <c r="AC5" s="94"/>
      <c r="AD5" s="94"/>
      <c r="AE5" s="94"/>
      <c r="AF5" s="81"/>
      <c r="AG5" s="81"/>
      <c r="AH5" s="81"/>
      <c r="AI5" s="81"/>
      <c r="AJ5" s="94"/>
      <c r="AK5" s="94"/>
      <c r="AL5" s="81"/>
      <c r="AM5" s="81"/>
      <c r="AN5" s="81"/>
      <c r="AO5" s="81"/>
      <c r="AP5" s="81"/>
      <c r="AQ5" s="81"/>
      <c r="AR5" s="82"/>
      <c r="AS5" s="82"/>
      <c r="AT5" s="82"/>
      <c r="AU5" s="82"/>
      <c r="AV5" s="83"/>
      <c r="AW5" s="82"/>
      <c r="AX5" s="81"/>
      <c r="AY5" s="81"/>
      <c r="AZ5" s="81"/>
      <c r="BA5" s="81"/>
      <c r="BB5" s="81"/>
      <c r="BC5" s="81"/>
      <c r="BD5" s="81"/>
      <c r="BE5" s="82"/>
      <c r="BF5" s="82"/>
      <c r="BG5" s="82"/>
      <c r="BH5" s="82"/>
      <c r="BI5" s="82"/>
      <c r="BJ5" s="82"/>
      <c r="BK5" s="82"/>
      <c r="BL5" s="82"/>
      <c r="BM5" s="82"/>
      <c r="BN5" s="95"/>
      <c r="BO5" s="79"/>
      <c r="BP5" s="79"/>
      <c r="BQ5" s="79"/>
      <c r="BR5" s="412"/>
      <c r="BS5" s="413"/>
      <c r="BT5" s="96"/>
      <c r="BU5" s="412"/>
      <c r="BV5" s="412"/>
      <c r="BW5" s="413"/>
      <c r="BX5" s="96"/>
      <c r="BY5" s="412"/>
      <c r="BZ5" s="412"/>
      <c r="CA5" s="413"/>
      <c r="CB5" s="96"/>
      <c r="CC5" s="412"/>
      <c r="CD5" s="412"/>
      <c r="CE5" s="413"/>
      <c r="CF5" s="96"/>
      <c r="CG5" s="412"/>
      <c r="CH5" s="412"/>
      <c r="CI5" s="412"/>
      <c r="CJ5" s="79"/>
      <c r="CK5" s="79"/>
      <c r="CL5" s="79"/>
      <c r="CM5" s="79"/>
      <c r="CN5" s="79"/>
      <c r="CO5" s="79"/>
      <c r="CP5" s="79"/>
      <c r="CQ5" s="79"/>
      <c r="CR5" s="79"/>
      <c r="CS5" s="79"/>
      <c r="CT5" s="414"/>
      <c r="CU5" s="88"/>
      <c r="CV5" s="96"/>
      <c r="CW5" s="96"/>
      <c r="CX5" s="96"/>
      <c r="CY5" s="96"/>
      <c r="CZ5" s="96"/>
      <c r="DA5" s="97"/>
      <c r="DB5" s="79"/>
      <c r="DC5" s="79"/>
      <c r="DD5" s="79"/>
      <c r="DE5" s="79"/>
      <c r="DF5" s="79"/>
      <c r="DG5" s="79"/>
      <c r="DH5" s="79"/>
      <c r="DI5" s="79"/>
      <c r="DJ5" s="79"/>
      <c r="DK5" s="79"/>
      <c r="DL5" s="79"/>
      <c r="DM5" s="79"/>
      <c r="DN5" s="79"/>
      <c r="DO5" s="79"/>
      <c r="DP5" s="79"/>
      <c r="DQ5" s="98"/>
    </row>
    <row r="6" spans="1:121" s="112" customFormat="1" ht="25" x14ac:dyDescent="0.25">
      <c r="A6" s="99" t="s">
        <v>2022</v>
      </c>
      <c r="B6" s="100"/>
      <c r="C6" s="100" t="str">
        <f>'Planilha Hidráulica'!B10</f>
        <v>PV1.1-&gt;PV2.1</v>
      </c>
      <c r="D6" s="100">
        <f>'Planilha Hidráulica'!R10</f>
        <v>3.0478196153591171</v>
      </c>
      <c r="E6" s="100">
        <f>'Planilha Hidráulica'!S10</f>
        <v>2.7000000000000455</v>
      </c>
      <c r="F6" s="100">
        <f>'Planilha Hidráulica'!K10</f>
        <v>36.499999999688121</v>
      </c>
      <c r="G6" s="101">
        <f>'Planilha Hidráulica'!M10</f>
        <v>800</v>
      </c>
      <c r="H6" s="102">
        <f t="shared" ref="H6:H26" si="0">IF(G6=400,((D6+E6)/2)+0.08+T6,IF(G6=500,((D6+E6)/2)+0.1+T6,IF(G6=600,((D6+E6)/2)+0.12+T6,IF(G6=800,((D6+E6)/2)+0.16+T6,IF(G6=1000,((D6+E6)/2)+0.2+T6,IF(G6=1200,((D6+E6)/2)+0.24+T6,IF(G6=1500,((D6+E6)/2)+0.3+T6,IF(G6&gt;1500,((D6+E6)/2)+0.4+T6))))))))</f>
        <v>3.1339098076795815</v>
      </c>
      <c r="I6" s="102">
        <f t="shared" ref="I6:I32" si="1">IF(K6=0,0,IF(H6&gt;=1.25,F6*H6/20,0))</f>
        <v>5.7193853989663666</v>
      </c>
      <c r="J6" s="103">
        <v>0</v>
      </c>
      <c r="K6" s="104">
        <f>IF(G6=400,1,0)+IF(G6=500,1.2,0)+IF(G6=600,1.4,0)+IF(G6=800,1.7,0)+IF(G6=1000,2,0)+IF(G6=1200,2.2,0)+IF(G6=1500,2.6,0)+IF(G6=1650,3,0)+IF(G6=1800,3.2,0)+IF(G6=2000,3.4,0)+IF(G6=2200,3.6,0)+IF(G6=2400,3.8,0)+IF(G6=2600,4,0)+IF(G6=3000,4.4,0)</f>
        <v>1.7</v>
      </c>
      <c r="L6" s="104">
        <f>2*J6*H6+K6</f>
        <v>1.7</v>
      </c>
      <c r="M6" s="104">
        <f>'Planilha Hidráulica'!X10</f>
        <v>500</v>
      </c>
      <c r="N6" s="104">
        <f t="shared" ref="N6:N26" si="2">L6*F6</f>
        <v>62.049999999469804</v>
      </c>
      <c r="O6" s="105" t="str">
        <f>'Planilha Hidráulica'!W10</f>
        <v>ASFALTO</v>
      </c>
      <c r="P6" s="105" t="s">
        <v>2023</v>
      </c>
      <c r="Q6" s="105">
        <v>1</v>
      </c>
      <c r="R6" s="105">
        <v>5</v>
      </c>
      <c r="S6" s="105">
        <v>5</v>
      </c>
      <c r="T6" s="104">
        <f t="shared" ref="T6:T26" si="3">IF(G6=400,0.05,0)+IF(G6=500,0.05,0)+IF(G6=600,0.1,0)+IF(G6=800,0.1,0)+IF(G6=1000,0.15,0)+IF(G6=1200,0.15,0)+IF(G6=1500,0.2,0)+IF(G6=1650,0.2,0)+IF(G6=1800,0.2,0)+IF(G6=2000,0.25,0)+IF(G6=2200,0.25,0)+IF(G6=2400,0.25,0)+IF(G6=2600,0.25,0)+IF(G6=3000,0.25,0)</f>
        <v>0.1</v>
      </c>
      <c r="U6" s="106">
        <f t="shared" ref="U6:U26" si="4">IFERROR((PI()*(M6/1000)*(M6/1000)/4)*F6,0)</f>
        <v>7.166758240940478</v>
      </c>
      <c r="V6" s="106">
        <f t="shared" ref="V6:V26" si="5">((((J6*H6)*H6)/2)*2+K6*H6)*F6-U6+AW6</f>
        <v>212.11234532370389</v>
      </c>
      <c r="W6" s="107">
        <f t="shared" ref="W6:W26" si="6">V6-SUM(AC6:AR6)</f>
        <v>0</v>
      </c>
      <c r="X6" s="107">
        <f t="shared" ref="X6:X26" si="7">IF(Q6=1,IF(OR(M6=0,M6="-"),H6+0.4,0.4),0)</f>
        <v>0.4</v>
      </c>
      <c r="Y6" s="107">
        <f>IF(R6&lt;H6,R6,H6)</f>
        <v>3.1339098076795815</v>
      </c>
      <c r="Z6" s="107">
        <f>H6-Y6</f>
        <v>0</v>
      </c>
      <c r="AA6" s="108">
        <f>IF(O6="ASFALTO",L6*F6,0)</f>
        <v>62.049999999469804</v>
      </c>
      <c r="AB6" s="108">
        <f>IF(O6="CONCRETO",L6*F6,0)</f>
        <v>0</v>
      </c>
      <c r="AC6" s="109">
        <f t="shared" ref="AC6:AC26" si="8">IF(X6=0,0,IF(X6=0.4,IF(K6&lt;=1.5,IF(Y6+0.4&gt;=1.5,0,K6*F6*0.4),0),IF(K6&lt;=1.5,IF(X6&gt;=1.5,L6*F6*1.5,K6*F6*(X6)),0)+IF(R6&lt;H6+0.4,0,IF(AND(X6&lt;=1.5,K6&lt;=1.5),-U6,0))))</f>
        <v>0</v>
      </c>
      <c r="AD6" s="109">
        <f t="shared" ref="AD6:AD26" si="9">IF(X6=0,0,IF(X6=0.4,IF(K6&lt;=1.5,IF(OR(Y6+0.4&gt;=3,Y6+0.4&lt;1.5),0,K6*F6*0.4),0),IF(IF(K6&lt;=1.5,IF(X6&gt;=3,L6*F6*1.5,K6*F6*(X6-1.5)),0)&lt;0,0,IF(K6&lt;=1.5,IF(X6&gt;=3,L6*F6*1.5,K6*F6*(X6-1.5)),0))+IF(R6&lt;H6+0.4,0,IF(AND(X6&lt;=3,K6&lt;=1.5),-U6,0))))</f>
        <v>0</v>
      </c>
      <c r="AE6" s="109">
        <f>IF(X6=0,0,IF(X6=0.4,IF(K6&lt;=1.5,IF(OR(Y6+0.4&gt;=4.5,Y6+0.4&lt;3),0,K6*F6*0.4),0),IF(IF(K6&lt;=1.5,IF(X6&gt;=4.5,L6*F6*1.5,K6*F6*(X6-3)),0)&lt;0,0,IF(K6&lt;=1.5,IF(X6&gt;=3,L6*F6*1.5,K6*F6*(X6-3)),0))+IF(R6&lt;H6+0.4,0,IF(AND(X6&lt;=4.5,K6&lt;=1.5),-U6,0))))</f>
        <v>0</v>
      </c>
      <c r="AF6" s="109">
        <f t="shared" ref="AF6:AF26" si="10">IF(X6=0,0,IF(X6=0.4,IF(AND(K6&gt;1.5,K6&lt;=2.6),IF(Y6+0.4&gt;=1.5,0,K6*F6*0.4),0),IF(AND(K6&gt;1.5,K6&lt;=2.6),IF(X6&gt;=1.5,L6*F6*1.5,K6*F6*(X6)),0)+IF(R6&lt;H6+0.4,0,IF(AND(X6&lt;=1.5,K6&lt;=1.5),-U6,0))))</f>
        <v>0</v>
      </c>
      <c r="AG6" s="109">
        <f t="shared" ref="AG6:AG26" si="11">IF(X6=0,0,IF(X6=0.4,IF(AND(K6&gt;1.5,K6&lt;=2.6),IF(OR(Y6+0.4&gt;=3,Y6+0.4&lt;1.5),0,K6*F6*0.4),0),IF(IF(AND(K6&gt;1.5,K6&lt;=2.6),IF(X6&gt;=3,L6*F6*1.5,K6*F6*(X6-1.5)),0)&lt;0,0,IF(AND(K6&gt;1.5,K6&lt;=2.6),IF(X6&gt;=3,L6*F6*1.5,K6*F6*(X6-1.5)),0))+IF(R6&lt;H6+0.4,0,IF(AND(X6&lt;=3,K6&lt;=1.5),-U6,0))))</f>
        <v>0</v>
      </c>
      <c r="AH6" s="109">
        <f t="shared" ref="AH6:AH26" si="12">IF(X6=0,0,IF(X6=0.4,IF(AND(K6&gt;1.5,K6&lt;=2.6),IF(OR(Y6+0.4&gt;=4.5,Y6+0.4&lt;3),0,K6*F6*0.4),0),IF(IF(AND(K6&gt;1.5,K6&lt;=2.6),IF(X6&gt;=4.5,L6*F6*1.5,K6*F6*(X6-3)),0)&lt;0,0,IF(AND(K6&gt;1.5,K6&lt;=2.6),IF(X6&gt;=4.5,L6*F6*1.5,K6*F6*(X6-3)),0))+IF(R6&lt;H6+0.4,0,IF(AND(X6&lt;=3,K6&lt;=1.5),-U6,0))))</f>
        <v>24.819999999787925</v>
      </c>
      <c r="AI6" s="109">
        <f t="shared" ref="AI6:AI26" si="13">IF(X6=0,0,IF(X6=0.4,IF(AND(K6&gt;1.5,K6&lt;=2.6),IF(OR(Y6+0.4&gt;=6,Y6+0.4&lt;4.5),0,K6*F6*0.4),0),IF(IF(AND(K6&gt;1.5,K6&lt;=2.6),IF(X6&gt;=6,L6*F6*1.5,K6*F6*(X6-4.5)),0)&lt;0,0,IF(AND(K6&gt;1.5,K6&lt;=2.6),IF(X6&gt;=6,L6*F6*1.5,K6*F6*(X6-4.5)),0))+IF(R6&lt;H6+0.4,0,IF(AND(X6&lt;=3,K6&lt;=1.5),-U6,0))))</f>
        <v>0</v>
      </c>
      <c r="AJ6" s="109">
        <f t="shared" ref="AJ6:AJ26" si="14">IF(K6&lt;=1.5,IF(Y6&gt;=1.5,L6*F6*1.5,K6*F6*Y6),0)+IF(R6&lt;H6,0,IF(AND(Y6&lt;=1.5,K6&lt;=1.5),-U6,0))</f>
        <v>0</v>
      </c>
      <c r="AK6" s="109">
        <f t="shared" ref="AK6:AK26" si="15">IF(IF(K6&lt;=1.5,IF(Y6&gt;=3,L6*F6*1.5,K6*F6*(Y6-1.5)),0)&lt;0,0,IF(K6&lt;=1.5,IF(Y6&gt;=3,L6*F6*1.5,K6*F6*(Y6-1.5)),0))+IF(R6&lt;H6,0,IF(AND(Y6&lt;=3,K6&lt;=1.5),-U6,0))</f>
        <v>0</v>
      </c>
      <c r="AL6" s="109">
        <f t="shared" ref="AL6:AL26" si="16">IF(AND(K6&lt;=2.5,K6&gt;1.5),IF(Y6&gt;=1.5,L6*F6*1.5,K6*F6*Y6),0)+IF(R6&lt;H6,0,IF(AND(Y6&lt;=1.5,K6&gt;1.5,K6&lt;=2.5),-U6,0))</f>
        <v>93.074999999204707</v>
      </c>
      <c r="AM6" s="109">
        <f>IF(IF(AND(K6&lt;=2.5,K6&gt;1.5),IF(Y6&gt;=3,L6*F6*1.5,K6*F6*(Y6-1.5)),0)&lt;0,0,IF(AND(K6&lt;=2.5,K6&gt;1.5),IF(Y6&gt;=3,L6*F6*1.5,K6*F6*(Y6-1.5)),0))+IF(R6&lt;H6,0,IF(AND(Y6&lt;=3,Y6&gt;1.5,K6&gt;1.5,K6&lt;=2.5),-U6,0))</f>
        <v>93.074999999204707</v>
      </c>
      <c r="AN6" s="109">
        <f>IF(AND(K6&lt;=2.5,Y6&gt;=4.5),L6*F6*1.5,IF(AND(K6&lt;=2.5,Y6&gt;3),K6*F6*(Y6-3),0))+IF(R6&lt;H6,0,IF(AND(Y6&lt;=4.5,Y6&gt;3,K6&gt;1.5,K6&lt;=2.5),-U6,0))</f>
        <v>1.1423453255065557</v>
      </c>
      <c r="AO6" s="109">
        <f t="shared" ref="AO6:AO23" si="17">IF(K6&gt;2.5,IF(Y6&gt;=2,L6*F6*2,K6*F6*Y6),0)+IF(R6&lt;H6,0,IF(AND(Y6&lt;=2,K6&gt;=2.5),-U6,0))</f>
        <v>0</v>
      </c>
      <c r="AP6" s="109">
        <f t="shared" ref="AP6:AP21" si="18">IF(IF(K6&gt;2.5,IF(Y6&gt;=4,L6*F6*2,K6*F6*(Y6-2)),0)&lt;0,0,IF(K6&gt;2.5,IF(Y6&gt;=4,L6*F6*2,K6*F6*(Y6-2)),0))+IF(R6&lt;H6,0,IF(AND(Y6&lt;=4,Y6&gt;2,K6&gt;2.5),-U6,0))</f>
        <v>0</v>
      </c>
      <c r="AQ6" s="109">
        <f t="shared" ref="AQ6:AQ21" si="19">IF(IF(K6&gt;2.5,IF(Y6&gt;=6,L6*F6*2,K6*F6*(Y6-4)),0)&lt;0,0,IF(K6&gt;2.5,IF(Y6&gt;=6,L6*F6*2,K6*F6*(Y6-4)),0))+IF(R6&lt;H6,0,IF(AND(Y6&lt;=6,Y6&gt;4,K6&gt;2.5),-U6,0))</f>
        <v>0</v>
      </c>
      <c r="AR6" s="104">
        <f t="shared" ref="AR6:AR23" si="20">V6-SUM(AC6:AQ6)</f>
        <v>0</v>
      </c>
      <c r="AS6" s="104">
        <f t="shared" ref="AS6:AS26" si="21">IF(H6-S6&lt;0,0,(H6-S6)*F6)/75</f>
        <v>0</v>
      </c>
      <c r="AT6" s="104">
        <f t="shared" ref="AT6:AT26" si="22">F6*K6*H6-PI()*(G6/1000)*(G6/1000)/4*F6+AW6</f>
        <v>200.9322024678367</v>
      </c>
      <c r="AU6" s="102">
        <f t="shared" ref="AU6:AU26" si="23">IF(K6&lt;1.5,K6*F6*IF(G6&lt;=500,0.05,IF(G6&lt;=800,0.1,IF(G6&lt;=1200,0.15,IF(G6&gt;=1500,0.2)))),0)</f>
        <v>0</v>
      </c>
      <c r="AV6" s="106">
        <f t="shared" ref="AV6:AV26" si="24">IF(K6&gt;=1.5,K6*F6*IF(G6&lt;=500,0.05,IF(G6&lt;=800,0.1,IF(G6&lt;=1200,0.15,IF(G6&gt;=1500,0.2)))),0)</f>
        <v>6.2049999999469811</v>
      </c>
      <c r="AW6" s="104">
        <f>IF(Q6=1,0.4*F6*K6,0)</f>
        <v>24.819999999787925</v>
      </c>
      <c r="AX6" s="104">
        <f t="shared" ref="AX6:AX26" si="25">IF(AW6&lt;SUM(AJ6:AQ6),0,AW6)</f>
        <v>0</v>
      </c>
      <c r="AY6" s="104">
        <f t="shared" ref="AY6:AY23" si="26">G6/1000+0.3</f>
        <v>1.1000000000000001</v>
      </c>
      <c r="AZ6" s="104">
        <f>AY6*K6*F6-PI()*(G6/1000*G6/1000)/4*F6</f>
        <v>49.908098902609169</v>
      </c>
      <c r="BA6" s="104">
        <f>IF(AZ6&lt;SUM(AJ6:AQ6),0,AZ6)</f>
        <v>0</v>
      </c>
      <c r="BB6" s="104">
        <f t="shared" ref="BB6:BB26" si="27">IF(O6="ASFALTO",0.15*F6*K6,0)</f>
        <v>9.3074999999204717</v>
      </c>
      <c r="BC6" s="104">
        <f>BB6</f>
        <v>9.3074999999204717</v>
      </c>
      <c r="BD6" s="104">
        <f t="shared" ref="BD6:BD26" si="28">IF(O6="ASFALTO",0.03*F6*K6,0)</f>
        <v>1.8614999999840942</v>
      </c>
      <c r="BE6" s="104">
        <f>AT6-AW6-SUM(AU6:AV6)-BB6-BC6-AZ6</f>
        <v>101.38410356565169</v>
      </c>
      <c r="BF6" s="104">
        <f>SUM(AJ6:AQ6)-AW6-BB6-AZ6</f>
        <v>103.25674642159842</v>
      </c>
      <c r="BG6" s="104">
        <f>IF(SMALL(BE6:BF6,1)&lt;0,0,SMALL(BE6:BF6,1))</f>
        <v>101.38410356565169</v>
      </c>
      <c r="BH6" s="104">
        <f t="shared" ref="BH6:BH20" si="29">BF6-BG6</f>
        <v>1.8726428559467365</v>
      </c>
      <c r="BI6" s="104">
        <f t="shared" ref="BI6:BI26" si="30">BE6-BG6</f>
        <v>0</v>
      </c>
      <c r="BJ6" s="102">
        <f>IF($BI$33&gt;$BJ$35,($BJ$35/$BI$33)*BI6,BI6)</f>
        <v>0</v>
      </c>
      <c r="BK6" s="104">
        <f t="shared" ref="BK6:BK26" si="31">BI6-BJ6</f>
        <v>0</v>
      </c>
      <c r="BL6" s="104"/>
      <c r="BM6" s="104">
        <f t="shared" ref="BM6:BM26" si="32">IF(AW6+BB6&gt;0,4%*(AW6+BB6),0)</f>
        <v>1.365099999988336</v>
      </c>
      <c r="BN6" s="108">
        <f t="shared" ref="BN6:BN26" si="33">IF(G6=400,H6,0)</f>
        <v>0</v>
      </c>
      <c r="BO6" s="110">
        <f t="shared" ref="BO6:BO26" si="34">IF(BN6&lt;=1.75,AND(BN6&gt;0)*F6,0)</f>
        <v>0</v>
      </c>
      <c r="BP6" s="110">
        <f t="shared" ref="BP6:BP26" si="35">IF(BN6&lt;=3,AND(BN6&gt;1.75)*F6,0)</f>
        <v>0</v>
      </c>
      <c r="BQ6" s="110">
        <f t="shared" ref="BQ6:BQ26" si="36">IF(G6=500,H6,0)</f>
        <v>0</v>
      </c>
      <c r="BR6" s="104">
        <f t="shared" ref="BR6:BR26" si="37">IF(BQ6&lt;=1.75,AND(BQ6&gt;0)*F6,0)</f>
        <v>0</v>
      </c>
      <c r="BS6" s="104">
        <f t="shared" ref="BS6:BS26" si="38">IF(BQ6&lt;=3,AND(BQ6&gt;1.75)*F6,0)</f>
        <v>0</v>
      </c>
      <c r="BT6" s="104">
        <f t="shared" ref="BT6:BT26" si="39">IF(G6=600,H6,0)</f>
        <v>0</v>
      </c>
      <c r="BU6" s="104">
        <f t="shared" ref="BU6:BU26" si="40">IF(BT6&lt;=3,AND(BT6&gt;0)*F6,0)</f>
        <v>0</v>
      </c>
      <c r="BV6" s="104">
        <f t="shared" ref="BV6:BV26" si="41">IF(BT6&lt;=6,AND(BT6&gt;3)*F6,0)</f>
        <v>0</v>
      </c>
      <c r="BW6" s="104">
        <f t="shared" ref="BW6:BW26" si="42">IF(BT6&lt;=9,AND(BT6&gt;6)*F6,0)</f>
        <v>0</v>
      </c>
      <c r="BX6" s="104">
        <f t="shared" ref="BX6:BX26" si="43">IF(G6=800,H6,0)</f>
        <v>3.1339098076795815</v>
      </c>
      <c r="BY6" s="104">
        <f t="shared" ref="BY6:BY26" si="44">IF(BX6&lt;=3,AND(BX6&gt;0)*F6,0)</f>
        <v>0</v>
      </c>
      <c r="BZ6" s="104">
        <f t="shared" ref="BZ6:BZ26" si="45">IF(BX6&lt;=6,AND(BX6&gt;3)*F6,0)</f>
        <v>36.499999999688121</v>
      </c>
      <c r="CA6" s="104">
        <f t="shared" ref="CA6:CA26" si="46">IF(BX6&lt;=9,AND(BX6&gt;6)*F6,0)</f>
        <v>0</v>
      </c>
      <c r="CB6" s="104">
        <f t="shared" ref="CB6:CB26" si="47">IF(G6=1000,H6,0)</f>
        <v>0</v>
      </c>
      <c r="CC6" s="104">
        <f t="shared" ref="CC6:CC26" si="48">IF(CB6&lt;=3,AND(CB6&gt;0)*F6,0)</f>
        <v>0</v>
      </c>
      <c r="CD6" s="104">
        <f t="shared" ref="CD6:CD26" si="49">IF(CB6&lt;=6,AND(CB6&gt;3)*F6,0)</f>
        <v>0</v>
      </c>
      <c r="CE6" s="104">
        <f t="shared" ref="CE6:CE26" si="50">IF(CB6&lt;=9,AND(CB6&gt;6)*F6,0)</f>
        <v>0</v>
      </c>
      <c r="CF6" s="104">
        <f t="shared" ref="CF6:CF26" si="51">IF(G6=1200,H6,0)</f>
        <v>0</v>
      </c>
      <c r="CG6" s="104">
        <f t="shared" ref="CG6:CG26" si="52">IF(CF6&lt;=3,AND(CF6&gt;0)*F6,0)</f>
        <v>0</v>
      </c>
      <c r="CH6" s="104">
        <f t="shared" ref="CH6:CH26" si="53">IF(CF6&lt;=6,AND(CF6&gt;3)*F6,0)</f>
        <v>0</v>
      </c>
      <c r="CI6" s="104">
        <f t="shared" ref="CI6:CI26" si="54">IF(CF6&lt;=9,AND(CF6&gt;6)*F6,0)</f>
        <v>0</v>
      </c>
      <c r="CJ6" s="443">
        <f t="shared" ref="CJ6:CJ26" si="55">IF(G6=1500,H6,0)</f>
        <v>0</v>
      </c>
      <c r="CK6" s="104">
        <f t="shared" ref="CK6:CK26" si="56">IF(CJ6&lt;=3,AND(CJ6&gt;0)*F6,0)</f>
        <v>0</v>
      </c>
      <c r="CL6" s="104">
        <f t="shared" ref="CL6:CL26" si="57">IF(CJ6&lt;=6,AND(CJ6&gt;3)*F6,0)</f>
        <v>0</v>
      </c>
      <c r="CM6" s="104">
        <f t="shared" ref="CM6:CM26" si="58">IF(CJ6&lt;=9,AND(CJ6&gt;6)*F6,0)</f>
        <v>0</v>
      </c>
      <c r="CN6" s="107">
        <f t="shared" ref="CN6:CN26" si="59">IF(G6=1650,F6,0)</f>
        <v>0</v>
      </c>
      <c r="CO6" s="107">
        <f t="shared" ref="CO6:CO26" si="60">IF(G6=1800,F6,0)</f>
        <v>0</v>
      </c>
      <c r="CP6" s="107">
        <f t="shared" ref="CP6:CP26" si="61">IF(G6=2000,F6,0)</f>
        <v>0</v>
      </c>
      <c r="CQ6" s="107">
        <f t="shared" ref="CQ6:CQ26" si="62">IF(G6=2200,F6,0)</f>
        <v>0</v>
      </c>
      <c r="CR6" s="107">
        <f t="shared" ref="CR6:CR26" si="63">IF(G6=2400,F6,0)</f>
        <v>0</v>
      </c>
      <c r="CS6" s="107">
        <f t="shared" ref="CS6:CS26" si="64">IF(G6=2600,F6,0)</f>
        <v>0</v>
      </c>
      <c r="CT6" s="444">
        <f t="shared" ref="CT6:CT26" si="65">IF(G6=3000,F6,0)</f>
        <v>0</v>
      </c>
      <c r="CU6" s="104">
        <f t="shared" ref="CU6:CU26" si="66">IF(G6&gt;=100,1,0)</f>
        <v>1</v>
      </c>
      <c r="CV6" s="104">
        <f t="shared" ref="CV6:CV26" si="67">IF(CU6=1,IF(G6&lt;=600,1,0))</f>
        <v>0</v>
      </c>
      <c r="CW6" s="104">
        <f>IF(CU6=1,IF($G6=800,1,0))</f>
        <v>1</v>
      </c>
      <c r="CX6" s="104">
        <f>IF(CU6=1,IF($G6=1000,1,0))</f>
        <v>0</v>
      </c>
      <c r="CY6" s="104">
        <f>IF(CU6=1,IF($G6=1200,1,0))</f>
        <v>0</v>
      </c>
      <c r="CZ6" s="104">
        <f>IF(CU6=1,IF($G6=1500,1,0))</f>
        <v>0</v>
      </c>
      <c r="DA6" s="104">
        <f t="shared" ref="DA6:DA26" si="68">IF(IF(G6&lt;=600,(D6-DB6),0)+IF(G6=800,(D6-DC6),0)+IF(G6&gt;=1000,D6-DD6,0)&lt;0,0,IF(G6&lt;=600,(D6-DB6),0)+IF(G6=800,(D6-DC6),0)+IF(G6&gt;=1000,D6-DD6,0))</f>
        <v>1.6478196153591171</v>
      </c>
      <c r="DB6" s="111">
        <v>1.3</v>
      </c>
      <c r="DC6" s="111">
        <v>1.4</v>
      </c>
      <c r="DD6" s="111">
        <v>2</v>
      </c>
      <c r="DE6" s="111">
        <v>2</v>
      </c>
      <c r="DF6" s="111">
        <v>2</v>
      </c>
      <c r="DG6" s="108">
        <f t="shared" ref="DG6:DG26" si="69">IF(K6&lt;=1.5,IF(H6&lt;1.5,H6*F6*2,F6*2*1.5),0)</f>
        <v>0</v>
      </c>
      <c r="DH6" s="108">
        <f t="shared" ref="DH6:DH26" si="70">IF(K6&lt;=1.5,IF(AND(H6&lt;3,H6&gt;1.5),(H6-1.5)*F6*2,IF(H6&gt;=3,(F6*2*1.5),0)),0)</f>
        <v>0</v>
      </c>
      <c r="DI6" s="108">
        <f t="shared" ref="DI6:DI26" si="71">IF(K6&lt;=1.5,IF(AND(H6&lt;4.5,H6&gt;3),(H6-3)*F6*2,IF(H6&gt;=4.5,(F6*2*1.5),0)),0)</f>
        <v>0</v>
      </c>
      <c r="DJ6" s="108">
        <f t="shared" ref="DJ6:DJ26" si="72">IF(AND(K6&lt;=2.5,K6&gt;1.5),IF(H6&lt;1.5,H6*F6*2,F6*2*1.5),0)</f>
        <v>109.49999999906436</v>
      </c>
      <c r="DK6" s="108">
        <f t="shared" ref="DK6:DK26" si="73">IF(AND(K6&gt;1.5,K6&lt;=2.5),IF(AND(H6&lt;3,H6&gt;1.5),(H6-1.5)*F6*2,IF(H6&gt;=3,(F6*2*1.5),0)),0)</f>
        <v>109.49999999906436</v>
      </c>
      <c r="DL6" s="108">
        <f t="shared" ref="DL6:DL26" si="74">IF(AND(K6&gt;1.5,K6&lt;=2.5),IF(AND(H6&lt;4.5,H6&gt;3),(H6-3)*F6*2,IF(H6&gt;=4.5,(F6*2*1.5),0)),0)</f>
        <v>9.7754159605259225</v>
      </c>
      <c r="DM6" s="108">
        <f t="shared" ref="DM6:DM26" si="75">IF(AND(K6&lt;=3.5,K6&gt;2.5),IF(H6&lt;1.5,H6*F6*2,F6*2*1.5),0)</f>
        <v>0</v>
      </c>
      <c r="DN6" s="108">
        <f t="shared" ref="DN6:DN26" si="76">IF(AND(K6&gt;2.5,K6&lt;=3.5),IF(AND(H6&lt;3,H6&gt;1.5),(H6-1.5)*F6*2,IF(H6&gt;=3,(F6*2*1.5),0)),0)</f>
        <v>0</v>
      </c>
      <c r="DO6" s="108">
        <f t="shared" ref="DO6:DO26" si="77">IF(AND(K6&gt;2.5,K6&lt;=3.5),IF(AND(H6&lt;4.5,H6&gt;3),(H6-3)*F6*2,IF(H6&gt;=4.5,(F6*2*1.5),0)),0)</f>
        <v>0</v>
      </c>
      <c r="DP6" s="108">
        <f t="shared" ref="DP6:DP26" si="78">IF(AND(K6&gt;2.5,K6&lt;=3.5),IF(AND(H6&lt;6,H6&gt;4.5),(H6-4.5)*F6*2,IF(H6&gt;=6,(F6*2*1.5),0)),0)</f>
        <v>0</v>
      </c>
      <c r="DQ6" s="445"/>
    </row>
    <row r="7" spans="1:121" s="112" customFormat="1" ht="25" x14ac:dyDescent="0.25">
      <c r="A7" s="99" t="s">
        <v>2022</v>
      </c>
      <c r="B7" s="100"/>
      <c r="C7" s="100" t="str">
        <f>'Planilha Hidráulica'!B11</f>
        <v>PV2.1-&gt;PV3.1</v>
      </c>
      <c r="D7" s="100">
        <f>'Planilha Hidráulica'!S11</f>
        <v>2.92</v>
      </c>
      <c r="E7" s="100">
        <f>'Planilha Hidráulica'!S11</f>
        <v>2.92</v>
      </c>
      <c r="F7" s="100">
        <f>'Planilha Hidráulica'!K11</f>
        <v>36.499999999704258</v>
      </c>
      <c r="G7" s="101">
        <f>'Planilha Hidráulica'!M11</f>
        <v>800</v>
      </c>
      <c r="H7" s="102">
        <f t="shared" si="0"/>
        <v>3.18</v>
      </c>
      <c r="I7" s="102">
        <f t="shared" si="1"/>
        <v>5.8034999999529777</v>
      </c>
      <c r="J7" s="103">
        <v>0</v>
      </c>
      <c r="K7" s="104">
        <f t="shared" ref="K7:K26" si="79">IF(G7=400,1,0)+IF(G7=500,1.2,0)+IF(G7=600,1.4,0)+IF(G7=800,1.7,0)+IF(G7=1000,2,0)+IF(G7=1200,2.2,0)+IF(G7=1500,2.6,0)+IF(G7=1650,3,0)+IF(G7=1800,3.2,0)+IF(G7=2000,3.4,0)+IF(G7=2200,3.6,0)+IF(G7=2400,3.8,0)+IF(G7=2600,4,0)+IF(G7=3000,4.4,0)</f>
        <v>1.7</v>
      </c>
      <c r="L7" s="104">
        <f t="shared" ref="L7:L26" si="80">2*J7*H7+K7</f>
        <v>1.7</v>
      </c>
      <c r="M7" s="104">
        <f>'Planilha Hidráulica'!X11</f>
        <v>500</v>
      </c>
      <c r="N7" s="104">
        <f t="shared" si="2"/>
        <v>62.049999999497238</v>
      </c>
      <c r="O7" s="105" t="str">
        <f>'Planilha Hidráulica'!W11</f>
        <v>ASFALTO</v>
      </c>
      <c r="P7" s="105" t="s">
        <v>2023</v>
      </c>
      <c r="Q7" s="105"/>
      <c r="R7" s="105">
        <v>5</v>
      </c>
      <c r="S7" s="105">
        <v>5</v>
      </c>
      <c r="T7" s="104">
        <f t="shared" si="3"/>
        <v>0.1</v>
      </c>
      <c r="U7" s="106">
        <f t="shared" si="4"/>
        <v>7.166758240943647</v>
      </c>
      <c r="V7" s="106">
        <f t="shared" si="5"/>
        <v>190.15224175745757</v>
      </c>
      <c r="W7" s="107">
        <f t="shared" si="6"/>
        <v>0</v>
      </c>
      <c r="X7" s="107">
        <f t="shared" si="7"/>
        <v>0</v>
      </c>
      <c r="Y7" s="107">
        <f t="shared" ref="Y7:Y26" si="81">IF(R7&lt;H7,R7,H7)</f>
        <v>3.18</v>
      </c>
      <c r="Z7" s="107">
        <f t="shared" ref="Z7:Z26" si="82">H7-Y7</f>
        <v>0</v>
      </c>
      <c r="AA7" s="108">
        <f t="shared" ref="AA7:AA26" si="83">IF(O7="ASFALTO",L7*F7,0)</f>
        <v>62.049999999497238</v>
      </c>
      <c r="AB7" s="108">
        <f t="shared" ref="AB7:AB26" si="84">IF(O7="CONCRETO",L7*F7,0)</f>
        <v>0</v>
      </c>
      <c r="AC7" s="109">
        <f t="shared" si="8"/>
        <v>0</v>
      </c>
      <c r="AD7" s="109">
        <f t="shared" si="9"/>
        <v>0</v>
      </c>
      <c r="AE7" s="109">
        <f t="shared" ref="AE7:AE32" si="85">IF(X7=0,0,IF(X7=0.4,IF(K7&lt;=1.5,IF(OR(Y7+0.4&gt;=4.5,Y7+0.4&lt;3),0,K7*F7*0.4),0),IF(IF(K7&lt;=1.5,IF(X7&gt;=4.5,L7*F7*1.5,K7*F7*(X7-3)),0)&lt;0,0,IF(K7&lt;=1.5,IF(X7&gt;=3,L7*F7*1.5,K7*F7*(X7-3)),0))+IF(R7&lt;H7+0.4,0,IF(AND(X7&lt;=4.5,K7&lt;=1.5),-U7,0))))</f>
        <v>0</v>
      </c>
      <c r="AF7" s="109">
        <f t="shared" si="10"/>
        <v>0</v>
      </c>
      <c r="AG7" s="109">
        <f t="shared" si="11"/>
        <v>0</v>
      </c>
      <c r="AH7" s="109">
        <f t="shared" si="12"/>
        <v>0</v>
      </c>
      <c r="AI7" s="109">
        <f t="shared" si="13"/>
        <v>0</v>
      </c>
      <c r="AJ7" s="109">
        <f t="shared" si="14"/>
        <v>0</v>
      </c>
      <c r="AK7" s="109">
        <f t="shared" si="15"/>
        <v>0</v>
      </c>
      <c r="AL7" s="109">
        <f t="shared" si="16"/>
        <v>93.074999999245861</v>
      </c>
      <c r="AM7" s="109">
        <f>IF(IF(AND(K7&lt;=2.5,K7&gt;1.5),IF(Y7&gt;=3,L7*F7*1.5,K7*F7*(Y7-1.5)),0)&lt;0,0,IF(AND(K7&lt;=2.5,K7&gt;1.5),IF(Y7&gt;=3,L7*F7*1.5,K7*F7*(Y7-1.5)),0))+IF(R7&lt;H7,0,IF(AND(Y7&lt;=3,Y7&gt;1.5,K7&gt;1.5,K7&lt;=2.5),-U7,0))</f>
        <v>93.074999999245861</v>
      </c>
      <c r="AN7" s="109">
        <f>IF(AND(K7&lt;=2.5,Y7&gt;=4.5),L7*F7*1.5,IF(AND(K7&lt;=2.5,Y7&gt;3),K7*F7*(Y7-3),0))+IF(R7&lt;H7,0,IF(AND(Y7&lt;=4.5,Y7&gt;3,K7&gt;1.5,K7&lt;=2.5),-U7,0))</f>
        <v>4.0022417589658659</v>
      </c>
      <c r="AO7" s="109">
        <f t="shared" si="17"/>
        <v>0</v>
      </c>
      <c r="AP7" s="109">
        <f t="shared" si="18"/>
        <v>0</v>
      </c>
      <c r="AQ7" s="109">
        <f t="shared" si="19"/>
        <v>0</v>
      </c>
      <c r="AR7" s="104">
        <f t="shared" si="20"/>
        <v>0</v>
      </c>
      <c r="AS7" s="104">
        <f t="shared" si="21"/>
        <v>0</v>
      </c>
      <c r="AT7" s="104">
        <f t="shared" si="22"/>
        <v>178.9720989015855</v>
      </c>
      <c r="AU7" s="102">
        <f t="shared" si="23"/>
        <v>0</v>
      </c>
      <c r="AV7" s="106">
        <f t="shared" si="24"/>
        <v>6.2049999999497238</v>
      </c>
      <c r="AW7" s="104">
        <f t="shared" ref="AW7:AW26" si="86">IF(Q7=1,0.4*F7*K7,0)</f>
        <v>0</v>
      </c>
      <c r="AX7" s="104">
        <f t="shared" si="25"/>
        <v>0</v>
      </c>
      <c r="AY7" s="104">
        <f t="shared" si="26"/>
        <v>1.1000000000000001</v>
      </c>
      <c r="AZ7" s="104">
        <f t="shared" ref="AZ7:AZ26" si="87">AY7*K7*F7-PI()*(G7/1000*G7/1000)/4*F7</f>
        <v>49.908098902631224</v>
      </c>
      <c r="BA7" s="104">
        <f t="shared" ref="BA7:BA26" si="88">IF(AZ7&lt;SUM(AJ7:AQ7),0,AZ7)</f>
        <v>0</v>
      </c>
      <c r="BB7" s="104">
        <f t="shared" si="27"/>
        <v>9.3074999999245858</v>
      </c>
      <c r="BC7" s="104">
        <f t="shared" ref="BC7:BC26" si="89">BB7</f>
        <v>9.3074999999245858</v>
      </c>
      <c r="BD7" s="104">
        <f t="shared" si="28"/>
        <v>1.8614999999849171</v>
      </c>
      <c r="BE7" s="104">
        <f t="shared" ref="BE7:BE32" si="90">AT7-AW7-SUM(AU7:AV7)-BB7-BC7-AZ7</f>
        <v>104.24399999915539</v>
      </c>
      <c r="BF7" s="104">
        <f t="shared" ref="BF7:BF32" si="91">SUM(AJ7:AQ7)-AW7-BB7-AZ7</f>
        <v>130.93664285490181</v>
      </c>
      <c r="BG7" s="104">
        <f t="shared" ref="BG7:BG26" si="92">IF(SMALL(BE7:BF7,1)&lt;0,0,SMALL(BE7:BF7,1))</f>
        <v>104.24399999915539</v>
      </c>
      <c r="BH7" s="104">
        <f t="shared" si="29"/>
        <v>26.692642855746413</v>
      </c>
      <c r="BI7" s="104">
        <f t="shared" si="30"/>
        <v>0</v>
      </c>
      <c r="BJ7" s="102">
        <f t="shared" ref="BJ7:BJ26" si="93">IF($BI$33&gt;$BJ$35,($BJ$35/$BI$33)*BI7,BI7)</f>
        <v>0</v>
      </c>
      <c r="BK7" s="104">
        <f t="shared" si="31"/>
        <v>0</v>
      </c>
      <c r="BL7" s="104"/>
      <c r="BM7" s="104">
        <f t="shared" si="32"/>
        <v>0.37229999999698343</v>
      </c>
      <c r="BN7" s="108">
        <f t="shared" si="33"/>
        <v>0</v>
      </c>
      <c r="BO7" s="110">
        <f t="shared" si="34"/>
        <v>0</v>
      </c>
      <c r="BP7" s="110">
        <f t="shared" si="35"/>
        <v>0</v>
      </c>
      <c r="BQ7" s="110">
        <f t="shared" si="36"/>
        <v>0</v>
      </c>
      <c r="BR7" s="104">
        <f t="shared" si="37"/>
        <v>0</v>
      </c>
      <c r="BS7" s="104">
        <f t="shared" si="38"/>
        <v>0</v>
      </c>
      <c r="BT7" s="104">
        <f t="shared" si="39"/>
        <v>0</v>
      </c>
      <c r="BU7" s="104">
        <f t="shared" si="40"/>
        <v>0</v>
      </c>
      <c r="BV7" s="104">
        <f t="shared" si="41"/>
        <v>0</v>
      </c>
      <c r="BW7" s="104">
        <f t="shared" si="42"/>
        <v>0</v>
      </c>
      <c r="BX7" s="104">
        <f t="shared" si="43"/>
        <v>3.18</v>
      </c>
      <c r="BY7" s="104">
        <f t="shared" si="44"/>
        <v>0</v>
      </c>
      <c r="BZ7" s="104">
        <f t="shared" si="45"/>
        <v>36.499999999704258</v>
      </c>
      <c r="CA7" s="104">
        <f t="shared" si="46"/>
        <v>0</v>
      </c>
      <c r="CB7" s="104">
        <f t="shared" si="47"/>
        <v>0</v>
      </c>
      <c r="CC7" s="104">
        <f t="shared" si="48"/>
        <v>0</v>
      </c>
      <c r="CD7" s="104">
        <f t="shared" si="49"/>
        <v>0</v>
      </c>
      <c r="CE7" s="104">
        <f t="shared" si="50"/>
        <v>0</v>
      </c>
      <c r="CF7" s="104">
        <f t="shared" si="51"/>
        <v>0</v>
      </c>
      <c r="CG7" s="104">
        <f t="shared" si="52"/>
        <v>0</v>
      </c>
      <c r="CH7" s="104">
        <f t="shared" si="53"/>
        <v>0</v>
      </c>
      <c r="CI7" s="104">
        <f t="shared" si="54"/>
        <v>0</v>
      </c>
      <c r="CJ7" s="443">
        <f t="shared" si="55"/>
        <v>0</v>
      </c>
      <c r="CK7" s="104">
        <f t="shared" si="56"/>
        <v>0</v>
      </c>
      <c r="CL7" s="104">
        <f t="shared" si="57"/>
        <v>0</v>
      </c>
      <c r="CM7" s="104">
        <f t="shared" si="58"/>
        <v>0</v>
      </c>
      <c r="CN7" s="107">
        <f t="shared" si="59"/>
        <v>0</v>
      </c>
      <c r="CO7" s="107">
        <f t="shared" si="60"/>
        <v>0</v>
      </c>
      <c r="CP7" s="107">
        <f t="shared" si="61"/>
        <v>0</v>
      </c>
      <c r="CQ7" s="107">
        <f t="shared" si="62"/>
        <v>0</v>
      </c>
      <c r="CR7" s="107">
        <f t="shared" si="63"/>
        <v>0</v>
      </c>
      <c r="CS7" s="107">
        <f t="shared" si="64"/>
        <v>0</v>
      </c>
      <c r="CT7" s="444">
        <f t="shared" si="65"/>
        <v>0</v>
      </c>
      <c r="CU7" s="104">
        <f t="shared" si="66"/>
        <v>1</v>
      </c>
      <c r="CV7" s="104">
        <f t="shared" si="67"/>
        <v>0</v>
      </c>
      <c r="CW7" s="104">
        <f t="shared" ref="CW7:CW26" si="94">IF(CU7=1,IF($G7=800,1,0))</f>
        <v>1</v>
      </c>
      <c r="CX7" s="104">
        <f t="shared" ref="CX7:CX26" si="95">IF(CU7=1,IF($G7=1000,1,0))</f>
        <v>0</v>
      </c>
      <c r="CY7" s="104">
        <f t="shared" ref="CY7:CY26" si="96">IF(CU7=1,IF($G7=1200,1,0))</f>
        <v>0</v>
      </c>
      <c r="CZ7" s="104">
        <f t="shared" ref="CZ7:CZ26" si="97">IF(CU7=1,IF($G7=1500,1,0))</f>
        <v>0</v>
      </c>
      <c r="DA7" s="104">
        <f t="shared" si="68"/>
        <v>1.52</v>
      </c>
      <c r="DB7" s="111">
        <v>1.3</v>
      </c>
      <c r="DC7" s="111">
        <v>1.4</v>
      </c>
      <c r="DD7" s="111">
        <v>2</v>
      </c>
      <c r="DE7" s="111">
        <v>2</v>
      </c>
      <c r="DF7" s="111">
        <v>2</v>
      </c>
      <c r="DG7" s="108">
        <f t="shared" si="69"/>
        <v>0</v>
      </c>
      <c r="DH7" s="108">
        <f t="shared" si="70"/>
        <v>0</v>
      </c>
      <c r="DI7" s="108">
        <f t="shared" si="71"/>
        <v>0</v>
      </c>
      <c r="DJ7" s="108">
        <f t="shared" si="72"/>
        <v>109.49999999911277</v>
      </c>
      <c r="DK7" s="108">
        <f t="shared" si="73"/>
        <v>109.49999999911277</v>
      </c>
      <c r="DL7" s="108">
        <f t="shared" si="74"/>
        <v>13.139999999893545</v>
      </c>
      <c r="DM7" s="108">
        <f t="shared" si="75"/>
        <v>0</v>
      </c>
      <c r="DN7" s="108">
        <f t="shared" si="76"/>
        <v>0</v>
      </c>
      <c r="DO7" s="108">
        <f t="shared" si="77"/>
        <v>0</v>
      </c>
      <c r="DP7" s="108">
        <f t="shared" si="78"/>
        <v>0</v>
      </c>
      <c r="DQ7" s="445"/>
    </row>
    <row r="8" spans="1:121" s="112" customFormat="1" ht="25" x14ac:dyDescent="0.25">
      <c r="A8" s="99" t="s">
        <v>2022</v>
      </c>
      <c r="B8" s="100"/>
      <c r="C8" s="100" t="str">
        <f>'Planilha Hidráulica'!B12</f>
        <v>PV3.1-&gt;PV4.1</v>
      </c>
      <c r="D8" s="100">
        <f>'Planilha Hidráulica'!R12</f>
        <v>2.9220838831905667</v>
      </c>
      <c r="E8" s="100">
        <f>'Planilha Hidráulica'!S12</f>
        <v>2.2000000000000455</v>
      </c>
      <c r="F8" s="100">
        <f>'Planilha Hidráulica'!K12</f>
        <v>36.499999999964693</v>
      </c>
      <c r="G8" s="101">
        <f>'Planilha Hidráulica'!M12</f>
        <v>1000</v>
      </c>
      <c r="H8" s="102">
        <f t="shared" si="0"/>
        <v>2.9110419415953062</v>
      </c>
      <c r="I8" s="102">
        <f t="shared" si="1"/>
        <v>5.3126515434062949</v>
      </c>
      <c r="J8" s="103">
        <v>0</v>
      </c>
      <c r="K8" s="104">
        <f t="shared" si="79"/>
        <v>2</v>
      </c>
      <c r="L8" s="104">
        <f t="shared" si="80"/>
        <v>2</v>
      </c>
      <c r="M8" s="104">
        <f>'Planilha Hidráulica'!X12</f>
        <v>600</v>
      </c>
      <c r="N8" s="104">
        <f t="shared" si="2"/>
        <v>72.999999999929386</v>
      </c>
      <c r="O8" s="105" t="str">
        <f>'Planilha Hidráulica'!W12</f>
        <v>ASFALTO</v>
      </c>
      <c r="P8" s="105" t="s">
        <v>2023</v>
      </c>
      <c r="Q8" s="105"/>
      <c r="R8" s="105">
        <v>5</v>
      </c>
      <c r="S8" s="105">
        <v>5</v>
      </c>
      <c r="T8" s="104">
        <f t="shared" si="3"/>
        <v>0.15</v>
      </c>
      <c r="U8" s="106">
        <f t="shared" si="4"/>
        <v>10.320131867032488</v>
      </c>
      <c r="V8" s="106">
        <f t="shared" si="5"/>
        <v>202.18592986921928</v>
      </c>
      <c r="W8" s="107">
        <f t="shared" si="6"/>
        <v>0</v>
      </c>
      <c r="X8" s="107">
        <f t="shared" si="7"/>
        <v>0</v>
      </c>
      <c r="Y8" s="107">
        <f t="shared" si="81"/>
        <v>2.9110419415953062</v>
      </c>
      <c r="Z8" s="107">
        <f t="shared" si="82"/>
        <v>0</v>
      </c>
      <c r="AA8" s="108">
        <f t="shared" si="83"/>
        <v>72.999999999929386</v>
      </c>
      <c r="AB8" s="108">
        <f t="shared" si="84"/>
        <v>0</v>
      </c>
      <c r="AC8" s="109">
        <f t="shared" si="8"/>
        <v>0</v>
      </c>
      <c r="AD8" s="109">
        <f t="shared" si="9"/>
        <v>0</v>
      </c>
      <c r="AE8" s="109">
        <f t="shared" si="85"/>
        <v>0</v>
      </c>
      <c r="AF8" s="109">
        <f t="shared" si="10"/>
        <v>0</v>
      </c>
      <c r="AG8" s="109">
        <f t="shared" si="11"/>
        <v>0</v>
      </c>
      <c r="AH8" s="109">
        <f t="shared" si="12"/>
        <v>0</v>
      </c>
      <c r="AI8" s="109">
        <f t="shared" si="13"/>
        <v>0</v>
      </c>
      <c r="AJ8" s="109">
        <f t="shared" si="14"/>
        <v>0</v>
      </c>
      <c r="AK8" s="109">
        <f t="shared" si="15"/>
        <v>0</v>
      </c>
      <c r="AL8" s="109">
        <f t="shared" si="16"/>
        <v>109.49999999989407</v>
      </c>
      <c r="AM8" s="109">
        <f>IF(IF(AND(K8&lt;=2.5,K8&gt;1.5),IF(Y8&gt;=3,L8*F8*1.5,K8*F8*(Y8-1.5)),0)&lt;0,0,IF(AND(K8&lt;=2.5,K8&gt;1.5),IF(Y8&gt;=3,L8*F8*1.5,K8*F8*(Y8-1.5)),0))+IF(R8&lt;H8,0,IF(AND(Y8&lt;=3,Y8&gt;1.5,K8&gt;1.5,K8&lt;=2.5),-U8,0))</f>
        <v>92.685929869325221</v>
      </c>
      <c r="AN8" s="109">
        <f>IF(AND(K8&lt;=2.5,Y8&gt;=4.5),L8*F8*1.5,IF(AND(K8&lt;=2.5,Y8&gt;3),K8*F8*(Y8-3),0))+IF(R8&lt;H8,0,IF(AND(Y8&lt;=4.5,Y8&gt;3,K8&gt;1.5,K8&lt;=2.5),-U8,0))</f>
        <v>0</v>
      </c>
      <c r="AO8" s="109">
        <f t="shared" si="17"/>
        <v>0</v>
      </c>
      <c r="AP8" s="109">
        <f t="shared" si="18"/>
        <v>0</v>
      </c>
      <c r="AQ8" s="109">
        <f t="shared" si="19"/>
        <v>0</v>
      </c>
      <c r="AR8" s="104">
        <f t="shared" si="20"/>
        <v>0</v>
      </c>
      <c r="AS8" s="104">
        <f t="shared" si="21"/>
        <v>0</v>
      </c>
      <c r="AT8" s="104">
        <f t="shared" si="22"/>
        <v>183.83902877227266</v>
      </c>
      <c r="AU8" s="102">
        <f t="shared" si="23"/>
        <v>0</v>
      </c>
      <c r="AV8" s="106">
        <f t="shared" si="24"/>
        <v>10.949999999989407</v>
      </c>
      <c r="AW8" s="104">
        <f t="shared" si="86"/>
        <v>0</v>
      </c>
      <c r="AX8" s="104">
        <f t="shared" si="25"/>
        <v>0</v>
      </c>
      <c r="AY8" s="104">
        <f t="shared" si="26"/>
        <v>1.3</v>
      </c>
      <c r="AZ8" s="104">
        <f t="shared" si="87"/>
        <v>66.232967035929079</v>
      </c>
      <c r="BA8" s="104">
        <f t="shared" si="88"/>
        <v>0</v>
      </c>
      <c r="BB8" s="104">
        <f t="shared" si="27"/>
        <v>10.949999999989407</v>
      </c>
      <c r="BC8" s="104">
        <f t="shared" si="89"/>
        <v>10.949999999989407</v>
      </c>
      <c r="BD8" s="104">
        <f t="shared" si="28"/>
        <v>2.1899999999978816</v>
      </c>
      <c r="BE8" s="104">
        <f t="shared" si="90"/>
        <v>84.756061736375329</v>
      </c>
      <c r="BF8" s="104">
        <f t="shared" si="91"/>
        <v>125.00296283330081</v>
      </c>
      <c r="BG8" s="104">
        <f t="shared" si="92"/>
        <v>84.756061736375329</v>
      </c>
      <c r="BH8" s="104">
        <f t="shared" si="29"/>
        <v>40.246901096925484</v>
      </c>
      <c r="BI8" s="104">
        <f t="shared" si="30"/>
        <v>0</v>
      </c>
      <c r="BJ8" s="102">
        <f t="shared" si="93"/>
        <v>0</v>
      </c>
      <c r="BK8" s="104">
        <f t="shared" si="31"/>
        <v>0</v>
      </c>
      <c r="BL8" s="104"/>
      <c r="BM8" s="104">
        <f t="shared" si="32"/>
        <v>0.43799999999957628</v>
      </c>
      <c r="BN8" s="108">
        <f t="shared" si="33"/>
        <v>0</v>
      </c>
      <c r="BO8" s="110">
        <f t="shared" si="34"/>
        <v>0</v>
      </c>
      <c r="BP8" s="110">
        <f t="shared" si="35"/>
        <v>0</v>
      </c>
      <c r="BQ8" s="110">
        <f t="shared" si="36"/>
        <v>0</v>
      </c>
      <c r="BR8" s="104">
        <f t="shared" si="37"/>
        <v>0</v>
      </c>
      <c r="BS8" s="104">
        <f t="shared" si="38"/>
        <v>0</v>
      </c>
      <c r="BT8" s="104">
        <f t="shared" si="39"/>
        <v>0</v>
      </c>
      <c r="BU8" s="104">
        <f t="shared" si="40"/>
        <v>0</v>
      </c>
      <c r="BV8" s="104">
        <f t="shared" si="41"/>
        <v>0</v>
      </c>
      <c r="BW8" s="104">
        <f t="shared" si="42"/>
        <v>0</v>
      </c>
      <c r="BX8" s="104">
        <f t="shared" si="43"/>
        <v>0</v>
      </c>
      <c r="BY8" s="104">
        <f t="shared" si="44"/>
        <v>0</v>
      </c>
      <c r="BZ8" s="104">
        <f t="shared" si="45"/>
        <v>0</v>
      </c>
      <c r="CA8" s="104">
        <f t="shared" si="46"/>
        <v>0</v>
      </c>
      <c r="CB8" s="104">
        <f t="shared" si="47"/>
        <v>2.9110419415953062</v>
      </c>
      <c r="CC8" s="104">
        <f t="shared" si="48"/>
        <v>36.499999999964693</v>
      </c>
      <c r="CD8" s="104">
        <f t="shared" si="49"/>
        <v>0</v>
      </c>
      <c r="CE8" s="104">
        <f t="shared" si="50"/>
        <v>0</v>
      </c>
      <c r="CF8" s="104">
        <f t="shared" si="51"/>
        <v>0</v>
      </c>
      <c r="CG8" s="104">
        <f t="shared" si="52"/>
        <v>0</v>
      </c>
      <c r="CH8" s="104">
        <f t="shared" si="53"/>
        <v>0</v>
      </c>
      <c r="CI8" s="104">
        <f t="shared" si="54"/>
        <v>0</v>
      </c>
      <c r="CJ8" s="443">
        <f t="shared" si="55"/>
        <v>0</v>
      </c>
      <c r="CK8" s="104">
        <f t="shared" si="56"/>
        <v>0</v>
      </c>
      <c r="CL8" s="104">
        <f t="shared" si="57"/>
        <v>0</v>
      </c>
      <c r="CM8" s="104">
        <f t="shared" si="58"/>
        <v>0</v>
      </c>
      <c r="CN8" s="107">
        <f t="shared" si="59"/>
        <v>0</v>
      </c>
      <c r="CO8" s="107">
        <f t="shared" si="60"/>
        <v>0</v>
      </c>
      <c r="CP8" s="107">
        <f t="shared" si="61"/>
        <v>0</v>
      </c>
      <c r="CQ8" s="107">
        <f t="shared" si="62"/>
        <v>0</v>
      </c>
      <c r="CR8" s="107">
        <f t="shared" si="63"/>
        <v>0</v>
      </c>
      <c r="CS8" s="107">
        <f t="shared" si="64"/>
        <v>0</v>
      </c>
      <c r="CT8" s="444">
        <f t="shared" si="65"/>
        <v>0</v>
      </c>
      <c r="CU8" s="104">
        <f t="shared" si="66"/>
        <v>1</v>
      </c>
      <c r="CV8" s="104">
        <f t="shared" si="67"/>
        <v>0</v>
      </c>
      <c r="CW8" s="104">
        <f t="shared" si="94"/>
        <v>0</v>
      </c>
      <c r="CX8" s="104">
        <f t="shared" si="95"/>
        <v>1</v>
      </c>
      <c r="CY8" s="104">
        <f t="shared" si="96"/>
        <v>0</v>
      </c>
      <c r="CZ8" s="104">
        <f t="shared" si="97"/>
        <v>0</v>
      </c>
      <c r="DA8" s="104">
        <f t="shared" si="68"/>
        <v>0.92208388319056667</v>
      </c>
      <c r="DB8" s="111">
        <v>1.3</v>
      </c>
      <c r="DC8" s="111">
        <v>1.4</v>
      </c>
      <c r="DD8" s="111">
        <v>2</v>
      </c>
      <c r="DE8" s="111">
        <v>2</v>
      </c>
      <c r="DF8" s="111">
        <v>2</v>
      </c>
      <c r="DG8" s="108">
        <f t="shared" si="69"/>
        <v>0</v>
      </c>
      <c r="DH8" s="108">
        <f t="shared" si="70"/>
        <v>0</v>
      </c>
      <c r="DI8" s="108">
        <f t="shared" si="71"/>
        <v>0</v>
      </c>
      <c r="DJ8" s="108">
        <f t="shared" si="72"/>
        <v>109.49999999989407</v>
      </c>
      <c r="DK8" s="108">
        <f t="shared" si="73"/>
        <v>103.00606173635771</v>
      </c>
      <c r="DL8" s="108">
        <f t="shared" si="74"/>
        <v>0</v>
      </c>
      <c r="DM8" s="108">
        <f t="shared" si="75"/>
        <v>0</v>
      </c>
      <c r="DN8" s="108">
        <f t="shared" si="76"/>
        <v>0</v>
      </c>
      <c r="DO8" s="108">
        <f t="shared" si="77"/>
        <v>0</v>
      </c>
      <c r="DP8" s="108">
        <f t="shared" si="78"/>
        <v>0</v>
      </c>
      <c r="DQ8" s="445"/>
    </row>
    <row r="9" spans="1:121" s="112" customFormat="1" ht="25" x14ac:dyDescent="0.25">
      <c r="A9" s="99" t="s">
        <v>2022</v>
      </c>
      <c r="B9" s="100"/>
      <c r="C9" s="100" t="str">
        <f>'Planilha Hidráulica'!B13</f>
        <v>PV4.1-&gt;PV5.1</v>
      </c>
      <c r="D9" s="100">
        <f>'Planilha Hidráulica'!R13</f>
        <v>2.2000000000000455</v>
      </c>
      <c r="E9" s="100">
        <f>'Planilha Hidráulica'!S13</f>
        <v>3.28</v>
      </c>
      <c r="F9" s="100">
        <f>'Planilha Hidráulica'!K13</f>
        <v>35.673396854917044</v>
      </c>
      <c r="G9" s="101">
        <f>'Planilha Hidráulica'!M13</f>
        <v>1000</v>
      </c>
      <c r="H9" s="102">
        <f t="shared" si="0"/>
        <v>3.0900000000000225</v>
      </c>
      <c r="I9" s="102">
        <f t="shared" si="1"/>
        <v>5.5115398140847232</v>
      </c>
      <c r="J9" s="103">
        <v>0</v>
      </c>
      <c r="K9" s="104">
        <f t="shared" si="79"/>
        <v>2</v>
      </c>
      <c r="L9" s="104">
        <f t="shared" si="80"/>
        <v>2</v>
      </c>
      <c r="M9" s="104">
        <f>'Planilha Hidráulica'!X13</f>
        <v>600</v>
      </c>
      <c r="N9" s="104">
        <f t="shared" si="2"/>
        <v>71.346793709834088</v>
      </c>
      <c r="O9" s="105" t="str">
        <f>'Planilha Hidráulica'!W13</f>
        <v>ASFALTO</v>
      </c>
      <c r="P9" s="105" t="s">
        <v>2024</v>
      </c>
      <c r="Q9" s="105"/>
      <c r="R9" s="105">
        <v>5</v>
      </c>
      <c r="S9" s="105">
        <v>5</v>
      </c>
      <c r="T9" s="104">
        <f t="shared" si="3"/>
        <v>0.15</v>
      </c>
      <c r="U9" s="106">
        <f t="shared" si="4"/>
        <v>10.086415333920057</v>
      </c>
      <c r="V9" s="106">
        <f t="shared" si="5"/>
        <v>210.37517722946887</v>
      </c>
      <c r="W9" s="107">
        <f t="shared" si="6"/>
        <v>0</v>
      </c>
      <c r="X9" s="107">
        <f t="shared" si="7"/>
        <v>0</v>
      </c>
      <c r="Y9" s="107">
        <f t="shared" si="81"/>
        <v>3.0900000000000225</v>
      </c>
      <c r="Z9" s="107">
        <f t="shared" si="82"/>
        <v>0</v>
      </c>
      <c r="AA9" s="108">
        <f t="shared" si="83"/>
        <v>71.346793709834088</v>
      </c>
      <c r="AB9" s="108">
        <f t="shared" si="84"/>
        <v>0</v>
      </c>
      <c r="AC9" s="109">
        <f t="shared" si="8"/>
        <v>0</v>
      </c>
      <c r="AD9" s="109">
        <f t="shared" si="9"/>
        <v>0</v>
      </c>
      <c r="AE9" s="109">
        <f t="shared" si="85"/>
        <v>0</v>
      </c>
      <c r="AF9" s="109">
        <f t="shared" si="10"/>
        <v>0</v>
      </c>
      <c r="AG9" s="109">
        <f t="shared" si="11"/>
        <v>0</v>
      </c>
      <c r="AH9" s="109">
        <f t="shared" si="12"/>
        <v>0</v>
      </c>
      <c r="AI9" s="109">
        <f t="shared" si="13"/>
        <v>0</v>
      </c>
      <c r="AJ9" s="109">
        <f t="shared" si="14"/>
        <v>0</v>
      </c>
      <c r="AK9" s="109">
        <f t="shared" si="15"/>
        <v>0</v>
      </c>
      <c r="AL9" s="109">
        <f t="shared" si="16"/>
        <v>107.02019056475113</v>
      </c>
      <c r="AM9" s="109">
        <f>IF(IF(AND(K9&lt;=2.5,K9&gt;1.5),IF(Y9&gt;=3,L9*F9*1.5,K9*F9*(Y9-1.5)),0)&lt;0,0,IF(AND(K9&lt;=2.5,K9&gt;1.5),IF(Y9&gt;=3,L9*F9*1.5,K9*F9*(Y9-1.5)),0))-U9</f>
        <v>96.933775230831074</v>
      </c>
      <c r="AN9" s="109">
        <f>IF(AND(K9&lt;=2.5,Y9&gt;=4.5),L9*F9*1.5,IF(AND(K9&lt;=2.5,Y9&gt;3),K9*F9*(Y9-3),0))</f>
        <v>6.4212114338866737</v>
      </c>
      <c r="AO9" s="109">
        <f t="shared" si="17"/>
        <v>0</v>
      </c>
      <c r="AP9" s="109">
        <f t="shared" si="18"/>
        <v>0</v>
      </c>
      <c r="AQ9" s="109">
        <f t="shared" si="19"/>
        <v>0</v>
      </c>
      <c r="AR9" s="104">
        <f t="shared" si="20"/>
        <v>0</v>
      </c>
      <c r="AS9" s="104">
        <f t="shared" si="21"/>
        <v>0</v>
      </c>
      <c r="AT9" s="104">
        <f t="shared" si="22"/>
        <v>192.44377219138877</v>
      </c>
      <c r="AU9" s="102">
        <f t="shared" si="23"/>
        <v>0</v>
      </c>
      <c r="AV9" s="106">
        <f t="shared" si="24"/>
        <v>10.702019056475113</v>
      </c>
      <c r="AW9" s="104">
        <f t="shared" si="86"/>
        <v>0</v>
      </c>
      <c r="AX9" s="104">
        <f t="shared" si="25"/>
        <v>0</v>
      </c>
      <c r="AY9" s="104">
        <f t="shared" si="26"/>
        <v>1.3</v>
      </c>
      <c r="AZ9" s="104">
        <f t="shared" si="87"/>
        <v>64.733011450784161</v>
      </c>
      <c r="BA9" s="104">
        <f t="shared" si="88"/>
        <v>0</v>
      </c>
      <c r="BB9" s="104">
        <f t="shared" si="27"/>
        <v>10.702019056475113</v>
      </c>
      <c r="BC9" s="104">
        <f t="shared" si="89"/>
        <v>10.702019056475113</v>
      </c>
      <c r="BD9" s="104">
        <f t="shared" si="28"/>
        <v>2.1404038112950228</v>
      </c>
      <c r="BE9" s="104">
        <f t="shared" si="90"/>
        <v>95.604703571179286</v>
      </c>
      <c r="BF9" s="104">
        <f t="shared" si="91"/>
        <v>134.94014672220959</v>
      </c>
      <c r="BG9" s="104">
        <f t="shared" si="92"/>
        <v>95.604703571179286</v>
      </c>
      <c r="BH9" s="104">
        <f t="shared" si="29"/>
        <v>39.335443151030304</v>
      </c>
      <c r="BI9" s="104">
        <f t="shared" si="30"/>
        <v>0</v>
      </c>
      <c r="BJ9" s="102">
        <f t="shared" si="93"/>
        <v>0</v>
      </c>
      <c r="BK9" s="104">
        <f t="shared" si="31"/>
        <v>0</v>
      </c>
      <c r="BL9" s="104"/>
      <c r="BM9" s="104">
        <f t="shared" si="32"/>
        <v>0.42808076225900449</v>
      </c>
      <c r="BN9" s="108">
        <f t="shared" si="33"/>
        <v>0</v>
      </c>
      <c r="BO9" s="110">
        <f t="shared" si="34"/>
        <v>0</v>
      </c>
      <c r="BP9" s="110">
        <f t="shared" si="35"/>
        <v>0</v>
      </c>
      <c r="BQ9" s="110">
        <f t="shared" si="36"/>
        <v>0</v>
      </c>
      <c r="BR9" s="104">
        <f t="shared" si="37"/>
        <v>0</v>
      </c>
      <c r="BS9" s="104">
        <f t="shared" si="38"/>
        <v>0</v>
      </c>
      <c r="BT9" s="104">
        <f t="shared" si="39"/>
        <v>0</v>
      </c>
      <c r="BU9" s="104">
        <f t="shared" si="40"/>
        <v>0</v>
      </c>
      <c r="BV9" s="104">
        <f t="shared" si="41"/>
        <v>0</v>
      </c>
      <c r="BW9" s="104">
        <f t="shared" si="42"/>
        <v>0</v>
      </c>
      <c r="BX9" s="104">
        <f t="shared" si="43"/>
        <v>0</v>
      </c>
      <c r="BY9" s="104">
        <f t="shared" si="44"/>
        <v>0</v>
      </c>
      <c r="BZ9" s="104">
        <f t="shared" si="45"/>
        <v>0</v>
      </c>
      <c r="CA9" s="104">
        <f t="shared" si="46"/>
        <v>0</v>
      </c>
      <c r="CB9" s="104">
        <f t="shared" si="47"/>
        <v>3.0900000000000225</v>
      </c>
      <c r="CC9" s="104">
        <f t="shared" si="48"/>
        <v>0</v>
      </c>
      <c r="CD9" s="104">
        <f t="shared" si="49"/>
        <v>35.673396854917044</v>
      </c>
      <c r="CE9" s="104">
        <f t="shared" si="50"/>
        <v>0</v>
      </c>
      <c r="CF9" s="104">
        <f t="shared" si="51"/>
        <v>0</v>
      </c>
      <c r="CG9" s="104">
        <f t="shared" si="52"/>
        <v>0</v>
      </c>
      <c r="CH9" s="104">
        <f t="shared" si="53"/>
        <v>0</v>
      </c>
      <c r="CI9" s="104">
        <f t="shared" si="54"/>
        <v>0</v>
      </c>
      <c r="CJ9" s="443">
        <f t="shared" si="55"/>
        <v>0</v>
      </c>
      <c r="CK9" s="104">
        <f t="shared" si="56"/>
        <v>0</v>
      </c>
      <c r="CL9" s="104">
        <f t="shared" si="57"/>
        <v>0</v>
      </c>
      <c r="CM9" s="104">
        <f t="shared" si="58"/>
        <v>0</v>
      </c>
      <c r="CN9" s="107">
        <f t="shared" si="59"/>
        <v>0</v>
      </c>
      <c r="CO9" s="107">
        <f t="shared" si="60"/>
        <v>0</v>
      </c>
      <c r="CP9" s="107">
        <f t="shared" si="61"/>
        <v>0</v>
      </c>
      <c r="CQ9" s="107">
        <f t="shared" si="62"/>
        <v>0</v>
      </c>
      <c r="CR9" s="107">
        <f t="shared" si="63"/>
        <v>0</v>
      </c>
      <c r="CS9" s="107">
        <f t="shared" si="64"/>
        <v>0</v>
      </c>
      <c r="CT9" s="444">
        <f t="shared" si="65"/>
        <v>0</v>
      </c>
      <c r="CU9" s="104">
        <f t="shared" si="66"/>
        <v>1</v>
      </c>
      <c r="CV9" s="104">
        <f t="shared" si="67"/>
        <v>0</v>
      </c>
      <c r="CW9" s="104">
        <f t="shared" si="94"/>
        <v>0</v>
      </c>
      <c r="CX9" s="104">
        <f t="shared" si="95"/>
        <v>1</v>
      </c>
      <c r="CY9" s="104">
        <f t="shared" si="96"/>
        <v>0</v>
      </c>
      <c r="CZ9" s="104">
        <f t="shared" si="97"/>
        <v>0</v>
      </c>
      <c r="DA9" s="104">
        <f t="shared" si="68"/>
        <v>0.20000000000004547</v>
      </c>
      <c r="DB9" s="111">
        <v>1.3</v>
      </c>
      <c r="DC9" s="111">
        <v>1.4</v>
      </c>
      <c r="DD9" s="111">
        <v>2</v>
      </c>
      <c r="DE9" s="111">
        <v>2</v>
      </c>
      <c r="DF9" s="111">
        <v>2</v>
      </c>
      <c r="DG9" s="108">
        <f t="shared" si="69"/>
        <v>0</v>
      </c>
      <c r="DH9" s="108">
        <f t="shared" si="70"/>
        <v>0</v>
      </c>
      <c r="DI9" s="108">
        <f t="shared" si="71"/>
        <v>0</v>
      </c>
      <c r="DJ9" s="108">
        <f t="shared" si="72"/>
        <v>107.02019056475113</v>
      </c>
      <c r="DK9" s="108">
        <f t="shared" si="73"/>
        <v>107.02019056475113</v>
      </c>
      <c r="DL9" s="108">
        <f t="shared" si="74"/>
        <v>6.4212114338866737</v>
      </c>
      <c r="DM9" s="108">
        <f t="shared" si="75"/>
        <v>0</v>
      </c>
      <c r="DN9" s="108">
        <f t="shared" si="76"/>
        <v>0</v>
      </c>
      <c r="DO9" s="108">
        <f t="shared" si="77"/>
        <v>0</v>
      </c>
      <c r="DP9" s="108">
        <f t="shared" si="78"/>
        <v>0</v>
      </c>
      <c r="DQ9" s="445"/>
    </row>
    <row r="10" spans="1:121" s="112" customFormat="1" ht="25" x14ac:dyDescent="0.25">
      <c r="A10" s="99" t="s">
        <v>2022</v>
      </c>
      <c r="B10" s="100"/>
      <c r="C10" s="100" t="str">
        <f>'Planilha Hidráulica'!B14</f>
        <v>PV5.1-&gt;PV6.1</v>
      </c>
      <c r="D10" s="100">
        <f>'Planilha Hidráulica'!R14</f>
        <v>3.2842938086579352</v>
      </c>
      <c r="E10" s="100">
        <f>'Planilha Hidráulica'!S14</f>
        <v>2.4222588961403062</v>
      </c>
      <c r="F10" s="100">
        <f>'Planilha Hidráulica'!K14</f>
        <v>37.327522619177941</v>
      </c>
      <c r="G10" s="101">
        <f>'Planilha Hidráulica'!M14</f>
        <v>1000</v>
      </c>
      <c r="H10" s="102">
        <f t="shared" si="0"/>
        <v>3.2032763523991208</v>
      </c>
      <c r="I10" s="102">
        <f t="shared" si="1"/>
        <v>5.9785185249827997</v>
      </c>
      <c r="J10" s="103">
        <v>0</v>
      </c>
      <c r="K10" s="104">
        <f t="shared" si="79"/>
        <v>2</v>
      </c>
      <c r="L10" s="104">
        <f t="shared" si="80"/>
        <v>2</v>
      </c>
      <c r="M10" s="104">
        <f>'Planilha Hidráulica'!X14</f>
        <v>800</v>
      </c>
      <c r="N10" s="104">
        <f t="shared" si="2"/>
        <v>74.655045238355882</v>
      </c>
      <c r="O10" s="105" t="str">
        <f>'Planilha Hidráulica'!W14</f>
        <v>ASFALTO</v>
      </c>
      <c r="P10" s="105" t="s">
        <v>2024</v>
      </c>
      <c r="Q10" s="105"/>
      <c r="R10" s="105">
        <v>5</v>
      </c>
      <c r="S10" s="105">
        <v>5</v>
      </c>
      <c r="T10" s="104">
        <f t="shared" si="3"/>
        <v>0.15</v>
      </c>
      <c r="U10" s="106">
        <f t="shared" si="4"/>
        <v>18.762859333938604</v>
      </c>
      <c r="V10" s="106">
        <f t="shared" si="5"/>
        <v>220.37788166537339</v>
      </c>
      <c r="W10" s="107">
        <f t="shared" si="6"/>
        <v>0</v>
      </c>
      <c r="X10" s="107">
        <f t="shared" si="7"/>
        <v>0</v>
      </c>
      <c r="Y10" s="107">
        <f t="shared" si="81"/>
        <v>3.2032763523991208</v>
      </c>
      <c r="Z10" s="107">
        <f t="shared" si="82"/>
        <v>0</v>
      </c>
      <c r="AA10" s="108">
        <f t="shared" si="83"/>
        <v>74.655045238355882</v>
      </c>
      <c r="AB10" s="108">
        <f t="shared" si="84"/>
        <v>0</v>
      </c>
      <c r="AC10" s="109">
        <f t="shared" si="8"/>
        <v>0</v>
      </c>
      <c r="AD10" s="109">
        <f t="shared" si="9"/>
        <v>0</v>
      </c>
      <c r="AE10" s="109">
        <f t="shared" si="85"/>
        <v>0</v>
      </c>
      <c r="AF10" s="109">
        <f t="shared" si="10"/>
        <v>0</v>
      </c>
      <c r="AG10" s="109">
        <f t="shared" si="11"/>
        <v>0</v>
      </c>
      <c r="AH10" s="109">
        <f t="shared" si="12"/>
        <v>0</v>
      </c>
      <c r="AI10" s="109">
        <f t="shared" si="13"/>
        <v>0</v>
      </c>
      <c r="AJ10" s="109">
        <f t="shared" si="14"/>
        <v>0</v>
      </c>
      <c r="AK10" s="109">
        <f t="shared" si="15"/>
        <v>0</v>
      </c>
      <c r="AL10" s="109">
        <f t="shared" si="16"/>
        <v>111.98256785753382</v>
      </c>
      <c r="AM10" s="109">
        <f>IF(IF(AND(K10&lt;=2.5,K10&gt;1.5),IF(Y10&gt;=3,L10*F10*1.5,K10*F10*(Y10-1.5)),0)&lt;0,0,IF(AND(K10&lt;=2.5,K10&gt;1.5),IF(Y10&gt;=3,L10*F10*1.5,K10*F10*(Y10-1.5)),0))-U10</f>
        <v>93.219708523595216</v>
      </c>
      <c r="AN10" s="109">
        <f>IF(AND(K10&lt;=2.5,Y10&gt;=4.5),L10*F10*1.5,IF(AND(K10&lt;=2.5,Y10&gt;3),K10*F10*(Y10-3),0))</f>
        <v>15.175605284244334</v>
      </c>
      <c r="AO10" s="109">
        <f t="shared" si="17"/>
        <v>0</v>
      </c>
      <c r="AP10" s="109">
        <f t="shared" si="18"/>
        <v>0</v>
      </c>
      <c r="AQ10" s="109">
        <f t="shared" si="19"/>
        <v>0</v>
      </c>
      <c r="AR10" s="104">
        <f t="shared" si="20"/>
        <v>0</v>
      </c>
      <c r="AS10" s="104">
        <f t="shared" si="21"/>
        <v>0</v>
      </c>
      <c r="AT10" s="104">
        <f t="shared" si="22"/>
        <v>209.82377329003293</v>
      </c>
      <c r="AU10" s="102">
        <f t="shared" si="23"/>
        <v>0</v>
      </c>
      <c r="AV10" s="106">
        <f t="shared" si="24"/>
        <v>11.198256785753381</v>
      </c>
      <c r="AW10" s="104">
        <f t="shared" si="86"/>
        <v>0</v>
      </c>
      <c r="AX10" s="104">
        <f t="shared" si="25"/>
        <v>0</v>
      </c>
      <c r="AY10" s="104">
        <f t="shared" si="26"/>
        <v>1.3</v>
      </c>
      <c r="AZ10" s="104">
        <f t="shared" si="87"/>
        <v>67.7345911005836</v>
      </c>
      <c r="BA10" s="104">
        <f t="shared" si="88"/>
        <v>0</v>
      </c>
      <c r="BB10" s="104">
        <f t="shared" si="27"/>
        <v>11.198256785753381</v>
      </c>
      <c r="BC10" s="104">
        <f t="shared" si="89"/>
        <v>11.198256785753381</v>
      </c>
      <c r="BD10" s="104">
        <f t="shared" si="28"/>
        <v>2.2396513571506764</v>
      </c>
      <c r="BE10" s="104">
        <f t="shared" si="90"/>
        <v>108.49441183218917</v>
      </c>
      <c r="BF10" s="104">
        <f t="shared" si="91"/>
        <v>141.44503377903638</v>
      </c>
      <c r="BG10" s="104">
        <f t="shared" si="92"/>
        <v>108.49441183218917</v>
      </c>
      <c r="BH10" s="104">
        <f t="shared" si="29"/>
        <v>32.950621946847207</v>
      </c>
      <c r="BI10" s="104">
        <f t="shared" si="30"/>
        <v>0</v>
      </c>
      <c r="BJ10" s="102">
        <f t="shared" si="93"/>
        <v>0</v>
      </c>
      <c r="BK10" s="104">
        <f t="shared" si="31"/>
        <v>0</v>
      </c>
      <c r="BL10" s="104"/>
      <c r="BM10" s="104">
        <f t="shared" si="32"/>
        <v>0.44793027143013525</v>
      </c>
      <c r="BN10" s="108">
        <f t="shared" si="33"/>
        <v>0</v>
      </c>
      <c r="BO10" s="110">
        <f t="shared" si="34"/>
        <v>0</v>
      </c>
      <c r="BP10" s="110">
        <f t="shared" si="35"/>
        <v>0</v>
      </c>
      <c r="BQ10" s="110">
        <f t="shared" si="36"/>
        <v>0</v>
      </c>
      <c r="BR10" s="104">
        <f t="shared" si="37"/>
        <v>0</v>
      </c>
      <c r="BS10" s="104">
        <f t="shared" si="38"/>
        <v>0</v>
      </c>
      <c r="BT10" s="104">
        <f t="shared" si="39"/>
        <v>0</v>
      </c>
      <c r="BU10" s="104">
        <f t="shared" si="40"/>
        <v>0</v>
      </c>
      <c r="BV10" s="104">
        <f t="shared" si="41"/>
        <v>0</v>
      </c>
      <c r="BW10" s="104">
        <f t="shared" si="42"/>
        <v>0</v>
      </c>
      <c r="BX10" s="104">
        <f t="shared" si="43"/>
        <v>0</v>
      </c>
      <c r="BY10" s="104">
        <f t="shared" si="44"/>
        <v>0</v>
      </c>
      <c r="BZ10" s="104">
        <f t="shared" si="45"/>
        <v>0</v>
      </c>
      <c r="CA10" s="104">
        <f t="shared" si="46"/>
        <v>0</v>
      </c>
      <c r="CB10" s="104">
        <f t="shared" si="47"/>
        <v>3.2032763523991208</v>
      </c>
      <c r="CC10" s="104">
        <f t="shared" si="48"/>
        <v>0</v>
      </c>
      <c r="CD10" s="104">
        <f t="shared" si="49"/>
        <v>37.327522619177941</v>
      </c>
      <c r="CE10" s="104">
        <f t="shared" si="50"/>
        <v>0</v>
      </c>
      <c r="CF10" s="104">
        <f t="shared" si="51"/>
        <v>0</v>
      </c>
      <c r="CG10" s="104">
        <f t="shared" si="52"/>
        <v>0</v>
      </c>
      <c r="CH10" s="104">
        <f t="shared" si="53"/>
        <v>0</v>
      </c>
      <c r="CI10" s="104">
        <f t="shared" si="54"/>
        <v>0</v>
      </c>
      <c r="CJ10" s="443">
        <f t="shared" si="55"/>
        <v>0</v>
      </c>
      <c r="CK10" s="104">
        <f t="shared" si="56"/>
        <v>0</v>
      </c>
      <c r="CL10" s="104">
        <f t="shared" si="57"/>
        <v>0</v>
      </c>
      <c r="CM10" s="104">
        <f t="shared" si="58"/>
        <v>0</v>
      </c>
      <c r="CN10" s="107">
        <f t="shared" si="59"/>
        <v>0</v>
      </c>
      <c r="CO10" s="107">
        <f t="shared" si="60"/>
        <v>0</v>
      </c>
      <c r="CP10" s="107">
        <f t="shared" si="61"/>
        <v>0</v>
      </c>
      <c r="CQ10" s="107">
        <f t="shared" si="62"/>
        <v>0</v>
      </c>
      <c r="CR10" s="107">
        <f t="shared" si="63"/>
        <v>0</v>
      </c>
      <c r="CS10" s="107">
        <f t="shared" si="64"/>
        <v>0</v>
      </c>
      <c r="CT10" s="444">
        <f t="shared" si="65"/>
        <v>0</v>
      </c>
      <c r="CU10" s="104">
        <f t="shared" si="66"/>
        <v>1</v>
      </c>
      <c r="CV10" s="104">
        <f t="shared" si="67"/>
        <v>0</v>
      </c>
      <c r="CW10" s="104">
        <f t="shared" si="94"/>
        <v>0</v>
      </c>
      <c r="CX10" s="104">
        <f t="shared" si="95"/>
        <v>1</v>
      </c>
      <c r="CY10" s="104">
        <f t="shared" si="96"/>
        <v>0</v>
      </c>
      <c r="CZ10" s="104">
        <f t="shared" si="97"/>
        <v>0</v>
      </c>
      <c r="DA10" s="104">
        <f t="shared" si="68"/>
        <v>1.2842938086579352</v>
      </c>
      <c r="DB10" s="111">
        <v>1.3</v>
      </c>
      <c r="DC10" s="111">
        <v>1.4</v>
      </c>
      <c r="DD10" s="111">
        <v>2</v>
      </c>
      <c r="DE10" s="111">
        <v>2</v>
      </c>
      <c r="DF10" s="111">
        <v>2</v>
      </c>
      <c r="DG10" s="108">
        <f t="shared" si="69"/>
        <v>0</v>
      </c>
      <c r="DH10" s="108">
        <f t="shared" si="70"/>
        <v>0</v>
      </c>
      <c r="DI10" s="108">
        <f t="shared" si="71"/>
        <v>0</v>
      </c>
      <c r="DJ10" s="108">
        <f t="shared" si="72"/>
        <v>111.98256785753382</v>
      </c>
      <c r="DK10" s="108">
        <f t="shared" si="73"/>
        <v>111.98256785753382</v>
      </c>
      <c r="DL10" s="108">
        <f t="shared" si="74"/>
        <v>15.175605284244334</v>
      </c>
      <c r="DM10" s="108">
        <f t="shared" si="75"/>
        <v>0</v>
      </c>
      <c r="DN10" s="108">
        <f t="shared" si="76"/>
        <v>0</v>
      </c>
      <c r="DO10" s="108">
        <f t="shared" si="77"/>
        <v>0</v>
      </c>
      <c r="DP10" s="108">
        <f t="shared" si="78"/>
        <v>0</v>
      </c>
      <c r="DQ10" s="445"/>
    </row>
    <row r="11" spans="1:121" s="112" customFormat="1" ht="25" x14ac:dyDescent="0.25">
      <c r="A11" s="99" t="s">
        <v>2022</v>
      </c>
      <c r="B11" s="100"/>
      <c r="C11" s="100" t="str">
        <f>'Planilha Hidráulica'!B15</f>
        <v>PV6.1-&gt;PV7.1</v>
      </c>
      <c r="D11" s="100">
        <f>'Planilha Hidráulica'!R15</f>
        <v>2.4222588961403062</v>
      </c>
      <c r="E11" s="100">
        <f>'Planilha Hidráulica'!S15</f>
        <v>3.02</v>
      </c>
      <c r="F11" s="100">
        <f>'Planilha Hidráulica'!K15</f>
        <v>35.502624062987273</v>
      </c>
      <c r="G11" s="101">
        <f>'Planilha Hidráulica'!M15</f>
        <v>1000</v>
      </c>
      <c r="H11" s="102">
        <f t="shared" si="0"/>
        <v>3.071129448070153</v>
      </c>
      <c r="I11" s="102">
        <f t="shared" si="1"/>
        <v>5.4516577121802117</v>
      </c>
      <c r="J11" s="103">
        <v>0</v>
      </c>
      <c r="K11" s="104">
        <f t="shared" si="79"/>
        <v>2</v>
      </c>
      <c r="L11" s="104">
        <f t="shared" si="80"/>
        <v>2</v>
      </c>
      <c r="M11" s="104">
        <f>'Planilha Hidráulica'!X15</f>
        <v>800</v>
      </c>
      <c r="N11" s="104">
        <f t="shared" si="2"/>
        <v>71.005248125974546</v>
      </c>
      <c r="O11" s="105" t="str">
        <f>'Planilha Hidráulica'!W15</f>
        <v>ASFALTO</v>
      </c>
      <c r="P11" s="105" t="s">
        <v>2024</v>
      </c>
      <c r="Q11" s="105"/>
      <c r="R11" s="105">
        <v>5</v>
      </c>
      <c r="S11" s="105">
        <v>5</v>
      </c>
      <c r="T11" s="104">
        <f t="shared" si="3"/>
        <v>0.15</v>
      </c>
      <c r="U11" s="106">
        <f t="shared" si="4"/>
        <v>17.845565270310566</v>
      </c>
      <c r="V11" s="106">
        <f t="shared" si="5"/>
        <v>200.22074321689789</v>
      </c>
      <c r="W11" s="107">
        <f t="shared" si="6"/>
        <v>0</v>
      </c>
      <c r="X11" s="107">
        <f t="shared" si="7"/>
        <v>0</v>
      </c>
      <c r="Y11" s="107">
        <f t="shared" si="81"/>
        <v>3.071129448070153</v>
      </c>
      <c r="Z11" s="107">
        <f t="shared" si="82"/>
        <v>0</v>
      </c>
      <c r="AA11" s="108">
        <f t="shared" si="83"/>
        <v>71.005248125974546</v>
      </c>
      <c r="AB11" s="108">
        <f t="shared" si="84"/>
        <v>0</v>
      </c>
      <c r="AC11" s="109">
        <f t="shared" si="8"/>
        <v>0</v>
      </c>
      <c r="AD11" s="109">
        <f t="shared" si="9"/>
        <v>0</v>
      </c>
      <c r="AE11" s="109">
        <f t="shared" si="85"/>
        <v>0</v>
      </c>
      <c r="AF11" s="109">
        <f t="shared" si="10"/>
        <v>0</v>
      </c>
      <c r="AG11" s="109">
        <f t="shared" si="11"/>
        <v>0</v>
      </c>
      <c r="AH11" s="109">
        <f t="shared" si="12"/>
        <v>0</v>
      </c>
      <c r="AI11" s="109">
        <f t="shared" si="13"/>
        <v>0</v>
      </c>
      <c r="AJ11" s="109">
        <f t="shared" si="14"/>
        <v>0</v>
      </c>
      <c r="AK11" s="109">
        <f t="shared" si="15"/>
        <v>0</v>
      </c>
      <c r="AL11" s="109">
        <f t="shared" si="16"/>
        <v>106.50787218896181</v>
      </c>
      <c r="AM11" s="109">
        <f>IF(IF(AND(K11&lt;=2.5,K11&gt;1.5),IF(Y11&gt;=3,L11*F11*1.5,K11*F11*(Y11-1.5)),0)&lt;0,0,IF(AND(K11&lt;=2.5,K11&gt;1.5),IF(Y11&gt;=3,L11*F11*1.5,K11*F11*(Y11-1.5)),0))-U11</f>
        <v>88.66230691865124</v>
      </c>
      <c r="AN11" s="109">
        <f>IF(AND(K11&lt;=2.5,Y11&gt;=4.5),L11*F11*1.5,IF(AND(K11&lt;=2.5,Y11&gt;3),K11*F11*(Y11-3),0))</f>
        <v>5.0505641092848332</v>
      </c>
      <c r="AO11" s="109">
        <f t="shared" si="17"/>
        <v>0</v>
      </c>
      <c r="AP11" s="109">
        <f t="shared" si="18"/>
        <v>0</v>
      </c>
      <c r="AQ11" s="109">
        <f t="shared" si="19"/>
        <v>0</v>
      </c>
      <c r="AR11" s="104">
        <f t="shared" si="20"/>
        <v>0</v>
      </c>
      <c r="AS11" s="104">
        <f t="shared" si="21"/>
        <v>0</v>
      </c>
      <c r="AT11" s="104">
        <f t="shared" si="22"/>
        <v>190.18261275234821</v>
      </c>
      <c r="AU11" s="102">
        <f t="shared" si="23"/>
        <v>0</v>
      </c>
      <c r="AV11" s="106">
        <f t="shared" si="24"/>
        <v>10.650787218896182</v>
      </c>
      <c r="AW11" s="104">
        <f t="shared" si="86"/>
        <v>0</v>
      </c>
      <c r="AX11" s="104">
        <f t="shared" si="25"/>
        <v>0</v>
      </c>
      <c r="AY11" s="104">
        <f t="shared" si="26"/>
        <v>1.3</v>
      </c>
      <c r="AZ11" s="104">
        <f t="shared" si="87"/>
        <v>64.423126828906661</v>
      </c>
      <c r="BA11" s="104">
        <f t="shared" si="88"/>
        <v>0</v>
      </c>
      <c r="BB11" s="104">
        <f t="shared" si="27"/>
        <v>10.650787218896182</v>
      </c>
      <c r="BC11" s="104">
        <f t="shared" si="89"/>
        <v>10.650787218896182</v>
      </c>
      <c r="BD11" s="104">
        <f t="shared" si="28"/>
        <v>2.1301574437792361</v>
      </c>
      <c r="BE11" s="104">
        <f t="shared" si="90"/>
        <v>93.807124266753036</v>
      </c>
      <c r="BF11" s="104">
        <f t="shared" si="91"/>
        <v>125.14682916909506</v>
      </c>
      <c r="BG11" s="104">
        <f t="shared" si="92"/>
        <v>93.807124266753036</v>
      </c>
      <c r="BH11" s="104">
        <f t="shared" si="29"/>
        <v>31.339704902342021</v>
      </c>
      <c r="BI11" s="104">
        <f t="shared" si="30"/>
        <v>0</v>
      </c>
      <c r="BJ11" s="102">
        <f t="shared" si="93"/>
        <v>0</v>
      </c>
      <c r="BK11" s="104">
        <f t="shared" si="31"/>
        <v>0</v>
      </c>
      <c r="BL11" s="104"/>
      <c r="BM11" s="104">
        <f t="shared" si="32"/>
        <v>0.42603148875584729</v>
      </c>
      <c r="BN11" s="108">
        <f t="shared" si="33"/>
        <v>0</v>
      </c>
      <c r="BO11" s="110">
        <f t="shared" si="34"/>
        <v>0</v>
      </c>
      <c r="BP11" s="110">
        <f t="shared" si="35"/>
        <v>0</v>
      </c>
      <c r="BQ11" s="110">
        <f t="shared" si="36"/>
        <v>0</v>
      </c>
      <c r="BR11" s="104">
        <f t="shared" si="37"/>
        <v>0</v>
      </c>
      <c r="BS11" s="104">
        <f t="shared" si="38"/>
        <v>0</v>
      </c>
      <c r="BT11" s="104">
        <f t="shared" si="39"/>
        <v>0</v>
      </c>
      <c r="BU11" s="104">
        <f t="shared" si="40"/>
        <v>0</v>
      </c>
      <c r="BV11" s="104">
        <f t="shared" si="41"/>
        <v>0</v>
      </c>
      <c r="BW11" s="104">
        <f t="shared" si="42"/>
        <v>0</v>
      </c>
      <c r="BX11" s="104">
        <f t="shared" si="43"/>
        <v>0</v>
      </c>
      <c r="BY11" s="104">
        <f t="shared" si="44"/>
        <v>0</v>
      </c>
      <c r="BZ11" s="104">
        <f t="shared" si="45"/>
        <v>0</v>
      </c>
      <c r="CA11" s="104">
        <f t="shared" si="46"/>
        <v>0</v>
      </c>
      <c r="CB11" s="104">
        <f t="shared" si="47"/>
        <v>3.071129448070153</v>
      </c>
      <c r="CC11" s="104">
        <f t="shared" si="48"/>
        <v>0</v>
      </c>
      <c r="CD11" s="104">
        <f t="shared" si="49"/>
        <v>35.502624062987273</v>
      </c>
      <c r="CE11" s="104">
        <f t="shared" si="50"/>
        <v>0</v>
      </c>
      <c r="CF11" s="104">
        <f t="shared" si="51"/>
        <v>0</v>
      </c>
      <c r="CG11" s="104">
        <f t="shared" si="52"/>
        <v>0</v>
      </c>
      <c r="CH11" s="104">
        <f t="shared" si="53"/>
        <v>0</v>
      </c>
      <c r="CI11" s="104">
        <f t="shared" si="54"/>
        <v>0</v>
      </c>
      <c r="CJ11" s="443">
        <f t="shared" si="55"/>
        <v>0</v>
      </c>
      <c r="CK11" s="104">
        <f t="shared" si="56"/>
        <v>0</v>
      </c>
      <c r="CL11" s="104">
        <f t="shared" si="57"/>
        <v>0</v>
      </c>
      <c r="CM11" s="104">
        <f t="shared" si="58"/>
        <v>0</v>
      </c>
      <c r="CN11" s="107">
        <f t="shared" si="59"/>
        <v>0</v>
      </c>
      <c r="CO11" s="107">
        <f t="shared" si="60"/>
        <v>0</v>
      </c>
      <c r="CP11" s="107">
        <f t="shared" si="61"/>
        <v>0</v>
      </c>
      <c r="CQ11" s="107">
        <f t="shared" si="62"/>
        <v>0</v>
      </c>
      <c r="CR11" s="107">
        <f t="shared" si="63"/>
        <v>0</v>
      </c>
      <c r="CS11" s="107">
        <f t="shared" si="64"/>
        <v>0</v>
      </c>
      <c r="CT11" s="444">
        <f t="shared" si="65"/>
        <v>0</v>
      </c>
      <c r="CU11" s="104">
        <f t="shared" si="66"/>
        <v>1</v>
      </c>
      <c r="CV11" s="104">
        <f t="shared" si="67"/>
        <v>0</v>
      </c>
      <c r="CW11" s="104">
        <f t="shared" si="94"/>
        <v>0</v>
      </c>
      <c r="CX11" s="104">
        <f t="shared" si="95"/>
        <v>1</v>
      </c>
      <c r="CY11" s="104">
        <f t="shared" si="96"/>
        <v>0</v>
      </c>
      <c r="CZ11" s="104">
        <f t="shared" si="97"/>
        <v>0</v>
      </c>
      <c r="DA11" s="104">
        <f t="shared" si="68"/>
        <v>0.42225889614030621</v>
      </c>
      <c r="DB11" s="111">
        <v>1.3</v>
      </c>
      <c r="DC11" s="111">
        <v>1.4</v>
      </c>
      <c r="DD11" s="111">
        <v>2</v>
      </c>
      <c r="DE11" s="111">
        <v>2</v>
      </c>
      <c r="DF11" s="111">
        <v>2</v>
      </c>
      <c r="DG11" s="108">
        <f t="shared" si="69"/>
        <v>0</v>
      </c>
      <c r="DH11" s="108">
        <f t="shared" si="70"/>
        <v>0</v>
      </c>
      <c r="DI11" s="108">
        <f t="shared" si="71"/>
        <v>0</v>
      </c>
      <c r="DJ11" s="108">
        <f t="shared" si="72"/>
        <v>106.50787218896181</v>
      </c>
      <c r="DK11" s="108">
        <f t="shared" si="73"/>
        <v>106.50787218896181</v>
      </c>
      <c r="DL11" s="108">
        <f t="shared" si="74"/>
        <v>5.0505641092848332</v>
      </c>
      <c r="DM11" s="108">
        <f t="shared" si="75"/>
        <v>0</v>
      </c>
      <c r="DN11" s="108">
        <f t="shared" si="76"/>
        <v>0</v>
      </c>
      <c r="DO11" s="108">
        <f t="shared" si="77"/>
        <v>0</v>
      </c>
      <c r="DP11" s="108">
        <f t="shared" si="78"/>
        <v>0</v>
      </c>
      <c r="DQ11" s="445"/>
    </row>
    <row r="12" spans="1:121" s="112" customFormat="1" ht="25" x14ac:dyDescent="0.25">
      <c r="A12" s="99" t="s">
        <v>2022</v>
      </c>
      <c r="B12" s="100"/>
      <c r="C12" s="100" t="str">
        <f>'Planilha Hidráulica'!B16</f>
        <v>PV7.1-&gt;PV8.1</v>
      </c>
      <c r="D12" s="100">
        <f>'Planilha Hidráulica'!R16</f>
        <v>3.0162868192052201</v>
      </c>
      <c r="E12" s="100">
        <f>'Planilha Hidráulica'!S16</f>
        <v>2.65</v>
      </c>
      <c r="F12" s="100">
        <f>'Planilha Hidráulica'!K16</f>
        <v>36.499299354793699</v>
      </c>
      <c r="G12" s="101">
        <f>'Planilha Hidráulica'!M16</f>
        <v>1000</v>
      </c>
      <c r="H12" s="102">
        <f t="shared" si="0"/>
        <v>3.1831434096026103</v>
      </c>
      <c r="I12" s="102">
        <f t="shared" si="1"/>
        <v>5.8091252098162185</v>
      </c>
      <c r="J12" s="103">
        <v>0</v>
      </c>
      <c r="K12" s="104">
        <f t="shared" si="79"/>
        <v>2</v>
      </c>
      <c r="L12" s="104">
        <f t="shared" si="80"/>
        <v>2</v>
      </c>
      <c r="M12" s="104">
        <f>'Planilha Hidráulica'!X16</f>
        <v>800</v>
      </c>
      <c r="N12" s="104">
        <f t="shared" si="2"/>
        <v>72.998598709587398</v>
      </c>
      <c r="O12" s="105" t="str">
        <f>'Planilha Hidráulica'!W16</f>
        <v>ASFALTO</v>
      </c>
      <c r="P12" s="105" t="s">
        <v>2024</v>
      </c>
      <c r="Q12" s="105"/>
      <c r="R12" s="105">
        <v>5</v>
      </c>
      <c r="S12" s="105">
        <v>5</v>
      </c>
      <c r="T12" s="104">
        <f t="shared" si="3"/>
        <v>0.15</v>
      </c>
      <c r="U12" s="106">
        <f t="shared" si="4"/>
        <v>18.346548914271132</v>
      </c>
      <c r="V12" s="106">
        <f t="shared" si="5"/>
        <v>214.01845947837762</v>
      </c>
      <c r="W12" s="107">
        <f t="shared" si="6"/>
        <v>0</v>
      </c>
      <c r="X12" s="107">
        <f t="shared" si="7"/>
        <v>0</v>
      </c>
      <c r="Y12" s="107">
        <f t="shared" si="81"/>
        <v>3.1831434096026103</v>
      </c>
      <c r="Z12" s="107">
        <f t="shared" si="82"/>
        <v>0</v>
      </c>
      <c r="AA12" s="108">
        <f t="shared" si="83"/>
        <v>72.998598709587398</v>
      </c>
      <c r="AB12" s="108">
        <f t="shared" si="84"/>
        <v>0</v>
      </c>
      <c r="AC12" s="109">
        <f t="shared" si="8"/>
        <v>0</v>
      </c>
      <c r="AD12" s="109">
        <f t="shared" si="9"/>
        <v>0</v>
      </c>
      <c r="AE12" s="109">
        <f t="shared" si="85"/>
        <v>0</v>
      </c>
      <c r="AF12" s="109">
        <f t="shared" si="10"/>
        <v>0</v>
      </c>
      <c r="AG12" s="109">
        <f t="shared" si="11"/>
        <v>0</v>
      </c>
      <c r="AH12" s="109">
        <f t="shared" si="12"/>
        <v>0</v>
      </c>
      <c r="AI12" s="109">
        <f t="shared" si="13"/>
        <v>0</v>
      </c>
      <c r="AJ12" s="109">
        <f t="shared" si="14"/>
        <v>0</v>
      </c>
      <c r="AK12" s="109">
        <f t="shared" si="15"/>
        <v>0</v>
      </c>
      <c r="AL12" s="109">
        <f t="shared" si="16"/>
        <v>109.4978980643811</v>
      </c>
      <c r="AM12" s="109">
        <f>IF(IF(AND(K12&lt;=2.5,K12&gt;1.5),IF(Y12&gt;=3,L12*F12*1.5,K12*F12*(Y12-1.5)),0)&lt;0,0,IF(AND(K12&lt;=2.5,K12&gt;1.5),IF(Y12&gt;=3,L12*F12*1.5,K12*F12*(Y12-1.5)),0))-U12</f>
        <v>91.151349150109979</v>
      </c>
      <c r="AN12" s="109">
        <f>IF(AND(K12&lt;=2.5,Y12&gt;=4.5),L12*F12*1.5,IF(AND(K12&lt;=2.5,Y12&gt;3),K12*F12*(Y12-3),0))</f>
        <v>13.369212263886547</v>
      </c>
      <c r="AO12" s="109">
        <f t="shared" si="17"/>
        <v>0</v>
      </c>
      <c r="AP12" s="109">
        <f t="shared" si="18"/>
        <v>0</v>
      </c>
      <c r="AQ12" s="109">
        <f t="shared" si="19"/>
        <v>0</v>
      </c>
      <c r="AR12" s="104">
        <f t="shared" si="20"/>
        <v>0</v>
      </c>
      <c r="AS12" s="104">
        <f t="shared" si="21"/>
        <v>0</v>
      </c>
      <c r="AT12" s="104">
        <f t="shared" si="22"/>
        <v>203.6985257141001</v>
      </c>
      <c r="AU12" s="102">
        <f t="shared" si="23"/>
        <v>0</v>
      </c>
      <c r="AV12" s="106">
        <f t="shared" si="24"/>
        <v>10.94978980643811</v>
      </c>
      <c r="AW12" s="104">
        <f t="shared" si="86"/>
        <v>0</v>
      </c>
      <c r="AX12" s="104">
        <f t="shared" si="25"/>
        <v>0</v>
      </c>
      <c r="AY12" s="104">
        <f t="shared" si="26"/>
        <v>1.3</v>
      </c>
      <c r="AZ12" s="104">
        <f t="shared" si="87"/>
        <v>66.231695643914975</v>
      </c>
      <c r="BA12" s="104">
        <f t="shared" si="88"/>
        <v>0</v>
      </c>
      <c r="BB12" s="104">
        <f t="shared" si="27"/>
        <v>10.94978980643811</v>
      </c>
      <c r="BC12" s="104">
        <f t="shared" si="89"/>
        <v>10.94978980643811</v>
      </c>
      <c r="BD12" s="104">
        <f t="shared" si="28"/>
        <v>2.1899579612876217</v>
      </c>
      <c r="BE12" s="104">
        <f t="shared" si="90"/>
        <v>104.61746065087081</v>
      </c>
      <c r="BF12" s="104">
        <f t="shared" si="91"/>
        <v>136.83697402802454</v>
      </c>
      <c r="BG12" s="104">
        <f t="shared" si="92"/>
        <v>104.61746065087081</v>
      </c>
      <c r="BH12" s="104">
        <f t="shared" si="29"/>
        <v>32.219513377153731</v>
      </c>
      <c r="BI12" s="104">
        <f t="shared" si="30"/>
        <v>0</v>
      </c>
      <c r="BJ12" s="102">
        <f t="shared" si="93"/>
        <v>0</v>
      </c>
      <c r="BK12" s="104">
        <f t="shared" si="31"/>
        <v>0</v>
      </c>
      <c r="BL12" s="104"/>
      <c r="BM12" s="104">
        <f t="shared" si="32"/>
        <v>0.43799159225752443</v>
      </c>
      <c r="BN12" s="108">
        <f t="shared" si="33"/>
        <v>0</v>
      </c>
      <c r="BO12" s="110">
        <f t="shared" si="34"/>
        <v>0</v>
      </c>
      <c r="BP12" s="110">
        <f t="shared" si="35"/>
        <v>0</v>
      </c>
      <c r="BQ12" s="110">
        <f t="shared" si="36"/>
        <v>0</v>
      </c>
      <c r="BR12" s="104">
        <f t="shared" si="37"/>
        <v>0</v>
      </c>
      <c r="BS12" s="104">
        <f t="shared" si="38"/>
        <v>0</v>
      </c>
      <c r="BT12" s="104">
        <f t="shared" si="39"/>
        <v>0</v>
      </c>
      <c r="BU12" s="104">
        <f t="shared" si="40"/>
        <v>0</v>
      </c>
      <c r="BV12" s="104">
        <f t="shared" si="41"/>
        <v>0</v>
      </c>
      <c r="BW12" s="104">
        <f t="shared" si="42"/>
        <v>0</v>
      </c>
      <c r="BX12" s="104">
        <f t="shared" si="43"/>
        <v>0</v>
      </c>
      <c r="BY12" s="104">
        <f t="shared" si="44"/>
        <v>0</v>
      </c>
      <c r="BZ12" s="104">
        <f t="shared" si="45"/>
        <v>0</v>
      </c>
      <c r="CA12" s="104">
        <f t="shared" si="46"/>
        <v>0</v>
      </c>
      <c r="CB12" s="104">
        <f t="shared" si="47"/>
        <v>3.1831434096026103</v>
      </c>
      <c r="CC12" s="104">
        <f t="shared" si="48"/>
        <v>0</v>
      </c>
      <c r="CD12" s="104">
        <f t="shared" si="49"/>
        <v>36.499299354793699</v>
      </c>
      <c r="CE12" s="104">
        <f t="shared" si="50"/>
        <v>0</v>
      </c>
      <c r="CF12" s="104">
        <f t="shared" si="51"/>
        <v>0</v>
      </c>
      <c r="CG12" s="104">
        <f t="shared" si="52"/>
        <v>0</v>
      </c>
      <c r="CH12" s="104">
        <f t="shared" si="53"/>
        <v>0</v>
      </c>
      <c r="CI12" s="104">
        <f t="shared" si="54"/>
        <v>0</v>
      </c>
      <c r="CJ12" s="443">
        <f t="shared" si="55"/>
        <v>0</v>
      </c>
      <c r="CK12" s="104">
        <f t="shared" si="56"/>
        <v>0</v>
      </c>
      <c r="CL12" s="104">
        <f t="shared" si="57"/>
        <v>0</v>
      </c>
      <c r="CM12" s="104">
        <f t="shared" si="58"/>
        <v>0</v>
      </c>
      <c r="CN12" s="107">
        <f t="shared" si="59"/>
        <v>0</v>
      </c>
      <c r="CO12" s="107">
        <f t="shared" si="60"/>
        <v>0</v>
      </c>
      <c r="CP12" s="107">
        <f t="shared" si="61"/>
        <v>0</v>
      </c>
      <c r="CQ12" s="107">
        <f t="shared" si="62"/>
        <v>0</v>
      </c>
      <c r="CR12" s="107">
        <f t="shared" si="63"/>
        <v>0</v>
      </c>
      <c r="CS12" s="107">
        <f t="shared" si="64"/>
        <v>0</v>
      </c>
      <c r="CT12" s="444">
        <f t="shared" si="65"/>
        <v>0</v>
      </c>
      <c r="CU12" s="104">
        <f t="shared" si="66"/>
        <v>1</v>
      </c>
      <c r="CV12" s="104">
        <f t="shared" si="67"/>
        <v>0</v>
      </c>
      <c r="CW12" s="104">
        <f t="shared" si="94"/>
        <v>0</v>
      </c>
      <c r="CX12" s="104">
        <f t="shared" si="95"/>
        <v>1</v>
      </c>
      <c r="CY12" s="104">
        <f t="shared" si="96"/>
        <v>0</v>
      </c>
      <c r="CZ12" s="104">
        <f t="shared" si="97"/>
        <v>0</v>
      </c>
      <c r="DA12" s="104">
        <f t="shared" si="68"/>
        <v>1.0162868192052201</v>
      </c>
      <c r="DB12" s="111">
        <v>1.3</v>
      </c>
      <c r="DC12" s="111">
        <v>1.4</v>
      </c>
      <c r="DD12" s="111">
        <v>2</v>
      </c>
      <c r="DE12" s="111">
        <v>2</v>
      </c>
      <c r="DF12" s="111">
        <v>2</v>
      </c>
      <c r="DG12" s="108">
        <f t="shared" si="69"/>
        <v>0</v>
      </c>
      <c r="DH12" s="108">
        <f t="shared" si="70"/>
        <v>0</v>
      </c>
      <c r="DI12" s="108">
        <f t="shared" si="71"/>
        <v>0</v>
      </c>
      <c r="DJ12" s="108">
        <f t="shared" si="72"/>
        <v>109.4978980643811</v>
      </c>
      <c r="DK12" s="108">
        <f t="shared" si="73"/>
        <v>109.4978980643811</v>
      </c>
      <c r="DL12" s="108">
        <f t="shared" si="74"/>
        <v>13.369212263886547</v>
      </c>
      <c r="DM12" s="108">
        <f t="shared" si="75"/>
        <v>0</v>
      </c>
      <c r="DN12" s="108">
        <f t="shared" si="76"/>
        <v>0</v>
      </c>
      <c r="DO12" s="108">
        <f t="shared" si="77"/>
        <v>0</v>
      </c>
      <c r="DP12" s="108">
        <f t="shared" si="78"/>
        <v>0</v>
      </c>
      <c r="DQ12" s="445"/>
    </row>
    <row r="13" spans="1:121" s="112" customFormat="1" ht="25" x14ac:dyDescent="0.25">
      <c r="A13" s="99" t="s">
        <v>2022</v>
      </c>
      <c r="B13" s="100"/>
      <c r="C13" s="100" t="str">
        <f>'Planilha Hidráulica'!B17</f>
        <v>PV8.1-&gt;PV9.1</v>
      </c>
      <c r="D13" s="100">
        <f>'Planilha Hidráulica'!R17</f>
        <v>2.6499999999999773</v>
      </c>
      <c r="E13" s="100">
        <f>'Planilha Hidráulica'!S17</f>
        <v>3.15</v>
      </c>
      <c r="F13" s="100">
        <f>'Planilha Hidráulica'!K17</f>
        <v>34.998887036138747</v>
      </c>
      <c r="G13" s="101">
        <f>'Planilha Hidráulica'!M17</f>
        <v>1200</v>
      </c>
      <c r="H13" s="102">
        <f t="shared" si="0"/>
        <v>3.2899999999999889</v>
      </c>
      <c r="I13" s="102">
        <f t="shared" si="1"/>
        <v>5.7573169174448049</v>
      </c>
      <c r="J13" s="103">
        <v>0</v>
      </c>
      <c r="K13" s="104">
        <f t="shared" si="79"/>
        <v>2.2000000000000002</v>
      </c>
      <c r="L13" s="104">
        <f t="shared" si="80"/>
        <v>2.2000000000000002</v>
      </c>
      <c r="M13" s="104">
        <f>'Planilha Hidráulica'!X17</f>
        <v>800</v>
      </c>
      <c r="N13" s="104">
        <f t="shared" si="2"/>
        <v>76.997551479505248</v>
      </c>
      <c r="O13" s="105" t="str">
        <f>'Planilha Hidráulica'!W17</f>
        <v>ASFALTO</v>
      </c>
      <c r="P13" s="105" t="s">
        <v>2024</v>
      </c>
      <c r="Q13" s="105"/>
      <c r="R13" s="105">
        <v>5</v>
      </c>
      <c r="S13" s="105">
        <v>5</v>
      </c>
      <c r="T13" s="104">
        <f t="shared" si="3"/>
        <v>0.15</v>
      </c>
      <c r="U13" s="106">
        <f t="shared" si="4"/>
        <v>17.592359423448407</v>
      </c>
      <c r="V13" s="106">
        <f t="shared" si="5"/>
        <v>235.72958494412302</v>
      </c>
      <c r="W13" s="107">
        <f t="shared" si="6"/>
        <v>0</v>
      </c>
      <c r="X13" s="107">
        <f t="shared" si="7"/>
        <v>0</v>
      </c>
      <c r="Y13" s="107">
        <f t="shared" si="81"/>
        <v>3.2899999999999889</v>
      </c>
      <c r="Z13" s="107">
        <f t="shared" si="82"/>
        <v>0</v>
      </c>
      <c r="AA13" s="108">
        <f t="shared" si="83"/>
        <v>76.997551479505248</v>
      </c>
      <c r="AB13" s="108">
        <f t="shared" si="84"/>
        <v>0</v>
      </c>
      <c r="AC13" s="109">
        <f t="shared" si="8"/>
        <v>0</v>
      </c>
      <c r="AD13" s="109">
        <f t="shared" si="9"/>
        <v>0</v>
      </c>
      <c r="AE13" s="109">
        <f t="shared" si="85"/>
        <v>0</v>
      </c>
      <c r="AF13" s="109">
        <f t="shared" si="10"/>
        <v>0</v>
      </c>
      <c r="AG13" s="109">
        <f t="shared" si="11"/>
        <v>0</v>
      </c>
      <c r="AH13" s="109">
        <f t="shared" si="12"/>
        <v>0</v>
      </c>
      <c r="AI13" s="109">
        <f t="shared" si="13"/>
        <v>0</v>
      </c>
      <c r="AJ13" s="109">
        <f t="shared" si="14"/>
        <v>0</v>
      </c>
      <c r="AK13" s="109">
        <f t="shared" si="15"/>
        <v>0</v>
      </c>
      <c r="AL13" s="109">
        <f t="shared" si="16"/>
        <v>115.49632721925786</v>
      </c>
      <c r="AM13" s="109">
        <f t="shared" ref="AM13:AM26" si="98">IF(IF(AND(K13&lt;=2.5,K13&gt;1.5),IF(Y13&gt;=3,L13*F13*1.5,K13*F13*(Y13-1.5)),0)&lt;0,0,IF(AND(K13&lt;=2.5,K13&gt;1.5),IF(Y13&gt;=3,L13*F13*1.5,K13*F13*(Y13-1.5)),0))+IF(R13&lt;H13,0,IF(AND(Y13&lt;=3,Y13&gt;1.5,K13&gt;1.5,K13&lt;=2.5),-U13,0))</f>
        <v>115.49632721925786</v>
      </c>
      <c r="AN13" s="109">
        <f t="shared" ref="AN13:AN26" si="99">IF(AND(K13&lt;=2.5,Y13&gt;=4.5),L13*F13*1.5,IF(AND(K13&lt;=2.5,Y13&gt;3),K13*F13*(Y13-3),0))+IF(R13&lt;H13,0,IF(AND(Y13&lt;=4.5,Y13&gt;3,K13&gt;1.5,K13&lt;=2.5),-U13,0))</f>
        <v>4.7369305056072619</v>
      </c>
      <c r="AO13" s="109">
        <f t="shared" si="17"/>
        <v>0</v>
      </c>
      <c r="AP13" s="109">
        <f t="shared" si="18"/>
        <v>0</v>
      </c>
      <c r="AQ13" s="109">
        <f t="shared" si="19"/>
        <v>0</v>
      </c>
      <c r="AR13" s="104">
        <f t="shared" si="20"/>
        <v>0</v>
      </c>
      <c r="AS13" s="104">
        <f t="shared" si="21"/>
        <v>0</v>
      </c>
      <c r="AT13" s="104">
        <f t="shared" si="22"/>
        <v>213.73913566481249</v>
      </c>
      <c r="AU13" s="102">
        <f t="shared" si="23"/>
        <v>0</v>
      </c>
      <c r="AV13" s="106">
        <f t="shared" si="24"/>
        <v>11.549632721925787</v>
      </c>
      <c r="AW13" s="104">
        <f t="shared" si="86"/>
        <v>0</v>
      </c>
      <c r="AX13" s="104">
        <f t="shared" si="25"/>
        <v>0</v>
      </c>
      <c r="AY13" s="104">
        <f t="shared" si="26"/>
        <v>1.5</v>
      </c>
      <c r="AZ13" s="104">
        <f t="shared" si="87"/>
        <v>75.913518516498954</v>
      </c>
      <c r="BA13" s="104">
        <f t="shared" si="88"/>
        <v>0</v>
      </c>
      <c r="BB13" s="104">
        <f t="shared" si="27"/>
        <v>11.549632721925787</v>
      </c>
      <c r="BC13" s="104">
        <f t="shared" si="89"/>
        <v>11.549632721925787</v>
      </c>
      <c r="BD13" s="104">
        <f t="shared" si="28"/>
        <v>2.3099265443851573</v>
      </c>
      <c r="BE13" s="104">
        <f t="shared" si="90"/>
        <v>103.17671898253622</v>
      </c>
      <c r="BF13" s="104">
        <f t="shared" si="91"/>
        <v>148.26643370569826</v>
      </c>
      <c r="BG13" s="104">
        <f t="shared" si="92"/>
        <v>103.17671898253622</v>
      </c>
      <c r="BH13" s="104">
        <f t="shared" si="29"/>
        <v>45.089714723162047</v>
      </c>
      <c r="BI13" s="104">
        <f t="shared" si="30"/>
        <v>0</v>
      </c>
      <c r="BJ13" s="102">
        <f t="shared" si="93"/>
        <v>0</v>
      </c>
      <c r="BK13" s="104">
        <f t="shared" si="31"/>
        <v>0</v>
      </c>
      <c r="BL13" s="104"/>
      <c r="BM13" s="104">
        <f t="shared" si="32"/>
        <v>0.46198530887703149</v>
      </c>
      <c r="BN13" s="108">
        <f t="shared" si="33"/>
        <v>0</v>
      </c>
      <c r="BO13" s="110">
        <f t="shared" si="34"/>
        <v>0</v>
      </c>
      <c r="BP13" s="110">
        <f t="shared" si="35"/>
        <v>0</v>
      </c>
      <c r="BQ13" s="110">
        <f t="shared" si="36"/>
        <v>0</v>
      </c>
      <c r="BR13" s="104">
        <f t="shared" si="37"/>
        <v>0</v>
      </c>
      <c r="BS13" s="104">
        <f t="shared" si="38"/>
        <v>0</v>
      </c>
      <c r="BT13" s="104">
        <f t="shared" si="39"/>
        <v>0</v>
      </c>
      <c r="BU13" s="104">
        <f t="shared" si="40"/>
        <v>0</v>
      </c>
      <c r="BV13" s="104">
        <f t="shared" si="41"/>
        <v>0</v>
      </c>
      <c r="BW13" s="104">
        <f t="shared" si="42"/>
        <v>0</v>
      </c>
      <c r="BX13" s="104">
        <f t="shared" si="43"/>
        <v>0</v>
      </c>
      <c r="BY13" s="104">
        <f t="shared" si="44"/>
        <v>0</v>
      </c>
      <c r="BZ13" s="104">
        <f t="shared" si="45"/>
        <v>0</v>
      </c>
      <c r="CA13" s="104">
        <f t="shared" si="46"/>
        <v>0</v>
      </c>
      <c r="CB13" s="104">
        <f t="shared" si="47"/>
        <v>0</v>
      </c>
      <c r="CC13" s="104">
        <f t="shared" si="48"/>
        <v>0</v>
      </c>
      <c r="CD13" s="104">
        <f t="shared" si="49"/>
        <v>0</v>
      </c>
      <c r="CE13" s="104">
        <f t="shared" si="50"/>
        <v>0</v>
      </c>
      <c r="CF13" s="104">
        <f t="shared" si="51"/>
        <v>3.2899999999999889</v>
      </c>
      <c r="CG13" s="104">
        <f t="shared" si="52"/>
        <v>0</v>
      </c>
      <c r="CH13" s="104">
        <f t="shared" si="53"/>
        <v>34.998887036138747</v>
      </c>
      <c r="CI13" s="104">
        <f t="shared" si="54"/>
        <v>0</v>
      </c>
      <c r="CJ13" s="443">
        <f t="shared" si="55"/>
        <v>0</v>
      </c>
      <c r="CK13" s="104">
        <f t="shared" si="56"/>
        <v>0</v>
      </c>
      <c r="CL13" s="104">
        <f t="shared" si="57"/>
        <v>0</v>
      </c>
      <c r="CM13" s="104">
        <f t="shared" si="58"/>
        <v>0</v>
      </c>
      <c r="CN13" s="107">
        <f t="shared" si="59"/>
        <v>0</v>
      </c>
      <c r="CO13" s="107">
        <f t="shared" si="60"/>
        <v>0</v>
      </c>
      <c r="CP13" s="107">
        <f t="shared" si="61"/>
        <v>0</v>
      </c>
      <c r="CQ13" s="107">
        <f t="shared" si="62"/>
        <v>0</v>
      </c>
      <c r="CR13" s="107">
        <f t="shared" si="63"/>
        <v>0</v>
      </c>
      <c r="CS13" s="107">
        <f t="shared" si="64"/>
        <v>0</v>
      </c>
      <c r="CT13" s="444">
        <f t="shared" si="65"/>
        <v>0</v>
      </c>
      <c r="CU13" s="104">
        <f t="shared" si="66"/>
        <v>1</v>
      </c>
      <c r="CV13" s="104">
        <f t="shared" si="67"/>
        <v>0</v>
      </c>
      <c r="CW13" s="104">
        <f t="shared" si="94"/>
        <v>0</v>
      </c>
      <c r="CX13" s="104">
        <f t="shared" si="95"/>
        <v>0</v>
      </c>
      <c r="CY13" s="104">
        <f t="shared" si="96"/>
        <v>1</v>
      </c>
      <c r="CZ13" s="104">
        <f t="shared" si="97"/>
        <v>0</v>
      </c>
      <c r="DA13" s="104">
        <f t="shared" si="68"/>
        <v>0.64999999999997726</v>
      </c>
      <c r="DB13" s="111">
        <v>1.3</v>
      </c>
      <c r="DC13" s="111">
        <v>1.4</v>
      </c>
      <c r="DD13" s="111">
        <v>2</v>
      </c>
      <c r="DE13" s="111">
        <v>2</v>
      </c>
      <c r="DF13" s="111">
        <v>2</v>
      </c>
      <c r="DG13" s="108">
        <f t="shared" si="69"/>
        <v>0</v>
      </c>
      <c r="DH13" s="108">
        <f t="shared" si="70"/>
        <v>0</v>
      </c>
      <c r="DI13" s="108">
        <f t="shared" si="71"/>
        <v>0</v>
      </c>
      <c r="DJ13" s="108">
        <f t="shared" si="72"/>
        <v>104.99666110841625</v>
      </c>
      <c r="DK13" s="108">
        <f t="shared" si="73"/>
        <v>104.99666110841625</v>
      </c>
      <c r="DL13" s="108">
        <f t="shared" si="74"/>
        <v>20.2993544809597</v>
      </c>
      <c r="DM13" s="108">
        <f t="shared" si="75"/>
        <v>0</v>
      </c>
      <c r="DN13" s="108">
        <f t="shared" si="76"/>
        <v>0</v>
      </c>
      <c r="DO13" s="108">
        <f t="shared" si="77"/>
        <v>0</v>
      </c>
      <c r="DP13" s="108">
        <f t="shared" si="78"/>
        <v>0</v>
      </c>
      <c r="DQ13" s="445"/>
    </row>
    <row r="14" spans="1:121" s="112" customFormat="1" ht="25" x14ac:dyDescent="0.25">
      <c r="A14" s="99" t="s">
        <v>2022</v>
      </c>
      <c r="B14" s="100"/>
      <c r="C14" s="100" t="str">
        <f>'Planilha Hidráulica'!B18</f>
        <v>PV9.1-&gt;PV10.1</v>
      </c>
      <c r="D14" s="100">
        <f>'Planilha Hidráulica'!R18</f>
        <v>3.1464940623111488</v>
      </c>
      <c r="E14" s="100">
        <f>'Planilha Hidráulica'!S18</f>
        <v>2.7999999999999545</v>
      </c>
      <c r="F14" s="100">
        <f>'Planilha Hidráulica'!K18</f>
        <v>37.041618437486591</v>
      </c>
      <c r="G14" s="101">
        <f>'Planilha Hidráulica'!M18</f>
        <v>1500</v>
      </c>
      <c r="H14" s="102">
        <f t="shared" si="0"/>
        <v>3.4732470311555517</v>
      </c>
      <c r="I14" s="102">
        <f t="shared" si="1"/>
        <v>6.4327345633598529</v>
      </c>
      <c r="J14" s="103">
        <v>0</v>
      </c>
      <c r="K14" s="104">
        <f t="shared" si="79"/>
        <v>2.6</v>
      </c>
      <c r="L14" s="104">
        <f t="shared" si="80"/>
        <v>2.6</v>
      </c>
      <c r="M14" s="104">
        <f>'Planilha Hidráulica'!X18</f>
        <v>1000</v>
      </c>
      <c r="N14" s="104">
        <f t="shared" si="2"/>
        <v>96.308207937465141</v>
      </c>
      <c r="O14" s="105" t="str">
        <f>'Planilha Hidráulica'!W18</f>
        <v>ASFALTO</v>
      </c>
      <c r="P14" s="105" t="s">
        <v>2025</v>
      </c>
      <c r="Q14" s="105"/>
      <c r="R14" s="105">
        <v>4.4000000000000004</v>
      </c>
      <c r="S14" s="105">
        <v>3.5</v>
      </c>
      <c r="T14" s="104">
        <f t="shared" si="3"/>
        <v>0.2</v>
      </c>
      <c r="U14" s="106">
        <f t="shared" si="4"/>
        <v>29.092419090071026</v>
      </c>
      <c r="V14" s="106">
        <f t="shared" si="5"/>
        <v>305.40977820464133</v>
      </c>
      <c r="W14" s="107">
        <f t="shared" si="6"/>
        <v>0</v>
      </c>
      <c r="X14" s="107">
        <f t="shared" si="7"/>
        <v>0</v>
      </c>
      <c r="Y14" s="107">
        <f t="shared" si="81"/>
        <v>3.4732470311555517</v>
      </c>
      <c r="Z14" s="107">
        <f t="shared" si="82"/>
        <v>0</v>
      </c>
      <c r="AA14" s="108">
        <f t="shared" si="83"/>
        <v>96.308207937465141</v>
      </c>
      <c r="AB14" s="108">
        <f t="shared" si="84"/>
        <v>0</v>
      </c>
      <c r="AC14" s="109">
        <f t="shared" si="8"/>
        <v>0</v>
      </c>
      <c r="AD14" s="109">
        <f t="shared" si="9"/>
        <v>0</v>
      </c>
      <c r="AE14" s="109">
        <f t="shared" si="85"/>
        <v>0</v>
      </c>
      <c r="AF14" s="109">
        <f t="shared" si="10"/>
        <v>0</v>
      </c>
      <c r="AG14" s="109">
        <f t="shared" si="11"/>
        <v>0</v>
      </c>
      <c r="AH14" s="109">
        <f t="shared" si="12"/>
        <v>0</v>
      </c>
      <c r="AI14" s="109">
        <f t="shared" si="13"/>
        <v>0</v>
      </c>
      <c r="AJ14" s="109">
        <f t="shared" si="14"/>
        <v>0</v>
      </c>
      <c r="AK14" s="109">
        <f t="shared" si="15"/>
        <v>0</v>
      </c>
      <c r="AL14" s="109">
        <f t="shared" si="16"/>
        <v>0</v>
      </c>
      <c r="AM14" s="109">
        <f t="shared" si="98"/>
        <v>0</v>
      </c>
      <c r="AN14" s="109">
        <f t="shared" si="99"/>
        <v>0</v>
      </c>
      <c r="AO14" s="109">
        <f t="shared" si="17"/>
        <v>192.61641587493028</v>
      </c>
      <c r="AP14" s="109">
        <f t="shared" si="18"/>
        <v>112.79336232971104</v>
      </c>
      <c r="AQ14" s="109">
        <f t="shared" si="19"/>
        <v>0</v>
      </c>
      <c r="AR14" s="104">
        <f t="shared" si="20"/>
        <v>0</v>
      </c>
      <c r="AS14" s="104">
        <f t="shared" si="21"/>
        <v>0</v>
      </c>
      <c r="AT14" s="104">
        <f t="shared" si="22"/>
        <v>269.04425434205257</v>
      </c>
      <c r="AU14" s="102">
        <f t="shared" si="23"/>
        <v>0</v>
      </c>
      <c r="AV14" s="106">
        <f t="shared" si="24"/>
        <v>19.261641587493031</v>
      </c>
      <c r="AW14" s="104">
        <f t="shared" si="86"/>
        <v>0</v>
      </c>
      <c r="AX14" s="104">
        <f t="shared" si="25"/>
        <v>0</v>
      </c>
      <c r="AY14" s="104">
        <f t="shared" si="26"/>
        <v>1.8</v>
      </c>
      <c r="AZ14" s="104">
        <f t="shared" si="87"/>
        <v>107.89683133477746</v>
      </c>
      <c r="BA14" s="104">
        <f t="shared" si="88"/>
        <v>0</v>
      </c>
      <c r="BB14" s="104">
        <f t="shared" si="27"/>
        <v>14.44623119061977</v>
      </c>
      <c r="BC14" s="104">
        <f t="shared" si="89"/>
        <v>14.44623119061977</v>
      </c>
      <c r="BD14" s="104">
        <f t="shared" si="28"/>
        <v>2.8892462381239543</v>
      </c>
      <c r="BE14" s="104">
        <f t="shared" si="90"/>
        <v>112.99331903854255</v>
      </c>
      <c r="BF14" s="104">
        <f t="shared" si="91"/>
        <v>183.06671567924411</v>
      </c>
      <c r="BG14" s="104">
        <f t="shared" si="92"/>
        <v>112.99331903854255</v>
      </c>
      <c r="BH14" s="104">
        <f t="shared" si="29"/>
        <v>70.07339664070156</v>
      </c>
      <c r="BI14" s="104">
        <f t="shared" si="30"/>
        <v>0</v>
      </c>
      <c r="BJ14" s="102">
        <f t="shared" si="93"/>
        <v>0</v>
      </c>
      <c r="BK14" s="104">
        <f t="shared" si="31"/>
        <v>0</v>
      </c>
      <c r="BL14" s="104"/>
      <c r="BM14" s="104">
        <f t="shared" si="32"/>
        <v>0.57784924762479084</v>
      </c>
      <c r="BN14" s="108">
        <f t="shared" si="33"/>
        <v>0</v>
      </c>
      <c r="BO14" s="110">
        <f t="shared" si="34"/>
        <v>0</v>
      </c>
      <c r="BP14" s="110">
        <f t="shared" si="35"/>
        <v>0</v>
      </c>
      <c r="BQ14" s="110">
        <f t="shared" si="36"/>
        <v>0</v>
      </c>
      <c r="BR14" s="104">
        <f t="shared" si="37"/>
        <v>0</v>
      </c>
      <c r="BS14" s="104">
        <f t="shared" si="38"/>
        <v>0</v>
      </c>
      <c r="BT14" s="104">
        <f t="shared" si="39"/>
        <v>0</v>
      </c>
      <c r="BU14" s="104">
        <f t="shared" si="40"/>
        <v>0</v>
      </c>
      <c r="BV14" s="104">
        <f t="shared" si="41"/>
        <v>0</v>
      </c>
      <c r="BW14" s="104">
        <f t="shared" si="42"/>
        <v>0</v>
      </c>
      <c r="BX14" s="104">
        <f t="shared" si="43"/>
        <v>0</v>
      </c>
      <c r="BY14" s="104">
        <f t="shared" si="44"/>
        <v>0</v>
      </c>
      <c r="BZ14" s="104">
        <f t="shared" si="45"/>
        <v>0</v>
      </c>
      <c r="CA14" s="104">
        <f t="shared" si="46"/>
        <v>0</v>
      </c>
      <c r="CB14" s="104">
        <f t="shared" si="47"/>
        <v>0</v>
      </c>
      <c r="CC14" s="104">
        <f t="shared" si="48"/>
        <v>0</v>
      </c>
      <c r="CD14" s="104">
        <f t="shared" si="49"/>
        <v>0</v>
      </c>
      <c r="CE14" s="104">
        <f t="shared" si="50"/>
        <v>0</v>
      </c>
      <c r="CF14" s="104">
        <f t="shared" si="51"/>
        <v>0</v>
      </c>
      <c r="CG14" s="104">
        <f t="shared" si="52"/>
        <v>0</v>
      </c>
      <c r="CH14" s="104">
        <f t="shared" si="53"/>
        <v>0</v>
      </c>
      <c r="CI14" s="104">
        <f t="shared" si="54"/>
        <v>0</v>
      </c>
      <c r="CJ14" s="443">
        <f t="shared" si="55"/>
        <v>3.4732470311555517</v>
      </c>
      <c r="CK14" s="104">
        <f t="shared" si="56"/>
        <v>0</v>
      </c>
      <c r="CL14" s="104">
        <f t="shared" si="57"/>
        <v>37.041618437486591</v>
      </c>
      <c r="CM14" s="104">
        <f t="shared" si="58"/>
        <v>0</v>
      </c>
      <c r="CN14" s="107">
        <f t="shared" si="59"/>
        <v>0</v>
      </c>
      <c r="CO14" s="107">
        <f t="shared" si="60"/>
        <v>0</v>
      </c>
      <c r="CP14" s="107">
        <f t="shared" si="61"/>
        <v>0</v>
      </c>
      <c r="CQ14" s="107">
        <f t="shared" si="62"/>
        <v>0</v>
      </c>
      <c r="CR14" s="107">
        <f t="shared" si="63"/>
        <v>0</v>
      </c>
      <c r="CS14" s="107">
        <f t="shared" si="64"/>
        <v>0</v>
      </c>
      <c r="CT14" s="444">
        <f t="shared" si="65"/>
        <v>0</v>
      </c>
      <c r="CU14" s="104">
        <f t="shared" si="66"/>
        <v>1</v>
      </c>
      <c r="CV14" s="104">
        <f t="shared" si="67"/>
        <v>0</v>
      </c>
      <c r="CW14" s="104">
        <f t="shared" si="94"/>
        <v>0</v>
      </c>
      <c r="CX14" s="104">
        <f t="shared" si="95"/>
        <v>0</v>
      </c>
      <c r="CY14" s="104">
        <f t="shared" si="96"/>
        <v>0</v>
      </c>
      <c r="CZ14" s="104">
        <f t="shared" si="97"/>
        <v>1</v>
      </c>
      <c r="DA14" s="104">
        <f t="shared" si="68"/>
        <v>1.1464940623111488</v>
      </c>
      <c r="DB14" s="111">
        <v>1.3</v>
      </c>
      <c r="DC14" s="111">
        <v>1.4</v>
      </c>
      <c r="DD14" s="111">
        <v>2</v>
      </c>
      <c r="DE14" s="111">
        <v>2</v>
      </c>
      <c r="DF14" s="111">
        <v>2</v>
      </c>
      <c r="DG14" s="108">
        <f t="shared" si="69"/>
        <v>0</v>
      </c>
      <c r="DH14" s="108">
        <f t="shared" si="70"/>
        <v>0</v>
      </c>
      <c r="DI14" s="108">
        <f t="shared" si="71"/>
        <v>0</v>
      </c>
      <c r="DJ14" s="108">
        <f t="shared" si="72"/>
        <v>0</v>
      </c>
      <c r="DK14" s="108">
        <f t="shared" si="73"/>
        <v>0</v>
      </c>
      <c r="DL14" s="108">
        <f t="shared" si="74"/>
        <v>0</v>
      </c>
      <c r="DM14" s="108">
        <f t="shared" si="75"/>
        <v>111.12485531245977</v>
      </c>
      <c r="DN14" s="108">
        <f t="shared" si="76"/>
        <v>111.12485531245977</v>
      </c>
      <c r="DO14" s="108">
        <f t="shared" si="77"/>
        <v>35.059671909474545</v>
      </c>
      <c r="DP14" s="108">
        <f t="shared" si="78"/>
        <v>0</v>
      </c>
      <c r="DQ14" s="445"/>
    </row>
    <row r="15" spans="1:121" s="112" customFormat="1" ht="25" x14ac:dyDescent="0.25">
      <c r="A15" s="99" t="s">
        <v>2022</v>
      </c>
      <c r="B15" s="100"/>
      <c r="C15" s="100" t="str">
        <f>'Planilha Hidráulica'!B19</f>
        <v>PV10.1-&gt;PV11.1</v>
      </c>
      <c r="D15" s="100">
        <f>'Planilha Hidráulica'!R19</f>
        <v>2.7999999999999545</v>
      </c>
      <c r="E15" s="100">
        <f>'Planilha Hidráulica'!S19</f>
        <v>3</v>
      </c>
      <c r="F15" s="100">
        <f>'Planilha Hidráulica'!K19</f>
        <v>36.958381562600451</v>
      </c>
      <c r="G15" s="101">
        <f>'Planilha Hidráulica'!M19</f>
        <v>1500</v>
      </c>
      <c r="H15" s="102">
        <f t="shared" si="0"/>
        <v>3.3999999999999773</v>
      </c>
      <c r="I15" s="102">
        <f t="shared" si="1"/>
        <v>6.2829248656420349</v>
      </c>
      <c r="J15" s="103">
        <v>0</v>
      </c>
      <c r="K15" s="104">
        <f t="shared" si="79"/>
        <v>2.6</v>
      </c>
      <c r="L15" s="104">
        <f t="shared" si="80"/>
        <v>2.6</v>
      </c>
      <c r="M15" s="104">
        <f>'Planilha Hidráulica'!X19</f>
        <v>1000</v>
      </c>
      <c r="N15" s="104">
        <f t="shared" si="2"/>
        <v>96.091792062761172</v>
      </c>
      <c r="O15" s="105" t="str">
        <f>'Planilha Hidráulica'!W19</f>
        <v>ASFALTO</v>
      </c>
      <c r="P15" s="105" t="s">
        <v>2025</v>
      </c>
      <c r="Q15" s="105"/>
      <c r="R15" s="105">
        <v>4.4000000000000004</v>
      </c>
      <c r="S15" s="105">
        <v>3.5</v>
      </c>
      <c r="T15" s="104">
        <f t="shared" si="3"/>
        <v>0.2</v>
      </c>
      <c r="U15" s="106">
        <f t="shared" si="4"/>
        <v>29.02704500140851</v>
      </c>
      <c r="V15" s="106">
        <f t="shared" si="5"/>
        <v>297.6850480119773</v>
      </c>
      <c r="W15" s="107">
        <f t="shared" si="6"/>
        <v>0</v>
      </c>
      <c r="X15" s="107">
        <f t="shared" si="7"/>
        <v>0</v>
      </c>
      <c r="Y15" s="107">
        <f t="shared" si="81"/>
        <v>3.3999999999999773</v>
      </c>
      <c r="Z15" s="107">
        <f t="shared" si="82"/>
        <v>0</v>
      </c>
      <c r="AA15" s="108">
        <f t="shared" si="83"/>
        <v>96.091792062761172</v>
      </c>
      <c r="AB15" s="108">
        <f t="shared" si="84"/>
        <v>0</v>
      </c>
      <c r="AC15" s="109">
        <f t="shared" si="8"/>
        <v>0</v>
      </c>
      <c r="AD15" s="109">
        <f t="shared" si="9"/>
        <v>0</v>
      </c>
      <c r="AE15" s="109">
        <f t="shared" si="85"/>
        <v>0</v>
      </c>
      <c r="AF15" s="109">
        <f t="shared" si="10"/>
        <v>0</v>
      </c>
      <c r="AG15" s="109">
        <f t="shared" si="11"/>
        <v>0</v>
      </c>
      <c r="AH15" s="109">
        <f t="shared" si="12"/>
        <v>0</v>
      </c>
      <c r="AI15" s="109">
        <f t="shared" si="13"/>
        <v>0</v>
      </c>
      <c r="AJ15" s="109">
        <f t="shared" si="14"/>
        <v>0</v>
      </c>
      <c r="AK15" s="109">
        <f t="shared" si="15"/>
        <v>0</v>
      </c>
      <c r="AL15" s="109">
        <f t="shared" si="16"/>
        <v>0</v>
      </c>
      <c r="AM15" s="109">
        <f t="shared" si="98"/>
        <v>0</v>
      </c>
      <c r="AN15" s="109">
        <f t="shared" si="99"/>
        <v>0</v>
      </c>
      <c r="AO15" s="109">
        <f t="shared" si="17"/>
        <v>192.18358412552234</v>
      </c>
      <c r="AP15" s="109">
        <f t="shared" si="18"/>
        <v>105.50146388645496</v>
      </c>
      <c r="AQ15" s="109">
        <f t="shared" si="19"/>
        <v>0</v>
      </c>
      <c r="AR15" s="104">
        <f t="shared" si="20"/>
        <v>0</v>
      </c>
      <c r="AS15" s="104">
        <f t="shared" si="21"/>
        <v>0</v>
      </c>
      <c r="AT15" s="104">
        <f t="shared" si="22"/>
        <v>261.40124176021664</v>
      </c>
      <c r="AU15" s="102">
        <f t="shared" si="23"/>
        <v>0</v>
      </c>
      <c r="AV15" s="106">
        <f t="shared" si="24"/>
        <v>19.218358412552234</v>
      </c>
      <c r="AW15" s="104">
        <f t="shared" si="86"/>
        <v>0</v>
      </c>
      <c r="AX15" s="104">
        <f t="shared" si="25"/>
        <v>0</v>
      </c>
      <c r="AY15" s="104">
        <f t="shared" si="26"/>
        <v>1.8</v>
      </c>
      <c r="AZ15" s="104">
        <f t="shared" si="87"/>
        <v>107.65437445980098</v>
      </c>
      <c r="BA15" s="104">
        <f t="shared" si="88"/>
        <v>0</v>
      </c>
      <c r="BB15" s="104">
        <f t="shared" si="27"/>
        <v>14.413768809414176</v>
      </c>
      <c r="BC15" s="104">
        <f t="shared" si="89"/>
        <v>14.413768809414176</v>
      </c>
      <c r="BD15" s="104">
        <f t="shared" si="28"/>
        <v>2.8827537618828352</v>
      </c>
      <c r="BE15" s="104">
        <f t="shared" si="90"/>
        <v>105.70097126903511</v>
      </c>
      <c r="BF15" s="104">
        <f t="shared" si="91"/>
        <v>175.61690474276213</v>
      </c>
      <c r="BG15" s="104">
        <f t="shared" si="92"/>
        <v>105.70097126903511</v>
      </c>
      <c r="BH15" s="104">
        <f t="shared" si="29"/>
        <v>69.915933473727023</v>
      </c>
      <c r="BI15" s="104">
        <f t="shared" si="30"/>
        <v>0</v>
      </c>
      <c r="BJ15" s="102">
        <f t="shared" si="93"/>
        <v>0</v>
      </c>
      <c r="BK15" s="104">
        <f t="shared" si="31"/>
        <v>0</v>
      </c>
      <c r="BL15" s="104"/>
      <c r="BM15" s="104">
        <f t="shared" si="32"/>
        <v>0.57655075237656706</v>
      </c>
      <c r="BN15" s="108">
        <f t="shared" si="33"/>
        <v>0</v>
      </c>
      <c r="BO15" s="110">
        <f t="shared" si="34"/>
        <v>0</v>
      </c>
      <c r="BP15" s="110">
        <f t="shared" si="35"/>
        <v>0</v>
      </c>
      <c r="BQ15" s="110">
        <f t="shared" si="36"/>
        <v>0</v>
      </c>
      <c r="BR15" s="104">
        <f t="shared" si="37"/>
        <v>0</v>
      </c>
      <c r="BS15" s="104">
        <f t="shared" si="38"/>
        <v>0</v>
      </c>
      <c r="BT15" s="104">
        <f t="shared" si="39"/>
        <v>0</v>
      </c>
      <c r="BU15" s="104">
        <f t="shared" si="40"/>
        <v>0</v>
      </c>
      <c r="BV15" s="104">
        <f t="shared" si="41"/>
        <v>0</v>
      </c>
      <c r="BW15" s="104">
        <f t="shared" si="42"/>
        <v>0</v>
      </c>
      <c r="BX15" s="104">
        <f t="shared" si="43"/>
        <v>0</v>
      </c>
      <c r="BY15" s="104">
        <f t="shared" si="44"/>
        <v>0</v>
      </c>
      <c r="BZ15" s="104">
        <f t="shared" si="45"/>
        <v>0</v>
      </c>
      <c r="CA15" s="104">
        <f t="shared" si="46"/>
        <v>0</v>
      </c>
      <c r="CB15" s="104">
        <f t="shared" si="47"/>
        <v>0</v>
      </c>
      <c r="CC15" s="104">
        <f t="shared" si="48"/>
        <v>0</v>
      </c>
      <c r="CD15" s="104">
        <f t="shared" si="49"/>
        <v>0</v>
      </c>
      <c r="CE15" s="104">
        <f t="shared" si="50"/>
        <v>0</v>
      </c>
      <c r="CF15" s="104">
        <f t="shared" si="51"/>
        <v>0</v>
      </c>
      <c r="CG15" s="104">
        <f t="shared" si="52"/>
        <v>0</v>
      </c>
      <c r="CH15" s="104">
        <f t="shared" si="53"/>
        <v>0</v>
      </c>
      <c r="CI15" s="104">
        <f t="shared" si="54"/>
        <v>0</v>
      </c>
      <c r="CJ15" s="443">
        <f t="shared" si="55"/>
        <v>3.3999999999999773</v>
      </c>
      <c r="CK15" s="104">
        <f t="shared" si="56"/>
        <v>0</v>
      </c>
      <c r="CL15" s="104">
        <f t="shared" si="57"/>
        <v>36.958381562600451</v>
      </c>
      <c r="CM15" s="104">
        <f t="shared" si="58"/>
        <v>0</v>
      </c>
      <c r="CN15" s="107">
        <f t="shared" si="59"/>
        <v>0</v>
      </c>
      <c r="CO15" s="107">
        <f t="shared" si="60"/>
        <v>0</v>
      </c>
      <c r="CP15" s="107">
        <f t="shared" si="61"/>
        <v>0</v>
      </c>
      <c r="CQ15" s="107">
        <f t="shared" si="62"/>
        <v>0</v>
      </c>
      <c r="CR15" s="107">
        <f t="shared" si="63"/>
        <v>0</v>
      </c>
      <c r="CS15" s="107">
        <f t="shared" si="64"/>
        <v>0</v>
      </c>
      <c r="CT15" s="444">
        <f t="shared" si="65"/>
        <v>0</v>
      </c>
      <c r="CU15" s="104">
        <f t="shared" si="66"/>
        <v>1</v>
      </c>
      <c r="CV15" s="104">
        <f t="shared" si="67"/>
        <v>0</v>
      </c>
      <c r="CW15" s="104">
        <f t="shared" si="94"/>
        <v>0</v>
      </c>
      <c r="CX15" s="104">
        <f t="shared" si="95"/>
        <v>0</v>
      </c>
      <c r="CY15" s="104">
        <f t="shared" si="96"/>
        <v>0</v>
      </c>
      <c r="CZ15" s="104">
        <f t="shared" si="97"/>
        <v>1</v>
      </c>
      <c r="DA15" s="104">
        <f t="shared" si="68"/>
        <v>0.79999999999995453</v>
      </c>
      <c r="DB15" s="111">
        <v>1.3</v>
      </c>
      <c r="DC15" s="111">
        <v>1.4</v>
      </c>
      <c r="DD15" s="111">
        <v>2</v>
      </c>
      <c r="DE15" s="111">
        <v>2</v>
      </c>
      <c r="DF15" s="111">
        <v>2</v>
      </c>
      <c r="DG15" s="108">
        <f t="shared" si="69"/>
        <v>0</v>
      </c>
      <c r="DH15" s="108">
        <f t="shared" si="70"/>
        <v>0</v>
      </c>
      <c r="DI15" s="108">
        <f t="shared" si="71"/>
        <v>0</v>
      </c>
      <c r="DJ15" s="108">
        <f t="shared" si="72"/>
        <v>0</v>
      </c>
      <c r="DK15" s="108">
        <f t="shared" si="73"/>
        <v>0</v>
      </c>
      <c r="DL15" s="108">
        <f t="shared" si="74"/>
        <v>0</v>
      </c>
      <c r="DM15" s="108">
        <f t="shared" si="75"/>
        <v>110.87514468780135</v>
      </c>
      <c r="DN15" s="108">
        <f t="shared" si="76"/>
        <v>110.87514468780135</v>
      </c>
      <c r="DO15" s="108">
        <f t="shared" si="77"/>
        <v>29.56670525007868</v>
      </c>
      <c r="DP15" s="108">
        <f t="shared" si="78"/>
        <v>0</v>
      </c>
      <c r="DQ15" s="445"/>
    </row>
    <row r="16" spans="1:121" s="112" customFormat="1" ht="25" x14ac:dyDescent="0.25">
      <c r="A16" s="99" t="s">
        <v>2026</v>
      </c>
      <c r="B16" s="100"/>
      <c r="C16" s="100" t="str">
        <f>'Planilha Hidráulica'!B20</f>
        <v>PV11.1-&gt;PV12.1</v>
      </c>
      <c r="D16" s="100">
        <f>'Planilha Hidráulica'!R20</f>
        <v>3.0012558005196297</v>
      </c>
      <c r="E16" s="100">
        <f>'Planilha Hidráulica'!S20</f>
        <v>2.9067972967709466</v>
      </c>
      <c r="F16" s="100">
        <f>'Planilha Hidráulica'!K20</f>
        <v>45.000000000207713</v>
      </c>
      <c r="G16" s="101">
        <f>'Planilha Hidráulica'!M20</f>
        <v>1500</v>
      </c>
      <c r="H16" s="102">
        <f t="shared" si="0"/>
        <v>3.4540265486452881</v>
      </c>
      <c r="I16" s="102">
        <f t="shared" si="1"/>
        <v>7.7715597344877709</v>
      </c>
      <c r="J16" s="103">
        <v>0</v>
      </c>
      <c r="K16" s="104">
        <f t="shared" si="79"/>
        <v>2.6</v>
      </c>
      <c r="L16" s="104">
        <f t="shared" si="80"/>
        <v>2.6</v>
      </c>
      <c r="M16" s="104">
        <f>'Planilha Hidráulica'!X20</f>
        <v>1200</v>
      </c>
      <c r="N16" s="104">
        <f t="shared" si="2"/>
        <v>117.00000000054006</v>
      </c>
      <c r="O16" s="105" t="str">
        <f>'Planilha Hidráulica'!W20</f>
        <v>ASFALTO</v>
      </c>
      <c r="P16" s="105" t="s">
        <v>2025</v>
      </c>
      <c r="Q16" s="105"/>
      <c r="R16" s="105">
        <v>4.4000000000000004</v>
      </c>
      <c r="S16" s="105">
        <v>3.5</v>
      </c>
      <c r="T16" s="104">
        <f t="shared" si="3"/>
        <v>0.2</v>
      </c>
      <c r="U16" s="106">
        <f t="shared" si="4"/>
        <v>50.893800988389572</v>
      </c>
      <c r="V16" s="106">
        <f t="shared" si="5"/>
        <v>353.22730520497453</v>
      </c>
      <c r="W16" s="107">
        <f t="shared" si="6"/>
        <v>0</v>
      </c>
      <c r="X16" s="107">
        <f t="shared" si="7"/>
        <v>0</v>
      </c>
      <c r="Y16" s="107">
        <f t="shared" si="81"/>
        <v>3.4540265486452881</v>
      </c>
      <c r="Z16" s="107">
        <f t="shared" si="82"/>
        <v>0</v>
      </c>
      <c r="AA16" s="108">
        <f t="shared" si="83"/>
        <v>117.00000000054006</v>
      </c>
      <c r="AB16" s="108">
        <f t="shared" si="84"/>
        <v>0</v>
      </c>
      <c r="AC16" s="109">
        <f t="shared" si="8"/>
        <v>0</v>
      </c>
      <c r="AD16" s="109">
        <f t="shared" si="9"/>
        <v>0</v>
      </c>
      <c r="AE16" s="109">
        <f t="shared" si="85"/>
        <v>0</v>
      </c>
      <c r="AF16" s="109">
        <f t="shared" si="10"/>
        <v>0</v>
      </c>
      <c r="AG16" s="109">
        <f t="shared" si="11"/>
        <v>0</v>
      </c>
      <c r="AH16" s="109">
        <f t="shared" si="12"/>
        <v>0</v>
      </c>
      <c r="AI16" s="109">
        <f t="shared" si="13"/>
        <v>0</v>
      </c>
      <c r="AJ16" s="109">
        <f t="shared" si="14"/>
        <v>0</v>
      </c>
      <c r="AK16" s="109">
        <f t="shared" si="15"/>
        <v>0</v>
      </c>
      <c r="AL16" s="109">
        <f t="shared" si="16"/>
        <v>0</v>
      </c>
      <c r="AM16" s="109">
        <f t="shared" si="98"/>
        <v>0</v>
      </c>
      <c r="AN16" s="109">
        <f t="shared" si="99"/>
        <v>0</v>
      </c>
      <c r="AO16" s="109">
        <f t="shared" si="17"/>
        <v>234.00000000108011</v>
      </c>
      <c r="AP16" s="109">
        <f t="shared" si="18"/>
        <v>119.2273052038944</v>
      </c>
      <c r="AQ16" s="109">
        <f t="shared" si="19"/>
        <v>0</v>
      </c>
      <c r="AR16" s="104">
        <f t="shared" si="20"/>
        <v>0</v>
      </c>
      <c r="AS16" s="104">
        <f t="shared" si="21"/>
        <v>0</v>
      </c>
      <c r="AT16" s="104">
        <f t="shared" si="22"/>
        <v>324.5995421490054</v>
      </c>
      <c r="AU16" s="102">
        <f t="shared" si="23"/>
        <v>0</v>
      </c>
      <c r="AV16" s="106">
        <f t="shared" si="24"/>
        <v>23.400000000108012</v>
      </c>
      <c r="AW16" s="104">
        <f t="shared" si="86"/>
        <v>0</v>
      </c>
      <c r="AX16" s="104">
        <f t="shared" si="25"/>
        <v>0</v>
      </c>
      <c r="AY16" s="104">
        <f t="shared" si="26"/>
        <v>1.8</v>
      </c>
      <c r="AZ16" s="104">
        <f t="shared" si="87"/>
        <v>131.07843595661342</v>
      </c>
      <c r="BA16" s="104">
        <f t="shared" si="88"/>
        <v>0</v>
      </c>
      <c r="BB16" s="104">
        <f t="shared" si="27"/>
        <v>17.550000000081006</v>
      </c>
      <c r="BC16" s="104">
        <f t="shared" si="89"/>
        <v>17.550000000081006</v>
      </c>
      <c r="BD16" s="104">
        <f t="shared" si="28"/>
        <v>3.5100000000162015</v>
      </c>
      <c r="BE16" s="104">
        <f t="shared" si="90"/>
        <v>135.02110619212192</v>
      </c>
      <c r="BF16" s="104">
        <f t="shared" si="91"/>
        <v>204.5988692482801</v>
      </c>
      <c r="BG16" s="104">
        <f t="shared" si="92"/>
        <v>135.02110619212192</v>
      </c>
      <c r="BH16" s="104">
        <f t="shared" si="29"/>
        <v>69.577763056158176</v>
      </c>
      <c r="BI16" s="104">
        <f t="shared" si="30"/>
        <v>0</v>
      </c>
      <c r="BJ16" s="102">
        <f t="shared" si="93"/>
        <v>0</v>
      </c>
      <c r="BK16" s="104">
        <f t="shared" si="31"/>
        <v>0</v>
      </c>
      <c r="BL16" s="104"/>
      <c r="BM16" s="104">
        <f t="shared" si="32"/>
        <v>0.70200000000324025</v>
      </c>
      <c r="BN16" s="108">
        <f t="shared" si="33"/>
        <v>0</v>
      </c>
      <c r="BO16" s="110">
        <f t="shared" si="34"/>
        <v>0</v>
      </c>
      <c r="BP16" s="110">
        <f t="shared" si="35"/>
        <v>0</v>
      </c>
      <c r="BQ16" s="110">
        <f t="shared" si="36"/>
        <v>0</v>
      </c>
      <c r="BR16" s="104">
        <f t="shared" si="37"/>
        <v>0</v>
      </c>
      <c r="BS16" s="104">
        <f t="shared" si="38"/>
        <v>0</v>
      </c>
      <c r="BT16" s="104">
        <f t="shared" si="39"/>
        <v>0</v>
      </c>
      <c r="BU16" s="104">
        <f t="shared" si="40"/>
        <v>0</v>
      </c>
      <c r="BV16" s="104">
        <f t="shared" si="41"/>
        <v>0</v>
      </c>
      <c r="BW16" s="104">
        <f t="shared" si="42"/>
        <v>0</v>
      </c>
      <c r="BX16" s="104">
        <f t="shared" si="43"/>
        <v>0</v>
      </c>
      <c r="BY16" s="104">
        <f t="shared" si="44"/>
        <v>0</v>
      </c>
      <c r="BZ16" s="104">
        <f t="shared" si="45"/>
        <v>0</v>
      </c>
      <c r="CA16" s="104">
        <f t="shared" si="46"/>
        <v>0</v>
      </c>
      <c r="CB16" s="104">
        <f t="shared" si="47"/>
        <v>0</v>
      </c>
      <c r="CC16" s="104">
        <f t="shared" si="48"/>
        <v>0</v>
      </c>
      <c r="CD16" s="104">
        <f t="shared" si="49"/>
        <v>0</v>
      </c>
      <c r="CE16" s="104">
        <f t="shared" si="50"/>
        <v>0</v>
      </c>
      <c r="CF16" s="104">
        <f t="shared" si="51"/>
        <v>0</v>
      </c>
      <c r="CG16" s="104">
        <f t="shared" si="52"/>
        <v>0</v>
      </c>
      <c r="CH16" s="104">
        <f t="shared" si="53"/>
        <v>0</v>
      </c>
      <c r="CI16" s="104">
        <f t="shared" si="54"/>
        <v>0</v>
      </c>
      <c r="CJ16" s="443">
        <f t="shared" si="55"/>
        <v>3.4540265486452881</v>
      </c>
      <c r="CK16" s="104">
        <f t="shared" si="56"/>
        <v>0</v>
      </c>
      <c r="CL16" s="104">
        <f t="shared" si="57"/>
        <v>45.000000000207713</v>
      </c>
      <c r="CM16" s="104">
        <f t="shared" si="58"/>
        <v>0</v>
      </c>
      <c r="CN16" s="107">
        <f t="shared" si="59"/>
        <v>0</v>
      </c>
      <c r="CO16" s="107">
        <f t="shared" si="60"/>
        <v>0</v>
      </c>
      <c r="CP16" s="107">
        <f t="shared" si="61"/>
        <v>0</v>
      </c>
      <c r="CQ16" s="107">
        <f t="shared" si="62"/>
        <v>0</v>
      </c>
      <c r="CR16" s="107">
        <f t="shared" si="63"/>
        <v>0</v>
      </c>
      <c r="CS16" s="107">
        <f t="shared" si="64"/>
        <v>0</v>
      </c>
      <c r="CT16" s="444">
        <f t="shared" si="65"/>
        <v>0</v>
      </c>
      <c r="CU16" s="104">
        <f t="shared" si="66"/>
        <v>1</v>
      </c>
      <c r="CV16" s="104">
        <f t="shared" si="67"/>
        <v>0</v>
      </c>
      <c r="CW16" s="104">
        <f t="shared" si="94"/>
        <v>0</v>
      </c>
      <c r="CX16" s="104">
        <f t="shared" si="95"/>
        <v>0</v>
      </c>
      <c r="CY16" s="104">
        <f t="shared" si="96"/>
        <v>0</v>
      </c>
      <c r="CZ16" s="104">
        <f t="shared" si="97"/>
        <v>1</v>
      </c>
      <c r="DA16" s="104">
        <f t="shared" si="68"/>
        <v>1.0012558005196297</v>
      </c>
      <c r="DB16" s="111">
        <v>1.3</v>
      </c>
      <c r="DC16" s="111">
        <v>1.4</v>
      </c>
      <c r="DD16" s="111">
        <v>2</v>
      </c>
      <c r="DE16" s="111">
        <v>2</v>
      </c>
      <c r="DF16" s="111">
        <v>2</v>
      </c>
      <c r="DG16" s="108">
        <f t="shared" si="69"/>
        <v>0</v>
      </c>
      <c r="DH16" s="108">
        <f t="shared" si="70"/>
        <v>0</v>
      </c>
      <c r="DI16" s="108">
        <f t="shared" si="71"/>
        <v>0</v>
      </c>
      <c r="DJ16" s="108">
        <f t="shared" si="72"/>
        <v>0</v>
      </c>
      <c r="DK16" s="108">
        <f t="shared" si="73"/>
        <v>0</v>
      </c>
      <c r="DL16" s="108">
        <f t="shared" si="74"/>
        <v>0</v>
      </c>
      <c r="DM16" s="108">
        <f t="shared" si="75"/>
        <v>135.00000000062315</v>
      </c>
      <c r="DN16" s="108">
        <f t="shared" si="76"/>
        <v>135.00000000062315</v>
      </c>
      <c r="DO16" s="108">
        <f t="shared" si="77"/>
        <v>40.862389378264545</v>
      </c>
      <c r="DP16" s="108">
        <f t="shared" si="78"/>
        <v>0</v>
      </c>
      <c r="DQ16" s="445"/>
    </row>
    <row r="17" spans="1:121" s="112" customFormat="1" ht="25" x14ac:dyDescent="0.25">
      <c r="A17" s="99" t="s">
        <v>2026</v>
      </c>
      <c r="B17" s="100"/>
      <c r="C17" s="100" t="str">
        <f>'Planilha Hidráulica'!B21</f>
        <v>PV12.1-&gt;PV13.1</v>
      </c>
      <c r="D17" s="100">
        <f>'Planilha Hidráulica'!R21</f>
        <v>2.9147972967712121</v>
      </c>
      <c r="E17" s="100">
        <f>'Planilha Hidráulica'!S21</f>
        <v>3.1470541256726392</v>
      </c>
      <c r="F17" s="100">
        <f>'Planilha Hidráulica'!K21</f>
        <v>44.999999999760568</v>
      </c>
      <c r="G17" s="101">
        <f>'Planilha Hidráulica'!M21</f>
        <v>1500</v>
      </c>
      <c r="H17" s="102">
        <f t="shared" si="0"/>
        <v>3.5309257112219257</v>
      </c>
      <c r="I17" s="102">
        <f t="shared" si="1"/>
        <v>7.9445828502070626</v>
      </c>
      <c r="J17" s="103">
        <v>0</v>
      </c>
      <c r="K17" s="104">
        <f t="shared" si="79"/>
        <v>2.6</v>
      </c>
      <c r="L17" s="104">
        <f t="shared" si="80"/>
        <v>2.6</v>
      </c>
      <c r="M17" s="104">
        <f>'Planilha Hidráulica'!X21</f>
        <v>1200</v>
      </c>
      <c r="N17" s="104">
        <f t="shared" si="2"/>
        <v>116.99999999937748</v>
      </c>
      <c r="O17" s="105" t="str">
        <f>'Planilha Hidráulica'!W21</f>
        <v>ASFALTO</v>
      </c>
      <c r="P17" s="105" t="s">
        <v>2027</v>
      </c>
      <c r="Q17" s="105"/>
      <c r="R17" s="105">
        <v>2.5</v>
      </c>
      <c r="S17" s="105">
        <v>1.6</v>
      </c>
      <c r="T17" s="104">
        <f t="shared" si="3"/>
        <v>0.2</v>
      </c>
      <c r="U17" s="106">
        <f t="shared" si="4"/>
        <v>50.893800987883857</v>
      </c>
      <c r="V17" s="106">
        <f t="shared" si="5"/>
        <v>362.2245072228834</v>
      </c>
      <c r="W17" s="107">
        <f t="shared" si="6"/>
        <v>0</v>
      </c>
      <c r="X17" s="107">
        <f t="shared" si="7"/>
        <v>0</v>
      </c>
      <c r="Y17" s="107">
        <f t="shared" si="81"/>
        <v>2.5</v>
      </c>
      <c r="Z17" s="107">
        <f t="shared" si="82"/>
        <v>1.0309257112219257</v>
      </c>
      <c r="AA17" s="108">
        <f t="shared" si="83"/>
        <v>116.99999999937748</v>
      </c>
      <c r="AB17" s="108">
        <f t="shared" si="84"/>
        <v>0</v>
      </c>
      <c r="AC17" s="109">
        <f t="shared" si="8"/>
        <v>0</v>
      </c>
      <c r="AD17" s="109">
        <f t="shared" si="9"/>
        <v>0</v>
      </c>
      <c r="AE17" s="109">
        <f t="shared" si="85"/>
        <v>0</v>
      </c>
      <c r="AF17" s="109">
        <f t="shared" si="10"/>
        <v>0</v>
      </c>
      <c r="AG17" s="109">
        <f t="shared" si="11"/>
        <v>0</v>
      </c>
      <c r="AH17" s="109">
        <f t="shared" si="12"/>
        <v>0</v>
      </c>
      <c r="AI17" s="109">
        <f t="shared" si="13"/>
        <v>0</v>
      </c>
      <c r="AJ17" s="109">
        <f t="shared" si="14"/>
        <v>0</v>
      </c>
      <c r="AK17" s="109">
        <f t="shared" si="15"/>
        <v>0</v>
      </c>
      <c r="AL17" s="109">
        <f t="shared" si="16"/>
        <v>0</v>
      </c>
      <c r="AM17" s="109">
        <f t="shared" si="98"/>
        <v>0</v>
      </c>
      <c r="AN17" s="109">
        <f t="shared" si="99"/>
        <v>0</v>
      </c>
      <c r="AO17" s="109">
        <f t="shared" si="17"/>
        <v>233.99999999875496</v>
      </c>
      <c r="AP17" s="109">
        <f t="shared" si="18"/>
        <v>58.49999999968874</v>
      </c>
      <c r="AQ17" s="109">
        <f t="shared" si="19"/>
        <v>0</v>
      </c>
      <c r="AR17" s="104">
        <f t="shared" si="20"/>
        <v>69.724507224439719</v>
      </c>
      <c r="AS17" s="104">
        <f t="shared" si="21"/>
        <v>1.1585554267269911</v>
      </c>
      <c r="AT17" s="104">
        <f t="shared" si="22"/>
        <v>333.59674416719872</v>
      </c>
      <c r="AU17" s="102">
        <f t="shared" si="23"/>
        <v>0</v>
      </c>
      <c r="AV17" s="106">
        <f t="shared" si="24"/>
        <v>23.399999999875497</v>
      </c>
      <c r="AW17" s="104">
        <f t="shared" si="86"/>
        <v>0</v>
      </c>
      <c r="AX17" s="104">
        <f t="shared" si="25"/>
        <v>0</v>
      </c>
      <c r="AY17" s="104">
        <f t="shared" si="26"/>
        <v>1.8</v>
      </c>
      <c r="AZ17" s="104">
        <f t="shared" si="87"/>
        <v>131.07843595531097</v>
      </c>
      <c r="BA17" s="104">
        <f t="shared" si="88"/>
        <v>0</v>
      </c>
      <c r="BB17" s="104">
        <f t="shared" si="27"/>
        <v>17.549999999906621</v>
      </c>
      <c r="BC17" s="104">
        <f t="shared" si="89"/>
        <v>17.549999999906621</v>
      </c>
      <c r="BD17" s="104">
        <f t="shared" si="28"/>
        <v>3.5099999999813241</v>
      </c>
      <c r="BE17" s="104">
        <f t="shared" si="90"/>
        <v>144.01830821219903</v>
      </c>
      <c r="BF17" s="104">
        <f t="shared" si="91"/>
        <v>143.8715640432261</v>
      </c>
      <c r="BG17" s="104">
        <f t="shared" si="92"/>
        <v>143.8715640432261</v>
      </c>
      <c r="BH17" s="104">
        <f t="shared" si="29"/>
        <v>0</v>
      </c>
      <c r="BI17" s="104">
        <f t="shared" si="30"/>
        <v>0.14674416897292986</v>
      </c>
      <c r="BJ17" s="102">
        <f t="shared" si="93"/>
        <v>2.4867429739741112E-2</v>
      </c>
      <c r="BK17" s="104">
        <f t="shared" si="31"/>
        <v>0.12187673923318874</v>
      </c>
      <c r="BL17" s="104"/>
      <c r="BM17" s="104">
        <f t="shared" si="32"/>
        <v>0.70199999999626483</v>
      </c>
      <c r="BN17" s="108">
        <f t="shared" si="33"/>
        <v>0</v>
      </c>
      <c r="BO17" s="110">
        <f t="shared" si="34"/>
        <v>0</v>
      </c>
      <c r="BP17" s="110">
        <f t="shared" si="35"/>
        <v>0</v>
      </c>
      <c r="BQ17" s="110">
        <f t="shared" si="36"/>
        <v>0</v>
      </c>
      <c r="BR17" s="104">
        <f t="shared" si="37"/>
        <v>0</v>
      </c>
      <c r="BS17" s="104">
        <f t="shared" si="38"/>
        <v>0</v>
      </c>
      <c r="BT17" s="104">
        <f t="shared" si="39"/>
        <v>0</v>
      </c>
      <c r="BU17" s="104">
        <f t="shared" si="40"/>
        <v>0</v>
      </c>
      <c r="BV17" s="104">
        <f t="shared" si="41"/>
        <v>0</v>
      </c>
      <c r="BW17" s="104">
        <f t="shared" si="42"/>
        <v>0</v>
      </c>
      <c r="BX17" s="104">
        <f t="shared" si="43"/>
        <v>0</v>
      </c>
      <c r="BY17" s="104">
        <f t="shared" si="44"/>
        <v>0</v>
      </c>
      <c r="BZ17" s="104">
        <f t="shared" si="45"/>
        <v>0</v>
      </c>
      <c r="CA17" s="104">
        <f t="shared" si="46"/>
        <v>0</v>
      </c>
      <c r="CB17" s="104">
        <f t="shared" si="47"/>
        <v>0</v>
      </c>
      <c r="CC17" s="104">
        <f t="shared" si="48"/>
        <v>0</v>
      </c>
      <c r="CD17" s="104">
        <f t="shared" si="49"/>
        <v>0</v>
      </c>
      <c r="CE17" s="104">
        <f t="shared" si="50"/>
        <v>0</v>
      </c>
      <c r="CF17" s="104">
        <f t="shared" si="51"/>
        <v>0</v>
      </c>
      <c r="CG17" s="104">
        <f t="shared" si="52"/>
        <v>0</v>
      </c>
      <c r="CH17" s="104">
        <f t="shared" si="53"/>
        <v>0</v>
      </c>
      <c r="CI17" s="104">
        <f t="shared" si="54"/>
        <v>0</v>
      </c>
      <c r="CJ17" s="443">
        <f t="shared" si="55"/>
        <v>3.5309257112219257</v>
      </c>
      <c r="CK17" s="104">
        <f t="shared" si="56"/>
        <v>0</v>
      </c>
      <c r="CL17" s="104">
        <f t="shared" si="57"/>
        <v>44.999999999760568</v>
      </c>
      <c r="CM17" s="104">
        <f t="shared" si="58"/>
        <v>0</v>
      </c>
      <c r="CN17" s="107">
        <f t="shared" si="59"/>
        <v>0</v>
      </c>
      <c r="CO17" s="107">
        <f t="shared" si="60"/>
        <v>0</v>
      </c>
      <c r="CP17" s="107">
        <f t="shared" si="61"/>
        <v>0</v>
      </c>
      <c r="CQ17" s="107">
        <f t="shared" si="62"/>
        <v>0</v>
      </c>
      <c r="CR17" s="107">
        <f t="shared" si="63"/>
        <v>0</v>
      </c>
      <c r="CS17" s="107">
        <f t="shared" si="64"/>
        <v>0</v>
      </c>
      <c r="CT17" s="444">
        <f t="shared" si="65"/>
        <v>0</v>
      </c>
      <c r="CU17" s="104">
        <f t="shared" si="66"/>
        <v>1</v>
      </c>
      <c r="CV17" s="104">
        <f t="shared" si="67"/>
        <v>0</v>
      </c>
      <c r="CW17" s="104">
        <f t="shared" si="94"/>
        <v>0</v>
      </c>
      <c r="CX17" s="104">
        <f t="shared" si="95"/>
        <v>0</v>
      </c>
      <c r="CY17" s="104">
        <f t="shared" si="96"/>
        <v>0</v>
      </c>
      <c r="CZ17" s="104">
        <f t="shared" si="97"/>
        <v>1</v>
      </c>
      <c r="DA17" s="104">
        <f t="shared" si="68"/>
        <v>0.91479729677121213</v>
      </c>
      <c r="DB17" s="111">
        <v>1.3</v>
      </c>
      <c r="DC17" s="111">
        <v>1.4</v>
      </c>
      <c r="DD17" s="111">
        <v>2</v>
      </c>
      <c r="DE17" s="111">
        <v>2</v>
      </c>
      <c r="DF17" s="111">
        <v>2</v>
      </c>
      <c r="DG17" s="108">
        <f t="shared" si="69"/>
        <v>0</v>
      </c>
      <c r="DH17" s="108">
        <f t="shared" si="70"/>
        <v>0</v>
      </c>
      <c r="DI17" s="108">
        <f t="shared" si="71"/>
        <v>0</v>
      </c>
      <c r="DJ17" s="108">
        <f t="shared" si="72"/>
        <v>0</v>
      </c>
      <c r="DK17" s="108">
        <f t="shared" si="73"/>
        <v>0</v>
      </c>
      <c r="DL17" s="108">
        <f t="shared" si="74"/>
        <v>0</v>
      </c>
      <c r="DM17" s="108">
        <f t="shared" si="75"/>
        <v>134.9999999992817</v>
      </c>
      <c r="DN17" s="108">
        <f t="shared" si="76"/>
        <v>134.9999999992817</v>
      </c>
      <c r="DO17" s="108">
        <f t="shared" si="77"/>
        <v>47.783314009719071</v>
      </c>
      <c r="DP17" s="108">
        <f t="shared" si="78"/>
        <v>0</v>
      </c>
      <c r="DQ17" s="445"/>
    </row>
    <row r="18" spans="1:121" s="112" customFormat="1" ht="25" x14ac:dyDescent="0.25">
      <c r="A18" s="99" t="s">
        <v>2026</v>
      </c>
      <c r="B18" s="100"/>
      <c r="C18" s="100" t="str">
        <f>'Planilha Hidráulica'!B22</f>
        <v>PV13.1-&gt;PV14.1</v>
      </c>
      <c r="D18" s="100">
        <f>'Planilha Hidráulica'!R22</f>
        <v>3.1470541256726392</v>
      </c>
      <c r="E18" s="100">
        <f>'Planilha Hidráulica'!S22</f>
        <v>4.3</v>
      </c>
      <c r="F18" s="100">
        <f>'Planilha Hidráulica'!K22</f>
        <v>35.000000000026269</v>
      </c>
      <c r="G18" s="101">
        <f>'Planilha Hidráulica'!M22</f>
        <v>1500</v>
      </c>
      <c r="H18" s="102">
        <f t="shared" si="0"/>
        <v>4.22352706283632</v>
      </c>
      <c r="I18" s="102">
        <f t="shared" si="1"/>
        <v>7.391172359969107</v>
      </c>
      <c r="J18" s="103">
        <v>0</v>
      </c>
      <c r="K18" s="104">
        <f t="shared" si="79"/>
        <v>2.6</v>
      </c>
      <c r="L18" s="104">
        <f t="shared" si="80"/>
        <v>2.6</v>
      </c>
      <c r="M18" s="104">
        <f>'Planilha Hidráulica'!X22</f>
        <v>800</v>
      </c>
      <c r="N18" s="104">
        <f t="shared" si="2"/>
        <v>91.000000000068297</v>
      </c>
      <c r="O18" s="105" t="str">
        <f>'Planilha Hidráulica'!W22</f>
        <v>ASFALTO</v>
      </c>
      <c r="P18" s="105" t="s">
        <v>2027</v>
      </c>
      <c r="Q18" s="105"/>
      <c r="R18" s="105">
        <v>2.5</v>
      </c>
      <c r="S18" s="105">
        <v>1.6</v>
      </c>
      <c r="T18" s="104">
        <f t="shared" si="3"/>
        <v>0.2</v>
      </c>
      <c r="U18" s="106">
        <f t="shared" si="4"/>
        <v>17.592918860116047</v>
      </c>
      <c r="V18" s="106">
        <f t="shared" si="5"/>
        <v>366.74804385827747</v>
      </c>
      <c r="W18" s="107">
        <f t="shared" si="6"/>
        <v>0</v>
      </c>
      <c r="X18" s="107">
        <f t="shared" si="7"/>
        <v>0</v>
      </c>
      <c r="Y18" s="107">
        <f t="shared" si="81"/>
        <v>2.5</v>
      </c>
      <c r="Z18" s="107">
        <f t="shared" si="82"/>
        <v>1.72352706283632</v>
      </c>
      <c r="AA18" s="108">
        <f t="shared" si="83"/>
        <v>91.000000000068297</v>
      </c>
      <c r="AB18" s="108">
        <f t="shared" si="84"/>
        <v>0</v>
      </c>
      <c r="AC18" s="109">
        <f t="shared" si="8"/>
        <v>0</v>
      </c>
      <c r="AD18" s="109">
        <f t="shared" si="9"/>
        <v>0</v>
      </c>
      <c r="AE18" s="109">
        <f t="shared" si="85"/>
        <v>0</v>
      </c>
      <c r="AF18" s="109">
        <f t="shared" si="10"/>
        <v>0</v>
      </c>
      <c r="AG18" s="109">
        <f t="shared" si="11"/>
        <v>0</v>
      </c>
      <c r="AH18" s="109">
        <f t="shared" si="12"/>
        <v>0</v>
      </c>
      <c r="AI18" s="109">
        <f t="shared" si="13"/>
        <v>0</v>
      </c>
      <c r="AJ18" s="109">
        <f t="shared" si="14"/>
        <v>0</v>
      </c>
      <c r="AK18" s="109">
        <f t="shared" si="15"/>
        <v>0</v>
      </c>
      <c r="AL18" s="109">
        <f t="shared" si="16"/>
        <v>0</v>
      </c>
      <c r="AM18" s="109">
        <f t="shared" si="98"/>
        <v>0</v>
      </c>
      <c r="AN18" s="109">
        <f t="shared" si="99"/>
        <v>0</v>
      </c>
      <c r="AO18" s="109">
        <f t="shared" si="17"/>
        <v>182.00000000013659</v>
      </c>
      <c r="AP18" s="109">
        <f t="shared" si="18"/>
        <v>45.500000000034149</v>
      </c>
      <c r="AQ18" s="109">
        <f t="shared" si="19"/>
        <v>0</v>
      </c>
      <c r="AR18" s="104">
        <f t="shared" si="20"/>
        <v>139.24804385810671</v>
      </c>
      <c r="AS18" s="104">
        <f t="shared" si="21"/>
        <v>1.2243126293245348</v>
      </c>
      <c r="AT18" s="104">
        <f t="shared" si="22"/>
        <v>322.49085735079814</v>
      </c>
      <c r="AU18" s="102">
        <f t="shared" si="23"/>
        <v>0</v>
      </c>
      <c r="AV18" s="106">
        <f t="shared" si="24"/>
        <v>18.200000000013659</v>
      </c>
      <c r="AW18" s="104">
        <f t="shared" si="86"/>
        <v>0</v>
      </c>
      <c r="AX18" s="104">
        <f t="shared" si="25"/>
        <v>0</v>
      </c>
      <c r="AY18" s="104">
        <f t="shared" si="26"/>
        <v>1.8</v>
      </c>
      <c r="AZ18" s="104">
        <f t="shared" si="87"/>
        <v>101.94989463252749</v>
      </c>
      <c r="BA18" s="104">
        <f t="shared" si="88"/>
        <v>0</v>
      </c>
      <c r="BB18" s="104">
        <f t="shared" si="27"/>
        <v>13.650000000010245</v>
      </c>
      <c r="BC18" s="104">
        <f t="shared" si="89"/>
        <v>13.650000000010245</v>
      </c>
      <c r="BD18" s="104">
        <f t="shared" si="28"/>
        <v>2.730000000002049</v>
      </c>
      <c r="BE18" s="104">
        <f t="shared" si="90"/>
        <v>175.04096271823641</v>
      </c>
      <c r="BF18" s="104">
        <f t="shared" si="91"/>
        <v>111.90010536763303</v>
      </c>
      <c r="BG18" s="104">
        <f t="shared" si="92"/>
        <v>111.90010536763303</v>
      </c>
      <c r="BH18" s="104">
        <f t="shared" si="29"/>
        <v>0</v>
      </c>
      <c r="BI18" s="104">
        <f t="shared" si="30"/>
        <v>63.140857350603383</v>
      </c>
      <c r="BJ18" s="102">
        <f t="shared" si="93"/>
        <v>10.699919764190387</v>
      </c>
      <c r="BK18" s="104">
        <f t="shared" si="31"/>
        <v>52.440937586413</v>
      </c>
      <c r="BL18" s="104"/>
      <c r="BM18" s="104">
        <f t="shared" si="32"/>
        <v>0.54600000000040982</v>
      </c>
      <c r="BN18" s="108">
        <f t="shared" si="33"/>
        <v>0</v>
      </c>
      <c r="BO18" s="110">
        <f t="shared" si="34"/>
        <v>0</v>
      </c>
      <c r="BP18" s="110">
        <f t="shared" si="35"/>
        <v>0</v>
      </c>
      <c r="BQ18" s="110">
        <f t="shared" si="36"/>
        <v>0</v>
      </c>
      <c r="BR18" s="104">
        <f t="shared" si="37"/>
        <v>0</v>
      </c>
      <c r="BS18" s="104">
        <f t="shared" si="38"/>
        <v>0</v>
      </c>
      <c r="BT18" s="104">
        <f t="shared" si="39"/>
        <v>0</v>
      </c>
      <c r="BU18" s="104">
        <f t="shared" si="40"/>
        <v>0</v>
      </c>
      <c r="BV18" s="104">
        <f t="shared" si="41"/>
        <v>0</v>
      </c>
      <c r="BW18" s="104">
        <f t="shared" si="42"/>
        <v>0</v>
      </c>
      <c r="BX18" s="104">
        <f t="shared" si="43"/>
        <v>0</v>
      </c>
      <c r="BY18" s="104">
        <f t="shared" si="44"/>
        <v>0</v>
      </c>
      <c r="BZ18" s="104">
        <f t="shared" si="45"/>
        <v>0</v>
      </c>
      <c r="CA18" s="104">
        <f t="shared" si="46"/>
        <v>0</v>
      </c>
      <c r="CB18" s="104">
        <f t="shared" si="47"/>
        <v>0</v>
      </c>
      <c r="CC18" s="104">
        <f t="shared" si="48"/>
        <v>0</v>
      </c>
      <c r="CD18" s="104">
        <f t="shared" si="49"/>
        <v>0</v>
      </c>
      <c r="CE18" s="104">
        <f t="shared" si="50"/>
        <v>0</v>
      </c>
      <c r="CF18" s="104">
        <f t="shared" si="51"/>
        <v>0</v>
      </c>
      <c r="CG18" s="104">
        <f t="shared" si="52"/>
        <v>0</v>
      </c>
      <c r="CH18" s="104">
        <f t="shared" si="53"/>
        <v>0</v>
      </c>
      <c r="CI18" s="104">
        <f t="shared" si="54"/>
        <v>0</v>
      </c>
      <c r="CJ18" s="443">
        <f t="shared" si="55"/>
        <v>4.22352706283632</v>
      </c>
      <c r="CK18" s="104">
        <f t="shared" si="56"/>
        <v>0</v>
      </c>
      <c r="CL18" s="104">
        <f t="shared" si="57"/>
        <v>35.000000000026269</v>
      </c>
      <c r="CM18" s="104">
        <f t="shared" si="58"/>
        <v>0</v>
      </c>
      <c r="CN18" s="107">
        <f t="shared" si="59"/>
        <v>0</v>
      </c>
      <c r="CO18" s="107">
        <f t="shared" si="60"/>
        <v>0</v>
      </c>
      <c r="CP18" s="107">
        <f t="shared" si="61"/>
        <v>0</v>
      </c>
      <c r="CQ18" s="107">
        <f t="shared" si="62"/>
        <v>0</v>
      </c>
      <c r="CR18" s="107">
        <f t="shared" si="63"/>
        <v>0</v>
      </c>
      <c r="CS18" s="107">
        <f t="shared" si="64"/>
        <v>0</v>
      </c>
      <c r="CT18" s="444">
        <f t="shared" si="65"/>
        <v>0</v>
      </c>
      <c r="CU18" s="104">
        <f t="shared" si="66"/>
        <v>1</v>
      </c>
      <c r="CV18" s="104">
        <f t="shared" si="67"/>
        <v>0</v>
      </c>
      <c r="CW18" s="104">
        <f t="shared" si="94"/>
        <v>0</v>
      </c>
      <c r="CX18" s="104">
        <f t="shared" si="95"/>
        <v>0</v>
      </c>
      <c r="CY18" s="104">
        <f t="shared" si="96"/>
        <v>0</v>
      </c>
      <c r="CZ18" s="104">
        <f t="shared" si="97"/>
        <v>1</v>
      </c>
      <c r="DA18" s="104">
        <f t="shared" si="68"/>
        <v>1.1470541256726392</v>
      </c>
      <c r="DB18" s="111">
        <v>1.3</v>
      </c>
      <c r="DC18" s="111">
        <v>1.4</v>
      </c>
      <c r="DD18" s="111">
        <v>2</v>
      </c>
      <c r="DE18" s="111">
        <v>2</v>
      </c>
      <c r="DF18" s="111">
        <v>2</v>
      </c>
      <c r="DG18" s="108">
        <f t="shared" si="69"/>
        <v>0</v>
      </c>
      <c r="DH18" s="108">
        <f t="shared" si="70"/>
        <v>0</v>
      </c>
      <c r="DI18" s="108">
        <f t="shared" si="71"/>
        <v>0</v>
      </c>
      <c r="DJ18" s="108">
        <f t="shared" si="72"/>
        <v>0</v>
      </c>
      <c r="DK18" s="108">
        <f t="shared" si="73"/>
        <v>0</v>
      </c>
      <c r="DL18" s="108">
        <f t="shared" si="74"/>
        <v>0</v>
      </c>
      <c r="DM18" s="108">
        <f t="shared" si="75"/>
        <v>105.00000000007881</v>
      </c>
      <c r="DN18" s="108">
        <f t="shared" si="76"/>
        <v>105.00000000007881</v>
      </c>
      <c r="DO18" s="108">
        <f t="shared" si="77"/>
        <v>85.646894398606676</v>
      </c>
      <c r="DP18" s="108">
        <f t="shared" si="78"/>
        <v>0</v>
      </c>
      <c r="DQ18" s="445"/>
    </row>
    <row r="19" spans="1:121" s="112" customFormat="1" ht="25" x14ac:dyDescent="0.25">
      <c r="A19" s="99" t="s">
        <v>2028</v>
      </c>
      <c r="B19" s="100"/>
      <c r="C19" s="100" t="str">
        <f>'Planilha Hidráulica'!B23</f>
        <v>PV14.1-&gt;PV15.1</v>
      </c>
      <c r="D19" s="100">
        <f>'Planilha Hidráulica'!R23</f>
        <v>4.2999999999999545</v>
      </c>
      <c r="E19" s="100">
        <f>'Planilha Hidráulica'!S23</f>
        <v>4.2999999999999545</v>
      </c>
      <c r="F19" s="100">
        <f>'Planilha Hidráulica'!K23</f>
        <v>40.754029504077828</v>
      </c>
      <c r="G19" s="101">
        <f>'Planilha Hidráulica'!M23</f>
        <v>1500</v>
      </c>
      <c r="H19" s="102">
        <f t="shared" si="0"/>
        <v>4.7999999999999545</v>
      </c>
      <c r="I19" s="102">
        <f t="shared" si="1"/>
        <v>9.780967080978586</v>
      </c>
      <c r="J19" s="103">
        <v>0</v>
      </c>
      <c r="K19" s="104">
        <f t="shared" si="79"/>
        <v>2.6</v>
      </c>
      <c r="L19" s="104">
        <f t="shared" si="80"/>
        <v>2.6</v>
      </c>
      <c r="M19" s="104">
        <f>'Planilha Hidráulica'!X23</f>
        <v>1200</v>
      </c>
      <c r="N19" s="104">
        <f t="shared" si="2"/>
        <v>105.96047671060235</v>
      </c>
      <c r="O19" s="105" t="str">
        <f>'Planilha Hidráulica'!W23</f>
        <v>ASFALTO</v>
      </c>
      <c r="P19" s="105" t="s">
        <v>2027</v>
      </c>
      <c r="Q19" s="105"/>
      <c r="R19" s="105">
        <v>2.5</v>
      </c>
      <c r="S19" s="105">
        <v>1.6</v>
      </c>
      <c r="T19" s="104">
        <f t="shared" si="3"/>
        <v>0.2</v>
      </c>
      <c r="U19" s="106">
        <f t="shared" si="4"/>
        <v>46.091721489909332</v>
      </c>
      <c r="V19" s="106">
        <f t="shared" si="5"/>
        <v>462.51856672097711</v>
      </c>
      <c r="W19" s="107">
        <f t="shared" si="6"/>
        <v>0</v>
      </c>
      <c r="X19" s="107">
        <f t="shared" si="7"/>
        <v>0</v>
      </c>
      <c r="Y19" s="107">
        <f t="shared" si="81"/>
        <v>2.5</v>
      </c>
      <c r="Z19" s="107">
        <f t="shared" si="82"/>
        <v>2.2999999999999545</v>
      </c>
      <c r="AA19" s="108">
        <f t="shared" si="83"/>
        <v>105.96047671060235</v>
      </c>
      <c r="AB19" s="108">
        <f t="shared" si="84"/>
        <v>0</v>
      </c>
      <c r="AC19" s="109">
        <f t="shared" si="8"/>
        <v>0</v>
      </c>
      <c r="AD19" s="109">
        <f t="shared" si="9"/>
        <v>0</v>
      </c>
      <c r="AE19" s="109">
        <f t="shared" si="85"/>
        <v>0</v>
      </c>
      <c r="AF19" s="109">
        <f t="shared" si="10"/>
        <v>0</v>
      </c>
      <c r="AG19" s="109">
        <f t="shared" si="11"/>
        <v>0</v>
      </c>
      <c r="AH19" s="109">
        <f t="shared" si="12"/>
        <v>0</v>
      </c>
      <c r="AI19" s="109">
        <f t="shared" si="13"/>
        <v>0</v>
      </c>
      <c r="AJ19" s="109">
        <f t="shared" si="14"/>
        <v>0</v>
      </c>
      <c r="AK19" s="109">
        <f t="shared" si="15"/>
        <v>0</v>
      </c>
      <c r="AL19" s="109">
        <f t="shared" si="16"/>
        <v>0</v>
      </c>
      <c r="AM19" s="109">
        <f t="shared" si="98"/>
        <v>0</v>
      </c>
      <c r="AN19" s="109">
        <f t="shared" si="99"/>
        <v>0</v>
      </c>
      <c r="AO19" s="109">
        <f t="shared" si="17"/>
        <v>211.9209534212047</v>
      </c>
      <c r="AP19" s="109">
        <f t="shared" si="18"/>
        <v>52.980238355301175</v>
      </c>
      <c r="AQ19" s="109">
        <f t="shared" si="19"/>
        <v>0</v>
      </c>
      <c r="AR19" s="104">
        <f t="shared" si="20"/>
        <v>197.61737494447124</v>
      </c>
      <c r="AS19" s="104">
        <f t="shared" si="21"/>
        <v>1.7388385921739624</v>
      </c>
      <c r="AT19" s="104">
        <f t="shared" si="22"/>
        <v>436.59197338290312</v>
      </c>
      <c r="AU19" s="102">
        <f t="shared" si="23"/>
        <v>0</v>
      </c>
      <c r="AV19" s="106">
        <f t="shared" si="24"/>
        <v>21.192095342120471</v>
      </c>
      <c r="AW19" s="104">
        <f t="shared" si="86"/>
        <v>0</v>
      </c>
      <c r="AX19" s="104">
        <f t="shared" si="25"/>
        <v>0</v>
      </c>
      <c r="AY19" s="104">
        <f t="shared" si="26"/>
        <v>1.8</v>
      </c>
      <c r="AZ19" s="104">
        <f t="shared" si="87"/>
        <v>118.71054325110093</v>
      </c>
      <c r="BA19" s="104">
        <f t="shared" si="88"/>
        <v>0</v>
      </c>
      <c r="BB19" s="104">
        <f t="shared" si="27"/>
        <v>15.894071506590352</v>
      </c>
      <c r="BC19" s="104">
        <f t="shared" si="89"/>
        <v>15.894071506590352</v>
      </c>
      <c r="BD19" s="104">
        <f t="shared" si="28"/>
        <v>3.1788143013180705</v>
      </c>
      <c r="BE19" s="104">
        <f t="shared" si="90"/>
        <v>264.90119177650098</v>
      </c>
      <c r="BF19" s="104">
        <f t="shared" si="91"/>
        <v>130.29657701881456</v>
      </c>
      <c r="BG19" s="104">
        <f t="shared" si="92"/>
        <v>130.29657701881456</v>
      </c>
      <c r="BH19" s="104">
        <f t="shared" si="29"/>
        <v>0</v>
      </c>
      <c r="BI19" s="104">
        <f t="shared" si="30"/>
        <v>134.60461475768642</v>
      </c>
      <c r="BJ19" s="102">
        <f t="shared" si="93"/>
        <v>22.81024740921163</v>
      </c>
      <c r="BK19" s="104">
        <f t="shared" si="31"/>
        <v>111.79436734847479</v>
      </c>
      <c r="BL19" s="104"/>
      <c r="BM19" s="104">
        <f t="shared" si="32"/>
        <v>0.63576286026361406</v>
      </c>
      <c r="BN19" s="108">
        <f t="shared" si="33"/>
        <v>0</v>
      </c>
      <c r="BO19" s="110">
        <f t="shared" si="34"/>
        <v>0</v>
      </c>
      <c r="BP19" s="110">
        <f t="shared" si="35"/>
        <v>0</v>
      </c>
      <c r="BQ19" s="110">
        <f t="shared" si="36"/>
        <v>0</v>
      </c>
      <c r="BR19" s="104">
        <f t="shared" si="37"/>
        <v>0</v>
      </c>
      <c r="BS19" s="104">
        <f t="shared" si="38"/>
        <v>0</v>
      </c>
      <c r="BT19" s="104">
        <f t="shared" si="39"/>
        <v>0</v>
      </c>
      <c r="BU19" s="104">
        <f t="shared" si="40"/>
        <v>0</v>
      </c>
      <c r="BV19" s="104">
        <f t="shared" si="41"/>
        <v>0</v>
      </c>
      <c r="BW19" s="104">
        <f t="shared" si="42"/>
        <v>0</v>
      </c>
      <c r="BX19" s="104">
        <f t="shared" si="43"/>
        <v>0</v>
      </c>
      <c r="BY19" s="104">
        <f t="shared" si="44"/>
        <v>0</v>
      </c>
      <c r="BZ19" s="104">
        <f t="shared" si="45"/>
        <v>0</v>
      </c>
      <c r="CA19" s="104">
        <f t="shared" si="46"/>
        <v>0</v>
      </c>
      <c r="CB19" s="104">
        <f t="shared" si="47"/>
        <v>0</v>
      </c>
      <c r="CC19" s="104">
        <f t="shared" si="48"/>
        <v>0</v>
      </c>
      <c r="CD19" s="104">
        <f t="shared" si="49"/>
        <v>0</v>
      </c>
      <c r="CE19" s="104">
        <f t="shared" si="50"/>
        <v>0</v>
      </c>
      <c r="CF19" s="104">
        <f t="shared" si="51"/>
        <v>0</v>
      </c>
      <c r="CG19" s="104">
        <f t="shared" si="52"/>
        <v>0</v>
      </c>
      <c r="CH19" s="104">
        <f t="shared" si="53"/>
        <v>0</v>
      </c>
      <c r="CI19" s="104">
        <f t="shared" si="54"/>
        <v>0</v>
      </c>
      <c r="CJ19" s="443">
        <f t="shared" si="55"/>
        <v>4.7999999999999545</v>
      </c>
      <c r="CK19" s="104">
        <f t="shared" si="56"/>
        <v>0</v>
      </c>
      <c r="CL19" s="104">
        <f t="shared" si="57"/>
        <v>40.754029504077828</v>
      </c>
      <c r="CM19" s="104">
        <f t="shared" si="58"/>
        <v>0</v>
      </c>
      <c r="CN19" s="107">
        <f t="shared" si="59"/>
        <v>0</v>
      </c>
      <c r="CO19" s="107">
        <f t="shared" si="60"/>
        <v>0</v>
      </c>
      <c r="CP19" s="107">
        <f t="shared" si="61"/>
        <v>0</v>
      </c>
      <c r="CQ19" s="107">
        <f t="shared" si="62"/>
        <v>0</v>
      </c>
      <c r="CR19" s="107">
        <f t="shared" si="63"/>
        <v>0</v>
      </c>
      <c r="CS19" s="107">
        <f t="shared" si="64"/>
        <v>0</v>
      </c>
      <c r="CT19" s="444">
        <f t="shared" si="65"/>
        <v>0</v>
      </c>
      <c r="CU19" s="104">
        <f t="shared" si="66"/>
        <v>1</v>
      </c>
      <c r="CV19" s="104">
        <f t="shared" si="67"/>
        <v>0</v>
      </c>
      <c r="CW19" s="104">
        <f t="shared" si="94"/>
        <v>0</v>
      </c>
      <c r="CX19" s="104">
        <f t="shared" si="95"/>
        <v>0</v>
      </c>
      <c r="CY19" s="104">
        <f t="shared" si="96"/>
        <v>0</v>
      </c>
      <c r="CZ19" s="104">
        <f t="shared" si="97"/>
        <v>1</v>
      </c>
      <c r="DA19" s="104">
        <f t="shared" si="68"/>
        <v>2.2999999999999545</v>
      </c>
      <c r="DB19" s="111">
        <v>1.3</v>
      </c>
      <c r="DC19" s="111">
        <v>1.4</v>
      </c>
      <c r="DD19" s="111">
        <v>2</v>
      </c>
      <c r="DE19" s="111">
        <v>2</v>
      </c>
      <c r="DF19" s="111">
        <v>2</v>
      </c>
      <c r="DG19" s="108">
        <f t="shared" si="69"/>
        <v>0</v>
      </c>
      <c r="DH19" s="108">
        <f t="shared" si="70"/>
        <v>0</v>
      </c>
      <c r="DI19" s="108">
        <f t="shared" si="71"/>
        <v>0</v>
      </c>
      <c r="DJ19" s="108">
        <f t="shared" si="72"/>
        <v>0</v>
      </c>
      <c r="DK19" s="108">
        <f t="shared" si="73"/>
        <v>0</v>
      </c>
      <c r="DL19" s="108">
        <f t="shared" si="74"/>
        <v>0</v>
      </c>
      <c r="DM19" s="108">
        <f t="shared" si="75"/>
        <v>122.26208851223348</v>
      </c>
      <c r="DN19" s="108">
        <f t="shared" si="76"/>
        <v>122.26208851223348</v>
      </c>
      <c r="DO19" s="108">
        <f t="shared" si="77"/>
        <v>122.26208851223348</v>
      </c>
      <c r="DP19" s="108">
        <f t="shared" si="78"/>
        <v>24.45241770244299</v>
      </c>
      <c r="DQ19" s="445"/>
    </row>
    <row r="20" spans="1:121" s="112" customFormat="1" ht="25" x14ac:dyDescent="0.25">
      <c r="A20" s="99" t="s">
        <v>2028</v>
      </c>
      <c r="B20" s="100"/>
      <c r="C20" s="100" t="str">
        <f>'Planilha Hidráulica'!B24</f>
        <v>PV15.1-&gt;PV16.1</v>
      </c>
      <c r="D20" s="100">
        <f>'Planilha Hidráulica'!R24</f>
        <v>4.2999999999999545</v>
      </c>
      <c r="E20" s="100">
        <f>'Planilha Hidráulica'!S24</f>
        <v>4.0999999999999996</v>
      </c>
      <c r="F20" s="100">
        <f>'Planilha Hidráulica'!K24</f>
        <v>40.651832613638675</v>
      </c>
      <c r="G20" s="101">
        <f>'Planilha Hidráulica'!M24</f>
        <v>1500</v>
      </c>
      <c r="H20" s="102">
        <f t="shared" si="0"/>
        <v>4.6999999999999771</v>
      </c>
      <c r="I20" s="102">
        <f t="shared" si="1"/>
        <v>9.5531806642050423</v>
      </c>
      <c r="J20" s="103">
        <v>0</v>
      </c>
      <c r="K20" s="104">
        <f t="shared" si="79"/>
        <v>2.6</v>
      </c>
      <c r="L20" s="104">
        <f t="shared" si="80"/>
        <v>2.6</v>
      </c>
      <c r="M20" s="104">
        <f>'Planilha Hidráulica'!X24</f>
        <v>1200</v>
      </c>
      <c r="N20" s="104">
        <f t="shared" si="2"/>
        <v>105.69476479546056</v>
      </c>
      <c r="O20" s="105" t="str">
        <f>'Planilha Hidráulica'!W24</f>
        <v>ASFALTO</v>
      </c>
      <c r="P20" s="105" t="s">
        <v>2029</v>
      </c>
      <c r="Q20" s="105">
        <v>1</v>
      </c>
      <c r="R20" s="105">
        <v>11.84</v>
      </c>
      <c r="S20" s="105">
        <v>1.7</v>
      </c>
      <c r="T20" s="104">
        <f t="shared" si="3"/>
        <v>0.2</v>
      </c>
      <c r="U20" s="106">
        <f t="shared" si="4"/>
        <v>45.97613952982892</v>
      </c>
      <c r="V20" s="106">
        <f t="shared" si="5"/>
        <v>493.06716092701748</v>
      </c>
      <c r="W20" s="107">
        <f t="shared" si="6"/>
        <v>0</v>
      </c>
      <c r="X20" s="107">
        <f t="shared" si="7"/>
        <v>0.4</v>
      </c>
      <c r="Y20" s="107">
        <f t="shared" si="81"/>
        <v>4.6999999999999771</v>
      </c>
      <c r="Z20" s="107">
        <f t="shared" si="82"/>
        <v>0</v>
      </c>
      <c r="AA20" s="108">
        <f t="shared" si="83"/>
        <v>105.69476479546056</v>
      </c>
      <c r="AB20" s="108">
        <f t="shared" si="84"/>
        <v>0</v>
      </c>
      <c r="AC20" s="109">
        <f t="shared" si="8"/>
        <v>0</v>
      </c>
      <c r="AD20" s="109">
        <f t="shared" si="9"/>
        <v>0</v>
      </c>
      <c r="AE20" s="109">
        <f t="shared" si="85"/>
        <v>0</v>
      </c>
      <c r="AF20" s="109">
        <f t="shared" si="10"/>
        <v>0</v>
      </c>
      <c r="AG20" s="109">
        <f t="shared" si="11"/>
        <v>0</v>
      </c>
      <c r="AH20" s="109">
        <f t="shared" si="12"/>
        <v>0</v>
      </c>
      <c r="AI20" s="109">
        <f t="shared" si="13"/>
        <v>42.277905918184224</v>
      </c>
      <c r="AJ20" s="109">
        <f t="shared" si="14"/>
        <v>0</v>
      </c>
      <c r="AK20" s="109">
        <f t="shared" si="15"/>
        <v>0</v>
      </c>
      <c r="AL20" s="109">
        <f t="shared" si="16"/>
        <v>0</v>
      </c>
      <c r="AM20" s="109">
        <f t="shared" si="98"/>
        <v>0</v>
      </c>
      <c r="AN20" s="109">
        <f t="shared" si="99"/>
        <v>0</v>
      </c>
      <c r="AO20" s="109">
        <f t="shared" si="17"/>
        <v>211.38952959092111</v>
      </c>
      <c r="AP20" s="109">
        <f t="shared" si="18"/>
        <v>211.38952959092111</v>
      </c>
      <c r="AQ20" s="109">
        <f t="shared" si="19"/>
        <v>28.010195826991044</v>
      </c>
      <c r="AR20" s="104">
        <f t="shared" si="20"/>
        <v>0</v>
      </c>
      <c r="AS20" s="104">
        <f t="shared" si="21"/>
        <v>1.6260733045455344</v>
      </c>
      <c r="AT20" s="104">
        <f t="shared" si="22"/>
        <v>467.20558244148873</v>
      </c>
      <c r="AU20" s="102">
        <f t="shared" si="23"/>
        <v>0</v>
      </c>
      <c r="AV20" s="106">
        <f t="shared" si="24"/>
        <v>21.138952959092112</v>
      </c>
      <c r="AW20" s="104">
        <f t="shared" si="86"/>
        <v>42.277905918184224</v>
      </c>
      <c r="AX20" s="104">
        <f t="shared" si="25"/>
        <v>0</v>
      </c>
      <c r="AY20" s="104">
        <f t="shared" si="26"/>
        <v>1.8</v>
      </c>
      <c r="AZ20" s="104">
        <f t="shared" si="87"/>
        <v>118.41285861647135</v>
      </c>
      <c r="BA20" s="104">
        <f t="shared" si="88"/>
        <v>0</v>
      </c>
      <c r="BB20" s="104">
        <f t="shared" si="27"/>
        <v>15.854214719319083</v>
      </c>
      <c r="BC20" s="104">
        <f t="shared" si="89"/>
        <v>15.854214719319083</v>
      </c>
      <c r="BD20" s="104">
        <f t="shared" si="28"/>
        <v>3.1708429438638164</v>
      </c>
      <c r="BE20" s="104">
        <f t="shared" si="90"/>
        <v>253.66743550910286</v>
      </c>
      <c r="BF20" s="104">
        <f t="shared" si="91"/>
        <v>274.24427575485862</v>
      </c>
      <c r="BG20" s="104">
        <f t="shared" si="92"/>
        <v>253.66743550910286</v>
      </c>
      <c r="BH20" s="104">
        <f t="shared" si="29"/>
        <v>20.576840245755761</v>
      </c>
      <c r="BI20" s="104">
        <f t="shared" si="30"/>
        <v>0</v>
      </c>
      <c r="BJ20" s="102">
        <f t="shared" si="93"/>
        <v>0</v>
      </c>
      <c r="BK20" s="104">
        <f t="shared" si="31"/>
        <v>0</v>
      </c>
      <c r="BL20" s="104"/>
      <c r="BM20" s="104">
        <f t="shared" si="32"/>
        <v>2.3252848255001322</v>
      </c>
      <c r="BN20" s="108">
        <f t="shared" si="33"/>
        <v>0</v>
      </c>
      <c r="BO20" s="110">
        <f t="shared" si="34"/>
        <v>0</v>
      </c>
      <c r="BP20" s="110">
        <f t="shared" si="35"/>
        <v>0</v>
      </c>
      <c r="BQ20" s="110">
        <f t="shared" si="36"/>
        <v>0</v>
      </c>
      <c r="BR20" s="104">
        <f t="shared" si="37"/>
        <v>0</v>
      </c>
      <c r="BS20" s="104">
        <f t="shared" si="38"/>
        <v>0</v>
      </c>
      <c r="BT20" s="104">
        <f t="shared" si="39"/>
        <v>0</v>
      </c>
      <c r="BU20" s="104">
        <f t="shared" si="40"/>
        <v>0</v>
      </c>
      <c r="BV20" s="104">
        <f t="shared" si="41"/>
        <v>0</v>
      </c>
      <c r="BW20" s="104">
        <f t="shared" si="42"/>
        <v>0</v>
      </c>
      <c r="BX20" s="104">
        <f t="shared" si="43"/>
        <v>0</v>
      </c>
      <c r="BY20" s="104">
        <f t="shared" si="44"/>
        <v>0</v>
      </c>
      <c r="BZ20" s="104">
        <f t="shared" si="45"/>
        <v>0</v>
      </c>
      <c r="CA20" s="104">
        <f t="shared" si="46"/>
        <v>0</v>
      </c>
      <c r="CB20" s="104">
        <f t="shared" si="47"/>
        <v>0</v>
      </c>
      <c r="CC20" s="104">
        <f t="shared" si="48"/>
        <v>0</v>
      </c>
      <c r="CD20" s="104">
        <f t="shared" si="49"/>
        <v>0</v>
      </c>
      <c r="CE20" s="104">
        <f t="shared" si="50"/>
        <v>0</v>
      </c>
      <c r="CF20" s="104">
        <f t="shared" si="51"/>
        <v>0</v>
      </c>
      <c r="CG20" s="104">
        <f t="shared" si="52"/>
        <v>0</v>
      </c>
      <c r="CH20" s="104">
        <f t="shared" si="53"/>
        <v>0</v>
      </c>
      <c r="CI20" s="104">
        <f t="shared" si="54"/>
        <v>0</v>
      </c>
      <c r="CJ20" s="443">
        <f t="shared" si="55"/>
        <v>4.6999999999999771</v>
      </c>
      <c r="CK20" s="104">
        <f t="shared" si="56"/>
        <v>0</v>
      </c>
      <c r="CL20" s="104">
        <f t="shared" si="57"/>
        <v>40.651832613638675</v>
      </c>
      <c r="CM20" s="104">
        <f t="shared" si="58"/>
        <v>0</v>
      </c>
      <c r="CN20" s="107">
        <f t="shared" si="59"/>
        <v>0</v>
      </c>
      <c r="CO20" s="107">
        <f t="shared" si="60"/>
        <v>0</v>
      </c>
      <c r="CP20" s="107">
        <f t="shared" si="61"/>
        <v>0</v>
      </c>
      <c r="CQ20" s="107">
        <f t="shared" si="62"/>
        <v>0</v>
      </c>
      <c r="CR20" s="107">
        <f t="shared" si="63"/>
        <v>0</v>
      </c>
      <c r="CS20" s="107">
        <f t="shared" si="64"/>
        <v>0</v>
      </c>
      <c r="CT20" s="444">
        <f t="shared" si="65"/>
        <v>0</v>
      </c>
      <c r="CU20" s="104">
        <f t="shared" si="66"/>
        <v>1</v>
      </c>
      <c r="CV20" s="104">
        <f t="shared" si="67"/>
        <v>0</v>
      </c>
      <c r="CW20" s="104">
        <f t="shared" si="94"/>
        <v>0</v>
      </c>
      <c r="CX20" s="104">
        <f t="shared" si="95"/>
        <v>0</v>
      </c>
      <c r="CY20" s="104">
        <f t="shared" si="96"/>
        <v>0</v>
      </c>
      <c r="CZ20" s="104">
        <f t="shared" si="97"/>
        <v>1</v>
      </c>
      <c r="DA20" s="104">
        <f t="shared" si="68"/>
        <v>2.2999999999999545</v>
      </c>
      <c r="DB20" s="111">
        <v>1.3</v>
      </c>
      <c r="DC20" s="111">
        <v>1.4</v>
      </c>
      <c r="DD20" s="111">
        <v>2</v>
      </c>
      <c r="DE20" s="111">
        <v>2</v>
      </c>
      <c r="DF20" s="111">
        <v>2</v>
      </c>
      <c r="DG20" s="108">
        <f t="shared" si="69"/>
        <v>0</v>
      </c>
      <c r="DH20" s="108">
        <f t="shared" si="70"/>
        <v>0</v>
      </c>
      <c r="DI20" s="108">
        <f t="shared" si="71"/>
        <v>0</v>
      </c>
      <c r="DJ20" s="108">
        <f t="shared" si="72"/>
        <v>0</v>
      </c>
      <c r="DK20" s="108">
        <f t="shared" si="73"/>
        <v>0</v>
      </c>
      <c r="DL20" s="108">
        <f t="shared" si="74"/>
        <v>0</v>
      </c>
      <c r="DM20" s="108">
        <f t="shared" si="75"/>
        <v>121.95549784091602</v>
      </c>
      <c r="DN20" s="108">
        <f t="shared" si="76"/>
        <v>121.95549784091602</v>
      </c>
      <c r="DO20" s="108">
        <f t="shared" si="77"/>
        <v>121.95549784091602</v>
      </c>
      <c r="DP20" s="108">
        <f t="shared" si="78"/>
        <v>16.260733045453605</v>
      </c>
      <c r="DQ20" s="445"/>
    </row>
    <row r="21" spans="1:121" s="112" customFormat="1" ht="25" x14ac:dyDescent="0.25">
      <c r="A21" s="99" t="s">
        <v>2028</v>
      </c>
      <c r="B21" s="100"/>
      <c r="C21" s="100" t="str">
        <f>'Planilha Hidráulica'!B25</f>
        <v>PV16.1-&gt;PV17.1</v>
      </c>
      <c r="D21" s="100">
        <f>'Planilha Hidráulica'!R25</f>
        <v>4.1000000000000227</v>
      </c>
      <c r="E21" s="100">
        <f>'Planilha Hidráulica'!S25</f>
        <v>4.1000000000000227</v>
      </c>
      <c r="F21" s="100">
        <f>'Planilha Hidráulica'!K25</f>
        <v>35.661836258782998</v>
      </c>
      <c r="G21" s="101">
        <f>'Planilha Hidráulica'!M25</f>
        <v>1500</v>
      </c>
      <c r="H21" s="102">
        <f t="shared" si="0"/>
        <v>4.6000000000000227</v>
      </c>
      <c r="I21" s="102">
        <f t="shared" si="1"/>
        <v>8.2022223395201301</v>
      </c>
      <c r="J21" s="103">
        <v>0</v>
      </c>
      <c r="K21" s="104">
        <f t="shared" si="79"/>
        <v>2.6</v>
      </c>
      <c r="L21" s="104">
        <f t="shared" si="80"/>
        <v>2.6</v>
      </c>
      <c r="M21" s="104">
        <f>'Planilha Hidráulica'!X25</f>
        <v>1200</v>
      </c>
      <c r="N21" s="104">
        <f t="shared" si="2"/>
        <v>92.720774272835797</v>
      </c>
      <c r="O21" s="105" t="str">
        <f>'Planilha Hidráulica'!W25</f>
        <v>ASFALTO</v>
      </c>
      <c r="P21" s="105" t="s">
        <v>2029</v>
      </c>
      <c r="Q21" s="105">
        <v>1</v>
      </c>
      <c r="R21" s="105">
        <v>11.84</v>
      </c>
      <c r="S21" s="105">
        <v>1.7</v>
      </c>
      <c r="T21" s="104">
        <f t="shared" si="3"/>
        <v>0.2</v>
      </c>
      <c r="U21" s="106">
        <f t="shared" si="4"/>
        <v>40.332586609481325</v>
      </c>
      <c r="V21" s="106">
        <f t="shared" si="5"/>
        <v>423.27128475469976</v>
      </c>
      <c r="W21" s="107">
        <f t="shared" si="6"/>
        <v>0</v>
      </c>
      <c r="X21" s="107">
        <f t="shared" si="7"/>
        <v>0.4</v>
      </c>
      <c r="Y21" s="107">
        <f t="shared" si="81"/>
        <v>4.6000000000000227</v>
      </c>
      <c r="Z21" s="107">
        <f t="shared" si="82"/>
        <v>0</v>
      </c>
      <c r="AA21" s="108">
        <f t="shared" si="83"/>
        <v>92.720774272835797</v>
      </c>
      <c r="AB21" s="108">
        <f t="shared" si="84"/>
        <v>0</v>
      </c>
      <c r="AC21" s="109">
        <f t="shared" si="8"/>
        <v>0</v>
      </c>
      <c r="AD21" s="109">
        <f t="shared" si="9"/>
        <v>0</v>
      </c>
      <c r="AE21" s="109">
        <f t="shared" si="85"/>
        <v>0</v>
      </c>
      <c r="AF21" s="109">
        <f t="shared" si="10"/>
        <v>0</v>
      </c>
      <c r="AG21" s="109">
        <f t="shared" si="11"/>
        <v>0</v>
      </c>
      <c r="AH21" s="109">
        <f t="shared" si="12"/>
        <v>0</v>
      </c>
      <c r="AI21" s="109">
        <f t="shared" si="13"/>
        <v>37.088309709134322</v>
      </c>
      <c r="AJ21" s="109">
        <f t="shared" si="14"/>
        <v>0</v>
      </c>
      <c r="AK21" s="109">
        <f t="shared" si="15"/>
        <v>0</v>
      </c>
      <c r="AL21" s="109">
        <f t="shared" si="16"/>
        <v>0</v>
      </c>
      <c r="AM21" s="109">
        <f t="shared" si="98"/>
        <v>0</v>
      </c>
      <c r="AN21" s="109">
        <f t="shared" si="99"/>
        <v>0</v>
      </c>
      <c r="AO21" s="109">
        <f t="shared" si="17"/>
        <v>185.44154854567159</v>
      </c>
      <c r="AP21" s="109">
        <f t="shared" si="18"/>
        <v>185.44154854567159</v>
      </c>
      <c r="AQ21" s="109">
        <f t="shared" si="19"/>
        <v>15.299877954222261</v>
      </c>
      <c r="AR21" s="104">
        <f t="shared" si="20"/>
        <v>0</v>
      </c>
      <c r="AS21" s="104">
        <f t="shared" si="21"/>
        <v>1.3789243353396199</v>
      </c>
      <c r="AT21" s="104">
        <f t="shared" si="22"/>
        <v>400.58420478686651</v>
      </c>
      <c r="AU21" s="102">
        <f t="shared" si="23"/>
        <v>0</v>
      </c>
      <c r="AV21" s="106">
        <f t="shared" si="24"/>
        <v>18.544154854567161</v>
      </c>
      <c r="AW21" s="104">
        <f t="shared" si="86"/>
        <v>37.088309709134322</v>
      </c>
      <c r="AX21" s="104">
        <f t="shared" si="25"/>
        <v>0</v>
      </c>
      <c r="AY21" s="104">
        <f t="shared" si="26"/>
        <v>1.8</v>
      </c>
      <c r="AZ21" s="104">
        <f t="shared" si="87"/>
        <v>103.87772711378989</v>
      </c>
      <c r="BA21" s="104">
        <f t="shared" si="88"/>
        <v>0</v>
      </c>
      <c r="BB21" s="104">
        <f t="shared" si="27"/>
        <v>13.908116140925369</v>
      </c>
      <c r="BC21" s="104">
        <f t="shared" si="89"/>
        <v>13.908116140925369</v>
      </c>
      <c r="BD21" s="104">
        <f t="shared" si="28"/>
        <v>2.7816232281850737</v>
      </c>
      <c r="BE21" s="104">
        <f t="shared" si="90"/>
        <v>213.25778082752441</v>
      </c>
      <c r="BF21" s="104">
        <f t="shared" si="91"/>
        <v>231.3088220817159</v>
      </c>
      <c r="BG21" s="104">
        <f t="shared" si="92"/>
        <v>213.25778082752441</v>
      </c>
      <c r="BH21" s="104">
        <f t="shared" ref="BH21" si="100">IF(BF21-BG21&lt;0,0,BF21-BG21)</f>
        <v>18.051041254191489</v>
      </c>
      <c r="BI21" s="104">
        <f t="shared" si="30"/>
        <v>0</v>
      </c>
      <c r="BJ21" s="102">
        <f t="shared" si="93"/>
        <v>0</v>
      </c>
      <c r="BK21" s="104">
        <f t="shared" si="31"/>
        <v>0</v>
      </c>
      <c r="BL21" s="104"/>
      <c r="BM21" s="104">
        <f t="shared" si="32"/>
        <v>2.0398570340023876</v>
      </c>
      <c r="BN21" s="108">
        <f t="shared" si="33"/>
        <v>0</v>
      </c>
      <c r="BO21" s="110">
        <f t="shared" si="34"/>
        <v>0</v>
      </c>
      <c r="BP21" s="110">
        <f t="shared" si="35"/>
        <v>0</v>
      </c>
      <c r="BQ21" s="110">
        <f t="shared" si="36"/>
        <v>0</v>
      </c>
      <c r="BR21" s="104">
        <f t="shared" si="37"/>
        <v>0</v>
      </c>
      <c r="BS21" s="104">
        <f t="shared" si="38"/>
        <v>0</v>
      </c>
      <c r="BT21" s="104">
        <f t="shared" si="39"/>
        <v>0</v>
      </c>
      <c r="BU21" s="104">
        <f t="shared" si="40"/>
        <v>0</v>
      </c>
      <c r="BV21" s="104">
        <f t="shared" si="41"/>
        <v>0</v>
      </c>
      <c r="BW21" s="104">
        <f t="shared" si="42"/>
        <v>0</v>
      </c>
      <c r="BX21" s="104">
        <f t="shared" si="43"/>
        <v>0</v>
      </c>
      <c r="BY21" s="104">
        <f t="shared" si="44"/>
        <v>0</v>
      </c>
      <c r="BZ21" s="104">
        <f t="shared" si="45"/>
        <v>0</v>
      </c>
      <c r="CA21" s="104">
        <f t="shared" si="46"/>
        <v>0</v>
      </c>
      <c r="CB21" s="104">
        <f t="shared" si="47"/>
        <v>0</v>
      </c>
      <c r="CC21" s="104">
        <f t="shared" si="48"/>
        <v>0</v>
      </c>
      <c r="CD21" s="104">
        <f t="shared" si="49"/>
        <v>0</v>
      </c>
      <c r="CE21" s="104">
        <f t="shared" si="50"/>
        <v>0</v>
      </c>
      <c r="CF21" s="104">
        <f t="shared" si="51"/>
        <v>0</v>
      </c>
      <c r="CG21" s="104">
        <f t="shared" si="52"/>
        <v>0</v>
      </c>
      <c r="CH21" s="104">
        <f t="shared" si="53"/>
        <v>0</v>
      </c>
      <c r="CI21" s="104">
        <f t="shared" si="54"/>
        <v>0</v>
      </c>
      <c r="CJ21" s="443">
        <f t="shared" si="55"/>
        <v>4.6000000000000227</v>
      </c>
      <c r="CK21" s="104">
        <f t="shared" si="56"/>
        <v>0</v>
      </c>
      <c r="CL21" s="104">
        <f t="shared" si="57"/>
        <v>35.661836258782998</v>
      </c>
      <c r="CM21" s="104">
        <f t="shared" si="58"/>
        <v>0</v>
      </c>
      <c r="CN21" s="107">
        <f t="shared" si="59"/>
        <v>0</v>
      </c>
      <c r="CO21" s="107">
        <f t="shared" si="60"/>
        <v>0</v>
      </c>
      <c r="CP21" s="107">
        <f t="shared" si="61"/>
        <v>0</v>
      </c>
      <c r="CQ21" s="107">
        <f t="shared" si="62"/>
        <v>0</v>
      </c>
      <c r="CR21" s="107">
        <f t="shared" si="63"/>
        <v>0</v>
      </c>
      <c r="CS21" s="107">
        <f t="shared" si="64"/>
        <v>0</v>
      </c>
      <c r="CT21" s="444">
        <f t="shared" si="65"/>
        <v>0</v>
      </c>
      <c r="CU21" s="104">
        <f t="shared" si="66"/>
        <v>1</v>
      </c>
      <c r="CV21" s="104">
        <f t="shared" si="67"/>
        <v>0</v>
      </c>
      <c r="CW21" s="104">
        <f t="shared" si="94"/>
        <v>0</v>
      </c>
      <c r="CX21" s="104">
        <f t="shared" si="95"/>
        <v>0</v>
      </c>
      <c r="CY21" s="104">
        <f t="shared" si="96"/>
        <v>0</v>
      </c>
      <c r="CZ21" s="104">
        <f t="shared" si="97"/>
        <v>1</v>
      </c>
      <c r="DA21" s="104">
        <f t="shared" si="68"/>
        <v>2.1000000000000227</v>
      </c>
      <c r="DB21" s="111">
        <v>1.3</v>
      </c>
      <c r="DC21" s="111">
        <v>1.4</v>
      </c>
      <c r="DD21" s="111">
        <v>2</v>
      </c>
      <c r="DE21" s="111">
        <v>2</v>
      </c>
      <c r="DF21" s="111">
        <v>2</v>
      </c>
      <c r="DG21" s="108">
        <f t="shared" si="69"/>
        <v>0</v>
      </c>
      <c r="DH21" s="108">
        <f t="shared" si="70"/>
        <v>0</v>
      </c>
      <c r="DI21" s="108">
        <f t="shared" si="71"/>
        <v>0</v>
      </c>
      <c r="DJ21" s="108">
        <f t="shared" si="72"/>
        <v>0</v>
      </c>
      <c r="DK21" s="108">
        <f t="shared" si="73"/>
        <v>0</v>
      </c>
      <c r="DL21" s="108">
        <f t="shared" si="74"/>
        <v>0</v>
      </c>
      <c r="DM21" s="108">
        <f t="shared" si="75"/>
        <v>106.98550877634899</v>
      </c>
      <c r="DN21" s="108">
        <f t="shared" si="76"/>
        <v>106.98550877634899</v>
      </c>
      <c r="DO21" s="108">
        <f t="shared" si="77"/>
        <v>106.98550877634899</v>
      </c>
      <c r="DP21" s="108">
        <f t="shared" si="78"/>
        <v>7.1323672517582208</v>
      </c>
      <c r="DQ21" s="445"/>
    </row>
    <row r="22" spans="1:121" s="112" customFormat="1" ht="25" x14ac:dyDescent="0.25">
      <c r="A22" s="99" t="s">
        <v>2028</v>
      </c>
      <c r="B22" s="100"/>
      <c r="C22" s="100" t="str">
        <f>'Planilha Hidráulica'!B26</f>
        <v>PV17.1-&gt;PV18.1</v>
      </c>
      <c r="D22" s="100">
        <f>'Planilha Hidráulica'!R26</f>
        <v>4.1000000000000227</v>
      </c>
      <c r="E22" s="100">
        <f>'Planilha Hidráulica'!S26</f>
        <v>3.82</v>
      </c>
      <c r="F22" s="100">
        <f>'Planilha Hidráulica'!K26</f>
        <v>40.804705525221785</v>
      </c>
      <c r="G22" s="101">
        <f>'Planilha Hidráulica'!M26</f>
        <v>1500</v>
      </c>
      <c r="H22" s="102">
        <f t="shared" si="0"/>
        <v>4.4600000000000115</v>
      </c>
      <c r="I22" s="102">
        <f t="shared" si="1"/>
        <v>9.0994493321244825</v>
      </c>
      <c r="J22" s="103">
        <v>0</v>
      </c>
      <c r="K22" s="104">
        <f t="shared" si="79"/>
        <v>2.6</v>
      </c>
      <c r="L22" s="104">
        <f t="shared" si="80"/>
        <v>2.6</v>
      </c>
      <c r="M22" s="104">
        <f>'Planilha Hidráulica'!X26</f>
        <v>1500</v>
      </c>
      <c r="N22" s="104">
        <f t="shared" si="2"/>
        <v>106.09223436557664</v>
      </c>
      <c r="O22" s="105" t="str">
        <f>'Planilha Hidráulica'!W26</f>
        <v>ASFALTO</v>
      </c>
      <c r="P22" s="105" t="s">
        <v>2029</v>
      </c>
      <c r="Q22" s="105">
        <v>1</v>
      </c>
      <c r="R22" s="105">
        <v>11.84</v>
      </c>
      <c r="S22" s="105">
        <v>1.7</v>
      </c>
      <c r="T22" s="104">
        <f t="shared" si="3"/>
        <v>0.2</v>
      </c>
      <c r="U22" s="106">
        <f t="shared" si="4"/>
        <v>72.107866749336523</v>
      </c>
      <c r="V22" s="106">
        <f t="shared" si="5"/>
        <v>443.50039226736726</v>
      </c>
      <c r="W22" s="107">
        <f t="shared" si="6"/>
        <v>0</v>
      </c>
      <c r="X22" s="107">
        <f t="shared" si="7"/>
        <v>0.4</v>
      </c>
      <c r="Y22" s="107">
        <f t="shared" si="81"/>
        <v>4.4600000000000115</v>
      </c>
      <c r="Z22" s="107">
        <f t="shared" si="82"/>
        <v>0</v>
      </c>
      <c r="AA22" s="108">
        <f t="shared" si="83"/>
        <v>106.09223436557664</v>
      </c>
      <c r="AB22" s="108">
        <f t="shared" si="84"/>
        <v>0</v>
      </c>
      <c r="AC22" s="109">
        <f t="shared" si="8"/>
        <v>0</v>
      </c>
      <c r="AD22" s="109">
        <f t="shared" si="9"/>
        <v>0</v>
      </c>
      <c r="AE22" s="109">
        <f t="shared" si="85"/>
        <v>0</v>
      </c>
      <c r="AF22" s="109">
        <f t="shared" si="10"/>
        <v>0</v>
      </c>
      <c r="AG22" s="109">
        <f t="shared" si="11"/>
        <v>0</v>
      </c>
      <c r="AH22" s="109">
        <f t="shared" si="12"/>
        <v>0</v>
      </c>
      <c r="AI22" s="109">
        <f t="shared" si="13"/>
        <v>42.436893746230659</v>
      </c>
      <c r="AJ22" s="109">
        <f t="shared" si="14"/>
        <v>0</v>
      </c>
      <c r="AK22" s="109">
        <f t="shared" si="15"/>
        <v>0</v>
      </c>
      <c r="AL22" s="109">
        <f t="shared" si="16"/>
        <v>0</v>
      </c>
      <c r="AM22" s="109">
        <f t="shared" si="98"/>
        <v>0</v>
      </c>
      <c r="AN22" s="109">
        <f t="shared" si="99"/>
        <v>0</v>
      </c>
      <c r="AO22" s="109">
        <f t="shared" si="17"/>
        <v>212.18446873115329</v>
      </c>
      <c r="AP22" s="109">
        <f>IF(IF(K22&gt;2.5,IF(Y22&gt;=4,L22*F22*2,K22*F22*(Y22-2)),0)&lt;0,0,IF(K22&gt;2.5,IF(Y22&gt;=4,L22*F22*2,K22*F22*(Y22-2)),0))-U22</f>
        <v>140.07660198181676</v>
      </c>
      <c r="AQ22" s="109">
        <f>IF(IF(K22&gt;2.5,IF(Y22&gt;=6,L22*F22*2,K22*F22*(Y22-4)),0)&lt;0,0,IF(K22&gt;2.5,IF(Y22&gt;=6,L22*F22*2,K22*F22*(Y22-4)),0))</f>
        <v>48.802427808166478</v>
      </c>
      <c r="AR22" s="104">
        <f t="shared" si="20"/>
        <v>0</v>
      </c>
      <c r="AS22" s="104">
        <f t="shared" si="21"/>
        <v>1.5016131633281677</v>
      </c>
      <c r="AT22" s="104">
        <f t="shared" si="22"/>
        <v>443.50039226736726</v>
      </c>
      <c r="AU22" s="102">
        <f t="shared" si="23"/>
        <v>0</v>
      </c>
      <c r="AV22" s="106">
        <f t="shared" si="24"/>
        <v>21.21844687311533</v>
      </c>
      <c r="AW22" s="104">
        <f t="shared" si="86"/>
        <v>42.436893746230659</v>
      </c>
      <c r="AX22" s="104">
        <f t="shared" si="25"/>
        <v>0</v>
      </c>
      <c r="AY22" s="104">
        <f t="shared" si="26"/>
        <v>1.8</v>
      </c>
      <c r="AZ22" s="104">
        <f t="shared" si="87"/>
        <v>118.85815510870145</v>
      </c>
      <c r="BA22" s="104">
        <f t="shared" si="88"/>
        <v>0</v>
      </c>
      <c r="BB22" s="104">
        <f t="shared" si="27"/>
        <v>15.913835154836496</v>
      </c>
      <c r="BC22" s="104">
        <f t="shared" si="89"/>
        <v>15.913835154836496</v>
      </c>
      <c r="BD22" s="104">
        <f t="shared" si="28"/>
        <v>3.1827670309672991</v>
      </c>
      <c r="BE22" s="104">
        <f t="shared" si="90"/>
        <v>229.15922622964683</v>
      </c>
      <c r="BF22" s="104">
        <f t="shared" si="91"/>
        <v>223.85461451136797</v>
      </c>
      <c r="BG22" s="104">
        <f t="shared" si="92"/>
        <v>223.85461451136797</v>
      </c>
      <c r="BH22" s="104">
        <f t="shared" ref="BH22" si="101">BF22-BG22</f>
        <v>0</v>
      </c>
      <c r="BI22" s="104">
        <f t="shared" si="30"/>
        <v>5.3046117182788635</v>
      </c>
      <c r="BJ22" s="102">
        <f t="shared" si="93"/>
        <v>0.89892538915969511</v>
      </c>
      <c r="BK22" s="104">
        <f t="shared" si="31"/>
        <v>4.4056863291191686</v>
      </c>
      <c r="BL22" s="104"/>
      <c r="BM22" s="104">
        <f t="shared" si="32"/>
        <v>2.3340291560426865</v>
      </c>
      <c r="BN22" s="108">
        <f t="shared" si="33"/>
        <v>0</v>
      </c>
      <c r="BO22" s="110">
        <f t="shared" si="34"/>
        <v>0</v>
      </c>
      <c r="BP22" s="110">
        <f t="shared" si="35"/>
        <v>0</v>
      </c>
      <c r="BQ22" s="110">
        <f t="shared" si="36"/>
        <v>0</v>
      </c>
      <c r="BR22" s="104">
        <f t="shared" si="37"/>
        <v>0</v>
      </c>
      <c r="BS22" s="104">
        <f t="shared" si="38"/>
        <v>0</v>
      </c>
      <c r="BT22" s="104">
        <f t="shared" si="39"/>
        <v>0</v>
      </c>
      <c r="BU22" s="104">
        <f t="shared" si="40"/>
        <v>0</v>
      </c>
      <c r="BV22" s="104">
        <f t="shared" si="41"/>
        <v>0</v>
      </c>
      <c r="BW22" s="104">
        <f t="shared" si="42"/>
        <v>0</v>
      </c>
      <c r="BX22" s="104">
        <f t="shared" si="43"/>
        <v>0</v>
      </c>
      <c r="BY22" s="104">
        <f t="shared" si="44"/>
        <v>0</v>
      </c>
      <c r="BZ22" s="104">
        <f t="shared" si="45"/>
        <v>0</v>
      </c>
      <c r="CA22" s="104">
        <f t="shared" si="46"/>
        <v>0</v>
      </c>
      <c r="CB22" s="104">
        <f t="shared" si="47"/>
        <v>0</v>
      </c>
      <c r="CC22" s="104">
        <f t="shared" si="48"/>
        <v>0</v>
      </c>
      <c r="CD22" s="104">
        <f t="shared" si="49"/>
        <v>0</v>
      </c>
      <c r="CE22" s="104">
        <f t="shared" si="50"/>
        <v>0</v>
      </c>
      <c r="CF22" s="104">
        <f t="shared" si="51"/>
        <v>0</v>
      </c>
      <c r="CG22" s="104">
        <f t="shared" si="52"/>
        <v>0</v>
      </c>
      <c r="CH22" s="104">
        <f t="shared" si="53"/>
        <v>0</v>
      </c>
      <c r="CI22" s="104">
        <f t="shared" si="54"/>
        <v>0</v>
      </c>
      <c r="CJ22" s="443">
        <f t="shared" si="55"/>
        <v>4.4600000000000115</v>
      </c>
      <c r="CK22" s="104">
        <f t="shared" si="56"/>
        <v>0</v>
      </c>
      <c r="CL22" s="104">
        <f t="shared" si="57"/>
        <v>40.804705525221785</v>
      </c>
      <c r="CM22" s="104">
        <f t="shared" si="58"/>
        <v>0</v>
      </c>
      <c r="CN22" s="107">
        <f t="shared" si="59"/>
        <v>0</v>
      </c>
      <c r="CO22" s="107">
        <f t="shared" si="60"/>
        <v>0</v>
      </c>
      <c r="CP22" s="107">
        <f t="shared" si="61"/>
        <v>0</v>
      </c>
      <c r="CQ22" s="107">
        <f t="shared" si="62"/>
        <v>0</v>
      </c>
      <c r="CR22" s="107">
        <f t="shared" si="63"/>
        <v>0</v>
      </c>
      <c r="CS22" s="107">
        <f t="shared" si="64"/>
        <v>0</v>
      </c>
      <c r="CT22" s="444">
        <f t="shared" si="65"/>
        <v>0</v>
      </c>
      <c r="CU22" s="104">
        <f t="shared" si="66"/>
        <v>1</v>
      </c>
      <c r="CV22" s="104">
        <f t="shared" si="67"/>
        <v>0</v>
      </c>
      <c r="CW22" s="104">
        <f t="shared" si="94"/>
        <v>0</v>
      </c>
      <c r="CX22" s="104">
        <f t="shared" si="95"/>
        <v>0</v>
      </c>
      <c r="CY22" s="104">
        <f t="shared" si="96"/>
        <v>0</v>
      </c>
      <c r="CZ22" s="104">
        <f t="shared" si="97"/>
        <v>1</v>
      </c>
      <c r="DA22" s="104">
        <f t="shared" si="68"/>
        <v>2.1000000000000227</v>
      </c>
      <c r="DB22" s="111">
        <v>1.3</v>
      </c>
      <c r="DC22" s="111">
        <v>1.4</v>
      </c>
      <c r="DD22" s="111">
        <v>2</v>
      </c>
      <c r="DE22" s="111">
        <v>2</v>
      </c>
      <c r="DF22" s="111">
        <v>2</v>
      </c>
      <c r="DG22" s="108">
        <f t="shared" si="69"/>
        <v>0</v>
      </c>
      <c r="DH22" s="108">
        <f t="shared" si="70"/>
        <v>0</v>
      </c>
      <c r="DI22" s="108">
        <f t="shared" si="71"/>
        <v>0</v>
      </c>
      <c r="DJ22" s="108">
        <f t="shared" si="72"/>
        <v>0</v>
      </c>
      <c r="DK22" s="108">
        <f t="shared" si="73"/>
        <v>0</v>
      </c>
      <c r="DL22" s="108">
        <f t="shared" si="74"/>
        <v>0</v>
      </c>
      <c r="DM22" s="108">
        <f t="shared" si="75"/>
        <v>122.41411657566536</v>
      </c>
      <c r="DN22" s="108">
        <f t="shared" si="76"/>
        <v>122.41411657566536</v>
      </c>
      <c r="DO22" s="108">
        <f t="shared" si="77"/>
        <v>119.14974013364855</v>
      </c>
      <c r="DP22" s="108">
        <f t="shared" si="78"/>
        <v>0</v>
      </c>
      <c r="DQ22" s="445"/>
    </row>
    <row r="23" spans="1:121" s="112" customFormat="1" ht="25" x14ac:dyDescent="0.25">
      <c r="A23" s="99" t="s">
        <v>2028</v>
      </c>
      <c r="B23" s="100"/>
      <c r="C23" s="100" t="str">
        <f>'Planilha Hidráulica'!B27</f>
        <v>PV18.1-&gt;PV19.1</v>
      </c>
      <c r="D23" s="100">
        <f>'Planilha Hidráulica'!R27</f>
        <v>3.8212234752428458</v>
      </c>
      <c r="E23" s="100">
        <f>'Planilha Hidráulica'!S27</f>
        <v>4.22</v>
      </c>
      <c r="F23" s="100">
        <f>'Planilha Hidráulica'!K27</f>
        <v>24.626668960060467</v>
      </c>
      <c r="G23" s="101">
        <f>'Planilha Hidráulica'!M27</f>
        <v>1500</v>
      </c>
      <c r="H23" s="102">
        <f t="shared" si="0"/>
        <v>4.5206117376214223</v>
      </c>
      <c r="I23" s="102">
        <f t="shared" si="1"/>
        <v>5.5663804379683253</v>
      </c>
      <c r="J23" s="103">
        <v>0</v>
      </c>
      <c r="K23" s="104">
        <f t="shared" si="79"/>
        <v>2.6</v>
      </c>
      <c r="L23" s="104">
        <f t="shared" si="80"/>
        <v>2.6</v>
      </c>
      <c r="M23" s="104">
        <f>'Planilha Hidráulica'!X27</f>
        <v>1200</v>
      </c>
      <c r="N23" s="104">
        <f t="shared" si="2"/>
        <v>64.029339296157218</v>
      </c>
      <c r="O23" s="105" t="str">
        <f>'Planilha Hidráulica'!W27</f>
        <v>ASFALTO</v>
      </c>
      <c r="P23" s="105" t="s">
        <v>2029</v>
      </c>
      <c r="Q23" s="105">
        <v>1</v>
      </c>
      <c r="R23" s="105">
        <v>11.84</v>
      </c>
      <c r="S23" s="105">
        <v>1.7</v>
      </c>
      <c r="T23" s="104">
        <f t="shared" si="3"/>
        <v>0.2</v>
      </c>
      <c r="U23" s="106">
        <f t="shared" si="4"/>
        <v>27.852106423432954</v>
      </c>
      <c r="V23" s="106">
        <f t="shared" si="5"/>
        <v>287.2114120693829</v>
      </c>
      <c r="W23" s="107">
        <f t="shared" si="6"/>
        <v>0</v>
      </c>
      <c r="X23" s="107">
        <f t="shared" si="7"/>
        <v>0.4</v>
      </c>
      <c r="Y23" s="107">
        <f t="shared" si="81"/>
        <v>4.5206117376214223</v>
      </c>
      <c r="Z23" s="107">
        <f t="shared" si="82"/>
        <v>0</v>
      </c>
      <c r="AA23" s="108">
        <f t="shared" si="83"/>
        <v>64.029339296157218</v>
      </c>
      <c r="AB23" s="108">
        <f t="shared" si="84"/>
        <v>0</v>
      </c>
      <c r="AC23" s="109">
        <f t="shared" si="8"/>
        <v>0</v>
      </c>
      <c r="AD23" s="109">
        <f t="shared" si="9"/>
        <v>0</v>
      </c>
      <c r="AE23" s="109">
        <f t="shared" si="85"/>
        <v>0</v>
      </c>
      <c r="AF23" s="109">
        <f t="shared" si="10"/>
        <v>0</v>
      </c>
      <c r="AG23" s="109">
        <f t="shared" si="11"/>
        <v>0</v>
      </c>
      <c r="AH23" s="109">
        <f t="shared" si="12"/>
        <v>0</v>
      </c>
      <c r="AI23" s="109">
        <f t="shared" si="13"/>
        <v>25.611735718462889</v>
      </c>
      <c r="AJ23" s="109">
        <f t="shared" si="14"/>
        <v>0</v>
      </c>
      <c r="AK23" s="109">
        <f t="shared" si="15"/>
        <v>0</v>
      </c>
      <c r="AL23" s="109">
        <f t="shared" si="16"/>
        <v>0</v>
      </c>
      <c r="AM23" s="109">
        <f t="shared" si="98"/>
        <v>0</v>
      </c>
      <c r="AN23" s="109">
        <f t="shared" si="99"/>
        <v>0</v>
      </c>
      <c r="AO23" s="109">
        <f t="shared" si="17"/>
        <v>128.05867859231444</v>
      </c>
      <c r="AP23" s="109">
        <f>IF(IF(K23&gt;2.5,IF(Y23&gt;=4,L23*F23*2,K23*F23*(Y23-2)),0)&lt;0,0,IF(K23&gt;2.5,IF(Y23&gt;=4,L23*F23*2,K23*F23*(Y23-2)),0))-U23</f>
        <v>100.20657216888148</v>
      </c>
      <c r="AQ23" s="109">
        <f>IF(IF(K23&gt;2.5,IF(Y23&gt;=6,L23*F23*2,K23*F23*(Y23-4)),0)&lt;0,0,IF(K23&gt;2.5,IF(Y23&gt;=6,L23*F23*2,K23*F23*(Y23-4)),0))</f>
        <v>33.334425589724027</v>
      </c>
      <c r="AR23" s="104">
        <f t="shared" si="20"/>
        <v>0</v>
      </c>
      <c r="AS23" s="104">
        <f t="shared" si="21"/>
        <v>0.92616362036351596</v>
      </c>
      <c r="AT23" s="104">
        <f t="shared" si="22"/>
        <v>271.54460220620183</v>
      </c>
      <c r="AU23" s="102">
        <f t="shared" si="23"/>
        <v>0</v>
      </c>
      <c r="AV23" s="106">
        <f t="shared" si="24"/>
        <v>12.805867859231444</v>
      </c>
      <c r="AW23" s="104">
        <f t="shared" si="86"/>
        <v>25.611735718462885</v>
      </c>
      <c r="AX23" s="104">
        <f t="shared" si="25"/>
        <v>0</v>
      </c>
      <c r="AY23" s="104">
        <f t="shared" si="26"/>
        <v>1.8</v>
      </c>
      <c r="AZ23" s="104">
        <f t="shared" si="87"/>
        <v>71.733894446469009</v>
      </c>
      <c r="BA23" s="104">
        <f t="shared" si="88"/>
        <v>0</v>
      </c>
      <c r="BB23" s="104">
        <f t="shared" si="27"/>
        <v>9.6044008944235824</v>
      </c>
      <c r="BC23" s="104">
        <f t="shared" si="89"/>
        <v>9.6044008944235824</v>
      </c>
      <c r="BD23" s="104">
        <f t="shared" si="28"/>
        <v>1.9208801788847165</v>
      </c>
      <c r="BE23" s="104">
        <f t="shared" si="90"/>
        <v>142.18430239319133</v>
      </c>
      <c r="BF23" s="104">
        <f t="shared" si="91"/>
        <v>154.64964529156447</v>
      </c>
      <c r="BG23" s="104">
        <f t="shared" si="92"/>
        <v>142.18430239319133</v>
      </c>
      <c r="BH23" s="104">
        <f>BF23-BG23</f>
        <v>12.465342898373137</v>
      </c>
      <c r="BI23" s="104">
        <f t="shared" si="30"/>
        <v>0</v>
      </c>
      <c r="BJ23" s="102">
        <f t="shared" si="93"/>
        <v>0</v>
      </c>
      <c r="BK23" s="104">
        <f t="shared" si="31"/>
        <v>0</v>
      </c>
      <c r="BL23" s="104"/>
      <c r="BM23" s="104">
        <f t="shared" si="32"/>
        <v>1.4086454645154587</v>
      </c>
      <c r="BN23" s="108">
        <f t="shared" si="33"/>
        <v>0</v>
      </c>
      <c r="BO23" s="110">
        <f t="shared" si="34"/>
        <v>0</v>
      </c>
      <c r="BP23" s="110">
        <f t="shared" si="35"/>
        <v>0</v>
      </c>
      <c r="BQ23" s="110">
        <f t="shared" si="36"/>
        <v>0</v>
      </c>
      <c r="BR23" s="104">
        <f t="shared" si="37"/>
        <v>0</v>
      </c>
      <c r="BS23" s="104">
        <f t="shared" si="38"/>
        <v>0</v>
      </c>
      <c r="BT23" s="104">
        <f t="shared" si="39"/>
        <v>0</v>
      </c>
      <c r="BU23" s="104">
        <f t="shared" si="40"/>
        <v>0</v>
      </c>
      <c r="BV23" s="104">
        <f t="shared" si="41"/>
        <v>0</v>
      </c>
      <c r="BW23" s="104">
        <f t="shared" si="42"/>
        <v>0</v>
      </c>
      <c r="BX23" s="104">
        <f t="shared" si="43"/>
        <v>0</v>
      </c>
      <c r="BY23" s="104">
        <f t="shared" si="44"/>
        <v>0</v>
      </c>
      <c r="BZ23" s="104">
        <f t="shared" si="45"/>
        <v>0</v>
      </c>
      <c r="CA23" s="104">
        <f t="shared" si="46"/>
        <v>0</v>
      </c>
      <c r="CB23" s="104">
        <f t="shared" si="47"/>
        <v>0</v>
      </c>
      <c r="CC23" s="104">
        <f t="shared" si="48"/>
        <v>0</v>
      </c>
      <c r="CD23" s="104">
        <f t="shared" si="49"/>
        <v>0</v>
      </c>
      <c r="CE23" s="104">
        <f t="shared" si="50"/>
        <v>0</v>
      </c>
      <c r="CF23" s="104">
        <f t="shared" si="51"/>
        <v>0</v>
      </c>
      <c r="CG23" s="104">
        <f t="shared" si="52"/>
        <v>0</v>
      </c>
      <c r="CH23" s="104">
        <f t="shared" si="53"/>
        <v>0</v>
      </c>
      <c r="CI23" s="104">
        <f t="shared" si="54"/>
        <v>0</v>
      </c>
      <c r="CJ23" s="443">
        <f t="shared" si="55"/>
        <v>4.5206117376214223</v>
      </c>
      <c r="CK23" s="104">
        <f t="shared" si="56"/>
        <v>0</v>
      </c>
      <c r="CL23" s="104">
        <f t="shared" si="57"/>
        <v>24.626668960060467</v>
      </c>
      <c r="CM23" s="104">
        <f t="shared" si="58"/>
        <v>0</v>
      </c>
      <c r="CN23" s="107">
        <f t="shared" si="59"/>
        <v>0</v>
      </c>
      <c r="CO23" s="107">
        <f t="shared" si="60"/>
        <v>0</v>
      </c>
      <c r="CP23" s="107">
        <f t="shared" si="61"/>
        <v>0</v>
      </c>
      <c r="CQ23" s="107">
        <f t="shared" si="62"/>
        <v>0</v>
      </c>
      <c r="CR23" s="107">
        <f t="shared" si="63"/>
        <v>0</v>
      </c>
      <c r="CS23" s="107">
        <f t="shared" si="64"/>
        <v>0</v>
      </c>
      <c r="CT23" s="444">
        <f t="shared" si="65"/>
        <v>0</v>
      </c>
      <c r="CU23" s="104">
        <f t="shared" si="66"/>
        <v>1</v>
      </c>
      <c r="CV23" s="104">
        <f t="shared" si="67"/>
        <v>0</v>
      </c>
      <c r="CW23" s="104">
        <f t="shared" si="94"/>
        <v>0</v>
      </c>
      <c r="CX23" s="104">
        <f t="shared" si="95"/>
        <v>0</v>
      </c>
      <c r="CY23" s="104">
        <f t="shared" si="96"/>
        <v>0</v>
      </c>
      <c r="CZ23" s="104">
        <f t="shared" si="97"/>
        <v>1</v>
      </c>
      <c r="DA23" s="104">
        <f t="shared" si="68"/>
        <v>1.8212234752428458</v>
      </c>
      <c r="DB23" s="111">
        <v>1.3</v>
      </c>
      <c r="DC23" s="111">
        <v>1.4</v>
      </c>
      <c r="DD23" s="111">
        <v>2</v>
      </c>
      <c r="DE23" s="111">
        <v>2</v>
      </c>
      <c r="DF23" s="111">
        <v>2</v>
      </c>
      <c r="DG23" s="108">
        <f t="shared" si="69"/>
        <v>0</v>
      </c>
      <c r="DH23" s="108">
        <f t="shared" si="70"/>
        <v>0</v>
      </c>
      <c r="DI23" s="108">
        <f t="shared" si="71"/>
        <v>0</v>
      </c>
      <c r="DJ23" s="108">
        <f t="shared" si="72"/>
        <v>0</v>
      </c>
      <c r="DK23" s="108">
        <f t="shared" si="73"/>
        <v>0</v>
      </c>
      <c r="DL23" s="108">
        <f t="shared" si="74"/>
        <v>0</v>
      </c>
      <c r="DM23" s="108">
        <f t="shared" si="75"/>
        <v>73.880006880181398</v>
      </c>
      <c r="DN23" s="108">
        <f t="shared" si="76"/>
        <v>73.880006880181398</v>
      </c>
      <c r="DO23" s="108">
        <f t="shared" si="77"/>
        <v>73.880006880181398</v>
      </c>
      <c r="DP23" s="108">
        <f t="shared" si="78"/>
        <v>1.0151968781887832</v>
      </c>
      <c r="DQ23" s="445"/>
    </row>
    <row r="24" spans="1:121" s="112" customFormat="1" ht="25" x14ac:dyDescent="0.25">
      <c r="A24" s="113"/>
      <c r="B24" s="100"/>
      <c r="C24" s="100" t="str">
        <f>'Planilha Hidráulica'!B28</f>
        <v>PV19.1-&gt;PV20.1</v>
      </c>
      <c r="D24" s="100">
        <f>'Planilha Hidráulica'!R28</f>
        <v>4.2213691020709803</v>
      </c>
      <c r="E24" s="100">
        <f>'Planilha Hidráulica'!S28</f>
        <v>3.0010000000038417</v>
      </c>
      <c r="F24" s="100">
        <f>'Planilha Hidráulica'!K28</f>
        <v>37.000000000288857</v>
      </c>
      <c r="G24" s="101">
        <f>'Planilha Hidráulica'!M28</f>
        <v>1500</v>
      </c>
      <c r="H24" s="102">
        <f t="shared" si="0"/>
        <v>4.111184551037411</v>
      </c>
      <c r="I24" s="102">
        <f t="shared" si="1"/>
        <v>7.6056914194785872</v>
      </c>
      <c r="J24" s="103">
        <v>0</v>
      </c>
      <c r="K24" s="104">
        <f t="shared" si="79"/>
        <v>2.6</v>
      </c>
      <c r="L24" s="104">
        <f t="shared" si="80"/>
        <v>2.6</v>
      </c>
      <c r="M24" s="104">
        <f>'Planilha Hidráulica'!X28</f>
        <v>0</v>
      </c>
      <c r="N24" s="104">
        <f t="shared" si="2"/>
        <v>96.200000000751032</v>
      </c>
      <c r="O24" s="105" t="str">
        <f>'Planilha Hidráulica'!W28</f>
        <v>TERRENO NATURAL</v>
      </c>
      <c r="P24" s="105" t="s">
        <v>2029</v>
      </c>
      <c r="Q24" s="105">
        <v>1</v>
      </c>
      <c r="R24" s="105">
        <v>11.84</v>
      </c>
      <c r="S24" s="105">
        <v>1.7</v>
      </c>
      <c r="T24" s="104">
        <f t="shared" si="3"/>
        <v>0.2</v>
      </c>
      <c r="U24" s="106">
        <f t="shared" si="4"/>
        <v>0</v>
      </c>
      <c r="V24" s="106">
        <f t="shared" si="5"/>
        <v>433.975953813187</v>
      </c>
      <c r="W24" s="107">
        <f t="shared" si="6"/>
        <v>0</v>
      </c>
      <c r="X24" s="107">
        <f t="shared" si="7"/>
        <v>4.5111845510374113</v>
      </c>
      <c r="Y24" s="107">
        <f t="shared" si="81"/>
        <v>4.111184551037411</v>
      </c>
      <c r="Z24" s="107">
        <f t="shared" si="82"/>
        <v>0</v>
      </c>
      <c r="AA24" s="108">
        <f t="shared" si="83"/>
        <v>0</v>
      </c>
      <c r="AB24" s="108">
        <f t="shared" si="84"/>
        <v>0</v>
      </c>
      <c r="AC24" s="109">
        <f t="shared" si="8"/>
        <v>0</v>
      </c>
      <c r="AD24" s="109">
        <f t="shared" si="9"/>
        <v>0</v>
      </c>
      <c r="AE24" s="109">
        <f t="shared" si="85"/>
        <v>0</v>
      </c>
      <c r="AF24" s="109">
        <f t="shared" si="10"/>
        <v>144.30000000112653</v>
      </c>
      <c r="AG24" s="109">
        <f t="shared" si="11"/>
        <v>144.30000000112653</v>
      </c>
      <c r="AH24" s="109">
        <f t="shared" si="12"/>
        <v>144.30000000112653</v>
      </c>
      <c r="AI24" s="109">
        <f t="shared" si="13"/>
        <v>1.0759538098073707</v>
      </c>
      <c r="AJ24" s="109">
        <f t="shared" si="14"/>
        <v>0</v>
      </c>
      <c r="AK24" s="109">
        <f t="shared" si="15"/>
        <v>0</v>
      </c>
      <c r="AL24" s="109">
        <f t="shared" si="16"/>
        <v>0</v>
      </c>
      <c r="AM24" s="109">
        <f t="shared" si="98"/>
        <v>0</v>
      </c>
      <c r="AN24" s="109">
        <f t="shared" si="99"/>
        <v>0</v>
      </c>
      <c r="AO24" s="109"/>
      <c r="AP24" s="109"/>
      <c r="AQ24" s="109"/>
      <c r="AR24" s="104"/>
      <c r="AS24" s="104">
        <f t="shared" si="21"/>
        <v>1.1895177118544091</v>
      </c>
      <c r="AT24" s="104">
        <f t="shared" si="22"/>
        <v>368.59155670983898</v>
      </c>
      <c r="AU24" s="102">
        <f t="shared" si="23"/>
        <v>0</v>
      </c>
      <c r="AV24" s="106">
        <f t="shared" si="24"/>
        <v>19.240000000150207</v>
      </c>
      <c r="AW24" s="104">
        <f t="shared" si="86"/>
        <v>38.480000000300414</v>
      </c>
      <c r="AX24" s="104">
        <f t="shared" si="25"/>
        <v>38.480000000300414</v>
      </c>
      <c r="AY24" s="104">
        <f>G24/1000+0.3</f>
        <v>1.8</v>
      </c>
      <c r="AZ24" s="104">
        <f t="shared" si="87"/>
        <v>107.77560289800385</v>
      </c>
      <c r="BA24" s="104">
        <f t="shared" si="88"/>
        <v>107.77560289800385</v>
      </c>
      <c r="BB24" s="104">
        <f t="shared" si="27"/>
        <v>0</v>
      </c>
      <c r="BC24" s="104">
        <f t="shared" si="89"/>
        <v>0</v>
      </c>
      <c r="BD24" s="104">
        <f t="shared" si="28"/>
        <v>0</v>
      </c>
      <c r="BE24" s="104">
        <f t="shared" si="90"/>
        <v>203.0959538113845</v>
      </c>
      <c r="BF24" s="104">
        <f t="shared" si="91"/>
        <v>-146.25560289830426</v>
      </c>
      <c r="BG24" s="104">
        <f t="shared" si="92"/>
        <v>0</v>
      </c>
      <c r="BH24" s="104">
        <f t="shared" ref="BH24:BH32" si="102">BF24-BG24</f>
        <v>-146.25560289830426</v>
      </c>
      <c r="BI24" s="104">
        <f t="shared" si="30"/>
        <v>203.0959538113845</v>
      </c>
      <c r="BJ24" s="102">
        <f t="shared" si="93"/>
        <v>34.416865741097901</v>
      </c>
      <c r="BK24" s="104">
        <f t="shared" si="31"/>
        <v>168.67908807028661</v>
      </c>
      <c r="BL24" s="104"/>
      <c r="BM24" s="104">
        <f t="shared" si="32"/>
        <v>1.5392000000120165</v>
      </c>
      <c r="BN24" s="108">
        <f t="shared" si="33"/>
        <v>0</v>
      </c>
      <c r="BO24" s="110">
        <f t="shared" si="34"/>
        <v>0</v>
      </c>
      <c r="BP24" s="110">
        <f t="shared" si="35"/>
        <v>0</v>
      </c>
      <c r="BQ24" s="110">
        <f t="shared" si="36"/>
        <v>0</v>
      </c>
      <c r="BR24" s="104">
        <f t="shared" si="37"/>
        <v>0</v>
      </c>
      <c r="BS24" s="104">
        <f t="shared" si="38"/>
        <v>0</v>
      </c>
      <c r="BT24" s="104">
        <f t="shared" si="39"/>
        <v>0</v>
      </c>
      <c r="BU24" s="104">
        <f t="shared" si="40"/>
        <v>0</v>
      </c>
      <c r="BV24" s="104">
        <f t="shared" si="41"/>
        <v>0</v>
      </c>
      <c r="BW24" s="104">
        <f t="shared" si="42"/>
        <v>0</v>
      </c>
      <c r="BX24" s="104">
        <f t="shared" si="43"/>
        <v>0</v>
      </c>
      <c r="BY24" s="104">
        <f t="shared" si="44"/>
        <v>0</v>
      </c>
      <c r="BZ24" s="104">
        <f t="shared" si="45"/>
        <v>0</v>
      </c>
      <c r="CA24" s="104">
        <f t="shared" si="46"/>
        <v>0</v>
      </c>
      <c r="CB24" s="104">
        <f t="shared" si="47"/>
        <v>0</v>
      </c>
      <c r="CC24" s="104">
        <f t="shared" si="48"/>
        <v>0</v>
      </c>
      <c r="CD24" s="104">
        <f t="shared" si="49"/>
        <v>0</v>
      </c>
      <c r="CE24" s="104">
        <f t="shared" si="50"/>
        <v>0</v>
      </c>
      <c r="CF24" s="104">
        <f t="shared" si="51"/>
        <v>0</v>
      </c>
      <c r="CG24" s="104">
        <f t="shared" si="52"/>
        <v>0</v>
      </c>
      <c r="CH24" s="104">
        <f t="shared" si="53"/>
        <v>0</v>
      </c>
      <c r="CI24" s="104">
        <f t="shared" si="54"/>
        <v>0</v>
      </c>
      <c r="CJ24" s="443">
        <f t="shared" si="55"/>
        <v>4.111184551037411</v>
      </c>
      <c r="CK24" s="104">
        <f t="shared" si="56"/>
        <v>0</v>
      </c>
      <c r="CL24" s="104">
        <f t="shared" si="57"/>
        <v>37.000000000288857</v>
      </c>
      <c r="CM24" s="104">
        <f t="shared" si="58"/>
        <v>0</v>
      </c>
      <c r="CN24" s="107">
        <f t="shared" si="59"/>
        <v>0</v>
      </c>
      <c r="CO24" s="107">
        <f t="shared" si="60"/>
        <v>0</v>
      </c>
      <c r="CP24" s="107">
        <f t="shared" si="61"/>
        <v>0</v>
      </c>
      <c r="CQ24" s="107">
        <f t="shared" si="62"/>
        <v>0</v>
      </c>
      <c r="CR24" s="107">
        <f t="shared" si="63"/>
        <v>0</v>
      </c>
      <c r="CS24" s="107">
        <f t="shared" si="64"/>
        <v>0</v>
      </c>
      <c r="CT24" s="444">
        <f t="shared" si="65"/>
        <v>0</v>
      </c>
      <c r="CU24" s="104">
        <f t="shared" si="66"/>
        <v>1</v>
      </c>
      <c r="CV24" s="104">
        <f t="shared" si="67"/>
        <v>0</v>
      </c>
      <c r="CW24" s="104">
        <f t="shared" si="94"/>
        <v>0</v>
      </c>
      <c r="CX24" s="104">
        <f t="shared" si="95"/>
        <v>0</v>
      </c>
      <c r="CY24" s="104">
        <f t="shared" si="96"/>
        <v>0</v>
      </c>
      <c r="CZ24" s="104">
        <f t="shared" si="97"/>
        <v>1</v>
      </c>
      <c r="DA24" s="104">
        <f t="shared" si="68"/>
        <v>2.2213691020709803</v>
      </c>
      <c r="DB24" s="111">
        <v>1.3</v>
      </c>
      <c r="DC24" s="111">
        <v>1.4</v>
      </c>
      <c r="DD24" s="111">
        <v>2</v>
      </c>
      <c r="DE24" s="111">
        <v>2</v>
      </c>
      <c r="DF24" s="111">
        <v>2</v>
      </c>
      <c r="DG24" s="108">
        <f t="shared" si="69"/>
        <v>0</v>
      </c>
      <c r="DH24" s="108">
        <f t="shared" si="70"/>
        <v>0</v>
      </c>
      <c r="DI24" s="108">
        <f t="shared" si="71"/>
        <v>0</v>
      </c>
      <c r="DJ24" s="108">
        <f t="shared" si="72"/>
        <v>0</v>
      </c>
      <c r="DK24" s="108">
        <f t="shared" si="73"/>
        <v>0</v>
      </c>
      <c r="DL24" s="108">
        <f t="shared" si="74"/>
        <v>0</v>
      </c>
      <c r="DM24" s="108">
        <f t="shared" si="75"/>
        <v>111.00000000086658</v>
      </c>
      <c r="DN24" s="108">
        <f t="shared" si="76"/>
        <v>111.00000000086658</v>
      </c>
      <c r="DO24" s="108">
        <f t="shared" si="77"/>
        <v>82.22765677741036</v>
      </c>
      <c r="DP24" s="108">
        <f t="shared" si="78"/>
        <v>0</v>
      </c>
      <c r="DQ24" s="445"/>
    </row>
    <row r="25" spans="1:121" s="112" customFormat="1" ht="25" x14ac:dyDescent="0.25">
      <c r="A25" s="113"/>
      <c r="B25" s="100"/>
      <c r="C25" s="100" t="str">
        <f>'Planilha Hidráulica'!B29</f>
        <v>PV20.1-&gt;PV21.1</v>
      </c>
      <c r="D25" s="100">
        <f>'Planilha Hidráulica'!R29</f>
        <v>3.0010000000038417</v>
      </c>
      <c r="E25" s="100">
        <f>'Planilha Hidráulica'!S29</f>
        <v>2.5199999999999818</v>
      </c>
      <c r="F25" s="100">
        <f>'Planilha Hidráulica'!K29</f>
        <v>34.90555726013924</v>
      </c>
      <c r="G25" s="101">
        <f>'Planilha Hidráulica'!M29</f>
        <v>1500</v>
      </c>
      <c r="H25" s="102">
        <f t="shared" si="0"/>
        <v>3.2605000000019118</v>
      </c>
      <c r="I25" s="102">
        <f t="shared" si="1"/>
        <v>5.6904784723375368</v>
      </c>
      <c r="J25" s="103">
        <v>0</v>
      </c>
      <c r="K25" s="104">
        <f t="shared" si="79"/>
        <v>2.6</v>
      </c>
      <c r="L25" s="104">
        <f t="shared" si="80"/>
        <v>2.6</v>
      </c>
      <c r="M25" s="104">
        <f>'Planilha Hidráulica'!X29</f>
        <v>0</v>
      </c>
      <c r="N25" s="104">
        <f t="shared" si="2"/>
        <v>90.754448876362034</v>
      </c>
      <c r="O25" s="105" t="str">
        <f>'Planilha Hidráulica'!W29</f>
        <v>TERRENO NATURAL</v>
      </c>
      <c r="P25" s="105" t="s">
        <v>2029</v>
      </c>
      <c r="Q25" s="105">
        <v>1</v>
      </c>
      <c r="R25" s="105">
        <v>11.84</v>
      </c>
      <c r="S25" s="105">
        <v>1.7</v>
      </c>
      <c r="T25" s="104">
        <f t="shared" si="3"/>
        <v>0.2</v>
      </c>
      <c r="U25" s="106">
        <f t="shared" si="4"/>
        <v>0</v>
      </c>
      <c r="V25" s="106">
        <f t="shared" si="5"/>
        <v>332.20666011209676</v>
      </c>
      <c r="W25" s="107">
        <f t="shared" si="6"/>
        <v>0</v>
      </c>
      <c r="X25" s="107">
        <f t="shared" si="7"/>
        <v>3.6605000000019117</v>
      </c>
      <c r="Y25" s="107">
        <f t="shared" si="81"/>
        <v>3.2605000000019118</v>
      </c>
      <c r="Z25" s="107">
        <f t="shared" si="82"/>
        <v>0</v>
      </c>
      <c r="AA25" s="108">
        <f t="shared" si="83"/>
        <v>0</v>
      </c>
      <c r="AB25" s="108">
        <f t="shared" si="84"/>
        <v>0</v>
      </c>
      <c r="AC25" s="109">
        <f t="shared" si="8"/>
        <v>0</v>
      </c>
      <c r="AD25" s="109">
        <f t="shared" si="9"/>
        <v>0</v>
      </c>
      <c r="AE25" s="109">
        <f t="shared" si="85"/>
        <v>0</v>
      </c>
      <c r="AF25" s="109">
        <f t="shared" si="10"/>
        <v>136.13167331454304</v>
      </c>
      <c r="AG25" s="109">
        <f t="shared" si="11"/>
        <v>136.13167331454304</v>
      </c>
      <c r="AH25" s="109">
        <f t="shared" si="12"/>
        <v>59.943313483010613</v>
      </c>
      <c r="AI25" s="109">
        <f t="shared" si="13"/>
        <v>0</v>
      </c>
      <c r="AJ25" s="109">
        <f t="shared" si="14"/>
        <v>0</v>
      </c>
      <c r="AK25" s="109">
        <f t="shared" si="15"/>
        <v>0</v>
      </c>
      <c r="AL25" s="109">
        <f t="shared" si="16"/>
        <v>0</v>
      </c>
      <c r="AM25" s="109">
        <f t="shared" si="98"/>
        <v>0</v>
      </c>
      <c r="AN25" s="109">
        <f t="shared" si="99"/>
        <v>0</v>
      </c>
      <c r="AO25" s="109"/>
      <c r="AP25" s="109"/>
      <c r="AQ25" s="109"/>
      <c r="AR25" s="104"/>
      <c r="AS25" s="104">
        <f t="shared" si="21"/>
        <v>0.72626829472685361</v>
      </c>
      <c r="AT25" s="104">
        <f t="shared" si="22"/>
        <v>270.52344884202165</v>
      </c>
      <c r="AU25" s="102">
        <f t="shared" si="23"/>
        <v>0</v>
      </c>
      <c r="AV25" s="106">
        <f t="shared" si="24"/>
        <v>18.150889775272407</v>
      </c>
      <c r="AW25" s="104">
        <f t="shared" si="86"/>
        <v>36.301779550544815</v>
      </c>
      <c r="AX25" s="104">
        <f t="shared" si="25"/>
        <v>36.301779550544815</v>
      </c>
      <c r="AY25" s="104">
        <f t="shared" ref="AY25:AY26" si="103">G25/1000+0.3</f>
        <v>1.8</v>
      </c>
      <c r="AZ25" s="104">
        <f t="shared" si="87"/>
        <v>101.67479670737657</v>
      </c>
      <c r="BA25" s="104">
        <f t="shared" si="88"/>
        <v>101.67479670737657</v>
      </c>
      <c r="BB25" s="104">
        <f t="shared" si="27"/>
        <v>0</v>
      </c>
      <c r="BC25" s="104">
        <f t="shared" si="89"/>
        <v>0</v>
      </c>
      <c r="BD25" s="104">
        <f t="shared" si="28"/>
        <v>0</v>
      </c>
      <c r="BE25" s="104">
        <f t="shared" si="90"/>
        <v>114.39598280882785</v>
      </c>
      <c r="BF25" s="104">
        <f t="shared" si="91"/>
        <v>-137.97657625792138</v>
      </c>
      <c r="BG25" s="104">
        <f t="shared" si="92"/>
        <v>0</v>
      </c>
      <c r="BH25" s="104">
        <f t="shared" si="102"/>
        <v>-137.97657625792138</v>
      </c>
      <c r="BI25" s="104">
        <f t="shared" si="30"/>
        <v>114.39598280882785</v>
      </c>
      <c r="BJ25" s="102">
        <f t="shared" si="93"/>
        <v>19.385670210391336</v>
      </c>
      <c r="BK25" s="104">
        <f t="shared" si="31"/>
        <v>95.010312598436514</v>
      </c>
      <c r="BL25" s="104"/>
      <c r="BM25" s="104">
        <f t="shared" si="32"/>
        <v>1.4520711820217926</v>
      </c>
      <c r="BN25" s="108">
        <f t="shared" si="33"/>
        <v>0</v>
      </c>
      <c r="BO25" s="110">
        <f t="shared" si="34"/>
        <v>0</v>
      </c>
      <c r="BP25" s="110">
        <f t="shared" si="35"/>
        <v>0</v>
      </c>
      <c r="BQ25" s="110">
        <f t="shared" si="36"/>
        <v>0</v>
      </c>
      <c r="BR25" s="104">
        <f t="shared" si="37"/>
        <v>0</v>
      </c>
      <c r="BS25" s="104">
        <f t="shared" si="38"/>
        <v>0</v>
      </c>
      <c r="BT25" s="104">
        <f t="shared" si="39"/>
        <v>0</v>
      </c>
      <c r="BU25" s="104">
        <f t="shared" si="40"/>
        <v>0</v>
      </c>
      <c r="BV25" s="104">
        <f t="shared" si="41"/>
        <v>0</v>
      </c>
      <c r="BW25" s="104">
        <f t="shared" si="42"/>
        <v>0</v>
      </c>
      <c r="BX25" s="104">
        <f t="shared" si="43"/>
        <v>0</v>
      </c>
      <c r="BY25" s="104">
        <f t="shared" si="44"/>
        <v>0</v>
      </c>
      <c r="BZ25" s="104">
        <f t="shared" si="45"/>
        <v>0</v>
      </c>
      <c r="CA25" s="104">
        <f t="shared" si="46"/>
        <v>0</v>
      </c>
      <c r="CB25" s="104">
        <f t="shared" si="47"/>
        <v>0</v>
      </c>
      <c r="CC25" s="104">
        <f t="shared" si="48"/>
        <v>0</v>
      </c>
      <c r="CD25" s="104">
        <f t="shared" si="49"/>
        <v>0</v>
      </c>
      <c r="CE25" s="104">
        <f t="shared" si="50"/>
        <v>0</v>
      </c>
      <c r="CF25" s="104">
        <f t="shared" si="51"/>
        <v>0</v>
      </c>
      <c r="CG25" s="104">
        <f t="shared" si="52"/>
        <v>0</v>
      </c>
      <c r="CH25" s="104">
        <f t="shared" si="53"/>
        <v>0</v>
      </c>
      <c r="CI25" s="104">
        <f t="shared" si="54"/>
        <v>0</v>
      </c>
      <c r="CJ25" s="443">
        <f t="shared" si="55"/>
        <v>3.2605000000019118</v>
      </c>
      <c r="CK25" s="104">
        <f t="shared" si="56"/>
        <v>0</v>
      </c>
      <c r="CL25" s="104">
        <f t="shared" si="57"/>
        <v>34.90555726013924</v>
      </c>
      <c r="CM25" s="104">
        <f t="shared" si="58"/>
        <v>0</v>
      </c>
      <c r="CN25" s="107">
        <f t="shared" si="59"/>
        <v>0</v>
      </c>
      <c r="CO25" s="107">
        <f t="shared" si="60"/>
        <v>0</v>
      </c>
      <c r="CP25" s="107">
        <f t="shared" si="61"/>
        <v>0</v>
      </c>
      <c r="CQ25" s="107">
        <f t="shared" si="62"/>
        <v>0</v>
      </c>
      <c r="CR25" s="107">
        <f t="shared" si="63"/>
        <v>0</v>
      </c>
      <c r="CS25" s="107">
        <f t="shared" si="64"/>
        <v>0</v>
      </c>
      <c r="CT25" s="444">
        <f t="shared" si="65"/>
        <v>0</v>
      </c>
      <c r="CU25" s="104">
        <f t="shared" si="66"/>
        <v>1</v>
      </c>
      <c r="CV25" s="104">
        <f t="shared" si="67"/>
        <v>0</v>
      </c>
      <c r="CW25" s="104">
        <f t="shared" si="94"/>
        <v>0</v>
      </c>
      <c r="CX25" s="104">
        <f t="shared" si="95"/>
        <v>0</v>
      </c>
      <c r="CY25" s="104">
        <f t="shared" si="96"/>
        <v>0</v>
      </c>
      <c r="CZ25" s="104">
        <f t="shared" si="97"/>
        <v>1</v>
      </c>
      <c r="DA25" s="104">
        <f t="shared" si="68"/>
        <v>1.0010000000038417</v>
      </c>
      <c r="DB25" s="111">
        <v>1.3</v>
      </c>
      <c r="DC25" s="111">
        <v>1.4</v>
      </c>
      <c r="DD25" s="111">
        <v>2</v>
      </c>
      <c r="DE25" s="111">
        <v>2</v>
      </c>
      <c r="DF25" s="111">
        <v>2</v>
      </c>
      <c r="DG25" s="108">
        <f t="shared" si="69"/>
        <v>0</v>
      </c>
      <c r="DH25" s="108">
        <f t="shared" si="70"/>
        <v>0</v>
      </c>
      <c r="DI25" s="108">
        <f t="shared" si="71"/>
        <v>0</v>
      </c>
      <c r="DJ25" s="108">
        <f t="shared" si="72"/>
        <v>0</v>
      </c>
      <c r="DK25" s="108">
        <f t="shared" si="73"/>
        <v>0</v>
      </c>
      <c r="DL25" s="108">
        <f t="shared" si="74"/>
        <v>0</v>
      </c>
      <c r="DM25" s="108">
        <f t="shared" si="75"/>
        <v>104.71667178041773</v>
      </c>
      <c r="DN25" s="108">
        <f t="shared" si="76"/>
        <v>104.71667178041773</v>
      </c>
      <c r="DO25" s="108">
        <f t="shared" si="77"/>
        <v>18.185795332666007</v>
      </c>
      <c r="DP25" s="108">
        <f t="shared" si="78"/>
        <v>0</v>
      </c>
      <c r="DQ25" s="445"/>
    </row>
    <row r="26" spans="1:121" s="112" customFormat="1" ht="25" x14ac:dyDescent="0.25">
      <c r="A26" s="113"/>
      <c r="B26" s="100"/>
      <c r="C26" s="100" t="str">
        <f>'Planilha Hidráulica'!B30</f>
        <v>PV21.1-&gt;PV22.1</v>
      </c>
      <c r="D26" s="100">
        <f>'Planilha Hidráulica'!R30</f>
        <v>2.5199999999999818</v>
      </c>
      <c r="E26" s="100">
        <f>'Planilha Hidráulica'!S30</f>
        <v>2.97</v>
      </c>
      <c r="F26" s="100">
        <f>'Planilha Hidráulica'!K30</f>
        <v>34.90555726013924</v>
      </c>
      <c r="G26" s="101">
        <f>'Planilha Hidráulica'!M30</f>
        <v>1500</v>
      </c>
      <c r="H26" s="102">
        <f t="shared" si="0"/>
        <v>3.2449999999999912</v>
      </c>
      <c r="I26" s="102">
        <f t="shared" si="1"/>
        <v>5.6634266654575764</v>
      </c>
      <c r="J26" s="103">
        <v>0</v>
      </c>
      <c r="K26" s="104">
        <f t="shared" si="79"/>
        <v>2.6</v>
      </c>
      <c r="L26" s="104">
        <f t="shared" si="80"/>
        <v>2.6</v>
      </c>
      <c r="M26" s="104">
        <f>'Planilha Hidráulica'!X30</f>
        <v>0</v>
      </c>
      <c r="N26" s="104">
        <f t="shared" si="2"/>
        <v>90.754448876362034</v>
      </c>
      <c r="O26" s="105" t="str">
        <f>'Planilha Hidráulica'!W30</f>
        <v>TERRENO NATURAL</v>
      </c>
      <c r="P26" s="105" t="s">
        <v>2029</v>
      </c>
      <c r="Q26" s="105">
        <v>1</v>
      </c>
      <c r="R26" s="105">
        <v>11.84</v>
      </c>
      <c r="S26" s="105">
        <v>1.7</v>
      </c>
      <c r="T26" s="104">
        <f t="shared" si="3"/>
        <v>0.2</v>
      </c>
      <c r="U26" s="106">
        <f t="shared" si="4"/>
        <v>0</v>
      </c>
      <c r="V26" s="106">
        <f t="shared" si="5"/>
        <v>330.79996615433885</v>
      </c>
      <c r="W26" s="107">
        <f t="shared" si="6"/>
        <v>0</v>
      </c>
      <c r="X26" s="107">
        <f t="shared" si="7"/>
        <v>3.6449999999999911</v>
      </c>
      <c r="Y26" s="107">
        <f t="shared" si="81"/>
        <v>3.2449999999999912</v>
      </c>
      <c r="Z26" s="107">
        <f t="shared" si="82"/>
        <v>0</v>
      </c>
      <c r="AA26" s="108">
        <f t="shared" si="83"/>
        <v>0</v>
      </c>
      <c r="AB26" s="108">
        <f t="shared" si="84"/>
        <v>0</v>
      </c>
      <c r="AC26" s="109">
        <f t="shared" si="8"/>
        <v>0</v>
      </c>
      <c r="AD26" s="109">
        <f t="shared" si="9"/>
        <v>0</v>
      </c>
      <c r="AE26" s="109">
        <f t="shared" si="85"/>
        <v>0</v>
      </c>
      <c r="AF26" s="109">
        <f t="shared" si="10"/>
        <v>136.13167331454304</v>
      </c>
      <c r="AG26" s="109">
        <f t="shared" si="11"/>
        <v>136.13167331454304</v>
      </c>
      <c r="AH26" s="109">
        <f t="shared" si="12"/>
        <v>58.536619525252711</v>
      </c>
      <c r="AI26" s="109">
        <f t="shared" si="13"/>
        <v>0</v>
      </c>
      <c r="AJ26" s="109">
        <f t="shared" si="14"/>
        <v>0</v>
      </c>
      <c r="AK26" s="109">
        <f t="shared" si="15"/>
        <v>0</v>
      </c>
      <c r="AL26" s="109">
        <f t="shared" si="16"/>
        <v>0</v>
      </c>
      <c r="AM26" s="109">
        <f t="shared" si="98"/>
        <v>0</v>
      </c>
      <c r="AN26" s="109">
        <f t="shared" si="99"/>
        <v>0</v>
      </c>
      <c r="AO26" s="109"/>
      <c r="AP26" s="109"/>
      <c r="AQ26" s="109"/>
      <c r="AR26" s="104"/>
      <c r="AS26" s="104">
        <f t="shared" si="21"/>
        <v>0.71905447955886426</v>
      </c>
      <c r="AT26" s="104">
        <f t="shared" si="22"/>
        <v>269.11675488426374</v>
      </c>
      <c r="AU26" s="102">
        <f t="shared" si="23"/>
        <v>0</v>
      </c>
      <c r="AV26" s="106">
        <f t="shared" si="24"/>
        <v>18.150889775272407</v>
      </c>
      <c r="AW26" s="104">
        <f t="shared" si="86"/>
        <v>36.301779550544815</v>
      </c>
      <c r="AX26" s="104">
        <f t="shared" si="25"/>
        <v>36.301779550544815</v>
      </c>
      <c r="AY26" s="104">
        <f t="shared" si="103"/>
        <v>1.8</v>
      </c>
      <c r="AZ26" s="104">
        <f t="shared" si="87"/>
        <v>101.67479670737657</v>
      </c>
      <c r="BA26" s="104">
        <f t="shared" si="88"/>
        <v>101.67479670737657</v>
      </c>
      <c r="BB26" s="104">
        <f t="shared" si="27"/>
        <v>0</v>
      </c>
      <c r="BC26" s="104">
        <f t="shared" si="89"/>
        <v>0</v>
      </c>
      <c r="BD26" s="104">
        <f t="shared" si="28"/>
        <v>0</v>
      </c>
      <c r="BE26" s="104">
        <f t="shared" si="90"/>
        <v>112.98928885106994</v>
      </c>
      <c r="BF26" s="104">
        <f t="shared" si="91"/>
        <v>-137.97657625792138</v>
      </c>
      <c r="BG26" s="104">
        <f t="shared" si="92"/>
        <v>0</v>
      </c>
      <c r="BH26" s="104">
        <f t="shared" si="102"/>
        <v>-137.97657625792138</v>
      </c>
      <c r="BI26" s="104">
        <f t="shared" si="30"/>
        <v>112.98928885106994</v>
      </c>
      <c r="BJ26" s="102">
        <f t="shared" si="93"/>
        <v>19.147290291075318</v>
      </c>
      <c r="BK26" s="104">
        <f t="shared" si="31"/>
        <v>93.841998559994622</v>
      </c>
      <c r="BL26" s="104"/>
      <c r="BM26" s="104">
        <f t="shared" si="32"/>
        <v>1.4520711820217926</v>
      </c>
      <c r="BN26" s="108">
        <f t="shared" si="33"/>
        <v>0</v>
      </c>
      <c r="BO26" s="110">
        <f t="shared" si="34"/>
        <v>0</v>
      </c>
      <c r="BP26" s="110">
        <f t="shared" si="35"/>
        <v>0</v>
      </c>
      <c r="BQ26" s="110">
        <f t="shared" si="36"/>
        <v>0</v>
      </c>
      <c r="BR26" s="104">
        <f t="shared" si="37"/>
        <v>0</v>
      </c>
      <c r="BS26" s="104">
        <f t="shared" si="38"/>
        <v>0</v>
      </c>
      <c r="BT26" s="104">
        <f t="shared" si="39"/>
        <v>0</v>
      </c>
      <c r="BU26" s="104">
        <f t="shared" si="40"/>
        <v>0</v>
      </c>
      <c r="BV26" s="104">
        <f t="shared" si="41"/>
        <v>0</v>
      </c>
      <c r="BW26" s="104">
        <f t="shared" si="42"/>
        <v>0</v>
      </c>
      <c r="BX26" s="104">
        <f t="shared" si="43"/>
        <v>0</v>
      </c>
      <c r="BY26" s="104">
        <f t="shared" si="44"/>
        <v>0</v>
      </c>
      <c r="BZ26" s="104">
        <f t="shared" si="45"/>
        <v>0</v>
      </c>
      <c r="CA26" s="104">
        <f t="shared" si="46"/>
        <v>0</v>
      </c>
      <c r="CB26" s="104">
        <f t="shared" si="47"/>
        <v>0</v>
      </c>
      <c r="CC26" s="104">
        <f t="shared" si="48"/>
        <v>0</v>
      </c>
      <c r="CD26" s="104">
        <f t="shared" si="49"/>
        <v>0</v>
      </c>
      <c r="CE26" s="104">
        <f t="shared" si="50"/>
        <v>0</v>
      </c>
      <c r="CF26" s="104">
        <f t="shared" si="51"/>
        <v>0</v>
      </c>
      <c r="CG26" s="104">
        <f t="shared" si="52"/>
        <v>0</v>
      </c>
      <c r="CH26" s="104">
        <f t="shared" si="53"/>
        <v>0</v>
      </c>
      <c r="CI26" s="104">
        <f t="shared" si="54"/>
        <v>0</v>
      </c>
      <c r="CJ26" s="443">
        <f t="shared" si="55"/>
        <v>3.2449999999999912</v>
      </c>
      <c r="CK26" s="104">
        <f t="shared" si="56"/>
        <v>0</v>
      </c>
      <c r="CL26" s="104">
        <f t="shared" si="57"/>
        <v>34.90555726013924</v>
      </c>
      <c r="CM26" s="104">
        <f t="shared" si="58"/>
        <v>0</v>
      </c>
      <c r="CN26" s="107">
        <f t="shared" si="59"/>
        <v>0</v>
      </c>
      <c r="CO26" s="107">
        <f t="shared" si="60"/>
        <v>0</v>
      </c>
      <c r="CP26" s="107">
        <f t="shared" si="61"/>
        <v>0</v>
      </c>
      <c r="CQ26" s="107">
        <f t="shared" si="62"/>
        <v>0</v>
      </c>
      <c r="CR26" s="107">
        <f t="shared" si="63"/>
        <v>0</v>
      </c>
      <c r="CS26" s="107">
        <f t="shared" si="64"/>
        <v>0</v>
      </c>
      <c r="CT26" s="444">
        <f t="shared" si="65"/>
        <v>0</v>
      </c>
      <c r="CU26" s="104">
        <f t="shared" si="66"/>
        <v>1</v>
      </c>
      <c r="CV26" s="104">
        <f t="shared" si="67"/>
        <v>0</v>
      </c>
      <c r="CW26" s="104">
        <f t="shared" si="94"/>
        <v>0</v>
      </c>
      <c r="CX26" s="104">
        <f t="shared" si="95"/>
        <v>0</v>
      </c>
      <c r="CY26" s="104">
        <f t="shared" si="96"/>
        <v>0</v>
      </c>
      <c r="CZ26" s="104">
        <f t="shared" si="97"/>
        <v>1</v>
      </c>
      <c r="DA26" s="104">
        <f t="shared" si="68"/>
        <v>0.51999999999998181</v>
      </c>
      <c r="DB26" s="111">
        <v>1.3</v>
      </c>
      <c r="DC26" s="111">
        <v>1.4</v>
      </c>
      <c r="DD26" s="111">
        <v>2</v>
      </c>
      <c r="DE26" s="111">
        <v>2</v>
      </c>
      <c r="DF26" s="111">
        <v>2</v>
      </c>
      <c r="DG26" s="108">
        <f t="shared" si="69"/>
        <v>0</v>
      </c>
      <c r="DH26" s="108">
        <f t="shared" si="70"/>
        <v>0</v>
      </c>
      <c r="DI26" s="108">
        <f t="shared" si="71"/>
        <v>0</v>
      </c>
      <c r="DJ26" s="108">
        <f t="shared" si="72"/>
        <v>0</v>
      </c>
      <c r="DK26" s="108">
        <f t="shared" si="73"/>
        <v>0</v>
      </c>
      <c r="DL26" s="108">
        <f t="shared" si="74"/>
        <v>0</v>
      </c>
      <c r="DM26" s="108">
        <f t="shared" si="75"/>
        <v>104.71667178041773</v>
      </c>
      <c r="DN26" s="108">
        <f t="shared" si="76"/>
        <v>104.71667178041773</v>
      </c>
      <c r="DO26" s="108">
        <f t="shared" si="77"/>
        <v>17.103723057467615</v>
      </c>
      <c r="DP26" s="108">
        <f t="shared" si="78"/>
        <v>0</v>
      </c>
      <c r="DQ26" s="445"/>
    </row>
    <row r="27" spans="1:121" s="112" customFormat="1" ht="13" x14ac:dyDescent="0.25">
      <c r="A27" s="113"/>
      <c r="B27" s="100"/>
      <c r="C27" s="114" t="str">
        <f>'Planilha Hidráulica'!B31</f>
        <v>RD-1</v>
      </c>
      <c r="D27" s="100"/>
      <c r="E27" s="100"/>
      <c r="F27" s="100"/>
      <c r="G27" s="101"/>
      <c r="H27" s="102"/>
      <c r="I27" s="102"/>
      <c r="J27" s="103"/>
      <c r="K27" s="104"/>
      <c r="L27" s="104"/>
      <c r="M27" s="104"/>
      <c r="N27" s="104"/>
      <c r="O27" s="105"/>
      <c r="P27" s="105"/>
      <c r="Q27" s="105"/>
      <c r="R27" s="105"/>
      <c r="S27" s="105"/>
      <c r="T27" s="104"/>
      <c r="U27" s="107"/>
      <c r="V27" s="107"/>
      <c r="W27" s="107"/>
      <c r="X27" s="107"/>
      <c r="Y27" s="107"/>
      <c r="Z27" s="107"/>
      <c r="AA27" s="108"/>
      <c r="AB27" s="108"/>
      <c r="AC27" s="109"/>
      <c r="AD27" s="109"/>
      <c r="AE27" s="109">
        <f t="shared" si="85"/>
        <v>0</v>
      </c>
      <c r="AF27" s="108"/>
      <c r="AG27" s="108"/>
      <c r="AH27" s="108"/>
      <c r="AI27" s="108"/>
      <c r="AJ27" s="109"/>
      <c r="AK27" s="109"/>
      <c r="AL27" s="108"/>
      <c r="AM27" s="108"/>
      <c r="AN27" s="108"/>
      <c r="AO27" s="108"/>
      <c r="AP27" s="108"/>
      <c r="AQ27" s="108"/>
      <c r="AR27" s="104"/>
      <c r="AS27" s="104"/>
      <c r="AT27" s="104"/>
      <c r="AU27" s="102"/>
      <c r="AV27" s="106"/>
      <c r="AW27" s="104"/>
      <c r="AX27" s="104"/>
      <c r="AY27" s="104"/>
      <c r="AZ27" s="104"/>
      <c r="BA27" s="104"/>
      <c r="BB27" s="104"/>
      <c r="BC27" s="104"/>
      <c r="BD27" s="104"/>
      <c r="BE27" s="104"/>
      <c r="BF27" s="104"/>
      <c r="BG27" s="104"/>
      <c r="BH27" s="104"/>
      <c r="BI27" s="104"/>
      <c r="BJ27" s="104"/>
      <c r="BK27" s="104"/>
      <c r="BL27" s="104"/>
      <c r="BM27" s="104"/>
      <c r="BN27" s="108"/>
      <c r="BO27" s="110"/>
      <c r="BP27" s="110"/>
      <c r="BQ27" s="110"/>
      <c r="BR27" s="104"/>
      <c r="BS27" s="104"/>
      <c r="BT27" s="104"/>
      <c r="BU27" s="104"/>
      <c r="BV27" s="104"/>
      <c r="BW27" s="104"/>
      <c r="BX27" s="104"/>
      <c r="BY27" s="104"/>
      <c r="BZ27" s="104"/>
      <c r="CA27" s="104"/>
      <c r="CB27" s="104"/>
      <c r="CC27" s="104"/>
      <c r="CD27" s="104"/>
      <c r="CE27" s="104"/>
      <c r="CF27" s="104"/>
      <c r="CG27" s="104"/>
      <c r="CH27" s="104"/>
      <c r="CI27" s="104"/>
      <c r="CJ27" s="443"/>
      <c r="CK27" s="104"/>
      <c r="CL27" s="104"/>
      <c r="CM27" s="104"/>
      <c r="CN27" s="107"/>
      <c r="CO27" s="107"/>
      <c r="CP27" s="107"/>
      <c r="CQ27" s="107"/>
      <c r="CR27" s="107"/>
      <c r="CS27" s="107"/>
      <c r="CT27" s="444"/>
      <c r="CU27" s="104"/>
      <c r="CV27" s="104"/>
      <c r="CW27" s="104"/>
      <c r="CX27" s="104"/>
      <c r="CY27" s="104"/>
      <c r="CZ27" s="104"/>
      <c r="DA27" s="104"/>
      <c r="DB27" s="111"/>
      <c r="DC27" s="111"/>
      <c r="DD27" s="111"/>
      <c r="DE27" s="111"/>
      <c r="DF27" s="111"/>
      <c r="DG27" s="108"/>
      <c r="DH27" s="108"/>
      <c r="DI27" s="108"/>
      <c r="DJ27" s="108"/>
      <c r="DK27" s="108"/>
      <c r="DL27" s="108"/>
      <c r="DM27" s="108"/>
      <c r="DN27" s="108"/>
      <c r="DO27" s="108"/>
      <c r="DP27" s="108"/>
      <c r="DQ27" s="445"/>
    </row>
    <row r="28" spans="1:121" s="112" customFormat="1" ht="25" x14ac:dyDescent="0.25">
      <c r="A28" s="99" t="s">
        <v>2030</v>
      </c>
      <c r="B28" s="100"/>
      <c r="C28" s="100" t="str">
        <f>'Planilha Hidráulica'!B32</f>
        <v>PV1.1-&gt;PV2.1</v>
      </c>
      <c r="D28" s="100">
        <f>'Planilha Hidráulica'!R32</f>
        <v>1.55499999999995</v>
      </c>
      <c r="E28" s="100">
        <f>'Planilha Hidráulica'!S32</f>
        <v>1.73</v>
      </c>
      <c r="F28" s="100">
        <f>'Planilha Hidráulica'!K32</f>
        <v>40.000000000242373</v>
      </c>
      <c r="G28" s="101">
        <f>'Planilha Hidráulica'!M32</f>
        <v>600</v>
      </c>
      <c r="H28" s="102">
        <f t="shared" ref="H28:H32" si="104">IF(G28=400,((D28+E28)/2)+0.08+T28,IF(G28=500,((D28+E28)/2)+0.1+T28,IF(G28=600,((D28+E28)/2)+0.12+T28,IF(G28=800,((D28+E28)/2)+0.16+T28,IF(G28=1000,((D28+E28)/2)+0.2+T28,IF(G28=1200,((D28+E28)/2)+0.24+T28,IF(G28=1500,((D28+E28)/2)+0.3+T28,IF(G28&gt;1500,((D28+E28)/2)+0.4+T28))))))))</f>
        <v>1.862499999999975</v>
      </c>
      <c r="I28" s="102">
        <f t="shared" si="1"/>
        <v>3.7250000000225207</v>
      </c>
      <c r="J28" s="103">
        <v>0</v>
      </c>
      <c r="K28" s="104">
        <f t="shared" ref="K28:K32" si="105">IF(G28=400,1,0)+IF(G28=500,1.2,0)+IF(G28=600,1.4,0)+IF(G28=800,1.7,0)+IF(G28=1000,2,0)+IF(G28=1200,2.2,0)+IF(G28=1500,2.6,0)+IF(G28=1650,3,0)+IF(G28=1800,3.2,0)+IF(G28=2000,3.4,0)+IF(G28=2200,3.6,0)+IF(G28=2400,3.8,0)+IF(G28=2600,4,0)+IF(G28=3000,4.4,0)</f>
        <v>1.4</v>
      </c>
      <c r="L28" s="104">
        <f t="shared" ref="L28:L32" si="106">2*J28*H28+K28</f>
        <v>1.4</v>
      </c>
      <c r="M28" s="104">
        <f>'Planilha Hidráulica'!X32</f>
        <v>400</v>
      </c>
      <c r="N28" s="104">
        <f t="shared" ref="N28:N32" si="107">L28*F28</f>
        <v>56.00000000033932</v>
      </c>
      <c r="O28" s="105" t="str">
        <f>'Planilha Hidráulica'!W32</f>
        <v>ASFALTO</v>
      </c>
      <c r="P28" s="105" t="s">
        <v>2031</v>
      </c>
      <c r="Q28" s="105"/>
      <c r="R28" s="105">
        <v>5</v>
      </c>
      <c r="S28" s="105">
        <v>5</v>
      </c>
      <c r="T28" s="104">
        <f t="shared" ref="T28:T32" si="108">IF(G28=400,0.05,0)+IF(G28=500,0.05,0)+IF(G28=600,0.1,0)+IF(G28=800,0.1,0)+IF(G28=1000,0.15,0)+IF(G28=1200,0.15,0)+IF(G28=1500,0.2,0)+IF(G28=1650,0.2,0)+IF(G28=1800,0.2,0)+IF(G28=2000,0.25,0)+IF(G28=2200,0.25,0)+IF(G28=2400,0.25,0)+IF(G28=2600,0.25,0)+IF(G28=3000,0.25,0)</f>
        <v>0.1</v>
      </c>
      <c r="U28" s="106">
        <f>IFERROR((PI()*(M28/1000)*(M28/1000)/4)*F28,0)</f>
        <v>5.0265482457741273</v>
      </c>
      <c r="V28" s="106">
        <f>((((J28*H28)*H28)/2)*2+K28*H28)*F28-U28+AW28</f>
        <v>99.273451754856453</v>
      </c>
      <c r="W28" s="107">
        <f>V28-SUM(AC28:AR28)</f>
        <v>0</v>
      </c>
      <c r="X28" s="107">
        <f>IF(Q28=1,IF(OR(M28=0,M28="-"),H28+0.4,0.4),0)</f>
        <v>0</v>
      </c>
      <c r="Y28" s="107">
        <f t="shared" ref="Y28:Y32" si="109">IF(R28&lt;H28,R28,H28)</f>
        <v>1.862499999999975</v>
      </c>
      <c r="Z28" s="107">
        <f t="shared" ref="Z28:Z32" si="110">H28-Y28</f>
        <v>0</v>
      </c>
      <c r="AA28" s="108">
        <f t="shared" ref="AA28:AA32" si="111">IF(O28="ASFALTO",L28*F28,0)</f>
        <v>56.00000000033932</v>
      </c>
      <c r="AB28" s="108">
        <f t="shared" ref="AB28:AB32" si="112">IF(O28="CONCRETO",L28*F28,0)</f>
        <v>0</v>
      </c>
      <c r="AC28" s="109">
        <f>IF(X28=0,0,IF(X28=0.4,IF(K28&lt;=1.5,IF(Y28+0.4&gt;=1.5,0,K28*F28*0.4),0),IF(K28&lt;=1.5,IF(X28&gt;=1.5,L28*F28*1.5,K28*F28*(X28)),0)+IF(R28&lt;H28+0.4,0,IF(AND(X28&lt;=1.5,K28&lt;=1.5),-U28,0))))</f>
        <v>0</v>
      </c>
      <c r="AD28" s="109">
        <f>IF(X28=0,0,IF(X28=0.4,IF(K28&lt;=1.5,IF(OR(Y28+0.4&gt;=3,Y28+0.4&lt;1.5),0,K28*F28*0.4),0),IF(IF(K28&lt;=1.5,IF(X28&gt;=3,L28*F28*1.5,K28*F28*(X28-1.5)),0)&lt;0,0,IF(K28&lt;=1.5,IF(X28&gt;=3,L28*F28*1.5,K28*F28*(X28-1.5)),0))+IF(R28&lt;H28+0.4,0,IF(AND(X28&lt;=3,K28&lt;=1.5),-U28,0))))</f>
        <v>0</v>
      </c>
      <c r="AE28" s="109">
        <f t="shared" si="85"/>
        <v>0</v>
      </c>
      <c r="AF28" s="109">
        <f>IF(X28=0,0,IF(X28=0.4,IF(AND(K28&gt;1.5,K28&lt;=2.6),IF(Y28+0.4&gt;=1.5,0,K28*F28*0.4),0),IF(AND(K28&gt;1.5,K28&lt;=2.6),IF(X28&gt;=1.5,L28*F28*1.5,K28*F28*(X28)),0)+IF(R28&lt;H28+0.4,0,IF(AND(X28&lt;=1.5,K28&lt;=1.5),-U28,0))))</f>
        <v>0</v>
      </c>
      <c r="AG28" s="109">
        <f>IF(X28=0,0,IF(X28=0.4,IF(AND(K28&gt;1.5,K28&lt;=2.6),IF(OR(Y28+0.4&gt;=3,Y28+0.4&lt;1.5),0,K28*F28*0.4),0),IF(IF(AND(K28&gt;1.5,K28&lt;=2.6),IF(X28&gt;=3,L28*F28*1.5,K28*F28*(X28-1.5)),0)&lt;0,0,IF(AND(K28&gt;1.5,K28&lt;=2.6),IF(X28&gt;=3,L28*F28*1.5,K28*F28*(X28-1.5)),0))+IF(R28&lt;H28+0.4,0,IF(AND(X28&lt;=3,K28&lt;=1.5),-U28,0))))</f>
        <v>0</v>
      </c>
      <c r="AH28" s="109">
        <f>IF(X28=0,0,IF(X28=0.4,IF(AND(K28&gt;1.5,K28&lt;=2.6),IF(OR(Y28+0.4&gt;=4.5,Y28+0.4&lt;3),0,K28*F28*0.4),0),IF(IF(AND(K28&gt;1.5,K28&lt;=2.6),IF(X28&gt;=4.5,L28*F28*1.5,K28*F28*(X28-3)),0)&lt;0,0,IF(AND(K28&gt;1.5,K28&lt;=2.6),IF(X28&gt;=4.5,L28*F28*1.5,K28*F28*(X28-3)),0))+IF(R28&lt;H28+0.4,0,IF(AND(X28&lt;=3,K28&lt;=1.5),-U28,0))))</f>
        <v>0</v>
      </c>
      <c r="AI28" s="109">
        <f>IF(X28=0,0,IF(X28=0.4,IF(AND(K28&gt;1.5,K28&lt;=2.6),IF(OR(Y28+0.4&gt;=6,Y28+0.4&lt;4.5),0,K28*F28*0.4),0),IF(IF(AND(K28&gt;1.5,K28&lt;=2.6),IF(X28&gt;=6,L28*F28*1.5,K28*F28*(X28-4.5)),0)&lt;0,0,IF(AND(K28&gt;1.5,K28&lt;=2.6),IF(X28&gt;=6,L28*F28*1.5,K28*F28*(X28-4.5)),0))+IF(R28&lt;H28+0.4,0,IF(AND(X28&lt;=3,K28&lt;=1.5),-U28,0))))</f>
        <v>0</v>
      </c>
      <c r="AJ28" s="109">
        <f>IF(K28&lt;=1.5,IF(Y28&gt;=1.5,L28*F28*1.5,K28*F28*Y28),0)+IF(R28&lt;H28,0,IF(AND(Y28&lt;=1.5,K28&lt;=1.5),-U28,0))</f>
        <v>84.000000000508976</v>
      </c>
      <c r="AK28" s="109">
        <f>IF(IF(K28&lt;=1.5,IF(Y28&gt;=3,L28*F28*1.5,K28*F28*(Y28-1.5)),0)&lt;0,0,IF(K28&lt;=1.5,IF(Y28&gt;=3,L28*F28*1.5,K28*F28*(Y28-1.5)),0))+IF(R28&lt;H28,0,IF(AND(Y28&lt;=3,K28&lt;=1.5),-U28,0))</f>
        <v>15.273451754347473</v>
      </c>
      <c r="AL28" s="109">
        <f>IF(AND(K28&lt;=2.5,K28&gt;1.5),IF(Y28&gt;=1.5,L28*F28*1.5,K28*F28*Y28),0)+IF(R28&lt;H28,0,IF(AND(Y28&lt;=1.5,K28&gt;1.5,K28&lt;=2.5),-U28,0))</f>
        <v>0</v>
      </c>
      <c r="AM28" s="109">
        <f>IF(IF(AND(K28&lt;=2.5,K28&gt;1.5),IF(Y28&gt;=3,L28*F28*1.5,K28*F28*(Y28-1.5)),0)&lt;0,0,IF(AND(K28&lt;=2.5,K28&gt;1.5),IF(Y28&gt;=3,L28*F28*1.5,K28*F28*(Y28-1.5)),0))+IF(R28&lt;H28,0,IF(AND(Y28&lt;=3,Y28&gt;1.5,K28&gt;1.5,K28&lt;=2.5),-U28,0))</f>
        <v>0</v>
      </c>
      <c r="AN28" s="109">
        <f>IF(AND(K28&lt;=2.5,Y28&gt;=4.5),L28*F28*1.5,IF(AND(K28&lt;=2.5,Y28&gt;3),K28*F28*(Y28-3),0))+IF(R28&lt;H28,0,IF(AND(Y28&lt;=4.5,Y28&gt;3,K28&gt;1.5,K28&lt;=2.5),-U28,0))</f>
        <v>0</v>
      </c>
      <c r="AO28" s="109">
        <f>IF(K28&gt;2.5,IF(Y28&gt;=2,L28*F28*2,K28*F28*Y28),0)+IF(R28&lt;H28,0,IF(AND(Y28&lt;=2,K28&gt;=2.5),-U28,0))</f>
        <v>0</v>
      </c>
      <c r="AP28" s="109">
        <f>IF(IF(K28&gt;2.5,IF(Y28&gt;=4,L28*F28*2,K28*F28*(Y28-2)),0)&lt;0,0,IF(K28&gt;2.5,IF(Y28&gt;=4,L28*F28*2,K28*F28*(Y28-2)),0))+IF(R28&lt;H28,0,IF(AND(Y28&lt;=4,Y28&gt;2,K28&gt;2.5),-U28,0))</f>
        <v>0</v>
      </c>
      <c r="AQ28" s="109">
        <f>IF(IF(K28&gt;2.5,IF(Y28&gt;=6,L28*F28*2,K28*F28*(Y28-4)),0)&lt;0,0,IF(K28&gt;2.5,IF(Y28&gt;=6,L28*F28*2,K28*F28*(Y28-4)),0))+IF(R28&lt;H28,0,IF(AND(Y28&lt;=6,Y28&gt;4,K28&gt;2.5),-U28,0))</f>
        <v>0</v>
      </c>
      <c r="AR28" s="104">
        <f>V28-SUM(AC28:AQ28)</f>
        <v>0</v>
      </c>
      <c r="AS28" s="104">
        <f>IF(H28-S28&lt;0,0,(H28-S28)*F28)/75</f>
        <v>0</v>
      </c>
      <c r="AT28" s="104">
        <f>F28*K28*H28-PI()*(G28/1000)*(G28/1000)/4*F28+AW28</f>
        <v>92.990266447638788</v>
      </c>
      <c r="AU28" s="102">
        <f>IF(K28&lt;1.5,K28*F28*IF(G28&lt;=500,0.05,IF(G28&lt;=800,0.1,IF(G28&lt;=1200,0.15,IF(G28&gt;=1500,0.2)))),0)</f>
        <v>5.6000000000339325</v>
      </c>
      <c r="AV28" s="106">
        <f>IF(K28&gt;=1.5,K28*F28*IF(G28&lt;=500,0.05,IF(G28&lt;=800,0.1,IF(G28&lt;=1200,0.15,IF(G28&gt;=1500,0.2)))),0)</f>
        <v>0</v>
      </c>
      <c r="AW28" s="104">
        <f t="shared" ref="AW28:AW32" si="113">IF(Q28=1,0.4*F28*K28,0)</f>
        <v>0</v>
      </c>
      <c r="AX28" s="104">
        <f>IF(AW28&lt;SUM(AJ28:AQ28),0,AW28)</f>
        <v>0</v>
      </c>
      <c r="AY28" s="104">
        <f t="shared" ref="AY28:AY32" si="114">G28/1000+0.3</f>
        <v>0.89999999999999991</v>
      </c>
      <c r="AZ28" s="104">
        <f t="shared" ref="AZ28:AZ32" si="115">AY28*K28*F28-PI()*(G28/1000*G28/1000)/4*F28</f>
        <v>39.090266447313596</v>
      </c>
      <c r="BA28" s="104">
        <f t="shared" ref="BA28:BA32" si="116">IF(AZ28&lt;SUM(AJ28:AQ28),0,AZ28)</f>
        <v>0</v>
      </c>
      <c r="BB28" s="104">
        <f>IF(O28="ASFALTO",0.15*F28*K28,0)</f>
        <v>8.4000000000508983</v>
      </c>
      <c r="BC28" s="104">
        <f t="shared" ref="BC28:BC32" si="117">BB28</f>
        <v>8.4000000000508983</v>
      </c>
      <c r="BD28" s="104">
        <f>IF(O28="ASFALTO",0.03*F28*K28,0)</f>
        <v>1.6800000000101796</v>
      </c>
      <c r="BE28" s="104">
        <f t="shared" si="90"/>
        <v>31.500000000189473</v>
      </c>
      <c r="BF28" s="104">
        <f t="shared" si="91"/>
        <v>51.783185307491962</v>
      </c>
      <c r="BG28" s="104">
        <f t="shared" ref="BG28:BG32" si="118">IF(SMALL(BE28:BF28,1)&lt;0,0,SMALL(BE28:BF28,1))</f>
        <v>31.500000000189473</v>
      </c>
      <c r="BH28" s="104">
        <f t="shared" si="102"/>
        <v>20.283185307302489</v>
      </c>
      <c r="BI28" s="104">
        <f t="shared" ref="BI28:BI33" si="119">BE28-BG28</f>
        <v>0</v>
      </c>
      <c r="BJ28" s="102">
        <f t="shared" ref="BJ28:BJ32" si="120">IF($BI$33&gt;$BJ$35,($BJ$35/$BI$33)*BI28,BI28)</f>
        <v>0</v>
      </c>
      <c r="BK28" s="104">
        <f t="shared" ref="BK28:BK32" si="121">BI28-BJ28</f>
        <v>0</v>
      </c>
      <c r="BL28" s="104"/>
      <c r="BM28" s="104">
        <f>IF(AW28+BB28&gt;0,4%*(AW28+BB28),0)</f>
        <v>0.33600000000203595</v>
      </c>
      <c r="BN28" s="108">
        <f>IF(G28=400,H28,0)</f>
        <v>0</v>
      </c>
      <c r="BO28" s="110">
        <f>IF(BN28&lt;=1.75,AND(BN28&gt;0)*F28,0)</f>
        <v>0</v>
      </c>
      <c r="BP28" s="110">
        <f>IF(BN28&lt;=3,AND(BN28&gt;1.75)*F28,0)</f>
        <v>0</v>
      </c>
      <c r="BQ28" s="110">
        <f>IF(G28=500,H28,0)</f>
        <v>0</v>
      </c>
      <c r="BR28" s="104">
        <f>IF(BQ28&lt;=1.75,AND(BQ28&gt;0)*F28,0)</f>
        <v>0</v>
      </c>
      <c r="BS28" s="104">
        <f>IF(BQ28&lt;=3,AND(BQ28&gt;1.75)*F28,0)</f>
        <v>0</v>
      </c>
      <c r="BT28" s="104">
        <f>IF(G28=600,H28,0)</f>
        <v>1.862499999999975</v>
      </c>
      <c r="BU28" s="104">
        <f>IF(BT28&lt;=3,AND(BT28&gt;0)*F28,0)</f>
        <v>40.000000000242373</v>
      </c>
      <c r="BV28" s="104">
        <f>IF(BT28&lt;=6,AND(BT28&gt;3)*F28,0)</f>
        <v>0</v>
      </c>
      <c r="BW28" s="104">
        <f>IF(BT28&lt;=9,AND(BT28&gt;6)*F28,0)</f>
        <v>0</v>
      </c>
      <c r="BX28" s="104">
        <f>IF(G28=800,H28,0)</f>
        <v>0</v>
      </c>
      <c r="BY28" s="104">
        <f>IF(BX28&lt;=3,AND(BX28&gt;0)*F28,0)</f>
        <v>0</v>
      </c>
      <c r="BZ28" s="104">
        <f>IF(BX28&lt;=6,AND(BX28&gt;3)*F28,0)</f>
        <v>0</v>
      </c>
      <c r="CA28" s="104">
        <f>IF(BX28&lt;=9,AND(BX28&gt;6)*F28,0)</f>
        <v>0</v>
      </c>
      <c r="CB28" s="104">
        <f>IF(G28=1000,H28,0)</f>
        <v>0</v>
      </c>
      <c r="CC28" s="104">
        <f>IF(CB28&lt;=3,AND(CB28&gt;0)*F28,0)</f>
        <v>0</v>
      </c>
      <c r="CD28" s="104">
        <f>IF(CB28&lt;=6,AND(CB28&gt;3)*F28,0)</f>
        <v>0</v>
      </c>
      <c r="CE28" s="104">
        <f>IF(CB28&lt;=9,AND(CB28&gt;6)*F28,0)</f>
        <v>0</v>
      </c>
      <c r="CF28" s="104">
        <f>IF(G28=1200,H28,0)</f>
        <v>0</v>
      </c>
      <c r="CG28" s="104">
        <f>IF(CF28&lt;=3,AND(CF28&gt;0)*F28,0)</f>
        <v>0</v>
      </c>
      <c r="CH28" s="104">
        <f>IF(CF28&lt;=6,AND(CF28&gt;3)*F28,0)</f>
        <v>0</v>
      </c>
      <c r="CI28" s="104">
        <f>IF(CF28&lt;=9,AND(CF28&gt;6)*F28,0)</f>
        <v>0</v>
      </c>
      <c r="CJ28" s="443">
        <f>IF(G28=1500,H28,0)</f>
        <v>0</v>
      </c>
      <c r="CK28" s="104">
        <f>IF(CJ28&lt;=3,AND(CJ28&gt;0)*F28,0)</f>
        <v>0</v>
      </c>
      <c r="CL28" s="104">
        <f>IF(CJ28&lt;=6,AND(CJ28&gt;3)*F28,0)</f>
        <v>0</v>
      </c>
      <c r="CM28" s="104">
        <f>IF(CJ28&lt;=9,AND(CJ28&gt;6)*F28,0)</f>
        <v>0</v>
      </c>
      <c r="CN28" s="107">
        <f>IF(G28=1650,F28,0)</f>
        <v>0</v>
      </c>
      <c r="CO28" s="107">
        <f>IF(G28=1800,F28,0)</f>
        <v>0</v>
      </c>
      <c r="CP28" s="107">
        <f>IF(G28=2000,F28,0)</f>
        <v>0</v>
      </c>
      <c r="CQ28" s="107">
        <f>IF(G28=2200,F28,0)</f>
        <v>0</v>
      </c>
      <c r="CR28" s="107">
        <f>IF(G28=2400,F28,0)</f>
        <v>0</v>
      </c>
      <c r="CS28" s="107">
        <f>IF(G28=2600,F28,0)</f>
        <v>0</v>
      </c>
      <c r="CT28" s="444">
        <f>IF(G28=3000,F28,0)</f>
        <v>0</v>
      </c>
      <c r="CU28" s="104">
        <f>IF(G28&gt;=100,1,0)</f>
        <v>1</v>
      </c>
      <c r="CV28" s="104">
        <f>IF(CU28=1,IF(G28&lt;=600,1,0))</f>
        <v>1</v>
      </c>
      <c r="CW28" s="104">
        <f t="shared" ref="CW28:CW32" si="122">IF(CU28=1,IF($G28=800,1,0))</f>
        <v>0</v>
      </c>
      <c r="CX28" s="104">
        <f t="shared" ref="CX28:CX32" si="123">IF(CU28=1,IF($G28=1000,1,0))</f>
        <v>0</v>
      </c>
      <c r="CY28" s="104">
        <f t="shared" ref="CY28:CY32" si="124">IF(CU28=1,IF($G28=1200,1,0))</f>
        <v>0</v>
      </c>
      <c r="CZ28" s="104">
        <f t="shared" ref="CZ28:CZ32" si="125">IF(CU28=1,IF($G28=1500,1,0))</f>
        <v>0</v>
      </c>
      <c r="DA28" s="104">
        <f>IF(IF(G28&lt;=600,(D28-DB28),0)+IF(G28=800,(D28-DC28),0)+IF(G28&gt;=1000,D28-DD28,0)&lt;0,0,IF(G28&lt;=600,(D28-DB28),0)+IF(G28=800,(D28-DC28),0)+IF(G28&gt;=1000,D28-DD28,0))</f>
        <v>0.25499999999994993</v>
      </c>
      <c r="DB28" s="111">
        <v>1.3</v>
      </c>
      <c r="DC28" s="111">
        <v>1.4</v>
      </c>
      <c r="DD28" s="111">
        <v>2</v>
      </c>
      <c r="DE28" s="111">
        <v>2</v>
      </c>
      <c r="DF28" s="111">
        <v>2</v>
      </c>
      <c r="DG28" s="108">
        <f>IF(K28&lt;=1.5,IF(H28&lt;1.5,H28*F28*2,F28*2*1.5),0)</f>
        <v>120.00000000072711</v>
      </c>
      <c r="DH28" s="108">
        <f>IF(K28&lt;=1.5,IF(AND(H28&lt;3,H28&gt;1.5),(H28-1.5)*F28*2,IF(H28&gt;=3,(F28*2*1.5),0)),0)</f>
        <v>29.000000000173717</v>
      </c>
      <c r="DI28" s="108">
        <f>IF(K28&lt;=1.5,IF(AND(H28&lt;4.5,H28&gt;3),(H28-3)*F28*2,IF(H28&gt;=4.5,(F28*2*1.5),0)),0)</f>
        <v>0</v>
      </c>
      <c r="DJ28" s="108">
        <f>IF(AND(K28&lt;=2.5,K28&gt;1.5),IF(H28&lt;1.5,H28*F28*2,F28*2*1.5),0)</f>
        <v>0</v>
      </c>
      <c r="DK28" s="108">
        <f>IF(AND(K28&gt;1.5,K28&lt;=2.5),IF(AND(H28&lt;3,H28&gt;1.5),(H28-1.5)*F28*2,IF(H28&gt;=3,(F28*2*1.5),0)),0)</f>
        <v>0</v>
      </c>
      <c r="DL28" s="108">
        <f>IF(AND(K28&gt;1.5,K28&lt;=2.5),IF(AND(H28&lt;4.5,H28&gt;3),(H28-3)*F28*2,IF(H28&gt;=4.5,(F28*2*1.5),0)),0)</f>
        <v>0</v>
      </c>
      <c r="DM28" s="108">
        <f>IF(AND(K28&lt;=3.5,K28&gt;2.5),IF(H28&lt;1.5,H28*F28*2,F28*2*1.5),0)</f>
        <v>0</v>
      </c>
      <c r="DN28" s="108">
        <f>IF(AND(K28&gt;2.5,K28&lt;=3.5),IF(AND(H28&lt;3,H28&gt;1.5),(H28-1.5)*F28*2,IF(H28&gt;=3,(F28*2*1.5),0)),0)</f>
        <v>0</v>
      </c>
      <c r="DO28" s="108">
        <f>IF(AND(K28&gt;2.5,K28&lt;=3.5),IF(AND(H28&lt;4.5,H28&gt;3),(H28-3)*F28*2,IF(H28&gt;=4.5,(F28*2*1.5),0)),0)</f>
        <v>0</v>
      </c>
      <c r="DP28" s="108">
        <f>IF(AND(K28&gt;2.5,K28&lt;=3.5),IF(AND(H28&lt;6,H28&gt;4.5),(H28-4.5)*F28*2,IF(H28&gt;=6,(F28*2*1.5),0)),0)</f>
        <v>0</v>
      </c>
      <c r="DQ28" s="445"/>
    </row>
    <row r="29" spans="1:121" s="112" customFormat="1" ht="25" x14ac:dyDescent="0.25">
      <c r="A29" s="99" t="s">
        <v>2030</v>
      </c>
      <c r="B29" s="100"/>
      <c r="C29" s="100" t="str">
        <f>'Planilha Hidráulica'!B33</f>
        <v>PV2.1-&gt;PV3.1</v>
      </c>
      <c r="D29" s="100">
        <f>'Planilha Hidráulica'!R33</f>
        <v>1.73</v>
      </c>
      <c r="E29" s="100">
        <f>'Planilha Hidráulica'!S33</f>
        <v>1.8861979415236192</v>
      </c>
      <c r="F29" s="100">
        <f>'Planilha Hidráulica'!K33</f>
        <v>40.000000000146471</v>
      </c>
      <c r="G29" s="101">
        <f>'Planilha Hidráulica'!M33</f>
        <v>600</v>
      </c>
      <c r="H29" s="102">
        <f t="shared" si="104"/>
        <v>2.0280989707618096</v>
      </c>
      <c r="I29" s="102">
        <f t="shared" si="1"/>
        <v>4.0561979415384721</v>
      </c>
      <c r="J29" s="103">
        <v>0</v>
      </c>
      <c r="K29" s="104">
        <f t="shared" si="105"/>
        <v>1.4</v>
      </c>
      <c r="L29" s="104">
        <f t="shared" si="106"/>
        <v>1.4</v>
      </c>
      <c r="M29" s="104">
        <f>'Planilha Hidráulica'!X33</f>
        <v>400</v>
      </c>
      <c r="N29" s="104">
        <f t="shared" si="107"/>
        <v>56.000000000205056</v>
      </c>
      <c r="O29" s="105" t="str">
        <f>'Planilha Hidráulica'!W33</f>
        <v>ASFALTO</v>
      </c>
      <c r="P29" s="105" t="s">
        <v>2031</v>
      </c>
      <c r="Q29" s="105">
        <v>1</v>
      </c>
      <c r="R29" s="105">
        <v>5</v>
      </c>
      <c r="S29" s="105">
        <v>5</v>
      </c>
      <c r="T29" s="104">
        <f t="shared" si="108"/>
        <v>0.1</v>
      </c>
      <c r="U29" s="106">
        <f>IFERROR((PI()*(M29/1000)*(M29/1000)/4)*F29,0)</f>
        <v>5.0265482457620756</v>
      </c>
      <c r="V29" s="106">
        <f>((((J29*H29)*H29)/2)*2+K29*H29)*F29-U29+AW29</f>
        <v>130.94699411739717</v>
      </c>
      <c r="W29" s="107">
        <f>V29-SUM(AC29:AR29)</f>
        <v>0</v>
      </c>
      <c r="X29" s="107">
        <f>IF(Q29=1,IF(OR(M29=0,M29="-"),H29+0.4,0.4),0)</f>
        <v>0.4</v>
      </c>
      <c r="Y29" s="107">
        <f t="shared" si="109"/>
        <v>2.0280989707618096</v>
      </c>
      <c r="Z29" s="107">
        <f t="shared" si="110"/>
        <v>0</v>
      </c>
      <c r="AA29" s="108">
        <f t="shared" si="111"/>
        <v>56.000000000205056</v>
      </c>
      <c r="AB29" s="108">
        <f t="shared" si="112"/>
        <v>0</v>
      </c>
      <c r="AC29" s="109">
        <f>IF(X29=0,0,IF(X29=0.4,IF(K29&lt;=1.5,IF(Y29+0.4&gt;=1.5,0,K29*F29*0.4),0),IF(K29&lt;=1.5,IF(X29&gt;=1.5,L29*F29*1.5,K29*F29*(X29)),0)+IF(R29&lt;H29+0.4,0,IF(AND(X29&lt;=1.5,K29&lt;=1.5),-U29,0))))</f>
        <v>0</v>
      </c>
      <c r="AD29" s="109">
        <f>IF(X29=0,0,IF(X29=0.4,IF(K29&lt;=1.5,IF(OR(Y29+0.4&gt;=3,Y29+0.4&lt;1.5),0,K29*F29*0.4),0),IF(IF(K29&lt;=1.5,IF(X29&gt;=3,L29*F29*1.5,K29*F29*(X29-1.5)),0)&lt;0,0,IF(K29&lt;=1.5,IF(X29&gt;=3,L29*F29*1.5,K29*F29*(X29-1.5)),0))+IF(R29&lt;H29+0.4,0,IF(AND(X29&lt;=3,K29&lt;=1.5),-U29,0))))</f>
        <v>22.400000000082024</v>
      </c>
      <c r="AE29" s="109">
        <f t="shared" si="85"/>
        <v>0</v>
      </c>
      <c r="AF29" s="109">
        <f>IF(X29=0,0,IF(X29=0.4,IF(AND(K29&gt;1.5,K29&lt;=2.6),IF(Y29+0.4&gt;=1.5,0,K29*F29*0.4),0),IF(AND(K29&gt;1.5,K29&lt;=2.6),IF(X29&gt;=1.5,L29*F29*1.5,K29*F29*(X29)),0)+IF(R29&lt;H29+0.4,0,IF(AND(X29&lt;=1.5,K29&lt;=1.5),-U29,0))))</f>
        <v>0</v>
      </c>
      <c r="AG29" s="109">
        <f>IF(X29=0,0,IF(X29=0.4,IF(AND(K29&gt;1.5,K29&lt;=2.6),IF(OR(Y29+0.4&gt;=3,Y29+0.4&lt;1.5),0,K29*F29*0.4),0),IF(IF(AND(K29&gt;1.5,K29&lt;=2.6),IF(X29&gt;=3,L29*F29*1.5,K29*F29*(X29-1.5)),0)&lt;0,0,IF(AND(K29&gt;1.5,K29&lt;=2.6),IF(X29&gt;=3,L29*F29*1.5,K29*F29*(X29-1.5)),0))+IF(R29&lt;H29+0.4,0,IF(AND(X29&lt;=3,K29&lt;=1.5),-U29,0))))</f>
        <v>0</v>
      </c>
      <c r="AH29" s="109">
        <f>IF(X29=0,0,IF(X29=0.4,IF(AND(K29&gt;1.5,K29&lt;=2.6),IF(OR(Y29+0.4&gt;=4.5,Y29+0.4&lt;3),0,K29*F29*0.4),0),IF(IF(AND(K29&gt;1.5,K29&lt;=2.6),IF(X29&gt;=4.5,L29*F29*1.5,K29*F29*(X29-3)),0)&lt;0,0,IF(AND(K29&gt;1.5,K29&lt;=2.6),IF(X29&gt;=4.5,L29*F29*1.5,K29*F29*(X29-3)),0))+IF(R29&lt;H29+0.4,0,IF(AND(X29&lt;=3,K29&lt;=1.5),-U29,0))))</f>
        <v>0</v>
      </c>
      <c r="AI29" s="109">
        <f>IF(X29=0,0,IF(X29=0.4,IF(AND(K29&gt;1.5,K29&lt;=2.6),IF(OR(Y29+0.4&gt;=6,Y29+0.4&lt;4.5),0,K29*F29*0.4),0),IF(IF(AND(K29&gt;1.5,K29&lt;=2.6),IF(X29&gt;=6,L29*F29*1.5,K29*F29*(X29-4.5)),0)&lt;0,0,IF(AND(K29&gt;1.5,K29&lt;=2.6),IF(X29&gt;=6,L29*F29*1.5,K29*F29*(X29-4.5)),0))+IF(R29&lt;H29+0.4,0,IF(AND(X29&lt;=3,K29&lt;=1.5),-U29,0))))</f>
        <v>0</v>
      </c>
      <c r="AJ29" s="109">
        <f>IF(K29&lt;=1.5,IF(Y29&gt;=1.5,L29*F29*1.5,K29*F29*Y29),0)+IF(R29&lt;H29,0,IF(AND(Y29&lt;=1.5,K29&lt;=1.5),-U29,0))</f>
        <v>84.00000000030758</v>
      </c>
      <c r="AK29" s="109">
        <f>IF(IF(K29&lt;=1.5,IF(Y29&gt;=3,L29*F29*1.5,K29*F29*(Y29-1.5)),0)&lt;0,0,IF(K29&lt;=1.5,IF(Y29&gt;=3,L29*F29*1.5,K29*F29*(Y29-1.5)),0))+IF(R29&lt;H29,0,IF(AND(Y29&lt;=3,K29&lt;=1.5),-U29,0))</f>
        <v>24.54699411700755</v>
      </c>
      <c r="AL29" s="109">
        <f>IF(AND(K29&lt;=2.5,K29&gt;1.5),IF(Y29&gt;=1.5,L29*F29*1.5,K29*F29*Y29),0)+IF(R29&lt;H29,0,IF(AND(Y29&lt;=1.5,K29&gt;1.5,K29&lt;=2.5),-U29,0))</f>
        <v>0</v>
      </c>
      <c r="AM29" s="109">
        <f>IF(IF(AND(K29&lt;=2.5,K29&gt;1.5),IF(Y29&gt;=3,L29*F29*1.5,K29*F29*(Y29-1.5)),0)&lt;0,0,IF(AND(K29&lt;=2.5,K29&gt;1.5),IF(Y29&gt;=3,L29*F29*1.5,K29*F29*(Y29-1.5)),0))+IF(R29&lt;H29,0,IF(AND(Y29&lt;=3,Y29&gt;1.5,K29&gt;1.5,K29&lt;=2.5),-U29,0))</f>
        <v>0</v>
      </c>
      <c r="AN29" s="109">
        <f>IF(AND(K29&lt;=2.5,Y29&gt;=4.5),L29*F29*1.5,IF(AND(K29&lt;=2.5,Y29&gt;3),K29*F29*(Y29-3),0))+IF(R29&lt;H29,0,IF(AND(Y29&lt;=4.5,Y29&gt;3,K29&gt;1.5,K29&lt;=2.5),-U29,0))</f>
        <v>0</v>
      </c>
      <c r="AO29" s="109">
        <f>IF(K29&gt;2.5,IF(Y29&gt;=2,L29*F29*2,K29*F29*Y29),0)+IF(R29&lt;H29,0,IF(AND(Y29&lt;=2,K29&gt;=2.5),-U29,0))</f>
        <v>0</v>
      </c>
      <c r="AP29" s="109">
        <f>IF(IF(K29&gt;2.5,IF(Y29&gt;=4,L29*F29*2,K29*F29*(Y29-2)),0)&lt;0,0,IF(K29&gt;2.5,IF(Y29&gt;=4,L29*F29*2,K29*F29*(Y29-2)),0))+IF(R29&lt;H29,0,IF(AND(Y29&lt;=4,Y29&gt;2,K29&gt;2.5),-U29,0))</f>
        <v>0</v>
      </c>
      <c r="AQ29" s="109">
        <f>IF(IF(K29&gt;2.5,IF(Y29&gt;=6,L29*F29*2,K29*F29*(Y29-4)),0)&lt;0,0,IF(K29&gt;2.5,IF(Y29&gt;=6,L29*F29*2,K29*F29*(Y29-4)),0))+IF(R29&lt;H29,0,IF(AND(Y29&lt;=6,Y29&gt;4,K29&gt;2.5),-U29,0))</f>
        <v>0</v>
      </c>
      <c r="AR29" s="104">
        <f>V29-SUM(AC29:AQ29)</f>
        <v>0</v>
      </c>
      <c r="AS29" s="104">
        <f>IF(H29-S29&lt;0,0,(H29-S29)*F29)/75</f>
        <v>0</v>
      </c>
      <c r="AT29" s="104">
        <f>F29*K29*H29-PI()*(G29/1000)*(G29/1000)/4*F29+AW29</f>
        <v>124.66380881019455</v>
      </c>
      <c r="AU29" s="102">
        <f>IF(K29&lt;1.5,K29*F29*IF(G29&lt;=500,0.05,IF(G29&lt;=800,0.1,IF(G29&lt;=1200,0.15,IF(G29&gt;=1500,0.2)))),0)</f>
        <v>5.6000000000205059</v>
      </c>
      <c r="AV29" s="106">
        <f>IF(K29&gt;=1.5,K29*F29*IF(G29&lt;=500,0.05,IF(G29&lt;=800,0.1,IF(G29&lt;=1200,0.15,IF(G29&gt;=1500,0.2)))),0)</f>
        <v>0</v>
      </c>
      <c r="AW29" s="104">
        <f t="shared" si="113"/>
        <v>22.40000000008202</v>
      </c>
      <c r="AX29" s="104">
        <f>IF(AW29&lt;SUM(AJ29:AQ29),0,AW29)</f>
        <v>0</v>
      </c>
      <c r="AY29" s="104">
        <f t="shared" si="114"/>
        <v>0.89999999999999991</v>
      </c>
      <c r="AZ29" s="104">
        <f t="shared" si="115"/>
        <v>39.090266447219875</v>
      </c>
      <c r="BA29" s="104">
        <f t="shared" si="116"/>
        <v>0</v>
      </c>
      <c r="BB29" s="104">
        <f>IF(O29="ASFALTO",0.15*F29*K29,0)</f>
        <v>8.400000000030758</v>
      </c>
      <c r="BC29" s="104">
        <f t="shared" si="117"/>
        <v>8.400000000030758</v>
      </c>
      <c r="BD29" s="104">
        <f>IF(O29="ASFALTO",0.03*F29*K29,0)</f>
        <v>1.6800000000061515</v>
      </c>
      <c r="BE29" s="104">
        <f t="shared" si="90"/>
        <v>40.773542362810645</v>
      </c>
      <c r="BF29" s="104">
        <f t="shared" si="91"/>
        <v>38.656727669982487</v>
      </c>
      <c r="BG29" s="104">
        <f t="shared" si="118"/>
        <v>38.656727669982487</v>
      </c>
      <c r="BH29" s="104">
        <f t="shared" si="102"/>
        <v>0</v>
      </c>
      <c r="BI29" s="104">
        <f t="shared" si="119"/>
        <v>2.1168146928281573</v>
      </c>
      <c r="BJ29" s="102">
        <f t="shared" si="120"/>
        <v>0.3587177672161298</v>
      </c>
      <c r="BK29" s="104">
        <f t="shared" si="121"/>
        <v>1.7580969256120276</v>
      </c>
      <c r="BL29" s="104"/>
      <c r="BM29" s="104">
        <f>IF(AW29+BB29&gt;0,4%*(AW29+BB29),0)</f>
        <v>1.232000000004511</v>
      </c>
      <c r="BN29" s="108">
        <f>IF(G29=400,H29,0)</f>
        <v>0</v>
      </c>
      <c r="BO29" s="110">
        <f>IF(BN29&lt;=1.75,AND(BN29&gt;0)*F29,0)</f>
        <v>0</v>
      </c>
      <c r="BP29" s="110">
        <f>IF(BN29&lt;=3,AND(BN29&gt;1.75)*F29,0)</f>
        <v>0</v>
      </c>
      <c r="BQ29" s="110">
        <f>IF(G29=500,H29,0)</f>
        <v>0</v>
      </c>
      <c r="BR29" s="104">
        <f>IF(BQ29&lt;=1.75,AND(BQ29&gt;0)*F29,0)</f>
        <v>0</v>
      </c>
      <c r="BS29" s="104">
        <f>IF(BQ29&lt;=3,AND(BQ29&gt;1.75)*F29,0)</f>
        <v>0</v>
      </c>
      <c r="BT29" s="104">
        <f>IF(G29=600,H29,0)</f>
        <v>2.0280989707618096</v>
      </c>
      <c r="BU29" s="104">
        <f>IF(BT29&lt;=3,AND(BT29&gt;0)*F29,0)</f>
        <v>40.000000000146471</v>
      </c>
      <c r="BV29" s="104">
        <f>IF(BT29&lt;=6,AND(BT29&gt;3)*F29,0)</f>
        <v>0</v>
      </c>
      <c r="BW29" s="104">
        <f>IF(BT29&lt;=9,AND(BT29&gt;6)*F29,0)</f>
        <v>0</v>
      </c>
      <c r="BX29" s="104">
        <f>IF(G29=800,H29,0)</f>
        <v>0</v>
      </c>
      <c r="BY29" s="104">
        <f>IF(BX29&lt;=3,AND(BX29&gt;0)*F29,0)</f>
        <v>0</v>
      </c>
      <c r="BZ29" s="104">
        <f>IF(BX29&lt;=6,AND(BX29&gt;3)*F29,0)</f>
        <v>0</v>
      </c>
      <c r="CA29" s="104">
        <f>IF(BX29&lt;=9,AND(BX29&gt;6)*F29,0)</f>
        <v>0</v>
      </c>
      <c r="CB29" s="104">
        <f>IF(G29=1000,H29,0)</f>
        <v>0</v>
      </c>
      <c r="CC29" s="104">
        <f>IF(CB29&lt;=3,AND(CB29&gt;0)*F29,0)</f>
        <v>0</v>
      </c>
      <c r="CD29" s="104">
        <f>IF(CB29&lt;=6,AND(CB29&gt;3)*F29,0)</f>
        <v>0</v>
      </c>
      <c r="CE29" s="104">
        <f>IF(CB29&lt;=9,AND(CB29&gt;6)*F29,0)</f>
        <v>0</v>
      </c>
      <c r="CF29" s="104">
        <f>IF(G29=1200,H29,0)</f>
        <v>0</v>
      </c>
      <c r="CG29" s="104">
        <f>IF(CF29&lt;=3,AND(CF29&gt;0)*F29,0)</f>
        <v>0</v>
      </c>
      <c r="CH29" s="104">
        <f>IF(CF29&lt;=6,AND(CF29&gt;3)*F29,0)</f>
        <v>0</v>
      </c>
      <c r="CI29" s="104">
        <f>IF(CF29&lt;=9,AND(CF29&gt;6)*F29,0)</f>
        <v>0</v>
      </c>
      <c r="CJ29" s="443">
        <f>IF(G29=1500,H29,0)</f>
        <v>0</v>
      </c>
      <c r="CK29" s="104">
        <f>IF(CJ29&lt;=3,AND(CJ29&gt;0)*F29,0)</f>
        <v>0</v>
      </c>
      <c r="CL29" s="104">
        <f>IF(CJ29&lt;=6,AND(CJ29&gt;3)*F29,0)</f>
        <v>0</v>
      </c>
      <c r="CM29" s="104">
        <f>IF(CJ29&lt;=9,AND(CJ29&gt;6)*F29,0)</f>
        <v>0</v>
      </c>
      <c r="CN29" s="107">
        <f>IF(G29=1650,F29,0)</f>
        <v>0</v>
      </c>
      <c r="CO29" s="107">
        <f>IF(G29=1800,F29,0)</f>
        <v>0</v>
      </c>
      <c r="CP29" s="107">
        <f>IF(G29=2000,F29,0)</f>
        <v>0</v>
      </c>
      <c r="CQ29" s="107">
        <f>IF(G29=2200,F29,0)</f>
        <v>0</v>
      </c>
      <c r="CR29" s="107">
        <f>IF(G29=2400,F29,0)</f>
        <v>0</v>
      </c>
      <c r="CS29" s="107">
        <f>IF(G29=2600,F29,0)</f>
        <v>0</v>
      </c>
      <c r="CT29" s="444">
        <f>IF(G29=3000,F29,0)</f>
        <v>0</v>
      </c>
      <c r="CU29" s="104">
        <f>IF(G29&gt;=100,1,0)</f>
        <v>1</v>
      </c>
      <c r="CV29" s="104">
        <f>IF(CU29=1,IF(G29&lt;=600,1,0))</f>
        <v>1</v>
      </c>
      <c r="CW29" s="104">
        <f t="shared" si="122"/>
        <v>0</v>
      </c>
      <c r="CX29" s="104">
        <f t="shared" si="123"/>
        <v>0</v>
      </c>
      <c r="CY29" s="104">
        <f t="shared" si="124"/>
        <v>0</v>
      </c>
      <c r="CZ29" s="104">
        <f t="shared" si="125"/>
        <v>0</v>
      </c>
      <c r="DA29" s="104">
        <f>IF(IF(G29&lt;=600,(D29-DB29),0)+IF(G29=800,(D29-DC29),0)+IF(G29&gt;=1000,D29-DD29,0)&lt;0,0,IF(G29&lt;=600,(D29-DB29),0)+IF(G29=800,(D29-DC29),0)+IF(G29&gt;=1000,D29-DD29,0))</f>
        <v>0.42999999999999994</v>
      </c>
      <c r="DB29" s="111">
        <v>1.3</v>
      </c>
      <c r="DC29" s="111">
        <v>1.4</v>
      </c>
      <c r="DD29" s="111">
        <v>2</v>
      </c>
      <c r="DE29" s="111">
        <v>2</v>
      </c>
      <c r="DF29" s="111">
        <v>2</v>
      </c>
      <c r="DG29" s="108">
        <f>IF(K29&lt;=1.5,IF(H29&lt;1.5,H29*F29*2,F29*2*1.5),0)</f>
        <v>120.00000000043941</v>
      </c>
      <c r="DH29" s="108">
        <f>IF(K29&lt;=1.5,IF(AND(H29&lt;3,H29&gt;1.5),(H29-1.5)*F29*2,IF(H29&gt;=3,(F29*2*1.5),0)),0)</f>
        <v>42.247917661099464</v>
      </c>
      <c r="DI29" s="108">
        <f>IF(K29&lt;=1.5,IF(AND(H29&lt;4.5,H29&gt;3),(H29-3)*F29*2,IF(H29&gt;=4.5,(F29*2*1.5),0)),0)</f>
        <v>0</v>
      </c>
      <c r="DJ29" s="108">
        <f>IF(AND(K29&lt;=2.5,K29&gt;1.5),IF(H29&lt;1.5,H29*F29*2,F29*2*1.5),0)</f>
        <v>0</v>
      </c>
      <c r="DK29" s="108">
        <f>IF(AND(K29&gt;1.5,K29&lt;=2.5),IF(AND(H29&lt;3,H29&gt;1.5),(H29-1.5)*F29*2,IF(H29&gt;=3,(F29*2*1.5),0)),0)</f>
        <v>0</v>
      </c>
      <c r="DL29" s="108">
        <f>IF(AND(K29&gt;1.5,K29&lt;=2.5),IF(AND(H29&lt;4.5,H29&gt;3),(H29-3)*F29*2,IF(H29&gt;=4.5,(F29*2*1.5),0)),0)</f>
        <v>0</v>
      </c>
      <c r="DM29" s="108">
        <f>IF(AND(K29&lt;=3.5,K29&gt;2.5),IF(H29&lt;1.5,H29*F29*2,F29*2*1.5),0)</f>
        <v>0</v>
      </c>
      <c r="DN29" s="108">
        <f>IF(AND(K29&gt;2.5,K29&lt;=3.5),IF(AND(H29&lt;3,H29&gt;1.5),(H29-1.5)*F29*2,IF(H29&gt;=3,(F29*2*1.5),0)),0)</f>
        <v>0</v>
      </c>
      <c r="DO29" s="108">
        <f>IF(AND(K29&gt;2.5,K29&lt;=3.5),IF(AND(H29&lt;4.5,H29&gt;3),(H29-3)*F29*2,IF(H29&gt;=4.5,(F29*2*1.5),0)),0)</f>
        <v>0</v>
      </c>
      <c r="DP29" s="108">
        <f>IF(AND(K29&gt;2.5,K29&lt;=3.5),IF(AND(H29&lt;6,H29&gt;4.5),(H29-4.5)*F29*2,IF(H29&gt;=6,(F29*2*1.5),0)),0)</f>
        <v>0</v>
      </c>
      <c r="DQ29" s="445"/>
    </row>
    <row r="30" spans="1:121" s="112" customFormat="1" ht="25" x14ac:dyDescent="0.25">
      <c r="A30" s="99" t="s">
        <v>2030</v>
      </c>
      <c r="B30" s="100"/>
      <c r="C30" s="100" t="str">
        <f>'Planilha Hidráulica'!B34</f>
        <v>PV3.1-&gt;PV4.1</v>
      </c>
      <c r="D30" s="100">
        <f>'Planilha Hidráulica'!R34</f>
        <v>1.89</v>
      </c>
      <c r="E30" s="100">
        <f>'Planilha Hidráulica'!S34</f>
        <v>2.15</v>
      </c>
      <c r="F30" s="100">
        <f>'Planilha Hidráulica'!K34</f>
        <v>40.000000000098517</v>
      </c>
      <c r="G30" s="101">
        <f>'Planilha Hidráulica'!M34</f>
        <v>600</v>
      </c>
      <c r="H30" s="102">
        <f t="shared" si="104"/>
        <v>2.2400000000000002</v>
      </c>
      <c r="I30" s="102">
        <f t="shared" si="1"/>
        <v>4.4800000000110343</v>
      </c>
      <c r="J30" s="103">
        <v>0</v>
      </c>
      <c r="K30" s="104">
        <f t="shared" si="105"/>
        <v>1.4</v>
      </c>
      <c r="L30" s="104">
        <f t="shared" si="106"/>
        <v>1.4</v>
      </c>
      <c r="M30" s="104">
        <f>'Planilha Hidráulica'!X34</f>
        <v>400</v>
      </c>
      <c r="N30" s="104">
        <f t="shared" si="107"/>
        <v>56.000000000137916</v>
      </c>
      <c r="O30" s="105" t="str">
        <f>'Planilha Hidráulica'!W34</f>
        <v>ASFALTO</v>
      </c>
      <c r="P30" s="105" t="s">
        <v>2031</v>
      </c>
      <c r="Q30" s="105">
        <v>1</v>
      </c>
      <c r="R30" s="105">
        <v>5</v>
      </c>
      <c r="S30" s="105">
        <v>5</v>
      </c>
      <c r="T30" s="104">
        <f t="shared" si="108"/>
        <v>0.1</v>
      </c>
      <c r="U30" s="106">
        <f>IFERROR((PI()*(M30/1000)*(M30/1000)/4)*F30,0)</f>
        <v>5.0265482457560493</v>
      </c>
      <c r="V30" s="106">
        <f>((((J30*H30)*H30)/2)*2+K30*H30)*F30-U30+AW30</f>
        <v>142.81345175460808</v>
      </c>
      <c r="W30" s="107">
        <f>V30-SUM(AC30:AR30)</f>
        <v>0</v>
      </c>
      <c r="X30" s="107">
        <f>IF(Q30=1,IF(OR(M30=0,M30="-"),H30+0.4,0.4),0)</f>
        <v>0.4</v>
      </c>
      <c r="Y30" s="107">
        <f t="shared" si="109"/>
        <v>2.2400000000000002</v>
      </c>
      <c r="Z30" s="107">
        <f t="shared" si="110"/>
        <v>0</v>
      </c>
      <c r="AA30" s="108">
        <f t="shared" si="111"/>
        <v>56.000000000137916</v>
      </c>
      <c r="AB30" s="108">
        <f t="shared" si="112"/>
        <v>0</v>
      </c>
      <c r="AC30" s="109">
        <f>IF(X30=0,0,IF(X30=0.4,IF(K30&lt;=1.5,IF(Y30+0.4&gt;=1.5,0,K30*F30*0.4),0),IF(K30&lt;=1.5,IF(X30&gt;=1.5,L30*F30*1.5,K30*F30*(X30)),0)+IF(R30&lt;H30+0.4,0,IF(AND(X30&lt;=1.5,K30&lt;=1.5),-U30,0))))</f>
        <v>0</v>
      </c>
      <c r="AD30" s="109">
        <f>IF(X30=0,0,IF(X30=0.4,IF(K30&lt;=1.5,IF(OR(Y30+0.4&gt;=3,Y30+0.4&lt;1.5),0,K30*F30*0.4),0),IF(IF(K30&lt;=1.5,IF(X30&gt;=3,L30*F30*1.5,K30*F30*(X30-1.5)),0)&lt;0,0,IF(K30&lt;=1.5,IF(X30&gt;=3,L30*F30*1.5,K30*F30*(X30-1.5)),0))+IF(R30&lt;H30+0.4,0,IF(AND(X30&lt;=3,K30&lt;=1.5),-U30,0))))</f>
        <v>22.400000000055169</v>
      </c>
      <c r="AE30" s="109">
        <f t="shared" si="85"/>
        <v>0</v>
      </c>
      <c r="AF30" s="109">
        <f>IF(X30=0,0,IF(X30=0.4,IF(AND(K30&gt;1.5,K30&lt;=2.6),IF(Y30+0.4&gt;=1.5,0,K30*F30*0.4),0),IF(AND(K30&gt;1.5,K30&lt;=2.6),IF(X30&gt;=1.5,L30*F30*1.5,K30*F30*(X30)),0)+IF(R30&lt;H30+0.4,0,IF(AND(X30&lt;=1.5,K30&lt;=1.5),-U30,0))))</f>
        <v>0</v>
      </c>
      <c r="AG30" s="109">
        <f>IF(X30=0,0,IF(X30=0.4,IF(AND(K30&gt;1.5,K30&lt;=2.6),IF(OR(Y30+0.4&gt;=3,Y30+0.4&lt;1.5),0,K30*F30*0.4),0),IF(IF(AND(K30&gt;1.5,K30&lt;=2.6),IF(X30&gt;=3,L30*F30*1.5,K30*F30*(X30-1.5)),0)&lt;0,0,IF(AND(K30&gt;1.5,K30&lt;=2.6),IF(X30&gt;=3,L30*F30*1.5,K30*F30*(X30-1.5)),0))+IF(R30&lt;H30+0.4,0,IF(AND(X30&lt;=3,K30&lt;=1.5),-U30,0))))</f>
        <v>0</v>
      </c>
      <c r="AH30" s="109">
        <f>IF(X30=0,0,IF(X30=0.4,IF(AND(K30&gt;1.5,K30&lt;=2.6),IF(OR(Y30+0.4&gt;=4.5,Y30+0.4&lt;3),0,K30*F30*0.4),0),IF(IF(AND(K30&gt;1.5,K30&lt;=2.6),IF(X30&gt;=4.5,L30*F30*1.5,K30*F30*(X30-3)),0)&lt;0,0,IF(AND(K30&gt;1.5,K30&lt;=2.6),IF(X30&gt;=4.5,L30*F30*1.5,K30*F30*(X30-3)),0))+IF(R30&lt;H30+0.4,0,IF(AND(X30&lt;=3,K30&lt;=1.5),-U30,0))))</f>
        <v>0</v>
      </c>
      <c r="AI30" s="109">
        <f>IF(X30=0,0,IF(X30=0.4,IF(AND(K30&gt;1.5,K30&lt;=2.6),IF(OR(Y30+0.4&gt;=6,Y30+0.4&lt;4.5),0,K30*F30*0.4),0),IF(IF(AND(K30&gt;1.5,K30&lt;=2.6),IF(X30&gt;=6,L30*F30*1.5,K30*F30*(X30-4.5)),0)&lt;0,0,IF(AND(K30&gt;1.5,K30&lt;=2.6),IF(X30&gt;=6,L30*F30*1.5,K30*F30*(X30-4.5)),0))+IF(R30&lt;H30+0.4,0,IF(AND(X30&lt;=3,K30&lt;=1.5),-U30,0))))</f>
        <v>0</v>
      </c>
      <c r="AJ30" s="109">
        <f>IF(K30&lt;=1.5,IF(Y30&gt;=1.5,L30*F30*1.5,K30*F30*Y30),0)+IF(R30&lt;H30,0,IF(AND(Y30&lt;=1.5,K30&lt;=1.5),-U30,0))</f>
        <v>84.000000000206882</v>
      </c>
      <c r="AK30" s="109">
        <f>IF(IF(K30&lt;=1.5,IF(Y30&gt;=3,L30*F30*1.5,K30*F30*(Y30-1.5)),0)&lt;0,0,IF(K30&lt;=1.5,IF(Y30&gt;=3,L30*F30*1.5,K30*F30*(Y30-1.5)),0))+IF(R30&lt;H30,0,IF(AND(Y30&lt;=3,K30&lt;=1.5),-U30,0))</f>
        <v>36.413451754346021</v>
      </c>
      <c r="AL30" s="109">
        <f>IF(AND(K30&lt;=2.5,K30&gt;1.5),IF(Y30&gt;=1.5,L30*F30*1.5,K30*F30*Y30),0)+IF(R30&lt;H30,0,IF(AND(Y30&lt;=1.5,K30&gt;1.5,K30&lt;=2.5),-U30,0))</f>
        <v>0</v>
      </c>
      <c r="AM30" s="109">
        <f>IF(IF(AND(K30&lt;=2.5,K30&gt;1.5),IF(Y30&gt;=3,L30*F30*1.5,K30*F30*(Y30-1.5)),0)&lt;0,0,IF(AND(K30&lt;=2.5,K30&gt;1.5),IF(Y30&gt;=3,L30*F30*1.5,K30*F30*(Y30-1.5)),0))+IF(R30&lt;H30,0,IF(AND(Y30&lt;=3,Y30&gt;1.5,K30&gt;1.5,K30&lt;=2.5),-U30,0))</f>
        <v>0</v>
      </c>
      <c r="AN30" s="109">
        <f>IF(AND(K30&lt;=2.5,Y30&gt;=4.5),L30*F30*1.5,IF(AND(K30&lt;=2.5,Y30&gt;3),K30*F30*(Y30-3),0))+IF(R30&lt;H30,0,IF(AND(Y30&lt;=4.5,Y30&gt;3,K30&gt;1.5,K30&lt;=2.5),-U30,0))</f>
        <v>0</v>
      </c>
      <c r="AO30" s="109">
        <f>IF(K30&gt;2.5,IF(Y30&gt;=2,L30*F30*2,K30*F30*Y30),0)+IF(R30&lt;H30,0,IF(AND(Y30&lt;=2,K30&gt;=2.5),-U30,0))</f>
        <v>0</v>
      </c>
      <c r="AP30" s="109">
        <f>IF(IF(K30&gt;2.5,IF(Y30&gt;=4,L30*F30*2,K30*F30*(Y30-2)),0)&lt;0,0,IF(K30&gt;2.5,IF(Y30&gt;=4,L30*F30*2,K30*F30*(Y30-2)),0))+IF(R30&lt;H30,0,IF(AND(Y30&lt;=4,Y30&gt;2,K30&gt;2.5),-U30,0))</f>
        <v>0</v>
      </c>
      <c r="AQ30" s="109">
        <f>IF(IF(K30&gt;2.5,IF(Y30&gt;=6,L30*F30*2,K30*F30*(Y30-4)),0)&lt;0,0,IF(K30&gt;2.5,IF(Y30&gt;=6,L30*F30*2,K30*F30*(Y30-4)),0))+IF(R30&lt;H30,0,IF(AND(Y30&lt;=6,Y30&gt;4,K30&gt;2.5),-U30,0))</f>
        <v>0</v>
      </c>
      <c r="AR30" s="104">
        <f>V30-SUM(AC30:AQ30)</f>
        <v>0</v>
      </c>
      <c r="AS30" s="104">
        <f>IF(H30-S30&lt;0,0,(H30-S30)*F30)/75</f>
        <v>0</v>
      </c>
      <c r="AT30" s="104">
        <f>F30*K30*H30-PI()*(G30/1000)*(G30/1000)/4*F30+AW30</f>
        <v>136.530266447413</v>
      </c>
      <c r="AU30" s="102">
        <f>IF(K30&lt;1.5,K30*F30*IF(G30&lt;=500,0.05,IF(G30&lt;=800,0.1,IF(G30&lt;=1200,0.15,IF(G30&gt;=1500,0.2)))),0)</f>
        <v>5.6000000000137922</v>
      </c>
      <c r="AV30" s="106">
        <f>IF(K30&gt;=1.5,K30*F30*IF(G30&lt;=500,0.05,IF(G30&lt;=800,0.1,IF(G30&lt;=1200,0.15,IF(G30&gt;=1500,0.2)))),0)</f>
        <v>0</v>
      </c>
      <c r="AW30" s="104">
        <f t="shared" si="113"/>
        <v>22.400000000055169</v>
      </c>
      <c r="AX30" s="104">
        <f>IF(AW30&lt;SUM(AJ30:AQ30),0,AW30)</f>
        <v>0</v>
      </c>
      <c r="AY30" s="104">
        <f t="shared" si="114"/>
        <v>0.89999999999999991</v>
      </c>
      <c r="AZ30" s="104">
        <f t="shared" si="115"/>
        <v>39.090266447173015</v>
      </c>
      <c r="BA30" s="104">
        <f t="shared" si="116"/>
        <v>0</v>
      </c>
      <c r="BB30" s="104">
        <f>IF(O30="ASFALTO",0.15*F30*K30,0)</f>
        <v>8.4000000000206878</v>
      </c>
      <c r="BC30" s="104">
        <f t="shared" si="117"/>
        <v>8.4000000000206878</v>
      </c>
      <c r="BD30" s="104">
        <f>IF(O30="ASFALTO",0.03*F30*K30,0)</f>
        <v>1.6800000000041375</v>
      </c>
      <c r="BE30" s="104">
        <f t="shared" si="90"/>
        <v>52.640000000129653</v>
      </c>
      <c r="BF30" s="104">
        <f t="shared" si="91"/>
        <v>50.52318530730404</v>
      </c>
      <c r="BG30" s="104">
        <f t="shared" si="118"/>
        <v>50.52318530730404</v>
      </c>
      <c r="BH30" s="104">
        <f t="shared" si="102"/>
        <v>0</v>
      </c>
      <c r="BI30" s="104">
        <f t="shared" si="119"/>
        <v>2.1168146928256135</v>
      </c>
      <c r="BJ30" s="102">
        <f t="shared" si="120"/>
        <v>0.3587177672156987</v>
      </c>
      <c r="BK30" s="104">
        <f t="shared" si="121"/>
        <v>1.7580969256099148</v>
      </c>
      <c r="BL30" s="104"/>
      <c r="BM30" s="104">
        <f>IF(AW30+BB30&gt;0,4%*(AW30+BB30),0)</f>
        <v>1.2320000000030342</v>
      </c>
      <c r="BN30" s="108">
        <f>IF(G30=400,H30,0)</f>
        <v>0</v>
      </c>
      <c r="BO30" s="110">
        <f>IF(BN30&lt;=1.75,AND(BN30&gt;0)*F30,0)</f>
        <v>0</v>
      </c>
      <c r="BP30" s="110">
        <f>IF(BN30&lt;=3,AND(BN30&gt;1.75)*F30,0)</f>
        <v>0</v>
      </c>
      <c r="BQ30" s="110">
        <f>IF(G30=500,H30,0)</f>
        <v>0</v>
      </c>
      <c r="BR30" s="104">
        <f>IF(BQ30&lt;=1.75,AND(BQ30&gt;0)*F30,0)</f>
        <v>0</v>
      </c>
      <c r="BS30" s="104">
        <f>IF(BQ30&lt;=3,AND(BQ30&gt;1.75)*F30,0)</f>
        <v>0</v>
      </c>
      <c r="BT30" s="104">
        <f>IF(G30=600,H30,0)</f>
        <v>2.2400000000000002</v>
      </c>
      <c r="BU30" s="104">
        <f>IF(BT30&lt;=3,AND(BT30&gt;0)*F30,0)</f>
        <v>40.000000000098517</v>
      </c>
      <c r="BV30" s="104">
        <f>IF(BT30&lt;=6,AND(BT30&gt;3)*F30,0)</f>
        <v>0</v>
      </c>
      <c r="BW30" s="104">
        <f>IF(BT30&lt;=9,AND(BT30&gt;6)*F30,0)</f>
        <v>0</v>
      </c>
      <c r="BX30" s="104">
        <f>IF(G30=800,H30,0)</f>
        <v>0</v>
      </c>
      <c r="BY30" s="104">
        <f>IF(BX30&lt;=3,AND(BX30&gt;0)*F30,0)</f>
        <v>0</v>
      </c>
      <c r="BZ30" s="104">
        <f>IF(BX30&lt;=6,AND(BX30&gt;3)*F30,0)</f>
        <v>0</v>
      </c>
      <c r="CA30" s="104">
        <f>IF(BX30&lt;=9,AND(BX30&gt;6)*F30,0)</f>
        <v>0</v>
      </c>
      <c r="CB30" s="104">
        <f>IF(G30=1000,H30,0)</f>
        <v>0</v>
      </c>
      <c r="CC30" s="104">
        <f>IF(CB30&lt;=3,AND(CB30&gt;0)*F30,0)</f>
        <v>0</v>
      </c>
      <c r="CD30" s="104">
        <f>IF(CB30&lt;=6,AND(CB30&gt;3)*F30,0)</f>
        <v>0</v>
      </c>
      <c r="CE30" s="104">
        <f>IF(CB30&lt;=9,AND(CB30&gt;6)*F30,0)</f>
        <v>0</v>
      </c>
      <c r="CF30" s="104">
        <f>IF(G30=1200,H30,0)</f>
        <v>0</v>
      </c>
      <c r="CG30" s="104">
        <f>IF(CF30&lt;=3,AND(CF30&gt;0)*F30,0)</f>
        <v>0</v>
      </c>
      <c r="CH30" s="104">
        <f>IF(CF30&lt;=6,AND(CF30&gt;3)*F30,0)</f>
        <v>0</v>
      </c>
      <c r="CI30" s="104">
        <f>IF(CF30&lt;=9,AND(CF30&gt;6)*F30,0)</f>
        <v>0</v>
      </c>
      <c r="CJ30" s="443">
        <f>IF(G30=1500,H30,0)</f>
        <v>0</v>
      </c>
      <c r="CK30" s="104">
        <f>IF(CJ30&lt;=3,AND(CJ30&gt;0)*F30,0)</f>
        <v>0</v>
      </c>
      <c r="CL30" s="104">
        <f>IF(CJ30&lt;=6,AND(CJ30&gt;3)*F30,0)</f>
        <v>0</v>
      </c>
      <c r="CM30" s="104">
        <f>IF(CJ30&lt;=9,AND(CJ30&gt;6)*F30,0)</f>
        <v>0</v>
      </c>
      <c r="CN30" s="107">
        <f>IF(G30=1650,F30,0)</f>
        <v>0</v>
      </c>
      <c r="CO30" s="107">
        <f>IF(G30=1800,F30,0)</f>
        <v>0</v>
      </c>
      <c r="CP30" s="107">
        <f>IF(G30=2000,F30,0)</f>
        <v>0</v>
      </c>
      <c r="CQ30" s="107">
        <f>IF(G30=2200,F30,0)</f>
        <v>0</v>
      </c>
      <c r="CR30" s="107">
        <f>IF(G30=2400,F30,0)</f>
        <v>0</v>
      </c>
      <c r="CS30" s="107">
        <f>IF(G30=2600,F30,0)</f>
        <v>0</v>
      </c>
      <c r="CT30" s="444">
        <f>IF(G30=3000,F30,0)</f>
        <v>0</v>
      </c>
      <c r="CU30" s="104">
        <f>IF(G30&gt;=100,1,0)</f>
        <v>1</v>
      </c>
      <c r="CV30" s="104">
        <f>IF(CU30=1,IF(G30&lt;=600,1,0))</f>
        <v>1</v>
      </c>
      <c r="CW30" s="104">
        <f t="shared" si="122"/>
        <v>0</v>
      </c>
      <c r="CX30" s="104">
        <f t="shared" si="123"/>
        <v>0</v>
      </c>
      <c r="CY30" s="104">
        <f t="shared" si="124"/>
        <v>0</v>
      </c>
      <c r="CZ30" s="104">
        <f t="shared" si="125"/>
        <v>0</v>
      </c>
      <c r="DA30" s="104">
        <f>IF(IF(G30&lt;=600,(D30-DB30),0)+IF(G30=800,(D30-DC30),0)+IF(G30&gt;=1000,D30-DD30,0)&lt;0,0,IF(G30&lt;=600,(D30-DB30),0)+IF(G30=800,(D30-DC30),0)+IF(G30&gt;=1000,D30-DD30,0))</f>
        <v>0.58999999999999986</v>
      </c>
      <c r="DB30" s="111">
        <v>1.3</v>
      </c>
      <c r="DC30" s="111">
        <v>1.4</v>
      </c>
      <c r="DD30" s="111">
        <v>2</v>
      </c>
      <c r="DE30" s="111">
        <v>2</v>
      </c>
      <c r="DF30" s="111">
        <v>2</v>
      </c>
      <c r="DG30" s="108">
        <f>IF(K30&lt;=1.5,IF(H30&lt;1.5,H30*F30*2,F30*2*1.5),0)</f>
        <v>120.00000000029556</v>
      </c>
      <c r="DH30" s="108">
        <f>IF(K30&lt;=1.5,IF(AND(H30&lt;3,H30&gt;1.5),(H30-1.5)*F30*2,IF(H30&gt;=3,(F30*2*1.5),0)),0)</f>
        <v>59.20000000014582</v>
      </c>
      <c r="DI30" s="108">
        <f>IF(K30&lt;=1.5,IF(AND(H30&lt;4.5,H30&gt;3),(H30-3)*F30*2,IF(H30&gt;=4.5,(F30*2*1.5),0)),0)</f>
        <v>0</v>
      </c>
      <c r="DJ30" s="108">
        <f>IF(AND(K30&lt;=2.5,K30&gt;1.5),IF(H30&lt;1.5,H30*F30*2,F30*2*1.5),0)</f>
        <v>0</v>
      </c>
      <c r="DK30" s="108">
        <f>IF(AND(K30&gt;1.5,K30&lt;=2.5),IF(AND(H30&lt;3,H30&gt;1.5),(H30-1.5)*F30*2,IF(H30&gt;=3,(F30*2*1.5),0)),0)</f>
        <v>0</v>
      </c>
      <c r="DL30" s="108">
        <f>IF(AND(K30&gt;1.5,K30&lt;=2.5),IF(AND(H30&lt;4.5,H30&gt;3),(H30-3)*F30*2,IF(H30&gt;=4.5,(F30*2*1.5),0)),0)</f>
        <v>0</v>
      </c>
      <c r="DM30" s="108">
        <f>IF(AND(K30&lt;=3.5,K30&gt;2.5),IF(H30&lt;1.5,H30*F30*2,F30*2*1.5),0)</f>
        <v>0</v>
      </c>
      <c r="DN30" s="108">
        <f>IF(AND(K30&gt;2.5,K30&lt;=3.5),IF(AND(H30&lt;3,H30&gt;1.5),(H30-1.5)*F30*2,IF(H30&gt;=3,(F30*2*1.5),0)),0)</f>
        <v>0</v>
      </c>
      <c r="DO30" s="108">
        <f>IF(AND(K30&gt;2.5,K30&lt;=3.5),IF(AND(H30&lt;4.5,H30&gt;3),(H30-3)*F30*2,IF(H30&gt;=4.5,(F30*2*1.5),0)),0)</f>
        <v>0</v>
      </c>
      <c r="DP30" s="108">
        <f>IF(AND(K30&gt;2.5,K30&lt;=3.5),IF(AND(H30&lt;6,H30&gt;4.5),(H30-4.5)*F30*2,IF(H30&gt;=6,(F30*2*1.5),0)),0)</f>
        <v>0</v>
      </c>
      <c r="DQ30" s="445"/>
    </row>
    <row r="31" spans="1:121" s="112" customFormat="1" ht="25" x14ac:dyDescent="0.25">
      <c r="A31" s="99" t="s">
        <v>2030</v>
      </c>
      <c r="B31" s="100"/>
      <c r="C31" s="100" t="str">
        <f>'Planilha Hidráulica'!B35</f>
        <v>PV4.1-&gt;PV5.1</v>
      </c>
      <c r="D31" s="100">
        <f>'Planilha Hidráulica'!R35</f>
        <v>2.15</v>
      </c>
      <c r="E31" s="100">
        <f>'Planilha Hidráulica'!S35</f>
        <v>2.52</v>
      </c>
      <c r="F31" s="100">
        <f>'Planilha Hidráulica'!K35</f>
        <v>35.999999999767439</v>
      </c>
      <c r="G31" s="101">
        <f>'Planilha Hidráulica'!M35</f>
        <v>600</v>
      </c>
      <c r="H31" s="102">
        <f t="shared" si="104"/>
        <v>2.5550000000000002</v>
      </c>
      <c r="I31" s="102">
        <f t="shared" si="1"/>
        <v>4.5989999999702906</v>
      </c>
      <c r="J31" s="103">
        <v>0</v>
      </c>
      <c r="K31" s="104">
        <f t="shared" si="105"/>
        <v>1.4</v>
      </c>
      <c r="L31" s="104">
        <f t="shared" si="106"/>
        <v>1.4</v>
      </c>
      <c r="M31" s="104">
        <f>'Planilha Hidráulica'!X35</f>
        <v>400</v>
      </c>
      <c r="N31" s="104">
        <f t="shared" si="107"/>
        <v>50.399999999674414</v>
      </c>
      <c r="O31" s="105" t="str">
        <f>'Planilha Hidráulica'!W35</f>
        <v>ASFALTO</v>
      </c>
      <c r="P31" s="105" t="s">
        <v>2032</v>
      </c>
      <c r="Q31" s="105">
        <v>1</v>
      </c>
      <c r="R31" s="105">
        <v>5</v>
      </c>
      <c r="S31" s="105">
        <v>5</v>
      </c>
      <c r="T31" s="104">
        <f t="shared" si="108"/>
        <v>0.1</v>
      </c>
      <c r="U31" s="106">
        <f>IFERROR((PI()*(M31/1000)*(M31/1000)/4)*F31,0)</f>
        <v>4.5238934211400776</v>
      </c>
      <c r="V31" s="106">
        <f>((((J31*H31)*H31)/2)*2+K31*H31)*F31-U31+AW31</f>
        <v>144.4081065778978</v>
      </c>
      <c r="W31" s="107">
        <f>V31-SUM(AC31:AR31)</f>
        <v>0</v>
      </c>
      <c r="X31" s="107">
        <f>IF(Q31=1,IF(OR(M31=0,M31="-"),H31+0.4,0.4),0)</f>
        <v>0.4</v>
      </c>
      <c r="Y31" s="107">
        <f t="shared" si="109"/>
        <v>2.5550000000000002</v>
      </c>
      <c r="Z31" s="107">
        <f t="shared" si="110"/>
        <v>0</v>
      </c>
      <c r="AA31" s="108">
        <f t="shared" si="111"/>
        <v>50.399999999674414</v>
      </c>
      <c r="AB31" s="108">
        <f t="shared" si="112"/>
        <v>0</v>
      </c>
      <c r="AC31" s="109">
        <f>IF(X31=0,0,IF(X31=0.4,IF(K31&lt;=1.5,IF(Y31+0.4&gt;=1.5,0,K31*F31*0.4),0),IF(K31&lt;=1.5,IF(X31&gt;=1.5,L31*F31*1.5,K31*F31*(X31)),0)+IF(R31&lt;H31+0.4,0,IF(AND(X31&lt;=1.5,K31&lt;=1.5),-U31,0))))</f>
        <v>0</v>
      </c>
      <c r="AD31" s="109">
        <f>IF(X31=0,0,IF(X31=0.4,IF(K31&lt;=1.5,IF(OR(Y31+0.4&gt;=3,Y31+0.4&lt;1.5),0,K31*F31*0.4),0),IF(IF(K31&lt;=1.5,IF(X31&gt;=3,L31*F31*1.5,K31*F31*(X31-1.5)),0)&lt;0,0,IF(K31&lt;=1.5,IF(X31&gt;=3,L31*F31*1.5,K31*F31*(X31-1.5)),0))+IF(R31&lt;H31+0.4,0,IF(AND(X31&lt;=3,K31&lt;=1.5),-U31,0))))</f>
        <v>20.159999999869768</v>
      </c>
      <c r="AE31" s="109">
        <f t="shared" si="85"/>
        <v>0</v>
      </c>
      <c r="AF31" s="109">
        <f>IF(X31=0,0,IF(X31=0.4,IF(AND(K31&gt;1.5,K31&lt;=2.6),IF(Y31+0.4&gt;=1.5,0,K31*F31*0.4),0),IF(AND(K31&gt;1.5,K31&lt;=2.6),IF(X31&gt;=1.5,L31*F31*1.5,K31*F31*(X31)),0)+IF(R31&lt;H31+0.4,0,IF(AND(X31&lt;=1.5,K31&lt;=1.5),-U31,0))))</f>
        <v>0</v>
      </c>
      <c r="AG31" s="109">
        <f>IF(X31=0,0,IF(X31=0.4,IF(AND(K31&gt;1.5,K31&lt;=2.6),IF(OR(Y31+0.4&gt;=3,Y31+0.4&lt;1.5),0,K31*F31*0.4),0),IF(IF(AND(K31&gt;1.5,K31&lt;=2.6),IF(X31&gt;=3,L31*F31*1.5,K31*F31*(X31-1.5)),0)&lt;0,0,IF(AND(K31&gt;1.5,K31&lt;=2.6),IF(X31&gt;=3,L31*F31*1.5,K31*F31*(X31-1.5)),0))+IF(R31&lt;H31+0.4,0,IF(AND(X31&lt;=3,K31&lt;=1.5),-U31,0))))</f>
        <v>0</v>
      </c>
      <c r="AH31" s="109">
        <f>IF(X31=0,0,IF(X31=0.4,IF(AND(K31&gt;1.5,K31&lt;=2.6),IF(OR(Y31+0.4&gt;=4.5,Y31+0.4&lt;3),0,K31*F31*0.4),0),IF(IF(AND(K31&gt;1.5,K31&lt;=2.6),IF(X31&gt;=4.5,L31*F31*1.5,K31*F31*(X31-3)),0)&lt;0,0,IF(AND(K31&gt;1.5,K31&lt;=2.6),IF(X31&gt;=4.5,L31*F31*1.5,K31*F31*(X31-3)),0))+IF(R31&lt;H31+0.4,0,IF(AND(X31&lt;=3,K31&lt;=1.5),-U31,0))))</f>
        <v>0</v>
      </c>
      <c r="AI31" s="109">
        <f>IF(X31=0,0,IF(X31=0.4,IF(AND(K31&gt;1.5,K31&lt;=2.6),IF(OR(Y31+0.4&gt;=6,Y31+0.4&lt;4.5),0,K31*F31*0.4),0),IF(IF(AND(K31&gt;1.5,K31&lt;=2.6),IF(X31&gt;=6,L31*F31*1.5,K31*F31*(X31-4.5)),0)&lt;0,0,IF(AND(K31&gt;1.5,K31&lt;=2.6),IF(X31&gt;=6,L31*F31*1.5,K31*F31*(X31-4.5)),0))+IF(R31&lt;H31+0.4,0,IF(AND(X31&lt;=3,K31&lt;=1.5),-U31,0))))</f>
        <v>0</v>
      </c>
      <c r="AJ31" s="109">
        <f>IF(K31&lt;=1.5,IF(Y31&gt;=1.5,L31*F31*1.5,K31*F31*Y31),0)+IF(R31&lt;H31,0,IF(AND(Y31&lt;=1.5,K31&lt;=1.5),-U31,0))</f>
        <v>75.599999999511624</v>
      </c>
      <c r="AK31" s="109">
        <f>IF(IF(K31&lt;=1.5,IF(Y31&gt;=3,L31*F31*1.5,K31*F31*(Y31-1.5)),0)&lt;0,0,IF(K31&lt;=1.5,IF(Y31&gt;=3,L31*F31*1.5,K31*F31*(Y31-1.5)),0))+IF(R31&lt;H31,0,IF(AND(Y31&lt;=3,K31&lt;=1.5),-U31,0))</f>
        <v>48.648106578516433</v>
      </c>
      <c r="AL31" s="109">
        <f>IF(AND(K31&lt;=2.5,K31&gt;1.5),IF(Y31&gt;=1.5,L31*F31*1.5,K31*F31*Y31),0)+IF(R31&lt;H31,0,IF(AND(Y31&lt;=1.5,K31&gt;1.5,K31&lt;=2.5),-U31,0))</f>
        <v>0</v>
      </c>
      <c r="AM31" s="109">
        <f>IF(IF(AND(K31&lt;=2.5,K31&gt;1.5),IF(Y31&gt;=3,L31*F31*1.5,K31*F31*(Y31-1.5)),0)&lt;0,0,IF(AND(K31&lt;=2.5,K31&gt;1.5),IF(Y31&gt;=3,L31*F31*1.5,K31*F31*(Y31-1.5)),0))+IF(R31&lt;H31,0,IF(AND(Y31&lt;=3,Y31&gt;1.5,K31&gt;1.5,K31&lt;=2.5),-U31,0))</f>
        <v>0</v>
      </c>
      <c r="AN31" s="109">
        <f>IF(AND(K31&lt;=2.5,Y31&gt;=4.5),L31*F31*1.5,IF(AND(K31&lt;=2.5,Y31&gt;3),K31*F31*(Y31-3),0))+IF(R31&lt;H31,0,IF(AND(Y31&lt;=4.5,Y31&gt;3,K31&gt;1.5,K31&lt;=2.5),-U31,0))</f>
        <v>0</v>
      </c>
      <c r="AO31" s="109">
        <f>IF(K31&gt;2.5,IF(Y31&gt;=2,L31*F31*2,K31*F31*Y31),0)+IF(R31&lt;H31,0,IF(AND(Y31&lt;=2,K31&gt;=2.5),-U31,0))</f>
        <v>0</v>
      </c>
      <c r="AP31" s="109">
        <f>IF(IF(K31&gt;2.5,IF(Y31&gt;=4,L31*F31*2,K31*F31*(Y31-2)),0)&lt;0,0,IF(K31&gt;2.5,IF(Y31&gt;=4,L31*F31*2,K31*F31*(Y31-2)),0))+IF(R31&lt;H31,0,IF(AND(Y31&lt;=4,Y31&gt;2,K31&gt;2.5),-U31,0))</f>
        <v>0</v>
      </c>
      <c r="AQ31" s="109">
        <f>IF(IF(K31&gt;2.5,IF(Y31&gt;=6,L31*F31*2,K31*F31*(Y31-4)),0)&lt;0,0,IF(K31&gt;2.5,IF(Y31&gt;=6,L31*F31*2,K31*F31*(Y31-4)),0))+IF(R31&lt;H31,0,IF(AND(Y31&lt;=6,Y31&gt;4,K31&gt;2.5),-U31,0))</f>
        <v>0</v>
      </c>
      <c r="AR31" s="104">
        <f>V31-SUM(AC31:AQ31)</f>
        <v>0</v>
      </c>
      <c r="AS31" s="104">
        <f>IF(H31-S31&lt;0,0,(H31-S31)*F31)/75</f>
        <v>0</v>
      </c>
      <c r="AT31" s="104">
        <f>F31*K31*H31-PI()*(G31/1000)*(G31/1000)/4*F31+AW31</f>
        <v>138.75323980147274</v>
      </c>
      <c r="AU31" s="102">
        <f>IF(K31&lt;1.5,K31*F31*IF(G31&lt;=500,0.05,IF(G31&lt;=800,0.1,IF(G31&lt;=1200,0.15,IF(G31&gt;=1500,0.2)))),0)</f>
        <v>5.0399999999674421</v>
      </c>
      <c r="AV31" s="106">
        <f>IF(K31&gt;=1.5,K31*F31*IF(G31&lt;=500,0.05,IF(G31&lt;=800,0.1,IF(G31&lt;=1200,0.15,IF(G31&gt;=1500,0.2)))),0)</f>
        <v>0</v>
      </c>
      <c r="AW31" s="104">
        <f t="shared" si="113"/>
        <v>20.159999999869765</v>
      </c>
      <c r="AX31" s="104">
        <f>IF(AW31&lt;SUM(AJ31:AQ31),0,AW31)</f>
        <v>0</v>
      </c>
      <c r="AY31" s="104">
        <f t="shared" si="114"/>
        <v>0.89999999999999991</v>
      </c>
      <c r="AZ31" s="104">
        <f t="shared" si="115"/>
        <v>35.181239802141789</v>
      </c>
      <c r="BA31" s="104">
        <f t="shared" si="116"/>
        <v>0</v>
      </c>
      <c r="BB31" s="104">
        <f>IF(O31="ASFALTO",0.15*F31*K31,0)</f>
        <v>7.5599999999511613</v>
      </c>
      <c r="BC31" s="104">
        <f t="shared" si="117"/>
        <v>7.5599999999511613</v>
      </c>
      <c r="BD31" s="104">
        <f>IF(O31="ASFALTO",0.03*F31*K31,0)</f>
        <v>1.5119999999902325</v>
      </c>
      <c r="BE31" s="104">
        <f t="shared" si="90"/>
        <v>63.251999999591419</v>
      </c>
      <c r="BF31" s="104">
        <f t="shared" si="91"/>
        <v>61.34686677606534</v>
      </c>
      <c r="BG31" s="104">
        <f t="shared" si="118"/>
        <v>61.34686677606534</v>
      </c>
      <c r="BH31" s="104">
        <f t="shared" si="102"/>
        <v>0</v>
      </c>
      <c r="BI31" s="104">
        <f t="shared" si="119"/>
        <v>1.9051332235260787</v>
      </c>
      <c r="BJ31" s="102">
        <f t="shared" si="120"/>
        <v>0.32284599049125251</v>
      </c>
      <c r="BK31" s="104">
        <f t="shared" si="121"/>
        <v>1.5822872330348261</v>
      </c>
      <c r="BL31" s="104"/>
      <c r="BM31" s="104">
        <f>IF(AW31+BB31&gt;0,4%*(AW31+BB31),0)</f>
        <v>1.1087999999928371</v>
      </c>
      <c r="BN31" s="108">
        <f>IF(G31=400,H31,0)</f>
        <v>0</v>
      </c>
      <c r="BO31" s="110">
        <f>IF(BN31&lt;=1.75,AND(BN31&gt;0)*F31,0)</f>
        <v>0</v>
      </c>
      <c r="BP31" s="110">
        <f>IF(BN31&lt;=3,AND(BN31&gt;1.75)*F31,0)</f>
        <v>0</v>
      </c>
      <c r="BQ31" s="110">
        <f>IF(G31=500,H31,0)</f>
        <v>0</v>
      </c>
      <c r="BR31" s="104">
        <f>IF(BQ31&lt;=1.75,AND(BQ31&gt;0)*F31,0)</f>
        <v>0</v>
      </c>
      <c r="BS31" s="104">
        <f>IF(BQ31&lt;=3,AND(BQ31&gt;1.75)*F31,0)</f>
        <v>0</v>
      </c>
      <c r="BT31" s="104">
        <f>IF(G31=600,H31,0)</f>
        <v>2.5550000000000002</v>
      </c>
      <c r="BU31" s="104">
        <f>IF(BT31&lt;=3,AND(BT31&gt;0)*F31,0)</f>
        <v>35.999999999767439</v>
      </c>
      <c r="BV31" s="104">
        <f>IF(BT31&lt;=6,AND(BT31&gt;3)*F31,0)</f>
        <v>0</v>
      </c>
      <c r="BW31" s="104">
        <f>IF(BT31&lt;=9,AND(BT31&gt;6)*F31,0)</f>
        <v>0</v>
      </c>
      <c r="BX31" s="104">
        <f>IF(G31=800,H31,0)</f>
        <v>0</v>
      </c>
      <c r="BY31" s="104">
        <f>IF(BX31&lt;=3,AND(BX31&gt;0)*F31,0)</f>
        <v>0</v>
      </c>
      <c r="BZ31" s="104">
        <f>IF(BX31&lt;=6,AND(BX31&gt;3)*F31,0)</f>
        <v>0</v>
      </c>
      <c r="CA31" s="104">
        <f>IF(BX31&lt;=9,AND(BX31&gt;6)*F31,0)</f>
        <v>0</v>
      </c>
      <c r="CB31" s="104">
        <f>IF(G31=1000,H31,0)</f>
        <v>0</v>
      </c>
      <c r="CC31" s="104">
        <f>IF(CB31&lt;=3,AND(CB31&gt;0)*F31,0)</f>
        <v>0</v>
      </c>
      <c r="CD31" s="104">
        <f>IF(CB31&lt;=6,AND(CB31&gt;3)*F31,0)</f>
        <v>0</v>
      </c>
      <c r="CE31" s="104">
        <f>IF(CB31&lt;=9,AND(CB31&gt;6)*F31,0)</f>
        <v>0</v>
      </c>
      <c r="CF31" s="104">
        <f>IF(G31=1200,H31,0)</f>
        <v>0</v>
      </c>
      <c r="CG31" s="104">
        <f>IF(CF31&lt;=3,AND(CF31&gt;0)*F31,0)</f>
        <v>0</v>
      </c>
      <c r="CH31" s="104">
        <f>IF(CF31&lt;=6,AND(CF31&gt;3)*F31,0)</f>
        <v>0</v>
      </c>
      <c r="CI31" s="104">
        <f>IF(CF31&lt;=9,AND(CF31&gt;6)*F31,0)</f>
        <v>0</v>
      </c>
      <c r="CJ31" s="443">
        <f>IF(G31=1500,H31,0)</f>
        <v>0</v>
      </c>
      <c r="CK31" s="104">
        <f>IF(CJ31&lt;=3,AND(CJ31&gt;0)*F31,0)</f>
        <v>0</v>
      </c>
      <c r="CL31" s="104">
        <f>IF(CJ31&lt;=6,AND(CJ31&gt;3)*F31,0)</f>
        <v>0</v>
      </c>
      <c r="CM31" s="104">
        <f>IF(CJ31&lt;=9,AND(CJ31&gt;6)*F31,0)</f>
        <v>0</v>
      </c>
      <c r="CN31" s="107">
        <f>IF(G31=1650,F31,0)</f>
        <v>0</v>
      </c>
      <c r="CO31" s="107">
        <f>IF(G31=1800,F31,0)</f>
        <v>0</v>
      </c>
      <c r="CP31" s="107">
        <f>IF(G31=2000,F31,0)</f>
        <v>0</v>
      </c>
      <c r="CQ31" s="107">
        <f>IF(G31=2200,F31,0)</f>
        <v>0</v>
      </c>
      <c r="CR31" s="107">
        <f>IF(G31=2400,F31,0)</f>
        <v>0</v>
      </c>
      <c r="CS31" s="107">
        <f>IF(G31=2600,F31,0)</f>
        <v>0</v>
      </c>
      <c r="CT31" s="444">
        <f>IF(G31=3000,F31,0)</f>
        <v>0</v>
      </c>
      <c r="CU31" s="104">
        <f>IF(G31&gt;=100,1,0)</f>
        <v>1</v>
      </c>
      <c r="CV31" s="104">
        <f>IF(CU31=1,IF(G31&lt;=600,1,0))</f>
        <v>1</v>
      </c>
      <c r="CW31" s="104">
        <f t="shared" si="122"/>
        <v>0</v>
      </c>
      <c r="CX31" s="104">
        <f t="shared" si="123"/>
        <v>0</v>
      </c>
      <c r="CY31" s="104">
        <f t="shared" si="124"/>
        <v>0</v>
      </c>
      <c r="CZ31" s="104">
        <f t="shared" si="125"/>
        <v>0</v>
      </c>
      <c r="DA31" s="104">
        <f>IF(IF(G31&lt;=600,(D31-DB31),0)+IF(G31=800,(D31-DC31),0)+IF(G31&gt;=1000,D31-DD31,0)&lt;0,0,IF(G31&lt;=600,(D31-DB31),0)+IF(G31=800,(D31-DC31),0)+IF(G31&gt;=1000,D31-DD31,0))</f>
        <v>0.84999999999999987</v>
      </c>
      <c r="DB31" s="111">
        <v>1.3</v>
      </c>
      <c r="DC31" s="111">
        <v>1.4</v>
      </c>
      <c r="DD31" s="111">
        <v>2</v>
      </c>
      <c r="DE31" s="111">
        <v>2</v>
      </c>
      <c r="DF31" s="111">
        <v>2</v>
      </c>
      <c r="DG31" s="108">
        <f>IF(K31&lt;=1.5,IF(H31&lt;1.5,H31*F31*2,F31*2*1.5),0)</f>
        <v>107.99999999930232</v>
      </c>
      <c r="DH31" s="108">
        <f>IF(K31&lt;=1.5,IF(AND(H31&lt;3,H31&gt;1.5),(H31-1.5)*F31*2,IF(H31&gt;=3,(F31*2*1.5),0)),0)</f>
        <v>75.959999999509307</v>
      </c>
      <c r="DI31" s="108">
        <f>IF(K31&lt;=1.5,IF(AND(H31&lt;4.5,H31&gt;3),(H31-3)*F31*2,IF(H31&gt;=4.5,(F31*2*1.5),0)),0)</f>
        <v>0</v>
      </c>
      <c r="DJ31" s="108">
        <f>IF(AND(K31&lt;=2.5,K31&gt;1.5),IF(H31&lt;1.5,H31*F31*2,F31*2*1.5),0)</f>
        <v>0</v>
      </c>
      <c r="DK31" s="108">
        <f>IF(AND(K31&gt;1.5,K31&lt;=2.5),IF(AND(H31&lt;3,H31&gt;1.5),(H31-1.5)*F31*2,IF(H31&gt;=3,(F31*2*1.5),0)),0)</f>
        <v>0</v>
      </c>
      <c r="DL31" s="108">
        <f>IF(AND(K31&gt;1.5,K31&lt;=2.5),IF(AND(H31&lt;4.5,H31&gt;3),(H31-3)*F31*2,IF(H31&gt;=4.5,(F31*2*1.5),0)),0)</f>
        <v>0</v>
      </c>
      <c r="DM31" s="108">
        <f>IF(AND(K31&lt;=3.5,K31&gt;2.5),IF(H31&lt;1.5,H31*F31*2,F31*2*1.5),0)</f>
        <v>0</v>
      </c>
      <c r="DN31" s="108">
        <f>IF(AND(K31&gt;2.5,K31&lt;=3.5),IF(AND(H31&lt;3,H31&gt;1.5),(H31-1.5)*F31*2,IF(H31&gt;=3,(F31*2*1.5),0)),0)</f>
        <v>0</v>
      </c>
      <c r="DO31" s="108">
        <f>IF(AND(K31&gt;2.5,K31&lt;=3.5),IF(AND(H31&lt;4.5,H31&gt;3),(H31-3)*F31*2,IF(H31&gt;=4.5,(F31*2*1.5),0)),0)</f>
        <v>0</v>
      </c>
      <c r="DP31" s="108">
        <f>IF(AND(K31&gt;2.5,K31&lt;=3.5),IF(AND(H31&lt;6,H31&gt;4.5),(H31-4.5)*F31*2,IF(H31&gt;=6,(F31*2*1.5),0)),0)</f>
        <v>0</v>
      </c>
      <c r="DQ31" s="445"/>
    </row>
    <row r="32" spans="1:121" s="112" customFormat="1" ht="25" x14ac:dyDescent="0.25">
      <c r="A32" s="99" t="s">
        <v>2030</v>
      </c>
      <c r="B32" s="100"/>
      <c r="C32" s="100" t="str">
        <f>'Planilha Hidráulica'!B36</f>
        <v>PV5.1-&gt;PV6.1</v>
      </c>
      <c r="D32" s="100">
        <f>'Planilha Hidráulica'!R36</f>
        <v>2.52</v>
      </c>
      <c r="E32" s="100">
        <f>'Planilha Hidráulica'!S36</f>
        <v>2.66</v>
      </c>
      <c r="F32" s="100">
        <f>'Planilha Hidráulica'!K36</f>
        <v>6.4523830951108252</v>
      </c>
      <c r="G32" s="101">
        <f>'Planilha Hidráulica'!M36</f>
        <v>600</v>
      </c>
      <c r="H32" s="102">
        <f t="shared" si="104"/>
        <v>2.81</v>
      </c>
      <c r="I32" s="102">
        <f t="shared" si="1"/>
        <v>0.90655982486307107</v>
      </c>
      <c r="J32" s="103">
        <v>0</v>
      </c>
      <c r="K32" s="104">
        <f t="shared" si="105"/>
        <v>1.4</v>
      </c>
      <c r="L32" s="104">
        <f t="shared" si="106"/>
        <v>1.4</v>
      </c>
      <c r="M32" s="104">
        <f>'Planilha Hidráulica'!X36</f>
        <v>400</v>
      </c>
      <c r="N32" s="104">
        <f t="shared" si="107"/>
        <v>9.0333363331551553</v>
      </c>
      <c r="O32" s="105" t="str">
        <f>'Planilha Hidráulica'!W36</f>
        <v>ASFALTO</v>
      </c>
      <c r="P32" s="105" t="s">
        <v>2032</v>
      </c>
      <c r="Q32" s="105">
        <v>1</v>
      </c>
      <c r="R32" s="105">
        <v>5</v>
      </c>
      <c r="S32" s="105">
        <v>5</v>
      </c>
      <c r="T32" s="104">
        <f t="shared" si="108"/>
        <v>0.1</v>
      </c>
      <c r="U32" s="106">
        <f>IFERROR((PI()*(M32/1000)*(M32/1000)/4)*F32,0)</f>
        <v>0.81083037318988571</v>
      </c>
      <c r="V32" s="106">
        <f>((((J32*H32)*H32)/2)*2+K32*H32)*F32-U32+AW32</f>
        <v>28.186179256238159</v>
      </c>
      <c r="W32" s="107">
        <f>V32-SUM(AC32:AR32)</f>
        <v>0</v>
      </c>
      <c r="X32" s="107">
        <f>IF(Q32=1,IF(OR(M32=0,M32="-"),H32+0.4,0.4),0)</f>
        <v>0.4</v>
      </c>
      <c r="Y32" s="107">
        <f t="shared" si="109"/>
        <v>2.81</v>
      </c>
      <c r="Z32" s="107">
        <f t="shared" si="110"/>
        <v>0</v>
      </c>
      <c r="AA32" s="108">
        <f t="shared" si="111"/>
        <v>9.0333363331551553</v>
      </c>
      <c r="AB32" s="108">
        <f t="shared" si="112"/>
        <v>0</v>
      </c>
      <c r="AC32" s="109">
        <f>IF(X32=0,0,IF(X32=0.4,IF(K32&lt;=1.5,IF(Y32+0.4&gt;=1.5,0,K32*F32*0.4),0),IF(K32&lt;=1.5,IF(X32&gt;=1.5,L32*F32*1.5,K32*F32*(X32)),0)+IF(R32&lt;H32+0.4,0,IF(AND(X32&lt;=1.5,K32&lt;=1.5),-U32,0))))</f>
        <v>0</v>
      </c>
      <c r="AD32" s="109">
        <f>IF(X32=0,0,IF(X32=0.4,IF(K32&lt;=1.5,IF(OR(Y32+0.4&gt;=3,Y32+0.4&lt;1.5),0,K32*F32*0.4),0),IF(IF(K32&lt;=1.5,IF(X32&gt;=3,L32*F32*1.5,K32*F32*(X32-1.5)),0)&lt;0,0,IF(K32&lt;=1.5,IF(X32&gt;=3,L32*F32*1.5,K32*F32*(X32-1.5)),0))+IF(R32&lt;H32+0.4,0,IF(AND(X32&lt;=3,K32&lt;=1.5),-U32,0))))</f>
        <v>0</v>
      </c>
      <c r="AE32" s="109">
        <f t="shared" si="85"/>
        <v>3.6133345332620621</v>
      </c>
      <c r="AF32" s="109">
        <f>IF(X32=0,0,IF(X32=0.4,IF(AND(K32&gt;1.5,K32&lt;=2.6),IF(Y32+0.4&gt;=1.5,0,K32*F32*0.4),0),IF(AND(K32&gt;1.5,K32&lt;=2.6),IF(X32&gt;=1.5,L32*F32*1.5,K32*F32*(X32)),0)+IF(R32&lt;H32+0.4,0,IF(AND(X32&lt;=1.5,K32&lt;=1.5),-U32,0))))</f>
        <v>0</v>
      </c>
      <c r="AG32" s="109">
        <f>IF(X32=0,0,IF(X32=0.4,IF(AND(K32&gt;1.5,K32&lt;=2.6),IF(OR(Y32+0.4&gt;=3,Y32+0.4&lt;1.5),0,K32*F32*0.4),0),IF(IF(AND(K32&gt;1.5,K32&lt;=2.6),IF(X32&gt;=3,L32*F32*1.5,K32*F32*(X32-1.5)),0)&lt;0,0,IF(AND(K32&gt;1.5,K32&lt;=2.6),IF(X32&gt;=3,L32*F32*1.5,K32*F32*(X32-1.5)),0))+IF(R32&lt;H32+0.4,0,IF(AND(X32&lt;=3,K32&lt;=1.5),-U32,0))))</f>
        <v>0</v>
      </c>
      <c r="AH32" s="109">
        <f>IF(X32=0,0,IF(X32=0.4,IF(AND(K32&gt;1.5,K32&lt;=2.6),IF(OR(Y32+0.4&gt;=4.5,Y32+0.4&lt;3),0,K32*F32*0.4),0),IF(IF(AND(K32&gt;1.5,K32&lt;=2.6),IF(X32&gt;=4.5,L32*F32*1.5,K32*F32*(X32-3)),0)&lt;0,0,IF(AND(K32&gt;1.5,K32&lt;=2.6),IF(X32&gt;=4.5,L32*F32*1.5,K32*F32*(X32-3)),0))+IF(R32&lt;H32+0.4,0,IF(AND(X32&lt;=3,K32&lt;=1.5),-U32,0))))</f>
        <v>0</v>
      </c>
      <c r="AI32" s="109">
        <f>IF(X32=0,0,IF(X32=0.4,IF(AND(K32&gt;1.5,K32&lt;=2.6),IF(OR(Y32+0.4&gt;=6,Y32+0.4&lt;4.5),0,K32*F32*0.4),0),IF(IF(AND(K32&gt;1.5,K32&lt;=2.6),IF(X32&gt;=6,L32*F32*1.5,K32*F32*(X32-4.5)),0)&lt;0,0,IF(AND(K32&gt;1.5,K32&lt;=2.6),IF(X32&gt;=6,L32*F32*1.5,K32*F32*(X32-4.5)),0))+IF(R32&lt;H32+0.4,0,IF(AND(X32&lt;=3,K32&lt;=1.5),-U32,0))))</f>
        <v>0</v>
      </c>
      <c r="AJ32" s="109">
        <f>IF(K32&lt;=1.5,IF(Y32&gt;=1.5,L32*F32*1.5,K32*F32*Y32),0)+IF(R32&lt;H32,0,IF(AND(Y32&lt;=1.5,K32&lt;=1.5),-U32,0))</f>
        <v>13.550004499732733</v>
      </c>
      <c r="AK32" s="109">
        <f>IF(IF(K32&lt;=1.5,IF(Y32&gt;=3,L32*F32*1.5,K32*F32*(Y32-1.5)),0)&lt;0,0,IF(K32&lt;=1.5,IF(Y32&gt;=3,L32*F32*1.5,K32*F32*(Y32-1.5)),0))+IF(R32&lt;H32,0,IF(AND(Y32&lt;=3,K32&lt;=1.5),-U32,0))</f>
        <v>11.022840223243369</v>
      </c>
      <c r="AL32" s="109">
        <f>IF(AND(K32&lt;=2.5,K32&gt;1.5),IF(Y32&gt;=1.5,L32*F32*1.5,K32*F32*Y32),0)+IF(R32&lt;H32,0,IF(AND(Y32&lt;=1.5,K32&gt;1.5,K32&lt;=2.5),-U32,0))</f>
        <v>0</v>
      </c>
      <c r="AM32" s="109">
        <f>IF(IF(AND(K32&lt;=2.5,K32&gt;1.5),IF(Y32&gt;=3,L32*F32*1.5,K32*F32*(Y32-1.5)),0)&lt;0,0,IF(AND(K32&lt;=2.5,K32&gt;1.5),IF(Y32&gt;=3,L32*F32*1.5,K32*F32*(Y32-1.5)),0))+IF(R32&lt;H32,0,IF(AND(Y32&lt;=3,Y32&gt;1.5,K32&gt;1.5,K32&lt;=2.5),-U32,0))</f>
        <v>0</v>
      </c>
      <c r="AN32" s="109">
        <f>IF(AND(K32&lt;=2.5,Y32&gt;=4.5),L32*F32*1.5,IF(AND(K32&lt;=2.5,Y32&gt;3),K32*F32*(Y32-3),0))+IF(R32&lt;H32,0,IF(AND(Y32&lt;=4.5,Y32&gt;3,K32&gt;1.5,K32&lt;=2.5),-U32,0))</f>
        <v>0</v>
      </c>
      <c r="AO32" s="109">
        <f>IF(K32&gt;2.5,IF(Y32&gt;=2,L32*F32*2,K32*F32*Y32),0)+IF(R32&lt;H32,0,IF(AND(Y32&lt;=2,K32&gt;=2.5),-U32,0))</f>
        <v>0</v>
      </c>
      <c r="AP32" s="109">
        <f>IF(IF(K32&gt;2.5,IF(Y32&gt;=4,L32*F32*2,K32*F32*(Y32-2)),0)&lt;0,0,IF(K32&gt;2.5,IF(Y32&gt;=4,L32*F32*2,K32*F32*(Y32-2)),0))+IF(R32&lt;H32,0,IF(AND(Y32&lt;=4,Y32&gt;2,K32&gt;2.5),-U32,0))</f>
        <v>0</v>
      </c>
      <c r="AQ32" s="109">
        <f>IF(IF(K32&gt;2.5,IF(Y32&gt;=6,L32*F32*2,K32*F32*(Y32-4)),0)&lt;0,0,IF(K32&gt;2.5,IF(Y32&gt;=6,L32*F32*2,K32*F32*(Y32-4)),0))+IF(R32&lt;H32,0,IF(AND(Y32&lt;=6,Y32&gt;4,K32&gt;2.5),-U32,0))</f>
        <v>0</v>
      </c>
      <c r="AR32" s="104">
        <f>V32-SUM(AC32:AQ32)</f>
        <v>0</v>
      </c>
      <c r="AS32" s="104">
        <f>IF(H32-S32&lt;0,0,(H32-S32)*F32)/75</f>
        <v>0</v>
      </c>
      <c r="AT32" s="104">
        <f>F32*K32*H32-PI()*(G32/1000)*(G32/1000)/4*F32+AW32</f>
        <v>27.172641289750807</v>
      </c>
      <c r="AU32" s="102">
        <f>IF(K32&lt;1.5,K32*F32*IF(G32&lt;=500,0.05,IF(G32&lt;=800,0.1,IF(G32&lt;=1200,0.15,IF(G32&gt;=1500,0.2)))),0)</f>
        <v>0.90333363331551553</v>
      </c>
      <c r="AV32" s="106">
        <f>IF(K32&gt;=1.5,K32*F32*IF(G32&lt;=500,0.05,IF(G32&lt;=800,0.1,IF(G32&lt;=1200,0.15,IF(G32&gt;=1500,0.2)))),0)</f>
        <v>0</v>
      </c>
      <c r="AW32" s="104">
        <f t="shared" si="113"/>
        <v>3.6133345332620617</v>
      </c>
      <c r="AX32" s="104">
        <f>IF(AW32&lt;SUM(AJ32:AQ32),0,AW32)</f>
        <v>0</v>
      </c>
      <c r="AY32" s="104">
        <f t="shared" si="114"/>
        <v>0.89999999999999991</v>
      </c>
      <c r="AZ32" s="104">
        <f t="shared" si="115"/>
        <v>6.3056343601623954</v>
      </c>
      <c r="BA32" s="104">
        <f t="shared" si="116"/>
        <v>0</v>
      </c>
      <c r="BB32" s="104">
        <f>IF(O32="ASFALTO",0.15*F32*K32,0)</f>
        <v>1.3550004499732733</v>
      </c>
      <c r="BC32" s="104">
        <f t="shared" si="117"/>
        <v>1.3550004499732733</v>
      </c>
      <c r="BD32" s="104">
        <f>IF(O32="ASFALTO",0.03*F32*K32,0)</f>
        <v>0.27100008999465464</v>
      </c>
      <c r="BE32" s="104">
        <f t="shared" si="90"/>
        <v>13.640337863064287</v>
      </c>
      <c r="BF32" s="104">
        <f t="shared" si="91"/>
        <v>13.298875379578368</v>
      </c>
      <c r="BG32" s="104">
        <f t="shared" si="118"/>
        <v>13.298875379578368</v>
      </c>
      <c r="BH32" s="104">
        <f t="shared" si="102"/>
        <v>0</v>
      </c>
      <c r="BI32" s="104">
        <f t="shared" si="119"/>
        <v>0.34146248348591968</v>
      </c>
      <c r="BJ32" s="102">
        <f t="shared" si="120"/>
        <v>5.78646114273203E-2</v>
      </c>
      <c r="BK32" s="104">
        <f t="shared" si="121"/>
        <v>0.28359787205859938</v>
      </c>
      <c r="BL32" s="104"/>
      <c r="BM32" s="104">
        <f>IF(AW32+BB32&gt;0,4%*(AW32+BB32),0)</f>
        <v>0.19873339932941342</v>
      </c>
      <c r="BN32" s="108">
        <f>IF(G32=400,H32,0)</f>
        <v>0</v>
      </c>
      <c r="BO32" s="110">
        <f>IF(BN32&lt;=1.75,AND(BN32&gt;0)*F32,0)</f>
        <v>0</v>
      </c>
      <c r="BP32" s="110">
        <f>IF(BN32&lt;=3,AND(BN32&gt;1.75)*F32,0)</f>
        <v>0</v>
      </c>
      <c r="BQ32" s="110">
        <f>IF(G32=500,H32,0)</f>
        <v>0</v>
      </c>
      <c r="BR32" s="104">
        <f>IF(BQ32&lt;=1.75,AND(BQ32&gt;0)*F32,0)</f>
        <v>0</v>
      </c>
      <c r="BS32" s="104">
        <f>IF(BQ32&lt;=3,AND(BQ32&gt;1.75)*F32,0)</f>
        <v>0</v>
      </c>
      <c r="BT32" s="104">
        <f>IF(G32=600,H32,0)</f>
        <v>2.81</v>
      </c>
      <c r="BU32" s="104">
        <f>IF(BT32&lt;=3,AND(BT32&gt;0)*F32,0)</f>
        <v>6.4523830951108252</v>
      </c>
      <c r="BV32" s="104">
        <f>IF(BT32&lt;=6,AND(BT32&gt;3)*F32,0)</f>
        <v>0</v>
      </c>
      <c r="BW32" s="104">
        <f>IF(BT32&lt;=9,AND(BT32&gt;6)*F32,0)</f>
        <v>0</v>
      </c>
      <c r="BX32" s="104">
        <f>IF(G32=800,H32,0)</f>
        <v>0</v>
      </c>
      <c r="BY32" s="104">
        <f>IF(BX32&lt;=3,AND(BX32&gt;0)*F32,0)</f>
        <v>0</v>
      </c>
      <c r="BZ32" s="104">
        <f>IF(BX32&lt;=6,AND(BX32&gt;3)*F32,0)</f>
        <v>0</v>
      </c>
      <c r="CA32" s="104">
        <f>IF(BX32&lt;=9,AND(BX32&gt;6)*F32,0)</f>
        <v>0</v>
      </c>
      <c r="CB32" s="104">
        <f>IF(G32=1000,H32,0)</f>
        <v>0</v>
      </c>
      <c r="CC32" s="104">
        <f>IF(CB32&lt;=3,AND(CB32&gt;0)*F32,0)</f>
        <v>0</v>
      </c>
      <c r="CD32" s="104">
        <f>IF(CB32&lt;=6,AND(CB32&gt;3)*F32,0)</f>
        <v>0</v>
      </c>
      <c r="CE32" s="104">
        <f>IF(CB32&lt;=9,AND(CB32&gt;6)*F32,0)</f>
        <v>0</v>
      </c>
      <c r="CF32" s="104">
        <f>IF(G32=1200,H32,0)</f>
        <v>0</v>
      </c>
      <c r="CG32" s="104">
        <f>IF(CF32&lt;=3,AND(CF32&gt;0)*F32,0)</f>
        <v>0</v>
      </c>
      <c r="CH32" s="104">
        <f>IF(CF32&lt;=6,AND(CF32&gt;3)*F32,0)</f>
        <v>0</v>
      </c>
      <c r="CI32" s="104">
        <f>IF(CF32&lt;=9,AND(CF32&gt;6)*F32,0)</f>
        <v>0</v>
      </c>
      <c r="CJ32" s="443">
        <f>IF(G32=1500,H32,0)</f>
        <v>0</v>
      </c>
      <c r="CK32" s="104">
        <f>IF(CJ32&lt;=3,AND(CJ32&gt;0)*F32,0)</f>
        <v>0</v>
      </c>
      <c r="CL32" s="104">
        <f>IF(CJ32&lt;=6,AND(CJ32&gt;3)*F32,0)</f>
        <v>0</v>
      </c>
      <c r="CM32" s="104">
        <f>IF(CJ32&lt;=9,AND(CJ32&gt;6)*F32,0)</f>
        <v>0</v>
      </c>
      <c r="CN32" s="107">
        <f>IF(G32=1650,F32,0)</f>
        <v>0</v>
      </c>
      <c r="CO32" s="107">
        <f>IF(G32=1800,F32,0)</f>
        <v>0</v>
      </c>
      <c r="CP32" s="107">
        <f>IF(G32=2000,F32,0)</f>
        <v>0</v>
      </c>
      <c r="CQ32" s="107">
        <f>IF(G32=2200,F32,0)</f>
        <v>0</v>
      </c>
      <c r="CR32" s="107">
        <f>IF(G32=2400,F32,0)</f>
        <v>0</v>
      </c>
      <c r="CS32" s="107">
        <f>IF(G32=2600,F32,0)</f>
        <v>0</v>
      </c>
      <c r="CT32" s="444">
        <f>IF(G32=3000,F32,0)</f>
        <v>0</v>
      </c>
      <c r="CU32" s="104">
        <f>IF(G32&gt;=100,1,0)</f>
        <v>1</v>
      </c>
      <c r="CV32" s="104">
        <f>IF(CU32=1,IF(G32&lt;=600,1,0))</f>
        <v>1</v>
      </c>
      <c r="CW32" s="104">
        <f t="shared" si="122"/>
        <v>0</v>
      </c>
      <c r="CX32" s="104">
        <f t="shared" si="123"/>
        <v>0</v>
      </c>
      <c r="CY32" s="104">
        <f t="shared" si="124"/>
        <v>0</v>
      </c>
      <c r="CZ32" s="104">
        <f t="shared" si="125"/>
        <v>0</v>
      </c>
      <c r="DA32" s="104">
        <f>IF(IF(G32&lt;=600,(D32-DB32),0)+IF(G32=800,(D32-DC32),0)+IF(G32&gt;=1000,D32-DD32,0)&lt;0,0,IF(G32&lt;=600,(D32-DB32),0)+IF(G32=800,(D32-DC32),0)+IF(G32&gt;=1000,D32-DD32,0))</f>
        <v>1.22</v>
      </c>
      <c r="DB32" s="111">
        <v>1.3</v>
      </c>
      <c r="DC32" s="111">
        <v>1.4</v>
      </c>
      <c r="DD32" s="111">
        <v>2</v>
      </c>
      <c r="DE32" s="111">
        <v>2</v>
      </c>
      <c r="DF32" s="111">
        <v>2</v>
      </c>
      <c r="DG32" s="108">
        <f>IF(K32&lt;=1.5,IF(H32&lt;1.5,H32*F32*2,F32*2*1.5),0)</f>
        <v>19.357149285332476</v>
      </c>
      <c r="DH32" s="108">
        <f>IF(K32&lt;=1.5,IF(AND(H32&lt;3,H32&gt;1.5),(H32-1.5)*F32*2,IF(H32&gt;=3,(F32*2*1.5),0)),0)</f>
        <v>16.905243709190362</v>
      </c>
      <c r="DI32" s="108">
        <f>IF(K32&lt;=1.5,IF(AND(H32&lt;4.5,H32&gt;3),(H32-3)*F32*2,IF(H32&gt;=4.5,(F32*2*1.5),0)),0)</f>
        <v>0</v>
      </c>
      <c r="DJ32" s="108">
        <f>IF(AND(K32&lt;=2.5,K32&gt;1.5),IF(H32&lt;1.5,H32*F32*2,F32*2*1.5),0)</f>
        <v>0</v>
      </c>
      <c r="DK32" s="108">
        <f>IF(AND(K32&gt;1.5,K32&lt;=2.5),IF(AND(H32&lt;3,H32&gt;1.5),(H32-1.5)*F32*2,IF(H32&gt;=3,(F32*2*1.5),0)),0)</f>
        <v>0</v>
      </c>
      <c r="DL32" s="108">
        <f>IF(AND(K32&gt;1.5,K32&lt;=2.5),IF(AND(H32&lt;4.5,H32&gt;3),(H32-3)*F32*2,IF(H32&gt;=4.5,(F32*2*1.5),0)),0)</f>
        <v>0</v>
      </c>
      <c r="DM32" s="108">
        <f>IF(AND(K32&lt;=3.5,K32&gt;2.5),IF(H32&lt;1.5,H32*F32*2,F32*2*1.5),0)</f>
        <v>0</v>
      </c>
      <c r="DN32" s="108">
        <f>IF(AND(K32&gt;2.5,K32&lt;=3.5),IF(AND(H32&lt;3,H32&gt;1.5),(H32-1.5)*F32*2,IF(H32&gt;=3,(F32*2*1.5),0)),0)</f>
        <v>0</v>
      </c>
      <c r="DO32" s="108">
        <f>IF(AND(K32&gt;2.5,K32&lt;=3.5),IF(AND(H32&lt;4.5,H32&gt;3),(H32-3)*F32*2,IF(H32&gt;=4.5,(F32*2*1.5),0)),0)</f>
        <v>0</v>
      </c>
      <c r="DP32" s="108">
        <f>IF(AND(K32&gt;2.5,K32&lt;=3.5),IF(AND(H32&lt;6,H32&gt;4.5),(H32-4.5)*F32*2,IF(H32&gt;=6,(F32*2*1.5),0)),0)</f>
        <v>0</v>
      </c>
      <c r="DQ32" s="445"/>
    </row>
    <row r="33" spans="1:121" s="115" customFormat="1" ht="13" x14ac:dyDescent="0.3">
      <c r="A33" s="415"/>
      <c r="F33" s="116">
        <f>SUM(F6:F32)</f>
        <v>940.26430040516811</v>
      </c>
      <c r="G33" s="85"/>
      <c r="I33" s="116">
        <f>SUM(I6:I32)</f>
        <v>160.09522367297589</v>
      </c>
      <c r="N33" s="116"/>
      <c r="P33" s="416"/>
      <c r="Q33" s="416"/>
      <c r="R33" s="416"/>
      <c r="S33" s="416"/>
      <c r="V33" s="330">
        <f>SUM(V6:V32)</f>
        <v>7122.6466262674412</v>
      </c>
      <c r="W33" s="98" t="s">
        <v>2033</v>
      </c>
      <c r="AA33" s="116">
        <f t="shared" ref="AA33:AX33" si="126">SUM(AA6:AA32)</f>
        <v>1783.43416303651</v>
      </c>
      <c r="AB33" s="116">
        <f t="shared" si="126"/>
        <v>0</v>
      </c>
      <c r="AC33" s="330">
        <f t="shared" si="126"/>
        <v>0</v>
      </c>
      <c r="AD33" s="330">
        <f t="shared" si="126"/>
        <v>64.960000000006957</v>
      </c>
      <c r="AE33" s="330">
        <f t="shared" si="126"/>
        <v>3.6133345332620621</v>
      </c>
      <c r="AF33" s="330">
        <f t="shared" si="126"/>
        <v>416.56334663021261</v>
      </c>
      <c r="AG33" s="330">
        <f t="shared" si="126"/>
        <v>416.56334663021261</v>
      </c>
      <c r="AH33" s="330">
        <f t="shared" si="126"/>
        <v>287.59993300917779</v>
      </c>
      <c r="AI33" s="330">
        <f t="shared" si="126"/>
        <v>148.49079890181946</v>
      </c>
      <c r="AJ33" s="330">
        <f t="shared" si="126"/>
        <v>341.15000450026776</v>
      </c>
      <c r="AK33" s="330">
        <f t="shared" si="126"/>
        <v>135.90484442746086</v>
      </c>
      <c r="AL33" s="330">
        <f t="shared" si="126"/>
        <v>846.15485589323043</v>
      </c>
      <c r="AM33" s="330">
        <f t="shared" si="126"/>
        <v>764.29939691022128</v>
      </c>
      <c r="AN33" s="330">
        <f t="shared" si="126"/>
        <v>49.898110681382072</v>
      </c>
      <c r="AO33" s="330">
        <f t="shared" si="126"/>
        <v>1983.7951788816897</v>
      </c>
      <c r="AP33" s="330">
        <f t="shared" si="126"/>
        <v>1131.6166220623754</v>
      </c>
      <c r="AQ33" s="330">
        <f t="shared" si="126"/>
        <v>125.4469271791038</v>
      </c>
      <c r="AR33" s="330">
        <f t="shared" si="126"/>
        <v>406.58992602701767</v>
      </c>
      <c r="AS33" s="330">
        <f t="shared" si="126"/>
        <v>12.189321557942453</v>
      </c>
      <c r="AT33" s="330">
        <f t="shared" si="126"/>
        <v>6532.5325278410701</v>
      </c>
      <c r="AU33" s="330">
        <f t="shared" si="126"/>
        <v>22.743333633351188</v>
      </c>
      <c r="AV33" s="330">
        <f t="shared" si="126"/>
        <v>332.33178302823859</v>
      </c>
      <c r="AW33" s="330">
        <f t="shared" si="126"/>
        <v>351.89173872645904</v>
      </c>
      <c r="AX33" s="330">
        <f t="shared" si="126"/>
        <v>111.08355910139005</v>
      </c>
      <c r="AY33" s="330"/>
      <c r="AZ33" s="330">
        <f t="shared" ref="AZ33:BH33" si="127">SUM(AZ6:AZ32)</f>
        <v>2086.2191290741885</v>
      </c>
      <c r="BA33" s="330">
        <f t="shared" si="127"/>
        <v>311.125196312757</v>
      </c>
      <c r="BB33" s="330">
        <f t="shared" si="127"/>
        <v>267.51512445547655</v>
      </c>
      <c r="BC33" s="330">
        <f t="shared" si="127"/>
        <v>267.51512445547655</v>
      </c>
      <c r="BD33" s="330">
        <f t="shared" si="127"/>
        <v>53.503024891095308</v>
      </c>
      <c r="BE33" s="330">
        <f t="shared" si="127"/>
        <v>3204.3162944678802</v>
      </c>
      <c r="BF33" s="330">
        <f t="shared" si="127"/>
        <v>2672.6399482796064</v>
      </c>
      <c r="BG33" s="330">
        <f t="shared" si="127"/>
        <v>2564.158015908391</v>
      </c>
      <c r="BH33" s="330">
        <f t="shared" si="127"/>
        <v>108.48193237121663</v>
      </c>
      <c r="BI33" s="104">
        <f t="shared" si="119"/>
        <v>640.15827855948919</v>
      </c>
      <c r="BJ33" s="330">
        <f>SUM(BJ6:BJ32)</f>
        <v>108.4819323712164</v>
      </c>
      <c r="BK33" s="330">
        <f>SUM(BK6:BK32)</f>
        <v>531.67634618827321</v>
      </c>
      <c r="BL33" s="330">
        <f>SUM(AC33:AI33)+BJ37+AR33</f>
        <v>1744.3806857317095</v>
      </c>
      <c r="BM33" s="330">
        <f>SUM(BM6:BM32)</f>
        <v>24.776274527277423</v>
      </c>
      <c r="BN33" s="935">
        <v>400</v>
      </c>
      <c r="BO33" s="926"/>
      <c r="BP33" s="936"/>
      <c r="BQ33" s="95"/>
      <c r="BR33" s="990">
        <v>500</v>
      </c>
      <c r="BS33" s="991"/>
      <c r="BT33" s="992">
        <v>600</v>
      </c>
      <c r="BU33" s="993"/>
      <c r="BV33" s="993"/>
      <c r="BW33" s="994"/>
      <c r="BX33" s="992">
        <v>800</v>
      </c>
      <c r="BY33" s="993"/>
      <c r="BZ33" s="993"/>
      <c r="CA33" s="994"/>
      <c r="CB33" s="992">
        <v>1000</v>
      </c>
      <c r="CC33" s="993"/>
      <c r="CD33" s="993"/>
      <c r="CE33" s="994"/>
      <c r="CF33" s="992">
        <v>1200</v>
      </c>
      <c r="CG33" s="993"/>
      <c r="CH33" s="993"/>
      <c r="CI33" s="995"/>
      <c r="CJ33" s="990">
        <v>1500</v>
      </c>
      <c r="CK33" s="996"/>
      <c r="CL33" s="996"/>
      <c r="CM33" s="997"/>
      <c r="CN33" s="116"/>
      <c r="CU33" s="115">
        <f t="shared" ref="CU33:DA33" si="128">SUM(CU6:CU32)</f>
        <v>26</v>
      </c>
      <c r="CV33" s="115">
        <f t="shared" si="128"/>
        <v>5</v>
      </c>
      <c r="CW33" s="115">
        <f t="shared" si="128"/>
        <v>2</v>
      </c>
      <c r="CX33" s="115">
        <f t="shared" si="128"/>
        <v>5</v>
      </c>
      <c r="CY33" s="115">
        <f t="shared" si="128"/>
        <v>1</v>
      </c>
      <c r="CZ33" s="115">
        <f t="shared" si="128"/>
        <v>13</v>
      </c>
      <c r="DA33" s="115">
        <f t="shared" si="128"/>
        <v>30.380936885145307</v>
      </c>
      <c r="DG33" s="116">
        <f t="shared" ref="DG33:DP33" si="129">SUM(DG6:DG32)</f>
        <v>487.3571492860969</v>
      </c>
      <c r="DH33" s="116">
        <f t="shared" si="129"/>
        <v>223.31316137011868</v>
      </c>
      <c r="DI33" s="116">
        <f t="shared" si="129"/>
        <v>0</v>
      </c>
      <c r="DJ33" s="116">
        <f t="shared" si="129"/>
        <v>868.50518978211539</v>
      </c>
      <c r="DK33" s="116">
        <f t="shared" si="129"/>
        <v>862.011251518579</v>
      </c>
      <c r="DL33" s="116">
        <f t="shared" si="129"/>
        <v>83.231363532681556</v>
      </c>
      <c r="DM33" s="116">
        <f t="shared" si="129"/>
        <v>1464.930562147292</v>
      </c>
      <c r="DN33" s="116">
        <f t="shared" si="129"/>
        <v>1464.930562147292</v>
      </c>
      <c r="DO33" s="116">
        <f t="shared" si="129"/>
        <v>900.66899225701604</v>
      </c>
      <c r="DP33" s="116">
        <f t="shared" si="129"/>
        <v>48.860714877843591</v>
      </c>
      <c r="DQ33" s="417"/>
    </row>
    <row r="34" spans="1:121" ht="13" x14ac:dyDescent="0.3">
      <c r="BI34" s="115" t="s">
        <v>2034</v>
      </c>
      <c r="BJ34" s="121">
        <f>SUM(AJ33:AQ33)</f>
        <v>5378.2659405357317</v>
      </c>
      <c r="BK34" s="126" t="s">
        <v>2035</v>
      </c>
      <c r="BL34" s="123">
        <f>SUM(AR33)</f>
        <v>406.58992602701767</v>
      </c>
      <c r="BN34" s="81" t="s">
        <v>2036</v>
      </c>
      <c r="BO34" s="256" t="s">
        <v>2037</v>
      </c>
      <c r="BP34" s="256" t="s">
        <v>2038</v>
      </c>
      <c r="BQ34" s="256" t="s">
        <v>2036</v>
      </c>
      <c r="BR34" s="418" t="s">
        <v>2037</v>
      </c>
      <c r="BS34" s="418" t="s">
        <v>2038</v>
      </c>
      <c r="BT34" s="79" t="s">
        <v>2036</v>
      </c>
      <c r="BU34" s="419" t="s">
        <v>2039</v>
      </c>
      <c r="BV34" s="419" t="s">
        <v>2040</v>
      </c>
      <c r="BW34" s="419" t="s">
        <v>2041</v>
      </c>
      <c r="BX34" s="419" t="s">
        <v>2036</v>
      </c>
      <c r="BY34" s="419" t="s">
        <v>2039</v>
      </c>
      <c r="BZ34" s="419" t="s">
        <v>2040</v>
      </c>
      <c r="CA34" s="419" t="s">
        <v>2041</v>
      </c>
      <c r="CB34" s="419" t="s">
        <v>2036</v>
      </c>
      <c r="CC34" s="419" t="s">
        <v>2039</v>
      </c>
      <c r="CD34" s="419" t="s">
        <v>2040</v>
      </c>
      <c r="CE34" s="419" t="s">
        <v>2041</v>
      </c>
      <c r="CF34" s="419" t="s">
        <v>2036</v>
      </c>
      <c r="CG34" s="419" t="s">
        <v>2039</v>
      </c>
      <c r="CH34" s="419" t="s">
        <v>2040</v>
      </c>
      <c r="CI34" s="419" t="s">
        <v>2041</v>
      </c>
      <c r="CJ34" s="420" t="s">
        <v>2036</v>
      </c>
      <c r="CK34" s="420" t="s">
        <v>2039</v>
      </c>
      <c r="CL34" s="420" t="s">
        <v>2040</v>
      </c>
      <c r="CM34" s="420" t="s">
        <v>2041</v>
      </c>
      <c r="CN34" s="115"/>
    </row>
    <row r="35" spans="1:121" ht="52" x14ac:dyDescent="0.3">
      <c r="BI35" s="124" t="s">
        <v>2042</v>
      </c>
      <c r="BJ35" s="125">
        <f>BJ34-BG33-AW33-BB33-AZ33</f>
        <v>108.48193237121632</v>
      </c>
      <c r="BK35" s="126" t="s">
        <v>2043</v>
      </c>
      <c r="BL35" s="126">
        <f>BJ37+SUM(AC33:AI33)</f>
        <v>1337.7907597046917</v>
      </c>
      <c r="BN35" s="127"/>
      <c r="BO35" s="128">
        <f>SUM(BO6:BO32)</f>
        <v>0</v>
      </c>
      <c r="BP35" s="128">
        <f>SUM(BP6:BP32)</f>
        <v>0</v>
      </c>
      <c r="BQ35" s="128"/>
      <c r="BR35" s="128">
        <f>SUM(BR6:BR32)</f>
        <v>0</v>
      </c>
      <c r="BS35" s="128">
        <f>SUM(BS6:BS32)</f>
        <v>0</v>
      </c>
      <c r="BT35" s="128"/>
      <c r="BU35" s="128">
        <f>SUM(BU6:BU32)</f>
        <v>162.4523830953656</v>
      </c>
      <c r="BV35" s="128">
        <f>SUM(BV6:BV32)</f>
        <v>0</v>
      </c>
      <c r="BW35" s="128">
        <f>SUM(BW6:BW26)</f>
        <v>0</v>
      </c>
      <c r="BX35" s="128"/>
      <c r="BY35" s="128">
        <f>SUM(BY6:BY32)</f>
        <v>0</v>
      </c>
      <c r="BZ35" s="128">
        <f>SUM(BZ6:BZ32)</f>
        <v>72.999999999392372</v>
      </c>
      <c r="CA35" s="128">
        <f>SUM(CA6:CA32)</f>
        <v>0</v>
      </c>
      <c r="CB35" s="128"/>
      <c r="CC35" s="128">
        <f>SUM(CC6:CC32)</f>
        <v>36.499999999964693</v>
      </c>
      <c r="CD35" s="128">
        <f>SUM(CD6:CD32)</f>
        <v>145.00284289187596</v>
      </c>
      <c r="CE35" s="128">
        <f>SUM(CE6:CE32)</f>
        <v>0</v>
      </c>
      <c r="CF35" s="128"/>
      <c r="CG35" s="128">
        <f>SUM(CG6:CG32)</f>
        <v>0</v>
      </c>
      <c r="CH35" s="128">
        <f>SUM(CH6:CH32)</f>
        <v>34.998887036138747</v>
      </c>
      <c r="CI35" s="128">
        <f>SUM(CI6:CI32)</f>
        <v>0</v>
      </c>
      <c r="CJ35" s="128"/>
      <c r="CK35" s="128">
        <f>SUM(CK6:CK32)</f>
        <v>0</v>
      </c>
      <c r="CL35" s="128">
        <f>SUM(CL6:CL32)</f>
        <v>488.31018738243068</v>
      </c>
      <c r="CM35" s="128">
        <f>SUM(CM6:CM32)</f>
        <v>0</v>
      </c>
      <c r="CN35" s="115"/>
    </row>
    <row r="36" spans="1:121" ht="26" x14ac:dyDescent="0.3">
      <c r="BI36" s="124" t="s">
        <v>2044</v>
      </c>
      <c r="BJ36" s="129">
        <f>BK33</f>
        <v>531.67634618827321</v>
      </c>
      <c r="BK36" s="115" t="s">
        <v>4397</v>
      </c>
      <c r="BL36" s="115"/>
      <c r="BN36" s="127"/>
      <c r="BO36" s="130"/>
      <c r="BP36" s="131"/>
      <c r="BQ36" s="128"/>
      <c r="BR36" s="130"/>
      <c r="BS36" s="131"/>
      <c r="BT36" s="128"/>
      <c r="BU36" s="130"/>
      <c r="BV36" s="421"/>
      <c r="BW36" s="131"/>
      <c r="BX36" s="128"/>
      <c r="BY36" s="130"/>
      <c r="BZ36" s="421"/>
      <c r="CA36" s="131"/>
      <c r="CB36" s="128"/>
      <c r="CC36" s="130"/>
      <c r="CD36" s="421"/>
      <c r="CE36" s="131"/>
      <c r="CF36" s="128"/>
      <c r="CG36" s="130"/>
      <c r="CH36" s="421"/>
      <c r="CI36" s="131"/>
      <c r="CJ36" s="128"/>
      <c r="CK36" s="130"/>
      <c r="CL36" s="421"/>
      <c r="CM36" s="131"/>
      <c r="CN36" s="115"/>
    </row>
    <row r="37" spans="1:121" ht="13" x14ac:dyDescent="0.3">
      <c r="BI37" s="115" t="s">
        <v>2045</v>
      </c>
      <c r="BJ37" s="120">
        <f>BJ35-BJ33</f>
        <v>0</v>
      </c>
      <c r="BK37" s="115"/>
      <c r="BL37" s="115"/>
      <c r="BN37" s="127"/>
      <c r="BO37" s="937">
        <f>SUM(BO35:BP35)</f>
        <v>0</v>
      </c>
      <c r="BP37" s="938"/>
      <c r="BQ37" s="127"/>
      <c r="BR37" s="937">
        <f>SUM(BR35:BS35)</f>
        <v>0</v>
      </c>
      <c r="BS37" s="938"/>
      <c r="BT37" s="127" t="s">
        <v>2046</v>
      </c>
      <c r="BU37" s="937">
        <f>SUM(BU35:BW35)</f>
        <v>162.4523830953656</v>
      </c>
      <c r="BV37" s="984"/>
      <c r="BW37" s="938"/>
      <c r="BX37" s="127" t="s">
        <v>2046</v>
      </c>
      <c r="BY37" s="937">
        <f>SUM(BY35:CA35)</f>
        <v>72.999999999392372</v>
      </c>
      <c r="BZ37" s="984"/>
      <c r="CA37" s="938"/>
      <c r="CB37" s="127" t="s">
        <v>2046</v>
      </c>
      <c r="CC37" s="937">
        <f>SUM(CC35:CE35)</f>
        <v>181.50284289184066</v>
      </c>
      <c r="CD37" s="984"/>
      <c r="CE37" s="938"/>
      <c r="CF37" s="127" t="s">
        <v>2046</v>
      </c>
      <c r="CG37" s="937">
        <f>SUM(CG35:CI35)</f>
        <v>34.998887036138747</v>
      </c>
      <c r="CH37" s="984"/>
      <c r="CI37" s="938"/>
      <c r="CJ37" s="127" t="s">
        <v>2046</v>
      </c>
      <c r="CK37" s="937">
        <f>SUM(CK35:CM35)</f>
        <v>488.31018738243068</v>
      </c>
      <c r="CL37" s="984"/>
      <c r="CM37" s="938"/>
      <c r="CN37" s="116" t="e">
        <f>SUM(#REF!)</f>
        <v>#REF!</v>
      </c>
    </row>
    <row r="38" spans="1:121" ht="26" x14ac:dyDescent="0.3">
      <c r="BI38" s="124" t="s">
        <v>2047</v>
      </c>
      <c r="BJ38" s="120"/>
      <c r="BK38" s="115"/>
      <c r="BL38" s="115"/>
    </row>
    <row r="39" spans="1:121" s="115" customFormat="1" ht="13" x14ac:dyDescent="0.3">
      <c r="A39" s="415"/>
      <c r="B39" s="423"/>
      <c r="G39" s="85"/>
      <c r="P39" s="416"/>
      <c r="Q39" s="416"/>
      <c r="R39" s="416"/>
      <c r="S39" s="416"/>
      <c r="AA39" s="118"/>
      <c r="AB39" s="118"/>
      <c r="AC39" s="118"/>
      <c r="AD39" s="118"/>
      <c r="AE39" s="118"/>
      <c r="AJ39" s="118"/>
      <c r="AK39" s="118"/>
      <c r="BG39" s="120"/>
      <c r="BI39" s="124"/>
      <c r="BJ39" s="120"/>
      <c r="BK39" s="126"/>
      <c r="BL39" s="118"/>
      <c r="BM39" s="118"/>
      <c r="BN39" s="127"/>
      <c r="BO39" s="335"/>
      <c r="BP39" s="336"/>
      <c r="BQ39" s="424"/>
      <c r="BR39" s="425"/>
      <c r="BS39" s="425"/>
      <c r="BU39" s="425"/>
      <c r="BV39" s="425"/>
      <c r="BW39" s="425"/>
      <c r="BY39" s="425"/>
      <c r="BZ39" s="425"/>
      <c r="CA39" s="425"/>
      <c r="CC39" s="425"/>
      <c r="CD39" s="425"/>
      <c r="CE39" s="425"/>
      <c r="CG39" s="425"/>
      <c r="CH39" s="425"/>
      <c r="CI39" s="426"/>
      <c r="CJ39" s="427"/>
      <c r="CK39" s="422"/>
      <c r="CL39" s="422"/>
      <c r="CM39" s="336"/>
      <c r="CN39" s="116"/>
      <c r="CU39" s="120"/>
      <c r="DQ39" s="98"/>
    </row>
    <row r="40" spans="1:121" s="115" customFormat="1" ht="13.5" thickBot="1" x14ac:dyDescent="0.35">
      <c r="A40" s="415"/>
      <c r="B40" s="423"/>
      <c r="G40" s="85"/>
      <c r="P40" s="416"/>
      <c r="Q40" s="416"/>
      <c r="R40" s="416"/>
      <c r="S40" s="416"/>
      <c r="AA40" s="118"/>
      <c r="AB40" s="118"/>
      <c r="AC40" s="118"/>
      <c r="AD40" s="118"/>
      <c r="AE40" s="118"/>
      <c r="AJ40" s="118"/>
      <c r="AK40" s="118"/>
      <c r="BG40" s="120"/>
      <c r="BI40" s="124"/>
      <c r="BJ40" s="129"/>
      <c r="BK40" s="126"/>
      <c r="BL40" s="118"/>
      <c r="BM40" s="118"/>
      <c r="BN40" s="127"/>
      <c r="BO40" s="130"/>
      <c r="BP40" s="131"/>
      <c r="BQ40" s="428"/>
      <c r="BR40" s="116"/>
      <c r="BS40" s="116"/>
      <c r="BT40" s="116"/>
      <c r="BU40" s="116"/>
      <c r="BV40" s="116"/>
      <c r="BW40" s="116"/>
      <c r="BX40" s="116"/>
      <c r="BY40" s="116"/>
      <c r="BZ40" s="116"/>
      <c r="CA40" s="116"/>
      <c r="CB40" s="116"/>
      <c r="CC40" s="116"/>
      <c r="CD40" s="116"/>
      <c r="CE40" s="116"/>
      <c r="CF40" s="116"/>
      <c r="CG40" s="116"/>
      <c r="CH40" s="116"/>
      <c r="CI40" s="429"/>
      <c r="CJ40" s="130"/>
      <c r="CK40" s="421"/>
      <c r="CL40" s="421"/>
      <c r="CM40" s="131"/>
      <c r="CU40" s="120"/>
      <c r="DQ40" s="98"/>
    </row>
    <row r="41" spans="1:121" s="86" customFormat="1" ht="52" x14ac:dyDescent="0.3">
      <c r="A41" s="404" t="s">
        <v>1946</v>
      </c>
      <c r="B41" s="447" t="s">
        <v>1739</v>
      </c>
      <c r="C41" s="82" t="s">
        <v>1392</v>
      </c>
      <c r="D41" s="82" t="s">
        <v>1947</v>
      </c>
      <c r="E41" s="82" t="s">
        <v>1948</v>
      </c>
      <c r="F41" s="82" t="s">
        <v>1949</v>
      </c>
      <c r="G41" s="82" t="s">
        <v>1950</v>
      </c>
      <c r="H41" s="82" t="s">
        <v>1951</v>
      </c>
      <c r="I41" s="136" t="s">
        <v>1952</v>
      </c>
      <c r="J41" s="82" t="s">
        <v>1953</v>
      </c>
      <c r="K41" s="137" t="s">
        <v>1954</v>
      </c>
      <c r="L41" s="138" t="s">
        <v>1955</v>
      </c>
      <c r="M41" s="137" t="s">
        <v>1956</v>
      </c>
      <c r="N41" s="138" t="s">
        <v>1957</v>
      </c>
      <c r="O41" s="137" t="s">
        <v>1958</v>
      </c>
      <c r="P41" s="137" t="s">
        <v>1959</v>
      </c>
      <c r="Q41" s="137" t="s">
        <v>1960</v>
      </c>
      <c r="R41" s="137" t="s">
        <v>1961</v>
      </c>
      <c r="S41" s="137" t="s">
        <v>1962</v>
      </c>
      <c r="T41" s="138" t="s">
        <v>1963</v>
      </c>
      <c r="U41" s="139" t="s">
        <v>1964</v>
      </c>
      <c r="V41" s="140" t="s">
        <v>1965</v>
      </c>
      <c r="W41" s="140" t="s">
        <v>1966</v>
      </c>
      <c r="X41" s="140" t="s">
        <v>1967</v>
      </c>
      <c r="Y41" s="140" t="s">
        <v>1968</v>
      </c>
      <c r="Z41" s="140" t="s">
        <v>1969</v>
      </c>
      <c r="AA41" s="80" t="s">
        <v>1970</v>
      </c>
      <c r="AB41" s="80" t="s">
        <v>1971</v>
      </c>
      <c r="AC41" s="141" t="s">
        <v>1972</v>
      </c>
      <c r="AD41" s="141" t="s">
        <v>1973</v>
      </c>
      <c r="AE41" s="141" t="s">
        <v>1974</v>
      </c>
      <c r="AF41" s="141" t="s">
        <v>1975</v>
      </c>
      <c r="AG41" s="141" t="s">
        <v>1976</v>
      </c>
      <c r="AH41" s="136" t="s">
        <v>1977</v>
      </c>
      <c r="AI41" s="141" t="s">
        <v>1978</v>
      </c>
      <c r="AJ41" s="141" t="s">
        <v>1979</v>
      </c>
      <c r="AK41" s="141" t="s">
        <v>1980</v>
      </c>
      <c r="AL41" s="141" t="s">
        <v>1981</v>
      </c>
      <c r="AM41" s="141" t="s">
        <v>1982</v>
      </c>
      <c r="AN41" s="136" t="s">
        <v>1983</v>
      </c>
      <c r="AO41" s="141" t="s">
        <v>1984</v>
      </c>
      <c r="AP41" s="141" t="s">
        <v>1985</v>
      </c>
      <c r="AQ41" s="141" t="s">
        <v>1986</v>
      </c>
      <c r="AR41" s="82" t="s">
        <v>1987</v>
      </c>
      <c r="AS41" s="82" t="s">
        <v>1988</v>
      </c>
      <c r="AT41" s="82" t="s">
        <v>1989</v>
      </c>
      <c r="AU41" s="136" t="s">
        <v>1990</v>
      </c>
      <c r="AV41" s="136" t="s">
        <v>1991</v>
      </c>
      <c r="AW41" s="136" t="s">
        <v>1992</v>
      </c>
      <c r="AX41" s="141" t="s">
        <v>1993</v>
      </c>
      <c r="AY41" s="141" t="s">
        <v>1994</v>
      </c>
      <c r="AZ41" s="142" t="s">
        <v>1995</v>
      </c>
      <c r="BA41" s="407" t="s">
        <v>1996</v>
      </c>
      <c r="BB41" s="141" t="s">
        <v>1997</v>
      </c>
      <c r="BC41" s="141" t="s">
        <v>1998</v>
      </c>
      <c r="BD41" s="141" t="s">
        <v>1999</v>
      </c>
      <c r="BE41" s="82" t="s">
        <v>2000</v>
      </c>
      <c r="BF41" s="136" t="s">
        <v>2001</v>
      </c>
      <c r="BG41" s="136" t="s">
        <v>2002</v>
      </c>
      <c r="BH41" s="136" t="s">
        <v>2003</v>
      </c>
      <c r="BI41" s="136" t="s">
        <v>2004</v>
      </c>
      <c r="BJ41" s="136" t="s">
        <v>2048</v>
      </c>
      <c r="BK41" s="136" t="s">
        <v>2006</v>
      </c>
      <c r="BL41" s="136" t="s">
        <v>2007</v>
      </c>
      <c r="BM41" s="136" t="s">
        <v>2008</v>
      </c>
      <c r="BN41" s="1006">
        <v>400</v>
      </c>
      <c r="BO41" s="988"/>
      <c r="BP41" s="989"/>
      <c r="BQ41" s="998">
        <v>500</v>
      </c>
      <c r="BR41" s="999"/>
      <c r="BS41" s="1000"/>
      <c r="BT41" s="1001">
        <v>600</v>
      </c>
      <c r="BU41" s="1002"/>
      <c r="BV41" s="1002"/>
      <c r="BW41" s="1003"/>
      <c r="BX41" s="1001">
        <v>800</v>
      </c>
      <c r="BY41" s="1002"/>
      <c r="BZ41" s="1002"/>
      <c r="CA41" s="1003"/>
      <c r="CB41" s="1001">
        <v>1000</v>
      </c>
      <c r="CC41" s="1002"/>
      <c r="CD41" s="1002"/>
      <c r="CE41" s="1003"/>
      <c r="CF41" s="1001">
        <v>1200</v>
      </c>
      <c r="CG41" s="1002"/>
      <c r="CH41" s="1002"/>
      <c r="CI41" s="1004"/>
      <c r="CJ41" s="987">
        <v>1500</v>
      </c>
      <c r="CK41" s="988"/>
      <c r="CL41" s="988"/>
      <c r="CM41" s="989"/>
      <c r="CN41" s="409">
        <v>1650</v>
      </c>
      <c r="CO41" s="337">
        <v>1800</v>
      </c>
      <c r="CP41" s="337">
        <v>2000</v>
      </c>
      <c r="CQ41" s="337">
        <v>2200</v>
      </c>
      <c r="CR41" s="337">
        <v>2400</v>
      </c>
      <c r="CS41" s="337">
        <v>2600</v>
      </c>
      <c r="CT41" s="410">
        <v>3000</v>
      </c>
      <c r="CU41" s="82" t="s">
        <v>521</v>
      </c>
      <c r="CV41" s="83">
        <v>600</v>
      </c>
      <c r="CW41" s="83">
        <v>800</v>
      </c>
      <c r="CX41" s="83">
        <v>1000</v>
      </c>
      <c r="CY41" s="83">
        <v>1200</v>
      </c>
      <c r="CZ41" s="83">
        <v>1500</v>
      </c>
      <c r="DA41" s="411" t="s">
        <v>2009</v>
      </c>
      <c r="DB41" s="81">
        <v>600</v>
      </c>
      <c r="DC41" s="81">
        <v>800</v>
      </c>
      <c r="DD41" s="81">
        <v>1000</v>
      </c>
      <c r="DE41" s="81">
        <v>12000</v>
      </c>
      <c r="DF41" s="81">
        <v>1500</v>
      </c>
      <c r="DG41" s="84" t="s">
        <v>2010</v>
      </c>
      <c r="DH41" s="84" t="s">
        <v>2011</v>
      </c>
      <c r="DI41" s="84" t="s">
        <v>2012</v>
      </c>
      <c r="DJ41" s="84" t="s">
        <v>2013</v>
      </c>
      <c r="DK41" s="84" t="s">
        <v>2014</v>
      </c>
      <c r="DL41" s="84" t="s">
        <v>2015</v>
      </c>
      <c r="DM41" s="84" t="s">
        <v>2016</v>
      </c>
      <c r="DN41" s="84" t="s">
        <v>2017</v>
      </c>
      <c r="DO41" s="84" t="s">
        <v>2018</v>
      </c>
      <c r="DP41" s="84" t="s">
        <v>2019</v>
      </c>
      <c r="DQ41" s="85"/>
    </row>
    <row r="42" spans="1:121" ht="13" x14ac:dyDescent="0.3">
      <c r="A42" s="430"/>
      <c r="B42" s="442"/>
      <c r="C42" s="87" t="str">
        <f>'Planilha Hidráulica'!B48</f>
        <v>RD-1</v>
      </c>
      <c r="D42" s="88"/>
      <c r="E42" s="88"/>
      <c r="F42" s="88"/>
      <c r="G42" s="88"/>
      <c r="H42" s="82"/>
      <c r="I42" s="82"/>
      <c r="J42" s="82"/>
      <c r="K42" s="89"/>
      <c r="L42" s="90"/>
      <c r="M42" s="90"/>
      <c r="N42" s="90"/>
      <c r="O42" s="89"/>
      <c r="P42" s="89"/>
      <c r="Q42" s="89"/>
      <c r="R42" s="89"/>
      <c r="S42" s="89"/>
      <c r="T42" s="90"/>
      <c r="U42" s="91"/>
      <c r="V42" s="92" t="s">
        <v>2020</v>
      </c>
      <c r="W42" s="92"/>
      <c r="X42" s="92"/>
      <c r="Y42" s="92"/>
      <c r="Z42" s="92"/>
      <c r="AA42" s="93" t="s">
        <v>2021</v>
      </c>
      <c r="AB42" s="94"/>
      <c r="AC42" s="94"/>
      <c r="AD42" s="94"/>
      <c r="AE42" s="94"/>
      <c r="AF42" s="94"/>
      <c r="AG42" s="94"/>
      <c r="AH42" s="94"/>
      <c r="AI42" s="94"/>
      <c r="AJ42" s="94"/>
      <c r="AK42" s="94"/>
      <c r="AL42" s="81"/>
      <c r="AM42" s="81"/>
      <c r="AN42" s="81"/>
      <c r="AO42" s="81"/>
      <c r="AP42" s="81"/>
      <c r="AQ42" s="81"/>
      <c r="AR42" s="82"/>
      <c r="AS42" s="82"/>
      <c r="AT42" s="82"/>
      <c r="AU42" s="82"/>
      <c r="AV42" s="83"/>
      <c r="AW42" s="82"/>
      <c r="AX42" s="81"/>
      <c r="AY42" s="81"/>
      <c r="AZ42" s="81"/>
      <c r="BA42" s="81"/>
      <c r="BB42" s="81"/>
      <c r="BC42" s="81"/>
      <c r="BD42" s="81"/>
      <c r="BE42" s="82"/>
      <c r="BF42" s="82"/>
      <c r="BG42" s="82"/>
      <c r="BH42" s="82"/>
      <c r="BI42" s="82"/>
      <c r="BJ42" s="82"/>
      <c r="BK42" s="82"/>
      <c r="BL42" s="82"/>
      <c r="BM42" s="82"/>
      <c r="BN42" s="95"/>
      <c r="BO42" s="79"/>
      <c r="BP42" s="79"/>
      <c r="BQ42" s="79"/>
      <c r="BR42" s="412"/>
      <c r="BS42" s="413"/>
      <c r="BT42" s="96"/>
      <c r="BU42" s="412"/>
      <c r="BV42" s="412"/>
      <c r="BW42" s="413"/>
      <c r="BX42" s="96"/>
      <c r="BY42" s="412"/>
      <c r="BZ42" s="412"/>
      <c r="CA42" s="413"/>
      <c r="CB42" s="96"/>
      <c r="CC42" s="412"/>
      <c r="CD42" s="412"/>
      <c r="CE42" s="413"/>
      <c r="CF42" s="96"/>
      <c r="CG42" s="412"/>
      <c r="CH42" s="412"/>
      <c r="CI42" s="412"/>
      <c r="CJ42" s="79"/>
      <c r="CK42" s="79"/>
      <c r="CL42" s="79"/>
      <c r="CM42" s="79"/>
      <c r="CN42" s="79"/>
      <c r="CO42" s="79"/>
      <c r="CP42" s="79"/>
      <c r="CQ42" s="79"/>
      <c r="CR42" s="79"/>
      <c r="CS42" s="79"/>
      <c r="CT42" s="414"/>
      <c r="CU42" s="88"/>
      <c r="CV42" s="96"/>
      <c r="CW42" s="96"/>
      <c r="CX42" s="96"/>
      <c r="CY42" s="96"/>
      <c r="CZ42" s="96"/>
      <c r="DA42" s="97"/>
      <c r="DB42" s="79"/>
      <c r="DC42" s="79"/>
      <c r="DD42" s="79"/>
      <c r="DE42" s="79"/>
      <c r="DF42" s="79"/>
      <c r="DG42" s="79"/>
      <c r="DH42" s="79"/>
      <c r="DI42" s="79"/>
      <c r="DJ42" s="79"/>
      <c r="DK42" s="79"/>
      <c r="DL42" s="79"/>
      <c r="DM42" s="79"/>
      <c r="DN42" s="79"/>
      <c r="DO42" s="79"/>
      <c r="DP42" s="79"/>
      <c r="DQ42" s="445"/>
    </row>
    <row r="43" spans="1:121" ht="26" x14ac:dyDescent="0.25">
      <c r="A43" s="448" t="s">
        <v>2049</v>
      </c>
      <c r="B43" s="257"/>
      <c r="C43" s="101" t="str">
        <f>'Planilha Hidráulica'!B49</f>
        <v>PV1.1-&gt;PV2.1</v>
      </c>
      <c r="D43" s="258">
        <f>'Planilha Hidráulica'!R49</f>
        <v>1.6</v>
      </c>
      <c r="E43" s="258">
        <f>'Planilha Hidráulica'!S49</f>
        <v>1.49</v>
      </c>
      <c r="F43" s="258">
        <f>'Planilha Hidráulica'!K49</f>
        <v>38.29</v>
      </c>
      <c r="G43" s="101">
        <f>'Planilha Hidráulica'!M49</f>
        <v>600</v>
      </c>
      <c r="H43" s="449">
        <f t="shared" ref="H43:H77" si="130">IF(G43=400,((D43+E43)/2)+0.08+T43,IF(G43=500,((D43+E43)/2)+0.1+T43,IF(G43=600,((D43+E43)/2)+0.12+T43,IF(G43=800,((D43+E43)/2)+0.16+T43,IF(G43=1000,((D43+E43)/2)+0.2+T43,IF(G43=1200,((D43+E43)/2)+0.24+T43,IF(G43=1500,((D43+E43)/2)+0.3+T43,IF(G43&gt;1500,((D43+E43)/2)+0.4+T43))))))))</f>
        <v>1.7650000000000001</v>
      </c>
      <c r="I43" s="102">
        <f t="shared" ref="I43:I77" si="131">IF(K43=0,0,IF(H43&gt;=1.25,F43*H43/20,0))</f>
        <v>3.3790925000000001</v>
      </c>
      <c r="J43" s="450">
        <v>0</v>
      </c>
      <c r="K43" s="451">
        <f t="shared" ref="K43:K77" si="132">IF(G43=400,1,0)+IF(G43=500,1.2,0)+IF(G43=600,1.4,0)+IF(G43=800,1.7,0)+IF(G43=1000,2,0)+IF(G43=1200,2.2,0)+IF(G43=1500,2.6,0)+IF(G43=1650,3,0)+IF(G43=1800,3.2,0)+IF(G43=2000,3.4,0)+IF(G43=2200,3.6,0)+IF(G43=2400,3.8,0)+IF(G43=2600,4,0)+IF(G43=3000,4.4,0)</f>
        <v>1.4</v>
      </c>
      <c r="L43" s="451">
        <f t="shared" ref="L43:L77" si="133">2*J43*H43+K43</f>
        <v>1.4</v>
      </c>
      <c r="M43" s="451">
        <f>'Planilha Hidráulica'!X49</f>
        <v>400</v>
      </c>
      <c r="N43" s="451">
        <f t="shared" ref="N43:N77" si="134">L43*F43</f>
        <v>53.605999999999995</v>
      </c>
      <c r="O43" s="452" t="str">
        <f>'Planilha Hidráulica'!W49</f>
        <v>ASFALTO</v>
      </c>
      <c r="P43" s="452" t="s">
        <v>2050</v>
      </c>
      <c r="Q43" s="452"/>
      <c r="R43" s="452">
        <v>5</v>
      </c>
      <c r="S43" s="452">
        <v>5</v>
      </c>
      <c r="T43" s="451">
        <f t="shared" ref="T43:T77" si="135">IF(G43=400,0.05,0)+IF(G43=500,0.05,0)+IF(G43=600,0.1,0)+IF(G43=800,0.1,0)+IF(G43=1000,0.15,0)+IF(G43=1200,0.15,0)+IF(G43=1500,0.2,0)+IF(G43=1650,0.2,0)+IF(G43=1800,0.2,0)+IF(G43=2000,0.25,0)+IF(G43=2200,0.25,0)+IF(G43=2400,0.25,0)+IF(G43=2600,0.25,0)+IF(G43=3000,0.25,0)</f>
        <v>0.1</v>
      </c>
      <c r="U43" s="453">
        <f t="shared" ref="U43:U77" si="136">IFERROR((PI()*(M43/1000)*(M43/1000)/4)*F43,0)</f>
        <v>4.8116633082381277</v>
      </c>
      <c r="V43" s="106">
        <f t="shared" ref="V43:V77" si="137">((((J43*H43)*H43)/2)*2+K43*H43)*F43-U43+AW43</f>
        <v>89.802926691761883</v>
      </c>
      <c r="W43" s="107">
        <f t="shared" ref="W43:W77" si="138">ROUND(V43-SUM(AC43:AR43),2)</f>
        <v>0</v>
      </c>
      <c r="X43" s="107">
        <f t="shared" ref="X43:X77" si="139">IF(Q43=1,IF(M43=0,H43+0.4,0.4),0)</f>
        <v>0</v>
      </c>
      <c r="Y43" s="454">
        <f t="shared" ref="Y43:Y77" si="140">IF(R43&lt;H43,R43,H43)</f>
        <v>1.7650000000000001</v>
      </c>
      <c r="Z43" s="454">
        <f t="shared" ref="Z43:Z77" si="141">H43-Y43</f>
        <v>0</v>
      </c>
      <c r="AA43" s="455">
        <f t="shared" ref="AA43:AA77" si="142">IF(O43="ASFALTO",L43*F43,0)</f>
        <v>53.605999999999995</v>
      </c>
      <c r="AB43" s="117">
        <f t="shared" ref="AB43:AB77" si="143">IF(O43="CONCRETO",L43*F43,0)</f>
        <v>0</v>
      </c>
      <c r="AC43" s="109">
        <f t="shared" ref="AC43:AC77" si="144">IF(X43=0,0,IF(X43=0.4,IF(K43&lt;=1.5,IF(Y43+0.4&gt;=1.5,0,K43*F43*0.4),0),IF(K43&lt;=1.5,IF(X43&gt;=1.5,L43*F43*1.5,K43*F43*(X43)),0)+IF(R43&lt;H43+0.4,0,IF(AND(X43&lt;=1.5,K43&lt;=1.5),-U43,0))))</f>
        <v>0</v>
      </c>
      <c r="AD43" s="109">
        <f t="shared" ref="AD43:AD77" si="145">IF(X43=0,0,IF(X43=0.4,IF(K43&lt;=1.5,IF(OR(Y43+0.4&gt;=3,Y43+0.4&lt;1.5),0,K43*F43*0.4),0),IF(IF(K43&lt;=1.5,IF(X43&gt;=3,L43*F43*1.5,K43*F43*(X43-1.5)),0)&lt;0,0,IF(K43&lt;=1.5,IF(X43&gt;=3,L43*F43*1.5,K43*F43*(X43-1.5)),0))+IF(R43&lt;H43+0.4,0,IF(AND(X43&lt;=3,K43&lt;=1.5),-U43,0))))</f>
        <v>0</v>
      </c>
      <c r="AE43" s="109">
        <f t="shared" ref="AE43:AE77" si="146">IF(X43=0,0,IF(X43=0.4,IF(K43&lt;=1.5,IF(OR(Y43+0.4&gt;=4.5,Y43+0.4&lt;3),0,K43*F43*0.4),0),IF(IF(K43&lt;=1.5,IF(X43&gt;=4.5,L43*F43*1.5,K43*F43*(X43-1.5)),0)&lt;0,0,IF(K43&lt;=1.5,IF(X43&gt;=3,L43*F43*1.5,K43*F43*(X43-1.5)),0))+IF(R43&lt;H43+0.4,0,IF(AND(X43&lt;=4.5,K43&lt;=1.5),-U43,0))))</f>
        <v>0</v>
      </c>
      <c r="AF43" s="109">
        <f t="shared" ref="AF43:AF77" si="147">IF(X43=0,0,IF(X43=0.4,IF(AND(K43&gt;1.5,K43&lt;=2.6),IF(Y43+0.4&gt;=1.5,0,K43*F43*0.4),0),IF(AND(K43&gt;1.5,K43&lt;=2.6),IF(X43&gt;=1.5,L43*F43*1.5,K43*F43*(X43)),0)+IF(R43&lt;H43+0.4,0,IF(AND(X43&lt;=1.5,K43&lt;=1.5),-U43,0))))</f>
        <v>0</v>
      </c>
      <c r="AG43" s="109">
        <f t="shared" ref="AG43:AG77" si="148">IF(X43=0,0,IF(X43=0.4,IF(AND(K43&gt;1.5,K43&lt;=2.6),IF(OR(Y43+0.4&gt;=3,Y43+0.4&lt;1.5),0,K43*F43*0.4),0),IF(IF(AND(K43&gt;1.5,K43&lt;=2.6),IF(X43&gt;=3,L43*F43*1.5,K43*F43*(X43-1.5)),0)&lt;0,0,IF(AND(K43&gt;1.5,K43&lt;=2.6),IF(X43&gt;=3,L43*F43*1.5,K43*F43*(X43-1.5)),0))+IF(R43&lt;H43+0.4,0,IF(AND(X43&lt;=3,K43&lt;=1.5),-U43,0))))</f>
        <v>0</v>
      </c>
      <c r="AH43" s="109">
        <f t="shared" ref="AH43:AH76" si="149">IF(X43=0,0,IF(X43=0.4,IF(AND(K43&gt;1.5,K43&lt;=2.6),IF(OR(Y43+0.4&gt;=4.5,Y43+0.4&lt;3),0,K43*F43*0.4),0),IF(IF(AND(K43&gt;1.5,K43&lt;=2.6),IF(X43&gt;=4.5,L43*F43*1.5,K43*F43*(X43-3)),0)&lt;0,0,IF(AND(K43&gt;1.5,K43&lt;=2.6),IF(X43&gt;=4.5,L43*F43*1.5,K43*F43*(X43-3)),0))+IF(R43&lt;H43+0.4,0,IF(AND(X43&lt;=3,K43&lt;=1.5),-U43,0))))</f>
        <v>0</v>
      </c>
      <c r="AI43" s="109">
        <f t="shared" ref="AI43:AI77" si="150">IF(X43=0,0,IF(X43=0.4,IF(AND(K43&gt;1.5,K43&lt;=2.6),IF(OR(Y43+0.4&gt;=6,Y43+0.4&lt;4.5),0,K43*F43*0.4),0),IF(IF(AND(K43&gt;1.5,K43&lt;=2.6),IF(X43&gt;=6,L43*F43*1.5,K43*F43*(X43-4.5)),0)&lt;0,0,IF(AND(K43&gt;1.5,K43&lt;=2.6),IF(X43&gt;=6,L43*F43*1.5,K43*F43*(X43-4.5)),0))+IF(R43&lt;H43+0.4,0,IF(AND(X43&lt;=3,K43&lt;=1.5),-U43,0))))</f>
        <v>0</v>
      </c>
      <c r="AJ43" s="456">
        <f t="shared" ref="AJ43:AJ77" si="151">IF(K43&lt;=1.5,IF(Y43&gt;=1.5,L43*F43*1.5,K43*F43*Y43),0)+IF(R43&lt;H43,0,IF(AND(Y43&lt;=1.5,K43&lt;=1.5),-U43,0))</f>
        <v>80.408999999999992</v>
      </c>
      <c r="AK43" s="456">
        <f t="shared" ref="AK43:AK77" si="152">IF(IF(K43&lt;=1.5,IF(Y43&gt;=3,L43*F43*1.5,K43*F43*(Y43-1.5)),0)&lt;0,0,IF(K43&lt;=1.5,IF(Y43&gt;=3,L43*F43*1.5,K43*F43*(Y43-1.5)),0))+IF(R43&lt;H43,0,IF(AND(Y43&lt;=3,K43&lt;=1.5),-U43,0))</f>
        <v>9.3939266917618767</v>
      </c>
      <c r="AL43" s="456">
        <f t="shared" ref="AL43:AL77" si="153">IF(AND(K43&lt;=2.5,K43&gt;1.5),IF(Y43&gt;=1.5,L43*F43*1.5,K43*F43*Y43),0)+IF(R43&lt;H43,0,IF(AND(Y43&lt;=1.5,K43&gt;1.5,K43&lt;=2.5),-U43,0))</f>
        <v>0</v>
      </c>
      <c r="AM43" s="456">
        <f>IF(IF(AND(K43&lt;=2.5,K43&gt;1.5),IF(Y43&gt;=3,L43*F43*1.5,K43*F43*(Y43-1.5)),0)&lt;0,0,IF(AND(K43&lt;=2.5,K43&gt;1.5),IF(Y43&gt;=3,L43*F43*1.5,K43*F43*(Y43-1.5)),0))+IF(R43&lt;H43,0,IF(AND(Y43&lt;=3,Y43&gt;1.5,K43&gt;1.5,K43&lt;=2.5),-U43,0))</f>
        <v>0</v>
      </c>
      <c r="AN43" s="456">
        <f>IF(IF(K43&lt;=2.5,IF(Y43&gt;=4.5,L43*F43*1.5,K43*F43*(Y43-3)),0)&lt;0,0,IF(K43&lt;=2.5,IF(Y43&gt;=4.5,L43*F43*1.5,K43*F43*(Y43-3)),0))+IF(R43&lt;H43,0,IF(AND(Y43&lt;=4.5,Y43&gt;3,K43&gt;1.5,K43&lt;=2.5),-U43,0))</f>
        <v>0</v>
      </c>
      <c r="AO43" s="456">
        <f t="shared" ref="AO43:AO74" si="154">IF(K43&gt;2.5,IF(Y43&gt;=2,L43*F43*2,K43*F43*Y43),0)+IF(R43&lt;H43,0,IF(AND(Y43&lt;=2,K43&gt;=2.5),-U43,0))</f>
        <v>0</v>
      </c>
      <c r="AP43" s="456">
        <f t="shared" ref="AP43:AP74" si="155">IF(IF(K43&gt;2.5,IF(Y43&gt;=4,L43*F43*2,K43*F43*(Y43-2)),0)&lt;0,0,IF(K43&gt;2.5,IF(Y43&gt;=4,L43*F43*2,K43*F43*(Y43-2)),0))+IF(R43&lt;H43,0,IF(AND(Y43&lt;=4,Y43&gt;2,K43&gt;2.5),-U43,0))</f>
        <v>0</v>
      </c>
      <c r="AQ43" s="456">
        <f t="shared" ref="AQ43:AQ77" si="156">IF(IF(K43&gt;2.5,IF(Y43&gt;=6,L43*F43*2,K43*F43*(Y43-4)),0)&lt;0,0,IF(K43&gt;2.5,IF(Y43&gt;=6,L43*F43*2,K43*F43*(Y43-4)),0))+IF(R43&lt;H43,0,IF(AND(Y43&lt;=6,Y43&gt;4,K43&gt;2.5),-U43,0))</f>
        <v>0</v>
      </c>
      <c r="AR43" s="104">
        <f t="shared" ref="AR43:AR77" si="157">ROUND(V43-SUM(AC43:AQ43),2)</f>
        <v>0</v>
      </c>
      <c r="AS43" s="451">
        <f t="shared" ref="AS43:AS77" si="158">IF(H43-S43&lt;0,0,(H43-S43)*F43)/75</f>
        <v>0</v>
      </c>
      <c r="AT43" s="104">
        <f t="shared" ref="AT43:AT77" si="159">F43*K43*H43-PI()*(G43/1000)*(G43/1000)/4*F43+AW43</f>
        <v>83.788347556464203</v>
      </c>
      <c r="AU43" s="102">
        <f t="shared" ref="AU43:AU77" si="160">IF(K43&lt;1.5,K43*F43*IF(G43&lt;=500,0.05,IF(G43&lt;=800,0.1,IF(G43&lt;=1200,0.15,IF(G43&gt;=1500,0.2)))),0)</f>
        <v>5.3605999999999998</v>
      </c>
      <c r="AV43" s="106">
        <f t="shared" ref="AV43:AV77" si="161">IF(K43&gt;=1.5,K43*F43*IF(G43&lt;=500,0.05,IF(G43&lt;=800,0.1,IF(G43&lt;=1200,0.15,IF(G43&gt;=1500,0.2)))),0)</f>
        <v>0</v>
      </c>
      <c r="AW43" s="104">
        <f t="shared" ref="AW43:AW77" si="162">IF(Q43=1,0.4*F43*K43,0)</f>
        <v>0</v>
      </c>
      <c r="AX43" s="104">
        <f t="shared" ref="AX43:AX77" si="163">IF(AW43&lt;SUM(AJ43:AQ43),0,AW43)</f>
        <v>0</v>
      </c>
      <c r="AY43" s="104">
        <f t="shared" ref="AY43:AY77" si="164">G43/1000+0.3</f>
        <v>0.89999999999999991</v>
      </c>
      <c r="AZ43" s="104">
        <f t="shared" ref="AZ43:AZ77" si="165">AY43*K43*F43-PI()*(G43/1000*G43/1000)/4*F43</f>
        <v>37.419157556464199</v>
      </c>
      <c r="BA43" s="104">
        <f t="shared" ref="BA43:BA77" si="166">IF(AZ43&lt;SUM(AJ43:AQ43),0,AZ43)</f>
        <v>0</v>
      </c>
      <c r="BB43" s="104">
        <f t="shared" ref="BB43:BB77" si="167">IF(O43="ASFALTO",0.15*F43*K43,0)</f>
        <v>8.0408999999999988</v>
      </c>
      <c r="BC43" s="104">
        <f t="shared" ref="BC43:BC77" si="168">BB43</f>
        <v>8.0408999999999988</v>
      </c>
      <c r="BD43" s="104">
        <f t="shared" ref="BD43:BD77" si="169">IF(O43="ASFALTO",0.03*F43*K43,0)</f>
        <v>1.6081799999999997</v>
      </c>
      <c r="BE43" s="104">
        <f t="shared" ref="BE43:BE77" si="170">AT43-AW43-SUM(AU43:AV43)-BB43-BC43-AZ43</f>
        <v>24.926790000000004</v>
      </c>
      <c r="BF43" s="104">
        <f t="shared" ref="BF43:BF77" si="171">SUM(AJ43:AQ43)-AW43-BB43-AZ43</f>
        <v>44.342869135297676</v>
      </c>
      <c r="BG43" s="104">
        <f t="shared" ref="BG43:BG77" si="172">IF(SMALL(BE43:BF43,1)&lt;0,0,SMALL(BE43:BF43,1))</f>
        <v>24.926790000000004</v>
      </c>
      <c r="BH43" s="104">
        <f t="shared" ref="BH43:BH77" si="173">BF43-BG43</f>
        <v>19.416079135297672</v>
      </c>
      <c r="BI43" s="104">
        <f t="shared" ref="BI43:BI77" si="174">BE43-BG43</f>
        <v>0</v>
      </c>
      <c r="BJ43" s="104">
        <f>IF($BI$89&gt;$BJ$91,($BJ$91/$BI$89)*BI43,BI43)</f>
        <v>0</v>
      </c>
      <c r="BK43" s="104">
        <f t="shared" ref="BK43:BK77" si="175">BI43-BJ43</f>
        <v>0</v>
      </c>
      <c r="BL43" s="125"/>
      <c r="BM43" s="104">
        <f t="shared" ref="BM43:BM77" si="176">IF(AW43+BB43&gt;0,4%*(AW43+BB43),0)</f>
        <v>0.32163599999999998</v>
      </c>
      <c r="BN43" s="455">
        <f t="shared" ref="BN43:BN77" si="177">IF(G43=400,H43,0)</f>
        <v>0</v>
      </c>
      <c r="BO43" s="457">
        <f t="shared" ref="BO43:BO77" si="178">IF(BN43&lt;=1.75,AND(BN43&gt;0)*F43,0)</f>
        <v>0</v>
      </c>
      <c r="BP43" s="457">
        <f t="shared" ref="BP43:BP77" si="179">IF(BN43&lt;=3,AND(BN43&gt;1.75)*F43,0)</f>
        <v>0</v>
      </c>
      <c r="BQ43" s="457">
        <f t="shared" ref="BQ43:BQ77" si="180">IF(G43=500,H43,0)</f>
        <v>0</v>
      </c>
      <c r="BR43" s="451">
        <f t="shared" ref="BR43:BR77" si="181">IF(BQ43&lt;=1.75,AND(BQ43&gt;0)*F43,0)</f>
        <v>0</v>
      </c>
      <c r="BS43" s="451">
        <f t="shared" ref="BS43:BS77" si="182">IF(BQ43&lt;=3,AND(BQ43&gt;1.75)*F43,0)</f>
        <v>0</v>
      </c>
      <c r="BT43" s="451">
        <f t="shared" ref="BT43:BT77" si="183">IF(G43=600,H43,0)</f>
        <v>1.7650000000000001</v>
      </c>
      <c r="BU43" s="451">
        <f t="shared" ref="BU43:BU77" si="184">IF(BT43&lt;=3,AND(BT43&gt;0)*F43,0)</f>
        <v>38.29</v>
      </c>
      <c r="BV43" s="451">
        <f t="shared" ref="BV43:BV77" si="185">IF(BT43&lt;=6,AND(BT43&gt;3)*F43,0)</f>
        <v>0</v>
      </c>
      <c r="BW43" s="451">
        <f t="shared" ref="BW43:BW77" si="186">IF(BT43&lt;=9,AND(BT43&gt;6)*F43,0)</f>
        <v>0</v>
      </c>
      <c r="BX43" s="451">
        <f t="shared" ref="BX43:BX77" si="187">IF(G43=800,H43,0)</f>
        <v>0</v>
      </c>
      <c r="BY43" s="451">
        <f t="shared" ref="BY43:BY77" si="188">IF(BX43&lt;=3,AND(BX43&gt;0)*F43,0)</f>
        <v>0</v>
      </c>
      <c r="BZ43" s="451">
        <f t="shared" ref="BZ43:BZ77" si="189">IF(BX43&lt;=6,AND(BX43&gt;3)*F43,0)</f>
        <v>0</v>
      </c>
      <c r="CA43" s="451">
        <f t="shared" ref="CA43:CA77" si="190">IF(BX43&lt;=9,AND(BX43&gt;6)*F43,0)</f>
        <v>0</v>
      </c>
      <c r="CB43" s="451">
        <f t="shared" ref="CB43:CB77" si="191">IF(G43=1000,H43,0)</f>
        <v>0</v>
      </c>
      <c r="CC43" s="451">
        <f t="shared" ref="CC43:CC77" si="192">IF(CB43&lt;=3,AND(CB43&gt;0)*F43,0)</f>
        <v>0</v>
      </c>
      <c r="CD43" s="451">
        <f t="shared" ref="CD43:CD77" si="193">IF(CB43&lt;=6,AND(CB43&gt;3)*F43,0)</f>
        <v>0</v>
      </c>
      <c r="CE43" s="451">
        <f t="shared" ref="CE43:CE77" si="194">IF(CB43&lt;=9,AND(CB43&gt;6)*F43,0)</f>
        <v>0</v>
      </c>
      <c r="CF43" s="451">
        <f t="shared" ref="CF43:CF77" si="195">IF(G43=1200,H43,0)</f>
        <v>0</v>
      </c>
      <c r="CG43" s="451">
        <f t="shared" ref="CG43:CG77" si="196">IF(CF43&lt;=3,AND(CF43&gt;0)*F43,0)</f>
        <v>0</v>
      </c>
      <c r="CH43" s="451">
        <f t="shared" ref="CH43:CH77" si="197">IF(CF43&lt;=6,AND(CF43&gt;3)*F43,0)</f>
        <v>0</v>
      </c>
      <c r="CI43" s="451">
        <f t="shared" ref="CI43:CI77" si="198">IF(CF43&lt;=9,AND(CF43&gt;6)*F43,0)</f>
        <v>0</v>
      </c>
      <c r="CJ43" s="458">
        <f t="shared" ref="CJ43:CJ77" si="199">IF(G43=1500,H43,0)</f>
        <v>0</v>
      </c>
      <c r="CK43" s="451">
        <f t="shared" ref="CK43:CK77" si="200">IF(CJ43&lt;=3,AND(CJ43&gt;0)*F43,0)</f>
        <v>0</v>
      </c>
      <c r="CL43" s="451">
        <f t="shared" ref="CL43:CL77" si="201">IF(CJ43&lt;=6,AND(CJ43&gt;3)*F43,0)</f>
        <v>0</v>
      </c>
      <c r="CM43" s="451">
        <f t="shared" ref="CM43:CM77" si="202">IF(CJ43&lt;=9,AND(CJ43&gt;6)*F43,0)</f>
        <v>0</v>
      </c>
      <c r="CN43" s="454">
        <f t="shared" ref="CN43:CN77" si="203">IF(G43=1650,F43,0)</f>
        <v>0</v>
      </c>
      <c r="CO43" s="454">
        <f t="shared" ref="CO43:CO77" si="204">IF(G43=1800,F43,0)</f>
        <v>0</v>
      </c>
      <c r="CP43" s="454">
        <f t="shared" ref="CP43:CP77" si="205">IF(G43=2000,F43,0)</f>
        <v>0</v>
      </c>
      <c r="CQ43" s="454">
        <f t="shared" ref="CQ43:CQ77" si="206">IF(G43=2200,F43,0)</f>
        <v>0</v>
      </c>
      <c r="CR43" s="454">
        <f t="shared" ref="CR43:CR77" si="207">IF(G43=2400,F43,0)</f>
        <v>0</v>
      </c>
      <c r="CS43" s="454">
        <f t="shared" ref="CS43:CS77" si="208">IF(G43=2600,F43,0)</f>
        <v>0</v>
      </c>
      <c r="CT43" s="459">
        <f t="shared" ref="CT43:CT77" si="209">IF(G43=3000,F43,0)</f>
        <v>0</v>
      </c>
      <c r="CU43" s="460">
        <f t="shared" ref="CU43:CU77" si="210">IF(G43&gt;=100,1,0)</f>
        <v>1</v>
      </c>
      <c r="CV43" s="460">
        <f t="shared" ref="CV43:CV77" si="211">IF(CU43=1,IF(G43&lt;=600,1,0))</f>
        <v>1</v>
      </c>
      <c r="CW43" s="460">
        <f t="shared" ref="CW43:CW77" si="212">IF(CU43=1,IF($G43=800,1,0))</f>
        <v>0</v>
      </c>
      <c r="CX43" s="460">
        <f t="shared" ref="CX43:CX77" si="213">IF(CU43=1,IF($G43=1000,1,0))</f>
        <v>0</v>
      </c>
      <c r="CY43" s="460">
        <f t="shared" ref="CY43:CY77" si="214">IF(CU43=1,IF($G43=1200,1,0))</f>
        <v>0</v>
      </c>
      <c r="CZ43" s="460">
        <f t="shared" ref="CZ43:CZ77" si="215">IF(CU43=1,IF($G43=1500,1,0))</f>
        <v>0</v>
      </c>
      <c r="DA43" s="461">
        <f t="shared" ref="DA43:DA77" si="216">IF(IF(G43&lt;=600,(D43-DB43),0)+IF(G43=800,(D43-DC43),0)+IF(G43&gt;=1000,D43-DD43,0)&lt;0,0,IF(G43&lt;=600,(D43-DB43),0)+IF(G43=800,(D43-DC43),0)+IF(G43&gt;=1000,D43-DD43,0))</f>
        <v>0.30000000000000004</v>
      </c>
      <c r="DB43" s="118">
        <v>1.3</v>
      </c>
      <c r="DC43" s="118">
        <v>1.4</v>
      </c>
      <c r="DD43" s="118">
        <v>2</v>
      </c>
      <c r="DE43" s="118">
        <v>2</v>
      </c>
      <c r="DF43" s="462">
        <v>2</v>
      </c>
      <c r="DG43" s="455">
        <f t="shared" ref="DG43:DG77" si="217">IF(K43&lt;=1.5,IF(H43&lt;1.5,H43*F43*2,F43*2*1.5),0)</f>
        <v>114.87</v>
      </c>
      <c r="DH43" s="463">
        <f t="shared" ref="DH43:DH77" si="218">IF(K43&lt;=1.5,IF(AND(H43&lt;3,H43&gt;1.5),(H43-1.5)*F43*2,IF(H43&gt;=3,(F43*2*1.5),0)),0)</f>
        <v>20.293700000000008</v>
      </c>
      <c r="DI43" s="463">
        <f t="shared" ref="DI43:DI77" si="219">IF(K43&lt;=1.5,IF(AND(H43&lt;4.5,H43&gt;3),(H43-3)*F43*2,IF(H43&gt;=4.5,(F43*2*1.5),0)),0)</f>
        <v>0</v>
      </c>
      <c r="DJ43" s="463">
        <f t="shared" ref="DJ43:DJ77" si="220">IF(AND(K43&lt;=2.5,K43&gt;1.5),IF(H43&lt;1.5,H43*F43*2,F43*2*1.5),0)</f>
        <v>0</v>
      </c>
      <c r="DK43" s="463">
        <f t="shared" ref="DK43:DK77" si="221">IF(AND(K43&gt;1.5,K43&lt;=2.5),IF(AND(H43&lt;3,H43&gt;1.5),(H43-1.5)*F43*2,IF(H43&gt;=3,(F43*2*1.5),0)),0)</f>
        <v>0</v>
      </c>
      <c r="DL43" s="463">
        <f t="shared" ref="DL43:DL77" si="222">IF(AND(K43&gt;1.5,K43&lt;=2.5),IF(AND(H43&lt;4.5,H43&gt;3),(H43-3)*F43*2,IF(H43&gt;=4.5,(F43*2*1.5),0)),0)</f>
        <v>0</v>
      </c>
      <c r="DM43" s="463">
        <f t="shared" ref="DM43:DM77" si="223">IF(AND(K43&lt;=3.5,K43&gt;2.5),IF(H43&lt;1.5,H43*F43*2,F43*2*1.5),0)</f>
        <v>0</v>
      </c>
      <c r="DN43" s="463">
        <f t="shared" ref="DN43:DN77" si="224">IF(AND(K43&gt;2.5,K43&lt;=3.5),IF(AND(H43&lt;3,H43&gt;1.5),(H43-1.5)*F43*2,IF(H43&gt;=3,(F43*2*1.5),0)),0)</f>
        <v>0</v>
      </c>
      <c r="DO43" s="463">
        <f t="shared" ref="DO43:DO77" si="225">IF(AND(K43&gt;2.5,K43&lt;=3.5),IF(AND(H43&lt;4.5,H43&gt;3),(H43-3)*F43*2,IF(H43&gt;=4.5,(F43*2*1.5),0)),0)</f>
        <v>0</v>
      </c>
      <c r="DP43" s="463">
        <f t="shared" ref="DP43:DP77" si="226">IF(AND(K43&gt;2.5,K43&lt;=3.5),IF(AND(H43&lt;6,H43&gt;4.5),(H43-4.5)*F43*2,IF(H43&gt;=6,(F43*2*1.5),0)),0)</f>
        <v>0</v>
      </c>
      <c r="DQ43" s="445"/>
    </row>
    <row r="44" spans="1:121" ht="26" x14ac:dyDescent="0.25">
      <c r="A44" s="448" t="s">
        <v>2049</v>
      </c>
      <c r="B44" s="257"/>
      <c r="C44" s="101" t="str">
        <f>'Planilha Hidráulica'!B50</f>
        <v>PV2.1-&gt;PV3.1</v>
      </c>
      <c r="D44" s="258">
        <f>'Planilha Hidráulica'!R50</f>
        <v>1.49</v>
      </c>
      <c r="E44" s="258">
        <f>'Planilha Hidráulica'!S50</f>
        <v>1.6</v>
      </c>
      <c r="F44" s="258">
        <f>'Planilha Hidráulica'!K50</f>
        <v>41.71</v>
      </c>
      <c r="G44" s="101">
        <f>'Planilha Hidráulica'!M50</f>
        <v>600</v>
      </c>
      <c r="H44" s="449">
        <f t="shared" si="130"/>
        <v>1.7650000000000001</v>
      </c>
      <c r="I44" s="102">
        <f t="shared" si="131"/>
        <v>3.6809075</v>
      </c>
      <c r="J44" s="450">
        <v>0</v>
      </c>
      <c r="K44" s="451">
        <f t="shared" si="132"/>
        <v>1.4</v>
      </c>
      <c r="L44" s="451">
        <f t="shared" si="133"/>
        <v>1.4</v>
      </c>
      <c r="M44" s="451">
        <f>'Planilha Hidráulica'!X50</f>
        <v>400</v>
      </c>
      <c r="N44" s="451">
        <f t="shared" si="134"/>
        <v>58.393999999999998</v>
      </c>
      <c r="O44" s="452" t="str">
        <f>'Planilha Hidráulica'!W50</f>
        <v>ASFALTO</v>
      </c>
      <c r="P44" s="452" t="s">
        <v>2050</v>
      </c>
      <c r="Q44" s="452"/>
      <c r="R44" s="452">
        <v>5</v>
      </c>
      <c r="S44" s="452">
        <v>5</v>
      </c>
      <c r="T44" s="451">
        <f t="shared" si="135"/>
        <v>0.1</v>
      </c>
      <c r="U44" s="453">
        <f t="shared" si="136"/>
        <v>5.2414331832492111</v>
      </c>
      <c r="V44" s="106">
        <f t="shared" si="137"/>
        <v>97.823976816750786</v>
      </c>
      <c r="W44" s="107">
        <f t="shared" si="138"/>
        <v>0</v>
      </c>
      <c r="X44" s="107">
        <f t="shared" si="139"/>
        <v>0</v>
      </c>
      <c r="Y44" s="454">
        <f t="shared" si="140"/>
        <v>1.7650000000000001</v>
      </c>
      <c r="Z44" s="454">
        <f t="shared" si="141"/>
        <v>0</v>
      </c>
      <c r="AA44" s="455">
        <f t="shared" si="142"/>
        <v>58.393999999999998</v>
      </c>
      <c r="AB44" s="117">
        <f t="shared" si="143"/>
        <v>0</v>
      </c>
      <c r="AC44" s="109">
        <f t="shared" si="144"/>
        <v>0</v>
      </c>
      <c r="AD44" s="109">
        <f t="shared" si="145"/>
        <v>0</v>
      </c>
      <c r="AE44" s="109">
        <f t="shared" si="146"/>
        <v>0</v>
      </c>
      <c r="AF44" s="109">
        <f t="shared" si="147"/>
        <v>0</v>
      </c>
      <c r="AG44" s="109">
        <f t="shared" si="148"/>
        <v>0</v>
      </c>
      <c r="AH44" s="109">
        <f t="shared" si="149"/>
        <v>0</v>
      </c>
      <c r="AI44" s="109">
        <f t="shared" si="150"/>
        <v>0</v>
      </c>
      <c r="AJ44" s="456">
        <f t="shared" si="151"/>
        <v>87.590999999999994</v>
      </c>
      <c r="AK44" s="456">
        <f t="shared" si="152"/>
        <v>10.232976816750796</v>
      </c>
      <c r="AL44" s="456">
        <f t="shared" si="153"/>
        <v>0</v>
      </c>
      <c r="AM44" s="456">
        <f>IF(IF(AND(K44&lt;=2.5,K44&gt;1.5),IF(Y44&gt;=3,L44*F44*1.5,K44*F44*(Y44-1.5)),0)&lt;0,0,IF(AND(K44&lt;=2.5,K44&gt;1.5),IF(Y44&gt;=3,L44*F44*1.5,K44*F44*(Y44-1.5)),0))+IF(R44&lt;H44,0,IF(AND(Y44&lt;=3,Y44&gt;1.5,K44&gt;1.5,K44&lt;=2.5),-U44,0))</f>
        <v>0</v>
      </c>
      <c r="AN44" s="456">
        <f>IF(IF(K44&lt;=2.5,IF(Y44&gt;=4.5,L44*F44*1.5,K44*F44*(Y44-3)),0)&lt;0,0,IF(K44&lt;=2.5,IF(Y44&gt;=4.5,L44*F44*1.5,K44*F44*(Y44-3)),0))+IF(R44&lt;H44,0,IF(AND(Y44&lt;=4.5,Y44&gt;3,K44&gt;1.5,K44&lt;=2.5),-U44,0))</f>
        <v>0</v>
      </c>
      <c r="AO44" s="456">
        <f t="shared" si="154"/>
        <v>0</v>
      </c>
      <c r="AP44" s="456">
        <f t="shared" si="155"/>
        <v>0</v>
      </c>
      <c r="AQ44" s="456">
        <f t="shared" si="156"/>
        <v>0</v>
      </c>
      <c r="AR44" s="104">
        <f t="shared" si="157"/>
        <v>0</v>
      </c>
      <c r="AS44" s="451">
        <f t="shared" si="158"/>
        <v>0</v>
      </c>
      <c r="AT44" s="104">
        <f t="shared" si="159"/>
        <v>91.27218533768928</v>
      </c>
      <c r="AU44" s="102">
        <f t="shared" si="160"/>
        <v>5.8394000000000004</v>
      </c>
      <c r="AV44" s="106">
        <f t="shared" si="161"/>
        <v>0</v>
      </c>
      <c r="AW44" s="104">
        <f t="shared" si="162"/>
        <v>0</v>
      </c>
      <c r="AX44" s="104">
        <f t="shared" si="163"/>
        <v>0</v>
      </c>
      <c r="AY44" s="104">
        <f t="shared" si="164"/>
        <v>0.89999999999999991</v>
      </c>
      <c r="AZ44" s="104">
        <f t="shared" si="165"/>
        <v>40.761375337689266</v>
      </c>
      <c r="BA44" s="104">
        <f t="shared" si="166"/>
        <v>0</v>
      </c>
      <c r="BB44" s="104">
        <f t="shared" si="167"/>
        <v>8.7591000000000001</v>
      </c>
      <c r="BC44" s="104">
        <f t="shared" si="168"/>
        <v>8.7591000000000001</v>
      </c>
      <c r="BD44" s="104">
        <f t="shared" si="169"/>
        <v>1.7518199999999999</v>
      </c>
      <c r="BE44" s="104">
        <f t="shared" si="170"/>
        <v>27.153210000000009</v>
      </c>
      <c r="BF44" s="104">
        <f t="shared" si="171"/>
        <v>48.303501479061516</v>
      </c>
      <c r="BG44" s="104">
        <f t="shared" si="172"/>
        <v>27.153210000000009</v>
      </c>
      <c r="BH44" s="104">
        <f t="shared" si="173"/>
        <v>21.150291479061508</v>
      </c>
      <c r="BI44" s="104">
        <f t="shared" si="174"/>
        <v>0</v>
      </c>
      <c r="BJ44" s="104">
        <f t="shared" ref="BJ44:BJ88" si="227">IF($BI$89&gt;$BJ$91,($BJ$91/$BI$89)*BI44,BI44)</f>
        <v>0</v>
      </c>
      <c r="BK44" s="104">
        <f t="shared" si="175"/>
        <v>0</v>
      </c>
      <c r="BL44" s="125"/>
      <c r="BM44" s="104">
        <f t="shared" si="176"/>
        <v>0.35036400000000001</v>
      </c>
      <c r="BN44" s="455">
        <f t="shared" si="177"/>
        <v>0</v>
      </c>
      <c r="BO44" s="457">
        <f t="shared" si="178"/>
        <v>0</v>
      </c>
      <c r="BP44" s="457">
        <f t="shared" si="179"/>
        <v>0</v>
      </c>
      <c r="BQ44" s="457">
        <f t="shared" si="180"/>
        <v>0</v>
      </c>
      <c r="BR44" s="451">
        <f t="shared" si="181"/>
        <v>0</v>
      </c>
      <c r="BS44" s="451">
        <f t="shared" si="182"/>
        <v>0</v>
      </c>
      <c r="BT44" s="451">
        <f t="shared" si="183"/>
        <v>1.7650000000000001</v>
      </c>
      <c r="BU44" s="451">
        <f t="shared" si="184"/>
        <v>41.71</v>
      </c>
      <c r="BV44" s="451">
        <f t="shared" si="185"/>
        <v>0</v>
      </c>
      <c r="BW44" s="451">
        <f t="shared" si="186"/>
        <v>0</v>
      </c>
      <c r="BX44" s="451">
        <f t="shared" si="187"/>
        <v>0</v>
      </c>
      <c r="BY44" s="451">
        <f t="shared" si="188"/>
        <v>0</v>
      </c>
      <c r="BZ44" s="451">
        <f t="shared" si="189"/>
        <v>0</v>
      </c>
      <c r="CA44" s="451">
        <f t="shared" si="190"/>
        <v>0</v>
      </c>
      <c r="CB44" s="451">
        <f t="shared" si="191"/>
        <v>0</v>
      </c>
      <c r="CC44" s="451">
        <f t="shared" si="192"/>
        <v>0</v>
      </c>
      <c r="CD44" s="451">
        <f t="shared" si="193"/>
        <v>0</v>
      </c>
      <c r="CE44" s="451">
        <f t="shared" si="194"/>
        <v>0</v>
      </c>
      <c r="CF44" s="451">
        <f t="shared" si="195"/>
        <v>0</v>
      </c>
      <c r="CG44" s="451">
        <f t="shared" si="196"/>
        <v>0</v>
      </c>
      <c r="CH44" s="451">
        <f t="shared" si="197"/>
        <v>0</v>
      </c>
      <c r="CI44" s="451">
        <f t="shared" si="198"/>
        <v>0</v>
      </c>
      <c r="CJ44" s="458">
        <f t="shared" si="199"/>
        <v>0</v>
      </c>
      <c r="CK44" s="451">
        <f t="shared" si="200"/>
        <v>0</v>
      </c>
      <c r="CL44" s="451">
        <f t="shared" si="201"/>
        <v>0</v>
      </c>
      <c r="CM44" s="451">
        <f t="shared" si="202"/>
        <v>0</v>
      </c>
      <c r="CN44" s="454">
        <f t="shared" si="203"/>
        <v>0</v>
      </c>
      <c r="CO44" s="454">
        <f t="shared" si="204"/>
        <v>0</v>
      </c>
      <c r="CP44" s="454">
        <f t="shared" si="205"/>
        <v>0</v>
      </c>
      <c r="CQ44" s="454">
        <f t="shared" si="206"/>
        <v>0</v>
      </c>
      <c r="CR44" s="454">
        <f t="shared" si="207"/>
        <v>0</v>
      </c>
      <c r="CS44" s="454">
        <f t="shared" si="208"/>
        <v>0</v>
      </c>
      <c r="CT44" s="459">
        <f t="shared" si="209"/>
        <v>0</v>
      </c>
      <c r="CU44" s="460">
        <f t="shared" si="210"/>
        <v>1</v>
      </c>
      <c r="CV44" s="460">
        <f t="shared" si="211"/>
        <v>1</v>
      </c>
      <c r="CW44" s="460">
        <f t="shared" si="212"/>
        <v>0</v>
      </c>
      <c r="CX44" s="460">
        <f t="shared" si="213"/>
        <v>0</v>
      </c>
      <c r="CY44" s="460">
        <f t="shared" si="214"/>
        <v>0</v>
      </c>
      <c r="CZ44" s="460">
        <f t="shared" si="215"/>
        <v>0</v>
      </c>
      <c r="DA44" s="461">
        <f t="shared" si="216"/>
        <v>0.18999999999999995</v>
      </c>
      <c r="DB44" s="118">
        <v>1.3</v>
      </c>
      <c r="DC44" s="118">
        <v>1.4</v>
      </c>
      <c r="DD44" s="118">
        <v>2</v>
      </c>
      <c r="DE44" s="118">
        <v>2</v>
      </c>
      <c r="DF44" s="462">
        <v>2</v>
      </c>
      <c r="DG44" s="455">
        <f t="shared" si="217"/>
        <v>125.13</v>
      </c>
      <c r="DH44" s="463">
        <f t="shared" si="218"/>
        <v>22.106300000000012</v>
      </c>
      <c r="DI44" s="463">
        <f t="shared" si="219"/>
        <v>0</v>
      </c>
      <c r="DJ44" s="463">
        <f t="shared" si="220"/>
        <v>0</v>
      </c>
      <c r="DK44" s="463">
        <f t="shared" si="221"/>
        <v>0</v>
      </c>
      <c r="DL44" s="463">
        <f t="shared" si="222"/>
        <v>0</v>
      </c>
      <c r="DM44" s="463">
        <f t="shared" si="223"/>
        <v>0</v>
      </c>
      <c r="DN44" s="463">
        <f t="shared" si="224"/>
        <v>0</v>
      </c>
      <c r="DO44" s="463">
        <f t="shared" si="225"/>
        <v>0</v>
      </c>
      <c r="DP44" s="463">
        <f t="shared" si="226"/>
        <v>0</v>
      </c>
      <c r="DQ44" s="445"/>
    </row>
    <row r="45" spans="1:121" ht="26" x14ac:dyDescent="0.25">
      <c r="A45" s="448" t="s">
        <v>2049</v>
      </c>
      <c r="B45" s="257"/>
      <c r="C45" s="101" t="str">
        <f>'Planilha Hidráulica'!B51</f>
        <v>PV3.1-&gt;PV4.1</v>
      </c>
      <c r="D45" s="258">
        <f>'Planilha Hidráulica'!R51</f>
        <v>1.6</v>
      </c>
      <c r="E45" s="258">
        <f>'Planilha Hidráulica'!S51</f>
        <v>1.6</v>
      </c>
      <c r="F45" s="258">
        <f>'Planilha Hidráulica'!K51</f>
        <v>40</v>
      </c>
      <c r="G45" s="101">
        <f>'Planilha Hidráulica'!M51</f>
        <v>600</v>
      </c>
      <c r="H45" s="449">
        <f t="shared" si="130"/>
        <v>1.8200000000000003</v>
      </c>
      <c r="I45" s="102">
        <f t="shared" si="131"/>
        <v>3.6400000000000006</v>
      </c>
      <c r="J45" s="450">
        <v>0</v>
      </c>
      <c r="K45" s="451">
        <f t="shared" si="132"/>
        <v>1.4</v>
      </c>
      <c r="L45" s="451">
        <f t="shared" si="133"/>
        <v>1.4</v>
      </c>
      <c r="M45" s="451">
        <f>'Planilha Hidráulica'!X51</f>
        <v>400</v>
      </c>
      <c r="N45" s="451">
        <f t="shared" si="134"/>
        <v>56</v>
      </c>
      <c r="O45" s="452" t="str">
        <f>'Planilha Hidráulica'!W51</f>
        <v>ASFALTO</v>
      </c>
      <c r="P45" s="452" t="s">
        <v>2050</v>
      </c>
      <c r="Q45" s="452"/>
      <c r="R45" s="452">
        <v>5</v>
      </c>
      <c r="S45" s="452">
        <v>5</v>
      </c>
      <c r="T45" s="451">
        <f t="shared" si="135"/>
        <v>0.1</v>
      </c>
      <c r="U45" s="453">
        <f t="shared" si="136"/>
        <v>5.026548245743669</v>
      </c>
      <c r="V45" s="106">
        <f t="shared" si="137"/>
        <v>96.893451754256333</v>
      </c>
      <c r="W45" s="107">
        <f t="shared" si="138"/>
        <v>0</v>
      </c>
      <c r="X45" s="107">
        <f t="shared" si="139"/>
        <v>0</v>
      </c>
      <c r="Y45" s="454">
        <f t="shared" si="140"/>
        <v>1.8200000000000003</v>
      </c>
      <c r="Z45" s="454">
        <f t="shared" si="141"/>
        <v>0</v>
      </c>
      <c r="AA45" s="455">
        <f t="shared" si="142"/>
        <v>56</v>
      </c>
      <c r="AB45" s="117">
        <f t="shared" si="143"/>
        <v>0</v>
      </c>
      <c r="AC45" s="109">
        <f t="shared" si="144"/>
        <v>0</v>
      </c>
      <c r="AD45" s="109">
        <f t="shared" si="145"/>
        <v>0</v>
      </c>
      <c r="AE45" s="109">
        <f t="shared" si="146"/>
        <v>0</v>
      </c>
      <c r="AF45" s="109">
        <f t="shared" si="147"/>
        <v>0</v>
      </c>
      <c r="AG45" s="109">
        <f t="shared" si="148"/>
        <v>0</v>
      </c>
      <c r="AH45" s="109">
        <f t="shared" si="149"/>
        <v>0</v>
      </c>
      <c r="AI45" s="109">
        <f t="shared" si="150"/>
        <v>0</v>
      </c>
      <c r="AJ45" s="456">
        <f t="shared" si="151"/>
        <v>84</v>
      </c>
      <c r="AK45" s="456">
        <f t="shared" si="152"/>
        <v>12.893451754256347</v>
      </c>
      <c r="AL45" s="456">
        <f t="shared" si="153"/>
        <v>0</v>
      </c>
      <c r="AM45" s="456">
        <f>IF(IF(AND(K45&lt;=2.5,K45&gt;1.5),IF(Y45&gt;=3,L45*F45*1.5,K45*F45*(Y45-1.5)),0)&lt;0,0,IF(AND(K45&lt;=2.5,K45&gt;1.5),IF(Y45&gt;=3,L45*F45*1.5,K45*F45*(Y45-1.5)),0))+IF(R45&lt;H45,0,IF(AND(Y45&lt;=3,Y45&gt;1.5,K45&gt;1.5,K45&lt;=2.5),-U45,0))</f>
        <v>0</v>
      </c>
      <c r="AN45" s="456">
        <f>IF(IF(K45&lt;=2.5,IF(Y45&gt;=4.5,L45*F45*1.5,K45*F45*(Y45-3)),0)&lt;0,0,IF(K45&lt;=2.5,IF(Y45&gt;=4.5,L45*F45*1.5,K45*F45*(Y45-3)),0))+IF(R45&lt;H45,0,IF(AND(Y45&lt;=4.5,Y45&gt;3,K45&gt;1.5,K45&lt;=2.5),-U45,0))</f>
        <v>0</v>
      </c>
      <c r="AO45" s="456">
        <f t="shared" si="154"/>
        <v>0</v>
      </c>
      <c r="AP45" s="456">
        <f t="shared" si="155"/>
        <v>0</v>
      </c>
      <c r="AQ45" s="456">
        <f t="shared" si="156"/>
        <v>0</v>
      </c>
      <c r="AR45" s="104">
        <f t="shared" si="157"/>
        <v>0</v>
      </c>
      <c r="AS45" s="451">
        <f t="shared" si="158"/>
        <v>0</v>
      </c>
      <c r="AT45" s="104">
        <f t="shared" si="159"/>
        <v>90.610266447076754</v>
      </c>
      <c r="AU45" s="102">
        <f t="shared" si="160"/>
        <v>5.6000000000000005</v>
      </c>
      <c r="AV45" s="106">
        <f t="shared" si="161"/>
        <v>0</v>
      </c>
      <c r="AW45" s="104">
        <f t="shared" si="162"/>
        <v>0</v>
      </c>
      <c r="AX45" s="104">
        <f t="shared" si="163"/>
        <v>0</v>
      </c>
      <c r="AY45" s="104">
        <f t="shared" si="164"/>
        <v>0.89999999999999991</v>
      </c>
      <c r="AZ45" s="104">
        <f t="shared" si="165"/>
        <v>39.090266447076736</v>
      </c>
      <c r="BA45" s="104">
        <f t="shared" si="166"/>
        <v>0</v>
      </c>
      <c r="BB45" s="104">
        <f t="shared" si="167"/>
        <v>8.3999999999999986</v>
      </c>
      <c r="BC45" s="104">
        <f t="shared" si="168"/>
        <v>8.3999999999999986</v>
      </c>
      <c r="BD45" s="104">
        <f t="shared" si="169"/>
        <v>1.68</v>
      </c>
      <c r="BE45" s="104">
        <f t="shared" si="170"/>
        <v>29.120000000000012</v>
      </c>
      <c r="BF45" s="104">
        <f t="shared" si="171"/>
        <v>49.403185307179605</v>
      </c>
      <c r="BG45" s="104">
        <f t="shared" si="172"/>
        <v>29.120000000000012</v>
      </c>
      <c r="BH45" s="104">
        <f t="shared" si="173"/>
        <v>20.283185307179593</v>
      </c>
      <c r="BI45" s="104">
        <f t="shared" si="174"/>
        <v>0</v>
      </c>
      <c r="BJ45" s="104">
        <f t="shared" si="227"/>
        <v>0</v>
      </c>
      <c r="BK45" s="104">
        <f t="shared" si="175"/>
        <v>0</v>
      </c>
      <c r="BL45" s="125"/>
      <c r="BM45" s="104">
        <f t="shared" si="176"/>
        <v>0.33599999999999997</v>
      </c>
      <c r="BN45" s="455">
        <f t="shared" si="177"/>
        <v>0</v>
      </c>
      <c r="BO45" s="457">
        <f t="shared" si="178"/>
        <v>0</v>
      </c>
      <c r="BP45" s="457">
        <f t="shared" si="179"/>
        <v>0</v>
      </c>
      <c r="BQ45" s="457">
        <f t="shared" si="180"/>
        <v>0</v>
      </c>
      <c r="BR45" s="451">
        <f t="shared" si="181"/>
        <v>0</v>
      </c>
      <c r="BS45" s="451">
        <f t="shared" si="182"/>
        <v>0</v>
      </c>
      <c r="BT45" s="451">
        <f t="shared" si="183"/>
        <v>1.8200000000000003</v>
      </c>
      <c r="BU45" s="451">
        <f t="shared" si="184"/>
        <v>40</v>
      </c>
      <c r="BV45" s="451">
        <f t="shared" si="185"/>
        <v>0</v>
      </c>
      <c r="BW45" s="451">
        <f t="shared" si="186"/>
        <v>0</v>
      </c>
      <c r="BX45" s="451">
        <f t="shared" si="187"/>
        <v>0</v>
      </c>
      <c r="BY45" s="451">
        <f t="shared" si="188"/>
        <v>0</v>
      </c>
      <c r="BZ45" s="451">
        <f t="shared" si="189"/>
        <v>0</v>
      </c>
      <c r="CA45" s="451">
        <f t="shared" si="190"/>
        <v>0</v>
      </c>
      <c r="CB45" s="451">
        <f t="shared" si="191"/>
        <v>0</v>
      </c>
      <c r="CC45" s="451">
        <f t="shared" si="192"/>
        <v>0</v>
      </c>
      <c r="CD45" s="451">
        <f t="shared" si="193"/>
        <v>0</v>
      </c>
      <c r="CE45" s="451">
        <f t="shared" si="194"/>
        <v>0</v>
      </c>
      <c r="CF45" s="451">
        <f t="shared" si="195"/>
        <v>0</v>
      </c>
      <c r="CG45" s="451">
        <f t="shared" si="196"/>
        <v>0</v>
      </c>
      <c r="CH45" s="451">
        <f t="shared" si="197"/>
        <v>0</v>
      </c>
      <c r="CI45" s="451">
        <f t="shared" si="198"/>
        <v>0</v>
      </c>
      <c r="CJ45" s="458">
        <f t="shared" si="199"/>
        <v>0</v>
      </c>
      <c r="CK45" s="451">
        <f t="shared" si="200"/>
        <v>0</v>
      </c>
      <c r="CL45" s="451">
        <f t="shared" si="201"/>
        <v>0</v>
      </c>
      <c r="CM45" s="451">
        <f t="shared" si="202"/>
        <v>0</v>
      </c>
      <c r="CN45" s="454">
        <f t="shared" si="203"/>
        <v>0</v>
      </c>
      <c r="CO45" s="454">
        <f t="shared" si="204"/>
        <v>0</v>
      </c>
      <c r="CP45" s="454">
        <f t="shared" si="205"/>
        <v>0</v>
      </c>
      <c r="CQ45" s="454">
        <f t="shared" si="206"/>
        <v>0</v>
      </c>
      <c r="CR45" s="454">
        <f t="shared" si="207"/>
        <v>0</v>
      </c>
      <c r="CS45" s="454">
        <f t="shared" si="208"/>
        <v>0</v>
      </c>
      <c r="CT45" s="459">
        <f t="shared" si="209"/>
        <v>0</v>
      </c>
      <c r="CU45" s="460">
        <f t="shared" si="210"/>
        <v>1</v>
      </c>
      <c r="CV45" s="460">
        <f t="shared" si="211"/>
        <v>1</v>
      </c>
      <c r="CW45" s="460">
        <f t="shared" si="212"/>
        <v>0</v>
      </c>
      <c r="CX45" s="460">
        <f t="shared" si="213"/>
        <v>0</v>
      </c>
      <c r="CY45" s="460">
        <f t="shared" si="214"/>
        <v>0</v>
      </c>
      <c r="CZ45" s="460">
        <f t="shared" si="215"/>
        <v>0</v>
      </c>
      <c r="DA45" s="461">
        <f t="shared" si="216"/>
        <v>0.30000000000000004</v>
      </c>
      <c r="DB45" s="118">
        <v>1.3</v>
      </c>
      <c r="DC45" s="118">
        <v>1.4</v>
      </c>
      <c r="DD45" s="118">
        <v>2</v>
      </c>
      <c r="DE45" s="118">
        <v>2</v>
      </c>
      <c r="DF45" s="462">
        <v>2</v>
      </c>
      <c r="DG45" s="455">
        <f t="shared" si="217"/>
        <v>120</v>
      </c>
      <c r="DH45" s="463">
        <f t="shared" si="218"/>
        <v>25.600000000000023</v>
      </c>
      <c r="DI45" s="463">
        <f t="shared" si="219"/>
        <v>0</v>
      </c>
      <c r="DJ45" s="463">
        <f t="shared" si="220"/>
        <v>0</v>
      </c>
      <c r="DK45" s="463">
        <f t="shared" si="221"/>
        <v>0</v>
      </c>
      <c r="DL45" s="463">
        <f t="shared" si="222"/>
        <v>0</v>
      </c>
      <c r="DM45" s="463">
        <f t="shared" si="223"/>
        <v>0</v>
      </c>
      <c r="DN45" s="463">
        <f t="shared" si="224"/>
        <v>0</v>
      </c>
      <c r="DO45" s="463">
        <f t="shared" si="225"/>
        <v>0</v>
      </c>
      <c r="DP45" s="463">
        <f t="shared" si="226"/>
        <v>0</v>
      </c>
      <c r="DQ45" s="445"/>
    </row>
    <row r="46" spans="1:121" ht="26" x14ac:dyDescent="0.25">
      <c r="A46" s="448" t="s">
        <v>2049</v>
      </c>
      <c r="B46" s="257"/>
      <c r="C46" s="101" t="str">
        <f>'Planilha Hidráulica'!B52</f>
        <v>PV4.1-&gt;PV5.1</v>
      </c>
      <c r="D46" s="258">
        <f>'Planilha Hidráulica'!R52</f>
        <v>1.82</v>
      </c>
      <c r="E46" s="258">
        <f>'Planilha Hidráulica'!S52</f>
        <v>2.0499999999999998</v>
      </c>
      <c r="F46" s="258">
        <f>'Planilha Hidráulica'!K52</f>
        <v>40</v>
      </c>
      <c r="G46" s="101">
        <f>'Planilha Hidráulica'!M52</f>
        <v>800</v>
      </c>
      <c r="H46" s="449">
        <f t="shared" si="130"/>
        <v>2.1950000000000003</v>
      </c>
      <c r="I46" s="102">
        <f t="shared" si="131"/>
        <v>4.3900000000000006</v>
      </c>
      <c r="J46" s="450">
        <v>0</v>
      </c>
      <c r="K46" s="451">
        <f t="shared" si="132"/>
        <v>1.7</v>
      </c>
      <c r="L46" s="451">
        <f t="shared" si="133"/>
        <v>1.7</v>
      </c>
      <c r="M46" s="451">
        <f>'Planilha Hidráulica'!X52</f>
        <v>400</v>
      </c>
      <c r="N46" s="451">
        <f t="shared" si="134"/>
        <v>68</v>
      </c>
      <c r="O46" s="452" t="str">
        <f>'Planilha Hidráulica'!W52</f>
        <v>ASFALTO</v>
      </c>
      <c r="P46" s="452" t="s">
        <v>2050</v>
      </c>
      <c r="Q46" s="452"/>
      <c r="R46" s="452">
        <v>5</v>
      </c>
      <c r="S46" s="452">
        <v>5</v>
      </c>
      <c r="T46" s="451">
        <f t="shared" si="135"/>
        <v>0.1</v>
      </c>
      <c r="U46" s="453">
        <f t="shared" si="136"/>
        <v>5.026548245743669</v>
      </c>
      <c r="V46" s="106">
        <f t="shared" si="137"/>
        <v>144.23345175425635</v>
      </c>
      <c r="W46" s="107">
        <f t="shared" si="138"/>
        <v>0</v>
      </c>
      <c r="X46" s="107">
        <f t="shared" si="139"/>
        <v>0</v>
      </c>
      <c r="Y46" s="454">
        <f t="shared" si="140"/>
        <v>2.1950000000000003</v>
      </c>
      <c r="Z46" s="454">
        <f t="shared" si="141"/>
        <v>0</v>
      </c>
      <c r="AA46" s="455">
        <f t="shared" si="142"/>
        <v>68</v>
      </c>
      <c r="AB46" s="117">
        <f t="shared" si="143"/>
        <v>0</v>
      </c>
      <c r="AC46" s="109">
        <f t="shared" si="144"/>
        <v>0</v>
      </c>
      <c r="AD46" s="109">
        <f t="shared" si="145"/>
        <v>0</v>
      </c>
      <c r="AE46" s="109">
        <f t="shared" si="146"/>
        <v>0</v>
      </c>
      <c r="AF46" s="109">
        <f t="shared" si="147"/>
        <v>0</v>
      </c>
      <c r="AG46" s="109">
        <f t="shared" si="148"/>
        <v>0</v>
      </c>
      <c r="AH46" s="109">
        <f t="shared" si="149"/>
        <v>0</v>
      </c>
      <c r="AI46" s="109">
        <f t="shared" si="150"/>
        <v>0</v>
      </c>
      <c r="AJ46" s="456">
        <f t="shared" si="151"/>
        <v>0</v>
      </c>
      <c r="AK46" s="456">
        <f t="shared" si="152"/>
        <v>0</v>
      </c>
      <c r="AL46" s="456">
        <f t="shared" si="153"/>
        <v>102</v>
      </c>
      <c r="AM46" s="456">
        <f>IF(IF(AND(K46&lt;=2.5,K46&gt;1.5),IF(Y46&gt;=3,L46*F46*1.5,K46*F46*(Y46-1.5)),0)&lt;0,0,IF(AND(K46&lt;=2.5,K46&gt;1.5),IF(Y46&gt;=3,L46*F46*1.5,K46*F46*(Y46-1.5)),0))+IF(R46&lt;H46,0,IF(AND(Y46&lt;=3,Y46&gt;1.5,K46&gt;1.5,K46&lt;=2.5),-U46,0))</f>
        <v>42.23345175425635</v>
      </c>
      <c r="AN46" s="456">
        <f>IF(IF(K46&lt;=2.5,IF(Y46&gt;=4.5,L46*F46*1.5,K46*F46*(Y46-3)),0)&lt;0,0,IF(K46&lt;=2.5,IF(Y46&gt;=4.5,L46*F46*1.5,K46*F46*(Y46-3)),0))+IF(R46&lt;H46,0,IF(AND(Y46&lt;=4.5,Y46&gt;3,K46&gt;1.5,K46&lt;=2.5),-U46,0))</f>
        <v>0</v>
      </c>
      <c r="AO46" s="456">
        <f t="shared" si="154"/>
        <v>0</v>
      </c>
      <c r="AP46" s="456">
        <f t="shared" si="155"/>
        <v>0</v>
      </c>
      <c r="AQ46" s="456">
        <f t="shared" si="156"/>
        <v>0</v>
      </c>
      <c r="AR46" s="104">
        <f t="shared" si="157"/>
        <v>0</v>
      </c>
      <c r="AS46" s="451">
        <f t="shared" si="158"/>
        <v>0</v>
      </c>
      <c r="AT46" s="104">
        <f t="shared" si="159"/>
        <v>129.15380701702534</v>
      </c>
      <c r="AU46" s="102">
        <f t="shared" si="160"/>
        <v>0</v>
      </c>
      <c r="AV46" s="106">
        <f t="shared" si="161"/>
        <v>6.8000000000000007</v>
      </c>
      <c r="AW46" s="104">
        <f t="shared" si="162"/>
        <v>0</v>
      </c>
      <c r="AX46" s="104">
        <f t="shared" si="163"/>
        <v>0</v>
      </c>
      <c r="AY46" s="104">
        <f t="shared" si="164"/>
        <v>1.1000000000000001</v>
      </c>
      <c r="AZ46" s="104">
        <f t="shared" si="165"/>
        <v>54.693807017025335</v>
      </c>
      <c r="BA46" s="104">
        <f t="shared" si="166"/>
        <v>0</v>
      </c>
      <c r="BB46" s="104">
        <f t="shared" si="167"/>
        <v>10.199999999999999</v>
      </c>
      <c r="BC46" s="104">
        <f t="shared" si="168"/>
        <v>10.199999999999999</v>
      </c>
      <c r="BD46" s="104">
        <f t="shared" si="169"/>
        <v>2.04</v>
      </c>
      <c r="BE46" s="104">
        <f t="shared" si="170"/>
        <v>47.260000000000005</v>
      </c>
      <c r="BF46" s="104">
        <f t="shared" si="171"/>
        <v>79.339644737231026</v>
      </c>
      <c r="BG46" s="104">
        <f t="shared" si="172"/>
        <v>47.260000000000005</v>
      </c>
      <c r="BH46" s="104">
        <f t="shared" si="173"/>
        <v>32.079644737231021</v>
      </c>
      <c r="BI46" s="104">
        <f t="shared" si="174"/>
        <v>0</v>
      </c>
      <c r="BJ46" s="104">
        <f t="shared" si="227"/>
        <v>0</v>
      </c>
      <c r="BK46" s="104">
        <f t="shared" si="175"/>
        <v>0</v>
      </c>
      <c r="BL46" s="125"/>
      <c r="BM46" s="104">
        <f t="shared" si="176"/>
        <v>0.40799999999999997</v>
      </c>
      <c r="BN46" s="455">
        <f t="shared" si="177"/>
        <v>0</v>
      </c>
      <c r="BO46" s="457">
        <f t="shared" si="178"/>
        <v>0</v>
      </c>
      <c r="BP46" s="457">
        <f t="shared" si="179"/>
        <v>0</v>
      </c>
      <c r="BQ46" s="457">
        <f t="shared" si="180"/>
        <v>0</v>
      </c>
      <c r="BR46" s="451">
        <f t="shared" si="181"/>
        <v>0</v>
      </c>
      <c r="BS46" s="451">
        <f t="shared" si="182"/>
        <v>0</v>
      </c>
      <c r="BT46" s="451">
        <f t="shared" si="183"/>
        <v>0</v>
      </c>
      <c r="BU46" s="451">
        <f t="shared" si="184"/>
        <v>0</v>
      </c>
      <c r="BV46" s="451">
        <f t="shared" si="185"/>
        <v>0</v>
      </c>
      <c r="BW46" s="451">
        <f t="shared" si="186"/>
        <v>0</v>
      </c>
      <c r="BX46" s="451">
        <f t="shared" si="187"/>
        <v>2.1950000000000003</v>
      </c>
      <c r="BY46" s="451">
        <f t="shared" si="188"/>
        <v>40</v>
      </c>
      <c r="BZ46" s="451">
        <f t="shared" si="189"/>
        <v>0</v>
      </c>
      <c r="CA46" s="451">
        <f t="shared" si="190"/>
        <v>0</v>
      </c>
      <c r="CB46" s="451">
        <f t="shared" si="191"/>
        <v>0</v>
      </c>
      <c r="CC46" s="451">
        <f t="shared" si="192"/>
        <v>0</v>
      </c>
      <c r="CD46" s="451">
        <f t="shared" si="193"/>
        <v>0</v>
      </c>
      <c r="CE46" s="451">
        <f t="shared" si="194"/>
        <v>0</v>
      </c>
      <c r="CF46" s="451">
        <f t="shared" si="195"/>
        <v>0</v>
      </c>
      <c r="CG46" s="451">
        <f t="shared" si="196"/>
        <v>0</v>
      </c>
      <c r="CH46" s="451">
        <f t="shared" si="197"/>
        <v>0</v>
      </c>
      <c r="CI46" s="451">
        <f t="shared" si="198"/>
        <v>0</v>
      </c>
      <c r="CJ46" s="458">
        <f t="shared" si="199"/>
        <v>0</v>
      </c>
      <c r="CK46" s="451">
        <f t="shared" si="200"/>
        <v>0</v>
      </c>
      <c r="CL46" s="451">
        <f t="shared" si="201"/>
        <v>0</v>
      </c>
      <c r="CM46" s="451">
        <f t="shared" si="202"/>
        <v>0</v>
      </c>
      <c r="CN46" s="454">
        <f t="shared" si="203"/>
        <v>0</v>
      </c>
      <c r="CO46" s="454">
        <f t="shared" si="204"/>
        <v>0</v>
      </c>
      <c r="CP46" s="454">
        <f t="shared" si="205"/>
        <v>0</v>
      </c>
      <c r="CQ46" s="454">
        <f t="shared" si="206"/>
        <v>0</v>
      </c>
      <c r="CR46" s="454">
        <f t="shared" si="207"/>
        <v>0</v>
      </c>
      <c r="CS46" s="454">
        <f t="shared" si="208"/>
        <v>0</v>
      </c>
      <c r="CT46" s="459">
        <f t="shared" si="209"/>
        <v>0</v>
      </c>
      <c r="CU46" s="460">
        <f t="shared" si="210"/>
        <v>1</v>
      </c>
      <c r="CV46" s="460">
        <f t="shared" si="211"/>
        <v>0</v>
      </c>
      <c r="CW46" s="460">
        <f t="shared" si="212"/>
        <v>1</v>
      </c>
      <c r="CX46" s="460">
        <f t="shared" si="213"/>
        <v>0</v>
      </c>
      <c r="CY46" s="460">
        <f t="shared" si="214"/>
        <v>0</v>
      </c>
      <c r="CZ46" s="460">
        <f t="shared" si="215"/>
        <v>0</v>
      </c>
      <c r="DA46" s="461">
        <f t="shared" si="216"/>
        <v>0.42000000000000015</v>
      </c>
      <c r="DB46" s="118">
        <v>1.3</v>
      </c>
      <c r="DC46" s="118">
        <v>1.4</v>
      </c>
      <c r="DD46" s="118">
        <v>2</v>
      </c>
      <c r="DE46" s="118">
        <v>2</v>
      </c>
      <c r="DF46" s="462">
        <v>2</v>
      </c>
      <c r="DG46" s="455">
        <f t="shared" si="217"/>
        <v>0</v>
      </c>
      <c r="DH46" s="463">
        <f t="shared" si="218"/>
        <v>0</v>
      </c>
      <c r="DI46" s="463">
        <f t="shared" si="219"/>
        <v>0</v>
      </c>
      <c r="DJ46" s="463">
        <f t="shared" si="220"/>
        <v>120</v>
      </c>
      <c r="DK46" s="463">
        <f t="shared" si="221"/>
        <v>55.600000000000023</v>
      </c>
      <c r="DL46" s="463">
        <f t="shared" si="222"/>
        <v>0</v>
      </c>
      <c r="DM46" s="463">
        <f t="shared" si="223"/>
        <v>0</v>
      </c>
      <c r="DN46" s="463">
        <f t="shared" si="224"/>
        <v>0</v>
      </c>
      <c r="DO46" s="463">
        <f t="shared" si="225"/>
        <v>0</v>
      </c>
      <c r="DP46" s="463">
        <f t="shared" si="226"/>
        <v>0</v>
      </c>
      <c r="DQ46" s="445"/>
    </row>
    <row r="47" spans="1:121" ht="26" x14ac:dyDescent="0.25">
      <c r="A47" s="448" t="s">
        <v>2051</v>
      </c>
      <c r="B47" s="257"/>
      <c r="C47" s="101" t="str">
        <f>'Planilha Hidráulica'!B53</f>
        <v>PV5.1-&gt;PV6.1</v>
      </c>
      <c r="D47" s="258">
        <f>'Planilha Hidráulica'!R53</f>
        <v>2.0499999999999998</v>
      </c>
      <c r="E47" s="258">
        <f>'Planilha Hidráulica'!S53</f>
        <v>2.11</v>
      </c>
      <c r="F47" s="258">
        <f>'Planilha Hidráulica'!K53</f>
        <v>37.5</v>
      </c>
      <c r="G47" s="101">
        <f>'Planilha Hidráulica'!M53</f>
        <v>800</v>
      </c>
      <c r="H47" s="449">
        <f t="shared" si="130"/>
        <v>2.3400000000000003</v>
      </c>
      <c r="I47" s="102">
        <f t="shared" si="131"/>
        <v>4.3875000000000011</v>
      </c>
      <c r="J47" s="450">
        <v>0</v>
      </c>
      <c r="K47" s="451">
        <f t="shared" si="132"/>
        <v>1.7</v>
      </c>
      <c r="L47" s="451">
        <f t="shared" si="133"/>
        <v>1.7</v>
      </c>
      <c r="M47" s="451">
        <f>'Planilha Hidráulica'!X53</f>
        <v>600</v>
      </c>
      <c r="N47" s="451">
        <f t="shared" si="134"/>
        <v>63.75</v>
      </c>
      <c r="O47" s="452" t="str">
        <f>'Planilha Hidráulica'!W53</f>
        <v>ASFALTO</v>
      </c>
      <c r="P47" s="452" t="s">
        <v>2052</v>
      </c>
      <c r="Q47" s="452"/>
      <c r="R47" s="452">
        <v>5</v>
      </c>
      <c r="S47" s="452">
        <v>5</v>
      </c>
      <c r="T47" s="451">
        <f t="shared" si="135"/>
        <v>0.1</v>
      </c>
      <c r="U47" s="453">
        <f t="shared" si="136"/>
        <v>10.602875205865551</v>
      </c>
      <c r="V47" s="106">
        <f t="shared" si="137"/>
        <v>138.57212479413445</v>
      </c>
      <c r="W47" s="107">
        <f t="shared" si="138"/>
        <v>0</v>
      </c>
      <c r="X47" s="107">
        <f t="shared" si="139"/>
        <v>0</v>
      </c>
      <c r="Y47" s="454">
        <f t="shared" si="140"/>
        <v>2.3400000000000003</v>
      </c>
      <c r="Z47" s="454">
        <f t="shared" si="141"/>
        <v>0</v>
      </c>
      <c r="AA47" s="455">
        <f t="shared" si="142"/>
        <v>63.75</v>
      </c>
      <c r="AB47" s="117">
        <f t="shared" si="143"/>
        <v>0</v>
      </c>
      <c r="AC47" s="109">
        <f t="shared" si="144"/>
        <v>0</v>
      </c>
      <c r="AD47" s="109">
        <f t="shared" si="145"/>
        <v>0</v>
      </c>
      <c r="AE47" s="109">
        <f t="shared" si="146"/>
        <v>0</v>
      </c>
      <c r="AF47" s="109">
        <f t="shared" si="147"/>
        <v>0</v>
      </c>
      <c r="AG47" s="109">
        <f t="shared" si="148"/>
        <v>0</v>
      </c>
      <c r="AH47" s="109">
        <f t="shared" si="149"/>
        <v>0</v>
      </c>
      <c r="AI47" s="109">
        <f t="shared" si="150"/>
        <v>0</v>
      </c>
      <c r="AJ47" s="456">
        <f t="shared" si="151"/>
        <v>0</v>
      </c>
      <c r="AK47" s="456">
        <f t="shared" si="152"/>
        <v>0</v>
      </c>
      <c r="AL47" s="456">
        <f t="shared" si="153"/>
        <v>95.625</v>
      </c>
      <c r="AM47" s="456">
        <f>IF(IF(AND(K47&lt;=2.5,K47&gt;1.5),IF(Y47&gt;=3,L47*F47*1.5,K47*F47*(Y47-1.5)),0)&lt;0,0,IF(AND(K47&lt;=2.5,K47&gt;1.5),IF(Y47&gt;=3,L47*F47*1.5,K47*F47*(Y47-1.5)),0))-U47</f>
        <v>42.947124794134467</v>
      </c>
      <c r="AN47" s="456">
        <f>IF(IF(K47&lt;=2.5,IF(Y47&gt;=4.5,L47*F47*1.5,K47*F47*(Y47-3)),0)&lt;0,0,IF(K47&lt;=2.5,IF(Y47&gt;=4.5,L47*F47*1.5,K47*F47*(Y47-3)),0))</f>
        <v>0</v>
      </c>
      <c r="AO47" s="456">
        <f t="shared" si="154"/>
        <v>0</v>
      </c>
      <c r="AP47" s="456">
        <f t="shared" si="155"/>
        <v>0</v>
      </c>
      <c r="AQ47" s="456">
        <f t="shared" si="156"/>
        <v>0</v>
      </c>
      <c r="AR47" s="104">
        <f t="shared" si="157"/>
        <v>0</v>
      </c>
      <c r="AS47" s="451">
        <f t="shared" si="158"/>
        <v>0</v>
      </c>
      <c r="AT47" s="104">
        <f t="shared" si="159"/>
        <v>130.32544407846126</v>
      </c>
      <c r="AU47" s="102">
        <f t="shared" si="160"/>
        <v>0</v>
      </c>
      <c r="AV47" s="106">
        <f t="shared" si="161"/>
        <v>6.375</v>
      </c>
      <c r="AW47" s="104">
        <f t="shared" si="162"/>
        <v>0</v>
      </c>
      <c r="AX47" s="104">
        <f t="shared" si="163"/>
        <v>0</v>
      </c>
      <c r="AY47" s="104">
        <f t="shared" si="164"/>
        <v>1.1000000000000001</v>
      </c>
      <c r="AZ47" s="104">
        <f t="shared" si="165"/>
        <v>51.275444078461241</v>
      </c>
      <c r="BA47" s="104">
        <f t="shared" si="166"/>
        <v>0</v>
      </c>
      <c r="BB47" s="104">
        <f t="shared" si="167"/>
        <v>9.5625</v>
      </c>
      <c r="BC47" s="104">
        <f t="shared" si="168"/>
        <v>9.5625</v>
      </c>
      <c r="BD47" s="104">
        <f t="shared" si="169"/>
        <v>1.9124999999999999</v>
      </c>
      <c r="BE47" s="104">
        <f t="shared" si="170"/>
        <v>53.550000000000018</v>
      </c>
      <c r="BF47" s="104">
        <f t="shared" si="171"/>
        <v>77.734180715673233</v>
      </c>
      <c r="BG47" s="104">
        <f t="shared" si="172"/>
        <v>53.550000000000018</v>
      </c>
      <c r="BH47" s="104">
        <f t="shared" si="173"/>
        <v>24.184180715673214</v>
      </c>
      <c r="BI47" s="104">
        <f t="shared" si="174"/>
        <v>0</v>
      </c>
      <c r="BJ47" s="104">
        <f t="shared" si="227"/>
        <v>0</v>
      </c>
      <c r="BK47" s="104">
        <f t="shared" si="175"/>
        <v>0</v>
      </c>
      <c r="BL47" s="125"/>
      <c r="BM47" s="104">
        <f t="shared" si="176"/>
        <v>0.38250000000000001</v>
      </c>
      <c r="BN47" s="455">
        <f t="shared" si="177"/>
        <v>0</v>
      </c>
      <c r="BO47" s="457">
        <f t="shared" si="178"/>
        <v>0</v>
      </c>
      <c r="BP47" s="457">
        <f t="shared" si="179"/>
        <v>0</v>
      </c>
      <c r="BQ47" s="457">
        <f t="shared" si="180"/>
        <v>0</v>
      </c>
      <c r="BR47" s="451">
        <f t="shared" si="181"/>
        <v>0</v>
      </c>
      <c r="BS47" s="451">
        <f t="shared" si="182"/>
        <v>0</v>
      </c>
      <c r="BT47" s="451">
        <f t="shared" si="183"/>
        <v>0</v>
      </c>
      <c r="BU47" s="451">
        <f t="shared" si="184"/>
        <v>0</v>
      </c>
      <c r="BV47" s="451">
        <f t="shared" si="185"/>
        <v>0</v>
      </c>
      <c r="BW47" s="451">
        <f t="shared" si="186"/>
        <v>0</v>
      </c>
      <c r="BX47" s="451">
        <f t="shared" si="187"/>
        <v>2.3400000000000003</v>
      </c>
      <c r="BY47" s="451">
        <f t="shared" si="188"/>
        <v>37.5</v>
      </c>
      <c r="BZ47" s="451">
        <f t="shared" si="189"/>
        <v>0</v>
      </c>
      <c r="CA47" s="451">
        <f t="shared" si="190"/>
        <v>0</v>
      </c>
      <c r="CB47" s="451">
        <f t="shared" si="191"/>
        <v>0</v>
      </c>
      <c r="CC47" s="451">
        <f t="shared" si="192"/>
        <v>0</v>
      </c>
      <c r="CD47" s="451">
        <f t="shared" si="193"/>
        <v>0</v>
      </c>
      <c r="CE47" s="451">
        <f t="shared" si="194"/>
        <v>0</v>
      </c>
      <c r="CF47" s="451">
        <f t="shared" si="195"/>
        <v>0</v>
      </c>
      <c r="CG47" s="451">
        <f t="shared" si="196"/>
        <v>0</v>
      </c>
      <c r="CH47" s="451">
        <f t="shared" si="197"/>
        <v>0</v>
      </c>
      <c r="CI47" s="451">
        <f t="shared" si="198"/>
        <v>0</v>
      </c>
      <c r="CJ47" s="458">
        <f t="shared" si="199"/>
        <v>0</v>
      </c>
      <c r="CK47" s="451">
        <f t="shared" si="200"/>
        <v>0</v>
      </c>
      <c r="CL47" s="451">
        <f t="shared" si="201"/>
        <v>0</v>
      </c>
      <c r="CM47" s="451">
        <f t="shared" si="202"/>
        <v>0</v>
      </c>
      <c r="CN47" s="454">
        <f t="shared" si="203"/>
        <v>0</v>
      </c>
      <c r="CO47" s="454">
        <f t="shared" si="204"/>
        <v>0</v>
      </c>
      <c r="CP47" s="454">
        <f t="shared" si="205"/>
        <v>0</v>
      </c>
      <c r="CQ47" s="454">
        <f t="shared" si="206"/>
        <v>0</v>
      </c>
      <c r="CR47" s="454">
        <f t="shared" si="207"/>
        <v>0</v>
      </c>
      <c r="CS47" s="454">
        <f t="shared" si="208"/>
        <v>0</v>
      </c>
      <c r="CT47" s="459">
        <f t="shared" si="209"/>
        <v>0</v>
      </c>
      <c r="CU47" s="460">
        <f t="shared" si="210"/>
        <v>1</v>
      </c>
      <c r="CV47" s="460">
        <f t="shared" si="211"/>
        <v>0</v>
      </c>
      <c r="CW47" s="460">
        <f t="shared" si="212"/>
        <v>1</v>
      </c>
      <c r="CX47" s="460">
        <f t="shared" si="213"/>
        <v>0</v>
      </c>
      <c r="CY47" s="460">
        <f t="shared" si="214"/>
        <v>0</v>
      </c>
      <c r="CZ47" s="460">
        <f t="shared" si="215"/>
        <v>0</v>
      </c>
      <c r="DA47" s="461">
        <f t="shared" si="216"/>
        <v>0.64999999999999991</v>
      </c>
      <c r="DB47" s="118">
        <v>1.3</v>
      </c>
      <c r="DC47" s="118">
        <v>1.4</v>
      </c>
      <c r="DD47" s="118">
        <v>2</v>
      </c>
      <c r="DE47" s="118">
        <v>2</v>
      </c>
      <c r="DF47" s="462">
        <v>2</v>
      </c>
      <c r="DG47" s="455">
        <f t="shared" si="217"/>
        <v>0</v>
      </c>
      <c r="DH47" s="463">
        <f t="shared" si="218"/>
        <v>0</v>
      </c>
      <c r="DI47" s="463">
        <f t="shared" si="219"/>
        <v>0</v>
      </c>
      <c r="DJ47" s="463">
        <f t="shared" si="220"/>
        <v>112.5</v>
      </c>
      <c r="DK47" s="463">
        <f t="shared" si="221"/>
        <v>63.000000000000021</v>
      </c>
      <c r="DL47" s="463">
        <f t="shared" si="222"/>
        <v>0</v>
      </c>
      <c r="DM47" s="463">
        <f t="shared" si="223"/>
        <v>0</v>
      </c>
      <c r="DN47" s="463">
        <f t="shared" si="224"/>
        <v>0</v>
      </c>
      <c r="DO47" s="463">
        <f t="shared" si="225"/>
        <v>0</v>
      </c>
      <c r="DP47" s="463">
        <f t="shared" si="226"/>
        <v>0</v>
      </c>
      <c r="DQ47" s="445"/>
    </row>
    <row r="48" spans="1:121" ht="26" x14ac:dyDescent="0.25">
      <c r="A48" s="448" t="s">
        <v>2051</v>
      </c>
      <c r="B48" s="257"/>
      <c r="C48" s="101" t="str">
        <f>'Planilha Hidráulica'!B54</f>
        <v>PV6.1-&gt;PV7.1</v>
      </c>
      <c r="D48" s="258">
        <f>'Planilha Hidráulica'!R54</f>
        <v>2.11</v>
      </c>
      <c r="E48" s="258">
        <f>'Planilha Hidráulica'!S54</f>
        <v>2.16</v>
      </c>
      <c r="F48" s="258">
        <f>'Planilha Hidráulica'!K54</f>
        <v>33.39</v>
      </c>
      <c r="G48" s="101">
        <f>'Planilha Hidráulica'!M54</f>
        <v>800</v>
      </c>
      <c r="H48" s="449">
        <f t="shared" si="130"/>
        <v>2.395</v>
      </c>
      <c r="I48" s="102">
        <f t="shared" si="131"/>
        <v>3.9984525</v>
      </c>
      <c r="J48" s="450">
        <v>0</v>
      </c>
      <c r="K48" s="451">
        <f t="shared" si="132"/>
        <v>1.7</v>
      </c>
      <c r="L48" s="451">
        <f t="shared" si="133"/>
        <v>1.7</v>
      </c>
      <c r="M48" s="451">
        <f>'Planilha Hidráulica'!X54</f>
        <v>600</v>
      </c>
      <c r="N48" s="451">
        <f t="shared" si="134"/>
        <v>56.762999999999998</v>
      </c>
      <c r="O48" s="452" t="str">
        <f>'Planilha Hidráulica'!W54</f>
        <v>ASFALTO</v>
      </c>
      <c r="P48" s="452" t="s">
        <v>2052</v>
      </c>
      <c r="Q48" s="452"/>
      <c r="R48" s="452">
        <v>5</v>
      </c>
      <c r="S48" s="452">
        <v>5</v>
      </c>
      <c r="T48" s="451">
        <f t="shared" si="135"/>
        <v>0.1</v>
      </c>
      <c r="U48" s="453">
        <f t="shared" si="136"/>
        <v>9.4408000833026886</v>
      </c>
      <c r="V48" s="106">
        <f t="shared" si="137"/>
        <v>126.50658491669734</v>
      </c>
      <c r="W48" s="107">
        <f t="shared" si="138"/>
        <v>0</v>
      </c>
      <c r="X48" s="107">
        <f t="shared" si="139"/>
        <v>0</v>
      </c>
      <c r="Y48" s="454">
        <f t="shared" si="140"/>
        <v>2.395</v>
      </c>
      <c r="Z48" s="454">
        <f t="shared" si="141"/>
        <v>0</v>
      </c>
      <c r="AA48" s="455">
        <f t="shared" si="142"/>
        <v>56.762999999999998</v>
      </c>
      <c r="AB48" s="117">
        <f t="shared" si="143"/>
        <v>0</v>
      </c>
      <c r="AC48" s="109">
        <f t="shared" si="144"/>
        <v>0</v>
      </c>
      <c r="AD48" s="109">
        <f t="shared" si="145"/>
        <v>0</v>
      </c>
      <c r="AE48" s="109">
        <f t="shared" si="146"/>
        <v>0</v>
      </c>
      <c r="AF48" s="109">
        <f t="shared" si="147"/>
        <v>0</v>
      </c>
      <c r="AG48" s="109">
        <f t="shared" si="148"/>
        <v>0</v>
      </c>
      <c r="AH48" s="109">
        <f t="shared" si="149"/>
        <v>0</v>
      </c>
      <c r="AI48" s="109">
        <f t="shared" si="150"/>
        <v>0</v>
      </c>
      <c r="AJ48" s="456">
        <f t="shared" si="151"/>
        <v>0</v>
      </c>
      <c r="AK48" s="456">
        <f t="shared" si="152"/>
        <v>0</v>
      </c>
      <c r="AL48" s="456">
        <f t="shared" si="153"/>
        <v>85.144499999999994</v>
      </c>
      <c r="AM48" s="456">
        <f>IF(IF(AND(K48&lt;=2.5,K48&gt;1.5),IF(Y48&gt;=3,L48*F48*1.5,K48*F48*(Y48-1.5)),0)&lt;0,0,IF(AND(K48&lt;=2.5,K48&gt;1.5),IF(Y48&gt;=3,L48*F48*1.5,K48*F48*(Y48-1.5)),0))-U48</f>
        <v>41.362084916697306</v>
      </c>
      <c r="AN48" s="456">
        <f>IF(IF(K48&lt;=2.5,IF(Y48&gt;=4.5,L48*F48*1.5,K48*F48*(Y48-3)),0)&lt;0,0,IF(K48&lt;=2.5,IF(Y48&gt;=4.5,L48*F48*1.5,K48*F48*(Y48-3)),0))</f>
        <v>0</v>
      </c>
      <c r="AO48" s="456">
        <f t="shared" si="154"/>
        <v>0</v>
      </c>
      <c r="AP48" s="456">
        <f t="shared" si="155"/>
        <v>0</v>
      </c>
      <c r="AQ48" s="456">
        <f t="shared" si="156"/>
        <v>0</v>
      </c>
      <c r="AR48" s="104">
        <f t="shared" si="157"/>
        <v>0</v>
      </c>
      <c r="AS48" s="451">
        <f t="shared" si="158"/>
        <v>0</v>
      </c>
      <c r="AT48" s="104">
        <f t="shared" si="159"/>
        <v>119.16374040746189</v>
      </c>
      <c r="AU48" s="102">
        <f t="shared" si="160"/>
        <v>0</v>
      </c>
      <c r="AV48" s="106">
        <f t="shared" si="161"/>
        <v>5.6763000000000003</v>
      </c>
      <c r="AW48" s="104">
        <f t="shared" si="162"/>
        <v>0</v>
      </c>
      <c r="AX48" s="104">
        <f t="shared" si="163"/>
        <v>0</v>
      </c>
      <c r="AY48" s="104">
        <f t="shared" si="164"/>
        <v>1.1000000000000001</v>
      </c>
      <c r="AZ48" s="104">
        <f t="shared" si="165"/>
        <v>45.655655407461893</v>
      </c>
      <c r="BA48" s="104">
        <f t="shared" si="166"/>
        <v>0</v>
      </c>
      <c r="BB48" s="104">
        <f t="shared" si="167"/>
        <v>8.5144500000000001</v>
      </c>
      <c r="BC48" s="104">
        <f t="shared" si="168"/>
        <v>8.5144500000000001</v>
      </c>
      <c r="BD48" s="104">
        <f t="shared" si="169"/>
        <v>1.70289</v>
      </c>
      <c r="BE48" s="104">
        <f t="shared" si="170"/>
        <v>50.802885000000003</v>
      </c>
      <c r="BF48" s="104">
        <f t="shared" si="171"/>
        <v>72.336479509235417</v>
      </c>
      <c r="BG48" s="104">
        <f t="shared" si="172"/>
        <v>50.802885000000003</v>
      </c>
      <c r="BH48" s="104">
        <f t="shared" si="173"/>
        <v>21.533594509235414</v>
      </c>
      <c r="BI48" s="104">
        <f t="shared" si="174"/>
        <v>0</v>
      </c>
      <c r="BJ48" s="104">
        <f t="shared" si="227"/>
        <v>0</v>
      </c>
      <c r="BK48" s="104">
        <f t="shared" si="175"/>
        <v>0</v>
      </c>
      <c r="BL48" s="125"/>
      <c r="BM48" s="104">
        <f t="shared" si="176"/>
        <v>0.34057799999999999</v>
      </c>
      <c r="BN48" s="455">
        <f t="shared" si="177"/>
        <v>0</v>
      </c>
      <c r="BO48" s="457">
        <f t="shared" si="178"/>
        <v>0</v>
      </c>
      <c r="BP48" s="457">
        <f t="shared" si="179"/>
        <v>0</v>
      </c>
      <c r="BQ48" s="457">
        <f t="shared" si="180"/>
        <v>0</v>
      </c>
      <c r="BR48" s="451">
        <f t="shared" si="181"/>
        <v>0</v>
      </c>
      <c r="BS48" s="451">
        <f t="shared" si="182"/>
        <v>0</v>
      </c>
      <c r="BT48" s="451">
        <f t="shared" si="183"/>
        <v>0</v>
      </c>
      <c r="BU48" s="451">
        <f t="shared" si="184"/>
        <v>0</v>
      </c>
      <c r="BV48" s="451">
        <f t="shared" si="185"/>
        <v>0</v>
      </c>
      <c r="BW48" s="451">
        <f t="shared" si="186"/>
        <v>0</v>
      </c>
      <c r="BX48" s="451">
        <f t="shared" si="187"/>
        <v>2.395</v>
      </c>
      <c r="BY48" s="451">
        <f t="shared" si="188"/>
        <v>33.39</v>
      </c>
      <c r="BZ48" s="451">
        <f t="shared" si="189"/>
        <v>0</v>
      </c>
      <c r="CA48" s="451">
        <f t="shared" si="190"/>
        <v>0</v>
      </c>
      <c r="CB48" s="451">
        <f t="shared" si="191"/>
        <v>0</v>
      </c>
      <c r="CC48" s="451">
        <f t="shared" si="192"/>
        <v>0</v>
      </c>
      <c r="CD48" s="451">
        <f t="shared" si="193"/>
        <v>0</v>
      </c>
      <c r="CE48" s="451">
        <f t="shared" si="194"/>
        <v>0</v>
      </c>
      <c r="CF48" s="451">
        <f t="shared" si="195"/>
        <v>0</v>
      </c>
      <c r="CG48" s="451">
        <f t="shared" si="196"/>
        <v>0</v>
      </c>
      <c r="CH48" s="451">
        <f t="shared" si="197"/>
        <v>0</v>
      </c>
      <c r="CI48" s="451">
        <f t="shared" si="198"/>
        <v>0</v>
      </c>
      <c r="CJ48" s="458">
        <f t="shared" si="199"/>
        <v>0</v>
      </c>
      <c r="CK48" s="451">
        <f t="shared" si="200"/>
        <v>0</v>
      </c>
      <c r="CL48" s="451">
        <f t="shared" si="201"/>
        <v>0</v>
      </c>
      <c r="CM48" s="451">
        <f t="shared" si="202"/>
        <v>0</v>
      </c>
      <c r="CN48" s="454">
        <f t="shared" si="203"/>
        <v>0</v>
      </c>
      <c r="CO48" s="454">
        <f t="shared" si="204"/>
        <v>0</v>
      </c>
      <c r="CP48" s="454">
        <f t="shared" si="205"/>
        <v>0</v>
      </c>
      <c r="CQ48" s="454">
        <f t="shared" si="206"/>
        <v>0</v>
      </c>
      <c r="CR48" s="454">
        <f t="shared" si="207"/>
        <v>0</v>
      </c>
      <c r="CS48" s="454">
        <f t="shared" si="208"/>
        <v>0</v>
      </c>
      <c r="CT48" s="459">
        <f t="shared" si="209"/>
        <v>0</v>
      </c>
      <c r="CU48" s="460">
        <f t="shared" si="210"/>
        <v>1</v>
      </c>
      <c r="CV48" s="460">
        <f t="shared" si="211"/>
        <v>0</v>
      </c>
      <c r="CW48" s="460">
        <f t="shared" si="212"/>
        <v>1</v>
      </c>
      <c r="CX48" s="460">
        <f t="shared" si="213"/>
        <v>0</v>
      </c>
      <c r="CY48" s="460">
        <f t="shared" si="214"/>
        <v>0</v>
      </c>
      <c r="CZ48" s="460">
        <f t="shared" si="215"/>
        <v>0</v>
      </c>
      <c r="DA48" s="461">
        <f t="shared" si="216"/>
        <v>0.71</v>
      </c>
      <c r="DB48" s="118">
        <v>1.3</v>
      </c>
      <c r="DC48" s="118">
        <v>1.4</v>
      </c>
      <c r="DD48" s="118">
        <v>2</v>
      </c>
      <c r="DE48" s="118">
        <v>2</v>
      </c>
      <c r="DF48" s="462">
        <v>2</v>
      </c>
      <c r="DG48" s="455">
        <f t="shared" si="217"/>
        <v>0</v>
      </c>
      <c r="DH48" s="463">
        <f t="shared" si="218"/>
        <v>0</v>
      </c>
      <c r="DI48" s="463">
        <f t="shared" si="219"/>
        <v>0</v>
      </c>
      <c r="DJ48" s="463">
        <f t="shared" si="220"/>
        <v>100.17</v>
      </c>
      <c r="DK48" s="463">
        <f t="shared" si="221"/>
        <v>59.768100000000004</v>
      </c>
      <c r="DL48" s="463">
        <f t="shared" si="222"/>
        <v>0</v>
      </c>
      <c r="DM48" s="463">
        <f t="shared" si="223"/>
        <v>0</v>
      </c>
      <c r="DN48" s="463">
        <f t="shared" si="224"/>
        <v>0</v>
      </c>
      <c r="DO48" s="463">
        <f t="shared" si="225"/>
        <v>0</v>
      </c>
      <c r="DP48" s="463">
        <f t="shared" si="226"/>
        <v>0</v>
      </c>
      <c r="DQ48" s="445"/>
    </row>
    <row r="49" spans="1:121" ht="26" x14ac:dyDescent="0.25">
      <c r="A49" s="448" t="s">
        <v>2051</v>
      </c>
      <c r="B49" s="257"/>
      <c r="C49" s="101" t="str">
        <f>'Planilha Hidráulica'!B55</f>
        <v>PV7.1-&gt;PV8.1</v>
      </c>
      <c r="D49" s="258">
        <f>'Planilha Hidráulica'!R55</f>
        <v>3.66</v>
      </c>
      <c r="E49" s="258">
        <f>'Planilha Hidráulica'!S55</f>
        <v>3.61</v>
      </c>
      <c r="F49" s="258">
        <f>'Planilha Hidráulica'!K55</f>
        <v>41.11</v>
      </c>
      <c r="G49" s="101">
        <f>'Planilha Hidráulica'!M55</f>
        <v>1000</v>
      </c>
      <c r="H49" s="449">
        <f t="shared" si="130"/>
        <v>3.9849999999999999</v>
      </c>
      <c r="I49" s="102">
        <f t="shared" si="131"/>
        <v>8.1911675000000006</v>
      </c>
      <c r="J49" s="450">
        <v>0</v>
      </c>
      <c r="K49" s="451">
        <f t="shared" si="132"/>
        <v>2</v>
      </c>
      <c r="L49" s="451">
        <f t="shared" si="133"/>
        <v>2</v>
      </c>
      <c r="M49" s="451">
        <f>'Planilha Hidráulica'!X55</f>
        <v>600</v>
      </c>
      <c r="N49" s="451">
        <f t="shared" si="134"/>
        <v>82.22</v>
      </c>
      <c r="O49" s="452" t="str">
        <f>'Planilha Hidráulica'!W55</f>
        <v>ASFALTO</v>
      </c>
      <c r="P49" s="452" t="s">
        <v>2052</v>
      </c>
      <c r="Q49" s="452"/>
      <c r="R49" s="452">
        <v>5</v>
      </c>
      <c r="S49" s="452">
        <v>5</v>
      </c>
      <c r="T49" s="451">
        <f t="shared" si="135"/>
        <v>0.15</v>
      </c>
      <c r="U49" s="453">
        <f t="shared" si="136"/>
        <v>11.623578659016875</v>
      </c>
      <c r="V49" s="106">
        <f t="shared" si="137"/>
        <v>316.02312134098315</v>
      </c>
      <c r="W49" s="107">
        <f t="shared" si="138"/>
        <v>0</v>
      </c>
      <c r="X49" s="107">
        <f t="shared" si="139"/>
        <v>0</v>
      </c>
      <c r="Y49" s="454">
        <f t="shared" si="140"/>
        <v>3.9849999999999999</v>
      </c>
      <c r="Z49" s="454">
        <f t="shared" si="141"/>
        <v>0</v>
      </c>
      <c r="AA49" s="455">
        <f t="shared" si="142"/>
        <v>82.22</v>
      </c>
      <c r="AB49" s="117">
        <f t="shared" si="143"/>
        <v>0</v>
      </c>
      <c r="AC49" s="109">
        <f t="shared" si="144"/>
        <v>0</v>
      </c>
      <c r="AD49" s="109">
        <f t="shared" si="145"/>
        <v>0</v>
      </c>
      <c r="AE49" s="109">
        <f t="shared" si="146"/>
        <v>0</v>
      </c>
      <c r="AF49" s="109">
        <f t="shared" si="147"/>
        <v>0</v>
      </c>
      <c r="AG49" s="109">
        <f t="shared" si="148"/>
        <v>0</v>
      </c>
      <c r="AH49" s="109">
        <f t="shared" si="149"/>
        <v>0</v>
      </c>
      <c r="AI49" s="109">
        <f t="shared" si="150"/>
        <v>0</v>
      </c>
      <c r="AJ49" s="456">
        <f t="shared" si="151"/>
        <v>0</v>
      </c>
      <c r="AK49" s="456">
        <f t="shared" si="152"/>
        <v>0</v>
      </c>
      <c r="AL49" s="456">
        <f t="shared" si="153"/>
        <v>123.33</v>
      </c>
      <c r="AM49" s="456">
        <f t="shared" ref="AM49:AM63" si="228">IF(IF(AND(K49&lt;=2.5,K49&gt;1.5),IF(Y49&gt;=3,L49*F49*1.5,K49*F49*(Y49-1.5)),0)&lt;0,0,IF(AND(K49&lt;=2.5,K49&gt;1.5),IF(Y49&gt;=3,L49*F49*1.5,K49*F49*(Y49-1.5)),0))+IF(R49&lt;H49,0,IF(AND(Y49&lt;=3,Y49&gt;1.5,K49&gt;1.5,K49&lt;=2.5),-U49,0))</f>
        <v>123.33</v>
      </c>
      <c r="AN49" s="456">
        <f t="shared" ref="AN49:AN54" si="229">IF(IF(K49&lt;=2.5,IF(Y49&gt;=4.5,L49*F49*1.5,K49*F49*(Y49-3)),0)&lt;0,0,IF(K49&lt;=2.5,IF(Y49&gt;=4.5,L49*F49*1.5,K49*F49*(Y49-3)),0))+IF(R49&lt;H49,0,IF(AND(Y49&lt;=4.5,Y49&gt;3,K49&gt;1.5,K49&lt;=2.5),-U49,0))</f>
        <v>69.363121340983113</v>
      </c>
      <c r="AO49" s="456">
        <f t="shared" si="154"/>
        <v>0</v>
      </c>
      <c r="AP49" s="456">
        <f t="shared" si="155"/>
        <v>0</v>
      </c>
      <c r="AQ49" s="456">
        <f t="shared" si="156"/>
        <v>0</v>
      </c>
      <c r="AR49" s="104">
        <f t="shared" si="157"/>
        <v>0</v>
      </c>
      <c r="AS49" s="451">
        <f t="shared" si="158"/>
        <v>0</v>
      </c>
      <c r="AT49" s="104">
        <f t="shared" si="159"/>
        <v>295.3589815027309</v>
      </c>
      <c r="AU49" s="102">
        <f t="shared" si="160"/>
        <v>0</v>
      </c>
      <c r="AV49" s="106">
        <f t="shared" si="161"/>
        <v>12.333</v>
      </c>
      <c r="AW49" s="104">
        <f t="shared" si="162"/>
        <v>0</v>
      </c>
      <c r="AX49" s="104">
        <f t="shared" si="163"/>
        <v>0</v>
      </c>
      <c r="AY49" s="104">
        <f t="shared" si="164"/>
        <v>1.3</v>
      </c>
      <c r="AZ49" s="104">
        <f t="shared" si="165"/>
        <v>74.598281502730899</v>
      </c>
      <c r="BA49" s="104">
        <f t="shared" si="166"/>
        <v>0</v>
      </c>
      <c r="BB49" s="104">
        <f t="shared" si="167"/>
        <v>12.333</v>
      </c>
      <c r="BC49" s="104">
        <f t="shared" si="168"/>
        <v>12.333</v>
      </c>
      <c r="BD49" s="104">
        <f t="shared" si="169"/>
        <v>2.4665999999999997</v>
      </c>
      <c r="BE49" s="104">
        <f t="shared" si="170"/>
        <v>183.76169999999991</v>
      </c>
      <c r="BF49" s="104">
        <f t="shared" si="171"/>
        <v>229.09183983825216</v>
      </c>
      <c r="BG49" s="104">
        <f t="shared" si="172"/>
        <v>183.76169999999991</v>
      </c>
      <c r="BH49" s="104">
        <f t="shared" si="173"/>
        <v>45.330139838252251</v>
      </c>
      <c r="BI49" s="104">
        <f t="shared" si="174"/>
        <v>0</v>
      </c>
      <c r="BJ49" s="104">
        <f t="shared" si="227"/>
        <v>0</v>
      </c>
      <c r="BK49" s="104">
        <f t="shared" si="175"/>
        <v>0</v>
      </c>
      <c r="BL49" s="125"/>
      <c r="BM49" s="104">
        <f t="shared" si="176"/>
        <v>0.49332000000000004</v>
      </c>
      <c r="BN49" s="455">
        <f t="shared" si="177"/>
        <v>0</v>
      </c>
      <c r="BO49" s="457">
        <f t="shared" si="178"/>
        <v>0</v>
      </c>
      <c r="BP49" s="457">
        <f t="shared" si="179"/>
        <v>0</v>
      </c>
      <c r="BQ49" s="457">
        <f t="shared" si="180"/>
        <v>0</v>
      </c>
      <c r="BR49" s="451">
        <f t="shared" si="181"/>
        <v>0</v>
      </c>
      <c r="BS49" s="451">
        <f t="shared" si="182"/>
        <v>0</v>
      </c>
      <c r="BT49" s="451">
        <f t="shared" si="183"/>
        <v>0</v>
      </c>
      <c r="BU49" s="451">
        <f t="shared" si="184"/>
        <v>0</v>
      </c>
      <c r="BV49" s="451">
        <f t="shared" si="185"/>
        <v>0</v>
      </c>
      <c r="BW49" s="451">
        <f t="shared" si="186"/>
        <v>0</v>
      </c>
      <c r="BX49" s="451">
        <f t="shared" si="187"/>
        <v>0</v>
      </c>
      <c r="BY49" s="451">
        <f t="shared" si="188"/>
        <v>0</v>
      </c>
      <c r="BZ49" s="451">
        <f t="shared" si="189"/>
        <v>0</v>
      </c>
      <c r="CA49" s="451">
        <f t="shared" si="190"/>
        <v>0</v>
      </c>
      <c r="CB49" s="451">
        <f t="shared" si="191"/>
        <v>3.9849999999999999</v>
      </c>
      <c r="CC49" s="451">
        <f t="shared" si="192"/>
        <v>0</v>
      </c>
      <c r="CD49" s="451">
        <f t="shared" si="193"/>
        <v>41.11</v>
      </c>
      <c r="CE49" s="451">
        <f t="shared" si="194"/>
        <v>0</v>
      </c>
      <c r="CF49" s="451">
        <f t="shared" si="195"/>
        <v>0</v>
      </c>
      <c r="CG49" s="451">
        <f t="shared" si="196"/>
        <v>0</v>
      </c>
      <c r="CH49" s="451">
        <f t="shared" si="197"/>
        <v>0</v>
      </c>
      <c r="CI49" s="451">
        <f t="shared" si="198"/>
        <v>0</v>
      </c>
      <c r="CJ49" s="458">
        <f t="shared" si="199"/>
        <v>0</v>
      </c>
      <c r="CK49" s="451">
        <f t="shared" si="200"/>
        <v>0</v>
      </c>
      <c r="CL49" s="451">
        <f t="shared" si="201"/>
        <v>0</v>
      </c>
      <c r="CM49" s="451">
        <f t="shared" si="202"/>
        <v>0</v>
      </c>
      <c r="CN49" s="454">
        <f t="shared" si="203"/>
        <v>0</v>
      </c>
      <c r="CO49" s="454">
        <f t="shared" si="204"/>
        <v>0</v>
      </c>
      <c r="CP49" s="454">
        <f t="shared" si="205"/>
        <v>0</v>
      </c>
      <c r="CQ49" s="454">
        <f t="shared" si="206"/>
        <v>0</v>
      </c>
      <c r="CR49" s="454">
        <f t="shared" si="207"/>
        <v>0</v>
      </c>
      <c r="CS49" s="454">
        <f t="shared" si="208"/>
        <v>0</v>
      </c>
      <c r="CT49" s="459">
        <f t="shared" si="209"/>
        <v>0</v>
      </c>
      <c r="CU49" s="460">
        <f t="shared" si="210"/>
        <v>1</v>
      </c>
      <c r="CV49" s="460">
        <f t="shared" si="211"/>
        <v>0</v>
      </c>
      <c r="CW49" s="460">
        <f t="shared" si="212"/>
        <v>0</v>
      </c>
      <c r="CX49" s="460">
        <f t="shared" si="213"/>
        <v>1</v>
      </c>
      <c r="CY49" s="460">
        <f t="shared" si="214"/>
        <v>0</v>
      </c>
      <c r="CZ49" s="460">
        <f t="shared" si="215"/>
        <v>0</v>
      </c>
      <c r="DA49" s="461">
        <f t="shared" si="216"/>
        <v>1.6600000000000001</v>
      </c>
      <c r="DB49" s="118">
        <v>1.3</v>
      </c>
      <c r="DC49" s="118">
        <v>1.4</v>
      </c>
      <c r="DD49" s="118">
        <v>2</v>
      </c>
      <c r="DE49" s="118">
        <v>2</v>
      </c>
      <c r="DF49" s="462">
        <v>2</v>
      </c>
      <c r="DG49" s="455">
        <f t="shared" si="217"/>
        <v>0</v>
      </c>
      <c r="DH49" s="463">
        <f t="shared" si="218"/>
        <v>0</v>
      </c>
      <c r="DI49" s="463">
        <f t="shared" si="219"/>
        <v>0</v>
      </c>
      <c r="DJ49" s="463">
        <f t="shared" si="220"/>
        <v>123.33</v>
      </c>
      <c r="DK49" s="463">
        <f t="shared" si="221"/>
        <v>123.33</v>
      </c>
      <c r="DL49" s="463">
        <f t="shared" si="222"/>
        <v>80.986699999999985</v>
      </c>
      <c r="DM49" s="463">
        <f t="shared" si="223"/>
        <v>0</v>
      </c>
      <c r="DN49" s="463">
        <f t="shared" si="224"/>
        <v>0</v>
      </c>
      <c r="DO49" s="463">
        <f t="shared" si="225"/>
        <v>0</v>
      </c>
      <c r="DP49" s="463">
        <f t="shared" si="226"/>
        <v>0</v>
      </c>
      <c r="DQ49" s="445"/>
    </row>
    <row r="50" spans="1:121" ht="26" x14ac:dyDescent="0.25">
      <c r="A50" s="448" t="s">
        <v>2051</v>
      </c>
      <c r="B50" s="257"/>
      <c r="C50" s="101" t="str">
        <f>'Planilha Hidráulica'!B56</f>
        <v>PV8.1-&gt;PV9.1</v>
      </c>
      <c r="D50" s="258">
        <f>'Planilha Hidráulica'!R56</f>
        <v>3.61</v>
      </c>
      <c r="E50" s="258">
        <f>'Planilha Hidráulica'!S56</f>
        <v>3.5</v>
      </c>
      <c r="F50" s="258">
        <f>'Planilha Hidráulica'!K56</f>
        <v>36</v>
      </c>
      <c r="G50" s="101">
        <f>'Planilha Hidráulica'!M56</f>
        <v>1000</v>
      </c>
      <c r="H50" s="449">
        <f t="shared" si="130"/>
        <v>3.9049999999999998</v>
      </c>
      <c r="I50" s="102">
        <f t="shared" si="131"/>
        <v>7.028999999999999</v>
      </c>
      <c r="J50" s="450">
        <v>0</v>
      </c>
      <c r="K50" s="451">
        <f t="shared" si="132"/>
        <v>2</v>
      </c>
      <c r="L50" s="451">
        <f t="shared" si="133"/>
        <v>2</v>
      </c>
      <c r="M50" s="451">
        <f>'Planilha Hidráulica'!X56</f>
        <v>600</v>
      </c>
      <c r="N50" s="451">
        <f t="shared" si="134"/>
        <v>72</v>
      </c>
      <c r="O50" s="452" t="str">
        <f>'Planilha Hidráulica'!W56</f>
        <v>ASFALTO</v>
      </c>
      <c r="P50" s="452" t="s">
        <v>2052</v>
      </c>
      <c r="Q50" s="452"/>
      <c r="R50" s="452">
        <v>5</v>
      </c>
      <c r="S50" s="452">
        <v>5</v>
      </c>
      <c r="T50" s="451">
        <f t="shared" si="135"/>
        <v>0.15</v>
      </c>
      <c r="U50" s="453">
        <f t="shared" si="136"/>
        <v>10.178760197630931</v>
      </c>
      <c r="V50" s="106">
        <f t="shared" si="137"/>
        <v>270.98123980236903</v>
      </c>
      <c r="W50" s="107">
        <f t="shared" si="138"/>
        <v>0</v>
      </c>
      <c r="X50" s="107">
        <f t="shared" si="139"/>
        <v>0</v>
      </c>
      <c r="Y50" s="454">
        <f t="shared" si="140"/>
        <v>3.9049999999999998</v>
      </c>
      <c r="Z50" s="454">
        <f t="shared" si="141"/>
        <v>0</v>
      </c>
      <c r="AA50" s="455">
        <f t="shared" si="142"/>
        <v>72</v>
      </c>
      <c r="AB50" s="117">
        <f t="shared" si="143"/>
        <v>0</v>
      </c>
      <c r="AC50" s="109">
        <f t="shared" si="144"/>
        <v>0</v>
      </c>
      <c r="AD50" s="109">
        <f t="shared" si="145"/>
        <v>0</v>
      </c>
      <c r="AE50" s="109">
        <f t="shared" si="146"/>
        <v>0</v>
      </c>
      <c r="AF50" s="109">
        <f t="shared" si="147"/>
        <v>0</v>
      </c>
      <c r="AG50" s="109">
        <f t="shared" si="148"/>
        <v>0</v>
      </c>
      <c r="AH50" s="109">
        <f t="shared" si="149"/>
        <v>0</v>
      </c>
      <c r="AI50" s="109">
        <f t="shared" si="150"/>
        <v>0</v>
      </c>
      <c r="AJ50" s="456">
        <f t="shared" si="151"/>
        <v>0</v>
      </c>
      <c r="AK50" s="456">
        <f t="shared" si="152"/>
        <v>0</v>
      </c>
      <c r="AL50" s="456">
        <f t="shared" si="153"/>
        <v>108</v>
      </c>
      <c r="AM50" s="456">
        <f t="shared" si="228"/>
        <v>108</v>
      </c>
      <c r="AN50" s="456">
        <f t="shared" si="229"/>
        <v>54.981239802369053</v>
      </c>
      <c r="AO50" s="456">
        <f t="shared" si="154"/>
        <v>0</v>
      </c>
      <c r="AP50" s="456">
        <f t="shared" si="155"/>
        <v>0</v>
      </c>
      <c r="AQ50" s="456">
        <f t="shared" si="156"/>
        <v>0</v>
      </c>
      <c r="AR50" s="104">
        <f t="shared" si="157"/>
        <v>0</v>
      </c>
      <c r="AS50" s="451">
        <f t="shared" si="158"/>
        <v>0</v>
      </c>
      <c r="AT50" s="104">
        <f t="shared" si="159"/>
        <v>252.88566611769184</v>
      </c>
      <c r="AU50" s="102">
        <f t="shared" si="160"/>
        <v>0</v>
      </c>
      <c r="AV50" s="106">
        <f t="shared" si="161"/>
        <v>10.799999999999999</v>
      </c>
      <c r="AW50" s="104">
        <f t="shared" si="162"/>
        <v>0</v>
      </c>
      <c r="AX50" s="104">
        <f t="shared" si="163"/>
        <v>0</v>
      </c>
      <c r="AY50" s="104">
        <f t="shared" si="164"/>
        <v>1.3</v>
      </c>
      <c r="AZ50" s="104">
        <f t="shared" si="165"/>
        <v>65.325666117691867</v>
      </c>
      <c r="BA50" s="104">
        <f t="shared" si="166"/>
        <v>0</v>
      </c>
      <c r="BB50" s="104">
        <f t="shared" si="167"/>
        <v>10.799999999999999</v>
      </c>
      <c r="BC50" s="104">
        <f t="shared" si="168"/>
        <v>10.799999999999999</v>
      </c>
      <c r="BD50" s="104">
        <f t="shared" si="169"/>
        <v>2.16</v>
      </c>
      <c r="BE50" s="104">
        <f t="shared" si="170"/>
        <v>155.15999999999994</v>
      </c>
      <c r="BF50" s="104">
        <f t="shared" si="171"/>
        <v>194.85557368467715</v>
      </c>
      <c r="BG50" s="104">
        <f t="shared" si="172"/>
        <v>155.15999999999994</v>
      </c>
      <c r="BH50" s="104">
        <f t="shared" si="173"/>
        <v>39.695573684677214</v>
      </c>
      <c r="BI50" s="104">
        <f t="shared" si="174"/>
        <v>0</v>
      </c>
      <c r="BJ50" s="104">
        <f t="shared" si="227"/>
        <v>0</v>
      </c>
      <c r="BK50" s="104">
        <f t="shared" si="175"/>
        <v>0</v>
      </c>
      <c r="BL50" s="125"/>
      <c r="BM50" s="104">
        <f t="shared" si="176"/>
        <v>0.43199999999999994</v>
      </c>
      <c r="BN50" s="455">
        <f t="shared" si="177"/>
        <v>0</v>
      </c>
      <c r="BO50" s="457">
        <f t="shared" si="178"/>
        <v>0</v>
      </c>
      <c r="BP50" s="457">
        <f t="shared" si="179"/>
        <v>0</v>
      </c>
      <c r="BQ50" s="457">
        <f t="shared" si="180"/>
        <v>0</v>
      </c>
      <c r="BR50" s="451">
        <f t="shared" si="181"/>
        <v>0</v>
      </c>
      <c r="BS50" s="451">
        <f t="shared" si="182"/>
        <v>0</v>
      </c>
      <c r="BT50" s="451">
        <f t="shared" si="183"/>
        <v>0</v>
      </c>
      <c r="BU50" s="451">
        <f t="shared" si="184"/>
        <v>0</v>
      </c>
      <c r="BV50" s="451">
        <f t="shared" si="185"/>
        <v>0</v>
      </c>
      <c r="BW50" s="451">
        <f t="shared" si="186"/>
        <v>0</v>
      </c>
      <c r="BX50" s="451">
        <f t="shared" si="187"/>
        <v>0</v>
      </c>
      <c r="BY50" s="451">
        <f t="shared" si="188"/>
        <v>0</v>
      </c>
      <c r="BZ50" s="451">
        <f t="shared" si="189"/>
        <v>0</v>
      </c>
      <c r="CA50" s="451">
        <f t="shared" si="190"/>
        <v>0</v>
      </c>
      <c r="CB50" s="451">
        <f t="shared" si="191"/>
        <v>3.9049999999999998</v>
      </c>
      <c r="CC50" s="451">
        <f t="shared" si="192"/>
        <v>0</v>
      </c>
      <c r="CD50" s="451">
        <f t="shared" si="193"/>
        <v>36</v>
      </c>
      <c r="CE50" s="451">
        <f t="shared" si="194"/>
        <v>0</v>
      </c>
      <c r="CF50" s="451">
        <f t="shared" si="195"/>
        <v>0</v>
      </c>
      <c r="CG50" s="451">
        <f t="shared" si="196"/>
        <v>0</v>
      </c>
      <c r="CH50" s="451">
        <f t="shared" si="197"/>
        <v>0</v>
      </c>
      <c r="CI50" s="451">
        <f t="shared" si="198"/>
        <v>0</v>
      </c>
      <c r="CJ50" s="458">
        <f t="shared" si="199"/>
        <v>0</v>
      </c>
      <c r="CK50" s="451">
        <f t="shared" si="200"/>
        <v>0</v>
      </c>
      <c r="CL50" s="451">
        <f t="shared" si="201"/>
        <v>0</v>
      </c>
      <c r="CM50" s="451">
        <f t="shared" si="202"/>
        <v>0</v>
      </c>
      <c r="CN50" s="454">
        <f t="shared" si="203"/>
        <v>0</v>
      </c>
      <c r="CO50" s="454">
        <f t="shared" si="204"/>
        <v>0</v>
      </c>
      <c r="CP50" s="454">
        <f t="shared" si="205"/>
        <v>0</v>
      </c>
      <c r="CQ50" s="454">
        <f t="shared" si="206"/>
        <v>0</v>
      </c>
      <c r="CR50" s="454">
        <f t="shared" si="207"/>
        <v>0</v>
      </c>
      <c r="CS50" s="454">
        <f t="shared" si="208"/>
        <v>0</v>
      </c>
      <c r="CT50" s="459">
        <f t="shared" si="209"/>
        <v>0</v>
      </c>
      <c r="CU50" s="460">
        <f t="shared" si="210"/>
        <v>1</v>
      </c>
      <c r="CV50" s="460">
        <f t="shared" si="211"/>
        <v>0</v>
      </c>
      <c r="CW50" s="460">
        <f t="shared" si="212"/>
        <v>0</v>
      </c>
      <c r="CX50" s="460">
        <f t="shared" si="213"/>
        <v>1</v>
      </c>
      <c r="CY50" s="460">
        <f t="shared" si="214"/>
        <v>0</v>
      </c>
      <c r="CZ50" s="460">
        <f t="shared" si="215"/>
        <v>0</v>
      </c>
      <c r="DA50" s="461">
        <f t="shared" si="216"/>
        <v>1.6099999999999999</v>
      </c>
      <c r="DB50" s="118">
        <v>1.3</v>
      </c>
      <c r="DC50" s="118">
        <v>1.4</v>
      </c>
      <c r="DD50" s="118">
        <v>2</v>
      </c>
      <c r="DE50" s="118">
        <v>2</v>
      </c>
      <c r="DF50" s="462">
        <v>2</v>
      </c>
      <c r="DG50" s="455">
        <f t="shared" si="217"/>
        <v>0</v>
      </c>
      <c r="DH50" s="463">
        <f t="shared" si="218"/>
        <v>0</v>
      </c>
      <c r="DI50" s="463">
        <f t="shared" si="219"/>
        <v>0</v>
      </c>
      <c r="DJ50" s="463">
        <f t="shared" si="220"/>
        <v>108</v>
      </c>
      <c r="DK50" s="463">
        <f t="shared" si="221"/>
        <v>108</v>
      </c>
      <c r="DL50" s="463">
        <f t="shared" si="222"/>
        <v>65.159999999999982</v>
      </c>
      <c r="DM50" s="463">
        <f t="shared" si="223"/>
        <v>0</v>
      </c>
      <c r="DN50" s="463">
        <f t="shared" si="224"/>
        <v>0</v>
      </c>
      <c r="DO50" s="463">
        <f t="shared" si="225"/>
        <v>0</v>
      </c>
      <c r="DP50" s="463">
        <f t="shared" si="226"/>
        <v>0</v>
      </c>
      <c r="DQ50" s="445"/>
    </row>
    <row r="51" spans="1:121" ht="26" x14ac:dyDescent="0.25">
      <c r="A51" s="448" t="s">
        <v>2051</v>
      </c>
      <c r="B51" s="257"/>
      <c r="C51" s="101" t="str">
        <f>'Planilha Hidráulica'!B57</f>
        <v>PV9.1-&gt;PV10.1</v>
      </c>
      <c r="D51" s="258">
        <f>'Planilha Hidráulica'!R57</f>
        <v>3.5</v>
      </c>
      <c r="E51" s="258">
        <f>'Planilha Hidráulica'!S57</f>
        <v>2.89</v>
      </c>
      <c r="F51" s="258">
        <f>'Planilha Hidráulica'!K57</f>
        <v>37.979999999999997</v>
      </c>
      <c r="G51" s="101">
        <f>'Planilha Hidráulica'!M57</f>
        <v>1000</v>
      </c>
      <c r="H51" s="449">
        <f t="shared" si="130"/>
        <v>3.5450000000000004</v>
      </c>
      <c r="I51" s="102">
        <f t="shared" si="131"/>
        <v>6.731955000000001</v>
      </c>
      <c r="J51" s="450">
        <v>0</v>
      </c>
      <c r="K51" s="451">
        <f t="shared" si="132"/>
        <v>2</v>
      </c>
      <c r="L51" s="451">
        <f t="shared" si="133"/>
        <v>2</v>
      </c>
      <c r="M51" s="451">
        <f>'Planilha Hidráulica'!X57</f>
        <v>800</v>
      </c>
      <c r="N51" s="451">
        <f t="shared" si="134"/>
        <v>75.959999999999994</v>
      </c>
      <c r="O51" s="452" t="str">
        <f>'Planilha Hidráulica'!W57</f>
        <v>ASFALTO</v>
      </c>
      <c r="P51" s="452" t="s">
        <v>2052</v>
      </c>
      <c r="Q51" s="452"/>
      <c r="R51" s="452">
        <v>5</v>
      </c>
      <c r="S51" s="452">
        <v>5</v>
      </c>
      <c r="T51" s="451">
        <f t="shared" si="135"/>
        <v>0.15</v>
      </c>
      <c r="U51" s="453">
        <f t="shared" si="136"/>
        <v>19.090830237334455</v>
      </c>
      <c r="V51" s="106">
        <f t="shared" si="137"/>
        <v>250.18736976266558</v>
      </c>
      <c r="W51" s="107">
        <f t="shared" si="138"/>
        <v>0</v>
      </c>
      <c r="X51" s="107">
        <f t="shared" si="139"/>
        <v>0</v>
      </c>
      <c r="Y51" s="454">
        <f t="shared" si="140"/>
        <v>3.5450000000000004</v>
      </c>
      <c r="Z51" s="454">
        <f t="shared" si="141"/>
        <v>0</v>
      </c>
      <c r="AA51" s="455">
        <f t="shared" si="142"/>
        <v>75.959999999999994</v>
      </c>
      <c r="AB51" s="117">
        <f t="shared" si="143"/>
        <v>0</v>
      </c>
      <c r="AC51" s="109">
        <f t="shared" si="144"/>
        <v>0</v>
      </c>
      <c r="AD51" s="109">
        <f t="shared" si="145"/>
        <v>0</v>
      </c>
      <c r="AE51" s="109">
        <f t="shared" si="146"/>
        <v>0</v>
      </c>
      <c r="AF51" s="109">
        <f t="shared" si="147"/>
        <v>0</v>
      </c>
      <c r="AG51" s="109">
        <f t="shared" si="148"/>
        <v>0</v>
      </c>
      <c r="AH51" s="109">
        <f t="shared" si="149"/>
        <v>0</v>
      </c>
      <c r="AI51" s="109">
        <f t="shared" si="150"/>
        <v>0</v>
      </c>
      <c r="AJ51" s="456">
        <f t="shared" si="151"/>
        <v>0</v>
      </c>
      <c r="AK51" s="456">
        <f t="shared" si="152"/>
        <v>0</v>
      </c>
      <c r="AL51" s="456">
        <f t="shared" si="153"/>
        <v>113.94</v>
      </c>
      <c r="AM51" s="456">
        <f t="shared" si="228"/>
        <v>113.94</v>
      </c>
      <c r="AN51" s="456">
        <f t="shared" si="229"/>
        <v>22.307369762665569</v>
      </c>
      <c r="AO51" s="456">
        <f t="shared" si="154"/>
        <v>0</v>
      </c>
      <c r="AP51" s="456">
        <f t="shared" si="155"/>
        <v>0</v>
      </c>
      <c r="AQ51" s="456">
        <f t="shared" si="156"/>
        <v>0</v>
      </c>
      <c r="AR51" s="104">
        <f t="shared" si="157"/>
        <v>0</v>
      </c>
      <c r="AS51" s="451">
        <f t="shared" si="158"/>
        <v>0</v>
      </c>
      <c r="AT51" s="104">
        <f t="shared" si="159"/>
        <v>239.44877775416495</v>
      </c>
      <c r="AU51" s="102">
        <f t="shared" si="160"/>
        <v>0</v>
      </c>
      <c r="AV51" s="106">
        <f t="shared" si="161"/>
        <v>11.393999999999998</v>
      </c>
      <c r="AW51" s="104">
        <f t="shared" si="162"/>
        <v>0</v>
      </c>
      <c r="AX51" s="104">
        <f t="shared" si="163"/>
        <v>0</v>
      </c>
      <c r="AY51" s="104">
        <f t="shared" si="164"/>
        <v>1.3</v>
      </c>
      <c r="AZ51" s="104">
        <f t="shared" si="165"/>
        <v>68.918577754164914</v>
      </c>
      <c r="BA51" s="104">
        <f t="shared" si="166"/>
        <v>0</v>
      </c>
      <c r="BB51" s="104">
        <f t="shared" si="167"/>
        <v>11.393999999999998</v>
      </c>
      <c r="BC51" s="104">
        <f t="shared" si="168"/>
        <v>11.393999999999998</v>
      </c>
      <c r="BD51" s="104">
        <f t="shared" si="169"/>
        <v>2.2787999999999999</v>
      </c>
      <c r="BE51" s="104">
        <f t="shared" si="170"/>
        <v>136.34820000000002</v>
      </c>
      <c r="BF51" s="104">
        <f t="shared" si="171"/>
        <v>169.87479200850063</v>
      </c>
      <c r="BG51" s="104">
        <f t="shared" si="172"/>
        <v>136.34820000000002</v>
      </c>
      <c r="BH51" s="104">
        <f t="shared" si="173"/>
        <v>33.526592008500614</v>
      </c>
      <c r="BI51" s="104">
        <f t="shared" si="174"/>
        <v>0</v>
      </c>
      <c r="BJ51" s="104">
        <f t="shared" si="227"/>
        <v>0</v>
      </c>
      <c r="BK51" s="104">
        <f t="shared" si="175"/>
        <v>0</v>
      </c>
      <c r="BL51" s="125"/>
      <c r="BM51" s="104">
        <f t="shared" si="176"/>
        <v>0.45575999999999994</v>
      </c>
      <c r="BN51" s="455">
        <f t="shared" si="177"/>
        <v>0</v>
      </c>
      <c r="BO51" s="457">
        <f t="shared" si="178"/>
        <v>0</v>
      </c>
      <c r="BP51" s="457">
        <f t="shared" si="179"/>
        <v>0</v>
      </c>
      <c r="BQ51" s="457">
        <f t="shared" si="180"/>
        <v>0</v>
      </c>
      <c r="BR51" s="451">
        <f t="shared" si="181"/>
        <v>0</v>
      </c>
      <c r="BS51" s="451">
        <f t="shared" si="182"/>
        <v>0</v>
      </c>
      <c r="BT51" s="451">
        <f t="shared" si="183"/>
        <v>0</v>
      </c>
      <c r="BU51" s="451">
        <f t="shared" si="184"/>
        <v>0</v>
      </c>
      <c r="BV51" s="451">
        <f t="shared" si="185"/>
        <v>0</v>
      </c>
      <c r="BW51" s="451">
        <f t="shared" si="186"/>
        <v>0</v>
      </c>
      <c r="BX51" s="451">
        <f t="shared" si="187"/>
        <v>0</v>
      </c>
      <c r="BY51" s="451">
        <f t="shared" si="188"/>
        <v>0</v>
      </c>
      <c r="BZ51" s="451">
        <f t="shared" si="189"/>
        <v>0</v>
      </c>
      <c r="CA51" s="451">
        <f t="shared" si="190"/>
        <v>0</v>
      </c>
      <c r="CB51" s="451">
        <f t="shared" si="191"/>
        <v>3.5450000000000004</v>
      </c>
      <c r="CC51" s="451">
        <f t="shared" si="192"/>
        <v>0</v>
      </c>
      <c r="CD51" s="451">
        <f t="shared" si="193"/>
        <v>37.979999999999997</v>
      </c>
      <c r="CE51" s="451">
        <f t="shared" si="194"/>
        <v>0</v>
      </c>
      <c r="CF51" s="451">
        <f t="shared" si="195"/>
        <v>0</v>
      </c>
      <c r="CG51" s="451">
        <f t="shared" si="196"/>
        <v>0</v>
      </c>
      <c r="CH51" s="451">
        <f t="shared" si="197"/>
        <v>0</v>
      </c>
      <c r="CI51" s="451">
        <f t="shared" si="198"/>
        <v>0</v>
      </c>
      <c r="CJ51" s="458">
        <f t="shared" si="199"/>
        <v>0</v>
      </c>
      <c r="CK51" s="451">
        <f t="shared" si="200"/>
        <v>0</v>
      </c>
      <c r="CL51" s="451">
        <f t="shared" si="201"/>
        <v>0</v>
      </c>
      <c r="CM51" s="451">
        <f t="shared" si="202"/>
        <v>0</v>
      </c>
      <c r="CN51" s="454">
        <f t="shared" si="203"/>
        <v>0</v>
      </c>
      <c r="CO51" s="454">
        <f t="shared" si="204"/>
        <v>0</v>
      </c>
      <c r="CP51" s="454">
        <f t="shared" si="205"/>
        <v>0</v>
      </c>
      <c r="CQ51" s="454">
        <f t="shared" si="206"/>
        <v>0</v>
      </c>
      <c r="CR51" s="454">
        <f t="shared" si="207"/>
        <v>0</v>
      </c>
      <c r="CS51" s="454">
        <f t="shared" si="208"/>
        <v>0</v>
      </c>
      <c r="CT51" s="459">
        <f t="shared" si="209"/>
        <v>0</v>
      </c>
      <c r="CU51" s="460">
        <f t="shared" si="210"/>
        <v>1</v>
      </c>
      <c r="CV51" s="460">
        <f t="shared" si="211"/>
        <v>0</v>
      </c>
      <c r="CW51" s="460">
        <f t="shared" si="212"/>
        <v>0</v>
      </c>
      <c r="CX51" s="460">
        <f t="shared" si="213"/>
        <v>1</v>
      </c>
      <c r="CY51" s="460">
        <f t="shared" si="214"/>
        <v>0</v>
      </c>
      <c r="CZ51" s="460">
        <f t="shared" si="215"/>
        <v>0</v>
      </c>
      <c r="DA51" s="461">
        <f t="shared" si="216"/>
        <v>1.5</v>
      </c>
      <c r="DB51" s="118">
        <v>1.3</v>
      </c>
      <c r="DC51" s="118">
        <v>1.4</v>
      </c>
      <c r="DD51" s="118">
        <v>2</v>
      </c>
      <c r="DE51" s="118">
        <v>2</v>
      </c>
      <c r="DF51" s="462">
        <v>2</v>
      </c>
      <c r="DG51" s="455">
        <f t="shared" si="217"/>
        <v>0</v>
      </c>
      <c r="DH51" s="463">
        <f t="shared" si="218"/>
        <v>0</v>
      </c>
      <c r="DI51" s="463">
        <f t="shared" si="219"/>
        <v>0</v>
      </c>
      <c r="DJ51" s="463">
        <f t="shared" si="220"/>
        <v>113.94</v>
      </c>
      <c r="DK51" s="463">
        <f t="shared" si="221"/>
        <v>113.94</v>
      </c>
      <c r="DL51" s="463">
        <f t="shared" si="222"/>
        <v>41.398200000000024</v>
      </c>
      <c r="DM51" s="463">
        <f t="shared" si="223"/>
        <v>0</v>
      </c>
      <c r="DN51" s="463">
        <f t="shared" si="224"/>
        <v>0</v>
      </c>
      <c r="DO51" s="463">
        <f t="shared" si="225"/>
        <v>0</v>
      </c>
      <c r="DP51" s="463">
        <f t="shared" si="226"/>
        <v>0</v>
      </c>
      <c r="DQ51" s="445"/>
    </row>
    <row r="52" spans="1:121" ht="26" x14ac:dyDescent="0.25">
      <c r="A52" s="448" t="s">
        <v>2051</v>
      </c>
      <c r="B52" s="257"/>
      <c r="C52" s="101" t="str">
        <f>'Planilha Hidráulica'!B58</f>
        <v>PV10.1-&gt;PV11.1</v>
      </c>
      <c r="D52" s="258">
        <f>'Planilha Hidráulica'!R58</f>
        <v>2.89</v>
      </c>
      <c r="E52" s="258">
        <f>'Planilha Hidráulica'!S58</f>
        <v>2.5</v>
      </c>
      <c r="F52" s="258">
        <f>'Planilha Hidráulica'!K58</f>
        <v>36.020000000000003</v>
      </c>
      <c r="G52" s="101">
        <f>'Planilha Hidráulica'!M58</f>
        <v>1000</v>
      </c>
      <c r="H52" s="449">
        <f t="shared" si="130"/>
        <v>3.0450000000000004</v>
      </c>
      <c r="I52" s="102">
        <f t="shared" si="131"/>
        <v>5.4840450000000009</v>
      </c>
      <c r="J52" s="450">
        <v>0</v>
      </c>
      <c r="K52" s="451">
        <f t="shared" si="132"/>
        <v>2</v>
      </c>
      <c r="L52" s="451">
        <f t="shared" si="133"/>
        <v>2</v>
      </c>
      <c r="M52" s="451">
        <f>'Planilha Hidráulica'!X58</f>
        <v>800</v>
      </c>
      <c r="N52" s="451">
        <f t="shared" si="134"/>
        <v>72.040000000000006</v>
      </c>
      <c r="O52" s="452" t="str">
        <f>'Planilha Hidráulica'!W58</f>
        <v>ASFALTO</v>
      </c>
      <c r="P52" s="452" t="s">
        <v>2052</v>
      </c>
      <c r="Q52" s="452"/>
      <c r="R52" s="452">
        <v>5</v>
      </c>
      <c r="S52" s="452">
        <v>5</v>
      </c>
      <c r="T52" s="451">
        <f t="shared" si="135"/>
        <v>0.15</v>
      </c>
      <c r="U52" s="453">
        <f t="shared" si="136"/>
        <v>18.105626781168699</v>
      </c>
      <c r="V52" s="106">
        <f t="shared" si="137"/>
        <v>201.25617321883135</v>
      </c>
      <c r="W52" s="107">
        <f t="shared" si="138"/>
        <v>0</v>
      </c>
      <c r="X52" s="107">
        <f t="shared" si="139"/>
        <v>0</v>
      </c>
      <c r="Y52" s="454">
        <f t="shared" si="140"/>
        <v>3.0450000000000004</v>
      </c>
      <c r="Z52" s="454">
        <f t="shared" si="141"/>
        <v>0</v>
      </c>
      <c r="AA52" s="455">
        <f t="shared" si="142"/>
        <v>72.040000000000006</v>
      </c>
      <c r="AB52" s="117">
        <f t="shared" si="143"/>
        <v>0</v>
      </c>
      <c r="AC52" s="109">
        <f t="shared" si="144"/>
        <v>0</v>
      </c>
      <c r="AD52" s="109">
        <f t="shared" si="145"/>
        <v>0</v>
      </c>
      <c r="AE52" s="109">
        <f t="shared" si="146"/>
        <v>0</v>
      </c>
      <c r="AF52" s="109">
        <f t="shared" si="147"/>
        <v>0</v>
      </c>
      <c r="AG52" s="109">
        <f t="shared" si="148"/>
        <v>0</v>
      </c>
      <c r="AH52" s="109">
        <f t="shared" si="149"/>
        <v>0</v>
      </c>
      <c r="AI52" s="109">
        <f t="shared" si="150"/>
        <v>0</v>
      </c>
      <c r="AJ52" s="456">
        <f t="shared" si="151"/>
        <v>0</v>
      </c>
      <c r="AK52" s="456">
        <f t="shared" si="152"/>
        <v>0</v>
      </c>
      <c r="AL52" s="456">
        <f t="shared" si="153"/>
        <v>108.06</v>
      </c>
      <c r="AM52" s="456">
        <f t="shared" si="228"/>
        <v>108.06</v>
      </c>
      <c r="AN52" s="456">
        <f t="shared" si="229"/>
        <v>-14.863826781168672</v>
      </c>
      <c r="AO52" s="456">
        <f t="shared" si="154"/>
        <v>0</v>
      </c>
      <c r="AP52" s="456">
        <f t="shared" si="155"/>
        <v>0</v>
      </c>
      <c r="AQ52" s="456">
        <f t="shared" si="156"/>
        <v>0</v>
      </c>
      <c r="AR52" s="104">
        <f t="shared" si="157"/>
        <v>0</v>
      </c>
      <c r="AS52" s="451">
        <f t="shared" si="158"/>
        <v>0</v>
      </c>
      <c r="AT52" s="104">
        <f t="shared" si="159"/>
        <v>191.07175815442395</v>
      </c>
      <c r="AU52" s="102">
        <f t="shared" si="160"/>
        <v>0</v>
      </c>
      <c r="AV52" s="106">
        <f t="shared" si="161"/>
        <v>10.806000000000001</v>
      </c>
      <c r="AW52" s="104">
        <f t="shared" si="162"/>
        <v>0</v>
      </c>
      <c r="AX52" s="104">
        <f t="shared" si="163"/>
        <v>0</v>
      </c>
      <c r="AY52" s="104">
        <f t="shared" si="164"/>
        <v>1.3</v>
      </c>
      <c r="AZ52" s="104">
        <f t="shared" si="165"/>
        <v>65.361958154423931</v>
      </c>
      <c r="BA52" s="104">
        <f t="shared" si="166"/>
        <v>0</v>
      </c>
      <c r="BB52" s="104">
        <f t="shared" si="167"/>
        <v>10.806000000000001</v>
      </c>
      <c r="BC52" s="104">
        <f t="shared" si="168"/>
        <v>10.806000000000001</v>
      </c>
      <c r="BD52" s="104">
        <f t="shared" si="169"/>
        <v>2.1612</v>
      </c>
      <c r="BE52" s="104">
        <f t="shared" si="170"/>
        <v>93.291799999999981</v>
      </c>
      <c r="BF52" s="104">
        <f t="shared" si="171"/>
        <v>125.08821506440738</v>
      </c>
      <c r="BG52" s="104">
        <f t="shared" si="172"/>
        <v>93.291799999999981</v>
      </c>
      <c r="BH52" s="104">
        <f t="shared" si="173"/>
        <v>31.796415064407398</v>
      </c>
      <c r="BI52" s="104">
        <f t="shared" si="174"/>
        <v>0</v>
      </c>
      <c r="BJ52" s="104">
        <f t="shared" si="227"/>
        <v>0</v>
      </c>
      <c r="BK52" s="104">
        <f t="shared" si="175"/>
        <v>0</v>
      </c>
      <c r="BL52" s="125"/>
      <c r="BM52" s="104">
        <f t="shared" si="176"/>
        <v>0.43224000000000007</v>
      </c>
      <c r="BN52" s="455">
        <f t="shared" si="177"/>
        <v>0</v>
      </c>
      <c r="BO52" s="457">
        <f t="shared" si="178"/>
        <v>0</v>
      </c>
      <c r="BP52" s="457">
        <f t="shared" si="179"/>
        <v>0</v>
      </c>
      <c r="BQ52" s="457">
        <f t="shared" si="180"/>
        <v>0</v>
      </c>
      <c r="BR52" s="451">
        <f t="shared" si="181"/>
        <v>0</v>
      </c>
      <c r="BS52" s="451">
        <f t="shared" si="182"/>
        <v>0</v>
      </c>
      <c r="BT52" s="451">
        <f t="shared" si="183"/>
        <v>0</v>
      </c>
      <c r="BU52" s="451">
        <f t="shared" si="184"/>
        <v>0</v>
      </c>
      <c r="BV52" s="451">
        <f t="shared" si="185"/>
        <v>0</v>
      </c>
      <c r="BW52" s="451">
        <f t="shared" si="186"/>
        <v>0</v>
      </c>
      <c r="BX52" s="451">
        <f t="shared" si="187"/>
        <v>0</v>
      </c>
      <c r="BY52" s="451">
        <f t="shared" si="188"/>
        <v>0</v>
      </c>
      <c r="BZ52" s="451">
        <f t="shared" si="189"/>
        <v>0</v>
      </c>
      <c r="CA52" s="451">
        <f t="shared" si="190"/>
        <v>0</v>
      </c>
      <c r="CB52" s="451">
        <f t="shared" si="191"/>
        <v>3.0450000000000004</v>
      </c>
      <c r="CC52" s="451">
        <f t="shared" si="192"/>
        <v>0</v>
      </c>
      <c r="CD52" s="451">
        <f t="shared" si="193"/>
        <v>36.020000000000003</v>
      </c>
      <c r="CE52" s="451">
        <f t="shared" si="194"/>
        <v>0</v>
      </c>
      <c r="CF52" s="451">
        <f t="shared" si="195"/>
        <v>0</v>
      </c>
      <c r="CG52" s="451">
        <f t="shared" si="196"/>
        <v>0</v>
      </c>
      <c r="CH52" s="451">
        <f t="shared" si="197"/>
        <v>0</v>
      </c>
      <c r="CI52" s="451">
        <f t="shared" si="198"/>
        <v>0</v>
      </c>
      <c r="CJ52" s="458">
        <f t="shared" si="199"/>
        <v>0</v>
      </c>
      <c r="CK52" s="451">
        <f t="shared" si="200"/>
        <v>0</v>
      </c>
      <c r="CL52" s="451">
        <f t="shared" si="201"/>
        <v>0</v>
      </c>
      <c r="CM52" s="451">
        <f t="shared" si="202"/>
        <v>0</v>
      </c>
      <c r="CN52" s="454">
        <f t="shared" si="203"/>
        <v>0</v>
      </c>
      <c r="CO52" s="454">
        <f t="shared" si="204"/>
        <v>0</v>
      </c>
      <c r="CP52" s="454">
        <f t="shared" si="205"/>
        <v>0</v>
      </c>
      <c r="CQ52" s="454">
        <f t="shared" si="206"/>
        <v>0</v>
      </c>
      <c r="CR52" s="454">
        <f t="shared" si="207"/>
        <v>0</v>
      </c>
      <c r="CS52" s="454">
        <f t="shared" si="208"/>
        <v>0</v>
      </c>
      <c r="CT52" s="459">
        <f t="shared" si="209"/>
        <v>0</v>
      </c>
      <c r="CU52" s="460">
        <f t="shared" si="210"/>
        <v>1</v>
      </c>
      <c r="CV52" s="460">
        <f t="shared" si="211"/>
        <v>0</v>
      </c>
      <c r="CW52" s="460">
        <f t="shared" si="212"/>
        <v>0</v>
      </c>
      <c r="CX52" s="460">
        <f t="shared" si="213"/>
        <v>1</v>
      </c>
      <c r="CY52" s="460">
        <f t="shared" si="214"/>
        <v>0</v>
      </c>
      <c r="CZ52" s="460">
        <f t="shared" si="215"/>
        <v>0</v>
      </c>
      <c r="DA52" s="461">
        <f t="shared" si="216"/>
        <v>0.89000000000000012</v>
      </c>
      <c r="DB52" s="118">
        <v>1.3</v>
      </c>
      <c r="DC52" s="118">
        <v>1.4</v>
      </c>
      <c r="DD52" s="118">
        <v>2</v>
      </c>
      <c r="DE52" s="118">
        <v>2</v>
      </c>
      <c r="DF52" s="462">
        <v>2</v>
      </c>
      <c r="DG52" s="455">
        <f t="shared" si="217"/>
        <v>0</v>
      </c>
      <c r="DH52" s="463">
        <f t="shared" si="218"/>
        <v>0</v>
      </c>
      <c r="DI52" s="463">
        <f t="shared" si="219"/>
        <v>0</v>
      </c>
      <c r="DJ52" s="463">
        <f t="shared" si="220"/>
        <v>108.06</v>
      </c>
      <c r="DK52" s="463">
        <f t="shared" si="221"/>
        <v>108.06</v>
      </c>
      <c r="DL52" s="463">
        <f t="shared" si="222"/>
        <v>3.2418000000000271</v>
      </c>
      <c r="DM52" s="463">
        <f t="shared" si="223"/>
        <v>0</v>
      </c>
      <c r="DN52" s="463">
        <f t="shared" si="224"/>
        <v>0</v>
      </c>
      <c r="DO52" s="463">
        <f t="shared" si="225"/>
        <v>0</v>
      </c>
      <c r="DP52" s="463">
        <f t="shared" si="226"/>
        <v>0</v>
      </c>
      <c r="DQ52" s="445"/>
    </row>
    <row r="53" spans="1:121" ht="26" x14ac:dyDescent="0.25">
      <c r="A53" s="448" t="s">
        <v>2051</v>
      </c>
      <c r="B53" s="257"/>
      <c r="C53" s="101" t="str">
        <f>'Planilha Hidráulica'!B59</f>
        <v>PV11.1-&gt;PV12.1</v>
      </c>
      <c r="D53" s="258">
        <f>'Planilha Hidráulica'!R59</f>
        <v>3.5</v>
      </c>
      <c r="E53" s="258">
        <f>'Planilha Hidráulica'!S59</f>
        <v>3.54</v>
      </c>
      <c r="F53" s="258">
        <f>'Planilha Hidráulica'!K59</f>
        <v>38</v>
      </c>
      <c r="G53" s="101">
        <f>'Planilha Hidráulica'!M59</f>
        <v>1000</v>
      </c>
      <c r="H53" s="449">
        <f t="shared" si="130"/>
        <v>3.87</v>
      </c>
      <c r="I53" s="102">
        <f t="shared" si="131"/>
        <v>7.3529999999999998</v>
      </c>
      <c r="J53" s="450">
        <v>0</v>
      </c>
      <c r="K53" s="451">
        <f t="shared" si="132"/>
        <v>2</v>
      </c>
      <c r="L53" s="451">
        <f t="shared" si="133"/>
        <v>2</v>
      </c>
      <c r="M53" s="451">
        <f>'Planilha Hidráulica'!X59</f>
        <v>800</v>
      </c>
      <c r="N53" s="451">
        <f t="shared" si="134"/>
        <v>76</v>
      </c>
      <c r="O53" s="452" t="str">
        <f>'Planilha Hidráulica'!W59</f>
        <v>ASFALTO</v>
      </c>
      <c r="P53" s="452" t="s">
        <v>2052</v>
      </c>
      <c r="Q53" s="452"/>
      <c r="R53" s="452">
        <v>5</v>
      </c>
      <c r="S53" s="452">
        <v>5</v>
      </c>
      <c r="T53" s="451">
        <f t="shared" si="135"/>
        <v>0.15</v>
      </c>
      <c r="U53" s="453">
        <f t="shared" si="136"/>
        <v>19.100883333825944</v>
      </c>
      <c r="V53" s="106">
        <f t="shared" si="137"/>
        <v>275.01911666617406</v>
      </c>
      <c r="W53" s="107">
        <f t="shared" si="138"/>
        <v>0</v>
      </c>
      <c r="X53" s="107">
        <f t="shared" si="139"/>
        <v>0</v>
      </c>
      <c r="Y53" s="454">
        <f t="shared" si="140"/>
        <v>3.87</v>
      </c>
      <c r="Z53" s="454">
        <f t="shared" si="141"/>
        <v>0</v>
      </c>
      <c r="AA53" s="455">
        <f t="shared" si="142"/>
        <v>76</v>
      </c>
      <c r="AB53" s="117">
        <f t="shared" si="143"/>
        <v>0</v>
      </c>
      <c r="AC53" s="109">
        <f t="shared" si="144"/>
        <v>0</v>
      </c>
      <c r="AD53" s="109">
        <f t="shared" si="145"/>
        <v>0</v>
      </c>
      <c r="AE53" s="109">
        <f t="shared" si="146"/>
        <v>0</v>
      </c>
      <c r="AF53" s="109">
        <f t="shared" si="147"/>
        <v>0</v>
      </c>
      <c r="AG53" s="109">
        <f t="shared" si="148"/>
        <v>0</v>
      </c>
      <c r="AH53" s="109">
        <f t="shared" si="149"/>
        <v>0</v>
      </c>
      <c r="AI53" s="109">
        <f t="shared" si="150"/>
        <v>0</v>
      </c>
      <c r="AJ53" s="456">
        <f t="shared" si="151"/>
        <v>0</v>
      </c>
      <c r="AK53" s="456">
        <f t="shared" si="152"/>
        <v>0</v>
      </c>
      <c r="AL53" s="456">
        <f t="shared" si="153"/>
        <v>114</v>
      </c>
      <c r="AM53" s="456">
        <f t="shared" si="228"/>
        <v>114</v>
      </c>
      <c r="AN53" s="456">
        <f t="shared" si="229"/>
        <v>47.019116666174057</v>
      </c>
      <c r="AO53" s="456">
        <f t="shared" si="154"/>
        <v>0</v>
      </c>
      <c r="AP53" s="456">
        <f t="shared" si="155"/>
        <v>0</v>
      </c>
      <c r="AQ53" s="456">
        <f t="shared" si="156"/>
        <v>0</v>
      </c>
      <c r="AR53" s="104">
        <f t="shared" si="157"/>
        <v>0</v>
      </c>
      <c r="AS53" s="451">
        <f t="shared" si="158"/>
        <v>0</v>
      </c>
      <c r="AT53" s="104">
        <f t="shared" si="159"/>
        <v>264.27486979089696</v>
      </c>
      <c r="AU53" s="102">
        <f t="shared" si="160"/>
        <v>0</v>
      </c>
      <c r="AV53" s="106">
        <f t="shared" si="161"/>
        <v>11.4</v>
      </c>
      <c r="AW53" s="104">
        <f t="shared" si="162"/>
        <v>0</v>
      </c>
      <c r="AX53" s="104">
        <f t="shared" si="163"/>
        <v>0</v>
      </c>
      <c r="AY53" s="104">
        <f t="shared" si="164"/>
        <v>1.3</v>
      </c>
      <c r="AZ53" s="104">
        <f t="shared" si="165"/>
        <v>68.954869790896964</v>
      </c>
      <c r="BA53" s="104">
        <f t="shared" si="166"/>
        <v>0</v>
      </c>
      <c r="BB53" s="104">
        <f t="shared" si="167"/>
        <v>11.4</v>
      </c>
      <c r="BC53" s="104">
        <f t="shared" si="168"/>
        <v>11.4</v>
      </c>
      <c r="BD53" s="104">
        <f t="shared" si="169"/>
        <v>2.2799999999999998</v>
      </c>
      <c r="BE53" s="104">
        <f t="shared" si="170"/>
        <v>161.11999999999998</v>
      </c>
      <c r="BF53" s="104">
        <f t="shared" si="171"/>
        <v>194.66424687527712</v>
      </c>
      <c r="BG53" s="104">
        <f t="shared" si="172"/>
        <v>161.11999999999998</v>
      </c>
      <c r="BH53" s="104">
        <f t="shared" si="173"/>
        <v>33.544246875277139</v>
      </c>
      <c r="BI53" s="104">
        <f t="shared" si="174"/>
        <v>0</v>
      </c>
      <c r="BJ53" s="104">
        <f t="shared" si="227"/>
        <v>0</v>
      </c>
      <c r="BK53" s="104">
        <f t="shared" si="175"/>
        <v>0</v>
      </c>
      <c r="BL53" s="125"/>
      <c r="BM53" s="104">
        <f t="shared" si="176"/>
        <v>0.45600000000000002</v>
      </c>
      <c r="BN53" s="455">
        <f t="shared" si="177"/>
        <v>0</v>
      </c>
      <c r="BO53" s="457">
        <f t="shared" si="178"/>
        <v>0</v>
      </c>
      <c r="BP53" s="457">
        <f t="shared" si="179"/>
        <v>0</v>
      </c>
      <c r="BQ53" s="457">
        <f t="shared" si="180"/>
        <v>0</v>
      </c>
      <c r="BR53" s="451">
        <f t="shared" si="181"/>
        <v>0</v>
      </c>
      <c r="BS53" s="451">
        <f t="shared" si="182"/>
        <v>0</v>
      </c>
      <c r="BT53" s="451">
        <f t="shared" si="183"/>
        <v>0</v>
      </c>
      <c r="BU53" s="451">
        <f t="shared" si="184"/>
        <v>0</v>
      </c>
      <c r="BV53" s="451">
        <f t="shared" si="185"/>
        <v>0</v>
      </c>
      <c r="BW53" s="451">
        <f t="shared" si="186"/>
        <v>0</v>
      </c>
      <c r="BX53" s="451">
        <f t="shared" si="187"/>
        <v>0</v>
      </c>
      <c r="BY53" s="451">
        <f t="shared" si="188"/>
        <v>0</v>
      </c>
      <c r="BZ53" s="451">
        <f t="shared" si="189"/>
        <v>0</v>
      </c>
      <c r="CA53" s="451">
        <f t="shared" si="190"/>
        <v>0</v>
      </c>
      <c r="CB53" s="451">
        <f t="shared" si="191"/>
        <v>3.87</v>
      </c>
      <c r="CC53" s="451">
        <f t="shared" si="192"/>
        <v>0</v>
      </c>
      <c r="CD53" s="451">
        <f t="shared" si="193"/>
        <v>38</v>
      </c>
      <c r="CE53" s="451">
        <f t="shared" si="194"/>
        <v>0</v>
      </c>
      <c r="CF53" s="451">
        <f t="shared" si="195"/>
        <v>0</v>
      </c>
      <c r="CG53" s="451">
        <f t="shared" si="196"/>
        <v>0</v>
      </c>
      <c r="CH53" s="451">
        <f t="shared" si="197"/>
        <v>0</v>
      </c>
      <c r="CI53" s="451">
        <f t="shared" si="198"/>
        <v>0</v>
      </c>
      <c r="CJ53" s="458">
        <f t="shared" si="199"/>
        <v>0</v>
      </c>
      <c r="CK53" s="451">
        <f t="shared" si="200"/>
        <v>0</v>
      </c>
      <c r="CL53" s="451">
        <f t="shared" si="201"/>
        <v>0</v>
      </c>
      <c r="CM53" s="451">
        <f t="shared" si="202"/>
        <v>0</v>
      </c>
      <c r="CN53" s="454">
        <f t="shared" si="203"/>
        <v>0</v>
      </c>
      <c r="CO53" s="454">
        <f t="shared" si="204"/>
        <v>0</v>
      </c>
      <c r="CP53" s="454">
        <f t="shared" si="205"/>
        <v>0</v>
      </c>
      <c r="CQ53" s="454">
        <f t="shared" si="206"/>
        <v>0</v>
      </c>
      <c r="CR53" s="454">
        <f t="shared" si="207"/>
        <v>0</v>
      </c>
      <c r="CS53" s="454">
        <f t="shared" si="208"/>
        <v>0</v>
      </c>
      <c r="CT53" s="459">
        <f t="shared" si="209"/>
        <v>0</v>
      </c>
      <c r="CU53" s="460">
        <f t="shared" si="210"/>
        <v>1</v>
      </c>
      <c r="CV53" s="460">
        <f t="shared" si="211"/>
        <v>0</v>
      </c>
      <c r="CW53" s="460">
        <f t="shared" si="212"/>
        <v>0</v>
      </c>
      <c r="CX53" s="460">
        <f t="shared" si="213"/>
        <v>1</v>
      </c>
      <c r="CY53" s="460">
        <f t="shared" si="214"/>
        <v>0</v>
      </c>
      <c r="CZ53" s="460">
        <f t="shared" si="215"/>
        <v>0</v>
      </c>
      <c r="DA53" s="461">
        <f t="shared" si="216"/>
        <v>1.5</v>
      </c>
      <c r="DB53" s="118">
        <v>1.3</v>
      </c>
      <c r="DC53" s="118">
        <v>1.4</v>
      </c>
      <c r="DD53" s="118">
        <v>2</v>
      </c>
      <c r="DE53" s="118">
        <v>2</v>
      </c>
      <c r="DF53" s="462">
        <v>2</v>
      </c>
      <c r="DG53" s="455">
        <f t="shared" si="217"/>
        <v>0</v>
      </c>
      <c r="DH53" s="463">
        <f t="shared" si="218"/>
        <v>0</v>
      </c>
      <c r="DI53" s="463">
        <f t="shared" si="219"/>
        <v>0</v>
      </c>
      <c r="DJ53" s="463">
        <f t="shared" si="220"/>
        <v>114</v>
      </c>
      <c r="DK53" s="463">
        <f t="shared" si="221"/>
        <v>114</v>
      </c>
      <c r="DL53" s="463">
        <f t="shared" si="222"/>
        <v>66.12</v>
      </c>
      <c r="DM53" s="463">
        <f t="shared" si="223"/>
        <v>0</v>
      </c>
      <c r="DN53" s="463">
        <f t="shared" si="224"/>
        <v>0</v>
      </c>
      <c r="DO53" s="463">
        <f t="shared" si="225"/>
        <v>0</v>
      </c>
      <c r="DP53" s="463">
        <f t="shared" si="226"/>
        <v>0</v>
      </c>
      <c r="DQ53" s="445"/>
    </row>
    <row r="54" spans="1:121" ht="26" x14ac:dyDescent="0.25">
      <c r="A54" s="448" t="s">
        <v>2051</v>
      </c>
      <c r="B54" s="257"/>
      <c r="C54" s="101" t="str">
        <f>'Planilha Hidráulica'!B60</f>
        <v>PV12.1-&gt;PV13.1</v>
      </c>
      <c r="D54" s="258">
        <f>'Planilha Hidráulica'!R60</f>
        <v>3.54</v>
      </c>
      <c r="E54" s="258">
        <f>'Planilha Hidráulica'!S60</f>
        <v>3.5</v>
      </c>
      <c r="F54" s="258">
        <f>'Planilha Hidráulica'!K60</f>
        <v>33</v>
      </c>
      <c r="G54" s="101">
        <f>'Planilha Hidráulica'!M60</f>
        <v>1000</v>
      </c>
      <c r="H54" s="449">
        <f t="shared" si="130"/>
        <v>3.87</v>
      </c>
      <c r="I54" s="102">
        <f t="shared" si="131"/>
        <v>6.3855000000000004</v>
      </c>
      <c r="J54" s="450">
        <v>0</v>
      </c>
      <c r="K54" s="451">
        <f t="shared" si="132"/>
        <v>2</v>
      </c>
      <c r="L54" s="451">
        <f t="shared" si="133"/>
        <v>2</v>
      </c>
      <c r="M54" s="451">
        <f>'Planilha Hidráulica'!X60</f>
        <v>800</v>
      </c>
      <c r="N54" s="451">
        <f t="shared" si="134"/>
        <v>66</v>
      </c>
      <c r="O54" s="452" t="str">
        <f>'Planilha Hidráulica'!W60</f>
        <v>ASFALTO</v>
      </c>
      <c r="P54" s="452" t="s">
        <v>2052</v>
      </c>
      <c r="Q54" s="452"/>
      <c r="R54" s="452">
        <v>5</v>
      </c>
      <c r="S54" s="452">
        <v>5</v>
      </c>
      <c r="T54" s="451">
        <f t="shared" si="135"/>
        <v>0.15</v>
      </c>
      <c r="U54" s="453">
        <f t="shared" si="136"/>
        <v>16.58760921095411</v>
      </c>
      <c r="V54" s="106">
        <f t="shared" si="137"/>
        <v>238.83239078904592</v>
      </c>
      <c r="W54" s="107">
        <f t="shared" si="138"/>
        <v>0</v>
      </c>
      <c r="X54" s="107">
        <f t="shared" si="139"/>
        <v>0</v>
      </c>
      <c r="Y54" s="454">
        <f t="shared" si="140"/>
        <v>3.87</v>
      </c>
      <c r="Z54" s="454">
        <f t="shared" si="141"/>
        <v>0</v>
      </c>
      <c r="AA54" s="455">
        <f t="shared" si="142"/>
        <v>66</v>
      </c>
      <c r="AB54" s="117">
        <f t="shared" si="143"/>
        <v>0</v>
      </c>
      <c r="AC54" s="109">
        <f t="shared" si="144"/>
        <v>0</v>
      </c>
      <c r="AD54" s="109">
        <f t="shared" si="145"/>
        <v>0</v>
      </c>
      <c r="AE54" s="109">
        <f t="shared" si="146"/>
        <v>0</v>
      </c>
      <c r="AF54" s="109">
        <f t="shared" si="147"/>
        <v>0</v>
      </c>
      <c r="AG54" s="109">
        <f t="shared" si="148"/>
        <v>0</v>
      </c>
      <c r="AH54" s="109">
        <f t="shared" si="149"/>
        <v>0</v>
      </c>
      <c r="AI54" s="109">
        <f t="shared" si="150"/>
        <v>0</v>
      </c>
      <c r="AJ54" s="456">
        <f t="shared" si="151"/>
        <v>0</v>
      </c>
      <c r="AK54" s="456">
        <f t="shared" si="152"/>
        <v>0</v>
      </c>
      <c r="AL54" s="456">
        <f t="shared" si="153"/>
        <v>99</v>
      </c>
      <c r="AM54" s="456">
        <f t="shared" si="228"/>
        <v>99</v>
      </c>
      <c r="AN54" s="456">
        <f t="shared" si="229"/>
        <v>40.832390789045903</v>
      </c>
      <c r="AO54" s="456">
        <f t="shared" si="154"/>
        <v>0</v>
      </c>
      <c r="AP54" s="456">
        <f t="shared" si="155"/>
        <v>0</v>
      </c>
      <c r="AQ54" s="456">
        <f t="shared" si="156"/>
        <v>0</v>
      </c>
      <c r="AR54" s="104">
        <f t="shared" si="157"/>
        <v>0</v>
      </c>
      <c r="AS54" s="451">
        <f t="shared" si="158"/>
        <v>0</v>
      </c>
      <c r="AT54" s="104">
        <f t="shared" si="159"/>
        <v>229.50186060788423</v>
      </c>
      <c r="AU54" s="102">
        <f t="shared" si="160"/>
        <v>0</v>
      </c>
      <c r="AV54" s="106">
        <f t="shared" si="161"/>
        <v>9.9</v>
      </c>
      <c r="AW54" s="104">
        <f t="shared" si="162"/>
        <v>0</v>
      </c>
      <c r="AX54" s="104">
        <f t="shared" si="163"/>
        <v>0</v>
      </c>
      <c r="AY54" s="104">
        <f t="shared" si="164"/>
        <v>1.3</v>
      </c>
      <c r="AZ54" s="104">
        <f t="shared" si="165"/>
        <v>59.881860607884207</v>
      </c>
      <c r="BA54" s="104">
        <f t="shared" si="166"/>
        <v>0</v>
      </c>
      <c r="BB54" s="104">
        <f t="shared" si="167"/>
        <v>9.9</v>
      </c>
      <c r="BC54" s="104">
        <f t="shared" si="168"/>
        <v>9.9</v>
      </c>
      <c r="BD54" s="104">
        <f t="shared" si="169"/>
        <v>1.98</v>
      </c>
      <c r="BE54" s="104">
        <f t="shared" si="170"/>
        <v>139.92000000000002</v>
      </c>
      <c r="BF54" s="104">
        <f t="shared" si="171"/>
        <v>169.05053018116172</v>
      </c>
      <c r="BG54" s="104">
        <f t="shared" si="172"/>
        <v>139.92000000000002</v>
      </c>
      <c r="BH54" s="104">
        <f t="shared" si="173"/>
        <v>29.130530181161703</v>
      </c>
      <c r="BI54" s="104">
        <f t="shared" si="174"/>
        <v>0</v>
      </c>
      <c r="BJ54" s="104">
        <f t="shared" si="227"/>
        <v>0</v>
      </c>
      <c r="BK54" s="104">
        <f t="shared" si="175"/>
        <v>0</v>
      </c>
      <c r="BL54" s="125"/>
      <c r="BM54" s="104">
        <f t="shared" si="176"/>
        <v>0.39600000000000002</v>
      </c>
      <c r="BN54" s="455">
        <f t="shared" si="177"/>
        <v>0</v>
      </c>
      <c r="BO54" s="457">
        <f t="shared" si="178"/>
        <v>0</v>
      </c>
      <c r="BP54" s="457">
        <f t="shared" si="179"/>
        <v>0</v>
      </c>
      <c r="BQ54" s="457">
        <f t="shared" si="180"/>
        <v>0</v>
      </c>
      <c r="BR54" s="451">
        <f t="shared" si="181"/>
        <v>0</v>
      </c>
      <c r="BS54" s="451">
        <f t="shared" si="182"/>
        <v>0</v>
      </c>
      <c r="BT54" s="451">
        <f t="shared" si="183"/>
        <v>0</v>
      </c>
      <c r="BU54" s="451">
        <f t="shared" si="184"/>
        <v>0</v>
      </c>
      <c r="BV54" s="451">
        <f t="shared" si="185"/>
        <v>0</v>
      </c>
      <c r="BW54" s="451">
        <f t="shared" si="186"/>
        <v>0</v>
      </c>
      <c r="BX54" s="451">
        <f t="shared" si="187"/>
        <v>0</v>
      </c>
      <c r="BY54" s="451">
        <f t="shared" si="188"/>
        <v>0</v>
      </c>
      <c r="BZ54" s="451">
        <f t="shared" si="189"/>
        <v>0</v>
      </c>
      <c r="CA54" s="451">
        <f t="shared" si="190"/>
        <v>0</v>
      </c>
      <c r="CB54" s="451">
        <f t="shared" si="191"/>
        <v>3.87</v>
      </c>
      <c r="CC54" s="451">
        <f t="shared" si="192"/>
        <v>0</v>
      </c>
      <c r="CD54" s="451">
        <f t="shared" si="193"/>
        <v>33</v>
      </c>
      <c r="CE54" s="451">
        <f t="shared" si="194"/>
        <v>0</v>
      </c>
      <c r="CF54" s="451">
        <f t="shared" si="195"/>
        <v>0</v>
      </c>
      <c r="CG54" s="451">
        <f t="shared" si="196"/>
        <v>0</v>
      </c>
      <c r="CH54" s="451">
        <f t="shared" si="197"/>
        <v>0</v>
      </c>
      <c r="CI54" s="451">
        <f t="shared" si="198"/>
        <v>0</v>
      </c>
      <c r="CJ54" s="458">
        <f t="shared" si="199"/>
        <v>0</v>
      </c>
      <c r="CK54" s="451">
        <f t="shared" si="200"/>
        <v>0</v>
      </c>
      <c r="CL54" s="451">
        <f t="shared" si="201"/>
        <v>0</v>
      </c>
      <c r="CM54" s="451">
        <f t="shared" si="202"/>
        <v>0</v>
      </c>
      <c r="CN54" s="454">
        <f t="shared" si="203"/>
        <v>0</v>
      </c>
      <c r="CO54" s="454">
        <f t="shared" si="204"/>
        <v>0</v>
      </c>
      <c r="CP54" s="454">
        <f t="shared" si="205"/>
        <v>0</v>
      </c>
      <c r="CQ54" s="454">
        <f t="shared" si="206"/>
        <v>0</v>
      </c>
      <c r="CR54" s="454">
        <f t="shared" si="207"/>
        <v>0</v>
      </c>
      <c r="CS54" s="454">
        <f t="shared" si="208"/>
        <v>0</v>
      </c>
      <c r="CT54" s="459">
        <f t="shared" si="209"/>
        <v>0</v>
      </c>
      <c r="CU54" s="460">
        <f t="shared" si="210"/>
        <v>1</v>
      </c>
      <c r="CV54" s="460">
        <f t="shared" si="211"/>
        <v>0</v>
      </c>
      <c r="CW54" s="460">
        <f t="shared" si="212"/>
        <v>0</v>
      </c>
      <c r="CX54" s="460">
        <f t="shared" si="213"/>
        <v>1</v>
      </c>
      <c r="CY54" s="460">
        <f t="shared" si="214"/>
        <v>0</v>
      </c>
      <c r="CZ54" s="460">
        <f t="shared" si="215"/>
        <v>0</v>
      </c>
      <c r="DA54" s="461">
        <f t="shared" si="216"/>
        <v>1.54</v>
      </c>
      <c r="DB54" s="118">
        <v>1.3</v>
      </c>
      <c r="DC54" s="118">
        <v>1.4</v>
      </c>
      <c r="DD54" s="118">
        <v>2</v>
      </c>
      <c r="DE54" s="118">
        <v>2</v>
      </c>
      <c r="DF54" s="462">
        <v>2</v>
      </c>
      <c r="DG54" s="455">
        <f t="shared" si="217"/>
        <v>0</v>
      </c>
      <c r="DH54" s="463">
        <f t="shared" si="218"/>
        <v>0</v>
      </c>
      <c r="DI54" s="463">
        <f t="shared" si="219"/>
        <v>0</v>
      </c>
      <c r="DJ54" s="463">
        <f t="shared" si="220"/>
        <v>99</v>
      </c>
      <c r="DK54" s="463">
        <f t="shared" si="221"/>
        <v>99</v>
      </c>
      <c r="DL54" s="463">
        <f t="shared" si="222"/>
        <v>57.420000000000009</v>
      </c>
      <c r="DM54" s="463">
        <f t="shared" si="223"/>
        <v>0</v>
      </c>
      <c r="DN54" s="463">
        <f t="shared" si="224"/>
        <v>0</v>
      </c>
      <c r="DO54" s="463">
        <f t="shared" si="225"/>
        <v>0</v>
      </c>
      <c r="DP54" s="463">
        <f t="shared" si="226"/>
        <v>0</v>
      </c>
      <c r="DQ54" s="445"/>
    </row>
    <row r="55" spans="1:121" ht="26" x14ac:dyDescent="0.25">
      <c r="A55" s="448" t="s">
        <v>2051</v>
      </c>
      <c r="B55" s="257"/>
      <c r="C55" s="101" t="str">
        <f>'Planilha Hidráulica'!B61</f>
        <v>PV13.1-&gt;PV14.1</v>
      </c>
      <c r="D55" s="258">
        <f>'Planilha Hidráulica'!R61</f>
        <v>3.5</v>
      </c>
      <c r="E55" s="258">
        <f>'Planilha Hidráulica'!S61</f>
        <v>3.1</v>
      </c>
      <c r="F55" s="258">
        <f>'Planilha Hidráulica'!K61</f>
        <v>51</v>
      </c>
      <c r="G55" s="101">
        <f>'Planilha Hidráulica'!M61</f>
        <v>1000</v>
      </c>
      <c r="H55" s="449">
        <f t="shared" si="130"/>
        <v>3.65</v>
      </c>
      <c r="I55" s="102">
        <f t="shared" si="131"/>
        <v>9.307500000000001</v>
      </c>
      <c r="J55" s="450">
        <v>0</v>
      </c>
      <c r="K55" s="451">
        <f t="shared" si="132"/>
        <v>2</v>
      </c>
      <c r="L55" s="451">
        <f t="shared" si="133"/>
        <v>2</v>
      </c>
      <c r="M55" s="451">
        <f>'Planilha Hidráulica'!X61</f>
        <v>800</v>
      </c>
      <c r="N55" s="451">
        <f t="shared" si="134"/>
        <v>102</v>
      </c>
      <c r="O55" s="452" t="str">
        <f>'Planilha Hidráulica'!W61</f>
        <v>ASFALTO</v>
      </c>
      <c r="P55" s="452" t="s">
        <v>2053</v>
      </c>
      <c r="Q55" s="452"/>
      <c r="R55" s="452">
        <v>3.5</v>
      </c>
      <c r="S55" s="452">
        <v>5</v>
      </c>
      <c r="T55" s="451">
        <f t="shared" si="135"/>
        <v>0.15</v>
      </c>
      <c r="U55" s="453">
        <f t="shared" si="136"/>
        <v>25.635396053292713</v>
      </c>
      <c r="V55" s="106">
        <f t="shared" si="137"/>
        <v>346.6646039467073</v>
      </c>
      <c r="W55" s="107">
        <f t="shared" si="138"/>
        <v>0</v>
      </c>
      <c r="X55" s="107">
        <f t="shared" si="139"/>
        <v>0</v>
      </c>
      <c r="Y55" s="454">
        <f t="shared" si="140"/>
        <v>3.5</v>
      </c>
      <c r="Z55" s="454">
        <f t="shared" si="141"/>
        <v>0.14999999999999991</v>
      </c>
      <c r="AA55" s="455">
        <f t="shared" si="142"/>
        <v>102</v>
      </c>
      <c r="AB55" s="117">
        <f t="shared" si="143"/>
        <v>0</v>
      </c>
      <c r="AC55" s="109">
        <f t="shared" si="144"/>
        <v>0</v>
      </c>
      <c r="AD55" s="109">
        <f t="shared" si="145"/>
        <v>0</v>
      </c>
      <c r="AE55" s="109">
        <f t="shared" si="146"/>
        <v>0</v>
      </c>
      <c r="AF55" s="109">
        <f t="shared" si="147"/>
        <v>0</v>
      </c>
      <c r="AG55" s="109">
        <f t="shared" si="148"/>
        <v>0</v>
      </c>
      <c r="AH55" s="109">
        <f t="shared" si="149"/>
        <v>0</v>
      </c>
      <c r="AI55" s="109">
        <f t="shared" si="150"/>
        <v>0</v>
      </c>
      <c r="AJ55" s="456">
        <f t="shared" si="151"/>
        <v>0</v>
      </c>
      <c r="AK55" s="456">
        <f t="shared" si="152"/>
        <v>0</v>
      </c>
      <c r="AL55" s="456">
        <f t="shared" si="153"/>
        <v>153</v>
      </c>
      <c r="AM55" s="456">
        <f t="shared" si="228"/>
        <v>153</v>
      </c>
      <c r="AN55" s="456">
        <f>IF(IF(K55&lt;=2.5,IF(Y55&gt;=4.5,L55*F55*1.5,K55*F55*(Y55-3)),0)&lt;0,0,IF(K55&lt;=2.5,IF(Y55&gt;=4.5,L55*F55*1.5,K55*F55*(Y55-3)),0))-10.34</f>
        <v>40.659999999999997</v>
      </c>
      <c r="AO55" s="456">
        <f t="shared" si="154"/>
        <v>0</v>
      </c>
      <c r="AP55" s="456">
        <f t="shared" si="155"/>
        <v>0</v>
      </c>
      <c r="AQ55" s="456">
        <f t="shared" si="156"/>
        <v>0</v>
      </c>
      <c r="AR55" s="104">
        <f t="shared" si="157"/>
        <v>0</v>
      </c>
      <c r="AS55" s="451">
        <f t="shared" si="158"/>
        <v>0</v>
      </c>
      <c r="AT55" s="104">
        <f t="shared" si="159"/>
        <v>332.24469366673014</v>
      </c>
      <c r="AU55" s="102">
        <f t="shared" si="160"/>
        <v>0</v>
      </c>
      <c r="AV55" s="106">
        <f t="shared" si="161"/>
        <v>15.299999999999999</v>
      </c>
      <c r="AW55" s="104">
        <f t="shared" si="162"/>
        <v>0</v>
      </c>
      <c r="AX55" s="104">
        <f t="shared" si="163"/>
        <v>0</v>
      </c>
      <c r="AY55" s="104">
        <f t="shared" si="164"/>
        <v>1.3</v>
      </c>
      <c r="AZ55" s="104">
        <f t="shared" si="165"/>
        <v>92.544693666730126</v>
      </c>
      <c r="BA55" s="104">
        <f t="shared" si="166"/>
        <v>0</v>
      </c>
      <c r="BB55" s="104">
        <f t="shared" si="167"/>
        <v>15.299999999999999</v>
      </c>
      <c r="BC55" s="104">
        <f t="shared" si="168"/>
        <v>15.299999999999999</v>
      </c>
      <c r="BD55" s="104">
        <f t="shared" si="169"/>
        <v>3.06</v>
      </c>
      <c r="BE55" s="104">
        <f t="shared" si="170"/>
        <v>193.79999999999998</v>
      </c>
      <c r="BF55" s="104">
        <f t="shared" si="171"/>
        <v>238.81530633326983</v>
      </c>
      <c r="BG55" s="104">
        <f t="shared" si="172"/>
        <v>193.79999999999998</v>
      </c>
      <c r="BH55" s="104">
        <f t="shared" si="173"/>
        <v>45.015306333269848</v>
      </c>
      <c r="BI55" s="104">
        <f t="shared" si="174"/>
        <v>0</v>
      </c>
      <c r="BJ55" s="104">
        <f t="shared" si="227"/>
        <v>0</v>
      </c>
      <c r="BK55" s="104">
        <f t="shared" si="175"/>
        <v>0</v>
      </c>
      <c r="BL55" s="125"/>
      <c r="BM55" s="104">
        <f t="shared" si="176"/>
        <v>0.61199999999999999</v>
      </c>
      <c r="BN55" s="455">
        <f t="shared" si="177"/>
        <v>0</v>
      </c>
      <c r="BO55" s="457">
        <f t="shared" si="178"/>
        <v>0</v>
      </c>
      <c r="BP55" s="457">
        <f t="shared" si="179"/>
        <v>0</v>
      </c>
      <c r="BQ55" s="457">
        <f t="shared" si="180"/>
        <v>0</v>
      </c>
      <c r="BR55" s="451">
        <f t="shared" si="181"/>
        <v>0</v>
      </c>
      <c r="BS55" s="451">
        <f t="shared" si="182"/>
        <v>0</v>
      </c>
      <c r="BT55" s="451">
        <f t="shared" si="183"/>
        <v>0</v>
      </c>
      <c r="BU55" s="451">
        <f t="shared" si="184"/>
        <v>0</v>
      </c>
      <c r="BV55" s="451">
        <f t="shared" si="185"/>
        <v>0</v>
      </c>
      <c r="BW55" s="451">
        <f t="shared" si="186"/>
        <v>0</v>
      </c>
      <c r="BX55" s="451">
        <f t="shared" si="187"/>
        <v>0</v>
      </c>
      <c r="BY55" s="451">
        <f t="shared" si="188"/>
        <v>0</v>
      </c>
      <c r="BZ55" s="451">
        <f t="shared" si="189"/>
        <v>0</v>
      </c>
      <c r="CA55" s="451">
        <f t="shared" si="190"/>
        <v>0</v>
      </c>
      <c r="CB55" s="451">
        <f t="shared" si="191"/>
        <v>3.65</v>
      </c>
      <c r="CC55" s="451">
        <f t="shared" si="192"/>
        <v>0</v>
      </c>
      <c r="CD55" s="451">
        <f t="shared" si="193"/>
        <v>51</v>
      </c>
      <c r="CE55" s="451">
        <f t="shared" si="194"/>
        <v>0</v>
      </c>
      <c r="CF55" s="451">
        <f t="shared" si="195"/>
        <v>0</v>
      </c>
      <c r="CG55" s="451">
        <f t="shared" si="196"/>
        <v>0</v>
      </c>
      <c r="CH55" s="451">
        <f t="shared" si="197"/>
        <v>0</v>
      </c>
      <c r="CI55" s="451">
        <f t="shared" si="198"/>
        <v>0</v>
      </c>
      <c r="CJ55" s="458">
        <f t="shared" si="199"/>
        <v>0</v>
      </c>
      <c r="CK55" s="451">
        <f t="shared" si="200"/>
        <v>0</v>
      </c>
      <c r="CL55" s="451">
        <f t="shared" si="201"/>
        <v>0</v>
      </c>
      <c r="CM55" s="451">
        <f t="shared" si="202"/>
        <v>0</v>
      </c>
      <c r="CN55" s="454">
        <f t="shared" si="203"/>
        <v>0</v>
      </c>
      <c r="CO55" s="454">
        <f t="shared" si="204"/>
        <v>0</v>
      </c>
      <c r="CP55" s="454">
        <f t="shared" si="205"/>
        <v>0</v>
      </c>
      <c r="CQ55" s="454">
        <f t="shared" si="206"/>
        <v>0</v>
      </c>
      <c r="CR55" s="454">
        <f t="shared" si="207"/>
        <v>0</v>
      </c>
      <c r="CS55" s="454">
        <f t="shared" si="208"/>
        <v>0</v>
      </c>
      <c r="CT55" s="459">
        <f t="shared" si="209"/>
        <v>0</v>
      </c>
      <c r="CU55" s="460">
        <f t="shared" si="210"/>
        <v>1</v>
      </c>
      <c r="CV55" s="460">
        <f t="shared" si="211"/>
        <v>0</v>
      </c>
      <c r="CW55" s="460">
        <f t="shared" si="212"/>
        <v>0</v>
      </c>
      <c r="CX55" s="460">
        <f t="shared" si="213"/>
        <v>1</v>
      </c>
      <c r="CY55" s="460">
        <f t="shared" si="214"/>
        <v>0</v>
      </c>
      <c r="CZ55" s="460">
        <f t="shared" si="215"/>
        <v>0</v>
      </c>
      <c r="DA55" s="461">
        <f t="shared" si="216"/>
        <v>1.5</v>
      </c>
      <c r="DB55" s="118">
        <v>1.3</v>
      </c>
      <c r="DC55" s="118">
        <v>1.4</v>
      </c>
      <c r="DD55" s="118">
        <v>2</v>
      </c>
      <c r="DE55" s="118">
        <v>2</v>
      </c>
      <c r="DF55" s="462">
        <v>2</v>
      </c>
      <c r="DG55" s="455">
        <f t="shared" si="217"/>
        <v>0</v>
      </c>
      <c r="DH55" s="463">
        <f t="shared" si="218"/>
        <v>0</v>
      </c>
      <c r="DI55" s="463">
        <f t="shared" si="219"/>
        <v>0</v>
      </c>
      <c r="DJ55" s="463">
        <f t="shared" si="220"/>
        <v>153</v>
      </c>
      <c r="DK55" s="463">
        <f t="shared" si="221"/>
        <v>153</v>
      </c>
      <c r="DL55" s="463">
        <f t="shared" si="222"/>
        <v>66.3</v>
      </c>
      <c r="DM55" s="463">
        <f t="shared" si="223"/>
        <v>0</v>
      </c>
      <c r="DN55" s="463">
        <f t="shared" si="224"/>
        <v>0</v>
      </c>
      <c r="DO55" s="463">
        <f t="shared" si="225"/>
        <v>0</v>
      </c>
      <c r="DP55" s="463">
        <f t="shared" si="226"/>
        <v>0</v>
      </c>
      <c r="DQ55" s="445"/>
    </row>
    <row r="56" spans="1:121" ht="26" x14ac:dyDescent="0.25">
      <c r="A56" s="448" t="s">
        <v>2051</v>
      </c>
      <c r="B56" s="257"/>
      <c r="C56" s="101" t="str">
        <f>'Planilha Hidráulica'!B62</f>
        <v>PV14.1-&gt;PV15.1</v>
      </c>
      <c r="D56" s="258">
        <f>'Planilha Hidráulica'!R62</f>
        <v>3.1</v>
      </c>
      <c r="E56" s="258">
        <f>'Planilha Hidráulica'!S62</f>
        <v>2.8</v>
      </c>
      <c r="F56" s="258">
        <f>'Planilha Hidráulica'!K62</f>
        <v>28</v>
      </c>
      <c r="G56" s="101">
        <f>'Planilha Hidráulica'!M62</f>
        <v>1000</v>
      </c>
      <c r="H56" s="449">
        <f t="shared" si="130"/>
        <v>3.3000000000000003</v>
      </c>
      <c r="I56" s="102">
        <f t="shared" si="131"/>
        <v>4.62</v>
      </c>
      <c r="J56" s="450">
        <v>0</v>
      </c>
      <c r="K56" s="451">
        <f t="shared" si="132"/>
        <v>2</v>
      </c>
      <c r="L56" s="451">
        <f t="shared" si="133"/>
        <v>2</v>
      </c>
      <c r="M56" s="451">
        <f>'Planilha Hidráulica'!X62</f>
        <v>800</v>
      </c>
      <c r="N56" s="451">
        <f t="shared" si="134"/>
        <v>56</v>
      </c>
      <c r="O56" s="452" t="str">
        <f>'Planilha Hidráulica'!W62</f>
        <v>ASFALTO</v>
      </c>
      <c r="P56" s="452" t="s">
        <v>2053</v>
      </c>
      <c r="Q56" s="452"/>
      <c r="R56" s="452">
        <v>3.5</v>
      </c>
      <c r="S56" s="452">
        <v>5</v>
      </c>
      <c r="T56" s="451">
        <f t="shared" si="135"/>
        <v>0.15</v>
      </c>
      <c r="U56" s="453">
        <f t="shared" si="136"/>
        <v>14.074335088082275</v>
      </c>
      <c r="V56" s="106">
        <f t="shared" si="137"/>
        <v>170.72566491191773</v>
      </c>
      <c r="W56" s="107">
        <f t="shared" si="138"/>
        <v>0</v>
      </c>
      <c r="X56" s="107">
        <f t="shared" si="139"/>
        <v>0</v>
      </c>
      <c r="Y56" s="454">
        <f t="shared" si="140"/>
        <v>3.3000000000000003</v>
      </c>
      <c r="Z56" s="454">
        <f t="shared" si="141"/>
        <v>0</v>
      </c>
      <c r="AA56" s="455">
        <f t="shared" si="142"/>
        <v>56</v>
      </c>
      <c r="AB56" s="117">
        <f t="shared" si="143"/>
        <v>0</v>
      </c>
      <c r="AC56" s="109">
        <f t="shared" si="144"/>
        <v>0</v>
      </c>
      <c r="AD56" s="109">
        <f t="shared" si="145"/>
        <v>0</v>
      </c>
      <c r="AE56" s="109">
        <f t="shared" si="146"/>
        <v>0</v>
      </c>
      <c r="AF56" s="109">
        <f t="shared" si="147"/>
        <v>0</v>
      </c>
      <c r="AG56" s="109">
        <f t="shared" si="148"/>
        <v>0</v>
      </c>
      <c r="AH56" s="109">
        <f t="shared" si="149"/>
        <v>0</v>
      </c>
      <c r="AI56" s="109">
        <f t="shared" si="150"/>
        <v>0</v>
      </c>
      <c r="AJ56" s="456">
        <f t="shared" si="151"/>
        <v>0</v>
      </c>
      <c r="AK56" s="456">
        <f t="shared" si="152"/>
        <v>0</v>
      </c>
      <c r="AL56" s="456">
        <f t="shared" si="153"/>
        <v>84</v>
      </c>
      <c r="AM56" s="456">
        <f t="shared" si="228"/>
        <v>84</v>
      </c>
      <c r="AN56" s="456">
        <f t="shared" ref="AN56:AN63" si="230">IF(IF(K56&lt;=2.5,IF(Y56&gt;=4.5,L56*F56*1.5,K56*F56*(Y56-3)),0)&lt;0,0,IF(K56&lt;=2.5,IF(Y56&gt;=4.5,L56*F56*1.5,K56*F56*(Y56-3)),0))+IF(R56&lt;H56,0,IF(AND(Y56&lt;=4.5,Y56&gt;3,K56&gt;1.5,K56&lt;=2.5),-U56,0))</f>
        <v>2.7256649119177396</v>
      </c>
      <c r="AO56" s="456">
        <f t="shared" si="154"/>
        <v>0</v>
      </c>
      <c r="AP56" s="456">
        <f t="shared" si="155"/>
        <v>0</v>
      </c>
      <c r="AQ56" s="456">
        <f t="shared" si="156"/>
        <v>0</v>
      </c>
      <c r="AR56" s="104">
        <f t="shared" si="157"/>
        <v>0</v>
      </c>
      <c r="AS56" s="451">
        <f t="shared" si="158"/>
        <v>0</v>
      </c>
      <c r="AT56" s="104">
        <f t="shared" si="159"/>
        <v>162.80885142487145</v>
      </c>
      <c r="AU56" s="102">
        <f t="shared" si="160"/>
        <v>0</v>
      </c>
      <c r="AV56" s="106">
        <f t="shared" si="161"/>
        <v>8.4</v>
      </c>
      <c r="AW56" s="104">
        <f t="shared" si="162"/>
        <v>0</v>
      </c>
      <c r="AX56" s="104">
        <f t="shared" si="163"/>
        <v>0</v>
      </c>
      <c r="AY56" s="104">
        <f t="shared" si="164"/>
        <v>1.3</v>
      </c>
      <c r="AZ56" s="104">
        <f t="shared" si="165"/>
        <v>50.808851424871449</v>
      </c>
      <c r="BA56" s="104">
        <f t="shared" si="166"/>
        <v>0</v>
      </c>
      <c r="BB56" s="104">
        <f t="shared" si="167"/>
        <v>8.4</v>
      </c>
      <c r="BC56" s="104">
        <f t="shared" si="168"/>
        <v>8.4</v>
      </c>
      <c r="BD56" s="104">
        <f t="shared" si="169"/>
        <v>1.68</v>
      </c>
      <c r="BE56" s="104">
        <f t="shared" si="170"/>
        <v>86.799999999999983</v>
      </c>
      <c r="BF56" s="104">
        <f t="shared" si="171"/>
        <v>111.51681348704628</v>
      </c>
      <c r="BG56" s="104">
        <f t="shared" si="172"/>
        <v>86.799999999999983</v>
      </c>
      <c r="BH56" s="104">
        <f t="shared" si="173"/>
        <v>24.716813487046295</v>
      </c>
      <c r="BI56" s="104">
        <f t="shared" si="174"/>
        <v>0</v>
      </c>
      <c r="BJ56" s="104">
        <f t="shared" si="227"/>
        <v>0</v>
      </c>
      <c r="BK56" s="104">
        <f t="shared" si="175"/>
        <v>0</v>
      </c>
      <c r="BL56" s="125"/>
      <c r="BM56" s="104">
        <f t="shared" si="176"/>
        <v>0.33600000000000002</v>
      </c>
      <c r="BN56" s="455">
        <f t="shared" si="177"/>
        <v>0</v>
      </c>
      <c r="BO56" s="457">
        <f t="shared" si="178"/>
        <v>0</v>
      </c>
      <c r="BP56" s="457">
        <f t="shared" si="179"/>
        <v>0</v>
      </c>
      <c r="BQ56" s="457">
        <f t="shared" si="180"/>
        <v>0</v>
      </c>
      <c r="BR56" s="451">
        <f t="shared" si="181"/>
        <v>0</v>
      </c>
      <c r="BS56" s="451">
        <f t="shared" si="182"/>
        <v>0</v>
      </c>
      <c r="BT56" s="451">
        <f t="shared" si="183"/>
        <v>0</v>
      </c>
      <c r="BU56" s="451">
        <f t="shared" si="184"/>
        <v>0</v>
      </c>
      <c r="BV56" s="451">
        <f t="shared" si="185"/>
        <v>0</v>
      </c>
      <c r="BW56" s="451">
        <f t="shared" si="186"/>
        <v>0</v>
      </c>
      <c r="BX56" s="451">
        <f t="shared" si="187"/>
        <v>0</v>
      </c>
      <c r="BY56" s="451">
        <f t="shared" si="188"/>
        <v>0</v>
      </c>
      <c r="BZ56" s="451">
        <f t="shared" si="189"/>
        <v>0</v>
      </c>
      <c r="CA56" s="451">
        <f t="shared" si="190"/>
        <v>0</v>
      </c>
      <c r="CB56" s="451">
        <f t="shared" si="191"/>
        <v>3.3000000000000003</v>
      </c>
      <c r="CC56" s="451">
        <f t="shared" si="192"/>
        <v>0</v>
      </c>
      <c r="CD56" s="451">
        <f t="shared" si="193"/>
        <v>28</v>
      </c>
      <c r="CE56" s="451">
        <f t="shared" si="194"/>
        <v>0</v>
      </c>
      <c r="CF56" s="451">
        <f t="shared" si="195"/>
        <v>0</v>
      </c>
      <c r="CG56" s="451">
        <f t="shared" si="196"/>
        <v>0</v>
      </c>
      <c r="CH56" s="451">
        <f t="shared" si="197"/>
        <v>0</v>
      </c>
      <c r="CI56" s="451">
        <f t="shared" si="198"/>
        <v>0</v>
      </c>
      <c r="CJ56" s="458">
        <f t="shared" si="199"/>
        <v>0</v>
      </c>
      <c r="CK56" s="451">
        <f t="shared" si="200"/>
        <v>0</v>
      </c>
      <c r="CL56" s="451">
        <f t="shared" si="201"/>
        <v>0</v>
      </c>
      <c r="CM56" s="451">
        <f t="shared" si="202"/>
        <v>0</v>
      </c>
      <c r="CN56" s="454">
        <f t="shared" si="203"/>
        <v>0</v>
      </c>
      <c r="CO56" s="454">
        <f t="shared" si="204"/>
        <v>0</v>
      </c>
      <c r="CP56" s="454">
        <f t="shared" si="205"/>
        <v>0</v>
      </c>
      <c r="CQ56" s="454">
        <f t="shared" si="206"/>
        <v>0</v>
      </c>
      <c r="CR56" s="454">
        <f t="shared" si="207"/>
        <v>0</v>
      </c>
      <c r="CS56" s="454">
        <f t="shared" si="208"/>
        <v>0</v>
      </c>
      <c r="CT56" s="459">
        <f t="shared" si="209"/>
        <v>0</v>
      </c>
      <c r="CU56" s="460">
        <f t="shared" si="210"/>
        <v>1</v>
      </c>
      <c r="CV56" s="460">
        <f t="shared" si="211"/>
        <v>0</v>
      </c>
      <c r="CW56" s="460">
        <f t="shared" si="212"/>
        <v>0</v>
      </c>
      <c r="CX56" s="460">
        <f t="shared" si="213"/>
        <v>1</v>
      </c>
      <c r="CY56" s="460">
        <f t="shared" si="214"/>
        <v>0</v>
      </c>
      <c r="CZ56" s="460">
        <f t="shared" si="215"/>
        <v>0</v>
      </c>
      <c r="DA56" s="461">
        <f t="shared" si="216"/>
        <v>1.1000000000000001</v>
      </c>
      <c r="DB56" s="118">
        <v>1.3</v>
      </c>
      <c r="DC56" s="118">
        <v>1.4</v>
      </c>
      <c r="DD56" s="118">
        <v>2</v>
      </c>
      <c r="DE56" s="118">
        <v>2</v>
      </c>
      <c r="DF56" s="462">
        <v>2</v>
      </c>
      <c r="DG56" s="455">
        <f t="shared" si="217"/>
        <v>0</v>
      </c>
      <c r="DH56" s="463">
        <f t="shared" si="218"/>
        <v>0</v>
      </c>
      <c r="DI56" s="463">
        <f t="shared" si="219"/>
        <v>0</v>
      </c>
      <c r="DJ56" s="463">
        <f t="shared" si="220"/>
        <v>84</v>
      </c>
      <c r="DK56" s="463">
        <f t="shared" si="221"/>
        <v>84</v>
      </c>
      <c r="DL56" s="463">
        <f t="shared" si="222"/>
        <v>16.800000000000015</v>
      </c>
      <c r="DM56" s="463">
        <f t="shared" si="223"/>
        <v>0</v>
      </c>
      <c r="DN56" s="463">
        <f t="shared" si="224"/>
        <v>0</v>
      </c>
      <c r="DO56" s="463">
        <f t="shared" si="225"/>
        <v>0</v>
      </c>
      <c r="DP56" s="463">
        <f t="shared" si="226"/>
        <v>0</v>
      </c>
      <c r="DQ56" s="445"/>
    </row>
    <row r="57" spans="1:121" ht="26" x14ac:dyDescent="0.25">
      <c r="A57" s="448" t="s">
        <v>2051</v>
      </c>
      <c r="B57" s="257"/>
      <c r="C57" s="101" t="str">
        <f>'Planilha Hidráulica'!B63</f>
        <v>PV15.1-&gt;PV16.1</v>
      </c>
      <c r="D57" s="258">
        <f>'Planilha Hidráulica'!R63</f>
        <v>2.8</v>
      </c>
      <c r="E57" s="258">
        <f>'Planilha Hidráulica'!S63</f>
        <v>2.5</v>
      </c>
      <c r="F57" s="258">
        <f>'Planilha Hidráulica'!K63</f>
        <v>25</v>
      </c>
      <c r="G57" s="101">
        <f>'Planilha Hidráulica'!M63</f>
        <v>1000</v>
      </c>
      <c r="H57" s="449">
        <f t="shared" si="130"/>
        <v>3</v>
      </c>
      <c r="I57" s="102">
        <f t="shared" si="131"/>
        <v>3.75</v>
      </c>
      <c r="J57" s="450">
        <v>0</v>
      </c>
      <c r="K57" s="451">
        <f t="shared" si="132"/>
        <v>2</v>
      </c>
      <c r="L57" s="451">
        <f t="shared" si="133"/>
        <v>2</v>
      </c>
      <c r="M57" s="451">
        <f>'Planilha Hidráulica'!X63</f>
        <v>800</v>
      </c>
      <c r="N57" s="451">
        <f t="shared" si="134"/>
        <v>50</v>
      </c>
      <c r="O57" s="452" t="str">
        <f>'Planilha Hidráulica'!W63</f>
        <v>ASFALTO</v>
      </c>
      <c r="P57" s="452" t="s">
        <v>2053</v>
      </c>
      <c r="Q57" s="452"/>
      <c r="R57" s="452">
        <v>3.5</v>
      </c>
      <c r="S57" s="452">
        <v>5</v>
      </c>
      <c r="T57" s="451">
        <f t="shared" si="135"/>
        <v>0.15</v>
      </c>
      <c r="U57" s="453">
        <f t="shared" si="136"/>
        <v>12.566370614359174</v>
      </c>
      <c r="V57" s="106">
        <f t="shared" si="137"/>
        <v>137.43362938564081</v>
      </c>
      <c r="W57" s="107">
        <f t="shared" si="138"/>
        <v>0</v>
      </c>
      <c r="X57" s="107">
        <f t="shared" si="139"/>
        <v>0</v>
      </c>
      <c r="Y57" s="454">
        <f t="shared" si="140"/>
        <v>3</v>
      </c>
      <c r="Z57" s="454">
        <f t="shared" si="141"/>
        <v>0</v>
      </c>
      <c r="AA57" s="455">
        <f t="shared" si="142"/>
        <v>50</v>
      </c>
      <c r="AB57" s="117">
        <f t="shared" si="143"/>
        <v>0</v>
      </c>
      <c r="AC57" s="109">
        <f t="shared" si="144"/>
        <v>0</v>
      </c>
      <c r="AD57" s="109">
        <f t="shared" si="145"/>
        <v>0</v>
      </c>
      <c r="AE57" s="109">
        <f t="shared" si="146"/>
        <v>0</v>
      </c>
      <c r="AF57" s="109">
        <f t="shared" si="147"/>
        <v>0</v>
      </c>
      <c r="AG57" s="109">
        <f t="shared" si="148"/>
        <v>0</v>
      </c>
      <c r="AH57" s="109">
        <f t="shared" si="149"/>
        <v>0</v>
      </c>
      <c r="AI57" s="109">
        <f t="shared" si="150"/>
        <v>0</v>
      </c>
      <c r="AJ57" s="456">
        <f t="shared" si="151"/>
        <v>0</v>
      </c>
      <c r="AK57" s="456">
        <f t="shared" si="152"/>
        <v>0</v>
      </c>
      <c r="AL57" s="456">
        <f t="shared" si="153"/>
        <v>75</v>
      </c>
      <c r="AM57" s="456">
        <f t="shared" si="228"/>
        <v>62.433629385640828</v>
      </c>
      <c r="AN57" s="456">
        <f t="shared" si="230"/>
        <v>0</v>
      </c>
      <c r="AO57" s="456">
        <f t="shared" si="154"/>
        <v>0</v>
      </c>
      <c r="AP57" s="456">
        <f t="shared" si="155"/>
        <v>0</v>
      </c>
      <c r="AQ57" s="456">
        <f t="shared" si="156"/>
        <v>0</v>
      </c>
      <c r="AR57" s="104">
        <f t="shared" si="157"/>
        <v>0</v>
      </c>
      <c r="AS57" s="451">
        <f t="shared" si="158"/>
        <v>0</v>
      </c>
      <c r="AT57" s="104">
        <f t="shared" si="159"/>
        <v>130.3650459150638</v>
      </c>
      <c r="AU57" s="102">
        <f t="shared" si="160"/>
        <v>0</v>
      </c>
      <c r="AV57" s="106">
        <f t="shared" si="161"/>
        <v>7.5</v>
      </c>
      <c r="AW57" s="104">
        <f t="shared" si="162"/>
        <v>0</v>
      </c>
      <c r="AX57" s="104">
        <f t="shared" si="163"/>
        <v>0</v>
      </c>
      <c r="AY57" s="104">
        <f t="shared" si="164"/>
        <v>1.3</v>
      </c>
      <c r="AZ57" s="104">
        <f t="shared" si="165"/>
        <v>45.365045915063789</v>
      </c>
      <c r="BA57" s="104">
        <f t="shared" si="166"/>
        <v>0</v>
      </c>
      <c r="BB57" s="104">
        <f t="shared" si="167"/>
        <v>7.5</v>
      </c>
      <c r="BC57" s="104">
        <f t="shared" si="168"/>
        <v>7.5</v>
      </c>
      <c r="BD57" s="104">
        <f t="shared" si="169"/>
        <v>1.5</v>
      </c>
      <c r="BE57" s="104">
        <f t="shared" si="170"/>
        <v>62.500000000000014</v>
      </c>
      <c r="BF57" s="104">
        <f t="shared" si="171"/>
        <v>84.568583470577025</v>
      </c>
      <c r="BG57" s="104">
        <f t="shared" si="172"/>
        <v>62.500000000000014</v>
      </c>
      <c r="BH57" s="104">
        <f t="shared" si="173"/>
        <v>22.068583470577011</v>
      </c>
      <c r="BI57" s="104">
        <f t="shared" si="174"/>
        <v>0</v>
      </c>
      <c r="BJ57" s="104">
        <f t="shared" si="227"/>
        <v>0</v>
      </c>
      <c r="BK57" s="104">
        <f t="shared" si="175"/>
        <v>0</v>
      </c>
      <c r="BL57" s="125"/>
      <c r="BM57" s="104">
        <f t="shared" si="176"/>
        <v>0.3</v>
      </c>
      <c r="BN57" s="455">
        <f t="shared" si="177"/>
        <v>0</v>
      </c>
      <c r="BO57" s="457">
        <f t="shared" si="178"/>
        <v>0</v>
      </c>
      <c r="BP57" s="457">
        <f t="shared" si="179"/>
        <v>0</v>
      </c>
      <c r="BQ57" s="457">
        <f t="shared" si="180"/>
        <v>0</v>
      </c>
      <c r="BR57" s="451">
        <f t="shared" si="181"/>
        <v>0</v>
      </c>
      <c r="BS57" s="451">
        <f t="shared" si="182"/>
        <v>0</v>
      </c>
      <c r="BT57" s="451">
        <f t="shared" si="183"/>
        <v>0</v>
      </c>
      <c r="BU57" s="451">
        <f t="shared" si="184"/>
        <v>0</v>
      </c>
      <c r="BV57" s="451">
        <f t="shared" si="185"/>
        <v>0</v>
      </c>
      <c r="BW57" s="451">
        <f t="shared" si="186"/>
        <v>0</v>
      </c>
      <c r="BX57" s="451">
        <f t="shared" si="187"/>
        <v>0</v>
      </c>
      <c r="BY57" s="451">
        <f t="shared" si="188"/>
        <v>0</v>
      </c>
      <c r="BZ57" s="451">
        <f t="shared" si="189"/>
        <v>0</v>
      </c>
      <c r="CA57" s="451">
        <f t="shared" si="190"/>
        <v>0</v>
      </c>
      <c r="CB57" s="451">
        <f t="shared" si="191"/>
        <v>3</v>
      </c>
      <c r="CC57" s="451">
        <f t="shared" si="192"/>
        <v>25</v>
      </c>
      <c r="CD57" s="451">
        <f t="shared" si="193"/>
        <v>0</v>
      </c>
      <c r="CE57" s="451">
        <f t="shared" si="194"/>
        <v>0</v>
      </c>
      <c r="CF57" s="451">
        <f t="shared" si="195"/>
        <v>0</v>
      </c>
      <c r="CG57" s="451">
        <f t="shared" si="196"/>
        <v>0</v>
      </c>
      <c r="CH57" s="451">
        <f t="shared" si="197"/>
        <v>0</v>
      </c>
      <c r="CI57" s="451">
        <f t="shared" si="198"/>
        <v>0</v>
      </c>
      <c r="CJ57" s="458">
        <f t="shared" si="199"/>
        <v>0</v>
      </c>
      <c r="CK57" s="451">
        <f t="shared" si="200"/>
        <v>0</v>
      </c>
      <c r="CL57" s="451">
        <f t="shared" si="201"/>
        <v>0</v>
      </c>
      <c r="CM57" s="451">
        <f t="shared" si="202"/>
        <v>0</v>
      </c>
      <c r="CN57" s="454">
        <f t="shared" si="203"/>
        <v>0</v>
      </c>
      <c r="CO57" s="454">
        <f t="shared" si="204"/>
        <v>0</v>
      </c>
      <c r="CP57" s="454">
        <f t="shared" si="205"/>
        <v>0</v>
      </c>
      <c r="CQ57" s="454">
        <f t="shared" si="206"/>
        <v>0</v>
      </c>
      <c r="CR57" s="454">
        <f t="shared" si="207"/>
        <v>0</v>
      </c>
      <c r="CS57" s="454">
        <f t="shared" si="208"/>
        <v>0</v>
      </c>
      <c r="CT57" s="459">
        <f t="shared" si="209"/>
        <v>0</v>
      </c>
      <c r="CU57" s="460">
        <f t="shared" si="210"/>
        <v>1</v>
      </c>
      <c r="CV57" s="460">
        <f t="shared" si="211"/>
        <v>0</v>
      </c>
      <c r="CW57" s="460">
        <f t="shared" si="212"/>
        <v>0</v>
      </c>
      <c r="CX57" s="460">
        <f t="shared" si="213"/>
        <v>1</v>
      </c>
      <c r="CY57" s="460">
        <f t="shared" si="214"/>
        <v>0</v>
      </c>
      <c r="CZ57" s="460">
        <f t="shared" si="215"/>
        <v>0</v>
      </c>
      <c r="DA57" s="461">
        <f t="shared" si="216"/>
        <v>0.79999999999999982</v>
      </c>
      <c r="DB57" s="118">
        <v>1.3</v>
      </c>
      <c r="DC57" s="118">
        <v>1.4</v>
      </c>
      <c r="DD57" s="118">
        <v>2</v>
      </c>
      <c r="DE57" s="118">
        <v>2</v>
      </c>
      <c r="DF57" s="462">
        <v>2</v>
      </c>
      <c r="DG57" s="455">
        <f t="shared" si="217"/>
        <v>0</v>
      </c>
      <c r="DH57" s="463">
        <f t="shared" si="218"/>
        <v>0</v>
      </c>
      <c r="DI57" s="463">
        <f t="shared" si="219"/>
        <v>0</v>
      </c>
      <c r="DJ57" s="463">
        <f t="shared" si="220"/>
        <v>75</v>
      </c>
      <c r="DK57" s="463">
        <f t="shared" si="221"/>
        <v>75</v>
      </c>
      <c r="DL57" s="463">
        <f t="shared" si="222"/>
        <v>0</v>
      </c>
      <c r="DM57" s="463">
        <f t="shared" si="223"/>
        <v>0</v>
      </c>
      <c r="DN57" s="463">
        <f t="shared" si="224"/>
        <v>0</v>
      </c>
      <c r="DO57" s="463">
        <f t="shared" si="225"/>
        <v>0</v>
      </c>
      <c r="DP57" s="463">
        <f t="shared" si="226"/>
        <v>0</v>
      </c>
      <c r="DQ57" s="445"/>
    </row>
    <row r="58" spans="1:121" ht="26" x14ac:dyDescent="0.25">
      <c r="A58" s="448" t="s">
        <v>2051</v>
      </c>
      <c r="B58" s="257"/>
      <c r="C58" s="101" t="str">
        <f>'Planilha Hidráulica'!B64</f>
        <v>PV16.1-&gt;PV17.1</v>
      </c>
      <c r="D58" s="258">
        <f>'Planilha Hidráulica'!R64</f>
        <v>2.5</v>
      </c>
      <c r="E58" s="258">
        <f>'Planilha Hidráulica'!S64</f>
        <v>2.1</v>
      </c>
      <c r="F58" s="258">
        <f>'Planilha Hidráulica'!K64</f>
        <v>49.33</v>
      </c>
      <c r="G58" s="101">
        <f>'Planilha Hidráulica'!M64</f>
        <v>1000</v>
      </c>
      <c r="H58" s="449">
        <f t="shared" si="130"/>
        <v>2.65</v>
      </c>
      <c r="I58" s="102">
        <f t="shared" si="131"/>
        <v>6.5362249999999991</v>
      </c>
      <c r="J58" s="450">
        <v>0</v>
      </c>
      <c r="K58" s="451">
        <f t="shared" si="132"/>
        <v>2</v>
      </c>
      <c r="L58" s="451">
        <f t="shared" si="133"/>
        <v>2</v>
      </c>
      <c r="M58" s="451">
        <f>'Planilha Hidráulica'!X64</f>
        <v>800</v>
      </c>
      <c r="N58" s="451">
        <f t="shared" si="134"/>
        <v>98.66</v>
      </c>
      <c r="O58" s="452" t="str">
        <f>'Planilha Hidráulica'!W64</f>
        <v>ASFALTO</v>
      </c>
      <c r="P58" s="452" t="s">
        <v>2053</v>
      </c>
      <c r="Q58" s="452"/>
      <c r="R58" s="452">
        <v>3.5</v>
      </c>
      <c r="S58" s="452">
        <v>5</v>
      </c>
      <c r="T58" s="451">
        <f t="shared" si="135"/>
        <v>0.15</v>
      </c>
      <c r="U58" s="453">
        <f t="shared" si="136"/>
        <v>24.795962496253519</v>
      </c>
      <c r="V58" s="106">
        <f t="shared" si="137"/>
        <v>236.65303750374645</v>
      </c>
      <c r="W58" s="107">
        <f t="shared" si="138"/>
        <v>0</v>
      </c>
      <c r="X58" s="107">
        <f t="shared" si="139"/>
        <v>0</v>
      </c>
      <c r="Y58" s="454">
        <f t="shared" si="140"/>
        <v>2.65</v>
      </c>
      <c r="Z58" s="454">
        <f t="shared" si="141"/>
        <v>0</v>
      </c>
      <c r="AA58" s="455">
        <f t="shared" si="142"/>
        <v>98.66</v>
      </c>
      <c r="AB58" s="117">
        <f t="shared" si="143"/>
        <v>0</v>
      </c>
      <c r="AC58" s="109">
        <f t="shared" si="144"/>
        <v>0</v>
      </c>
      <c r="AD58" s="109">
        <f t="shared" si="145"/>
        <v>0</v>
      </c>
      <c r="AE58" s="109">
        <f t="shared" si="146"/>
        <v>0</v>
      </c>
      <c r="AF58" s="109">
        <f t="shared" si="147"/>
        <v>0</v>
      </c>
      <c r="AG58" s="109">
        <f t="shared" si="148"/>
        <v>0</v>
      </c>
      <c r="AH58" s="109">
        <f t="shared" si="149"/>
        <v>0</v>
      </c>
      <c r="AI58" s="109">
        <f t="shared" si="150"/>
        <v>0</v>
      </c>
      <c r="AJ58" s="456">
        <f t="shared" si="151"/>
        <v>0</v>
      </c>
      <c r="AK58" s="456">
        <f t="shared" si="152"/>
        <v>0</v>
      </c>
      <c r="AL58" s="456">
        <f t="shared" si="153"/>
        <v>147.99</v>
      </c>
      <c r="AM58" s="456">
        <f t="shared" si="228"/>
        <v>88.663037503746466</v>
      </c>
      <c r="AN58" s="456">
        <f t="shared" si="230"/>
        <v>0</v>
      </c>
      <c r="AO58" s="456">
        <f t="shared" si="154"/>
        <v>0</v>
      </c>
      <c r="AP58" s="456">
        <f t="shared" si="155"/>
        <v>0</v>
      </c>
      <c r="AQ58" s="456">
        <f t="shared" si="156"/>
        <v>0</v>
      </c>
      <c r="AR58" s="104">
        <f t="shared" si="157"/>
        <v>0</v>
      </c>
      <c r="AS58" s="451">
        <f t="shared" si="158"/>
        <v>0</v>
      </c>
      <c r="AT58" s="104">
        <f t="shared" si="159"/>
        <v>222.70530859960382</v>
      </c>
      <c r="AU58" s="102">
        <f t="shared" si="160"/>
        <v>0</v>
      </c>
      <c r="AV58" s="106">
        <f t="shared" si="161"/>
        <v>14.798999999999999</v>
      </c>
      <c r="AW58" s="104">
        <f t="shared" si="162"/>
        <v>0</v>
      </c>
      <c r="AX58" s="104">
        <f t="shared" si="163"/>
        <v>0</v>
      </c>
      <c r="AY58" s="104">
        <f t="shared" si="164"/>
        <v>1.3</v>
      </c>
      <c r="AZ58" s="104">
        <f t="shared" si="165"/>
        <v>89.514308599603879</v>
      </c>
      <c r="BA58" s="104">
        <f t="shared" si="166"/>
        <v>0</v>
      </c>
      <c r="BB58" s="104">
        <f t="shared" si="167"/>
        <v>14.798999999999999</v>
      </c>
      <c r="BC58" s="104">
        <f t="shared" si="168"/>
        <v>14.798999999999999</v>
      </c>
      <c r="BD58" s="104">
        <f t="shared" si="169"/>
        <v>2.9598</v>
      </c>
      <c r="BE58" s="104">
        <f t="shared" si="170"/>
        <v>88.793999999999926</v>
      </c>
      <c r="BF58" s="104">
        <f t="shared" si="171"/>
        <v>132.33972890414259</v>
      </c>
      <c r="BG58" s="104">
        <f t="shared" si="172"/>
        <v>88.793999999999926</v>
      </c>
      <c r="BH58" s="104">
        <f t="shared" si="173"/>
        <v>43.545728904142663</v>
      </c>
      <c r="BI58" s="104">
        <f t="shared" si="174"/>
        <v>0</v>
      </c>
      <c r="BJ58" s="104">
        <f t="shared" si="227"/>
        <v>0</v>
      </c>
      <c r="BK58" s="104">
        <f t="shared" si="175"/>
        <v>0</v>
      </c>
      <c r="BL58" s="125"/>
      <c r="BM58" s="104">
        <f t="shared" si="176"/>
        <v>0.59196000000000004</v>
      </c>
      <c r="BN58" s="455">
        <f t="shared" si="177"/>
        <v>0</v>
      </c>
      <c r="BO58" s="457">
        <f t="shared" si="178"/>
        <v>0</v>
      </c>
      <c r="BP58" s="457">
        <f t="shared" si="179"/>
        <v>0</v>
      </c>
      <c r="BQ58" s="457">
        <f t="shared" si="180"/>
        <v>0</v>
      </c>
      <c r="BR58" s="451">
        <f t="shared" si="181"/>
        <v>0</v>
      </c>
      <c r="BS58" s="451">
        <f t="shared" si="182"/>
        <v>0</v>
      </c>
      <c r="BT58" s="451">
        <f t="shared" si="183"/>
        <v>0</v>
      </c>
      <c r="BU58" s="451">
        <f t="shared" si="184"/>
        <v>0</v>
      </c>
      <c r="BV58" s="451">
        <f t="shared" si="185"/>
        <v>0</v>
      </c>
      <c r="BW58" s="451">
        <f t="shared" si="186"/>
        <v>0</v>
      </c>
      <c r="BX58" s="451">
        <f t="shared" si="187"/>
        <v>0</v>
      </c>
      <c r="BY58" s="451">
        <f t="shared" si="188"/>
        <v>0</v>
      </c>
      <c r="BZ58" s="451">
        <f t="shared" si="189"/>
        <v>0</v>
      </c>
      <c r="CA58" s="451">
        <f t="shared" si="190"/>
        <v>0</v>
      </c>
      <c r="CB58" s="451">
        <f t="shared" si="191"/>
        <v>2.65</v>
      </c>
      <c r="CC58" s="451">
        <f t="shared" si="192"/>
        <v>49.33</v>
      </c>
      <c r="CD58" s="451">
        <f t="shared" si="193"/>
        <v>0</v>
      </c>
      <c r="CE58" s="451">
        <f t="shared" si="194"/>
        <v>0</v>
      </c>
      <c r="CF58" s="451">
        <f t="shared" si="195"/>
        <v>0</v>
      </c>
      <c r="CG58" s="451">
        <f t="shared" si="196"/>
        <v>0</v>
      </c>
      <c r="CH58" s="451">
        <f t="shared" si="197"/>
        <v>0</v>
      </c>
      <c r="CI58" s="451">
        <f t="shared" si="198"/>
        <v>0</v>
      </c>
      <c r="CJ58" s="458">
        <f t="shared" si="199"/>
        <v>0</v>
      </c>
      <c r="CK58" s="451">
        <f t="shared" si="200"/>
        <v>0</v>
      </c>
      <c r="CL58" s="451">
        <f t="shared" si="201"/>
        <v>0</v>
      </c>
      <c r="CM58" s="451">
        <f t="shared" si="202"/>
        <v>0</v>
      </c>
      <c r="CN58" s="454">
        <f t="shared" si="203"/>
        <v>0</v>
      </c>
      <c r="CO58" s="454">
        <f t="shared" si="204"/>
        <v>0</v>
      </c>
      <c r="CP58" s="454">
        <f t="shared" si="205"/>
        <v>0</v>
      </c>
      <c r="CQ58" s="454">
        <f t="shared" si="206"/>
        <v>0</v>
      </c>
      <c r="CR58" s="454">
        <f t="shared" si="207"/>
        <v>0</v>
      </c>
      <c r="CS58" s="454">
        <f t="shared" si="208"/>
        <v>0</v>
      </c>
      <c r="CT58" s="459">
        <f t="shared" si="209"/>
        <v>0</v>
      </c>
      <c r="CU58" s="460">
        <f t="shared" si="210"/>
        <v>1</v>
      </c>
      <c r="CV58" s="460">
        <f t="shared" si="211"/>
        <v>0</v>
      </c>
      <c r="CW58" s="460">
        <f t="shared" si="212"/>
        <v>0</v>
      </c>
      <c r="CX58" s="460">
        <f t="shared" si="213"/>
        <v>1</v>
      </c>
      <c r="CY58" s="460">
        <f t="shared" si="214"/>
        <v>0</v>
      </c>
      <c r="CZ58" s="460">
        <f t="shared" si="215"/>
        <v>0</v>
      </c>
      <c r="DA58" s="461">
        <f t="shared" si="216"/>
        <v>0.5</v>
      </c>
      <c r="DB58" s="118">
        <v>1.3</v>
      </c>
      <c r="DC58" s="118">
        <v>1.4</v>
      </c>
      <c r="DD58" s="118">
        <v>2</v>
      </c>
      <c r="DE58" s="118">
        <v>2</v>
      </c>
      <c r="DF58" s="462">
        <v>2</v>
      </c>
      <c r="DG58" s="455">
        <f t="shared" si="217"/>
        <v>0</v>
      </c>
      <c r="DH58" s="463">
        <f t="shared" si="218"/>
        <v>0</v>
      </c>
      <c r="DI58" s="463">
        <f t="shared" si="219"/>
        <v>0</v>
      </c>
      <c r="DJ58" s="463">
        <f t="shared" si="220"/>
        <v>147.99</v>
      </c>
      <c r="DK58" s="463">
        <f t="shared" si="221"/>
        <v>113.45899999999999</v>
      </c>
      <c r="DL58" s="463">
        <f t="shared" si="222"/>
        <v>0</v>
      </c>
      <c r="DM58" s="463">
        <f t="shared" si="223"/>
        <v>0</v>
      </c>
      <c r="DN58" s="463">
        <f t="shared" si="224"/>
        <v>0</v>
      </c>
      <c r="DO58" s="463">
        <f t="shared" si="225"/>
        <v>0</v>
      </c>
      <c r="DP58" s="463">
        <f t="shared" si="226"/>
        <v>0</v>
      </c>
      <c r="DQ58" s="445"/>
    </row>
    <row r="59" spans="1:121" ht="26" x14ac:dyDescent="0.25">
      <c r="A59" s="448" t="s">
        <v>2051</v>
      </c>
      <c r="B59" s="257"/>
      <c r="C59" s="101" t="str">
        <f>'Planilha Hidráulica'!B65</f>
        <v>PV17.1-&gt;PV18.1</v>
      </c>
      <c r="D59" s="258">
        <f>'Planilha Hidráulica'!R65</f>
        <v>2.1</v>
      </c>
      <c r="E59" s="258">
        <f>'Planilha Hidráulica'!S65</f>
        <v>2.35</v>
      </c>
      <c r="F59" s="258">
        <f>'Planilha Hidráulica'!K65</f>
        <v>35</v>
      </c>
      <c r="G59" s="101">
        <f>'Planilha Hidráulica'!M65</f>
        <v>1000</v>
      </c>
      <c r="H59" s="449">
        <f t="shared" si="130"/>
        <v>2.5750000000000002</v>
      </c>
      <c r="I59" s="102">
        <f t="shared" si="131"/>
        <v>4.5062499999999996</v>
      </c>
      <c r="J59" s="450">
        <v>0</v>
      </c>
      <c r="K59" s="451">
        <f t="shared" si="132"/>
        <v>2</v>
      </c>
      <c r="L59" s="451">
        <f t="shared" si="133"/>
        <v>2</v>
      </c>
      <c r="M59" s="451">
        <f>'Planilha Hidráulica'!X65</f>
        <v>800</v>
      </c>
      <c r="N59" s="451">
        <f t="shared" si="134"/>
        <v>70</v>
      </c>
      <c r="O59" s="452" t="str">
        <f>'Planilha Hidráulica'!W65</f>
        <v>ASFALTO</v>
      </c>
      <c r="P59" s="452" t="s">
        <v>2053</v>
      </c>
      <c r="Q59" s="452"/>
      <c r="R59" s="452">
        <v>3.5</v>
      </c>
      <c r="S59" s="452">
        <v>5</v>
      </c>
      <c r="T59" s="451">
        <f t="shared" si="135"/>
        <v>0.15</v>
      </c>
      <c r="U59" s="453">
        <f t="shared" si="136"/>
        <v>17.592918860102841</v>
      </c>
      <c r="V59" s="106">
        <f t="shared" si="137"/>
        <v>162.65708113989717</v>
      </c>
      <c r="W59" s="107">
        <f t="shared" si="138"/>
        <v>0</v>
      </c>
      <c r="X59" s="107">
        <f t="shared" si="139"/>
        <v>0</v>
      </c>
      <c r="Y59" s="454">
        <f t="shared" si="140"/>
        <v>2.5750000000000002</v>
      </c>
      <c r="Z59" s="454">
        <f t="shared" si="141"/>
        <v>0</v>
      </c>
      <c r="AA59" s="455">
        <f t="shared" si="142"/>
        <v>70</v>
      </c>
      <c r="AB59" s="117">
        <f t="shared" si="143"/>
        <v>0</v>
      </c>
      <c r="AC59" s="109">
        <f t="shared" si="144"/>
        <v>0</v>
      </c>
      <c r="AD59" s="109">
        <f t="shared" si="145"/>
        <v>0</v>
      </c>
      <c r="AE59" s="109">
        <f t="shared" si="146"/>
        <v>0</v>
      </c>
      <c r="AF59" s="109">
        <f t="shared" si="147"/>
        <v>0</v>
      </c>
      <c r="AG59" s="109">
        <f t="shared" si="148"/>
        <v>0</v>
      </c>
      <c r="AH59" s="109">
        <f t="shared" si="149"/>
        <v>0</v>
      </c>
      <c r="AI59" s="109">
        <f t="shared" si="150"/>
        <v>0</v>
      </c>
      <c r="AJ59" s="456">
        <f t="shared" si="151"/>
        <v>0</v>
      </c>
      <c r="AK59" s="456">
        <f t="shared" si="152"/>
        <v>0</v>
      </c>
      <c r="AL59" s="456">
        <f t="shared" si="153"/>
        <v>105</v>
      </c>
      <c r="AM59" s="456">
        <f t="shared" si="228"/>
        <v>57.657081139897173</v>
      </c>
      <c r="AN59" s="456">
        <f t="shared" si="230"/>
        <v>0</v>
      </c>
      <c r="AO59" s="456">
        <f t="shared" si="154"/>
        <v>0</v>
      </c>
      <c r="AP59" s="456">
        <f t="shared" si="155"/>
        <v>0</v>
      </c>
      <c r="AQ59" s="456">
        <f t="shared" si="156"/>
        <v>0</v>
      </c>
      <c r="AR59" s="104">
        <f t="shared" si="157"/>
        <v>0</v>
      </c>
      <c r="AS59" s="451">
        <f t="shared" si="158"/>
        <v>0</v>
      </c>
      <c r="AT59" s="104">
        <f t="shared" si="159"/>
        <v>152.76106428108932</v>
      </c>
      <c r="AU59" s="102">
        <f t="shared" si="160"/>
        <v>0</v>
      </c>
      <c r="AV59" s="106">
        <f t="shared" si="161"/>
        <v>10.5</v>
      </c>
      <c r="AW59" s="104">
        <f t="shared" si="162"/>
        <v>0</v>
      </c>
      <c r="AX59" s="104">
        <f t="shared" si="163"/>
        <v>0</v>
      </c>
      <c r="AY59" s="104">
        <f t="shared" si="164"/>
        <v>1.3</v>
      </c>
      <c r="AZ59" s="104">
        <f t="shared" si="165"/>
        <v>63.511064281089311</v>
      </c>
      <c r="BA59" s="104">
        <f t="shared" si="166"/>
        <v>0</v>
      </c>
      <c r="BB59" s="104">
        <f t="shared" si="167"/>
        <v>10.5</v>
      </c>
      <c r="BC59" s="104">
        <f t="shared" si="168"/>
        <v>10.5</v>
      </c>
      <c r="BD59" s="104">
        <f t="shared" si="169"/>
        <v>2.1</v>
      </c>
      <c r="BE59" s="104">
        <f t="shared" si="170"/>
        <v>57.750000000000007</v>
      </c>
      <c r="BF59" s="104">
        <f t="shared" si="171"/>
        <v>88.646016858807855</v>
      </c>
      <c r="BG59" s="104">
        <f t="shared" si="172"/>
        <v>57.750000000000007</v>
      </c>
      <c r="BH59" s="104">
        <f t="shared" si="173"/>
        <v>30.896016858807847</v>
      </c>
      <c r="BI59" s="104">
        <f t="shared" si="174"/>
        <v>0</v>
      </c>
      <c r="BJ59" s="104">
        <f t="shared" si="227"/>
        <v>0</v>
      </c>
      <c r="BK59" s="104">
        <f t="shared" si="175"/>
        <v>0</v>
      </c>
      <c r="BL59" s="125"/>
      <c r="BM59" s="104">
        <f t="shared" si="176"/>
        <v>0.42</v>
      </c>
      <c r="BN59" s="455">
        <f t="shared" si="177"/>
        <v>0</v>
      </c>
      <c r="BO59" s="457">
        <f t="shared" si="178"/>
        <v>0</v>
      </c>
      <c r="BP59" s="457">
        <f t="shared" si="179"/>
        <v>0</v>
      </c>
      <c r="BQ59" s="457">
        <f t="shared" si="180"/>
        <v>0</v>
      </c>
      <c r="BR59" s="451">
        <f t="shared" si="181"/>
        <v>0</v>
      </c>
      <c r="BS59" s="451">
        <f t="shared" si="182"/>
        <v>0</v>
      </c>
      <c r="BT59" s="451">
        <f t="shared" si="183"/>
        <v>0</v>
      </c>
      <c r="BU59" s="451">
        <f t="shared" si="184"/>
        <v>0</v>
      </c>
      <c r="BV59" s="451">
        <f t="shared" si="185"/>
        <v>0</v>
      </c>
      <c r="BW59" s="451">
        <f t="shared" si="186"/>
        <v>0</v>
      </c>
      <c r="BX59" s="451">
        <f t="shared" si="187"/>
        <v>0</v>
      </c>
      <c r="BY59" s="451">
        <f t="shared" si="188"/>
        <v>0</v>
      </c>
      <c r="BZ59" s="451">
        <f t="shared" si="189"/>
        <v>0</v>
      </c>
      <c r="CA59" s="451">
        <f t="shared" si="190"/>
        <v>0</v>
      </c>
      <c r="CB59" s="451">
        <f t="shared" si="191"/>
        <v>2.5750000000000002</v>
      </c>
      <c r="CC59" s="451">
        <f t="shared" si="192"/>
        <v>35</v>
      </c>
      <c r="CD59" s="451">
        <f t="shared" si="193"/>
        <v>0</v>
      </c>
      <c r="CE59" s="451">
        <f t="shared" si="194"/>
        <v>0</v>
      </c>
      <c r="CF59" s="451">
        <f t="shared" si="195"/>
        <v>0</v>
      </c>
      <c r="CG59" s="451">
        <f t="shared" si="196"/>
        <v>0</v>
      </c>
      <c r="CH59" s="451">
        <f t="shared" si="197"/>
        <v>0</v>
      </c>
      <c r="CI59" s="451">
        <f t="shared" si="198"/>
        <v>0</v>
      </c>
      <c r="CJ59" s="458">
        <f t="shared" si="199"/>
        <v>0</v>
      </c>
      <c r="CK59" s="451">
        <f t="shared" si="200"/>
        <v>0</v>
      </c>
      <c r="CL59" s="451">
        <f t="shared" si="201"/>
        <v>0</v>
      </c>
      <c r="CM59" s="451">
        <f t="shared" si="202"/>
        <v>0</v>
      </c>
      <c r="CN59" s="454">
        <f t="shared" si="203"/>
        <v>0</v>
      </c>
      <c r="CO59" s="454">
        <f t="shared" si="204"/>
        <v>0</v>
      </c>
      <c r="CP59" s="454">
        <f t="shared" si="205"/>
        <v>0</v>
      </c>
      <c r="CQ59" s="454">
        <f t="shared" si="206"/>
        <v>0</v>
      </c>
      <c r="CR59" s="454">
        <f t="shared" si="207"/>
        <v>0</v>
      </c>
      <c r="CS59" s="454">
        <f t="shared" si="208"/>
        <v>0</v>
      </c>
      <c r="CT59" s="459">
        <f t="shared" si="209"/>
        <v>0</v>
      </c>
      <c r="CU59" s="460">
        <f t="shared" si="210"/>
        <v>1</v>
      </c>
      <c r="CV59" s="460">
        <f t="shared" si="211"/>
        <v>0</v>
      </c>
      <c r="CW59" s="460">
        <f t="shared" si="212"/>
        <v>0</v>
      </c>
      <c r="CX59" s="460">
        <f t="shared" si="213"/>
        <v>1</v>
      </c>
      <c r="CY59" s="460">
        <f t="shared" si="214"/>
        <v>0</v>
      </c>
      <c r="CZ59" s="460">
        <f t="shared" si="215"/>
        <v>0</v>
      </c>
      <c r="DA59" s="461">
        <f t="shared" si="216"/>
        <v>0.10000000000000009</v>
      </c>
      <c r="DB59" s="118">
        <v>1.3</v>
      </c>
      <c r="DC59" s="118">
        <v>1.4</v>
      </c>
      <c r="DD59" s="118">
        <v>2</v>
      </c>
      <c r="DE59" s="118">
        <v>2</v>
      </c>
      <c r="DF59" s="462">
        <v>2</v>
      </c>
      <c r="DG59" s="455">
        <f t="shared" si="217"/>
        <v>0</v>
      </c>
      <c r="DH59" s="463">
        <f t="shared" si="218"/>
        <v>0</v>
      </c>
      <c r="DI59" s="463">
        <f t="shared" si="219"/>
        <v>0</v>
      </c>
      <c r="DJ59" s="463">
        <f t="shared" si="220"/>
        <v>105</v>
      </c>
      <c r="DK59" s="463">
        <f t="shared" si="221"/>
        <v>75.250000000000014</v>
      </c>
      <c r="DL59" s="463">
        <f t="shared" si="222"/>
        <v>0</v>
      </c>
      <c r="DM59" s="463">
        <f t="shared" si="223"/>
        <v>0</v>
      </c>
      <c r="DN59" s="463">
        <f t="shared" si="224"/>
        <v>0</v>
      </c>
      <c r="DO59" s="463">
        <f t="shared" si="225"/>
        <v>0</v>
      </c>
      <c r="DP59" s="463">
        <f t="shared" si="226"/>
        <v>0</v>
      </c>
      <c r="DQ59" s="445"/>
    </row>
    <row r="60" spans="1:121" ht="26" x14ac:dyDescent="0.25">
      <c r="A60" s="448" t="s">
        <v>2051</v>
      </c>
      <c r="B60" s="257"/>
      <c r="C60" s="101" t="str">
        <f>'Planilha Hidráulica'!B66</f>
        <v>PV18.1-&gt;PV19.1</v>
      </c>
      <c r="D60" s="258">
        <f>'Planilha Hidráulica'!R66</f>
        <v>2.35</v>
      </c>
      <c r="E60" s="258">
        <f>'Planilha Hidráulica'!S66</f>
        <v>2.1</v>
      </c>
      <c r="F60" s="258">
        <f>'Planilha Hidráulica'!K66</f>
        <v>45</v>
      </c>
      <c r="G60" s="101">
        <f>'Planilha Hidráulica'!M66</f>
        <v>1000</v>
      </c>
      <c r="H60" s="449">
        <f t="shared" si="130"/>
        <v>2.5750000000000002</v>
      </c>
      <c r="I60" s="102">
        <f t="shared" si="131"/>
        <v>5.7937500000000011</v>
      </c>
      <c r="J60" s="450">
        <v>0</v>
      </c>
      <c r="K60" s="451">
        <f t="shared" si="132"/>
        <v>2</v>
      </c>
      <c r="L60" s="451">
        <f t="shared" si="133"/>
        <v>2</v>
      </c>
      <c r="M60" s="451">
        <f>'Planilha Hidráulica'!X66</f>
        <v>800</v>
      </c>
      <c r="N60" s="451">
        <f t="shared" si="134"/>
        <v>90</v>
      </c>
      <c r="O60" s="452" t="str">
        <f>'Planilha Hidráulica'!W66</f>
        <v>ASFALTO</v>
      </c>
      <c r="P60" s="452" t="s">
        <v>2053</v>
      </c>
      <c r="Q60" s="452"/>
      <c r="R60" s="452">
        <v>3.5</v>
      </c>
      <c r="S60" s="452">
        <v>5</v>
      </c>
      <c r="T60" s="451">
        <f t="shared" si="135"/>
        <v>0.15</v>
      </c>
      <c r="U60" s="453">
        <f t="shared" si="136"/>
        <v>22.619467105846514</v>
      </c>
      <c r="V60" s="106">
        <f t="shared" si="137"/>
        <v>209.1305328941535</v>
      </c>
      <c r="W60" s="107">
        <f t="shared" si="138"/>
        <v>0</v>
      </c>
      <c r="X60" s="107">
        <f t="shared" si="139"/>
        <v>0</v>
      </c>
      <c r="Y60" s="454">
        <f t="shared" si="140"/>
        <v>2.5750000000000002</v>
      </c>
      <c r="Z60" s="454">
        <f t="shared" si="141"/>
        <v>0</v>
      </c>
      <c r="AA60" s="455">
        <f t="shared" si="142"/>
        <v>90</v>
      </c>
      <c r="AB60" s="117">
        <f t="shared" si="143"/>
        <v>0</v>
      </c>
      <c r="AC60" s="109">
        <f t="shared" si="144"/>
        <v>0</v>
      </c>
      <c r="AD60" s="109">
        <f t="shared" si="145"/>
        <v>0</v>
      </c>
      <c r="AE60" s="109">
        <f t="shared" si="146"/>
        <v>0</v>
      </c>
      <c r="AF60" s="109">
        <f t="shared" si="147"/>
        <v>0</v>
      </c>
      <c r="AG60" s="109">
        <f t="shared" si="148"/>
        <v>0</v>
      </c>
      <c r="AH60" s="109">
        <f t="shared" si="149"/>
        <v>0</v>
      </c>
      <c r="AI60" s="109">
        <f t="shared" si="150"/>
        <v>0</v>
      </c>
      <c r="AJ60" s="456">
        <f t="shared" si="151"/>
        <v>0</v>
      </c>
      <c r="AK60" s="456">
        <f t="shared" si="152"/>
        <v>0</v>
      </c>
      <c r="AL60" s="456">
        <f t="shared" si="153"/>
        <v>135</v>
      </c>
      <c r="AM60" s="456">
        <f t="shared" si="228"/>
        <v>74.130532894153504</v>
      </c>
      <c r="AN60" s="456">
        <f t="shared" si="230"/>
        <v>0</v>
      </c>
      <c r="AO60" s="456">
        <f t="shared" si="154"/>
        <v>0</v>
      </c>
      <c r="AP60" s="456">
        <f t="shared" si="155"/>
        <v>0</v>
      </c>
      <c r="AQ60" s="456">
        <f t="shared" si="156"/>
        <v>0</v>
      </c>
      <c r="AR60" s="104">
        <f t="shared" si="157"/>
        <v>0</v>
      </c>
      <c r="AS60" s="451">
        <f t="shared" si="158"/>
        <v>0</v>
      </c>
      <c r="AT60" s="104">
        <f t="shared" si="159"/>
        <v>196.40708264711486</v>
      </c>
      <c r="AU60" s="102">
        <f t="shared" si="160"/>
        <v>0</v>
      </c>
      <c r="AV60" s="106">
        <f t="shared" si="161"/>
        <v>13.5</v>
      </c>
      <c r="AW60" s="104">
        <f t="shared" si="162"/>
        <v>0</v>
      </c>
      <c r="AX60" s="104">
        <f t="shared" si="163"/>
        <v>0</v>
      </c>
      <c r="AY60" s="104">
        <f t="shared" si="164"/>
        <v>1.3</v>
      </c>
      <c r="AZ60" s="104">
        <f t="shared" si="165"/>
        <v>81.657082647114834</v>
      </c>
      <c r="BA60" s="104">
        <f t="shared" si="166"/>
        <v>0</v>
      </c>
      <c r="BB60" s="104">
        <f t="shared" si="167"/>
        <v>13.5</v>
      </c>
      <c r="BC60" s="104">
        <f t="shared" si="168"/>
        <v>13.5</v>
      </c>
      <c r="BD60" s="104">
        <f t="shared" si="169"/>
        <v>2.6999999999999997</v>
      </c>
      <c r="BE60" s="104">
        <f t="shared" si="170"/>
        <v>74.250000000000028</v>
      </c>
      <c r="BF60" s="104">
        <f t="shared" si="171"/>
        <v>113.97345024703867</v>
      </c>
      <c r="BG60" s="104">
        <f t="shared" si="172"/>
        <v>74.250000000000028</v>
      </c>
      <c r="BH60" s="104">
        <f t="shared" si="173"/>
        <v>39.723450247038642</v>
      </c>
      <c r="BI60" s="104">
        <f t="shared" si="174"/>
        <v>0</v>
      </c>
      <c r="BJ60" s="104">
        <f t="shared" si="227"/>
        <v>0</v>
      </c>
      <c r="BK60" s="104">
        <f t="shared" si="175"/>
        <v>0</v>
      </c>
      <c r="BL60" s="125"/>
      <c r="BM60" s="104">
        <f t="shared" si="176"/>
        <v>0.54</v>
      </c>
      <c r="BN60" s="455">
        <f t="shared" si="177"/>
        <v>0</v>
      </c>
      <c r="BO60" s="457">
        <f t="shared" si="178"/>
        <v>0</v>
      </c>
      <c r="BP60" s="457">
        <f t="shared" si="179"/>
        <v>0</v>
      </c>
      <c r="BQ60" s="457">
        <f t="shared" si="180"/>
        <v>0</v>
      </c>
      <c r="BR60" s="451">
        <f t="shared" si="181"/>
        <v>0</v>
      </c>
      <c r="BS60" s="451">
        <f t="shared" si="182"/>
        <v>0</v>
      </c>
      <c r="BT60" s="451">
        <f t="shared" si="183"/>
        <v>0</v>
      </c>
      <c r="BU60" s="451">
        <f t="shared" si="184"/>
        <v>0</v>
      </c>
      <c r="BV60" s="451">
        <f t="shared" si="185"/>
        <v>0</v>
      </c>
      <c r="BW60" s="451">
        <f t="shared" si="186"/>
        <v>0</v>
      </c>
      <c r="BX60" s="451">
        <f t="shared" si="187"/>
        <v>0</v>
      </c>
      <c r="BY60" s="451">
        <f t="shared" si="188"/>
        <v>0</v>
      </c>
      <c r="BZ60" s="451">
        <f t="shared" si="189"/>
        <v>0</v>
      </c>
      <c r="CA60" s="451">
        <f t="shared" si="190"/>
        <v>0</v>
      </c>
      <c r="CB60" s="451">
        <f t="shared" si="191"/>
        <v>2.5750000000000002</v>
      </c>
      <c r="CC60" s="451">
        <f t="shared" si="192"/>
        <v>45</v>
      </c>
      <c r="CD60" s="451">
        <f t="shared" si="193"/>
        <v>0</v>
      </c>
      <c r="CE60" s="451">
        <f t="shared" si="194"/>
        <v>0</v>
      </c>
      <c r="CF60" s="451">
        <f t="shared" si="195"/>
        <v>0</v>
      </c>
      <c r="CG60" s="451">
        <f t="shared" si="196"/>
        <v>0</v>
      </c>
      <c r="CH60" s="451">
        <f t="shared" si="197"/>
        <v>0</v>
      </c>
      <c r="CI60" s="451">
        <f t="shared" si="198"/>
        <v>0</v>
      </c>
      <c r="CJ60" s="458">
        <f t="shared" si="199"/>
        <v>0</v>
      </c>
      <c r="CK60" s="451">
        <f t="shared" si="200"/>
        <v>0</v>
      </c>
      <c r="CL60" s="451">
        <f t="shared" si="201"/>
        <v>0</v>
      </c>
      <c r="CM60" s="451">
        <f t="shared" si="202"/>
        <v>0</v>
      </c>
      <c r="CN60" s="454">
        <f t="shared" si="203"/>
        <v>0</v>
      </c>
      <c r="CO60" s="454">
        <f t="shared" si="204"/>
        <v>0</v>
      </c>
      <c r="CP60" s="454">
        <f t="shared" si="205"/>
        <v>0</v>
      </c>
      <c r="CQ60" s="454">
        <f t="shared" si="206"/>
        <v>0</v>
      </c>
      <c r="CR60" s="454">
        <f t="shared" si="207"/>
        <v>0</v>
      </c>
      <c r="CS60" s="454">
        <f t="shared" si="208"/>
        <v>0</v>
      </c>
      <c r="CT60" s="459">
        <f t="shared" si="209"/>
        <v>0</v>
      </c>
      <c r="CU60" s="460">
        <f t="shared" si="210"/>
        <v>1</v>
      </c>
      <c r="CV60" s="460">
        <f t="shared" si="211"/>
        <v>0</v>
      </c>
      <c r="CW60" s="460">
        <f t="shared" si="212"/>
        <v>0</v>
      </c>
      <c r="CX60" s="460">
        <f t="shared" si="213"/>
        <v>1</v>
      </c>
      <c r="CY60" s="460">
        <f t="shared" si="214"/>
        <v>0</v>
      </c>
      <c r="CZ60" s="460">
        <f t="shared" si="215"/>
        <v>0</v>
      </c>
      <c r="DA60" s="461">
        <f t="shared" si="216"/>
        <v>0.35000000000000009</v>
      </c>
      <c r="DB60" s="118">
        <v>1.3</v>
      </c>
      <c r="DC60" s="118">
        <v>1.4</v>
      </c>
      <c r="DD60" s="118">
        <v>2</v>
      </c>
      <c r="DE60" s="118">
        <v>2</v>
      </c>
      <c r="DF60" s="462">
        <v>2</v>
      </c>
      <c r="DG60" s="455">
        <f t="shared" si="217"/>
        <v>0</v>
      </c>
      <c r="DH60" s="463">
        <f t="shared" si="218"/>
        <v>0</v>
      </c>
      <c r="DI60" s="463">
        <f t="shared" si="219"/>
        <v>0</v>
      </c>
      <c r="DJ60" s="463">
        <f t="shared" si="220"/>
        <v>135</v>
      </c>
      <c r="DK60" s="463">
        <f t="shared" si="221"/>
        <v>96.750000000000014</v>
      </c>
      <c r="DL60" s="463">
        <f t="shared" si="222"/>
        <v>0</v>
      </c>
      <c r="DM60" s="463">
        <f t="shared" si="223"/>
        <v>0</v>
      </c>
      <c r="DN60" s="463">
        <f t="shared" si="224"/>
        <v>0</v>
      </c>
      <c r="DO60" s="463">
        <f t="shared" si="225"/>
        <v>0</v>
      </c>
      <c r="DP60" s="463">
        <f t="shared" si="226"/>
        <v>0</v>
      </c>
      <c r="DQ60" s="445"/>
    </row>
    <row r="61" spans="1:121" ht="26" x14ac:dyDescent="0.25">
      <c r="A61" s="448" t="s">
        <v>2051</v>
      </c>
      <c r="B61" s="257"/>
      <c r="C61" s="101" t="str">
        <f>'Planilha Hidráulica'!B67</f>
        <v>PV19.1-&gt;PV20.1</v>
      </c>
      <c r="D61" s="258">
        <f>'Planilha Hidráulica'!R67</f>
        <v>2.5</v>
      </c>
      <c r="E61" s="258">
        <f>'Planilha Hidráulica'!S67</f>
        <v>2</v>
      </c>
      <c r="F61" s="258">
        <f>'Planilha Hidráulica'!K67</f>
        <v>50</v>
      </c>
      <c r="G61" s="101">
        <f>'Planilha Hidráulica'!M67</f>
        <v>1200</v>
      </c>
      <c r="H61" s="449">
        <f t="shared" si="130"/>
        <v>2.64</v>
      </c>
      <c r="I61" s="102">
        <f t="shared" si="131"/>
        <v>6.6</v>
      </c>
      <c r="J61" s="450">
        <v>0</v>
      </c>
      <c r="K61" s="451">
        <f t="shared" si="132"/>
        <v>2.2000000000000002</v>
      </c>
      <c r="L61" s="451">
        <f t="shared" si="133"/>
        <v>2.2000000000000002</v>
      </c>
      <c r="M61" s="451">
        <f>'Planilha Hidráulica'!X67</f>
        <v>800</v>
      </c>
      <c r="N61" s="451">
        <f t="shared" si="134"/>
        <v>110.00000000000001</v>
      </c>
      <c r="O61" s="452" t="str">
        <f>'Planilha Hidráulica'!W67</f>
        <v>ASFALTO</v>
      </c>
      <c r="P61" s="452" t="s">
        <v>2054</v>
      </c>
      <c r="Q61" s="452"/>
      <c r="R61" s="452">
        <v>3.8</v>
      </c>
      <c r="S61" s="452">
        <v>2.4</v>
      </c>
      <c r="T61" s="451">
        <f t="shared" si="135"/>
        <v>0.15</v>
      </c>
      <c r="U61" s="453">
        <f t="shared" si="136"/>
        <v>25.132741228718348</v>
      </c>
      <c r="V61" s="106">
        <f t="shared" si="137"/>
        <v>265.26725877128166</v>
      </c>
      <c r="W61" s="107">
        <f t="shared" si="138"/>
        <v>0</v>
      </c>
      <c r="X61" s="107">
        <f t="shared" si="139"/>
        <v>0</v>
      </c>
      <c r="Y61" s="454">
        <f t="shared" si="140"/>
        <v>2.64</v>
      </c>
      <c r="Z61" s="454">
        <f t="shared" si="141"/>
        <v>0</v>
      </c>
      <c r="AA61" s="455">
        <f t="shared" si="142"/>
        <v>110.00000000000001</v>
      </c>
      <c r="AB61" s="117">
        <f t="shared" si="143"/>
        <v>0</v>
      </c>
      <c r="AC61" s="109">
        <f t="shared" si="144"/>
        <v>0</v>
      </c>
      <c r="AD61" s="109">
        <f t="shared" si="145"/>
        <v>0</v>
      </c>
      <c r="AE61" s="109">
        <f t="shared" si="146"/>
        <v>0</v>
      </c>
      <c r="AF61" s="109">
        <f t="shared" si="147"/>
        <v>0</v>
      </c>
      <c r="AG61" s="109">
        <f t="shared" si="148"/>
        <v>0</v>
      </c>
      <c r="AH61" s="109">
        <f t="shared" si="149"/>
        <v>0</v>
      </c>
      <c r="AI61" s="109">
        <f t="shared" si="150"/>
        <v>0</v>
      </c>
      <c r="AJ61" s="456">
        <f t="shared" si="151"/>
        <v>0</v>
      </c>
      <c r="AK61" s="456">
        <f t="shared" si="152"/>
        <v>0</v>
      </c>
      <c r="AL61" s="456">
        <f t="shared" si="153"/>
        <v>165.00000000000003</v>
      </c>
      <c r="AM61" s="456">
        <f t="shared" si="228"/>
        <v>100.26725877128169</v>
      </c>
      <c r="AN61" s="456">
        <f t="shared" si="230"/>
        <v>0</v>
      </c>
      <c r="AO61" s="456">
        <f t="shared" si="154"/>
        <v>0</v>
      </c>
      <c r="AP61" s="456">
        <f t="shared" si="155"/>
        <v>0</v>
      </c>
      <c r="AQ61" s="456">
        <f t="shared" si="156"/>
        <v>0</v>
      </c>
      <c r="AR61" s="104">
        <f t="shared" si="157"/>
        <v>0</v>
      </c>
      <c r="AS61" s="451">
        <f t="shared" si="158"/>
        <v>0.16000000000000014</v>
      </c>
      <c r="AT61" s="104">
        <f t="shared" si="159"/>
        <v>233.85133223538375</v>
      </c>
      <c r="AU61" s="102">
        <f t="shared" si="160"/>
        <v>0</v>
      </c>
      <c r="AV61" s="106">
        <f t="shared" si="161"/>
        <v>16.5</v>
      </c>
      <c r="AW61" s="104">
        <f t="shared" si="162"/>
        <v>0</v>
      </c>
      <c r="AX61" s="104">
        <f t="shared" si="163"/>
        <v>0</v>
      </c>
      <c r="AY61" s="104">
        <f t="shared" si="164"/>
        <v>1.5</v>
      </c>
      <c r="AZ61" s="104">
        <f t="shared" si="165"/>
        <v>108.45133223538372</v>
      </c>
      <c r="BA61" s="104">
        <f t="shared" si="166"/>
        <v>0</v>
      </c>
      <c r="BB61" s="104">
        <f t="shared" si="167"/>
        <v>16.5</v>
      </c>
      <c r="BC61" s="104">
        <f t="shared" si="168"/>
        <v>16.5</v>
      </c>
      <c r="BD61" s="104">
        <f t="shared" si="169"/>
        <v>3.3000000000000003</v>
      </c>
      <c r="BE61" s="104">
        <f t="shared" si="170"/>
        <v>75.900000000000034</v>
      </c>
      <c r="BF61" s="104">
        <f t="shared" si="171"/>
        <v>140.315926535898</v>
      </c>
      <c r="BG61" s="104">
        <f t="shared" si="172"/>
        <v>75.900000000000034</v>
      </c>
      <c r="BH61" s="104">
        <f t="shared" si="173"/>
        <v>64.415926535897967</v>
      </c>
      <c r="BI61" s="104">
        <f t="shared" si="174"/>
        <v>0</v>
      </c>
      <c r="BJ61" s="104">
        <f t="shared" si="227"/>
        <v>0</v>
      </c>
      <c r="BK61" s="104">
        <f t="shared" si="175"/>
        <v>0</v>
      </c>
      <c r="BL61" s="125"/>
      <c r="BM61" s="104">
        <f t="shared" si="176"/>
        <v>0.66</v>
      </c>
      <c r="BN61" s="455">
        <f t="shared" si="177"/>
        <v>0</v>
      </c>
      <c r="BO61" s="457">
        <f t="shared" si="178"/>
        <v>0</v>
      </c>
      <c r="BP61" s="457">
        <f t="shared" si="179"/>
        <v>0</v>
      </c>
      <c r="BQ61" s="457">
        <f t="shared" si="180"/>
        <v>0</v>
      </c>
      <c r="BR61" s="451">
        <f t="shared" si="181"/>
        <v>0</v>
      </c>
      <c r="BS61" s="451">
        <f t="shared" si="182"/>
        <v>0</v>
      </c>
      <c r="BT61" s="451">
        <f t="shared" si="183"/>
        <v>0</v>
      </c>
      <c r="BU61" s="451">
        <f t="shared" si="184"/>
        <v>0</v>
      </c>
      <c r="BV61" s="451">
        <f t="shared" si="185"/>
        <v>0</v>
      </c>
      <c r="BW61" s="451">
        <f t="shared" si="186"/>
        <v>0</v>
      </c>
      <c r="BX61" s="451">
        <f t="shared" si="187"/>
        <v>0</v>
      </c>
      <c r="BY61" s="451">
        <f t="shared" si="188"/>
        <v>0</v>
      </c>
      <c r="BZ61" s="451">
        <f t="shared" si="189"/>
        <v>0</v>
      </c>
      <c r="CA61" s="451">
        <f t="shared" si="190"/>
        <v>0</v>
      </c>
      <c r="CB61" s="451">
        <f t="shared" si="191"/>
        <v>0</v>
      </c>
      <c r="CC61" s="451">
        <f t="shared" si="192"/>
        <v>0</v>
      </c>
      <c r="CD61" s="451">
        <f t="shared" si="193"/>
        <v>0</v>
      </c>
      <c r="CE61" s="451">
        <f t="shared" si="194"/>
        <v>0</v>
      </c>
      <c r="CF61" s="451">
        <f t="shared" si="195"/>
        <v>2.64</v>
      </c>
      <c r="CG61" s="451">
        <f t="shared" si="196"/>
        <v>50</v>
      </c>
      <c r="CH61" s="451">
        <f t="shared" si="197"/>
        <v>0</v>
      </c>
      <c r="CI61" s="451">
        <f t="shared" si="198"/>
        <v>0</v>
      </c>
      <c r="CJ61" s="458">
        <f t="shared" si="199"/>
        <v>0</v>
      </c>
      <c r="CK61" s="451">
        <f t="shared" si="200"/>
        <v>0</v>
      </c>
      <c r="CL61" s="451">
        <f t="shared" si="201"/>
        <v>0</v>
      </c>
      <c r="CM61" s="451">
        <f t="shared" si="202"/>
        <v>0</v>
      </c>
      <c r="CN61" s="454">
        <f t="shared" si="203"/>
        <v>0</v>
      </c>
      <c r="CO61" s="454">
        <f t="shared" si="204"/>
        <v>0</v>
      </c>
      <c r="CP61" s="454">
        <f t="shared" si="205"/>
        <v>0</v>
      </c>
      <c r="CQ61" s="454">
        <f t="shared" si="206"/>
        <v>0</v>
      </c>
      <c r="CR61" s="454">
        <f t="shared" si="207"/>
        <v>0</v>
      </c>
      <c r="CS61" s="454">
        <f t="shared" si="208"/>
        <v>0</v>
      </c>
      <c r="CT61" s="459">
        <f t="shared" si="209"/>
        <v>0</v>
      </c>
      <c r="CU61" s="460">
        <f t="shared" si="210"/>
        <v>1</v>
      </c>
      <c r="CV61" s="460">
        <f t="shared" si="211"/>
        <v>0</v>
      </c>
      <c r="CW61" s="460">
        <f t="shared" si="212"/>
        <v>0</v>
      </c>
      <c r="CX61" s="460">
        <f t="shared" si="213"/>
        <v>0</v>
      </c>
      <c r="CY61" s="460">
        <f t="shared" si="214"/>
        <v>1</v>
      </c>
      <c r="CZ61" s="460">
        <f t="shared" si="215"/>
        <v>0</v>
      </c>
      <c r="DA61" s="461">
        <f t="shared" si="216"/>
        <v>0.5</v>
      </c>
      <c r="DB61" s="118">
        <v>1.3</v>
      </c>
      <c r="DC61" s="118">
        <v>1.4</v>
      </c>
      <c r="DD61" s="118">
        <v>2</v>
      </c>
      <c r="DE61" s="118">
        <v>2</v>
      </c>
      <c r="DF61" s="462">
        <v>2</v>
      </c>
      <c r="DG61" s="455">
        <f t="shared" si="217"/>
        <v>0</v>
      </c>
      <c r="DH61" s="463">
        <f t="shared" si="218"/>
        <v>0</v>
      </c>
      <c r="DI61" s="463">
        <f t="shared" si="219"/>
        <v>0</v>
      </c>
      <c r="DJ61" s="463">
        <f t="shared" si="220"/>
        <v>150</v>
      </c>
      <c r="DK61" s="463">
        <f t="shared" si="221"/>
        <v>114.00000000000001</v>
      </c>
      <c r="DL61" s="463">
        <f t="shared" si="222"/>
        <v>0</v>
      </c>
      <c r="DM61" s="463">
        <f t="shared" si="223"/>
        <v>0</v>
      </c>
      <c r="DN61" s="463">
        <f t="shared" si="224"/>
        <v>0</v>
      </c>
      <c r="DO61" s="463">
        <f t="shared" si="225"/>
        <v>0</v>
      </c>
      <c r="DP61" s="463">
        <f t="shared" si="226"/>
        <v>0</v>
      </c>
      <c r="DQ61" s="464"/>
    </row>
    <row r="62" spans="1:121" ht="26" x14ac:dyDescent="0.25">
      <c r="A62" s="448" t="s">
        <v>2055</v>
      </c>
      <c r="B62" s="257"/>
      <c r="C62" s="101" t="str">
        <f>'Planilha Hidráulica'!B68</f>
        <v>PV20.1-&gt;PV21.1</v>
      </c>
      <c r="D62" s="258">
        <f>'Planilha Hidráulica'!R68</f>
        <v>2.5</v>
      </c>
      <c r="E62" s="258">
        <f>'Planilha Hidráulica'!S68</f>
        <v>2</v>
      </c>
      <c r="F62" s="258">
        <f>'Planilha Hidráulica'!K68</f>
        <v>50</v>
      </c>
      <c r="G62" s="101">
        <f>'Planilha Hidráulica'!M68</f>
        <v>1200</v>
      </c>
      <c r="H62" s="449">
        <f t="shared" si="130"/>
        <v>2.64</v>
      </c>
      <c r="I62" s="102">
        <f t="shared" si="131"/>
        <v>6.6</v>
      </c>
      <c r="J62" s="450">
        <v>0</v>
      </c>
      <c r="K62" s="451">
        <f t="shared" si="132"/>
        <v>2.2000000000000002</v>
      </c>
      <c r="L62" s="451">
        <f t="shared" si="133"/>
        <v>2.2000000000000002</v>
      </c>
      <c r="M62" s="451">
        <f>'Planilha Hidráulica'!X68</f>
        <v>800</v>
      </c>
      <c r="N62" s="451">
        <f t="shared" si="134"/>
        <v>110.00000000000001</v>
      </c>
      <c r="O62" s="452" t="str">
        <f>'Planilha Hidráulica'!W68</f>
        <v>ASFALTO</v>
      </c>
      <c r="P62" s="452" t="s">
        <v>2054</v>
      </c>
      <c r="Q62" s="452"/>
      <c r="R62" s="452">
        <v>3.8</v>
      </c>
      <c r="S62" s="452">
        <v>2.4</v>
      </c>
      <c r="T62" s="451">
        <f t="shared" si="135"/>
        <v>0.15</v>
      </c>
      <c r="U62" s="453">
        <f t="shared" si="136"/>
        <v>25.132741228718348</v>
      </c>
      <c r="V62" s="106">
        <f t="shared" si="137"/>
        <v>265.26725877128166</v>
      </c>
      <c r="W62" s="107">
        <f t="shared" si="138"/>
        <v>0</v>
      </c>
      <c r="X62" s="107">
        <f t="shared" si="139"/>
        <v>0</v>
      </c>
      <c r="Y62" s="454">
        <f t="shared" si="140"/>
        <v>2.64</v>
      </c>
      <c r="Z62" s="454">
        <f t="shared" si="141"/>
        <v>0</v>
      </c>
      <c r="AA62" s="455">
        <f t="shared" si="142"/>
        <v>110.00000000000001</v>
      </c>
      <c r="AB62" s="117">
        <f t="shared" si="143"/>
        <v>0</v>
      </c>
      <c r="AC62" s="109">
        <f t="shared" si="144"/>
        <v>0</v>
      </c>
      <c r="AD62" s="109">
        <f t="shared" si="145"/>
        <v>0</v>
      </c>
      <c r="AE62" s="109">
        <f t="shared" si="146"/>
        <v>0</v>
      </c>
      <c r="AF62" s="109">
        <f t="shared" si="147"/>
        <v>0</v>
      </c>
      <c r="AG62" s="109">
        <f t="shared" si="148"/>
        <v>0</v>
      </c>
      <c r="AH62" s="109">
        <f t="shared" si="149"/>
        <v>0</v>
      </c>
      <c r="AI62" s="109">
        <f t="shared" si="150"/>
        <v>0</v>
      </c>
      <c r="AJ62" s="456">
        <f t="shared" si="151"/>
        <v>0</v>
      </c>
      <c r="AK62" s="456">
        <f t="shared" si="152"/>
        <v>0</v>
      </c>
      <c r="AL62" s="456">
        <f t="shared" si="153"/>
        <v>165.00000000000003</v>
      </c>
      <c r="AM62" s="456">
        <f t="shared" si="228"/>
        <v>100.26725877128169</v>
      </c>
      <c r="AN62" s="456">
        <f t="shared" si="230"/>
        <v>0</v>
      </c>
      <c r="AO62" s="456">
        <f t="shared" si="154"/>
        <v>0</v>
      </c>
      <c r="AP62" s="456">
        <f t="shared" si="155"/>
        <v>0</v>
      </c>
      <c r="AQ62" s="456">
        <f t="shared" si="156"/>
        <v>0</v>
      </c>
      <c r="AR62" s="104">
        <f t="shared" si="157"/>
        <v>0</v>
      </c>
      <c r="AS62" s="451">
        <f t="shared" si="158"/>
        <v>0.16000000000000014</v>
      </c>
      <c r="AT62" s="104">
        <f t="shared" si="159"/>
        <v>233.85133223538375</v>
      </c>
      <c r="AU62" s="102">
        <f t="shared" si="160"/>
        <v>0</v>
      </c>
      <c r="AV62" s="106">
        <f t="shared" si="161"/>
        <v>16.5</v>
      </c>
      <c r="AW62" s="104">
        <f t="shared" si="162"/>
        <v>0</v>
      </c>
      <c r="AX62" s="104">
        <f t="shared" si="163"/>
        <v>0</v>
      </c>
      <c r="AY62" s="104">
        <f t="shared" si="164"/>
        <v>1.5</v>
      </c>
      <c r="AZ62" s="104">
        <f t="shared" si="165"/>
        <v>108.45133223538372</v>
      </c>
      <c r="BA62" s="104">
        <f t="shared" si="166"/>
        <v>0</v>
      </c>
      <c r="BB62" s="104">
        <f t="shared" si="167"/>
        <v>16.5</v>
      </c>
      <c r="BC62" s="104">
        <f t="shared" si="168"/>
        <v>16.5</v>
      </c>
      <c r="BD62" s="104">
        <f t="shared" si="169"/>
        <v>3.3000000000000003</v>
      </c>
      <c r="BE62" s="104">
        <f t="shared" si="170"/>
        <v>75.900000000000034</v>
      </c>
      <c r="BF62" s="104">
        <f t="shared" si="171"/>
        <v>140.315926535898</v>
      </c>
      <c r="BG62" s="104">
        <f t="shared" si="172"/>
        <v>75.900000000000034</v>
      </c>
      <c r="BH62" s="104">
        <f t="shared" si="173"/>
        <v>64.415926535897967</v>
      </c>
      <c r="BI62" s="104">
        <f t="shared" si="174"/>
        <v>0</v>
      </c>
      <c r="BJ62" s="104">
        <f t="shared" si="227"/>
        <v>0</v>
      </c>
      <c r="BK62" s="104">
        <f t="shared" si="175"/>
        <v>0</v>
      </c>
      <c r="BL62" s="125"/>
      <c r="BM62" s="104">
        <f t="shared" si="176"/>
        <v>0.66</v>
      </c>
      <c r="BN62" s="455">
        <f t="shared" si="177"/>
        <v>0</v>
      </c>
      <c r="BO62" s="457">
        <f t="shared" si="178"/>
        <v>0</v>
      </c>
      <c r="BP62" s="457">
        <f t="shared" si="179"/>
        <v>0</v>
      </c>
      <c r="BQ62" s="457">
        <f t="shared" si="180"/>
        <v>0</v>
      </c>
      <c r="BR62" s="451">
        <f t="shared" si="181"/>
        <v>0</v>
      </c>
      <c r="BS62" s="451">
        <f t="shared" si="182"/>
        <v>0</v>
      </c>
      <c r="BT62" s="451">
        <f t="shared" si="183"/>
        <v>0</v>
      </c>
      <c r="BU62" s="451">
        <f t="shared" si="184"/>
        <v>0</v>
      </c>
      <c r="BV62" s="451">
        <f t="shared" si="185"/>
        <v>0</v>
      </c>
      <c r="BW62" s="451">
        <f t="shared" si="186"/>
        <v>0</v>
      </c>
      <c r="BX62" s="451">
        <f t="shared" si="187"/>
        <v>0</v>
      </c>
      <c r="BY62" s="451">
        <f t="shared" si="188"/>
        <v>0</v>
      </c>
      <c r="BZ62" s="451">
        <f t="shared" si="189"/>
        <v>0</v>
      </c>
      <c r="CA62" s="451">
        <f t="shared" si="190"/>
        <v>0</v>
      </c>
      <c r="CB62" s="451">
        <f t="shared" si="191"/>
        <v>0</v>
      </c>
      <c r="CC62" s="451">
        <f t="shared" si="192"/>
        <v>0</v>
      </c>
      <c r="CD62" s="451">
        <f t="shared" si="193"/>
        <v>0</v>
      </c>
      <c r="CE62" s="451">
        <f t="shared" si="194"/>
        <v>0</v>
      </c>
      <c r="CF62" s="451">
        <f t="shared" si="195"/>
        <v>2.64</v>
      </c>
      <c r="CG62" s="451">
        <f t="shared" si="196"/>
        <v>50</v>
      </c>
      <c r="CH62" s="451">
        <f t="shared" si="197"/>
        <v>0</v>
      </c>
      <c r="CI62" s="451">
        <f t="shared" si="198"/>
        <v>0</v>
      </c>
      <c r="CJ62" s="458">
        <f t="shared" si="199"/>
        <v>0</v>
      </c>
      <c r="CK62" s="451">
        <f t="shared" si="200"/>
        <v>0</v>
      </c>
      <c r="CL62" s="451">
        <f t="shared" si="201"/>
        <v>0</v>
      </c>
      <c r="CM62" s="451">
        <f t="shared" si="202"/>
        <v>0</v>
      </c>
      <c r="CN62" s="454">
        <f t="shared" si="203"/>
        <v>0</v>
      </c>
      <c r="CO62" s="454">
        <f t="shared" si="204"/>
        <v>0</v>
      </c>
      <c r="CP62" s="454">
        <f t="shared" si="205"/>
        <v>0</v>
      </c>
      <c r="CQ62" s="454">
        <f t="shared" si="206"/>
        <v>0</v>
      </c>
      <c r="CR62" s="454">
        <f t="shared" si="207"/>
        <v>0</v>
      </c>
      <c r="CS62" s="454">
        <f t="shared" si="208"/>
        <v>0</v>
      </c>
      <c r="CT62" s="459">
        <f t="shared" si="209"/>
        <v>0</v>
      </c>
      <c r="CU62" s="460">
        <f t="shared" si="210"/>
        <v>1</v>
      </c>
      <c r="CV62" s="460">
        <f t="shared" si="211"/>
        <v>0</v>
      </c>
      <c r="CW62" s="460">
        <f t="shared" si="212"/>
        <v>0</v>
      </c>
      <c r="CX62" s="460">
        <f t="shared" si="213"/>
        <v>0</v>
      </c>
      <c r="CY62" s="460">
        <f t="shared" si="214"/>
        <v>1</v>
      </c>
      <c r="CZ62" s="460">
        <f t="shared" si="215"/>
        <v>0</v>
      </c>
      <c r="DA62" s="461">
        <f t="shared" si="216"/>
        <v>0.5</v>
      </c>
      <c r="DB62" s="118">
        <v>1.3</v>
      </c>
      <c r="DC62" s="118">
        <v>1.4</v>
      </c>
      <c r="DD62" s="118">
        <v>2</v>
      </c>
      <c r="DE62" s="118">
        <v>2</v>
      </c>
      <c r="DF62" s="462">
        <v>2</v>
      </c>
      <c r="DG62" s="455">
        <f t="shared" si="217"/>
        <v>0</v>
      </c>
      <c r="DH62" s="463">
        <f t="shared" si="218"/>
        <v>0</v>
      </c>
      <c r="DI62" s="463">
        <f t="shared" si="219"/>
        <v>0</v>
      </c>
      <c r="DJ62" s="463">
        <f t="shared" si="220"/>
        <v>150</v>
      </c>
      <c r="DK62" s="463">
        <f t="shared" si="221"/>
        <v>114.00000000000001</v>
      </c>
      <c r="DL62" s="463">
        <f t="shared" si="222"/>
        <v>0</v>
      </c>
      <c r="DM62" s="463">
        <f t="shared" si="223"/>
        <v>0</v>
      </c>
      <c r="DN62" s="463">
        <f t="shared" si="224"/>
        <v>0</v>
      </c>
      <c r="DO62" s="463">
        <f t="shared" si="225"/>
        <v>0</v>
      </c>
      <c r="DP62" s="463">
        <f t="shared" si="226"/>
        <v>0</v>
      </c>
      <c r="DQ62" s="464"/>
    </row>
    <row r="63" spans="1:121" ht="26" x14ac:dyDescent="0.25">
      <c r="A63" s="448" t="s">
        <v>2055</v>
      </c>
      <c r="B63" s="257"/>
      <c r="C63" s="101" t="str">
        <f>'Planilha Hidráulica'!B69</f>
        <v>PV21.1-&gt;PV22.1</v>
      </c>
      <c r="D63" s="258">
        <f>'Planilha Hidráulica'!R69</f>
        <v>2.4</v>
      </c>
      <c r="E63" s="258">
        <f>'Planilha Hidráulica'!S69</f>
        <v>2</v>
      </c>
      <c r="F63" s="258">
        <f>'Planilha Hidráulica'!K69</f>
        <v>50</v>
      </c>
      <c r="G63" s="101">
        <f>'Planilha Hidráulica'!M69</f>
        <v>1200</v>
      </c>
      <c r="H63" s="449">
        <f t="shared" si="130"/>
        <v>2.5900000000000003</v>
      </c>
      <c r="I63" s="102">
        <f t="shared" si="131"/>
        <v>6.4750000000000014</v>
      </c>
      <c r="J63" s="450">
        <v>0</v>
      </c>
      <c r="K63" s="451">
        <f t="shared" si="132"/>
        <v>2.2000000000000002</v>
      </c>
      <c r="L63" s="451">
        <f t="shared" si="133"/>
        <v>2.2000000000000002</v>
      </c>
      <c r="M63" s="451">
        <f>'Planilha Hidráulica'!X69</f>
        <v>800</v>
      </c>
      <c r="N63" s="451">
        <f t="shared" si="134"/>
        <v>110.00000000000001</v>
      </c>
      <c r="O63" s="452" t="str">
        <f>'Planilha Hidráulica'!W69</f>
        <v>ASFALTO</v>
      </c>
      <c r="P63" s="452" t="s">
        <v>2054</v>
      </c>
      <c r="Q63" s="452"/>
      <c r="R63" s="452">
        <v>3.8</v>
      </c>
      <c r="S63" s="452">
        <v>2.4</v>
      </c>
      <c r="T63" s="451">
        <f t="shared" si="135"/>
        <v>0.15</v>
      </c>
      <c r="U63" s="453">
        <f t="shared" si="136"/>
        <v>25.132741228718348</v>
      </c>
      <c r="V63" s="106">
        <f t="shared" si="137"/>
        <v>259.76725877128172</v>
      </c>
      <c r="W63" s="107">
        <f t="shared" si="138"/>
        <v>0</v>
      </c>
      <c r="X63" s="107">
        <f t="shared" si="139"/>
        <v>0</v>
      </c>
      <c r="Y63" s="454">
        <f t="shared" si="140"/>
        <v>2.5900000000000003</v>
      </c>
      <c r="Z63" s="454">
        <f t="shared" si="141"/>
        <v>0</v>
      </c>
      <c r="AA63" s="455">
        <f t="shared" si="142"/>
        <v>110.00000000000001</v>
      </c>
      <c r="AB63" s="117">
        <f t="shared" si="143"/>
        <v>0</v>
      </c>
      <c r="AC63" s="109">
        <f t="shared" si="144"/>
        <v>0</v>
      </c>
      <c r="AD63" s="109">
        <f t="shared" si="145"/>
        <v>0</v>
      </c>
      <c r="AE63" s="109">
        <f t="shared" si="146"/>
        <v>0</v>
      </c>
      <c r="AF63" s="109">
        <f t="shared" si="147"/>
        <v>0</v>
      </c>
      <c r="AG63" s="109">
        <f t="shared" si="148"/>
        <v>0</v>
      </c>
      <c r="AH63" s="109">
        <f t="shared" si="149"/>
        <v>0</v>
      </c>
      <c r="AI63" s="109">
        <f t="shared" si="150"/>
        <v>0</v>
      </c>
      <c r="AJ63" s="456">
        <f t="shared" si="151"/>
        <v>0</v>
      </c>
      <c r="AK63" s="456">
        <f t="shared" si="152"/>
        <v>0</v>
      </c>
      <c r="AL63" s="456">
        <f t="shared" si="153"/>
        <v>165.00000000000003</v>
      </c>
      <c r="AM63" s="456">
        <f t="shared" si="228"/>
        <v>94.767258771281703</v>
      </c>
      <c r="AN63" s="456">
        <f t="shared" si="230"/>
        <v>0</v>
      </c>
      <c r="AO63" s="456">
        <f t="shared" si="154"/>
        <v>0</v>
      </c>
      <c r="AP63" s="456">
        <f t="shared" si="155"/>
        <v>0</v>
      </c>
      <c r="AQ63" s="456">
        <f t="shared" si="156"/>
        <v>0</v>
      </c>
      <c r="AR63" s="104">
        <f t="shared" si="157"/>
        <v>0</v>
      </c>
      <c r="AS63" s="451">
        <f t="shared" si="158"/>
        <v>0.12666666666666693</v>
      </c>
      <c r="AT63" s="104">
        <f t="shared" si="159"/>
        <v>228.35133223538381</v>
      </c>
      <c r="AU63" s="102">
        <f t="shared" si="160"/>
        <v>0</v>
      </c>
      <c r="AV63" s="106">
        <f t="shared" si="161"/>
        <v>16.5</v>
      </c>
      <c r="AW63" s="104">
        <f t="shared" si="162"/>
        <v>0</v>
      </c>
      <c r="AX63" s="104">
        <f t="shared" si="163"/>
        <v>0</v>
      </c>
      <c r="AY63" s="104">
        <f t="shared" si="164"/>
        <v>1.5</v>
      </c>
      <c r="AZ63" s="104">
        <f t="shared" si="165"/>
        <v>108.45133223538372</v>
      </c>
      <c r="BA63" s="104">
        <f t="shared" si="166"/>
        <v>0</v>
      </c>
      <c r="BB63" s="104">
        <f t="shared" si="167"/>
        <v>16.5</v>
      </c>
      <c r="BC63" s="104">
        <f t="shared" si="168"/>
        <v>16.5</v>
      </c>
      <c r="BD63" s="104">
        <f t="shared" si="169"/>
        <v>3.3000000000000003</v>
      </c>
      <c r="BE63" s="104">
        <f t="shared" si="170"/>
        <v>70.400000000000091</v>
      </c>
      <c r="BF63" s="104">
        <f t="shared" si="171"/>
        <v>134.815926535898</v>
      </c>
      <c r="BG63" s="104">
        <f t="shared" si="172"/>
        <v>70.400000000000091</v>
      </c>
      <c r="BH63" s="104">
        <f t="shared" si="173"/>
        <v>64.41592653589791</v>
      </c>
      <c r="BI63" s="104">
        <f t="shared" si="174"/>
        <v>0</v>
      </c>
      <c r="BJ63" s="104">
        <f t="shared" si="227"/>
        <v>0</v>
      </c>
      <c r="BK63" s="104">
        <f t="shared" si="175"/>
        <v>0</v>
      </c>
      <c r="BL63" s="125"/>
      <c r="BM63" s="104">
        <f t="shared" si="176"/>
        <v>0.66</v>
      </c>
      <c r="BN63" s="455">
        <f t="shared" si="177"/>
        <v>0</v>
      </c>
      <c r="BO63" s="457">
        <f t="shared" si="178"/>
        <v>0</v>
      </c>
      <c r="BP63" s="457">
        <f t="shared" si="179"/>
        <v>0</v>
      </c>
      <c r="BQ63" s="457">
        <f t="shared" si="180"/>
        <v>0</v>
      </c>
      <c r="BR63" s="451">
        <f t="shared" si="181"/>
        <v>0</v>
      </c>
      <c r="BS63" s="451">
        <f t="shared" si="182"/>
        <v>0</v>
      </c>
      <c r="BT63" s="451">
        <f t="shared" si="183"/>
        <v>0</v>
      </c>
      <c r="BU63" s="451">
        <f t="shared" si="184"/>
        <v>0</v>
      </c>
      <c r="BV63" s="451">
        <f t="shared" si="185"/>
        <v>0</v>
      </c>
      <c r="BW63" s="451">
        <f t="shared" si="186"/>
        <v>0</v>
      </c>
      <c r="BX63" s="451">
        <f t="shared" si="187"/>
        <v>0</v>
      </c>
      <c r="BY63" s="451">
        <f t="shared" si="188"/>
        <v>0</v>
      </c>
      <c r="BZ63" s="451">
        <f t="shared" si="189"/>
        <v>0</v>
      </c>
      <c r="CA63" s="451">
        <f t="shared" si="190"/>
        <v>0</v>
      </c>
      <c r="CB63" s="451">
        <f t="shared" si="191"/>
        <v>0</v>
      </c>
      <c r="CC63" s="451">
        <f t="shared" si="192"/>
        <v>0</v>
      </c>
      <c r="CD63" s="451">
        <f t="shared" si="193"/>
        <v>0</v>
      </c>
      <c r="CE63" s="451">
        <f t="shared" si="194"/>
        <v>0</v>
      </c>
      <c r="CF63" s="451">
        <f t="shared" si="195"/>
        <v>2.5900000000000003</v>
      </c>
      <c r="CG63" s="451">
        <f t="shared" si="196"/>
        <v>50</v>
      </c>
      <c r="CH63" s="451">
        <f t="shared" si="197"/>
        <v>0</v>
      </c>
      <c r="CI63" s="451">
        <f t="shared" si="198"/>
        <v>0</v>
      </c>
      <c r="CJ63" s="458">
        <f t="shared" si="199"/>
        <v>0</v>
      </c>
      <c r="CK63" s="451">
        <f t="shared" si="200"/>
        <v>0</v>
      </c>
      <c r="CL63" s="451">
        <f t="shared" si="201"/>
        <v>0</v>
      </c>
      <c r="CM63" s="451">
        <f t="shared" si="202"/>
        <v>0</v>
      </c>
      <c r="CN63" s="454">
        <f t="shared" si="203"/>
        <v>0</v>
      </c>
      <c r="CO63" s="454">
        <f t="shared" si="204"/>
        <v>0</v>
      </c>
      <c r="CP63" s="454">
        <f t="shared" si="205"/>
        <v>0</v>
      </c>
      <c r="CQ63" s="454">
        <f t="shared" si="206"/>
        <v>0</v>
      </c>
      <c r="CR63" s="454">
        <f t="shared" si="207"/>
        <v>0</v>
      </c>
      <c r="CS63" s="454">
        <f t="shared" si="208"/>
        <v>0</v>
      </c>
      <c r="CT63" s="459">
        <f t="shared" si="209"/>
        <v>0</v>
      </c>
      <c r="CU63" s="460">
        <f t="shared" si="210"/>
        <v>1</v>
      </c>
      <c r="CV63" s="460">
        <f t="shared" si="211"/>
        <v>0</v>
      </c>
      <c r="CW63" s="460">
        <f t="shared" si="212"/>
        <v>0</v>
      </c>
      <c r="CX63" s="460">
        <f t="shared" si="213"/>
        <v>0</v>
      </c>
      <c r="CY63" s="460">
        <f t="shared" si="214"/>
        <v>1</v>
      </c>
      <c r="CZ63" s="460">
        <f t="shared" si="215"/>
        <v>0</v>
      </c>
      <c r="DA63" s="461">
        <f t="shared" si="216"/>
        <v>0.39999999999999991</v>
      </c>
      <c r="DB63" s="118">
        <v>1.3</v>
      </c>
      <c r="DC63" s="118">
        <v>1.4</v>
      </c>
      <c r="DD63" s="118">
        <v>2</v>
      </c>
      <c r="DE63" s="118">
        <v>2</v>
      </c>
      <c r="DF63" s="462">
        <v>2</v>
      </c>
      <c r="DG63" s="455">
        <f t="shared" si="217"/>
        <v>0</v>
      </c>
      <c r="DH63" s="463">
        <f t="shared" si="218"/>
        <v>0</v>
      </c>
      <c r="DI63" s="463">
        <f t="shared" si="219"/>
        <v>0</v>
      </c>
      <c r="DJ63" s="463">
        <f t="shared" si="220"/>
        <v>150</v>
      </c>
      <c r="DK63" s="463">
        <f t="shared" si="221"/>
        <v>109.00000000000003</v>
      </c>
      <c r="DL63" s="463">
        <f t="shared" si="222"/>
        <v>0</v>
      </c>
      <c r="DM63" s="463">
        <f t="shared" si="223"/>
        <v>0</v>
      </c>
      <c r="DN63" s="463">
        <f t="shared" si="224"/>
        <v>0</v>
      </c>
      <c r="DO63" s="463">
        <f t="shared" si="225"/>
        <v>0</v>
      </c>
      <c r="DP63" s="463">
        <f t="shared" si="226"/>
        <v>0</v>
      </c>
      <c r="DQ63" s="464"/>
    </row>
    <row r="64" spans="1:121" ht="26" x14ac:dyDescent="0.25">
      <c r="A64" s="431" t="s">
        <v>2056</v>
      </c>
      <c r="B64" s="257"/>
      <c r="C64" s="101" t="str">
        <f>'Planilha Hidráulica'!B70</f>
        <v>PV22.1-&gt;PV23.1</v>
      </c>
      <c r="D64" s="258">
        <f>'Planilha Hidráulica'!R70</f>
        <v>2.5</v>
      </c>
      <c r="E64" s="258">
        <f>'Planilha Hidráulica'!S70</f>
        <v>2</v>
      </c>
      <c r="F64" s="258">
        <f>'Planilha Hidráulica'!K70</f>
        <v>32.04</v>
      </c>
      <c r="G64" s="101">
        <f>'Planilha Hidráulica'!M70</f>
        <v>1200</v>
      </c>
      <c r="H64" s="449">
        <f t="shared" si="130"/>
        <v>2.64</v>
      </c>
      <c r="I64" s="102">
        <f t="shared" si="131"/>
        <v>4.2292800000000002</v>
      </c>
      <c r="J64" s="450">
        <v>0</v>
      </c>
      <c r="K64" s="451">
        <f t="shared" si="132"/>
        <v>2.2000000000000002</v>
      </c>
      <c r="L64" s="451">
        <f t="shared" si="133"/>
        <v>2.2000000000000002</v>
      </c>
      <c r="M64" s="451">
        <f>'Planilha Hidráulica'!X70</f>
        <v>800</v>
      </c>
      <c r="N64" s="451">
        <f t="shared" si="134"/>
        <v>70.488</v>
      </c>
      <c r="O64" s="452" t="str">
        <f>'Planilha Hidráulica'!W70</f>
        <v>ASFALTO</v>
      </c>
      <c r="P64" s="452" t="s">
        <v>2057</v>
      </c>
      <c r="Q64" s="452"/>
      <c r="R64" s="452">
        <v>3.7</v>
      </c>
      <c r="S64" s="452">
        <v>2.5</v>
      </c>
      <c r="T64" s="451">
        <f t="shared" si="135"/>
        <v>0.15</v>
      </c>
      <c r="U64" s="453">
        <f t="shared" si="136"/>
        <v>16.105060579362718</v>
      </c>
      <c r="V64" s="106">
        <f t="shared" si="137"/>
        <v>169.9832594206373</v>
      </c>
      <c r="W64" s="107">
        <f t="shared" si="138"/>
        <v>0</v>
      </c>
      <c r="X64" s="107">
        <f t="shared" si="139"/>
        <v>0</v>
      </c>
      <c r="Y64" s="454">
        <f t="shared" si="140"/>
        <v>2.64</v>
      </c>
      <c r="Z64" s="454">
        <f t="shared" si="141"/>
        <v>0</v>
      </c>
      <c r="AA64" s="455">
        <f t="shared" si="142"/>
        <v>70.488</v>
      </c>
      <c r="AB64" s="117">
        <f t="shared" si="143"/>
        <v>0</v>
      </c>
      <c r="AC64" s="109">
        <f t="shared" si="144"/>
        <v>0</v>
      </c>
      <c r="AD64" s="109">
        <f t="shared" si="145"/>
        <v>0</v>
      </c>
      <c r="AE64" s="109">
        <f t="shared" si="146"/>
        <v>0</v>
      </c>
      <c r="AF64" s="109">
        <f t="shared" si="147"/>
        <v>0</v>
      </c>
      <c r="AG64" s="109">
        <f t="shared" si="148"/>
        <v>0</v>
      </c>
      <c r="AH64" s="109">
        <f t="shared" si="149"/>
        <v>0</v>
      </c>
      <c r="AI64" s="109">
        <f t="shared" si="150"/>
        <v>0</v>
      </c>
      <c r="AJ64" s="456">
        <f t="shared" si="151"/>
        <v>0</v>
      </c>
      <c r="AK64" s="456">
        <f t="shared" si="152"/>
        <v>0</v>
      </c>
      <c r="AL64" s="456">
        <f t="shared" si="153"/>
        <v>105.732</v>
      </c>
      <c r="AM64" s="456">
        <f>IF(IF(AND(K64&lt;=2.5,K64&gt;1.5),IF(Y64&gt;=3,L64*F64*1.5,K64*F64*(Y64-1.5)),0)&lt;0,0,IF(AND(K64&lt;=2.5,K64&gt;1.5),IF(Y64&gt;=3,L64*F64*1.5,K64*F64*(Y64-1.5)),0))+-U64</f>
        <v>64.251259420637297</v>
      </c>
      <c r="AN64" s="456">
        <f>IF(IF(K64&lt;=2.5,IF(Y64&gt;=4.5,L64*F64*1.5,K64*F64*(Y64-3)),0)&lt;0,0,IF(K64&lt;=2.5,IF(Y64&gt;=4.5,L64*F64*1.5,K64*F64*(Y64-3)),0))</f>
        <v>0</v>
      </c>
      <c r="AO64" s="456">
        <f t="shared" si="154"/>
        <v>0</v>
      </c>
      <c r="AP64" s="456">
        <f t="shared" si="155"/>
        <v>0</v>
      </c>
      <c r="AQ64" s="456">
        <f t="shared" si="156"/>
        <v>0</v>
      </c>
      <c r="AR64" s="104">
        <f t="shared" si="157"/>
        <v>0</v>
      </c>
      <c r="AS64" s="451">
        <f t="shared" si="158"/>
        <v>5.9808000000000056E-2</v>
      </c>
      <c r="AT64" s="104">
        <f t="shared" si="159"/>
        <v>149.85193369643389</v>
      </c>
      <c r="AU64" s="102">
        <f t="shared" si="160"/>
        <v>0</v>
      </c>
      <c r="AV64" s="106">
        <f t="shared" si="161"/>
        <v>10.5732</v>
      </c>
      <c r="AW64" s="104">
        <f t="shared" si="162"/>
        <v>0</v>
      </c>
      <c r="AX64" s="104">
        <f t="shared" si="163"/>
        <v>0</v>
      </c>
      <c r="AY64" s="104">
        <f t="shared" si="164"/>
        <v>1.5</v>
      </c>
      <c r="AZ64" s="104">
        <f t="shared" si="165"/>
        <v>69.495613696433892</v>
      </c>
      <c r="BA64" s="104">
        <f t="shared" si="166"/>
        <v>0</v>
      </c>
      <c r="BB64" s="104">
        <f t="shared" si="167"/>
        <v>10.573200000000002</v>
      </c>
      <c r="BC64" s="104">
        <f t="shared" si="168"/>
        <v>10.573200000000002</v>
      </c>
      <c r="BD64" s="104">
        <f t="shared" si="169"/>
        <v>2.1146400000000001</v>
      </c>
      <c r="BE64" s="104">
        <f t="shared" si="170"/>
        <v>48.636719999999997</v>
      </c>
      <c r="BF64" s="104">
        <f t="shared" si="171"/>
        <v>89.914445724203389</v>
      </c>
      <c r="BG64" s="104">
        <f t="shared" si="172"/>
        <v>48.636719999999997</v>
      </c>
      <c r="BH64" s="104">
        <f t="shared" si="173"/>
        <v>41.277725724203393</v>
      </c>
      <c r="BI64" s="104">
        <f t="shared" si="174"/>
        <v>0</v>
      </c>
      <c r="BJ64" s="104">
        <f t="shared" si="227"/>
        <v>0</v>
      </c>
      <c r="BK64" s="104">
        <f t="shared" si="175"/>
        <v>0</v>
      </c>
      <c r="BL64" s="125"/>
      <c r="BM64" s="104">
        <f t="shared" si="176"/>
        <v>0.42292800000000008</v>
      </c>
      <c r="BN64" s="455">
        <f t="shared" si="177"/>
        <v>0</v>
      </c>
      <c r="BO64" s="457">
        <f t="shared" si="178"/>
        <v>0</v>
      </c>
      <c r="BP64" s="457">
        <f t="shared" si="179"/>
        <v>0</v>
      </c>
      <c r="BQ64" s="457">
        <f t="shared" si="180"/>
        <v>0</v>
      </c>
      <c r="BR64" s="451">
        <f t="shared" si="181"/>
        <v>0</v>
      </c>
      <c r="BS64" s="451">
        <f t="shared" si="182"/>
        <v>0</v>
      </c>
      <c r="BT64" s="451">
        <f t="shared" si="183"/>
        <v>0</v>
      </c>
      <c r="BU64" s="451">
        <f t="shared" si="184"/>
        <v>0</v>
      </c>
      <c r="BV64" s="451">
        <f t="shared" si="185"/>
        <v>0</v>
      </c>
      <c r="BW64" s="451">
        <f t="shared" si="186"/>
        <v>0</v>
      </c>
      <c r="BX64" s="451">
        <f t="shared" si="187"/>
        <v>0</v>
      </c>
      <c r="BY64" s="451">
        <f t="shared" si="188"/>
        <v>0</v>
      </c>
      <c r="BZ64" s="451">
        <f t="shared" si="189"/>
        <v>0</v>
      </c>
      <c r="CA64" s="451">
        <f t="shared" si="190"/>
        <v>0</v>
      </c>
      <c r="CB64" s="451">
        <f t="shared" si="191"/>
        <v>0</v>
      </c>
      <c r="CC64" s="451">
        <f t="shared" si="192"/>
        <v>0</v>
      </c>
      <c r="CD64" s="451">
        <f t="shared" si="193"/>
        <v>0</v>
      </c>
      <c r="CE64" s="451">
        <f t="shared" si="194"/>
        <v>0</v>
      </c>
      <c r="CF64" s="451">
        <f t="shared" si="195"/>
        <v>2.64</v>
      </c>
      <c r="CG64" s="451">
        <f t="shared" si="196"/>
        <v>32.04</v>
      </c>
      <c r="CH64" s="451">
        <f t="shared" si="197"/>
        <v>0</v>
      </c>
      <c r="CI64" s="451">
        <f t="shared" si="198"/>
        <v>0</v>
      </c>
      <c r="CJ64" s="458">
        <f t="shared" si="199"/>
        <v>0</v>
      </c>
      <c r="CK64" s="451">
        <f t="shared" si="200"/>
        <v>0</v>
      </c>
      <c r="CL64" s="451">
        <f t="shared" si="201"/>
        <v>0</v>
      </c>
      <c r="CM64" s="451">
        <f t="shared" si="202"/>
        <v>0</v>
      </c>
      <c r="CN64" s="454">
        <f t="shared" si="203"/>
        <v>0</v>
      </c>
      <c r="CO64" s="454">
        <f t="shared" si="204"/>
        <v>0</v>
      </c>
      <c r="CP64" s="454">
        <f t="shared" si="205"/>
        <v>0</v>
      </c>
      <c r="CQ64" s="454">
        <f t="shared" si="206"/>
        <v>0</v>
      </c>
      <c r="CR64" s="454">
        <f t="shared" si="207"/>
        <v>0</v>
      </c>
      <c r="CS64" s="454">
        <f t="shared" si="208"/>
        <v>0</v>
      </c>
      <c r="CT64" s="459">
        <f t="shared" si="209"/>
        <v>0</v>
      </c>
      <c r="CU64" s="460">
        <f t="shared" si="210"/>
        <v>1</v>
      </c>
      <c r="CV64" s="460">
        <f t="shared" si="211"/>
        <v>0</v>
      </c>
      <c r="CW64" s="460">
        <f t="shared" si="212"/>
        <v>0</v>
      </c>
      <c r="CX64" s="460">
        <f t="shared" si="213"/>
        <v>0</v>
      </c>
      <c r="CY64" s="460">
        <f t="shared" si="214"/>
        <v>1</v>
      </c>
      <c r="CZ64" s="460">
        <f t="shared" si="215"/>
        <v>0</v>
      </c>
      <c r="DA64" s="461">
        <f t="shared" si="216"/>
        <v>0.5</v>
      </c>
      <c r="DB64" s="118">
        <v>1.3</v>
      </c>
      <c r="DC64" s="118">
        <v>1.4</v>
      </c>
      <c r="DD64" s="118">
        <v>2</v>
      </c>
      <c r="DE64" s="118">
        <v>2</v>
      </c>
      <c r="DF64" s="462">
        <v>2</v>
      </c>
      <c r="DG64" s="455">
        <f t="shared" si="217"/>
        <v>0</v>
      </c>
      <c r="DH64" s="463">
        <f t="shared" si="218"/>
        <v>0</v>
      </c>
      <c r="DI64" s="463">
        <f t="shared" si="219"/>
        <v>0</v>
      </c>
      <c r="DJ64" s="463">
        <f t="shared" si="220"/>
        <v>96.12</v>
      </c>
      <c r="DK64" s="463">
        <f t="shared" si="221"/>
        <v>73.051200000000009</v>
      </c>
      <c r="DL64" s="463">
        <f t="shared" si="222"/>
        <v>0</v>
      </c>
      <c r="DM64" s="463">
        <f t="shared" si="223"/>
        <v>0</v>
      </c>
      <c r="DN64" s="463">
        <f t="shared" si="224"/>
        <v>0</v>
      </c>
      <c r="DO64" s="463">
        <f t="shared" si="225"/>
        <v>0</v>
      </c>
      <c r="DP64" s="463">
        <f t="shared" si="226"/>
        <v>0</v>
      </c>
      <c r="DQ64" s="464"/>
    </row>
    <row r="65" spans="1:121" ht="26" x14ac:dyDescent="0.25">
      <c r="A65" s="431" t="s">
        <v>2056</v>
      </c>
      <c r="B65" s="257"/>
      <c r="C65" s="101" t="str">
        <f>'Planilha Hidráulica'!B71</f>
        <v>PV23.1-&gt;PV24.1</v>
      </c>
      <c r="D65" s="258">
        <f>'Planilha Hidráulica'!R71</f>
        <v>2.82</v>
      </c>
      <c r="E65" s="258">
        <f>'Planilha Hidráulica'!S71</f>
        <v>2.82</v>
      </c>
      <c r="F65" s="258">
        <f>'Planilha Hidráulica'!K71</f>
        <v>55.79</v>
      </c>
      <c r="G65" s="101">
        <f>'Planilha Hidráulica'!M71</f>
        <v>1500</v>
      </c>
      <c r="H65" s="449">
        <f t="shared" si="130"/>
        <v>3.32</v>
      </c>
      <c r="I65" s="102">
        <f t="shared" si="131"/>
        <v>9.2611399999999993</v>
      </c>
      <c r="J65" s="450">
        <v>0</v>
      </c>
      <c r="K65" s="451">
        <f t="shared" si="132"/>
        <v>2.6</v>
      </c>
      <c r="L65" s="451">
        <f t="shared" si="133"/>
        <v>2.6</v>
      </c>
      <c r="M65" s="451">
        <f>'Planilha Hidráulica'!X71</f>
        <v>1000</v>
      </c>
      <c r="N65" s="451">
        <f t="shared" si="134"/>
        <v>145.054</v>
      </c>
      <c r="O65" s="452" t="str">
        <f>'Planilha Hidráulica'!W71</f>
        <v>ASFALTO</v>
      </c>
      <c r="P65" s="452" t="s">
        <v>2057</v>
      </c>
      <c r="Q65" s="452"/>
      <c r="R65" s="452">
        <v>3.7</v>
      </c>
      <c r="S65" s="452">
        <v>2.5</v>
      </c>
      <c r="T65" s="451">
        <f t="shared" si="135"/>
        <v>0.2</v>
      </c>
      <c r="U65" s="453">
        <f t="shared" si="136"/>
        <v>43.817363535943642</v>
      </c>
      <c r="V65" s="106">
        <f t="shared" si="137"/>
        <v>437.76191646405636</v>
      </c>
      <c r="W65" s="107">
        <f t="shared" si="138"/>
        <v>0</v>
      </c>
      <c r="X65" s="107">
        <f t="shared" si="139"/>
        <v>0</v>
      </c>
      <c r="Y65" s="454">
        <f t="shared" si="140"/>
        <v>3.32</v>
      </c>
      <c r="Z65" s="454">
        <f t="shared" si="141"/>
        <v>0</v>
      </c>
      <c r="AA65" s="455">
        <f t="shared" si="142"/>
        <v>145.054</v>
      </c>
      <c r="AB65" s="117">
        <f t="shared" si="143"/>
        <v>0</v>
      </c>
      <c r="AC65" s="109">
        <f t="shared" si="144"/>
        <v>0</v>
      </c>
      <c r="AD65" s="109">
        <f t="shared" si="145"/>
        <v>0</v>
      </c>
      <c r="AE65" s="109">
        <f t="shared" si="146"/>
        <v>0</v>
      </c>
      <c r="AF65" s="109">
        <f t="shared" si="147"/>
        <v>0</v>
      </c>
      <c r="AG65" s="109">
        <f t="shared" si="148"/>
        <v>0</v>
      </c>
      <c r="AH65" s="109">
        <f t="shared" si="149"/>
        <v>0</v>
      </c>
      <c r="AI65" s="109">
        <f t="shared" si="150"/>
        <v>0</v>
      </c>
      <c r="AJ65" s="456">
        <f t="shared" si="151"/>
        <v>0</v>
      </c>
      <c r="AK65" s="456">
        <f t="shared" si="152"/>
        <v>0</v>
      </c>
      <c r="AL65" s="456">
        <f t="shared" si="153"/>
        <v>0</v>
      </c>
      <c r="AM65" s="456">
        <f t="shared" ref="AM65:AM71" si="231">IF(IF(AND(K65&lt;=2.5,K65&gt;1.5),IF(Y65&gt;=3,L65*F65*1.5,K65*F65*(Y65-1.5)),0)&lt;0,0,IF(AND(K65&lt;=2.5,K65&gt;1.5),IF(Y65&gt;=3,L65*F65*1.5,K65*F65*(Y65-1.5)),0))+IF(R65&lt;H65,0,IF(AND(Y65&lt;=3,Y65&gt;1.5,K65&gt;1.5,K65&lt;=2.5),-U65,0))</f>
        <v>0</v>
      </c>
      <c r="AN65" s="456">
        <f>IF(IF(K65&lt;=2.5,IF(Y65&gt;=4.5,L65*F65*1.5,K65*F65*(Y65-3)),0)&lt;0,0,IF(K65&lt;=2.5,IF(Y65&gt;=4.5,L65*F65*1.5,K65*F65*(Y65-3)),0))+IF(R65&lt;H65,0,IF(AND(Y65&lt;=4.5,Y65&gt;3,K65&gt;1.5,K65&lt;=2.5),-U65,0))</f>
        <v>0</v>
      </c>
      <c r="AO65" s="456">
        <f t="shared" si="154"/>
        <v>290.108</v>
      </c>
      <c r="AP65" s="456">
        <f t="shared" si="155"/>
        <v>147.65391646405635</v>
      </c>
      <c r="AQ65" s="456">
        <f t="shared" si="156"/>
        <v>0</v>
      </c>
      <c r="AR65" s="104">
        <f t="shared" si="157"/>
        <v>0</v>
      </c>
      <c r="AS65" s="451">
        <f t="shared" si="158"/>
        <v>0.60997066666666655</v>
      </c>
      <c r="AT65" s="104">
        <f t="shared" si="159"/>
        <v>382.99021204412679</v>
      </c>
      <c r="AU65" s="102">
        <f t="shared" si="160"/>
        <v>0</v>
      </c>
      <c r="AV65" s="106">
        <f t="shared" si="161"/>
        <v>29.010800000000003</v>
      </c>
      <c r="AW65" s="104">
        <f t="shared" si="162"/>
        <v>0</v>
      </c>
      <c r="AX65" s="104">
        <f t="shared" si="163"/>
        <v>0</v>
      </c>
      <c r="AY65" s="104">
        <f t="shared" si="164"/>
        <v>1.8</v>
      </c>
      <c r="AZ65" s="104">
        <f t="shared" si="165"/>
        <v>162.50813204412685</v>
      </c>
      <c r="BA65" s="104">
        <f t="shared" si="166"/>
        <v>0</v>
      </c>
      <c r="BB65" s="104">
        <f t="shared" si="167"/>
        <v>21.758099999999999</v>
      </c>
      <c r="BC65" s="104">
        <f t="shared" si="168"/>
        <v>21.758099999999999</v>
      </c>
      <c r="BD65" s="104">
        <f t="shared" si="169"/>
        <v>4.3516200000000005</v>
      </c>
      <c r="BE65" s="104">
        <f t="shared" si="170"/>
        <v>147.9550799999999</v>
      </c>
      <c r="BF65" s="104">
        <f t="shared" si="171"/>
        <v>253.49568441992949</v>
      </c>
      <c r="BG65" s="104">
        <f t="shared" si="172"/>
        <v>147.9550799999999</v>
      </c>
      <c r="BH65" s="104">
        <f t="shared" si="173"/>
        <v>105.54060441992959</v>
      </c>
      <c r="BI65" s="104">
        <f t="shared" si="174"/>
        <v>0</v>
      </c>
      <c r="BJ65" s="104">
        <f t="shared" si="227"/>
        <v>0</v>
      </c>
      <c r="BK65" s="104">
        <f t="shared" si="175"/>
        <v>0</v>
      </c>
      <c r="BL65" s="125"/>
      <c r="BM65" s="104">
        <f t="shared" si="176"/>
        <v>0.87032399999999999</v>
      </c>
      <c r="BN65" s="455">
        <f t="shared" si="177"/>
        <v>0</v>
      </c>
      <c r="BO65" s="457">
        <f t="shared" si="178"/>
        <v>0</v>
      </c>
      <c r="BP65" s="457">
        <f t="shared" si="179"/>
        <v>0</v>
      </c>
      <c r="BQ65" s="457">
        <f t="shared" si="180"/>
        <v>0</v>
      </c>
      <c r="BR65" s="451">
        <f t="shared" si="181"/>
        <v>0</v>
      </c>
      <c r="BS65" s="451">
        <f t="shared" si="182"/>
        <v>0</v>
      </c>
      <c r="BT65" s="451">
        <f t="shared" si="183"/>
        <v>0</v>
      </c>
      <c r="BU65" s="451">
        <f t="shared" si="184"/>
        <v>0</v>
      </c>
      <c r="BV65" s="451">
        <f t="shared" si="185"/>
        <v>0</v>
      </c>
      <c r="BW65" s="451">
        <f t="shared" si="186"/>
        <v>0</v>
      </c>
      <c r="BX65" s="451">
        <f t="shared" si="187"/>
        <v>0</v>
      </c>
      <c r="BY65" s="451">
        <f t="shared" si="188"/>
        <v>0</v>
      </c>
      <c r="BZ65" s="451">
        <f t="shared" si="189"/>
        <v>0</v>
      </c>
      <c r="CA65" s="451">
        <f t="shared" si="190"/>
        <v>0</v>
      </c>
      <c r="CB65" s="451">
        <f t="shared" si="191"/>
        <v>0</v>
      </c>
      <c r="CC65" s="451">
        <f t="shared" si="192"/>
        <v>0</v>
      </c>
      <c r="CD65" s="451">
        <f t="shared" si="193"/>
        <v>0</v>
      </c>
      <c r="CE65" s="451">
        <f t="shared" si="194"/>
        <v>0</v>
      </c>
      <c r="CF65" s="451">
        <f t="shared" si="195"/>
        <v>0</v>
      </c>
      <c r="CG65" s="451">
        <f t="shared" si="196"/>
        <v>0</v>
      </c>
      <c r="CH65" s="451">
        <f t="shared" si="197"/>
        <v>0</v>
      </c>
      <c r="CI65" s="451">
        <f t="shared" si="198"/>
        <v>0</v>
      </c>
      <c r="CJ65" s="458">
        <f t="shared" si="199"/>
        <v>3.32</v>
      </c>
      <c r="CK65" s="451">
        <f t="shared" si="200"/>
        <v>0</v>
      </c>
      <c r="CL65" s="451">
        <f t="shared" si="201"/>
        <v>55.79</v>
      </c>
      <c r="CM65" s="451">
        <f t="shared" si="202"/>
        <v>0</v>
      </c>
      <c r="CN65" s="454">
        <f t="shared" si="203"/>
        <v>0</v>
      </c>
      <c r="CO65" s="454">
        <f t="shared" si="204"/>
        <v>0</v>
      </c>
      <c r="CP65" s="454">
        <f t="shared" si="205"/>
        <v>0</v>
      </c>
      <c r="CQ65" s="454">
        <f t="shared" si="206"/>
        <v>0</v>
      </c>
      <c r="CR65" s="454">
        <f t="shared" si="207"/>
        <v>0</v>
      </c>
      <c r="CS65" s="454">
        <f t="shared" si="208"/>
        <v>0</v>
      </c>
      <c r="CT65" s="459">
        <f t="shared" si="209"/>
        <v>0</v>
      </c>
      <c r="CU65" s="460">
        <f t="shared" si="210"/>
        <v>1</v>
      </c>
      <c r="CV65" s="460">
        <f t="shared" si="211"/>
        <v>0</v>
      </c>
      <c r="CW65" s="460">
        <f t="shared" si="212"/>
        <v>0</v>
      </c>
      <c r="CX65" s="460">
        <f t="shared" si="213"/>
        <v>0</v>
      </c>
      <c r="CY65" s="460">
        <f t="shared" si="214"/>
        <v>0</v>
      </c>
      <c r="CZ65" s="460">
        <f t="shared" si="215"/>
        <v>1</v>
      </c>
      <c r="DA65" s="461">
        <f t="shared" si="216"/>
        <v>0.81999999999999984</v>
      </c>
      <c r="DB65" s="118">
        <v>1.3</v>
      </c>
      <c r="DC65" s="118">
        <v>1.4</v>
      </c>
      <c r="DD65" s="118">
        <v>2</v>
      </c>
      <c r="DE65" s="118">
        <v>2</v>
      </c>
      <c r="DF65" s="462">
        <v>2</v>
      </c>
      <c r="DG65" s="455">
        <f t="shared" si="217"/>
        <v>0</v>
      </c>
      <c r="DH65" s="463">
        <f t="shared" si="218"/>
        <v>0</v>
      </c>
      <c r="DI65" s="463">
        <f t="shared" si="219"/>
        <v>0</v>
      </c>
      <c r="DJ65" s="463">
        <f t="shared" si="220"/>
        <v>0</v>
      </c>
      <c r="DK65" s="463">
        <f t="shared" si="221"/>
        <v>0</v>
      </c>
      <c r="DL65" s="463">
        <f t="shared" si="222"/>
        <v>0</v>
      </c>
      <c r="DM65" s="463">
        <f t="shared" si="223"/>
        <v>167.37</v>
      </c>
      <c r="DN65" s="463">
        <f t="shared" si="224"/>
        <v>167.37</v>
      </c>
      <c r="DO65" s="463">
        <f t="shared" si="225"/>
        <v>35.705599999999983</v>
      </c>
      <c r="DP65" s="463">
        <f t="shared" si="226"/>
        <v>0</v>
      </c>
      <c r="DQ65" s="464"/>
    </row>
    <row r="66" spans="1:121" ht="26" x14ac:dyDescent="0.25">
      <c r="A66" s="431" t="s">
        <v>2056</v>
      </c>
      <c r="B66" s="257"/>
      <c r="C66" s="101" t="str">
        <f>'Planilha Hidráulica'!B72</f>
        <v>PV24.1-&gt;PV25.1</v>
      </c>
      <c r="D66" s="258">
        <f>'Planilha Hidráulica'!R72</f>
        <v>2.82</v>
      </c>
      <c r="E66" s="258">
        <f>'Planilha Hidráulica'!S72</f>
        <v>2.82</v>
      </c>
      <c r="F66" s="258">
        <f>'Planilha Hidráulica'!K72</f>
        <v>44.18</v>
      </c>
      <c r="G66" s="101">
        <f>'Planilha Hidráulica'!M72</f>
        <v>1500</v>
      </c>
      <c r="H66" s="449">
        <f t="shared" si="130"/>
        <v>3.32</v>
      </c>
      <c r="I66" s="102">
        <f t="shared" si="131"/>
        <v>7.3338799999999988</v>
      </c>
      <c r="J66" s="450">
        <v>0</v>
      </c>
      <c r="K66" s="451">
        <f t="shared" si="132"/>
        <v>2.6</v>
      </c>
      <c r="L66" s="451">
        <f t="shared" si="133"/>
        <v>2.6</v>
      </c>
      <c r="M66" s="451">
        <f>'Planilha Hidráulica'!X72</f>
        <v>1000</v>
      </c>
      <c r="N66" s="451">
        <f t="shared" si="134"/>
        <v>114.86800000000001</v>
      </c>
      <c r="O66" s="452" t="str">
        <f>'Planilha Hidráulica'!W72</f>
        <v>ASFALTO</v>
      </c>
      <c r="P66" s="452" t="s">
        <v>2057</v>
      </c>
      <c r="Q66" s="452"/>
      <c r="R66" s="452">
        <v>3.7</v>
      </c>
      <c r="S66" s="452">
        <v>2.5</v>
      </c>
      <c r="T66" s="451">
        <f t="shared" si="135"/>
        <v>0.2</v>
      </c>
      <c r="U66" s="453">
        <f t="shared" si="136"/>
        <v>34.698890858899262</v>
      </c>
      <c r="V66" s="106">
        <f t="shared" si="137"/>
        <v>346.66286914110071</v>
      </c>
      <c r="W66" s="107">
        <f t="shared" si="138"/>
        <v>0</v>
      </c>
      <c r="X66" s="107">
        <f t="shared" si="139"/>
        <v>0</v>
      </c>
      <c r="Y66" s="454">
        <f t="shared" si="140"/>
        <v>3.32</v>
      </c>
      <c r="Z66" s="454">
        <f t="shared" si="141"/>
        <v>0</v>
      </c>
      <c r="AA66" s="455">
        <f t="shared" si="142"/>
        <v>114.86800000000001</v>
      </c>
      <c r="AB66" s="117">
        <f t="shared" si="143"/>
        <v>0</v>
      </c>
      <c r="AC66" s="109">
        <f t="shared" si="144"/>
        <v>0</v>
      </c>
      <c r="AD66" s="109">
        <f t="shared" si="145"/>
        <v>0</v>
      </c>
      <c r="AE66" s="109">
        <f t="shared" si="146"/>
        <v>0</v>
      </c>
      <c r="AF66" s="109">
        <f t="shared" si="147"/>
        <v>0</v>
      </c>
      <c r="AG66" s="109">
        <f t="shared" si="148"/>
        <v>0</v>
      </c>
      <c r="AH66" s="109">
        <f t="shared" si="149"/>
        <v>0</v>
      </c>
      <c r="AI66" s="109">
        <f t="shared" si="150"/>
        <v>0</v>
      </c>
      <c r="AJ66" s="456">
        <f t="shared" si="151"/>
        <v>0</v>
      </c>
      <c r="AK66" s="456">
        <f t="shared" si="152"/>
        <v>0</v>
      </c>
      <c r="AL66" s="456">
        <f t="shared" si="153"/>
        <v>0</v>
      </c>
      <c r="AM66" s="456">
        <f t="shared" si="231"/>
        <v>0</v>
      </c>
      <c r="AN66" s="456">
        <f>IF(IF(K66&lt;=2.5,IF(Y66&gt;=4.5,L66*F66*1.5,K66*F66*(Y66-3)),0)&lt;0,0,IF(K66&lt;=2.5,IF(Y66&gt;=4.5,L66*F66*1.5,K66*F66*(Y66-3)),0))+IF(R66&lt;H66,0,IF(AND(Y66&lt;=4.5,Y66&gt;3,K66&gt;1.5,K66&lt;=2.5),-U66,0))</f>
        <v>0</v>
      </c>
      <c r="AO66" s="456">
        <f t="shared" si="154"/>
        <v>229.73600000000002</v>
      </c>
      <c r="AP66" s="456">
        <f t="shared" si="155"/>
        <v>116.92686914110072</v>
      </c>
      <c r="AQ66" s="456">
        <f t="shared" si="156"/>
        <v>0</v>
      </c>
      <c r="AR66" s="104">
        <f t="shared" si="157"/>
        <v>0</v>
      </c>
      <c r="AS66" s="451">
        <f t="shared" si="158"/>
        <v>0.48303466666666661</v>
      </c>
      <c r="AT66" s="104">
        <f t="shared" si="159"/>
        <v>303.28925556747663</v>
      </c>
      <c r="AU66" s="102">
        <f t="shared" si="160"/>
        <v>0</v>
      </c>
      <c r="AV66" s="106">
        <f t="shared" si="161"/>
        <v>22.973600000000005</v>
      </c>
      <c r="AW66" s="104">
        <f t="shared" si="162"/>
        <v>0</v>
      </c>
      <c r="AX66" s="104">
        <f t="shared" si="163"/>
        <v>0</v>
      </c>
      <c r="AY66" s="104">
        <f t="shared" si="164"/>
        <v>1.8</v>
      </c>
      <c r="AZ66" s="104">
        <f t="shared" si="165"/>
        <v>128.68989556747667</v>
      </c>
      <c r="BA66" s="104">
        <f t="shared" si="166"/>
        <v>0</v>
      </c>
      <c r="BB66" s="104">
        <f t="shared" si="167"/>
        <v>17.2302</v>
      </c>
      <c r="BC66" s="104">
        <f t="shared" si="168"/>
        <v>17.2302</v>
      </c>
      <c r="BD66" s="104">
        <f t="shared" si="169"/>
        <v>3.44604</v>
      </c>
      <c r="BE66" s="104">
        <f t="shared" si="170"/>
        <v>117.16535999999991</v>
      </c>
      <c r="BF66" s="104">
        <f t="shared" si="171"/>
        <v>200.74277357362402</v>
      </c>
      <c r="BG66" s="104">
        <f t="shared" si="172"/>
        <v>117.16535999999991</v>
      </c>
      <c r="BH66" s="104">
        <f t="shared" si="173"/>
        <v>83.577413573624113</v>
      </c>
      <c r="BI66" s="104">
        <f t="shared" si="174"/>
        <v>0</v>
      </c>
      <c r="BJ66" s="104">
        <f t="shared" si="227"/>
        <v>0</v>
      </c>
      <c r="BK66" s="104">
        <f t="shared" si="175"/>
        <v>0</v>
      </c>
      <c r="BL66" s="125"/>
      <c r="BM66" s="104">
        <f t="shared" si="176"/>
        <v>0.68920800000000004</v>
      </c>
      <c r="BN66" s="455">
        <f t="shared" si="177"/>
        <v>0</v>
      </c>
      <c r="BO66" s="457">
        <f t="shared" si="178"/>
        <v>0</v>
      </c>
      <c r="BP66" s="457">
        <f t="shared" si="179"/>
        <v>0</v>
      </c>
      <c r="BQ66" s="457">
        <f t="shared" si="180"/>
        <v>0</v>
      </c>
      <c r="BR66" s="451">
        <f t="shared" si="181"/>
        <v>0</v>
      </c>
      <c r="BS66" s="451">
        <f t="shared" si="182"/>
        <v>0</v>
      </c>
      <c r="BT66" s="451">
        <f t="shared" si="183"/>
        <v>0</v>
      </c>
      <c r="BU66" s="451">
        <f t="shared" si="184"/>
        <v>0</v>
      </c>
      <c r="BV66" s="451">
        <f t="shared" si="185"/>
        <v>0</v>
      </c>
      <c r="BW66" s="451">
        <f t="shared" si="186"/>
        <v>0</v>
      </c>
      <c r="BX66" s="451">
        <f t="shared" si="187"/>
        <v>0</v>
      </c>
      <c r="BY66" s="451">
        <f t="shared" si="188"/>
        <v>0</v>
      </c>
      <c r="BZ66" s="451">
        <f t="shared" si="189"/>
        <v>0</v>
      </c>
      <c r="CA66" s="451">
        <f t="shared" si="190"/>
        <v>0</v>
      </c>
      <c r="CB66" s="451">
        <f t="shared" si="191"/>
        <v>0</v>
      </c>
      <c r="CC66" s="451">
        <f t="shared" si="192"/>
        <v>0</v>
      </c>
      <c r="CD66" s="451">
        <f t="shared" si="193"/>
        <v>0</v>
      </c>
      <c r="CE66" s="451">
        <f t="shared" si="194"/>
        <v>0</v>
      </c>
      <c r="CF66" s="451">
        <f t="shared" si="195"/>
        <v>0</v>
      </c>
      <c r="CG66" s="451">
        <f t="shared" si="196"/>
        <v>0</v>
      </c>
      <c r="CH66" s="451">
        <f t="shared" si="197"/>
        <v>0</v>
      </c>
      <c r="CI66" s="451">
        <f t="shared" si="198"/>
        <v>0</v>
      </c>
      <c r="CJ66" s="458">
        <f t="shared" si="199"/>
        <v>3.32</v>
      </c>
      <c r="CK66" s="451">
        <f t="shared" si="200"/>
        <v>0</v>
      </c>
      <c r="CL66" s="451">
        <f t="shared" si="201"/>
        <v>44.18</v>
      </c>
      <c r="CM66" s="451">
        <f t="shared" si="202"/>
        <v>0</v>
      </c>
      <c r="CN66" s="454">
        <f t="shared" si="203"/>
        <v>0</v>
      </c>
      <c r="CO66" s="454">
        <f t="shared" si="204"/>
        <v>0</v>
      </c>
      <c r="CP66" s="454">
        <f t="shared" si="205"/>
        <v>0</v>
      </c>
      <c r="CQ66" s="454">
        <f t="shared" si="206"/>
        <v>0</v>
      </c>
      <c r="CR66" s="454">
        <f t="shared" si="207"/>
        <v>0</v>
      </c>
      <c r="CS66" s="454">
        <f t="shared" si="208"/>
        <v>0</v>
      </c>
      <c r="CT66" s="459">
        <f t="shared" si="209"/>
        <v>0</v>
      </c>
      <c r="CU66" s="460">
        <f t="shared" si="210"/>
        <v>1</v>
      </c>
      <c r="CV66" s="460">
        <f t="shared" si="211"/>
        <v>0</v>
      </c>
      <c r="CW66" s="460">
        <f t="shared" si="212"/>
        <v>0</v>
      </c>
      <c r="CX66" s="460">
        <f t="shared" si="213"/>
        <v>0</v>
      </c>
      <c r="CY66" s="460">
        <f t="shared" si="214"/>
        <v>0</v>
      </c>
      <c r="CZ66" s="460">
        <f t="shared" si="215"/>
        <v>1</v>
      </c>
      <c r="DA66" s="461">
        <f t="shared" si="216"/>
        <v>0.81999999999999984</v>
      </c>
      <c r="DB66" s="118">
        <v>1.3</v>
      </c>
      <c r="DC66" s="118">
        <v>1.4</v>
      </c>
      <c r="DD66" s="118">
        <v>2</v>
      </c>
      <c r="DE66" s="118">
        <v>2</v>
      </c>
      <c r="DF66" s="462">
        <v>2</v>
      </c>
      <c r="DG66" s="455">
        <f t="shared" si="217"/>
        <v>0</v>
      </c>
      <c r="DH66" s="463">
        <f t="shared" si="218"/>
        <v>0</v>
      </c>
      <c r="DI66" s="463">
        <f t="shared" si="219"/>
        <v>0</v>
      </c>
      <c r="DJ66" s="463">
        <f t="shared" si="220"/>
        <v>0</v>
      </c>
      <c r="DK66" s="463">
        <f t="shared" si="221"/>
        <v>0</v>
      </c>
      <c r="DL66" s="463">
        <f t="shared" si="222"/>
        <v>0</v>
      </c>
      <c r="DM66" s="463">
        <f t="shared" si="223"/>
        <v>132.54</v>
      </c>
      <c r="DN66" s="463">
        <f t="shared" si="224"/>
        <v>132.54</v>
      </c>
      <c r="DO66" s="463">
        <f t="shared" si="225"/>
        <v>28.275199999999987</v>
      </c>
      <c r="DP66" s="463">
        <f t="shared" si="226"/>
        <v>0</v>
      </c>
      <c r="DQ66" s="464"/>
    </row>
    <row r="67" spans="1:121" ht="26" x14ac:dyDescent="0.25">
      <c r="A67" s="431" t="s">
        <v>2056</v>
      </c>
      <c r="B67" s="257"/>
      <c r="C67" s="101" t="str">
        <f>'Planilha Hidráulica'!B73</f>
        <v>PV25.1-&gt;PV26.1</v>
      </c>
      <c r="D67" s="258">
        <f>'Planilha Hidráulica'!R73</f>
        <v>2.82</v>
      </c>
      <c r="E67" s="258">
        <f>'Planilha Hidráulica'!S73</f>
        <v>2.82</v>
      </c>
      <c r="F67" s="258">
        <f>'Planilha Hidráulica'!K73</f>
        <v>52.5</v>
      </c>
      <c r="G67" s="101">
        <f>'Planilha Hidráulica'!M73</f>
        <v>1500</v>
      </c>
      <c r="H67" s="449">
        <f t="shared" si="130"/>
        <v>3.32</v>
      </c>
      <c r="I67" s="102">
        <f t="shared" si="131"/>
        <v>8.7149999999999999</v>
      </c>
      <c r="J67" s="450">
        <v>0</v>
      </c>
      <c r="K67" s="451">
        <f t="shared" si="132"/>
        <v>2.6</v>
      </c>
      <c r="L67" s="451">
        <f t="shared" si="133"/>
        <v>2.6</v>
      </c>
      <c r="M67" s="451">
        <f>'Planilha Hidráulica'!X73</f>
        <v>1000</v>
      </c>
      <c r="N67" s="451">
        <f t="shared" si="134"/>
        <v>136.5</v>
      </c>
      <c r="O67" s="452" t="str">
        <f>'Planilha Hidráulica'!W73</f>
        <v>ASFALTO</v>
      </c>
      <c r="P67" s="452" t="s">
        <v>2058</v>
      </c>
      <c r="Q67" s="105">
        <v>1</v>
      </c>
      <c r="R67" s="452">
        <v>2.5</v>
      </c>
      <c r="S67" s="452">
        <v>1.6</v>
      </c>
      <c r="T67" s="451">
        <f t="shared" si="135"/>
        <v>0.2</v>
      </c>
      <c r="U67" s="453">
        <f t="shared" si="136"/>
        <v>41.233403578366037</v>
      </c>
      <c r="V67" s="106">
        <f t="shared" si="137"/>
        <v>466.54659642163398</v>
      </c>
      <c r="W67" s="107">
        <f t="shared" si="138"/>
        <v>0</v>
      </c>
      <c r="X67" s="107">
        <f t="shared" si="139"/>
        <v>0.4</v>
      </c>
      <c r="Y67" s="454">
        <f t="shared" si="140"/>
        <v>2.5</v>
      </c>
      <c r="Z67" s="454">
        <f t="shared" si="141"/>
        <v>0.81999999999999984</v>
      </c>
      <c r="AA67" s="455">
        <f t="shared" si="142"/>
        <v>136.5</v>
      </c>
      <c r="AB67" s="117">
        <f t="shared" si="143"/>
        <v>0</v>
      </c>
      <c r="AC67" s="109">
        <f t="shared" si="144"/>
        <v>0</v>
      </c>
      <c r="AD67" s="109">
        <f t="shared" si="145"/>
        <v>0</v>
      </c>
      <c r="AE67" s="109">
        <f t="shared" si="146"/>
        <v>0</v>
      </c>
      <c r="AF67" s="109">
        <f t="shared" si="147"/>
        <v>0</v>
      </c>
      <c r="AG67" s="109">
        <f t="shared" si="148"/>
        <v>54.6</v>
      </c>
      <c r="AH67" s="109">
        <f t="shared" si="149"/>
        <v>0</v>
      </c>
      <c r="AI67" s="109">
        <f t="shared" si="150"/>
        <v>0</v>
      </c>
      <c r="AJ67" s="456">
        <f t="shared" si="151"/>
        <v>0</v>
      </c>
      <c r="AK67" s="456">
        <f t="shared" si="152"/>
        <v>0</v>
      </c>
      <c r="AL67" s="456">
        <f t="shared" si="153"/>
        <v>0</v>
      </c>
      <c r="AM67" s="456">
        <f t="shared" si="231"/>
        <v>0</v>
      </c>
      <c r="AN67" s="456">
        <f>IF(IF(K67&lt;=2.5,IF(Y67&gt;=4.5,L67*F67*1.5,K67*F67*(Y67-3)),0)&lt;0,0,IF(K67&lt;=2.5,IF(Y67&gt;=4.5,L67*F67*1.5,K67*F67*(Y67-3)),0))+IF(R67&lt;H67,0,IF(AND(Y67&lt;=4.5,Y67&gt;3,K67&gt;1.5,K67&lt;=2.5),-U67,0))</f>
        <v>0</v>
      </c>
      <c r="AO67" s="456">
        <f t="shared" si="154"/>
        <v>273</v>
      </c>
      <c r="AP67" s="456">
        <f t="shared" si="155"/>
        <v>68.25</v>
      </c>
      <c r="AQ67" s="456">
        <f t="shared" si="156"/>
        <v>0</v>
      </c>
      <c r="AR67" s="104">
        <f t="shared" si="157"/>
        <v>70.7</v>
      </c>
      <c r="AS67" s="451">
        <f t="shared" si="158"/>
        <v>1.2039999999999997</v>
      </c>
      <c r="AT67" s="104">
        <f t="shared" si="159"/>
        <v>415.00484194867641</v>
      </c>
      <c r="AU67" s="102">
        <f t="shared" si="160"/>
        <v>0</v>
      </c>
      <c r="AV67" s="106">
        <f t="shared" si="161"/>
        <v>27.3</v>
      </c>
      <c r="AW67" s="104">
        <f t="shared" si="162"/>
        <v>54.6</v>
      </c>
      <c r="AX67" s="104">
        <f t="shared" si="163"/>
        <v>0</v>
      </c>
      <c r="AY67" s="104">
        <f t="shared" si="164"/>
        <v>1.8</v>
      </c>
      <c r="AZ67" s="104">
        <f t="shared" si="165"/>
        <v>152.92484194867649</v>
      </c>
      <c r="BA67" s="104">
        <f t="shared" si="166"/>
        <v>0</v>
      </c>
      <c r="BB67" s="104">
        <f t="shared" si="167"/>
        <v>20.475000000000001</v>
      </c>
      <c r="BC67" s="104">
        <f t="shared" si="168"/>
        <v>20.475000000000001</v>
      </c>
      <c r="BD67" s="104">
        <f t="shared" si="169"/>
        <v>4.0949999999999998</v>
      </c>
      <c r="BE67" s="104">
        <f t="shared" si="170"/>
        <v>139.22999999999985</v>
      </c>
      <c r="BF67" s="104">
        <f t="shared" si="171"/>
        <v>113.25015805132347</v>
      </c>
      <c r="BG67" s="104">
        <f t="shared" si="172"/>
        <v>113.25015805132347</v>
      </c>
      <c r="BH67" s="104">
        <f t="shared" si="173"/>
        <v>0</v>
      </c>
      <c r="BI67" s="104">
        <f t="shared" si="174"/>
        <v>25.979841948676381</v>
      </c>
      <c r="BJ67" s="104">
        <f t="shared" si="227"/>
        <v>21.700095087581754</v>
      </c>
      <c r="BK67" s="104">
        <f t="shared" si="175"/>
        <v>4.2797468610946261</v>
      </c>
      <c r="BL67" s="125"/>
      <c r="BM67" s="104">
        <f t="shared" si="176"/>
        <v>3.0030000000000001</v>
      </c>
      <c r="BN67" s="455">
        <f t="shared" si="177"/>
        <v>0</v>
      </c>
      <c r="BO67" s="457">
        <f t="shared" si="178"/>
        <v>0</v>
      </c>
      <c r="BP67" s="457">
        <f t="shared" si="179"/>
        <v>0</v>
      </c>
      <c r="BQ67" s="457">
        <f t="shared" si="180"/>
        <v>0</v>
      </c>
      <c r="BR67" s="451">
        <f t="shared" si="181"/>
        <v>0</v>
      </c>
      <c r="BS67" s="451">
        <f t="shared" si="182"/>
        <v>0</v>
      </c>
      <c r="BT67" s="451">
        <f t="shared" si="183"/>
        <v>0</v>
      </c>
      <c r="BU67" s="451">
        <f t="shared" si="184"/>
        <v>0</v>
      </c>
      <c r="BV67" s="451">
        <f t="shared" si="185"/>
        <v>0</v>
      </c>
      <c r="BW67" s="451">
        <f t="shared" si="186"/>
        <v>0</v>
      </c>
      <c r="BX67" s="451">
        <f t="shared" si="187"/>
        <v>0</v>
      </c>
      <c r="BY67" s="451">
        <f t="shared" si="188"/>
        <v>0</v>
      </c>
      <c r="BZ67" s="451">
        <f t="shared" si="189"/>
        <v>0</v>
      </c>
      <c r="CA67" s="451">
        <f t="shared" si="190"/>
        <v>0</v>
      </c>
      <c r="CB67" s="451">
        <f t="shared" si="191"/>
        <v>0</v>
      </c>
      <c r="CC67" s="451">
        <f t="shared" si="192"/>
        <v>0</v>
      </c>
      <c r="CD67" s="451">
        <f t="shared" si="193"/>
        <v>0</v>
      </c>
      <c r="CE67" s="451">
        <f t="shared" si="194"/>
        <v>0</v>
      </c>
      <c r="CF67" s="451">
        <f t="shared" si="195"/>
        <v>0</v>
      </c>
      <c r="CG67" s="451">
        <f t="shared" si="196"/>
        <v>0</v>
      </c>
      <c r="CH67" s="451">
        <f t="shared" si="197"/>
        <v>0</v>
      </c>
      <c r="CI67" s="451">
        <f t="shared" si="198"/>
        <v>0</v>
      </c>
      <c r="CJ67" s="458">
        <f t="shared" si="199"/>
        <v>3.32</v>
      </c>
      <c r="CK67" s="451">
        <f t="shared" si="200"/>
        <v>0</v>
      </c>
      <c r="CL67" s="451">
        <f t="shared" si="201"/>
        <v>52.5</v>
      </c>
      <c r="CM67" s="451">
        <f t="shared" si="202"/>
        <v>0</v>
      </c>
      <c r="CN67" s="454">
        <f t="shared" si="203"/>
        <v>0</v>
      </c>
      <c r="CO67" s="454">
        <f t="shared" si="204"/>
        <v>0</v>
      </c>
      <c r="CP67" s="454">
        <f t="shared" si="205"/>
        <v>0</v>
      </c>
      <c r="CQ67" s="454">
        <f t="shared" si="206"/>
        <v>0</v>
      </c>
      <c r="CR67" s="454">
        <f t="shared" si="207"/>
        <v>0</v>
      </c>
      <c r="CS67" s="454">
        <f t="shared" si="208"/>
        <v>0</v>
      </c>
      <c r="CT67" s="459">
        <f t="shared" si="209"/>
        <v>0</v>
      </c>
      <c r="CU67" s="460">
        <f t="shared" si="210"/>
        <v>1</v>
      </c>
      <c r="CV67" s="460">
        <f t="shared" si="211"/>
        <v>0</v>
      </c>
      <c r="CW67" s="460">
        <f t="shared" si="212"/>
        <v>0</v>
      </c>
      <c r="CX67" s="460">
        <f t="shared" si="213"/>
        <v>0</v>
      </c>
      <c r="CY67" s="460">
        <f t="shared" si="214"/>
        <v>0</v>
      </c>
      <c r="CZ67" s="460">
        <f t="shared" si="215"/>
        <v>1</v>
      </c>
      <c r="DA67" s="461">
        <f t="shared" si="216"/>
        <v>0.81999999999999984</v>
      </c>
      <c r="DB67" s="118">
        <v>1.3</v>
      </c>
      <c r="DC67" s="118">
        <v>1.4</v>
      </c>
      <c r="DD67" s="118">
        <v>2</v>
      </c>
      <c r="DE67" s="118">
        <v>2</v>
      </c>
      <c r="DF67" s="462">
        <v>2</v>
      </c>
      <c r="DG67" s="455">
        <f t="shared" si="217"/>
        <v>0</v>
      </c>
      <c r="DH67" s="463">
        <f t="shared" si="218"/>
        <v>0</v>
      </c>
      <c r="DI67" s="463">
        <f t="shared" si="219"/>
        <v>0</v>
      </c>
      <c r="DJ67" s="463">
        <f t="shared" si="220"/>
        <v>0</v>
      </c>
      <c r="DK67" s="463">
        <f t="shared" si="221"/>
        <v>0</v>
      </c>
      <c r="DL67" s="463">
        <f t="shared" si="222"/>
        <v>0</v>
      </c>
      <c r="DM67" s="463">
        <f t="shared" si="223"/>
        <v>157.5</v>
      </c>
      <c r="DN67" s="463">
        <f t="shared" si="224"/>
        <v>157.5</v>
      </c>
      <c r="DO67" s="463">
        <f t="shared" si="225"/>
        <v>33.59999999999998</v>
      </c>
      <c r="DP67" s="463">
        <f t="shared" si="226"/>
        <v>0</v>
      </c>
      <c r="DQ67" s="464"/>
    </row>
    <row r="68" spans="1:121" ht="13" x14ac:dyDescent="0.25">
      <c r="A68" s="432" t="s">
        <v>2059</v>
      </c>
      <c r="B68" s="257"/>
      <c r="C68" s="101" t="str">
        <f>'Planilha Hidráulica'!B74</f>
        <v>PV1.2-&gt;PV2.2</v>
      </c>
      <c r="D68" s="258">
        <f>'Planilha Hidráulica'!R74</f>
        <v>3.55</v>
      </c>
      <c r="E68" s="258">
        <f>'Planilha Hidráulica'!S74</f>
        <v>3.55</v>
      </c>
      <c r="F68" s="258">
        <f>'Planilha Hidráulica'!K74</f>
        <v>40</v>
      </c>
      <c r="G68" s="101">
        <f>'Planilha Hidráulica'!M74</f>
        <v>1000</v>
      </c>
      <c r="H68" s="449">
        <f t="shared" si="130"/>
        <v>3.9</v>
      </c>
      <c r="I68" s="102">
        <f t="shared" si="131"/>
        <v>7.8</v>
      </c>
      <c r="J68" s="450">
        <v>0</v>
      </c>
      <c r="K68" s="451">
        <f t="shared" si="132"/>
        <v>2</v>
      </c>
      <c r="L68" s="451">
        <f t="shared" si="133"/>
        <v>2</v>
      </c>
      <c r="M68" s="451">
        <f>'Planilha Hidráulica'!X74</f>
        <v>800</v>
      </c>
      <c r="N68" s="451">
        <f t="shared" si="134"/>
        <v>80</v>
      </c>
      <c r="O68" s="452" t="str">
        <f>'Planilha Hidráulica'!W74</f>
        <v>ASFALTO</v>
      </c>
      <c r="P68" s="452" t="s">
        <v>2057</v>
      </c>
      <c r="Q68" s="452"/>
      <c r="R68" s="452">
        <v>3.7</v>
      </c>
      <c r="S68" s="452">
        <v>2.5</v>
      </c>
      <c r="T68" s="451">
        <f t="shared" si="135"/>
        <v>0.15</v>
      </c>
      <c r="U68" s="453">
        <f t="shared" si="136"/>
        <v>20.106192982974676</v>
      </c>
      <c r="V68" s="106">
        <f t="shared" si="137"/>
        <v>291.89380701702532</v>
      </c>
      <c r="W68" s="107">
        <f t="shared" si="138"/>
        <v>0</v>
      </c>
      <c r="X68" s="107">
        <f t="shared" si="139"/>
        <v>0</v>
      </c>
      <c r="Y68" s="454">
        <f t="shared" si="140"/>
        <v>3.7</v>
      </c>
      <c r="Z68" s="454">
        <f t="shared" si="141"/>
        <v>0.19999999999999973</v>
      </c>
      <c r="AA68" s="455">
        <f t="shared" si="142"/>
        <v>80</v>
      </c>
      <c r="AB68" s="117">
        <f t="shared" si="143"/>
        <v>0</v>
      </c>
      <c r="AC68" s="109">
        <f t="shared" si="144"/>
        <v>0</v>
      </c>
      <c r="AD68" s="109">
        <f t="shared" si="145"/>
        <v>0</v>
      </c>
      <c r="AE68" s="109">
        <f t="shared" si="146"/>
        <v>0</v>
      </c>
      <c r="AF68" s="109">
        <f t="shared" si="147"/>
        <v>0</v>
      </c>
      <c r="AG68" s="109">
        <f t="shared" si="148"/>
        <v>0</v>
      </c>
      <c r="AH68" s="109">
        <f t="shared" si="149"/>
        <v>0</v>
      </c>
      <c r="AI68" s="109">
        <f t="shared" si="150"/>
        <v>0</v>
      </c>
      <c r="AJ68" s="456">
        <f t="shared" si="151"/>
        <v>0</v>
      </c>
      <c r="AK68" s="456">
        <f t="shared" si="152"/>
        <v>0</v>
      </c>
      <c r="AL68" s="456">
        <f t="shared" si="153"/>
        <v>120</v>
      </c>
      <c r="AM68" s="456">
        <f t="shared" si="231"/>
        <v>120</v>
      </c>
      <c r="AN68" s="456">
        <f>IF(IF(K68&lt;=2.5,IF(Y68&gt;=4.5,L68*F68*1.5,K68*F68*(Y68-3)),0)&lt;0,0,IF(K68&lt;=2.5,IF(Y68&gt;=4.5,L68*F68*1.5,K68*F68*(Y68-3)),0))+IF(R68&lt;H68,0,IF(AND(Y68&lt;=4.5,Y68&gt;3,K68&gt;1.5,K68&lt;=2.5),-U68,0))-4.11</f>
        <v>51.890000000000015</v>
      </c>
      <c r="AO68" s="456">
        <f t="shared" si="154"/>
        <v>0</v>
      </c>
      <c r="AP68" s="456">
        <f t="shared" si="155"/>
        <v>0</v>
      </c>
      <c r="AQ68" s="456">
        <f t="shared" si="156"/>
        <v>0</v>
      </c>
      <c r="AR68" s="104">
        <f t="shared" si="157"/>
        <v>0</v>
      </c>
      <c r="AS68" s="451">
        <f t="shared" si="158"/>
        <v>0.7466666666666667</v>
      </c>
      <c r="AT68" s="104">
        <f t="shared" si="159"/>
        <v>280.58407346410206</v>
      </c>
      <c r="AU68" s="102">
        <f t="shared" si="160"/>
        <v>0</v>
      </c>
      <c r="AV68" s="106">
        <f t="shared" si="161"/>
        <v>12</v>
      </c>
      <c r="AW68" s="104">
        <f t="shared" si="162"/>
        <v>0</v>
      </c>
      <c r="AX68" s="104">
        <f t="shared" si="163"/>
        <v>0</v>
      </c>
      <c r="AY68" s="104">
        <f t="shared" si="164"/>
        <v>1.3</v>
      </c>
      <c r="AZ68" s="104">
        <f t="shared" si="165"/>
        <v>72.584073464102062</v>
      </c>
      <c r="BA68" s="104">
        <f t="shared" si="166"/>
        <v>0</v>
      </c>
      <c r="BB68" s="104">
        <f t="shared" si="167"/>
        <v>12</v>
      </c>
      <c r="BC68" s="104">
        <f t="shared" si="168"/>
        <v>12</v>
      </c>
      <c r="BD68" s="104">
        <f t="shared" si="169"/>
        <v>2.4</v>
      </c>
      <c r="BE68" s="104">
        <f t="shared" si="170"/>
        <v>172</v>
      </c>
      <c r="BF68" s="104">
        <f t="shared" si="171"/>
        <v>207.30592653589792</v>
      </c>
      <c r="BG68" s="104">
        <f t="shared" si="172"/>
        <v>172</v>
      </c>
      <c r="BH68" s="104">
        <f t="shared" si="173"/>
        <v>35.305926535897925</v>
      </c>
      <c r="BI68" s="104">
        <f t="shared" si="174"/>
        <v>0</v>
      </c>
      <c r="BJ68" s="104">
        <f t="shared" si="227"/>
        <v>0</v>
      </c>
      <c r="BK68" s="104">
        <f t="shared" si="175"/>
        <v>0</v>
      </c>
      <c r="BL68" s="125"/>
      <c r="BM68" s="104">
        <f t="shared" si="176"/>
        <v>0.48</v>
      </c>
      <c r="BN68" s="455">
        <f t="shared" si="177"/>
        <v>0</v>
      </c>
      <c r="BO68" s="457">
        <f t="shared" si="178"/>
        <v>0</v>
      </c>
      <c r="BP68" s="457">
        <f t="shared" si="179"/>
        <v>0</v>
      </c>
      <c r="BQ68" s="457">
        <f t="shared" si="180"/>
        <v>0</v>
      </c>
      <c r="BR68" s="451">
        <f t="shared" si="181"/>
        <v>0</v>
      </c>
      <c r="BS68" s="451">
        <f t="shared" si="182"/>
        <v>0</v>
      </c>
      <c r="BT68" s="451">
        <f t="shared" si="183"/>
        <v>0</v>
      </c>
      <c r="BU68" s="451">
        <f t="shared" si="184"/>
        <v>0</v>
      </c>
      <c r="BV68" s="451">
        <f t="shared" si="185"/>
        <v>0</v>
      </c>
      <c r="BW68" s="451">
        <f t="shared" si="186"/>
        <v>0</v>
      </c>
      <c r="BX68" s="451">
        <f t="shared" si="187"/>
        <v>0</v>
      </c>
      <c r="BY68" s="451">
        <f t="shared" si="188"/>
        <v>0</v>
      </c>
      <c r="BZ68" s="451">
        <f t="shared" si="189"/>
        <v>0</v>
      </c>
      <c r="CA68" s="451">
        <f t="shared" si="190"/>
        <v>0</v>
      </c>
      <c r="CB68" s="451">
        <f t="shared" si="191"/>
        <v>3.9</v>
      </c>
      <c r="CC68" s="451">
        <f t="shared" si="192"/>
        <v>0</v>
      </c>
      <c r="CD68" s="451">
        <f t="shared" si="193"/>
        <v>40</v>
      </c>
      <c r="CE68" s="451">
        <f t="shared" si="194"/>
        <v>0</v>
      </c>
      <c r="CF68" s="451">
        <f t="shared" si="195"/>
        <v>0</v>
      </c>
      <c r="CG68" s="451">
        <f t="shared" si="196"/>
        <v>0</v>
      </c>
      <c r="CH68" s="451">
        <f t="shared" si="197"/>
        <v>0</v>
      </c>
      <c r="CI68" s="451">
        <f t="shared" si="198"/>
        <v>0</v>
      </c>
      <c r="CJ68" s="458">
        <f t="shared" si="199"/>
        <v>0</v>
      </c>
      <c r="CK68" s="451">
        <f t="shared" si="200"/>
        <v>0</v>
      </c>
      <c r="CL68" s="451">
        <f t="shared" si="201"/>
        <v>0</v>
      </c>
      <c r="CM68" s="451">
        <f t="shared" si="202"/>
        <v>0</v>
      </c>
      <c r="CN68" s="454">
        <f t="shared" si="203"/>
        <v>0</v>
      </c>
      <c r="CO68" s="454">
        <f t="shared" si="204"/>
        <v>0</v>
      </c>
      <c r="CP68" s="454">
        <f t="shared" si="205"/>
        <v>0</v>
      </c>
      <c r="CQ68" s="454">
        <f t="shared" si="206"/>
        <v>0</v>
      </c>
      <c r="CR68" s="454">
        <f t="shared" si="207"/>
        <v>0</v>
      </c>
      <c r="CS68" s="454">
        <f t="shared" si="208"/>
        <v>0</v>
      </c>
      <c r="CT68" s="459">
        <f t="shared" si="209"/>
        <v>0</v>
      </c>
      <c r="CU68" s="460">
        <f t="shared" si="210"/>
        <v>1</v>
      </c>
      <c r="CV68" s="460">
        <f t="shared" si="211"/>
        <v>0</v>
      </c>
      <c r="CW68" s="460">
        <f t="shared" si="212"/>
        <v>0</v>
      </c>
      <c r="CX68" s="460">
        <f t="shared" si="213"/>
        <v>1</v>
      </c>
      <c r="CY68" s="460">
        <f t="shared" si="214"/>
        <v>0</v>
      </c>
      <c r="CZ68" s="460">
        <f t="shared" si="215"/>
        <v>0</v>
      </c>
      <c r="DA68" s="461">
        <f t="shared" si="216"/>
        <v>1.5499999999999998</v>
      </c>
      <c r="DB68" s="118">
        <v>1.3</v>
      </c>
      <c r="DC68" s="118">
        <v>1.4</v>
      </c>
      <c r="DD68" s="118">
        <v>2</v>
      </c>
      <c r="DE68" s="118">
        <v>2</v>
      </c>
      <c r="DF68" s="462">
        <v>2</v>
      </c>
      <c r="DG68" s="455">
        <f t="shared" si="217"/>
        <v>0</v>
      </c>
      <c r="DH68" s="463">
        <f t="shared" si="218"/>
        <v>0</v>
      </c>
      <c r="DI68" s="463">
        <f t="shared" si="219"/>
        <v>0</v>
      </c>
      <c r="DJ68" s="463">
        <f t="shared" si="220"/>
        <v>120</v>
      </c>
      <c r="DK68" s="463">
        <f t="shared" si="221"/>
        <v>120</v>
      </c>
      <c r="DL68" s="463">
        <f t="shared" si="222"/>
        <v>72</v>
      </c>
      <c r="DM68" s="463">
        <f t="shared" si="223"/>
        <v>0</v>
      </c>
      <c r="DN68" s="463">
        <f t="shared" si="224"/>
        <v>0</v>
      </c>
      <c r="DO68" s="463">
        <f t="shared" si="225"/>
        <v>0</v>
      </c>
      <c r="DP68" s="463">
        <f t="shared" si="226"/>
        <v>0</v>
      </c>
      <c r="DQ68" s="464"/>
    </row>
    <row r="69" spans="1:121" ht="13" x14ac:dyDescent="0.25">
      <c r="A69" s="432" t="s">
        <v>2059</v>
      </c>
      <c r="B69" s="257"/>
      <c r="C69" s="101" t="str">
        <f>'Planilha Hidráulica'!B75</f>
        <v>PV2.2-&gt;PV3.2</v>
      </c>
      <c r="D69" s="258">
        <f>'Planilha Hidráulica'!R75</f>
        <v>3.55</v>
      </c>
      <c r="E69" s="258">
        <f>'Planilha Hidráulica'!S75</f>
        <v>3.55</v>
      </c>
      <c r="F69" s="258">
        <f>'Planilha Hidráulica'!K75</f>
        <v>45</v>
      </c>
      <c r="G69" s="101">
        <f>'Planilha Hidráulica'!M75</f>
        <v>1000</v>
      </c>
      <c r="H69" s="449">
        <f t="shared" si="130"/>
        <v>3.9</v>
      </c>
      <c r="I69" s="102">
        <f t="shared" si="131"/>
        <v>8.7750000000000004</v>
      </c>
      <c r="J69" s="450">
        <v>0</v>
      </c>
      <c r="K69" s="451">
        <f t="shared" si="132"/>
        <v>2</v>
      </c>
      <c r="L69" s="451">
        <f t="shared" si="133"/>
        <v>2</v>
      </c>
      <c r="M69" s="451">
        <f>'Planilha Hidráulica'!X75</f>
        <v>800</v>
      </c>
      <c r="N69" s="451">
        <f t="shared" si="134"/>
        <v>90</v>
      </c>
      <c r="O69" s="452" t="str">
        <f>'Planilha Hidráulica'!W75</f>
        <v>ASFALTO</v>
      </c>
      <c r="P69" s="452" t="s">
        <v>2057</v>
      </c>
      <c r="Q69" s="452"/>
      <c r="R69" s="452">
        <v>3.7</v>
      </c>
      <c r="S69" s="452">
        <v>2.5</v>
      </c>
      <c r="T69" s="451">
        <f t="shared" si="135"/>
        <v>0.15</v>
      </c>
      <c r="U69" s="453">
        <f t="shared" si="136"/>
        <v>22.619467105846514</v>
      </c>
      <c r="V69" s="106">
        <f t="shared" si="137"/>
        <v>328.38053289415348</v>
      </c>
      <c r="W69" s="107">
        <f t="shared" si="138"/>
        <v>0</v>
      </c>
      <c r="X69" s="107">
        <f t="shared" si="139"/>
        <v>0</v>
      </c>
      <c r="Y69" s="454">
        <f t="shared" si="140"/>
        <v>3.7</v>
      </c>
      <c r="Z69" s="454">
        <f t="shared" si="141"/>
        <v>0.19999999999999973</v>
      </c>
      <c r="AA69" s="455">
        <f t="shared" si="142"/>
        <v>90</v>
      </c>
      <c r="AB69" s="117">
        <f t="shared" si="143"/>
        <v>0</v>
      </c>
      <c r="AC69" s="109">
        <f t="shared" si="144"/>
        <v>0</v>
      </c>
      <c r="AD69" s="109">
        <f t="shared" si="145"/>
        <v>0</v>
      </c>
      <c r="AE69" s="109">
        <f t="shared" si="146"/>
        <v>0</v>
      </c>
      <c r="AF69" s="109">
        <f t="shared" si="147"/>
        <v>0</v>
      </c>
      <c r="AG69" s="109">
        <f t="shared" si="148"/>
        <v>0</v>
      </c>
      <c r="AH69" s="109">
        <f t="shared" si="149"/>
        <v>0</v>
      </c>
      <c r="AI69" s="109">
        <f t="shared" si="150"/>
        <v>0</v>
      </c>
      <c r="AJ69" s="456">
        <f t="shared" si="151"/>
        <v>0</v>
      </c>
      <c r="AK69" s="456">
        <f t="shared" si="152"/>
        <v>0</v>
      </c>
      <c r="AL69" s="456">
        <f t="shared" si="153"/>
        <v>135</v>
      </c>
      <c r="AM69" s="456">
        <f t="shared" si="231"/>
        <v>135</v>
      </c>
      <c r="AN69" s="456">
        <f>IF(IF(K69&lt;=2.5,IF(Y69&gt;=4.5,L69*F69*1.5,K69*F69*(Y69-3)),0)&lt;0,0,IF(K69&lt;=2.5,IF(Y69&gt;=4.5,L69*F69*1.5,K69*F69*(Y69-3)),0))+IF(R69&lt;H69,0,IF(AND(Y69&lt;=4.5,Y69&gt;3,K69&gt;1.5,K69&lt;=2.5),-U69,0))-4.62</f>
        <v>58.380000000000017</v>
      </c>
      <c r="AO69" s="456">
        <f t="shared" si="154"/>
        <v>0</v>
      </c>
      <c r="AP69" s="456">
        <f t="shared" si="155"/>
        <v>0</v>
      </c>
      <c r="AQ69" s="456">
        <f t="shared" si="156"/>
        <v>0</v>
      </c>
      <c r="AR69" s="104">
        <f t="shared" si="157"/>
        <v>0</v>
      </c>
      <c r="AS69" s="451">
        <f t="shared" si="158"/>
        <v>0.83999999999999986</v>
      </c>
      <c r="AT69" s="104">
        <f t="shared" si="159"/>
        <v>315.65708264711481</v>
      </c>
      <c r="AU69" s="102">
        <f t="shared" si="160"/>
        <v>0</v>
      </c>
      <c r="AV69" s="106">
        <f t="shared" si="161"/>
        <v>13.5</v>
      </c>
      <c r="AW69" s="104">
        <f t="shared" si="162"/>
        <v>0</v>
      </c>
      <c r="AX69" s="104">
        <f t="shared" si="163"/>
        <v>0</v>
      </c>
      <c r="AY69" s="104">
        <f t="shared" si="164"/>
        <v>1.3</v>
      </c>
      <c r="AZ69" s="104">
        <f t="shared" si="165"/>
        <v>81.657082647114834</v>
      </c>
      <c r="BA69" s="104">
        <f t="shared" si="166"/>
        <v>0</v>
      </c>
      <c r="BB69" s="104">
        <f t="shared" si="167"/>
        <v>13.5</v>
      </c>
      <c r="BC69" s="104">
        <f t="shared" si="168"/>
        <v>13.5</v>
      </c>
      <c r="BD69" s="104">
        <f t="shared" si="169"/>
        <v>2.6999999999999997</v>
      </c>
      <c r="BE69" s="104">
        <f t="shared" si="170"/>
        <v>193.49999999999997</v>
      </c>
      <c r="BF69" s="104">
        <f t="shared" si="171"/>
        <v>233.22291735288516</v>
      </c>
      <c r="BG69" s="104">
        <f t="shared" si="172"/>
        <v>193.49999999999997</v>
      </c>
      <c r="BH69" s="104">
        <f t="shared" si="173"/>
        <v>39.72291735288519</v>
      </c>
      <c r="BI69" s="104">
        <f t="shared" si="174"/>
        <v>0</v>
      </c>
      <c r="BJ69" s="104">
        <f t="shared" si="227"/>
        <v>0</v>
      </c>
      <c r="BK69" s="104">
        <f t="shared" si="175"/>
        <v>0</v>
      </c>
      <c r="BL69" s="125"/>
      <c r="BM69" s="104">
        <f t="shared" si="176"/>
        <v>0.54</v>
      </c>
      <c r="BN69" s="455">
        <f t="shared" si="177"/>
        <v>0</v>
      </c>
      <c r="BO69" s="457">
        <f t="shared" si="178"/>
        <v>0</v>
      </c>
      <c r="BP69" s="457">
        <f t="shared" si="179"/>
        <v>0</v>
      </c>
      <c r="BQ69" s="457">
        <f t="shared" si="180"/>
        <v>0</v>
      </c>
      <c r="BR69" s="451">
        <f t="shared" si="181"/>
        <v>0</v>
      </c>
      <c r="BS69" s="451">
        <f t="shared" si="182"/>
        <v>0</v>
      </c>
      <c r="BT69" s="451">
        <f t="shared" si="183"/>
        <v>0</v>
      </c>
      <c r="BU69" s="451">
        <f t="shared" si="184"/>
        <v>0</v>
      </c>
      <c r="BV69" s="451">
        <f t="shared" si="185"/>
        <v>0</v>
      </c>
      <c r="BW69" s="451">
        <f t="shared" si="186"/>
        <v>0</v>
      </c>
      <c r="BX69" s="451">
        <f t="shared" si="187"/>
        <v>0</v>
      </c>
      <c r="BY69" s="451">
        <f t="shared" si="188"/>
        <v>0</v>
      </c>
      <c r="BZ69" s="451">
        <f t="shared" si="189"/>
        <v>0</v>
      </c>
      <c r="CA69" s="451">
        <f t="shared" si="190"/>
        <v>0</v>
      </c>
      <c r="CB69" s="451">
        <f t="shared" si="191"/>
        <v>3.9</v>
      </c>
      <c r="CC69" s="451">
        <f t="shared" si="192"/>
        <v>0</v>
      </c>
      <c r="CD69" s="451">
        <f t="shared" si="193"/>
        <v>45</v>
      </c>
      <c r="CE69" s="451">
        <f t="shared" si="194"/>
        <v>0</v>
      </c>
      <c r="CF69" s="451">
        <f t="shared" si="195"/>
        <v>0</v>
      </c>
      <c r="CG69" s="451">
        <f t="shared" si="196"/>
        <v>0</v>
      </c>
      <c r="CH69" s="451">
        <f t="shared" si="197"/>
        <v>0</v>
      </c>
      <c r="CI69" s="451">
        <f t="shared" si="198"/>
        <v>0</v>
      </c>
      <c r="CJ69" s="458">
        <f t="shared" si="199"/>
        <v>0</v>
      </c>
      <c r="CK69" s="451">
        <f t="shared" si="200"/>
        <v>0</v>
      </c>
      <c r="CL69" s="451">
        <f t="shared" si="201"/>
        <v>0</v>
      </c>
      <c r="CM69" s="451">
        <f t="shared" si="202"/>
        <v>0</v>
      </c>
      <c r="CN69" s="454">
        <f t="shared" si="203"/>
        <v>0</v>
      </c>
      <c r="CO69" s="454">
        <f t="shared" si="204"/>
        <v>0</v>
      </c>
      <c r="CP69" s="454">
        <f t="shared" si="205"/>
        <v>0</v>
      </c>
      <c r="CQ69" s="454">
        <f t="shared" si="206"/>
        <v>0</v>
      </c>
      <c r="CR69" s="454">
        <f t="shared" si="207"/>
        <v>0</v>
      </c>
      <c r="CS69" s="454">
        <f t="shared" si="208"/>
        <v>0</v>
      </c>
      <c r="CT69" s="459">
        <f t="shared" si="209"/>
        <v>0</v>
      </c>
      <c r="CU69" s="460">
        <f t="shared" si="210"/>
        <v>1</v>
      </c>
      <c r="CV69" s="460">
        <f t="shared" si="211"/>
        <v>0</v>
      </c>
      <c r="CW69" s="460">
        <f t="shared" si="212"/>
        <v>0</v>
      </c>
      <c r="CX69" s="460">
        <f t="shared" si="213"/>
        <v>1</v>
      </c>
      <c r="CY69" s="460">
        <f t="shared" si="214"/>
        <v>0</v>
      </c>
      <c r="CZ69" s="460">
        <f t="shared" si="215"/>
        <v>0</v>
      </c>
      <c r="DA69" s="461">
        <f t="shared" si="216"/>
        <v>1.5499999999999998</v>
      </c>
      <c r="DB69" s="118">
        <v>1.3</v>
      </c>
      <c r="DC69" s="118">
        <v>1.4</v>
      </c>
      <c r="DD69" s="118">
        <v>2</v>
      </c>
      <c r="DE69" s="118">
        <v>2</v>
      </c>
      <c r="DF69" s="462">
        <v>2</v>
      </c>
      <c r="DG69" s="455">
        <f t="shared" si="217"/>
        <v>0</v>
      </c>
      <c r="DH69" s="463">
        <f t="shared" si="218"/>
        <v>0</v>
      </c>
      <c r="DI69" s="463">
        <f t="shared" si="219"/>
        <v>0</v>
      </c>
      <c r="DJ69" s="463">
        <f t="shared" si="220"/>
        <v>135</v>
      </c>
      <c r="DK69" s="463">
        <f t="shared" si="221"/>
        <v>135</v>
      </c>
      <c r="DL69" s="463">
        <f t="shared" si="222"/>
        <v>80.999999999999986</v>
      </c>
      <c r="DM69" s="463">
        <f t="shared" si="223"/>
        <v>0</v>
      </c>
      <c r="DN69" s="463">
        <f t="shared" si="224"/>
        <v>0</v>
      </c>
      <c r="DO69" s="463">
        <f t="shared" si="225"/>
        <v>0</v>
      </c>
      <c r="DP69" s="463">
        <f t="shared" si="226"/>
        <v>0</v>
      </c>
      <c r="DQ69" s="464"/>
    </row>
    <row r="70" spans="1:121" ht="13" x14ac:dyDescent="0.25">
      <c r="A70" s="432" t="s">
        <v>2059</v>
      </c>
      <c r="B70" s="257"/>
      <c r="C70" s="101" t="str">
        <f>'Planilha Hidráulica'!B76</f>
        <v>PV3.2-&gt;PV4.2</v>
      </c>
      <c r="D70" s="258">
        <f>'Planilha Hidráulica'!R76</f>
        <v>3.55</v>
      </c>
      <c r="E70" s="258">
        <f>'Planilha Hidráulica'!S76</f>
        <v>3</v>
      </c>
      <c r="F70" s="258">
        <f>'Planilha Hidráulica'!K76</f>
        <v>45</v>
      </c>
      <c r="G70" s="101">
        <f>'Planilha Hidráulica'!M76</f>
        <v>1000</v>
      </c>
      <c r="H70" s="449">
        <f t="shared" si="130"/>
        <v>3.625</v>
      </c>
      <c r="I70" s="102">
        <f t="shared" si="131"/>
        <v>8.15625</v>
      </c>
      <c r="J70" s="450">
        <v>0</v>
      </c>
      <c r="K70" s="451">
        <f t="shared" si="132"/>
        <v>2</v>
      </c>
      <c r="L70" s="451">
        <f t="shared" si="133"/>
        <v>2</v>
      </c>
      <c r="M70" s="451">
        <f>'Planilha Hidráulica'!X76</f>
        <v>800</v>
      </c>
      <c r="N70" s="451">
        <f t="shared" si="134"/>
        <v>90</v>
      </c>
      <c r="O70" s="452" t="str">
        <f>'Planilha Hidráulica'!W76</f>
        <v>ASFALTO</v>
      </c>
      <c r="P70" s="452" t="s">
        <v>2057</v>
      </c>
      <c r="Q70" s="452"/>
      <c r="R70" s="452">
        <v>3.7</v>
      </c>
      <c r="S70" s="452">
        <v>2.5</v>
      </c>
      <c r="T70" s="451">
        <f t="shared" si="135"/>
        <v>0.15</v>
      </c>
      <c r="U70" s="453">
        <f t="shared" si="136"/>
        <v>22.619467105846514</v>
      </c>
      <c r="V70" s="106">
        <f t="shared" si="137"/>
        <v>303.63053289415348</v>
      </c>
      <c r="W70" s="107">
        <f t="shared" si="138"/>
        <v>0</v>
      </c>
      <c r="X70" s="107">
        <f t="shared" si="139"/>
        <v>0</v>
      </c>
      <c r="Y70" s="454">
        <f t="shared" si="140"/>
        <v>3.625</v>
      </c>
      <c r="Z70" s="454">
        <f t="shared" si="141"/>
        <v>0</v>
      </c>
      <c r="AA70" s="455">
        <f t="shared" si="142"/>
        <v>90</v>
      </c>
      <c r="AB70" s="117">
        <f t="shared" si="143"/>
        <v>0</v>
      </c>
      <c r="AC70" s="109">
        <f t="shared" si="144"/>
        <v>0</v>
      </c>
      <c r="AD70" s="109">
        <f t="shared" si="145"/>
        <v>0</v>
      </c>
      <c r="AE70" s="109">
        <f t="shared" si="146"/>
        <v>0</v>
      </c>
      <c r="AF70" s="109">
        <f t="shared" si="147"/>
        <v>0</v>
      </c>
      <c r="AG70" s="109">
        <f t="shared" si="148"/>
        <v>0</v>
      </c>
      <c r="AH70" s="109">
        <f t="shared" si="149"/>
        <v>0</v>
      </c>
      <c r="AI70" s="109">
        <f t="shared" si="150"/>
        <v>0</v>
      </c>
      <c r="AJ70" s="456">
        <f t="shared" si="151"/>
        <v>0</v>
      </c>
      <c r="AK70" s="456">
        <f t="shared" si="152"/>
        <v>0</v>
      </c>
      <c r="AL70" s="456">
        <f t="shared" si="153"/>
        <v>135</v>
      </c>
      <c r="AM70" s="456">
        <f t="shared" si="231"/>
        <v>135</v>
      </c>
      <c r="AN70" s="456">
        <f t="shared" ref="AN70:AN77" si="232">IF(IF(K70&lt;=2.5,IF(Y70&gt;=4.5,L70*F70*1.5,K70*F70*(Y70-3)),0)&lt;0,0,IF(K70&lt;=2.5,IF(Y70&gt;=4.5,L70*F70*1.5,K70*F70*(Y70-3)),0))+IF(R70&lt;H70,0,IF(AND(Y70&lt;=4.5,Y70&gt;3,K70&gt;1.5,K70&lt;=2.5),-U70,0))</f>
        <v>33.63053289415349</v>
      </c>
      <c r="AO70" s="456">
        <f t="shared" si="154"/>
        <v>0</v>
      </c>
      <c r="AP70" s="456">
        <f t="shared" si="155"/>
        <v>0</v>
      </c>
      <c r="AQ70" s="456">
        <f t="shared" si="156"/>
        <v>0</v>
      </c>
      <c r="AR70" s="104">
        <f t="shared" si="157"/>
        <v>0</v>
      </c>
      <c r="AS70" s="451">
        <f t="shared" si="158"/>
        <v>0.67500000000000004</v>
      </c>
      <c r="AT70" s="104">
        <f t="shared" si="159"/>
        <v>290.90708264711481</v>
      </c>
      <c r="AU70" s="102">
        <f t="shared" si="160"/>
        <v>0</v>
      </c>
      <c r="AV70" s="106">
        <f t="shared" si="161"/>
        <v>13.5</v>
      </c>
      <c r="AW70" s="104">
        <f t="shared" si="162"/>
        <v>0</v>
      </c>
      <c r="AX70" s="104">
        <f t="shared" si="163"/>
        <v>0</v>
      </c>
      <c r="AY70" s="104">
        <f t="shared" si="164"/>
        <v>1.3</v>
      </c>
      <c r="AZ70" s="104">
        <f t="shared" si="165"/>
        <v>81.657082647114834</v>
      </c>
      <c r="BA70" s="104">
        <f t="shared" si="166"/>
        <v>0</v>
      </c>
      <c r="BB70" s="104">
        <f t="shared" si="167"/>
        <v>13.5</v>
      </c>
      <c r="BC70" s="104">
        <f t="shared" si="168"/>
        <v>13.5</v>
      </c>
      <c r="BD70" s="104">
        <f t="shared" si="169"/>
        <v>2.6999999999999997</v>
      </c>
      <c r="BE70" s="104">
        <f t="shared" si="170"/>
        <v>168.74999999999997</v>
      </c>
      <c r="BF70" s="104">
        <f t="shared" si="171"/>
        <v>208.47345024703864</v>
      </c>
      <c r="BG70" s="104">
        <f t="shared" si="172"/>
        <v>168.74999999999997</v>
      </c>
      <c r="BH70" s="104">
        <f t="shared" si="173"/>
        <v>39.72345024703867</v>
      </c>
      <c r="BI70" s="104">
        <f t="shared" si="174"/>
        <v>0</v>
      </c>
      <c r="BJ70" s="104">
        <f t="shared" si="227"/>
        <v>0</v>
      </c>
      <c r="BK70" s="104">
        <f t="shared" si="175"/>
        <v>0</v>
      </c>
      <c r="BL70" s="125"/>
      <c r="BM70" s="104">
        <f t="shared" si="176"/>
        <v>0.54</v>
      </c>
      <c r="BN70" s="455">
        <f t="shared" si="177"/>
        <v>0</v>
      </c>
      <c r="BO70" s="457">
        <f t="shared" si="178"/>
        <v>0</v>
      </c>
      <c r="BP70" s="457">
        <f t="shared" si="179"/>
        <v>0</v>
      </c>
      <c r="BQ70" s="457">
        <f t="shared" si="180"/>
        <v>0</v>
      </c>
      <c r="BR70" s="451">
        <f t="shared" si="181"/>
        <v>0</v>
      </c>
      <c r="BS70" s="451">
        <f t="shared" si="182"/>
        <v>0</v>
      </c>
      <c r="BT70" s="451">
        <f t="shared" si="183"/>
        <v>0</v>
      </c>
      <c r="BU70" s="451">
        <f t="shared" si="184"/>
        <v>0</v>
      </c>
      <c r="BV70" s="451">
        <f t="shared" si="185"/>
        <v>0</v>
      </c>
      <c r="BW70" s="451">
        <f t="shared" si="186"/>
        <v>0</v>
      </c>
      <c r="BX70" s="451">
        <f t="shared" si="187"/>
        <v>0</v>
      </c>
      <c r="BY70" s="451">
        <f t="shared" si="188"/>
        <v>0</v>
      </c>
      <c r="BZ70" s="451">
        <f t="shared" si="189"/>
        <v>0</v>
      </c>
      <c r="CA70" s="451">
        <f t="shared" si="190"/>
        <v>0</v>
      </c>
      <c r="CB70" s="451">
        <f t="shared" si="191"/>
        <v>3.625</v>
      </c>
      <c r="CC70" s="451">
        <f t="shared" si="192"/>
        <v>0</v>
      </c>
      <c r="CD70" s="451">
        <f t="shared" si="193"/>
        <v>45</v>
      </c>
      <c r="CE70" s="451">
        <f t="shared" si="194"/>
        <v>0</v>
      </c>
      <c r="CF70" s="451">
        <f t="shared" si="195"/>
        <v>0</v>
      </c>
      <c r="CG70" s="451">
        <f t="shared" si="196"/>
        <v>0</v>
      </c>
      <c r="CH70" s="451">
        <f t="shared" si="197"/>
        <v>0</v>
      </c>
      <c r="CI70" s="451">
        <f t="shared" si="198"/>
        <v>0</v>
      </c>
      <c r="CJ70" s="458">
        <f t="shared" si="199"/>
        <v>0</v>
      </c>
      <c r="CK70" s="451">
        <f t="shared" si="200"/>
        <v>0</v>
      </c>
      <c r="CL70" s="451">
        <f t="shared" si="201"/>
        <v>0</v>
      </c>
      <c r="CM70" s="451">
        <f t="shared" si="202"/>
        <v>0</v>
      </c>
      <c r="CN70" s="454">
        <f t="shared" si="203"/>
        <v>0</v>
      </c>
      <c r="CO70" s="454">
        <f t="shared" si="204"/>
        <v>0</v>
      </c>
      <c r="CP70" s="454">
        <f t="shared" si="205"/>
        <v>0</v>
      </c>
      <c r="CQ70" s="454">
        <f t="shared" si="206"/>
        <v>0</v>
      </c>
      <c r="CR70" s="454">
        <f t="shared" si="207"/>
        <v>0</v>
      </c>
      <c r="CS70" s="454">
        <f t="shared" si="208"/>
        <v>0</v>
      </c>
      <c r="CT70" s="459">
        <f t="shared" si="209"/>
        <v>0</v>
      </c>
      <c r="CU70" s="460">
        <f t="shared" si="210"/>
        <v>1</v>
      </c>
      <c r="CV70" s="460">
        <f t="shared" si="211"/>
        <v>0</v>
      </c>
      <c r="CW70" s="460">
        <f t="shared" si="212"/>
        <v>0</v>
      </c>
      <c r="CX70" s="460">
        <f t="shared" si="213"/>
        <v>1</v>
      </c>
      <c r="CY70" s="460">
        <f t="shared" si="214"/>
        <v>0</v>
      </c>
      <c r="CZ70" s="460">
        <f t="shared" si="215"/>
        <v>0</v>
      </c>
      <c r="DA70" s="461">
        <f t="shared" si="216"/>
        <v>1.5499999999999998</v>
      </c>
      <c r="DB70" s="118">
        <v>1.3</v>
      </c>
      <c r="DC70" s="118">
        <v>1.4</v>
      </c>
      <c r="DD70" s="118">
        <v>2</v>
      </c>
      <c r="DE70" s="118">
        <v>2</v>
      </c>
      <c r="DF70" s="462">
        <v>2</v>
      </c>
      <c r="DG70" s="455">
        <f t="shared" si="217"/>
        <v>0</v>
      </c>
      <c r="DH70" s="463">
        <f t="shared" si="218"/>
        <v>0</v>
      </c>
      <c r="DI70" s="463">
        <f t="shared" si="219"/>
        <v>0</v>
      </c>
      <c r="DJ70" s="463">
        <f t="shared" si="220"/>
        <v>135</v>
      </c>
      <c r="DK70" s="463">
        <f t="shared" si="221"/>
        <v>135</v>
      </c>
      <c r="DL70" s="463">
        <f t="shared" si="222"/>
        <v>56.25</v>
      </c>
      <c r="DM70" s="463">
        <f t="shared" si="223"/>
        <v>0</v>
      </c>
      <c r="DN70" s="463">
        <f t="shared" si="224"/>
        <v>0</v>
      </c>
      <c r="DO70" s="463">
        <f t="shared" si="225"/>
        <v>0</v>
      </c>
      <c r="DP70" s="463">
        <f t="shared" si="226"/>
        <v>0</v>
      </c>
      <c r="DQ70" s="464"/>
    </row>
    <row r="71" spans="1:121" ht="13" x14ac:dyDescent="0.25">
      <c r="A71" s="432" t="s">
        <v>2059</v>
      </c>
      <c r="B71" s="257"/>
      <c r="C71" s="101" t="str">
        <f>'Planilha Hidráulica'!B77</f>
        <v>PV4.2-&gt;PV5.2</v>
      </c>
      <c r="D71" s="258">
        <f>'Planilha Hidráulica'!R77</f>
        <v>3</v>
      </c>
      <c r="E71" s="258">
        <f>'Planilha Hidráulica'!S77</f>
        <v>2</v>
      </c>
      <c r="F71" s="258">
        <f>'Planilha Hidráulica'!K77</f>
        <v>52.02</v>
      </c>
      <c r="G71" s="101">
        <f>'Planilha Hidráulica'!M77</f>
        <v>1000</v>
      </c>
      <c r="H71" s="449">
        <f t="shared" si="130"/>
        <v>2.85</v>
      </c>
      <c r="I71" s="102">
        <f t="shared" si="131"/>
        <v>7.4128500000000006</v>
      </c>
      <c r="J71" s="450">
        <v>0</v>
      </c>
      <c r="K71" s="451">
        <f t="shared" si="132"/>
        <v>2</v>
      </c>
      <c r="L71" s="451">
        <f t="shared" si="133"/>
        <v>2</v>
      </c>
      <c r="M71" s="451">
        <f>'Planilha Hidráulica'!X77</f>
        <v>800</v>
      </c>
      <c r="N71" s="451">
        <f t="shared" si="134"/>
        <v>104.04</v>
      </c>
      <c r="O71" s="452" t="str">
        <f>'Planilha Hidráulica'!W77</f>
        <v>ASFALTO</v>
      </c>
      <c r="P71" s="452" t="s">
        <v>2060</v>
      </c>
      <c r="Q71" s="452"/>
      <c r="R71" s="452">
        <v>3</v>
      </c>
      <c r="S71" s="452">
        <v>5</v>
      </c>
      <c r="T71" s="451">
        <f t="shared" si="135"/>
        <v>0.15</v>
      </c>
      <c r="U71" s="453">
        <f t="shared" si="136"/>
        <v>26.14810397435857</v>
      </c>
      <c r="V71" s="106">
        <f t="shared" si="137"/>
        <v>270.36589602564146</v>
      </c>
      <c r="W71" s="107">
        <f t="shared" si="138"/>
        <v>0</v>
      </c>
      <c r="X71" s="107">
        <f t="shared" si="139"/>
        <v>0</v>
      </c>
      <c r="Y71" s="454">
        <f t="shared" si="140"/>
        <v>2.85</v>
      </c>
      <c r="Z71" s="454">
        <f t="shared" si="141"/>
        <v>0</v>
      </c>
      <c r="AA71" s="455">
        <f t="shared" si="142"/>
        <v>104.04</v>
      </c>
      <c r="AB71" s="117">
        <f t="shared" si="143"/>
        <v>0</v>
      </c>
      <c r="AC71" s="109">
        <f t="shared" si="144"/>
        <v>0</v>
      </c>
      <c r="AD71" s="109">
        <f t="shared" si="145"/>
        <v>0</v>
      </c>
      <c r="AE71" s="109">
        <f t="shared" si="146"/>
        <v>0</v>
      </c>
      <c r="AF71" s="109">
        <f t="shared" si="147"/>
        <v>0</v>
      </c>
      <c r="AG71" s="109">
        <f t="shared" si="148"/>
        <v>0</v>
      </c>
      <c r="AH71" s="109">
        <f t="shared" si="149"/>
        <v>0</v>
      </c>
      <c r="AI71" s="109">
        <f t="shared" si="150"/>
        <v>0</v>
      </c>
      <c r="AJ71" s="456">
        <f t="shared" si="151"/>
        <v>0</v>
      </c>
      <c r="AK71" s="456">
        <f t="shared" si="152"/>
        <v>0</v>
      </c>
      <c r="AL71" s="456">
        <f t="shared" si="153"/>
        <v>156.06</v>
      </c>
      <c r="AM71" s="456">
        <f t="shared" si="231"/>
        <v>114.30589602564143</v>
      </c>
      <c r="AN71" s="456">
        <f t="shared" si="232"/>
        <v>0</v>
      </c>
      <c r="AO71" s="456">
        <f t="shared" si="154"/>
        <v>0</v>
      </c>
      <c r="AP71" s="456">
        <f t="shared" si="155"/>
        <v>0</v>
      </c>
      <c r="AQ71" s="456">
        <f t="shared" si="156"/>
        <v>0</v>
      </c>
      <c r="AR71" s="104">
        <f t="shared" si="157"/>
        <v>0</v>
      </c>
      <c r="AS71" s="451">
        <f t="shared" si="158"/>
        <v>0</v>
      </c>
      <c r="AT71" s="104">
        <f t="shared" si="159"/>
        <v>255.65758754006475</v>
      </c>
      <c r="AU71" s="102">
        <f t="shared" si="160"/>
        <v>0</v>
      </c>
      <c r="AV71" s="106">
        <f t="shared" si="161"/>
        <v>15.606</v>
      </c>
      <c r="AW71" s="104">
        <f t="shared" si="162"/>
        <v>0</v>
      </c>
      <c r="AX71" s="104">
        <f t="shared" si="163"/>
        <v>0</v>
      </c>
      <c r="AY71" s="104">
        <f t="shared" si="164"/>
        <v>1.3</v>
      </c>
      <c r="AZ71" s="104">
        <f t="shared" si="165"/>
        <v>94.395587540064753</v>
      </c>
      <c r="BA71" s="104">
        <f t="shared" si="166"/>
        <v>0</v>
      </c>
      <c r="BB71" s="104">
        <f t="shared" si="167"/>
        <v>15.606</v>
      </c>
      <c r="BC71" s="104">
        <f t="shared" si="168"/>
        <v>15.606</v>
      </c>
      <c r="BD71" s="104">
        <f t="shared" si="169"/>
        <v>3.1212</v>
      </c>
      <c r="BE71" s="104">
        <f t="shared" si="170"/>
        <v>114.44400000000002</v>
      </c>
      <c r="BF71" s="104">
        <f t="shared" si="171"/>
        <v>160.36430848557666</v>
      </c>
      <c r="BG71" s="104">
        <f t="shared" si="172"/>
        <v>114.44400000000002</v>
      </c>
      <c r="BH71" s="104">
        <f t="shared" si="173"/>
        <v>45.920308485576641</v>
      </c>
      <c r="BI71" s="104">
        <f t="shared" si="174"/>
        <v>0</v>
      </c>
      <c r="BJ71" s="104">
        <f t="shared" si="227"/>
        <v>0</v>
      </c>
      <c r="BK71" s="104">
        <f t="shared" si="175"/>
        <v>0</v>
      </c>
      <c r="BL71" s="125"/>
      <c r="BM71" s="104">
        <f t="shared" si="176"/>
        <v>0.62424000000000002</v>
      </c>
      <c r="BN71" s="455">
        <f t="shared" si="177"/>
        <v>0</v>
      </c>
      <c r="BO71" s="457">
        <f t="shared" si="178"/>
        <v>0</v>
      </c>
      <c r="BP71" s="457">
        <f t="shared" si="179"/>
        <v>0</v>
      </c>
      <c r="BQ71" s="457">
        <f t="shared" si="180"/>
        <v>0</v>
      </c>
      <c r="BR71" s="451">
        <f t="shared" si="181"/>
        <v>0</v>
      </c>
      <c r="BS71" s="451">
        <f t="shared" si="182"/>
        <v>0</v>
      </c>
      <c r="BT71" s="451">
        <f t="shared" si="183"/>
        <v>0</v>
      </c>
      <c r="BU71" s="451">
        <f t="shared" si="184"/>
        <v>0</v>
      </c>
      <c r="BV71" s="451">
        <f t="shared" si="185"/>
        <v>0</v>
      </c>
      <c r="BW71" s="451">
        <f t="shared" si="186"/>
        <v>0</v>
      </c>
      <c r="BX71" s="451">
        <f t="shared" si="187"/>
        <v>0</v>
      </c>
      <c r="BY71" s="451">
        <f t="shared" si="188"/>
        <v>0</v>
      </c>
      <c r="BZ71" s="451">
        <f t="shared" si="189"/>
        <v>0</v>
      </c>
      <c r="CA71" s="451">
        <f t="shared" si="190"/>
        <v>0</v>
      </c>
      <c r="CB71" s="451">
        <f t="shared" si="191"/>
        <v>2.85</v>
      </c>
      <c r="CC71" s="451">
        <f t="shared" si="192"/>
        <v>52.02</v>
      </c>
      <c r="CD71" s="451">
        <f t="shared" si="193"/>
        <v>0</v>
      </c>
      <c r="CE71" s="451">
        <f t="shared" si="194"/>
        <v>0</v>
      </c>
      <c r="CF71" s="451">
        <f t="shared" si="195"/>
        <v>0</v>
      </c>
      <c r="CG71" s="451">
        <f t="shared" si="196"/>
        <v>0</v>
      </c>
      <c r="CH71" s="451">
        <f t="shared" si="197"/>
        <v>0</v>
      </c>
      <c r="CI71" s="451">
        <f t="shared" si="198"/>
        <v>0</v>
      </c>
      <c r="CJ71" s="458">
        <f t="shared" si="199"/>
        <v>0</v>
      </c>
      <c r="CK71" s="451">
        <f t="shared" si="200"/>
        <v>0</v>
      </c>
      <c r="CL71" s="451">
        <f t="shared" si="201"/>
        <v>0</v>
      </c>
      <c r="CM71" s="451">
        <f t="shared" si="202"/>
        <v>0</v>
      </c>
      <c r="CN71" s="454">
        <f t="shared" si="203"/>
        <v>0</v>
      </c>
      <c r="CO71" s="454">
        <f t="shared" si="204"/>
        <v>0</v>
      </c>
      <c r="CP71" s="454">
        <f t="shared" si="205"/>
        <v>0</v>
      </c>
      <c r="CQ71" s="454">
        <f t="shared" si="206"/>
        <v>0</v>
      </c>
      <c r="CR71" s="454">
        <f t="shared" si="207"/>
        <v>0</v>
      </c>
      <c r="CS71" s="454">
        <f t="shared" si="208"/>
        <v>0</v>
      </c>
      <c r="CT71" s="459">
        <f t="shared" si="209"/>
        <v>0</v>
      </c>
      <c r="CU71" s="460">
        <f t="shared" si="210"/>
        <v>1</v>
      </c>
      <c r="CV71" s="460">
        <f t="shared" si="211"/>
        <v>0</v>
      </c>
      <c r="CW71" s="460">
        <f t="shared" si="212"/>
        <v>0</v>
      </c>
      <c r="CX71" s="460">
        <f t="shared" si="213"/>
        <v>1</v>
      </c>
      <c r="CY71" s="460">
        <f t="shared" si="214"/>
        <v>0</v>
      </c>
      <c r="CZ71" s="460">
        <f t="shared" si="215"/>
        <v>0</v>
      </c>
      <c r="DA71" s="461">
        <f t="shared" si="216"/>
        <v>1</v>
      </c>
      <c r="DB71" s="118">
        <v>1.3</v>
      </c>
      <c r="DC71" s="118">
        <v>1.4</v>
      </c>
      <c r="DD71" s="118">
        <v>2</v>
      </c>
      <c r="DE71" s="118">
        <v>2</v>
      </c>
      <c r="DF71" s="462">
        <v>2</v>
      </c>
      <c r="DG71" s="455">
        <f t="shared" si="217"/>
        <v>0</v>
      </c>
      <c r="DH71" s="463">
        <f t="shared" si="218"/>
        <v>0</v>
      </c>
      <c r="DI71" s="463">
        <f t="shared" si="219"/>
        <v>0</v>
      </c>
      <c r="DJ71" s="463">
        <f t="shared" si="220"/>
        <v>156.06</v>
      </c>
      <c r="DK71" s="463">
        <f t="shared" si="221"/>
        <v>140.45400000000001</v>
      </c>
      <c r="DL71" s="463">
        <f t="shared" si="222"/>
        <v>0</v>
      </c>
      <c r="DM71" s="463">
        <f t="shared" si="223"/>
        <v>0</v>
      </c>
      <c r="DN71" s="463">
        <f t="shared" si="224"/>
        <v>0</v>
      </c>
      <c r="DO71" s="463">
        <f t="shared" si="225"/>
        <v>0</v>
      </c>
      <c r="DP71" s="463">
        <f t="shared" si="226"/>
        <v>0</v>
      </c>
      <c r="DQ71" s="464"/>
    </row>
    <row r="72" spans="1:121" ht="13" x14ac:dyDescent="0.25">
      <c r="A72" s="432" t="s">
        <v>2061</v>
      </c>
      <c r="B72" s="257"/>
      <c r="C72" s="101" t="str">
        <f>'Planilha Hidráulica'!B78</f>
        <v>PV5.2-&gt;PV6.2</v>
      </c>
      <c r="D72" s="258">
        <f>'Planilha Hidráulica'!R78</f>
        <v>2</v>
      </c>
      <c r="E72" s="258">
        <f>'Planilha Hidráulica'!S78</f>
        <v>2.6</v>
      </c>
      <c r="F72" s="258">
        <f>'Planilha Hidráulica'!K78</f>
        <v>30.49</v>
      </c>
      <c r="G72" s="101">
        <f>'Planilha Hidráulica'!M78</f>
        <v>1000</v>
      </c>
      <c r="H72" s="449">
        <f t="shared" si="130"/>
        <v>2.65</v>
      </c>
      <c r="I72" s="102">
        <f t="shared" si="131"/>
        <v>4.0399249999999993</v>
      </c>
      <c r="J72" s="450">
        <v>0</v>
      </c>
      <c r="K72" s="451">
        <f t="shared" si="132"/>
        <v>2</v>
      </c>
      <c r="L72" s="451">
        <f t="shared" si="133"/>
        <v>2</v>
      </c>
      <c r="M72" s="451">
        <f>'Planilha Hidráulica'!X78</f>
        <v>1000</v>
      </c>
      <c r="N72" s="451">
        <f t="shared" si="134"/>
        <v>60.98</v>
      </c>
      <c r="O72" s="452" t="str">
        <f>'Planilha Hidráulica'!W78</f>
        <v>ASFALTO</v>
      </c>
      <c r="P72" s="452" t="s">
        <v>2060</v>
      </c>
      <c r="Q72" s="105">
        <v>1</v>
      </c>
      <c r="R72" s="452">
        <v>3</v>
      </c>
      <c r="S72" s="452">
        <v>5</v>
      </c>
      <c r="T72" s="451">
        <f t="shared" si="135"/>
        <v>0.15</v>
      </c>
      <c r="U72" s="453">
        <f t="shared" si="136"/>
        <v>23.946790001988198</v>
      </c>
      <c r="V72" s="106">
        <f t="shared" si="137"/>
        <v>162.04220999801177</v>
      </c>
      <c r="W72" s="107">
        <f t="shared" si="138"/>
        <v>0</v>
      </c>
      <c r="X72" s="107">
        <f t="shared" si="139"/>
        <v>0.4</v>
      </c>
      <c r="Y72" s="454">
        <f t="shared" si="140"/>
        <v>2.65</v>
      </c>
      <c r="Z72" s="454">
        <f t="shared" si="141"/>
        <v>0</v>
      </c>
      <c r="AA72" s="455">
        <f t="shared" si="142"/>
        <v>60.98</v>
      </c>
      <c r="AB72" s="117">
        <f t="shared" si="143"/>
        <v>0</v>
      </c>
      <c r="AC72" s="109">
        <f t="shared" si="144"/>
        <v>0</v>
      </c>
      <c r="AD72" s="109">
        <f t="shared" si="145"/>
        <v>0</v>
      </c>
      <c r="AE72" s="109">
        <f t="shared" si="146"/>
        <v>0</v>
      </c>
      <c r="AF72" s="109">
        <f t="shared" si="147"/>
        <v>0</v>
      </c>
      <c r="AG72" s="109">
        <f t="shared" si="148"/>
        <v>0</v>
      </c>
      <c r="AH72" s="109">
        <f t="shared" si="149"/>
        <v>24.391999999999999</v>
      </c>
      <c r="AI72" s="109">
        <f t="shared" si="150"/>
        <v>0</v>
      </c>
      <c r="AJ72" s="456">
        <f t="shared" si="151"/>
        <v>0</v>
      </c>
      <c r="AK72" s="456">
        <f t="shared" si="152"/>
        <v>0</v>
      </c>
      <c r="AL72" s="456">
        <f t="shared" si="153"/>
        <v>91.47</v>
      </c>
      <c r="AM72" s="456">
        <f>IF(IF(AND(K72&lt;=2.5,K72&gt;1.5),IF(Y72&gt;=3,L72*F72*1.5,K72*F72*(Y72-1.5)),0)&lt;0,0,IF(AND(K72&lt;=2.5,K72&gt;1.5),IF(Y72&gt;=3,L72*F72*1.5,K72*F72*(Y72-1.5)),0))-U71</f>
        <v>43.978896025641426</v>
      </c>
      <c r="AN72" s="456">
        <f t="shared" si="232"/>
        <v>0</v>
      </c>
      <c r="AO72" s="456">
        <f t="shared" si="154"/>
        <v>0</v>
      </c>
      <c r="AP72" s="456">
        <f t="shared" si="155"/>
        <v>0</v>
      </c>
      <c r="AQ72" s="456">
        <f t="shared" si="156"/>
        <v>0</v>
      </c>
      <c r="AR72" s="104">
        <f t="shared" si="157"/>
        <v>2.2000000000000002</v>
      </c>
      <c r="AS72" s="451">
        <f t="shared" si="158"/>
        <v>0</v>
      </c>
      <c r="AT72" s="104">
        <f t="shared" si="159"/>
        <v>162.04220999801177</v>
      </c>
      <c r="AU72" s="102">
        <f t="shared" si="160"/>
        <v>0</v>
      </c>
      <c r="AV72" s="106">
        <f t="shared" si="161"/>
        <v>9.1469999999999985</v>
      </c>
      <c r="AW72" s="104">
        <f t="shared" si="162"/>
        <v>24.391999999999999</v>
      </c>
      <c r="AX72" s="104">
        <f t="shared" si="163"/>
        <v>0</v>
      </c>
      <c r="AY72" s="104">
        <f t="shared" si="164"/>
        <v>1.3</v>
      </c>
      <c r="AZ72" s="104">
        <f t="shared" si="165"/>
        <v>55.327209998011803</v>
      </c>
      <c r="BA72" s="104">
        <f t="shared" si="166"/>
        <v>0</v>
      </c>
      <c r="BB72" s="104">
        <f t="shared" si="167"/>
        <v>9.1469999999999985</v>
      </c>
      <c r="BC72" s="104">
        <f t="shared" si="168"/>
        <v>9.1469999999999985</v>
      </c>
      <c r="BD72" s="104">
        <f t="shared" si="169"/>
        <v>1.8293999999999999</v>
      </c>
      <c r="BE72" s="104">
        <f t="shared" si="170"/>
        <v>54.881999999999998</v>
      </c>
      <c r="BF72" s="104">
        <f t="shared" si="171"/>
        <v>46.582686027629642</v>
      </c>
      <c r="BG72" s="104">
        <f t="shared" si="172"/>
        <v>46.582686027629642</v>
      </c>
      <c r="BH72" s="104">
        <f t="shared" si="173"/>
        <v>0</v>
      </c>
      <c r="BI72" s="104">
        <f t="shared" si="174"/>
        <v>8.2993139723703564</v>
      </c>
      <c r="BJ72" s="104">
        <f t="shared" si="227"/>
        <v>6.9321400306404906</v>
      </c>
      <c r="BK72" s="104">
        <f t="shared" si="175"/>
        <v>1.3671739417298658</v>
      </c>
      <c r="BL72" s="125"/>
      <c r="BM72" s="104">
        <f t="shared" si="176"/>
        <v>1.3415600000000001</v>
      </c>
      <c r="BN72" s="455">
        <f t="shared" si="177"/>
        <v>0</v>
      </c>
      <c r="BO72" s="457">
        <f t="shared" si="178"/>
        <v>0</v>
      </c>
      <c r="BP72" s="457">
        <f t="shared" si="179"/>
        <v>0</v>
      </c>
      <c r="BQ72" s="457">
        <f t="shared" si="180"/>
        <v>0</v>
      </c>
      <c r="BR72" s="451">
        <f t="shared" si="181"/>
        <v>0</v>
      </c>
      <c r="BS72" s="451">
        <f t="shared" si="182"/>
        <v>0</v>
      </c>
      <c r="BT72" s="451">
        <f t="shared" si="183"/>
        <v>0</v>
      </c>
      <c r="BU72" s="451">
        <f t="shared" si="184"/>
        <v>0</v>
      </c>
      <c r="BV72" s="451">
        <f t="shared" si="185"/>
        <v>0</v>
      </c>
      <c r="BW72" s="451">
        <f t="shared" si="186"/>
        <v>0</v>
      </c>
      <c r="BX72" s="451">
        <f t="shared" si="187"/>
        <v>0</v>
      </c>
      <c r="BY72" s="451">
        <f t="shared" si="188"/>
        <v>0</v>
      </c>
      <c r="BZ72" s="451">
        <f t="shared" si="189"/>
        <v>0</v>
      </c>
      <c r="CA72" s="451">
        <f t="shared" si="190"/>
        <v>0</v>
      </c>
      <c r="CB72" s="451">
        <f t="shared" si="191"/>
        <v>2.65</v>
      </c>
      <c r="CC72" s="451">
        <f t="shared" si="192"/>
        <v>30.49</v>
      </c>
      <c r="CD72" s="451">
        <f t="shared" si="193"/>
        <v>0</v>
      </c>
      <c r="CE72" s="451">
        <f t="shared" si="194"/>
        <v>0</v>
      </c>
      <c r="CF72" s="451">
        <f t="shared" si="195"/>
        <v>0</v>
      </c>
      <c r="CG72" s="451">
        <f t="shared" si="196"/>
        <v>0</v>
      </c>
      <c r="CH72" s="451">
        <f t="shared" si="197"/>
        <v>0</v>
      </c>
      <c r="CI72" s="451">
        <f t="shared" si="198"/>
        <v>0</v>
      </c>
      <c r="CJ72" s="458">
        <f t="shared" si="199"/>
        <v>0</v>
      </c>
      <c r="CK72" s="451">
        <f t="shared" si="200"/>
        <v>0</v>
      </c>
      <c r="CL72" s="451">
        <f t="shared" si="201"/>
        <v>0</v>
      </c>
      <c r="CM72" s="451">
        <f t="shared" si="202"/>
        <v>0</v>
      </c>
      <c r="CN72" s="454">
        <f t="shared" si="203"/>
        <v>0</v>
      </c>
      <c r="CO72" s="454">
        <f t="shared" si="204"/>
        <v>0</v>
      </c>
      <c r="CP72" s="454">
        <f t="shared" si="205"/>
        <v>0</v>
      </c>
      <c r="CQ72" s="454">
        <f t="shared" si="206"/>
        <v>0</v>
      </c>
      <c r="CR72" s="454">
        <f t="shared" si="207"/>
        <v>0</v>
      </c>
      <c r="CS72" s="454">
        <f t="shared" si="208"/>
        <v>0</v>
      </c>
      <c r="CT72" s="459">
        <f t="shared" si="209"/>
        <v>0</v>
      </c>
      <c r="CU72" s="460">
        <f t="shared" si="210"/>
        <v>1</v>
      </c>
      <c r="CV72" s="460">
        <f t="shared" si="211"/>
        <v>0</v>
      </c>
      <c r="CW72" s="460">
        <f t="shared" si="212"/>
        <v>0</v>
      </c>
      <c r="CX72" s="460">
        <f t="shared" si="213"/>
        <v>1</v>
      </c>
      <c r="CY72" s="460">
        <f t="shared" si="214"/>
        <v>0</v>
      </c>
      <c r="CZ72" s="460">
        <f t="shared" si="215"/>
        <v>0</v>
      </c>
      <c r="DA72" s="461">
        <f t="shared" si="216"/>
        <v>0</v>
      </c>
      <c r="DB72" s="118">
        <v>1.3</v>
      </c>
      <c r="DC72" s="118">
        <v>1.4</v>
      </c>
      <c r="DD72" s="118">
        <v>2</v>
      </c>
      <c r="DE72" s="118">
        <v>2</v>
      </c>
      <c r="DF72" s="462">
        <v>2</v>
      </c>
      <c r="DG72" s="455">
        <f t="shared" si="217"/>
        <v>0</v>
      </c>
      <c r="DH72" s="463">
        <f t="shared" si="218"/>
        <v>0</v>
      </c>
      <c r="DI72" s="463">
        <f t="shared" si="219"/>
        <v>0</v>
      </c>
      <c r="DJ72" s="463">
        <f t="shared" si="220"/>
        <v>91.47</v>
      </c>
      <c r="DK72" s="463">
        <f t="shared" si="221"/>
        <v>70.126999999999995</v>
      </c>
      <c r="DL72" s="463">
        <f t="shared" si="222"/>
        <v>0</v>
      </c>
      <c r="DM72" s="463">
        <f t="shared" si="223"/>
        <v>0</v>
      </c>
      <c r="DN72" s="463">
        <f t="shared" si="224"/>
        <v>0</v>
      </c>
      <c r="DO72" s="463">
        <f t="shared" si="225"/>
        <v>0</v>
      </c>
      <c r="DP72" s="463">
        <f t="shared" si="226"/>
        <v>0</v>
      </c>
      <c r="DQ72" s="464"/>
    </row>
    <row r="73" spans="1:121" ht="13" x14ac:dyDescent="0.25">
      <c r="A73" s="448" t="s">
        <v>2062</v>
      </c>
      <c r="B73" s="257"/>
      <c r="C73" s="101" t="str">
        <f>'Planilha Hidráulica'!B79</f>
        <v>PV1.3-&gt;PV6.2</v>
      </c>
      <c r="D73" s="258">
        <f>'Planilha Hidráulica'!R79</f>
        <v>1.6</v>
      </c>
      <c r="E73" s="258">
        <f>'Planilha Hidráulica'!S79</f>
        <v>1.6</v>
      </c>
      <c r="F73" s="258">
        <f>'Planilha Hidráulica'!K79</f>
        <v>59.99</v>
      </c>
      <c r="G73" s="101">
        <f>'Planilha Hidráulica'!M79</f>
        <v>600</v>
      </c>
      <c r="H73" s="449">
        <f t="shared" si="130"/>
        <v>1.8200000000000003</v>
      </c>
      <c r="I73" s="102">
        <f t="shared" si="131"/>
        <v>5.4590900000000016</v>
      </c>
      <c r="J73" s="450">
        <v>0</v>
      </c>
      <c r="K73" s="451">
        <f t="shared" si="132"/>
        <v>1.4</v>
      </c>
      <c r="L73" s="451">
        <f t="shared" si="133"/>
        <v>1.4</v>
      </c>
      <c r="M73" s="451" t="str">
        <f>'Planilha Hidráulica'!X79</f>
        <v>-</v>
      </c>
      <c r="N73" s="451">
        <f t="shared" si="134"/>
        <v>83.986000000000004</v>
      </c>
      <c r="O73" s="452" t="str">
        <f>'Planilha Hidráulica'!W79</f>
        <v>ASFALTO</v>
      </c>
      <c r="P73" s="452" t="s">
        <v>2058</v>
      </c>
      <c r="Q73" s="452"/>
      <c r="R73" s="452">
        <v>2.5</v>
      </c>
      <c r="S73" s="452">
        <v>1.6</v>
      </c>
      <c r="T73" s="451">
        <f t="shared" si="135"/>
        <v>0.1</v>
      </c>
      <c r="U73" s="453">
        <f t="shared" si="136"/>
        <v>0</v>
      </c>
      <c r="V73" s="106">
        <f t="shared" si="137"/>
        <v>152.85452000000001</v>
      </c>
      <c r="W73" s="107">
        <f t="shared" si="138"/>
        <v>0</v>
      </c>
      <c r="X73" s="107">
        <f t="shared" si="139"/>
        <v>0</v>
      </c>
      <c r="Y73" s="454">
        <f t="shared" si="140"/>
        <v>1.8200000000000003</v>
      </c>
      <c r="Z73" s="454">
        <f t="shared" si="141"/>
        <v>0</v>
      </c>
      <c r="AA73" s="455">
        <f t="shared" si="142"/>
        <v>83.986000000000004</v>
      </c>
      <c r="AB73" s="117">
        <f t="shared" si="143"/>
        <v>0</v>
      </c>
      <c r="AC73" s="109">
        <f t="shared" si="144"/>
        <v>0</v>
      </c>
      <c r="AD73" s="109">
        <f t="shared" si="145"/>
        <v>0</v>
      </c>
      <c r="AE73" s="109">
        <f t="shared" si="146"/>
        <v>0</v>
      </c>
      <c r="AF73" s="109">
        <f t="shared" si="147"/>
        <v>0</v>
      </c>
      <c r="AG73" s="109">
        <f t="shared" si="148"/>
        <v>0</v>
      </c>
      <c r="AH73" s="109">
        <f t="shared" si="149"/>
        <v>0</v>
      </c>
      <c r="AI73" s="109">
        <f t="shared" si="150"/>
        <v>0</v>
      </c>
      <c r="AJ73" s="456">
        <f t="shared" si="151"/>
        <v>125.97900000000001</v>
      </c>
      <c r="AK73" s="456">
        <f t="shared" si="152"/>
        <v>26.875520000000026</v>
      </c>
      <c r="AL73" s="456">
        <f t="shared" si="153"/>
        <v>0</v>
      </c>
      <c r="AM73" s="456">
        <f>IF(IF(AND(K73&lt;=2.5,K73&gt;1.5),IF(Y73&gt;=3,L73*F73*1.5,K73*F73*(Y73-1.5)),0)&lt;0,0,IF(AND(K73&lt;=2.5,K73&gt;1.5),IF(Y73&gt;=3,L73*F73*1.5,K73*F73*(Y73-1.5)),0))+IF(R73&lt;H73,0,IF(AND(Y73&lt;=3,Y73&gt;1.5,K73&gt;1.5,K73&lt;=2.5),-U73,0))</f>
        <v>0</v>
      </c>
      <c r="AN73" s="456">
        <f t="shared" si="232"/>
        <v>0</v>
      </c>
      <c r="AO73" s="456">
        <f t="shared" si="154"/>
        <v>0</v>
      </c>
      <c r="AP73" s="456">
        <f t="shared" si="155"/>
        <v>0</v>
      </c>
      <c r="AQ73" s="456">
        <f t="shared" si="156"/>
        <v>0</v>
      </c>
      <c r="AR73" s="104">
        <f t="shared" si="157"/>
        <v>0</v>
      </c>
      <c r="AS73" s="451">
        <f t="shared" si="158"/>
        <v>0.17597066666666683</v>
      </c>
      <c r="AT73" s="104">
        <f t="shared" si="159"/>
        <v>135.89274710400338</v>
      </c>
      <c r="AU73" s="102">
        <f t="shared" si="160"/>
        <v>8.3986000000000001</v>
      </c>
      <c r="AV73" s="106">
        <f t="shared" si="161"/>
        <v>0</v>
      </c>
      <c r="AW73" s="104">
        <f t="shared" si="162"/>
        <v>0</v>
      </c>
      <c r="AX73" s="104">
        <f t="shared" si="163"/>
        <v>0</v>
      </c>
      <c r="AY73" s="104">
        <f t="shared" si="164"/>
        <v>0.89999999999999991</v>
      </c>
      <c r="AZ73" s="104">
        <f t="shared" si="165"/>
        <v>58.625627104003335</v>
      </c>
      <c r="BA73" s="104">
        <f t="shared" si="166"/>
        <v>0</v>
      </c>
      <c r="BB73" s="104">
        <f t="shared" si="167"/>
        <v>12.597899999999999</v>
      </c>
      <c r="BC73" s="104">
        <f t="shared" si="168"/>
        <v>12.597899999999999</v>
      </c>
      <c r="BD73" s="104">
        <f t="shared" si="169"/>
        <v>2.5195799999999999</v>
      </c>
      <c r="BE73" s="104">
        <f t="shared" si="170"/>
        <v>43.672720000000048</v>
      </c>
      <c r="BF73" s="104">
        <f t="shared" si="171"/>
        <v>81.630992895996684</v>
      </c>
      <c r="BG73" s="104">
        <f t="shared" si="172"/>
        <v>43.672720000000048</v>
      </c>
      <c r="BH73" s="104">
        <f t="shared" si="173"/>
        <v>37.958272895996636</v>
      </c>
      <c r="BI73" s="104">
        <f t="shared" si="174"/>
        <v>0</v>
      </c>
      <c r="BJ73" s="104">
        <f t="shared" si="227"/>
        <v>0</v>
      </c>
      <c r="BK73" s="104">
        <f t="shared" si="175"/>
        <v>0</v>
      </c>
      <c r="BL73" s="125"/>
      <c r="BM73" s="104">
        <f t="shared" si="176"/>
        <v>0.50391600000000003</v>
      </c>
      <c r="BN73" s="455">
        <f t="shared" si="177"/>
        <v>0</v>
      </c>
      <c r="BO73" s="457">
        <f t="shared" si="178"/>
        <v>0</v>
      </c>
      <c r="BP73" s="457">
        <f t="shared" si="179"/>
        <v>0</v>
      </c>
      <c r="BQ73" s="457">
        <f t="shared" si="180"/>
        <v>0</v>
      </c>
      <c r="BR73" s="451">
        <f t="shared" si="181"/>
        <v>0</v>
      </c>
      <c r="BS73" s="451">
        <f t="shared" si="182"/>
        <v>0</v>
      </c>
      <c r="BT73" s="451">
        <f t="shared" si="183"/>
        <v>1.8200000000000003</v>
      </c>
      <c r="BU73" s="451">
        <f t="shared" si="184"/>
        <v>59.99</v>
      </c>
      <c r="BV73" s="451">
        <f t="shared" si="185"/>
        <v>0</v>
      </c>
      <c r="BW73" s="451">
        <f t="shared" si="186"/>
        <v>0</v>
      </c>
      <c r="BX73" s="451">
        <f t="shared" si="187"/>
        <v>0</v>
      </c>
      <c r="BY73" s="451">
        <f t="shared" si="188"/>
        <v>0</v>
      </c>
      <c r="BZ73" s="451">
        <f t="shared" si="189"/>
        <v>0</v>
      </c>
      <c r="CA73" s="451">
        <f t="shared" si="190"/>
        <v>0</v>
      </c>
      <c r="CB73" s="451">
        <f t="shared" si="191"/>
        <v>0</v>
      </c>
      <c r="CC73" s="451">
        <f t="shared" si="192"/>
        <v>0</v>
      </c>
      <c r="CD73" s="451">
        <f t="shared" si="193"/>
        <v>0</v>
      </c>
      <c r="CE73" s="451">
        <f t="shared" si="194"/>
        <v>0</v>
      </c>
      <c r="CF73" s="451">
        <f t="shared" si="195"/>
        <v>0</v>
      </c>
      <c r="CG73" s="451">
        <f t="shared" si="196"/>
        <v>0</v>
      </c>
      <c r="CH73" s="451">
        <f t="shared" si="197"/>
        <v>0</v>
      </c>
      <c r="CI73" s="451">
        <f t="shared" si="198"/>
        <v>0</v>
      </c>
      <c r="CJ73" s="458">
        <f t="shared" si="199"/>
        <v>0</v>
      </c>
      <c r="CK73" s="451">
        <f t="shared" si="200"/>
        <v>0</v>
      </c>
      <c r="CL73" s="451">
        <f t="shared" si="201"/>
        <v>0</v>
      </c>
      <c r="CM73" s="451">
        <f t="shared" si="202"/>
        <v>0</v>
      </c>
      <c r="CN73" s="454">
        <f t="shared" si="203"/>
        <v>0</v>
      </c>
      <c r="CO73" s="454">
        <f t="shared" si="204"/>
        <v>0</v>
      </c>
      <c r="CP73" s="454">
        <f t="shared" si="205"/>
        <v>0</v>
      </c>
      <c r="CQ73" s="454">
        <f t="shared" si="206"/>
        <v>0</v>
      </c>
      <c r="CR73" s="454">
        <f t="shared" si="207"/>
        <v>0</v>
      </c>
      <c r="CS73" s="454">
        <f t="shared" si="208"/>
        <v>0</v>
      </c>
      <c r="CT73" s="459">
        <f t="shared" si="209"/>
        <v>0</v>
      </c>
      <c r="CU73" s="460">
        <f t="shared" si="210"/>
        <v>1</v>
      </c>
      <c r="CV73" s="460">
        <f t="shared" si="211"/>
        <v>1</v>
      </c>
      <c r="CW73" s="460">
        <f t="shared" si="212"/>
        <v>0</v>
      </c>
      <c r="CX73" s="460">
        <f t="shared" si="213"/>
        <v>0</v>
      </c>
      <c r="CY73" s="460">
        <f t="shared" si="214"/>
        <v>0</v>
      </c>
      <c r="CZ73" s="460">
        <f t="shared" si="215"/>
        <v>0</v>
      </c>
      <c r="DA73" s="461">
        <f t="shared" si="216"/>
        <v>0.30000000000000004</v>
      </c>
      <c r="DB73" s="118">
        <v>1.3</v>
      </c>
      <c r="DC73" s="118">
        <v>1.4</v>
      </c>
      <c r="DD73" s="118">
        <v>2</v>
      </c>
      <c r="DE73" s="118">
        <v>2</v>
      </c>
      <c r="DF73" s="462">
        <v>2</v>
      </c>
      <c r="DG73" s="455">
        <f t="shared" si="217"/>
        <v>179.97</v>
      </c>
      <c r="DH73" s="463">
        <f t="shared" si="218"/>
        <v>38.393600000000035</v>
      </c>
      <c r="DI73" s="463">
        <f t="shared" si="219"/>
        <v>0</v>
      </c>
      <c r="DJ73" s="463">
        <f t="shared" si="220"/>
        <v>0</v>
      </c>
      <c r="DK73" s="463">
        <f t="shared" si="221"/>
        <v>0</v>
      </c>
      <c r="DL73" s="463">
        <f t="shared" si="222"/>
        <v>0</v>
      </c>
      <c r="DM73" s="463">
        <f t="shared" si="223"/>
        <v>0</v>
      </c>
      <c r="DN73" s="463">
        <f t="shared" si="224"/>
        <v>0</v>
      </c>
      <c r="DO73" s="463">
        <f t="shared" si="225"/>
        <v>0</v>
      </c>
      <c r="DP73" s="463">
        <f t="shared" si="226"/>
        <v>0</v>
      </c>
      <c r="DQ73" s="464"/>
    </row>
    <row r="74" spans="1:121" ht="13" x14ac:dyDescent="0.25">
      <c r="A74" s="432" t="s">
        <v>2061</v>
      </c>
      <c r="B74" s="257"/>
      <c r="C74" s="101" t="str">
        <f>'Planilha Hidráulica'!B80</f>
        <v>PV6.2-&gt;PV26.1</v>
      </c>
      <c r="D74" s="258">
        <f>'Planilha Hidráulica'!R80</f>
        <v>2.8</v>
      </c>
      <c r="E74" s="258">
        <f>'Planilha Hidráulica'!S80</f>
        <v>3.35</v>
      </c>
      <c r="F74" s="258">
        <f>'Planilha Hidráulica'!K80</f>
        <v>51</v>
      </c>
      <c r="G74" s="101">
        <f>'Planilha Hidráulica'!M80</f>
        <v>1200</v>
      </c>
      <c r="H74" s="449">
        <f t="shared" si="130"/>
        <v>3.4650000000000003</v>
      </c>
      <c r="I74" s="102">
        <f t="shared" si="131"/>
        <v>8.8357500000000009</v>
      </c>
      <c r="J74" s="450">
        <v>0</v>
      </c>
      <c r="K74" s="451">
        <f t="shared" si="132"/>
        <v>2.2000000000000002</v>
      </c>
      <c r="L74" s="451">
        <f t="shared" si="133"/>
        <v>2.2000000000000002</v>
      </c>
      <c r="M74" s="451">
        <f>'Planilha Hidráulica'!X80</f>
        <v>1000</v>
      </c>
      <c r="N74" s="451">
        <f t="shared" si="134"/>
        <v>112.2</v>
      </c>
      <c r="O74" s="452" t="str">
        <f>'Planilha Hidráulica'!W80</f>
        <v>ASFALTO</v>
      </c>
      <c r="P74" s="452" t="s">
        <v>2058</v>
      </c>
      <c r="Q74" s="105">
        <v>1</v>
      </c>
      <c r="R74" s="452">
        <v>2.5</v>
      </c>
      <c r="S74" s="452">
        <v>1.6</v>
      </c>
      <c r="T74" s="451">
        <f t="shared" si="135"/>
        <v>0.15</v>
      </c>
      <c r="U74" s="453">
        <f t="shared" si="136"/>
        <v>40.055306333269861</v>
      </c>
      <c r="V74" s="106">
        <f t="shared" si="137"/>
        <v>393.59769366673021</v>
      </c>
      <c r="W74" s="107">
        <f t="shared" si="138"/>
        <v>0</v>
      </c>
      <c r="X74" s="107">
        <f t="shared" si="139"/>
        <v>0.4</v>
      </c>
      <c r="Y74" s="454">
        <f t="shared" si="140"/>
        <v>2.5</v>
      </c>
      <c r="Z74" s="454">
        <f t="shared" si="141"/>
        <v>0.9650000000000003</v>
      </c>
      <c r="AA74" s="455">
        <f t="shared" si="142"/>
        <v>112.2</v>
      </c>
      <c r="AB74" s="117">
        <f t="shared" si="143"/>
        <v>0</v>
      </c>
      <c r="AC74" s="109">
        <f t="shared" si="144"/>
        <v>0</v>
      </c>
      <c r="AD74" s="109">
        <f t="shared" si="145"/>
        <v>0</v>
      </c>
      <c r="AE74" s="109">
        <f t="shared" si="146"/>
        <v>0</v>
      </c>
      <c r="AF74" s="109">
        <f t="shared" si="147"/>
        <v>0</v>
      </c>
      <c r="AG74" s="109">
        <f t="shared" si="148"/>
        <v>44.88</v>
      </c>
      <c r="AH74" s="109">
        <f t="shared" si="149"/>
        <v>0</v>
      </c>
      <c r="AI74" s="109">
        <f t="shared" si="150"/>
        <v>0</v>
      </c>
      <c r="AJ74" s="456">
        <f t="shared" si="151"/>
        <v>0</v>
      </c>
      <c r="AK74" s="456">
        <f t="shared" si="152"/>
        <v>0</v>
      </c>
      <c r="AL74" s="456">
        <f t="shared" si="153"/>
        <v>168.3</v>
      </c>
      <c r="AM74" s="456">
        <f>IF(IF(AND(K74&lt;=2.5,K74&gt;1.5),IF(Y74&gt;=3,L74*F74*1.5,K74*F74*(Y74-1.5)),0)&lt;0,0,IF(AND(K74&lt;=2.5,K74&gt;1.5),IF(Y74&gt;=3,L74*F74*1.5,K74*F74*(Y74-1.5)),0))+IF(R74&lt;H74,0,IF(AND(Y74&lt;=3,Y74&gt;1.5,K74&gt;1.5,K74&lt;=2.5),-U74,0))</f>
        <v>112.2</v>
      </c>
      <c r="AN74" s="456">
        <f t="shared" si="232"/>
        <v>0</v>
      </c>
      <c r="AO74" s="456">
        <f t="shared" si="154"/>
        <v>0</v>
      </c>
      <c r="AP74" s="456">
        <f t="shared" si="155"/>
        <v>0</v>
      </c>
      <c r="AQ74" s="456">
        <f t="shared" si="156"/>
        <v>0</v>
      </c>
      <c r="AR74" s="104">
        <f t="shared" si="157"/>
        <v>68.22</v>
      </c>
      <c r="AS74" s="451">
        <f t="shared" si="158"/>
        <v>1.2682000000000002</v>
      </c>
      <c r="AT74" s="104">
        <f t="shared" si="159"/>
        <v>375.97335888009144</v>
      </c>
      <c r="AU74" s="102">
        <f t="shared" si="160"/>
        <v>0</v>
      </c>
      <c r="AV74" s="106">
        <f t="shared" si="161"/>
        <v>16.829999999999998</v>
      </c>
      <c r="AW74" s="104">
        <f t="shared" si="162"/>
        <v>44.88000000000001</v>
      </c>
      <c r="AX74" s="104">
        <f t="shared" si="163"/>
        <v>0</v>
      </c>
      <c r="AY74" s="104">
        <f t="shared" si="164"/>
        <v>1.5</v>
      </c>
      <c r="AZ74" s="104">
        <f t="shared" si="165"/>
        <v>110.6203588800914</v>
      </c>
      <c r="BA74" s="104">
        <f t="shared" si="166"/>
        <v>0</v>
      </c>
      <c r="BB74" s="104">
        <f t="shared" si="167"/>
        <v>16.830000000000002</v>
      </c>
      <c r="BC74" s="104">
        <f t="shared" si="168"/>
        <v>16.830000000000002</v>
      </c>
      <c r="BD74" s="104">
        <f t="shared" si="169"/>
        <v>3.3660000000000005</v>
      </c>
      <c r="BE74" s="104">
        <f t="shared" si="170"/>
        <v>169.98300000000009</v>
      </c>
      <c r="BF74" s="104">
        <f t="shared" si="171"/>
        <v>108.16964111990859</v>
      </c>
      <c r="BG74" s="104">
        <f t="shared" si="172"/>
        <v>108.16964111990859</v>
      </c>
      <c r="BH74" s="104">
        <f t="shared" si="173"/>
        <v>0</v>
      </c>
      <c r="BI74" s="104">
        <f t="shared" si="174"/>
        <v>61.813358880091499</v>
      </c>
      <c r="BJ74" s="104">
        <f t="shared" si="227"/>
        <v>51.630636092039076</v>
      </c>
      <c r="BK74" s="104">
        <f t="shared" si="175"/>
        <v>10.182722788052423</v>
      </c>
      <c r="BL74" s="125"/>
      <c r="BM74" s="104">
        <f t="shared" si="176"/>
        <v>2.4684000000000004</v>
      </c>
      <c r="BN74" s="455">
        <f t="shared" si="177"/>
        <v>0</v>
      </c>
      <c r="BO74" s="457">
        <f t="shared" si="178"/>
        <v>0</v>
      </c>
      <c r="BP74" s="457">
        <f t="shared" si="179"/>
        <v>0</v>
      </c>
      <c r="BQ74" s="457">
        <f t="shared" si="180"/>
        <v>0</v>
      </c>
      <c r="BR74" s="451">
        <f t="shared" si="181"/>
        <v>0</v>
      </c>
      <c r="BS74" s="451">
        <f t="shared" si="182"/>
        <v>0</v>
      </c>
      <c r="BT74" s="451">
        <f t="shared" si="183"/>
        <v>0</v>
      </c>
      <c r="BU74" s="451">
        <f t="shared" si="184"/>
        <v>0</v>
      </c>
      <c r="BV74" s="451">
        <f t="shared" si="185"/>
        <v>0</v>
      </c>
      <c r="BW74" s="451">
        <f t="shared" si="186"/>
        <v>0</v>
      </c>
      <c r="BX74" s="451">
        <f t="shared" si="187"/>
        <v>0</v>
      </c>
      <c r="BY74" s="451">
        <f t="shared" si="188"/>
        <v>0</v>
      </c>
      <c r="BZ74" s="451">
        <f t="shared" si="189"/>
        <v>0</v>
      </c>
      <c r="CA74" s="451">
        <f t="shared" si="190"/>
        <v>0</v>
      </c>
      <c r="CB74" s="451">
        <f t="shared" si="191"/>
        <v>0</v>
      </c>
      <c r="CC74" s="451">
        <f t="shared" si="192"/>
        <v>0</v>
      </c>
      <c r="CD74" s="451">
        <f t="shared" si="193"/>
        <v>0</v>
      </c>
      <c r="CE74" s="451">
        <f t="shared" si="194"/>
        <v>0</v>
      </c>
      <c r="CF74" s="451">
        <f t="shared" si="195"/>
        <v>3.4650000000000003</v>
      </c>
      <c r="CG74" s="451">
        <f t="shared" si="196"/>
        <v>0</v>
      </c>
      <c r="CH74" s="451">
        <f t="shared" si="197"/>
        <v>51</v>
      </c>
      <c r="CI74" s="451">
        <f t="shared" si="198"/>
        <v>0</v>
      </c>
      <c r="CJ74" s="458">
        <f t="shared" si="199"/>
        <v>0</v>
      </c>
      <c r="CK74" s="451">
        <f t="shared" si="200"/>
        <v>0</v>
      </c>
      <c r="CL74" s="451">
        <f t="shared" si="201"/>
        <v>0</v>
      </c>
      <c r="CM74" s="451">
        <f t="shared" si="202"/>
        <v>0</v>
      </c>
      <c r="CN74" s="454">
        <f t="shared" si="203"/>
        <v>0</v>
      </c>
      <c r="CO74" s="454">
        <f t="shared" si="204"/>
        <v>0</v>
      </c>
      <c r="CP74" s="454">
        <f t="shared" si="205"/>
        <v>0</v>
      </c>
      <c r="CQ74" s="454">
        <f t="shared" si="206"/>
        <v>0</v>
      </c>
      <c r="CR74" s="454">
        <f t="shared" si="207"/>
        <v>0</v>
      </c>
      <c r="CS74" s="454">
        <f t="shared" si="208"/>
        <v>0</v>
      </c>
      <c r="CT74" s="459">
        <f t="shared" si="209"/>
        <v>0</v>
      </c>
      <c r="CU74" s="460">
        <f t="shared" si="210"/>
        <v>1</v>
      </c>
      <c r="CV74" s="460">
        <f t="shared" si="211"/>
        <v>0</v>
      </c>
      <c r="CW74" s="460">
        <f t="shared" si="212"/>
        <v>0</v>
      </c>
      <c r="CX74" s="460">
        <f t="shared" si="213"/>
        <v>0</v>
      </c>
      <c r="CY74" s="460">
        <f t="shared" si="214"/>
        <v>1</v>
      </c>
      <c r="CZ74" s="460">
        <f t="shared" si="215"/>
        <v>0</v>
      </c>
      <c r="DA74" s="461">
        <f t="shared" si="216"/>
        <v>0.79999999999999982</v>
      </c>
      <c r="DB74" s="118">
        <v>1.3</v>
      </c>
      <c r="DC74" s="118">
        <v>1.4</v>
      </c>
      <c r="DD74" s="118">
        <v>2</v>
      </c>
      <c r="DE74" s="118">
        <v>2</v>
      </c>
      <c r="DF74" s="462">
        <v>2</v>
      </c>
      <c r="DG74" s="455">
        <f t="shared" si="217"/>
        <v>0</v>
      </c>
      <c r="DH74" s="463">
        <f t="shared" si="218"/>
        <v>0</v>
      </c>
      <c r="DI74" s="463">
        <f t="shared" si="219"/>
        <v>0</v>
      </c>
      <c r="DJ74" s="463">
        <f t="shared" si="220"/>
        <v>153</v>
      </c>
      <c r="DK74" s="463">
        <f t="shared" si="221"/>
        <v>153</v>
      </c>
      <c r="DL74" s="463">
        <f t="shared" si="222"/>
        <v>47.430000000000028</v>
      </c>
      <c r="DM74" s="463">
        <f t="shared" si="223"/>
        <v>0</v>
      </c>
      <c r="DN74" s="463">
        <f t="shared" si="224"/>
        <v>0</v>
      </c>
      <c r="DO74" s="463">
        <f t="shared" si="225"/>
        <v>0</v>
      </c>
      <c r="DP74" s="463">
        <f t="shared" si="226"/>
        <v>0</v>
      </c>
      <c r="DQ74" s="464"/>
    </row>
    <row r="75" spans="1:121" ht="25" x14ac:dyDescent="0.25">
      <c r="A75" s="432" t="s">
        <v>2061</v>
      </c>
      <c r="B75" s="257"/>
      <c r="C75" s="101" t="str">
        <f>'Planilha Hidráulica'!B81</f>
        <v>PV26.1-&gt;PV27.1</v>
      </c>
      <c r="D75" s="258">
        <f>'Planilha Hidráulica'!R81</f>
        <v>3.65</v>
      </c>
      <c r="E75" s="258">
        <f>'Planilha Hidráulica'!S81</f>
        <v>3.85</v>
      </c>
      <c r="F75" s="258">
        <f>'Planilha Hidráulica'!K81</f>
        <v>36</v>
      </c>
      <c r="G75" s="101">
        <f>'Planilha Hidráulica'!M81</f>
        <v>1500</v>
      </c>
      <c r="H75" s="449">
        <f t="shared" si="130"/>
        <v>4.25</v>
      </c>
      <c r="I75" s="102">
        <f t="shared" si="131"/>
        <v>7.65</v>
      </c>
      <c r="J75" s="450">
        <v>0</v>
      </c>
      <c r="K75" s="451">
        <f t="shared" si="132"/>
        <v>2.6</v>
      </c>
      <c r="L75" s="451">
        <f t="shared" si="133"/>
        <v>2.6</v>
      </c>
      <c r="M75" s="451">
        <f>'Planilha Hidráulica'!X81</f>
        <v>0</v>
      </c>
      <c r="N75" s="451">
        <f t="shared" si="134"/>
        <v>93.600000000000009</v>
      </c>
      <c r="O75" s="452" t="str">
        <f>'Planilha Hidráulica'!W81</f>
        <v>TERRENO NATURAL</v>
      </c>
      <c r="P75" s="452" t="s">
        <v>2058</v>
      </c>
      <c r="Q75" s="105">
        <v>1</v>
      </c>
      <c r="R75" s="452">
        <v>2.5</v>
      </c>
      <c r="S75" s="452">
        <v>1.6</v>
      </c>
      <c r="T75" s="451">
        <f t="shared" si="135"/>
        <v>0.2</v>
      </c>
      <c r="U75" s="453">
        <f t="shared" si="136"/>
        <v>0</v>
      </c>
      <c r="V75" s="106">
        <f t="shared" si="137"/>
        <v>435.24</v>
      </c>
      <c r="W75" s="107">
        <f t="shared" si="138"/>
        <v>0</v>
      </c>
      <c r="X75" s="107">
        <f t="shared" si="139"/>
        <v>4.6500000000000004</v>
      </c>
      <c r="Y75" s="454">
        <f t="shared" si="140"/>
        <v>2.5</v>
      </c>
      <c r="Z75" s="454">
        <f t="shared" si="141"/>
        <v>1.75</v>
      </c>
      <c r="AA75" s="455">
        <f t="shared" si="142"/>
        <v>0</v>
      </c>
      <c r="AB75" s="117">
        <f t="shared" si="143"/>
        <v>0</v>
      </c>
      <c r="AC75" s="109">
        <f t="shared" si="144"/>
        <v>0</v>
      </c>
      <c r="AD75" s="109">
        <f t="shared" si="145"/>
        <v>0</v>
      </c>
      <c r="AE75" s="109">
        <f t="shared" si="146"/>
        <v>0</v>
      </c>
      <c r="AF75" s="109">
        <f t="shared" si="147"/>
        <v>140.4</v>
      </c>
      <c r="AG75" s="109">
        <f t="shared" si="148"/>
        <v>140.4</v>
      </c>
      <c r="AH75" s="109">
        <f t="shared" si="149"/>
        <v>140.4</v>
      </c>
      <c r="AI75" s="109">
        <f t="shared" si="150"/>
        <v>14.040000000000035</v>
      </c>
      <c r="AJ75" s="456">
        <f t="shared" si="151"/>
        <v>0</v>
      </c>
      <c r="AK75" s="456">
        <f t="shared" si="152"/>
        <v>0</v>
      </c>
      <c r="AL75" s="456">
        <f t="shared" si="153"/>
        <v>0</v>
      </c>
      <c r="AM75" s="456">
        <f>IF(IF(AND(K75&lt;=2.5,K75&gt;1.5),IF(Y75&gt;=3,L75*F75*1.5,K75*F75*(Y75-1.5)),0)&lt;0,0,IF(AND(K75&lt;=2.5,K75&gt;1.5),IF(Y75&gt;=3,L75*F75*1.5,K75*F75*(Y75-1.5)),0))+IF(R75&lt;H75,0,IF(AND(Y75&lt;=3,Y75&gt;1.5,K75&gt;1.5,K75&lt;=2.5),-U75,0))</f>
        <v>0</v>
      </c>
      <c r="AN75" s="456">
        <f t="shared" si="232"/>
        <v>0</v>
      </c>
      <c r="AO75" s="456">
        <f>IF(K75&gt;2.5,IF(Y75&gt;=2,L75*F75*2,K75*F75*Y75),0)+IF(R75&lt;H75,0,IF(AND(Y75&lt;=2,K75&gt;=2.5),-U75,0))-187.2</f>
        <v>0</v>
      </c>
      <c r="AP75" s="456">
        <f>IF(IF(K75&gt;2.5,IF(Y75&gt;=4,L75*F75*2,K75*F75*(Y75-2)),0)&lt;0,0,IF(K75&gt;2.5,IF(Y75&gt;=4,L75*F75*2,K75*F75*(Y75-2)),0))+IF(R75&lt;H75,0,IF(AND(Y75&lt;=4,Y75&gt;2,K75&gt;2.5),-U75,0))-46.8</f>
        <v>0</v>
      </c>
      <c r="AQ75" s="456">
        <f t="shared" si="156"/>
        <v>0</v>
      </c>
      <c r="AR75" s="104">
        <f t="shared" si="157"/>
        <v>0</v>
      </c>
      <c r="AS75" s="451">
        <f t="shared" si="158"/>
        <v>1.2719999999999998</v>
      </c>
      <c r="AT75" s="104">
        <f t="shared" si="159"/>
        <v>371.62274876480672</v>
      </c>
      <c r="AU75" s="102">
        <f t="shared" si="160"/>
        <v>0</v>
      </c>
      <c r="AV75" s="106">
        <f t="shared" si="161"/>
        <v>18.720000000000002</v>
      </c>
      <c r="AW75" s="104">
        <f t="shared" si="162"/>
        <v>37.440000000000005</v>
      </c>
      <c r="AX75" s="104">
        <f t="shared" si="163"/>
        <v>37.440000000000005</v>
      </c>
      <c r="AY75" s="104">
        <f t="shared" si="164"/>
        <v>1.8</v>
      </c>
      <c r="AZ75" s="104">
        <f t="shared" si="165"/>
        <v>104.86274876480671</v>
      </c>
      <c r="BA75" s="104">
        <f t="shared" si="166"/>
        <v>104.86274876480671</v>
      </c>
      <c r="BB75" s="104">
        <f t="shared" si="167"/>
        <v>0</v>
      </c>
      <c r="BC75" s="104">
        <f t="shared" si="168"/>
        <v>0</v>
      </c>
      <c r="BD75" s="104">
        <f t="shared" si="169"/>
        <v>0</v>
      </c>
      <c r="BE75" s="104">
        <f t="shared" si="170"/>
        <v>210.59999999999997</v>
      </c>
      <c r="BF75" s="104">
        <f t="shared" si="171"/>
        <v>-142.30274876480672</v>
      </c>
      <c r="BG75" s="104">
        <f t="shared" si="172"/>
        <v>0</v>
      </c>
      <c r="BH75" s="104">
        <f t="shared" si="173"/>
        <v>-142.30274876480672</v>
      </c>
      <c r="BI75" s="104">
        <f t="shared" si="174"/>
        <v>210.59999999999997</v>
      </c>
      <c r="BJ75" s="104">
        <f t="shared" si="227"/>
        <v>175.90715272529019</v>
      </c>
      <c r="BK75" s="104">
        <f t="shared" si="175"/>
        <v>34.692847274709777</v>
      </c>
      <c r="BL75" s="125"/>
      <c r="BM75" s="104">
        <f t="shared" si="176"/>
        <v>1.4976000000000003</v>
      </c>
      <c r="BN75" s="455">
        <f t="shared" si="177"/>
        <v>0</v>
      </c>
      <c r="BO75" s="457">
        <f t="shared" si="178"/>
        <v>0</v>
      </c>
      <c r="BP75" s="457">
        <f t="shared" si="179"/>
        <v>0</v>
      </c>
      <c r="BQ75" s="457">
        <f t="shared" si="180"/>
        <v>0</v>
      </c>
      <c r="BR75" s="451">
        <f t="shared" si="181"/>
        <v>0</v>
      </c>
      <c r="BS75" s="451">
        <f t="shared" si="182"/>
        <v>0</v>
      </c>
      <c r="BT75" s="451">
        <f t="shared" si="183"/>
        <v>0</v>
      </c>
      <c r="BU75" s="451">
        <f t="shared" si="184"/>
        <v>0</v>
      </c>
      <c r="BV75" s="451">
        <f t="shared" si="185"/>
        <v>0</v>
      </c>
      <c r="BW75" s="451">
        <f t="shared" si="186"/>
        <v>0</v>
      </c>
      <c r="BX75" s="451">
        <f t="shared" si="187"/>
        <v>0</v>
      </c>
      <c r="BY75" s="451">
        <f t="shared" si="188"/>
        <v>0</v>
      </c>
      <c r="BZ75" s="451">
        <f t="shared" si="189"/>
        <v>0</v>
      </c>
      <c r="CA75" s="451">
        <f t="shared" si="190"/>
        <v>0</v>
      </c>
      <c r="CB75" s="451">
        <f t="shared" si="191"/>
        <v>0</v>
      </c>
      <c r="CC75" s="451">
        <f t="shared" si="192"/>
        <v>0</v>
      </c>
      <c r="CD75" s="451">
        <f t="shared" si="193"/>
        <v>0</v>
      </c>
      <c r="CE75" s="451">
        <f t="shared" si="194"/>
        <v>0</v>
      </c>
      <c r="CF75" s="451">
        <f t="shared" si="195"/>
        <v>0</v>
      </c>
      <c r="CG75" s="451">
        <f t="shared" si="196"/>
        <v>0</v>
      </c>
      <c r="CH75" s="451">
        <f t="shared" si="197"/>
        <v>0</v>
      </c>
      <c r="CI75" s="451">
        <f t="shared" si="198"/>
        <v>0</v>
      </c>
      <c r="CJ75" s="458">
        <f t="shared" si="199"/>
        <v>4.25</v>
      </c>
      <c r="CK75" s="451">
        <f t="shared" si="200"/>
        <v>0</v>
      </c>
      <c r="CL75" s="451">
        <f t="shared" si="201"/>
        <v>36</v>
      </c>
      <c r="CM75" s="451">
        <f t="shared" si="202"/>
        <v>0</v>
      </c>
      <c r="CN75" s="454">
        <f t="shared" si="203"/>
        <v>0</v>
      </c>
      <c r="CO75" s="454">
        <f t="shared" si="204"/>
        <v>0</v>
      </c>
      <c r="CP75" s="454">
        <f t="shared" si="205"/>
        <v>0</v>
      </c>
      <c r="CQ75" s="454">
        <f t="shared" si="206"/>
        <v>0</v>
      </c>
      <c r="CR75" s="454">
        <f t="shared" si="207"/>
        <v>0</v>
      </c>
      <c r="CS75" s="454">
        <f t="shared" si="208"/>
        <v>0</v>
      </c>
      <c r="CT75" s="459">
        <f t="shared" si="209"/>
        <v>0</v>
      </c>
      <c r="CU75" s="460">
        <f t="shared" si="210"/>
        <v>1</v>
      </c>
      <c r="CV75" s="460">
        <f t="shared" si="211"/>
        <v>0</v>
      </c>
      <c r="CW75" s="460">
        <f t="shared" si="212"/>
        <v>0</v>
      </c>
      <c r="CX75" s="460">
        <f t="shared" si="213"/>
        <v>0</v>
      </c>
      <c r="CY75" s="460">
        <f t="shared" si="214"/>
        <v>0</v>
      </c>
      <c r="CZ75" s="460">
        <f t="shared" si="215"/>
        <v>1</v>
      </c>
      <c r="DA75" s="461">
        <f t="shared" si="216"/>
        <v>1.65</v>
      </c>
      <c r="DB75" s="118">
        <v>1.3</v>
      </c>
      <c r="DC75" s="118">
        <v>1.4</v>
      </c>
      <c r="DD75" s="118">
        <v>2</v>
      </c>
      <c r="DE75" s="118">
        <v>2</v>
      </c>
      <c r="DF75" s="462">
        <v>2</v>
      </c>
      <c r="DG75" s="455">
        <f t="shared" si="217"/>
        <v>0</v>
      </c>
      <c r="DH75" s="463">
        <f t="shared" si="218"/>
        <v>0</v>
      </c>
      <c r="DI75" s="463">
        <f t="shared" si="219"/>
        <v>0</v>
      </c>
      <c r="DJ75" s="463">
        <f t="shared" si="220"/>
        <v>0</v>
      </c>
      <c r="DK75" s="463">
        <f t="shared" si="221"/>
        <v>0</v>
      </c>
      <c r="DL75" s="463">
        <f t="shared" si="222"/>
        <v>0</v>
      </c>
      <c r="DM75" s="463">
        <f t="shared" si="223"/>
        <v>108</v>
      </c>
      <c r="DN75" s="463">
        <f t="shared" si="224"/>
        <v>108</v>
      </c>
      <c r="DO75" s="463">
        <f t="shared" si="225"/>
        <v>90</v>
      </c>
      <c r="DP75" s="463">
        <f t="shared" si="226"/>
        <v>0</v>
      </c>
      <c r="DQ75" s="464"/>
    </row>
    <row r="76" spans="1:121" ht="25" x14ac:dyDescent="0.25">
      <c r="A76" s="432" t="s">
        <v>2061</v>
      </c>
      <c r="B76" s="257"/>
      <c r="C76" s="101" t="str">
        <f>'Planilha Hidráulica'!B82</f>
        <v>PV27.1-&gt;PV28.1</v>
      </c>
      <c r="D76" s="258">
        <f>'Planilha Hidráulica'!R82</f>
        <v>3.85</v>
      </c>
      <c r="E76" s="258">
        <f>'Planilha Hidráulica'!S82</f>
        <v>3</v>
      </c>
      <c r="F76" s="258">
        <f>'Planilha Hidráulica'!K82</f>
        <v>60</v>
      </c>
      <c r="G76" s="101">
        <f>'Planilha Hidráulica'!M82</f>
        <v>1500</v>
      </c>
      <c r="H76" s="449">
        <f t="shared" si="130"/>
        <v>3.9249999999999998</v>
      </c>
      <c r="I76" s="102">
        <f t="shared" si="131"/>
        <v>11.775</v>
      </c>
      <c r="J76" s="450">
        <v>0</v>
      </c>
      <c r="K76" s="451">
        <f t="shared" si="132"/>
        <v>2.6</v>
      </c>
      <c r="L76" s="451">
        <f t="shared" si="133"/>
        <v>2.6</v>
      </c>
      <c r="M76" s="451">
        <f>'Planilha Hidráulica'!X82</f>
        <v>0</v>
      </c>
      <c r="N76" s="451">
        <f t="shared" si="134"/>
        <v>156</v>
      </c>
      <c r="O76" s="452" t="str">
        <f>'Planilha Hidráulica'!W82</f>
        <v>TERRENO NATURAL</v>
      </c>
      <c r="P76" s="452" t="s">
        <v>2063</v>
      </c>
      <c r="Q76" s="105">
        <v>1</v>
      </c>
      <c r="R76" s="452">
        <v>12.25</v>
      </c>
      <c r="S76" s="452">
        <v>0.2</v>
      </c>
      <c r="T76" s="451">
        <f t="shared" si="135"/>
        <v>0.2</v>
      </c>
      <c r="U76" s="453">
        <f t="shared" si="136"/>
        <v>0</v>
      </c>
      <c r="V76" s="106">
        <f t="shared" si="137"/>
        <v>674.69999999999993</v>
      </c>
      <c r="W76" s="107">
        <f t="shared" si="138"/>
        <v>0</v>
      </c>
      <c r="X76" s="107">
        <f t="shared" si="139"/>
        <v>4.3250000000000002</v>
      </c>
      <c r="Y76" s="454">
        <f t="shared" si="140"/>
        <v>3.9249999999999998</v>
      </c>
      <c r="Z76" s="454">
        <f t="shared" si="141"/>
        <v>0</v>
      </c>
      <c r="AA76" s="455">
        <f t="shared" si="142"/>
        <v>0</v>
      </c>
      <c r="AB76" s="117">
        <f t="shared" si="143"/>
        <v>0</v>
      </c>
      <c r="AC76" s="109">
        <f t="shared" si="144"/>
        <v>0</v>
      </c>
      <c r="AD76" s="109">
        <f t="shared" si="145"/>
        <v>0</v>
      </c>
      <c r="AE76" s="109">
        <f t="shared" si="146"/>
        <v>0</v>
      </c>
      <c r="AF76" s="109">
        <f t="shared" si="147"/>
        <v>234</v>
      </c>
      <c r="AG76" s="109">
        <f t="shared" si="148"/>
        <v>234</v>
      </c>
      <c r="AH76" s="109">
        <f t="shared" si="149"/>
        <v>206.70000000000002</v>
      </c>
      <c r="AI76" s="109">
        <f t="shared" si="150"/>
        <v>0</v>
      </c>
      <c r="AJ76" s="456">
        <f t="shared" si="151"/>
        <v>0</v>
      </c>
      <c r="AK76" s="456">
        <f t="shared" si="152"/>
        <v>0</v>
      </c>
      <c r="AL76" s="456">
        <f t="shared" si="153"/>
        <v>0</v>
      </c>
      <c r="AM76" s="456">
        <f>IF(IF(AND(K76&lt;=2.5,K76&gt;1.5),IF(Y76&gt;=3,L76*F76*1.5,K76*F76*(Y76-1.5)),0)&lt;0,0,IF(AND(K76&lt;=2.5,K76&gt;1.5),IF(Y76&gt;=3,L76*F76*1.5,K76*F76*(Y76-1.5)),0))+IF(R76&lt;H76,0,IF(AND(Y76&lt;=3,Y76&gt;1.5,K76&gt;1.5,K76&lt;=2.5),-U76,0))</f>
        <v>0</v>
      </c>
      <c r="AN76" s="456">
        <f t="shared" si="232"/>
        <v>0</v>
      </c>
      <c r="AO76" s="456">
        <f>IF(K76&gt;2.5,IF(Y76&gt;=2,L76*F76*2,K76*F76*Y76),0)+IF(R76&lt;H76,0,IF(AND(Y76&lt;=2,K76&gt;=2.5),-U76,0))-312</f>
        <v>0</v>
      </c>
      <c r="AP76" s="456">
        <f>IF(IF(K76&gt;2.5,IF(Y76&gt;=4,L76*F76*2,K76*F76*(Y76-2)),0)&lt;0,0,IF(K76&gt;2.5,IF(Y76&gt;=4,L76*F76*2,K76*F76*(Y76-2)),0))+IF(R76&lt;H76,0,IF(AND(Y76&lt;=4,Y76&gt;2,K76&gt;2.5),-U76,0))-300.3</f>
        <v>0</v>
      </c>
      <c r="AQ76" s="456">
        <f t="shared" si="156"/>
        <v>0</v>
      </c>
      <c r="AR76" s="104">
        <f t="shared" si="157"/>
        <v>0</v>
      </c>
      <c r="AS76" s="451">
        <f t="shared" si="158"/>
        <v>2.9799999999999995</v>
      </c>
      <c r="AT76" s="104">
        <f t="shared" si="159"/>
        <v>568.6712479413444</v>
      </c>
      <c r="AU76" s="102">
        <f t="shared" si="160"/>
        <v>0</v>
      </c>
      <c r="AV76" s="106">
        <f t="shared" si="161"/>
        <v>31.200000000000003</v>
      </c>
      <c r="AW76" s="104">
        <f t="shared" si="162"/>
        <v>62.400000000000006</v>
      </c>
      <c r="AX76" s="104">
        <f t="shared" si="163"/>
        <v>62.400000000000006</v>
      </c>
      <c r="AY76" s="104">
        <f t="shared" si="164"/>
        <v>1.8</v>
      </c>
      <c r="AZ76" s="104">
        <f t="shared" si="165"/>
        <v>174.77124794134448</v>
      </c>
      <c r="BA76" s="104">
        <f t="shared" si="166"/>
        <v>174.77124794134448</v>
      </c>
      <c r="BB76" s="104">
        <f t="shared" si="167"/>
        <v>0</v>
      </c>
      <c r="BC76" s="104">
        <f t="shared" si="168"/>
        <v>0</v>
      </c>
      <c r="BD76" s="104">
        <f t="shared" si="169"/>
        <v>0</v>
      </c>
      <c r="BE76" s="104">
        <f t="shared" si="170"/>
        <v>300.29999999999995</v>
      </c>
      <c r="BF76" s="104">
        <f t="shared" si="171"/>
        <v>-237.17124794134449</v>
      </c>
      <c r="BG76" s="104">
        <f t="shared" si="172"/>
        <v>0</v>
      </c>
      <c r="BH76" s="104">
        <f t="shared" si="173"/>
        <v>-237.17124794134449</v>
      </c>
      <c r="BI76" s="104">
        <f t="shared" si="174"/>
        <v>300.29999999999995</v>
      </c>
      <c r="BJ76" s="104">
        <f t="shared" si="227"/>
        <v>250.83056962680268</v>
      </c>
      <c r="BK76" s="104">
        <f t="shared" si="175"/>
        <v>49.46943037319727</v>
      </c>
      <c r="BL76" s="125"/>
      <c r="BM76" s="104">
        <f t="shared" si="176"/>
        <v>2.4960000000000004</v>
      </c>
      <c r="BN76" s="455">
        <f t="shared" si="177"/>
        <v>0</v>
      </c>
      <c r="BO76" s="457">
        <f t="shared" si="178"/>
        <v>0</v>
      </c>
      <c r="BP76" s="457">
        <f t="shared" si="179"/>
        <v>0</v>
      </c>
      <c r="BQ76" s="457">
        <f t="shared" si="180"/>
        <v>0</v>
      </c>
      <c r="BR76" s="451">
        <f t="shared" si="181"/>
        <v>0</v>
      </c>
      <c r="BS76" s="451">
        <f t="shared" si="182"/>
        <v>0</v>
      </c>
      <c r="BT76" s="451">
        <f t="shared" si="183"/>
        <v>0</v>
      </c>
      <c r="BU76" s="451">
        <f t="shared" si="184"/>
        <v>0</v>
      </c>
      <c r="BV76" s="451">
        <f t="shared" si="185"/>
        <v>0</v>
      </c>
      <c r="BW76" s="451">
        <f t="shared" si="186"/>
        <v>0</v>
      </c>
      <c r="BX76" s="451">
        <f t="shared" si="187"/>
        <v>0</v>
      </c>
      <c r="BY76" s="451">
        <f t="shared" si="188"/>
        <v>0</v>
      </c>
      <c r="BZ76" s="451">
        <f t="shared" si="189"/>
        <v>0</v>
      </c>
      <c r="CA76" s="451">
        <f t="shared" si="190"/>
        <v>0</v>
      </c>
      <c r="CB76" s="451">
        <f t="shared" si="191"/>
        <v>0</v>
      </c>
      <c r="CC76" s="451">
        <f t="shared" si="192"/>
        <v>0</v>
      </c>
      <c r="CD76" s="451">
        <f t="shared" si="193"/>
        <v>0</v>
      </c>
      <c r="CE76" s="451">
        <f t="shared" si="194"/>
        <v>0</v>
      </c>
      <c r="CF76" s="451">
        <f t="shared" si="195"/>
        <v>0</v>
      </c>
      <c r="CG76" s="451">
        <f t="shared" si="196"/>
        <v>0</v>
      </c>
      <c r="CH76" s="451">
        <f t="shared" si="197"/>
        <v>0</v>
      </c>
      <c r="CI76" s="451">
        <f t="shared" si="198"/>
        <v>0</v>
      </c>
      <c r="CJ76" s="458">
        <f t="shared" si="199"/>
        <v>3.9249999999999998</v>
      </c>
      <c r="CK76" s="451">
        <f t="shared" si="200"/>
        <v>0</v>
      </c>
      <c r="CL76" s="451">
        <f t="shared" si="201"/>
        <v>60</v>
      </c>
      <c r="CM76" s="451">
        <f t="shared" si="202"/>
        <v>0</v>
      </c>
      <c r="CN76" s="454">
        <f t="shared" si="203"/>
        <v>0</v>
      </c>
      <c r="CO76" s="454">
        <f t="shared" si="204"/>
        <v>0</v>
      </c>
      <c r="CP76" s="454">
        <f t="shared" si="205"/>
        <v>0</v>
      </c>
      <c r="CQ76" s="454">
        <f t="shared" si="206"/>
        <v>0</v>
      </c>
      <c r="CR76" s="454">
        <f t="shared" si="207"/>
        <v>0</v>
      </c>
      <c r="CS76" s="454">
        <f t="shared" si="208"/>
        <v>0</v>
      </c>
      <c r="CT76" s="459">
        <f t="shared" si="209"/>
        <v>0</v>
      </c>
      <c r="CU76" s="460">
        <f t="shared" si="210"/>
        <v>1</v>
      </c>
      <c r="CV76" s="460">
        <f t="shared" si="211"/>
        <v>0</v>
      </c>
      <c r="CW76" s="460">
        <f t="shared" si="212"/>
        <v>0</v>
      </c>
      <c r="CX76" s="460">
        <f t="shared" si="213"/>
        <v>0</v>
      </c>
      <c r="CY76" s="460">
        <f t="shared" si="214"/>
        <v>0</v>
      </c>
      <c r="CZ76" s="460">
        <f t="shared" si="215"/>
        <v>1</v>
      </c>
      <c r="DA76" s="461">
        <f t="shared" si="216"/>
        <v>1.85</v>
      </c>
      <c r="DB76" s="118">
        <v>1.3</v>
      </c>
      <c r="DC76" s="118">
        <v>1.4</v>
      </c>
      <c r="DD76" s="118">
        <v>2</v>
      </c>
      <c r="DE76" s="118">
        <v>2</v>
      </c>
      <c r="DF76" s="462">
        <v>2</v>
      </c>
      <c r="DG76" s="455">
        <f t="shared" si="217"/>
        <v>0</v>
      </c>
      <c r="DH76" s="463">
        <f t="shared" si="218"/>
        <v>0</v>
      </c>
      <c r="DI76" s="463">
        <f t="shared" si="219"/>
        <v>0</v>
      </c>
      <c r="DJ76" s="463">
        <f t="shared" si="220"/>
        <v>0</v>
      </c>
      <c r="DK76" s="463">
        <f t="shared" si="221"/>
        <v>0</v>
      </c>
      <c r="DL76" s="463">
        <f t="shared" si="222"/>
        <v>0</v>
      </c>
      <c r="DM76" s="463">
        <f t="shared" si="223"/>
        <v>180</v>
      </c>
      <c r="DN76" s="463">
        <f t="shared" si="224"/>
        <v>180</v>
      </c>
      <c r="DO76" s="463">
        <f t="shared" si="225"/>
        <v>110.99999999999997</v>
      </c>
      <c r="DP76" s="463">
        <f t="shared" si="226"/>
        <v>0</v>
      </c>
      <c r="DQ76" s="464"/>
    </row>
    <row r="77" spans="1:121" ht="25" x14ac:dyDescent="0.25">
      <c r="A77" s="432" t="s">
        <v>2061</v>
      </c>
      <c r="B77" s="257"/>
      <c r="C77" s="101" t="str">
        <f>'Planilha Hidráulica'!B83</f>
        <v>PV28.1-&gt;PV22-38 Ex</v>
      </c>
      <c r="D77" s="258">
        <f>'Planilha Hidráulica'!R83</f>
        <v>3</v>
      </c>
      <c r="E77" s="258">
        <f>'Planilha Hidráulica'!S83</f>
        <v>2.36</v>
      </c>
      <c r="F77" s="258">
        <f>'Planilha Hidráulica'!K83</f>
        <v>62.41</v>
      </c>
      <c r="G77" s="101">
        <f>'Planilha Hidráulica'!M83</f>
        <v>1500</v>
      </c>
      <c r="H77" s="449">
        <f t="shared" si="130"/>
        <v>3.1799999999999997</v>
      </c>
      <c r="I77" s="102">
        <f t="shared" si="131"/>
        <v>9.9231899999999982</v>
      </c>
      <c r="J77" s="450">
        <v>0</v>
      </c>
      <c r="K77" s="451">
        <f t="shared" si="132"/>
        <v>2.6</v>
      </c>
      <c r="L77" s="451">
        <f t="shared" si="133"/>
        <v>2.6</v>
      </c>
      <c r="M77" s="451">
        <f>'Planilha Hidráulica'!X83</f>
        <v>0</v>
      </c>
      <c r="N77" s="451">
        <f t="shared" si="134"/>
        <v>162.26599999999999</v>
      </c>
      <c r="O77" s="452" t="str">
        <f>'Planilha Hidráulica'!W83</f>
        <v>TERRENO NATURAL</v>
      </c>
      <c r="P77" s="452" t="s">
        <v>2063</v>
      </c>
      <c r="Q77" s="105">
        <v>1</v>
      </c>
      <c r="R77" s="452">
        <v>12.25</v>
      </c>
      <c r="S77" s="452">
        <v>0.2</v>
      </c>
      <c r="T77" s="451">
        <f t="shared" si="135"/>
        <v>0.2</v>
      </c>
      <c r="U77" s="453">
        <f t="shared" si="136"/>
        <v>0</v>
      </c>
      <c r="V77" s="106">
        <f t="shared" si="137"/>
        <v>580.9122799999999</v>
      </c>
      <c r="W77" s="107">
        <f t="shared" si="138"/>
        <v>0</v>
      </c>
      <c r="X77" s="107">
        <f t="shared" si="139"/>
        <v>3.5799999999999996</v>
      </c>
      <c r="Y77" s="454">
        <f t="shared" si="140"/>
        <v>3.1799999999999997</v>
      </c>
      <c r="Z77" s="454">
        <f t="shared" si="141"/>
        <v>0</v>
      </c>
      <c r="AA77" s="455">
        <f t="shared" si="142"/>
        <v>0</v>
      </c>
      <c r="AB77" s="117">
        <f t="shared" si="143"/>
        <v>0</v>
      </c>
      <c r="AC77" s="109">
        <f t="shared" si="144"/>
        <v>0</v>
      </c>
      <c r="AD77" s="109">
        <f t="shared" si="145"/>
        <v>0</v>
      </c>
      <c r="AE77" s="109">
        <f t="shared" si="146"/>
        <v>0</v>
      </c>
      <c r="AF77" s="109">
        <f t="shared" si="147"/>
        <v>243.399</v>
      </c>
      <c r="AG77" s="109">
        <f t="shared" si="148"/>
        <v>243.399</v>
      </c>
      <c r="AH77" s="109">
        <f>IF(X77=0,0,IF(X77=0.4,IF(AND(K77&gt;1.5,K77&lt;=2.6),IF(OR(Y77+0.4&gt;=4.5,Y77+0.4&lt;3),0,K77*F77*0.4),0),IF(IF(AND(K77&gt;1.5,K77&lt;=2.6),IF(X77&gt;=4.5,L77*F77*1.5,K77*F77*(X77-3)),0)&lt;0,0,IF(AND(K77&gt;1.5,K77&lt;=2.6),IF(X77&gt;=4.5,L77*F77*1.5,K77*F77*(X77-3)),0))+IF(R77&lt;H77+0.4,0,IF(AND(X77&lt;=3,K77&lt;=1.5),-U77,0))))-0.01</f>
        <v>94.104279999999932</v>
      </c>
      <c r="AI77" s="109">
        <f t="shared" si="150"/>
        <v>0</v>
      </c>
      <c r="AJ77" s="456">
        <f t="shared" si="151"/>
        <v>0</v>
      </c>
      <c r="AK77" s="456">
        <f t="shared" si="152"/>
        <v>0</v>
      </c>
      <c r="AL77" s="456">
        <f t="shared" si="153"/>
        <v>0</v>
      </c>
      <c r="AM77" s="456">
        <f>IF(IF(AND(K77&lt;=2.5,K77&gt;1.5),IF(Y77&gt;=3,L77*F77*1.5,K77*F77*(Y77-1.5)),0)&lt;0,0,IF(AND(K77&lt;=2.5,K77&gt;1.5),IF(Y77&gt;=3,L77*F77*1.5,K77*F77*(Y77-1.5)),0))+IF(R77&lt;H77,0,IF(AND(Y77&lt;=3,Y77&gt;1.5,K77&gt;1.5,K77&lt;=2.5),-U77,0))</f>
        <v>0</v>
      </c>
      <c r="AN77" s="456">
        <f t="shared" si="232"/>
        <v>0</v>
      </c>
      <c r="AO77" s="456">
        <f>IF(K77&gt;2.5,IF(Y77&gt;=2,L77*F77*2,K77*F77*Y77),0)+IF(R77&lt;H77,0,IF(AND(Y77&lt;=2,K77&gt;=2.5),-U77,0))-324.53</f>
        <v>2.0000000000095497E-3</v>
      </c>
      <c r="AP77" s="456">
        <f>IF(IF(K77&gt;2.5,IF(Y77&gt;=4,L77*F77*2,K77*F77*(Y77-2)),0)&lt;0,0,IF(K77&gt;2.5,IF(Y77&gt;=4,L77*F77*2,K77*F77*(Y77-2)),0))+IF(R77&lt;H77,0,IF(AND(Y77&lt;=4,Y77&gt;2,K77&gt;2.5),-U77,0))-191.47</f>
        <v>3.879999999952588E-3</v>
      </c>
      <c r="AQ77" s="456">
        <f t="shared" si="156"/>
        <v>0</v>
      </c>
      <c r="AR77" s="104">
        <f t="shared" si="157"/>
        <v>0</v>
      </c>
      <c r="AS77" s="451">
        <f t="shared" si="158"/>
        <v>2.4797573333333327</v>
      </c>
      <c r="AT77" s="104">
        <f t="shared" si="159"/>
        <v>470.62470640032177</v>
      </c>
      <c r="AU77" s="102">
        <f t="shared" si="160"/>
        <v>0</v>
      </c>
      <c r="AV77" s="106">
        <f t="shared" si="161"/>
        <v>32.453200000000002</v>
      </c>
      <c r="AW77" s="104">
        <f t="shared" si="162"/>
        <v>64.906400000000005</v>
      </c>
      <c r="AX77" s="104">
        <f t="shared" si="163"/>
        <v>64.906400000000005</v>
      </c>
      <c r="AY77" s="104">
        <f t="shared" si="164"/>
        <v>1.8</v>
      </c>
      <c r="AZ77" s="104">
        <f t="shared" si="165"/>
        <v>181.79122640032182</v>
      </c>
      <c r="BA77" s="104">
        <f t="shared" si="166"/>
        <v>181.79122640032182</v>
      </c>
      <c r="BB77" s="104">
        <f t="shared" si="167"/>
        <v>0</v>
      </c>
      <c r="BC77" s="104">
        <f t="shared" si="168"/>
        <v>0</v>
      </c>
      <c r="BD77" s="104">
        <f t="shared" si="169"/>
        <v>0</v>
      </c>
      <c r="BE77" s="104">
        <f t="shared" si="170"/>
        <v>191.47387999999995</v>
      </c>
      <c r="BF77" s="104">
        <f t="shared" si="171"/>
        <v>-246.69174640032185</v>
      </c>
      <c r="BG77" s="104">
        <f t="shared" si="172"/>
        <v>0</v>
      </c>
      <c r="BH77" s="104">
        <f t="shared" si="173"/>
        <v>-246.69174640032185</v>
      </c>
      <c r="BI77" s="104">
        <f t="shared" si="174"/>
        <v>191.47387999999995</v>
      </c>
      <c r="BJ77" s="104">
        <f t="shared" si="227"/>
        <v>159.9317428872929</v>
      </c>
      <c r="BK77" s="104">
        <f t="shared" si="175"/>
        <v>31.542137112707053</v>
      </c>
      <c r="BL77" s="125"/>
      <c r="BM77" s="104">
        <f t="shared" si="176"/>
        <v>2.5962560000000003</v>
      </c>
      <c r="BN77" s="455">
        <f t="shared" si="177"/>
        <v>0</v>
      </c>
      <c r="BO77" s="457">
        <f t="shared" si="178"/>
        <v>0</v>
      </c>
      <c r="BP77" s="457">
        <f t="shared" si="179"/>
        <v>0</v>
      </c>
      <c r="BQ77" s="457">
        <f t="shared" si="180"/>
        <v>0</v>
      </c>
      <c r="BR77" s="451">
        <f t="shared" si="181"/>
        <v>0</v>
      </c>
      <c r="BS77" s="451">
        <f t="shared" si="182"/>
        <v>0</v>
      </c>
      <c r="BT77" s="451">
        <f t="shared" si="183"/>
        <v>0</v>
      </c>
      <c r="BU77" s="451">
        <f t="shared" si="184"/>
        <v>0</v>
      </c>
      <c r="BV77" s="451">
        <f t="shared" si="185"/>
        <v>0</v>
      </c>
      <c r="BW77" s="451">
        <f t="shared" si="186"/>
        <v>0</v>
      </c>
      <c r="BX77" s="451">
        <f t="shared" si="187"/>
        <v>0</v>
      </c>
      <c r="BY77" s="451">
        <f t="shared" si="188"/>
        <v>0</v>
      </c>
      <c r="BZ77" s="451">
        <f t="shared" si="189"/>
        <v>0</v>
      </c>
      <c r="CA77" s="451">
        <f t="shared" si="190"/>
        <v>0</v>
      </c>
      <c r="CB77" s="451">
        <f t="shared" si="191"/>
        <v>0</v>
      </c>
      <c r="CC77" s="451">
        <f t="shared" si="192"/>
        <v>0</v>
      </c>
      <c r="CD77" s="451">
        <f t="shared" si="193"/>
        <v>0</v>
      </c>
      <c r="CE77" s="451">
        <f t="shared" si="194"/>
        <v>0</v>
      </c>
      <c r="CF77" s="451">
        <f t="shared" si="195"/>
        <v>0</v>
      </c>
      <c r="CG77" s="451">
        <f t="shared" si="196"/>
        <v>0</v>
      </c>
      <c r="CH77" s="451">
        <f t="shared" si="197"/>
        <v>0</v>
      </c>
      <c r="CI77" s="451">
        <f t="shared" si="198"/>
        <v>0</v>
      </c>
      <c r="CJ77" s="458">
        <f t="shared" si="199"/>
        <v>3.1799999999999997</v>
      </c>
      <c r="CK77" s="451">
        <f t="shared" si="200"/>
        <v>0</v>
      </c>
      <c r="CL77" s="451">
        <f t="shared" si="201"/>
        <v>62.41</v>
      </c>
      <c r="CM77" s="451">
        <f t="shared" si="202"/>
        <v>0</v>
      </c>
      <c r="CN77" s="454">
        <f t="shared" si="203"/>
        <v>0</v>
      </c>
      <c r="CO77" s="454">
        <f t="shared" si="204"/>
        <v>0</v>
      </c>
      <c r="CP77" s="454">
        <f t="shared" si="205"/>
        <v>0</v>
      </c>
      <c r="CQ77" s="454">
        <f t="shared" si="206"/>
        <v>0</v>
      </c>
      <c r="CR77" s="454">
        <f t="shared" si="207"/>
        <v>0</v>
      </c>
      <c r="CS77" s="454">
        <f t="shared" si="208"/>
        <v>0</v>
      </c>
      <c r="CT77" s="459">
        <f t="shared" si="209"/>
        <v>0</v>
      </c>
      <c r="CU77" s="460">
        <f t="shared" si="210"/>
        <v>1</v>
      </c>
      <c r="CV77" s="460">
        <f t="shared" si="211"/>
        <v>0</v>
      </c>
      <c r="CW77" s="460">
        <f t="shared" si="212"/>
        <v>0</v>
      </c>
      <c r="CX77" s="460">
        <f t="shared" si="213"/>
        <v>0</v>
      </c>
      <c r="CY77" s="460">
        <f t="shared" si="214"/>
        <v>0</v>
      </c>
      <c r="CZ77" s="460">
        <f t="shared" si="215"/>
        <v>1</v>
      </c>
      <c r="DA77" s="461">
        <f t="shared" si="216"/>
        <v>1</v>
      </c>
      <c r="DB77" s="118">
        <v>1.3</v>
      </c>
      <c r="DC77" s="118">
        <v>1.4</v>
      </c>
      <c r="DD77" s="118">
        <v>2</v>
      </c>
      <c r="DE77" s="118">
        <v>2</v>
      </c>
      <c r="DF77" s="462">
        <v>2</v>
      </c>
      <c r="DG77" s="455">
        <f t="shared" si="217"/>
        <v>0</v>
      </c>
      <c r="DH77" s="463">
        <f t="shared" si="218"/>
        <v>0</v>
      </c>
      <c r="DI77" s="463">
        <f t="shared" si="219"/>
        <v>0</v>
      </c>
      <c r="DJ77" s="463">
        <f t="shared" si="220"/>
        <v>0</v>
      </c>
      <c r="DK77" s="463">
        <f t="shared" si="221"/>
        <v>0</v>
      </c>
      <c r="DL77" s="463">
        <f t="shared" si="222"/>
        <v>0</v>
      </c>
      <c r="DM77" s="463">
        <f t="shared" si="223"/>
        <v>187.23</v>
      </c>
      <c r="DN77" s="463">
        <f t="shared" si="224"/>
        <v>187.23</v>
      </c>
      <c r="DO77" s="463">
        <f t="shared" si="225"/>
        <v>22.467599999999962</v>
      </c>
      <c r="DP77" s="463">
        <f t="shared" si="226"/>
        <v>0</v>
      </c>
      <c r="DQ77" s="464"/>
    </row>
    <row r="78" spans="1:121" ht="13" x14ac:dyDescent="0.25">
      <c r="A78" s="432"/>
      <c r="B78" s="257"/>
      <c r="C78" s="87" t="str">
        <f>'Planilha Hidráulica'!B84</f>
        <v>RD-2</v>
      </c>
      <c r="D78" s="258"/>
      <c r="E78" s="258"/>
      <c r="F78" s="258"/>
      <c r="G78" s="101"/>
      <c r="H78" s="449"/>
      <c r="I78" s="449"/>
      <c r="J78" s="450"/>
      <c r="K78" s="451"/>
      <c r="L78" s="451"/>
      <c r="M78" s="460"/>
      <c r="N78" s="451"/>
      <c r="O78" s="452"/>
      <c r="P78" s="452"/>
      <c r="Q78" s="452"/>
      <c r="R78" s="452"/>
      <c r="S78" s="452"/>
      <c r="T78" s="451"/>
      <c r="U78" s="454"/>
      <c r="V78" s="454"/>
      <c r="W78" s="454"/>
      <c r="X78" s="454"/>
      <c r="Y78" s="454"/>
      <c r="Z78" s="454"/>
      <c r="AA78" s="455"/>
      <c r="AB78" s="117"/>
      <c r="AC78" s="117"/>
      <c r="AD78" s="117"/>
      <c r="AE78" s="117"/>
      <c r="AF78" s="117"/>
      <c r="AG78" s="117"/>
      <c r="AH78" s="117"/>
      <c r="AI78" s="117"/>
      <c r="AJ78" s="455"/>
      <c r="AK78" s="455"/>
      <c r="AL78" s="455"/>
      <c r="AM78" s="455"/>
      <c r="AN78" s="455"/>
      <c r="AO78" s="455"/>
      <c r="AP78" s="455"/>
      <c r="AQ78" s="455"/>
      <c r="AR78" s="451"/>
      <c r="AS78" s="451"/>
      <c r="AT78" s="465"/>
      <c r="AU78" s="465"/>
      <c r="AV78" s="466"/>
      <c r="AW78" s="104"/>
      <c r="AX78" s="104"/>
      <c r="AY78" s="104"/>
      <c r="AZ78" s="104"/>
      <c r="BA78" s="104"/>
      <c r="BB78" s="104"/>
      <c r="BC78" s="104"/>
      <c r="BD78" s="104"/>
      <c r="BE78" s="449"/>
      <c r="BF78" s="449"/>
      <c r="BG78" s="449"/>
      <c r="BH78" s="449"/>
      <c r="BI78" s="449"/>
      <c r="BJ78" s="104">
        <f t="shared" si="227"/>
        <v>0</v>
      </c>
      <c r="BK78" s="449"/>
      <c r="BL78" s="125"/>
      <c r="BM78" s="125"/>
      <c r="BN78" s="455"/>
      <c r="BO78" s="457"/>
      <c r="BP78" s="457"/>
      <c r="BQ78" s="457"/>
      <c r="BR78" s="451"/>
      <c r="BS78" s="451"/>
      <c r="BT78" s="451"/>
      <c r="BU78" s="451"/>
      <c r="BV78" s="451"/>
      <c r="BW78" s="451"/>
      <c r="BX78" s="451"/>
      <c r="BY78" s="451"/>
      <c r="BZ78" s="451"/>
      <c r="CA78" s="451"/>
      <c r="CB78" s="451"/>
      <c r="CC78" s="451"/>
      <c r="CD78" s="451"/>
      <c r="CE78" s="451"/>
      <c r="CF78" s="451"/>
      <c r="CG78" s="451"/>
      <c r="CH78" s="451"/>
      <c r="CI78" s="451"/>
      <c r="CJ78" s="458"/>
      <c r="CK78" s="451"/>
      <c r="CL78" s="451"/>
      <c r="CM78" s="451"/>
      <c r="CN78" s="454"/>
      <c r="CO78" s="454"/>
      <c r="CP78" s="454"/>
      <c r="CQ78" s="454"/>
      <c r="CR78" s="454"/>
      <c r="CS78" s="454"/>
      <c r="CT78" s="459"/>
      <c r="CU78" s="460"/>
      <c r="CV78" s="460"/>
      <c r="CW78" s="460"/>
      <c r="CX78" s="460"/>
      <c r="CY78" s="460"/>
      <c r="CZ78" s="460"/>
      <c r="DA78" s="461"/>
      <c r="DB78" s="118"/>
      <c r="DC78" s="118"/>
      <c r="DD78" s="118"/>
      <c r="DE78" s="118"/>
      <c r="DF78" s="462"/>
      <c r="DG78" s="455"/>
      <c r="DH78" s="463"/>
      <c r="DI78" s="463"/>
      <c r="DJ78" s="463"/>
      <c r="DK78" s="463"/>
      <c r="DL78" s="463"/>
      <c r="DM78" s="463"/>
      <c r="DN78" s="463"/>
      <c r="DO78" s="463"/>
      <c r="DP78" s="463"/>
      <c r="DQ78" s="464"/>
    </row>
    <row r="79" spans="1:121" ht="13" x14ac:dyDescent="0.25">
      <c r="A79" s="432" t="s">
        <v>2064</v>
      </c>
      <c r="B79" s="257"/>
      <c r="C79" s="101" t="str">
        <f>'Planilha Hidráulica'!B85</f>
        <v>PV1.1-&gt;PV2.1</v>
      </c>
      <c r="D79" s="258">
        <f>'Planilha Hidráulica'!R85</f>
        <v>3.5</v>
      </c>
      <c r="E79" s="258">
        <f>'Planilha Hidráulica'!S85</f>
        <v>3.18</v>
      </c>
      <c r="F79" s="258">
        <f>'Planilha Hidráulica'!K85</f>
        <v>40</v>
      </c>
      <c r="G79" s="101">
        <f>'Planilha Hidráulica'!M85</f>
        <v>600</v>
      </c>
      <c r="H79" s="449">
        <f t="shared" ref="H79:H88" si="233">IF(G79=400,((D79+E79)/2)+0.08+T79,IF(G79=500,((D79+E79)/2)+0.1+T79,IF(G79=600,((D79+E79)/2)+0.12+T79,IF(G79=800,((D79+E79)/2)+0.16+T79,IF(G79=1000,((D79+E79)/2)+0.2+T79,IF(G79=1200,((D79+E79)/2)+0.24+T79,IF(G79=1500,((D79+E79)/2)+0.3+T79,IF(G79&gt;1500,((D79+E79)/2)+0.4+T79))))))))</f>
        <v>3.56</v>
      </c>
      <c r="I79" s="102">
        <f t="shared" ref="I79:I88" si="234">IF(K79=0,0,IF(H79&gt;=1.25,F79*H79/20,0))</f>
        <v>7.12</v>
      </c>
      <c r="J79" s="450">
        <v>0</v>
      </c>
      <c r="K79" s="451">
        <f t="shared" ref="K79:K88" si="235">IF(G79=400,1,0)+IF(G79=500,1.2,0)+IF(G79=600,1.4,0)+IF(G79=800,1.7,0)+IF(G79=1000,2,0)+IF(G79=1200,2.2,0)+IF(G79=1500,2.6,0)+IF(G79=1650,3,0)+IF(G79=1800,3.2,0)+IF(G79=2000,3.4,0)+IF(G79=2200,3.6,0)+IF(G79=2400,3.8,0)+IF(G79=2600,4,0)+IF(G79=3000,4.4,0)</f>
        <v>1.4</v>
      </c>
      <c r="L79" s="451">
        <f t="shared" ref="L79:L88" si="236">2*J79*H79+K79</f>
        <v>1.4</v>
      </c>
      <c r="M79" s="451">
        <f>'Planilha Hidráulica'!X85</f>
        <v>400</v>
      </c>
      <c r="N79" s="451">
        <f t="shared" ref="N79:N88" si="237">L79*F79</f>
        <v>56</v>
      </c>
      <c r="O79" s="452" t="str">
        <f>'Planilha Hidráulica'!W85</f>
        <v>ASFALTO</v>
      </c>
      <c r="P79" s="452" t="s">
        <v>2065</v>
      </c>
      <c r="Q79" s="452"/>
      <c r="R79" s="452">
        <v>5</v>
      </c>
      <c r="S79" s="452">
        <v>5</v>
      </c>
      <c r="T79" s="451">
        <f t="shared" ref="T79:T88" si="238">IF(G79=400,0.05,0)+IF(G79=500,0.05,0)+IF(G79=600,0.1,0)+IF(G79=800,0.1,0)+IF(G79=1000,0.15,0)+IF(G79=1200,0.15,0)+IF(G79=1500,0.2,0)+IF(G79=1650,0.2,0)+IF(G79=1800,0.2,0)+IF(G79=2000,0.25,0)+IF(G79=2200,0.25,0)+IF(G79=2400,0.25,0)+IF(G79=2600,0.25,0)+IF(G79=3000,0.25,0)</f>
        <v>0.1</v>
      </c>
      <c r="U79" s="453">
        <f t="shared" ref="U79:U88" si="239">IFERROR((PI()*(M79/1000)*(M79/1000)/4)*F79,0)</f>
        <v>5.026548245743669</v>
      </c>
      <c r="V79" s="106">
        <f t="shared" ref="V79:V88" si="240">((((J79*H79)*H79)/2)*2+K79*H79)*F79-U79+AW79</f>
        <v>194.33345175425634</v>
      </c>
      <c r="W79" s="107">
        <f t="shared" ref="W79:W88" si="241">ROUND(V79-SUM(AC79:AR79),2)</f>
        <v>0</v>
      </c>
      <c r="X79" s="107">
        <f t="shared" ref="X79:X88" si="242">IF(Q79=1,IF(M79=0,H79+0.4,0.4),0)</f>
        <v>0</v>
      </c>
      <c r="Y79" s="454">
        <f t="shared" ref="Y79:Y88" si="243">IF(R79&lt;H79,R79,H79)</f>
        <v>3.56</v>
      </c>
      <c r="Z79" s="454">
        <f t="shared" ref="Z79:Z88" si="244">H79-Y79</f>
        <v>0</v>
      </c>
      <c r="AA79" s="455">
        <f t="shared" ref="AA79:AA88" si="245">IF(O79="ASFALTO",L79*F79,0)</f>
        <v>56</v>
      </c>
      <c r="AB79" s="117">
        <f t="shared" ref="AB79:AB88" si="246">IF(O79="CONCRETO",L79*F79,0)</f>
        <v>0</v>
      </c>
      <c r="AC79" s="109">
        <f t="shared" ref="AC79:AC88" si="247">IF(X79=0,0,IF(X79=0.4,IF(K79&lt;=1.5,IF(Y79+0.4&gt;=1.5,0,K79*F79*0.4),0),IF(K79&lt;=1.5,IF(X79&gt;=1.5,L79*F79*1.5,K79*F79*(X79)),0)+IF(R79&lt;H79+0.4,0,IF(AND(X79&lt;=1.5,K79&lt;=1.5),-U79,0))))</f>
        <v>0</v>
      </c>
      <c r="AD79" s="109">
        <f t="shared" ref="AD79:AD88" si="248">IF(X79=0,0,IF(X79=0.4,IF(K79&lt;=1.5,IF(OR(Y79+0.4&gt;=3,Y79+0.4&lt;1.5),0,K79*F79*0.4),0),IF(IF(K79&lt;=1.5,IF(X79&gt;=3,L79*F79*1.5,K79*F79*(X79-1.5)),0)&lt;0,0,IF(K79&lt;=1.5,IF(X79&gt;=3,L79*F79*1.5,K79*F79*(X79-1.5)),0))+IF(R79&lt;H79+0.4,0,IF(AND(X79&lt;=3,K79&lt;=1.5),-U79,0))))</f>
        <v>0</v>
      </c>
      <c r="AE79" s="109">
        <f t="shared" ref="AE79:AE88" si="249">IF(X79=0,0,IF(X79=0.4,IF(K79&lt;=1.5,IF(OR(Y79+0.4&gt;=4.5,Y79+0.4&lt;3),0,K79*F79*0.4),0),IF(IF(K79&lt;=1.5,IF(X79&gt;=4.5,L79*F79*1.5,K79*F79*(X79-3)),0)&lt;0,0,IF(K79&lt;=1.5,IF(X79&gt;=3,L79*F79*1.5,K79*F79*(X79-3)),0))+IF(R79&lt;H79+0.4,0,IF(AND(X79&lt;=4.5,K79&lt;=1.5),-U79,0))))</f>
        <v>0</v>
      </c>
      <c r="AF79" s="109">
        <f t="shared" ref="AF79:AF88" si="250">IF(X79=0,0,IF(X79=0.4,IF(AND(K79&gt;1.5,K79&lt;=2.6),IF(Y79+0.4&gt;=1.5,0,K79*F79*0.4),0),IF(AND(K79&gt;1.5,K79&lt;=2.6),IF(X79&gt;=1.5,L79*F79*1.5,K79*F79*(X79)),0)+IF(R79&lt;H79+0.4,0,IF(AND(X79&lt;=1.5,K79&lt;=1.5),-U79,0))))</f>
        <v>0</v>
      </c>
      <c r="AG79" s="109">
        <f t="shared" ref="AG79:AG88" si="251">IF(X79=0,0,IF(X79=0.4,IF(AND(K79&gt;1.5,K79&lt;=2.6),IF(OR(Y79+0.4&gt;=3,Y79+0.4&lt;1.5),0,K79*F79*0.4),0),IF(IF(AND(K79&gt;1.5,K79&lt;=2.6),IF(X79&gt;=3,L79*F79*1.5,K79*F79*(X79-1.5)),0)&lt;0,0,IF(AND(K79&gt;1.5,K79&lt;=2.6),IF(X79&gt;=3,L79*F79*1.5,K79*F79*(X79-1.5)),0))+IF(R79&lt;H79+0.4,0,IF(AND(X79&lt;=3,K79&lt;=1.5),-U79,0))))</f>
        <v>0</v>
      </c>
      <c r="AH79" s="109">
        <f t="shared" ref="AH79:AH88" si="252">IF(X79=0,0,IF(X79=0.4,IF(AND(K79&gt;1.5,K79&lt;=2.6),IF(OR(Y79+0.4&gt;=4.5,Y79+0.4&lt;3),0,K79*F79*0.4),0),IF(IF(AND(K79&gt;1.5,K79&lt;=2.6),IF(X79&gt;=4.5,L79*F79*1.5,K79*F79*(X79-3)),0)&lt;0,0,IF(AND(K79&gt;1.5,K79&lt;=2.6),IF(X79&gt;=4.5,L79*F79*1.5,K79*F79*(X79-3)),0))+IF(R79&lt;H79+0.4,0,IF(AND(X79&lt;=3,K79&lt;=1.5),-U79,0))))</f>
        <v>0</v>
      </c>
      <c r="AI79" s="109">
        <f t="shared" ref="AI79:AI88" si="253">IF(X79=0,0,IF(X79=0.4,IF(AND(K79&gt;1.5,K79&lt;=2.6),IF(OR(Y79+0.4&gt;=6,Y79+0.4&lt;4.5),0,K79*F79*0.4),0),IF(IF(AND(K79&gt;1.5,K79&lt;=2.6),IF(X79&gt;=6,L79*F79*1.5,K79*F79*(X79-4.5)),0)&lt;0,0,IF(AND(K79&gt;1.5,K79&lt;=2.6),IF(X79&gt;=6,L79*F79*1.5,K79*F79*(X79-4.5)),0))+IF(R79&lt;H79+0.4,0,IF(AND(X79&lt;=3,K79&lt;=1.5),-U79,0))))</f>
        <v>0</v>
      </c>
      <c r="AJ79" s="456">
        <f t="shared" ref="AJ79:AJ88" si="254">IF(K79&lt;=1.5,IF(Y79&gt;=1.5,L79*F79*1.5,K79*F79*Y79),0)+IF(R79&lt;H79,0,IF(AND(Y79&lt;=1.5,K79&lt;=1.5),-U79,0))</f>
        <v>84</v>
      </c>
      <c r="AK79" s="456">
        <f t="shared" ref="AK79:AK88" si="255">IF(IF(K79&lt;=1.5,IF(Y79&gt;=3,L79*F79*1.5,K79*F79*(Y79-1.5)),0)&lt;0,0,IF(K79&lt;=1.5,IF(Y79&gt;=3,L79*F79*1.5,K79*F79*(Y79-1.5)),0))+IF(R79&lt;H79,0,IF(AND(Y79&lt;=3,K79&lt;=1.5),-U79,0))</f>
        <v>84</v>
      </c>
      <c r="AL79" s="456">
        <f t="shared" ref="AL79:AL88" si="256">IF(AND(K79&lt;=2.5,K79&gt;1.5),IF(Y79&gt;=1.5,L79*F79*1.5,K79*F79*Y79),0)+IF(R79&lt;H79,0,IF(AND(Y79&lt;=1.5,K79&gt;1.5,K79&lt;=2.5),-U79,0))</f>
        <v>0</v>
      </c>
      <c r="AM79" s="456">
        <f t="shared" ref="AM79:AM88" si="257">IF(IF(AND(K79&lt;=2.5,K79&gt;1.5),IF(Y79&gt;=3,L79*F79*1.5,K79*F79*(Y79-1.5)),0)&lt;0,0,IF(AND(K79&lt;=2.5,K79&gt;1.5),IF(Y79&gt;=3,L79*F79*1.5,K79*F79*(Y79-1.5)),0))+IF(R79&lt;H79,0,IF(AND(Y79&lt;=3,Y79&gt;1.5,K79&gt;1.5,K79&lt;=2.5),-U79,0))</f>
        <v>0</v>
      </c>
      <c r="AN79" s="456">
        <f>IF(IF(K79&lt;=2.5,IF(Y79&gt;=4.5,L79*F79*1.5,K79*F79*(Y79-3)),0)&lt;0,0,IF(K79&lt;=2.5,IF(Y79&gt;=4.5,L79*F79*1.5,K79*F79*(Y79-3)),0))+IF(R79&lt;H79,0,IF(AND(Y79&lt;=4.5,Y79&gt;3,K79&gt;1.5,K79&lt;=2.5),-U79,0))-5.03</f>
        <v>26.330000000000002</v>
      </c>
      <c r="AO79" s="456">
        <f t="shared" ref="AO79:AO88" si="258">IF(K79&gt;2.5,IF(Y79&gt;=2,L79*F79*2,K79*F79*Y79),0)+IF(R79&lt;H79,0,IF(AND(Y79&lt;=2,K79&gt;=2.5),-U79,0))</f>
        <v>0</v>
      </c>
      <c r="AP79" s="456">
        <f t="shared" ref="AP79:AP88" si="259">IF(IF(K79&gt;2.5,IF(Y79&gt;=4,L79*F79*2,K79*F79*(Y79-2)),0)&lt;0,0,IF(K79&gt;2.5,IF(Y79&gt;=4,L79*F79*2,K79*F79*(Y79-2)),0))+IF(R79&lt;H79,0,IF(AND(Y79&lt;=4,Y79&gt;2,K79&gt;2.5),-U79,0))</f>
        <v>0</v>
      </c>
      <c r="AQ79" s="456">
        <f t="shared" ref="AQ79:AQ88" si="260">IF(IF(K79&gt;2.5,IF(Y79&gt;=6,L79*F79*2,K79*F79*(Y79-4)),0)&lt;0,0,IF(K79&gt;2.5,IF(Y79&gt;=6,L79*F79*2,K79*F79*(Y79-4)),0))+IF(R79&lt;H79,0,IF(AND(Y79&lt;=6,Y79&gt;4,K79&gt;2.5),-U79,0))</f>
        <v>0</v>
      </c>
      <c r="AR79" s="104">
        <f t="shared" ref="AR79:AR88" si="261">ROUND(V79-SUM(AC79:AQ79),2)</f>
        <v>0</v>
      </c>
      <c r="AS79" s="451">
        <f t="shared" ref="AS79:AS88" si="262">IF(H79-S79&lt;0,0,(H79-S79)*F79)/75</f>
        <v>0</v>
      </c>
      <c r="AT79" s="104">
        <f t="shared" ref="AT79:AT88" si="263">F79*K79*H79-PI()*(G79/1000)*(G79/1000)/4*F79+AW79</f>
        <v>188.05026644707675</v>
      </c>
      <c r="AU79" s="102">
        <f t="shared" ref="AU79:AU88" si="264">IF(K79&lt;1.5,K79*F79*IF(G79&lt;=500,0.05,IF(G79&lt;=800,0.1,IF(G79&lt;=1200,0.15,IF(G79&gt;=1500,0.2)))),0)</f>
        <v>5.6000000000000005</v>
      </c>
      <c r="AV79" s="106">
        <f t="shared" ref="AV79:AV88" si="265">IF(K79&gt;=1.5,K79*F79*IF(G79&lt;=500,0.05,IF(G79&lt;=800,0.1,IF(G79&lt;=1200,0.15,IF(G79&gt;=1500,0.2)))),0)</f>
        <v>0</v>
      </c>
      <c r="AW79" s="104">
        <f t="shared" ref="AW79:AW88" si="266">IF(Q79=1,0.4*F79*K79,0)</f>
        <v>0</v>
      </c>
      <c r="AX79" s="104">
        <f t="shared" ref="AX79:AX88" si="267">IF(AW79&lt;SUM(AJ79:AQ79),0,AW79)</f>
        <v>0</v>
      </c>
      <c r="AY79" s="104">
        <f t="shared" ref="AY79:AY88" si="268">G79/1000+0.3</f>
        <v>0.89999999999999991</v>
      </c>
      <c r="AZ79" s="104">
        <f t="shared" ref="AZ79:AZ88" si="269">AY79*K79*F79-PI()*(G79/1000*G79/1000)/4*F79</f>
        <v>39.090266447076736</v>
      </c>
      <c r="BA79" s="104">
        <f t="shared" ref="BA79:BA88" si="270">IF(AZ79&lt;SUM(AJ79:AQ79),0,AZ79)</f>
        <v>0</v>
      </c>
      <c r="BB79" s="104">
        <f t="shared" ref="BB79:BB88" si="271">IF(O79="ASFALTO",0.15*F79*K79,0)</f>
        <v>8.3999999999999986</v>
      </c>
      <c r="BC79" s="104">
        <f t="shared" ref="BC79:BC88" si="272">BB79</f>
        <v>8.3999999999999986</v>
      </c>
      <c r="BD79" s="104">
        <f t="shared" ref="BD79:BD88" si="273">IF(O79="ASFALTO",0.03*F79*K79,0)</f>
        <v>1.68</v>
      </c>
      <c r="BE79" s="104">
        <f t="shared" ref="BE79:BE88" si="274">AT79-AW79-SUM(AU79:AV79)-BB79-BC79-AZ79</f>
        <v>126.56</v>
      </c>
      <c r="BF79" s="104">
        <f t="shared" ref="BF79:BF88" si="275">SUM(AJ79:AQ79)-AW79-BB79-AZ79</f>
        <v>146.83973355292326</v>
      </c>
      <c r="BG79" s="104">
        <f t="shared" ref="BG79:BG88" si="276">IF(SMALL(BE79:BF79,1)&lt;0,0,SMALL(BE79:BF79,1))</f>
        <v>126.56</v>
      </c>
      <c r="BH79" s="104">
        <f t="shared" ref="BH79:BH88" si="277">BF79-BG79</f>
        <v>20.279733552923261</v>
      </c>
      <c r="BI79" s="104">
        <f t="shared" ref="BI79:BI88" si="278">BE79-BG79</f>
        <v>0</v>
      </c>
      <c r="BJ79" s="104">
        <f t="shared" si="227"/>
        <v>0</v>
      </c>
      <c r="BK79" s="104">
        <f t="shared" ref="BK79:BK88" si="279">BI79-BJ79</f>
        <v>0</v>
      </c>
      <c r="BL79" s="125"/>
      <c r="BM79" s="104">
        <f t="shared" ref="BM79:BM88" si="280">IF(AW79+BB79&gt;0,4%*(AW79+BB79),0)</f>
        <v>0.33599999999999997</v>
      </c>
      <c r="BN79" s="455">
        <f t="shared" ref="BN79:BN88" si="281">IF(G79=400,H79,0)</f>
        <v>0</v>
      </c>
      <c r="BO79" s="457">
        <f t="shared" ref="BO79:BO88" si="282">IF(BN79&lt;=1.75,AND(BN79&gt;0)*F79,0)</f>
        <v>0</v>
      </c>
      <c r="BP79" s="457">
        <f t="shared" ref="BP79:BP88" si="283">IF(BN79&lt;=3,AND(BN79&gt;1.75)*F79,0)</f>
        <v>0</v>
      </c>
      <c r="BQ79" s="457">
        <f t="shared" ref="BQ79:BQ88" si="284">IF(G79=500,H79,0)</f>
        <v>0</v>
      </c>
      <c r="BR79" s="451">
        <f t="shared" ref="BR79:BR88" si="285">IF(BQ79&lt;=1.75,AND(BQ79&gt;0)*F79,0)</f>
        <v>0</v>
      </c>
      <c r="BS79" s="451">
        <f t="shared" ref="BS79:BS88" si="286">IF(BQ79&lt;=3,AND(BQ79&gt;1.75)*F79,0)</f>
        <v>0</v>
      </c>
      <c r="BT79" s="451">
        <f t="shared" ref="BT79:BT88" si="287">IF(G79=600,H79,0)</f>
        <v>3.56</v>
      </c>
      <c r="BU79" s="451">
        <f t="shared" ref="BU79:BU88" si="288">IF(BT79&lt;=3,AND(BT79&gt;0)*F79,0)</f>
        <v>0</v>
      </c>
      <c r="BV79" s="451">
        <f t="shared" ref="BV79:BV88" si="289">IF(BT79&lt;=6,AND(BT79&gt;3)*F79,0)</f>
        <v>40</v>
      </c>
      <c r="BW79" s="451">
        <f t="shared" ref="BW79:BW88" si="290">IF(BT79&lt;=9,AND(BT79&gt;6)*F79,0)</f>
        <v>0</v>
      </c>
      <c r="BX79" s="451">
        <f t="shared" ref="BX79:BX88" si="291">IF(G79=800,H79,0)</f>
        <v>0</v>
      </c>
      <c r="BY79" s="451">
        <f t="shared" ref="BY79:BY88" si="292">IF(BX79&lt;=3,AND(BX79&gt;0)*F79,0)</f>
        <v>0</v>
      </c>
      <c r="BZ79" s="451">
        <f t="shared" ref="BZ79:BZ88" si="293">IF(BX79&lt;=6,AND(BX79&gt;3)*F79,0)</f>
        <v>0</v>
      </c>
      <c r="CA79" s="451">
        <f t="shared" ref="CA79:CA88" si="294">IF(BX79&lt;=9,AND(BX79&gt;6)*F79,0)</f>
        <v>0</v>
      </c>
      <c r="CB79" s="451">
        <f t="shared" ref="CB79:CB88" si="295">IF(G79=1000,H79,0)</f>
        <v>0</v>
      </c>
      <c r="CC79" s="451">
        <f t="shared" ref="CC79:CC88" si="296">IF(CB79&lt;=3,AND(CB79&gt;0)*F79,0)</f>
        <v>0</v>
      </c>
      <c r="CD79" s="451">
        <f t="shared" ref="CD79:CD88" si="297">IF(CB79&lt;=6,AND(CB79&gt;3)*F79,0)</f>
        <v>0</v>
      </c>
      <c r="CE79" s="451">
        <f t="shared" ref="CE79:CE88" si="298">IF(CB79&lt;=9,AND(CB79&gt;6)*F79,0)</f>
        <v>0</v>
      </c>
      <c r="CF79" s="451">
        <f t="shared" ref="CF79:CF88" si="299">IF(G79=1200,H79,0)</f>
        <v>0</v>
      </c>
      <c r="CG79" s="451">
        <f t="shared" ref="CG79:CG88" si="300">IF(CF79&lt;=3,AND(CF79&gt;0)*F79,0)</f>
        <v>0</v>
      </c>
      <c r="CH79" s="451">
        <f t="shared" ref="CH79:CH88" si="301">IF(CF79&lt;=6,AND(CF79&gt;3)*F79,0)</f>
        <v>0</v>
      </c>
      <c r="CI79" s="451">
        <f t="shared" ref="CI79:CI88" si="302">IF(CF79&lt;=9,AND(CF79&gt;6)*F79,0)</f>
        <v>0</v>
      </c>
      <c r="CJ79" s="458">
        <f t="shared" ref="CJ79:CJ88" si="303">IF(G79=1500,H79,0)</f>
        <v>0</v>
      </c>
      <c r="CK79" s="451">
        <f t="shared" ref="CK79:CK88" si="304">IF(CJ79&lt;=3,AND(CJ79&gt;0)*F79,0)</f>
        <v>0</v>
      </c>
      <c r="CL79" s="451">
        <f t="shared" ref="CL79:CL88" si="305">IF(CJ79&lt;=6,AND(CJ79&gt;3)*F79,0)</f>
        <v>0</v>
      </c>
      <c r="CM79" s="451">
        <f t="shared" ref="CM79:CM88" si="306">IF(CJ79&lt;=9,AND(CJ79&gt;6)*F79,0)</f>
        <v>0</v>
      </c>
      <c r="CN79" s="454">
        <f t="shared" ref="CN79:CN88" si="307">IF(G79=1650,F79,0)</f>
        <v>0</v>
      </c>
      <c r="CO79" s="454">
        <f t="shared" ref="CO79:CO88" si="308">IF(G79=1800,F79,0)</f>
        <v>0</v>
      </c>
      <c r="CP79" s="454">
        <f t="shared" ref="CP79:CP88" si="309">IF(G79=2000,F79,0)</f>
        <v>0</v>
      </c>
      <c r="CQ79" s="454">
        <f t="shared" ref="CQ79:CQ88" si="310">IF(G79=2200,F79,0)</f>
        <v>0</v>
      </c>
      <c r="CR79" s="454">
        <f t="shared" ref="CR79:CR88" si="311">IF(G79=2400,F79,0)</f>
        <v>0</v>
      </c>
      <c r="CS79" s="454">
        <f t="shared" ref="CS79:CS88" si="312">IF(G79=2600,F79,0)</f>
        <v>0</v>
      </c>
      <c r="CT79" s="459">
        <f t="shared" ref="CT79:CT88" si="313">IF(G79=3000,F79,0)</f>
        <v>0</v>
      </c>
      <c r="CU79" s="460">
        <f t="shared" ref="CU79:CU88" si="314">IF(G79&gt;=100,1,0)</f>
        <v>1</v>
      </c>
      <c r="CV79" s="460">
        <f t="shared" ref="CV79:CV88" si="315">IF(CU79=1,IF(G79&lt;=600,1,0))</f>
        <v>1</v>
      </c>
      <c r="CW79" s="460">
        <f t="shared" ref="CW79:CW88" si="316">IF(CU79=1,IF($G79=800,1,0))</f>
        <v>0</v>
      </c>
      <c r="CX79" s="460">
        <f t="shared" ref="CX79:CX88" si="317">IF(CU79=1,IF($G79=1000,1,0))</f>
        <v>0</v>
      </c>
      <c r="CY79" s="460">
        <f t="shared" ref="CY79:CY88" si="318">IF(CU79=1,IF($G79=1200,1,0))</f>
        <v>0</v>
      </c>
      <c r="CZ79" s="460">
        <f t="shared" ref="CZ79:CZ88" si="319">IF(CU79=1,IF($G79=1500,1,0))</f>
        <v>0</v>
      </c>
      <c r="DA79" s="461">
        <f t="shared" ref="DA79:DA88" si="320">IF(IF(G79&lt;=600,(D79-DB79),0)+IF(G79=800,(D79-DC79),0)+IF(G79&gt;=1000,D79-DD79,0)&lt;0,0,IF(G79&lt;=600,(D79-DB79),0)+IF(G79=800,(D79-DC79),0)+IF(G79&gt;=1000,D79-DD79,0))</f>
        <v>2.2000000000000002</v>
      </c>
      <c r="DB79" s="118">
        <v>1.3</v>
      </c>
      <c r="DC79" s="118">
        <v>1.4</v>
      </c>
      <c r="DD79" s="118">
        <v>2</v>
      </c>
      <c r="DE79" s="118">
        <v>2</v>
      </c>
      <c r="DF79" s="462">
        <v>2</v>
      </c>
      <c r="DG79" s="455">
        <f t="shared" ref="DG79:DG88" si="321">IF(K79&lt;=1.5,IF(H79&lt;1.5,H79*F79*2,F79*2*1.5),0)</f>
        <v>120</v>
      </c>
      <c r="DH79" s="463">
        <f t="shared" ref="DH79:DH88" si="322">IF(K79&lt;=1.5,IF(AND(H79&lt;3,H79&gt;1.5),(H79-1.5)*F79*2,IF(H79&gt;=3,(F79*2*1.5),0)),0)</f>
        <v>120</v>
      </c>
      <c r="DI79" s="463">
        <f t="shared" ref="DI79:DI88" si="323">IF(K79&lt;=1.5,IF(AND(H79&lt;4.5,H79&gt;3),(H79-3)*F79*2,IF(H79&gt;=4.5,(F79*2*1.5),0)),0)</f>
        <v>44.800000000000004</v>
      </c>
      <c r="DJ79" s="463">
        <f t="shared" ref="DJ79:DJ88" si="324">IF(AND(K79&lt;=2.5,K79&gt;1.5),IF(H79&lt;1.5,H79*F79*2,F79*2*1.5),0)</f>
        <v>0</v>
      </c>
      <c r="DK79" s="463">
        <f t="shared" ref="DK79:DK88" si="325">IF(AND(K79&gt;1.5,K79&lt;=2.5),IF(AND(H79&lt;3,H79&gt;1.5),(H79-1.5)*F79*2,IF(H79&gt;=3,(F79*2*1.5),0)),0)</f>
        <v>0</v>
      </c>
      <c r="DL79" s="463">
        <f t="shared" ref="DL79:DL88" si="326">IF(AND(K79&gt;1.5,K79&lt;=2.5),IF(AND(H79&lt;4.5,H79&gt;3),(H79-3)*F79*2,IF(H79&gt;=4.5,(F79*2*1.5),0)),0)</f>
        <v>0</v>
      </c>
      <c r="DM79" s="463">
        <f t="shared" ref="DM79:DM88" si="327">IF(AND(K79&lt;=3.5,K79&gt;2.5),IF(H79&lt;1.5,H79*F79*2,F79*2*1.5),0)</f>
        <v>0</v>
      </c>
      <c r="DN79" s="463">
        <f t="shared" ref="DN79:DN88" si="328">IF(AND(K79&gt;2.5,K79&lt;=3.5),IF(AND(H79&lt;3,H79&gt;1.5),(H79-1.5)*F79*2,IF(H79&gt;=3,(F79*2*1.5),0)),0)</f>
        <v>0</v>
      </c>
      <c r="DO79" s="463">
        <f t="shared" ref="DO79:DO88" si="329">IF(AND(K79&gt;2.5,K79&lt;=3.5),IF(AND(H79&lt;4.5,H79&gt;3),(H79-3)*F79*2,IF(H79&gt;=4.5,(F79*2*1.5),0)),0)</f>
        <v>0</v>
      </c>
      <c r="DP79" s="463">
        <f t="shared" ref="DP79:DP88" si="330">IF(AND(K79&gt;2.5,K79&lt;=3.5),IF(AND(H79&lt;6,H79&gt;4.5),(H79-4.5)*F79*2,IF(H79&gt;=6,(F79*2*1.5),0)),0)</f>
        <v>0</v>
      </c>
      <c r="DQ79" s="464"/>
    </row>
    <row r="80" spans="1:121" ht="13" x14ac:dyDescent="0.25">
      <c r="A80" s="432" t="s">
        <v>2064</v>
      </c>
      <c r="B80" s="257"/>
      <c r="C80" s="101" t="str">
        <f>'Planilha Hidráulica'!B86</f>
        <v>PV2.1-&gt;PV3.1</v>
      </c>
      <c r="D80" s="258">
        <f>'Planilha Hidráulica'!R86</f>
        <v>3.18</v>
      </c>
      <c r="E80" s="258">
        <f>'Planilha Hidráulica'!S86</f>
        <v>3</v>
      </c>
      <c r="F80" s="258">
        <f>'Planilha Hidráulica'!K86</f>
        <v>39</v>
      </c>
      <c r="G80" s="101">
        <f>'Planilha Hidráulica'!M86</f>
        <v>600</v>
      </c>
      <c r="H80" s="449">
        <f t="shared" si="233"/>
        <v>3.31</v>
      </c>
      <c r="I80" s="102">
        <f t="shared" si="234"/>
        <v>6.4545000000000003</v>
      </c>
      <c r="J80" s="450">
        <v>0</v>
      </c>
      <c r="K80" s="451">
        <f t="shared" si="235"/>
        <v>1.4</v>
      </c>
      <c r="L80" s="451">
        <f t="shared" si="236"/>
        <v>1.4</v>
      </c>
      <c r="M80" s="451">
        <f>'Planilha Hidráulica'!X86</f>
        <v>400</v>
      </c>
      <c r="N80" s="451">
        <f t="shared" si="237"/>
        <v>54.599999999999994</v>
      </c>
      <c r="O80" s="452" t="str">
        <f>'Planilha Hidráulica'!W86</f>
        <v>ASFALTO</v>
      </c>
      <c r="P80" s="452" t="s">
        <v>2065</v>
      </c>
      <c r="Q80" s="452"/>
      <c r="R80" s="452">
        <v>5</v>
      </c>
      <c r="S80" s="452">
        <v>5</v>
      </c>
      <c r="T80" s="451">
        <f t="shared" si="238"/>
        <v>0.1</v>
      </c>
      <c r="U80" s="453">
        <f t="shared" si="239"/>
        <v>4.900884539600078</v>
      </c>
      <c r="V80" s="106">
        <f t="shared" si="240"/>
        <v>175.8251154603999</v>
      </c>
      <c r="W80" s="107">
        <f t="shared" si="241"/>
        <v>0</v>
      </c>
      <c r="X80" s="107">
        <f t="shared" si="242"/>
        <v>0</v>
      </c>
      <c r="Y80" s="454">
        <f t="shared" si="243"/>
        <v>3.31</v>
      </c>
      <c r="Z80" s="454">
        <f t="shared" si="244"/>
        <v>0</v>
      </c>
      <c r="AA80" s="455">
        <f t="shared" si="245"/>
        <v>54.599999999999994</v>
      </c>
      <c r="AB80" s="117">
        <f t="shared" si="246"/>
        <v>0</v>
      </c>
      <c r="AC80" s="109">
        <f t="shared" si="247"/>
        <v>0</v>
      </c>
      <c r="AD80" s="109">
        <f t="shared" si="248"/>
        <v>0</v>
      </c>
      <c r="AE80" s="109">
        <f t="shared" si="249"/>
        <v>0</v>
      </c>
      <c r="AF80" s="109">
        <f t="shared" si="250"/>
        <v>0</v>
      </c>
      <c r="AG80" s="109">
        <f t="shared" si="251"/>
        <v>0</v>
      </c>
      <c r="AH80" s="109">
        <f t="shared" si="252"/>
        <v>0</v>
      </c>
      <c r="AI80" s="109">
        <f t="shared" si="253"/>
        <v>0</v>
      </c>
      <c r="AJ80" s="456">
        <f t="shared" si="254"/>
        <v>81.899999999999991</v>
      </c>
      <c r="AK80" s="456">
        <f t="shared" si="255"/>
        <v>81.899999999999991</v>
      </c>
      <c r="AL80" s="456">
        <f t="shared" si="256"/>
        <v>0</v>
      </c>
      <c r="AM80" s="456">
        <f t="shared" si="257"/>
        <v>0</v>
      </c>
      <c r="AN80" s="456">
        <f>IF(IF(K80&lt;=2.5,IF(Y80&gt;=4.5,L80*F80*1.5,K80*F80*(Y80-3)),0)&lt;0,0,IF(K80&lt;=2.5,IF(Y80&gt;=4.5,L80*F80*1.5,K80*F80*(Y80-3)),0))+IF(R80&lt;H80,0,IF(AND(Y80&lt;=4.5,Y80&gt;3,K80&gt;1.5,K80&lt;=2.5),-U80,0))-4.9</f>
        <v>12.026000000000002</v>
      </c>
      <c r="AO80" s="456">
        <f t="shared" si="258"/>
        <v>0</v>
      </c>
      <c r="AP80" s="456">
        <f t="shared" si="259"/>
        <v>0</v>
      </c>
      <c r="AQ80" s="456">
        <f t="shared" si="260"/>
        <v>0</v>
      </c>
      <c r="AR80" s="104">
        <f t="shared" si="261"/>
        <v>0</v>
      </c>
      <c r="AS80" s="451">
        <f t="shared" si="262"/>
        <v>0</v>
      </c>
      <c r="AT80" s="104">
        <f t="shared" si="263"/>
        <v>169.69900978589979</v>
      </c>
      <c r="AU80" s="102">
        <f t="shared" si="264"/>
        <v>5.46</v>
      </c>
      <c r="AV80" s="106">
        <f t="shared" si="265"/>
        <v>0</v>
      </c>
      <c r="AW80" s="104">
        <f t="shared" si="266"/>
        <v>0</v>
      </c>
      <c r="AX80" s="104">
        <f t="shared" si="267"/>
        <v>0</v>
      </c>
      <c r="AY80" s="104">
        <f t="shared" si="268"/>
        <v>0.89999999999999991</v>
      </c>
      <c r="AZ80" s="104">
        <f t="shared" si="269"/>
        <v>38.11300978589982</v>
      </c>
      <c r="BA80" s="104">
        <f t="shared" si="270"/>
        <v>0</v>
      </c>
      <c r="BB80" s="104">
        <f t="shared" si="271"/>
        <v>8.19</v>
      </c>
      <c r="BC80" s="104">
        <f t="shared" si="272"/>
        <v>8.19</v>
      </c>
      <c r="BD80" s="104">
        <f t="shared" si="273"/>
        <v>1.6379999999999999</v>
      </c>
      <c r="BE80" s="104">
        <f t="shared" si="274"/>
        <v>109.74599999999997</v>
      </c>
      <c r="BF80" s="104">
        <f t="shared" si="275"/>
        <v>129.52299021410016</v>
      </c>
      <c r="BG80" s="104">
        <f t="shared" si="276"/>
        <v>109.74599999999997</v>
      </c>
      <c r="BH80" s="104">
        <f t="shared" si="277"/>
        <v>19.776990214100195</v>
      </c>
      <c r="BI80" s="104">
        <f t="shared" si="278"/>
        <v>0</v>
      </c>
      <c r="BJ80" s="104">
        <f t="shared" si="227"/>
        <v>0</v>
      </c>
      <c r="BK80" s="104">
        <f t="shared" si="279"/>
        <v>0</v>
      </c>
      <c r="BL80" s="125"/>
      <c r="BM80" s="104">
        <f t="shared" si="280"/>
        <v>0.3276</v>
      </c>
      <c r="BN80" s="455">
        <f t="shared" si="281"/>
        <v>0</v>
      </c>
      <c r="BO80" s="457">
        <f t="shared" si="282"/>
        <v>0</v>
      </c>
      <c r="BP80" s="457">
        <f t="shared" si="283"/>
        <v>0</v>
      </c>
      <c r="BQ80" s="457">
        <f t="shared" si="284"/>
        <v>0</v>
      </c>
      <c r="BR80" s="451">
        <f t="shared" si="285"/>
        <v>0</v>
      </c>
      <c r="BS80" s="451">
        <f t="shared" si="286"/>
        <v>0</v>
      </c>
      <c r="BT80" s="451">
        <f t="shared" si="287"/>
        <v>3.31</v>
      </c>
      <c r="BU80" s="451">
        <f t="shared" si="288"/>
        <v>0</v>
      </c>
      <c r="BV80" s="451">
        <f t="shared" si="289"/>
        <v>39</v>
      </c>
      <c r="BW80" s="451">
        <f t="shared" si="290"/>
        <v>0</v>
      </c>
      <c r="BX80" s="451">
        <f t="shared" si="291"/>
        <v>0</v>
      </c>
      <c r="BY80" s="451">
        <f t="shared" si="292"/>
        <v>0</v>
      </c>
      <c r="BZ80" s="451">
        <f t="shared" si="293"/>
        <v>0</v>
      </c>
      <c r="CA80" s="451">
        <f t="shared" si="294"/>
        <v>0</v>
      </c>
      <c r="CB80" s="451">
        <f t="shared" si="295"/>
        <v>0</v>
      </c>
      <c r="CC80" s="451">
        <f t="shared" si="296"/>
        <v>0</v>
      </c>
      <c r="CD80" s="451">
        <f t="shared" si="297"/>
        <v>0</v>
      </c>
      <c r="CE80" s="451">
        <f t="shared" si="298"/>
        <v>0</v>
      </c>
      <c r="CF80" s="451">
        <f t="shared" si="299"/>
        <v>0</v>
      </c>
      <c r="CG80" s="451">
        <f t="shared" si="300"/>
        <v>0</v>
      </c>
      <c r="CH80" s="451">
        <f t="shared" si="301"/>
        <v>0</v>
      </c>
      <c r="CI80" s="451">
        <f t="shared" si="302"/>
        <v>0</v>
      </c>
      <c r="CJ80" s="458">
        <f t="shared" si="303"/>
        <v>0</v>
      </c>
      <c r="CK80" s="451">
        <f t="shared" si="304"/>
        <v>0</v>
      </c>
      <c r="CL80" s="451">
        <f t="shared" si="305"/>
        <v>0</v>
      </c>
      <c r="CM80" s="451">
        <f t="shared" si="306"/>
        <v>0</v>
      </c>
      <c r="CN80" s="454">
        <f t="shared" si="307"/>
        <v>0</v>
      </c>
      <c r="CO80" s="454">
        <f t="shared" si="308"/>
        <v>0</v>
      </c>
      <c r="CP80" s="454">
        <f t="shared" si="309"/>
        <v>0</v>
      </c>
      <c r="CQ80" s="454">
        <f t="shared" si="310"/>
        <v>0</v>
      </c>
      <c r="CR80" s="454">
        <f t="shared" si="311"/>
        <v>0</v>
      </c>
      <c r="CS80" s="454">
        <f t="shared" si="312"/>
        <v>0</v>
      </c>
      <c r="CT80" s="459">
        <f t="shared" si="313"/>
        <v>0</v>
      </c>
      <c r="CU80" s="460">
        <f t="shared" si="314"/>
        <v>1</v>
      </c>
      <c r="CV80" s="460">
        <f t="shared" si="315"/>
        <v>1</v>
      </c>
      <c r="CW80" s="460">
        <f t="shared" si="316"/>
        <v>0</v>
      </c>
      <c r="CX80" s="460">
        <f t="shared" si="317"/>
        <v>0</v>
      </c>
      <c r="CY80" s="460">
        <f t="shared" si="318"/>
        <v>0</v>
      </c>
      <c r="CZ80" s="460">
        <f t="shared" si="319"/>
        <v>0</v>
      </c>
      <c r="DA80" s="461">
        <f t="shared" si="320"/>
        <v>1.8800000000000001</v>
      </c>
      <c r="DB80" s="118">
        <v>1.3</v>
      </c>
      <c r="DC80" s="118">
        <v>1.4</v>
      </c>
      <c r="DD80" s="118">
        <v>2</v>
      </c>
      <c r="DE80" s="118">
        <v>2</v>
      </c>
      <c r="DF80" s="462">
        <v>2</v>
      </c>
      <c r="DG80" s="455">
        <f t="shared" si="321"/>
        <v>117</v>
      </c>
      <c r="DH80" s="463">
        <f t="shared" si="322"/>
        <v>117</v>
      </c>
      <c r="DI80" s="463">
        <f t="shared" si="323"/>
        <v>24.180000000000003</v>
      </c>
      <c r="DJ80" s="463">
        <f t="shared" si="324"/>
        <v>0</v>
      </c>
      <c r="DK80" s="463">
        <f t="shared" si="325"/>
        <v>0</v>
      </c>
      <c r="DL80" s="463">
        <f t="shared" si="326"/>
        <v>0</v>
      </c>
      <c r="DM80" s="463">
        <f t="shared" si="327"/>
        <v>0</v>
      </c>
      <c r="DN80" s="463">
        <f t="shared" si="328"/>
        <v>0</v>
      </c>
      <c r="DO80" s="463">
        <f t="shared" si="329"/>
        <v>0</v>
      </c>
      <c r="DP80" s="463">
        <f t="shared" si="330"/>
        <v>0</v>
      </c>
      <c r="DQ80" s="464"/>
    </row>
    <row r="81" spans="1:121" ht="13" x14ac:dyDescent="0.25">
      <c r="A81" s="432" t="s">
        <v>2064</v>
      </c>
      <c r="B81" s="257"/>
      <c r="C81" s="101" t="str">
        <f>'Planilha Hidráulica'!B87</f>
        <v>PV3.1-&gt;PV4.1</v>
      </c>
      <c r="D81" s="258">
        <f>'Planilha Hidráulica'!R87</f>
        <v>3</v>
      </c>
      <c r="E81" s="258">
        <f>'Planilha Hidráulica'!S87</f>
        <v>3.03</v>
      </c>
      <c r="F81" s="258">
        <f>'Planilha Hidráulica'!K87</f>
        <v>38.049999999999997</v>
      </c>
      <c r="G81" s="101">
        <f>'Planilha Hidráulica'!M87</f>
        <v>600</v>
      </c>
      <c r="H81" s="449">
        <f t="shared" si="233"/>
        <v>3.2349999999999999</v>
      </c>
      <c r="I81" s="102">
        <f t="shared" si="234"/>
        <v>6.1545874999999999</v>
      </c>
      <c r="J81" s="450">
        <v>0</v>
      </c>
      <c r="K81" s="451">
        <f t="shared" si="235"/>
        <v>1.4</v>
      </c>
      <c r="L81" s="451">
        <f t="shared" si="236"/>
        <v>1.4</v>
      </c>
      <c r="M81" s="451">
        <f>'Planilha Hidráulica'!X87</f>
        <v>500</v>
      </c>
      <c r="N81" s="451">
        <f t="shared" si="237"/>
        <v>53.269999999999996</v>
      </c>
      <c r="O81" s="452" t="str">
        <f>'Planilha Hidráulica'!W87</f>
        <v>ASFALTO</v>
      </c>
      <c r="P81" s="452" t="s">
        <v>2066</v>
      </c>
      <c r="Q81" s="452"/>
      <c r="R81" s="452">
        <v>5</v>
      </c>
      <c r="S81" s="452">
        <v>5</v>
      </c>
      <c r="T81" s="451">
        <f t="shared" si="238"/>
        <v>0.1</v>
      </c>
      <c r="U81" s="453">
        <f t="shared" si="239"/>
        <v>7.4711000293182259</v>
      </c>
      <c r="V81" s="106">
        <f t="shared" si="240"/>
        <v>164.85734997068175</v>
      </c>
      <c r="W81" s="107">
        <f t="shared" si="241"/>
        <v>0</v>
      </c>
      <c r="X81" s="107">
        <f t="shared" si="242"/>
        <v>0</v>
      </c>
      <c r="Y81" s="454">
        <f t="shared" si="243"/>
        <v>3.2349999999999999</v>
      </c>
      <c r="Z81" s="454">
        <f t="shared" si="244"/>
        <v>0</v>
      </c>
      <c r="AA81" s="455">
        <f t="shared" si="245"/>
        <v>53.269999999999996</v>
      </c>
      <c r="AB81" s="117">
        <f t="shared" si="246"/>
        <v>0</v>
      </c>
      <c r="AC81" s="109">
        <f t="shared" si="247"/>
        <v>0</v>
      </c>
      <c r="AD81" s="109">
        <f t="shared" si="248"/>
        <v>0</v>
      </c>
      <c r="AE81" s="109">
        <f t="shared" si="249"/>
        <v>0</v>
      </c>
      <c r="AF81" s="109">
        <f t="shared" si="250"/>
        <v>0</v>
      </c>
      <c r="AG81" s="109">
        <f t="shared" si="251"/>
        <v>0</v>
      </c>
      <c r="AH81" s="109">
        <f t="shared" si="252"/>
        <v>0</v>
      </c>
      <c r="AI81" s="109">
        <f t="shared" si="253"/>
        <v>0</v>
      </c>
      <c r="AJ81" s="456">
        <f t="shared" si="254"/>
        <v>79.905000000000001</v>
      </c>
      <c r="AK81" s="456">
        <f t="shared" si="255"/>
        <v>79.905000000000001</v>
      </c>
      <c r="AL81" s="456">
        <f t="shared" si="256"/>
        <v>0</v>
      </c>
      <c r="AM81" s="456">
        <f t="shared" si="257"/>
        <v>0</v>
      </c>
      <c r="AN81" s="456">
        <f>IF(IF(K81&lt;=2.5,IF(Y81&gt;=4.5,L81*F81*1.5,K81*F81*(Y81-3)),0)&lt;0,0,IF(K81&lt;=2.5,IF(Y81&gt;=4.5,L81*F81*1.5,K81*F81*(Y81-3)),0))+IF(R81&lt;H81,0,IF(AND(Y81&lt;=4.5,Y81&gt;3,K81&gt;1.5,K81&lt;=2.5),-U81,0))-7.47</f>
        <v>5.0484499999999928</v>
      </c>
      <c r="AO81" s="456">
        <f t="shared" si="258"/>
        <v>0</v>
      </c>
      <c r="AP81" s="456">
        <f t="shared" si="259"/>
        <v>0</v>
      </c>
      <c r="AQ81" s="456">
        <f t="shared" si="260"/>
        <v>0</v>
      </c>
      <c r="AR81" s="104">
        <f t="shared" si="261"/>
        <v>0</v>
      </c>
      <c r="AS81" s="451">
        <f t="shared" si="262"/>
        <v>0</v>
      </c>
      <c r="AT81" s="104">
        <f t="shared" si="263"/>
        <v>161.57006595778174</v>
      </c>
      <c r="AU81" s="102">
        <f t="shared" si="264"/>
        <v>5.327</v>
      </c>
      <c r="AV81" s="106">
        <f t="shared" si="265"/>
        <v>0</v>
      </c>
      <c r="AW81" s="104">
        <f t="shared" si="266"/>
        <v>0</v>
      </c>
      <c r="AX81" s="104">
        <f t="shared" si="267"/>
        <v>0</v>
      </c>
      <c r="AY81" s="104">
        <f t="shared" si="268"/>
        <v>0.89999999999999991</v>
      </c>
      <c r="AZ81" s="104">
        <f t="shared" si="269"/>
        <v>37.184615957781745</v>
      </c>
      <c r="BA81" s="104">
        <f t="shared" si="270"/>
        <v>0</v>
      </c>
      <c r="BB81" s="104">
        <f t="shared" si="271"/>
        <v>7.990499999999999</v>
      </c>
      <c r="BC81" s="104">
        <f t="shared" si="272"/>
        <v>7.990499999999999</v>
      </c>
      <c r="BD81" s="104">
        <f t="shared" si="273"/>
        <v>1.5980999999999999</v>
      </c>
      <c r="BE81" s="104">
        <f t="shared" si="274"/>
        <v>103.07745</v>
      </c>
      <c r="BF81" s="104">
        <f t="shared" si="275"/>
        <v>119.68333404221826</v>
      </c>
      <c r="BG81" s="104">
        <f t="shared" si="276"/>
        <v>103.07745</v>
      </c>
      <c r="BH81" s="104">
        <f t="shared" si="277"/>
        <v>16.605884042218264</v>
      </c>
      <c r="BI81" s="104">
        <f t="shared" si="278"/>
        <v>0</v>
      </c>
      <c r="BJ81" s="104">
        <f t="shared" si="227"/>
        <v>0</v>
      </c>
      <c r="BK81" s="104">
        <f t="shared" si="279"/>
        <v>0</v>
      </c>
      <c r="BL81" s="125"/>
      <c r="BM81" s="104">
        <f t="shared" si="280"/>
        <v>0.31961999999999996</v>
      </c>
      <c r="BN81" s="455">
        <f t="shared" si="281"/>
        <v>0</v>
      </c>
      <c r="BO81" s="457">
        <f t="shared" si="282"/>
        <v>0</v>
      </c>
      <c r="BP81" s="457">
        <f t="shared" si="283"/>
        <v>0</v>
      </c>
      <c r="BQ81" s="457">
        <f t="shared" si="284"/>
        <v>0</v>
      </c>
      <c r="BR81" s="451">
        <f t="shared" si="285"/>
        <v>0</v>
      </c>
      <c r="BS81" s="451">
        <f t="shared" si="286"/>
        <v>0</v>
      </c>
      <c r="BT81" s="451">
        <f t="shared" si="287"/>
        <v>3.2349999999999999</v>
      </c>
      <c r="BU81" s="451">
        <f t="shared" si="288"/>
        <v>0</v>
      </c>
      <c r="BV81" s="451">
        <f t="shared" si="289"/>
        <v>38.049999999999997</v>
      </c>
      <c r="BW81" s="451">
        <f t="shared" si="290"/>
        <v>0</v>
      </c>
      <c r="BX81" s="451">
        <f t="shared" si="291"/>
        <v>0</v>
      </c>
      <c r="BY81" s="451">
        <f t="shared" si="292"/>
        <v>0</v>
      </c>
      <c r="BZ81" s="451">
        <f t="shared" si="293"/>
        <v>0</v>
      </c>
      <c r="CA81" s="451">
        <f t="shared" si="294"/>
        <v>0</v>
      </c>
      <c r="CB81" s="451">
        <f t="shared" si="295"/>
        <v>0</v>
      </c>
      <c r="CC81" s="451">
        <f t="shared" si="296"/>
        <v>0</v>
      </c>
      <c r="CD81" s="451">
        <f t="shared" si="297"/>
        <v>0</v>
      </c>
      <c r="CE81" s="451">
        <f t="shared" si="298"/>
        <v>0</v>
      </c>
      <c r="CF81" s="451">
        <f t="shared" si="299"/>
        <v>0</v>
      </c>
      <c r="CG81" s="451">
        <f t="shared" si="300"/>
        <v>0</v>
      </c>
      <c r="CH81" s="451">
        <f t="shared" si="301"/>
        <v>0</v>
      </c>
      <c r="CI81" s="451">
        <f t="shared" si="302"/>
        <v>0</v>
      </c>
      <c r="CJ81" s="458">
        <f t="shared" si="303"/>
        <v>0</v>
      </c>
      <c r="CK81" s="451">
        <f t="shared" si="304"/>
        <v>0</v>
      </c>
      <c r="CL81" s="451">
        <f t="shared" si="305"/>
        <v>0</v>
      </c>
      <c r="CM81" s="451">
        <f t="shared" si="306"/>
        <v>0</v>
      </c>
      <c r="CN81" s="454">
        <f t="shared" si="307"/>
        <v>0</v>
      </c>
      <c r="CO81" s="454">
        <f t="shared" si="308"/>
        <v>0</v>
      </c>
      <c r="CP81" s="454">
        <f t="shared" si="309"/>
        <v>0</v>
      </c>
      <c r="CQ81" s="454">
        <f t="shared" si="310"/>
        <v>0</v>
      </c>
      <c r="CR81" s="454">
        <f t="shared" si="311"/>
        <v>0</v>
      </c>
      <c r="CS81" s="454">
        <f t="shared" si="312"/>
        <v>0</v>
      </c>
      <c r="CT81" s="459">
        <f t="shared" si="313"/>
        <v>0</v>
      </c>
      <c r="CU81" s="460">
        <f t="shared" si="314"/>
        <v>1</v>
      </c>
      <c r="CV81" s="460">
        <f t="shared" si="315"/>
        <v>1</v>
      </c>
      <c r="CW81" s="460">
        <f t="shared" si="316"/>
        <v>0</v>
      </c>
      <c r="CX81" s="460">
        <f t="shared" si="317"/>
        <v>0</v>
      </c>
      <c r="CY81" s="460">
        <f t="shared" si="318"/>
        <v>0</v>
      </c>
      <c r="CZ81" s="460">
        <f t="shared" si="319"/>
        <v>0</v>
      </c>
      <c r="DA81" s="461">
        <f t="shared" si="320"/>
        <v>1.7</v>
      </c>
      <c r="DB81" s="118">
        <v>1.3</v>
      </c>
      <c r="DC81" s="118">
        <v>1.4</v>
      </c>
      <c r="DD81" s="118">
        <v>2</v>
      </c>
      <c r="DE81" s="118">
        <v>2</v>
      </c>
      <c r="DF81" s="462">
        <v>2</v>
      </c>
      <c r="DG81" s="455">
        <f t="shared" si="321"/>
        <v>114.14999999999999</v>
      </c>
      <c r="DH81" s="463">
        <f t="shared" si="322"/>
        <v>114.14999999999999</v>
      </c>
      <c r="DI81" s="463">
        <f t="shared" si="323"/>
        <v>17.883499999999991</v>
      </c>
      <c r="DJ81" s="463">
        <f t="shared" si="324"/>
        <v>0</v>
      </c>
      <c r="DK81" s="463">
        <f t="shared" si="325"/>
        <v>0</v>
      </c>
      <c r="DL81" s="463">
        <f t="shared" si="326"/>
        <v>0</v>
      </c>
      <c r="DM81" s="463">
        <f t="shared" si="327"/>
        <v>0</v>
      </c>
      <c r="DN81" s="463">
        <f t="shared" si="328"/>
        <v>0</v>
      </c>
      <c r="DO81" s="463">
        <f t="shared" si="329"/>
        <v>0</v>
      </c>
      <c r="DP81" s="463">
        <f t="shared" si="330"/>
        <v>0</v>
      </c>
      <c r="DQ81" s="464"/>
    </row>
    <row r="82" spans="1:121" ht="13" x14ac:dyDescent="0.25">
      <c r="A82" s="432" t="s">
        <v>2064</v>
      </c>
      <c r="B82" s="257"/>
      <c r="C82" s="101" t="str">
        <f>'Planilha Hidráulica'!B88</f>
        <v>PV4.1-&gt;PV5.1</v>
      </c>
      <c r="D82" s="258">
        <f>'Planilha Hidráulica'!R88</f>
        <v>3.03</v>
      </c>
      <c r="E82" s="258">
        <f>'Planilha Hidráulica'!S88</f>
        <v>3</v>
      </c>
      <c r="F82" s="258">
        <f>'Planilha Hidráulica'!K88</f>
        <v>39.950000000000003</v>
      </c>
      <c r="G82" s="101">
        <f>'Planilha Hidráulica'!M88</f>
        <v>600</v>
      </c>
      <c r="H82" s="449">
        <f t="shared" si="233"/>
        <v>3.2349999999999999</v>
      </c>
      <c r="I82" s="102">
        <f t="shared" si="234"/>
        <v>6.4619124999999995</v>
      </c>
      <c r="J82" s="450">
        <v>0</v>
      </c>
      <c r="K82" s="451">
        <f t="shared" si="235"/>
        <v>1.4</v>
      </c>
      <c r="L82" s="451">
        <f t="shared" si="236"/>
        <v>1.4</v>
      </c>
      <c r="M82" s="451">
        <f>'Planilha Hidráulica'!X88</f>
        <v>500</v>
      </c>
      <c r="N82" s="451">
        <f t="shared" si="237"/>
        <v>55.93</v>
      </c>
      <c r="O82" s="452" t="str">
        <f>'Planilha Hidráulica'!W88</f>
        <v>ASFALTO</v>
      </c>
      <c r="P82" s="452" t="s">
        <v>2066</v>
      </c>
      <c r="Q82" s="452"/>
      <c r="R82" s="452">
        <v>5</v>
      </c>
      <c r="S82" s="452">
        <v>5</v>
      </c>
      <c r="T82" s="451">
        <f t="shared" si="238"/>
        <v>0.1</v>
      </c>
      <c r="U82" s="453">
        <f t="shared" si="239"/>
        <v>7.8441641569320151</v>
      </c>
      <c r="V82" s="106">
        <f t="shared" si="240"/>
        <v>173.08938584306799</v>
      </c>
      <c r="W82" s="107">
        <f t="shared" si="241"/>
        <v>0</v>
      </c>
      <c r="X82" s="107">
        <f t="shared" si="242"/>
        <v>0</v>
      </c>
      <c r="Y82" s="454">
        <f t="shared" si="243"/>
        <v>3.2349999999999999</v>
      </c>
      <c r="Z82" s="454">
        <f t="shared" si="244"/>
        <v>0</v>
      </c>
      <c r="AA82" s="455">
        <f t="shared" si="245"/>
        <v>55.93</v>
      </c>
      <c r="AB82" s="117">
        <f t="shared" si="246"/>
        <v>0</v>
      </c>
      <c r="AC82" s="109">
        <f t="shared" si="247"/>
        <v>0</v>
      </c>
      <c r="AD82" s="109">
        <f t="shared" si="248"/>
        <v>0</v>
      </c>
      <c r="AE82" s="109">
        <f t="shared" si="249"/>
        <v>0</v>
      </c>
      <c r="AF82" s="109">
        <f t="shared" si="250"/>
        <v>0</v>
      </c>
      <c r="AG82" s="109">
        <f t="shared" si="251"/>
        <v>0</v>
      </c>
      <c r="AH82" s="109">
        <f t="shared" si="252"/>
        <v>0</v>
      </c>
      <c r="AI82" s="109">
        <f t="shared" si="253"/>
        <v>0</v>
      </c>
      <c r="AJ82" s="456">
        <f t="shared" si="254"/>
        <v>83.894999999999996</v>
      </c>
      <c r="AK82" s="456">
        <f t="shared" si="255"/>
        <v>83.894999999999996</v>
      </c>
      <c r="AL82" s="456">
        <f t="shared" si="256"/>
        <v>0</v>
      </c>
      <c r="AM82" s="456">
        <f t="shared" si="257"/>
        <v>0</v>
      </c>
      <c r="AN82" s="456">
        <f>IF(IF(K82&lt;=2.5,IF(Y82&gt;=4.5,L82*F82*1.5,K82*F82*(Y82-3)),0)&lt;0,0,IF(K82&lt;=2.5,IF(Y82&gt;=4.5,L82*F82*1.5,K82*F82*(Y82-3)),0))+IF(R82&lt;H82,0,IF(AND(Y82&lt;=4.5,Y82&gt;3,K82&gt;1.5,K82&lt;=2.5),-U82,0))-7.84</f>
        <v>5.3035499999999924</v>
      </c>
      <c r="AO82" s="456">
        <f t="shared" si="258"/>
        <v>0</v>
      </c>
      <c r="AP82" s="456">
        <f t="shared" si="259"/>
        <v>0</v>
      </c>
      <c r="AQ82" s="456">
        <f t="shared" si="260"/>
        <v>0</v>
      </c>
      <c r="AR82" s="104">
        <f t="shared" si="261"/>
        <v>0</v>
      </c>
      <c r="AS82" s="451">
        <f t="shared" si="262"/>
        <v>0</v>
      </c>
      <c r="AT82" s="104">
        <f t="shared" si="263"/>
        <v>169.6379536140179</v>
      </c>
      <c r="AU82" s="102">
        <f t="shared" si="264"/>
        <v>5.593</v>
      </c>
      <c r="AV82" s="106">
        <f t="shared" si="265"/>
        <v>0</v>
      </c>
      <c r="AW82" s="104">
        <f t="shared" si="266"/>
        <v>0</v>
      </c>
      <c r="AX82" s="104">
        <f t="shared" si="267"/>
        <v>0</v>
      </c>
      <c r="AY82" s="104">
        <f t="shared" si="268"/>
        <v>0.89999999999999991</v>
      </c>
      <c r="AZ82" s="104">
        <f t="shared" si="269"/>
        <v>39.041403614017895</v>
      </c>
      <c r="BA82" s="104">
        <f t="shared" si="270"/>
        <v>0</v>
      </c>
      <c r="BB82" s="104">
        <f t="shared" si="271"/>
        <v>8.3895</v>
      </c>
      <c r="BC82" s="104">
        <f t="shared" si="272"/>
        <v>8.3895</v>
      </c>
      <c r="BD82" s="104">
        <f t="shared" si="273"/>
        <v>1.6779000000000002</v>
      </c>
      <c r="BE82" s="104">
        <f t="shared" si="274"/>
        <v>108.22455000000002</v>
      </c>
      <c r="BF82" s="104">
        <f t="shared" si="275"/>
        <v>125.6626463859821</v>
      </c>
      <c r="BG82" s="104">
        <f t="shared" si="276"/>
        <v>108.22455000000002</v>
      </c>
      <c r="BH82" s="104">
        <f t="shared" si="277"/>
        <v>17.438096385982078</v>
      </c>
      <c r="BI82" s="104">
        <f t="shared" si="278"/>
        <v>0</v>
      </c>
      <c r="BJ82" s="104">
        <f t="shared" si="227"/>
        <v>0</v>
      </c>
      <c r="BK82" s="104">
        <f t="shared" si="279"/>
        <v>0</v>
      </c>
      <c r="BL82" s="125"/>
      <c r="BM82" s="104">
        <f t="shared" si="280"/>
        <v>0.33557999999999999</v>
      </c>
      <c r="BN82" s="455">
        <f t="shared" si="281"/>
        <v>0</v>
      </c>
      <c r="BO82" s="457">
        <f t="shared" si="282"/>
        <v>0</v>
      </c>
      <c r="BP82" s="457">
        <f t="shared" si="283"/>
        <v>0</v>
      </c>
      <c r="BQ82" s="457">
        <f t="shared" si="284"/>
        <v>0</v>
      </c>
      <c r="BR82" s="451">
        <f t="shared" si="285"/>
        <v>0</v>
      </c>
      <c r="BS82" s="451">
        <f t="shared" si="286"/>
        <v>0</v>
      </c>
      <c r="BT82" s="451">
        <f t="shared" si="287"/>
        <v>3.2349999999999999</v>
      </c>
      <c r="BU82" s="451">
        <f t="shared" si="288"/>
        <v>0</v>
      </c>
      <c r="BV82" s="451">
        <f t="shared" si="289"/>
        <v>39.950000000000003</v>
      </c>
      <c r="BW82" s="451">
        <f t="shared" si="290"/>
        <v>0</v>
      </c>
      <c r="BX82" s="451">
        <f t="shared" si="291"/>
        <v>0</v>
      </c>
      <c r="BY82" s="451">
        <f t="shared" si="292"/>
        <v>0</v>
      </c>
      <c r="BZ82" s="451">
        <f t="shared" si="293"/>
        <v>0</v>
      </c>
      <c r="CA82" s="451">
        <f t="shared" si="294"/>
        <v>0</v>
      </c>
      <c r="CB82" s="451">
        <f t="shared" si="295"/>
        <v>0</v>
      </c>
      <c r="CC82" s="451">
        <f t="shared" si="296"/>
        <v>0</v>
      </c>
      <c r="CD82" s="451">
        <f t="shared" si="297"/>
        <v>0</v>
      </c>
      <c r="CE82" s="451">
        <f t="shared" si="298"/>
        <v>0</v>
      </c>
      <c r="CF82" s="451">
        <f t="shared" si="299"/>
        <v>0</v>
      </c>
      <c r="CG82" s="451">
        <f t="shared" si="300"/>
        <v>0</v>
      </c>
      <c r="CH82" s="451">
        <f t="shared" si="301"/>
        <v>0</v>
      </c>
      <c r="CI82" s="451">
        <f t="shared" si="302"/>
        <v>0</v>
      </c>
      <c r="CJ82" s="458">
        <f t="shared" si="303"/>
        <v>0</v>
      </c>
      <c r="CK82" s="451">
        <f t="shared" si="304"/>
        <v>0</v>
      </c>
      <c r="CL82" s="451">
        <f t="shared" si="305"/>
        <v>0</v>
      </c>
      <c r="CM82" s="451">
        <f t="shared" si="306"/>
        <v>0</v>
      </c>
      <c r="CN82" s="454">
        <f t="shared" si="307"/>
        <v>0</v>
      </c>
      <c r="CO82" s="454">
        <f t="shared" si="308"/>
        <v>0</v>
      </c>
      <c r="CP82" s="454">
        <f t="shared" si="309"/>
        <v>0</v>
      </c>
      <c r="CQ82" s="454">
        <f t="shared" si="310"/>
        <v>0</v>
      </c>
      <c r="CR82" s="454">
        <f t="shared" si="311"/>
        <v>0</v>
      </c>
      <c r="CS82" s="454">
        <f t="shared" si="312"/>
        <v>0</v>
      </c>
      <c r="CT82" s="459">
        <f t="shared" si="313"/>
        <v>0</v>
      </c>
      <c r="CU82" s="460">
        <f t="shared" si="314"/>
        <v>1</v>
      </c>
      <c r="CV82" s="460">
        <f t="shared" si="315"/>
        <v>1</v>
      </c>
      <c r="CW82" s="460">
        <f t="shared" si="316"/>
        <v>0</v>
      </c>
      <c r="CX82" s="460">
        <f t="shared" si="317"/>
        <v>0</v>
      </c>
      <c r="CY82" s="460">
        <f t="shared" si="318"/>
        <v>0</v>
      </c>
      <c r="CZ82" s="460">
        <f t="shared" si="319"/>
        <v>0</v>
      </c>
      <c r="DA82" s="461">
        <f t="shared" si="320"/>
        <v>1.7299999999999998</v>
      </c>
      <c r="DB82" s="118">
        <v>1.3</v>
      </c>
      <c r="DC82" s="118">
        <v>1.4</v>
      </c>
      <c r="DD82" s="118">
        <v>2</v>
      </c>
      <c r="DE82" s="118">
        <v>2</v>
      </c>
      <c r="DF82" s="462">
        <v>2</v>
      </c>
      <c r="DG82" s="455">
        <f t="shared" si="321"/>
        <v>119.85000000000001</v>
      </c>
      <c r="DH82" s="463">
        <f t="shared" si="322"/>
        <v>119.85000000000001</v>
      </c>
      <c r="DI82" s="463">
        <f t="shared" si="323"/>
        <v>18.776499999999992</v>
      </c>
      <c r="DJ82" s="463">
        <f t="shared" si="324"/>
        <v>0</v>
      </c>
      <c r="DK82" s="463">
        <f t="shared" si="325"/>
        <v>0</v>
      </c>
      <c r="DL82" s="463">
        <f t="shared" si="326"/>
        <v>0</v>
      </c>
      <c r="DM82" s="463">
        <f t="shared" si="327"/>
        <v>0</v>
      </c>
      <c r="DN82" s="463">
        <f t="shared" si="328"/>
        <v>0</v>
      </c>
      <c r="DO82" s="463">
        <f t="shared" si="329"/>
        <v>0</v>
      </c>
      <c r="DP82" s="463">
        <f t="shared" si="330"/>
        <v>0</v>
      </c>
      <c r="DQ82" s="464"/>
    </row>
    <row r="83" spans="1:121" ht="13" x14ac:dyDescent="0.25">
      <c r="A83" s="432" t="s">
        <v>2064</v>
      </c>
      <c r="B83" s="257"/>
      <c r="C83" s="101" t="str">
        <f>'Planilha Hidráulica'!B89</f>
        <v>PV5.1-&gt;PV6.1</v>
      </c>
      <c r="D83" s="258">
        <f>'Planilha Hidráulica'!R89</f>
        <v>3</v>
      </c>
      <c r="E83" s="258">
        <f>'Planilha Hidráulica'!S89</f>
        <v>3.06</v>
      </c>
      <c r="F83" s="258">
        <f>'Planilha Hidráulica'!K89</f>
        <v>38</v>
      </c>
      <c r="G83" s="101">
        <f>'Planilha Hidráulica'!M89</f>
        <v>600</v>
      </c>
      <c r="H83" s="449">
        <f t="shared" si="233"/>
        <v>3.2500000000000004</v>
      </c>
      <c r="I83" s="102">
        <f t="shared" si="234"/>
        <v>6.1750000000000007</v>
      </c>
      <c r="J83" s="450">
        <v>0</v>
      </c>
      <c r="K83" s="451">
        <f t="shared" si="235"/>
        <v>1.4</v>
      </c>
      <c r="L83" s="451">
        <f t="shared" si="236"/>
        <v>1.4</v>
      </c>
      <c r="M83" s="451">
        <f>'Planilha Hidráulica'!X89</f>
        <v>500</v>
      </c>
      <c r="N83" s="451">
        <f t="shared" si="237"/>
        <v>53.199999999999996</v>
      </c>
      <c r="O83" s="452" t="str">
        <f>'Planilha Hidráulica'!W89</f>
        <v>ASFALTO</v>
      </c>
      <c r="P83" s="452" t="s">
        <v>2066</v>
      </c>
      <c r="Q83" s="452"/>
      <c r="R83" s="452">
        <v>5</v>
      </c>
      <c r="S83" s="452">
        <v>5</v>
      </c>
      <c r="T83" s="451">
        <f t="shared" si="238"/>
        <v>0.1</v>
      </c>
      <c r="U83" s="453">
        <f t="shared" si="239"/>
        <v>7.4612825522757582</v>
      </c>
      <c r="V83" s="106">
        <f t="shared" si="240"/>
        <v>165.43871744772429</v>
      </c>
      <c r="W83" s="107">
        <f t="shared" si="241"/>
        <v>0</v>
      </c>
      <c r="X83" s="107">
        <f t="shared" si="242"/>
        <v>0</v>
      </c>
      <c r="Y83" s="454">
        <f t="shared" si="243"/>
        <v>3.2500000000000004</v>
      </c>
      <c r="Z83" s="454">
        <f t="shared" si="244"/>
        <v>0</v>
      </c>
      <c r="AA83" s="455">
        <f t="shared" si="245"/>
        <v>53.199999999999996</v>
      </c>
      <c r="AB83" s="117">
        <f t="shared" si="246"/>
        <v>0</v>
      </c>
      <c r="AC83" s="109">
        <f t="shared" si="247"/>
        <v>0</v>
      </c>
      <c r="AD83" s="109">
        <f t="shared" si="248"/>
        <v>0</v>
      </c>
      <c r="AE83" s="109">
        <f t="shared" si="249"/>
        <v>0</v>
      </c>
      <c r="AF83" s="109">
        <f t="shared" si="250"/>
        <v>0</v>
      </c>
      <c r="AG83" s="109">
        <f t="shared" si="251"/>
        <v>0</v>
      </c>
      <c r="AH83" s="109">
        <f t="shared" si="252"/>
        <v>0</v>
      </c>
      <c r="AI83" s="109">
        <f t="shared" si="253"/>
        <v>0</v>
      </c>
      <c r="AJ83" s="456">
        <f t="shared" si="254"/>
        <v>79.8</v>
      </c>
      <c r="AK83" s="456">
        <f t="shared" si="255"/>
        <v>79.8</v>
      </c>
      <c r="AL83" s="456">
        <f t="shared" si="256"/>
        <v>0</v>
      </c>
      <c r="AM83" s="456">
        <f t="shared" si="257"/>
        <v>0</v>
      </c>
      <c r="AN83" s="456">
        <f>IF(IF(K83&lt;=2.5,IF(Y83&gt;=4.5,L83*F83*1.5,K83*F83*(Y83-3)),0)&lt;0,0,IF(K83&lt;=2.5,IF(Y83&gt;=4.5,L83*F83*1.5,K83*F83*(Y83-3)),0))+IF(R83&lt;H83,0,IF(AND(Y83&lt;=4.5,Y83&gt;3,K83&gt;1.5,K83&lt;=2.5),-U83,0))-7.46</f>
        <v>5.8400000000000221</v>
      </c>
      <c r="AO83" s="456">
        <f t="shared" si="258"/>
        <v>0</v>
      </c>
      <c r="AP83" s="456">
        <f t="shared" si="259"/>
        <v>0</v>
      </c>
      <c r="AQ83" s="456">
        <f t="shared" si="260"/>
        <v>0</v>
      </c>
      <c r="AR83" s="104">
        <f t="shared" si="261"/>
        <v>0</v>
      </c>
      <c r="AS83" s="451">
        <f t="shared" si="262"/>
        <v>0</v>
      </c>
      <c r="AT83" s="104">
        <f t="shared" si="263"/>
        <v>162.15575312472291</v>
      </c>
      <c r="AU83" s="102">
        <f t="shared" si="264"/>
        <v>5.32</v>
      </c>
      <c r="AV83" s="106">
        <f t="shared" si="265"/>
        <v>0</v>
      </c>
      <c r="AW83" s="104">
        <f t="shared" si="266"/>
        <v>0</v>
      </c>
      <c r="AX83" s="104">
        <f t="shared" si="267"/>
        <v>0</v>
      </c>
      <c r="AY83" s="104">
        <f t="shared" si="268"/>
        <v>0.89999999999999991</v>
      </c>
      <c r="AZ83" s="104">
        <f t="shared" si="269"/>
        <v>37.135753124722903</v>
      </c>
      <c r="BA83" s="104">
        <f t="shared" si="270"/>
        <v>0</v>
      </c>
      <c r="BB83" s="104">
        <f t="shared" si="271"/>
        <v>7.9799999999999995</v>
      </c>
      <c r="BC83" s="104">
        <f t="shared" si="272"/>
        <v>7.9799999999999995</v>
      </c>
      <c r="BD83" s="104">
        <f t="shared" si="273"/>
        <v>1.5959999999999999</v>
      </c>
      <c r="BE83" s="104">
        <f t="shared" si="274"/>
        <v>103.74000000000004</v>
      </c>
      <c r="BF83" s="104">
        <f t="shared" si="275"/>
        <v>120.32424687527714</v>
      </c>
      <c r="BG83" s="104">
        <f t="shared" si="276"/>
        <v>103.74000000000004</v>
      </c>
      <c r="BH83" s="104">
        <f t="shared" si="277"/>
        <v>16.584246875277103</v>
      </c>
      <c r="BI83" s="104">
        <f t="shared" si="278"/>
        <v>0</v>
      </c>
      <c r="BJ83" s="104">
        <f t="shared" si="227"/>
        <v>0</v>
      </c>
      <c r="BK83" s="104">
        <f t="shared" si="279"/>
        <v>0</v>
      </c>
      <c r="BL83" s="125"/>
      <c r="BM83" s="104">
        <f t="shared" si="280"/>
        <v>0.31919999999999998</v>
      </c>
      <c r="BN83" s="455">
        <f t="shared" si="281"/>
        <v>0</v>
      </c>
      <c r="BO83" s="457">
        <f t="shared" si="282"/>
        <v>0</v>
      </c>
      <c r="BP83" s="457">
        <f t="shared" si="283"/>
        <v>0</v>
      </c>
      <c r="BQ83" s="457">
        <f t="shared" si="284"/>
        <v>0</v>
      </c>
      <c r="BR83" s="451">
        <f t="shared" si="285"/>
        <v>0</v>
      </c>
      <c r="BS83" s="451">
        <f t="shared" si="286"/>
        <v>0</v>
      </c>
      <c r="BT83" s="451">
        <f t="shared" si="287"/>
        <v>3.2500000000000004</v>
      </c>
      <c r="BU83" s="451">
        <f t="shared" si="288"/>
        <v>0</v>
      </c>
      <c r="BV83" s="451">
        <f t="shared" si="289"/>
        <v>38</v>
      </c>
      <c r="BW83" s="451">
        <f t="shared" si="290"/>
        <v>0</v>
      </c>
      <c r="BX83" s="451">
        <f t="shared" si="291"/>
        <v>0</v>
      </c>
      <c r="BY83" s="451">
        <f t="shared" si="292"/>
        <v>0</v>
      </c>
      <c r="BZ83" s="451">
        <f t="shared" si="293"/>
        <v>0</v>
      </c>
      <c r="CA83" s="451">
        <f t="shared" si="294"/>
        <v>0</v>
      </c>
      <c r="CB83" s="451">
        <f t="shared" si="295"/>
        <v>0</v>
      </c>
      <c r="CC83" s="451">
        <f t="shared" si="296"/>
        <v>0</v>
      </c>
      <c r="CD83" s="451">
        <f t="shared" si="297"/>
        <v>0</v>
      </c>
      <c r="CE83" s="451">
        <f t="shared" si="298"/>
        <v>0</v>
      </c>
      <c r="CF83" s="451">
        <f t="shared" si="299"/>
        <v>0</v>
      </c>
      <c r="CG83" s="451">
        <f t="shared" si="300"/>
        <v>0</v>
      </c>
      <c r="CH83" s="451">
        <f t="shared" si="301"/>
        <v>0</v>
      </c>
      <c r="CI83" s="451">
        <f t="shared" si="302"/>
        <v>0</v>
      </c>
      <c r="CJ83" s="458">
        <f t="shared" si="303"/>
        <v>0</v>
      </c>
      <c r="CK83" s="451">
        <f t="shared" si="304"/>
        <v>0</v>
      </c>
      <c r="CL83" s="451">
        <f t="shared" si="305"/>
        <v>0</v>
      </c>
      <c r="CM83" s="451">
        <f t="shared" si="306"/>
        <v>0</v>
      </c>
      <c r="CN83" s="454">
        <f t="shared" si="307"/>
        <v>0</v>
      </c>
      <c r="CO83" s="454">
        <f t="shared" si="308"/>
        <v>0</v>
      </c>
      <c r="CP83" s="454">
        <f t="shared" si="309"/>
        <v>0</v>
      </c>
      <c r="CQ83" s="454">
        <f t="shared" si="310"/>
        <v>0</v>
      </c>
      <c r="CR83" s="454">
        <f t="shared" si="311"/>
        <v>0</v>
      </c>
      <c r="CS83" s="454">
        <f t="shared" si="312"/>
        <v>0</v>
      </c>
      <c r="CT83" s="459">
        <f t="shared" si="313"/>
        <v>0</v>
      </c>
      <c r="CU83" s="460">
        <f t="shared" si="314"/>
        <v>1</v>
      </c>
      <c r="CV83" s="460">
        <f t="shared" si="315"/>
        <v>1</v>
      </c>
      <c r="CW83" s="460">
        <f t="shared" si="316"/>
        <v>0</v>
      </c>
      <c r="CX83" s="460">
        <f t="shared" si="317"/>
        <v>0</v>
      </c>
      <c r="CY83" s="460">
        <f t="shared" si="318"/>
        <v>0</v>
      </c>
      <c r="CZ83" s="460">
        <f t="shared" si="319"/>
        <v>0</v>
      </c>
      <c r="DA83" s="461">
        <f t="shared" si="320"/>
        <v>1.7</v>
      </c>
      <c r="DB83" s="118">
        <v>1.3</v>
      </c>
      <c r="DC83" s="118">
        <v>1.4</v>
      </c>
      <c r="DD83" s="118">
        <v>2</v>
      </c>
      <c r="DE83" s="118">
        <v>2</v>
      </c>
      <c r="DF83" s="462">
        <v>2</v>
      </c>
      <c r="DG83" s="455">
        <f t="shared" si="321"/>
        <v>114</v>
      </c>
      <c r="DH83" s="463">
        <f t="shared" si="322"/>
        <v>114</v>
      </c>
      <c r="DI83" s="463">
        <f t="shared" si="323"/>
        <v>19.000000000000036</v>
      </c>
      <c r="DJ83" s="463">
        <f t="shared" si="324"/>
        <v>0</v>
      </c>
      <c r="DK83" s="463">
        <f t="shared" si="325"/>
        <v>0</v>
      </c>
      <c r="DL83" s="463">
        <f t="shared" si="326"/>
        <v>0</v>
      </c>
      <c r="DM83" s="463">
        <f t="shared" si="327"/>
        <v>0</v>
      </c>
      <c r="DN83" s="463">
        <f t="shared" si="328"/>
        <v>0</v>
      </c>
      <c r="DO83" s="463">
        <f t="shared" si="329"/>
        <v>0</v>
      </c>
      <c r="DP83" s="463">
        <f t="shared" si="330"/>
        <v>0</v>
      </c>
      <c r="DQ83" s="464"/>
    </row>
    <row r="84" spans="1:121" ht="13" x14ac:dyDescent="0.25">
      <c r="A84" s="432" t="s">
        <v>2064</v>
      </c>
      <c r="B84" s="257"/>
      <c r="C84" s="101" t="str">
        <f>'Planilha Hidráulica'!B90</f>
        <v>PV6.1-&gt;PV7.1</v>
      </c>
      <c r="D84" s="258">
        <f>'Planilha Hidráulica'!R90</f>
        <v>3.06</v>
      </c>
      <c r="E84" s="258">
        <f>'Planilha Hidráulica'!S90</f>
        <v>3</v>
      </c>
      <c r="F84" s="258">
        <f>'Planilha Hidráulica'!K90</f>
        <v>35</v>
      </c>
      <c r="G84" s="101">
        <f>'Planilha Hidráulica'!M90</f>
        <v>600</v>
      </c>
      <c r="H84" s="449">
        <f t="shared" si="233"/>
        <v>3.2500000000000004</v>
      </c>
      <c r="I84" s="102">
        <f t="shared" si="234"/>
        <v>5.6875000000000009</v>
      </c>
      <c r="J84" s="450">
        <v>0</v>
      </c>
      <c r="K84" s="451">
        <f t="shared" si="235"/>
        <v>1.4</v>
      </c>
      <c r="L84" s="451">
        <f t="shared" si="236"/>
        <v>1.4</v>
      </c>
      <c r="M84" s="451">
        <f>'Planilha Hidráulica'!X90</f>
        <v>500</v>
      </c>
      <c r="N84" s="451">
        <f t="shared" si="237"/>
        <v>49</v>
      </c>
      <c r="O84" s="452" t="str">
        <f>'Planilha Hidráulica'!W90</f>
        <v>ASFALTO</v>
      </c>
      <c r="P84" s="452" t="s">
        <v>2066</v>
      </c>
      <c r="Q84" s="452"/>
      <c r="R84" s="452">
        <v>5</v>
      </c>
      <c r="S84" s="452">
        <v>5</v>
      </c>
      <c r="T84" s="451">
        <f t="shared" si="238"/>
        <v>0.1</v>
      </c>
      <c r="U84" s="453">
        <f t="shared" si="239"/>
        <v>6.8722339297276722</v>
      </c>
      <c r="V84" s="106">
        <f t="shared" si="240"/>
        <v>152.37776607027234</v>
      </c>
      <c r="W84" s="107">
        <f t="shared" si="241"/>
        <v>0</v>
      </c>
      <c r="X84" s="107">
        <f t="shared" si="242"/>
        <v>0</v>
      </c>
      <c r="Y84" s="454">
        <f t="shared" si="243"/>
        <v>3.2500000000000004</v>
      </c>
      <c r="Z84" s="454">
        <f t="shared" si="244"/>
        <v>0</v>
      </c>
      <c r="AA84" s="455">
        <f t="shared" si="245"/>
        <v>49</v>
      </c>
      <c r="AB84" s="117">
        <f t="shared" si="246"/>
        <v>0</v>
      </c>
      <c r="AC84" s="109">
        <f t="shared" si="247"/>
        <v>0</v>
      </c>
      <c r="AD84" s="109">
        <f t="shared" si="248"/>
        <v>0</v>
      </c>
      <c r="AE84" s="109">
        <f t="shared" si="249"/>
        <v>0</v>
      </c>
      <c r="AF84" s="109">
        <f t="shared" si="250"/>
        <v>0</v>
      </c>
      <c r="AG84" s="109">
        <f t="shared" si="251"/>
        <v>0</v>
      </c>
      <c r="AH84" s="109">
        <f t="shared" si="252"/>
        <v>0</v>
      </c>
      <c r="AI84" s="109">
        <f t="shared" si="253"/>
        <v>0</v>
      </c>
      <c r="AJ84" s="456">
        <f t="shared" si="254"/>
        <v>73.5</v>
      </c>
      <c r="AK84" s="456">
        <f t="shared" si="255"/>
        <v>73.5</v>
      </c>
      <c r="AL84" s="456">
        <f t="shared" si="256"/>
        <v>0</v>
      </c>
      <c r="AM84" s="456">
        <f t="shared" si="257"/>
        <v>0</v>
      </c>
      <c r="AN84" s="456">
        <f>IF(IF(K84&lt;=2.5,IF(Y84&gt;=4.5,L84*F84*1.5,K84*F84*(Y84-3)),0)&lt;0,0,IF(K84&lt;=2.5,IF(Y84&gt;=4.5,L84*F84*1.5,K84*F84*(Y84-3)),0))+IF(R84&lt;H84,0,IF(AND(Y84&lt;=4.5,Y84&gt;3,K84&gt;1.5,K84&lt;=2.5),-U84,0))-6.87</f>
        <v>5.3800000000000212</v>
      </c>
      <c r="AO84" s="456">
        <f t="shared" si="258"/>
        <v>0</v>
      </c>
      <c r="AP84" s="456">
        <f t="shared" si="259"/>
        <v>0</v>
      </c>
      <c r="AQ84" s="456">
        <f t="shared" si="260"/>
        <v>0</v>
      </c>
      <c r="AR84" s="104">
        <f t="shared" si="261"/>
        <v>0</v>
      </c>
      <c r="AS84" s="451">
        <f t="shared" si="262"/>
        <v>0</v>
      </c>
      <c r="AT84" s="104">
        <f t="shared" si="263"/>
        <v>149.35398314119217</v>
      </c>
      <c r="AU84" s="102">
        <f t="shared" si="264"/>
        <v>4.9000000000000004</v>
      </c>
      <c r="AV84" s="106">
        <f t="shared" si="265"/>
        <v>0</v>
      </c>
      <c r="AW84" s="104">
        <f t="shared" si="266"/>
        <v>0</v>
      </c>
      <c r="AX84" s="104">
        <f t="shared" si="267"/>
        <v>0</v>
      </c>
      <c r="AY84" s="104">
        <f t="shared" si="268"/>
        <v>0.89999999999999991</v>
      </c>
      <c r="AZ84" s="104">
        <f t="shared" si="269"/>
        <v>34.203983141192147</v>
      </c>
      <c r="BA84" s="104">
        <f t="shared" si="270"/>
        <v>0</v>
      </c>
      <c r="BB84" s="104">
        <f t="shared" si="271"/>
        <v>7.35</v>
      </c>
      <c r="BC84" s="104">
        <f t="shared" si="272"/>
        <v>7.35</v>
      </c>
      <c r="BD84" s="104">
        <f t="shared" si="273"/>
        <v>1.47</v>
      </c>
      <c r="BE84" s="104">
        <f t="shared" si="274"/>
        <v>95.55000000000004</v>
      </c>
      <c r="BF84" s="104">
        <f t="shared" si="275"/>
        <v>110.82601685880789</v>
      </c>
      <c r="BG84" s="104">
        <f t="shared" si="276"/>
        <v>95.55000000000004</v>
      </c>
      <c r="BH84" s="104">
        <f t="shared" si="277"/>
        <v>15.27601685880785</v>
      </c>
      <c r="BI84" s="104">
        <f t="shared" si="278"/>
        <v>0</v>
      </c>
      <c r="BJ84" s="104">
        <f t="shared" si="227"/>
        <v>0</v>
      </c>
      <c r="BK84" s="104">
        <f t="shared" si="279"/>
        <v>0</v>
      </c>
      <c r="BL84" s="125"/>
      <c r="BM84" s="104">
        <f t="shared" si="280"/>
        <v>0.29399999999999998</v>
      </c>
      <c r="BN84" s="455">
        <f t="shared" si="281"/>
        <v>0</v>
      </c>
      <c r="BO84" s="457">
        <f t="shared" si="282"/>
        <v>0</v>
      </c>
      <c r="BP84" s="457">
        <f t="shared" si="283"/>
        <v>0</v>
      </c>
      <c r="BQ84" s="457">
        <f t="shared" si="284"/>
        <v>0</v>
      </c>
      <c r="BR84" s="451">
        <f t="shared" si="285"/>
        <v>0</v>
      </c>
      <c r="BS84" s="451">
        <f t="shared" si="286"/>
        <v>0</v>
      </c>
      <c r="BT84" s="451">
        <f t="shared" si="287"/>
        <v>3.2500000000000004</v>
      </c>
      <c r="BU84" s="451">
        <f t="shared" si="288"/>
        <v>0</v>
      </c>
      <c r="BV84" s="451">
        <f t="shared" si="289"/>
        <v>35</v>
      </c>
      <c r="BW84" s="451">
        <f t="shared" si="290"/>
        <v>0</v>
      </c>
      <c r="BX84" s="451">
        <f t="shared" si="291"/>
        <v>0</v>
      </c>
      <c r="BY84" s="451">
        <f t="shared" si="292"/>
        <v>0</v>
      </c>
      <c r="BZ84" s="451">
        <f t="shared" si="293"/>
        <v>0</v>
      </c>
      <c r="CA84" s="451">
        <f t="shared" si="294"/>
        <v>0</v>
      </c>
      <c r="CB84" s="451">
        <f t="shared" si="295"/>
        <v>0</v>
      </c>
      <c r="CC84" s="451">
        <f t="shared" si="296"/>
        <v>0</v>
      </c>
      <c r="CD84" s="451">
        <f t="shared" si="297"/>
        <v>0</v>
      </c>
      <c r="CE84" s="451">
        <f t="shared" si="298"/>
        <v>0</v>
      </c>
      <c r="CF84" s="451">
        <f t="shared" si="299"/>
        <v>0</v>
      </c>
      <c r="CG84" s="451">
        <f t="shared" si="300"/>
        <v>0</v>
      </c>
      <c r="CH84" s="451">
        <f t="shared" si="301"/>
        <v>0</v>
      </c>
      <c r="CI84" s="451">
        <f t="shared" si="302"/>
        <v>0</v>
      </c>
      <c r="CJ84" s="458">
        <f t="shared" si="303"/>
        <v>0</v>
      </c>
      <c r="CK84" s="451">
        <f t="shared" si="304"/>
        <v>0</v>
      </c>
      <c r="CL84" s="451">
        <f t="shared" si="305"/>
        <v>0</v>
      </c>
      <c r="CM84" s="451">
        <f t="shared" si="306"/>
        <v>0</v>
      </c>
      <c r="CN84" s="454">
        <f t="shared" si="307"/>
        <v>0</v>
      </c>
      <c r="CO84" s="454">
        <f t="shared" si="308"/>
        <v>0</v>
      </c>
      <c r="CP84" s="454">
        <f t="shared" si="309"/>
        <v>0</v>
      </c>
      <c r="CQ84" s="454">
        <f t="shared" si="310"/>
        <v>0</v>
      </c>
      <c r="CR84" s="454">
        <f t="shared" si="311"/>
        <v>0</v>
      </c>
      <c r="CS84" s="454">
        <f t="shared" si="312"/>
        <v>0</v>
      </c>
      <c r="CT84" s="459">
        <f t="shared" si="313"/>
        <v>0</v>
      </c>
      <c r="CU84" s="460">
        <f t="shared" si="314"/>
        <v>1</v>
      </c>
      <c r="CV84" s="460">
        <f t="shared" si="315"/>
        <v>1</v>
      </c>
      <c r="CW84" s="460">
        <f t="shared" si="316"/>
        <v>0</v>
      </c>
      <c r="CX84" s="460">
        <f t="shared" si="317"/>
        <v>0</v>
      </c>
      <c r="CY84" s="460">
        <f t="shared" si="318"/>
        <v>0</v>
      </c>
      <c r="CZ84" s="460">
        <f t="shared" si="319"/>
        <v>0</v>
      </c>
      <c r="DA84" s="461">
        <f t="shared" si="320"/>
        <v>1.76</v>
      </c>
      <c r="DB84" s="118">
        <v>1.3</v>
      </c>
      <c r="DC84" s="118">
        <v>1.4</v>
      </c>
      <c r="DD84" s="118">
        <v>2</v>
      </c>
      <c r="DE84" s="118">
        <v>2</v>
      </c>
      <c r="DF84" s="462">
        <v>2</v>
      </c>
      <c r="DG84" s="455">
        <f t="shared" si="321"/>
        <v>105</v>
      </c>
      <c r="DH84" s="463">
        <f t="shared" si="322"/>
        <v>105</v>
      </c>
      <c r="DI84" s="463">
        <f t="shared" si="323"/>
        <v>17.500000000000032</v>
      </c>
      <c r="DJ84" s="463">
        <f t="shared" si="324"/>
        <v>0</v>
      </c>
      <c r="DK84" s="463">
        <f t="shared" si="325"/>
        <v>0</v>
      </c>
      <c r="DL84" s="463">
        <f t="shared" si="326"/>
        <v>0</v>
      </c>
      <c r="DM84" s="463">
        <f t="shared" si="327"/>
        <v>0</v>
      </c>
      <c r="DN84" s="463">
        <f t="shared" si="328"/>
        <v>0</v>
      </c>
      <c r="DO84" s="463">
        <f t="shared" si="329"/>
        <v>0</v>
      </c>
      <c r="DP84" s="463">
        <f t="shared" si="330"/>
        <v>0</v>
      </c>
      <c r="DQ84" s="464"/>
    </row>
    <row r="85" spans="1:121" ht="13" x14ac:dyDescent="0.25">
      <c r="A85" s="432" t="s">
        <v>2064</v>
      </c>
      <c r="B85" s="257"/>
      <c r="C85" s="101" t="str">
        <f>'Planilha Hidráulica'!B91</f>
        <v>PV7.1-&gt;PV8.1</v>
      </c>
      <c r="D85" s="258">
        <f>'Planilha Hidráulica'!R91</f>
        <v>3</v>
      </c>
      <c r="E85" s="258">
        <f>'Planilha Hidráulica'!S91</f>
        <v>3.87</v>
      </c>
      <c r="F85" s="258">
        <f>'Planilha Hidráulica'!K91</f>
        <v>30</v>
      </c>
      <c r="G85" s="101">
        <f>'Planilha Hidráulica'!M91</f>
        <v>600</v>
      </c>
      <c r="H85" s="449">
        <f t="shared" si="233"/>
        <v>3.6550000000000002</v>
      </c>
      <c r="I85" s="102">
        <f t="shared" si="234"/>
        <v>5.4824999999999999</v>
      </c>
      <c r="J85" s="450">
        <v>0</v>
      </c>
      <c r="K85" s="451">
        <f t="shared" si="235"/>
        <v>1.4</v>
      </c>
      <c r="L85" s="451">
        <f t="shared" si="236"/>
        <v>1.4</v>
      </c>
      <c r="M85" s="451">
        <f>'Planilha Hidráulica'!X91</f>
        <v>500</v>
      </c>
      <c r="N85" s="451">
        <f t="shared" si="237"/>
        <v>42</v>
      </c>
      <c r="O85" s="452" t="str">
        <f>'Planilha Hidráulica'!W91</f>
        <v>ASFALTO</v>
      </c>
      <c r="P85" s="452" t="s">
        <v>2067</v>
      </c>
      <c r="Q85" s="452"/>
      <c r="R85" s="452">
        <v>3.7</v>
      </c>
      <c r="S85" s="452">
        <v>5</v>
      </c>
      <c r="T85" s="451">
        <f t="shared" si="238"/>
        <v>0.1</v>
      </c>
      <c r="U85" s="453">
        <f t="shared" si="239"/>
        <v>5.8904862254808616</v>
      </c>
      <c r="V85" s="106">
        <f t="shared" si="240"/>
        <v>147.61951377451913</v>
      </c>
      <c r="W85" s="107">
        <f t="shared" si="241"/>
        <v>0</v>
      </c>
      <c r="X85" s="107">
        <f t="shared" si="242"/>
        <v>0</v>
      </c>
      <c r="Y85" s="454">
        <f t="shared" si="243"/>
        <v>3.6550000000000002</v>
      </c>
      <c r="Z85" s="454">
        <f t="shared" si="244"/>
        <v>0</v>
      </c>
      <c r="AA85" s="455">
        <f t="shared" si="245"/>
        <v>42</v>
      </c>
      <c r="AB85" s="117">
        <f t="shared" si="246"/>
        <v>0</v>
      </c>
      <c r="AC85" s="109">
        <f t="shared" si="247"/>
        <v>0</v>
      </c>
      <c r="AD85" s="109">
        <f t="shared" si="248"/>
        <v>0</v>
      </c>
      <c r="AE85" s="109">
        <f t="shared" si="249"/>
        <v>0</v>
      </c>
      <c r="AF85" s="109">
        <f t="shared" si="250"/>
        <v>0</v>
      </c>
      <c r="AG85" s="109">
        <f t="shared" si="251"/>
        <v>0</v>
      </c>
      <c r="AH85" s="109">
        <f t="shared" si="252"/>
        <v>0</v>
      </c>
      <c r="AI85" s="109">
        <f t="shared" si="253"/>
        <v>0</v>
      </c>
      <c r="AJ85" s="456">
        <f t="shared" si="254"/>
        <v>63</v>
      </c>
      <c r="AK85" s="456">
        <f t="shared" si="255"/>
        <v>63</v>
      </c>
      <c r="AL85" s="456">
        <f t="shared" si="256"/>
        <v>0</v>
      </c>
      <c r="AM85" s="456">
        <f t="shared" si="257"/>
        <v>0</v>
      </c>
      <c r="AN85" s="456">
        <f>IF(IF(K85&lt;=2.5,IF(Y85&gt;=4.5,L85*F85*1.5,K85*F85*(Y85-3)),0)&lt;0,0,IF(K85&lt;=2.5,IF(Y85&gt;=4.5,L85*F85*1.5,K85*F85*(Y85-3)),0))+IF(R85&lt;H85,0,IF(AND(Y85&lt;=4.5,Y85&gt;3,K85&gt;1.5,K85&lt;=2.5),-U85,0))-5.89</f>
        <v>21.620000000000012</v>
      </c>
      <c r="AO85" s="456">
        <f t="shared" si="258"/>
        <v>0</v>
      </c>
      <c r="AP85" s="456">
        <f t="shared" si="259"/>
        <v>0</v>
      </c>
      <c r="AQ85" s="456">
        <f t="shared" si="260"/>
        <v>0</v>
      </c>
      <c r="AR85" s="104">
        <f t="shared" si="261"/>
        <v>0</v>
      </c>
      <c r="AS85" s="451">
        <f t="shared" si="262"/>
        <v>0</v>
      </c>
      <c r="AT85" s="104">
        <f t="shared" si="263"/>
        <v>145.02769983530757</v>
      </c>
      <c r="AU85" s="102">
        <f t="shared" si="264"/>
        <v>4.2</v>
      </c>
      <c r="AV85" s="106">
        <f t="shared" si="265"/>
        <v>0</v>
      </c>
      <c r="AW85" s="104">
        <f t="shared" si="266"/>
        <v>0</v>
      </c>
      <c r="AX85" s="104">
        <f t="shared" si="267"/>
        <v>0</v>
      </c>
      <c r="AY85" s="104">
        <f t="shared" si="268"/>
        <v>0.89999999999999991</v>
      </c>
      <c r="AZ85" s="104">
        <f t="shared" si="269"/>
        <v>29.317699835307558</v>
      </c>
      <c r="BA85" s="104">
        <f t="shared" si="270"/>
        <v>0</v>
      </c>
      <c r="BB85" s="104">
        <f t="shared" si="271"/>
        <v>6.3</v>
      </c>
      <c r="BC85" s="104">
        <f t="shared" si="272"/>
        <v>6.3</v>
      </c>
      <c r="BD85" s="104">
        <f t="shared" si="273"/>
        <v>1.2599999999999998</v>
      </c>
      <c r="BE85" s="104">
        <f t="shared" si="274"/>
        <v>98.91</v>
      </c>
      <c r="BF85" s="104">
        <f t="shared" si="275"/>
        <v>112.00230016469243</v>
      </c>
      <c r="BG85" s="104">
        <f t="shared" si="276"/>
        <v>98.91</v>
      </c>
      <c r="BH85" s="104">
        <f t="shared" si="277"/>
        <v>13.092300164692432</v>
      </c>
      <c r="BI85" s="104">
        <f t="shared" si="278"/>
        <v>0</v>
      </c>
      <c r="BJ85" s="104">
        <f t="shared" si="227"/>
        <v>0</v>
      </c>
      <c r="BK85" s="104">
        <f t="shared" si="279"/>
        <v>0</v>
      </c>
      <c r="BL85" s="125"/>
      <c r="BM85" s="104">
        <f t="shared" si="280"/>
        <v>0.252</v>
      </c>
      <c r="BN85" s="455">
        <f t="shared" si="281"/>
        <v>0</v>
      </c>
      <c r="BO85" s="457">
        <f t="shared" si="282"/>
        <v>0</v>
      </c>
      <c r="BP85" s="457">
        <f t="shared" si="283"/>
        <v>0</v>
      </c>
      <c r="BQ85" s="457">
        <f t="shared" si="284"/>
        <v>0</v>
      </c>
      <c r="BR85" s="451">
        <f t="shared" si="285"/>
        <v>0</v>
      </c>
      <c r="BS85" s="451">
        <f t="shared" si="286"/>
        <v>0</v>
      </c>
      <c r="BT85" s="451">
        <f t="shared" si="287"/>
        <v>3.6550000000000002</v>
      </c>
      <c r="BU85" s="451">
        <f t="shared" si="288"/>
        <v>0</v>
      </c>
      <c r="BV85" s="451">
        <f t="shared" si="289"/>
        <v>30</v>
      </c>
      <c r="BW85" s="451">
        <f t="shared" si="290"/>
        <v>0</v>
      </c>
      <c r="BX85" s="451">
        <f t="shared" si="291"/>
        <v>0</v>
      </c>
      <c r="BY85" s="451">
        <f t="shared" si="292"/>
        <v>0</v>
      </c>
      <c r="BZ85" s="451">
        <f t="shared" si="293"/>
        <v>0</v>
      </c>
      <c r="CA85" s="451">
        <f t="shared" si="294"/>
        <v>0</v>
      </c>
      <c r="CB85" s="451">
        <f t="shared" si="295"/>
        <v>0</v>
      </c>
      <c r="CC85" s="451">
        <f t="shared" si="296"/>
        <v>0</v>
      </c>
      <c r="CD85" s="451">
        <f t="shared" si="297"/>
        <v>0</v>
      </c>
      <c r="CE85" s="451">
        <f t="shared" si="298"/>
        <v>0</v>
      </c>
      <c r="CF85" s="451">
        <f t="shared" si="299"/>
        <v>0</v>
      </c>
      <c r="CG85" s="451">
        <f t="shared" si="300"/>
        <v>0</v>
      </c>
      <c r="CH85" s="451">
        <f t="shared" si="301"/>
        <v>0</v>
      </c>
      <c r="CI85" s="451">
        <f t="shared" si="302"/>
        <v>0</v>
      </c>
      <c r="CJ85" s="458">
        <f t="shared" si="303"/>
        <v>0</v>
      </c>
      <c r="CK85" s="451">
        <f t="shared" si="304"/>
        <v>0</v>
      </c>
      <c r="CL85" s="451">
        <f t="shared" si="305"/>
        <v>0</v>
      </c>
      <c r="CM85" s="451">
        <f t="shared" si="306"/>
        <v>0</v>
      </c>
      <c r="CN85" s="454">
        <f t="shared" si="307"/>
        <v>0</v>
      </c>
      <c r="CO85" s="454">
        <f t="shared" si="308"/>
        <v>0</v>
      </c>
      <c r="CP85" s="454">
        <f t="shared" si="309"/>
        <v>0</v>
      </c>
      <c r="CQ85" s="454">
        <f t="shared" si="310"/>
        <v>0</v>
      </c>
      <c r="CR85" s="454">
        <f t="shared" si="311"/>
        <v>0</v>
      </c>
      <c r="CS85" s="454">
        <f t="shared" si="312"/>
        <v>0</v>
      </c>
      <c r="CT85" s="459">
        <f t="shared" si="313"/>
        <v>0</v>
      </c>
      <c r="CU85" s="460">
        <f t="shared" si="314"/>
        <v>1</v>
      </c>
      <c r="CV85" s="460">
        <f t="shared" si="315"/>
        <v>1</v>
      </c>
      <c r="CW85" s="460">
        <f t="shared" si="316"/>
        <v>0</v>
      </c>
      <c r="CX85" s="460">
        <f t="shared" si="317"/>
        <v>0</v>
      </c>
      <c r="CY85" s="460">
        <f t="shared" si="318"/>
        <v>0</v>
      </c>
      <c r="CZ85" s="460">
        <f t="shared" si="319"/>
        <v>0</v>
      </c>
      <c r="DA85" s="461">
        <f t="shared" si="320"/>
        <v>1.7</v>
      </c>
      <c r="DB85" s="118">
        <v>1.3</v>
      </c>
      <c r="DC85" s="118">
        <v>1.4</v>
      </c>
      <c r="DD85" s="118">
        <v>2</v>
      </c>
      <c r="DE85" s="118">
        <v>2</v>
      </c>
      <c r="DF85" s="462">
        <v>2</v>
      </c>
      <c r="DG85" s="455">
        <f t="shared" si="321"/>
        <v>90</v>
      </c>
      <c r="DH85" s="463">
        <f t="shared" si="322"/>
        <v>90</v>
      </c>
      <c r="DI85" s="463">
        <f t="shared" si="323"/>
        <v>39.300000000000011</v>
      </c>
      <c r="DJ85" s="463">
        <f t="shared" si="324"/>
        <v>0</v>
      </c>
      <c r="DK85" s="463">
        <f t="shared" si="325"/>
        <v>0</v>
      </c>
      <c r="DL85" s="463">
        <f t="shared" si="326"/>
        <v>0</v>
      </c>
      <c r="DM85" s="463">
        <f t="shared" si="327"/>
        <v>0</v>
      </c>
      <c r="DN85" s="463">
        <f t="shared" si="328"/>
        <v>0</v>
      </c>
      <c r="DO85" s="463">
        <f t="shared" si="329"/>
        <v>0</v>
      </c>
      <c r="DP85" s="463">
        <f t="shared" si="330"/>
        <v>0</v>
      </c>
      <c r="DQ85" s="464"/>
    </row>
    <row r="86" spans="1:121" ht="13" x14ac:dyDescent="0.25">
      <c r="A86" s="432" t="s">
        <v>2064</v>
      </c>
      <c r="B86" s="257"/>
      <c r="C86" s="101" t="str">
        <f>'Planilha Hidráulica'!B92</f>
        <v>PV8.1-&gt;PV9.1</v>
      </c>
      <c r="D86" s="258">
        <f>'Planilha Hidráulica'!R92</f>
        <v>3.87</v>
      </c>
      <c r="E86" s="258">
        <f>'Planilha Hidráulica'!S92</f>
        <v>3</v>
      </c>
      <c r="F86" s="258">
        <f>'Planilha Hidráulica'!K92</f>
        <v>30</v>
      </c>
      <c r="G86" s="101">
        <f>'Planilha Hidráulica'!M92</f>
        <v>600</v>
      </c>
      <c r="H86" s="449">
        <f t="shared" si="233"/>
        <v>3.6550000000000002</v>
      </c>
      <c r="I86" s="102">
        <f t="shared" si="234"/>
        <v>5.4824999999999999</v>
      </c>
      <c r="J86" s="450">
        <v>0</v>
      </c>
      <c r="K86" s="451">
        <f t="shared" si="235"/>
        <v>1.4</v>
      </c>
      <c r="L86" s="451">
        <f t="shared" si="236"/>
        <v>1.4</v>
      </c>
      <c r="M86" s="451">
        <f>'Planilha Hidráulica'!X92</f>
        <v>500</v>
      </c>
      <c r="N86" s="451">
        <f t="shared" si="237"/>
        <v>42</v>
      </c>
      <c r="O86" s="452" t="str">
        <f>'Planilha Hidráulica'!W92</f>
        <v>ASFALTO</v>
      </c>
      <c r="P86" s="452" t="s">
        <v>2067</v>
      </c>
      <c r="Q86" s="452"/>
      <c r="R86" s="452">
        <v>3.7</v>
      </c>
      <c r="S86" s="452">
        <v>5</v>
      </c>
      <c r="T86" s="451">
        <f t="shared" si="238"/>
        <v>0.1</v>
      </c>
      <c r="U86" s="453">
        <f t="shared" si="239"/>
        <v>5.8904862254808616</v>
      </c>
      <c r="V86" s="106">
        <f t="shared" si="240"/>
        <v>147.61951377451913</v>
      </c>
      <c r="W86" s="107">
        <f t="shared" si="241"/>
        <v>0</v>
      </c>
      <c r="X86" s="107">
        <f t="shared" si="242"/>
        <v>0</v>
      </c>
      <c r="Y86" s="454">
        <f t="shared" si="243"/>
        <v>3.6550000000000002</v>
      </c>
      <c r="Z86" s="454">
        <f t="shared" si="244"/>
        <v>0</v>
      </c>
      <c r="AA86" s="455">
        <f t="shared" si="245"/>
        <v>42</v>
      </c>
      <c r="AB86" s="117">
        <f t="shared" si="246"/>
        <v>0</v>
      </c>
      <c r="AC86" s="109">
        <f t="shared" si="247"/>
        <v>0</v>
      </c>
      <c r="AD86" s="109">
        <f t="shared" si="248"/>
        <v>0</v>
      </c>
      <c r="AE86" s="109">
        <f t="shared" si="249"/>
        <v>0</v>
      </c>
      <c r="AF86" s="109">
        <f t="shared" si="250"/>
        <v>0</v>
      </c>
      <c r="AG86" s="109">
        <f t="shared" si="251"/>
        <v>0</v>
      </c>
      <c r="AH86" s="109">
        <f t="shared" si="252"/>
        <v>0</v>
      </c>
      <c r="AI86" s="109">
        <f t="shared" si="253"/>
        <v>0</v>
      </c>
      <c r="AJ86" s="456">
        <f t="shared" si="254"/>
        <v>63</v>
      </c>
      <c r="AK86" s="456">
        <f t="shared" si="255"/>
        <v>63</v>
      </c>
      <c r="AL86" s="456">
        <f t="shared" si="256"/>
        <v>0</v>
      </c>
      <c r="AM86" s="456">
        <f t="shared" si="257"/>
        <v>0</v>
      </c>
      <c r="AN86" s="456">
        <f>IF(IF(K86&lt;=2.5,IF(Y86&gt;=4.5,L86*F86*1.5,K86*F86*(Y86-3)),0)&lt;0,0,IF(K86&lt;=2.5,IF(Y86&gt;=4.5,L86*F86*1.5,K86*F86*(Y86-3)),0))+IF(R86&lt;H86,0,IF(AND(Y86&lt;=4.5,Y86&gt;3,K86&gt;1.5,K86&lt;=2.5),-U86,0))-5.89</f>
        <v>21.620000000000012</v>
      </c>
      <c r="AO86" s="456">
        <f t="shared" si="258"/>
        <v>0</v>
      </c>
      <c r="AP86" s="456">
        <f t="shared" si="259"/>
        <v>0</v>
      </c>
      <c r="AQ86" s="456">
        <f t="shared" si="260"/>
        <v>0</v>
      </c>
      <c r="AR86" s="104">
        <f t="shared" si="261"/>
        <v>0</v>
      </c>
      <c r="AS86" s="451">
        <f t="shared" si="262"/>
        <v>0</v>
      </c>
      <c r="AT86" s="104">
        <f t="shared" si="263"/>
        <v>145.02769983530757</v>
      </c>
      <c r="AU86" s="102">
        <f t="shared" si="264"/>
        <v>4.2</v>
      </c>
      <c r="AV86" s="106">
        <f t="shared" si="265"/>
        <v>0</v>
      </c>
      <c r="AW86" s="104">
        <f t="shared" si="266"/>
        <v>0</v>
      </c>
      <c r="AX86" s="104">
        <f t="shared" si="267"/>
        <v>0</v>
      </c>
      <c r="AY86" s="104">
        <f t="shared" si="268"/>
        <v>0.89999999999999991</v>
      </c>
      <c r="AZ86" s="104">
        <f t="shared" si="269"/>
        <v>29.317699835307558</v>
      </c>
      <c r="BA86" s="104">
        <f t="shared" si="270"/>
        <v>0</v>
      </c>
      <c r="BB86" s="104">
        <f t="shared" si="271"/>
        <v>6.3</v>
      </c>
      <c r="BC86" s="104">
        <f t="shared" si="272"/>
        <v>6.3</v>
      </c>
      <c r="BD86" s="104">
        <f t="shared" si="273"/>
        <v>1.2599999999999998</v>
      </c>
      <c r="BE86" s="104">
        <f t="shared" si="274"/>
        <v>98.91</v>
      </c>
      <c r="BF86" s="104">
        <f t="shared" si="275"/>
        <v>112.00230016469243</v>
      </c>
      <c r="BG86" s="104">
        <f t="shared" si="276"/>
        <v>98.91</v>
      </c>
      <c r="BH86" s="104">
        <f t="shared" si="277"/>
        <v>13.092300164692432</v>
      </c>
      <c r="BI86" s="104">
        <f t="shared" si="278"/>
        <v>0</v>
      </c>
      <c r="BJ86" s="104">
        <f t="shared" si="227"/>
        <v>0</v>
      </c>
      <c r="BK86" s="104">
        <f t="shared" si="279"/>
        <v>0</v>
      </c>
      <c r="BL86" s="125"/>
      <c r="BM86" s="104">
        <f t="shared" si="280"/>
        <v>0.252</v>
      </c>
      <c r="BN86" s="455">
        <f t="shared" si="281"/>
        <v>0</v>
      </c>
      <c r="BO86" s="457">
        <f t="shared" si="282"/>
        <v>0</v>
      </c>
      <c r="BP86" s="457">
        <f t="shared" si="283"/>
        <v>0</v>
      </c>
      <c r="BQ86" s="457">
        <f t="shared" si="284"/>
        <v>0</v>
      </c>
      <c r="BR86" s="451">
        <f t="shared" si="285"/>
        <v>0</v>
      </c>
      <c r="BS86" s="451">
        <f t="shared" si="286"/>
        <v>0</v>
      </c>
      <c r="BT86" s="451">
        <f t="shared" si="287"/>
        <v>3.6550000000000002</v>
      </c>
      <c r="BU86" s="451">
        <f t="shared" si="288"/>
        <v>0</v>
      </c>
      <c r="BV86" s="451">
        <f t="shared" si="289"/>
        <v>30</v>
      </c>
      <c r="BW86" s="451">
        <f t="shared" si="290"/>
        <v>0</v>
      </c>
      <c r="BX86" s="451">
        <f t="shared" si="291"/>
        <v>0</v>
      </c>
      <c r="BY86" s="451">
        <f t="shared" si="292"/>
        <v>0</v>
      </c>
      <c r="BZ86" s="451">
        <f t="shared" si="293"/>
        <v>0</v>
      </c>
      <c r="CA86" s="451">
        <f t="shared" si="294"/>
        <v>0</v>
      </c>
      <c r="CB86" s="451">
        <f t="shared" si="295"/>
        <v>0</v>
      </c>
      <c r="CC86" s="451">
        <f t="shared" si="296"/>
        <v>0</v>
      </c>
      <c r="CD86" s="451">
        <f t="shared" si="297"/>
        <v>0</v>
      </c>
      <c r="CE86" s="451">
        <f t="shared" si="298"/>
        <v>0</v>
      </c>
      <c r="CF86" s="451">
        <f t="shared" si="299"/>
        <v>0</v>
      </c>
      <c r="CG86" s="451">
        <f t="shared" si="300"/>
        <v>0</v>
      </c>
      <c r="CH86" s="451">
        <f t="shared" si="301"/>
        <v>0</v>
      </c>
      <c r="CI86" s="451">
        <f t="shared" si="302"/>
        <v>0</v>
      </c>
      <c r="CJ86" s="458">
        <f t="shared" si="303"/>
        <v>0</v>
      </c>
      <c r="CK86" s="451">
        <f t="shared" si="304"/>
        <v>0</v>
      </c>
      <c r="CL86" s="451">
        <f t="shared" si="305"/>
        <v>0</v>
      </c>
      <c r="CM86" s="451">
        <f t="shared" si="306"/>
        <v>0</v>
      </c>
      <c r="CN86" s="454">
        <f t="shared" si="307"/>
        <v>0</v>
      </c>
      <c r="CO86" s="454">
        <f t="shared" si="308"/>
        <v>0</v>
      </c>
      <c r="CP86" s="454">
        <f t="shared" si="309"/>
        <v>0</v>
      </c>
      <c r="CQ86" s="454">
        <f t="shared" si="310"/>
        <v>0</v>
      </c>
      <c r="CR86" s="454">
        <f t="shared" si="311"/>
        <v>0</v>
      </c>
      <c r="CS86" s="454">
        <f t="shared" si="312"/>
        <v>0</v>
      </c>
      <c r="CT86" s="459">
        <f t="shared" si="313"/>
        <v>0</v>
      </c>
      <c r="CU86" s="460">
        <f t="shared" si="314"/>
        <v>1</v>
      </c>
      <c r="CV86" s="460">
        <f t="shared" si="315"/>
        <v>1</v>
      </c>
      <c r="CW86" s="460">
        <f t="shared" si="316"/>
        <v>0</v>
      </c>
      <c r="CX86" s="460">
        <f t="shared" si="317"/>
        <v>0</v>
      </c>
      <c r="CY86" s="460">
        <f t="shared" si="318"/>
        <v>0</v>
      </c>
      <c r="CZ86" s="460">
        <f t="shared" si="319"/>
        <v>0</v>
      </c>
      <c r="DA86" s="461">
        <f t="shared" si="320"/>
        <v>2.5700000000000003</v>
      </c>
      <c r="DB86" s="118">
        <v>1.3</v>
      </c>
      <c r="DC86" s="118">
        <v>1.4</v>
      </c>
      <c r="DD86" s="118">
        <v>2</v>
      </c>
      <c r="DE86" s="118">
        <v>2</v>
      </c>
      <c r="DF86" s="462">
        <v>2</v>
      </c>
      <c r="DG86" s="455">
        <f t="shared" si="321"/>
        <v>90</v>
      </c>
      <c r="DH86" s="463">
        <f t="shared" si="322"/>
        <v>90</v>
      </c>
      <c r="DI86" s="463">
        <f t="shared" si="323"/>
        <v>39.300000000000011</v>
      </c>
      <c r="DJ86" s="463">
        <f t="shared" si="324"/>
        <v>0</v>
      </c>
      <c r="DK86" s="463">
        <f t="shared" si="325"/>
        <v>0</v>
      </c>
      <c r="DL86" s="463">
        <f t="shared" si="326"/>
        <v>0</v>
      </c>
      <c r="DM86" s="463">
        <f t="shared" si="327"/>
        <v>0</v>
      </c>
      <c r="DN86" s="463">
        <f t="shared" si="328"/>
        <v>0</v>
      </c>
      <c r="DO86" s="463">
        <f t="shared" si="329"/>
        <v>0</v>
      </c>
      <c r="DP86" s="463">
        <f t="shared" si="330"/>
        <v>0</v>
      </c>
      <c r="DQ86" s="464"/>
    </row>
    <row r="87" spans="1:121" ht="13" x14ac:dyDescent="0.25">
      <c r="A87" s="432" t="s">
        <v>2064</v>
      </c>
      <c r="B87" s="257"/>
      <c r="C87" s="101" t="str">
        <f>'Planilha Hidráulica'!B93</f>
        <v>PV9.1-&gt;PV10.1</v>
      </c>
      <c r="D87" s="258">
        <f>'Planilha Hidráulica'!R93</f>
        <v>3</v>
      </c>
      <c r="E87" s="258">
        <f>'Planilha Hidráulica'!S93</f>
        <v>3</v>
      </c>
      <c r="F87" s="258">
        <f>'Planilha Hidráulica'!K93</f>
        <v>50</v>
      </c>
      <c r="G87" s="101">
        <f>'Planilha Hidráulica'!M93</f>
        <v>600</v>
      </c>
      <c r="H87" s="449">
        <f t="shared" si="233"/>
        <v>3.22</v>
      </c>
      <c r="I87" s="102">
        <f t="shared" si="234"/>
        <v>8.0500000000000007</v>
      </c>
      <c r="J87" s="450">
        <v>0</v>
      </c>
      <c r="K87" s="451">
        <f t="shared" si="235"/>
        <v>1.4</v>
      </c>
      <c r="L87" s="451">
        <f t="shared" si="236"/>
        <v>1.4</v>
      </c>
      <c r="M87" s="451">
        <f>'Planilha Hidráulica'!X93</f>
        <v>500</v>
      </c>
      <c r="N87" s="451">
        <f t="shared" si="237"/>
        <v>70</v>
      </c>
      <c r="O87" s="452" t="str">
        <f>'Planilha Hidráulica'!W93</f>
        <v>ASFALTO</v>
      </c>
      <c r="P87" s="452" t="s">
        <v>2067</v>
      </c>
      <c r="Q87" s="452"/>
      <c r="R87" s="452">
        <v>3.7</v>
      </c>
      <c r="S87" s="452">
        <v>5</v>
      </c>
      <c r="T87" s="451">
        <f t="shared" si="238"/>
        <v>0.1</v>
      </c>
      <c r="U87" s="453">
        <f t="shared" si="239"/>
        <v>9.8174770424681039</v>
      </c>
      <c r="V87" s="106">
        <f t="shared" si="240"/>
        <v>215.58252295753189</v>
      </c>
      <c r="W87" s="107">
        <f t="shared" si="241"/>
        <v>0</v>
      </c>
      <c r="X87" s="107">
        <f t="shared" si="242"/>
        <v>0</v>
      </c>
      <c r="Y87" s="454">
        <f t="shared" si="243"/>
        <v>3.22</v>
      </c>
      <c r="Z87" s="454">
        <f t="shared" si="244"/>
        <v>0</v>
      </c>
      <c r="AA87" s="455">
        <f t="shared" si="245"/>
        <v>70</v>
      </c>
      <c r="AB87" s="117">
        <f t="shared" si="246"/>
        <v>0</v>
      </c>
      <c r="AC87" s="109">
        <f t="shared" si="247"/>
        <v>0</v>
      </c>
      <c r="AD87" s="109">
        <f t="shared" si="248"/>
        <v>0</v>
      </c>
      <c r="AE87" s="109">
        <f t="shared" si="249"/>
        <v>0</v>
      </c>
      <c r="AF87" s="109">
        <f t="shared" si="250"/>
        <v>0</v>
      </c>
      <c r="AG87" s="109">
        <f t="shared" si="251"/>
        <v>0</v>
      </c>
      <c r="AH87" s="109">
        <f t="shared" si="252"/>
        <v>0</v>
      </c>
      <c r="AI87" s="109">
        <f t="shared" si="253"/>
        <v>0</v>
      </c>
      <c r="AJ87" s="456">
        <f t="shared" si="254"/>
        <v>105</v>
      </c>
      <c r="AK87" s="456">
        <f t="shared" si="255"/>
        <v>105</v>
      </c>
      <c r="AL87" s="456">
        <f t="shared" si="256"/>
        <v>0</v>
      </c>
      <c r="AM87" s="456">
        <f t="shared" si="257"/>
        <v>0</v>
      </c>
      <c r="AN87" s="456">
        <f>IF(IF(K87&lt;=2.5,IF(Y87&gt;=4.5,L87*F87*1.5,K87*F87*(Y87-3)),0)&lt;0,0,IF(K87&lt;=2.5,IF(Y87&gt;=4.5,L87*F87*1.5,K87*F87*(Y87-3)),0))+IF(R87&lt;H87,0,IF(AND(Y87&lt;=4.5,Y87&gt;3,K87&gt;1.5,K87&lt;=2.5),-U87,0))-9.82</f>
        <v>5.5800000000000125</v>
      </c>
      <c r="AO87" s="456">
        <f t="shared" si="258"/>
        <v>0</v>
      </c>
      <c r="AP87" s="456">
        <f t="shared" si="259"/>
        <v>0</v>
      </c>
      <c r="AQ87" s="456">
        <f t="shared" si="260"/>
        <v>0</v>
      </c>
      <c r="AR87" s="104">
        <f t="shared" si="261"/>
        <v>0</v>
      </c>
      <c r="AS87" s="451">
        <f t="shared" si="262"/>
        <v>0</v>
      </c>
      <c r="AT87" s="104">
        <f t="shared" si="263"/>
        <v>211.26283305884593</v>
      </c>
      <c r="AU87" s="102">
        <f t="shared" si="264"/>
        <v>7</v>
      </c>
      <c r="AV87" s="106">
        <f t="shared" si="265"/>
        <v>0</v>
      </c>
      <c r="AW87" s="104">
        <f t="shared" si="266"/>
        <v>0</v>
      </c>
      <c r="AX87" s="104">
        <f t="shared" si="267"/>
        <v>0</v>
      </c>
      <c r="AY87" s="104">
        <f t="shared" si="268"/>
        <v>0.89999999999999991</v>
      </c>
      <c r="AZ87" s="104">
        <f t="shared" si="269"/>
        <v>48.862833058845915</v>
      </c>
      <c r="BA87" s="104">
        <f t="shared" si="270"/>
        <v>0</v>
      </c>
      <c r="BB87" s="104">
        <f t="shared" si="271"/>
        <v>10.5</v>
      </c>
      <c r="BC87" s="104">
        <f t="shared" si="272"/>
        <v>10.5</v>
      </c>
      <c r="BD87" s="104">
        <f t="shared" si="273"/>
        <v>2.0999999999999996</v>
      </c>
      <c r="BE87" s="104">
        <f t="shared" si="274"/>
        <v>134.4</v>
      </c>
      <c r="BF87" s="104">
        <f t="shared" si="275"/>
        <v>156.21716694115409</v>
      </c>
      <c r="BG87" s="104">
        <f t="shared" si="276"/>
        <v>134.4</v>
      </c>
      <c r="BH87" s="104">
        <f t="shared" si="277"/>
        <v>21.817166941154085</v>
      </c>
      <c r="BI87" s="104">
        <f t="shared" si="278"/>
        <v>0</v>
      </c>
      <c r="BJ87" s="104">
        <f t="shared" si="227"/>
        <v>0</v>
      </c>
      <c r="BK87" s="104">
        <f t="shared" si="279"/>
        <v>0</v>
      </c>
      <c r="BL87" s="125"/>
      <c r="BM87" s="104">
        <f t="shared" si="280"/>
        <v>0.42</v>
      </c>
      <c r="BN87" s="455">
        <f t="shared" si="281"/>
        <v>0</v>
      </c>
      <c r="BO87" s="457">
        <f t="shared" si="282"/>
        <v>0</v>
      </c>
      <c r="BP87" s="457">
        <f t="shared" si="283"/>
        <v>0</v>
      </c>
      <c r="BQ87" s="457">
        <f t="shared" si="284"/>
        <v>0</v>
      </c>
      <c r="BR87" s="451">
        <f t="shared" si="285"/>
        <v>0</v>
      </c>
      <c r="BS87" s="451">
        <f t="shared" si="286"/>
        <v>0</v>
      </c>
      <c r="BT87" s="451">
        <f t="shared" si="287"/>
        <v>3.22</v>
      </c>
      <c r="BU87" s="451">
        <f t="shared" si="288"/>
        <v>0</v>
      </c>
      <c r="BV87" s="451">
        <f t="shared" si="289"/>
        <v>50</v>
      </c>
      <c r="BW87" s="451">
        <f t="shared" si="290"/>
        <v>0</v>
      </c>
      <c r="BX87" s="451">
        <f t="shared" si="291"/>
        <v>0</v>
      </c>
      <c r="BY87" s="451">
        <f t="shared" si="292"/>
        <v>0</v>
      </c>
      <c r="BZ87" s="451">
        <f t="shared" si="293"/>
        <v>0</v>
      </c>
      <c r="CA87" s="451">
        <f t="shared" si="294"/>
        <v>0</v>
      </c>
      <c r="CB87" s="451">
        <f t="shared" si="295"/>
        <v>0</v>
      </c>
      <c r="CC87" s="451">
        <f t="shared" si="296"/>
        <v>0</v>
      </c>
      <c r="CD87" s="451">
        <f t="shared" si="297"/>
        <v>0</v>
      </c>
      <c r="CE87" s="451">
        <f t="shared" si="298"/>
        <v>0</v>
      </c>
      <c r="CF87" s="451">
        <f t="shared" si="299"/>
        <v>0</v>
      </c>
      <c r="CG87" s="451">
        <f t="shared" si="300"/>
        <v>0</v>
      </c>
      <c r="CH87" s="451">
        <f t="shared" si="301"/>
        <v>0</v>
      </c>
      <c r="CI87" s="451">
        <f t="shared" si="302"/>
        <v>0</v>
      </c>
      <c r="CJ87" s="458">
        <f t="shared" si="303"/>
        <v>0</v>
      </c>
      <c r="CK87" s="451">
        <f t="shared" si="304"/>
        <v>0</v>
      </c>
      <c r="CL87" s="451">
        <f t="shared" si="305"/>
        <v>0</v>
      </c>
      <c r="CM87" s="451">
        <f t="shared" si="306"/>
        <v>0</v>
      </c>
      <c r="CN87" s="454">
        <f t="shared" si="307"/>
        <v>0</v>
      </c>
      <c r="CO87" s="454">
        <f t="shared" si="308"/>
        <v>0</v>
      </c>
      <c r="CP87" s="454">
        <f t="shared" si="309"/>
        <v>0</v>
      </c>
      <c r="CQ87" s="454">
        <f t="shared" si="310"/>
        <v>0</v>
      </c>
      <c r="CR87" s="454">
        <f t="shared" si="311"/>
        <v>0</v>
      </c>
      <c r="CS87" s="454">
        <f t="shared" si="312"/>
        <v>0</v>
      </c>
      <c r="CT87" s="459">
        <f t="shared" si="313"/>
        <v>0</v>
      </c>
      <c r="CU87" s="460">
        <f t="shared" si="314"/>
        <v>1</v>
      </c>
      <c r="CV87" s="460">
        <f t="shared" si="315"/>
        <v>1</v>
      </c>
      <c r="CW87" s="460">
        <f t="shared" si="316"/>
        <v>0</v>
      </c>
      <c r="CX87" s="460">
        <f t="shared" si="317"/>
        <v>0</v>
      </c>
      <c r="CY87" s="460">
        <f t="shared" si="318"/>
        <v>0</v>
      </c>
      <c r="CZ87" s="460">
        <f t="shared" si="319"/>
        <v>0</v>
      </c>
      <c r="DA87" s="461">
        <f t="shared" si="320"/>
        <v>1.7</v>
      </c>
      <c r="DB87" s="118">
        <v>1.3</v>
      </c>
      <c r="DC87" s="118">
        <v>1.4</v>
      </c>
      <c r="DD87" s="118">
        <v>2</v>
      </c>
      <c r="DE87" s="118">
        <v>2</v>
      </c>
      <c r="DF87" s="462">
        <v>2</v>
      </c>
      <c r="DG87" s="455">
        <f t="shared" si="321"/>
        <v>150</v>
      </c>
      <c r="DH87" s="463">
        <f t="shared" si="322"/>
        <v>150</v>
      </c>
      <c r="DI87" s="463">
        <f t="shared" si="323"/>
        <v>22.000000000000021</v>
      </c>
      <c r="DJ87" s="463">
        <f t="shared" si="324"/>
        <v>0</v>
      </c>
      <c r="DK87" s="463">
        <f t="shared" si="325"/>
        <v>0</v>
      </c>
      <c r="DL87" s="463">
        <f t="shared" si="326"/>
        <v>0</v>
      </c>
      <c r="DM87" s="463">
        <f t="shared" si="327"/>
        <v>0</v>
      </c>
      <c r="DN87" s="463">
        <f t="shared" si="328"/>
        <v>0</v>
      </c>
      <c r="DO87" s="463">
        <f t="shared" si="329"/>
        <v>0</v>
      </c>
      <c r="DP87" s="463">
        <f t="shared" si="330"/>
        <v>0</v>
      </c>
      <c r="DQ87" s="464"/>
    </row>
    <row r="88" spans="1:121" ht="13" x14ac:dyDescent="0.25">
      <c r="A88" s="432" t="s">
        <v>2064</v>
      </c>
      <c r="B88" s="257"/>
      <c r="C88" s="101" t="str">
        <f>'Planilha Hidráulica'!B94</f>
        <v>PV10.1-&gt;PV11.1</v>
      </c>
      <c r="D88" s="258">
        <f>'Planilha Hidráulica'!R94</f>
        <v>3.22</v>
      </c>
      <c r="E88" s="258">
        <f>'Planilha Hidráulica'!S94</f>
        <v>3.1</v>
      </c>
      <c r="F88" s="258">
        <f>'Planilha Hidráulica'!K94</f>
        <v>50</v>
      </c>
      <c r="G88" s="101">
        <f>'Planilha Hidráulica'!M94</f>
        <v>800</v>
      </c>
      <c r="H88" s="449">
        <f t="shared" si="233"/>
        <v>3.4200000000000004</v>
      </c>
      <c r="I88" s="102">
        <f t="shared" si="234"/>
        <v>8.5500000000000007</v>
      </c>
      <c r="J88" s="450">
        <v>0</v>
      </c>
      <c r="K88" s="451">
        <f t="shared" si="235"/>
        <v>1.7</v>
      </c>
      <c r="L88" s="451">
        <f t="shared" si="236"/>
        <v>1.7</v>
      </c>
      <c r="M88" s="451">
        <f>'Planilha Hidráulica'!X94</f>
        <v>600</v>
      </c>
      <c r="N88" s="451">
        <f t="shared" si="237"/>
        <v>85</v>
      </c>
      <c r="O88" s="452" t="str">
        <f>'Planilha Hidráulica'!W94</f>
        <v>ASFALTO</v>
      </c>
      <c r="P88" s="452" t="s">
        <v>2068</v>
      </c>
      <c r="Q88" s="452"/>
      <c r="R88" s="452">
        <v>2.2999999999999998</v>
      </c>
      <c r="S88" s="452">
        <v>5</v>
      </c>
      <c r="T88" s="451">
        <f t="shared" si="238"/>
        <v>0.1</v>
      </c>
      <c r="U88" s="453">
        <f t="shared" si="239"/>
        <v>14.137166941154069</v>
      </c>
      <c r="V88" s="106">
        <f t="shared" si="240"/>
        <v>276.56283305884591</v>
      </c>
      <c r="W88" s="107">
        <f t="shared" si="241"/>
        <v>0</v>
      </c>
      <c r="X88" s="107">
        <f t="shared" si="242"/>
        <v>0</v>
      </c>
      <c r="Y88" s="454">
        <f t="shared" si="243"/>
        <v>2.2999999999999998</v>
      </c>
      <c r="Z88" s="454">
        <f t="shared" si="244"/>
        <v>1.1200000000000006</v>
      </c>
      <c r="AA88" s="455">
        <f t="shared" si="245"/>
        <v>85</v>
      </c>
      <c r="AB88" s="117">
        <f t="shared" si="246"/>
        <v>0</v>
      </c>
      <c r="AC88" s="109">
        <f t="shared" si="247"/>
        <v>0</v>
      </c>
      <c r="AD88" s="109">
        <f t="shared" si="248"/>
        <v>0</v>
      </c>
      <c r="AE88" s="109">
        <f t="shared" si="249"/>
        <v>0</v>
      </c>
      <c r="AF88" s="109">
        <f t="shared" si="250"/>
        <v>0</v>
      </c>
      <c r="AG88" s="109">
        <f t="shared" si="251"/>
        <v>0</v>
      </c>
      <c r="AH88" s="109">
        <f t="shared" si="252"/>
        <v>0</v>
      </c>
      <c r="AI88" s="109">
        <f t="shared" si="253"/>
        <v>0</v>
      </c>
      <c r="AJ88" s="456">
        <f t="shared" si="254"/>
        <v>0</v>
      </c>
      <c r="AK88" s="456">
        <f t="shared" si="255"/>
        <v>0</v>
      </c>
      <c r="AL88" s="456">
        <f t="shared" si="256"/>
        <v>127.5</v>
      </c>
      <c r="AM88" s="456">
        <f t="shared" si="257"/>
        <v>67.999999999999986</v>
      </c>
      <c r="AN88" s="456">
        <f>IF(IF(K88&lt;=2.5,IF(Y88&gt;=4.5,L88*F88*1.5,K88*F88*(Y88-3)),0)&lt;0,0,IF(K88&lt;=2.5,IF(Y88&gt;=4.5,L88*F88*1.5,K88*F88*(Y88-3)),0))+IF(R88&lt;H88,0,IF(AND(Y88&lt;=4.5,Y88&gt;3,K88&gt;1.5,K88&lt;=2.5),-U88,0))</f>
        <v>0</v>
      </c>
      <c r="AO88" s="456">
        <f t="shared" si="258"/>
        <v>0</v>
      </c>
      <c r="AP88" s="456">
        <f t="shared" si="259"/>
        <v>0</v>
      </c>
      <c r="AQ88" s="456">
        <f t="shared" si="260"/>
        <v>0</v>
      </c>
      <c r="AR88" s="104">
        <f t="shared" si="261"/>
        <v>81.06</v>
      </c>
      <c r="AS88" s="451">
        <f t="shared" si="262"/>
        <v>0</v>
      </c>
      <c r="AT88" s="104">
        <f t="shared" si="263"/>
        <v>265.56725877128167</v>
      </c>
      <c r="AU88" s="102">
        <f t="shared" si="264"/>
        <v>0</v>
      </c>
      <c r="AV88" s="106">
        <f t="shared" si="265"/>
        <v>8.5</v>
      </c>
      <c r="AW88" s="104">
        <f t="shared" si="266"/>
        <v>0</v>
      </c>
      <c r="AX88" s="104">
        <f t="shared" si="267"/>
        <v>0</v>
      </c>
      <c r="AY88" s="104">
        <f t="shared" si="268"/>
        <v>1.1000000000000001</v>
      </c>
      <c r="AZ88" s="104">
        <f t="shared" si="269"/>
        <v>68.367258771281655</v>
      </c>
      <c r="BA88" s="104">
        <f t="shared" si="270"/>
        <v>0</v>
      </c>
      <c r="BB88" s="104">
        <f t="shared" si="271"/>
        <v>12.75</v>
      </c>
      <c r="BC88" s="104">
        <f t="shared" si="272"/>
        <v>12.75</v>
      </c>
      <c r="BD88" s="104">
        <f t="shared" si="273"/>
        <v>2.5499999999999998</v>
      </c>
      <c r="BE88" s="104">
        <f t="shared" si="274"/>
        <v>163.20000000000002</v>
      </c>
      <c r="BF88" s="104">
        <f t="shared" si="275"/>
        <v>114.38274122871834</v>
      </c>
      <c r="BG88" s="104">
        <f t="shared" si="276"/>
        <v>114.38274122871834</v>
      </c>
      <c r="BH88" s="104">
        <f t="shared" si="277"/>
        <v>0</v>
      </c>
      <c r="BI88" s="104">
        <f t="shared" si="278"/>
        <v>48.817258771281672</v>
      </c>
      <c r="BJ88" s="104">
        <f t="shared" si="227"/>
        <v>40.775427323408636</v>
      </c>
      <c r="BK88" s="104">
        <f t="shared" si="279"/>
        <v>8.0418314478730366</v>
      </c>
      <c r="BL88" s="125"/>
      <c r="BM88" s="104">
        <f t="shared" si="280"/>
        <v>0.51</v>
      </c>
      <c r="BN88" s="455">
        <f t="shared" si="281"/>
        <v>0</v>
      </c>
      <c r="BO88" s="457">
        <f t="shared" si="282"/>
        <v>0</v>
      </c>
      <c r="BP88" s="457">
        <f t="shared" si="283"/>
        <v>0</v>
      </c>
      <c r="BQ88" s="457">
        <f t="shared" si="284"/>
        <v>0</v>
      </c>
      <c r="BR88" s="451">
        <f t="shared" si="285"/>
        <v>0</v>
      </c>
      <c r="BS88" s="451">
        <f t="shared" si="286"/>
        <v>0</v>
      </c>
      <c r="BT88" s="451">
        <f t="shared" si="287"/>
        <v>0</v>
      </c>
      <c r="BU88" s="451">
        <f t="shared" si="288"/>
        <v>0</v>
      </c>
      <c r="BV88" s="451">
        <f t="shared" si="289"/>
        <v>0</v>
      </c>
      <c r="BW88" s="451">
        <f t="shared" si="290"/>
        <v>0</v>
      </c>
      <c r="BX88" s="451">
        <f t="shared" si="291"/>
        <v>3.4200000000000004</v>
      </c>
      <c r="BY88" s="451">
        <f t="shared" si="292"/>
        <v>0</v>
      </c>
      <c r="BZ88" s="451">
        <f t="shared" si="293"/>
        <v>50</v>
      </c>
      <c r="CA88" s="451">
        <f t="shared" si="294"/>
        <v>0</v>
      </c>
      <c r="CB88" s="451">
        <f t="shared" si="295"/>
        <v>0</v>
      </c>
      <c r="CC88" s="451">
        <f t="shared" si="296"/>
        <v>0</v>
      </c>
      <c r="CD88" s="451">
        <f t="shared" si="297"/>
        <v>0</v>
      </c>
      <c r="CE88" s="451">
        <f t="shared" si="298"/>
        <v>0</v>
      </c>
      <c r="CF88" s="451">
        <f t="shared" si="299"/>
        <v>0</v>
      </c>
      <c r="CG88" s="451">
        <f t="shared" si="300"/>
        <v>0</v>
      </c>
      <c r="CH88" s="451">
        <f t="shared" si="301"/>
        <v>0</v>
      </c>
      <c r="CI88" s="451">
        <f t="shared" si="302"/>
        <v>0</v>
      </c>
      <c r="CJ88" s="458">
        <f t="shared" si="303"/>
        <v>0</v>
      </c>
      <c r="CK88" s="451">
        <f t="shared" si="304"/>
        <v>0</v>
      </c>
      <c r="CL88" s="451">
        <f t="shared" si="305"/>
        <v>0</v>
      </c>
      <c r="CM88" s="451">
        <f t="shared" si="306"/>
        <v>0</v>
      </c>
      <c r="CN88" s="454">
        <f t="shared" si="307"/>
        <v>0</v>
      </c>
      <c r="CO88" s="454">
        <f t="shared" si="308"/>
        <v>0</v>
      </c>
      <c r="CP88" s="454">
        <f t="shared" si="309"/>
        <v>0</v>
      </c>
      <c r="CQ88" s="454">
        <f t="shared" si="310"/>
        <v>0</v>
      </c>
      <c r="CR88" s="454">
        <f t="shared" si="311"/>
        <v>0</v>
      </c>
      <c r="CS88" s="454">
        <f t="shared" si="312"/>
        <v>0</v>
      </c>
      <c r="CT88" s="459">
        <f t="shared" si="313"/>
        <v>0</v>
      </c>
      <c r="CU88" s="460">
        <f t="shared" si="314"/>
        <v>1</v>
      </c>
      <c r="CV88" s="460">
        <f t="shared" si="315"/>
        <v>0</v>
      </c>
      <c r="CW88" s="460">
        <f t="shared" si="316"/>
        <v>1</v>
      </c>
      <c r="CX88" s="460">
        <f t="shared" si="317"/>
        <v>0</v>
      </c>
      <c r="CY88" s="460">
        <f t="shared" si="318"/>
        <v>0</v>
      </c>
      <c r="CZ88" s="460">
        <f t="shared" si="319"/>
        <v>0</v>
      </c>
      <c r="DA88" s="461">
        <f t="shared" si="320"/>
        <v>1.8200000000000003</v>
      </c>
      <c r="DB88" s="118">
        <v>1.3</v>
      </c>
      <c r="DC88" s="118">
        <v>1.4</v>
      </c>
      <c r="DD88" s="118">
        <v>2</v>
      </c>
      <c r="DE88" s="118">
        <v>2</v>
      </c>
      <c r="DF88" s="462">
        <v>2</v>
      </c>
      <c r="DG88" s="455">
        <f t="shared" si="321"/>
        <v>0</v>
      </c>
      <c r="DH88" s="463">
        <f t="shared" si="322"/>
        <v>0</v>
      </c>
      <c r="DI88" s="463">
        <f t="shared" si="323"/>
        <v>0</v>
      </c>
      <c r="DJ88" s="463">
        <f t="shared" si="324"/>
        <v>150</v>
      </c>
      <c r="DK88" s="463">
        <f t="shared" si="325"/>
        <v>150</v>
      </c>
      <c r="DL88" s="463">
        <f t="shared" si="326"/>
        <v>42.000000000000036</v>
      </c>
      <c r="DM88" s="463">
        <f t="shared" si="327"/>
        <v>0</v>
      </c>
      <c r="DN88" s="463">
        <f t="shared" si="328"/>
        <v>0</v>
      </c>
      <c r="DO88" s="463">
        <f t="shared" si="329"/>
        <v>0</v>
      </c>
      <c r="DP88" s="463">
        <f t="shared" si="330"/>
        <v>0</v>
      </c>
      <c r="DQ88" s="464"/>
    </row>
    <row r="89" spans="1:121" s="115" customFormat="1" ht="13" x14ac:dyDescent="0.3">
      <c r="A89" s="433"/>
      <c r="F89" s="116">
        <f>SUM(F43:F88)</f>
        <v>1892.75</v>
      </c>
      <c r="I89" s="116">
        <f>SUM(I43:I88)</f>
        <v>293.82420000000008</v>
      </c>
      <c r="P89" s="416"/>
      <c r="Q89" s="416"/>
      <c r="R89" s="416"/>
      <c r="S89" s="416"/>
      <c r="V89" s="330">
        <f>SUM(V43:V88)</f>
        <v>11127.576538458801</v>
      </c>
      <c r="W89" s="98" t="s">
        <v>2033</v>
      </c>
      <c r="X89" s="98"/>
      <c r="AA89" s="116">
        <f t="shared" ref="AA89:AX89" si="331">SUM(AA43:AA88)</f>
        <v>3246.5089999999991</v>
      </c>
      <c r="AB89" s="116">
        <f t="shared" si="331"/>
        <v>0</v>
      </c>
      <c r="AC89" s="330">
        <f t="shared" si="331"/>
        <v>0</v>
      </c>
      <c r="AD89" s="330">
        <f t="shared" si="331"/>
        <v>0</v>
      </c>
      <c r="AE89" s="330">
        <f t="shared" si="331"/>
        <v>0</v>
      </c>
      <c r="AF89" s="330">
        <f t="shared" si="331"/>
        <v>617.79899999999998</v>
      </c>
      <c r="AG89" s="330">
        <f t="shared" si="331"/>
        <v>717.279</v>
      </c>
      <c r="AH89" s="330">
        <f t="shared" si="331"/>
        <v>465.59627999999998</v>
      </c>
      <c r="AI89" s="330">
        <f t="shared" si="331"/>
        <v>14.040000000000035</v>
      </c>
      <c r="AJ89" s="330">
        <f t="shared" si="331"/>
        <v>1091.9789999999998</v>
      </c>
      <c r="AK89" s="330">
        <f t="shared" si="331"/>
        <v>773.3958752627691</v>
      </c>
      <c r="AL89" s="330">
        <f t="shared" si="331"/>
        <v>3183.1514999999999</v>
      </c>
      <c r="AM89" s="330">
        <f t="shared" si="331"/>
        <v>2400.794770174291</v>
      </c>
      <c r="AN89" s="330">
        <f t="shared" si="331"/>
        <v>515.67360938614024</v>
      </c>
      <c r="AO89" s="330">
        <f t="shared" si="331"/>
        <v>792.846</v>
      </c>
      <c r="AP89" s="330">
        <f t="shared" si="331"/>
        <v>332.83466560515706</v>
      </c>
      <c r="AQ89" s="330">
        <f t="shared" si="331"/>
        <v>0</v>
      </c>
      <c r="AR89" s="330">
        <f t="shared" si="331"/>
        <v>222.18</v>
      </c>
      <c r="AS89" s="330">
        <f t="shared" si="331"/>
        <v>13.241074666666666</v>
      </c>
      <c r="AT89" s="330">
        <f t="shared" si="331"/>
        <v>10256.323360227721</v>
      </c>
      <c r="AU89" s="330">
        <f t="shared" si="331"/>
        <v>72.798600000000008</v>
      </c>
      <c r="AV89" s="330">
        <f t="shared" si="331"/>
        <v>466.29710000000006</v>
      </c>
      <c r="AW89" s="330">
        <f t="shared" si="331"/>
        <v>288.61840000000001</v>
      </c>
      <c r="AX89" s="330">
        <f t="shared" si="331"/>
        <v>164.74639999999999</v>
      </c>
      <c r="AY89" s="330"/>
      <c r="AZ89" s="330">
        <f t="shared" ref="AZ89:BK89" si="332">SUM(AZ43:AZ88)</f>
        <v>3351.2372152277189</v>
      </c>
      <c r="BA89" s="330">
        <f t="shared" si="332"/>
        <v>461.42522310647303</v>
      </c>
      <c r="BB89" s="330">
        <f t="shared" si="332"/>
        <v>486.97635000000002</v>
      </c>
      <c r="BC89" s="330">
        <f t="shared" si="332"/>
        <v>486.97635000000002</v>
      </c>
      <c r="BD89" s="330">
        <f t="shared" si="332"/>
        <v>97.395270000000025</v>
      </c>
      <c r="BE89" s="330">
        <f t="shared" si="332"/>
        <v>5103.4193449999984</v>
      </c>
      <c r="BF89" s="330">
        <f t="shared" si="332"/>
        <v>4963.8434552006356</v>
      </c>
      <c r="BG89" s="330">
        <f t="shared" si="332"/>
        <v>4256.1356914275802</v>
      </c>
      <c r="BH89" s="330">
        <f t="shared" si="332"/>
        <v>707.7077637730581</v>
      </c>
      <c r="BI89" s="330">
        <f t="shared" si="332"/>
        <v>847.28365357241989</v>
      </c>
      <c r="BJ89" s="330">
        <f t="shared" si="332"/>
        <v>707.70776377305572</v>
      </c>
      <c r="BK89" s="330">
        <f t="shared" si="332"/>
        <v>139.57588979936406</v>
      </c>
      <c r="BL89" s="330">
        <f>SUM(AC89:AI89)+BJ93+AR89</f>
        <v>2036.89428</v>
      </c>
      <c r="BM89" s="330">
        <f>SUM(BM43:BM88)</f>
        <v>31.023790000000009</v>
      </c>
      <c r="BN89" s="935">
        <v>400</v>
      </c>
      <c r="BO89" s="926"/>
      <c r="BP89" s="936"/>
      <c r="BQ89" s="95"/>
      <c r="BR89" s="990">
        <v>500</v>
      </c>
      <c r="BS89" s="991"/>
      <c r="BT89" s="992">
        <v>600</v>
      </c>
      <c r="BU89" s="993"/>
      <c r="BV89" s="993"/>
      <c r="BW89" s="994"/>
      <c r="BX89" s="992">
        <v>800</v>
      </c>
      <c r="BY89" s="993"/>
      <c r="BZ89" s="993"/>
      <c r="CA89" s="994"/>
      <c r="CB89" s="992">
        <v>1000</v>
      </c>
      <c r="CC89" s="993"/>
      <c r="CD89" s="993"/>
      <c r="CE89" s="994"/>
      <c r="CF89" s="992">
        <v>1200</v>
      </c>
      <c r="CG89" s="993"/>
      <c r="CH89" s="993"/>
      <c r="CI89" s="995"/>
      <c r="CJ89" s="990">
        <v>1500</v>
      </c>
      <c r="CK89" s="996"/>
      <c r="CL89" s="996"/>
      <c r="CM89" s="997"/>
      <c r="CN89" s="116"/>
      <c r="CU89" s="115">
        <f t="shared" ref="CU89:DA89" si="333">SUM(CU43:CU88)</f>
        <v>45</v>
      </c>
      <c r="CV89" s="115">
        <f t="shared" si="333"/>
        <v>13</v>
      </c>
      <c r="CW89" s="115">
        <f t="shared" si="333"/>
        <v>4</v>
      </c>
      <c r="CX89" s="115">
        <f t="shared" si="333"/>
        <v>17</v>
      </c>
      <c r="CY89" s="115">
        <f t="shared" si="333"/>
        <v>5</v>
      </c>
      <c r="CZ89" s="115">
        <f t="shared" si="333"/>
        <v>6</v>
      </c>
      <c r="DA89" s="133">
        <f t="shared" si="333"/>
        <v>49.990000000000009</v>
      </c>
      <c r="DG89" s="116">
        <f t="shared" ref="DG89:DP89" si="334">SUM(DG43:DG88)</f>
        <v>1559.97</v>
      </c>
      <c r="DH89" s="116">
        <f t="shared" si="334"/>
        <v>1126.3936000000001</v>
      </c>
      <c r="DI89" s="116">
        <f t="shared" si="334"/>
        <v>242.74000000000009</v>
      </c>
      <c r="DJ89" s="116">
        <f t="shared" si="334"/>
        <v>3185.6399999999994</v>
      </c>
      <c r="DK89" s="116">
        <f t="shared" si="334"/>
        <v>2755.7893000000004</v>
      </c>
      <c r="DL89" s="116">
        <f t="shared" si="334"/>
        <v>696.10670000000005</v>
      </c>
      <c r="DM89" s="116">
        <f t="shared" si="334"/>
        <v>932.64</v>
      </c>
      <c r="DN89" s="116">
        <f t="shared" si="334"/>
        <v>932.64</v>
      </c>
      <c r="DO89" s="116">
        <f t="shared" si="334"/>
        <v>321.0483999999999</v>
      </c>
      <c r="DP89" s="116">
        <f t="shared" si="334"/>
        <v>0</v>
      </c>
      <c r="DQ89" s="417"/>
    </row>
    <row r="90" spans="1:121" ht="13" x14ac:dyDescent="0.3">
      <c r="BI90" s="115" t="s">
        <v>2034</v>
      </c>
      <c r="BJ90" s="121">
        <f>SUM(AJ89:AQ89)</f>
        <v>9090.6754204283552</v>
      </c>
      <c r="BK90" s="126" t="s">
        <v>2035</v>
      </c>
      <c r="BL90" s="123">
        <f>SUM(AR89)</f>
        <v>222.18</v>
      </c>
      <c r="BN90" s="81" t="s">
        <v>2036</v>
      </c>
      <c r="BO90" s="256" t="s">
        <v>2037</v>
      </c>
      <c r="BP90" s="256" t="s">
        <v>2038</v>
      </c>
      <c r="BQ90" s="256" t="s">
        <v>2036</v>
      </c>
      <c r="BR90" s="418" t="s">
        <v>2037</v>
      </c>
      <c r="BS90" s="418" t="s">
        <v>2038</v>
      </c>
      <c r="BT90" s="79" t="s">
        <v>2036</v>
      </c>
      <c r="BU90" s="419" t="s">
        <v>2039</v>
      </c>
      <c r="BV90" s="419" t="s">
        <v>2040</v>
      </c>
      <c r="BW90" s="419" t="s">
        <v>2041</v>
      </c>
      <c r="BX90" s="419" t="s">
        <v>2036</v>
      </c>
      <c r="BY90" s="419" t="s">
        <v>2039</v>
      </c>
      <c r="BZ90" s="419" t="s">
        <v>2040</v>
      </c>
      <c r="CA90" s="419" t="s">
        <v>2041</v>
      </c>
      <c r="CB90" s="419" t="s">
        <v>2036</v>
      </c>
      <c r="CC90" s="419" t="s">
        <v>2039</v>
      </c>
      <c r="CD90" s="419" t="s">
        <v>2040</v>
      </c>
      <c r="CE90" s="419" t="s">
        <v>2041</v>
      </c>
      <c r="CF90" s="419" t="s">
        <v>2036</v>
      </c>
      <c r="CG90" s="419" t="s">
        <v>2039</v>
      </c>
      <c r="CH90" s="419" t="s">
        <v>2040</v>
      </c>
      <c r="CI90" s="419" t="s">
        <v>2041</v>
      </c>
      <c r="CJ90" s="420" t="s">
        <v>2036</v>
      </c>
      <c r="CK90" s="420" t="s">
        <v>2039</v>
      </c>
      <c r="CL90" s="420" t="s">
        <v>2040</v>
      </c>
      <c r="CM90" s="420" t="s">
        <v>2041</v>
      </c>
      <c r="CN90" s="115"/>
    </row>
    <row r="91" spans="1:121" ht="52" x14ac:dyDescent="0.3">
      <c r="BI91" s="124" t="s">
        <v>2042</v>
      </c>
      <c r="BJ91" s="125">
        <f>BJ90-BG89-AW89-BB89-AZ89</f>
        <v>707.70776377305583</v>
      </c>
      <c r="BK91" s="126" t="s">
        <v>2043</v>
      </c>
      <c r="BL91" s="126">
        <f>BJ93+SUM(AC89:AI89)</f>
        <v>1814.7142799999999</v>
      </c>
      <c r="BN91" s="127"/>
      <c r="BO91" s="128">
        <f>SUM(BO43:BO88)</f>
        <v>0</v>
      </c>
      <c r="BP91" s="128">
        <f>SUM(BP43:BP88)</f>
        <v>0</v>
      </c>
      <c r="BQ91" s="128"/>
      <c r="BR91" s="128">
        <f>SUM(BR43:BR88)</f>
        <v>0</v>
      </c>
      <c r="BS91" s="128">
        <f>SUM(BS43:BS88)</f>
        <v>0</v>
      </c>
      <c r="BT91" s="128"/>
      <c r="BU91" s="128">
        <f>SUM(BU43:BU88)</f>
        <v>179.99</v>
      </c>
      <c r="BV91" s="128">
        <f>SUM(BV43:BV88)</f>
        <v>340</v>
      </c>
      <c r="BW91" s="128">
        <f>SUM(BW43:BW73)</f>
        <v>0</v>
      </c>
      <c r="BX91" s="128"/>
      <c r="BY91" s="128">
        <f>SUM(BY43:BY88)</f>
        <v>110.89</v>
      </c>
      <c r="BZ91" s="128">
        <f>SUM(BZ43:BZ88)</f>
        <v>50</v>
      </c>
      <c r="CA91" s="128">
        <f>SUM(CA43:CA88)</f>
        <v>0</v>
      </c>
      <c r="CB91" s="128"/>
      <c r="CC91" s="128">
        <f>SUM(CC43:CC88)</f>
        <v>236.84</v>
      </c>
      <c r="CD91" s="128">
        <f>SUM(CD43:CD88)</f>
        <v>431.11</v>
      </c>
      <c r="CE91" s="128">
        <f>SUM(CE43:CE88)</f>
        <v>0</v>
      </c>
      <c r="CF91" s="128"/>
      <c r="CG91" s="128">
        <f>SUM(CG43:CG88)</f>
        <v>182.04</v>
      </c>
      <c r="CH91" s="128">
        <f>SUM(CH43:CH88)</f>
        <v>51</v>
      </c>
      <c r="CI91" s="128">
        <f>SUM(CI43:CI88)</f>
        <v>0</v>
      </c>
      <c r="CJ91" s="128"/>
      <c r="CK91" s="128">
        <f>SUM(CK43:CK88)</f>
        <v>0</v>
      </c>
      <c r="CL91" s="128">
        <f>SUM(CL43:CL88)</f>
        <v>310.88</v>
      </c>
      <c r="CM91" s="128">
        <f>SUM(CM43:CM88)</f>
        <v>0</v>
      </c>
      <c r="CN91" s="115"/>
    </row>
    <row r="92" spans="1:121" ht="26" x14ac:dyDescent="0.3">
      <c r="BI92" s="124" t="s">
        <v>2044</v>
      </c>
      <c r="BJ92" s="129">
        <f>BK89</f>
        <v>139.57588979936406</v>
      </c>
      <c r="BK92" s="115" t="s">
        <v>4397</v>
      </c>
      <c r="BL92" s="115"/>
      <c r="BN92" s="127"/>
      <c r="BO92" s="130"/>
      <c r="BP92" s="131"/>
      <c r="BQ92" s="128"/>
      <c r="BR92" s="130"/>
      <c r="BS92" s="131"/>
      <c r="BT92" s="128"/>
      <c r="BU92" s="130"/>
      <c r="BV92" s="421"/>
      <c r="BW92" s="131"/>
      <c r="BX92" s="128"/>
      <c r="BY92" s="130"/>
      <c r="BZ92" s="421"/>
      <c r="CA92" s="131"/>
      <c r="CB92" s="128"/>
      <c r="CC92" s="130"/>
      <c r="CD92" s="421"/>
      <c r="CE92" s="131"/>
      <c r="CF92" s="128"/>
      <c r="CG92" s="130"/>
      <c r="CH92" s="421"/>
      <c r="CI92" s="131"/>
      <c r="CJ92" s="128"/>
      <c r="CK92" s="130"/>
      <c r="CL92" s="421"/>
      <c r="CM92" s="131"/>
      <c r="CN92" s="115"/>
    </row>
    <row r="93" spans="1:121" ht="13" x14ac:dyDescent="0.3">
      <c r="BI93" s="115" t="s">
        <v>2045</v>
      </c>
      <c r="BJ93" s="120">
        <f>BJ91-BJ89</f>
        <v>0</v>
      </c>
      <c r="BK93" s="115"/>
      <c r="BL93" s="115"/>
      <c r="BN93" s="127"/>
      <c r="BO93" s="937">
        <f>SUM(BO91:BP91)</f>
        <v>0</v>
      </c>
      <c r="BP93" s="938"/>
      <c r="BQ93" s="127"/>
      <c r="BR93" s="937">
        <f>SUM(BR91:BS91)</f>
        <v>0</v>
      </c>
      <c r="BS93" s="938"/>
      <c r="BT93" s="127" t="s">
        <v>2046</v>
      </c>
      <c r="BU93" s="937">
        <f>SUM(BU91:BW91)</f>
        <v>519.99</v>
      </c>
      <c r="BV93" s="984"/>
      <c r="BW93" s="938"/>
      <c r="BX93" s="127" t="s">
        <v>2046</v>
      </c>
      <c r="BY93" s="937">
        <f>SUM(BY91:CA91)</f>
        <v>160.88999999999999</v>
      </c>
      <c r="BZ93" s="984"/>
      <c r="CA93" s="938"/>
      <c r="CB93" s="127" t="s">
        <v>2046</v>
      </c>
      <c r="CC93" s="937">
        <f>SUM(CC91:CE91)</f>
        <v>667.95</v>
      </c>
      <c r="CD93" s="984"/>
      <c r="CE93" s="938"/>
      <c r="CF93" s="127" t="s">
        <v>2046</v>
      </c>
      <c r="CG93" s="937">
        <f>SUM(CG91:CI91)</f>
        <v>233.04</v>
      </c>
      <c r="CH93" s="984"/>
      <c r="CI93" s="938"/>
      <c r="CJ93" s="127" t="s">
        <v>2046</v>
      </c>
      <c r="CK93" s="937">
        <f>SUM(CK91:CM91)</f>
        <v>310.88</v>
      </c>
      <c r="CL93" s="984"/>
      <c r="CM93" s="938"/>
      <c r="CN93" s="116">
        <f>SUM(CN43:CN88)</f>
        <v>0</v>
      </c>
    </row>
    <row r="94" spans="1:121" ht="26" x14ac:dyDescent="0.3">
      <c r="BI94" s="124" t="s">
        <v>2047</v>
      </c>
      <c r="BJ94" s="120"/>
      <c r="BK94" s="115"/>
      <c r="BL94" s="115"/>
    </row>
    <row r="96" spans="1:121" ht="13" thickBot="1" x14ac:dyDescent="0.3">
      <c r="A96" s="439" t="s">
        <v>1622</v>
      </c>
    </row>
    <row r="97" spans="1:121" ht="13.5" thickBot="1" x14ac:dyDescent="0.35">
      <c r="A97" s="73"/>
      <c r="B97" s="76"/>
      <c r="C97" s="76"/>
      <c r="D97" s="76"/>
      <c r="E97" s="76"/>
      <c r="F97" s="76"/>
      <c r="G97" s="76"/>
      <c r="H97" s="76"/>
      <c r="I97" s="76"/>
      <c r="J97" s="76"/>
      <c r="K97" s="76"/>
      <c r="L97" s="76"/>
      <c r="M97" s="76"/>
      <c r="N97" s="76"/>
      <c r="O97" s="78"/>
      <c r="P97" s="78"/>
      <c r="Q97" s="78"/>
      <c r="R97" s="78"/>
      <c r="S97" s="78"/>
      <c r="T97" s="76"/>
      <c r="U97" s="76"/>
      <c r="V97" s="924" t="s">
        <v>1938</v>
      </c>
      <c r="W97" s="925"/>
      <c r="X97" s="925"/>
      <c r="Y97" s="925"/>
      <c r="Z97" s="925"/>
      <c r="AA97" s="925"/>
      <c r="AB97" s="925"/>
      <c r="AC97" s="925"/>
      <c r="AD97" s="925"/>
      <c r="AE97" s="925"/>
      <c r="AF97" s="925"/>
      <c r="AG97" s="925"/>
      <c r="AH97" s="925"/>
      <c r="AI97" s="925"/>
      <c r="AJ97" s="925"/>
      <c r="AK97" s="925"/>
      <c r="AL97" s="924"/>
      <c r="AM97" s="924"/>
      <c r="AN97" s="924"/>
      <c r="AO97" s="79"/>
      <c r="AP97" s="79"/>
      <c r="AQ97" s="79"/>
      <c r="AR97" s="79"/>
      <c r="AS97" s="79"/>
      <c r="AT97" s="79"/>
      <c r="AU97" s="76"/>
      <c r="AV97" s="76"/>
      <c r="AW97" s="79"/>
      <c r="AX97" s="79"/>
      <c r="AY97" s="79"/>
      <c r="AZ97" s="79"/>
      <c r="BA97" s="79"/>
      <c r="BB97" s="79"/>
      <c r="BC97" s="79"/>
      <c r="BD97" s="79"/>
      <c r="BE97" s="76"/>
      <c r="BF97" s="76"/>
      <c r="BG97" s="76"/>
      <c r="BH97" s="76"/>
      <c r="BI97" s="76"/>
      <c r="BJ97" s="76"/>
      <c r="BK97" s="76"/>
      <c r="BL97" s="76"/>
      <c r="BM97" s="76"/>
      <c r="BN97" s="76"/>
      <c r="BO97" s="928" t="s">
        <v>1942</v>
      </c>
      <c r="BP97" s="929"/>
      <c r="BQ97" s="929"/>
      <c r="BR97" s="929"/>
      <c r="BS97" s="929"/>
      <c r="BT97" s="929"/>
      <c r="BU97" s="929"/>
      <c r="BV97" s="929"/>
      <c r="BW97" s="929"/>
      <c r="BX97" s="929"/>
      <c r="BY97" s="929"/>
      <c r="BZ97" s="929"/>
      <c r="CA97" s="929"/>
      <c r="CB97" s="929"/>
      <c r="CC97" s="929"/>
      <c r="CD97" s="929"/>
      <c r="CE97" s="929"/>
      <c r="CF97" s="929"/>
      <c r="CG97" s="929"/>
      <c r="CH97" s="929"/>
      <c r="CI97" s="929"/>
      <c r="CJ97" s="929"/>
      <c r="CK97" s="929"/>
      <c r="CL97" s="929"/>
      <c r="CM97" s="929"/>
      <c r="CN97" s="929"/>
      <c r="CO97" s="929"/>
      <c r="CP97" s="929"/>
      <c r="CQ97" s="929"/>
      <c r="CR97" s="929"/>
      <c r="CS97" s="929"/>
      <c r="CT97" s="985"/>
      <c r="CU97" s="76"/>
      <c r="CV97" s="986" t="s">
        <v>1943</v>
      </c>
      <c r="CW97" s="924"/>
      <c r="CX97" s="924"/>
      <c r="CY97" s="924"/>
      <c r="CZ97" s="924"/>
      <c r="DA97" s="76"/>
      <c r="DB97" s="925" t="s">
        <v>1944</v>
      </c>
      <c r="DC97" s="925"/>
      <c r="DD97" s="925"/>
      <c r="DE97" s="925"/>
      <c r="DF97" s="925"/>
      <c r="DG97" s="928" t="s">
        <v>1945</v>
      </c>
      <c r="DH97" s="929"/>
      <c r="DI97" s="929"/>
      <c r="DJ97" s="929"/>
      <c r="DK97" s="929"/>
      <c r="DL97" s="929"/>
      <c r="DM97" s="929"/>
      <c r="DN97" s="929"/>
      <c r="DO97" s="929"/>
      <c r="DP97" s="929"/>
    </row>
    <row r="98" spans="1:121" s="86" customFormat="1" ht="52" x14ac:dyDescent="0.3">
      <c r="A98" s="405" t="s">
        <v>1946</v>
      </c>
      <c r="B98" s="405" t="s">
        <v>1739</v>
      </c>
      <c r="C98" s="82" t="s">
        <v>1392</v>
      </c>
      <c r="D98" s="82" t="s">
        <v>1947</v>
      </c>
      <c r="E98" s="82" t="s">
        <v>1948</v>
      </c>
      <c r="F98" s="82" t="s">
        <v>1949</v>
      </c>
      <c r="G98" s="82" t="s">
        <v>1950</v>
      </c>
      <c r="H98" s="82" t="s">
        <v>1951</v>
      </c>
      <c r="I98" s="136" t="s">
        <v>1952</v>
      </c>
      <c r="J98" s="82" t="s">
        <v>1953</v>
      </c>
      <c r="K98" s="137" t="s">
        <v>1954</v>
      </c>
      <c r="L98" s="138" t="s">
        <v>1955</v>
      </c>
      <c r="M98" s="137" t="s">
        <v>1956</v>
      </c>
      <c r="N98" s="138" t="s">
        <v>1957</v>
      </c>
      <c r="O98" s="137" t="s">
        <v>1958</v>
      </c>
      <c r="P98" s="137" t="s">
        <v>1959</v>
      </c>
      <c r="Q98" s="137" t="s">
        <v>1960</v>
      </c>
      <c r="R98" s="137" t="s">
        <v>1961</v>
      </c>
      <c r="S98" s="137" t="s">
        <v>1962</v>
      </c>
      <c r="T98" s="138" t="s">
        <v>1963</v>
      </c>
      <c r="U98" s="139" t="s">
        <v>1964</v>
      </c>
      <c r="V98" s="140" t="s">
        <v>1965</v>
      </c>
      <c r="W98" s="140" t="s">
        <v>1966</v>
      </c>
      <c r="X98" s="140" t="s">
        <v>1967</v>
      </c>
      <c r="Y98" s="140" t="s">
        <v>1968</v>
      </c>
      <c r="Z98" s="140" t="s">
        <v>1969</v>
      </c>
      <c r="AA98" s="80" t="s">
        <v>1970</v>
      </c>
      <c r="AB98" s="80" t="s">
        <v>1971</v>
      </c>
      <c r="AC98" s="141" t="s">
        <v>1972</v>
      </c>
      <c r="AD98" s="141" t="s">
        <v>1973</v>
      </c>
      <c r="AE98" s="141" t="s">
        <v>1974</v>
      </c>
      <c r="AF98" s="141" t="s">
        <v>1975</v>
      </c>
      <c r="AG98" s="141" t="s">
        <v>1976</v>
      </c>
      <c r="AH98" s="136" t="s">
        <v>1977</v>
      </c>
      <c r="AI98" s="141" t="s">
        <v>1978</v>
      </c>
      <c r="AJ98" s="141" t="s">
        <v>1979</v>
      </c>
      <c r="AK98" s="141" t="s">
        <v>1980</v>
      </c>
      <c r="AL98" s="141" t="s">
        <v>1981</v>
      </c>
      <c r="AM98" s="141" t="s">
        <v>1982</v>
      </c>
      <c r="AN98" s="136" t="s">
        <v>1983</v>
      </c>
      <c r="AO98" s="141" t="s">
        <v>1984</v>
      </c>
      <c r="AP98" s="141" t="s">
        <v>1985</v>
      </c>
      <c r="AQ98" s="141" t="s">
        <v>1986</v>
      </c>
      <c r="AR98" s="82" t="s">
        <v>1987</v>
      </c>
      <c r="AS98" s="82" t="s">
        <v>1988</v>
      </c>
      <c r="AT98" s="82" t="s">
        <v>1989</v>
      </c>
      <c r="AU98" s="136" t="s">
        <v>1990</v>
      </c>
      <c r="AV98" s="136" t="s">
        <v>1991</v>
      </c>
      <c r="AW98" s="136" t="s">
        <v>1992</v>
      </c>
      <c r="AX98" s="141" t="s">
        <v>1993</v>
      </c>
      <c r="AY98" s="406" t="s">
        <v>1994</v>
      </c>
      <c r="AZ98" s="142" t="s">
        <v>1995</v>
      </c>
      <c r="BA98" s="407" t="s">
        <v>1996</v>
      </c>
      <c r="BB98" s="141" t="s">
        <v>1997</v>
      </c>
      <c r="BC98" s="141" t="s">
        <v>1998</v>
      </c>
      <c r="BD98" s="141" t="s">
        <v>1999</v>
      </c>
      <c r="BE98" s="82" t="s">
        <v>2000</v>
      </c>
      <c r="BF98" s="136" t="s">
        <v>2001</v>
      </c>
      <c r="BG98" s="136" t="s">
        <v>2002</v>
      </c>
      <c r="BH98" s="136" t="s">
        <v>2003</v>
      </c>
      <c r="BI98" s="136" t="s">
        <v>2004</v>
      </c>
      <c r="BJ98" s="136" t="s">
        <v>2048</v>
      </c>
      <c r="BK98" s="136" t="s">
        <v>2006</v>
      </c>
      <c r="BL98" s="136" t="s">
        <v>2007</v>
      </c>
      <c r="BM98" s="136" t="s">
        <v>2008</v>
      </c>
      <c r="BN98" s="934">
        <v>400</v>
      </c>
      <c r="BO98" s="934"/>
      <c r="BP98" s="934"/>
      <c r="BQ98" s="998">
        <v>500</v>
      </c>
      <c r="BR98" s="999"/>
      <c r="BS98" s="1000"/>
      <c r="BT98" s="1001">
        <v>600</v>
      </c>
      <c r="BU98" s="1002"/>
      <c r="BV98" s="1002"/>
      <c r="BW98" s="1003"/>
      <c r="BX98" s="1001">
        <v>800</v>
      </c>
      <c r="BY98" s="1002"/>
      <c r="BZ98" s="1002"/>
      <c r="CA98" s="1003"/>
      <c r="CB98" s="1001">
        <v>1000</v>
      </c>
      <c r="CC98" s="1002"/>
      <c r="CD98" s="1002"/>
      <c r="CE98" s="1003"/>
      <c r="CF98" s="1001">
        <v>1200</v>
      </c>
      <c r="CG98" s="1002"/>
      <c r="CH98" s="1002"/>
      <c r="CI98" s="1004"/>
      <c r="CJ98" s="987">
        <v>1500</v>
      </c>
      <c r="CK98" s="988"/>
      <c r="CL98" s="988"/>
      <c r="CM98" s="989"/>
      <c r="CN98" s="409">
        <v>1650</v>
      </c>
      <c r="CO98" s="337">
        <v>1800</v>
      </c>
      <c r="CP98" s="337">
        <v>2000</v>
      </c>
      <c r="CQ98" s="337">
        <v>2200</v>
      </c>
      <c r="CR98" s="337">
        <v>2400</v>
      </c>
      <c r="CS98" s="337">
        <v>2600</v>
      </c>
      <c r="CT98" s="410">
        <v>3000</v>
      </c>
      <c r="CU98" s="82" t="s">
        <v>521</v>
      </c>
      <c r="CV98" s="83">
        <v>600</v>
      </c>
      <c r="CW98" s="83">
        <v>800</v>
      </c>
      <c r="CX98" s="83">
        <v>1000</v>
      </c>
      <c r="CY98" s="83">
        <v>1200</v>
      </c>
      <c r="CZ98" s="83">
        <v>1500</v>
      </c>
      <c r="DA98" s="411" t="s">
        <v>2009</v>
      </c>
      <c r="DB98" s="81">
        <v>600</v>
      </c>
      <c r="DC98" s="81">
        <v>800</v>
      </c>
      <c r="DD98" s="81">
        <v>1000</v>
      </c>
      <c r="DE98" s="81">
        <v>12000</v>
      </c>
      <c r="DF98" s="81">
        <v>1500</v>
      </c>
      <c r="DG98" s="84" t="s">
        <v>2010</v>
      </c>
      <c r="DH98" s="84" t="s">
        <v>2011</v>
      </c>
      <c r="DI98" s="84" t="s">
        <v>2012</v>
      </c>
      <c r="DJ98" s="84" t="s">
        <v>2013</v>
      </c>
      <c r="DK98" s="84" t="s">
        <v>2014</v>
      </c>
      <c r="DL98" s="84" t="s">
        <v>2015</v>
      </c>
      <c r="DM98" s="84" t="s">
        <v>2016</v>
      </c>
      <c r="DN98" s="84" t="s">
        <v>2017</v>
      </c>
      <c r="DO98" s="84" t="s">
        <v>2018</v>
      </c>
      <c r="DP98" s="84" t="s">
        <v>2019</v>
      </c>
      <c r="DQ98" s="85"/>
    </row>
    <row r="99" spans="1:121" ht="13" x14ac:dyDescent="0.3">
      <c r="A99" s="442"/>
      <c r="B99" s="442"/>
      <c r="C99" s="87" t="str">
        <f>'Planilha Hidráulica'!B109</f>
        <v>RD-1</v>
      </c>
      <c r="D99" s="88"/>
      <c r="E99" s="88"/>
      <c r="F99" s="88"/>
      <c r="G99" s="88"/>
      <c r="H99" s="82"/>
      <c r="I99" s="82"/>
      <c r="J99" s="82"/>
      <c r="K99" s="89"/>
      <c r="L99" s="90"/>
      <c r="M99" s="90"/>
      <c r="N99" s="90"/>
      <c r="O99" s="89"/>
      <c r="P99" s="89"/>
      <c r="Q99" s="89"/>
      <c r="R99" s="89"/>
      <c r="S99" s="89"/>
      <c r="T99" s="90"/>
      <c r="U99" s="91"/>
      <c r="V99" s="92" t="s">
        <v>2020</v>
      </c>
      <c r="W99" s="92"/>
      <c r="X99" s="92"/>
      <c r="Y99" s="92"/>
      <c r="Z99" s="92"/>
      <c r="AA99" s="93" t="s">
        <v>2021</v>
      </c>
      <c r="AB99" s="94"/>
      <c r="AC99" s="94"/>
      <c r="AD99" s="94"/>
      <c r="AE99" s="94"/>
      <c r="AF99" s="94"/>
      <c r="AG99" s="94"/>
      <c r="AH99" s="94"/>
      <c r="AI99" s="94"/>
      <c r="AJ99" s="94"/>
      <c r="AK99" s="94"/>
      <c r="AL99" s="81"/>
      <c r="AM99" s="81"/>
      <c r="AN99" s="81"/>
      <c r="AO99" s="81"/>
      <c r="AP99" s="81"/>
      <c r="AQ99" s="81"/>
      <c r="AR99" s="82"/>
      <c r="AS99" s="82"/>
      <c r="AT99" s="82"/>
      <c r="AU99" s="82"/>
      <c r="AV99" s="83"/>
      <c r="AW99" s="82"/>
      <c r="AX99" s="82"/>
      <c r="AY99" s="82"/>
      <c r="AZ99" s="82"/>
      <c r="BA99" s="82"/>
      <c r="BB99" s="82"/>
      <c r="BC99" s="82"/>
      <c r="BD99" s="82"/>
      <c r="BE99" s="82"/>
      <c r="BF99" s="82"/>
      <c r="BG99" s="82"/>
      <c r="BH99" s="82"/>
      <c r="BI99" s="82"/>
      <c r="BJ99" s="82"/>
      <c r="BK99" s="82"/>
      <c r="BL99" s="82"/>
      <c r="BM99" s="82"/>
      <c r="BN99" s="95"/>
      <c r="BO99" s="79"/>
      <c r="BP99" s="79"/>
      <c r="BQ99" s="79"/>
      <c r="BR99" s="412"/>
      <c r="BS99" s="413"/>
      <c r="BT99" s="96"/>
      <c r="BU99" s="412"/>
      <c r="BV99" s="412"/>
      <c r="BW99" s="413"/>
      <c r="BX99" s="96"/>
      <c r="BY99" s="412"/>
      <c r="BZ99" s="412"/>
      <c r="CA99" s="413"/>
      <c r="CB99" s="96"/>
      <c r="CC99" s="412"/>
      <c r="CD99" s="412"/>
      <c r="CE99" s="413"/>
      <c r="CF99" s="96"/>
      <c r="CG99" s="412"/>
      <c r="CH99" s="412"/>
      <c r="CI99" s="412"/>
      <c r="CJ99" s="79"/>
      <c r="CK99" s="79"/>
      <c r="CL99" s="79"/>
      <c r="CM99" s="79"/>
      <c r="CN99" s="79"/>
      <c r="CO99" s="79"/>
      <c r="CP99" s="79"/>
      <c r="CQ99" s="79"/>
      <c r="CR99" s="79"/>
      <c r="CS99" s="79"/>
      <c r="CT99" s="414"/>
      <c r="CU99" s="88"/>
      <c r="CV99" s="96"/>
      <c r="CW99" s="96"/>
      <c r="CX99" s="96"/>
      <c r="CY99" s="96"/>
      <c r="CZ99" s="96"/>
      <c r="DA99" s="97"/>
      <c r="DB99" s="79"/>
      <c r="DC99" s="79"/>
      <c r="DD99" s="79"/>
      <c r="DE99" s="79"/>
      <c r="DF99" s="79"/>
      <c r="DG99" s="79"/>
      <c r="DH99" s="79"/>
      <c r="DI99" s="79"/>
      <c r="DJ99" s="79"/>
      <c r="DK99" s="79"/>
      <c r="DL99" s="79"/>
      <c r="DM99" s="79"/>
      <c r="DN99" s="79"/>
      <c r="DO99" s="79"/>
      <c r="DP99" s="79"/>
      <c r="DQ99" s="445"/>
    </row>
    <row r="100" spans="1:121" s="86" customFormat="1" ht="25" x14ac:dyDescent="0.25">
      <c r="A100" s="259" t="s">
        <v>2069</v>
      </c>
      <c r="B100" s="101"/>
      <c r="C100" s="101" t="str">
        <f>'Planilha Hidráulica'!B110</f>
        <v>PV1.1-&gt;PV1-56</v>
      </c>
      <c r="D100" s="258">
        <f>'Planilha Hidráulica'!R110</f>
        <v>1.6</v>
      </c>
      <c r="E100" s="258">
        <f>'Planilha Hidráulica'!S110</f>
        <v>2</v>
      </c>
      <c r="F100" s="258">
        <f>'Planilha Hidráulica'!K110</f>
        <v>59.999999999568793</v>
      </c>
      <c r="G100" s="101">
        <f>'Planilha Hidráulica'!M110</f>
        <v>600</v>
      </c>
      <c r="H100" s="449">
        <f>IF(G100=400,((D100+E100)/2)+0.08+T100,IF(G100=500,((D100+E100)/2)+0.1+T100,IF(G100=600,((D100+E100)/2)+0.12+T100,IF(G100=800,((D100+E100)/2)+0.16+T100,IF(G100=1000,((D100+E100)/2)+0.2+T100,IF(G100=1200,((D100+E100)/2)+0.24+T100,IF(G100=1500,((D100+E100)/2)+0.3+T100,IF(G100&gt;1500,((D100+E100)/2)+0.4+T100))))))))</f>
        <v>2.02</v>
      </c>
      <c r="I100" s="102">
        <f>IF(K100=0,0,IF(H100&gt;=1.25,F100*H100/20,0))</f>
        <v>6.0599999999564478</v>
      </c>
      <c r="J100" s="467">
        <v>0</v>
      </c>
      <c r="K100" s="449">
        <f>IF(G100=400,1,0)+IF(G100=500,1.2,0)+IF(G100=600,1.4,0)+IF(G100=800,1.7,0)+IF(G100=1000,2,0)+IF(G100=1200,2.2,0)+IF(G100=1500,2.6,0)+IF(G100=1650,3,0)+IF(G100=1800,3.2,0)+IF(G100=2000,3.4,0)+IF(G100=2200,3.6,0)+IF(G100=2400,3.8,0)+IF(G100=2600,4,0)+IF(G100=3000,4.4,0)</f>
        <v>1.4</v>
      </c>
      <c r="L100" s="449">
        <f>2*J100*H100+K100</f>
        <v>1.4</v>
      </c>
      <c r="M100" s="449">
        <f>'Planilha Hidráulica'!X110</f>
        <v>500</v>
      </c>
      <c r="N100" s="449">
        <f>L100*F100</f>
        <v>83.999999999396309</v>
      </c>
      <c r="O100" s="468" t="str">
        <f>'Planilha Hidráulica'!W110</f>
        <v>ASFALTO</v>
      </c>
      <c r="P100" s="468" t="s">
        <v>2065</v>
      </c>
      <c r="Q100" s="468"/>
      <c r="R100" s="468">
        <v>5</v>
      </c>
      <c r="S100" s="468">
        <v>5</v>
      </c>
      <c r="T100" s="449">
        <f>IF(G100=400,0.05,0)+IF(G100=500,0.05,0)+IF(G100=600,0.1,0)+IF(G100=800,0.1,0)+IF(G100=1000,0.15,0)+IF(G100=1200,0.15,0)+IF(G100=1500,0.2,0)+IF(G100=1650,0.2,0)+IF(G100=1800,0.2,0)+IF(G100=2000,0.25,0)+IF(G100=2200,0.25,0)+IF(G100=2400,0.25,0)+IF(G100=2600,0.25,0)+IF(G100=3000,0.25,0)</f>
        <v>0.1</v>
      </c>
      <c r="U100" s="453">
        <f>IFERROR((PI()*(M100/1000)*(M100/1000)/4)*F100,0)</f>
        <v>11.780972450877057</v>
      </c>
      <c r="V100" s="106">
        <f>((((J100*H100)*H100)/2)*2+K100*H100)*F100-U100+AW100</f>
        <v>157.8990275479035</v>
      </c>
      <c r="W100" s="106">
        <f>V100-SUM(AC100:AR100)</f>
        <v>0</v>
      </c>
      <c r="X100" s="107">
        <f>IF(Q100=1,IF(M100=0,H100+0.4,0.4),0)</f>
        <v>0</v>
      </c>
      <c r="Y100" s="453">
        <f>IF(R100&lt;H100,R100,H100)</f>
        <v>2.02</v>
      </c>
      <c r="Z100" s="453">
        <f>H100-Y100</f>
        <v>0</v>
      </c>
      <c r="AA100" s="456">
        <f>IF(O100="ASFALTO",L100*F100,0)</f>
        <v>83.999999999396309</v>
      </c>
      <c r="AB100" s="469">
        <f>IF(O100="CONCRETO",L100*F100,0)</f>
        <v>0</v>
      </c>
      <c r="AC100" s="109">
        <f>IF(X100=0,0,IF(X100=0.4,IF(K100&lt;=1.5,IF(Y100+0.4&gt;=1.5,0,K100*F100*0.4),0),IF(K100&lt;=1.5,IF(X100&gt;=1.5,L100*F100*1.5,K100*F100*(X100)),0)+IF(R100&lt;H100+0.4,0,IF(AND(X100&lt;=1.5,K100&lt;=1.5),-U100,0))))</f>
        <v>0</v>
      </c>
      <c r="AD100" s="109">
        <f>IF(X100=0,0,IF(X100=0.4,IF(K100&lt;=1.5,IF(OR(Y100+0.4&gt;=3,Y100+0.4&lt;1.5),0,K100*F100*0.4),0),IF(IF(K100&lt;=1.5,IF(X100&gt;=3,L100*F100*1.5,K100*F100*(X100-1.5)),0)&lt;0,0,IF(K100&lt;=1.5,IF(X100&gt;=3,L100*F100*1.5,K100*F100*(X100-1.5)),0))+IF(R100&lt;H100+0.4,0,IF(AND(X100&lt;=3,K100&lt;=1.5),-U100,0))))</f>
        <v>0</v>
      </c>
      <c r="AE100" s="109">
        <f>IF(X100=0,0,IF(X100=0.4,IF(K100&lt;=1.5,IF(OR(Y100+0.4&gt;=4.5,Y100+0.4&lt;3),0,K100*F100*0.4),0),IF(IF(K100&lt;=1.5,IF(X100&gt;=4.5,L100*F100*1.5,K100*F100*(X100-3)),0)&lt;0,0,IF(K100&lt;=1.5,IF(X100&gt;=3,L100*F100*1.5,K100*F100*(X100-3)),0))+IF(R100&lt;H100+0.4,0,IF(AND(X100&lt;=4.5,K100&lt;=1.5),-U100,0))))</f>
        <v>0</v>
      </c>
      <c r="AF100" s="109">
        <f>IF(X100=0,0,IF(X100=0.4,IF(AND(K100&gt;1.5,K100&lt;=2.6),IF(Y100+0.4&gt;=1.5,0,K100*F100*0.4),0),IF(AND(K100&gt;1.5,K100&lt;=2.6),IF(X100&gt;=1.5,L100*F100*1.5,K100*F100*(X100)),0)+IF(R100&lt;H100+0.4,0,IF(AND(X100&lt;=1.5,K100&lt;=1.5),-U100,0))))</f>
        <v>0</v>
      </c>
      <c r="AG100" s="109">
        <f>IF(X100=0,0,IF(X100=0.4,IF(AND(K100&gt;1.5,K100&lt;=2.6),IF(OR(Y100+0.4&gt;=3,Y100+0.4&lt;1.5),0,K100*F100*0.4),0),IF(IF(AND(K100&gt;1.5,K100&lt;=2.6),IF(X100&gt;=3,L100*F100*1.5,K100*F100*(X100-1.5)),0)&lt;0,0,IF(AND(K100&gt;1.5,K100&lt;=2.6),IF(X100&gt;=3,L100*F100*1.5,K100*F100*(X100-1.5)),0))+IF(R100&lt;H100+0.4,0,IF(AND(X100&lt;=3,K100&lt;=1.5),-U100,0))))</f>
        <v>0</v>
      </c>
      <c r="AH100" s="109">
        <f>IF(X100=0,0,IF(X100=0.4,IF(AND(K100&gt;1.5,K100&lt;=2.6),IF(OR(Y100+0.4&gt;=4.5,Y100+0.4&lt;3),0,K100*F100*0.4),0),IF(IF(AND(K100&gt;1.5,K100&lt;=2.6),IF(X100&gt;=4.5,L100*F100*1.5,K100*F100*(X100-3)),0)&lt;0,0,IF(AND(K100&gt;1.5,K100&lt;=2.6),IF(X100&gt;=4.5,L100*F100*1.5,K100*F100*(X100-3)),0))+IF(R100&lt;H100+0.4,0,IF(AND(X100&lt;=3,K100&lt;=1.5),-U100,0))))</f>
        <v>0</v>
      </c>
      <c r="AI100" s="109">
        <f>IF(X100=0,0,IF(X100=0.4,IF(AND(K100&gt;1.5,K100&lt;=2.6),IF(OR(Y100+0.4&gt;=6,Y100+0.4&lt;4.5),0,K100*F100*0.4),0),IF(IF(AND(K100&gt;1.5,K100&lt;=2.6),IF(X100&gt;=6,L100*F100*1.5,K100*F100*(X100-4.5)),0)&lt;0,0,IF(AND(K100&gt;1.5,K100&lt;=2.6),IF(X100&gt;=6,L100*F100*1.5,K100*F100*(X100-4.5)),0))+IF(R100&lt;H100+0.4,0,IF(AND(X100&lt;=3,K100&lt;=1.5),-U100,0))))</f>
        <v>0</v>
      </c>
      <c r="AJ100" s="456">
        <f>IF(K100&lt;=1.5,IF(Y100&gt;=1.5,L100*F100*1.5,K100*F100*Y100),0)+IF(R100&lt;H100,0,IF(AND(Y100&lt;=1.5,K100&lt;=1.5),-U100,0))</f>
        <v>125.99999999909446</v>
      </c>
      <c r="AK100" s="456">
        <f>IF(IF(K100&lt;=1.5,IF(Y100&gt;=3,L100*F100*1.5,K100*F100*(Y100-1.5)),0)&lt;0,0,IF(K100&lt;=1.5,IF(Y100&gt;=3,L100*F100*1.5,K100*F100*(Y100-1.5)),0))+IF(R100&lt;H100,0,IF(AND(Y100&lt;=3,K100&lt;=1.5),-U100,0))</f>
        <v>31.899027548809023</v>
      </c>
      <c r="AL100" s="456">
        <f>IF(AND(K100&lt;=2.5,K100&gt;1.5),IF(Y100&gt;=1.5,L100*F100*1.5,K100*F100*Y100),0)+IF(R100&lt;H100,0,IF(AND(Y100&lt;=1.5,K100&gt;1.5,K100&lt;=2.5),-U100,0))</f>
        <v>0</v>
      </c>
      <c r="AM100" s="456">
        <f>IF(IF(AND(K100&lt;=2.5,K100&gt;1.5),IF(Y100&gt;=3,L100*F100*1.5,K100*F100*(Y100-1.5)),0)&lt;0,0,IF(AND(K100&lt;=2.5,K100&gt;1.5),IF(Y100&gt;=3,L100*F100*1.5,K100*F100*(Y100-1.5)),0))+IF(R100&lt;H100,0,IF(AND(Y100&lt;=3,Y100&gt;1.5,K100&gt;1.5,K100&lt;=2.5),-U100,0))</f>
        <v>0</v>
      </c>
      <c r="AN100" s="456">
        <f>IF(IF(K100&lt;=2.5,IF(Y100&gt;=4.5,L100*F100*1.5,K100*F100*(Y100-3)),0)&lt;0,0,IF(K100&lt;=2.5,IF(Y100&gt;=4.5,L100*F100*1.5,K100*F100*(Y100-3)),0))+IF(R100&lt;H100,0,IF(AND(Y100&lt;=4.5,Y100&gt;3,K100&gt;1.5,K100&lt;=2.5),-U100,0))</f>
        <v>0</v>
      </c>
      <c r="AO100" s="456">
        <f>IF(K100&gt;2.5,IF(Y100&gt;=2,L100*F100*2,K100*F100*Y100),0)+IF(R100&lt;H100,0,IF(AND(Y100&lt;=2,K100&gt;=2.5),-U100,0))</f>
        <v>0</v>
      </c>
      <c r="AP100" s="456">
        <f>IF(IF(K100&gt;2.5,IF(Y100&gt;=4,L100*F100*2,K100*F100*(Y100-2)),0)&lt;0,0,IF(K100&gt;2.5,IF(Y100&gt;=4,L100*F100*2,K100*F100*(Y100-2)),0))+IF(R100&lt;H100,0,IF(AND(Y100&lt;=4,Y100&gt;2,K100&gt;2.5),-U100,0))</f>
        <v>0</v>
      </c>
      <c r="AQ100" s="456">
        <f>IF(IF(K100&gt;2.5,IF(Y100&gt;=6,L100*F100*2,K100*F100*(Y100-4)),0)&lt;0,0,IF(K100&gt;2.5,IF(Y100&gt;=6,L100*F100*2,K100*F100*(Y100-4)),0))+IF(R100&lt;H100,0,IF(AND(Y100&lt;=6,Y100&gt;4,K100&gt;2.5),-U100,0))</f>
        <v>0</v>
      </c>
      <c r="AR100" s="102">
        <f>ROUND(V100-SUM(AC100:AQ100),2)</f>
        <v>0</v>
      </c>
      <c r="AS100" s="449">
        <f>IF(H100-S100&lt;0,0,(H100-S100)*F100)/75</f>
        <v>0</v>
      </c>
      <c r="AT100" s="104">
        <f>F100*K100*H100-PI()*(G100/1000)*(G100/1000)/4*F100+AW100</f>
        <v>152.71539966951758</v>
      </c>
      <c r="AU100" s="102">
        <f>IF(K100&lt;1.5,K100*F100*IF(G100&lt;=500,0.05,IF(G100&lt;=800,0.1,IF(G100&lt;=1200,0.15,IF(G100&gt;=1500,0.2)))),0)</f>
        <v>8.3999999999396309</v>
      </c>
      <c r="AV100" s="106">
        <f>IF(K100&gt;=1.5,K100*F100*IF(G100&lt;=500,0.05,IF(G100&lt;=800,0.1,IF(G100&lt;=1200,0.15,IF(G100&gt;=1500,0.2)))),0)</f>
        <v>0</v>
      </c>
      <c r="AW100" s="104">
        <f>IF(Q100=1,0.4*F100*K100,0)</f>
        <v>0</v>
      </c>
      <c r="AX100" s="104">
        <f>IF(AW100&lt;SUM(AJ100:AQ100),0,AW100)</f>
        <v>0</v>
      </c>
      <c r="AY100" s="104">
        <f>G100/1000+0.3</f>
        <v>0.89999999999999991</v>
      </c>
      <c r="AZ100" s="104">
        <f>AY100*K100*F100-PI()*(G100/1000*G100/1000)/4*F100</f>
        <v>58.635399670193706</v>
      </c>
      <c r="BA100" s="104">
        <f>IF(AZ100&lt;SUM(AJ100:AQ100),0,AZ100)</f>
        <v>0</v>
      </c>
      <c r="BB100" s="104">
        <f>IF(O100="ASFALTO",0.15*F100*K100,0)</f>
        <v>12.599999999909446</v>
      </c>
      <c r="BC100" s="104">
        <f>BB100</f>
        <v>12.599999999909446</v>
      </c>
      <c r="BD100" s="104">
        <f>IF(O100="ASFALTO",0.03*F100*K100,0)</f>
        <v>2.5199999999818892</v>
      </c>
      <c r="BE100" s="104">
        <f>AT100-AW100-SUM(AU100:AV100)-BB100-BC100-AZ100</f>
        <v>60.479999999565351</v>
      </c>
      <c r="BF100" s="104">
        <f>SUM(AJ100:AQ100)-AW100-BB100-AZ100</f>
        <v>86.663627877800323</v>
      </c>
      <c r="BG100" s="104">
        <f>IF(SMALL(BE100:BF100,1)&lt;0,0,SMALL(BE100:BF100,1))</f>
        <v>60.479999999565351</v>
      </c>
      <c r="BH100" s="104">
        <f>BF100-BG100</f>
        <v>26.183627878234972</v>
      </c>
      <c r="BI100" s="104">
        <f>BE100-BG100</f>
        <v>0</v>
      </c>
      <c r="BJ100" s="104">
        <f>IF($BI$120&gt;$BJ$122,($BJ$122/$BI$120)*BI100,BI100)</f>
        <v>0</v>
      </c>
      <c r="BK100" s="104">
        <f t="shared" ref="BK100" si="335">BI100-BJ100</f>
        <v>0</v>
      </c>
      <c r="BL100" s="125"/>
      <c r="BM100" s="104">
        <f t="shared" ref="BM100" si="336">IF(AW100+BB100&gt;0,4%*(AW100+BB100),0)</f>
        <v>0.5039999999963779</v>
      </c>
      <c r="BN100" s="455">
        <f t="shared" ref="BN100" si="337">IF(G100=400,H100,0)</f>
        <v>0</v>
      </c>
      <c r="BO100" s="457">
        <f t="shared" ref="BO100" si="338">IF(BN100&lt;=1.75,AND(BN100&gt;0)*F100,0)</f>
        <v>0</v>
      </c>
      <c r="BP100" s="457">
        <f t="shared" ref="BP100" si="339">IF(BN100&lt;=3,AND(BN100&gt;1.75)*F100,0)</f>
        <v>0</v>
      </c>
      <c r="BQ100" s="457">
        <f t="shared" ref="BQ100" si="340">IF(G100=500,H100,0)</f>
        <v>0</v>
      </c>
      <c r="BR100" s="451">
        <f t="shared" ref="BR100" si="341">IF(BQ100&lt;=1.75,AND(BQ100&gt;0)*F100,0)</f>
        <v>0</v>
      </c>
      <c r="BS100" s="451">
        <f t="shared" ref="BS100" si="342">IF(BQ100&lt;=3,AND(BQ100&gt;1.75)*F100,0)</f>
        <v>0</v>
      </c>
      <c r="BT100" s="451">
        <f t="shared" ref="BT100" si="343">IF(G100=600,H100,0)</f>
        <v>2.02</v>
      </c>
      <c r="BU100" s="451">
        <f t="shared" ref="BU100" si="344">IF(BT100&lt;=3,AND(BT100&gt;0)*F100,0)</f>
        <v>59.999999999568793</v>
      </c>
      <c r="BV100" s="451">
        <f t="shared" ref="BV100" si="345">IF(BT100&lt;=6,AND(BT100&gt;3)*F100,0)</f>
        <v>0</v>
      </c>
      <c r="BW100" s="451">
        <f t="shared" ref="BW100" si="346">IF(BT100&lt;=9,AND(BT100&gt;6)*F100,0)</f>
        <v>0</v>
      </c>
      <c r="BX100" s="451">
        <f t="shared" ref="BX100" si="347">IF(G100=800,H100,0)</f>
        <v>0</v>
      </c>
      <c r="BY100" s="451">
        <f t="shared" ref="BY100" si="348">IF(BX100&lt;=3,AND(BX100&gt;0)*F100,0)</f>
        <v>0</v>
      </c>
      <c r="BZ100" s="451">
        <f t="shared" ref="BZ100" si="349">IF(BX100&lt;=6,AND(BX100&gt;3)*F100,0)</f>
        <v>0</v>
      </c>
      <c r="CA100" s="451">
        <f t="shared" ref="CA100" si="350">IF(BX100&lt;=9,AND(BX100&gt;6)*F100,0)</f>
        <v>0</v>
      </c>
      <c r="CB100" s="451">
        <f t="shared" ref="CB100" si="351">IF(G100=1000,H100,0)</f>
        <v>0</v>
      </c>
      <c r="CC100" s="451">
        <f t="shared" ref="CC100" si="352">IF(CB100&lt;=3,AND(CB100&gt;0)*F100,0)</f>
        <v>0</v>
      </c>
      <c r="CD100" s="451">
        <f t="shared" ref="CD100" si="353">IF(CB100&lt;=6,AND(CB100&gt;3)*F100,0)</f>
        <v>0</v>
      </c>
      <c r="CE100" s="451">
        <f t="shared" ref="CE100" si="354">IF(CB100&lt;=9,AND(CB100&gt;6)*F100,0)</f>
        <v>0</v>
      </c>
      <c r="CF100" s="451">
        <f t="shared" ref="CF100" si="355">IF(G100=1200,H100,0)</f>
        <v>0</v>
      </c>
      <c r="CG100" s="451">
        <f t="shared" ref="CG100" si="356">IF(CF100&lt;=3,AND(CF100&gt;0)*F100,0)</f>
        <v>0</v>
      </c>
      <c r="CH100" s="451">
        <f t="shared" ref="CH100" si="357">IF(CF100&lt;=6,AND(CF100&gt;3)*F100,0)</f>
        <v>0</v>
      </c>
      <c r="CI100" s="451">
        <f t="shared" ref="CI100" si="358">IF(CF100&lt;=9,AND(CF100&gt;6)*F100,0)</f>
        <v>0</v>
      </c>
      <c r="CJ100" s="458">
        <f t="shared" ref="CJ100" si="359">IF(G100=1500,H100,0)</f>
        <v>0</v>
      </c>
      <c r="CK100" s="451">
        <f t="shared" ref="CK100" si="360">IF(CJ100&lt;=3,AND(CJ100&gt;0)*F100,0)</f>
        <v>0</v>
      </c>
      <c r="CL100" s="451">
        <f t="shared" ref="CL100" si="361">IF(CJ100&lt;=6,AND(CJ100&gt;3)*F100,0)</f>
        <v>0</v>
      </c>
      <c r="CM100" s="451">
        <f t="shared" ref="CM100" si="362">IF(CJ100&lt;=9,AND(CJ100&gt;6)*F100,0)</f>
        <v>0</v>
      </c>
      <c r="CN100" s="454">
        <f t="shared" ref="CN100" si="363">IF(G100=1650,F100,0)</f>
        <v>0</v>
      </c>
      <c r="CO100" s="454">
        <f t="shared" ref="CO100" si="364">IF(G100=1800,F100,0)</f>
        <v>0</v>
      </c>
      <c r="CP100" s="454">
        <f t="shared" ref="CP100" si="365">IF(G100=2000,F100,0)</f>
        <v>0</v>
      </c>
      <c r="CQ100" s="454">
        <f t="shared" ref="CQ100" si="366">IF(G100=2200,F100,0)</f>
        <v>0</v>
      </c>
      <c r="CR100" s="454">
        <f t="shared" ref="CR100" si="367">IF(G100=2400,F100,0)</f>
        <v>0</v>
      </c>
      <c r="CS100" s="454">
        <f t="shared" ref="CS100" si="368">IF(G100=2600,F100,0)</f>
        <v>0</v>
      </c>
      <c r="CT100" s="459">
        <f t="shared" ref="CT100" si="369">IF(G100=3000,F100,0)</f>
        <v>0</v>
      </c>
      <c r="CU100" s="460">
        <f t="shared" ref="CU100" si="370">IF(G100&gt;=100,1,0)</f>
        <v>1</v>
      </c>
      <c r="CV100" s="460">
        <f t="shared" ref="CV100" si="371">IF(CU100=1,IF(G100&lt;=600,1,0))</f>
        <v>1</v>
      </c>
      <c r="CW100" s="460">
        <f t="shared" ref="CW100" si="372">IF(CU100=1,IF($G100=800,1,0))</f>
        <v>0</v>
      </c>
      <c r="CX100" s="460">
        <f t="shared" ref="CX100" si="373">IF(CU100=1,IF($G100=1000,1,0))</f>
        <v>0</v>
      </c>
      <c r="CY100" s="460">
        <f t="shared" ref="CY100" si="374">IF(CU100=1,IF($G100=1200,1,0))</f>
        <v>0</v>
      </c>
      <c r="CZ100" s="460">
        <f t="shared" ref="CZ100" si="375">IF(CU100=1,IF($G100=1500,1,0))</f>
        <v>0</v>
      </c>
      <c r="DA100" s="461">
        <f t="shared" ref="DA100" si="376">IF(IF(G100&lt;=600,(D100-DB100),0)+IF(G100=800,(D100-DC100),0)+IF(G100&gt;=1000,D100-DD100,0)&lt;0,0,IF(G100&lt;=600,(D100-DB100),0)+IF(G100=800,(D100-DC100),0)+IF(G100&gt;=1000,D100-DD100,0))</f>
        <v>0.30000000000000004</v>
      </c>
      <c r="DB100" s="118">
        <v>1.3</v>
      </c>
      <c r="DC100" s="118">
        <v>1.4</v>
      </c>
      <c r="DD100" s="118">
        <v>2</v>
      </c>
      <c r="DE100" s="118">
        <v>2</v>
      </c>
      <c r="DF100" s="462">
        <v>2</v>
      </c>
      <c r="DG100" s="455">
        <f t="shared" ref="DG100" si="377">IF(K100&lt;=1.5,IF(H100&lt;1.5,H100*F100*2,F100*2*1.5),0)</f>
        <v>179.99999999870639</v>
      </c>
      <c r="DH100" s="463">
        <f t="shared" ref="DH100" si="378">IF(K100&lt;=1.5,IF(AND(H100&lt;3,H100&gt;1.5),(H100-1.5)*F100*2,IF(H100&gt;=3,(F100*2*1.5),0)),0)</f>
        <v>62.399999999551547</v>
      </c>
      <c r="DI100" s="463">
        <f t="shared" ref="DI100" si="379">IF(K100&lt;=1.5,IF(AND(H100&lt;4.5,H100&gt;3),(H100-3)*F100*2,IF(H100&gt;=4.5,(F100*2*1.5),0)),0)</f>
        <v>0</v>
      </c>
      <c r="DJ100" s="463">
        <f t="shared" ref="DJ100" si="380">IF(AND(K100&lt;=2.5,K100&gt;1.5),IF(H100&lt;1.5,H100*F100*2,F100*2*1.5),0)</f>
        <v>0</v>
      </c>
      <c r="DK100" s="463">
        <f t="shared" ref="DK100" si="381">IF(AND(K100&gt;1.5,K100&lt;=2.5),IF(AND(H100&lt;3,H100&gt;1.5),(H100-1.5)*F100*2,IF(H100&gt;=3,(F100*2*1.5),0)),0)</f>
        <v>0</v>
      </c>
      <c r="DL100" s="463">
        <f t="shared" ref="DL100" si="382">IF(AND(K100&gt;1.5,K100&lt;=2.5),IF(AND(H100&lt;4.5,H100&gt;3),(H100-3)*F100*2,IF(H100&gt;=4.5,(F100*2*1.5),0)),0)</f>
        <v>0</v>
      </c>
      <c r="DM100" s="463">
        <f t="shared" ref="DM100" si="383">IF(AND(K100&lt;=3.5,K100&gt;2.5),IF(H100&lt;1.5,H100*F100*2,F100*2*1.5),0)</f>
        <v>0</v>
      </c>
      <c r="DN100" s="463">
        <f t="shared" ref="DN100" si="384">IF(AND(K100&gt;2.5,K100&lt;=3.5),IF(AND(H100&lt;3,H100&gt;1.5),(H100-1.5)*F100*2,IF(H100&gt;=3,(F100*2*1.5),0)),0)</f>
        <v>0</v>
      </c>
      <c r="DO100" s="463">
        <f t="shared" ref="DO100" si="385">IF(AND(K100&gt;2.5,K100&lt;=3.5),IF(AND(H100&lt;4.5,H100&gt;3),(H100-3)*F100*2,IF(H100&gt;=4.5,(F100*2*1.5),0)),0)</f>
        <v>0</v>
      </c>
      <c r="DP100" s="463">
        <f t="shared" ref="DP100" si="386">IF(AND(K100&gt;2.5,K100&lt;=3.5),IF(AND(H100&lt;6,H100&gt;4.5),(H100-4.5)*F100*2,IF(H100&gt;=6,(F100*2*1.5),0)),0)</f>
        <v>0</v>
      </c>
      <c r="DQ100" s="445"/>
    </row>
    <row r="101" spans="1:121" s="86" customFormat="1" ht="13" x14ac:dyDescent="0.25">
      <c r="A101" s="101"/>
      <c r="B101" s="101"/>
      <c r="C101" s="87" t="str">
        <f>'Planilha Hidráulica'!B111</f>
        <v>RD-2</v>
      </c>
      <c r="D101" s="258"/>
      <c r="E101" s="258"/>
      <c r="F101" s="258"/>
      <c r="G101" s="101"/>
      <c r="H101" s="449"/>
      <c r="I101" s="449"/>
      <c r="J101" s="467"/>
      <c r="K101" s="449"/>
      <c r="L101" s="449"/>
      <c r="M101" s="470"/>
      <c r="N101" s="449"/>
      <c r="O101" s="468"/>
      <c r="P101" s="468"/>
      <c r="Q101" s="468"/>
      <c r="R101" s="468"/>
      <c r="S101" s="468"/>
      <c r="T101" s="449"/>
      <c r="U101" s="453"/>
      <c r="V101" s="453"/>
      <c r="W101" s="453"/>
      <c r="X101" s="453"/>
      <c r="Y101" s="453"/>
      <c r="Z101" s="453"/>
      <c r="AA101" s="456"/>
      <c r="AB101" s="469"/>
      <c r="AC101" s="469"/>
      <c r="AD101" s="469"/>
      <c r="AE101" s="469"/>
      <c r="AF101" s="469"/>
      <c r="AG101" s="469"/>
      <c r="AH101" s="469"/>
      <c r="AI101" s="469"/>
      <c r="AJ101" s="456"/>
      <c r="AK101" s="456"/>
      <c r="AL101" s="456"/>
      <c r="AM101" s="456"/>
      <c r="AN101" s="456"/>
      <c r="AO101" s="456"/>
      <c r="AP101" s="456"/>
      <c r="AQ101" s="456"/>
      <c r="AR101" s="449"/>
      <c r="AS101" s="449"/>
      <c r="AT101" s="465"/>
      <c r="AU101" s="465"/>
      <c r="AV101" s="466"/>
      <c r="AW101" s="465"/>
      <c r="AX101" s="465"/>
      <c r="AY101" s="465"/>
      <c r="AZ101" s="465"/>
      <c r="BA101" s="465"/>
      <c r="BB101" s="465"/>
      <c r="BC101" s="465"/>
      <c r="BD101" s="465"/>
      <c r="BE101" s="449"/>
      <c r="BF101" s="449"/>
      <c r="BG101" s="449"/>
      <c r="BH101" s="449"/>
      <c r="BI101" s="449"/>
      <c r="BJ101" s="449"/>
      <c r="BK101" s="449"/>
      <c r="BL101" s="465"/>
      <c r="BM101" s="465"/>
      <c r="BN101" s="456"/>
      <c r="BO101" s="471"/>
      <c r="BP101" s="471"/>
      <c r="BQ101" s="471"/>
      <c r="BR101" s="449"/>
      <c r="BS101" s="449"/>
      <c r="BT101" s="449"/>
      <c r="BU101" s="449"/>
      <c r="BV101" s="449"/>
      <c r="BW101" s="449"/>
      <c r="BX101" s="449"/>
      <c r="BY101" s="449"/>
      <c r="BZ101" s="449"/>
      <c r="CA101" s="449"/>
      <c r="CB101" s="449"/>
      <c r="CC101" s="449"/>
      <c r="CD101" s="449"/>
      <c r="CE101" s="449"/>
      <c r="CF101" s="449"/>
      <c r="CG101" s="449"/>
      <c r="CH101" s="449"/>
      <c r="CI101" s="449"/>
      <c r="CJ101" s="472"/>
      <c r="CK101" s="449"/>
      <c r="CL101" s="449"/>
      <c r="CM101" s="449"/>
      <c r="CN101" s="453"/>
      <c r="CO101" s="453"/>
      <c r="CP101" s="453"/>
      <c r="CQ101" s="453"/>
      <c r="CR101" s="453"/>
      <c r="CS101" s="453"/>
      <c r="CT101" s="473"/>
      <c r="CU101" s="470"/>
      <c r="CV101" s="470"/>
      <c r="CW101" s="470"/>
      <c r="CX101" s="470"/>
      <c r="CY101" s="470"/>
      <c r="CZ101" s="470"/>
      <c r="DA101" s="474"/>
      <c r="DB101" s="77"/>
      <c r="DC101" s="77"/>
      <c r="DD101" s="77"/>
      <c r="DE101" s="77"/>
      <c r="DF101" s="475"/>
      <c r="DG101" s="456"/>
      <c r="DH101" s="476"/>
      <c r="DI101" s="476"/>
      <c r="DJ101" s="476"/>
      <c r="DK101" s="476"/>
      <c r="DL101" s="476"/>
      <c r="DM101" s="476"/>
      <c r="DN101" s="476"/>
      <c r="DO101" s="476"/>
      <c r="DP101" s="476"/>
      <c r="DQ101" s="445"/>
    </row>
    <row r="102" spans="1:121" s="86" customFormat="1" x14ac:dyDescent="0.25">
      <c r="A102" s="259" t="s">
        <v>2070</v>
      </c>
      <c r="B102" s="101"/>
      <c r="C102" s="101" t="str">
        <f>'Planilha Hidráulica'!B112</f>
        <v>PV1.1-&gt;PV2.1</v>
      </c>
      <c r="D102" s="258">
        <f>'Planilha Hidráulica'!R112</f>
        <v>1.6</v>
      </c>
      <c r="E102" s="258">
        <f>'Planilha Hidráulica'!S112</f>
        <v>1.6</v>
      </c>
      <c r="F102" s="258">
        <f>'Planilha Hidráulica'!K112</f>
        <v>34.01</v>
      </c>
      <c r="G102" s="101">
        <f>'Planilha Hidráulica'!M112</f>
        <v>600</v>
      </c>
      <c r="H102" s="449">
        <f t="shared" ref="H102:H107" si="387">IF(G102=400,((D102+E102)/2)+0.08+T102,IF(G102=500,((D102+E102)/2)+0.1+T102,IF(G102=600,((D102+E102)/2)+0.12+T102,IF(G102=800,((D102+E102)/2)+0.16+T102,IF(G102=1000,((D102+E102)/2)+0.2+T102,IF(G102=1200,((D102+E102)/2)+0.24+T102,IF(G102=1500,((D102+E102)/2)+0.3+T102,IF(G102&gt;1500,((D102+E102)/2)+0.4+T102))))))))</f>
        <v>1.8200000000000003</v>
      </c>
      <c r="I102" s="102">
        <f t="shared" ref="I102:I107" si="388">IF(K102=0,0,IF(H102&gt;=1.25,F102*H102/20,0))</f>
        <v>3.09491</v>
      </c>
      <c r="J102" s="467">
        <v>0</v>
      </c>
      <c r="K102" s="449">
        <f t="shared" ref="K102:K107" si="389">IF(G102=400,1,0)+IF(G102=500,1.2,0)+IF(G102=600,1.4,0)+IF(G102=800,1.7,0)+IF(G102=1000,2,0)+IF(G102=1200,2.2,0)+IF(G102=1500,2.6,0)+IF(G102=1650,3,0)+IF(G102=1800,3.2,0)+IF(G102=2000,3.4,0)+IF(G102=2200,3.6,0)+IF(G102=2400,3.8,0)+IF(G102=2600,4,0)+IF(G102=3000,4.4,0)</f>
        <v>1.4</v>
      </c>
      <c r="L102" s="449">
        <f t="shared" ref="L102:L107" si="390">2*J102*H102+K102</f>
        <v>1.4</v>
      </c>
      <c r="M102" s="449">
        <f>'Planilha Hidráulica'!X112</f>
        <v>400</v>
      </c>
      <c r="N102" s="449">
        <f t="shared" ref="N102:N107" si="391">L102*F102</f>
        <v>47.613999999999997</v>
      </c>
      <c r="O102" s="468" t="str">
        <f>'Planilha Hidráulica'!W112</f>
        <v>ASFALTO</v>
      </c>
      <c r="P102" s="468" t="s">
        <v>2071</v>
      </c>
      <c r="Q102" s="144">
        <v>1</v>
      </c>
      <c r="R102" s="468">
        <v>5</v>
      </c>
      <c r="S102" s="468">
        <v>5</v>
      </c>
      <c r="T102" s="449">
        <f t="shared" ref="T102:T107" si="392">IF(G102=400,0.05,0)+IF(G102=500,0.05,0)+IF(G102=600,0.1,0)+IF(G102=800,0.1,0)+IF(G102=1000,0.15,0)+IF(G102=1200,0.15,0)+IF(G102=1500,0.2,0)+IF(G102=1650,0.2,0)+IF(G102=1800,0.2,0)+IF(G102=2000,0.25,0)+IF(G102=2200,0.25,0)+IF(G102=2400,0.25,0)+IF(G102=2600,0.25,0)+IF(G102=3000,0.25,0)</f>
        <v>0.1</v>
      </c>
      <c r="U102" s="453">
        <f t="shared" ref="U102:U107" si="393">IFERROR((PI()*(M102/1000)*(M102/1000)/4)*F102,0)</f>
        <v>4.2738226459435547</v>
      </c>
      <c r="V102" s="106">
        <f t="shared" ref="V102:V107" si="394">((((J102*H102)*H102)/2)*2+K102*H102)*F102-U102+AW102</f>
        <v>101.42925735405643</v>
      </c>
      <c r="W102" s="106">
        <f t="shared" ref="W102:W107" si="395">V102-SUM(AC102:AR102)</f>
        <v>0</v>
      </c>
      <c r="X102" s="107">
        <f t="shared" ref="X102:X107" si="396">IF(Q102=1,IF(M102=0,H102+0.4,0.4),0)</f>
        <v>0.4</v>
      </c>
      <c r="Y102" s="453">
        <f t="shared" ref="Y102:Y107" si="397">IF(R102&lt;H102,R102,H102)</f>
        <v>1.8200000000000003</v>
      </c>
      <c r="Z102" s="453">
        <f t="shared" ref="Z102:Z107" si="398">H102-Y102</f>
        <v>0</v>
      </c>
      <c r="AA102" s="456">
        <f t="shared" ref="AA102:AA107" si="399">IF(O102="ASFALTO",L102*F102,0)</f>
        <v>47.613999999999997</v>
      </c>
      <c r="AB102" s="469">
        <f t="shared" ref="AB102:AB107" si="400">IF(O102="CONCRETO",L102*F102,0)</f>
        <v>0</v>
      </c>
      <c r="AC102" s="109">
        <f t="shared" ref="AC102:AC107" si="401">IF(X102=0,0,IF(X102=0.4,IF(K102&lt;=1.5,IF(Y102+0.4&gt;=1.5,0,K102*F102*0.4),0),IF(K102&lt;=1.5,IF(X102&gt;=1.5,L102*F102*1.5,K102*F102*(X102)),0)+IF(R102&lt;H102+0.4,0,IF(AND(X102&lt;=1.5,K102&lt;=1.5),-U102,0))))</f>
        <v>0</v>
      </c>
      <c r="AD102" s="109">
        <f t="shared" ref="AD102:AD107" si="402">IF(X102=0,0,IF(X102=0.4,IF(K102&lt;=1.5,IF(OR(Y102+0.4&gt;=3,Y102+0.4&lt;1.5),0,K102*F102*0.4),0),IF(IF(K102&lt;=1.5,IF(X102&gt;=3,L102*F102*1.5,K102*F102*(X102-1.5)),0)&lt;0,0,IF(K102&lt;=1.5,IF(X102&gt;=3,L102*F102*1.5,K102*F102*(X102-1.5)),0))+IF(R102&lt;H102+0.4,0,IF(AND(X102&lt;=3,K102&lt;=1.5),-U102,0))))</f>
        <v>19.0456</v>
      </c>
      <c r="AE102" s="109">
        <f t="shared" ref="AE102:AE107" si="403">IF(X102=0,0,IF(X102=0.4,IF(K102&lt;=1.5,IF(OR(Y102+0.4&gt;=4.5,Y102+0.4&lt;3),0,K102*F102*0.4),0),IF(IF(K102&lt;=1.5,IF(X102&gt;=4.5,L102*F102*1.5,K102*F102*(X102-3)),0)&lt;0,0,IF(K102&lt;=1.5,IF(X102&gt;=3,L102*F102*1.5,K102*F102*(X102-3)),0))+IF(R102&lt;H102+0.4,0,IF(AND(X102&lt;=4.5,K102&lt;=1.5),-U102,0))))</f>
        <v>0</v>
      </c>
      <c r="AF102" s="109">
        <f t="shared" ref="AF102:AF107" si="404">IF(X102=0,0,IF(X102=0.4,IF(AND(K102&gt;1.5,K102&lt;=2.6),IF(Y102+0.4&gt;=1.5,0,K102*F102*0.4),0),IF(AND(K102&gt;1.5,K102&lt;=2.6),IF(X102&gt;=1.5,L102*F102*1.5,K102*F102*(X102)),0)+IF(R102&lt;H102+0.4,0,IF(AND(X102&lt;=1.5,K102&lt;=1.5),-U102,0))))</f>
        <v>0</v>
      </c>
      <c r="AG102" s="109">
        <f t="shared" ref="AG102:AG107" si="405">IF(X102=0,0,IF(X102=0.4,IF(AND(K102&gt;1.5,K102&lt;=2.6),IF(OR(Y102+0.4&gt;=3,Y102+0.4&lt;1.5),0,K102*F102*0.4),0),IF(IF(AND(K102&gt;1.5,K102&lt;=2.6),IF(X102&gt;=3,L102*F102*1.5,K102*F102*(X102-1.5)),0)&lt;0,0,IF(AND(K102&gt;1.5,K102&lt;=2.6),IF(X102&gt;=3,L102*F102*1.5,K102*F102*(X102-1.5)),0))+IF(R102&lt;H102+0.4,0,IF(AND(X102&lt;=3,K102&lt;=1.5),-U102,0))))</f>
        <v>0</v>
      </c>
      <c r="AH102" s="109">
        <f t="shared" ref="AH102:AH107" si="406">IF(X102=0,0,IF(X102=0.4,IF(AND(K102&gt;1.5,K102&lt;=2.6),IF(OR(Y102+0.4&gt;=4.5,Y102+0.4&lt;3),0,K102*F102*0.4),0),IF(IF(AND(K102&gt;1.5,K102&lt;=2.6),IF(X102&gt;=4.5,L102*F102*1.5,K102*F102*(X102-3)),0)&lt;0,0,IF(AND(K102&gt;1.5,K102&lt;=2.6),IF(X102&gt;=4.5,L102*F102*1.5,K102*F102*(X102-3)),0))+IF(R102&lt;H102+0.4,0,IF(AND(X102&lt;=3,K102&lt;=1.5),-U102,0))))</f>
        <v>0</v>
      </c>
      <c r="AI102" s="109">
        <f t="shared" ref="AI102:AI107" si="407">IF(X102=0,0,IF(X102=0.4,IF(AND(K102&gt;1.5,K102&lt;=2.6),IF(OR(Y102+0.4&gt;=6,Y102+0.4&lt;4.5),0,K102*F102*0.4),0),IF(IF(AND(K102&gt;1.5,K102&lt;=2.6),IF(X102&gt;=6,L102*F102*1.5,K102*F102*(X102-4.5)),0)&lt;0,0,IF(AND(K102&gt;1.5,K102&lt;=2.6),IF(X102&gt;=6,L102*F102*1.5,K102*F102*(X102-4.5)),0))+IF(R102&lt;H102+0.4,0,IF(AND(X102&lt;=3,K102&lt;=1.5),-U102,0))))</f>
        <v>0</v>
      </c>
      <c r="AJ102" s="456">
        <f t="shared" ref="AJ102:AJ107" si="408">IF(K102&lt;=1.5,IF(Y102&gt;=1.5,L102*F102*1.5,K102*F102*Y102),0)+IF(R102&lt;H102,0,IF(AND(Y102&lt;=1.5,K102&lt;=1.5),-U102,0))</f>
        <v>71.420999999999992</v>
      </c>
      <c r="AK102" s="456">
        <f t="shared" ref="AK102:AK107" si="409">IF(IF(K102&lt;=1.5,IF(Y102&gt;=3,L102*F102*1.5,K102*F102*(Y102-1.5)),0)&lt;0,0,IF(K102&lt;=1.5,IF(Y102&gt;=3,L102*F102*1.5,K102*F102*(Y102-1.5)),0))+IF(R102&lt;H102,0,IF(AND(Y102&lt;=3,K102&lt;=1.5),-U102,0))</f>
        <v>10.962657354056457</v>
      </c>
      <c r="AL102" s="456">
        <f t="shared" ref="AL102:AL107" si="410">IF(AND(K102&lt;=2.5,K102&gt;1.5),IF(Y102&gt;=1.5,L102*F102*1.5,K102*F102*Y102),0)+IF(R102&lt;H102,0,IF(AND(Y102&lt;=1.5,K102&gt;1.5,K102&lt;=2.5),-U102,0))</f>
        <v>0</v>
      </c>
      <c r="AM102" s="456">
        <f t="shared" ref="AM102:AM107" si="411">IF(IF(AND(K102&lt;=2.5,K102&gt;1.5),IF(Y102&gt;=3,L102*F102*1.5,K102*F102*(Y102-1.5)),0)&lt;0,0,IF(AND(K102&lt;=2.5,K102&gt;1.5),IF(Y102&gt;=3,L102*F102*1.5,K102*F102*(Y102-1.5)),0))+IF(R102&lt;H102,0,IF(AND(Y102&lt;=3,Y102&gt;1.5,K102&gt;1.5,K102&lt;=2.5),-U102,0))</f>
        <v>0</v>
      </c>
      <c r="AN102" s="456">
        <f t="shared" ref="AN102:AN107" si="412">IF(IF(K102&lt;=2.5,IF(Y102&gt;=4.5,L102*F102*1.5,K102*F102*(Y102-3)),0)&lt;0,0,IF(K102&lt;=2.5,IF(Y102&gt;=4.5,L102*F102*1.5,K102*F102*(Y102-3)),0))+IF(R102&lt;H102,0,IF(AND(Y102&lt;=4.5,Y102&gt;3,K102&gt;1.5,K102&lt;=2.5),-U102,0))</f>
        <v>0</v>
      </c>
      <c r="AO102" s="456">
        <f t="shared" ref="AO102:AO107" si="413">IF(K102&gt;2.5,IF(Y102&gt;=2,L102*F102*2,K102*F102*Y102),0)+IF(R102&lt;H102,0,IF(AND(Y102&lt;=2,K102&gt;=2.5),-U102,0))</f>
        <v>0</v>
      </c>
      <c r="AP102" s="456">
        <f t="shared" ref="AP102:AP107" si="414">IF(IF(K102&gt;2.5,IF(Y102&gt;=4,L102*F102*2,K102*F102*(Y102-2)),0)&lt;0,0,IF(K102&gt;2.5,IF(Y102&gt;=4,L102*F102*2,K102*F102*(Y102-2)),0))+IF(R102&lt;H102,0,IF(AND(Y102&lt;=4,Y102&gt;2,K102&gt;2.5),-U102,0))</f>
        <v>0</v>
      </c>
      <c r="AQ102" s="456">
        <f t="shared" ref="AQ102:AQ107" si="415">IF(IF(K102&gt;2.5,IF(Y102&gt;=6,L102*F102*2,K102*F102*(Y102-4)),0)&lt;0,0,IF(K102&gt;2.5,IF(Y102&gt;=6,L102*F102*2,K102*F102*(Y102-4)),0))+IF(R102&lt;H102,0,IF(AND(Y102&lt;=6,Y102&gt;4,K102&gt;2.5),-U102,0))</f>
        <v>0</v>
      </c>
      <c r="AR102" s="102">
        <f t="shared" ref="AR102:AR107" si="416">ROUND(V102-SUM(AC102:AQ102),2)</f>
        <v>0</v>
      </c>
      <c r="AS102" s="449">
        <f t="shared" ref="AS102:AS107" si="417">IF(H102-S102&lt;0,0,(H102-S102)*F102)/75</f>
        <v>0</v>
      </c>
      <c r="AT102" s="104">
        <f t="shared" ref="AT102:AT107" si="418">F102*K102*H102-PI()*(G102/1000)*(G102/1000)/4*F102+AW102</f>
        <v>96.086979046627008</v>
      </c>
      <c r="AU102" s="102">
        <f t="shared" ref="AU102:AU107" si="419">IF(K102&lt;1.5,K102*F102*IF(G102&lt;=500,0.05,IF(G102&lt;=800,0.1,IF(G102&lt;=1200,0.15,IF(G102&gt;=1500,0.2)))),0)</f>
        <v>4.7614000000000001</v>
      </c>
      <c r="AV102" s="106">
        <f t="shared" ref="AV102:AV107" si="420">IF(K102&gt;=1.5,K102*F102*IF(G102&lt;=500,0.05,IF(G102&lt;=800,0.1,IF(G102&lt;=1200,0.15,IF(G102&gt;=1500,0.2)))),0)</f>
        <v>0</v>
      </c>
      <c r="AW102" s="104">
        <f t="shared" ref="AW102:AW107" si="421">IF(Q102=1,0.4*F102*K102,0)</f>
        <v>19.045599999999997</v>
      </c>
      <c r="AX102" s="104">
        <f t="shared" ref="AX102:AX107" si="422">IF(AW102&lt;SUM(AJ102:AQ102),0,AW102)</f>
        <v>0</v>
      </c>
      <c r="AY102" s="104">
        <f t="shared" ref="AY102:AY107" si="423">G102/1000+0.3</f>
        <v>0.89999999999999991</v>
      </c>
      <c r="AZ102" s="104">
        <f t="shared" ref="AZ102:AZ107" si="424">AY102*K102*F102-PI()*(G102/1000*G102/1000)/4*F102</f>
        <v>33.236499046626989</v>
      </c>
      <c r="BA102" s="104">
        <f t="shared" ref="BA102:BA107" si="425">IF(AZ102&lt;SUM(AJ102:AQ102),0,AZ102)</f>
        <v>0</v>
      </c>
      <c r="BB102" s="104">
        <f t="shared" ref="BB102:BB107" si="426">IF(O102="ASFALTO",0.15*F102*K102,0)</f>
        <v>7.1420999999999992</v>
      </c>
      <c r="BC102" s="104">
        <f t="shared" ref="BC102:BC107" si="427">BB102</f>
        <v>7.1420999999999992</v>
      </c>
      <c r="BD102" s="104">
        <f t="shared" ref="BD102:BD107" si="428">IF(O102="ASFALTO",0.03*F102*K102,0)</f>
        <v>1.4284199999999998</v>
      </c>
      <c r="BE102" s="104">
        <f t="shared" ref="BE102:BE107" si="429">AT102-AW102-SUM(AU102:AV102)-BB102-BC102-AZ102</f>
        <v>24.759280000000032</v>
      </c>
      <c r="BF102" s="104">
        <f t="shared" ref="BF102:BF107" si="430">SUM(AJ102:AQ102)-AW102-BB102-AZ102</f>
        <v>22.959458307429472</v>
      </c>
      <c r="BG102" s="104">
        <f t="shared" ref="BG102:BG107" si="431">IF(SMALL(BE102:BF102,1)&lt;0,0,SMALL(BE102:BF102,1))</f>
        <v>22.959458307429472</v>
      </c>
      <c r="BH102" s="104">
        <f t="shared" ref="BH102:BH107" si="432">BF102-BG102</f>
        <v>0</v>
      </c>
      <c r="BI102" s="104">
        <f t="shared" ref="BI102:BI107" si="433">BE102-BG102</f>
        <v>1.7998216925705606</v>
      </c>
      <c r="BJ102" s="104">
        <f>IF($BI$120&gt;$BJ$122,($BJ$122/$BI$120)*BI102,BI102)</f>
        <v>1.7998216925705606</v>
      </c>
      <c r="BK102" s="104">
        <f t="shared" ref="BK102:BK107" si="434">BI102-BJ102</f>
        <v>0</v>
      </c>
      <c r="BL102" s="125"/>
      <c r="BM102" s="104">
        <f t="shared" ref="BM102:BM107" si="435">IF(AW102+BB102&gt;0,4%*(AW102+BB102),0)</f>
        <v>1.0475079999999999</v>
      </c>
      <c r="BN102" s="455">
        <f t="shared" ref="BN102:BN107" si="436">IF(G102=400,H102,0)</f>
        <v>0</v>
      </c>
      <c r="BO102" s="457">
        <f t="shared" ref="BO102:BO107" si="437">IF(BN102&lt;=1.75,AND(BN102&gt;0)*F102,0)</f>
        <v>0</v>
      </c>
      <c r="BP102" s="457">
        <f t="shared" ref="BP102:BP107" si="438">IF(BN102&lt;=3,AND(BN102&gt;1.75)*F102,0)</f>
        <v>0</v>
      </c>
      <c r="BQ102" s="457">
        <f t="shared" ref="BQ102:BQ107" si="439">IF(G102=500,H102,0)</f>
        <v>0</v>
      </c>
      <c r="BR102" s="451">
        <f t="shared" ref="BR102:BR107" si="440">IF(BQ102&lt;=1.75,AND(BQ102&gt;0)*F102,0)</f>
        <v>0</v>
      </c>
      <c r="BS102" s="451">
        <f t="shared" ref="BS102:BS107" si="441">IF(BQ102&lt;=3,AND(BQ102&gt;1.75)*F102,0)</f>
        <v>0</v>
      </c>
      <c r="BT102" s="451">
        <f t="shared" ref="BT102:BT107" si="442">IF(G102=600,H102,0)</f>
        <v>1.8200000000000003</v>
      </c>
      <c r="BU102" s="451">
        <f t="shared" ref="BU102:BU107" si="443">IF(BT102&lt;=3,AND(BT102&gt;0)*F102,0)</f>
        <v>34.01</v>
      </c>
      <c r="BV102" s="451">
        <f t="shared" ref="BV102:BV107" si="444">IF(BT102&lt;=6,AND(BT102&gt;3)*F102,0)</f>
        <v>0</v>
      </c>
      <c r="BW102" s="451">
        <f t="shared" ref="BW102:BW107" si="445">IF(BT102&lt;=9,AND(BT102&gt;6)*F102,0)</f>
        <v>0</v>
      </c>
      <c r="BX102" s="451">
        <f t="shared" ref="BX102:BX107" si="446">IF(G102=800,H102,0)</f>
        <v>0</v>
      </c>
      <c r="BY102" s="451">
        <f t="shared" ref="BY102:BY107" si="447">IF(BX102&lt;=3,AND(BX102&gt;0)*F102,0)</f>
        <v>0</v>
      </c>
      <c r="BZ102" s="451">
        <f t="shared" ref="BZ102:BZ107" si="448">IF(BX102&lt;=6,AND(BX102&gt;3)*F102,0)</f>
        <v>0</v>
      </c>
      <c r="CA102" s="451">
        <f t="shared" ref="CA102:CA107" si="449">IF(BX102&lt;=9,AND(BX102&gt;6)*F102,0)</f>
        <v>0</v>
      </c>
      <c r="CB102" s="451">
        <f t="shared" ref="CB102:CB107" si="450">IF(G102=1000,H102,0)</f>
        <v>0</v>
      </c>
      <c r="CC102" s="451">
        <f t="shared" ref="CC102:CC107" si="451">IF(CB102&lt;=3,AND(CB102&gt;0)*F102,0)</f>
        <v>0</v>
      </c>
      <c r="CD102" s="451">
        <f t="shared" ref="CD102:CD107" si="452">IF(CB102&lt;=6,AND(CB102&gt;3)*F102,0)</f>
        <v>0</v>
      </c>
      <c r="CE102" s="451">
        <f t="shared" ref="CE102:CE107" si="453">IF(CB102&lt;=9,AND(CB102&gt;6)*F102,0)</f>
        <v>0</v>
      </c>
      <c r="CF102" s="451">
        <f t="shared" ref="CF102:CF107" si="454">IF(G102=1200,H102,0)</f>
        <v>0</v>
      </c>
      <c r="CG102" s="451">
        <f t="shared" ref="CG102:CG107" si="455">IF(CF102&lt;=3,AND(CF102&gt;0)*F102,0)</f>
        <v>0</v>
      </c>
      <c r="CH102" s="451">
        <f t="shared" ref="CH102:CH107" si="456">IF(CF102&lt;=6,AND(CF102&gt;3)*F102,0)</f>
        <v>0</v>
      </c>
      <c r="CI102" s="451">
        <f t="shared" ref="CI102:CI107" si="457">IF(CF102&lt;=9,AND(CF102&gt;6)*F102,0)</f>
        <v>0</v>
      </c>
      <c r="CJ102" s="458">
        <f t="shared" ref="CJ102:CJ107" si="458">IF(G102=1500,H102,0)</f>
        <v>0</v>
      </c>
      <c r="CK102" s="451">
        <f t="shared" ref="CK102:CK107" si="459">IF(CJ102&lt;=3,AND(CJ102&gt;0)*F102,0)</f>
        <v>0</v>
      </c>
      <c r="CL102" s="451">
        <f t="shared" ref="CL102:CL107" si="460">IF(CJ102&lt;=6,AND(CJ102&gt;3)*F102,0)</f>
        <v>0</v>
      </c>
      <c r="CM102" s="451">
        <f t="shared" ref="CM102:CM107" si="461">IF(CJ102&lt;=9,AND(CJ102&gt;6)*F102,0)</f>
        <v>0</v>
      </c>
      <c r="CN102" s="454">
        <f t="shared" ref="CN102:CN107" si="462">IF(G102=1650,F102,0)</f>
        <v>0</v>
      </c>
      <c r="CO102" s="454">
        <f t="shared" ref="CO102:CO107" si="463">IF(G102=1800,F102,0)</f>
        <v>0</v>
      </c>
      <c r="CP102" s="454">
        <f t="shared" ref="CP102:CP107" si="464">IF(G102=2000,F102,0)</f>
        <v>0</v>
      </c>
      <c r="CQ102" s="454">
        <f t="shared" ref="CQ102:CQ107" si="465">IF(G102=2200,F102,0)</f>
        <v>0</v>
      </c>
      <c r="CR102" s="454">
        <f t="shared" ref="CR102:CR107" si="466">IF(G102=2400,F102,0)</f>
        <v>0</v>
      </c>
      <c r="CS102" s="454">
        <f t="shared" ref="CS102:CS107" si="467">IF(G102=2600,F102,0)</f>
        <v>0</v>
      </c>
      <c r="CT102" s="459">
        <f t="shared" ref="CT102:CT107" si="468">IF(G102=3000,F102,0)</f>
        <v>0</v>
      </c>
      <c r="CU102" s="460">
        <f t="shared" ref="CU102:CU107" si="469">IF(G102&gt;=100,1,0)</f>
        <v>1</v>
      </c>
      <c r="CV102" s="460">
        <f t="shared" ref="CV102:CV107" si="470">IF(CU102=1,IF(G102&lt;=600,1,0))</f>
        <v>1</v>
      </c>
      <c r="CW102" s="460">
        <f t="shared" ref="CW102:CW107" si="471">IF(CU102=1,IF($G102=800,1,0))</f>
        <v>0</v>
      </c>
      <c r="CX102" s="460">
        <f t="shared" ref="CX102:CX107" si="472">IF(CU102=1,IF($G102=1000,1,0))</f>
        <v>0</v>
      </c>
      <c r="CY102" s="460">
        <f t="shared" ref="CY102:CY107" si="473">IF(CU102=1,IF($G102=1200,1,0))</f>
        <v>0</v>
      </c>
      <c r="CZ102" s="460">
        <f t="shared" ref="CZ102:CZ107" si="474">IF(CU102=1,IF($G102=1500,1,0))</f>
        <v>0</v>
      </c>
      <c r="DA102" s="461">
        <f t="shared" ref="DA102:DA107" si="475">IF(IF(G102&lt;=600,(D102-DB102),0)+IF(G102=800,(D102-DC102),0)+IF(G102&gt;=1000,D102-DD102,0)&lt;0,0,IF(G102&lt;=600,(D102-DB102),0)+IF(G102=800,(D102-DC102),0)+IF(G102&gt;=1000,D102-DD102,0))</f>
        <v>0.30000000000000004</v>
      </c>
      <c r="DB102" s="118">
        <v>1.3</v>
      </c>
      <c r="DC102" s="118">
        <v>1.4</v>
      </c>
      <c r="DD102" s="118">
        <v>2</v>
      </c>
      <c r="DE102" s="118">
        <v>2</v>
      </c>
      <c r="DF102" s="462">
        <v>2</v>
      </c>
      <c r="DG102" s="455">
        <f t="shared" ref="DG102:DG107" si="476">IF(K102&lt;=1.5,IF(H102&lt;1.5,H102*F102*2,F102*2*1.5),0)</f>
        <v>102.03</v>
      </c>
      <c r="DH102" s="463">
        <f t="shared" ref="DH102:DH107" si="477">IF(K102&lt;=1.5,IF(AND(H102&lt;3,H102&gt;1.5),(H102-1.5)*F102*2,IF(H102&gt;=3,(F102*2*1.5),0)),0)</f>
        <v>21.766400000000019</v>
      </c>
      <c r="DI102" s="463">
        <f t="shared" ref="DI102:DI107" si="478">IF(K102&lt;=1.5,IF(AND(H102&lt;4.5,H102&gt;3),(H102-3)*F102*2,IF(H102&gt;=4.5,(F102*2*1.5),0)),0)</f>
        <v>0</v>
      </c>
      <c r="DJ102" s="463">
        <f t="shared" ref="DJ102:DJ107" si="479">IF(AND(K102&lt;=2.5,K102&gt;1.5),IF(H102&lt;1.5,H102*F102*2,F102*2*1.5),0)</f>
        <v>0</v>
      </c>
      <c r="DK102" s="463">
        <f t="shared" ref="DK102:DK107" si="480">IF(AND(K102&gt;1.5,K102&lt;=2.5),IF(AND(H102&lt;3,H102&gt;1.5),(H102-1.5)*F102*2,IF(H102&gt;=3,(F102*2*1.5),0)),0)</f>
        <v>0</v>
      </c>
      <c r="DL102" s="463">
        <f t="shared" ref="DL102:DL107" si="481">IF(AND(K102&gt;1.5,K102&lt;=2.5),IF(AND(H102&lt;4.5,H102&gt;3),(H102-3)*F102*2,IF(H102&gt;=4.5,(F102*2*1.5),0)),0)</f>
        <v>0</v>
      </c>
      <c r="DM102" s="463">
        <f t="shared" ref="DM102:DM107" si="482">IF(AND(K102&lt;=3.5,K102&gt;2.5),IF(H102&lt;1.5,H102*F102*2,F102*2*1.5),0)</f>
        <v>0</v>
      </c>
      <c r="DN102" s="463">
        <f t="shared" ref="DN102:DN107" si="483">IF(AND(K102&gt;2.5,K102&lt;=3.5),IF(AND(H102&lt;3,H102&gt;1.5),(H102-1.5)*F102*2,IF(H102&gt;=3,(F102*2*1.5),0)),0)</f>
        <v>0</v>
      </c>
      <c r="DO102" s="463">
        <f t="shared" ref="DO102:DO107" si="484">IF(AND(K102&gt;2.5,K102&lt;=3.5),IF(AND(H102&lt;4.5,H102&gt;3),(H102-3)*F102*2,IF(H102&gt;=4.5,(F102*2*1.5),0)),0)</f>
        <v>0</v>
      </c>
      <c r="DP102" s="463">
        <f t="shared" ref="DP102:DP107" si="485">IF(AND(K102&gt;2.5,K102&lt;=3.5),IF(AND(H102&lt;6,H102&gt;4.5),(H102-4.5)*F102*2,IF(H102&gt;=6,(F102*2*1.5),0)),0)</f>
        <v>0</v>
      </c>
      <c r="DQ102" s="445"/>
    </row>
    <row r="103" spans="1:121" s="86" customFormat="1" x14ac:dyDescent="0.25">
      <c r="A103" s="259" t="s">
        <v>2070</v>
      </c>
      <c r="B103" s="101"/>
      <c r="C103" s="101" t="str">
        <f>'Planilha Hidráulica'!B113</f>
        <v>PV2.1-&gt;PV3.1</v>
      </c>
      <c r="D103" s="258">
        <f>'Planilha Hidráulica'!R113</f>
        <v>1.6</v>
      </c>
      <c r="E103" s="258">
        <f>'Planilha Hidráulica'!S113</f>
        <v>1.6</v>
      </c>
      <c r="F103" s="258">
        <f>'Planilha Hidráulica'!K113</f>
        <v>34.01</v>
      </c>
      <c r="G103" s="101">
        <f>'Planilha Hidráulica'!M113</f>
        <v>600</v>
      </c>
      <c r="H103" s="449">
        <f t="shared" si="387"/>
        <v>1.8200000000000003</v>
      </c>
      <c r="I103" s="102">
        <f t="shared" si="388"/>
        <v>3.09491</v>
      </c>
      <c r="J103" s="467">
        <v>0</v>
      </c>
      <c r="K103" s="449">
        <f t="shared" si="389"/>
        <v>1.4</v>
      </c>
      <c r="L103" s="449">
        <f t="shared" si="390"/>
        <v>1.4</v>
      </c>
      <c r="M103" s="449">
        <f>'Planilha Hidráulica'!X113</f>
        <v>400</v>
      </c>
      <c r="N103" s="449">
        <f t="shared" si="391"/>
        <v>47.613999999999997</v>
      </c>
      <c r="O103" s="468" t="str">
        <f>'Planilha Hidráulica'!W113</f>
        <v>ASFALTO</v>
      </c>
      <c r="P103" s="468" t="s">
        <v>2071</v>
      </c>
      <c r="Q103" s="144">
        <v>1</v>
      </c>
      <c r="R103" s="468">
        <v>5</v>
      </c>
      <c r="S103" s="468">
        <v>5</v>
      </c>
      <c r="T103" s="449">
        <f t="shared" si="392"/>
        <v>0.1</v>
      </c>
      <c r="U103" s="453">
        <f t="shared" si="393"/>
        <v>4.2738226459435547</v>
      </c>
      <c r="V103" s="106">
        <f t="shared" si="394"/>
        <v>101.42925735405643</v>
      </c>
      <c r="W103" s="106">
        <f t="shared" si="395"/>
        <v>0</v>
      </c>
      <c r="X103" s="107">
        <f t="shared" si="396"/>
        <v>0.4</v>
      </c>
      <c r="Y103" s="453">
        <f t="shared" si="397"/>
        <v>1.8200000000000003</v>
      </c>
      <c r="Z103" s="453">
        <f t="shared" si="398"/>
        <v>0</v>
      </c>
      <c r="AA103" s="456">
        <f t="shared" si="399"/>
        <v>47.613999999999997</v>
      </c>
      <c r="AB103" s="469">
        <f t="shared" si="400"/>
        <v>0</v>
      </c>
      <c r="AC103" s="109">
        <f t="shared" si="401"/>
        <v>0</v>
      </c>
      <c r="AD103" s="109">
        <f t="shared" si="402"/>
        <v>19.0456</v>
      </c>
      <c r="AE103" s="109">
        <f t="shared" si="403"/>
        <v>0</v>
      </c>
      <c r="AF103" s="109">
        <f t="shared" si="404"/>
        <v>0</v>
      </c>
      <c r="AG103" s="109">
        <f t="shared" si="405"/>
        <v>0</v>
      </c>
      <c r="AH103" s="109">
        <f t="shared" si="406"/>
        <v>0</v>
      </c>
      <c r="AI103" s="109">
        <f t="shared" si="407"/>
        <v>0</v>
      </c>
      <c r="AJ103" s="456">
        <f t="shared" si="408"/>
        <v>71.420999999999992</v>
      </c>
      <c r="AK103" s="456">
        <f t="shared" si="409"/>
        <v>10.962657354056457</v>
      </c>
      <c r="AL103" s="456">
        <f t="shared" si="410"/>
        <v>0</v>
      </c>
      <c r="AM103" s="456">
        <f t="shared" si="411"/>
        <v>0</v>
      </c>
      <c r="AN103" s="456">
        <f t="shared" si="412"/>
        <v>0</v>
      </c>
      <c r="AO103" s="456">
        <f t="shared" si="413"/>
        <v>0</v>
      </c>
      <c r="AP103" s="456">
        <f t="shared" si="414"/>
        <v>0</v>
      </c>
      <c r="AQ103" s="456">
        <f t="shared" si="415"/>
        <v>0</v>
      </c>
      <c r="AR103" s="102">
        <f t="shared" si="416"/>
        <v>0</v>
      </c>
      <c r="AS103" s="449">
        <f t="shared" si="417"/>
        <v>0</v>
      </c>
      <c r="AT103" s="104">
        <f t="shared" si="418"/>
        <v>96.086979046627008</v>
      </c>
      <c r="AU103" s="102">
        <f t="shared" si="419"/>
        <v>4.7614000000000001</v>
      </c>
      <c r="AV103" s="106">
        <f t="shared" si="420"/>
        <v>0</v>
      </c>
      <c r="AW103" s="104">
        <f t="shared" si="421"/>
        <v>19.045599999999997</v>
      </c>
      <c r="AX103" s="104">
        <f t="shared" si="422"/>
        <v>0</v>
      </c>
      <c r="AY103" s="104">
        <f t="shared" si="423"/>
        <v>0.89999999999999991</v>
      </c>
      <c r="AZ103" s="104">
        <f t="shared" si="424"/>
        <v>33.236499046626989</v>
      </c>
      <c r="BA103" s="104">
        <f t="shared" si="425"/>
        <v>0</v>
      </c>
      <c r="BB103" s="104">
        <f t="shared" si="426"/>
        <v>7.1420999999999992</v>
      </c>
      <c r="BC103" s="104">
        <f t="shared" si="427"/>
        <v>7.1420999999999992</v>
      </c>
      <c r="BD103" s="104">
        <f t="shared" si="428"/>
        <v>1.4284199999999998</v>
      </c>
      <c r="BE103" s="104">
        <f t="shared" si="429"/>
        <v>24.759280000000032</v>
      </c>
      <c r="BF103" s="104">
        <f t="shared" si="430"/>
        <v>22.959458307429472</v>
      </c>
      <c r="BG103" s="104">
        <f t="shared" si="431"/>
        <v>22.959458307429472</v>
      </c>
      <c r="BH103" s="104">
        <f t="shared" si="432"/>
        <v>0</v>
      </c>
      <c r="BI103" s="104">
        <f t="shared" si="433"/>
        <v>1.7998216925705606</v>
      </c>
      <c r="BJ103" s="104">
        <f t="shared" ref="BJ103:BJ107" si="486">IF($BI$120&gt;$BJ$122,($BJ$122/$BI$120)*BI103,BI103)</f>
        <v>1.7998216925705606</v>
      </c>
      <c r="BK103" s="104">
        <f t="shared" si="434"/>
        <v>0</v>
      </c>
      <c r="BL103" s="125"/>
      <c r="BM103" s="104">
        <f t="shared" si="435"/>
        <v>1.0475079999999999</v>
      </c>
      <c r="BN103" s="455">
        <f t="shared" si="436"/>
        <v>0</v>
      </c>
      <c r="BO103" s="457">
        <f t="shared" si="437"/>
        <v>0</v>
      </c>
      <c r="BP103" s="457">
        <f t="shared" si="438"/>
        <v>0</v>
      </c>
      <c r="BQ103" s="457">
        <f t="shared" si="439"/>
        <v>0</v>
      </c>
      <c r="BR103" s="451">
        <f t="shared" si="440"/>
        <v>0</v>
      </c>
      <c r="BS103" s="451">
        <f t="shared" si="441"/>
        <v>0</v>
      </c>
      <c r="BT103" s="451">
        <f t="shared" si="442"/>
        <v>1.8200000000000003</v>
      </c>
      <c r="BU103" s="451">
        <f t="shared" si="443"/>
        <v>34.01</v>
      </c>
      <c r="BV103" s="451">
        <f t="shared" si="444"/>
        <v>0</v>
      </c>
      <c r="BW103" s="451">
        <f t="shared" si="445"/>
        <v>0</v>
      </c>
      <c r="BX103" s="451">
        <f t="shared" si="446"/>
        <v>0</v>
      </c>
      <c r="BY103" s="451">
        <f t="shared" si="447"/>
        <v>0</v>
      </c>
      <c r="BZ103" s="451">
        <f t="shared" si="448"/>
        <v>0</v>
      </c>
      <c r="CA103" s="451">
        <f t="shared" si="449"/>
        <v>0</v>
      </c>
      <c r="CB103" s="451">
        <f t="shared" si="450"/>
        <v>0</v>
      </c>
      <c r="CC103" s="451">
        <f t="shared" si="451"/>
        <v>0</v>
      </c>
      <c r="CD103" s="451">
        <f t="shared" si="452"/>
        <v>0</v>
      </c>
      <c r="CE103" s="451">
        <f t="shared" si="453"/>
        <v>0</v>
      </c>
      <c r="CF103" s="451">
        <f t="shared" si="454"/>
        <v>0</v>
      </c>
      <c r="CG103" s="451">
        <f t="shared" si="455"/>
        <v>0</v>
      </c>
      <c r="CH103" s="451">
        <f t="shared" si="456"/>
        <v>0</v>
      </c>
      <c r="CI103" s="451">
        <f t="shared" si="457"/>
        <v>0</v>
      </c>
      <c r="CJ103" s="458">
        <f t="shared" si="458"/>
        <v>0</v>
      </c>
      <c r="CK103" s="451">
        <f t="shared" si="459"/>
        <v>0</v>
      </c>
      <c r="CL103" s="451">
        <f t="shared" si="460"/>
        <v>0</v>
      </c>
      <c r="CM103" s="451">
        <f t="shared" si="461"/>
        <v>0</v>
      </c>
      <c r="CN103" s="454">
        <f t="shared" si="462"/>
        <v>0</v>
      </c>
      <c r="CO103" s="454">
        <f t="shared" si="463"/>
        <v>0</v>
      </c>
      <c r="CP103" s="454">
        <f t="shared" si="464"/>
        <v>0</v>
      </c>
      <c r="CQ103" s="454">
        <f t="shared" si="465"/>
        <v>0</v>
      </c>
      <c r="CR103" s="454">
        <f t="shared" si="466"/>
        <v>0</v>
      </c>
      <c r="CS103" s="454">
        <f t="shared" si="467"/>
        <v>0</v>
      </c>
      <c r="CT103" s="459">
        <f t="shared" si="468"/>
        <v>0</v>
      </c>
      <c r="CU103" s="460">
        <f t="shared" si="469"/>
        <v>1</v>
      </c>
      <c r="CV103" s="460">
        <f t="shared" si="470"/>
        <v>1</v>
      </c>
      <c r="CW103" s="460">
        <f t="shared" si="471"/>
        <v>0</v>
      </c>
      <c r="CX103" s="460">
        <f t="shared" si="472"/>
        <v>0</v>
      </c>
      <c r="CY103" s="460">
        <f t="shared" si="473"/>
        <v>0</v>
      </c>
      <c r="CZ103" s="460">
        <f t="shared" si="474"/>
        <v>0</v>
      </c>
      <c r="DA103" s="461">
        <f t="shared" si="475"/>
        <v>0.30000000000000004</v>
      </c>
      <c r="DB103" s="118">
        <v>1.3</v>
      </c>
      <c r="DC103" s="118">
        <v>1.4</v>
      </c>
      <c r="DD103" s="118">
        <v>2</v>
      </c>
      <c r="DE103" s="118">
        <v>2</v>
      </c>
      <c r="DF103" s="462">
        <v>2</v>
      </c>
      <c r="DG103" s="455">
        <f t="shared" si="476"/>
        <v>102.03</v>
      </c>
      <c r="DH103" s="463">
        <f t="shared" si="477"/>
        <v>21.766400000000019</v>
      </c>
      <c r="DI103" s="463">
        <f t="shared" si="478"/>
        <v>0</v>
      </c>
      <c r="DJ103" s="463">
        <f t="shared" si="479"/>
        <v>0</v>
      </c>
      <c r="DK103" s="463">
        <f t="shared" si="480"/>
        <v>0</v>
      </c>
      <c r="DL103" s="463">
        <f t="shared" si="481"/>
        <v>0</v>
      </c>
      <c r="DM103" s="463">
        <f t="shared" si="482"/>
        <v>0</v>
      </c>
      <c r="DN103" s="463">
        <f t="shared" si="483"/>
        <v>0</v>
      </c>
      <c r="DO103" s="463">
        <f t="shared" si="484"/>
        <v>0</v>
      </c>
      <c r="DP103" s="463">
        <f t="shared" si="485"/>
        <v>0</v>
      </c>
      <c r="DQ103" s="445"/>
    </row>
    <row r="104" spans="1:121" s="86" customFormat="1" x14ac:dyDescent="0.25">
      <c r="A104" s="259" t="s">
        <v>2070</v>
      </c>
      <c r="B104" s="101"/>
      <c r="C104" s="101" t="str">
        <f>'Planilha Hidráulica'!B114</f>
        <v>PV3.1-&gt;PV4.1</v>
      </c>
      <c r="D104" s="258">
        <f>'Planilha Hidráulica'!R114</f>
        <v>1.6</v>
      </c>
      <c r="E104" s="258">
        <f>'Planilha Hidráulica'!S114</f>
        <v>1.57</v>
      </c>
      <c r="F104" s="258">
        <f>'Planilha Hidráulica'!K114</f>
        <v>32.94</v>
      </c>
      <c r="G104" s="101">
        <f>'Planilha Hidráulica'!M114</f>
        <v>600</v>
      </c>
      <c r="H104" s="449">
        <f t="shared" si="387"/>
        <v>1.8050000000000002</v>
      </c>
      <c r="I104" s="102">
        <f t="shared" si="388"/>
        <v>2.9728349999999999</v>
      </c>
      <c r="J104" s="467">
        <v>0</v>
      </c>
      <c r="K104" s="449">
        <f t="shared" si="389"/>
        <v>1.4</v>
      </c>
      <c r="L104" s="449">
        <f t="shared" si="390"/>
        <v>1.4</v>
      </c>
      <c r="M104" s="449">
        <f>'Planilha Hidráulica'!X114</f>
        <v>500</v>
      </c>
      <c r="N104" s="449">
        <f t="shared" si="391"/>
        <v>46.115999999999993</v>
      </c>
      <c r="O104" s="468" t="str">
        <f>'Planilha Hidráulica'!W114</f>
        <v>ASFALTO</v>
      </c>
      <c r="P104" s="468" t="s">
        <v>2071</v>
      </c>
      <c r="Q104" s="468"/>
      <c r="R104" s="468">
        <v>5</v>
      </c>
      <c r="S104" s="468">
        <v>5</v>
      </c>
      <c r="T104" s="449">
        <f t="shared" si="392"/>
        <v>0.1</v>
      </c>
      <c r="U104" s="453">
        <f t="shared" si="393"/>
        <v>6.4677538755779862</v>
      </c>
      <c r="V104" s="106">
        <f t="shared" si="394"/>
        <v>76.771626124422014</v>
      </c>
      <c r="W104" s="106">
        <f t="shared" si="395"/>
        <v>0</v>
      </c>
      <c r="X104" s="107">
        <f t="shared" si="396"/>
        <v>0</v>
      </c>
      <c r="Y104" s="453">
        <f t="shared" si="397"/>
        <v>1.8050000000000002</v>
      </c>
      <c r="Z104" s="453">
        <f t="shared" si="398"/>
        <v>0</v>
      </c>
      <c r="AA104" s="456">
        <f t="shared" si="399"/>
        <v>46.115999999999993</v>
      </c>
      <c r="AB104" s="469">
        <f t="shared" si="400"/>
        <v>0</v>
      </c>
      <c r="AC104" s="109">
        <f t="shared" si="401"/>
        <v>0</v>
      </c>
      <c r="AD104" s="109">
        <f t="shared" si="402"/>
        <v>0</v>
      </c>
      <c r="AE104" s="109">
        <f t="shared" si="403"/>
        <v>0</v>
      </c>
      <c r="AF104" s="109">
        <f t="shared" si="404"/>
        <v>0</v>
      </c>
      <c r="AG104" s="109">
        <f t="shared" si="405"/>
        <v>0</v>
      </c>
      <c r="AH104" s="109">
        <f t="shared" si="406"/>
        <v>0</v>
      </c>
      <c r="AI104" s="109">
        <f t="shared" si="407"/>
        <v>0</v>
      </c>
      <c r="AJ104" s="456">
        <f t="shared" si="408"/>
        <v>69.173999999999992</v>
      </c>
      <c r="AK104" s="456">
        <f t="shared" si="409"/>
        <v>7.5976261244220185</v>
      </c>
      <c r="AL104" s="456">
        <f t="shared" si="410"/>
        <v>0</v>
      </c>
      <c r="AM104" s="456">
        <f t="shared" si="411"/>
        <v>0</v>
      </c>
      <c r="AN104" s="456">
        <f t="shared" si="412"/>
        <v>0</v>
      </c>
      <c r="AO104" s="456">
        <f t="shared" si="413"/>
        <v>0</v>
      </c>
      <c r="AP104" s="456">
        <f t="shared" si="414"/>
        <v>0</v>
      </c>
      <c r="AQ104" s="456">
        <f t="shared" si="415"/>
        <v>0</v>
      </c>
      <c r="AR104" s="102">
        <f t="shared" si="416"/>
        <v>0</v>
      </c>
      <c r="AS104" s="449">
        <f t="shared" si="417"/>
        <v>0</v>
      </c>
      <c r="AT104" s="104">
        <f t="shared" si="418"/>
        <v>73.925814419167693</v>
      </c>
      <c r="AU104" s="102">
        <f t="shared" si="419"/>
        <v>4.6115999999999993</v>
      </c>
      <c r="AV104" s="106">
        <f t="shared" si="420"/>
        <v>0</v>
      </c>
      <c r="AW104" s="104">
        <f t="shared" si="421"/>
        <v>0</v>
      </c>
      <c r="AX104" s="104">
        <f t="shared" si="422"/>
        <v>0</v>
      </c>
      <c r="AY104" s="104">
        <f t="shared" si="423"/>
        <v>0.89999999999999991</v>
      </c>
      <c r="AZ104" s="104">
        <f t="shared" si="424"/>
        <v>32.190834419167686</v>
      </c>
      <c r="BA104" s="104">
        <f t="shared" si="425"/>
        <v>0</v>
      </c>
      <c r="BB104" s="104">
        <f t="shared" si="426"/>
        <v>6.9173999999999998</v>
      </c>
      <c r="BC104" s="104">
        <f t="shared" si="427"/>
        <v>6.9173999999999998</v>
      </c>
      <c r="BD104" s="104">
        <f t="shared" si="428"/>
        <v>1.3834799999999998</v>
      </c>
      <c r="BE104" s="104">
        <f t="shared" si="429"/>
        <v>23.28858000000001</v>
      </c>
      <c r="BF104" s="104">
        <f t="shared" si="430"/>
        <v>37.663391705254327</v>
      </c>
      <c r="BG104" s="104">
        <f t="shared" si="431"/>
        <v>23.28858000000001</v>
      </c>
      <c r="BH104" s="104">
        <f t="shared" si="432"/>
        <v>14.374811705254317</v>
      </c>
      <c r="BI104" s="104">
        <f t="shared" si="433"/>
        <v>0</v>
      </c>
      <c r="BJ104" s="104">
        <f t="shared" si="486"/>
        <v>0</v>
      </c>
      <c r="BK104" s="104">
        <f t="shared" si="434"/>
        <v>0</v>
      </c>
      <c r="BL104" s="125"/>
      <c r="BM104" s="104">
        <f t="shared" si="435"/>
        <v>0.276696</v>
      </c>
      <c r="BN104" s="455">
        <f t="shared" si="436"/>
        <v>0</v>
      </c>
      <c r="BO104" s="457">
        <f t="shared" si="437"/>
        <v>0</v>
      </c>
      <c r="BP104" s="457">
        <f t="shared" si="438"/>
        <v>0</v>
      </c>
      <c r="BQ104" s="457">
        <f t="shared" si="439"/>
        <v>0</v>
      </c>
      <c r="BR104" s="451">
        <f t="shared" si="440"/>
        <v>0</v>
      </c>
      <c r="BS104" s="451">
        <f t="shared" si="441"/>
        <v>0</v>
      </c>
      <c r="BT104" s="451">
        <f t="shared" si="442"/>
        <v>1.8050000000000002</v>
      </c>
      <c r="BU104" s="451">
        <f t="shared" si="443"/>
        <v>32.94</v>
      </c>
      <c r="BV104" s="451">
        <f t="shared" si="444"/>
        <v>0</v>
      </c>
      <c r="BW104" s="451">
        <f t="shared" si="445"/>
        <v>0</v>
      </c>
      <c r="BX104" s="451">
        <f t="shared" si="446"/>
        <v>0</v>
      </c>
      <c r="BY104" s="451">
        <f t="shared" si="447"/>
        <v>0</v>
      </c>
      <c r="BZ104" s="451">
        <f t="shared" si="448"/>
        <v>0</v>
      </c>
      <c r="CA104" s="451">
        <f t="shared" si="449"/>
        <v>0</v>
      </c>
      <c r="CB104" s="451">
        <f t="shared" si="450"/>
        <v>0</v>
      </c>
      <c r="CC104" s="451">
        <f t="shared" si="451"/>
        <v>0</v>
      </c>
      <c r="CD104" s="451">
        <f t="shared" si="452"/>
        <v>0</v>
      </c>
      <c r="CE104" s="451">
        <f t="shared" si="453"/>
        <v>0</v>
      </c>
      <c r="CF104" s="451">
        <f t="shared" si="454"/>
        <v>0</v>
      </c>
      <c r="CG104" s="451">
        <f t="shared" si="455"/>
        <v>0</v>
      </c>
      <c r="CH104" s="451">
        <f t="shared" si="456"/>
        <v>0</v>
      </c>
      <c r="CI104" s="451">
        <f t="shared" si="457"/>
        <v>0</v>
      </c>
      <c r="CJ104" s="458">
        <f t="shared" si="458"/>
        <v>0</v>
      </c>
      <c r="CK104" s="451">
        <f t="shared" si="459"/>
        <v>0</v>
      </c>
      <c r="CL104" s="451">
        <f t="shared" si="460"/>
        <v>0</v>
      </c>
      <c r="CM104" s="451">
        <f t="shared" si="461"/>
        <v>0</v>
      </c>
      <c r="CN104" s="454">
        <f t="shared" si="462"/>
        <v>0</v>
      </c>
      <c r="CO104" s="454">
        <f t="shared" si="463"/>
        <v>0</v>
      </c>
      <c r="CP104" s="454">
        <f t="shared" si="464"/>
        <v>0</v>
      </c>
      <c r="CQ104" s="454">
        <f t="shared" si="465"/>
        <v>0</v>
      </c>
      <c r="CR104" s="454">
        <f t="shared" si="466"/>
        <v>0</v>
      </c>
      <c r="CS104" s="454">
        <f t="shared" si="467"/>
        <v>0</v>
      </c>
      <c r="CT104" s="459">
        <f t="shared" si="468"/>
        <v>0</v>
      </c>
      <c r="CU104" s="460">
        <f t="shared" si="469"/>
        <v>1</v>
      </c>
      <c r="CV104" s="460">
        <f t="shared" si="470"/>
        <v>1</v>
      </c>
      <c r="CW104" s="460">
        <f t="shared" si="471"/>
        <v>0</v>
      </c>
      <c r="CX104" s="460">
        <f t="shared" si="472"/>
        <v>0</v>
      </c>
      <c r="CY104" s="460">
        <f t="shared" si="473"/>
        <v>0</v>
      </c>
      <c r="CZ104" s="460">
        <f t="shared" si="474"/>
        <v>0</v>
      </c>
      <c r="DA104" s="461">
        <f t="shared" si="475"/>
        <v>0.30000000000000004</v>
      </c>
      <c r="DB104" s="118">
        <v>1.3</v>
      </c>
      <c r="DC104" s="118">
        <v>1.4</v>
      </c>
      <c r="DD104" s="118">
        <v>2</v>
      </c>
      <c r="DE104" s="118">
        <v>2</v>
      </c>
      <c r="DF104" s="462">
        <v>2</v>
      </c>
      <c r="DG104" s="455">
        <f t="shared" si="476"/>
        <v>98.82</v>
      </c>
      <c r="DH104" s="463">
        <f t="shared" si="477"/>
        <v>20.09340000000001</v>
      </c>
      <c r="DI104" s="463">
        <f t="shared" si="478"/>
        <v>0</v>
      </c>
      <c r="DJ104" s="463">
        <f t="shared" si="479"/>
        <v>0</v>
      </c>
      <c r="DK104" s="463">
        <f t="shared" si="480"/>
        <v>0</v>
      </c>
      <c r="DL104" s="463">
        <f t="shared" si="481"/>
        <v>0</v>
      </c>
      <c r="DM104" s="463">
        <f t="shared" si="482"/>
        <v>0</v>
      </c>
      <c r="DN104" s="463">
        <f t="shared" si="483"/>
        <v>0</v>
      </c>
      <c r="DO104" s="463">
        <f t="shared" si="484"/>
        <v>0</v>
      </c>
      <c r="DP104" s="463">
        <f t="shared" si="485"/>
        <v>0</v>
      </c>
      <c r="DQ104" s="445"/>
    </row>
    <row r="105" spans="1:121" s="86" customFormat="1" x14ac:dyDescent="0.25">
      <c r="A105" s="259" t="s">
        <v>2070</v>
      </c>
      <c r="B105" s="101"/>
      <c r="C105" s="101" t="str">
        <f>'Planilha Hidráulica'!B115</f>
        <v>PV4.1-&gt;PV5.1</v>
      </c>
      <c r="D105" s="258">
        <f>'Planilha Hidráulica'!R115</f>
        <v>1.57</v>
      </c>
      <c r="E105" s="258">
        <f>'Planilha Hidráulica'!S115</f>
        <v>1.6</v>
      </c>
      <c r="F105" s="258">
        <f>'Planilha Hidráulica'!K115</f>
        <v>32.94</v>
      </c>
      <c r="G105" s="101">
        <f>'Planilha Hidráulica'!M115</f>
        <v>600</v>
      </c>
      <c r="H105" s="449">
        <f t="shared" si="387"/>
        <v>1.8050000000000002</v>
      </c>
      <c r="I105" s="102">
        <f t="shared" si="388"/>
        <v>2.9728349999999999</v>
      </c>
      <c r="J105" s="467">
        <v>0</v>
      </c>
      <c r="K105" s="449">
        <f t="shared" si="389"/>
        <v>1.4</v>
      </c>
      <c r="L105" s="449">
        <f t="shared" si="390"/>
        <v>1.4</v>
      </c>
      <c r="M105" s="449">
        <f>'Planilha Hidráulica'!X115</f>
        <v>500</v>
      </c>
      <c r="N105" s="449">
        <f t="shared" si="391"/>
        <v>46.115999999999993</v>
      </c>
      <c r="O105" s="468" t="str">
        <f>'Planilha Hidráulica'!W115</f>
        <v>ASFALTO</v>
      </c>
      <c r="P105" s="468" t="s">
        <v>2071</v>
      </c>
      <c r="Q105" s="468"/>
      <c r="R105" s="468">
        <v>5</v>
      </c>
      <c r="S105" s="468">
        <v>5</v>
      </c>
      <c r="T105" s="449">
        <f t="shared" si="392"/>
        <v>0.1</v>
      </c>
      <c r="U105" s="453">
        <f t="shared" si="393"/>
        <v>6.4677538755779862</v>
      </c>
      <c r="V105" s="106">
        <f t="shared" si="394"/>
        <v>76.771626124422014</v>
      </c>
      <c r="W105" s="106">
        <f t="shared" si="395"/>
        <v>0</v>
      </c>
      <c r="X105" s="107">
        <f t="shared" si="396"/>
        <v>0</v>
      </c>
      <c r="Y105" s="453">
        <f t="shared" si="397"/>
        <v>1.8050000000000002</v>
      </c>
      <c r="Z105" s="453">
        <f t="shared" si="398"/>
        <v>0</v>
      </c>
      <c r="AA105" s="456">
        <f t="shared" si="399"/>
        <v>46.115999999999993</v>
      </c>
      <c r="AB105" s="469">
        <f t="shared" si="400"/>
        <v>0</v>
      </c>
      <c r="AC105" s="109">
        <f t="shared" si="401"/>
        <v>0</v>
      </c>
      <c r="AD105" s="109">
        <f t="shared" si="402"/>
        <v>0</v>
      </c>
      <c r="AE105" s="109">
        <f t="shared" si="403"/>
        <v>0</v>
      </c>
      <c r="AF105" s="109">
        <f t="shared" si="404"/>
        <v>0</v>
      </c>
      <c r="AG105" s="109">
        <f t="shared" si="405"/>
        <v>0</v>
      </c>
      <c r="AH105" s="109">
        <f t="shared" si="406"/>
        <v>0</v>
      </c>
      <c r="AI105" s="109">
        <f t="shared" si="407"/>
        <v>0</v>
      </c>
      <c r="AJ105" s="456">
        <f t="shared" si="408"/>
        <v>69.173999999999992</v>
      </c>
      <c r="AK105" s="456">
        <f t="shared" si="409"/>
        <v>7.5976261244220185</v>
      </c>
      <c r="AL105" s="456">
        <f t="shared" si="410"/>
        <v>0</v>
      </c>
      <c r="AM105" s="456">
        <f t="shared" si="411"/>
        <v>0</v>
      </c>
      <c r="AN105" s="456">
        <f t="shared" si="412"/>
        <v>0</v>
      </c>
      <c r="AO105" s="456">
        <f t="shared" si="413"/>
        <v>0</v>
      </c>
      <c r="AP105" s="456">
        <f t="shared" si="414"/>
        <v>0</v>
      </c>
      <c r="AQ105" s="456">
        <f t="shared" si="415"/>
        <v>0</v>
      </c>
      <c r="AR105" s="102">
        <f t="shared" si="416"/>
        <v>0</v>
      </c>
      <c r="AS105" s="449">
        <f t="shared" si="417"/>
        <v>0</v>
      </c>
      <c r="AT105" s="104">
        <f t="shared" si="418"/>
        <v>73.925814419167693</v>
      </c>
      <c r="AU105" s="102">
        <f t="shared" si="419"/>
        <v>4.6115999999999993</v>
      </c>
      <c r="AV105" s="106">
        <f t="shared" si="420"/>
        <v>0</v>
      </c>
      <c r="AW105" s="104">
        <f t="shared" si="421"/>
        <v>0</v>
      </c>
      <c r="AX105" s="104">
        <f t="shared" si="422"/>
        <v>0</v>
      </c>
      <c r="AY105" s="104">
        <f t="shared" si="423"/>
        <v>0.89999999999999991</v>
      </c>
      <c r="AZ105" s="104">
        <f t="shared" si="424"/>
        <v>32.190834419167686</v>
      </c>
      <c r="BA105" s="104">
        <f t="shared" si="425"/>
        <v>0</v>
      </c>
      <c r="BB105" s="104">
        <f t="shared" si="426"/>
        <v>6.9173999999999998</v>
      </c>
      <c r="BC105" s="104">
        <f t="shared" si="427"/>
        <v>6.9173999999999998</v>
      </c>
      <c r="BD105" s="104">
        <f t="shared" si="428"/>
        <v>1.3834799999999998</v>
      </c>
      <c r="BE105" s="104">
        <f t="shared" si="429"/>
        <v>23.28858000000001</v>
      </c>
      <c r="BF105" s="104">
        <f t="shared" si="430"/>
        <v>37.663391705254327</v>
      </c>
      <c r="BG105" s="104">
        <f t="shared" si="431"/>
        <v>23.28858000000001</v>
      </c>
      <c r="BH105" s="104">
        <f t="shared" si="432"/>
        <v>14.374811705254317</v>
      </c>
      <c r="BI105" s="104">
        <f t="shared" si="433"/>
        <v>0</v>
      </c>
      <c r="BJ105" s="104">
        <f t="shared" si="486"/>
        <v>0</v>
      </c>
      <c r="BK105" s="104">
        <f t="shared" si="434"/>
        <v>0</v>
      </c>
      <c r="BL105" s="125"/>
      <c r="BM105" s="104">
        <f t="shared" si="435"/>
        <v>0.276696</v>
      </c>
      <c r="BN105" s="455">
        <f t="shared" si="436"/>
        <v>0</v>
      </c>
      <c r="BO105" s="457">
        <f t="shared" si="437"/>
        <v>0</v>
      </c>
      <c r="BP105" s="457">
        <f t="shared" si="438"/>
        <v>0</v>
      </c>
      <c r="BQ105" s="457">
        <f t="shared" si="439"/>
        <v>0</v>
      </c>
      <c r="BR105" s="451">
        <f t="shared" si="440"/>
        <v>0</v>
      </c>
      <c r="BS105" s="451">
        <f t="shared" si="441"/>
        <v>0</v>
      </c>
      <c r="BT105" s="451">
        <f t="shared" si="442"/>
        <v>1.8050000000000002</v>
      </c>
      <c r="BU105" s="451">
        <f t="shared" si="443"/>
        <v>32.94</v>
      </c>
      <c r="BV105" s="451">
        <f t="shared" si="444"/>
        <v>0</v>
      </c>
      <c r="BW105" s="451">
        <f t="shared" si="445"/>
        <v>0</v>
      </c>
      <c r="BX105" s="451">
        <f t="shared" si="446"/>
        <v>0</v>
      </c>
      <c r="BY105" s="451">
        <f t="shared" si="447"/>
        <v>0</v>
      </c>
      <c r="BZ105" s="451">
        <f t="shared" si="448"/>
        <v>0</v>
      </c>
      <c r="CA105" s="451">
        <f t="shared" si="449"/>
        <v>0</v>
      </c>
      <c r="CB105" s="451">
        <f t="shared" si="450"/>
        <v>0</v>
      </c>
      <c r="CC105" s="451">
        <f t="shared" si="451"/>
        <v>0</v>
      </c>
      <c r="CD105" s="451">
        <f t="shared" si="452"/>
        <v>0</v>
      </c>
      <c r="CE105" s="451">
        <f t="shared" si="453"/>
        <v>0</v>
      </c>
      <c r="CF105" s="451">
        <f t="shared" si="454"/>
        <v>0</v>
      </c>
      <c r="CG105" s="451">
        <f t="shared" si="455"/>
        <v>0</v>
      </c>
      <c r="CH105" s="451">
        <f t="shared" si="456"/>
        <v>0</v>
      </c>
      <c r="CI105" s="451">
        <f t="shared" si="457"/>
        <v>0</v>
      </c>
      <c r="CJ105" s="458">
        <f t="shared" si="458"/>
        <v>0</v>
      </c>
      <c r="CK105" s="451">
        <f t="shared" si="459"/>
        <v>0</v>
      </c>
      <c r="CL105" s="451">
        <f t="shared" si="460"/>
        <v>0</v>
      </c>
      <c r="CM105" s="451">
        <f t="shared" si="461"/>
        <v>0</v>
      </c>
      <c r="CN105" s="454">
        <f t="shared" si="462"/>
        <v>0</v>
      </c>
      <c r="CO105" s="454">
        <f t="shared" si="463"/>
        <v>0</v>
      </c>
      <c r="CP105" s="454">
        <f t="shared" si="464"/>
        <v>0</v>
      </c>
      <c r="CQ105" s="454">
        <f t="shared" si="465"/>
        <v>0</v>
      </c>
      <c r="CR105" s="454">
        <f t="shared" si="466"/>
        <v>0</v>
      </c>
      <c r="CS105" s="454">
        <f t="shared" si="467"/>
        <v>0</v>
      </c>
      <c r="CT105" s="459">
        <f t="shared" si="468"/>
        <v>0</v>
      </c>
      <c r="CU105" s="460">
        <f t="shared" si="469"/>
        <v>1</v>
      </c>
      <c r="CV105" s="460">
        <f t="shared" si="470"/>
        <v>1</v>
      </c>
      <c r="CW105" s="460">
        <f t="shared" si="471"/>
        <v>0</v>
      </c>
      <c r="CX105" s="460">
        <f t="shared" si="472"/>
        <v>0</v>
      </c>
      <c r="CY105" s="460">
        <f t="shared" si="473"/>
        <v>0</v>
      </c>
      <c r="CZ105" s="460">
        <f t="shared" si="474"/>
        <v>0</v>
      </c>
      <c r="DA105" s="461">
        <f t="shared" si="475"/>
        <v>0.27</v>
      </c>
      <c r="DB105" s="118">
        <v>1.3</v>
      </c>
      <c r="DC105" s="118">
        <v>1.4</v>
      </c>
      <c r="DD105" s="118">
        <v>2</v>
      </c>
      <c r="DE105" s="118">
        <v>2</v>
      </c>
      <c r="DF105" s="462">
        <v>2</v>
      </c>
      <c r="DG105" s="455">
        <f t="shared" si="476"/>
        <v>98.82</v>
      </c>
      <c r="DH105" s="463">
        <f t="shared" si="477"/>
        <v>20.09340000000001</v>
      </c>
      <c r="DI105" s="463">
        <f t="shared" si="478"/>
        <v>0</v>
      </c>
      <c r="DJ105" s="463">
        <f t="shared" si="479"/>
        <v>0</v>
      </c>
      <c r="DK105" s="463">
        <f t="shared" si="480"/>
        <v>0</v>
      </c>
      <c r="DL105" s="463">
        <f t="shared" si="481"/>
        <v>0</v>
      </c>
      <c r="DM105" s="463">
        <f t="shared" si="482"/>
        <v>0</v>
      </c>
      <c r="DN105" s="463">
        <f t="shared" si="483"/>
        <v>0</v>
      </c>
      <c r="DO105" s="463">
        <f t="shared" si="484"/>
        <v>0</v>
      </c>
      <c r="DP105" s="463">
        <f t="shared" si="485"/>
        <v>0</v>
      </c>
      <c r="DQ105" s="445"/>
    </row>
    <row r="106" spans="1:121" s="86" customFormat="1" x14ac:dyDescent="0.25">
      <c r="A106" s="259" t="s">
        <v>2070</v>
      </c>
      <c r="B106" s="101"/>
      <c r="C106" s="101" t="str">
        <f>'Planilha Hidráulica'!B116</f>
        <v>PV5.1-&gt;PV6.1</v>
      </c>
      <c r="D106" s="258">
        <f>'Planilha Hidráulica'!R116</f>
        <v>1.6</v>
      </c>
      <c r="E106" s="258">
        <f>'Planilha Hidráulica'!S116</f>
        <v>2.35</v>
      </c>
      <c r="F106" s="258">
        <f>'Planilha Hidráulica'!K116</f>
        <v>35.049999999999997</v>
      </c>
      <c r="G106" s="101">
        <f>'Planilha Hidráulica'!M116</f>
        <v>600</v>
      </c>
      <c r="H106" s="449">
        <f t="shared" si="387"/>
        <v>2.1950000000000003</v>
      </c>
      <c r="I106" s="102">
        <f t="shared" si="388"/>
        <v>3.8467375000000006</v>
      </c>
      <c r="J106" s="467">
        <v>0</v>
      </c>
      <c r="K106" s="449">
        <f t="shared" si="389"/>
        <v>1.4</v>
      </c>
      <c r="L106" s="449">
        <f t="shared" si="390"/>
        <v>1.4</v>
      </c>
      <c r="M106" s="449">
        <f>'Planilha Hidráulica'!X116</f>
        <v>500</v>
      </c>
      <c r="N106" s="449">
        <f t="shared" si="391"/>
        <v>49.069999999999993</v>
      </c>
      <c r="O106" s="468" t="str">
        <f>'Planilha Hidráulica'!W116</f>
        <v>ASFALTO</v>
      </c>
      <c r="P106" s="468" t="s">
        <v>2071</v>
      </c>
      <c r="Q106" s="468"/>
      <c r="R106" s="468">
        <v>5</v>
      </c>
      <c r="S106" s="468">
        <v>5</v>
      </c>
      <c r="T106" s="449">
        <f t="shared" si="392"/>
        <v>0.1</v>
      </c>
      <c r="U106" s="453">
        <f t="shared" si="393"/>
        <v>6.8820514067701399</v>
      </c>
      <c r="V106" s="106">
        <f t="shared" si="394"/>
        <v>100.82659859322986</v>
      </c>
      <c r="W106" s="106">
        <f t="shared" si="395"/>
        <v>0</v>
      </c>
      <c r="X106" s="107">
        <f t="shared" si="396"/>
        <v>0</v>
      </c>
      <c r="Y106" s="453">
        <f t="shared" si="397"/>
        <v>2.1950000000000003</v>
      </c>
      <c r="Z106" s="453">
        <f t="shared" si="398"/>
        <v>0</v>
      </c>
      <c r="AA106" s="456">
        <f t="shared" si="399"/>
        <v>49.069999999999993</v>
      </c>
      <c r="AB106" s="469">
        <f t="shared" si="400"/>
        <v>0</v>
      </c>
      <c r="AC106" s="109">
        <f t="shared" si="401"/>
        <v>0</v>
      </c>
      <c r="AD106" s="109">
        <f t="shared" si="402"/>
        <v>0</v>
      </c>
      <c r="AE106" s="109">
        <f t="shared" si="403"/>
        <v>0</v>
      </c>
      <c r="AF106" s="109">
        <f t="shared" si="404"/>
        <v>0</v>
      </c>
      <c r="AG106" s="109">
        <f t="shared" si="405"/>
        <v>0</v>
      </c>
      <c r="AH106" s="109">
        <f t="shared" si="406"/>
        <v>0</v>
      </c>
      <c r="AI106" s="109">
        <f t="shared" si="407"/>
        <v>0</v>
      </c>
      <c r="AJ106" s="456">
        <f t="shared" si="408"/>
        <v>73.60499999999999</v>
      </c>
      <c r="AK106" s="456">
        <f t="shared" si="409"/>
        <v>27.221598593229871</v>
      </c>
      <c r="AL106" s="456">
        <f t="shared" si="410"/>
        <v>0</v>
      </c>
      <c r="AM106" s="456">
        <f t="shared" si="411"/>
        <v>0</v>
      </c>
      <c r="AN106" s="456">
        <f t="shared" si="412"/>
        <v>0</v>
      </c>
      <c r="AO106" s="456">
        <f t="shared" si="413"/>
        <v>0</v>
      </c>
      <c r="AP106" s="456">
        <f t="shared" si="414"/>
        <v>0</v>
      </c>
      <c r="AQ106" s="456">
        <f t="shared" si="415"/>
        <v>0</v>
      </c>
      <c r="AR106" s="102">
        <f t="shared" si="416"/>
        <v>0</v>
      </c>
      <c r="AS106" s="449">
        <f t="shared" si="417"/>
        <v>0</v>
      </c>
      <c r="AT106" s="104">
        <f t="shared" si="418"/>
        <v>97.798495974251011</v>
      </c>
      <c r="AU106" s="102">
        <f t="shared" si="419"/>
        <v>4.907</v>
      </c>
      <c r="AV106" s="106">
        <f t="shared" si="420"/>
        <v>0</v>
      </c>
      <c r="AW106" s="104">
        <f t="shared" si="421"/>
        <v>0</v>
      </c>
      <c r="AX106" s="104">
        <f t="shared" si="422"/>
        <v>0</v>
      </c>
      <c r="AY106" s="104">
        <f t="shared" si="423"/>
        <v>0.89999999999999991</v>
      </c>
      <c r="AZ106" s="104">
        <f t="shared" si="424"/>
        <v>34.252845974250988</v>
      </c>
      <c r="BA106" s="104">
        <f t="shared" si="425"/>
        <v>0</v>
      </c>
      <c r="BB106" s="104">
        <f t="shared" si="426"/>
        <v>7.3604999999999983</v>
      </c>
      <c r="BC106" s="104">
        <f t="shared" si="427"/>
        <v>7.3604999999999983</v>
      </c>
      <c r="BD106" s="104">
        <f t="shared" si="428"/>
        <v>1.4720999999999997</v>
      </c>
      <c r="BE106" s="104">
        <f t="shared" si="429"/>
        <v>43.917650000000023</v>
      </c>
      <c r="BF106" s="104">
        <f t="shared" si="430"/>
        <v>59.213252618978871</v>
      </c>
      <c r="BG106" s="104">
        <f t="shared" si="431"/>
        <v>43.917650000000023</v>
      </c>
      <c r="BH106" s="104">
        <f t="shared" si="432"/>
        <v>15.295602618978847</v>
      </c>
      <c r="BI106" s="104">
        <f t="shared" si="433"/>
        <v>0</v>
      </c>
      <c r="BJ106" s="104">
        <f t="shared" si="486"/>
        <v>0</v>
      </c>
      <c r="BK106" s="104">
        <f t="shared" si="434"/>
        <v>0</v>
      </c>
      <c r="BL106" s="125"/>
      <c r="BM106" s="104">
        <f t="shared" si="435"/>
        <v>0.29441999999999996</v>
      </c>
      <c r="BN106" s="455">
        <f t="shared" si="436"/>
        <v>0</v>
      </c>
      <c r="BO106" s="457">
        <f t="shared" si="437"/>
        <v>0</v>
      </c>
      <c r="BP106" s="457">
        <f t="shared" si="438"/>
        <v>0</v>
      </c>
      <c r="BQ106" s="457">
        <f t="shared" si="439"/>
        <v>0</v>
      </c>
      <c r="BR106" s="451">
        <f t="shared" si="440"/>
        <v>0</v>
      </c>
      <c r="BS106" s="451">
        <f t="shared" si="441"/>
        <v>0</v>
      </c>
      <c r="BT106" s="451">
        <f t="shared" si="442"/>
        <v>2.1950000000000003</v>
      </c>
      <c r="BU106" s="451">
        <f t="shared" si="443"/>
        <v>35.049999999999997</v>
      </c>
      <c r="BV106" s="451">
        <f t="shared" si="444"/>
        <v>0</v>
      </c>
      <c r="BW106" s="451">
        <f t="shared" si="445"/>
        <v>0</v>
      </c>
      <c r="BX106" s="451">
        <f t="shared" si="446"/>
        <v>0</v>
      </c>
      <c r="BY106" s="451">
        <f t="shared" si="447"/>
        <v>0</v>
      </c>
      <c r="BZ106" s="451">
        <f t="shared" si="448"/>
        <v>0</v>
      </c>
      <c r="CA106" s="451">
        <f t="shared" si="449"/>
        <v>0</v>
      </c>
      <c r="CB106" s="451">
        <f t="shared" si="450"/>
        <v>0</v>
      </c>
      <c r="CC106" s="451">
        <f t="shared" si="451"/>
        <v>0</v>
      </c>
      <c r="CD106" s="451">
        <f t="shared" si="452"/>
        <v>0</v>
      </c>
      <c r="CE106" s="451">
        <f t="shared" si="453"/>
        <v>0</v>
      </c>
      <c r="CF106" s="451">
        <f t="shared" si="454"/>
        <v>0</v>
      </c>
      <c r="CG106" s="451">
        <f t="shared" si="455"/>
        <v>0</v>
      </c>
      <c r="CH106" s="451">
        <f t="shared" si="456"/>
        <v>0</v>
      </c>
      <c r="CI106" s="451">
        <f t="shared" si="457"/>
        <v>0</v>
      </c>
      <c r="CJ106" s="458">
        <f t="shared" si="458"/>
        <v>0</v>
      </c>
      <c r="CK106" s="451">
        <f t="shared" si="459"/>
        <v>0</v>
      </c>
      <c r="CL106" s="451">
        <f t="shared" si="460"/>
        <v>0</v>
      </c>
      <c r="CM106" s="451">
        <f t="shared" si="461"/>
        <v>0</v>
      </c>
      <c r="CN106" s="454">
        <f t="shared" si="462"/>
        <v>0</v>
      </c>
      <c r="CO106" s="454">
        <f t="shared" si="463"/>
        <v>0</v>
      </c>
      <c r="CP106" s="454">
        <f t="shared" si="464"/>
        <v>0</v>
      </c>
      <c r="CQ106" s="454">
        <f t="shared" si="465"/>
        <v>0</v>
      </c>
      <c r="CR106" s="454">
        <f t="shared" si="466"/>
        <v>0</v>
      </c>
      <c r="CS106" s="454">
        <f t="shared" si="467"/>
        <v>0</v>
      </c>
      <c r="CT106" s="459">
        <f t="shared" si="468"/>
        <v>0</v>
      </c>
      <c r="CU106" s="460">
        <f t="shared" si="469"/>
        <v>1</v>
      </c>
      <c r="CV106" s="460">
        <f t="shared" si="470"/>
        <v>1</v>
      </c>
      <c r="CW106" s="460">
        <f t="shared" si="471"/>
        <v>0</v>
      </c>
      <c r="CX106" s="460">
        <f t="shared" si="472"/>
        <v>0</v>
      </c>
      <c r="CY106" s="460">
        <f t="shared" si="473"/>
        <v>0</v>
      </c>
      <c r="CZ106" s="460">
        <f t="shared" si="474"/>
        <v>0</v>
      </c>
      <c r="DA106" s="461">
        <f t="shared" si="475"/>
        <v>0.30000000000000004</v>
      </c>
      <c r="DB106" s="118">
        <v>1.3</v>
      </c>
      <c r="DC106" s="118">
        <v>1.4</v>
      </c>
      <c r="DD106" s="118">
        <v>2</v>
      </c>
      <c r="DE106" s="118">
        <v>2</v>
      </c>
      <c r="DF106" s="462">
        <v>2</v>
      </c>
      <c r="DG106" s="455">
        <f t="shared" si="476"/>
        <v>105.14999999999999</v>
      </c>
      <c r="DH106" s="463">
        <f t="shared" si="477"/>
        <v>48.719500000000018</v>
      </c>
      <c r="DI106" s="463">
        <f t="shared" si="478"/>
        <v>0</v>
      </c>
      <c r="DJ106" s="463">
        <f t="shared" si="479"/>
        <v>0</v>
      </c>
      <c r="DK106" s="463">
        <f t="shared" si="480"/>
        <v>0</v>
      </c>
      <c r="DL106" s="463">
        <f t="shared" si="481"/>
        <v>0</v>
      </c>
      <c r="DM106" s="463">
        <f t="shared" si="482"/>
        <v>0</v>
      </c>
      <c r="DN106" s="463">
        <f t="shared" si="483"/>
        <v>0</v>
      </c>
      <c r="DO106" s="463">
        <f t="shared" si="484"/>
        <v>0</v>
      </c>
      <c r="DP106" s="463">
        <f t="shared" si="485"/>
        <v>0</v>
      </c>
      <c r="DQ106" s="445"/>
    </row>
    <row r="107" spans="1:121" s="86" customFormat="1" x14ac:dyDescent="0.25">
      <c r="A107" s="259" t="s">
        <v>2070</v>
      </c>
      <c r="B107" s="101"/>
      <c r="C107" s="101" t="str">
        <f>'Planilha Hidráulica'!B117</f>
        <v>PV6.1-&gt;PV7.1</v>
      </c>
      <c r="D107" s="258">
        <f>'Planilha Hidráulica'!R117</f>
        <v>2.35</v>
      </c>
      <c r="E107" s="258">
        <f>'Planilha Hidráulica'!S117</f>
        <v>3</v>
      </c>
      <c r="F107" s="258">
        <f>'Planilha Hidráulica'!K117</f>
        <v>35.049999999999997</v>
      </c>
      <c r="G107" s="101">
        <f>'Planilha Hidráulica'!M117</f>
        <v>600</v>
      </c>
      <c r="H107" s="449">
        <f t="shared" si="387"/>
        <v>2.895</v>
      </c>
      <c r="I107" s="102">
        <f t="shared" si="388"/>
        <v>5.0734874999999997</v>
      </c>
      <c r="J107" s="467">
        <v>0</v>
      </c>
      <c r="K107" s="449">
        <f t="shared" si="389"/>
        <v>1.4</v>
      </c>
      <c r="L107" s="449">
        <f t="shared" si="390"/>
        <v>1.4</v>
      </c>
      <c r="M107" s="449">
        <f>'Planilha Hidráulica'!X117</f>
        <v>500</v>
      </c>
      <c r="N107" s="449">
        <f t="shared" si="391"/>
        <v>49.069999999999993</v>
      </c>
      <c r="O107" s="468" t="str">
        <f>'Planilha Hidráulica'!W117</f>
        <v>ASFALTO</v>
      </c>
      <c r="P107" s="468" t="s">
        <v>2071</v>
      </c>
      <c r="Q107" s="468"/>
      <c r="R107" s="468">
        <v>5</v>
      </c>
      <c r="S107" s="468">
        <v>5</v>
      </c>
      <c r="T107" s="449">
        <f t="shared" si="392"/>
        <v>0.1</v>
      </c>
      <c r="U107" s="453">
        <f t="shared" si="393"/>
        <v>6.8820514067701399</v>
      </c>
      <c r="V107" s="106">
        <f t="shared" si="394"/>
        <v>135.17559859322986</v>
      </c>
      <c r="W107" s="106">
        <f t="shared" si="395"/>
        <v>0</v>
      </c>
      <c r="X107" s="107">
        <f t="shared" si="396"/>
        <v>0</v>
      </c>
      <c r="Y107" s="453">
        <f t="shared" si="397"/>
        <v>2.895</v>
      </c>
      <c r="Z107" s="453">
        <f t="shared" si="398"/>
        <v>0</v>
      </c>
      <c r="AA107" s="456">
        <f t="shared" si="399"/>
        <v>49.069999999999993</v>
      </c>
      <c r="AB107" s="469">
        <f t="shared" si="400"/>
        <v>0</v>
      </c>
      <c r="AC107" s="109">
        <f t="shared" si="401"/>
        <v>0</v>
      </c>
      <c r="AD107" s="109">
        <f t="shared" si="402"/>
        <v>0</v>
      </c>
      <c r="AE107" s="109">
        <f t="shared" si="403"/>
        <v>0</v>
      </c>
      <c r="AF107" s="109">
        <f t="shared" si="404"/>
        <v>0</v>
      </c>
      <c r="AG107" s="109">
        <f t="shared" si="405"/>
        <v>0</v>
      </c>
      <c r="AH107" s="109">
        <f t="shared" si="406"/>
        <v>0</v>
      </c>
      <c r="AI107" s="109">
        <f t="shared" si="407"/>
        <v>0</v>
      </c>
      <c r="AJ107" s="456">
        <f t="shared" si="408"/>
        <v>73.60499999999999</v>
      </c>
      <c r="AK107" s="456">
        <f t="shared" si="409"/>
        <v>61.570598593229853</v>
      </c>
      <c r="AL107" s="456">
        <f t="shared" si="410"/>
        <v>0</v>
      </c>
      <c r="AM107" s="456">
        <f t="shared" si="411"/>
        <v>0</v>
      </c>
      <c r="AN107" s="456">
        <f t="shared" si="412"/>
        <v>0</v>
      </c>
      <c r="AO107" s="456">
        <f t="shared" si="413"/>
        <v>0</v>
      </c>
      <c r="AP107" s="456">
        <f t="shared" si="414"/>
        <v>0</v>
      </c>
      <c r="AQ107" s="456">
        <f t="shared" si="415"/>
        <v>0</v>
      </c>
      <c r="AR107" s="102">
        <f t="shared" si="416"/>
        <v>0</v>
      </c>
      <c r="AS107" s="449">
        <f t="shared" si="417"/>
        <v>0</v>
      </c>
      <c r="AT107" s="104">
        <f t="shared" si="418"/>
        <v>132.147495974251</v>
      </c>
      <c r="AU107" s="102">
        <f t="shared" si="419"/>
        <v>4.907</v>
      </c>
      <c r="AV107" s="106">
        <f t="shared" si="420"/>
        <v>0</v>
      </c>
      <c r="AW107" s="104">
        <f t="shared" si="421"/>
        <v>0</v>
      </c>
      <c r="AX107" s="104">
        <f t="shared" si="422"/>
        <v>0</v>
      </c>
      <c r="AY107" s="104">
        <f t="shared" si="423"/>
        <v>0.89999999999999991</v>
      </c>
      <c r="AZ107" s="104">
        <f t="shared" si="424"/>
        <v>34.252845974250988</v>
      </c>
      <c r="BA107" s="104">
        <f t="shared" si="425"/>
        <v>0</v>
      </c>
      <c r="BB107" s="104">
        <f t="shared" si="426"/>
        <v>7.3604999999999983</v>
      </c>
      <c r="BC107" s="104">
        <f t="shared" si="427"/>
        <v>7.3604999999999983</v>
      </c>
      <c r="BD107" s="104">
        <f t="shared" si="428"/>
        <v>1.4720999999999997</v>
      </c>
      <c r="BE107" s="104">
        <f t="shared" si="429"/>
        <v>78.266650000000013</v>
      </c>
      <c r="BF107" s="104">
        <f t="shared" si="430"/>
        <v>93.562252618978846</v>
      </c>
      <c r="BG107" s="104">
        <f t="shared" si="431"/>
        <v>78.266650000000013</v>
      </c>
      <c r="BH107" s="104">
        <f t="shared" si="432"/>
        <v>15.295602618978833</v>
      </c>
      <c r="BI107" s="104">
        <f t="shared" si="433"/>
        <v>0</v>
      </c>
      <c r="BJ107" s="104">
        <f t="shared" si="486"/>
        <v>0</v>
      </c>
      <c r="BK107" s="104">
        <f t="shared" si="434"/>
        <v>0</v>
      </c>
      <c r="BL107" s="125"/>
      <c r="BM107" s="104">
        <f t="shared" si="435"/>
        <v>0.29441999999999996</v>
      </c>
      <c r="BN107" s="455">
        <f t="shared" si="436"/>
        <v>0</v>
      </c>
      <c r="BO107" s="457">
        <f t="shared" si="437"/>
        <v>0</v>
      </c>
      <c r="BP107" s="457">
        <f t="shared" si="438"/>
        <v>0</v>
      </c>
      <c r="BQ107" s="457">
        <f t="shared" si="439"/>
        <v>0</v>
      </c>
      <c r="BR107" s="451">
        <f t="shared" si="440"/>
        <v>0</v>
      </c>
      <c r="BS107" s="451">
        <f t="shared" si="441"/>
        <v>0</v>
      </c>
      <c r="BT107" s="451">
        <f t="shared" si="442"/>
        <v>2.895</v>
      </c>
      <c r="BU107" s="451">
        <f t="shared" si="443"/>
        <v>35.049999999999997</v>
      </c>
      <c r="BV107" s="451">
        <f t="shared" si="444"/>
        <v>0</v>
      </c>
      <c r="BW107" s="451">
        <f t="shared" si="445"/>
        <v>0</v>
      </c>
      <c r="BX107" s="451">
        <f t="shared" si="446"/>
        <v>0</v>
      </c>
      <c r="BY107" s="451">
        <f t="shared" si="447"/>
        <v>0</v>
      </c>
      <c r="BZ107" s="451">
        <f t="shared" si="448"/>
        <v>0</v>
      </c>
      <c r="CA107" s="451">
        <f t="shared" si="449"/>
        <v>0</v>
      </c>
      <c r="CB107" s="451">
        <f t="shared" si="450"/>
        <v>0</v>
      </c>
      <c r="CC107" s="451">
        <f t="shared" si="451"/>
        <v>0</v>
      </c>
      <c r="CD107" s="451">
        <f t="shared" si="452"/>
        <v>0</v>
      </c>
      <c r="CE107" s="451">
        <f t="shared" si="453"/>
        <v>0</v>
      </c>
      <c r="CF107" s="451">
        <f t="shared" si="454"/>
        <v>0</v>
      </c>
      <c r="CG107" s="451">
        <f t="shared" si="455"/>
        <v>0</v>
      </c>
      <c r="CH107" s="451">
        <f t="shared" si="456"/>
        <v>0</v>
      </c>
      <c r="CI107" s="451">
        <f t="shared" si="457"/>
        <v>0</v>
      </c>
      <c r="CJ107" s="458">
        <f t="shared" si="458"/>
        <v>0</v>
      </c>
      <c r="CK107" s="451">
        <f t="shared" si="459"/>
        <v>0</v>
      </c>
      <c r="CL107" s="451">
        <f t="shared" si="460"/>
        <v>0</v>
      </c>
      <c r="CM107" s="451">
        <f t="shared" si="461"/>
        <v>0</v>
      </c>
      <c r="CN107" s="454">
        <f t="shared" si="462"/>
        <v>0</v>
      </c>
      <c r="CO107" s="454">
        <f t="shared" si="463"/>
        <v>0</v>
      </c>
      <c r="CP107" s="454">
        <f t="shared" si="464"/>
        <v>0</v>
      </c>
      <c r="CQ107" s="454">
        <f t="shared" si="465"/>
        <v>0</v>
      </c>
      <c r="CR107" s="454">
        <f t="shared" si="466"/>
        <v>0</v>
      </c>
      <c r="CS107" s="454">
        <f t="shared" si="467"/>
        <v>0</v>
      </c>
      <c r="CT107" s="459">
        <f t="shared" si="468"/>
        <v>0</v>
      </c>
      <c r="CU107" s="460">
        <f t="shared" si="469"/>
        <v>1</v>
      </c>
      <c r="CV107" s="460">
        <f t="shared" si="470"/>
        <v>1</v>
      </c>
      <c r="CW107" s="460">
        <f t="shared" si="471"/>
        <v>0</v>
      </c>
      <c r="CX107" s="460">
        <f t="shared" si="472"/>
        <v>0</v>
      </c>
      <c r="CY107" s="460">
        <f t="shared" si="473"/>
        <v>0</v>
      </c>
      <c r="CZ107" s="460">
        <f t="shared" si="474"/>
        <v>0</v>
      </c>
      <c r="DA107" s="461">
        <f t="shared" si="475"/>
        <v>1.05</v>
      </c>
      <c r="DB107" s="118">
        <v>1.3</v>
      </c>
      <c r="DC107" s="118">
        <v>1.4</v>
      </c>
      <c r="DD107" s="118">
        <v>2</v>
      </c>
      <c r="DE107" s="118">
        <v>2</v>
      </c>
      <c r="DF107" s="462">
        <v>2</v>
      </c>
      <c r="DG107" s="455">
        <f t="shared" si="476"/>
        <v>105.14999999999999</v>
      </c>
      <c r="DH107" s="463">
        <f t="shared" si="477"/>
        <v>97.78949999999999</v>
      </c>
      <c r="DI107" s="463">
        <f t="shared" si="478"/>
        <v>0</v>
      </c>
      <c r="DJ107" s="463">
        <f t="shared" si="479"/>
        <v>0</v>
      </c>
      <c r="DK107" s="463">
        <f t="shared" si="480"/>
        <v>0</v>
      </c>
      <c r="DL107" s="463">
        <f t="shared" si="481"/>
        <v>0</v>
      </c>
      <c r="DM107" s="463">
        <f t="shared" si="482"/>
        <v>0</v>
      </c>
      <c r="DN107" s="463">
        <f t="shared" si="483"/>
        <v>0</v>
      </c>
      <c r="DO107" s="463">
        <f t="shared" si="484"/>
        <v>0</v>
      </c>
      <c r="DP107" s="463">
        <f t="shared" si="485"/>
        <v>0</v>
      </c>
      <c r="DQ107" s="445"/>
    </row>
    <row r="108" spans="1:121" s="86" customFormat="1" ht="13" x14ac:dyDescent="0.25">
      <c r="A108" s="101"/>
      <c r="B108" s="101"/>
      <c r="C108" s="87" t="str">
        <f>'Planilha Hidráulica'!B118</f>
        <v>RD-3</v>
      </c>
      <c r="D108" s="258"/>
      <c r="E108" s="258"/>
      <c r="F108" s="258"/>
      <c r="G108" s="101"/>
      <c r="H108" s="449"/>
      <c r="I108" s="449"/>
      <c r="J108" s="467"/>
      <c r="K108" s="449"/>
      <c r="L108" s="449"/>
      <c r="M108" s="470"/>
      <c r="N108" s="449"/>
      <c r="O108" s="468"/>
      <c r="P108" s="468"/>
      <c r="Q108" s="468"/>
      <c r="R108" s="468"/>
      <c r="S108" s="468"/>
      <c r="T108" s="449"/>
      <c r="U108" s="453"/>
      <c r="V108" s="453"/>
      <c r="W108" s="453"/>
      <c r="X108" s="453"/>
      <c r="Y108" s="453"/>
      <c r="Z108" s="453"/>
      <c r="AA108" s="456"/>
      <c r="AB108" s="469"/>
      <c r="AC108" s="469"/>
      <c r="AD108" s="469"/>
      <c r="AE108" s="469"/>
      <c r="AF108" s="469"/>
      <c r="AG108" s="469"/>
      <c r="AH108" s="469"/>
      <c r="AI108" s="469"/>
      <c r="AJ108" s="456"/>
      <c r="AK108" s="456"/>
      <c r="AL108" s="456"/>
      <c r="AM108" s="456"/>
      <c r="AN108" s="456"/>
      <c r="AO108" s="456"/>
      <c r="AP108" s="456"/>
      <c r="AQ108" s="456"/>
      <c r="AR108" s="449"/>
      <c r="AS108" s="449"/>
      <c r="AT108" s="465"/>
      <c r="AU108" s="465"/>
      <c r="AV108" s="466"/>
      <c r="AW108" s="465"/>
      <c r="AX108" s="465"/>
      <c r="AY108" s="465"/>
      <c r="AZ108" s="465"/>
      <c r="BA108" s="465"/>
      <c r="BB108" s="465"/>
      <c r="BC108" s="465"/>
      <c r="BD108" s="465"/>
      <c r="BE108" s="449"/>
      <c r="BF108" s="449"/>
      <c r="BG108" s="449"/>
      <c r="BH108" s="449"/>
      <c r="BI108" s="449"/>
      <c r="BJ108" s="449"/>
      <c r="BK108" s="449"/>
      <c r="BL108" s="465"/>
      <c r="BM108" s="465"/>
      <c r="BN108" s="456"/>
      <c r="BO108" s="471"/>
      <c r="BP108" s="471"/>
      <c r="BQ108" s="471"/>
      <c r="BR108" s="449"/>
      <c r="BS108" s="449"/>
      <c r="BT108" s="449"/>
      <c r="BU108" s="449"/>
      <c r="BV108" s="449"/>
      <c r="BW108" s="449"/>
      <c r="BX108" s="449"/>
      <c r="BY108" s="449"/>
      <c r="BZ108" s="449"/>
      <c r="CA108" s="449"/>
      <c r="CB108" s="449"/>
      <c r="CC108" s="449"/>
      <c r="CD108" s="449"/>
      <c r="CE108" s="449"/>
      <c r="CF108" s="449"/>
      <c r="CG108" s="449"/>
      <c r="CH108" s="449"/>
      <c r="CI108" s="449"/>
      <c r="CJ108" s="472"/>
      <c r="CK108" s="449"/>
      <c r="CL108" s="449"/>
      <c r="CM108" s="449"/>
      <c r="CN108" s="453"/>
      <c r="CO108" s="453"/>
      <c r="CP108" s="453"/>
      <c r="CQ108" s="453"/>
      <c r="CR108" s="453"/>
      <c r="CS108" s="453"/>
      <c r="CT108" s="473"/>
      <c r="CU108" s="470"/>
      <c r="CV108" s="470"/>
      <c r="CW108" s="470"/>
      <c r="CX108" s="470"/>
      <c r="CY108" s="470"/>
      <c r="CZ108" s="470"/>
      <c r="DA108" s="474"/>
      <c r="DB108" s="77"/>
      <c r="DC108" s="77"/>
      <c r="DD108" s="77"/>
      <c r="DE108" s="77"/>
      <c r="DF108" s="475"/>
      <c r="DG108" s="456"/>
      <c r="DH108" s="476"/>
      <c r="DI108" s="476"/>
      <c r="DJ108" s="476"/>
      <c r="DK108" s="476"/>
      <c r="DL108" s="476"/>
      <c r="DM108" s="476"/>
      <c r="DN108" s="476"/>
      <c r="DO108" s="476"/>
      <c r="DP108" s="476"/>
      <c r="DQ108" s="445"/>
    </row>
    <row r="109" spans="1:121" s="86" customFormat="1" ht="25" x14ac:dyDescent="0.25">
      <c r="A109" s="259" t="s">
        <v>2072</v>
      </c>
      <c r="B109" s="101"/>
      <c r="C109" s="101" t="str">
        <f>'Planilha Hidráulica'!B119</f>
        <v>PV1.1-&gt;PV1-55</v>
      </c>
      <c r="D109" s="258">
        <f>'Planilha Hidráulica'!R119</f>
        <v>1.6</v>
      </c>
      <c r="E109" s="258">
        <f>'Planilha Hidráulica'!S119</f>
        <v>1.75</v>
      </c>
      <c r="F109" s="258">
        <f>'Planilha Hidráulica'!K119</f>
        <v>60</v>
      </c>
      <c r="G109" s="101">
        <f>'Planilha Hidráulica'!M119</f>
        <v>600</v>
      </c>
      <c r="H109" s="449">
        <f>IF(G109=400,((D109+E109)/2)+0.08+T109,IF(G109=500,((D109+E109)/2)+0.1+T109,IF(G109=600,((D109+E109)/2)+0.12+T109,IF(G109=800,((D109+E109)/2)+0.16+T109,IF(G109=1000,((D109+E109)/2)+0.2+T109,IF(G109=1200,((D109+E109)/2)+0.24+T109,IF(G109=1500,((D109+E109)/2)+0.3+T109,IF(G109&gt;1500,((D109+E109)/2)+0.4+T109))))))))</f>
        <v>1.895</v>
      </c>
      <c r="I109" s="102">
        <f>IF(K109=0,0,IF(H109&gt;=1.25,F109*H109/20,0))</f>
        <v>5.6850000000000005</v>
      </c>
      <c r="J109" s="467">
        <v>0</v>
      </c>
      <c r="K109" s="449">
        <f>IF(G109=400,1,0)+IF(G109=500,1.2,0)+IF(G109=600,1.4,0)+IF(G109=800,1.7,0)+IF(G109=1000,2,0)+IF(G109=1200,2.2,0)+IF(G109=1500,2.6,0)+IF(G109=1650,3,0)+IF(G109=1800,3.2,0)+IF(G109=2000,3.4,0)+IF(G109=2200,3.6,0)+IF(G109=2400,3.8,0)+IF(G109=2600,4,0)+IF(G109=3000,4.4,0)</f>
        <v>1.4</v>
      </c>
      <c r="L109" s="449">
        <f>2*J109*H109+K109</f>
        <v>1.4</v>
      </c>
      <c r="M109" s="449">
        <f>'Planilha Hidráulica'!X119</f>
        <v>400</v>
      </c>
      <c r="N109" s="449">
        <f>L109*F109</f>
        <v>84</v>
      </c>
      <c r="O109" s="468" t="str">
        <f>'Planilha Hidráulica'!W119</f>
        <v>ASFALTO</v>
      </c>
      <c r="P109" s="468" t="s">
        <v>2065</v>
      </c>
      <c r="Q109" s="468"/>
      <c r="R109" s="468">
        <v>5</v>
      </c>
      <c r="S109" s="468">
        <v>5</v>
      </c>
      <c r="T109" s="449">
        <f>IF(G109=400,0.05,0)+IF(G109=500,0.05,0)+IF(G109=600,0.1,0)+IF(G109=800,0.1,0)+IF(G109=1000,0.15,0)+IF(G109=1200,0.15,0)+IF(G109=1500,0.2,0)+IF(G109=1650,0.2,0)+IF(G109=1800,0.2,0)+IF(G109=2000,0.25,0)+IF(G109=2200,0.25,0)+IF(G109=2400,0.25,0)+IF(G109=2600,0.25,0)+IF(G109=3000,0.25,0)</f>
        <v>0.1</v>
      </c>
      <c r="U109" s="453">
        <f>IFERROR((PI()*(M109/1000)*(M109/1000)/4)*F109,0)</f>
        <v>7.5398223686155044</v>
      </c>
      <c r="V109" s="106">
        <f>((((J109*H109)*H109)/2)*2+K109*H109)*F109-U109+AW109</f>
        <v>151.64017763138449</v>
      </c>
      <c r="W109" s="106">
        <f>V109-SUM(AC109:AR109)</f>
        <v>0</v>
      </c>
      <c r="X109" s="107">
        <f>IF(Q109=1,IF(M109=0,H109+0.4,0.4),0)</f>
        <v>0</v>
      </c>
      <c r="Y109" s="453">
        <f>IF(R109&lt;H109,R109,H109)</f>
        <v>1.895</v>
      </c>
      <c r="Z109" s="453">
        <f>H109-Y109</f>
        <v>0</v>
      </c>
      <c r="AA109" s="456">
        <f>IF(O109="ASFALTO",L109*F109,0)</f>
        <v>84</v>
      </c>
      <c r="AB109" s="469">
        <f>IF(O109="CONCRETO",L109*F109,0)</f>
        <v>0</v>
      </c>
      <c r="AC109" s="109">
        <f>IF(X109=0,0,IF(X109=0.4,IF(K109&lt;=1.5,IF(Y109+0.4&gt;=1.5,0,K109*F109*0.4),0),IF(K109&lt;=1.5,IF(X109&gt;=1.5,L109*F109*1.5,K109*F109*(X109)),0)+IF(R109&lt;H109+0.4,0,IF(AND(X109&lt;=1.5,K109&lt;=1.5),-U109,0))))</f>
        <v>0</v>
      </c>
      <c r="AD109" s="109">
        <f>IF(X109=0,0,IF(X109=0.4,IF(K109&lt;=1.5,IF(OR(Y109+0.4&gt;=3,Y109+0.4&lt;1.5),0,K109*F109*0.4),0),IF(IF(K109&lt;=1.5,IF(X109&gt;=3,L109*F109*1.5,K109*F109*(X109-1.5)),0)&lt;0,0,IF(K109&lt;=1.5,IF(X109&gt;=3,L109*F109*1.5,K109*F109*(X109-1.5)),0))+IF(R109&lt;H109+0.4,0,IF(AND(X109&lt;=3,K109&lt;=1.5),-U109,0))))</f>
        <v>0</v>
      </c>
      <c r="AE109" s="109">
        <f>IF(X109=0,0,IF(X109=0.4,IF(K109&lt;=1.5,IF(OR(Y109+0.4&gt;=4.5,Y109+0.4&lt;3),0,K109*F109*0.4),0),IF(IF(K109&lt;=1.5,IF(X109&gt;=4.5,L109*F109*1.5,K109*F109*(X109-3)),0)&lt;0,0,IF(K109&lt;=1.5,IF(X109&gt;=3,L109*F109*1.5,K109*F109*(X109-3)),0))+IF(R109&lt;H109+0.4,0,IF(AND(X109&lt;=4.5,K109&lt;=1.5),-U109,0))))</f>
        <v>0</v>
      </c>
      <c r="AF109" s="109">
        <f>IF(X109=0,0,IF(X109=0.4,IF(AND(K109&gt;1.5,K109&lt;=2.6),IF(Y109+0.4&gt;=1.5,0,K109*F109*0.4),0),IF(AND(K109&gt;1.5,K109&lt;=2.6),IF(X109&gt;=1.5,L109*F109*1.5,K109*F109*(X109)),0)+IF(R109&lt;H109+0.4,0,IF(AND(X109&lt;=1.5,K109&lt;=1.5),-U109,0))))</f>
        <v>0</v>
      </c>
      <c r="AG109" s="109">
        <f>IF(X109=0,0,IF(X109=0.4,IF(AND(K109&gt;1.5,K109&lt;=2.6),IF(OR(Y109+0.4&gt;=3,Y109+0.4&lt;1.5),0,K109*F109*0.4),0),IF(IF(AND(K109&gt;1.5,K109&lt;=2.6),IF(X109&gt;=3,L109*F109*1.5,K109*F109*(X109-1.5)),0)&lt;0,0,IF(AND(K109&gt;1.5,K109&lt;=2.6),IF(X109&gt;=3,L109*F109*1.5,K109*F109*(X109-1.5)),0))+IF(R109&lt;H109+0.4,0,IF(AND(X109&lt;=3,K109&lt;=1.5),-U109,0))))</f>
        <v>0</v>
      </c>
      <c r="AH109" s="109">
        <f>IF(X109=0,0,IF(X109=0.4,IF(AND(K109&gt;1.5,K109&lt;=2.6),IF(OR(Y109+0.4&gt;=4.5,Y109+0.4&lt;3),0,K109*F109*0.4),0),IF(IF(AND(K109&gt;1.5,K109&lt;=2.6),IF(X109&gt;=4.5,L109*F109*1.5,K109*F109*(X109-3)),0)&lt;0,0,IF(AND(K109&gt;1.5,K109&lt;=2.6),IF(X109&gt;=4.5,L109*F109*1.5,K109*F109*(X109-3)),0))+IF(R109&lt;H109+0.4,0,IF(AND(X109&lt;=3,K109&lt;=1.5),-U109,0))))</f>
        <v>0</v>
      </c>
      <c r="AI109" s="109">
        <f>IF(X109=0,0,IF(X109=0.4,IF(AND(K109&gt;1.5,K109&lt;=2.6),IF(OR(Y109+0.4&gt;=6,Y109+0.4&lt;4.5),0,K109*F109*0.4),0),IF(IF(AND(K109&gt;1.5,K109&lt;=2.6),IF(X109&gt;=6,L109*F109*1.5,K109*F109*(X109-4.5)),0)&lt;0,0,IF(AND(K109&gt;1.5,K109&lt;=2.6),IF(X109&gt;=6,L109*F109*1.5,K109*F109*(X109-4.5)),0))+IF(R109&lt;H109+0.4,0,IF(AND(X109&lt;=3,K109&lt;=1.5),-U109,0))))</f>
        <v>0</v>
      </c>
      <c r="AJ109" s="456">
        <f>IF(K109&lt;=1.5,IF(Y109&gt;=1.5,L109*F109*1.5,K109*F109*Y109),0)+IF(R109&lt;H109,0,IF(AND(Y109&lt;=1.5,K109&lt;=1.5),-U109,0))</f>
        <v>126</v>
      </c>
      <c r="AK109" s="456">
        <f>IF(IF(K109&lt;=1.5,IF(Y109&gt;=3,L109*F109*1.5,K109*F109*(Y109-1.5)),0)&lt;0,0,IF(K109&lt;=1.5,IF(Y109&gt;=3,L109*F109*1.5,K109*F109*(Y109-1.5)),0))+IF(R109&lt;H109,0,IF(AND(Y109&lt;=3,K109&lt;=1.5),-U109,0))</f>
        <v>25.640177631384496</v>
      </c>
      <c r="AL109" s="456">
        <f>IF(AND(K109&lt;=2.5,K109&gt;1.5),IF(Y109&gt;=1.5,L109*F109*1.5,K109*F109*Y109),0)+IF(R109&lt;H109,0,IF(AND(Y109&lt;=1.5,K109&gt;1.5,K109&lt;=2.5),-U109,0))</f>
        <v>0</v>
      </c>
      <c r="AM109" s="456">
        <f>IF(IF(AND(K109&lt;=2.5,K109&gt;1.5),IF(Y109&gt;=3,L109*F109*1.5,K109*F109*(Y109-1.5)),0)&lt;0,0,IF(AND(K109&lt;=2.5,K109&gt;1.5),IF(Y109&gt;=3,L109*F109*1.5,K109*F109*(Y109-1.5)),0))+IF(R109&lt;H109,0,IF(AND(Y109&lt;=3,Y109&gt;1.5,K109&gt;1.5,K109&lt;=2.5),-U109,0))</f>
        <v>0</v>
      </c>
      <c r="AN109" s="456">
        <f>IF(IF(K109&lt;=2.5,IF(Y109&gt;=4.5,L109*F109*1.5,K109*F109*(Y109-3)),0)&lt;0,0,IF(K109&lt;=2.5,IF(Y109&gt;=4.5,L109*F109*1.5,K109*F109*(Y109-3)),0))+IF(R109&lt;H109,0,IF(AND(Y109&lt;=4.5,Y109&gt;3,K109&gt;1.5,K109&lt;=2.5),-U109,0))</f>
        <v>0</v>
      </c>
      <c r="AO109" s="456">
        <f>IF(K109&gt;2.5,IF(Y109&gt;=2,L109*F109*2,K109*F109*Y109),0)+IF(R109&lt;H109,0,IF(AND(Y109&lt;=2,K109&gt;=2.5),-U109,0))</f>
        <v>0</v>
      </c>
      <c r="AP109" s="456">
        <f>IF(IF(K109&gt;2.5,IF(Y109&gt;=4,L109*F109*2,K109*F109*(Y109-2)),0)&lt;0,0,IF(K109&gt;2.5,IF(Y109&gt;=4,L109*F109*2,K109*F109*(Y109-2)),0))+IF(R109&lt;H109,0,IF(AND(Y109&lt;=4,Y109&gt;2,K109&gt;2.5),-U109,0))</f>
        <v>0</v>
      </c>
      <c r="AQ109" s="456">
        <f>IF(IF(K109&gt;2.5,IF(Y109&gt;=6,L109*F109*2,K109*F109*(Y109-4)),0)&lt;0,0,IF(K109&gt;2.5,IF(Y109&gt;=6,L109*F109*2,K109*F109*(Y109-4)),0))+IF(R109&lt;H109,0,IF(AND(Y109&lt;=6,Y109&gt;4,K109&gt;2.5),-U109,0))</f>
        <v>0</v>
      </c>
      <c r="AR109" s="102">
        <f>ROUND(V109-SUM(AC109:AQ109),2)</f>
        <v>0</v>
      </c>
      <c r="AS109" s="449">
        <f>IF(H109-S109&lt;0,0,(H109-S109)*F109)/75</f>
        <v>0</v>
      </c>
      <c r="AT109" s="104">
        <f>F109*K109*H109-PI()*(G109/1000)*(G109/1000)/4*F109+AW109</f>
        <v>142.21539967061511</v>
      </c>
      <c r="AU109" s="102">
        <f>IF(K109&lt;1.5,K109*F109*IF(G109&lt;=500,0.05,IF(G109&lt;=800,0.1,IF(G109&lt;=1200,0.15,IF(G109&gt;=1500,0.2)))),0)</f>
        <v>8.4</v>
      </c>
      <c r="AV109" s="106">
        <f>IF(K109&gt;=1.5,K109*F109*IF(G109&lt;=500,0.05,IF(G109&lt;=800,0.1,IF(G109&lt;=1200,0.15,IF(G109&gt;=1500,0.2)))),0)</f>
        <v>0</v>
      </c>
      <c r="AW109" s="104">
        <f>IF(Q109=1,0.4*F109*K109,0)</f>
        <v>0</v>
      </c>
      <c r="AX109" s="104">
        <f>IF(AW109&lt;SUM(AJ109:AQ109),0,AW109)</f>
        <v>0</v>
      </c>
      <c r="AY109" s="104">
        <f>G109/1000+0.3</f>
        <v>0.89999999999999991</v>
      </c>
      <c r="AZ109" s="104">
        <f>AY109*K109*F109-PI()*(G109/1000*G109/1000)/4*F109</f>
        <v>58.635399670615115</v>
      </c>
      <c r="BA109" s="104">
        <f>IF(AZ109&lt;SUM(AJ109:AQ109),0,AZ109)</f>
        <v>0</v>
      </c>
      <c r="BB109" s="104">
        <f>IF(O109="ASFALTO",0.15*F109*K109,0)</f>
        <v>12.6</v>
      </c>
      <c r="BC109" s="104">
        <f>BB109</f>
        <v>12.6</v>
      </c>
      <c r="BD109" s="104">
        <f>IF(O109="ASFALTO",0.03*F109*K109,0)</f>
        <v>2.5199999999999996</v>
      </c>
      <c r="BE109" s="104">
        <f>AT109-AW109-SUM(AU109:AV109)-BB109-BC109-AZ109</f>
        <v>49.980000000000004</v>
      </c>
      <c r="BF109" s="104">
        <f>SUM(AJ109:AQ109)-AW109-BB109-AZ109</f>
        <v>80.40477796076938</v>
      </c>
      <c r="BG109" s="104">
        <f>IF(SMALL(BE109:BF109,1)&lt;0,0,SMALL(BE109:BF109,1))</f>
        <v>49.980000000000004</v>
      </c>
      <c r="BH109" s="104">
        <f>BF109-BG109</f>
        <v>30.424777960769376</v>
      </c>
      <c r="BI109" s="104">
        <f>BE109-BG109</f>
        <v>0</v>
      </c>
      <c r="BJ109" s="104">
        <f>IF($BI$120&gt;$BJ$122,($BJ$122/$BI$120)*BI109,BI109)</f>
        <v>0</v>
      </c>
      <c r="BK109" s="104">
        <f t="shared" ref="BK109" si="487">BI109-BJ109</f>
        <v>0</v>
      </c>
      <c r="BL109" s="125"/>
      <c r="BM109" s="104">
        <f t="shared" ref="BM109" si="488">IF(AW109+BB109&gt;0,4%*(AW109+BB109),0)</f>
        <v>0.504</v>
      </c>
      <c r="BN109" s="455">
        <f t="shared" ref="BN109" si="489">IF(G109=400,H109,0)</f>
        <v>0</v>
      </c>
      <c r="BO109" s="457">
        <f t="shared" ref="BO109" si="490">IF(BN109&lt;=1.75,AND(BN109&gt;0)*F109,0)</f>
        <v>0</v>
      </c>
      <c r="BP109" s="457">
        <f t="shared" ref="BP109" si="491">IF(BN109&lt;=3,AND(BN109&gt;1.75)*F109,0)</f>
        <v>0</v>
      </c>
      <c r="BQ109" s="457">
        <f t="shared" ref="BQ109" si="492">IF(G109=500,H109,0)</f>
        <v>0</v>
      </c>
      <c r="BR109" s="451">
        <f t="shared" ref="BR109" si="493">IF(BQ109&lt;=1.75,AND(BQ109&gt;0)*F109,0)</f>
        <v>0</v>
      </c>
      <c r="BS109" s="451">
        <f t="shared" ref="BS109" si="494">IF(BQ109&lt;=3,AND(BQ109&gt;1.75)*F109,0)</f>
        <v>0</v>
      </c>
      <c r="BT109" s="451">
        <f t="shared" ref="BT109" si="495">IF(G109=600,H109,0)</f>
        <v>1.895</v>
      </c>
      <c r="BU109" s="451">
        <f t="shared" ref="BU109" si="496">IF(BT109&lt;=3,AND(BT109&gt;0)*F109,0)</f>
        <v>60</v>
      </c>
      <c r="BV109" s="451">
        <f t="shared" ref="BV109" si="497">IF(BT109&lt;=6,AND(BT109&gt;3)*F109,0)</f>
        <v>0</v>
      </c>
      <c r="BW109" s="451">
        <f t="shared" ref="BW109" si="498">IF(BT109&lt;=9,AND(BT109&gt;6)*F109,0)</f>
        <v>0</v>
      </c>
      <c r="BX109" s="451">
        <f t="shared" ref="BX109" si="499">IF(G109=800,H109,0)</f>
        <v>0</v>
      </c>
      <c r="BY109" s="451">
        <f t="shared" ref="BY109" si="500">IF(BX109&lt;=3,AND(BX109&gt;0)*F109,0)</f>
        <v>0</v>
      </c>
      <c r="BZ109" s="451">
        <f t="shared" ref="BZ109" si="501">IF(BX109&lt;=6,AND(BX109&gt;3)*F109,0)</f>
        <v>0</v>
      </c>
      <c r="CA109" s="451">
        <f t="shared" ref="CA109" si="502">IF(BX109&lt;=9,AND(BX109&gt;6)*F109,0)</f>
        <v>0</v>
      </c>
      <c r="CB109" s="451">
        <f t="shared" ref="CB109" si="503">IF(G109=1000,H109,0)</f>
        <v>0</v>
      </c>
      <c r="CC109" s="451">
        <f t="shared" ref="CC109" si="504">IF(CB109&lt;=3,AND(CB109&gt;0)*F109,0)</f>
        <v>0</v>
      </c>
      <c r="CD109" s="451">
        <f t="shared" ref="CD109" si="505">IF(CB109&lt;=6,AND(CB109&gt;3)*F109,0)</f>
        <v>0</v>
      </c>
      <c r="CE109" s="451">
        <f t="shared" ref="CE109" si="506">IF(CB109&lt;=9,AND(CB109&gt;6)*F109,0)</f>
        <v>0</v>
      </c>
      <c r="CF109" s="451">
        <f t="shared" ref="CF109" si="507">IF(G109=1200,H109,0)</f>
        <v>0</v>
      </c>
      <c r="CG109" s="451">
        <f t="shared" ref="CG109" si="508">IF(CF109&lt;=3,AND(CF109&gt;0)*F109,0)</f>
        <v>0</v>
      </c>
      <c r="CH109" s="451">
        <f t="shared" ref="CH109" si="509">IF(CF109&lt;=6,AND(CF109&gt;3)*F109,0)</f>
        <v>0</v>
      </c>
      <c r="CI109" s="451">
        <f t="shared" ref="CI109" si="510">IF(CF109&lt;=9,AND(CF109&gt;6)*F109,0)</f>
        <v>0</v>
      </c>
      <c r="CJ109" s="458">
        <f t="shared" ref="CJ109" si="511">IF(G109=1500,H109,0)</f>
        <v>0</v>
      </c>
      <c r="CK109" s="451">
        <f t="shared" ref="CK109" si="512">IF(CJ109&lt;=3,AND(CJ109&gt;0)*F109,0)</f>
        <v>0</v>
      </c>
      <c r="CL109" s="451">
        <f t="shared" ref="CL109" si="513">IF(CJ109&lt;=6,AND(CJ109&gt;3)*F109,0)</f>
        <v>0</v>
      </c>
      <c r="CM109" s="451">
        <f t="shared" ref="CM109" si="514">IF(CJ109&lt;=9,AND(CJ109&gt;6)*F109,0)</f>
        <v>0</v>
      </c>
      <c r="CN109" s="454">
        <f t="shared" ref="CN109" si="515">IF(G109=1650,F109,0)</f>
        <v>0</v>
      </c>
      <c r="CO109" s="454">
        <f t="shared" ref="CO109" si="516">IF(G109=1800,F109,0)</f>
        <v>0</v>
      </c>
      <c r="CP109" s="454">
        <f t="shared" ref="CP109" si="517">IF(G109=2000,F109,0)</f>
        <v>0</v>
      </c>
      <c r="CQ109" s="454">
        <f t="shared" ref="CQ109" si="518">IF(G109=2200,F109,0)</f>
        <v>0</v>
      </c>
      <c r="CR109" s="454">
        <f t="shared" ref="CR109" si="519">IF(G109=2400,F109,0)</f>
        <v>0</v>
      </c>
      <c r="CS109" s="454">
        <f t="shared" ref="CS109" si="520">IF(G109=2600,F109,0)</f>
        <v>0</v>
      </c>
      <c r="CT109" s="459">
        <f t="shared" ref="CT109" si="521">IF(G109=3000,F109,0)</f>
        <v>0</v>
      </c>
      <c r="CU109" s="460">
        <f t="shared" ref="CU109" si="522">IF(G109&gt;=100,1,0)</f>
        <v>1</v>
      </c>
      <c r="CV109" s="460">
        <f t="shared" ref="CV109" si="523">IF(CU109=1,IF(G109&lt;=600,1,0))</f>
        <v>1</v>
      </c>
      <c r="CW109" s="460">
        <f t="shared" ref="CW109" si="524">IF(CU109=1,IF($G109=800,1,0))</f>
        <v>0</v>
      </c>
      <c r="CX109" s="460">
        <f t="shared" ref="CX109" si="525">IF(CU109=1,IF($G109=1000,1,0))</f>
        <v>0</v>
      </c>
      <c r="CY109" s="460">
        <f t="shared" ref="CY109" si="526">IF(CU109=1,IF($G109=1200,1,0))</f>
        <v>0</v>
      </c>
      <c r="CZ109" s="460">
        <f t="shared" ref="CZ109" si="527">IF(CU109=1,IF($G109=1500,1,0))</f>
        <v>0</v>
      </c>
      <c r="DA109" s="461">
        <f t="shared" ref="DA109" si="528">IF(IF(G109&lt;=600,(D109-DB109),0)+IF(G109=800,(D109-DC109),0)+IF(G109&gt;=1000,D109-DD109,0)&lt;0,0,IF(G109&lt;=600,(D109-DB109),0)+IF(G109=800,(D109-DC109),0)+IF(G109&gt;=1000,D109-DD109,0))</f>
        <v>0.30000000000000004</v>
      </c>
      <c r="DB109" s="118">
        <v>1.3</v>
      </c>
      <c r="DC109" s="118">
        <v>1.4</v>
      </c>
      <c r="DD109" s="118">
        <v>2</v>
      </c>
      <c r="DE109" s="118">
        <v>2</v>
      </c>
      <c r="DF109" s="462">
        <v>2</v>
      </c>
      <c r="DG109" s="455">
        <f t="shared" ref="DG109" si="529">IF(K109&lt;=1.5,IF(H109&lt;1.5,H109*F109*2,F109*2*1.5),0)</f>
        <v>180</v>
      </c>
      <c r="DH109" s="463">
        <f t="shared" ref="DH109" si="530">IF(K109&lt;=1.5,IF(AND(H109&lt;3,H109&gt;1.5),(H109-1.5)*F109*2,IF(H109&gt;=3,(F109*2*1.5),0)),0)</f>
        <v>47.400000000000006</v>
      </c>
      <c r="DI109" s="463">
        <f t="shared" ref="DI109" si="531">IF(K109&lt;=1.5,IF(AND(H109&lt;4.5,H109&gt;3),(H109-3)*F109*2,IF(H109&gt;=4.5,(F109*2*1.5),0)),0)</f>
        <v>0</v>
      </c>
      <c r="DJ109" s="463">
        <f t="shared" ref="DJ109" si="532">IF(AND(K109&lt;=2.5,K109&gt;1.5),IF(H109&lt;1.5,H109*F109*2,F109*2*1.5),0)</f>
        <v>0</v>
      </c>
      <c r="DK109" s="463">
        <f t="shared" ref="DK109" si="533">IF(AND(K109&gt;1.5,K109&lt;=2.5),IF(AND(H109&lt;3,H109&gt;1.5),(H109-1.5)*F109*2,IF(H109&gt;=3,(F109*2*1.5),0)),0)</f>
        <v>0</v>
      </c>
      <c r="DL109" s="463">
        <f t="shared" ref="DL109" si="534">IF(AND(K109&gt;1.5,K109&lt;=2.5),IF(AND(H109&lt;4.5,H109&gt;3),(H109-3)*F109*2,IF(H109&gt;=4.5,(F109*2*1.5),0)),0)</f>
        <v>0</v>
      </c>
      <c r="DM109" s="463">
        <f t="shared" ref="DM109" si="535">IF(AND(K109&lt;=3.5,K109&gt;2.5),IF(H109&lt;1.5,H109*F109*2,F109*2*1.5),0)</f>
        <v>0</v>
      </c>
      <c r="DN109" s="463">
        <f t="shared" ref="DN109" si="536">IF(AND(K109&gt;2.5,K109&lt;=3.5),IF(AND(H109&lt;3,H109&gt;1.5),(H109-1.5)*F109*2,IF(H109&gt;=3,(F109*2*1.5),0)),0)</f>
        <v>0</v>
      </c>
      <c r="DO109" s="463">
        <f t="shared" ref="DO109" si="537">IF(AND(K109&gt;2.5,K109&lt;=3.5),IF(AND(H109&lt;4.5,H109&gt;3),(H109-3)*F109*2,IF(H109&gt;=4.5,(F109*2*1.5),0)),0)</f>
        <v>0</v>
      </c>
      <c r="DP109" s="463">
        <f t="shared" ref="DP109" si="538">IF(AND(K109&gt;2.5,K109&lt;=3.5),IF(AND(H109&lt;6,H109&gt;4.5),(H109-4.5)*F109*2,IF(H109&gt;=6,(F109*2*1.5),0)),0)</f>
        <v>0</v>
      </c>
      <c r="DQ109" s="445"/>
    </row>
    <row r="110" spans="1:121" s="86" customFormat="1" ht="13" x14ac:dyDescent="0.25">
      <c r="A110" s="101"/>
      <c r="B110" s="101"/>
      <c r="C110" s="87" t="str">
        <f>'Planilha Hidráulica'!B120</f>
        <v>RD-4</v>
      </c>
      <c r="D110" s="258"/>
      <c r="E110" s="258"/>
      <c r="F110" s="258"/>
      <c r="G110" s="101"/>
      <c r="H110" s="449"/>
      <c r="I110" s="449"/>
      <c r="J110" s="467"/>
      <c r="K110" s="449"/>
      <c r="L110" s="449"/>
      <c r="M110" s="470"/>
      <c r="N110" s="449"/>
      <c r="O110" s="468"/>
      <c r="P110" s="468"/>
      <c r="Q110" s="468"/>
      <c r="R110" s="468"/>
      <c r="S110" s="468"/>
      <c r="T110" s="449"/>
      <c r="U110" s="453"/>
      <c r="V110" s="453"/>
      <c r="W110" s="453"/>
      <c r="X110" s="453"/>
      <c r="Y110" s="453"/>
      <c r="Z110" s="453"/>
      <c r="AA110" s="456"/>
      <c r="AB110" s="469"/>
      <c r="AC110" s="469"/>
      <c r="AD110" s="469"/>
      <c r="AE110" s="469"/>
      <c r="AF110" s="469"/>
      <c r="AG110" s="469"/>
      <c r="AH110" s="469"/>
      <c r="AI110" s="469"/>
      <c r="AJ110" s="456"/>
      <c r="AK110" s="456"/>
      <c r="AL110" s="456"/>
      <c r="AM110" s="456"/>
      <c r="AN110" s="456"/>
      <c r="AO110" s="456"/>
      <c r="AP110" s="456"/>
      <c r="AQ110" s="456"/>
      <c r="AR110" s="449"/>
      <c r="AS110" s="449"/>
      <c r="AT110" s="465"/>
      <c r="AU110" s="465"/>
      <c r="AV110" s="466"/>
      <c r="AW110" s="465"/>
      <c r="AX110" s="465"/>
      <c r="AY110" s="465"/>
      <c r="AZ110" s="465"/>
      <c r="BA110" s="465"/>
      <c r="BB110" s="465"/>
      <c r="BC110" s="465"/>
      <c r="BD110" s="465"/>
      <c r="BE110" s="449"/>
      <c r="BF110" s="449"/>
      <c r="BG110" s="449"/>
      <c r="BH110" s="449"/>
      <c r="BI110" s="449"/>
      <c r="BJ110" s="449"/>
      <c r="BK110" s="449"/>
      <c r="BL110" s="465"/>
      <c r="BM110" s="465"/>
      <c r="BN110" s="456"/>
      <c r="BO110" s="471"/>
      <c r="BP110" s="471"/>
      <c r="BQ110" s="471"/>
      <c r="BR110" s="449"/>
      <c r="BS110" s="449"/>
      <c r="BT110" s="449"/>
      <c r="BU110" s="449"/>
      <c r="BV110" s="449"/>
      <c r="BW110" s="449"/>
      <c r="BX110" s="449"/>
      <c r="BY110" s="449"/>
      <c r="BZ110" s="449"/>
      <c r="CA110" s="449"/>
      <c r="CB110" s="449"/>
      <c r="CC110" s="449"/>
      <c r="CD110" s="449"/>
      <c r="CE110" s="449"/>
      <c r="CF110" s="449"/>
      <c r="CG110" s="449"/>
      <c r="CH110" s="449"/>
      <c r="CI110" s="449"/>
      <c r="CJ110" s="472"/>
      <c r="CK110" s="449"/>
      <c r="CL110" s="449"/>
      <c r="CM110" s="449"/>
      <c r="CN110" s="453"/>
      <c r="CO110" s="453"/>
      <c r="CP110" s="453"/>
      <c r="CQ110" s="453"/>
      <c r="CR110" s="453"/>
      <c r="CS110" s="453"/>
      <c r="CT110" s="473"/>
      <c r="CU110" s="470"/>
      <c r="CV110" s="470"/>
      <c r="CW110" s="470"/>
      <c r="CX110" s="470"/>
      <c r="CY110" s="470"/>
      <c r="CZ110" s="470"/>
      <c r="DA110" s="474"/>
      <c r="DB110" s="77"/>
      <c r="DC110" s="77"/>
      <c r="DD110" s="77"/>
      <c r="DE110" s="77"/>
      <c r="DF110" s="475"/>
      <c r="DG110" s="456"/>
      <c r="DH110" s="476"/>
      <c r="DI110" s="476"/>
      <c r="DJ110" s="476"/>
      <c r="DK110" s="476"/>
      <c r="DL110" s="476"/>
      <c r="DM110" s="476"/>
      <c r="DN110" s="476"/>
      <c r="DO110" s="476"/>
      <c r="DP110" s="476"/>
      <c r="DQ110" s="445"/>
    </row>
    <row r="111" spans="1:121" s="86" customFormat="1" ht="25" x14ac:dyDescent="0.25">
      <c r="A111" s="259" t="s">
        <v>2073</v>
      </c>
      <c r="B111" s="101"/>
      <c r="C111" s="101" t="str">
        <f>'Planilha Hidráulica'!B121</f>
        <v>PV1.1-&gt;PV1-58</v>
      </c>
      <c r="D111" s="258">
        <f>'Planilha Hidráulica'!R121</f>
        <v>1.6000000000000227</v>
      </c>
      <c r="E111" s="258">
        <f>'Planilha Hidráulica'!S121</f>
        <v>2</v>
      </c>
      <c r="F111" s="258">
        <f>'Planilha Hidráulica'!K121</f>
        <v>59.999999999568793</v>
      </c>
      <c r="G111" s="101">
        <f>'Planilha Hidráulica'!M121</f>
        <v>600</v>
      </c>
      <c r="H111" s="449">
        <f>IF(G111=400,((D111+E111)/2)+0.08+T111,IF(G111=500,((D111+E111)/2)+0.1+T111,IF(G111=600,((D111+E111)/2)+0.12+T111,IF(G111=800,((D111+E111)/2)+0.16+T111,IF(G111=1000,((D111+E111)/2)+0.2+T111,IF(G111=1200,((D111+E111)/2)+0.24+T111,IF(G111=1500,((D111+E111)/2)+0.3+T111,IF(G111&gt;1500,((D111+E111)/2)+0.4+T111))))))))</f>
        <v>2.0200000000000116</v>
      </c>
      <c r="I111" s="102">
        <f>IF(K111=0,0,IF(H111&gt;=1.25,F111*H111/20,0))</f>
        <v>6.0599999999564833</v>
      </c>
      <c r="J111" s="467">
        <v>0</v>
      </c>
      <c r="K111" s="449">
        <f>IF(G111=400,1,0)+IF(G111=500,1.2,0)+IF(G111=600,1.4,0)+IF(G111=800,1.7,0)+IF(G111=1000,2,0)+IF(G111=1200,2.2,0)+IF(G111=1500,2.6,0)+IF(G111=1650,3,0)+IF(G111=1800,3.2,0)+IF(G111=2000,3.4,0)+IF(G111=2200,3.6,0)+IF(G111=2400,3.8,0)+IF(G111=2600,4,0)+IF(G111=3000,4.4,0)</f>
        <v>1.4</v>
      </c>
      <c r="L111" s="449">
        <f>2*J111*H111+K111</f>
        <v>1.4</v>
      </c>
      <c r="M111" s="449" t="str">
        <f>'Planilha Hidráulica'!X121</f>
        <v>-</v>
      </c>
      <c r="N111" s="449">
        <f>L111*F111</f>
        <v>83.999999999396309</v>
      </c>
      <c r="O111" s="468" t="str">
        <f>'Planilha Hidráulica'!W121</f>
        <v>ASFALTO</v>
      </c>
      <c r="P111" s="468" t="s">
        <v>2074</v>
      </c>
      <c r="Q111" s="468"/>
      <c r="R111" s="468">
        <v>5</v>
      </c>
      <c r="S111" s="468">
        <v>5</v>
      </c>
      <c r="T111" s="449">
        <f>IF(G111=400,0.05,0)+IF(G111=500,0.05,0)+IF(G111=600,0.1,0)+IF(G111=800,0.1,0)+IF(G111=1000,0.15,0)+IF(G111=1200,0.15,0)+IF(G111=1500,0.2,0)+IF(G111=1650,0.2,0)+IF(G111=1800,0.2,0)+IF(G111=2000,0.25,0)+IF(G111=2200,0.25,0)+IF(G111=2400,0.25,0)+IF(G111=2600,0.25,0)+IF(G111=3000,0.25,0)</f>
        <v>0.1</v>
      </c>
      <c r="U111" s="453">
        <f>IFERROR((PI()*(M111/1000)*(M111/1000)/4)*F111,0)</f>
        <v>0</v>
      </c>
      <c r="V111" s="106">
        <f>((((J111*H111)*H111)/2)*2+K111*H111)*F111-U111+AW111</f>
        <v>169.67999999878148</v>
      </c>
      <c r="W111" s="106">
        <f>V111-SUM(AC111:AR111)</f>
        <v>0</v>
      </c>
      <c r="X111" s="107">
        <f>IF(Q111=1,IF(M111=0,H111+0.4,0.4),0)</f>
        <v>0</v>
      </c>
      <c r="Y111" s="453">
        <f>IF(R111&lt;H111,R111,H111)</f>
        <v>2.0200000000000116</v>
      </c>
      <c r="Z111" s="453">
        <f>H111-Y111</f>
        <v>0</v>
      </c>
      <c r="AA111" s="456">
        <f>IF(O111="ASFALTO",L111*F111,0)</f>
        <v>83.999999999396309</v>
      </c>
      <c r="AB111" s="469">
        <f>IF(O111="CONCRETO",L111*F111,0)</f>
        <v>0</v>
      </c>
      <c r="AC111" s="109">
        <f>IF(X111=0,0,IF(X111=0.4,IF(K111&lt;=1.5,IF(Y111+0.4&gt;=1.5,0,K111*F111*0.4),0),IF(K111&lt;=1.5,IF(X111&gt;=1.5,L111*F111*1.5,K111*F111*(X111)),0)+IF(R111&lt;H111+0.4,0,IF(AND(X111&lt;=1.5,K111&lt;=1.5),-U111,0))))</f>
        <v>0</v>
      </c>
      <c r="AD111" s="109">
        <f>IF(X111=0,0,IF(X111=0.4,IF(K111&lt;=1.5,IF(OR(Y111+0.4&gt;=3,Y111+0.4&lt;1.5),0,K111*F111*0.4),0),IF(IF(K111&lt;=1.5,IF(X111&gt;=3,L111*F111*1.5,K111*F111*(X111-1.5)),0)&lt;0,0,IF(K111&lt;=1.5,IF(X111&gt;=3,L111*F111*1.5,K111*F111*(X111-1.5)),0))+IF(R111&lt;H111+0.4,0,IF(AND(X111&lt;=3,K111&lt;=1.5),-U111,0))))</f>
        <v>0</v>
      </c>
      <c r="AE111" s="109">
        <f>IF(X111=0,0,IF(X111=0.4,IF(K111&lt;=1.5,IF(OR(Y111+0.4&gt;=4.5,Y111+0.4&lt;3),0,K111*F111*0.4),0),IF(IF(K111&lt;=1.5,IF(X111&gt;=4.5,L111*F111*1.5,K111*F111*(X111-3)),0)&lt;0,0,IF(K111&lt;=1.5,IF(X111&gt;=3,L111*F111*1.5,K111*F111*(X111-3)),0))+IF(R111&lt;H111+0.4,0,IF(AND(X111&lt;=4.5,K111&lt;=1.5),-U111,0))))</f>
        <v>0</v>
      </c>
      <c r="AF111" s="109">
        <f>IF(X111=0,0,IF(X111=0.4,IF(AND(K111&gt;1.5,K111&lt;=2.6),IF(Y111+0.4&gt;=1.5,0,K111*F111*0.4),0),IF(AND(K111&gt;1.5,K111&lt;=2.6),IF(X111&gt;=1.5,L111*F111*1.5,K111*F111*(X111)),0)+IF(R111&lt;H111+0.4,0,IF(AND(X111&lt;=1.5,K111&lt;=1.5),-U111,0))))</f>
        <v>0</v>
      </c>
      <c r="AG111" s="109">
        <f>IF(X111=0,0,IF(X111=0.4,IF(AND(K111&gt;1.5,K111&lt;=2.6),IF(OR(Y111+0.4&gt;=3,Y111+0.4&lt;1.5),0,K111*F111*0.4),0),IF(IF(AND(K111&gt;1.5,K111&lt;=2.6),IF(X111&gt;=3,L111*F111*1.5,K111*F111*(X111-1.5)),0)&lt;0,0,IF(AND(K111&gt;1.5,K111&lt;=2.6),IF(X111&gt;=3,L111*F111*1.5,K111*F111*(X111-1.5)),0))+IF(R111&lt;H111+0.4,0,IF(AND(X111&lt;=3,K111&lt;=1.5),-U111,0))))</f>
        <v>0</v>
      </c>
      <c r="AH111" s="109">
        <f>IF(X111=0,0,IF(X111=0.4,IF(AND(K111&gt;1.5,K111&lt;=2.6),IF(OR(Y111+0.4&gt;=4.5,Y111+0.4&lt;3),0,K111*F111*0.4),0),IF(IF(AND(K111&gt;1.5,K111&lt;=2.6),IF(X111&gt;=4.5,L111*F111*1.5,K111*F111*(X111-3)),0)&lt;0,0,IF(AND(K111&gt;1.5,K111&lt;=2.6),IF(X111&gt;=4.5,L111*F111*1.5,K111*F111*(X111-3)),0))+IF(R111&lt;H111+0.4,0,IF(AND(X111&lt;=3,K111&lt;=1.5),-U111,0))))</f>
        <v>0</v>
      </c>
      <c r="AI111" s="109">
        <f>IF(X111=0,0,IF(X111=0.4,IF(AND(K111&gt;1.5,K111&lt;=2.6),IF(OR(Y111+0.4&gt;=6,Y111+0.4&lt;4.5),0,K111*F111*0.4),0),IF(IF(AND(K111&gt;1.5,K111&lt;=2.6),IF(X111&gt;=6,L111*F111*1.5,K111*F111*(X111-4.5)),0)&lt;0,0,IF(AND(K111&gt;1.5,K111&lt;=2.6),IF(X111&gt;=6,L111*F111*1.5,K111*F111*(X111-4.5)),0))+IF(R111&lt;H111+0.4,0,IF(AND(X111&lt;=3,K111&lt;=1.5),-U111,0))))</f>
        <v>0</v>
      </c>
      <c r="AJ111" s="456">
        <f>IF(K111&lt;=1.5,IF(Y111&gt;=1.5,L111*F111*1.5,K111*F111*Y111),0)+IF(R111&lt;H111,0,IF(AND(Y111&lt;=1.5,K111&lt;=1.5),-U111,0))</f>
        <v>125.99999999909446</v>
      </c>
      <c r="AK111" s="456">
        <f>IF(IF(K111&lt;=1.5,IF(Y111&gt;=3,L111*F111*1.5,K111*F111*(Y111-1.5)),0)&lt;0,0,IF(K111&lt;=1.5,IF(Y111&gt;=3,L111*F111*1.5,K111*F111*(Y111-1.5)),0))+IF(R111&lt;H111,0,IF(AND(Y111&lt;=3,K111&lt;=1.5),-U111,0))</f>
        <v>43.679999999687055</v>
      </c>
      <c r="AL111" s="456">
        <f>IF(AND(K111&lt;=2.5,K111&gt;1.5),IF(Y111&gt;=1.5,L111*F111*1.5,K111*F111*Y111),0)+IF(R111&lt;H111,0,IF(AND(Y111&lt;=1.5,K111&gt;1.5,K111&lt;=2.5),-U111,0))</f>
        <v>0</v>
      </c>
      <c r="AM111" s="456">
        <f>IF(IF(AND(K111&lt;=2.5,K111&gt;1.5),IF(Y111&gt;=3,L111*F111*1.5,K111*F111*(Y111-1.5)),0)&lt;0,0,IF(AND(K111&lt;=2.5,K111&gt;1.5),IF(Y111&gt;=3,L111*F111*1.5,K111*F111*(Y111-1.5)),0))+IF(R111&lt;H111,0,IF(AND(Y111&lt;=3,Y111&gt;1.5,K111&gt;1.5,K111&lt;=2.5),-U111,0))</f>
        <v>0</v>
      </c>
      <c r="AN111" s="456">
        <f>IF(IF(K111&lt;=2.5,IF(Y111&gt;=4.5,L111*F111*1.5,K111*F111*(Y111-3)),0)&lt;0,0,IF(K111&lt;=2.5,IF(Y111&gt;=4.5,L111*F111*1.5,K111*F111*(Y111-3)),0))+IF(R111&lt;H111,0,IF(AND(Y111&lt;=4.5,Y111&gt;3,K111&gt;1.5,K111&lt;=2.5),-U111,0))</f>
        <v>0</v>
      </c>
      <c r="AO111" s="456">
        <f>IF(K111&gt;2.5,IF(Y111&gt;=2,L111*F111*2,K111*F111*Y111),0)+IF(R111&lt;H111,0,IF(AND(Y111&lt;=2,K111&gt;=2.5),-U111,0))</f>
        <v>0</v>
      </c>
      <c r="AP111" s="456">
        <f>IF(IF(K111&gt;2.5,IF(Y111&gt;=4,L111*F111*2,K111*F111*(Y111-2)),0)&lt;0,0,IF(K111&gt;2.5,IF(Y111&gt;=4,L111*F111*2,K111*F111*(Y111-2)),0))+IF(R111&lt;H111,0,IF(AND(Y111&lt;=4,Y111&gt;2,K111&gt;2.5),-U111,0))</f>
        <v>0</v>
      </c>
      <c r="AQ111" s="456">
        <f>IF(IF(K111&gt;2.5,IF(Y111&gt;=6,L111*F111*2,K111*F111*(Y111-4)),0)&lt;0,0,IF(K111&gt;2.5,IF(Y111&gt;=6,L111*F111*2,K111*F111*(Y111-4)),0))+IF(R111&lt;H111,0,IF(AND(Y111&lt;=6,Y111&gt;4,K111&gt;2.5),-U111,0))</f>
        <v>0</v>
      </c>
      <c r="AR111" s="102">
        <f>V111-SUM(AC111:AQ111)</f>
        <v>0</v>
      </c>
      <c r="AS111" s="449">
        <f>IF(H111-S111&lt;0,0,(H111-S111)*F111)/75</f>
        <v>0</v>
      </c>
      <c r="AT111" s="104">
        <f>F111*K111*H111-PI()*(G111/1000)*(G111/1000)/4*F111+AW111</f>
        <v>152.71539966951855</v>
      </c>
      <c r="AU111" s="102">
        <f>IF(K111&lt;1.5,K111*F111*IF(G111&lt;=500,0.05,IF(G111&lt;=800,0.1,IF(G111&lt;=1200,0.15,IF(G111&gt;=1500,0.2)))),0)</f>
        <v>8.3999999999396309</v>
      </c>
      <c r="AV111" s="106">
        <f>IF(K111&gt;=1.5,K111*F111*IF(G111&lt;=500,0.05,IF(G111&lt;=800,0.1,IF(G111&lt;=1200,0.15,IF(G111&gt;=1500,0.2)))),0)</f>
        <v>0</v>
      </c>
      <c r="AW111" s="104">
        <f>IF(Q111=1,0.4*F111*K111,0)</f>
        <v>0</v>
      </c>
      <c r="AX111" s="104">
        <f>IF(AW111&lt;SUM(AJ111:AQ111),0,AW111)</f>
        <v>0</v>
      </c>
      <c r="AY111" s="104">
        <f>G111/1000+0.3</f>
        <v>0.89999999999999991</v>
      </c>
      <c r="AZ111" s="104">
        <f>AY111*K111*F111-PI()*(G111/1000*G111/1000)/4*F111</f>
        <v>58.635399670193706</v>
      </c>
      <c r="BA111" s="104">
        <f>IF(AZ111&lt;SUM(AJ111:AQ111),0,AZ111)</f>
        <v>0</v>
      </c>
      <c r="BB111" s="104">
        <f>IF(O111="ASFALTO",0.15*F111*K111,0)</f>
        <v>12.599999999909446</v>
      </c>
      <c r="BC111" s="104">
        <f>BB111</f>
        <v>12.599999999909446</v>
      </c>
      <c r="BD111" s="104">
        <f>IF(O111="ASFALTO",0.03*F111*K111,0)</f>
        <v>2.5199999999818892</v>
      </c>
      <c r="BE111" s="104">
        <f>AT111-AW111-SUM(AU111:AV111)-BB111-BC111-AZ111</f>
        <v>60.479999999566317</v>
      </c>
      <c r="BF111" s="104">
        <f>SUM(AJ111:AQ111)-AW111-BB111-AZ111</f>
        <v>98.444600328678362</v>
      </c>
      <c r="BG111" s="104">
        <f>IF(SMALL(BE111:BF111,1)&lt;0,0,SMALL(BE111:BF111,1))</f>
        <v>60.479999999566317</v>
      </c>
      <c r="BH111" s="104">
        <f>BF111-BG111</f>
        <v>37.964600329112045</v>
      </c>
      <c r="BI111" s="104">
        <f>BE111-BG111</f>
        <v>0</v>
      </c>
      <c r="BJ111" s="104">
        <f>IF($BI$120&gt;$BJ$122,($BJ$122/$BI$120)*BI111,BI111)</f>
        <v>0</v>
      </c>
      <c r="BK111" s="104">
        <f t="shared" ref="BK111" si="539">BI111-BJ111</f>
        <v>0</v>
      </c>
      <c r="BL111" s="125"/>
      <c r="BM111" s="104">
        <f t="shared" ref="BM111" si="540">IF(AW111+BB111&gt;0,4%*(AW111+BB111),0)</f>
        <v>0.5039999999963779</v>
      </c>
      <c r="BN111" s="455">
        <f t="shared" ref="BN111" si="541">IF(G111=400,H111,0)</f>
        <v>0</v>
      </c>
      <c r="BO111" s="457">
        <f t="shared" ref="BO111" si="542">IF(BN111&lt;=1.75,AND(BN111&gt;0)*F111,0)</f>
        <v>0</v>
      </c>
      <c r="BP111" s="457">
        <f t="shared" ref="BP111" si="543">IF(BN111&lt;=3,AND(BN111&gt;1.75)*F111,0)</f>
        <v>0</v>
      </c>
      <c r="BQ111" s="457">
        <f t="shared" ref="BQ111" si="544">IF(G111=500,H111,0)</f>
        <v>0</v>
      </c>
      <c r="BR111" s="451">
        <f t="shared" ref="BR111" si="545">IF(BQ111&lt;=1.75,AND(BQ111&gt;0)*F111,0)</f>
        <v>0</v>
      </c>
      <c r="BS111" s="451">
        <f t="shared" ref="BS111" si="546">IF(BQ111&lt;=3,AND(BQ111&gt;1.75)*F111,0)</f>
        <v>0</v>
      </c>
      <c r="BT111" s="451">
        <f t="shared" ref="BT111" si="547">IF(G111=600,H111,0)</f>
        <v>2.0200000000000116</v>
      </c>
      <c r="BU111" s="451">
        <f t="shared" ref="BU111" si="548">IF(BT111&lt;=3,AND(BT111&gt;0)*F111,0)</f>
        <v>59.999999999568793</v>
      </c>
      <c r="BV111" s="451">
        <f t="shared" ref="BV111" si="549">IF(BT111&lt;=6,AND(BT111&gt;3)*F111,0)</f>
        <v>0</v>
      </c>
      <c r="BW111" s="451">
        <f t="shared" ref="BW111" si="550">IF(BT111&lt;=9,AND(BT111&gt;6)*F111,0)</f>
        <v>0</v>
      </c>
      <c r="BX111" s="451">
        <f t="shared" ref="BX111" si="551">IF(G111=800,H111,0)</f>
        <v>0</v>
      </c>
      <c r="BY111" s="451">
        <f t="shared" ref="BY111" si="552">IF(BX111&lt;=3,AND(BX111&gt;0)*F111,0)</f>
        <v>0</v>
      </c>
      <c r="BZ111" s="451">
        <f t="shared" ref="BZ111" si="553">IF(BX111&lt;=6,AND(BX111&gt;3)*F111,0)</f>
        <v>0</v>
      </c>
      <c r="CA111" s="451">
        <f t="shared" ref="CA111" si="554">IF(BX111&lt;=9,AND(BX111&gt;6)*F111,0)</f>
        <v>0</v>
      </c>
      <c r="CB111" s="451">
        <f t="shared" ref="CB111" si="555">IF(G111=1000,H111,0)</f>
        <v>0</v>
      </c>
      <c r="CC111" s="451">
        <f t="shared" ref="CC111" si="556">IF(CB111&lt;=3,AND(CB111&gt;0)*F111,0)</f>
        <v>0</v>
      </c>
      <c r="CD111" s="451">
        <f t="shared" ref="CD111" si="557">IF(CB111&lt;=6,AND(CB111&gt;3)*F111,0)</f>
        <v>0</v>
      </c>
      <c r="CE111" s="451">
        <f t="shared" ref="CE111" si="558">IF(CB111&lt;=9,AND(CB111&gt;6)*F111,0)</f>
        <v>0</v>
      </c>
      <c r="CF111" s="451">
        <f t="shared" ref="CF111" si="559">IF(G111=1200,H111,0)</f>
        <v>0</v>
      </c>
      <c r="CG111" s="451">
        <f t="shared" ref="CG111" si="560">IF(CF111&lt;=3,AND(CF111&gt;0)*F111,0)</f>
        <v>0</v>
      </c>
      <c r="CH111" s="451">
        <f t="shared" ref="CH111" si="561">IF(CF111&lt;=6,AND(CF111&gt;3)*F111,0)</f>
        <v>0</v>
      </c>
      <c r="CI111" s="451">
        <f t="shared" ref="CI111" si="562">IF(CF111&lt;=9,AND(CF111&gt;6)*F111,0)</f>
        <v>0</v>
      </c>
      <c r="CJ111" s="458">
        <f t="shared" ref="CJ111" si="563">IF(G111=1500,H111,0)</f>
        <v>0</v>
      </c>
      <c r="CK111" s="451">
        <f t="shared" ref="CK111" si="564">IF(CJ111&lt;=3,AND(CJ111&gt;0)*F111,0)</f>
        <v>0</v>
      </c>
      <c r="CL111" s="451">
        <f t="shared" ref="CL111" si="565">IF(CJ111&lt;=6,AND(CJ111&gt;3)*F111,0)</f>
        <v>0</v>
      </c>
      <c r="CM111" s="451">
        <f t="shared" ref="CM111" si="566">IF(CJ111&lt;=9,AND(CJ111&gt;6)*F111,0)</f>
        <v>0</v>
      </c>
      <c r="CN111" s="454">
        <f t="shared" ref="CN111" si="567">IF(G111=1650,F111,0)</f>
        <v>0</v>
      </c>
      <c r="CO111" s="454">
        <f t="shared" ref="CO111" si="568">IF(G111=1800,F111,0)</f>
        <v>0</v>
      </c>
      <c r="CP111" s="454">
        <f t="shared" ref="CP111" si="569">IF(G111=2000,F111,0)</f>
        <v>0</v>
      </c>
      <c r="CQ111" s="454">
        <f t="shared" ref="CQ111" si="570">IF(G111=2200,F111,0)</f>
        <v>0</v>
      </c>
      <c r="CR111" s="454">
        <f t="shared" ref="CR111" si="571">IF(G111=2400,F111,0)</f>
        <v>0</v>
      </c>
      <c r="CS111" s="454">
        <f t="shared" ref="CS111" si="572">IF(G111=2600,F111,0)</f>
        <v>0</v>
      </c>
      <c r="CT111" s="459">
        <f t="shared" ref="CT111" si="573">IF(G111=3000,F111,0)</f>
        <v>0</v>
      </c>
      <c r="CU111" s="460">
        <f t="shared" ref="CU111" si="574">IF(G111&gt;=100,1,0)</f>
        <v>1</v>
      </c>
      <c r="CV111" s="460">
        <f t="shared" ref="CV111" si="575">IF(CU111=1,IF(G111&lt;=600,1,0))</f>
        <v>1</v>
      </c>
      <c r="CW111" s="460">
        <f t="shared" ref="CW111" si="576">IF(CU111=1,IF($G111=800,1,0))</f>
        <v>0</v>
      </c>
      <c r="CX111" s="460">
        <f t="shared" ref="CX111" si="577">IF(CU111=1,IF($G111=1000,1,0))</f>
        <v>0</v>
      </c>
      <c r="CY111" s="460">
        <f t="shared" ref="CY111" si="578">IF(CU111=1,IF($G111=1200,1,0))</f>
        <v>0</v>
      </c>
      <c r="CZ111" s="460">
        <f t="shared" ref="CZ111" si="579">IF(CU111=1,IF($G111=1500,1,0))</f>
        <v>0</v>
      </c>
      <c r="DA111" s="461">
        <f t="shared" ref="DA111" si="580">IF(IF(G111&lt;=600,(D111-DB111),0)+IF(G111=800,(D111-DC111),0)+IF(G111&gt;=1000,D111-DD111,0)&lt;0,0,IF(G111&lt;=600,(D111-DB111),0)+IF(G111=800,(D111-DC111),0)+IF(G111&gt;=1000,D111-DD111,0))</f>
        <v>0.30000000000002269</v>
      </c>
      <c r="DB111" s="118">
        <v>1.3</v>
      </c>
      <c r="DC111" s="118">
        <v>1.4</v>
      </c>
      <c r="DD111" s="118">
        <v>2</v>
      </c>
      <c r="DE111" s="118">
        <v>2</v>
      </c>
      <c r="DF111" s="462">
        <v>2</v>
      </c>
      <c r="DG111" s="455">
        <f t="shared" ref="DG111" si="581">IF(K111&lt;=1.5,IF(H111&lt;1.5,H111*F111*2,F111*2*1.5),0)</f>
        <v>179.99999999870639</v>
      </c>
      <c r="DH111" s="463">
        <f t="shared" ref="DH111" si="582">IF(K111&lt;=1.5,IF(AND(H111&lt;3,H111&gt;1.5),(H111-1.5)*F111*2,IF(H111&gt;=3,(F111*2*1.5),0)),0)</f>
        <v>62.399999999552932</v>
      </c>
      <c r="DI111" s="463">
        <f t="shared" ref="DI111" si="583">IF(K111&lt;=1.5,IF(AND(H111&lt;4.5,H111&gt;3),(H111-3)*F111*2,IF(H111&gt;=4.5,(F111*2*1.5),0)),0)</f>
        <v>0</v>
      </c>
      <c r="DJ111" s="463">
        <f t="shared" ref="DJ111" si="584">IF(AND(K111&lt;=2.5,K111&gt;1.5),IF(H111&lt;1.5,H111*F111*2,F111*2*1.5),0)</f>
        <v>0</v>
      </c>
      <c r="DK111" s="463">
        <f t="shared" ref="DK111" si="585">IF(AND(K111&gt;1.5,K111&lt;=2.5),IF(AND(H111&lt;3,H111&gt;1.5),(H111-1.5)*F111*2,IF(H111&gt;=3,(F111*2*1.5),0)),0)</f>
        <v>0</v>
      </c>
      <c r="DL111" s="463">
        <f t="shared" ref="DL111" si="586">IF(AND(K111&gt;1.5,K111&lt;=2.5),IF(AND(H111&lt;4.5,H111&gt;3),(H111-3)*F111*2,IF(H111&gt;=4.5,(F111*2*1.5),0)),0)</f>
        <v>0</v>
      </c>
      <c r="DM111" s="463">
        <f t="shared" ref="DM111" si="587">IF(AND(K111&lt;=3.5,K111&gt;2.5),IF(H111&lt;1.5,H111*F111*2,F111*2*1.5),0)</f>
        <v>0</v>
      </c>
      <c r="DN111" s="463">
        <f t="shared" ref="DN111" si="588">IF(AND(K111&gt;2.5,K111&lt;=3.5),IF(AND(H111&lt;3,H111&gt;1.5),(H111-1.5)*F111*2,IF(H111&gt;=3,(F111*2*1.5),0)),0)</f>
        <v>0</v>
      </c>
      <c r="DO111" s="463">
        <f t="shared" ref="DO111" si="589">IF(AND(K111&gt;2.5,K111&lt;=3.5),IF(AND(H111&lt;4.5,H111&gt;3),(H111-3)*F111*2,IF(H111&gt;=4.5,(F111*2*1.5),0)),0)</f>
        <v>0</v>
      </c>
      <c r="DP111" s="463">
        <f t="shared" ref="DP111" si="590">IF(AND(K111&gt;2.5,K111&lt;=3.5),IF(AND(H111&lt;6,H111&gt;4.5),(H111-4.5)*F111*2,IF(H111&gt;=6,(F111*2*1.5),0)),0)</f>
        <v>0</v>
      </c>
      <c r="DQ111" s="445"/>
    </row>
    <row r="112" spans="1:121" s="86" customFormat="1" ht="13" x14ac:dyDescent="0.25">
      <c r="A112" s="101"/>
      <c r="B112" s="101"/>
      <c r="C112" s="87" t="str">
        <f>'Planilha Hidráulica'!B122</f>
        <v>RD-5</v>
      </c>
      <c r="D112" s="258"/>
      <c r="E112" s="258"/>
      <c r="F112" s="258"/>
      <c r="G112" s="101"/>
      <c r="H112" s="449"/>
      <c r="I112" s="449"/>
      <c r="J112" s="467"/>
      <c r="K112" s="449"/>
      <c r="L112" s="449"/>
      <c r="M112" s="470"/>
      <c r="N112" s="449"/>
      <c r="O112" s="468"/>
      <c r="P112" s="468"/>
      <c r="Q112" s="468"/>
      <c r="R112" s="468"/>
      <c r="S112" s="468"/>
      <c r="T112" s="449"/>
      <c r="U112" s="453"/>
      <c r="V112" s="453"/>
      <c r="W112" s="453"/>
      <c r="X112" s="453"/>
      <c r="Y112" s="453"/>
      <c r="Z112" s="453"/>
      <c r="AA112" s="456"/>
      <c r="AB112" s="469"/>
      <c r="AC112" s="469"/>
      <c r="AD112" s="469"/>
      <c r="AE112" s="469"/>
      <c r="AF112" s="469"/>
      <c r="AG112" s="469"/>
      <c r="AH112" s="469"/>
      <c r="AI112" s="469"/>
      <c r="AJ112" s="456"/>
      <c r="AK112" s="456"/>
      <c r="AL112" s="456"/>
      <c r="AM112" s="456"/>
      <c r="AN112" s="456"/>
      <c r="AO112" s="456"/>
      <c r="AP112" s="456"/>
      <c r="AQ112" s="456"/>
      <c r="AR112" s="449"/>
      <c r="AS112" s="449"/>
      <c r="AT112" s="465"/>
      <c r="AU112" s="465"/>
      <c r="AV112" s="466"/>
      <c r="AW112" s="465"/>
      <c r="AX112" s="465"/>
      <c r="AY112" s="465"/>
      <c r="AZ112" s="465"/>
      <c r="BA112" s="465"/>
      <c r="BB112" s="465"/>
      <c r="BC112" s="465"/>
      <c r="BD112" s="465"/>
      <c r="BE112" s="449"/>
      <c r="BF112" s="449"/>
      <c r="BG112" s="449"/>
      <c r="BH112" s="449"/>
      <c r="BI112" s="449"/>
      <c r="BJ112" s="449"/>
      <c r="BK112" s="449"/>
      <c r="BL112" s="465"/>
      <c r="BM112" s="465"/>
      <c r="BN112" s="456"/>
      <c r="BO112" s="471"/>
      <c r="BP112" s="471"/>
      <c r="BQ112" s="471"/>
      <c r="BR112" s="449"/>
      <c r="BS112" s="449"/>
      <c r="BT112" s="449"/>
      <c r="BU112" s="449"/>
      <c r="BV112" s="449"/>
      <c r="BW112" s="449"/>
      <c r="BX112" s="449"/>
      <c r="BY112" s="449"/>
      <c r="BZ112" s="449"/>
      <c r="CA112" s="449"/>
      <c r="CB112" s="449"/>
      <c r="CC112" s="449"/>
      <c r="CD112" s="449"/>
      <c r="CE112" s="449"/>
      <c r="CF112" s="449"/>
      <c r="CG112" s="449"/>
      <c r="CH112" s="449"/>
      <c r="CI112" s="449"/>
      <c r="CJ112" s="472"/>
      <c r="CK112" s="449"/>
      <c r="CL112" s="449"/>
      <c r="CM112" s="449"/>
      <c r="CN112" s="453"/>
      <c r="CO112" s="453"/>
      <c r="CP112" s="453"/>
      <c r="CQ112" s="453"/>
      <c r="CR112" s="453"/>
      <c r="CS112" s="453"/>
      <c r="CT112" s="473"/>
      <c r="CU112" s="470"/>
      <c r="CV112" s="470"/>
      <c r="CW112" s="470"/>
      <c r="CX112" s="470"/>
      <c r="CY112" s="470"/>
      <c r="CZ112" s="470"/>
      <c r="DA112" s="474"/>
      <c r="DB112" s="77"/>
      <c r="DC112" s="77"/>
      <c r="DD112" s="77"/>
      <c r="DE112" s="77"/>
      <c r="DF112" s="475"/>
      <c r="DG112" s="456"/>
      <c r="DH112" s="476"/>
      <c r="DI112" s="476"/>
      <c r="DJ112" s="476"/>
      <c r="DK112" s="476"/>
      <c r="DL112" s="476"/>
      <c r="DM112" s="476"/>
      <c r="DN112" s="476"/>
      <c r="DO112" s="476"/>
      <c r="DP112" s="476"/>
      <c r="DQ112" s="445"/>
    </row>
    <row r="113" spans="1:121" s="86" customFormat="1" x14ac:dyDescent="0.25">
      <c r="A113" s="259" t="s">
        <v>2075</v>
      </c>
      <c r="B113" s="101"/>
      <c r="C113" s="101" t="str">
        <f>'Planilha Hidráulica'!B123</f>
        <v>PV1.1-&gt;PV1-62</v>
      </c>
      <c r="D113" s="258">
        <f>'Planilha Hidráulica'!R123</f>
        <v>1.6000000000000227</v>
      </c>
      <c r="E113" s="258">
        <f>'Planilha Hidráulica'!S123</f>
        <v>1.6000000000000227</v>
      </c>
      <c r="F113" s="258">
        <f>'Planilha Hidráulica'!K123</f>
        <v>60.000000000182851</v>
      </c>
      <c r="G113" s="101">
        <f>'Planilha Hidráulica'!M123</f>
        <v>600</v>
      </c>
      <c r="H113" s="449">
        <f>IF(G113=400,((D113+E113)/2)+0.08+T113,IF(G113=500,((D113+E113)/2)+0.1+T113,IF(G113=600,((D113+E113)/2)+0.12+T113,IF(G113=800,((D113+E113)/2)+0.16+T113,IF(G113=1000,((D113+E113)/2)+0.2+T113,IF(G113=1200,((D113+E113)/2)+0.24+T113,IF(G113=1500,((D113+E113)/2)+0.3+T113,IF(G113&gt;1500,((D113+E113)/2)+0.4+T113))))))))</f>
        <v>1.8200000000000229</v>
      </c>
      <c r="I113" s="102">
        <f>IF(K113=0,0,IF(H113&gt;=1.25,F113*H113/20,0))</f>
        <v>5.4600000000167084</v>
      </c>
      <c r="J113" s="467">
        <v>0</v>
      </c>
      <c r="K113" s="449">
        <f>IF(G113=400,1,0)+IF(G113=500,1.2,0)+IF(G113=600,1.4,0)+IF(G113=800,1.7,0)+IF(G113=1000,2,0)+IF(G113=1200,2.2,0)+IF(G113=1500,2.6,0)+IF(G113=1650,3,0)+IF(G113=1800,3.2,0)+IF(G113=2000,3.4,0)+IF(G113=2200,3.6,0)+IF(G113=2400,3.8,0)+IF(G113=2600,4,0)+IF(G113=3000,4.4,0)</f>
        <v>1.4</v>
      </c>
      <c r="L113" s="449">
        <f>2*J113*H113+K113</f>
        <v>1.4</v>
      </c>
      <c r="M113" s="449" t="str">
        <f>'Planilha Hidráulica'!X123</f>
        <v>-</v>
      </c>
      <c r="N113" s="449">
        <f>L113*F113</f>
        <v>84.00000000025598</v>
      </c>
      <c r="O113" s="468" t="str">
        <f>'Planilha Hidráulica'!W123</f>
        <v>ASFALTO</v>
      </c>
      <c r="P113" s="468" t="s">
        <v>2076</v>
      </c>
      <c r="Q113" s="468"/>
      <c r="R113" s="468">
        <v>3</v>
      </c>
      <c r="S113" s="468">
        <v>5</v>
      </c>
      <c r="T113" s="449">
        <f>IF(G113=400,0.05,0)+IF(G113=500,0.05,0)+IF(G113=600,0.1,0)+IF(G113=800,0.1,0)+IF(G113=1000,0.15,0)+IF(G113=1200,0.15,0)+IF(G113=1500,0.2,0)+IF(G113=1650,0.2,0)+IF(G113=1800,0.2,0)+IF(G113=2000,0.25,0)+IF(G113=2200,0.25,0)+IF(G113=2400,0.25,0)+IF(G113=2600,0.25,0)+IF(G113=3000,0.25,0)</f>
        <v>0.1</v>
      </c>
      <c r="U113" s="453">
        <f>IFERROR((PI()*(M113/1000)*(M113/1000)/4)*F113,0)</f>
        <v>0</v>
      </c>
      <c r="V113" s="106">
        <f>((((J113*H113)*H113)/2)*2+K113*H113)*F113-U113+AW113</f>
        <v>152.88000000046782</v>
      </c>
      <c r="W113" s="106">
        <f>V113-SUM(AC113:AR113)</f>
        <v>0</v>
      </c>
      <c r="X113" s="107">
        <f>IF(Q113=1,IF(M113=0,H113+0.4,0.4),0)</f>
        <v>0</v>
      </c>
      <c r="Y113" s="453">
        <f>IF(R113&lt;H113,R113,H113)</f>
        <v>1.8200000000000229</v>
      </c>
      <c r="Z113" s="453">
        <f>H113-Y113</f>
        <v>0</v>
      </c>
      <c r="AA113" s="456">
        <f>IF(O113="ASFALTO",L113*F113,0)</f>
        <v>84.00000000025598</v>
      </c>
      <c r="AB113" s="469">
        <f>IF(O113="CONCRETO",L113*F113,0)</f>
        <v>0</v>
      </c>
      <c r="AC113" s="109">
        <f>IF(X113=0,0,IF(X113=0.4,IF(K113&lt;=1.5,IF(Y113+0.4&gt;=1.5,0,K113*F113*0.4),0),IF(K113&lt;=1.5,IF(X113&gt;=1.5,L113*F113*1.5,K113*F113*(X113)),0)+IF(R113&lt;H113+0.4,0,IF(AND(X113&lt;=1.5,K113&lt;=1.5),-U113,0))))</f>
        <v>0</v>
      </c>
      <c r="AD113" s="109">
        <f>IF(X113=0,0,IF(X113=0.4,IF(K113&lt;=1.5,IF(OR(Y113+0.4&gt;=3,Y113+0.4&lt;1.5),0,K113*F113*0.4),0),IF(IF(K113&lt;=1.5,IF(X113&gt;=3,L113*F113*1.5,K113*F113*(X113-1.5)),0)&lt;0,0,IF(K113&lt;=1.5,IF(X113&gt;=3,L113*F113*1.5,K113*F113*(X113-1.5)),0))+IF(R113&lt;H113+0.4,0,IF(AND(X113&lt;=3,K113&lt;=1.5),-U113,0))))</f>
        <v>0</v>
      </c>
      <c r="AE113" s="109">
        <f>IF(X113=0,0,IF(X113=0.4,IF(K113&lt;=1.5,IF(OR(Y113+0.4&gt;=4.5,Y113+0.4&lt;3),0,K113*F113*0.4),0),IF(IF(K113&lt;=1.5,IF(X113&gt;=4.5,L113*F113*1.5,K113*F113*(X113-3)),0)&lt;0,0,IF(K113&lt;=1.5,IF(X113&gt;=3,L113*F113*1.5,K113*F113*(X113-3)),0))+IF(R113&lt;H113+0.4,0,IF(AND(X113&lt;=4.5,K113&lt;=1.5),-U113,0))))</f>
        <v>0</v>
      </c>
      <c r="AF113" s="109">
        <f>IF(X113=0,0,IF(X113=0.4,IF(AND(K113&gt;1.5,K113&lt;=2.6),IF(Y113+0.4&gt;=1.5,0,K113*F113*0.4),0),IF(AND(K113&gt;1.5,K113&lt;=2.6),IF(X113&gt;=1.5,L113*F113*1.5,K113*F113*(X113)),0)+IF(R113&lt;H113+0.4,0,IF(AND(X113&lt;=1.5,K113&lt;=1.5),-U113,0))))</f>
        <v>0</v>
      </c>
      <c r="AG113" s="109">
        <f>IF(X113=0,0,IF(X113=0.4,IF(AND(K113&gt;1.5,K113&lt;=2.6),IF(OR(Y113+0.4&gt;=3,Y113+0.4&lt;1.5),0,K113*F113*0.4),0),IF(IF(AND(K113&gt;1.5,K113&lt;=2.6),IF(X113&gt;=3,L113*F113*1.5,K113*F113*(X113-1.5)),0)&lt;0,0,IF(AND(K113&gt;1.5,K113&lt;=2.6),IF(X113&gt;=3,L113*F113*1.5,K113*F113*(X113-1.5)),0))+IF(R113&lt;H113+0.4,0,IF(AND(X113&lt;=3,K113&lt;=1.5),-U113,0))))</f>
        <v>0</v>
      </c>
      <c r="AH113" s="109">
        <f>IF(X113=0,0,IF(X113=0.4,IF(AND(K113&gt;1.5,K113&lt;=2.6),IF(OR(Y113+0.4&gt;=4.5,Y113+0.4&lt;3),0,K113*F113*0.4),0),IF(IF(AND(K113&gt;1.5,K113&lt;=2.6),IF(X113&gt;=4.5,L113*F113*1.5,K113*F113*(X113-3)),0)&lt;0,0,IF(AND(K113&gt;1.5,K113&lt;=2.6),IF(X113&gt;=4.5,L113*F113*1.5,K113*F113*(X113-3)),0))+IF(R113&lt;H113+0.4,0,IF(AND(X113&lt;=3,K113&lt;=1.5),-U113,0))))</f>
        <v>0</v>
      </c>
      <c r="AI113" s="109">
        <f>IF(X113=0,0,IF(X113=0.4,IF(AND(K113&gt;1.5,K113&lt;=2.6),IF(OR(Y113+0.4&gt;=6,Y113+0.4&lt;4.5),0,K113*F113*0.4),0),IF(IF(AND(K113&gt;1.5,K113&lt;=2.6),IF(X113&gt;=6,L113*F113*1.5,K113*F113*(X113-4.5)),0)&lt;0,0,IF(AND(K113&gt;1.5,K113&lt;=2.6),IF(X113&gt;=6,L113*F113*1.5,K113*F113*(X113-4.5)),0))+IF(R113&lt;H113+0.4,0,IF(AND(X113&lt;=3,K113&lt;=1.5),-U113,0))))</f>
        <v>0</v>
      </c>
      <c r="AJ113" s="456">
        <f>IF(K113&lt;=1.5,IF(Y113&gt;=1.5,L113*F113*1.5,K113*F113*Y113),0)+IF(R113&lt;H113,0,IF(AND(Y113&lt;=1.5,K113&lt;=1.5),-U113,0))</f>
        <v>126.00000000038398</v>
      </c>
      <c r="AK113" s="456">
        <f>IF(IF(K113&lt;=1.5,IF(Y113&gt;=3,L113*F113*1.5,K113*F113*(Y113-1.5)),0)&lt;0,0,IF(K113&lt;=1.5,IF(Y113&gt;=3,L113*F113*1.5,K113*F113*(Y113-1.5)),0))+IF(R113&lt;H113,0,IF(AND(Y113&lt;=3,K113&lt;=1.5),-U113,0))</f>
        <v>26.880000000083839</v>
      </c>
      <c r="AL113" s="456">
        <f>IF(AND(K113&lt;=2.5,K113&gt;1.5),IF(Y113&gt;=1.5,L113*F113*1.5,K113*F113*Y113),0)+IF(R113&lt;H113,0,IF(AND(Y113&lt;=1.5,K113&gt;1.5,K113&lt;=2.5),-U113,0))</f>
        <v>0</v>
      </c>
      <c r="AM113" s="456">
        <f>IF(IF(AND(K113&lt;=2.5,K113&gt;1.5),IF(Y113&gt;=3,L113*F113*1.5,K113*F113*(Y113-1.5)),0)&lt;0,0,IF(AND(K113&lt;=2.5,K113&gt;1.5),IF(Y113&gt;=3,L113*F113*1.5,K113*F113*(Y113-1.5)),0))+IF(R113&lt;H113,0,IF(AND(Y113&lt;=3,Y113&gt;1.5,K113&gt;1.5,K113&lt;=2.5),-U113,0))</f>
        <v>0</v>
      </c>
      <c r="AN113" s="456">
        <f>IF(IF(K113&lt;=2.5,IF(Y113&gt;=4.5,L113*F113*1.5,K113*F113*(Y113-3)),0)&lt;0,0,IF(K113&lt;=2.5,IF(Y113&gt;=4.5,L113*F113*1.5,K113*F113*(Y113-3)),0))+IF(R113&lt;H113,0,IF(AND(Y113&lt;=4.5,Y113&gt;3,K113&gt;1.5,K113&lt;=2.5),-U113,0))</f>
        <v>0</v>
      </c>
      <c r="AO113" s="456">
        <f>IF(K113&gt;2.5,IF(Y113&gt;=2,L113*F113*2,K113*F113*Y113),0)+IF(R113&lt;H113,0,IF(AND(Y113&lt;=2,K113&gt;=2.5),-U113,0))</f>
        <v>0</v>
      </c>
      <c r="AP113" s="456">
        <f>IF(IF(K113&gt;2.5,IF(Y113&gt;=4,L113*F113*2,K113*F113*(Y113-2)),0)&lt;0,0,IF(K113&gt;2.5,IF(Y113&gt;=4,L113*F113*2,K113*F113*(Y113-2)),0))+IF(R113&lt;H113,0,IF(AND(Y113&lt;=4,Y113&gt;2,K113&gt;2.5),-U113,0))</f>
        <v>0</v>
      </c>
      <c r="AQ113" s="456">
        <f>IF(IF(K113&gt;2.5,IF(Y113&gt;=6,L113*F113*2,K113*F113*(Y113-4)),0)&lt;0,0,IF(K113&gt;2.5,IF(Y113&gt;=6,L113*F113*2,K113*F113*(Y113-4)),0))+IF(R113&lt;H113,0,IF(AND(Y113&lt;=6,Y113&gt;4,K113&gt;2.5),-U113,0))</f>
        <v>0</v>
      </c>
      <c r="AR113" s="102">
        <f>V113-SUM(AC113:AQ113)</f>
        <v>0</v>
      </c>
      <c r="AS113" s="449">
        <f>IF(H113-S113&lt;0,0,(H113-S113)*F113)/75</f>
        <v>0</v>
      </c>
      <c r="AT113" s="104">
        <f>F113*K113*H113-PI()*(G113/1000)*(G113/1000)/4*F113+AW113</f>
        <v>135.91539967103122</v>
      </c>
      <c r="AU113" s="102">
        <f>IF(K113&lt;1.5,K113*F113*IF(G113&lt;=500,0.05,IF(G113&lt;=800,0.1,IF(G113&lt;=1200,0.15,IF(G113&gt;=1500,0.2)))),0)</f>
        <v>8.4000000000255977</v>
      </c>
      <c r="AV113" s="106">
        <f>IF(K113&gt;=1.5,K113*F113*IF(G113&lt;=500,0.05,IF(G113&lt;=800,0.1,IF(G113&lt;=1200,0.15,IF(G113&gt;=1500,0.2)))),0)</f>
        <v>0</v>
      </c>
      <c r="AW113" s="104">
        <f>IF(Q113=1,0.4*F113*K113,0)</f>
        <v>0</v>
      </c>
      <c r="AX113" s="104">
        <f>IF(AW113&lt;SUM(AJ113:AQ113),0,AW113)</f>
        <v>0</v>
      </c>
      <c r="AY113" s="104">
        <f>G113/1000+0.3</f>
        <v>0.89999999999999991</v>
      </c>
      <c r="AZ113" s="104">
        <f>AY113*K113*F113-PI()*(G113/1000*G113/1000)/4*F113</f>
        <v>58.635399670793802</v>
      </c>
      <c r="BA113" s="104">
        <f>IF(AZ113&lt;SUM(AJ113:AQ113),0,AZ113)</f>
        <v>0</v>
      </c>
      <c r="BB113" s="104">
        <f>IF(O113="ASFALTO",0.15*F113*K113,0)</f>
        <v>12.600000000038397</v>
      </c>
      <c r="BC113" s="104">
        <f>BB113</f>
        <v>12.600000000038397</v>
      </c>
      <c r="BD113" s="104">
        <f>IF(O113="ASFALTO",0.03*F113*K113,0)</f>
        <v>2.5200000000076797</v>
      </c>
      <c r="BE113" s="104">
        <f>AT113-AW113-SUM(AU113:AV113)-BB113-BC113-AZ113</f>
        <v>43.680000000135038</v>
      </c>
      <c r="BF113" s="104">
        <f>SUM(AJ113:AQ113)-AW113-BB113-AZ113</f>
        <v>81.644600329635622</v>
      </c>
      <c r="BG113" s="104">
        <f>IF(SMALL(BE113:BF113,1)&lt;0,0,SMALL(BE113:BF113,1))</f>
        <v>43.680000000135038</v>
      </c>
      <c r="BH113" s="104">
        <f>BF113-BG113</f>
        <v>37.964600329500584</v>
      </c>
      <c r="BI113" s="104">
        <f>BE113-BG113</f>
        <v>0</v>
      </c>
      <c r="BJ113" s="104">
        <f>IF($BI$120&gt;$BJ$122,($BJ$122/$BI$120)*BI113,BI113)</f>
        <v>0</v>
      </c>
      <c r="BK113" s="104">
        <f t="shared" ref="BK113" si="591">BI113-BJ113</f>
        <v>0</v>
      </c>
      <c r="BL113" s="125"/>
      <c r="BM113" s="104">
        <f t="shared" ref="BM113" si="592">IF(AW113+BB113&gt;0,4%*(AW113+BB113),0)</f>
        <v>0.50400000000153589</v>
      </c>
      <c r="BN113" s="455">
        <f t="shared" ref="BN113" si="593">IF(G113=400,H113,0)</f>
        <v>0</v>
      </c>
      <c r="BO113" s="457">
        <f t="shared" ref="BO113" si="594">IF(BN113&lt;=1.75,AND(BN113&gt;0)*F113,0)</f>
        <v>0</v>
      </c>
      <c r="BP113" s="457">
        <f t="shared" ref="BP113" si="595">IF(BN113&lt;=3,AND(BN113&gt;1.75)*F113,0)</f>
        <v>0</v>
      </c>
      <c r="BQ113" s="457">
        <f t="shared" ref="BQ113" si="596">IF(G113=500,H113,0)</f>
        <v>0</v>
      </c>
      <c r="BR113" s="451">
        <f t="shared" ref="BR113" si="597">IF(BQ113&lt;=1.75,AND(BQ113&gt;0)*F113,0)</f>
        <v>0</v>
      </c>
      <c r="BS113" s="451">
        <f t="shared" ref="BS113" si="598">IF(BQ113&lt;=3,AND(BQ113&gt;1.75)*F113,0)</f>
        <v>0</v>
      </c>
      <c r="BT113" s="451">
        <f t="shared" ref="BT113" si="599">IF(G113=600,H113,0)</f>
        <v>1.8200000000000229</v>
      </c>
      <c r="BU113" s="451">
        <f t="shared" ref="BU113" si="600">IF(BT113&lt;=3,AND(BT113&gt;0)*F113,0)</f>
        <v>60.000000000182851</v>
      </c>
      <c r="BV113" s="451">
        <f t="shared" ref="BV113" si="601">IF(BT113&lt;=6,AND(BT113&gt;3)*F113,0)</f>
        <v>0</v>
      </c>
      <c r="BW113" s="451">
        <f t="shared" ref="BW113" si="602">IF(BT113&lt;=9,AND(BT113&gt;6)*F113,0)</f>
        <v>0</v>
      </c>
      <c r="BX113" s="451">
        <f t="shared" ref="BX113" si="603">IF(G113=800,H113,0)</f>
        <v>0</v>
      </c>
      <c r="BY113" s="451">
        <f t="shared" ref="BY113" si="604">IF(BX113&lt;=3,AND(BX113&gt;0)*F113,0)</f>
        <v>0</v>
      </c>
      <c r="BZ113" s="451">
        <f t="shared" ref="BZ113" si="605">IF(BX113&lt;=6,AND(BX113&gt;3)*F113,0)</f>
        <v>0</v>
      </c>
      <c r="CA113" s="451">
        <f t="shared" ref="CA113" si="606">IF(BX113&lt;=9,AND(BX113&gt;6)*F113,0)</f>
        <v>0</v>
      </c>
      <c r="CB113" s="451">
        <f t="shared" ref="CB113" si="607">IF(G113=1000,H113,0)</f>
        <v>0</v>
      </c>
      <c r="CC113" s="451">
        <f t="shared" ref="CC113" si="608">IF(CB113&lt;=3,AND(CB113&gt;0)*F113,0)</f>
        <v>0</v>
      </c>
      <c r="CD113" s="451">
        <f t="shared" ref="CD113" si="609">IF(CB113&lt;=6,AND(CB113&gt;3)*F113,0)</f>
        <v>0</v>
      </c>
      <c r="CE113" s="451">
        <f t="shared" ref="CE113" si="610">IF(CB113&lt;=9,AND(CB113&gt;6)*F113,0)</f>
        <v>0</v>
      </c>
      <c r="CF113" s="451">
        <f t="shared" ref="CF113" si="611">IF(G113=1200,H113,0)</f>
        <v>0</v>
      </c>
      <c r="CG113" s="451">
        <f t="shared" ref="CG113" si="612">IF(CF113&lt;=3,AND(CF113&gt;0)*F113,0)</f>
        <v>0</v>
      </c>
      <c r="CH113" s="451">
        <f t="shared" ref="CH113" si="613">IF(CF113&lt;=6,AND(CF113&gt;3)*F113,0)</f>
        <v>0</v>
      </c>
      <c r="CI113" s="451">
        <f t="shared" ref="CI113" si="614">IF(CF113&lt;=9,AND(CF113&gt;6)*F113,0)</f>
        <v>0</v>
      </c>
      <c r="CJ113" s="458">
        <f t="shared" ref="CJ113" si="615">IF(G113=1500,H113,0)</f>
        <v>0</v>
      </c>
      <c r="CK113" s="451">
        <f t="shared" ref="CK113" si="616">IF(CJ113&lt;=3,AND(CJ113&gt;0)*F113,0)</f>
        <v>0</v>
      </c>
      <c r="CL113" s="451">
        <f t="shared" ref="CL113" si="617">IF(CJ113&lt;=6,AND(CJ113&gt;3)*F113,0)</f>
        <v>0</v>
      </c>
      <c r="CM113" s="451">
        <f t="shared" ref="CM113" si="618">IF(CJ113&lt;=9,AND(CJ113&gt;6)*F113,0)</f>
        <v>0</v>
      </c>
      <c r="CN113" s="454">
        <f t="shared" ref="CN113" si="619">IF(G113=1650,F113,0)</f>
        <v>0</v>
      </c>
      <c r="CO113" s="454">
        <f t="shared" ref="CO113" si="620">IF(G113=1800,F113,0)</f>
        <v>0</v>
      </c>
      <c r="CP113" s="454">
        <f t="shared" ref="CP113" si="621">IF(G113=2000,F113,0)</f>
        <v>0</v>
      </c>
      <c r="CQ113" s="454">
        <f t="shared" ref="CQ113" si="622">IF(G113=2200,F113,0)</f>
        <v>0</v>
      </c>
      <c r="CR113" s="454">
        <f t="shared" ref="CR113" si="623">IF(G113=2400,F113,0)</f>
        <v>0</v>
      </c>
      <c r="CS113" s="454">
        <f t="shared" ref="CS113" si="624">IF(G113=2600,F113,0)</f>
        <v>0</v>
      </c>
      <c r="CT113" s="459">
        <f t="shared" ref="CT113" si="625">IF(G113=3000,F113,0)</f>
        <v>0</v>
      </c>
      <c r="CU113" s="460">
        <f t="shared" ref="CU113" si="626">IF(G113&gt;=100,1,0)</f>
        <v>1</v>
      </c>
      <c r="CV113" s="460">
        <f t="shared" ref="CV113" si="627">IF(CU113=1,IF(G113&lt;=600,1,0))</f>
        <v>1</v>
      </c>
      <c r="CW113" s="460">
        <f t="shared" ref="CW113" si="628">IF(CU113=1,IF($G113=800,1,0))</f>
        <v>0</v>
      </c>
      <c r="CX113" s="460">
        <f t="shared" ref="CX113" si="629">IF(CU113=1,IF($G113=1000,1,0))</f>
        <v>0</v>
      </c>
      <c r="CY113" s="460">
        <f t="shared" ref="CY113" si="630">IF(CU113=1,IF($G113=1200,1,0))</f>
        <v>0</v>
      </c>
      <c r="CZ113" s="460">
        <f t="shared" ref="CZ113" si="631">IF(CU113=1,IF($G113=1500,1,0))</f>
        <v>0</v>
      </c>
      <c r="DA113" s="461">
        <f t="shared" ref="DA113" si="632">IF(IF(G113&lt;=600,(D113-DB113),0)+IF(G113=800,(D113-DC113),0)+IF(G113&gt;=1000,D113-DD113,0)&lt;0,0,IF(G113&lt;=600,(D113-DB113),0)+IF(G113=800,(D113-DC113),0)+IF(G113&gt;=1000,D113-DD113,0))</f>
        <v>0.30000000000002269</v>
      </c>
      <c r="DB113" s="118">
        <v>1.3</v>
      </c>
      <c r="DC113" s="118">
        <v>1.4</v>
      </c>
      <c r="DD113" s="118">
        <v>2</v>
      </c>
      <c r="DE113" s="118">
        <v>2</v>
      </c>
      <c r="DF113" s="462">
        <v>2</v>
      </c>
      <c r="DG113" s="455">
        <f t="shared" ref="DG113" si="633">IF(K113&lt;=1.5,IF(H113&lt;1.5,H113*F113*2,F113*2*1.5),0)</f>
        <v>180.00000000054854</v>
      </c>
      <c r="DH113" s="463">
        <f t="shared" ref="DH113" si="634">IF(K113&lt;=1.5,IF(AND(H113&lt;3,H113&gt;1.5),(H113-1.5)*F113*2,IF(H113&gt;=3,(F113*2*1.5),0)),0)</f>
        <v>38.400000000119775</v>
      </c>
      <c r="DI113" s="463">
        <f t="shared" ref="DI113" si="635">IF(K113&lt;=1.5,IF(AND(H113&lt;4.5,H113&gt;3),(H113-3)*F113*2,IF(H113&gt;=4.5,(F113*2*1.5),0)),0)</f>
        <v>0</v>
      </c>
      <c r="DJ113" s="463">
        <f t="shared" ref="DJ113" si="636">IF(AND(K113&lt;=2.5,K113&gt;1.5),IF(H113&lt;1.5,H113*F113*2,F113*2*1.5),0)</f>
        <v>0</v>
      </c>
      <c r="DK113" s="463">
        <f t="shared" ref="DK113" si="637">IF(AND(K113&gt;1.5,K113&lt;=2.5),IF(AND(H113&lt;3,H113&gt;1.5),(H113-1.5)*F113*2,IF(H113&gt;=3,(F113*2*1.5),0)),0)</f>
        <v>0</v>
      </c>
      <c r="DL113" s="463">
        <f t="shared" ref="DL113" si="638">IF(AND(K113&gt;1.5,K113&lt;=2.5),IF(AND(H113&lt;4.5,H113&gt;3),(H113-3)*F113*2,IF(H113&gt;=4.5,(F113*2*1.5),0)),0)</f>
        <v>0</v>
      </c>
      <c r="DM113" s="463">
        <f t="shared" ref="DM113" si="639">IF(AND(K113&lt;=3.5,K113&gt;2.5),IF(H113&lt;1.5,H113*F113*2,F113*2*1.5),0)</f>
        <v>0</v>
      </c>
      <c r="DN113" s="463">
        <f t="shared" ref="DN113" si="640">IF(AND(K113&gt;2.5,K113&lt;=3.5),IF(AND(H113&lt;3,H113&gt;1.5),(H113-1.5)*F113*2,IF(H113&gt;=3,(F113*2*1.5),0)),0)</f>
        <v>0</v>
      </c>
      <c r="DO113" s="463">
        <f t="shared" ref="DO113" si="641">IF(AND(K113&gt;2.5,K113&lt;=3.5),IF(AND(H113&lt;4.5,H113&gt;3),(H113-3)*F113*2,IF(H113&gt;=4.5,(F113*2*1.5),0)),0)</f>
        <v>0</v>
      </c>
      <c r="DP113" s="463">
        <f t="shared" ref="DP113" si="642">IF(AND(K113&gt;2.5,K113&lt;=3.5),IF(AND(H113&lt;6,H113&gt;4.5),(H113-4.5)*F113*2,IF(H113&gt;=6,(F113*2*1.5),0)),0)</f>
        <v>0</v>
      </c>
      <c r="DQ113" s="445"/>
    </row>
    <row r="114" spans="1:121" s="86" customFormat="1" ht="13" x14ac:dyDescent="0.25">
      <c r="A114" s="101"/>
      <c r="B114" s="101"/>
      <c r="C114" s="87" t="str">
        <f>'Planilha Hidráulica'!B124</f>
        <v>RD-6</v>
      </c>
      <c r="D114" s="258"/>
      <c r="E114" s="258"/>
      <c r="F114" s="258"/>
      <c r="G114" s="101"/>
      <c r="H114" s="449"/>
      <c r="I114" s="449"/>
      <c r="J114" s="467"/>
      <c r="K114" s="449"/>
      <c r="L114" s="449"/>
      <c r="M114" s="470"/>
      <c r="N114" s="449"/>
      <c r="O114" s="468"/>
      <c r="P114" s="468"/>
      <c r="Q114" s="468"/>
      <c r="R114" s="468"/>
      <c r="S114" s="468"/>
      <c r="T114" s="449"/>
      <c r="U114" s="453"/>
      <c r="V114" s="453"/>
      <c r="W114" s="453"/>
      <c r="X114" s="453"/>
      <c r="Y114" s="453"/>
      <c r="Z114" s="453"/>
      <c r="AA114" s="456"/>
      <c r="AB114" s="469"/>
      <c r="AC114" s="469"/>
      <c r="AD114" s="469"/>
      <c r="AE114" s="469"/>
      <c r="AF114" s="469"/>
      <c r="AG114" s="469"/>
      <c r="AH114" s="469"/>
      <c r="AI114" s="469"/>
      <c r="AJ114" s="456"/>
      <c r="AK114" s="456"/>
      <c r="AL114" s="456"/>
      <c r="AM114" s="456"/>
      <c r="AN114" s="456"/>
      <c r="AO114" s="456"/>
      <c r="AP114" s="456"/>
      <c r="AQ114" s="456"/>
      <c r="AR114" s="449"/>
      <c r="AS114" s="449"/>
      <c r="AT114" s="465"/>
      <c r="AU114" s="465"/>
      <c r="AV114" s="466"/>
      <c r="AW114" s="465"/>
      <c r="AX114" s="465"/>
      <c r="AY114" s="465"/>
      <c r="AZ114" s="465"/>
      <c r="BA114" s="465"/>
      <c r="BB114" s="465"/>
      <c r="BC114" s="465"/>
      <c r="BD114" s="465"/>
      <c r="BE114" s="449"/>
      <c r="BF114" s="449"/>
      <c r="BG114" s="449"/>
      <c r="BH114" s="449"/>
      <c r="BI114" s="449"/>
      <c r="BJ114" s="449"/>
      <c r="BK114" s="449"/>
      <c r="BL114" s="465"/>
      <c r="BM114" s="465"/>
      <c r="BN114" s="456"/>
      <c r="BO114" s="471"/>
      <c r="BP114" s="471"/>
      <c r="BQ114" s="471"/>
      <c r="BR114" s="449"/>
      <c r="BS114" s="449"/>
      <c r="BT114" s="449"/>
      <c r="BU114" s="449"/>
      <c r="BV114" s="449"/>
      <c r="BW114" s="449"/>
      <c r="BX114" s="449"/>
      <c r="BY114" s="449"/>
      <c r="BZ114" s="449"/>
      <c r="CA114" s="449"/>
      <c r="CB114" s="449"/>
      <c r="CC114" s="449"/>
      <c r="CD114" s="449"/>
      <c r="CE114" s="449"/>
      <c r="CF114" s="449"/>
      <c r="CG114" s="449"/>
      <c r="CH114" s="449"/>
      <c r="CI114" s="449"/>
      <c r="CJ114" s="472"/>
      <c r="CK114" s="449"/>
      <c r="CL114" s="449"/>
      <c r="CM114" s="449"/>
      <c r="CN114" s="453"/>
      <c r="CO114" s="453"/>
      <c r="CP114" s="453"/>
      <c r="CQ114" s="453"/>
      <c r="CR114" s="453"/>
      <c r="CS114" s="453"/>
      <c r="CT114" s="473"/>
      <c r="CU114" s="470"/>
      <c r="CV114" s="470"/>
      <c r="CW114" s="470"/>
      <c r="CX114" s="470"/>
      <c r="CY114" s="470"/>
      <c r="CZ114" s="470"/>
      <c r="DA114" s="474"/>
      <c r="DB114" s="77"/>
      <c r="DC114" s="77"/>
      <c r="DD114" s="77"/>
      <c r="DE114" s="77"/>
      <c r="DF114" s="475"/>
      <c r="DG114" s="456"/>
      <c r="DH114" s="476"/>
      <c r="DI114" s="476"/>
      <c r="DJ114" s="476"/>
      <c r="DK114" s="476"/>
      <c r="DL114" s="476"/>
      <c r="DM114" s="476"/>
      <c r="DN114" s="476"/>
      <c r="DO114" s="476"/>
      <c r="DP114" s="476"/>
      <c r="DQ114" s="445"/>
    </row>
    <row r="115" spans="1:121" s="86" customFormat="1" ht="25" x14ac:dyDescent="0.25">
      <c r="A115" s="259" t="s">
        <v>2077</v>
      </c>
      <c r="B115" s="101"/>
      <c r="C115" s="101" t="str">
        <f>'Planilha Hidráulica'!B125</f>
        <v>PV1.1-&gt;PV2.1</v>
      </c>
      <c r="D115" s="258">
        <f>'Planilha Hidráulica'!R125</f>
        <v>3</v>
      </c>
      <c r="E115" s="258">
        <f>'Planilha Hidráulica'!S125</f>
        <v>2.2999999999999998</v>
      </c>
      <c r="F115" s="258">
        <f>'Planilha Hidráulica'!K125</f>
        <v>35.107015353864483</v>
      </c>
      <c r="G115" s="101">
        <f>'Planilha Hidráulica'!M125</f>
        <v>1200</v>
      </c>
      <c r="H115" s="449">
        <f>IF(G115=400,((D115+E115)/2)+0.08+T115,IF(G115=500,((D115+E115)/2)+0.1+T115,IF(G115=600,((D115+E115)/2)+0.12+T115,IF(G115=800,((D115+E115)/2)+0.16+T115,IF(G115=1000,((D115+E115)/2)+0.2+T115,IF(G115=1200,((D115+E115)/2)+0.24+T115,IF(G115=1500,((D115+E115)/2)+0.3+T115,IF(G115&gt;1500,((D115+E115)/2)+0.4+T115))))))))</f>
        <v>3.0399999999999996</v>
      </c>
      <c r="I115" s="102">
        <f>IF(K115=0,0,IF(H115&gt;=1.25,F115*H115/20,0))</f>
        <v>5.3362663337874006</v>
      </c>
      <c r="J115" s="467">
        <v>0</v>
      </c>
      <c r="K115" s="449">
        <f>IF(G115=400,1,0)+IF(G115=500,1.2,0)+IF(G115=600,1.4,0)+IF(G115=800,1.7,0)+IF(G115=1000,2,0)+IF(G115=1200,2.2,0)+IF(G115=1500,2.6,0)+IF(G115=1650,3,0)+IF(G115=1800,3.2,0)+IF(G115=2000,3.4,0)+IF(G115=2200,3.6,0)+IF(G115=2400,3.8,0)+IF(G115=2600,4,0)+IF(G115=3000,4.4,0)</f>
        <v>2.2000000000000002</v>
      </c>
      <c r="L115" s="449">
        <f>2*J115*H115+K115</f>
        <v>2.2000000000000002</v>
      </c>
      <c r="M115" s="449">
        <f>'Planilha Hidráulica'!X125</f>
        <v>1000</v>
      </c>
      <c r="N115" s="449">
        <f>L115*F115</f>
        <v>77.235433778501871</v>
      </c>
      <c r="O115" s="468" t="str">
        <f>'Planilha Hidráulica'!W125</f>
        <v>ASFALTO</v>
      </c>
      <c r="P115" s="468" t="s">
        <v>2076</v>
      </c>
      <c r="Q115" s="468"/>
      <c r="R115" s="468">
        <v>3</v>
      </c>
      <c r="S115" s="468">
        <v>1</v>
      </c>
      <c r="T115" s="449">
        <f>IF(G115=400,0.05,0)+IF(G115=500,0.05,0)+IF(G115=600,0.1,0)+IF(G115=800,0.1,0)+IF(G115=1000,0.15,0)+IF(G115=1200,0.15,0)+IF(G115=1500,0.2,0)+IF(G115=1650,0.2,0)+IF(G115=1800,0.2,0)+IF(G115=2000,0.25,0)+IF(G115=2200,0.25,0)+IF(G115=2400,0.25,0)+IF(G115=2600,0.25,0)+IF(G115=3000,0.25,0)</f>
        <v>0.15</v>
      </c>
      <c r="U115" s="453">
        <f>IFERROR((PI()*(M115/1000)*(M115/1000)/4)*F115,0)</f>
        <v>27.572985381291183</v>
      </c>
      <c r="V115" s="106">
        <f>((((J115*H115)*H115)/2)*2+K115*H115)*F115-U115+AW115</f>
        <v>207.22273330535447</v>
      </c>
      <c r="W115" s="106">
        <f>V115-SUM(AC115:AR115)</f>
        <v>-5.8264885996095472E-4</v>
      </c>
      <c r="X115" s="107">
        <f>IF(Q115=1,IF(M115=0,H115+0.4,0.4),0)</f>
        <v>0</v>
      </c>
      <c r="Y115" s="453">
        <f>IF(R115&lt;H115,R115,H115)</f>
        <v>3</v>
      </c>
      <c r="Z115" s="453">
        <f>H115-Y115</f>
        <v>3.9999999999999591E-2</v>
      </c>
      <c r="AA115" s="456">
        <f>IF(O115="ASFALTO",L115*F115,0)</f>
        <v>77.235433778501871</v>
      </c>
      <c r="AB115" s="469">
        <f>IF(O115="CONCRETO",L115*F115,0)</f>
        <v>0</v>
      </c>
      <c r="AC115" s="109">
        <f>IF(X115=0,0,IF(X115=0.4,IF(K115&lt;=1.5,IF(Y115+0.4&gt;=1.5,0,K115*F115*0.4),0),IF(K115&lt;=1.5,IF(X115&gt;=1.5,L115*F115*1.5,K115*F115*(X115)),0)+IF(R115&lt;H115+0.4,0,IF(AND(X115&lt;=1.5,K115&lt;=1.5),-U115,0))))</f>
        <v>0</v>
      </c>
      <c r="AD115" s="109">
        <f>IF(X115=0,0,IF(X115=0.4,IF(K115&lt;=1.5,IF(OR(Y115+0.4&gt;=3,Y115+0.4&lt;1.5),0,K115*F115*0.4),0),IF(IF(K115&lt;=1.5,IF(X115&gt;=3,L115*F115*1.5,K115*F115*(X115-1.5)),0)&lt;0,0,IF(K115&lt;=1.5,IF(X115&gt;=3,L115*F115*1.5,K115*F115*(X115-1.5)),0))+IF(R115&lt;H115+0.4,0,IF(AND(X115&lt;=3,K115&lt;=1.5),-U115,0))))</f>
        <v>0</v>
      </c>
      <c r="AE115" s="109">
        <f>IF(X115=0,0,IF(X115=0.4,IF(K115&lt;=1.5,IF(OR(Y115+0.4&gt;=4.5,Y115+0.4&lt;3),0,K115*F115*0.4),0),IF(IF(K115&lt;=1.5,IF(X115&gt;=4.5,L115*F115*1.5,K115*F115*(X115-3)),0)&lt;0,0,IF(K115&lt;=1.5,IF(X115&gt;=3,L115*F115*1.5,K115*F115*(X115-3)),0))+IF(R115&lt;H115+0.4,0,IF(AND(X115&lt;=4.5,K115&lt;=1.5),-U115,0))))</f>
        <v>0</v>
      </c>
      <c r="AF115" s="109">
        <f>IF(X115=0,0,IF(X115=0.4,IF(AND(K115&gt;1.5,K115&lt;=2.6),IF(Y115+0.4&gt;=1.5,0,K115*F115*0.4),0),IF(AND(K115&gt;1.5,K115&lt;=2.6),IF(X115&gt;=1.5,L115*F115*1.5,K115*F115*(X115)),0)+IF(R115&lt;H115+0.4,0,IF(AND(X115&lt;=1.5,K115&lt;=1.5),-U115,0))))</f>
        <v>0</v>
      </c>
      <c r="AG115" s="109">
        <f>IF(X115=0,0,IF(X115=0.4,IF(AND(K115&gt;1.5,K115&lt;=2.6),IF(OR(Y115+0.4&gt;=3,Y115+0.4&lt;1.5),0,K115*F115*0.4),0),IF(IF(AND(K115&gt;1.5,K115&lt;=2.6),IF(X115&gt;=3,L115*F115*1.5,K115*F115*(X115-1.5)),0)&lt;0,0,IF(AND(K115&gt;1.5,K115&lt;=2.6),IF(X115&gt;=3,L115*F115*1.5,K115*F115*(X115-1.5)),0))+IF(R115&lt;H115+0.4,0,IF(AND(X115&lt;=3,K115&lt;=1.5),-U115,0))))</f>
        <v>0</v>
      </c>
      <c r="AH115" s="109">
        <f>IF(X115=0,0,IF(X115=0.4,IF(AND(K115&gt;1.5,K115&lt;=2.6),IF(OR(Y115+0.4&gt;=4.5,Y115+0.4&lt;3),0,K115*F115*0.4),0),IF(IF(AND(K115&gt;1.5,K115&lt;=2.6),IF(X115&gt;=4.5,L115*F115*1.5,K115*F115*(X115-3)),0)&lt;0,0,IF(AND(K115&gt;1.5,K115&lt;=2.6),IF(X115&gt;=4.5,L115*F115*1.5,K115*F115*(X115-3)),0))+IF(R115&lt;H115+0.4,0,IF(AND(X115&lt;=3,K115&lt;=1.5),-U115,0))))</f>
        <v>0</v>
      </c>
      <c r="AI115" s="109">
        <f>IF(X115=0,0,IF(X115=0.4,IF(AND(K115&gt;1.5,K115&lt;=2.6),IF(OR(Y115+0.4&gt;=6,Y115+0.4&lt;4.5),0,K115*F115*0.4),0),IF(IF(AND(K115&gt;1.5,K115&lt;=2.6),IF(X115&gt;=6,L115*F115*1.5,K115*F115*(X115-4.5)),0)&lt;0,0,IF(AND(K115&gt;1.5,K115&lt;=2.6),IF(X115&gt;=6,L115*F115*1.5,K115*F115*(X115-4.5)),0))+IF(R115&lt;H115+0.4,0,IF(AND(X115&lt;=3,K115&lt;=1.5),-U115,0))))</f>
        <v>0</v>
      </c>
      <c r="AJ115" s="456">
        <f>IF(K115&lt;=1.5,IF(Y115&gt;=1.5,L115*F115*1.5,K115*F115*Y115),0)+IF(R115&lt;H115,0,IF(AND(Y115&lt;=1.5,K115&lt;=1.5),-U115,0))</f>
        <v>0</v>
      </c>
      <c r="AK115" s="456">
        <f>IF(IF(K115&lt;=1.5,IF(Y115&gt;=3,L115*F115*1.5,K115*F115*(Y115-1.5)),0)&lt;0,0,IF(K115&lt;=1.5,IF(Y115&gt;=3,L115*F115*1.5,K115*F115*(Y115-1.5)),0))+IF(R115&lt;H115,0,IF(AND(Y115&lt;=3,K115&lt;=1.5),-U115,0))</f>
        <v>0</v>
      </c>
      <c r="AL115" s="456">
        <f>IF(AND(K115&lt;=2.5,K115&gt;1.5),IF(Y115&gt;=1.5,L115*F115*1.5,K115*F115*Y115),0)+IF(R115&lt;H115,0,IF(AND(Y115&lt;=1.5,K115&gt;1.5,K115&lt;=2.5),-U115,0))</f>
        <v>115.8531506677528</v>
      </c>
      <c r="AM115" s="456">
        <f>IF(IF(AND(K115&lt;=2.5,K115&gt;1.5),IF(Y115&gt;=3,L115*F115*1.5,K115*F115*(Y115-1.5)),0)&lt;0,0,IF(AND(K115&lt;=2.5,K115&gt;1.5),IF(Y115&gt;=3,L115*F115*1.5,K115*F115*(Y115-1.5)),0))-U115</f>
        <v>88.280165286461624</v>
      </c>
      <c r="AN115" s="456">
        <f>IF(IF(K115&lt;=2.5,IF(Y115&gt;=4.5,L115*F115*1.5,K115*F115*(Y115-3)),0)&lt;0,0,IF(K115&lt;=2.5,IF(Y115&gt;=4.5,L115*F115*1.5,K115*F115*(Y115-3)),0))+IF(R115&lt;H115,0,IF(AND(Y115&lt;=4.5,Y115&gt;3,K115&gt;1.5,K115&lt;=2.5),-U115,0))</f>
        <v>0</v>
      </c>
      <c r="AO115" s="456">
        <f>IF(K115&gt;2.5,IF(Y115&gt;=2,L115*F115*2,K115*F115*Y115),0)+IF(R115&lt;H115,0,IF(AND(Y115&lt;=2,K115&gt;=2.5),-U115,0))</f>
        <v>0</v>
      </c>
      <c r="AP115" s="456">
        <f>IF(IF(K115&gt;2.5,IF(Y115&gt;=4,L115*F115*2,K115*F115*(Y115-2)),0)&lt;0,0,IF(K115&gt;2.5,IF(Y115&gt;=4,L115*F115*2,K115*F115*(Y115-2)),0))+IF(R115&lt;H115,0,IF(AND(Y115&lt;=4,Y115&gt;2,K115&gt;2.5),-U115,0))</f>
        <v>0</v>
      </c>
      <c r="AQ115" s="456">
        <f>IF(IF(K115&gt;2.5,IF(Y115&gt;=6,L115*F115*2,K115*F115*(Y115-4)),0)&lt;0,0,IF(K115&gt;2.5,IF(Y115&gt;=6,L115*F115*2,K115*F115*(Y115-4)),0))+IF(R115&lt;H115,0,IF(AND(Y115&lt;=6,Y115&gt;4,K115&gt;2.5),-U115,0))</f>
        <v>0</v>
      </c>
      <c r="AR115" s="102">
        <f>ROUND(V115-SUM(AC115:AQ115),2)</f>
        <v>3.09</v>
      </c>
      <c r="AS115" s="449">
        <f>IF(H115-S115&lt;0,0,(H115-S115)*F115)/75</f>
        <v>0.95491081762511365</v>
      </c>
      <c r="AT115" s="104">
        <f>F115*K115*H115-PI()*(G115/1000)*(G115/1000)/4*F115+AW115</f>
        <v>195.09061973758637</v>
      </c>
      <c r="AU115" s="102">
        <f>IF(K115&lt;1.5,K115*F115*IF(G115&lt;=500,0.05,IF(G115&lt;=800,0.1,IF(G115&lt;=1200,0.15,IF(G115&gt;=1500,0.2)))),0)</f>
        <v>0</v>
      </c>
      <c r="AV115" s="106">
        <f>IF(K115&gt;=1.5,K115*F115*IF(G115&lt;=500,0.05,IF(G115&lt;=800,0.1,IF(G115&lt;=1200,0.15,IF(G115&gt;=1500,0.2)))),0)</f>
        <v>11.58531506677528</v>
      </c>
      <c r="AW115" s="104">
        <f>IF(Q115=1,0.4*F115*K115,0)</f>
        <v>0</v>
      </c>
      <c r="AX115" s="104">
        <f>IF(AW115&lt;SUM(AJ115:AQ115),0,AW115)</f>
        <v>0</v>
      </c>
      <c r="AY115" s="104">
        <f>G115/1000+0.3</f>
        <v>1.5</v>
      </c>
      <c r="AZ115" s="104">
        <f>AY115*K115*F115-PI()*(G115/1000*G115/1000)/4*F115</f>
        <v>76.148051718693495</v>
      </c>
      <c r="BA115" s="104">
        <f>IF(AZ115&lt;SUM(AJ115:AQ115),0,AZ115)</f>
        <v>0</v>
      </c>
      <c r="BB115" s="104">
        <f>IF(O115="ASFALTO",0.15*F115*K115,0)</f>
        <v>11.58531506677528</v>
      </c>
      <c r="BC115" s="104">
        <f>BB115</f>
        <v>11.58531506677528</v>
      </c>
      <c r="BD115" s="104">
        <f>IF(O115="ASFALTO",0.03*F115*K115,0)</f>
        <v>2.3170630133550563</v>
      </c>
      <c r="BE115" s="104">
        <f>AT115-AW115-SUM(AU115:AV115)-BB115-BC115-AZ115</f>
        <v>84.186622818567031</v>
      </c>
      <c r="BF115" s="104">
        <f>SUM(AJ115:AQ115)-AW115-BB115-AZ115</f>
        <v>116.39994916874565</v>
      </c>
      <c r="BG115" s="104">
        <f>IF(SMALL(BE115:BF115,1)&lt;0,0,SMALL(BE115:BF115,1))</f>
        <v>84.186622818567031</v>
      </c>
      <c r="BH115" s="104">
        <f>BF115-BG115</f>
        <v>32.213326350178619</v>
      </c>
      <c r="BI115" s="104">
        <f>BE115-BG115</f>
        <v>0</v>
      </c>
      <c r="BJ115" s="104">
        <f t="shared" ref="BJ115:BJ117" si="643">IF($BI$120&gt;$BJ$122,($BJ$122/$BI$120)*BI115,BI115)</f>
        <v>0</v>
      </c>
      <c r="BK115" s="104">
        <f t="shared" ref="BK115:BK117" si="644">BI115-BJ115</f>
        <v>0</v>
      </c>
      <c r="BL115" s="125"/>
      <c r="BM115" s="104">
        <f t="shared" ref="BM115:BM117" si="645">IF(AW115+BB115&gt;0,4%*(AW115+BB115),0)</f>
        <v>0.4634126026710112</v>
      </c>
      <c r="BN115" s="455">
        <f t="shared" ref="BN115:BN117" si="646">IF(G115=400,H115,0)</f>
        <v>0</v>
      </c>
      <c r="BO115" s="457">
        <f t="shared" ref="BO115:BO117" si="647">IF(BN115&lt;=1.75,AND(BN115&gt;0)*F115,0)</f>
        <v>0</v>
      </c>
      <c r="BP115" s="457">
        <f t="shared" ref="BP115:BP117" si="648">IF(BN115&lt;=3,AND(BN115&gt;1.75)*F115,0)</f>
        <v>0</v>
      </c>
      <c r="BQ115" s="457">
        <f t="shared" ref="BQ115:BQ117" si="649">IF(G115=500,H115,0)</f>
        <v>0</v>
      </c>
      <c r="BR115" s="451">
        <f t="shared" ref="BR115:BR117" si="650">IF(BQ115&lt;=1.75,AND(BQ115&gt;0)*F115,0)</f>
        <v>0</v>
      </c>
      <c r="BS115" s="451">
        <f t="shared" ref="BS115:BS117" si="651">IF(BQ115&lt;=3,AND(BQ115&gt;1.75)*F115,0)</f>
        <v>0</v>
      </c>
      <c r="BT115" s="451">
        <f t="shared" ref="BT115:BT117" si="652">IF(G115=600,H115,0)</f>
        <v>0</v>
      </c>
      <c r="BU115" s="451">
        <f t="shared" ref="BU115:BU117" si="653">IF(BT115&lt;=3,AND(BT115&gt;0)*F115,0)</f>
        <v>0</v>
      </c>
      <c r="BV115" s="451">
        <f t="shared" ref="BV115:BV117" si="654">IF(BT115&lt;=6,AND(BT115&gt;3)*F115,0)</f>
        <v>0</v>
      </c>
      <c r="BW115" s="451">
        <f t="shared" ref="BW115:BW117" si="655">IF(BT115&lt;=9,AND(BT115&gt;6)*F115,0)</f>
        <v>0</v>
      </c>
      <c r="BX115" s="451">
        <f t="shared" ref="BX115:BX117" si="656">IF(G115=800,H115,0)</f>
        <v>0</v>
      </c>
      <c r="BY115" s="451">
        <f t="shared" ref="BY115:BY117" si="657">IF(BX115&lt;=3,AND(BX115&gt;0)*F115,0)</f>
        <v>0</v>
      </c>
      <c r="BZ115" s="451">
        <f t="shared" ref="BZ115:BZ117" si="658">IF(BX115&lt;=6,AND(BX115&gt;3)*F115,0)</f>
        <v>0</v>
      </c>
      <c r="CA115" s="451">
        <f t="shared" ref="CA115:CA117" si="659">IF(BX115&lt;=9,AND(BX115&gt;6)*F115,0)</f>
        <v>0</v>
      </c>
      <c r="CB115" s="451">
        <f t="shared" ref="CB115:CB117" si="660">IF(G115=1000,H115,0)</f>
        <v>0</v>
      </c>
      <c r="CC115" s="451">
        <f t="shared" ref="CC115:CC117" si="661">IF(CB115&lt;=3,AND(CB115&gt;0)*F115,0)</f>
        <v>0</v>
      </c>
      <c r="CD115" s="451">
        <f t="shared" ref="CD115:CD117" si="662">IF(CB115&lt;=6,AND(CB115&gt;3)*F115,0)</f>
        <v>0</v>
      </c>
      <c r="CE115" s="451">
        <f t="shared" ref="CE115:CE117" si="663">IF(CB115&lt;=9,AND(CB115&gt;6)*F115,0)</f>
        <v>0</v>
      </c>
      <c r="CF115" s="451">
        <f t="shared" ref="CF115:CF117" si="664">IF(G115=1200,H115,0)</f>
        <v>3.0399999999999996</v>
      </c>
      <c r="CG115" s="451">
        <f t="shared" ref="CG115:CG117" si="665">IF(CF115&lt;=3,AND(CF115&gt;0)*F115,0)</f>
        <v>0</v>
      </c>
      <c r="CH115" s="451">
        <f t="shared" ref="CH115:CH117" si="666">IF(CF115&lt;=6,AND(CF115&gt;3)*F115,0)</f>
        <v>35.107015353864483</v>
      </c>
      <c r="CI115" s="451">
        <f t="shared" ref="CI115:CI117" si="667">IF(CF115&lt;=9,AND(CF115&gt;6)*F115,0)</f>
        <v>0</v>
      </c>
      <c r="CJ115" s="458">
        <f t="shared" ref="CJ115:CJ117" si="668">IF(G115=1500,H115,0)</f>
        <v>0</v>
      </c>
      <c r="CK115" s="451">
        <f t="shared" ref="CK115:CK117" si="669">IF(CJ115&lt;=3,AND(CJ115&gt;0)*F115,0)</f>
        <v>0</v>
      </c>
      <c r="CL115" s="451">
        <f t="shared" ref="CL115:CL117" si="670">IF(CJ115&lt;=6,AND(CJ115&gt;3)*F115,0)</f>
        <v>0</v>
      </c>
      <c r="CM115" s="451">
        <f t="shared" ref="CM115:CM117" si="671">IF(CJ115&lt;=9,AND(CJ115&gt;6)*F115,0)</f>
        <v>0</v>
      </c>
      <c r="CN115" s="454">
        <f t="shared" ref="CN115:CN117" si="672">IF(G115=1650,F115,0)</f>
        <v>0</v>
      </c>
      <c r="CO115" s="454">
        <f t="shared" ref="CO115:CO117" si="673">IF(G115=1800,F115,0)</f>
        <v>0</v>
      </c>
      <c r="CP115" s="454">
        <f t="shared" ref="CP115:CP117" si="674">IF(G115=2000,F115,0)</f>
        <v>0</v>
      </c>
      <c r="CQ115" s="454">
        <f t="shared" ref="CQ115:CQ117" si="675">IF(G115=2200,F115,0)</f>
        <v>0</v>
      </c>
      <c r="CR115" s="454">
        <f t="shared" ref="CR115:CR117" si="676">IF(G115=2400,F115,0)</f>
        <v>0</v>
      </c>
      <c r="CS115" s="454">
        <f t="shared" ref="CS115:CS117" si="677">IF(G115=2600,F115,0)</f>
        <v>0</v>
      </c>
      <c r="CT115" s="459">
        <f t="shared" ref="CT115:CT117" si="678">IF(G115=3000,F115,0)</f>
        <v>0</v>
      </c>
      <c r="CU115" s="460">
        <f t="shared" ref="CU115:CU117" si="679">IF(G115&gt;=100,1,0)</f>
        <v>1</v>
      </c>
      <c r="CV115" s="460">
        <f t="shared" ref="CV115:CV117" si="680">IF(CU115=1,IF(G115&lt;=600,1,0))</f>
        <v>0</v>
      </c>
      <c r="CW115" s="460">
        <f t="shared" ref="CW115:CW117" si="681">IF(CU115=1,IF($G115=800,1,0))</f>
        <v>0</v>
      </c>
      <c r="CX115" s="460">
        <f t="shared" ref="CX115:CX117" si="682">IF(CU115=1,IF($G115=1000,1,0))</f>
        <v>0</v>
      </c>
      <c r="CY115" s="460">
        <f t="shared" ref="CY115:CY117" si="683">IF(CU115=1,IF($G115=1200,1,0))</f>
        <v>1</v>
      </c>
      <c r="CZ115" s="460">
        <f t="shared" ref="CZ115:CZ117" si="684">IF(CU115=1,IF($G115=1500,1,0))</f>
        <v>0</v>
      </c>
      <c r="DA115" s="461">
        <f t="shared" ref="DA115:DA117" si="685">IF(IF(G115&lt;=600,(D115-DB115),0)+IF(G115=800,(D115-DC115),0)+IF(G115&gt;=1000,D115-DD115,0)&lt;0,0,IF(G115&lt;=600,(D115-DB115),0)+IF(G115=800,(D115-DC115),0)+IF(G115&gt;=1000,D115-DD115,0))</f>
        <v>1</v>
      </c>
      <c r="DB115" s="118">
        <v>1.3</v>
      </c>
      <c r="DC115" s="118">
        <v>1.4</v>
      </c>
      <c r="DD115" s="118">
        <v>2</v>
      </c>
      <c r="DE115" s="118">
        <v>2</v>
      </c>
      <c r="DF115" s="462">
        <v>2</v>
      </c>
      <c r="DG115" s="455">
        <f t="shared" ref="DG115:DG117" si="686">IF(K115&lt;=1.5,IF(H115&lt;1.5,H115*F115*2,F115*2*1.5),0)</f>
        <v>0</v>
      </c>
      <c r="DH115" s="463">
        <f t="shared" ref="DH115:DH117" si="687">IF(K115&lt;=1.5,IF(AND(H115&lt;3,H115&gt;1.5),(H115-1.5)*F115*2,IF(H115&gt;=3,(F115*2*1.5),0)),0)</f>
        <v>0</v>
      </c>
      <c r="DI115" s="463">
        <f t="shared" ref="DI115:DI117" si="688">IF(K115&lt;=1.5,IF(AND(H115&lt;4.5,H115&gt;3),(H115-3)*F115*2,IF(H115&gt;=4.5,(F115*2*1.5),0)),0)</f>
        <v>0</v>
      </c>
      <c r="DJ115" s="463">
        <f t="shared" ref="DJ115:DJ117" si="689">IF(AND(K115&lt;=2.5,K115&gt;1.5),IF(H115&lt;1.5,H115*F115*2,F115*2*1.5),0)</f>
        <v>105.32104606159345</v>
      </c>
      <c r="DK115" s="463">
        <f t="shared" ref="DK115:DK117" si="690">IF(AND(K115&gt;1.5,K115&lt;=2.5),IF(AND(H115&lt;3,H115&gt;1.5),(H115-1.5)*F115*2,IF(H115&gt;=3,(F115*2*1.5),0)),0)</f>
        <v>105.32104606159345</v>
      </c>
      <c r="DL115" s="463">
        <f t="shared" ref="DL115:DL117" si="691">IF(AND(K115&gt;1.5,K115&lt;=2.5),IF(AND(H115&lt;4.5,H115&gt;3),(H115-3)*F115*2,IF(H115&gt;=4.5,(F115*2*1.5),0)),0)</f>
        <v>2.8085612283091299</v>
      </c>
      <c r="DM115" s="463">
        <f t="shared" ref="DM115:DM117" si="692">IF(AND(K115&lt;=3.5,K115&gt;2.5),IF(H115&lt;1.5,H115*F115*2,F115*2*1.5),0)</f>
        <v>0</v>
      </c>
      <c r="DN115" s="463">
        <f t="shared" ref="DN115:DN117" si="693">IF(AND(K115&gt;2.5,K115&lt;=3.5),IF(AND(H115&lt;3,H115&gt;1.5),(H115-1.5)*F115*2,IF(H115&gt;=3,(F115*2*1.5),0)),0)</f>
        <v>0</v>
      </c>
      <c r="DO115" s="463">
        <f t="shared" ref="DO115:DO117" si="694">IF(AND(K115&gt;2.5,K115&lt;=3.5),IF(AND(H115&lt;4.5,H115&gt;3),(H115-3)*F115*2,IF(H115&gt;=4.5,(F115*2*1.5),0)),0)</f>
        <v>0</v>
      </c>
      <c r="DP115" s="463">
        <f t="shared" ref="DP115:DP117" si="695">IF(AND(K115&gt;2.5,K115&lt;=3.5),IF(AND(H115&lt;6,H115&gt;4.5),(H115-4.5)*F115*2,IF(H115&gt;=6,(F115*2*1.5),0)),0)</f>
        <v>0</v>
      </c>
      <c r="DQ115" s="464"/>
    </row>
    <row r="116" spans="1:121" s="86" customFormat="1" ht="25" x14ac:dyDescent="0.25">
      <c r="A116" s="259" t="s">
        <v>2077</v>
      </c>
      <c r="B116" s="101"/>
      <c r="C116" s="101" t="str">
        <f>'Planilha Hidráulica'!B126</f>
        <v>PV2.1-&gt;PV3.1</v>
      </c>
      <c r="D116" s="258">
        <f>'Planilha Hidráulica'!R126</f>
        <v>2.2999999999999545</v>
      </c>
      <c r="E116" s="258">
        <f>'Planilha Hidráulica'!S126</f>
        <v>2.327</v>
      </c>
      <c r="F116" s="258">
        <f>'Planilha Hidráulica'!K126</f>
        <v>53.981453829334242</v>
      </c>
      <c r="G116" s="101">
        <f>'Planilha Hidráulica'!M126</f>
        <v>1500</v>
      </c>
      <c r="H116" s="449">
        <f>IF(G116=400,((D116+E116)/2)+0.08+T116,IF(G116=500,((D116+E116)/2)+0.1+T116,IF(G116=600,((D116+E116)/2)+0.12+T116,IF(G116=800,((D116+E116)/2)+0.16+T116,IF(G116=1000,((D116+E116)/2)+0.2+T116,IF(G116=1200,((D116+E116)/2)+0.24+T116,IF(G116=1500,((D116+E116)/2)+0.3+T116,IF(G116&gt;1500,((D116+E116)/2)+0.4+T116))))))))</f>
        <v>2.8134999999999772</v>
      </c>
      <c r="I116" s="102">
        <f>IF(K116=0,0,IF(H116&gt;=1.25,F116*H116/20,0))</f>
        <v>7.5938410174415321</v>
      </c>
      <c r="J116" s="467">
        <v>0</v>
      </c>
      <c r="K116" s="449">
        <f>IF(G116=400,1,0)+IF(G116=500,1.2,0)+IF(G116=600,1.4,0)+IF(G116=800,1.7,0)+IF(G116=1000,2,0)+IF(G116=1200,2.2,0)+IF(G116=1500,2.6,0)+IF(G116=1650,3,0)+IF(G116=1800,3.2,0)+IF(G116=2000,3.4,0)+IF(G116=2200,3.6,0)+IF(G116=2400,3.8,0)+IF(G116=2600,4,0)+IF(G116=3000,4.4,0)</f>
        <v>2.6</v>
      </c>
      <c r="L116" s="449">
        <f>2*J116*H116+K116</f>
        <v>2.6</v>
      </c>
      <c r="M116" s="449">
        <f>'Planilha Hidráulica'!X126</f>
        <v>1200</v>
      </c>
      <c r="N116" s="449">
        <f>L116*F116</f>
        <v>140.35177995626904</v>
      </c>
      <c r="O116" s="468" t="str">
        <f>'Planilha Hidráulica'!W126</f>
        <v>ASFALTO</v>
      </c>
      <c r="P116" s="468" t="s">
        <v>2076</v>
      </c>
      <c r="Q116" s="468"/>
      <c r="R116" s="468">
        <v>3</v>
      </c>
      <c r="S116" s="468">
        <v>1</v>
      </c>
      <c r="T116" s="449">
        <f>IF(G116=400,0.05,0)+IF(G116=500,0.05,0)+IF(G116=600,0.1,0)+IF(G116=800,0.1,0)+IF(G116=1000,0.15,0)+IF(G116=1200,0.15,0)+IF(G116=1500,0.2,0)+IF(G116=1650,0.2,0)+IF(G116=1800,0.2,0)+IF(G116=2000,0.25,0)+IF(G116=2200,0.25,0)+IF(G116=2400,0.25,0)+IF(G116=2600,0.25,0)+IF(G116=3000,0.25,0)</f>
        <v>0.2</v>
      </c>
      <c r="U116" s="453">
        <f>IFERROR((PI()*(M116/1000)*(M116/1000)/4)*F116,0)</f>
        <v>61.051585960919901</v>
      </c>
      <c r="V116" s="106">
        <f>((((J116*H116)*H116)/2)*2+K116*H116)*F116-U116+AW116</f>
        <v>333.82814694603979</v>
      </c>
      <c r="W116" s="106">
        <f>V116-SUM(AC116:AR116)</f>
        <v>0</v>
      </c>
      <c r="X116" s="107">
        <f>IF(Q116=1,IF(M116=0,H116+0.4,0.4),0)</f>
        <v>0</v>
      </c>
      <c r="Y116" s="453">
        <f>IF(R116&lt;H116,R116,H116)</f>
        <v>2.8134999999999772</v>
      </c>
      <c r="Z116" s="453">
        <f>H116-Y116</f>
        <v>0</v>
      </c>
      <c r="AA116" s="456">
        <f>IF(O116="ASFALTO",L116*F116,0)</f>
        <v>140.35177995626904</v>
      </c>
      <c r="AB116" s="469">
        <f>IF(O116="CONCRETO",L116*F116,0)</f>
        <v>0</v>
      </c>
      <c r="AC116" s="109">
        <f>IF(X116=0,0,IF(X116=0.4,IF(K116&lt;=1.5,IF(Y116+0.4&gt;=1.5,0,K116*F116*0.4),0),IF(K116&lt;=1.5,IF(X116&gt;=1.5,L116*F116*1.5,K116*F116*(X116)),0)+IF(R116&lt;H116+0.4,0,IF(AND(X116&lt;=1.5,K116&lt;=1.5),-U116,0))))</f>
        <v>0</v>
      </c>
      <c r="AD116" s="109">
        <f>IF(X116=0,0,IF(X116=0.4,IF(K116&lt;=1.5,IF(OR(Y116+0.4&gt;=3,Y116+0.4&lt;1.5),0,K116*F116*0.4),0),IF(IF(K116&lt;=1.5,IF(X116&gt;=3,L116*F116*1.5,K116*F116*(X116-1.5)),0)&lt;0,0,IF(K116&lt;=1.5,IF(X116&gt;=3,L116*F116*1.5,K116*F116*(X116-1.5)),0))+IF(R116&lt;H116+0.4,0,IF(AND(X116&lt;=3,K116&lt;=1.5),-U116,0))))</f>
        <v>0</v>
      </c>
      <c r="AE116" s="109">
        <f>IF(X116=0,0,IF(X116=0.4,IF(K116&lt;=1.5,IF(OR(Y116+0.4&gt;=4.5,Y116+0.4&lt;3),0,K116*F116*0.4),0),IF(IF(K116&lt;=1.5,IF(X116&gt;=4.5,L116*F116*1.5,K116*F116*(X116-3)),0)&lt;0,0,IF(K116&lt;=1.5,IF(X116&gt;=3,L116*F116*1.5,K116*F116*(X116-3)),0))+IF(R116&lt;H116+0.4,0,IF(AND(X116&lt;=4.5,K116&lt;=1.5),-U116,0))))</f>
        <v>0</v>
      </c>
      <c r="AF116" s="109">
        <f>IF(X116=0,0,IF(X116=0.4,IF(AND(K116&gt;1.5,K116&lt;=2.6),IF(Y116+0.4&gt;=1.5,0,K116*F116*0.4),0),IF(AND(K116&gt;1.5,K116&lt;=2.6),IF(X116&gt;=1.5,L116*F116*1.5,K116*F116*(X116)),0)+IF(R116&lt;H116+0.4,0,IF(AND(X116&lt;=1.5,K116&lt;=1.5),-U116,0))))</f>
        <v>0</v>
      </c>
      <c r="AG116" s="109">
        <f>IF(X116=0,0,IF(X116=0.4,IF(AND(K116&gt;1.5,K116&lt;=2.6),IF(OR(Y116+0.4&gt;=3,Y116+0.4&lt;1.5),0,K116*F116*0.4),0),IF(IF(AND(K116&gt;1.5,K116&lt;=2.6),IF(X116&gt;=3,L116*F116*1.5,K116*F116*(X116-1.5)),0)&lt;0,0,IF(AND(K116&gt;1.5,K116&lt;=2.6),IF(X116&gt;=3,L116*F116*1.5,K116*F116*(X116-1.5)),0))+IF(R116&lt;H116+0.4,0,IF(AND(X116&lt;=3,K116&lt;=1.5),-U116,0))))</f>
        <v>0</v>
      </c>
      <c r="AH116" s="109">
        <f>IF(X116=0,0,IF(X116=0.4,IF(AND(K116&gt;1.5,K116&lt;=2.6),IF(OR(Y116+0.4&gt;=4.5,Y116+0.4&lt;3),0,K116*F116*0.4),0),IF(IF(AND(K116&gt;1.5,K116&lt;=2.6),IF(X116&gt;=4.5,L116*F116*1.5,K116*F116*(X116-3)),0)&lt;0,0,IF(AND(K116&gt;1.5,K116&lt;=2.6),IF(X116&gt;=4.5,L116*F116*1.5,K116*F116*(X116-3)),0))+IF(R116&lt;H116+0.4,0,IF(AND(X116&lt;=3,K116&lt;=1.5),-U116,0))))</f>
        <v>0</v>
      </c>
      <c r="AI116" s="109">
        <f>IF(X116=0,0,IF(X116=0.4,IF(AND(K116&gt;1.5,K116&lt;=2.6),IF(OR(Y116+0.4&gt;=6,Y116+0.4&lt;4.5),0,K116*F116*0.4),0),IF(IF(AND(K116&gt;1.5,K116&lt;=2.6),IF(X116&gt;=6,L116*F116*1.5,K116*F116*(X116-4.5)),0)&lt;0,0,IF(AND(K116&gt;1.5,K116&lt;=2.6),IF(X116&gt;=6,L116*F116*1.5,K116*F116*(X116-4.5)),0))+IF(R116&lt;H116+0.4,0,IF(AND(X116&lt;=3,K116&lt;=1.5),-U116,0))))</f>
        <v>0</v>
      </c>
      <c r="AJ116" s="456">
        <f>IF(K116&lt;=1.5,IF(Y116&gt;=1.5,L116*F116*1.5,K116*F116*Y116),0)+IF(R116&lt;H116,0,IF(AND(Y116&lt;=1.5,K116&lt;=1.5),-U116,0))</f>
        <v>0</v>
      </c>
      <c r="AK116" s="456">
        <f>IF(IF(K116&lt;=1.5,IF(Y116&gt;=3,L116*F116*1.5,K116*F116*(Y116-1.5)),0)&lt;0,0,IF(K116&lt;=1.5,IF(Y116&gt;=3,L116*F116*1.5,K116*F116*(Y116-1.5)),0))+IF(R116&lt;H116,0,IF(AND(Y116&lt;=3,K116&lt;=1.5),-U116,0))</f>
        <v>0</v>
      </c>
      <c r="AL116" s="456">
        <f>IF(AND(K116&lt;=2.5,K116&gt;1.5),IF(Y116&gt;=1.5,L116*F116*1.5,K116*F116*Y116),0)+IF(R116&lt;H116,0,IF(AND(Y116&lt;=1.5,K116&gt;1.5,K116&lt;=2.5),-U116,0))</f>
        <v>0</v>
      </c>
      <c r="AM116" s="456">
        <f>IF(IF(AND(K116&lt;=2.5,K116&gt;1.5),IF(Y116&gt;=3,L116*F116*1.5,K116*F116*(Y116-1.5)),0)&lt;0,0,IF(AND(K116&lt;=2.5,K116&gt;1.5),IF(Y116&gt;=3,L116*F116*1.5,K116*F116*(Y116-1.5)),0))+IF(R116&lt;H116,0,IF(AND(Y116&lt;=3,Y116&gt;1.5,K116&gt;1.5,K116&lt;=2.5),-U116,0))</f>
        <v>0</v>
      </c>
      <c r="AN116" s="456">
        <f>IF(IF(K116&lt;=2.5,IF(Y116&gt;=4.5,L116*F116*1.5,K116*F116*(Y116-3)),0)&lt;0,0,IF(K116&lt;=2.5,IF(Y116&gt;=4.5,L116*F116*1.5,K116*F116*(Y116-3)),0))+IF(R116&lt;H116,0,IF(AND(Y116&lt;=4.5,Y116&gt;3,K116&gt;1.5,K116&lt;=2.5),-U116,0))</f>
        <v>0</v>
      </c>
      <c r="AO116" s="456">
        <f>IF(K116&gt;2.5,IF(Y116&gt;=2,L116*F116*2,K116*F116*Y116),0)+IF(R116&lt;H116,0,IF(AND(Y116&lt;=2,K116&gt;=2.5),-U116,0))</f>
        <v>280.70355991253808</v>
      </c>
      <c r="AP116" s="456">
        <f>IF(IF(K116&gt;2.5,IF(Y116&gt;=4,L116*F116*2,K116*F116*(Y116-2)),0)&lt;0,0,IF(K116&gt;2.5,IF(Y116&gt;=4,L116*F116*2,K116*F116*(Y116-2)),0))+IF(R116&lt;H116,0,IF(AND(Y116&lt;=4,Y116&gt;2,K116&gt;2.5),-U116,0))</f>
        <v>53.124587033501776</v>
      </c>
      <c r="AQ116" s="456">
        <f>IF(IF(K116&gt;2.5,IF(Y116&gt;=6,L116*F116*2,K116*F116*(Y116-4)),0)&lt;0,0,IF(K116&gt;2.5,IF(Y116&gt;=6,L116*F116*2,K116*F116*(Y116-4)),0))+IF(R116&lt;H116,0,IF(AND(Y116&lt;=6,Y116&gt;4,K116&gt;2.5),-U116,0))</f>
        <v>0</v>
      </c>
      <c r="AR116" s="102">
        <f>ROUND(V116-SUM(AC116:AQ116),2)</f>
        <v>0</v>
      </c>
      <c r="AS116" s="449">
        <f>IF(H116-S116&lt;0,0,(H116-S116)*F116)/75</f>
        <v>1.3052715535932855</v>
      </c>
      <c r="AT116" s="104">
        <f>F116*K116*H116-PI()*(G116/1000)*(G116/1000)/4*F116+AW116</f>
        <v>299.4866298430224</v>
      </c>
      <c r="AU116" s="102">
        <f>IF(K116&lt;1.5,K116*F116*IF(G116&lt;=500,0.05,IF(G116&lt;=800,0.1,IF(G116&lt;=1200,0.15,IF(G116&gt;=1500,0.2)))),0)</f>
        <v>0</v>
      </c>
      <c r="AV116" s="106">
        <f>IF(K116&gt;=1.5,K116*F116*IF(G116&lt;=500,0.05,IF(G116&lt;=800,0.1,IF(G116&lt;=1200,0.15,IF(G116&gt;=1500,0.2)))),0)</f>
        <v>28.070355991253809</v>
      </c>
      <c r="AW116" s="104">
        <f>IF(Q116=1,0.4*F116*K116,0)</f>
        <v>0</v>
      </c>
      <c r="AX116" s="104">
        <f>IF(AW116&lt;SUM(AJ116:AQ116),0,AW116)</f>
        <v>0</v>
      </c>
      <c r="AY116" s="104">
        <f>G116/1000+0.3</f>
        <v>1.8</v>
      </c>
      <c r="AZ116" s="104">
        <f>AY116*K116*F116-PI()*(G116/1000*G116/1000)/4*F116</f>
        <v>157.24010085734693</v>
      </c>
      <c r="BA116" s="104">
        <f>IF(AZ116&lt;SUM(AJ116:AQ116),0,AZ116)</f>
        <v>0</v>
      </c>
      <c r="BB116" s="104">
        <f>IF(O116="ASFALTO",0.15*F116*K116,0)</f>
        <v>21.052766993440354</v>
      </c>
      <c r="BC116" s="104">
        <f>BB116</f>
        <v>21.052766993440354</v>
      </c>
      <c r="BD116" s="104">
        <f>IF(O116="ASFALTO",0.03*F116*K116,0)</f>
        <v>4.210553398688071</v>
      </c>
      <c r="BE116" s="104">
        <f>AT116-AW116-SUM(AU116:AV116)-BB116-BC116-AZ116</f>
        <v>72.07063900754099</v>
      </c>
      <c r="BF116" s="104">
        <f>SUM(AJ116:AQ116)-AW116-BB116-AZ116</f>
        <v>155.53527909525258</v>
      </c>
      <c r="BG116" s="104">
        <f>IF(SMALL(BE116:BF116,1)&lt;0,0,SMALL(BE116:BF116,1))</f>
        <v>72.07063900754099</v>
      </c>
      <c r="BH116" s="104">
        <f>BF116-BG116</f>
        <v>83.464640087711587</v>
      </c>
      <c r="BI116" s="104">
        <f>BE116-BG116</f>
        <v>0</v>
      </c>
      <c r="BJ116" s="104">
        <f t="shared" si="643"/>
        <v>0</v>
      </c>
      <c r="BK116" s="104">
        <f t="shared" si="644"/>
        <v>0</v>
      </c>
      <c r="BL116" s="125"/>
      <c r="BM116" s="104">
        <f t="shared" si="645"/>
        <v>0.84211067973761422</v>
      </c>
      <c r="BN116" s="455">
        <f t="shared" si="646"/>
        <v>0</v>
      </c>
      <c r="BO116" s="457">
        <f t="shared" si="647"/>
        <v>0</v>
      </c>
      <c r="BP116" s="457">
        <f t="shared" si="648"/>
        <v>0</v>
      </c>
      <c r="BQ116" s="457">
        <f t="shared" si="649"/>
        <v>0</v>
      </c>
      <c r="BR116" s="451">
        <f t="shared" si="650"/>
        <v>0</v>
      </c>
      <c r="BS116" s="451">
        <f t="shared" si="651"/>
        <v>0</v>
      </c>
      <c r="BT116" s="451">
        <f t="shared" si="652"/>
        <v>0</v>
      </c>
      <c r="BU116" s="451">
        <f t="shared" si="653"/>
        <v>0</v>
      </c>
      <c r="BV116" s="451">
        <f t="shared" si="654"/>
        <v>0</v>
      </c>
      <c r="BW116" s="451">
        <f t="shared" si="655"/>
        <v>0</v>
      </c>
      <c r="BX116" s="451">
        <f t="shared" si="656"/>
        <v>0</v>
      </c>
      <c r="BY116" s="451">
        <f t="shared" si="657"/>
        <v>0</v>
      </c>
      <c r="BZ116" s="451">
        <f t="shared" si="658"/>
        <v>0</v>
      </c>
      <c r="CA116" s="451">
        <f t="shared" si="659"/>
        <v>0</v>
      </c>
      <c r="CB116" s="451">
        <f t="shared" si="660"/>
        <v>0</v>
      </c>
      <c r="CC116" s="451">
        <f t="shared" si="661"/>
        <v>0</v>
      </c>
      <c r="CD116" s="451">
        <f t="shared" si="662"/>
        <v>0</v>
      </c>
      <c r="CE116" s="451">
        <f t="shared" si="663"/>
        <v>0</v>
      </c>
      <c r="CF116" s="451">
        <f t="shared" si="664"/>
        <v>0</v>
      </c>
      <c r="CG116" s="451">
        <f t="shared" si="665"/>
        <v>0</v>
      </c>
      <c r="CH116" s="451">
        <f t="shared" si="666"/>
        <v>0</v>
      </c>
      <c r="CI116" s="451">
        <f t="shared" si="667"/>
        <v>0</v>
      </c>
      <c r="CJ116" s="458">
        <f t="shared" si="668"/>
        <v>2.8134999999999772</v>
      </c>
      <c r="CK116" s="451">
        <f t="shared" si="669"/>
        <v>53.981453829334242</v>
      </c>
      <c r="CL116" s="451">
        <f t="shared" si="670"/>
        <v>0</v>
      </c>
      <c r="CM116" s="451">
        <f t="shared" si="671"/>
        <v>0</v>
      </c>
      <c r="CN116" s="454">
        <f t="shared" si="672"/>
        <v>0</v>
      </c>
      <c r="CO116" s="454">
        <f t="shared" si="673"/>
        <v>0</v>
      </c>
      <c r="CP116" s="454">
        <f t="shared" si="674"/>
        <v>0</v>
      </c>
      <c r="CQ116" s="454">
        <f t="shared" si="675"/>
        <v>0</v>
      </c>
      <c r="CR116" s="454">
        <f t="shared" si="676"/>
        <v>0</v>
      </c>
      <c r="CS116" s="454">
        <f t="shared" si="677"/>
        <v>0</v>
      </c>
      <c r="CT116" s="459">
        <f t="shared" si="678"/>
        <v>0</v>
      </c>
      <c r="CU116" s="460">
        <f t="shared" si="679"/>
        <v>1</v>
      </c>
      <c r="CV116" s="460">
        <f t="shared" si="680"/>
        <v>0</v>
      </c>
      <c r="CW116" s="460">
        <f t="shared" si="681"/>
        <v>0</v>
      </c>
      <c r="CX116" s="460">
        <f t="shared" si="682"/>
        <v>0</v>
      </c>
      <c r="CY116" s="460">
        <f t="shared" si="683"/>
        <v>0</v>
      </c>
      <c r="CZ116" s="460">
        <f t="shared" si="684"/>
        <v>1</v>
      </c>
      <c r="DA116" s="461">
        <f t="shared" si="685"/>
        <v>0.29999999999995453</v>
      </c>
      <c r="DB116" s="118">
        <v>1.3</v>
      </c>
      <c r="DC116" s="118">
        <v>1.4</v>
      </c>
      <c r="DD116" s="118">
        <v>2</v>
      </c>
      <c r="DE116" s="118">
        <v>2</v>
      </c>
      <c r="DF116" s="462">
        <v>2</v>
      </c>
      <c r="DG116" s="455">
        <f t="shared" si="686"/>
        <v>0</v>
      </c>
      <c r="DH116" s="463">
        <f t="shared" si="687"/>
        <v>0</v>
      </c>
      <c r="DI116" s="463">
        <f t="shared" si="688"/>
        <v>0</v>
      </c>
      <c r="DJ116" s="463">
        <f t="shared" si="689"/>
        <v>0</v>
      </c>
      <c r="DK116" s="463">
        <f t="shared" si="690"/>
        <v>0</v>
      </c>
      <c r="DL116" s="463">
        <f t="shared" si="691"/>
        <v>0</v>
      </c>
      <c r="DM116" s="463">
        <f t="shared" si="692"/>
        <v>161.94436148800273</v>
      </c>
      <c r="DN116" s="463">
        <f t="shared" si="693"/>
        <v>141.8092792096586</v>
      </c>
      <c r="DO116" s="463">
        <f t="shared" si="694"/>
        <v>0</v>
      </c>
      <c r="DP116" s="463">
        <f t="shared" si="695"/>
        <v>0</v>
      </c>
      <c r="DQ116" s="464"/>
    </row>
    <row r="117" spans="1:121" s="86" customFormat="1" ht="25" x14ac:dyDescent="0.25">
      <c r="A117" s="259" t="s">
        <v>2077</v>
      </c>
      <c r="B117" s="101"/>
      <c r="C117" s="101" t="str">
        <f>'Planilha Hidráulica'!B127</f>
        <v>PV3.1-&gt;PV17-59</v>
      </c>
      <c r="D117" s="258">
        <f>'Planilha Hidráulica'!R127</f>
        <v>2.327</v>
      </c>
      <c r="E117" s="258">
        <f>'Planilha Hidráulica'!S127</f>
        <v>2.87</v>
      </c>
      <c r="F117" s="258">
        <f>'Planilha Hidráulica'!K127</f>
        <v>45.791761848618904</v>
      </c>
      <c r="G117" s="101">
        <f>'Planilha Hidráulica'!M127</f>
        <v>1500</v>
      </c>
      <c r="H117" s="449">
        <f>IF(G117=400,((D117+E117)/2)+0.08+T117,IF(G117=500,((D117+E117)/2)+0.1+T117,IF(G117=600,((D117+E117)/2)+0.12+T117,IF(G117=800,((D117+E117)/2)+0.16+T117,IF(G117=1000,((D117+E117)/2)+0.2+T117,IF(G117=1200,((D117+E117)/2)+0.24+T117,IF(G117=1500,((D117+E117)/2)+0.3+T117,IF(G117&gt;1500,((D117+E117)/2)+0.4+T117))))))))</f>
        <v>3.0985</v>
      </c>
      <c r="I117" s="102">
        <f>IF(K117=0,0,IF(H117&gt;=1.25,F117*H117/20,0))</f>
        <v>7.0942887043972833</v>
      </c>
      <c r="J117" s="467">
        <v>0</v>
      </c>
      <c r="K117" s="449">
        <f>IF(G117=400,1,0)+IF(G117=500,1.2,0)+IF(G117=600,1.4,0)+IF(G117=800,1.7,0)+IF(G117=1000,2,0)+IF(G117=1200,2.2,0)+IF(G117=1500,2.6,0)+IF(G117=1650,3,0)+IF(G117=1800,3.2,0)+IF(G117=2000,3.4,0)+IF(G117=2200,3.6,0)+IF(G117=2400,3.8,0)+IF(G117=2600,4,0)+IF(G117=3000,4.4,0)</f>
        <v>2.6</v>
      </c>
      <c r="L117" s="449">
        <f>2*J117*H117+K117</f>
        <v>2.6</v>
      </c>
      <c r="M117" s="449">
        <f>'Planilha Hidráulica'!X127</f>
        <v>1200</v>
      </c>
      <c r="N117" s="449">
        <f>L117*F117</f>
        <v>119.05858080640915</v>
      </c>
      <c r="O117" s="468" t="str">
        <f>'Planilha Hidráulica'!W127</f>
        <v>ASFALTO</v>
      </c>
      <c r="P117" s="468" t="s">
        <v>2078</v>
      </c>
      <c r="Q117" s="468"/>
      <c r="R117" s="468">
        <v>2.5</v>
      </c>
      <c r="S117" s="468">
        <v>1.45</v>
      </c>
      <c r="T117" s="449">
        <f>IF(G117=400,0.05,0)+IF(G117=500,0.05,0)+IF(G117=600,0.1,0)+IF(G117=800,0.1,0)+IF(G117=1000,0.15,0)+IF(G117=1200,0.15,0)+IF(G117=1500,0.2,0)+IF(G117=1650,0.2,0)+IF(G117=1800,0.2,0)+IF(G117=2000,0.25,0)+IF(G117=2200,0.25,0)+IF(G117=2400,0.25,0)+IF(G117=2600,0.25,0)+IF(G117=3000,0.25,0)</f>
        <v>0.2</v>
      </c>
      <c r="U117" s="453">
        <f>IFERROR((PI()*(M117/1000)*(M117/1000)/4)*F117,0)</f>
        <v>51.78926254267963</v>
      </c>
      <c r="V117" s="106">
        <f>((((J117*H117)*H117)/2)*2+K117*H117)*F117-U117+AW117</f>
        <v>317.11375008597918</v>
      </c>
      <c r="W117" s="477">
        <f>V117-SUM(AC117:AR117)</f>
        <v>-2.7019300437132188E-3</v>
      </c>
      <c r="X117" s="107">
        <f>IF(Q117=1,IF(M117=0,H117+0.4,0.4),0)</f>
        <v>0</v>
      </c>
      <c r="Y117" s="453">
        <f>IF(R117&lt;H117,R117,H117)</f>
        <v>2.5</v>
      </c>
      <c r="Z117" s="453">
        <f>H117-Y117</f>
        <v>0.59850000000000003</v>
      </c>
      <c r="AA117" s="456">
        <f>IF(O117="ASFALTO",L117*F117,0)</f>
        <v>119.05858080640915</v>
      </c>
      <c r="AB117" s="469">
        <f>IF(O117="CONCRETO",L117*F117,0)</f>
        <v>0</v>
      </c>
      <c r="AC117" s="109">
        <f>IF(X117=0,0,IF(X117=0.4,IF(K117&lt;=1.5,IF(Y117+0.4&gt;=1.5,0,K117*F117*0.4),0),IF(K117&lt;=1.5,IF(X117&gt;=1.5,L117*F117*1.5,K117*F117*(X117)),0)+IF(R117&lt;H117+0.4,0,IF(AND(X117&lt;=1.5,K117&lt;=1.5),-U117,0))))</f>
        <v>0</v>
      </c>
      <c r="AD117" s="109">
        <f>IF(X117=0,0,IF(X117=0.4,IF(K117&lt;=1.5,IF(OR(Y117+0.4&gt;=3,Y117+0.4&lt;1.5),0,K117*F117*0.4),0),IF(IF(K117&lt;=1.5,IF(X117&gt;=3,L117*F117*1.5,K117*F117*(X117-1.5)),0)&lt;0,0,IF(K117&lt;=1.5,IF(X117&gt;=3,L117*F117*1.5,K117*F117*(X117-1.5)),0))+IF(R117&lt;H117+0.4,0,IF(AND(X117&lt;=3,K117&lt;=1.5),-U117,0))))</f>
        <v>0</v>
      </c>
      <c r="AE117" s="109">
        <f>IF(X117=0,0,IF(X117=0.4,IF(K117&lt;=1.5,IF(OR(Y117+0.4&gt;=4.5,Y117+0.4&lt;3),0,K117*F117*0.4),0),IF(IF(K117&lt;=1.5,IF(X117&gt;=4.5,L117*F117*1.5,K117*F117*(X117-3)),0)&lt;0,0,IF(K117&lt;=1.5,IF(X117&gt;=3,L117*F117*1.5,K117*F117*(X117-3)),0))+IF(R117&lt;H117+0.4,0,IF(AND(X117&lt;=4.5,K117&lt;=1.5),-U117,0))))</f>
        <v>0</v>
      </c>
      <c r="AF117" s="109">
        <f>IF(X117=0,0,IF(X117=0.4,IF(AND(K117&gt;1.5,K117&lt;=2.6),IF(Y117+0.4&gt;=1.5,0,K117*F117*0.4),0),IF(AND(K117&gt;1.5,K117&lt;=2.6),IF(X117&gt;=1.5,L117*F117*1.5,K117*F117*(X117)),0)+IF(R117&lt;H117+0.4,0,IF(AND(X117&lt;=1.5,K117&lt;=1.5),-U117,0))))</f>
        <v>0</v>
      </c>
      <c r="AG117" s="109">
        <f>IF(X117=0,0,IF(X117=0.4,IF(AND(K117&gt;1.5,K117&lt;=2.6),IF(OR(Y117+0.4&gt;=3,Y117+0.4&lt;1.5),0,K117*F117*0.4),0),IF(IF(AND(K117&gt;1.5,K117&lt;=2.6),IF(X117&gt;=3,L117*F117*1.5,K117*F117*(X117-1.5)),0)&lt;0,0,IF(AND(K117&gt;1.5,K117&lt;=2.6),IF(X117&gt;=3,L117*F117*1.5,K117*F117*(X117-1.5)),0))+IF(R117&lt;H117+0.4,0,IF(AND(X117&lt;=3,K117&lt;=1.5),-U117,0))))</f>
        <v>0</v>
      </c>
      <c r="AH117" s="109">
        <f>IF(X117=0,0,IF(X117=0.4,IF(AND(K117&gt;1.5,K117&lt;=2.6),IF(OR(Y117+0.4&gt;=4.5,Y117+0.4&lt;3),0,K117*F117*0.4),0),IF(IF(AND(K117&gt;1.5,K117&lt;=2.6),IF(X117&gt;=4.5,L117*F117*1.5,K117*F117*(X117-3)),0)&lt;0,0,IF(AND(K117&gt;1.5,K117&lt;=2.6),IF(X117&gt;=4.5,L117*F117*1.5,K117*F117*(X117-3)),0))+IF(R117&lt;H117+0.4,0,IF(AND(X117&lt;=3,K117&lt;=1.5),-U117,0))))</f>
        <v>0</v>
      </c>
      <c r="AI117" s="109">
        <f>IF(X117=0,0,IF(X117=0.4,IF(AND(K117&gt;1.5,K117&lt;=2.6),IF(OR(Y117+0.4&gt;=6,Y117+0.4&lt;4.5),0,K117*F117*0.4),0),IF(IF(AND(K117&gt;1.5,K117&lt;=2.6),IF(X117&gt;=6,L117*F117*1.5,K117*F117*(X117-4.5)),0)&lt;0,0,IF(AND(K117&gt;1.5,K117&lt;=2.6),IF(X117&gt;=6,L117*F117*1.5,K117*F117*(X117-4.5)),0))+IF(R117&lt;H117+0.4,0,IF(AND(X117&lt;=3,K117&lt;=1.5),-U117,0))))</f>
        <v>0</v>
      </c>
      <c r="AJ117" s="456">
        <f>IF(K117&lt;=1.5,IF(Y117&gt;=1.5,L117*F117*1.5,K117*F117*Y117),0)+IF(R117&lt;H117,0,IF(AND(Y117&lt;=1.5,K117&lt;=1.5),-U117,0))</f>
        <v>0</v>
      </c>
      <c r="AK117" s="456">
        <f>IF(IF(K117&lt;=1.5,IF(Y117&gt;=3,L117*F117*1.5,K117*F117*(Y117-1.5)),0)&lt;0,0,IF(K117&lt;=1.5,IF(Y117&gt;=3,L117*F117*1.5,K117*F117*(Y117-1.5)),0))+IF(R117&lt;H117,0,IF(AND(Y117&lt;=3,K117&lt;=1.5),-U117,0))</f>
        <v>0</v>
      </c>
      <c r="AL117" s="456">
        <f>IF(AND(K117&lt;=2.5,K117&gt;1.5),IF(Y117&gt;=1.5,L117*F117*1.5,K117*F117*Y117),0)+IF(R117&lt;H117,0,IF(AND(Y117&lt;=1.5,K117&gt;1.5,K117&lt;=2.5),-U117,0))</f>
        <v>0</v>
      </c>
      <c r="AM117" s="456">
        <f>IF(IF(AND(K117&lt;=2.5,K117&gt;1.5),IF(Y117&gt;=3,L117*F117*1.5,K117*F117*(Y117-1.5)),0)&lt;0,0,IF(AND(K117&lt;=2.5,K117&gt;1.5),IF(Y117&gt;=3,L117*F117*1.5,K117*F117*(Y117-1.5)),0))+IF(R117&lt;H117,0,IF(AND(Y117&lt;=3,Y117&gt;1.5,K117&gt;1.5,K117&lt;=2.5),-U117,0))</f>
        <v>0</v>
      </c>
      <c r="AN117" s="456">
        <f>IF(IF(K117&lt;=2.5,IF(Y117&gt;=4.5,L117*F117*1.5,K117*F117*(Y117-3)),0)&lt;0,0,IF(K117&lt;=2.5,IF(Y117&gt;=4.5,L117*F117*1.5,K117*F117*(Y117-3)),0))+IF(R117&lt;H117,0,IF(AND(Y117&lt;=4.5,Y117&gt;3,K117&gt;1.5,K117&lt;=2.5),-U117,0))</f>
        <v>0</v>
      </c>
      <c r="AO117" s="456">
        <f>IF(K117&gt;2.5,IF(Y117&gt;=2,L117*F117*2,K117*F117*Y117),0)+IF(R117&lt;H117,0,IF(AND(Y117&lt;=2,K117&gt;=2.5),-U117,0))</f>
        <v>238.11716161281831</v>
      </c>
      <c r="AP117" s="456">
        <f>IF(IF(K117&gt;2.5,IF(Y117&gt;=4,L117*F117*2,K117*F117*(Y117-2)),0)&lt;0,0,IF(K117&gt;2.5,IF(Y117&gt;=4,L117*F117*2,K117*F117*(Y117-2)),0))+IF(R117&lt;H117,0,IF(AND(Y117&lt;=4,Y117&gt;2,K117&gt;2.5),-U117,0))</f>
        <v>59.529290403204577</v>
      </c>
      <c r="AQ117" s="456">
        <f>IF(IF(K117&gt;2.5,IF(Y117&gt;=6,L117*F117*2,K117*F117*(Y117-4)),0)&lt;0,0,IF(K117&gt;2.5,IF(Y117&gt;=6,L117*F117*2,K117*F117*(Y117-4)),0))+IF(R117&lt;H117,0,IF(AND(Y117&lt;=6,Y117&gt;4,K117&gt;2.5),-U117,0))</f>
        <v>0</v>
      </c>
      <c r="AR117" s="102">
        <f>ROUND(V117-SUM(AC117:AQ117),2)</f>
        <v>19.47</v>
      </c>
      <c r="AS117" s="449">
        <f>IF(H117-S117&lt;0,0,(H117-S117)*F117)/75</f>
        <v>1.0065029254326436</v>
      </c>
      <c r="AT117" s="104">
        <f>F117*K117*H117-PI()*(G117/1000)*(G117/1000)/4*F117+AW117</f>
        <v>287.98228990572181</v>
      </c>
      <c r="AU117" s="102">
        <f>IF(K117&lt;1.5,K117*F117*IF(G117&lt;=500,0.05,IF(G117&lt;=800,0.1,IF(G117&lt;=1200,0.15,IF(G117&gt;=1500,0.2)))),0)</f>
        <v>0</v>
      </c>
      <c r="AV117" s="106">
        <f>IF(K117&gt;=1.5,K117*F117*IF(G117&lt;=500,0.05,IF(G117&lt;=800,0.1,IF(G117&lt;=1200,0.15,IF(G117&gt;=1500,0.2)))),0)</f>
        <v>23.811716161281833</v>
      </c>
      <c r="AW117" s="104">
        <f>IF(Q117=1,0.4*F117*K117,0)</f>
        <v>0</v>
      </c>
      <c r="AX117" s="104">
        <f>IF(AW117&lt;SUM(AJ117:AQ117),0,AW117)</f>
        <v>0</v>
      </c>
      <c r="AY117" s="104">
        <f>G117/1000+0.3</f>
        <v>1.8</v>
      </c>
      <c r="AZ117" s="104">
        <f>AY117*K117*F117-PI()*(G117/1000*G117/1000)/4*F117</f>
        <v>133.38472272859957</v>
      </c>
      <c r="BA117" s="104">
        <f>IF(AZ117&lt;SUM(AJ117:AQ117),0,AZ117)</f>
        <v>0</v>
      </c>
      <c r="BB117" s="104">
        <f>IF(O117="ASFALTO",0.15*F117*K117,0)</f>
        <v>17.858787120961374</v>
      </c>
      <c r="BC117" s="104">
        <f>BB117</f>
        <v>17.858787120961374</v>
      </c>
      <c r="BD117" s="104">
        <f>IF(O117="ASFALTO",0.03*F117*K117,0)</f>
        <v>3.5717574241922749</v>
      </c>
      <c r="BE117" s="104">
        <f>AT117-AW117-SUM(AU117:AV117)-BB117-BC117-AZ117</f>
        <v>95.06827677391766</v>
      </c>
      <c r="BF117" s="104">
        <f>SUM(AJ117:AQ117)-AW117-BB117-AZ117</f>
        <v>146.40294216646191</v>
      </c>
      <c r="BG117" s="104">
        <f>IF(SMALL(BE117:BF117,1)&lt;0,0,SMALL(BE117:BF117,1))</f>
        <v>95.06827677391766</v>
      </c>
      <c r="BH117" s="104">
        <f>BF117-BG117</f>
        <v>51.334665392544252</v>
      </c>
      <c r="BI117" s="104">
        <f>BE117-BG117</f>
        <v>0</v>
      </c>
      <c r="BJ117" s="104">
        <f t="shared" si="643"/>
        <v>0</v>
      </c>
      <c r="BK117" s="104">
        <f t="shared" si="644"/>
        <v>0</v>
      </c>
      <c r="BL117" s="125"/>
      <c r="BM117" s="104">
        <f t="shared" si="645"/>
        <v>0.71435148483845501</v>
      </c>
      <c r="BN117" s="455">
        <f t="shared" si="646"/>
        <v>0</v>
      </c>
      <c r="BO117" s="457">
        <f t="shared" si="647"/>
        <v>0</v>
      </c>
      <c r="BP117" s="457">
        <f t="shared" si="648"/>
        <v>0</v>
      </c>
      <c r="BQ117" s="457">
        <f t="shared" si="649"/>
        <v>0</v>
      </c>
      <c r="BR117" s="451">
        <f t="shared" si="650"/>
        <v>0</v>
      </c>
      <c r="BS117" s="451">
        <f t="shared" si="651"/>
        <v>0</v>
      </c>
      <c r="BT117" s="451">
        <f t="shared" si="652"/>
        <v>0</v>
      </c>
      <c r="BU117" s="451">
        <f t="shared" si="653"/>
        <v>0</v>
      </c>
      <c r="BV117" s="451">
        <f t="shared" si="654"/>
        <v>0</v>
      </c>
      <c r="BW117" s="451">
        <f t="shared" si="655"/>
        <v>0</v>
      </c>
      <c r="BX117" s="451">
        <f t="shared" si="656"/>
        <v>0</v>
      </c>
      <c r="BY117" s="451">
        <f t="shared" si="657"/>
        <v>0</v>
      </c>
      <c r="BZ117" s="451">
        <f t="shared" si="658"/>
        <v>0</v>
      </c>
      <c r="CA117" s="451">
        <f t="shared" si="659"/>
        <v>0</v>
      </c>
      <c r="CB117" s="451">
        <f t="shared" si="660"/>
        <v>0</v>
      </c>
      <c r="CC117" s="451">
        <f t="shared" si="661"/>
        <v>0</v>
      </c>
      <c r="CD117" s="451">
        <f t="shared" si="662"/>
        <v>0</v>
      </c>
      <c r="CE117" s="451">
        <f t="shared" si="663"/>
        <v>0</v>
      </c>
      <c r="CF117" s="451">
        <f t="shared" si="664"/>
        <v>0</v>
      </c>
      <c r="CG117" s="451">
        <f t="shared" si="665"/>
        <v>0</v>
      </c>
      <c r="CH117" s="451">
        <f t="shared" si="666"/>
        <v>0</v>
      </c>
      <c r="CI117" s="451">
        <f t="shared" si="667"/>
        <v>0</v>
      </c>
      <c r="CJ117" s="458">
        <f t="shared" si="668"/>
        <v>3.0985</v>
      </c>
      <c r="CK117" s="451">
        <f t="shared" si="669"/>
        <v>0</v>
      </c>
      <c r="CL117" s="451">
        <f t="shared" si="670"/>
        <v>45.791761848618904</v>
      </c>
      <c r="CM117" s="451">
        <f t="shared" si="671"/>
        <v>0</v>
      </c>
      <c r="CN117" s="454">
        <f t="shared" si="672"/>
        <v>0</v>
      </c>
      <c r="CO117" s="454">
        <f t="shared" si="673"/>
        <v>0</v>
      </c>
      <c r="CP117" s="454">
        <f t="shared" si="674"/>
        <v>0</v>
      </c>
      <c r="CQ117" s="454">
        <f t="shared" si="675"/>
        <v>0</v>
      </c>
      <c r="CR117" s="454">
        <f t="shared" si="676"/>
        <v>0</v>
      </c>
      <c r="CS117" s="454">
        <f t="shared" si="677"/>
        <v>0</v>
      </c>
      <c r="CT117" s="459">
        <f t="shared" si="678"/>
        <v>0</v>
      </c>
      <c r="CU117" s="460">
        <f t="shared" si="679"/>
        <v>1</v>
      </c>
      <c r="CV117" s="460">
        <f t="shared" si="680"/>
        <v>0</v>
      </c>
      <c r="CW117" s="460">
        <f t="shared" si="681"/>
        <v>0</v>
      </c>
      <c r="CX117" s="460">
        <f t="shared" si="682"/>
        <v>0</v>
      </c>
      <c r="CY117" s="460">
        <f t="shared" si="683"/>
        <v>0</v>
      </c>
      <c r="CZ117" s="460">
        <f t="shared" si="684"/>
        <v>1</v>
      </c>
      <c r="DA117" s="461">
        <f t="shared" si="685"/>
        <v>0.32699999999999996</v>
      </c>
      <c r="DB117" s="118">
        <v>1.3</v>
      </c>
      <c r="DC117" s="118">
        <v>1.4</v>
      </c>
      <c r="DD117" s="118">
        <v>2</v>
      </c>
      <c r="DE117" s="118">
        <v>2</v>
      </c>
      <c r="DF117" s="462">
        <v>2</v>
      </c>
      <c r="DG117" s="455">
        <f t="shared" si="686"/>
        <v>0</v>
      </c>
      <c r="DH117" s="463">
        <f t="shared" si="687"/>
        <v>0</v>
      </c>
      <c r="DI117" s="463">
        <f t="shared" si="688"/>
        <v>0</v>
      </c>
      <c r="DJ117" s="463">
        <f t="shared" si="689"/>
        <v>0</v>
      </c>
      <c r="DK117" s="463">
        <f t="shared" si="690"/>
        <v>0</v>
      </c>
      <c r="DL117" s="463">
        <f t="shared" si="691"/>
        <v>0</v>
      </c>
      <c r="DM117" s="463">
        <f t="shared" si="692"/>
        <v>137.37528554585671</v>
      </c>
      <c r="DN117" s="463">
        <f t="shared" si="693"/>
        <v>137.37528554585671</v>
      </c>
      <c r="DO117" s="463">
        <f t="shared" si="694"/>
        <v>9.0209770841779271</v>
      </c>
      <c r="DP117" s="463">
        <f t="shared" si="695"/>
        <v>0</v>
      </c>
      <c r="DQ117" s="464"/>
    </row>
    <row r="118" spans="1:121" s="86" customFormat="1" ht="13" x14ac:dyDescent="0.25">
      <c r="A118" s="101"/>
      <c r="B118" s="101"/>
      <c r="C118" s="87" t="str">
        <f>'Planilha Hidráulica'!B128</f>
        <v>RD-7</v>
      </c>
      <c r="D118" s="258"/>
      <c r="E118" s="258"/>
      <c r="F118" s="258"/>
      <c r="G118" s="101"/>
      <c r="H118" s="449"/>
      <c r="I118" s="449"/>
      <c r="J118" s="467"/>
      <c r="K118" s="449"/>
      <c r="L118" s="449"/>
      <c r="M118" s="470"/>
      <c r="N118" s="449"/>
      <c r="O118" s="468"/>
      <c r="P118" s="468"/>
      <c r="Q118" s="468"/>
      <c r="R118" s="468"/>
      <c r="S118" s="468"/>
      <c r="T118" s="449"/>
      <c r="U118" s="453"/>
      <c r="V118" s="453"/>
      <c r="W118" s="453"/>
      <c r="X118" s="453"/>
      <c r="Y118" s="453"/>
      <c r="Z118" s="453"/>
      <c r="AA118" s="456"/>
      <c r="AB118" s="469"/>
      <c r="AC118" s="469"/>
      <c r="AD118" s="469"/>
      <c r="AE118" s="469"/>
      <c r="AF118" s="469"/>
      <c r="AG118" s="469"/>
      <c r="AH118" s="469"/>
      <c r="AI118" s="469"/>
      <c r="AJ118" s="456"/>
      <c r="AK118" s="456"/>
      <c r="AL118" s="456"/>
      <c r="AM118" s="456"/>
      <c r="AN118" s="456"/>
      <c r="AO118" s="456"/>
      <c r="AP118" s="456"/>
      <c r="AQ118" s="456"/>
      <c r="AR118" s="449"/>
      <c r="AS118" s="449"/>
      <c r="AT118" s="465"/>
      <c r="AU118" s="465"/>
      <c r="AV118" s="466"/>
      <c r="AW118" s="465"/>
      <c r="AX118" s="465"/>
      <c r="AY118" s="465"/>
      <c r="AZ118" s="465"/>
      <c r="BA118" s="465"/>
      <c r="BB118" s="465"/>
      <c r="BC118" s="465"/>
      <c r="BD118" s="465"/>
      <c r="BE118" s="449"/>
      <c r="BF118" s="449"/>
      <c r="BG118" s="449"/>
      <c r="BH118" s="449"/>
      <c r="BI118" s="449"/>
      <c r="BJ118" s="449"/>
      <c r="BK118" s="449"/>
      <c r="BL118" s="465"/>
      <c r="BM118" s="465"/>
      <c r="BN118" s="456"/>
      <c r="BO118" s="471"/>
      <c r="BP118" s="471"/>
      <c r="BQ118" s="471"/>
      <c r="BR118" s="449"/>
      <c r="BS118" s="449"/>
      <c r="BT118" s="449"/>
      <c r="BU118" s="449"/>
      <c r="BV118" s="449"/>
      <c r="BW118" s="449"/>
      <c r="BX118" s="449"/>
      <c r="BY118" s="449"/>
      <c r="BZ118" s="449"/>
      <c r="CA118" s="449"/>
      <c r="CB118" s="449"/>
      <c r="CC118" s="449"/>
      <c r="CD118" s="449"/>
      <c r="CE118" s="449"/>
      <c r="CF118" s="449"/>
      <c r="CG118" s="449"/>
      <c r="CH118" s="449"/>
      <c r="CI118" s="449"/>
      <c r="CJ118" s="472"/>
      <c r="CK118" s="449"/>
      <c r="CL118" s="449"/>
      <c r="CM118" s="449"/>
      <c r="CN118" s="453"/>
      <c r="CO118" s="453"/>
      <c r="CP118" s="453"/>
      <c r="CQ118" s="453"/>
      <c r="CR118" s="453"/>
      <c r="CS118" s="453"/>
      <c r="CT118" s="473"/>
      <c r="CU118" s="470"/>
      <c r="CV118" s="470"/>
      <c r="CW118" s="470"/>
      <c r="CX118" s="470"/>
      <c r="CY118" s="470"/>
      <c r="CZ118" s="470"/>
      <c r="DA118" s="474"/>
      <c r="DB118" s="77"/>
      <c r="DC118" s="77"/>
      <c r="DD118" s="77"/>
      <c r="DE118" s="77"/>
      <c r="DF118" s="475"/>
      <c r="DG118" s="456"/>
      <c r="DH118" s="476"/>
      <c r="DI118" s="476"/>
      <c r="DJ118" s="476"/>
      <c r="DK118" s="476"/>
      <c r="DL118" s="476"/>
      <c r="DM118" s="476"/>
      <c r="DN118" s="476"/>
      <c r="DO118" s="476"/>
      <c r="DP118" s="476"/>
      <c r="DQ118" s="445"/>
    </row>
    <row r="119" spans="1:121" s="86" customFormat="1" ht="25" x14ac:dyDescent="0.25">
      <c r="A119" s="259" t="s">
        <v>2079</v>
      </c>
      <c r="B119" s="101"/>
      <c r="C119" s="101" t="str">
        <f>'Planilha Hidráulica'!B129</f>
        <v>PV1.1-&gt;PV1-57</v>
      </c>
      <c r="D119" s="258">
        <f>'Planilha Hidráulica'!R129</f>
        <v>1.6</v>
      </c>
      <c r="E119" s="258">
        <f>'Planilha Hidráulica'!S129</f>
        <v>2.25</v>
      </c>
      <c r="F119" s="258">
        <f>'Planilha Hidráulica'!K129</f>
        <v>60</v>
      </c>
      <c r="G119" s="101">
        <f>'Planilha Hidráulica'!M129</f>
        <v>600</v>
      </c>
      <c r="H119" s="449">
        <f>IF(G119=400,((D119+E119)/2)+0.08+T119,IF(G119=500,((D119+E119)/2)+0.1+T119,IF(G119=600,((D119+E119)/2)+0.12+T119,IF(G119=800,((D119+E119)/2)+0.16+T119,IF(G119=1000,((D119+E119)/2)+0.2+T119,IF(G119=1200,((D119+E119)/2)+0.24+T119,IF(G119=1500,((D119+E119)/2)+0.3+T119,IF(G119&gt;1500,((D119+E119)/2)+0.4+T119))))))))</f>
        <v>2.145</v>
      </c>
      <c r="I119" s="102">
        <f>IF(K119=0,0,IF(H119&gt;=1.25,F119*H119/20,0))</f>
        <v>6.4349999999999996</v>
      </c>
      <c r="J119" s="467">
        <v>0</v>
      </c>
      <c r="K119" s="449">
        <f>IF(G119=400,1,0)+IF(G119=500,1.2,0)+IF(G119=600,1.4,0)+IF(G119=800,1.7,0)+IF(G119=1000,2,0)+IF(G119=1200,2.2,0)+IF(G119=1500,2.6,0)+IF(G119=1650,3,0)+IF(G119=1800,3.2,0)+IF(G119=2000,3.4,0)+IF(G119=2200,3.6,0)+IF(G119=2400,3.8,0)+IF(G119=2600,4,0)+IF(G119=3000,4.4,0)</f>
        <v>1.4</v>
      </c>
      <c r="L119" s="449">
        <f>2*J119*H119+K119</f>
        <v>1.4</v>
      </c>
      <c r="M119" s="449" t="str">
        <f>'Planilha Hidráulica'!X129</f>
        <v>-</v>
      </c>
      <c r="N119" s="449">
        <f>L119*F119</f>
        <v>84</v>
      </c>
      <c r="O119" s="468" t="str">
        <f>'Planilha Hidráulica'!W129</f>
        <v>ASFALTO</v>
      </c>
      <c r="P119" s="468" t="s">
        <v>2067</v>
      </c>
      <c r="Q119" s="468"/>
      <c r="R119" s="468">
        <v>3.7</v>
      </c>
      <c r="S119" s="468">
        <v>1</v>
      </c>
      <c r="T119" s="449">
        <f>IF(G119=400,0.05,0)+IF(G119=500,0.05,0)+IF(G119=600,0.1,0)+IF(G119=800,0.1,0)+IF(G119=1000,0.15,0)+IF(G119=1200,0.15,0)+IF(G119=1500,0.2,0)+IF(G119=1650,0.2,0)+IF(G119=1800,0.2,0)+IF(G119=2000,0.25,0)+IF(G119=2200,0.25,0)+IF(G119=2400,0.25,0)+IF(G119=2600,0.25,0)+IF(G119=3000,0.25,0)</f>
        <v>0.1</v>
      </c>
      <c r="U119" s="453">
        <f>IFERROR((PI()*(M119/1000)*(M119/1000)/4)*F119,0)</f>
        <v>0</v>
      </c>
      <c r="V119" s="106">
        <f>((((J119*H119)*H119)/2)*2+K119*H119)*F119-U119+AW119</f>
        <v>180.17999999999998</v>
      </c>
      <c r="W119" s="106">
        <f>V119-SUM(AC119:AR119)</f>
        <v>0</v>
      </c>
      <c r="X119" s="107">
        <f>IF(Q119=1,IF(M119=0,H119+0.4,0.4),0)</f>
        <v>0</v>
      </c>
      <c r="Y119" s="453">
        <f>IF(R119&lt;H119,R119,H119)</f>
        <v>2.145</v>
      </c>
      <c r="Z119" s="453">
        <f>H119-Y119</f>
        <v>0</v>
      </c>
      <c r="AA119" s="456">
        <f>IF(O119="ASFALTO",L119*F119,0)</f>
        <v>84</v>
      </c>
      <c r="AB119" s="469">
        <f>IF(O119="CONCRETO",L119*F119,0)</f>
        <v>0</v>
      </c>
      <c r="AC119" s="109">
        <f>IF(X119=0,0,IF(X119=0.4,IF(K119&lt;=1.5,IF(Y119+0.4&gt;=1.5,0,K119*F119*0.4),0),IF(K119&lt;=1.5,IF(X119&gt;=1.5,L119*F119*1.5,K119*F119*(X119)),0)+IF(R119&lt;H119+0.4,0,IF(AND(X119&lt;=1.5,K119&lt;=1.5),-U119,0))))</f>
        <v>0</v>
      </c>
      <c r="AD119" s="109">
        <f>IF(X119=0,0,IF(X119=0.4,IF(K119&lt;=1.5,IF(OR(Y119+0.4&gt;=3,Y119+0.4&lt;1.5),0,K119*F119*0.4),0),IF(IF(K119&lt;=1.5,IF(X119&gt;=3,L119*F119*1.5,K119*F119*(X119-1.5)),0)&lt;0,0,IF(K119&lt;=1.5,IF(X119&gt;=3,L119*F119*1.5,K119*F119*(X119-1.5)),0))+IF(R119&lt;H119+0.4,0,IF(AND(X119&lt;=3,K119&lt;=1.5),-U119,0))))</f>
        <v>0</v>
      </c>
      <c r="AE119" s="109">
        <f>IF(X119=0,0,IF(X119=0.4,IF(K119&lt;=1.5,IF(OR(Y119+0.4&gt;=4.5,Y119+0.4&lt;3),0,K119*F119*0.4),0),IF(IF(K119&lt;=1.5,IF(X119&gt;=4.5,L119*F119*1.5,K119*F119*(X119-3)),0)&lt;0,0,IF(K119&lt;=1.5,IF(X119&gt;=3,L119*F119*1.5,K119*F119*(X119-3)),0))+IF(R119&lt;H119+0.4,0,IF(AND(X119&lt;=4.5,K119&lt;=1.5),-U119,0))))</f>
        <v>0</v>
      </c>
      <c r="AF119" s="109">
        <f>IF(X119=0,0,IF(X119=0.4,IF(AND(K119&gt;1.5,K119&lt;=2.6),IF(Y119+0.4&gt;=1.5,0,K119*F119*0.4),0),IF(AND(K119&gt;1.5,K119&lt;=2.6),IF(X119&gt;=1.5,L119*F119*1.5,K119*F119*(X119)),0)+IF(R119&lt;H119+0.4,0,IF(AND(X119&lt;=1.5,K119&lt;=1.5),-U119,0))))</f>
        <v>0</v>
      </c>
      <c r="AG119" s="109">
        <f>IF(X119=0,0,IF(X119=0.4,IF(AND(K119&gt;1.5,K119&lt;=2.6),IF(OR(Y119+0.4&gt;=3,Y119+0.4&lt;1.5),0,K119*F119*0.4),0),IF(IF(AND(K119&gt;1.5,K119&lt;=2.6),IF(X119&gt;=3,L119*F119*1.5,K119*F119*(X119-1.5)),0)&lt;0,0,IF(AND(K119&gt;1.5,K119&lt;=2.6),IF(X119&gt;=3,L119*F119*1.5,K119*F119*(X119-1.5)),0))+IF(R119&lt;H119+0.4,0,IF(AND(X119&lt;=3,K119&lt;=1.5),-U119,0))))</f>
        <v>0</v>
      </c>
      <c r="AH119" s="109">
        <f>IF(X119=0,0,IF(X119=0.4,IF(AND(K119&gt;1.5,K119&lt;=2.6),IF(OR(Y119+0.4&gt;=4.5,Y119+0.4&lt;3),0,K119*F119*0.4),0),IF(IF(AND(K119&gt;1.5,K119&lt;=2.6),IF(X119&gt;=4.5,L119*F119*1.5,K119*F119*(X119-3)),0)&lt;0,0,IF(AND(K119&gt;1.5,K119&lt;=2.6),IF(X119&gt;=4.5,L119*F119*1.5,K119*F119*(X119-3)),0))+IF(R119&lt;H119+0.4,0,IF(AND(X119&lt;=3,K119&lt;=1.5),-U119,0))))</f>
        <v>0</v>
      </c>
      <c r="AI119" s="109">
        <f>IF(X119=0,0,IF(X119=0.4,IF(AND(K119&gt;1.5,K119&lt;=2.6),IF(OR(Y119+0.4&gt;=6,Y119+0.4&lt;4.5),0,K119*F119*0.4),0),IF(IF(AND(K119&gt;1.5,K119&lt;=2.6),IF(X119&gt;=6,L119*F119*1.5,K119*F119*(X119-4.5)),0)&lt;0,0,IF(AND(K119&gt;1.5,K119&lt;=2.6),IF(X119&gt;=6,L119*F119*1.5,K119*F119*(X119-4.5)),0))+IF(R119&lt;H119+0.4,0,IF(AND(X119&lt;=3,K119&lt;=1.5),-U119,0))))</f>
        <v>0</v>
      </c>
      <c r="AJ119" s="456">
        <f>IF(K119&lt;=1.5,IF(Y119&gt;=1.5,L119*F119*1.5,K119*F119*Y119),0)+IF(R119&lt;H119,0,IF(AND(Y119&lt;=1.5,K119&lt;=1.5),-U119,0))</f>
        <v>126</v>
      </c>
      <c r="AK119" s="456">
        <f>IF(IF(K119&lt;=1.5,IF(Y119&gt;=3,L119*F119*1.5,K119*F119*(Y119-1.5)),0)&lt;0,0,IF(K119&lt;=1.5,IF(Y119&gt;=3,L119*F119*1.5,K119*F119*(Y119-1.5)),0))+IF(R119&lt;H119,0,IF(AND(Y119&lt;=3,K119&lt;=1.5),-U119,0))</f>
        <v>54.18</v>
      </c>
      <c r="AL119" s="456">
        <f>IF(AND(K119&lt;=2.5,K119&gt;1.5),IF(Y119&gt;=1.5,L119*F119*1.5,K119*F119*Y119),0)+IF(R119&lt;H119,0,IF(AND(Y119&lt;=1.5,K119&gt;1.5,K119&lt;=2.5),-U119,0))</f>
        <v>0</v>
      </c>
      <c r="AM119" s="456">
        <f>IF(IF(AND(K119&lt;=2.5,K119&gt;1.5),IF(Y119&gt;=3,L119*F119*1.5,K119*F119*(Y119-1.5)),0)&lt;0,0,IF(AND(K119&lt;=2.5,K119&gt;1.5),IF(Y119&gt;=3,L119*F119*1.5,K119*F119*(Y119-1.5)),0))+IF(R119&lt;H119,0,IF(AND(Y119&lt;=3,Y119&gt;1.5,K119&gt;1.5,K119&lt;=2.5),-U119,0))</f>
        <v>0</v>
      </c>
      <c r="AN119" s="456">
        <f>IF(IF(K119&lt;=2.5,IF(Y119&gt;=4.5,L119*F119*1.5,K119*F119*(Y119-3)),0)&lt;0,0,IF(K119&lt;=2.5,IF(Y119&gt;=4.5,L119*F119*1.5,K119*F119*(Y119-3)),0))+IF(R119&lt;H119,0,IF(AND(Y119&lt;=4.5,Y119&gt;3,K119&gt;1.5,K119&lt;=2.5),-U119,0))</f>
        <v>0</v>
      </c>
      <c r="AO119" s="456">
        <f>IF(K119&gt;2.5,IF(Y119&gt;=2,L119*F119*2,K119*F119*Y119),0)+IF(R119&lt;H119,0,IF(AND(Y119&lt;=2,K119&gt;=2.5),-U119,0))</f>
        <v>0</v>
      </c>
      <c r="AP119" s="456">
        <f>IF(IF(K119&gt;2.5,IF(Y119&gt;=4,L119*F119*2,K119*F119*(Y119-2)),0)&lt;0,0,IF(K119&gt;2.5,IF(Y119&gt;=4,L119*F119*2,K119*F119*(Y119-2)),0))+IF(R119&lt;H119,0,IF(AND(Y119&lt;=4,Y119&gt;2,K119&gt;2.5),-U119,0))</f>
        <v>0</v>
      </c>
      <c r="AQ119" s="456">
        <f>IF(IF(K119&gt;2.5,IF(Y119&gt;=6,L119*F119*2,K119*F119*(Y119-4)),0)&lt;0,0,IF(K119&gt;2.5,IF(Y119&gt;=6,L119*F119*2,K119*F119*(Y119-4)),0))+IF(R119&lt;H119,0,IF(AND(Y119&lt;=6,Y119&gt;4,K119&gt;2.5),-U119,0))</f>
        <v>0</v>
      </c>
      <c r="AR119" s="102">
        <f>ROUND(V119-SUM(AC119:AQ119),2)</f>
        <v>0</v>
      </c>
      <c r="AS119" s="449">
        <f>IF(H119-S119&lt;0,0,(H119-S119)*F119)/75</f>
        <v>0.91600000000000004</v>
      </c>
      <c r="AT119" s="104">
        <f>F119*K119*H119-PI()*(G119/1000)*(G119/1000)/4*F119+AW119</f>
        <v>163.21539967061511</v>
      </c>
      <c r="AU119" s="102">
        <f>IF(K119&lt;1.5,K119*F119*IF(G119&lt;=500,0.05,IF(G119&lt;=800,0.1,IF(G119&lt;=1200,0.15,IF(G119&gt;=1500,0.2)))),0)</f>
        <v>8.4</v>
      </c>
      <c r="AV119" s="106">
        <f>IF(K119&gt;=1.5,K119*F119*IF(G119&lt;=500,0.05,IF(G119&lt;=800,0.1,IF(G119&lt;=1200,0.15,IF(G119&gt;=1500,0.2)))),0)</f>
        <v>0</v>
      </c>
      <c r="AW119" s="104">
        <f>IF(Q119=1,0.4*F119*K119,0)</f>
        <v>0</v>
      </c>
      <c r="AX119" s="104">
        <f>IF(AW119&lt;SUM(AJ119:AQ119),0,AW119)</f>
        <v>0</v>
      </c>
      <c r="AY119" s="104">
        <f>G119/1000+0.3</f>
        <v>0.89999999999999991</v>
      </c>
      <c r="AZ119" s="104">
        <f>AY119*K119*F119-PI()*(G119/1000*G119/1000)/4*F119</f>
        <v>58.635399670615115</v>
      </c>
      <c r="BA119" s="104">
        <f>IF(AZ119&lt;SUM(AJ119:AQ119),0,AZ119)</f>
        <v>0</v>
      </c>
      <c r="BB119" s="104">
        <f>IF(O119="ASFALTO",0.15*F119*K119,0)</f>
        <v>12.6</v>
      </c>
      <c r="BC119" s="104">
        <f>BB119</f>
        <v>12.6</v>
      </c>
      <c r="BD119" s="104">
        <f>IF(O119="ASFALTO",0.03*F119*K119,0)</f>
        <v>2.5199999999999996</v>
      </c>
      <c r="BE119" s="104">
        <f>AT119-AW119-SUM(AU119:AV119)-BB119-BC119-AZ119</f>
        <v>70.98</v>
      </c>
      <c r="BF119" s="104">
        <f>SUM(AJ119:AQ119)-AW119-BB119-AZ119</f>
        <v>108.9446003293849</v>
      </c>
      <c r="BG119" s="104">
        <f>IF(SMALL(BE119:BF119,1)&lt;0,0,SMALL(BE119:BF119,1))</f>
        <v>70.98</v>
      </c>
      <c r="BH119" s="104">
        <f>BF119-BG119</f>
        <v>37.964600329384893</v>
      </c>
      <c r="BI119" s="104">
        <f>BE119-BG119</f>
        <v>0</v>
      </c>
      <c r="BJ119" s="104">
        <f>IF($BI$120&gt;$BJ$122,($BJ$122/$BI$120)*BI119,BI119)</f>
        <v>0</v>
      </c>
      <c r="BK119" s="104">
        <f t="shared" ref="BK119" si="696">BI119-BJ119</f>
        <v>0</v>
      </c>
      <c r="BL119" s="125"/>
      <c r="BM119" s="104">
        <f t="shared" ref="BM119" si="697">IF(AW119+BB119&gt;0,4%*(AW119+BB119),0)</f>
        <v>0.504</v>
      </c>
      <c r="BN119" s="455">
        <f t="shared" ref="BN119" si="698">IF(G119=400,H119,0)</f>
        <v>0</v>
      </c>
      <c r="BO119" s="457">
        <f t="shared" ref="BO119" si="699">IF(BN119&lt;=1.75,AND(BN119&gt;0)*F119,0)</f>
        <v>0</v>
      </c>
      <c r="BP119" s="457">
        <f t="shared" ref="BP119" si="700">IF(BN119&lt;=3,AND(BN119&gt;1.75)*F119,0)</f>
        <v>0</v>
      </c>
      <c r="BQ119" s="457">
        <f t="shared" ref="BQ119" si="701">IF(G119=500,H119,0)</f>
        <v>0</v>
      </c>
      <c r="BR119" s="451">
        <f t="shared" ref="BR119" si="702">IF(BQ119&lt;=1.75,AND(BQ119&gt;0)*F119,0)</f>
        <v>0</v>
      </c>
      <c r="BS119" s="451">
        <f t="shared" ref="BS119" si="703">IF(BQ119&lt;=3,AND(BQ119&gt;1.75)*F119,0)</f>
        <v>0</v>
      </c>
      <c r="BT119" s="451">
        <f t="shared" ref="BT119" si="704">IF(G119=600,H119,0)</f>
        <v>2.145</v>
      </c>
      <c r="BU119" s="451">
        <f t="shared" ref="BU119" si="705">IF(BT119&lt;=3,AND(BT119&gt;0)*F119,0)</f>
        <v>60</v>
      </c>
      <c r="BV119" s="451">
        <f t="shared" ref="BV119" si="706">IF(BT119&lt;=6,AND(BT119&gt;3)*F119,0)</f>
        <v>0</v>
      </c>
      <c r="BW119" s="451">
        <f t="shared" ref="BW119" si="707">IF(BT119&lt;=9,AND(BT119&gt;6)*F119,0)</f>
        <v>0</v>
      </c>
      <c r="BX119" s="451">
        <f t="shared" ref="BX119" si="708">IF(G119=800,H119,0)</f>
        <v>0</v>
      </c>
      <c r="BY119" s="451">
        <f t="shared" ref="BY119" si="709">IF(BX119&lt;=3,AND(BX119&gt;0)*F119,0)</f>
        <v>0</v>
      </c>
      <c r="BZ119" s="451">
        <f t="shared" ref="BZ119" si="710">IF(BX119&lt;=6,AND(BX119&gt;3)*F119,0)</f>
        <v>0</v>
      </c>
      <c r="CA119" s="451">
        <f t="shared" ref="CA119" si="711">IF(BX119&lt;=9,AND(BX119&gt;6)*F119,0)</f>
        <v>0</v>
      </c>
      <c r="CB119" s="451">
        <f t="shared" ref="CB119" si="712">IF(G119=1000,H119,0)</f>
        <v>0</v>
      </c>
      <c r="CC119" s="451">
        <f t="shared" ref="CC119" si="713">IF(CB119&lt;=3,AND(CB119&gt;0)*F119,0)</f>
        <v>0</v>
      </c>
      <c r="CD119" s="451">
        <f t="shared" ref="CD119" si="714">IF(CB119&lt;=6,AND(CB119&gt;3)*F119,0)</f>
        <v>0</v>
      </c>
      <c r="CE119" s="451">
        <f t="shared" ref="CE119" si="715">IF(CB119&lt;=9,AND(CB119&gt;6)*F119,0)</f>
        <v>0</v>
      </c>
      <c r="CF119" s="451">
        <f t="shared" ref="CF119" si="716">IF(G119=1200,H119,0)</f>
        <v>0</v>
      </c>
      <c r="CG119" s="451">
        <f t="shared" ref="CG119" si="717">IF(CF119&lt;=3,AND(CF119&gt;0)*F119,0)</f>
        <v>0</v>
      </c>
      <c r="CH119" s="451">
        <f t="shared" ref="CH119" si="718">IF(CF119&lt;=6,AND(CF119&gt;3)*F119,0)</f>
        <v>0</v>
      </c>
      <c r="CI119" s="451">
        <f t="shared" ref="CI119" si="719">IF(CF119&lt;=9,AND(CF119&gt;6)*F119,0)</f>
        <v>0</v>
      </c>
      <c r="CJ119" s="458">
        <f t="shared" ref="CJ119" si="720">IF(G119=1500,H119,0)</f>
        <v>0</v>
      </c>
      <c r="CK119" s="451">
        <f t="shared" ref="CK119" si="721">IF(CJ119&lt;=3,AND(CJ119&gt;0)*F119,0)</f>
        <v>0</v>
      </c>
      <c r="CL119" s="451">
        <f t="shared" ref="CL119" si="722">IF(CJ119&lt;=6,AND(CJ119&gt;3)*F119,0)</f>
        <v>0</v>
      </c>
      <c r="CM119" s="451">
        <f t="shared" ref="CM119" si="723">IF(CJ119&lt;=9,AND(CJ119&gt;6)*F119,0)</f>
        <v>0</v>
      </c>
      <c r="CN119" s="454">
        <f t="shared" ref="CN119" si="724">IF(G119=1650,F119,0)</f>
        <v>0</v>
      </c>
      <c r="CO119" s="454">
        <f t="shared" ref="CO119" si="725">IF(G119=1800,F119,0)</f>
        <v>0</v>
      </c>
      <c r="CP119" s="454">
        <f t="shared" ref="CP119" si="726">IF(G119=2000,F119,0)</f>
        <v>0</v>
      </c>
      <c r="CQ119" s="454">
        <f t="shared" ref="CQ119" si="727">IF(G119=2200,F119,0)</f>
        <v>0</v>
      </c>
      <c r="CR119" s="454">
        <f t="shared" ref="CR119" si="728">IF(G119=2400,F119,0)</f>
        <v>0</v>
      </c>
      <c r="CS119" s="454">
        <f t="shared" ref="CS119" si="729">IF(G119=2600,F119,0)</f>
        <v>0</v>
      </c>
      <c r="CT119" s="459">
        <f t="shared" ref="CT119" si="730">IF(G119=3000,F119,0)</f>
        <v>0</v>
      </c>
      <c r="CU119" s="460">
        <f t="shared" ref="CU119" si="731">IF(G119&gt;=100,1,0)</f>
        <v>1</v>
      </c>
      <c r="CV119" s="460">
        <f t="shared" ref="CV119" si="732">IF(CU119=1,IF(G119&lt;=600,1,0))</f>
        <v>1</v>
      </c>
      <c r="CW119" s="460">
        <f t="shared" ref="CW119" si="733">IF(CU119=1,IF($G119=800,1,0))</f>
        <v>0</v>
      </c>
      <c r="CX119" s="460">
        <f t="shared" ref="CX119" si="734">IF(CU119=1,IF($G119=1000,1,0))</f>
        <v>0</v>
      </c>
      <c r="CY119" s="460">
        <f t="shared" ref="CY119" si="735">IF(CU119=1,IF($G119=1200,1,0))</f>
        <v>0</v>
      </c>
      <c r="CZ119" s="460">
        <f t="shared" ref="CZ119" si="736">IF(CU119=1,IF($G119=1500,1,0))</f>
        <v>0</v>
      </c>
      <c r="DA119" s="461">
        <f t="shared" ref="DA119" si="737">IF(IF(G119&lt;=600,(D119-DB119),0)+IF(G119=800,(D119-DC119),0)+IF(G119&gt;=1000,D119-DD119,0)&lt;0,0,IF(G119&lt;=600,(D119-DB119),0)+IF(G119=800,(D119-DC119),0)+IF(G119&gt;=1000,D119-DD119,0))</f>
        <v>0.30000000000000004</v>
      </c>
      <c r="DB119" s="118">
        <v>1.3</v>
      </c>
      <c r="DC119" s="118">
        <v>1.4</v>
      </c>
      <c r="DD119" s="118">
        <v>2</v>
      </c>
      <c r="DE119" s="118">
        <v>2</v>
      </c>
      <c r="DF119" s="462">
        <v>2</v>
      </c>
      <c r="DG119" s="455">
        <f t="shared" ref="DG119" si="738">IF(K119&lt;=1.5,IF(H119&lt;1.5,H119*F119*2,F119*2*1.5),0)</f>
        <v>180</v>
      </c>
      <c r="DH119" s="463">
        <f t="shared" ref="DH119" si="739">IF(K119&lt;=1.5,IF(AND(H119&lt;3,H119&gt;1.5),(H119-1.5)*F119*2,IF(H119&gt;=3,(F119*2*1.5),0)),0)</f>
        <v>77.400000000000006</v>
      </c>
      <c r="DI119" s="463">
        <f t="shared" ref="DI119" si="740">IF(K119&lt;=1.5,IF(AND(H119&lt;4.5,H119&gt;3),(H119-3)*F119*2,IF(H119&gt;=4.5,(F119*2*1.5),0)),0)</f>
        <v>0</v>
      </c>
      <c r="DJ119" s="463">
        <f t="shared" ref="DJ119" si="741">IF(AND(K119&lt;=2.5,K119&gt;1.5),IF(H119&lt;1.5,H119*F119*2,F119*2*1.5),0)</f>
        <v>0</v>
      </c>
      <c r="DK119" s="463">
        <f t="shared" ref="DK119" si="742">IF(AND(K119&gt;1.5,K119&lt;=2.5),IF(AND(H119&lt;3,H119&gt;1.5),(H119-1.5)*F119*2,IF(H119&gt;=3,(F119*2*1.5),0)),0)</f>
        <v>0</v>
      </c>
      <c r="DL119" s="463">
        <f t="shared" ref="DL119" si="743">IF(AND(K119&gt;1.5,K119&lt;=2.5),IF(AND(H119&lt;4.5,H119&gt;3),(H119-3)*F119*2,IF(H119&gt;=4.5,(F119*2*1.5),0)),0)</f>
        <v>0</v>
      </c>
      <c r="DM119" s="463">
        <f t="shared" ref="DM119" si="744">IF(AND(K119&lt;=3.5,K119&gt;2.5),IF(H119&lt;1.5,H119*F119*2,F119*2*1.5),0)</f>
        <v>0</v>
      </c>
      <c r="DN119" s="463">
        <f t="shared" ref="DN119" si="745">IF(AND(K119&gt;2.5,K119&lt;=3.5),IF(AND(H119&lt;3,H119&gt;1.5),(H119-1.5)*F119*2,IF(H119&gt;=3,(F119*2*1.5),0)),0)</f>
        <v>0</v>
      </c>
      <c r="DO119" s="463">
        <f t="shared" ref="DO119" si="746">IF(AND(K119&gt;2.5,K119&lt;=3.5),IF(AND(H119&lt;4.5,H119&gt;3),(H119-3)*F119*2,IF(H119&gt;=4.5,(F119*2*1.5),0)),0)</f>
        <v>0</v>
      </c>
      <c r="DP119" s="463">
        <f t="shared" ref="DP119" si="747">IF(AND(K119&gt;2.5,K119&lt;=3.5),IF(AND(H119&lt;6,H119&gt;4.5),(H119-4.5)*F119*2,IF(H119&gt;=6,(F119*2*1.5),0)),0)</f>
        <v>0</v>
      </c>
      <c r="DQ119" s="464"/>
    </row>
    <row r="120" spans="1:121" s="115" customFormat="1" ht="13" x14ac:dyDescent="0.3">
      <c r="F120" s="116">
        <f>SUM(F100:F119)</f>
        <v>638.88023103113801</v>
      </c>
      <c r="I120" s="116">
        <f>SUM(I100:I119)</f>
        <v>70.780111055555849</v>
      </c>
      <c r="P120" s="416"/>
      <c r="Q120" s="416"/>
      <c r="R120" s="416"/>
      <c r="S120" s="416"/>
      <c r="V120" s="260">
        <f>SUM(V100:V119)</f>
        <v>2262.8477996593274</v>
      </c>
      <c r="W120" s="98" t="s">
        <v>2033</v>
      </c>
      <c r="X120" s="98"/>
      <c r="AA120" s="116">
        <f t="shared" ref="AA120:AX120" si="748">SUM(AA100:AA119)</f>
        <v>1042.2457945402286</v>
      </c>
      <c r="AB120" s="116">
        <f t="shared" si="748"/>
        <v>0</v>
      </c>
      <c r="AC120" s="116">
        <f t="shared" si="748"/>
        <v>0</v>
      </c>
      <c r="AD120" s="116">
        <f t="shared" si="748"/>
        <v>38.091200000000001</v>
      </c>
      <c r="AE120" s="116">
        <f t="shared" si="748"/>
        <v>0</v>
      </c>
      <c r="AF120" s="116">
        <f t="shared" si="748"/>
        <v>0</v>
      </c>
      <c r="AG120" s="116">
        <f t="shared" si="748"/>
        <v>0</v>
      </c>
      <c r="AH120" s="116">
        <f t="shared" si="748"/>
        <v>0</v>
      </c>
      <c r="AI120" s="116">
        <f t="shared" si="748"/>
        <v>0</v>
      </c>
      <c r="AJ120" s="330">
        <f t="shared" si="748"/>
        <v>1058.3999999985729</v>
      </c>
      <c r="AK120" s="330">
        <f t="shared" si="748"/>
        <v>308.1919693233811</v>
      </c>
      <c r="AL120" s="330">
        <f t="shared" si="748"/>
        <v>115.8531506677528</v>
      </c>
      <c r="AM120" s="330">
        <f t="shared" si="748"/>
        <v>88.280165286461624</v>
      </c>
      <c r="AN120" s="330">
        <f t="shared" si="748"/>
        <v>0</v>
      </c>
      <c r="AO120" s="330">
        <f t="shared" si="748"/>
        <v>518.82072152535636</v>
      </c>
      <c r="AP120" s="330">
        <f t="shared" si="748"/>
        <v>112.65387743670635</v>
      </c>
      <c r="AQ120" s="330">
        <f t="shared" si="748"/>
        <v>0</v>
      </c>
      <c r="AR120" s="330">
        <f t="shared" si="748"/>
        <v>22.56</v>
      </c>
      <c r="AS120" s="330">
        <f t="shared" si="748"/>
        <v>4.1826852966510426</v>
      </c>
      <c r="AT120" s="330">
        <f t="shared" si="748"/>
        <v>2099.3081167177197</v>
      </c>
      <c r="AU120" s="330">
        <f t="shared" si="748"/>
        <v>70.559999999904861</v>
      </c>
      <c r="AV120" s="330">
        <f t="shared" si="748"/>
        <v>63.467387219310922</v>
      </c>
      <c r="AW120" s="330">
        <f t="shared" si="748"/>
        <v>38.091199999999994</v>
      </c>
      <c r="AX120" s="330">
        <f t="shared" si="748"/>
        <v>0</v>
      </c>
      <c r="AY120" s="330"/>
      <c r="AZ120" s="330">
        <f t="shared" ref="AZ120:BK120" si="749">SUM(AZ100:AZ119)</f>
        <v>859.31023253714272</v>
      </c>
      <c r="BA120" s="330">
        <f t="shared" si="749"/>
        <v>0</v>
      </c>
      <c r="BB120" s="330">
        <f t="shared" si="749"/>
        <v>156.33686918103427</v>
      </c>
      <c r="BC120" s="330">
        <f t="shared" si="749"/>
        <v>156.33686918103427</v>
      </c>
      <c r="BD120" s="330">
        <f t="shared" si="749"/>
        <v>31.267373836206858</v>
      </c>
      <c r="BE120" s="330">
        <f t="shared" si="749"/>
        <v>755.20555859929254</v>
      </c>
      <c r="BF120" s="330">
        <f t="shared" si="749"/>
        <v>1148.461582520054</v>
      </c>
      <c r="BG120" s="330">
        <f t="shared" si="749"/>
        <v>751.60591521415142</v>
      </c>
      <c r="BH120" s="330">
        <f t="shared" si="749"/>
        <v>396.85566730590267</v>
      </c>
      <c r="BI120" s="330">
        <f t="shared" si="749"/>
        <v>3.5996433851411211</v>
      </c>
      <c r="BJ120" s="330">
        <f t="shared" si="749"/>
        <v>3.5996433851411211</v>
      </c>
      <c r="BK120" s="330">
        <f t="shared" si="749"/>
        <v>0</v>
      </c>
      <c r="BL120" s="330">
        <f>SUM(AC120:AI120)+BJ124+AR120</f>
        <v>453.90722392076123</v>
      </c>
      <c r="BM120" s="330">
        <f>SUM(BM100:BM119)</f>
        <v>7.777122767241373</v>
      </c>
      <c r="BN120" s="935">
        <v>400</v>
      </c>
      <c r="BO120" s="926"/>
      <c r="BP120" s="936"/>
      <c r="BQ120" s="95"/>
      <c r="BR120" s="990">
        <v>500</v>
      </c>
      <c r="BS120" s="991"/>
      <c r="BT120" s="992">
        <v>600</v>
      </c>
      <c r="BU120" s="993"/>
      <c r="BV120" s="993"/>
      <c r="BW120" s="994"/>
      <c r="BX120" s="992">
        <v>800</v>
      </c>
      <c r="BY120" s="993"/>
      <c r="BZ120" s="993"/>
      <c r="CA120" s="994"/>
      <c r="CB120" s="992">
        <v>1000</v>
      </c>
      <c r="CC120" s="993"/>
      <c r="CD120" s="993"/>
      <c r="CE120" s="994"/>
      <c r="CF120" s="992">
        <v>1220</v>
      </c>
      <c r="CG120" s="993"/>
      <c r="CH120" s="993"/>
      <c r="CI120" s="995"/>
      <c r="CJ120" s="990">
        <v>1500</v>
      </c>
      <c r="CK120" s="996"/>
      <c r="CL120" s="996"/>
      <c r="CM120" s="997"/>
      <c r="CN120" s="116"/>
      <c r="CU120" s="115">
        <f t="shared" ref="CU120:DA120" si="750">SUM(CU100:CU119)</f>
        <v>14</v>
      </c>
      <c r="CV120" s="115">
        <f t="shared" si="750"/>
        <v>11</v>
      </c>
      <c r="CW120" s="115">
        <f t="shared" si="750"/>
        <v>0</v>
      </c>
      <c r="CX120" s="115">
        <f t="shared" si="750"/>
        <v>0</v>
      </c>
      <c r="CY120" s="115">
        <f t="shared" si="750"/>
        <v>1</v>
      </c>
      <c r="CZ120" s="115">
        <f t="shared" si="750"/>
        <v>2</v>
      </c>
      <c r="DA120" s="133">
        <f t="shared" si="750"/>
        <v>5.6470000000000002</v>
      </c>
      <c r="DG120" s="116">
        <f t="shared" ref="DG120:DP120" si="751">SUM(DG100:DG119)</f>
        <v>1511.9999999979614</v>
      </c>
      <c r="DH120" s="116">
        <f t="shared" si="751"/>
        <v>518.22859999922434</v>
      </c>
      <c r="DI120" s="116">
        <f t="shared" si="751"/>
        <v>0</v>
      </c>
      <c r="DJ120" s="116">
        <f t="shared" si="751"/>
        <v>105.32104606159345</v>
      </c>
      <c r="DK120" s="116">
        <f t="shared" si="751"/>
        <v>105.32104606159345</v>
      </c>
      <c r="DL120" s="116">
        <f t="shared" si="751"/>
        <v>2.8085612283091299</v>
      </c>
      <c r="DM120" s="116">
        <f t="shared" si="751"/>
        <v>299.31964703385944</v>
      </c>
      <c r="DN120" s="116">
        <f t="shared" si="751"/>
        <v>279.18456475551534</v>
      </c>
      <c r="DO120" s="116">
        <f t="shared" si="751"/>
        <v>9.0209770841779271</v>
      </c>
      <c r="DP120" s="116">
        <f t="shared" si="751"/>
        <v>0</v>
      </c>
      <c r="DQ120" s="464"/>
    </row>
    <row r="121" spans="1:121" s="115" customFormat="1" ht="13" x14ac:dyDescent="0.3">
      <c r="P121" s="416"/>
      <c r="Q121" s="416"/>
      <c r="R121" s="416"/>
      <c r="S121" s="416"/>
      <c r="AA121" s="117">
        <f>IF(O121="ASFALTO",L121*F120,0)</f>
        <v>0</v>
      </c>
      <c r="AB121" s="118"/>
      <c r="AC121" s="118"/>
      <c r="AD121" s="118"/>
      <c r="AE121" s="118"/>
      <c r="AF121" s="118"/>
      <c r="AG121" s="118"/>
      <c r="AH121" s="118"/>
      <c r="AI121" s="118"/>
      <c r="AJ121" s="118"/>
      <c r="AK121" s="118"/>
      <c r="AL121" s="1005"/>
      <c r="AM121" s="1005"/>
      <c r="AN121" s="1005"/>
      <c r="AO121" s="119"/>
      <c r="AP121" s="119"/>
      <c r="AQ121" s="119"/>
      <c r="BI121" s="115" t="s">
        <v>2034</v>
      </c>
      <c r="BJ121" s="121">
        <f>SUM(AJ120:AQ120)</f>
        <v>2202.1998842382309</v>
      </c>
      <c r="BK121" s="126" t="s">
        <v>2035</v>
      </c>
      <c r="BL121" s="123">
        <f>SUM(AR120)</f>
        <v>22.56</v>
      </c>
      <c r="BM121" s="118"/>
      <c r="BN121" s="81" t="s">
        <v>2036</v>
      </c>
      <c r="BO121" s="256" t="s">
        <v>2037</v>
      </c>
      <c r="BP121" s="256" t="s">
        <v>2038</v>
      </c>
      <c r="BQ121" s="256" t="s">
        <v>2036</v>
      </c>
      <c r="BR121" s="418" t="s">
        <v>2037</v>
      </c>
      <c r="BS121" s="418" t="s">
        <v>2038</v>
      </c>
      <c r="BT121" s="79" t="s">
        <v>2036</v>
      </c>
      <c r="BU121" s="419" t="s">
        <v>2039</v>
      </c>
      <c r="BV121" s="419" t="s">
        <v>2040</v>
      </c>
      <c r="BW121" s="419" t="s">
        <v>2041</v>
      </c>
      <c r="BX121" s="419" t="s">
        <v>2036</v>
      </c>
      <c r="BY121" s="419" t="s">
        <v>2039</v>
      </c>
      <c r="BZ121" s="419" t="s">
        <v>2040</v>
      </c>
      <c r="CA121" s="419" t="s">
        <v>2041</v>
      </c>
      <c r="CB121" s="419" t="s">
        <v>2036</v>
      </c>
      <c r="CC121" s="419" t="s">
        <v>2039</v>
      </c>
      <c r="CD121" s="419" t="s">
        <v>2040</v>
      </c>
      <c r="CE121" s="419" t="s">
        <v>2041</v>
      </c>
      <c r="CF121" s="419" t="s">
        <v>2036</v>
      </c>
      <c r="CG121" s="419" t="s">
        <v>2039</v>
      </c>
      <c r="CH121" s="419" t="s">
        <v>2040</v>
      </c>
      <c r="CI121" s="419" t="s">
        <v>2041</v>
      </c>
      <c r="CJ121" s="420" t="s">
        <v>2036</v>
      </c>
      <c r="CK121" s="420" t="s">
        <v>2039</v>
      </c>
      <c r="CL121" s="420" t="s">
        <v>2040</v>
      </c>
      <c r="CM121" s="420" t="s">
        <v>2041</v>
      </c>
      <c r="CU121" s="120"/>
      <c r="DQ121" s="464"/>
    </row>
    <row r="122" spans="1:121" s="115" customFormat="1" ht="52" x14ac:dyDescent="0.3">
      <c r="B122" s="423"/>
      <c r="P122" s="416"/>
      <c r="Q122" s="416"/>
      <c r="R122" s="416"/>
      <c r="S122" s="416"/>
      <c r="AA122" s="117">
        <f>IF(O122="ASFALTO",L122*F122,0)</f>
        <v>0</v>
      </c>
      <c r="AB122" s="118"/>
      <c r="AC122" s="118"/>
      <c r="AD122" s="118"/>
      <c r="AE122" s="118"/>
      <c r="AF122" s="118"/>
      <c r="AG122" s="118"/>
      <c r="AH122" s="118"/>
      <c r="AI122" s="118"/>
      <c r="AJ122" s="118"/>
      <c r="AK122" s="118"/>
      <c r="BI122" s="124" t="s">
        <v>2042</v>
      </c>
      <c r="BJ122" s="125">
        <f>BJ121-BG120-AW120-BB120-AZ120</f>
        <v>396.85566730590233</v>
      </c>
      <c r="BK122" s="126" t="s">
        <v>2043</v>
      </c>
      <c r="BL122" s="126">
        <f>BJ124+SUM(AC120:AI120)</f>
        <v>431.34722392076122</v>
      </c>
      <c r="BM122" s="118"/>
      <c r="BN122" s="127"/>
      <c r="BO122" s="128">
        <f>SUM(BO100:BO119)</f>
        <v>0</v>
      </c>
      <c r="BP122" s="128">
        <f>SUM(BP100:BP119)</f>
        <v>0</v>
      </c>
      <c r="BQ122" s="128"/>
      <c r="BR122" s="128">
        <f>SUM(BR100:BR119)</f>
        <v>0</v>
      </c>
      <c r="BS122" s="128">
        <f>SUM(BS100:BS119)</f>
        <v>0</v>
      </c>
      <c r="BT122" s="128"/>
      <c r="BU122" s="128">
        <f>SUM(BU100:BU119)</f>
        <v>503.99999999932044</v>
      </c>
      <c r="BV122" s="128">
        <f>SUM(BV100:BV119)</f>
        <v>0</v>
      </c>
      <c r="BW122" s="128">
        <f>SUM(BW100:BW100)</f>
        <v>0</v>
      </c>
      <c r="BX122" s="128"/>
      <c r="BY122" s="128">
        <f>SUM(BY100:BY119)</f>
        <v>0</v>
      </c>
      <c r="BZ122" s="128">
        <f>SUM(BZ100:BZ119)</f>
        <v>0</v>
      </c>
      <c r="CA122" s="128">
        <f>SUM(CA100:CA119)</f>
        <v>0</v>
      </c>
      <c r="CB122" s="128"/>
      <c r="CC122" s="128">
        <f>SUM(CC100:CC119)</f>
        <v>0</v>
      </c>
      <c r="CD122" s="128">
        <f>SUM(CD100:CD119)</f>
        <v>0</v>
      </c>
      <c r="CE122" s="128">
        <f>SUM(CE100:CE119)</f>
        <v>0</v>
      </c>
      <c r="CF122" s="128"/>
      <c r="CG122" s="128">
        <f>SUM(CG100:CG119)</f>
        <v>0</v>
      </c>
      <c r="CH122" s="128">
        <f>SUM(CH100:CH119)</f>
        <v>35.107015353864483</v>
      </c>
      <c r="CI122" s="128">
        <f>SUM(CI100:CI119)</f>
        <v>0</v>
      </c>
      <c r="CJ122" s="128"/>
      <c r="CK122" s="128">
        <f>SUM(CK100:CK119)</f>
        <v>53.981453829334242</v>
      </c>
      <c r="CL122" s="128">
        <f>SUM(CL100:CL119)</f>
        <v>45.791761848618904</v>
      </c>
      <c r="CM122" s="128">
        <f>SUM(CM100:CM119)</f>
        <v>0</v>
      </c>
      <c r="CU122" s="120"/>
      <c r="DQ122" s="464"/>
    </row>
    <row r="123" spans="1:121" s="115" customFormat="1" ht="26" x14ac:dyDescent="0.3">
      <c r="A123" s="115" t="s">
        <v>2079</v>
      </c>
      <c r="B123" s="423"/>
      <c r="P123" s="416"/>
      <c r="Q123" s="416"/>
      <c r="R123" s="416"/>
      <c r="S123" s="416"/>
      <c r="AA123" s="118"/>
      <c r="AB123" s="118"/>
      <c r="AC123" s="118"/>
      <c r="AD123" s="118"/>
      <c r="AE123" s="118"/>
      <c r="AF123" s="118"/>
      <c r="AG123" s="118"/>
      <c r="AH123" s="118"/>
      <c r="AI123" s="118"/>
      <c r="AJ123" s="118"/>
      <c r="AK123" s="118"/>
      <c r="BI123" s="124" t="s">
        <v>2044</v>
      </c>
      <c r="BJ123" s="129">
        <f>BK120</f>
        <v>0</v>
      </c>
      <c r="BM123" s="118"/>
      <c r="BN123" s="127"/>
      <c r="BO123" s="130"/>
      <c r="BP123" s="131"/>
      <c r="BQ123" s="128"/>
      <c r="BR123" s="130"/>
      <c r="BS123" s="131"/>
      <c r="BT123" s="128"/>
      <c r="BU123" s="130"/>
      <c r="BV123" s="421"/>
      <c r="BW123" s="131"/>
      <c r="BX123" s="128"/>
      <c r="BY123" s="130"/>
      <c r="BZ123" s="421"/>
      <c r="CA123" s="131"/>
      <c r="CB123" s="128"/>
      <c r="CC123" s="130"/>
      <c r="CD123" s="421"/>
      <c r="CE123" s="131"/>
      <c r="CF123" s="128"/>
      <c r="CG123" s="130"/>
      <c r="CH123" s="421"/>
      <c r="CI123" s="131"/>
      <c r="CJ123" s="128"/>
      <c r="CK123" s="130"/>
      <c r="CL123" s="421"/>
      <c r="CM123" s="131"/>
      <c r="CU123" s="120"/>
      <c r="DQ123" s="464"/>
    </row>
    <row r="124" spans="1:121" ht="13" x14ac:dyDescent="0.3">
      <c r="BI124" s="115" t="s">
        <v>2045</v>
      </c>
      <c r="BJ124" s="120">
        <f>BJ122-BJ120</f>
        <v>393.25602392076121</v>
      </c>
      <c r="BN124" s="127"/>
      <c r="BO124" s="937">
        <f>SUM(BO122:BP122)</f>
        <v>0</v>
      </c>
      <c r="BP124" s="938"/>
      <c r="BQ124" s="127"/>
      <c r="BR124" s="937">
        <f>SUM(BR122:BS122)</f>
        <v>0</v>
      </c>
      <c r="BS124" s="938"/>
      <c r="BT124" s="127" t="s">
        <v>2046</v>
      </c>
      <c r="BU124" s="937">
        <f>SUM(BU122:BW122)</f>
        <v>503.99999999932044</v>
      </c>
      <c r="BV124" s="984"/>
      <c r="BW124" s="938"/>
      <c r="BX124" s="127" t="s">
        <v>2046</v>
      </c>
      <c r="BY124" s="937">
        <f>SUM(BY122:CA122)</f>
        <v>0</v>
      </c>
      <c r="BZ124" s="984"/>
      <c r="CA124" s="938"/>
      <c r="CB124" s="127" t="s">
        <v>2046</v>
      </c>
      <c r="CC124" s="937">
        <f>SUM(CC122:CE122)</f>
        <v>0</v>
      </c>
      <c r="CD124" s="984"/>
      <c r="CE124" s="938"/>
      <c r="CF124" s="127" t="s">
        <v>2046</v>
      </c>
      <c r="CG124" s="937">
        <f>SUM(CG122:CI122)</f>
        <v>35.107015353864483</v>
      </c>
      <c r="CH124" s="984"/>
      <c r="CI124" s="938"/>
      <c r="CJ124" s="127" t="s">
        <v>2046</v>
      </c>
      <c r="CK124" s="937">
        <f>SUM(CK122:CM122)</f>
        <v>99.773215677953146</v>
      </c>
      <c r="CL124" s="984"/>
      <c r="CM124" s="938"/>
    </row>
    <row r="125" spans="1:121" ht="26" x14ac:dyDescent="0.3">
      <c r="BI125" s="124" t="s">
        <v>2047</v>
      </c>
      <c r="BJ125" s="120"/>
    </row>
    <row r="136" spans="1:122" x14ac:dyDescent="0.25">
      <c r="A136" s="439" t="s">
        <v>1653</v>
      </c>
    </row>
    <row r="137" spans="1:122" ht="16" thickBot="1" x14ac:dyDescent="0.3">
      <c r="A137" s="73"/>
      <c r="B137" s="73"/>
      <c r="E137" s="74"/>
      <c r="F137" s="74"/>
      <c r="G137" s="74"/>
      <c r="H137" s="74"/>
      <c r="I137" s="74"/>
      <c r="J137" s="74"/>
      <c r="K137" s="74"/>
      <c r="L137" s="74"/>
      <c r="M137" s="74"/>
      <c r="N137" s="74"/>
      <c r="O137" s="74"/>
      <c r="P137" s="74"/>
      <c r="Q137" s="74"/>
      <c r="R137" s="74"/>
      <c r="S137" s="74"/>
      <c r="T137" s="74"/>
      <c r="U137" s="74"/>
      <c r="V137" s="74"/>
      <c r="W137" s="74"/>
      <c r="X137" s="74"/>
      <c r="Y137" s="74"/>
      <c r="Z137" s="74"/>
      <c r="AA137" s="74"/>
      <c r="AB137" s="74"/>
      <c r="AC137" s="74"/>
      <c r="AD137" s="74"/>
      <c r="AE137" s="74"/>
      <c r="AF137" s="74"/>
      <c r="AG137" s="74"/>
      <c r="AH137" s="74"/>
      <c r="AI137" s="74"/>
      <c r="AJ137" s="74"/>
      <c r="AK137" s="74"/>
      <c r="AL137" s="74"/>
      <c r="AM137" s="74"/>
      <c r="AN137" s="74"/>
      <c r="AO137" s="75"/>
      <c r="AP137" s="75"/>
      <c r="AQ137" s="75"/>
      <c r="BA137" s="411"/>
      <c r="BB137" s="143"/>
      <c r="BC137" s="143"/>
      <c r="BD137" s="143"/>
    </row>
    <row r="138" spans="1:122" ht="13.5" thickBot="1" x14ac:dyDescent="0.35">
      <c r="A138" s="73"/>
      <c r="B138" s="76"/>
      <c r="C138" s="76"/>
      <c r="D138" s="76"/>
      <c r="E138" s="76"/>
      <c r="F138" s="76"/>
      <c r="G138" s="76"/>
      <c r="H138" s="76"/>
      <c r="I138" s="76"/>
      <c r="J138" s="76"/>
      <c r="K138" s="76"/>
      <c r="L138" s="76"/>
      <c r="M138" s="76"/>
      <c r="N138" s="76"/>
      <c r="O138" s="78"/>
      <c r="P138" s="78"/>
      <c r="Q138" s="78"/>
      <c r="R138" s="78"/>
      <c r="S138" s="78"/>
      <c r="T138" s="76"/>
      <c r="U138" s="76"/>
      <c r="V138" s="924" t="s">
        <v>1938</v>
      </c>
      <c r="W138" s="925"/>
      <c r="X138" s="925"/>
      <c r="Y138" s="925"/>
      <c r="Z138" s="925"/>
      <c r="AA138" s="925"/>
      <c r="AB138" s="925"/>
      <c r="AC138" s="925"/>
      <c r="AD138" s="925"/>
      <c r="AE138" s="925"/>
      <c r="AF138" s="925"/>
      <c r="AG138" s="925"/>
      <c r="AH138" s="925"/>
      <c r="AI138" s="925"/>
      <c r="AJ138" s="925"/>
      <c r="AK138" s="925"/>
      <c r="AL138" s="924"/>
      <c r="AM138" s="924"/>
      <c r="AN138" s="924"/>
      <c r="AO138" s="79"/>
      <c r="AP138" s="79"/>
      <c r="AQ138" s="79"/>
      <c r="AR138" s="79"/>
      <c r="AS138" s="79"/>
      <c r="AT138" s="79"/>
      <c r="AU138" s="76" t="s">
        <v>1939</v>
      </c>
      <c r="AV138" s="76" t="s">
        <v>1939</v>
      </c>
      <c r="AW138" s="79"/>
      <c r="AX138" s="79"/>
      <c r="AY138" s="76"/>
      <c r="AZ138" s="76"/>
      <c r="BA138" s="76"/>
      <c r="BB138" s="76"/>
      <c r="BC138" s="76"/>
      <c r="BD138" s="76"/>
      <c r="BE138" s="76"/>
      <c r="BF138" s="76" t="s">
        <v>1940</v>
      </c>
      <c r="BG138" s="76" t="s">
        <v>1941</v>
      </c>
      <c r="BH138" s="76"/>
      <c r="BI138" s="76"/>
      <c r="BJ138" s="76"/>
      <c r="BK138" s="76"/>
      <c r="BL138" s="76"/>
      <c r="BM138" s="76"/>
      <c r="BN138" s="76"/>
      <c r="BO138" s="928" t="s">
        <v>1942</v>
      </c>
      <c r="BP138" s="929"/>
      <c r="BQ138" s="929"/>
      <c r="BR138" s="929"/>
      <c r="BS138" s="929"/>
      <c r="BT138" s="929"/>
      <c r="BU138" s="929"/>
      <c r="BV138" s="929"/>
      <c r="BW138" s="929"/>
      <c r="BX138" s="929"/>
      <c r="BY138" s="929"/>
      <c r="BZ138" s="929"/>
      <c r="CA138" s="929"/>
      <c r="CB138" s="929"/>
      <c r="CC138" s="929"/>
      <c r="CD138" s="929"/>
      <c r="CE138" s="929"/>
      <c r="CF138" s="929"/>
      <c r="CG138" s="929"/>
      <c r="CH138" s="929"/>
      <c r="CI138" s="929"/>
      <c r="CJ138" s="929"/>
      <c r="CK138" s="929"/>
      <c r="CL138" s="929"/>
      <c r="CM138" s="929"/>
      <c r="CN138" s="929"/>
      <c r="CO138" s="929"/>
      <c r="CP138" s="929"/>
      <c r="CQ138" s="929"/>
      <c r="CR138" s="929"/>
      <c r="CS138" s="929"/>
      <c r="CT138" s="985"/>
      <c r="CU138" s="76"/>
      <c r="CV138" s="986" t="s">
        <v>1943</v>
      </c>
      <c r="CW138" s="924"/>
      <c r="CX138" s="924"/>
      <c r="CY138" s="924"/>
      <c r="CZ138" s="924"/>
      <c r="DA138" s="76"/>
      <c r="DB138" s="925" t="s">
        <v>1944</v>
      </c>
      <c r="DC138" s="925"/>
      <c r="DD138" s="925"/>
      <c r="DE138" s="925"/>
      <c r="DF138" s="925"/>
      <c r="DG138" s="928" t="s">
        <v>1945</v>
      </c>
      <c r="DH138" s="929"/>
      <c r="DI138" s="929"/>
      <c r="DJ138" s="929"/>
      <c r="DK138" s="929"/>
      <c r="DL138" s="929"/>
      <c r="DM138" s="929"/>
      <c r="DN138" s="929"/>
      <c r="DO138" s="929"/>
      <c r="DP138" s="929"/>
    </row>
    <row r="139" spans="1:122" s="86" customFormat="1" ht="52" x14ac:dyDescent="0.3">
      <c r="A139" s="405" t="s">
        <v>1946</v>
      </c>
      <c r="B139" s="405" t="s">
        <v>1739</v>
      </c>
      <c r="C139" s="82" t="s">
        <v>1392</v>
      </c>
      <c r="D139" s="82" t="s">
        <v>1947</v>
      </c>
      <c r="E139" s="82" t="s">
        <v>1948</v>
      </c>
      <c r="F139" s="82" t="s">
        <v>1949</v>
      </c>
      <c r="G139" s="82" t="s">
        <v>1950</v>
      </c>
      <c r="H139" s="82" t="s">
        <v>1951</v>
      </c>
      <c r="I139" s="136" t="s">
        <v>1952</v>
      </c>
      <c r="J139" s="82" t="s">
        <v>1953</v>
      </c>
      <c r="K139" s="137" t="s">
        <v>1954</v>
      </c>
      <c r="L139" s="138" t="s">
        <v>1955</v>
      </c>
      <c r="M139" s="137" t="s">
        <v>1956</v>
      </c>
      <c r="N139" s="138" t="s">
        <v>1957</v>
      </c>
      <c r="O139" s="137" t="s">
        <v>1958</v>
      </c>
      <c r="P139" s="137" t="s">
        <v>1959</v>
      </c>
      <c r="Q139" s="137" t="s">
        <v>1960</v>
      </c>
      <c r="R139" s="137" t="s">
        <v>1961</v>
      </c>
      <c r="S139" s="137" t="s">
        <v>1962</v>
      </c>
      <c r="T139" s="138" t="s">
        <v>1963</v>
      </c>
      <c r="U139" s="139" t="s">
        <v>1964</v>
      </c>
      <c r="V139" s="140" t="s">
        <v>1965</v>
      </c>
      <c r="W139" s="140" t="s">
        <v>1966</v>
      </c>
      <c r="X139" s="140" t="s">
        <v>1967</v>
      </c>
      <c r="Y139" s="140" t="s">
        <v>1968</v>
      </c>
      <c r="Z139" s="140" t="s">
        <v>1969</v>
      </c>
      <c r="AA139" s="80" t="s">
        <v>1970</v>
      </c>
      <c r="AB139" s="80" t="s">
        <v>1971</v>
      </c>
      <c r="AC139" s="141" t="s">
        <v>1972</v>
      </c>
      <c r="AD139" s="141" t="s">
        <v>1973</v>
      </c>
      <c r="AE139" s="141" t="s">
        <v>1974</v>
      </c>
      <c r="AF139" s="141" t="s">
        <v>1975</v>
      </c>
      <c r="AG139" s="141" t="s">
        <v>1976</v>
      </c>
      <c r="AH139" s="136" t="s">
        <v>1977</v>
      </c>
      <c r="AI139" s="141" t="s">
        <v>1978</v>
      </c>
      <c r="AJ139" s="141" t="s">
        <v>1979</v>
      </c>
      <c r="AK139" s="141" t="s">
        <v>1980</v>
      </c>
      <c r="AL139" s="141" t="s">
        <v>1981</v>
      </c>
      <c r="AM139" s="141" t="s">
        <v>1982</v>
      </c>
      <c r="AN139" s="136" t="s">
        <v>1983</v>
      </c>
      <c r="AO139" s="141" t="s">
        <v>1984</v>
      </c>
      <c r="AP139" s="141" t="s">
        <v>1985</v>
      </c>
      <c r="AQ139" s="141" t="s">
        <v>1986</v>
      </c>
      <c r="AR139" s="82" t="s">
        <v>1987</v>
      </c>
      <c r="AS139" s="82" t="s">
        <v>1988</v>
      </c>
      <c r="AT139" s="82" t="s">
        <v>1989</v>
      </c>
      <c r="AU139" s="136" t="s">
        <v>1990</v>
      </c>
      <c r="AV139" s="136" t="s">
        <v>1991</v>
      </c>
      <c r="AW139" s="136" t="s">
        <v>1992</v>
      </c>
      <c r="AX139" s="141" t="s">
        <v>1993</v>
      </c>
      <c r="AY139" s="406" t="s">
        <v>1994</v>
      </c>
      <c r="AZ139" s="142" t="s">
        <v>1995</v>
      </c>
      <c r="BA139" s="407" t="s">
        <v>1996</v>
      </c>
      <c r="BB139" s="141" t="s">
        <v>1997</v>
      </c>
      <c r="BC139" s="141" t="s">
        <v>1998</v>
      </c>
      <c r="BD139" s="141" t="s">
        <v>1999</v>
      </c>
      <c r="BE139" s="82" t="s">
        <v>2000</v>
      </c>
      <c r="BF139" s="136" t="s">
        <v>2001</v>
      </c>
      <c r="BG139" s="136" t="s">
        <v>2002</v>
      </c>
      <c r="BH139" s="136" t="s">
        <v>2003</v>
      </c>
      <c r="BI139" s="136" t="s">
        <v>2004</v>
      </c>
      <c r="BJ139" s="136" t="s">
        <v>2005</v>
      </c>
      <c r="BK139" s="136" t="s">
        <v>2006</v>
      </c>
      <c r="BL139" s="136" t="s">
        <v>2007</v>
      </c>
      <c r="BM139" s="136" t="s">
        <v>2008</v>
      </c>
      <c r="BN139" s="934">
        <v>400</v>
      </c>
      <c r="BO139" s="934"/>
      <c r="BP139" s="934"/>
      <c r="BQ139" s="998">
        <v>500</v>
      </c>
      <c r="BR139" s="999"/>
      <c r="BS139" s="1000"/>
      <c r="BT139" s="1001">
        <v>600</v>
      </c>
      <c r="BU139" s="1002"/>
      <c r="BV139" s="1002"/>
      <c r="BW139" s="1003"/>
      <c r="BX139" s="1001">
        <v>800</v>
      </c>
      <c r="BY139" s="1002"/>
      <c r="BZ139" s="1002"/>
      <c r="CA139" s="1003"/>
      <c r="CB139" s="1001">
        <v>1000</v>
      </c>
      <c r="CC139" s="1002"/>
      <c r="CD139" s="1002"/>
      <c r="CE139" s="1003"/>
      <c r="CF139" s="1001">
        <v>1200</v>
      </c>
      <c r="CG139" s="1002"/>
      <c r="CH139" s="1002"/>
      <c r="CI139" s="1004"/>
      <c r="CJ139" s="987">
        <v>1500</v>
      </c>
      <c r="CK139" s="988"/>
      <c r="CL139" s="988"/>
      <c r="CM139" s="989"/>
      <c r="CN139" s="409">
        <v>1650</v>
      </c>
      <c r="CO139" s="337">
        <v>1800</v>
      </c>
      <c r="CP139" s="337">
        <v>2000</v>
      </c>
      <c r="CQ139" s="337">
        <v>2200</v>
      </c>
      <c r="CR139" s="337">
        <v>2400</v>
      </c>
      <c r="CS139" s="337">
        <v>2600</v>
      </c>
      <c r="CT139" s="410">
        <v>3000</v>
      </c>
      <c r="CU139" s="82" t="s">
        <v>521</v>
      </c>
      <c r="CV139" s="83">
        <v>600</v>
      </c>
      <c r="CW139" s="83">
        <v>800</v>
      </c>
      <c r="CX139" s="83">
        <v>1000</v>
      </c>
      <c r="CY139" s="83">
        <v>1200</v>
      </c>
      <c r="CZ139" s="83">
        <v>1500</v>
      </c>
      <c r="DA139" s="411" t="s">
        <v>2009</v>
      </c>
      <c r="DB139" s="81">
        <v>600</v>
      </c>
      <c r="DC139" s="81">
        <v>800</v>
      </c>
      <c r="DD139" s="81">
        <v>1000</v>
      </c>
      <c r="DE139" s="81">
        <v>12000</v>
      </c>
      <c r="DF139" s="81">
        <v>1500</v>
      </c>
      <c r="DG139" s="84" t="s">
        <v>2010</v>
      </c>
      <c r="DH139" s="84" t="s">
        <v>2011</v>
      </c>
      <c r="DI139" s="84" t="s">
        <v>2012</v>
      </c>
      <c r="DJ139" s="84" t="s">
        <v>2013</v>
      </c>
      <c r="DK139" s="84" t="s">
        <v>2014</v>
      </c>
      <c r="DL139" s="84" t="s">
        <v>2015</v>
      </c>
      <c r="DM139" s="84" t="s">
        <v>2016</v>
      </c>
      <c r="DN139" s="84" t="s">
        <v>2017</v>
      </c>
      <c r="DO139" s="84" t="s">
        <v>2018</v>
      </c>
      <c r="DP139" s="84" t="s">
        <v>2019</v>
      </c>
      <c r="DQ139" s="85"/>
    </row>
    <row r="140" spans="1:122" s="86" customFormat="1" ht="13" x14ac:dyDescent="0.3">
      <c r="B140" s="447"/>
      <c r="C140" s="87" t="str">
        <f>'Planilha Hidráulica'!B147</f>
        <v>RD-1</v>
      </c>
      <c r="D140" s="82"/>
      <c r="E140" s="82"/>
      <c r="F140" s="82"/>
      <c r="G140" s="82"/>
      <c r="H140" s="82"/>
      <c r="I140" s="82"/>
      <c r="J140" s="82"/>
      <c r="K140" s="137"/>
      <c r="L140" s="138"/>
      <c r="M140" s="138"/>
      <c r="N140" s="138"/>
      <c r="O140" s="137"/>
      <c r="P140" s="137"/>
      <c r="Q140" s="137"/>
      <c r="R140" s="137"/>
      <c r="S140" s="137"/>
      <c r="T140" s="138"/>
      <c r="U140" s="434"/>
      <c r="V140" s="435" t="s">
        <v>2020</v>
      </c>
      <c r="W140" s="435"/>
      <c r="X140" s="435"/>
      <c r="Y140" s="435"/>
      <c r="Z140" s="435"/>
      <c r="AA140" s="80" t="s">
        <v>2021</v>
      </c>
      <c r="AB140" s="436"/>
      <c r="AC140" s="94"/>
      <c r="AD140" s="94"/>
      <c r="AE140" s="94"/>
      <c r="AF140" s="94"/>
      <c r="AG140" s="94"/>
      <c r="AH140" s="94"/>
      <c r="AI140" s="94"/>
      <c r="AJ140" s="436"/>
      <c r="AK140" s="436"/>
      <c r="AL140" s="81"/>
      <c r="AM140" s="81"/>
      <c r="AN140" s="81"/>
      <c r="AO140" s="81"/>
      <c r="AP140" s="81"/>
      <c r="AQ140" s="81"/>
      <c r="AR140" s="82"/>
      <c r="AS140" s="82"/>
      <c r="AT140" s="82"/>
      <c r="AU140" s="82"/>
      <c r="AV140" s="83"/>
      <c r="AW140" s="82"/>
      <c r="AX140" s="82"/>
      <c r="AY140" s="81"/>
      <c r="AZ140" s="411"/>
      <c r="BA140" s="411"/>
      <c r="BB140" s="411"/>
      <c r="BC140" s="411"/>
      <c r="BD140" s="411"/>
      <c r="BE140" s="82"/>
      <c r="BF140" s="82"/>
      <c r="BG140" s="82"/>
      <c r="BH140" s="82"/>
      <c r="BI140" s="82"/>
      <c r="BJ140" s="104"/>
      <c r="BK140" s="82"/>
      <c r="BL140" s="82"/>
      <c r="BM140" s="82"/>
      <c r="BN140" s="337"/>
      <c r="BO140" s="81"/>
      <c r="BP140" s="81"/>
      <c r="BQ140" s="81"/>
      <c r="BR140" s="408"/>
      <c r="BS140" s="406"/>
      <c r="BT140" s="83"/>
      <c r="BU140" s="408"/>
      <c r="BV140" s="408"/>
      <c r="BW140" s="406"/>
      <c r="BX140" s="83"/>
      <c r="BY140" s="408"/>
      <c r="BZ140" s="408"/>
      <c r="CA140" s="406"/>
      <c r="CB140" s="83"/>
      <c r="CC140" s="408"/>
      <c r="CD140" s="408"/>
      <c r="CE140" s="406"/>
      <c r="CF140" s="83"/>
      <c r="CG140" s="408"/>
      <c r="CH140" s="408"/>
      <c r="CI140" s="408"/>
      <c r="CJ140" s="81"/>
      <c r="CK140" s="81"/>
      <c r="CL140" s="81"/>
      <c r="CM140" s="81"/>
      <c r="CN140" s="81"/>
      <c r="CO140" s="81"/>
      <c r="CP140" s="81"/>
      <c r="CQ140" s="81"/>
      <c r="CR140" s="81"/>
      <c r="CS140" s="81"/>
      <c r="CT140" s="437"/>
      <c r="CU140" s="82"/>
      <c r="CV140" s="83"/>
      <c r="CW140" s="83"/>
      <c r="CX140" s="83"/>
      <c r="CY140" s="83"/>
      <c r="CZ140" s="83"/>
      <c r="DA140" s="438"/>
      <c r="DB140" s="337"/>
      <c r="DC140" s="337"/>
      <c r="DD140" s="337"/>
      <c r="DE140" s="337"/>
      <c r="DF140" s="337"/>
      <c r="DG140" s="337"/>
      <c r="DH140" s="337"/>
      <c r="DI140" s="337"/>
      <c r="DJ140" s="337"/>
      <c r="DK140" s="337"/>
      <c r="DL140" s="337"/>
      <c r="DM140" s="337"/>
      <c r="DN140" s="337"/>
      <c r="DO140" s="337"/>
      <c r="DP140" s="337"/>
      <c r="DQ140" s="445"/>
    </row>
    <row r="141" spans="1:122" s="86" customFormat="1" x14ac:dyDescent="0.25">
      <c r="A141" s="86" t="s">
        <v>2070</v>
      </c>
      <c r="B141" s="101"/>
      <c r="C141" s="101" t="str">
        <f>'Planilha Hidráulica'!B148</f>
        <v>PV1.1-&gt;PV2.1</v>
      </c>
      <c r="D141" s="258">
        <f>'Planilha Hidráulica'!R148</f>
        <v>3</v>
      </c>
      <c r="E141" s="258">
        <f>'Planilha Hidráulica'!S148</f>
        <v>2.97</v>
      </c>
      <c r="F141" s="258">
        <f>'Planilha Hidráulica'!K148</f>
        <v>33.83</v>
      </c>
      <c r="G141" s="101">
        <f>'Planilha Hidráulica'!M148</f>
        <v>600</v>
      </c>
      <c r="H141" s="449">
        <f t="shared" ref="H141:H187" si="752">IF(G141=400,((D141+E141)/2)+0.08+T141,IF(G141=500,((D141+E141)/2)+0.1+T141,IF(G141=600,((D141+E141)/2)+0.12+T141,IF(G141=800,((D141+E141)/2)+0.16+T141,IF(G141=1000,((D141+E141)/2)+0.2+T141,IF(G141=1200,((D141+E141)/2)+0.24+T141,IF(G141=1500,((D141+E141)/2)+0.3+T141,IF(G141&gt;1500,((D141+E141)/2)+0.4+T141))))))))</f>
        <v>3.2050000000000005</v>
      </c>
      <c r="I141" s="102">
        <f t="shared" ref="I141:I187" si="753">IF(H141&gt;=1.25,F141*H141/20,0)</f>
        <v>5.4212575000000012</v>
      </c>
      <c r="J141" s="467">
        <v>0</v>
      </c>
      <c r="K141" s="449">
        <f t="shared" ref="K141:K187" si="754">IF(G141=400,1,0)+IF(G141=500,1.2,0)+IF(G141=600,1.4,0)+IF(G141=800,1.7,0)+IF(G141=1000,2,0)+IF(G141=1200,2.2,0)+IF(G141=1500,2.6,0)+IF(G141=1650,3,0)+IF(G141=1800,3.2,0)+IF(G141=2000,3.4,0)+IF(G141=2200,3.6,0)+IF(G141=2400,3.8,0)+IF(G141=2600,4,0)+IF(G141=3000,4.4,0)</f>
        <v>1.4</v>
      </c>
      <c r="L141" s="449">
        <f t="shared" ref="L141:L187" si="755">2*J141*H141+K141</f>
        <v>1.4</v>
      </c>
      <c r="M141" s="449">
        <f>'Planilha Hidráulica'!X148</f>
        <v>400</v>
      </c>
      <c r="N141" s="449">
        <f t="shared" ref="N141:N187" si="756">L141*F141</f>
        <v>47.361999999999995</v>
      </c>
      <c r="O141" s="468" t="str">
        <f>'Planilha Hidráulica'!W148</f>
        <v>ASFALTO</v>
      </c>
      <c r="P141" s="468" t="s">
        <v>2080</v>
      </c>
      <c r="Q141" s="468"/>
      <c r="R141" s="468">
        <v>5</v>
      </c>
      <c r="S141" s="468">
        <v>5</v>
      </c>
      <c r="T141" s="449">
        <f t="shared" ref="T141:T187" si="757">IF(G141=400,0.05,0)+IF(G141=500,0.05,0)+IF(G141=600,0.1,0)+IF(G141=800,0.1,0)+IF(G141=1000,0.15,0)+IF(G141=1200,0.15,0)+IF(G141=1500,0.2,0)+IF(G141=1650,0.2,0)+IF(G141=1800,0.2,0)+IF(G141=2000,0.25,0)+IF(G141=2200,0.25,0)+IF(G141=2400,0.25,0)+IF(G141=2600,0.25,0)+IF(G141=3000,0.25,0)</f>
        <v>0.1</v>
      </c>
      <c r="U141" s="453">
        <f t="shared" ref="U141:U187" si="758">IFERROR((PI()*(M141/1000)*(M141/1000)/4)*F141,0)</f>
        <v>4.2512031788377085</v>
      </c>
      <c r="V141" s="106">
        <f t="shared" ref="V141:V187" si="759">((((J141*H141)*H141)/2)*2+K141*H141)*F141-U141+AW141</f>
        <v>147.5440068211623</v>
      </c>
      <c r="W141" s="107">
        <f t="shared" ref="W141:W187" si="760">ROUND(V141-SUM(AC141:AR141),2)</f>
        <v>0</v>
      </c>
      <c r="X141" s="107">
        <f t="shared" ref="X141:X187" si="761">IF(Q141=1,IF(OR(M141=0,M141="-"),H141+0.4,0.4),0)</f>
        <v>0</v>
      </c>
      <c r="Y141" s="453">
        <f t="shared" ref="Y141:Y187" si="762">IF(R141&lt;H141,R141,H141)</f>
        <v>3.2050000000000005</v>
      </c>
      <c r="Z141" s="453">
        <f t="shared" ref="Z141:Z187" si="763">H141-Y141</f>
        <v>0</v>
      </c>
      <c r="AA141" s="456">
        <f t="shared" ref="AA141:AA187" si="764">IF(O141="ASFALTO",L141*F141,0)</f>
        <v>47.361999999999995</v>
      </c>
      <c r="AB141" s="469">
        <f t="shared" ref="AB141:AB187" si="765">IF(O141="CONCRETO",L141*F141,0)</f>
        <v>0</v>
      </c>
      <c r="AC141" s="109">
        <f t="shared" ref="AC141:AC187" si="766">IF(X141=0,0,IF(X141=0.4,IF(K141&lt;=1.5,IF(Y141+0.4&gt;=1.5,0,K141*F141*0.4),0),IF(K141&lt;=1.5,IF(X141&gt;=1.5,L141*F141*1.5,K141*F141*(X141)),0)+IF(R141&lt;H141+0.4,0,IF(AND(X141&lt;=1.5,K141&lt;=1.5),-U141,0))))</f>
        <v>0</v>
      </c>
      <c r="AD141" s="109">
        <f t="shared" ref="AD141:AD187" si="767">IF(X141=0,0,IF(X141=0.4,IF(K141&lt;=1.5,IF(OR(Y141+0.4&gt;=3,Y141+0.4&lt;1.5),0,K141*F141*0.4),0),IF(IF(K141&lt;=1.5,IF(X141&gt;=3,L141*F141*1.5,K141*F141*(X141-1.5)),0)&lt;0,0,IF(K141&lt;=1.5,IF(X141&gt;=3,L141*F141*1.5,K141*F141*(X141-1.5)),0))+IF(R141&lt;H141+0.4,0,IF(AND(X141&lt;=3,K141&lt;=1.5),-U141,0))))</f>
        <v>0</v>
      </c>
      <c r="AE141" s="109">
        <f t="shared" ref="AE141:AE187" si="768">IF(X141=0,0,IF(X141=0.4,IF(K141&lt;=1.5,IF(OR(Y141+0.4&gt;=4.5,Y141+0.4&lt;3),0,K141*F141*0.4),0),IF(IF(K141&lt;=1.5,IF(X141&gt;=4.5,L141*F141*1.5,K141*F141*(X141-3)),0)&lt;0,0,IF(K141&lt;=1.5,IF(X141&gt;=3,L141*F141*1.5,K141*F141*(X141-3)),0))+IF(R141&lt;H141+0.4,0,IF(AND(X141&lt;=4.5,K141&lt;=1.5),-U141,0))))</f>
        <v>0</v>
      </c>
      <c r="AF141" s="109">
        <f t="shared" ref="AF141:AF187" si="769">IF(X141=0,0,IF(X141=0.4,IF(AND(K141&gt;1.5,K141&lt;=2.6),IF(Y141+0.4&gt;=1.5,0,K141*F141*0.4),0),IF(AND(K141&gt;1.5,K141&lt;=2.6),IF(X141&gt;=1.5,L141*F141*1.5,K141*F141*(X141)),0)+IF(R141&lt;H141+0.4,0,IF(AND(X141&lt;=1.5,K141&lt;=1.5),-U141,0))))</f>
        <v>0</v>
      </c>
      <c r="AG141" s="109">
        <f t="shared" ref="AG141:AG187" si="770">IF(X141=0,0,IF(X141=0.4,IF(AND(K141&gt;1.5,K141&lt;=2.6),IF(OR(Y141+0.4&gt;=3,Y141+0.4&lt;1.5),0,K141*F141*0.4),0),IF(IF(AND(K141&gt;1.5,K141&lt;=2.6),IF(X141&gt;=3,L141*F141*1.5,K141*F141*(X141-1.5)),0)&lt;0,0,IF(AND(K141&gt;1.5,K141&lt;=2.6),IF(X141&gt;=3,L141*F141*1.5,K141*F141*(X141-1.5)),0))+IF(R141&lt;H141+0.4,0,IF(AND(X141&lt;=3,K141&lt;=1.5),-U141,0))))</f>
        <v>0</v>
      </c>
      <c r="AH141" s="109">
        <f t="shared" ref="AH141:AH187" si="771">IF(X141=0,0,IF(X141=0.4,IF(AND(K141&gt;1.5,K141&lt;=2.6),IF(OR(Y141+0.4&gt;=4.5,Y141+0.4&lt;3),0,K141*F141*0.4),0),IF(IF(AND(K141&gt;1.5,K141&lt;=2.6),IF(X141&gt;=4.5,L141*F141*1.5,K141*F141*(X141-3)),0)&lt;0,0,IF(AND(K141&gt;1.5,K141&lt;=2.6),IF(X141&gt;=4.5,L141*F141*1.5,K141*F141*(X141-3)),0))+IF(R141&lt;H141+0.4,0,IF(AND(X141&lt;=3,K141&lt;=1.5),-U141,0))))</f>
        <v>0</v>
      </c>
      <c r="AI141" s="109">
        <f t="shared" ref="AI141:AI187" si="772">IF(X141=0,0,IF(X141=0.4,IF(AND(K141&gt;1.5,K141&lt;=2.6),IF(OR(Y141+0.4&gt;=6,Y141+0.4&lt;4.5),0,K141*F141*0.4),0),IF(IF(AND(K141&gt;1.5,K141&lt;=2.6),IF(X141&gt;=6,L141*F141*1.5,K141*F141*(X141-4.5)),0)&lt;0,0,IF(AND(K141&gt;1.5,K141&lt;=2.6),IF(X141&gt;=6,L141*F141*1.5,K141*F141*(X141-4.5)),0))+IF(R141&lt;H141+0.4,0,IF(AND(X141&lt;=3,K141&lt;=1.5),-U141,0))))</f>
        <v>0</v>
      </c>
      <c r="AJ141" s="456">
        <f t="shared" ref="AJ141:AJ187" si="773">IF(K141&lt;=1.5,IF(Y141&gt;=1.5,L141*F141*1.5,K141*F141*Y141),0)+IF(R141&lt;H141,0,IF(AND(Y141&lt;=1.5,K141&lt;=1.5),-U141,0))</f>
        <v>71.042999999999992</v>
      </c>
      <c r="AK141" s="456">
        <f t="shared" ref="AK141:AK187" si="774">IF(IF(K141&lt;=1.5,IF(Y141&gt;=3,L141*F141*1.5,K141*F141*(Y141-1.5)),0)&lt;0,0,IF(K141&lt;=1.5,IF(Y141&gt;=3,L141*F141*1.5,K141*F141*(Y141-1.5)),0))+IF(R141&lt;H141,0,IF(AND(Y141&lt;=3,K141&lt;=1.5),-U141,0))</f>
        <v>71.042999999999992</v>
      </c>
      <c r="AL141" s="456">
        <f t="shared" ref="AL141:AL186" si="775">IF(AND(K141&lt;=2.5,K141&gt;1.5),IF(Y141&gt;=1.5,L141*F141*1.5,K141*F141*Y141),0)+IF(R141&lt;H141,0,IF(AND(Y141&lt;=1.5,K141&gt;1.5,K141&lt;=2.5),-U141,0))</f>
        <v>0</v>
      </c>
      <c r="AM141" s="456">
        <f t="shared" ref="AM141:AM178" si="776">IF(IF(AND(K141&lt;=2.5,K141&gt;1.5),IF(Y141&gt;=3,L141*F141*1.5,K141*F141*(Y141-1.5)),0)&lt;0,0,IF(AND(K141&lt;=2.5,K141&gt;1.5),IF(Y141&gt;=3,L141*F141*1.5,K141*F141*(Y141-1.5)),0))+IF(R141&lt;H141,0,IF(AND(Y141&lt;=3,Y141&gt;1.5,K141&gt;1.5,K141&lt;=2.5),-U141,0))</f>
        <v>0</v>
      </c>
      <c r="AN141" s="456">
        <f>IF(IF(K141&lt;=2.5,IF(Y141&gt;=4.5,L141*F141*1.5,K141*F141*(Y141-3)),0)&lt;0,0,IF(K141&lt;=2.5,IF(Y141&gt;=4.5,L141*F141*1.5,K141*F141*(Y141-3)),0))-8.5</f>
        <v>1.2092100000000237</v>
      </c>
      <c r="AO141" s="456">
        <f t="shared" ref="AO141:AO186" si="777">IF(K141&gt;2.5,IF(Y141&gt;=2,L141*F141*2,K141*F141*Y141),0)+IF(R141&lt;H141,0,IF(AND(Y141&lt;=2,K141&gt;=2.5),-U141,0))</f>
        <v>0</v>
      </c>
      <c r="AP141" s="456">
        <f t="shared" ref="AP141:AP180" si="778">IF(IF(K141&gt;2.5,IF(Y141&gt;=4,L141*F141*2,K141*F141*(Y141-2)),0)&lt;0,0,IF(K141&gt;2.5,IF(Y141&gt;=4,L141*F141*2,K141*F141*(Y141-2)),0))+IF(R141&lt;H141,0,IF(AND(Y141&lt;=4,Y141&gt;2,K141&gt;2.5),-U141,0))</f>
        <v>0</v>
      </c>
      <c r="AQ141" s="456">
        <f t="shared" ref="AQ141:AQ180" si="779">IF(IF(K141&gt;2.5,IF(Y141&gt;=6,L141*F141*2,K141*F141*(Y141-4)),0)&lt;0,0,IF(K141&gt;2.5,IF(Y141&gt;=6,L141*F141*2,K141*F141*(Y141-4)),0))+IF(R141&lt;H141,0,IF(AND(Y141&lt;=6,Y141&gt;4,K141&gt;2.5),-U141,0))</f>
        <v>0</v>
      </c>
      <c r="AR141" s="104">
        <f t="shared" ref="AR141:AR187" si="780">ROUND(V141-SUM(AC141:AQ141),2)</f>
        <v>4.25</v>
      </c>
      <c r="AS141" s="449">
        <f t="shared" ref="AS141:AS187" si="781">IF(H141-S141&lt;0,0,(H141-S141)*F141)/75</f>
        <v>0</v>
      </c>
      <c r="AT141" s="104">
        <f t="shared" ref="AT141:AT187" si="782">F141*K141*H141-PI()*(G141/1000)*(G141/1000)/4*F141+AW141</f>
        <v>142.23000284761514</v>
      </c>
      <c r="AU141" s="102">
        <f t="shared" ref="AU141:AU187" si="783">IF(K141&lt;1.5,K141*F141*IF(G141&lt;=500,0.05,IF(G141&lt;=800,0.1,IF(G141&lt;=1200,0.15,IF(G141&gt;=1500,0.2)))),0)</f>
        <v>4.7361999999999993</v>
      </c>
      <c r="AV141" s="106">
        <f t="shared" ref="AV141:AV187" si="784">IF(K141&gt;=1.5,K141*F141*IF(G141&lt;=500,0.05,IF(G141&lt;=800,0.1,IF(G141&lt;=1200,0.15,IF(G141&gt;=1500,0.2)))),0)</f>
        <v>0</v>
      </c>
      <c r="AW141" s="104">
        <f t="shared" ref="AW141:AW187" si="785">IF(Q141=1,0.4*F141*K141,0)</f>
        <v>0</v>
      </c>
      <c r="AX141" s="104">
        <f t="shared" ref="AX141:AX187" si="786">IF(AW141&lt;SUM(AJ141:AQ141),0,AW141)</f>
        <v>0</v>
      </c>
      <c r="AY141" s="104">
        <f t="shared" ref="AY141:AY187" si="787">(G141/1000)+0.2</f>
        <v>0.8</v>
      </c>
      <c r="AZ141" s="104">
        <f t="shared" ref="AZ141:AZ187" si="788">((((J141*AY141)*AY141)/2)*2+K141*AY141)*F141-((PI()*(G141/1000)^2)/4*F141)</f>
        <v>28.324392847615151</v>
      </c>
      <c r="BA141" s="104">
        <f t="shared" ref="BA141:BA187" si="789">IF(AZ141&lt;SUM(AJ141:AQ141),AZ141,SUM(AJ141:AQ141))</f>
        <v>28.324392847615151</v>
      </c>
      <c r="BB141" s="104">
        <f t="shared" ref="BB141:BB187" si="790">IF(O141="ASFALTO",0.15*F141*K141,0)</f>
        <v>7.1042999999999985</v>
      </c>
      <c r="BC141" s="104">
        <f t="shared" ref="BC141:BC187" si="791">BB141</f>
        <v>7.1042999999999985</v>
      </c>
      <c r="BD141" s="104">
        <f t="shared" ref="BD141:BD187" si="792">IF(O141="ASFALTO",0.03*F141*K141,0)</f>
        <v>1.4208599999999998</v>
      </c>
      <c r="BE141" s="104">
        <f t="shared" ref="BE141:BE187" si="793">AT141-AW141-SUM(AU141:AV141)-BB141-BC141-AZ141</f>
        <v>94.960810000000009</v>
      </c>
      <c r="BF141" s="104">
        <f t="shared" ref="BF141:BF187" si="794">SUM(AJ141:AQ141)-AW141-BB141-AZ141</f>
        <v>107.86651715238486</v>
      </c>
      <c r="BG141" s="104">
        <f t="shared" ref="BG141:BG187" si="795">IF(SMALL(BE141:BF141,1)&lt;0,0,SMALL(BE141:BF141,1))</f>
        <v>94.960810000000009</v>
      </c>
      <c r="BH141" s="104">
        <f t="shared" ref="BH141:BH187" si="796">BF141-BG141</f>
        <v>12.905707152384849</v>
      </c>
      <c r="BI141" s="104">
        <f t="shared" ref="BI141:BI187" si="797">BE141-BG141</f>
        <v>0</v>
      </c>
      <c r="BJ141" s="102">
        <f>IF($BI$192&gt;$BJ$194,($BJ$194/$BI$192)*BI141,BI141)</f>
        <v>0</v>
      </c>
      <c r="BK141" s="104">
        <f t="shared" ref="BK141:BK187" si="798">BI141-BJ141</f>
        <v>0</v>
      </c>
      <c r="BL141" s="104"/>
      <c r="BM141" s="104">
        <f t="shared" ref="BM141:BM187" si="799">IF(AW141+BB141&gt;0,4%*(AW141+BB141),0)</f>
        <v>0.28417199999999992</v>
      </c>
      <c r="BN141" s="456">
        <f t="shared" ref="BN141:BN187" si="800">IF(G141=400,H141,0)</f>
        <v>0</v>
      </c>
      <c r="BO141" s="471">
        <f t="shared" ref="BO141:BO187" si="801">IF(BN141&lt;=1.75,AND(BN141&gt;0)*F141,0)</f>
        <v>0</v>
      </c>
      <c r="BP141" s="471">
        <f t="shared" ref="BP141:BP187" si="802">IF(BN141&lt;=3,AND(BN141&gt;1.75)*F141,0)</f>
        <v>0</v>
      </c>
      <c r="BQ141" s="471">
        <f t="shared" ref="BQ141:BQ187" si="803">IF(G141=500,H141,0)</f>
        <v>0</v>
      </c>
      <c r="BR141" s="449">
        <f t="shared" ref="BR141:BR187" si="804">IF(BQ141&lt;=1.75,AND(BQ141&gt;0)*F141,0)</f>
        <v>0</v>
      </c>
      <c r="BS141" s="449">
        <f t="shared" ref="BS141:BS187" si="805">IF(BQ141&lt;=3,AND(BQ141&gt;1.75)*F141,0)</f>
        <v>0</v>
      </c>
      <c r="BT141" s="449">
        <f t="shared" ref="BT141:BT187" si="806">IF(G141=600,H141,0)</f>
        <v>3.2050000000000005</v>
      </c>
      <c r="BU141" s="449">
        <f t="shared" ref="BU141:BU187" si="807">IF(BT141&lt;=3,AND(BT141&gt;0)*F141,0)</f>
        <v>0</v>
      </c>
      <c r="BV141" s="449">
        <f t="shared" ref="BV141:BV187" si="808">IF(BT141&lt;=6,AND(BT141&gt;3)*F141,0)</f>
        <v>33.83</v>
      </c>
      <c r="BW141" s="449">
        <f t="shared" ref="BW141:BW187" si="809">IF(BT141&lt;=9,AND(BT141&gt;6)*F141,0)</f>
        <v>0</v>
      </c>
      <c r="BX141" s="449">
        <f t="shared" ref="BX141:BX187" si="810">IF(G141=800,H141,0)</f>
        <v>0</v>
      </c>
      <c r="BY141" s="449">
        <f t="shared" ref="BY141:BY187" si="811">IF(BX141&lt;=3,AND(BX141&gt;0)*F141,0)</f>
        <v>0</v>
      </c>
      <c r="BZ141" s="449">
        <f t="shared" ref="BZ141:BZ187" si="812">IF(BX141&lt;=6,AND(BX141&gt;3)*F141,0)</f>
        <v>0</v>
      </c>
      <c r="CA141" s="449">
        <f t="shared" ref="CA141:CA187" si="813">IF(BX141&lt;=9,AND(BX141&gt;6)*F141,0)</f>
        <v>0</v>
      </c>
      <c r="CB141" s="449">
        <f t="shared" ref="CB141:CB187" si="814">IF(G141=1000,H141,0)</f>
        <v>0</v>
      </c>
      <c r="CC141" s="449">
        <f t="shared" ref="CC141:CC187" si="815">IF(CB141&lt;=3,AND(CB141&gt;0)*F141,0)</f>
        <v>0</v>
      </c>
      <c r="CD141" s="449">
        <f t="shared" ref="CD141:CD187" si="816">IF(CB141&lt;=6,AND(CB141&gt;3)*F141,0)</f>
        <v>0</v>
      </c>
      <c r="CE141" s="449">
        <f t="shared" ref="CE141:CE187" si="817">IF(CB141&lt;=9,AND(CB141&gt;6)*F141,0)</f>
        <v>0</v>
      </c>
      <c r="CF141" s="449">
        <f t="shared" ref="CF141:CF187" si="818">IF(G141=1200,H141,0)</f>
        <v>0</v>
      </c>
      <c r="CG141" s="449">
        <f t="shared" ref="CG141:CG187" si="819">IF(CF141&lt;=3,AND(CF141&gt;0)*F141,0)</f>
        <v>0</v>
      </c>
      <c r="CH141" s="449">
        <f t="shared" ref="CH141:CH187" si="820">IF(CF141&lt;=6,AND(CF141&gt;3)*F141,0)</f>
        <v>0</v>
      </c>
      <c r="CI141" s="449">
        <f t="shared" ref="CI141:CI187" si="821">IF(CF141&lt;=9,AND(CF141&gt;6)*F141,0)</f>
        <v>0</v>
      </c>
      <c r="CJ141" s="472">
        <f t="shared" ref="CJ141:CJ187" si="822">IF(G141=1500,H141,0)</f>
        <v>0</v>
      </c>
      <c r="CK141" s="449">
        <f t="shared" ref="CK141:CK187" si="823">IF(CJ141&lt;=3,AND(CJ141&gt;0)*F141,0)</f>
        <v>0</v>
      </c>
      <c r="CL141" s="449">
        <f t="shared" ref="CL141:CL187" si="824">IF(CJ141&lt;=6,AND(CJ141&gt;3)*F141,0)</f>
        <v>0</v>
      </c>
      <c r="CM141" s="449">
        <f t="shared" ref="CM141:CM187" si="825">IF(CJ141&lt;=9,AND(CJ141&gt;6)*F141,0)</f>
        <v>0</v>
      </c>
      <c r="CN141" s="453">
        <f t="shared" ref="CN141:CN187" si="826">IF(G141=1650,F141,0)</f>
        <v>0</v>
      </c>
      <c r="CO141" s="453">
        <f t="shared" ref="CO141:CO187" si="827">IF(G141=1800,F141,0)</f>
        <v>0</v>
      </c>
      <c r="CP141" s="453">
        <f t="shared" ref="CP141:CP187" si="828">IF(G141=2000,F141,0)</f>
        <v>0</v>
      </c>
      <c r="CQ141" s="453">
        <f t="shared" ref="CQ141:CQ187" si="829">IF(G141=2200,F141,0)</f>
        <v>0</v>
      </c>
      <c r="CR141" s="453">
        <f t="shared" ref="CR141:CR187" si="830">IF(G141=2400,F141,0)</f>
        <v>0</v>
      </c>
      <c r="CS141" s="453">
        <f t="shared" ref="CS141:CS187" si="831">IF(G141=2600,F141,0)</f>
        <v>0</v>
      </c>
      <c r="CT141" s="473">
        <f t="shared" ref="CT141:CT187" si="832">IF(G141=3000,F141,0)</f>
        <v>0</v>
      </c>
      <c r="CU141" s="470">
        <f t="shared" ref="CU141:CU187" si="833">IF(G141&gt;=100,1,0)</f>
        <v>1</v>
      </c>
      <c r="CV141" s="470">
        <f t="shared" ref="CV141:CV187" si="834">IF(CU141=1,IF(G141&lt;=600,1,0))</f>
        <v>1</v>
      </c>
      <c r="CW141" s="470">
        <f t="shared" ref="CW141:CW187" si="835">IF(CU141=1,IF($G141=800,1,0))</f>
        <v>0</v>
      </c>
      <c r="CX141" s="470">
        <f t="shared" ref="CX141:CX187" si="836">IF(CU141=1,IF($G141=1000,1,0))</f>
        <v>0</v>
      </c>
      <c r="CY141" s="470">
        <f t="shared" ref="CY141:CY187" si="837">IF(CU141=1,IF($G141=1200,1,0))</f>
        <v>0</v>
      </c>
      <c r="CZ141" s="470">
        <f t="shared" ref="CZ141:CZ187" si="838">IF(CU141=1,IF($G141=1500,1,0))</f>
        <v>0</v>
      </c>
      <c r="DA141" s="478">
        <f t="shared" ref="DA141:DA187" si="839">IF(IF(G141&lt;=600,(D141-DB141),0)+IF(G141=800,(D141-DC141),0)+IF(G141&gt;=1000,D141-DD141,0)&lt;0,0,IF(G141&lt;=600,(D141-DB141),0)+IF(G141=800,(D141-DC141),0)+IF(G141&gt;=1000,D141-DD141,0))</f>
        <v>1.7</v>
      </c>
      <c r="DB141" s="469">
        <v>1.3</v>
      </c>
      <c r="DC141" s="469">
        <v>1.4</v>
      </c>
      <c r="DD141" s="469">
        <v>2</v>
      </c>
      <c r="DE141" s="469">
        <v>2</v>
      </c>
      <c r="DF141" s="476">
        <v>2</v>
      </c>
      <c r="DG141" s="456">
        <f t="shared" ref="DG141:DG187" si="840">IF(K141&lt;=1.5,IF(H141&lt;1.5,H141*F141*2,F141*2*1.5),0)</f>
        <v>101.49</v>
      </c>
      <c r="DH141" s="476">
        <f t="shared" ref="DH141:DH187" si="841">IF(K141&lt;=1.5,IF(AND(H141&lt;3,H141&gt;1.5),(H141-1.5)*F141*2,IF(H141&gt;=3,(F141*2*1.5),0)),0)</f>
        <v>101.49</v>
      </c>
      <c r="DI141" s="476">
        <f t="shared" ref="DI141:DI187" si="842">IF(K141&lt;=1.5,IF(AND(H141&lt;4.5,H141&gt;3),(H141-3)*F141*2,IF(H141&gt;=4.5,(F141*2*1.5),0)),0)</f>
        <v>13.870300000000034</v>
      </c>
      <c r="DJ141" s="476">
        <f t="shared" ref="DJ141:DJ187" si="843">IF(AND(K141&lt;=2.5,K141&gt;1.5),IF(H141&lt;1.5,H141*F141*2,F141*2*1.5),0)</f>
        <v>0</v>
      </c>
      <c r="DK141" s="476">
        <f t="shared" ref="DK141:DK187" si="844">IF(AND(K141&gt;1.5,K141&lt;=2.5),IF(AND(H141&lt;3,H141&gt;1.5),(H141-1.5)*F141*2,IF(H141&gt;=3,(F141*2*1.5),0)),0)</f>
        <v>0</v>
      </c>
      <c r="DL141" s="476">
        <f t="shared" ref="DL141:DL187" si="845">IF(AND(K141&gt;1.5,K141&lt;=2.5),IF(AND(H141&lt;4.5,H141&gt;3),(H141-3)*F141*2,IF(H141&gt;=4.5,(F141*2*1.5),0)),0)</f>
        <v>0</v>
      </c>
      <c r="DM141" s="476">
        <f t="shared" ref="DM141:DM187" si="846">IF(AND(K141&lt;=3.5,K141&gt;2.5),IF(H141&lt;1.5,H141*F141*2,F141*2*1.5),0)</f>
        <v>0</v>
      </c>
      <c r="DN141" s="476">
        <f t="shared" ref="DN141:DN187" si="847">IF(AND(K141&gt;2.5,K141&lt;=3.5),IF(AND(H141&lt;3,H141&gt;1.5),(H141-1.5)*F141*2,IF(H141&gt;=3,(F141*2*1.5),0)),0)</f>
        <v>0</v>
      </c>
      <c r="DO141" s="476">
        <f t="shared" ref="DO141:DO187" si="848">IF(AND(K141&gt;2.5,K141&lt;=3.5),IF(AND(H141&lt;4.5,H141&gt;3),(H141-3)*F141*2,IF(H141&gt;=4.5,(F141*2*1.5),0)),0)</f>
        <v>0</v>
      </c>
      <c r="DP141" s="476">
        <f t="shared" ref="DP141:DP187" si="849">IF(AND(K141&gt;2.5,K141&lt;=3.5),IF(AND(H141&lt;6,H141&gt;4.5),(H141-4.5)*F141*2,IF(H141&gt;=6,(F141*2*1.5),0)),0)</f>
        <v>0</v>
      </c>
      <c r="DQ141" s="445"/>
      <c r="DR141" s="479">
        <f>D141-M141/1000</f>
        <v>2.6</v>
      </c>
    </row>
    <row r="142" spans="1:122" s="86" customFormat="1" x14ac:dyDescent="0.25">
      <c r="A142" s="86" t="s">
        <v>2070</v>
      </c>
      <c r="B142" s="101"/>
      <c r="C142" s="101" t="str">
        <f>'Planilha Hidráulica'!B149</f>
        <v>PV2.1-&gt;PV3.1</v>
      </c>
      <c r="D142" s="258">
        <f>'Planilha Hidráulica'!R149</f>
        <v>2.97</v>
      </c>
      <c r="E142" s="258">
        <f>'Planilha Hidráulica'!S149</f>
        <v>3</v>
      </c>
      <c r="F142" s="258">
        <f>'Planilha Hidráulica'!K149</f>
        <v>33.83</v>
      </c>
      <c r="G142" s="101">
        <f>'Planilha Hidráulica'!M149</f>
        <v>600</v>
      </c>
      <c r="H142" s="449">
        <f t="shared" si="752"/>
        <v>3.2050000000000005</v>
      </c>
      <c r="I142" s="102">
        <f t="shared" si="753"/>
        <v>5.4212575000000012</v>
      </c>
      <c r="J142" s="467">
        <v>0</v>
      </c>
      <c r="K142" s="449">
        <f t="shared" si="754"/>
        <v>1.4</v>
      </c>
      <c r="L142" s="449">
        <f t="shared" si="755"/>
        <v>1.4</v>
      </c>
      <c r="M142" s="449">
        <f>'Planilha Hidráulica'!X149</f>
        <v>400</v>
      </c>
      <c r="N142" s="449">
        <f t="shared" si="756"/>
        <v>47.361999999999995</v>
      </c>
      <c r="O142" s="468" t="str">
        <f>'Planilha Hidráulica'!W149</f>
        <v>ASFALTO</v>
      </c>
      <c r="P142" s="468" t="s">
        <v>2080</v>
      </c>
      <c r="Q142" s="468"/>
      <c r="R142" s="468">
        <v>5</v>
      </c>
      <c r="S142" s="468">
        <v>5</v>
      </c>
      <c r="T142" s="449">
        <f t="shared" si="757"/>
        <v>0.1</v>
      </c>
      <c r="U142" s="453">
        <f t="shared" si="758"/>
        <v>4.2512031788377085</v>
      </c>
      <c r="V142" s="106">
        <f t="shared" si="759"/>
        <v>147.5440068211623</v>
      </c>
      <c r="W142" s="107">
        <f t="shared" si="760"/>
        <v>0</v>
      </c>
      <c r="X142" s="107">
        <f t="shared" si="761"/>
        <v>0</v>
      </c>
      <c r="Y142" s="453">
        <f t="shared" si="762"/>
        <v>3.2050000000000005</v>
      </c>
      <c r="Z142" s="453">
        <f t="shared" si="763"/>
        <v>0</v>
      </c>
      <c r="AA142" s="456">
        <f t="shared" si="764"/>
        <v>47.361999999999995</v>
      </c>
      <c r="AB142" s="469">
        <f t="shared" si="765"/>
        <v>0</v>
      </c>
      <c r="AC142" s="109">
        <f t="shared" si="766"/>
        <v>0</v>
      </c>
      <c r="AD142" s="109">
        <f t="shared" si="767"/>
        <v>0</v>
      </c>
      <c r="AE142" s="109">
        <f t="shared" si="768"/>
        <v>0</v>
      </c>
      <c r="AF142" s="109">
        <f t="shared" si="769"/>
        <v>0</v>
      </c>
      <c r="AG142" s="109">
        <f t="shared" si="770"/>
        <v>0</v>
      </c>
      <c r="AH142" s="109">
        <f t="shared" si="771"/>
        <v>0</v>
      </c>
      <c r="AI142" s="109">
        <f t="shared" si="772"/>
        <v>0</v>
      </c>
      <c r="AJ142" s="456">
        <f t="shared" si="773"/>
        <v>71.042999999999992</v>
      </c>
      <c r="AK142" s="456">
        <f t="shared" si="774"/>
        <v>71.042999999999992</v>
      </c>
      <c r="AL142" s="456">
        <f t="shared" si="775"/>
        <v>0</v>
      </c>
      <c r="AM142" s="456">
        <f t="shared" si="776"/>
        <v>0</v>
      </c>
      <c r="AN142" s="456">
        <f>IF(IF(K142&lt;=2.5,IF(Y142&gt;=4.5,L142*F142*1.5,K142*F142*(Y142-3)),0)&lt;0,0,IF(K142&lt;=2.5,IF(Y142&gt;=4.5,L142*F142*1.5,K142*F142*(Y142-3)),0))-8.5</f>
        <v>1.2092100000000237</v>
      </c>
      <c r="AO142" s="456">
        <f t="shared" si="777"/>
        <v>0</v>
      </c>
      <c r="AP142" s="456">
        <f t="shared" si="778"/>
        <v>0</v>
      </c>
      <c r="AQ142" s="456">
        <f t="shared" si="779"/>
        <v>0</v>
      </c>
      <c r="AR142" s="104">
        <f t="shared" si="780"/>
        <v>4.25</v>
      </c>
      <c r="AS142" s="449">
        <f t="shared" si="781"/>
        <v>0</v>
      </c>
      <c r="AT142" s="104">
        <f t="shared" si="782"/>
        <v>142.23000284761514</v>
      </c>
      <c r="AU142" s="102">
        <f t="shared" si="783"/>
        <v>4.7361999999999993</v>
      </c>
      <c r="AV142" s="106">
        <f t="shared" si="784"/>
        <v>0</v>
      </c>
      <c r="AW142" s="104">
        <f t="shared" si="785"/>
        <v>0</v>
      </c>
      <c r="AX142" s="104">
        <f t="shared" si="786"/>
        <v>0</v>
      </c>
      <c r="AY142" s="104">
        <f t="shared" si="787"/>
        <v>0.8</v>
      </c>
      <c r="AZ142" s="104">
        <f t="shared" si="788"/>
        <v>28.324392847615151</v>
      </c>
      <c r="BA142" s="104">
        <f t="shared" si="789"/>
        <v>28.324392847615151</v>
      </c>
      <c r="BB142" s="104">
        <f t="shared" si="790"/>
        <v>7.1042999999999985</v>
      </c>
      <c r="BC142" s="104">
        <f t="shared" si="791"/>
        <v>7.1042999999999985</v>
      </c>
      <c r="BD142" s="104">
        <f t="shared" si="792"/>
        <v>1.4208599999999998</v>
      </c>
      <c r="BE142" s="104">
        <f t="shared" si="793"/>
        <v>94.960810000000009</v>
      </c>
      <c r="BF142" s="104">
        <f t="shared" si="794"/>
        <v>107.86651715238486</v>
      </c>
      <c r="BG142" s="104">
        <f t="shared" si="795"/>
        <v>94.960810000000009</v>
      </c>
      <c r="BH142" s="104">
        <f t="shared" si="796"/>
        <v>12.905707152384849</v>
      </c>
      <c r="BI142" s="104">
        <f t="shared" si="797"/>
        <v>0</v>
      </c>
      <c r="BJ142" s="102">
        <f t="shared" ref="BJ142:BJ187" si="850">IF($BI$192&gt;$BJ$194,($BJ$194/$BI$192)*BI142,BI142)</f>
        <v>0</v>
      </c>
      <c r="BK142" s="104">
        <f t="shared" si="798"/>
        <v>0</v>
      </c>
      <c r="BL142" s="104"/>
      <c r="BM142" s="104">
        <f t="shared" si="799"/>
        <v>0.28417199999999992</v>
      </c>
      <c r="BN142" s="456">
        <f t="shared" si="800"/>
        <v>0</v>
      </c>
      <c r="BO142" s="471">
        <f t="shared" si="801"/>
        <v>0</v>
      </c>
      <c r="BP142" s="471">
        <f t="shared" si="802"/>
        <v>0</v>
      </c>
      <c r="BQ142" s="471">
        <f t="shared" si="803"/>
        <v>0</v>
      </c>
      <c r="BR142" s="449">
        <f t="shared" si="804"/>
        <v>0</v>
      </c>
      <c r="BS142" s="449">
        <f t="shared" si="805"/>
        <v>0</v>
      </c>
      <c r="BT142" s="449">
        <f t="shared" si="806"/>
        <v>3.2050000000000005</v>
      </c>
      <c r="BU142" s="449">
        <f t="shared" si="807"/>
        <v>0</v>
      </c>
      <c r="BV142" s="449">
        <f t="shared" si="808"/>
        <v>33.83</v>
      </c>
      <c r="BW142" s="449">
        <f t="shared" si="809"/>
        <v>0</v>
      </c>
      <c r="BX142" s="449">
        <f t="shared" si="810"/>
        <v>0</v>
      </c>
      <c r="BY142" s="449">
        <f t="shared" si="811"/>
        <v>0</v>
      </c>
      <c r="BZ142" s="449">
        <f t="shared" si="812"/>
        <v>0</v>
      </c>
      <c r="CA142" s="449">
        <f t="shared" si="813"/>
        <v>0</v>
      </c>
      <c r="CB142" s="449">
        <f t="shared" si="814"/>
        <v>0</v>
      </c>
      <c r="CC142" s="449">
        <f t="shared" si="815"/>
        <v>0</v>
      </c>
      <c r="CD142" s="449">
        <f t="shared" si="816"/>
        <v>0</v>
      </c>
      <c r="CE142" s="449">
        <f t="shared" si="817"/>
        <v>0</v>
      </c>
      <c r="CF142" s="449">
        <f t="shared" si="818"/>
        <v>0</v>
      </c>
      <c r="CG142" s="449">
        <f t="shared" si="819"/>
        <v>0</v>
      </c>
      <c r="CH142" s="449">
        <f t="shared" si="820"/>
        <v>0</v>
      </c>
      <c r="CI142" s="449">
        <f t="shared" si="821"/>
        <v>0</v>
      </c>
      <c r="CJ142" s="472">
        <f t="shared" si="822"/>
        <v>0</v>
      </c>
      <c r="CK142" s="449">
        <f t="shared" si="823"/>
        <v>0</v>
      </c>
      <c r="CL142" s="449">
        <f t="shared" si="824"/>
        <v>0</v>
      </c>
      <c r="CM142" s="449">
        <f t="shared" si="825"/>
        <v>0</v>
      </c>
      <c r="CN142" s="453">
        <f t="shared" si="826"/>
        <v>0</v>
      </c>
      <c r="CO142" s="453">
        <f t="shared" si="827"/>
        <v>0</v>
      </c>
      <c r="CP142" s="453">
        <f t="shared" si="828"/>
        <v>0</v>
      </c>
      <c r="CQ142" s="453">
        <f t="shared" si="829"/>
        <v>0</v>
      </c>
      <c r="CR142" s="453">
        <f t="shared" si="830"/>
        <v>0</v>
      </c>
      <c r="CS142" s="453">
        <f t="shared" si="831"/>
        <v>0</v>
      </c>
      <c r="CT142" s="473">
        <f t="shared" si="832"/>
        <v>0</v>
      </c>
      <c r="CU142" s="470">
        <f t="shared" si="833"/>
        <v>1</v>
      </c>
      <c r="CV142" s="470">
        <f t="shared" si="834"/>
        <v>1</v>
      </c>
      <c r="CW142" s="470">
        <f t="shared" si="835"/>
        <v>0</v>
      </c>
      <c r="CX142" s="470">
        <f t="shared" si="836"/>
        <v>0</v>
      </c>
      <c r="CY142" s="470">
        <f t="shared" si="837"/>
        <v>0</v>
      </c>
      <c r="CZ142" s="470">
        <f t="shared" si="838"/>
        <v>0</v>
      </c>
      <c r="DA142" s="478">
        <f t="shared" si="839"/>
        <v>1.6700000000000002</v>
      </c>
      <c r="DB142" s="469">
        <v>1.3</v>
      </c>
      <c r="DC142" s="469">
        <v>1.4</v>
      </c>
      <c r="DD142" s="469">
        <v>2</v>
      </c>
      <c r="DE142" s="469">
        <v>2</v>
      </c>
      <c r="DF142" s="476">
        <v>2</v>
      </c>
      <c r="DG142" s="456">
        <f t="shared" si="840"/>
        <v>101.49</v>
      </c>
      <c r="DH142" s="476">
        <f t="shared" si="841"/>
        <v>101.49</v>
      </c>
      <c r="DI142" s="476">
        <f t="shared" si="842"/>
        <v>13.870300000000034</v>
      </c>
      <c r="DJ142" s="476">
        <f t="shared" si="843"/>
        <v>0</v>
      </c>
      <c r="DK142" s="476">
        <f t="shared" si="844"/>
        <v>0</v>
      </c>
      <c r="DL142" s="476">
        <f t="shared" si="845"/>
        <v>0</v>
      </c>
      <c r="DM142" s="476">
        <f t="shared" si="846"/>
        <v>0</v>
      </c>
      <c r="DN142" s="476">
        <f t="shared" si="847"/>
        <v>0</v>
      </c>
      <c r="DO142" s="476">
        <f t="shared" si="848"/>
        <v>0</v>
      </c>
      <c r="DP142" s="476">
        <f t="shared" si="849"/>
        <v>0</v>
      </c>
      <c r="DQ142" s="445"/>
      <c r="DR142" s="479">
        <f>D142-M142/1000</f>
        <v>2.5700000000000003</v>
      </c>
    </row>
    <row r="143" spans="1:122" s="86" customFormat="1" x14ac:dyDescent="0.25">
      <c r="A143" s="86" t="s">
        <v>2070</v>
      </c>
      <c r="B143" s="101"/>
      <c r="C143" s="101" t="str">
        <f>'Planilha Hidráulica'!B150</f>
        <v>PV3.1-&gt;PV4.1</v>
      </c>
      <c r="D143" s="258">
        <f>'Planilha Hidráulica'!R150</f>
        <v>3.35</v>
      </c>
      <c r="E143" s="258">
        <f>'Planilha Hidráulica'!S150</f>
        <v>3.2</v>
      </c>
      <c r="F143" s="258">
        <f>'Planilha Hidráulica'!K150</f>
        <v>33.44</v>
      </c>
      <c r="G143" s="101">
        <f>'Planilha Hidráulica'!M150</f>
        <v>800</v>
      </c>
      <c r="H143" s="449">
        <f t="shared" si="752"/>
        <v>3.5350000000000006</v>
      </c>
      <c r="I143" s="102">
        <f t="shared" si="753"/>
        <v>5.91052</v>
      </c>
      <c r="J143" s="467">
        <v>0</v>
      </c>
      <c r="K143" s="449">
        <f t="shared" si="754"/>
        <v>1.7</v>
      </c>
      <c r="L143" s="449">
        <f t="shared" si="755"/>
        <v>1.7</v>
      </c>
      <c r="M143" s="449">
        <f>'Planilha Hidráulica'!X150</f>
        <v>600</v>
      </c>
      <c r="N143" s="449">
        <f t="shared" si="756"/>
        <v>56.847999999999992</v>
      </c>
      <c r="O143" s="468" t="str">
        <f>'Planilha Hidráulica'!W150</f>
        <v>ASFALTO</v>
      </c>
      <c r="P143" s="468" t="s">
        <v>2080</v>
      </c>
      <c r="Q143" s="468"/>
      <c r="R143" s="468">
        <v>5</v>
      </c>
      <c r="S143" s="468">
        <v>5</v>
      </c>
      <c r="T143" s="449">
        <f t="shared" si="757"/>
        <v>0.1</v>
      </c>
      <c r="U143" s="453">
        <f t="shared" si="758"/>
        <v>9.4549372502438409</v>
      </c>
      <c r="V143" s="106">
        <f t="shared" si="759"/>
        <v>191.50274274975618</v>
      </c>
      <c r="W143" s="107">
        <f t="shared" si="760"/>
        <v>0</v>
      </c>
      <c r="X143" s="107">
        <f t="shared" si="761"/>
        <v>0</v>
      </c>
      <c r="Y143" s="453">
        <f t="shared" si="762"/>
        <v>3.5350000000000006</v>
      </c>
      <c r="Z143" s="453">
        <f t="shared" si="763"/>
        <v>0</v>
      </c>
      <c r="AA143" s="456">
        <f t="shared" si="764"/>
        <v>56.847999999999992</v>
      </c>
      <c r="AB143" s="469">
        <f t="shared" si="765"/>
        <v>0</v>
      </c>
      <c r="AC143" s="109">
        <f t="shared" si="766"/>
        <v>0</v>
      </c>
      <c r="AD143" s="109">
        <f t="shared" si="767"/>
        <v>0</v>
      </c>
      <c r="AE143" s="109">
        <f t="shared" si="768"/>
        <v>0</v>
      </c>
      <c r="AF143" s="109">
        <f t="shared" si="769"/>
        <v>0</v>
      </c>
      <c r="AG143" s="109">
        <f t="shared" si="770"/>
        <v>0</v>
      </c>
      <c r="AH143" s="109">
        <f t="shared" si="771"/>
        <v>0</v>
      </c>
      <c r="AI143" s="109">
        <f t="shared" si="772"/>
        <v>0</v>
      </c>
      <c r="AJ143" s="456">
        <f t="shared" si="773"/>
        <v>0</v>
      </c>
      <c r="AK143" s="456">
        <f t="shared" si="774"/>
        <v>0</v>
      </c>
      <c r="AL143" s="456">
        <f t="shared" si="775"/>
        <v>85.271999999999991</v>
      </c>
      <c r="AM143" s="456">
        <f t="shared" si="776"/>
        <v>85.271999999999991</v>
      </c>
      <c r="AN143" s="456">
        <f t="shared" ref="AN143:AN178" si="851">IF(IF(K143&lt;=2.5,IF(Y143&gt;=4.5,L143*F143*1.5,K143*F143*(Y143-3)),0)&lt;0,0,IF(K143&lt;=2.5,IF(Y143&gt;=4.5,L143*F143*1.5,K143*F143*(Y143-3)),0))+IF(R143&lt;H143,0,IF(AND(Y143&lt;=4.5,Y143&gt;3,K143&gt;1.5,K143&lt;=2.5),-U143,0))</f>
        <v>20.958742749756187</v>
      </c>
      <c r="AO143" s="456">
        <f t="shared" si="777"/>
        <v>0</v>
      </c>
      <c r="AP143" s="456">
        <f t="shared" si="778"/>
        <v>0</v>
      </c>
      <c r="AQ143" s="456">
        <f t="shared" si="779"/>
        <v>0</v>
      </c>
      <c r="AR143" s="104">
        <f t="shared" si="780"/>
        <v>0</v>
      </c>
      <c r="AS143" s="449">
        <f t="shared" si="781"/>
        <v>0</v>
      </c>
      <c r="AT143" s="104">
        <f t="shared" si="782"/>
        <v>184.14890266623317</v>
      </c>
      <c r="AU143" s="102">
        <f t="shared" si="783"/>
        <v>0</v>
      </c>
      <c r="AV143" s="106">
        <f t="shared" si="784"/>
        <v>5.6847999999999992</v>
      </c>
      <c r="AW143" s="104">
        <f t="shared" si="785"/>
        <v>0</v>
      </c>
      <c r="AX143" s="104">
        <f t="shared" si="786"/>
        <v>0</v>
      </c>
      <c r="AY143" s="104">
        <f t="shared" si="787"/>
        <v>1</v>
      </c>
      <c r="AZ143" s="104">
        <f t="shared" si="788"/>
        <v>40.039222666233158</v>
      </c>
      <c r="BA143" s="104">
        <f t="shared" si="789"/>
        <v>40.039222666233158</v>
      </c>
      <c r="BB143" s="104">
        <f t="shared" si="790"/>
        <v>8.5271999999999988</v>
      </c>
      <c r="BC143" s="104">
        <f t="shared" si="791"/>
        <v>8.5271999999999988</v>
      </c>
      <c r="BD143" s="104">
        <f t="shared" si="792"/>
        <v>1.7054399999999996</v>
      </c>
      <c r="BE143" s="104">
        <f t="shared" si="793"/>
        <v>121.37048000000003</v>
      </c>
      <c r="BF143" s="104">
        <f t="shared" si="794"/>
        <v>142.93632008352301</v>
      </c>
      <c r="BG143" s="104">
        <f t="shared" si="795"/>
        <v>121.37048000000003</v>
      </c>
      <c r="BH143" s="104">
        <f t="shared" si="796"/>
        <v>21.565840083522986</v>
      </c>
      <c r="BI143" s="104">
        <f t="shared" si="797"/>
        <v>0</v>
      </c>
      <c r="BJ143" s="102">
        <f t="shared" si="850"/>
        <v>0</v>
      </c>
      <c r="BK143" s="104">
        <f t="shared" si="798"/>
        <v>0</v>
      </c>
      <c r="BL143" s="104"/>
      <c r="BM143" s="104">
        <f t="shared" si="799"/>
        <v>0.34108799999999995</v>
      </c>
      <c r="BN143" s="456">
        <f t="shared" si="800"/>
        <v>0</v>
      </c>
      <c r="BO143" s="471">
        <f t="shared" si="801"/>
        <v>0</v>
      </c>
      <c r="BP143" s="471">
        <f t="shared" si="802"/>
        <v>0</v>
      </c>
      <c r="BQ143" s="471">
        <f t="shared" si="803"/>
        <v>0</v>
      </c>
      <c r="BR143" s="449">
        <f t="shared" si="804"/>
        <v>0</v>
      </c>
      <c r="BS143" s="449">
        <f t="shared" si="805"/>
        <v>0</v>
      </c>
      <c r="BT143" s="449">
        <f t="shared" si="806"/>
        <v>0</v>
      </c>
      <c r="BU143" s="449">
        <f t="shared" si="807"/>
        <v>0</v>
      </c>
      <c r="BV143" s="449">
        <f t="shared" si="808"/>
        <v>0</v>
      </c>
      <c r="BW143" s="449">
        <f t="shared" si="809"/>
        <v>0</v>
      </c>
      <c r="BX143" s="449">
        <f t="shared" si="810"/>
        <v>3.5350000000000006</v>
      </c>
      <c r="BY143" s="449">
        <f t="shared" si="811"/>
        <v>0</v>
      </c>
      <c r="BZ143" s="449">
        <f t="shared" si="812"/>
        <v>33.44</v>
      </c>
      <c r="CA143" s="449">
        <f t="shared" si="813"/>
        <v>0</v>
      </c>
      <c r="CB143" s="449">
        <f t="shared" si="814"/>
        <v>0</v>
      </c>
      <c r="CC143" s="449">
        <f t="shared" si="815"/>
        <v>0</v>
      </c>
      <c r="CD143" s="449">
        <f t="shared" si="816"/>
        <v>0</v>
      </c>
      <c r="CE143" s="449">
        <f t="shared" si="817"/>
        <v>0</v>
      </c>
      <c r="CF143" s="449">
        <f t="shared" si="818"/>
        <v>0</v>
      </c>
      <c r="CG143" s="449">
        <f t="shared" si="819"/>
        <v>0</v>
      </c>
      <c r="CH143" s="449">
        <f t="shared" si="820"/>
        <v>0</v>
      </c>
      <c r="CI143" s="449">
        <f t="shared" si="821"/>
        <v>0</v>
      </c>
      <c r="CJ143" s="472">
        <f t="shared" si="822"/>
        <v>0</v>
      </c>
      <c r="CK143" s="449">
        <f t="shared" si="823"/>
        <v>0</v>
      </c>
      <c r="CL143" s="449">
        <f t="shared" si="824"/>
        <v>0</v>
      </c>
      <c r="CM143" s="449">
        <f t="shared" si="825"/>
        <v>0</v>
      </c>
      <c r="CN143" s="453">
        <f t="shared" si="826"/>
        <v>0</v>
      </c>
      <c r="CO143" s="453">
        <f t="shared" si="827"/>
        <v>0</v>
      </c>
      <c r="CP143" s="453">
        <f t="shared" si="828"/>
        <v>0</v>
      </c>
      <c r="CQ143" s="453">
        <f t="shared" si="829"/>
        <v>0</v>
      </c>
      <c r="CR143" s="453">
        <f t="shared" si="830"/>
        <v>0</v>
      </c>
      <c r="CS143" s="453">
        <f t="shared" si="831"/>
        <v>0</v>
      </c>
      <c r="CT143" s="473">
        <f t="shared" si="832"/>
        <v>0</v>
      </c>
      <c r="CU143" s="470">
        <f t="shared" si="833"/>
        <v>1</v>
      </c>
      <c r="CV143" s="470">
        <f t="shared" si="834"/>
        <v>0</v>
      </c>
      <c r="CW143" s="470">
        <f t="shared" si="835"/>
        <v>1</v>
      </c>
      <c r="CX143" s="470">
        <f t="shared" si="836"/>
        <v>0</v>
      </c>
      <c r="CY143" s="470">
        <f t="shared" si="837"/>
        <v>0</v>
      </c>
      <c r="CZ143" s="470">
        <f t="shared" si="838"/>
        <v>0</v>
      </c>
      <c r="DA143" s="478">
        <f t="shared" si="839"/>
        <v>1.9500000000000002</v>
      </c>
      <c r="DB143" s="469">
        <v>1.3</v>
      </c>
      <c r="DC143" s="469">
        <v>1.4</v>
      </c>
      <c r="DD143" s="469">
        <v>2</v>
      </c>
      <c r="DE143" s="469">
        <v>2</v>
      </c>
      <c r="DF143" s="476">
        <v>2</v>
      </c>
      <c r="DG143" s="456">
        <f t="shared" si="840"/>
        <v>0</v>
      </c>
      <c r="DH143" s="476">
        <f t="shared" si="841"/>
        <v>0</v>
      </c>
      <c r="DI143" s="476">
        <f t="shared" si="842"/>
        <v>0</v>
      </c>
      <c r="DJ143" s="476">
        <f t="shared" si="843"/>
        <v>100.32</v>
      </c>
      <c r="DK143" s="476">
        <f t="shared" si="844"/>
        <v>100.32</v>
      </c>
      <c r="DL143" s="476">
        <f t="shared" si="845"/>
        <v>35.780800000000035</v>
      </c>
      <c r="DM143" s="476">
        <f t="shared" si="846"/>
        <v>0</v>
      </c>
      <c r="DN143" s="476">
        <f t="shared" si="847"/>
        <v>0</v>
      </c>
      <c r="DO143" s="476">
        <f t="shared" si="848"/>
        <v>0</v>
      </c>
      <c r="DP143" s="476">
        <f t="shared" si="849"/>
        <v>0</v>
      </c>
      <c r="DQ143" s="445"/>
      <c r="DR143" s="479">
        <f>D143-M143/1000</f>
        <v>2.75</v>
      </c>
    </row>
    <row r="144" spans="1:122" s="86" customFormat="1" x14ac:dyDescent="0.25">
      <c r="A144" s="86" t="s">
        <v>2070</v>
      </c>
      <c r="B144" s="101"/>
      <c r="C144" s="101" t="str">
        <f>'Planilha Hidráulica'!B151</f>
        <v>PV4.1-&gt;PV5.1</v>
      </c>
      <c r="D144" s="258">
        <f>'Planilha Hidráulica'!R151</f>
        <v>3.2</v>
      </c>
      <c r="E144" s="258">
        <f>'Planilha Hidráulica'!S151</f>
        <v>3.22</v>
      </c>
      <c r="F144" s="258">
        <f>'Planilha Hidráulica'!K151</f>
        <v>33.44</v>
      </c>
      <c r="G144" s="101">
        <f>'Planilha Hidráulica'!M151</f>
        <v>800</v>
      </c>
      <c r="H144" s="449">
        <f t="shared" si="752"/>
        <v>3.47</v>
      </c>
      <c r="I144" s="102">
        <f t="shared" si="753"/>
        <v>5.8018400000000003</v>
      </c>
      <c r="J144" s="467">
        <v>0</v>
      </c>
      <c r="K144" s="449">
        <f t="shared" si="754"/>
        <v>1.7</v>
      </c>
      <c r="L144" s="449">
        <f t="shared" si="755"/>
        <v>1.7</v>
      </c>
      <c r="M144" s="449">
        <f>'Planilha Hidráulica'!X151</f>
        <v>600</v>
      </c>
      <c r="N144" s="449">
        <f t="shared" si="756"/>
        <v>56.847999999999992</v>
      </c>
      <c r="O144" s="468" t="str">
        <f>'Planilha Hidráulica'!W151</f>
        <v>ASFALTO</v>
      </c>
      <c r="P144" s="468" t="s">
        <v>2080</v>
      </c>
      <c r="Q144" s="468"/>
      <c r="R144" s="468">
        <v>5</v>
      </c>
      <c r="S144" s="468">
        <v>5</v>
      </c>
      <c r="T144" s="449">
        <f t="shared" si="757"/>
        <v>0.1</v>
      </c>
      <c r="U144" s="453">
        <f t="shared" si="758"/>
        <v>9.4549372502438409</v>
      </c>
      <c r="V144" s="106">
        <f t="shared" si="759"/>
        <v>187.80762274975615</v>
      </c>
      <c r="W144" s="107">
        <f t="shared" si="760"/>
        <v>0</v>
      </c>
      <c r="X144" s="107">
        <f t="shared" si="761"/>
        <v>0</v>
      </c>
      <c r="Y144" s="453">
        <f t="shared" si="762"/>
        <v>3.47</v>
      </c>
      <c r="Z144" s="453">
        <f t="shared" si="763"/>
        <v>0</v>
      </c>
      <c r="AA144" s="456">
        <f t="shared" si="764"/>
        <v>56.847999999999992</v>
      </c>
      <c r="AB144" s="469">
        <f t="shared" si="765"/>
        <v>0</v>
      </c>
      <c r="AC144" s="109">
        <f t="shared" si="766"/>
        <v>0</v>
      </c>
      <c r="AD144" s="109">
        <f t="shared" si="767"/>
        <v>0</v>
      </c>
      <c r="AE144" s="109">
        <f t="shared" si="768"/>
        <v>0</v>
      </c>
      <c r="AF144" s="109">
        <f t="shared" si="769"/>
        <v>0</v>
      </c>
      <c r="AG144" s="109">
        <f t="shared" si="770"/>
        <v>0</v>
      </c>
      <c r="AH144" s="109">
        <f t="shared" si="771"/>
        <v>0</v>
      </c>
      <c r="AI144" s="109">
        <f t="shared" si="772"/>
        <v>0</v>
      </c>
      <c r="AJ144" s="456">
        <f t="shared" si="773"/>
        <v>0</v>
      </c>
      <c r="AK144" s="456">
        <f t="shared" si="774"/>
        <v>0</v>
      </c>
      <c r="AL144" s="456">
        <f t="shared" si="775"/>
        <v>85.271999999999991</v>
      </c>
      <c r="AM144" s="456">
        <f t="shared" si="776"/>
        <v>85.271999999999991</v>
      </c>
      <c r="AN144" s="456">
        <f t="shared" si="851"/>
        <v>17.263622749756166</v>
      </c>
      <c r="AO144" s="456">
        <f t="shared" si="777"/>
        <v>0</v>
      </c>
      <c r="AP144" s="456">
        <f t="shared" si="778"/>
        <v>0</v>
      </c>
      <c r="AQ144" s="456">
        <f t="shared" si="779"/>
        <v>0</v>
      </c>
      <c r="AR144" s="104">
        <f t="shared" si="780"/>
        <v>0</v>
      </c>
      <c r="AS144" s="449">
        <f t="shared" si="781"/>
        <v>0</v>
      </c>
      <c r="AT144" s="104">
        <f t="shared" si="782"/>
        <v>180.45378266623314</v>
      </c>
      <c r="AU144" s="102">
        <f t="shared" si="783"/>
        <v>0</v>
      </c>
      <c r="AV144" s="106">
        <f t="shared" si="784"/>
        <v>5.6847999999999992</v>
      </c>
      <c r="AW144" s="104">
        <f t="shared" si="785"/>
        <v>0</v>
      </c>
      <c r="AX144" s="104">
        <f t="shared" si="786"/>
        <v>0</v>
      </c>
      <c r="AY144" s="104">
        <f t="shared" si="787"/>
        <v>1</v>
      </c>
      <c r="AZ144" s="104">
        <f t="shared" si="788"/>
        <v>40.039222666233158</v>
      </c>
      <c r="BA144" s="104">
        <f t="shared" si="789"/>
        <v>40.039222666233158</v>
      </c>
      <c r="BB144" s="104">
        <f t="shared" si="790"/>
        <v>8.5271999999999988</v>
      </c>
      <c r="BC144" s="104">
        <f t="shared" si="791"/>
        <v>8.5271999999999988</v>
      </c>
      <c r="BD144" s="104">
        <f t="shared" si="792"/>
        <v>1.7054399999999996</v>
      </c>
      <c r="BE144" s="104">
        <f t="shared" si="793"/>
        <v>117.67536</v>
      </c>
      <c r="BF144" s="104">
        <f t="shared" si="794"/>
        <v>139.24120008352298</v>
      </c>
      <c r="BG144" s="104">
        <f t="shared" si="795"/>
        <v>117.67536</v>
      </c>
      <c r="BH144" s="104">
        <f t="shared" si="796"/>
        <v>21.565840083522986</v>
      </c>
      <c r="BI144" s="104">
        <f t="shared" si="797"/>
        <v>0</v>
      </c>
      <c r="BJ144" s="102">
        <f t="shared" si="850"/>
        <v>0</v>
      </c>
      <c r="BK144" s="104">
        <f t="shared" si="798"/>
        <v>0</v>
      </c>
      <c r="BL144" s="104"/>
      <c r="BM144" s="104">
        <f t="shared" si="799"/>
        <v>0.34108799999999995</v>
      </c>
      <c r="BN144" s="456">
        <f t="shared" si="800"/>
        <v>0</v>
      </c>
      <c r="BO144" s="471">
        <f t="shared" si="801"/>
        <v>0</v>
      </c>
      <c r="BP144" s="471">
        <f t="shared" si="802"/>
        <v>0</v>
      </c>
      <c r="BQ144" s="471">
        <f t="shared" si="803"/>
        <v>0</v>
      </c>
      <c r="BR144" s="449">
        <f t="shared" si="804"/>
        <v>0</v>
      </c>
      <c r="BS144" s="449">
        <f t="shared" si="805"/>
        <v>0</v>
      </c>
      <c r="BT144" s="449">
        <f t="shared" si="806"/>
        <v>0</v>
      </c>
      <c r="BU144" s="449">
        <f t="shared" si="807"/>
        <v>0</v>
      </c>
      <c r="BV144" s="449">
        <f t="shared" si="808"/>
        <v>0</v>
      </c>
      <c r="BW144" s="449">
        <f t="shared" si="809"/>
        <v>0</v>
      </c>
      <c r="BX144" s="449">
        <f t="shared" si="810"/>
        <v>3.47</v>
      </c>
      <c r="BY144" s="449">
        <f t="shared" si="811"/>
        <v>0</v>
      </c>
      <c r="BZ144" s="449">
        <f t="shared" si="812"/>
        <v>33.44</v>
      </c>
      <c r="CA144" s="449">
        <f t="shared" si="813"/>
        <v>0</v>
      </c>
      <c r="CB144" s="449">
        <f t="shared" si="814"/>
        <v>0</v>
      </c>
      <c r="CC144" s="449">
        <f t="shared" si="815"/>
        <v>0</v>
      </c>
      <c r="CD144" s="449">
        <f t="shared" si="816"/>
        <v>0</v>
      </c>
      <c r="CE144" s="449">
        <f t="shared" si="817"/>
        <v>0</v>
      </c>
      <c r="CF144" s="449">
        <f t="shared" si="818"/>
        <v>0</v>
      </c>
      <c r="CG144" s="449">
        <f t="shared" si="819"/>
        <v>0</v>
      </c>
      <c r="CH144" s="449">
        <f t="shared" si="820"/>
        <v>0</v>
      </c>
      <c r="CI144" s="449">
        <f t="shared" si="821"/>
        <v>0</v>
      </c>
      <c r="CJ144" s="472">
        <f t="shared" si="822"/>
        <v>0</v>
      </c>
      <c r="CK144" s="449">
        <f t="shared" si="823"/>
        <v>0</v>
      </c>
      <c r="CL144" s="449">
        <f t="shared" si="824"/>
        <v>0</v>
      </c>
      <c r="CM144" s="449">
        <f t="shared" si="825"/>
        <v>0</v>
      </c>
      <c r="CN144" s="453">
        <f t="shared" si="826"/>
        <v>0</v>
      </c>
      <c r="CO144" s="453">
        <f t="shared" si="827"/>
        <v>0</v>
      </c>
      <c r="CP144" s="453">
        <f t="shared" si="828"/>
        <v>0</v>
      </c>
      <c r="CQ144" s="453">
        <f t="shared" si="829"/>
        <v>0</v>
      </c>
      <c r="CR144" s="453">
        <f t="shared" si="830"/>
        <v>0</v>
      </c>
      <c r="CS144" s="453">
        <f t="shared" si="831"/>
        <v>0</v>
      </c>
      <c r="CT144" s="473">
        <f t="shared" si="832"/>
        <v>0</v>
      </c>
      <c r="CU144" s="470">
        <f t="shared" si="833"/>
        <v>1</v>
      </c>
      <c r="CV144" s="470">
        <f t="shared" si="834"/>
        <v>0</v>
      </c>
      <c r="CW144" s="470">
        <f t="shared" si="835"/>
        <v>1</v>
      </c>
      <c r="CX144" s="470">
        <f t="shared" si="836"/>
        <v>0</v>
      </c>
      <c r="CY144" s="470">
        <f t="shared" si="837"/>
        <v>0</v>
      </c>
      <c r="CZ144" s="470">
        <f t="shared" si="838"/>
        <v>0</v>
      </c>
      <c r="DA144" s="478">
        <f t="shared" si="839"/>
        <v>1.8000000000000003</v>
      </c>
      <c r="DB144" s="469">
        <v>1.3</v>
      </c>
      <c r="DC144" s="469">
        <v>1.4</v>
      </c>
      <c r="DD144" s="469">
        <v>2</v>
      </c>
      <c r="DE144" s="469">
        <v>2</v>
      </c>
      <c r="DF144" s="476">
        <v>2</v>
      </c>
      <c r="DG144" s="456">
        <f t="shared" si="840"/>
        <v>0</v>
      </c>
      <c r="DH144" s="476">
        <f t="shared" si="841"/>
        <v>0</v>
      </c>
      <c r="DI144" s="476">
        <f t="shared" si="842"/>
        <v>0</v>
      </c>
      <c r="DJ144" s="476">
        <f t="shared" si="843"/>
        <v>100.32</v>
      </c>
      <c r="DK144" s="476">
        <f t="shared" si="844"/>
        <v>100.32</v>
      </c>
      <c r="DL144" s="476">
        <f t="shared" si="845"/>
        <v>31.433600000000013</v>
      </c>
      <c r="DM144" s="476">
        <f t="shared" si="846"/>
        <v>0</v>
      </c>
      <c r="DN144" s="476">
        <f t="shared" si="847"/>
        <v>0</v>
      </c>
      <c r="DO144" s="476">
        <f t="shared" si="848"/>
        <v>0</v>
      </c>
      <c r="DP144" s="476">
        <f t="shared" si="849"/>
        <v>0</v>
      </c>
      <c r="DQ144" s="445"/>
      <c r="DR144" s="479">
        <f>D144-M144/1000</f>
        <v>2.6</v>
      </c>
    </row>
    <row r="145" spans="1:122" s="86" customFormat="1" x14ac:dyDescent="0.25">
      <c r="A145" s="86" t="s">
        <v>2070</v>
      </c>
      <c r="B145" s="101"/>
      <c r="C145" s="101" t="str">
        <f>'Planilha Hidráulica'!B152</f>
        <v>PV5.1-&gt;PV6.1</v>
      </c>
      <c r="D145" s="258">
        <f>'Planilha Hidráulica'!R152</f>
        <v>3.44</v>
      </c>
      <c r="E145" s="258">
        <f>'Planilha Hidráulica'!S152</f>
        <v>3.46</v>
      </c>
      <c r="F145" s="258">
        <f>'Planilha Hidráulica'!K152</f>
        <v>33.64</v>
      </c>
      <c r="G145" s="101">
        <f>'Planilha Hidráulica'!M152</f>
        <v>1000</v>
      </c>
      <c r="H145" s="449">
        <f t="shared" si="752"/>
        <v>3.8000000000000003</v>
      </c>
      <c r="I145" s="102">
        <f t="shared" si="753"/>
        <v>6.3916000000000004</v>
      </c>
      <c r="J145" s="467">
        <v>0</v>
      </c>
      <c r="K145" s="449">
        <f t="shared" si="754"/>
        <v>2</v>
      </c>
      <c r="L145" s="449">
        <f t="shared" si="755"/>
        <v>2</v>
      </c>
      <c r="M145" s="449">
        <f>'Planilha Hidráulica'!X152</f>
        <v>800</v>
      </c>
      <c r="N145" s="449">
        <f t="shared" si="756"/>
        <v>67.28</v>
      </c>
      <c r="O145" s="468" t="str">
        <f>'Planilha Hidráulica'!W152</f>
        <v>ASFALTO</v>
      </c>
      <c r="P145" s="468" t="s">
        <v>2081</v>
      </c>
      <c r="Q145" s="468"/>
      <c r="R145" s="468">
        <v>5</v>
      </c>
      <c r="S145" s="468">
        <v>5</v>
      </c>
      <c r="T145" s="449">
        <f t="shared" si="757"/>
        <v>0.15</v>
      </c>
      <c r="U145" s="453">
        <f t="shared" si="758"/>
        <v>16.909308298681704</v>
      </c>
      <c r="V145" s="106">
        <f t="shared" si="759"/>
        <v>238.75469170131831</v>
      </c>
      <c r="W145" s="107">
        <f t="shared" si="760"/>
        <v>0</v>
      </c>
      <c r="X145" s="107">
        <f t="shared" si="761"/>
        <v>0</v>
      </c>
      <c r="Y145" s="453">
        <f t="shared" si="762"/>
        <v>3.8000000000000003</v>
      </c>
      <c r="Z145" s="453">
        <f t="shared" si="763"/>
        <v>0</v>
      </c>
      <c r="AA145" s="456">
        <f t="shared" si="764"/>
        <v>67.28</v>
      </c>
      <c r="AB145" s="469">
        <f t="shared" si="765"/>
        <v>0</v>
      </c>
      <c r="AC145" s="109">
        <f t="shared" si="766"/>
        <v>0</v>
      </c>
      <c r="AD145" s="109">
        <f t="shared" si="767"/>
        <v>0</v>
      </c>
      <c r="AE145" s="109">
        <f t="shared" si="768"/>
        <v>0</v>
      </c>
      <c r="AF145" s="109">
        <f t="shared" si="769"/>
        <v>0</v>
      </c>
      <c r="AG145" s="109">
        <f t="shared" si="770"/>
        <v>0</v>
      </c>
      <c r="AH145" s="109">
        <f t="shared" si="771"/>
        <v>0</v>
      </c>
      <c r="AI145" s="109">
        <f t="shared" si="772"/>
        <v>0</v>
      </c>
      <c r="AJ145" s="456">
        <f t="shared" si="773"/>
        <v>0</v>
      </c>
      <c r="AK145" s="456">
        <f t="shared" si="774"/>
        <v>0</v>
      </c>
      <c r="AL145" s="456">
        <f t="shared" si="775"/>
        <v>100.92</v>
      </c>
      <c r="AM145" s="456">
        <f t="shared" si="776"/>
        <v>100.92</v>
      </c>
      <c r="AN145" s="456">
        <f t="shared" si="851"/>
        <v>36.914691701318318</v>
      </c>
      <c r="AO145" s="456">
        <f t="shared" si="777"/>
        <v>0</v>
      </c>
      <c r="AP145" s="456">
        <f t="shared" si="778"/>
        <v>0</v>
      </c>
      <c r="AQ145" s="456">
        <f t="shared" si="779"/>
        <v>0</v>
      </c>
      <c r="AR145" s="104">
        <f t="shared" si="780"/>
        <v>0</v>
      </c>
      <c r="AS145" s="449">
        <f t="shared" si="781"/>
        <v>0</v>
      </c>
      <c r="AT145" s="104">
        <f t="shared" si="782"/>
        <v>229.24320578330986</v>
      </c>
      <c r="AU145" s="102">
        <f t="shared" si="783"/>
        <v>0</v>
      </c>
      <c r="AV145" s="106">
        <f t="shared" si="784"/>
        <v>10.092000000000001</v>
      </c>
      <c r="AW145" s="104">
        <f t="shared" si="785"/>
        <v>0</v>
      </c>
      <c r="AX145" s="104">
        <f t="shared" si="786"/>
        <v>0</v>
      </c>
      <c r="AY145" s="104">
        <f t="shared" si="787"/>
        <v>1.2</v>
      </c>
      <c r="AZ145" s="104">
        <f t="shared" si="788"/>
        <v>54.315205783309843</v>
      </c>
      <c r="BA145" s="104">
        <f t="shared" si="789"/>
        <v>54.315205783309843</v>
      </c>
      <c r="BB145" s="104">
        <f t="shared" si="790"/>
        <v>10.092000000000001</v>
      </c>
      <c r="BC145" s="104">
        <f t="shared" si="791"/>
        <v>10.092000000000001</v>
      </c>
      <c r="BD145" s="104">
        <f t="shared" si="792"/>
        <v>2.0183999999999997</v>
      </c>
      <c r="BE145" s="104">
        <f t="shared" si="793"/>
        <v>144.65199999999999</v>
      </c>
      <c r="BF145" s="104">
        <f t="shared" si="794"/>
        <v>174.34748591800849</v>
      </c>
      <c r="BG145" s="104">
        <f t="shared" si="795"/>
        <v>144.65199999999999</v>
      </c>
      <c r="BH145" s="104">
        <f t="shared" si="796"/>
        <v>29.695485918008501</v>
      </c>
      <c r="BI145" s="104">
        <f t="shared" si="797"/>
        <v>0</v>
      </c>
      <c r="BJ145" s="102">
        <f t="shared" si="850"/>
        <v>0</v>
      </c>
      <c r="BK145" s="104">
        <f t="shared" si="798"/>
        <v>0</v>
      </c>
      <c r="BL145" s="104"/>
      <c r="BM145" s="104">
        <f t="shared" si="799"/>
        <v>0.40368000000000004</v>
      </c>
      <c r="BN145" s="456">
        <f t="shared" si="800"/>
        <v>0</v>
      </c>
      <c r="BO145" s="471">
        <f t="shared" si="801"/>
        <v>0</v>
      </c>
      <c r="BP145" s="471">
        <f t="shared" si="802"/>
        <v>0</v>
      </c>
      <c r="BQ145" s="471">
        <f t="shared" si="803"/>
        <v>0</v>
      </c>
      <c r="BR145" s="449">
        <f t="shared" si="804"/>
        <v>0</v>
      </c>
      <c r="BS145" s="449">
        <f t="shared" si="805"/>
        <v>0</v>
      </c>
      <c r="BT145" s="449">
        <f t="shared" si="806"/>
        <v>0</v>
      </c>
      <c r="BU145" s="449">
        <f t="shared" si="807"/>
        <v>0</v>
      </c>
      <c r="BV145" s="449">
        <f t="shared" si="808"/>
        <v>0</v>
      </c>
      <c r="BW145" s="449">
        <f t="shared" si="809"/>
        <v>0</v>
      </c>
      <c r="BX145" s="449">
        <f t="shared" si="810"/>
        <v>0</v>
      </c>
      <c r="BY145" s="449">
        <f t="shared" si="811"/>
        <v>0</v>
      </c>
      <c r="BZ145" s="449">
        <f t="shared" si="812"/>
        <v>0</v>
      </c>
      <c r="CA145" s="449">
        <f t="shared" si="813"/>
        <v>0</v>
      </c>
      <c r="CB145" s="449">
        <f t="shared" si="814"/>
        <v>3.8000000000000003</v>
      </c>
      <c r="CC145" s="449">
        <f t="shared" si="815"/>
        <v>0</v>
      </c>
      <c r="CD145" s="449">
        <f t="shared" si="816"/>
        <v>33.64</v>
      </c>
      <c r="CE145" s="449">
        <f t="shared" si="817"/>
        <v>0</v>
      </c>
      <c r="CF145" s="449">
        <f t="shared" si="818"/>
        <v>0</v>
      </c>
      <c r="CG145" s="449">
        <f t="shared" si="819"/>
        <v>0</v>
      </c>
      <c r="CH145" s="449">
        <f t="shared" si="820"/>
        <v>0</v>
      </c>
      <c r="CI145" s="449">
        <f t="shared" si="821"/>
        <v>0</v>
      </c>
      <c r="CJ145" s="472">
        <f t="shared" si="822"/>
        <v>0</v>
      </c>
      <c r="CK145" s="449">
        <f t="shared" si="823"/>
        <v>0</v>
      </c>
      <c r="CL145" s="449">
        <f t="shared" si="824"/>
        <v>0</v>
      </c>
      <c r="CM145" s="449">
        <f t="shared" si="825"/>
        <v>0</v>
      </c>
      <c r="CN145" s="453">
        <f t="shared" si="826"/>
        <v>0</v>
      </c>
      <c r="CO145" s="453">
        <f t="shared" si="827"/>
        <v>0</v>
      </c>
      <c r="CP145" s="453">
        <f t="shared" si="828"/>
        <v>0</v>
      </c>
      <c r="CQ145" s="453">
        <f t="shared" si="829"/>
        <v>0</v>
      </c>
      <c r="CR145" s="453">
        <f t="shared" si="830"/>
        <v>0</v>
      </c>
      <c r="CS145" s="453">
        <f t="shared" si="831"/>
        <v>0</v>
      </c>
      <c r="CT145" s="473">
        <f t="shared" si="832"/>
        <v>0</v>
      </c>
      <c r="CU145" s="470">
        <f t="shared" si="833"/>
        <v>1</v>
      </c>
      <c r="CV145" s="470">
        <f t="shared" si="834"/>
        <v>0</v>
      </c>
      <c r="CW145" s="470">
        <f t="shared" si="835"/>
        <v>0</v>
      </c>
      <c r="CX145" s="470">
        <f t="shared" si="836"/>
        <v>1</v>
      </c>
      <c r="CY145" s="470">
        <f t="shared" si="837"/>
        <v>0</v>
      </c>
      <c r="CZ145" s="470">
        <f t="shared" si="838"/>
        <v>0</v>
      </c>
      <c r="DA145" s="478">
        <f t="shared" si="839"/>
        <v>1.44</v>
      </c>
      <c r="DB145" s="469">
        <v>1.3</v>
      </c>
      <c r="DC145" s="469">
        <v>1.4</v>
      </c>
      <c r="DD145" s="469">
        <v>2</v>
      </c>
      <c r="DE145" s="469">
        <v>2</v>
      </c>
      <c r="DF145" s="476">
        <v>2</v>
      </c>
      <c r="DG145" s="456">
        <f t="shared" si="840"/>
        <v>0</v>
      </c>
      <c r="DH145" s="476">
        <f t="shared" si="841"/>
        <v>0</v>
      </c>
      <c r="DI145" s="476">
        <f t="shared" si="842"/>
        <v>0</v>
      </c>
      <c r="DJ145" s="476">
        <f t="shared" si="843"/>
        <v>100.92</v>
      </c>
      <c r="DK145" s="476">
        <f t="shared" si="844"/>
        <v>100.92</v>
      </c>
      <c r="DL145" s="476">
        <f t="shared" si="845"/>
        <v>53.824000000000019</v>
      </c>
      <c r="DM145" s="476">
        <f t="shared" si="846"/>
        <v>0</v>
      </c>
      <c r="DN145" s="476">
        <f t="shared" si="847"/>
        <v>0</v>
      </c>
      <c r="DO145" s="476">
        <f t="shared" si="848"/>
        <v>0</v>
      </c>
      <c r="DP145" s="476">
        <f t="shared" si="849"/>
        <v>0</v>
      </c>
      <c r="DQ145" s="445"/>
      <c r="DR145" s="479"/>
    </row>
    <row r="146" spans="1:122" s="86" customFormat="1" x14ac:dyDescent="0.25">
      <c r="A146" s="86" t="s">
        <v>2070</v>
      </c>
      <c r="B146" s="101"/>
      <c r="C146" s="101" t="str">
        <f>'Planilha Hidráulica'!B153</f>
        <v>PV6.1-&gt;PV7.1</v>
      </c>
      <c r="D146" s="258">
        <f>'Planilha Hidráulica'!R153</f>
        <v>3.46</v>
      </c>
      <c r="E146" s="258">
        <f>'Planilha Hidráulica'!S153</f>
        <v>3.44</v>
      </c>
      <c r="F146" s="258">
        <f>'Planilha Hidráulica'!K153</f>
        <v>33.64</v>
      </c>
      <c r="G146" s="101">
        <f>'Planilha Hidráulica'!M153</f>
        <v>1000</v>
      </c>
      <c r="H146" s="449">
        <f t="shared" si="752"/>
        <v>3.8000000000000003</v>
      </c>
      <c r="I146" s="102">
        <f t="shared" si="753"/>
        <v>6.3916000000000004</v>
      </c>
      <c r="J146" s="467">
        <v>0</v>
      </c>
      <c r="K146" s="449">
        <f t="shared" si="754"/>
        <v>2</v>
      </c>
      <c r="L146" s="449">
        <f t="shared" si="755"/>
        <v>2</v>
      </c>
      <c r="M146" s="449">
        <f>'Planilha Hidráulica'!X153</f>
        <v>800</v>
      </c>
      <c r="N146" s="449">
        <f t="shared" si="756"/>
        <v>67.28</v>
      </c>
      <c r="O146" s="468" t="str">
        <f>'Planilha Hidráulica'!W153</f>
        <v>ASFALTO</v>
      </c>
      <c r="P146" s="468" t="s">
        <v>2081</v>
      </c>
      <c r="Q146" s="468"/>
      <c r="R146" s="468">
        <v>5</v>
      </c>
      <c r="S146" s="468">
        <v>5</v>
      </c>
      <c r="T146" s="449">
        <f t="shared" si="757"/>
        <v>0.15</v>
      </c>
      <c r="U146" s="453">
        <f t="shared" si="758"/>
        <v>16.909308298681704</v>
      </c>
      <c r="V146" s="106">
        <f t="shared" si="759"/>
        <v>238.75469170131831</v>
      </c>
      <c r="W146" s="107">
        <f t="shared" si="760"/>
        <v>0</v>
      </c>
      <c r="X146" s="107">
        <f t="shared" si="761"/>
        <v>0</v>
      </c>
      <c r="Y146" s="453">
        <f t="shared" si="762"/>
        <v>3.8000000000000003</v>
      </c>
      <c r="Z146" s="453">
        <f t="shared" si="763"/>
        <v>0</v>
      </c>
      <c r="AA146" s="456">
        <f t="shared" si="764"/>
        <v>67.28</v>
      </c>
      <c r="AB146" s="469">
        <f t="shared" si="765"/>
        <v>0</v>
      </c>
      <c r="AC146" s="109">
        <f t="shared" si="766"/>
        <v>0</v>
      </c>
      <c r="AD146" s="109">
        <f t="shared" si="767"/>
        <v>0</v>
      </c>
      <c r="AE146" s="109">
        <f t="shared" si="768"/>
        <v>0</v>
      </c>
      <c r="AF146" s="109">
        <f t="shared" si="769"/>
        <v>0</v>
      </c>
      <c r="AG146" s="109">
        <f t="shared" si="770"/>
        <v>0</v>
      </c>
      <c r="AH146" s="109">
        <f t="shared" si="771"/>
        <v>0</v>
      </c>
      <c r="AI146" s="109">
        <f t="shared" si="772"/>
        <v>0</v>
      </c>
      <c r="AJ146" s="456">
        <f t="shared" si="773"/>
        <v>0</v>
      </c>
      <c r="AK146" s="456">
        <f t="shared" si="774"/>
        <v>0</v>
      </c>
      <c r="AL146" s="456">
        <f t="shared" si="775"/>
        <v>100.92</v>
      </c>
      <c r="AM146" s="456">
        <f t="shared" si="776"/>
        <v>100.92</v>
      </c>
      <c r="AN146" s="456">
        <f t="shared" si="851"/>
        <v>36.914691701318318</v>
      </c>
      <c r="AO146" s="456">
        <f t="shared" si="777"/>
        <v>0</v>
      </c>
      <c r="AP146" s="456">
        <f t="shared" si="778"/>
        <v>0</v>
      </c>
      <c r="AQ146" s="456">
        <f t="shared" si="779"/>
        <v>0</v>
      </c>
      <c r="AR146" s="104">
        <f t="shared" si="780"/>
        <v>0</v>
      </c>
      <c r="AS146" s="449">
        <f t="shared" si="781"/>
        <v>0</v>
      </c>
      <c r="AT146" s="104">
        <f t="shared" si="782"/>
        <v>229.24320578330986</v>
      </c>
      <c r="AU146" s="102">
        <f t="shared" si="783"/>
        <v>0</v>
      </c>
      <c r="AV146" s="106">
        <f t="shared" si="784"/>
        <v>10.092000000000001</v>
      </c>
      <c r="AW146" s="104">
        <f t="shared" si="785"/>
        <v>0</v>
      </c>
      <c r="AX146" s="104">
        <f t="shared" si="786"/>
        <v>0</v>
      </c>
      <c r="AY146" s="104">
        <f t="shared" si="787"/>
        <v>1.2</v>
      </c>
      <c r="AZ146" s="104">
        <f t="shared" si="788"/>
        <v>54.315205783309843</v>
      </c>
      <c r="BA146" s="104">
        <f t="shared" si="789"/>
        <v>54.315205783309843</v>
      </c>
      <c r="BB146" s="104">
        <f t="shared" si="790"/>
        <v>10.092000000000001</v>
      </c>
      <c r="BC146" s="104">
        <f t="shared" si="791"/>
        <v>10.092000000000001</v>
      </c>
      <c r="BD146" s="104">
        <f t="shared" si="792"/>
        <v>2.0183999999999997</v>
      </c>
      <c r="BE146" s="104">
        <f t="shared" si="793"/>
        <v>144.65199999999999</v>
      </c>
      <c r="BF146" s="104">
        <f t="shared" si="794"/>
        <v>174.34748591800849</v>
      </c>
      <c r="BG146" s="104">
        <f t="shared" si="795"/>
        <v>144.65199999999999</v>
      </c>
      <c r="BH146" s="104">
        <f t="shared" si="796"/>
        <v>29.695485918008501</v>
      </c>
      <c r="BI146" s="104">
        <f t="shared" si="797"/>
        <v>0</v>
      </c>
      <c r="BJ146" s="102">
        <f t="shared" si="850"/>
        <v>0</v>
      </c>
      <c r="BK146" s="104">
        <f t="shared" si="798"/>
        <v>0</v>
      </c>
      <c r="BL146" s="104"/>
      <c r="BM146" s="104">
        <f t="shared" si="799"/>
        <v>0.40368000000000004</v>
      </c>
      <c r="BN146" s="456">
        <f t="shared" si="800"/>
        <v>0</v>
      </c>
      <c r="BO146" s="471">
        <f t="shared" si="801"/>
        <v>0</v>
      </c>
      <c r="BP146" s="471">
        <f t="shared" si="802"/>
        <v>0</v>
      </c>
      <c r="BQ146" s="471">
        <f t="shared" si="803"/>
        <v>0</v>
      </c>
      <c r="BR146" s="449">
        <f t="shared" si="804"/>
        <v>0</v>
      </c>
      <c r="BS146" s="449">
        <f t="shared" si="805"/>
        <v>0</v>
      </c>
      <c r="BT146" s="449">
        <f t="shared" si="806"/>
        <v>0</v>
      </c>
      <c r="BU146" s="449">
        <f t="shared" si="807"/>
        <v>0</v>
      </c>
      <c r="BV146" s="449">
        <f t="shared" si="808"/>
        <v>0</v>
      </c>
      <c r="BW146" s="449">
        <f t="shared" si="809"/>
        <v>0</v>
      </c>
      <c r="BX146" s="449">
        <f t="shared" si="810"/>
        <v>0</v>
      </c>
      <c r="BY146" s="449">
        <f t="shared" si="811"/>
        <v>0</v>
      </c>
      <c r="BZ146" s="449">
        <f t="shared" si="812"/>
        <v>0</v>
      </c>
      <c r="CA146" s="449">
        <f t="shared" si="813"/>
        <v>0</v>
      </c>
      <c r="CB146" s="449">
        <f t="shared" si="814"/>
        <v>3.8000000000000003</v>
      </c>
      <c r="CC146" s="449">
        <f t="shared" si="815"/>
        <v>0</v>
      </c>
      <c r="CD146" s="449">
        <f t="shared" si="816"/>
        <v>33.64</v>
      </c>
      <c r="CE146" s="449">
        <f t="shared" si="817"/>
        <v>0</v>
      </c>
      <c r="CF146" s="449">
        <f t="shared" si="818"/>
        <v>0</v>
      </c>
      <c r="CG146" s="449">
        <f t="shared" si="819"/>
        <v>0</v>
      </c>
      <c r="CH146" s="449">
        <f t="shared" si="820"/>
        <v>0</v>
      </c>
      <c r="CI146" s="449">
        <f t="shared" si="821"/>
        <v>0</v>
      </c>
      <c r="CJ146" s="472">
        <f t="shared" si="822"/>
        <v>0</v>
      </c>
      <c r="CK146" s="449">
        <f t="shared" si="823"/>
        <v>0</v>
      </c>
      <c r="CL146" s="449">
        <f t="shared" si="824"/>
        <v>0</v>
      </c>
      <c r="CM146" s="449">
        <f t="shared" si="825"/>
        <v>0</v>
      </c>
      <c r="CN146" s="453">
        <f t="shared" si="826"/>
        <v>0</v>
      </c>
      <c r="CO146" s="453">
        <f t="shared" si="827"/>
        <v>0</v>
      </c>
      <c r="CP146" s="453">
        <f t="shared" si="828"/>
        <v>0</v>
      </c>
      <c r="CQ146" s="453">
        <f t="shared" si="829"/>
        <v>0</v>
      </c>
      <c r="CR146" s="453">
        <f t="shared" si="830"/>
        <v>0</v>
      </c>
      <c r="CS146" s="453">
        <f t="shared" si="831"/>
        <v>0</v>
      </c>
      <c r="CT146" s="473">
        <f t="shared" si="832"/>
        <v>0</v>
      </c>
      <c r="CU146" s="470">
        <f t="shared" si="833"/>
        <v>1</v>
      </c>
      <c r="CV146" s="470">
        <f t="shared" si="834"/>
        <v>0</v>
      </c>
      <c r="CW146" s="470">
        <f t="shared" si="835"/>
        <v>0</v>
      </c>
      <c r="CX146" s="470">
        <f t="shared" si="836"/>
        <v>1</v>
      </c>
      <c r="CY146" s="470">
        <f t="shared" si="837"/>
        <v>0</v>
      </c>
      <c r="CZ146" s="470">
        <f t="shared" si="838"/>
        <v>0</v>
      </c>
      <c r="DA146" s="478">
        <f t="shared" si="839"/>
        <v>1.46</v>
      </c>
      <c r="DB146" s="469">
        <v>1.3</v>
      </c>
      <c r="DC146" s="469">
        <v>1.4</v>
      </c>
      <c r="DD146" s="469">
        <v>2</v>
      </c>
      <c r="DE146" s="469">
        <v>2</v>
      </c>
      <c r="DF146" s="476">
        <v>2</v>
      </c>
      <c r="DG146" s="456">
        <f t="shared" si="840"/>
        <v>0</v>
      </c>
      <c r="DH146" s="476">
        <f t="shared" si="841"/>
        <v>0</v>
      </c>
      <c r="DI146" s="476">
        <f t="shared" si="842"/>
        <v>0</v>
      </c>
      <c r="DJ146" s="476">
        <f t="shared" si="843"/>
        <v>100.92</v>
      </c>
      <c r="DK146" s="476">
        <f t="shared" si="844"/>
        <v>100.92</v>
      </c>
      <c r="DL146" s="476">
        <f t="shared" si="845"/>
        <v>53.824000000000019</v>
      </c>
      <c r="DM146" s="476">
        <f t="shared" si="846"/>
        <v>0</v>
      </c>
      <c r="DN146" s="476">
        <f t="shared" si="847"/>
        <v>0</v>
      </c>
      <c r="DO146" s="476">
        <f t="shared" si="848"/>
        <v>0</v>
      </c>
      <c r="DP146" s="476">
        <f t="shared" si="849"/>
        <v>0</v>
      </c>
      <c r="DQ146" s="445"/>
      <c r="DR146" s="479"/>
    </row>
    <row r="147" spans="1:122" s="86" customFormat="1" x14ac:dyDescent="0.25">
      <c r="A147" s="86" t="s">
        <v>2070</v>
      </c>
      <c r="B147" s="101"/>
      <c r="C147" s="101" t="str">
        <f>'Planilha Hidráulica'!B154</f>
        <v>PV7.1-&gt;PV8.1</v>
      </c>
      <c r="D147" s="258">
        <f>'Planilha Hidráulica'!R154</f>
        <v>3.44</v>
      </c>
      <c r="E147" s="258">
        <f>'Planilha Hidráulica'!S154</f>
        <v>3.47</v>
      </c>
      <c r="F147" s="258">
        <f>'Planilha Hidráulica'!K154</f>
        <v>33.299999999999997</v>
      </c>
      <c r="G147" s="101">
        <f>'Planilha Hidráulica'!M154</f>
        <v>1000</v>
      </c>
      <c r="H147" s="449">
        <f t="shared" si="752"/>
        <v>3.8050000000000002</v>
      </c>
      <c r="I147" s="102">
        <f t="shared" si="753"/>
        <v>6.3353249999999992</v>
      </c>
      <c r="J147" s="467">
        <v>0</v>
      </c>
      <c r="K147" s="449">
        <f t="shared" si="754"/>
        <v>2</v>
      </c>
      <c r="L147" s="449">
        <f t="shared" si="755"/>
        <v>2</v>
      </c>
      <c r="M147" s="449">
        <f>'Planilha Hidráulica'!X154</f>
        <v>800</v>
      </c>
      <c r="N147" s="449">
        <f t="shared" si="756"/>
        <v>66.599999999999994</v>
      </c>
      <c r="O147" s="468" t="str">
        <f>'Planilha Hidráulica'!W154</f>
        <v>ASFALTO</v>
      </c>
      <c r="P147" s="468" t="s">
        <v>2081</v>
      </c>
      <c r="Q147" s="468"/>
      <c r="R147" s="468">
        <v>5</v>
      </c>
      <c r="S147" s="468">
        <v>5</v>
      </c>
      <c r="T147" s="449">
        <f t="shared" si="757"/>
        <v>0.15</v>
      </c>
      <c r="U147" s="453">
        <f t="shared" si="758"/>
        <v>16.738405658326418</v>
      </c>
      <c r="V147" s="106">
        <f t="shared" si="759"/>
        <v>236.67459434167355</v>
      </c>
      <c r="W147" s="107">
        <f t="shared" si="760"/>
        <v>0</v>
      </c>
      <c r="X147" s="107">
        <f t="shared" si="761"/>
        <v>0</v>
      </c>
      <c r="Y147" s="453">
        <f t="shared" si="762"/>
        <v>3.8050000000000002</v>
      </c>
      <c r="Z147" s="453">
        <f t="shared" si="763"/>
        <v>0</v>
      </c>
      <c r="AA147" s="456">
        <f t="shared" si="764"/>
        <v>66.599999999999994</v>
      </c>
      <c r="AB147" s="469">
        <f t="shared" si="765"/>
        <v>0</v>
      </c>
      <c r="AC147" s="109">
        <f t="shared" si="766"/>
        <v>0</v>
      </c>
      <c r="AD147" s="109">
        <f t="shared" si="767"/>
        <v>0</v>
      </c>
      <c r="AE147" s="109">
        <f t="shared" si="768"/>
        <v>0</v>
      </c>
      <c r="AF147" s="109">
        <f t="shared" si="769"/>
        <v>0</v>
      </c>
      <c r="AG147" s="109">
        <f t="shared" si="770"/>
        <v>0</v>
      </c>
      <c r="AH147" s="109">
        <f t="shared" si="771"/>
        <v>0</v>
      </c>
      <c r="AI147" s="109">
        <f t="shared" si="772"/>
        <v>0</v>
      </c>
      <c r="AJ147" s="456">
        <f t="shared" si="773"/>
        <v>0</v>
      </c>
      <c r="AK147" s="456">
        <f t="shared" si="774"/>
        <v>0</v>
      </c>
      <c r="AL147" s="456">
        <f t="shared" si="775"/>
        <v>99.899999999999991</v>
      </c>
      <c r="AM147" s="456">
        <f t="shared" si="776"/>
        <v>99.899999999999991</v>
      </c>
      <c r="AN147" s="456">
        <f t="shared" si="851"/>
        <v>36.874594341673586</v>
      </c>
      <c r="AO147" s="456">
        <f t="shared" si="777"/>
        <v>0</v>
      </c>
      <c r="AP147" s="456">
        <f t="shared" si="778"/>
        <v>0</v>
      </c>
      <c r="AQ147" s="456">
        <f t="shared" si="779"/>
        <v>0</v>
      </c>
      <c r="AR147" s="104">
        <f t="shared" si="780"/>
        <v>0</v>
      </c>
      <c r="AS147" s="449">
        <f t="shared" si="781"/>
        <v>0</v>
      </c>
      <c r="AT147" s="104">
        <f t="shared" si="782"/>
        <v>227.25924115886497</v>
      </c>
      <c r="AU147" s="102">
        <f t="shared" si="783"/>
        <v>0</v>
      </c>
      <c r="AV147" s="106">
        <f t="shared" si="784"/>
        <v>9.9899999999999984</v>
      </c>
      <c r="AW147" s="104">
        <f t="shared" si="785"/>
        <v>0</v>
      </c>
      <c r="AX147" s="104">
        <f t="shared" si="786"/>
        <v>0</v>
      </c>
      <c r="AY147" s="104">
        <f t="shared" si="787"/>
        <v>1.2</v>
      </c>
      <c r="AZ147" s="104">
        <f t="shared" si="788"/>
        <v>53.766241158864958</v>
      </c>
      <c r="BA147" s="104">
        <f t="shared" si="789"/>
        <v>53.766241158864958</v>
      </c>
      <c r="BB147" s="104">
        <f t="shared" si="790"/>
        <v>9.9899999999999984</v>
      </c>
      <c r="BC147" s="104">
        <f t="shared" si="791"/>
        <v>9.9899999999999984</v>
      </c>
      <c r="BD147" s="104">
        <f t="shared" si="792"/>
        <v>1.9979999999999998</v>
      </c>
      <c r="BE147" s="104">
        <f t="shared" si="793"/>
        <v>143.52299999999997</v>
      </c>
      <c r="BF147" s="104">
        <f t="shared" si="794"/>
        <v>172.91835318280863</v>
      </c>
      <c r="BG147" s="104">
        <f t="shared" si="795"/>
        <v>143.52299999999997</v>
      </c>
      <c r="BH147" s="104">
        <f t="shared" si="796"/>
        <v>29.395353182808662</v>
      </c>
      <c r="BI147" s="104">
        <f t="shared" si="797"/>
        <v>0</v>
      </c>
      <c r="BJ147" s="102">
        <f t="shared" si="850"/>
        <v>0</v>
      </c>
      <c r="BK147" s="104">
        <f t="shared" si="798"/>
        <v>0</v>
      </c>
      <c r="BL147" s="104"/>
      <c r="BM147" s="104">
        <f t="shared" si="799"/>
        <v>0.39959999999999996</v>
      </c>
      <c r="BN147" s="456">
        <f t="shared" si="800"/>
        <v>0</v>
      </c>
      <c r="BO147" s="471">
        <f t="shared" si="801"/>
        <v>0</v>
      </c>
      <c r="BP147" s="471">
        <f t="shared" si="802"/>
        <v>0</v>
      </c>
      <c r="BQ147" s="471">
        <f t="shared" si="803"/>
        <v>0</v>
      </c>
      <c r="BR147" s="449">
        <f t="shared" si="804"/>
        <v>0</v>
      </c>
      <c r="BS147" s="449">
        <f t="shared" si="805"/>
        <v>0</v>
      </c>
      <c r="BT147" s="449">
        <f t="shared" si="806"/>
        <v>0</v>
      </c>
      <c r="BU147" s="449">
        <f t="shared" si="807"/>
        <v>0</v>
      </c>
      <c r="BV147" s="449">
        <f t="shared" si="808"/>
        <v>0</v>
      </c>
      <c r="BW147" s="449">
        <f t="shared" si="809"/>
        <v>0</v>
      </c>
      <c r="BX147" s="449">
        <f t="shared" si="810"/>
        <v>0</v>
      </c>
      <c r="BY147" s="449">
        <f t="shared" si="811"/>
        <v>0</v>
      </c>
      <c r="BZ147" s="449">
        <f t="shared" si="812"/>
        <v>0</v>
      </c>
      <c r="CA147" s="449">
        <f t="shared" si="813"/>
        <v>0</v>
      </c>
      <c r="CB147" s="449">
        <f t="shared" si="814"/>
        <v>3.8050000000000002</v>
      </c>
      <c r="CC147" s="449">
        <f t="shared" si="815"/>
        <v>0</v>
      </c>
      <c r="CD147" s="449">
        <f t="shared" si="816"/>
        <v>33.299999999999997</v>
      </c>
      <c r="CE147" s="449">
        <f t="shared" si="817"/>
        <v>0</v>
      </c>
      <c r="CF147" s="449">
        <f t="shared" si="818"/>
        <v>0</v>
      </c>
      <c r="CG147" s="449">
        <f t="shared" si="819"/>
        <v>0</v>
      </c>
      <c r="CH147" s="449">
        <f t="shared" si="820"/>
        <v>0</v>
      </c>
      <c r="CI147" s="449">
        <f t="shared" si="821"/>
        <v>0</v>
      </c>
      <c r="CJ147" s="472">
        <f t="shared" si="822"/>
        <v>0</v>
      </c>
      <c r="CK147" s="449">
        <f t="shared" si="823"/>
        <v>0</v>
      </c>
      <c r="CL147" s="449">
        <f t="shared" si="824"/>
        <v>0</v>
      </c>
      <c r="CM147" s="449">
        <f t="shared" si="825"/>
        <v>0</v>
      </c>
      <c r="CN147" s="453">
        <f t="shared" si="826"/>
        <v>0</v>
      </c>
      <c r="CO147" s="453">
        <f t="shared" si="827"/>
        <v>0</v>
      </c>
      <c r="CP147" s="453">
        <f t="shared" si="828"/>
        <v>0</v>
      </c>
      <c r="CQ147" s="453">
        <f t="shared" si="829"/>
        <v>0</v>
      </c>
      <c r="CR147" s="453">
        <f t="shared" si="830"/>
        <v>0</v>
      </c>
      <c r="CS147" s="453">
        <f t="shared" si="831"/>
        <v>0</v>
      </c>
      <c r="CT147" s="473">
        <f t="shared" si="832"/>
        <v>0</v>
      </c>
      <c r="CU147" s="470">
        <f t="shared" si="833"/>
        <v>1</v>
      </c>
      <c r="CV147" s="470">
        <f t="shared" si="834"/>
        <v>0</v>
      </c>
      <c r="CW147" s="470">
        <f t="shared" si="835"/>
        <v>0</v>
      </c>
      <c r="CX147" s="470">
        <f t="shared" si="836"/>
        <v>1</v>
      </c>
      <c r="CY147" s="470">
        <f t="shared" si="837"/>
        <v>0</v>
      </c>
      <c r="CZ147" s="470">
        <f t="shared" si="838"/>
        <v>0</v>
      </c>
      <c r="DA147" s="478">
        <f t="shared" si="839"/>
        <v>1.44</v>
      </c>
      <c r="DB147" s="469">
        <v>1.3</v>
      </c>
      <c r="DC147" s="469">
        <v>1.4</v>
      </c>
      <c r="DD147" s="469">
        <v>2</v>
      </c>
      <c r="DE147" s="469">
        <v>2</v>
      </c>
      <c r="DF147" s="476">
        <v>2</v>
      </c>
      <c r="DG147" s="456">
        <f t="shared" si="840"/>
        <v>0</v>
      </c>
      <c r="DH147" s="476">
        <f t="shared" si="841"/>
        <v>0</v>
      </c>
      <c r="DI147" s="476">
        <f t="shared" si="842"/>
        <v>0</v>
      </c>
      <c r="DJ147" s="476">
        <f t="shared" si="843"/>
        <v>99.899999999999991</v>
      </c>
      <c r="DK147" s="476">
        <f t="shared" si="844"/>
        <v>99.899999999999991</v>
      </c>
      <c r="DL147" s="476">
        <f t="shared" si="845"/>
        <v>53.613000000000007</v>
      </c>
      <c r="DM147" s="476">
        <f t="shared" si="846"/>
        <v>0</v>
      </c>
      <c r="DN147" s="476">
        <f t="shared" si="847"/>
        <v>0</v>
      </c>
      <c r="DO147" s="476">
        <f t="shared" si="848"/>
        <v>0</v>
      </c>
      <c r="DP147" s="476">
        <f t="shared" si="849"/>
        <v>0</v>
      </c>
      <c r="DQ147" s="445"/>
      <c r="DR147" s="479"/>
    </row>
    <row r="148" spans="1:122" s="86" customFormat="1" x14ac:dyDescent="0.25">
      <c r="A148" s="86" t="s">
        <v>2070</v>
      </c>
      <c r="B148" s="101"/>
      <c r="C148" s="101" t="str">
        <f>'Planilha Hidráulica'!B155</f>
        <v>PV8.1-&gt;PV9.1</v>
      </c>
      <c r="D148" s="258">
        <f>'Planilha Hidráulica'!R155</f>
        <v>3.47</v>
      </c>
      <c r="E148" s="258">
        <f>'Planilha Hidráulica'!S155</f>
        <v>3.44</v>
      </c>
      <c r="F148" s="258">
        <f>'Planilha Hidráulica'!K155</f>
        <v>33.299999999999997</v>
      </c>
      <c r="G148" s="101">
        <f>'Planilha Hidráulica'!M155</f>
        <v>1000</v>
      </c>
      <c r="H148" s="449">
        <f t="shared" si="752"/>
        <v>3.8050000000000002</v>
      </c>
      <c r="I148" s="102">
        <f t="shared" si="753"/>
        <v>6.3353249999999992</v>
      </c>
      <c r="J148" s="467">
        <v>0</v>
      </c>
      <c r="K148" s="449">
        <f t="shared" si="754"/>
        <v>2</v>
      </c>
      <c r="L148" s="449">
        <f t="shared" si="755"/>
        <v>2</v>
      </c>
      <c r="M148" s="449">
        <f>'Planilha Hidráulica'!X155</f>
        <v>800</v>
      </c>
      <c r="N148" s="449">
        <f t="shared" si="756"/>
        <v>66.599999999999994</v>
      </c>
      <c r="O148" s="468" t="str">
        <f>'Planilha Hidráulica'!W155</f>
        <v>ASFALTO</v>
      </c>
      <c r="P148" s="468" t="s">
        <v>2081</v>
      </c>
      <c r="Q148" s="468"/>
      <c r="R148" s="468">
        <v>5</v>
      </c>
      <c r="S148" s="468">
        <v>5</v>
      </c>
      <c r="T148" s="449">
        <f t="shared" si="757"/>
        <v>0.15</v>
      </c>
      <c r="U148" s="453">
        <f t="shared" si="758"/>
        <v>16.738405658326418</v>
      </c>
      <c r="V148" s="106">
        <f t="shared" si="759"/>
        <v>236.67459434167355</v>
      </c>
      <c r="W148" s="107">
        <f t="shared" si="760"/>
        <v>0</v>
      </c>
      <c r="X148" s="107">
        <f t="shared" si="761"/>
        <v>0</v>
      </c>
      <c r="Y148" s="453">
        <f t="shared" si="762"/>
        <v>3.8050000000000002</v>
      </c>
      <c r="Z148" s="453">
        <f t="shared" si="763"/>
        <v>0</v>
      </c>
      <c r="AA148" s="456">
        <f t="shared" si="764"/>
        <v>66.599999999999994</v>
      </c>
      <c r="AB148" s="469">
        <f t="shared" si="765"/>
        <v>0</v>
      </c>
      <c r="AC148" s="109">
        <f t="shared" si="766"/>
        <v>0</v>
      </c>
      <c r="AD148" s="109">
        <f t="shared" si="767"/>
        <v>0</v>
      </c>
      <c r="AE148" s="109">
        <f t="shared" si="768"/>
        <v>0</v>
      </c>
      <c r="AF148" s="109">
        <f t="shared" si="769"/>
        <v>0</v>
      </c>
      <c r="AG148" s="109">
        <f t="shared" si="770"/>
        <v>0</v>
      </c>
      <c r="AH148" s="109">
        <f t="shared" si="771"/>
        <v>0</v>
      </c>
      <c r="AI148" s="109">
        <f t="shared" si="772"/>
        <v>0</v>
      </c>
      <c r="AJ148" s="456">
        <f t="shared" si="773"/>
        <v>0</v>
      </c>
      <c r="AK148" s="456">
        <f t="shared" si="774"/>
        <v>0</v>
      </c>
      <c r="AL148" s="456">
        <f t="shared" si="775"/>
        <v>99.899999999999991</v>
      </c>
      <c r="AM148" s="456">
        <f t="shared" si="776"/>
        <v>99.899999999999991</v>
      </c>
      <c r="AN148" s="456">
        <f t="shared" si="851"/>
        <v>36.874594341673586</v>
      </c>
      <c r="AO148" s="456">
        <f t="shared" si="777"/>
        <v>0</v>
      </c>
      <c r="AP148" s="456">
        <f t="shared" si="778"/>
        <v>0</v>
      </c>
      <c r="AQ148" s="456">
        <f t="shared" si="779"/>
        <v>0</v>
      </c>
      <c r="AR148" s="104">
        <f t="shared" si="780"/>
        <v>0</v>
      </c>
      <c r="AS148" s="449">
        <f t="shared" si="781"/>
        <v>0</v>
      </c>
      <c r="AT148" s="104">
        <f t="shared" si="782"/>
        <v>227.25924115886497</v>
      </c>
      <c r="AU148" s="102">
        <f t="shared" si="783"/>
        <v>0</v>
      </c>
      <c r="AV148" s="106">
        <f t="shared" si="784"/>
        <v>9.9899999999999984</v>
      </c>
      <c r="AW148" s="104">
        <f t="shared" si="785"/>
        <v>0</v>
      </c>
      <c r="AX148" s="104">
        <f t="shared" si="786"/>
        <v>0</v>
      </c>
      <c r="AY148" s="104">
        <f t="shared" si="787"/>
        <v>1.2</v>
      </c>
      <c r="AZ148" s="104">
        <f t="shared" si="788"/>
        <v>53.766241158864958</v>
      </c>
      <c r="BA148" s="104">
        <f t="shared" si="789"/>
        <v>53.766241158864958</v>
      </c>
      <c r="BB148" s="104">
        <f t="shared" si="790"/>
        <v>9.9899999999999984</v>
      </c>
      <c r="BC148" s="104">
        <f t="shared" si="791"/>
        <v>9.9899999999999984</v>
      </c>
      <c r="BD148" s="104">
        <f t="shared" si="792"/>
        <v>1.9979999999999998</v>
      </c>
      <c r="BE148" s="104">
        <f t="shared" si="793"/>
        <v>143.52299999999997</v>
      </c>
      <c r="BF148" s="104">
        <f t="shared" si="794"/>
        <v>172.91835318280863</v>
      </c>
      <c r="BG148" s="104">
        <f t="shared" si="795"/>
        <v>143.52299999999997</v>
      </c>
      <c r="BH148" s="104">
        <f t="shared" si="796"/>
        <v>29.395353182808662</v>
      </c>
      <c r="BI148" s="104">
        <f t="shared" si="797"/>
        <v>0</v>
      </c>
      <c r="BJ148" s="102">
        <f t="shared" si="850"/>
        <v>0</v>
      </c>
      <c r="BK148" s="104">
        <f t="shared" si="798"/>
        <v>0</v>
      </c>
      <c r="BL148" s="104"/>
      <c r="BM148" s="104">
        <f t="shared" si="799"/>
        <v>0.39959999999999996</v>
      </c>
      <c r="BN148" s="456">
        <f t="shared" si="800"/>
        <v>0</v>
      </c>
      <c r="BO148" s="471">
        <f t="shared" si="801"/>
        <v>0</v>
      </c>
      <c r="BP148" s="471">
        <f t="shared" si="802"/>
        <v>0</v>
      </c>
      <c r="BQ148" s="471">
        <f t="shared" si="803"/>
        <v>0</v>
      </c>
      <c r="BR148" s="449">
        <f t="shared" si="804"/>
        <v>0</v>
      </c>
      <c r="BS148" s="449">
        <f t="shared" si="805"/>
        <v>0</v>
      </c>
      <c r="BT148" s="449">
        <f t="shared" si="806"/>
        <v>0</v>
      </c>
      <c r="BU148" s="449">
        <f t="shared" si="807"/>
        <v>0</v>
      </c>
      <c r="BV148" s="449">
        <f t="shared" si="808"/>
        <v>0</v>
      </c>
      <c r="BW148" s="449">
        <f t="shared" si="809"/>
        <v>0</v>
      </c>
      <c r="BX148" s="449">
        <f t="shared" si="810"/>
        <v>0</v>
      </c>
      <c r="BY148" s="449">
        <f t="shared" si="811"/>
        <v>0</v>
      </c>
      <c r="BZ148" s="449">
        <f t="shared" si="812"/>
        <v>0</v>
      </c>
      <c r="CA148" s="449">
        <f t="shared" si="813"/>
        <v>0</v>
      </c>
      <c r="CB148" s="449">
        <f t="shared" si="814"/>
        <v>3.8050000000000002</v>
      </c>
      <c r="CC148" s="449">
        <f t="shared" si="815"/>
        <v>0</v>
      </c>
      <c r="CD148" s="449">
        <f t="shared" si="816"/>
        <v>33.299999999999997</v>
      </c>
      <c r="CE148" s="449">
        <f t="shared" si="817"/>
        <v>0</v>
      </c>
      <c r="CF148" s="449">
        <f t="shared" si="818"/>
        <v>0</v>
      </c>
      <c r="CG148" s="449">
        <f t="shared" si="819"/>
        <v>0</v>
      </c>
      <c r="CH148" s="449">
        <f t="shared" si="820"/>
        <v>0</v>
      </c>
      <c r="CI148" s="449">
        <f t="shared" si="821"/>
        <v>0</v>
      </c>
      <c r="CJ148" s="472">
        <f t="shared" si="822"/>
        <v>0</v>
      </c>
      <c r="CK148" s="449">
        <f t="shared" si="823"/>
        <v>0</v>
      </c>
      <c r="CL148" s="449">
        <f t="shared" si="824"/>
        <v>0</v>
      </c>
      <c r="CM148" s="449">
        <f t="shared" si="825"/>
        <v>0</v>
      </c>
      <c r="CN148" s="453">
        <f t="shared" si="826"/>
        <v>0</v>
      </c>
      <c r="CO148" s="453">
        <f t="shared" si="827"/>
        <v>0</v>
      </c>
      <c r="CP148" s="453">
        <f t="shared" si="828"/>
        <v>0</v>
      </c>
      <c r="CQ148" s="453">
        <f t="shared" si="829"/>
        <v>0</v>
      </c>
      <c r="CR148" s="453">
        <f t="shared" si="830"/>
        <v>0</v>
      </c>
      <c r="CS148" s="453">
        <f t="shared" si="831"/>
        <v>0</v>
      </c>
      <c r="CT148" s="473">
        <f t="shared" si="832"/>
        <v>0</v>
      </c>
      <c r="CU148" s="470">
        <f t="shared" si="833"/>
        <v>1</v>
      </c>
      <c r="CV148" s="470">
        <f t="shared" si="834"/>
        <v>0</v>
      </c>
      <c r="CW148" s="470">
        <f t="shared" si="835"/>
        <v>0</v>
      </c>
      <c r="CX148" s="470">
        <f t="shared" si="836"/>
        <v>1</v>
      </c>
      <c r="CY148" s="470">
        <f t="shared" si="837"/>
        <v>0</v>
      </c>
      <c r="CZ148" s="470">
        <f t="shared" si="838"/>
        <v>0</v>
      </c>
      <c r="DA148" s="478">
        <f t="shared" si="839"/>
        <v>1.4700000000000002</v>
      </c>
      <c r="DB148" s="469">
        <v>1.3</v>
      </c>
      <c r="DC148" s="469">
        <v>1.4</v>
      </c>
      <c r="DD148" s="469">
        <v>2</v>
      </c>
      <c r="DE148" s="469">
        <v>2</v>
      </c>
      <c r="DF148" s="476">
        <v>2</v>
      </c>
      <c r="DG148" s="456">
        <f t="shared" si="840"/>
        <v>0</v>
      </c>
      <c r="DH148" s="476">
        <f t="shared" si="841"/>
        <v>0</v>
      </c>
      <c r="DI148" s="476">
        <f t="shared" si="842"/>
        <v>0</v>
      </c>
      <c r="DJ148" s="476">
        <f t="shared" si="843"/>
        <v>99.899999999999991</v>
      </c>
      <c r="DK148" s="476">
        <f t="shared" si="844"/>
        <v>99.899999999999991</v>
      </c>
      <c r="DL148" s="476">
        <f t="shared" si="845"/>
        <v>53.613000000000007</v>
      </c>
      <c r="DM148" s="476">
        <f t="shared" si="846"/>
        <v>0</v>
      </c>
      <c r="DN148" s="476">
        <f t="shared" si="847"/>
        <v>0</v>
      </c>
      <c r="DO148" s="476">
        <f t="shared" si="848"/>
        <v>0</v>
      </c>
      <c r="DP148" s="476">
        <f t="shared" si="849"/>
        <v>0</v>
      </c>
      <c r="DQ148" s="445"/>
      <c r="DR148" s="479"/>
    </row>
    <row r="149" spans="1:122" s="86" customFormat="1" x14ac:dyDescent="0.25">
      <c r="A149" s="86" t="s">
        <v>2070</v>
      </c>
      <c r="B149" s="101"/>
      <c r="C149" s="101" t="str">
        <f>'Planilha Hidráulica'!B156</f>
        <v>PV9.1-&gt;PV10.1</v>
      </c>
      <c r="D149" s="258">
        <f>'Planilha Hidráulica'!R156</f>
        <v>3.67</v>
      </c>
      <c r="E149" s="258">
        <f>'Planilha Hidráulica'!S156</f>
        <v>3.68</v>
      </c>
      <c r="F149" s="258">
        <f>'Planilha Hidráulica'!K156</f>
        <v>33.42</v>
      </c>
      <c r="G149" s="101">
        <f>'Planilha Hidráulica'!M156</f>
        <v>1200</v>
      </c>
      <c r="H149" s="449">
        <f t="shared" si="752"/>
        <v>4.0650000000000004</v>
      </c>
      <c r="I149" s="102">
        <f t="shared" si="753"/>
        <v>6.7926150000000005</v>
      </c>
      <c r="J149" s="467">
        <v>0</v>
      </c>
      <c r="K149" s="449">
        <f t="shared" si="754"/>
        <v>2.2000000000000002</v>
      </c>
      <c r="L149" s="449">
        <f t="shared" si="755"/>
        <v>2.2000000000000002</v>
      </c>
      <c r="M149" s="449">
        <f>'Planilha Hidráulica'!X156</f>
        <v>800</v>
      </c>
      <c r="N149" s="449">
        <f t="shared" si="756"/>
        <v>73.524000000000015</v>
      </c>
      <c r="O149" s="468" t="str">
        <f>'Planilha Hidráulica'!W156</f>
        <v>ASFALTO</v>
      </c>
      <c r="P149" s="468" t="s">
        <v>2081</v>
      </c>
      <c r="Q149" s="468"/>
      <c r="R149" s="468">
        <v>5</v>
      </c>
      <c r="S149" s="468">
        <v>5</v>
      </c>
      <c r="T149" s="449">
        <f t="shared" si="757"/>
        <v>0.15</v>
      </c>
      <c r="U149" s="453">
        <f t="shared" si="758"/>
        <v>16.798724237275344</v>
      </c>
      <c r="V149" s="106">
        <f t="shared" si="759"/>
        <v>282.07633576272474</v>
      </c>
      <c r="W149" s="107">
        <f t="shared" si="760"/>
        <v>0</v>
      </c>
      <c r="X149" s="107">
        <f t="shared" si="761"/>
        <v>0</v>
      </c>
      <c r="Y149" s="453">
        <f t="shared" si="762"/>
        <v>4.0650000000000004</v>
      </c>
      <c r="Z149" s="453">
        <f t="shared" si="763"/>
        <v>0</v>
      </c>
      <c r="AA149" s="456">
        <f t="shared" si="764"/>
        <v>73.524000000000015</v>
      </c>
      <c r="AB149" s="469">
        <f t="shared" si="765"/>
        <v>0</v>
      </c>
      <c r="AC149" s="109">
        <f t="shared" si="766"/>
        <v>0</v>
      </c>
      <c r="AD149" s="109">
        <f t="shared" si="767"/>
        <v>0</v>
      </c>
      <c r="AE149" s="109">
        <f t="shared" si="768"/>
        <v>0</v>
      </c>
      <c r="AF149" s="109">
        <f t="shared" si="769"/>
        <v>0</v>
      </c>
      <c r="AG149" s="109">
        <f t="shared" si="770"/>
        <v>0</v>
      </c>
      <c r="AH149" s="109">
        <f t="shared" si="771"/>
        <v>0</v>
      </c>
      <c r="AI149" s="109">
        <f t="shared" si="772"/>
        <v>0</v>
      </c>
      <c r="AJ149" s="456">
        <f t="shared" si="773"/>
        <v>0</v>
      </c>
      <c r="AK149" s="456">
        <f t="shared" si="774"/>
        <v>0</v>
      </c>
      <c r="AL149" s="456">
        <f t="shared" si="775"/>
        <v>110.28600000000003</v>
      </c>
      <c r="AM149" s="456">
        <f t="shared" si="776"/>
        <v>110.28600000000003</v>
      </c>
      <c r="AN149" s="456">
        <f t="shared" si="851"/>
        <v>61.5043357627247</v>
      </c>
      <c r="AO149" s="456">
        <f t="shared" si="777"/>
        <v>0</v>
      </c>
      <c r="AP149" s="456">
        <f t="shared" si="778"/>
        <v>0</v>
      </c>
      <c r="AQ149" s="456">
        <f t="shared" si="779"/>
        <v>0</v>
      </c>
      <c r="AR149" s="104">
        <f t="shared" si="780"/>
        <v>0</v>
      </c>
      <c r="AS149" s="449">
        <f t="shared" si="781"/>
        <v>0</v>
      </c>
      <c r="AT149" s="104">
        <f t="shared" si="782"/>
        <v>261.07793046613057</v>
      </c>
      <c r="AU149" s="102">
        <f t="shared" si="783"/>
        <v>0</v>
      </c>
      <c r="AV149" s="106">
        <f t="shared" si="784"/>
        <v>11.028600000000003</v>
      </c>
      <c r="AW149" s="104">
        <f t="shared" si="785"/>
        <v>0</v>
      </c>
      <c r="AX149" s="104">
        <f t="shared" si="786"/>
        <v>0</v>
      </c>
      <c r="AY149" s="104">
        <f t="shared" si="787"/>
        <v>1.4</v>
      </c>
      <c r="AZ149" s="104">
        <f t="shared" si="788"/>
        <v>65.13647046613049</v>
      </c>
      <c r="BA149" s="104">
        <f t="shared" si="789"/>
        <v>65.13647046613049</v>
      </c>
      <c r="BB149" s="104">
        <f t="shared" si="790"/>
        <v>11.028600000000001</v>
      </c>
      <c r="BC149" s="104">
        <f t="shared" si="791"/>
        <v>11.028600000000001</v>
      </c>
      <c r="BD149" s="104">
        <f t="shared" si="792"/>
        <v>2.2057199999999999</v>
      </c>
      <c r="BE149" s="104">
        <f t="shared" si="793"/>
        <v>162.85566000000006</v>
      </c>
      <c r="BF149" s="104">
        <f t="shared" si="794"/>
        <v>205.91126529659425</v>
      </c>
      <c r="BG149" s="104">
        <f t="shared" si="795"/>
        <v>162.85566000000006</v>
      </c>
      <c r="BH149" s="104">
        <f t="shared" si="796"/>
        <v>43.055605296594194</v>
      </c>
      <c r="BI149" s="104">
        <f t="shared" si="797"/>
        <v>0</v>
      </c>
      <c r="BJ149" s="102">
        <f t="shared" si="850"/>
        <v>0</v>
      </c>
      <c r="BK149" s="104">
        <f t="shared" si="798"/>
        <v>0</v>
      </c>
      <c r="BL149" s="104"/>
      <c r="BM149" s="104">
        <f t="shared" si="799"/>
        <v>0.44114400000000004</v>
      </c>
      <c r="BN149" s="456">
        <f t="shared" si="800"/>
        <v>0</v>
      </c>
      <c r="BO149" s="471">
        <f t="shared" si="801"/>
        <v>0</v>
      </c>
      <c r="BP149" s="471">
        <f t="shared" si="802"/>
        <v>0</v>
      </c>
      <c r="BQ149" s="471">
        <f t="shared" si="803"/>
        <v>0</v>
      </c>
      <c r="BR149" s="449">
        <f t="shared" si="804"/>
        <v>0</v>
      </c>
      <c r="BS149" s="449">
        <f t="shared" si="805"/>
        <v>0</v>
      </c>
      <c r="BT149" s="449">
        <f t="shared" si="806"/>
        <v>0</v>
      </c>
      <c r="BU149" s="449">
        <f t="shared" si="807"/>
        <v>0</v>
      </c>
      <c r="BV149" s="449">
        <f t="shared" si="808"/>
        <v>0</v>
      </c>
      <c r="BW149" s="449">
        <f t="shared" si="809"/>
        <v>0</v>
      </c>
      <c r="BX149" s="449">
        <f t="shared" si="810"/>
        <v>0</v>
      </c>
      <c r="BY149" s="449">
        <f t="shared" si="811"/>
        <v>0</v>
      </c>
      <c r="BZ149" s="449">
        <f t="shared" si="812"/>
        <v>0</v>
      </c>
      <c r="CA149" s="449">
        <f t="shared" si="813"/>
        <v>0</v>
      </c>
      <c r="CB149" s="449">
        <f t="shared" si="814"/>
        <v>0</v>
      </c>
      <c r="CC149" s="449">
        <f t="shared" si="815"/>
        <v>0</v>
      </c>
      <c r="CD149" s="449">
        <f t="shared" si="816"/>
        <v>0</v>
      </c>
      <c r="CE149" s="449">
        <f t="shared" si="817"/>
        <v>0</v>
      </c>
      <c r="CF149" s="449">
        <f t="shared" si="818"/>
        <v>4.0650000000000004</v>
      </c>
      <c r="CG149" s="449">
        <f t="shared" si="819"/>
        <v>0</v>
      </c>
      <c r="CH149" s="449">
        <f t="shared" si="820"/>
        <v>33.42</v>
      </c>
      <c r="CI149" s="449">
        <f t="shared" si="821"/>
        <v>0</v>
      </c>
      <c r="CJ149" s="472">
        <f t="shared" si="822"/>
        <v>0</v>
      </c>
      <c r="CK149" s="449">
        <f t="shared" si="823"/>
        <v>0</v>
      </c>
      <c r="CL149" s="449">
        <f t="shared" si="824"/>
        <v>0</v>
      </c>
      <c r="CM149" s="449">
        <f t="shared" si="825"/>
        <v>0</v>
      </c>
      <c r="CN149" s="453">
        <f t="shared" si="826"/>
        <v>0</v>
      </c>
      <c r="CO149" s="453">
        <f t="shared" si="827"/>
        <v>0</v>
      </c>
      <c r="CP149" s="453">
        <f t="shared" si="828"/>
        <v>0</v>
      </c>
      <c r="CQ149" s="453">
        <f t="shared" si="829"/>
        <v>0</v>
      </c>
      <c r="CR149" s="453">
        <f t="shared" si="830"/>
        <v>0</v>
      </c>
      <c r="CS149" s="453">
        <f t="shared" si="831"/>
        <v>0</v>
      </c>
      <c r="CT149" s="473">
        <f t="shared" si="832"/>
        <v>0</v>
      </c>
      <c r="CU149" s="470">
        <f t="shared" si="833"/>
        <v>1</v>
      </c>
      <c r="CV149" s="470">
        <f t="shared" si="834"/>
        <v>0</v>
      </c>
      <c r="CW149" s="470">
        <f t="shared" si="835"/>
        <v>0</v>
      </c>
      <c r="CX149" s="470">
        <f t="shared" si="836"/>
        <v>0</v>
      </c>
      <c r="CY149" s="470">
        <f t="shared" si="837"/>
        <v>1</v>
      </c>
      <c r="CZ149" s="470">
        <f t="shared" si="838"/>
        <v>0</v>
      </c>
      <c r="DA149" s="478">
        <f t="shared" si="839"/>
        <v>1.67</v>
      </c>
      <c r="DB149" s="469">
        <v>1.3</v>
      </c>
      <c r="DC149" s="469">
        <v>1.4</v>
      </c>
      <c r="DD149" s="469">
        <v>2</v>
      </c>
      <c r="DE149" s="469">
        <v>2</v>
      </c>
      <c r="DF149" s="476">
        <v>2</v>
      </c>
      <c r="DG149" s="456">
        <f t="shared" si="840"/>
        <v>0</v>
      </c>
      <c r="DH149" s="476">
        <f t="shared" si="841"/>
        <v>0</v>
      </c>
      <c r="DI149" s="476">
        <f t="shared" si="842"/>
        <v>0</v>
      </c>
      <c r="DJ149" s="476">
        <f t="shared" si="843"/>
        <v>100.26</v>
      </c>
      <c r="DK149" s="476">
        <f t="shared" si="844"/>
        <v>100.26</v>
      </c>
      <c r="DL149" s="476">
        <f t="shared" si="845"/>
        <v>71.184600000000032</v>
      </c>
      <c r="DM149" s="476">
        <f t="shared" si="846"/>
        <v>0</v>
      </c>
      <c r="DN149" s="476">
        <f t="shared" si="847"/>
        <v>0</v>
      </c>
      <c r="DO149" s="476">
        <f t="shared" si="848"/>
        <v>0</v>
      </c>
      <c r="DP149" s="476">
        <f t="shared" si="849"/>
        <v>0</v>
      </c>
      <c r="DQ149" s="445"/>
      <c r="DR149" s="479">
        <f t="shared" ref="DR149:DR162" si="852">D149-M149/1000</f>
        <v>2.87</v>
      </c>
    </row>
    <row r="150" spans="1:122" s="86" customFormat="1" x14ac:dyDescent="0.25">
      <c r="A150" s="86" t="s">
        <v>2070</v>
      </c>
      <c r="B150" s="101"/>
      <c r="C150" s="101" t="str">
        <f>'Planilha Hidráulica'!B157</f>
        <v>PV10.1-&gt;PV11.1</v>
      </c>
      <c r="D150" s="258">
        <f>'Planilha Hidráulica'!R157</f>
        <v>3.68</v>
      </c>
      <c r="E150" s="258">
        <f>'Planilha Hidráulica'!S157</f>
        <v>3.67</v>
      </c>
      <c r="F150" s="258">
        <f>'Planilha Hidráulica'!K157</f>
        <v>33.42</v>
      </c>
      <c r="G150" s="101">
        <f>'Planilha Hidráulica'!M157</f>
        <v>1200</v>
      </c>
      <c r="H150" s="449">
        <f t="shared" si="752"/>
        <v>4.0650000000000004</v>
      </c>
      <c r="I150" s="102">
        <f t="shared" si="753"/>
        <v>6.7926150000000005</v>
      </c>
      <c r="J150" s="467">
        <v>0</v>
      </c>
      <c r="K150" s="449">
        <f t="shared" si="754"/>
        <v>2.2000000000000002</v>
      </c>
      <c r="L150" s="449">
        <f t="shared" si="755"/>
        <v>2.2000000000000002</v>
      </c>
      <c r="M150" s="449">
        <f>'Planilha Hidráulica'!X157</f>
        <v>800</v>
      </c>
      <c r="N150" s="449">
        <f t="shared" si="756"/>
        <v>73.524000000000015</v>
      </c>
      <c r="O150" s="468" t="str">
        <f>'Planilha Hidráulica'!W157</f>
        <v>ASFALTO</v>
      </c>
      <c r="P150" s="468" t="s">
        <v>2081</v>
      </c>
      <c r="Q150" s="468"/>
      <c r="R150" s="468">
        <v>5</v>
      </c>
      <c r="S150" s="468">
        <v>5</v>
      </c>
      <c r="T150" s="449">
        <f t="shared" si="757"/>
        <v>0.15</v>
      </c>
      <c r="U150" s="453">
        <f t="shared" si="758"/>
        <v>16.798724237275344</v>
      </c>
      <c r="V150" s="106">
        <f t="shared" si="759"/>
        <v>282.07633576272474</v>
      </c>
      <c r="W150" s="107">
        <f t="shared" si="760"/>
        <v>0</v>
      </c>
      <c r="X150" s="107">
        <f t="shared" si="761"/>
        <v>0</v>
      </c>
      <c r="Y150" s="453">
        <f t="shared" si="762"/>
        <v>4.0650000000000004</v>
      </c>
      <c r="Z150" s="453">
        <f t="shared" si="763"/>
        <v>0</v>
      </c>
      <c r="AA150" s="456">
        <f t="shared" si="764"/>
        <v>73.524000000000015</v>
      </c>
      <c r="AB150" s="469">
        <f t="shared" si="765"/>
        <v>0</v>
      </c>
      <c r="AC150" s="109">
        <f t="shared" si="766"/>
        <v>0</v>
      </c>
      <c r="AD150" s="109">
        <f t="shared" si="767"/>
        <v>0</v>
      </c>
      <c r="AE150" s="109">
        <f t="shared" si="768"/>
        <v>0</v>
      </c>
      <c r="AF150" s="109">
        <f t="shared" si="769"/>
        <v>0</v>
      </c>
      <c r="AG150" s="109">
        <f t="shared" si="770"/>
        <v>0</v>
      </c>
      <c r="AH150" s="109">
        <f t="shared" si="771"/>
        <v>0</v>
      </c>
      <c r="AI150" s="109">
        <f t="shared" si="772"/>
        <v>0</v>
      </c>
      <c r="AJ150" s="456">
        <f t="shared" si="773"/>
        <v>0</v>
      </c>
      <c r="AK150" s="456">
        <f t="shared" si="774"/>
        <v>0</v>
      </c>
      <c r="AL150" s="456">
        <f t="shared" si="775"/>
        <v>110.28600000000003</v>
      </c>
      <c r="AM150" s="456">
        <f t="shared" si="776"/>
        <v>110.28600000000003</v>
      </c>
      <c r="AN150" s="456">
        <f t="shared" si="851"/>
        <v>61.5043357627247</v>
      </c>
      <c r="AO150" s="456">
        <f t="shared" si="777"/>
        <v>0</v>
      </c>
      <c r="AP150" s="456">
        <f t="shared" si="778"/>
        <v>0</v>
      </c>
      <c r="AQ150" s="456">
        <f t="shared" si="779"/>
        <v>0</v>
      </c>
      <c r="AR150" s="104">
        <f t="shared" si="780"/>
        <v>0</v>
      </c>
      <c r="AS150" s="449">
        <f t="shared" si="781"/>
        <v>0</v>
      </c>
      <c r="AT150" s="104">
        <f t="shared" si="782"/>
        <v>261.07793046613057</v>
      </c>
      <c r="AU150" s="102">
        <f t="shared" si="783"/>
        <v>0</v>
      </c>
      <c r="AV150" s="106">
        <f t="shared" si="784"/>
        <v>11.028600000000003</v>
      </c>
      <c r="AW150" s="104">
        <f t="shared" si="785"/>
        <v>0</v>
      </c>
      <c r="AX150" s="104">
        <f t="shared" si="786"/>
        <v>0</v>
      </c>
      <c r="AY150" s="104">
        <f t="shared" si="787"/>
        <v>1.4</v>
      </c>
      <c r="AZ150" s="104">
        <f t="shared" si="788"/>
        <v>65.13647046613049</v>
      </c>
      <c r="BA150" s="104">
        <f t="shared" si="789"/>
        <v>65.13647046613049</v>
      </c>
      <c r="BB150" s="104">
        <f t="shared" si="790"/>
        <v>11.028600000000001</v>
      </c>
      <c r="BC150" s="104">
        <f t="shared" si="791"/>
        <v>11.028600000000001</v>
      </c>
      <c r="BD150" s="104">
        <f t="shared" si="792"/>
        <v>2.2057199999999999</v>
      </c>
      <c r="BE150" s="104">
        <f t="shared" si="793"/>
        <v>162.85566000000006</v>
      </c>
      <c r="BF150" s="104">
        <f t="shared" si="794"/>
        <v>205.91126529659425</v>
      </c>
      <c r="BG150" s="104">
        <f t="shared" si="795"/>
        <v>162.85566000000006</v>
      </c>
      <c r="BH150" s="104">
        <f t="shared" si="796"/>
        <v>43.055605296594194</v>
      </c>
      <c r="BI150" s="104">
        <f t="shared" si="797"/>
        <v>0</v>
      </c>
      <c r="BJ150" s="102">
        <f t="shared" si="850"/>
        <v>0</v>
      </c>
      <c r="BK150" s="104">
        <f t="shared" si="798"/>
        <v>0</v>
      </c>
      <c r="BL150" s="104"/>
      <c r="BM150" s="104">
        <f t="shared" si="799"/>
        <v>0.44114400000000004</v>
      </c>
      <c r="BN150" s="456">
        <f t="shared" si="800"/>
        <v>0</v>
      </c>
      <c r="BO150" s="471">
        <f t="shared" si="801"/>
        <v>0</v>
      </c>
      <c r="BP150" s="471">
        <f t="shared" si="802"/>
        <v>0</v>
      </c>
      <c r="BQ150" s="471">
        <f t="shared" si="803"/>
        <v>0</v>
      </c>
      <c r="BR150" s="449">
        <f t="shared" si="804"/>
        <v>0</v>
      </c>
      <c r="BS150" s="449">
        <f t="shared" si="805"/>
        <v>0</v>
      </c>
      <c r="BT150" s="449">
        <f t="shared" si="806"/>
        <v>0</v>
      </c>
      <c r="BU150" s="449">
        <f t="shared" si="807"/>
        <v>0</v>
      </c>
      <c r="BV150" s="449">
        <f t="shared" si="808"/>
        <v>0</v>
      </c>
      <c r="BW150" s="449">
        <f t="shared" si="809"/>
        <v>0</v>
      </c>
      <c r="BX150" s="449">
        <f t="shared" si="810"/>
        <v>0</v>
      </c>
      <c r="BY150" s="449">
        <f t="shared" si="811"/>
        <v>0</v>
      </c>
      <c r="BZ150" s="449">
        <f t="shared" si="812"/>
        <v>0</v>
      </c>
      <c r="CA150" s="449">
        <f t="shared" si="813"/>
        <v>0</v>
      </c>
      <c r="CB150" s="449">
        <f t="shared" si="814"/>
        <v>0</v>
      </c>
      <c r="CC150" s="449">
        <f t="shared" si="815"/>
        <v>0</v>
      </c>
      <c r="CD150" s="449">
        <f t="shared" si="816"/>
        <v>0</v>
      </c>
      <c r="CE150" s="449">
        <f t="shared" si="817"/>
        <v>0</v>
      </c>
      <c r="CF150" s="449">
        <f t="shared" si="818"/>
        <v>4.0650000000000004</v>
      </c>
      <c r="CG150" s="449">
        <f t="shared" si="819"/>
        <v>0</v>
      </c>
      <c r="CH150" s="449">
        <f t="shared" si="820"/>
        <v>33.42</v>
      </c>
      <c r="CI150" s="449">
        <f t="shared" si="821"/>
        <v>0</v>
      </c>
      <c r="CJ150" s="472">
        <f t="shared" si="822"/>
        <v>0</v>
      </c>
      <c r="CK150" s="449">
        <f t="shared" si="823"/>
        <v>0</v>
      </c>
      <c r="CL150" s="449">
        <f t="shared" si="824"/>
        <v>0</v>
      </c>
      <c r="CM150" s="449">
        <f t="shared" si="825"/>
        <v>0</v>
      </c>
      <c r="CN150" s="453">
        <f t="shared" si="826"/>
        <v>0</v>
      </c>
      <c r="CO150" s="453">
        <f t="shared" si="827"/>
        <v>0</v>
      </c>
      <c r="CP150" s="453">
        <f t="shared" si="828"/>
        <v>0</v>
      </c>
      <c r="CQ150" s="453">
        <f t="shared" si="829"/>
        <v>0</v>
      </c>
      <c r="CR150" s="453">
        <f t="shared" si="830"/>
        <v>0</v>
      </c>
      <c r="CS150" s="453">
        <f t="shared" si="831"/>
        <v>0</v>
      </c>
      <c r="CT150" s="473">
        <f t="shared" si="832"/>
        <v>0</v>
      </c>
      <c r="CU150" s="470">
        <f t="shared" si="833"/>
        <v>1</v>
      </c>
      <c r="CV150" s="470">
        <f t="shared" si="834"/>
        <v>0</v>
      </c>
      <c r="CW150" s="470">
        <f t="shared" si="835"/>
        <v>0</v>
      </c>
      <c r="CX150" s="470">
        <f t="shared" si="836"/>
        <v>0</v>
      </c>
      <c r="CY150" s="470">
        <f t="shared" si="837"/>
        <v>1</v>
      </c>
      <c r="CZ150" s="470">
        <f t="shared" si="838"/>
        <v>0</v>
      </c>
      <c r="DA150" s="478">
        <f t="shared" si="839"/>
        <v>1.6800000000000002</v>
      </c>
      <c r="DB150" s="469">
        <v>1.3</v>
      </c>
      <c r="DC150" s="469">
        <v>1.4</v>
      </c>
      <c r="DD150" s="469">
        <v>2</v>
      </c>
      <c r="DE150" s="469">
        <v>2</v>
      </c>
      <c r="DF150" s="476">
        <v>2</v>
      </c>
      <c r="DG150" s="456">
        <f t="shared" si="840"/>
        <v>0</v>
      </c>
      <c r="DH150" s="476">
        <f t="shared" si="841"/>
        <v>0</v>
      </c>
      <c r="DI150" s="476">
        <f t="shared" si="842"/>
        <v>0</v>
      </c>
      <c r="DJ150" s="476">
        <f t="shared" si="843"/>
        <v>100.26</v>
      </c>
      <c r="DK150" s="476">
        <f t="shared" si="844"/>
        <v>100.26</v>
      </c>
      <c r="DL150" s="476">
        <f t="shared" si="845"/>
        <v>71.184600000000032</v>
      </c>
      <c r="DM150" s="476">
        <f t="shared" si="846"/>
        <v>0</v>
      </c>
      <c r="DN150" s="476">
        <f t="shared" si="847"/>
        <v>0</v>
      </c>
      <c r="DO150" s="476">
        <f t="shared" si="848"/>
        <v>0</v>
      </c>
      <c r="DP150" s="476">
        <f t="shared" si="849"/>
        <v>0</v>
      </c>
      <c r="DQ150" s="445"/>
      <c r="DR150" s="479">
        <f t="shared" si="852"/>
        <v>2.88</v>
      </c>
    </row>
    <row r="151" spans="1:122" s="86" customFormat="1" x14ac:dyDescent="0.25">
      <c r="A151" s="86" t="s">
        <v>2070</v>
      </c>
      <c r="B151" s="101"/>
      <c r="C151" s="101" t="str">
        <f>'Planilha Hidráulica'!B158</f>
        <v>PV11.1-&gt;PV12.1</v>
      </c>
      <c r="D151" s="258">
        <f>'Planilha Hidráulica'!R158</f>
        <v>3.67</v>
      </c>
      <c r="E151" s="258">
        <f>'Planilha Hidráulica'!S158</f>
        <v>3.72</v>
      </c>
      <c r="F151" s="258">
        <f>'Planilha Hidráulica'!K158</f>
        <v>34.19</v>
      </c>
      <c r="G151" s="101">
        <f>'Planilha Hidráulica'!M158</f>
        <v>1200</v>
      </c>
      <c r="H151" s="449">
        <f t="shared" si="752"/>
        <v>4.0850000000000009</v>
      </c>
      <c r="I151" s="102">
        <f t="shared" si="753"/>
        <v>6.9833075000000004</v>
      </c>
      <c r="J151" s="467">
        <v>0</v>
      </c>
      <c r="K151" s="449">
        <f t="shared" si="754"/>
        <v>2.2000000000000002</v>
      </c>
      <c r="L151" s="449">
        <f t="shared" si="755"/>
        <v>2.2000000000000002</v>
      </c>
      <c r="M151" s="449">
        <f>'Planilha Hidráulica'!X158</f>
        <v>1000</v>
      </c>
      <c r="N151" s="449">
        <f t="shared" si="756"/>
        <v>75.218000000000004</v>
      </c>
      <c r="O151" s="468" t="str">
        <f>'Planilha Hidráulica'!W158</f>
        <v>ASFALTO</v>
      </c>
      <c r="P151" s="468" t="s">
        <v>2081</v>
      </c>
      <c r="Q151" s="468"/>
      <c r="R151" s="468">
        <v>5</v>
      </c>
      <c r="S151" s="468">
        <v>5</v>
      </c>
      <c r="T151" s="449">
        <f t="shared" si="757"/>
        <v>0.15</v>
      </c>
      <c r="U151" s="453">
        <f t="shared" si="758"/>
        <v>26.852763206558755</v>
      </c>
      <c r="V151" s="106">
        <f t="shared" si="759"/>
        <v>280.41276679344134</v>
      </c>
      <c r="W151" s="107">
        <f t="shared" si="760"/>
        <v>0</v>
      </c>
      <c r="X151" s="107">
        <f t="shared" si="761"/>
        <v>0</v>
      </c>
      <c r="Y151" s="453">
        <f t="shared" si="762"/>
        <v>4.0850000000000009</v>
      </c>
      <c r="Z151" s="453">
        <f t="shared" si="763"/>
        <v>0</v>
      </c>
      <c r="AA151" s="456">
        <f t="shared" si="764"/>
        <v>75.218000000000004</v>
      </c>
      <c r="AB151" s="469">
        <f t="shared" si="765"/>
        <v>0</v>
      </c>
      <c r="AC151" s="109">
        <f t="shared" si="766"/>
        <v>0</v>
      </c>
      <c r="AD151" s="109">
        <f t="shared" si="767"/>
        <v>0</v>
      </c>
      <c r="AE151" s="109">
        <f t="shared" si="768"/>
        <v>0</v>
      </c>
      <c r="AF151" s="109">
        <f t="shared" si="769"/>
        <v>0</v>
      </c>
      <c r="AG151" s="109">
        <f t="shared" si="770"/>
        <v>0</v>
      </c>
      <c r="AH151" s="109">
        <f t="shared" si="771"/>
        <v>0</v>
      </c>
      <c r="AI151" s="109">
        <f t="shared" si="772"/>
        <v>0</v>
      </c>
      <c r="AJ151" s="456">
        <f t="shared" si="773"/>
        <v>0</v>
      </c>
      <c r="AK151" s="456">
        <f t="shared" si="774"/>
        <v>0</v>
      </c>
      <c r="AL151" s="456">
        <f t="shared" si="775"/>
        <v>112.827</v>
      </c>
      <c r="AM151" s="456">
        <f t="shared" si="776"/>
        <v>112.827</v>
      </c>
      <c r="AN151" s="456">
        <f t="shared" si="851"/>
        <v>54.758766793441318</v>
      </c>
      <c r="AO151" s="456">
        <f t="shared" si="777"/>
        <v>0</v>
      </c>
      <c r="AP151" s="456">
        <f t="shared" si="778"/>
        <v>0</v>
      </c>
      <c r="AQ151" s="456">
        <f t="shared" si="779"/>
        <v>0</v>
      </c>
      <c r="AR151" s="104">
        <f t="shared" si="780"/>
        <v>0</v>
      </c>
      <c r="AS151" s="449">
        <f t="shared" si="781"/>
        <v>0</v>
      </c>
      <c r="AT151" s="104">
        <f t="shared" si="782"/>
        <v>268.59755098255545</v>
      </c>
      <c r="AU151" s="102">
        <f t="shared" si="783"/>
        <v>0</v>
      </c>
      <c r="AV151" s="106">
        <f t="shared" si="784"/>
        <v>11.2827</v>
      </c>
      <c r="AW151" s="104">
        <f t="shared" si="785"/>
        <v>0</v>
      </c>
      <c r="AX151" s="104">
        <f t="shared" si="786"/>
        <v>0</v>
      </c>
      <c r="AY151" s="104">
        <f t="shared" si="787"/>
        <v>1.4</v>
      </c>
      <c r="AZ151" s="104">
        <f t="shared" si="788"/>
        <v>66.637220982555391</v>
      </c>
      <c r="BA151" s="104">
        <f t="shared" si="789"/>
        <v>66.637220982555391</v>
      </c>
      <c r="BB151" s="104">
        <f t="shared" si="790"/>
        <v>11.2827</v>
      </c>
      <c r="BC151" s="104">
        <f t="shared" si="791"/>
        <v>11.2827</v>
      </c>
      <c r="BD151" s="104">
        <f t="shared" si="792"/>
        <v>2.2565399999999998</v>
      </c>
      <c r="BE151" s="104">
        <f t="shared" si="793"/>
        <v>168.11223000000007</v>
      </c>
      <c r="BF151" s="104">
        <f t="shared" si="794"/>
        <v>202.49284581088597</v>
      </c>
      <c r="BG151" s="104">
        <f t="shared" si="795"/>
        <v>168.11223000000007</v>
      </c>
      <c r="BH151" s="104">
        <f t="shared" si="796"/>
        <v>34.380615810885899</v>
      </c>
      <c r="BI151" s="104">
        <f t="shared" si="797"/>
        <v>0</v>
      </c>
      <c r="BJ151" s="102">
        <f t="shared" si="850"/>
        <v>0</v>
      </c>
      <c r="BK151" s="104">
        <f t="shared" si="798"/>
        <v>0</v>
      </c>
      <c r="BL151" s="104"/>
      <c r="BM151" s="104">
        <f t="shared" si="799"/>
        <v>0.45130800000000004</v>
      </c>
      <c r="BN151" s="456">
        <f t="shared" si="800"/>
        <v>0</v>
      </c>
      <c r="BO151" s="471">
        <f t="shared" si="801"/>
        <v>0</v>
      </c>
      <c r="BP151" s="471">
        <f t="shared" si="802"/>
        <v>0</v>
      </c>
      <c r="BQ151" s="471">
        <f t="shared" si="803"/>
        <v>0</v>
      </c>
      <c r="BR151" s="449">
        <f t="shared" si="804"/>
        <v>0</v>
      </c>
      <c r="BS151" s="449">
        <f t="shared" si="805"/>
        <v>0</v>
      </c>
      <c r="BT151" s="449">
        <f t="shared" si="806"/>
        <v>0</v>
      </c>
      <c r="BU151" s="449">
        <f t="shared" si="807"/>
        <v>0</v>
      </c>
      <c r="BV151" s="449">
        <f t="shared" si="808"/>
        <v>0</v>
      </c>
      <c r="BW151" s="449">
        <f t="shared" si="809"/>
        <v>0</v>
      </c>
      <c r="BX151" s="449">
        <f t="shared" si="810"/>
        <v>0</v>
      </c>
      <c r="BY151" s="449">
        <f t="shared" si="811"/>
        <v>0</v>
      </c>
      <c r="BZ151" s="449">
        <f t="shared" si="812"/>
        <v>0</v>
      </c>
      <c r="CA151" s="449">
        <f t="shared" si="813"/>
        <v>0</v>
      </c>
      <c r="CB151" s="449">
        <f t="shared" si="814"/>
        <v>0</v>
      </c>
      <c r="CC151" s="449">
        <f t="shared" si="815"/>
        <v>0</v>
      </c>
      <c r="CD151" s="449">
        <f t="shared" si="816"/>
        <v>0</v>
      </c>
      <c r="CE151" s="449">
        <f t="shared" si="817"/>
        <v>0</v>
      </c>
      <c r="CF151" s="449">
        <f t="shared" si="818"/>
        <v>4.0850000000000009</v>
      </c>
      <c r="CG151" s="449">
        <f t="shared" si="819"/>
        <v>0</v>
      </c>
      <c r="CH151" s="449">
        <f t="shared" si="820"/>
        <v>34.19</v>
      </c>
      <c r="CI151" s="449">
        <f t="shared" si="821"/>
        <v>0</v>
      </c>
      <c r="CJ151" s="472">
        <f t="shared" si="822"/>
        <v>0</v>
      </c>
      <c r="CK151" s="449">
        <f t="shared" si="823"/>
        <v>0</v>
      </c>
      <c r="CL151" s="449">
        <f t="shared" si="824"/>
        <v>0</v>
      </c>
      <c r="CM151" s="449">
        <f t="shared" si="825"/>
        <v>0</v>
      </c>
      <c r="CN151" s="453">
        <f t="shared" si="826"/>
        <v>0</v>
      </c>
      <c r="CO151" s="453">
        <f t="shared" si="827"/>
        <v>0</v>
      </c>
      <c r="CP151" s="453">
        <f t="shared" si="828"/>
        <v>0</v>
      </c>
      <c r="CQ151" s="453">
        <f t="shared" si="829"/>
        <v>0</v>
      </c>
      <c r="CR151" s="453">
        <f t="shared" si="830"/>
        <v>0</v>
      </c>
      <c r="CS151" s="453">
        <f t="shared" si="831"/>
        <v>0</v>
      </c>
      <c r="CT151" s="473">
        <f t="shared" si="832"/>
        <v>0</v>
      </c>
      <c r="CU151" s="470">
        <f t="shared" si="833"/>
        <v>1</v>
      </c>
      <c r="CV151" s="470">
        <f t="shared" si="834"/>
        <v>0</v>
      </c>
      <c r="CW151" s="470">
        <f t="shared" si="835"/>
        <v>0</v>
      </c>
      <c r="CX151" s="470">
        <f t="shared" si="836"/>
        <v>0</v>
      </c>
      <c r="CY151" s="470">
        <f t="shared" si="837"/>
        <v>1</v>
      </c>
      <c r="CZ151" s="470">
        <f t="shared" si="838"/>
        <v>0</v>
      </c>
      <c r="DA151" s="478">
        <f t="shared" si="839"/>
        <v>1.67</v>
      </c>
      <c r="DB151" s="469">
        <v>1.3</v>
      </c>
      <c r="DC151" s="469">
        <v>1.4</v>
      </c>
      <c r="DD151" s="469">
        <v>2</v>
      </c>
      <c r="DE151" s="469">
        <v>2</v>
      </c>
      <c r="DF151" s="476">
        <v>2</v>
      </c>
      <c r="DG151" s="456">
        <f t="shared" si="840"/>
        <v>0</v>
      </c>
      <c r="DH151" s="476">
        <f t="shared" si="841"/>
        <v>0</v>
      </c>
      <c r="DI151" s="476">
        <f t="shared" si="842"/>
        <v>0</v>
      </c>
      <c r="DJ151" s="476">
        <f t="shared" si="843"/>
        <v>102.57</v>
      </c>
      <c r="DK151" s="476">
        <f t="shared" si="844"/>
        <v>102.57</v>
      </c>
      <c r="DL151" s="476">
        <f t="shared" si="845"/>
        <v>74.19230000000006</v>
      </c>
      <c r="DM151" s="476">
        <f t="shared" si="846"/>
        <v>0</v>
      </c>
      <c r="DN151" s="476">
        <f t="shared" si="847"/>
        <v>0</v>
      </c>
      <c r="DO151" s="476">
        <f t="shared" si="848"/>
        <v>0</v>
      </c>
      <c r="DP151" s="476">
        <f t="shared" si="849"/>
        <v>0</v>
      </c>
      <c r="DQ151" s="445"/>
      <c r="DR151" s="479">
        <f t="shared" si="852"/>
        <v>2.67</v>
      </c>
    </row>
    <row r="152" spans="1:122" s="86" customFormat="1" x14ac:dyDescent="0.25">
      <c r="A152" s="86" t="s">
        <v>2070</v>
      </c>
      <c r="B152" s="101"/>
      <c r="C152" s="101" t="str">
        <f>'Planilha Hidráulica'!B159</f>
        <v>PV12.1-&gt;PV13.1</v>
      </c>
      <c r="D152" s="258">
        <f>'Planilha Hidráulica'!R159</f>
        <v>3.72</v>
      </c>
      <c r="E152" s="258">
        <f>'Planilha Hidráulica'!S159</f>
        <v>3.67</v>
      </c>
      <c r="F152" s="258">
        <f>'Planilha Hidráulica'!K159</f>
        <v>34.19</v>
      </c>
      <c r="G152" s="101">
        <f>'Planilha Hidráulica'!M159</f>
        <v>1200</v>
      </c>
      <c r="H152" s="449">
        <f t="shared" si="752"/>
        <v>4.0850000000000009</v>
      </c>
      <c r="I152" s="102">
        <f t="shared" si="753"/>
        <v>6.9833075000000004</v>
      </c>
      <c r="J152" s="467">
        <v>0</v>
      </c>
      <c r="K152" s="449">
        <f t="shared" si="754"/>
        <v>2.2000000000000002</v>
      </c>
      <c r="L152" s="449">
        <f t="shared" si="755"/>
        <v>2.2000000000000002</v>
      </c>
      <c r="M152" s="449">
        <f>'Planilha Hidráulica'!X159</f>
        <v>1000</v>
      </c>
      <c r="N152" s="449">
        <f t="shared" si="756"/>
        <v>75.218000000000004</v>
      </c>
      <c r="O152" s="468" t="str">
        <f>'Planilha Hidráulica'!W159</f>
        <v>ASFALTO</v>
      </c>
      <c r="P152" s="468" t="s">
        <v>2081</v>
      </c>
      <c r="Q152" s="468"/>
      <c r="R152" s="468">
        <v>5</v>
      </c>
      <c r="S152" s="468">
        <v>5</v>
      </c>
      <c r="T152" s="449">
        <f t="shared" si="757"/>
        <v>0.15</v>
      </c>
      <c r="U152" s="453">
        <f t="shared" si="758"/>
        <v>26.852763206558755</v>
      </c>
      <c r="V152" s="106">
        <f t="shared" si="759"/>
        <v>280.41276679344134</v>
      </c>
      <c r="W152" s="107">
        <f t="shared" si="760"/>
        <v>0</v>
      </c>
      <c r="X152" s="107">
        <f t="shared" si="761"/>
        <v>0</v>
      </c>
      <c r="Y152" s="453">
        <f t="shared" si="762"/>
        <v>4.0850000000000009</v>
      </c>
      <c r="Z152" s="453">
        <f t="shared" si="763"/>
        <v>0</v>
      </c>
      <c r="AA152" s="456">
        <f t="shared" si="764"/>
        <v>75.218000000000004</v>
      </c>
      <c r="AB152" s="469">
        <f t="shared" si="765"/>
        <v>0</v>
      </c>
      <c r="AC152" s="109">
        <f t="shared" si="766"/>
        <v>0</v>
      </c>
      <c r="AD152" s="109">
        <f t="shared" si="767"/>
        <v>0</v>
      </c>
      <c r="AE152" s="109">
        <f t="shared" si="768"/>
        <v>0</v>
      </c>
      <c r="AF152" s="109">
        <f t="shared" si="769"/>
        <v>0</v>
      </c>
      <c r="AG152" s="109">
        <f t="shared" si="770"/>
        <v>0</v>
      </c>
      <c r="AH152" s="109">
        <f t="shared" si="771"/>
        <v>0</v>
      </c>
      <c r="AI152" s="109">
        <f t="shared" si="772"/>
        <v>0</v>
      </c>
      <c r="AJ152" s="456">
        <f t="shared" si="773"/>
        <v>0</v>
      </c>
      <c r="AK152" s="456">
        <f t="shared" si="774"/>
        <v>0</v>
      </c>
      <c r="AL152" s="456">
        <f t="shared" si="775"/>
        <v>112.827</v>
      </c>
      <c r="AM152" s="456">
        <f t="shared" si="776"/>
        <v>112.827</v>
      </c>
      <c r="AN152" s="456">
        <f t="shared" si="851"/>
        <v>54.758766793441318</v>
      </c>
      <c r="AO152" s="456">
        <f t="shared" si="777"/>
        <v>0</v>
      </c>
      <c r="AP152" s="456">
        <f t="shared" si="778"/>
        <v>0</v>
      </c>
      <c r="AQ152" s="456">
        <f t="shared" si="779"/>
        <v>0</v>
      </c>
      <c r="AR152" s="104">
        <f t="shared" si="780"/>
        <v>0</v>
      </c>
      <c r="AS152" s="449">
        <f t="shared" si="781"/>
        <v>0</v>
      </c>
      <c r="AT152" s="104">
        <f t="shared" si="782"/>
        <v>268.59755098255545</v>
      </c>
      <c r="AU152" s="102">
        <f t="shared" si="783"/>
        <v>0</v>
      </c>
      <c r="AV152" s="106">
        <f t="shared" si="784"/>
        <v>11.2827</v>
      </c>
      <c r="AW152" s="104">
        <f t="shared" si="785"/>
        <v>0</v>
      </c>
      <c r="AX152" s="104">
        <f t="shared" si="786"/>
        <v>0</v>
      </c>
      <c r="AY152" s="104">
        <f t="shared" si="787"/>
        <v>1.4</v>
      </c>
      <c r="AZ152" s="104">
        <f t="shared" si="788"/>
        <v>66.637220982555391</v>
      </c>
      <c r="BA152" s="104">
        <f t="shared" si="789"/>
        <v>66.637220982555391</v>
      </c>
      <c r="BB152" s="104">
        <f t="shared" si="790"/>
        <v>11.2827</v>
      </c>
      <c r="BC152" s="104">
        <f t="shared" si="791"/>
        <v>11.2827</v>
      </c>
      <c r="BD152" s="104">
        <f t="shared" si="792"/>
        <v>2.2565399999999998</v>
      </c>
      <c r="BE152" s="104">
        <f t="shared" si="793"/>
        <v>168.11223000000007</v>
      </c>
      <c r="BF152" s="104">
        <f t="shared" si="794"/>
        <v>202.49284581088597</v>
      </c>
      <c r="BG152" s="104">
        <f t="shared" si="795"/>
        <v>168.11223000000007</v>
      </c>
      <c r="BH152" s="104">
        <f t="shared" si="796"/>
        <v>34.380615810885899</v>
      </c>
      <c r="BI152" s="104">
        <f t="shared" si="797"/>
        <v>0</v>
      </c>
      <c r="BJ152" s="102">
        <f t="shared" si="850"/>
        <v>0</v>
      </c>
      <c r="BK152" s="104">
        <f t="shared" si="798"/>
        <v>0</v>
      </c>
      <c r="BL152" s="104"/>
      <c r="BM152" s="104">
        <f t="shared" si="799"/>
        <v>0.45130800000000004</v>
      </c>
      <c r="BN152" s="456">
        <f t="shared" si="800"/>
        <v>0</v>
      </c>
      <c r="BO152" s="471">
        <f t="shared" si="801"/>
        <v>0</v>
      </c>
      <c r="BP152" s="471">
        <f t="shared" si="802"/>
        <v>0</v>
      </c>
      <c r="BQ152" s="471">
        <f t="shared" si="803"/>
        <v>0</v>
      </c>
      <c r="BR152" s="449">
        <f t="shared" si="804"/>
        <v>0</v>
      </c>
      <c r="BS152" s="449">
        <f t="shared" si="805"/>
        <v>0</v>
      </c>
      <c r="BT152" s="449">
        <f t="shared" si="806"/>
        <v>0</v>
      </c>
      <c r="BU152" s="449">
        <f t="shared" si="807"/>
        <v>0</v>
      </c>
      <c r="BV152" s="449">
        <f t="shared" si="808"/>
        <v>0</v>
      </c>
      <c r="BW152" s="449">
        <f t="shared" si="809"/>
        <v>0</v>
      </c>
      <c r="BX152" s="449">
        <f t="shared" si="810"/>
        <v>0</v>
      </c>
      <c r="BY152" s="449">
        <f t="shared" si="811"/>
        <v>0</v>
      </c>
      <c r="BZ152" s="449">
        <f t="shared" si="812"/>
        <v>0</v>
      </c>
      <c r="CA152" s="449">
        <f t="shared" si="813"/>
        <v>0</v>
      </c>
      <c r="CB152" s="449">
        <f t="shared" si="814"/>
        <v>0</v>
      </c>
      <c r="CC152" s="449">
        <f t="shared" si="815"/>
        <v>0</v>
      </c>
      <c r="CD152" s="449">
        <f t="shared" si="816"/>
        <v>0</v>
      </c>
      <c r="CE152" s="449">
        <f t="shared" si="817"/>
        <v>0</v>
      </c>
      <c r="CF152" s="449">
        <f t="shared" si="818"/>
        <v>4.0850000000000009</v>
      </c>
      <c r="CG152" s="449">
        <f t="shared" si="819"/>
        <v>0</v>
      </c>
      <c r="CH152" s="449">
        <f t="shared" si="820"/>
        <v>34.19</v>
      </c>
      <c r="CI152" s="449">
        <f t="shared" si="821"/>
        <v>0</v>
      </c>
      <c r="CJ152" s="472">
        <f t="shared" si="822"/>
        <v>0</v>
      </c>
      <c r="CK152" s="449">
        <f t="shared" si="823"/>
        <v>0</v>
      </c>
      <c r="CL152" s="449">
        <f t="shared" si="824"/>
        <v>0</v>
      </c>
      <c r="CM152" s="449">
        <f t="shared" si="825"/>
        <v>0</v>
      </c>
      <c r="CN152" s="453">
        <f t="shared" si="826"/>
        <v>0</v>
      </c>
      <c r="CO152" s="453">
        <f t="shared" si="827"/>
        <v>0</v>
      </c>
      <c r="CP152" s="453">
        <f t="shared" si="828"/>
        <v>0</v>
      </c>
      <c r="CQ152" s="453">
        <f t="shared" si="829"/>
        <v>0</v>
      </c>
      <c r="CR152" s="453">
        <f t="shared" si="830"/>
        <v>0</v>
      </c>
      <c r="CS152" s="453">
        <f t="shared" si="831"/>
        <v>0</v>
      </c>
      <c r="CT152" s="473">
        <f t="shared" si="832"/>
        <v>0</v>
      </c>
      <c r="CU152" s="470">
        <f t="shared" si="833"/>
        <v>1</v>
      </c>
      <c r="CV152" s="470">
        <f t="shared" si="834"/>
        <v>0</v>
      </c>
      <c r="CW152" s="470">
        <f t="shared" si="835"/>
        <v>0</v>
      </c>
      <c r="CX152" s="470">
        <f t="shared" si="836"/>
        <v>0</v>
      </c>
      <c r="CY152" s="470">
        <f t="shared" si="837"/>
        <v>1</v>
      </c>
      <c r="CZ152" s="470">
        <f t="shared" si="838"/>
        <v>0</v>
      </c>
      <c r="DA152" s="478">
        <f t="shared" si="839"/>
        <v>1.7200000000000002</v>
      </c>
      <c r="DB152" s="469">
        <v>1.3</v>
      </c>
      <c r="DC152" s="469">
        <v>1.4</v>
      </c>
      <c r="DD152" s="469">
        <v>2</v>
      </c>
      <c r="DE152" s="469">
        <v>2</v>
      </c>
      <c r="DF152" s="476">
        <v>2</v>
      </c>
      <c r="DG152" s="456">
        <f t="shared" si="840"/>
        <v>0</v>
      </c>
      <c r="DH152" s="476">
        <f t="shared" si="841"/>
        <v>0</v>
      </c>
      <c r="DI152" s="476">
        <f t="shared" si="842"/>
        <v>0</v>
      </c>
      <c r="DJ152" s="476">
        <f t="shared" si="843"/>
        <v>102.57</v>
      </c>
      <c r="DK152" s="476">
        <f t="shared" si="844"/>
        <v>102.57</v>
      </c>
      <c r="DL152" s="476">
        <f t="shared" si="845"/>
        <v>74.19230000000006</v>
      </c>
      <c r="DM152" s="476">
        <f t="shared" si="846"/>
        <v>0</v>
      </c>
      <c r="DN152" s="476">
        <f t="shared" si="847"/>
        <v>0</v>
      </c>
      <c r="DO152" s="476">
        <f t="shared" si="848"/>
        <v>0</v>
      </c>
      <c r="DP152" s="476">
        <f t="shared" si="849"/>
        <v>0</v>
      </c>
      <c r="DQ152" s="445"/>
      <c r="DR152" s="479">
        <f t="shared" si="852"/>
        <v>2.72</v>
      </c>
    </row>
    <row r="153" spans="1:122" s="86" customFormat="1" x14ac:dyDescent="0.25">
      <c r="A153" s="86" t="s">
        <v>2070</v>
      </c>
      <c r="B153" s="101"/>
      <c r="C153" s="101" t="str">
        <f>'Planilha Hidráulica'!B160</f>
        <v>PV13.1-&gt;PV14.1</v>
      </c>
      <c r="D153" s="258">
        <f>'Planilha Hidráulica'!R160</f>
        <v>3.67</v>
      </c>
      <c r="E153" s="258">
        <f>'Planilha Hidráulica'!S160</f>
        <v>3.71</v>
      </c>
      <c r="F153" s="258">
        <f>'Planilha Hidráulica'!K160</f>
        <v>32.6</v>
      </c>
      <c r="G153" s="101">
        <f>'Planilha Hidráulica'!M160</f>
        <v>1200</v>
      </c>
      <c r="H153" s="449">
        <f t="shared" si="752"/>
        <v>4.08</v>
      </c>
      <c r="I153" s="102">
        <f t="shared" si="753"/>
        <v>6.6504000000000003</v>
      </c>
      <c r="J153" s="467">
        <v>0</v>
      </c>
      <c r="K153" s="449">
        <f t="shared" si="754"/>
        <v>2.2000000000000002</v>
      </c>
      <c r="L153" s="449">
        <f t="shared" si="755"/>
        <v>2.2000000000000002</v>
      </c>
      <c r="M153" s="449">
        <f>'Planilha Hidráulica'!X160</f>
        <v>1000</v>
      </c>
      <c r="N153" s="449">
        <f t="shared" si="756"/>
        <v>71.720000000000013</v>
      </c>
      <c r="O153" s="468" t="str">
        <f>'Planilha Hidráulica'!W160</f>
        <v>ASFALTO</v>
      </c>
      <c r="P153" s="468" t="s">
        <v>2082</v>
      </c>
      <c r="Q153" s="468"/>
      <c r="R153" s="468">
        <v>5</v>
      </c>
      <c r="S153" s="468">
        <v>5</v>
      </c>
      <c r="T153" s="449">
        <f t="shared" si="757"/>
        <v>0.15</v>
      </c>
      <c r="U153" s="453">
        <f t="shared" si="758"/>
        <v>25.603980126756817</v>
      </c>
      <c r="V153" s="106">
        <f t="shared" si="759"/>
        <v>267.01361987324321</v>
      </c>
      <c r="W153" s="107">
        <f t="shared" si="760"/>
        <v>0</v>
      </c>
      <c r="X153" s="107">
        <f t="shared" si="761"/>
        <v>0</v>
      </c>
      <c r="Y153" s="453">
        <f t="shared" si="762"/>
        <v>4.08</v>
      </c>
      <c r="Z153" s="453">
        <f t="shared" si="763"/>
        <v>0</v>
      </c>
      <c r="AA153" s="456">
        <f t="shared" si="764"/>
        <v>71.720000000000013</v>
      </c>
      <c r="AB153" s="469">
        <f t="shared" si="765"/>
        <v>0</v>
      </c>
      <c r="AC153" s="109">
        <f t="shared" si="766"/>
        <v>0</v>
      </c>
      <c r="AD153" s="109">
        <f t="shared" si="767"/>
        <v>0</v>
      </c>
      <c r="AE153" s="109">
        <f t="shared" si="768"/>
        <v>0</v>
      </c>
      <c r="AF153" s="109">
        <f t="shared" si="769"/>
        <v>0</v>
      </c>
      <c r="AG153" s="109">
        <f t="shared" si="770"/>
        <v>0</v>
      </c>
      <c r="AH153" s="109">
        <f t="shared" si="771"/>
        <v>0</v>
      </c>
      <c r="AI153" s="109">
        <f t="shared" si="772"/>
        <v>0</v>
      </c>
      <c r="AJ153" s="456">
        <f t="shared" si="773"/>
        <v>0</v>
      </c>
      <c r="AK153" s="456">
        <f t="shared" si="774"/>
        <v>0</v>
      </c>
      <c r="AL153" s="456">
        <f t="shared" si="775"/>
        <v>107.58000000000001</v>
      </c>
      <c r="AM153" s="456">
        <f t="shared" si="776"/>
        <v>107.58000000000001</v>
      </c>
      <c r="AN153" s="456">
        <f t="shared" si="851"/>
        <v>51.853619873243197</v>
      </c>
      <c r="AO153" s="456">
        <f t="shared" si="777"/>
        <v>0</v>
      </c>
      <c r="AP153" s="456">
        <f t="shared" si="778"/>
        <v>0</v>
      </c>
      <c r="AQ153" s="456">
        <f t="shared" si="779"/>
        <v>0</v>
      </c>
      <c r="AR153" s="104">
        <f t="shared" si="780"/>
        <v>0</v>
      </c>
      <c r="AS153" s="449">
        <f t="shared" si="781"/>
        <v>0</v>
      </c>
      <c r="AT153" s="104">
        <f t="shared" si="782"/>
        <v>255.74786861747023</v>
      </c>
      <c r="AU153" s="102">
        <f t="shared" si="783"/>
        <v>0</v>
      </c>
      <c r="AV153" s="106">
        <f t="shared" si="784"/>
        <v>10.758000000000001</v>
      </c>
      <c r="AW153" s="104">
        <f t="shared" si="785"/>
        <v>0</v>
      </c>
      <c r="AX153" s="104">
        <f t="shared" si="786"/>
        <v>0</v>
      </c>
      <c r="AY153" s="104">
        <f t="shared" si="787"/>
        <v>1.4</v>
      </c>
      <c r="AZ153" s="104">
        <f t="shared" si="788"/>
        <v>63.538268617470187</v>
      </c>
      <c r="BA153" s="104">
        <f t="shared" si="789"/>
        <v>63.538268617470187</v>
      </c>
      <c r="BB153" s="104">
        <f t="shared" si="790"/>
        <v>10.758000000000001</v>
      </c>
      <c r="BC153" s="104">
        <f t="shared" si="791"/>
        <v>10.758000000000001</v>
      </c>
      <c r="BD153" s="104">
        <f t="shared" si="792"/>
        <v>2.1516000000000002</v>
      </c>
      <c r="BE153" s="104">
        <f t="shared" si="793"/>
        <v>159.93560000000002</v>
      </c>
      <c r="BF153" s="104">
        <f t="shared" si="794"/>
        <v>192.71735125577305</v>
      </c>
      <c r="BG153" s="104">
        <f t="shared" si="795"/>
        <v>159.93560000000002</v>
      </c>
      <c r="BH153" s="104">
        <f t="shared" si="796"/>
        <v>32.781751255773031</v>
      </c>
      <c r="BI153" s="104">
        <f t="shared" si="797"/>
        <v>0</v>
      </c>
      <c r="BJ153" s="102">
        <f t="shared" si="850"/>
        <v>0</v>
      </c>
      <c r="BK153" s="104">
        <f t="shared" si="798"/>
        <v>0</v>
      </c>
      <c r="BL153" s="104"/>
      <c r="BM153" s="104">
        <f t="shared" si="799"/>
        <v>0.43032000000000004</v>
      </c>
      <c r="BN153" s="456">
        <f t="shared" si="800"/>
        <v>0</v>
      </c>
      <c r="BO153" s="471">
        <f t="shared" si="801"/>
        <v>0</v>
      </c>
      <c r="BP153" s="471">
        <f t="shared" si="802"/>
        <v>0</v>
      </c>
      <c r="BQ153" s="471">
        <f t="shared" si="803"/>
        <v>0</v>
      </c>
      <c r="BR153" s="449">
        <f t="shared" si="804"/>
        <v>0</v>
      </c>
      <c r="BS153" s="449">
        <f t="shared" si="805"/>
        <v>0</v>
      </c>
      <c r="BT153" s="449">
        <f t="shared" si="806"/>
        <v>0</v>
      </c>
      <c r="BU153" s="449">
        <f t="shared" si="807"/>
        <v>0</v>
      </c>
      <c r="BV153" s="449">
        <f t="shared" si="808"/>
        <v>0</v>
      </c>
      <c r="BW153" s="449">
        <f t="shared" si="809"/>
        <v>0</v>
      </c>
      <c r="BX153" s="449">
        <f t="shared" si="810"/>
        <v>0</v>
      </c>
      <c r="BY153" s="449">
        <f t="shared" si="811"/>
        <v>0</v>
      </c>
      <c r="BZ153" s="449">
        <f t="shared" si="812"/>
        <v>0</v>
      </c>
      <c r="CA153" s="449">
        <f t="shared" si="813"/>
        <v>0</v>
      </c>
      <c r="CB153" s="449">
        <f t="shared" si="814"/>
        <v>0</v>
      </c>
      <c r="CC153" s="449">
        <f t="shared" si="815"/>
        <v>0</v>
      </c>
      <c r="CD153" s="449">
        <f t="shared" si="816"/>
        <v>0</v>
      </c>
      <c r="CE153" s="449">
        <f t="shared" si="817"/>
        <v>0</v>
      </c>
      <c r="CF153" s="449">
        <f t="shared" si="818"/>
        <v>4.08</v>
      </c>
      <c r="CG153" s="449">
        <f t="shared" si="819"/>
        <v>0</v>
      </c>
      <c r="CH153" s="449">
        <f t="shared" si="820"/>
        <v>32.6</v>
      </c>
      <c r="CI153" s="449">
        <f t="shared" si="821"/>
        <v>0</v>
      </c>
      <c r="CJ153" s="472">
        <f t="shared" si="822"/>
        <v>0</v>
      </c>
      <c r="CK153" s="449">
        <f t="shared" si="823"/>
        <v>0</v>
      </c>
      <c r="CL153" s="449">
        <f t="shared" si="824"/>
        <v>0</v>
      </c>
      <c r="CM153" s="449">
        <f t="shared" si="825"/>
        <v>0</v>
      </c>
      <c r="CN153" s="453">
        <f t="shared" si="826"/>
        <v>0</v>
      </c>
      <c r="CO153" s="453">
        <f t="shared" si="827"/>
        <v>0</v>
      </c>
      <c r="CP153" s="453">
        <f t="shared" si="828"/>
        <v>0</v>
      </c>
      <c r="CQ153" s="453">
        <f t="shared" si="829"/>
        <v>0</v>
      </c>
      <c r="CR153" s="453">
        <f t="shared" si="830"/>
        <v>0</v>
      </c>
      <c r="CS153" s="453">
        <f t="shared" si="831"/>
        <v>0</v>
      </c>
      <c r="CT153" s="473">
        <f t="shared" si="832"/>
        <v>0</v>
      </c>
      <c r="CU153" s="470">
        <f t="shared" si="833"/>
        <v>1</v>
      </c>
      <c r="CV153" s="470">
        <f t="shared" si="834"/>
        <v>0</v>
      </c>
      <c r="CW153" s="470">
        <f t="shared" si="835"/>
        <v>0</v>
      </c>
      <c r="CX153" s="470">
        <f t="shared" si="836"/>
        <v>0</v>
      </c>
      <c r="CY153" s="470">
        <f t="shared" si="837"/>
        <v>1</v>
      </c>
      <c r="CZ153" s="470">
        <f t="shared" si="838"/>
        <v>0</v>
      </c>
      <c r="DA153" s="478">
        <f t="shared" si="839"/>
        <v>1.67</v>
      </c>
      <c r="DB153" s="469">
        <v>1.3</v>
      </c>
      <c r="DC153" s="469">
        <v>1.4</v>
      </c>
      <c r="DD153" s="469">
        <v>2</v>
      </c>
      <c r="DE153" s="469">
        <v>2</v>
      </c>
      <c r="DF153" s="476">
        <v>2</v>
      </c>
      <c r="DG153" s="456">
        <f t="shared" si="840"/>
        <v>0</v>
      </c>
      <c r="DH153" s="476">
        <f t="shared" si="841"/>
        <v>0</v>
      </c>
      <c r="DI153" s="476">
        <f t="shared" si="842"/>
        <v>0</v>
      </c>
      <c r="DJ153" s="476">
        <f t="shared" si="843"/>
        <v>97.800000000000011</v>
      </c>
      <c r="DK153" s="476">
        <f t="shared" si="844"/>
        <v>97.800000000000011</v>
      </c>
      <c r="DL153" s="476">
        <f t="shared" si="845"/>
        <v>70.416000000000011</v>
      </c>
      <c r="DM153" s="476">
        <f t="shared" si="846"/>
        <v>0</v>
      </c>
      <c r="DN153" s="476">
        <f t="shared" si="847"/>
        <v>0</v>
      </c>
      <c r="DO153" s="476">
        <f t="shared" si="848"/>
        <v>0</v>
      </c>
      <c r="DP153" s="476">
        <f t="shared" si="849"/>
        <v>0</v>
      </c>
      <c r="DQ153" s="445"/>
      <c r="DR153" s="479">
        <f t="shared" si="852"/>
        <v>2.67</v>
      </c>
    </row>
    <row r="154" spans="1:122" s="86" customFormat="1" x14ac:dyDescent="0.25">
      <c r="A154" s="86" t="s">
        <v>2070</v>
      </c>
      <c r="B154" s="101"/>
      <c r="C154" s="101" t="str">
        <f>'Planilha Hidráulica'!B161</f>
        <v>PV14.1-&gt;PV15.1</v>
      </c>
      <c r="D154" s="258">
        <f>'Planilha Hidráulica'!R161</f>
        <v>3.71</v>
      </c>
      <c r="E154" s="258">
        <f>'Planilha Hidráulica'!S161</f>
        <v>3.67</v>
      </c>
      <c r="F154" s="258">
        <f>'Planilha Hidráulica'!K161</f>
        <v>32.6</v>
      </c>
      <c r="G154" s="101">
        <f>'Planilha Hidráulica'!M161</f>
        <v>1200</v>
      </c>
      <c r="H154" s="449">
        <f t="shared" si="752"/>
        <v>4.08</v>
      </c>
      <c r="I154" s="102">
        <f t="shared" si="753"/>
        <v>6.6504000000000003</v>
      </c>
      <c r="J154" s="467">
        <v>0</v>
      </c>
      <c r="K154" s="449">
        <f t="shared" si="754"/>
        <v>2.2000000000000002</v>
      </c>
      <c r="L154" s="449">
        <f t="shared" si="755"/>
        <v>2.2000000000000002</v>
      </c>
      <c r="M154" s="449">
        <f>'Planilha Hidráulica'!X161</f>
        <v>1000</v>
      </c>
      <c r="N154" s="449">
        <f t="shared" si="756"/>
        <v>71.720000000000013</v>
      </c>
      <c r="O154" s="468" t="str">
        <f>'Planilha Hidráulica'!W161</f>
        <v>ASFALTO</v>
      </c>
      <c r="P154" s="468" t="s">
        <v>2082</v>
      </c>
      <c r="Q154" s="468"/>
      <c r="R154" s="468">
        <v>5</v>
      </c>
      <c r="S154" s="468">
        <v>5</v>
      </c>
      <c r="T154" s="449">
        <f t="shared" si="757"/>
        <v>0.15</v>
      </c>
      <c r="U154" s="453">
        <f t="shared" si="758"/>
        <v>25.603980126756817</v>
      </c>
      <c r="V154" s="106">
        <f t="shared" si="759"/>
        <v>267.01361987324321</v>
      </c>
      <c r="W154" s="107">
        <f t="shared" si="760"/>
        <v>0</v>
      </c>
      <c r="X154" s="107">
        <f t="shared" si="761"/>
        <v>0</v>
      </c>
      <c r="Y154" s="453">
        <f t="shared" si="762"/>
        <v>4.08</v>
      </c>
      <c r="Z154" s="453">
        <f t="shared" si="763"/>
        <v>0</v>
      </c>
      <c r="AA154" s="456">
        <f t="shared" si="764"/>
        <v>71.720000000000013</v>
      </c>
      <c r="AB154" s="469">
        <f t="shared" si="765"/>
        <v>0</v>
      </c>
      <c r="AC154" s="109">
        <f t="shared" si="766"/>
        <v>0</v>
      </c>
      <c r="AD154" s="109">
        <f t="shared" si="767"/>
        <v>0</v>
      </c>
      <c r="AE154" s="109">
        <f t="shared" si="768"/>
        <v>0</v>
      </c>
      <c r="AF154" s="109">
        <f t="shared" si="769"/>
        <v>0</v>
      </c>
      <c r="AG154" s="109">
        <f t="shared" si="770"/>
        <v>0</v>
      </c>
      <c r="AH154" s="109">
        <f t="shared" si="771"/>
        <v>0</v>
      </c>
      <c r="AI154" s="109">
        <f t="shared" si="772"/>
        <v>0</v>
      </c>
      <c r="AJ154" s="456">
        <f t="shared" si="773"/>
        <v>0</v>
      </c>
      <c r="AK154" s="456">
        <f t="shared" si="774"/>
        <v>0</v>
      </c>
      <c r="AL154" s="456">
        <f t="shared" si="775"/>
        <v>107.58000000000001</v>
      </c>
      <c r="AM154" s="456">
        <f t="shared" si="776"/>
        <v>107.58000000000001</v>
      </c>
      <c r="AN154" s="456">
        <f t="shared" si="851"/>
        <v>51.853619873243197</v>
      </c>
      <c r="AO154" s="456">
        <f t="shared" si="777"/>
        <v>0</v>
      </c>
      <c r="AP154" s="456">
        <f t="shared" si="778"/>
        <v>0</v>
      </c>
      <c r="AQ154" s="456">
        <f t="shared" si="779"/>
        <v>0</v>
      </c>
      <c r="AR154" s="104">
        <f t="shared" si="780"/>
        <v>0</v>
      </c>
      <c r="AS154" s="449">
        <f t="shared" si="781"/>
        <v>0</v>
      </c>
      <c r="AT154" s="104">
        <f t="shared" si="782"/>
        <v>255.74786861747023</v>
      </c>
      <c r="AU154" s="102">
        <f t="shared" si="783"/>
        <v>0</v>
      </c>
      <c r="AV154" s="106">
        <f t="shared" si="784"/>
        <v>10.758000000000001</v>
      </c>
      <c r="AW154" s="104">
        <f t="shared" si="785"/>
        <v>0</v>
      </c>
      <c r="AX154" s="104">
        <f t="shared" si="786"/>
        <v>0</v>
      </c>
      <c r="AY154" s="104">
        <f t="shared" si="787"/>
        <v>1.4</v>
      </c>
      <c r="AZ154" s="104">
        <f t="shared" si="788"/>
        <v>63.538268617470187</v>
      </c>
      <c r="BA154" s="104">
        <f t="shared" si="789"/>
        <v>63.538268617470187</v>
      </c>
      <c r="BB154" s="104">
        <f t="shared" si="790"/>
        <v>10.758000000000001</v>
      </c>
      <c r="BC154" s="104">
        <f t="shared" si="791"/>
        <v>10.758000000000001</v>
      </c>
      <c r="BD154" s="104">
        <f t="shared" si="792"/>
        <v>2.1516000000000002</v>
      </c>
      <c r="BE154" s="104">
        <f t="shared" si="793"/>
        <v>159.93560000000002</v>
      </c>
      <c r="BF154" s="104">
        <f t="shared" si="794"/>
        <v>192.71735125577305</v>
      </c>
      <c r="BG154" s="104">
        <f t="shared" si="795"/>
        <v>159.93560000000002</v>
      </c>
      <c r="BH154" s="104">
        <f t="shared" si="796"/>
        <v>32.781751255773031</v>
      </c>
      <c r="BI154" s="104">
        <f t="shared" si="797"/>
        <v>0</v>
      </c>
      <c r="BJ154" s="102">
        <f t="shared" si="850"/>
        <v>0</v>
      </c>
      <c r="BK154" s="104">
        <f t="shared" si="798"/>
        <v>0</v>
      </c>
      <c r="BL154" s="104"/>
      <c r="BM154" s="104">
        <f t="shared" si="799"/>
        <v>0.43032000000000004</v>
      </c>
      <c r="BN154" s="456">
        <f t="shared" si="800"/>
        <v>0</v>
      </c>
      <c r="BO154" s="471">
        <f t="shared" si="801"/>
        <v>0</v>
      </c>
      <c r="BP154" s="471">
        <f t="shared" si="802"/>
        <v>0</v>
      </c>
      <c r="BQ154" s="471">
        <f t="shared" si="803"/>
        <v>0</v>
      </c>
      <c r="BR154" s="449">
        <f t="shared" si="804"/>
        <v>0</v>
      </c>
      <c r="BS154" s="449">
        <f t="shared" si="805"/>
        <v>0</v>
      </c>
      <c r="BT154" s="449">
        <f t="shared" si="806"/>
        <v>0</v>
      </c>
      <c r="BU154" s="449">
        <f t="shared" si="807"/>
        <v>0</v>
      </c>
      <c r="BV154" s="449">
        <f t="shared" si="808"/>
        <v>0</v>
      </c>
      <c r="BW154" s="449">
        <f t="shared" si="809"/>
        <v>0</v>
      </c>
      <c r="BX154" s="449">
        <f t="shared" si="810"/>
        <v>0</v>
      </c>
      <c r="BY154" s="449">
        <f t="shared" si="811"/>
        <v>0</v>
      </c>
      <c r="BZ154" s="449">
        <f t="shared" si="812"/>
        <v>0</v>
      </c>
      <c r="CA154" s="449">
        <f t="shared" si="813"/>
        <v>0</v>
      </c>
      <c r="CB154" s="449">
        <f t="shared" si="814"/>
        <v>0</v>
      </c>
      <c r="CC154" s="449">
        <f t="shared" si="815"/>
        <v>0</v>
      </c>
      <c r="CD154" s="449">
        <f t="shared" si="816"/>
        <v>0</v>
      </c>
      <c r="CE154" s="449">
        <f t="shared" si="817"/>
        <v>0</v>
      </c>
      <c r="CF154" s="449">
        <f t="shared" si="818"/>
        <v>4.08</v>
      </c>
      <c r="CG154" s="449">
        <f t="shared" si="819"/>
        <v>0</v>
      </c>
      <c r="CH154" s="449">
        <f t="shared" si="820"/>
        <v>32.6</v>
      </c>
      <c r="CI154" s="449">
        <f t="shared" si="821"/>
        <v>0</v>
      </c>
      <c r="CJ154" s="472">
        <f t="shared" si="822"/>
        <v>0</v>
      </c>
      <c r="CK154" s="449">
        <f t="shared" si="823"/>
        <v>0</v>
      </c>
      <c r="CL154" s="449">
        <f t="shared" si="824"/>
        <v>0</v>
      </c>
      <c r="CM154" s="449">
        <f t="shared" si="825"/>
        <v>0</v>
      </c>
      <c r="CN154" s="453">
        <f t="shared" si="826"/>
        <v>0</v>
      </c>
      <c r="CO154" s="453">
        <f t="shared" si="827"/>
        <v>0</v>
      </c>
      <c r="CP154" s="453">
        <f t="shared" si="828"/>
        <v>0</v>
      </c>
      <c r="CQ154" s="453">
        <f t="shared" si="829"/>
        <v>0</v>
      </c>
      <c r="CR154" s="453">
        <f t="shared" si="830"/>
        <v>0</v>
      </c>
      <c r="CS154" s="453">
        <f t="shared" si="831"/>
        <v>0</v>
      </c>
      <c r="CT154" s="473">
        <f t="shared" si="832"/>
        <v>0</v>
      </c>
      <c r="CU154" s="470">
        <f t="shared" si="833"/>
        <v>1</v>
      </c>
      <c r="CV154" s="470">
        <f t="shared" si="834"/>
        <v>0</v>
      </c>
      <c r="CW154" s="470">
        <f t="shared" si="835"/>
        <v>0</v>
      </c>
      <c r="CX154" s="470">
        <f t="shared" si="836"/>
        <v>0</v>
      </c>
      <c r="CY154" s="470">
        <f t="shared" si="837"/>
        <v>1</v>
      </c>
      <c r="CZ154" s="470">
        <f t="shared" si="838"/>
        <v>0</v>
      </c>
      <c r="DA154" s="478">
        <f t="shared" si="839"/>
        <v>1.71</v>
      </c>
      <c r="DB154" s="469">
        <v>1.3</v>
      </c>
      <c r="DC154" s="469">
        <v>1.4</v>
      </c>
      <c r="DD154" s="469">
        <v>2</v>
      </c>
      <c r="DE154" s="469">
        <v>2</v>
      </c>
      <c r="DF154" s="476">
        <v>2</v>
      </c>
      <c r="DG154" s="456">
        <f t="shared" si="840"/>
        <v>0</v>
      </c>
      <c r="DH154" s="476">
        <f t="shared" si="841"/>
        <v>0</v>
      </c>
      <c r="DI154" s="476">
        <f t="shared" si="842"/>
        <v>0</v>
      </c>
      <c r="DJ154" s="476">
        <f t="shared" si="843"/>
        <v>97.800000000000011</v>
      </c>
      <c r="DK154" s="476">
        <f t="shared" si="844"/>
        <v>97.800000000000011</v>
      </c>
      <c r="DL154" s="476">
        <f t="shared" si="845"/>
        <v>70.416000000000011</v>
      </c>
      <c r="DM154" s="476">
        <f t="shared" si="846"/>
        <v>0</v>
      </c>
      <c r="DN154" s="476">
        <f t="shared" si="847"/>
        <v>0</v>
      </c>
      <c r="DO154" s="476">
        <f t="shared" si="848"/>
        <v>0</v>
      </c>
      <c r="DP154" s="476">
        <f t="shared" si="849"/>
        <v>0</v>
      </c>
      <c r="DQ154" s="445"/>
      <c r="DR154" s="479">
        <f t="shared" si="852"/>
        <v>2.71</v>
      </c>
    </row>
    <row r="155" spans="1:122" s="86" customFormat="1" x14ac:dyDescent="0.25">
      <c r="A155" s="86" t="s">
        <v>2070</v>
      </c>
      <c r="B155" s="101"/>
      <c r="C155" s="101" t="str">
        <f>'Planilha Hidráulica'!B162</f>
        <v>PV15.1-&gt;PV16.1</v>
      </c>
      <c r="D155" s="258">
        <f>'Planilha Hidráulica'!R162</f>
        <v>3.97</v>
      </c>
      <c r="E155" s="258">
        <f>'Planilha Hidráulica'!S162</f>
        <v>3.86</v>
      </c>
      <c r="F155" s="258">
        <f>'Planilha Hidráulica'!K162</f>
        <v>32.590000000000003</v>
      </c>
      <c r="G155" s="101">
        <f>'Planilha Hidráulica'!M162</f>
        <v>1500</v>
      </c>
      <c r="H155" s="449">
        <f t="shared" si="752"/>
        <v>4.415</v>
      </c>
      <c r="I155" s="102">
        <f t="shared" si="753"/>
        <v>7.1942425000000014</v>
      </c>
      <c r="J155" s="467">
        <v>0</v>
      </c>
      <c r="K155" s="449">
        <f t="shared" si="754"/>
        <v>2.6</v>
      </c>
      <c r="L155" s="449">
        <f t="shared" si="755"/>
        <v>2.6</v>
      </c>
      <c r="M155" s="449">
        <f>'Planilha Hidráulica'!X162</f>
        <v>1000</v>
      </c>
      <c r="N155" s="449">
        <f t="shared" si="756"/>
        <v>84.734000000000009</v>
      </c>
      <c r="O155" s="468" t="str">
        <f>'Planilha Hidráulica'!W162</f>
        <v>ASFALTO</v>
      </c>
      <c r="P155" s="468" t="s">
        <v>2082</v>
      </c>
      <c r="Q155" s="468"/>
      <c r="R155" s="468">
        <v>5</v>
      </c>
      <c r="S155" s="468">
        <v>5</v>
      </c>
      <c r="T155" s="449">
        <f t="shared" si="757"/>
        <v>0.2</v>
      </c>
      <c r="U155" s="453">
        <f t="shared" si="758"/>
        <v>25.596126145122842</v>
      </c>
      <c r="V155" s="106">
        <f t="shared" si="759"/>
        <v>348.50448385487721</v>
      </c>
      <c r="W155" s="107">
        <f t="shared" si="760"/>
        <v>0</v>
      </c>
      <c r="X155" s="107">
        <f t="shared" si="761"/>
        <v>0</v>
      </c>
      <c r="Y155" s="453">
        <f t="shared" si="762"/>
        <v>4.415</v>
      </c>
      <c r="Z155" s="453">
        <f t="shared" si="763"/>
        <v>0</v>
      </c>
      <c r="AA155" s="456">
        <f t="shared" si="764"/>
        <v>84.734000000000009</v>
      </c>
      <c r="AB155" s="469">
        <f t="shared" si="765"/>
        <v>0</v>
      </c>
      <c r="AC155" s="109">
        <f t="shared" si="766"/>
        <v>0</v>
      </c>
      <c r="AD155" s="109">
        <f t="shared" si="767"/>
        <v>0</v>
      </c>
      <c r="AE155" s="109">
        <f t="shared" si="768"/>
        <v>0</v>
      </c>
      <c r="AF155" s="109">
        <f t="shared" si="769"/>
        <v>0</v>
      </c>
      <c r="AG155" s="109">
        <f t="shared" si="770"/>
        <v>0</v>
      </c>
      <c r="AH155" s="109">
        <f t="shared" si="771"/>
        <v>0</v>
      </c>
      <c r="AI155" s="109">
        <f t="shared" si="772"/>
        <v>0</v>
      </c>
      <c r="AJ155" s="456">
        <f t="shared" si="773"/>
        <v>0</v>
      </c>
      <c r="AK155" s="456">
        <f t="shared" si="774"/>
        <v>0</v>
      </c>
      <c r="AL155" s="456">
        <f t="shared" si="775"/>
        <v>0</v>
      </c>
      <c r="AM155" s="456">
        <f t="shared" si="776"/>
        <v>0</v>
      </c>
      <c r="AN155" s="456">
        <f t="shared" si="851"/>
        <v>0</v>
      </c>
      <c r="AO155" s="456">
        <f t="shared" si="777"/>
        <v>169.46800000000002</v>
      </c>
      <c r="AP155" s="456">
        <f t="shared" si="778"/>
        <v>169.46800000000002</v>
      </c>
      <c r="AQ155" s="456">
        <f t="shared" si="779"/>
        <v>9.5684838548771616</v>
      </c>
      <c r="AR155" s="104">
        <f t="shared" si="780"/>
        <v>0</v>
      </c>
      <c r="AS155" s="449">
        <f t="shared" si="781"/>
        <v>0</v>
      </c>
      <c r="AT155" s="104">
        <f t="shared" si="782"/>
        <v>316.5093261734736</v>
      </c>
      <c r="AU155" s="102">
        <f t="shared" si="783"/>
        <v>0</v>
      </c>
      <c r="AV155" s="106">
        <f t="shared" si="784"/>
        <v>16.946800000000003</v>
      </c>
      <c r="AW155" s="104">
        <f t="shared" si="785"/>
        <v>0</v>
      </c>
      <c r="AX155" s="104">
        <f t="shared" si="786"/>
        <v>0</v>
      </c>
      <c r="AY155" s="104">
        <f t="shared" si="787"/>
        <v>1.7</v>
      </c>
      <c r="AZ155" s="104">
        <f t="shared" si="788"/>
        <v>86.456516173473631</v>
      </c>
      <c r="BA155" s="104">
        <f t="shared" si="789"/>
        <v>86.456516173473631</v>
      </c>
      <c r="BB155" s="104">
        <f t="shared" si="790"/>
        <v>12.710100000000002</v>
      </c>
      <c r="BC155" s="104">
        <f t="shared" si="791"/>
        <v>12.710100000000002</v>
      </c>
      <c r="BD155" s="104">
        <f t="shared" si="792"/>
        <v>2.5420199999999999</v>
      </c>
      <c r="BE155" s="104">
        <f t="shared" si="793"/>
        <v>187.68580999999995</v>
      </c>
      <c r="BF155" s="104">
        <f t="shared" si="794"/>
        <v>249.33786768140357</v>
      </c>
      <c r="BG155" s="104">
        <f t="shared" si="795"/>
        <v>187.68580999999995</v>
      </c>
      <c r="BH155" s="104">
        <f t="shared" si="796"/>
        <v>61.652057681403619</v>
      </c>
      <c r="BI155" s="104">
        <f t="shared" si="797"/>
        <v>0</v>
      </c>
      <c r="BJ155" s="102">
        <f t="shared" si="850"/>
        <v>0</v>
      </c>
      <c r="BK155" s="104">
        <f t="shared" si="798"/>
        <v>0</v>
      </c>
      <c r="BL155" s="104"/>
      <c r="BM155" s="104">
        <f t="shared" si="799"/>
        <v>0.50840400000000008</v>
      </c>
      <c r="BN155" s="456">
        <f t="shared" si="800"/>
        <v>0</v>
      </c>
      <c r="BO155" s="471">
        <f t="shared" si="801"/>
        <v>0</v>
      </c>
      <c r="BP155" s="471">
        <f t="shared" si="802"/>
        <v>0</v>
      </c>
      <c r="BQ155" s="471">
        <f t="shared" si="803"/>
        <v>0</v>
      </c>
      <c r="BR155" s="449">
        <f t="shared" si="804"/>
        <v>0</v>
      </c>
      <c r="BS155" s="449">
        <f t="shared" si="805"/>
        <v>0</v>
      </c>
      <c r="BT155" s="449">
        <f t="shared" si="806"/>
        <v>0</v>
      </c>
      <c r="BU155" s="449">
        <f t="shared" si="807"/>
        <v>0</v>
      </c>
      <c r="BV155" s="449">
        <f t="shared" si="808"/>
        <v>0</v>
      </c>
      <c r="BW155" s="449">
        <f t="shared" si="809"/>
        <v>0</v>
      </c>
      <c r="BX155" s="449">
        <f t="shared" si="810"/>
        <v>0</v>
      </c>
      <c r="BY155" s="449">
        <f t="shared" si="811"/>
        <v>0</v>
      </c>
      <c r="BZ155" s="449">
        <f t="shared" si="812"/>
        <v>0</v>
      </c>
      <c r="CA155" s="449">
        <f t="shared" si="813"/>
        <v>0</v>
      </c>
      <c r="CB155" s="449">
        <f t="shared" si="814"/>
        <v>0</v>
      </c>
      <c r="CC155" s="449">
        <f t="shared" si="815"/>
        <v>0</v>
      </c>
      <c r="CD155" s="449">
        <f t="shared" si="816"/>
        <v>0</v>
      </c>
      <c r="CE155" s="449">
        <f t="shared" si="817"/>
        <v>0</v>
      </c>
      <c r="CF155" s="449">
        <f t="shared" si="818"/>
        <v>0</v>
      </c>
      <c r="CG155" s="449">
        <f t="shared" si="819"/>
        <v>0</v>
      </c>
      <c r="CH155" s="449">
        <f t="shared" si="820"/>
        <v>0</v>
      </c>
      <c r="CI155" s="449">
        <f t="shared" si="821"/>
        <v>0</v>
      </c>
      <c r="CJ155" s="472">
        <f t="shared" si="822"/>
        <v>4.415</v>
      </c>
      <c r="CK155" s="449">
        <f t="shared" si="823"/>
        <v>0</v>
      </c>
      <c r="CL155" s="449">
        <f t="shared" si="824"/>
        <v>32.590000000000003</v>
      </c>
      <c r="CM155" s="449">
        <f t="shared" si="825"/>
        <v>0</v>
      </c>
      <c r="CN155" s="453">
        <f t="shared" si="826"/>
        <v>0</v>
      </c>
      <c r="CO155" s="453">
        <f t="shared" si="827"/>
        <v>0</v>
      </c>
      <c r="CP155" s="453">
        <f t="shared" si="828"/>
        <v>0</v>
      </c>
      <c r="CQ155" s="453">
        <f t="shared" si="829"/>
        <v>0</v>
      </c>
      <c r="CR155" s="453">
        <f t="shared" si="830"/>
        <v>0</v>
      </c>
      <c r="CS155" s="453">
        <f t="shared" si="831"/>
        <v>0</v>
      </c>
      <c r="CT155" s="473">
        <f t="shared" si="832"/>
        <v>0</v>
      </c>
      <c r="CU155" s="470">
        <f t="shared" si="833"/>
        <v>1</v>
      </c>
      <c r="CV155" s="470">
        <f t="shared" si="834"/>
        <v>0</v>
      </c>
      <c r="CW155" s="470">
        <f t="shared" si="835"/>
        <v>0</v>
      </c>
      <c r="CX155" s="470">
        <f t="shared" si="836"/>
        <v>0</v>
      </c>
      <c r="CY155" s="470">
        <f t="shared" si="837"/>
        <v>0</v>
      </c>
      <c r="CZ155" s="470">
        <f t="shared" si="838"/>
        <v>1</v>
      </c>
      <c r="DA155" s="478">
        <f t="shared" si="839"/>
        <v>1.9700000000000002</v>
      </c>
      <c r="DB155" s="469">
        <v>1.3</v>
      </c>
      <c r="DC155" s="469">
        <v>1.4</v>
      </c>
      <c r="DD155" s="469">
        <v>2</v>
      </c>
      <c r="DE155" s="469">
        <v>2</v>
      </c>
      <c r="DF155" s="476">
        <v>2</v>
      </c>
      <c r="DG155" s="456">
        <f t="shared" si="840"/>
        <v>0</v>
      </c>
      <c r="DH155" s="476">
        <f t="shared" si="841"/>
        <v>0</v>
      </c>
      <c r="DI155" s="476">
        <f t="shared" si="842"/>
        <v>0</v>
      </c>
      <c r="DJ155" s="476">
        <f t="shared" si="843"/>
        <v>0</v>
      </c>
      <c r="DK155" s="476">
        <f t="shared" si="844"/>
        <v>0</v>
      </c>
      <c r="DL155" s="476">
        <f t="shared" si="845"/>
        <v>0</v>
      </c>
      <c r="DM155" s="476">
        <f t="shared" si="846"/>
        <v>97.77000000000001</v>
      </c>
      <c r="DN155" s="476">
        <f t="shared" si="847"/>
        <v>97.77000000000001</v>
      </c>
      <c r="DO155" s="476">
        <f t="shared" si="848"/>
        <v>92.229700000000008</v>
      </c>
      <c r="DP155" s="476">
        <f t="shared" si="849"/>
        <v>0</v>
      </c>
      <c r="DQ155" s="445"/>
      <c r="DR155" s="479">
        <f t="shared" si="852"/>
        <v>2.97</v>
      </c>
    </row>
    <row r="156" spans="1:122" s="86" customFormat="1" x14ac:dyDescent="0.25">
      <c r="A156" s="86" t="s">
        <v>2070</v>
      </c>
      <c r="B156" s="101"/>
      <c r="C156" s="101" t="str">
        <f>'Planilha Hidráulica'!B163</f>
        <v>PV16.1-&gt;PV17.1</v>
      </c>
      <c r="D156" s="258">
        <f>'Planilha Hidráulica'!R163</f>
        <v>3.86</v>
      </c>
      <c r="E156" s="258">
        <f>'Planilha Hidráulica'!S163</f>
        <v>3.97</v>
      </c>
      <c r="F156" s="258">
        <f>'Planilha Hidráulica'!K163</f>
        <v>32.590000000000003</v>
      </c>
      <c r="G156" s="101">
        <f>'Planilha Hidráulica'!M163</f>
        <v>1500</v>
      </c>
      <c r="H156" s="449">
        <f t="shared" si="752"/>
        <v>4.415</v>
      </c>
      <c r="I156" s="102">
        <f t="shared" si="753"/>
        <v>7.1942425000000014</v>
      </c>
      <c r="J156" s="467">
        <v>0</v>
      </c>
      <c r="K156" s="449">
        <f t="shared" si="754"/>
        <v>2.6</v>
      </c>
      <c r="L156" s="449">
        <f t="shared" si="755"/>
        <v>2.6</v>
      </c>
      <c r="M156" s="449">
        <f>'Planilha Hidráulica'!X163</f>
        <v>1000</v>
      </c>
      <c r="N156" s="449">
        <f t="shared" si="756"/>
        <v>84.734000000000009</v>
      </c>
      <c r="O156" s="468" t="str">
        <f>'Planilha Hidráulica'!W163</f>
        <v>ASFALTO</v>
      </c>
      <c r="P156" s="468" t="s">
        <v>2082</v>
      </c>
      <c r="Q156" s="468"/>
      <c r="R156" s="468">
        <v>5</v>
      </c>
      <c r="S156" s="468">
        <v>5</v>
      </c>
      <c r="T156" s="449">
        <f t="shared" si="757"/>
        <v>0.2</v>
      </c>
      <c r="U156" s="453">
        <f t="shared" si="758"/>
        <v>25.596126145122842</v>
      </c>
      <c r="V156" s="106">
        <f t="shared" si="759"/>
        <v>348.50448385487721</v>
      </c>
      <c r="W156" s="107">
        <f t="shared" si="760"/>
        <v>0</v>
      </c>
      <c r="X156" s="107">
        <f t="shared" si="761"/>
        <v>0</v>
      </c>
      <c r="Y156" s="453">
        <f t="shared" si="762"/>
        <v>4.415</v>
      </c>
      <c r="Z156" s="453">
        <f t="shared" si="763"/>
        <v>0</v>
      </c>
      <c r="AA156" s="456">
        <f t="shared" si="764"/>
        <v>84.734000000000009</v>
      </c>
      <c r="AB156" s="469">
        <f t="shared" si="765"/>
        <v>0</v>
      </c>
      <c r="AC156" s="109">
        <f t="shared" si="766"/>
        <v>0</v>
      </c>
      <c r="AD156" s="109">
        <f t="shared" si="767"/>
        <v>0</v>
      </c>
      <c r="AE156" s="109">
        <f t="shared" si="768"/>
        <v>0</v>
      </c>
      <c r="AF156" s="109">
        <f t="shared" si="769"/>
        <v>0</v>
      </c>
      <c r="AG156" s="109">
        <f t="shared" si="770"/>
        <v>0</v>
      </c>
      <c r="AH156" s="109">
        <f t="shared" si="771"/>
        <v>0</v>
      </c>
      <c r="AI156" s="109">
        <f t="shared" si="772"/>
        <v>0</v>
      </c>
      <c r="AJ156" s="456">
        <f t="shared" si="773"/>
        <v>0</v>
      </c>
      <c r="AK156" s="456">
        <f t="shared" si="774"/>
        <v>0</v>
      </c>
      <c r="AL156" s="456">
        <f t="shared" si="775"/>
        <v>0</v>
      </c>
      <c r="AM156" s="456">
        <f t="shared" si="776"/>
        <v>0</v>
      </c>
      <c r="AN156" s="456">
        <f t="shared" si="851"/>
        <v>0</v>
      </c>
      <c r="AO156" s="456">
        <f t="shared" si="777"/>
        <v>169.46800000000002</v>
      </c>
      <c r="AP156" s="456">
        <f t="shared" si="778"/>
        <v>169.46800000000002</v>
      </c>
      <c r="AQ156" s="456">
        <f t="shared" si="779"/>
        <v>9.5684838548771616</v>
      </c>
      <c r="AR156" s="104">
        <f t="shared" si="780"/>
        <v>0</v>
      </c>
      <c r="AS156" s="449">
        <f t="shared" si="781"/>
        <v>0</v>
      </c>
      <c r="AT156" s="104">
        <f t="shared" si="782"/>
        <v>316.5093261734736</v>
      </c>
      <c r="AU156" s="102">
        <f t="shared" si="783"/>
        <v>0</v>
      </c>
      <c r="AV156" s="106">
        <f t="shared" si="784"/>
        <v>16.946800000000003</v>
      </c>
      <c r="AW156" s="104">
        <f t="shared" si="785"/>
        <v>0</v>
      </c>
      <c r="AX156" s="104">
        <f t="shared" si="786"/>
        <v>0</v>
      </c>
      <c r="AY156" s="104">
        <f t="shared" si="787"/>
        <v>1.7</v>
      </c>
      <c r="AZ156" s="104">
        <f t="shared" si="788"/>
        <v>86.456516173473631</v>
      </c>
      <c r="BA156" s="104">
        <f t="shared" si="789"/>
        <v>86.456516173473631</v>
      </c>
      <c r="BB156" s="104">
        <f t="shared" si="790"/>
        <v>12.710100000000002</v>
      </c>
      <c r="BC156" s="104">
        <f t="shared" si="791"/>
        <v>12.710100000000002</v>
      </c>
      <c r="BD156" s="104">
        <f t="shared" si="792"/>
        <v>2.5420199999999999</v>
      </c>
      <c r="BE156" s="104">
        <f t="shared" si="793"/>
        <v>187.68580999999995</v>
      </c>
      <c r="BF156" s="104">
        <f t="shared" si="794"/>
        <v>249.33786768140357</v>
      </c>
      <c r="BG156" s="104">
        <f t="shared" si="795"/>
        <v>187.68580999999995</v>
      </c>
      <c r="BH156" s="104">
        <f t="shared" si="796"/>
        <v>61.652057681403619</v>
      </c>
      <c r="BI156" s="104">
        <f t="shared" si="797"/>
        <v>0</v>
      </c>
      <c r="BJ156" s="102">
        <f t="shared" si="850"/>
        <v>0</v>
      </c>
      <c r="BK156" s="104">
        <f t="shared" si="798"/>
        <v>0</v>
      </c>
      <c r="BL156" s="104"/>
      <c r="BM156" s="104">
        <f t="shared" si="799"/>
        <v>0.50840400000000008</v>
      </c>
      <c r="BN156" s="456">
        <f t="shared" si="800"/>
        <v>0</v>
      </c>
      <c r="BO156" s="471">
        <f t="shared" si="801"/>
        <v>0</v>
      </c>
      <c r="BP156" s="471">
        <f t="shared" si="802"/>
        <v>0</v>
      </c>
      <c r="BQ156" s="471">
        <f t="shared" si="803"/>
        <v>0</v>
      </c>
      <c r="BR156" s="449">
        <f t="shared" si="804"/>
        <v>0</v>
      </c>
      <c r="BS156" s="449">
        <f t="shared" si="805"/>
        <v>0</v>
      </c>
      <c r="BT156" s="449">
        <f t="shared" si="806"/>
        <v>0</v>
      </c>
      <c r="BU156" s="449">
        <f t="shared" si="807"/>
        <v>0</v>
      </c>
      <c r="BV156" s="449">
        <f t="shared" si="808"/>
        <v>0</v>
      </c>
      <c r="BW156" s="449">
        <f t="shared" si="809"/>
        <v>0</v>
      </c>
      <c r="BX156" s="449">
        <f t="shared" si="810"/>
        <v>0</v>
      </c>
      <c r="BY156" s="449">
        <f t="shared" si="811"/>
        <v>0</v>
      </c>
      <c r="BZ156" s="449">
        <f t="shared" si="812"/>
        <v>0</v>
      </c>
      <c r="CA156" s="449">
        <f t="shared" si="813"/>
        <v>0</v>
      </c>
      <c r="CB156" s="449">
        <f t="shared" si="814"/>
        <v>0</v>
      </c>
      <c r="CC156" s="449">
        <f t="shared" si="815"/>
        <v>0</v>
      </c>
      <c r="CD156" s="449">
        <f t="shared" si="816"/>
        <v>0</v>
      </c>
      <c r="CE156" s="449">
        <f t="shared" si="817"/>
        <v>0</v>
      </c>
      <c r="CF156" s="449">
        <f t="shared" si="818"/>
        <v>0</v>
      </c>
      <c r="CG156" s="449">
        <f t="shared" si="819"/>
        <v>0</v>
      </c>
      <c r="CH156" s="449">
        <f t="shared" si="820"/>
        <v>0</v>
      </c>
      <c r="CI156" s="449">
        <f t="shared" si="821"/>
        <v>0</v>
      </c>
      <c r="CJ156" s="472">
        <f t="shared" si="822"/>
        <v>4.415</v>
      </c>
      <c r="CK156" s="449">
        <f t="shared" si="823"/>
        <v>0</v>
      </c>
      <c r="CL156" s="449">
        <f t="shared" si="824"/>
        <v>32.590000000000003</v>
      </c>
      <c r="CM156" s="449">
        <f t="shared" si="825"/>
        <v>0</v>
      </c>
      <c r="CN156" s="453">
        <f t="shared" si="826"/>
        <v>0</v>
      </c>
      <c r="CO156" s="453">
        <f t="shared" si="827"/>
        <v>0</v>
      </c>
      <c r="CP156" s="453">
        <f t="shared" si="828"/>
        <v>0</v>
      </c>
      <c r="CQ156" s="453">
        <f t="shared" si="829"/>
        <v>0</v>
      </c>
      <c r="CR156" s="453">
        <f t="shared" si="830"/>
        <v>0</v>
      </c>
      <c r="CS156" s="453">
        <f t="shared" si="831"/>
        <v>0</v>
      </c>
      <c r="CT156" s="473">
        <f t="shared" si="832"/>
        <v>0</v>
      </c>
      <c r="CU156" s="470">
        <f t="shared" si="833"/>
        <v>1</v>
      </c>
      <c r="CV156" s="470">
        <f t="shared" si="834"/>
        <v>0</v>
      </c>
      <c r="CW156" s="470">
        <f t="shared" si="835"/>
        <v>0</v>
      </c>
      <c r="CX156" s="470">
        <f t="shared" si="836"/>
        <v>0</v>
      </c>
      <c r="CY156" s="470">
        <f t="shared" si="837"/>
        <v>0</v>
      </c>
      <c r="CZ156" s="470">
        <f t="shared" si="838"/>
        <v>1</v>
      </c>
      <c r="DA156" s="478">
        <f t="shared" si="839"/>
        <v>1.8599999999999999</v>
      </c>
      <c r="DB156" s="469">
        <v>1.3</v>
      </c>
      <c r="DC156" s="469">
        <v>1.4</v>
      </c>
      <c r="DD156" s="469">
        <v>2</v>
      </c>
      <c r="DE156" s="469">
        <v>2</v>
      </c>
      <c r="DF156" s="476">
        <v>2</v>
      </c>
      <c r="DG156" s="456">
        <f t="shared" si="840"/>
        <v>0</v>
      </c>
      <c r="DH156" s="476">
        <f t="shared" si="841"/>
        <v>0</v>
      </c>
      <c r="DI156" s="476">
        <f t="shared" si="842"/>
        <v>0</v>
      </c>
      <c r="DJ156" s="476">
        <f t="shared" si="843"/>
        <v>0</v>
      </c>
      <c r="DK156" s="476">
        <f t="shared" si="844"/>
        <v>0</v>
      </c>
      <c r="DL156" s="476">
        <f t="shared" si="845"/>
        <v>0</v>
      </c>
      <c r="DM156" s="476">
        <f t="shared" si="846"/>
        <v>97.77000000000001</v>
      </c>
      <c r="DN156" s="476">
        <f t="shared" si="847"/>
        <v>97.77000000000001</v>
      </c>
      <c r="DO156" s="476">
        <f t="shared" si="848"/>
        <v>92.229700000000008</v>
      </c>
      <c r="DP156" s="476">
        <f t="shared" si="849"/>
        <v>0</v>
      </c>
      <c r="DQ156" s="445"/>
      <c r="DR156" s="479">
        <f t="shared" si="852"/>
        <v>2.86</v>
      </c>
    </row>
    <row r="157" spans="1:122" s="86" customFormat="1" x14ac:dyDescent="0.25">
      <c r="A157" s="86" t="s">
        <v>2070</v>
      </c>
      <c r="B157" s="101"/>
      <c r="C157" s="101" t="str">
        <f>'Planilha Hidráulica'!B164</f>
        <v>PV17.1-&gt;PV18.1</v>
      </c>
      <c r="D157" s="258">
        <f>'Planilha Hidráulica'!R164</f>
        <v>3.97</v>
      </c>
      <c r="E157" s="258">
        <f>'Planilha Hidráulica'!S164</f>
        <v>3.97</v>
      </c>
      <c r="F157" s="258">
        <f>'Planilha Hidráulica'!K164</f>
        <v>37.36</v>
      </c>
      <c r="G157" s="101">
        <f>'Planilha Hidráulica'!M164</f>
        <v>1500</v>
      </c>
      <c r="H157" s="449">
        <f t="shared" si="752"/>
        <v>4.4700000000000006</v>
      </c>
      <c r="I157" s="102">
        <f t="shared" si="753"/>
        <v>8.3499600000000012</v>
      </c>
      <c r="J157" s="467">
        <v>0</v>
      </c>
      <c r="K157" s="449">
        <f t="shared" si="754"/>
        <v>2.6</v>
      </c>
      <c r="L157" s="449">
        <f t="shared" si="755"/>
        <v>2.6</v>
      </c>
      <c r="M157" s="449">
        <f>'Planilha Hidráulica'!X164</f>
        <v>1000</v>
      </c>
      <c r="N157" s="449">
        <f t="shared" si="756"/>
        <v>97.135999999999996</v>
      </c>
      <c r="O157" s="468" t="str">
        <f>'Planilha Hidráulica'!W164</f>
        <v>ASFALTO</v>
      </c>
      <c r="P157" s="468" t="s">
        <v>2082</v>
      </c>
      <c r="Q157" s="468"/>
      <c r="R157" s="468">
        <v>5</v>
      </c>
      <c r="S157" s="468">
        <v>5</v>
      </c>
      <c r="T157" s="449">
        <f t="shared" si="757"/>
        <v>0.2</v>
      </c>
      <c r="U157" s="453">
        <f t="shared" si="758"/>
        <v>29.342475384528669</v>
      </c>
      <c r="V157" s="106">
        <f t="shared" si="759"/>
        <v>404.85544461547141</v>
      </c>
      <c r="W157" s="107">
        <f t="shared" si="760"/>
        <v>0</v>
      </c>
      <c r="X157" s="107">
        <f t="shared" si="761"/>
        <v>0</v>
      </c>
      <c r="Y157" s="453">
        <f t="shared" si="762"/>
        <v>4.4700000000000006</v>
      </c>
      <c r="Z157" s="453">
        <f t="shared" si="763"/>
        <v>0</v>
      </c>
      <c r="AA157" s="456">
        <f t="shared" si="764"/>
        <v>97.135999999999996</v>
      </c>
      <c r="AB157" s="469">
        <f t="shared" si="765"/>
        <v>0</v>
      </c>
      <c r="AC157" s="109">
        <f t="shared" si="766"/>
        <v>0</v>
      </c>
      <c r="AD157" s="109">
        <f t="shared" si="767"/>
        <v>0</v>
      </c>
      <c r="AE157" s="109">
        <f t="shared" si="768"/>
        <v>0</v>
      </c>
      <c r="AF157" s="109">
        <f t="shared" si="769"/>
        <v>0</v>
      </c>
      <c r="AG157" s="109">
        <f t="shared" si="770"/>
        <v>0</v>
      </c>
      <c r="AH157" s="109">
        <f t="shared" si="771"/>
        <v>0</v>
      </c>
      <c r="AI157" s="109">
        <f t="shared" si="772"/>
        <v>0</v>
      </c>
      <c r="AJ157" s="456">
        <f t="shared" si="773"/>
        <v>0</v>
      </c>
      <c r="AK157" s="456">
        <f t="shared" si="774"/>
        <v>0</v>
      </c>
      <c r="AL157" s="456">
        <f t="shared" si="775"/>
        <v>0</v>
      </c>
      <c r="AM157" s="456">
        <f t="shared" si="776"/>
        <v>0</v>
      </c>
      <c r="AN157" s="456">
        <f t="shared" si="851"/>
        <v>0</v>
      </c>
      <c r="AO157" s="456">
        <f t="shared" si="777"/>
        <v>194.27199999999999</v>
      </c>
      <c r="AP157" s="456">
        <f t="shared" si="778"/>
        <v>194.27199999999999</v>
      </c>
      <c r="AQ157" s="456">
        <f t="shared" si="779"/>
        <v>16.311444615471395</v>
      </c>
      <c r="AR157" s="104">
        <f t="shared" si="780"/>
        <v>0</v>
      </c>
      <c r="AS157" s="449">
        <f t="shared" si="781"/>
        <v>0</v>
      </c>
      <c r="AT157" s="104">
        <f t="shared" si="782"/>
        <v>368.17735038481055</v>
      </c>
      <c r="AU157" s="102">
        <f t="shared" si="783"/>
        <v>0</v>
      </c>
      <c r="AV157" s="106">
        <f t="shared" si="784"/>
        <v>19.427199999999999</v>
      </c>
      <c r="AW157" s="104">
        <f t="shared" si="785"/>
        <v>0</v>
      </c>
      <c r="AX157" s="104">
        <f t="shared" si="786"/>
        <v>0</v>
      </c>
      <c r="AY157" s="104">
        <f t="shared" si="787"/>
        <v>1.7</v>
      </c>
      <c r="AZ157" s="104">
        <f t="shared" si="788"/>
        <v>99.110630384810506</v>
      </c>
      <c r="BA157" s="104">
        <f t="shared" si="789"/>
        <v>99.110630384810506</v>
      </c>
      <c r="BB157" s="104">
        <f t="shared" si="790"/>
        <v>14.570400000000001</v>
      </c>
      <c r="BC157" s="104">
        <f t="shared" si="791"/>
        <v>14.570400000000001</v>
      </c>
      <c r="BD157" s="104">
        <f t="shared" si="792"/>
        <v>2.9140800000000002</v>
      </c>
      <c r="BE157" s="104">
        <f t="shared" si="793"/>
        <v>220.49872000000005</v>
      </c>
      <c r="BF157" s="104">
        <f t="shared" si="794"/>
        <v>291.17441423066083</v>
      </c>
      <c r="BG157" s="104">
        <f t="shared" si="795"/>
        <v>220.49872000000005</v>
      </c>
      <c r="BH157" s="104">
        <f t="shared" si="796"/>
        <v>70.675694230660781</v>
      </c>
      <c r="BI157" s="104">
        <f t="shared" si="797"/>
        <v>0</v>
      </c>
      <c r="BJ157" s="102">
        <f t="shared" si="850"/>
        <v>0</v>
      </c>
      <c r="BK157" s="104">
        <f t="shared" si="798"/>
        <v>0</v>
      </c>
      <c r="BL157" s="104"/>
      <c r="BM157" s="104">
        <f t="shared" si="799"/>
        <v>0.58281600000000011</v>
      </c>
      <c r="BN157" s="456">
        <f t="shared" si="800"/>
        <v>0</v>
      </c>
      <c r="BO157" s="471">
        <f t="shared" si="801"/>
        <v>0</v>
      </c>
      <c r="BP157" s="471">
        <f t="shared" si="802"/>
        <v>0</v>
      </c>
      <c r="BQ157" s="471">
        <f t="shared" si="803"/>
        <v>0</v>
      </c>
      <c r="BR157" s="449">
        <f t="shared" si="804"/>
        <v>0</v>
      </c>
      <c r="BS157" s="449">
        <f t="shared" si="805"/>
        <v>0</v>
      </c>
      <c r="BT157" s="449">
        <f t="shared" si="806"/>
        <v>0</v>
      </c>
      <c r="BU157" s="449">
        <f t="shared" si="807"/>
        <v>0</v>
      </c>
      <c r="BV157" s="449">
        <f t="shared" si="808"/>
        <v>0</v>
      </c>
      <c r="BW157" s="449">
        <f t="shared" si="809"/>
        <v>0</v>
      </c>
      <c r="BX157" s="449">
        <f t="shared" si="810"/>
        <v>0</v>
      </c>
      <c r="BY157" s="449">
        <f t="shared" si="811"/>
        <v>0</v>
      </c>
      <c r="BZ157" s="449">
        <f t="shared" si="812"/>
        <v>0</v>
      </c>
      <c r="CA157" s="449">
        <f t="shared" si="813"/>
        <v>0</v>
      </c>
      <c r="CB157" s="449">
        <f t="shared" si="814"/>
        <v>0</v>
      </c>
      <c r="CC157" s="449">
        <f t="shared" si="815"/>
        <v>0</v>
      </c>
      <c r="CD157" s="449">
        <f t="shared" si="816"/>
        <v>0</v>
      </c>
      <c r="CE157" s="449">
        <f t="shared" si="817"/>
        <v>0</v>
      </c>
      <c r="CF157" s="449">
        <f t="shared" si="818"/>
        <v>0</v>
      </c>
      <c r="CG157" s="449">
        <f t="shared" si="819"/>
        <v>0</v>
      </c>
      <c r="CH157" s="449">
        <f t="shared" si="820"/>
        <v>0</v>
      </c>
      <c r="CI157" s="449">
        <f t="shared" si="821"/>
        <v>0</v>
      </c>
      <c r="CJ157" s="472">
        <f t="shared" si="822"/>
        <v>4.4700000000000006</v>
      </c>
      <c r="CK157" s="449">
        <f t="shared" si="823"/>
        <v>0</v>
      </c>
      <c r="CL157" s="449">
        <f t="shared" si="824"/>
        <v>37.36</v>
      </c>
      <c r="CM157" s="449">
        <f t="shared" si="825"/>
        <v>0</v>
      </c>
      <c r="CN157" s="453">
        <f t="shared" si="826"/>
        <v>0</v>
      </c>
      <c r="CO157" s="453">
        <f t="shared" si="827"/>
        <v>0</v>
      </c>
      <c r="CP157" s="453">
        <f t="shared" si="828"/>
        <v>0</v>
      </c>
      <c r="CQ157" s="453">
        <f t="shared" si="829"/>
        <v>0</v>
      </c>
      <c r="CR157" s="453">
        <f t="shared" si="830"/>
        <v>0</v>
      </c>
      <c r="CS157" s="453">
        <f t="shared" si="831"/>
        <v>0</v>
      </c>
      <c r="CT157" s="473">
        <f t="shared" si="832"/>
        <v>0</v>
      </c>
      <c r="CU157" s="470">
        <f t="shared" si="833"/>
        <v>1</v>
      </c>
      <c r="CV157" s="470">
        <f t="shared" si="834"/>
        <v>0</v>
      </c>
      <c r="CW157" s="470">
        <f t="shared" si="835"/>
        <v>0</v>
      </c>
      <c r="CX157" s="470">
        <f t="shared" si="836"/>
        <v>0</v>
      </c>
      <c r="CY157" s="470">
        <f t="shared" si="837"/>
        <v>0</v>
      </c>
      <c r="CZ157" s="470">
        <f t="shared" si="838"/>
        <v>1</v>
      </c>
      <c r="DA157" s="478">
        <f t="shared" si="839"/>
        <v>1.9700000000000002</v>
      </c>
      <c r="DB157" s="469">
        <v>1.3</v>
      </c>
      <c r="DC157" s="469">
        <v>1.4</v>
      </c>
      <c r="DD157" s="469">
        <v>2</v>
      </c>
      <c r="DE157" s="469">
        <v>2</v>
      </c>
      <c r="DF157" s="476">
        <v>2</v>
      </c>
      <c r="DG157" s="456">
        <f t="shared" si="840"/>
        <v>0</v>
      </c>
      <c r="DH157" s="476">
        <f t="shared" si="841"/>
        <v>0</v>
      </c>
      <c r="DI157" s="476">
        <f t="shared" si="842"/>
        <v>0</v>
      </c>
      <c r="DJ157" s="476">
        <f t="shared" si="843"/>
        <v>0</v>
      </c>
      <c r="DK157" s="476">
        <f t="shared" si="844"/>
        <v>0</v>
      </c>
      <c r="DL157" s="476">
        <f t="shared" si="845"/>
        <v>0</v>
      </c>
      <c r="DM157" s="476">
        <f t="shared" si="846"/>
        <v>112.08</v>
      </c>
      <c r="DN157" s="476">
        <f t="shared" si="847"/>
        <v>112.08</v>
      </c>
      <c r="DO157" s="476">
        <f t="shared" si="848"/>
        <v>109.83840000000005</v>
      </c>
      <c r="DP157" s="476">
        <f t="shared" si="849"/>
        <v>0</v>
      </c>
      <c r="DQ157" s="445"/>
      <c r="DR157" s="479">
        <f t="shared" si="852"/>
        <v>2.97</v>
      </c>
    </row>
    <row r="158" spans="1:122" s="86" customFormat="1" x14ac:dyDescent="0.25">
      <c r="A158" s="86" t="s">
        <v>2083</v>
      </c>
      <c r="B158" s="101"/>
      <c r="C158" s="101" t="str">
        <f>'Planilha Hidráulica'!B165</f>
        <v>PV18.1-&gt;PV19.1</v>
      </c>
      <c r="D158" s="258">
        <f>'Planilha Hidráulica'!R165</f>
        <v>3.97</v>
      </c>
      <c r="E158" s="258">
        <f>'Planilha Hidráulica'!S165</f>
        <v>4.12</v>
      </c>
      <c r="F158" s="258">
        <f>'Planilha Hidráulica'!K165</f>
        <v>31.16</v>
      </c>
      <c r="G158" s="101">
        <f>'Planilha Hidráulica'!M165</f>
        <v>1500</v>
      </c>
      <c r="H158" s="449">
        <f t="shared" si="752"/>
        <v>4.5449999999999999</v>
      </c>
      <c r="I158" s="102">
        <f t="shared" si="753"/>
        <v>7.0811099999999998</v>
      </c>
      <c r="J158" s="467">
        <v>0</v>
      </c>
      <c r="K158" s="449">
        <f t="shared" si="754"/>
        <v>2.6</v>
      </c>
      <c r="L158" s="449">
        <f t="shared" si="755"/>
        <v>2.6</v>
      </c>
      <c r="M158" s="449">
        <f>'Planilha Hidráulica'!X165</f>
        <v>1000</v>
      </c>
      <c r="N158" s="449">
        <f t="shared" si="756"/>
        <v>81.016000000000005</v>
      </c>
      <c r="O158" s="468" t="str">
        <f>'Planilha Hidráulica'!W165</f>
        <v>ASFALTO</v>
      </c>
      <c r="P158" s="468" t="s">
        <v>2082</v>
      </c>
      <c r="Q158" s="468"/>
      <c r="R158" s="468">
        <v>5</v>
      </c>
      <c r="S158" s="468">
        <v>5</v>
      </c>
      <c r="T158" s="449">
        <f t="shared" si="757"/>
        <v>0.2</v>
      </c>
      <c r="U158" s="453">
        <f t="shared" si="758"/>
        <v>24.473006771464487</v>
      </c>
      <c r="V158" s="106">
        <f t="shared" si="759"/>
        <v>343.74471322853549</v>
      </c>
      <c r="W158" s="107">
        <f t="shared" si="760"/>
        <v>0</v>
      </c>
      <c r="X158" s="107">
        <f t="shared" si="761"/>
        <v>0</v>
      </c>
      <c r="Y158" s="453">
        <f t="shared" si="762"/>
        <v>4.5449999999999999</v>
      </c>
      <c r="Z158" s="453">
        <f t="shared" si="763"/>
        <v>0</v>
      </c>
      <c r="AA158" s="456">
        <f t="shared" si="764"/>
        <v>81.016000000000005</v>
      </c>
      <c r="AB158" s="469">
        <f t="shared" si="765"/>
        <v>0</v>
      </c>
      <c r="AC158" s="109">
        <f t="shared" si="766"/>
        <v>0</v>
      </c>
      <c r="AD158" s="109">
        <f t="shared" si="767"/>
        <v>0</v>
      </c>
      <c r="AE158" s="109">
        <f t="shared" si="768"/>
        <v>0</v>
      </c>
      <c r="AF158" s="109">
        <f t="shared" si="769"/>
        <v>0</v>
      </c>
      <c r="AG158" s="109">
        <f t="shared" si="770"/>
        <v>0</v>
      </c>
      <c r="AH158" s="109">
        <f t="shared" si="771"/>
        <v>0</v>
      </c>
      <c r="AI158" s="109">
        <f t="shared" si="772"/>
        <v>0</v>
      </c>
      <c r="AJ158" s="456">
        <f t="shared" si="773"/>
        <v>0</v>
      </c>
      <c r="AK158" s="456">
        <f t="shared" si="774"/>
        <v>0</v>
      </c>
      <c r="AL158" s="456">
        <f t="shared" si="775"/>
        <v>0</v>
      </c>
      <c r="AM158" s="456">
        <f t="shared" si="776"/>
        <v>0</v>
      </c>
      <c r="AN158" s="456">
        <f t="shared" si="851"/>
        <v>0</v>
      </c>
      <c r="AO158" s="456">
        <f t="shared" si="777"/>
        <v>162.03200000000001</v>
      </c>
      <c r="AP158" s="456">
        <f t="shared" si="778"/>
        <v>162.03200000000001</v>
      </c>
      <c r="AQ158" s="456">
        <f t="shared" si="779"/>
        <v>19.680713228535513</v>
      </c>
      <c r="AR158" s="104">
        <f t="shared" si="780"/>
        <v>0</v>
      </c>
      <c r="AS158" s="449">
        <f t="shared" si="781"/>
        <v>0</v>
      </c>
      <c r="AT158" s="104">
        <f t="shared" si="782"/>
        <v>313.15345476420492</v>
      </c>
      <c r="AU158" s="102">
        <f t="shared" si="783"/>
        <v>0</v>
      </c>
      <c r="AV158" s="106">
        <f t="shared" si="784"/>
        <v>16.203200000000002</v>
      </c>
      <c r="AW158" s="104">
        <f t="shared" si="785"/>
        <v>0</v>
      </c>
      <c r="AX158" s="104">
        <f t="shared" si="786"/>
        <v>0</v>
      </c>
      <c r="AY158" s="104">
        <f t="shared" si="787"/>
        <v>1.7</v>
      </c>
      <c r="AZ158" s="104">
        <f t="shared" si="788"/>
        <v>82.66293476420492</v>
      </c>
      <c r="BA158" s="104">
        <f t="shared" si="789"/>
        <v>82.66293476420492</v>
      </c>
      <c r="BB158" s="104">
        <f t="shared" si="790"/>
        <v>12.152399999999998</v>
      </c>
      <c r="BC158" s="104">
        <f t="shared" si="791"/>
        <v>12.152399999999998</v>
      </c>
      <c r="BD158" s="104">
        <f t="shared" si="792"/>
        <v>2.4304800000000002</v>
      </c>
      <c r="BE158" s="104">
        <f t="shared" si="793"/>
        <v>189.98252000000002</v>
      </c>
      <c r="BF158" s="104">
        <f t="shared" si="794"/>
        <v>248.92937846433063</v>
      </c>
      <c r="BG158" s="104">
        <f t="shared" si="795"/>
        <v>189.98252000000002</v>
      </c>
      <c r="BH158" s="104">
        <f t="shared" si="796"/>
        <v>58.946858464330603</v>
      </c>
      <c r="BI158" s="104">
        <f t="shared" si="797"/>
        <v>0</v>
      </c>
      <c r="BJ158" s="102">
        <f t="shared" si="850"/>
        <v>0</v>
      </c>
      <c r="BK158" s="104">
        <f t="shared" si="798"/>
        <v>0</v>
      </c>
      <c r="BL158" s="104"/>
      <c r="BM158" s="104">
        <f t="shared" si="799"/>
        <v>0.48609599999999992</v>
      </c>
      <c r="BN158" s="456">
        <f t="shared" si="800"/>
        <v>0</v>
      </c>
      <c r="BO158" s="471">
        <f t="shared" si="801"/>
        <v>0</v>
      </c>
      <c r="BP158" s="471">
        <f t="shared" si="802"/>
        <v>0</v>
      </c>
      <c r="BQ158" s="471">
        <f t="shared" si="803"/>
        <v>0</v>
      </c>
      <c r="BR158" s="449">
        <f t="shared" si="804"/>
        <v>0</v>
      </c>
      <c r="BS158" s="449">
        <f t="shared" si="805"/>
        <v>0</v>
      </c>
      <c r="BT158" s="449">
        <f t="shared" si="806"/>
        <v>0</v>
      </c>
      <c r="BU158" s="449">
        <f t="shared" si="807"/>
        <v>0</v>
      </c>
      <c r="BV158" s="449">
        <f t="shared" si="808"/>
        <v>0</v>
      </c>
      <c r="BW158" s="449">
        <f t="shared" si="809"/>
        <v>0</v>
      </c>
      <c r="BX158" s="449">
        <f t="shared" si="810"/>
        <v>0</v>
      </c>
      <c r="BY158" s="449">
        <f t="shared" si="811"/>
        <v>0</v>
      </c>
      <c r="BZ158" s="449">
        <f t="shared" si="812"/>
        <v>0</v>
      </c>
      <c r="CA158" s="449">
        <f t="shared" si="813"/>
        <v>0</v>
      </c>
      <c r="CB158" s="449">
        <f t="shared" si="814"/>
        <v>0</v>
      </c>
      <c r="CC158" s="449">
        <f t="shared" si="815"/>
        <v>0</v>
      </c>
      <c r="CD158" s="449">
        <f t="shared" si="816"/>
        <v>0</v>
      </c>
      <c r="CE158" s="449">
        <f t="shared" si="817"/>
        <v>0</v>
      </c>
      <c r="CF158" s="449">
        <f t="shared" si="818"/>
        <v>0</v>
      </c>
      <c r="CG158" s="449">
        <f t="shared" si="819"/>
        <v>0</v>
      </c>
      <c r="CH158" s="449">
        <f t="shared" si="820"/>
        <v>0</v>
      </c>
      <c r="CI158" s="449">
        <f t="shared" si="821"/>
        <v>0</v>
      </c>
      <c r="CJ158" s="472">
        <f t="shared" si="822"/>
        <v>4.5449999999999999</v>
      </c>
      <c r="CK158" s="449">
        <f t="shared" si="823"/>
        <v>0</v>
      </c>
      <c r="CL158" s="449">
        <f t="shared" si="824"/>
        <v>31.16</v>
      </c>
      <c r="CM158" s="449">
        <f t="shared" si="825"/>
        <v>0</v>
      </c>
      <c r="CN158" s="453">
        <f t="shared" si="826"/>
        <v>0</v>
      </c>
      <c r="CO158" s="453">
        <f t="shared" si="827"/>
        <v>0</v>
      </c>
      <c r="CP158" s="453">
        <f t="shared" si="828"/>
        <v>0</v>
      </c>
      <c r="CQ158" s="453">
        <f t="shared" si="829"/>
        <v>0</v>
      </c>
      <c r="CR158" s="453">
        <f t="shared" si="830"/>
        <v>0</v>
      </c>
      <c r="CS158" s="453">
        <f t="shared" si="831"/>
        <v>0</v>
      </c>
      <c r="CT158" s="473">
        <f t="shared" si="832"/>
        <v>0</v>
      </c>
      <c r="CU158" s="470">
        <f t="shared" si="833"/>
        <v>1</v>
      </c>
      <c r="CV158" s="470">
        <f t="shared" si="834"/>
        <v>0</v>
      </c>
      <c r="CW158" s="470">
        <f t="shared" si="835"/>
        <v>0</v>
      </c>
      <c r="CX158" s="470">
        <f t="shared" si="836"/>
        <v>0</v>
      </c>
      <c r="CY158" s="470">
        <f t="shared" si="837"/>
        <v>0</v>
      </c>
      <c r="CZ158" s="470">
        <f t="shared" si="838"/>
        <v>1</v>
      </c>
      <c r="DA158" s="478">
        <f t="shared" si="839"/>
        <v>1.9700000000000002</v>
      </c>
      <c r="DB158" s="469">
        <v>1.3</v>
      </c>
      <c r="DC158" s="469">
        <v>1.4</v>
      </c>
      <c r="DD158" s="469">
        <v>2</v>
      </c>
      <c r="DE158" s="469">
        <v>2</v>
      </c>
      <c r="DF158" s="476">
        <v>2</v>
      </c>
      <c r="DG158" s="456">
        <f t="shared" si="840"/>
        <v>0</v>
      </c>
      <c r="DH158" s="476">
        <f t="shared" si="841"/>
        <v>0</v>
      </c>
      <c r="DI158" s="476">
        <f t="shared" si="842"/>
        <v>0</v>
      </c>
      <c r="DJ158" s="476">
        <f t="shared" si="843"/>
        <v>0</v>
      </c>
      <c r="DK158" s="476">
        <f t="shared" si="844"/>
        <v>0</v>
      </c>
      <c r="DL158" s="476">
        <f t="shared" si="845"/>
        <v>0</v>
      </c>
      <c r="DM158" s="476">
        <f t="shared" si="846"/>
        <v>93.48</v>
      </c>
      <c r="DN158" s="476">
        <f t="shared" si="847"/>
        <v>93.48</v>
      </c>
      <c r="DO158" s="476">
        <f t="shared" si="848"/>
        <v>93.48</v>
      </c>
      <c r="DP158" s="476">
        <f t="shared" si="849"/>
        <v>2.8043999999999958</v>
      </c>
      <c r="DQ158" s="445"/>
      <c r="DR158" s="479">
        <f t="shared" si="852"/>
        <v>2.97</v>
      </c>
    </row>
    <row r="159" spans="1:122" s="86" customFormat="1" x14ac:dyDescent="0.25">
      <c r="A159" s="86" t="s">
        <v>2083</v>
      </c>
      <c r="B159" s="101"/>
      <c r="C159" s="101" t="str">
        <f>'Planilha Hidráulica'!B166</f>
        <v>PV19.1-&gt;PV20.1</v>
      </c>
      <c r="D159" s="258">
        <f>'Planilha Hidráulica'!R166</f>
        <v>4.12</v>
      </c>
      <c r="E159" s="258">
        <f>'Planilha Hidráulica'!S166</f>
        <v>3.97</v>
      </c>
      <c r="F159" s="258">
        <f>'Planilha Hidráulica'!K166</f>
        <v>31.16</v>
      </c>
      <c r="G159" s="101">
        <f>'Planilha Hidráulica'!M166</f>
        <v>1500</v>
      </c>
      <c r="H159" s="449">
        <f t="shared" si="752"/>
        <v>4.5449999999999999</v>
      </c>
      <c r="I159" s="102">
        <f t="shared" si="753"/>
        <v>7.0811099999999998</v>
      </c>
      <c r="J159" s="467">
        <v>0</v>
      </c>
      <c r="K159" s="449">
        <f t="shared" si="754"/>
        <v>2.6</v>
      </c>
      <c r="L159" s="449">
        <f t="shared" si="755"/>
        <v>2.6</v>
      </c>
      <c r="M159" s="449">
        <f>'Planilha Hidráulica'!X166</f>
        <v>1000</v>
      </c>
      <c r="N159" s="449">
        <f t="shared" si="756"/>
        <v>81.016000000000005</v>
      </c>
      <c r="O159" s="468" t="str">
        <f>'Planilha Hidráulica'!W166</f>
        <v>ASFALTO</v>
      </c>
      <c r="P159" s="468" t="s">
        <v>2082</v>
      </c>
      <c r="Q159" s="468"/>
      <c r="R159" s="468">
        <v>5</v>
      </c>
      <c r="S159" s="468">
        <v>5</v>
      </c>
      <c r="T159" s="449">
        <f t="shared" si="757"/>
        <v>0.2</v>
      </c>
      <c r="U159" s="453">
        <f t="shared" si="758"/>
        <v>24.473006771464487</v>
      </c>
      <c r="V159" s="106">
        <f t="shared" si="759"/>
        <v>343.74471322853549</v>
      </c>
      <c r="W159" s="107">
        <f t="shared" si="760"/>
        <v>0</v>
      </c>
      <c r="X159" s="107">
        <f t="shared" si="761"/>
        <v>0</v>
      </c>
      <c r="Y159" s="453">
        <f t="shared" si="762"/>
        <v>4.5449999999999999</v>
      </c>
      <c r="Z159" s="453">
        <f t="shared" si="763"/>
        <v>0</v>
      </c>
      <c r="AA159" s="456">
        <f t="shared" si="764"/>
        <v>81.016000000000005</v>
      </c>
      <c r="AB159" s="469">
        <f t="shared" si="765"/>
        <v>0</v>
      </c>
      <c r="AC159" s="109">
        <f t="shared" si="766"/>
        <v>0</v>
      </c>
      <c r="AD159" s="109">
        <f t="shared" si="767"/>
        <v>0</v>
      </c>
      <c r="AE159" s="109">
        <f t="shared" si="768"/>
        <v>0</v>
      </c>
      <c r="AF159" s="109">
        <f t="shared" si="769"/>
        <v>0</v>
      </c>
      <c r="AG159" s="109">
        <f t="shared" si="770"/>
        <v>0</v>
      </c>
      <c r="AH159" s="109">
        <f t="shared" si="771"/>
        <v>0</v>
      </c>
      <c r="AI159" s="109">
        <f t="shared" si="772"/>
        <v>0</v>
      </c>
      <c r="AJ159" s="456">
        <f t="shared" si="773"/>
        <v>0</v>
      </c>
      <c r="AK159" s="456">
        <f t="shared" si="774"/>
        <v>0</v>
      </c>
      <c r="AL159" s="456">
        <f t="shared" si="775"/>
        <v>0</v>
      </c>
      <c r="AM159" s="456">
        <f t="shared" si="776"/>
        <v>0</v>
      </c>
      <c r="AN159" s="456">
        <f t="shared" si="851"/>
        <v>0</v>
      </c>
      <c r="AO159" s="456">
        <f t="shared" si="777"/>
        <v>162.03200000000001</v>
      </c>
      <c r="AP159" s="456">
        <f t="shared" si="778"/>
        <v>162.03200000000001</v>
      </c>
      <c r="AQ159" s="456">
        <f t="shared" si="779"/>
        <v>19.680713228535513</v>
      </c>
      <c r="AR159" s="104">
        <f t="shared" si="780"/>
        <v>0</v>
      </c>
      <c r="AS159" s="449">
        <f t="shared" si="781"/>
        <v>0</v>
      </c>
      <c r="AT159" s="104">
        <f t="shared" si="782"/>
        <v>313.15345476420492</v>
      </c>
      <c r="AU159" s="102">
        <f t="shared" si="783"/>
        <v>0</v>
      </c>
      <c r="AV159" s="106">
        <f t="shared" si="784"/>
        <v>16.203200000000002</v>
      </c>
      <c r="AW159" s="104">
        <f t="shared" si="785"/>
        <v>0</v>
      </c>
      <c r="AX159" s="104">
        <f t="shared" si="786"/>
        <v>0</v>
      </c>
      <c r="AY159" s="104">
        <f t="shared" si="787"/>
        <v>1.7</v>
      </c>
      <c r="AZ159" s="104">
        <f t="shared" si="788"/>
        <v>82.66293476420492</v>
      </c>
      <c r="BA159" s="104">
        <f t="shared" si="789"/>
        <v>82.66293476420492</v>
      </c>
      <c r="BB159" s="104">
        <f t="shared" si="790"/>
        <v>12.152399999999998</v>
      </c>
      <c r="BC159" s="104">
        <f t="shared" si="791"/>
        <v>12.152399999999998</v>
      </c>
      <c r="BD159" s="104">
        <f t="shared" si="792"/>
        <v>2.4304800000000002</v>
      </c>
      <c r="BE159" s="104">
        <f t="shared" si="793"/>
        <v>189.98252000000002</v>
      </c>
      <c r="BF159" s="104">
        <f t="shared" si="794"/>
        <v>248.92937846433063</v>
      </c>
      <c r="BG159" s="104">
        <f t="shared" si="795"/>
        <v>189.98252000000002</v>
      </c>
      <c r="BH159" s="104">
        <f t="shared" si="796"/>
        <v>58.946858464330603</v>
      </c>
      <c r="BI159" s="104">
        <f t="shared" si="797"/>
        <v>0</v>
      </c>
      <c r="BJ159" s="102">
        <f t="shared" si="850"/>
        <v>0</v>
      </c>
      <c r="BK159" s="104">
        <f t="shared" si="798"/>
        <v>0</v>
      </c>
      <c r="BL159" s="104"/>
      <c r="BM159" s="104">
        <f t="shared" si="799"/>
        <v>0.48609599999999992</v>
      </c>
      <c r="BN159" s="456">
        <f t="shared" si="800"/>
        <v>0</v>
      </c>
      <c r="BO159" s="471">
        <f t="shared" si="801"/>
        <v>0</v>
      </c>
      <c r="BP159" s="471">
        <f t="shared" si="802"/>
        <v>0</v>
      </c>
      <c r="BQ159" s="471">
        <f t="shared" si="803"/>
        <v>0</v>
      </c>
      <c r="BR159" s="449">
        <f t="shared" si="804"/>
        <v>0</v>
      </c>
      <c r="BS159" s="449">
        <f t="shared" si="805"/>
        <v>0</v>
      </c>
      <c r="BT159" s="449">
        <f t="shared" si="806"/>
        <v>0</v>
      </c>
      <c r="BU159" s="449">
        <f t="shared" si="807"/>
        <v>0</v>
      </c>
      <c r="BV159" s="449">
        <f t="shared" si="808"/>
        <v>0</v>
      </c>
      <c r="BW159" s="449">
        <f t="shared" si="809"/>
        <v>0</v>
      </c>
      <c r="BX159" s="449">
        <f t="shared" si="810"/>
        <v>0</v>
      </c>
      <c r="BY159" s="449">
        <f t="shared" si="811"/>
        <v>0</v>
      </c>
      <c r="BZ159" s="449">
        <f t="shared" si="812"/>
        <v>0</v>
      </c>
      <c r="CA159" s="449">
        <f t="shared" si="813"/>
        <v>0</v>
      </c>
      <c r="CB159" s="449">
        <f t="shared" si="814"/>
        <v>0</v>
      </c>
      <c r="CC159" s="449">
        <f t="shared" si="815"/>
        <v>0</v>
      </c>
      <c r="CD159" s="449">
        <f t="shared" si="816"/>
        <v>0</v>
      </c>
      <c r="CE159" s="449">
        <f t="shared" si="817"/>
        <v>0</v>
      </c>
      <c r="CF159" s="449">
        <f t="shared" si="818"/>
        <v>0</v>
      </c>
      <c r="CG159" s="449">
        <f t="shared" si="819"/>
        <v>0</v>
      </c>
      <c r="CH159" s="449">
        <f t="shared" si="820"/>
        <v>0</v>
      </c>
      <c r="CI159" s="449">
        <f t="shared" si="821"/>
        <v>0</v>
      </c>
      <c r="CJ159" s="472">
        <f t="shared" si="822"/>
        <v>4.5449999999999999</v>
      </c>
      <c r="CK159" s="449">
        <f t="shared" si="823"/>
        <v>0</v>
      </c>
      <c r="CL159" s="449">
        <f t="shared" si="824"/>
        <v>31.16</v>
      </c>
      <c r="CM159" s="449">
        <f t="shared" si="825"/>
        <v>0</v>
      </c>
      <c r="CN159" s="453">
        <f t="shared" si="826"/>
        <v>0</v>
      </c>
      <c r="CO159" s="453">
        <f t="shared" si="827"/>
        <v>0</v>
      </c>
      <c r="CP159" s="453">
        <f t="shared" si="828"/>
        <v>0</v>
      </c>
      <c r="CQ159" s="453">
        <f t="shared" si="829"/>
        <v>0</v>
      </c>
      <c r="CR159" s="453">
        <f t="shared" si="830"/>
        <v>0</v>
      </c>
      <c r="CS159" s="453">
        <f t="shared" si="831"/>
        <v>0</v>
      </c>
      <c r="CT159" s="473">
        <f t="shared" si="832"/>
        <v>0</v>
      </c>
      <c r="CU159" s="470">
        <f t="shared" si="833"/>
        <v>1</v>
      </c>
      <c r="CV159" s="470">
        <f t="shared" si="834"/>
        <v>0</v>
      </c>
      <c r="CW159" s="470">
        <f t="shared" si="835"/>
        <v>0</v>
      </c>
      <c r="CX159" s="470">
        <f t="shared" si="836"/>
        <v>0</v>
      </c>
      <c r="CY159" s="470">
        <f t="shared" si="837"/>
        <v>0</v>
      </c>
      <c r="CZ159" s="470">
        <f t="shared" si="838"/>
        <v>1</v>
      </c>
      <c r="DA159" s="478">
        <f t="shared" si="839"/>
        <v>2.12</v>
      </c>
      <c r="DB159" s="469">
        <v>1.3</v>
      </c>
      <c r="DC159" s="469">
        <v>1.4</v>
      </c>
      <c r="DD159" s="469">
        <v>2</v>
      </c>
      <c r="DE159" s="469">
        <v>2</v>
      </c>
      <c r="DF159" s="476">
        <v>2</v>
      </c>
      <c r="DG159" s="456">
        <f t="shared" si="840"/>
        <v>0</v>
      </c>
      <c r="DH159" s="476">
        <f t="shared" si="841"/>
        <v>0</v>
      </c>
      <c r="DI159" s="476">
        <f t="shared" si="842"/>
        <v>0</v>
      </c>
      <c r="DJ159" s="476">
        <f t="shared" si="843"/>
        <v>0</v>
      </c>
      <c r="DK159" s="476">
        <f t="shared" si="844"/>
        <v>0</v>
      </c>
      <c r="DL159" s="476">
        <f t="shared" si="845"/>
        <v>0</v>
      </c>
      <c r="DM159" s="476">
        <f t="shared" si="846"/>
        <v>93.48</v>
      </c>
      <c r="DN159" s="476">
        <f t="shared" si="847"/>
        <v>93.48</v>
      </c>
      <c r="DO159" s="476">
        <f t="shared" si="848"/>
        <v>93.48</v>
      </c>
      <c r="DP159" s="476">
        <f t="shared" si="849"/>
        <v>2.8043999999999958</v>
      </c>
      <c r="DQ159" s="445"/>
      <c r="DR159" s="479">
        <f t="shared" si="852"/>
        <v>3.12</v>
      </c>
    </row>
    <row r="160" spans="1:122" s="86" customFormat="1" x14ac:dyDescent="0.25">
      <c r="A160" s="86" t="s">
        <v>2083</v>
      </c>
      <c r="B160" s="101"/>
      <c r="C160" s="101" t="str">
        <f>'Planilha Hidráulica'!B167</f>
        <v>PV20.1-&gt;PV21.1</v>
      </c>
      <c r="D160" s="258">
        <f>'Planilha Hidráulica'!R167</f>
        <v>3.97</v>
      </c>
      <c r="E160" s="258">
        <f>'Planilha Hidráulica'!S167</f>
        <v>3.97</v>
      </c>
      <c r="F160" s="258">
        <f>'Planilha Hidráulica'!K167</f>
        <v>34.08</v>
      </c>
      <c r="G160" s="101">
        <f>'Planilha Hidráulica'!M167</f>
        <v>1500</v>
      </c>
      <c r="H160" s="449">
        <f t="shared" si="752"/>
        <v>4.4700000000000006</v>
      </c>
      <c r="I160" s="102">
        <f t="shared" si="753"/>
        <v>7.6168800000000001</v>
      </c>
      <c r="J160" s="467">
        <v>0</v>
      </c>
      <c r="K160" s="449">
        <f t="shared" si="754"/>
        <v>2.6</v>
      </c>
      <c r="L160" s="449">
        <f t="shared" si="755"/>
        <v>2.6</v>
      </c>
      <c r="M160" s="449">
        <f>'Planilha Hidráulica'!X167</f>
        <v>1000</v>
      </c>
      <c r="N160" s="449">
        <f t="shared" si="756"/>
        <v>88.608000000000004</v>
      </c>
      <c r="O160" s="468" t="str">
        <f>'Planilha Hidráulica'!W167</f>
        <v>ASFALTO</v>
      </c>
      <c r="P160" s="468" t="s">
        <v>2082</v>
      </c>
      <c r="Q160" s="468"/>
      <c r="R160" s="468">
        <v>5</v>
      </c>
      <c r="S160" s="468">
        <v>5</v>
      </c>
      <c r="T160" s="449">
        <f t="shared" si="757"/>
        <v>0.2</v>
      </c>
      <c r="U160" s="453">
        <f t="shared" si="758"/>
        <v>26.766369408585035</v>
      </c>
      <c r="V160" s="106">
        <f t="shared" si="759"/>
        <v>369.31139059141498</v>
      </c>
      <c r="W160" s="107">
        <f t="shared" si="760"/>
        <v>0</v>
      </c>
      <c r="X160" s="107">
        <f t="shared" si="761"/>
        <v>0</v>
      </c>
      <c r="Y160" s="453">
        <f t="shared" si="762"/>
        <v>4.4700000000000006</v>
      </c>
      <c r="Z160" s="453">
        <f t="shared" si="763"/>
        <v>0</v>
      </c>
      <c r="AA160" s="456">
        <f t="shared" si="764"/>
        <v>88.608000000000004</v>
      </c>
      <c r="AB160" s="469">
        <f t="shared" si="765"/>
        <v>0</v>
      </c>
      <c r="AC160" s="109">
        <f t="shared" si="766"/>
        <v>0</v>
      </c>
      <c r="AD160" s="109">
        <f t="shared" si="767"/>
        <v>0</v>
      </c>
      <c r="AE160" s="109">
        <f t="shared" si="768"/>
        <v>0</v>
      </c>
      <c r="AF160" s="109">
        <f t="shared" si="769"/>
        <v>0</v>
      </c>
      <c r="AG160" s="109">
        <f t="shared" si="770"/>
        <v>0</v>
      </c>
      <c r="AH160" s="109">
        <f t="shared" si="771"/>
        <v>0</v>
      </c>
      <c r="AI160" s="109">
        <f t="shared" si="772"/>
        <v>0</v>
      </c>
      <c r="AJ160" s="456">
        <f t="shared" si="773"/>
        <v>0</v>
      </c>
      <c r="AK160" s="456">
        <f t="shared" si="774"/>
        <v>0</v>
      </c>
      <c r="AL160" s="456">
        <f t="shared" si="775"/>
        <v>0</v>
      </c>
      <c r="AM160" s="456">
        <f t="shared" si="776"/>
        <v>0</v>
      </c>
      <c r="AN160" s="456">
        <f t="shared" si="851"/>
        <v>0</v>
      </c>
      <c r="AO160" s="456">
        <f t="shared" si="777"/>
        <v>177.21600000000001</v>
      </c>
      <c r="AP160" s="456">
        <f t="shared" si="778"/>
        <v>177.21600000000001</v>
      </c>
      <c r="AQ160" s="456">
        <f t="shared" si="779"/>
        <v>14.879390591415024</v>
      </c>
      <c r="AR160" s="104">
        <f t="shared" si="780"/>
        <v>0</v>
      </c>
      <c r="AS160" s="449">
        <f t="shared" si="781"/>
        <v>0</v>
      </c>
      <c r="AT160" s="104">
        <f t="shared" si="782"/>
        <v>335.85342883068375</v>
      </c>
      <c r="AU160" s="102">
        <f t="shared" si="783"/>
        <v>0</v>
      </c>
      <c r="AV160" s="106">
        <f t="shared" si="784"/>
        <v>17.721600000000002</v>
      </c>
      <c r="AW160" s="104">
        <f t="shared" si="785"/>
        <v>0</v>
      </c>
      <c r="AX160" s="104">
        <f t="shared" si="786"/>
        <v>0</v>
      </c>
      <c r="AY160" s="104">
        <f t="shared" si="787"/>
        <v>1.7</v>
      </c>
      <c r="AZ160" s="104">
        <f t="shared" si="788"/>
        <v>90.409268830683672</v>
      </c>
      <c r="BA160" s="104">
        <f t="shared" si="789"/>
        <v>90.409268830683672</v>
      </c>
      <c r="BB160" s="104">
        <f t="shared" si="790"/>
        <v>13.291199999999998</v>
      </c>
      <c r="BC160" s="104">
        <f t="shared" si="791"/>
        <v>13.291199999999998</v>
      </c>
      <c r="BD160" s="104">
        <f t="shared" si="792"/>
        <v>2.6582400000000002</v>
      </c>
      <c r="BE160" s="104">
        <f t="shared" si="793"/>
        <v>201.14016000000004</v>
      </c>
      <c r="BF160" s="104">
        <f t="shared" si="794"/>
        <v>265.61092176073134</v>
      </c>
      <c r="BG160" s="104">
        <f t="shared" si="795"/>
        <v>201.14016000000004</v>
      </c>
      <c r="BH160" s="104">
        <f t="shared" si="796"/>
        <v>64.470761760731307</v>
      </c>
      <c r="BI160" s="104">
        <f t="shared" si="797"/>
        <v>0</v>
      </c>
      <c r="BJ160" s="102">
        <f t="shared" si="850"/>
        <v>0</v>
      </c>
      <c r="BK160" s="104">
        <f t="shared" si="798"/>
        <v>0</v>
      </c>
      <c r="BL160" s="104"/>
      <c r="BM160" s="104">
        <f t="shared" si="799"/>
        <v>0.5316479999999999</v>
      </c>
      <c r="BN160" s="456">
        <f t="shared" si="800"/>
        <v>0</v>
      </c>
      <c r="BO160" s="471">
        <f t="shared" si="801"/>
        <v>0</v>
      </c>
      <c r="BP160" s="471">
        <f t="shared" si="802"/>
        <v>0</v>
      </c>
      <c r="BQ160" s="471">
        <f t="shared" si="803"/>
        <v>0</v>
      </c>
      <c r="BR160" s="449">
        <f t="shared" si="804"/>
        <v>0</v>
      </c>
      <c r="BS160" s="449">
        <f t="shared" si="805"/>
        <v>0</v>
      </c>
      <c r="BT160" s="449">
        <f t="shared" si="806"/>
        <v>0</v>
      </c>
      <c r="BU160" s="449">
        <f t="shared" si="807"/>
        <v>0</v>
      </c>
      <c r="BV160" s="449">
        <f t="shared" si="808"/>
        <v>0</v>
      </c>
      <c r="BW160" s="449">
        <f t="shared" si="809"/>
        <v>0</v>
      </c>
      <c r="BX160" s="449">
        <f t="shared" si="810"/>
        <v>0</v>
      </c>
      <c r="BY160" s="449">
        <f t="shared" si="811"/>
        <v>0</v>
      </c>
      <c r="BZ160" s="449">
        <f t="shared" si="812"/>
        <v>0</v>
      </c>
      <c r="CA160" s="449">
        <f t="shared" si="813"/>
        <v>0</v>
      </c>
      <c r="CB160" s="449">
        <f t="shared" si="814"/>
        <v>0</v>
      </c>
      <c r="CC160" s="449">
        <f t="shared" si="815"/>
        <v>0</v>
      </c>
      <c r="CD160" s="449">
        <f t="shared" si="816"/>
        <v>0</v>
      </c>
      <c r="CE160" s="449">
        <f t="shared" si="817"/>
        <v>0</v>
      </c>
      <c r="CF160" s="449">
        <f t="shared" si="818"/>
        <v>0</v>
      </c>
      <c r="CG160" s="449">
        <f t="shared" si="819"/>
        <v>0</v>
      </c>
      <c r="CH160" s="449">
        <f t="shared" si="820"/>
        <v>0</v>
      </c>
      <c r="CI160" s="449">
        <f t="shared" si="821"/>
        <v>0</v>
      </c>
      <c r="CJ160" s="472">
        <f t="shared" si="822"/>
        <v>4.4700000000000006</v>
      </c>
      <c r="CK160" s="449">
        <f t="shared" si="823"/>
        <v>0</v>
      </c>
      <c r="CL160" s="449">
        <f t="shared" si="824"/>
        <v>34.08</v>
      </c>
      <c r="CM160" s="449">
        <f t="shared" si="825"/>
        <v>0</v>
      </c>
      <c r="CN160" s="453">
        <f t="shared" si="826"/>
        <v>0</v>
      </c>
      <c r="CO160" s="453">
        <f t="shared" si="827"/>
        <v>0</v>
      </c>
      <c r="CP160" s="453">
        <f t="shared" si="828"/>
        <v>0</v>
      </c>
      <c r="CQ160" s="453">
        <f t="shared" si="829"/>
        <v>0</v>
      </c>
      <c r="CR160" s="453">
        <f t="shared" si="830"/>
        <v>0</v>
      </c>
      <c r="CS160" s="453">
        <f t="shared" si="831"/>
        <v>0</v>
      </c>
      <c r="CT160" s="473">
        <f t="shared" si="832"/>
        <v>0</v>
      </c>
      <c r="CU160" s="470">
        <f t="shared" si="833"/>
        <v>1</v>
      </c>
      <c r="CV160" s="470">
        <f t="shared" si="834"/>
        <v>0</v>
      </c>
      <c r="CW160" s="470">
        <f t="shared" si="835"/>
        <v>0</v>
      </c>
      <c r="CX160" s="470">
        <f t="shared" si="836"/>
        <v>0</v>
      </c>
      <c r="CY160" s="470">
        <f t="shared" si="837"/>
        <v>0</v>
      </c>
      <c r="CZ160" s="470">
        <f t="shared" si="838"/>
        <v>1</v>
      </c>
      <c r="DA160" s="478">
        <f t="shared" si="839"/>
        <v>1.9700000000000002</v>
      </c>
      <c r="DB160" s="469">
        <v>1.3</v>
      </c>
      <c r="DC160" s="469">
        <v>1.4</v>
      </c>
      <c r="DD160" s="469">
        <v>2</v>
      </c>
      <c r="DE160" s="469">
        <v>2</v>
      </c>
      <c r="DF160" s="476">
        <v>2</v>
      </c>
      <c r="DG160" s="456">
        <f t="shared" si="840"/>
        <v>0</v>
      </c>
      <c r="DH160" s="476">
        <f t="shared" si="841"/>
        <v>0</v>
      </c>
      <c r="DI160" s="476">
        <f t="shared" si="842"/>
        <v>0</v>
      </c>
      <c r="DJ160" s="476">
        <f t="shared" si="843"/>
        <v>0</v>
      </c>
      <c r="DK160" s="476">
        <f t="shared" si="844"/>
        <v>0</v>
      </c>
      <c r="DL160" s="476">
        <f t="shared" si="845"/>
        <v>0</v>
      </c>
      <c r="DM160" s="476">
        <f t="shared" si="846"/>
        <v>102.24</v>
      </c>
      <c r="DN160" s="476">
        <f t="shared" si="847"/>
        <v>102.24</v>
      </c>
      <c r="DO160" s="476">
        <f t="shared" si="848"/>
        <v>100.19520000000004</v>
      </c>
      <c r="DP160" s="476">
        <f t="shared" si="849"/>
        <v>0</v>
      </c>
      <c r="DQ160" s="445"/>
      <c r="DR160" s="479">
        <f t="shared" si="852"/>
        <v>2.97</v>
      </c>
    </row>
    <row r="161" spans="1:122" s="86" customFormat="1" x14ac:dyDescent="0.25">
      <c r="A161" s="86" t="s">
        <v>2083</v>
      </c>
      <c r="B161" s="101"/>
      <c r="C161" s="101" t="str">
        <f>'Planilha Hidráulica'!B168</f>
        <v>PV21.1-&gt;PV22.1</v>
      </c>
      <c r="D161" s="258">
        <f>'Planilha Hidráulica'!R168</f>
        <v>3.97</v>
      </c>
      <c r="E161" s="258">
        <f>'Planilha Hidráulica'!S168</f>
        <v>3.9</v>
      </c>
      <c r="F161" s="258">
        <f>'Planilha Hidráulica'!K168</f>
        <v>36.22</v>
      </c>
      <c r="G161" s="101">
        <f>'Planilha Hidráulica'!M168</f>
        <v>1500</v>
      </c>
      <c r="H161" s="449">
        <f t="shared" si="752"/>
        <v>4.4350000000000005</v>
      </c>
      <c r="I161" s="102">
        <f t="shared" si="753"/>
        <v>8.0317850000000011</v>
      </c>
      <c r="J161" s="467">
        <v>0</v>
      </c>
      <c r="K161" s="449">
        <f t="shared" si="754"/>
        <v>2.6</v>
      </c>
      <c r="L161" s="449">
        <f t="shared" si="755"/>
        <v>2.6</v>
      </c>
      <c r="M161" s="449">
        <f>'Planilha Hidráulica'!X168</f>
        <v>1000</v>
      </c>
      <c r="N161" s="449">
        <f t="shared" si="756"/>
        <v>94.171999999999997</v>
      </c>
      <c r="O161" s="468" t="str">
        <f>'Planilha Hidráulica'!W168</f>
        <v>ASFALTO</v>
      </c>
      <c r="P161" s="468" t="s">
        <v>2084</v>
      </c>
      <c r="Q161" s="468"/>
      <c r="R161" s="468">
        <v>5</v>
      </c>
      <c r="S161" s="468">
        <v>4.5999999999999996</v>
      </c>
      <c r="T161" s="449">
        <f t="shared" si="757"/>
        <v>0.2</v>
      </c>
      <c r="U161" s="453">
        <f t="shared" si="758"/>
        <v>28.447121478255575</v>
      </c>
      <c r="V161" s="106">
        <f t="shared" si="759"/>
        <v>389.20569852174452</v>
      </c>
      <c r="W161" s="107">
        <f t="shared" si="760"/>
        <v>0</v>
      </c>
      <c r="X161" s="107">
        <f t="shared" si="761"/>
        <v>0</v>
      </c>
      <c r="Y161" s="453">
        <f t="shared" si="762"/>
        <v>4.4350000000000005</v>
      </c>
      <c r="Z161" s="453">
        <f t="shared" si="763"/>
        <v>0</v>
      </c>
      <c r="AA161" s="456">
        <f t="shared" si="764"/>
        <v>94.171999999999997</v>
      </c>
      <c r="AB161" s="469">
        <f t="shared" si="765"/>
        <v>0</v>
      </c>
      <c r="AC161" s="109">
        <f t="shared" si="766"/>
        <v>0</v>
      </c>
      <c r="AD161" s="109">
        <f t="shared" si="767"/>
        <v>0</v>
      </c>
      <c r="AE161" s="109">
        <f t="shared" si="768"/>
        <v>0</v>
      </c>
      <c r="AF161" s="109">
        <f t="shared" si="769"/>
        <v>0</v>
      </c>
      <c r="AG161" s="109">
        <f t="shared" si="770"/>
        <v>0</v>
      </c>
      <c r="AH161" s="109">
        <f t="shared" si="771"/>
        <v>0</v>
      </c>
      <c r="AI161" s="109">
        <f t="shared" si="772"/>
        <v>0</v>
      </c>
      <c r="AJ161" s="456">
        <f t="shared" si="773"/>
        <v>0</v>
      </c>
      <c r="AK161" s="456">
        <f t="shared" si="774"/>
        <v>0</v>
      </c>
      <c r="AL161" s="456">
        <f t="shared" si="775"/>
        <v>0</v>
      </c>
      <c r="AM161" s="456">
        <f t="shared" si="776"/>
        <v>0</v>
      </c>
      <c r="AN161" s="456">
        <f t="shared" si="851"/>
        <v>0</v>
      </c>
      <c r="AO161" s="456">
        <f t="shared" si="777"/>
        <v>188.34399999999999</v>
      </c>
      <c r="AP161" s="456">
        <f t="shared" si="778"/>
        <v>188.34399999999999</v>
      </c>
      <c r="AQ161" s="456">
        <f t="shared" si="779"/>
        <v>12.517698521744471</v>
      </c>
      <c r="AR161" s="104">
        <f t="shared" si="780"/>
        <v>0</v>
      </c>
      <c r="AS161" s="449">
        <f t="shared" si="781"/>
        <v>0</v>
      </c>
      <c r="AT161" s="104">
        <f t="shared" si="782"/>
        <v>353.646796673925</v>
      </c>
      <c r="AU161" s="102">
        <f t="shared" si="783"/>
        <v>0</v>
      </c>
      <c r="AV161" s="106">
        <f t="shared" si="784"/>
        <v>18.834399999999999</v>
      </c>
      <c r="AW161" s="104">
        <f t="shared" si="785"/>
        <v>0</v>
      </c>
      <c r="AX161" s="104">
        <f t="shared" si="786"/>
        <v>0</v>
      </c>
      <c r="AY161" s="104">
        <f t="shared" si="787"/>
        <v>1.7</v>
      </c>
      <c r="AZ161" s="104">
        <f t="shared" si="788"/>
        <v>96.086376673924946</v>
      </c>
      <c r="BA161" s="104">
        <f t="shared" si="789"/>
        <v>96.086376673924946</v>
      </c>
      <c r="BB161" s="104">
        <f t="shared" si="790"/>
        <v>14.1258</v>
      </c>
      <c r="BC161" s="104">
        <f t="shared" si="791"/>
        <v>14.1258</v>
      </c>
      <c r="BD161" s="104">
        <f t="shared" si="792"/>
        <v>2.8251600000000003</v>
      </c>
      <c r="BE161" s="104">
        <f t="shared" si="793"/>
        <v>210.47441999999998</v>
      </c>
      <c r="BF161" s="104">
        <f t="shared" si="794"/>
        <v>278.99352184781947</v>
      </c>
      <c r="BG161" s="104">
        <f t="shared" si="795"/>
        <v>210.47441999999998</v>
      </c>
      <c r="BH161" s="104">
        <f t="shared" si="796"/>
        <v>68.519101847819485</v>
      </c>
      <c r="BI161" s="104">
        <f t="shared" si="797"/>
        <v>0</v>
      </c>
      <c r="BJ161" s="102">
        <f t="shared" si="850"/>
        <v>0</v>
      </c>
      <c r="BK161" s="104">
        <f t="shared" si="798"/>
        <v>0</v>
      </c>
      <c r="BL161" s="104"/>
      <c r="BM161" s="104">
        <f t="shared" si="799"/>
        <v>0.56503199999999998</v>
      </c>
      <c r="BN161" s="456">
        <f t="shared" si="800"/>
        <v>0</v>
      </c>
      <c r="BO161" s="471">
        <f t="shared" si="801"/>
        <v>0</v>
      </c>
      <c r="BP161" s="471">
        <f t="shared" si="802"/>
        <v>0</v>
      </c>
      <c r="BQ161" s="471">
        <f t="shared" si="803"/>
        <v>0</v>
      </c>
      <c r="BR161" s="449">
        <f t="shared" si="804"/>
        <v>0</v>
      </c>
      <c r="BS161" s="449">
        <f t="shared" si="805"/>
        <v>0</v>
      </c>
      <c r="BT161" s="449">
        <f t="shared" si="806"/>
        <v>0</v>
      </c>
      <c r="BU161" s="449">
        <f t="shared" si="807"/>
        <v>0</v>
      </c>
      <c r="BV161" s="449">
        <f t="shared" si="808"/>
        <v>0</v>
      </c>
      <c r="BW161" s="449">
        <f t="shared" si="809"/>
        <v>0</v>
      </c>
      <c r="BX161" s="449">
        <f t="shared" si="810"/>
        <v>0</v>
      </c>
      <c r="BY161" s="449">
        <f t="shared" si="811"/>
        <v>0</v>
      </c>
      <c r="BZ161" s="449">
        <f t="shared" si="812"/>
        <v>0</v>
      </c>
      <c r="CA161" s="449">
        <f t="shared" si="813"/>
        <v>0</v>
      </c>
      <c r="CB161" s="449">
        <f t="shared" si="814"/>
        <v>0</v>
      </c>
      <c r="CC161" s="449">
        <f t="shared" si="815"/>
        <v>0</v>
      </c>
      <c r="CD161" s="449">
        <f t="shared" si="816"/>
        <v>0</v>
      </c>
      <c r="CE161" s="449">
        <f t="shared" si="817"/>
        <v>0</v>
      </c>
      <c r="CF161" s="449">
        <f t="shared" si="818"/>
        <v>0</v>
      </c>
      <c r="CG161" s="449">
        <f t="shared" si="819"/>
        <v>0</v>
      </c>
      <c r="CH161" s="449">
        <f t="shared" si="820"/>
        <v>0</v>
      </c>
      <c r="CI161" s="449">
        <f t="shared" si="821"/>
        <v>0</v>
      </c>
      <c r="CJ161" s="472">
        <f t="shared" si="822"/>
        <v>4.4350000000000005</v>
      </c>
      <c r="CK161" s="449">
        <f t="shared" si="823"/>
        <v>0</v>
      </c>
      <c r="CL161" s="449">
        <f t="shared" si="824"/>
        <v>36.22</v>
      </c>
      <c r="CM161" s="449">
        <f t="shared" si="825"/>
        <v>0</v>
      </c>
      <c r="CN161" s="453">
        <f t="shared" si="826"/>
        <v>0</v>
      </c>
      <c r="CO161" s="453">
        <f t="shared" si="827"/>
        <v>0</v>
      </c>
      <c r="CP161" s="453">
        <f t="shared" si="828"/>
        <v>0</v>
      </c>
      <c r="CQ161" s="453">
        <f t="shared" si="829"/>
        <v>0</v>
      </c>
      <c r="CR161" s="453">
        <f t="shared" si="830"/>
        <v>0</v>
      </c>
      <c r="CS161" s="453">
        <f t="shared" si="831"/>
        <v>0</v>
      </c>
      <c r="CT161" s="473">
        <f t="shared" si="832"/>
        <v>0</v>
      </c>
      <c r="CU161" s="470">
        <f t="shared" si="833"/>
        <v>1</v>
      </c>
      <c r="CV161" s="470">
        <f t="shared" si="834"/>
        <v>0</v>
      </c>
      <c r="CW161" s="470">
        <f t="shared" si="835"/>
        <v>0</v>
      </c>
      <c r="CX161" s="470">
        <f t="shared" si="836"/>
        <v>0</v>
      </c>
      <c r="CY161" s="470">
        <f t="shared" si="837"/>
        <v>0</v>
      </c>
      <c r="CZ161" s="470">
        <f t="shared" si="838"/>
        <v>1</v>
      </c>
      <c r="DA161" s="478">
        <f t="shared" si="839"/>
        <v>1.9700000000000002</v>
      </c>
      <c r="DB161" s="469">
        <v>1.3</v>
      </c>
      <c r="DC161" s="469">
        <v>1.4</v>
      </c>
      <c r="DD161" s="469">
        <v>2</v>
      </c>
      <c r="DE161" s="469">
        <v>2</v>
      </c>
      <c r="DF161" s="476">
        <v>2</v>
      </c>
      <c r="DG161" s="456">
        <f t="shared" si="840"/>
        <v>0</v>
      </c>
      <c r="DH161" s="476">
        <f t="shared" si="841"/>
        <v>0</v>
      </c>
      <c r="DI161" s="476">
        <f t="shared" si="842"/>
        <v>0</v>
      </c>
      <c r="DJ161" s="476">
        <f t="shared" si="843"/>
        <v>0</v>
      </c>
      <c r="DK161" s="476">
        <f t="shared" si="844"/>
        <v>0</v>
      </c>
      <c r="DL161" s="476">
        <f t="shared" si="845"/>
        <v>0</v>
      </c>
      <c r="DM161" s="476">
        <f t="shared" si="846"/>
        <v>108.66</v>
      </c>
      <c r="DN161" s="476">
        <f t="shared" si="847"/>
        <v>108.66</v>
      </c>
      <c r="DO161" s="476">
        <f t="shared" si="848"/>
        <v>103.95140000000004</v>
      </c>
      <c r="DP161" s="476">
        <f t="shared" si="849"/>
        <v>0</v>
      </c>
      <c r="DQ161" s="445"/>
      <c r="DR161" s="479">
        <f t="shared" si="852"/>
        <v>2.97</v>
      </c>
    </row>
    <row r="162" spans="1:122" s="86" customFormat="1" x14ac:dyDescent="0.25">
      <c r="A162" s="86" t="s">
        <v>2083</v>
      </c>
      <c r="B162" s="101"/>
      <c r="C162" s="101" t="str">
        <f>'Planilha Hidráulica'!B169</f>
        <v>PV22.1-&gt;PV23.1</v>
      </c>
      <c r="D162" s="258">
        <f>'Planilha Hidráulica'!R169</f>
        <v>3.9</v>
      </c>
      <c r="E162" s="258">
        <f>'Planilha Hidráulica'!S169</f>
        <v>3.97</v>
      </c>
      <c r="F162" s="258">
        <f>'Planilha Hidráulica'!K169</f>
        <v>36.22</v>
      </c>
      <c r="G162" s="101">
        <f>'Planilha Hidráulica'!M169</f>
        <v>1500</v>
      </c>
      <c r="H162" s="449">
        <f t="shared" si="752"/>
        <v>4.4350000000000005</v>
      </c>
      <c r="I162" s="102">
        <f t="shared" si="753"/>
        <v>8.0317850000000011</v>
      </c>
      <c r="J162" s="467">
        <v>0</v>
      </c>
      <c r="K162" s="449">
        <f t="shared" si="754"/>
        <v>2.6</v>
      </c>
      <c r="L162" s="449">
        <f t="shared" si="755"/>
        <v>2.6</v>
      </c>
      <c r="M162" s="449">
        <f>'Planilha Hidráulica'!X169</f>
        <v>1000</v>
      </c>
      <c r="N162" s="449">
        <f t="shared" si="756"/>
        <v>94.171999999999997</v>
      </c>
      <c r="O162" s="468" t="str">
        <f>'Planilha Hidráulica'!W169</f>
        <v>ASFALTO</v>
      </c>
      <c r="P162" s="468" t="s">
        <v>2084</v>
      </c>
      <c r="Q162" s="468"/>
      <c r="R162" s="468">
        <v>5</v>
      </c>
      <c r="S162" s="468">
        <v>4.5999999999999996</v>
      </c>
      <c r="T162" s="449">
        <f t="shared" si="757"/>
        <v>0.2</v>
      </c>
      <c r="U162" s="453">
        <f t="shared" si="758"/>
        <v>28.447121478255575</v>
      </c>
      <c r="V162" s="106">
        <f t="shared" si="759"/>
        <v>389.20569852174452</v>
      </c>
      <c r="W162" s="107">
        <f t="shared" si="760"/>
        <v>0</v>
      </c>
      <c r="X162" s="107">
        <f t="shared" si="761"/>
        <v>0</v>
      </c>
      <c r="Y162" s="453">
        <f t="shared" si="762"/>
        <v>4.4350000000000005</v>
      </c>
      <c r="Z162" s="453">
        <f t="shared" si="763"/>
        <v>0</v>
      </c>
      <c r="AA162" s="456">
        <f t="shared" si="764"/>
        <v>94.171999999999997</v>
      </c>
      <c r="AB162" s="469">
        <f t="shared" si="765"/>
        <v>0</v>
      </c>
      <c r="AC162" s="109">
        <f t="shared" si="766"/>
        <v>0</v>
      </c>
      <c r="AD162" s="109">
        <f t="shared" si="767"/>
        <v>0</v>
      </c>
      <c r="AE162" s="109">
        <f t="shared" si="768"/>
        <v>0</v>
      </c>
      <c r="AF162" s="109">
        <f t="shared" si="769"/>
        <v>0</v>
      </c>
      <c r="AG162" s="109">
        <f t="shared" si="770"/>
        <v>0</v>
      </c>
      <c r="AH162" s="109">
        <f t="shared" si="771"/>
        <v>0</v>
      </c>
      <c r="AI162" s="109">
        <f t="shared" si="772"/>
        <v>0</v>
      </c>
      <c r="AJ162" s="456">
        <f t="shared" si="773"/>
        <v>0</v>
      </c>
      <c r="AK162" s="456">
        <f t="shared" si="774"/>
        <v>0</v>
      </c>
      <c r="AL162" s="456">
        <f t="shared" si="775"/>
        <v>0</v>
      </c>
      <c r="AM162" s="456">
        <f t="shared" si="776"/>
        <v>0</v>
      </c>
      <c r="AN162" s="456">
        <f t="shared" si="851"/>
        <v>0</v>
      </c>
      <c r="AO162" s="456">
        <f t="shared" si="777"/>
        <v>188.34399999999999</v>
      </c>
      <c r="AP162" s="456">
        <f t="shared" si="778"/>
        <v>188.34399999999999</v>
      </c>
      <c r="AQ162" s="456">
        <f t="shared" si="779"/>
        <v>12.517698521744471</v>
      </c>
      <c r="AR162" s="104">
        <f t="shared" si="780"/>
        <v>0</v>
      </c>
      <c r="AS162" s="449">
        <f t="shared" si="781"/>
        <v>0</v>
      </c>
      <c r="AT162" s="104">
        <f t="shared" si="782"/>
        <v>353.646796673925</v>
      </c>
      <c r="AU162" s="102">
        <f t="shared" si="783"/>
        <v>0</v>
      </c>
      <c r="AV162" s="106">
        <f t="shared" si="784"/>
        <v>18.834399999999999</v>
      </c>
      <c r="AW162" s="104">
        <f t="shared" si="785"/>
        <v>0</v>
      </c>
      <c r="AX162" s="104">
        <f t="shared" si="786"/>
        <v>0</v>
      </c>
      <c r="AY162" s="104">
        <f t="shared" si="787"/>
        <v>1.7</v>
      </c>
      <c r="AZ162" s="104">
        <f t="shared" si="788"/>
        <v>96.086376673924946</v>
      </c>
      <c r="BA162" s="104">
        <f t="shared" si="789"/>
        <v>96.086376673924946</v>
      </c>
      <c r="BB162" s="104">
        <f t="shared" si="790"/>
        <v>14.1258</v>
      </c>
      <c r="BC162" s="104">
        <f t="shared" si="791"/>
        <v>14.1258</v>
      </c>
      <c r="BD162" s="104">
        <f t="shared" si="792"/>
        <v>2.8251600000000003</v>
      </c>
      <c r="BE162" s="104">
        <f t="shared" si="793"/>
        <v>210.47441999999998</v>
      </c>
      <c r="BF162" s="104">
        <f t="shared" si="794"/>
        <v>278.99352184781947</v>
      </c>
      <c r="BG162" s="104">
        <f t="shared" si="795"/>
        <v>210.47441999999998</v>
      </c>
      <c r="BH162" s="104">
        <f t="shared" si="796"/>
        <v>68.519101847819485</v>
      </c>
      <c r="BI162" s="104">
        <f t="shared" si="797"/>
        <v>0</v>
      </c>
      <c r="BJ162" s="102">
        <f t="shared" si="850"/>
        <v>0</v>
      </c>
      <c r="BK162" s="104">
        <f t="shared" si="798"/>
        <v>0</v>
      </c>
      <c r="BL162" s="104"/>
      <c r="BM162" s="104">
        <f t="shared" si="799"/>
        <v>0.56503199999999998</v>
      </c>
      <c r="BN162" s="456">
        <f t="shared" si="800"/>
        <v>0</v>
      </c>
      <c r="BO162" s="471">
        <f t="shared" si="801"/>
        <v>0</v>
      </c>
      <c r="BP162" s="471">
        <f t="shared" si="802"/>
        <v>0</v>
      </c>
      <c r="BQ162" s="471">
        <f t="shared" si="803"/>
        <v>0</v>
      </c>
      <c r="BR162" s="449">
        <f t="shared" si="804"/>
        <v>0</v>
      </c>
      <c r="BS162" s="449">
        <f t="shared" si="805"/>
        <v>0</v>
      </c>
      <c r="BT162" s="449">
        <f t="shared" si="806"/>
        <v>0</v>
      </c>
      <c r="BU162" s="449">
        <f t="shared" si="807"/>
        <v>0</v>
      </c>
      <c r="BV162" s="449">
        <f t="shared" si="808"/>
        <v>0</v>
      </c>
      <c r="BW162" s="449">
        <f t="shared" si="809"/>
        <v>0</v>
      </c>
      <c r="BX162" s="449">
        <f t="shared" si="810"/>
        <v>0</v>
      </c>
      <c r="BY162" s="449">
        <f t="shared" si="811"/>
        <v>0</v>
      </c>
      <c r="BZ162" s="449">
        <f t="shared" si="812"/>
        <v>0</v>
      </c>
      <c r="CA162" s="449">
        <f t="shared" si="813"/>
        <v>0</v>
      </c>
      <c r="CB162" s="449">
        <f t="shared" si="814"/>
        <v>0</v>
      </c>
      <c r="CC162" s="449">
        <f t="shared" si="815"/>
        <v>0</v>
      </c>
      <c r="CD162" s="449">
        <f t="shared" si="816"/>
        <v>0</v>
      </c>
      <c r="CE162" s="449">
        <f t="shared" si="817"/>
        <v>0</v>
      </c>
      <c r="CF162" s="449">
        <f t="shared" si="818"/>
        <v>0</v>
      </c>
      <c r="CG162" s="449">
        <f t="shared" si="819"/>
        <v>0</v>
      </c>
      <c r="CH162" s="449">
        <f t="shared" si="820"/>
        <v>0</v>
      </c>
      <c r="CI162" s="449">
        <f t="shared" si="821"/>
        <v>0</v>
      </c>
      <c r="CJ162" s="472">
        <f t="shared" si="822"/>
        <v>4.4350000000000005</v>
      </c>
      <c r="CK162" s="449">
        <f t="shared" si="823"/>
        <v>0</v>
      </c>
      <c r="CL162" s="449">
        <f t="shared" si="824"/>
        <v>36.22</v>
      </c>
      <c r="CM162" s="449">
        <f t="shared" si="825"/>
        <v>0</v>
      </c>
      <c r="CN162" s="453">
        <f t="shared" si="826"/>
        <v>0</v>
      </c>
      <c r="CO162" s="453">
        <f t="shared" si="827"/>
        <v>0</v>
      </c>
      <c r="CP162" s="453">
        <f t="shared" si="828"/>
        <v>0</v>
      </c>
      <c r="CQ162" s="453">
        <f t="shared" si="829"/>
        <v>0</v>
      </c>
      <c r="CR162" s="453">
        <f t="shared" si="830"/>
        <v>0</v>
      </c>
      <c r="CS162" s="453">
        <f t="shared" si="831"/>
        <v>0</v>
      </c>
      <c r="CT162" s="473">
        <f t="shared" si="832"/>
        <v>0</v>
      </c>
      <c r="CU162" s="470">
        <f t="shared" si="833"/>
        <v>1</v>
      </c>
      <c r="CV162" s="470">
        <f t="shared" si="834"/>
        <v>0</v>
      </c>
      <c r="CW162" s="470">
        <f t="shared" si="835"/>
        <v>0</v>
      </c>
      <c r="CX162" s="470">
        <f t="shared" si="836"/>
        <v>0</v>
      </c>
      <c r="CY162" s="470">
        <f t="shared" si="837"/>
        <v>0</v>
      </c>
      <c r="CZ162" s="470">
        <f t="shared" si="838"/>
        <v>1</v>
      </c>
      <c r="DA162" s="478">
        <f t="shared" si="839"/>
        <v>1.9</v>
      </c>
      <c r="DB162" s="469">
        <v>1.3</v>
      </c>
      <c r="DC162" s="469">
        <v>1.4</v>
      </c>
      <c r="DD162" s="469">
        <v>2</v>
      </c>
      <c r="DE162" s="469">
        <v>2</v>
      </c>
      <c r="DF162" s="476">
        <v>2</v>
      </c>
      <c r="DG162" s="456">
        <f t="shared" si="840"/>
        <v>0</v>
      </c>
      <c r="DH162" s="476">
        <f t="shared" si="841"/>
        <v>0</v>
      </c>
      <c r="DI162" s="476">
        <f t="shared" si="842"/>
        <v>0</v>
      </c>
      <c r="DJ162" s="476">
        <f t="shared" si="843"/>
        <v>0</v>
      </c>
      <c r="DK162" s="476">
        <f t="shared" si="844"/>
        <v>0</v>
      </c>
      <c r="DL162" s="476">
        <f t="shared" si="845"/>
        <v>0</v>
      </c>
      <c r="DM162" s="476">
        <f t="shared" si="846"/>
        <v>108.66</v>
      </c>
      <c r="DN162" s="476">
        <f t="shared" si="847"/>
        <v>108.66</v>
      </c>
      <c r="DO162" s="476">
        <f t="shared" si="848"/>
        <v>103.95140000000004</v>
      </c>
      <c r="DP162" s="476">
        <f t="shared" si="849"/>
        <v>0</v>
      </c>
      <c r="DQ162" s="445"/>
      <c r="DR162" s="479">
        <f t="shared" si="852"/>
        <v>2.9</v>
      </c>
    </row>
    <row r="163" spans="1:122" s="86" customFormat="1" x14ac:dyDescent="0.25">
      <c r="A163" s="86" t="s">
        <v>2085</v>
      </c>
      <c r="B163" s="101"/>
      <c r="C163" s="101" t="str">
        <f>'Planilha Hidráulica'!B170</f>
        <v>PV1.2-&gt;PV2.2</v>
      </c>
      <c r="D163" s="258">
        <f>'Planilha Hidráulica'!R170</f>
        <v>2.74</v>
      </c>
      <c r="E163" s="258">
        <f>'Planilha Hidráulica'!S170</f>
        <v>2.2999999999999998</v>
      </c>
      <c r="F163" s="258">
        <f>'Planilha Hidráulica'!K170</f>
        <v>36.81</v>
      </c>
      <c r="G163" s="101">
        <f>'Planilha Hidráulica'!M170</f>
        <v>1000</v>
      </c>
      <c r="H163" s="449">
        <f t="shared" si="752"/>
        <v>2.87</v>
      </c>
      <c r="I163" s="102">
        <f t="shared" si="753"/>
        <v>5.2822350000000009</v>
      </c>
      <c r="J163" s="467">
        <v>0</v>
      </c>
      <c r="K163" s="449">
        <f t="shared" si="754"/>
        <v>2</v>
      </c>
      <c r="L163" s="449">
        <f t="shared" si="755"/>
        <v>2</v>
      </c>
      <c r="M163" s="449">
        <f>'Planilha Hidráulica'!X170</f>
        <v>800</v>
      </c>
      <c r="N163" s="449">
        <f t="shared" si="756"/>
        <v>73.62</v>
      </c>
      <c r="O163" s="468" t="str">
        <f>'Planilha Hidráulica'!W170</f>
        <v>ASFALTO</v>
      </c>
      <c r="P163" s="468" t="s">
        <v>2086</v>
      </c>
      <c r="Q163" s="468"/>
      <c r="R163" s="468">
        <v>5</v>
      </c>
      <c r="S163" s="468">
        <v>5</v>
      </c>
      <c r="T163" s="449">
        <f t="shared" si="757"/>
        <v>0.15</v>
      </c>
      <c r="U163" s="453">
        <f t="shared" si="758"/>
        <v>18.502724092582447</v>
      </c>
      <c r="V163" s="106">
        <f t="shared" si="759"/>
        <v>192.78667590741759</v>
      </c>
      <c r="W163" s="107">
        <f t="shared" si="760"/>
        <v>0</v>
      </c>
      <c r="X163" s="107">
        <f t="shared" si="761"/>
        <v>0</v>
      </c>
      <c r="Y163" s="453">
        <f t="shared" si="762"/>
        <v>2.87</v>
      </c>
      <c r="Z163" s="453">
        <f t="shared" si="763"/>
        <v>0</v>
      </c>
      <c r="AA163" s="456">
        <f t="shared" si="764"/>
        <v>73.62</v>
      </c>
      <c r="AB163" s="469">
        <f t="shared" si="765"/>
        <v>0</v>
      </c>
      <c r="AC163" s="109">
        <f t="shared" si="766"/>
        <v>0</v>
      </c>
      <c r="AD163" s="109">
        <f t="shared" si="767"/>
        <v>0</v>
      </c>
      <c r="AE163" s="109">
        <f t="shared" si="768"/>
        <v>0</v>
      </c>
      <c r="AF163" s="109">
        <f t="shared" si="769"/>
        <v>0</v>
      </c>
      <c r="AG163" s="109">
        <f t="shared" si="770"/>
        <v>0</v>
      </c>
      <c r="AH163" s="109">
        <f t="shared" si="771"/>
        <v>0</v>
      </c>
      <c r="AI163" s="109">
        <f t="shared" si="772"/>
        <v>0</v>
      </c>
      <c r="AJ163" s="456">
        <f t="shared" si="773"/>
        <v>0</v>
      </c>
      <c r="AK163" s="456">
        <f t="shared" si="774"/>
        <v>0</v>
      </c>
      <c r="AL163" s="456">
        <f t="shared" si="775"/>
        <v>110.43</v>
      </c>
      <c r="AM163" s="456">
        <f t="shared" si="776"/>
        <v>82.356675907417554</v>
      </c>
      <c r="AN163" s="456">
        <f t="shared" si="851"/>
        <v>0</v>
      </c>
      <c r="AO163" s="456">
        <f t="shared" si="777"/>
        <v>0</v>
      </c>
      <c r="AP163" s="456">
        <f t="shared" si="778"/>
        <v>0</v>
      </c>
      <c r="AQ163" s="456">
        <f t="shared" si="779"/>
        <v>0</v>
      </c>
      <c r="AR163" s="104">
        <f t="shared" si="780"/>
        <v>0</v>
      </c>
      <c r="AS163" s="449">
        <f t="shared" si="781"/>
        <v>0</v>
      </c>
      <c r="AT163" s="104">
        <f t="shared" si="782"/>
        <v>182.37889360533995</v>
      </c>
      <c r="AU163" s="102">
        <f t="shared" si="783"/>
        <v>0</v>
      </c>
      <c r="AV163" s="106">
        <f t="shared" si="784"/>
        <v>11.043000000000001</v>
      </c>
      <c r="AW163" s="104">
        <f t="shared" si="785"/>
        <v>0</v>
      </c>
      <c r="AX163" s="104">
        <f t="shared" si="786"/>
        <v>0</v>
      </c>
      <c r="AY163" s="104">
        <f t="shared" si="787"/>
        <v>1.2</v>
      </c>
      <c r="AZ163" s="104">
        <f t="shared" si="788"/>
        <v>59.433493605339933</v>
      </c>
      <c r="BA163" s="104">
        <f t="shared" si="789"/>
        <v>59.433493605339933</v>
      </c>
      <c r="BB163" s="104">
        <f t="shared" si="790"/>
        <v>11.043000000000001</v>
      </c>
      <c r="BC163" s="104">
        <f t="shared" si="791"/>
        <v>11.043000000000001</v>
      </c>
      <c r="BD163" s="104">
        <f t="shared" si="792"/>
        <v>2.2086000000000001</v>
      </c>
      <c r="BE163" s="104">
        <f t="shared" si="793"/>
        <v>89.816400000000002</v>
      </c>
      <c r="BF163" s="104">
        <f t="shared" si="794"/>
        <v>122.31018230207762</v>
      </c>
      <c r="BG163" s="104">
        <f t="shared" si="795"/>
        <v>89.816400000000002</v>
      </c>
      <c r="BH163" s="104">
        <f t="shared" si="796"/>
        <v>32.493782302077619</v>
      </c>
      <c r="BI163" s="104">
        <f t="shared" si="797"/>
        <v>0</v>
      </c>
      <c r="BJ163" s="102">
        <f t="shared" si="850"/>
        <v>0</v>
      </c>
      <c r="BK163" s="104">
        <f t="shared" si="798"/>
        <v>0</v>
      </c>
      <c r="BL163" s="104"/>
      <c r="BM163" s="104">
        <f t="shared" si="799"/>
        <v>0.44172000000000006</v>
      </c>
      <c r="BN163" s="456">
        <f t="shared" si="800"/>
        <v>0</v>
      </c>
      <c r="BO163" s="471">
        <f t="shared" si="801"/>
        <v>0</v>
      </c>
      <c r="BP163" s="471">
        <f t="shared" si="802"/>
        <v>0</v>
      </c>
      <c r="BQ163" s="471">
        <f t="shared" si="803"/>
        <v>0</v>
      </c>
      <c r="BR163" s="449">
        <f t="shared" si="804"/>
        <v>0</v>
      </c>
      <c r="BS163" s="449">
        <f t="shared" si="805"/>
        <v>0</v>
      </c>
      <c r="BT163" s="449">
        <f t="shared" si="806"/>
        <v>0</v>
      </c>
      <c r="BU163" s="449">
        <f t="shared" si="807"/>
        <v>0</v>
      </c>
      <c r="BV163" s="449">
        <f t="shared" si="808"/>
        <v>0</v>
      </c>
      <c r="BW163" s="449">
        <f t="shared" si="809"/>
        <v>0</v>
      </c>
      <c r="BX163" s="449">
        <f t="shared" si="810"/>
        <v>0</v>
      </c>
      <c r="BY163" s="449">
        <f t="shared" si="811"/>
        <v>0</v>
      </c>
      <c r="BZ163" s="449">
        <f t="shared" si="812"/>
        <v>0</v>
      </c>
      <c r="CA163" s="449">
        <f t="shared" si="813"/>
        <v>0</v>
      </c>
      <c r="CB163" s="449">
        <f t="shared" si="814"/>
        <v>2.87</v>
      </c>
      <c r="CC163" s="449">
        <f t="shared" si="815"/>
        <v>36.81</v>
      </c>
      <c r="CD163" s="449">
        <f t="shared" si="816"/>
        <v>0</v>
      </c>
      <c r="CE163" s="449">
        <f t="shared" si="817"/>
        <v>0</v>
      </c>
      <c r="CF163" s="449">
        <f t="shared" si="818"/>
        <v>0</v>
      </c>
      <c r="CG163" s="449">
        <f t="shared" si="819"/>
        <v>0</v>
      </c>
      <c r="CH163" s="449">
        <f t="shared" si="820"/>
        <v>0</v>
      </c>
      <c r="CI163" s="449">
        <f t="shared" si="821"/>
        <v>0</v>
      </c>
      <c r="CJ163" s="472">
        <f t="shared" si="822"/>
        <v>0</v>
      </c>
      <c r="CK163" s="449">
        <f t="shared" si="823"/>
        <v>0</v>
      </c>
      <c r="CL163" s="449">
        <f t="shared" si="824"/>
        <v>0</v>
      </c>
      <c r="CM163" s="449">
        <f t="shared" si="825"/>
        <v>0</v>
      </c>
      <c r="CN163" s="453">
        <f t="shared" si="826"/>
        <v>0</v>
      </c>
      <c r="CO163" s="453">
        <f t="shared" si="827"/>
        <v>0</v>
      </c>
      <c r="CP163" s="453">
        <f t="shared" si="828"/>
        <v>0</v>
      </c>
      <c r="CQ163" s="453">
        <f t="shared" si="829"/>
        <v>0</v>
      </c>
      <c r="CR163" s="453">
        <f t="shared" si="830"/>
        <v>0</v>
      </c>
      <c r="CS163" s="453">
        <f t="shared" si="831"/>
        <v>0</v>
      </c>
      <c r="CT163" s="473">
        <f t="shared" si="832"/>
        <v>0</v>
      </c>
      <c r="CU163" s="470">
        <f t="shared" si="833"/>
        <v>1</v>
      </c>
      <c r="CV163" s="470">
        <f t="shared" si="834"/>
        <v>0</v>
      </c>
      <c r="CW163" s="470">
        <f t="shared" si="835"/>
        <v>0</v>
      </c>
      <c r="CX163" s="470">
        <f t="shared" si="836"/>
        <v>1</v>
      </c>
      <c r="CY163" s="470">
        <f t="shared" si="837"/>
        <v>0</v>
      </c>
      <c r="CZ163" s="470">
        <f t="shared" si="838"/>
        <v>0</v>
      </c>
      <c r="DA163" s="478">
        <f t="shared" si="839"/>
        <v>0.74000000000000021</v>
      </c>
      <c r="DB163" s="469">
        <v>1.3</v>
      </c>
      <c r="DC163" s="469">
        <v>1.4</v>
      </c>
      <c r="DD163" s="469">
        <v>2</v>
      </c>
      <c r="DE163" s="469">
        <v>2</v>
      </c>
      <c r="DF163" s="476">
        <v>2</v>
      </c>
      <c r="DG163" s="456">
        <f t="shared" si="840"/>
        <v>0</v>
      </c>
      <c r="DH163" s="476">
        <f t="shared" si="841"/>
        <v>0</v>
      </c>
      <c r="DI163" s="476">
        <f t="shared" si="842"/>
        <v>0</v>
      </c>
      <c r="DJ163" s="476">
        <f t="shared" si="843"/>
        <v>110.43</v>
      </c>
      <c r="DK163" s="476">
        <f t="shared" si="844"/>
        <v>100.85940000000001</v>
      </c>
      <c r="DL163" s="476">
        <f t="shared" si="845"/>
        <v>0</v>
      </c>
      <c r="DM163" s="476">
        <f t="shared" si="846"/>
        <v>0</v>
      </c>
      <c r="DN163" s="476">
        <f t="shared" si="847"/>
        <v>0</v>
      </c>
      <c r="DO163" s="476">
        <f t="shared" si="848"/>
        <v>0</v>
      </c>
      <c r="DP163" s="476">
        <f t="shared" si="849"/>
        <v>0</v>
      </c>
      <c r="DQ163" s="464"/>
      <c r="DR163" s="479"/>
    </row>
    <row r="164" spans="1:122" s="86" customFormat="1" x14ac:dyDescent="0.25">
      <c r="A164" s="86" t="s">
        <v>2085</v>
      </c>
      <c r="B164" s="101"/>
      <c r="C164" s="101" t="str">
        <f>'Planilha Hidráulica'!B171</f>
        <v>PV2.2-&gt;PV3.2</v>
      </c>
      <c r="D164" s="258">
        <f>'Planilha Hidráulica'!R171</f>
        <v>2.2999999999999998</v>
      </c>
      <c r="E164" s="258">
        <f>'Planilha Hidráulica'!S171</f>
        <v>2.5</v>
      </c>
      <c r="F164" s="258">
        <f>'Planilha Hidráulica'!K171</f>
        <v>47.67</v>
      </c>
      <c r="G164" s="101">
        <f>'Planilha Hidráulica'!M171</f>
        <v>1000</v>
      </c>
      <c r="H164" s="449">
        <f t="shared" si="752"/>
        <v>2.75</v>
      </c>
      <c r="I164" s="102">
        <f t="shared" si="753"/>
        <v>6.5546249999999997</v>
      </c>
      <c r="J164" s="467">
        <v>0</v>
      </c>
      <c r="K164" s="449">
        <f t="shared" si="754"/>
        <v>2</v>
      </c>
      <c r="L164" s="449">
        <f t="shared" si="755"/>
        <v>2</v>
      </c>
      <c r="M164" s="449">
        <f>'Planilha Hidráulica'!X171</f>
        <v>800</v>
      </c>
      <c r="N164" s="449">
        <f t="shared" si="756"/>
        <v>95.34</v>
      </c>
      <c r="O164" s="468" t="str">
        <f>'Planilha Hidráulica'!W171</f>
        <v>ASFALTO</v>
      </c>
      <c r="P164" s="468" t="s">
        <v>2086</v>
      </c>
      <c r="Q164" s="468"/>
      <c r="R164" s="468">
        <v>5</v>
      </c>
      <c r="S164" s="468">
        <v>5</v>
      </c>
      <c r="T164" s="449">
        <f t="shared" si="757"/>
        <v>0.15</v>
      </c>
      <c r="U164" s="453">
        <f t="shared" si="758"/>
        <v>23.961555487460075</v>
      </c>
      <c r="V164" s="106">
        <f t="shared" si="759"/>
        <v>238.22344451253991</v>
      </c>
      <c r="W164" s="107">
        <f t="shared" si="760"/>
        <v>0</v>
      </c>
      <c r="X164" s="107">
        <f t="shared" si="761"/>
        <v>0</v>
      </c>
      <c r="Y164" s="453">
        <f t="shared" si="762"/>
        <v>2.75</v>
      </c>
      <c r="Z164" s="453">
        <f t="shared" si="763"/>
        <v>0</v>
      </c>
      <c r="AA164" s="456">
        <f t="shared" si="764"/>
        <v>95.34</v>
      </c>
      <c r="AB164" s="469">
        <f t="shared" si="765"/>
        <v>0</v>
      </c>
      <c r="AC164" s="109">
        <f t="shared" si="766"/>
        <v>0</v>
      </c>
      <c r="AD164" s="109">
        <f t="shared" si="767"/>
        <v>0</v>
      </c>
      <c r="AE164" s="109">
        <f t="shared" si="768"/>
        <v>0</v>
      </c>
      <c r="AF164" s="109">
        <f t="shared" si="769"/>
        <v>0</v>
      </c>
      <c r="AG164" s="109">
        <f t="shared" si="770"/>
        <v>0</v>
      </c>
      <c r="AH164" s="109">
        <f t="shared" si="771"/>
        <v>0</v>
      </c>
      <c r="AI164" s="109">
        <f t="shared" si="772"/>
        <v>0</v>
      </c>
      <c r="AJ164" s="456">
        <f t="shared" si="773"/>
        <v>0</v>
      </c>
      <c r="AK164" s="456">
        <f t="shared" si="774"/>
        <v>0</v>
      </c>
      <c r="AL164" s="456">
        <f t="shared" si="775"/>
        <v>143.01</v>
      </c>
      <c r="AM164" s="456">
        <f t="shared" si="776"/>
        <v>95.213444512539937</v>
      </c>
      <c r="AN164" s="456">
        <f t="shared" si="851"/>
        <v>0</v>
      </c>
      <c r="AO164" s="456">
        <f t="shared" si="777"/>
        <v>0</v>
      </c>
      <c r="AP164" s="456">
        <f t="shared" si="778"/>
        <v>0</v>
      </c>
      <c r="AQ164" s="456">
        <f t="shared" si="779"/>
        <v>0</v>
      </c>
      <c r="AR164" s="104">
        <f t="shared" si="780"/>
        <v>0</v>
      </c>
      <c r="AS164" s="449">
        <f t="shared" si="781"/>
        <v>0</v>
      </c>
      <c r="AT164" s="104">
        <f t="shared" si="782"/>
        <v>224.74506955084365</v>
      </c>
      <c r="AU164" s="102">
        <f t="shared" si="783"/>
        <v>0</v>
      </c>
      <c r="AV164" s="106">
        <f t="shared" si="784"/>
        <v>14.301</v>
      </c>
      <c r="AW164" s="104">
        <f t="shared" si="785"/>
        <v>0</v>
      </c>
      <c r="AX164" s="104">
        <f t="shared" si="786"/>
        <v>0</v>
      </c>
      <c r="AY164" s="104">
        <f t="shared" si="787"/>
        <v>1.2</v>
      </c>
      <c r="AZ164" s="104">
        <f t="shared" si="788"/>
        <v>76.968069550843637</v>
      </c>
      <c r="BA164" s="104">
        <f t="shared" si="789"/>
        <v>76.968069550843637</v>
      </c>
      <c r="BB164" s="104">
        <f t="shared" si="790"/>
        <v>14.301</v>
      </c>
      <c r="BC164" s="104">
        <f t="shared" si="791"/>
        <v>14.301</v>
      </c>
      <c r="BD164" s="104">
        <f t="shared" si="792"/>
        <v>2.8601999999999999</v>
      </c>
      <c r="BE164" s="104">
        <f t="shared" si="793"/>
        <v>104.87400000000005</v>
      </c>
      <c r="BF164" s="104">
        <f t="shared" si="794"/>
        <v>146.95437496169629</v>
      </c>
      <c r="BG164" s="104">
        <f t="shared" si="795"/>
        <v>104.87400000000005</v>
      </c>
      <c r="BH164" s="104">
        <f t="shared" si="796"/>
        <v>42.080374961696236</v>
      </c>
      <c r="BI164" s="104">
        <f t="shared" si="797"/>
        <v>0</v>
      </c>
      <c r="BJ164" s="102">
        <f t="shared" si="850"/>
        <v>0</v>
      </c>
      <c r="BK164" s="104">
        <f t="shared" si="798"/>
        <v>0</v>
      </c>
      <c r="BL164" s="104"/>
      <c r="BM164" s="104">
        <f t="shared" si="799"/>
        <v>0.57203999999999999</v>
      </c>
      <c r="BN164" s="456">
        <f t="shared" si="800"/>
        <v>0</v>
      </c>
      <c r="BO164" s="471">
        <f t="shared" si="801"/>
        <v>0</v>
      </c>
      <c r="BP164" s="471">
        <f t="shared" si="802"/>
        <v>0</v>
      </c>
      <c r="BQ164" s="471">
        <f t="shared" si="803"/>
        <v>0</v>
      </c>
      <c r="BR164" s="449">
        <f t="shared" si="804"/>
        <v>0</v>
      </c>
      <c r="BS164" s="449">
        <f t="shared" si="805"/>
        <v>0</v>
      </c>
      <c r="BT164" s="449">
        <f t="shared" si="806"/>
        <v>0</v>
      </c>
      <c r="BU164" s="449">
        <f t="shared" si="807"/>
        <v>0</v>
      </c>
      <c r="BV164" s="449">
        <f t="shared" si="808"/>
        <v>0</v>
      </c>
      <c r="BW164" s="449">
        <f t="shared" si="809"/>
        <v>0</v>
      </c>
      <c r="BX164" s="449">
        <f t="shared" si="810"/>
        <v>0</v>
      </c>
      <c r="BY164" s="449">
        <f t="shared" si="811"/>
        <v>0</v>
      </c>
      <c r="BZ164" s="449">
        <f t="shared" si="812"/>
        <v>0</v>
      </c>
      <c r="CA164" s="449">
        <f t="shared" si="813"/>
        <v>0</v>
      </c>
      <c r="CB164" s="449">
        <f t="shared" si="814"/>
        <v>2.75</v>
      </c>
      <c r="CC164" s="449">
        <f t="shared" si="815"/>
        <v>47.67</v>
      </c>
      <c r="CD164" s="449">
        <f t="shared" si="816"/>
        <v>0</v>
      </c>
      <c r="CE164" s="449">
        <f t="shared" si="817"/>
        <v>0</v>
      </c>
      <c r="CF164" s="449">
        <f t="shared" si="818"/>
        <v>0</v>
      </c>
      <c r="CG164" s="449">
        <f t="shared" si="819"/>
        <v>0</v>
      </c>
      <c r="CH164" s="449">
        <f t="shared" si="820"/>
        <v>0</v>
      </c>
      <c r="CI164" s="449">
        <f t="shared" si="821"/>
        <v>0</v>
      </c>
      <c r="CJ164" s="472">
        <f t="shared" si="822"/>
        <v>0</v>
      </c>
      <c r="CK164" s="449">
        <f t="shared" si="823"/>
        <v>0</v>
      </c>
      <c r="CL164" s="449">
        <f t="shared" si="824"/>
        <v>0</v>
      </c>
      <c r="CM164" s="449">
        <f t="shared" si="825"/>
        <v>0</v>
      </c>
      <c r="CN164" s="453">
        <f t="shared" si="826"/>
        <v>0</v>
      </c>
      <c r="CO164" s="453">
        <f t="shared" si="827"/>
        <v>0</v>
      </c>
      <c r="CP164" s="453">
        <f t="shared" si="828"/>
        <v>0</v>
      </c>
      <c r="CQ164" s="453">
        <f t="shared" si="829"/>
        <v>0</v>
      </c>
      <c r="CR164" s="453">
        <f t="shared" si="830"/>
        <v>0</v>
      </c>
      <c r="CS164" s="453">
        <f t="shared" si="831"/>
        <v>0</v>
      </c>
      <c r="CT164" s="473">
        <f t="shared" si="832"/>
        <v>0</v>
      </c>
      <c r="CU164" s="470">
        <f t="shared" si="833"/>
        <v>1</v>
      </c>
      <c r="CV164" s="470">
        <f t="shared" si="834"/>
        <v>0</v>
      </c>
      <c r="CW164" s="470">
        <f t="shared" si="835"/>
        <v>0</v>
      </c>
      <c r="CX164" s="470">
        <f t="shared" si="836"/>
        <v>1</v>
      </c>
      <c r="CY164" s="470">
        <f t="shared" si="837"/>
        <v>0</v>
      </c>
      <c r="CZ164" s="470">
        <f t="shared" si="838"/>
        <v>0</v>
      </c>
      <c r="DA164" s="478">
        <f t="shared" si="839"/>
        <v>0.29999999999999982</v>
      </c>
      <c r="DB164" s="469">
        <v>1.3</v>
      </c>
      <c r="DC164" s="469">
        <v>1.4</v>
      </c>
      <c r="DD164" s="469">
        <v>2</v>
      </c>
      <c r="DE164" s="469">
        <v>2</v>
      </c>
      <c r="DF164" s="476">
        <v>2</v>
      </c>
      <c r="DG164" s="456">
        <f t="shared" si="840"/>
        <v>0</v>
      </c>
      <c r="DH164" s="476">
        <f t="shared" si="841"/>
        <v>0</v>
      </c>
      <c r="DI164" s="476">
        <f t="shared" si="842"/>
        <v>0</v>
      </c>
      <c r="DJ164" s="476">
        <f t="shared" si="843"/>
        <v>143.01</v>
      </c>
      <c r="DK164" s="476">
        <f t="shared" si="844"/>
        <v>119.17500000000001</v>
      </c>
      <c r="DL164" s="476">
        <f t="shared" si="845"/>
        <v>0</v>
      </c>
      <c r="DM164" s="476">
        <f t="shared" si="846"/>
        <v>0</v>
      </c>
      <c r="DN164" s="476">
        <f t="shared" si="847"/>
        <v>0</v>
      </c>
      <c r="DO164" s="476">
        <f t="shared" si="848"/>
        <v>0</v>
      </c>
      <c r="DP164" s="476">
        <f t="shared" si="849"/>
        <v>0</v>
      </c>
      <c r="DQ164" s="464"/>
      <c r="DR164" s="479"/>
    </row>
    <row r="165" spans="1:122" s="86" customFormat="1" x14ac:dyDescent="0.25">
      <c r="A165" s="86" t="s">
        <v>2085</v>
      </c>
      <c r="B165" s="101"/>
      <c r="C165" s="101" t="str">
        <f>'Planilha Hidráulica'!B172</f>
        <v>PV3.2-&gt;PV23.1</v>
      </c>
      <c r="D165" s="258">
        <f>'Planilha Hidráulica'!R172</f>
        <v>2.5</v>
      </c>
      <c r="E165" s="258">
        <f>'Planilha Hidráulica'!S172</f>
        <v>2.8</v>
      </c>
      <c r="F165" s="258">
        <f>'Planilha Hidráulica'!K172</f>
        <v>46.84</v>
      </c>
      <c r="G165" s="101">
        <f>'Planilha Hidráulica'!M172</f>
        <v>1000</v>
      </c>
      <c r="H165" s="449">
        <f t="shared" si="752"/>
        <v>3</v>
      </c>
      <c r="I165" s="102">
        <f t="shared" si="753"/>
        <v>7.0260000000000007</v>
      </c>
      <c r="J165" s="467">
        <v>0</v>
      </c>
      <c r="K165" s="449">
        <f t="shared" si="754"/>
        <v>2</v>
      </c>
      <c r="L165" s="449">
        <f t="shared" si="755"/>
        <v>2</v>
      </c>
      <c r="M165" s="449">
        <f>'Planilha Hidráulica'!X172</f>
        <v>800</v>
      </c>
      <c r="N165" s="449">
        <f t="shared" si="756"/>
        <v>93.68</v>
      </c>
      <c r="O165" s="468" t="str">
        <f>'Planilha Hidráulica'!W172</f>
        <v>ASFALTO</v>
      </c>
      <c r="P165" s="468" t="s">
        <v>2084</v>
      </c>
      <c r="Q165" s="105">
        <v>1</v>
      </c>
      <c r="R165" s="468">
        <v>5</v>
      </c>
      <c r="S165" s="468">
        <v>4.5999999999999996</v>
      </c>
      <c r="T165" s="449">
        <f t="shared" si="757"/>
        <v>0.15</v>
      </c>
      <c r="U165" s="453">
        <f t="shared" si="758"/>
        <v>23.544351983063351</v>
      </c>
      <c r="V165" s="106">
        <f t="shared" si="759"/>
        <v>294.96764801693666</v>
      </c>
      <c r="W165" s="107">
        <f t="shared" si="760"/>
        <v>0</v>
      </c>
      <c r="X165" s="107">
        <f t="shared" si="761"/>
        <v>0.4</v>
      </c>
      <c r="Y165" s="453">
        <f t="shared" si="762"/>
        <v>3</v>
      </c>
      <c r="Z165" s="453">
        <f t="shared" si="763"/>
        <v>0</v>
      </c>
      <c r="AA165" s="456">
        <f t="shared" si="764"/>
        <v>93.68</v>
      </c>
      <c r="AB165" s="469">
        <f t="shared" si="765"/>
        <v>0</v>
      </c>
      <c r="AC165" s="109">
        <f t="shared" si="766"/>
        <v>0</v>
      </c>
      <c r="AD165" s="109">
        <f t="shared" si="767"/>
        <v>0</v>
      </c>
      <c r="AE165" s="109">
        <f t="shared" si="768"/>
        <v>0</v>
      </c>
      <c r="AF165" s="109">
        <f t="shared" si="769"/>
        <v>0</v>
      </c>
      <c r="AG165" s="109">
        <f t="shared" si="770"/>
        <v>0</v>
      </c>
      <c r="AH165" s="109">
        <f t="shared" si="771"/>
        <v>37.472000000000001</v>
      </c>
      <c r="AI165" s="109">
        <f t="shared" si="772"/>
        <v>0</v>
      </c>
      <c r="AJ165" s="456">
        <f t="shared" si="773"/>
        <v>0</v>
      </c>
      <c r="AK165" s="456">
        <f t="shared" si="774"/>
        <v>0</v>
      </c>
      <c r="AL165" s="456">
        <f t="shared" si="775"/>
        <v>140.52000000000001</v>
      </c>
      <c r="AM165" s="456">
        <f t="shared" si="776"/>
        <v>116.97564801693666</v>
      </c>
      <c r="AN165" s="456">
        <f t="shared" si="851"/>
        <v>0</v>
      </c>
      <c r="AO165" s="456">
        <f t="shared" si="777"/>
        <v>0</v>
      </c>
      <c r="AP165" s="456">
        <f t="shared" si="778"/>
        <v>0</v>
      </c>
      <c r="AQ165" s="456">
        <f t="shared" si="779"/>
        <v>0</v>
      </c>
      <c r="AR165" s="104">
        <f t="shared" si="780"/>
        <v>0</v>
      </c>
      <c r="AS165" s="449">
        <f t="shared" si="781"/>
        <v>0</v>
      </c>
      <c r="AT165" s="104">
        <f t="shared" si="782"/>
        <v>281.72395002646351</v>
      </c>
      <c r="AU165" s="102">
        <f t="shared" si="783"/>
        <v>0</v>
      </c>
      <c r="AV165" s="106">
        <f t="shared" si="784"/>
        <v>14.052000000000001</v>
      </c>
      <c r="AW165" s="104">
        <f t="shared" si="785"/>
        <v>37.472000000000001</v>
      </c>
      <c r="AX165" s="104">
        <f t="shared" si="786"/>
        <v>0</v>
      </c>
      <c r="AY165" s="104">
        <f t="shared" si="787"/>
        <v>1.2</v>
      </c>
      <c r="AZ165" s="104">
        <f t="shared" si="788"/>
        <v>75.627950026463537</v>
      </c>
      <c r="BA165" s="104">
        <f t="shared" si="789"/>
        <v>75.627950026463537</v>
      </c>
      <c r="BB165" s="104">
        <f t="shared" si="790"/>
        <v>14.052000000000001</v>
      </c>
      <c r="BC165" s="104">
        <f t="shared" si="791"/>
        <v>14.052000000000001</v>
      </c>
      <c r="BD165" s="104">
        <f t="shared" si="792"/>
        <v>2.8104</v>
      </c>
      <c r="BE165" s="104">
        <f t="shared" si="793"/>
        <v>126.46799999999999</v>
      </c>
      <c r="BF165" s="104">
        <f t="shared" si="794"/>
        <v>130.34369799047315</v>
      </c>
      <c r="BG165" s="104">
        <f t="shared" si="795"/>
        <v>126.46799999999999</v>
      </c>
      <c r="BH165" s="104">
        <f t="shared" si="796"/>
        <v>3.8756979904731566</v>
      </c>
      <c r="BI165" s="104">
        <f t="shared" si="797"/>
        <v>0</v>
      </c>
      <c r="BJ165" s="102">
        <f t="shared" si="850"/>
        <v>0</v>
      </c>
      <c r="BK165" s="104">
        <f t="shared" si="798"/>
        <v>0</v>
      </c>
      <c r="BL165" s="104"/>
      <c r="BM165" s="104">
        <f t="shared" si="799"/>
        <v>2.0609600000000001</v>
      </c>
      <c r="BN165" s="456">
        <f t="shared" si="800"/>
        <v>0</v>
      </c>
      <c r="BO165" s="471">
        <f t="shared" si="801"/>
        <v>0</v>
      </c>
      <c r="BP165" s="471">
        <f t="shared" si="802"/>
        <v>0</v>
      </c>
      <c r="BQ165" s="471">
        <f t="shared" si="803"/>
        <v>0</v>
      </c>
      <c r="BR165" s="449">
        <f t="shared" si="804"/>
        <v>0</v>
      </c>
      <c r="BS165" s="449">
        <f t="shared" si="805"/>
        <v>0</v>
      </c>
      <c r="BT165" s="449">
        <f t="shared" si="806"/>
        <v>0</v>
      </c>
      <c r="BU165" s="449">
        <f t="shared" si="807"/>
        <v>0</v>
      </c>
      <c r="BV165" s="449">
        <f t="shared" si="808"/>
        <v>0</v>
      </c>
      <c r="BW165" s="449">
        <f t="shared" si="809"/>
        <v>0</v>
      </c>
      <c r="BX165" s="449">
        <f t="shared" si="810"/>
        <v>0</v>
      </c>
      <c r="BY165" s="449">
        <f t="shared" si="811"/>
        <v>0</v>
      </c>
      <c r="BZ165" s="449">
        <f t="shared" si="812"/>
        <v>0</v>
      </c>
      <c r="CA165" s="449">
        <f t="shared" si="813"/>
        <v>0</v>
      </c>
      <c r="CB165" s="449">
        <f t="shared" si="814"/>
        <v>3</v>
      </c>
      <c r="CC165" s="449">
        <f t="shared" si="815"/>
        <v>46.84</v>
      </c>
      <c r="CD165" s="449">
        <f t="shared" si="816"/>
        <v>0</v>
      </c>
      <c r="CE165" s="449">
        <f t="shared" si="817"/>
        <v>0</v>
      </c>
      <c r="CF165" s="449">
        <f t="shared" si="818"/>
        <v>0</v>
      </c>
      <c r="CG165" s="449">
        <f t="shared" si="819"/>
        <v>0</v>
      </c>
      <c r="CH165" s="449">
        <f t="shared" si="820"/>
        <v>0</v>
      </c>
      <c r="CI165" s="449">
        <f t="shared" si="821"/>
        <v>0</v>
      </c>
      <c r="CJ165" s="472">
        <f t="shared" si="822"/>
        <v>0</v>
      </c>
      <c r="CK165" s="449">
        <f t="shared" si="823"/>
        <v>0</v>
      </c>
      <c r="CL165" s="449">
        <f t="shared" si="824"/>
        <v>0</v>
      </c>
      <c r="CM165" s="449">
        <f t="shared" si="825"/>
        <v>0</v>
      </c>
      <c r="CN165" s="453">
        <f t="shared" si="826"/>
        <v>0</v>
      </c>
      <c r="CO165" s="453">
        <f t="shared" si="827"/>
        <v>0</v>
      </c>
      <c r="CP165" s="453">
        <f t="shared" si="828"/>
        <v>0</v>
      </c>
      <c r="CQ165" s="453">
        <f t="shared" si="829"/>
        <v>0</v>
      </c>
      <c r="CR165" s="453">
        <f t="shared" si="830"/>
        <v>0</v>
      </c>
      <c r="CS165" s="453">
        <f t="shared" si="831"/>
        <v>0</v>
      </c>
      <c r="CT165" s="473">
        <f t="shared" si="832"/>
        <v>0</v>
      </c>
      <c r="CU165" s="470">
        <f t="shared" si="833"/>
        <v>1</v>
      </c>
      <c r="CV165" s="470">
        <f t="shared" si="834"/>
        <v>0</v>
      </c>
      <c r="CW165" s="470">
        <f t="shared" si="835"/>
        <v>0</v>
      </c>
      <c r="CX165" s="470">
        <f t="shared" si="836"/>
        <v>1</v>
      </c>
      <c r="CY165" s="470">
        <f t="shared" si="837"/>
        <v>0</v>
      </c>
      <c r="CZ165" s="470">
        <f t="shared" si="838"/>
        <v>0</v>
      </c>
      <c r="DA165" s="478">
        <f t="shared" si="839"/>
        <v>0.5</v>
      </c>
      <c r="DB165" s="469">
        <v>1.3</v>
      </c>
      <c r="DC165" s="469">
        <v>1.4</v>
      </c>
      <c r="DD165" s="469">
        <v>2</v>
      </c>
      <c r="DE165" s="469">
        <v>2</v>
      </c>
      <c r="DF165" s="476">
        <v>2</v>
      </c>
      <c r="DG165" s="456">
        <f t="shared" si="840"/>
        <v>0</v>
      </c>
      <c r="DH165" s="476">
        <f t="shared" si="841"/>
        <v>0</v>
      </c>
      <c r="DI165" s="476">
        <f t="shared" si="842"/>
        <v>0</v>
      </c>
      <c r="DJ165" s="476">
        <f t="shared" si="843"/>
        <v>140.52000000000001</v>
      </c>
      <c r="DK165" s="476">
        <f t="shared" si="844"/>
        <v>140.52000000000001</v>
      </c>
      <c r="DL165" s="476">
        <f t="shared" si="845"/>
        <v>0</v>
      </c>
      <c r="DM165" s="476">
        <f t="shared" si="846"/>
        <v>0</v>
      </c>
      <c r="DN165" s="476">
        <f t="shared" si="847"/>
        <v>0</v>
      </c>
      <c r="DO165" s="476">
        <f t="shared" si="848"/>
        <v>0</v>
      </c>
      <c r="DP165" s="476">
        <f t="shared" si="849"/>
        <v>0</v>
      </c>
      <c r="DQ165" s="464"/>
      <c r="DR165" s="479"/>
    </row>
    <row r="166" spans="1:122" s="86" customFormat="1" x14ac:dyDescent="0.25">
      <c r="A166" s="86" t="s">
        <v>2085</v>
      </c>
      <c r="B166" s="101"/>
      <c r="C166" s="101" t="str">
        <f>'Planilha Hidráulica'!B173</f>
        <v>PV23.1-&gt;PV24.1</v>
      </c>
      <c r="D166" s="258">
        <f>'Planilha Hidráulica'!R173</f>
        <v>4.1399999999999997</v>
      </c>
      <c r="E166" s="258">
        <f>'Planilha Hidráulica'!S173</f>
        <v>4.16</v>
      </c>
      <c r="F166" s="258">
        <f>'Planilha Hidráulica'!K173</f>
        <v>46.98</v>
      </c>
      <c r="G166" s="101">
        <f>'Planilha Hidráulica'!M173</f>
        <v>1650</v>
      </c>
      <c r="H166" s="449">
        <f t="shared" si="752"/>
        <v>4.7500000000000009</v>
      </c>
      <c r="I166" s="102">
        <f t="shared" si="753"/>
        <v>11.157750000000002</v>
      </c>
      <c r="J166" s="467">
        <v>0</v>
      </c>
      <c r="K166" s="449">
        <f t="shared" si="754"/>
        <v>3</v>
      </c>
      <c r="L166" s="449">
        <f t="shared" si="755"/>
        <v>3</v>
      </c>
      <c r="M166" s="449">
        <f>'Planilha Hidráulica'!X173</f>
        <v>1200</v>
      </c>
      <c r="N166" s="449">
        <f t="shared" si="756"/>
        <v>140.94</v>
      </c>
      <c r="O166" s="468" t="str">
        <f>'Planilha Hidráulica'!W173</f>
        <v>ASFALTO</v>
      </c>
      <c r="P166" s="468" t="s">
        <v>2084</v>
      </c>
      <c r="Q166" s="105">
        <v>1</v>
      </c>
      <c r="R166" s="468">
        <v>5</v>
      </c>
      <c r="S166" s="468">
        <v>4.5999999999999996</v>
      </c>
      <c r="T166" s="449">
        <f t="shared" si="757"/>
        <v>0.2</v>
      </c>
      <c r="U166" s="453">
        <f t="shared" si="758"/>
        <v>53.133128231633449</v>
      </c>
      <c r="V166" s="106">
        <f t="shared" si="759"/>
        <v>672.70787176836666</v>
      </c>
      <c r="W166" s="107">
        <f t="shared" si="760"/>
        <v>0</v>
      </c>
      <c r="X166" s="107">
        <f t="shared" si="761"/>
        <v>0.4</v>
      </c>
      <c r="Y166" s="453">
        <f t="shared" si="762"/>
        <v>4.7500000000000009</v>
      </c>
      <c r="Z166" s="453">
        <f t="shared" si="763"/>
        <v>0</v>
      </c>
      <c r="AA166" s="456">
        <f t="shared" si="764"/>
        <v>140.94</v>
      </c>
      <c r="AB166" s="469">
        <f t="shared" si="765"/>
        <v>0</v>
      </c>
      <c r="AC166" s="109">
        <f t="shared" si="766"/>
        <v>0</v>
      </c>
      <c r="AD166" s="109">
        <f t="shared" si="767"/>
        <v>0</v>
      </c>
      <c r="AE166" s="109">
        <f t="shared" si="768"/>
        <v>0</v>
      </c>
      <c r="AF166" s="109">
        <f t="shared" si="769"/>
        <v>0</v>
      </c>
      <c r="AG166" s="109">
        <f t="shared" si="770"/>
        <v>0</v>
      </c>
      <c r="AH166" s="109">
        <f t="shared" si="771"/>
        <v>0</v>
      </c>
      <c r="AI166" s="109">
        <f t="shared" si="772"/>
        <v>0</v>
      </c>
      <c r="AJ166" s="456">
        <f t="shared" si="773"/>
        <v>0</v>
      </c>
      <c r="AK166" s="456">
        <f t="shared" si="774"/>
        <v>0</v>
      </c>
      <c r="AL166" s="456">
        <f t="shared" si="775"/>
        <v>0</v>
      </c>
      <c r="AM166" s="456">
        <f t="shared" si="776"/>
        <v>0</v>
      </c>
      <c r="AN166" s="456">
        <f t="shared" si="851"/>
        <v>0</v>
      </c>
      <c r="AO166" s="456">
        <f t="shared" si="777"/>
        <v>281.88</v>
      </c>
      <c r="AP166" s="456">
        <f t="shared" si="778"/>
        <v>281.88</v>
      </c>
      <c r="AQ166" s="456">
        <f t="shared" si="779"/>
        <v>52.571871768366677</v>
      </c>
      <c r="AR166" s="104">
        <f t="shared" si="780"/>
        <v>56.38</v>
      </c>
      <c r="AS166" s="449">
        <f t="shared" si="781"/>
        <v>9.3960000000000779E-2</v>
      </c>
      <c r="AT166" s="104">
        <f t="shared" si="782"/>
        <v>625.38617943706811</v>
      </c>
      <c r="AU166" s="102">
        <f t="shared" si="783"/>
        <v>0</v>
      </c>
      <c r="AV166" s="106">
        <f t="shared" si="784"/>
        <v>28.188000000000002</v>
      </c>
      <c r="AW166" s="104">
        <f t="shared" si="785"/>
        <v>56.375999999999991</v>
      </c>
      <c r="AX166" s="104">
        <f t="shared" si="786"/>
        <v>0</v>
      </c>
      <c r="AY166" s="104">
        <f t="shared" si="787"/>
        <v>1.8499999999999999</v>
      </c>
      <c r="AZ166" s="104">
        <f t="shared" si="788"/>
        <v>160.28417943706802</v>
      </c>
      <c r="BA166" s="104">
        <f t="shared" si="789"/>
        <v>160.28417943706802</v>
      </c>
      <c r="BB166" s="104">
        <f t="shared" si="790"/>
        <v>21.140999999999998</v>
      </c>
      <c r="BC166" s="104">
        <f t="shared" si="791"/>
        <v>21.140999999999998</v>
      </c>
      <c r="BD166" s="104">
        <f t="shared" si="792"/>
        <v>4.2281999999999993</v>
      </c>
      <c r="BE166" s="104">
        <f t="shared" si="793"/>
        <v>338.25600000000014</v>
      </c>
      <c r="BF166" s="104">
        <f t="shared" si="794"/>
        <v>378.53069233129872</v>
      </c>
      <c r="BG166" s="104">
        <f t="shared" si="795"/>
        <v>338.25600000000014</v>
      </c>
      <c r="BH166" s="104">
        <f t="shared" si="796"/>
        <v>40.274692331298581</v>
      </c>
      <c r="BI166" s="104">
        <f t="shared" si="797"/>
        <v>0</v>
      </c>
      <c r="BJ166" s="102">
        <f t="shared" si="850"/>
        <v>0</v>
      </c>
      <c r="BK166" s="104">
        <f t="shared" si="798"/>
        <v>0</v>
      </c>
      <c r="BL166" s="104"/>
      <c r="BM166" s="104">
        <f t="shared" si="799"/>
        <v>3.1006800000000001</v>
      </c>
      <c r="BN166" s="456">
        <f t="shared" si="800"/>
        <v>0</v>
      </c>
      <c r="BO166" s="471">
        <f t="shared" si="801"/>
        <v>0</v>
      </c>
      <c r="BP166" s="471">
        <f t="shared" si="802"/>
        <v>0</v>
      </c>
      <c r="BQ166" s="471">
        <f t="shared" si="803"/>
        <v>0</v>
      </c>
      <c r="BR166" s="449">
        <f t="shared" si="804"/>
        <v>0</v>
      </c>
      <c r="BS166" s="449">
        <f t="shared" si="805"/>
        <v>0</v>
      </c>
      <c r="BT166" s="449">
        <f t="shared" si="806"/>
        <v>0</v>
      </c>
      <c r="BU166" s="449">
        <f t="shared" si="807"/>
        <v>0</v>
      </c>
      <c r="BV166" s="449">
        <f t="shared" si="808"/>
        <v>0</v>
      </c>
      <c r="BW166" s="449">
        <f t="shared" si="809"/>
        <v>0</v>
      </c>
      <c r="BX166" s="449">
        <f t="shared" si="810"/>
        <v>0</v>
      </c>
      <c r="BY166" s="449">
        <f t="shared" si="811"/>
        <v>0</v>
      </c>
      <c r="BZ166" s="449">
        <f t="shared" si="812"/>
        <v>0</v>
      </c>
      <c r="CA166" s="449">
        <f t="shared" si="813"/>
        <v>0</v>
      </c>
      <c r="CB166" s="449">
        <f t="shared" si="814"/>
        <v>0</v>
      </c>
      <c r="CC166" s="449">
        <f t="shared" si="815"/>
        <v>0</v>
      </c>
      <c r="CD166" s="449">
        <f t="shared" si="816"/>
        <v>0</v>
      </c>
      <c r="CE166" s="449">
        <f t="shared" si="817"/>
        <v>0</v>
      </c>
      <c r="CF166" s="449">
        <f t="shared" si="818"/>
        <v>0</v>
      </c>
      <c r="CG166" s="449">
        <f t="shared" si="819"/>
        <v>0</v>
      </c>
      <c r="CH166" s="449">
        <f t="shared" si="820"/>
        <v>0</v>
      </c>
      <c r="CI166" s="449">
        <f t="shared" si="821"/>
        <v>0</v>
      </c>
      <c r="CJ166" s="472">
        <f t="shared" si="822"/>
        <v>0</v>
      </c>
      <c r="CK166" s="449">
        <f t="shared" si="823"/>
        <v>0</v>
      </c>
      <c r="CL166" s="449">
        <f t="shared" si="824"/>
        <v>0</v>
      </c>
      <c r="CM166" s="449">
        <f t="shared" si="825"/>
        <v>0</v>
      </c>
      <c r="CN166" s="453">
        <f t="shared" si="826"/>
        <v>46.98</v>
      </c>
      <c r="CO166" s="453">
        <f t="shared" si="827"/>
        <v>0</v>
      </c>
      <c r="CP166" s="453">
        <f t="shared" si="828"/>
        <v>0</v>
      </c>
      <c r="CQ166" s="453">
        <f t="shared" si="829"/>
        <v>0</v>
      </c>
      <c r="CR166" s="453">
        <f t="shared" si="830"/>
        <v>0</v>
      </c>
      <c r="CS166" s="453">
        <f t="shared" si="831"/>
        <v>0</v>
      </c>
      <c r="CT166" s="473">
        <f t="shared" si="832"/>
        <v>0</v>
      </c>
      <c r="CU166" s="470">
        <f t="shared" si="833"/>
        <v>1</v>
      </c>
      <c r="CV166" s="470">
        <f t="shared" si="834"/>
        <v>0</v>
      </c>
      <c r="CW166" s="470">
        <f t="shared" si="835"/>
        <v>0</v>
      </c>
      <c r="CX166" s="470">
        <f t="shared" si="836"/>
        <v>0</v>
      </c>
      <c r="CY166" s="470">
        <f t="shared" si="837"/>
        <v>0</v>
      </c>
      <c r="CZ166" s="470">
        <f t="shared" si="838"/>
        <v>0</v>
      </c>
      <c r="DA166" s="478">
        <f t="shared" si="839"/>
        <v>2.1399999999999997</v>
      </c>
      <c r="DB166" s="469">
        <v>1.3</v>
      </c>
      <c r="DC166" s="469">
        <v>1.4</v>
      </c>
      <c r="DD166" s="469">
        <v>2</v>
      </c>
      <c r="DE166" s="469">
        <v>2</v>
      </c>
      <c r="DF166" s="476">
        <v>2</v>
      </c>
      <c r="DG166" s="456">
        <f t="shared" si="840"/>
        <v>0</v>
      </c>
      <c r="DH166" s="476">
        <f t="shared" si="841"/>
        <v>0</v>
      </c>
      <c r="DI166" s="476">
        <f t="shared" si="842"/>
        <v>0</v>
      </c>
      <c r="DJ166" s="476">
        <f t="shared" si="843"/>
        <v>0</v>
      </c>
      <c r="DK166" s="476">
        <f t="shared" si="844"/>
        <v>0</v>
      </c>
      <c r="DL166" s="476">
        <f t="shared" si="845"/>
        <v>0</v>
      </c>
      <c r="DM166" s="476">
        <f t="shared" si="846"/>
        <v>140.94</v>
      </c>
      <c r="DN166" s="476">
        <f t="shared" si="847"/>
        <v>140.94</v>
      </c>
      <c r="DO166" s="476">
        <f t="shared" si="848"/>
        <v>140.94</v>
      </c>
      <c r="DP166" s="476">
        <f t="shared" si="849"/>
        <v>23.49000000000008</v>
      </c>
      <c r="DQ166" s="464"/>
      <c r="DR166" s="479">
        <f t="shared" ref="DR166:DR172" si="853">D166-M166/1000</f>
        <v>2.9399999999999995</v>
      </c>
    </row>
    <row r="167" spans="1:122" s="86" customFormat="1" x14ac:dyDescent="0.25">
      <c r="A167" s="86" t="s">
        <v>2087</v>
      </c>
      <c r="B167" s="101"/>
      <c r="C167" s="101" t="str">
        <f>'Planilha Hidráulica'!B174</f>
        <v>PV24.1-&gt;PV25.1</v>
      </c>
      <c r="D167" s="258">
        <f>'Planilha Hidráulica'!R174</f>
        <v>4.28</v>
      </c>
      <c r="E167" s="258">
        <f>'Planilha Hidráulica'!S174</f>
        <v>4.28</v>
      </c>
      <c r="F167" s="258">
        <f>'Planilha Hidráulica'!K174</f>
        <v>43.73</v>
      </c>
      <c r="G167" s="101">
        <f>'Planilha Hidráulica'!M174</f>
        <v>1650</v>
      </c>
      <c r="H167" s="449">
        <f t="shared" si="752"/>
        <v>4.8800000000000008</v>
      </c>
      <c r="I167" s="102">
        <f t="shared" si="753"/>
        <v>10.670120000000001</v>
      </c>
      <c r="J167" s="467">
        <v>0</v>
      </c>
      <c r="K167" s="449">
        <f t="shared" si="754"/>
        <v>3</v>
      </c>
      <c r="L167" s="449">
        <f t="shared" si="755"/>
        <v>3</v>
      </c>
      <c r="M167" s="449">
        <f>'Planilha Hidráulica'!X174</f>
        <v>1500</v>
      </c>
      <c r="N167" s="449">
        <f t="shared" si="756"/>
        <v>131.19</v>
      </c>
      <c r="O167" s="468" t="str">
        <f>'Planilha Hidráulica'!W174</f>
        <v>ASFALTO</v>
      </c>
      <c r="P167" s="468" t="s">
        <v>2084</v>
      </c>
      <c r="Q167" s="105">
        <v>1</v>
      </c>
      <c r="R167" s="468">
        <v>5</v>
      </c>
      <c r="S167" s="468">
        <v>4.5999999999999996</v>
      </c>
      <c r="T167" s="449">
        <f t="shared" si="757"/>
        <v>0.2</v>
      </c>
      <c r="U167" s="453">
        <f t="shared" si="758"/>
        <v>77.277288792083425</v>
      </c>
      <c r="V167" s="106">
        <f t="shared" si="759"/>
        <v>615.40591120791657</v>
      </c>
      <c r="W167" s="107">
        <f t="shared" si="760"/>
        <v>0</v>
      </c>
      <c r="X167" s="107">
        <f t="shared" si="761"/>
        <v>0.4</v>
      </c>
      <c r="Y167" s="453">
        <f t="shared" si="762"/>
        <v>4.8800000000000008</v>
      </c>
      <c r="Z167" s="453">
        <f t="shared" si="763"/>
        <v>0</v>
      </c>
      <c r="AA167" s="456">
        <f t="shared" si="764"/>
        <v>131.19</v>
      </c>
      <c r="AB167" s="469">
        <f t="shared" si="765"/>
        <v>0</v>
      </c>
      <c r="AC167" s="109">
        <f t="shared" si="766"/>
        <v>0</v>
      </c>
      <c r="AD167" s="109">
        <f t="shared" si="767"/>
        <v>0</v>
      </c>
      <c r="AE167" s="109">
        <f t="shared" si="768"/>
        <v>0</v>
      </c>
      <c r="AF167" s="109">
        <f t="shared" si="769"/>
        <v>0</v>
      </c>
      <c r="AG167" s="109">
        <f t="shared" si="770"/>
        <v>0</v>
      </c>
      <c r="AH167" s="109">
        <f t="shared" si="771"/>
        <v>0</v>
      </c>
      <c r="AI167" s="109">
        <f t="shared" si="772"/>
        <v>0</v>
      </c>
      <c r="AJ167" s="456">
        <f t="shared" si="773"/>
        <v>0</v>
      </c>
      <c r="AK167" s="456">
        <f t="shared" si="774"/>
        <v>0</v>
      </c>
      <c r="AL167" s="456">
        <f t="shared" si="775"/>
        <v>0</v>
      </c>
      <c r="AM167" s="456">
        <f t="shared" si="776"/>
        <v>0</v>
      </c>
      <c r="AN167" s="456">
        <f t="shared" si="851"/>
        <v>0</v>
      </c>
      <c r="AO167" s="456">
        <f t="shared" si="777"/>
        <v>262.38</v>
      </c>
      <c r="AP167" s="456">
        <f t="shared" si="778"/>
        <v>262.38</v>
      </c>
      <c r="AQ167" s="456">
        <f t="shared" si="779"/>
        <v>38.16991120791667</v>
      </c>
      <c r="AR167" s="104">
        <f t="shared" si="780"/>
        <v>52.48</v>
      </c>
      <c r="AS167" s="449">
        <f t="shared" si="781"/>
        <v>0.1632586666666673</v>
      </c>
      <c r="AT167" s="104">
        <f t="shared" si="782"/>
        <v>599.17768056157911</v>
      </c>
      <c r="AU167" s="102">
        <f t="shared" si="783"/>
        <v>0</v>
      </c>
      <c r="AV167" s="106">
        <f t="shared" si="784"/>
        <v>26.238</v>
      </c>
      <c r="AW167" s="104">
        <f t="shared" si="785"/>
        <v>52.475999999999999</v>
      </c>
      <c r="AX167" s="104">
        <f t="shared" si="786"/>
        <v>0</v>
      </c>
      <c r="AY167" s="104">
        <f t="shared" si="787"/>
        <v>1.8499999999999999</v>
      </c>
      <c r="AZ167" s="104">
        <f t="shared" si="788"/>
        <v>149.19598056157906</v>
      </c>
      <c r="BA167" s="104">
        <f t="shared" si="789"/>
        <v>149.19598056157906</v>
      </c>
      <c r="BB167" s="104">
        <f t="shared" si="790"/>
        <v>19.678499999999996</v>
      </c>
      <c r="BC167" s="104">
        <f t="shared" si="791"/>
        <v>19.678499999999996</v>
      </c>
      <c r="BD167" s="104">
        <f t="shared" si="792"/>
        <v>3.9356999999999998</v>
      </c>
      <c r="BE167" s="104">
        <f t="shared" si="793"/>
        <v>331.91070000000013</v>
      </c>
      <c r="BF167" s="104">
        <f t="shared" si="794"/>
        <v>341.57943064633764</v>
      </c>
      <c r="BG167" s="104">
        <f t="shared" si="795"/>
        <v>331.91070000000013</v>
      </c>
      <c r="BH167" s="104">
        <f t="shared" si="796"/>
        <v>9.668730646337508</v>
      </c>
      <c r="BI167" s="104">
        <f t="shared" si="797"/>
        <v>0</v>
      </c>
      <c r="BJ167" s="102">
        <f t="shared" si="850"/>
        <v>0</v>
      </c>
      <c r="BK167" s="104">
        <f t="shared" si="798"/>
        <v>0</v>
      </c>
      <c r="BL167" s="104"/>
      <c r="BM167" s="104">
        <f t="shared" si="799"/>
        <v>2.88618</v>
      </c>
      <c r="BN167" s="456">
        <f t="shared" si="800"/>
        <v>0</v>
      </c>
      <c r="BO167" s="471">
        <f t="shared" si="801"/>
        <v>0</v>
      </c>
      <c r="BP167" s="471">
        <f t="shared" si="802"/>
        <v>0</v>
      </c>
      <c r="BQ167" s="471">
        <f t="shared" si="803"/>
        <v>0</v>
      </c>
      <c r="BR167" s="449">
        <f t="shared" si="804"/>
        <v>0</v>
      </c>
      <c r="BS167" s="449">
        <f t="shared" si="805"/>
        <v>0</v>
      </c>
      <c r="BT167" s="449">
        <f t="shared" si="806"/>
        <v>0</v>
      </c>
      <c r="BU167" s="449">
        <f t="shared" si="807"/>
        <v>0</v>
      </c>
      <c r="BV167" s="449">
        <f t="shared" si="808"/>
        <v>0</v>
      </c>
      <c r="BW167" s="449">
        <f t="shared" si="809"/>
        <v>0</v>
      </c>
      <c r="BX167" s="449">
        <f t="shared" si="810"/>
        <v>0</v>
      </c>
      <c r="BY167" s="449">
        <f t="shared" si="811"/>
        <v>0</v>
      </c>
      <c r="BZ167" s="449">
        <f t="shared" si="812"/>
        <v>0</v>
      </c>
      <c r="CA167" s="449">
        <f t="shared" si="813"/>
        <v>0</v>
      </c>
      <c r="CB167" s="449">
        <f t="shared" si="814"/>
        <v>0</v>
      </c>
      <c r="CC167" s="449">
        <f t="shared" si="815"/>
        <v>0</v>
      </c>
      <c r="CD167" s="449">
        <f t="shared" si="816"/>
        <v>0</v>
      </c>
      <c r="CE167" s="449">
        <f t="shared" si="817"/>
        <v>0</v>
      </c>
      <c r="CF167" s="449">
        <f t="shared" si="818"/>
        <v>0</v>
      </c>
      <c r="CG167" s="449">
        <f t="shared" si="819"/>
        <v>0</v>
      </c>
      <c r="CH167" s="449">
        <f t="shared" si="820"/>
        <v>0</v>
      </c>
      <c r="CI167" s="449">
        <f t="shared" si="821"/>
        <v>0</v>
      </c>
      <c r="CJ167" s="472">
        <f t="shared" si="822"/>
        <v>0</v>
      </c>
      <c r="CK167" s="449">
        <f t="shared" si="823"/>
        <v>0</v>
      </c>
      <c r="CL167" s="449">
        <f t="shared" si="824"/>
        <v>0</v>
      </c>
      <c r="CM167" s="449">
        <f t="shared" si="825"/>
        <v>0</v>
      </c>
      <c r="CN167" s="453">
        <f t="shared" si="826"/>
        <v>43.73</v>
      </c>
      <c r="CO167" s="453">
        <f t="shared" si="827"/>
        <v>0</v>
      </c>
      <c r="CP167" s="453">
        <f t="shared" si="828"/>
        <v>0</v>
      </c>
      <c r="CQ167" s="453">
        <f t="shared" si="829"/>
        <v>0</v>
      </c>
      <c r="CR167" s="453">
        <f t="shared" si="830"/>
        <v>0</v>
      </c>
      <c r="CS167" s="453">
        <f t="shared" si="831"/>
        <v>0</v>
      </c>
      <c r="CT167" s="473">
        <f t="shared" si="832"/>
        <v>0</v>
      </c>
      <c r="CU167" s="470">
        <f t="shared" si="833"/>
        <v>1</v>
      </c>
      <c r="CV167" s="470">
        <f t="shared" si="834"/>
        <v>0</v>
      </c>
      <c r="CW167" s="470">
        <f t="shared" si="835"/>
        <v>0</v>
      </c>
      <c r="CX167" s="470">
        <f t="shared" si="836"/>
        <v>0</v>
      </c>
      <c r="CY167" s="470">
        <f t="shared" si="837"/>
        <v>0</v>
      </c>
      <c r="CZ167" s="470">
        <f t="shared" si="838"/>
        <v>0</v>
      </c>
      <c r="DA167" s="478">
        <f t="shared" si="839"/>
        <v>2.2800000000000002</v>
      </c>
      <c r="DB167" s="469">
        <v>1.3</v>
      </c>
      <c r="DC167" s="469">
        <v>1.4</v>
      </c>
      <c r="DD167" s="469">
        <v>2</v>
      </c>
      <c r="DE167" s="469">
        <v>2</v>
      </c>
      <c r="DF167" s="476">
        <v>2</v>
      </c>
      <c r="DG167" s="456">
        <f t="shared" si="840"/>
        <v>0</v>
      </c>
      <c r="DH167" s="476">
        <f t="shared" si="841"/>
        <v>0</v>
      </c>
      <c r="DI167" s="476">
        <f t="shared" si="842"/>
        <v>0</v>
      </c>
      <c r="DJ167" s="476">
        <f t="shared" si="843"/>
        <v>0</v>
      </c>
      <c r="DK167" s="476">
        <f t="shared" si="844"/>
        <v>0</v>
      </c>
      <c r="DL167" s="476">
        <f t="shared" si="845"/>
        <v>0</v>
      </c>
      <c r="DM167" s="476">
        <f t="shared" si="846"/>
        <v>131.19</v>
      </c>
      <c r="DN167" s="476">
        <f t="shared" si="847"/>
        <v>131.19</v>
      </c>
      <c r="DO167" s="476">
        <f t="shared" si="848"/>
        <v>131.19</v>
      </c>
      <c r="DP167" s="476">
        <f t="shared" si="849"/>
        <v>33.234800000000064</v>
      </c>
      <c r="DQ167" s="464"/>
      <c r="DR167" s="479">
        <f t="shared" si="853"/>
        <v>2.7800000000000002</v>
      </c>
    </row>
    <row r="168" spans="1:122" s="86" customFormat="1" x14ac:dyDescent="0.25">
      <c r="A168" s="86" t="s">
        <v>2087</v>
      </c>
      <c r="B168" s="101"/>
      <c r="C168" s="101" t="str">
        <f>'Planilha Hidráulica'!B175</f>
        <v>PV25.1-&gt;PV26.1</v>
      </c>
      <c r="D168" s="258">
        <f>'Planilha Hidráulica'!R175</f>
        <v>4.28</v>
      </c>
      <c r="E168" s="258">
        <f>'Planilha Hidráulica'!S175</f>
        <v>4.3600000000000003</v>
      </c>
      <c r="F168" s="258">
        <f>'Planilha Hidráulica'!K175</f>
        <v>55.32</v>
      </c>
      <c r="G168" s="101">
        <f>'Planilha Hidráulica'!M175</f>
        <v>1650</v>
      </c>
      <c r="H168" s="449">
        <f t="shared" si="752"/>
        <v>4.9200000000000008</v>
      </c>
      <c r="I168" s="102">
        <f t="shared" si="753"/>
        <v>13.608720000000002</v>
      </c>
      <c r="J168" s="467">
        <v>0</v>
      </c>
      <c r="K168" s="449">
        <f t="shared" si="754"/>
        <v>3</v>
      </c>
      <c r="L168" s="449">
        <f t="shared" si="755"/>
        <v>3</v>
      </c>
      <c r="M168" s="449">
        <f>'Planilha Hidráulica'!X175</f>
        <v>1500</v>
      </c>
      <c r="N168" s="449">
        <f t="shared" si="756"/>
        <v>165.96</v>
      </c>
      <c r="O168" s="468" t="str">
        <f>'Planilha Hidráulica'!W175</f>
        <v>ASFALTO</v>
      </c>
      <c r="P168" s="468" t="s">
        <v>2088</v>
      </c>
      <c r="Q168" s="105">
        <v>1</v>
      </c>
      <c r="R168" s="468">
        <v>5</v>
      </c>
      <c r="S168" s="468">
        <v>5</v>
      </c>
      <c r="T168" s="449">
        <f t="shared" si="757"/>
        <v>0.2</v>
      </c>
      <c r="U168" s="453">
        <f t="shared" si="758"/>
        <v>97.758509398080392</v>
      </c>
      <c r="V168" s="106">
        <f t="shared" si="759"/>
        <v>785.14869060191972</v>
      </c>
      <c r="W168" s="107">
        <f t="shared" si="760"/>
        <v>0</v>
      </c>
      <c r="X168" s="107">
        <f t="shared" si="761"/>
        <v>0.4</v>
      </c>
      <c r="Y168" s="453">
        <f t="shared" si="762"/>
        <v>4.9200000000000008</v>
      </c>
      <c r="Z168" s="453">
        <f t="shared" si="763"/>
        <v>0</v>
      </c>
      <c r="AA168" s="456">
        <f t="shared" si="764"/>
        <v>165.96</v>
      </c>
      <c r="AB168" s="469">
        <f t="shared" si="765"/>
        <v>0</v>
      </c>
      <c r="AC168" s="109">
        <f t="shared" si="766"/>
        <v>0</v>
      </c>
      <c r="AD168" s="109">
        <f t="shared" si="767"/>
        <v>0</v>
      </c>
      <c r="AE168" s="109">
        <f t="shared" si="768"/>
        <v>0</v>
      </c>
      <c r="AF168" s="109">
        <f t="shared" si="769"/>
        <v>0</v>
      </c>
      <c r="AG168" s="109">
        <f t="shared" si="770"/>
        <v>0</v>
      </c>
      <c r="AH168" s="109">
        <f t="shared" si="771"/>
        <v>0</v>
      </c>
      <c r="AI168" s="109">
        <f t="shared" si="772"/>
        <v>0</v>
      </c>
      <c r="AJ168" s="456">
        <f t="shared" si="773"/>
        <v>0</v>
      </c>
      <c r="AK168" s="456">
        <f t="shared" si="774"/>
        <v>0</v>
      </c>
      <c r="AL168" s="456">
        <f t="shared" si="775"/>
        <v>0</v>
      </c>
      <c r="AM168" s="456">
        <f t="shared" si="776"/>
        <v>0</v>
      </c>
      <c r="AN168" s="456">
        <f t="shared" si="851"/>
        <v>0</v>
      </c>
      <c r="AO168" s="456">
        <f t="shared" si="777"/>
        <v>331.92</v>
      </c>
      <c r="AP168" s="456">
        <f t="shared" si="778"/>
        <v>331.92</v>
      </c>
      <c r="AQ168" s="456">
        <f t="shared" si="779"/>
        <v>54.92469060191975</v>
      </c>
      <c r="AR168" s="104">
        <f t="shared" si="780"/>
        <v>66.38</v>
      </c>
      <c r="AS168" s="449">
        <f t="shared" si="781"/>
        <v>0</v>
      </c>
      <c r="AT168" s="104">
        <f t="shared" si="782"/>
        <v>764.61940362832297</v>
      </c>
      <c r="AU168" s="102">
        <f t="shared" si="783"/>
        <v>0</v>
      </c>
      <c r="AV168" s="106">
        <f t="shared" si="784"/>
        <v>33.192</v>
      </c>
      <c r="AW168" s="104">
        <f t="shared" si="785"/>
        <v>66.384</v>
      </c>
      <c r="AX168" s="104">
        <f t="shared" si="786"/>
        <v>0</v>
      </c>
      <c r="AY168" s="104">
        <f t="shared" si="787"/>
        <v>1.8499999999999999</v>
      </c>
      <c r="AZ168" s="104">
        <f t="shared" si="788"/>
        <v>188.73820362832276</v>
      </c>
      <c r="BA168" s="104">
        <f t="shared" si="789"/>
        <v>188.73820362832276</v>
      </c>
      <c r="BB168" s="104">
        <f t="shared" si="790"/>
        <v>24.893999999999998</v>
      </c>
      <c r="BC168" s="104">
        <f t="shared" si="791"/>
        <v>24.893999999999998</v>
      </c>
      <c r="BD168" s="104">
        <f t="shared" si="792"/>
        <v>4.9787999999999997</v>
      </c>
      <c r="BE168" s="104">
        <f t="shared" si="793"/>
        <v>426.51720000000017</v>
      </c>
      <c r="BF168" s="104">
        <f t="shared" si="794"/>
        <v>438.74848697359704</v>
      </c>
      <c r="BG168" s="104">
        <f t="shared" si="795"/>
        <v>426.51720000000017</v>
      </c>
      <c r="BH168" s="104">
        <f t="shared" si="796"/>
        <v>12.231286973596866</v>
      </c>
      <c r="BI168" s="104">
        <f t="shared" si="797"/>
        <v>0</v>
      </c>
      <c r="BJ168" s="102">
        <f t="shared" si="850"/>
        <v>0</v>
      </c>
      <c r="BK168" s="104">
        <f t="shared" si="798"/>
        <v>0</v>
      </c>
      <c r="BL168" s="104"/>
      <c r="BM168" s="104">
        <f t="shared" si="799"/>
        <v>3.6511199999999997</v>
      </c>
      <c r="BN168" s="456">
        <f t="shared" si="800"/>
        <v>0</v>
      </c>
      <c r="BO168" s="471">
        <f t="shared" si="801"/>
        <v>0</v>
      </c>
      <c r="BP168" s="471">
        <f t="shared" si="802"/>
        <v>0</v>
      </c>
      <c r="BQ168" s="471">
        <f t="shared" si="803"/>
        <v>0</v>
      </c>
      <c r="BR168" s="449">
        <f t="shared" si="804"/>
        <v>0</v>
      </c>
      <c r="BS168" s="449">
        <f t="shared" si="805"/>
        <v>0</v>
      </c>
      <c r="BT168" s="449">
        <f t="shared" si="806"/>
        <v>0</v>
      </c>
      <c r="BU168" s="449">
        <f t="shared" si="807"/>
        <v>0</v>
      </c>
      <c r="BV168" s="449">
        <f t="shared" si="808"/>
        <v>0</v>
      </c>
      <c r="BW168" s="449">
        <f t="shared" si="809"/>
        <v>0</v>
      </c>
      <c r="BX168" s="449">
        <f t="shared" si="810"/>
        <v>0</v>
      </c>
      <c r="BY168" s="449">
        <f t="shared" si="811"/>
        <v>0</v>
      </c>
      <c r="BZ168" s="449">
        <f t="shared" si="812"/>
        <v>0</v>
      </c>
      <c r="CA168" s="449">
        <f t="shared" si="813"/>
        <v>0</v>
      </c>
      <c r="CB168" s="449">
        <f t="shared" si="814"/>
        <v>0</v>
      </c>
      <c r="CC168" s="449">
        <f t="shared" si="815"/>
        <v>0</v>
      </c>
      <c r="CD168" s="449">
        <f t="shared" si="816"/>
        <v>0</v>
      </c>
      <c r="CE168" s="449">
        <f t="shared" si="817"/>
        <v>0</v>
      </c>
      <c r="CF168" s="449">
        <f t="shared" si="818"/>
        <v>0</v>
      </c>
      <c r="CG168" s="449">
        <f t="shared" si="819"/>
        <v>0</v>
      </c>
      <c r="CH168" s="449">
        <f t="shared" si="820"/>
        <v>0</v>
      </c>
      <c r="CI168" s="449">
        <f t="shared" si="821"/>
        <v>0</v>
      </c>
      <c r="CJ168" s="472">
        <f t="shared" si="822"/>
        <v>0</v>
      </c>
      <c r="CK168" s="449">
        <f t="shared" si="823"/>
        <v>0</v>
      </c>
      <c r="CL168" s="449">
        <f t="shared" si="824"/>
        <v>0</v>
      </c>
      <c r="CM168" s="449">
        <f t="shared" si="825"/>
        <v>0</v>
      </c>
      <c r="CN168" s="453">
        <f t="shared" si="826"/>
        <v>55.32</v>
      </c>
      <c r="CO168" s="453">
        <f t="shared" si="827"/>
        <v>0</v>
      </c>
      <c r="CP168" s="453">
        <f t="shared" si="828"/>
        <v>0</v>
      </c>
      <c r="CQ168" s="453">
        <f t="shared" si="829"/>
        <v>0</v>
      </c>
      <c r="CR168" s="453">
        <f t="shared" si="830"/>
        <v>0</v>
      </c>
      <c r="CS168" s="453">
        <f t="shared" si="831"/>
        <v>0</v>
      </c>
      <c r="CT168" s="473">
        <f t="shared" si="832"/>
        <v>0</v>
      </c>
      <c r="CU168" s="470">
        <f t="shared" si="833"/>
        <v>1</v>
      </c>
      <c r="CV168" s="470">
        <f t="shared" si="834"/>
        <v>0</v>
      </c>
      <c r="CW168" s="470">
        <f t="shared" si="835"/>
        <v>0</v>
      </c>
      <c r="CX168" s="470">
        <f t="shared" si="836"/>
        <v>0</v>
      </c>
      <c r="CY168" s="470">
        <f t="shared" si="837"/>
        <v>0</v>
      </c>
      <c r="CZ168" s="470">
        <f t="shared" si="838"/>
        <v>0</v>
      </c>
      <c r="DA168" s="478">
        <f t="shared" si="839"/>
        <v>2.2800000000000002</v>
      </c>
      <c r="DB168" s="469">
        <v>1.3</v>
      </c>
      <c r="DC168" s="469">
        <v>1.4</v>
      </c>
      <c r="DD168" s="469">
        <v>2</v>
      </c>
      <c r="DE168" s="469">
        <v>2</v>
      </c>
      <c r="DF168" s="476">
        <v>2</v>
      </c>
      <c r="DG168" s="456">
        <f t="shared" si="840"/>
        <v>0</v>
      </c>
      <c r="DH168" s="476">
        <f t="shared" si="841"/>
        <v>0</v>
      </c>
      <c r="DI168" s="476">
        <f t="shared" si="842"/>
        <v>0</v>
      </c>
      <c r="DJ168" s="476">
        <f t="shared" si="843"/>
        <v>0</v>
      </c>
      <c r="DK168" s="476">
        <f t="shared" si="844"/>
        <v>0</v>
      </c>
      <c r="DL168" s="476">
        <f t="shared" si="845"/>
        <v>0</v>
      </c>
      <c r="DM168" s="476">
        <f t="shared" si="846"/>
        <v>165.96</v>
      </c>
      <c r="DN168" s="476">
        <f t="shared" si="847"/>
        <v>165.96</v>
      </c>
      <c r="DO168" s="476">
        <f t="shared" si="848"/>
        <v>165.96</v>
      </c>
      <c r="DP168" s="476">
        <f t="shared" si="849"/>
        <v>46.468800000000094</v>
      </c>
      <c r="DQ168" s="464"/>
      <c r="DR168" s="479">
        <f t="shared" si="853"/>
        <v>2.7800000000000002</v>
      </c>
    </row>
    <row r="169" spans="1:122" s="86" customFormat="1" x14ac:dyDescent="0.25">
      <c r="A169" s="86" t="s">
        <v>2089</v>
      </c>
      <c r="B169" s="101"/>
      <c r="C169" s="101" t="str">
        <f>'Planilha Hidráulica'!B176</f>
        <v>PV1.3-&gt;PV2.3</v>
      </c>
      <c r="D169" s="258">
        <f>'Planilha Hidráulica'!R176</f>
        <v>2.2599999999999998</v>
      </c>
      <c r="E169" s="258">
        <f>'Planilha Hidráulica'!S176</f>
        <v>2.09</v>
      </c>
      <c r="F169" s="258">
        <f>'Planilha Hidráulica'!K176</f>
        <v>35.630000000000003</v>
      </c>
      <c r="G169" s="101">
        <f>'Planilha Hidráulica'!M176</f>
        <v>600</v>
      </c>
      <c r="H169" s="449">
        <f t="shared" si="752"/>
        <v>2.395</v>
      </c>
      <c r="I169" s="102">
        <f t="shared" si="753"/>
        <v>4.2666925000000004</v>
      </c>
      <c r="J169" s="467">
        <v>0</v>
      </c>
      <c r="K169" s="449">
        <f t="shared" si="754"/>
        <v>1.4</v>
      </c>
      <c r="L169" s="449">
        <f t="shared" si="755"/>
        <v>1.4</v>
      </c>
      <c r="M169" s="449">
        <f>'Planilha Hidráulica'!X176</f>
        <v>400</v>
      </c>
      <c r="N169" s="449">
        <f t="shared" si="756"/>
        <v>49.881999999999998</v>
      </c>
      <c r="O169" s="468" t="str">
        <f>'Planilha Hidráulica'!W176</f>
        <v>ASFALTO</v>
      </c>
      <c r="P169" s="468" t="s">
        <v>2090</v>
      </c>
      <c r="Q169" s="105">
        <v>1</v>
      </c>
      <c r="R169" s="468">
        <v>5</v>
      </c>
      <c r="S169" s="468">
        <v>5</v>
      </c>
      <c r="T169" s="449">
        <f t="shared" si="757"/>
        <v>0.1</v>
      </c>
      <c r="U169" s="453">
        <f t="shared" si="758"/>
        <v>4.4773978498961737</v>
      </c>
      <c r="V169" s="106">
        <f t="shared" si="759"/>
        <v>134.94279215010383</v>
      </c>
      <c r="W169" s="107">
        <f t="shared" si="760"/>
        <v>0</v>
      </c>
      <c r="X169" s="107">
        <f t="shared" si="761"/>
        <v>0.4</v>
      </c>
      <c r="Y169" s="453">
        <f t="shared" si="762"/>
        <v>2.395</v>
      </c>
      <c r="Z169" s="453">
        <f t="shared" si="763"/>
        <v>0</v>
      </c>
      <c r="AA169" s="456">
        <f t="shared" si="764"/>
        <v>49.881999999999998</v>
      </c>
      <c r="AB169" s="469">
        <f t="shared" si="765"/>
        <v>0</v>
      </c>
      <c r="AC169" s="109">
        <f t="shared" si="766"/>
        <v>0</v>
      </c>
      <c r="AD169" s="109">
        <f t="shared" si="767"/>
        <v>19.9528</v>
      </c>
      <c r="AE169" s="109">
        <f t="shared" si="768"/>
        <v>0</v>
      </c>
      <c r="AF169" s="109">
        <f t="shared" si="769"/>
        <v>0</v>
      </c>
      <c r="AG169" s="109">
        <f t="shared" si="770"/>
        <v>0</v>
      </c>
      <c r="AH169" s="109">
        <f t="shared" si="771"/>
        <v>0</v>
      </c>
      <c r="AI169" s="109">
        <f t="shared" si="772"/>
        <v>0</v>
      </c>
      <c r="AJ169" s="456">
        <f t="shared" si="773"/>
        <v>74.822999999999993</v>
      </c>
      <c r="AK169" s="456">
        <f t="shared" si="774"/>
        <v>40.16699215010383</v>
      </c>
      <c r="AL169" s="456">
        <f t="shared" si="775"/>
        <v>0</v>
      </c>
      <c r="AM169" s="456">
        <f t="shared" si="776"/>
        <v>0</v>
      </c>
      <c r="AN169" s="456">
        <f t="shared" si="851"/>
        <v>0</v>
      </c>
      <c r="AO169" s="456">
        <f t="shared" si="777"/>
        <v>0</v>
      </c>
      <c r="AP169" s="456">
        <f t="shared" si="778"/>
        <v>0</v>
      </c>
      <c r="AQ169" s="456">
        <f t="shared" si="779"/>
        <v>0</v>
      </c>
      <c r="AR169" s="104">
        <f t="shared" si="780"/>
        <v>0</v>
      </c>
      <c r="AS169" s="449">
        <f t="shared" si="781"/>
        <v>0</v>
      </c>
      <c r="AT169" s="104">
        <f t="shared" si="782"/>
        <v>129.34604483773361</v>
      </c>
      <c r="AU169" s="102">
        <f t="shared" si="783"/>
        <v>4.9882</v>
      </c>
      <c r="AV169" s="106">
        <f t="shared" si="784"/>
        <v>0</v>
      </c>
      <c r="AW169" s="104">
        <f t="shared" si="785"/>
        <v>19.952800000000003</v>
      </c>
      <c r="AX169" s="104">
        <f t="shared" si="786"/>
        <v>0</v>
      </c>
      <c r="AY169" s="104">
        <f t="shared" si="787"/>
        <v>0.8</v>
      </c>
      <c r="AZ169" s="104">
        <f t="shared" si="788"/>
        <v>29.83145483773361</v>
      </c>
      <c r="BA169" s="104">
        <f t="shared" si="789"/>
        <v>29.83145483773361</v>
      </c>
      <c r="BB169" s="104">
        <f t="shared" si="790"/>
        <v>7.4822999999999995</v>
      </c>
      <c r="BC169" s="104">
        <f t="shared" si="791"/>
        <v>7.4822999999999995</v>
      </c>
      <c r="BD169" s="104">
        <f t="shared" si="792"/>
        <v>1.4964599999999999</v>
      </c>
      <c r="BE169" s="104">
        <f t="shared" si="793"/>
        <v>59.608990000000013</v>
      </c>
      <c r="BF169" s="104">
        <f t="shared" si="794"/>
        <v>57.72343731237023</v>
      </c>
      <c r="BG169" s="104">
        <f t="shared" si="795"/>
        <v>57.72343731237023</v>
      </c>
      <c r="BH169" s="104">
        <f t="shared" si="796"/>
        <v>0</v>
      </c>
      <c r="BI169" s="104">
        <f t="shared" si="797"/>
        <v>1.885552687629783</v>
      </c>
      <c r="BJ169" s="102">
        <f t="shared" si="850"/>
        <v>1.885552687629783</v>
      </c>
      <c r="BK169" s="104">
        <f t="shared" si="798"/>
        <v>0</v>
      </c>
      <c r="BL169" s="104"/>
      <c r="BM169" s="104">
        <f t="shared" si="799"/>
        <v>1.097404</v>
      </c>
      <c r="BN169" s="456">
        <f t="shared" si="800"/>
        <v>0</v>
      </c>
      <c r="BO169" s="471">
        <f t="shared" si="801"/>
        <v>0</v>
      </c>
      <c r="BP169" s="471">
        <f t="shared" si="802"/>
        <v>0</v>
      </c>
      <c r="BQ169" s="471">
        <f t="shared" si="803"/>
        <v>0</v>
      </c>
      <c r="BR169" s="449">
        <f t="shared" si="804"/>
        <v>0</v>
      </c>
      <c r="BS169" s="449">
        <f t="shared" si="805"/>
        <v>0</v>
      </c>
      <c r="BT169" s="449">
        <f t="shared" si="806"/>
        <v>2.395</v>
      </c>
      <c r="BU169" s="449">
        <f t="shared" si="807"/>
        <v>35.630000000000003</v>
      </c>
      <c r="BV169" s="449">
        <f t="shared" si="808"/>
        <v>0</v>
      </c>
      <c r="BW169" s="449">
        <f t="shared" si="809"/>
        <v>0</v>
      </c>
      <c r="BX169" s="449">
        <f t="shared" si="810"/>
        <v>0</v>
      </c>
      <c r="BY169" s="449">
        <f t="shared" si="811"/>
        <v>0</v>
      </c>
      <c r="BZ169" s="449">
        <f t="shared" si="812"/>
        <v>0</v>
      </c>
      <c r="CA169" s="449">
        <f t="shared" si="813"/>
        <v>0</v>
      </c>
      <c r="CB169" s="449">
        <f t="shared" si="814"/>
        <v>0</v>
      </c>
      <c r="CC169" s="449">
        <f t="shared" si="815"/>
        <v>0</v>
      </c>
      <c r="CD169" s="449">
        <f t="shared" si="816"/>
        <v>0</v>
      </c>
      <c r="CE169" s="449">
        <f t="shared" si="817"/>
        <v>0</v>
      </c>
      <c r="CF169" s="449">
        <f t="shared" si="818"/>
        <v>0</v>
      </c>
      <c r="CG169" s="449">
        <f t="shared" si="819"/>
        <v>0</v>
      </c>
      <c r="CH169" s="449">
        <f t="shared" si="820"/>
        <v>0</v>
      </c>
      <c r="CI169" s="449">
        <f t="shared" si="821"/>
        <v>0</v>
      </c>
      <c r="CJ169" s="472">
        <f t="shared" si="822"/>
        <v>0</v>
      </c>
      <c r="CK169" s="449">
        <f t="shared" si="823"/>
        <v>0</v>
      </c>
      <c r="CL169" s="449">
        <f t="shared" si="824"/>
        <v>0</v>
      </c>
      <c r="CM169" s="449">
        <f t="shared" si="825"/>
        <v>0</v>
      </c>
      <c r="CN169" s="453">
        <f t="shared" si="826"/>
        <v>0</v>
      </c>
      <c r="CO169" s="453">
        <f t="shared" si="827"/>
        <v>0</v>
      </c>
      <c r="CP169" s="453">
        <f t="shared" si="828"/>
        <v>0</v>
      </c>
      <c r="CQ169" s="453">
        <f t="shared" si="829"/>
        <v>0</v>
      </c>
      <c r="CR169" s="453">
        <f t="shared" si="830"/>
        <v>0</v>
      </c>
      <c r="CS169" s="453">
        <f t="shared" si="831"/>
        <v>0</v>
      </c>
      <c r="CT169" s="473">
        <f t="shared" si="832"/>
        <v>0</v>
      </c>
      <c r="CU169" s="470">
        <f t="shared" si="833"/>
        <v>1</v>
      </c>
      <c r="CV169" s="470">
        <f t="shared" si="834"/>
        <v>1</v>
      </c>
      <c r="CW169" s="470">
        <f t="shared" si="835"/>
        <v>0</v>
      </c>
      <c r="CX169" s="470">
        <f t="shared" si="836"/>
        <v>0</v>
      </c>
      <c r="CY169" s="470">
        <f t="shared" si="837"/>
        <v>0</v>
      </c>
      <c r="CZ169" s="470">
        <f t="shared" si="838"/>
        <v>0</v>
      </c>
      <c r="DA169" s="478">
        <f t="shared" si="839"/>
        <v>0.95999999999999974</v>
      </c>
      <c r="DB169" s="469">
        <v>1.3</v>
      </c>
      <c r="DC169" s="469">
        <v>1.4</v>
      </c>
      <c r="DD169" s="469">
        <v>2</v>
      </c>
      <c r="DE169" s="469">
        <v>2</v>
      </c>
      <c r="DF169" s="476">
        <v>2</v>
      </c>
      <c r="DG169" s="456">
        <f t="shared" si="840"/>
        <v>106.89000000000001</v>
      </c>
      <c r="DH169" s="476">
        <f t="shared" si="841"/>
        <v>63.777700000000003</v>
      </c>
      <c r="DI169" s="476">
        <f t="shared" si="842"/>
        <v>0</v>
      </c>
      <c r="DJ169" s="476">
        <f t="shared" si="843"/>
        <v>0</v>
      </c>
      <c r="DK169" s="476">
        <f t="shared" si="844"/>
        <v>0</v>
      </c>
      <c r="DL169" s="476">
        <f t="shared" si="845"/>
        <v>0</v>
      </c>
      <c r="DM169" s="476">
        <f t="shared" si="846"/>
        <v>0</v>
      </c>
      <c r="DN169" s="476">
        <f t="shared" si="847"/>
        <v>0</v>
      </c>
      <c r="DO169" s="476">
        <f t="shared" si="848"/>
        <v>0</v>
      </c>
      <c r="DP169" s="476">
        <f t="shared" si="849"/>
        <v>0</v>
      </c>
      <c r="DQ169" s="464"/>
      <c r="DR169" s="479">
        <f t="shared" si="853"/>
        <v>1.8599999999999999</v>
      </c>
    </row>
    <row r="170" spans="1:122" s="86" customFormat="1" x14ac:dyDescent="0.25">
      <c r="A170" s="86" t="s">
        <v>2089</v>
      </c>
      <c r="B170" s="101"/>
      <c r="C170" s="101" t="str">
        <f>'Planilha Hidráulica'!B177</f>
        <v>PV2.3-&gt;PV3.3</v>
      </c>
      <c r="D170" s="258">
        <f>'Planilha Hidráulica'!R177</f>
        <v>2.09</v>
      </c>
      <c r="E170" s="258">
        <f>'Planilha Hidráulica'!S177</f>
        <v>2.15</v>
      </c>
      <c r="F170" s="258">
        <f>'Planilha Hidráulica'!K177</f>
        <v>35.630000000000003</v>
      </c>
      <c r="G170" s="101">
        <f>'Planilha Hidráulica'!M177</f>
        <v>600</v>
      </c>
      <c r="H170" s="449">
        <f t="shared" si="752"/>
        <v>2.3400000000000003</v>
      </c>
      <c r="I170" s="102">
        <f t="shared" si="753"/>
        <v>4.1687100000000008</v>
      </c>
      <c r="J170" s="467">
        <v>0</v>
      </c>
      <c r="K170" s="449">
        <f t="shared" si="754"/>
        <v>1.4</v>
      </c>
      <c r="L170" s="449">
        <f t="shared" si="755"/>
        <v>1.4</v>
      </c>
      <c r="M170" s="449">
        <f>'Planilha Hidráulica'!X177</f>
        <v>400</v>
      </c>
      <c r="N170" s="449">
        <f t="shared" si="756"/>
        <v>49.881999999999998</v>
      </c>
      <c r="O170" s="468" t="str">
        <f>'Planilha Hidráulica'!W177</f>
        <v>ASFALTO</v>
      </c>
      <c r="P170" s="468" t="s">
        <v>2090</v>
      </c>
      <c r="Q170" s="105">
        <v>1</v>
      </c>
      <c r="R170" s="468">
        <v>5</v>
      </c>
      <c r="S170" s="468">
        <v>5</v>
      </c>
      <c r="T170" s="449">
        <f t="shared" si="757"/>
        <v>0.1</v>
      </c>
      <c r="U170" s="453">
        <f t="shared" si="758"/>
        <v>4.4773978498961737</v>
      </c>
      <c r="V170" s="106">
        <f t="shared" si="759"/>
        <v>132.19928215010384</v>
      </c>
      <c r="W170" s="107">
        <f t="shared" si="760"/>
        <v>0</v>
      </c>
      <c r="X170" s="107">
        <f t="shared" si="761"/>
        <v>0.4</v>
      </c>
      <c r="Y170" s="453">
        <f t="shared" si="762"/>
        <v>2.3400000000000003</v>
      </c>
      <c r="Z170" s="453">
        <f t="shared" si="763"/>
        <v>0</v>
      </c>
      <c r="AA170" s="456">
        <f t="shared" si="764"/>
        <v>49.881999999999998</v>
      </c>
      <c r="AB170" s="469">
        <f t="shared" si="765"/>
        <v>0</v>
      </c>
      <c r="AC170" s="109">
        <f t="shared" si="766"/>
        <v>0</v>
      </c>
      <c r="AD170" s="109">
        <f t="shared" si="767"/>
        <v>19.9528</v>
      </c>
      <c r="AE170" s="109">
        <f t="shared" si="768"/>
        <v>0</v>
      </c>
      <c r="AF170" s="109">
        <f t="shared" si="769"/>
        <v>0</v>
      </c>
      <c r="AG170" s="109">
        <f t="shared" si="770"/>
        <v>0</v>
      </c>
      <c r="AH170" s="109">
        <f t="shared" si="771"/>
        <v>0</v>
      </c>
      <c r="AI170" s="109">
        <f t="shared" si="772"/>
        <v>0</v>
      </c>
      <c r="AJ170" s="456">
        <f t="shared" si="773"/>
        <v>74.822999999999993</v>
      </c>
      <c r="AK170" s="456">
        <f t="shared" si="774"/>
        <v>37.423482150103844</v>
      </c>
      <c r="AL170" s="456">
        <f t="shared" si="775"/>
        <v>0</v>
      </c>
      <c r="AM170" s="456">
        <f t="shared" si="776"/>
        <v>0</v>
      </c>
      <c r="AN170" s="456">
        <f t="shared" si="851"/>
        <v>0</v>
      </c>
      <c r="AO170" s="456">
        <f t="shared" si="777"/>
        <v>0</v>
      </c>
      <c r="AP170" s="456">
        <f t="shared" si="778"/>
        <v>0</v>
      </c>
      <c r="AQ170" s="456">
        <f t="shared" si="779"/>
        <v>0</v>
      </c>
      <c r="AR170" s="104">
        <f t="shared" si="780"/>
        <v>0</v>
      </c>
      <c r="AS170" s="449">
        <f t="shared" si="781"/>
        <v>0</v>
      </c>
      <c r="AT170" s="104">
        <f t="shared" si="782"/>
        <v>126.60253483773363</v>
      </c>
      <c r="AU170" s="102">
        <f t="shared" si="783"/>
        <v>4.9882</v>
      </c>
      <c r="AV170" s="106">
        <f t="shared" si="784"/>
        <v>0</v>
      </c>
      <c r="AW170" s="104">
        <f t="shared" si="785"/>
        <v>19.952800000000003</v>
      </c>
      <c r="AX170" s="104">
        <f t="shared" si="786"/>
        <v>0</v>
      </c>
      <c r="AY170" s="104">
        <f t="shared" si="787"/>
        <v>0.8</v>
      </c>
      <c r="AZ170" s="104">
        <f t="shared" si="788"/>
        <v>29.83145483773361</v>
      </c>
      <c r="BA170" s="104">
        <f t="shared" si="789"/>
        <v>29.83145483773361</v>
      </c>
      <c r="BB170" s="104">
        <f t="shared" si="790"/>
        <v>7.4822999999999995</v>
      </c>
      <c r="BC170" s="104">
        <f t="shared" si="791"/>
        <v>7.4822999999999995</v>
      </c>
      <c r="BD170" s="104">
        <f t="shared" si="792"/>
        <v>1.4964599999999999</v>
      </c>
      <c r="BE170" s="104">
        <f t="shared" si="793"/>
        <v>56.865480000000026</v>
      </c>
      <c r="BF170" s="104">
        <f t="shared" si="794"/>
        <v>54.979927312370243</v>
      </c>
      <c r="BG170" s="104">
        <f t="shared" si="795"/>
        <v>54.979927312370243</v>
      </c>
      <c r="BH170" s="104">
        <f t="shared" si="796"/>
        <v>0</v>
      </c>
      <c r="BI170" s="104">
        <f t="shared" si="797"/>
        <v>1.885552687629783</v>
      </c>
      <c r="BJ170" s="102">
        <f t="shared" si="850"/>
        <v>1.885552687629783</v>
      </c>
      <c r="BK170" s="104">
        <f t="shared" si="798"/>
        <v>0</v>
      </c>
      <c r="BL170" s="104"/>
      <c r="BM170" s="104">
        <f t="shared" si="799"/>
        <v>1.097404</v>
      </c>
      <c r="BN170" s="456">
        <f t="shared" si="800"/>
        <v>0</v>
      </c>
      <c r="BO170" s="471">
        <f t="shared" si="801"/>
        <v>0</v>
      </c>
      <c r="BP170" s="471">
        <f t="shared" si="802"/>
        <v>0</v>
      </c>
      <c r="BQ170" s="471">
        <f t="shared" si="803"/>
        <v>0</v>
      </c>
      <c r="BR170" s="449">
        <f t="shared" si="804"/>
        <v>0</v>
      </c>
      <c r="BS170" s="449">
        <f t="shared" si="805"/>
        <v>0</v>
      </c>
      <c r="BT170" s="449">
        <f t="shared" si="806"/>
        <v>2.3400000000000003</v>
      </c>
      <c r="BU170" s="449">
        <f t="shared" si="807"/>
        <v>35.630000000000003</v>
      </c>
      <c r="BV170" s="449">
        <f t="shared" si="808"/>
        <v>0</v>
      </c>
      <c r="BW170" s="449">
        <f t="shared" si="809"/>
        <v>0</v>
      </c>
      <c r="BX170" s="449">
        <f t="shared" si="810"/>
        <v>0</v>
      </c>
      <c r="BY170" s="449">
        <f t="shared" si="811"/>
        <v>0</v>
      </c>
      <c r="BZ170" s="449">
        <f t="shared" si="812"/>
        <v>0</v>
      </c>
      <c r="CA170" s="449">
        <f t="shared" si="813"/>
        <v>0</v>
      </c>
      <c r="CB170" s="449">
        <f t="shared" si="814"/>
        <v>0</v>
      </c>
      <c r="CC170" s="449">
        <f t="shared" si="815"/>
        <v>0</v>
      </c>
      <c r="CD170" s="449">
        <f t="shared" si="816"/>
        <v>0</v>
      </c>
      <c r="CE170" s="449">
        <f t="shared" si="817"/>
        <v>0</v>
      </c>
      <c r="CF170" s="449">
        <f t="shared" si="818"/>
        <v>0</v>
      </c>
      <c r="CG170" s="449">
        <f t="shared" si="819"/>
        <v>0</v>
      </c>
      <c r="CH170" s="449">
        <f t="shared" si="820"/>
        <v>0</v>
      </c>
      <c r="CI170" s="449">
        <f t="shared" si="821"/>
        <v>0</v>
      </c>
      <c r="CJ170" s="472">
        <f t="shared" si="822"/>
        <v>0</v>
      </c>
      <c r="CK170" s="449">
        <f t="shared" si="823"/>
        <v>0</v>
      </c>
      <c r="CL170" s="449">
        <f t="shared" si="824"/>
        <v>0</v>
      </c>
      <c r="CM170" s="449">
        <f t="shared" si="825"/>
        <v>0</v>
      </c>
      <c r="CN170" s="453">
        <f t="shared" si="826"/>
        <v>0</v>
      </c>
      <c r="CO170" s="453">
        <f t="shared" si="827"/>
        <v>0</v>
      </c>
      <c r="CP170" s="453">
        <f t="shared" si="828"/>
        <v>0</v>
      </c>
      <c r="CQ170" s="453">
        <f t="shared" si="829"/>
        <v>0</v>
      </c>
      <c r="CR170" s="453">
        <f t="shared" si="830"/>
        <v>0</v>
      </c>
      <c r="CS170" s="453">
        <f t="shared" si="831"/>
        <v>0</v>
      </c>
      <c r="CT170" s="473">
        <f t="shared" si="832"/>
        <v>0</v>
      </c>
      <c r="CU170" s="470">
        <f t="shared" si="833"/>
        <v>1</v>
      </c>
      <c r="CV170" s="470">
        <f t="shared" si="834"/>
        <v>1</v>
      </c>
      <c r="CW170" s="470">
        <f t="shared" si="835"/>
        <v>0</v>
      </c>
      <c r="CX170" s="470">
        <f t="shared" si="836"/>
        <v>0</v>
      </c>
      <c r="CY170" s="470">
        <f t="shared" si="837"/>
        <v>0</v>
      </c>
      <c r="CZ170" s="470">
        <f t="shared" si="838"/>
        <v>0</v>
      </c>
      <c r="DA170" s="478">
        <f t="shared" si="839"/>
        <v>0.78999999999999981</v>
      </c>
      <c r="DB170" s="469">
        <v>1.3</v>
      </c>
      <c r="DC170" s="469">
        <v>1.4</v>
      </c>
      <c r="DD170" s="469">
        <v>2</v>
      </c>
      <c r="DE170" s="469">
        <v>2</v>
      </c>
      <c r="DF170" s="476">
        <v>2</v>
      </c>
      <c r="DG170" s="456">
        <f t="shared" si="840"/>
        <v>106.89000000000001</v>
      </c>
      <c r="DH170" s="476">
        <f t="shared" si="841"/>
        <v>59.858400000000024</v>
      </c>
      <c r="DI170" s="476">
        <f t="shared" si="842"/>
        <v>0</v>
      </c>
      <c r="DJ170" s="476">
        <f t="shared" si="843"/>
        <v>0</v>
      </c>
      <c r="DK170" s="476">
        <f t="shared" si="844"/>
        <v>0</v>
      </c>
      <c r="DL170" s="476">
        <f t="shared" si="845"/>
        <v>0</v>
      </c>
      <c r="DM170" s="476">
        <f t="shared" si="846"/>
        <v>0</v>
      </c>
      <c r="DN170" s="476">
        <f t="shared" si="847"/>
        <v>0</v>
      </c>
      <c r="DO170" s="476">
        <f t="shared" si="848"/>
        <v>0</v>
      </c>
      <c r="DP170" s="476">
        <f t="shared" si="849"/>
        <v>0</v>
      </c>
      <c r="DQ170" s="464"/>
      <c r="DR170" s="479">
        <f t="shared" si="853"/>
        <v>1.69</v>
      </c>
    </row>
    <row r="171" spans="1:122" s="86" customFormat="1" x14ac:dyDescent="0.25">
      <c r="A171" s="86" t="s">
        <v>2089</v>
      </c>
      <c r="B171" s="101"/>
      <c r="C171" s="101" t="str">
        <f>'Planilha Hidráulica'!B178</f>
        <v>PV3.3-&gt;PV4.3</v>
      </c>
      <c r="D171" s="258">
        <f>'Planilha Hidráulica'!R178</f>
        <v>2.37</v>
      </c>
      <c r="E171" s="258">
        <f>'Planilha Hidráulica'!S178</f>
        <v>2.21</v>
      </c>
      <c r="F171" s="258">
        <f>'Planilha Hidráulica'!K178</f>
        <v>36.700000000000003</v>
      </c>
      <c r="G171" s="101">
        <f>'Planilha Hidráulica'!M178</f>
        <v>800</v>
      </c>
      <c r="H171" s="449">
        <f t="shared" si="752"/>
        <v>2.5500000000000003</v>
      </c>
      <c r="I171" s="102">
        <f t="shared" si="753"/>
        <v>4.6792500000000015</v>
      </c>
      <c r="J171" s="467">
        <v>0</v>
      </c>
      <c r="K171" s="449">
        <f t="shared" si="754"/>
        <v>1.7</v>
      </c>
      <c r="L171" s="449">
        <f t="shared" si="755"/>
        <v>1.7</v>
      </c>
      <c r="M171" s="449">
        <f>'Planilha Hidráulica'!X178</f>
        <v>500</v>
      </c>
      <c r="N171" s="449">
        <f t="shared" si="756"/>
        <v>62.39</v>
      </c>
      <c r="O171" s="468" t="str">
        <f>'Planilha Hidráulica'!W178</f>
        <v>ASFALTO</v>
      </c>
      <c r="P171" s="468" t="s">
        <v>2091</v>
      </c>
      <c r="Q171" s="105">
        <v>1</v>
      </c>
      <c r="R171" s="468">
        <v>5</v>
      </c>
      <c r="S171" s="468">
        <v>5</v>
      </c>
      <c r="T171" s="449">
        <f t="shared" si="757"/>
        <v>0.1</v>
      </c>
      <c r="U171" s="453">
        <f t="shared" si="758"/>
        <v>7.2060281491715887</v>
      </c>
      <c r="V171" s="106">
        <f t="shared" si="759"/>
        <v>176.84447185082843</v>
      </c>
      <c r="W171" s="107">
        <f t="shared" si="760"/>
        <v>0</v>
      </c>
      <c r="X171" s="107">
        <f t="shared" si="761"/>
        <v>0.4</v>
      </c>
      <c r="Y171" s="453">
        <f t="shared" si="762"/>
        <v>2.5500000000000003</v>
      </c>
      <c r="Z171" s="453">
        <f t="shared" si="763"/>
        <v>0</v>
      </c>
      <c r="AA171" s="456">
        <f t="shared" si="764"/>
        <v>62.39</v>
      </c>
      <c r="AB171" s="469">
        <f t="shared" si="765"/>
        <v>0</v>
      </c>
      <c r="AC171" s="109">
        <f t="shared" si="766"/>
        <v>0</v>
      </c>
      <c r="AD171" s="109">
        <f t="shared" si="767"/>
        <v>0</v>
      </c>
      <c r="AE171" s="109">
        <f t="shared" si="768"/>
        <v>0</v>
      </c>
      <c r="AF171" s="109">
        <f t="shared" si="769"/>
        <v>0</v>
      </c>
      <c r="AG171" s="109">
        <f t="shared" si="770"/>
        <v>24.956000000000003</v>
      </c>
      <c r="AH171" s="109">
        <f t="shared" si="771"/>
        <v>0</v>
      </c>
      <c r="AI171" s="109">
        <f t="shared" si="772"/>
        <v>0</v>
      </c>
      <c r="AJ171" s="456">
        <f t="shared" si="773"/>
        <v>0</v>
      </c>
      <c r="AK171" s="456">
        <f t="shared" si="774"/>
        <v>0</v>
      </c>
      <c r="AL171" s="456">
        <f t="shared" si="775"/>
        <v>93.585000000000008</v>
      </c>
      <c r="AM171" s="456">
        <f t="shared" si="776"/>
        <v>58.30347185082843</v>
      </c>
      <c r="AN171" s="456">
        <f t="shared" si="851"/>
        <v>0</v>
      </c>
      <c r="AO171" s="456">
        <f t="shared" si="777"/>
        <v>0</v>
      </c>
      <c r="AP171" s="456">
        <f t="shared" si="778"/>
        <v>0</v>
      </c>
      <c r="AQ171" s="456">
        <f t="shared" si="779"/>
        <v>0</v>
      </c>
      <c r="AR171" s="104">
        <f t="shared" si="780"/>
        <v>0</v>
      </c>
      <c r="AS171" s="449">
        <f t="shared" si="781"/>
        <v>0</v>
      </c>
      <c r="AT171" s="104">
        <f t="shared" si="782"/>
        <v>165.60306793812077</v>
      </c>
      <c r="AU171" s="102">
        <f t="shared" si="783"/>
        <v>0</v>
      </c>
      <c r="AV171" s="106">
        <f t="shared" si="784"/>
        <v>6.2390000000000008</v>
      </c>
      <c r="AW171" s="104">
        <f t="shared" si="785"/>
        <v>24.956000000000003</v>
      </c>
      <c r="AX171" s="104">
        <f t="shared" si="786"/>
        <v>0</v>
      </c>
      <c r="AY171" s="104">
        <f t="shared" si="787"/>
        <v>1</v>
      </c>
      <c r="AZ171" s="104">
        <f t="shared" si="788"/>
        <v>43.942567938120732</v>
      </c>
      <c r="BA171" s="104">
        <f t="shared" si="789"/>
        <v>43.942567938120732</v>
      </c>
      <c r="BB171" s="104">
        <f t="shared" si="790"/>
        <v>9.3584999999999994</v>
      </c>
      <c r="BC171" s="104">
        <f t="shared" si="791"/>
        <v>9.3584999999999994</v>
      </c>
      <c r="BD171" s="104">
        <f t="shared" si="792"/>
        <v>1.8716999999999999</v>
      </c>
      <c r="BE171" s="104">
        <f t="shared" si="793"/>
        <v>71.748500000000035</v>
      </c>
      <c r="BF171" s="104">
        <f t="shared" si="794"/>
        <v>73.631403912707697</v>
      </c>
      <c r="BG171" s="104">
        <f t="shared" si="795"/>
        <v>71.748500000000035</v>
      </c>
      <c r="BH171" s="104">
        <f t="shared" si="796"/>
        <v>1.8829039127076612</v>
      </c>
      <c r="BI171" s="104">
        <f t="shared" si="797"/>
        <v>0</v>
      </c>
      <c r="BJ171" s="102">
        <f t="shared" si="850"/>
        <v>0</v>
      </c>
      <c r="BK171" s="104">
        <f t="shared" si="798"/>
        <v>0</v>
      </c>
      <c r="BL171" s="104"/>
      <c r="BM171" s="104">
        <f t="shared" si="799"/>
        <v>1.3725800000000001</v>
      </c>
      <c r="BN171" s="456">
        <f t="shared" si="800"/>
        <v>0</v>
      </c>
      <c r="BO171" s="471">
        <f t="shared" si="801"/>
        <v>0</v>
      </c>
      <c r="BP171" s="471">
        <f t="shared" si="802"/>
        <v>0</v>
      </c>
      <c r="BQ171" s="471">
        <f t="shared" si="803"/>
        <v>0</v>
      </c>
      <c r="BR171" s="449">
        <f t="shared" si="804"/>
        <v>0</v>
      </c>
      <c r="BS171" s="449">
        <f t="shared" si="805"/>
        <v>0</v>
      </c>
      <c r="BT171" s="449">
        <f t="shared" si="806"/>
        <v>0</v>
      </c>
      <c r="BU171" s="449">
        <f t="shared" si="807"/>
        <v>0</v>
      </c>
      <c r="BV171" s="449">
        <f t="shared" si="808"/>
        <v>0</v>
      </c>
      <c r="BW171" s="449">
        <f t="shared" si="809"/>
        <v>0</v>
      </c>
      <c r="BX171" s="449">
        <f t="shared" si="810"/>
        <v>2.5500000000000003</v>
      </c>
      <c r="BY171" s="449">
        <f t="shared" si="811"/>
        <v>36.700000000000003</v>
      </c>
      <c r="BZ171" s="449">
        <f t="shared" si="812"/>
        <v>0</v>
      </c>
      <c r="CA171" s="449">
        <f t="shared" si="813"/>
        <v>0</v>
      </c>
      <c r="CB171" s="449">
        <f t="shared" si="814"/>
        <v>0</v>
      </c>
      <c r="CC171" s="449">
        <f t="shared" si="815"/>
        <v>0</v>
      </c>
      <c r="CD171" s="449">
        <f t="shared" si="816"/>
        <v>0</v>
      </c>
      <c r="CE171" s="449">
        <f t="shared" si="817"/>
        <v>0</v>
      </c>
      <c r="CF171" s="449">
        <f t="shared" si="818"/>
        <v>0</v>
      </c>
      <c r="CG171" s="449">
        <f t="shared" si="819"/>
        <v>0</v>
      </c>
      <c r="CH171" s="449">
        <f t="shared" si="820"/>
        <v>0</v>
      </c>
      <c r="CI171" s="449">
        <f t="shared" si="821"/>
        <v>0</v>
      </c>
      <c r="CJ171" s="472">
        <f t="shared" si="822"/>
        <v>0</v>
      </c>
      <c r="CK171" s="449">
        <f t="shared" si="823"/>
        <v>0</v>
      </c>
      <c r="CL171" s="449">
        <f t="shared" si="824"/>
        <v>0</v>
      </c>
      <c r="CM171" s="449">
        <f t="shared" si="825"/>
        <v>0</v>
      </c>
      <c r="CN171" s="453">
        <f t="shared" si="826"/>
        <v>0</v>
      </c>
      <c r="CO171" s="453">
        <f t="shared" si="827"/>
        <v>0</v>
      </c>
      <c r="CP171" s="453">
        <f t="shared" si="828"/>
        <v>0</v>
      </c>
      <c r="CQ171" s="453">
        <f t="shared" si="829"/>
        <v>0</v>
      </c>
      <c r="CR171" s="453">
        <f t="shared" si="830"/>
        <v>0</v>
      </c>
      <c r="CS171" s="453">
        <f t="shared" si="831"/>
        <v>0</v>
      </c>
      <c r="CT171" s="473">
        <f t="shared" si="832"/>
        <v>0</v>
      </c>
      <c r="CU171" s="470">
        <f t="shared" si="833"/>
        <v>1</v>
      </c>
      <c r="CV171" s="470">
        <f t="shared" si="834"/>
        <v>0</v>
      </c>
      <c r="CW171" s="470">
        <f t="shared" si="835"/>
        <v>1</v>
      </c>
      <c r="CX171" s="470">
        <f t="shared" si="836"/>
        <v>0</v>
      </c>
      <c r="CY171" s="470">
        <f t="shared" si="837"/>
        <v>0</v>
      </c>
      <c r="CZ171" s="470">
        <f t="shared" si="838"/>
        <v>0</v>
      </c>
      <c r="DA171" s="478">
        <f t="shared" si="839"/>
        <v>0.9700000000000002</v>
      </c>
      <c r="DB171" s="469">
        <v>1.3</v>
      </c>
      <c r="DC171" s="469">
        <v>1.4</v>
      </c>
      <c r="DD171" s="469">
        <v>2</v>
      </c>
      <c r="DE171" s="469">
        <v>2</v>
      </c>
      <c r="DF171" s="476">
        <v>2</v>
      </c>
      <c r="DG171" s="456">
        <f t="shared" si="840"/>
        <v>0</v>
      </c>
      <c r="DH171" s="476">
        <f t="shared" si="841"/>
        <v>0</v>
      </c>
      <c r="DI171" s="476">
        <f t="shared" si="842"/>
        <v>0</v>
      </c>
      <c r="DJ171" s="476">
        <f t="shared" si="843"/>
        <v>110.10000000000001</v>
      </c>
      <c r="DK171" s="476">
        <f t="shared" si="844"/>
        <v>77.070000000000022</v>
      </c>
      <c r="DL171" s="476">
        <f t="shared" si="845"/>
        <v>0</v>
      </c>
      <c r="DM171" s="476">
        <f t="shared" si="846"/>
        <v>0</v>
      </c>
      <c r="DN171" s="476">
        <f t="shared" si="847"/>
        <v>0</v>
      </c>
      <c r="DO171" s="476">
        <f t="shared" si="848"/>
        <v>0</v>
      </c>
      <c r="DP171" s="476">
        <f t="shared" si="849"/>
        <v>0</v>
      </c>
      <c r="DQ171" s="464"/>
      <c r="DR171" s="479">
        <f t="shared" si="853"/>
        <v>1.87</v>
      </c>
    </row>
    <row r="172" spans="1:122" s="86" customFormat="1" x14ac:dyDescent="0.25">
      <c r="A172" s="86" t="s">
        <v>2089</v>
      </c>
      <c r="B172" s="101"/>
      <c r="C172" s="101" t="str">
        <f>'Planilha Hidráulica'!B179</f>
        <v>PV4.3-&gt;PV5.3</v>
      </c>
      <c r="D172" s="258">
        <f>'Planilha Hidráulica'!R179</f>
        <v>2.21</v>
      </c>
      <c r="E172" s="258">
        <f>'Planilha Hidráulica'!S179</f>
        <v>1.96</v>
      </c>
      <c r="F172" s="258">
        <f>'Planilha Hidráulica'!K179</f>
        <v>36.700000000000003</v>
      </c>
      <c r="G172" s="101">
        <f>'Planilha Hidráulica'!M179</f>
        <v>800</v>
      </c>
      <c r="H172" s="449">
        <f t="shared" si="752"/>
        <v>2.3450000000000002</v>
      </c>
      <c r="I172" s="102">
        <f t="shared" si="753"/>
        <v>4.3030750000000006</v>
      </c>
      <c r="J172" s="467">
        <v>0</v>
      </c>
      <c r="K172" s="449">
        <f t="shared" si="754"/>
        <v>1.7</v>
      </c>
      <c r="L172" s="449">
        <f t="shared" si="755"/>
        <v>1.7</v>
      </c>
      <c r="M172" s="449">
        <f>'Planilha Hidráulica'!X179</f>
        <v>500</v>
      </c>
      <c r="N172" s="449">
        <f t="shared" si="756"/>
        <v>62.39</v>
      </c>
      <c r="O172" s="468" t="str">
        <f>'Planilha Hidráulica'!W179</f>
        <v>ASFALTO</v>
      </c>
      <c r="P172" s="468" t="s">
        <v>2091</v>
      </c>
      <c r="Q172" s="105">
        <v>1</v>
      </c>
      <c r="R172" s="468">
        <v>5</v>
      </c>
      <c r="S172" s="468">
        <v>5</v>
      </c>
      <c r="T172" s="449">
        <f t="shared" si="757"/>
        <v>0.1</v>
      </c>
      <c r="U172" s="453">
        <f t="shared" si="758"/>
        <v>7.2060281491715887</v>
      </c>
      <c r="V172" s="106">
        <f t="shared" si="759"/>
        <v>164.05452185082845</v>
      </c>
      <c r="W172" s="107">
        <f t="shared" si="760"/>
        <v>0</v>
      </c>
      <c r="X172" s="107">
        <f t="shared" si="761"/>
        <v>0.4</v>
      </c>
      <c r="Y172" s="453">
        <f t="shared" si="762"/>
        <v>2.3450000000000002</v>
      </c>
      <c r="Z172" s="453">
        <f t="shared" si="763"/>
        <v>0</v>
      </c>
      <c r="AA172" s="456">
        <f t="shared" si="764"/>
        <v>62.39</v>
      </c>
      <c r="AB172" s="469">
        <f t="shared" si="765"/>
        <v>0</v>
      </c>
      <c r="AC172" s="109">
        <f t="shared" si="766"/>
        <v>0</v>
      </c>
      <c r="AD172" s="109">
        <f t="shared" si="767"/>
        <v>0</v>
      </c>
      <c r="AE172" s="109">
        <f t="shared" si="768"/>
        <v>0</v>
      </c>
      <c r="AF172" s="109">
        <f t="shared" si="769"/>
        <v>0</v>
      </c>
      <c r="AG172" s="109">
        <f t="shared" si="770"/>
        <v>24.956000000000003</v>
      </c>
      <c r="AH172" s="109">
        <f t="shared" si="771"/>
        <v>0</v>
      </c>
      <c r="AI172" s="109">
        <f t="shared" si="772"/>
        <v>0</v>
      </c>
      <c r="AJ172" s="456">
        <f t="shared" si="773"/>
        <v>0</v>
      </c>
      <c r="AK172" s="456">
        <f t="shared" si="774"/>
        <v>0</v>
      </c>
      <c r="AL172" s="456">
        <f t="shared" si="775"/>
        <v>93.585000000000008</v>
      </c>
      <c r="AM172" s="456">
        <f t="shared" si="776"/>
        <v>45.513521850828425</v>
      </c>
      <c r="AN172" s="456">
        <f t="shared" si="851"/>
        <v>0</v>
      </c>
      <c r="AO172" s="456">
        <f t="shared" si="777"/>
        <v>0</v>
      </c>
      <c r="AP172" s="456">
        <f t="shared" si="778"/>
        <v>0</v>
      </c>
      <c r="AQ172" s="456">
        <f t="shared" si="779"/>
        <v>0</v>
      </c>
      <c r="AR172" s="104">
        <f t="shared" si="780"/>
        <v>0</v>
      </c>
      <c r="AS172" s="449">
        <f t="shared" si="781"/>
        <v>0</v>
      </c>
      <c r="AT172" s="104">
        <f t="shared" si="782"/>
        <v>152.81311793812074</v>
      </c>
      <c r="AU172" s="102">
        <f t="shared" si="783"/>
        <v>0</v>
      </c>
      <c r="AV172" s="106">
        <f t="shared" si="784"/>
        <v>6.2390000000000008</v>
      </c>
      <c r="AW172" s="104">
        <f t="shared" si="785"/>
        <v>24.956000000000003</v>
      </c>
      <c r="AX172" s="104">
        <f t="shared" si="786"/>
        <v>0</v>
      </c>
      <c r="AY172" s="104">
        <f t="shared" si="787"/>
        <v>1</v>
      </c>
      <c r="AZ172" s="104">
        <f t="shared" si="788"/>
        <v>43.942567938120732</v>
      </c>
      <c r="BA172" s="104">
        <f t="shared" si="789"/>
        <v>43.942567938120732</v>
      </c>
      <c r="BB172" s="104">
        <f t="shared" si="790"/>
        <v>9.3584999999999994</v>
      </c>
      <c r="BC172" s="104">
        <f t="shared" si="791"/>
        <v>9.3584999999999994</v>
      </c>
      <c r="BD172" s="104">
        <f t="shared" si="792"/>
        <v>1.8716999999999999</v>
      </c>
      <c r="BE172" s="104">
        <f t="shared" si="793"/>
        <v>58.958550000000002</v>
      </c>
      <c r="BF172" s="104">
        <f t="shared" si="794"/>
        <v>60.841453912707692</v>
      </c>
      <c r="BG172" s="104">
        <f t="shared" si="795"/>
        <v>58.958550000000002</v>
      </c>
      <c r="BH172" s="104">
        <f t="shared" si="796"/>
        <v>1.8829039127076896</v>
      </c>
      <c r="BI172" s="104">
        <f t="shared" si="797"/>
        <v>0</v>
      </c>
      <c r="BJ172" s="102">
        <f t="shared" si="850"/>
        <v>0</v>
      </c>
      <c r="BK172" s="104">
        <f t="shared" si="798"/>
        <v>0</v>
      </c>
      <c r="BL172" s="104"/>
      <c r="BM172" s="104">
        <f t="shared" si="799"/>
        <v>1.3725800000000001</v>
      </c>
      <c r="BN172" s="456">
        <f t="shared" si="800"/>
        <v>0</v>
      </c>
      <c r="BO172" s="471">
        <f t="shared" si="801"/>
        <v>0</v>
      </c>
      <c r="BP172" s="471">
        <f t="shared" si="802"/>
        <v>0</v>
      </c>
      <c r="BQ172" s="471">
        <f t="shared" si="803"/>
        <v>0</v>
      </c>
      <c r="BR172" s="449">
        <f t="shared" si="804"/>
        <v>0</v>
      </c>
      <c r="BS172" s="449">
        <f t="shared" si="805"/>
        <v>0</v>
      </c>
      <c r="BT172" s="449">
        <f t="shared" si="806"/>
        <v>0</v>
      </c>
      <c r="BU172" s="449">
        <f t="shared" si="807"/>
        <v>0</v>
      </c>
      <c r="BV172" s="449">
        <f t="shared" si="808"/>
        <v>0</v>
      </c>
      <c r="BW172" s="449">
        <f t="shared" si="809"/>
        <v>0</v>
      </c>
      <c r="BX172" s="449">
        <f t="shared" si="810"/>
        <v>2.3450000000000002</v>
      </c>
      <c r="BY172" s="449">
        <f t="shared" si="811"/>
        <v>36.700000000000003</v>
      </c>
      <c r="BZ172" s="449">
        <f t="shared" si="812"/>
        <v>0</v>
      </c>
      <c r="CA172" s="449">
        <f t="shared" si="813"/>
        <v>0</v>
      </c>
      <c r="CB172" s="449">
        <f t="shared" si="814"/>
        <v>0</v>
      </c>
      <c r="CC172" s="449">
        <f t="shared" si="815"/>
        <v>0</v>
      </c>
      <c r="CD172" s="449">
        <f t="shared" si="816"/>
        <v>0</v>
      </c>
      <c r="CE172" s="449">
        <f t="shared" si="817"/>
        <v>0</v>
      </c>
      <c r="CF172" s="449">
        <f t="shared" si="818"/>
        <v>0</v>
      </c>
      <c r="CG172" s="449">
        <f t="shared" si="819"/>
        <v>0</v>
      </c>
      <c r="CH172" s="449">
        <f t="shared" si="820"/>
        <v>0</v>
      </c>
      <c r="CI172" s="449">
        <f t="shared" si="821"/>
        <v>0</v>
      </c>
      <c r="CJ172" s="472">
        <f t="shared" si="822"/>
        <v>0</v>
      </c>
      <c r="CK172" s="449">
        <f t="shared" si="823"/>
        <v>0</v>
      </c>
      <c r="CL172" s="449">
        <f t="shared" si="824"/>
        <v>0</v>
      </c>
      <c r="CM172" s="449">
        <f t="shared" si="825"/>
        <v>0</v>
      </c>
      <c r="CN172" s="453">
        <f t="shared" si="826"/>
        <v>0</v>
      </c>
      <c r="CO172" s="453">
        <f t="shared" si="827"/>
        <v>0</v>
      </c>
      <c r="CP172" s="453">
        <f t="shared" si="828"/>
        <v>0</v>
      </c>
      <c r="CQ172" s="453">
        <f t="shared" si="829"/>
        <v>0</v>
      </c>
      <c r="CR172" s="453">
        <f t="shared" si="830"/>
        <v>0</v>
      </c>
      <c r="CS172" s="453">
        <f t="shared" si="831"/>
        <v>0</v>
      </c>
      <c r="CT172" s="473">
        <f t="shared" si="832"/>
        <v>0</v>
      </c>
      <c r="CU172" s="470">
        <f t="shared" si="833"/>
        <v>1</v>
      </c>
      <c r="CV172" s="470">
        <f t="shared" si="834"/>
        <v>0</v>
      </c>
      <c r="CW172" s="470">
        <f t="shared" si="835"/>
        <v>1</v>
      </c>
      <c r="CX172" s="470">
        <f t="shared" si="836"/>
        <v>0</v>
      </c>
      <c r="CY172" s="470">
        <f t="shared" si="837"/>
        <v>0</v>
      </c>
      <c r="CZ172" s="470">
        <f t="shared" si="838"/>
        <v>0</v>
      </c>
      <c r="DA172" s="478">
        <f t="shared" si="839"/>
        <v>0.81</v>
      </c>
      <c r="DB172" s="469">
        <v>1.3</v>
      </c>
      <c r="DC172" s="469">
        <v>1.4</v>
      </c>
      <c r="DD172" s="469">
        <v>2</v>
      </c>
      <c r="DE172" s="469">
        <v>2</v>
      </c>
      <c r="DF172" s="476">
        <v>2</v>
      </c>
      <c r="DG172" s="456">
        <f t="shared" si="840"/>
        <v>0</v>
      </c>
      <c r="DH172" s="476">
        <f t="shared" si="841"/>
        <v>0</v>
      </c>
      <c r="DI172" s="476">
        <f t="shared" si="842"/>
        <v>0</v>
      </c>
      <c r="DJ172" s="476">
        <f t="shared" si="843"/>
        <v>110.10000000000001</v>
      </c>
      <c r="DK172" s="476">
        <f t="shared" si="844"/>
        <v>62.023000000000017</v>
      </c>
      <c r="DL172" s="476">
        <f t="shared" si="845"/>
        <v>0</v>
      </c>
      <c r="DM172" s="476">
        <f t="shared" si="846"/>
        <v>0</v>
      </c>
      <c r="DN172" s="476">
        <f t="shared" si="847"/>
        <v>0</v>
      </c>
      <c r="DO172" s="476">
        <f t="shared" si="848"/>
        <v>0</v>
      </c>
      <c r="DP172" s="476">
        <f t="shared" si="849"/>
        <v>0</v>
      </c>
      <c r="DQ172" s="464"/>
      <c r="DR172" s="479">
        <f t="shared" si="853"/>
        <v>1.71</v>
      </c>
    </row>
    <row r="173" spans="1:122" s="86" customFormat="1" x14ac:dyDescent="0.25">
      <c r="A173" s="86" t="s">
        <v>2089</v>
      </c>
      <c r="B173" s="101"/>
      <c r="C173" s="101" t="str">
        <f>'Planilha Hidráulica'!B180</f>
        <v>PV5.3-&gt;PV6.3</v>
      </c>
      <c r="D173" s="258">
        <f>'Planilha Hidráulica'!R180</f>
        <v>2.17</v>
      </c>
      <c r="E173" s="258">
        <f>'Planilha Hidráulica'!S180</f>
        <v>2.2000000000000002</v>
      </c>
      <c r="F173" s="258">
        <f>'Planilha Hidráulica'!K180</f>
        <v>31.57</v>
      </c>
      <c r="G173" s="101">
        <f>'Planilha Hidráulica'!M180</f>
        <v>1000</v>
      </c>
      <c r="H173" s="449">
        <f t="shared" si="752"/>
        <v>2.5350000000000001</v>
      </c>
      <c r="I173" s="102">
        <f t="shared" si="753"/>
        <v>4.0014975000000002</v>
      </c>
      <c r="J173" s="467">
        <v>0</v>
      </c>
      <c r="K173" s="449">
        <f t="shared" si="754"/>
        <v>2</v>
      </c>
      <c r="L173" s="449">
        <f t="shared" si="755"/>
        <v>2</v>
      </c>
      <c r="M173" s="449">
        <f>'Planilha Hidráulica'!X180</f>
        <v>600</v>
      </c>
      <c r="N173" s="449">
        <f t="shared" si="756"/>
        <v>63.14</v>
      </c>
      <c r="O173" s="468" t="str">
        <f>'Planilha Hidráulica'!W180</f>
        <v>ASFALTO</v>
      </c>
      <c r="P173" s="468" t="s">
        <v>2092</v>
      </c>
      <c r="Q173" s="105">
        <v>1</v>
      </c>
      <c r="R173" s="468">
        <v>24.9</v>
      </c>
      <c r="S173" s="468">
        <v>5</v>
      </c>
      <c r="T173" s="449">
        <f t="shared" si="757"/>
        <v>0.15</v>
      </c>
      <c r="U173" s="453">
        <f t="shared" si="758"/>
        <v>8.9262072066446798</v>
      </c>
      <c r="V173" s="106">
        <f t="shared" si="759"/>
        <v>176.38969279335532</v>
      </c>
      <c r="W173" s="107">
        <f t="shared" si="760"/>
        <v>0</v>
      </c>
      <c r="X173" s="107">
        <f t="shared" si="761"/>
        <v>0.4</v>
      </c>
      <c r="Y173" s="453">
        <f t="shared" si="762"/>
        <v>2.5350000000000001</v>
      </c>
      <c r="Z173" s="453">
        <f t="shared" si="763"/>
        <v>0</v>
      </c>
      <c r="AA173" s="456">
        <f t="shared" si="764"/>
        <v>63.14</v>
      </c>
      <c r="AB173" s="469">
        <f t="shared" si="765"/>
        <v>0</v>
      </c>
      <c r="AC173" s="109">
        <f t="shared" si="766"/>
        <v>0</v>
      </c>
      <c r="AD173" s="109">
        <f t="shared" si="767"/>
        <v>0</v>
      </c>
      <c r="AE173" s="109">
        <f t="shared" si="768"/>
        <v>0</v>
      </c>
      <c r="AF173" s="109">
        <f t="shared" si="769"/>
        <v>0</v>
      </c>
      <c r="AG173" s="109">
        <f t="shared" si="770"/>
        <v>25.256</v>
      </c>
      <c r="AH173" s="109">
        <f t="shared" si="771"/>
        <v>0</v>
      </c>
      <c r="AI173" s="109">
        <f t="shared" si="772"/>
        <v>0</v>
      </c>
      <c r="AJ173" s="456">
        <f t="shared" si="773"/>
        <v>0</v>
      </c>
      <c r="AK173" s="456">
        <f t="shared" si="774"/>
        <v>0</v>
      </c>
      <c r="AL173" s="456">
        <f t="shared" si="775"/>
        <v>94.710000000000008</v>
      </c>
      <c r="AM173" s="456">
        <f t="shared" si="776"/>
        <v>56.423692793355329</v>
      </c>
      <c r="AN173" s="456">
        <f t="shared" si="851"/>
        <v>0</v>
      </c>
      <c r="AO173" s="456">
        <f t="shared" si="777"/>
        <v>0</v>
      </c>
      <c r="AP173" s="456">
        <f t="shared" si="778"/>
        <v>0</v>
      </c>
      <c r="AQ173" s="456">
        <f t="shared" si="779"/>
        <v>0</v>
      </c>
      <c r="AR173" s="104">
        <f t="shared" si="780"/>
        <v>0</v>
      </c>
      <c r="AS173" s="449">
        <f t="shared" si="781"/>
        <v>0</v>
      </c>
      <c r="AT173" s="104">
        <f t="shared" si="782"/>
        <v>160.52087998154255</v>
      </c>
      <c r="AU173" s="102">
        <f t="shared" si="783"/>
        <v>0</v>
      </c>
      <c r="AV173" s="106">
        <f t="shared" si="784"/>
        <v>9.4710000000000001</v>
      </c>
      <c r="AW173" s="104">
        <f t="shared" si="785"/>
        <v>25.256</v>
      </c>
      <c r="AX173" s="104">
        <f t="shared" si="786"/>
        <v>0</v>
      </c>
      <c r="AY173" s="104">
        <f t="shared" si="787"/>
        <v>1.2</v>
      </c>
      <c r="AZ173" s="104">
        <f t="shared" si="788"/>
        <v>50.972979981542558</v>
      </c>
      <c r="BA173" s="104">
        <f t="shared" si="789"/>
        <v>50.972979981542558</v>
      </c>
      <c r="BB173" s="104">
        <f t="shared" si="790"/>
        <v>9.4710000000000001</v>
      </c>
      <c r="BC173" s="104">
        <f t="shared" si="791"/>
        <v>9.4710000000000001</v>
      </c>
      <c r="BD173" s="104">
        <f t="shared" si="792"/>
        <v>1.8941999999999999</v>
      </c>
      <c r="BE173" s="104">
        <f t="shared" si="793"/>
        <v>55.87889999999998</v>
      </c>
      <c r="BF173" s="104">
        <f t="shared" si="794"/>
        <v>65.433712811812796</v>
      </c>
      <c r="BG173" s="104">
        <f t="shared" si="795"/>
        <v>55.87889999999998</v>
      </c>
      <c r="BH173" s="104">
        <f t="shared" si="796"/>
        <v>9.5548128118128162</v>
      </c>
      <c r="BI173" s="104">
        <f t="shared" si="797"/>
        <v>0</v>
      </c>
      <c r="BJ173" s="102">
        <f t="shared" si="850"/>
        <v>0</v>
      </c>
      <c r="BK173" s="104">
        <f t="shared" si="798"/>
        <v>0</v>
      </c>
      <c r="BL173" s="104"/>
      <c r="BM173" s="104">
        <f t="shared" si="799"/>
        <v>1.3890800000000001</v>
      </c>
      <c r="BN173" s="456">
        <f t="shared" si="800"/>
        <v>0</v>
      </c>
      <c r="BO173" s="471">
        <f t="shared" si="801"/>
        <v>0</v>
      </c>
      <c r="BP173" s="471">
        <f t="shared" si="802"/>
        <v>0</v>
      </c>
      <c r="BQ173" s="471">
        <f t="shared" si="803"/>
        <v>0</v>
      </c>
      <c r="BR173" s="449">
        <f t="shared" si="804"/>
        <v>0</v>
      </c>
      <c r="BS173" s="449">
        <f t="shared" si="805"/>
        <v>0</v>
      </c>
      <c r="BT173" s="449">
        <f t="shared" si="806"/>
        <v>0</v>
      </c>
      <c r="BU173" s="449">
        <f t="shared" si="807"/>
        <v>0</v>
      </c>
      <c r="BV173" s="449">
        <f t="shared" si="808"/>
        <v>0</v>
      </c>
      <c r="BW173" s="449">
        <f t="shared" si="809"/>
        <v>0</v>
      </c>
      <c r="BX173" s="449">
        <f t="shared" si="810"/>
        <v>0</v>
      </c>
      <c r="BY173" s="449">
        <f t="shared" si="811"/>
        <v>0</v>
      </c>
      <c r="BZ173" s="449">
        <f t="shared" si="812"/>
        <v>0</v>
      </c>
      <c r="CA173" s="449">
        <f t="shared" si="813"/>
        <v>0</v>
      </c>
      <c r="CB173" s="449">
        <f t="shared" si="814"/>
        <v>2.5350000000000001</v>
      </c>
      <c r="CC173" s="449">
        <f t="shared" si="815"/>
        <v>31.57</v>
      </c>
      <c r="CD173" s="449">
        <f t="shared" si="816"/>
        <v>0</v>
      </c>
      <c r="CE173" s="449">
        <f t="shared" si="817"/>
        <v>0</v>
      </c>
      <c r="CF173" s="449">
        <f t="shared" si="818"/>
        <v>0</v>
      </c>
      <c r="CG173" s="449">
        <f t="shared" si="819"/>
        <v>0</v>
      </c>
      <c r="CH173" s="449">
        <f t="shared" si="820"/>
        <v>0</v>
      </c>
      <c r="CI173" s="449">
        <f t="shared" si="821"/>
        <v>0</v>
      </c>
      <c r="CJ173" s="472">
        <f t="shared" si="822"/>
        <v>0</v>
      </c>
      <c r="CK173" s="449">
        <f t="shared" si="823"/>
        <v>0</v>
      </c>
      <c r="CL173" s="449">
        <f t="shared" si="824"/>
        <v>0</v>
      </c>
      <c r="CM173" s="449">
        <f t="shared" si="825"/>
        <v>0</v>
      </c>
      <c r="CN173" s="453">
        <f t="shared" si="826"/>
        <v>0</v>
      </c>
      <c r="CO173" s="453">
        <f t="shared" si="827"/>
        <v>0</v>
      </c>
      <c r="CP173" s="453">
        <f t="shared" si="828"/>
        <v>0</v>
      </c>
      <c r="CQ173" s="453">
        <f t="shared" si="829"/>
        <v>0</v>
      </c>
      <c r="CR173" s="453">
        <f t="shared" si="830"/>
        <v>0</v>
      </c>
      <c r="CS173" s="453">
        <f t="shared" si="831"/>
        <v>0</v>
      </c>
      <c r="CT173" s="473">
        <f t="shared" si="832"/>
        <v>0</v>
      </c>
      <c r="CU173" s="470">
        <f t="shared" si="833"/>
        <v>1</v>
      </c>
      <c r="CV173" s="470">
        <f t="shared" si="834"/>
        <v>0</v>
      </c>
      <c r="CW173" s="470">
        <f t="shared" si="835"/>
        <v>0</v>
      </c>
      <c r="CX173" s="470">
        <f t="shared" si="836"/>
        <v>1</v>
      </c>
      <c r="CY173" s="470">
        <f t="shared" si="837"/>
        <v>0</v>
      </c>
      <c r="CZ173" s="470">
        <f t="shared" si="838"/>
        <v>0</v>
      </c>
      <c r="DA173" s="478">
        <f t="shared" si="839"/>
        <v>0.16999999999999993</v>
      </c>
      <c r="DB173" s="469">
        <v>1.3</v>
      </c>
      <c r="DC173" s="469">
        <v>1.4</v>
      </c>
      <c r="DD173" s="469">
        <v>2</v>
      </c>
      <c r="DE173" s="469">
        <v>2</v>
      </c>
      <c r="DF173" s="476">
        <v>2</v>
      </c>
      <c r="DG173" s="456">
        <f t="shared" si="840"/>
        <v>0</v>
      </c>
      <c r="DH173" s="476">
        <f t="shared" si="841"/>
        <v>0</v>
      </c>
      <c r="DI173" s="476">
        <f t="shared" si="842"/>
        <v>0</v>
      </c>
      <c r="DJ173" s="476">
        <f t="shared" si="843"/>
        <v>94.710000000000008</v>
      </c>
      <c r="DK173" s="476">
        <f t="shared" si="844"/>
        <v>65.349900000000005</v>
      </c>
      <c r="DL173" s="476">
        <f t="shared" si="845"/>
        <v>0</v>
      </c>
      <c r="DM173" s="476">
        <f t="shared" si="846"/>
        <v>0</v>
      </c>
      <c r="DN173" s="476">
        <f t="shared" si="847"/>
        <v>0</v>
      </c>
      <c r="DO173" s="476">
        <f t="shared" si="848"/>
        <v>0</v>
      </c>
      <c r="DP173" s="476">
        <f t="shared" si="849"/>
        <v>0</v>
      </c>
      <c r="DQ173" s="464"/>
      <c r="DR173" s="479"/>
    </row>
    <row r="174" spans="1:122" s="86" customFormat="1" x14ac:dyDescent="0.25">
      <c r="A174" s="86" t="s">
        <v>2089</v>
      </c>
      <c r="B174" s="101"/>
      <c r="C174" s="101" t="str">
        <f>'Planilha Hidráulica'!B181</f>
        <v>PV6.3-&gt;PV7.3</v>
      </c>
      <c r="D174" s="258">
        <f>'Planilha Hidráulica'!R181</f>
        <v>2.2000000000000002</v>
      </c>
      <c r="E174" s="258">
        <f>'Planilha Hidráulica'!S181</f>
        <v>2.13</v>
      </c>
      <c r="F174" s="258">
        <f>'Planilha Hidráulica'!K181</f>
        <v>31.57</v>
      </c>
      <c r="G174" s="101">
        <f>'Planilha Hidráulica'!M181</f>
        <v>1000</v>
      </c>
      <c r="H174" s="449">
        <f t="shared" si="752"/>
        <v>2.5150000000000001</v>
      </c>
      <c r="I174" s="102">
        <f t="shared" si="753"/>
        <v>3.9699274999999998</v>
      </c>
      <c r="J174" s="467">
        <v>0</v>
      </c>
      <c r="K174" s="449">
        <f t="shared" si="754"/>
        <v>2</v>
      </c>
      <c r="L174" s="449">
        <f t="shared" si="755"/>
        <v>2</v>
      </c>
      <c r="M174" s="449">
        <f>'Planilha Hidráulica'!X181</f>
        <v>600</v>
      </c>
      <c r="N174" s="449">
        <f t="shared" si="756"/>
        <v>63.14</v>
      </c>
      <c r="O174" s="468" t="str">
        <f>'Planilha Hidráulica'!W181</f>
        <v>ASFALTO</v>
      </c>
      <c r="P174" s="468" t="s">
        <v>2092</v>
      </c>
      <c r="Q174" s="105">
        <v>1</v>
      </c>
      <c r="R174" s="468">
        <v>24.9</v>
      </c>
      <c r="S174" s="468">
        <v>5</v>
      </c>
      <c r="T174" s="449">
        <f t="shared" si="757"/>
        <v>0.15</v>
      </c>
      <c r="U174" s="453">
        <f t="shared" si="758"/>
        <v>8.9262072066446798</v>
      </c>
      <c r="V174" s="106">
        <f t="shared" si="759"/>
        <v>175.12689279335532</v>
      </c>
      <c r="W174" s="107">
        <f t="shared" si="760"/>
        <v>0</v>
      </c>
      <c r="X174" s="107">
        <f t="shared" si="761"/>
        <v>0.4</v>
      </c>
      <c r="Y174" s="453">
        <f t="shared" si="762"/>
        <v>2.5150000000000001</v>
      </c>
      <c r="Z174" s="453">
        <f t="shared" si="763"/>
        <v>0</v>
      </c>
      <c r="AA174" s="456">
        <f t="shared" si="764"/>
        <v>63.14</v>
      </c>
      <c r="AB174" s="469">
        <f t="shared" si="765"/>
        <v>0</v>
      </c>
      <c r="AC174" s="109">
        <f t="shared" si="766"/>
        <v>0</v>
      </c>
      <c r="AD174" s="109">
        <f t="shared" si="767"/>
        <v>0</v>
      </c>
      <c r="AE174" s="109">
        <f t="shared" si="768"/>
        <v>0</v>
      </c>
      <c r="AF174" s="109">
        <f t="shared" si="769"/>
        <v>0</v>
      </c>
      <c r="AG174" s="109">
        <f t="shared" si="770"/>
        <v>25.256</v>
      </c>
      <c r="AH174" s="109">
        <f t="shared" si="771"/>
        <v>0</v>
      </c>
      <c r="AI174" s="109">
        <f t="shared" si="772"/>
        <v>0</v>
      </c>
      <c r="AJ174" s="456">
        <f t="shared" si="773"/>
        <v>0</v>
      </c>
      <c r="AK174" s="456">
        <f t="shared" si="774"/>
        <v>0</v>
      </c>
      <c r="AL174" s="456">
        <f t="shared" si="775"/>
        <v>94.710000000000008</v>
      </c>
      <c r="AM174" s="456">
        <f t="shared" si="776"/>
        <v>55.16089279335533</v>
      </c>
      <c r="AN174" s="456">
        <f t="shared" si="851"/>
        <v>0</v>
      </c>
      <c r="AO174" s="456">
        <f t="shared" si="777"/>
        <v>0</v>
      </c>
      <c r="AP174" s="456">
        <f t="shared" si="778"/>
        <v>0</v>
      </c>
      <c r="AQ174" s="456">
        <f t="shared" si="779"/>
        <v>0</v>
      </c>
      <c r="AR174" s="104">
        <f t="shared" si="780"/>
        <v>0</v>
      </c>
      <c r="AS174" s="449">
        <f t="shared" si="781"/>
        <v>0</v>
      </c>
      <c r="AT174" s="104">
        <f t="shared" si="782"/>
        <v>159.25807998154255</v>
      </c>
      <c r="AU174" s="102">
        <f t="shared" si="783"/>
        <v>0</v>
      </c>
      <c r="AV174" s="106">
        <f t="shared" si="784"/>
        <v>9.4710000000000001</v>
      </c>
      <c r="AW174" s="104">
        <f t="shared" si="785"/>
        <v>25.256</v>
      </c>
      <c r="AX174" s="104">
        <f t="shared" si="786"/>
        <v>0</v>
      </c>
      <c r="AY174" s="104">
        <f t="shared" si="787"/>
        <v>1.2</v>
      </c>
      <c r="AZ174" s="104">
        <f t="shared" si="788"/>
        <v>50.972979981542558</v>
      </c>
      <c r="BA174" s="104">
        <f t="shared" si="789"/>
        <v>50.972979981542558</v>
      </c>
      <c r="BB174" s="104">
        <f t="shared" si="790"/>
        <v>9.4710000000000001</v>
      </c>
      <c r="BC174" s="104">
        <f t="shared" si="791"/>
        <v>9.4710000000000001</v>
      </c>
      <c r="BD174" s="104">
        <f t="shared" si="792"/>
        <v>1.8941999999999999</v>
      </c>
      <c r="BE174" s="104">
        <f t="shared" si="793"/>
        <v>54.616099999999982</v>
      </c>
      <c r="BF174" s="104">
        <f t="shared" si="794"/>
        <v>64.170912811812769</v>
      </c>
      <c r="BG174" s="104">
        <f t="shared" si="795"/>
        <v>54.616099999999982</v>
      </c>
      <c r="BH174" s="104">
        <f t="shared" si="796"/>
        <v>9.5548128118127877</v>
      </c>
      <c r="BI174" s="104">
        <f t="shared" si="797"/>
        <v>0</v>
      </c>
      <c r="BJ174" s="102">
        <f t="shared" si="850"/>
        <v>0</v>
      </c>
      <c r="BK174" s="104">
        <f t="shared" si="798"/>
        <v>0</v>
      </c>
      <c r="BL174" s="104"/>
      <c r="BM174" s="104">
        <f t="shared" si="799"/>
        <v>1.3890800000000001</v>
      </c>
      <c r="BN174" s="456">
        <f t="shared" si="800"/>
        <v>0</v>
      </c>
      <c r="BO174" s="471">
        <f t="shared" si="801"/>
        <v>0</v>
      </c>
      <c r="BP174" s="471">
        <f t="shared" si="802"/>
        <v>0</v>
      </c>
      <c r="BQ174" s="471">
        <f t="shared" si="803"/>
        <v>0</v>
      </c>
      <c r="BR174" s="449">
        <f t="shared" si="804"/>
        <v>0</v>
      </c>
      <c r="BS174" s="449">
        <f t="shared" si="805"/>
        <v>0</v>
      </c>
      <c r="BT174" s="449">
        <f t="shared" si="806"/>
        <v>0</v>
      </c>
      <c r="BU174" s="449">
        <f t="shared" si="807"/>
        <v>0</v>
      </c>
      <c r="BV174" s="449">
        <f t="shared" si="808"/>
        <v>0</v>
      </c>
      <c r="BW174" s="449">
        <f t="shared" si="809"/>
        <v>0</v>
      </c>
      <c r="BX174" s="449">
        <f t="shared" si="810"/>
        <v>0</v>
      </c>
      <c r="BY174" s="449">
        <f t="shared" si="811"/>
        <v>0</v>
      </c>
      <c r="BZ174" s="449">
        <f t="shared" si="812"/>
        <v>0</v>
      </c>
      <c r="CA174" s="449">
        <f t="shared" si="813"/>
        <v>0</v>
      </c>
      <c r="CB174" s="449">
        <f t="shared" si="814"/>
        <v>2.5150000000000001</v>
      </c>
      <c r="CC174" s="449">
        <f t="shared" si="815"/>
        <v>31.57</v>
      </c>
      <c r="CD174" s="449">
        <f t="shared" si="816"/>
        <v>0</v>
      </c>
      <c r="CE174" s="449">
        <f t="shared" si="817"/>
        <v>0</v>
      </c>
      <c r="CF174" s="449">
        <f t="shared" si="818"/>
        <v>0</v>
      </c>
      <c r="CG174" s="449">
        <f t="shared" si="819"/>
        <v>0</v>
      </c>
      <c r="CH174" s="449">
        <f t="shared" si="820"/>
        <v>0</v>
      </c>
      <c r="CI174" s="449">
        <f t="shared" si="821"/>
        <v>0</v>
      </c>
      <c r="CJ174" s="472">
        <f t="shared" si="822"/>
        <v>0</v>
      </c>
      <c r="CK174" s="449">
        <f t="shared" si="823"/>
        <v>0</v>
      </c>
      <c r="CL174" s="449">
        <f t="shared" si="824"/>
        <v>0</v>
      </c>
      <c r="CM174" s="449">
        <f t="shared" si="825"/>
        <v>0</v>
      </c>
      <c r="CN174" s="453">
        <f t="shared" si="826"/>
        <v>0</v>
      </c>
      <c r="CO174" s="453">
        <f t="shared" si="827"/>
        <v>0</v>
      </c>
      <c r="CP174" s="453">
        <f t="shared" si="828"/>
        <v>0</v>
      </c>
      <c r="CQ174" s="453">
        <f t="shared" si="829"/>
        <v>0</v>
      </c>
      <c r="CR174" s="453">
        <f t="shared" si="830"/>
        <v>0</v>
      </c>
      <c r="CS174" s="453">
        <f t="shared" si="831"/>
        <v>0</v>
      </c>
      <c r="CT174" s="473">
        <f t="shared" si="832"/>
        <v>0</v>
      </c>
      <c r="CU174" s="470">
        <f t="shared" si="833"/>
        <v>1</v>
      </c>
      <c r="CV174" s="470">
        <f t="shared" si="834"/>
        <v>0</v>
      </c>
      <c r="CW174" s="470">
        <f t="shared" si="835"/>
        <v>0</v>
      </c>
      <c r="CX174" s="470">
        <f t="shared" si="836"/>
        <v>1</v>
      </c>
      <c r="CY174" s="470">
        <f t="shared" si="837"/>
        <v>0</v>
      </c>
      <c r="CZ174" s="470">
        <f t="shared" si="838"/>
        <v>0</v>
      </c>
      <c r="DA174" s="478">
        <f t="shared" si="839"/>
        <v>0.20000000000000018</v>
      </c>
      <c r="DB174" s="469">
        <v>1.3</v>
      </c>
      <c r="DC174" s="469">
        <v>1.4</v>
      </c>
      <c r="DD174" s="469">
        <v>2</v>
      </c>
      <c r="DE174" s="469">
        <v>2</v>
      </c>
      <c r="DF174" s="476">
        <v>2</v>
      </c>
      <c r="DG174" s="456">
        <f t="shared" si="840"/>
        <v>0</v>
      </c>
      <c r="DH174" s="476">
        <f t="shared" si="841"/>
        <v>0</v>
      </c>
      <c r="DI174" s="476">
        <f t="shared" si="842"/>
        <v>0</v>
      </c>
      <c r="DJ174" s="476">
        <f t="shared" si="843"/>
        <v>94.710000000000008</v>
      </c>
      <c r="DK174" s="476">
        <f t="shared" si="844"/>
        <v>64.087100000000007</v>
      </c>
      <c r="DL174" s="476">
        <f t="shared" si="845"/>
        <v>0</v>
      </c>
      <c r="DM174" s="476">
        <f t="shared" si="846"/>
        <v>0</v>
      </c>
      <c r="DN174" s="476">
        <f t="shared" si="847"/>
        <v>0</v>
      </c>
      <c r="DO174" s="476">
        <f t="shared" si="848"/>
        <v>0</v>
      </c>
      <c r="DP174" s="476">
        <f t="shared" si="849"/>
        <v>0</v>
      </c>
      <c r="DQ174" s="464"/>
      <c r="DR174" s="479"/>
    </row>
    <row r="175" spans="1:122" s="86" customFormat="1" x14ac:dyDescent="0.25">
      <c r="A175" s="86" t="s">
        <v>2089</v>
      </c>
      <c r="B175" s="101"/>
      <c r="C175" s="101" t="str">
        <f>'Planilha Hidráulica'!B182</f>
        <v>PV7.3-&gt;PV8.3</v>
      </c>
      <c r="D175" s="258">
        <f>'Planilha Hidráulica'!R182</f>
        <v>2.13</v>
      </c>
      <c r="E175" s="258">
        <f>'Planilha Hidráulica'!S182</f>
        <v>2.2599999999999998</v>
      </c>
      <c r="F175" s="258">
        <f>'Planilha Hidráulica'!K182</f>
        <v>49.62</v>
      </c>
      <c r="G175" s="101">
        <f>'Planilha Hidráulica'!M182</f>
        <v>1000</v>
      </c>
      <c r="H175" s="449">
        <f t="shared" si="752"/>
        <v>2.5449999999999999</v>
      </c>
      <c r="I175" s="102">
        <f t="shared" si="753"/>
        <v>6.314144999999999</v>
      </c>
      <c r="J175" s="467">
        <v>0</v>
      </c>
      <c r="K175" s="449">
        <f t="shared" si="754"/>
        <v>2</v>
      </c>
      <c r="L175" s="449">
        <f t="shared" si="755"/>
        <v>2</v>
      </c>
      <c r="M175" s="449">
        <f>'Planilha Hidráulica'!X182</f>
        <v>600</v>
      </c>
      <c r="N175" s="449">
        <f t="shared" si="756"/>
        <v>99.24</v>
      </c>
      <c r="O175" s="468" t="str">
        <f>'Planilha Hidráulica'!W182</f>
        <v>ASFALTO</v>
      </c>
      <c r="P175" s="468" t="s">
        <v>2093</v>
      </c>
      <c r="Q175" s="105">
        <v>1</v>
      </c>
      <c r="R175" s="468">
        <v>5</v>
      </c>
      <c r="S175" s="468">
        <v>5</v>
      </c>
      <c r="T175" s="449">
        <f t="shared" si="757"/>
        <v>0.15</v>
      </c>
      <c r="U175" s="453">
        <f t="shared" si="758"/>
        <v>14.029724472401298</v>
      </c>
      <c r="V175" s="106">
        <f t="shared" si="759"/>
        <v>278.23207552759868</v>
      </c>
      <c r="W175" s="107">
        <f t="shared" si="760"/>
        <v>0</v>
      </c>
      <c r="X175" s="107">
        <f t="shared" si="761"/>
        <v>0.4</v>
      </c>
      <c r="Y175" s="453">
        <f t="shared" si="762"/>
        <v>2.5449999999999999</v>
      </c>
      <c r="Z175" s="453">
        <f t="shared" si="763"/>
        <v>0</v>
      </c>
      <c r="AA175" s="456">
        <f t="shared" si="764"/>
        <v>99.24</v>
      </c>
      <c r="AB175" s="469">
        <f t="shared" si="765"/>
        <v>0</v>
      </c>
      <c r="AC175" s="109">
        <f t="shared" si="766"/>
        <v>0</v>
      </c>
      <c r="AD175" s="109">
        <f t="shared" si="767"/>
        <v>0</v>
      </c>
      <c r="AE175" s="109">
        <f t="shared" si="768"/>
        <v>0</v>
      </c>
      <c r="AF175" s="109">
        <f t="shared" si="769"/>
        <v>0</v>
      </c>
      <c r="AG175" s="109">
        <f t="shared" si="770"/>
        <v>39.695999999999998</v>
      </c>
      <c r="AH175" s="109">
        <f t="shared" si="771"/>
        <v>0</v>
      </c>
      <c r="AI175" s="109">
        <f t="shared" si="772"/>
        <v>0</v>
      </c>
      <c r="AJ175" s="456">
        <f t="shared" si="773"/>
        <v>0</v>
      </c>
      <c r="AK175" s="456">
        <f t="shared" si="774"/>
        <v>0</v>
      </c>
      <c r="AL175" s="456">
        <f t="shared" si="775"/>
        <v>148.85999999999999</v>
      </c>
      <c r="AM175" s="456">
        <f t="shared" si="776"/>
        <v>89.676075527598684</v>
      </c>
      <c r="AN175" s="456">
        <f t="shared" si="851"/>
        <v>0</v>
      </c>
      <c r="AO175" s="456">
        <f t="shared" si="777"/>
        <v>0</v>
      </c>
      <c r="AP175" s="456">
        <f t="shared" si="778"/>
        <v>0</v>
      </c>
      <c r="AQ175" s="456">
        <f t="shared" si="779"/>
        <v>0</v>
      </c>
      <c r="AR175" s="104">
        <f t="shared" si="780"/>
        <v>0</v>
      </c>
      <c r="AS175" s="449">
        <f t="shared" si="781"/>
        <v>0</v>
      </c>
      <c r="AT175" s="104">
        <f t="shared" si="782"/>
        <v>253.29034313221857</v>
      </c>
      <c r="AU175" s="102">
        <f t="shared" si="783"/>
        <v>0</v>
      </c>
      <c r="AV175" s="106">
        <f t="shared" si="784"/>
        <v>14.885999999999999</v>
      </c>
      <c r="AW175" s="104">
        <f t="shared" si="785"/>
        <v>39.695999999999998</v>
      </c>
      <c r="AX175" s="104">
        <f t="shared" si="786"/>
        <v>0</v>
      </c>
      <c r="AY175" s="104">
        <f t="shared" si="787"/>
        <v>1.2</v>
      </c>
      <c r="AZ175" s="104">
        <f t="shared" si="788"/>
        <v>80.116543132218609</v>
      </c>
      <c r="BA175" s="104">
        <f t="shared" si="789"/>
        <v>80.116543132218609</v>
      </c>
      <c r="BB175" s="104">
        <f t="shared" si="790"/>
        <v>14.885999999999999</v>
      </c>
      <c r="BC175" s="104">
        <f t="shared" si="791"/>
        <v>14.885999999999999</v>
      </c>
      <c r="BD175" s="104">
        <f t="shared" si="792"/>
        <v>2.9771999999999998</v>
      </c>
      <c r="BE175" s="104">
        <f t="shared" si="793"/>
        <v>88.819799999999972</v>
      </c>
      <c r="BF175" s="104">
        <f t="shared" si="794"/>
        <v>103.83753239538005</v>
      </c>
      <c r="BG175" s="104">
        <f t="shared" si="795"/>
        <v>88.819799999999972</v>
      </c>
      <c r="BH175" s="104">
        <f t="shared" si="796"/>
        <v>15.017732395380079</v>
      </c>
      <c r="BI175" s="104">
        <f t="shared" si="797"/>
        <v>0</v>
      </c>
      <c r="BJ175" s="102">
        <f t="shared" si="850"/>
        <v>0</v>
      </c>
      <c r="BK175" s="104">
        <f t="shared" si="798"/>
        <v>0</v>
      </c>
      <c r="BL175" s="104"/>
      <c r="BM175" s="104">
        <f t="shared" si="799"/>
        <v>2.1832799999999999</v>
      </c>
      <c r="BN175" s="456">
        <f t="shared" si="800"/>
        <v>0</v>
      </c>
      <c r="BO175" s="471">
        <f t="shared" si="801"/>
        <v>0</v>
      </c>
      <c r="BP175" s="471">
        <f t="shared" si="802"/>
        <v>0</v>
      </c>
      <c r="BQ175" s="471">
        <f t="shared" si="803"/>
        <v>0</v>
      </c>
      <c r="BR175" s="449">
        <f t="shared" si="804"/>
        <v>0</v>
      </c>
      <c r="BS175" s="449">
        <f t="shared" si="805"/>
        <v>0</v>
      </c>
      <c r="BT175" s="449">
        <f t="shared" si="806"/>
        <v>0</v>
      </c>
      <c r="BU175" s="449">
        <f t="shared" si="807"/>
        <v>0</v>
      </c>
      <c r="BV175" s="449">
        <f t="shared" si="808"/>
        <v>0</v>
      </c>
      <c r="BW175" s="449">
        <f t="shared" si="809"/>
        <v>0</v>
      </c>
      <c r="BX175" s="449">
        <f t="shared" si="810"/>
        <v>0</v>
      </c>
      <c r="BY175" s="449">
        <f t="shared" si="811"/>
        <v>0</v>
      </c>
      <c r="BZ175" s="449">
        <f t="shared" si="812"/>
        <v>0</v>
      </c>
      <c r="CA175" s="449">
        <f t="shared" si="813"/>
        <v>0</v>
      </c>
      <c r="CB175" s="449">
        <f t="shared" si="814"/>
        <v>2.5449999999999999</v>
      </c>
      <c r="CC175" s="449">
        <f t="shared" si="815"/>
        <v>49.62</v>
      </c>
      <c r="CD175" s="449">
        <f t="shared" si="816"/>
        <v>0</v>
      </c>
      <c r="CE175" s="449">
        <f t="shared" si="817"/>
        <v>0</v>
      </c>
      <c r="CF175" s="449">
        <f t="shared" si="818"/>
        <v>0</v>
      </c>
      <c r="CG175" s="449">
        <f t="shared" si="819"/>
        <v>0</v>
      </c>
      <c r="CH175" s="449">
        <f t="shared" si="820"/>
        <v>0</v>
      </c>
      <c r="CI175" s="449">
        <f t="shared" si="821"/>
        <v>0</v>
      </c>
      <c r="CJ175" s="472">
        <f t="shared" si="822"/>
        <v>0</v>
      </c>
      <c r="CK175" s="449">
        <f t="shared" si="823"/>
        <v>0</v>
      </c>
      <c r="CL175" s="449">
        <f t="shared" si="824"/>
        <v>0</v>
      </c>
      <c r="CM175" s="449">
        <f t="shared" si="825"/>
        <v>0</v>
      </c>
      <c r="CN175" s="453">
        <f t="shared" si="826"/>
        <v>0</v>
      </c>
      <c r="CO175" s="453">
        <f t="shared" si="827"/>
        <v>0</v>
      </c>
      <c r="CP175" s="453">
        <f t="shared" si="828"/>
        <v>0</v>
      </c>
      <c r="CQ175" s="453">
        <f t="shared" si="829"/>
        <v>0</v>
      </c>
      <c r="CR175" s="453">
        <f t="shared" si="830"/>
        <v>0</v>
      </c>
      <c r="CS175" s="453">
        <f t="shared" si="831"/>
        <v>0</v>
      </c>
      <c r="CT175" s="473">
        <f t="shared" si="832"/>
        <v>0</v>
      </c>
      <c r="CU175" s="470">
        <f t="shared" si="833"/>
        <v>1</v>
      </c>
      <c r="CV175" s="470">
        <f t="shared" si="834"/>
        <v>0</v>
      </c>
      <c r="CW175" s="470">
        <f t="shared" si="835"/>
        <v>0</v>
      </c>
      <c r="CX175" s="470">
        <f t="shared" si="836"/>
        <v>1</v>
      </c>
      <c r="CY175" s="470">
        <f t="shared" si="837"/>
        <v>0</v>
      </c>
      <c r="CZ175" s="470">
        <f t="shared" si="838"/>
        <v>0</v>
      </c>
      <c r="DA175" s="478">
        <f t="shared" si="839"/>
        <v>0.12999999999999989</v>
      </c>
      <c r="DB175" s="469">
        <v>1.3</v>
      </c>
      <c r="DC175" s="469">
        <v>1.4</v>
      </c>
      <c r="DD175" s="469">
        <v>2</v>
      </c>
      <c r="DE175" s="469">
        <v>2</v>
      </c>
      <c r="DF175" s="476">
        <v>2</v>
      </c>
      <c r="DG175" s="456">
        <f t="shared" si="840"/>
        <v>0</v>
      </c>
      <c r="DH175" s="476">
        <f t="shared" si="841"/>
        <v>0</v>
      </c>
      <c r="DI175" s="476">
        <f t="shared" si="842"/>
        <v>0</v>
      </c>
      <c r="DJ175" s="476">
        <f t="shared" si="843"/>
        <v>148.85999999999999</v>
      </c>
      <c r="DK175" s="476">
        <f t="shared" si="844"/>
        <v>103.70579999999998</v>
      </c>
      <c r="DL175" s="476">
        <f t="shared" si="845"/>
        <v>0</v>
      </c>
      <c r="DM175" s="476">
        <f t="shared" si="846"/>
        <v>0</v>
      </c>
      <c r="DN175" s="476">
        <f t="shared" si="847"/>
        <v>0</v>
      </c>
      <c r="DO175" s="476">
        <f t="shared" si="848"/>
        <v>0</v>
      </c>
      <c r="DP175" s="476">
        <f t="shared" si="849"/>
        <v>0</v>
      </c>
      <c r="DQ175" s="464"/>
      <c r="DR175" s="479"/>
    </row>
    <row r="176" spans="1:122" s="86" customFormat="1" x14ac:dyDescent="0.25">
      <c r="A176" s="86" t="s">
        <v>2089</v>
      </c>
      <c r="B176" s="101"/>
      <c r="C176" s="101" t="str">
        <f>'Planilha Hidráulica'!B183</f>
        <v>PV8.3-&gt;PV9.3</v>
      </c>
      <c r="D176" s="258">
        <f>'Planilha Hidráulica'!R183</f>
        <v>2.2599999999999998</v>
      </c>
      <c r="E176" s="258">
        <f>'Planilha Hidráulica'!S183</f>
        <v>2.1800000000000002</v>
      </c>
      <c r="F176" s="258">
        <f>'Planilha Hidráulica'!K183</f>
        <v>47.4</v>
      </c>
      <c r="G176" s="101">
        <f>'Planilha Hidráulica'!M183</f>
        <v>1000</v>
      </c>
      <c r="H176" s="449">
        <f t="shared" si="752"/>
        <v>2.57</v>
      </c>
      <c r="I176" s="102">
        <f t="shared" si="753"/>
        <v>6.0908999999999995</v>
      </c>
      <c r="J176" s="467">
        <v>0</v>
      </c>
      <c r="K176" s="449">
        <f t="shared" si="754"/>
        <v>2</v>
      </c>
      <c r="L176" s="449">
        <f t="shared" si="755"/>
        <v>2</v>
      </c>
      <c r="M176" s="449">
        <f>'Planilha Hidráulica'!X183</f>
        <v>800</v>
      </c>
      <c r="N176" s="449">
        <f t="shared" si="756"/>
        <v>94.8</v>
      </c>
      <c r="O176" s="468" t="str">
        <f>'Planilha Hidráulica'!W183</f>
        <v>ASFALTO</v>
      </c>
      <c r="P176" s="468" t="s">
        <v>2093</v>
      </c>
      <c r="Q176" s="468"/>
      <c r="R176" s="468">
        <v>5</v>
      </c>
      <c r="S176" s="468">
        <v>5</v>
      </c>
      <c r="T176" s="449">
        <f t="shared" si="757"/>
        <v>0.15</v>
      </c>
      <c r="U176" s="453">
        <f t="shared" si="758"/>
        <v>23.825838684824994</v>
      </c>
      <c r="V176" s="106">
        <f t="shared" si="759"/>
        <v>219.81016131517498</v>
      </c>
      <c r="W176" s="107">
        <f t="shared" si="760"/>
        <v>0</v>
      </c>
      <c r="X176" s="107">
        <f t="shared" si="761"/>
        <v>0</v>
      </c>
      <c r="Y176" s="453">
        <f t="shared" si="762"/>
        <v>2.57</v>
      </c>
      <c r="Z176" s="453">
        <f t="shared" si="763"/>
        <v>0</v>
      </c>
      <c r="AA176" s="456">
        <f t="shared" si="764"/>
        <v>94.8</v>
      </c>
      <c r="AB176" s="469">
        <f t="shared" si="765"/>
        <v>0</v>
      </c>
      <c r="AC176" s="109">
        <f t="shared" si="766"/>
        <v>0</v>
      </c>
      <c r="AD176" s="109">
        <f t="shared" si="767"/>
        <v>0</v>
      </c>
      <c r="AE176" s="109">
        <f t="shared" si="768"/>
        <v>0</v>
      </c>
      <c r="AF176" s="109">
        <f t="shared" si="769"/>
        <v>0</v>
      </c>
      <c r="AG176" s="109">
        <f t="shared" si="770"/>
        <v>0</v>
      </c>
      <c r="AH176" s="109">
        <f t="shared" si="771"/>
        <v>0</v>
      </c>
      <c r="AI176" s="109">
        <f t="shared" si="772"/>
        <v>0</v>
      </c>
      <c r="AJ176" s="456">
        <f t="shared" si="773"/>
        <v>0</v>
      </c>
      <c r="AK176" s="456">
        <f t="shared" si="774"/>
        <v>0</v>
      </c>
      <c r="AL176" s="456">
        <f t="shared" si="775"/>
        <v>142.19999999999999</v>
      </c>
      <c r="AM176" s="456">
        <f t="shared" si="776"/>
        <v>77.610161315174992</v>
      </c>
      <c r="AN176" s="456">
        <f t="shared" si="851"/>
        <v>0</v>
      </c>
      <c r="AO176" s="456">
        <f t="shared" si="777"/>
        <v>0</v>
      </c>
      <c r="AP176" s="456">
        <f t="shared" si="778"/>
        <v>0</v>
      </c>
      <c r="AQ176" s="456">
        <f t="shared" si="779"/>
        <v>0</v>
      </c>
      <c r="AR176" s="104">
        <f t="shared" si="780"/>
        <v>0</v>
      </c>
      <c r="AS176" s="449">
        <f t="shared" si="781"/>
        <v>0</v>
      </c>
      <c r="AT176" s="104">
        <f t="shared" si="782"/>
        <v>206.40812705496091</v>
      </c>
      <c r="AU176" s="102">
        <f t="shared" si="783"/>
        <v>0</v>
      </c>
      <c r="AV176" s="106">
        <f t="shared" si="784"/>
        <v>14.219999999999999</v>
      </c>
      <c r="AW176" s="104">
        <f t="shared" si="785"/>
        <v>0</v>
      </c>
      <c r="AX176" s="104">
        <f t="shared" si="786"/>
        <v>0</v>
      </c>
      <c r="AY176" s="104">
        <f t="shared" si="787"/>
        <v>1.2</v>
      </c>
      <c r="AZ176" s="104">
        <f t="shared" si="788"/>
        <v>76.532127054960938</v>
      </c>
      <c r="BA176" s="104">
        <f t="shared" si="789"/>
        <v>76.532127054960938</v>
      </c>
      <c r="BB176" s="104">
        <f t="shared" si="790"/>
        <v>14.219999999999999</v>
      </c>
      <c r="BC176" s="104">
        <f t="shared" si="791"/>
        <v>14.219999999999999</v>
      </c>
      <c r="BD176" s="104">
        <f t="shared" si="792"/>
        <v>2.8439999999999999</v>
      </c>
      <c r="BE176" s="104">
        <f t="shared" si="793"/>
        <v>87.21599999999998</v>
      </c>
      <c r="BF176" s="104">
        <f t="shared" si="794"/>
        <v>129.05803426021404</v>
      </c>
      <c r="BG176" s="104">
        <f t="shared" si="795"/>
        <v>87.21599999999998</v>
      </c>
      <c r="BH176" s="104">
        <f t="shared" si="796"/>
        <v>41.842034260214064</v>
      </c>
      <c r="BI176" s="104">
        <f t="shared" si="797"/>
        <v>0</v>
      </c>
      <c r="BJ176" s="102">
        <f t="shared" si="850"/>
        <v>0</v>
      </c>
      <c r="BK176" s="104">
        <f t="shared" si="798"/>
        <v>0</v>
      </c>
      <c r="BL176" s="104"/>
      <c r="BM176" s="104">
        <f t="shared" si="799"/>
        <v>0.56879999999999997</v>
      </c>
      <c r="BN176" s="456">
        <f t="shared" si="800"/>
        <v>0</v>
      </c>
      <c r="BO176" s="471">
        <f t="shared" si="801"/>
        <v>0</v>
      </c>
      <c r="BP176" s="471">
        <f t="shared" si="802"/>
        <v>0</v>
      </c>
      <c r="BQ176" s="471">
        <f t="shared" si="803"/>
        <v>0</v>
      </c>
      <c r="BR176" s="449">
        <f t="shared" si="804"/>
        <v>0</v>
      </c>
      <c r="BS176" s="449">
        <f t="shared" si="805"/>
        <v>0</v>
      </c>
      <c r="BT176" s="449">
        <f t="shared" si="806"/>
        <v>0</v>
      </c>
      <c r="BU176" s="449">
        <f t="shared" si="807"/>
        <v>0</v>
      </c>
      <c r="BV176" s="449">
        <f t="shared" si="808"/>
        <v>0</v>
      </c>
      <c r="BW176" s="449">
        <f t="shared" si="809"/>
        <v>0</v>
      </c>
      <c r="BX176" s="449">
        <f t="shared" si="810"/>
        <v>0</v>
      </c>
      <c r="BY176" s="449">
        <f t="shared" si="811"/>
        <v>0</v>
      </c>
      <c r="BZ176" s="449">
        <f t="shared" si="812"/>
        <v>0</v>
      </c>
      <c r="CA176" s="449">
        <f t="shared" si="813"/>
        <v>0</v>
      </c>
      <c r="CB176" s="449">
        <f t="shared" si="814"/>
        <v>2.57</v>
      </c>
      <c r="CC176" s="449">
        <f t="shared" si="815"/>
        <v>47.4</v>
      </c>
      <c r="CD176" s="449">
        <f t="shared" si="816"/>
        <v>0</v>
      </c>
      <c r="CE176" s="449">
        <f t="shared" si="817"/>
        <v>0</v>
      </c>
      <c r="CF176" s="449">
        <f t="shared" si="818"/>
        <v>0</v>
      </c>
      <c r="CG176" s="449">
        <f t="shared" si="819"/>
        <v>0</v>
      </c>
      <c r="CH176" s="449">
        <f t="shared" si="820"/>
        <v>0</v>
      </c>
      <c r="CI176" s="449">
        <f t="shared" si="821"/>
        <v>0</v>
      </c>
      <c r="CJ176" s="472">
        <f t="shared" si="822"/>
        <v>0</v>
      </c>
      <c r="CK176" s="449">
        <f t="shared" si="823"/>
        <v>0</v>
      </c>
      <c r="CL176" s="449">
        <f t="shared" si="824"/>
        <v>0</v>
      </c>
      <c r="CM176" s="449">
        <f t="shared" si="825"/>
        <v>0</v>
      </c>
      <c r="CN176" s="453">
        <f t="shared" si="826"/>
        <v>0</v>
      </c>
      <c r="CO176" s="453">
        <f t="shared" si="827"/>
        <v>0</v>
      </c>
      <c r="CP176" s="453">
        <f t="shared" si="828"/>
        <v>0</v>
      </c>
      <c r="CQ176" s="453">
        <f t="shared" si="829"/>
        <v>0</v>
      </c>
      <c r="CR176" s="453">
        <f t="shared" si="830"/>
        <v>0</v>
      </c>
      <c r="CS176" s="453">
        <f t="shared" si="831"/>
        <v>0</v>
      </c>
      <c r="CT176" s="473">
        <f t="shared" si="832"/>
        <v>0</v>
      </c>
      <c r="CU176" s="470">
        <f t="shared" si="833"/>
        <v>1</v>
      </c>
      <c r="CV176" s="470">
        <f t="shared" si="834"/>
        <v>0</v>
      </c>
      <c r="CW176" s="470">
        <f t="shared" si="835"/>
        <v>0</v>
      </c>
      <c r="CX176" s="470">
        <f t="shared" si="836"/>
        <v>1</v>
      </c>
      <c r="CY176" s="470">
        <f t="shared" si="837"/>
        <v>0</v>
      </c>
      <c r="CZ176" s="470">
        <f t="shared" si="838"/>
        <v>0</v>
      </c>
      <c r="DA176" s="478">
        <f t="shared" si="839"/>
        <v>0.25999999999999979</v>
      </c>
      <c r="DB176" s="469">
        <v>1.3</v>
      </c>
      <c r="DC176" s="469">
        <v>1.4</v>
      </c>
      <c r="DD176" s="469">
        <v>2</v>
      </c>
      <c r="DE176" s="469">
        <v>2</v>
      </c>
      <c r="DF176" s="476">
        <v>2</v>
      </c>
      <c r="DG176" s="456">
        <f t="shared" si="840"/>
        <v>0</v>
      </c>
      <c r="DH176" s="476">
        <f t="shared" si="841"/>
        <v>0</v>
      </c>
      <c r="DI176" s="476">
        <f t="shared" si="842"/>
        <v>0</v>
      </c>
      <c r="DJ176" s="476">
        <f t="shared" si="843"/>
        <v>142.19999999999999</v>
      </c>
      <c r="DK176" s="476">
        <f t="shared" si="844"/>
        <v>101.43599999999998</v>
      </c>
      <c r="DL176" s="476">
        <f t="shared" si="845"/>
        <v>0</v>
      </c>
      <c r="DM176" s="476">
        <f t="shared" si="846"/>
        <v>0</v>
      </c>
      <c r="DN176" s="476">
        <f t="shared" si="847"/>
        <v>0</v>
      </c>
      <c r="DO176" s="476">
        <f t="shared" si="848"/>
        <v>0</v>
      </c>
      <c r="DP176" s="476">
        <f t="shared" si="849"/>
        <v>0</v>
      </c>
      <c r="DQ176" s="464"/>
      <c r="DR176" s="479"/>
    </row>
    <row r="177" spans="1:122" s="86" customFormat="1" x14ac:dyDescent="0.25">
      <c r="A177" s="86" t="s">
        <v>2089</v>
      </c>
      <c r="B177" s="101"/>
      <c r="C177" s="101" t="str">
        <f>'Planilha Hidráulica'!B184</f>
        <v>PV9.3-&gt;PV10.3</v>
      </c>
      <c r="D177" s="258">
        <f>'Planilha Hidráulica'!R184</f>
        <v>2.1800000000000002</v>
      </c>
      <c r="E177" s="258">
        <f>'Planilha Hidráulica'!S184</f>
        <v>2.1800000000000002</v>
      </c>
      <c r="F177" s="258">
        <f>'Planilha Hidráulica'!K184</f>
        <v>51.09</v>
      </c>
      <c r="G177" s="101">
        <f>'Planilha Hidráulica'!M184</f>
        <v>1000</v>
      </c>
      <c r="H177" s="449">
        <f t="shared" si="752"/>
        <v>2.5300000000000002</v>
      </c>
      <c r="I177" s="102">
        <f t="shared" si="753"/>
        <v>6.4628850000000018</v>
      </c>
      <c r="J177" s="467">
        <v>0</v>
      </c>
      <c r="K177" s="449">
        <f t="shared" si="754"/>
        <v>2</v>
      </c>
      <c r="L177" s="449">
        <f t="shared" si="755"/>
        <v>2</v>
      </c>
      <c r="M177" s="449">
        <f>'Planilha Hidráulica'!X184</f>
        <v>800</v>
      </c>
      <c r="N177" s="449">
        <f t="shared" si="756"/>
        <v>102.18</v>
      </c>
      <c r="O177" s="468" t="str">
        <f>'Planilha Hidráulica'!W184</f>
        <v>ASFALTO</v>
      </c>
      <c r="P177" s="468" t="s">
        <v>2093</v>
      </c>
      <c r="Q177" s="468"/>
      <c r="R177" s="468">
        <v>5</v>
      </c>
      <c r="S177" s="468">
        <v>5</v>
      </c>
      <c r="T177" s="449">
        <f t="shared" si="757"/>
        <v>0.15</v>
      </c>
      <c r="U177" s="453">
        <f t="shared" si="758"/>
        <v>25.680634987504408</v>
      </c>
      <c r="V177" s="106">
        <f t="shared" si="759"/>
        <v>232.83476501249564</v>
      </c>
      <c r="W177" s="107">
        <f t="shared" si="760"/>
        <v>0</v>
      </c>
      <c r="X177" s="107">
        <f t="shared" si="761"/>
        <v>0</v>
      </c>
      <c r="Y177" s="453">
        <f t="shared" si="762"/>
        <v>2.5300000000000002</v>
      </c>
      <c r="Z177" s="453">
        <f t="shared" si="763"/>
        <v>0</v>
      </c>
      <c r="AA177" s="456">
        <f t="shared" si="764"/>
        <v>102.18</v>
      </c>
      <c r="AB177" s="469">
        <f t="shared" si="765"/>
        <v>0</v>
      </c>
      <c r="AC177" s="109">
        <f t="shared" si="766"/>
        <v>0</v>
      </c>
      <c r="AD177" s="109">
        <f t="shared" si="767"/>
        <v>0</v>
      </c>
      <c r="AE177" s="109">
        <f t="shared" si="768"/>
        <v>0</v>
      </c>
      <c r="AF177" s="109">
        <f t="shared" si="769"/>
        <v>0</v>
      </c>
      <c r="AG177" s="109">
        <f t="shared" si="770"/>
        <v>0</v>
      </c>
      <c r="AH177" s="109">
        <f t="shared" si="771"/>
        <v>0</v>
      </c>
      <c r="AI177" s="109">
        <f t="shared" si="772"/>
        <v>0</v>
      </c>
      <c r="AJ177" s="456">
        <f t="shared" si="773"/>
        <v>0</v>
      </c>
      <c r="AK177" s="456">
        <f t="shared" si="774"/>
        <v>0</v>
      </c>
      <c r="AL177" s="456">
        <f t="shared" si="775"/>
        <v>153.27000000000001</v>
      </c>
      <c r="AM177" s="456">
        <f t="shared" si="776"/>
        <v>79.564765012495627</v>
      </c>
      <c r="AN177" s="456">
        <f t="shared" si="851"/>
        <v>0</v>
      </c>
      <c r="AO177" s="456">
        <f t="shared" si="777"/>
        <v>0</v>
      </c>
      <c r="AP177" s="456">
        <f t="shared" si="778"/>
        <v>0</v>
      </c>
      <c r="AQ177" s="456">
        <f t="shared" si="779"/>
        <v>0</v>
      </c>
      <c r="AR177" s="104">
        <f t="shared" si="780"/>
        <v>0</v>
      </c>
      <c r="AS177" s="449">
        <f t="shared" si="781"/>
        <v>0</v>
      </c>
      <c r="AT177" s="104">
        <f t="shared" si="782"/>
        <v>218.38940783202443</v>
      </c>
      <c r="AU177" s="102">
        <f t="shared" si="783"/>
        <v>0</v>
      </c>
      <c r="AV177" s="106">
        <f t="shared" si="784"/>
        <v>15.327</v>
      </c>
      <c r="AW177" s="104">
        <f t="shared" si="785"/>
        <v>0</v>
      </c>
      <c r="AX177" s="104">
        <f t="shared" si="786"/>
        <v>0</v>
      </c>
      <c r="AY177" s="104">
        <f t="shared" si="787"/>
        <v>1.2</v>
      </c>
      <c r="AZ177" s="104">
        <f t="shared" si="788"/>
        <v>82.490007832024361</v>
      </c>
      <c r="BA177" s="104">
        <f t="shared" si="789"/>
        <v>82.490007832024361</v>
      </c>
      <c r="BB177" s="104">
        <f t="shared" si="790"/>
        <v>15.327</v>
      </c>
      <c r="BC177" s="104">
        <f t="shared" si="791"/>
        <v>15.327</v>
      </c>
      <c r="BD177" s="104">
        <f t="shared" si="792"/>
        <v>3.0653999999999999</v>
      </c>
      <c r="BE177" s="104">
        <f t="shared" si="793"/>
        <v>89.918400000000076</v>
      </c>
      <c r="BF177" s="104">
        <f t="shared" si="794"/>
        <v>135.01775718047128</v>
      </c>
      <c r="BG177" s="104">
        <f t="shared" si="795"/>
        <v>89.918400000000076</v>
      </c>
      <c r="BH177" s="104">
        <f t="shared" si="796"/>
        <v>45.099357180471202</v>
      </c>
      <c r="BI177" s="104">
        <f t="shared" si="797"/>
        <v>0</v>
      </c>
      <c r="BJ177" s="102">
        <f t="shared" si="850"/>
        <v>0</v>
      </c>
      <c r="BK177" s="104">
        <f t="shared" si="798"/>
        <v>0</v>
      </c>
      <c r="BL177" s="104"/>
      <c r="BM177" s="104">
        <f t="shared" si="799"/>
        <v>0.61307999999999996</v>
      </c>
      <c r="BN177" s="456">
        <f t="shared" si="800"/>
        <v>0</v>
      </c>
      <c r="BO177" s="471">
        <f t="shared" si="801"/>
        <v>0</v>
      </c>
      <c r="BP177" s="471">
        <f t="shared" si="802"/>
        <v>0</v>
      </c>
      <c r="BQ177" s="471">
        <f t="shared" si="803"/>
        <v>0</v>
      </c>
      <c r="BR177" s="449">
        <f t="shared" si="804"/>
        <v>0</v>
      </c>
      <c r="BS177" s="449">
        <f t="shared" si="805"/>
        <v>0</v>
      </c>
      <c r="BT177" s="449">
        <f t="shared" si="806"/>
        <v>0</v>
      </c>
      <c r="BU177" s="449">
        <f t="shared" si="807"/>
        <v>0</v>
      </c>
      <c r="BV177" s="449">
        <f t="shared" si="808"/>
        <v>0</v>
      </c>
      <c r="BW177" s="449">
        <f t="shared" si="809"/>
        <v>0</v>
      </c>
      <c r="BX177" s="449">
        <f t="shared" si="810"/>
        <v>0</v>
      </c>
      <c r="BY177" s="449">
        <f t="shared" si="811"/>
        <v>0</v>
      </c>
      <c r="BZ177" s="449">
        <f t="shared" si="812"/>
        <v>0</v>
      </c>
      <c r="CA177" s="449">
        <f t="shared" si="813"/>
        <v>0</v>
      </c>
      <c r="CB177" s="449">
        <f t="shared" si="814"/>
        <v>2.5300000000000002</v>
      </c>
      <c r="CC177" s="449">
        <f t="shared" si="815"/>
        <v>51.09</v>
      </c>
      <c r="CD177" s="449">
        <f t="shared" si="816"/>
        <v>0</v>
      </c>
      <c r="CE177" s="449">
        <f t="shared" si="817"/>
        <v>0</v>
      </c>
      <c r="CF177" s="449">
        <f t="shared" si="818"/>
        <v>0</v>
      </c>
      <c r="CG177" s="449">
        <f t="shared" si="819"/>
        <v>0</v>
      </c>
      <c r="CH177" s="449">
        <f t="shared" si="820"/>
        <v>0</v>
      </c>
      <c r="CI177" s="449">
        <f t="shared" si="821"/>
        <v>0</v>
      </c>
      <c r="CJ177" s="472">
        <f t="shared" si="822"/>
        <v>0</v>
      </c>
      <c r="CK177" s="449">
        <f t="shared" si="823"/>
        <v>0</v>
      </c>
      <c r="CL177" s="449">
        <f t="shared" si="824"/>
        <v>0</v>
      </c>
      <c r="CM177" s="449">
        <f t="shared" si="825"/>
        <v>0</v>
      </c>
      <c r="CN177" s="453">
        <f t="shared" si="826"/>
        <v>0</v>
      </c>
      <c r="CO177" s="453">
        <f t="shared" si="827"/>
        <v>0</v>
      </c>
      <c r="CP177" s="453">
        <f t="shared" si="828"/>
        <v>0</v>
      </c>
      <c r="CQ177" s="453">
        <f t="shared" si="829"/>
        <v>0</v>
      </c>
      <c r="CR177" s="453">
        <f t="shared" si="830"/>
        <v>0</v>
      </c>
      <c r="CS177" s="453">
        <f t="shared" si="831"/>
        <v>0</v>
      </c>
      <c r="CT177" s="473">
        <f t="shared" si="832"/>
        <v>0</v>
      </c>
      <c r="CU177" s="470">
        <f t="shared" si="833"/>
        <v>1</v>
      </c>
      <c r="CV177" s="470">
        <f t="shared" si="834"/>
        <v>0</v>
      </c>
      <c r="CW177" s="470">
        <f t="shared" si="835"/>
        <v>0</v>
      </c>
      <c r="CX177" s="470">
        <f t="shared" si="836"/>
        <v>1</v>
      </c>
      <c r="CY177" s="470">
        <f t="shared" si="837"/>
        <v>0</v>
      </c>
      <c r="CZ177" s="470">
        <f t="shared" si="838"/>
        <v>0</v>
      </c>
      <c r="DA177" s="478">
        <f t="shared" si="839"/>
        <v>0.18000000000000016</v>
      </c>
      <c r="DB177" s="469">
        <v>1.3</v>
      </c>
      <c r="DC177" s="469">
        <v>1.4</v>
      </c>
      <c r="DD177" s="469">
        <v>2</v>
      </c>
      <c r="DE177" s="469">
        <v>2</v>
      </c>
      <c r="DF177" s="476">
        <v>2</v>
      </c>
      <c r="DG177" s="456">
        <f t="shared" si="840"/>
        <v>0</v>
      </c>
      <c r="DH177" s="476">
        <f t="shared" si="841"/>
        <v>0</v>
      </c>
      <c r="DI177" s="476">
        <f t="shared" si="842"/>
        <v>0</v>
      </c>
      <c r="DJ177" s="476">
        <f t="shared" si="843"/>
        <v>153.27000000000001</v>
      </c>
      <c r="DK177" s="476">
        <f t="shared" si="844"/>
        <v>105.24540000000003</v>
      </c>
      <c r="DL177" s="476">
        <f t="shared" si="845"/>
        <v>0</v>
      </c>
      <c r="DM177" s="476">
        <f t="shared" si="846"/>
        <v>0</v>
      </c>
      <c r="DN177" s="476">
        <f t="shared" si="847"/>
        <v>0</v>
      </c>
      <c r="DO177" s="476">
        <f t="shared" si="848"/>
        <v>0</v>
      </c>
      <c r="DP177" s="476">
        <f t="shared" si="849"/>
        <v>0</v>
      </c>
      <c r="DQ177" s="464"/>
      <c r="DR177" s="479"/>
    </row>
    <row r="178" spans="1:122" s="86" customFormat="1" x14ac:dyDescent="0.25">
      <c r="A178" s="86" t="s">
        <v>2089</v>
      </c>
      <c r="B178" s="101"/>
      <c r="C178" s="101" t="str">
        <f>'Planilha Hidráulica'!B185</f>
        <v>PV10.3-&gt;PV11.3</v>
      </c>
      <c r="D178" s="258">
        <f>'Planilha Hidráulica'!R185</f>
        <v>2.41</v>
      </c>
      <c r="E178" s="258">
        <f>'Planilha Hidráulica'!S185</f>
        <v>2.4500000000000002</v>
      </c>
      <c r="F178" s="258">
        <f>'Planilha Hidráulica'!K185</f>
        <v>47.6</v>
      </c>
      <c r="G178" s="101">
        <f>'Planilha Hidráulica'!M185</f>
        <v>1200</v>
      </c>
      <c r="H178" s="449">
        <f t="shared" si="752"/>
        <v>2.82</v>
      </c>
      <c r="I178" s="102">
        <f t="shared" si="753"/>
        <v>6.7115999999999998</v>
      </c>
      <c r="J178" s="467">
        <v>0</v>
      </c>
      <c r="K178" s="449">
        <f t="shared" si="754"/>
        <v>2.2000000000000002</v>
      </c>
      <c r="L178" s="449">
        <f t="shared" si="755"/>
        <v>2.2000000000000002</v>
      </c>
      <c r="M178" s="449">
        <f>'Planilha Hidráulica'!X185</f>
        <v>800</v>
      </c>
      <c r="N178" s="449">
        <f t="shared" si="756"/>
        <v>104.72000000000001</v>
      </c>
      <c r="O178" s="468" t="str">
        <f>'Planilha Hidráulica'!W185</f>
        <v>ASFALTO</v>
      </c>
      <c r="P178" s="468" t="s">
        <v>2093</v>
      </c>
      <c r="Q178" s="105">
        <v>1</v>
      </c>
      <c r="R178" s="468">
        <v>5</v>
      </c>
      <c r="S178" s="468">
        <v>5</v>
      </c>
      <c r="T178" s="449">
        <f t="shared" si="757"/>
        <v>0.15</v>
      </c>
      <c r="U178" s="453">
        <f t="shared" si="758"/>
        <v>23.926369649739868</v>
      </c>
      <c r="V178" s="106">
        <f t="shared" si="759"/>
        <v>313.2720303502602</v>
      </c>
      <c r="W178" s="107">
        <f t="shared" si="760"/>
        <v>0</v>
      </c>
      <c r="X178" s="107">
        <f t="shared" si="761"/>
        <v>0.4</v>
      </c>
      <c r="Y178" s="453">
        <f t="shared" si="762"/>
        <v>2.82</v>
      </c>
      <c r="Z178" s="453">
        <f t="shared" si="763"/>
        <v>0</v>
      </c>
      <c r="AA178" s="456">
        <f t="shared" si="764"/>
        <v>104.72000000000001</v>
      </c>
      <c r="AB178" s="469">
        <f t="shared" si="765"/>
        <v>0</v>
      </c>
      <c r="AC178" s="109">
        <f t="shared" si="766"/>
        <v>0</v>
      </c>
      <c r="AD178" s="109">
        <f t="shared" si="767"/>
        <v>0</v>
      </c>
      <c r="AE178" s="109">
        <f t="shared" si="768"/>
        <v>0</v>
      </c>
      <c r="AF178" s="109">
        <f t="shared" si="769"/>
        <v>0</v>
      </c>
      <c r="AG178" s="109">
        <f t="shared" si="770"/>
        <v>0</v>
      </c>
      <c r="AH178" s="109">
        <f t="shared" si="771"/>
        <v>41.888000000000005</v>
      </c>
      <c r="AI178" s="109">
        <f t="shared" si="772"/>
        <v>0</v>
      </c>
      <c r="AJ178" s="456">
        <f t="shared" si="773"/>
        <v>0</v>
      </c>
      <c r="AK178" s="456">
        <f t="shared" si="774"/>
        <v>0</v>
      </c>
      <c r="AL178" s="456">
        <f t="shared" si="775"/>
        <v>157.08000000000001</v>
      </c>
      <c r="AM178" s="456">
        <f t="shared" si="776"/>
        <v>114.30403035026013</v>
      </c>
      <c r="AN178" s="456">
        <f t="shared" si="851"/>
        <v>0</v>
      </c>
      <c r="AO178" s="456">
        <f t="shared" si="777"/>
        <v>0</v>
      </c>
      <c r="AP178" s="456">
        <f t="shared" si="778"/>
        <v>0</v>
      </c>
      <c r="AQ178" s="456">
        <f t="shared" si="779"/>
        <v>0</v>
      </c>
      <c r="AR178" s="104">
        <f t="shared" si="780"/>
        <v>0</v>
      </c>
      <c r="AS178" s="449">
        <f t="shared" si="781"/>
        <v>0</v>
      </c>
      <c r="AT178" s="104">
        <f t="shared" si="782"/>
        <v>283.36406828808532</v>
      </c>
      <c r="AU178" s="102">
        <f t="shared" si="783"/>
        <v>0</v>
      </c>
      <c r="AV178" s="106">
        <f t="shared" si="784"/>
        <v>15.708000000000002</v>
      </c>
      <c r="AW178" s="104">
        <f t="shared" si="785"/>
        <v>41.888000000000012</v>
      </c>
      <c r="AX178" s="104">
        <f t="shared" si="786"/>
        <v>0</v>
      </c>
      <c r="AY178" s="104">
        <f t="shared" si="787"/>
        <v>1.4</v>
      </c>
      <c r="AZ178" s="104">
        <f t="shared" si="788"/>
        <v>92.773668288085304</v>
      </c>
      <c r="BA178" s="104">
        <f t="shared" si="789"/>
        <v>92.773668288085304</v>
      </c>
      <c r="BB178" s="104">
        <f t="shared" si="790"/>
        <v>15.708</v>
      </c>
      <c r="BC178" s="104">
        <f t="shared" si="791"/>
        <v>15.708</v>
      </c>
      <c r="BD178" s="104">
        <f t="shared" si="792"/>
        <v>3.1415999999999999</v>
      </c>
      <c r="BE178" s="104">
        <f t="shared" si="793"/>
        <v>101.57840000000002</v>
      </c>
      <c r="BF178" s="104">
        <f t="shared" si="794"/>
        <v>121.01436206217485</v>
      </c>
      <c r="BG178" s="104">
        <f t="shared" si="795"/>
        <v>101.57840000000002</v>
      </c>
      <c r="BH178" s="104">
        <f t="shared" si="796"/>
        <v>19.435962062174838</v>
      </c>
      <c r="BI178" s="104">
        <f t="shared" si="797"/>
        <v>0</v>
      </c>
      <c r="BJ178" s="102">
        <f t="shared" si="850"/>
        <v>0</v>
      </c>
      <c r="BK178" s="104">
        <f t="shared" si="798"/>
        <v>0</v>
      </c>
      <c r="BL178" s="104"/>
      <c r="BM178" s="104">
        <f t="shared" si="799"/>
        <v>2.3038400000000006</v>
      </c>
      <c r="BN178" s="456">
        <f t="shared" si="800"/>
        <v>0</v>
      </c>
      <c r="BO178" s="471">
        <f t="shared" si="801"/>
        <v>0</v>
      </c>
      <c r="BP178" s="471">
        <f t="shared" si="802"/>
        <v>0</v>
      </c>
      <c r="BQ178" s="471">
        <f t="shared" si="803"/>
        <v>0</v>
      </c>
      <c r="BR178" s="449">
        <f t="shared" si="804"/>
        <v>0</v>
      </c>
      <c r="BS178" s="449">
        <f t="shared" si="805"/>
        <v>0</v>
      </c>
      <c r="BT178" s="449">
        <f t="shared" si="806"/>
        <v>0</v>
      </c>
      <c r="BU178" s="449">
        <f t="shared" si="807"/>
        <v>0</v>
      </c>
      <c r="BV178" s="449">
        <f t="shared" si="808"/>
        <v>0</v>
      </c>
      <c r="BW178" s="449">
        <f t="shared" si="809"/>
        <v>0</v>
      </c>
      <c r="BX178" s="449">
        <f t="shared" si="810"/>
        <v>0</v>
      </c>
      <c r="BY178" s="449">
        <f t="shared" si="811"/>
        <v>0</v>
      </c>
      <c r="BZ178" s="449">
        <f t="shared" si="812"/>
        <v>0</v>
      </c>
      <c r="CA178" s="449">
        <f t="shared" si="813"/>
        <v>0</v>
      </c>
      <c r="CB178" s="449">
        <f t="shared" si="814"/>
        <v>0</v>
      </c>
      <c r="CC178" s="449">
        <f t="shared" si="815"/>
        <v>0</v>
      </c>
      <c r="CD178" s="449">
        <f t="shared" si="816"/>
        <v>0</v>
      </c>
      <c r="CE178" s="449">
        <f t="shared" si="817"/>
        <v>0</v>
      </c>
      <c r="CF178" s="449">
        <f t="shared" si="818"/>
        <v>2.82</v>
      </c>
      <c r="CG178" s="449">
        <f t="shared" si="819"/>
        <v>47.6</v>
      </c>
      <c r="CH178" s="449">
        <f t="shared" si="820"/>
        <v>0</v>
      </c>
      <c r="CI178" s="449">
        <f t="shared" si="821"/>
        <v>0</v>
      </c>
      <c r="CJ178" s="472">
        <f t="shared" si="822"/>
        <v>0</v>
      </c>
      <c r="CK178" s="449">
        <f t="shared" si="823"/>
        <v>0</v>
      </c>
      <c r="CL178" s="449">
        <f t="shared" si="824"/>
        <v>0</v>
      </c>
      <c r="CM178" s="449">
        <f t="shared" si="825"/>
        <v>0</v>
      </c>
      <c r="CN178" s="453">
        <f t="shared" si="826"/>
        <v>0</v>
      </c>
      <c r="CO178" s="453">
        <f t="shared" si="827"/>
        <v>0</v>
      </c>
      <c r="CP178" s="453">
        <f t="shared" si="828"/>
        <v>0</v>
      </c>
      <c r="CQ178" s="453">
        <f t="shared" si="829"/>
        <v>0</v>
      </c>
      <c r="CR178" s="453">
        <f t="shared" si="830"/>
        <v>0</v>
      </c>
      <c r="CS178" s="453">
        <f t="shared" si="831"/>
        <v>0</v>
      </c>
      <c r="CT178" s="473">
        <f t="shared" si="832"/>
        <v>0</v>
      </c>
      <c r="CU178" s="470">
        <f t="shared" si="833"/>
        <v>1</v>
      </c>
      <c r="CV178" s="470">
        <f t="shared" si="834"/>
        <v>0</v>
      </c>
      <c r="CW178" s="470">
        <f t="shared" si="835"/>
        <v>0</v>
      </c>
      <c r="CX178" s="470">
        <f t="shared" si="836"/>
        <v>0</v>
      </c>
      <c r="CY178" s="470">
        <f t="shared" si="837"/>
        <v>1</v>
      </c>
      <c r="CZ178" s="470">
        <f t="shared" si="838"/>
        <v>0</v>
      </c>
      <c r="DA178" s="478">
        <f t="shared" si="839"/>
        <v>0.41000000000000014</v>
      </c>
      <c r="DB178" s="469">
        <v>1.3</v>
      </c>
      <c r="DC178" s="469">
        <v>1.4</v>
      </c>
      <c r="DD178" s="469">
        <v>2</v>
      </c>
      <c r="DE178" s="469">
        <v>2</v>
      </c>
      <c r="DF178" s="476">
        <v>2</v>
      </c>
      <c r="DG178" s="456">
        <f t="shared" si="840"/>
        <v>0</v>
      </c>
      <c r="DH178" s="476">
        <f t="shared" si="841"/>
        <v>0</v>
      </c>
      <c r="DI178" s="476">
        <f t="shared" si="842"/>
        <v>0</v>
      </c>
      <c r="DJ178" s="476">
        <f t="shared" si="843"/>
        <v>142.80000000000001</v>
      </c>
      <c r="DK178" s="476">
        <f t="shared" si="844"/>
        <v>125.66399999999999</v>
      </c>
      <c r="DL178" s="476">
        <f t="shared" si="845"/>
        <v>0</v>
      </c>
      <c r="DM178" s="476">
        <f t="shared" si="846"/>
        <v>0</v>
      </c>
      <c r="DN178" s="476">
        <f t="shared" si="847"/>
        <v>0</v>
      </c>
      <c r="DO178" s="476">
        <f t="shared" si="848"/>
        <v>0</v>
      </c>
      <c r="DP178" s="476">
        <f t="shared" si="849"/>
        <v>0</v>
      </c>
      <c r="DQ178" s="464"/>
      <c r="DR178" s="479">
        <f t="shared" ref="DR178:DR186" si="854">D178-M178/1000</f>
        <v>1.61</v>
      </c>
    </row>
    <row r="179" spans="1:122" s="86" customFormat="1" x14ac:dyDescent="0.25">
      <c r="A179" s="86" t="s">
        <v>2089</v>
      </c>
      <c r="B179" s="101"/>
      <c r="C179" s="101" t="str">
        <f>'Planilha Hidráulica'!B186</f>
        <v>PV11.3-&gt;PV12.3</v>
      </c>
      <c r="D179" s="258">
        <f>'Planilha Hidráulica'!R186</f>
        <v>2.4500000000000002</v>
      </c>
      <c r="E179" s="258">
        <f>'Planilha Hidráulica'!S186</f>
        <v>2.79</v>
      </c>
      <c r="F179" s="258">
        <f>'Planilha Hidráulica'!K186</f>
        <v>48.55</v>
      </c>
      <c r="G179" s="101">
        <f>'Planilha Hidráulica'!M186</f>
        <v>1200</v>
      </c>
      <c r="H179" s="449">
        <f t="shared" si="752"/>
        <v>3.0100000000000002</v>
      </c>
      <c r="I179" s="102">
        <f t="shared" si="753"/>
        <v>7.306775</v>
      </c>
      <c r="J179" s="467">
        <v>0</v>
      </c>
      <c r="K179" s="449">
        <f t="shared" si="754"/>
        <v>2.2000000000000002</v>
      </c>
      <c r="L179" s="449">
        <f t="shared" si="755"/>
        <v>2.2000000000000002</v>
      </c>
      <c r="M179" s="449">
        <f>'Planilha Hidráulica'!X186</f>
        <v>800</v>
      </c>
      <c r="N179" s="449">
        <f t="shared" si="756"/>
        <v>106.81</v>
      </c>
      <c r="O179" s="468" t="str">
        <f>'Planilha Hidráulica'!W186</f>
        <v>ASFALTO</v>
      </c>
      <c r="P179" s="468" t="s">
        <v>2093</v>
      </c>
      <c r="Q179" s="105">
        <v>1</v>
      </c>
      <c r="R179" s="468">
        <v>5</v>
      </c>
      <c r="S179" s="468">
        <v>5</v>
      </c>
      <c r="T179" s="449">
        <f t="shared" si="757"/>
        <v>0.15</v>
      </c>
      <c r="U179" s="453">
        <f t="shared" si="758"/>
        <v>24.403891733085512</v>
      </c>
      <c r="V179" s="106">
        <f t="shared" si="759"/>
        <v>339.8182082669145</v>
      </c>
      <c r="W179" s="107">
        <f t="shared" si="760"/>
        <v>0</v>
      </c>
      <c r="X179" s="107">
        <f t="shared" si="761"/>
        <v>0.4</v>
      </c>
      <c r="Y179" s="453">
        <f t="shared" si="762"/>
        <v>3.0100000000000002</v>
      </c>
      <c r="Z179" s="453">
        <f t="shared" si="763"/>
        <v>0</v>
      </c>
      <c r="AA179" s="456">
        <f t="shared" si="764"/>
        <v>106.81</v>
      </c>
      <c r="AB179" s="469">
        <f t="shared" si="765"/>
        <v>0</v>
      </c>
      <c r="AC179" s="109">
        <f t="shared" si="766"/>
        <v>0</v>
      </c>
      <c r="AD179" s="109">
        <f t="shared" si="767"/>
        <v>0</v>
      </c>
      <c r="AE179" s="109">
        <f t="shared" si="768"/>
        <v>0</v>
      </c>
      <c r="AF179" s="109">
        <f t="shared" si="769"/>
        <v>0</v>
      </c>
      <c r="AG179" s="109">
        <f t="shared" si="770"/>
        <v>0</v>
      </c>
      <c r="AH179" s="109">
        <f t="shared" si="771"/>
        <v>42.724000000000004</v>
      </c>
      <c r="AI179" s="109">
        <f t="shared" si="772"/>
        <v>0</v>
      </c>
      <c r="AJ179" s="456">
        <f t="shared" si="773"/>
        <v>0</v>
      </c>
      <c r="AK179" s="456">
        <f t="shared" si="774"/>
        <v>0</v>
      </c>
      <c r="AL179" s="456">
        <f t="shared" si="775"/>
        <v>160.215</v>
      </c>
      <c r="AM179" s="456">
        <f>IF(IF(AND(K179&lt;=2.5,K179&gt;1.5),IF(Y179&gt;=3,L179*F179*1.5,K179*F179*(Y179-1.5)),0)&lt;0,0,IF(AND(K179&lt;=2.5,K179&gt;1.5),IF(Y179&gt;=3,L179*F179*1.5,K179*F179*(Y179-1.5)),0))-U179</f>
        <v>135.81110826691449</v>
      </c>
      <c r="AN179" s="456">
        <f>IF(IF(K179&lt;=2.5,IF(Y179&gt;=4.5,L179*F179*1.5,K179*F179*(Y179-3)),0)&lt;0,0,IF(K179&lt;=2.5,IF(Y179&gt;=4.5,L179*F179*1.5,K179*F179*(Y179-3)),0))</f>
        <v>1.0681000000000247</v>
      </c>
      <c r="AO179" s="456">
        <f t="shared" si="777"/>
        <v>0</v>
      </c>
      <c r="AP179" s="456">
        <f t="shared" si="778"/>
        <v>0</v>
      </c>
      <c r="AQ179" s="456">
        <f t="shared" si="779"/>
        <v>0</v>
      </c>
      <c r="AR179" s="104">
        <f t="shared" si="780"/>
        <v>0</v>
      </c>
      <c r="AS179" s="449">
        <f t="shared" si="781"/>
        <v>0</v>
      </c>
      <c r="AT179" s="104">
        <f t="shared" si="782"/>
        <v>309.31334360055763</v>
      </c>
      <c r="AU179" s="102">
        <f t="shared" si="783"/>
        <v>0</v>
      </c>
      <c r="AV179" s="106">
        <f t="shared" si="784"/>
        <v>16.0215</v>
      </c>
      <c r="AW179" s="104">
        <f t="shared" si="785"/>
        <v>42.724000000000004</v>
      </c>
      <c r="AX179" s="104">
        <f t="shared" si="786"/>
        <v>0</v>
      </c>
      <c r="AY179" s="104">
        <f t="shared" si="787"/>
        <v>1.4</v>
      </c>
      <c r="AZ179" s="104">
        <f t="shared" si="788"/>
        <v>94.625243600557582</v>
      </c>
      <c r="BA179" s="104">
        <f t="shared" si="789"/>
        <v>94.625243600557582</v>
      </c>
      <c r="BB179" s="104">
        <f t="shared" si="790"/>
        <v>16.0215</v>
      </c>
      <c r="BC179" s="104">
        <f t="shared" si="791"/>
        <v>16.0215</v>
      </c>
      <c r="BD179" s="104">
        <f t="shared" si="792"/>
        <v>3.2042999999999999</v>
      </c>
      <c r="BE179" s="104">
        <f t="shared" si="793"/>
        <v>123.89960000000005</v>
      </c>
      <c r="BF179" s="104">
        <f t="shared" si="794"/>
        <v>143.72346466635693</v>
      </c>
      <c r="BG179" s="104">
        <f t="shared" si="795"/>
        <v>123.89960000000005</v>
      </c>
      <c r="BH179" s="104">
        <f t="shared" si="796"/>
        <v>19.823864666356883</v>
      </c>
      <c r="BI179" s="104">
        <f t="shared" si="797"/>
        <v>0</v>
      </c>
      <c r="BJ179" s="102">
        <f t="shared" si="850"/>
        <v>0</v>
      </c>
      <c r="BK179" s="104">
        <f t="shared" si="798"/>
        <v>0</v>
      </c>
      <c r="BL179" s="104"/>
      <c r="BM179" s="104">
        <f t="shared" si="799"/>
        <v>2.3498200000000002</v>
      </c>
      <c r="BN179" s="456">
        <f t="shared" si="800"/>
        <v>0</v>
      </c>
      <c r="BO179" s="471">
        <f t="shared" si="801"/>
        <v>0</v>
      </c>
      <c r="BP179" s="471">
        <f t="shared" si="802"/>
        <v>0</v>
      </c>
      <c r="BQ179" s="471">
        <f t="shared" si="803"/>
        <v>0</v>
      </c>
      <c r="BR179" s="449">
        <f t="shared" si="804"/>
        <v>0</v>
      </c>
      <c r="BS179" s="449">
        <f t="shared" si="805"/>
        <v>0</v>
      </c>
      <c r="BT179" s="449">
        <f t="shared" si="806"/>
        <v>0</v>
      </c>
      <c r="BU179" s="449">
        <f t="shared" si="807"/>
        <v>0</v>
      </c>
      <c r="BV179" s="449">
        <f t="shared" si="808"/>
        <v>0</v>
      </c>
      <c r="BW179" s="449">
        <f t="shared" si="809"/>
        <v>0</v>
      </c>
      <c r="BX179" s="449">
        <f t="shared" si="810"/>
        <v>0</v>
      </c>
      <c r="BY179" s="449">
        <f t="shared" si="811"/>
        <v>0</v>
      </c>
      <c r="BZ179" s="449">
        <f t="shared" si="812"/>
        <v>0</v>
      </c>
      <c r="CA179" s="449">
        <f t="shared" si="813"/>
        <v>0</v>
      </c>
      <c r="CB179" s="449">
        <f t="shared" si="814"/>
        <v>0</v>
      </c>
      <c r="CC179" s="449">
        <f t="shared" si="815"/>
        <v>0</v>
      </c>
      <c r="CD179" s="449">
        <f t="shared" si="816"/>
        <v>0</v>
      </c>
      <c r="CE179" s="449">
        <f t="shared" si="817"/>
        <v>0</v>
      </c>
      <c r="CF179" s="449">
        <f t="shared" si="818"/>
        <v>3.0100000000000002</v>
      </c>
      <c r="CG179" s="449">
        <f t="shared" si="819"/>
        <v>0</v>
      </c>
      <c r="CH179" s="449">
        <f t="shared" si="820"/>
        <v>48.55</v>
      </c>
      <c r="CI179" s="449">
        <f t="shared" si="821"/>
        <v>0</v>
      </c>
      <c r="CJ179" s="472">
        <f t="shared" si="822"/>
        <v>0</v>
      </c>
      <c r="CK179" s="449">
        <f t="shared" si="823"/>
        <v>0</v>
      </c>
      <c r="CL179" s="449">
        <f t="shared" si="824"/>
        <v>0</v>
      </c>
      <c r="CM179" s="449">
        <f t="shared" si="825"/>
        <v>0</v>
      </c>
      <c r="CN179" s="453">
        <f t="shared" si="826"/>
        <v>0</v>
      </c>
      <c r="CO179" s="453">
        <f t="shared" si="827"/>
        <v>0</v>
      </c>
      <c r="CP179" s="453">
        <f t="shared" si="828"/>
        <v>0</v>
      </c>
      <c r="CQ179" s="453">
        <f t="shared" si="829"/>
        <v>0</v>
      </c>
      <c r="CR179" s="453">
        <f t="shared" si="830"/>
        <v>0</v>
      </c>
      <c r="CS179" s="453">
        <f t="shared" si="831"/>
        <v>0</v>
      </c>
      <c r="CT179" s="473">
        <f t="shared" si="832"/>
        <v>0</v>
      </c>
      <c r="CU179" s="470">
        <f t="shared" si="833"/>
        <v>1</v>
      </c>
      <c r="CV179" s="470">
        <f t="shared" si="834"/>
        <v>0</v>
      </c>
      <c r="CW179" s="470">
        <f t="shared" si="835"/>
        <v>0</v>
      </c>
      <c r="CX179" s="470">
        <f t="shared" si="836"/>
        <v>0</v>
      </c>
      <c r="CY179" s="470">
        <f t="shared" si="837"/>
        <v>1</v>
      </c>
      <c r="CZ179" s="470">
        <f t="shared" si="838"/>
        <v>0</v>
      </c>
      <c r="DA179" s="478">
        <f t="shared" si="839"/>
        <v>0.45000000000000018</v>
      </c>
      <c r="DB179" s="469">
        <v>1.3</v>
      </c>
      <c r="DC179" s="469">
        <v>1.4</v>
      </c>
      <c r="DD179" s="469">
        <v>2</v>
      </c>
      <c r="DE179" s="469">
        <v>2</v>
      </c>
      <c r="DF179" s="476">
        <v>2</v>
      </c>
      <c r="DG179" s="456">
        <f t="shared" si="840"/>
        <v>0</v>
      </c>
      <c r="DH179" s="476">
        <f t="shared" si="841"/>
        <v>0</v>
      </c>
      <c r="DI179" s="476">
        <f t="shared" si="842"/>
        <v>0</v>
      </c>
      <c r="DJ179" s="476">
        <f t="shared" si="843"/>
        <v>145.64999999999998</v>
      </c>
      <c r="DK179" s="476">
        <f t="shared" si="844"/>
        <v>145.64999999999998</v>
      </c>
      <c r="DL179" s="476">
        <f t="shared" si="845"/>
        <v>0.9710000000000224</v>
      </c>
      <c r="DM179" s="476">
        <f t="shared" si="846"/>
        <v>0</v>
      </c>
      <c r="DN179" s="476">
        <f t="shared" si="847"/>
        <v>0</v>
      </c>
      <c r="DO179" s="476">
        <f t="shared" si="848"/>
        <v>0</v>
      </c>
      <c r="DP179" s="476">
        <f t="shared" si="849"/>
        <v>0</v>
      </c>
      <c r="DQ179" s="464"/>
      <c r="DR179" s="479">
        <f t="shared" si="854"/>
        <v>1.6500000000000001</v>
      </c>
    </row>
    <row r="180" spans="1:122" s="86" customFormat="1" x14ac:dyDescent="0.25">
      <c r="A180" s="86" t="s">
        <v>2089</v>
      </c>
      <c r="B180" s="101"/>
      <c r="C180" s="101" t="str">
        <f>'Planilha Hidráulica'!B187</f>
        <v>PV12.3-&gt;PV13.3</v>
      </c>
      <c r="D180" s="258">
        <f>'Planilha Hidráulica'!R187</f>
        <v>3.09</v>
      </c>
      <c r="E180" s="258">
        <f>'Planilha Hidráulica'!S187</f>
        <v>2.79</v>
      </c>
      <c r="F180" s="258">
        <f>'Planilha Hidráulica'!K187</f>
        <v>49.91</v>
      </c>
      <c r="G180" s="101">
        <f>'Planilha Hidráulica'!M187</f>
        <v>1500</v>
      </c>
      <c r="H180" s="449">
        <f t="shared" si="752"/>
        <v>3.44</v>
      </c>
      <c r="I180" s="102">
        <f t="shared" si="753"/>
        <v>8.5845199999999995</v>
      </c>
      <c r="J180" s="467">
        <v>0</v>
      </c>
      <c r="K180" s="449">
        <f t="shared" si="754"/>
        <v>2.6</v>
      </c>
      <c r="L180" s="449">
        <f t="shared" si="755"/>
        <v>2.6</v>
      </c>
      <c r="M180" s="449">
        <f>'Planilha Hidráulica'!X187</f>
        <v>800</v>
      </c>
      <c r="N180" s="449">
        <f t="shared" si="756"/>
        <v>129.76599999999999</v>
      </c>
      <c r="O180" s="468" t="str">
        <f>'Planilha Hidráulica'!W187</f>
        <v>ASFALTO</v>
      </c>
      <c r="P180" s="468" t="s">
        <v>2094</v>
      </c>
      <c r="Q180" s="105">
        <v>1</v>
      </c>
      <c r="R180" s="468">
        <v>12</v>
      </c>
      <c r="S180" s="468">
        <v>3.5</v>
      </c>
      <c r="T180" s="449">
        <f t="shared" si="757"/>
        <v>0.2</v>
      </c>
      <c r="U180" s="453">
        <f t="shared" si="758"/>
        <v>25.087502294506653</v>
      </c>
      <c r="V180" s="106">
        <f t="shared" si="759"/>
        <v>473.21393770549338</v>
      </c>
      <c r="W180" s="107">
        <f t="shared" si="760"/>
        <v>0</v>
      </c>
      <c r="X180" s="107">
        <f t="shared" si="761"/>
        <v>0.4</v>
      </c>
      <c r="Y180" s="453">
        <f t="shared" si="762"/>
        <v>3.44</v>
      </c>
      <c r="Z180" s="453">
        <f t="shared" si="763"/>
        <v>0</v>
      </c>
      <c r="AA180" s="456">
        <f t="shared" si="764"/>
        <v>129.76599999999999</v>
      </c>
      <c r="AB180" s="469">
        <f t="shared" si="765"/>
        <v>0</v>
      </c>
      <c r="AC180" s="109">
        <f t="shared" si="766"/>
        <v>0</v>
      </c>
      <c r="AD180" s="109">
        <f t="shared" si="767"/>
        <v>0</v>
      </c>
      <c r="AE180" s="109">
        <f t="shared" si="768"/>
        <v>0</v>
      </c>
      <c r="AF180" s="109">
        <f t="shared" si="769"/>
        <v>0</v>
      </c>
      <c r="AG180" s="109">
        <f t="shared" si="770"/>
        <v>0</v>
      </c>
      <c r="AH180" s="109">
        <f t="shared" si="771"/>
        <v>51.906399999999998</v>
      </c>
      <c r="AI180" s="109">
        <f t="shared" si="772"/>
        <v>0</v>
      </c>
      <c r="AJ180" s="456">
        <f t="shared" si="773"/>
        <v>0</v>
      </c>
      <c r="AK180" s="456">
        <f t="shared" si="774"/>
        <v>0</v>
      </c>
      <c r="AL180" s="456">
        <f t="shared" si="775"/>
        <v>0</v>
      </c>
      <c r="AM180" s="456">
        <f t="shared" ref="AM180:AM186" si="855">IF(IF(AND(K180&lt;=2.5,K180&gt;1.5),IF(Y180&gt;=3,L180*F180*1.5,K180*F180*(Y180-1.5)),0)&lt;0,0,IF(AND(K180&lt;=2.5,K180&gt;1.5),IF(Y180&gt;=3,L180*F180*1.5,K180*F180*(Y180-1.5)),0))+IF(R180&lt;H180,0,IF(AND(Y180&lt;=3,Y180&gt;1.5,K180&gt;1.5,K180&lt;=2.5),-U180,0))</f>
        <v>0</v>
      </c>
      <c r="AN180" s="456">
        <f t="shared" ref="AN180:AN186" si="856">IF(IF(K180&lt;=2.5,IF(Y180&gt;=4.5,L180*F180*1.5,K180*F180*(Y180-3)),0)&lt;0,0,IF(K180&lt;=2.5,IF(Y180&gt;=4.5,L180*F180*1.5,K180*F180*(Y180-3)),0))+IF(R180&lt;H180,0,IF(AND(Y180&lt;=4.5,Y180&gt;3,K180&gt;1.5,K180&lt;=2.5),-U180,0))</f>
        <v>0</v>
      </c>
      <c r="AO180" s="456">
        <f t="shared" si="777"/>
        <v>259.53199999999998</v>
      </c>
      <c r="AP180" s="456">
        <f t="shared" si="778"/>
        <v>161.77553770549332</v>
      </c>
      <c r="AQ180" s="456">
        <f t="shared" si="779"/>
        <v>0</v>
      </c>
      <c r="AR180" s="104">
        <f t="shared" si="780"/>
        <v>0</v>
      </c>
      <c r="AS180" s="449">
        <f t="shared" si="781"/>
        <v>0</v>
      </c>
      <c r="AT180" s="104">
        <f t="shared" si="782"/>
        <v>410.103189745875</v>
      </c>
      <c r="AU180" s="102">
        <f t="shared" si="783"/>
        <v>0</v>
      </c>
      <c r="AV180" s="106">
        <f t="shared" si="784"/>
        <v>25.953199999999999</v>
      </c>
      <c r="AW180" s="104">
        <f t="shared" si="785"/>
        <v>51.906399999999998</v>
      </c>
      <c r="AX180" s="104">
        <f t="shared" si="786"/>
        <v>0</v>
      </c>
      <c r="AY180" s="104">
        <f t="shared" si="787"/>
        <v>1.7</v>
      </c>
      <c r="AZ180" s="104">
        <f t="shared" si="788"/>
        <v>132.40394974587502</v>
      </c>
      <c r="BA180" s="104">
        <f t="shared" si="789"/>
        <v>132.40394974587502</v>
      </c>
      <c r="BB180" s="104">
        <f t="shared" si="790"/>
        <v>19.4649</v>
      </c>
      <c r="BC180" s="104">
        <f t="shared" si="791"/>
        <v>19.4649</v>
      </c>
      <c r="BD180" s="104">
        <f t="shared" si="792"/>
        <v>3.8929799999999997</v>
      </c>
      <c r="BE180" s="104">
        <f t="shared" si="793"/>
        <v>160.90983999999997</v>
      </c>
      <c r="BF180" s="104">
        <f t="shared" si="794"/>
        <v>217.53228795961826</v>
      </c>
      <c r="BG180" s="104">
        <f t="shared" si="795"/>
        <v>160.90983999999997</v>
      </c>
      <c r="BH180" s="104">
        <f t="shared" si="796"/>
        <v>56.622447959618285</v>
      </c>
      <c r="BI180" s="104">
        <f t="shared" si="797"/>
        <v>0</v>
      </c>
      <c r="BJ180" s="102">
        <f t="shared" si="850"/>
        <v>0</v>
      </c>
      <c r="BK180" s="104">
        <f t="shared" si="798"/>
        <v>0</v>
      </c>
      <c r="BL180" s="104"/>
      <c r="BM180" s="104">
        <f t="shared" si="799"/>
        <v>2.8548519999999997</v>
      </c>
      <c r="BN180" s="456">
        <f t="shared" si="800"/>
        <v>0</v>
      </c>
      <c r="BO180" s="471">
        <f t="shared" si="801"/>
        <v>0</v>
      </c>
      <c r="BP180" s="471">
        <f t="shared" si="802"/>
        <v>0</v>
      </c>
      <c r="BQ180" s="471">
        <f t="shared" si="803"/>
        <v>0</v>
      </c>
      <c r="BR180" s="449">
        <f t="shared" si="804"/>
        <v>0</v>
      </c>
      <c r="BS180" s="449">
        <f t="shared" si="805"/>
        <v>0</v>
      </c>
      <c r="BT180" s="449">
        <f t="shared" si="806"/>
        <v>0</v>
      </c>
      <c r="BU180" s="449">
        <f t="shared" si="807"/>
        <v>0</v>
      </c>
      <c r="BV180" s="449">
        <f t="shared" si="808"/>
        <v>0</v>
      </c>
      <c r="BW180" s="449">
        <f t="shared" si="809"/>
        <v>0</v>
      </c>
      <c r="BX180" s="449">
        <f t="shared" si="810"/>
        <v>0</v>
      </c>
      <c r="BY180" s="449">
        <f t="shared" si="811"/>
        <v>0</v>
      </c>
      <c r="BZ180" s="449">
        <f t="shared" si="812"/>
        <v>0</v>
      </c>
      <c r="CA180" s="449">
        <f t="shared" si="813"/>
        <v>0</v>
      </c>
      <c r="CB180" s="449">
        <f t="shared" si="814"/>
        <v>0</v>
      </c>
      <c r="CC180" s="449">
        <f t="shared" si="815"/>
        <v>0</v>
      </c>
      <c r="CD180" s="449">
        <f t="shared" si="816"/>
        <v>0</v>
      </c>
      <c r="CE180" s="449">
        <f t="shared" si="817"/>
        <v>0</v>
      </c>
      <c r="CF180" s="449">
        <f t="shared" si="818"/>
        <v>0</v>
      </c>
      <c r="CG180" s="449">
        <f t="shared" si="819"/>
        <v>0</v>
      </c>
      <c r="CH180" s="449">
        <f t="shared" si="820"/>
        <v>0</v>
      </c>
      <c r="CI180" s="449">
        <f t="shared" si="821"/>
        <v>0</v>
      </c>
      <c r="CJ180" s="472">
        <f t="shared" si="822"/>
        <v>3.44</v>
      </c>
      <c r="CK180" s="449">
        <f t="shared" si="823"/>
        <v>0</v>
      </c>
      <c r="CL180" s="449">
        <f t="shared" si="824"/>
        <v>49.91</v>
      </c>
      <c r="CM180" s="449">
        <f t="shared" si="825"/>
        <v>0</v>
      </c>
      <c r="CN180" s="453">
        <f t="shared" si="826"/>
        <v>0</v>
      </c>
      <c r="CO180" s="453">
        <f t="shared" si="827"/>
        <v>0</v>
      </c>
      <c r="CP180" s="453">
        <f t="shared" si="828"/>
        <v>0</v>
      </c>
      <c r="CQ180" s="453">
        <f t="shared" si="829"/>
        <v>0</v>
      </c>
      <c r="CR180" s="453">
        <f t="shared" si="830"/>
        <v>0</v>
      </c>
      <c r="CS180" s="453">
        <f t="shared" si="831"/>
        <v>0</v>
      </c>
      <c r="CT180" s="473">
        <f t="shared" si="832"/>
        <v>0</v>
      </c>
      <c r="CU180" s="470">
        <f t="shared" si="833"/>
        <v>1</v>
      </c>
      <c r="CV180" s="470">
        <f t="shared" si="834"/>
        <v>0</v>
      </c>
      <c r="CW180" s="470">
        <f t="shared" si="835"/>
        <v>0</v>
      </c>
      <c r="CX180" s="470">
        <f t="shared" si="836"/>
        <v>0</v>
      </c>
      <c r="CY180" s="470">
        <f t="shared" si="837"/>
        <v>0</v>
      </c>
      <c r="CZ180" s="470">
        <f t="shared" si="838"/>
        <v>1</v>
      </c>
      <c r="DA180" s="478">
        <f t="shared" si="839"/>
        <v>1.0899999999999999</v>
      </c>
      <c r="DB180" s="469">
        <v>1.3</v>
      </c>
      <c r="DC180" s="469">
        <v>1.4</v>
      </c>
      <c r="DD180" s="469">
        <v>2</v>
      </c>
      <c r="DE180" s="469">
        <v>2</v>
      </c>
      <c r="DF180" s="476">
        <v>2</v>
      </c>
      <c r="DG180" s="456">
        <f t="shared" si="840"/>
        <v>0</v>
      </c>
      <c r="DH180" s="476">
        <f t="shared" si="841"/>
        <v>0</v>
      </c>
      <c r="DI180" s="476">
        <f t="shared" si="842"/>
        <v>0</v>
      </c>
      <c r="DJ180" s="476">
        <f t="shared" si="843"/>
        <v>0</v>
      </c>
      <c r="DK180" s="476">
        <f t="shared" si="844"/>
        <v>0</v>
      </c>
      <c r="DL180" s="476">
        <f t="shared" si="845"/>
        <v>0</v>
      </c>
      <c r="DM180" s="476">
        <f t="shared" si="846"/>
        <v>149.72999999999999</v>
      </c>
      <c r="DN180" s="476">
        <f t="shared" si="847"/>
        <v>149.72999999999999</v>
      </c>
      <c r="DO180" s="476">
        <f t="shared" si="848"/>
        <v>43.920799999999993</v>
      </c>
      <c r="DP180" s="476">
        <f t="shared" si="849"/>
        <v>0</v>
      </c>
      <c r="DQ180" s="464"/>
      <c r="DR180" s="479">
        <f t="shared" si="854"/>
        <v>2.29</v>
      </c>
    </row>
    <row r="181" spans="1:122" s="86" customFormat="1" x14ac:dyDescent="0.25">
      <c r="A181" s="86" t="s">
        <v>2089</v>
      </c>
      <c r="B181" s="101"/>
      <c r="C181" s="101" t="str">
        <f>'Planilha Hidráulica'!B188</f>
        <v>PV13.3-&gt;PV26.1</v>
      </c>
      <c r="D181" s="258">
        <f>'Planilha Hidráulica'!R188</f>
        <v>2.79</v>
      </c>
      <c r="E181" s="258">
        <f>'Planilha Hidráulica'!S188</f>
        <v>2.9</v>
      </c>
      <c r="F181" s="258">
        <f>'Planilha Hidráulica'!K188</f>
        <v>53.91</v>
      </c>
      <c r="G181" s="101">
        <f>'Planilha Hidráulica'!M188</f>
        <v>1500</v>
      </c>
      <c r="H181" s="449">
        <f t="shared" si="752"/>
        <v>3.3449999999999998</v>
      </c>
      <c r="I181" s="102">
        <f t="shared" si="753"/>
        <v>9.0164474999999982</v>
      </c>
      <c r="J181" s="467">
        <v>0</v>
      </c>
      <c r="K181" s="449">
        <f t="shared" si="754"/>
        <v>2.6</v>
      </c>
      <c r="L181" s="449">
        <f t="shared" si="755"/>
        <v>2.6</v>
      </c>
      <c r="M181" s="449">
        <f>'Planilha Hidráulica'!X188</f>
        <v>1000</v>
      </c>
      <c r="N181" s="449">
        <f t="shared" si="756"/>
        <v>140.166</v>
      </c>
      <c r="O181" s="468" t="str">
        <f>'Planilha Hidráulica'!W188</f>
        <v>ASFALTO</v>
      </c>
      <c r="P181" s="468" t="s">
        <v>2094</v>
      </c>
      <c r="Q181" s="105">
        <v>1</v>
      </c>
      <c r="R181" s="468">
        <v>12</v>
      </c>
      <c r="S181" s="468">
        <v>3.5</v>
      </c>
      <c r="T181" s="449">
        <f t="shared" si="757"/>
        <v>0.2</v>
      </c>
      <c r="U181" s="453">
        <f t="shared" si="758"/>
        <v>42.340814988756435</v>
      </c>
      <c r="V181" s="106">
        <f t="shared" si="759"/>
        <v>482.58085501124344</v>
      </c>
      <c r="W181" s="107">
        <f t="shared" si="760"/>
        <v>0</v>
      </c>
      <c r="X181" s="107">
        <f t="shared" si="761"/>
        <v>0.4</v>
      </c>
      <c r="Y181" s="453">
        <f t="shared" si="762"/>
        <v>3.3449999999999998</v>
      </c>
      <c r="Z181" s="453">
        <f t="shared" si="763"/>
        <v>0</v>
      </c>
      <c r="AA181" s="456">
        <f t="shared" si="764"/>
        <v>140.166</v>
      </c>
      <c r="AB181" s="469">
        <f t="shared" si="765"/>
        <v>0</v>
      </c>
      <c r="AC181" s="109">
        <f t="shared" si="766"/>
        <v>0</v>
      </c>
      <c r="AD181" s="109">
        <f t="shared" si="767"/>
        <v>0</v>
      </c>
      <c r="AE181" s="109">
        <f t="shared" si="768"/>
        <v>0</v>
      </c>
      <c r="AF181" s="109">
        <f t="shared" si="769"/>
        <v>0</v>
      </c>
      <c r="AG181" s="109">
        <f t="shared" si="770"/>
        <v>0</v>
      </c>
      <c r="AH181" s="109">
        <f t="shared" si="771"/>
        <v>56.066400000000002</v>
      </c>
      <c r="AI181" s="109">
        <f t="shared" si="772"/>
        <v>0</v>
      </c>
      <c r="AJ181" s="456">
        <f t="shared" si="773"/>
        <v>0</v>
      </c>
      <c r="AK181" s="456">
        <f t="shared" si="774"/>
        <v>0</v>
      </c>
      <c r="AL181" s="456">
        <f t="shared" si="775"/>
        <v>0</v>
      </c>
      <c r="AM181" s="456">
        <f t="shared" si="855"/>
        <v>0</v>
      </c>
      <c r="AN181" s="456">
        <f t="shared" si="856"/>
        <v>0</v>
      </c>
      <c r="AO181" s="456">
        <f t="shared" si="777"/>
        <v>280.33199999999999</v>
      </c>
      <c r="AP181" s="456">
        <f>IF(IF(K181&gt;2.5,IF(Y181&gt;=4,L181*F181*2,K181*F181*(Y181-2)),0)&lt;0,0,IF(K181&gt;2.5,IF(Y181&gt;=4,L181*F181*2,K181*F181*(Y181-2)),0))-U181</f>
        <v>146.18245501124352</v>
      </c>
      <c r="AQ181" s="456">
        <f>IF(IF(K181&gt;2.5,IF(Y181&gt;=6,L181*F181*2,K181*F181*(Y181-4)),0)&lt;0,0,IF(K181&gt;2.5,IF(Y181&gt;=6,L181*F181*2,K181*F181*(Y181-4)),0))</f>
        <v>0</v>
      </c>
      <c r="AR181" s="104">
        <f t="shared" si="780"/>
        <v>0</v>
      </c>
      <c r="AS181" s="449">
        <f t="shared" si="781"/>
        <v>0</v>
      </c>
      <c r="AT181" s="104">
        <f t="shared" si="782"/>
        <v>429.65483627529795</v>
      </c>
      <c r="AU181" s="102">
        <f t="shared" si="783"/>
        <v>0</v>
      </c>
      <c r="AV181" s="106">
        <f t="shared" si="784"/>
        <v>28.033200000000001</v>
      </c>
      <c r="AW181" s="104">
        <f t="shared" si="785"/>
        <v>56.066400000000002</v>
      </c>
      <c r="AX181" s="104">
        <f t="shared" si="786"/>
        <v>0</v>
      </c>
      <c r="AY181" s="104">
        <f t="shared" si="787"/>
        <v>1.7</v>
      </c>
      <c r="AZ181" s="104">
        <f t="shared" si="788"/>
        <v>143.01536627529799</v>
      </c>
      <c r="BA181" s="104">
        <f t="shared" si="789"/>
        <v>143.01536627529799</v>
      </c>
      <c r="BB181" s="104">
        <f t="shared" si="790"/>
        <v>21.024899999999999</v>
      </c>
      <c r="BC181" s="104">
        <f t="shared" si="791"/>
        <v>21.024899999999999</v>
      </c>
      <c r="BD181" s="104">
        <f t="shared" si="792"/>
        <v>4.2049799999999991</v>
      </c>
      <c r="BE181" s="104">
        <f t="shared" si="793"/>
        <v>160.49006999999995</v>
      </c>
      <c r="BF181" s="104">
        <f t="shared" si="794"/>
        <v>206.40778873594553</v>
      </c>
      <c r="BG181" s="104">
        <f t="shared" si="795"/>
        <v>160.49006999999995</v>
      </c>
      <c r="BH181" s="104">
        <f t="shared" si="796"/>
        <v>45.917718735945584</v>
      </c>
      <c r="BI181" s="104">
        <f t="shared" si="797"/>
        <v>0</v>
      </c>
      <c r="BJ181" s="102">
        <f t="shared" si="850"/>
        <v>0</v>
      </c>
      <c r="BK181" s="104">
        <f t="shared" si="798"/>
        <v>0</v>
      </c>
      <c r="BL181" s="104"/>
      <c r="BM181" s="104">
        <f t="shared" si="799"/>
        <v>3.0836520000000003</v>
      </c>
      <c r="BN181" s="456">
        <f t="shared" si="800"/>
        <v>0</v>
      </c>
      <c r="BO181" s="471">
        <f t="shared" si="801"/>
        <v>0</v>
      </c>
      <c r="BP181" s="471">
        <f t="shared" si="802"/>
        <v>0</v>
      </c>
      <c r="BQ181" s="471">
        <f t="shared" si="803"/>
        <v>0</v>
      </c>
      <c r="BR181" s="449">
        <f t="shared" si="804"/>
        <v>0</v>
      </c>
      <c r="BS181" s="449">
        <f t="shared" si="805"/>
        <v>0</v>
      </c>
      <c r="BT181" s="449">
        <f t="shared" si="806"/>
        <v>0</v>
      </c>
      <c r="BU181" s="449">
        <f t="shared" si="807"/>
        <v>0</v>
      </c>
      <c r="BV181" s="449">
        <f t="shared" si="808"/>
        <v>0</v>
      </c>
      <c r="BW181" s="449">
        <f t="shared" si="809"/>
        <v>0</v>
      </c>
      <c r="BX181" s="449">
        <f t="shared" si="810"/>
        <v>0</v>
      </c>
      <c r="BY181" s="449">
        <f t="shared" si="811"/>
        <v>0</v>
      </c>
      <c r="BZ181" s="449">
        <f t="shared" si="812"/>
        <v>0</v>
      </c>
      <c r="CA181" s="449">
        <f t="shared" si="813"/>
        <v>0</v>
      </c>
      <c r="CB181" s="449">
        <f t="shared" si="814"/>
        <v>0</v>
      </c>
      <c r="CC181" s="449">
        <f t="shared" si="815"/>
        <v>0</v>
      </c>
      <c r="CD181" s="449">
        <f t="shared" si="816"/>
        <v>0</v>
      </c>
      <c r="CE181" s="449">
        <f t="shared" si="817"/>
        <v>0</v>
      </c>
      <c r="CF181" s="449">
        <f t="shared" si="818"/>
        <v>0</v>
      </c>
      <c r="CG181" s="449">
        <f t="shared" si="819"/>
        <v>0</v>
      </c>
      <c r="CH181" s="449">
        <f t="shared" si="820"/>
        <v>0</v>
      </c>
      <c r="CI181" s="449">
        <f t="shared" si="821"/>
        <v>0</v>
      </c>
      <c r="CJ181" s="472">
        <f t="shared" si="822"/>
        <v>3.3449999999999998</v>
      </c>
      <c r="CK181" s="449">
        <f t="shared" si="823"/>
        <v>0</v>
      </c>
      <c r="CL181" s="449">
        <f t="shared" si="824"/>
        <v>53.91</v>
      </c>
      <c r="CM181" s="449">
        <f t="shared" si="825"/>
        <v>0</v>
      </c>
      <c r="CN181" s="453">
        <f t="shared" si="826"/>
        <v>0</v>
      </c>
      <c r="CO181" s="453">
        <f t="shared" si="827"/>
        <v>0</v>
      </c>
      <c r="CP181" s="453">
        <f t="shared" si="828"/>
        <v>0</v>
      </c>
      <c r="CQ181" s="453">
        <f t="shared" si="829"/>
        <v>0</v>
      </c>
      <c r="CR181" s="453">
        <f t="shared" si="830"/>
        <v>0</v>
      </c>
      <c r="CS181" s="453">
        <f t="shared" si="831"/>
        <v>0</v>
      </c>
      <c r="CT181" s="473">
        <f t="shared" si="832"/>
        <v>0</v>
      </c>
      <c r="CU181" s="470">
        <f t="shared" si="833"/>
        <v>1</v>
      </c>
      <c r="CV181" s="470">
        <f t="shared" si="834"/>
        <v>0</v>
      </c>
      <c r="CW181" s="470">
        <f t="shared" si="835"/>
        <v>0</v>
      </c>
      <c r="CX181" s="470">
        <f t="shared" si="836"/>
        <v>0</v>
      </c>
      <c r="CY181" s="470">
        <f t="shared" si="837"/>
        <v>0</v>
      </c>
      <c r="CZ181" s="470">
        <f t="shared" si="838"/>
        <v>1</v>
      </c>
      <c r="DA181" s="478">
        <f t="shared" si="839"/>
        <v>0.79</v>
      </c>
      <c r="DB181" s="469">
        <v>1.3</v>
      </c>
      <c r="DC181" s="469">
        <v>1.4</v>
      </c>
      <c r="DD181" s="469">
        <v>2</v>
      </c>
      <c r="DE181" s="469">
        <v>2</v>
      </c>
      <c r="DF181" s="476">
        <v>2</v>
      </c>
      <c r="DG181" s="456">
        <f t="shared" si="840"/>
        <v>0</v>
      </c>
      <c r="DH181" s="476">
        <f t="shared" si="841"/>
        <v>0</v>
      </c>
      <c r="DI181" s="476">
        <f t="shared" si="842"/>
        <v>0</v>
      </c>
      <c r="DJ181" s="476">
        <f t="shared" si="843"/>
        <v>0</v>
      </c>
      <c r="DK181" s="476">
        <f t="shared" si="844"/>
        <v>0</v>
      </c>
      <c r="DL181" s="476">
        <f t="shared" si="845"/>
        <v>0</v>
      </c>
      <c r="DM181" s="476">
        <f t="shared" si="846"/>
        <v>161.72999999999999</v>
      </c>
      <c r="DN181" s="476">
        <f t="shared" si="847"/>
        <v>161.72999999999999</v>
      </c>
      <c r="DO181" s="476">
        <f t="shared" si="848"/>
        <v>37.197899999999969</v>
      </c>
      <c r="DP181" s="476">
        <f t="shared" si="849"/>
        <v>0</v>
      </c>
      <c r="DQ181" s="464"/>
      <c r="DR181" s="479">
        <f t="shared" si="854"/>
        <v>1.79</v>
      </c>
    </row>
    <row r="182" spans="1:122" s="86" customFormat="1" x14ac:dyDescent="0.25">
      <c r="A182" s="86" t="s">
        <v>2089</v>
      </c>
      <c r="B182" s="101"/>
      <c r="C182" s="101" t="str">
        <f>'Planilha Hidráulica'!B189</f>
        <v>PV26.1-&gt;PV27.1</v>
      </c>
      <c r="D182" s="258">
        <f>'Planilha Hidráulica'!R189</f>
        <v>4.3600000000000003</v>
      </c>
      <c r="E182" s="258">
        <f>'Planilha Hidráulica'!S189</f>
        <v>3.71</v>
      </c>
      <c r="F182" s="258">
        <f>'Planilha Hidráulica'!K189</f>
        <v>60</v>
      </c>
      <c r="G182" s="101">
        <f>'Planilha Hidráulica'!M189</f>
        <v>1650</v>
      </c>
      <c r="H182" s="449">
        <f t="shared" si="752"/>
        <v>4.6350000000000007</v>
      </c>
      <c r="I182" s="102">
        <f t="shared" si="753"/>
        <v>13.905000000000001</v>
      </c>
      <c r="J182" s="467">
        <v>0</v>
      </c>
      <c r="K182" s="449">
        <f t="shared" si="754"/>
        <v>3</v>
      </c>
      <c r="L182" s="449">
        <f t="shared" si="755"/>
        <v>3</v>
      </c>
      <c r="M182" s="449">
        <f>'Planilha Hidráulica'!X189</f>
        <v>1650</v>
      </c>
      <c r="N182" s="449">
        <f t="shared" si="756"/>
        <v>180</v>
      </c>
      <c r="O182" s="468" t="str">
        <f>'Planilha Hidráulica'!W189</f>
        <v>ASFALTO</v>
      </c>
      <c r="P182" s="468" t="s">
        <v>2088</v>
      </c>
      <c r="Q182" s="105">
        <v>1</v>
      </c>
      <c r="R182" s="468">
        <v>5</v>
      </c>
      <c r="S182" s="468">
        <v>5</v>
      </c>
      <c r="T182" s="449">
        <f t="shared" si="757"/>
        <v>0.2</v>
      </c>
      <c r="U182" s="453">
        <f t="shared" si="758"/>
        <v>128.29478999097319</v>
      </c>
      <c r="V182" s="106">
        <f t="shared" si="759"/>
        <v>778.00521000902688</v>
      </c>
      <c r="W182" s="107">
        <f t="shared" si="760"/>
        <v>0</v>
      </c>
      <c r="X182" s="107">
        <f t="shared" si="761"/>
        <v>0.4</v>
      </c>
      <c r="Y182" s="453">
        <f t="shared" si="762"/>
        <v>4.6350000000000007</v>
      </c>
      <c r="Z182" s="453">
        <f t="shared" si="763"/>
        <v>0</v>
      </c>
      <c r="AA182" s="456">
        <f t="shared" si="764"/>
        <v>180</v>
      </c>
      <c r="AB182" s="469">
        <f t="shared" si="765"/>
        <v>0</v>
      </c>
      <c r="AC182" s="109">
        <f t="shared" si="766"/>
        <v>0</v>
      </c>
      <c r="AD182" s="109">
        <f t="shared" si="767"/>
        <v>0</v>
      </c>
      <c r="AE182" s="109">
        <f t="shared" si="768"/>
        <v>0</v>
      </c>
      <c r="AF182" s="109">
        <f t="shared" si="769"/>
        <v>0</v>
      </c>
      <c r="AG182" s="109">
        <f t="shared" si="770"/>
        <v>0</v>
      </c>
      <c r="AH182" s="109">
        <f t="shared" si="771"/>
        <v>0</v>
      </c>
      <c r="AI182" s="109">
        <f t="shared" si="772"/>
        <v>0</v>
      </c>
      <c r="AJ182" s="456">
        <f t="shared" si="773"/>
        <v>0</v>
      </c>
      <c r="AK182" s="456">
        <f t="shared" si="774"/>
        <v>0</v>
      </c>
      <c r="AL182" s="456">
        <f t="shared" si="775"/>
        <v>0</v>
      </c>
      <c r="AM182" s="456">
        <f t="shared" si="855"/>
        <v>0</v>
      </c>
      <c r="AN182" s="456">
        <f t="shared" si="856"/>
        <v>0</v>
      </c>
      <c r="AO182" s="456">
        <f t="shared" si="777"/>
        <v>360</v>
      </c>
      <c r="AP182" s="456">
        <f>IF(IF(K182&gt;2.5,IF(Y182&gt;=4,L182*F182*2,K182*F182*(Y182-2)),0)&lt;0,0,IF(K182&gt;2.5,IF(Y182&gt;=4,L182*F182*2,K182*F182*(Y182-2)),0))+IF(R182&lt;H182,0,IF(AND(Y182&lt;=4,Y182&gt;2,K182&gt;2.5),-U182,0))</f>
        <v>360</v>
      </c>
      <c r="AQ182" s="456">
        <f>IF(IF(K182&gt;2.5,IF(Y182&gt;=6,L182*F182*2,K182*F182*(Y182-4)),0)&lt;0,0,IF(K182&gt;2.5,IF(Y182&gt;=6,L182*F182*2,K182*F182*(Y182-4)),0))-56.29</f>
        <v>58.010000000000126</v>
      </c>
      <c r="AR182" s="104">
        <f t="shared" si="780"/>
        <v>0</v>
      </c>
      <c r="AS182" s="449">
        <f t="shared" si="781"/>
        <v>0</v>
      </c>
      <c r="AT182" s="104">
        <f t="shared" si="782"/>
        <v>778.00521000902688</v>
      </c>
      <c r="AU182" s="102">
        <f t="shared" si="783"/>
        <v>0</v>
      </c>
      <c r="AV182" s="106">
        <f t="shared" si="784"/>
        <v>36</v>
      </c>
      <c r="AW182" s="104">
        <f t="shared" si="785"/>
        <v>72</v>
      </c>
      <c r="AX182" s="104">
        <f t="shared" si="786"/>
        <v>0</v>
      </c>
      <c r="AY182" s="104">
        <f t="shared" si="787"/>
        <v>1.8499999999999999</v>
      </c>
      <c r="AZ182" s="104">
        <f t="shared" si="788"/>
        <v>204.70521000902684</v>
      </c>
      <c r="BA182" s="104">
        <f t="shared" si="789"/>
        <v>204.70521000902684</v>
      </c>
      <c r="BB182" s="104">
        <f t="shared" si="790"/>
        <v>27</v>
      </c>
      <c r="BC182" s="104">
        <f t="shared" si="791"/>
        <v>27</v>
      </c>
      <c r="BD182" s="104">
        <f t="shared" si="792"/>
        <v>5.3999999999999995</v>
      </c>
      <c r="BE182" s="104">
        <f t="shared" si="793"/>
        <v>411.30000000000007</v>
      </c>
      <c r="BF182" s="104">
        <f t="shared" si="794"/>
        <v>474.30478999097329</v>
      </c>
      <c r="BG182" s="104">
        <f t="shared" si="795"/>
        <v>411.30000000000007</v>
      </c>
      <c r="BH182" s="104">
        <f t="shared" si="796"/>
        <v>63.004789990973222</v>
      </c>
      <c r="BI182" s="104">
        <f t="shared" si="797"/>
        <v>0</v>
      </c>
      <c r="BJ182" s="102">
        <f t="shared" si="850"/>
        <v>0</v>
      </c>
      <c r="BK182" s="104">
        <f t="shared" si="798"/>
        <v>0</v>
      </c>
      <c r="BL182" s="104"/>
      <c r="BM182" s="104">
        <f t="shared" si="799"/>
        <v>3.96</v>
      </c>
      <c r="BN182" s="456">
        <f t="shared" si="800"/>
        <v>0</v>
      </c>
      <c r="BO182" s="471">
        <f t="shared" si="801"/>
        <v>0</v>
      </c>
      <c r="BP182" s="471">
        <f t="shared" si="802"/>
        <v>0</v>
      </c>
      <c r="BQ182" s="471">
        <f t="shared" si="803"/>
        <v>0</v>
      </c>
      <c r="BR182" s="449">
        <f t="shared" si="804"/>
        <v>0</v>
      </c>
      <c r="BS182" s="449">
        <f t="shared" si="805"/>
        <v>0</v>
      </c>
      <c r="BT182" s="449">
        <f t="shared" si="806"/>
        <v>0</v>
      </c>
      <c r="BU182" s="449">
        <f t="shared" si="807"/>
        <v>0</v>
      </c>
      <c r="BV182" s="449">
        <f t="shared" si="808"/>
        <v>0</v>
      </c>
      <c r="BW182" s="449">
        <f t="shared" si="809"/>
        <v>0</v>
      </c>
      <c r="BX182" s="449">
        <f t="shared" si="810"/>
        <v>0</v>
      </c>
      <c r="BY182" s="449">
        <f t="shared" si="811"/>
        <v>0</v>
      </c>
      <c r="BZ182" s="449">
        <f t="shared" si="812"/>
        <v>0</v>
      </c>
      <c r="CA182" s="449">
        <f t="shared" si="813"/>
        <v>0</v>
      </c>
      <c r="CB182" s="449">
        <f t="shared" si="814"/>
        <v>0</v>
      </c>
      <c r="CC182" s="449">
        <f t="shared" si="815"/>
        <v>0</v>
      </c>
      <c r="CD182" s="449">
        <f t="shared" si="816"/>
        <v>0</v>
      </c>
      <c r="CE182" s="449">
        <f t="shared" si="817"/>
        <v>0</v>
      </c>
      <c r="CF182" s="449">
        <f t="shared" si="818"/>
        <v>0</v>
      </c>
      <c r="CG182" s="449">
        <f t="shared" si="819"/>
        <v>0</v>
      </c>
      <c r="CH182" s="449">
        <f t="shared" si="820"/>
        <v>0</v>
      </c>
      <c r="CI182" s="449">
        <f t="shared" si="821"/>
        <v>0</v>
      </c>
      <c r="CJ182" s="472">
        <f t="shared" si="822"/>
        <v>0</v>
      </c>
      <c r="CK182" s="449">
        <f t="shared" si="823"/>
        <v>0</v>
      </c>
      <c r="CL182" s="449">
        <f t="shared" si="824"/>
        <v>0</v>
      </c>
      <c r="CM182" s="449">
        <f t="shared" si="825"/>
        <v>0</v>
      </c>
      <c r="CN182" s="453">
        <f t="shared" si="826"/>
        <v>60</v>
      </c>
      <c r="CO182" s="453">
        <f t="shared" si="827"/>
        <v>0</v>
      </c>
      <c r="CP182" s="453">
        <f t="shared" si="828"/>
        <v>0</v>
      </c>
      <c r="CQ182" s="453">
        <f t="shared" si="829"/>
        <v>0</v>
      </c>
      <c r="CR182" s="453">
        <f t="shared" si="830"/>
        <v>0</v>
      </c>
      <c r="CS182" s="453">
        <f t="shared" si="831"/>
        <v>0</v>
      </c>
      <c r="CT182" s="473">
        <f t="shared" si="832"/>
        <v>0</v>
      </c>
      <c r="CU182" s="470">
        <f t="shared" si="833"/>
        <v>1</v>
      </c>
      <c r="CV182" s="470">
        <f t="shared" si="834"/>
        <v>0</v>
      </c>
      <c r="CW182" s="470">
        <f t="shared" si="835"/>
        <v>0</v>
      </c>
      <c r="CX182" s="470">
        <f t="shared" si="836"/>
        <v>0</v>
      </c>
      <c r="CY182" s="470">
        <f t="shared" si="837"/>
        <v>0</v>
      </c>
      <c r="CZ182" s="470">
        <f t="shared" si="838"/>
        <v>0</v>
      </c>
      <c r="DA182" s="478">
        <f t="shared" si="839"/>
        <v>2.3600000000000003</v>
      </c>
      <c r="DB182" s="469">
        <v>1.3</v>
      </c>
      <c r="DC182" s="469">
        <v>1.4</v>
      </c>
      <c r="DD182" s="469">
        <v>2</v>
      </c>
      <c r="DE182" s="469">
        <v>2</v>
      </c>
      <c r="DF182" s="476">
        <v>2</v>
      </c>
      <c r="DG182" s="456">
        <f t="shared" si="840"/>
        <v>0</v>
      </c>
      <c r="DH182" s="476">
        <f t="shared" si="841"/>
        <v>0</v>
      </c>
      <c r="DI182" s="476">
        <f t="shared" si="842"/>
        <v>0</v>
      </c>
      <c r="DJ182" s="476">
        <f t="shared" si="843"/>
        <v>0</v>
      </c>
      <c r="DK182" s="476">
        <f t="shared" si="844"/>
        <v>0</v>
      </c>
      <c r="DL182" s="476">
        <f t="shared" si="845"/>
        <v>0</v>
      </c>
      <c r="DM182" s="476">
        <f t="shared" si="846"/>
        <v>180</v>
      </c>
      <c r="DN182" s="476">
        <f t="shared" si="847"/>
        <v>180</v>
      </c>
      <c r="DO182" s="476">
        <f t="shared" si="848"/>
        <v>180</v>
      </c>
      <c r="DP182" s="476">
        <f t="shared" si="849"/>
        <v>16.200000000000081</v>
      </c>
      <c r="DQ182" s="464"/>
      <c r="DR182" s="479">
        <f t="shared" si="854"/>
        <v>2.7100000000000004</v>
      </c>
    </row>
    <row r="183" spans="1:122" s="86" customFormat="1" ht="25" x14ac:dyDescent="0.25">
      <c r="B183" s="101"/>
      <c r="C183" s="101" t="str">
        <f>'Planilha Hidráulica'!B190</f>
        <v>PV27.1-&gt;PV28.1</v>
      </c>
      <c r="D183" s="258">
        <f>'Planilha Hidráulica'!R190</f>
        <v>3.71</v>
      </c>
      <c r="E183" s="258">
        <f>'Planilha Hidráulica'!S190</f>
        <v>3.35</v>
      </c>
      <c r="F183" s="258">
        <f>'Planilha Hidráulica'!K190</f>
        <v>52.38</v>
      </c>
      <c r="G183" s="101">
        <f>'Planilha Hidráulica'!M190</f>
        <v>1650</v>
      </c>
      <c r="H183" s="449">
        <f t="shared" si="752"/>
        <v>4.13</v>
      </c>
      <c r="I183" s="102">
        <f t="shared" si="753"/>
        <v>10.816469999999999</v>
      </c>
      <c r="J183" s="467">
        <v>0</v>
      </c>
      <c r="K183" s="449">
        <f t="shared" si="754"/>
        <v>3</v>
      </c>
      <c r="L183" s="449">
        <f t="shared" si="755"/>
        <v>3</v>
      </c>
      <c r="M183" s="449">
        <f>'Planilha Hidráulica'!X190</f>
        <v>1650</v>
      </c>
      <c r="N183" s="449">
        <f t="shared" si="756"/>
        <v>157.14000000000001</v>
      </c>
      <c r="O183" s="468" t="str">
        <f>'Planilha Hidráulica'!W190</f>
        <v>TERRENO NATURAL</v>
      </c>
      <c r="P183" s="468" t="s">
        <v>2088</v>
      </c>
      <c r="Q183" s="105">
        <v>1</v>
      </c>
      <c r="R183" s="468">
        <v>5</v>
      </c>
      <c r="S183" s="468">
        <v>5</v>
      </c>
      <c r="T183" s="449">
        <f t="shared" si="757"/>
        <v>0.2</v>
      </c>
      <c r="U183" s="453">
        <f t="shared" si="758"/>
        <v>112.00135166211959</v>
      </c>
      <c r="V183" s="106">
        <f t="shared" si="759"/>
        <v>599.84284833788047</v>
      </c>
      <c r="W183" s="107">
        <f t="shared" si="760"/>
        <v>0</v>
      </c>
      <c r="X183" s="107">
        <f t="shared" si="761"/>
        <v>0.4</v>
      </c>
      <c r="Y183" s="453">
        <f t="shared" si="762"/>
        <v>4.13</v>
      </c>
      <c r="Z183" s="453">
        <f t="shared" si="763"/>
        <v>0</v>
      </c>
      <c r="AA183" s="456">
        <f t="shared" si="764"/>
        <v>0</v>
      </c>
      <c r="AB183" s="469">
        <f t="shared" si="765"/>
        <v>0</v>
      </c>
      <c r="AC183" s="109">
        <f t="shared" si="766"/>
        <v>0</v>
      </c>
      <c r="AD183" s="109">
        <f t="shared" si="767"/>
        <v>0</v>
      </c>
      <c r="AE183" s="109">
        <f t="shared" si="768"/>
        <v>0</v>
      </c>
      <c r="AF183" s="109">
        <f t="shared" si="769"/>
        <v>0</v>
      </c>
      <c r="AG183" s="109">
        <f t="shared" si="770"/>
        <v>0</v>
      </c>
      <c r="AH183" s="109">
        <f t="shared" si="771"/>
        <v>0</v>
      </c>
      <c r="AI183" s="109">
        <f t="shared" si="772"/>
        <v>0</v>
      </c>
      <c r="AJ183" s="456">
        <f t="shared" si="773"/>
        <v>0</v>
      </c>
      <c r="AK183" s="456">
        <f t="shared" si="774"/>
        <v>0</v>
      </c>
      <c r="AL183" s="456">
        <f t="shared" si="775"/>
        <v>0</v>
      </c>
      <c r="AM183" s="456">
        <f t="shared" si="855"/>
        <v>0</v>
      </c>
      <c r="AN183" s="456">
        <f t="shared" si="856"/>
        <v>0</v>
      </c>
      <c r="AO183" s="456">
        <f t="shared" si="777"/>
        <v>314.28000000000003</v>
      </c>
      <c r="AP183" s="456">
        <f>IF(IF(K183&gt;2.5,IF(Y183&gt;=4,L183*F183*2,K183*F183*(Y183-2)),0)&lt;0,0,IF(K183&gt;2.5,IF(Y183&gt;=4,L183*F183*2,K183*F183*(Y183-2)),0))+IF(R183&lt;H183,0,IF(AND(Y183&lt;=4,Y183&gt;2,K183&gt;2.5),-U183,0))-U183</f>
        <v>202.27864833788044</v>
      </c>
      <c r="AQ183" s="456">
        <f>IF(IF(K183&gt;2.5,IF(Y183&gt;=6,L183*F183*2,K183*F183*(Y183-4)),0)&lt;0,0,IF(K183&gt;2.5,IF(Y183&gt;=6,L183*F183*2,K183*F183*(Y183-4)),0))</f>
        <v>20.428199999999986</v>
      </c>
      <c r="AR183" s="104">
        <f t="shared" si="780"/>
        <v>62.86</v>
      </c>
      <c r="AS183" s="449">
        <f t="shared" si="781"/>
        <v>0</v>
      </c>
      <c r="AT183" s="104">
        <f t="shared" si="782"/>
        <v>599.84284833788047</v>
      </c>
      <c r="AU183" s="102">
        <f t="shared" si="783"/>
        <v>0</v>
      </c>
      <c r="AV183" s="106">
        <f t="shared" si="784"/>
        <v>31.428000000000004</v>
      </c>
      <c r="AW183" s="104">
        <f t="shared" si="785"/>
        <v>62.856000000000009</v>
      </c>
      <c r="AX183" s="104">
        <f t="shared" si="786"/>
        <v>0</v>
      </c>
      <c r="AY183" s="104">
        <f t="shared" si="787"/>
        <v>1.8499999999999999</v>
      </c>
      <c r="AZ183" s="104">
        <f t="shared" si="788"/>
        <v>178.70764833788044</v>
      </c>
      <c r="BA183" s="104">
        <f t="shared" si="789"/>
        <v>178.70764833788044</v>
      </c>
      <c r="BB183" s="104">
        <f t="shared" si="790"/>
        <v>0</v>
      </c>
      <c r="BC183" s="104">
        <f t="shared" si="791"/>
        <v>0</v>
      </c>
      <c r="BD183" s="104">
        <f t="shared" si="792"/>
        <v>0</v>
      </c>
      <c r="BE183" s="104">
        <f t="shared" si="793"/>
        <v>326.85120000000006</v>
      </c>
      <c r="BF183" s="104">
        <f t="shared" si="794"/>
        <v>295.42319999999995</v>
      </c>
      <c r="BG183" s="104">
        <f t="shared" si="795"/>
        <v>295.42319999999995</v>
      </c>
      <c r="BH183" s="104">
        <f t="shared" si="796"/>
        <v>0</v>
      </c>
      <c r="BI183" s="104">
        <f t="shared" si="797"/>
        <v>31.428000000000111</v>
      </c>
      <c r="BJ183" s="102">
        <f t="shared" si="850"/>
        <v>31.428000000000111</v>
      </c>
      <c r="BK183" s="104">
        <f t="shared" si="798"/>
        <v>0</v>
      </c>
      <c r="BL183" s="104"/>
      <c r="BM183" s="104">
        <f t="shared" si="799"/>
        <v>2.5142400000000005</v>
      </c>
      <c r="BN183" s="456">
        <f t="shared" si="800"/>
        <v>0</v>
      </c>
      <c r="BO183" s="471">
        <f t="shared" si="801"/>
        <v>0</v>
      </c>
      <c r="BP183" s="471">
        <f t="shared" si="802"/>
        <v>0</v>
      </c>
      <c r="BQ183" s="471">
        <f t="shared" si="803"/>
        <v>0</v>
      </c>
      <c r="BR183" s="449">
        <f t="shared" si="804"/>
        <v>0</v>
      </c>
      <c r="BS183" s="449">
        <f t="shared" si="805"/>
        <v>0</v>
      </c>
      <c r="BT183" s="449">
        <f t="shared" si="806"/>
        <v>0</v>
      </c>
      <c r="BU183" s="449">
        <f t="shared" si="807"/>
        <v>0</v>
      </c>
      <c r="BV183" s="449">
        <f t="shared" si="808"/>
        <v>0</v>
      </c>
      <c r="BW183" s="449">
        <f t="shared" si="809"/>
        <v>0</v>
      </c>
      <c r="BX183" s="449">
        <f t="shared" si="810"/>
        <v>0</v>
      </c>
      <c r="BY183" s="449">
        <f t="shared" si="811"/>
        <v>0</v>
      </c>
      <c r="BZ183" s="449">
        <f t="shared" si="812"/>
        <v>0</v>
      </c>
      <c r="CA183" s="449">
        <f t="shared" si="813"/>
        <v>0</v>
      </c>
      <c r="CB183" s="449">
        <f t="shared" si="814"/>
        <v>0</v>
      </c>
      <c r="CC183" s="449">
        <f t="shared" si="815"/>
        <v>0</v>
      </c>
      <c r="CD183" s="449">
        <f t="shared" si="816"/>
        <v>0</v>
      </c>
      <c r="CE183" s="449">
        <f t="shared" si="817"/>
        <v>0</v>
      </c>
      <c r="CF183" s="449">
        <f t="shared" si="818"/>
        <v>0</v>
      </c>
      <c r="CG183" s="449">
        <f t="shared" si="819"/>
        <v>0</v>
      </c>
      <c r="CH183" s="449">
        <f t="shared" si="820"/>
        <v>0</v>
      </c>
      <c r="CI183" s="449">
        <f t="shared" si="821"/>
        <v>0</v>
      </c>
      <c r="CJ183" s="472">
        <f t="shared" si="822"/>
        <v>0</v>
      </c>
      <c r="CK183" s="449">
        <f t="shared" si="823"/>
        <v>0</v>
      </c>
      <c r="CL183" s="449">
        <f t="shared" si="824"/>
        <v>0</v>
      </c>
      <c r="CM183" s="449">
        <f t="shared" si="825"/>
        <v>0</v>
      </c>
      <c r="CN183" s="453">
        <f t="shared" si="826"/>
        <v>52.38</v>
      </c>
      <c r="CO183" s="453">
        <f t="shared" si="827"/>
        <v>0</v>
      </c>
      <c r="CP183" s="453">
        <f t="shared" si="828"/>
        <v>0</v>
      </c>
      <c r="CQ183" s="453">
        <f t="shared" si="829"/>
        <v>0</v>
      </c>
      <c r="CR183" s="453">
        <f t="shared" si="830"/>
        <v>0</v>
      </c>
      <c r="CS183" s="453">
        <f t="shared" si="831"/>
        <v>0</v>
      </c>
      <c r="CT183" s="473">
        <f t="shared" si="832"/>
        <v>0</v>
      </c>
      <c r="CU183" s="470">
        <f t="shared" si="833"/>
        <v>1</v>
      </c>
      <c r="CV183" s="470">
        <f t="shared" si="834"/>
        <v>0</v>
      </c>
      <c r="CW183" s="470">
        <f t="shared" si="835"/>
        <v>0</v>
      </c>
      <c r="CX183" s="470">
        <f t="shared" si="836"/>
        <v>0</v>
      </c>
      <c r="CY183" s="470">
        <f t="shared" si="837"/>
        <v>0</v>
      </c>
      <c r="CZ183" s="470">
        <f t="shared" si="838"/>
        <v>0</v>
      </c>
      <c r="DA183" s="478">
        <f t="shared" si="839"/>
        <v>1.71</v>
      </c>
      <c r="DB183" s="469">
        <v>1.3</v>
      </c>
      <c r="DC183" s="469">
        <v>1.4</v>
      </c>
      <c r="DD183" s="469">
        <v>2</v>
      </c>
      <c r="DE183" s="469">
        <v>2</v>
      </c>
      <c r="DF183" s="476">
        <v>2</v>
      </c>
      <c r="DG183" s="456">
        <f t="shared" si="840"/>
        <v>0</v>
      </c>
      <c r="DH183" s="476">
        <f t="shared" si="841"/>
        <v>0</v>
      </c>
      <c r="DI183" s="476">
        <f t="shared" si="842"/>
        <v>0</v>
      </c>
      <c r="DJ183" s="476">
        <f t="shared" si="843"/>
        <v>0</v>
      </c>
      <c r="DK183" s="476">
        <f t="shared" si="844"/>
        <v>0</v>
      </c>
      <c r="DL183" s="476">
        <f t="shared" si="845"/>
        <v>0</v>
      </c>
      <c r="DM183" s="476">
        <f t="shared" si="846"/>
        <v>157.14000000000001</v>
      </c>
      <c r="DN183" s="476">
        <f t="shared" si="847"/>
        <v>157.14000000000001</v>
      </c>
      <c r="DO183" s="476">
        <f t="shared" si="848"/>
        <v>118.3788</v>
      </c>
      <c r="DP183" s="476">
        <f t="shared" si="849"/>
        <v>0</v>
      </c>
      <c r="DQ183" s="464"/>
      <c r="DR183" s="479">
        <f t="shared" si="854"/>
        <v>2.06</v>
      </c>
    </row>
    <row r="184" spans="1:122" s="86" customFormat="1" ht="25" x14ac:dyDescent="0.25">
      <c r="B184" s="101"/>
      <c r="C184" s="101" t="str">
        <f>'Planilha Hidráulica'!B191</f>
        <v>PV28.1-&gt;PV29.1</v>
      </c>
      <c r="D184" s="258">
        <f>'Planilha Hidráulica'!R191</f>
        <v>3.35</v>
      </c>
      <c r="E184" s="258">
        <f>'Planilha Hidráulica'!S191</f>
        <v>2.5</v>
      </c>
      <c r="F184" s="258">
        <f>'Planilha Hidráulica'!K191</f>
        <v>52.38</v>
      </c>
      <c r="G184" s="101">
        <f>'Planilha Hidráulica'!M191</f>
        <v>1650</v>
      </c>
      <c r="H184" s="449">
        <f t="shared" si="752"/>
        <v>3.5249999999999999</v>
      </c>
      <c r="I184" s="102">
        <f t="shared" si="753"/>
        <v>9.2319750000000003</v>
      </c>
      <c r="J184" s="467">
        <v>0</v>
      </c>
      <c r="K184" s="449">
        <f t="shared" si="754"/>
        <v>3</v>
      </c>
      <c r="L184" s="449">
        <f t="shared" si="755"/>
        <v>3</v>
      </c>
      <c r="M184" s="449">
        <f>'Planilha Hidráulica'!X191</f>
        <v>1200</v>
      </c>
      <c r="N184" s="449">
        <f t="shared" si="756"/>
        <v>157.14000000000001</v>
      </c>
      <c r="O184" s="468" t="str">
        <f>'Planilha Hidráulica'!W191</f>
        <v>TERRENO NATURAL</v>
      </c>
      <c r="P184" s="468" t="s">
        <v>2088</v>
      </c>
      <c r="Q184" s="105">
        <v>1</v>
      </c>
      <c r="R184" s="468">
        <v>5</v>
      </c>
      <c r="S184" s="468">
        <v>5</v>
      </c>
      <c r="T184" s="449">
        <f t="shared" si="757"/>
        <v>0.2</v>
      </c>
      <c r="U184" s="453">
        <f t="shared" si="758"/>
        <v>59.240384350212018</v>
      </c>
      <c r="V184" s="106">
        <f t="shared" si="759"/>
        <v>557.53411564978796</v>
      </c>
      <c r="W184" s="107">
        <f t="shared" si="760"/>
        <v>0</v>
      </c>
      <c r="X184" s="107">
        <f t="shared" si="761"/>
        <v>0.4</v>
      </c>
      <c r="Y184" s="453">
        <f t="shared" si="762"/>
        <v>3.5249999999999999</v>
      </c>
      <c r="Z184" s="453">
        <f t="shared" si="763"/>
        <v>0</v>
      </c>
      <c r="AA184" s="456">
        <f t="shared" si="764"/>
        <v>0</v>
      </c>
      <c r="AB184" s="469">
        <f t="shared" si="765"/>
        <v>0</v>
      </c>
      <c r="AC184" s="109">
        <f t="shared" si="766"/>
        <v>0</v>
      </c>
      <c r="AD184" s="109">
        <f t="shared" si="767"/>
        <v>0</v>
      </c>
      <c r="AE184" s="109">
        <f t="shared" si="768"/>
        <v>0</v>
      </c>
      <c r="AF184" s="109">
        <f t="shared" si="769"/>
        <v>0</v>
      </c>
      <c r="AG184" s="109">
        <f t="shared" si="770"/>
        <v>0</v>
      </c>
      <c r="AH184" s="109">
        <f t="shared" si="771"/>
        <v>0</v>
      </c>
      <c r="AI184" s="109">
        <f t="shared" si="772"/>
        <v>0</v>
      </c>
      <c r="AJ184" s="456">
        <f t="shared" si="773"/>
        <v>0</v>
      </c>
      <c r="AK184" s="456">
        <f t="shared" si="774"/>
        <v>0</v>
      </c>
      <c r="AL184" s="456">
        <f t="shared" si="775"/>
        <v>0</v>
      </c>
      <c r="AM184" s="456">
        <f t="shared" si="855"/>
        <v>0</v>
      </c>
      <c r="AN184" s="456">
        <f t="shared" si="856"/>
        <v>0</v>
      </c>
      <c r="AO184" s="456">
        <f t="shared" si="777"/>
        <v>314.28000000000003</v>
      </c>
      <c r="AP184" s="456">
        <f>IF(IF(K184&gt;2.5,IF(Y184&gt;=4,L184*F184*2,K184*F184*(Y184-2)),0)&lt;0,0,IF(K184&gt;2.5,IF(Y184&gt;=4,L184*F184*2,K184*F184*(Y184-2)),0))+IF(R184&lt;H184,0,IF(AND(Y184&lt;=4,Y184&gt;2,K184&gt;2.5),-U184,0))</f>
        <v>180.398115649788</v>
      </c>
      <c r="AQ184" s="456">
        <f>IF(IF(K184&gt;2.5,IF(Y184&gt;=6,L184*F184*2,K184*F184*(Y184-4)),0)&lt;0,0,IF(K184&gt;2.5,IF(Y184&gt;=6,L184*F184*2,K184*F184*(Y184-4)),0))+IF(R184&lt;H184,0,IF(AND(Y184&lt;=6,Y184&gt;4,K184&gt;2.5),-U184,0))</f>
        <v>0</v>
      </c>
      <c r="AR184" s="104">
        <f t="shared" si="780"/>
        <v>62.86</v>
      </c>
      <c r="AS184" s="449">
        <f t="shared" si="781"/>
        <v>0</v>
      </c>
      <c r="AT184" s="104">
        <f t="shared" si="782"/>
        <v>504.7731483378804</v>
      </c>
      <c r="AU184" s="102">
        <f t="shared" si="783"/>
        <v>0</v>
      </c>
      <c r="AV184" s="106">
        <f t="shared" si="784"/>
        <v>31.428000000000004</v>
      </c>
      <c r="AW184" s="104">
        <f t="shared" si="785"/>
        <v>62.856000000000009</v>
      </c>
      <c r="AX184" s="104">
        <f t="shared" si="786"/>
        <v>0</v>
      </c>
      <c r="AY184" s="104">
        <f t="shared" si="787"/>
        <v>1.8499999999999999</v>
      </c>
      <c r="AZ184" s="104">
        <f t="shared" si="788"/>
        <v>178.70764833788044</v>
      </c>
      <c r="BA184" s="104">
        <f t="shared" si="789"/>
        <v>178.70764833788044</v>
      </c>
      <c r="BB184" s="104">
        <f t="shared" si="790"/>
        <v>0</v>
      </c>
      <c r="BC184" s="104">
        <f t="shared" si="791"/>
        <v>0</v>
      </c>
      <c r="BD184" s="104">
        <f t="shared" si="792"/>
        <v>0</v>
      </c>
      <c r="BE184" s="104">
        <f t="shared" si="793"/>
        <v>231.78149999999997</v>
      </c>
      <c r="BF184" s="104">
        <f t="shared" si="794"/>
        <v>253.11446731190759</v>
      </c>
      <c r="BG184" s="104">
        <f t="shared" si="795"/>
        <v>231.78149999999997</v>
      </c>
      <c r="BH184" s="104">
        <f t="shared" si="796"/>
        <v>21.332967311907623</v>
      </c>
      <c r="BI184" s="104">
        <f t="shared" si="797"/>
        <v>0</v>
      </c>
      <c r="BJ184" s="102">
        <f t="shared" si="850"/>
        <v>0</v>
      </c>
      <c r="BK184" s="104">
        <f t="shared" si="798"/>
        <v>0</v>
      </c>
      <c r="BL184" s="104"/>
      <c r="BM184" s="104">
        <f t="shared" si="799"/>
        <v>2.5142400000000005</v>
      </c>
      <c r="BN184" s="456">
        <f t="shared" si="800"/>
        <v>0</v>
      </c>
      <c r="BO184" s="471">
        <f t="shared" si="801"/>
        <v>0</v>
      </c>
      <c r="BP184" s="471">
        <f t="shared" si="802"/>
        <v>0</v>
      </c>
      <c r="BQ184" s="471">
        <f t="shared" si="803"/>
        <v>0</v>
      </c>
      <c r="BR184" s="449">
        <f t="shared" si="804"/>
        <v>0</v>
      </c>
      <c r="BS184" s="449">
        <f t="shared" si="805"/>
        <v>0</v>
      </c>
      <c r="BT184" s="449">
        <f t="shared" si="806"/>
        <v>0</v>
      </c>
      <c r="BU184" s="449">
        <f t="shared" si="807"/>
        <v>0</v>
      </c>
      <c r="BV184" s="449">
        <f t="shared" si="808"/>
        <v>0</v>
      </c>
      <c r="BW184" s="449">
        <f t="shared" si="809"/>
        <v>0</v>
      </c>
      <c r="BX184" s="449">
        <f t="shared" si="810"/>
        <v>0</v>
      </c>
      <c r="BY184" s="449">
        <f t="shared" si="811"/>
        <v>0</v>
      </c>
      <c r="BZ184" s="449">
        <f t="shared" si="812"/>
        <v>0</v>
      </c>
      <c r="CA184" s="449">
        <f t="shared" si="813"/>
        <v>0</v>
      </c>
      <c r="CB184" s="449">
        <f t="shared" si="814"/>
        <v>0</v>
      </c>
      <c r="CC184" s="449">
        <f t="shared" si="815"/>
        <v>0</v>
      </c>
      <c r="CD184" s="449">
        <f t="shared" si="816"/>
        <v>0</v>
      </c>
      <c r="CE184" s="449">
        <f t="shared" si="817"/>
        <v>0</v>
      </c>
      <c r="CF184" s="449">
        <f t="shared" si="818"/>
        <v>0</v>
      </c>
      <c r="CG184" s="449">
        <f t="shared" si="819"/>
        <v>0</v>
      </c>
      <c r="CH184" s="449">
        <f t="shared" si="820"/>
        <v>0</v>
      </c>
      <c r="CI184" s="449">
        <f t="shared" si="821"/>
        <v>0</v>
      </c>
      <c r="CJ184" s="472">
        <f t="shared" si="822"/>
        <v>0</v>
      </c>
      <c r="CK184" s="449">
        <f t="shared" si="823"/>
        <v>0</v>
      </c>
      <c r="CL184" s="449">
        <f t="shared" si="824"/>
        <v>0</v>
      </c>
      <c r="CM184" s="449">
        <f t="shared" si="825"/>
        <v>0</v>
      </c>
      <c r="CN184" s="453">
        <f t="shared" si="826"/>
        <v>52.38</v>
      </c>
      <c r="CO184" s="453">
        <f t="shared" si="827"/>
        <v>0</v>
      </c>
      <c r="CP184" s="453">
        <f t="shared" si="828"/>
        <v>0</v>
      </c>
      <c r="CQ184" s="453">
        <f t="shared" si="829"/>
        <v>0</v>
      </c>
      <c r="CR184" s="453">
        <f t="shared" si="830"/>
        <v>0</v>
      </c>
      <c r="CS184" s="453">
        <f t="shared" si="831"/>
        <v>0</v>
      </c>
      <c r="CT184" s="473">
        <f t="shared" si="832"/>
        <v>0</v>
      </c>
      <c r="CU184" s="470">
        <f t="shared" si="833"/>
        <v>1</v>
      </c>
      <c r="CV184" s="470">
        <f t="shared" si="834"/>
        <v>0</v>
      </c>
      <c r="CW184" s="470">
        <f t="shared" si="835"/>
        <v>0</v>
      </c>
      <c r="CX184" s="470">
        <f t="shared" si="836"/>
        <v>0</v>
      </c>
      <c r="CY184" s="470">
        <f t="shared" si="837"/>
        <v>0</v>
      </c>
      <c r="CZ184" s="470">
        <f t="shared" si="838"/>
        <v>0</v>
      </c>
      <c r="DA184" s="478">
        <f t="shared" si="839"/>
        <v>1.35</v>
      </c>
      <c r="DB184" s="469">
        <v>1.3</v>
      </c>
      <c r="DC184" s="469">
        <v>1.4</v>
      </c>
      <c r="DD184" s="469">
        <v>2</v>
      </c>
      <c r="DE184" s="469">
        <v>2</v>
      </c>
      <c r="DF184" s="476">
        <v>2</v>
      </c>
      <c r="DG184" s="456">
        <f t="shared" si="840"/>
        <v>0</v>
      </c>
      <c r="DH184" s="476">
        <f t="shared" si="841"/>
        <v>0</v>
      </c>
      <c r="DI184" s="476">
        <f t="shared" si="842"/>
        <v>0</v>
      </c>
      <c r="DJ184" s="476">
        <f t="shared" si="843"/>
        <v>0</v>
      </c>
      <c r="DK184" s="476">
        <f t="shared" si="844"/>
        <v>0</v>
      </c>
      <c r="DL184" s="476">
        <f t="shared" si="845"/>
        <v>0</v>
      </c>
      <c r="DM184" s="476">
        <f t="shared" si="846"/>
        <v>157.14000000000001</v>
      </c>
      <c r="DN184" s="476">
        <f t="shared" si="847"/>
        <v>157.14000000000001</v>
      </c>
      <c r="DO184" s="476">
        <f t="shared" si="848"/>
        <v>54.998999999999995</v>
      </c>
      <c r="DP184" s="476">
        <f t="shared" si="849"/>
        <v>0</v>
      </c>
      <c r="DQ184" s="464"/>
      <c r="DR184" s="479">
        <f t="shared" si="854"/>
        <v>2.1500000000000004</v>
      </c>
    </row>
    <row r="185" spans="1:122" s="86" customFormat="1" ht="25" x14ac:dyDescent="0.25">
      <c r="B185" s="101"/>
      <c r="C185" s="101" t="str">
        <f>'Planilha Hidráulica'!B192</f>
        <v>PV29.1-&gt;PV30.1</v>
      </c>
      <c r="D185" s="258">
        <f>'Planilha Hidráulica'!R192</f>
        <v>2.69</v>
      </c>
      <c r="E185" s="258">
        <f>'Planilha Hidráulica'!S192</f>
        <v>2.25</v>
      </c>
      <c r="F185" s="258">
        <f>'Planilha Hidráulica'!K192</f>
        <v>32.72</v>
      </c>
      <c r="G185" s="101">
        <f>'Planilha Hidráulica'!M192</f>
        <v>1650</v>
      </c>
      <c r="H185" s="449">
        <f t="shared" si="752"/>
        <v>3.07</v>
      </c>
      <c r="I185" s="102">
        <f t="shared" si="753"/>
        <v>5.0225199999999992</v>
      </c>
      <c r="J185" s="467">
        <v>0</v>
      </c>
      <c r="K185" s="449">
        <f t="shared" si="754"/>
        <v>3</v>
      </c>
      <c r="L185" s="449">
        <f t="shared" si="755"/>
        <v>3</v>
      </c>
      <c r="M185" s="449">
        <f>'Planilha Hidráulica'!X192</f>
        <v>1200</v>
      </c>
      <c r="N185" s="449">
        <f t="shared" si="756"/>
        <v>98.16</v>
      </c>
      <c r="O185" s="468" t="str">
        <f>'Planilha Hidráulica'!W192</f>
        <v>TERRENO NATURAL</v>
      </c>
      <c r="P185" s="468" t="s">
        <v>2088</v>
      </c>
      <c r="Q185" s="105">
        <v>1</v>
      </c>
      <c r="R185" s="468">
        <v>5</v>
      </c>
      <c r="S185" s="468">
        <v>5</v>
      </c>
      <c r="T185" s="449">
        <f t="shared" si="757"/>
        <v>0.2</v>
      </c>
      <c r="U185" s="453">
        <f t="shared" si="758"/>
        <v>37.005448185164894</v>
      </c>
      <c r="V185" s="106">
        <f t="shared" si="759"/>
        <v>303.60975181483508</v>
      </c>
      <c r="W185" s="107">
        <f t="shared" si="760"/>
        <v>0</v>
      </c>
      <c r="X185" s="107">
        <f t="shared" si="761"/>
        <v>0.4</v>
      </c>
      <c r="Y185" s="453">
        <f t="shared" si="762"/>
        <v>3.07</v>
      </c>
      <c r="Z185" s="453">
        <f t="shared" si="763"/>
        <v>0</v>
      </c>
      <c r="AA185" s="456">
        <f t="shared" si="764"/>
        <v>0</v>
      </c>
      <c r="AB185" s="469">
        <f t="shared" si="765"/>
        <v>0</v>
      </c>
      <c r="AC185" s="109">
        <f t="shared" si="766"/>
        <v>0</v>
      </c>
      <c r="AD185" s="109">
        <f t="shared" si="767"/>
        <v>0</v>
      </c>
      <c r="AE185" s="109">
        <f t="shared" si="768"/>
        <v>0</v>
      </c>
      <c r="AF185" s="109">
        <f t="shared" si="769"/>
        <v>0</v>
      </c>
      <c r="AG185" s="109">
        <f t="shared" si="770"/>
        <v>0</v>
      </c>
      <c r="AH185" s="109">
        <f t="shared" si="771"/>
        <v>0</v>
      </c>
      <c r="AI185" s="109">
        <f t="shared" si="772"/>
        <v>0</v>
      </c>
      <c r="AJ185" s="456">
        <f t="shared" si="773"/>
        <v>0</v>
      </c>
      <c r="AK185" s="456">
        <f t="shared" si="774"/>
        <v>0</v>
      </c>
      <c r="AL185" s="456">
        <f t="shared" si="775"/>
        <v>0</v>
      </c>
      <c r="AM185" s="456">
        <f t="shared" si="855"/>
        <v>0</v>
      </c>
      <c r="AN185" s="456">
        <f t="shared" si="856"/>
        <v>0</v>
      </c>
      <c r="AO185" s="456">
        <f t="shared" si="777"/>
        <v>196.32</v>
      </c>
      <c r="AP185" s="456">
        <f>IF(IF(K185&gt;2.5,IF(Y185&gt;=4,L185*F185*2,K185*F185*(Y185-2)),0)&lt;0,0,IF(K185&gt;2.5,IF(Y185&gt;=4,L185*F185*2,K185*F185*(Y185-2)),0))+IF(R185&lt;H185,0,IF(AND(Y185&lt;=4,Y185&gt;2,K185&gt;2.5),-U185,0))</f>
        <v>68.02575181483509</v>
      </c>
      <c r="AQ185" s="456">
        <f>IF(IF(K185&gt;2.5,IF(Y185&gt;=6,L185*F185*2,K185*F185*(Y185-4)),0)&lt;0,0,IF(K185&gt;2.5,IF(Y185&gt;=6,L185*F185*2,K185*F185*(Y185-4)),0))+IF(R185&lt;H185,0,IF(AND(Y185&lt;=6,Y185&gt;4,K185&gt;2.5),-U185,0))</f>
        <v>0</v>
      </c>
      <c r="AR185" s="104">
        <f t="shared" si="780"/>
        <v>39.26</v>
      </c>
      <c r="AS185" s="449">
        <f t="shared" si="781"/>
        <v>0</v>
      </c>
      <c r="AT185" s="104">
        <f t="shared" si="782"/>
        <v>270.65177452492259</v>
      </c>
      <c r="AU185" s="102">
        <f t="shared" si="783"/>
        <v>0</v>
      </c>
      <c r="AV185" s="106">
        <f t="shared" si="784"/>
        <v>19.632000000000001</v>
      </c>
      <c r="AW185" s="104">
        <f t="shared" si="785"/>
        <v>39.264000000000003</v>
      </c>
      <c r="AX185" s="104">
        <f t="shared" si="786"/>
        <v>0</v>
      </c>
      <c r="AY185" s="104">
        <f t="shared" si="787"/>
        <v>1.8499999999999999</v>
      </c>
      <c r="AZ185" s="104">
        <f t="shared" si="788"/>
        <v>111.63257452492262</v>
      </c>
      <c r="BA185" s="104">
        <f t="shared" si="789"/>
        <v>111.63257452492262</v>
      </c>
      <c r="BB185" s="104">
        <f t="shared" si="790"/>
        <v>0</v>
      </c>
      <c r="BC185" s="104">
        <f t="shared" si="791"/>
        <v>0</v>
      </c>
      <c r="BD185" s="104">
        <f t="shared" si="792"/>
        <v>0</v>
      </c>
      <c r="BE185" s="104">
        <f t="shared" si="793"/>
        <v>100.12319999999995</v>
      </c>
      <c r="BF185" s="104">
        <f t="shared" si="794"/>
        <v>113.44917728991244</v>
      </c>
      <c r="BG185" s="104">
        <f t="shared" si="795"/>
        <v>100.12319999999995</v>
      </c>
      <c r="BH185" s="104">
        <f t="shared" si="796"/>
        <v>13.325977289912487</v>
      </c>
      <c r="BI185" s="104">
        <f t="shared" si="797"/>
        <v>0</v>
      </c>
      <c r="BJ185" s="102">
        <f t="shared" si="850"/>
        <v>0</v>
      </c>
      <c r="BK185" s="104">
        <f t="shared" si="798"/>
        <v>0</v>
      </c>
      <c r="BL185" s="104"/>
      <c r="BM185" s="104">
        <f t="shared" si="799"/>
        <v>1.5705600000000002</v>
      </c>
      <c r="BN185" s="456">
        <f t="shared" si="800"/>
        <v>0</v>
      </c>
      <c r="BO185" s="471">
        <f t="shared" si="801"/>
        <v>0</v>
      </c>
      <c r="BP185" s="471">
        <f t="shared" si="802"/>
        <v>0</v>
      </c>
      <c r="BQ185" s="471">
        <f t="shared" si="803"/>
        <v>0</v>
      </c>
      <c r="BR185" s="449">
        <f t="shared" si="804"/>
        <v>0</v>
      </c>
      <c r="BS185" s="449">
        <f t="shared" si="805"/>
        <v>0</v>
      </c>
      <c r="BT185" s="449">
        <f t="shared" si="806"/>
        <v>0</v>
      </c>
      <c r="BU185" s="449">
        <f t="shared" si="807"/>
        <v>0</v>
      </c>
      <c r="BV185" s="449">
        <f t="shared" si="808"/>
        <v>0</v>
      </c>
      <c r="BW185" s="449">
        <f t="shared" si="809"/>
        <v>0</v>
      </c>
      <c r="BX185" s="449">
        <f t="shared" si="810"/>
        <v>0</v>
      </c>
      <c r="BY185" s="449">
        <f t="shared" si="811"/>
        <v>0</v>
      </c>
      <c r="BZ185" s="449">
        <f t="shared" si="812"/>
        <v>0</v>
      </c>
      <c r="CA185" s="449">
        <f t="shared" si="813"/>
        <v>0</v>
      </c>
      <c r="CB185" s="449">
        <f t="shared" si="814"/>
        <v>0</v>
      </c>
      <c r="CC185" s="449">
        <f t="shared" si="815"/>
        <v>0</v>
      </c>
      <c r="CD185" s="449">
        <f t="shared" si="816"/>
        <v>0</v>
      </c>
      <c r="CE185" s="449">
        <f t="shared" si="817"/>
        <v>0</v>
      </c>
      <c r="CF185" s="449">
        <f t="shared" si="818"/>
        <v>0</v>
      </c>
      <c r="CG185" s="449">
        <f t="shared" si="819"/>
        <v>0</v>
      </c>
      <c r="CH185" s="449">
        <f t="shared" si="820"/>
        <v>0</v>
      </c>
      <c r="CI185" s="449">
        <f t="shared" si="821"/>
        <v>0</v>
      </c>
      <c r="CJ185" s="472">
        <f t="shared" si="822"/>
        <v>0</v>
      </c>
      <c r="CK185" s="449">
        <f t="shared" si="823"/>
        <v>0</v>
      </c>
      <c r="CL185" s="449">
        <f t="shared" si="824"/>
        <v>0</v>
      </c>
      <c r="CM185" s="449">
        <f t="shared" si="825"/>
        <v>0</v>
      </c>
      <c r="CN185" s="453">
        <f t="shared" si="826"/>
        <v>32.72</v>
      </c>
      <c r="CO185" s="453">
        <f t="shared" si="827"/>
        <v>0</v>
      </c>
      <c r="CP185" s="453">
        <f t="shared" si="828"/>
        <v>0</v>
      </c>
      <c r="CQ185" s="453">
        <f t="shared" si="829"/>
        <v>0</v>
      </c>
      <c r="CR185" s="453">
        <f t="shared" si="830"/>
        <v>0</v>
      </c>
      <c r="CS185" s="453">
        <f t="shared" si="831"/>
        <v>0</v>
      </c>
      <c r="CT185" s="473">
        <f t="shared" si="832"/>
        <v>0</v>
      </c>
      <c r="CU185" s="470">
        <f t="shared" si="833"/>
        <v>1</v>
      </c>
      <c r="CV185" s="470">
        <f t="shared" si="834"/>
        <v>0</v>
      </c>
      <c r="CW185" s="470">
        <f t="shared" si="835"/>
        <v>0</v>
      </c>
      <c r="CX185" s="470">
        <f t="shared" si="836"/>
        <v>0</v>
      </c>
      <c r="CY185" s="470">
        <f t="shared" si="837"/>
        <v>0</v>
      </c>
      <c r="CZ185" s="470">
        <f t="shared" si="838"/>
        <v>0</v>
      </c>
      <c r="DA185" s="478">
        <f t="shared" si="839"/>
        <v>0.69</v>
      </c>
      <c r="DB185" s="469">
        <v>1.3</v>
      </c>
      <c r="DC185" s="469">
        <v>1.4</v>
      </c>
      <c r="DD185" s="469">
        <v>2</v>
      </c>
      <c r="DE185" s="469">
        <v>2</v>
      </c>
      <c r="DF185" s="476">
        <v>2</v>
      </c>
      <c r="DG185" s="456">
        <f t="shared" si="840"/>
        <v>0</v>
      </c>
      <c r="DH185" s="476">
        <f t="shared" si="841"/>
        <v>0</v>
      </c>
      <c r="DI185" s="476">
        <f t="shared" si="842"/>
        <v>0</v>
      </c>
      <c r="DJ185" s="476">
        <f t="shared" si="843"/>
        <v>0</v>
      </c>
      <c r="DK185" s="476">
        <f t="shared" si="844"/>
        <v>0</v>
      </c>
      <c r="DL185" s="476">
        <f t="shared" si="845"/>
        <v>0</v>
      </c>
      <c r="DM185" s="476">
        <f t="shared" si="846"/>
        <v>98.16</v>
      </c>
      <c r="DN185" s="476">
        <f t="shared" si="847"/>
        <v>98.16</v>
      </c>
      <c r="DO185" s="476">
        <f t="shared" si="848"/>
        <v>4.5807999999999893</v>
      </c>
      <c r="DP185" s="476">
        <f t="shared" si="849"/>
        <v>0</v>
      </c>
      <c r="DQ185" s="464"/>
      <c r="DR185" s="479">
        <f t="shared" si="854"/>
        <v>1.49</v>
      </c>
    </row>
    <row r="186" spans="1:122" s="86" customFormat="1" ht="25" x14ac:dyDescent="0.25">
      <c r="B186" s="101"/>
      <c r="C186" s="101" t="str">
        <f>'Planilha Hidráulica'!B193</f>
        <v>PV30.1-&gt;PV31.1</v>
      </c>
      <c r="D186" s="258">
        <f>'Planilha Hidráulica'!R193</f>
        <v>2.25</v>
      </c>
      <c r="E186" s="258">
        <f>'Planilha Hidráulica'!S193</f>
        <v>2</v>
      </c>
      <c r="F186" s="258">
        <f>'Planilha Hidráulica'!K193</f>
        <v>32.72</v>
      </c>
      <c r="G186" s="101">
        <f>'Planilha Hidráulica'!M193</f>
        <v>1650</v>
      </c>
      <c r="H186" s="449">
        <f t="shared" si="752"/>
        <v>2.7250000000000001</v>
      </c>
      <c r="I186" s="102">
        <f t="shared" si="753"/>
        <v>4.4581</v>
      </c>
      <c r="J186" s="467">
        <v>0</v>
      </c>
      <c r="K186" s="449">
        <f t="shared" si="754"/>
        <v>3</v>
      </c>
      <c r="L186" s="449">
        <f t="shared" si="755"/>
        <v>3</v>
      </c>
      <c r="M186" s="449">
        <f>'Planilha Hidráulica'!X193</f>
        <v>1200</v>
      </c>
      <c r="N186" s="449">
        <f t="shared" si="756"/>
        <v>98.16</v>
      </c>
      <c r="O186" s="468" t="str">
        <f>'Planilha Hidráulica'!W193</f>
        <v>TERRENO NATURAL</v>
      </c>
      <c r="P186" s="468" t="s">
        <v>2088</v>
      </c>
      <c r="Q186" s="105">
        <v>1</v>
      </c>
      <c r="R186" s="468">
        <v>5</v>
      </c>
      <c r="S186" s="468">
        <v>5</v>
      </c>
      <c r="T186" s="449">
        <f t="shared" si="757"/>
        <v>0.2</v>
      </c>
      <c r="U186" s="453">
        <f t="shared" si="758"/>
        <v>37.005448185164894</v>
      </c>
      <c r="V186" s="106">
        <f t="shared" si="759"/>
        <v>269.74455181483512</v>
      </c>
      <c r="W186" s="107">
        <f t="shared" si="760"/>
        <v>0</v>
      </c>
      <c r="X186" s="107">
        <f t="shared" si="761"/>
        <v>0.4</v>
      </c>
      <c r="Y186" s="453">
        <f t="shared" si="762"/>
        <v>2.7250000000000001</v>
      </c>
      <c r="Z186" s="453">
        <f t="shared" si="763"/>
        <v>0</v>
      </c>
      <c r="AA186" s="456">
        <f t="shared" si="764"/>
        <v>0</v>
      </c>
      <c r="AB186" s="469">
        <f t="shared" si="765"/>
        <v>0</v>
      </c>
      <c r="AC186" s="109">
        <f t="shared" si="766"/>
        <v>0</v>
      </c>
      <c r="AD186" s="109">
        <f t="shared" si="767"/>
        <v>0</v>
      </c>
      <c r="AE186" s="109">
        <f t="shared" si="768"/>
        <v>0</v>
      </c>
      <c r="AF186" s="109">
        <f t="shared" si="769"/>
        <v>0</v>
      </c>
      <c r="AG186" s="109">
        <f t="shared" si="770"/>
        <v>0</v>
      </c>
      <c r="AH186" s="109">
        <f t="shared" si="771"/>
        <v>0</v>
      </c>
      <c r="AI186" s="109">
        <f t="shared" si="772"/>
        <v>0</v>
      </c>
      <c r="AJ186" s="456">
        <f t="shared" si="773"/>
        <v>0</v>
      </c>
      <c r="AK186" s="456">
        <f t="shared" si="774"/>
        <v>0</v>
      </c>
      <c r="AL186" s="456">
        <f t="shared" si="775"/>
        <v>0</v>
      </c>
      <c r="AM186" s="456">
        <f t="shared" si="855"/>
        <v>0</v>
      </c>
      <c r="AN186" s="456">
        <f t="shared" si="856"/>
        <v>0</v>
      </c>
      <c r="AO186" s="456">
        <f t="shared" si="777"/>
        <v>196.32</v>
      </c>
      <c r="AP186" s="456">
        <f>IF(IF(K186&gt;2.5,IF(Y186&gt;=4,L186*F186*2,K186*F186*(Y186-2)),0)&lt;0,0,IF(K186&gt;2.5,IF(Y186&gt;=4,L186*F186*2,K186*F186*(Y186-2)),0))+IF(R186&lt;H186,0,IF(AND(Y186&lt;=4,Y186&gt;2,K186&gt;2.5),-U186,0))</f>
        <v>34.160551814835117</v>
      </c>
      <c r="AQ186" s="456">
        <f>IF(IF(K186&gt;2.5,IF(Y186&gt;=6,L186*F186*2,K186*F186*(Y186-4)),0)&lt;0,0,IF(K186&gt;2.5,IF(Y186&gt;=6,L186*F186*2,K186*F186*(Y186-4)),0))+IF(R186&lt;H186,0,IF(AND(Y186&lt;=6,Y186&gt;4,K186&gt;2.5),-U186,0))</f>
        <v>0</v>
      </c>
      <c r="AR186" s="104">
        <f t="shared" si="780"/>
        <v>39.26</v>
      </c>
      <c r="AS186" s="449">
        <f t="shared" si="781"/>
        <v>0</v>
      </c>
      <c r="AT186" s="104">
        <f t="shared" si="782"/>
        <v>236.78657452492263</v>
      </c>
      <c r="AU186" s="102">
        <f t="shared" si="783"/>
        <v>0</v>
      </c>
      <c r="AV186" s="106">
        <f t="shared" si="784"/>
        <v>19.632000000000001</v>
      </c>
      <c r="AW186" s="104">
        <f t="shared" si="785"/>
        <v>39.264000000000003</v>
      </c>
      <c r="AX186" s="104">
        <f t="shared" si="786"/>
        <v>0</v>
      </c>
      <c r="AY186" s="104">
        <f t="shared" si="787"/>
        <v>1.8499999999999999</v>
      </c>
      <c r="AZ186" s="104">
        <f t="shared" si="788"/>
        <v>111.63257452492262</v>
      </c>
      <c r="BA186" s="104">
        <f t="shared" si="789"/>
        <v>111.63257452492262</v>
      </c>
      <c r="BB186" s="104">
        <f t="shared" si="790"/>
        <v>0</v>
      </c>
      <c r="BC186" s="104">
        <f t="shared" si="791"/>
        <v>0</v>
      </c>
      <c r="BD186" s="104">
        <f t="shared" si="792"/>
        <v>0</v>
      </c>
      <c r="BE186" s="104">
        <f t="shared" si="793"/>
        <v>66.257999999999996</v>
      </c>
      <c r="BF186" s="104">
        <f t="shared" si="794"/>
        <v>79.583977289912482</v>
      </c>
      <c r="BG186" s="104">
        <f t="shared" si="795"/>
        <v>66.257999999999996</v>
      </c>
      <c r="BH186" s="104">
        <f t="shared" si="796"/>
        <v>13.325977289912487</v>
      </c>
      <c r="BI186" s="104">
        <f t="shared" si="797"/>
        <v>0</v>
      </c>
      <c r="BJ186" s="102">
        <f t="shared" si="850"/>
        <v>0</v>
      </c>
      <c r="BK186" s="104">
        <f t="shared" si="798"/>
        <v>0</v>
      </c>
      <c r="BL186" s="104"/>
      <c r="BM186" s="104">
        <f t="shared" si="799"/>
        <v>1.5705600000000002</v>
      </c>
      <c r="BN186" s="456">
        <f t="shared" si="800"/>
        <v>0</v>
      </c>
      <c r="BO186" s="471">
        <f t="shared" si="801"/>
        <v>0</v>
      </c>
      <c r="BP186" s="471">
        <f t="shared" si="802"/>
        <v>0</v>
      </c>
      <c r="BQ186" s="471">
        <f t="shared" si="803"/>
        <v>0</v>
      </c>
      <c r="BR186" s="449">
        <f t="shared" si="804"/>
        <v>0</v>
      </c>
      <c r="BS186" s="449">
        <f t="shared" si="805"/>
        <v>0</v>
      </c>
      <c r="BT186" s="449">
        <f t="shared" si="806"/>
        <v>0</v>
      </c>
      <c r="BU186" s="449">
        <f t="shared" si="807"/>
        <v>0</v>
      </c>
      <c r="BV186" s="449">
        <f t="shared" si="808"/>
        <v>0</v>
      </c>
      <c r="BW186" s="449">
        <f t="shared" si="809"/>
        <v>0</v>
      </c>
      <c r="BX186" s="449">
        <f t="shared" si="810"/>
        <v>0</v>
      </c>
      <c r="BY186" s="449">
        <f t="shared" si="811"/>
        <v>0</v>
      </c>
      <c r="BZ186" s="449">
        <f t="shared" si="812"/>
        <v>0</v>
      </c>
      <c r="CA186" s="449">
        <f t="shared" si="813"/>
        <v>0</v>
      </c>
      <c r="CB186" s="449">
        <f t="shared" si="814"/>
        <v>0</v>
      </c>
      <c r="CC186" s="449">
        <f t="shared" si="815"/>
        <v>0</v>
      </c>
      <c r="CD186" s="449">
        <f t="shared" si="816"/>
        <v>0</v>
      </c>
      <c r="CE186" s="449">
        <f t="shared" si="817"/>
        <v>0</v>
      </c>
      <c r="CF186" s="449">
        <f t="shared" si="818"/>
        <v>0</v>
      </c>
      <c r="CG186" s="449">
        <f t="shared" si="819"/>
        <v>0</v>
      </c>
      <c r="CH186" s="449">
        <f t="shared" si="820"/>
        <v>0</v>
      </c>
      <c r="CI186" s="449">
        <f t="shared" si="821"/>
        <v>0</v>
      </c>
      <c r="CJ186" s="472">
        <f t="shared" si="822"/>
        <v>0</v>
      </c>
      <c r="CK186" s="449">
        <f t="shared" si="823"/>
        <v>0</v>
      </c>
      <c r="CL186" s="449">
        <f t="shared" si="824"/>
        <v>0</v>
      </c>
      <c r="CM186" s="449">
        <f t="shared" si="825"/>
        <v>0</v>
      </c>
      <c r="CN186" s="453">
        <f t="shared" si="826"/>
        <v>32.72</v>
      </c>
      <c r="CO186" s="453">
        <f t="shared" si="827"/>
        <v>0</v>
      </c>
      <c r="CP186" s="453">
        <f t="shared" si="828"/>
        <v>0</v>
      </c>
      <c r="CQ186" s="453">
        <f t="shared" si="829"/>
        <v>0</v>
      </c>
      <c r="CR186" s="453">
        <f t="shared" si="830"/>
        <v>0</v>
      </c>
      <c r="CS186" s="453">
        <f t="shared" si="831"/>
        <v>0</v>
      </c>
      <c r="CT186" s="473">
        <f t="shared" si="832"/>
        <v>0</v>
      </c>
      <c r="CU186" s="470">
        <f t="shared" si="833"/>
        <v>1</v>
      </c>
      <c r="CV186" s="470">
        <f t="shared" si="834"/>
        <v>0</v>
      </c>
      <c r="CW186" s="470">
        <f t="shared" si="835"/>
        <v>0</v>
      </c>
      <c r="CX186" s="470">
        <f t="shared" si="836"/>
        <v>0</v>
      </c>
      <c r="CY186" s="470">
        <f t="shared" si="837"/>
        <v>0</v>
      </c>
      <c r="CZ186" s="470">
        <f t="shared" si="838"/>
        <v>0</v>
      </c>
      <c r="DA186" s="478">
        <f t="shared" si="839"/>
        <v>0.25</v>
      </c>
      <c r="DB186" s="469">
        <v>1.3</v>
      </c>
      <c r="DC186" s="469">
        <v>1.4</v>
      </c>
      <c r="DD186" s="469">
        <v>2</v>
      </c>
      <c r="DE186" s="469">
        <v>2</v>
      </c>
      <c r="DF186" s="476">
        <v>2</v>
      </c>
      <c r="DG186" s="456">
        <f t="shared" si="840"/>
        <v>0</v>
      </c>
      <c r="DH186" s="476">
        <f t="shared" si="841"/>
        <v>0</v>
      </c>
      <c r="DI186" s="476">
        <f t="shared" si="842"/>
        <v>0</v>
      </c>
      <c r="DJ186" s="476">
        <f t="shared" si="843"/>
        <v>0</v>
      </c>
      <c r="DK186" s="476">
        <f t="shared" si="844"/>
        <v>0</v>
      </c>
      <c r="DL186" s="476">
        <f t="shared" si="845"/>
        <v>0</v>
      </c>
      <c r="DM186" s="476">
        <f t="shared" si="846"/>
        <v>98.16</v>
      </c>
      <c r="DN186" s="476">
        <f t="shared" si="847"/>
        <v>80.164000000000001</v>
      </c>
      <c r="DO186" s="476">
        <f t="shared" si="848"/>
        <v>0</v>
      </c>
      <c r="DP186" s="476">
        <f t="shared" si="849"/>
        <v>0</v>
      </c>
      <c r="DQ186" s="464"/>
      <c r="DR186" s="479">
        <f t="shared" si="854"/>
        <v>1.05</v>
      </c>
    </row>
    <row r="187" spans="1:122" s="86" customFormat="1" ht="25" x14ac:dyDescent="0.25">
      <c r="B187" s="101"/>
      <c r="C187" s="101" t="str">
        <f>'Planilha Hidráulica'!B194</f>
        <v>PV31.1-&gt;PV32.1</v>
      </c>
      <c r="D187" s="258">
        <f>'Planilha Hidráulica'!R194</f>
        <v>2.06</v>
      </c>
      <c r="E187" s="258">
        <f>'Planilha Hidráulica'!S194</f>
        <v>2.2599999999999998</v>
      </c>
      <c r="F187" s="258">
        <f>'Planilha Hidráulica'!K194</f>
        <v>31.86</v>
      </c>
      <c r="G187" s="101">
        <f>'Planilha Hidráulica'!M194</f>
        <v>1650</v>
      </c>
      <c r="H187" s="449">
        <f t="shared" si="752"/>
        <v>2.7600000000000002</v>
      </c>
      <c r="I187" s="102">
        <f t="shared" si="753"/>
        <v>4.3966800000000008</v>
      </c>
      <c r="J187" s="467">
        <v>0</v>
      </c>
      <c r="K187" s="449">
        <f t="shared" si="754"/>
        <v>3</v>
      </c>
      <c r="L187" s="449">
        <f t="shared" si="755"/>
        <v>3</v>
      </c>
      <c r="M187" s="449" t="str">
        <f>'Planilha Hidráulica'!X194</f>
        <v>-</v>
      </c>
      <c r="N187" s="449">
        <f t="shared" si="756"/>
        <v>95.58</v>
      </c>
      <c r="O187" s="468" t="str">
        <f>'Planilha Hidráulica'!W194</f>
        <v>TERRENO NATURAL</v>
      </c>
      <c r="P187" s="468" t="s">
        <v>2088</v>
      </c>
      <c r="Q187" s="105">
        <v>1</v>
      </c>
      <c r="R187" s="468">
        <v>5</v>
      </c>
      <c r="S187" s="468">
        <v>5</v>
      </c>
      <c r="T187" s="449">
        <f t="shared" si="757"/>
        <v>0.2</v>
      </c>
      <c r="U187" s="453">
        <f t="shared" si="758"/>
        <v>0</v>
      </c>
      <c r="V187" s="106">
        <f t="shared" si="759"/>
        <v>302.03280000000007</v>
      </c>
      <c r="W187" s="107">
        <f t="shared" si="760"/>
        <v>0</v>
      </c>
      <c r="X187" s="107">
        <f t="shared" si="761"/>
        <v>3.16</v>
      </c>
      <c r="Y187" s="453">
        <f t="shared" si="762"/>
        <v>2.7600000000000002</v>
      </c>
      <c r="Z187" s="453">
        <f t="shared" si="763"/>
        <v>0</v>
      </c>
      <c r="AA187" s="456">
        <f t="shared" si="764"/>
        <v>0</v>
      </c>
      <c r="AB187" s="469">
        <f t="shared" si="765"/>
        <v>0</v>
      </c>
      <c r="AC187" s="109">
        <f t="shared" si="766"/>
        <v>0</v>
      </c>
      <c r="AD187" s="109">
        <f t="shared" si="767"/>
        <v>0</v>
      </c>
      <c r="AE187" s="109">
        <f t="shared" si="768"/>
        <v>0</v>
      </c>
      <c r="AF187" s="109">
        <f t="shared" si="769"/>
        <v>0</v>
      </c>
      <c r="AG187" s="109">
        <f t="shared" si="770"/>
        <v>0</v>
      </c>
      <c r="AH187" s="109">
        <f t="shared" si="771"/>
        <v>0</v>
      </c>
      <c r="AI187" s="109">
        <f t="shared" si="772"/>
        <v>0</v>
      </c>
      <c r="AJ187" s="456">
        <f t="shared" si="773"/>
        <v>0</v>
      </c>
      <c r="AK187" s="456">
        <f t="shared" si="774"/>
        <v>0</v>
      </c>
      <c r="AL187" s="456">
        <f>IF(X187&gt;0.5,0,IF(AND(K187&lt;=2.5,K187&gt;1.5),IF(Y187&gt;=1.5,L187*F187*1.5,K187*F187*Y187),0)+IF(R187&lt;H187,0,IF(AND(Y187&lt;=1.5,K187&gt;1.5,K187&lt;=2.5),-U187,0)))</f>
        <v>0</v>
      </c>
      <c r="AM187" s="456">
        <f>IF(X187&gt;0.5,0,IF(IF(AND(K187&lt;=2.5,K187&gt;1.5),IF(Y187&gt;=3,L187*F187*1.5,K187*F187*(Y187-1.5)),0)&lt;0,0,IF(AND(K187&lt;=2.5,K187&gt;1.5),IF(Y187&gt;=3,L187*F187*1.5,K187*F187*(Y187-1.5)),0))+IF(R187&lt;H187,0,IF(AND(Y187&lt;=3,Y187&gt;1.5,K187&gt;1.5,K187&lt;=2.5),-U187,0)))</f>
        <v>0</v>
      </c>
      <c r="AN187" s="456">
        <f>IF(X187&gt;0.5,0,IF(IF(K187&lt;=2.5,IF(Y187&gt;=4.5,L187*F187*1.5,K187*F187*(Y187-3)),0)&lt;0,0,IF(K187&lt;=2.5,IF(Y187&gt;=4.5,L187*F187*1.5,K187*F187*(Y187-3)),0))+IF(R187&lt;H187,0,IF(AND(Y187&lt;=4.5,Y187&gt;3,K187&gt;1.5,K187&lt;=2.5),-U187,0)))</f>
        <v>0</v>
      </c>
      <c r="AO187" s="456">
        <f>IF(X187&gt;0.5,0,IF(K187&gt;2.5,IF(Y187&gt;=2,L187*F187*2,K187*F187*Y187),0)+IF(R187&lt;H187,0,IF(AND(Y187&lt;=2,K187&gt;=2.5),-U187,0)))</f>
        <v>0</v>
      </c>
      <c r="AP187" s="456">
        <f>IF(X187&gt;0.5,0,IF(IF(K187&gt;2.5,IF(Y187&gt;=4,L187*F187*2,K187*F187*(Y187-2)),0)&lt;0,0,IF(K187&gt;2.5,IF(Y187&gt;=4,L187*F187*2,K187*F187*(Y187-2)),0))+IF(R187&lt;H187,0,IF(AND(Y187&lt;=4,Y187&gt;2,K187&gt;2.5),-U187,0)))</f>
        <v>0</v>
      </c>
      <c r="AQ187" s="456">
        <f>IF(X187&gt;0.5,0,IF(IF(K187&gt;2.5,IF(Y187&gt;=6,L187*F187*2,K187*F187*(Y187-4)),0)&lt;0,0,IF(K187&gt;2.5,IF(Y187&gt;=6,L187*F187*2,K187*F187*(Y187-4)),0))+IF(R187&lt;H187,0,IF(AND(Y187&lt;=6,Y187&gt;4,K187&gt;2.5),-U187,0)))</f>
        <v>0</v>
      </c>
      <c r="AR187" s="104">
        <f t="shared" si="780"/>
        <v>302.02999999999997</v>
      </c>
      <c r="AS187" s="449">
        <f t="shared" si="781"/>
        <v>0</v>
      </c>
      <c r="AT187" s="104">
        <f t="shared" si="782"/>
        <v>233.90826651479327</v>
      </c>
      <c r="AU187" s="102">
        <f t="shared" si="783"/>
        <v>0</v>
      </c>
      <c r="AV187" s="106">
        <f t="shared" si="784"/>
        <v>19.116</v>
      </c>
      <c r="AW187" s="104">
        <f t="shared" si="785"/>
        <v>38.231999999999999</v>
      </c>
      <c r="AX187" s="104">
        <f t="shared" si="786"/>
        <v>38.231999999999999</v>
      </c>
      <c r="AY187" s="104">
        <f t="shared" si="787"/>
        <v>1.8499999999999999</v>
      </c>
      <c r="AZ187" s="104">
        <f t="shared" si="788"/>
        <v>108.69846651479324</v>
      </c>
      <c r="BA187" s="104">
        <f t="shared" si="789"/>
        <v>0</v>
      </c>
      <c r="BB187" s="104">
        <f t="shared" si="790"/>
        <v>0</v>
      </c>
      <c r="BC187" s="104">
        <f t="shared" si="791"/>
        <v>0</v>
      </c>
      <c r="BD187" s="104">
        <f t="shared" si="792"/>
        <v>0</v>
      </c>
      <c r="BE187" s="104">
        <f t="shared" si="793"/>
        <v>67.861800000000045</v>
      </c>
      <c r="BF187" s="104">
        <f t="shared" si="794"/>
        <v>-146.93046651479324</v>
      </c>
      <c r="BG187" s="104">
        <f t="shared" si="795"/>
        <v>0</v>
      </c>
      <c r="BH187" s="104">
        <f t="shared" si="796"/>
        <v>-146.93046651479324</v>
      </c>
      <c r="BI187" s="104">
        <f t="shared" si="797"/>
        <v>67.861800000000045</v>
      </c>
      <c r="BJ187" s="102">
        <f t="shared" si="850"/>
        <v>67.861800000000045</v>
      </c>
      <c r="BK187" s="104">
        <f t="shared" si="798"/>
        <v>0</v>
      </c>
      <c r="BL187" s="104"/>
      <c r="BM187" s="104">
        <f t="shared" si="799"/>
        <v>1.52928</v>
      </c>
      <c r="BN187" s="456">
        <f t="shared" si="800"/>
        <v>0</v>
      </c>
      <c r="BO187" s="471">
        <f t="shared" si="801"/>
        <v>0</v>
      </c>
      <c r="BP187" s="471">
        <f t="shared" si="802"/>
        <v>0</v>
      </c>
      <c r="BQ187" s="471">
        <f t="shared" si="803"/>
        <v>0</v>
      </c>
      <c r="BR187" s="449">
        <f t="shared" si="804"/>
        <v>0</v>
      </c>
      <c r="BS187" s="449">
        <f t="shared" si="805"/>
        <v>0</v>
      </c>
      <c r="BT187" s="449">
        <f t="shared" si="806"/>
        <v>0</v>
      </c>
      <c r="BU187" s="449">
        <f t="shared" si="807"/>
        <v>0</v>
      </c>
      <c r="BV187" s="449">
        <f t="shared" si="808"/>
        <v>0</v>
      </c>
      <c r="BW187" s="449">
        <f t="shared" si="809"/>
        <v>0</v>
      </c>
      <c r="BX187" s="449">
        <f t="shared" si="810"/>
        <v>0</v>
      </c>
      <c r="BY187" s="449">
        <f t="shared" si="811"/>
        <v>0</v>
      </c>
      <c r="BZ187" s="449">
        <f t="shared" si="812"/>
        <v>0</v>
      </c>
      <c r="CA187" s="449">
        <f t="shared" si="813"/>
        <v>0</v>
      </c>
      <c r="CB187" s="449">
        <f t="shared" si="814"/>
        <v>0</v>
      </c>
      <c r="CC187" s="449">
        <f t="shared" si="815"/>
        <v>0</v>
      </c>
      <c r="CD187" s="449">
        <f t="shared" si="816"/>
        <v>0</v>
      </c>
      <c r="CE187" s="449">
        <f t="shared" si="817"/>
        <v>0</v>
      </c>
      <c r="CF187" s="449">
        <f t="shared" si="818"/>
        <v>0</v>
      </c>
      <c r="CG187" s="449">
        <f t="shared" si="819"/>
        <v>0</v>
      </c>
      <c r="CH187" s="449">
        <f t="shared" si="820"/>
        <v>0</v>
      </c>
      <c r="CI187" s="449">
        <f t="shared" si="821"/>
        <v>0</v>
      </c>
      <c r="CJ187" s="472">
        <f t="shared" si="822"/>
        <v>0</v>
      </c>
      <c r="CK187" s="449">
        <f t="shared" si="823"/>
        <v>0</v>
      </c>
      <c r="CL187" s="449">
        <f t="shared" si="824"/>
        <v>0</v>
      </c>
      <c r="CM187" s="449">
        <f t="shared" si="825"/>
        <v>0</v>
      </c>
      <c r="CN187" s="453">
        <f t="shared" si="826"/>
        <v>31.86</v>
      </c>
      <c r="CO187" s="453">
        <f t="shared" si="827"/>
        <v>0</v>
      </c>
      <c r="CP187" s="453">
        <f t="shared" si="828"/>
        <v>0</v>
      </c>
      <c r="CQ187" s="453">
        <f t="shared" si="829"/>
        <v>0</v>
      </c>
      <c r="CR187" s="453">
        <f t="shared" si="830"/>
        <v>0</v>
      </c>
      <c r="CS187" s="453">
        <f t="shared" si="831"/>
        <v>0</v>
      </c>
      <c r="CT187" s="473">
        <f t="shared" si="832"/>
        <v>0</v>
      </c>
      <c r="CU187" s="470">
        <f t="shared" si="833"/>
        <v>1</v>
      </c>
      <c r="CV187" s="470">
        <f t="shared" si="834"/>
        <v>0</v>
      </c>
      <c r="CW187" s="470">
        <f t="shared" si="835"/>
        <v>0</v>
      </c>
      <c r="CX187" s="470">
        <f t="shared" si="836"/>
        <v>0</v>
      </c>
      <c r="CY187" s="470">
        <f t="shared" si="837"/>
        <v>0</v>
      </c>
      <c r="CZ187" s="470">
        <f t="shared" si="838"/>
        <v>0</v>
      </c>
      <c r="DA187" s="478">
        <f t="shared" si="839"/>
        <v>6.0000000000000053E-2</v>
      </c>
      <c r="DB187" s="469">
        <v>1.3</v>
      </c>
      <c r="DC187" s="469">
        <v>1.4</v>
      </c>
      <c r="DD187" s="469">
        <v>2</v>
      </c>
      <c r="DE187" s="469">
        <v>2</v>
      </c>
      <c r="DF187" s="476">
        <v>2</v>
      </c>
      <c r="DG187" s="456">
        <f t="shared" si="840"/>
        <v>0</v>
      </c>
      <c r="DH187" s="476">
        <f t="shared" si="841"/>
        <v>0</v>
      </c>
      <c r="DI187" s="476">
        <f t="shared" si="842"/>
        <v>0</v>
      </c>
      <c r="DJ187" s="476">
        <f t="shared" si="843"/>
        <v>0</v>
      </c>
      <c r="DK187" s="476">
        <f t="shared" si="844"/>
        <v>0</v>
      </c>
      <c r="DL187" s="476">
        <f t="shared" si="845"/>
        <v>0</v>
      </c>
      <c r="DM187" s="476">
        <f t="shared" si="846"/>
        <v>95.58</v>
      </c>
      <c r="DN187" s="476">
        <f t="shared" si="847"/>
        <v>80.287200000000013</v>
      </c>
      <c r="DO187" s="476">
        <f t="shared" si="848"/>
        <v>0</v>
      </c>
      <c r="DP187" s="476">
        <f t="shared" si="849"/>
        <v>0</v>
      </c>
      <c r="DQ187" s="464"/>
      <c r="DR187" s="479"/>
    </row>
    <row r="188" spans="1:122" s="86" customFormat="1" ht="13" x14ac:dyDescent="0.25">
      <c r="B188" s="101"/>
      <c r="C188" s="87" t="str">
        <f>'Planilha Hidráulica'!B195</f>
        <v>RD-2</v>
      </c>
      <c r="D188" s="258"/>
      <c r="E188" s="258"/>
      <c r="F188" s="258"/>
      <c r="G188" s="101"/>
      <c r="H188" s="449"/>
      <c r="I188" s="449"/>
      <c r="J188" s="467"/>
      <c r="K188" s="449"/>
      <c r="L188" s="449"/>
      <c r="M188" s="470"/>
      <c r="N188" s="449"/>
      <c r="O188" s="468"/>
      <c r="P188" s="468"/>
      <c r="Q188" s="468"/>
      <c r="R188" s="468"/>
      <c r="S188" s="468"/>
      <c r="T188" s="449"/>
      <c r="U188" s="453"/>
      <c r="V188" s="453"/>
      <c r="W188" s="453"/>
      <c r="X188" s="453"/>
      <c r="Y188" s="453"/>
      <c r="Z188" s="453"/>
      <c r="AA188" s="456"/>
      <c r="AB188" s="469"/>
      <c r="AC188" s="469"/>
      <c r="AD188" s="469"/>
      <c r="AE188" s="109"/>
      <c r="AF188" s="469"/>
      <c r="AG188" s="469"/>
      <c r="AH188" s="469"/>
      <c r="AI188" s="469"/>
      <c r="AJ188" s="456"/>
      <c r="AK188" s="456"/>
      <c r="AL188" s="456"/>
      <c r="AM188" s="456"/>
      <c r="AN188" s="456"/>
      <c r="AO188" s="456"/>
      <c r="AP188" s="456"/>
      <c r="AQ188" s="456"/>
      <c r="AR188" s="449"/>
      <c r="AS188" s="449"/>
      <c r="AT188" s="465"/>
      <c r="AU188" s="465"/>
      <c r="AV188" s="466"/>
      <c r="AW188" s="465"/>
      <c r="AX188" s="465"/>
      <c r="AY188" s="465"/>
      <c r="AZ188" s="465"/>
      <c r="BA188" s="465"/>
      <c r="BB188" s="465"/>
      <c r="BC188" s="465"/>
      <c r="BD188" s="465"/>
      <c r="BE188" s="449"/>
      <c r="BF188" s="449"/>
      <c r="BG188" s="449"/>
      <c r="BH188" s="449"/>
      <c r="BI188" s="449"/>
      <c r="BJ188" s="449"/>
      <c r="BK188" s="449"/>
      <c r="BL188" s="465"/>
      <c r="BM188" s="465"/>
      <c r="BN188" s="456"/>
      <c r="BO188" s="471"/>
      <c r="BP188" s="471"/>
      <c r="BQ188" s="471"/>
      <c r="BR188" s="449"/>
      <c r="BS188" s="449"/>
      <c r="BT188" s="449"/>
      <c r="BU188" s="449"/>
      <c r="BV188" s="449"/>
      <c r="BW188" s="449"/>
      <c r="BX188" s="449"/>
      <c r="BY188" s="449"/>
      <c r="BZ188" s="449"/>
      <c r="CA188" s="449"/>
      <c r="CB188" s="449"/>
      <c r="CC188" s="449"/>
      <c r="CD188" s="449"/>
      <c r="CE188" s="449"/>
      <c r="CF188" s="449"/>
      <c r="CG188" s="449"/>
      <c r="CH188" s="449"/>
      <c r="CI188" s="449"/>
      <c r="CJ188" s="472"/>
      <c r="CK188" s="449"/>
      <c r="CL188" s="449"/>
      <c r="CM188" s="449"/>
      <c r="CN188" s="453"/>
      <c r="CO188" s="453"/>
      <c r="CP188" s="453"/>
      <c r="CQ188" s="453"/>
      <c r="CR188" s="453"/>
      <c r="CS188" s="453"/>
      <c r="CT188" s="473"/>
      <c r="CU188" s="470"/>
      <c r="CV188" s="470"/>
      <c r="CW188" s="470"/>
      <c r="CX188" s="470"/>
      <c r="CY188" s="470"/>
      <c r="CZ188" s="470"/>
      <c r="DA188" s="478"/>
      <c r="DB188" s="469"/>
      <c r="DC188" s="469"/>
      <c r="DD188" s="469"/>
      <c r="DE188" s="469"/>
      <c r="DF188" s="476"/>
      <c r="DG188" s="456"/>
      <c r="DH188" s="476"/>
      <c r="DI188" s="476"/>
      <c r="DJ188" s="476"/>
      <c r="DK188" s="476"/>
      <c r="DL188" s="476"/>
      <c r="DM188" s="476"/>
      <c r="DN188" s="476"/>
      <c r="DO188" s="476"/>
      <c r="DP188" s="476"/>
      <c r="DQ188" s="464"/>
      <c r="DR188" s="479">
        <f>D188-M188/1000</f>
        <v>0</v>
      </c>
    </row>
    <row r="189" spans="1:122" s="86" customFormat="1" ht="25" x14ac:dyDescent="0.3">
      <c r="B189" s="101"/>
      <c r="C189" s="101" t="str">
        <f>'Planilha Hidráulica'!B196</f>
        <v>PV1.1-&gt;PV2.1</v>
      </c>
      <c r="D189" s="258">
        <f>'Planilha Hidráulica'!R196</f>
        <v>1.8</v>
      </c>
      <c r="E189" s="258">
        <f>'Planilha Hidráulica'!S196</f>
        <v>1.9</v>
      </c>
      <c r="F189" s="258">
        <f>'Planilha Hidráulica'!K196</f>
        <v>6.81</v>
      </c>
      <c r="G189" s="101">
        <f>'Planilha Hidráulica'!M196</f>
        <v>1200</v>
      </c>
      <c r="H189" s="449">
        <f>IF(G189=400,((D189+E189)/2)+0.08+T189,IF(G189=500,((D189+E189)/2)+0.1+T189,IF(G189=600,((D189+E189)/2)+0.12+T189,IF(G189=800,((D189+E189)/2)+0.16+T189,IF(G189=1000,((D189+E189)/2)+0.2+T189,IF(G189=1200,((D189+E189)/2)+0.24+T189,IF(G189=1500,((D189+E189)/2)+0.3+T189,IF(G189&gt;1500,((D189+E189)/2)+0.4+T189))))))))</f>
        <v>2.2399999999999998</v>
      </c>
      <c r="I189" s="102">
        <f>IF(H189&gt;=1.25,F189*H189/20,0)</f>
        <v>0.76271999999999984</v>
      </c>
      <c r="J189" s="467">
        <v>0</v>
      </c>
      <c r="K189" s="449">
        <f>IF(G189=400,1,0)+IF(G189=500,1.2,0)+IF(G189=600,1.4,0)+IF(G189=800,1.7,0)+IF(G189=1000,2,0)+IF(G189=1200,2.2,0)+IF(G189=1500,2.6,0)+IF(G189=1650,3,0)+IF(G189=1800,3.2,0)+IF(G189=2000,3.4,0)+IF(G189=2200,3.6,0)+IF(G189=2400,3.8,0)+IF(G189=2600,4,0)+IF(G189=3000,4.4,0)</f>
        <v>2.2000000000000002</v>
      </c>
      <c r="L189" s="449">
        <f>2*J189*H189+K189</f>
        <v>2.2000000000000002</v>
      </c>
      <c r="M189" s="449" t="str">
        <f>'Planilha Hidráulica'!X196</f>
        <v>-</v>
      </c>
      <c r="N189" s="449">
        <f>L189*F189</f>
        <v>14.982000000000001</v>
      </c>
      <c r="O189" s="468" t="str">
        <f>'Planilha Hidráulica'!W196</f>
        <v>TERRENO NATURAL</v>
      </c>
      <c r="P189" s="468" t="s">
        <v>2095</v>
      </c>
      <c r="Q189" s="105">
        <v>1</v>
      </c>
      <c r="R189" s="468">
        <v>10.199999999999999</v>
      </c>
      <c r="S189" s="468">
        <v>4.5</v>
      </c>
      <c r="T189" s="449">
        <f>IF(G189=400,0.05,0)+IF(G189=500,0.05,0)+IF(G189=600,0.1,0)+IF(G189=800,0.1,0)+IF(G189=1000,0.15,0)+IF(G189=1200,0.15,0)+IF(G189=1500,0.2,0)+IF(G189=1650,0.2,0)+IF(G189=1800,0.2,0)+IF(G189=2000,0.25,0)+IF(G189=2200,0.25,0)+IF(G189=2400,0.25,0)+IF(G189=2600,0.25,0)+IF(G189=3000,0.25,0)</f>
        <v>0.15</v>
      </c>
      <c r="U189" s="453">
        <f>IFERROR((PI()*(M189/1000)*(M189/1000)/4)*F189,0)</f>
        <v>0</v>
      </c>
      <c r="V189" s="106">
        <f>((((J189*H189)*H189)/2)*2+K189*H189)*F189-U189+AW189</f>
        <v>39.552480000000003</v>
      </c>
      <c r="W189" s="107">
        <f>ROUND(V189-SUM(AC189:AR189),2)</f>
        <v>0</v>
      </c>
      <c r="X189" s="107">
        <f>IF(Q189=1,IF(OR(M189=0,M189="-"),H189+0.4,0.4),0)</f>
        <v>2.6399999999999997</v>
      </c>
      <c r="Y189" s="453">
        <f>IF(R189&lt;H189,R189,H189)</f>
        <v>2.2399999999999998</v>
      </c>
      <c r="Z189" s="453">
        <f>H189-Y189</f>
        <v>0</v>
      </c>
      <c r="AA189" s="456">
        <f>IF(O189="ASFALTO",L189*F189,0)</f>
        <v>0</v>
      </c>
      <c r="AB189" s="469">
        <f>IF(O189="CONCRETO",L189*F189,0)</f>
        <v>0</v>
      </c>
      <c r="AC189" s="109">
        <f>IF(X189=0,0,IF(X189=0.4,IF(K189&lt;=1.5,IF(Y189+0.4&gt;=1.5,0,K189*F189*0.4),0),IF(K189&lt;=1.5,IF(X189&gt;=1.5,L189*F189*1.5,K189*F189*(X189)),0)+IF(R189&lt;H189+0.4,0,IF(AND(X189&lt;=1.5,K189&lt;=1.5),-U189,0))))</f>
        <v>0</v>
      </c>
      <c r="AD189" s="109">
        <f>IF(X189=0,0,IF(X189=0.4,IF(K189&lt;=1.5,IF(OR(Y189+0.4&gt;=3,Y189+0.4&lt;1.5),0,K189*F189*0.4),0),IF(IF(K189&lt;=1.5,IF(X189&gt;=3,L189*F189*1.5,K189*F189*(X189-1.5)),0)&lt;0,0,IF(K189&lt;=1.5,IF(X189&gt;=3,L189*F189*1.5,K189*F189*(X189-1.5)),0))+IF(R189&lt;H189+0.4,0,IF(AND(X189&lt;=3,K189&lt;=1.5),-U189,0))))</f>
        <v>0</v>
      </c>
      <c r="AE189" s="109">
        <f>IF(X189=0,0,IF(X189=0.4,IF(K189&lt;=1.5,IF(OR(Y189+0.4&gt;=4.5,Y189+0.4&lt;3),0,K189*F189*0.4),0),IF(IF(K189&lt;=1.5,IF(X189&gt;=4.5,L189*F189*1.5,K189*F189*(X189-3)),0)&lt;0,0,IF(K189&lt;=1.5,IF(X189&gt;=3,L189*F189*1.5,K189*F189*(X189-3)),0))+IF(R189&lt;H189+0.4,0,IF(AND(X189&lt;=4.5,K189&lt;=1.5),-U189,0))))</f>
        <v>0</v>
      </c>
      <c r="AF189" s="109">
        <f>IF(X189=0,0,IF(X189=0.4,IF(AND(K189&gt;1.5,K189&lt;=2.6),IF(Y189+0.4&gt;=1.5,0,K189*F189*0.4),0),IF(AND(K189&gt;1.5,K189&lt;=2.6),IF(X189&gt;=1.5,L189*F189*1.5,K189*F189*(X189)),0)+IF(R189&lt;H189+0.4,0,IF(AND(X189&lt;=1.5,K189&lt;=1.5),-U189,0))))</f>
        <v>22.473000000000003</v>
      </c>
      <c r="AG189" s="109">
        <f>IF(X189=0,0,IF(X189=0.4,IF(AND(K189&gt;1.5,K189&lt;=2.6),IF(OR(Y189+0.4&gt;=3,Y189+0.4&lt;1.5),0,K189*F189*0.4),0),IF(IF(AND(K189&gt;1.5,K189&lt;=2.6),IF(X189&gt;=3,L189*F189*1.5,K189*F189*(X189-1.5)),0)&lt;0,0,IF(AND(K189&gt;1.5,K189&lt;=2.6),IF(X189&gt;=3,L189*F189*1.5,K189*F189*(X189-1.5)),0))+IF(R189&lt;H189+0.4,0,IF(AND(X189&lt;=3,K189&lt;=1.5),-U189,0))))</f>
        <v>17.079479999999997</v>
      </c>
      <c r="AH189" s="109">
        <f>IF(X189=0,0,IF(X189=0.4,IF(AND(K189&gt;1.5,K189&lt;=2.6),IF(OR(Y189+0.4&gt;=4.5,Y189+0.4&lt;3),0,K189*F189*0.4),0),IF(IF(AND(K189&gt;1.5,K189&lt;=2.6),IF(X189&gt;=4.5,L189*F189*1.5,K189*F189*(X189-3)),0)&lt;0,0,IF(AND(K189&gt;1.5,K189&lt;=2.6),IF(X189&gt;=4.5,L189*F189*1.5,K189*F189*(X189-3)),0))+IF(R189&lt;H189+0.4,0,IF(AND(X189&lt;=3,K189&lt;=1.5),-U189,0))))</f>
        <v>0</v>
      </c>
      <c r="AI189" s="109">
        <f>IF(X189=0,0,IF(X189=0.4,IF(AND(K189&gt;1.5,K189&lt;=2.6),IF(OR(Y189+0.4&gt;=6,Y189+0.4&lt;4.5),0,K189*F189*0.4),0),IF(IF(AND(K189&gt;1.5,K189&lt;=2.6),IF(X189&gt;=6,L189*F189*1.5,K189*F189*(X189-4.5)),0)&lt;0,0,IF(AND(K189&gt;1.5,K189&lt;=2.6),IF(X189&gt;=6,L189*F189*1.5,K189*F189*(X189-4.5)),0))+IF(R189&lt;H189+0.4,0,IF(AND(X189&lt;=3,K189&lt;=1.5),-U189,0))))</f>
        <v>0</v>
      </c>
      <c r="AJ189" s="456">
        <f>IF(K189&lt;=1.5,IF(Y189&gt;=1.5,L189*F189*1.5,K189*F189*Y189),0)+IF(R189&lt;H189,0,IF(AND(Y189&lt;=1.5,K189&lt;=1.5),-U189,0))</f>
        <v>0</v>
      </c>
      <c r="AK189" s="456">
        <f>IF(IF(K189&lt;=1.5,IF(Y189&gt;=3,L189*F189*1.5,K189*F189*(Y189-1.5)),0)&lt;0,0,IF(K189&lt;=1.5,IF(Y189&gt;=3,L189*F189*1.5,K189*F189*(Y189-1.5)),0))+IF(R189&lt;H189,0,IF(AND(Y189&lt;=3,K189&lt;=1.5),-U189,0))</f>
        <v>0</v>
      </c>
      <c r="AL189" s="456">
        <f>IF(X189&gt;0.5,0,IF(AND(K189&lt;=2.5,K189&gt;1.5),IF(Y189&gt;=1.5,L189*F189*1.5,K189*F189*Y189),0)+IF(R189&lt;H189,0,IF(AND(Y189&lt;=1.5,K189&gt;1.5,K189&lt;=2.5),-U189,0)))</f>
        <v>0</v>
      </c>
      <c r="AM189" s="456">
        <f>IF(X189&gt;0.5,0,IF(IF(AND(K189&lt;=2.5,K189&gt;1.5),IF(Y189&gt;=3,L189*F189*1.5,K189*F189*(Y189-1.5)),0)&lt;0,0,IF(AND(K189&lt;=2.5,K189&gt;1.5),IF(Y189&gt;=3,L189*F189*1.5,K189*F189*(Y189-1.5)),0))+IF(R189&lt;H189,0,IF(AND(Y189&lt;=3,Y189&gt;1.5,K189&gt;1.5,K189&lt;=2.5),-U189,0)))</f>
        <v>0</v>
      </c>
      <c r="AN189" s="456">
        <f>IF(X189&gt;0.5,0,IF(IF(K189&lt;=2.5,IF(Y189&gt;=4.5,L189*F189*1.5,K189*F189*(Y189-3)),0)&lt;0,0,IF(K189&lt;=2.5,IF(Y189&gt;=4.5,L189*F189*1.5,K189*F189*(Y189-3)),0))+IF(R189&lt;H189,0,IF(AND(Y189&lt;=4.5,Y189&gt;3,K189&gt;1.5,K189&lt;=2.5),-U189,0)))</f>
        <v>0</v>
      </c>
      <c r="AO189" s="456">
        <f>IF(X189&gt;0.5,0,IF(K189&gt;2.5,IF(Y189&gt;=2,L189*F189*2,K189*F189*Y189),0)+IF(R189&lt;H189,0,IF(AND(Y189&lt;=2,K189&gt;=2.5),-U189,0)))</f>
        <v>0</v>
      </c>
      <c r="AP189" s="456">
        <f>IF(X189&gt;0.5,0,IF(IF(K189&gt;2.5,IF(Y189&gt;=4,L189*F189*2,K189*F189*(Y189-2)),0)&lt;0,0,IF(K189&gt;2.5,IF(Y189&gt;=4,L189*F189*2,K189*F189*(Y189-2)),0))+IF(R189&lt;H189,0,IF(AND(Y189&lt;=4,Y189&gt;2,K189&gt;2.5),-U189,0)))</f>
        <v>0</v>
      </c>
      <c r="AQ189" s="456">
        <f>IF(X189&gt;0.5,0,IF(IF(K189&gt;2.5,IF(Y189&gt;=6,L189*F189*2,K189*F189*(Y189-4)),0)&lt;0,0,IF(K189&gt;2.5,IF(Y189&gt;=6,L189*F189*2,K189*F189*(Y189-4)),0))+IF(R189&lt;H189,0,IF(AND(Y189&lt;=6,Y189&gt;4,K189&gt;2.5),-U189,0)))</f>
        <v>0</v>
      </c>
      <c r="AR189" s="104">
        <f>ROUND(V189-SUM(AC189:AQ189),2)</f>
        <v>0</v>
      </c>
      <c r="AS189" s="449">
        <f>IF(H189-S189&lt;0,0,(H189-S189)*F189)/75</f>
        <v>0</v>
      </c>
      <c r="AT189" s="104">
        <f>F189*K189*H189-PI()*(G189/1000)*(G189/1000)/4*F189+AW189</f>
        <v>31.850551450459264</v>
      </c>
      <c r="AU189" s="102">
        <f>IF(K189&lt;1.5,K189*F189*IF(G189&lt;=500,0.05,IF(G189&lt;=800,0.1,IF(G189&lt;=1200,0.15,IF(G189&gt;=1500,0.2)))),0)</f>
        <v>0</v>
      </c>
      <c r="AV189" s="106">
        <f>IF(K189&gt;=1.5,K189*F189*IF(G189&lt;=500,0.05,IF(G189&lt;=800,0.1,IF(G189&lt;=1200,0.15,IF(G189&gt;=1500,0.2)))),0)</f>
        <v>2.2473000000000001</v>
      </c>
      <c r="AW189" s="104">
        <f>IF(Q189=1,0.4*F189*K189,0)</f>
        <v>5.9928000000000008</v>
      </c>
      <c r="AX189" s="104">
        <f>IF(AW189&lt;SUM(AJ189:AQ189),0,AW189)</f>
        <v>5.9928000000000008</v>
      </c>
      <c r="AY189" s="104">
        <f>G189/1000+0.3</f>
        <v>1.5</v>
      </c>
      <c r="AZ189" s="104">
        <f>AY189*K189*F189-PI()*(G189/1000*G189/1000)/4*F189</f>
        <v>14.771071450459262</v>
      </c>
      <c r="BA189" s="104">
        <f>IF(AZ189&lt;SUM(AJ189:AQ189),0,AZ189)</f>
        <v>14.771071450459262</v>
      </c>
      <c r="BB189" s="104">
        <f>IF(O189="ASFALTO",0.15*F189*K189,0)</f>
        <v>0</v>
      </c>
      <c r="BC189" s="104">
        <f>BB189</f>
        <v>0</v>
      </c>
      <c r="BD189" s="104">
        <f>IF(O189="ASFALTO",0.03*F189*K189,0)</f>
        <v>0</v>
      </c>
      <c r="BE189" s="104">
        <f>AT189-AW189-SUM(AU189:AV189)-BB189-BC189-AZ189</f>
        <v>8.8393800000000002</v>
      </c>
      <c r="BF189" s="104">
        <f>SUM(AJ189:AQ189)-AW189-BB189-AZ189</f>
        <v>-20.763871450459263</v>
      </c>
      <c r="BG189" s="104">
        <f>IF(SMALL(BE189:BF189,1)&lt;0,0,SMALL(BE189:BF189,1))</f>
        <v>0</v>
      </c>
      <c r="BH189" s="104">
        <f>BF189-BG189</f>
        <v>-20.763871450459263</v>
      </c>
      <c r="BI189" s="104">
        <f>BE189-BG189</f>
        <v>8.8393800000000002</v>
      </c>
      <c r="BJ189" s="102">
        <f>IF($BI$192&gt;$BJ$194,($BJ$194/$BI$192)*BI189,BI189)</f>
        <v>8.8393800000000002</v>
      </c>
      <c r="BK189" s="104">
        <f>BI189-BJ189</f>
        <v>0</v>
      </c>
      <c r="BL189" s="104"/>
      <c r="BM189" s="104">
        <f>IF(AW189+BB189&gt;0,4%*(AW189+BB189),0)</f>
        <v>0.23971200000000004</v>
      </c>
      <c r="BN189" s="456">
        <f>IF(G189=400,H189,0)</f>
        <v>0</v>
      </c>
      <c r="BO189" s="471">
        <f>IF(BN189&lt;=1.75,AND(BN189&gt;0)*F189,0)</f>
        <v>0</v>
      </c>
      <c r="BP189" s="471">
        <f>IF(BN189&lt;=3,AND(BN189&gt;1.75)*F189,0)</f>
        <v>0</v>
      </c>
      <c r="BQ189" s="471">
        <f>IF(G189=500,H189,0)</f>
        <v>0</v>
      </c>
      <c r="BR189" s="449">
        <f>IF(BQ189&lt;=1.75,AND(BQ189&gt;0)*F189,0)</f>
        <v>0</v>
      </c>
      <c r="BS189" s="449">
        <f>IF(BQ189&lt;=3,AND(BQ189&gt;1.75)*F189,0)</f>
        <v>0</v>
      </c>
      <c r="BT189" s="449">
        <f>IF(G189=600,H189,0)</f>
        <v>0</v>
      </c>
      <c r="BU189" s="449">
        <f>IF(BT189&lt;=3,AND(BT189&gt;0)*F189,0)</f>
        <v>0</v>
      </c>
      <c r="BV189" s="449">
        <f>IF(BT189&lt;=6,AND(BT189&gt;3)*F189,0)</f>
        <v>0</v>
      </c>
      <c r="BW189" s="449">
        <f>IF(BT189&lt;=9,AND(BT189&gt;6)*F189,0)</f>
        <v>0</v>
      </c>
      <c r="BX189" s="449">
        <f>IF(G189=800,H189,0)</f>
        <v>0</v>
      </c>
      <c r="BY189" s="449">
        <f>IF(BX189&lt;=3,AND(BX189&gt;0)*F189,0)</f>
        <v>0</v>
      </c>
      <c r="BZ189" s="449">
        <f>IF(BX189&lt;=6,AND(BX189&gt;3)*F189,0)</f>
        <v>0</v>
      </c>
      <c r="CA189" s="449">
        <f>IF(BX189&lt;=9,AND(BX189&gt;6)*F189,0)</f>
        <v>0</v>
      </c>
      <c r="CB189" s="449">
        <f>IF(G189=1000,H189,0)</f>
        <v>0</v>
      </c>
      <c r="CC189" s="449">
        <f>IF(CB189&lt;=3,AND(CB189&gt;0)*F189,0)</f>
        <v>0</v>
      </c>
      <c r="CD189" s="449">
        <f>IF(CB189&lt;=6,AND(CB189&gt;3)*F189,0)</f>
        <v>0</v>
      </c>
      <c r="CE189" s="449">
        <f>IF(CB189&lt;=9,AND(CB189&gt;6)*F189,0)</f>
        <v>0</v>
      </c>
      <c r="CF189" s="449">
        <f>IF(G189=1200,H189,0)</f>
        <v>2.2399999999999998</v>
      </c>
      <c r="CG189" s="449">
        <f>IF(CF189&lt;=3,AND(CF189&gt;0)*F189,0)</f>
        <v>6.81</v>
      </c>
      <c r="CH189" s="449">
        <f>IF(CF189&lt;=6,AND(CF189&gt;3)*F189,0)</f>
        <v>0</v>
      </c>
      <c r="CI189" s="449">
        <f>IF(CF189&lt;=9,AND(CF189&gt;6)*F189,0)</f>
        <v>0</v>
      </c>
      <c r="CJ189" s="472">
        <f>IF(G189=1500,H189,0)</f>
        <v>0</v>
      </c>
      <c r="CK189" s="449">
        <f>IF(CJ189&lt;=3,AND(CJ189&gt;0)*F189,0)</f>
        <v>0</v>
      </c>
      <c r="CL189" s="449">
        <f>IF(CJ189&lt;=6,AND(CJ189&gt;3)*F189,0)</f>
        <v>0</v>
      </c>
      <c r="CM189" s="449">
        <f>IF(CJ189&lt;=9,AND(CJ189&gt;6)*F189,0)</f>
        <v>0</v>
      </c>
      <c r="CN189" s="453">
        <f>IF(G189=1650,F189,0)</f>
        <v>0</v>
      </c>
      <c r="CO189" s="453">
        <f>IF(G189=1800,F189,0)</f>
        <v>0</v>
      </c>
      <c r="CP189" s="453">
        <f>IF(G189=2000,F189,0)</f>
        <v>0</v>
      </c>
      <c r="CQ189" s="453">
        <f>IF(G189=2200,F189,0)</f>
        <v>0</v>
      </c>
      <c r="CR189" s="453">
        <f>IF(G189=2400,F189,0)</f>
        <v>0</v>
      </c>
      <c r="CS189" s="453">
        <f>IF(G189=2600,F189,0)</f>
        <v>0</v>
      </c>
      <c r="CT189" s="473">
        <f>IF(G189=3000,F189,0)</f>
        <v>0</v>
      </c>
      <c r="CU189" s="470">
        <f>IF(G189&gt;=100,1,0)</f>
        <v>1</v>
      </c>
      <c r="CV189" s="470">
        <f>IF(CU189=1,IF(G189&lt;=600,1,0))</f>
        <v>0</v>
      </c>
      <c r="CW189" s="470">
        <f>IF(CU189=1,IF($G189=800,1,0))</f>
        <v>0</v>
      </c>
      <c r="CX189" s="470">
        <f>IF(CU189=1,IF($G189=1000,1,0))</f>
        <v>0</v>
      </c>
      <c r="CY189" s="470">
        <f>IF(CU189=1,IF($G189=1200,1,0))</f>
        <v>1</v>
      </c>
      <c r="CZ189" s="470">
        <f>IF(CU189=1,IF($G189=1500,1,0))</f>
        <v>0</v>
      </c>
      <c r="DA189" s="478">
        <f>IF(IF(G189&lt;=600,(D189-DB189),0)+IF(G189=800,(D189-DC189),0)+IF(G189&gt;=1000,D189-DD189,0)&lt;0,0,IF(G189&lt;=600,(D189-DB189),0)+IF(G189=800,(D189-DC189),0)+IF(G189&gt;=1000,D189-DD189,0))</f>
        <v>0</v>
      </c>
      <c r="DB189" s="469">
        <v>1.3</v>
      </c>
      <c r="DC189" s="469">
        <v>1.4</v>
      </c>
      <c r="DD189" s="469">
        <v>2</v>
      </c>
      <c r="DE189" s="469">
        <v>2</v>
      </c>
      <c r="DF189" s="476">
        <v>2</v>
      </c>
      <c r="DG189" s="456">
        <f>IF(K189&lt;=1.5,IF(H189&lt;1.5,H189*F189*2,F189*2*1.5),0)</f>
        <v>0</v>
      </c>
      <c r="DH189" s="476">
        <f>IF(K189&lt;=1.5,IF(AND(H189&lt;3,H189&gt;1.5),(H189-1.5)*F189*2,IF(H189&gt;=3,(F189*2*1.5),0)),0)</f>
        <v>0</v>
      </c>
      <c r="DI189" s="476">
        <f>IF(K189&lt;=1.5,IF(AND(H189&lt;4.5,H189&gt;3),(H189-3)*F189*2,IF(H189&gt;=4.5,(F189*2*1.5),0)),0)</f>
        <v>0</v>
      </c>
      <c r="DJ189" s="476">
        <f>IF(AND(K189&lt;=2.5,K189&gt;1.5),IF(H189&lt;1.5,H189*F189*2,F189*2*1.5),0)</f>
        <v>20.43</v>
      </c>
      <c r="DK189" s="476">
        <f>IF(AND(K189&gt;1.5,K189&lt;=2.5),IF(AND(H189&lt;3,H189&gt;1.5),(H189-1.5)*F189*2,IF(H189&gt;=3,(F189*2*1.5),0)),0)</f>
        <v>10.078799999999996</v>
      </c>
      <c r="DL189" s="476">
        <f>IF(AND(K189&gt;1.5,K189&lt;=2.5),IF(AND(H189&lt;4.5,H189&gt;3),(H189-3)*F189*2,IF(H189&gt;=4.5,(F189*2*1.5),0)),0)</f>
        <v>0</v>
      </c>
      <c r="DM189" s="476">
        <f>IF(AND(K189&lt;=3.5,K189&gt;2.5),IF(H189&lt;1.5,H189*F189*2,F189*2*1.5),0)</f>
        <v>0</v>
      </c>
      <c r="DN189" s="476">
        <f>IF(AND(K189&gt;2.5,K189&lt;=3.5),IF(AND(H189&lt;3,H189&gt;1.5),(H189-1.5)*F189*2,IF(H189&gt;=3,(F189*2*1.5),0)),0)</f>
        <v>0</v>
      </c>
      <c r="DO189" s="476">
        <f>IF(AND(K189&gt;2.5,K189&lt;=3.5),IF(AND(H189&lt;4.5,H189&gt;3),(H189-3)*F189*2,IF(H189&gt;=4.5,(F189*2*1.5),0)),0)</f>
        <v>0</v>
      </c>
      <c r="DP189" s="476">
        <f>IF(AND(K189&gt;2.5,K189&lt;=3.5),IF(AND(H189&lt;6,H189&gt;4.5),(H189-4.5)*F189*2,IF(H189&gt;=6,(F189*2*1.5),0)),0)</f>
        <v>0</v>
      </c>
      <c r="DQ189" s="417"/>
      <c r="DR189" s="479"/>
    </row>
    <row r="190" spans="1:122" s="86" customFormat="1" ht="13" x14ac:dyDescent="0.25">
      <c r="B190" s="101"/>
      <c r="C190" s="87" t="str">
        <f>'Planilha Hidráulica'!B197</f>
        <v>RD-3</v>
      </c>
      <c r="D190" s="258"/>
      <c r="E190" s="258"/>
      <c r="F190" s="258"/>
      <c r="G190" s="101"/>
      <c r="H190" s="449"/>
      <c r="I190" s="449"/>
      <c r="J190" s="467"/>
      <c r="K190" s="449"/>
      <c r="L190" s="449"/>
      <c r="M190" s="470"/>
      <c r="N190" s="449"/>
      <c r="O190" s="468"/>
      <c r="P190" s="468"/>
      <c r="Q190" s="468"/>
      <c r="R190" s="468"/>
      <c r="S190" s="468"/>
      <c r="T190" s="449"/>
      <c r="U190" s="453"/>
      <c r="V190" s="453"/>
      <c r="W190" s="453"/>
      <c r="X190" s="453"/>
      <c r="Y190" s="453"/>
      <c r="Z190" s="453"/>
      <c r="AA190" s="456"/>
      <c r="AB190" s="469"/>
      <c r="AC190" s="469"/>
      <c r="AD190" s="469"/>
      <c r="AE190" s="109"/>
      <c r="AF190" s="469"/>
      <c r="AG190" s="469"/>
      <c r="AH190" s="469"/>
      <c r="AI190" s="469"/>
      <c r="AJ190" s="456"/>
      <c r="AK190" s="456"/>
      <c r="AL190" s="456"/>
      <c r="AM190" s="456"/>
      <c r="AN190" s="456"/>
      <c r="AO190" s="456"/>
      <c r="AP190" s="456"/>
      <c r="AQ190" s="456"/>
      <c r="AR190" s="449"/>
      <c r="AS190" s="449"/>
      <c r="AT190" s="465"/>
      <c r="AU190" s="465"/>
      <c r="AV190" s="466"/>
      <c r="AW190" s="465"/>
      <c r="AX190" s="465"/>
      <c r="AY190" s="465"/>
      <c r="AZ190" s="465"/>
      <c r="BA190" s="465"/>
      <c r="BB190" s="465"/>
      <c r="BC190" s="465"/>
      <c r="BD190" s="465"/>
      <c r="BE190" s="449"/>
      <c r="BF190" s="449"/>
      <c r="BG190" s="449"/>
      <c r="BH190" s="449"/>
      <c r="BI190" s="449"/>
      <c r="BJ190" s="449"/>
      <c r="BK190" s="449"/>
      <c r="BL190" s="465"/>
      <c r="BM190" s="465"/>
      <c r="BN190" s="456"/>
      <c r="BO190" s="471"/>
      <c r="BP190" s="471"/>
      <c r="BQ190" s="471"/>
      <c r="BR190" s="449"/>
      <c r="BS190" s="449"/>
      <c r="BT190" s="449"/>
      <c r="BU190" s="449"/>
      <c r="BV190" s="449"/>
      <c r="BW190" s="449"/>
      <c r="BX190" s="449"/>
      <c r="BY190" s="449"/>
      <c r="BZ190" s="449"/>
      <c r="CA190" s="449"/>
      <c r="CB190" s="449"/>
      <c r="CC190" s="449"/>
      <c r="CD190" s="449"/>
      <c r="CE190" s="449"/>
      <c r="CF190" s="449"/>
      <c r="CG190" s="449"/>
      <c r="CH190" s="449"/>
      <c r="CI190" s="449"/>
      <c r="CJ190" s="472"/>
      <c r="CK190" s="449"/>
      <c r="CL190" s="449"/>
      <c r="CM190" s="449"/>
      <c r="CN190" s="453"/>
      <c r="CO190" s="453"/>
      <c r="CP190" s="453"/>
      <c r="CQ190" s="453"/>
      <c r="CR190" s="453"/>
      <c r="CS190" s="453"/>
      <c r="CT190" s="473"/>
      <c r="CU190" s="470"/>
      <c r="CV190" s="470"/>
      <c r="CW190" s="470"/>
      <c r="CX190" s="470"/>
      <c r="CY190" s="470"/>
      <c r="CZ190" s="470"/>
      <c r="DA190" s="478"/>
      <c r="DB190" s="469"/>
      <c r="DC190" s="469"/>
      <c r="DD190" s="469"/>
      <c r="DE190" s="469"/>
      <c r="DF190" s="476"/>
      <c r="DG190" s="456"/>
      <c r="DH190" s="476"/>
      <c r="DI190" s="476"/>
      <c r="DJ190" s="476"/>
      <c r="DK190" s="476"/>
      <c r="DL190" s="476"/>
      <c r="DM190" s="476"/>
      <c r="DN190" s="476"/>
      <c r="DO190" s="476"/>
      <c r="DP190" s="476"/>
      <c r="DQ190" s="464"/>
      <c r="DR190" s="479">
        <f>D190-M190/1000</f>
        <v>0</v>
      </c>
    </row>
    <row r="191" spans="1:122" s="86" customFormat="1" ht="25" x14ac:dyDescent="0.3">
      <c r="B191" s="101"/>
      <c r="C191" s="101" t="str">
        <f>'Planilha Hidráulica'!B198</f>
        <v>PV1.1-&gt;PV2.1</v>
      </c>
      <c r="D191" s="258">
        <f>'Planilha Hidráulica'!R198</f>
        <v>1.73</v>
      </c>
      <c r="E191" s="258">
        <f>'Planilha Hidráulica'!S198</f>
        <v>1.93</v>
      </c>
      <c r="F191" s="258">
        <f>'Planilha Hidráulica'!K198</f>
        <v>5.93</v>
      </c>
      <c r="G191" s="101">
        <f>'Planilha Hidráulica'!M198</f>
        <v>1200</v>
      </c>
      <c r="H191" s="449">
        <f>IF(G191=400,((D191+E191)/2)+0.08+T191,IF(G191=500,((D191+E191)/2)+0.1+T191,IF(G191=600,((D191+E191)/2)+0.12+T191,IF(G191=800,((D191+E191)/2)+0.16+T191,IF(G191=1000,((D191+E191)/2)+0.2+T191,IF(G191=1200,((D191+E191)/2)+0.24+T191,IF(G191=1500,((D191+E191)/2)+0.3+T191,IF(G191&gt;1500,((D191+E191)/2)+0.4+T191))))))))</f>
        <v>2.2200000000000002</v>
      </c>
      <c r="I191" s="102">
        <f>IF(H191&gt;=1.25,F191*H191/20,0)</f>
        <v>0.65822999999999998</v>
      </c>
      <c r="J191" s="467">
        <v>0</v>
      </c>
      <c r="K191" s="449">
        <f>IF(G191=400,1,0)+IF(G191=500,1.2,0)+IF(G191=600,1.4,0)+IF(G191=800,1.7,0)+IF(G191=1000,2,0)+IF(G191=1200,2.2,0)+IF(G191=1500,2.6,0)+IF(G191=1650,3,0)+IF(G191=1800,3.2,0)+IF(G191=2000,3.4,0)+IF(G191=2200,3.6,0)+IF(G191=2400,3.8,0)+IF(G191=2600,4,0)+IF(G191=3000,4.4,0)</f>
        <v>2.2000000000000002</v>
      </c>
      <c r="L191" s="449">
        <f>2*J191*H191+K191</f>
        <v>2.2000000000000002</v>
      </c>
      <c r="M191" s="449" t="str">
        <f>'Planilha Hidráulica'!X198</f>
        <v>-</v>
      </c>
      <c r="N191" s="449">
        <f>L191*F191</f>
        <v>13.046000000000001</v>
      </c>
      <c r="O191" s="468" t="str">
        <f>'Planilha Hidráulica'!W198</f>
        <v>TERRENO NATURAL</v>
      </c>
      <c r="P191" s="468" t="s">
        <v>2095</v>
      </c>
      <c r="Q191" s="105">
        <v>1</v>
      </c>
      <c r="R191" s="468">
        <v>10.199999999999999</v>
      </c>
      <c r="S191" s="468">
        <v>4.5</v>
      </c>
      <c r="T191" s="449">
        <f>IF(G191=400,0.05,0)+IF(G191=500,0.05,0)+IF(G191=600,0.1,0)+IF(G191=800,0.1,0)+IF(G191=1000,0.15,0)+IF(G191=1200,0.15,0)+IF(G191=1500,0.2,0)+IF(G191=1650,0.2,0)+IF(G191=1800,0.2,0)+IF(G191=2000,0.25,0)+IF(G191=2200,0.25,0)+IF(G191=2400,0.25,0)+IF(G191=2600,0.25,0)+IF(G191=3000,0.25,0)</f>
        <v>0.15</v>
      </c>
      <c r="U191" s="453">
        <f>IFERROR((PI()*(M191/1000)*(M191/1000)/4)*F191,0)</f>
        <v>0</v>
      </c>
      <c r="V191" s="106">
        <f>((((J191*H191)*H191)/2)*2+K191*H191)*F191-U191+AW191</f>
        <v>34.180520000000008</v>
      </c>
      <c r="W191" s="107">
        <f>ROUND(V191-SUM(AC191:AR191),2)</f>
        <v>0</v>
      </c>
      <c r="X191" s="107">
        <f>IF(Q191=1,IF(OR(M191=0,M191="-"),H191+0.4,0.4),0)</f>
        <v>2.62</v>
      </c>
      <c r="Y191" s="453">
        <f>IF(R191&lt;H191,R191,H191)</f>
        <v>2.2200000000000002</v>
      </c>
      <c r="Z191" s="453">
        <f>H191-Y191</f>
        <v>0</v>
      </c>
      <c r="AA191" s="456">
        <f>IF(O191="ASFALTO",L191*F191,0)</f>
        <v>0</v>
      </c>
      <c r="AB191" s="469">
        <f>IF(O191="CONCRETO",L191*F191,0)</f>
        <v>0</v>
      </c>
      <c r="AC191" s="109">
        <f>IF(X191=0,0,IF(X191=0.4,IF(K191&lt;=1.5,IF(Y191+0.4&gt;=1.5,0,K191*F191*0.4),0),IF(K191&lt;=1.5,IF(X191&gt;=1.5,L191*F191*1.5,K191*F191*(X191)),0)+IF(R191&lt;H191+0.4,0,IF(AND(X191&lt;=1.5,K191&lt;=1.5),-U191,0))))</f>
        <v>0</v>
      </c>
      <c r="AD191" s="109">
        <f>IF(X191=0,0,IF(X191=0.4,IF(K191&lt;=1.5,IF(OR(Y191+0.4&gt;=3,Y191+0.4&lt;1.5),0,K191*F191*0.4),0),IF(IF(K191&lt;=1.5,IF(X191&gt;=3,L191*F191*1.5,K191*F191*(X191-1.5)),0)&lt;0,0,IF(K191&lt;=1.5,IF(X191&gt;=3,L191*F191*1.5,K191*F191*(X191-1.5)),0))+IF(R191&lt;H191+0.4,0,IF(AND(X191&lt;=3,K191&lt;=1.5),-U191,0))))</f>
        <v>0</v>
      </c>
      <c r="AE191" s="109">
        <f>IF(X191=0,0,IF(X191=0.4,IF(K191&lt;=1.5,IF(OR(Y191+0.4&gt;=4.5,Y191+0.4&lt;3),0,K191*F191*0.4),0),IF(IF(K191&lt;=1.5,IF(X191&gt;=4.5,L191*F191*1.5,K191*F191*(X191-3)),0)&lt;0,0,IF(K191&lt;=1.5,IF(X191&gt;=3,L191*F191*1.5,K191*F191*(X191-3)),0))+IF(R191&lt;H191+0.4,0,IF(AND(X191&lt;=4.5,K191&lt;=1.5),-U191,0))))</f>
        <v>0</v>
      </c>
      <c r="AF191" s="109">
        <f>IF(X191=0,0,IF(X191=0.4,IF(AND(K191&gt;1.5,K191&lt;=2.6),IF(Y191+0.4&gt;=1.5,0,K191*F191*0.4),0),IF(AND(K191&gt;1.5,K191&lt;=2.6),IF(X191&gt;=1.5,L191*F191*1.5,K191*F191*(X191)),0)+IF(R191&lt;H191+0.4,0,IF(AND(X191&lt;=1.5,K191&lt;=1.5),-U191,0))))</f>
        <v>19.569000000000003</v>
      </c>
      <c r="AG191" s="109">
        <f>IF(X191=0,0,IF(X191=0.4,IF(AND(K191&gt;1.5,K191&lt;=2.6),IF(OR(Y191+0.4&gt;=3,Y191+0.4&lt;1.5),0,K191*F191*0.4),0),IF(IF(AND(K191&gt;1.5,K191&lt;=2.6),IF(X191&gt;=3,L191*F191*1.5,K191*F191*(X191-1.5)),0)&lt;0,0,IF(AND(K191&gt;1.5,K191&lt;=2.6),IF(X191&gt;=3,L191*F191*1.5,K191*F191*(X191-1.5)),0))+IF(R191&lt;H191+0.4,0,IF(AND(X191&lt;=3,K191&lt;=1.5),-U191,0))))</f>
        <v>14.611520000000002</v>
      </c>
      <c r="AH191" s="109">
        <f>IF(X191=0,0,IF(X191=0.4,IF(AND(K191&gt;1.5,K191&lt;=2.6),IF(OR(Y191+0.4&gt;=4.5,Y191+0.4&lt;3),0,K191*F191*0.4),0),IF(IF(AND(K191&gt;1.5,K191&lt;=2.6),IF(X191&gt;=4.5,L191*F191*1.5,K191*F191*(X191-3)),0)&lt;0,0,IF(AND(K191&gt;1.5,K191&lt;=2.6),IF(X191&gt;=4.5,L191*F191*1.5,K191*F191*(X191-3)),0))+IF(R191&lt;H191+0.4,0,IF(AND(X191&lt;=3,K191&lt;=1.5),-U191,0))))</f>
        <v>0</v>
      </c>
      <c r="AI191" s="109">
        <f>IF(X191=0,0,IF(X191=0.4,IF(AND(K191&gt;1.5,K191&lt;=2.6),IF(OR(Y191+0.4&gt;=6,Y191+0.4&lt;4.5),0,K191*F191*0.4),0),IF(IF(AND(K191&gt;1.5,K191&lt;=2.6),IF(X191&gt;=6,L191*F191*1.5,K191*F191*(X191-4.5)),0)&lt;0,0,IF(AND(K191&gt;1.5,K191&lt;=2.6),IF(X191&gt;=6,L191*F191*1.5,K191*F191*(X191-4.5)),0))+IF(R191&lt;H191+0.4,0,IF(AND(X191&lt;=3,K191&lt;=1.5),-U191,0))))</f>
        <v>0</v>
      </c>
      <c r="AJ191" s="456">
        <f>IF(K191&lt;=1.5,IF(Y191&gt;=1.5,L191*F191*1.5,K191*F191*Y191),0)+IF(R191&lt;H191,0,IF(AND(Y191&lt;=1.5,K191&lt;=1.5),-U191,0))</f>
        <v>0</v>
      </c>
      <c r="AK191" s="456">
        <f>IF(IF(K191&lt;=1.5,IF(Y191&gt;=3,L191*F191*1.5,K191*F191*(Y191-1.5)),0)&lt;0,0,IF(K191&lt;=1.5,IF(Y191&gt;=3,L191*F191*1.5,K191*F191*(Y191-1.5)),0))+IF(R191&lt;H191,0,IF(AND(Y191&lt;=3,K191&lt;=1.5),-U191,0))</f>
        <v>0</v>
      </c>
      <c r="AL191" s="456">
        <f>IF(X191&gt;0.5,0,IF(AND(K191&lt;=2.5,K191&gt;1.5),IF(Y191&gt;=1.5,L191*F191*1.5,K191*F191*Y191),0)+IF(R191&lt;H191,0,IF(AND(Y191&lt;=1.5,K191&gt;1.5,K191&lt;=2.5),-U191,0)))</f>
        <v>0</v>
      </c>
      <c r="AM191" s="456">
        <f>IF(X191&gt;0.5,0,IF(IF(AND(K191&lt;=2.5,K191&gt;1.5),IF(Y191&gt;=3,L191*F191*1.5,K191*F191*(Y191-1.5)),0)&lt;0,0,IF(AND(K191&lt;=2.5,K191&gt;1.5),IF(Y191&gt;=3,L191*F191*1.5,K191*F191*(Y191-1.5)),0))+IF(R191&lt;H191,0,IF(AND(Y191&lt;=3,Y191&gt;1.5,K191&gt;1.5,K191&lt;=2.5),-U191,0)))</f>
        <v>0</v>
      </c>
      <c r="AN191" s="456">
        <f>IF(X191&gt;0.5,0,IF(IF(K191&lt;=2.5,IF(Y191&gt;=4.5,L191*F191*1.5,K191*F191*(Y191-3)),0)&lt;0,0,IF(K191&lt;=2.5,IF(Y191&gt;=4.5,L191*F191*1.5,K191*F191*(Y191-3)),0))+IF(R191&lt;H191,0,IF(AND(Y191&lt;=4.5,Y191&gt;3,K191&gt;1.5,K191&lt;=2.5),-U191,0)))</f>
        <v>0</v>
      </c>
      <c r="AO191" s="456">
        <f>IF(X191&gt;0.5,0,IF(K191&gt;2.5,IF(Y191&gt;=2,L191*F191*2,K191*F191*Y191),0)+IF(R191&lt;H191,0,IF(AND(Y191&lt;=2,K191&gt;=2.5),-U191,0)))</f>
        <v>0</v>
      </c>
      <c r="AP191" s="456">
        <f>IF(X191&gt;0.5,0,IF(IF(K191&gt;2.5,IF(Y191&gt;=4,L191*F191*2,K191*F191*(Y191-2)),0)&lt;0,0,IF(K191&gt;2.5,IF(Y191&gt;=4,L191*F191*2,K191*F191*(Y191-2)),0))+IF(R191&lt;H191,0,IF(AND(Y191&lt;=4,Y191&gt;2,K191&gt;2.5),-U191,0)))</f>
        <v>0</v>
      </c>
      <c r="AQ191" s="456">
        <f>IF(X191&gt;0.5,0,IF(IF(K191&gt;2.5,IF(Y191&gt;=6,L191*F191*2,K191*F191*(Y191-4)),0)&lt;0,0,IF(K191&gt;2.5,IF(Y191&gt;=6,L191*F191*2,K191*F191*(Y191-4)),0))+IF(R191&lt;H191,0,IF(AND(Y191&lt;=6,Y191&gt;4,K191&gt;2.5),-U191,0)))</f>
        <v>0</v>
      </c>
      <c r="AR191" s="104">
        <f>ROUND(V191-SUM(AC191:AQ191),2)</f>
        <v>0</v>
      </c>
      <c r="AS191" s="449">
        <f>IF(H191-S191&lt;0,0,(H191-S191)*F191)/75</f>
        <v>0</v>
      </c>
      <c r="AT191" s="104">
        <f>F191*K191*H191-PI()*(G191/1000)*(G191/1000)/4*F191+AW191</f>
        <v>27.473848003116515</v>
      </c>
      <c r="AU191" s="102">
        <f>IF(K191&lt;1.5,K191*F191*IF(G191&lt;=500,0.05,IF(G191&lt;=800,0.1,IF(G191&lt;=1200,0.15,IF(G191&gt;=1500,0.2)))),0)</f>
        <v>0</v>
      </c>
      <c r="AV191" s="106">
        <f>IF(K191&gt;=1.5,K191*F191*IF(G191&lt;=500,0.05,IF(G191&lt;=800,0.1,IF(G191&lt;=1200,0.15,IF(G191&gt;=1500,0.2)))),0)</f>
        <v>1.9569000000000001</v>
      </c>
      <c r="AW191" s="104">
        <f>IF(Q191=1,0.4*F191*K191,0)</f>
        <v>5.2183999999999999</v>
      </c>
      <c r="AX191" s="104">
        <f>IF(AW191&lt;SUM(AJ191:AQ191),0,AW191)</f>
        <v>5.2183999999999999</v>
      </c>
      <c r="AY191" s="104">
        <f>G191/1000+0.3</f>
        <v>1.5</v>
      </c>
      <c r="AZ191" s="104">
        <f>AY191*K191*F191-PI()*(G191/1000*G191/1000)/4*F191</f>
        <v>12.862328003116509</v>
      </c>
      <c r="BA191" s="104">
        <f>IF(AZ191&lt;SUM(AJ191:AQ191),0,AZ191)</f>
        <v>12.862328003116509</v>
      </c>
      <c r="BB191" s="104">
        <f>IF(O191="ASFALTO",0.15*F191*K191,0)</f>
        <v>0</v>
      </c>
      <c r="BC191" s="104">
        <f>BB191</f>
        <v>0</v>
      </c>
      <c r="BD191" s="104">
        <f>IF(O191="ASFALTO",0.03*F191*K191,0)</f>
        <v>0</v>
      </c>
      <c r="BE191" s="104">
        <f>AT191-AW191-SUM(AU191:AV191)-BB191-BC191-AZ191</f>
        <v>7.4362200000000058</v>
      </c>
      <c r="BF191" s="104">
        <f>SUM(AJ191:AQ191)-AW191-BB191-AZ191</f>
        <v>-18.080728003116509</v>
      </c>
      <c r="BG191" s="104">
        <f>IF(SMALL(BE191:BF191,1)&lt;0,0,SMALL(BE191:BF191,1))</f>
        <v>0</v>
      </c>
      <c r="BH191" s="104">
        <f>BF191-BG191</f>
        <v>-18.080728003116509</v>
      </c>
      <c r="BI191" s="104">
        <f>BE191-BG191</f>
        <v>7.4362200000000058</v>
      </c>
      <c r="BJ191" s="102">
        <f>IF($BI$192&gt;$BJ$194,($BJ$194/$BI$192)*BI191,BI191)</f>
        <v>7.4362200000000058</v>
      </c>
      <c r="BK191" s="104">
        <f>BI191-BJ191</f>
        <v>0</v>
      </c>
      <c r="BL191" s="104"/>
      <c r="BM191" s="104">
        <f>IF(AW191+BB191&gt;0,4%*(AW191+BB191),0)</f>
        <v>0.208736</v>
      </c>
      <c r="BN191" s="456">
        <f>IF(G191=400,H191,0)</f>
        <v>0</v>
      </c>
      <c r="BO191" s="471">
        <f>IF(BN191&lt;=1.75,AND(BN191&gt;0)*F191,0)</f>
        <v>0</v>
      </c>
      <c r="BP191" s="471">
        <f>IF(BN191&lt;=3,AND(BN191&gt;1.75)*F191,0)</f>
        <v>0</v>
      </c>
      <c r="BQ191" s="471">
        <f>IF(G191=500,H191,0)</f>
        <v>0</v>
      </c>
      <c r="BR191" s="449">
        <f>IF(BQ191&lt;=1.75,AND(BQ191&gt;0)*F191,0)</f>
        <v>0</v>
      </c>
      <c r="BS191" s="449">
        <f>IF(BQ191&lt;=3,AND(BQ191&gt;1.75)*F191,0)</f>
        <v>0</v>
      </c>
      <c r="BT191" s="449">
        <f>IF(G191=600,H191,0)</f>
        <v>0</v>
      </c>
      <c r="BU191" s="449">
        <f>IF(BT191&lt;=3,AND(BT191&gt;0)*F191,0)</f>
        <v>0</v>
      </c>
      <c r="BV191" s="449">
        <f>IF(BT191&lt;=6,AND(BT191&gt;3)*F191,0)</f>
        <v>0</v>
      </c>
      <c r="BW191" s="449">
        <f>IF(BT191&lt;=9,AND(BT191&gt;6)*F191,0)</f>
        <v>0</v>
      </c>
      <c r="BX191" s="449">
        <f>IF(G191=800,H191,0)</f>
        <v>0</v>
      </c>
      <c r="BY191" s="449">
        <f>IF(BX191&lt;=3,AND(BX191&gt;0)*F191,0)</f>
        <v>0</v>
      </c>
      <c r="BZ191" s="449">
        <f>IF(BX191&lt;=6,AND(BX191&gt;3)*F191,0)</f>
        <v>0</v>
      </c>
      <c r="CA191" s="449">
        <f>IF(BX191&lt;=9,AND(BX191&gt;6)*F191,0)</f>
        <v>0</v>
      </c>
      <c r="CB191" s="449">
        <f>IF(G191=1000,H191,0)</f>
        <v>0</v>
      </c>
      <c r="CC191" s="449">
        <f>IF(CB191&lt;=3,AND(CB191&gt;0)*F191,0)</f>
        <v>0</v>
      </c>
      <c r="CD191" s="449">
        <f>IF(CB191&lt;=6,AND(CB191&gt;3)*F191,0)</f>
        <v>0</v>
      </c>
      <c r="CE191" s="449">
        <f>IF(CB191&lt;=9,AND(CB191&gt;6)*F191,0)</f>
        <v>0</v>
      </c>
      <c r="CF191" s="449">
        <f>IF(G191=1200,H191,0)</f>
        <v>2.2200000000000002</v>
      </c>
      <c r="CG191" s="449">
        <f>IF(CF191&lt;=3,AND(CF191&gt;0)*F191,0)</f>
        <v>5.93</v>
      </c>
      <c r="CH191" s="449">
        <f>IF(CF191&lt;=6,AND(CF191&gt;3)*F191,0)</f>
        <v>0</v>
      </c>
      <c r="CI191" s="449">
        <f>IF(CF191&lt;=9,AND(CF191&gt;6)*F191,0)</f>
        <v>0</v>
      </c>
      <c r="CJ191" s="472">
        <f>IF(G191=1500,H191,0)</f>
        <v>0</v>
      </c>
      <c r="CK191" s="449">
        <f>IF(CJ191&lt;=3,AND(CJ191&gt;0)*F191,0)</f>
        <v>0</v>
      </c>
      <c r="CL191" s="449">
        <f>IF(CJ191&lt;=6,AND(CJ191&gt;3)*F191,0)</f>
        <v>0</v>
      </c>
      <c r="CM191" s="449">
        <f>IF(CJ191&lt;=9,AND(CJ191&gt;6)*F191,0)</f>
        <v>0</v>
      </c>
      <c r="CN191" s="453">
        <f>IF(G191=1650,F191,0)</f>
        <v>0</v>
      </c>
      <c r="CO191" s="453">
        <f>IF(G191=1800,F191,0)</f>
        <v>0</v>
      </c>
      <c r="CP191" s="453">
        <f>IF(G191=2000,F191,0)</f>
        <v>0</v>
      </c>
      <c r="CQ191" s="453">
        <f>IF(G191=2200,F191,0)</f>
        <v>0</v>
      </c>
      <c r="CR191" s="453">
        <f>IF(G191=2400,F191,0)</f>
        <v>0</v>
      </c>
      <c r="CS191" s="453">
        <f>IF(G191=2600,F191,0)</f>
        <v>0</v>
      </c>
      <c r="CT191" s="473">
        <f>IF(G191=3000,F191,0)</f>
        <v>0</v>
      </c>
      <c r="CU191" s="470">
        <f>IF(G191&gt;=100,1,0)</f>
        <v>1</v>
      </c>
      <c r="CV191" s="470">
        <f>IF(CU191=1,IF(G191&lt;=600,1,0))</f>
        <v>0</v>
      </c>
      <c r="CW191" s="470">
        <f>IF(CU191=1,IF($G191=800,1,0))</f>
        <v>0</v>
      </c>
      <c r="CX191" s="470">
        <f>IF(CU191=1,IF($G191=1000,1,0))</f>
        <v>0</v>
      </c>
      <c r="CY191" s="470">
        <f>IF(CU191=1,IF($G191=1200,1,0))</f>
        <v>1</v>
      </c>
      <c r="CZ191" s="470">
        <f>IF(CU191=1,IF($G191=1500,1,0))</f>
        <v>0</v>
      </c>
      <c r="DA191" s="478">
        <f>IF(IF(G191&lt;=600,(D191-DB191),0)+IF(G191=800,(D191-DC191),0)+IF(G191&gt;=1000,D191-DD191,0)&lt;0,0,IF(G191&lt;=600,(D191-DB191),0)+IF(G191=800,(D191-DC191),0)+IF(G191&gt;=1000,D191-DD191,0))</f>
        <v>0</v>
      </c>
      <c r="DB191" s="469">
        <v>1.3</v>
      </c>
      <c r="DC191" s="469">
        <v>1.4</v>
      </c>
      <c r="DD191" s="469">
        <v>2</v>
      </c>
      <c r="DE191" s="469">
        <v>2</v>
      </c>
      <c r="DF191" s="476">
        <v>2</v>
      </c>
      <c r="DG191" s="456">
        <f>IF(K191&lt;=1.5,IF(H191&lt;1.5,H191*F191*2,F191*2*1.5),0)</f>
        <v>0</v>
      </c>
      <c r="DH191" s="476">
        <f>IF(K191&lt;=1.5,IF(AND(H191&lt;3,H191&gt;1.5),(H191-1.5)*F191*2,IF(H191&gt;=3,(F191*2*1.5),0)),0)</f>
        <v>0</v>
      </c>
      <c r="DI191" s="476">
        <f>IF(K191&lt;=1.5,IF(AND(H191&lt;4.5,H191&gt;3),(H191-3)*F191*2,IF(H191&gt;=4.5,(F191*2*1.5),0)),0)</f>
        <v>0</v>
      </c>
      <c r="DJ191" s="476">
        <f>IF(AND(K191&lt;=2.5,K191&gt;1.5),IF(H191&lt;1.5,H191*F191*2,F191*2*1.5),0)</f>
        <v>17.79</v>
      </c>
      <c r="DK191" s="476">
        <f>IF(AND(K191&gt;1.5,K191&lt;=2.5),IF(AND(H191&lt;3,H191&gt;1.5),(H191-1.5)*F191*2,IF(H191&gt;=3,(F191*2*1.5),0)),0)</f>
        <v>8.5392000000000028</v>
      </c>
      <c r="DL191" s="476">
        <f>IF(AND(K191&gt;1.5,K191&lt;=2.5),IF(AND(H191&lt;4.5,H191&gt;3),(H191-3)*F191*2,IF(H191&gt;=4.5,(F191*2*1.5),0)),0)</f>
        <v>0</v>
      </c>
      <c r="DM191" s="476">
        <f>IF(AND(K191&lt;=3.5,K191&gt;2.5),IF(H191&lt;1.5,H191*F191*2,F191*2*1.5),0)</f>
        <v>0</v>
      </c>
      <c r="DN191" s="476">
        <f>IF(AND(K191&gt;2.5,K191&lt;=3.5),IF(AND(H191&lt;3,H191&gt;1.5),(H191-1.5)*F191*2,IF(H191&gt;=3,(F191*2*1.5),0)),0)</f>
        <v>0</v>
      </c>
      <c r="DO191" s="476">
        <f>IF(AND(K191&gt;2.5,K191&lt;=3.5),IF(AND(H191&lt;4.5,H191&gt;3),(H191-3)*F191*2,IF(H191&gt;=4.5,(F191*2*1.5),0)),0)</f>
        <v>0</v>
      </c>
      <c r="DP191" s="476">
        <f>IF(AND(K191&gt;2.5,K191&lt;=3.5),IF(AND(H191&lt;6,H191&gt;4.5),(H191-4.5)*F191*2,IF(H191&gt;=6,(F191*2*1.5),0)),0)</f>
        <v>0</v>
      </c>
      <c r="DQ191" s="98"/>
      <c r="DR191" s="479"/>
    </row>
    <row r="192" spans="1:122" s="115" customFormat="1" ht="13" x14ac:dyDescent="0.3">
      <c r="F192" s="116">
        <f>SUM(F141:F191)</f>
        <v>1848.2500000000005</v>
      </c>
      <c r="I192" s="116">
        <f>SUM(I141:I191)</f>
        <v>328.87005499999998</v>
      </c>
      <c r="P192" s="416"/>
      <c r="Q192" s="416"/>
      <c r="R192" s="416"/>
      <c r="S192" s="416"/>
      <c r="W192" s="98" t="s">
        <v>2033</v>
      </c>
      <c r="X192" s="98"/>
      <c r="AA192" s="116">
        <f t="shared" ref="AA192:AW192" si="857">SUM(AA141:AA191)</f>
        <v>3631.9279999999994</v>
      </c>
      <c r="AB192" s="116">
        <f t="shared" si="857"/>
        <v>0</v>
      </c>
      <c r="AC192" s="330">
        <f t="shared" si="857"/>
        <v>0</v>
      </c>
      <c r="AD192" s="330">
        <f t="shared" si="857"/>
        <v>39.9056</v>
      </c>
      <c r="AE192" s="330">
        <f t="shared" si="857"/>
        <v>0</v>
      </c>
      <c r="AF192" s="330">
        <f t="shared" si="857"/>
        <v>42.042000000000002</v>
      </c>
      <c r="AG192" s="330">
        <f t="shared" si="857"/>
        <v>171.81100000000001</v>
      </c>
      <c r="AH192" s="330">
        <f t="shared" si="857"/>
        <v>230.05680000000001</v>
      </c>
      <c r="AI192" s="330">
        <f t="shared" si="857"/>
        <v>0</v>
      </c>
      <c r="AJ192" s="330">
        <f t="shared" si="857"/>
        <v>291.73199999999997</v>
      </c>
      <c r="AK192" s="330">
        <f t="shared" si="857"/>
        <v>219.67647430020764</v>
      </c>
      <c r="AL192" s="330">
        <f t="shared" si="857"/>
        <v>2765.7449999999999</v>
      </c>
      <c r="AM192" s="330">
        <f t="shared" si="857"/>
        <v>2240.4834881977054</v>
      </c>
      <c r="AN192" s="330">
        <f t="shared" si="857"/>
        <v>525.52090244431474</v>
      </c>
      <c r="AO192" s="330">
        <f t="shared" si="857"/>
        <v>4208.420000000001</v>
      </c>
      <c r="AP192" s="330">
        <f t="shared" si="857"/>
        <v>3440.1770603340765</v>
      </c>
      <c r="AQ192" s="330">
        <f t="shared" si="857"/>
        <v>338.82929999540391</v>
      </c>
      <c r="AR192" s="330">
        <f t="shared" si="857"/>
        <v>690.01</v>
      </c>
      <c r="AS192" s="330">
        <f t="shared" si="857"/>
        <v>0.25721866666666809</v>
      </c>
      <c r="AT192" s="330">
        <f t="shared" si="857"/>
        <v>14169.554659439493</v>
      </c>
      <c r="AU192" s="330">
        <f t="shared" si="857"/>
        <v>19.448799999999999</v>
      </c>
      <c r="AV192" s="330">
        <f t="shared" si="857"/>
        <v>708.8128999999999</v>
      </c>
      <c r="AW192" s="330">
        <f t="shared" si="857"/>
        <v>911.00160000000005</v>
      </c>
      <c r="AX192" s="330"/>
      <c r="AZ192" s="120">
        <f t="shared" ref="AZ192:BK192" si="858">SUM(AZ141:AZ191)</f>
        <v>4046.8619094394926</v>
      </c>
      <c r="BA192" s="120">
        <f t="shared" si="858"/>
        <v>3938.1634429246992</v>
      </c>
      <c r="BB192" s="120">
        <f t="shared" si="858"/>
        <v>544.78920000000005</v>
      </c>
      <c r="BC192" s="120">
        <f t="shared" si="858"/>
        <v>544.78920000000005</v>
      </c>
      <c r="BD192" s="120">
        <f t="shared" si="858"/>
        <v>108.95784</v>
      </c>
      <c r="BE192" s="330">
        <f t="shared" si="858"/>
        <v>7393.851050000002</v>
      </c>
      <c r="BF192" s="330">
        <f t="shared" si="858"/>
        <v>8527.9315158322133</v>
      </c>
      <c r="BG192" s="330">
        <f t="shared" si="858"/>
        <v>7274.5145446247425</v>
      </c>
      <c r="BH192" s="330">
        <f t="shared" si="858"/>
        <v>1253.4169712074747</v>
      </c>
      <c r="BI192" s="330">
        <f t="shared" si="858"/>
        <v>119.33650537525973</v>
      </c>
      <c r="BJ192" s="330">
        <f t="shared" si="858"/>
        <v>119.33650537525973</v>
      </c>
      <c r="BK192" s="330">
        <f t="shared" si="858"/>
        <v>0</v>
      </c>
      <c r="BL192" s="330">
        <f>SUM(AC192:AI192)+BJ196+AR192</f>
        <v>2307.9058658322156</v>
      </c>
      <c r="BM192" s="330">
        <f>SUM(BM158:BM191)</f>
        <v>51.129384000000002</v>
      </c>
      <c r="BN192" s="935">
        <v>400</v>
      </c>
      <c r="BO192" s="926"/>
      <c r="BP192" s="936"/>
      <c r="BQ192" s="95"/>
      <c r="BR192" s="990">
        <v>500</v>
      </c>
      <c r="BS192" s="991"/>
      <c r="BT192" s="992">
        <v>600</v>
      </c>
      <c r="BU192" s="993"/>
      <c r="BV192" s="993"/>
      <c r="BW192" s="994"/>
      <c r="BX192" s="992">
        <v>800</v>
      </c>
      <c r="BY192" s="993"/>
      <c r="BZ192" s="993"/>
      <c r="CA192" s="994"/>
      <c r="CB192" s="992">
        <v>1000</v>
      </c>
      <c r="CC192" s="993"/>
      <c r="CD192" s="993"/>
      <c r="CE192" s="994"/>
      <c r="CF192" s="992">
        <v>1200</v>
      </c>
      <c r="CG192" s="993"/>
      <c r="CH192" s="993"/>
      <c r="CI192" s="995"/>
      <c r="CJ192" s="990">
        <v>1500</v>
      </c>
      <c r="CK192" s="996"/>
      <c r="CL192" s="996"/>
      <c r="CM192" s="997"/>
      <c r="CN192" s="116"/>
      <c r="CU192" s="115">
        <f t="shared" ref="CU192:DA192" si="859">SUM(CU141:CU191)</f>
        <v>49</v>
      </c>
      <c r="CV192" s="115">
        <f t="shared" si="859"/>
        <v>4</v>
      </c>
      <c r="CW192" s="115">
        <f t="shared" si="859"/>
        <v>4</v>
      </c>
      <c r="CX192" s="115">
        <f t="shared" si="859"/>
        <v>12</v>
      </c>
      <c r="CY192" s="115">
        <f t="shared" si="859"/>
        <v>10</v>
      </c>
      <c r="CZ192" s="115">
        <f t="shared" si="859"/>
        <v>10</v>
      </c>
      <c r="DA192" s="133">
        <f t="shared" si="859"/>
        <v>60.650000000000013</v>
      </c>
      <c r="DG192" s="116">
        <f t="shared" ref="DG192:DP192" si="860">SUM(DG141:DG191)</f>
        <v>416.76</v>
      </c>
      <c r="DH192" s="116">
        <f t="shared" si="860"/>
        <v>326.61610000000002</v>
      </c>
      <c r="DI192" s="116">
        <f t="shared" si="860"/>
        <v>27.740600000000068</v>
      </c>
      <c r="DJ192" s="116">
        <f t="shared" si="860"/>
        <v>2778.1199999999994</v>
      </c>
      <c r="DK192" s="116">
        <f t="shared" si="860"/>
        <v>2432.9435999999996</v>
      </c>
      <c r="DL192" s="116">
        <f t="shared" si="860"/>
        <v>714.64520000000039</v>
      </c>
      <c r="DM192" s="116">
        <f t="shared" si="860"/>
        <v>2349.87</v>
      </c>
      <c r="DN192" s="116">
        <f t="shared" si="860"/>
        <v>2316.5812000000005</v>
      </c>
      <c r="DO192" s="116">
        <f t="shared" si="860"/>
        <v>1666.5231000000001</v>
      </c>
      <c r="DP192" s="116">
        <f t="shared" si="860"/>
        <v>125.00240000000031</v>
      </c>
      <c r="DQ192" s="98"/>
    </row>
    <row r="193" spans="2:121" s="115" customFormat="1" ht="13" x14ac:dyDescent="0.3">
      <c r="P193" s="416"/>
      <c r="Q193" s="416"/>
      <c r="R193" s="416"/>
      <c r="S193" s="416"/>
      <c r="AA193" s="117">
        <f>IF(O193="ASFALTO",L193*F192,0)</f>
        <v>0</v>
      </c>
      <c r="AB193" s="118"/>
      <c r="AC193" s="118"/>
      <c r="AD193" s="118"/>
      <c r="AE193" s="118"/>
      <c r="AF193" s="118"/>
      <c r="AG193" s="118"/>
      <c r="AH193" s="118"/>
      <c r="AI193" s="118"/>
      <c r="AJ193" s="118"/>
      <c r="AK193" s="118"/>
      <c r="AL193" s="1005"/>
      <c r="AM193" s="1005"/>
      <c r="AN193" s="1005"/>
      <c r="AO193" s="119"/>
      <c r="AP193" s="119"/>
      <c r="AQ193" s="119"/>
      <c r="BA193" s="125"/>
      <c r="BB193" s="126"/>
      <c r="BC193" s="126"/>
      <c r="BD193" s="126"/>
      <c r="BI193" s="115" t="s">
        <v>2034</v>
      </c>
      <c r="BJ193" s="121">
        <f>SUM(AJ192:AQ192)</f>
        <v>14030.58422527171</v>
      </c>
      <c r="BK193" s="122" t="s">
        <v>2035</v>
      </c>
      <c r="BL193" s="123">
        <f>SUM(AR192)</f>
        <v>690.01</v>
      </c>
      <c r="BM193" s="118"/>
      <c r="BN193" s="81" t="s">
        <v>2036</v>
      </c>
      <c r="BO193" s="256" t="s">
        <v>2037</v>
      </c>
      <c r="BP193" s="256" t="s">
        <v>2038</v>
      </c>
      <c r="BQ193" s="256" t="s">
        <v>2036</v>
      </c>
      <c r="BR193" s="418" t="s">
        <v>2037</v>
      </c>
      <c r="BS193" s="418" t="s">
        <v>2038</v>
      </c>
      <c r="BT193" s="79" t="s">
        <v>2036</v>
      </c>
      <c r="BU193" s="419" t="s">
        <v>2039</v>
      </c>
      <c r="BV193" s="419" t="s">
        <v>2040</v>
      </c>
      <c r="BW193" s="419" t="s">
        <v>2041</v>
      </c>
      <c r="BX193" s="419" t="s">
        <v>2036</v>
      </c>
      <c r="BY193" s="419" t="s">
        <v>2039</v>
      </c>
      <c r="BZ193" s="419" t="s">
        <v>2040</v>
      </c>
      <c r="CA193" s="419" t="s">
        <v>2041</v>
      </c>
      <c r="CB193" s="419" t="s">
        <v>2036</v>
      </c>
      <c r="CC193" s="419" t="s">
        <v>2039</v>
      </c>
      <c r="CD193" s="419" t="s">
        <v>2040</v>
      </c>
      <c r="CE193" s="419" t="s">
        <v>2041</v>
      </c>
      <c r="CF193" s="419" t="s">
        <v>2036</v>
      </c>
      <c r="CG193" s="419" t="s">
        <v>2039</v>
      </c>
      <c r="CH193" s="419" t="s">
        <v>2040</v>
      </c>
      <c r="CI193" s="419" t="s">
        <v>2041</v>
      </c>
      <c r="CJ193" s="420" t="s">
        <v>2036</v>
      </c>
      <c r="CK193" s="420" t="s">
        <v>2039</v>
      </c>
      <c r="CL193" s="420" t="s">
        <v>2040</v>
      </c>
      <c r="CM193" s="420" t="s">
        <v>2041</v>
      </c>
      <c r="CU193" s="120"/>
      <c r="DQ193" s="98"/>
    </row>
    <row r="194" spans="2:121" s="115" customFormat="1" ht="52" x14ac:dyDescent="0.3">
      <c r="B194" s="423"/>
      <c r="P194" s="416"/>
      <c r="Q194" s="416"/>
      <c r="R194" s="416"/>
      <c r="S194" s="416"/>
      <c r="AA194" s="117">
        <f>IF(O194="ASFALTO",L194*F194,0)</f>
        <v>0</v>
      </c>
      <c r="AB194" s="118"/>
      <c r="AC194" s="118"/>
      <c r="AD194" s="118"/>
      <c r="AE194" s="118"/>
      <c r="AF194" s="118"/>
      <c r="AG194" s="118"/>
      <c r="AH194" s="118"/>
      <c r="AI194" s="118"/>
      <c r="AJ194" s="118"/>
      <c r="AK194" s="118"/>
      <c r="BA194" s="125"/>
      <c r="BB194" s="126"/>
      <c r="BC194" s="126"/>
      <c r="BD194" s="126"/>
      <c r="BI194" s="124" t="s">
        <v>2042</v>
      </c>
      <c r="BJ194" s="125">
        <f>BJ193-BG192-AW192-BB192-AZ192</f>
        <v>1253.4169712074754</v>
      </c>
      <c r="BK194" s="126" t="s">
        <v>2043</v>
      </c>
      <c r="BL194" s="126">
        <f>BJ196+SUM(AC192:AI192)</f>
        <v>1617.8958658322156</v>
      </c>
      <c r="BM194" s="118"/>
      <c r="BN194" s="127"/>
      <c r="BO194" s="128">
        <f>SUM(BO141:BO191)</f>
        <v>0</v>
      </c>
      <c r="BP194" s="128">
        <f>SUM(BP141:BP191)</f>
        <v>0</v>
      </c>
      <c r="BQ194" s="128"/>
      <c r="BR194" s="128">
        <f>SUM(BR141:BR191)</f>
        <v>0</v>
      </c>
      <c r="BS194" s="128">
        <f>SUM(BS141:BS191)</f>
        <v>0</v>
      </c>
      <c r="BT194" s="128"/>
      <c r="BU194" s="128">
        <f>SUM(BU141:BU191)</f>
        <v>71.260000000000005</v>
      </c>
      <c r="BV194" s="128">
        <f>SUM(BV141:BV191)</f>
        <v>67.66</v>
      </c>
      <c r="BW194" s="128">
        <f>SUM(BW141:BW187)</f>
        <v>0</v>
      </c>
      <c r="BX194" s="128"/>
      <c r="BY194" s="128">
        <f>SUM(BY141:BY191)</f>
        <v>73.400000000000006</v>
      </c>
      <c r="BZ194" s="128">
        <f>SUM(BZ141:BZ191)</f>
        <v>66.88</v>
      </c>
      <c r="CA194" s="128">
        <f>SUM(CA141:CA191)</f>
        <v>0</v>
      </c>
      <c r="CB194" s="128"/>
      <c r="CC194" s="128">
        <f>SUM(CC141:CC191)</f>
        <v>342.56999999999994</v>
      </c>
      <c r="CD194" s="128">
        <f>SUM(CD141:CD191)</f>
        <v>133.88</v>
      </c>
      <c r="CE194" s="128">
        <f>SUM(CE141:CE191)</f>
        <v>0</v>
      </c>
      <c r="CF194" s="128"/>
      <c r="CG194" s="128">
        <f>SUM(CG141:CG191)</f>
        <v>60.34</v>
      </c>
      <c r="CH194" s="128">
        <f>SUM(CH141:CH191)</f>
        <v>248.96999999999997</v>
      </c>
      <c r="CI194" s="128">
        <f>SUM(CI141:CI191)</f>
        <v>0</v>
      </c>
      <c r="CJ194" s="128"/>
      <c r="CK194" s="128">
        <f>SUM(CK141:CK191)</f>
        <v>0</v>
      </c>
      <c r="CL194" s="128">
        <f>SUM(CL141:CL191)</f>
        <v>375.19999999999993</v>
      </c>
      <c r="CM194" s="128">
        <f>SUM(CM141:CM191)</f>
        <v>0</v>
      </c>
      <c r="CN194" s="128">
        <f>SUM(CN141:CN191)</f>
        <v>408.09000000000003</v>
      </c>
      <c r="CO194" s="128">
        <f>SUM(CO141:CO191)</f>
        <v>0</v>
      </c>
      <c r="CU194" s="120"/>
      <c r="DQ194" s="98"/>
    </row>
    <row r="195" spans="2:121" s="115" customFormat="1" ht="26" x14ac:dyDescent="0.3">
      <c r="B195" s="423"/>
      <c r="P195" s="416"/>
      <c r="Q195" s="416"/>
      <c r="R195" s="416"/>
      <c r="S195" s="416"/>
      <c r="AA195" s="118"/>
      <c r="AB195" s="118"/>
      <c r="AC195" s="118"/>
      <c r="AD195" s="118"/>
      <c r="AE195" s="118"/>
      <c r="AF195" s="118"/>
      <c r="AG195" s="118"/>
      <c r="AH195" s="118"/>
      <c r="AI195" s="118"/>
      <c r="AJ195" s="118"/>
      <c r="AK195" s="118"/>
      <c r="BA195" s="126"/>
      <c r="BB195" s="126"/>
      <c r="BC195" s="126"/>
      <c r="BD195" s="126"/>
      <c r="BI195" s="124" t="s">
        <v>2044</v>
      </c>
      <c r="BJ195" s="129">
        <f>BK192</f>
        <v>0</v>
      </c>
      <c r="BL195" s="118"/>
      <c r="BM195" s="118"/>
      <c r="BO195" s="116"/>
      <c r="BP195" s="116"/>
      <c r="BQ195" s="116"/>
      <c r="BR195" s="116"/>
      <c r="BS195" s="116"/>
      <c r="BT195" s="116"/>
      <c r="BU195" s="116"/>
      <c r="BV195" s="116"/>
      <c r="BW195" s="116"/>
      <c r="BX195" s="116"/>
      <c r="BY195" s="116"/>
      <c r="BZ195" s="116"/>
      <c r="CA195" s="116"/>
      <c r="CB195" s="116"/>
      <c r="CC195" s="116"/>
      <c r="CD195" s="116"/>
      <c r="CE195" s="116"/>
      <c r="CF195" s="116"/>
      <c r="CG195" s="116"/>
      <c r="CH195" s="116"/>
      <c r="CI195" s="116"/>
      <c r="CJ195" s="116"/>
      <c r="CK195" s="116"/>
      <c r="CL195" s="116"/>
      <c r="CM195" s="116"/>
      <c r="CU195" s="120"/>
      <c r="DQ195" s="98"/>
    </row>
    <row r="196" spans="2:121" s="115" customFormat="1" ht="13" x14ac:dyDescent="0.3">
      <c r="B196" s="423"/>
      <c r="O196" s="124"/>
      <c r="P196" s="124"/>
      <c r="Q196" s="124"/>
      <c r="R196" s="124"/>
      <c r="S196" s="124"/>
      <c r="BI196" s="115" t="s">
        <v>2045</v>
      </c>
      <c r="BJ196" s="120">
        <f>BJ194-BJ192</f>
        <v>1134.0804658322156</v>
      </c>
      <c r="CW196" s="115" t="e">
        <f>#REF!*0.9</f>
        <v>#REF!</v>
      </c>
      <c r="CX196" s="115">
        <f>5.8*48</f>
        <v>278.39999999999998</v>
      </c>
      <c r="CY196" s="115">
        <f>6.14*24</f>
        <v>147.35999999999999</v>
      </c>
      <c r="CZ196" s="132"/>
      <c r="DQ196" s="98"/>
    </row>
  </sheetData>
  <autoFilter ref="B4:DQ41" xr:uid="{BB8AC636-8128-4820-821A-8CBBC74DAC91}">
    <filterColumn colId="64" showButton="0"/>
    <filterColumn colId="65" showButton="0"/>
    <filterColumn colId="68" showButton="0"/>
    <filterColumn colId="70" showButton="0"/>
    <filterColumn colId="71" showButton="0"/>
    <filterColumn colId="72" showButton="0"/>
    <filterColumn colId="74" showButton="0"/>
    <filterColumn colId="75" showButton="0"/>
    <filterColumn colId="76" showButton="0"/>
    <filterColumn colId="78" showButton="0"/>
    <filterColumn colId="79" showButton="0"/>
    <filterColumn colId="80" showButton="0"/>
    <filterColumn colId="82" showButton="0"/>
    <filterColumn colId="83" showButton="0"/>
    <filterColumn colId="84" showButton="0"/>
    <filterColumn colId="86" showButton="0"/>
    <filterColumn colId="87" showButton="0"/>
    <filterColumn colId="88" showButton="0"/>
  </autoFilter>
  <mergeCells count="94">
    <mergeCell ref="BR93:BS93"/>
    <mergeCell ref="BU93:BW93"/>
    <mergeCell ref="BY93:CA93"/>
    <mergeCell ref="CC93:CE93"/>
    <mergeCell ref="CJ41:CM41"/>
    <mergeCell ref="CB89:CE89"/>
    <mergeCell ref="CF89:CI89"/>
    <mergeCell ref="CJ89:CM89"/>
    <mergeCell ref="BR89:BS89"/>
    <mergeCell ref="BT89:BW89"/>
    <mergeCell ref="BX89:CA89"/>
    <mergeCell ref="BN41:BP41"/>
    <mergeCell ref="BQ41:BS41"/>
    <mergeCell ref="BT41:BW41"/>
    <mergeCell ref="BO37:BP37"/>
    <mergeCell ref="BR37:BS37"/>
    <mergeCell ref="BU37:BW37"/>
    <mergeCell ref="BN89:BP89"/>
    <mergeCell ref="CG93:CI93"/>
    <mergeCell ref="CK93:CM93"/>
    <mergeCell ref="AL193:AN193"/>
    <mergeCell ref="AL121:AN121"/>
    <mergeCell ref="V138:AN138"/>
    <mergeCell ref="BO138:CT138"/>
    <mergeCell ref="BN120:BP120"/>
    <mergeCell ref="BR120:BS120"/>
    <mergeCell ref="BT120:BW120"/>
    <mergeCell ref="BX120:CA120"/>
    <mergeCell ref="CB120:CE120"/>
    <mergeCell ref="CF139:CI139"/>
    <mergeCell ref="V97:AN97"/>
    <mergeCell ref="BO97:CT97"/>
    <mergeCell ref="BO93:BP93"/>
    <mergeCell ref="CJ139:CM139"/>
    <mergeCell ref="BN192:BP192"/>
    <mergeCell ref="BR192:BS192"/>
    <mergeCell ref="BT192:BW192"/>
    <mergeCell ref="BX192:CA192"/>
    <mergeCell ref="CB192:CE192"/>
    <mergeCell ref="CF192:CI192"/>
    <mergeCell ref="CJ192:CM192"/>
    <mergeCell ref="BN139:BP139"/>
    <mergeCell ref="BQ139:BS139"/>
    <mergeCell ref="BT139:BW139"/>
    <mergeCell ref="BX139:CA139"/>
    <mergeCell ref="CB139:CE139"/>
    <mergeCell ref="CV138:CZ138"/>
    <mergeCell ref="DB138:DF138"/>
    <mergeCell ref="DG138:DP138"/>
    <mergeCell ref="CF98:CI98"/>
    <mergeCell ref="CJ98:CM98"/>
    <mergeCell ref="CF120:CI120"/>
    <mergeCell ref="CJ120:CM120"/>
    <mergeCell ref="CG124:CI124"/>
    <mergeCell ref="CK124:CM124"/>
    <mergeCell ref="DB97:DF97"/>
    <mergeCell ref="DG97:DP97"/>
    <mergeCell ref="BN98:BP98"/>
    <mergeCell ref="BQ98:BS98"/>
    <mergeCell ref="BT98:BW98"/>
    <mergeCell ref="BX98:CA98"/>
    <mergeCell ref="CB98:CE98"/>
    <mergeCell ref="CC37:CE37"/>
    <mergeCell ref="CG37:CI37"/>
    <mergeCell ref="CF41:CI41"/>
    <mergeCell ref="BX41:CA41"/>
    <mergeCell ref="CV97:CZ97"/>
    <mergeCell ref="CK37:CM37"/>
    <mergeCell ref="CB41:CE41"/>
    <mergeCell ref="BY37:CA37"/>
    <mergeCell ref="CJ4:CM4"/>
    <mergeCell ref="BN33:BP33"/>
    <mergeCell ref="BR33:BS33"/>
    <mergeCell ref="BT33:BW33"/>
    <mergeCell ref="BX33:CA33"/>
    <mergeCell ref="CB33:CE33"/>
    <mergeCell ref="CF33:CI33"/>
    <mergeCell ref="CJ33:CM33"/>
    <mergeCell ref="BN4:BP4"/>
    <mergeCell ref="BQ4:BS4"/>
    <mergeCell ref="BT4:BW4"/>
    <mergeCell ref="BX4:CA4"/>
    <mergeCell ref="CB4:CE4"/>
    <mergeCell ref="CF4:CI4"/>
    <mergeCell ref="V3:AN3"/>
    <mergeCell ref="BO3:CT3"/>
    <mergeCell ref="CV3:CZ3"/>
    <mergeCell ref="DB3:DF3"/>
    <mergeCell ref="DG3:DP3"/>
    <mergeCell ref="BO124:BP124"/>
    <mergeCell ref="BR124:BS124"/>
    <mergeCell ref="BU124:BW124"/>
    <mergeCell ref="BY124:CA124"/>
    <mergeCell ref="CC124:CE124"/>
  </mergeCells>
  <pageMargins left="0.74791666666666667" right="0.74791666666666667" top="0.98402777777777783" bottom="0.98402777777777783" header="0.51180555555555562" footer="0.51180555555555562"/>
  <pageSetup paperSize="9" firstPageNumber="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23E08-F2A0-4C7F-A018-56FF9950FAC5}">
  <sheetPr>
    <tabColor rgb="FF00B050"/>
  </sheetPr>
  <dimension ref="A1:AA57"/>
  <sheetViews>
    <sheetView topLeftCell="A10" workbookViewId="0">
      <selection activeCell="R23" sqref="R23"/>
    </sheetView>
  </sheetViews>
  <sheetFormatPr defaultColWidth="8.25" defaultRowHeight="14" x14ac:dyDescent="0.3"/>
  <cols>
    <col min="1" max="1" width="10.9140625" style="678" customWidth="1"/>
    <col min="2" max="2" width="18.58203125" style="678" customWidth="1"/>
    <col min="3" max="3" width="23.83203125" style="678" bestFit="1" customWidth="1"/>
    <col min="4" max="12" width="8.25" style="678"/>
    <col min="13" max="13" width="8.9140625" style="678" customWidth="1"/>
    <col min="14" max="14" width="21.58203125" style="678" customWidth="1"/>
    <col min="15" max="15" width="8.25" style="678" hidden="1" customWidth="1"/>
    <col min="16" max="16" width="10.75" style="678" bestFit="1" customWidth="1"/>
    <col min="17" max="17" width="8.25" style="678"/>
    <col min="18" max="18" width="12.58203125" style="678" bestFit="1" customWidth="1"/>
    <col min="19" max="20" width="8.25" style="678"/>
    <col min="21" max="21" width="16.25" style="678" bestFit="1" customWidth="1"/>
    <col min="22" max="25" width="8.25" style="678"/>
    <col min="26" max="26" width="12.58203125" style="678" bestFit="1" customWidth="1"/>
    <col min="27" max="16384" width="8.25" style="678"/>
  </cols>
  <sheetData>
    <row r="1" spans="1:27" x14ac:dyDescent="0.3">
      <c r="C1" s="679"/>
      <c r="D1" s="679"/>
      <c r="E1" s="679"/>
      <c r="F1" s="679"/>
      <c r="G1" s="679"/>
      <c r="H1" s="679"/>
      <c r="I1" s="679"/>
      <c r="J1" s="679"/>
      <c r="K1" s="679"/>
      <c r="L1" s="679"/>
      <c r="M1" s="679"/>
      <c r="N1" s="679"/>
      <c r="O1" s="679"/>
    </row>
    <row r="2" spans="1:27" ht="13.75" customHeight="1" x14ac:dyDescent="0.3">
      <c r="A2" s="680"/>
      <c r="B2" s="1010" t="s">
        <v>4615</v>
      </c>
      <c r="C2" s="1010"/>
      <c r="D2" s="1010"/>
      <c r="E2" s="1010"/>
      <c r="F2" s="1010"/>
      <c r="G2" s="1010"/>
      <c r="H2" s="1010"/>
      <c r="I2" s="1010"/>
      <c r="J2" s="1010"/>
      <c r="K2" s="1010"/>
      <c r="L2" s="1010"/>
      <c r="M2" s="1010"/>
      <c r="N2" s="1010"/>
      <c r="O2" s="680"/>
    </row>
    <row r="3" spans="1:27" ht="13.75" customHeight="1" x14ac:dyDescent="0.3">
      <c r="A3" s="680"/>
      <c r="B3" s="1010" t="s">
        <v>4616</v>
      </c>
      <c r="C3" s="1010"/>
      <c r="D3" s="1010"/>
      <c r="E3" s="1010"/>
      <c r="F3" s="1010"/>
      <c r="G3" s="1010"/>
      <c r="H3" s="1010"/>
      <c r="I3" s="1010"/>
      <c r="J3" s="1010"/>
      <c r="K3" s="1010"/>
      <c r="L3" s="1010"/>
      <c r="M3" s="1010"/>
      <c r="N3" s="1010"/>
      <c r="O3" s="680"/>
    </row>
    <row r="4" spans="1:27" ht="18" customHeight="1" x14ac:dyDescent="0.3">
      <c r="A4" s="680"/>
      <c r="B4" s="1010" t="s">
        <v>4617</v>
      </c>
      <c r="C4" s="1010"/>
      <c r="D4" s="1010"/>
      <c r="E4" s="1010"/>
      <c r="F4" s="1010"/>
      <c r="G4" s="1010"/>
      <c r="H4" s="1010"/>
      <c r="I4" s="1010"/>
      <c r="J4" s="1010"/>
      <c r="K4" s="1010"/>
      <c r="L4" s="1010"/>
      <c r="M4" s="1010"/>
      <c r="N4" s="1010"/>
      <c r="O4" s="681"/>
    </row>
    <row r="5" spans="1:27" x14ac:dyDescent="0.3">
      <c r="C5" s="679"/>
      <c r="D5" s="679"/>
      <c r="E5" s="679"/>
      <c r="F5" s="679"/>
      <c r="G5" s="679"/>
      <c r="H5" s="679"/>
      <c r="I5" s="679"/>
      <c r="J5" s="679"/>
      <c r="K5" s="679"/>
      <c r="L5" s="679"/>
      <c r="M5" s="679"/>
      <c r="N5" s="679"/>
      <c r="O5" s="679"/>
    </row>
    <row r="6" spans="1:27" ht="25" x14ac:dyDescent="0.3">
      <c r="B6" s="1011" t="s">
        <v>4622</v>
      </c>
      <c r="C6" s="1011"/>
      <c r="D6" s="1011"/>
      <c r="E6" s="1011"/>
      <c r="F6" s="1011"/>
      <c r="G6" s="1011"/>
      <c r="H6" s="1011"/>
      <c r="I6" s="1011"/>
      <c r="J6" s="1011"/>
      <c r="K6" s="1011"/>
      <c r="L6" s="1011"/>
      <c r="M6" s="1011"/>
      <c r="N6" s="1011"/>
      <c r="O6" s="683"/>
      <c r="P6" s="683"/>
      <c r="Q6" s="683"/>
      <c r="R6" s="684"/>
      <c r="S6" s="684"/>
      <c r="T6" s="684"/>
      <c r="U6" s="684"/>
      <c r="V6" s="684"/>
      <c r="W6" s="684"/>
      <c r="X6" s="684"/>
      <c r="Y6" s="684"/>
      <c r="Z6" s="684"/>
      <c r="AA6" s="684"/>
    </row>
    <row r="7" spans="1:27" s="791" customFormat="1" ht="25" x14ac:dyDescent="0.3">
      <c r="A7" s="790"/>
      <c r="B7" s="1012" t="s">
        <v>4712</v>
      </c>
      <c r="C7" s="1012"/>
      <c r="D7" s="1012"/>
      <c r="E7" s="1012"/>
      <c r="F7" s="1012"/>
      <c r="G7" s="1012"/>
      <c r="H7" s="1012"/>
      <c r="I7" s="1012"/>
      <c r="J7" s="1012"/>
      <c r="K7" s="1012"/>
      <c r="L7" s="1012"/>
      <c r="M7" s="1012"/>
      <c r="N7" s="1012"/>
      <c r="O7" s="684"/>
      <c r="P7" s="684"/>
      <c r="Q7" s="684"/>
      <c r="R7" s="684"/>
      <c r="S7" s="684"/>
      <c r="T7" s="684"/>
      <c r="U7" s="684"/>
      <c r="V7" s="684"/>
      <c r="W7" s="684"/>
      <c r="X7" s="684"/>
      <c r="Y7" s="684"/>
      <c r="Z7" s="684"/>
      <c r="AA7" s="684"/>
    </row>
    <row r="8" spans="1:27" ht="36" customHeight="1" x14ac:dyDescent="0.3">
      <c r="A8" s="681"/>
      <c r="B8" s="1008" t="s">
        <v>4754</v>
      </c>
      <c r="C8" s="1008"/>
      <c r="D8" s="1008"/>
      <c r="E8" s="1008"/>
      <c r="F8" s="1008"/>
      <c r="G8" s="1008"/>
      <c r="H8" s="1008"/>
      <c r="I8" s="1008"/>
      <c r="J8" s="1008"/>
      <c r="K8" s="1008"/>
      <c r="L8" s="1008"/>
      <c r="M8" s="1008"/>
      <c r="N8" s="1008"/>
      <c r="O8" s="681"/>
      <c r="P8" s="681"/>
      <c r="Q8" s="681"/>
    </row>
    <row r="9" spans="1:27" ht="18" x14ac:dyDescent="0.3">
      <c r="B9" s="686"/>
      <c r="C9" s="686"/>
      <c r="D9" s="686"/>
      <c r="E9" s="686"/>
      <c r="F9" s="686"/>
      <c r="G9" s="686"/>
      <c r="H9" s="686"/>
      <c r="I9" s="686"/>
      <c r="J9" s="686"/>
      <c r="K9" s="686"/>
      <c r="L9" s="686"/>
      <c r="M9" s="686"/>
      <c r="N9" s="681"/>
      <c r="O9" s="681"/>
      <c r="P9" s="681"/>
      <c r="Q9" s="681"/>
    </row>
    <row r="10" spans="1:27" s="688" customFormat="1" ht="18" x14ac:dyDescent="0.35">
      <c r="A10" s="704"/>
      <c r="B10" s="881" t="s">
        <v>4752</v>
      </c>
      <c r="C10" s="881"/>
      <c r="D10" s="881"/>
      <c r="E10" s="881"/>
      <c r="F10" s="881"/>
      <c r="G10" s="881"/>
      <c r="H10" s="881"/>
      <c r="I10" s="881"/>
      <c r="J10" s="881"/>
      <c r="K10" s="881"/>
      <c r="L10" s="881"/>
      <c r="M10" s="881"/>
      <c r="N10" s="881"/>
      <c r="O10" s="687"/>
    </row>
    <row r="11" spans="1:27" ht="20" x14ac:dyDescent="0.3">
      <c r="C11" s="690"/>
      <c r="D11" s="690"/>
      <c r="E11" s="690"/>
      <c r="F11" s="690"/>
      <c r="G11" s="690"/>
      <c r="H11" s="690"/>
      <c r="I11" s="690"/>
      <c r="J11" s="690"/>
      <c r="K11" s="690"/>
      <c r="L11" s="690"/>
      <c r="M11" s="690"/>
      <c r="N11" s="690"/>
      <c r="O11" s="690"/>
    </row>
    <row r="12" spans="1:27" ht="20" x14ac:dyDescent="0.3">
      <c r="B12" s="1009" t="s">
        <v>4618</v>
      </c>
      <c r="C12" s="1009"/>
      <c r="D12" s="1009"/>
      <c r="E12" s="1009"/>
      <c r="F12" s="1009"/>
      <c r="G12" s="1009"/>
      <c r="H12" s="1009"/>
      <c r="I12" s="1009"/>
      <c r="J12" s="1007">
        <f>RESUMO_AMBIENTAL!F27</f>
        <v>47434.53</v>
      </c>
      <c r="K12" s="1007"/>
      <c r="L12" s="1007"/>
      <c r="M12" s="1007"/>
      <c r="N12" s="1007"/>
      <c r="O12" s="693"/>
      <c r="P12" s="1007"/>
      <c r="Q12" s="1007"/>
      <c r="R12" s="1007"/>
      <c r="S12" s="1007"/>
      <c r="T12" s="1007"/>
      <c r="U12" s="1007"/>
      <c r="V12" s="1007"/>
      <c r="W12" s="1007"/>
      <c r="X12" s="1007"/>
      <c r="Y12" s="1007"/>
      <c r="Z12" s="694"/>
    </row>
    <row r="13" spans="1:27" ht="20" x14ac:dyDescent="0.3">
      <c r="C13" s="691"/>
      <c r="D13" s="691"/>
      <c r="E13" s="691"/>
      <c r="F13" s="691"/>
      <c r="G13" s="691"/>
      <c r="H13" s="691"/>
      <c r="I13" s="692"/>
      <c r="J13" s="692"/>
      <c r="K13" s="692"/>
      <c r="L13" s="693"/>
      <c r="M13" s="693"/>
      <c r="N13" s="693"/>
      <c r="O13" s="693"/>
      <c r="P13" s="1007"/>
      <c r="Q13" s="1007"/>
      <c r="R13" s="1007"/>
      <c r="S13" s="1007"/>
      <c r="T13" s="1007"/>
      <c r="U13" s="1007"/>
      <c r="V13" s="1007"/>
      <c r="W13" s="1007"/>
      <c r="X13" s="1007"/>
      <c r="Y13" s="1007"/>
      <c r="Z13" s="694"/>
    </row>
    <row r="14" spans="1:27" ht="25.75" customHeight="1" x14ac:dyDescent="0.4">
      <c r="A14" s="792"/>
      <c r="B14" s="1014" t="s">
        <v>4753</v>
      </c>
      <c r="C14" s="1014"/>
      <c r="D14" s="1014"/>
      <c r="E14" s="1014"/>
      <c r="F14" s="1014"/>
      <c r="G14" s="1014"/>
      <c r="H14" s="1014"/>
      <c r="I14" s="1014"/>
      <c r="J14" s="1014"/>
      <c r="K14" s="1014"/>
      <c r="L14" s="1014"/>
      <c r="M14" s="1014"/>
      <c r="N14" s="1014"/>
      <c r="O14" s="685"/>
      <c r="P14" s="678" t="s">
        <v>4713</v>
      </c>
      <c r="R14" s="793" t="s">
        <v>4714</v>
      </c>
    </row>
    <row r="15" spans="1:27" ht="33.75" customHeight="1" x14ac:dyDescent="0.3">
      <c r="A15" s="794" t="s">
        <v>4619</v>
      </c>
      <c r="B15" s="1015" t="s">
        <v>4619</v>
      </c>
      <c r="C15" s="1015"/>
      <c r="D15" s="1015"/>
      <c r="E15" s="1015"/>
      <c r="F15" s="1015"/>
      <c r="G15" s="1015"/>
      <c r="H15" s="1015"/>
      <c r="I15" s="1015"/>
      <c r="J15" s="1015"/>
      <c r="K15" s="1015"/>
      <c r="L15" s="1015"/>
      <c r="M15" s="1015"/>
      <c r="N15" s="1015"/>
      <c r="O15" s="693"/>
    </row>
    <row r="16" spans="1:27" ht="24" customHeight="1" x14ac:dyDescent="0.3">
      <c r="A16" s="795"/>
      <c r="B16" s="1016" t="s">
        <v>4715</v>
      </c>
      <c r="C16" s="1016"/>
      <c r="D16" s="1016"/>
      <c r="E16" s="1016"/>
      <c r="F16" s="1016"/>
      <c r="G16" s="1016"/>
      <c r="H16" s="1016"/>
      <c r="I16" s="1016"/>
      <c r="J16" s="1016"/>
      <c r="K16" s="1016"/>
      <c r="L16" s="1016"/>
      <c r="M16" s="1016"/>
      <c r="N16" s="1016"/>
      <c r="O16" s="679"/>
    </row>
    <row r="17" spans="1:18" ht="40.5" customHeight="1" x14ac:dyDescent="0.3">
      <c r="A17" s="796"/>
      <c r="B17" s="1017" t="s">
        <v>4716</v>
      </c>
      <c r="C17" s="1017"/>
      <c r="D17" s="1017"/>
      <c r="E17" s="1017"/>
      <c r="F17" s="1017"/>
      <c r="G17" s="1017"/>
      <c r="H17" s="1017"/>
      <c r="I17" s="1017"/>
      <c r="J17" s="1017"/>
      <c r="K17" s="1017"/>
      <c r="L17" s="1017"/>
      <c r="M17" s="1017"/>
      <c r="N17" s="1017"/>
      <c r="O17" s="679"/>
    </row>
    <row r="18" spans="1:18" ht="36" customHeight="1" x14ac:dyDescent="0.3">
      <c r="B18" s="1018" t="s">
        <v>4717</v>
      </c>
      <c r="C18" s="1018"/>
      <c r="D18" s="1018"/>
      <c r="E18" s="1018"/>
      <c r="F18" s="1018"/>
      <c r="G18" s="1018"/>
      <c r="H18" s="1018"/>
      <c r="I18" s="1018"/>
      <c r="J18" s="1018"/>
      <c r="K18" s="1018"/>
      <c r="L18" s="1018"/>
      <c r="M18" s="1018"/>
      <c r="N18" s="1018"/>
      <c r="O18" s="679"/>
    </row>
    <row r="19" spans="1:18" ht="60" customHeight="1" x14ac:dyDescent="0.3">
      <c r="B19" s="1018" t="s">
        <v>4718</v>
      </c>
      <c r="C19" s="1018"/>
      <c r="D19" s="1018"/>
      <c r="E19" s="1018"/>
      <c r="F19" s="1018"/>
      <c r="G19" s="1018"/>
      <c r="H19" s="1018"/>
      <c r="I19" s="1018"/>
      <c r="J19" s="1018"/>
      <c r="K19" s="1018"/>
      <c r="L19" s="1018"/>
      <c r="M19" s="1018"/>
      <c r="N19" s="1018"/>
      <c r="O19" s="679"/>
    </row>
    <row r="20" spans="1:18" s="688" customFormat="1" ht="33" customHeight="1" x14ac:dyDescent="0.35">
      <c r="B20" s="878" t="str">
        <f>[2]TEXTO_CAPA!J12</f>
        <v>A Data Base do orçamento, com base na data SINAPI, é DEZEMBRO DE 2024.</v>
      </c>
      <c r="C20" s="878"/>
      <c r="D20" s="878"/>
      <c r="E20" s="878"/>
      <c r="F20" s="878"/>
      <c r="G20" s="878"/>
      <c r="H20" s="878"/>
      <c r="I20" s="878"/>
      <c r="J20" s="878"/>
      <c r="K20" s="878"/>
      <c r="L20" s="878"/>
      <c r="M20" s="878"/>
      <c r="N20" s="878"/>
      <c r="O20" s="687"/>
      <c r="P20" s="797" t="s">
        <v>4719</v>
      </c>
    </row>
    <row r="21" spans="1:18" ht="40.75" customHeight="1" x14ac:dyDescent="0.3">
      <c r="B21" s="1019" t="s">
        <v>4720</v>
      </c>
      <c r="C21" s="1019"/>
      <c r="D21" s="1019"/>
      <c r="E21" s="1019"/>
      <c r="F21" s="1019"/>
      <c r="G21" s="1019"/>
      <c r="H21" s="1019"/>
      <c r="I21" s="1019"/>
      <c r="J21" s="1019"/>
      <c r="K21" s="1019"/>
      <c r="L21" s="1019"/>
      <c r="M21" s="1019"/>
      <c r="N21" s="1019"/>
      <c r="O21" s="679"/>
      <c r="P21" s="799"/>
    </row>
    <row r="22" spans="1:18" ht="10.75" customHeight="1" thickBot="1" x14ac:dyDescent="0.35">
      <c r="B22" s="798"/>
      <c r="C22" s="798"/>
      <c r="D22" s="798"/>
      <c r="E22" s="798"/>
      <c r="F22" s="798"/>
      <c r="G22" s="798"/>
      <c r="H22" s="798"/>
      <c r="I22" s="798"/>
      <c r="J22" s="798"/>
      <c r="K22" s="798"/>
      <c r="L22" s="798"/>
      <c r="M22" s="798"/>
      <c r="N22" s="798"/>
      <c r="O22" s="679"/>
      <c r="P22" s="799"/>
    </row>
    <row r="23" spans="1:18" ht="71.5" customHeight="1" thickBot="1" x14ac:dyDescent="0.35">
      <c r="B23" s="1013" t="s">
        <v>4721</v>
      </c>
      <c r="C23" s="1013"/>
      <c r="D23" s="1013"/>
      <c r="E23" s="1013"/>
      <c r="F23" s="1013"/>
      <c r="G23" s="1013"/>
      <c r="H23" s="1013"/>
      <c r="I23" s="1013"/>
      <c r="J23" s="1013"/>
      <c r="K23" s="1013"/>
      <c r="L23" s="1013"/>
      <c r="M23" s="1013"/>
      <c r="N23" s="1013"/>
      <c r="O23" s="679"/>
      <c r="P23" s="800"/>
      <c r="Q23" s="801"/>
      <c r="R23" s="802"/>
    </row>
    <row r="24" spans="1:18" ht="39.75" customHeight="1" x14ac:dyDescent="0.3">
      <c r="B24" s="1013" t="s">
        <v>4722</v>
      </c>
      <c r="C24" s="1013"/>
      <c r="D24" s="1013"/>
      <c r="E24" s="1013"/>
      <c r="F24" s="1013"/>
      <c r="G24" s="1013"/>
      <c r="H24" s="1013"/>
      <c r="I24" s="1013"/>
      <c r="J24" s="1013"/>
      <c r="K24" s="1013"/>
      <c r="L24" s="1013"/>
      <c r="M24" s="1013"/>
      <c r="N24" s="1013"/>
      <c r="O24" s="679"/>
      <c r="P24" s="799"/>
    </row>
    <row r="25" spans="1:18" ht="48" customHeight="1" x14ac:dyDescent="0.3">
      <c r="B25" s="1013" t="s">
        <v>4723</v>
      </c>
      <c r="C25" s="1013"/>
      <c r="D25" s="1013"/>
      <c r="E25" s="1013"/>
      <c r="F25" s="1013"/>
      <c r="G25" s="1013"/>
      <c r="H25" s="1013"/>
      <c r="I25" s="1013"/>
      <c r="J25" s="1013"/>
      <c r="K25" s="1013"/>
      <c r="L25" s="1013"/>
      <c r="M25" s="1013"/>
      <c r="N25" s="1013"/>
      <c r="O25" s="679"/>
      <c r="P25" s="799"/>
    </row>
    <row r="26" spans="1:18" ht="49.5" customHeight="1" x14ac:dyDescent="0.3">
      <c r="B26" s="1013" t="s">
        <v>4724</v>
      </c>
      <c r="C26" s="1013"/>
      <c r="D26" s="1013"/>
      <c r="E26" s="1013"/>
      <c r="F26" s="1013"/>
      <c r="G26" s="1013"/>
      <c r="H26" s="1013"/>
      <c r="I26" s="1013"/>
      <c r="J26" s="1013"/>
      <c r="K26" s="1013"/>
      <c r="L26" s="1013"/>
      <c r="M26" s="1013"/>
      <c r="N26" s="1013"/>
      <c r="O26" s="679"/>
      <c r="P26" s="799"/>
    </row>
    <row r="27" spans="1:18" ht="60" customHeight="1" x14ac:dyDescent="0.3">
      <c r="B27" s="1013" t="s">
        <v>4725</v>
      </c>
      <c r="C27" s="1013"/>
      <c r="D27" s="1013"/>
      <c r="E27" s="1013"/>
      <c r="F27" s="1013"/>
      <c r="G27" s="1013"/>
      <c r="H27" s="1013"/>
      <c r="I27" s="1013"/>
      <c r="J27" s="1013"/>
      <c r="K27" s="1013"/>
      <c r="L27" s="1013"/>
      <c r="M27" s="1013"/>
      <c r="N27" s="1013"/>
      <c r="O27" s="679"/>
      <c r="P27" s="799"/>
    </row>
    <row r="28" spans="1:18" ht="23.25" customHeight="1" x14ac:dyDescent="0.3">
      <c r="B28" s="1013" t="s">
        <v>4726</v>
      </c>
      <c r="C28" s="1013"/>
      <c r="D28" s="1013"/>
      <c r="E28" s="1013"/>
      <c r="F28" s="1013"/>
      <c r="G28" s="1013"/>
      <c r="H28" s="1013"/>
      <c r="I28" s="1013"/>
      <c r="J28" s="1013"/>
      <c r="K28" s="1013"/>
      <c r="L28" s="1013"/>
      <c r="M28" s="1013"/>
      <c r="N28" s="1013"/>
      <c r="O28" s="803"/>
      <c r="P28" s="799"/>
    </row>
    <row r="29" spans="1:18" ht="40.5" customHeight="1" x14ac:dyDescent="0.3">
      <c r="B29" s="1013" t="s">
        <v>4727</v>
      </c>
      <c r="C29" s="1013"/>
      <c r="D29" s="1013"/>
      <c r="E29" s="1013"/>
      <c r="F29" s="1013"/>
      <c r="G29" s="1013"/>
      <c r="H29" s="1013"/>
      <c r="I29" s="1013"/>
      <c r="J29" s="1013"/>
      <c r="K29" s="1013"/>
      <c r="L29" s="1013"/>
      <c r="M29" s="1013"/>
      <c r="N29" s="1013"/>
      <c r="P29" s="804"/>
    </row>
    <row r="30" spans="1:18" ht="22.75" customHeight="1" x14ac:dyDescent="0.3">
      <c r="B30" s="1019" t="s">
        <v>4728</v>
      </c>
      <c r="C30" s="1013"/>
      <c r="D30" s="1013"/>
      <c r="E30" s="1013"/>
      <c r="F30" s="1013"/>
      <c r="G30" s="1013"/>
      <c r="H30" s="1013"/>
      <c r="I30" s="1013"/>
      <c r="J30" s="1013"/>
      <c r="K30" s="1013"/>
      <c r="L30" s="1013"/>
      <c r="M30" s="1013"/>
      <c r="N30" s="1013"/>
      <c r="P30" s="799"/>
    </row>
    <row r="31" spans="1:18" ht="50.25" customHeight="1" x14ac:dyDescent="0.3">
      <c r="B31" s="1013" t="s">
        <v>4729</v>
      </c>
      <c r="C31" s="1013"/>
      <c r="D31" s="1013"/>
      <c r="E31" s="1013"/>
      <c r="F31" s="1013"/>
      <c r="G31" s="1013"/>
      <c r="H31" s="1013"/>
      <c r="I31" s="1013"/>
      <c r="J31" s="1013"/>
      <c r="K31" s="1013"/>
      <c r="L31" s="1013"/>
      <c r="M31" s="1013"/>
      <c r="N31" s="1013"/>
      <c r="P31" s="799"/>
    </row>
    <row r="32" spans="1:18" ht="49.5" customHeight="1" x14ac:dyDescent="0.3">
      <c r="B32" s="1013" t="s">
        <v>4730</v>
      </c>
      <c r="C32" s="1013"/>
      <c r="D32" s="1013"/>
      <c r="E32" s="1013"/>
      <c r="F32" s="1013"/>
      <c r="G32" s="1013"/>
      <c r="H32" s="1013"/>
      <c r="I32" s="1013"/>
      <c r="J32" s="1013"/>
      <c r="K32" s="1013"/>
      <c r="L32" s="1013"/>
      <c r="M32" s="1013"/>
      <c r="N32" s="1013"/>
      <c r="P32" s="799"/>
    </row>
    <row r="33" spans="2:16" ht="34.5" customHeight="1" x14ac:dyDescent="0.3">
      <c r="B33" s="1013" t="s">
        <v>4731</v>
      </c>
      <c r="C33" s="1013"/>
      <c r="D33" s="1013"/>
      <c r="E33" s="1013"/>
      <c r="F33" s="1013"/>
      <c r="G33" s="1013"/>
      <c r="H33" s="1013"/>
      <c r="I33" s="1013"/>
      <c r="J33" s="1013"/>
      <c r="K33" s="1013"/>
      <c r="L33" s="1013"/>
      <c r="M33" s="1013"/>
      <c r="N33" s="1013"/>
      <c r="P33" s="799"/>
    </row>
    <row r="34" spans="2:16" ht="33" customHeight="1" x14ac:dyDescent="0.3">
      <c r="B34" s="1013" t="s">
        <v>4732</v>
      </c>
      <c r="C34" s="1013"/>
      <c r="D34" s="1013"/>
      <c r="E34" s="1013"/>
      <c r="F34" s="1013"/>
      <c r="G34" s="1013"/>
      <c r="H34" s="1013"/>
      <c r="I34" s="1013"/>
      <c r="J34" s="1013"/>
      <c r="K34" s="1013"/>
      <c r="L34" s="1013"/>
      <c r="M34" s="1013"/>
      <c r="N34" s="1013"/>
      <c r="P34" s="804"/>
    </row>
    <row r="35" spans="2:16" ht="40.5" customHeight="1" x14ac:dyDescent="0.3">
      <c r="B35" s="1013" t="s">
        <v>4733</v>
      </c>
      <c r="C35" s="1013"/>
      <c r="D35" s="1013"/>
      <c r="E35" s="1013"/>
      <c r="F35" s="1013"/>
      <c r="G35" s="1013"/>
      <c r="H35" s="1013"/>
      <c r="I35" s="1013"/>
      <c r="J35" s="1013"/>
      <c r="K35" s="1013"/>
      <c r="L35" s="1013"/>
      <c r="M35" s="1013"/>
      <c r="N35" s="1013"/>
    </row>
    <row r="36" spans="2:16" ht="54.75" customHeight="1" x14ac:dyDescent="0.3">
      <c r="B36" s="1013" t="s">
        <v>4734</v>
      </c>
      <c r="C36" s="1013"/>
      <c r="D36" s="1013"/>
      <c r="E36" s="1013"/>
      <c r="F36" s="1013"/>
      <c r="G36" s="1013"/>
      <c r="H36" s="1013"/>
      <c r="I36" s="1013"/>
      <c r="J36" s="1013"/>
      <c r="K36" s="1013"/>
      <c r="L36" s="1013"/>
      <c r="M36" s="1013"/>
      <c r="N36" s="1013"/>
    </row>
    <row r="37" spans="2:16" ht="39" customHeight="1" x14ac:dyDescent="0.4">
      <c r="B37" s="1013" t="s">
        <v>4735</v>
      </c>
      <c r="C37" s="1013"/>
      <c r="D37" s="1013"/>
      <c r="E37" s="1013"/>
      <c r="F37" s="1013"/>
      <c r="G37" s="1013"/>
      <c r="H37" s="1013"/>
      <c r="I37" s="1013"/>
      <c r="J37" s="1013"/>
      <c r="K37" s="1013"/>
      <c r="L37" s="1013"/>
      <c r="M37" s="1013"/>
      <c r="N37" s="1013"/>
      <c r="O37" s="805"/>
    </row>
    <row r="38" spans="2:16" ht="42.75" customHeight="1" x14ac:dyDescent="0.4">
      <c r="B38" s="1013" t="s">
        <v>4736</v>
      </c>
      <c r="C38" s="1013"/>
      <c r="D38" s="1013"/>
      <c r="E38" s="1013"/>
      <c r="F38" s="1013"/>
      <c r="G38" s="1013"/>
      <c r="H38" s="1013"/>
      <c r="I38" s="1013"/>
      <c r="J38" s="1013"/>
      <c r="K38" s="1013"/>
      <c r="L38" s="1013"/>
      <c r="M38" s="1013"/>
      <c r="N38" s="1013"/>
      <c r="O38" s="806"/>
    </row>
    <row r="39" spans="2:16" ht="38.5" customHeight="1" x14ac:dyDescent="0.3">
      <c r="B39" s="1013" t="s">
        <v>4737</v>
      </c>
      <c r="C39" s="1013"/>
      <c r="D39" s="1013"/>
      <c r="E39" s="1013"/>
      <c r="F39" s="1013"/>
      <c r="G39" s="1013"/>
      <c r="H39" s="1013"/>
      <c r="I39" s="1013"/>
      <c r="J39" s="1013"/>
      <c r="K39" s="1013"/>
      <c r="L39" s="1013"/>
      <c r="M39" s="1013"/>
      <c r="N39" s="1013"/>
    </row>
    <row r="40" spans="2:16" ht="33.5" customHeight="1" x14ac:dyDescent="0.3">
      <c r="B40" s="1013" t="s">
        <v>4738</v>
      </c>
      <c r="C40" s="1013"/>
      <c r="D40" s="1013"/>
      <c r="E40" s="1013"/>
      <c r="F40" s="1013"/>
      <c r="G40" s="1013"/>
      <c r="H40" s="1013"/>
      <c r="I40" s="1013"/>
      <c r="J40" s="1013"/>
      <c r="K40" s="1013"/>
      <c r="L40" s="1013"/>
      <c r="M40" s="1013"/>
      <c r="N40" s="1013"/>
    </row>
    <row r="41" spans="2:16" ht="20.5" customHeight="1" x14ac:dyDescent="0.3">
      <c r="B41" s="1013" t="s">
        <v>4739</v>
      </c>
      <c r="C41" s="1013"/>
      <c r="D41" s="1013"/>
      <c r="E41" s="1013"/>
      <c r="F41" s="1013"/>
      <c r="G41" s="1013"/>
      <c r="H41" s="1013"/>
      <c r="I41" s="1013"/>
      <c r="J41" s="1013"/>
      <c r="K41" s="1013"/>
      <c r="L41" s="1013"/>
      <c r="M41" s="1013"/>
      <c r="N41" s="1013"/>
    </row>
    <row r="42" spans="2:16" ht="14.25" customHeight="1" x14ac:dyDescent="0.3">
      <c r="B42" s="1013" t="s">
        <v>4740</v>
      </c>
      <c r="C42" s="1013"/>
      <c r="D42" s="1013"/>
      <c r="E42" s="1013"/>
      <c r="F42" s="1013"/>
      <c r="G42" s="1013"/>
      <c r="H42" s="1013"/>
      <c r="I42" s="1013"/>
      <c r="J42" s="1013"/>
      <c r="K42" s="1013"/>
      <c r="L42" s="1013"/>
      <c r="M42" s="1013"/>
      <c r="N42" s="1013"/>
    </row>
    <row r="43" spans="2:16" ht="25.5" customHeight="1" x14ac:dyDescent="0.3">
      <c r="B43" s="1013" t="s">
        <v>4741</v>
      </c>
      <c r="C43" s="1013"/>
      <c r="D43" s="1013"/>
      <c r="E43" s="1013"/>
      <c r="F43" s="1013"/>
      <c r="G43" s="1013"/>
      <c r="H43" s="1013"/>
      <c r="I43" s="1013"/>
      <c r="J43" s="1013"/>
      <c r="K43" s="1013"/>
      <c r="L43" s="1013"/>
      <c r="M43" s="1013"/>
      <c r="N43" s="1013"/>
    </row>
    <row r="44" spans="2:16" ht="18.75" customHeight="1" x14ac:dyDescent="0.3">
      <c r="B44" s="1013" t="s">
        <v>4742</v>
      </c>
      <c r="C44" s="1013"/>
      <c r="D44" s="1013"/>
      <c r="E44" s="1013"/>
      <c r="F44" s="1013"/>
      <c r="G44" s="1013"/>
      <c r="H44" s="1013"/>
      <c r="I44" s="1013"/>
      <c r="J44" s="1013"/>
      <c r="K44" s="1013"/>
      <c r="L44" s="1013"/>
      <c r="M44" s="1013"/>
      <c r="N44" s="1013"/>
    </row>
    <row r="45" spans="2:16" ht="40.5" customHeight="1" x14ac:dyDescent="0.4">
      <c r="B45" s="1013" t="s">
        <v>4743</v>
      </c>
      <c r="C45" s="1013"/>
      <c r="D45" s="1013"/>
      <c r="E45" s="1013"/>
      <c r="F45" s="1013"/>
      <c r="G45" s="1013"/>
      <c r="H45" s="1013"/>
      <c r="I45" s="1013"/>
      <c r="J45" s="1013"/>
      <c r="K45" s="1013"/>
      <c r="L45" s="1013"/>
      <c r="M45" s="1013"/>
      <c r="N45" s="1013"/>
      <c r="O45" s="805"/>
    </row>
    <row r="46" spans="2:16" ht="36" customHeight="1" x14ac:dyDescent="0.4">
      <c r="B46" s="1013" t="s">
        <v>4744</v>
      </c>
      <c r="C46" s="1013"/>
      <c r="D46" s="1013"/>
      <c r="E46" s="1013"/>
      <c r="F46" s="1013"/>
      <c r="G46" s="1013"/>
      <c r="H46" s="1013"/>
      <c r="I46" s="1013"/>
      <c r="J46" s="1013"/>
      <c r="K46" s="1013"/>
      <c r="L46" s="1013"/>
      <c r="M46" s="1013"/>
      <c r="N46" s="1013"/>
      <c r="O46" s="806"/>
    </row>
    <row r="47" spans="2:16" ht="32.25" customHeight="1" x14ac:dyDescent="0.4">
      <c r="B47" s="1013" t="s">
        <v>4745</v>
      </c>
      <c r="C47" s="1013"/>
      <c r="D47" s="1013"/>
      <c r="E47" s="1013"/>
      <c r="F47" s="1013"/>
      <c r="G47" s="1013"/>
      <c r="H47" s="1013"/>
      <c r="I47" s="1013"/>
      <c r="J47" s="1013"/>
      <c r="K47" s="1013"/>
      <c r="L47" s="1013"/>
      <c r="M47" s="1013"/>
      <c r="N47" s="1013"/>
      <c r="O47" s="806"/>
    </row>
    <row r="48" spans="2:16" ht="18.75" customHeight="1" x14ac:dyDescent="0.3">
      <c r="B48" s="1013" t="s">
        <v>4746</v>
      </c>
      <c r="C48" s="1013"/>
      <c r="D48" s="1013"/>
      <c r="E48" s="1013"/>
      <c r="F48" s="1013"/>
      <c r="G48" s="1013"/>
      <c r="H48" s="1013"/>
      <c r="I48" s="1013"/>
      <c r="J48" s="1013"/>
      <c r="K48" s="1013"/>
      <c r="L48" s="1013"/>
      <c r="M48" s="1013"/>
      <c r="N48" s="1013"/>
    </row>
    <row r="49" spans="2:17" ht="40.5" customHeight="1" x14ac:dyDescent="0.3">
      <c r="B49" s="1013" t="s">
        <v>4747</v>
      </c>
      <c r="C49" s="1013"/>
      <c r="D49" s="1013"/>
      <c r="E49" s="1013"/>
      <c r="F49" s="1013"/>
      <c r="G49" s="1013"/>
      <c r="H49" s="1013"/>
      <c r="I49" s="1013"/>
      <c r="J49" s="1013"/>
      <c r="K49" s="1013"/>
      <c r="L49" s="1013"/>
      <c r="M49" s="1013"/>
      <c r="N49" s="1013"/>
    </row>
    <row r="50" spans="2:17" ht="17.5" customHeight="1" x14ac:dyDescent="0.3">
      <c r="B50" s="1013" t="s">
        <v>4748</v>
      </c>
      <c r="C50" s="1013"/>
      <c r="D50" s="1013"/>
      <c r="E50" s="1013"/>
      <c r="F50" s="1013"/>
      <c r="G50" s="1013"/>
      <c r="H50" s="1013"/>
      <c r="I50" s="1013"/>
      <c r="J50" s="1013"/>
      <c r="K50" s="1013"/>
      <c r="L50" s="1013"/>
      <c r="M50" s="1013"/>
      <c r="N50" s="1013"/>
    </row>
    <row r="51" spans="2:17" ht="32.5" customHeight="1" x14ac:dyDescent="0.35">
      <c r="B51" s="695"/>
      <c r="C51" s="695"/>
      <c r="D51" s="695"/>
      <c r="E51" s="695"/>
      <c r="F51" s="695"/>
      <c r="G51" s="695"/>
      <c r="H51" s="695"/>
      <c r="I51" s="695"/>
      <c r="J51" s="695"/>
      <c r="K51" s="695"/>
      <c r="L51" s="695"/>
      <c r="M51" s="695"/>
      <c r="N51" s="695"/>
    </row>
    <row r="52" spans="2:17" ht="20" x14ac:dyDescent="0.4">
      <c r="B52" s="1021" t="s">
        <v>4620</v>
      </c>
      <c r="C52" s="1021"/>
      <c r="D52" s="1021"/>
      <c r="E52" s="1021"/>
      <c r="F52" s="1021"/>
      <c r="G52" s="1021"/>
      <c r="H52" s="1021"/>
      <c r="I52" s="1021"/>
      <c r="J52" s="1021"/>
      <c r="K52" s="1021"/>
      <c r="L52" s="1021"/>
      <c r="M52" s="1021"/>
      <c r="N52" s="1021"/>
    </row>
    <row r="53" spans="2:17" ht="17.5" x14ac:dyDescent="0.35">
      <c r="B53" s="1020" t="s">
        <v>4750</v>
      </c>
      <c r="C53" s="1020"/>
      <c r="D53" s="1020"/>
      <c r="E53" s="1020"/>
      <c r="F53" s="1020"/>
      <c r="G53" s="1020"/>
      <c r="H53" s="1020"/>
      <c r="I53" s="1020"/>
      <c r="J53" s="1020"/>
      <c r="K53" s="1020"/>
      <c r="L53" s="1020"/>
      <c r="M53" s="1020"/>
      <c r="N53" s="1020"/>
    </row>
    <row r="54" spans="2:17" ht="17.5" x14ac:dyDescent="0.35">
      <c r="B54" s="1020" t="s">
        <v>4751</v>
      </c>
      <c r="C54" s="1020"/>
      <c r="D54" s="1020"/>
      <c r="E54" s="1020"/>
      <c r="F54" s="1020"/>
      <c r="G54" s="1020"/>
      <c r="H54" s="1020"/>
      <c r="I54" s="1020"/>
      <c r="J54" s="1020"/>
      <c r="K54" s="1020"/>
      <c r="L54" s="1020"/>
      <c r="M54" s="1020"/>
      <c r="N54" s="1020"/>
    </row>
    <row r="57" spans="2:17" x14ac:dyDescent="0.3">
      <c r="M57" s="696" t="s">
        <v>4621</v>
      </c>
      <c r="N57" s="697">
        <v>45693</v>
      </c>
      <c r="P57" s="793" t="s">
        <v>4749</v>
      </c>
      <c r="Q57" s="793"/>
    </row>
  </sheetData>
  <mergeCells count="52">
    <mergeCell ref="B54:N54"/>
    <mergeCell ref="B42:N42"/>
    <mergeCell ref="B43:N43"/>
    <mergeCell ref="B44:N44"/>
    <mergeCell ref="B45:N45"/>
    <mergeCell ref="B46:N46"/>
    <mergeCell ref="B47:N47"/>
    <mergeCell ref="B48:N48"/>
    <mergeCell ref="B49:N49"/>
    <mergeCell ref="B50:N50"/>
    <mergeCell ref="B52:N52"/>
    <mergeCell ref="B53:N53"/>
    <mergeCell ref="B41:N41"/>
    <mergeCell ref="B30:N30"/>
    <mergeCell ref="B31:N31"/>
    <mergeCell ref="B32:N32"/>
    <mergeCell ref="B33:N33"/>
    <mergeCell ref="B34:N34"/>
    <mergeCell ref="B35:N35"/>
    <mergeCell ref="B36:N36"/>
    <mergeCell ref="B37:N37"/>
    <mergeCell ref="B38:N38"/>
    <mergeCell ref="B39:N39"/>
    <mergeCell ref="B40:N40"/>
    <mergeCell ref="B29:N29"/>
    <mergeCell ref="U13:Y13"/>
    <mergeCell ref="B14:N14"/>
    <mergeCell ref="B15:N15"/>
    <mergeCell ref="B16:N16"/>
    <mergeCell ref="B17:N17"/>
    <mergeCell ref="B18:N18"/>
    <mergeCell ref="B21:N21"/>
    <mergeCell ref="B23:N23"/>
    <mergeCell ref="B24:N24"/>
    <mergeCell ref="B25:N25"/>
    <mergeCell ref="B26:N26"/>
    <mergeCell ref="B27:N27"/>
    <mergeCell ref="B28:N28"/>
    <mergeCell ref="B19:N19"/>
    <mergeCell ref="B20:N20"/>
    <mergeCell ref="B2:N2"/>
    <mergeCell ref="B3:N3"/>
    <mergeCell ref="B4:N4"/>
    <mergeCell ref="B6:N6"/>
    <mergeCell ref="B7:N7"/>
    <mergeCell ref="P12:T12"/>
    <mergeCell ref="U12:Y12"/>
    <mergeCell ref="P13:T13"/>
    <mergeCell ref="B8:N8"/>
    <mergeCell ref="B10:N10"/>
    <mergeCell ref="B12:I12"/>
    <mergeCell ref="J12:N12"/>
  </mergeCells>
  <pageMargins left="0.511811024" right="0.511811024" top="0.78740157499999996" bottom="0.78740157499999996" header="0.31496062000000002" footer="0.31496062000000002"/>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4340E-9E51-47F3-82B1-3C12F2263154}">
  <sheetPr>
    <tabColor rgb="FF00B050"/>
  </sheetPr>
  <dimension ref="A1:M66"/>
  <sheetViews>
    <sheetView workbookViewId="0">
      <selection activeCell="E26" sqref="E26"/>
    </sheetView>
  </sheetViews>
  <sheetFormatPr defaultRowHeight="14" x14ac:dyDescent="0.3"/>
  <cols>
    <col min="1" max="1" width="13.33203125" customWidth="1"/>
    <col min="2" max="2" width="24.58203125" customWidth="1"/>
    <col min="3" max="3" width="26.4140625" customWidth="1"/>
    <col min="4" max="4" width="52.08203125" customWidth="1"/>
    <col min="5" max="5" width="17" bestFit="1" customWidth="1"/>
    <col min="6" max="6" width="41.08203125" customWidth="1"/>
    <col min="7" max="7" width="11.9140625" customWidth="1"/>
    <col min="9" max="9" width="34.4140625" customWidth="1"/>
  </cols>
  <sheetData>
    <row r="1" spans="1:9" ht="18" x14ac:dyDescent="0.3">
      <c r="A1" s="878" t="s">
        <v>4615</v>
      </c>
      <c r="B1" s="878"/>
      <c r="C1" s="878"/>
      <c r="D1" s="878"/>
      <c r="E1" s="878"/>
      <c r="F1" s="878"/>
    </row>
    <row r="2" spans="1:9" s="698" customFormat="1" ht="18" x14ac:dyDescent="0.35">
      <c r="A2" s="878" t="s">
        <v>4616</v>
      </c>
      <c r="B2" s="878"/>
      <c r="C2" s="878"/>
      <c r="D2" s="878"/>
      <c r="E2" s="878"/>
      <c r="F2" s="878"/>
    </row>
    <row r="3" spans="1:9" ht="18" x14ac:dyDescent="0.3">
      <c r="A3" s="878" t="s">
        <v>4617</v>
      </c>
      <c r="B3" s="878"/>
      <c r="C3" s="878"/>
      <c r="D3" s="878"/>
      <c r="E3" s="878"/>
      <c r="F3" s="878"/>
    </row>
    <row r="4" spans="1:9" ht="17.5" x14ac:dyDescent="0.35">
      <c r="A4" s="699"/>
      <c r="B4" s="700"/>
      <c r="C4" s="700"/>
      <c r="D4" s="700"/>
      <c r="E4" s="700"/>
      <c r="F4" s="700"/>
    </row>
    <row r="5" spans="1:9" ht="17.5" x14ac:dyDescent="0.35">
      <c r="A5" s="699"/>
      <c r="B5" s="700"/>
      <c r="C5" s="700"/>
      <c r="D5" s="700"/>
      <c r="E5" s="700"/>
      <c r="F5" s="700"/>
    </row>
    <row r="6" spans="1:9" ht="18" x14ac:dyDescent="0.35">
      <c r="A6" s="880" t="str">
        <f>CAPA_AMBIENTAL!B6</f>
        <v>PROCESSO SEI Nº 00110-00000752/2024-72</v>
      </c>
      <c r="B6" s="880"/>
      <c r="C6" s="880"/>
      <c r="D6" s="880"/>
      <c r="E6" s="880"/>
      <c r="F6" s="880"/>
      <c r="G6" s="700"/>
      <c r="H6" s="700"/>
      <c r="I6" s="700"/>
    </row>
    <row r="7" spans="1:9" ht="18" x14ac:dyDescent="0.3">
      <c r="A7" s="878" t="str">
        <f>[1]CAPA!A9</f>
        <v>DADOS DA CONTRATAÇÃO</v>
      </c>
      <c r="B7" s="878"/>
      <c r="C7" s="878"/>
      <c r="D7" s="878"/>
      <c r="E7" s="878"/>
      <c r="F7" s="878"/>
    </row>
    <row r="8" spans="1:9" ht="18" x14ac:dyDescent="0.3">
      <c r="A8" s="686"/>
      <c r="B8" s="686"/>
      <c r="C8" s="686"/>
      <c r="D8" s="686"/>
      <c r="E8" s="686"/>
      <c r="F8" s="686"/>
    </row>
    <row r="9" spans="1:9" ht="50" customHeight="1" x14ac:dyDescent="0.3">
      <c r="A9" s="878" t="str">
        <f>CAPA_AMBIENTAL!B8</f>
        <v>CONTRATAÇÃO DE EMPRESA ESPECIALIZADA PARA A ELABORAÇÃO DE PLANO DE CONTROLE AMBIENTAL (PCA E PLANO DE GERENCIAMENTO DE RESÍDUOS SÓLIDOS (PGRS) - SETOR HABITACIONAL MESTRE D'ARMAS</v>
      </c>
      <c r="B9" s="878"/>
      <c r="C9" s="878"/>
      <c r="D9" s="878"/>
      <c r="E9" s="878"/>
      <c r="F9" s="878"/>
    </row>
    <row r="10" spans="1:9" ht="18" x14ac:dyDescent="0.3">
      <c r="A10" s="682"/>
      <c r="B10" s="682"/>
      <c r="C10" s="682"/>
      <c r="D10" s="682"/>
      <c r="E10" s="682"/>
      <c r="F10" s="682"/>
    </row>
    <row r="11" spans="1:9" ht="18" x14ac:dyDescent="0.3">
      <c r="A11" s="881" t="str">
        <f>CAPA_AMBIENTAL!B10</f>
        <v>PRAZO ESTIMADO: 4 MESES</v>
      </c>
      <c r="B11" s="881"/>
      <c r="C11" s="881"/>
      <c r="D11" s="881"/>
      <c r="E11" s="881"/>
      <c r="F11" s="881"/>
    </row>
    <row r="12" spans="1:9" ht="18" x14ac:dyDescent="0.3">
      <c r="A12" s="682"/>
      <c r="B12" s="682"/>
      <c r="C12" s="682"/>
      <c r="D12" s="682"/>
      <c r="E12" s="682"/>
      <c r="F12" s="682"/>
    </row>
    <row r="13" spans="1:9" ht="18" x14ac:dyDescent="0.35">
      <c r="A13" s="701"/>
      <c r="B13" s="700"/>
      <c r="C13" s="700"/>
      <c r="D13" s="882" t="s">
        <v>4623</v>
      </c>
      <c r="E13" s="882"/>
      <c r="F13" s="702">
        <v>1.1069</v>
      </c>
    </row>
    <row r="14" spans="1:9" ht="18" x14ac:dyDescent="0.35">
      <c r="A14" s="689"/>
      <c r="B14" s="700"/>
      <c r="C14" s="700"/>
      <c r="D14" s="883" t="s">
        <v>4624</v>
      </c>
      <c r="E14" s="883"/>
      <c r="F14" s="702">
        <v>0.70399999999999996</v>
      </c>
    </row>
    <row r="15" spans="1:9" ht="18" x14ac:dyDescent="0.35">
      <c r="A15" s="704"/>
      <c r="B15" s="700"/>
      <c r="C15" s="700"/>
      <c r="D15" s="883" t="s">
        <v>4711</v>
      </c>
      <c r="E15" s="883"/>
      <c r="F15" s="702">
        <v>0.2122</v>
      </c>
    </row>
    <row r="16" spans="1:9" ht="18" x14ac:dyDescent="0.35">
      <c r="A16" s="700"/>
      <c r="B16" s="700"/>
      <c r="C16" s="700"/>
      <c r="D16" s="883" t="s">
        <v>4625</v>
      </c>
      <c r="E16" s="883"/>
      <c r="F16" s="702">
        <v>0.13450000000000001</v>
      </c>
    </row>
    <row r="17" spans="1:11" ht="18" x14ac:dyDescent="0.35">
      <c r="A17" s="700"/>
      <c r="B17" s="700"/>
      <c r="C17" s="700"/>
      <c r="D17" s="883" t="s">
        <v>4626</v>
      </c>
      <c r="E17" s="883"/>
      <c r="F17" s="702">
        <v>0.31459999999999999</v>
      </c>
    </row>
    <row r="18" spans="1:11" ht="18" x14ac:dyDescent="0.35">
      <c r="A18" s="700"/>
      <c r="B18" s="700"/>
      <c r="C18" s="700"/>
      <c r="D18" s="703"/>
      <c r="E18" s="703"/>
      <c r="F18" s="705"/>
    </row>
    <row r="19" spans="1:11" ht="20" x14ac:dyDescent="0.3">
      <c r="A19" s="1022" t="s">
        <v>4627</v>
      </c>
      <c r="B19" s="1022"/>
      <c r="C19" s="1022"/>
      <c r="D19" s="1022"/>
      <c r="E19" s="1022"/>
      <c r="F19" s="1022"/>
    </row>
    <row r="20" spans="1:11" ht="18" x14ac:dyDescent="0.35">
      <c r="A20" s="700"/>
      <c r="B20" s="700"/>
      <c r="C20" s="700"/>
      <c r="D20" s="707"/>
      <c r="E20" s="707"/>
      <c r="F20" s="708"/>
    </row>
    <row r="21" spans="1:11" ht="18" x14ac:dyDescent="0.4">
      <c r="A21" s="1023" t="str">
        <f>CAPA_AMBIENTAL!B14</f>
        <v>TABELA REFERÊNCIA: COTAÇÃO SET/2024</v>
      </c>
      <c r="B21" s="1023"/>
      <c r="C21" s="1023"/>
      <c r="D21" s="1023"/>
      <c r="E21" s="1023"/>
      <c r="F21" s="1023"/>
      <c r="J21" s="710"/>
    </row>
    <row r="22" spans="1:11" ht="18" x14ac:dyDescent="0.4">
      <c r="A22" s="709"/>
      <c r="B22" s="709"/>
      <c r="C22" s="709"/>
      <c r="D22" s="709"/>
      <c r="E22" s="709"/>
      <c r="F22" s="709"/>
    </row>
    <row r="23" spans="1:11" s="711" customFormat="1" ht="18" x14ac:dyDescent="0.3">
      <c r="A23" s="884" t="str">
        <f>[1]CAPA!A18</f>
        <v>SEM DESONERAÇÃO</v>
      </c>
      <c r="B23" s="884"/>
      <c r="C23" s="884"/>
      <c r="D23" s="884"/>
      <c r="E23" s="884"/>
      <c r="F23" s="884"/>
      <c r="H23"/>
      <c r="I23"/>
      <c r="J23"/>
      <c r="K23"/>
    </row>
    <row r="24" spans="1:11" s="712" customFormat="1" ht="18" x14ac:dyDescent="0.3">
      <c r="A24" s="1024" t="s">
        <v>4755</v>
      </c>
      <c r="B24" s="1024"/>
      <c r="C24" s="1024"/>
      <c r="D24" s="1024"/>
      <c r="E24" s="1024"/>
      <c r="F24" s="1024"/>
      <c r="H24"/>
      <c r="I24"/>
      <c r="J24"/>
      <c r="K24"/>
    </row>
    <row r="25" spans="1:11" s="712" customFormat="1" ht="15.5" x14ac:dyDescent="0.3">
      <c r="A25" s="819" t="s">
        <v>3</v>
      </c>
      <c r="B25" s="1025" t="s">
        <v>4</v>
      </c>
      <c r="C25" s="1026"/>
      <c r="D25" s="1027"/>
      <c r="E25" s="819" t="s">
        <v>1725</v>
      </c>
      <c r="F25" s="819" t="s">
        <v>4628</v>
      </c>
      <c r="H25"/>
      <c r="I25"/>
      <c r="J25"/>
      <c r="K25"/>
    </row>
    <row r="26" spans="1:11" s="698" customFormat="1" ht="15.5" x14ac:dyDescent="0.35">
      <c r="A26" s="713">
        <v>1</v>
      </c>
      <c r="B26" s="1028" t="str">
        <f>'ORÇAMENTO AMBIENTAL'!D22</f>
        <v>ELABORAÇÃO PCA E PGRS</v>
      </c>
      <c r="C26" s="1029"/>
      <c r="D26" s="1030"/>
      <c r="E26" s="714">
        <f>F26/$F$27</f>
        <v>1</v>
      </c>
      <c r="F26" s="715">
        <f>'ORÇAMENTO AMBIENTAL'!I23</f>
        <v>47434.53</v>
      </c>
      <c r="H26"/>
      <c r="I26"/>
      <c r="J26"/>
      <c r="K26"/>
    </row>
    <row r="27" spans="1:11" s="712" customFormat="1" ht="17.5" x14ac:dyDescent="0.3">
      <c r="A27" s="1031" t="s">
        <v>4629</v>
      </c>
      <c r="B27" s="1032"/>
      <c r="C27" s="1032"/>
      <c r="D27" s="1032"/>
      <c r="E27" s="716">
        <f>SUM(E26:E26)</f>
        <v>1</v>
      </c>
      <c r="F27" s="717">
        <f>SUM(F26:F26)</f>
        <v>47434.53</v>
      </c>
      <c r="H27"/>
      <c r="I27"/>
      <c r="J27"/>
      <c r="K27"/>
    </row>
    <row r="30" spans="1:11" x14ac:dyDescent="0.3">
      <c r="D30" s="807"/>
    </row>
    <row r="31" spans="1:11" ht="18" x14ac:dyDescent="0.3">
      <c r="D31" s="882"/>
      <c r="E31" s="882"/>
      <c r="F31" s="702"/>
    </row>
    <row r="32" spans="1:11" ht="18" x14ac:dyDescent="0.3">
      <c r="D32" s="883"/>
      <c r="E32" s="883"/>
      <c r="F32" s="702"/>
    </row>
    <row r="33" spans="4:6" ht="18" x14ac:dyDescent="0.3">
      <c r="D33" s="883"/>
      <c r="E33" s="883"/>
      <c r="F33" s="702"/>
    </row>
    <row r="34" spans="4:6" ht="18" x14ac:dyDescent="0.3">
      <c r="D34" s="883"/>
      <c r="E34" s="883"/>
      <c r="F34" s="702"/>
    </row>
    <row r="35" spans="4:6" ht="18" x14ac:dyDescent="0.3">
      <c r="D35" s="883"/>
      <c r="E35" s="883"/>
      <c r="F35" s="702"/>
    </row>
    <row r="66" spans="13:13" x14ac:dyDescent="0.3">
      <c r="M66">
        <v>44461</v>
      </c>
    </row>
  </sheetData>
  <mergeCells count="24">
    <mergeCell ref="D35:E35"/>
    <mergeCell ref="A19:F19"/>
    <mergeCell ref="A21:F21"/>
    <mergeCell ref="A23:F23"/>
    <mergeCell ref="A24:F24"/>
    <mergeCell ref="B25:D25"/>
    <mergeCell ref="B26:D26"/>
    <mergeCell ref="A27:D27"/>
    <mergeCell ref="D31:E31"/>
    <mergeCell ref="D32:E32"/>
    <mergeCell ref="D33:E33"/>
    <mergeCell ref="D34:E34"/>
    <mergeCell ref="D17:E17"/>
    <mergeCell ref="A1:F1"/>
    <mergeCell ref="A2:F2"/>
    <mergeCell ref="A3:F3"/>
    <mergeCell ref="A6:F6"/>
    <mergeCell ref="A7:F7"/>
    <mergeCell ref="A9:F9"/>
    <mergeCell ref="A11:F11"/>
    <mergeCell ref="D13:E13"/>
    <mergeCell ref="D14:E14"/>
    <mergeCell ref="D15:E15"/>
    <mergeCell ref="D16:E16"/>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AAB5F-771A-45BA-A0AF-FB7B870EC496}">
  <sheetPr>
    <tabColor rgb="FF00B050"/>
  </sheetPr>
  <dimension ref="A1:AB26"/>
  <sheetViews>
    <sheetView view="pageBreakPreview" zoomScaleNormal="100" zoomScaleSheetLayoutView="100" workbookViewId="0">
      <selection sqref="A1:XFD1048576"/>
    </sheetView>
  </sheetViews>
  <sheetFormatPr defaultColWidth="13.25" defaultRowHeight="14" x14ac:dyDescent="0.3"/>
  <cols>
    <col min="1" max="1" width="2.9140625" customWidth="1"/>
    <col min="2" max="2" width="5.1640625" bestFit="1" customWidth="1"/>
    <col min="3" max="3" width="15.6640625" customWidth="1"/>
    <col min="4" max="4" width="51" customWidth="1"/>
    <col min="5" max="5" width="13.1640625" bestFit="1" customWidth="1"/>
    <col min="6" max="6" width="12.9140625" bestFit="1" customWidth="1"/>
    <col min="7" max="7" width="11.1640625" bestFit="1" customWidth="1"/>
    <col min="8" max="8" width="11.58203125" bestFit="1" customWidth="1"/>
    <col min="9" max="9" width="13.6640625" customWidth="1"/>
    <col min="10" max="10" width="12" customWidth="1"/>
    <col min="11" max="11" width="12.25" customWidth="1"/>
    <col min="12" max="12" width="10.58203125" bestFit="1" customWidth="1"/>
    <col min="13" max="13" width="10.75" bestFit="1" customWidth="1"/>
    <col min="14" max="14" width="10.4140625" bestFit="1" customWidth="1"/>
    <col min="15" max="15" width="8.25" customWidth="1"/>
    <col min="16" max="16" width="5.4140625" customWidth="1"/>
    <col min="17" max="17" width="6.08203125" bestFit="1" customWidth="1"/>
    <col min="18" max="18" width="13.1640625" bestFit="1" customWidth="1"/>
    <col min="19" max="19" width="8.75" bestFit="1" customWidth="1"/>
    <col min="20" max="20" width="7.83203125" customWidth="1"/>
    <col min="21" max="21" width="8.75" bestFit="1" customWidth="1"/>
    <col min="22" max="22" width="10.08203125" customWidth="1"/>
    <col min="23" max="23" width="7.83203125" customWidth="1"/>
    <col min="24" max="24" width="9.6640625" customWidth="1"/>
    <col min="25" max="26" width="8.4140625" customWidth="1"/>
    <col min="27" max="28" width="9.6640625" customWidth="1"/>
  </cols>
  <sheetData>
    <row r="1" spans="2:22" ht="14.5" thickBot="1" x14ac:dyDescent="0.35">
      <c r="B1" s="485"/>
      <c r="C1" s="485"/>
    </row>
    <row r="2" spans="2:22" x14ac:dyDescent="0.3">
      <c r="B2" s="648"/>
      <c r="C2" s="1033" t="s">
        <v>4615</v>
      </c>
      <c r="D2" s="1034"/>
      <c r="E2" s="1035" t="s">
        <v>4560</v>
      </c>
      <c r="F2" s="1036"/>
      <c r="G2" s="1036"/>
      <c r="H2" s="1036"/>
      <c r="I2" s="1036"/>
      <c r="J2" s="1036"/>
      <c r="K2" s="1036"/>
      <c r="L2" s="1036"/>
      <c r="M2" s="1036"/>
      <c r="N2" s="1036"/>
      <c r="O2" s="1036"/>
      <c r="P2" s="1036"/>
      <c r="Q2" s="1039" t="s">
        <v>4561</v>
      </c>
      <c r="R2" s="1040"/>
      <c r="S2" s="1041"/>
    </row>
    <row r="3" spans="2:22" ht="14.5" thickBot="1" x14ac:dyDescent="0.35">
      <c r="B3" s="1048" t="s">
        <v>4616</v>
      </c>
      <c r="C3" s="1049"/>
      <c r="D3" s="1050"/>
      <c r="E3" s="1037"/>
      <c r="F3" s="1038"/>
      <c r="G3" s="1038"/>
      <c r="H3" s="1038"/>
      <c r="I3" s="1038"/>
      <c r="J3" s="1038"/>
      <c r="K3" s="1038"/>
      <c r="L3" s="1038"/>
      <c r="M3" s="1038"/>
      <c r="N3" s="1038"/>
      <c r="O3" s="1038"/>
      <c r="P3" s="1038"/>
      <c r="Q3" s="1042"/>
      <c r="R3" s="1043"/>
      <c r="S3" s="1044"/>
    </row>
    <row r="4" spans="2:22" ht="14.5" thickBot="1" x14ac:dyDescent="0.35">
      <c r="B4" s="1048" t="s">
        <v>4617</v>
      </c>
      <c r="C4" s="1049"/>
      <c r="D4" s="1050"/>
      <c r="E4" s="1051" t="s">
        <v>17043</v>
      </c>
      <c r="F4" s="1052"/>
      <c r="G4" s="1052"/>
      <c r="H4" s="1052"/>
      <c r="I4" s="1052"/>
      <c r="J4" s="1052"/>
      <c r="K4" s="1052"/>
      <c r="L4" s="1052"/>
      <c r="M4" s="1052"/>
      <c r="N4" s="1052"/>
      <c r="O4" s="1052"/>
      <c r="P4" s="1052"/>
      <c r="Q4" s="1042"/>
      <c r="R4" s="1043"/>
      <c r="S4" s="1044"/>
    </row>
    <row r="5" spans="2:22" ht="14.5" thickBot="1" x14ac:dyDescent="0.35">
      <c r="B5" s="649"/>
      <c r="C5" s="650"/>
      <c r="D5" s="650"/>
      <c r="E5" s="1051" t="s">
        <v>4562</v>
      </c>
      <c r="F5" s="1052"/>
      <c r="G5" s="1052"/>
      <c r="H5" s="1052"/>
      <c r="I5" s="1052"/>
      <c r="J5" s="1052"/>
      <c r="K5" s="1052"/>
      <c r="L5" s="1052"/>
      <c r="M5" s="1052"/>
      <c r="N5" s="1052"/>
      <c r="O5" s="1052"/>
      <c r="P5" s="1052"/>
      <c r="Q5" s="1045"/>
      <c r="R5" s="1046"/>
      <c r="S5" s="1047"/>
    </row>
    <row r="6" spans="2:22" ht="14.5" thickBot="1" x14ac:dyDescent="0.35">
      <c r="B6" s="1053"/>
      <c r="C6" s="1054"/>
      <c r="D6" s="1054"/>
      <c r="E6" s="1054"/>
      <c r="F6" s="1054"/>
      <c r="G6" s="1054"/>
      <c r="H6" s="1054"/>
      <c r="I6" s="1054"/>
      <c r="J6" s="1054"/>
      <c r="K6" s="1054"/>
      <c r="L6" s="1054"/>
      <c r="M6" s="1054"/>
      <c r="N6" s="1054"/>
      <c r="O6" s="1054"/>
      <c r="P6" s="1054"/>
      <c r="Q6" s="1054"/>
      <c r="R6" s="1054"/>
      <c r="S6" s="1055"/>
    </row>
    <row r="7" spans="2:22" x14ac:dyDescent="0.3">
      <c r="B7" s="1056" t="s">
        <v>4563</v>
      </c>
      <c r="C7" s="1057"/>
      <c r="D7" s="1060" t="s">
        <v>4564</v>
      </c>
      <c r="E7" s="1061"/>
      <c r="F7" s="1061"/>
      <c r="G7" s="1061"/>
      <c r="H7" s="1061"/>
      <c r="I7" s="1061"/>
      <c r="J7" s="1061"/>
      <c r="K7" s="1061"/>
      <c r="L7" s="1061"/>
      <c r="M7" s="1061"/>
      <c r="N7" s="1061"/>
      <c r="O7" s="1061"/>
      <c r="P7" s="1062"/>
      <c r="Q7" s="1063" t="s">
        <v>4565</v>
      </c>
      <c r="R7" s="1064"/>
      <c r="S7" s="1065"/>
    </row>
    <row r="8" spans="2:22" ht="14.5" thickBot="1" x14ac:dyDescent="0.35">
      <c r="B8" s="1058"/>
      <c r="C8" s="1059"/>
      <c r="D8" s="651" t="s">
        <v>4566</v>
      </c>
      <c r="E8" s="1069" t="s">
        <v>4567</v>
      </c>
      <c r="F8" s="1070"/>
      <c r="G8" s="1071"/>
      <c r="H8" s="1069" t="s">
        <v>4568</v>
      </c>
      <c r="I8" s="1070"/>
      <c r="J8" s="1071"/>
      <c r="K8" s="1069" t="s">
        <v>4569</v>
      </c>
      <c r="L8" s="1070"/>
      <c r="M8" s="1071"/>
      <c r="N8" s="1069" t="s">
        <v>4570</v>
      </c>
      <c r="O8" s="1070"/>
      <c r="P8" s="1072"/>
      <c r="Q8" s="1066"/>
      <c r="R8" s="1067"/>
      <c r="S8" s="1068"/>
    </row>
    <row r="9" spans="2:22" ht="30" customHeight="1" thickBot="1" x14ac:dyDescent="0.4">
      <c r="B9" s="1079" t="s">
        <v>4571</v>
      </c>
      <c r="C9" s="1080"/>
      <c r="D9" s="652" t="s">
        <v>4572</v>
      </c>
      <c r="E9" s="1081" t="s">
        <v>4573</v>
      </c>
      <c r="F9" s="1082"/>
      <c r="G9" s="1083"/>
      <c r="H9" s="1084" t="s">
        <v>4574</v>
      </c>
      <c r="I9" s="1082"/>
      <c r="J9" s="1083"/>
      <c r="K9" s="1084" t="s">
        <v>4575</v>
      </c>
      <c r="L9" s="1085"/>
      <c r="M9" s="1086"/>
      <c r="N9" s="1087"/>
      <c r="O9" s="1088"/>
      <c r="P9" s="1089"/>
      <c r="Q9" s="653" t="s">
        <v>4576</v>
      </c>
      <c r="R9" s="654">
        <v>1</v>
      </c>
      <c r="S9" s="655">
        <v>45545</v>
      </c>
      <c r="U9" s="656"/>
      <c r="V9" s="657"/>
    </row>
    <row r="10" spans="2:22" ht="15" thickBot="1" x14ac:dyDescent="0.4">
      <c r="B10" s="1073" t="s">
        <v>4577</v>
      </c>
      <c r="C10" s="1074"/>
      <c r="D10" s="658" t="s">
        <v>4578</v>
      </c>
      <c r="E10" s="1075" t="s">
        <v>4579</v>
      </c>
      <c r="F10" s="1076"/>
      <c r="G10" s="1074"/>
      <c r="H10" s="1077" t="s">
        <v>4580</v>
      </c>
      <c r="I10" s="1076"/>
      <c r="J10" s="1074"/>
      <c r="K10" s="1078" t="s">
        <v>4581</v>
      </c>
      <c r="L10" s="1076"/>
      <c r="M10" s="1074"/>
      <c r="N10" s="1078"/>
      <c r="O10" s="1076"/>
      <c r="P10" s="1074"/>
      <c r="Q10" s="659" t="s">
        <v>4582</v>
      </c>
      <c r="R10" s="654">
        <v>1</v>
      </c>
      <c r="S10" s="655">
        <v>45545</v>
      </c>
      <c r="U10" s="656"/>
      <c r="V10" s="657"/>
    </row>
    <row r="11" spans="2:22" ht="15" thickBot="1" x14ac:dyDescent="0.4">
      <c r="B11" s="1073" t="s">
        <v>4583</v>
      </c>
      <c r="C11" s="1074"/>
      <c r="D11" s="660" t="s">
        <v>4584</v>
      </c>
      <c r="E11" s="1093" t="s">
        <v>4585</v>
      </c>
      <c r="F11" s="1076"/>
      <c r="G11" s="1074"/>
      <c r="H11" s="1093" t="s">
        <v>4586</v>
      </c>
      <c r="I11" s="1076"/>
      <c r="J11" s="1074"/>
      <c r="K11" s="1093" t="s">
        <v>4587</v>
      </c>
      <c r="L11" s="1076"/>
      <c r="M11" s="1074"/>
      <c r="N11" s="1093"/>
      <c r="O11" s="1076"/>
      <c r="P11" s="1074"/>
      <c r="Q11" s="659" t="s">
        <v>4588</v>
      </c>
      <c r="R11" s="654">
        <v>1</v>
      </c>
      <c r="S11" s="655">
        <v>45545</v>
      </c>
      <c r="U11" s="656"/>
      <c r="V11" s="657"/>
    </row>
    <row r="12" spans="2:22" ht="14.5" x14ac:dyDescent="0.35">
      <c r="B12" s="1073" t="s">
        <v>4589</v>
      </c>
      <c r="C12" s="1074"/>
      <c r="D12" s="661">
        <v>45545</v>
      </c>
      <c r="E12" s="1090">
        <v>45545</v>
      </c>
      <c r="F12" s="1091"/>
      <c r="G12" s="1092"/>
      <c r="H12" s="1090">
        <v>45545</v>
      </c>
      <c r="I12" s="1091"/>
      <c r="J12" s="1092"/>
      <c r="K12" s="1090">
        <v>45545</v>
      </c>
      <c r="L12" s="1091"/>
      <c r="M12" s="1092"/>
      <c r="N12" s="1090"/>
      <c r="O12" s="1091"/>
      <c r="P12" s="1092"/>
      <c r="Q12" s="659" t="s">
        <v>4590</v>
      </c>
      <c r="R12" s="654">
        <v>1</v>
      </c>
      <c r="S12" s="655">
        <v>45545</v>
      </c>
      <c r="U12" s="656"/>
      <c r="V12" s="657"/>
    </row>
    <row r="13" spans="2:22" ht="14.5" x14ac:dyDescent="0.35">
      <c r="B13" s="1095" t="s">
        <v>4591</v>
      </c>
      <c r="C13" s="1096"/>
      <c r="D13" s="661" t="s">
        <v>4592</v>
      </c>
      <c r="E13" s="1090" t="s">
        <v>4592</v>
      </c>
      <c r="F13" s="1091"/>
      <c r="G13" s="1092"/>
      <c r="H13" s="1090" t="s">
        <v>4592</v>
      </c>
      <c r="I13" s="1091"/>
      <c r="J13" s="1092"/>
      <c r="K13" s="1090" t="s">
        <v>4592</v>
      </c>
      <c r="L13" s="1091"/>
      <c r="M13" s="1092"/>
      <c r="N13" s="1097"/>
      <c r="O13" s="1076"/>
      <c r="P13" s="1074"/>
      <c r="Q13" s="659"/>
      <c r="R13" s="662"/>
      <c r="S13" s="663"/>
      <c r="U13" s="656"/>
      <c r="V13" s="657"/>
    </row>
    <row r="14" spans="2:22" ht="15" thickBot="1" x14ac:dyDescent="0.4">
      <c r="B14" s="1073" t="s">
        <v>4593</v>
      </c>
      <c r="C14" s="1074"/>
      <c r="D14" s="658" t="s">
        <v>4594</v>
      </c>
      <c r="E14" s="1097" t="s">
        <v>4595</v>
      </c>
      <c r="F14" s="1098"/>
      <c r="G14" s="1099"/>
      <c r="H14" s="1078" t="s">
        <v>4596</v>
      </c>
      <c r="I14" s="1076"/>
      <c r="J14" s="1074"/>
      <c r="K14" s="1078" t="s">
        <v>4597</v>
      </c>
      <c r="L14" s="1076"/>
      <c r="M14" s="1074"/>
      <c r="N14" s="1078"/>
      <c r="O14" s="1076"/>
      <c r="P14" s="1074"/>
      <c r="Q14" s="659"/>
      <c r="R14" s="662"/>
      <c r="S14" s="663"/>
      <c r="U14" s="656"/>
      <c r="V14" s="657"/>
    </row>
    <row r="15" spans="2:22" ht="15.5" thickBot="1" x14ac:dyDescent="0.4">
      <c r="B15" s="1100" t="s">
        <v>4598</v>
      </c>
      <c r="C15" s="1071"/>
      <c r="D15" s="664" t="s">
        <v>4599</v>
      </c>
      <c r="E15" s="1101" t="s">
        <v>4599</v>
      </c>
      <c r="F15" s="1070"/>
      <c r="G15" s="1071"/>
      <c r="H15" s="1102" t="s">
        <v>4599</v>
      </c>
      <c r="I15" s="1103"/>
      <c r="J15" s="1104"/>
      <c r="K15" s="1102" t="s">
        <v>4599</v>
      </c>
      <c r="L15" s="1103"/>
      <c r="M15" s="1104"/>
      <c r="N15" s="1102"/>
      <c r="O15" s="1103"/>
      <c r="P15" s="1104"/>
      <c r="Q15" s="665" t="s">
        <v>4600</v>
      </c>
      <c r="R15" s="654">
        <v>1</v>
      </c>
      <c r="S15" s="655">
        <v>45545</v>
      </c>
      <c r="U15" s="656"/>
      <c r="V15" s="657"/>
    </row>
    <row r="16" spans="2:22" ht="14.5" thickBot="1" x14ac:dyDescent="0.35">
      <c r="B16" s="1094"/>
      <c r="C16" s="1064"/>
      <c r="D16" s="1064"/>
      <c r="E16" s="1064"/>
      <c r="F16" s="1064"/>
      <c r="G16" s="1064"/>
      <c r="H16" s="1064"/>
      <c r="I16" s="1064"/>
      <c r="J16" s="1064"/>
      <c r="K16" s="1064"/>
      <c r="L16" s="1064"/>
      <c r="M16" s="1064"/>
      <c r="N16" s="1064"/>
      <c r="O16" s="1064"/>
      <c r="P16" s="1064"/>
      <c r="Q16" s="1064"/>
      <c r="R16" s="1064"/>
      <c r="S16" s="1065"/>
    </row>
    <row r="17" spans="1:28" x14ac:dyDescent="0.3">
      <c r="B17" s="1105" t="s">
        <v>4601</v>
      </c>
      <c r="C17" s="1108" t="s">
        <v>4602</v>
      </c>
      <c r="D17" s="1111" t="s">
        <v>4603</v>
      </c>
      <c r="E17" s="1112" t="s">
        <v>2576</v>
      </c>
      <c r="F17" s="1112" t="s">
        <v>4566</v>
      </c>
      <c r="G17" s="1113"/>
      <c r="H17" s="1112" t="s">
        <v>4567</v>
      </c>
      <c r="I17" s="1113"/>
      <c r="J17" s="1112" t="s">
        <v>4568</v>
      </c>
      <c r="K17" s="1113"/>
      <c r="L17" s="1112" t="s">
        <v>4569</v>
      </c>
      <c r="M17" s="1113"/>
      <c r="N17" s="1112" t="s">
        <v>4604</v>
      </c>
      <c r="O17" s="1113"/>
      <c r="P17" s="1114" t="s">
        <v>4605</v>
      </c>
      <c r="Q17" s="1113"/>
      <c r="R17" s="1113"/>
      <c r="S17" s="1115"/>
    </row>
    <row r="18" spans="1:28" x14ac:dyDescent="0.3">
      <c r="B18" s="1106"/>
      <c r="C18" s="1109"/>
      <c r="D18" s="1109"/>
      <c r="E18" s="1109"/>
      <c r="F18" s="1109"/>
      <c r="G18" s="1109"/>
      <c r="H18" s="1109"/>
      <c r="I18" s="1109"/>
      <c r="J18" s="1109"/>
      <c r="K18" s="1109"/>
      <c r="L18" s="1109"/>
      <c r="M18" s="1109"/>
      <c r="N18" s="1109"/>
      <c r="O18" s="1109"/>
      <c r="P18" s="1109"/>
      <c r="Q18" s="1109"/>
      <c r="R18" s="1109"/>
      <c r="S18" s="1116"/>
    </row>
    <row r="19" spans="1:28" x14ac:dyDescent="0.3">
      <c r="B19" s="1106"/>
      <c r="C19" s="1109"/>
      <c r="D19" s="1109"/>
      <c r="E19" s="1109"/>
      <c r="F19" s="1117" t="s">
        <v>4606</v>
      </c>
      <c r="G19" s="1117" t="s">
        <v>4607</v>
      </c>
      <c r="H19" s="1117" t="s">
        <v>4606</v>
      </c>
      <c r="I19" s="1117" t="s">
        <v>4607</v>
      </c>
      <c r="J19" s="1118" t="s">
        <v>4606</v>
      </c>
      <c r="K19" s="1117" t="s">
        <v>4607</v>
      </c>
      <c r="L19" s="1117" t="s">
        <v>4606</v>
      </c>
      <c r="M19" s="1117" t="s">
        <v>4607</v>
      </c>
      <c r="N19" s="1117" t="s">
        <v>4606</v>
      </c>
      <c r="O19" s="1117" t="s">
        <v>4607</v>
      </c>
      <c r="P19" s="1122" t="s">
        <v>4608</v>
      </c>
      <c r="Q19" s="1109"/>
      <c r="R19" s="1122" t="s">
        <v>4609</v>
      </c>
      <c r="S19" s="1116"/>
    </row>
    <row r="20" spans="1:28" ht="14.5" thickBot="1" x14ac:dyDescent="0.35">
      <c r="B20" s="1107"/>
      <c r="C20" s="1110"/>
      <c r="D20" s="1110"/>
      <c r="E20" s="1110"/>
      <c r="F20" s="1110"/>
      <c r="G20" s="1110"/>
      <c r="H20" s="1110"/>
      <c r="I20" s="1110"/>
      <c r="J20" s="1110"/>
      <c r="K20" s="1110"/>
      <c r="L20" s="1110"/>
      <c r="M20" s="1110"/>
      <c r="N20" s="1110"/>
      <c r="O20" s="1110"/>
      <c r="P20" s="1110"/>
      <c r="Q20" s="1110"/>
      <c r="R20" s="1110"/>
      <c r="S20" s="1123"/>
    </row>
    <row r="21" spans="1:28" ht="14.5" x14ac:dyDescent="0.3">
      <c r="A21" s="666"/>
      <c r="B21" s="667">
        <v>1</v>
      </c>
      <c r="C21" s="668" t="s">
        <v>4610</v>
      </c>
      <c r="D21" s="669" t="s">
        <v>17033</v>
      </c>
      <c r="E21" s="670" t="s">
        <v>4612</v>
      </c>
      <c r="F21" s="671">
        <v>262.69358949225642</v>
      </c>
      <c r="G21" s="672">
        <v>262.69358949225642</v>
      </c>
      <c r="H21" s="672">
        <v>640.7830621446775</v>
      </c>
      <c r="I21" s="672">
        <v>640.7830621446775</v>
      </c>
      <c r="J21" s="672">
        <v>502.16036071358553</v>
      </c>
      <c r="K21" s="672">
        <v>502.16036071358553</v>
      </c>
      <c r="L21" s="673">
        <v>260.73318957067238</v>
      </c>
      <c r="M21" s="672">
        <v>260.73318957067238</v>
      </c>
      <c r="N21" s="672"/>
      <c r="O21" s="672" t="s">
        <v>2254</v>
      </c>
      <c r="P21" s="1119">
        <v>260.73318957067238</v>
      </c>
      <c r="Q21" s="1120"/>
      <c r="R21" s="1119" t="s">
        <v>2574</v>
      </c>
      <c r="S21" s="1121"/>
      <c r="T21" s="666"/>
      <c r="U21" s="666"/>
      <c r="V21" s="674"/>
      <c r="W21" s="666"/>
      <c r="X21" s="666"/>
      <c r="Y21" s="666"/>
      <c r="Z21" s="666"/>
      <c r="AA21" s="666"/>
      <c r="AB21" s="666"/>
    </row>
    <row r="22" spans="1:28" ht="23" hidden="1" x14ac:dyDescent="0.3">
      <c r="B22" s="667">
        <v>2</v>
      </c>
      <c r="C22" s="668" t="s">
        <v>4613</v>
      </c>
      <c r="D22" s="669" t="s">
        <v>4611</v>
      </c>
      <c r="E22" s="670" t="s">
        <v>4614</v>
      </c>
      <c r="F22" s="675">
        <v>67000</v>
      </c>
      <c r="G22" s="672">
        <v>67000</v>
      </c>
      <c r="H22" s="672">
        <v>163431.72</v>
      </c>
      <c r="I22" s="672">
        <v>163431.72</v>
      </c>
      <c r="J22" s="672">
        <v>128076</v>
      </c>
      <c r="K22" s="672">
        <v>128076</v>
      </c>
      <c r="L22" s="676">
        <v>66500</v>
      </c>
      <c r="M22" s="672">
        <v>66500</v>
      </c>
      <c r="N22" s="672"/>
      <c r="O22" s="672" t="s">
        <v>2254</v>
      </c>
      <c r="P22" s="1119">
        <v>66500</v>
      </c>
      <c r="Q22" s="1120"/>
      <c r="R22" s="1119" t="s">
        <v>2574</v>
      </c>
      <c r="S22" s="1121"/>
    </row>
    <row r="24" spans="1:28" ht="14.5" x14ac:dyDescent="0.35">
      <c r="E24" s="816">
        <v>255.05</v>
      </c>
      <c r="F24" s="817">
        <v>67000</v>
      </c>
      <c r="G24" s="817"/>
      <c r="H24" s="816"/>
      <c r="I24" s="817">
        <v>163431.72</v>
      </c>
      <c r="J24" s="817">
        <v>128076</v>
      </c>
      <c r="K24" s="817"/>
      <c r="L24" s="817">
        <v>66500</v>
      </c>
    </row>
    <row r="25" spans="1:28" x14ac:dyDescent="0.3">
      <c r="E25" s="818"/>
      <c r="F25" s="818"/>
      <c r="G25" s="818"/>
      <c r="H25" s="818"/>
      <c r="I25" s="818"/>
      <c r="J25" s="818"/>
      <c r="K25" s="818"/>
      <c r="L25" s="818"/>
    </row>
    <row r="26" spans="1:28" x14ac:dyDescent="0.3">
      <c r="F26" s="677"/>
      <c r="H26" s="677"/>
      <c r="I26" s="677"/>
      <c r="J26" s="677"/>
      <c r="K26" s="677"/>
      <c r="L26" s="677"/>
    </row>
  </sheetData>
  <mergeCells count="77">
    <mergeCell ref="P21:Q21"/>
    <mergeCell ref="R21:S21"/>
    <mergeCell ref="P22:Q22"/>
    <mergeCell ref="R22:S22"/>
    <mergeCell ref="L19:L20"/>
    <mergeCell ref="M19:M20"/>
    <mergeCell ref="N19:N20"/>
    <mergeCell ref="O19:O20"/>
    <mergeCell ref="P19:Q20"/>
    <mergeCell ref="R19:S20"/>
    <mergeCell ref="J17:K18"/>
    <mergeCell ref="L17:M18"/>
    <mergeCell ref="N17:O18"/>
    <mergeCell ref="P17:S18"/>
    <mergeCell ref="F19:F20"/>
    <mergeCell ref="G19:G20"/>
    <mergeCell ref="H19:H20"/>
    <mergeCell ref="I19:I20"/>
    <mergeCell ref="J19:J20"/>
    <mergeCell ref="K19:K20"/>
    <mergeCell ref="H17:I18"/>
    <mergeCell ref="B17:B20"/>
    <mergeCell ref="C17:C20"/>
    <mergeCell ref="D17:D20"/>
    <mergeCell ref="E17:E20"/>
    <mergeCell ref="F17:G18"/>
    <mergeCell ref="B16:S16"/>
    <mergeCell ref="B13:C13"/>
    <mergeCell ref="E13:G13"/>
    <mergeCell ref="H13:J13"/>
    <mergeCell ref="K13:M13"/>
    <mergeCell ref="N13:P13"/>
    <mergeCell ref="B14:C14"/>
    <mergeCell ref="E14:G14"/>
    <mergeCell ref="H14:J14"/>
    <mergeCell ref="K14:M14"/>
    <mergeCell ref="N14:P14"/>
    <mergeCell ref="B15:C15"/>
    <mergeCell ref="E15:G15"/>
    <mergeCell ref="H15:J15"/>
    <mergeCell ref="K15:M15"/>
    <mergeCell ref="N15:P15"/>
    <mergeCell ref="B11:C11"/>
    <mergeCell ref="E11:G11"/>
    <mergeCell ref="H11:J11"/>
    <mergeCell ref="K11:M11"/>
    <mergeCell ref="N11:P11"/>
    <mergeCell ref="B12:C12"/>
    <mergeCell ref="E12:G12"/>
    <mergeCell ref="H12:J12"/>
    <mergeCell ref="K12:M12"/>
    <mergeCell ref="N12:P12"/>
    <mergeCell ref="B9:C9"/>
    <mergeCell ref="E9:G9"/>
    <mergeCell ref="H9:J9"/>
    <mergeCell ref="K9:M9"/>
    <mergeCell ref="N9:P9"/>
    <mergeCell ref="B10:C10"/>
    <mergeCell ref="E10:G10"/>
    <mergeCell ref="H10:J10"/>
    <mergeCell ref="K10:M10"/>
    <mergeCell ref="N10:P10"/>
    <mergeCell ref="B6:S6"/>
    <mergeCell ref="B7:C8"/>
    <mergeCell ref="D7:P7"/>
    <mergeCell ref="Q7:S8"/>
    <mergeCell ref="E8:G8"/>
    <mergeCell ref="H8:J8"/>
    <mergeCell ref="K8:M8"/>
    <mergeCell ref="N8:P8"/>
    <mergeCell ref="C2:D2"/>
    <mergeCell ref="E2:P3"/>
    <mergeCell ref="Q2:S5"/>
    <mergeCell ref="B3:D3"/>
    <mergeCell ref="B4:D4"/>
    <mergeCell ref="E4:P4"/>
    <mergeCell ref="E5:P5"/>
  </mergeCells>
  <conditionalFormatting sqref="F21:K22 M21:O22">
    <cfRule type="cellIs" dxfId="2" priority="1" operator="equal">
      <formula>$P21</formula>
    </cfRule>
  </conditionalFormatting>
  <conditionalFormatting sqref="G21:G22 I21:I22 K21:K22 M21:M22 O21:O22">
    <cfRule type="cellIs" dxfId="1" priority="2" operator="equal">
      <formula>$R21</formula>
    </cfRule>
    <cfRule type="cellIs" dxfId="0" priority="3" operator="equal">
      <formula>#REF!</formula>
    </cfRule>
  </conditionalFormatting>
  <hyperlinks>
    <hyperlink ref="H11" r:id="rId1" xr:uid="{C23EDC8C-6338-4C99-B834-831287A6E469}"/>
    <hyperlink ref="D11" r:id="rId2" xr:uid="{9927696D-F251-431B-B6DB-CC64F4CDA371}"/>
    <hyperlink ref="E11" r:id="rId3" xr:uid="{9E13396E-B91A-4ECA-AC8B-7F89CDEC691A}"/>
    <hyperlink ref="K11" r:id="rId4" xr:uid="{69B9D19C-5077-4280-8CA8-91FD5261A4F2}"/>
  </hyperlinks>
  <printOptions horizontalCentered="1" verticalCentered="1"/>
  <pageMargins left="0.51181102362204722" right="0.51181102362204722" top="0.78740157480314965" bottom="0.78740157480314965" header="0.31496062992125984" footer="0.31496062992125984"/>
  <pageSetup paperSize="9" scale="53" orientation="landscape" r:id="rId5"/>
  <drawing r:id="rId6"/>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F46BC-1829-4D06-AA55-8F2BCA39C044}">
  <sheetPr>
    <tabColor rgb="FF00B050"/>
  </sheetPr>
  <dimension ref="A1:I276"/>
  <sheetViews>
    <sheetView tabSelected="1" view="pageBreakPreview" zoomScaleNormal="100" zoomScaleSheetLayoutView="100" workbookViewId="0">
      <selection sqref="A1:XFD1048576"/>
    </sheetView>
  </sheetViews>
  <sheetFormatPr defaultRowHeight="14" x14ac:dyDescent="0.3"/>
  <cols>
    <col min="2" max="2" width="4.08203125" customWidth="1"/>
    <col min="3" max="3" width="34.83203125" customWidth="1"/>
    <col min="4" max="4" width="2.25" customWidth="1"/>
    <col min="5" max="5" width="7.75" bestFit="1" customWidth="1"/>
    <col min="6" max="6" width="3.6640625" customWidth="1"/>
    <col min="7" max="7" width="10.5" customWidth="1"/>
    <col min="8" max="8" width="2.9140625" customWidth="1"/>
    <col min="9" max="9" width="7.83203125" customWidth="1"/>
  </cols>
  <sheetData>
    <row r="1" spans="1:8" x14ac:dyDescent="0.3">
      <c r="A1" s="771"/>
      <c r="B1" s="771"/>
      <c r="C1" s="771"/>
      <c r="D1" s="771"/>
      <c r="E1" s="771"/>
      <c r="F1" s="771"/>
      <c r="G1" s="771"/>
      <c r="H1" s="771"/>
    </row>
    <row r="2" spans="1:8" ht="12.75" customHeight="1" x14ac:dyDescent="0.3">
      <c r="A2" s="1142" t="s">
        <v>4654</v>
      </c>
      <c r="B2" s="1142"/>
      <c r="C2" s="1142"/>
      <c r="D2" s="1142"/>
      <c r="E2" s="1142"/>
      <c r="F2" s="1142"/>
      <c r="G2" s="1142"/>
      <c r="H2" s="771"/>
    </row>
    <row r="3" spans="1:8" ht="39" customHeight="1" x14ac:dyDescent="0.3">
      <c r="A3" s="1143" t="s">
        <v>4655</v>
      </c>
      <c r="B3" s="1143"/>
      <c r="C3" s="1143"/>
      <c r="D3" s="1143"/>
      <c r="E3" s="1143"/>
      <c r="F3" s="1143"/>
      <c r="G3" s="1143"/>
      <c r="H3" s="771"/>
    </row>
    <row r="4" spans="1:8" x14ac:dyDescent="0.3">
      <c r="A4" s="1144" t="s">
        <v>4656</v>
      </c>
      <c r="B4" s="1144"/>
      <c r="C4" s="1144"/>
      <c r="D4" s="1144"/>
      <c r="E4" s="1144"/>
      <c r="F4" s="1144"/>
      <c r="G4" s="1144"/>
      <c r="H4" s="771"/>
    </row>
    <row r="5" spans="1:8" ht="14.5" thickBot="1" x14ac:dyDescent="0.35">
      <c r="A5" s="772"/>
      <c r="B5" s="772"/>
      <c r="C5" s="772"/>
      <c r="D5" s="772"/>
      <c r="E5" s="772"/>
      <c r="F5" s="772"/>
      <c r="G5" s="773" t="s">
        <v>4657</v>
      </c>
      <c r="H5" s="771"/>
    </row>
    <row r="6" spans="1:8" ht="14.5" thickBot="1" x14ac:dyDescent="0.35">
      <c r="A6" s="774" t="s">
        <v>4658</v>
      </c>
      <c r="B6" s="1145" t="s">
        <v>4659</v>
      </c>
      <c r="C6" s="1146"/>
      <c r="D6" s="1146"/>
      <c r="E6" s="1146"/>
      <c r="F6" s="1147"/>
      <c r="G6" s="775" t="s">
        <v>4660</v>
      </c>
      <c r="H6" s="771"/>
    </row>
    <row r="7" spans="1:8" ht="14.5" thickTop="1" x14ac:dyDescent="0.3">
      <c r="A7" s="1127" t="s">
        <v>4661</v>
      </c>
      <c r="B7" s="1128"/>
      <c r="C7" s="1128"/>
      <c r="D7" s="1128"/>
      <c r="E7" s="1128"/>
      <c r="F7" s="1128"/>
      <c r="G7" s="1129"/>
      <c r="H7" s="771"/>
    </row>
    <row r="8" spans="1:8" x14ac:dyDescent="0.3">
      <c r="A8" s="1130" t="s">
        <v>2418</v>
      </c>
      <c r="B8" s="1133" t="s">
        <v>4662</v>
      </c>
      <c r="C8" s="1134"/>
      <c r="D8" s="1134"/>
      <c r="E8" s="1134"/>
      <c r="F8" s="1135"/>
      <c r="G8" s="776">
        <v>4.0099999999999997E-2</v>
      </c>
      <c r="H8" s="771"/>
    </row>
    <row r="9" spans="1:8" x14ac:dyDescent="0.3">
      <c r="A9" s="1131"/>
      <c r="B9" s="1136" t="s">
        <v>4663</v>
      </c>
      <c r="C9" s="1137"/>
      <c r="D9" s="1137"/>
      <c r="E9" s="1137"/>
      <c r="F9" s="1138"/>
      <c r="G9" s="776">
        <v>5.8999999999999999E-3</v>
      </c>
      <c r="H9" s="771"/>
    </row>
    <row r="10" spans="1:8" x14ac:dyDescent="0.3">
      <c r="A10" s="1131"/>
      <c r="B10" s="1136" t="s">
        <v>4664</v>
      </c>
      <c r="C10" s="1137"/>
      <c r="D10" s="1137"/>
      <c r="E10" s="1137"/>
      <c r="F10" s="1138"/>
      <c r="G10" s="776">
        <v>6.4999999999999997E-3</v>
      </c>
      <c r="H10" s="771"/>
    </row>
    <row r="11" spans="1:8" x14ac:dyDescent="0.3">
      <c r="A11" s="1132"/>
      <c r="B11" s="1139" t="s">
        <v>4665</v>
      </c>
      <c r="C11" s="1140"/>
      <c r="D11" s="1140"/>
      <c r="E11" s="1140"/>
      <c r="F11" s="1141"/>
      <c r="G11" s="776">
        <v>1.11E-2</v>
      </c>
      <c r="H11" s="771"/>
    </row>
    <row r="12" spans="1:8" ht="14.5" thickBot="1" x14ac:dyDescent="0.35">
      <c r="A12" s="1124" t="s">
        <v>4666</v>
      </c>
      <c r="B12" s="1125"/>
      <c r="C12" s="1125"/>
      <c r="D12" s="1125"/>
      <c r="E12" s="1125"/>
      <c r="F12" s="1126"/>
      <c r="G12" s="777">
        <v>6.3600000000000004E-2</v>
      </c>
      <c r="H12" s="771"/>
    </row>
    <row r="13" spans="1:8" ht="14.5" thickTop="1" x14ac:dyDescent="0.3">
      <c r="A13" s="1127" t="s">
        <v>4667</v>
      </c>
      <c r="B13" s="1128"/>
      <c r="C13" s="1128"/>
      <c r="D13" s="1128"/>
      <c r="E13" s="1128"/>
      <c r="F13" s="1128"/>
      <c r="G13" s="1129"/>
      <c r="H13" s="771"/>
    </row>
    <row r="14" spans="1:8" ht="27.75" customHeight="1" x14ac:dyDescent="0.3">
      <c r="A14" s="1130" t="s">
        <v>2419</v>
      </c>
      <c r="B14" s="1133" t="s">
        <v>4668</v>
      </c>
      <c r="C14" s="1134"/>
      <c r="D14" s="1134"/>
      <c r="E14" s="1134"/>
      <c r="F14" s="1135"/>
      <c r="G14" s="778">
        <v>0.03</v>
      </c>
      <c r="H14" s="771"/>
    </row>
    <row r="15" spans="1:8" x14ac:dyDescent="0.3">
      <c r="A15" s="1131"/>
      <c r="B15" s="1136" t="s">
        <v>4669</v>
      </c>
      <c r="C15" s="1137"/>
      <c r="D15" s="1137"/>
      <c r="E15" s="1137"/>
      <c r="F15" s="1138"/>
      <c r="G15" s="776">
        <v>6.4999999999999997E-3</v>
      </c>
      <c r="H15" s="771"/>
    </row>
    <row r="16" spans="1:8" x14ac:dyDescent="0.3">
      <c r="A16" s="1131"/>
      <c r="B16" s="1136" t="s">
        <v>4670</v>
      </c>
      <c r="C16" s="1137"/>
      <c r="D16" s="1137"/>
      <c r="E16" s="1137"/>
      <c r="F16" s="1138"/>
      <c r="G16" s="776">
        <v>0.02</v>
      </c>
      <c r="H16" s="771"/>
    </row>
    <row r="17" spans="1:8" x14ac:dyDescent="0.3">
      <c r="A17" s="1132"/>
      <c r="B17" s="1139" t="s">
        <v>4671</v>
      </c>
      <c r="C17" s="1140"/>
      <c r="D17" s="1140"/>
      <c r="E17" s="1140"/>
      <c r="F17" s="1141"/>
      <c r="G17" s="779">
        <v>0</v>
      </c>
      <c r="H17" s="771"/>
    </row>
    <row r="18" spans="1:8" ht="14.5" thickBot="1" x14ac:dyDescent="0.35">
      <c r="A18" s="1124" t="s">
        <v>4672</v>
      </c>
      <c r="B18" s="1125"/>
      <c r="C18" s="1125"/>
      <c r="D18" s="1125"/>
      <c r="E18" s="1125"/>
      <c r="F18" s="1126"/>
      <c r="G18" s="777">
        <v>5.6499999999999995E-2</v>
      </c>
      <c r="H18" s="771"/>
    </row>
    <row r="19" spans="1:8" ht="14.5" thickTop="1" x14ac:dyDescent="0.3">
      <c r="A19" s="1127" t="s">
        <v>4673</v>
      </c>
      <c r="B19" s="1128"/>
      <c r="C19" s="1128"/>
      <c r="D19" s="1128"/>
      <c r="E19" s="1128"/>
      <c r="F19" s="1128"/>
      <c r="G19" s="1129"/>
      <c r="H19" s="771"/>
    </row>
    <row r="20" spans="1:8" x14ac:dyDescent="0.3">
      <c r="A20" s="780" t="s">
        <v>2420</v>
      </c>
      <c r="B20" s="1154" t="s">
        <v>4674</v>
      </c>
      <c r="C20" s="1155"/>
      <c r="D20" s="1155"/>
      <c r="E20" s="1155"/>
      <c r="F20" s="1156"/>
      <c r="G20" s="776">
        <v>7.4700000000000003E-2</v>
      </c>
      <c r="H20" s="771"/>
    </row>
    <row r="21" spans="1:8" ht="14.5" thickBot="1" x14ac:dyDescent="0.35">
      <c r="A21" s="1124" t="s">
        <v>4675</v>
      </c>
      <c r="B21" s="1125"/>
      <c r="C21" s="1125"/>
      <c r="D21" s="1125"/>
      <c r="E21" s="1125"/>
      <c r="F21" s="1126"/>
      <c r="G21" s="777">
        <v>7.4700000000000003E-2</v>
      </c>
      <c r="H21" s="771"/>
    </row>
    <row r="22" spans="1:8" ht="15" thickTop="1" thickBot="1" x14ac:dyDescent="0.35">
      <c r="A22" s="1157" t="s">
        <v>21</v>
      </c>
      <c r="B22" s="1158"/>
      <c r="C22" s="1158"/>
      <c r="D22" s="1158"/>
      <c r="E22" s="1158"/>
      <c r="F22" s="1159"/>
      <c r="G22" s="781">
        <v>0.21216449541600427</v>
      </c>
      <c r="H22" s="771"/>
    </row>
    <row r="23" spans="1:8" x14ac:dyDescent="0.3">
      <c r="A23" s="782"/>
      <c r="B23" s="782"/>
      <c r="C23" s="782"/>
      <c r="D23" s="782"/>
      <c r="E23" s="782"/>
      <c r="F23" s="782"/>
      <c r="G23" s="782"/>
      <c r="H23" s="771"/>
    </row>
    <row r="24" spans="1:8" x14ac:dyDescent="0.3">
      <c r="A24" s="1160" t="s">
        <v>4676</v>
      </c>
      <c r="B24" s="1160"/>
      <c r="C24" s="1160"/>
      <c r="D24" s="1160"/>
      <c r="E24" s="1160"/>
      <c r="F24" s="1160"/>
      <c r="G24" s="1160"/>
      <c r="H24" s="771"/>
    </row>
    <row r="25" spans="1:8" x14ac:dyDescent="0.3">
      <c r="A25" s="1148" t="s">
        <v>4677</v>
      </c>
      <c r="B25" s="1149" t="s">
        <v>4678</v>
      </c>
      <c r="C25" s="783" t="s">
        <v>4679</v>
      </c>
      <c r="D25" s="1150" t="s">
        <v>4680</v>
      </c>
      <c r="E25" s="1151">
        <v>-1</v>
      </c>
      <c r="F25" s="1152" t="s">
        <v>4681</v>
      </c>
      <c r="G25" s="1153" t="s">
        <v>4682</v>
      </c>
      <c r="H25" s="771"/>
    </row>
    <row r="26" spans="1:8" ht="21" customHeight="1" x14ac:dyDescent="0.3">
      <c r="A26" s="1148"/>
      <c r="B26" s="1149"/>
      <c r="C26" s="784" t="s">
        <v>4683</v>
      </c>
      <c r="D26" s="1150"/>
      <c r="E26" s="1151"/>
      <c r="F26" s="1152"/>
      <c r="G26" s="1153"/>
      <c r="H26" s="771"/>
    </row>
    <row r="27" spans="1:8" ht="20.25" customHeight="1" x14ac:dyDescent="0.3">
      <c r="A27" s="782"/>
      <c r="B27" s="782"/>
      <c r="C27" s="782"/>
      <c r="D27" s="782"/>
      <c r="E27" s="782"/>
      <c r="F27" s="782"/>
      <c r="G27" s="782"/>
      <c r="H27" s="771"/>
    </row>
    <row r="28" spans="1:8" x14ac:dyDescent="0.3">
      <c r="A28" s="785" t="s">
        <v>4684</v>
      </c>
      <c r="B28" s="1161" t="s">
        <v>4685</v>
      </c>
      <c r="C28" s="1161"/>
      <c r="D28" s="1161"/>
      <c r="E28" s="1161"/>
      <c r="F28" s="1161"/>
      <c r="G28" s="1161"/>
      <c r="H28" s="771"/>
    </row>
    <row r="29" spans="1:8" x14ac:dyDescent="0.3">
      <c r="A29" s="785" t="s">
        <v>4686</v>
      </c>
      <c r="B29" s="1161" t="s">
        <v>4687</v>
      </c>
      <c r="C29" s="1161"/>
      <c r="D29" s="1161"/>
      <c r="E29" s="1161"/>
      <c r="F29" s="1161"/>
      <c r="G29" s="1161"/>
      <c r="H29" s="771"/>
    </row>
    <row r="30" spans="1:8" x14ac:dyDescent="0.3">
      <c r="A30" s="785" t="s">
        <v>4688</v>
      </c>
      <c r="B30" s="1161" t="s">
        <v>4689</v>
      </c>
      <c r="C30" s="1161"/>
      <c r="D30" s="1161"/>
      <c r="E30" s="1161"/>
      <c r="F30" s="1161"/>
      <c r="G30" s="1161"/>
      <c r="H30" s="771"/>
    </row>
    <row r="31" spans="1:8" x14ac:dyDescent="0.3">
      <c r="A31" s="785" t="s">
        <v>4690</v>
      </c>
      <c r="B31" s="1161" t="s">
        <v>4691</v>
      </c>
      <c r="C31" s="1161"/>
      <c r="D31" s="1161"/>
      <c r="E31" s="1161"/>
      <c r="F31" s="1161"/>
      <c r="G31" s="1161"/>
      <c r="H31" s="771"/>
    </row>
    <row r="32" spans="1:8" x14ac:dyDescent="0.3">
      <c r="A32" s="785" t="s">
        <v>4692</v>
      </c>
      <c r="B32" s="1161" t="s">
        <v>4693</v>
      </c>
      <c r="C32" s="1161"/>
      <c r="D32" s="1161"/>
      <c r="E32" s="1161"/>
      <c r="F32" s="1161"/>
      <c r="G32" s="1161"/>
      <c r="H32" s="771"/>
    </row>
    <row r="33" spans="1:8" x14ac:dyDescent="0.3">
      <c r="A33" s="785" t="s">
        <v>2900</v>
      </c>
      <c r="B33" s="1161" t="s">
        <v>4694</v>
      </c>
      <c r="C33" s="1161"/>
      <c r="D33" s="1161"/>
      <c r="E33" s="1161"/>
      <c r="F33" s="1161"/>
      <c r="G33" s="1161"/>
      <c r="H33" s="771"/>
    </row>
    <row r="34" spans="1:8" x14ac:dyDescent="0.3">
      <c r="A34" s="785" t="s">
        <v>4695</v>
      </c>
      <c r="B34" s="1161" t="s">
        <v>4696</v>
      </c>
      <c r="C34" s="1161"/>
      <c r="D34" s="1161"/>
      <c r="E34" s="1161"/>
      <c r="F34" s="1161"/>
      <c r="G34" s="1161"/>
      <c r="H34" s="771"/>
    </row>
    <row r="35" spans="1:8" ht="39" customHeight="1" x14ac:dyDescent="0.3">
      <c r="A35" s="786"/>
      <c r="B35" s="1162" t="s">
        <v>4697</v>
      </c>
      <c r="C35" s="1162"/>
      <c r="D35" s="1162"/>
      <c r="E35" s="1162"/>
      <c r="F35" s="1162"/>
      <c r="G35" s="1162"/>
      <c r="H35" s="787"/>
    </row>
    <row r="36" spans="1:8" x14ac:dyDescent="0.3">
      <c r="A36" s="782"/>
      <c r="B36" s="782"/>
      <c r="C36" s="782"/>
      <c r="D36" s="782"/>
      <c r="E36" s="782"/>
      <c r="F36" s="782"/>
      <c r="G36" s="782"/>
      <c r="H36" s="771"/>
    </row>
    <row r="37" spans="1:8" x14ac:dyDescent="0.3">
      <c r="A37" s="1163" t="s">
        <v>4698</v>
      </c>
      <c r="B37" s="1163"/>
      <c r="C37" s="1163"/>
      <c r="D37" s="1163"/>
      <c r="E37" s="1163"/>
      <c r="F37" s="1163"/>
      <c r="G37" s="1163"/>
      <c r="H37" s="771"/>
    </row>
    <row r="38" spans="1:8" x14ac:dyDescent="0.3">
      <c r="A38" s="1163" t="s">
        <v>4699</v>
      </c>
      <c r="B38" s="1163"/>
      <c r="C38" s="1163"/>
      <c r="D38" s="1163"/>
      <c r="E38" s="1163"/>
      <c r="F38" s="1163"/>
      <c r="G38" s="1163"/>
      <c r="H38" s="771"/>
    </row>
    <row r="39" spans="1:8" ht="18" customHeight="1" x14ac:dyDescent="0.3">
      <c r="A39" s="771"/>
      <c r="B39" s="771"/>
      <c r="C39" s="771"/>
      <c r="D39" s="771"/>
      <c r="E39" s="771"/>
      <c r="F39" s="771"/>
      <c r="G39" s="771"/>
      <c r="H39" s="771"/>
    </row>
    <row r="42" spans="1:8" ht="18" customHeight="1" x14ac:dyDescent="0.3">
      <c r="A42" s="771"/>
      <c r="B42" s="771"/>
      <c r="C42" s="771"/>
      <c r="D42" s="771"/>
      <c r="E42" s="771"/>
      <c r="F42" s="771"/>
      <c r="G42" s="771"/>
      <c r="H42" s="771"/>
    </row>
    <row r="43" spans="1:8" ht="27.75" customHeight="1" x14ac:dyDescent="0.3">
      <c r="A43" s="1142" t="s">
        <v>4654</v>
      </c>
      <c r="B43" s="1142"/>
      <c r="C43" s="1142"/>
      <c r="D43" s="1142"/>
      <c r="E43" s="1142"/>
      <c r="F43" s="1142"/>
      <c r="G43" s="1142"/>
      <c r="H43" s="771"/>
    </row>
    <row r="44" spans="1:8" ht="12.75" customHeight="1" x14ac:dyDescent="0.3">
      <c r="A44" s="1164" t="s">
        <v>4700</v>
      </c>
      <c r="B44" s="1164"/>
      <c r="C44" s="1164"/>
      <c r="D44" s="1164"/>
      <c r="E44" s="1164"/>
      <c r="F44" s="1164"/>
      <c r="G44" s="1164"/>
      <c r="H44" s="771"/>
    </row>
    <row r="45" spans="1:8" x14ac:dyDescent="0.3">
      <c r="A45" s="1144" t="s">
        <v>4656</v>
      </c>
      <c r="B45" s="1144"/>
      <c r="C45" s="1144"/>
      <c r="D45" s="1144"/>
      <c r="E45" s="1144"/>
      <c r="F45" s="1144"/>
      <c r="G45" s="1144"/>
      <c r="H45" s="771"/>
    </row>
    <row r="46" spans="1:8" ht="14.5" thickBot="1" x14ac:dyDescent="0.35">
      <c r="A46" s="772"/>
      <c r="B46" s="772"/>
      <c r="C46" s="772"/>
      <c r="D46" s="772"/>
      <c r="E46" s="772"/>
      <c r="F46" s="772"/>
      <c r="G46" s="773" t="s">
        <v>4657</v>
      </c>
      <c r="H46" s="771"/>
    </row>
    <row r="47" spans="1:8" ht="14.5" thickBot="1" x14ac:dyDescent="0.35">
      <c r="A47" s="774" t="s">
        <v>4658</v>
      </c>
      <c r="B47" s="1145" t="s">
        <v>4659</v>
      </c>
      <c r="C47" s="1146"/>
      <c r="D47" s="1146"/>
      <c r="E47" s="1146"/>
      <c r="F47" s="1147"/>
      <c r="G47" s="775" t="s">
        <v>4660</v>
      </c>
      <c r="H47" s="771"/>
    </row>
    <row r="48" spans="1:8" ht="14.5" thickTop="1" x14ac:dyDescent="0.3">
      <c r="A48" s="1127" t="s">
        <v>4661</v>
      </c>
      <c r="B48" s="1128"/>
      <c r="C48" s="1128"/>
      <c r="D48" s="1128"/>
      <c r="E48" s="1128"/>
      <c r="F48" s="1128"/>
      <c r="G48" s="1129"/>
      <c r="H48" s="771"/>
    </row>
    <row r="49" spans="1:8" x14ac:dyDescent="0.3">
      <c r="A49" s="1130" t="s">
        <v>2418</v>
      </c>
      <c r="B49" s="1133" t="s">
        <v>4662</v>
      </c>
      <c r="C49" s="1134"/>
      <c r="D49" s="1134"/>
      <c r="E49" s="1134"/>
      <c r="F49" s="1135"/>
      <c r="G49" s="776">
        <v>1.66E-2</v>
      </c>
      <c r="H49" s="771"/>
    </row>
    <row r="50" spans="1:8" x14ac:dyDescent="0.3">
      <c r="A50" s="1131"/>
      <c r="B50" s="1136" t="s">
        <v>4663</v>
      </c>
      <c r="C50" s="1137"/>
      <c r="D50" s="1137"/>
      <c r="E50" s="1137"/>
      <c r="F50" s="1138"/>
      <c r="G50" s="776">
        <v>3.0999999999999999E-3</v>
      </c>
      <c r="H50" s="771"/>
    </row>
    <row r="51" spans="1:8" ht="18" customHeight="1" x14ac:dyDescent="0.3">
      <c r="A51" s="1131"/>
      <c r="B51" s="1136" t="s">
        <v>4664</v>
      </c>
      <c r="C51" s="1137"/>
      <c r="D51" s="1137"/>
      <c r="E51" s="1137"/>
      <c r="F51" s="1138"/>
      <c r="G51" s="776">
        <v>5.7000000000000002E-3</v>
      </c>
      <c r="H51" s="771"/>
    </row>
    <row r="52" spans="1:8" x14ac:dyDescent="0.3">
      <c r="A52" s="1132"/>
      <c r="B52" s="1139" t="s">
        <v>4665</v>
      </c>
      <c r="C52" s="1140"/>
      <c r="D52" s="1140"/>
      <c r="E52" s="1140"/>
      <c r="F52" s="1141"/>
      <c r="G52" s="776">
        <v>8.6E-3</v>
      </c>
      <c r="H52" s="771"/>
    </row>
    <row r="53" spans="1:8" ht="24.75" customHeight="1" thickBot="1" x14ac:dyDescent="0.35">
      <c r="A53" s="1124" t="s">
        <v>4666</v>
      </c>
      <c r="B53" s="1125"/>
      <c r="C53" s="1125"/>
      <c r="D53" s="1125"/>
      <c r="E53" s="1125"/>
      <c r="F53" s="1126"/>
      <c r="G53" s="777">
        <v>3.4000000000000002E-2</v>
      </c>
      <c r="H53" s="771"/>
    </row>
    <row r="54" spans="1:8" ht="27" customHeight="1" thickTop="1" x14ac:dyDescent="0.3">
      <c r="A54" s="1127" t="s">
        <v>4667</v>
      </c>
      <c r="B54" s="1128"/>
      <c r="C54" s="1128"/>
      <c r="D54" s="1128"/>
      <c r="E54" s="1128"/>
      <c r="F54" s="1128"/>
      <c r="G54" s="1129"/>
      <c r="H54" s="771"/>
    </row>
    <row r="55" spans="1:8" x14ac:dyDescent="0.3">
      <c r="A55" s="1130" t="s">
        <v>2419</v>
      </c>
      <c r="B55" s="1133" t="s">
        <v>4668</v>
      </c>
      <c r="C55" s="1134"/>
      <c r="D55" s="1134"/>
      <c r="E55" s="1134"/>
      <c r="F55" s="1135"/>
      <c r="G55" s="778">
        <v>0.03</v>
      </c>
      <c r="H55" s="771"/>
    </row>
    <row r="56" spans="1:8" x14ac:dyDescent="0.3">
      <c r="A56" s="1131"/>
      <c r="B56" s="1136" t="s">
        <v>4669</v>
      </c>
      <c r="C56" s="1137"/>
      <c r="D56" s="1137"/>
      <c r="E56" s="1137"/>
      <c r="F56" s="1138"/>
      <c r="G56" s="776">
        <v>6.4999999999999997E-3</v>
      </c>
      <c r="H56" s="771"/>
    </row>
    <row r="57" spans="1:8" x14ac:dyDescent="0.3">
      <c r="A57" s="1131"/>
      <c r="B57" s="1136" t="s">
        <v>4670</v>
      </c>
      <c r="C57" s="1137"/>
      <c r="D57" s="1137"/>
      <c r="E57" s="1137"/>
      <c r="F57" s="1138"/>
      <c r="G57" s="776">
        <v>0.02</v>
      </c>
      <c r="H57" s="771"/>
    </row>
    <row r="58" spans="1:8" x14ac:dyDescent="0.3">
      <c r="A58" s="1132"/>
      <c r="B58" s="1139" t="s">
        <v>4671</v>
      </c>
      <c r="C58" s="1140"/>
      <c r="D58" s="1140"/>
      <c r="E58" s="1140"/>
      <c r="F58" s="1141"/>
      <c r="G58" s="779">
        <v>0</v>
      </c>
      <c r="H58" s="771"/>
    </row>
    <row r="59" spans="1:8" ht="14.5" thickBot="1" x14ac:dyDescent="0.35">
      <c r="A59" s="1124" t="s">
        <v>4672</v>
      </c>
      <c r="B59" s="1125"/>
      <c r="C59" s="1125"/>
      <c r="D59" s="1125"/>
      <c r="E59" s="1125"/>
      <c r="F59" s="1126"/>
      <c r="G59" s="777">
        <v>5.6499999999999995E-2</v>
      </c>
      <c r="H59" s="771"/>
    </row>
    <row r="60" spans="1:8" ht="14.5" thickTop="1" x14ac:dyDescent="0.3">
      <c r="A60" s="1127" t="s">
        <v>4673</v>
      </c>
      <c r="B60" s="1128"/>
      <c r="C60" s="1128"/>
      <c r="D60" s="1128"/>
      <c r="E60" s="1128"/>
      <c r="F60" s="1128"/>
      <c r="G60" s="1129"/>
      <c r="H60" s="771"/>
    </row>
    <row r="61" spans="1:8" x14ac:dyDescent="0.3">
      <c r="A61" s="780" t="s">
        <v>2420</v>
      </c>
      <c r="B61" s="1154" t="s">
        <v>4674</v>
      </c>
      <c r="C61" s="1155"/>
      <c r="D61" s="1155"/>
      <c r="E61" s="1155"/>
      <c r="F61" s="1156"/>
      <c r="G61" s="776">
        <v>3.5000000000000003E-2</v>
      </c>
      <c r="H61" s="771"/>
    </row>
    <row r="62" spans="1:8" ht="14.5" thickBot="1" x14ac:dyDescent="0.35">
      <c r="A62" s="1124" t="s">
        <v>4675</v>
      </c>
      <c r="B62" s="1125"/>
      <c r="C62" s="1125"/>
      <c r="D62" s="1125"/>
      <c r="E62" s="1125"/>
      <c r="F62" s="1126"/>
      <c r="G62" s="777">
        <v>3.5000000000000003E-2</v>
      </c>
      <c r="H62" s="771"/>
    </row>
    <row r="63" spans="1:8" ht="15" thickTop="1" thickBot="1" x14ac:dyDescent="0.35">
      <c r="A63" s="1157" t="s">
        <v>21</v>
      </c>
      <c r="B63" s="1158"/>
      <c r="C63" s="1158"/>
      <c r="D63" s="1158"/>
      <c r="E63" s="1158"/>
      <c r="F63" s="1159"/>
      <c r="G63" s="781">
        <v>0.13451625373608911</v>
      </c>
      <c r="H63" s="771"/>
    </row>
    <row r="64" spans="1:8" x14ac:dyDescent="0.3">
      <c r="A64" s="782"/>
      <c r="B64" s="782"/>
      <c r="C64" s="782"/>
      <c r="D64" s="782"/>
      <c r="E64" s="782"/>
      <c r="F64" s="782"/>
      <c r="G64" s="782"/>
      <c r="H64" s="771"/>
    </row>
    <row r="65" spans="1:8" ht="25.5" customHeight="1" x14ac:dyDescent="0.3">
      <c r="A65" s="1160" t="s">
        <v>4676</v>
      </c>
      <c r="B65" s="1160"/>
      <c r="C65" s="1160"/>
      <c r="D65" s="1160"/>
      <c r="E65" s="1160"/>
      <c r="F65" s="1160"/>
      <c r="G65" s="1160"/>
      <c r="H65" s="771"/>
    </row>
    <row r="66" spans="1:8" x14ac:dyDescent="0.3">
      <c r="A66" s="1148" t="s">
        <v>4677</v>
      </c>
      <c r="B66" s="1149" t="s">
        <v>4678</v>
      </c>
      <c r="C66" s="783" t="s">
        <v>4679</v>
      </c>
      <c r="D66" s="1150" t="s">
        <v>4680</v>
      </c>
      <c r="E66" s="1165">
        <v>-1</v>
      </c>
      <c r="F66" s="1152" t="s">
        <v>4681</v>
      </c>
      <c r="G66" s="1153" t="s">
        <v>4682</v>
      </c>
      <c r="H66" s="771"/>
    </row>
    <row r="67" spans="1:8" x14ac:dyDescent="0.3">
      <c r="A67" s="1148"/>
      <c r="B67" s="1149"/>
      <c r="C67" s="784" t="s">
        <v>4683</v>
      </c>
      <c r="D67" s="1150"/>
      <c r="E67" s="1165"/>
      <c r="F67" s="1152"/>
      <c r="G67" s="1153"/>
      <c r="H67" s="771"/>
    </row>
    <row r="68" spans="1:8" x14ac:dyDescent="0.3">
      <c r="A68" s="782"/>
      <c r="B68" s="782"/>
      <c r="C68" s="782"/>
      <c r="D68" s="782"/>
      <c r="E68" s="782"/>
      <c r="F68" s="782"/>
      <c r="G68" s="782"/>
      <c r="H68" s="771"/>
    </row>
    <row r="69" spans="1:8" x14ac:dyDescent="0.3">
      <c r="A69" s="785" t="s">
        <v>4684</v>
      </c>
      <c r="B69" s="1161" t="s">
        <v>4685</v>
      </c>
      <c r="C69" s="1161"/>
      <c r="D69" s="1161"/>
      <c r="E69" s="1161"/>
      <c r="F69" s="1161"/>
      <c r="G69" s="1161"/>
      <c r="H69" s="771"/>
    </row>
    <row r="70" spans="1:8" x14ac:dyDescent="0.3">
      <c r="A70" s="785" t="s">
        <v>4686</v>
      </c>
      <c r="B70" s="1161" t="s">
        <v>4687</v>
      </c>
      <c r="C70" s="1161"/>
      <c r="D70" s="1161"/>
      <c r="E70" s="1161"/>
      <c r="F70" s="1161"/>
      <c r="G70" s="1161"/>
      <c r="H70" s="771"/>
    </row>
    <row r="71" spans="1:8" x14ac:dyDescent="0.3">
      <c r="A71" s="785" t="s">
        <v>4688</v>
      </c>
      <c r="B71" s="1161" t="s">
        <v>4689</v>
      </c>
      <c r="C71" s="1161"/>
      <c r="D71" s="1161"/>
      <c r="E71" s="1161"/>
      <c r="F71" s="1161"/>
      <c r="G71" s="1161"/>
      <c r="H71" s="771"/>
    </row>
    <row r="72" spans="1:8" x14ac:dyDescent="0.3">
      <c r="A72" s="785" t="s">
        <v>4690</v>
      </c>
      <c r="B72" s="1161" t="s">
        <v>4691</v>
      </c>
      <c r="C72" s="1161"/>
      <c r="D72" s="1161"/>
      <c r="E72" s="1161"/>
      <c r="F72" s="1161"/>
      <c r="G72" s="1161"/>
      <c r="H72" s="771"/>
    </row>
    <row r="73" spans="1:8" x14ac:dyDescent="0.3">
      <c r="A73" s="785" t="s">
        <v>4692</v>
      </c>
      <c r="B73" s="1161" t="s">
        <v>4693</v>
      </c>
      <c r="C73" s="1161"/>
      <c r="D73" s="1161"/>
      <c r="E73" s="1161"/>
      <c r="F73" s="1161"/>
      <c r="G73" s="1161"/>
      <c r="H73" s="771"/>
    </row>
    <row r="74" spans="1:8" x14ac:dyDescent="0.3">
      <c r="A74" s="785" t="s">
        <v>2900</v>
      </c>
      <c r="B74" s="1161" t="s">
        <v>4694</v>
      </c>
      <c r="C74" s="1161"/>
      <c r="D74" s="1161"/>
      <c r="E74" s="1161"/>
      <c r="F74" s="1161"/>
      <c r="G74" s="1161"/>
      <c r="H74" s="771"/>
    </row>
    <row r="75" spans="1:8" ht="29.25" customHeight="1" x14ac:dyDescent="0.3">
      <c r="A75" s="785" t="s">
        <v>4695</v>
      </c>
      <c r="B75" s="1161" t="s">
        <v>4696</v>
      </c>
      <c r="C75" s="1161"/>
      <c r="D75" s="1161"/>
      <c r="E75" s="1161"/>
      <c r="F75" s="1161"/>
      <c r="G75" s="1161"/>
      <c r="H75" s="771"/>
    </row>
    <row r="76" spans="1:8" ht="26" customHeight="1" x14ac:dyDescent="0.3">
      <c r="A76" s="786"/>
      <c r="B76" s="1162" t="s">
        <v>4697</v>
      </c>
      <c r="C76" s="1162"/>
      <c r="D76" s="1162"/>
      <c r="E76" s="1162"/>
      <c r="F76" s="1162"/>
      <c r="G76" s="1162"/>
      <c r="H76" s="787"/>
    </row>
    <row r="77" spans="1:8" x14ac:dyDescent="0.3">
      <c r="A77" s="782"/>
      <c r="B77" s="782"/>
      <c r="C77" s="782"/>
      <c r="D77" s="782"/>
      <c r="E77" s="782"/>
      <c r="F77" s="782"/>
      <c r="G77" s="782"/>
      <c r="H77" s="771"/>
    </row>
    <row r="78" spans="1:8" x14ac:dyDescent="0.3">
      <c r="A78" s="1163" t="s">
        <v>4698</v>
      </c>
      <c r="B78" s="1163"/>
      <c r="C78" s="1163"/>
      <c r="D78" s="1163"/>
      <c r="E78" s="1163"/>
      <c r="F78" s="1163"/>
      <c r="G78" s="1163"/>
      <c r="H78" s="771"/>
    </row>
    <row r="79" spans="1:8" ht="26.25" customHeight="1" x14ac:dyDescent="0.3">
      <c r="A79" s="1163" t="s">
        <v>4699</v>
      </c>
      <c r="B79" s="1163"/>
      <c r="C79" s="1163"/>
      <c r="D79" s="1163"/>
      <c r="E79" s="1163"/>
      <c r="F79" s="1163"/>
      <c r="G79" s="1163"/>
      <c r="H79" s="771"/>
    </row>
    <row r="80" spans="1:8" x14ac:dyDescent="0.3">
      <c r="A80" s="771"/>
      <c r="B80" s="771"/>
      <c r="C80" s="771"/>
      <c r="D80" s="771"/>
      <c r="E80" s="771"/>
      <c r="F80" s="771"/>
      <c r="G80" s="771"/>
      <c r="H80" s="771"/>
    </row>
    <row r="81" spans="1:9" ht="27.75" customHeight="1" x14ac:dyDescent="0.3">
      <c r="A81" s="711"/>
      <c r="B81" s="711"/>
      <c r="C81" s="711"/>
      <c r="D81" s="711"/>
      <c r="E81" s="711"/>
      <c r="F81" s="711"/>
      <c r="G81" s="711"/>
      <c r="H81" s="711"/>
    </row>
    <row r="82" spans="1:9" x14ac:dyDescent="0.3">
      <c r="A82" s="711"/>
      <c r="B82" s="711"/>
      <c r="C82" s="711"/>
      <c r="D82" s="711"/>
      <c r="E82" s="711"/>
      <c r="F82" s="711"/>
      <c r="G82" s="711"/>
      <c r="H82" s="711"/>
    </row>
    <row r="83" spans="1:9" x14ac:dyDescent="0.3">
      <c r="A83" s="788" t="s">
        <v>4701</v>
      </c>
      <c r="B83" s="711"/>
      <c r="C83" s="711"/>
      <c r="D83" s="711"/>
      <c r="E83" s="711"/>
      <c r="F83" s="711"/>
      <c r="G83" s="711"/>
      <c r="H83" s="711"/>
    </row>
    <row r="84" spans="1:9" x14ac:dyDescent="0.3">
      <c r="A84" s="788" t="s">
        <v>4702</v>
      </c>
      <c r="B84" s="711"/>
      <c r="C84" s="711"/>
      <c r="D84" s="711"/>
      <c r="E84" s="711"/>
      <c r="F84" s="711"/>
      <c r="G84" s="711"/>
      <c r="H84" s="711"/>
    </row>
    <row r="85" spans="1:9" x14ac:dyDescent="0.3">
      <c r="A85" s="788" t="s">
        <v>4702</v>
      </c>
      <c r="B85" s="711"/>
      <c r="C85" s="711"/>
      <c r="D85" s="711"/>
      <c r="E85" s="711"/>
      <c r="F85" s="711"/>
      <c r="G85" s="711"/>
      <c r="H85" s="711"/>
    </row>
    <row r="86" spans="1:9" x14ac:dyDescent="0.3">
      <c r="A86" s="788" t="s">
        <v>4655</v>
      </c>
      <c r="B86" s="711"/>
      <c r="C86" s="711"/>
      <c r="D86" s="711"/>
      <c r="E86" s="711"/>
      <c r="F86" s="711"/>
      <c r="G86" s="711"/>
      <c r="H86" s="711"/>
    </row>
    <row r="87" spans="1:9" x14ac:dyDescent="0.3">
      <c r="A87" s="788" t="s">
        <v>4703</v>
      </c>
      <c r="B87" s="711"/>
      <c r="C87" s="711"/>
      <c r="D87" s="711"/>
      <c r="E87" s="711"/>
      <c r="F87" s="711"/>
      <c r="G87" s="711"/>
      <c r="H87" s="711"/>
    </row>
    <row r="88" spans="1:9" x14ac:dyDescent="0.3">
      <c r="A88" s="788" t="s">
        <v>4704</v>
      </c>
      <c r="B88" s="711"/>
      <c r="C88" s="711"/>
      <c r="D88" s="711"/>
      <c r="E88" s="711"/>
      <c r="F88" s="711"/>
      <c r="G88" s="711"/>
      <c r="H88" s="711"/>
    </row>
    <row r="89" spans="1:9" x14ac:dyDescent="0.3">
      <c r="A89" s="788" t="s">
        <v>4705</v>
      </c>
      <c r="B89" s="711"/>
      <c r="C89" s="711"/>
      <c r="D89" s="711"/>
      <c r="E89" s="711"/>
      <c r="F89" s="711"/>
      <c r="G89" s="711"/>
      <c r="H89" s="711"/>
    </row>
    <row r="90" spans="1:9" x14ac:dyDescent="0.3">
      <c r="A90" s="1166" t="s">
        <v>4706</v>
      </c>
      <c r="B90" s="1166"/>
      <c r="C90" s="1166"/>
      <c r="D90" s="1166"/>
      <c r="E90" s="1166"/>
      <c r="F90" s="1166"/>
      <c r="G90" s="1166"/>
      <c r="H90" s="1166"/>
      <c r="I90" s="1166"/>
    </row>
    <row r="91" spans="1:9" x14ac:dyDescent="0.3">
      <c r="A91" s="788" t="s">
        <v>4707</v>
      </c>
      <c r="B91" s="711"/>
      <c r="C91" s="711"/>
      <c r="D91" s="711"/>
      <c r="E91" s="711"/>
      <c r="F91" s="711"/>
      <c r="G91" s="711"/>
      <c r="H91" s="711"/>
    </row>
    <row r="92" spans="1:9" x14ac:dyDescent="0.3">
      <c r="A92" s="788" t="s">
        <v>4656</v>
      </c>
      <c r="B92" s="711"/>
      <c r="C92" s="711"/>
      <c r="D92" s="711"/>
      <c r="E92" s="711"/>
      <c r="F92" s="711"/>
      <c r="G92" s="711"/>
      <c r="H92" s="711"/>
    </row>
    <row r="93" spans="1:9" x14ac:dyDescent="0.3">
      <c r="A93" s="711"/>
      <c r="B93" s="711"/>
      <c r="C93" s="711"/>
      <c r="D93" s="711"/>
      <c r="E93" s="711"/>
      <c r="F93" s="711"/>
      <c r="G93" s="711"/>
      <c r="H93" s="711"/>
    </row>
    <row r="94" spans="1:9" x14ac:dyDescent="0.3">
      <c r="A94" s="788" t="s">
        <v>4708</v>
      </c>
      <c r="B94" s="711"/>
      <c r="C94" s="711"/>
      <c r="D94" s="711"/>
      <c r="E94" s="711"/>
      <c r="F94" s="711"/>
      <c r="G94" s="711"/>
      <c r="H94" s="711"/>
    </row>
    <row r="95" spans="1:9" x14ac:dyDescent="0.3">
      <c r="A95" s="788" t="s">
        <v>4709</v>
      </c>
      <c r="B95" s="711"/>
      <c r="C95" s="711"/>
      <c r="D95" s="711"/>
      <c r="E95" s="711"/>
      <c r="F95" s="711"/>
      <c r="G95" s="789"/>
      <c r="H95" s="789"/>
    </row>
    <row r="96" spans="1:9" x14ac:dyDescent="0.3">
      <c r="A96" s="788" t="s">
        <v>4657</v>
      </c>
      <c r="B96" s="711"/>
      <c r="C96" s="711"/>
      <c r="D96" s="711"/>
      <c r="E96" s="711"/>
      <c r="F96" s="711"/>
      <c r="G96" s="711"/>
      <c r="H96" s="711"/>
    </row>
    <row r="98" spans="1:7" x14ac:dyDescent="0.3">
      <c r="A98" s="771"/>
      <c r="B98" s="771"/>
      <c r="C98" s="771"/>
      <c r="D98" s="771"/>
      <c r="E98" s="771"/>
      <c r="F98" s="771"/>
      <c r="G98" s="771"/>
    </row>
    <row r="99" spans="1:7" x14ac:dyDescent="0.3">
      <c r="A99" s="1142" t="s">
        <v>4654</v>
      </c>
      <c r="B99" s="1142"/>
      <c r="C99" s="1142"/>
      <c r="D99" s="1142"/>
      <c r="E99" s="1142"/>
      <c r="F99" s="1142"/>
      <c r="G99" s="1142"/>
    </row>
    <row r="100" spans="1:7" x14ac:dyDescent="0.3">
      <c r="A100" s="1167" t="s">
        <v>4710</v>
      </c>
      <c r="B100" s="1167"/>
      <c r="C100" s="1167"/>
      <c r="D100" s="1167"/>
      <c r="E100" s="1167"/>
      <c r="F100" s="1167"/>
      <c r="G100" s="1167"/>
    </row>
    <row r="101" spans="1:7" x14ac:dyDescent="0.3">
      <c r="A101" s="1144" t="s">
        <v>4656</v>
      </c>
      <c r="B101" s="1144"/>
      <c r="C101" s="1144"/>
      <c r="D101" s="1144"/>
      <c r="E101" s="1144"/>
      <c r="F101" s="1144"/>
      <c r="G101" s="1144"/>
    </row>
    <row r="102" spans="1:7" ht="14.5" thickBot="1" x14ac:dyDescent="0.35">
      <c r="A102" s="772"/>
      <c r="B102" s="772"/>
      <c r="C102" s="772"/>
      <c r="D102" s="772"/>
      <c r="E102" s="772"/>
      <c r="F102" s="772"/>
      <c r="G102" s="773" t="s">
        <v>4657</v>
      </c>
    </row>
    <row r="103" spans="1:7" ht="14.5" thickBot="1" x14ac:dyDescent="0.35">
      <c r="A103" s="774" t="s">
        <v>4658</v>
      </c>
      <c r="B103" s="1145" t="s">
        <v>4659</v>
      </c>
      <c r="C103" s="1146"/>
      <c r="D103" s="1146"/>
      <c r="E103" s="1146"/>
      <c r="F103" s="1147"/>
      <c r="G103" s="775" t="s">
        <v>4660</v>
      </c>
    </row>
    <row r="104" spans="1:7" ht="21" customHeight="1" thickTop="1" x14ac:dyDescent="0.3">
      <c r="A104" s="1127" t="s">
        <v>4661</v>
      </c>
      <c r="B104" s="1128"/>
      <c r="C104" s="1128"/>
      <c r="D104" s="1128"/>
      <c r="E104" s="1128"/>
      <c r="F104" s="1128"/>
      <c r="G104" s="1129"/>
    </row>
    <row r="105" spans="1:7" x14ac:dyDescent="0.3">
      <c r="A105" s="1130" t="s">
        <v>2418</v>
      </c>
      <c r="B105" s="1133" t="s">
        <v>4662</v>
      </c>
      <c r="C105" s="1134"/>
      <c r="D105" s="1134"/>
      <c r="E105" s="1134"/>
      <c r="F105" s="1135"/>
      <c r="G105" s="776">
        <v>6.9000000000000006E-2</v>
      </c>
    </row>
    <row r="106" spans="1:7" x14ac:dyDescent="0.3">
      <c r="A106" s="1131"/>
      <c r="B106" s="1136" t="s">
        <v>4663</v>
      </c>
      <c r="C106" s="1137"/>
      <c r="D106" s="1137"/>
      <c r="E106" s="1137"/>
      <c r="F106" s="1138"/>
      <c r="G106" s="776">
        <v>1E-3</v>
      </c>
    </row>
    <row r="107" spans="1:7" ht="22" customHeight="1" x14ac:dyDescent="0.3">
      <c r="A107" s="1131"/>
      <c r="B107" s="1136" t="s">
        <v>4664</v>
      </c>
      <c r="C107" s="1137"/>
      <c r="D107" s="1137"/>
      <c r="E107" s="1137"/>
      <c r="F107" s="1138"/>
      <c r="G107" s="776">
        <v>5.0000000000000001E-3</v>
      </c>
    </row>
    <row r="108" spans="1:7" ht="15.75" customHeight="1" x14ac:dyDescent="0.3">
      <c r="A108" s="1132"/>
      <c r="B108" s="1139" t="s">
        <v>4665</v>
      </c>
      <c r="C108" s="1140"/>
      <c r="D108" s="1140"/>
      <c r="E108" s="1140"/>
      <c r="F108" s="1141"/>
      <c r="G108" s="776">
        <v>9.9000000000000008E-3</v>
      </c>
    </row>
    <row r="109" spans="1:7" ht="14.5" thickBot="1" x14ac:dyDescent="0.35">
      <c r="A109" s="1124" t="s">
        <v>4666</v>
      </c>
      <c r="B109" s="1125"/>
      <c r="C109" s="1125"/>
      <c r="D109" s="1125"/>
      <c r="E109" s="1125"/>
      <c r="F109" s="1126"/>
      <c r="G109" s="777">
        <v>8.4900000000000017E-2</v>
      </c>
    </row>
    <row r="110" spans="1:7" ht="14.5" thickTop="1" x14ac:dyDescent="0.3">
      <c r="A110" s="1127" t="s">
        <v>4667</v>
      </c>
      <c r="B110" s="1128"/>
      <c r="C110" s="1128"/>
      <c r="D110" s="1128"/>
      <c r="E110" s="1128"/>
      <c r="F110" s="1128"/>
      <c r="G110" s="1129"/>
    </row>
    <row r="111" spans="1:7" x14ac:dyDescent="0.3">
      <c r="A111" s="1130" t="s">
        <v>2419</v>
      </c>
      <c r="B111" s="1133" t="s">
        <v>4668</v>
      </c>
      <c r="C111" s="1134"/>
      <c r="D111" s="1134"/>
      <c r="E111" s="1134"/>
      <c r="F111" s="1135"/>
      <c r="G111" s="778">
        <v>7.5999999999999998E-2</v>
      </c>
    </row>
    <row r="112" spans="1:7" ht="17.25" customHeight="1" x14ac:dyDescent="0.3">
      <c r="A112" s="1131"/>
      <c r="B112" s="1136" t="s">
        <v>4669</v>
      </c>
      <c r="C112" s="1137"/>
      <c r="D112" s="1137"/>
      <c r="E112" s="1137"/>
      <c r="F112" s="1138"/>
      <c r="G112" s="776">
        <v>1.6500000000000001E-2</v>
      </c>
    </row>
    <row r="113" spans="1:7" x14ac:dyDescent="0.3">
      <c r="A113" s="1131"/>
      <c r="B113" s="1136" t="s">
        <v>4670</v>
      </c>
      <c r="C113" s="1137"/>
      <c r="D113" s="1137"/>
      <c r="E113" s="1137"/>
      <c r="F113" s="1138"/>
      <c r="G113" s="776">
        <v>0.02</v>
      </c>
    </row>
    <row r="114" spans="1:7" x14ac:dyDescent="0.3">
      <c r="A114" s="1132"/>
      <c r="B114" s="1139" t="s">
        <v>4671</v>
      </c>
      <c r="C114" s="1140"/>
      <c r="D114" s="1140"/>
      <c r="E114" s="1140"/>
      <c r="F114" s="1141"/>
      <c r="G114" s="779">
        <v>0</v>
      </c>
    </row>
    <row r="115" spans="1:7" ht="14.5" thickBot="1" x14ac:dyDescent="0.35">
      <c r="A115" s="1124" t="s">
        <v>4672</v>
      </c>
      <c r="B115" s="1125"/>
      <c r="C115" s="1125"/>
      <c r="D115" s="1125"/>
      <c r="E115" s="1125"/>
      <c r="F115" s="1126"/>
      <c r="G115" s="777">
        <v>0.1125</v>
      </c>
    </row>
    <row r="116" spans="1:7" ht="14.5" thickTop="1" x14ac:dyDescent="0.3">
      <c r="A116" s="1127" t="s">
        <v>4673</v>
      </c>
      <c r="B116" s="1128"/>
      <c r="C116" s="1128"/>
      <c r="D116" s="1128"/>
      <c r="E116" s="1128"/>
      <c r="F116" s="1128"/>
      <c r="G116" s="1129"/>
    </row>
    <row r="117" spans="1:7" x14ac:dyDescent="0.3">
      <c r="A117" s="780" t="s">
        <v>2420</v>
      </c>
      <c r="B117" s="1154" t="s">
        <v>4674</v>
      </c>
      <c r="C117" s="1155"/>
      <c r="D117" s="1155"/>
      <c r="E117" s="1155"/>
      <c r="F117" s="1156"/>
      <c r="G117" s="776">
        <v>7.4700000000000003E-2</v>
      </c>
    </row>
    <row r="118" spans="1:7" ht="14.5" thickBot="1" x14ac:dyDescent="0.35">
      <c r="A118" s="1124" t="s">
        <v>4675</v>
      </c>
      <c r="B118" s="1125"/>
      <c r="C118" s="1125"/>
      <c r="D118" s="1125"/>
      <c r="E118" s="1125"/>
      <c r="F118" s="1126"/>
      <c r="G118" s="777">
        <v>7.4700000000000003E-2</v>
      </c>
    </row>
    <row r="119" spans="1:7" ht="15" thickTop="1" thickBot="1" x14ac:dyDescent="0.35">
      <c r="A119" s="1157" t="s">
        <v>21</v>
      </c>
      <c r="B119" s="1158"/>
      <c r="C119" s="1158"/>
      <c r="D119" s="1158"/>
      <c r="E119" s="1158"/>
      <c r="F119" s="1159"/>
      <c r="G119" s="781">
        <v>0.31463661380281693</v>
      </c>
    </row>
    <row r="120" spans="1:7" x14ac:dyDescent="0.3">
      <c r="A120" s="782"/>
      <c r="B120" s="782"/>
      <c r="C120" s="782"/>
      <c r="D120" s="782"/>
      <c r="E120" s="782"/>
      <c r="F120" s="782"/>
      <c r="G120" s="782"/>
    </row>
    <row r="121" spans="1:7" x14ac:dyDescent="0.3">
      <c r="A121" s="1160" t="s">
        <v>4676</v>
      </c>
      <c r="B121" s="1160"/>
      <c r="C121" s="1160"/>
      <c r="D121" s="1160"/>
      <c r="E121" s="1160"/>
      <c r="F121" s="1160"/>
      <c r="G121" s="1160"/>
    </row>
    <row r="122" spans="1:7" x14ac:dyDescent="0.3">
      <c r="A122" s="1148" t="s">
        <v>4677</v>
      </c>
      <c r="B122" s="1149" t="s">
        <v>4678</v>
      </c>
      <c r="C122" s="783" t="s">
        <v>4679</v>
      </c>
      <c r="D122" s="1150" t="s">
        <v>4680</v>
      </c>
      <c r="E122" s="1151">
        <v>-1</v>
      </c>
      <c r="F122" s="1152" t="s">
        <v>4681</v>
      </c>
      <c r="G122" s="1153" t="s">
        <v>4682</v>
      </c>
    </row>
    <row r="123" spans="1:7" x14ac:dyDescent="0.3">
      <c r="A123" s="1148"/>
      <c r="B123" s="1149"/>
      <c r="C123" s="784" t="s">
        <v>4683</v>
      </c>
      <c r="D123" s="1150"/>
      <c r="E123" s="1151"/>
      <c r="F123" s="1152"/>
      <c r="G123" s="1153"/>
    </row>
    <row r="124" spans="1:7" x14ac:dyDescent="0.3">
      <c r="A124" s="782"/>
      <c r="B124" s="782"/>
      <c r="C124" s="782"/>
      <c r="D124" s="782"/>
      <c r="E124" s="782"/>
      <c r="F124" s="782"/>
      <c r="G124" s="782"/>
    </row>
    <row r="125" spans="1:7" x14ac:dyDescent="0.3">
      <c r="A125" s="785" t="s">
        <v>4684</v>
      </c>
      <c r="B125" s="1161" t="s">
        <v>4685</v>
      </c>
      <c r="C125" s="1161"/>
      <c r="D125" s="1161"/>
      <c r="E125" s="1161"/>
      <c r="F125" s="1161"/>
      <c r="G125" s="1161"/>
    </row>
    <row r="126" spans="1:7" x14ac:dyDescent="0.3">
      <c r="A126" s="785" t="s">
        <v>4686</v>
      </c>
      <c r="B126" s="1161" t="s">
        <v>4687</v>
      </c>
      <c r="C126" s="1161"/>
      <c r="D126" s="1161"/>
      <c r="E126" s="1161"/>
      <c r="F126" s="1161"/>
      <c r="G126" s="1161"/>
    </row>
    <row r="127" spans="1:7" x14ac:dyDescent="0.3">
      <c r="A127" s="785" t="s">
        <v>4688</v>
      </c>
      <c r="B127" s="1161" t="s">
        <v>4689</v>
      </c>
      <c r="C127" s="1161"/>
      <c r="D127" s="1161"/>
      <c r="E127" s="1161"/>
      <c r="F127" s="1161"/>
      <c r="G127" s="1161"/>
    </row>
    <row r="128" spans="1:7" x14ac:dyDescent="0.3">
      <c r="A128" s="785" t="s">
        <v>4690</v>
      </c>
      <c r="B128" s="1161" t="s">
        <v>4691</v>
      </c>
      <c r="C128" s="1161"/>
      <c r="D128" s="1161"/>
      <c r="E128" s="1161"/>
      <c r="F128" s="1161"/>
      <c r="G128" s="1161"/>
    </row>
    <row r="129" spans="1:8" x14ac:dyDescent="0.3">
      <c r="A129" s="785" t="s">
        <v>4692</v>
      </c>
      <c r="B129" s="1161" t="s">
        <v>4693</v>
      </c>
      <c r="C129" s="1161"/>
      <c r="D129" s="1161"/>
      <c r="E129" s="1161"/>
      <c r="F129" s="1161"/>
      <c r="G129" s="1161"/>
    </row>
    <row r="130" spans="1:8" x14ac:dyDescent="0.3">
      <c r="A130" s="785" t="s">
        <v>2900</v>
      </c>
      <c r="B130" s="1161" t="s">
        <v>4694</v>
      </c>
      <c r="C130" s="1161"/>
      <c r="D130" s="1161"/>
      <c r="E130" s="1161"/>
      <c r="F130" s="1161"/>
      <c r="G130" s="1161"/>
    </row>
    <row r="131" spans="1:8" x14ac:dyDescent="0.3">
      <c r="A131" s="785" t="s">
        <v>4695</v>
      </c>
      <c r="B131" s="1161" t="s">
        <v>4696</v>
      </c>
      <c r="C131" s="1161"/>
      <c r="D131" s="1161"/>
      <c r="E131" s="1161"/>
      <c r="F131" s="1161"/>
      <c r="G131" s="1161"/>
    </row>
    <row r="132" spans="1:8" ht="23.5" customHeight="1" x14ac:dyDescent="0.3">
      <c r="A132" s="786"/>
      <c r="B132" s="1162" t="s">
        <v>4697</v>
      </c>
      <c r="C132" s="1162"/>
      <c r="D132" s="1162"/>
      <c r="E132" s="1162"/>
      <c r="F132" s="1162"/>
      <c r="G132" s="1162"/>
    </row>
    <row r="133" spans="1:8" x14ac:dyDescent="0.3">
      <c r="A133" s="782"/>
      <c r="B133" s="782"/>
      <c r="C133" s="782"/>
      <c r="D133" s="782"/>
      <c r="E133" s="782"/>
      <c r="F133" s="782"/>
      <c r="G133" s="782"/>
    </row>
    <row r="134" spans="1:8" x14ac:dyDescent="0.3">
      <c r="A134" s="1163" t="s">
        <v>4698</v>
      </c>
      <c r="B134" s="1163"/>
      <c r="C134" s="1163"/>
      <c r="D134" s="1163"/>
      <c r="E134" s="1163"/>
      <c r="F134" s="1163"/>
      <c r="G134" s="1163"/>
    </row>
    <row r="135" spans="1:8" x14ac:dyDescent="0.3">
      <c r="A135" s="1163" t="s">
        <v>4699</v>
      </c>
      <c r="B135" s="1163"/>
      <c r="C135" s="1163"/>
      <c r="D135" s="1163"/>
      <c r="E135" s="1163"/>
      <c r="F135" s="1163"/>
      <c r="G135" s="1163"/>
    </row>
    <row r="136" spans="1:8" x14ac:dyDescent="0.3">
      <c r="A136" s="771"/>
      <c r="B136" s="771"/>
      <c r="C136" s="771"/>
      <c r="D136" s="771"/>
      <c r="E136" s="771"/>
      <c r="F136" s="771"/>
      <c r="G136" s="771"/>
    </row>
    <row r="138" spans="1:8" x14ac:dyDescent="0.3">
      <c r="A138" s="771"/>
      <c r="B138" s="771"/>
      <c r="C138" s="771"/>
      <c r="D138" s="771"/>
      <c r="E138" s="771"/>
      <c r="F138" s="771"/>
      <c r="G138" s="771"/>
      <c r="H138" s="771"/>
    </row>
    <row r="139" spans="1:8" x14ac:dyDescent="0.3">
      <c r="A139" s="1142" t="s">
        <v>4654</v>
      </c>
      <c r="B139" s="1142"/>
      <c r="C139" s="1142"/>
      <c r="D139" s="1142"/>
      <c r="E139" s="1142"/>
      <c r="F139" s="1142"/>
      <c r="G139" s="1142"/>
      <c r="H139" s="771"/>
    </row>
    <row r="140" spans="1:8" x14ac:dyDescent="0.3">
      <c r="A140" s="1143" t="s">
        <v>4655</v>
      </c>
      <c r="B140" s="1143"/>
      <c r="C140" s="1143"/>
      <c r="D140" s="1143"/>
      <c r="E140" s="1143"/>
      <c r="F140" s="1143"/>
      <c r="G140" s="1143"/>
      <c r="H140" s="771"/>
    </row>
    <row r="141" spans="1:8" x14ac:dyDescent="0.3">
      <c r="A141" s="1168" t="s">
        <v>4707</v>
      </c>
      <c r="B141" s="1168"/>
      <c r="C141" s="1168"/>
      <c r="D141" s="1168"/>
      <c r="E141" s="1168"/>
      <c r="F141" s="1168"/>
      <c r="G141" s="1168"/>
      <c r="H141" s="771"/>
    </row>
    <row r="142" spans="1:8" ht="14.5" thickBot="1" x14ac:dyDescent="0.35">
      <c r="A142" s="772"/>
      <c r="B142" s="772"/>
      <c r="C142" s="772"/>
      <c r="D142" s="772"/>
      <c r="E142" s="772"/>
      <c r="F142" s="772"/>
      <c r="G142" s="773" t="s">
        <v>4657</v>
      </c>
      <c r="H142" s="771"/>
    </row>
    <row r="143" spans="1:8" ht="14.5" thickBot="1" x14ac:dyDescent="0.35">
      <c r="A143" s="774" t="s">
        <v>4658</v>
      </c>
      <c r="B143" s="1145" t="s">
        <v>4659</v>
      </c>
      <c r="C143" s="1146"/>
      <c r="D143" s="1146"/>
      <c r="E143" s="1146"/>
      <c r="F143" s="1147"/>
      <c r="G143" s="775" t="s">
        <v>4660</v>
      </c>
      <c r="H143" s="771"/>
    </row>
    <row r="144" spans="1:8" ht="14.5" thickTop="1" x14ac:dyDescent="0.3">
      <c r="A144" s="1127" t="s">
        <v>4661</v>
      </c>
      <c r="B144" s="1128"/>
      <c r="C144" s="1128"/>
      <c r="D144" s="1128"/>
      <c r="E144" s="1128"/>
      <c r="F144" s="1128"/>
      <c r="G144" s="1129"/>
      <c r="H144" s="771"/>
    </row>
    <row r="145" spans="1:8" x14ac:dyDescent="0.3">
      <c r="A145" s="1130" t="s">
        <v>2418</v>
      </c>
      <c r="B145" s="1133" t="s">
        <v>4662</v>
      </c>
      <c r="C145" s="1134"/>
      <c r="D145" s="1134"/>
      <c r="E145" s="1134"/>
      <c r="F145" s="1135"/>
      <c r="G145" s="776">
        <v>3.4299999999999997E-2</v>
      </c>
      <c r="H145" s="771"/>
    </row>
    <row r="146" spans="1:8" ht="25.5" customHeight="1" x14ac:dyDescent="0.3">
      <c r="A146" s="1131"/>
      <c r="B146" s="1136" t="s">
        <v>4663</v>
      </c>
      <c r="C146" s="1137"/>
      <c r="D146" s="1137"/>
      <c r="E146" s="1137"/>
      <c r="F146" s="1138"/>
      <c r="G146" s="776">
        <v>2.8E-3</v>
      </c>
      <c r="H146" s="771"/>
    </row>
    <row r="147" spans="1:8" x14ac:dyDescent="0.3">
      <c r="A147" s="1131"/>
      <c r="B147" s="1136" t="s">
        <v>4664</v>
      </c>
      <c r="C147" s="1137"/>
      <c r="D147" s="1137"/>
      <c r="E147" s="1137"/>
      <c r="F147" s="1138"/>
      <c r="G147" s="776">
        <v>5.0000000000000001E-3</v>
      </c>
      <c r="H147" s="771"/>
    </row>
    <row r="148" spans="1:8" x14ac:dyDescent="0.3">
      <c r="A148" s="1132"/>
      <c r="B148" s="1139" t="s">
        <v>4665</v>
      </c>
      <c r="C148" s="1140"/>
      <c r="D148" s="1140"/>
      <c r="E148" s="1140"/>
      <c r="F148" s="1141"/>
      <c r="G148" s="776">
        <v>9.4000000000000004E-3</v>
      </c>
      <c r="H148" s="771"/>
    </row>
    <row r="149" spans="1:8" ht="14.5" thickBot="1" x14ac:dyDescent="0.35">
      <c r="A149" s="1124" t="s">
        <v>4666</v>
      </c>
      <c r="B149" s="1125"/>
      <c r="C149" s="1125"/>
      <c r="D149" s="1125"/>
      <c r="E149" s="1125"/>
      <c r="F149" s="1126"/>
      <c r="G149" s="777">
        <v>5.149999999999999E-2</v>
      </c>
      <c r="H149" s="771"/>
    </row>
    <row r="150" spans="1:8" ht="14.5" thickTop="1" x14ac:dyDescent="0.3">
      <c r="A150" s="1127" t="s">
        <v>4667</v>
      </c>
      <c r="B150" s="1128"/>
      <c r="C150" s="1128"/>
      <c r="D150" s="1128"/>
      <c r="E150" s="1128"/>
      <c r="F150" s="1128"/>
      <c r="G150" s="1129"/>
      <c r="H150" s="771"/>
    </row>
    <row r="151" spans="1:8" x14ac:dyDescent="0.3">
      <c r="A151" s="1130" t="s">
        <v>2419</v>
      </c>
      <c r="B151" s="1133" t="s">
        <v>4668</v>
      </c>
      <c r="C151" s="1134"/>
      <c r="D151" s="1134"/>
      <c r="E151" s="1134"/>
      <c r="F151" s="1135"/>
      <c r="G151" s="778">
        <v>0.03</v>
      </c>
      <c r="H151" s="771"/>
    </row>
    <row r="152" spans="1:8" x14ac:dyDescent="0.3">
      <c r="A152" s="1131"/>
      <c r="B152" s="1136" t="s">
        <v>4669</v>
      </c>
      <c r="C152" s="1137"/>
      <c r="D152" s="1137"/>
      <c r="E152" s="1137"/>
      <c r="F152" s="1138"/>
      <c r="G152" s="776">
        <v>6.4999999999999997E-3</v>
      </c>
      <c r="H152" s="771"/>
    </row>
    <row r="153" spans="1:8" x14ac:dyDescent="0.3">
      <c r="A153" s="1131"/>
      <c r="B153" s="1136" t="s">
        <v>4670</v>
      </c>
      <c r="C153" s="1137"/>
      <c r="D153" s="1137"/>
      <c r="E153" s="1137"/>
      <c r="F153" s="1138"/>
      <c r="G153" s="776">
        <v>0.02</v>
      </c>
      <c r="H153" s="771"/>
    </row>
    <row r="154" spans="1:8" x14ac:dyDescent="0.3">
      <c r="A154" s="1132"/>
      <c r="B154" s="1139" t="s">
        <v>4671</v>
      </c>
      <c r="C154" s="1140"/>
      <c r="D154" s="1140"/>
      <c r="E154" s="1140"/>
      <c r="F154" s="1141"/>
      <c r="G154" s="779">
        <v>4.4999999999999998E-2</v>
      </c>
      <c r="H154" s="771"/>
    </row>
    <row r="155" spans="1:8" ht="14.5" thickBot="1" x14ac:dyDescent="0.35">
      <c r="A155" s="1124" t="s">
        <v>4672</v>
      </c>
      <c r="B155" s="1125"/>
      <c r="C155" s="1125"/>
      <c r="D155" s="1125"/>
      <c r="E155" s="1125"/>
      <c r="F155" s="1126"/>
      <c r="G155" s="777">
        <v>0.10149999999999999</v>
      </c>
      <c r="H155" s="771"/>
    </row>
    <row r="156" spans="1:8" ht="14.5" thickTop="1" x14ac:dyDescent="0.3">
      <c r="A156" s="1127" t="s">
        <v>4673</v>
      </c>
      <c r="B156" s="1128"/>
      <c r="C156" s="1128"/>
      <c r="D156" s="1128"/>
      <c r="E156" s="1128"/>
      <c r="F156" s="1128"/>
      <c r="G156" s="1129"/>
      <c r="H156" s="771"/>
    </row>
    <row r="157" spans="1:8" x14ac:dyDescent="0.3">
      <c r="A157" s="780" t="s">
        <v>2420</v>
      </c>
      <c r="B157" s="1154" t="s">
        <v>4674</v>
      </c>
      <c r="C157" s="1155"/>
      <c r="D157" s="1155"/>
      <c r="E157" s="1155"/>
      <c r="F157" s="1156"/>
      <c r="G157" s="776">
        <v>6.6400000000000001E-2</v>
      </c>
      <c r="H157" s="771"/>
    </row>
    <row r="158" spans="1:8" ht="14.5" thickBot="1" x14ac:dyDescent="0.35">
      <c r="A158" s="1124" t="s">
        <v>4675</v>
      </c>
      <c r="B158" s="1125"/>
      <c r="C158" s="1125"/>
      <c r="D158" s="1125"/>
      <c r="E158" s="1125"/>
      <c r="F158" s="1126"/>
      <c r="G158" s="777">
        <v>6.6400000000000001E-2</v>
      </c>
      <c r="H158" s="771"/>
    </row>
    <row r="159" spans="1:8" ht="15" thickTop="1" thickBot="1" x14ac:dyDescent="0.35">
      <c r="A159" s="1157" t="s">
        <v>21</v>
      </c>
      <c r="B159" s="1158"/>
      <c r="C159" s="1158"/>
      <c r="D159" s="1158"/>
      <c r="E159" s="1158"/>
      <c r="F159" s="1159"/>
      <c r="G159" s="781">
        <v>0.24846034183194241</v>
      </c>
      <c r="H159" s="771"/>
    </row>
    <row r="160" spans="1:8" x14ac:dyDescent="0.3">
      <c r="A160" s="782"/>
      <c r="B160" s="782"/>
      <c r="C160" s="782"/>
      <c r="D160" s="782"/>
      <c r="E160" s="782"/>
      <c r="F160" s="782"/>
      <c r="G160" s="782"/>
      <c r="H160" s="771"/>
    </row>
    <row r="161" spans="1:8" x14ac:dyDescent="0.3">
      <c r="A161" s="1160" t="s">
        <v>4676</v>
      </c>
      <c r="B161" s="1160"/>
      <c r="C161" s="1160"/>
      <c r="D161" s="1160"/>
      <c r="E161" s="1160"/>
      <c r="F161" s="1160"/>
      <c r="G161" s="1160"/>
      <c r="H161" s="771"/>
    </row>
    <row r="162" spans="1:8" x14ac:dyDescent="0.3">
      <c r="A162" s="1148" t="s">
        <v>4677</v>
      </c>
      <c r="B162" s="1149" t="s">
        <v>4678</v>
      </c>
      <c r="C162" s="783" t="s">
        <v>4679</v>
      </c>
      <c r="D162" s="1150" t="s">
        <v>4680</v>
      </c>
      <c r="E162" s="1151">
        <v>-1</v>
      </c>
      <c r="F162" s="1152" t="s">
        <v>4681</v>
      </c>
      <c r="G162" s="1153" t="s">
        <v>4682</v>
      </c>
      <c r="H162" s="771"/>
    </row>
    <row r="163" spans="1:8" x14ac:dyDescent="0.3">
      <c r="A163" s="1148"/>
      <c r="B163" s="1149"/>
      <c r="C163" s="784" t="s">
        <v>4683</v>
      </c>
      <c r="D163" s="1150"/>
      <c r="E163" s="1151"/>
      <c r="F163" s="1152"/>
      <c r="G163" s="1153"/>
      <c r="H163" s="771"/>
    </row>
    <row r="164" spans="1:8" x14ac:dyDescent="0.3">
      <c r="A164" s="782"/>
      <c r="B164" s="782"/>
      <c r="C164" s="782"/>
      <c r="D164" s="782"/>
      <c r="E164" s="782"/>
      <c r="F164" s="782"/>
      <c r="G164" s="782"/>
      <c r="H164" s="771"/>
    </row>
    <row r="165" spans="1:8" x14ac:dyDescent="0.3">
      <c r="A165" s="785" t="s">
        <v>4684</v>
      </c>
      <c r="B165" s="1161" t="s">
        <v>4685</v>
      </c>
      <c r="C165" s="1161"/>
      <c r="D165" s="1161"/>
      <c r="E165" s="1161"/>
      <c r="F165" s="1161"/>
      <c r="G165" s="1161"/>
      <c r="H165" s="771"/>
    </row>
    <row r="166" spans="1:8" x14ac:dyDescent="0.3">
      <c r="A166" s="785" t="s">
        <v>4686</v>
      </c>
      <c r="B166" s="1161" t="s">
        <v>4687</v>
      </c>
      <c r="C166" s="1161"/>
      <c r="D166" s="1161"/>
      <c r="E166" s="1161"/>
      <c r="F166" s="1161"/>
      <c r="G166" s="1161"/>
      <c r="H166" s="771"/>
    </row>
    <row r="167" spans="1:8" x14ac:dyDescent="0.3">
      <c r="A167" s="785" t="s">
        <v>4688</v>
      </c>
      <c r="B167" s="1161" t="s">
        <v>4689</v>
      </c>
      <c r="C167" s="1161"/>
      <c r="D167" s="1161"/>
      <c r="E167" s="1161"/>
      <c r="F167" s="1161"/>
      <c r="G167" s="1161"/>
      <c r="H167" s="771"/>
    </row>
    <row r="168" spans="1:8" x14ac:dyDescent="0.3">
      <c r="A168" s="785" t="s">
        <v>4690</v>
      </c>
      <c r="B168" s="1161" t="s">
        <v>4691</v>
      </c>
      <c r="C168" s="1161"/>
      <c r="D168" s="1161"/>
      <c r="E168" s="1161"/>
      <c r="F168" s="1161"/>
      <c r="G168" s="1161"/>
      <c r="H168" s="771"/>
    </row>
    <row r="169" spans="1:8" x14ac:dyDescent="0.3">
      <c r="A169" s="785" t="s">
        <v>4692</v>
      </c>
      <c r="B169" s="1161" t="s">
        <v>4693</v>
      </c>
      <c r="C169" s="1161"/>
      <c r="D169" s="1161"/>
      <c r="E169" s="1161"/>
      <c r="F169" s="1161"/>
      <c r="G169" s="1161"/>
      <c r="H169" s="771"/>
    </row>
    <row r="170" spans="1:8" x14ac:dyDescent="0.3">
      <c r="A170" s="785" t="s">
        <v>2900</v>
      </c>
      <c r="B170" s="1161" t="s">
        <v>4694</v>
      </c>
      <c r="C170" s="1161"/>
      <c r="D170" s="1161"/>
      <c r="E170" s="1161"/>
      <c r="F170" s="1161"/>
      <c r="G170" s="1161"/>
      <c r="H170" s="771"/>
    </row>
    <row r="171" spans="1:8" x14ac:dyDescent="0.3">
      <c r="A171" s="785" t="s">
        <v>4695</v>
      </c>
      <c r="B171" s="1161" t="s">
        <v>4696</v>
      </c>
      <c r="C171" s="1161"/>
      <c r="D171" s="1161"/>
      <c r="E171" s="1161"/>
      <c r="F171" s="1161"/>
      <c r="G171" s="1161"/>
      <c r="H171" s="771"/>
    </row>
    <row r="172" spans="1:8" x14ac:dyDescent="0.3">
      <c r="A172" s="786"/>
      <c r="B172" s="1162" t="s">
        <v>4697</v>
      </c>
      <c r="C172" s="1162"/>
      <c r="D172" s="1162"/>
      <c r="E172" s="1162"/>
      <c r="F172" s="1162"/>
      <c r="G172" s="1162"/>
      <c r="H172" s="787"/>
    </row>
    <row r="173" spans="1:8" x14ac:dyDescent="0.3">
      <c r="A173" s="782"/>
      <c r="B173" s="782"/>
      <c r="C173" s="782"/>
      <c r="D173" s="782"/>
      <c r="E173" s="782"/>
      <c r="F173" s="782"/>
      <c r="G173" s="782"/>
      <c r="H173" s="771"/>
    </row>
    <row r="174" spans="1:8" x14ac:dyDescent="0.3">
      <c r="A174" s="1163" t="s">
        <v>4698</v>
      </c>
      <c r="B174" s="1163"/>
      <c r="C174" s="1163"/>
      <c r="D174" s="1163"/>
      <c r="E174" s="1163"/>
      <c r="F174" s="1163"/>
      <c r="G174" s="1163"/>
      <c r="H174" s="771"/>
    </row>
    <row r="175" spans="1:8" x14ac:dyDescent="0.3">
      <c r="A175" s="1163" t="s">
        <v>4699</v>
      </c>
      <c r="B175" s="1163"/>
      <c r="C175" s="1163"/>
      <c r="D175" s="1163"/>
      <c r="E175" s="1163"/>
      <c r="F175" s="1163"/>
      <c r="G175" s="1163"/>
      <c r="H175" s="771"/>
    </row>
    <row r="176" spans="1:8" x14ac:dyDescent="0.3">
      <c r="A176" s="771"/>
      <c r="B176" s="771"/>
      <c r="C176" s="771"/>
      <c r="D176" s="771"/>
      <c r="E176" s="771"/>
      <c r="F176" s="771"/>
      <c r="G176" s="771"/>
      <c r="H176" s="771"/>
    </row>
    <row r="180" spans="1:8" x14ac:dyDescent="0.3">
      <c r="A180" s="771"/>
      <c r="B180" s="771"/>
      <c r="C180" s="771"/>
      <c r="D180" s="771"/>
      <c r="E180" s="771"/>
      <c r="F180" s="771"/>
      <c r="G180" s="771"/>
      <c r="H180" s="771"/>
    </row>
    <row r="181" spans="1:8" x14ac:dyDescent="0.3">
      <c r="A181" s="1142" t="s">
        <v>4654</v>
      </c>
      <c r="B181" s="1142"/>
      <c r="C181" s="1142"/>
      <c r="D181" s="1142"/>
      <c r="E181" s="1142"/>
      <c r="F181" s="1142"/>
      <c r="G181" s="1142"/>
      <c r="H181" s="771"/>
    </row>
    <row r="182" spans="1:8" x14ac:dyDescent="0.3">
      <c r="A182" s="1164" t="s">
        <v>4700</v>
      </c>
      <c r="B182" s="1164"/>
      <c r="C182" s="1164"/>
      <c r="D182" s="1164"/>
      <c r="E182" s="1164"/>
      <c r="F182" s="1164"/>
      <c r="G182" s="1164"/>
      <c r="H182" s="771"/>
    </row>
    <row r="183" spans="1:8" x14ac:dyDescent="0.3">
      <c r="A183" s="1168" t="s">
        <v>4707</v>
      </c>
      <c r="B183" s="1168"/>
      <c r="C183" s="1168"/>
      <c r="D183" s="1168"/>
      <c r="E183" s="1168"/>
      <c r="F183" s="1168"/>
      <c r="G183" s="1168"/>
      <c r="H183" s="771"/>
    </row>
    <row r="184" spans="1:8" ht="14.5" thickBot="1" x14ac:dyDescent="0.35">
      <c r="A184" s="772"/>
      <c r="B184" s="772"/>
      <c r="C184" s="772"/>
      <c r="D184" s="772"/>
      <c r="E184" s="772"/>
      <c r="F184" s="772"/>
      <c r="G184" s="773" t="s">
        <v>4657</v>
      </c>
      <c r="H184" s="771"/>
    </row>
    <row r="185" spans="1:8" ht="14.5" thickBot="1" x14ac:dyDescent="0.35">
      <c r="A185" s="774" t="s">
        <v>4658</v>
      </c>
      <c r="B185" s="1145" t="s">
        <v>4659</v>
      </c>
      <c r="C185" s="1146"/>
      <c r="D185" s="1146"/>
      <c r="E185" s="1146"/>
      <c r="F185" s="1147"/>
      <c r="G185" s="775" t="s">
        <v>4660</v>
      </c>
      <c r="H185" s="771"/>
    </row>
    <row r="186" spans="1:8" ht="14.5" thickTop="1" x14ac:dyDescent="0.3">
      <c r="A186" s="1127" t="s">
        <v>4661</v>
      </c>
      <c r="B186" s="1128"/>
      <c r="C186" s="1128"/>
      <c r="D186" s="1128"/>
      <c r="E186" s="1128"/>
      <c r="F186" s="1128"/>
      <c r="G186" s="1129"/>
      <c r="H186" s="771"/>
    </row>
    <row r="187" spans="1:8" x14ac:dyDescent="0.3">
      <c r="A187" s="1130" t="s">
        <v>2418</v>
      </c>
      <c r="B187" s="1133" t="s">
        <v>4662</v>
      </c>
      <c r="C187" s="1134"/>
      <c r="D187" s="1134"/>
      <c r="E187" s="1134"/>
      <c r="F187" s="1135"/>
      <c r="G187" s="776">
        <v>1.66E-2</v>
      </c>
      <c r="H187" s="771"/>
    </row>
    <row r="188" spans="1:8" x14ac:dyDescent="0.3">
      <c r="A188" s="1131"/>
      <c r="B188" s="1136" t="s">
        <v>4663</v>
      </c>
      <c r="C188" s="1137"/>
      <c r="D188" s="1137"/>
      <c r="E188" s="1137"/>
      <c r="F188" s="1138"/>
      <c r="G188" s="776">
        <v>3.0999999999999999E-3</v>
      </c>
      <c r="H188" s="771"/>
    </row>
    <row r="189" spans="1:8" x14ac:dyDescent="0.3">
      <c r="A189" s="1131"/>
      <c r="B189" s="1136" t="s">
        <v>4664</v>
      </c>
      <c r="C189" s="1137"/>
      <c r="D189" s="1137"/>
      <c r="E189" s="1137"/>
      <c r="F189" s="1138"/>
      <c r="G189" s="776">
        <v>5.7000000000000002E-3</v>
      </c>
      <c r="H189" s="771"/>
    </row>
    <row r="190" spans="1:8" x14ac:dyDescent="0.3">
      <c r="A190" s="1132"/>
      <c r="B190" s="1139" t="s">
        <v>4665</v>
      </c>
      <c r="C190" s="1140"/>
      <c r="D190" s="1140"/>
      <c r="E190" s="1140"/>
      <c r="F190" s="1141"/>
      <c r="G190" s="776">
        <v>8.6E-3</v>
      </c>
      <c r="H190" s="771"/>
    </row>
    <row r="191" spans="1:8" ht="14.5" thickBot="1" x14ac:dyDescent="0.35">
      <c r="A191" s="1124" t="s">
        <v>4666</v>
      </c>
      <c r="B191" s="1125"/>
      <c r="C191" s="1125"/>
      <c r="D191" s="1125"/>
      <c r="E191" s="1125"/>
      <c r="F191" s="1126"/>
      <c r="G191" s="777">
        <v>3.4000000000000002E-2</v>
      </c>
      <c r="H191" s="771"/>
    </row>
    <row r="192" spans="1:8" ht="14.5" thickTop="1" x14ac:dyDescent="0.3">
      <c r="A192" s="1127" t="s">
        <v>4667</v>
      </c>
      <c r="B192" s="1128"/>
      <c r="C192" s="1128"/>
      <c r="D192" s="1128"/>
      <c r="E192" s="1128"/>
      <c r="F192" s="1128"/>
      <c r="G192" s="1129"/>
      <c r="H192" s="771"/>
    </row>
    <row r="193" spans="1:8" x14ac:dyDescent="0.3">
      <c r="A193" s="1130" t="s">
        <v>2419</v>
      </c>
      <c r="B193" s="1133" t="s">
        <v>4668</v>
      </c>
      <c r="C193" s="1134"/>
      <c r="D193" s="1134"/>
      <c r="E193" s="1134"/>
      <c r="F193" s="1135"/>
      <c r="G193" s="778">
        <v>0.03</v>
      </c>
      <c r="H193" s="771"/>
    </row>
    <row r="194" spans="1:8" x14ac:dyDescent="0.3">
      <c r="A194" s="1131"/>
      <c r="B194" s="1136" t="s">
        <v>4669</v>
      </c>
      <c r="C194" s="1137"/>
      <c r="D194" s="1137"/>
      <c r="E194" s="1137"/>
      <c r="F194" s="1138"/>
      <c r="G194" s="776">
        <v>6.4999999999999997E-3</v>
      </c>
      <c r="H194" s="771"/>
    </row>
    <row r="195" spans="1:8" x14ac:dyDescent="0.3">
      <c r="A195" s="1131"/>
      <c r="B195" s="1136" t="s">
        <v>4670</v>
      </c>
      <c r="C195" s="1137"/>
      <c r="D195" s="1137"/>
      <c r="E195" s="1137"/>
      <c r="F195" s="1138"/>
      <c r="G195" s="776"/>
      <c r="H195" s="771"/>
    </row>
    <row r="196" spans="1:8" x14ac:dyDescent="0.3">
      <c r="A196" s="1132"/>
      <c r="B196" s="1139" t="s">
        <v>4671</v>
      </c>
      <c r="C196" s="1140"/>
      <c r="D196" s="1140"/>
      <c r="E196" s="1140"/>
      <c r="F196" s="1141"/>
      <c r="G196" s="779">
        <v>4.4999999999999998E-2</v>
      </c>
      <c r="H196" s="771"/>
    </row>
    <row r="197" spans="1:8" ht="14.5" thickBot="1" x14ac:dyDescent="0.35">
      <c r="A197" s="1124" t="s">
        <v>4672</v>
      </c>
      <c r="B197" s="1125"/>
      <c r="C197" s="1125"/>
      <c r="D197" s="1125"/>
      <c r="E197" s="1125"/>
      <c r="F197" s="1126"/>
      <c r="G197" s="777">
        <v>8.1499999999999989E-2</v>
      </c>
      <c r="H197" s="771"/>
    </row>
    <row r="198" spans="1:8" ht="14.5" thickTop="1" x14ac:dyDescent="0.3">
      <c r="A198" s="1127" t="s">
        <v>4673</v>
      </c>
      <c r="B198" s="1128"/>
      <c r="C198" s="1128"/>
      <c r="D198" s="1128"/>
      <c r="E198" s="1128"/>
      <c r="F198" s="1128"/>
      <c r="G198" s="1129"/>
      <c r="H198" s="771"/>
    </row>
    <row r="199" spans="1:8" x14ac:dyDescent="0.3">
      <c r="A199" s="780" t="s">
        <v>2420</v>
      </c>
      <c r="B199" s="1154" t="s">
        <v>4674</v>
      </c>
      <c r="C199" s="1155"/>
      <c r="D199" s="1155"/>
      <c r="E199" s="1155"/>
      <c r="F199" s="1156"/>
      <c r="G199" s="776">
        <v>3.5000000000000003E-2</v>
      </c>
      <c r="H199" s="771"/>
    </row>
    <row r="200" spans="1:8" ht="14.5" thickBot="1" x14ac:dyDescent="0.35">
      <c r="A200" s="1124" t="s">
        <v>4675</v>
      </c>
      <c r="B200" s="1125"/>
      <c r="C200" s="1125"/>
      <c r="D200" s="1125"/>
      <c r="E200" s="1125"/>
      <c r="F200" s="1126"/>
      <c r="G200" s="777">
        <v>3.5000000000000003E-2</v>
      </c>
      <c r="H200" s="771"/>
    </row>
    <row r="201" spans="1:8" ht="15" thickTop="1" thickBot="1" x14ac:dyDescent="0.35">
      <c r="A201" s="1157" t="s">
        <v>21</v>
      </c>
      <c r="B201" s="1158"/>
      <c r="C201" s="1158"/>
      <c r="D201" s="1158"/>
      <c r="E201" s="1158"/>
      <c r="F201" s="1159"/>
      <c r="G201" s="781">
        <v>0.1653958469243331</v>
      </c>
      <c r="H201" s="771"/>
    </row>
    <row r="202" spans="1:8" x14ac:dyDescent="0.3">
      <c r="A202" s="782"/>
      <c r="B202" s="782"/>
      <c r="C202" s="782"/>
      <c r="D202" s="782"/>
      <c r="E202" s="782"/>
      <c r="F202" s="782"/>
      <c r="G202" s="782"/>
      <c r="H202" s="771"/>
    </row>
    <row r="203" spans="1:8" x14ac:dyDescent="0.3">
      <c r="A203" s="1160" t="s">
        <v>4676</v>
      </c>
      <c r="B203" s="1160"/>
      <c r="C203" s="1160"/>
      <c r="D203" s="1160"/>
      <c r="E203" s="1160"/>
      <c r="F203" s="1160"/>
      <c r="G203" s="1160"/>
      <c r="H203" s="771"/>
    </row>
    <row r="204" spans="1:8" x14ac:dyDescent="0.3">
      <c r="A204" s="1148" t="s">
        <v>4677</v>
      </c>
      <c r="B204" s="1149" t="s">
        <v>4678</v>
      </c>
      <c r="C204" s="783" t="s">
        <v>4679</v>
      </c>
      <c r="D204" s="1150" t="s">
        <v>4680</v>
      </c>
      <c r="E204" s="1165">
        <v>-1</v>
      </c>
      <c r="F204" s="1152" t="s">
        <v>4681</v>
      </c>
      <c r="G204" s="1153" t="s">
        <v>4682</v>
      </c>
      <c r="H204" s="771"/>
    </row>
    <row r="205" spans="1:8" x14ac:dyDescent="0.3">
      <c r="A205" s="1148"/>
      <c r="B205" s="1149"/>
      <c r="C205" s="784" t="s">
        <v>4683</v>
      </c>
      <c r="D205" s="1150"/>
      <c r="E205" s="1165"/>
      <c r="F205" s="1152"/>
      <c r="G205" s="1153"/>
      <c r="H205" s="771"/>
    </row>
    <row r="206" spans="1:8" x14ac:dyDescent="0.3">
      <c r="A206" s="782"/>
      <c r="B206" s="782"/>
      <c r="C206" s="782"/>
      <c r="D206" s="782"/>
      <c r="E206" s="782"/>
      <c r="F206" s="782"/>
      <c r="G206" s="782"/>
      <c r="H206" s="771"/>
    </row>
    <row r="207" spans="1:8" x14ac:dyDescent="0.3">
      <c r="A207" s="785" t="s">
        <v>4684</v>
      </c>
      <c r="B207" s="1161" t="s">
        <v>4685</v>
      </c>
      <c r="C207" s="1161"/>
      <c r="D207" s="1161"/>
      <c r="E207" s="1161"/>
      <c r="F207" s="1161"/>
      <c r="G207" s="1161"/>
      <c r="H207" s="771"/>
    </row>
    <row r="208" spans="1:8" x14ac:dyDescent="0.3">
      <c r="A208" s="785" t="s">
        <v>4686</v>
      </c>
      <c r="B208" s="1161" t="s">
        <v>4687</v>
      </c>
      <c r="C208" s="1161"/>
      <c r="D208" s="1161"/>
      <c r="E208" s="1161"/>
      <c r="F208" s="1161"/>
      <c r="G208" s="1161"/>
      <c r="H208" s="771"/>
    </row>
    <row r="209" spans="1:8" x14ac:dyDescent="0.3">
      <c r="A209" s="785" t="s">
        <v>4688</v>
      </c>
      <c r="B209" s="1161" t="s">
        <v>4689</v>
      </c>
      <c r="C209" s="1161"/>
      <c r="D209" s="1161"/>
      <c r="E209" s="1161"/>
      <c r="F209" s="1161"/>
      <c r="G209" s="1161"/>
      <c r="H209" s="771"/>
    </row>
    <row r="210" spans="1:8" x14ac:dyDescent="0.3">
      <c r="A210" s="785" t="s">
        <v>4690</v>
      </c>
      <c r="B210" s="1161" t="s">
        <v>4691</v>
      </c>
      <c r="C210" s="1161"/>
      <c r="D210" s="1161"/>
      <c r="E210" s="1161"/>
      <c r="F210" s="1161"/>
      <c r="G210" s="1161"/>
      <c r="H210" s="771"/>
    </row>
    <row r="211" spans="1:8" x14ac:dyDescent="0.3">
      <c r="A211" s="785" t="s">
        <v>4692</v>
      </c>
      <c r="B211" s="1161" t="s">
        <v>4693</v>
      </c>
      <c r="C211" s="1161"/>
      <c r="D211" s="1161"/>
      <c r="E211" s="1161"/>
      <c r="F211" s="1161"/>
      <c r="G211" s="1161"/>
      <c r="H211" s="771"/>
    </row>
    <row r="212" spans="1:8" x14ac:dyDescent="0.3">
      <c r="A212" s="785" t="s">
        <v>2900</v>
      </c>
      <c r="B212" s="1161" t="s">
        <v>4694</v>
      </c>
      <c r="C212" s="1161"/>
      <c r="D212" s="1161"/>
      <c r="E212" s="1161"/>
      <c r="F212" s="1161"/>
      <c r="G212" s="1161"/>
      <c r="H212" s="771"/>
    </row>
    <row r="213" spans="1:8" x14ac:dyDescent="0.3">
      <c r="A213" s="785" t="s">
        <v>4695</v>
      </c>
      <c r="B213" s="1161" t="s">
        <v>4696</v>
      </c>
      <c r="C213" s="1161"/>
      <c r="D213" s="1161"/>
      <c r="E213" s="1161"/>
      <c r="F213" s="1161"/>
      <c r="G213" s="1161"/>
      <c r="H213" s="771"/>
    </row>
    <row r="214" spans="1:8" x14ac:dyDescent="0.3">
      <c r="A214" s="786"/>
      <c r="B214" s="1162" t="s">
        <v>4697</v>
      </c>
      <c r="C214" s="1162"/>
      <c r="D214" s="1162"/>
      <c r="E214" s="1162"/>
      <c r="F214" s="1162"/>
      <c r="G214" s="1162"/>
      <c r="H214" s="787"/>
    </row>
    <row r="215" spans="1:8" x14ac:dyDescent="0.3">
      <c r="A215" s="782"/>
      <c r="B215" s="782"/>
      <c r="C215" s="782"/>
      <c r="D215" s="782"/>
      <c r="E215" s="782"/>
      <c r="F215" s="782"/>
      <c r="G215" s="782"/>
      <c r="H215" s="771"/>
    </row>
    <row r="216" spans="1:8" x14ac:dyDescent="0.3">
      <c r="A216" s="1163" t="s">
        <v>4698</v>
      </c>
      <c r="B216" s="1163"/>
      <c r="C216" s="1163"/>
      <c r="D216" s="1163"/>
      <c r="E216" s="1163"/>
      <c r="F216" s="1163"/>
      <c r="G216" s="1163"/>
      <c r="H216" s="771"/>
    </row>
    <row r="217" spans="1:8" x14ac:dyDescent="0.3">
      <c r="A217" s="1163" t="s">
        <v>4699</v>
      </c>
      <c r="B217" s="1163"/>
      <c r="C217" s="1163"/>
      <c r="D217" s="1163"/>
      <c r="E217" s="1163"/>
      <c r="F217" s="1163"/>
      <c r="G217" s="1163"/>
      <c r="H217" s="771"/>
    </row>
    <row r="218" spans="1:8" x14ac:dyDescent="0.3">
      <c r="A218" s="771"/>
      <c r="B218" s="771"/>
      <c r="C218" s="771"/>
      <c r="D218" s="771"/>
      <c r="E218" s="771"/>
      <c r="F218" s="771"/>
      <c r="G218" s="771"/>
      <c r="H218" s="771"/>
    </row>
    <row r="219" spans="1:8" x14ac:dyDescent="0.3">
      <c r="A219" s="711"/>
      <c r="B219" s="711"/>
      <c r="C219" s="711"/>
      <c r="D219" s="711"/>
      <c r="E219" s="711"/>
      <c r="F219" s="711"/>
      <c r="G219" s="711"/>
      <c r="H219" s="711"/>
    </row>
    <row r="220" spans="1:8" x14ac:dyDescent="0.3">
      <c r="A220" s="711"/>
      <c r="B220" s="711"/>
      <c r="C220" s="711"/>
      <c r="D220" s="711"/>
      <c r="E220" s="711"/>
      <c r="F220" s="711"/>
      <c r="G220" s="711"/>
      <c r="H220" s="711"/>
    </row>
    <row r="221" spans="1:8" x14ac:dyDescent="0.3">
      <c r="A221" s="711"/>
      <c r="B221" s="711"/>
      <c r="C221" s="711"/>
      <c r="D221" s="711"/>
      <c r="E221" s="711"/>
      <c r="F221" s="711"/>
      <c r="G221" s="711"/>
      <c r="H221" s="711"/>
    </row>
    <row r="222" spans="1:8" x14ac:dyDescent="0.3">
      <c r="A222" s="788" t="s">
        <v>4701</v>
      </c>
      <c r="B222" s="711"/>
      <c r="C222" s="711"/>
      <c r="D222" s="711"/>
      <c r="E222" s="711"/>
      <c r="F222" s="711"/>
      <c r="G222" s="711"/>
      <c r="H222" s="711"/>
    </row>
    <row r="223" spans="1:8" x14ac:dyDescent="0.3">
      <c r="A223" s="788" t="s">
        <v>4702</v>
      </c>
      <c r="B223" s="711"/>
      <c r="C223" s="711"/>
      <c r="D223" s="711"/>
      <c r="E223" s="711"/>
      <c r="F223" s="711"/>
      <c r="G223" s="711"/>
      <c r="H223" s="711"/>
    </row>
    <row r="224" spans="1:8" x14ac:dyDescent="0.3">
      <c r="A224" s="788" t="s">
        <v>4655</v>
      </c>
      <c r="B224" s="711"/>
      <c r="C224" s="711"/>
      <c r="D224" s="711"/>
      <c r="E224" s="711"/>
      <c r="F224" s="711"/>
      <c r="G224" s="711"/>
      <c r="H224" s="711"/>
    </row>
    <row r="225" spans="1:9" x14ac:dyDescent="0.3">
      <c r="A225" s="788" t="s">
        <v>4703</v>
      </c>
      <c r="B225" s="711"/>
      <c r="C225" s="711"/>
      <c r="D225" s="711"/>
      <c r="E225" s="711"/>
      <c r="F225" s="711"/>
      <c r="G225" s="711"/>
      <c r="H225" s="711"/>
    </row>
    <row r="226" spans="1:9" x14ac:dyDescent="0.3">
      <c r="A226" s="788" t="s">
        <v>4704</v>
      </c>
      <c r="B226" s="711"/>
      <c r="C226" s="711"/>
      <c r="D226" s="711"/>
      <c r="E226" s="711"/>
      <c r="F226" s="711"/>
      <c r="G226" s="711"/>
      <c r="H226" s="711"/>
    </row>
    <row r="227" spans="1:9" x14ac:dyDescent="0.3">
      <c r="A227" s="788" t="s">
        <v>4705</v>
      </c>
      <c r="B227" s="711"/>
      <c r="C227" s="711"/>
      <c r="D227" s="711"/>
      <c r="E227" s="711"/>
      <c r="F227" s="711"/>
      <c r="G227" s="711"/>
      <c r="H227" s="711"/>
    </row>
    <row r="228" spans="1:9" x14ac:dyDescent="0.3">
      <c r="A228" s="1169" t="s">
        <v>4706</v>
      </c>
      <c r="B228" s="1169"/>
      <c r="C228" s="1169"/>
      <c r="D228" s="1169"/>
      <c r="E228" s="1169"/>
      <c r="F228" s="1169"/>
      <c r="G228" s="1169"/>
      <c r="H228" s="1169"/>
      <c r="I228" s="1169"/>
    </row>
    <row r="229" spans="1:9" x14ac:dyDescent="0.3">
      <c r="A229" s="711"/>
      <c r="B229" s="711"/>
      <c r="C229" s="711"/>
      <c r="D229" s="711"/>
      <c r="E229" s="711"/>
      <c r="F229" s="711"/>
      <c r="G229" s="711"/>
      <c r="H229" s="711"/>
    </row>
    <row r="230" spans="1:9" x14ac:dyDescent="0.3">
      <c r="A230" s="788" t="s">
        <v>4707</v>
      </c>
      <c r="B230" s="711"/>
      <c r="C230" s="711"/>
      <c r="D230" s="711"/>
      <c r="E230" s="711"/>
      <c r="F230" s="711"/>
      <c r="G230" s="711"/>
      <c r="H230" s="711"/>
    </row>
    <row r="231" spans="1:9" x14ac:dyDescent="0.3">
      <c r="A231" s="788" t="s">
        <v>4656</v>
      </c>
      <c r="B231" s="711"/>
      <c r="C231" s="711"/>
      <c r="D231" s="711"/>
      <c r="E231" s="711"/>
      <c r="F231" s="711"/>
      <c r="G231" s="711"/>
      <c r="H231" s="711"/>
    </row>
    <row r="232" spans="1:9" x14ac:dyDescent="0.3">
      <c r="A232" s="711"/>
      <c r="B232" s="711"/>
      <c r="C232" s="711"/>
      <c r="D232" s="711"/>
      <c r="E232" s="711"/>
      <c r="F232" s="711"/>
      <c r="G232" s="711"/>
      <c r="H232" s="711"/>
    </row>
    <row r="233" spans="1:9" x14ac:dyDescent="0.3">
      <c r="A233" s="788" t="s">
        <v>4708</v>
      </c>
      <c r="B233" s="711"/>
      <c r="C233" s="711"/>
      <c r="D233" s="711"/>
      <c r="E233" s="711"/>
      <c r="F233" s="711"/>
      <c r="G233" s="711"/>
      <c r="H233" s="711"/>
    </row>
    <row r="234" spans="1:9" x14ac:dyDescent="0.3">
      <c r="A234" s="788" t="s">
        <v>4709</v>
      </c>
      <c r="B234" s="711"/>
      <c r="C234" s="711"/>
      <c r="D234" s="711"/>
      <c r="E234" s="711"/>
      <c r="F234" s="711"/>
      <c r="G234" s="789"/>
      <c r="H234" s="789"/>
    </row>
    <row r="235" spans="1:9" x14ac:dyDescent="0.3">
      <c r="A235" s="788" t="s">
        <v>4657</v>
      </c>
      <c r="B235" s="711"/>
      <c r="C235" s="711"/>
      <c r="D235" s="711"/>
      <c r="E235" s="711"/>
      <c r="F235" s="711"/>
      <c r="G235" s="711"/>
      <c r="H235" s="711"/>
    </row>
    <row r="238" spans="1:9" x14ac:dyDescent="0.3">
      <c r="A238" s="771"/>
      <c r="B238" s="771"/>
      <c r="C238" s="771"/>
      <c r="D238" s="771"/>
      <c r="E238" s="771"/>
      <c r="F238" s="771"/>
      <c r="G238" s="771"/>
      <c r="H238" s="771"/>
    </row>
    <row r="239" spans="1:9" x14ac:dyDescent="0.3">
      <c r="A239" s="1142" t="s">
        <v>4654</v>
      </c>
      <c r="B239" s="1142"/>
      <c r="C239" s="1142"/>
      <c r="D239" s="1142"/>
      <c r="E239" s="1142"/>
      <c r="F239" s="1142"/>
      <c r="G239" s="1142"/>
      <c r="H239" s="771"/>
    </row>
    <row r="240" spans="1:9" x14ac:dyDescent="0.3">
      <c r="A240" s="1143" t="s">
        <v>4710</v>
      </c>
      <c r="B240" s="1143"/>
      <c r="C240" s="1143"/>
      <c r="D240" s="1143"/>
      <c r="E240" s="1143"/>
      <c r="F240" s="1143"/>
      <c r="G240" s="1143"/>
      <c r="H240" s="771"/>
    </row>
    <row r="241" spans="1:8" x14ac:dyDescent="0.3">
      <c r="A241" s="1168" t="s">
        <v>4707</v>
      </c>
      <c r="B241" s="1168"/>
      <c r="C241" s="1168"/>
      <c r="D241" s="1168"/>
      <c r="E241" s="1168"/>
      <c r="F241" s="1168"/>
      <c r="G241" s="1168"/>
      <c r="H241" s="1168"/>
    </row>
    <row r="242" spans="1:8" ht="14.5" thickBot="1" x14ac:dyDescent="0.35">
      <c r="A242" s="772"/>
      <c r="B242" s="772"/>
      <c r="C242" s="772"/>
      <c r="D242" s="772"/>
      <c r="E242" s="772"/>
      <c r="F242" s="772"/>
      <c r="G242" s="773" t="s">
        <v>4657</v>
      </c>
      <c r="H242" s="771"/>
    </row>
    <row r="243" spans="1:8" ht="14.5" thickBot="1" x14ac:dyDescent="0.35">
      <c r="A243" s="774" t="s">
        <v>4658</v>
      </c>
      <c r="B243" s="1145" t="s">
        <v>4659</v>
      </c>
      <c r="C243" s="1146"/>
      <c r="D243" s="1146"/>
      <c r="E243" s="1146"/>
      <c r="F243" s="1147"/>
      <c r="G243" s="775" t="s">
        <v>4660</v>
      </c>
      <c r="H243" s="771"/>
    </row>
    <row r="244" spans="1:8" ht="14.5" thickTop="1" x14ac:dyDescent="0.3">
      <c r="A244" s="1127" t="s">
        <v>4661</v>
      </c>
      <c r="B244" s="1128"/>
      <c r="C244" s="1128"/>
      <c r="D244" s="1128"/>
      <c r="E244" s="1128"/>
      <c r="F244" s="1128"/>
      <c r="G244" s="1129"/>
      <c r="H244" s="771"/>
    </row>
    <row r="245" spans="1:8" x14ac:dyDescent="0.3">
      <c r="A245" s="1130" t="s">
        <v>2418</v>
      </c>
      <c r="B245" s="1133" t="s">
        <v>4662</v>
      </c>
      <c r="C245" s="1134"/>
      <c r="D245" s="1134"/>
      <c r="E245" s="1134"/>
      <c r="F245" s="1135"/>
      <c r="G245" s="776">
        <v>6.9000000000000006E-2</v>
      </c>
      <c r="H245" s="771"/>
    </row>
    <row r="246" spans="1:8" x14ac:dyDescent="0.3">
      <c r="A246" s="1131"/>
      <c r="B246" s="1136" t="s">
        <v>4663</v>
      </c>
      <c r="C246" s="1137"/>
      <c r="D246" s="1137"/>
      <c r="E246" s="1137"/>
      <c r="F246" s="1138"/>
      <c r="G246" s="776">
        <v>1E-3</v>
      </c>
      <c r="H246" s="771"/>
    </row>
    <row r="247" spans="1:8" x14ac:dyDescent="0.3">
      <c r="A247" s="1131"/>
      <c r="B247" s="1136" t="s">
        <v>4664</v>
      </c>
      <c r="C247" s="1137"/>
      <c r="D247" s="1137"/>
      <c r="E247" s="1137"/>
      <c r="F247" s="1138"/>
      <c r="G247" s="776">
        <v>5.0000000000000001E-3</v>
      </c>
      <c r="H247" s="771"/>
    </row>
    <row r="248" spans="1:8" x14ac:dyDescent="0.3">
      <c r="A248" s="1132"/>
      <c r="B248" s="1139" t="s">
        <v>4665</v>
      </c>
      <c r="C248" s="1140"/>
      <c r="D248" s="1140"/>
      <c r="E248" s="1140"/>
      <c r="F248" s="1141"/>
      <c r="G248" s="776">
        <v>9.9000000000000008E-3</v>
      </c>
      <c r="H248" s="771"/>
    </row>
    <row r="249" spans="1:8" ht="14.5" thickBot="1" x14ac:dyDescent="0.35">
      <c r="A249" s="1124" t="s">
        <v>4666</v>
      </c>
      <c r="B249" s="1125"/>
      <c r="C249" s="1125"/>
      <c r="D249" s="1125"/>
      <c r="E249" s="1125"/>
      <c r="F249" s="1126"/>
      <c r="G249" s="777">
        <v>8.4900000000000017E-2</v>
      </c>
      <c r="H249" s="771"/>
    </row>
    <row r="250" spans="1:8" ht="14.5" thickTop="1" x14ac:dyDescent="0.3">
      <c r="A250" s="1127" t="s">
        <v>4667</v>
      </c>
      <c r="B250" s="1128"/>
      <c r="C250" s="1128"/>
      <c r="D250" s="1128"/>
      <c r="E250" s="1128"/>
      <c r="F250" s="1128"/>
      <c r="G250" s="1129"/>
      <c r="H250" s="771"/>
    </row>
    <row r="251" spans="1:8" x14ac:dyDescent="0.3">
      <c r="A251" s="1130" t="s">
        <v>2419</v>
      </c>
      <c r="B251" s="1133" t="s">
        <v>4668</v>
      </c>
      <c r="C251" s="1134"/>
      <c r="D251" s="1134"/>
      <c r="E251" s="1134"/>
      <c r="F251" s="1135"/>
      <c r="G251" s="778">
        <v>7.5999999999999998E-2</v>
      </c>
      <c r="H251" s="771"/>
    </row>
    <row r="252" spans="1:8" x14ac:dyDescent="0.3">
      <c r="A252" s="1131"/>
      <c r="B252" s="1136" t="s">
        <v>4669</v>
      </c>
      <c r="C252" s="1137"/>
      <c r="D252" s="1137"/>
      <c r="E252" s="1137"/>
      <c r="F252" s="1138"/>
      <c r="G252" s="776">
        <v>1.6500000000000001E-2</v>
      </c>
      <c r="H252" s="771"/>
    </row>
    <row r="253" spans="1:8" x14ac:dyDescent="0.3">
      <c r="A253" s="1131"/>
      <c r="B253" s="1136" t="s">
        <v>4670</v>
      </c>
      <c r="C253" s="1137"/>
      <c r="D253" s="1137"/>
      <c r="E253" s="1137"/>
      <c r="F253" s="1138"/>
      <c r="G253" s="776">
        <v>0.02</v>
      </c>
      <c r="H253" s="771"/>
    </row>
    <row r="254" spans="1:8" x14ac:dyDescent="0.3">
      <c r="A254" s="1132"/>
      <c r="B254" s="1139" t="s">
        <v>4671</v>
      </c>
      <c r="C254" s="1140"/>
      <c r="D254" s="1140"/>
      <c r="E254" s="1140"/>
      <c r="F254" s="1141"/>
      <c r="G254" s="779">
        <v>4.4999999999999998E-2</v>
      </c>
      <c r="H254" s="771"/>
    </row>
    <row r="255" spans="1:8" ht="14.5" thickBot="1" x14ac:dyDescent="0.35">
      <c r="A255" s="1124" t="s">
        <v>4672</v>
      </c>
      <c r="B255" s="1125"/>
      <c r="C255" s="1125"/>
      <c r="D255" s="1125"/>
      <c r="E255" s="1125"/>
      <c r="F255" s="1126"/>
      <c r="G255" s="777">
        <v>0.1575</v>
      </c>
      <c r="H255" s="771"/>
    </row>
    <row r="256" spans="1:8" ht="14.5" thickTop="1" x14ac:dyDescent="0.3">
      <c r="A256" s="1127" t="s">
        <v>4673</v>
      </c>
      <c r="B256" s="1128"/>
      <c r="C256" s="1128"/>
      <c r="D256" s="1128"/>
      <c r="E256" s="1128"/>
      <c r="F256" s="1128"/>
      <c r="G256" s="1129"/>
      <c r="H256" s="771"/>
    </row>
    <row r="257" spans="1:8" x14ac:dyDescent="0.3">
      <c r="A257" s="780" t="s">
        <v>2420</v>
      </c>
      <c r="B257" s="1154" t="s">
        <v>4674</v>
      </c>
      <c r="C257" s="1155"/>
      <c r="D257" s="1155"/>
      <c r="E257" s="1155"/>
      <c r="F257" s="1156"/>
      <c r="G257" s="776">
        <v>7.4700000000000003E-2</v>
      </c>
      <c r="H257" s="771"/>
    </row>
    <row r="258" spans="1:8" ht="14.5" thickBot="1" x14ac:dyDescent="0.35">
      <c r="A258" s="1124" t="s">
        <v>4675</v>
      </c>
      <c r="B258" s="1125"/>
      <c r="C258" s="1125"/>
      <c r="D258" s="1125"/>
      <c r="E258" s="1125"/>
      <c r="F258" s="1126"/>
      <c r="G258" s="777">
        <v>7.4700000000000003E-2</v>
      </c>
      <c r="H258" s="771"/>
    </row>
    <row r="259" spans="1:8" ht="15" thickTop="1" thickBot="1" x14ac:dyDescent="0.35">
      <c r="A259" s="1157" t="s">
        <v>21</v>
      </c>
      <c r="B259" s="1158"/>
      <c r="C259" s="1158"/>
      <c r="D259" s="1158"/>
      <c r="E259" s="1158"/>
      <c r="F259" s="1159"/>
      <c r="G259" s="781">
        <v>0.38485459317507398</v>
      </c>
      <c r="H259" s="771"/>
    </row>
    <row r="260" spans="1:8" x14ac:dyDescent="0.3">
      <c r="A260" s="782"/>
      <c r="B260" s="782"/>
      <c r="C260" s="782"/>
      <c r="D260" s="782"/>
      <c r="E260" s="782"/>
      <c r="F260" s="782"/>
      <c r="G260" s="782"/>
      <c r="H260" s="771"/>
    </row>
    <row r="261" spans="1:8" x14ac:dyDescent="0.3">
      <c r="A261" s="1160" t="s">
        <v>4676</v>
      </c>
      <c r="B261" s="1160"/>
      <c r="C261" s="1160"/>
      <c r="D261" s="1160"/>
      <c r="E261" s="1160"/>
      <c r="F261" s="1160"/>
      <c r="G261" s="1160"/>
      <c r="H261" s="771"/>
    </row>
    <row r="262" spans="1:8" x14ac:dyDescent="0.3">
      <c r="A262" s="1148" t="s">
        <v>4677</v>
      </c>
      <c r="B262" s="1149" t="s">
        <v>4678</v>
      </c>
      <c r="C262" s="783" t="s">
        <v>4679</v>
      </c>
      <c r="D262" s="1150" t="s">
        <v>4680</v>
      </c>
      <c r="E262" s="1151">
        <v>-1</v>
      </c>
      <c r="F262" s="1152" t="s">
        <v>4681</v>
      </c>
      <c r="G262" s="1153" t="s">
        <v>4682</v>
      </c>
      <c r="H262" s="771"/>
    </row>
    <row r="263" spans="1:8" x14ac:dyDescent="0.3">
      <c r="A263" s="1148"/>
      <c r="B263" s="1149"/>
      <c r="C263" s="784" t="s">
        <v>4683</v>
      </c>
      <c r="D263" s="1150"/>
      <c r="E263" s="1151"/>
      <c r="F263" s="1152"/>
      <c r="G263" s="1153"/>
      <c r="H263" s="771"/>
    </row>
    <row r="264" spans="1:8" x14ac:dyDescent="0.3">
      <c r="A264" s="782"/>
      <c r="B264" s="782"/>
      <c r="C264" s="782"/>
      <c r="D264" s="782"/>
      <c r="E264" s="782"/>
      <c r="F264" s="782"/>
      <c r="G264" s="782"/>
      <c r="H264" s="771"/>
    </row>
    <row r="265" spans="1:8" x14ac:dyDescent="0.3">
      <c r="A265" s="785" t="s">
        <v>4684</v>
      </c>
      <c r="B265" s="1161" t="s">
        <v>4685</v>
      </c>
      <c r="C265" s="1161"/>
      <c r="D265" s="1161"/>
      <c r="E265" s="1161"/>
      <c r="F265" s="1161"/>
      <c r="G265" s="1161"/>
      <c r="H265" s="771"/>
    </row>
    <row r="266" spans="1:8" x14ac:dyDescent="0.3">
      <c r="A266" s="785" t="s">
        <v>4686</v>
      </c>
      <c r="B266" s="1161" t="s">
        <v>4687</v>
      </c>
      <c r="C266" s="1161"/>
      <c r="D266" s="1161"/>
      <c r="E266" s="1161"/>
      <c r="F266" s="1161"/>
      <c r="G266" s="1161"/>
      <c r="H266" s="771"/>
    </row>
    <row r="267" spans="1:8" x14ac:dyDescent="0.3">
      <c r="A267" s="785" t="s">
        <v>4688</v>
      </c>
      <c r="B267" s="1161" t="s">
        <v>4689</v>
      </c>
      <c r="C267" s="1161"/>
      <c r="D267" s="1161"/>
      <c r="E267" s="1161"/>
      <c r="F267" s="1161"/>
      <c r="G267" s="1161"/>
      <c r="H267" s="771"/>
    </row>
    <row r="268" spans="1:8" x14ac:dyDescent="0.3">
      <c r="A268" s="785" t="s">
        <v>4690</v>
      </c>
      <c r="B268" s="1161" t="s">
        <v>4691</v>
      </c>
      <c r="C268" s="1161"/>
      <c r="D268" s="1161"/>
      <c r="E268" s="1161"/>
      <c r="F268" s="1161"/>
      <c r="G268" s="1161"/>
      <c r="H268" s="771"/>
    </row>
    <row r="269" spans="1:8" x14ac:dyDescent="0.3">
      <c r="A269" s="785" t="s">
        <v>4692</v>
      </c>
      <c r="B269" s="1161" t="s">
        <v>4693</v>
      </c>
      <c r="C269" s="1161"/>
      <c r="D269" s="1161"/>
      <c r="E269" s="1161"/>
      <c r="F269" s="1161"/>
      <c r="G269" s="1161"/>
      <c r="H269" s="771"/>
    </row>
    <row r="270" spans="1:8" x14ac:dyDescent="0.3">
      <c r="A270" s="785" t="s">
        <v>2900</v>
      </c>
      <c r="B270" s="1161" t="s">
        <v>4694</v>
      </c>
      <c r="C270" s="1161"/>
      <c r="D270" s="1161"/>
      <c r="E270" s="1161"/>
      <c r="F270" s="1161"/>
      <c r="G270" s="1161"/>
      <c r="H270" s="771"/>
    </row>
    <row r="271" spans="1:8" x14ac:dyDescent="0.3">
      <c r="A271" s="785" t="s">
        <v>4695</v>
      </c>
      <c r="B271" s="1161" t="s">
        <v>4696</v>
      </c>
      <c r="C271" s="1161"/>
      <c r="D271" s="1161"/>
      <c r="E271" s="1161"/>
      <c r="F271" s="1161"/>
      <c r="G271" s="1161"/>
      <c r="H271" s="771"/>
    </row>
    <row r="272" spans="1:8" x14ac:dyDescent="0.3">
      <c r="A272" s="786"/>
      <c r="B272" s="1162" t="s">
        <v>4697</v>
      </c>
      <c r="C272" s="1162"/>
      <c r="D272" s="1162"/>
      <c r="E272" s="1162"/>
      <c r="F272" s="1162"/>
      <c r="G272" s="1162"/>
      <c r="H272" s="787"/>
    </row>
    <row r="273" spans="1:8" x14ac:dyDescent="0.3">
      <c r="A273" s="782"/>
      <c r="B273" s="782"/>
      <c r="C273" s="782"/>
      <c r="D273" s="782"/>
      <c r="E273" s="782"/>
      <c r="F273" s="782"/>
      <c r="G273" s="782"/>
      <c r="H273" s="771"/>
    </row>
    <row r="274" spans="1:8" x14ac:dyDescent="0.3">
      <c r="A274" s="1163" t="s">
        <v>4698</v>
      </c>
      <c r="B274" s="1163"/>
      <c r="C274" s="1163"/>
      <c r="D274" s="1163"/>
      <c r="E274" s="1163"/>
      <c r="F274" s="1163"/>
      <c r="G274" s="1163"/>
      <c r="H274" s="771"/>
    </row>
    <row r="275" spans="1:8" x14ac:dyDescent="0.3">
      <c r="A275" s="1163" t="s">
        <v>4699</v>
      </c>
      <c r="B275" s="1163"/>
      <c r="C275" s="1163"/>
      <c r="D275" s="1163"/>
      <c r="E275" s="1163"/>
      <c r="F275" s="1163"/>
      <c r="G275" s="1163"/>
      <c r="H275" s="771"/>
    </row>
    <row r="276" spans="1:8" x14ac:dyDescent="0.3">
      <c r="A276" s="771"/>
      <c r="B276" s="771"/>
      <c r="C276" s="771"/>
      <c r="D276" s="771"/>
      <c r="E276" s="771"/>
      <c r="F276" s="771"/>
      <c r="G276" s="771"/>
      <c r="H276" s="771"/>
    </row>
  </sheetData>
  <mergeCells count="236">
    <mergeCell ref="B271:G271"/>
    <mergeCell ref="B272:G272"/>
    <mergeCell ref="A274:G274"/>
    <mergeCell ref="A275:G275"/>
    <mergeCell ref="B265:G265"/>
    <mergeCell ref="B266:G266"/>
    <mergeCell ref="B267:G267"/>
    <mergeCell ref="B268:G268"/>
    <mergeCell ref="B269:G269"/>
    <mergeCell ref="B270:G270"/>
    <mergeCell ref="A262:A263"/>
    <mergeCell ref="B262:B263"/>
    <mergeCell ref="D262:D263"/>
    <mergeCell ref="E262:E263"/>
    <mergeCell ref="F262:F263"/>
    <mergeCell ref="G262:G263"/>
    <mergeCell ref="A255:F255"/>
    <mergeCell ref="A256:G256"/>
    <mergeCell ref="B257:F257"/>
    <mergeCell ref="A258:F258"/>
    <mergeCell ref="A259:F259"/>
    <mergeCell ref="A261:G261"/>
    <mergeCell ref="A249:F249"/>
    <mergeCell ref="A250:G250"/>
    <mergeCell ref="A251:A254"/>
    <mergeCell ref="B251:F251"/>
    <mergeCell ref="B252:F252"/>
    <mergeCell ref="B253:F253"/>
    <mergeCell ref="B254:F254"/>
    <mergeCell ref="A240:G240"/>
    <mergeCell ref="A241:H241"/>
    <mergeCell ref="B243:F243"/>
    <mergeCell ref="A244:G244"/>
    <mergeCell ref="A245:A248"/>
    <mergeCell ref="B245:F245"/>
    <mergeCell ref="B246:F246"/>
    <mergeCell ref="B247:F247"/>
    <mergeCell ref="B248:F248"/>
    <mergeCell ref="B213:G213"/>
    <mergeCell ref="B214:G214"/>
    <mergeCell ref="A216:G216"/>
    <mergeCell ref="A217:G217"/>
    <mergeCell ref="A228:I228"/>
    <mergeCell ref="A239:G239"/>
    <mergeCell ref="B207:G207"/>
    <mergeCell ref="B208:G208"/>
    <mergeCell ref="B209:G209"/>
    <mergeCell ref="B210:G210"/>
    <mergeCell ref="B211:G211"/>
    <mergeCell ref="B212:G212"/>
    <mergeCell ref="A204:A205"/>
    <mergeCell ref="B204:B205"/>
    <mergeCell ref="D204:D205"/>
    <mergeCell ref="E204:E205"/>
    <mergeCell ref="F204:F205"/>
    <mergeCell ref="G204:G205"/>
    <mergeCell ref="A197:F197"/>
    <mergeCell ref="A198:G198"/>
    <mergeCell ref="B199:F199"/>
    <mergeCell ref="A200:F200"/>
    <mergeCell ref="A201:F201"/>
    <mergeCell ref="A203:G203"/>
    <mergeCell ref="A191:F191"/>
    <mergeCell ref="A192:G192"/>
    <mergeCell ref="A193:A196"/>
    <mergeCell ref="B193:F193"/>
    <mergeCell ref="B194:F194"/>
    <mergeCell ref="B195:F195"/>
    <mergeCell ref="B196:F196"/>
    <mergeCell ref="A183:G183"/>
    <mergeCell ref="B185:F185"/>
    <mergeCell ref="A186:G186"/>
    <mergeCell ref="A187:A190"/>
    <mergeCell ref="B187:F187"/>
    <mergeCell ref="B188:F188"/>
    <mergeCell ref="B189:F189"/>
    <mergeCell ref="B190:F190"/>
    <mergeCell ref="B171:G171"/>
    <mergeCell ref="B172:G172"/>
    <mergeCell ref="A174:G174"/>
    <mergeCell ref="A175:G175"/>
    <mergeCell ref="A181:G181"/>
    <mergeCell ref="A182:G182"/>
    <mergeCell ref="B165:G165"/>
    <mergeCell ref="B166:G166"/>
    <mergeCell ref="B167:G167"/>
    <mergeCell ref="B168:G168"/>
    <mergeCell ref="B169:G169"/>
    <mergeCell ref="B170:G170"/>
    <mergeCell ref="A162:A163"/>
    <mergeCell ref="B162:B163"/>
    <mergeCell ref="D162:D163"/>
    <mergeCell ref="E162:E163"/>
    <mergeCell ref="F162:F163"/>
    <mergeCell ref="G162:G163"/>
    <mergeCell ref="A155:F155"/>
    <mergeCell ref="A156:G156"/>
    <mergeCell ref="B157:F157"/>
    <mergeCell ref="A158:F158"/>
    <mergeCell ref="A159:F159"/>
    <mergeCell ref="A161:G161"/>
    <mergeCell ref="A149:F149"/>
    <mergeCell ref="A150:G150"/>
    <mergeCell ref="A151:A154"/>
    <mergeCell ref="B151:F151"/>
    <mergeCell ref="B152:F152"/>
    <mergeCell ref="B153:F153"/>
    <mergeCell ref="B154:F154"/>
    <mergeCell ref="A141:G141"/>
    <mergeCell ref="B143:F143"/>
    <mergeCell ref="A144:G144"/>
    <mergeCell ref="A145:A148"/>
    <mergeCell ref="B145:F145"/>
    <mergeCell ref="B146:F146"/>
    <mergeCell ref="B147:F147"/>
    <mergeCell ref="B148:F148"/>
    <mergeCell ref="B131:G131"/>
    <mergeCell ref="B132:G132"/>
    <mergeCell ref="A134:G134"/>
    <mergeCell ref="A135:G135"/>
    <mergeCell ref="A139:G139"/>
    <mergeCell ref="A140:G140"/>
    <mergeCell ref="B125:G125"/>
    <mergeCell ref="B126:G126"/>
    <mergeCell ref="B127:G127"/>
    <mergeCell ref="B128:G128"/>
    <mergeCell ref="B129:G129"/>
    <mergeCell ref="B130:G130"/>
    <mergeCell ref="A122:A123"/>
    <mergeCell ref="B122:B123"/>
    <mergeCell ref="D122:D123"/>
    <mergeCell ref="E122:E123"/>
    <mergeCell ref="F122:F123"/>
    <mergeCell ref="G122:G123"/>
    <mergeCell ref="A115:F115"/>
    <mergeCell ref="A116:G116"/>
    <mergeCell ref="B117:F117"/>
    <mergeCell ref="A118:F118"/>
    <mergeCell ref="A119:F119"/>
    <mergeCell ref="A121:G121"/>
    <mergeCell ref="A109:F109"/>
    <mergeCell ref="A110:G110"/>
    <mergeCell ref="A111:A114"/>
    <mergeCell ref="B111:F111"/>
    <mergeCell ref="B112:F112"/>
    <mergeCell ref="B113:F113"/>
    <mergeCell ref="B114:F114"/>
    <mergeCell ref="A100:G100"/>
    <mergeCell ref="A101:G101"/>
    <mergeCell ref="B103:F103"/>
    <mergeCell ref="A104:G104"/>
    <mergeCell ref="A105:A108"/>
    <mergeCell ref="B105:F105"/>
    <mergeCell ref="B106:F106"/>
    <mergeCell ref="B107:F107"/>
    <mergeCell ref="B108:F108"/>
    <mergeCell ref="B75:G75"/>
    <mergeCell ref="B76:G76"/>
    <mergeCell ref="A78:G78"/>
    <mergeCell ref="A79:G79"/>
    <mergeCell ref="A90:I90"/>
    <mergeCell ref="A99:G99"/>
    <mergeCell ref="B69:G69"/>
    <mergeCell ref="B70:G70"/>
    <mergeCell ref="B71:G71"/>
    <mergeCell ref="B72:G72"/>
    <mergeCell ref="B73:G73"/>
    <mergeCell ref="B74:G74"/>
    <mergeCell ref="A66:A67"/>
    <mergeCell ref="B66:B67"/>
    <mergeCell ref="D66:D67"/>
    <mergeCell ref="E66:E67"/>
    <mergeCell ref="F66:F67"/>
    <mergeCell ref="G66:G67"/>
    <mergeCell ref="A59:F59"/>
    <mergeCell ref="A60:G60"/>
    <mergeCell ref="B61:F61"/>
    <mergeCell ref="A62:F62"/>
    <mergeCell ref="A63:F63"/>
    <mergeCell ref="A65:G65"/>
    <mergeCell ref="A53:F53"/>
    <mergeCell ref="A54:G54"/>
    <mergeCell ref="A55:A58"/>
    <mergeCell ref="B55:F55"/>
    <mergeCell ref="B56:F56"/>
    <mergeCell ref="B57:F57"/>
    <mergeCell ref="B58:F58"/>
    <mergeCell ref="A45:G45"/>
    <mergeCell ref="B47:F47"/>
    <mergeCell ref="A48:G48"/>
    <mergeCell ref="A49:A52"/>
    <mergeCell ref="B49:F49"/>
    <mergeCell ref="B50:F50"/>
    <mergeCell ref="B51:F51"/>
    <mergeCell ref="B52:F52"/>
    <mergeCell ref="B34:G34"/>
    <mergeCell ref="B35:G35"/>
    <mergeCell ref="A37:G37"/>
    <mergeCell ref="A38:G38"/>
    <mergeCell ref="A43:G43"/>
    <mergeCell ref="A44:G44"/>
    <mergeCell ref="B28:G28"/>
    <mergeCell ref="B29:G29"/>
    <mergeCell ref="B30:G30"/>
    <mergeCell ref="B31:G31"/>
    <mergeCell ref="B32:G32"/>
    <mergeCell ref="B33:G33"/>
    <mergeCell ref="A25:A26"/>
    <mergeCell ref="B25:B26"/>
    <mergeCell ref="D25:D26"/>
    <mergeCell ref="E25:E26"/>
    <mergeCell ref="F25:F26"/>
    <mergeCell ref="G25:G26"/>
    <mergeCell ref="A18:F18"/>
    <mergeCell ref="A19:G19"/>
    <mergeCell ref="B20:F20"/>
    <mergeCell ref="A21:F21"/>
    <mergeCell ref="A22:F22"/>
    <mergeCell ref="A24:G24"/>
    <mergeCell ref="A12:F12"/>
    <mergeCell ref="A13:G13"/>
    <mergeCell ref="A14:A17"/>
    <mergeCell ref="B14:F14"/>
    <mergeCell ref="B15:F15"/>
    <mergeCell ref="B16:F16"/>
    <mergeCell ref="B17:F17"/>
    <mergeCell ref="A2:G2"/>
    <mergeCell ref="A3:G3"/>
    <mergeCell ref="A4:G4"/>
    <mergeCell ref="B6:F6"/>
    <mergeCell ref="A7:G7"/>
    <mergeCell ref="A8:A11"/>
    <mergeCell ref="B8:F8"/>
    <mergeCell ref="B9:F9"/>
    <mergeCell ref="B10:F10"/>
    <mergeCell ref="B11:F11"/>
  </mergeCells>
  <dataValidations count="2">
    <dataValidation type="list" allowBlank="1" showInputMessage="1" showErrorMessage="1" sqref="A4:G4 A45:G45 A101:G101" xr:uid="{3F541D7F-2706-4C2E-84C6-F56227E76AD7}">
      <formula1>$B$51:$B$52</formula1>
    </dataValidation>
    <dataValidation type="list" allowBlank="1" showInputMessage="1" showErrorMessage="1" sqref="G5 G46 G102 G142 G184 G242" xr:uid="{04C36CFD-4CCF-4531-B1E9-508F5326EA9C}">
      <formula1>$B$54:$B$56</formula1>
    </dataValidation>
  </dataValidations>
  <pageMargins left="0.511811024" right="0.511811024" top="0.78740157499999996" bottom="0.78740157499999996" header="0.31496062000000002" footer="0.31496062000000002"/>
  <pageSetup paperSize="9" scale="82" orientation="portrait" r:id="rId1"/>
  <rowBreaks count="2" manualBreakCount="2">
    <brk id="39" max="8" man="1"/>
    <brk id="96" max="8"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E87ED-BCA9-49F2-99E2-09191D7CE886}">
  <sheetPr>
    <tabColor rgb="FF00B050"/>
  </sheetPr>
  <dimension ref="A1:I85"/>
  <sheetViews>
    <sheetView workbookViewId="0">
      <selection activeCell="G45" sqref="G45"/>
    </sheetView>
  </sheetViews>
  <sheetFormatPr defaultColWidth="10.4140625" defaultRowHeight="14" x14ac:dyDescent="0.3"/>
  <cols>
    <col min="1" max="1" width="7.33203125" customWidth="1"/>
    <col min="2" max="2" width="71.5" style="763" customWidth="1"/>
    <col min="3" max="3" width="23.4140625" style="764" customWidth="1"/>
    <col min="4" max="4" width="23.4140625" style="770" customWidth="1"/>
    <col min="5" max="5" width="23.4140625" style="765" customWidth="1"/>
    <col min="6" max="6" width="23.4140625" customWidth="1"/>
    <col min="7" max="7" width="24.33203125" customWidth="1"/>
    <col min="8" max="8" width="12.25" bestFit="1" customWidth="1"/>
    <col min="9" max="9" width="16.08203125" bestFit="1" customWidth="1"/>
    <col min="230" max="230" width="25.25" customWidth="1"/>
    <col min="231" max="231" width="0" hidden="1" customWidth="1"/>
    <col min="232" max="232" width="12.83203125" customWidth="1"/>
    <col min="233" max="233" width="12.4140625" customWidth="1"/>
    <col min="234" max="236" width="13.75" customWidth="1"/>
    <col min="237" max="240" width="12.83203125" customWidth="1"/>
    <col min="241" max="243" width="13.33203125" customWidth="1"/>
    <col min="244" max="244" width="14.5" customWidth="1"/>
    <col min="245" max="245" width="9.9140625" customWidth="1"/>
    <col min="246" max="246" width="10.83203125" customWidth="1"/>
    <col min="486" max="486" width="25.25" customWidth="1"/>
    <col min="487" max="487" width="0" hidden="1" customWidth="1"/>
    <col min="488" max="488" width="12.83203125" customWidth="1"/>
    <col min="489" max="489" width="12.4140625" customWidth="1"/>
    <col min="490" max="492" width="13.75" customWidth="1"/>
    <col min="493" max="496" width="12.83203125" customWidth="1"/>
    <col min="497" max="499" width="13.33203125" customWidth="1"/>
    <col min="500" max="500" width="14.5" customWidth="1"/>
    <col min="501" max="501" width="9.9140625" customWidth="1"/>
    <col min="502" max="502" width="10.83203125" customWidth="1"/>
    <col min="742" max="742" width="25.25" customWidth="1"/>
    <col min="743" max="743" width="0" hidden="1" customWidth="1"/>
    <col min="744" max="744" width="12.83203125" customWidth="1"/>
    <col min="745" max="745" width="12.4140625" customWidth="1"/>
    <col min="746" max="748" width="13.75" customWidth="1"/>
    <col min="749" max="752" width="12.83203125" customWidth="1"/>
    <col min="753" max="755" width="13.33203125" customWidth="1"/>
    <col min="756" max="756" width="14.5" customWidth="1"/>
    <col min="757" max="757" width="9.9140625" customWidth="1"/>
    <col min="758" max="758" width="10.83203125" customWidth="1"/>
    <col min="998" max="998" width="25.25" customWidth="1"/>
    <col min="999" max="999" width="0" hidden="1" customWidth="1"/>
    <col min="1000" max="1000" width="12.83203125" customWidth="1"/>
    <col min="1001" max="1001" width="12.4140625" customWidth="1"/>
    <col min="1002" max="1004" width="13.75" customWidth="1"/>
    <col min="1005" max="1008" width="12.83203125" customWidth="1"/>
    <col min="1009" max="1011" width="13.33203125" customWidth="1"/>
    <col min="1012" max="1012" width="14.5" customWidth="1"/>
    <col min="1013" max="1013" width="9.9140625" customWidth="1"/>
    <col min="1014" max="1014" width="10.83203125" customWidth="1"/>
    <col min="1254" max="1254" width="25.25" customWidth="1"/>
    <col min="1255" max="1255" width="0" hidden="1" customWidth="1"/>
    <col min="1256" max="1256" width="12.83203125" customWidth="1"/>
    <col min="1257" max="1257" width="12.4140625" customWidth="1"/>
    <col min="1258" max="1260" width="13.75" customWidth="1"/>
    <col min="1261" max="1264" width="12.83203125" customWidth="1"/>
    <col min="1265" max="1267" width="13.33203125" customWidth="1"/>
    <col min="1268" max="1268" width="14.5" customWidth="1"/>
    <col min="1269" max="1269" width="9.9140625" customWidth="1"/>
    <col min="1270" max="1270" width="10.83203125" customWidth="1"/>
    <col min="1510" max="1510" width="25.25" customWidth="1"/>
    <col min="1511" max="1511" width="0" hidden="1" customWidth="1"/>
    <col min="1512" max="1512" width="12.83203125" customWidth="1"/>
    <col min="1513" max="1513" width="12.4140625" customWidth="1"/>
    <col min="1514" max="1516" width="13.75" customWidth="1"/>
    <col min="1517" max="1520" width="12.83203125" customWidth="1"/>
    <col min="1521" max="1523" width="13.33203125" customWidth="1"/>
    <col min="1524" max="1524" width="14.5" customWidth="1"/>
    <col min="1525" max="1525" width="9.9140625" customWidth="1"/>
    <col min="1526" max="1526" width="10.83203125" customWidth="1"/>
    <col min="1766" max="1766" width="25.25" customWidth="1"/>
    <col min="1767" max="1767" width="0" hidden="1" customWidth="1"/>
    <col min="1768" max="1768" width="12.83203125" customWidth="1"/>
    <col min="1769" max="1769" width="12.4140625" customWidth="1"/>
    <col min="1770" max="1772" width="13.75" customWidth="1"/>
    <col min="1773" max="1776" width="12.83203125" customWidth="1"/>
    <col min="1777" max="1779" width="13.33203125" customWidth="1"/>
    <col min="1780" max="1780" width="14.5" customWidth="1"/>
    <col min="1781" max="1781" width="9.9140625" customWidth="1"/>
    <col min="1782" max="1782" width="10.83203125" customWidth="1"/>
    <col min="2022" max="2022" width="25.25" customWidth="1"/>
    <col min="2023" max="2023" width="0" hidden="1" customWidth="1"/>
    <col min="2024" max="2024" width="12.83203125" customWidth="1"/>
    <col min="2025" max="2025" width="12.4140625" customWidth="1"/>
    <col min="2026" max="2028" width="13.75" customWidth="1"/>
    <col min="2029" max="2032" width="12.83203125" customWidth="1"/>
    <col min="2033" max="2035" width="13.33203125" customWidth="1"/>
    <col min="2036" max="2036" width="14.5" customWidth="1"/>
    <col min="2037" max="2037" width="9.9140625" customWidth="1"/>
    <col min="2038" max="2038" width="10.83203125" customWidth="1"/>
    <col min="2278" max="2278" width="25.25" customWidth="1"/>
    <col min="2279" max="2279" width="0" hidden="1" customWidth="1"/>
    <col min="2280" max="2280" width="12.83203125" customWidth="1"/>
    <col min="2281" max="2281" width="12.4140625" customWidth="1"/>
    <col min="2282" max="2284" width="13.75" customWidth="1"/>
    <col min="2285" max="2288" width="12.83203125" customWidth="1"/>
    <col min="2289" max="2291" width="13.33203125" customWidth="1"/>
    <col min="2292" max="2292" width="14.5" customWidth="1"/>
    <col min="2293" max="2293" width="9.9140625" customWidth="1"/>
    <col min="2294" max="2294" width="10.83203125" customWidth="1"/>
    <col min="2534" max="2534" width="25.25" customWidth="1"/>
    <col min="2535" max="2535" width="0" hidden="1" customWidth="1"/>
    <col min="2536" max="2536" width="12.83203125" customWidth="1"/>
    <col min="2537" max="2537" width="12.4140625" customWidth="1"/>
    <col min="2538" max="2540" width="13.75" customWidth="1"/>
    <col min="2541" max="2544" width="12.83203125" customWidth="1"/>
    <col min="2545" max="2547" width="13.33203125" customWidth="1"/>
    <col min="2548" max="2548" width="14.5" customWidth="1"/>
    <col min="2549" max="2549" width="9.9140625" customWidth="1"/>
    <col min="2550" max="2550" width="10.83203125" customWidth="1"/>
    <col min="2790" max="2790" width="25.25" customWidth="1"/>
    <col min="2791" max="2791" width="0" hidden="1" customWidth="1"/>
    <col min="2792" max="2792" width="12.83203125" customWidth="1"/>
    <col min="2793" max="2793" width="12.4140625" customWidth="1"/>
    <col min="2794" max="2796" width="13.75" customWidth="1"/>
    <col min="2797" max="2800" width="12.83203125" customWidth="1"/>
    <col min="2801" max="2803" width="13.33203125" customWidth="1"/>
    <col min="2804" max="2804" width="14.5" customWidth="1"/>
    <col min="2805" max="2805" width="9.9140625" customWidth="1"/>
    <col min="2806" max="2806" width="10.83203125" customWidth="1"/>
    <col min="3046" max="3046" width="25.25" customWidth="1"/>
    <col min="3047" max="3047" width="0" hidden="1" customWidth="1"/>
    <col min="3048" max="3048" width="12.83203125" customWidth="1"/>
    <col min="3049" max="3049" width="12.4140625" customWidth="1"/>
    <col min="3050" max="3052" width="13.75" customWidth="1"/>
    <col min="3053" max="3056" width="12.83203125" customWidth="1"/>
    <col min="3057" max="3059" width="13.33203125" customWidth="1"/>
    <col min="3060" max="3060" width="14.5" customWidth="1"/>
    <col min="3061" max="3061" width="9.9140625" customWidth="1"/>
    <col min="3062" max="3062" width="10.83203125" customWidth="1"/>
    <col min="3302" max="3302" width="25.25" customWidth="1"/>
    <col min="3303" max="3303" width="0" hidden="1" customWidth="1"/>
    <col min="3304" max="3304" width="12.83203125" customWidth="1"/>
    <col min="3305" max="3305" width="12.4140625" customWidth="1"/>
    <col min="3306" max="3308" width="13.75" customWidth="1"/>
    <col min="3309" max="3312" width="12.83203125" customWidth="1"/>
    <col min="3313" max="3315" width="13.33203125" customWidth="1"/>
    <col min="3316" max="3316" width="14.5" customWidth="1"/>
    <col min="3317" max="3317" width="9.9140625" customWidth="1"/>
    <col min="3318" max="3318" width="10.83203125" customWidth="1"/>
    <col min="3558" max="3558" width="25.25" customWidth="1"/>
    <col min="3559" max="3559" width="0" hidden="1" customWidth="1"/>
    <col min="3560" max="3560" width="12.83203125" customWidth="1"/>
    <col min="3561" max="3561" width="12.4140625" customWidth="1"/>
    <col min="3562" max="3564" width="13.75" customWidth="1"/>
    <col min="3565" max="3568" width="12.83203125" customWidth="1"/>
    <col min="3569" max="3571" width="13.33203125" customWidth="1"/>
    <col min="3572" max="3572" width="14.5" customWidth="1"/>
    <col min="3573" max="3573" width="9.9140625" customWidth="1"/>
    <col min="3574" max="3574" width="10.83203125" customWidth="1"/>
    <col min="3814" max="3814" width="25.25" customWidth="1"/>
    <col min="3815" max="3815" width="0" hidden="1" customWidth="1"/>
    <col min="3816" max="3816" width="12.83203125" customWidth="1"/>
    <col min="3817" max="3817" width="12.4140625" customWidth="1"/>
    <col min="3818" max="3820" width="13.75" customWidth="1"/>
    <col min="3821" max="3824" width="12.83203125" customWidth="1"/>
    <col min="3825" max="3827" width="13.33203125" customWidth="1"/>
    <col min="3828" max="3828" width="14.5" customWidth="1"/>
    <col min="3829" max="3829" width="9.9140625" customWidth="1"/>
    <col min="3830" max="3830" width="10.83203125" customWidth="1"/>
    <col min="4070" max="4070" width="25.25" customWidth="1"/>
    <col min="4071" max="4071" width="0" hidden="1" customWidth="1"/>
    <col min="4072" max="4072" width="12.83203125" customWidth="1"/>
    <col min="4073" max="4073" width="12.4140625" customWidth="1"/>
    <col min="4074" max="4076" width="13.75" customWidth="1"/>
    <col min="4077" max="4080" width="12.83203125" customWidth="1"/>
    <col min="4081" max="4083" width="13.33203125" customWidth="1"/>
    <col min="4084" max="4084" width="14.5" customWidth="1"/>
    <col min="4085" max="4085" width="9.9140625" customWidth="1"/>
    <col min="4086" max="4086" width="10.83203125" customWidth="1"/>
    <col min="4326" max="4326" width="25.25" customWidth="1"/>
    <col min="4327" max="4327" width="0" hidden="1" customWidth="1"/>
    <col min="4328" max="4328" width="12.83203125" customWidth="1"/>
    <col min="4329" max="4329" width="12.4140625" customWidth="1"/>
    <col min="4330" max="4332" width="13.75" customWidth="1"/>
    <col min="4333" max="4336" width="12.83203125" customWidth="1"/>
    <col min="4337" max="4339" width="13.33203125" customWidth="1"/>
    <col min="4340" max="4340" width="14.5" customWidth="1"/>
    <col min="4341" max="4341" width="9.9140625" customWidth="1"/>
    <col min="4342" max="4342" width="10.83203125" customWidth="1"/>
    <col min="4582" max="4582" width="25.25" customWidth="1"/>
    <col min="4583" max="4583" width="0" hidden="1" customWidth="1"/>
    <col min="4584" max="4584" width="12.83203125" customWidth="1"/>
    <col min="4585" max="4585" width="12.4140625" customWidth="1"/>
    <col min="4586" max="4588" width="13.75" customWidth="1"/>
    <col min="4589" max="4592" width="12.83203125" customWidth="1"/>
    <col min="4593" max="4595" width="13.33203125" customWidth="1"/>
    <col min="4596" max="4596" width="14.5" customWidth="1"/>
    <col min="4597" max="4597" width="9.9140625" customWidth="1"/>
    <col min="4598" max="4598" width="10.83203125" customWidth="1"/>
    <col min="4838" max="4838" width="25.25" customWidth="1"/>
    <col min="4839" max="4839" width="0" hidden="1" customWidth="1"/>
    <col min="4840" max="4840" width="12.83203125" customWidth="1"/>
    <col min="4841" max="4841" width="12.4140625" customWidth="1"/>
    <col min="4842" max="4844" width="13.75" customWidth="1"/>
    <col min="4845" max="4848" width="12.83203125" customWidth="1"/>
    <col min="4849" max="4851" width="13.33203125" customWidth="1"/>
    <col min="4852" max="4852" width="14.5" customWidth="1"/>
    <col min="4853" max="4853" width="9.9140625" customWidth="1"/>
    <col min="4854" max="4854" width="10.83203125" customWidth="1"/>
    <col min="5094" max="5094" width="25.25" customWidth="1"/>
    <col min="5095" max="5095" width="0" hidden="1" customWidth="1"/>
    <col min="5096" max="5096" width="12.83203125" customWidth="1"/>
    <col min="5097" max="5097" width="12.4140625" customWidth="1"/>
    <col min="5098" max="5100" width="13.75" customWidth="1"/>
    <col min="5101" max="5104" width="12.83203125" customWidth="1"/>
    <col min="5105" max="5107" width="13.33203125" customWidth="1"/>
    <col min="5108" max="5108" width="14.5" customWidth="1"/>
    <col min="5109" max="5109" width="9.9140625" customWidth="1"/>
    <col min="5110" max="5110" width="10.83203125" customWidth="1"/>
    <col min="5350" max="5350" width="25.25" customWidth="1"/>
    <col min="5351" max="5351" width="0" hidden="1" customWidth="1"/>
    <col min="5352" max="5352" width="12.83203125" customWidth="1"/>
    <col min="5353" max="5353" width="12.4140625" customWidth="1"/>
    <col min="5354" max="5356" width="13.75" customWidth="1"/>
    <col min="5357" max="5360" width="12.83203125" customWidth="1"/>
    <col min="5361" max="5363" width="13.33203125" customWidth="1"/>
    <col min="5364" max="5364" width="14.5" customWidth="1"/>
    <col min="5365" max="5365" width="9.9140625" customWidth="1"/>
    <col min="5366" max="5366" width="10.83203125" customWidth="1"/>
    <col min="5606" max="5606" width="25.25" customWidth="1"/>
    <col min="5607" max="5607" width="0" hidden="1" customWidth="1"/>
    <col min="5608" max="5608" width="12.83203125" customWidth="1"/>
    <col min="5609" max="5609" width="12.4140625" customWidth="1"/>
    <col min="5610" max="5612" width="13.75" customWidth="1"/>
    <col min="5613" max="5616" width="12.83203125" customWidth="1"/>
    <col min="5617" max="5619" width="13.33203125" customWidth="1"/>
    <col min="5620" max="5620" width="14.5" customWidth="1"/>
    <col min="5621" max="5621" width="9.9140625" customWidth="1"/>
    <col min="5622" max="5622" width="10.83203125" customWidth="1"/>
    <col min="5862" max="5862" width="25.25" customWidth="1"/>
    <col min="5863" max="5863" width="0" hidden="1" customWidth="1"/>
    <col min="5864" max="5864" width="12.83203125" customWidth="1"/>
    <col min="5865" max="5865" width="12.4140625" customWidth="1"/>
    <col min="5866" max="5868" width="13.75" customWidth="1"/>
    <col min="5869" max="5872" width="12.83203125" customWidth="1"/>
    <col min="5873" max="5875" width="13.33203125" customWidth="1"/>
    <col min="5876" max="5876" width="14.5" customWidth="1"/>
    <col min="5877" max="5877" width="9.9140625" customWidth="1"/>
    <col min="5878" max="5878" width="10.83203125" customWidth="1"/>
    <col min="6118" max="6118" width="25.25" customWidth="1"/>
    <col min="6119" max="6119" width="0" hidden="1" customWidth="1"/>
    <col min="6120" max="6120" width="12.83203125" customWidth="1"/>
    <col min="6121" max="6121" width="12.4140625" customWidth="1"/>
    <col min="6122" max="6124" width="13.75" customWidth="1"/>
    <col min="6125" max="6128" width="12.83203125" customWidth="1"/>
    <col min="6129" max="6131" width="13.33203125" customWidth="1"/>
    <col min="6132" max="6132" width="14.5" customWidth="1"/>
    <col min="6133" max="6133" width="9.9140625" customWidth="1"/>
    <col min="6134" max="6134" width="10.83203125" customWidth="1"/>
    <col min="6374" max="6374" width="25.25" customWidth="1"/>
    <col min="6375" max="6375" width="0" hidden="1" customWidth="1"/>
    <col min="6376" max="6376" width="12.83203125" customWidth="1"/>
    <col min="6377" max="6377" width="12.4140625" customWidth="1"/>
    <col min="6378" max="6380" width="13.75" customWidth="1"/>
    <col min="6381" max="6384" width="12.83203125" customWidth="1"/>
    <col min="6385" max="6387" width="13.33203125" customWidth="1"/>
    <col min="6388" max="6388" width="14.5" customWidth="1"/>
    <col min="6389" max="6389" width="9.9140625" customWidth="1"/>
    <col min="6390" max="6390" width="10.83203125" customWidth="1"/>
    <col min="6630" max="6630" width="25.25" customWidth="1"/>
    <col min="6631" max="6631" width="0" hidden="1" customWidth="1"/>
    <col min="6632" max="6632" width="12.83203125" customWidth="1"/>
    <col min="6633" max="6633" width="12.4140625" customWidth="1"/>
    <col min="6634" max="6636" width="13.75" customWidth="1"/>
    <col min="6637" max="6640" width="12.83203125" customWidth="1"/>
    <col min="6641" max="6643" width="13.33203125" customWidth="1"/>
    <col min="6644" max="6644" width="14.5" customWidth="1"/>
    <col min="6645" max="6645" width="9.9140625" customWidth="1"/>
    <col min="6646" max="6646" width="10.83203125" customWidth="1"/>
    <col min="6886" max="6886" width="25.25" customWidth="1"/>
    <col min="6887" max="6887" width="0" hidden="1" customWidth="1"/>
    <col min="6888" max="6888" width="12.83203125" customWidth="1"/>
    <col min="6889" max="6889" width="12.4140625" customWidth="1"/>
    <col min="6890" max="6892" width="13.75" customWidth="1"/>
    <col min="6893" max="6896" width="12.83203125" customWidth="1"/>
    <col min="6897" max="6899" width="13.33203125" customWidth="1"/>
    <col min="6900" max="6900" width="14.5" customWidth="1"/>
    <col min="6901" max="6901" width="9.9140625" customWidth="1"/>
    <col min="6902" max="6902" width="10.83203125" customWidth="1"/>
    <col min="7142" max="7142" width="25.25" customWidth="1"/>
    <col min="7143" max="7143" width="0" hidden="1" customWidth="1"/>
    <col min="7144" max="7144" width="12.83203125" customWidth="1"/>
    <col min="7145" max="7145" width="12.4140625" customWidth="1"/>
    <col min="7146" max="7148" width="13.75" customWidth="1"/>
    <col min="7149" max="7152" width="12.83203125" customWidth="1"/>
    <col min="7153" max="7155" width="13.33203125" customWidth="1"/>
    <col min="7156" max="7156" width="14.5" customWidth="1"/>
    <col min="7157" max="7157" width="9.9140625" customWidth="1"/>
    <col min="7158" max="7158" width="10.83203125" customWidth="1"/>
    <col min="7398" max="7398" width="25.25" customWidth="1"/>
    <col min="7399" max="7399" width="0" hidden="1" customWidth="1"/>
    <col min="7400" max="7400" width="12.83203125" customWidth="1"/>
    <col min="7401" max="7401" width="12.4140625" customWidth="1"/>
    <col min="7402" max="7404" width="13.75" customWidth="1"/>
    <col min="7405" max="7408" width="12.83203125" customWidth="1"/>
    <col min="7409" max="7411" width="13.33203125" customWidth="1"/>
    <col min="7412" max="7412" width="14.5" customWidth="1"/>
    <col min="7413" max="7413" width="9.9140625" customWidth="1"/>
    <col min="7414" max="7414" width="10.83203125" customWidth="1"/>
    <col min="7654" max="7654" width="25.25" customWidth="1"/>
    <col min="7655" max="7655" width="0" hidden="1" customWidth="1"/>
    <col min="7656" max="7656" width="12.83203125" customWidth="1"/>
    <col min="7657" max="7657" width="12.4140625" customWidth="1"/>
    <col min="7658" max="7660" width="13.75" customWidth="1"/>
    <col min="7661" max="7664" width="12.83203125" customWidth="1"/>
    <col min="7665" max="7667" width="13.33203125" customWidth="1"/>
    <col min="7668" max="7668" width="14.5" customWidth="1"/>
    <col min="7669" max="7669" width="9.9140625" customWidth="1"/>
    <col min="7670" max="7670" width="10.83203125" customWidth="1"/>
    <col min="7910" max="7910" width="25.25" customWidth="1"/>
    <col min="7911" max="7911" width="0" hidden="1" customWidth="1"/>
    <col min="7912" max="7912" width="12.83203125" customWidth="1"/>
    <col min="7913" max="7913" width="12.4140625" customWidth="1"/>
    <col min="7914" max="7916" width="13.75" customWidth="1"/>
    <col min="7917" max="7920" width="12.83203125" customWidth="1"/>
    <col min="7921" max="7923" width="13.33203125" customWidth="1"/>
    <col min="7924" max="7924" width="14.5" customWidth="1"/>
    <col min="7925" max="7925" width="9.9140625" customWidth="1"/>
    <col min="7926" max="7926" width="10.83203125" customWidth="1"/>
    <col min="8166" max="8166" width="25.25" customWidth="1"/>
    <col min="8167" max="8167" width="0" hidden="1" customWidth="1"/>
    <col min="8168" max="8168" width="12.83203125" customWidth="1"/>
    <col min="8169" max="8169" width="12.4140625" customWidth="1"/>
    <col min="8170" max="8172" width="13.75" customWidth="1"/>
    <col min="8173" max="8176" width="12.83203125" customWidth="1"/>
    <col min="8177" max="8179" width="13.33203125" customWidth="1"/>
    <col min="8180" max="8180" width="14.5" customWidth="1"/>
    <col min="8181" max="8181" width="9.9140625" customWidth="1"/>
    <col min="8182" max="8182" width="10.83203125" customWidth="1"/>
    <col min="8422" max="8422" width="25.25" customWidth="1"/>
    <col min="8423" max="8423" width="0" hidden="1" customWidth="1"/>
    <col min="8424" max="8424" width="12.83203125" customWidth="1"/>
    <col min="8425" max="8425" width="12.4140625" customWidth="1"/>
    <col min="8426" max="8428" width="13.75" customWidth="1"/>
    <col min="8429" max="8432" width="12.83203125" customWidth="1"/>
    <col min="8433" max="8435" width="13.33203125" customWidth="1"/>
    <col min="8436" max="8436" width="14.5" customWidth="1"/>
    <col min="8437" max="8437" width="9.9140625" customWidth="1"/>
    <col min="8438" max="8438" width="10.83203125" customWidth="1"/>
    <col min="8678" max="8678" width="25.25" customWidth="1"/>
    <col min="8679" max="8679" width="0" hidden="1" customWidth="1"/>
    <col min="8680" max="8680" width="12.83203125" customWidth="1"/>
    <col min="8681" max="8681" width="12.4140625" customWidth="1"/>
    <col min="8682" max="8684" width="13.75" customWidth="1"/>
    <col min="8685" max="8688" width="12.83203125" customWidth="1"/>
    <col min="8689" max="8691" width="13.33203125" customWidth="1"/>
    <col min="8692" max="8692" width="14.5" customWidth="1"/>
    <col min="8693" max="8693" width="9.9140625" customWidth="1"/>
    <col min="8694" max="8694" width="10.83203125" customWidth="1"/>
    <col min="8934" max="8934" width="25.25" customWidth="1"/>
    <col min="8935" max="8935" width="0" hidden="1" customWidth="1"/>
    <col min="8936" max="8936" width="12.83203125" customWidth="1"/>
    <col min="8937" max="8937" width="12.4140625" customWidth="1"/>
    <col min="8938" max="8940" width="13.75" customWidth="1"/>
    <col min="8941" max="8944" width="12.83203125" customWidth="1"/>
    <col min="8945" max="8947" width="13.33203125" customWidth="1"/>
    <col min="8948" max="8948" width="14.5" customWidth="1"/>
    <col min="8949" max="8949" width="9.9140625" customWidth="1"/>
    <col min="8950" max="8950" width="10.83203125" customWidth="1"/>
    <col min="9190" max="9190" width="25.25" customWidth="1"/>
    <col min="9191" max="9191" width="0" hidden="1" customWidth="1"/>
    <col min="9192" max="9192" width="12.83203125" customWidth="1"/>
    <col min="9193" max="9193" width="12.4140625" customWidth="1"/>
    <col min="9194" max="9196" width="13.75" customWidth="1"/>
    <col min="9197" max="9200" width="12.83203125" customWidth="1"/>
    <col min="9201" max="9203" width="13.33203125" customWidth="1"/>
    <col min="9204" max="9204" width="14.5" customWidth="1"/>
    <col min="9205" max="9205" width="9.9140625" customWidth="1"/>
    <col min="9206" max="9206" width="10.83203125" customWidth="1"/>
    <col min="9446" max="9446" width="25.25" customWidth="1"/>
    <col min="9447" max="9447" width="0" hidden="1" customWidth="1"/>
    <col min="9448" max="9448" width="12.83203125" customWidth="1"/>
    <col min="9449" max="9449" width="12.4140625" customWidth="1"/>
    <col min="9450" max="9452" width="13.75" customWidth="1"/>
    <col min="9453" max="9456" width="12.83203125" customWidth="1"/>
    <col min="9457" max="9459" width="13.33203125" customWidth="1"/>
    <col min="9460" max="9460" width="14.5" customWidth="1"/>
    <col min="9461" max="9461" width="9.9140625" customWidth="1"/>
    <col min="9462" max="9462" width="10.83203125" customWidth="1"/>
    <col min="9702" max="9702" width="25.25" customWidth="1"/>
    <col min="9703" max="9703" width="0" hidden="1" customWidth="1"/>
    <col min="9704" max="9704" width="12.83203125" customWidth="1"/>
    <col min="9705" max="9705" width="12.4140625" customWidth="1"/>
    <col min="9706" max="9708" width="13.75" customWidth="1"/>
    <col min="9709" max="9712" width="12.83203125" customWidth="1"/>
    <col min="9713" max="9715" width="13.33203125" customWidth="1"/>
    <col min="9716" max="9716" width="14.5" customWidth="1"/>
    <col min="9717" max="9717" width="9.9140625" customWidth="1"/>
    <col min="9718" max="9718" width="10.83203125" customWidth="1"/>
    <col min="9958" max="9958" width="25.25" customWidth="1"/>
    <col min="9959" max="9959" width="0" hidden="1" customWidth="1"/>
    <col min="9960" max="9960" width="12.83203125" customWidth="1"/>
    <col min="9961" max="9961" width="12.4140625" customWidth="1"/>
    <col min="9962" max="9964" width="13.75" customWidth="1"/>
    <col min="9965" max="9968" width="12.83203125" customWidth="1"/>
    <col min="9969" max="9971" width="13.33203125" customWidth="1"/>
    <col min="9972" max="9972" width="14.5" customWidth="1"/>
    <col min="9973" max="9973" width="9.9140625" customWidth="1"/>
    <col min="9974" max="9974" width="10.83203125" customWidth="1"/>
    <col min="10214" max="10214" width="25.25" customWidth="1"/>
    <col min="10215" max="10215" width="0" hidden="1" customWidth="1"/>
    <col min="10216" max="10216" width="12.83203125" customWidth="1"/>
    <col min="10217" max="10217" width="12.4140625" customWidth="1"/>
    <col min="10218" max="10220" width="13.75" customWidth="1"/>
    <col min="10221" max="10224" width="12.83203125" customWidth="1"/>
    <col min="10225" max="10227" width="13.33203125" customWidth="1"/>
    <col min="10228" max="10228" width="14.5" customWidth="1"/>
    <col min="10229" max="10229" width="9.9140625" customWidth="1"/>
    <col min="10230" max="10230" width="10.83203125" customWidth="1"/>
    <col min="10470" max="10470" width="25.25" customWidth="1"/>
    <col min="10471" max="10471" width="0" hidden="1" customWidth="1"/>
    <col min="10472" max="10472" width="12.83203125" customWidth="1"/>
    <col min="10473" max="10473" width="12.4140625" customWidth="1"/>
    <col min="10474" max="10476" width="13.75" customWidth="1"/>
    <col min="10477" max="10480" width="12.83203125" customWidth="1"/>
    <col min="10481" max="10483" width="13.33203125" customWidth="1"/>
    <col min="10484" max="10484" width="14.5" customWidth="1"/>
    <col min="10485" max="10485" width="9.9140625" customWidth="1"/>
    <col min="10486" max="10486" width="10.83203125" customWidth="1"/>
    <col min="10726" max="10726" width="25.25" customWidth="1"/>
    <col min="10727" max="10727" width="0" hidden="1" customWidth="1"/>
    <col min="10728" max="10728" width="12.83203125" customWidth="1"/>
    <col min="10729" max="10729" width="12.4140625" customWidth="1"/>
    <col min="10730" max="10732" width="13.75" customWidth="1"/>
    <col min="10733" max="10736" width="12.83203125" customWidth="1"/>
    <col min="10737" max="10739" width="13.33203125" customWidth="1"/>
    <col min="10740" max="10740" width="14.5" customWidth="1"/>
    <col min="10741" max="10741" width="9.9140625" customWidth="1"/>
    <col min="10742" max="10742" width="10.83203125" customWidth="1"/>
    <col min="10982" max="10982" width="25.25" customWidth="1"/>
    <col min="10983" max="10983" width="0" hidden="1" customWidth="1"/>
    <col min="10984" max="10984" width="12.83203125" customWidth="1"/>
    <col min="10985" max="10985" width="12.4140625" customWidth="1"/>
    <col min="10986" max="10988" width="13.75" customWidth="1"/>
    <col min="10989" max="10992" width="12.83203125" customWidth="1"/>
    <col min="10993" max="10995" width="13.33203125" customWidth="1"/>
    <col min="10996" max="10996" width="14.5" customWidth="1"/>
    <col min="10997" max="10997" width="9.9140625" customWidth="1"/>
    <col min="10998" max="10998" width="10.83203125" customWidth="1"/>
    <col min="11238" max="11238" width="25.25" customWidth="1"/>
    <col min="11239" max="11239" width="0" hidden="1" customWidth="1"/>
    <col min="11240" max="11240" width="12.83203125" customWidth="1"/>
    <col min="11241" max="11241" width="12.4140625" customWidth="1"/>
    <col min="11242" max="11244" width="13.75" customWidth="1"/>
    <col min="11245" max="11248" width="12.83203125" customWidth="1"/>
    <col min="11249" max="11251" width="13.33203125" customWidth="1"/>
    <col min="11252" max="11252" width="14.5" customWidth="1"/>
    <col min="11253" max="11253" width="9.9140625" customWidth="1"/>
    <col min="11254" max="11254" width="10.83203125" customWidth="1"/>
    <col min="11494" max="11494" width="25.25" customWidth="1"/>
    <col min="11495" max="11495" width="0" hidden="1" customWidth="1"/>
    <col min="11496" max="11496" width="12.83203125" customWidth="1"/>
    <col min="11497" max="11497" width="12.4140625" customWidth="1"/>
    <col min="11498" max="11500" width="13.75" customWidth="1"/>
    <col min="11501" max="11504" width="12.83203125" customWidth="1"/>
    <col min="11505" max="11507" width="13.33203125" customWidth="1"/>
    <col min="11508" max="11508" width="14.5" customWidth="1"/>
    <col min="11509" max="11509" width="9.9140625" customWidth="1"/>
    <col min="11510" max="11510" width="10.83203125" customWidth="1"/>
    <col min="11750" max="11750" width="25.25" customWidth="1"/>
    <col min="11751" max="11751" width="0" hidden="1" customWidth="1"/>
    <col min="11752" max="11752" width="12.83203125" customWidth="1"/>
    <col min="11753" max="11753" width="12.4140625" customWidth="1"/>
    <col min="11754" max="11756" width="13.75" customWidth="1"/>
    <col min="11757" max="11760" width="12.83203125" customWidth="1"/>
    <col min="11761" max="11763" width="13.33203125" customWidth="1"/>
    <col min="11764" max="11764" width="14.5" customWidth="1"/>
    <col min="11765" max="11765" width="9.9140625" customWidth="1"/>
    <col min="11766" max="11766" width="10.83203125" customWidth="1"/>
    <col min="12006" max="12006" width="25.25" customWidth="1"/>
    <col min="12007" max="12007" width="0" hidden="1" customWidth="1"/>
    <col min="12008" max="12008" width="12.83203125" customWidth="1"/>
    <col min="12009" max="12009" width="12.4140625" customWidth="1"/>
    <col min="12010" max="12012" width="13.75" customWidth="1"/>
    <col min="12013" max="12016" width="12.83203125" customWidth="1"/>
    <col min="12017" max="12019" width="13.33203125" customWidth="1"/>
    <col min="12020" max="12020" width="14.5" customWidth="1"/>
    <col min="12021" max="12021" width="9.9140625" customWidth="1"/>
    <col min="12022" max="12022" width="10.83203125" customWidth="1"/>
    <col min="12262" max="12262" width="25.25" customWidth="1"/>
    <col min="12263" max="12263" width="0" hidden="1" customWidth="1"/>
    <col min="12264" max="12264" width="12.83203125" customWidth="1"/>
    <col min="12265" max="12265" width="12.4140625" customWidth="1"/>
    <col min="12266" max="12268" width="13.75" customWidth="1"/>
    <col min="12269" max="12272" width="12.83203125" customWidth="1"/>
    <col min="12273" max="12275" width="13.33203125" customWidth="1"/>
    <col min="12276" max="12276" width="14.5" customWidth="1"/>
    <col min="12277" max="12277" width="9.9140625" customWidth="1"/>
    <col min="12278" max="12278" width="10.83203125" customWidth="1"/>
    <col min="12518" max="12518" width="25.25" customWidth="1"/>
    <col min="12519" max="12519" width="0" hidden="1" customWidth="1"/>
    <col min="12520" max="12520" width="12.83203125" customWidth="1"/>
    <col min="12521" max="12521" width="12.4140625" customWidth="1"/>
    <col min="12522" max="12524" width="13.75" customWidth="1"/>
    <col min="12525" max="12528" width="12.83203125" customWidth="1"/>
    <col min="12529" max="12531" width="13.33203125" customWidth="1"/>
    <col min="12532" max="12532" width="14.5" customWidth="1"/>
    <col min="12533" max="12533" width="9.9140625" customWidth="1"/>
    <col min="12534" max="12534" width="10.83203125" customWidth="1"/>
    <col min="12774" max="12774" width="25.25" customWidth="1"/>
    <col min="12775" max="12775" width="0" hidden="1" customWidth="1"/>
    <col min="12776" max="12776" width="12.83203125" customWidth="1"/>
    <col min="12777" max="12777" width="12.4140625" customWidth="1"/>
    <col min="12778" max="12780" width="13.75" customWidth="1"/>
    <col min="12781" max="12784" width="12.83203125" customWidth="1"/>
    <col min="12785" max="12787" width="13.33203125" customWidth="1"/>
    <col min="12788" max="12788" width="14.5" customWidth="1"/>
    <col min="12789" max="12789" width="9.9140625" customWidth="1"/>
    <col min="12790" max="12790" width="10.83203125" customWidth="1"/>
    <col min="13030" max="13030" width="25.25" customWidth="1"/>
    <col min="13031" max="13031" width="0" hidden="1" customWidth="1"/>
    <col min="13032" max="13032" width="12.83203125" customWidth="1"/>
    <col min="13033" max="13033" width="12.4140625" customWidth="1"/>
    <col min="13034" max="13036" width="13.75" customWidth="1"/>
    <col min="13037" max="13040" width="12.83203125" customWidth="1"/>
    <col min="13041" max="13043" width="13.33203125" customWidth="1"/>
    <col min="13044" max="13044" width="14.5" customWidth="1"/>
    <col min="13045" max="13045" width="9.9140625" customWidth="1"/>
    <col min="13046" max="13046" width="10.83203125" customWidth="1"/>
    <col min="13286" max="13286" width="25.25" customWidth="1"/>
    <col min="13287" max="13287" width="0" hidden="1" customWidth="1"/>
    <col min="13288" max="13288" width="12.83203125" customWidth="1"/>
    <col min="13289" max="13289" width="12.4140625" customWidth="1"/>
    <col min="13290" max="13292" width="13.75" customWidth="1"/>
    <col min="13293" max="13296" width="12.83203125" customWidth="1"/>
    <col min="13297" max="13299" width="13.33203125" customWidth="1"/>
    <col min="13300" max="13300" width="14.5" customWidth="1"/>
    <col min="13301" max="13301" width="9.9140625" customWidth="1"/>
    <col min="13302" max="13302" width="10.83203125" customWidth="1"/>
    <col min="13542" max="13542" width="25.25" customWidth="1"/>
    <col min="13543" max="13543" width="0" hidden="1" customWidth="1"/>
    <col min="13544" max="13544" width="12.83203125" customWidth="1"/>
    <col min="13545" max="13545" width="12.4140625" customWidth="1"/>
    <col min="13546" max="13548" width="13.75" customWidth="1"/>
    <col min="13549" max="13552" width="12.83203125" customWidth="1"/>
    <col min="13553" max="13555" width="13.33203125" customWidth="1"/>
    <col min="13556" max="13556" width="14.5" customWidth="1"/>
    <col min="13557" max="13557" width="9.9140625" customWidth="1"/>
    <col min="13558" max="13558" width="10.83203125" customWidth="1"/>
    <col min="13798" max="13798" width="25.25" customWidth="1"/>
    <col min="13799" max="13799" width="0" hidden="1" customWidth="1"/>
    <col min="13800" max="13800" width="12.83203125" customWidth="1"/>
    <col min="13801" max="13801" width="12.4140625" customWidth="1"/>
    <col min="13802" max="13804" width="13.75" customWidth="1"/>
    <col min="13805" max="13808" width="12.83203125" customWidth="1"/>
    <col min="13809" max="13811" width="13.33203125" customWidth="1"/>
    <col min="13812" max="13812" width="14.5" customWidth="1"/>
    <col min="13813" max="13813" width="9.9140625" customWidth="1"/>
    <col min="13814" max="13814" width="10.83203125" customWidth="1"/>
    <col min="14054" max="14054" width="25.25" customWidth="1"/>
    <col min="14055" max="14055" width="0" hidden="1" customWidth="1"/>
    <col min="14056" max="14056" width="12.83203125" customWidth="1"/>
    <col min="14057" max="14057" width="12.4140625" customWidth="1"/>
    <col min="14058" max="14060" width="13.75" customWidth="1"/>
    <col min="14061" max="14064" width="12.83203125" customWidth="1"/>
    <col min="14065" max="14067" width="13.33203125" customWidth="1"/>
    <col min="14068" max="14068" width="14.5" customWidth="1"/>
    <col min="14069" max="14069" width="9.9140625" customWidth="1"/>
    <col min="14070" max="14070" width="10.83203125" customWidth="1"/>
    <col min="14310" max="14310" width="25.25" customWidth="1"/>
    <col min="14311" max="14311" width="0" hidden="1" customWidth="1"/>
    <col min="14312" max="14312" width="12.83203125" customWidth="1"/>
    <col min="14313" max="14313" width="12.4140625" customWidth="1"/>
    <col min="14314" max="14316" width="13.75" customWidth="1"/>
    <col min="14317" max="14320" width="12.83203125" customWidth="1"/>
    <col min="14321" max="14323" width="13.33203125" customWidth="1"/>
    <col min="14324" max="14324" width="14.5" customWidth="1"/>
    <col min="14325" max="14325" width="9.9140625" customWidth="1"/>
    <col min="14326" max="14326" width="10.83203125" customWidth="1"/>
    <col min="14566" max="14566" width="25.25" customWidth="1"/>
    <col min="14567" max="14567" width="0" hidden="1" customWidth="1"/>
    <col min="14568" max="14568" width="12.83203125" customWidth="1"/>
    <col min="14569" max="14569" width="12.4140625" customWidth="1"/>
    <col min="14570" max="14572" width="13.75" customWidth="1"/>
    <col min="14573" max="14576" width="12.83203125" customWidth="1"/>
    <col min="14577" max="14579" width="13.33203125" customWidth="1"/>
    <col min="14580" max="14580" width="14.5" customWidth="1"/>
    <col min="14581" max="14581" width="9.9140625" customWidth="1"/>
    <col min="14582" max="14582" width="10.83203125" customWidth="1"/>
    <col min="14822" max="14822" width="25.25" customWidth="1"/>
    <col min="14823" max="14823" width="0" hidden="1" customWidth="1"/>
    <col min="14824" max="14824" width="12.83203125" customWidth="1"/>
    <col min="14825" max="14825" width="12.4140625" customWidth="1"/>
    <col min="14826" max="14828" width="13.75" customWidth="1"/>
    <col min="14829" max="14832" width="12.83203125" customWidth="1"/>
    <col min="14833" max="14835" width="13.33203125" customWidth="1"/>
    <col min="14836" max="14836" width="14.5" customWidth="1"/>
    <col min="14837" max="14837" width="9.9140625" customWidth="1"/>
    <col min="14838" max="14838" width="10.83203125" customWidth="1"/>
    <col min="15078" max="15078" width="25.25" customWidth="1"/>
    <col min="15079" max="15079" width="0" hidden="1" customWidth="1"/>
    <col min="15080" max="15080" width="12.83203125" customWidth="1"/>
    <col min="15081" max="15081" width="12.4140625" customWidth="1"/>
    <col min="15082" max="15084" width="13.75" customWidth="1"/>
    <col min="15085" max="15088" width="12.83203125" customWidth="1"/>
    <col min="15089" max="15091" width="13.33203125" customWidth="1"/>
    <col min="15092" max="15092" width="14.5" customWidth="1"/>
    <col min="15093" max="15093" width="9.9140625" customWidth="1"/>
    <col min="15094" max="15094" width="10.83203125" customWidth="1"/>
    <col min="15334" max="15334" width="25.25" customWidth="1"/>
    <col min="15335" max="15335" width="0" hidden="1" customWidth="1"/>
    <col min="15336" max="15336" width="12.83203125" customWidth="1"/>
    <col min="15337" max="15337" width="12.4140625" customWidth="1"/>
    <col min="15338" max="15340" width="13.75" customWidth="1"/>
    <col min="15341" max="15344" width="12.83203125" customWidth="1"/>
    <col min="15345" max="15347" width="13.33203125" customWidth="1"/>
    <col min="15348" max="15348" width="14.5" customWidth="1"/>
    <col min="15349" max="15349" width="9.9140625" customWidth="1"/>
    <col min="15350" max="15350" width="10.83203125" customWidth="1"/>
    <col min="15590" max="15590" width="25.25" customWidth="1"/>
    <col min="15591" max="15591" width="0" hidden="1" customWidth="1"/>
    <col min="15592" max="15592" width="12.83203125" customWidth="1"/>
    <col min="15593" max="15593" width="12.4140625" customWidth="1"/>
    <col min="15594" max="15596" width="13.75" customWidth="1"/>
    <col min="15597" max="15600" width="12.83203125" customWidth="1"/>
    <col min="15601" max="15603" width="13.33203125" customWidth="1"/>
    <col min="15604" max="15604" width="14.5" customWidth="1"/>
    <col min="15605" max="15605" width="9.9140625" customWidth="1"/>
    <col min="15606" max="15606" width="10.83203125" customWidth="1"/>
    <col min="15846" max="15846" width="25.25" customWidth="1"/>
    <col min="15847" max="15847" width="0" hidden="1" customWidth="1"/>
    <col min="15848" max="15848" width="12.83203125" customWidth="1"/>
    <col min="15849" max="15849" width="12.4140625" customWidth="1"/>
    <col min="15850" max="15852" width="13.75" customWidth="1"/>
    <col min="15853" max="15856" width="12.83203125" customWidth="1"/>
    <col min="15857" max="15859" width="13.33203125" customWidth="1"/>
    <col min="15860" max="15860" width="14.5" customWidth="1"/>
    <col min="15861" max="15861" width="9.9140625" customWidth="1"/>
    <col min="15862" max="15862" width="10.83203125" customWidth="1"/>
    <col min="16102" max="16102" width="25.25" customWidth="1"/>
    <col min="16103" max="16103" width="0" hidden="1" customWidth="1"/>
    <col min="16104" max="16104" width="12.83203125" customWidth="1"/>
    <col min="16105" max="16105" width="12.4140625" customWidth="1"/>
    <col min="16106" max="16108" width="13.75" customWidth="1"/>
    <col min="16109" max="16112" width="12.83203125" customWidth="1"/>
    <col min="16113" max="16115" width="13.33203125" customWidth="1"/>
    <col min="16116" max="16116" width="14.5" customWidth="1"/>
    <col min="16117" max="16117" width="9.9140625" customWidth="1"/>
    <col min="16118" max="16118" width="10.83203125" customWidth="1"/>
  </cols>
  <sheetData>
    <row r="1" spans="1:8" ht="18" customHeight="1" x14ac:dyDescent="0.3">
      <c r="A1" s="1170" t="s">
        <v>4638</v>
      </c>
      <c r="B1" s="1170"/>
      <c r="C1" s="1170"/>
      <c r="D1" s="1170"/>
      <c r="E1" s="1170"/>
      <c r="F1" s="1170"/>
      <c r="G1" s="1170"/>
      <c r="H1" s="1170"/>
    </row>
    <row r="2" spans="1:8" ht="19.5" customHeight="1" x14ac:dyDescent="0.3">
      <c r="A2" s="1170" t="s">
        <v>4639</v>
      </c>
      <c r="B2" s="1170"/>
      <c r="C2" s="1170"/>
      <c r="D2" s="1170"/>
      <c r="E2" s="1170"/>
      <c r="F2" s="1170"/>
      <c r="G2" s="1170"/>
      <c r="H2" s="1170"/>
    </row>
    <row r="3" spans="1:8" ht="16.5" customHeight="1" x14ac:dyDescent="0.3">
      <c r="A3" s="1170" t="s">
        <v>4640</v>
      </c>
      <c r="B3" s="1170"/>
      <c r="C3" s="1170"/>
      <c r="D3" s="1170"/>
      <c r="E3" s="1170"/>
      <c r="F3" s="1170"/>
      <c r="G3" s="1170"/>
      <c r="H3" s="1170"/>
    </row>
    <row r="4" spans="1:8" ht="12.75" customHeight="1" x14ac:dyDescent="0.35">
      <c r="A4" s="762"/>
      <c r="B4" s="762"/>
      <c r="C4" s="762"/>
      <c r="D4" s="762"/>
      <c r="E4" s="762"/>
      <c r="F4" s="762"/>
      <c r="G4" s="821"/>
      <c r="H4" s="821"/>
    </row>
    <row r="5" spans="1:8" ht="27.75" customHeight="1" x14ac:dyDescent="0.3">
      <c r="A5" s="1170" t="str">
        <f>CAPA_AMBIENTAL!B6</f>
        <v>PROCESSO SEI Nº 00110-00000752/2024-72</v>
      </c>
      <c r="B5" s="1170"/>
      <c r="C5" s="1170"/>
      <c r="D5" s="1170"/>
      <c r="E5" s="1170"/>
      <c r="F5" s="1170"/>
      <c r="G5" s="1170"/>
      <c r="H5" s="1170"/>
    </row>
    <row r="6" spans="1:8" ht="15.5" x14ac:dyDescent="0.35">
      <c r="A6" s="1171"/>
      <c r="B6" s="1171"/>
      <c r="C6" s="1171"/>
      <c r="D6" s="1171"/>
      <c r="E6" s="1171"/>
      <c r="F6" s="1171"/>
    </row>
    <row r="7" spans="1:8" ht="15.75" customHeight="1" x14ac:dyDescent="0.3">
      <c r="A7" s="884"/>
      <c r="B7" s="884"/>
      <c r="C7" s="884"/>
      <c r="D7" s="884"/>
      <c r="E7" s="884"/>
      <c r="F7" s="884"/>
    </row>
    <row r="8" spans="1:8" ht="35" customHeight="1" x14ac:dyDescent="0.4">
      <c r="A8" s="1023" t="str">
        <f>CAPA_AMBIENTAL!B8</f>
        <v>CONTRATAÇÃO DE EMPRESA ESPECIALIZADA PARA A ELABORAÇÃO DE PLANO DE CONTROLE AMBIENTAL (PCA E PLANO DE GERENCIAMENTO DE RESÍDUOS SÓLIDOS (PGRS) - SETOR HABITACIONAL MESTRE D'ARMAS</v>
      </c>
      <c r="B8" s="1023"/>
      <c r="C8" s="1023"/>
      <c r="D8" s="1023"/>
      <c r="E8" s="1023"/>
      <c r="F8" s="1023"/>
      <c r="G8" s="1023"/>
      <c r="H8" s="1023"/>
    </row>
    <row r="9" spans="1:8" ht="18" x14ac:dyDescent="0.4">
      <c r="A9" s="1180"/>
      <c r="B9" s="1180"/>
      <c r="C9" s="1180"/>
      <c r="D9" s="1180"/>
      <c r="E9" s="1180"/>
      <c r="F9" s="1180"/>
    </row>
    <row r="10" spans="1:8" x14ac:dyDescent="0.3">
      <c r="A10" s="1168"/>
      <c r="B10" s="1168"/>
      <c r="C10" s="1168"/>
      <c r="D10" s="1168"/>
      <c r="E10" s="1168"/>
      <c r="F10" s="1168"/>
    </row>
    <row r="11" spans="1:8" ht="18" customHeight="1" x14ac:dyDescent="0.3">
      <c r="A11" s="1170"/>
      <c r="B11" s="1170"/>
      <c r="C11" s="1170"/>
      <c r="D11" s="1170"/>
      <c r="E11" s="1170"/>
      <c r="F11" s="1170"/>
    </row>
    <row r="12" spans="1:8" ht="18" customHeight="1" x14ac:dyDescent="0.3">
      <c r="A12" s="762"/>
      <c r="B12" s="762"/>
      <c r="C12" s="762"/>
      <c r="D12" s="762"/>
      <c r="E12" s="762"/>
      <c r="F12" s="762"/>
    </row>
    <row r="13" spans="1:8" ht="23.25" customHeight="1" x14ac:dyDescent="0.3">
      <c r="A13" s="1170" t="s">
        <v>4641</v>
      </c>
      <c r="B13" s="1170"/>
      <c r="C13" s="1170"/>
      <c r="D13" s="1170"/>
      <c r="E13" s="1170"/>
      <c r="F13" s="1170"/>
      <c r="G13" s="1170"/>
      <c r="H13" s="1170"/>
    </row>
    <row r="14" spans="1:8" ht="24" customHeight="1" thickBot="1" x14ac:dyDescent="0.35">
      <c r="A14" s="1181" t="str">
        <f>CAPA_AMBIENTAL!B15</f>
        <v>SEM DESONERAÇÃO</v>
      </c>
      <c r="B14" s="1181"/>
      <c r="C14" s="1181"/>
      <c r="D14" s="1181"/>
      <c r="E14" s="1181"/>
      <c r="F14" s="1181"/>
      <c r="G14" s="1181"/>
      <c r="H14" s="1181"/>
    </row>
    <row r="15" spans="1:8" s="5" customFormat="1" ht="37.5" customHeight="1" x14ac:dyDescent="0.3">
      <c r="A15" s="1182" t="s">
        <v>3</v>
      </c>
      <c r="B15" s="1184" t="s">
        <v>4642</v>
      </c>
      <c r="C15" s="1186" t="s">
        <v>4653</v>
      </c>
      <c r="D15" s="1187"/>
      <c r="E15" s="1187"/>
      <c r="F15" s="1187"/>
      <c r="G15" s="1188" t="s">
        <v>4643</v>
      </c>
      <c r="H15" s="1190" t="s">
        <v>1725</v>
      </c>
    </row>
    <row r="16" spans="1:8" s="5" customFormat="1" ht="33" customHeight="1" thickBot="1" x14ac:dyDescent="0.35">
      <c r="A16" s="1183"/>
      <c r="B16" s="1185"/>
      <c r="C16" s="822">
        <v>1</v>
      </c>
      <c r="D16" s="822">
        <v>2</v>
      </c>
      <c r="E16" s="822">
        <v>3</v>
      </c>
      <c r="F16" s="822">
        <v>4</v>
      </c>
      <c r="G16" s="1189"/>
      <c r="H16" s="1191"/>
    </row>
    <row r="17" spans="1:9" s="5" customFormat="1" ht="17.25" customHeight="1" x14ac:dyDescent="0.3">
      <c r="A17" s="1172">
        <v>1</v>
      </c>
      <c r="B17" s="1174" t="s">
        <v>4644</v>
      </c>
      <c r="C17" s="823">
        <v>1</v>
      </c>
      <c r="D17" s="823"/>
      <c r="E17" s="823"/>
      <c r="F17" s="823"/>
      <c r="G17" s="1176">
        <v>36917.569000000003</v>
      </c>
      <c r="H17" s="1178">
        <f>G17/$G$27</f>
        <v>1.0000000000000002E-2</v>
      </c>
    </row>
    <row r="18" spans="1:9" s="5" customFormat="1" ht="17.25" customHeight="1" thickBot="1" x14ac:dyDescent="0.35">
      <c r="A18" s="1173"/>
      <c r="B18" s="1175"/>
      <c r="C18" s="824">
        <f>C17*G17</f>
        <v>36917.569000000003</v>
      </c>
      <c r="D18" s="824"/>
      <c r="E18" s="824"/>
      <c r="F18" s="824"/>
      <c r="G18" s="1177"/>
      <c r="H18" s="1179"/>
      <c r="I18" s="5">
        <f>SUM(C18:F18)</f>
        <v>36917.569000000003</v>
      </c>
    </row>
    <row r="19" spans="1:9" s="5" customFormat="1" ht="17.25" customHeight="1" x14ac:dyDescent="0.3">
      <c r="A19" s="1172">
        <v>2</v>
      </c>
      <c r="B19" s="1192" t="s">
        <v>4645</v>
      </c>
      <c r="C19" s="823"/>
      <c r="D19" s="823">
        <v>0.5</v>
      </c>
      <c r="E19" s="823">
        <v>0.5</v>
      </c>
      <c r="F19" s="823"/>
      <c r="G19" s="1176">
        <v>738351.38</v>
      </c>
      <c r="H19" s="1178">
        <f>G19/$G$27</f>
        <v>0.2</v>
      </c>
    </row>
    <row r="20" spans="1:9" s="5" customFormat="1" ht="17.25" customHeight="1" thickBot="1" x14ac:dyDescent="0.35">
      <c r="A20" s="1173"/>
      <c r="B20" s="1193"/>
      <c r="C20" s="824"/>
      <c r="D20" s="824">
        <f>D19*G19</f>
        <v>369175.69</v>
      </c>
      <c r="E20" s="824">
        <f>E19*G19</f>
        <v>369175.69</v>
      </c>
      <c r="F20" s="824"/>
      <c r="G20" s="1177"/>
      <c r="H20" s="1179"/>
      <c r="I20" s="5">
        <f>SUM(C20:F20)</f>
        <v>738351.38</v>
      </c>
    </row>
    <row r="21" spans="1:9" s="5" customFormat="1" ht="17.25" customHeight="1" x14ac:dyDescent="0.3">
      <c r="A21" s="1172">
        <v>3</v>
      </c>
      <c r="B21" s="1194" t="s">
        <v>4646</v>
      </c>
      <c r="C21" s="823"/>
      <c r="D21" s="823">
        <v>0.05</v>
      </c>
      <c r="E21" s="823">
        <v>0.2</v>
      </c>
      <c r="F21" s="823">
        <v>0.45</v>
      </c>
      <c r="G21" s="1196">
        <v>2178136.571</v>
      </c>
      <c r="H21" s="1178">
        <f>G21/$G$27</f>
        <v>0.59</v>
      </c>
    </row>
    <row r="22" spans="1:9" s="5" customFormat="1" ht="17.25" customHeight="1" thickBot="1" x14ac:dyDescent="0.35">
      <c r="A22" s="1173"/>
      <c r="B22" s="1195"/>
      <c r="C22" s="825"/>
      <c r="D22" s="824">
        <f>D21*G21</f>
        <v>108906.82855000001</v>
      </c>
      <c r="E22" s="824">
        <f>E21*$G$21</f>
        <v>435627.31420000002</v>
      </c>
      <c r="F22" s="824">
        <f>F21*$G$21</f>
        <v>980161.45695000002</v>
      </c>
      <c r="G22" s="1197"/>
      <c r="H22" s="1179"/>
      <c r="I22" s="5">
        <f>SUM(C22:F22)</f>
        <v>1524695.5997000001</v>
      </c>
    </row>
    <row r="23" spans="1:9" ht="17.25" customHeight="1" x14ac:dyDescent="0.3">
      <c r="A23" s="1172">
        <v>4</v>
      </c>
      <c r="B23" s="1192" t="s">
        <v>4647</v>
      </c>
      <c r="C23" s="823"/>
      <c r="D23" s="823"/>
      <c r="E23" s="823"/>
      <c r="F23" s="823">
        <v>0.05</v>
      </c>
      <c r="G23" s="1176">
        <v>369175.69000000006</v>
      </c>
      <c r="H23" s="1178">
        <f>G23/$G$27</f>
        <v>0.10000000000000002</v>
      </c>
    </row>
    <row r="24" spans="1:9" ht="16" thickBot="1" x14ac:dyDescent="0.35">
      <c r="A24" s="1173"/>
      <c r="B24" s="1193"/>
      <c r="C24" s="824"/>
      <c r="D24" s="824"/>
      <c r="E24" s="824"/>
      <c r="F24" s="824">
        <f>F23*$G$23</f>
        <v>18458.784500000005</v>
      </c>
      <c r="G24" s="1177"/>
      <c r="H24" s="1179"/>
      <c r="I24" s="5">
        <f>SUM(C24:F24)</f>
        <v>18458.784500000005</v>
      </c>
    </row>
    <row r="25" spans="1:9" ht="15.5" x14ac:dyDescent="0.3">
      <c r="A25" s="1172">
        <v>5</v>
      </c>
      <c r="B25" s="1192" t="s">
        <v>4648</v>
      </c>
      <c r="C25" s="823"/>
      <c r="D25" s="823"/>
      <c r="E25" s="823"/>
      <c r="F25" s="823"/>
      <c r="G25" s="1176">
        <v>369175.69</v>
      </c>
      <c r="H25" s="1178">
        <f>G25/$G$27</f>
        <v>0.1</v>
      </c>
    </row>
    <row r="26" spans="1:9" ht="16" thickBot="1" x14ac:dyDescent="0.35">
      <c r="A26" s="1173"/>
      <c r="B26" s="1193"/>
      <c r="C26" s="824"/>
      <c r="D26" s="824"/>
      <c r="E26" s="824"/>
      <c r="F26" s="824"/>
      <c r="G26" s="1177"/>
      <c r="H26" s="1179"/>
      <c r="I26" s="5">
        <f>SUM(C26:F26)</f>
        <v>0</v>
      </c>
    </row>
    <row r="27" spans="1:9" ht="15.5" x14ac:dyDescent="0.3">
      <c r="A27" s="1198" t="s">
        <v>4649</v>
      </c>
      <c r="B27" s="1199"/>
      <c r="C27" s="826">
        <f>SUM(C26,C24,C22,C20,C18)</f>
        <v>36917.569000000003</v>
      </c>
      <c r="D27" s="826">
        <f t="shared" ref="D27:F27" si="0">SUM(D26,D24,D22,D20,D18)</f>
        <v>478082.51855000004</v>
      </c>
      <c r="E27" s="826">
        <f t="shared" si="0"/>
        <v>804803.00420000008</v>
      </c>
      <c r="F27" s="826">
        <f t="shared" si="0"/>
        <v>998620.24144999997</v>
      </c>
      <c r="G27" s="1200">
        <f>SUM(G17:G26)</f>
        <v>3691756.9</v>
      </c>
      <c r="H27" s="1203">
        <f>SUM(H17:H26)</f>
        <v>1</v>
      </c>
    </row>
    <row r="28" spans="1:9" ht="15.5" x14ac:dyDescent="0.3">
      <c r="A28" s="1206" t="s">
        <v>4650</v>
      </c>
      <c r="B28" s="1207"/>
      <c r="C28" s="827">
        <f>C27/$G$27</f>
        <v>1.0000000000000002E-2</v>
      </c>
      <c r="D28" s="827">
        <f>D27/$G$27</f>
        <v>0.1295</v>
      </c>
      <c r="E28" s="827">
        <f>E27/$G$27</f>
        <v>0.21800000000000003</v>
      </c>
      <c r="F28" s="827">
        <f>F27/$G$27</f>
        <v>0.27050000000000002</v>
      </c>
      <c r="G28" s="1201"/>
      <c r="H28" s="1204"/>
    </row>
    <row r="29" spans="1:9" ht="15.5" x14ac:dyDescent="0.3">
      <c r="A29" s="1206" t="s">
        <v>4651</v>
      </c>
      <c r="B29" s="1207"/>
      <c r="C29" s="828">
        <f>C27</f>
        <v>36917.569000000003</v>
      </c>
      <c r="D29" s="828">
        <f t="shared" ref="D29:F29" si="1">C29+D27</f>
        <v>515000.08755000005</v>
      </c>
      <c r="E29" s="828">
        <f t="shared" si="1"/>
        <v>1319803.0917500001</v>
      </c>
      <c r="F29" s="828">
        <f t="shared" si="1"/>
        <v>2318423.3332000002</v>
      </c>
      <c r="G29" s="1201"/>
      <c r="H29" s="1204"/>
    </row>
    <row r="30" spans="1:9" ht="16" thickBot="1" x14ac:dyDescent="0.35">
      <c r="A30" s="1208" t="s">
        <v>4652</v>
      </c>
      <c r="B30" s="1209"/>
      <c r="C30" s="829">
        <f>C29/$G$27</f>
        <v>1.0000000000000002E-2</v>
      </c>
      <c r="D30" s="829">
        <f>D29/$G$27</f>
        <v>0.13950000000000001</v>
      </c>
      <c r="E30" s="829">
        <f>E29/$G$27</f>
        <v>0.35750000000000004</v>
      </c>
      <c r="F30" s="829">
        <f>F29/$G$27</f>
        <v>0.62800000000000011</v>
      </c>
      <c r="G30" s="1202"/>
      <c r="H30" s="1205"/>
    </row>
    <row r="31" spans="1:9" x14ac:dyDescent="0.3">
      <c r="D31" s="764"/>
    </row>
    <row r="32" spans="1:9" x14ac:dyDescent="0.3">
      <c r="D32" s="764"/>
    </row>
    <row r="33" spans="4:5" x14ac:dyDescent="0.3">
      <c r="D33" s="764"/>
      <c r="E33" s="766"/>
    </row>
    <row r="34" spans="4:5" x14ac:dyDescent="0.3">
      <c r="D34" s="764"/>
    </row>
    <row r="35" spans="4:5" x14ac:dyDescent="0.3">
      <c r="D35" s="767"/>
    </row>
    <row r="36" spans="4:5" x14ac:dyDescent="0.3">
      <c r="D36" s="768"/>
    </row>
    <row r="37" spans="4:5" x14ac:dyDescent="0.3">
      <c r="D37" s="768"/>
    </row>
    <row r="38" spans="4:5" ht="44.5" x14ac:dyDescent="0.85">
      <c r="D38" s="768"/>
      <c r="E38" s="769"/>
    </row>
    <row r="39" spans="4:5" x14ac:dyDescent="0.3">
      <c r="D39" s="768"/>
    </row>
    <row r="40" spans="4:5" x14ac:dyDescent="0.3">
      <c r="D40" s="768"/>
    </row>
    <row r="41" spans="4:5" x14ac:dyDescent="0.3">
      <c r="D41" s="764"/>
    </row>
    <row r="42" spans="4:5" x14ac:dyDescent="0.3">
      <c r="D42" s="764"/>
    </row>
    <row r="43" spans="4:5" x14ac:dyDescent="0.3">
      <c r="D43" s="764"/>
    </row>
    <row r="44" spans="4:5" x14ac:dyDescent="0.3">
      <c r="D44" s="764"/>
    </row>
    <row r="45" spans="4:5" x14ac:dyDescent="0.3">
      <c r="D45" s="764"/>
    </row>
    <row r="46" spans="4:5" x14ac:dyDescent="0.3">
      <c r="D46" s="764"/>
    </row>
    <row r="47" spans="4:5" x14ac:dyDescent="0.3">
      <c r="D47" s="764"/>
    </row>
    <row r="48" spans="4:5" x14ac:dyDescent="0.3">
      <c r="D48" s="764"/>
    </row>
    <row r="49" spans="4:4" x14ac:dyDescent="0.3">
      <c r="D49" s="764"/>
    </row>
    <row r="50" spans="4:4" x14ac:dyDescent="0.3">
      <c r="D50" s="764"/>
    </row>
    <row r="51" spans="4:4" x14ac:dyDescent="0.3">
      <c r="D51" s="764"/>
    </row>
    <row r="52" spans="4:4" x14ac:dyDescent="0.3">
      <c r="D52" s="764"/>
    </row>
    <row r="53" spans="4:4" x14ac:dyDescent="0.3">
      <c r="D53" s="764"/>
    </row>
    <row r="54" spans="4:4" x14ac:dyDescent="0.3">
      <c r="D54" s="764"/>
    </row>
    <row r="55" spans="4:4" x14ac:dyDescent="0.3">
      <c r="D55" s="764"/>
    </row>
    <row r="56" spans="4:4" x14ac:dyDescent="0.3">
      <c r="D56" s="764"/>
    </row>
    <row r="57" spans="4:4" x14ac:dyDescent="0.3">
      <c r="D57" s="764"/>
    </row>
    <row r="58" spans="4:4" x14ac:dyDescent="0.3">
      <c r="D58" s="764"/>
    </row>
    <row r="59" spans="4:4" x14ac:dyDescent="0.3">
      <c r="D59" s="764"/>
    </row>
    <row r="60" spans="4:4" x14ac:dyDescent="0.3">
      <c r="D60" s="764"/>
    </row>
    <row r="61" spans="4:4" x14ac:dyDescent="0.3">
      <c r="D61" s="764"/>
    </row>
    <row r="62" spans="4:4" x14ac:dyDescent="0.3">
      <c r="D62" s="764"/>
    </row>
    <row r="63" spans="4:4" x14ac:dyDescent="0.3">
      <c r="D63" s="764"/>
    </row>
    <row r="64" spans="4:4" x14ac:dyDescent="0.3">
      <c r="D64" s="764"/>
    </row>
    <row r="65" spans="4:4" x14ac:dyDescent="0.3">
      <c r="D65" s="764"/>
    </row>
    <row r="66" spans="4:4" x14ac:dyDescent="0.3">
      <c r="D66" s="764"/>
    </row>
    <row r="67" spans="4:4" x14ac:dyDescent="0.3">
      <c r="D67" s="764"/>
    </row>
    <row r="68" spans="4:4" x14ac:dyDescent="0.3">
      <c r="D68" s="764"/>
    </row>
    <row r="69" spans="4:4" x14ac:dyDescent="0.3">
      <c r="D69" s="764"/>
    </row>
    <row r="70" spans="4:4" x14ac:dyDescent="0.3">
      <c r="D70" s="764"/>
    </row>
    <row r="71" spans="4:4" x14ac:dyDescent="0.3">
      <c r="D71" s="764"/>
    </row>
    <row r="72" spans="4:4" x14ac:dyDescent="0.3">
      <c r="D72" s="764"/>
    </row>
    <row r="73" spans="4:4" x14ac:dyDescent="0.3">
      <c r="D73" s="764"/>
    </row>
    <row r="74" spans="4:4" x14ac:dyDescent="0.3">
      <c r="D74" s="764"/>
    </row>
    <row r="75" spans="4:4" x14ac:dyDescent="0.3">
      <c r="D75" s="764"/>
    </row>
    <row r="76" spans="4:4" x14ac:dyDescent="0.3">
      <c r="D76" s="764"/>
    </row>
    <row r="77" spans="4:4" x14ac:dyDescent="0.3">
      <c r="D77" s="764"/>
    </row>
    <row r="78" spans="4:4" x14ac:dyDescent="0.3">
      <c r="D78" s="764"/>
    </row>
    <row r="79" spans="4:4" x14ac:dyDescent="0.3">
      <c r="D79" s="764"/>
    </row>
    <row r="80" spans="4:4" x14ac:dyDescent="0.3">
      <c r="D80" s="764"/>
    </row>
    <row r="81" spans="4:4" x14ac:dyDescent="0.3">
      <c r="D81" s="764"/>
    </row>
    <row r="82" spans="4:4" x14ac:dyDescent="0.3">
      <c r="D82" s="764"/>
    </row>
    <row r="83" spans="4:4" x14ac:dyDescent="0.3">
      <c r="D83" s="764"/>
    </row>
    <row r="84" spans="4:4" x14ac:dyDescent="0.3">
      <c r="D84" s="764"/>
    </row>
    <row r="85" spans="4:4" x14ac:dyDescent="0.3">
      <c r="D85" s="764"/>
    </row>
  </sheetData>
  <mergeCells count="43">
    <mergeCell ref="A27:B27"/>
    <mergeCell ref="G27:G30"/>
    <mergeCell ref="H27:H30"/>
    <mergeCell ref="A28:B28"/>
    <mergeCell ref="A29:B29"/>
    <mergeCell ref="A30:B30"/>
    <mergeCell ref="A23:A24"/>
    <mergeCell ref="B23:B24"/>
    <mergeCell ref="G23:G24"/>
    <mergeCell ref="H23:H24"/>
    <mergeCell ref="A25:A26"/>
    <mergeCell ref="B25:B26"/>
    <mergeCell ref="G25:G26"/>
    <mergeCell ref="H25:H26"/>
    <mergeCell ref="A19:A20"/>
    <mergeCell ref="B19:B20"/>
    <mergeCell ref="G19:G20"/>
    <mergeCell ref="H19:H20"/>
    <mergeCell ref="A21:A22"/>
    <mergeCell ref="B21:B22"/>
    <mergeCell ref="G21:G22"/>
    <mergeCell ref="H21:H22"/>
    <mergeCell ref="A17:A18"/>
    <mergeCell ref="B17:B18"/>
    <mergeCell ref="G17:G18"/>
    <mergeCell ref="H17:H18"/>
    <mergeCell ref="A8:H8"/>
    <mergeCell ref="A9:F9"/>
    <mergeCell ref="A10:F10"/>
    <mergeCell ref="A11:F11"/>
    <mergeCell ref="A13:H13"/>
    <mergeCell ref="A14:H14"/>
    <mergeCell ref="A15:A16"/>
    <mergeCell ref="B15:B16"/>
    <mergeCell ref="C15:F15"/>
    <mergeCell ref="G15:G16"/>
    <mergeCell ref="H15:H16"/>
    <mergeCell ref="A7:F7"/>
    <mergeCell ref="A1:H1"/>
    <mergeCell ref="A2:H2"/>
    <mergeCell ref="A3:H3"/>
    <mergeCell ref="A5:H5"/>
    <mergeCell ref="A6:F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18</vt:i4>
      </vt:variant>
    </vt:vector>
  </HeadingPairs>
  <TitlesOfParts>
    <vt:vector size="37" baseType="lpstr">
      <vt:lpstr>RESUMO</vt:lpstr>
      <vt:lpstr>ORÇAMENTO</vt:lpstr>
      <vt:lpstr>ORÇAMENTO AMBIENTAL</vt:lpstr>
      <vt:lpstr>Planilha1</vt:lpstr>
      <vt:lpstr>CLASSIFICAÇÃO ABC</vt:lpstr>
      <vt:lpstr>APOIO ABC</vt:lpstr>
      <vt:lpstr>CPUs</vt:lpstr>
      <vt:lpstr>MEM. CÁLC</vt:lpstr>
      <vt:lpstr>QUANTBL</vt:lpstr>
      <vt:lpstr>Planilha Hidráulica</vt:lpstr>
      <vt:lpstr>BOCA DE LOBO</vt:lpstr>
      <vt:lpstr>CRONOGRAMA</vt:lpstr>
      <vt:lpstr>ANEXO II - MOVIMENTAÇÃO DE SOLO</vt:lpstr>
      <vt:lpstr>Quantitativos</vt:lpstr>
      <vt:lpstr>CAPA_AMBIENTAL</vt:lpstr>
      <vt:lpstr>RESUMO_AMBIENTAL</vt:lpstr>
      <vt:lpstr>MAPA_COTAÇÕES</vt:lpstr>
      <vt:lpstr>BDI'S</vt:lpstr>
      <vt:lpstr>CRONOGRAMA_AMBIENTAL</vt:lpstr>
      <vt:lpstr>'ANEXO II - MOVIMENTAÇÃO DE SOLO'!Area_de_impressao</vt:lpstr>
      <vt:lpstr>'BDI''S'!Area_de_impressao</vt:lpstr>
      <vt:lpstr>CAPA_AMBIENTAL!Area_de_impressao</vt:lpstr>
      <vt:lpstr>'CLASSIFICAÇÃO ABC'!Area_de_impressao</vt:lpstr>
      <vt:lpstr>CRONOGRAMA!Area_de_impressao</vt:lpstr>
      <vt:lpstr>CRONOGRAMA_AMBIENTAL!Area_de_impressao</vt:lpstr>
      <vt:lpstr>MAPA_COTAÇÕES!Area_de_impressao</vt:lpstr>
      <vt:lpstr>'MEM. CÁLC'!Area_de_impressao</vt:lpstr>
      <vt:lpstr>ORÇAMENTO!Area_de_impressao</vt:lpstr>
      <vt:lpstr>'ORÇAMENTO AMBIENTAL'!Area_de_impressao</vt:lpstr>
      <vt:lpstr>'Planilha Hidráulica'!Area_de_impressao</vt:lpstr>
      <vt:lpstr>RESUMO!Area_de_impressao</vt:lpstr>
      <vt:lpstr>RESUMO_AMBIENTAL!Area_de_impressao</vt:lpstr>
      <vt:lpstr>'CLASSIFICAÇÃO ABC'!Titulos_de_impressao</vt:lpstr>
      <vt:lpstr>CPUs!Titulos_de_impressao</vt:lpstr>
      <vt:lpstr>'MEM. CÁLC'!Titulos_de_impressao</vt:lpstr>
      <vt:lpstr>ORÇAMENTO!Titulos_de_impressao</vt:lpstr>
      <vt:lpstr>'Planilha Hidráulica'!Titulos_de_impressao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cp:keywords/>
  <dc:description/>
  <cp:lastModifiedBy>Diolivia Alves Carvalho Tiburcio</cp:lastModifiedBy>
  <cp:revision>0</cp:revision>
  <cp:lastPrinted>2025-02-26T14:56:11Z</cp:lastPrinted>
  <dcterms:created xsi:type="dcterms:W3CDTF">2024-02-20T14:24:26Z</dcterms:created>
  <dcterms:modified xsi:type="dcterms:W3CDTF">2025-05-16T11:26:37Z</dcterms:modified>
  <cp:category/>
  <cp:contentStatus/>
</cp:coreProperties>
</file>